
<file path=[Content_Types].xml><?xml version="1.0" encoding="utf-8"?>
<Types xmlns="http://schemas.openxmlformats.org/package/2006/content-types">
  <Default Extension="bin" ContentType="application/vnd.ms-office.activeX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activeX/activeX1.xml" ContentType="application/vnd.ms-office.activeX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Work\dunhill\monthly_report\BU26\"/>
    </mc:Choice>
  </mc:AlternateContent>
  <xr:revisionPtr revIDLastSave="0" documentId="13_ncr:1_{0BA0F097-0174-40A3-8133-8DBE7B9C80F6}" xr6:coauthVersionLast="47" xr6:coauthVersionMax="47" xr10:uidLastSave="{00000000-0000-0000-0000-000000000000}"/>
  <bookViews>
    <workbookView xWindow="-110" yWindow="-110" windowWidth="19420" windowHeight="10420" tabRatio="794" activeTab="2" xr2:uid="{00000000-000D-0000-FFFF-FFFF00000000}"/>
  </bookViews>
  <sheets>
    <sheet name="目标表" sheetId="150" r:id="rId1"/>
    <sheet name="Campaign" sheetId="134" r:id="rId2"/>
    <sheet name="SalesOverview" sheetId="140" r:id="rId3"/>
    <sheet name="全店核心数据_bymonth" sheetId="144" r:id="rId4"/>
    <sheet name="PFS_流量呈现" sheetId="138" r:id="rId5"/>
    <sheet name="dunhill traffic pivot" sheetId="131" r:id="rId6"/>
    <sheet name="竞店流量summary" sheetId="125" r:id="rId7"/>
    <sheet name="竞店流量取数_月度" sheetId="122" r:id="rId8"/>
    <sheet name="一级流量源" sheetId="130" r:id="rId9"/>
    <sheet name="二级流量源" sheetId="127" r:id="rId10"/>
    <sheet name="三级流量源" sheetId="129" r:id="rId11"/>
    <sheet name="其他猜你喜欢源" sheetId="135" r:id="rId12"/>
    <sheet name="竞店一级数据源" sheetId="123" r:id="rId13"/>
    <sheet name="竞店PAID三级数据源" sheetId="126" r:id="rId14"/>
    <sheet name="fans&amp;member" sheetId="145" r:id="rId15"/>
    <sheet name="dtc_channel_show" sheetId="156" r:id="rId16"/>
    <sheet name="公众号" sheetId="153" r:id="rId17"/>
    <sheet name="会员源" sheetId="146" r:id="rId18"/>
    <sheet name="粉丝源" sheetId="148" r:id="rId19"/>
    <sheet name="dtc_channel源" sheetId="154" r:id="rId20"/>
    <sheet name="channel Mapping" sheetId="155" r:id="rId21"/>
    <sheet name="买家画像对比" sheetId="15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definedNames>
    <definedName name="__________KE8" hidden="1">#REF!</definedName>
    <definedName name="__________key11" hidden="1">#REF!</definedName>
    <definedName name="__________key12" hidden="1">#REF!</definedName>
    <definedName name="__________KEY123" hidden="1">#REF!</definedName>
    <definedName name="__________KEY3" hidden="1">#REF!</definedName>
    <definedName name="__________KEY4" hidden="1">#REF!</definedName>
    <definedName name="__________KEY5" hidden="1">#REF!</definedName>
    <definedName name="__________KEY6" hidden="1">#REF!</definedName>
    <definedName name="_________key2" hidden="1">#REF!</definedName>
    <definedName name="_________KEY7" hidden="1">#REF!</definedName>
    <definedName name="_________key8" hidden="1">#REF!</definedName>
    <definedName name="_________KEY90" hidden="1">#REF!</definedName>
    <definedName name="________KE8" hidden="1">#REF!</definedName>
    <definedName name="________key11" hidden="1">#REF!</definedName>
    <definedName name="________key12" hidden="1">#REF!</definedName>
    <definedName name="________KEY123" hidden="1">#REF!</definedName>
    <definedName name="________key2" hidden="1">#REF!</definedName>
    <definedName name="________KEY3" hidden="1">#REF!</definedName>
    <definedName name="________KEY4" hidden="1">#REF!</definedName>
    <definedName name="________KEY5" hidden="1">#REF!</definedName>
    <definedName name="________KEY6" hidden="1">#REF!</definedName>
    <definedName name="________KEY7" hidden="1">#REF!</definedName>
    <definedName name="________key8" hidden="1">#REF!</definedName>
    <definedName name="________KEY90" hidden="1">#REF!</definedName>
    <definedName name="_______KE8" hidden="1">#REF!</definedName>
    <definedName name="_______key11" hidden="1">#REF!</definedName>
    <definedName name="_______key12" hidden="1">#REF!</definedName>
    <definedName name="_______KEY123" hidden="1">#REF!</definedName>
    <definedName name="_______key2" hidden="1">#REF!</definedName>
    <definedName name="_______KEY3" hidden="1">#REF!</definedName>
    <definedName name="_______KEY4" hidden="1">#REF!</definedName>
    <definedName name="_______KEY5" hidden="1">#REF!</definedName>
    <definedName name="_______KEY6" hidden="1">#REF!</definedName>
    <definedName name="_______KEY7" hidden="1">#REF!</definedName>
    <definedName name="_______key8" hidden="1">#REF!</definedName>
    <definedName name="_______KEY90" hidden="1">#REF!</definedName>
    <definedName name="______KE8" hidden="1">#REF!</definedName>
    <definedName name="______key11" hidden="1">#REF!</definedName>
    <definedName name="______key12" hidden="1">#REF!</definedName>
    <definedName name="______KEY123" hidden="1">#REF!</definedName>
    <definedName name="______key2" hidden="1">#REF!</definedName>
    <definedName name="______KEY3" hidden="1">#REF!</definedName>
    <definedName name="______KEY4" hidden="1">#REF!</definedName>
    <definedName name="______KEY5" hidden="1">#REF!</definedName>
    <definedName name="______KEY6" hidden="1">#REF!</definedName>
    <definedName name="______KEY7" hidden="1">#REF!</definedName>
    <definedName name="______key8" hidden="1">#REF!</definedName>
    <definedName name="______KEY90" hidden="1">#REF!</definedName>
    <definedName name="_____KE8" hidden="1">#REF!</definedName>
    <definedName name="_____key11" hidden="1">#REF!</definedName>
    <definedName name="_____key12" hidden="1">#REF!</definedName>
    <definedName name="_____KEY123" hidden="1">#REF!</definedName>
    <definedName name="_____key2" hidden="1">#REF!</definedName>
    <definedName name="_____KEY3" hidden="1">#REF!</definedName>
    <definedName name="_____KEY4" hidden="1">#REF!</definedName>
    <definedName name="_____KEY5" hidden="1">#REF!</definedName>
    <definedName name="_____KEY6" hidden="1">#REF!</definedName>
    <definedName name="_____KEY7" hidden="1">#REF!</definedName>
    <definedName name="_____key8" hidden="1">#REF!</definedName>
    <definedName name="_____KEY90" hidden="1">#REF!</definedName>
    <definedName name="____KE8" hidden="1">#REF!</definedName>
    <definedName name="____key11" hidden="1">#REF!</definedName>
    <definedName name="____key12" hidden="1">#REF!</definedName>
    <definedName name="____KEY123" hidden="1">#REF!</definedName>
    <definedName name="____key2" hidden="1">#REF!</definedName>
    <definedName name="____KEY3" hidden="1">#REF!</definedName>
    <definedName name="____KEY4" hidden="1">#REF!</definedName>
    <definedName name="____KEY5" hidden="1">#REF!</definedName>
    <definedName name="____key55" hidden="1">#REF!</definedName>
    <definedName name="____KEY6" hidden="1">#REF!</definedName>
    <definedName name="____key66" hidden="1">#REF!</definedName>
    <definedName name="____KEY7" hidden="1">#REF!</definedName>
    <definedName name="____key8" hidden="1">#REF!</definedName>
    <definedName name="____key9" hidden="1">#REF!</definedName>
    <definedName name="____KEY90" hidden="1">#REF!</definedName>
    <definedName name="____kry6" hidden="1">#REF!</definedName>
    <definedName name="____ky2" hidden="1">#REF!</definedName>
    <definedName name="___KE8" hidden="1">#REF!</definedName>
    <definedName name="___key11" hidden="1">#REF!</definedName>
    <definedName name="___key12" hidden="1">#REF!</definedName>
    <definedName name="___KEY123" hidden="1">#REF!</definedName>
    <definedName name="___key2" hidden="1">#REF!</definedName>
    <definedName name="___KEY3" hidden="1">#REF!</definedName>
    <definedName name="___KEY4" hidden="1">#REF!</definedName>
    <definedName name="___KEY5" hidden="1">#REF!</definedName>
    <definedName name="___key55" hidden="1">#REF!</definedName>
    <definedName name="___KEY6" hidden="1">#REF!</definedName>
    <definedName name="___key66" hidden="1">#REF!</definedName>
    <definedName name="___KEY7" hidden="1">#REF!</definedName>
    <definedName name="___key8" hidden="1">#REF!</definedName>
    <definedName name="___key9" hidden="1">#REF!</definedName>
    <definedName name="___KEY90" hidden="1">#REF!</definedName>
    <definedName name="___kry6" hidden="1">#REF!</definedName>
    <definedName name="___ky2" hidden="1">#REF!</definedName>
    <definedName name="___xlfn.RTD" hidden="1">#NAME?</definedName>
    <definedName name="__123Graph_A" hidden="1">'[1]WO CONV'!$GX$33:$GX$58</definedName>
    <definedName name="__123Graph_AGRAPH1" hidden="1">#REF!</definedName>
    <definedName name="__123Graph_AGRAPH11" hidden="1">#REF!</definedName>
    <definedName name="__123Graph_AGRAPH12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B" hidden="1">'[1]WO CONV'!$GY$33:$GY$58</definedName>
    <definedName name="__123Graph_BGRAPH1" hidden="1">#REF!</definedName>
    <definedName name="__123Graph_BGRAPH11" hidden="1">#REF!</definedName>
    <definedName name="__123Graph_BGRAPH7" hidden="1">#REF!</definedName>
    <definedName name="__123Graph_C" hidden="1">'[1]WO CONV'!$GZ$33:$GZ$58</definedName>
    <definedName name="__123Graph_D" hidden="1">'[1]WO CONV'!$HA$33:$HA$58</definedName>
    <definedName name="__123Graph_E" hidden="1">'[1]WO CONV'!$HB$33:$HB$58</definedName>
    <definedName name="__123Graph_F" hidden="1">'[1]WO CONV'!$HC$33:$HC$58</definedName>
    <definedName name="__123Graph_LBL_AGRAPH1" hidden="1">#REF!</definedName>
    <definedName name="__123Graph_LBL_AGRAPH11" hidden="1">#REF!</definedName>
    <definedName name="__123Graph_LBL_AGRAPH6" hidden="1">#REF!</definedName>
    <definedName name="__123Graph_LBL_AGRAPH8" hidden="1">#REF!</definedName>
    <definedName name="__123Graph_LBL_AGRAPH9" hidden="1">#REF!</definedName>
    <definedName name="__123Graph_X" hidden="1">'[2]OTR.CRED.'!#REF!</definedName>
    <definedName name="__123Graph_XGRAPH12" hidden="1">#REF!</definedName>
    <definedName name="__123Graph_XGRAPH7" hidden="1">#REF!</definedName>
    <definedName name="__123Graph_XGRAPH9" hidden="1">#REF!</definedName>
    <definedName name="__bookmark_1">'[3]9.23库存'!#REF!</definedName>
    <definedName name="__bookmark_2">'[3]9.23库存'!$A$1:$Q$41,'[3]9.23库存'!$A$42:$Q$81,'[3]9.23库存'!$A$82:$Q$121,'[3]9.23库存'!$A$122:$Q$161,'[3]9.23库存'!$A$162:$Q$201,'[3]9.23库存'!$A$202:$Q$241,'[3]9.23库存'!$A$242:$Q$281,'[3]9.23库存'!$A$282:$Q$321,'[3]9.23库存'!$A$322:$Q$361,'[3]9.23库存'!$A$362:$Q$401,'[3]9.23库存'!$A$402:$Q$441,'[3]9.23库存'!$A$442:$Q$481,'[3]9.23库存'!$A$482:$Q$521,'[3]9.23库存'!$A$522:$Q$561,'[3]9.23库存'!$A$562:$Q$601,'[3]9.23库存'!$A$602:$Q$641,'[3]9.23库存'!$A$642:$Q$681,'[3]9.23库存'!$A$682:$Q$721,'[3]9.23库存'!$A$722:$Q$761,'[3]9.23库存'!$A$762:$Q$801,'[3]9.23库存'!$A$802:$Q$841,'[3]9.23库存'!$A$842:$Q$881,'[3]9.23库存'!$A$882:$Q$921,'[3]9.23库存'!$A$922:$Q$961,'[3]9.23库存'!$A$962:$Q$1001,'[3]9.23库存'!$A$1002:$Q$1041,'[3]9.23库存'!$A$1042:$Q$1081,'[3]9.23库存'!$A$1082:$Q$1121,'[3]9.23库存'!$A$1122:$Q$1161,'[3]9.23库存'!$A$1162:$Q$1201,'[3]9.23库存'!$A$1202:$Q$1241,'[3]9.23库存'!$A$1242:$Q$1281,'[3]9.23库存'!$A$1282:$Q$1321,'[3]9.23库存'!$A$1322:$Q$1361,'[3]9.23库存'!$A$1362:$Q$1401,'[3]9.23库存'!$A$1402:$Q$1441,'[3]9.23库存'!$A$1442:$Q$1481,'[3]9.23库存'!$A$1482:$Q$1521,'[3]9.23库存'!$A$1522:$Q$1561,'[3]9.23库存'!$A$1562:$Q$1601,'[3]9.23库存'!$A$1602:$Q$1641,'[3]9.23库存'!$A$1642:$Q$1681,'[3]9.23库存'!$A$1682:$Q$1721,'[3]9.23库存'!$A$1722:$Q$1761,'[3]9.23库存'!$A$1762:$Q$1801,'[3]9.23库存'!$A$1802:$Q$1841,'[3]9.23库存'!$A$1842:$Q$1881,'[3]9.23库存'!$A$1882:$Q$1921,'[3]9.23库存'!$A$1922:$Q$1961,'[3]9.23库存'!$A$1962:$Q$2001,'[3]9.23库存'!$A$2002:$Q$2041,'[3]9.23库存'!$A$2042:$Q$2081,'[3]9.23库存'!$A$2082:$Q$2121,'[3]9.23库存'!$A$2122:$Q$2161,'[3]9.23库存'!$A$2162:$Q$2201,'[3]9.23库存'!$A$2202:$Q$2241,'[3]9.23库存'!$A$2242:$Q$2281,'[3]9.23库存'!$A$2282:$Q$2321,'[3]9.23库存'!$A$2322:$Q$2361,'[3]9.23库存'!$A$2362:$Q$2401,'[3]9.23库存'!$A$2402:$Q$2441,'[3]9.23库存'!$A$2442:$Q$2481,'[3]9.23库存'!$A$2482:$Q$2521,'[3]9.23库存'!$A$2522:$Q$2561,'[3]9.23库存'!$A$2562:$Q$2601,'[3]9.23库存'!$A$2602:$Q$2641,'[3]9.23库存'!$A$2642:$Q$2681,'[3]9.23库存'!$A$2682:$Q$2721,'[3]9.23库存'!$A$2722:$Q$2761,'[3]9.23库存'!$A$2762:$Q$2801,'[3]9.23库存'!$A$2802:$Q$2841,'[3]9.23库存'!$A$2842:$Q$2881,'[3]9.23库存'!$A$2882:$Q$2921,'[3]9.23库存'!$A$2922:$Q$2961,'[3]9.23库存'!$A$2962:$Q$3001,'[3]9.23库存'!$A$3002:$Q$3041,'[3]9.23库存'!$A$3042:$Q$3081,'[3]9.23库存'!$A$3082:$Q$3121,'[3]9.23库存'!$A$3122:$Q$3161,'[3]9.23库存'!$A$3162:$Q$3201,'[3]9.23库存'!$A$3202:$Q$3241,'[3]9.23库存'!$A$3242:$Q$3281,'[3]9.23库存'!$A$3282:$Q$3321,'[3]9.23库存'!$A$3322:$Q$3361,'[3]9.23库存'!$A$3362:$Q$3391</definedName>
    <definedName name="__ddf6" hidden="1">{"'Matrix'!$A$3:$J$47"}</definedName>
    <definedName name="__IntlFixup" hidden="1">TRUE</definedName>
    <definedName name="__KE8" hidden="1">#REF!</definedName>
    <definedName name="__key11" hidden="1">#REF!</definedName>
    <definedName name="__key12" hidden="1">#REF!</definedName>
    <definedName name="__KEY123" hidden="1">#REF!</definedName>
    <definedName name="__key2" hidden="1">#REF!</definedName>
    <definedName name="__KEY3" hidden="1">#REF!</definedName>
    <definedName name="__KEY4" hidden="1">#REF!</definedName>
    <definedName name="__KEY5" hidden="1">#REF!</definedName>
    <definedName name="__key55" hidden="1">#REF!</definedName>
    <definedName name="__KEY6" hidden="1">#REF!</definedName>
    <definedName name="__key66" hidden="1">#REF!</definedName>
    <definedName name="__KEY7" hidden="1">#REF!</definedName>
    <definedName name="__key8" hidden="1">#REF!</definedName>
    <definedName name="__key9" hidden="1">#REF!</definedName>
    <definedName name="__KEY90" hidden="1">#REF!</definedName>
    <definedName name="__kry6" hidden="1">#REF!</definedName>
    <definedName name="__ky2" hidden="1">#REF!</definedName>
    <definedName name="__lg1">#REF!</definedName>
    <definedName name="__lg2">#REF!</definedName>
    <definedName name="__xlfn.IFERROR" hidden="1">#NAME?</definedName>
    <definedName name="__xlfn.RTD" hidden="1">#NAME?</definedName>
    <definedName name="_111111">#REF!</definedName>
    <definedName name="_1212" hidden="1">{"'毛利比较'!$A$4:$P$26"}</definedName>
    <definedName name="_ddf6" hidden="1">{"'Matrix'!$A$3:$J$47"}</definedName>
    <definedName name="_Dist_Bin" hidden="1">#REF!</definedName>
    <definedName name="_Dist_Values" hidden="1">#REF!</definedName>
    <definedName name="_Fill" hidden="1">#REF!</definedName>
    <definedName name="_xlnm._FilterDatabase" localSheetId="20" hidden="1">'channel Mapping'!$A$1:$E$28</definedName>
    <definedName name="_xlnm._FilterDatabase" localSheetId="19" hidden="1">dtc_channel源!$A$3:$K$232</definedName>
    <definedName name="_xlnm._FilterDatabase" localSheetId="4" hidden="1">PFS_流量呈现!$B$12:$P$26</definedName>
    <definedName name="_xlnm._FilterDatabase" localSheetId="9" hidden="1">二级流量源!$A$1:$R$6476</definedName>
    <definedName name="_xlnm._FilterDatabase" localSheetId="16" hidden="1">公众号!$B$2:$L$62</definedName>
    <definedName name="_xlnm._FilterDatabase" localSheetId="17" hidden="1">会员源!$A$1:$H$2</definedName>
    <definedName name="_xlnm._FilterDatabase" localSheetId="6" hidden="1">竞店流量summary!#REF!</definedName>
    <definedName name="_xlnm._FilterDatabase" localSheetId="12" hidden="1">竞店一级数据源!$A$1:$I$55</definedName>
    <definedName name="_xlnm._FilterDatabase" localSheetId="11" hidden="1">其他猜你喜欢源!$A$1:$AG$7</definedName>
    <definedName name="_xlnm._FilterDatabase" localSheetId="10" hidden="1">三级流量源!$A$1:$T$4948</definedName>
    <definedName name="_xlnm._FilterDatabase" localSheetId="8" hidden="1">一级流量源!$A$1:$Q$229</definedName>
    <definedName name="_xlnm._FilterDatabase" hidden="1">#REF!</definedName>
    <definedName name="_FilterDatabase2" hidden="1">[4]DATOS!$A$4:$FM$326</definedName>
    <definedName name="_KE8" hidden="1">#REF!</definedName>
    <definedName name="_Key1" hidden="1">#REF!</definedName>
    <definedName name="_key11" hidden="1">#REF!</definedName>
    <definedName name="_key12" hidden="1">#REF!</definedName>
    <definedName name="_KEY123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55" hidden="1">#REF!</definedName>
    <definedName name="_KEY6" hidden="1">#REF!</definedName>
    <definedName name="_key66" hidden="1">#REF!</definedName>
    <definedName name="_KEY7" hidden="1">#REF!</definedName>
    <definedName name="_key8" hidden="1">#REF!</definedName>
    <definedName name="_key9" hidden="1">#REF!</definedName>
    <definedName name="_KEY90" hidden="1">#REF!</definedName>
    <definedName name="_kry6" hidden="1">#REF!</definedName>
    <definedName name="_ky2" hidden="1">#REF!</definedName>
    <definedName name="_lg1">#REF!</definedName>
    <definedName name="_lg2">#REF!</definedName>
    <definedName name="_Order1" hidden="1">0</definedName>
    <definedName name="_Order2" hidden="1">255</definedName>
    <definedName name="_OurSort" hidden="1">#REF!</definedName>
    <definedName name="_Regression_X" hidden="1">#REF!</definedName>
    <definedName name="_Sort" hidden="1">#REF!</definedName>
    <definedName name="_Table1_In1" hidden="1">#REF!</definedName>
    <definedName name="_Table1_Out" hidden="1">#REF!</definedName>
    <definedName name="_xlcn.LinkedTable_表5_23" hidden="1">[5]日期表!$D$2:$D$23</definedName>
    <definedName name="_xlcn.LinkedTable_表5_231" hidden="1">[6]日期表!$D$2:$D$23</definedName>
    <definedName name="_xlcn.WorksheetConnection_DBA2R694021" hidden="1">[7]DB!$A$2:$R$49273</definedName>
    <definedName name="_xlcn.WorksheetConnection_购物金充值明细A1I4121" hidden="1">[8]购物金充值明细!$A$1:$I$412</definedName>
    <definedName name="_xlcn.WorksheetConnection_购物金充值明细A1J3431" hidden="1">[8]购物金充值明细!$A$1:$I$343</definedName>
    <definedName name="_xlcn.WorksheetConnection_购物金充值明细AAJ1" hidden="1">[8]购物金充值明细!$A:$I</definedName>
    <definedName name="_xlcn.WorksheetConnection_毛衣女A1B261" hidden="1">[9]毛衣女!$B$1:$C$26</definedName>
    <definedName name="_xlcn.WorksheetConnection_毛衣女A1C761" hidden="1">[9]毛衣女!$A$1:$C$76</definedName>
    <definedName name="_xlcn.WorksheetConnection_毛衣女A1D761" hidden="1">[9]毛衣女!$A$1:$D$76</definedName>
    <definedName name="_xlcn.WorksheetConnection_商品数据汇总A1L84601" hidden="1">[10]商品数据汇总!$A$1:$L$8495</definedName>
    <definedName name="_xlcn.WorksheetConnection_商品数据汇总A1M84601" hidden="1">[11]商品数据汇总!$A$1:$M$9422</definedName>
    <definedName name="_xlcn.WorksheetConnection_商品数据汇总A1M88621" hidden="1">[11]商品数据汇总!$A$1:$M$9489</definedName>
    <definedName name="_xlcn.WorksheetConnection_商品数据汇总A1M88741" hidden="1">[11]商品数据汇总!$A$1:$M$9491</definedName>
    <definedName name="_xlcn.WorksheetConnection_商品数据汇总AL4" hidden="1">[10]商品数据汇总!$A:$L</definedName>
    <definedName name="_xlcn.WorksheetConnection_商品数据汇总AL5" hidden="1">[10]商品数据汇总!$A:$L</definedName>
    <definedName name="_xlcn.WorksheetConnection_商品数据汇总AL6" hidden="1">[12]商品数据汇总!$A:$L</definedName>
    <definedName name="_xlcn.WorksheetConnection_商品数据汇总AL61" hidden="1">[10]商品数据汇总!$A:$L</definedName>
    <definedName name="_xlcn.WorksheetConnection_商品数据汇总AM1" hidden="1">[11]商品数据汇总!$A:$M</definedName>
    <definedName name="_xlcn.WorksheetConnection_商品数据汇总AM11" hidden="1">[11]商品数据汇总!$A:$M</definedName>
    <definedName name="_xlcn.WorksheetConnection_数据源AM1" hidden="1">[13]数据源!$A:$M</definedName>
    <definedName name="_xlcn.WorksheetConnection_新建XLSX工作表2.xlsx表1" localSheetId="19" hidden="1">[14]!表1</definedName>
    <definedName name="_xlcn.WorksheetConnection_新建XLSX工作表2.xlsx表1" localSheetId="2" hidden="1">[14]!表1</definedName>
    <definedName name="_xlcn.WorksheetConnection_新建XLSX工作表2.xlsx表1" hidden="1">[14]!表1</definedName>
    <definedName name="_xlcn.WorksheetConnection_新建XLSX工作表2.xlsx表11" localSheetId="19" hidden="1">[14]!表1</definedName>
    <definedName name="_xlcn.WorksheetConnection_新建XLSX工作表2.xlsx表11" localSheetId="2" hidden="1">[14]!表1</definedName>
    <definedName name="_xlcn.WorksheetConnection_新建XLSX工作表2.xlsx表11" hidden="1">[14]!表1</definedName>
    <definedName name="_xlcn.WorksheetConnection_行业关键词B2C31" hidden="1">#REF!</definedName>
    <definedName name="【9月】">#REF!</definedName>
    <definedName name="【9月】活动规划">#REF!</definedName>
    <definedName name="·">#REF!</definedName>
    <definedName name="·111">OFFSET(#REF!,0,1,#REF!,1)</definedName>
    <definedName name="a">#REF!</definedName>
    <definedName name="AA">#REF!</definedName>
    <definedName name="aaaa">#REF!</definedName>
    <definedName name="AAAAAAAAAA">[15]Template!#REF!</definedName>
    <definedName name="ABC" hidden="1">#N/A</definedName>
    <definedName name="Action">[16]OR!$CJ$417:$CJ$436</definedName>
    <definedName name="Actual">[17]微淘双11规划!A$5=MEDIAN([17]微淘双11规划!A$5,[17]微淘双11规划!$F1,[17]微淘双11规划!$G1)*([17]微淘双11规划!$F1&lt;&gt;0)*([17]微淘双11规划!$G1&lt;&gt;0)</definedName>
    <definedName name="ACTUAL_PLAN">[18]RANGES!$F$5:$F$6</definedName>
    <definedName name="ACwvu.steve." hidden="1">#REF!</definedName>
    <definedName name="Advance">[17]微淘双11规划!A$5=([17]微淘双11规划!$F1&lt;[17]微淘双11规划!$D1)*MEDIAN([17]微淘双11规划!A$5,[17]微淘双11规划!$F1,([17]微淘双11规划!$D1-1))*([17]微淘双11规划!$F1&lt;&gt;0)*([17]微淘双11规划!$G1&lt;&gt;0)</definedName>
    <definedName name="af" hidden="1">#REF!</definedName>
    <definedName name="again">#REF!</definedName>
    <definedName name="Agency">#REF!</definedName>
    <definedName name="agency1">#REF!</definedName>
    <definedName name="agency2">#REF!</definedName>
    <definedName name="AgencyCommission">#REF!</definedName>
    <definedName name="alex">#REF!</definedName>
    <definedName name="ALL">#REF!</definedName>
    <definedName name="allo" hidden="1">#REF!</definedName>
    <definedName name="anscount" hidden="1">1</definedName>
    <definedName name="app">#REF!</definedName>
    <definedName name="as" hidden="1">{"'毛利比较'!$A$4:$P$26"}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">[19]Spotplan!#REF!</definedName>
    <definedName name="Asiadiscontinued">#REF!</definedName>
    <definedName name="ass">#REF!</definedName>
    <definedName name="august">#REF!</definedName>
    <definedName name="august2">#REF!</definedName>
    <definedName name="b">#REF!</definedName>
    <definedName name="BaseCost">#REF!</definedName>
    <definedName name="BaseRate">[20]Template!#REF!</definedName>
    <definedName name="bb">#REF!</definedName>
    <definedName name="Beg_Bal">#REF!</definedName>
    <definedName name="Benelux">#REF!</definedName>
    <definedName name="BG_Del" hidden="1">15</definedName>
    <definedName name="BG_Ins" hidden="1">4</definedName>
    <definedName name="BG_Mod" hidden="1">6</definedName>
    <definedName name="BillingSource">#REF!</definedName>
    <definedName name="BillingSourceList">[21]Lists!$F$1:$F$4</definedName>
    <definedName name="BillingSourceList2">[22]Lists!$F$1:$F$4</definedName>
    <definedName name="blush">#REF!</definedName>
    <definedName name="BNM">#REF!</definedName>
    <definedName name="BNMm">#REF!</definedName>
    <definedName name="BOM_Options">#REF!</definedName>
    <definedName name="BooleanList">[21]Lists!$D$1:$D$2</definedName>
    <definedName name="BooleanList2">[22]Lists!$D$1:$D$2</definedName>
    <definedName name="Borders">[23]hide!$F$2:$F$3</definedName>
    <definedName name="Brand">#REF!</definedName>
    <definedName name="brush">#REF!</definedName>
    <definedName name="BuyTypeList">[21]Lists!$A$1:$A$6</definedName>
    <definedName name="BuyTypeList2">[22]Lists!$A$1:$A$6</definedName>
    <definedName name="BYD">#REF!</definedName>
    <definedName name="candy">#REF!</definedName>
    <definedName name="cannib">#REF!</definedName>
    <definedName name="CAPEX98" hidden="1">[24]FINALPHP!$G$27</definedName>
    <definedName name="CCB">#REF!</definedName>
    <definedName name="CDH" hidden="1">#REF!</definedName>
    <definedName name="ceca">[25]Sheet1!$A$1:$H$65536</definedName>
    <definedName name="Channels">#REF!</definedName>
    <definedName name="CHARTCLASSIFICATION" hidden="1">[24]FINALPHP!$G$27</definedName>
    <definedName name="CHRTCLASS2" hidden="1">[24]FINALPHP!$G$27</definedName>
    <definedName name="CN">#REF!</definedName>
    <definedName name="code">#REF!</definedName>
    <definedName name="code_filter">#REF!</definedName>
    <definedName name="code_value">#REF!</definedName>
    <definedName name="col">#REF!</definedName>
    <definedName name="col_filter">#REF!</definedName>
    <definedName name="col_value">#REF!</definedName>
    <definedName name="COMPANY">[18]RANGES!$E$5</definedName>
    <definedName name="COMPANY_NAME">[18]Home!$E$2</definedName>
    <definedName name="COST_SORT">'[18]Dashboard data'!$F$70:$H$99</definedName>
    <definedName name="CreativeType">[21]Lists!$E$1:$E$9</definedName>
    <definedName name="_xlnm.Criteria" hidden="1">#REF!</definedName>
    <definedName name="Cum_Int">#REF!</definedName>
    <definedName name="CY">[18]RANGES!$G$6</definedName>
    <definedName name="CY_COST">'[18]P&amp;L (CY Act)'!$B$39:$T$69</definedName>
    <definedName name="CY_EXPENSE">'[18]P&amp;L (CY Act)'!$B$73:$T$103</definedName>
    <definedName name="CY_PROFIT">'[18]P&amp;L (CY Act)'!$B$106:$T$106</definedName>
    <definedName name="CY_SALES">'[18]P&amp;L (CY Act)'!$B$5:$T$35</definedName>
    <definedName name="d">[26]Lists!$G$1:$G$2</definedName>
    <definedName name="D11内容规划">#REF!</definedName>
    <definedName name="Data">#REF!</definedName>
    <definedName name="data_filter">#REF!</definedName>
    <definedName name="data_value">#REF!</definedName>
    <definedName name="data1" hidden="1">#REF!</definedName>
    <definedName name="data2">CHOOSE([27]分析明细!$B$15,OFFSET([27]分析明细!$B$2:$M$2,[27]分析明细!$B$16,),OFFSET([27]分析明细!$A$3:$A$9,,[27]分析明细!$B$16))</definedName>
    <definedName name="data3" hidden="1">#REF!</definedName>
    <definedName name="_xlnm.Database">#REF!</definedName>
    <definedName name="date">OFFSET(#REF!,1,0,COUNTA(#REF!),1)</definedName>
    <definedName name="DB_PERIOD">[18]RANGES!$L$5</definedName>
    <definedName name="DB_TITLE">[18]RANGES!$O$5</definedName>
    <definedName name="DB_YEAR">[18]RANGES!$N$5</definedName>
    <definedName name="DB_YEARS">[18]RANGES!$M$5:$M$6</definedName>
    <definedName name="ddd">#REF!</definedName>
    <definedName name="Delay">[17]微淘双11规划!A$5=([17]微淘双11规划!$G1&gt;[17]微淘双11规划!$E1)*(MEDIAN([17]微淘双11规划!A$5,([17]微淘双11规划!$E1+1),[17]微淘双11规划!$G1))</definedName>
    <definedName name="delete">#REF!</definedName>
    <definedName name="dfd">#REF!</definedName>
    <definedName name="dfgsh" hidden="1">{"'Matrix'!$A$3:$J$47"}</definedName>
    <definedName name="dg">#REF!</definedName>
    <definedName name="dial">#REF!</definedName>
    <definedName name="discontinued">#REF!</definedName>
    <definedName name="Discount" hidden="1">#REF!</definedName>
    <definedName name="DiscountBaseList">[21]Lists!$G$1:$G$2</definedName>
    <definedName name="display_area_2" hidden="1">#REF!</definedName>
    <definedName name="Display_Week">#REF!</definedName>
    <definedName name="DomainGM">#REF!</definedName>
    <definedName name="Domains">#REF!</definedName>
    <definedName name="DPDist">#REF!</definedName>
    <definedName name="e" hidden="1">#REF!</definedName>
    <definedName name="ece">#REF!</definedName>
    <definedName name="ee">OFFSET([28]Lists!$H$1,0,0,COUNTA([28]Lists!$H:$H),1)</definedName>
    <definedName name="EL">#REF!</definedName>
    <definedName name="Elective">#REF!</definedName>
    <definedName name="end">#REF!</definedName>
    <definedName name="End_Bal">#REF!</definedName>
    <definedName name="EstAcqs">#REF!</definedName>
    <definedName name="EstClicks">#REF!</definedName>
    <definedName name="EstCTR">#REF!</definedName>
    <definedName name="EstCVR">#REF!</definedName>
    <definedName name="EstImpressions">#REF!</definedName>
    <definedName name="exchangerate">#REF!</definedName>
    <definedName name="EXPENSE_SORT">'[18]Dashboard data'!$J$70:$L$99</definedName>
    <definedName name="ExternalData_1" localSheetId="3" hidden="1">全店核心数据_bymonth!$A$1:$AN$46</definedName>
    <definedName name="ExternalData_2" localSheetId="0" hidden="1">目标表!$A$1:$V$1678</definedName>
    <definedName name="Extra_Pay">#REF!</definedName>
    <definedName name="FCDist">#REF!</definedName>
    <definedName name="FCode" hidden="1">#REF!</definedName>
    <definedName name="fcr">OFFSET(#REF!,1,0,COUNTA(#REF!),1)</definedName>
    <definedName name="fdsaf">#REF!</definedName>
    <definedName name="ffff" hidden="1">{"'毛利比较'!$A$4:$P$26"}</definedName>
    <definedName name="fgdfgd" hidden="1">{"'Matrix'!$A$3:$J$47"}</definedName>
    <definedName name="fmedia">OFFSET(#REF!,1,0,COUNTA(#REF!),1)</definedName>
    <definedName name="FORE">#REF!</definedName>
    <definedName name="France">#REF!</definedName>
    <definedName name="froi">OFFSET(#REF!,1,0,COUNTA(#REF!),1)</definedName>
    <definedName name="fsales">OFFSET(#REF!,1,0,COUNTA(#REF!),1)</definedName>
    <definedName name="ftraffic">OFFSET(#REF!,1,0,COUNTA(#REF!),1)</definedName>
    <definedName name="full">#REF!</definedName>
    <definedName name="Full_Print">#REF!</definedName>
    <definedName name="funny">#REF!</definedName>
    <definedName name="geddy">#REF!</definedName>
    <definedName name="Germany">#REF!</definedName>
    <definedName name="GMV数据源">OFFSET([29]二级类目GMV数据源!$A$1,0,0,COUNTA([29]二级类目GMV数据源!$A:$A),12)</definedName>
    <definedName name="Greece">#REF!</definedName>
    <definedName name="GridDate">[30]Spotplan!#REF!</definedName>
    <definedName name="h" hidden="1">#REF!</definedName>
    <definedName name="Header_Row">ROW(#REF!)</definedName>
    <definedName name="hello">#REF!</definedName>
    <definedName name="hgjfjfjjtyj" hidden="1">{"'Matrix'!$A$3:$J$47"}</definedName>
    <definedName name="HiddenRows" hidden="1">#REF!</definedName>
    <definedName name="hihi">#REF!</definedName>
    <definedName name="history">#REF!</definedName>
    <definedName name="hkadd">#REF!</definedName>
    <definedName name="HOME_SPACE">#REF!,#REF!,#REF!,#REF!,#REF!,#REF!,#REF!</definedName>
    <definedName name="hqbb">#REF!</definedName>
    <definedName name="hqbbb">#REF!</definedName>
    <definedName name="HTML_CodePage" hidden="1">936</definedName>
    <definedName name="HTML_Control" hidden="1">{"'毛利比较'!$A$4:$P$26"}</definedName>
    <definedName name="HTML_Description" hidden="1">""</definedName>
    <definedName name="HTML_Email" hidden="1">""</definedName>
    <definedName name="HTML_Header" hidden="1">"毛利比较"</definedName>
    <definedName name="HTML_LastUpdate" hidden="1">"02-1-4"</definedName>
    <definedName name="HTML_LineAfter" hidden="1">FALSE</definedName>
    <definedName name="HTML_LineBefore" hidden="1">FALSE</definedName>
    <definedName name="HTML_Name" hidden="1">"dyckb"</definedName>
    <definedName name="HTML_OBDlg2" hidden="1">TRUE</definedName>
    <definedName name="HTML_OBDlg4" hidden="1">TRUE</definedName>
    <definedName name="HTML_OS" hidden="1">0</definedName>
    <definedName name="HTML_PathFile" hidden="1">"\\Dyckb002\c\刘凌2001\月会报告\MyHTML.htm"</definedName>
    <definedName name="HTML_Title" hidden="1">"2001-12月报-1"</definedName>
    <definedName name="hujpo">#REF!</definedName>
    <definedName name="Hungary">#REF!</definedName>
    <definedName name="Int">#REF!</definedName>
    <definedName name="interest">#REF!</definedName>
    <definedName name="Interest_Rate">#REF!</definedName>
    <definedName name="inthousand">'[31]DATA-USD'!$W$5</definedName>
    <definedName name="INTLProdLine">#REF!</definedName>
    <definedName name="IntroPrintArea" hidden="1">#REF!</definedName>
    <definedName name="invrec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XCL_SBC" hidden="1">"c3081"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PAYOUT_RATIO" hidden="1">"c3492"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39560.4309027778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Z_SCORE" hidden="1">"c1339"</definedName>
    <definedName name="Israel">#REF!</definedName>
    <definedName name="Italy">#REF!</definedName>
    <definedName name="IUhi">#REF!</definedName>
    <definedName name="IU个六">#REF!</definedName>
    <definedName name="ization">#REF!</definedName>
    <definedName name="jjj" hidden="1">#REF!</definedName>
    <definedName name="JOE">#REF!</definedName>
    <definedName name="JSJ" hidden="1">{"'毛利比较'!$A$4:$P$26"}</definedName>
    <definedName name="julie" hidden="1">#REF!</definedName>
    <definedName name="july">#REF!</definedName>
    <definedName name="julyb">#REF!</definedName>
    <definedName name="k" hidden="1">#REF!</definedName>
    <definedName name="KEYY" hidden="1">#REF!</definedName>
    <definedName name="kk" hidden="1">#REF!</definedName>
    <definedName name="la">#N/A</definedName>
    <definedName name="lan">#REF!</definedName>
    <definedName name="Last_Row">IF(Values_Entered,Header_Row+Number_of_Payments,Header_Row)</definedName>
    <definedName name="Last_Row1" localSheetId="19">IF([32]!Values_Entered,[0]!Header_Row+[32]!Number_of_Payments,[0]!Header_Row)</definedName>
    <definedName name="Last_Row1" localSheetId="2">IF([32]!Values_Entered,[0]!Header_Row+[32]!Number_of_Payments,[0]!Header_Row)</definedName>
    <definedName name="Last_Row1">IF([32]!Values_Entered,Header_Row+[32]!Number_of_Payments,Header_Row)</definedName>
    <definedName name="last1">#N/A</definedName>
    <definedName name="lauder">#REF!</definedName>
    <definedName name="LAUNCH_DATA">#REF!</definedName>
    <definedName name="LaunchType">#REF!</definedName>
    <definedName name="lg">#REF!</definedName>
    <definedName name="LILLIAN" hidden="1">{"'Matrix'!$A$3:$J$47"}</definedName>
    <definedName name="lips">#REF!</definedName>
    <definedName name="LIST">CHOOSE([33]分析明细!$B$15,[33]分析明细!$A$3:$A$9,[33]分析明细!$A$17:$A$28)</definedName>
    <definedName name="lkj" hidden="1">{"'毛利比较'!$A$4:$P$26"}</definedName>
    <definedName name="llll">#REF!</definedName>
    <definedName name="llllll">#REF!</definedName>
    <definedName name="loan">#REF!</definedName>
    <definedName name="Loan_Amount">#REF!</definedName>
    <definedName name="Loan_Start">#REF!</definedName>
    <definedName name="Loan_Years">#REF!</definedName>
    <definedName name="ma">#REF!</definedName>
    <definedName name="marco">#REF!</definedName>
    <definedName name="Market">#REF!</definedName>
    <definedName name="MEDist">#REF!</definedName>
    <definedName name="memo">#REF!</definedName>
    <definedName name="MobileOrders">'[34]Mobile Data'!$G:$G</definedName>
    <definedName name="MobileSales">'[34]Mobile Data'!$H:$H</definedName>
    <definedName name="MobileSessions">'[34]Mobile Data'!$E:$E</definedName>
    <definedName name="MONTHS">[18]RANGES!$B$5:$B$16</definedName>
    <definedName name="MPDist">#REF!</definedName>
    <definedName name="MTH">[18]RANGES!$C$5:$C$16</definedName>
    <definedName name="MUBIAO">[35]Template!#REF!</definedName>
    <definedName name="NAProdLine">#REF!</definedName>
    <definedName name="NativeTimeline_付款日期">#N/A</definedName>
    <definedName name="new">#REF!</definedName>
    <definedName name="newbrush">#REF!</definedName>
    <definedName name="neww">#REF!</definedName>
    <definedName name="no">#REF!</definedName>
    <definedName name="noe">#REF!</definedName>
    <definedName name="nord">#REF!</definedName>
    <definedName name="nord2">#REF!</definedName>
    <definedName name="Nordic">#REF!</definedName>
    <definedName name="num" localSheetId="19">MATCH(0.01,[36]!End_Bal,-1)+1</definedName>
    <definedName name="num" localSheetId="2">MATCH(0.01,[36]!End_Bal,-1)+1</definedName>
    <definedName name="num">MATCH(0.01,[36]!End_Bal,-1)+1</definedName>
    <definedName name="Num_Pmt_Per_Year">#REF!</definedName>
    <definedName name="number" localSheetId="19">MATCH(0.01,[36]!End_Bal,-1)+1</definedName>
    <definedName name="number" localSheetId="2">MATCH(0.01,[36]!End_Bal,-1)+1</definedName>
    <definedName name="number">MATCH(0.01,[36]!End_Bal,-1)+1</definedName>
    <definedName name="Number_of_Payments">MATCH(0.01,End_Bal,-1)+1</definedName>
    <definedName name="od" hidden="1">#REF!</definedName>
    <definedName name="ohzqr" hidden="1">{"'Matrix'!$A$3:$J$47"}</definedName>
    <definedName name="ojqdo" hidden="1">{"'Matrix'!$A$3:$J$47"}</definedName>
    <definedName name="OKOK" hidden="1">#REF!</definedName>
    <definedName name="OptionII" hidden="1">{"'毛利比较'!$A$4:$P$26"}</definedName>
    <definedName name="OrderTable" hidden="1">#REF!</definedName>
    <definedName name="outlet">#REF!</definedName>
    <definedName name="over">#REF!</definedName>
    <definedName name="Pay">#REF!</definedName>
    <definedName name="Pay_Date">#REF!</definedName>
    <definedName name="Pay_Num">#REF!</definedName>
    <definedName name="Payment_Date" localSheetId="19">DATE(YEAR([0]!Loan_Start),MONTH([0]!Loan_Start)+Payment_Number,DAY([0]!Loan_Start))</definedName>
    <definedName name="Payment_Date" localSheetId="2">DATE(YEAR([0]!Loan_Start),MONTH([0]!Loan_Start)+Payment_Number,DAY([0]!Loan_Start))</definedName>
    <definedName name="Payment_Date">DATE(YEAR(Loan_Start),MONTH(Loan_Start)+Payment_Number,DAY(Loan_Start))</definedName>
    <definedName name="payments">MATCH(0.01,end,-1)+1</definedName>
    <definedName name="payNUB">#REF!</definedName>
    <definedName name="PDDist">#REF!</definedName>
    <definedName name="Percent">[17]微淘双11规划!A$5=([17]微淘双11规划!$F1&gt;[17]微淘双11规划!$D1)*MEDIAN([17]微淘双11规划!A$5,[17]微淘双11规划!$F1,([17]微淘双11规划!$F1+INT(([17]微淘双11规划!$E1-[17]微淘双11规划!$D1)*[17]微淘双11规划!$H1)))</definedName>
    <definedName name="PercentEarlier">[17]微淘双11规划!A$5=([17]微淘双11规划!$G1=0)*([17]微淘双11规划!$F1&lt;&gt;0)*([17]微淘双11规划!$F1&lt;[17]微淘双11规划!$D1)*MEDIAN([17]微淘双11规划!A$5,[17]微淘双11规划!$F1,[17]微淘双11规划!$D1-1)</definedName>
    <definedName name="PercentLater">[17]微淘双11规划!A$5=([17]微淘双11规划!$G1=0)*([17]微淘双11规划!$F1&lt;&gt;0)*((([17]微淘双11规划!$F1+([17]微淘双11规划!$E1-[17]微淘双11规划!$D1)*[17]微淘双11规划!$H1)&gt;[17]微淘双11规划!$D1)*MEDIAN([17]微淘双11规划!A$5,[17]微淘双11规划!$D1,([17]微淘双11规划!$F1+([17]微淘双11规划!$E1-[17]微淘双11规划!$D1)*[17]微淘双11规划!$H1)))</definedName>
    <definedName name="PERIOD">[18]RANGES!$D$5:$D$21</definedName>
    <definedName name="PERIOD_COMPARE">[18]RANGES!$I$6</definedName>
    <definedName name="PERIOD_COMPARE_COLUMN">[18]RANGES!$I$5</definedName>
    <definedName name="Plan">[17]微淘双11规划!A$5=MEDIAN([17]微淘双11规划!A$5,[17]微淘双11规划!$D1,[17]微淘双11规划!$E1)</definedName>
    <definedName name="PLAN_COST">'[18]P&amp;L (CY Plan)'!$B$39:$T$69</definedName>
    <definedName name="PLAN_EXPENSE">'[18]P&amp;L (CY Plan)'!$B$73:$T$103</definedName>
    <definedName name="PLAN_PROFIT">'[18]P&amp;L (CY Plan)'!$B$106:$T$106</definedName>
    <definedName name="PLAN_SALES">'[18]P&amp;L (CY Plan)'!$B$5:$T$35</definedName>
    <definedName name="PlanNative">'[37]PLAN NATIVE-FY02'!$A$1:$IV$65536</definedName>
    <definedName name="POGR" hidden="1">#REF!</definedName>
    <definedName name="POSH">#REF!</definedName>
    <definedName name="pppp">#REF!</definedName>
    <definedName name="pppq">#REF!</definedName>
    <definedName name="Princ">#REF!</definedName>
    <definedName name="Print_Area_MI">#REF!</definedName>
    <definedName name="Print_Area_Reset">OFFSET(Full_Print,0,0,Last_Row)</definedName>
    <definedName name="_xlnm.Print_Titles">#N/A</definedName>
    <definedName name="Print_Titles_MI">#REF!</definedName>
    <definedName name="ProdForm" hidden="1">#REF!</definedName>
    <definedName name="Product" hidden="1">#REF!</definedName>
    <definedName name="Product_group">'[38]drop down boxes'!$E$6:$E$25</definedName>
    <definedName name="Project_Start">#REF!</definedName>
    <definedName name="Publisher">#REF!</definedName>
    <definedName name="PublisherList">OFFSET([21]Lists!$H$1,0,0,COUNTA([21]Lists!$H:$H),1)</definedName>
    <definedName name="PY">[18]RANGES!$H$6</definedName>
    <definedName name="PY_COST">'[18]P&amp;L (PY Act)'!$B$39:$T$69</definedName>
    <definedName name="PY_EXPENSE">'[18]P&amp;L (PY Act)'!$B$73:$T$103</definedName>
    <definedName name="PY_PROFIT">'[18]P&amp;L (PY Act)'!$B$106:$T$106</definedName>
    <definedName name="PY_SALES">'[18]P&amp;L (PY Act)'!$B$5:$T$35</definedName>
    <definedName name="q">[26]Lists!$B$1:$B$9</definedName>
    <definedName name="qw">#N/A</definedName>
    <definedName name="RatecardCost">#REF!</definedName>
    <definedName name="RatecardRate">[20]Template!#REF!</definedName>
    <definedName name="RCArea" hidden="1">#REF!</definedName>
    <definedName name="RDDist">#REF!</definedName>
    <definedName name="Required">#REF!</definedName>
    <definedName name="sad爱上的">#REF!</definedName>
    <definedName name="SAKS">#REF!</definedName>
    <definedName name="SALES_FCST_ROWS">'[18]Sales Fcst'!$20:$34,'[18]Sales Fcst'!$54:$68,'[18]Sales Fcst'!$87:$101</definedName>
    <definedName name="SALES_SORT">'[18]Dashboard data'!$B$70:$D$99</definedName>
    <definedName name="SAPBEXhrIndnt" hidden="1">"Wide"</definedName>
    <definedName name="SAPBEXrevision" hidden="1">0</definedName>
    <definedName name="SAPBEXsysID" hidden="1">"BWP"</definedName>
    <definedName name="SAPBEXwbID" hidden="1">"47W3UEXO960WBH3AWQ7HTHDBR"</definedName>
    <definedName name="SAPsysID" hidden="1">"708C5W7SBKP804JT78WJ0JNKI"</definedName>
    <definedName name="SAPwbID" hidden="1">"ARS"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eduleItemTypeList">[21]Lists!$C$1:$C$5</definedName>
    <definedName name="sellin">#REF!</definedName>
    <definedName name="sellthru">#REF!</definedName>
    <definedName name="septship">#REF!</definedName>
    <definedName name="ser">#REF!</definedName>
    <definedName name="sheet1" hidden="1">#REF!</definedName>
    <definedName name="Site">#REF!</definedName>
    <definedName name="SiteList">OFFSET([21]Lists!$I$1,0,0,COUNTA([21]Lists!$I:$I),1)</definedName>
    <definedName name="SiteList1">OFFSET([39]Lists!$I$1,0,0,COUNTA([39]Lists!$I:$I),1)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ORT2" hidden="1">#REF!</definedName>
    <definedName name="Spain">#REF!</definedName>
    <definedName name="SpecialPrice" hidden="1">#REF!</definedName>
    <definedName name="ssss" hidden="1">{"'毛利比较'!$A$4:$P$26"}</definedName>
    <definedName name="summaryvalue">#REF!</definedName>
    <definedName name="sup">#REF!</definedName>
    <definedName name="Switzerland">#REF!</definedName>
    <definedName name="Swvu.steve." hidden="1">#REF!</definedName>
    <definedName name="tax_production">#REF!</definedName>
    <definedName name="tbl_ProdInfo" hidden="1">#REF!</definedName>
    <definedName name="tcr">OFFSET(#REF!,1,0,COUNTA(#REF!),1)</definedName>
    <definedName name="Tech">#REF!</definedName>
    <definedName name="TemplateCommentedField">#REF!</definedName>
    <definedName name="TemplateHeader">#REF!</definedName>
    <definedName name="TemplateLocalisedCommentedField">#REF!</definedName>
    <definedName name="TextRefCopyRangeCount" hidden="1">3</definedName>
    <definedName name="tmedia">OFFSET(#REF!,1,0,COUNTA(#REF!),1)</definedName>
    <definedName name="To">#REF!</definedName>
    <definedName name="TopProductsTotal">'[40]Top Products Total (RAW)'!$A$11:$C$36</definedName>
    <definedName name="total">#REF!</definedName>
    <definedName name="Total_Interest">#REF!</definedName>
    <definedName name="Total_Pay">#REF!</definedName>
    <definedName name="Total_Payment" localSheetId="19">Scheduled_Payment+Extra_Payment</definedName>
    <definedName name="Total_Payment" localSheetId="2">Scheduled_Payment+Extra_Payment</definedName>
    <definedName name="Total_Payment">Scheduled_Payment+Extra_Payment</definedName>
    <definedName name="total销售额">#REF!,#REF!,#REF!,#REF!,#REF!</definedName>
    <definedName name="TrackingTypeList">[21]Lists!$B$1:$B$9</definedName>
    <definedName name="TrackingTypeList2">[22]Lists!$B$1:$B$9</definedName>
    <definedName name="treatment">#REF!</definedName>
    <definedName name="treatment2">#REF!</definedName>
    <definedName name="TREND1" hidden="1">#REF!</definedName>
    <definedName name="TREND10" hidden="1">#REF!</definedName>
    <definedName name="TREND11" hidden="1">#REF!</definedName>
    <definedName name="TREND2" hidden="1">#REF!</definedName>
    <definedName name="TREND3" hidden="1">#REF!</definedName>
    <definedName name="TREND4" hidden="1">#REF!</definedName>
    <definedName name="TREND5" hidden="1">#REF!</definedName>
    <definedName name="TREND6" hidden="1">#REF!</definedName>
    <definedName name="TREND7" hidden="1">#REF!</definedName>
    <definedName name="trend8" hidden="1">#REF!</definedName>
    <definedName name="TREND9" hidden="1">#REF!</definedName>
    <definedName name="troi">OFFSET(#REF!,1,0,COUNTA(#REF!),1)</definedName>
    <definedName name="tsales">OFFSET(#REF!,1,0,COUNTA(#REF!),1)</definedName>
    <definedName name="ttraffic">OFFSET(#REF!,1,0,COUNTA(#REF!),1)</definedName>
    <definedName name="ttt">#REF!</definedName>
    <definedName name="Turkey">#REF!</definedName>
    <definedName name="u" hidden="1">{"'Matrix'!$A$3:$J$47"}</definedName>
    <definedName name="UFPrn20110221133850">#REF!</definedName>
    <definedName name="uu" hidden="1">{"'毛利比较'!$A$4:$P$26"}</definedName>
    <definedName name="Values_Entered">IF(Loan_Amount*Interest_Rate*Loan_Years*Loan_Start&gt;0,1,0)</definedName>
    <definedName name="version">#REF!</definedName>
    <definedName name="W">#REF!</definedName>
    <definedName name="watc">#REF!</definedName>
    <definedName name="WOMAN">#REF!</definedName>
    <definedName name="WQE" hidden="1">#REF!</definedName>
    <definedName name="X_AXIS">CHOOSE([41]分析明细!$B$15,[41]分析明细!$B$2:$M$2,[41]分析明细!$A$3:$A$9)</definedName>
    <definedName name="XRefColumnsCount" hidden="1">5</definedName>
    <definedName name="XRefCopyRangeCount" hidden="1">10</definedName>
    <definedName name="XRefPasteRangeCount" hidden="1">3</definedName>
    <definedName name="xsdq" hidden="1">{"'Matrix'!$A$3:$J$47"}</definedName>
    <definedName name="year">#REF!</definedName>
    <definedName name="YEARS">[18]RANGES!$A$5:$A$25</definedName>
    <definedName name="YS">[42]原始数据!$1:$1048576</definedName>
    <definedName name="ytd">#REF!</definedName>
    <definedName name="ytd2">#REF!</definedName>
    <definedName name="ytd3">#REF!</definedName>
    <definedName name="yyy">#REF!</definedName>
    <definedName name="yyyy">#REF!</definedName>
    <definedName name="YYYYYYYYYYYYYYYYYYYYYYYYYYYYYYYYYYYYYYYYYYYYYYYYYYYYYYYYYYYYYYYYYYYYYYYYYYYYYYYYYYYYYYYYYYYYYYYYYYYYYYYYYYYYYYYYYYYYYYYYYYYYYYYYYYYYYYYYYYYYYYYYYYYYYYYYYYYYYYYYYYYYYYYYYYYYYYYYYYYYYYYYYYYYYYYYYYYYYYYYYYYYYYYYYYYYYYYYYYYYYYYYYYYYYYYYYYYYYYYYYYYYYYYYYYYYYYY">#N/A</definedName>
    <definedName name="Z_1337E53C_970D_4073_B72A_371A64539D54_.wvu.Cols" hidden="1">#REF!</definedName>
    <definedName name="Z_1337E53C_970D_4073_B72A_371A64539D54_.wvu.PrintArea" hidden="1">#REF!</definedName>
    <definedName name="Z_1337E53C_970D_4073_B72A_371A64539D54_.wvu.Rows" hidden="1">#REF!</definedName>
    <definedName name="Z_61992FB7_5C94_47CA_90F5_A293717668B3_.wvu.Rows" hidden="1">#REF!</definedName>
    <definedName name="阿达">#REF!</definedName>
    <definedName name="阿思">#REF!</definedName>
    <definedName name="啊实打实">#REF!</definedName>
    <definedName name="哎">#REF!</definedName>
    <definedName name="巴塞尔项目进度">#REF!</definedName>
    <definedName name="备案" hidden="1">{"'毛利比较'!$A$4:$P$26"}</definedName>
    <definedName name="不错8">#REF!</definedName>
    <definedName name="财务">#REF!</definedName>
    <definedName name="财务预算表">#REF!</definedName>
    <definedName name="策略说明" hidden="1">{"'毛利比较'!$A$4:$P$26"}</definedName>
    <definedName name="拆解3" hidden="1">#REF!</definedName>
    <definedName name="产品系列">#REF!</definedName>
    <definedName name="超出完成百分比">([43]项目规划器!A$4=MEDIAN([43]项目规划器!A$4,[43]项目规划器!$E1,[43]项目规划器!$E1+[43]项目规划器!$F1)*([43]项目规划器!$E1&gt;0))*(([43]项目规划器!A$4&lt;(INT([43]项目规划器!$E1+[43]项目规划器!$F1*[43]项目规划器!$G1)))+([43]项目规划器!A$4=[43]项目规划器!$E1))*([43]项目规划器!$G1&gt;0)</definedName>
    <definedName name="成本差" hidden="1">#REF!</definedName>
    <definedName name="城市" hidden="1">{"'毛利比较'!$A$4:$P$26"}</definedName>
    <definedName name="出游季">#N/A</definedName>
    <definedName name="寸">#REF!</definedName>
    <definedName name="大">#REF!</definedName>
    <definedName name="大盘UV数据源">OFFSET([29]市场大盘UV数据源!$A$1,0,0,COUNTA([29]市场大盘UV数据源!$A:$A),COUNTA([29]市场大盘UV数据源!$1:$1))</definedName>
    <definedName name="代店长">#REF!</definedName>
    <definedName name="淡定的">OFFSET(#REF!,0,1,#REF!,1)</definedName>
    <definedName name="得分">#REF!</definedName>
    <definedName name="店长">#REF!</definedName>
    <definedName name="短短的" hidden="1">{"'毛利比较'!$A$4:$P$26"}</definedName>
    <definedName name="多多">#REF!</definedName>
    <definedName name="二">#REF!</definedName>
    <definedName name="二级类目">OFFSET([29]二级类目!$B$7,0,0,[29]二级类目!$J$1,1)</definedName>
    <definedName name="发的发生">#REF!</definedName>
    <definedName name="发送">#REF!</definedName>
    <definedName name="访客数">OFFSET(#REF!,1,1,COUNTA(#REF!)-2,1)</definedName>
    <definedName name="非标流程" hidden="1">#REF!</definedName>
    <definedName name="副本">#REF!</definedName>
    <definedName name="个IG一起欧委会">#REF!</definedName>
    <definedName name="跟IUhi">#REF!</definedName>
    <definedName name="跟型">#REF!</definedName>
    <definedName name="跟型1">#REF!</definedName>
    <definedName name="更新">#REF!</definedName>
    <definedName name="规划">#REF!</definedName>
    <definedName name="滚动增量">#REF!</definedName>
    <definedName name="呼和浩特" hidden="1">{"'毛利比较'!$A$4:$P$26"}</definedName>
    <definedName name="会">#REF!</definedName>
    <definedName name="会员">#REF!</definedName>
    <definedName name="会员1">#REF!</definedName>
    <definedName name="会员招募_拉新">'[3]9.23库存'!#REF!</definedName>
    <definedName name="活动总结" hidden="1">#REF!</definedName>
    <definedName name="货">#REF!</definedName>
    <definedName name="货品策略">#REF!</definedName>
    <definedName name="货品主推色">#REF!</definedName>
    <definedName name="计划">计划中的期间*([43]项目规划器!$C1&gt;0)</definedName>
    <definedName name="计划中的期间">[43]项目规划器!A$4=MEDIAN([43]项目规划器!A$4,[43]项目规划器!$C1,[43]项目规划器!$C1+[43]项目规划器!$D1-1)</definedName>
    <definedName name="阶段拆解">#REF!</definedName>
    <definedName name="竟品" hidden="1">#REF!</definedName>
    <definedName name="淨額差" hidden="1">#REF!</definedName>
    <definedName name="旧">#REF!</definedName>
    <definedName name="旧版">#REF!</definedName>
    <definedName name="就">#REF!</definedName>
    <definedName name="卡米龙">#REF!</definedName>
    <definedName name="客服号" hidden="1">#REF!</definedName>
    <definedName name="枯" hidden="1">#REF!</definedName>
    <definedName name="庫存成" hidden="1">#REF!</definedName>
    <definedName name="里程碑标记">#REF!</definedName>
    <definedName name="链接">#REF!</definedName>
    <definedName name="流量5">#REF!</definedName>
    <definedName name="模板" hidden="1">{"'毛利比较'!$A$4:$P$26"}</definedName>
    <definedName name="目" hidden="1">{"'毛利比较'!$A$4:$P$26"}</definedName>
    <definedName name="你好">#REF!</definedName>
    <definedName name="女鞋1">#REF!</definedName>
    <definedName name="配饰">#REF!</definedName>
    <definedName name="配饰1">#REF!</definedName>
    <definedName name="七夕预售" hidden="1">#REF!</definedName>
    <definedName name="切片器_Date">#N/A</definedName>
    <definedName name="切片器_Date_Hierarchy">#N/A</definedName>
    <definedName name="切片器_Date1">#N/A</definedName>
    <definedName name="切片器_Month_Number">#N/A</definedName>
    <definedName name="切片器_Month_Number1">#N/A</definedName>
    <definedName name="切片器_Year">#N/A</definedName>
    <definedName name="切片器_日期">#N/A</definedName>
    <definedName name="切片器_日期1">#N/A</definedName>
    <definedName name="切片器_日期3">#N/A</definedName>
    <definedName name="青">#REF!</definedName>
    <definedName name="青岛" hidden="1">#REF!</definedName>
    <definedName name="青木新增款">#REF!</definedName>
    <definedName name="青木新增款1">#REF!</definedName>
    <definedName name="请q">#REF!</definedName>
    <definedName name="请问">#N/A</definedName>
    <definedName name="区域结构试算" hidden="1">{"'毛利比较'!$A$4:$P$26"}</definedName>
    <definedName name="区域市场潜力分析" hidden="1">{"'毛利比较'!$A$4:$P$26"}</definedName>
    <definedName name="趨勢" hidden="1">#REF!</definedName>
    <definedName name="去该板块">#REF!</definedName>
    <definedName name="圈的数量">#REF!</definedName>
    <definedName name="全年销售目标">#REF!</definedName>
    <definedName name="券">#REF!</definedName>
    <definedName name="券活动效果">#REF!</definedName>
    <definedName name="券数量">#REF!</definedName>
    <definedName name="券数量的">#REF!</definedName>
    <definedName name="绕弯儿无若">#N/A</definedName>
    <definedName name="人物任务">#REF!</definedName>
    <definedName name="软性" hidden="1">{"'毛利比较'!$A$4:$P$26"}</definedName>
    <definedName name="上海车展" hidden="1">{"'毛利比较'!$A$4:$P$26"}</definedName>
    <definedName name="上期" hidden="1">#REF!</definedName>
    <definedName name="上期2" hidden="1">#REF!</definedName>
    <definedName name="设计单位">#REF!</definedName>
    <definedName name="实际">OFFSET(#REF!,0,1,#REF!,1)</definedName>
    <definedName name="实际超出">实际中的期间*([43]项目规划器!$E1&gt;0)</definedName>
    <definedName name="实际值">(实际中的期间*([43]项目规划器!$E1&gt;0))*计划中的期间</definedName>
    <definedName name="实际中的期间">[43]项目规划器!A$4=MEDIAN([43]项目规划器!A$4,[43]项目规划器!$E1,[43]项目规划器!$E1+[43]项目规划器!$F1-1)</definedName>
    <definedName name="数据源">INDIRECT("'定向日报表-效果转化周期'!$A$1:$Y$"&amp;COUNTA(#REF!))</definedName>
    <definedName name="双11">#REF!</definedName>
    <definedName name="双11商品确定表">#REF!</definedName>
    <definedName name="特供货品">#REF!</definedName>
    <definedName name="推广计划">#REF!</definedName>
    <definedName name="完成百分比">超出完成百分比*计划中的期间</definedName>
    <definedName name="为">#REF!</definedName>
    <definedName name="西安1" hidden="1">#REF!</definedName>
    <definedName name="西安2" hidden="1">#REF!</definedName>
    <definedName name="项目开始日期">#REF!</definedName>
    <definedName name="项目设计师">#REF!</definedName>
    <definedName name="销售总览_卡米龙">#REF!</definedName>
    <definedName name="新">#REF!</definedName>
    <definedName name="新模板">#REF!</definedName>
    <definedName name="一">#REF!</definedName>
    <definedName name="月份">OFFSET(#REF!,1,0,COUNTA(#REF!)-2,1)</definedName>
    <definedName name="执行标准">#REF!</definedName>
    <definedName name="指标">#REF!</definedName>
    <definedName name="重庆" hidden="1">{"'毛利比较'!$A$4:$P$26"}</definedName>
    <definedName name="周期_已选择">[43]项目规划器!$H$2</definedName>
    <definedName name="主题">#REF!</definedName>
    <definedName name="主推销售预估" localSheetId="19">Scheduled_Payment+Extra_Payment</definedName>
    <definedName name="主推销售预估" localSheetId="2">Scheduled_Payment+Extra_Payment</definedName>
    <definedName name="主推销售预估">Scheduled_Payment+Extra_Payment</definedName>
    <definedName name="转化率">#REF!</definedName>
    <definedName name="钻展1111">#REF!</definedName>
    <definedName name="钻展资源位1">#REF!</definedName>
  </definedNames>
  <calcPr calcId="191029"/>
  <pivotCaches>
    <pivotCache cacheId="5" r:id="rId67"/>
    <pivotCache cacheId="6" r:id="rId68"/>
    <pivotCache cacheId="7" r:id="rId69"/>
    <pivotCache cacheId="9" r:id="rId70"/>
    <pivotCache cacheId="10" r:id="rId71"/>
    <pivotCache cacheId="12" r:id="rId72"/>
    <pivotCache cacheId="13" r:id="rId73"/>
    <pivotCache cacheId="30" r:id="rId74"/>
    <pivotCache cacheId="41" r:id="rId7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全店核心数据_bymonth_a745a85e-354d-44e0-a9a5-b3f424a6a235" name="全店核心数据_bymonth" connection="查询 - 全店核心数据_bymonth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Q152" i="140" l="1"/>
  <c r="AR191" i="140"/>
  <c r="AR190" i="140"/>
  <c r="AR188" i="140"/>
  <c r="AR187" i="140"/>
  <c r="BL8" i="140"/>
  <c r="BK8" i="140"/>
  <c r="BJ8" i="140"/>
  <c r="BI8" i="140"/>
  <c r="BH8" i="140"/>
  <c r="BG8" i="140"/>
  <c r="BF8" i="140"/>
  <c r="BE8" i="140"/>
  <c r="BD8" i="140"/>
  <c r="BC8" i="140"/>
  <c r="BA8" i="140"/>
  <c r="BB8" i="140" s="1"/>
  <c r="AZ8" i="140"/>
  <c r="AY8" i="140"/>
  <c r="AV8" i="140"/>
  <c r="AT8" i="140"/>
  <c r="AX8" i="140" s="1"/>
  <c r="AS8" i="140"/>
  <c r="AU8" i="140" s="1"/>
  <c r="AR8" i="140"/>
  <c r="AQ8" i="140"/>
  <c r="AP8" i="140"/>
  <c r="AW8" i="140" s="1"/>
  <c r="BL7" i="140"/>
  <c r="BK7" i="140"/>
  <c r="BJ7" i="140"/>
  <c r="BI7" i="140"/>
  <c r="BH7" i="140"/>
  <c r="BG7" i="140"/>
  <c r="BF7" i="140"/>
  <c r="BE7" i="140"/>
  <c r="BD7" i="140"/>
  <c r="BC7" i="140"/>
  <c r="BA7" i="140"/>
  <c r="AZ7" i="140"/>
  <c r="AU7" i="140"/>
  <c r="AT7" i="140"/>
  <c r="AX7" i="140" s="1"/>
  <c r="AS7" i="140"/>
  <c r="AR7" i="140"/>
  <c r="AP7" i="140"/>
  <c r="AQ7" i="140" s="1"/>
  <c r="AV7" i="140" l="1"/>
  <c r="AW7" i="140"/>
  <c r="AY7" i="140"/>
  <c r="BB7" i="140"/>
  <c r="AR147" i="140" l="1"/>
  <c r="AR144" i="140"/>
  <c r="AR143" i="140"/>
  <c r="BA140" i="140"/>
  <c r="BB140" i="140" s="1"/>
  <c r="AZ140" i="140"/>
  <c r="AY140" i="140" s="1"/>
  <c r="AW140" i="140"/>
  <c r="AT140" i="140"/>
  <c r="AX140" i="140" s="1"/>
  <c r="AS140" i="140"/>
  <c r="AU140" i="140" s="1"/>
  <c r="AR140" i="140"/>
  <c r="AP140" i="140"/>
  <c r="AQ140" i="140" s="1"/>
  <c r="AR139" i="140"/>
  <c r="AR138" i="140"/>
  <c r="AR135" i="140"/>
  <c r="AR136" i="140"/>
  <c r="AR128" i="140"/>
  <c r="AR123" i="140"/>
  <c r="AR91" i="140"/>
  <c r="AR84" i="140"/>
  <c r="AR73" i="140"/>
  <c r="S88" i="140"/>
  <c r="S86" i="140"/>
  <c r="S85" i="140"/>
  <c r="H133" i="140"/>
  <c r="H132" i="140"/>
  <c r="V18" i="134"/>
  <c r="V8" i="134"/>
  <c r="U8" i="134"/>
  <c r="S8" i="134"/>
  <c r="S18" i="134" s="1"/>
  <c r="U18" i="134"/>
  <c r="T18" i="134"/>
  <c r="R18" i="134"/>
  <c r="AV140" i="140" l="1"/>
  <c r="AE40" i="156"/>
  <c r="AE39" i="156"/>
  <c r="AE38" i="156"/>
  <c r="AE37" i="156"/>
  <c r="AE36" i="156"/>
  <c r="AE35" i="156"/>
  <c r="AE34" i="156"/>
  <c r="AE33" i="156"/>
  <c r="AE32" i="156"/>
  <c r="AE31" i="156"/>
  <c r="AE30" i="156"/>
  <c r="AE29" i="156"/>
  <c r="AE28" i="156"/>
  <c r="AE27" i="156"/>
  <c r="AE26" i="156"/>
  <c r="AE25" i="156"/>
  <c r="AE24" i="156"/>
  <c r="AE23" i="156"/>
  <c r="AE22" i="156"/>
  <c r="AE21" i="156"/>
  <c r="AE20" i="156"/>
  <c r="AE19" i="156"/>
  <c r="AE18" i="156"/>
  <c r="AE16" i="156"/>
  <c r="AE15" i="156"/>
  <c r="AE14" i="156"/>
  <c r="AE13" i="156"/>
  <c r="AE12" i="156"/>
  <c r="AE11" i="156"/>
  <c r="AE10" i="156"/>
  <c r="AE9" i="156"/>
  <c r="AE8" i="156"/>
  <c r="AE7" i="156"/>
  <c r="AE6" i="156"/>
  <c r="AE5" i="156"/>
  <c r="AE4" i="156"/>
  <c r="M40" i="156"/>
  <c r="M39" i="156"/>
  <c r="M38" i="156"/>
  <c r="M37" i="156"/>
  <c r="M36" i="156"/>
  <c r="M35" i="156"/>
  <c r="M34" i="156"/>
  <c r="M33" i="156"/>
  <c r="M32" i="156"/>
  <c r="M31" i="156"/>
  <c r="M30" i="156"/>
  <c r="M29" i="156"/>
  <c r="M28" i="156"/>
  <c r="M27" i="156"/>
  <c r="M26" i="156"/>
  <c r="M25" i="156"/>
  <c r="M24" i="156"/>
  <c r="M23" i="156"/>
  <c r="M22" i="156"/>
  <c r="M21" i="156"/>
  <c r="M20" i="156"/>
  <c r="M19" i="156"/>
  <c r="M18" i="156"/>
  <c r="M16" i="156"/>
  <c r="M15" i="156"/>
  <c r="M14" i="156"/>
  <c r="M13" i="156"/>
  <c r="M12" i="156"/>
  <c r="M11" i="156"/>
  <c r="M10" i="156"/>
  <c r="M9" i="156"/>
  <c r="M8" i="156"/>
  <c r="M7" i="156"/>
  <c r="M6" i="156"/>
  <c r="M5" i="156"/>
  <c r="M4" i="156"/>
  <c r="B234" i="154"/>
  <c r="C234" i="154"/>
  <c r="B235" i="154"/>
  <c r="C235" i="154"/>
  <c r="B236" i="154"/>
  <c r="C236" i="154"/>
  <c r="B237" i="154"/>
  <c r="C237" i="154"/>
  <c r="B238" i="154"/>
  <c r="C238" i="154"/>
  <c r="B239" i="154"/>
  <c r="C239" i="154"/>
  <c r="B240" i="154"/>
  <c r="C240" i="154"/>
  <c r="B241" i="154"/>
  <c r="C241" i="154"/>
  <c r="B242" i="154"/>
  <c r="C242" i="154"/>
  <c r="B243" i="154"/>
  <c r="C243" i="154"/>
  <c r="B244" i="154"/>
  <c r="C244" i="154"/>
  <c r="B245" i="154"/>
  <c r="C245" i="154"/>
  <c r="B246" i="154"/>
  <c r="C246" i="154"/>
  <c r="B247" i="154"/>
  <c r="C247" i="154"/>
  <c r="B248" i="154"/>
  <c r="C248" i="154"/>
  <c r="B249" i="154"/>
  <c r="C249" i="154"/>
  <c r="B250" i="154"/>
  <c r="C250" i="154"/>
  <c r="B251" i="154"/>
  <c r="C251" i="154"/>
  <c r="B252" i="154"/>
  <c r="C252" i="154"/>
  <c r="B253" i="154"/>
  <c r="C253" i="154"/>
  <c r="B254" i="154"/>
  <c r="C254" i="154"/>
  <c r="B255" i="154"/>
  <c r="C255" i="154"/>
  <c r="B256" i="154"/>
  <c r="C256" i="154"/>
  <c r="B257" i="154"/>
  <c r="C257" i="154"/>
  <c r="B258" i="154"/>
  <c r="C258" i="154"/>
  <c r="B259" i="154"/>
  <c r="C259" i="154"/>
  <c r="B260" i="154"/>
  <c r="C260" i="154"/>
  <c r="B261" i="154"/>
  <c r="C261" i="154"/>
  <c r="B262" i="154"/>
  <c r="C262" i="154"/>
  <c r="B263" i="154"/>
  <c r="C263" i="154"/>
  <c r="B264" i="154"/>
  <c r="C264" i="154"/>
  <c r="B265" i="154"/>
  <c r="C265" i="154"/>
  <c r="B266" i="154"/>
  <c r="C266" i="154"/>
  <c r="B267" i="154"/>
  <c r="C267" i="154"/>
  <c r="B268" i="154"/>
  <c r="C268" i="154"/>
  <c r="B269" i="154"/>
  <c r="C269" i="154"/>
  <c r="B270" i="154"/>
  <c r="C270" i="154"/>
  <c r="B271" i="154"/>
  <c r="C271" i="154"/>
  <c r="B272" i="154"/>
  <c r="C272" i="154"/>
  <c r="B273" i="154"/>
  <c r="C273" i="154"/>
  <c r="H129" i="140" l="1"/>
  <c r="H125" i="140" l="1"/>
  <c r="H124" i="140"/>
  <c r="AC163" i="140" l="1"/>
  <c r="X163" i="140"/>
  <c r="W163" i="140"/>
  <c r="U163" i="140"/>
  <c r="V163" i="140"/>
  <c r="D98" i="131" l="1"/>
  <c r="D97" i="131"/>
  <c r="C98" i="131"/>
  <c r="C97" i="131"/>
  <c r="Y93" i="131"/>
  <c r="Y92" i="131"/>
  <c r="D57" i="122"/>
  <c r="E57" i="122"/>
  <c r="F57" i="122"/>
  <c r="G57" i="122"/>
  <c r="H57" i="122"/>
  <c r="C57" i="122"/>
  <c r="AA12" i="125"/>
  <c r="Z12" i="125"/>
  <c r="AC12" i="125" s="1"/>
  <c r="Y12" i="125"/>
  <c r="AB12" i="125" s="1"/>
  <c r="X12" i="125"/>
  <c r="W12" i="125"/>
  <c r="V12" i="125"/>
  <c r="I12" i="125"/>
  <c r="H12" i="125"/>
  <c r="G12" i="125"/>
  <c r="F12" i="125"/>
  <c r="E12" i="125"/>
  <c r="D12" i="125"/>
  <c r="M9" i="125" s="1"/>
  <c r="AA11" i="125"/>
  <c r="Z11" i="125"/>
  <c r="Y11" i="125"/>
  <c r="X11" i="125"/>
  <c r="AD11" i="125" s="1"/>
  <c r="W11" i="125"/>
  <c r="AC11" i="125" s="1"/>
  <c r="V11" i="125"/>
  <c r="L11" i="125"/>
  <c r="I11" i="125"/>
  <c r="H11" i="125"/>
  <c r="G11" i="125"/>
  <c r="F11" i="125"/>
  <c r="E11" i="125"/>
  <c r="D11" i="125"/>
  <c r="J11" i="125" s="1"/>
  <c r="AM10" i="125"/>
  <c r="AL10" i="125"/>
  <c r="AK10" i="125"/>
  <c r="AD10" i="125"/>
  <c r="AC10" i="125"/>
  <c r="AB10" i="125"/>
  <c r="P10" i="125"/>
  <c r="O10" i="125"/>
  <c r="N10" i="125"/>
  <c r="M10" i="125"/>
  <c r="L10" i="125"/>
  <c r="K10" i="125"/>
  <c r="J10" i="125"/>
  <c r="AM9" i="125"/>
  <c r="AL9" i="125"/>
  <c r="AK9" i="125"/>
  <c r="AD9" i="125"/>
  <c r="AC9" i="125"/>
  <c r="AB9" i="125"/>
  <c r="P9" i="125"/>
  <c r="O9" i="125"/>
  <c r="N9" i="125"/>
  <c r="L9" i="125"/>
  <c r="K9" i="125"/>
  <c r="J9" i="125"/>
  <c r="AA8" i="125"/>
  <c r="Z8" i="125"/>
  <c r="Y8" i="125"/>
  <c r="X8" i="125"/>
  <c r="AD8" i="125" s="1"/>
  <c r="W8" i="125"/>
  <c r="AC8" i="125" s="1"/>
  <c r="V8" i="125"/>
  <c r="AB8" i="125" s="1"/>
  <c r="I8" i="125"/>
  <c r="H8" i="125"/>
  <c r="G8" i="125"/>
  <c r="F8" i="125"/>
  <c r="L8" i="125" s="1"/>
  <c r="E8" i="125"/>
  <c r="D8" i="125"/>
  <c r="J8" i="125" s="1"/>
  <c r="AJ7" i="125"/>
  <c r="AJ11" i="125" s="1"/>
  <c r="AI7" i="125"/>
  <c r="AH7" i="125"/>
  <c r="AG7" i="125"/>
  <c r="AF7" i="125"/>
  <c r="AE7" i="125"/>
  <c r="AD7" i="125"/>
  <c r="AC7" i="125"/>
  <c r="AB7" i="125"/>
  <c r="R7" i="125"/>
  <c r="Q7" i="125"/>
  <c r="T7" i="125" s="1"/>
  <c r="P7" i="125"/>
  <c r="O7" i="125"/>
  <c r="N7" i="125"/>
  <c r="M7" i="125"/>
  <c r="S7" i="125" s="1"/>
  <c r="L7" i="125"/>
  <c r="K7" i="125"/>
  <c r="J7" i="125"/>
  <c r="AJ6" i="125"/>
  <c r="AI6" i="125"/>
  <c r="AI8" i="125" s="1"/>
  <c r="AH6" i="125"/>
  <c r="AH8" i="125" s="1"/>
  <c r="AG6" i="125"/>
  <c r="AF6" i="125"/>
  <c r="AE6" i="125"/>
  <c r="AD6" i="125"/>
  <c r="AC6" i="125"/>
  <c r="AB6" i="125"/>
  <c r="R6" i="125"/>
  <c r="R8" i="125" s="1"/>
  <c r="Q6" i="125"/>
  <c r="Q8" i="125" s="1"/>
  <c r="P6" i="125"/>
  <c r="P8" i="125" s="1"/>
  <c r="O6" i="125"/>
  <c r="N6" i="125"/>
  <c r="N12" i="125" s="1"/>
  <c r="M6" i="125"/>
  <c r="M12" i="125" s="1"/>
  <c r="L6" i="125"/>
  <c r="K6" i="125"/>
  <c r="J6" i="125"/>
  <c r="L417" i="126"/>
  <c r="L418" i="126"/>
  <c r="L419" i="126"/>
  <c r="L420" i="126"/>
  <c r="L421" i="126"/>
  <c r="L422" i="126"/>
  <c r="L423" i="126"/>
  <c r="L424" i="126"/>
  <c r="L425" i="126"/>
  <c r="L426" i="126"/>
  <c r="L427" i="126"/>
  <c r="L428" i="126"/>
  <c r="L429" i="126"/>
  <c r="L430" i="126"/>
  <c r="L431" i="126"/>
  <c r="L432" i="126"/>
  <c r="L433" i="126"/>
  <c r="L434" i="126"/>
  <c r="L435" i="126"/>
  <c r="L436" i="126"/>
  <c r="L437" i="126"/>
  <c r="L438" i="126"/>
  <c r="L439" i="126"/>
  <c r="L440" i="126"/>
  <c r="L441" i="126"/>
  <c r="L442" i="126"/>
  <c r="L443" i="126"/>
  <c r="L444" i="126"/>
  <c r="L445" i="126"/>
  <c r="L446" i="126"/>
  <c r="L447" i="126"/>
  <c r="L448" i="126"/>
  <c r="L449" i="126"/>
  <c r="L450" i="126"/>
  <c r="L451" i="126"/>
  <c r="L452" i="126"/>
  <c r="L453" i="126"/>
  <c r="L454" i="126"/>
  <c r="L455" i="126"/>
  <c r="L456" i="126"/>
  <c r="L457" i="126"/>
  <c r="L458" i="126"/>
  <c r="L459" i="126"/>
  <c r="L460" i="126"/>
  <c r="L461" i="126"/>
  <c r="L462" i="126"/>
  <c r="L463" i="126"/>
  <c r="L464" i="126"/>
  <c r="L465" i="126"/>
  <c r="L466" i="126"/>
  <c r="L467" i="126"/>
  <c r="L468" i="126"/>
  <c r="L469" i="126"/>
  <c r="L470" i="126"/>
  <c r="L471" i="126"/>
  <c r="L472" i="126"/>
  <c r="L473" i="126"/>
  <c r="L474" i="126"/>
  <c r="L475" i="126"/>
  <c r="L476" i="126"/>
  <c r="L477" i="126"/>
  <c r="L478" i="126"/>
  <c r="L479" i="126"/>
  <c r="L480" i="126"/>
  <c r="L481" i="126"/>
  <c r="L482" i="126"/>
  <c r="L483" i="126"/>
  <c r="L484" i="126"/>
  <c r="L485" i="126"/>
  <c r="L486" i="126"/>
  <c r="L487" i="126"/>
  <c r="L488" i="126"/>
  <c r="L489" i="126"/>
  <c r="L490" i="126"/>
  <c r="L491" i="126"/>
  <c r="L492" i="126"/>
  <c r="L493" i="126"/>
  <c r="L494" i="126"/>
  <c r="L495" i="126"/>
  <c r="L496" i="126"/>
  <c r="L497" i="126"/>
  <c r="L498" i="126"/>
  <c r="L499" i="126"/>
  <c r="L500" i="126"/>
  <c r="L501" i="126"/>
  <c r="L502" i="126"/>
  <c r="L503" i="126"/>
  <c r="L504" i="126"/>
  <c r="L505" i="126"/>
  <c r="L506" i="126"/>
  <c r="L507" i="126"/>
  <c r="L508" i="126"/>
  <c r="L509" i="126"/>
  <c r="L510" i="126"/>
  <c r="L511" i="126"/>
  <c r="L512" i="126"/>
  <c r="L513" i="126"/>
  <c r="L514" i="126"/>
  <c r="L515" i="126"/>
  <c r="L516" i="126"/>
  <c r="L517" i="126"/>
  <c r="L518" i="126"/>
  <c r="L519" i="126"/>
  <c r="L520" i="126"/>
  <c r="L521" i="126"/>
  <c r="L522" i="126"/>
  <c r="L523" i="126"/>
  <c r="L524" i="126"/>
  <c r="L525" i="126"/>
  <c r="L526" i="126"/>
  <c r="L527" i="126"/>
  <c r="L528" i="126"/>
  <c r="L529" i="126"/>
  <c r="L530" i="126"/>
  <c r="L531" i="126"/>
  <c r="L532" i="126"/>
  <c r="L533" i="126"/>
  <c r="L534" i="126"/>
  <c r="L535" i="126"/>
  <c r="L536" i="126"/>
  <c r="L537" i="126"/>
  <c r="L538" i="126"/>
  <c r="L539" i="126"/>
  <c r="L540" i="126"/>
  <c r="L541" i="126"/>
  <c r="L542" i="126"/>
  <c r="L543" i="126"/>
  <c r="L544" i="126"/>
  <c r="L545" i="126"/>
  <c r="L546" i="126"/>
  <c r="L547" i="126"/>
  <c r="L548" i="126"/>
  <c r="L549" i="126"/>
  <c r="L550" i="126"/>
  <c r="L551" i="126"/>
  <c r="L552" i="126"/>
  <c r="L553" i="126"/>
  <c r="L554" i="126"/>
  <c r="L555" i="126"/>
  <c r="L556" i="126"/>
  <c r="L557" i="126"/>
  <c r="L558" i="126"/>
  <c r="L559" i="126"/>
  <c r="L560" i="126"/>
  <c r="L561" i="126"/>
  <c r="L562" i="126"/>
  <c r="L563" i="126"/>
  <c r="L564" i="126"/>
  <c r="L565" i="126"/>
  <c r="L566" i="126"/>
  <c r="L567" i="126"/>
  <c r="L568" i="126"/>
  <c r="L569" i="126"/>
  <c r="L570" i="126"/>
  <c r="L571" i="126"/>
  <c r="L572" i="126"/>
  <c r="L573" i="126"/>
  <c r="L574" i="126"/>
  <c r="L575" i="126"/>
  <c r="L576" i="126"/>
  <c r="L577" i="126"/>
  <c r="L578" i="126"/>
  <c r="L579" i="126"/>
  <c r="L580" i="126"/>
  <c r="L581" i="126"/>
  <c r="L582" i="126"/>
  <c r="L583" i="126"/>
  <c r="L584" i="126"/>
  <c r="L585" i="126"/>
  <c r="L586" i="126"/>
  <c r="L587" i="126"/>
  <c r="L588" i="126"/>
  <c r="L589" i="126"/>
  <c r="L590" i="126"/>
  <c r="L591" i="126"/>
  <c r="L592" i="126"/>
  <c r="L593" i="126"/>
  <c r="L594" i="126"/>
  <c r="L595" i="126"/>
  <c r="L596" i="126"/>
  <c r="L597" i="126"/>
  <c r="L598" i="126"/>
  <c r="L599" i="126"/>
  <c r="L600" i="126"/>
  <c r="L601" i="126"/>
  <c r="L602" i="126"/>
  <c r="L603" i="126"/>
  <c r="L604" i="126"/>
  <c r="L605" i="126"/>
  <c r="L606" i="126"/>
  <c r="L607" i="126"/>
  <c r="L608" i="126"/>
  <c r="L609" i="126"/>
  <c r="L610" i="126"/>
  <c r="L611" i="126"/>
  <c r="L612" i="126"/>
  <c r="L613" i="126"/>
  <c r="L614" i="126"/>
  <c r="L615" i="126"/>
  <c r="L616" i="126"/>
  <c r="L617" i="126"/>
  <c r="L618" i="126"/>
  <c r="L619" i="126"/>
  <c r="L620" i="126"/>
  <c r="L621" i="126"/>
  <c r="L622" i="126"/>
  <c r="L623" i="126"/>
  <c r="L624" i="126"/>
  <c r="L625" i="126"/>
  <c r="L626" i="126"/>
  <c r="L627" i="126"/>
  <c r="L628" i="126"/>
  <c r="L629" i="126"/>
  <c r="L630" i="126"/>
  <c r="L631" i="126"/>
  <c r="L632" i="126"/>
  <c r="L633" i="126"/>
  <c r="L634" i="126"/>
  <c r="L635" i="126"/>
  <c r="L636" i="126"/>
  <c r="L637" i="126"/>
  <c r="L638" i="126"/>
  <c r="L639" i="126"/>
  <c r="L640" i="126"/>
  <c r="L641" i="126"/>
  <c r="L642" i="126"/>
  <c r="L643" i="126"/>
  <c r="L644" i="126"/>
  <c r="L645" i="126"/>
  <c r="L646" i="126"/>
  <c r="L647" i="126"/>
  <c r="L648" i="126"/>
  <c r="L649" i="126"/>
  <c r="L650" i="126"/>
  <c r="L651" i="126"/>
  <c r="L652" i="126"/>
  <c r="L653" i="126"/>
  <c r="L654" i="126"/>
  <c r="L655" i="126"/>
  <c r="L656" i="126"/>
  <c r="L657" i="126"/>
  <c r="L658" i="126"/>
  <c r="L659" i="126"/>
  <c r="L660" i="126"/>
  <c r="L661" i="126"/>
  <c r="L662" i="126"/>
  <c r="L663" i="126"/>
  <c r="L664" i="126"/>
  <c r="L665" i="126"/>
  <c r="L666" i="126"/>
  <c r="L667" i="126"/>
  <c r="L668" i="126"/>
  <c r="L669" i="126"/>
  <c r="L670" i="126"/>
  <c r="L671" i="126"/>
  <c r="L672" i="126"/>
  <c r="L673" i="126"/>
  <c r="L674" i="126"/>
  <c r="L675" i="126"/>
  <c r="L676" i="126"/>
  <c r="L677" i="126"/>
  <c r="L678" i="126"/>
  <c r="L679" i="126"/>
  <c r="L680" i="126"/>
  <c r="L681" i="126"/>
  <c r="L682" i="126"/>
  <c r="L683" i="126"/>
  <c r="L684" i="126"/>
  <c r="L685" i="126"/>
  <c r="L686" i="126"/>
  <c r="L687" i="126"/>
  <c r="L688" i="126"/>
  <c r="L689" i="126"/>
  <c r="L690" i="126"/>
  <c r="L691" i="126"/>
  <c r="L692" i="126"/>
  <c r="L693" i="126"/>
  <c r="L694" i="126"/>
  <c r="L695" i="126"/>
  <c r="L696" i="126"/>
  <c r="L697" i="126"/>
  <c r="L698" i="126"/>
  <c r="L699" i="126"/>
  <c r="L700" i="126"/>
  <c r="L701" i="126"/>
  <c r="L702" i="126"/>
  <c r="L703" i="126"/>
  <c r="L704" i="126"/>
  <c r="L705" i="126"/>
  <c r="L706" i="126"/>
  <c r="L707" i="126"/>
  <c r="L708" i="126"/>
  <c r="L709" i="126"/>
  <c r="L710" i="126"/>
  <c r="L711" i="126"/>
  <c r="L712" i="126"/>
  <c r="L713" i="126"/>
  <c r="L714" i="126"/>
  <c r="L715" i="126"/>
  <c r="L716" i="126"/>
  <c r="L717" i="126"/>
  <c r="L718" i="126"/>
  <c r="L719" i="126"/>
  <c r="L720" i="126"/>
  <c r="L721" i="126"/>
  <c r="L722" i="126"/>
  <c r="L723" i="126"/>
  <c r="L724" i="126"/>
  <c r="L725" i="126"/>
  <c r="L726" i="126"/>
  <c r="L727" i="126"/>
  <c r="L728" i="126"/>
  <c r="L729" i="126"/>
  <c r="L730" i="126"/>
  <c r="L731" i="126"/>
  <c r="L732" i="126"/>
  <c r="L733" i="126"/>
  <c r="L734" i="126"/>
  <c r="L735" i="126"/>
  <c r="L736" i="126"/>
  <c r="L737" i="126"/>
  <c r="L416" i="126"/>
  <c r="L415" i="126"/>
  <c r="L414" i="126"/>
  <c r="L413" i="126"/>
  <c r="L406" i="126"/>
  <c r="L407" i="126"/>
  <c r="L408" i="126"/>
  <c r="L409" i="126"/>
  <c r="L410" i="126"/>
  <c r="L411" i="126"/>
  <c r="L412" i="126"/>
  <c r="L3" i="126"/>
  <c r="L4" i="126"/>
  <c r="L5" i="126"/>
  <c r="L6" i="126"/>
  <c r="L7" i="126"/>
  <c r="L8" i="126"/>
  <c r="L9" i="126"/>
  <c r="L10" i="126"/>
  <c r="L11" i="126"/>
  <c r="L12" i="126"/>
  <c r="L13" i="126"/>
  <c r="L14" i="126"/>
  <c r="L15" i="126"/>
  <c r="L16" i="126"/>
  <c r="L17" i="126"/>
  <c r="L18" i="126"/>
  <c r="L19" i="126"/>
  <c r="L20" i="126"/>
  <c r="L21" i="126"/>
  <c r="L22" i="126"/>
  <c r="L23" i="126"/>
  <c r="L24" i="126"/>
  <c r="L25" i="126"/>
  <c r="L26" i="126"/>
  <c r="L27" i="126"/>
  <c r="L28" i="126"/>
  <c r="L29" i="126"/>
  <c r="L30" i="126"/>
  <c r="L31" i="126"/>
  <c r="L32" i="126"/>
  <c r="L33" i="126"/>
  <c r="L34" i="126"/>
  <c r="L35" i="126"/>
  <c r="L36" i="126"/>
  <c r="L37" i="126"/>
  <c r="L38" i="126"/>
  <c r="L39" i="126"/>
  <c r="L40" i="126"/>
  <c r="L41" i="126"/>
  <c r="L42" i="126"/>
  <c r="L43" i="126"/>
  <c r="L44" i="126"/>
  <c r="L45" i="126"/>
  <c r="L46" i="126"/>
  <c r="L47" i="126"/>
  <c r="L48" i="126"/>
  <c r="L49" i="126"/>
  <c r="L50" i="126"/>
  <c r="L51" i="126"/>
  <c r="L52" i="126"/>
  <c r="L53" i="126"/>
  <c r="L54" i="126"/>
  <c r="L55" i="126"/>
  <c r="L56" i="126"/>
  <c r="L57" i="126"/>
  <c r="L58" i="126"/>
  <c r="L59" i="126"/>
  <c r="L60" i="126"/>
  <c r="L61" i="126"/>
  <c r="L62" i="126"/>
  <c r="L63" i="126"/>
  <c r="L64" i="126"/>
  <c r="L65" i="126"/>
  <c r="L66" i="126"/>
  <c r="L67" i="126"/>
  <c r="L68" i="126"/>
  <c r="L69" i="126"/>
  <c r="L70" i="126"/>
  <c r="L71" i="126"/>
  <c r="L72" i="126"/>
  <c r="L73" i="126"/>
  <c r="L74" i="126"/>
  <c r="L75" i="126"/>
  <c r="L76" i="126"/>
  <c r="L77" i="126"/>
  <c r="L78" i="126"/>
  <c r="L79" i="126"/>
  <c r="L80" i="126"/>
  <c r="L81" i="126"/>
  <c r="L82" i="126"/>
  <c r="L83" i="126"/>
  <c r="L84" i="126"/>
  <c r="L85" i="126"/>
  <c r="L86" i="126"/>
  <c r="L87" i="126"/>
  <c r="L88" i="126"/>
  <c r="L89" i="126"/>
  <c r="L90" i="126"/>
  <c r="L91" i="126"/>
  <c r="L92" i="126"/>
  <c r="L93" i="126"/>
  <c r="L94" i="126"/>
  <c r="L95" i="126"/>
  <c r="L96" i="126"/>
  <c r="L97" i="126"/>
  <c r="L98" i="126"/>
  <c r="L99" i="126"/>
  <c r="L100" i="126"/>
  <c r="L101" i="126"/>
  <c r="L102" i="126"/>
  <c r="L103" i="126"/>
  <c r="L104" i="126"/>
  <c r="L105" i="126"/>
  <c r="L106" i="126"/>
  <c r="L107" i="126"/>
  <c r="L108" i="126"/>
  <c r="L109" i="126"/>
  <c r="L110" i="126"/>
  <c r="L111" i="126"/>
  <c r="L112" i="126"/>
  <c r="L113" i="126"/>
  <c r="L114" i="126"/>
  <c r="L115" i="126"/>
  <c r="L116" i="126"/>
  <c r="L117" i="126"/>
  <c r="L118" i="126"/>
  <c r="L119" i="126"/>
  <c r="L120" i="126"/>
  <c r="L121" i="126"/>
  <c r="L122" i="126"/>
  <c r="L123" i="126"/>
  <c r="L124" i="126"/>
  <c r="L125" i="126"/>
  <c r="L126" i="126"/>
  <c r="L127" i="126"/>
  <c r="L128" i="126"/>
  <c r="L129" i="126"/>
  <c r="L130" i="126"/>
  <c r="L131" i="126"/>
  <c r="L132" i="126"/>
  <c r="L133" i="126"/>
  <c r="L134" i="126"/>
  <c r="L135" i="126"/>
  <c r="L136" i="126"/>
  <c r="L137" i="126"/>
  <c r="L138" i="126"/>
  <c r="L139" i="126"/>
  <c r="L140" i="126"/>
  <c r="L141" i="126"/>
  <c r="L142" i="126"/>
  <c r="L143" i="126"/>
  <c r="L144" i="126"/>
  <c r="L145" i="126"/>
  <c r="L146" i="126"/>
  <c r="L147" i="126"/>
  <c r="L148" i="126"/>
  <c r="L149" i="126"/>
  <c r="L150" i="126"/>
  <c r="L151" i="126"/>
  <c r="L152" i="126"/>
  <c r="L153" i="126"/>
  <c r="L154" i="126"/>
  <c r="L155" i="126"/>
  <c r="L156" i="126"/>
  <c r="L157" i="126"/>
  <c r="L158" i="126"/>
  <c r="L159" i="126"/>
  <c r="L160" i="126"/>
  <c r="L161" i="126"/>
  <c r="L162" i="126"/>
  <c r="L163" i="126"/>
  <c r="L164" i="126"/>
  <c r="L165" i="126"/>
  <c r="L166" i="126"/>
  <c r="L167" i="126"/>
  <c r="L168" i="126"/>
  <c r="L169" i="126"/>
  <c r="L170" i="126"/>
  <c r="L171" i="126"/>
  <c r="L172" i="126"/>
  <c r="L173" i="126"/>
  <c r="L174" i="126"/>
  <c r="L175" i="126"/>
  <c r="L176" i="126"/>
  <c r="L177" i="126"/>
  <c r="L178" i="126"/>
  <c r="L179" i="126"/>
  <c r="L180" i="126"/>
  <c r="L181" i="126"/>
  <c r="L182" i="126"/>
  <c r="L183" i="126"/>
  <c r="L184" i="126"/>
  <c r="L185" i="126"/>
  <c r="L186" i="126"/>
  <c r="L187" i="126"/>
  <c r="L188" i="126"/>
  <c r="L189" i="126"/>
  <c r="L190" i="126"/>
  <c r="L191" i="126"/>
  <c r="L192" i="126"/>
  <c r="L193" i="126"/>
  <c r="L194" i="126"/>
  <c r="L195" i="126"/>
  <c r="L196" i="126"/>
  <c r="L197" i="126"/>
  <c r="L198" i="126"/>
  <c r="L199" i="126"/>
  <c r="L200" i="126"/>
  <c r="L201" i="126"/>
  <c r="L202" i="126"/>
  <c r="L203" i="126"/>
  <c r="L204" i="126"/>
  <c r="L205" i="126"/>
  <c r="L206" i="126"/>
  <c r="L207" i="126"/>
  <c r="L208" i="126"/>
  <c r="L209" i="126"/>
  <c r="L210" i="126"/>
  <c r="L211" i="126"/>
  <c r="L212" i="126"/>
  <c r="L213" i="126"/>
  <c r="L214" i="126"/>
  <c r="L215" i="126"/>
  <c r="L216" i="126"/>
  <c r="L217" i="126"/>
  <c r="L218" i="126"/>
  <c r="L219" i="126"/>
  <c r="L220" i="126"/>
  <c r="L221" i="126"/>
  <c r="L222" i="126"/>
  <c r="L223" i="126"/>
  <c r="L224" i="126"/>
  <c r="L225" i="126"/>
  <c r="L226" i="126"/>
  <c r="L227" i="126"/>
  <c r="L228" i="126"/>
  <c r="L229" i="126"/>
  <c r="L230" i="126"/>
  <c r="L231" i="126"/>
  <c r="L232" i="126"/>
  <c r="L233" i="126"/>
  <c r="L234" i="126"/>
  <c r="L235" i="126"/>
  <c r="L236" i="126"/>
  <c r="L237" i="126"/>
  <c r="L238" i="126"/>
  <c r="L239" i="126"/>
  <c r="L240" i="126"/>
  <c r="L241" i="126"/>
  <c r="L242" i="126"/>
  <c r="L243" i="126"/>
  <c r="L244" i="126"/>
  <c r="L245" i="126"/>
  <c r="L246" i="126"/>
  <c r="L247" i="126"/>
  <c r="L248" i="126"/>
  <c r="L249" i="126"/>
  <c r="L250" i="126"/>
  <c r="L251" i="126"/>
  <c r="L252" i="126"/>
  <c r="L253" i="126"/>
  <c r="L254" i="126"/>
  <c r="L255" i="126"/>
  <c r="L256" i="126"/>
  <c r="L257" i="126"/>
  <c r="L258" i="126"/>
  <c r="L259" i="126"/>
  <c r="L260" i="126"/>
  <c r="L261" i="126"/>
  <c r="L262" i="126"/>
  <c r="L263" i="126"/>
  <c r="L264" i="126"/>
  <c r="L265" i="126"/>
  <c r="L266" i="126"/>
  <c r="L267" i="126"/>
  <c r="L268" i="126"/>
  <c r="L269" i="126"/>
  <c r="L270" i="126"/>
  <c r="L271" i="126"/>
  <c r="L272" i="126"/>
  <c r="L273" i="126"/>
  <c r="L274" i="126"/>
  <c r="L275" i="126"/>
  <c r="L276" i="126"/>
  <c r="L277" i="126"/>
  <c r="L278" i="126"/>
  <c r="L279" i="126"/>
  <c r="L280" i="126"/>
  <c r="L281" i="126"/>
  <c r="L282" i="126"/>
  <c r="L283" i="126"/>
  <c r="L284" i="126"/>
  <c r="L285" i="126"/>
  <c r="L286" i="126"/>
  <c r="L287" i="126"/>
  <c r="L288" i="126"/>
  <c r="L289" i="126"/>
  <c r="L290" i="126"/>
  <c r="L291" i="126"/>
  <c r="L292" i="126"/>
  <c r="L293" i="126"/>
  <c r="L294" i="126"/>
  <c r="L295" i="126"/>
  <c r="L296" i="126"/>
  <c r="L297" i="126"/>
  <c r="L298" i="126"/>
  <c r="L299" i="126"/>
  <c r="L300" i="126"/>
  <c r="L301" i="126"/>
  <c r="L302" i="126"/>
  <c r="L303" i="126"/>
  <c r="L304" i="126"/>
  <c r="L305" i="126"/>
  <c r="L306" i="126"/>
  <c r="L307" i="126"/>
  <c r="L308" i="126"/>
  <c r="L309" i="126"/>
  <c r="L310" i="126"/>
  <c r="L311" i="126"/>
  <c r="L312" i="126"/>
  <c r="L313" i="126"/>
  <c r="L314" i="126"/>
  <c r="L315" i="126"/>
  <c r="L316" i="126"/>
  <c r="L317" i="126"/>
  <c r="L318" i="126"/>
  <c r="L319" i="126"/>
  <c r="L320" i="126"/>
  <c r="L321" i="126"/>
  <c r="L322" i="126"/>
  <c r="L323" i="126"/>
  <c r="L324" i="126"/>
  <c r="L325" i="126"/>
  <c r="L326" i="126"/>
  <c r="L327" i="126"/>
  <c r="L328" i="126"/>
  <c r="L329" i="126"/>
  <c r="L330" i="126"/>
  <c r="L331" i="126"/>
  <c r="L332" i="126"/>
  <c r="L333" i="126"/>
  <c r="L334" i="126"/>
  <c r="L335" i="126"/>
  <c r="L336" i="126"/>
  <c r="L337" i="126"/>
  <c r="L338" i="126"/>
  <c r="L339" i="126"/>
  <c r="L340" i="126"/>
  <c r="L341" i="126"/>
  <c r="L342" i="126"/>
  <c r="L343" i="126"/>
  <c r="L344" i="126"/>
  <c r="L345" i="126"/>
  <c r="L346" i="126"/>
  <c r="L347" i="126"/>
  <c r="L348" i="126"/>
  <c r="L349" i="126"/>
  <c r="L350" i="126"/>
  <c r="L351" i="126"/>
  <c r="L352" i="126"/>
  <c r="L353" i="126"/>
  <c r="L354" i="126"/>
  <c r="L355" i="126"/>
  <c r="L356" i="126"/>
  <c r="L357" i="126"/>
  <c r="L358" i="126"/>
  <c r="L359" i="126"/>
  <c r="L360" i="126"/>
  <c r="L361" i="126"/>
  <c r="L362" i="126"/>
  <c r="L363" i="126"/>
  <c r="L364" i="126"/>
  <c r="L365" i="126"/>
  <c r="L366" i="126"/>
  <c r="L367" i="126"/>
  <c r="L368" i="126"/>
  <c r="L369" i="126"/>
  <c r="L370" i="126"/>
  <c r="L371" i="126"/>
  <c r="L372" i="126"/>
  <c r="L373" i="126"/>
  <c r="L374" i="126"/>
  <c r="L375" i="126"/>
  <c r="L376" i="126"/>
  <c r="L377" i="126"/>
  <c r="L378" i="126"/>
  <c r="L379" i="126"/>
  <c r="L380" i="126"/>
  <c r="L381" i="126"/>
  <c r="L382" i="126"/>
  <c r="L383" i="126"/>
  <c r="L384" i="126"/>
  <c r="L385" i="126"/>
  <c r="L386" i="126"/>
  <c r="L387" i="126"/>
  <c r="L388" i="126"/>
  <c r="L389" i="126"/>
  <c r="L390" i="126"/>
  <c r="L391" i="126"/>
  <c r="L392" i="126"/>
  <c r="L393" i="126"/>
  <c r="L394" i="126"/>
  <c r="L395" i="126"/>
  <c r="L396" i="126"/>
  <c r="L397" i="126"/>
  <c r="L398" i="126"/>
  <c r="L399" i="126"/>
  <c r="L400" i="126"/>
  <c r="L401" i="126"/>
  <c r="L402" i="126"/>
  <c r="L403" i="126"/>
  <c r="L404" i="126"/>
  <c r="L405" i="126"/>
  <c r="L2" i="126"/>
  <c r="K3" i="123"/>
  <c r="K4" i="123"/>
  <c r="K5" i="123"/>
  <c r="K6" i="123"/>
  <c r="K7" i="123"/>
  <c r="K8" i="123"/>
  <c r="K9" i="123"/>
  <c r="K10" i="123"/>
  <c r="K11" i="123"/>
  <c r="K12" i="123"/>
  <c r="K13" i="123"/>
  <c r="K14" i="123"/>
  <c r="K15" i="123"/>
  <c r="K16" i="123"/>
  <c r="K17" i="123"/>
  <c r="K18" i="123"/>
  <c r="K19" i="123"/>
  <c r="K20" i="123"/>
  <c r="K21" i="123"/>
  <c r="K22" i="123"/>
  <c r="K23" i="123"/>
  <c r="K24" i="123"/>
  <c r="K25" i="123"/>
  <c r="K26" i="123"/>
  <c r="K27" i="123"/>
  <c r="K28" i="123"/>
  <c r="K29" i="123"/>
  <c r="K30" i="123"/>
  <c r="K31" i="123"/>
  <c r="K32" i="123"/>
  <c r="K33" i="123"/>
  <c r="K34" i="123"/>
  <c r="K35" i="123"/>
  <c r="K36" i="123"/>
  <c r="K37" i="123"/>
  <c r="K38" i="123"/>
  <c r="K39" i="123"/>
  <c r="K40" i="123"/>
  <c r="K41" i="123"/>
  <c r="K42" i="123"/>
  <c r="K43" i="123"/>
  <c r="K44" i="123"/>
  <c r="K45" i="123"/>
  <c r="K46" i="123"/>
  <c r="K47" i="123"/>
  <c r="K48" i="123"/>
  <c r="K49" i="123"/>
  <c r="K50" i="123"/>
  <c r="K51" i="123"/>
  <c r="K52" i="123"/>
  <c r="K53" i="123"/>
  <c r="K54" i="123"/>
  <c r="K55" i="123"/>
  <c r="K56" i="123"/>
  <c r="K57" i="123"/>
  <c r="K58" i="123"/>
  <c r="K59" i="123"/>
  <c r="K60" i="123"/>
  <c r="K61" i="123"/>
  <c r="K62" i="123"/>
  <c r="K63" i="123"/>
  <c r="K64" i="123"/>
  <c r="K65" i="123"/>
  <c r="K66" i="123"/>
  <c r="K67" i="123"/>
  <c r="K68" i="123"/>
  <c r="K69" i="123"/>
  <c r="K70" i="123"/>
  <c r="K71" i="123"/>
  <c r="K72" i="123"/>
  <c r="K73" i="123"/>
  <c r="K74" i="123"/>
  <c r="K75" i="123"/>
  <c r="K76" i="123"/>
  <c r="K77" i="123"/>
  <c r="K78" i="123"/>
  <c r="K79" i="123"/>
  <c r="K80" i="123"/>
  <c r="K81" i="123"/>
  <c r="K82" i="123"/>
  <c r="K83" i="123"/>
  <c r="K84" i="123"/>
  <c r="K85" i="123"/>
  <c r="K86" i="123"/>
  <c r="K87" i="123"/>
  <c r="K88" i="123"/>
  <c r="K89" i="123"/>
  <c r="K90" i="123"/>
  <c r="K91" i="123"/>
  <c r="K92" i="123"/>
  <c r="K93" i="123"/>
  <c r="K94" i="123"/>
  <c r="K95" i="123"/>
  <c r="K96" i="123"/>
  <c r="K97" i="123"/>
  <c r="K98" i="123"/>
  <c r="K99" i="123"/>
  <c r="K100" i="123"/>
  <c r="K101" i="123"/>
  <c r="K102" i="123"/>
  <c r="K103" i="123"/>
  <c r="K104" i="123"/>
  <c r="K105" i="123"/>
  <c r="K106" i="123"/>
  <c r="K107" i="123"/>
  <c r="K108" i="123"/>
  <c r="K109" i="123"/>
  <c r="K2" i="123"/>
  <c r="AB11" i="125" l="1"/>
  <c r="AJ8" i="125"/>
  <c r="K8" i="125"/>
  <c r="Q12" i="125"/>
  <c r="T12" i="125" s="1"/>
  <c r="S10" i="125"/>
  <c r="U7" i="125"/>
  <c r="AK6" i="125"/>
  <c r="K11" i="125"/>
  <c r="O12" i="125"/>
  <c r="AM7" i="125"/>
  <c r="AH11" i="125"/>
  <c r="M11" i="125"/>
  <c r="N11" i="125"/>
  <c r="S9" i="125"/>
  <c r="O11" i="125"/>
  <c r="P11" i="125"/>
  <c r="AE8" i="125"/>
  <c r="AK8" i="125" s="1"/>
  <c r="P12" i="125"/>
  <c r="S12" i="125" s="1"/>
  <c r="AI11" i="125"/>
  <c r="AE12" i="125"/>
  <c r="AL6" i="125"/>
  <c r="M8" i="125"/>
  <c r="S8" i="125" s="1"/>
  <c r="AF12" i="125"/>
  <c r="AM6" i="125"/>
  <c r="N8" i="125"/>
  <c r="T8" i="125" s="1"/>
  <c r="AG12" i="125"/>
  <c r="S6" i="125"/>
  <c r="O8" i="125"/>
  <c r="U8" i="125" s="1"/>
  <c r="K12" i="125"/>
  <c r="T6" i="125"/>
  <c r="AK7" i="125"/>
  <c r="L12" i="125"/>
  <c r="Q11" i="125"/>
  <c r="AF11" i="125"/>
  <c r="AE11" i="125"/>
  <c r="AK11" i="125" s="1"/>
  <c r="J12" i="125"/>
  <c r="AJ12" i="125"/>
  <c r="AI12" i="125"/>
  <c r="R12" i="125"/>
  <c r="U12" i="125" s="1"/>
  <c r="AH12" i="125"/>
  <c r="U6" i="125"/>
  <c r="AF8" i="125"/>
  <c r="AL8" i="125" s="1"/>
  <c r="AG8" i="125"/>
  <c r="AM8" i="125" s="1"/>
  <c r="Q10" i="125"/>
  <c r="T10" i="125" s="1"/>
  <c r="AG11" i="125"/>
  <c r="AM11" i="125" s="1"/>
  <c r="AL7" i="125"/>
  <c r="R10" i="125"/>
  <c r="U10" i="125" s="1"/>
  <c r="R11" i="125"/>
  <c r="AD12" i="125"/>
  <c r="Q9" i="125"/>
  <c r="T9" i="125" s="1"/>
  <c r="R9" i="125"/>
  <c r="U9" i="125" s="1"/>
  <c r="AL226" i="140"/>
  <c r="AL163" i="140"/>
  <c r="AA163" i="140"/>
  <c r="AB163" i="140"/>
  <c r="Z163" i="140"/>
  <c r="H163" i="140"/>
  <c r="AR102" i="140"/>
  <c r="S102" i="140"/>
  <c r="Q102" i="140"/>
  <c r="P102" i="140"/>
  <c r="J102" i="140"/>
  <c r="I102" i="140" a="1"/>
  <c r="I102" i="140" s="1"/>
  <c r="K102" i="140" s="1"/>
  <c r="F102" i="140"/>
  <c r="AR52" i="140"/>
  <c r="S52" i="140"/>
  <c r="Q52" i="140"/>
  <c r="P52" i="140"/>
  <c r="J52" i="140"/>
  <c r="AT52" i="140" s="1"/>
  <c r="I52" i="140" a="1"/>
  <c r="I52" i="140" s="1"/>
  <c r="K52" i="140" s="1"/>
  <c r="F52" i="140"/>
  <c r="AL7" i="140"/>
  <c r="AC7" i="140"/>
  <c r="AC226" i="140" s="1"/>
  <c r="X7" i="140"/>
  <c r="W7" i="140"/>
  <c r="W226" i="140" s="1"/>
  <c r="V7" i="140"/>
  <c r="U7" i="140"/>
  <c r="S7" i="140"/>
  <c r="Q7" i="140"/>
  <c r="P7" i="140"/>
  <c r="J7" i="140"/>
  <c r="I7" i="140"/>
  <c r="H7" i="140"/>
  <c r="F7" i="140"/>
  <c r="AO226" i="140"/>
  <c r="BL226" i="140" s="1"/>
  <c r="AO163" i="140"/>
  <c r="BL163" i="140" s="1"/>
  <c r="AO102" i="140"/>
  <c r="BC102" i="140" s="1"/>
  <c r="AL102" i="140"/>
  <c r="AO52" i="140"/>
  <c r="BC52" i="140" s="1"/>
  <c r="AL52" i="140"/>
  <c r="AO7" i="140"/>
  <c r="Z1" i="138"/>
  <c r="X1" i="138"/>
  <c r="G1" i="138"/>
  <c r="E1" i="138"/>
  <c r="P4949" i="129"/>
  <c r="Q4949" i="129"/>
  <c r="R4949" i="129"/>
  <c r="P4950" i="129"/>
  <c r="Q4950" i="129"/>
  <c r="R4950" i="129"/>
  <c r="P4951" i="129"/>
  <c r="Q4951" i="129"/>
  <c r="R4951" i="129"/>
  <c r="P4952" i="129"/>
  <c r="Q4952" i="129"/>
  <c r="R4952" i="129"/>
  <c r="P4953" i="129"/>
  <c r="Q4953" i="129"/>
  <c r="R4953" i="129"/>
  <c r="P4954" i="129"/>
  <c r="Q4954" i="129"/>
  <c r="R4954" i="129"/>
  <c r="P4955" i="129"/>
  <c r="Q4955" i="129"/>
  <c r="R4955" i="129"/>
  <c r="P4956" i="129"/>
  <c r="Q4956" i="129"/>
  <c r="R4956" i="129"/>
  <c r="P4957" i="129"/>
  <c r="Q4957" i="129"/>
  <c r="R4957" i="129"/>
  <c r="P4958" i="129"/>
  <c r="Q4958" i="129"/>
  <c r="R4958" i="129"/>
  <c r="P4959" i="129"/>
  <c r="Q4959" i="129"/>
  <c r="R4959" i="129"/>
  <c r="P4960" i="129"/>
  <c r="Q4960" i="129"/>
  <c r="R4960" i="129"/>
  <c r="P4961" i="129"/>
  <c r="Q4961" i="129"/>
  <c r="R4961" i="129"/>
  <c r="P4962" i="129"/>
  <c r="Q4962" i="129"/>
  <c r="R4962" i="129"/>
  <c r="P4963" i="129"/>
  <c r="Q4963" i="129"/>
  <c r="R4963" i="129"/>
  <c r="P4964" i="129"/>
  <c r="Q4964" i="129"/>
  <c r="R4964" i="129"/>
  <c r="P4965" i="129"/>
  <c r="Q4965" i="129"/>
  <c r="R4965" i="129"/>
  <c r="P4966" i="129"/>
  <c r="Q4966" i="129"/>
  <c r="R4966" i="129"/>
  <c r="P4967" i="129"/>
  <c r="Q4967" i="129"/>
  <c r="R4967" i="129"/>
  <c r="P4968" i="129"/>
  <c r="Q4968" i="129"/>
  <c r="R4968" i="129"/>
  <c r="P4969" i="129"/>
  <c r="Q4969" i="129"/>
  <c r="R4969" i="129"/>
  <c r="P4970" i="129"/>
  <c r="Q4970" i="129"/>
  <c r="R4970" i="129"/>
  <c r="P4971" i="129"/>
  <c r="Q4971" i="129"/>
  <c r="R4971" i="129"/>
  <c r="P4972" i="129"/>
  <c r="Q4972" i="129"/>
  <c r="R4972" i="129"/>
  <c r="P4973" i="129"/>
  <c r="Q4973" i="129"/>
  <c r="R4973" i="129"/>
  <c r="P4974" i="129"/>
  <c r="Q4974" i="129"/>
  <c r="R4974" i="129"/>
  <c r="P4975" i="129"/>
  <c r="Q4975" i="129"/>
  <c r="R4975" i="129"/>
  <c r="P4976" i="129"/>
  <c r="Q4976" i="129"/>
  <c r="R4976" i="129"/>
  <c r="P4977" i="129"/>
  <c r="Q4977" i="129"/>
  <c r="R4977" i="129"/>
  <c r="O6436" i="127"/>
  <c r="P6436" i="127"/>
  <c r="O6437" i="127"/>
  <c r="P6437" i="127"/>
  <c r="O6438" i="127"/>
  <c r="P6438" i="127"/>
  <c r="O6439" i="127"/>
  <c r="P6439" i="127"/>
  <c r="O6440" i="127"/>
  <c r="P6440" i="127"/>
  <c r="O6441" i="127"/>
  <c r="P6441" i="127"/>
  <c r="O6442" i="127"/>
  <c r="P6442" i="127"/>
  <c r="O6443" i="127"/>
  <c r="P6443" i="127"/>
  <c r="O6444" i="127"/>
  <c r="P6444" i="127"/>
  <c r="O6445" i="127"/>
  <c r="P6445" i="127"/>
  <c r="O6446" i="127"/>
  <c r="P6446" i="127"/>
  <c r="O6447" i="127"/>
  <c r="P6447" i="127"/>
  <c r="O6448" i="127"/>
  <c r="P6448" i="127"/>
  <c r="O6449" i="127"/>
  <c r="P6449" i="127"/>
  <c r="O6450" i="127"/>
  <c r="P6450" i="127"/>
  <c r="O6451" i="127"/>
  <c r="P6451" i="127"/>
  <c r="O6452" i="127"/>
  <c r="P6452" i="127"/>
  <c r="O6453" i="127"/>
  <c r="P6453" i="127"/>
  <c r="O6454" i="127"/>
  <c r="P6454" i="127"/>
  <c r="O6455" i="127"/>
  <c r="P6455" i="127"/>
  <c r="O6456" i="127"/>
  <c r="P6456" i="127"/>
  <c r="O6457" i="127"/>
  <c r="P6457" i="127"/>
  <c r="O6458" i="127"/>
  <c r="P6458" i="127"/>
  <c r="O6459" i="127"/>
  <c r="P6459" i="127"/>
  <c r="O6460" i="127"/>
  <c r="P6460" i="127"/>
  <c r="O6461" i="127"/>
  <c r="P6461" i="127"/>
  <c r="O6462" i="127"/>
  <c r="P6462" i="127"/>
  <c r="O6463" i="127"/>
  <c r="P6463" i="127"/>
  <c r="O6464" i="127"/>
  <c r="P6464" i="127"/>
  <c r="O6465" i="127"/>
  <c r="P6465" i="127"/>
  <c r="O6466" i="127"/>
  <c r="P6466" i="127"/>
  <c r="O6467" i="127"/>
  <c r="P6467" i="127"/>
  <c r="O6468" i="127"/>
  <c r="P6468" i="127"/>
  <c r="O6469" i="127"/>
  <c r="P6469" i="127"/>
  <c r="O6470" i="127"/>
  <c r="P6470" i="127"/>
  <c r="O6471" i="127"/>
  <c r="P6471" i="127"/>
  <c r="O6472" i="127"/>
  <c r="P6472" i="127"/>
  <c r="O6473" i="127"/>
  <c r="P6473" i="127"/>
  <c r="O6474" i="127"/>
  <c r="P6474" i="127"/>
  <c r="O6475" i="127"/>
  <c r="P6475" i="127"/>
  <c r="O6476" i="127"/>
  <c r="P6476" i="127"/>
  <c r="N232" i="130"/>
  <c r="O232" i="130"/>
  <c r="N233" i="130"/>
  <c r="O233" i="130"/>
  <c r="V93" i="131"/>
  <c r="V92" i="131"/>
  <c r="Z7" i="140" l="1"/>
  <c r="N7" i="140"/>
  <c r="F163" i="140"/>
  <c r="AD163" i="140" s="1"/>
  <c r="R102" i="140"/>
  <c r="H226" i="140"/>
  <c r="AF226" i="140" s="1"/>
  <c r="Y163" i="140"/>
  <c r="Y7" i="140"/>
  <c r="R7" i="140"/>
  <c r="AF163" i="140"/>
  <c r="AD7" i="140"/>
  <c r="AB7" i="140"/>
  <c r="U226" i="140"/>
  <c r="V226" i="140"/>
  <c r="K7" i="140"/>
  <c r="M7" i="140"/>
  <c r="AF7" i="140"/>
  <c r="AA7" i="140"/>
  <c r="X226" i="140"/>
  <c r="AA226" i="140" s="1"/>
  <c r="T11" i="125"/>
  <c r="U11" i="125"/>
  <c r="AL12" i="125"/>
  <c r="AL11" i="125"/>
  <c r="AM12" i="125"/>
  <c r="S11" i="125"/>
  <c r="AK12" i="125"/>
  <c r="S163" i="140"/>
  <c r="S226" i="140" s="1"/>
  <c r="R52" i="140"/>
  <c r="O52" i="140"/>
  <c r="N102" i="140"/>
  <c r="I163" i="140"/>
  <c r="O102" i="140"/>
  <c r="J163" i="140"/>
  <c r="AS52" i="140"/>
  <c r="AU52" i="140" s="1"/>
  <c r="BA52" i="140"/>
  <c r="P163" i="140"/>
  <c r="AZ52" i="140"/>
  <c r="AP52" i="140"/>
  <c r="AW52" i="140" s="1"/>
  <c r="Q163" i="140"/>
  <c r="L102" i="140"/>
  <c r="M102" i="140"/>
  <c r="G102" i="140"/>
  <c r="T102" i="140" s="1"/>
  <c r="L52" i="140"/>
  <c r="N52" i="140"/>
  <c r="M52" i="140"/>
  <c r="G52" i="140"/>
  <c r="O7" i="140"/>
  <c r="AG7" i="140"/>
  <c r="G7" i="140"/>
  <c r="AE7" i="140" s="1"/>
  <c r="L7" i="140"/>
  <c r="AI7" i="140" s="1"/>
  <c r="H130" i="140"/>
  <c r="C233" i="154"/>
  <c r="B233" i="154"/>
  <c r="AD13" i="156"/>
  <c r="AC13" i="156"/>
  <c r="W13" i="156"/>
  <c r="V13" i="156"/>
  <c r="L13" i="156"/>
  <c r="K13" i="156"/>
  <c r="E13" i="156"/>
  <c r="D13" i="156"/>
  <c r="AD15" i="156"/>
  <c r="AD16" i="156" s="1"/>
  <c r="AC15" i="156"/>
  <c r="AC16" i="156" s="1"/>
  <c r="W15" i="156"/>
  <c r="W16" i="156" s="1"/>
  <c r="V15" i="156"/>
  <c r="L15" i="156"/>
  <c r="L16" i="156" s="1"/>
  <c r="K15" i="156"/>
  <c r="E15" i="156"/>
  <c r="E16" i="156" s="1"/>
  <c r="D15" i="156"/>
  <c r="L163" i="140" l="1"/>
  <c r="AI163" i="140" s="1"/>
  <c r="F226" i="140"/>
  <c r="O163" i="140"/>
  <c r="AK163" i="140" s="1"/>
  <c r="M163" i="140"/>
  <c r="AG163" i="140"/>
  <c r="AD226" i="140"/>
  <c r="AH7" i="140"/>
  <c r="AK7" i="140"/>
  <c r="AB226" i="140"/>
  <c r="Y226" i="140"/>
  <c r="Z226" i="140"/>
  <c r="AJ7" i="140"/>
  <c r="R163" i="140"/>
  <c r="Q226" i="140"/>
  <c r="J226" i="140"/>
  <c r="N163" i="140"/>
  <c r="AJ163" i="140" s="1"/>
  <c r="AQ52" i="140"/>
  <c r="AV52" i="140"/>
  <c r="AY52" i="140"/>
  <c r="K163" i="140"/>
  <c r="AH163" i="140" s="1"/>
  <c r="I226" i="140"/>
  <c r="P226" i="140"/>
  <c r="T52" i="140"/>
  <c r="G163" i="140"/>
  <c r="BB52" i="140"/>
  <c r="AX52" i="140"/>
  <c r="T7" i="140"/>
  <c r="AF13" i="156"/>
  <c r="N15" i="156"/>
  <c r="N13" i="156"/>
  <c r="O13" i="156"/>
  <c r="AG13" i="156"/>
  <c r="AG15" i="156"/>
  <c r="AG16" i="156"/>
  <c r="G13" i="156"/>
  <c r="Y13" i="156"/>
  <c r="Y15" i="156"/>
  <c r="X13" i="156"/>
  <c r="F13" i="156"/>
  <c r="V16" i="156"/>
  <c r="X16" i="156" s="1"/>
  <c r="O15" i="156"/>
  <c r="K16" i="156"/>
  <c r="O16" i="156"/>
  <c r="AF15" i="156"/>
  <c r="G15" i="156"/>
  <c r="D16" i="156"/>
  <c r="X15" i="156"/>
  <c r="F15" i="156"/>
  <c r="AH13" i="156" l="1"/>
  <c r="P13" i="156"/>
  <c r="AH15" i="156"/>
  <c r="P15" i="156"/>
  <c r="Y16" i="156"/>
  <c r="N226" i="140"/>
  <c r="AJ226" i="140" s="1"/>
  <c r="R226" i="140"/>
  <c r="AE163" i="140"/>
  <c r="G226" i="140"/>
  <c r="T163" i="140"/>
  <c r="O226" i="140"/>
  <c r="AK226" i="140" s="1"/>
  <c r="M226" i="140"/>
  <c r="K226" i="140"/>
  <c r="AH226" i="140" s="1"/>
  <c r="AG226" i="140"/>
  <c r="L226" i="140"/>
  <c r="AI226" i="140" s="1"/>
  <c r="N16" i="156"/>
  <c r="P16" i="156" s="1"/>
  <c r="G16" i="156"/>
  <c r="F16" i="156"/>
  <c r="AF16" i="156"/>
  <c r="AH16" i="156" s="1"/>
  <c r="AE226" i="140" l="1"/>
  <c r="T226" i="140"/>
  <c r="B195" i="154"/>
  <c r="C195" i="154"/>
  <c r="B196" i="154"/>
  <c r="C196" i="154"/>
  <c r="B197" i="154"/>
  <c r="C197" i="154"/>
  <c r="B198" i="154"/>
  <c r="C198" i="154"/>
  <c r="B199" i="154"/>
  <c r="C199" i="154"/>
  <c r="B200" i="154"/>
  <c r="C200" i="154"/>
  <c r="B201" i="154"/>
  <c r="C201" i="154"/>
  <c r="B202" i="154"/>
  <c r="C202" i="154"/>
  <c r="B203" i="154"/>
  <c r="C203" i="154"/>
  <c r="B204" i="154"/>
  <c r="C204" i="154"/>
  <c r="B205" i="154"/>
  <c r="C205" i="154"/>
  <c r="B206" i="154"/>
  <c r="C206" i="154"/>
  <c r="B207" i="154"/>
  <c r="C207" i="154"/>
  <c r="B208" i="154"/>
  <c r="C208" i="154"/>
  <c r="B209" i="154"/>
  <c r="C209" i="154"/>
  <c r="B210" i="154"/>
  <c r="C210" i="154"/>
  <c r="B211" i="154"/>
  <c r="C211" i="154"/>
  <c r="B212" i="154"/>
  <c r="C212" i="154"/>
  <c r="B213" i="154"/>
  <c r="C213" i="154"/>
  <c r="B214" i="154"/>
  <c r="C214" i="154"/>
  <c r="B215" i="154"/>
  <c r="C215" i="154"/>
  <c r="B216" i="154"/>
  <c r="C216" i="154"/>
  <c r="B217" i="154"/>
  <c r="C217" i="154"/>
  <c r="B218" i="154"/>
  <c r="C218" i="154"/>
  <c r="B219" i="154"/>
  <c r="C219" i="154"/>
  <c r="B220" i="154"/>
  <c r="C220" i="154"/>
  <c r="B221" i="154"/>
  <c r="C221" i="154"/>
  <c r="B222" i="154"/>
  <c r="C222" i="154"/>
  <c r="B223" i="154"/>
  <c r="C223" i="154"/>
  <c r="B224" i="154"/>
  <c r="C224" i="154"/>
  <c r="B225" i="154"/>
  <c r="C225" i="154"/>
  <c r="B226" i="154"/>
  <c r="C226" i="154"/>
  <c r="B227" i="154"/>
  <c r="C227" i="154"/>
  <c r="B228" i="154"/>
  <c r="C228" i="154"/>
  <c r="B229" i="154"/>
  <c r="C229" i="154"/>
  <c r="B230" i="154"/>
  <c r="C230" i="154"/>
  <c r="B231" i="154"/>
  <c r="C231" i="154"/>
  <c r="B232" i="154"/>
  <c r="C232" i="154"/>
  <c r="AE26" i="138" l="1"/>
  <c r="AD26" i="138"/>
  <c r="X26" i="138"/>
  <c r="W26" i="138"/>
  <c r="AE25" i="138"/>
  <c r="AD25" i="138"/>
  <c r="X25" i="138"/>
  <c r="W25" i="138"/>
  <c r="AE24" i="138"/>
  <c r="AD24" i="138"/>
  <c r="X24" i="138"/>
  <c r="W24" i="138"/>
  <c r="AE23" i="138"/>
  <c r="AD23" i="138"/>
  <c r="X23" i="138"/>
  <c r="AH23" i="138" s="1"/>
  <c r="W23" i="138"/>
  <c r="AE22" i="138"/>
  <c r="AD22" i="138"/>
  <c r="X22" i="138"/>
  <c r="W22" i="138"/>
  <c r="AE21" i="138"/>
  <c r="AD21" i="138"/>
  <c r="X21" i="138"/>
  <c r="W21" i="138"/>
  <c r="AE20" i="138"/>
  <c r="AD20" i="138"/>
  <c r="X20" i="138"/>
  <c r="W20" i="138"/>
  <c r="AE19" i="138"/>
  <c r="AD19" i="138"/>
  <c r="X19" i="138"/>
  <c r="W19" i="138"/>
  <c r="AE18" i="138"/>
  <c r="AD18" i="138"/>
  <c r="X18" i="138"/>
  <c r="W18" i="138"/>
  <c r="AE17" i="138"/>
  <c r="AD17" i="138"/>
  <c r="X17" i="138"/>
  <c r="W17" i="138"/>
  <c r="AE16" i="138"/>
  <c r="AD16" i="138"/>
  <c r="X16" i="138"/>
  <c r="W16" i="138"/>
  <c r="AE15" i="138"/>
  <c r="AD15" i="138"/>
  <c r="X15" i="138"/>
  <c r="W15" i="138"/>
  <c r="AE14" i="138"/>
  <c r="AD14" i="138"/>
  <c r="X14" i="138"/>
  <c r="W14" i="138"/>
  <c r="AE13" i="138"/>
  <c r="AD13" i="138"/>
  <c r="AD28" i="138" s="1"/>
  <c r="X13" i="138"/>
  <c r="W13" i="138"/>
  <c r="W28" i="138" s="1"/>
  <c r="AE10" i="138"/>
  <c r="AD10" i="138"/>
  <c r="X10" i="138"/>
  <c r="W10" i="138"/>
  <c r="AE9" i="138"/>
  <c r="AD9" i="138"/>
  <c r="X9" i="138"/>
  <c r="W9" i="138"/>
  <c r="AE8" i="138"/>
  <c r="AD8" i="138"/>
  <c r="X8" i="138"/>
  <c r="W8" i="138"/>
  <c r="AE7" i="138"/>
  <c r="AD7" i="138"/>
  <c r="AF7" i="138" s="1"/>
  <c r="X7" i="138"/>
  <c r="W7" i="138"/>
  <c r="AE6" i="138"/>
  <c r="AD6" i="138"/>
  <c r="X6" i="138"/>
  <c r="W6" i="138"/>
  <c r="AE5" i="138"/>
  <c r="AD5" i="138"/>
  <c r="X5" i="138"/>
  <c r="W5" i="138"/>
  <c r="AE4" i="138"/>
  <c r="AD4" i="138"/>
  <c r="X4" i="138"/>
  <c r="W4" i="138"/>
  <c r="AE3" i="138"/>
  <c r="AD3" i="138"/>
  <c r="X3" i="138"/>
  <c r="W3" i="138"/>
  <c r="AA19" i="125"/>
  <c r="Z19" i="125"/>
  <c r="X19" i="125"/>
  <c r="W19" i="125"/>
  <c r="AC19" i="125" s="1"/>
  <c r="V19" i="125"/>
  <c r="I19" i="125"/>
  <c r="R16" i="125" s="1"/>
  <c r="H19" i="125"/>
  <c r="K19" i="125" s="1"/>
  <c r="G19" i="125"/>
  <c r="P16" i="125" s="1"/>
  <c r="F19" i="125"/>
  <c r="E19" i="125"/>
  <c r="D19" i="125"/>
  <c r="AA18" i="125"/>
  <c r="Z18" i="125"/>
  <c r="X18" i="125"/>
  <c r="W18" i="125"/>
  <c r="V18" i="125"/>
  <c r="I18" i="125"/>
  <c r="H18" i="125"/>
  <c r="G18" i="125"/>
  <c r="F18" i="125"/>
  <c r="E18" i="125"/>
  <c r="D18" i="125"/>
  <c r="AM17" i="125"/>
  <c r="AL17" i="125"/>
  <c r="AK17" i="125"/>
  <c r="AD17" i="125"/>
  <c r="AC17" i="125"/>
  <c r="AB17" i="125"/>
  <c r="N17" i="125"/>
  <c r="L17" i="125"/>
  <c r="K17" i="125"/>
  <c r="J17" i="125"/>
  <c r="AM16" i="125"/>
  <c r="AL16" i="125"/>
  <c r="AK16" i="125"/>
  <c r="AD16" i="125"/>
  <c r="AC16" i="125"/>
  <c r="AB16" i="125"/>
  <c r="N16" i="125"/>
  <c r="L16" i="125"/>
  <c r="K16" i="125"/>
  <c r="J16" i="125"/>
  <c r="AA15" i="125"/>
  <c r="Z15" i="125"/>
  <c r="X15" i="125"/>
  <c r="W15" i="125"/>
  <c r="AC15" i="125" s="1"/>
  <c r="V15" i="125"/>
  <c r="I15" i="125"/>
  <c r="H15" i="125"/>
  <c r="K15" i="125" s="1"/>
  <c r="G15" i="125"/>
  <c r="J15" i="125" s="1"/>
  <c r="F15" i="125"/>
  <c r="E15" i="125"/>
  <c r="D15" i="125"/>
  <c r="AJ14" i="125"/>
  <c r="AI14" i="125"/>
  <c r="AG14" i="125"/>
  <c r="AF14" i="125"/>
  <c r="AE14" i="125"/>
  <c r="AD14" i="125"/>
  <c r="AC14" i="125"/>
  <c r="AB14" i="125"/>
  <c r="Y18" i="125"/>
  <c r="R14" i="125"/>
  <c r="Q14" i="125"/>
  <c r="P14" i="125"/>
  <c r="O14" i="125"/>
  <c r="N14" i="125"/>
  <c r="M14" i="125"/>
  <c r="L14" i="125"/>
  <c r="K14" i="125"/>
  <c r="J14" i="125"/>
  <c r="AJ13" i="125"/>
  <c r="AI13" i="125"/>
  <c r="AG13" i="125"/>
  <c r="AF13" i="125"/>
  <c r="AL13" i="125" s="1"/>
  <c r="AE13" i="125"/>
  <c r="AD13" i="125"/>
  <c r="AC13" i="125"/>
  <c r="AB13" i="125"/>
  <c r="Y15" i="125"/>
  <c r="R13" i="125"/>
  <c r="Q13" i="125"/>
  <c r="P13" i="125"/>
  <c r="P15" i="125" s="1"/>
  <c r="O13" i="125"/>
  <c r="N13" i="125"/>
  <c r="M13" i="125"/>
  <c r="L13" i="125"/>
  <c r="K13" i="125"/>
  <c r="J13" i="125"/>
  <c r="R4948" i="129"/>
  <c r="Q4948" i="129"/>
  <c r="P4948" i="129"/>
  <c r="R4947" i="129"/>
  <c r="Q4947" i="129"/>
  <c r="P4947" i="129"/>
  <c r="R4946" i="129"/>
  <c r="Q4946" i="129"/>
  <c r="P4946" i="129"/>
  <c r="R4945" i="129"/>
  <c r="Q4945" i="129"/>
  <c r="P4945" i="129"/>
  <c r="R4944" i="129"/>
  <c r="Q4944" i="129"/>
  <c r="P4944" i="129"/>
  <c r="R4943" i="129"/>
  <c r="Q4943" i="129"/>
  <c r="P4943" i="129"/>
  <c r="R4942" i="129"/>
  <c r="Q4942" i="129"/>
  <c r="P4942" i="129"/>
  <c r="R4941" i="129"/>
  <c r="Q4941" i="129"/>
  <c r="P4941" i="129"/>
  <c r="R4940" i="129"/>
  <c r="Q4940" i="129"/>
  <c r="P4940" i="129"/>
  <c r="R4939" i="129"/>
  <c r="Q4939" i="129"/>
  <c r="P4939" i="129"/>
  <c r="R4938" i="129"/>
  <c r="Q4938" i="129"/>
  <c r="P4938" i="129"/>
  <c r="R4937" i="129"/>
  <c r="Q4937" i="129"/>
  <c r="P4937" i="129"/>
  <c r="R4936" i="129"/>
  <c r="Q4936" i="129"/>
  <c r="P4936" i="129"/>
  <c r="R4935" i="129"/>
  <c r="Q4935" i="129"/>
  <c r="P4935" i="129"/>
  <c r="R4934" i="129"/>
  <c r="Q4934" i="129"/>
  <c r="P4934" i="129"/>
  <c r="R4933" i="129"/>
  <c r="Q4933" i="129"/>
  <c r="P4933" i="129"/>
  <c r="R4932" i="129"/>
  <c r="Q4932" i="129"/>
  <c r="P4932" i="129"/>
  <c r="R4931" i="129"/>
  <c r="Q4931" i="129"/>
  <c r="P4931" i="129"/>
  <c r="R4930" i="129"/>
  <c r="Q4930" i="129"/>
  <c r="P4930" i="129"/>
  <c r="R4929" i="129"/>
  <c r="Q4929" i="129"/>
  <c r="P4929" i="129"/>
  <c r="R4928" i="129"/>
  <c r="Q4928" i="129"/>
  <c r="P4928" i="129"/>
  <c r="R4927" i="129"/>
  <c r="Q4927" i="129"/>
  <c r="P4927" i="129"/>
  <c r="R4926" i="129"/>
  <c r="Q4926" i="129"/>
  <c r="P4926" i="129"/>
  <c r="R4925" i="129"/>
  <c r="Q4925" i="129"/>
  <c r="P4925" i="129"/>
  <c r="R4924" i="129"/>
  <c r="Q4924" i="129"/>
  <c r="P4924" i="129"/>
  <c r="R4923" i="129"/>
  <c r="Q4923" i="129"/>
  <c r="P4923" i="129"/>
  <c r="R4922" i="129"/>
  <c r="Q4922" i="129"/>
  <c r="P4922" i="129"/>
  <c r="R4921" i="129"/>
  <c r="Q4921" i="129"/>
  <c r="P4921" i="129"/>
  <c r="R4920" i="129"/>
  <c r="Q4920" i="129"/>
  <c r="P4920" i="129"/>
  <c r="R4919" i="129"/>
  <c r="Q4919" i="129"/>
  <c r="P4919" i="129"/>
  <c r="O6395" i="127"/>
  <c r="P6395" i="127"/>
  <c r="O6396" i="127"/>
  <c r="P6396" i="127"/>
  <c r="O6397" i="127"/>
  <c r="P6397" i="127"/>
  <c r="O6398" i="127"/>
  <c r="P6398" i="127"/>
  <c r="O6399" i="127"/>
  <c r="P6399" i="127"/>
  <c r="O6400" i="127"/>
  <c r="P6400" i="127"/>
  <c r="O6401" i="127"/>
  <c r="P6401" i="127"/>
  <c r="O6402" i="127"/>
  <c r="P6402" i="127"/>
  <c r="O6403" i="127"/>
  <c r="P6403" i="127"/>
  <c r="O6404" i="127"/>
  <c r="P6404" i="127"/>
  <c r="O6405" i="127"/>
  <c r="P6405" i="127"/>
  <c r="O6406" i="127"/>
  <c r="P6406" i="127"/>
  <c r="O6407" i="127"/>
  <c r="P6407" i="127"/>
  <c r="O6408" i="127"/>
  <c r="P6408" i="127"/>
  <c r="O6409" i="127"/>
  <c r="P6409" i="127"/>
  <c r="O6410" i="127"/>
  <c r="P6410" i="127"/>
  <c r="O6411" i="127"/>
  <c r="P6411" i="127"/>
  <c r="O6412" i="127"/>
  <c r="P6412" i="127"/>
  <c r="O6413" i="127"/>
  <c r="P6413" i="127"/>
  <c r="O6414" i="127"/>
  <c r="P6414" i="127"/>
  <c r="O6415" i="127"/>
  <c r="P6415" i="127"/>
  <c r="O6416" i="127"/>
  <c r="P6416" i="127"/>
  <c r="O6417" i="127"/>
  <c r="P6417" i="127"/>
  <c r="O6418" i="127"/>
  <c r="P6418" i="127"/>
  <c r="O6419" i="127"/>
  <c r="P6419" i="127"/>
  <c r="O6420" i="127"/>
  <c r="P6420" i="127"/>
  <c r="O6421" i="127"/>
  <c r="P6421" i="127"/>
  <c r="O6422" i="127"/>
  <c r="P6422" i="127"/>
  <c r="O6423" i="127"/>
  <c r="P6423" i="127"/>
  <c r="O6424" i="127"/>
  <c r="P6424" i="127"/>
  <c r="O6425" i="127"/>
  <c r="P6425" i="127"/>
  <c r="O6426" i="127"/>
  <c r="P6426" i="127"/>
  <c r="O6427" i="127"/>
  <c r="P6427" i="127"/>
  <c r="O6428" i="127"/>
  <c r="P6428" i="127"/>
  <c r="O6429" i="127"/>
  <c r="P6429" i="127"/>
  <c r="O6430" i="127"/>
  <c r="P6430" i="127"/>
  <c r="O6431" i="127"/>
  <c r="P6431" i="127"/>
  <c r="O6432" i="127"/>
  <c r="P6432" i="127"/>
  <c r="O6433" i="127"/>
  <c r="P6433" i="127"/>
  <c r="O6434" i="127"/>
  <c r="P6434" i="127"/>
  <c r="O6435" i="127"/>
  <c r="P6435" i="127"/>
  <c r="N230" i="130"/>
  <c r="O230" i="130"/>
  <c r="N231" i="130"/>
  <c r="O231" i="130"/>
  <c r="AO227" i="140"/>
  <c r="BL227" i="140" s="1"/>
  <c r="AL227" i="140"/>
  <c r="AO164" i="140"/>
  <c r="BL164" i="140" s="1"/>
  <c r="AL164" i="140"/>
  <c r="AC164" i="140"/>
  <c r="X164" i="140"/>
  <c r="W164" i="140"/>
  <c r="V164" i="140"/>
  <c r="U164" i="140"/>
  <c r="H164" i="140"/>
  <c r="S103" i="140"/>
  <c r="Q103" i="140"/>
  <c r="P103" i="140"/>
  <c r="J103" i="140"/>
  <c r="I103" i="140" a="1"/>
  <c r="I103" i="140" s="1"/>
  <c r="K103" i="140" s="1"/>
  <c r="F103" i="140"/>
  <c r="AO103" i="140"/>
  <c r="BC103" i="140" s="1"/>
  <c r="AL103" i="140"/>
  <c r="AL53" i="140"/>
  <c r="S53" i="140"/>
  <c r="Q53" i="140"/>
  <c r="P53" i="140"/>
  <c r="J53" i="140"/>
  <c r="I53" i="140" a="1"/>
  <c r="I53" i="140" s="1"/>
  <c r="K53" i="140" s="1"/>
  <c r="F53" i="140"/>
  <c r="AO53" i="140"/>
  <c r="BC53" i="140" s="1"/>
  <c r="AL8" i="140"/>
  <c r="AC8" i="140"/>
  <c r="X8" i="140"/>
  <c r="W8" i="140"/>
  <c r="V8" i="140"/>
  <c r="U8" i="140"/>
  <c r="S8" i="140"/>
  <c r="AO8" i="140"/>
  <c r="F8" i="140"/>
  <c r="H8" i="140"/>
  <c r="I8" i="140"/>
  <c r="J8" i="140"/>
  <c r="P8" i="140"/>
  <c r="Q8" i="140"/>
  <c r="X227" i="140" l="1"/>
  <c r="P17" i="125"/>
  <c r="AI18" i="125"/>
  <c r="J18" i="125"/>
  <c r="AE19" i="125"/>
  <c r="R17" i="125"/>
  <c r="N19" i="125"/>
  <c r="Q16" i="125"/>
  <c r="T16" i="125" s="1"/>
  <c r="O19" i="125"/>
  <c r="L19" i="125"/>
  <c r="AC227" i="140"/>
  <c r="Y14" i="138"/>
  <c r="Z18" i="138"/>
  <c r="Y22" i="138"/>
  <c r="Y26" i="138"/>
  <c r="AH26" i="138"/>
  <c r="Z8" i="138"/>
  <c r="Y10" i="138"/>
  <c r="AE28" i="138"/>
  <c r="AF28" i="138" s="1"/>
  <c r="AH24" i="138"/>
  <c r="Z17" i="138"/>
  <c r="Y19" i="138"/>
  <c r="Z23" i="138"/>
  <c r="Z25" i="138"/>
  <c r="AH17" i="138"/>
  <c r="AG26" i="138"/>
  <c r="AF8" i="140"/>
  <c r="K8" i="140"/>
  <c r="AD8" i="140"/>
  <c r="AG5" i="138"/>
  <c r="Y9" i="138"/>
  <c r="AH5" i="138"/>
  <c r="AG4" i="138"/>
  <c r="AG15" i="138"/>
  <c r="AG21" i="138"/>
  <c r="AH19" i="138"/>
  <c r="Z24" i="138"/>
  <c r="AH14" i="138"/>
  <c r="AH16" i="138"/>
  <c r="AH18" i="138"/>
  <c r="AH22" i="138"/>
  <c r="AF19" i="138"/>
  <c r="AF23" i="138"/>
  <c r="AF21" i="138"/>
  <c r="Z5" i="138"/>
  <c r="AH8" i="138"/>
  <c r="Z10" i="138"/>
  <c r="Y16" i="138"/>
  <c r="Z7" i="138"/>
  <c r="Z9" i="138"/>
  <c r="AF10" i="138"/>
  <c r="AF16" i="138"/>
  <c r="AG18" i="138"/>
  <c r="AH4" i="138"/>
  <c r="AI4" i="138" s="1"/>
  <c r="AH10" i="138"/>
  <c r="AG24" i="138"/>
  <c r="AH7" i="138"/>
  <c r="AH9" i="138"/>
  <c r="X28" i="138"/>
  <c r="Z28" i="138" s="1"/>
  <c r="Z16" i="138"/>
  <c r="AG17" i="138"/>
  <c r="AF18" i="138"/>
  <c r="AG25" i="138"/>
  <c r="Y23" i="138"/>
  <c r="AH25" i="138"/>
  <c r="AF15" i="138"/>
  <c r="Y18" i="138"/>
  <c r="AH20" i="138"/>
  <c r="AF24" i="138"/>
  <c r="Z26" i="138"/>
  <c r="AG16" i="138"/>
  <c r="AG14" i="138"/>
  <c r="Z19" i="138"/>
  <c r="Z21" i="138"/>
  <c r="AG22" i="138"/>
  <c r="AG23" i="138"/>
  <c r="AI23" i="138" s="1"/>
  <c r="AH21" i="138"/>
  <c r="Y21" i="138"/>
  <c r="AG9" i="138"/>
  <c r="X12" i="138"/>
  <c r="AD12" i="138"/>
  <c r="AD29" i="138" s="1"/>
  <c r="AG10" i="138"/>
  <c r="AG6" i="138"/>
  <c r="Y5" i="138"/>
  <c r="AF3" i="138"/>
  <c r="AF6" i="138"/>
  <c r="AG8" i="138"/>
  <c r="AH13" i="138"/>
  <c r="AG28" i="138"/>
  <c r="Z14" i="138"/>
  <c r="AG19" i="138"/>
  <c r="Z22" i="138"/>
  <c r="AF4" i="138"/>
  <c r="Y7" i="138"/>
  <c r="AG7" i="138"/>
  <c r="AF13" i="138"/>
  <c r="Y24" i="138"/>
  <c r="Y4" i="138"/>
  <c r="AF9" i="138"/>
  <c r="Y13" i="138"/>
  <c r="AG13" i="138"/>
  <c r="AF26" i="138"/>
  <c r="Z4" i="138"/>
  <c r="AE12" i="138"/>
  <c r="Y15" i="138"/>
  <c r="AF20" i="138"/>
  <c r="Y3" i="138"/>
  <c r="AG3" i="138"/>
  <c r="Z6" i="138"/>
  <c r="AH6" i="138"/>
  <c r="Z15" i="138"/>
  <c r="AH15" i="138"/>
  <c r="Y20" i="138"/>
  <c r="AG20" i="138"/>
  <c r="AF25" i="138"/>
  <c r="W12" i="138"/>
  <c r="Z13" i="138"/>
  <c r="AF8" i="138"/>
  <c r="AF17" i="138"/>
  <c r="Z3" i="138"/>
  <c r="AH3" i="138"/>
  <c r="AF5" i="138"/>
  <c r="Y8" i="138"/>
  <c r="AF14" i="138"/>
  <c r="Y17" i="138"/>
  <c r="Z20" i="138"/>
  <c r="AF22" i="138"/>
  <c r="Y25" i="138"/>
  <c r="Y6" i="138"/>
  <c r="AD19" i="125"/>
  <c r="AD15" i="125"/>
  <c r="AC18" i="125"/>
  <c r="AM13" i="125"/>
  <c r="AF18" i="125"/>
  <c r="AD18" i="125"/>
  <c r="AG18" i="125"/>
  <c r="Q18" i="125"/>
  <c r="S13" i="125"/>
  <c r="R18" i="125"/>
  <c r="Q17" i="125"/>
  <c r="T17" i="125" s="1"/>
  <c r="K18" i="125"/>
  <c r="L18" i="125"/>
  <c r="Q15" i="125"/>
  <c r="L15" i="125"/>
  <c r="AI19" i="125"/>
  <c r="R15" i="125"/>
  <c r="AI15" i="125"/>
  <c r="AJ15" i="125"/>
  <c r="P18" i="125"/>
  <c r="AL18" i="125"/>
  <c r="AJ19" i="125"/>
  <c r="AL14" i="125"/>
  <c r="M16" i="125"/>
  <c r="S16" i="125" s="1"/>
  <c r="M17" i="125"/>
  <c r="M18" i="125"/>
  <c r="AM14" i="125"/>
  <c r="AG15" i="125"/>
  <c r="N18" i="125"/>
  <c r="T18" i="125" s="1"/>
  <c r="O16" i="125"/>
  <c r="U16" i="125" s="1"/>
  <c r="O17" i="125"/>
  <c r="U17" i="125" s="1"/>
  <c r="O18" i="125"/>
  <c r="S17" i="125"/>
  <c r="J19" i="125"/>
  <c r="AB15" i="125"/>
  <c r="S18" i="125"/>
  <c r="U18" i="125"/>
  <c r="AB18" i="125"/>
  <c r="T13" i="125"/>
  <c r="S14" i="125"/>
  <c r="AJ18" i="125"/>
  <c r="P19" i="125"/>
  <c r="AF19" i="125"/>
  <c r="U13" i="125"/>
  <c r="AH13" i="125"/>
  <c r="T14" i="125"/>
  <c r="M15" i="125"/>
  <c r="S15" i="125" s="1"/>
  <c r="Q19" i="125"/>
  <c r="T19" i="125" s="1"/>
  <c r="Y19" i="125"/>
  <c r="AH19" i="125" s="1"/>
  <c r="AK19" i="125" s="1"/>
  <c r="AG19" i="125"/>
  <c r="U14" i="125"/>
  <c r="AH14" i="125"/>
  <c r="N15" i="125"/>
  <c r="T15" i="125" s="1"/>
  <c r="R19" i="125"/>
  <c r="U19" i="125" s="1"/>
  <c r="O15" i="125"/>
  <c r="AE15" i="125"/>
  <c r="AE18" i="125"/>
  <c r="AF15" i="125"/>
  <c r="AL15" i="125" s="1"/>
  <c r="M19" i="125"/>
  <c r="S164" i="140"/>
  <c r="S227" i="140" s="1"/>
  <c r="H227" i="140"/>
  <c r="Q164" i="140"/>
  <c r="Q227" i="140" s="1"/>
  <c r="U227" i="140"/>
  <c r="V227" i="140"/>
  <c r="W227" i="140"/>
  <c r="AF164" i="140"/>
  <c r="AB164" i="140"/>
  <c r="Y164" i="140"/>
  <c r="R103" i="140"/>
  <c r="F164" i="140"/>
  <c r="Z164" i="140"/>
  <c r="P164" i="140"/>
  <c r="P227" i="140" s="1"/>
  <c r="R53" i="140"/>
  <c r="I164" i="140"/>
  <c r="I227" i="140" s="1"/>
  <c r="O103" i="140"/>
  <c r="J164" i="140"/>
  <c r="AA164" i="140"/>
  <c r="L103" i="140"/>
  <c r="N103" i="140"/>
  <c r="M103" i="140"/>
  <c r="G103" i="140"/>
  <c r="T103" i="140" s="1"/>
  <c r="M53" i="140"/>
  <c r="AG8" i="140"/>
  <c r="AA8" i="140"/>
  <c r="G53" i="140"/>
  <c r="T53" i="140" s="1"/>
  <c r="N53" i="140"/>
  <c r="O53" i="140"/>
  <c r="L53" i="140"/>
  <c r="AB8" i="140"/>
  <c r="Y8" i="140"/>
  <c r="Z8" i="140"/>
  <c r="R8" i="140"/>
  <c r="O8" i="140"/>
  <c r="G8" i="140"/>
  <c r="N8" i="140"/>
  <c r="M8" i="140"/>
  <c r="L8" i="140"/>
  <c r="AJ21" i="125"/>
  <c r="AI21" i="125"/>
  <c r="AJ20" i="125"/>
  <c r="AI20" i="125"/>
  <c r="AG21" i="125"/>
  <c r="AG25" i="125" s="1"/>
  <c r="AF21" i="125"/>
  <c r="AL21" i="125" s="1"/>
  <c r="AE21" i="125"/>
  <c r="AG20" i="125"/>
  <c r="AF20" i="125"/>
  <c r="AE20" i="125"/>
  <c r="AM24" i="125"/>
  <c r="AL24" i="125"/>
  <c r="AK24" i="125"/>
  <c r="AM23" i="125"/>
  <c r="AL23" i="125"/>
  <c r="AK23" i="125"/>
  <c r="AE22" i="125"/>
  <c r="AM20" i="125"/>
  <c r="Y21" i="125"/>
  <c r="AB21" i="125" s="1"/>
  <c r="Y20" i="125"/>
  <c r="AH20" i="125" s="1"/>
  <c r="AA26" i="125"/>
  <c r="Z26" i="125"/>
  <c r="X26" i="125"/>
  <c r="W26" i="125"/>
  <c r="V26" i="125"/>
  <c r="AE26" i="125" s="1"/>
  <c r="AA25" i="125"/>
  <c r="Z25" i="125"/>
  <c r="Y25" i="125"/>
  <c r="X25" i="125"/>
  <c r="W25" i="125"/>
  <c r="V25" i="125"/>
  <c r="AD24" i="125"/>
  <c r="AC24" i="125"/>
  <c r="AB24" i="125"/>
  <c r="AD23" i="125"/>
  <c r="AC23" i="125"/>
  <c r="AB23" i="125"/>
  <c r="AA22" i="125"/>
  <c r="Z22" i="125"/>
  <c r="Y22" i="125"/>
  <c r="X22" i="125"/>
  <c r="W22" i="125"/>
  <c r="AC22" i="125" s="1"/>
  <c r="V22" i="125"/>
  <c r="AD21" i="125"/>
  <c r="AC21" i="125"/>
  <c r="AD20" i="125"/>
  <c r="AC20" i="125"/>
  <c r="AB20" i="125"/>
  <c r="J10" i="134"/>
  <c r="I26" i="125"/>
  <c r="R23" i="125" s="1"/>
  <c r="H26" i="125"/>
  <c r="Q24" i="125" s="1"/>
  <c r="G26" i="125"/>
  <c r="P24" i="125" s="1"/>
  <c r="F26" i="125"/>
  <c r="O23" i="125" s="1"/>
  <c r="E26" i="125"/>
  <c r="K26" i="125" s="1"/>
  <c r="D26" i="125"/>
  <c r="M23" i="125" s="1"/>
  <c r="I25" i="125"/>
  <c r="H25" i="125"/>
  <c r="G25" i="125"/>
  <c r="F25" i="125"/>
  <c r="E25" i="125"/>
  <c r="D25" i="125"/>
  <c r="N24" i="125"/>
  <c r="M24" i="125"/>
  <c r="L24" i="125"/>
  <c r="K24" i="125"/>
  <c r="J24" i="125"/>
  <c r="L23" i="125"/>
  <c r="K23" i="125"/>
  <c r="J23" i="125"/>
  <c r="I22" i="125"/>
  <c r="H22" i="125"/>
  <c r="G22" i="125"/>
  <c r="F22" i="125"/>
  <c r="L22" i="125" s="1"/>
  <c r="E22" i="125"/>
  <c r="D22" i="125"/>
  <c r="R21" i="125"/>
  <c r="Q21" i="125"/>
  <c r="P21" i="125"/>
  <c r="O21" i="125"/>
  <c r="N21" i="125"/>
  <c r="M21" i="125"/>
  <c r="L21" i="125"/>
  <c r="K21" i="125"/>
  <c r="J21" i="125"/>
  <c r="R20" i="125"/>
  <c r="Q20" i="125"/>
  <c r="P20" i="125"/>
  <c r="O20" i="125"/>
  <c r="O26" i="125" s="1"/>
  <c r="N20" i="125"/>
  <c r="M20" i="125"/>
  <c r="L20" i="125"/>
  <c r="K20" i="125"/>
  <c r="J20" i="125"/>
  <c r="P3112" i="129"/>
  <c r="Q3112" i="129"/>
  <c r="R3112" i="129"/>
  <c r="P3113" i="129"/>
  <c r="Q3113" i="129"/>
  <c r="R3113" i="129"/>
  <c r="P3114" i="129"/>
  <c r="Q3114" i="129"/>
  <c r="R3114" i="129"/>
  <c r="P3115" i="129"/>
  <c r="Q3115" i="129"/>
  <c r="R3115" i="129"/>
  <c r="P3116" i="129"/>
  <c r="Q3116" i="129"/>
  <c r="R3116" i="129"/>
  <c r="P3117" i="129"/>
  <c r="Q3117" i="129"/>
  <c r="R3117" i="129"/>
  <c r="P3118" i="129"/>
  <c r="Q3118" i="129"/>
  <c r="R3118" i="129"/>
  <c r="P3119" i="129"/>
  <c r="Q3119" i="129"/>
  <c r="R3119" i="129"/>
  <c r="P3120" i="129"/>
  <c r="Q3120" i="129"/>
  <c r="R3120" i="129"/>
  <c r="P3121" i="129"/>
  <c r="Q3121" i="129"/>
  <c r="R3121" i="129"/>
  <c r="P3122" i="129"/>
  <c r="Q3122" i="129"/>
  <c r="R3122" i="129"/>
  <c r="P3123" i="129"/>
  <c r="Q3123" i="129"/>
  <c r="R3123" i="129"/>
  <c r="P3124" i="129"/>
  <c r="Q3124" i="129"/>
  <c r="R3124" i="129"/>
  <c r="P3125" i="129"/>
  <c r="Q3125" i="129"/>
  <c r="R3125" i="129"/>
  <c r="P3126" i="129"/>
  <c r="Q3126" i="129"/>
  <c r="R3126" i="129"/>
  <c r="P3127" i="129"/>
  <c r="Q3127" i="129"/>
  <c r="R3127" i="129"/>
  <c r="P3128" i="129"/>
  <c r="Q3128" i="129"/>
  <c r="R3128" i="129"/>
  <c r="P3129" i="129"/>
  <c r="Q3129" i="129"/>
  <c r="R3129" i="129"/>
  <c r="P3130" i="129"/>
  <c r="Q3130" i="129"/>
  <c r="R3130" i="129"/>
  <c r="P3131" i="129"/>
  <c r="Q3131" i="129"/>
  <c r="R3131" i="129"/>
  <c r="P3132" i="129"/>
  <c r="Q3132" i="129"/>
  <c r="R3132" i="129"/>
  <c r="P3133" i="129"/>
  <c r="Q3133" i="129"/>
  <c r="R3133" i="129"/>
  <c r="P3134" i="129"/>
  <c r="Q3134" i="129"/>
  <c r="R3134" i="129"/>
  <c r="P3135" i="129"/>
  <c r="Q3135" i="129"/>
  <c r="R3135" i="129"/>
  <c r="P3136" i="129"/>
  <c r="Q3136" i="129"/>
  <c r="R3136" i="129"/>
  <c r="P3137" i="129"/>
  <c r="Q3137" i="129"/>
  <c r="R3137" i="129"/>
  <c r="P3138" i="129"/>
  <c r="Q3138" i="129"/>
  <c r="R3138" i="129"/>
  <c r="P3139" i="129"/>
  <c r="Q3139" i="129"/>
  <c r="R3139" i="129"/>
  <c r="P3140" i="129"/>
  <c r="Q3140" i="129"/>
  <c r="R3140" i="129"/>
  <c r="P3141" i="129"/>
  <c r="Q3141" i="129"/>
  <c r="R3141" i="129"/>
  <c r="P3142" i="129"/>
  <c r="Q3142" i="129"/>
  <c r="R3142" i="129"/>
  <c r="P3143" i="129"/>
  <c r="Q3143" i="129"/>
  <c r="R3143" i="129"/>
  <c r="P3144" i="129"/>
  <c r="Q3144" i="129"/>
  <c r="R3144" i="129"/>
  <c r="P3145" i="129"/>
  <c r="Q3145" i="129"/>
  <c r="R3145" i="129"/>
  <c r="P3146" i="129"/>
  <c r="Q3146" i="129"/>
  <c r="R3146" i="129"/>
  <c r="P3147" i="129"/>
  <c r="Q3147" i="129"/>
  <c r="R3147" i="129"/>
  <c r="P3148" i="129"/>
  <c r="Q3148" i="129"/>
  <c r="R3148" i="129"/>
  <c r="P3149" i="129"/>
  <c r="Q3149" i="129"/>
  <c r="R3149" i="129"/>
  <c r="P3150" i="129"/>
  <c r="Q3150" i="129"/>
  <c r="R3150" i="129"/>
  <c r="P3151" i="129"/>
  <c r="Q3151" i="129"/>
  <c r="R3151" i="129"/>
  <c r="P3152" i="129"/>
  <c r="Q3152" i="129"/>
  <c r="R3152" i="129"/>
  <c r="P3153" i="129"/>
  <c r="Q3153" i="129"/>
  <c r="R3153" i="129"/>
  <c r="P3154" i="129"/>
  <c r="Q3154" i="129"/>
  <c r="R3154" i="129"/>
  <c r="P3155" i="129"/>
  <c r="Q3155" i="129"/>
  <c r="R3155" i="129"/>
  <c r="P3156" i="129"/>
  <c r="Q3156" i="129"/>
  <c r="R3156" i="129"/>
  <c r="P3157" i="129"/>
  <c r="Q3157" i="129"/>
  <c r="R3157" i="129"/>
  <c r="P3158" i="129"/>
  <c r="Q3158" i="129"/>
  <c r="R3158" i="129"/>
  <c r="P3159" i="129"/>
  <c r="Q3159" i="129"/>
  <c r="R3159" i="129"/>
  <c r="P3160" i="129"/>
  <c r="Q3160" i="129"/>
  <c r="R3160" i="129"/>
  <c r="P3161" i="129"/>
  <c r="Q3161" i="129"/>
  <c r="R3161" i="129"/>
  <c r="P3162" i="129"/>
  <c r="Q3162" i="129"/>
  <c r="R3162" i="129"/>
  <c r="P3163" i="129"/>
  <c r="Q3163" i="129"/>
  <c r="R3163" i="129"/>
  <c r="P3164" i="129"/>
  <c r="Q3164" i="129"/>
  <c r="R3164" i="129"/>
  <c r="P3165" i="129"/>
  <c r="Q3165" i="129"/>
  <c r="R3165" i="129"/>
  <c r="P3166" i="129"/>
  <c r="Q3166" i="129"/>
  <c r="R3166" i="129"/>
  <c r="P3167" i="129"/>
  <c r="Q3167" i="129"/>
  <c r="R3167" i="129"/>
  <c r="P3168" i="129"/>
  <c r="Q3168" i="129"/>
  <c r="R3168" i="129"/>
  <c r="P3169" i="129"/>
  <c r="Q3169" i="129"/>
  <c r="R3169" i="129"/>
  <c r="P3170" i="129"/>
  <c r="Q3170" i="129"/>
  <c r="R3170" i="129"/>
  <c r="P3171" i="129"/>
  <c r="Q3171" i="129"/>
  <c r="R3171" i="129"/>
  <c r="P3172" i="129"/>
  <c r="Q3172" i="129"/>
  <c r="R3172" i="129"/>
  <c r="P3173" i="129"/>
  <c r="Q3173" i="129"/>
  <c r="R3173" i="129"/>
  <c r="P3174" i="129"/>
  <c r="Q3174" i="129"/>
  <c r="R3174" i="129"/>
  <c r="P3175" i="129"/>
  <c r="Q3175" i="129"/>
  <c r="R3175" i="129"/>
  <c r="P3176" i="129"/>
  <c r="Q3176" i="129"/>
  <c r="R3176" i="129"/>
  <c r="P3177" i="129"/>
  <c r="Q3177" i="129"/>
  <c r="R3177" i="129"/>
  <c r="P3178" i="129"/>
  <c r="Q3178" i="129"/>
  <c r="R3178" i="129"/>
  <c r="P3179" i="129"/>
  <c r="Q3179" i="129"/>
  <c r="R3179" i="129"/>
  <c r="P3180" i="129"/>
  <c r="Q3180" i="129"/>
  <c r="R3180" i="129"/>
  <c r="P3181" i="129"/>
  <c r="Q3181" i="129"/>
  <c r="R3181" i="129"/>
  <c r="P3182" i="129"/>
  <c r="Q3182" i="129"/>
  <c r="R3182" i="129"/>
  <c r="P3183" i="129"/>
  <c r="Q3183" i="129"/>
  <c r="R3183" i="129"/>
  <c r="P3184" i="129"/>
  <c r="Q3184" i="129"/>
  <c r="R3184" i="129"/>
  <c r="P3185" i="129"/>
  <c r="Q3185" i="129"/>
  <c r="R3185" i="129"/>
  <c r="P3186" i="129"/>
  <c r="Q3186" i="129"/>
  <c r="R3186" i="129"/>
  <c r="P3187" i="129"/>
  <c r="Q3187" i="129"/>
  <c r="R3187" i="129"/>
  <c r="P3188" i="129"/>
  <c r="Q3188" i="129"/>
  <c r="R3188" i="129"/>
  <c r="P3189" i="129"/>
  <c r="Q3189" i="129"/>
  <c r="R3189" i="129"/>
  <c r="P3190" i="129"/>
  <c r="Q3190" i="129"/>
  <c r="R3190" i="129"/>
  <c r="P3191" i="129"/>
  <c r="Q3191" i="129"/>
  <c r="R3191" i="129"/>
  <c r="P3192" i="129"/>
  <c r="Q3192" i="129"/>
  <c r="R3192" i="129"/>
  <c r="P3193" i="129"/>
  <c r="Q3193" i="129"/>
  <c r="R3193" i="129"/>
  <c r="P3194" i="129"/>
  <c r="Q3194" i="129"/>
  <c r="R3194" i="129"/>
  <c r="P3195" i="129"/>
  <c r="Q3195" i="129"/>
  <c r="R3195" i="129"/>
  <c r="P3196" i="129"/>
  <c r="Q3196" i="129"/>
  <c r="R3196" i="129"/>
  <c r="P3197" i="129"/>
  <c r="Q3197" i="129"/>
  <c r="R3197" i="129"/>
  <c r="P3198" i="129"/>
  <c r="Q3198" i="129"/>
  <c r="R3198" i="129"/>
  <c r="P3199" i="129"/>
  <c r="Q3199" i="129"/>
  <c r="R3199" i="129"/>
  <c r="P3200" i="129"/>
  <c r="Q3200" i="129"/>
  <c r="R3200" i="129"/>
  <c r="P3201" i="129"/>
  <c r="Q3201" i="129"/>
  <c r="R3201" i="129"/>
  <c r="P3202" i="129"/>
  <c r="Q3202" i="129"/>
  <c r="R3202" i="129"/>
  <c r="P3203" i="129"/>
  <c r="Q3203" i="129"/>
  <c r="R3203" i="129"/>
  <c r="P3204" i="129"/>
  <c r="Q3204" i="129"/>
  <c r="R3204" i="129"/>
  <c r="P3205" i="129"/>
  <c r="Q3205" i="129"/>
  <c r="R3205" i="129"/>
  <c r="P3206" i="129"/>
  <c r="Q3206" i="129"/>
  <c r="R3206" i="129"/>
  <c r="P3207" i="129"/>
  <c r="Q3207" i="129"/>
  <c r="R3207" i="129"/>
  <c r="P3208" i="129"/>
  <c r="Q3208" i="129"/>
  <c r="R3208" i="129"/>
  <c r="P3209" i="129"/>
  <c r="Q3209" i="129"/>
  <c r="R3209" i="129"/>
  <c r="P3210" i="129"/>
  <c r="Q3210" i="129"/>
  <c r="R3210" i="129"/>
  <c r="P3211" i="129"/>
  <c r="Q3211" i="129"/>
  <c r="R3211" i="129"/>
  <c r="P3212" i="129"/>
  <c r="Q3212" i="129"/>
  <c r="R3212" i="129"/>
  <c r="P3213" i="129"/>
  <c r="Q3213" i="129"/>
  <c r="R3213" i="129"/>
  <c r="P3214" i="129"/>
  <c r="Q3214" i="129"/>
  <c r="R3214" i="129"/>
  <c r="P3215" i="129"/>
  <c r="Q3215" i="129"/>
  <c r="R3215" i="129"/>
  <c r="P3216" i="129"/>
  <c r="Q3216" i="129"/>
  <c r="R3216" i="129"/>
  <c r="P3217" i="129"/>
  <c r="Q3217" i="129"/>
  <c r="R3217" i="129"/>
  <c r="P3218" i="129"/>
  <c r="Q3218" i="129"/>
  <c r="R3218" i="129"/>
  <c r="P3219" i="129"/>
  <c r="Q3219" i="129"/>
  <c r="R3219" i="129"/>
  <c r="P3220" i="129"/>
  <c r="Q3220" i="129"/>
  <c r="R3220" i="129"/>
  <c r="P3221" i="129"/>
  <c r="Q3221" i="129"/>
  <c r="R3221" i="129"/>
  <c r="P3222" i="129"/>
  <c r="Q3222" i="129"/>
  <c r="R3222" i="129"/>
  <c r="P3223" i="129"/>
  <c r="Q3223" i="129"/>
  <c r="R3223" i="129"/>
  <c r="P3224" i="129"/>
  <c r="Q3224" i="129"/>
  <c r="R3224" i="129"/>
  <c r="P3225" i="129"/>
  <c r="Q3225" i="129"/>
  <c r="R3225" i="129"/>
  <c r="P3226" i="129"/>
  <c r="Q3226" i="129"/>
  <c r="R3226" i="129"/>
  <c r="P3227" i="129"/>
  <c r="Q3227" i="129"/>
  <c r="R3227" i="129"/>
  <c r="P3228" i="129"/>
  <c r="Q3228" i="129"/>
  <c r="R3228" i="129"/>
  <c r="P3229" i="129"/>
  <c r="Q3229" i="129"/>
  <c r="R3229" i="129"/>
  <c r="P3230" i="129"/>
  <c r="Q3230" i="129"/>
  <c r="R3230" i="129"/>
  <c r="P3231" i="129"/>
  <c r="Q3231" i="129"/>
  <c r="R3231" i="129"/>
  <c r="P3232" i="129"/>
  <c r="Q3232" i="129"/>
  <c r="R3232" i="129"/>
  <c r="P3233" i="129"/>
  <c r="Q3233" i="129"/>
  <c r="R3233" i="129"/>
  <c r="P3234" i="129"/>
  <c r="Q3234" i="129"/>
  <c r="R3234" i="129"/>
  <c r="P3235" i="129"/>
  <c r="Q3235" i="129"/>
  <c r="R3235" i="129"/>
  <c r="P3236" i="129"/>
  <c r="Q3236" i="129"/>
  <c r="R3236" i="129"/>
  <c r="P3237" i="129"/>
  <c r="Q3237" i="129"/>
  <c r="R3237" i="129"/>
  <c r="P3238" i="129"/>
  <c r="Q3238" i="129"/>
  <c r="R3238" i="129"/>
  <c r="P3239" i="129"/>
  <c r="Q3239" i="129"/>
  <c r="R3239" i="129"/>
  <c r="P3240" i="129"/>
  <c r="Q3240" i="129"/>
  <c r="R3240" i="129"/>
  <c r="P3241" i="129"/>
  <c r="Q3241" i="129"/>
  <c r="R3241" i="129"/>
  <c r="P3242" i="129"/>
  <c r="Q3242" i="129"/>
  <c r="R3242" i="129"/>
  <c r="P3243" i="129"/>
  <c r="Q3243" i="129"/>
  <c r="R3243" i="129"/>
  <c r="P3244" i="129"/>
  <c r="Q3244" i="129"/>
  <c r="R3244" i="129"/>
  <c r="P3245" i="129"/>
  <c r="Q3245" i="129"/>
  <c r="R3245" i="129"/>
  <c r="P3246" i="129"/>
  <c r="Q3246" i="129"/>
  <c r="R3246" i="129"/>
  <c r="P3247" i="129"/>
  <c r="Q3247" i="129"/>
  <c r="R3247" i="129"/>
  <c r="P3248" i="129"/>
  <c r="Q3248" i="129"/>
  <c r="R3248" i="129"/>
  <c r="P3249" i="129"/>
  <c r="Q3249" i="129"/>
  <c r="R3249" i="129"/>
  <c r="P3250" i="129"/>
  <c r="Q3250" i="129"/>
  <c r="R3250" i="129"/>
  <c r="P3251" i="129"/>
  <c r="Q3251" i="129"/>
  <c r="R3251" i="129"/>
  <c r="P3252" i="129"/>
  <c r="Q3252" i="129"/>
  <c r="R3252" i="129"/>
  <c r="P3253" i="129"/>
  <c r="Q3253" i="129"/>
  <c r="R3253" i="129"/>
  <c r="P3254" i="129"/>
  <c r="Q3254" i="129"/>
  <c r="R3254" i="129"/>
  <c r="P3255" i="129"/>
  <c r="Q3255" i="129"/>
  <c r="R3255" i="129"/>
  <c r="P3256" i="129"/>
  <c r="Q3256" i="129"/>
  <c r="R3256" i="129"/>
  <c r="P3257" i="129"/>
  <c r="Q3257" i="129"/>
  <c r="R3257" i="129"/>
  <c r="P3258" i="129"/>
  <c r="Q3258" i="129"/>
  <c r="R3258" i="129"/>
  <c r="P3259" i="129"/>
  <c r="Q3259" i="129"/>
  <c r="R3259" i="129"/>
  <c r="P3260" i="129"/>
  <c r="Q3260" i="129"/>
  <c r="R3260" i="129"/>
  <c r="P3261" i="129"/>
  <c r="Q3261" i="129"/>
  <c r="R3261" i="129"/>
  <c r="P3262" i="129"/>
  <c r="Q3262" i="129"/>
  <c r="R3262" i="129"/>
  <c r="P3263" i="129"/>
  <c r="Q3263" i="129"/>
  <c r="R3263" i="129"/>
  <c r="P3264" i="129"/>
  <c r="Q3264" i="129"/>
  <c r="R3264" i="129"/>
  <c r="P3265" i="129"/>
  <c r="Q3265" i="129"/>
  <c r="R3265" i="129"/>
  <c r="P3266" i="129"/>
  <c r="Q3266" i="129"/>
  <c r="R3266" i="129"/>
  <c r="P3267" i="129"/>
  <c r="Q3267" i="129"/>
  <c r="R3267" i="129"/>
  <c r="P3268" i="129"/>
  <c r="Q3268" i="129"/>
  <c r="R3268" i="129"/>
  <c r="P3269" i="129"/>
  <c r="Q3269" i="129"/>
  <c r="R3269" i="129"/>
  <c r="P3270" i="129"/>
  <c r="Q3270" i="129"/>
  <c r="R3270" i="129"/>
  <c r="P3271" i="129"/>
  <c r="Q3271" i="129"/>
  <c r="R3271" i="129"/>
  <c r="P3272" i="129"/>
  <c r="Q3272" i="129"/>
  <c r="R3272" i="129"/>
  <c r="P3273" i="129"/>
  <c r="Q3273" i="129"/>
  <c r="R3273" i="129"/>
  <c r="P3274" i="129"/>
  <c r="Q3274" i="129"/>
  <c r="R3274" i="129"/>
  <c r="P3275" i="129"/>
  <c r="Q3275" i="129"/>
  <c r="R3275" i="129"/>
  <c r="P3276" i="129"/>
  <c r="Q3276" i="129"/>
  <c r="R3276" i="129"/>
  <c r="P3277" i="129"/>
  <c r="Q3277" i="129"/>
  <c r="R3277" i="129"/>
  <c r="P3278" i="129"/>
  <c r="Q3278" i="129"/>
  <c r="R3278" i="129"/>
  <c r="P3279" i="129"/>
  <c r="Q3279" i="129"/>
  <c r="R3279" i="129"/>
  <c r="P3280" i="129"/>
  <c r="Q3280" i="129"/>
  <c r="R3280" i="129"/>
  <c r="P3281" i="129"/>
  <c r="Q3281" i="129"/>
  <c r="R3281" i="129"/>
  <c r="P3282" i="129"/>
  <c r="Q3282" i="129"/>
  <c r="R3282" i="129"/>
  <c r="P3283" i="129"/>
  <c r="Q3283" i="129"/>
  <c r="R3283" i="129"/>
  <c r="P3284" i="129"/>
  <c r="Q3284" i="129"/>
  <c r="R3284" i="129"/>
  <c r="P3285" i="129"/>
  <c r="Q3285" i="129"/>
  <c r="R3285" i="129"/>
  <c r="P3286" i="129"/>
  <c r="Q3286" i="129"/>
  <c r="R3286" i="129"/>
  <c r="P3287" i="129"/>
  <c r="Q3287" i="129"/>
  <c r="R3287" i="129"/>
  <c r="P3288" i="129"/>
  <c r="Q3288" i="129"/>
  <c r="R3288" i="129"/>
  <c r="P3289" i="129"/>
  <c r="Q3289" i="129"/>
  <c r="R3289" i="129"/>
  <c r="P3290" i="129"/>
  <c r="Q3290" i="129"/>
  <c r="R3290" i="129"/>
  <c r="P3291" i="129"/>
  <c r="Q3291" i="129"/>
  <c r="R3291" i="129"/>
  <c r="P3292" i="129"/>
  <c r="Q3292" i="129"/>
  <c r="R3292" i="129"/>
  <c r="P3293" i="129"/>
  <c r="Q3293" i="129"/>
  <c r="R3293" i="129"/>
  <c r="P3294" i="129"/>
  <c r="Q3294" i="129"/>
  <c r="R3294" i="129"/>
  <c r="P3295" i="129"/>
  <c r="Q3295" i="129"/>
  <c r="R3295" i="129"/>
  <c r="P3296" i="129"/>
  <c r="Q3296" i="129"/>
  <c r="R3296" i="129"/>
  <c r="P3297" i="129"/>
  <c r="Q3297" i="129"/>
  <c r="R3297" i="129"/>
  <c r="P3298" i="129"/>
  <c r="Q3298" i="129"/>
  <c r="R3298" i="129"/>
  <c r="P3299" i="129"/>
  <c r="Q3299" i="129"/>
  <c r="R3299" i="129"/>
  <c r="P3300" i="129"/>
  <c r="Q3300" i="129"/>
  <c r="R3300" i="129"/>
  <c r="P3301" i="129"/>
  <c r="Q3301" i="129"/>
  <c r="R3301" i="129"/>
  <c r="P3302" i="129"/>
  <c r="Q3302" i="129"/>
  <c r="R3302" i="129"/>
  <c r="P3303" i="129"/>
  <c r="Q3303" i="129"/>
  <c r="R3303" i="129"/>
  <c r="P3304" i="129"/>
  <c r="Q3304" i="129"/>
  <c r="R3304" i="129"/>
  <c r="P3305" i="129"/>
  <c r="Q3305" i="129"/>
  <c r="R3305" i="129"/>
  <c r="P3306" i="129"/>
  <c r="Q3306" i="129"/>
  <c r="R3306" i="129"/>
  <c r="P3307" i="129"/>
  <c r="Q3307" i="129"/>
  <c r="R3307" i="129"/>
  <c r="P3308" i="129"/>
  <c r="Q3308" i="129"/>
  <c r="R3308" i="129"/>
  <c r="P3309" i="129"/>
  <c r="Q3309" i="129"/>
  <c r="R3309" i="129"/>
  <c r="P3310" i="129"/>
  <c r="Q3310" i="129"/>
  <c r="R3310" i="129"/>
  <c r="P3311" i="129"/>
  <c r="Q3311" i="129"/>
  <c r="R3311" i="129"/>
  <c r="P3312" i="129"/>
  <c r="Q3312" i="129"/>
  <c r="R3312" i="129"/>
  <c r="P3313" i="129"/>
  <c r="Q3313" i="129"/>
  <c r="R3313" i="129"/>
  <c r="P3314" i="129"/>
  <c r="Q3314" i="129"/>
  <c r="R3314" i="129"/>
  <c r="P3315" i="129"/>
  <c r="Q3315" i="129"/>
  <c r="R3315" i="129"/>
  <c r="P3316" i="129"/>
  <c r="Q3316" i="129"/>
  <c r="R3316" i="129"/>
  <c r="P3317" i="129"/>
  <c r="Q3317" i="129"/>
  <c r="R3317" i="129"/>
  <c r="P3318" i="129"/>
  <c r="Q3318" i="129"/>
  <c r="R3318" i="129"/>
  <c r="P3319" i="129"/>
  <c r="Q3319" i="129"/>
  <c r="R3319" i="129"/>
  <c r="P3320" i="129"/>
  <c r="Q3320" i="129"/>
  <c r="R3320" i="129"/>
  <c r="P3321" i="129"/>
  <c r="Q3321" i="129"/>
  <c r="R3321" i="129"/>
  <c r="P3322" i="129"/>
  <c r="Q3322" i="129"/>
  <c r="R3322" i="129"/>
  <c r="P3323" i="129"/>
  <c r="Q3323" i="129"/>
  <c r="R3323" i="129"/>
  <c r="P3324" i="129"/>
  <c r="Q3324" i="129"/>
  <c r="R3324" i="129"/>
  <c r="P3325" i="129"/>
  <c r="Q3325" i="129"/>
  <c r="R3325" i="129"/>
  <c r="P3326" i="129"/>
  <c r="Q3326" i="129"/>
  <c r="R3326" i="129"/>
  <c r="P3327" i="129"/>
  <c r="Q3327" i="129"/>
  <c r="R3327" i="129"/>
  <c r="P3328" i="129"/>
  <c r="Q3328" i="129"/>
  <c r="R3328" i="129"/>
  <c r="P3329" i="129"/>
  <c r="Q3329" i="129"/>
  <c r="R3329" i="129"/>
  <c r="P3330" i="129"/>
  <c r="Q3330" i="129"/>
  <c r="R3330" i="129"/>
  <c r="P3331" i="129"/>
  <c r="Q3331" i="129"/>
  <c r="R3331" i="129"/>
  <c r="P3332" i="129"/>
  <c r="Q3332" i="129"/>
  <c r="R3332" i="129"/>
  <c r="P3333" i="129"/>
  <c r="Q3333" i="129"/>
  <c r="R3333" i="129"/>
  <c r="P3334" i="129"/>
  <c r="Q3334" i="129"/>
  <c r="R3334" i="129"/>
  <c r="P3335" i="129"/>
  <c r="Q3335" i="129"/>
  <c r="R3335" i="129"/>
  <c r="P3336" i="129"/>
  <c r="Q3336" i="129"/>
  <c r="R3336" i="129"/>
  <c r="P3337" i="129"/>
  <c r="Q3337" i="129"/>
  <c r="R3337" i="129"/>
  <c r="P3338" i="129"/>
  <c r="Q3338" i="129"/>
  <c r="R3338" i="129"/>
  <c r="P3339" i="129"/>
  <c r="Q3339" i="129"/>
  <c r="R3339" i="129"/>
  <c r="P3340" i="129"/>
  <c r="Q3340" i="129"/>
  <c r="R3340" i="129"/>
  <c r="P3341" i="129"/>
  <c r="Q3341" i="129"/>
  <c r="R3341" i="129"/>
  <c r="P3342" i="129"/>
  <c r="Q3342" i="129"/>
  <c r="R3342" i="129"/>
  <c r="P3343" i="129"/>
  <c r="Q3343" i="129"/>
  <c r="R3343" i="129"/>
  <c r="P3344" i="129"/>
  <c r="Q3344" i="129"/>
  <c r="R3344" i="129"/>
  <c r="P3345" i="129"/>
  <c r="Q3345" i="129"/>
  <c r="R3345" i="129"/>
  <c r="P3346" i="129"/>
  <c r="Q3346" i="129"/>
  <c r="R3346" i="129"/>
  <c r="P3347" i="129"/>
  <c r="Q3347" i="129"/>
  <c r="R3347" i="129"/>
  <c r="P3348" i="129"/>
  <c r="Q3348" i="129"/>
  <c r="R3348" i="129"/>
  <c r="P3349" i="129"/>
  <c r="Q3349" i="129"/>
  <c r="R3349" i="129"/>
  <c r="P3350" i="129"/>
  <c r="Q3350" i="129"/>
  <c r="R3350" i="129"/>
  <c r="P3351" i="129"/>
  <c r="Q3351" i="129"/>
  <c r="R3351" i="129"/>
  <c r="P3352" i="129"/>
  <c r="Q3352" i="129"/>
  <c r="R3352" i="129"/>
  <c r="P3353" i="129"/>
  <c r="Q3353" i="129"/>
  <c r="R3353" i="129"/>
  <c r="P3354" i="129"/>
  <c r="Q3354" i="129"/>
  <c r="R3354" i="129"/>
  <c r="P3355" i="129"/>
  <c r="Q3355" i="129"/>
  <c r="R3355" i="129"/>
  <c r="P3356" i="129"/>
  <c r="Q3356" i="129"/>
  <c r="R3356" i="129"/>
  <c r="P3357" i="129"/>
  <c r="Q3357" i="129"/>
  <c r="R3357" i="129"/>
  <c r="P3358" i="129"/>
  <c r="Q3358" i="129"/>
  <c r="R3358" i="129"/>
  <c r="P3359" i="129"/>
  <c r="Q3359" i="129"/>
  <c r="R3359" i="129"/>
  <c r="P3360" i="129"/>
  <c r="Q3360" i="129"/>
  <c r="R3360" i="129"/>
  <c r="P3361" i="129"/>
  <c r="Q3361" i="129"/>
  <c r="R3361" i="129"/>
  <c r="P3362" i="129"/>
  <c r="Q3362" i="129"/>
  <c r="R3362" i="129"/>
  <c r="P3363" i="129"/>
  <c r="Q3363" i="129"/>
  <c r="R3363" i="129"/>
  <c r="P3364" i="129"/>
  <c r="Q3364" i="129"/>
  <c r="R3364" i="129"/>
  <c r="P3365" i="129"/>
  <c r="Q3365" i="129"/>
  <c r="R3365" i="129"/>
  <c r="P3366" i="129"/>
  <c r="Q3366" i="129"/>
  <c r="R3366" i="129"/>
  <c r="P3367" i="129"/>
  <c r="Q3367" i="129"/>
  <c r="R3367" i="129"/>
  <c r="P3368" i="129"/>
  <c r="Q3368" i="129"/>
  <c r="R3368" i="129"/>
  <c r="P3369" i="129"/>
  <c r="Q3369" i="129"/>
  <c r="R3369" i="129"/>
  <c r="P3370" i="129"/>
  <c r="Q3370" i="129"/>
  <c r="R3370" i="129"/>
  <c r="P3371" i="129"/>
  <c r="Q3371" i="129"/>
  <c r="R3371" i="129"/>
  <c r="P3372" i="129"/>
  <c r="Q3372" i="129"/>
  <c r="R3372" i="129"/>
  <c r="P3373" i="129"/>
  <c r="Q3373" i="129"/>
  <c r="R3373" i="129"/>
  <c r="P3374" i="129"/>
  <c r="Q3374" i="129"/>
  <c r="R3374" i="129"/>
  <c r="P3375" i="129"/>
  <c r="Q3375" i="129"/>
  <c r="R3375" i="129"/>
  <c r="P3376" i="129"/>
  <c r="Q3376" i="129"/>
  <c r="R3376" i="129"/>
  <c r="P3377" i="129"/>
  <c r="Q3377" i="129"/>
  <c r="R3377" i="129"/>
  <c r="P3378" i="129"/>
  <c r="Q3378" i="129"/>
  <c r="R3378" i="129"/>
  <c r="P3379" i="129"/>
  <c r="Q3379" i="129"/>
  <c r="R3379" i="129"/>
  <c r="P3380" i="129"/>
  <c r="Q3380" i="129"/>
  <c r="R3380" i="129"/>
  <c r="P3381" i="129"/>
  <c r="Q3381" i="129"/>
  <c r="R3381" i="129"/>
  <c r="P3382" i="129"/>
  <c r="Q3382" i="129"/>
  <c r="R3382" i="129"/>
  <c r="P3383" i="129"/>
  <c r="Q3383" i="129"/>
  <c r="R3383" i="129"/>
  <c r="P3384" i="129"/>
  <c r="Q3384" i="129"/>
  <c r="R3384" i="129"/>
  <c r="P3385" i="129"/>
  <c r="Q3385" i="129"/>
  <c r="R3385" i="129"/>
  <c r="P3386" i="129"/>
  <c r="Q3386" i="129"/>
  <c r="R3386" i="129"/>
  <c r="P3387" i="129"/>
  <c r="Q3387" i="129"/>
  <c r="R3387" i="129"/>
  <c r="P3388" i="129"/>
  <c r="Q3388" i="129"/>
  <c r="R3388" i="129"/>
  <c r="P3389" i="129"/>
  <c r="Q3389" i="129"/>
  <c r="R3389" i="129"/>
  <c r="P3390" i="129"/>
  <c r="Q3390" i="129"/>
  <c r="R3390" i="129"/>
  <c r="P3391" i="129"/>
  <c r="Q3391" i="129"/>
  <c r="R3391" i="129"/>
  <c r="P3392" i="129"/>
  <c r="Q3392" i="129"/>
  <c r="R3392" i="129"/>
  <c r="P3393" i="129"/>
  <c r="Q3393" i="129"/>
  <c r="R3393" i="129"/>
  <c r="P3394" i="129"/>
  <c r="Q3394" i="129"/>
  <c r="R3394" i="129"/>
  <c r="P3395" i="129"/>
  <c r="Q3395" i="129"/>
  <c r="R3395" i="129"/>
  <c r="P3396" i="129"/>
  <c r="Q3396" i="129"/>
  <c r="R3396" i="129"/>
  <c r="P3397" i="129"/>
  <c r="Q3397" i="129"/>
  <c r="R3397" i="129"/>
  <c r="P3398" i="129"/>
  <c r="Q3398" i="129"/>
  <c r="R3398" i="129"/>
  <c r="P3399" i="129"/>
  <c r="Q3399" i="129"/>
  <c r="R3399" i="129"/>
  <c r="P3400" i="129"/>
  <c r="Q3400" i="129"/>
  <c r="R3400" i="129"/>
  <c r="P3401" i="129"/>
  <c r="Q3401" i="129"/>
  <c r="R3401" i="129"/>
  <c r="P3402" i="129"/>
  <c r="Q3402" i="129"/>
  <c r="R3402" i="129"/>
  <c r="P3403" i="129"/>
  <c r="Q3403" i="129"/>
  <c r="R3403" i="129"/>
  <c r="P3404" i="129"/>
  <c r="Q3404" i="129"/>
  <c r="R3404" i="129"/>
  <c r="P3405" i="129"/>
  <c r="Q3405" i="129"/>
  <c r="R3405" i="129"/>
  <c r="P3406" i="129"/>
  <c r="Q3406" i="129"/>
  <c r="R3406" i="129"/>
  <c r="P3407" i="129"/>
  <c r="Q3407" i="129"/>
  <c r="R3407" i="129"/>
  <c r="P3408" i="129"/>
  <c r="Q3408" i="129"/>
  <c r="R3408" i="129"/>
  <c r="P3409" i="129"/>
  <c r="Q3409" i="129"/>
  <c r="R3409" i="129"/>
  <c r="P3410" i="129"/>
  <c r="Q3410" i="129"/>
  <c r="R3410" i="129"/>
  <c r="P3411" i="129"/>
  <c r="Q3411" i="129"/>
  <c r="R3411" i="129"/>
  <c r="P3412" i="129"/>
  <c r="Q3412" i="129"/>
  <c r="R3412" i="129"/>
  <c r="P3413" i="129"/>
  <c r="Q3413" i="129"/>
  <c r="R3413" i="129"/>
  <c r="P3414" i="129"/>
  <c r="Q3414" i="129"/>
  <c r="R3414" i="129"/>
  <c r="P3415" i="129"/>
  <c r="Q3415" i="129"/>
  <c r="R3415" i="129"/>
  <c r="P3416" i="129"/>
  <c r="Q3416" i="129"/>
  <c r="R3416" i="129"/>
  <c r="P3417" i="129"/>
  <c r="Q3417" i="129"/>
  <c r="R3417" i="129"/>
  <c r="P3418" i="129"/>
  <c r="Q3418" i="129"/>
  <c r="R3418" i="129"/>
  <c r="P3419" i="129"/>
  <c r="Q3419" i="129"/>
  <c r="R3419" i="129"/>
  <c r="P3420" i="129"/>
  <c r="Q3420" i="129"/>
  <c r="R3420" i="129"/>
  <c r="P3421" i="129"/>
  <c r="Q3421" i="129"/>
  <c r="R3421" i="129"/>
  <c r="P3422" i="129"/>
  <c r="Q3422" i="129"/>
  <c r="R3422" i="129"/>
  <c r="P3423" i="129"/>
  <c r="Q3423" i="129"/>
  <c r="R3423" i="129"/>
  <c r="P3424" i="129"/>
  <c r="Q3424" i="129"/>
  <c r="R3424" i="129"/>
  <c r="P3425" i="129"/>
  <c r="Q3425" i="129"/>
  <c r="R3425" i="129"/>
  <c r="P3426" i="129"/>
  <c r="Q3426" i="129"/>
  <c r="R3426" i="129"/>
  <c r="P3427" i="129"/>
  <c r="Q3427" i="129"/>
  <c r="R3427" i="129"/>
  <c r="P3428" i="129"/>
  <c r="Q3428" i="129"/>
  <c r="R3428" i="129"/>
  <c r="P3429" i="129"/>
  <c r="Q3429" i="129"/>
  <c r="R3429" i="129"/>
  <c r="P3430" i="129"/>
  <c r="Q3430" i="129"/>
  <c r="R3430" i="129"/>
  <c r="P3431" i="129"/>
  <c r="Q3431" i="129"/>
  <c r="R3431" i="129"/>
  <c r="P3432" i="129"/>
  <c r="Q3432" i="129"/>
  <c r="R3432" i="129"/>
  <c r="P3433" i="129"/>
  <c r="Q3433" i="129"/>
  <c r="R3433" i="129"/>
  <c r="P3434" i="129"/>
  <c r="Q3434" i="129"/>
  <c r="R3434" i="129"/>
  <c r="P3435" i="129"/>
  <c r="Q3435" i="129"/>
  <c r="R3435" i="129"/>
  <c r="P3436" i="129"/>
  <c r="Q3436" i="129"/>
  <c r="R3436" i="129"/>
  <c r="P3437" i="129"/>
  <c r="Q3437" i="129"/>
  <c r="R3437" i="129"/>
  <c r="P3438" i="129"/>
  <c r="Q3438" i="129"/>
  <c r="R3438" i="129"/>
  <c r="P3439" i="129"/>
  <c r="Q3439" i="129"/>
  <c r="R3439" i="129"/>
  <c r="P3440" i="129"/>
  <c r="Q3440" i="129"/>
  <c r="R3440" i="129"/>
  <c r="P3441" i="129"/>
  <c r="Q3441" i="129"/>
  <c r="R3441" i="129"/>
  <c r="P3442" i="129"/>
  <c r="Q3442" i="129"/>
  <c r="R3442" i="129"/>
  <c r="P3443" i="129"/>
  <c r="Q3443" i="129"/>
  <c r="R3443" i="129"/>
  <c r="P3444" i="129"/>
  <c r="Q3444" i="129"/>
  <c r="R3444" i="129"/>
  <c r="P3445" i="129"/>
  <c r="Q3445" i="129"/>
  <c r="R3445" i="129"/>
  <c r="P3446" i="129"/>
  <c r="Q3446" i="129"/>
  <c r="R3446" i="129"/>
  <c r="P3447" i="129"/>
  <c r="Q3447" i="129"/>
  <c r="R3447" i="129"/>
  <c r="P3448" i="129"/>
  <c r="Q3448" i="129"/>
  <c r="R3448" i="129"/>
  <c r="P3449" i="129"/>
  <c r="Q3449" i="129"/>
  <c r="R3449" i="129"/>
  <c r="P3450" i="129"/>
  <c r="Q3450" i="129"/>
  <c r="R3450" i="129"/>
  <c r="P3451" i="129"/>
  <c r="Q3451" i="129"/>
  <c r="R3451" i="129"/>
  <c r="P3452" i="129"/>
  <c r="Q3452" i="129"/>
  <c r="R3452" i="129"/>
  <c r="P3453" i="129"/>
  <c r="Q3453" i="129"/>
  <c r="R3453" i="129"/>
  <c r="P3454" i="129"/>
  <c r="Q3454" i="129"/>
  <c r="R3454" i="129"/>
  <c r="P3455" i="129"/>
  <c r="Q3455" i="129"/>
  <c r="R3455" i="129"/>
  <c r="P3456" i="129"/>
  <c r="Q3456" i="129"/>
  <c r="R3456" i="129"/>
  <c r="P3457" i="129"/>
  <c r="Q3457" i="129"/>
  <c r="R3457" i="129"/>
  <c r="P3458" i="129"/>
  <c r="Q3458" i="129"/>
  <c r="R3458" i="129"/>
  <c r="P3459" i="129"/>
  <c r="Q3459" i="129"/>
  <c r="R3459" i="129"/>
  <c r="P3460" i="129"/>
  <c r="Q3460" i="129"/>
  <c r="R3460" i="129"/>
  <c r="P3461" i="129"/>
  <c r="Q3461" i="129"/>
  <c r="R3461" i="129"/>
  <c r="P3462" i="129"/>
  <c r="Q3462" i="129"/>
  <c r="R3462" i="129"/>
  <c r="P3463" i="129"/>
  <c r="Q3463" i="129"/>
  <c r="R3463" i="129"/>
  <c r="P3464" i="129"/>
  <c r="Q3464" i="129"/>
  <c r="R3464" i="129"/>
  <c r="P3465" i="129"/>
  <c r="Q3465" i="129"/>
  <c r="R3465" i="129"/>
  <c r="P3466" i="129"/>
  <c r="Q3466" i="129"/>
  <c r="R3466" i="129"/>
  <c r="P3467" i="129"/>
  <c r="Q3467" i="129"/>
  <c r="R3467" i="129"/>
  <c r="P3468" i="129"/>
  <c r="Q3468" i="129"/>
  <c r="R3468" i="129"/>
  <c r="P3469" i="129"/>
  <c r="Q3469" i="129"/>
  <c r="R3469" i="129"/>
  <c r="P3470" i="129"/>
  <c r="Q3470" i="129"/>
  <c r="R3470" i="129"/>
  <c r="P3471" i="129"/>
  <c r="Q3471" i="129"/>
  <c r="R3471" i="129"/>
  <c r="P3472" i="129"/>
  <c r="Q3472" i="129"/>
  <c r="R3472" i="129"/>
  <c r="P3473" i="129"/>
  <c r="Q3473" i="129"/>
  <c r="R3473" i="129"/>
  <c r="P3474" i="129"/>
  <c r="Q3474" i="129"/>
  <c r="R3474" i="129"/>
  <c r="P3475" i="129"/>
  <c r="Q3475" i="129"/>
  <c r="R3475" i="129"/>
  <c r="P3476" i="129"/>
  <c r="Q3476" i="129"/>
  <c r="R3476" i="129"/>
  <c r="P3477" i="129"/>
  <c r="Q3477" i="129"/>
  <c r="R3477" i="129"/>
  <c r="P3478" i="129"/>
  <c r="Q3478" i="129"/>
  <c r="R3478" i="129"/>
  <c r="P3479" i="129"/>
  <c r="Q3479" i="129"/>
  <c r="R3479" i="129"/>
  <c r="P3480" i="129"/>
  <c r="Q3480" i="129"/>
  <c r="R3480" i="129"/>
  <c r="P3481" i="129"/>
  <c r="Q3481" i="129"/>
  <c r="R3481" i="129"/>
  <c r="P3482" i="129"/>
  <c r="Q3482" i="129"/>
  <c r="R3482" i="129"/>
  <c r="P3483" i="129"/>
  <c r="Q3483" i="129"/>
  <c r="R3483" i="129"/>
  <c r="P3484" i="129"/>
  <c r="Q3484" i="129"/>
  <c r="R3484" i="129"/>
  <c r="P3485" i="129"/>
  <c r="Q3485" i="129"/>
  <c r="R3485" i="129"/>
  <c r="P3486" i="129"/>
  <c r="Q3486" i="129"/>
  <c r="R3486" i="129"/>
  <c r="P3487" i="129"/>
  <c r="Q3487" i="129"/>
  <c r="R3487" i="129"/>
  <c r="P3488" i="129"/>
  <c r="Q3488" i="129"/>
  <c r="R3488" i="129"/>
  <c r="P3489" i="129"/>
  <c r="Q3489" i="129"/>
  <c r="R3489" i="129"/>
  <c r="P3490" i="129"/>
  <c r="Q3490" i="129"/>
  <c r="R3490" i="129"/>
  <c r="P3491" i="129"/>
  <c r="Q3491" i="129"/>
  <c r="R3491" i="129"/>
  <c r="P3492" i="129"/>
  <c r="Q3492" i="129"/>
  <c r="R3492" i="129"/>
  <c r="P3493" i="129"/>
  <c r="Q3493" i="129"/>
  <c r="R3493" i="129"/>
  <c r="P3494" i="129"/>
  <c r="Q3494" i="129"/>
  <c r="R3494" i="129"/>
  <c r="P3495" i="129"/>
  <c r="Q3495" i="129"/>
  <c r="R3495" i="129"/>
  <c r="P3496" i="129"/>
  <c r="Q3496" i="129"/>
  <c r="R3496" i="129"/>
  <c r="P3497" i="129"/>
  <c r="Q3497" i="129"/>
  <c r="R3497" i="129"/>
  <c r="P3498" i="129"/>
  <c r="Q3498" i="129"/>
  <c r="R3498" i="129"/>
  <c r="P3499" i="129"/>
  <c r="Q3499" i="129"/>
  <c r="R3499" i="129"/>
  <c r="P3500" i="129"/>
  <c r="Q3500" i="129"/>
  <c r="R3500" i="129"/>
  <c r="P3501" i="129"/>
  <c r="Q3501" i="129"/>
  <c r="R3501" i="129"/>
  <c r="P3502" i="129"/>
  <c r="Q3502" i="129"/>
  <c r="R3502" i="129"/>
  <c r="P3503" i="129"/>
  <c r="Q3503" i="129"/>
  <c r="R3503" i="129"/>
  <c r="P3504" i="129"/>
  <c r="Q3504" i="129"/>
  <c r="R3504" i="129"/>
  <c r="P3505" i="129"/>
  <c r="Q3505" i="129"/>
  <c r="R3505" i="129"/>
  <c r="P3506" i="129"/>
  <c r="Q3506" i="129"/>
  <c r="R3506" i="129"/>
  <c r="P3507" i="129"/>
  <c r="Q3507" i="129"/>
  <c r="R3507" i="129"/>
  <c r="P3508" i="129"/>
  <c r="Q3508" i="129"/>
  <c r="R3508" i="129"/>
  <c r="P3509" i="129"/>
  <c r="Q3509" i="129"/>
  <c r="R3509" i="129"/>
  <c r="P3510" i="129"/>
  <c r="Q3510" i="129"/>
  <c r="R3510" i="129"/>
  <c r="P3511" i="129"/>
  <c r="Q3511" i="129"/>
  <c r="R3511" i="129"/>
  <c r="P3512" i="129"/>
  <c r="Q3512" i="129"/>
  <c r="R3512" i="129"/>
  <c r="P3513" i="129"/>
  <c r="Q3513" i="129"/>
  <c r="R3513" i="129"/>
  <c r="P3514" i="129"/>
  <c r="Q3514" i="129"/>
  <c r="R3514" i="129"/>
  <c r="P3515" i="129"/>
  <c r="Q3515" i="129"/>
  <c r="R3515" i="129"/>
  <c r="P3516" i="129"/>
  <c r="Q3516" i="129"/>
  <c r="R3516" i="129"/>
  <c r="P3517" i="129"/>
  <c r="Q3517" i="129"/>
  <c r="R3517" i="129"/>
  <c r="P3518" i="129"/>
  <c r="Q3518" i="129"/>
  <c r="R3518" i="129"/>
  <c r="P3519" i="129"/>
  <c r="Q3519" i="129"/>
  <c r="R3519" i="129"/>
  <c r="P3520" i="129"/>
  <c r="Q3520" i="129"/>
  <c r="R3520" i="129"/>
  <c r="P3521" i="129"/>
  <c r="Q3521" i="129"/>
  <c r="R3521" i="129"/>
  <c r="P3522" i="129"/>
  <c r="Q3522" i="129"/>
  <c r="R3522" i="129"/>
  <c r="P3523" i="129"/>
  <c r="Q3523" i="129"/>
  <c r="R3523" i="129"/>
  <c r="P3524" i="129"/>
  <c r="Q3524" i="129"/>
  <c r="R3524" i="129"/>
  <c r="P3525" i="129"/>
  <c r="Q3525" i="129"/>
  <c r="R3525" i="129"/>
  <c r="P3526" i="129"/>
  <c r="Q3526" i="129"/>
  <c r="R3526" i="129"/>
  <c r="P3527" i="129"/>
  <c r="Q3527" i="129"/>
  <c r="R3527" i="129"/>
  <c r="P3528" i="129"/>
  <c r="Q3528" i="129"/>
  <c r="R3528" i="129"/>
  <c r="P3529" i="129"/>
  <c r="Q3529" i="129"/>
  <c r="R3529" i="129"/>
  <c r="P3530" i="129"/>
  <c r="Q3530" i="129"/>
  <c r="R3530" i="129"/>
  <c r="P3531" i="129"/>
  <c r="Q3531" i="129"/>
  <c r="R3531" i="129"/>
  <c r="P3532" i="129"/>
  <c r="Q3532" i="129"/>
  <c r="R3532" i="129"/>
  <c r="P3533" i="129"/>
  <c r="Q3533" i="129"/>
  <c r="R3533" i="129"/>
  <c r="P3534" i="129"/>
  <c r="Q3534" i="129"/>
  <c r="R3534" i="129"/>
  <c r="P3535" i="129"/>
  <c r="Q3535" i="129"/>
  <c r="R3535" i="129"/>
  <c r="P3536" i="129"/>
  <c r="Q3536" i="129"/>
  <c r="R3536" i="129"/>
  <c r="P3537" i="129"/>
  <c r="Q3537" i="129"/>
  <c r="R3537" i="129"/>
  <c r="P3538" i="129"/>
  <c r="Q3538" i="129"/>
  <c r="R3538" i="129"/>
  <c r="P3539" i="129"/>
  <c r="Q3539" i="129"/>
  <c r="R3539" i="129"/>
  <c r="P3540" i="129"/>
  <c r="Q3540" i="129"/>
  <c r="R3540" i="129"/>
  <c r="P3541" i="129"/>
  <c r="Q3541" i="129"/>
  <c r="R3541" i="129"/>
  <c r="P3542" i="129"/>
  <c r="Q3542" i="129"/>
  <c r="R3542" i="129"/>
  <c r="P3543" i="129"/>
  <c r="Q3543" i="129"/>
  <c r="R3543" i="129"/>
  <c r="P3544" i="129"/>
  <c r="Q3544" i="129"/>
  <c r="R3544" i="129"/>
  <c r="P3545" i="129"/>
  <c r="Q3545" i="129"/>
  <c r="R3545" i="129"/>
  <c r="P3546" i="129"/>
  <c r="Q3546" i="129"/>
  <c r="R3546" i="129"/>
  <c r="P3547" i="129"/>
  <c r="Q3547" i="129"/>
  <c r="R3547" i="129"/>
  <c r="P3548" i="129"/>
  <c r="Q3548" i="129"/>
  <c r="R3548" i="129"/>
  <c r="P3549" i="129"/>
  <c r="Q3549" i="129"/>
  <c r="R3549" i="129"/>
  <c r="P3550" i="129"/>
  <c r="Q3550" i="129"/>
  <c r="R3550" i="129"/>
  <c r="P3551" i="129"/>
  <c r="Q3551" i="129"/>
  <c r="R3551" i="129"/>
  <c r="P3552" i="129"/>
  <c r="Q3552" i="129"/>
  <c r="R3552" i="129"/>
  <c r="P3553" i="129"/>
  <c r="Q3553" i="129"/>
  <c r="R3553" i="129"/>
  <c r="P3554" i="129"/>
  <c r="Q3554" i="129"/>
  <c r="R3554" i="129"/>
  <c r="P3555" i="129"/>
  <c r="Q3555" i="129"/>
  <c r="R3555" i="129"/>
  <c r="P3556" i="129"/>
  <c r="Q3556" i="129"/>
  <c r="R3556" i="129"/>
  <c r="P3557" i="129"/>
  <c r="Q3557" i="129"/>
  <c r="R3557" i="129"/>
  <c r="P3558" i="129"/>
  <c r="Q3558" i="129"/>
  <c r="R3558" i="129"/>
  <c r="P3559" i="129"/>
  <c r="Q3559" i="129"/>
  <c r="R3559" i="129"/>
  <c r="P3560" i="129"/>
  <c r="Q3560" i="129"/>
  <c r="R3560" i="129"/>
  <c r="P3561" i="129"/>
  <c r="Q3561" i="129"/>
  <c r="R3561" i="129"/>
  <c r="P3562" i="129"/>
  <c r="Q3562" i="129"/>
  <c r="R3562" i="129"/>
  <c r="P3563" i="129"/>
  <c r="Q3563" i="129"/>
  <c r="R3563" i="129"/>
  <c r="P3564" i="129"/>
  <c r="Q3564" i="129"/>
  <c r="R3564" i="129"/>
  <c r="P3565" i="129"/>
  <c r="Q3565" i="129"/>
  <c r="R3565" i="129"/>
  <c r="P3566" i="129"/>
  <c r="Q3566" i="129"/>
  <c r="R3566" i="129"/>
  <c r="P3567" i="129"/>
  <c r="Q3567" i="129"/>
  <c r="R3567" i="129"/>
  <c r="P3568" i="129"/>
  <c r="Q3568" i="129"/>
  <c r="R3568" i="129"/>
  <c r="P3569" i="129"/>
  <c r="Q3569" i="129"/>
  <c r="R3569" i="129"/>
  <c r="P3570" i="129"/>
  <c r="Q3570" i="129"/>
  <c r="R3570" i="129"/>
  <c r="P3571" i="129"/>
  <c r="Q3571" i="129"/>
  <c r="R3571" i="129"/>
  <c r="P3572" i="129"/>
  <c r="Q3572" i="129"/>
  <c r="R3572" i="129"/>
  <c r="P3573" i="129"/>
  <c r="Q3573" i="129"/>
  <c r="R3573" i="129"/>
  <c r="P3574" i="129"/>
  <c r="Q3574" i="129"/>
  <c r="R3574" i="129"/>
  <c r="P3575" i="129"/>
  <c r="Q3575" i="129"/>
  <c r="R3575" i="129"/>
  <c r="P3576" i="129"/>
  <c r="Q3576" i="129"/>
  <c r="R3576" i="129"/>
  <c r="P3577" i="129"/>
  <c r="Q3577" i="129"/>
  <c r="R3577" i="129"/>
  <c r="P3578" i="129"/>
  <c r="Q3578" i="129"/>
  <c r="R3578" i="129"/>
  <c r="P3579" i="129"/>
  <c r="Q3579" i="129"/>
  <c r="R3579" i="129"/>
  <c r="P3580" i="129"/>
  <c r="Q3580" i="129"/>
  <c r="R3580" i="129"/>
  <c r="P3581" i="129"/>
  <c r="Q3581" i="129"/>
  <c r="R3581" i="129"/>
  <c r="P3582" i="129"/>
  <c r="Q3582" i="129"/>
  <c r="R3582" i="129"/>
  <c r="P3583" i="129"/>
  <c r="Q3583" i="129"/>
  <c r="R3583" i="129"/>
  <c r="P3584" i="129"/>
  <c r="Q3584" i="129"/>
  <c r="R3584" i="129"/>
  <c r="P3585" i="129"/>
  <c r="Q3585" i="129"/>
  <c r="R3585" i="129"/>
  <c r="P3586" i="129"/>
  <c r="Q3586" i="129"/>
  <c r="R3586" i="129"/>
  <c r="P3587" i="129"/>
  <c r="Q3587" i="129"/>
  <c r="R3587" i="129"/>
  <c r="P3588" i="129"/>
  <c r="Q3588" i="129"/>
  <c r="R3588" i="129"/>
  <c r="P3589" i="129"/>
  <c r="Q3589" i="129"/>
  <c r="R3589" i="129"/>
  <c r="P3590" i="129"/>
  <c r="Q3590" i="129"/>
  <c r="R3590" i="129"/>
  <c r="P3591" i="129"/>
  <c r="Q3591" i="129"/>
  <c r="R3591" i="129"/>
  <c r="P3592" i="129"/>
  <c r="Q3592" i="129"/>
  <c r="R3592" i="129"/>
  <c r="P3593" i="129"/>
  <c r="Q3593" i="129"/>
  <c r="R3593" i="129"/>
  <c r="P3594" i="129"/>
  <c r="Q3594" i="129"/>
  <c r="R3594" i="129"/>
  <c r="P3595" i="129"/>
  <c r="Q3595" i="129"/>
  <c r="R3595" i="129"/>
  <c r="P3596" i="129"/>
  <c r="Q3596" i="129"/>
  <c r="R3596" i="129"/>
  <c r="P3597" i="129"/>
  <c r="Q3597" i="129"/>
  <c r="R3597" i="129"/>
  <c r="P3598" i="129"/>
  <c r="Q3598" i="129"/>
  <c r="R3598" i="129"/>
  <c r="P3599" i="129"/>
  <c r="Q3599" i="129"/>
  <c r="R3599" i="129"/>
  <c r="P3600" i="129"/>
  <c r="Q3600" i="129"/>
  <c r="R3600" i="129"/>
  <c r="P3601" i="129"/>
  <c r="Q3601" i="129"/>
  <c r="R3601" i="129"/>
  <c r="P3602" i="129"/>
  <c r="Q3602" i="129"/>
  <c r="R3602" i="129"/>
  <c r="P3603" i="129"/>
  <c r="Q3603" i="129"/>
  <c r="R3603" i="129"/>
  <c r="P3604" i="129"/>
  <c r="Q3604" i="129"/>
  <c r="R3604" i="129"/>
  <c r="P3605" i="129"/>
  <c r="Q3605" i="129"/>
  <c r="R3605" i="129"/>
  <c r="P3606" i="129"/>
  <c r="Q3606" i="129"/>
  <c r="R3606" i="129"/>
  <c r="P3607" i="129"/>
  <c r="Q3607" i="129"/>
  <c r="R3607" i="129"/>
  <c r="P3608" i="129"/>
  <c r="Q3608" i="129"/>
  <c r="R3608" i="129"/>
  <c r="P3609" i="129"/>
  <c r="Q3609" i="129"/>
  <c r="R3609" i="129"/>
  <c r="P3610" i="129"/>
  <c r="Q3610" i="129"/>
  <c r="R3610" i="129"/>
  <c r="P3611" i="129"/>
  <c r="Q3611" i="129"/>
  <c r="R3611" i="129"/>
  <c r="P3612" i="129"/>
  <c r="Q3612" i="129"/>
  <c r="R3612" i="129"/>
  <c r="P3613" i="129"/>
  <c r="Q3613" i="129"/>
  <c r="R3613" i="129"/>
  <c r="P3614" i="129"/>
  <c r="Q3614" i="129"/>
  <c r="R3614" i="129"/>
  <c r="P3615" i="129"/>
  <c r="Q3615" i="129"/>
  <c r="R3615" i="129"/>
  <c r="P3616" i="129"/>
  <c r="Q3616" i="129"/>
  <c r="R3616" i="129"/>
  <c r="P3617" i="129"/>
  <c r="Q3617" i="129"/>
  <c r="R3617" i="129"/>
  <c r="P3618" i="129"/>
  <c r="Q3618" i="129"/>
  <c r="R3618" i="129"/>
  <c r="P3619" i="129"/>
  <c r="Q3619" i="129"/>
  <c r="R3619" i="129"/>
  <c r="P3620" i="129"/>
  <c r="Q3620" i="129"/>
  <c r="R3620" i="129"/>
  <c r="P3621" i="129"/>
  <c r="Q3621" i="129"/>
  <c r="R3621" i="129"/>
  <c r="P3622" i="129"/>
  <c r="Q3622" i="129"/>
  <c r="R3622" i="129"/>
  <c r="P3623" i="129"/>
  <c r="Q3623" i="129"/>
  <c r="R3623" i="129"/>
  <c r="P3624" i="129"/>
  <c r="Q3624" i="129"/>
  <c r="R3624" i="129"/>
  <c r="P3625" i="129"/>
  <c r="Q3625" i="129"/>
  <c r="R3625" i="129"/>
  <c r="P3626" i="129"/>
  <c r="Q3626" i="129"/>
  <c r="R3626" i="129"/>
  <c r="P3627" i="129"/>
  <c r="Q3627" i="129"/>
  <c r="R3627" i="129"/>
  <c r="P3628" i="129"/>
  <c r="Q3628" i="129"/>
  <c r="R3628" i="129"/>
  <c r="P3629" i="129"/>
  <c r="Q3629" i="129"/>
  <c r="R3629" i="129"/>
  <c r="P3630" i="129"/>
  <c r="Q3630" i="129"/>
  <c r="R3630" i="129"/>
  <c r="P3631" i="129"/>
  <c r="Q3631" i="129"/>
  <c r="R3631" i="129"/>
  <c r="P3632" i="129"/>
  <c r="Q3632" i="129"/>
  <c r="R3632" i="129"/>
  <c r="P3633" i="129"/>
  <c r="Q3633" i="129"/>
  <c r="R3633" i="129"/>
  <c r="P3634" i="129"/>
  <c r="Q3634" i="129"/>
  <c r="R3634" i="129"/>
  <c r="P3635" i="129"/>
  <c r="Q3635" i="129"/>
  <c r="R3635" i="129"/>
  <c r="P3636" i="129"/>
  <c r="Q3636" i="129"/>
  <c r="R3636" i="129"/>
  <c r="P3637" i="129"/>
  <c r="Q3637" i="129"/>
  <c r="R3637" i="129"/>
  <c r="P3638" i="129"/>
  <c r="Q3638" i="129"/>
  <c r="R3638" i="129"/>
  <c r="P3639" i="129"/>
  <c r="Q3639" i="129"/>
  <c r="R3639" i="129"/>
  <c r="P3640" i="129"/>
  <c r="Q3640" i="129"/>
  <c r="R3640" i="129"/>
  <c r="P3641" i="129"/>
  <c r="Q3641" i="129"/>
  <c r="R3641" i="129"/>
  <c r="P3642" i="129"/>
  <c r="Q3642" i="129"/>
  <c r="R3642" i="129"/>
  <c r="P3643" i="129"/>
  <c r="Q3643" i="129"/>
  <c r="R3643" i="129"/>
  <c r="P3644" i="129"/>
  <c r="Q3644" i="129"/>
  <c r="R3644" i="129"/>
  <c r="P3645" i="129"/>
  <c r="Q3645" i="129"/>
  <c r="R3645" i="129"/>
  <c r="P3646" i="129"/>
  <c r="Q3646" i="129"/>
  <c r="R3646" i="129"/>
  <c r="P3647" i="129"/>
  <c r="Q3647" i="129"/>
  <c r="R3647" i="129"/>
  <c r="P3648" i="129"/>
  <c r="Q3648" i="129"/>
  <c r="R3648" i="129"/>
  <c r="P3649" i="129"/>
  <c r="Q3649" i="129"/>
  <c r="R3649" i="129"/>
  <c r="P3650" i="129"/>
  <c r="Q3650" i="129"/>
  <c r="R3650" i="129"/>
  <c r="P3651" i="129"/>
  <c r="Q3651" i="129"/>
  <c r="R3651" i="129"/>
  <c r="P3652" i="129"/>
  <c r="Q3652" i="129"/>
  <c r="R3652" i="129"/>
  <c r="P3653" i="129"/>
  <c r="Q3653" i="129"/>
  <c r="R3653" i="129"/>
  <c r="P3654" i="129"/>
  <c r="Q3654" i="129"/>
  <c r="R3654" i="129"/>
  <c r="P3655" i="129"/>
  <c r="Q3655" i="129"/>
  <c r="R3655" i="129"/>
  <c r="P3656" i="129"/>
  <c r="Q3656" i="129"/>
  <c r="R3656" i="129"/>
  <c r="P3657" i="129"/>
  <c r="Q3657" i="129"/>
  <c r="R3657" i="129"/>
  <c r="P3658" i="129"/>
  <c r="Q3658" i="129"/>
  <c r="R3658" i="129"/>
  <c r="P3659" i="129"/>
  <c r="Q3659" i="129"/>
  <c r="R3659" i="129"/>
  <c r="P3660" i="129"/>
  <c r="Q3660" i="129"/>
  <c r="R3660" i="129"/>
  <c r="P3661" i="129"/>
  <c r="Q3661" i="129"/>
  <c r="R3661" i="129"/>
  <c r="P3662" i="129"/>
  <c r="Q3662" i="129"/>
  <c r="R3662" i="129"/>
  <c r="P3663" i="129"/>
  <c r="Q3663" i="129"/>
  <c r="R3663" i="129"/>
  <c r="P3664" i="129"/>
  <c r="Q3664" i="129"/>
  <c r="R3664" i="129"/>
  <c r="P3665" i="129"/>
  <c r="Q3665" i="129"/>
  <c r="R3665" i="129"/>
  <c r="P3666" i="129"/>
  <c r="Q3666" i="129"/>
  <c r="R3666" i="129"/>
  <c r="P3667" i="129"/>
  <c r="Q3667" i="129"/>
  <c r="R3667" i="129"/>
  <c r="P3668" i="129"/>
  <c r="Q3668" i="129"/>
  <c r="R3668" i="129"/>
  <c r="P3669" i="129"/>
  <c r="Q3669" i="129"/>
  <c r="R3669" i="129"/>
  <c r="P3670" i="129"/>
  <c r="Q3670" i="129"/>
  <c r="R3670" i="129"/>
  <c r="P3671" i="129"/>
  <c r="Q3671" i="129"/>
  <c r="R3671" i="129"/>
  <c r="P3672" i="129"/>
  <c r="Q3672" i="129"/>
  <c r="R3672" i="129"/>
  <c r="P3673" i="129"/>
  <c r="Q3673" i="129"/>
  <c r="R3673" i="129"/>
  <c r="P3674" i="129"/>
  <c r="Q3674" i="129"/>
  <c r="R3674" i="129"/>
  <c r="P3675" i="129"/>
  <c r="Q3675" i="129"/>
  <c r="R3675" i="129"/>
  <c r="P3676" i="129"/>
  <c r="Q3676" i="129"/>
  <c r="R3676" i="129"/>
  <c r="P3677" i="129"/>
  <c r="Q3677" i="129"/>
  <c r="R3677" i="129"/>
  <c r="P3678" i="129"/>
  <c r="Q3678" i="129"/>
  <c r="R3678" i="129"/>
  <c r="P3679" i="129"/>
  <c r="Q3679" i="129"/>
  <c r="R3679" i="129"/>
  <c r="P3680" i="129"/>
  <c r="Q3680" i="129"/>
  <c r="R3680" i="129"/>
  <c r="P3681" i="129"/>
  <c r="Q3681" i="129"/>
  <c r="R3681" i="129"/>
  <c r="P3682" i="129"/>
  <c r="Q3682" i="129"/>
  <c r="R3682" i="129"/>
  <c r="P3683" i="129"/>
  <c r="Q3683" i="129"/>
  <c r="R3683" i="129"/>
  <c r="P3684" i="129"/>
  <c r="Q3684" i="129"/>
  <c r="R3684" i="129"/>
  <c r="P3685" i="129"/>
  <c r="Q3685" i="129"/>
  <c r="R3685" i="129"/>
  <c r="P3686" i="129"/>
  <c r="Q3686" i="129"/>
  <c r="R3686" i="129"/>
  <c r="P3687" i="129"/>
  <c r="Q3687" i="129"/>
  <c r="R3687" i="129"/>
  <c r="P3688" i="129"/>
  <c r="Q3688" i="129"/>
  <c r="R3688" i="129"/>
  <c r="P3689" i="129"/>
  <c r="Q3689" i="129"/>
  <c r="R3689" i="129"/>
  <c r="P3690" i="129"/>
  <c r="Q3690" i="129"/>
  <c r="R3690" i="129"/>
  <c r="P3691" i="129"/>
  <c r="Q3691" i="129"/>
  <c r="R3691" i="129"/>
  <c r="P3692" i="129"/>
  <c r="Q3692" i="129"/>
  <c r="R3692" i="129"/>
  <c r="P3693" i="129"/>
  <c r="Q3693" i="129"/>
  <c r="R3693" i="129"/>
  <c r="P3694" i="129"/>
  <c r="Q3694" i="129"/>
  <c r="R3694" i="129"/>
  <c r="P3695" i="129"/>
  <c r="Q3695" i="129"/>
  <c r="R3695" i="129"/>
  <c r="P3696" i="129"/>
  <c r="Q3696" i="129"/>
  <c r="R3696" i="129"/>
  <c r="P3697" i="129"/>
  <c r="Q3697" i="129"/>
  <c r="R3697" i="129"/>
  <c r="P3698" i="129"/>
  <c r="Q3698" i="129"/>
  <c r="R3698" i="129"/>
  <c r="P3699" i="129"/>
  <c r="Q3699" i="129"/>
  <c r="R3699" i="129"/>
  <c r="P3700" i="129"/>
  <c r="Q3700" i="129"/>
  <c r="R3700" i="129"/>
  <c r="P3701" i="129"/>
  <c r="Q3701" i="129"/>
  <c r="R3701" i="129"/>
  <c r="P3702" i="129"/>
  <c r="Q3702" i="129"/>
  <c r="R3702" i="129"/>
  <c r="P3703" i="129"/>
  <c r="Q3703" i="129"/>
  <c r="R3703" i="129"/>
  <c r="P3704" i="129"/>
  <c r="Q3704" i="129"/>
  <c r="R3704" i="129"/>
  <c r="P3705" i="129"/>
  <c r="Q3705" i="129"/>
  <c r="R3705" i="129"/>
  <c r="P3706" i="129"/>
  <c r="Q3706" i="129"/>
  <c r="R3706" i="129"/>
  <c r="P3707" i="129"/>
  <c r="Q3707" i="129"/>
  <c r="R3707" i="129"/>
  <c r="P3708" i="129"/>
  <c r="Q3708" i="129"/>
  <c r="R3708" i="129"/>
  <c r="P3709" i="129"/>
  <c r="Q3709" i="129"/>
  <c r="R3709" i="129"/>
  <c r="P3710" i="129"/>
  <c r="Q3710" i="129"/>
  <c r="R3710" i="129"/>
  <c r="P3711" i="129"/>
  <c r="Q3711" i="129"/>
  <c r="R3711" i="129"/>
  <c r="P3712" i="129"/>
  <c r="Q3712" i="129"/>
  <c r="R3712" i="129"/>
  <c r="P3713" i="129"/>
  <c r="Q3713" i="129"/>
  <c r="R3713" i="129"/>
  <c r="P3714" i="129"/>
  <c r="Q3714" i="129"/>
  <c r="R3714" i="129"/>
  <c r="P3715" i="129"/>
  <c r="Q3715" i="129"/>
  <c r="R3715" i="129"/>
  <c r="P3716" i="129"/>
  <c r="Q3716" i="129"/>
  <c r="R3716" i="129"/>
  <c r="P3717" i="129"/>
  <c r="Q3717" i="129"/>
  <c r="R3717" i="129"/>
  <c r="P3718" i="129"/>
  <c r="Q3718" i="129"/>
  <c r="R3718" i="129"/>
  <c r="P3719" i="129"/>
  <c r="Q3719" i="129"/>
  <c r="R3719" i="129"/>
  <c r="P3720" i="129"/>
  <c r="Q3720" i="129"/>
  <c r="R3720" i="129"/>
  <c r="P3721" i="129"/>
  <c r="Q3721" i="129"/>
  <c r="R3721" i="129"/>
  <c r="P3722" i="129"/>
  <c r="Q3722" i="129"/>
  <c r="R3722" i="129"/>
  <c r="P3723" i="129"/>
  <c r="Q3723" i="129"/>
  <c r="R3723" i="129"/>
  <c r="P3724" i="129"/>
  <c r="Q3724" i="129"/>
  <c r="R3724" i="129"/>
  <c r="P3725" i="129"/>
  <c r="Q3725" i="129"/>
  <c r="R3725" i="129"/>
  <c r="P3726" i="129"/>
  <c r="Q3726" i="129"/>
  <c r="R3726" i="129"/>
  <c r="P3727" i="129"/>
  <c r="Q3727" i="129"/>
  <c r="R3727" i="129"/>
  <c r="P3728" i="129"/>
  <c r="Q3728" i="129"/>
  <c r="R3728" i="129"/>
  <c r="P3729" i="129"/>
  <c r="Q3729" i="129"/>
  <c r="R3729" i="129"/>
  <c r="P3730" i="129"/>
  <c r="Q3730" i="129"/>
  <c r="R3730" i="129"/>
  <c r="P3731" i="129"/>
  <c r="Q3731" i="129"/>
  <c r="R3731" i="129"/>
  <c r="P3732" i="129"/>
  <c r="Q3732" i="129"/>
  <c r="R3732" i="129"/>
  <c r="P3733" i="129"/>
  <c r="Q3733" i="129"/>
  <c r="R3733" i="129"/>
  <c r="P3734" i="129"/>
  <c r="Q3734" i="129"/>
  <c r="R3734" i="129"/>
  <c r="P3735" i="129"/>
  <c r="Q3735" i="129"/>
  <c r="R3735" i="129"/>
  <c r="P3736" i="129"/>
  <c r="Q3736" i="129"/>
  <c r="R3736" i="129"/>
  <c r="P3737" i="129"/>
  <c r="Q3737" i="129"/>
  <c r="R3737" i="129"/>
  <c r="P3738" i="129"/>
  <c r="Q3738" i="129"/>
  <c r="R3738" i="129"/>
  <c r="P3739" i="129"/>
  <c r="Q3739" i="129"/>
  <c r="R3739" i="129"/>
  <c r="P3740" i="129"/>
  <c r="Q3740" i="129"/>
  <c r="R3740" i="129"/>
  <c r="P3741" i="129"/>
  <c r="Q3741" i="129"/>
  <c r="R3741" i="129"/>
  <c r="P3742" i="129"/>
  <c r="Q3742" i="129"/>
  <c r="R3742" i="129"/>
  <c r="P3743" i="129"/>
  <c r="Q3743" i="129"/>
  <c r="R3743" i="129"/>
  <c r="P3744" i="129"/>
  <c r="Q3744" i="129"/>
  <c r="R3744" i="129"/>
  <c r="P3745" i="129"/>
  <c r="Q3745" i="129"/>
  <c r="R3745" i="129"/>
  <c r="P3746" i="129"/>
  <c r="Q3746" i="129"/>
  <c r="R3746" i="129"/>
  <c r="P3747" i="129"/>
  <c r="Q3747" i="129"/>
  <c r="R3747" i="129"/>
  <c r="P3748" i="129"/>
  <c r="Q3748" i="129"/>
  <c r="R3748" i="129"/>
  <c r="P3749" i="129"/>
  <c r="Q3749" i="129"/>
  <c r="R3749" i="129"/>
  <c r="P3750" i="129"/>
  <c r="Q3750" i="129"/>
  <c r="R3750" i="129"/>
  <c r="P3751" i="129"/>
  <c r="Q3751" i="129"/>
  <c r="R3751" i="129"/>
  <c r="P3752" i="129"/>
  <c r="Q3752" i="129"/>
  <c r="R3752" i="129"/>
  <c r="P3753" i="129"/>
  <c r="Q3753" i="129"/>
  <c r="R3753" i="129"/>
  <c r="P3754" i="129"/>
  <c r="Q3754" i="129"/>
  <c r="R3754" i="129"/>
  <c r="P3755" i="129"/>
  <c r="Q3755" i="129"/>
  <c r="R3755" i="129"/>
  <c r="P3756" i="129"/>
  <c r="Q3756" i="129"/>
  <c r="R3756" i="129"/>
  <c r="P3757" i="129"/>
  <c r="Q3757" i="129"/>
  <c r="R3757" i="129"/>
  <c r="P3758" i="129"/>
  <c r="Q3758" i="129"/>
  <c r="R3758" i="129"/>
  <c r="P3759" i="129"/>
  <c r="Q3759" i="129"/>
  <c r="R3759" i="129"/>
  <c r="P3760" i="129"/>
  <c r="Q3760" i="129"/>
  <c r="R3760" i="129"/>
  <c r="P3761" i="129"/>
  <c r="Q3761" i="129"/>
  <c r="R3761" i="129"/>
  <c r="P3762" i="129"/>
  <c r="Q3762" i="129"/>
  <c r="R3762" i="129"/>
  <c r="P3763" i="129"/>
  <c r="Q3763" i="129"/>
  <c r="R3763" i="129"/>
  <c r="P3764" i="129"/>
  <c r="Q3764" i="129"/>
  <c r="R3764" i="129"/>
  <c r="P3765" i="129"/>
  <c r="Q3765" i="129"/>
  <c r="R3765" i="129"/>
  <c r="P3766" i="129"/>
  <c r="Q3766" i="129"/>
  <c r="R3766" i="129"/>
  <c r="P3767" i="129"/>
  <c r="Q3767" i="129"/>
  <c r="R3767" i="129"/>
  <c r="P3768" i="129"/>
  <c r="Q3768" i="129"/>
  <c r="R3768" i="129"/>
  <c r="P3769" i="129"/>
  <c r="Q3769" i="129"/>
  <c r="R3769" i="129"/>
  <c r="P3770" i="129"/>
  <c r="Q3770" i="129"/>
  <c r="R3770" i="129"/>
  <c r="P3771" i="129"/>
  <c r="Q3771" i="129"/>
  <c r="R3771" i="129"/>
  <c r="P3772" i="129"/>
  <c r="Q3772" i="129"/>
  <c r="R3772" i="129"/>
  <c r="P3773" i="129"/>
  <c r="Q3773" i="129"/>
  <c r="R3773" i="129"/>
  <c r="P3774" i="129"/>
  <c r="Q3774" i="129"/>
  <c r="R3774" i="129"/>
  <c r="P3775" i="129"/>
  <c r="Q3775" i="129"/>
  <c r="R3775" i="129"/>
  <c r="P3776" i="129"/>
  <c r="Q3776" i="129"/>
  <c r="R3776" i="129"/>
  <c r="P3777" i="129"/>
  <c r="Q3777" i="129"/>
  <c r="R3777" i="129"/>
  <c r="P3778" i="129"/>
  <c r="Q3778" i="129"/>
  <c r="R3778" i="129"/>
  <c r="P3779" i="129"/>
  <c r="Q3779" i="129"/>
  <c r="R3779" i="129"/>
  <c r="P3780" i="129"/>
  <c r="Q3780" i="129"/>
  <c r="R3780" i="129"/>
  <c r="P3781" i="129"/>
  <c r="Q3781" i="129"/>
  <c r="R3781" i="129"/>
  <c r="P3782" i="129"/>
  <c r="Q3782" i="129"/>
  <c r="R3782" i="129"/>
  <c r="P3783" i="129"/>
  <c r="Q3783" i="129"/>
  <c r="R3783" i="129"/>
  <c r="P3784" i="129"/>
  <c r="Q3784" i="129"/>
  <c r="R3784" i="129"/>
  <c r="P3785" i="129"/>
  <c r="Q3785" i="129"/>
  <c r="R3785" i="129"/>
  <c r="P3786" i="129"/>
  <c r="Q3786" i="129"/>
  <c r="R3786" i="129"/>
  <c r="P3787" i="129"/>
  <c r="Q3787" i="129"/>
  <c r="R3787" i="129"/>
  <c r="P3788" i="129"/>
  <c r="Q3788" i="129"/>
  <c r="R3788" i="129"/>
  <c r="P3789" i="129"/>
  <c r="Q3789" i="129"/>
  <c r="R3789" i="129"/>
  <c r="P3790" i="129"/>
  <c r="Q3790" i="129"/>
  <c r="R3790" i="129"/>
  <c r="P3791" i="129"/>
  <c r="Q3791" i="129"/>
  <c r="R3791" i="129"/>
  <c r="P3792" i="129"/>
  <c r="Q3792" i="129"/>
  <c r="R3792" i="129"/>
  <c r="P3793" i="129"/>
  <c r="Q3793" i="129"/>
  <c r="R3793" i="129"/>
  <c r="P3794" i="129"/>
  <c r="Q3794" i="129"/>
  <c r="R3794" i="129"/>
  <c r="P3795" i="129"/>
  <c r="Q3795" i="129"/>
  <c r="R3795" i="129"/>
  <c r="P3796" i="129"/>
  <c r="Q3796" i="129"/>
  <c r="R3796" i="129"/>
  <c r="P3797" i="129"/>
  <c r="Q3797" i="129"/>
  <c r="R3797" i="129"/>
  <c r="P3798" i="129"/>
  <c r="Q3798" i="129"/>
  <c r="R3798" i="129"/>
  <c r="P3799" i="129"/>
  <c r="Q3799" i="129"/>
  <c r="R3799" i="129"/>
  <c r="P3800" i="129"/>
  <c r="Q3800" i="129"/>
  <c r="R3800" i="129"/>
  <c r="P3801" i="129"/>
  <c r="Q3801" i="129"/>
  <c r="R3801" i="129"/>
  <c r="P3802" i="129"/>
  <c r="Q3802" i="129"/>
  <c r="R3802" i="129"/>
  <c r="P3803" i="129"/>
  <c r="Q3803" i="129"/>
  <c r="R3803" i="129"/>
  <c r="P3804" i="129"/>
  <c r="Q3804" i="129"/>
  <c r="R3804" i="129"/>
  <c r="P3805" i="129"/>
  <c r="Q3805" i="129"/>
  <c r="R3805" i="129"/>
  <c r="P3806" i="129"/>
  <c r="Q3806" i="129"/>
  <c r="R3806" i="129"/>
  <c r="P3807" i="129"/>
  <c r="Q3807" i="129"/>
  <c r="R3807" i="129"/>
  <c r="P3808" i="129"/>
  <c r="Q3808" i="129"/>
  <c r="R3808" i="129"/>
  <c r="P3809" i="129"/>
  <c r="Q3809" i="129"/>
  <c r="R3809" i="129"/>
  <c r="P3810" i="129"/>
  <c r="Q3810" i="129"/>
  <c r="R3810" i="129"/>
  <c r="P3811" i="129"/>
  <c r="Q3811" i="129"/>
  <c r="R3811" i="129"/>
  <c r="P3812" i="129"/>
  <c r="Q3812" i="129"/>
  <c r="R3812" i="129"/>
  <c r="P3813" i="129"/>
  <c r="Q3813" i="129"/>
  <c r="R3813" i="129"/>
  <c r="P3814" i="129"/>
  <c r="Q3814" i="129"/>
  <c r="R3814" i="129"/>
  <c r="P3815" i="129"/>
  <c r="Q3815" i="129"/>
  <c r="R3815" i="129"/>
  <c r="P3816" i="129"/>
  <c r="Q3816" i="129"/>
  <c r="R3816" i="129"/>
  <c r="P3817" i="129"/>
  <c r="Q3817" i="129"/>
  <c r="R3817" i="129"/>
  <c r="P3818" i="129"/>
  <c r="Q3818" i="129"/>
  <c r="R3818" i="129"/>
  <c r="P3819" i="129"/>
  <c r="Q3819" i="129"/>
  <c r="R3819" i="129"/>
  <c r="P3820" i="129"/>
  <c r="Q3820" i="129"/>
  <c r="R3820" i="129"/>
  <c r="P3821" i="129"/>
  <c r="Q3821" i="129"/>
  <c r="R3821" i="129"/>
  <c r="P3822" i="129"/>
  <c r="Q3822" i="129"/>
  <c r="R3822" i="129"/>
  <c r="P3823" i="129"/>
  <c r="Q3823" i="129"/>
  <c r="R3823" i="129"/>
  <c r="P3824" i="129"/>
  <c r="Q3824" i="129"/>
  <c r="R3824" i="129"/>
  <c r="P3825" i="129"/>
  <c r="Q3825" i="129"/>
  <c r="R3825" i="129"/>
  <c r="P3826" i="129"/>
  <c r="Q3826" i="129"/>
  <c r="R3826" i="129"/>
  <c r="P3827" i="129"/>
  <c r="Q3827" i="129"/>
  <c r="R3827" i="129"/>
  <c r="P3828" i="129"/>
  <c r="Q3828" i="129"/>
  <c r="R3828" i="129"/>
  <c r="P3829" i="129"/>
  <c r="Q3829" i="129"/>
  <c r="R3829" i="129"/>
  <c r="P3830" i="129"/>
  <c r="Q3830" i="129"/>
  <c r="R3830" i="129"/>
  <c r="P3831" i="129"/>
  <c r="Q3831" i="129"/>
  <c r="R3831" i="129"/>
  <c r="P3832" i="129"/>
  <c r="Q3832" i="129"/>
  <c r="R3832" i="129"/>
  <c r="P3833" i="129"/>
  <c r="Q3833" i="129"/>
  <c r="R3833" i="129"/>
  <c r="P3834" i="129"/>
  <c r="Q3834" i="129"/>
  <c r="R3834" i="129"/>
  <c r="P3835" i="129"/>
  <c r="Q3835" i="129"/>
  <c r="R3835" i="129"/>
  <c r="P3836" i="129"/>
  <c r="Q3836" i="129"/>
  <c r="R3836" i="129"/>
  <c r="P3837" i="129"/>
  <c r="Q3837" i="129"/>
  <c r="R3837" i="129"/>
  <c r="P3838" i="129"/>
  <c r="Q3838" i="129"/>
  <c r="R3838" i="129"/>
  <c r="P3839" i="129"/>
  <c r="Q3839" i="129"/>
  <c r="R3839" i="129"/>
  <c r="P3840" i="129"/>
  <c r="Q3840" i="129"/>
  <c r="R3840" i="129"/>
  <c r="P3841" i="129"/>
  <c r="Q3841" i="129"/>
  <c r="R3841" i="129"/>
  <c r="P3842" i="129"/>
  <c r="Q3842" i="129"/>
  <c r="R3842" i="129"/>
  <c r="P3843" i="129"/>
  <c r="Q3843" i="129"/>
  <c r="R3843" i="129"/>
  <c r="P3844" i="129"/>
  <c r="Q3844" i="129"/>
  <c r="R3844" i="129"/>
  <c r="P3845" i="129"/>
  <c r="Q3845" i="129"/>
  <c r="R3845" i="129"/>
  <c r="P3846" i="129"/>
  <c r="Q3846" i="129"/>
  <c r="R3846" i="129"/>
  <c r="P3847" i="129"/>
  <c r="Q3847" i="129"/>
  <c r="R3847" i="129"/>
  <c r="P3848" i="129"/>
  <c r="Q3848" i="129"/>
  <c r="R3848" i="129"/>
  <c r="P3849" i="129"/>
  <c r="Q3849" i="129"/>
  <c r="R3849" i="129"/>
  <c r="P3850" i="129"/>
  <c r="Q3850" i="129"/>
  <c r="R3850" i="129"/>
  <c r="P3851" i="129"/>
  <c r="Q3851" i="129"/>
  <c r="R3851" i="129"/>
  <c r="P3852" i="129"/>
  <c r="Q3852" i="129"/>
  <c r="R3852" i="129"/>
  <c r="P3853" i="129"/>
  <c r="Q3853" i="129"/>
  <c r="R3853" i="129"/>
  <c r="P3854" i="129"/>
  <c r="Q3854" i="129"/>
  <c r="R3854" i="129"/>
  <c r="P3855" i="129"/>
  <c r="Q3855" i="129"/>
  <c r="R3855" i="129"/>
  <c r="P3856" i="129"/>
  <c r="Q3856" i="129"/>
  <c r="R3856" i="129"/>
  <c r="P3857" i="129"/>
  <c r="Q3857" i="129"/>
  <c r="R3857" i="129"/>
  <c r="P3858" i="129"/>
  <c r="Q3858" i="129"/>
  <c r="R3858" i="129"/>
  <c r="P3859" i="129"/>
  <c r="Q3859" i="129"/>
  <c r="R3859" i="129"/>
  <c r="P3860" i="129"/>
  <c r="Q3860" i="129"/>
  <c r="R3860" i="129"/>
  <c r="P3861" i="129"/>
  <c r="Q3861" i="129"/>
  <c r="R3861" i="129"/>
  <c r="P3862" i="129"/>
  <c r="Q3862" i="129"/>
  <c r="R3862" i="129"/>
  <c r="P3863" i="129"/>
  <c r="Q3863" i="129"/>
  <c r="R3863" i="129"/>
  <c r="P3864" i="129"/>
  <c r="Q3864" i="129"/>
  <c r="R3864" i="129"/>
  <c r="P3865" i="129"/>
  <c r="Q3865" i="129"/>
  <c r="R3865" i="129"/>
  <c r="P3866" i="129"/>
  <c r="Q3866" i="129"/>
  <c r="R3866" i="129"/>
  <c r="P3867" i="129"/>
  <c r="Q3867" i="129"/>
  <c r="R3867" i="129"/>
  <c r="P3868" i="129"/>
  <c r="Q3868" i="129"/>
  <c r="R3868" i="129"/>
  <c r="P3869" i="129"/>
  <c r="Q3869" i="129"/>
  <c r="R3869" i="129"/>
  <c r="P3870" i="129"/>
  <c r="Q3870" i="129"/>
  <c r="R3870" i="129"/>
  <c r="P3871" i="129"/>
  <c r="Q3871" i="129"/>
  <c r="R3871" i="129"/>
  <c r="P3872" i="129"/>
  <c r="Q3872" i="129"/>
  <c r="R3872" i="129"/>
  <c r="P3873" i="129"/>
  <c r="Q3873" i="129"/>
  <c r="R3873" i="129"/>
  <c r="P3874" i="129"/>
  <c r="Q3874" i="129"/>
  <c r="R3874" i="129"/>
  <c r="P3875" i="129"/>
  <c r="Q3875" i="129"/>
  <c r="R3875" i="129"/>
  <c r="P3876" i="129"/>
  <c r="Q3876" i="129"/>
  <c r="R3876" i="129"/>
  <c r="P3877" i="129"/>
  <c r="Q3877" i="129"/>
  <c r="R3877" i="129"/>
  <c r="P3878" i="129"/>
  <c r="Q3878" i="129"/>
  <c r="R3878" i="129"/>
  <c r="P3879" i="129"/>
  <c r="Q3879" i="129"/>
  <c r="R3879" i="129"/>
  <c r="P3880" i="129"/>
  <c r="Q3880" i="129"/>
  <c r="R3880" i="129"/>
  <c r="P3881" i="129"/>
  <c r="Q3881" i="129"/>
  <c r="R3881" i="129"/>
  <c r="P3882" i="129"/>
  <c r="Q3882" i="129"/>
  <c r="R3882" i="129"/>
  <c r="P3883" i="129"/>
  <c r="Q3883" i="129"/>
  <c r="R3883" i="129"/>
  <c r="P3884" i="129"/>
  <c r="Q3884" i="129"/>
  <c r="R3884" i="129"/>
  <c r="P3885" i="129"/>
  <c r="Q3885" i="129"/>
  <c r="R3885" i="129"/>
  <c r="P3886" i="129"/>
  <c r="Q3886" i="129"/>
  <c r="R3886" i="129"/>
  <c r="P3887" i="129"/>
  <c r="Q3887" i="129"/>
  <c r="R3887" i="129"/>
  <c r="P3888" i="129"/>
  <c r="Q3888" i="129"/>
  <c r="R3888" i="129"/>
  <c r="P3889" i="129"/>
  <c r="Q3889" i="129"/>
  <c r="R3889" i="129"/>
  <c r="P3890" i="129"/>
  <c r="Q3890" i="129"/>
  <c r="R3890" i="129"/>
  <c r="P3891" i="129"/>
  <c r="Q3891" i="129"/>
  <c r="R3891" i="129"/>
  <c r="P3892" i="129"/>
  <c r="Q3892" i="129"/>
  <c r="R3892" i="129"/>
  <c r="P3893" i="129"/>
  <c r="Q3893" i="129"/>
  <c r="R3893" i="129"/>
  <c r="P3894" i="129"/>
  <c r="Q3894" i="129"/>
  <c r="R3894" i="129"/>
  <c r="P3895" i="129"/>
  <c r="Q3895" i="129"/>
  <c r="R3895" i="129"/>
  <c r="P3896" i="129"/>
  <c r="Q3896" i="129"/>
  <c r="R3896" i="129"/>
  <c r="P3897" i="129"/>
  <c r="Q3897" i="129"/>
  <c r="R3897" i="129"/>
  <c r="P3898" i="129"/>
  <c r="Q3898" i="129"/>
  <c r="R3898" i="129"/>
  <c r="P3899" i="129"/>
  <c r="Q3899" i="129"/>
  <c r="R3899" i="129"/>
  <c r="P3900" i="129"/>
  <c r="Q3900" i="129"/>
  <c r="R3900" i="129"/>
  <c r="P3901" i="129"/>
  <c r="Q3901" i="129"/>
  <c r="R3901" i="129"/>
  <c r="P3902" i="129"/>
  <c r="Q3902" i="129"/>
  <c r="R3902" i="129"/>
  <c r="P3903" i="129"/>
  <c r="Q3903" i="129"/>
  <c r="R3903" i="129"/>
  <c r="P3904" i="129"/>
  <c r="Q3904" i="129"/>
  <c r="R3904" i="129"/>
  <c r="P3905" i="129"/>
  <c r="Q3905" i="129"/>
  <c r="R3905" i="129"/>
  <c r="P3906" i="129"/>
  <c r="Q3906" i="129"/>
  <c r="R3906" i="129"/>
  <c r="P3907" i="129"/>
  <c r="Q3907" i="129"/>
  <c r="R3907" i="129"/>
  <c r="P3908" i="129"/>
  <c r="Q3908" i="129"/>
  <c r="R3908" i="129"/>
  <c r="P3909" i="129"/>
  <c r="Q3909" i="129"/>
  <c r="R3909" i="129"/>
  <c r="P3910" i="129"/>
  <c r="Q3910" i="129"/>
  <c r="R3910" i="129"/>
  <c r="P3911" i="129"/>
  <c r="Q3911" i="129"/>
  <c r="R3911" i="129"/>
  <c r="P3912" i="129"/>
  <c r="Q3912" i="129"/>
  <c r="R3912" i="129"/>
  <c r="P3913" i="129"/>
  <c r="Q3913" i="129"/>
  <c r="R3913" i="129"/>
  <c r="P3914" i="129"/>
  <c r="Q3914" i="129"/>
  <c r="R3914" i="129"/>
  <c r="P3915" i="129"/>
  <c r="Q3915" i="129"/>
  <c r="R3915" i="129"/>
  <c r="P3916" i="129"/>
  <c r="Q3916" i="129"/>
  <c r="R3916" i="129"/>
  <c r="P3917" i="129"/>
  <c r="Q3917" i="129"/>
  <c r="R3917" i="129"/>
  <c r="P3918" i="129"/>
  <c r="Q3918" i="129"/>
  <c r="R3918" i="129"/>
  <c r="P3919" i="129"/>
  <c r="Q3919" i="129"/>
  <c r="R3919" i="129"/>
  <c r="P3920" i="129"/>
  <c r="Q3920" i="129"/>
  <c r="R3920" i="129"/>
  <c r="P3921" i="129"/>
  <c r="Q3921" i="129"/>
  <c r="R3921" i="129"/>
  <c r="P3922" i="129"/>
  <c r="Q3922" i="129"/>
  <c r="R3922" i="129"/>
  <c r="P3923" i="129"/>
  <c r="Q3923" i="129"/>
  <c r="R3923" i="129"/>
  <c r="P3924" i="129"/>
  <c r="Q3924" i="129"/>
  <c r="R3924" i="129"/>
  <c r="P3925" i="129"/>
  <c r="Q3925" i="129"/>
  <c r="R3925" i="129"/>
  <c r="P3926" i="129"/>
  <c r="Q3926" i="129"/>
  <c r="R3926" i="129"/>
  <c r="P3927" i="129"/>
  <c r="Q3927" i="129"/>
  <c r="R3927" i="129"/>
  <c r="P3928" i="129"/>
  <c r="Q3928" i="129"/>
  <c r="R3928" i="129"/>
  <c r="P3929" i="129"/>
  <c r="Q3929" i="129"/>
  <c r="R3929" i="129"/>
  <c r="P3930" i="129"/>
  <c r="Q3930" i="129"/>
  <c r="R3930" i="129"/>
  <c r="P3931" i="129"/>
  <c r="Q3931" i="129"/>
  <c r="R3931" i="129"/>
  <c r="P3932" i="129"/>
  <c r="Q3932" i="129"/>
  <c r="R3932" i="129"/>
  <c r="P3933" i="129"/>
  <c r="Q3933" i="129"/>
  <c r="R3933" i="129"/>
  <c r="P3934" i="129"/>
  <c r="Q3934" i="129"/>
  <c r="R3934" i="129"/>
  <c r="P3935" i="129"/>
  <c r="Q3935" i="129"/>
  <c r="R3935" i="129"/>
  <c r="P3936" i="129"/>
  <c r="Q3936" i="129"/>
  <c r="R3936" i="129"/>
  <c r="P3937" i="129"/>
  <c r="Q3937" i="129"/>
  <c r="R3937" i="129"/>
  <c r="P3938" i="129"/>
  <c r="Q3938" i="129"/>
  <c r="P3939" i="129"/>
  <c r="Q3939" i="129"/>
  <c r="R3939" i="129"/>
  <c r="P3940" i="129"/>
  <c r="Q3940" i="129"/>
  <c r="R3940" i="129"/>
  <c r="P3941" i="129"/>
  <c r="Q3941" i="129"/>
  <c r="R3941" i="129"/>
  <c r="P3942" i="129"/>
  <c r="Q3942" i="129"/>
  <c r="R3942" i="129"/>
  <c r="P3943" i="129"/>
  <c r="Q3943" i="129"/>
  <c r="R3943" i="129"/>
  <c r="P3944" i="129"/>
  <c r="Q3944" i="129"/>
  <c r="R3944" i="129"/>
  <c r="P3945" i="129"/>
  <c r="Q3945" i="129"/>
  <c r="R3945" i="129"/>
  <c r="P3946" i="129"/>
  <c r="Q3946" i="129"/>
  <c r="R3946" i="129"/>
  <c r="P3947" i="129"/>
  <c r="Q3947" i="129"/>
  <c r="R3947" i="129"/>
  <c r="P3948" i="129"/>
  <c r="Q3948" i="129"/>
  <c r="R3948" i="129"/>
  <c r="P3949" i="129"/>
  <c r="Q3949" i="129"/>
  <c r="R3949" i="129"/>
  <c r="P3950" i="129"/>
  <c r="Q3950" i="129"/>
  <c r="R3950" i="129"/>
  <c r="P3951" i="129"/>
  <c r="Q3951" i="129"/>
  <c r="R3951" i="129"/>
  <c r="P3952" i="129"/>
  <c r="Q3952" i="129"/>
  <c r="R3952" i="129"/>
  <c r="P3953" i="129"/>
  <c r="Q3953" i="129"/>
  <c r="R3953" i="129"/>
  <c r="P3954" i="129"/>
  <c r="Q3954" i="129"/>
  <c r="R3954" i="129"/>
  <c r="P3955" i="129"/>
  <c r="Q3955" i="129"/>
  <c r="R3955" i="129"/>
  <c r="P3956" i="129"/>
  <c r="Q3956" i="129"/>
  <c r="R3956" i="129"/>
  <c r="P3957" i="129"/>
  <c r="Q3957" i="129"/>
  <c r="R3957" i="129"/>
  <c r="P3958" i="129"/>
  <c r="Q3958" i="129"/>
  <c r="R3958" i="129"/>
  <c r="P3959" i="129"/>
  <c r="Q3959" i="129"/>
  <c r="R3959" i="129"/>
  <c r="P3960" i="129"/>
  <c r="Q3960" i="129"/>
  <c r="R3960" i="129"/>
  <c r="P3961" i="129"/>
  <c r="Q3961" i="129"/>
  <c r="R3961" i="129"/>
  <c r="P3962" i="129"/>
  <c r="Q3962" i="129"/>
  <c r="R3962" i="129"/>
  <c r="P3963" i="129"/>
  <c r="Q3963" i="129"/>
  <c r="R3963" i="129"/>
  <c r="P3964" i="129"/>
  <c r="Q3964" i="129"/>
  <c r="R3964" i="129"/>
  <c r="P3965" i="129"/>
  <c r="Q3965" i="129"/>
  <c r="R3965" i="129"/>
  <c r="P3966" i="129"/>
  <c r="Q3966" i="129"/>
  <c r="P3967" i="129"/>
  <c r="Q3967" i="129"/>
  <c r="R3967" i="129"/>
  <c r="P3968" i="129"/>
  <c r="Q3968" i="129"/>
  <c r="R3968" i="129"/>
  <c r="P3969" i="129"/>
  <c r="Q3969" i="129"/>
  <c r="R3969" i="129"/>
  <c r="P3970" i="129"/>
  <c r="Q3970" i="129"/>
  <c r="R3970" i="129"/>
  <c r="P3971" i="129"/>
  <c r="Q3971" i="129"/>
  <c r="R3971" i="129"/>
  <c r="P3972" i="129"/>
  <c r="Q3972" i="129"/>
  <c r="R3972" i="129"/>
  <c r="P3973" i="129"/>
  <c r="Q3973" i="129"/>
  <c r="R3973" i="129"/>
  <c r="P3974" i="129"/>
  <c r="Q3974" i="129"/>
  <c r="R3974" i="129"/>
  <c r="P3975" i="129"/>
  <c r="Q3975" i="129"/>
  <c r="R3975" i="129"/>
  <c r="P3976" i="129"/>
  <c r="Q3976" i="129"/>
  <c r="R3976" i="129"/>
  <c r="P3977" i="129"/>
  <c r="Q3977" i="129"/>
  <c r="R3977" i="129"/>
  <c r="P3978" i="129"/>
  <c r="Q3978" i="129"/>
  <c r="R3978" i="129"/>
  <c r="P3979" i="129"/>
  <c r="Q3979" i="129"/>
  <c r="R3979" i="129"/>
  <c r="P3980" i="129"/>
  <c r="Q3980" i="129"/>
  <c r="R3980" i="129"/>
  <c r="P3981" i="129"/>
  <c r="Q3981" i="129"/>
  <c r="R3981" i="129"/>
  <c r="P3982" i="129"/>
  <c r="Q3982" i="129"/>
  <c r="R3982" i="129"/>
  <c r="P3983" i="129"/>
  <c r="Q3983" i="129"/>
  <c r="R3983" i="129"/>
  <c r="P3984" i="129"/>
  <c r="Q3984" i="129"/>
  <c r="R3984" i="129"/>
  <c r="P3985" i="129"/>
  <c r="Q3985" i="129"/>
  <c r="R3985" i="129"/>
  <c r="P3986" i="129"/>
  <c r="Q3986" i="129"/>
  <c r="R3986" i="129"/>
  <c r="P3987" i="129"/>
  <c r="Q3987" i="129"/>
  <c r="R3987" i="129"/>
  <c r="P3988" i="129"/>
  <c r="Q3988" i="129"/>
  <c r="R3988" i="129"/>
  <c r="P3989" i="129"/>
  <c r="Q3989" i="129"/>
  <c r="R3989" i="129"/>
  <c r="P3990" i="129"/>
  <c r="Q3990" i="129"/>
  <c r="R3990" i="129"/>
  <c r="P3991" i="129"/>
  <c r="Q3991" i="129"/>
  <c r="R3991" i="129"/>
  <c r="P3992" i="129"/>
  <c r="Q3992" i="129"/>
  <c r="R3992" i="129"/>
  <c r="P3993" i="129"/>
  <c r="Q3993" i="129"/>
  <c r="R3993" i="129"/>
  <c r="P3994" i="129"/>
  <c r="Q3994" i="129"/>
  <c r="R3994" i="129"/>
  <c r="P3995" i="129"/>
  <c r="Q3995" i="129"/>
  <c r="R3995" i="129"/>
  <c r="P3996" i="129"/>
  <c r="Q3996" i="129"/>
  <c r="P3997" i="129"/>
  <c r="Q3997" i="129"/>
  <c r="R3997" i="129"/>
  <c r="P3998" i="129"/>
  <c r="Q3998" i="129"/>
  <c r="R3998" i="129"/>
  <c r="P3999" i="129"/>
  <c r="Q3999" i="129"/>
  <c r="R3999" i="129"/>
  <c r="P4000" i="129"/>
  <c r="Q4000" i="129"/>
  <c r="R4000" i="129"/>
  <c r="P4001" i="129"/>
  <c r="Q4001" i="129"/>
  <c r="R4001" i="129"/>
  <c r="P4002" i="129"/>
  <c r="Q4002" i="129"/>
  <c r="R4002" i="129"/>
  <c r="P4003" i="129"/>
  <c r="Q4003" i="129"/>
  <c r="R4003" i="129"/>
  <c r="P4004" i="129"/>
  <c r="Q4004" i="129"/>
  <c r="R4004" i="129"/>
  <c r="P4005" i="129"/>
  <c r="Q4005" i="129"/>
  <c r="R4005" i="129"/>
  <c r="P4006" i="129"/>
  <c r="Q4006" i="129"/>
  <c r="R4006" i="129"/>
  <c r="P4007" i="129"/>
  <c r="Q4007" i="129"/>
  <c r="R4007" i="129"/>
  <c r="P4008" i="129"/>
  <c r="Q4008" i="129"/>
  <c r="R4008" i="129"/>
  <c r="P4009" i="129"/>
  <c r="Q4009" i="129"/>
  <c r="R4009" i="129"/>
  <c r="P4010" i="129"/>
  <c r="Q4010" i="129"/>
  <c r="R4010" i="129"/>
  <c r="P4011" i="129"/>
  <c r="Q4011" i="129"/>
  <c r="R4011" i="129"/>
  <c r="P4012" i="129"/>
  <c r="Q4012" i="129"/>
  <c r="R4012" i="129"/>
  <c r="P4013" i="129"/>
  <c r="Q4013" i="129"/>
  <c r="R4013" i="129"/>
  <c r="P4014" i="129"/>
  <c r="Q4014" i="129"/>
  <c r="R4014" i="129"/>
  <c r="P4015" i="129"/>
  <c r="Q4015" i="129"/>
  <c r="R4015" i="129"/>
  <c r="P4016" i="129"/>
  <c r="Q4016" i="129"/>
  <c r="R4016" i="129"/>
  <c r="P4017" i="129"/>
  <c r="Q4017" i="129"/>
  <c r="R4017" i="129"/>
  <c r="P4018" i="129"/>
  <c r="Q4018" i="129"/>
  <c r="R4018" i="129"/>
  <c r="P4019" i="129"/>
  <c r="Q4019" i="129"/>
  <c r="R4019" i="129"/>
  <c r="P4020" i="129"/>
  <c r="Q4020" i="129"/>
  <c r="R4020" i="129"/>
  <c r="P4021" i="129"/>
  <c r="Q4021" i="129"/>
  <c r="R4021" i="129"/>
  <c r="P4022" i="129"/>
  <c r="Q4022" i="129"/>
  <c r="P4023" i="129"/>
  <c r="Q4023" i="129"/>
  <c r="R4023" i="129"/>
  <c r="P4024" i="129"/>
  <c r="Q4024" i="129"/>
  <c r="R4024" i="129"/>
  <c r="P4025" i="129"/>
  <c r="Q4025" i="129"/>
  <c r="R4025" i="129"/>
  <c r="P4026" i="129"/>
  <c r="Q4026" i="129"/>
  <c r="R4026" i="129"/>
  <c r="P4027" i="129"/>
  <c r="Q4027" i="129"/>
  <c r="R4027" i="129"/>
  <c r="P4028" i="129"/>
  <c r="Q4028" i="129"/>
  <c r="R4028" i="129"/>
  <c r="P4029" i="129"/>
  <c r="Q4029" i="129"/>
  <c r="R4029" i="129"/>
  <c r="P4030" i="129"/>
  <c r="Q4030" i="129"/>
  <c r="R4030" i="129"/>
  <c r="P4031" i="129"/>
  <c r="Q4031" i="129"/>
  <c r="R4031" i="129"/>
  <c r="P4032" i="129"/>
  <c r="Q4032" i="129"/>
  <c r="R4032" i="129"/>
  <c r="P4033" i="129"/>
  <c r="Q4033" i="129"/>
  <c r="R4033" i="129"/>
  <c r="P4034" i="129"/>
  <c r="Q4034" i="129"/>
  <c r="R4034" i="129"/>
  <c r="P4035" i="129"/>
  <c r="Q4035" i="129"/>
  <c r="R4035" i="129"/>
  <c r="P4036" i="129"/>
  <c r="Q4036" i="129"/>
  <c r="R4036" i="129"/>
  <c r="P4037" i="129"/>
  <c r="Q4037" i="129"/>
  <c r="R4037" i="129"/>
  <c r="P4038" i="129"/>
  <c r="Q4038" i="129"/>
  <c r="R4038" i="129"/>
  <c r="P4039" i="129"/>
  <c r="Q4039" i="129"/>
  <c r="R4039" i="129"/>
  <c r="P4040" i="129"/>
  <c r="Q4040" i="129"/>
  <c r="R4040" i="129"/>
  <c r="P4041" i="129"/>
  <c r="Q4041" i="129"/>
  <c r="R4041" i="129"/>
  <c r="P4042" i="129"/>
  <c r="Q4042" i="129"/>
  <c r="R4042" i="129"/>
  <c r="P4043" i="129"/>
  <c r="Q4043" i="129"/>
  <c r="R4043" i="129"/>
  <c r="P4044" i="129"/>
  <c r="Q4044" i="129"/>
  <c r="R4044" i="129"/>
  <c r="P4045" i="129"/>
  <c r="Q4045" i="129"/>
  <c r="R4045" i="129"/>
  <c r="P4046" i="129"/>
  <c r="Q4046" i="129"/>
  <c r="R4046" i="129"/>
  <c r="P4047" i="129"/>
  <c r="Q4047" i="129"/>
  <c r="P4048" i="129"/>
  <c r="Q4048" i="129"/>
  <c r="R4048" i="129"/>
  <c r="P4049" i="129"/>
  <c r="Q4049" i="129"/>
  <c r="R4049" i="129"/>
  <c r="P4050" i="129"/>
  <c r="Q4050" i="129"/>
  <c r="R4050" i="129"/>
  <c r="P4051" i="129"/>
  <c r="Q4051" i="129"/>
  <c r="R4051" i="129"/>
  <c r="P4052" i="129"/>
  <c r="Q4052" i="129"/>
  <c r="R4052" i="129"/>
  <c r="P4053" i="129"/>
  <c r="Q4053" i="129"/>
  <c r="R4053" i="129"/>
  <c r="P4054" i="129"/>
  <c r="Q4054" i="129"/>
  <c r="R4054" i="129"/>
  <c r="P4055" i="129"/>
  <c r="Q4055" i="129"/>
  <c r="R4055" i="129"/>
  <c r="P4056" i="129"/>
  <c r="Q4056" i="129"/>
  <c r="R4056" i="129"/>
  <c r="P4057" i="129"/>
  <c r="Q4057" i="129"/>
  <c r="R4057" i="129"/>
  <c r="P4058" i="129"/>
  <c r="Q4058" i="129"/>
  <c r="R4058" i="129"/>
  <c r="P4059" i="129"/>
  <c r="Q4059" i="129"/>
  <c r="R4059" i="129"/>
  <c r="P4060" i="129"/>
  <c r="Q4060" i="129"/>
  <c r="R4060" i="129"/>
  <c r="P4061" i="129"/>
  <c r="Q4061" i="129"/>
  <c r="R4061" i="129"/>
  <c r="P4062" i="129"/>
  <c r="Q4062" i="129"/>
  <c r="R4062" i="129"/>
  <c r="P4063" i="129"/>
  <c r="Q4063" i="129"/>
  <c r="R4063" i="129"/>
  <c r="P4064" i="129"/>
  <c r="Q4064" i="129"/>
  <c r="R4064" i="129"/>
  <c r="P4065" i="129"/>
  <c r="Q4065" i="129"/>
  <c r="R4065" i="129"/>
  <c r="P4066" i="129"/>
  <c r="Q4066" i="129"/>
  <c r="R4066" i="129"/>
  <c r="P4067" i="129"/>
  <c r="Q4067" i="129"/>
  <c r="R4067" i="129"/>
  <c r="P4068" i="129"/>
  <c r="Q4068" i="129"/>
  <c r="R4068" i="129"/>
  <c r="P4069" i="129"/>
  <c r="Q4069" i="129"/>
  <c r="R4069" i="129"/>
  <c r="P4070" i="129"/>
  <c r="Q4070" i="129"/>
  <c r="R4070" i="129"/>
  <c r="P4071" i="129"/>
  <c r="Q4071" i="129"/>
  <c r="R4071" i="129"/>
  <c r="P4072" i="129"/>
  <c r="Q4072" i="129"/>
  <c r="R4072" i="129"/>
  <c r="P4073" i="129"/>
  <c r="Q4073" i="129"/>
  <c r="R4073" i="129"/>
  <c r="P4074" i="129"/>
  <c r="Q4074" i="129"/>
  <c r="R4074" i="129"/>
  <c r="P4075" i="129"/>
  <c r="Q4075" i="129"/>
  <c r="R4075" i="129"/>
  <c r="P4076" i="129"/>
  <c r="Q4076" i="129"/>
  <c r="P4077" i="129"/>
  <c r="Q4077" i="129"/>
  <c r="R4077" i="129"/>
  <c r="P4078" i="129"/>
  <c r="Q4078" i="129"/>
  <c r="R4078" i="129"/>
  <c r="P4079" i="129"/>
  <c r="Q4079" i="129"/>
  <c r="R4079" i="129"/>
  <c r="P4080" i="129"/>
  <c r="Q4080" i="129"/>
  <c r="R4080" i="129"/>
  <c r="P4081" i="129"/>
  <c r="Q4081" i="129"/>
  <c r="R4081" i="129"/>
  <c r="P4082" i="129"/>
  <c r="Q4082" i="129"/>
  <c r="R4082" i="129"/>
  <c r="P4083" i="129"/>
  <c r="Q4083" i="129"/>
  <c r="R4083" i="129"/>
  <c r="P4084" i="129"/>
  <c r="Q4084" i="129"/>
  <c r="R4084" i="129"/>
  <c r="P4085" i="129"/>
  <c r="Q4085" i="129"/>
  <c r="R4085" i="129"/>
  <c r="P4086" i="129"/>
  <c r="Q4086" i="129"/>
  <c r="R4086" i="129"/>
  <c r="P4087" i="129"/>
  <c r="Q4087" i="129"/>
  <c r="R4087" i="129"/>
  <c r="P4088" i="129"/>
  <c r="Q4088" i="129"/>
  <c r="R4088" i="129"/>
  <c r="P4089" i="129"/>
  <c r="Q4089" i="129"/>
  <c r="R4089" i="129"/>
  <c r="P4090" i="129"/>
  <c r="Q4090" i="129"/>
  <c r="R4090" i="129"/>
  <c r="P4091" i="129"/>
  <c r="Q4091" i="129"/>
  <c r="R4091" i="129"/>
  <c r="P4092" i="129"/>
  <c r="Q4092" i="129"/>
  <c r="R4092" i="129"/>
  <c r="P4093" i="129"/>
  <c r="Q4093" i="129"/>
  <c r="R4093" i="129"/>
  <c r="P4094" i="129"/>
  <c r="Q4094" i="129"/>
  <c r="R4094" i="129"/>
  <c r="P4095" i="129"/>
  <c r="Q4095" i="129"/>
  <c r="R4095" i="129"/>
  <c r="P4096" i="129"/>
  <c r="Q4096" i="129"/>
  <c r="R4096" i="129"/>
  <c r="P4097" i="129"/>
  <c r="Q4097" i="129"/>
  <c r="R4097" i="129"/>
  <c r="P4098" i="129"/>
  <c r="Q4098" i="129"/>
  <c r="R4098" i="129"/>
  <c r="P4099" i="129"/>
  <c r="Q4099" i="129"/>
  <c r="R4099" i="129"/>
  <c r="P4100" i="129"/>
  <c r="Q4100" i="129"/>
  <c r="R4100" i="129"/>
  <c r="P4101" i="129"/>
  <c r="Q4101" i="129"/>
  <c r="R4101" i="129"/>
  <c r="P4102" i="129"/>
  <c r="Q4102" i="129"/>
  <c r="R4102" i="129"/>
  <c r="P4103" i="129"/>
  <c r="Q4103" i="129"/>
  <c r="R4103" i="129"/>
  <c r="P4104" i="129"/>
  <c r="Q4104" i="129"/>
  <c r="R4104" i="129"/>
  <c r="P4105" i="129"/>
  <c r="Q4105" i="129"/>
  <c r="P4106" i="129"/>
  <c r="Q4106" i="129"/>
  <c r="R4106" i="129"/>
  <c r="P4107" i="129"/>
  <c r="Q4107" i="129"/>
  <c r="R4107" i="129"/>
  <c r="P4108" i="129"/>
  <c r="Q4108" i="129"/>
  <c r="R4108" i="129"/>
  <c r="P4109" i="129"/>
  <c r="Q4109" i="129"/>
  <c r="R4109" i="129"/>
  <c r="P4110" i="129"/>
  <c r="Q4110" i="129"/>
  <c r="R4110" i="129"/>
  <c r="P4111" i="129"/>
  <c r="Q4111" i="129"/>
  <c r="R4111" i="129"/>
  <c r="P4112" i="129"/>
  <c r="Q4112" i="129"/>
  <c r="R4112" i="129"/>
  <c r="P4113" i="129"/>
  <c r="Q4113" i="129"/>
  <c r="R4113" i="129"/>
  <c r="P4114" i="129"/>
  <c r="Q4114" i="129"/>
  <c r="R4114" i="129"/>
  <c r="P4115" i="129"/>
  <c r="Q4115" i="129"/>
  <c r="R4115" i="129"/>
  <c r="P4116" i="129"/>
  <c r="Q4116" i="129"/>
  <c r="R4116" i="129"/>
  <c r="P4117" i="129"/>
  <c r="Q4117" i="129"/>
  <c r="R4117" i="129"/>
  <c r="P4118" i="129"/>
  <c r="Q4118" i="129"/>
  <c r="R4118" i="129"/>
  <c r="P4119" i="129"/>
  <c r="Q4119" i="129"/>
  <c r="R4119" i="129"/>
  <c r="P4120" i="129"/>
  <c r="Q4120" i="129"/>
  <c r="R4120" i="129"/>
  <c r="P4121" i="129"/>
  <c r="Q4121" i="129"/>
  <c r="R4121" i="129"/>
  <c r="P4122" i="129"/>
  <c r="Q4122" i="129"/>
  <c r="R4122" i="129"/>
  <c r="P4123" i="129"/>
  <c r="Q4123" i="129"/>
  <c r="R4123" i="129"/>
  <c r="P4124" i="129"/>
  <c r="Q4124" i="129"/>
  <c r="R4124" i="129"/>
  <c r="P4125" i="129"/>
  <c r="Q4125" i="129"/>
  <c r="R4125" i="129"/>
  <c r="P4126" i="129"/>
  <c r="Q4126" i="129"/>
  <c r="R4126" i="129"/>
  <c r="P4127" i="129"/>
  <c r="Q4127" i="129"/>
  <c r="R4127" i="129"/>
  <c r="P4128" i="129"/>
  <c r="Q4128" i="129"/>
  <c r="R4128" i="129"/>
  <c r="P4129" i="129"/>
  <c r="Q4129" i="129"/>
  <c r="R4129" i="129"/>
  <c r="P4130" i="129"/>
  <c r="Q4130" i="129"/>
  <c r="R4130" i="129"/>
  <c r="P4131" i="129"/>
  <c r="Q4131" i="129"/>
  <c r="P4132" i="129"/>
  <c r="Q4132" i="129"/>
  <c r="R4132" i="129"/>
  <c r="P4133" i="129"/>
  <c r="Q4133" i="129"/>
  <c r="R4133" i="129"/>
  <c r="P4134" i="129"/>
  <c r="Q4134" i="129"/>
  <c r="R4134" i="129"/>
  <c r="P4135" i="129"/>
  <c r="Q4135" i="129"/>
  <c r="R4135" i="129"/>
  <c r="P4136" i="129"/>
  <c r="Q4136" i="129"/>
  <c r="R4136" i="129"/>
  <c r="P4137" i="129"/>
  <c r="Q4137" i="129"/>
  <c r="R4137" i="129"/>
  <c r="P4138" i="129"/>
  <c r="Q4138" i="129"/>
  <c r="R4138" i="129"/>
  <c r="P4139" i="129"/>
  <c r="Q4139" i="129"/>
  <c r="R4139" i="129"/>
  <c r="P4140" i="129"/>
  <c r="Q4140" i="129"/>
  <c r="R4140" i="129"/>
  <c r="P4141" i="129"/>
  <c r="Q4141" i="129"/>
  <c r="R4141" i="129"/>
  <c r="P4142" i="129"/>
  <c r="Q4142" i="129"/>
  <c r="R4142" i="129"/>
  <c r="P4143" i="129"/>
  <c r="Q4143" i="129"/>
  <c r="R4143" i="129"/>
  <c r="P4144" i="129"/>
  <c r="Q4144" i="129"/>
  <c r="R4144" i="129"/>
  <c r="P4145" i="129"/>
  <c r="Q4145" i="129"/>
  <c r="R4145" i="129"/>
  <c r="P4146" i="129"/>
  <c r="Q4146" i="129"/>
  <c r="R4146" i="129"/>
  <c r="P4147" i="129"/>
  <c r="Q4147" i="129"/>
  <c r="R4147" i="129"/>
  <c r="P4148" i="129"/>
  <c r="Q4148" i="129"/>
  <c r="R4148" i="129"/>
  <c r="P4149" i="129"/>
  <c r="Q4149" i="129"/>
  <c r="R4149" i="129"/>
  <c r="P4150" i="129"/>
  <c r="Q4150" i="129"/>
  <c r="R4150" i="129"/>
  <c r="P4151" i="129"/>
  <c r="Q4151" i="129"/>
  <c r="R4151" i="129"/>
  <c r="P4152" i="129"/>
  <c r="Q4152" i="129"/>
  <c r="R4152" i="129"/>
  <c r="P4153" i="129"/>
  <c r="Q4153" i="129"/>
  <c r="R4153" i="129"/>
  <c r="P4154" i="129"/>
  <c r="Q4154" i="129"/>
  <c r="R4154" i="129"/>
  <c r="P4155" i="129"/>
  <c r="Q4155" i="129"/>
  <c r="R4155" i="129"/>
  <c r="P4156" i="129"/>
  <c r="Q4156" i="129"/>
  <c r="R4156" i="129"/>
  <c r="P4157" i="129"/>
  <c r="Q4157" i="129"/>
  <c r="R4157" i="129"/>
  <c r="P4158" i="129"/>
  <c r="Q4158" i="129"/>
  <c r="P4159" i="129"/>
  <c r="Q4159" i="129"/>
  <c r="R4159" i="129"/>
  <c r="P4160" i="129"/>
  <c r="Q4160" i="129"/>
  <c r="R4160" i="129"/>
  <c r="P4161" i="129"/>
  <c r="Q4161" i="129"/>
  <c r="R4161" i="129"/>
  <c r="P4162" i="129"/>
  <c r="Q4162" i="129"/>
  <c r="R4162" i="129"/>
  <c r="P4163" i="129"/>
  <c r="Q4163" i="129"/>
  <c r="R4163" i="129"/>
  <c r="P4164" i="129"/>
  <c r="Q4164" i="129"/>
  <c r="R4164" i="129"/>
  <c r="P4165" i="129"/>
  <c r="Q4165" i="129"/>
  <c r="R4165" i="129"/>
  <c r="P4166" i="129"/>
  <c r="Q4166" i="129"/>
  <c r="R4166" i="129"/>
  <c r="P4167" i="129"/>
  <c r="Q4167" i="129"/>
  <c r="R4167" i="129"/>
  <c r="P4168" i="129"/>
  <c r="Q4168" i="129"/>
  <c r="R4168" i="129"/>
  <c r="P4169" i="129"/>
  <c r="Q4169" i="129"/>
  <c r="R4169" i="129"/>
  <c r="P4170" i="129"/>
  <c r="Q4170" i="129"/>
  <c r="R4170" i="129"/>
  <c r="P4171" i="129"/>
  <c r="Q4171" i="129"/>
  <c r="R4171" i="129"/>
  <c r="P4172" i="129"/>
  <c r="Q4172" i="129"/>
  <c r="R4172" i="129"/>
  <c r="P4173" i="129"/>
  <c r="Q4173" i="129"/>
  <c r="R4173" i="129"/>
  <c r="P4174" i="129"/>
  <c r="Q4174" i="129"/>
  <c r="R4174" i="129"/>
  <c r="P4175" i="129"/>
  <c r="Q4175" i="129"/>
  <c r="R4175" i="129"/>
  <c r="P4176" i="129"/>
  <c r="Q4176" i="129"/>
  <c r="R4176" i="129"/>
  <c r="P4177" i="129"/>
  <c r="Q4177" i="129"/>
  <c r="R4177" i="129"/>
  <c r="P4178" i="129"/>
  <c r="Q4178" i="129"/>
  <c r="R4178" i="129"/>
  <c r="P4179" i="129"/>
  <c r="Q4179" i="129"/>
  <c r="R4179" i="129"/>
  <c r="P4180" i="129"/>
  <c r="Q4180" i="129"/>
  <c r="R4180" i="129"/>
  <c r="P4181" i="129"/>
  <c r="Q4181" i="129"/>
  <c r="R4181" i="129"/>
  <c r="P4182" i="129"/>
  <c r="Q4182" i="129"/>
  <c r="R4182" i="129"/>
  <c r="P4183" i="129"/>
  <c r="Q4183" i="129"/>
  <c r="R4183" i="129"/>
  <c r="P4184" i="129"/>
  <c r="Q4184" i="129"/>
  <c r="P4185" i="129"/>
  <c r="Q4185" i="129"/>
  <c r="R4185" i="129"/>
  <c r="P4186" i="129"/>
  <c r="Q4186" i="129"/>
  <c r="R4186" i="129"/>
  <c r="P4187" i="129"/>
  <c r="Q4187" i="129"/>
  <c r="R4187" i="129"/>
  <c r="P4188" i="129"/>
  <c r="Q4188" i="129"/>
  <c r="R4188" i="129"/>
  <c r="P4189" i="129"/>
  <c r="Q4189" i="129"/>
  <c r="R4189" i="129"/>
  <c r="P4190" i="129"/>
  <c r="Q4190" i="129"/>
  <c r="R4190" i="129"/>
  <c r="P4191" i="129"/>
  <c r="Q4191" i="129"/>
  <c r="R4191" i="129"/>
  <c r="P4192" i="129"/>
  <c r="Q4192" i="129"/>
  <c r="R4192" i="129"/>
  <c r="P4193" i="129"/>
  <c r="Q4193" i="129"/>
  <c r="R4193" i="129"/>
  <c r="P4194" i="129"/>
  <c r="Q4194" i="129"/>
  <c r="R4194" i="129"/>
  <c r="P4195" i="129"/>
  <c r="Q4195" i="129"/>
  <c r="R4195" i="129"/>
  <c r="P4196" i="129"/>
  <c r="Q4196" i="129"/>
  <c r="R4196" i="129"/>
  <c r="P4197" i="129"/>
  <c r="Q4197" i="129"/>
  <c r="R4197" i="129"/>
  <c r="P4198" i="129"/>
  <c r="Q4198" i="129"/>
  <c r="R4198" i="129"/>
  <c r="P4199" i="129"/>
  <c r="Q4199" i="129"/>
  <c r="R4199" i="129"/>
  <c r="P4200" i="129"/>
  <c r="Q4200" i="129"/>
  <c r="R4200" i="129"/>
  <c r="P4201" i="129"/>
  <c r="Q4201" i="129"/>
  <c r="R4201" i="129"/>
  <c r="P4202" i="129"/>
  <c r="Q4202" i="129"/>
  <c r="R4202" i="129"/>
  <c r="P4203" i="129"/>
  <c r="Q4203" i="129"/>
  <c r="R4203" i="129"/>
  <c r="P4204" i="129"/>
  <c r="Q4204" i="129"/>
  <c r="R4204" i="129"/>
  <c r="P4205" i="129"/>
  <c r="Q4205" i="129"/>
  <c r="R4205" i="129"/>
  <c r="P4206" i="129"/>
  <c r="Q4206" i="129"/>
  <c r="R4206" i="129"/>
  <c r="P4207" i="129"/>
  <c r="Q4207" i="129"/>
  <c r="R4207" i="129"/>
  <c r="P4208" i="129"/>
  <c r="Q4208" i="129"/>
  <c r="R4208" i="129"/>
  <c r="P4209" i="129"/>
  <c r="Q4209" i="129"/>
  <c r="R4209" i="129"/>
  <c r="P4210" i="129"/>
  <c r="Q4210" i="129"/>
  <c r="R4210" i="129"/>
  <c r="P4211" i="129"/>
  <c r="Q4211" i="129"/>
  <c r="P4212" i="129"/>
  <c r="Q4212" i="129"/>
  <c r="R4212" i="129"/>
  <c r="P4213" i="129"/>
  <c r="Q4213" i="129"/>
  <c r="R4213" i="129"/>
  <c r="P4214" i="129"/>
  <c r="Q4214" i="129"/>
  <c r="R4214" i="129"/>
  <c r="P4215" i="129"/>
  <c r="Q4215" i="129"/>
  <c r="R4215" i="129"/>
  <c r="P4216" i="129"/>
  <c r="Q4216" i="129"/>
  <c r="R4216" i="129"/>
  <c r="P4217" i="129"/>
  <c r="Q4217" i="129"/>
  <c r="R4217" i="129"/>
  <c r="P4218" i="129"/>
  <c r="Q4218" i="129"/>
  <c r="R4218" i="129"/>
  <c r="P4219" i="129"/>
  <c r="Q4219" i="129"/>
  <c r="R4219" i="129"/>
  <c r="P4220" i="129"/>
  <c r="Q4220" i="129"/>
  <c r="R4220" i="129"/>
  <c r="P4221" i="129"/>
  <c r="Q4221" i="129"/>
  <c r="R4221" i="129"/>
  <c r="P4222" i="129"/>
  <c r="Q4222" i="129"/>
  <c r="R4222" i="129"/>
  <c r="P4223" i="129"/>
  <c r="Q4223" i="129"/>
  <c r="R4223" i="129"/>
  <c r="P4224" i="129"/>
  <c r="Q4224" i="129"/>
  <c r="R4224" i="129"/>
  <c r="P4225" i="129"/>
  <c r="Q4225" i="129"/>
  <c r="R4225" i="129"/>
  <c r="P4226" i="129"/>
  <c r="Q4226" i="129"/>
  <c r="R4226" i="129"/>
  <c r="P4227" i="129"/>
  <c r="Q4227" i="129"/>
  <c r="R4227" i="129"/>
  <c r="P4228" i="129"/>
  <c r="Q4228" i="129"/>
  <c r="R4228" i="129"/>
  <c r="P4229" i="129"/>
  <c r="Q4229" i="129"/>
  <c r="R4229" i="129"/>
  <c r="P4230" i="129"/>
  <c r="Q4230" i="129"/>
  <c r="R4230" i="129"/>
  <c r="P4231" i="129"/>
  <c r="Q4231" i="129"/>
  <c r="R4231" i="129"/>
  <c r="P4232" i="129"/>
  <c r="Q4232" i="129"/>
  <c r="R4232" i="129"/>
  <c r="P4233" i="129"/>
  <c r="Q4233" i="129"/>
  <c r="R4233" i="129"/>
  <c r="P4234" i="129"/>
  <c r="Q4234" i="129"/>
  <c r="R4234" i="129"/>
  <c r="P4235" i="129"/>
  <c r="Q4235" i="129"/>
  <c r="R4235" i="129"/>
  <c r="P4236" i="129"/>
  <c r="Q4236" i="129"/>
  <c r="R4236" i="129"/>
  <c r="P4237" i="129"/>
  <c r="Q4237" i="129"/>
  <c r="R4237" i="129"/>
  <c r="P4238" i="129"/>
  <c r="Q4238" i="129"/>
  <c r="R4238" i="129"/>
  <c r="P4239" i="129"/>
  <c r="Q4239" i="129"/>
  <c r="P4240" i="129"/>
  <c r="Q4240" i="129"/>
  <c r="R4240" i="129"/>
  <c r="P4241" i="129"/>
  <c r="Q4241" i="129"/>
  <c r="R4241" i="129"/>
  <c r="P4242" i="129"/>
  <c r="Q4242" i="129"/>
  <c r="R4242" i="129"/>
  <c r="P4243" i="129"/>
  <c r="Q4243" i="129"/>
  <c r="R4243" i="129"/>
  <c r="P4244" i="129"/>
  <c r="Q4244" i="129"/>
  <c r="R4244" i="129"/>
  <c r="P4245" i="129"/>
  <c r="Q4245" i="129"/>
  <c r="R4245" i="129"/>
  <c r="P4246" i="129"/>
  <c r="Q4246" i="129"/>
  <c r="R4246" i="129"/>
  <c r="P4247" i="129"/>
  <c r="Q4247" i="129"/>
  <c r="R4247" i="129"/>
  <c r="P4248" i="129"/>
  <c r="Q4248" i="129"/>
  <c r="R4248" i="129"/>
  <c r="P4249" i="129"/>
  <c r="Q4249" i="129"/>
  <c r="R4249" i="129"/>
  <c r="P4250" i="129"/>
  <c r="Q4250" i="129"/>
  <c r="R4250" i="129"/>
  <c r="P4251" i="129"/>
  <c r="Q4251" i="129"/>
  <c r="R4251" i="129"/>
  <c r="P4252" i="129"/>
  <c r="Q4252" i="129"/>
  <c r="R4252" i="129"/>
  <c r="P4253" i="129"/>
  <c r="Q4253" i="129"/>
  <c r="R4253" i="129"/>
  <c r="P4254" i="129"/>
  <c r="Q4254" i="129"/>
  <c r="R4254" i="129"/>
  <c r="P4255" i="129"/>
  <c r="Q4255" i="129"/>
  <c r="R4255" i="129"/>
  <c r="P4256" i="129"/>
  <c r="Q4256" i="129"/>
  <c r="R4256" i="129"/>
  <c r="P4257" i="129"/>
  <c r="Q4257" i="129"/>
  <c r="R4257" i="129"/>
  <c r="P4258" i="129"/>
  <c r="Q4258" i="129"/>
  <c r="R4258" i="129"/>
  <c r="P4259" i="129"/>
  <c r="Q4259" i="129"/>
  <c r="R4259" i="129"/>
  <c r="P4260" i="129"/>
  <c r="Q4260" i="129"/>
  <c r="R4260" i="129"/>
  <c r="P4261" i="129"/>
  <c r="Q4261" i="129"/>
  <c r="R4261" i="129"/>
  <c r="P4262" i="129"/>
  <c r="Q4262" i="129"/>
  <c r="R4262" i="129"/>
  <c r="P4263" i="129"/>
  <c r="Q4263" i="129"/>
  <c r="R4263" i="129"/>
  <c r="P4264" i="129"/>
  <c r="Q4264" i="129"/>
  <c r="P4265" i="129"/>
  <c r="Q4265" i="129"/>
  <c r="R4265" i="129"/>
  <c r="P4266" i="129"/>
  <c r="Q4266" i="129"/>
  <c r="R4266" i="129"/>
  <c r="P4267" i="129"/>
  <c r="Q4267" i="129"/>
  <c r="R4267" i="129"/>
  <c r="P4268" i="129"/>
  <c r="Q4268" i="129"/>
  <c r="R4268" i="129"/>
  <c r="P4269" i="129"/>
  <c r="Q4269" i="129"/>
  <c r="R4269" i="129"/>
  <c r="P4270" i="129"/>
  <c r="Q4270" i="129"/>
  <c r="R4270" i="129"/>
  <c r="P4271" i="129"/>
  <c r="Q4271" i="129"/>
  <c r="R4271" i="129"/>
  <c r="P4272" i="129"/>
  <c r="Q4272" i="129"/>
  <c r="R4272" i="129"/>
  <c r="P4273" i="129"/>
  <c r="Q4273" i="129"/>
  <c r="R4273" i="129"/>
  <c r="P4274" i="129"/>
  <c r="Q4274" i="129"/>
  <c r="R4274" i="129"/>
  <c r="P4275" i="129"/>
  <c r="Q4275" i="129"/>
  <c r="R4275" i="129"/>
  <c r="P4276" i="129"/>
  <c r="Q4276" i="129"/>
  <c r="R4276" i="129"/>
  <c r="P4277" i="129"/>
  <c r="Q4277" i="129"/>
  <c r="R4277" i="129"/>
  <c r="P4278" i="129"/>
  <c r="Q4278" i="129"/>
  <c r="R4278" i="129"/>
  <c r="P4279" i="129"/>
  <c r="Q4279" i="129"/>
  <c r="R4279" i="129"/>
  <c r="P4280" i="129"/>
  <c r="Q4280" i="129"/>
  <c r="R4280" i="129"/>
  <c r="P4281" i="129"/>
  <c r="Q4281" i="129"/>
  <c r="R4281" i="129"/>
  <c r="P4282" i="129"/>
  <c r="Q4282" i="129"/>
  <c r="R4282" i="129"/>
  <c r="P4283" i="129"/>
  <c r="Q4283" i="129"/>
  <c r="R4283" i="129"/>
  <c r="P4284" i="129"/>
  <c r="Q4284" i="129"/>
  <c r="R4284" i="129"/>
  <c r="P4285" i="129"/>
  <c r="Q4285" i="129"/>
  <c r="R4285" i="129"/>
  <c r="P4286" i="129"/>
  <c r="Q4286" i="129"/>
  <c r="R4286" i="129"/>
  <c r="P4287" i="129"/>
  <c r="Q4287" i="129"/>
  <c r="R4287" i="129"/>
  <c r="P4288" i="129"/>
  <c r="Q4288" i="129"/>
  <c r="R4288" i="129"/>
  <c r="P4289" i="129"/>
  <c r="Q4289" i="129"/>
  <c r="R4289" i="129"/>
  <c r="P4290" i="129"/>
  <c r="Q4290" i="129"/>
  <c r="R4290" i="129"/>
  <c r="P4291" i="129"/>
  <c r="Q4291" i="129"/>
  <c r="R4291" i="129"/>
  <c r="P4292" i="129"/>
  <c r="Q4292" i="129"/>
  <c r="R4292" i="129"/>
  <c r="P4293" i="129"/>
  <c r="Q4293" i="129"/>
  <c r="R4293" i="129"/>
  <c r="P4294" i="129"/>
  <c r="Q4294" i="129"/>
  <c r="R4294" i="129"/>
  <c r="P4295" i="129"/>
  <c r="Q4295" i="129"/>
  <c r="R4295" i="129"/>
  <c r="P4296" i="129"/>
  <c r="Q4296" i="129"/>
  <c r="R4296" i="129"/>
  <c r="P4297" i="129"/>
  <c r="Q4297" i="129"/>
  <c r="R4297" i="129"/>
  <c r="P4298" i="129"/>
  <c r="Q4298" i="129"/>
  <c r="R4298" i="129"/>
  <c r="P4299" i="129"/>
  <c r="Q4299" i="129"/>
  <c r="R4299" i="129"/>
  <c r="P4300" i="129"/>
  <c r="Q4300" i="129"/>
  <c r="P4301" i="129"/>
  <c r="Q4301" i="129"/>
  <c r="R4301" i="129"/>
  <c r="P4302" i="129"/>
  <c r="Q4302" i="129"/>
  <c r="R4302" i="129"/>
  <c r="P4303" i="129"/>
  <c r="Q4303" i="129"/>
  <c r="R4303" i="129"/>
  <c r="P4304" i="129"/>
  <c r="Q4304" i="129"/>
  <c r="R4304" i="129"/>
  <c r="P4305" i="129"/>
  <c r="Q4305" i="129"/>
  <c r="R4305" i="129"/>
  <c r="P4306" i="129"/>
  <c r="Q4306" i="129"/>
  <c r="R4306" i="129"/>
  <c r="P4307" i="129"/>
  <c r="Q4307" i="129"/>
  <c r="R4307" i="129"/>
  <c r="P4308" i="129"/>
  <c r="Q4308" i="129"/>
  <c r="R4308" i="129"/>
  <c r="P4309" i="129"/>
  <c r="Q4309" i="129"/>
  <c r="R4309" i="129"/>
  <c r="P4310" i="129"/>
  <c r="Q4310" i="129"/>
  <c r="R4310" i="129"/>
  <c r="P4311" i="129"/>
  <c r="Q4311" i="129"/>
  <c r="R4311" i="129"/>
  <c r="P4312" i="129"/>
  <c r="Q4312" i="129"/>
  <c r="R4312" i="129"/>
  <c r="P4313" i="129"/>
  <c r="Q4313" i="129"/>
  <c r="R4313" i="129"/>
  <c r="P4314" i="129"/>
  <c r="Q4314" i="129"/>
  <c r="R4314" i="129"/>
  <c r="P4315" i="129"/>
  <c r="Q4315" i="129"/>
  <c r="R4315" i="129"/>
  <c r="P4316" i="129"/>
  <c r="Q4316" i="129"/>
  <c r="R4316" i="129"/>
  <c r="P4317" i="129"/>
  <c r="Q4317" i="129"/>
  <c r="R4317" i="129"/>
  <c r="P4318" i="129"/>
  <c r="Q4318" i="129"/>
  <c r="R4318" i="129"/>
  <c r="P4319" i="129"/>
  <c r="Q4319" i="129"/>
  <c r="R4319" i="129"/>
  <c r="P4320" i="129"/>
  <c r="Q4320" i="129"/>
  <c r="R4320" i="129"/>
  <c r="P4321" i="129"/>
  <c r="Q4321" i="129"/>
  <c r="R4321" i="129"/>
  <c r="P4322" i="129"/>
  <c r="Q4322" i="129"/>
  <c r="R4322" i="129"/>
  <c r="P4323" i="129"/>
  <c r="Q4323" i="129"/>
  <c r="R4323" i="129"/>
  <c r="P4324" i="129"/>
  <c r="Q4324" i="129"/>
  <c r="R4324" i="129"/>
  <c r="P4325" i="129"/>
  <c r="Q4325" i="129"/>
  <c r="R4325" i="129"/>
  <c r="P4326" i="129"/>
  <c r="Q4326" i="129"/>
  <c r="R4326" i="129"/>
  <c r="P4327" i="129"/>
  <c r="Q4327" i="129"/>
  <c r="R4327" i="129"/>
  <c r="P4328" i="129"/>
  <c r="Q4328" i="129"/>
  <c r="R4328" i="129"/>
  <c r="P4329" i="129"/>
  <c r="Q4329" i="129"/>
  <c r="R4329" i="129"/>
  <c r="P4330" i="129"/>
  <c r="Q4330" i="129"/>
  <c r="R4330" i="129"/>
  <c r="P4331" i="129"/>
  <c r="Q4331" i="129"/>
  <c r="R4331" i="129"/>
  <c r="P4332" i="129"/>
  <c r="Q4332" i="129"/>
  <c r="R4332" i="129"/>
  <c r="P4333" i="129"/>
  <c r="Q4333" i="129"/>
  <c r="P4334" i="129"/>
  <c r="Q4334" i="129"/>
  <c r="R4334" i="129"/>
  <c r="P4335" i="129"/>
  <c r="Q4335" i="129"/>
  <c r="R4335" i="129"/>
  <c r="P4336" i="129"/>
  <c r="Q4336" i="129"/>
  <c r="R4336" i="129"/>
  <c r="P4337" i="129"/>
  <c r="Q4337" i="129"/>
  <c r="R4337" i="129"/>
  <c r="P4338" i="129"/>
  <c r="Q4338" i="129"/>
  <c r="R4338" i="129"/>
  <c r="P4339" i="129"/>
  <c r="Q4339" i="129"/>
  <c r="R4339" i="129"/>
  <c r="P4340" i="129"/>
  <c r="Q4340" i="129"/>
  <c r="R4340" i="129"/>
  <c r="P4341" i="129"/>
  <c r="Q4341" i="129"/>
  <c r="R4341" i="129"/>
  <c r="P4342" i="129"/>
  <c r="Q4342" i="129"/>
  <c r="R4342" i="129"/>
  <c r="P4343" i="129"/>
  <c r="Q4343" i="129"/>
  <c r="R4343" i="129"/>
  <c r="P4344" i="129"/>
  <c r="Q4344" i="129"/>
  <c r="R4344" i="129"/>
  <c r="P4345" i="129"/>
  <c r="Q4345" i="129"/>
  <c r="R4345" i="129"/>
  <c r="P4346" i="129"/>
  <c r="Q4346" i="129"/>
  <c r="R4346" i="129"/>
  <c r="P4347" i="129"/>
  <c r="Q4347" i="129"/>
  <c r="R4347" i="129"/>
  <c r="P4348" i="129"/>
  <c r="Q4348" i="129"/>
  <c r="R4348" i="129"/>
  <c r="P4349" i="129"/>
  <c r="Q4349" i="129"/>
  <c r="R4349" i="129"/>
  <c r="P4350" i="129"/>
  <c r="Q4350" i="129"/>
  <c r="R4350" i="129"/>
  <c r="P4351" i="129"/>
  <c r="Q4351" i="129"/>
  <c r="R4351" i="129"/>
  <c r="P4352" i="129"/>
  <c r="Q4352" i="129"/>
  <c r="R4352" i="129"/>
  <c r="P4353" i="129"/>
  <c r="Q4353" i="129"/>
  <c r="R4353" i="129"/>
  <c r="P4354" i="129"/>
  <c r="Q4354" i="129"/>
  <c r="R4354" i="129"/>
  <c r="P4355" i="129"/>
  <c r="Q4355" i="129"/>
  <c r="R4355" i="129"/>
  <c r="P4356" i="129"/>
  <c r="Q4356" i="129"/>
  <c r="R4356" i="129"/>
  <c r="P4357" i="129"/>
  <c r="Q4357" i="129"/>
  <c r="R4357" i="129"/>
  <c r="P4358" i="129"/>
  <c r="Q4358" i="129"/>
  <c r="R4358" i="129"/>
  <c r="P4359" i="129"/>
  <c r="Q4359" i="129"/>
  <c r="R4359" i="129"/>
  <c r="P4360" i="129"/>
  <c r="Q4360" i="129"/>
  <c r="R4360" i="129"/>
  <c r="P4361" i="129"/>
  <c r="Q4361" i="129"/>
  <c r="R4361" i="129"/>
  <c r="P4362" i="129"/>
  <c r="Q4362" i="129"/>
  <c r="R4362" i="129"/>
  <c r="P4363" i="129"/>
  <c r="Q4363" i="129"/>
  <c r="R4363" i="129"/>
  <c r="P4364" i="129"/>
  <c r="Q4364" i="129"/>
  <c r="R4364" i="129"/>
  <c r="P4365" i="129"/>
  <c r="Q4365" i="129"/>
  <c r="P4366" i="129"/>
  <c r="Q4366" i="129"/>
  <c r="R4366" i="129"/>
  <c r="P4367" i="129"/>
  <c r="Q4367" i="129"/>
  <c r="R4367" i="129"/>
  <c r="P4368" i="129"/>
  <c r="Q4368" i="129"/>
  <c r="R4368" i="129"/>
  <c r="P4369" i="129"/>
  <c r="Q4369" i="129"/>
  <c r="R4369" i="129"/>
  <c r="P4370" i="129"/>
  <c r="Q4370" i="129"/>
  <c r="R4370" i="129"/>
  <c r="P4371" i="129"/>
  <c r="Q4371" i="129"/>
  <c r="R4371" i="129"/>
  <c r="P4372" i="129"/>
  <c r="Q4372" i="129"/>
  <c r="R4372" i="129"/>
  <c r="P4373" i="129"/>
  <c r="Q4373" i="129"/>
  <c r="R4373" i="129"/>
  <c r="P4374" i="129"/>
  <c r="Q4374" i="129"/>
  <c r="R4374" i="129"/>
  <c r="P4375" i="129"/>
  <c r="Q4375" i="129"/>
  <c r="R4375" i="129"/>
  <c r="P4376" i="129"/>
  <c r="Q4376" i="129"/>
  <c r="R4376" i="129"/>
  <c r="P4377" i="129"/>
  <c r="Q4377" i="129"/>
  <c r="R4377" i="129"/>
  <c r="P4378" i="129"/>
  <c r="Q4378" i="129"/>
  <c r="R4378" i="129"/>
  <c r="P4379" i="129"/>
  <c r="Q4379" i="129"/>
  <c r="R4379" i="129"/>
  <c r="P4380" i="129"/>
  <c r="Q4380" i="129"/>
  <c r="R4380" i="129"/>
  <c r="P4381" i="129"/>
  <c r="Q4381" i="129"/>
  <c r="R4381" i="129"/>
  <c r="P4382" i="129"/>
  <c r="Q4382" i="129"/>
  <c r="R4382" i="129"/>
  <c r="P4383" i="129"/>
  <c r="Q4383" i="129"/>
  <c r="R4383" i="129"/>
  <c r="P4384" i="129"/>
  <c r="Q4384" i="129"/>
  <c r="R4384" i="129"/>
  <c r="P4385" i="129"/>
  <c r="Q4385" i="129"/>
  <c r="R4385" i="129"/>
  <c r="P4386" i="129"/>
  <c r="Q4386" i="129"/>
  <c r="R4386" i="129"/>
  <c r="P4387" i="129"/>
  <c r="Q4387" i="129"/>
  <c r="R4387" i="129"/>
  <c r="P4388" i="129"/>
  <c r="Q4388" i="129"/>
  <c r="R4388" i="129"/>
  <c r="P4389" i="129"/>
  <c r="Q4389" i="129"/>
  <c r="R4389" i="129"/>
  <c r="P4390" i="129"/>
  <c r="Q4390" i="129"/>
  <c r="R4390" i="129"/>
  <c r="P4391" i="129"/>
  <c r="Q4391" i="129"/>
  <c r="R4391" i="129"/>
  <c r="P4392" i="129"/>
  <c r="Q4392" i="129"/>
  <c r="R4392" i="129"/>
  <c r="P4393" i="129"/>
  <c r="Q4393" i="129"/>
  <c r="R4393" i="129"/>
  <c r="P4394" i="129"/>
  <c r="Q4394" i="129"/>
  <c r="R4394" i="129"/>
  <c r="P4395" i="129"/>
  <c r="Q4395" i="129"/>
  <c r="R4395" i="129"/>
  <c r="P4396" i="129"/>
  <c r="Q4396" i="129"/>
  <c r="R4396" i="129"/>
  <c r="P4397" i="129"/>
  <c r="Q4397" i="129"/>
  <c r="R4397" i="129"/>
  <c r="P4398" i="129"/>
  <c r="Q4398" i="129"/>
  <c r="P4399" i="129"/>
  <c r="Q4399" i="129"/>
  <c r="R4399" i="129"/>
  <c r="P4400" i="129"/>
  <c r="Q4400" i="129"/>
  <c r="R4400" i="129"/>
  <c r="P4401" i="129"/>
  <c r="Q4401" i="129"/>
  <c r="R4401" i="129"/>
  <c r="P4402" i="129"/>
  <c r="Q4402" i="129"/>
  <c r="R4402" i="129"/>
  <c r="P4403" i="129"/>
  <c r="Q4403" i="129"/>
  <c r="R4403" i="129"/>
  <c r="P4404" i="129"/>
  <c r="Q4404" i="129"/>
  <c r="R4404" i="129"/>
  <c r="P4405" i="129"/>
  <c r="Q4405" i="129"/>
  <c r="R4405" i="129"/>
  <c r="P4406" i="129"/>
  <c r="Q4406" i="129"/>
  <c r="R4406" i="129"/>
  <c r="P4407" i="129"/>
  <c r="Q4407" i="129"/>
  <c r="R4407" i="129"/>
  <c r="P4408" i="129"/>
  <c r="Q4408" i="129"/>
  <c r="R4408" i="129"/>
  <c r="P4409" i="129"/>
  <c r="Q4409" i="129"/>
  <c r="R4409" i="129"/>
  <c r="P4410" i="129"/>
  <c r="Q4410" i="129"/>
  <c r="R4410" i="129"/>
  <c r="P4411" i="129"/>
  <c r="Q4411" i="129"/>
  <c r="R4411" i="129"/>
  <c r="P4412" i="129"/>
  <c r="Q4412" i="129"/>
  <c r="R4412" i="129"/>
  <c r="P4413" i="129"/>
  <c r="Q4413" i="129"/>
  <c r="R4413" i="129"/>
  <c r="P4414" i="129"/>
  <c r="Q4414" i="129"/>
  <c r="R4414" i="129"/>
  <c r="P4415" i="129"/>
  <c r="Q4415" i="129"/>
  <c r="R4415" i="129"/>
  <c r="P4416" i="129"/>
  <c r="Q4416" i="129"/>
  <c r="R4416" i="129"/>
  <c r="P4417" i="129"/>
  <c r="Q4417" i="129"/>
  <c r="R4417" i="129"/>
  <c r="P4418" i="129"/>
  <c r="Q4418" i="129"/>
  <c r="R4418" i="129"/>
  <c r="P4419" i="129"/>
  <c r="Q4419" i="129"/>
  <c r="R4419" i="129"/>
  <c r="P4420" i="129"/>
  <c r="Q4420" i="129"/>
  <c r="R4420" i="129"/>
  <c r="P4421" i="129"/>
  <c r="Q4421" i="129"/>
  <c r="R4421" i="129"/>
  <c r="P4422" i="129"/>
  <c r="Q4422" i="129"/>
  <c r="R4422" i="129"/>
  <c r="P4423" i="129"/>
  <c r="Q4423" i="129"/>
  <c r="R4423" i="129"/>
  <c r="P4424" i="129"/>
  <c r="Q4424" i="129"/>
  <c r="R4424" i="129"/>
  <c r="P4425" i="129"/>
  <c r="Q4425" i="129"/>
  <c r="R4425" i="129"/>
  <c r="P4426" i="129"/>
  <c r="Q4426" i="129"/>
  <c r="R4426" i="129"/>
  <c r="P4427" i="129"/>
  <c r="Q4427" i="129"/>
  <c r="R4427" i="129"/>
  <c r="P4428" i="129"/>
  <c r="Q4428" i="129"/>
  <c r="R4428" i="129"/>
  <c r="P4429" i="129"/>
  <c r="Q4429" i="129"/>
  <c r="R4429" i="129"/>
  <c r="P4430" i="129"/>
  <c r="Q4430" i="129"/>
  <c r="P4431" i="129"/>
  <c r="Q4431" i="129"/>
  <c r="R4431" i="129"/>
  <c r="P4432" i="129"/>
  <c r="Q4432" i="129"/>
  <c r="R4432" i="129"/>
  <c r="P4433" i="129"/>
  <c r="Q4433" i="129"/>
  <c r="R4433" i="129"/>
  <c r="P4434" i="129"/>
  <c r="Q4434" i="129"/>
  <c r="R4434" i="129"/>
  <c r="P4435" i="129"/>
  <c r="Q4435" i="129"/>
  <c r="R4435" i="129"/>
  <c r="P4436" i="129"/>
  <c r="Q4436" i="129"/>
  <c r="R4436" i="129"/>
  <c r="P4437" i="129"/>
  <c r="Q4437" i="129"/>
  <c r="R4437" i="129"/>
  <c r="P4438" i="129"/>
  <c r="Q4438" i="129"/>
  <c r="R4438" i="129"/>
  <c r="P4439" i="129"/>
  <c r="Q4439" i="129"/>
  <c r="R4439" i="129"/>
  <c r="P4440" i="129"/>
  <c r="Q4440" i="129"/>
  <c r="R4440" i="129"/>
  <c r="P4441" i="129"/>
  <c r="Q4441" i="129"/>
  <c r="R4441" i="129"/>
  <c r="P4442" i="129"/>
  <c r="Q4442" i="129"/>
  <c r="R4442" i="129"/>
  <c r="P4443" i="129"/>
  <c r="Q4443" i="129"/>
  <c r="R4443" i="129"/>
  <c r="P4444" i="129"/>
  <c r="Q4444" i="129"/>
  <c r="R4444" i="129"/>
  <c r="P4445" i="129"/>
  <c r="Q4445" i="129"/>
  <c r="R4445" i="129"/>
  <c r="P4446" i="129"/>
  <c r="Q4446" i="129"/>
  <c r="R4446" i="129"/>
  <c r="P4447" i="129"/>
  <c r="Q4447" i="129"/>
  <c r="R4447" i="129"/>
  <c r="P4448" i="129"/>
  <c r="Q4448" i="129"/>
  <c r="R4448" i="129"/>
  <c r="P4449" i="129"/>
  <c r="Q4449" i="129"/>
  <c r="R4449" i="129"/>
  <c r="P4450" i="129"/>
  <c r="Q4450" i="129"/>
  <c r="R4450" i="129"/>
  <c r="P4451" i="129"/>
  <c r="Q4451" i="129"/>
  <c r="R4451" i="129"/>
  <c r="P4452" i="129"/>
  <c r="Q4452" i="129"/>
  <c r="R4452" i="129"/>
  <c r="P4453" i="129"/>
  <c r="Q4453" i="129"/>
  <c r="R4453" i="129"/>
  <c r="P4454" i="129"/>
  <c r="Q4454" i="129"/>
  <c r="R4454" i="129"/>
  <c r="P4455" i="129"/>
  <c r="Q4455" i="129"/>
  <c r="R4455" i="129"/>
  <c r="P4456" i="129"/>
  <c r="Q4456" i="129"/>
  <c r="R4456" i="129"/>
  <c r="P4457" i="129"/>
  <c r="Q4457" i="129"/>
  <c r="R4457" i="129"/>
  <c r="P4458" i="129"/>
  <c r="Q4458" i="129"/>
  <c r="R4458" i="129"/>
  <c r="P4459" i="129"/>
  <c r="Q4459" i="129"/>
  <c r="R4459" i="129"/>
  <c r="P4460" i="129"/>
  <c r="Q4460" i="129"/>
  <c r="R4460" i="129"/>
  <c r="P4461" i="129"/>
  <c r="Q4461" i="129"/>
  <c r="R4461" i="129"/>
  <c r="P4462" i="129"/>
  <c r="Q4462" i="129"/>
  <c r="R4462" i="129"/>
  <c r="P4463" i="129"/>
  <c r="Q4463" i="129"/>
  <c r="P4464" i="129"/>
  <c r="Q4464" i="129"/>
  <c r="R4464" i="129"/>
  <c r="P4465" i="129"/>
  <c r="Q4465" i="129"/>
  <c r="R4465" i="129"/>
  <c r="P4466" i="129"/>
  <c r="Q4466" i="129"/>
  <c r="R4466" i="129"/>
  <c r="P4467" i="129"/>
  <c r="Q4467" i="129"/>
  <c r="R4467" i="129"/>
  <c r="P4468" i="129"/>
  <c r="Q4468" i="129"/>
  <c r="R4468" i="129"/>
  <c r="P4469" i="129"/>
  <c r="Q4469" i="129"/>
  <c r="R4469" i="129"/>
  <c r="P4470" i="129"/>
  <c r="Q4470" i="129"/>
  <c r="R4470" i="129"/>
  <c r="P4471" i="129"/>
  <c r="Q4471" i="129"/>
  <c r="R4471" i="129"/>
  <c r="P4472" i="129"/>
  <c r="Q4472" i="129"/>
  <c r="R4472" i="129"/>
  <c r="P4473" i="129"/>
  <c r="Q4473" i="129"/>
  <c r="R4473" i="129"/>
  <c r="P4474" i="129"/>
  <c r="Q4474" i="129"/>
  <c r="R4474" i="129"/>
  <c r="P4475" i="129"/>
  <c r="Q4475" i="129"/>
  <c r="R4475" i="129"/>
  <c r="P4476" i="129"/>
  <c r="Q4476" i="129"/>
  <c r="R4476" i="129"/>
  <c r="P4477" i="129"/>
  <c r="Q4477" i="129"/>
  <c r="R4477" i="129"/>
  <c r="P4478" i="129"/>
  <c r="Q4478" i="129"/>
  <c r="R4478" i="129"/>
  <c r="P4479" i="129"/>
  <c r="Q4479" i="129"/>
  <c r="R4479" i="129"/>
  <c r="P4480" i="129"/>
  <c r="Q4480" i="129"/>
  <c r="R4480" i="129"/>
  <c r="P4481" i="129"/>
  <c r="Q4481" i="129"/>
  <c r="R4481" i="129"/>
  <c r="P4482" i="129"/>
  <c r="Q4482" i="129"/>
  <c r="R4482" i="129"/>
  <c r="P4483" i="129"/>
  <c r="Q4483" i="129"/>
  <c r="R4483" i="129"/>
  <c r="P4484" i="129"/>
  <c r="Q4484" i="129"/>
  <c r="R4484" i="129"/>
  <c r="P4485" i="129"/>
  <c r="Q4485" i="129"/>
  <c r="R4485" i="129"/>
  <c r="P4486" i="129"/>
  <c r="Q4486" i="129"/>
  <c r="R4486" i="129"/>
  <c r="P4487" i="129"/>
  <c r="Q4487" i="129"/>
  <c r="R4487" i="129"/>
  <c r="P4488" i="129"/>
  <c r="Q4488" i="129"/>
  <c r="R4488" i="129"/>
  <c r="P4489" i="129"/>
  <c r="Q4489" i="129"/>
  <c r="R4489" i="129"/>
  <c r="P4490" i="129"/>
  <c r="Q4490" i="129"/>
  <c r="R4490" i="129"/>
  <c r="P4491" i="129"/>
  <c r="Q4491" i="129"/>
  <c r="R4491" i="129"/>
  <c r="P4492" i="129"/>
  <c r="Q4492" i="129"/>
  <c r="R4492" i="129"/>
  <c r="P4493" i="129"/>
  <c r="Q4493" i="129"/>
  <c r="R4493" i="129"/>
  <c r="P4494" i="129"/>
  <c r="Q4494" i="129"/>
  <c r="R4494" i="129"/>
  <c r="P4495" i="129"/>
  <c r="Q4495" i="129"/>
  <c r="P4496" i="129"/>
  <c r="Q4496" i="129"/>
  <c r="R4496" i="129"/>
  <c r="P4497" i="129"/>
  <c r="Q4497" i="129"/>
  <c r="R4497" i="129"/>
  <c r="P4498" i="129"/>
  <c r="Q4498" i="129"/>
  <c r="R4498" i="129"/>
  <c r="P4499" i="129"/>
  <c r="Q4499" i="129"/>
  <c r="R4499" i="129"/>
  <c r="P4500" i="129"/>
  <c r="Q4500" i="129"/>
  <c r="R4500" i="129"/>
  <c r="P4501" i="129"/>
  <c r="Q4501" i="129"/>
  <c r="R4501" i="129"/>
  <c r="P4502" i="129"/>
  <c r="Q4502" i="129"/>
  <c r="R4502" i="129"/>
  <c r="P4503" i="129"/>
  <c r="Q4503" i="129"/>
  <c r="R4503" i="129"/>
  <c r="P4504" i="129"/>
  <c r="Q4504" i="129"/>
  <c r="R4504" i="129"/>
  <c r="P4505" i="129"/>
  <c r="Q4505" i="129"/>
  <c r="R4505" i="129"/>
  <c r="P4506" i="129"/>
  <c r="Q4506" i="129"/>
  <c r="R4506" i="129"/>
  <c r="P4507" i="129"/>
  <c r="Q4507" i="129"/>
  <c r="R4507" i="129"/>
  <c r="P4508" i="129"/>
  <c r="Q4508" i="129"/>
  <c r="R4508" i="129"/>
  <c r="P4509" i="129"/>
  <c r="Q4509" i="129"/>
  <c r="R4509" i="129"/>
  <c r="P4510" i="129"/>
  <c r="Q4510" i="129"/>
  <c r="R4510" i="129"/>
  <c r="P4511" i="129"/>
  <c r="Q4511" i="129"/>
  <c r="R4511" i="129"/>
  <c r="P4512" i="129"/>
  <c r="Q4512" i="129"/>
  <c r="R4512" i="129"/>
  <c r="P4513" i="129"/>
  <c r="Q4513" i="129"/>
  <c r="R4513" i="129"/>
  <c r="P4514" i="129"/>
  <c r="Q4514" i="129"/>
  <c r="R4514" i="129"/>
  <c r="P4515" i="129"/>
  <c r="Q4515" i="129"/>
  <c r="R4515" i="129"/>
  <c r="P4516" i="129"/>
  <c r="Q4516" i="129"/>
  <c r="R4516" i="129"/>
  <c r="P4517" i="129"/>
  <c r="Q4517" i="129"/>
  <c r="R4517" i="129"/>
  <c r="P4518" i="129"/>
  <c r="Q4518" i="129"/>
  <c r="R4518" i="129"/>
  <c r="P4519" i="129"/>
  <c r="Q4519" i="129"/>
  <c r="R4519" i="129"/>
  <c r="P4520" i="129"/>
  <c r="Q4520" i="129"/>
  <c r="R4520" i="129"/>
  <c r="P4521" i="129"/>
  <c r="Q4521" i="129"/>
  <c r="R4521" i="129"/>
  <c r="P4522" i="129"/>
  <c r="Q4522" i="129"/>
  <c r="R4522" i="129"/>
  <c r="P4523" i="129"/>
  <c r="Q4523" i="129"/>
  <c r="R4523" i="129"/>
  <c r="P4524" i="129"/>
  <c r="Q4524" i="129"/>
  <c r="R4524" i="129"/>
  <c r="P4525" i="129"/>
  <c r="Q4525" i="129"/>
  <c r="R4525" i="129"/>
  <c r="P4526" i="129"/>
  <c r="Q4526" i="129"/>
  <c r="P4527" i="129"/>
  <c r="Q4527" i="129"/>
  <c r="R4527" i="129"/>
  <c r="P4528" i="129"/>
  <c r="Q4528" i="129"/>
  <c r="R4528" i="129"/>
  <c r="P4529" i="129"/>
  <c r="Q4529" i="129"/>
  <c r="R4529" i="129"/>
  <c r="P4530" i="129"/>
  <c r="Q4530" i="129"/>
  <c r="R4530" i="129"/>
  <c r="P4531" i="129"/>
  <c r="Q4531" i="129"/>
  <c r="R4531" i="129"/>
  <c r="P4532" i="129"/>
  <c r="Q4532" i="129"/>
  <c r="R4532" i="129"/>
  <c r="P4533" i="129"/>
  <c r="Q4533" i="129"/>
  <c r="R4533" i="129"/>
  <c r="P4534" i="129"/>
  <c r="Q4534" i="129"/>
  <c r="R4534" i="129"/>
  <c r="P4535" i="129"/>
  <c r="Q4535" i="129"/>
  <c r="R4535" i="129"/>
  <c r="P4536" i="129"/>
  <c r="Q4536" i="129"/>
  <c r="R4536" i="129"/>
  <c r="P4537" i="129"/>
  <c r="Q4537" i="129"/>
  <c r="R4537" i="129"/>
  <c r="P4538" i="129"/>
  <c r="Q4538" i="129"/>
  <c r="R4538" i="129"/>
  <c r="P4539" i="129"/>
  <c r="Q4539" i="129"/>
  <c r="R4539" i="129"/>
  <c r="P4540" i="129"/>
  <c r="Q4540" i="129"/>
  <c r="R4540" i="129"/>
  <c r="P4541" i="129"/>
  <c r="Q4541" i="129"/>
  <c r="R4541" i="129"/>
  <c r="P4542" i="129"/>
  <c r="Q4542" i="129"/>
  <c r="R4542" i="129"/>
  <c r="P4543" i="129"/>
  <c r="Q4543" i="129"/>
  <c r="R4543" i="129"/>
  <c r="P4544" i="129"/>
  <c r="Q4544" i="129"/>
  <c r="R4544" i="129"/>
  <c r="P4545" i="129"/>
  <c r="Q4545" i="129"/>
  <c r="R4545" i="129"/>
  <c r="P4546" i="129"/>
  <c r="Q4546" i="129"/>
  <c r="R4546" i="129"/>
  <c r="P4547" i="129"/>
  <c r="Q4547" i="129"/>
  <c r="R4547" i="129"/>
  <c r="P4548" i="129"/>
  <c r="Q4548" i="129"/>
  <c r="R4548" i="129"/>
  <c r="P4549" i="129"/>
  <c r="Q4549" i="129"/>
  <c r="R4549" i="129"/>
  <c r="P4550" i="129"/>
  <c r="Q4550" i="129"/>
  <c r="R4550" i="129"/>
  <c r="P4551" i="129"/>
  <c r="Q4551" i="129"/>
  <c r="R4551" i="129"/>
  <c r="P4552" i="129"/>
  <c r="Q4552" i="129"/>
  <c r="R4552" i="129"/>
  <c r="P4553" i="129"/>
  <c r="Q4553" i="129"/>
  <c r="R4553" i="129"/>
  <c r="P4554" i="129"/>
  <c r="Q4554" i="129"/>
  <c r="R4554" i="129"/>
  <c r="P4555" i="129"/>
  <c r="Q4555" i="129"/>
  <c r="R4555" i="129"/>
  <c r="P4556" i="129"/>
  <c r="Q4556" i="129"/>
  <c r="R4556" i="129"/>
  <c r="P4557" i="129"/>
  <c r="Q4557" i="129"/>
  <c r="R4557" i="129"/>
  <c r="P4558" i="129"/>
  <c r="Q4558" i="129"/>
  <c r="P4559" i="129"/>
  <c r="Q4559" i="129"/>
  <c r="R4559" i="129"/>
  <c r="P4560" i="129"/>
  <c r="Q4560" i="129"/>
  <c r="R4560" i="129"/>
  <c r="P4561" i="129"/>
  <c r="Q4561" i="129"/>
  <c r="R4561" i="129"/>
  <c r="P4562" i="129"/>
  <c r="Q4562" i="129"/>
  <c r="R4562" i="129"/>
  <c r="P4563" i="129"/>
  <c r="Q4563" i="129"/>
  <c r="R4563" i="129"/>
  <c r="P4564" i="129"/>
  <c r="Q4564" i="129"/>
  <c r="R4564" i="129"/>
  <c r="P4565" i="129"/>
  <c r="Q4565" i="129"/>
  <c r="R4565" i="129"/>
  <c r="P4566" i="129"/>
  <c r="Q4566" i="129"/>
  <c r="R4566" i="129"/>
  <c r="P4567" i="129"/>
  <c r="Q4567" i="129"/>
  <c r="R4567" i="129"/>
  <c r="P4568" i="129"/>
  <c r="Q4568" i="129"/>
  <c r="R4568" i="129"/>
  <c r="P4569" i="129"/>
  <c r="Q4569" i="129"/>
  <c r="R4569" i="129"/>
  <c r="P4570" i="129"/>
  <c r="Q4570" i="129"/>
  <c r="R4570" i="129"/>
  <c r="P4571" i="129"/>
  <c r="Q4571" i="129"/>
  <c r="R4571" i="129"/>
  <c r="P4572" i="129"/>
  <c r="Q4572" i="129"/>
  <c r="R4572" i="129"/>
  <c r="P4573" i="129"/>
  <c r="Q4573" i="129"/>
  <c r="R4573" i="129"/>
  <c r="P4574" i="129"/>
  <c r="Q4574" i="129"/>
  <c r="R4574" i="129"/>
  <c r="P4575" i="129"/>
  <c r="Q4575" i="129"/>
  <c r="R4575" i="129"/>
  <c r="P4576" i="129"/>
  <c r="Q4576" i="129"/>
  <c r="R4576" i="129"/>
  <c r="P4577" i="129"/>
  <c r="Q4577" i="129"/>
  <c r="R4577" i="129"/>
  <c r="P4578" i="129"/>
  <c r="Q4578" i="129"/>
  <c r="R4578" i="129"/>
  <c r="P4579" i="129"/>
  <c r="Q4579" i="129"/>
  <c r="R4579" i="129"/>
  <c r="P4580" i="129"/>
  <c r="Q4580" i="129"/>
  <c r="R4580" i="129"/>
  <c r="P4581" i="129"/>
  <c r="Q4581" i="129"/>
  <c r="R4581" i="129"/>
  <c r="P4582" i="129"/>
  <c r="Q4582" i="129"/>
  <c r="R4582" i="129"/>
  <c r="P4583" i="129"/>
  <c r="Q4583" i="129"/>
  <c r="R4583" i="129"/>
  <c r="P4584" i="129"/>
  <c r="Q4584" i="129"/>
  <c r="R4584" i="129"/>
  <c r="P4585" i="129"/>
  <c r="Q4585" i="129"/>
  <c r="R4585" i="129"/>
  <c r="P4586" i="129"/>
  <c r="Q4586" i="129"/>
  <c r="R4586" i="129"/>
  <c r="P4587" i="129"/>
  <c r="Q4587" i="129"/>
  <c r="R4587" i="129"/>
  <c r="P4588" i="129"/>
  <c r="Q4588" i="129"/>
  <c r="R4588" i="129"/>
  <c r="P4589" i="129"/>
  <c r="Q4589" i="129"/>
  <c r="R4589" i="129"/>
  <c r="P4590" i="129"/>
  <c r="Q4590" i="129"/>
  <c r="P4591" i="129"/>
  <c r="Q4591" i="129"/>
  <c r="R4591" i="129"/>
  <c r="P4592" i="129"/>
  <c r="Q4592" i="129"/>
  <c r="R4592" i="129"/>
  <c r="P4593" i="129"/>
  <c r="Q4593" i="129"/>
  <c r="R4593" i="129"/>
  <c r="P4594" i="129"/>
  <c r="Q4594" i="129"/>
  <c r="R4594" i="129"/>
  <c r="P4595" i="129"/>
  <c r="Q4595" i="129"/>
  <c r="R4595" i="129"/>
  <c r="P4596" i="129"/>
  <c r="Q4596" i="129"/>
  <c r="R4596" i="129"/>
  <c r="P4597" i="129"/>
  <c r="Q4597" i="129"/>
  <c r="R4597" i="129"/>
  <c r="P4598" i="129"/>
  <c r="Q4598" i="129"/>
  <c r="R4598" i="129"/>
  <c r="P4599" i="129"/>
  <c r="Q4599" i="129"/>
  <c r="R4599" i="129"/>
  <c r="P4600" i="129"/>
  <c r="Q4600" i="129"/>
  <c r="R4600" i="129"/>
  <c r="P4601" i="129"/>
  <c r="Q4601" i="129"/>
  <c r="R4601" i="129"/>
  <c r="P4602" i="129"/>
  <c r="Q4602" i="129"/>
  <c r="R4602" i="129"/>
  <c r="P4603" i="129"/>
  <c r="Q4603" i="129"/>
  <c r="R4603" i="129"/>
  <c r="P4604" i="129"/>
  <c r="Q4604" i="129"/>
  <c r="R4604" i="129"/>
  <c r="P4605" i="129"/>
  <c r="Q4605" i="129"/>
  <c r="R4605" i="129"/>
  <c r="P4606" i="129"/>
  <c r="Q4606" i="129"/>
  <c r="R4606" i="129"/>
  <c r="P4607" i="129"/>
  <c r="Q4607" i="129"/>
  <c r="R4607" i="129"/>
  <c r="P4608" i="129"/>
  <c r="Q4608" i="129"/>
  <c r="R4608" i="129"/>
  <c r="P4609" i="129"/>
  <c r="Q4609" i="129"/>
  <c r="R4609" i="129"/>
  <c r="P4610" i="129"/>
  <c r="Q4610" i="129"/>
  <c r="R4610" i="129"/>
  <c r="P4611" i="129"/>
  <c r="Q4611" i="129"/>
  <c r="R4611" i="129"/>
  <c r="P4612" i="129"/>
  <c r="Q4612" i="129"/>
  <c r="R4612" i="129"/>
  <c r="P4613" i="129"/>
  <c r="Q4613" i="129"/>
  <c r="R4613" i="129"/>
  <c r="P4614" i="129"/>
  <c r="Q4614" i="129"/>
  <c r="R4614" i="129"/>
  <c r="P4615" i="129"/>
  <c r="Q4615" i="129"/>
  <c r="R4615" i="129"/>
  <c r="P4616" i="129"/>
  <c r="Q4616" i="129"/>
  <c r="R4616" i="129"/>
  <c r="P4617" i="129"/>
  <c r="Q4617" i="129"/>
  <c r="R4617" i="129"/>
  <c r="P4618" i="129"/>
  <c r="Q4618" i="129"/>
  <c r="R4618" i="129"/>
  <c r="P4619" i="129"/>
  <c r="Q4619" i="129"/>
  <c r="R4619" i="129"/>
  <c r="P4620" i="129"/>
  <c r="Q4620" i="129"/>
  <c r="P4621" i="129"/>
  <c r="Q4621" i="129"/>
  <c r="R4621" i="129"/>
  <c r="P4622" i="129"/>
  <c r="Q4622" i="129"/>
  <c r="R4622" i="129"/>
  <c r="P4623" i="129"/>
  <c r="Q4623" i="129"/>
  <c r="R4623" i="129"/>
  <c r="P4624" i="129"/>
  <c r="Q4624" i="129"/>
  <c r="R4624" i="129"/>
  <c r="P4625" i="129"/>
  <c r="Q4625" i="129"/>
  <c r="R4625" i="129"/>
  <c r="P4626" i="129"/>
  <c r="Q4626" i="129"/>
  <c r="R4626" i="129"/>
  <c r="P4627" i="129"/>
  <c r="Q4627" i="129"/>
  <c r="R4627" i="129"/>
  <c r="P4628" i="129"/>
  <c r="Q4628" i="129"/>
  <c r="R4628" i="129"/>
  <c r="P4629" i="129"/>
  <c r="Q4629" i="129"/>
  <c r="R4629" i="129"/>
  <c r="P4630" i="129"/>
  <c r="Q4630" i="129"/>
  <c r="R4630" i="129"/>
  <c r="P4631" i="129"/>
  <c r="Q4631" i="129"/>
  <c r="R4631" i="129"/>
  <c r="P4632" i="129"/>
  <c r="Q4632" i="129"/>
  <c r="R4632" i="129"/>
  <c r="P4633" i="129"/>
  <c r="Q4633" i="129"/>
  <c r="R4633" i="129"/>
  <c r="P4634" i="129"/>
  <c r="Q4634" i="129"/>
  <c r="R4634" i="129"/>
  <c r="P4635" i="129"/>
  <c r="Q4635" i="129"/>
  <c r="R4635" i="129"/>
  <c r="P4636" i="129"/>
  <c r="Q4636" i="129"/>
  <c r="R4636" i="129"/>
  <c r="P4637" i="129"/>
  <c r="Q4637" i="129"/>
  <c r="R4637" i="129"/>
  <c r="P4638" i="129"/>
  <c r="Q4638" i="129"/>
  <c r="R4638" i="129"/>
  <c r="P4639" i="129"/>
  <c r="Q4639" i="129"/>
  <c r="R4639" i="129"/>
  <c r="P4640" i="129"/>
  <c r="Q4640" i="129"/>
  <c r="R4640" i="129"/>
  <c r="P4641" i="129"/>
  <c r="Q4641" i="129"/>
  <c r="R4641" i="129"/>
  <c r="P4642" i="129"/>
  <c r="Q4642" i="129"/>
  <c r="R4642" i="129"/>
  <c r="P4643" i="129"/>
  <c r="Q4643" i="129"/>
  <c r="R4643" i="129"/>
  <c r="P4644" i="129"/>
  <c r="Q4644" i="129"/>
  <c r="R4644" i="129"/>
  <c r="P4645" i="129"/>
  <c r="Q4645" i="129"/>
  <c r="R4645" i="129"/>
  <c r="P4646" i="129"/>
  <c r="Q4646" i="129"/>
  <c r="R4646" i="129"/>
  <c r="P4647" i="129"/>
  <c r="Q4647" i="129"/>
  <c r="R4647" i="129"/>
  <c r="P4648" i="129"/>
  <c r="Q4648" i="129"/>
  <c r="P4649" i="129"/>
  <c r="Q4649" i="129"/>
  <c r="R4649" i="129"/>
  <c r="P4650" i="129"/>
  <c r="Q4650" i="129"/>
  <c r="R4650" i="129"/>
  <c r="P4651" i="129"/>
  <c r="Q4651" i="129"/>
  <c r="R4651" i="129"/>
  <c r="P4652" i="129"/>
  <c r="Q4652" i="129"/>
  <c r="R4652" i="129"/>
  <c r="P4653" i="129"/>
  <c r="Q4653" i="129"/>
  <c r="R4653" i="129"/>
  <c r="P4654" i="129"/>
  <c r="Q4654" i="129"/>
  <c r="R4654" i="129"/>
  <c r="P4655" i="129"/>
  <c r="Q4655" i="129"/>
  <c r="R4655" i="129"/>
  <c r="P4656" i="129"/>
  <c r="Q4656" i="129"/>
  <c r="R4656" i="129"/>
  <c r="P4657" i="129"/>
  <c r="Q4657" i="129"/>
  <c r="R4657" i="129"/>
  <c r="P4658" i="129"/>
  <c r="Q4658" i="129"/>
  <c r="R4658" i="129"/>
  <c r="P4659" i="129"/>
  <c r="Q4659" i="129"/>
  <c r="R4659" i="129"/>
  <c r="P4660" i="129"/>
  <c r="Q4660" i="129"/>
  <c r="R4660" i="129"/>
  <c r="P4661" i="129"/>
  <c r="Q4661" i="129"/>
  <c r="R4661" i="129"/>
  <c r="P4662" i="129"/>
  <c r="Q4662" i="129"/>
  <c r="R4662" i="129"/>
  <c r="P4663" i="129"/>
  <c r="Q4663" i="129"/>
  <c r="R4663" i="129"/>
  <c r="P4664" i="129"/>
  <c r="Q4664" i="129"/>
  <c r="R4664" i="129"/>
  <c r="P4665" i="129"/>
  <c r="Q4665" i="129"/>
  <c r="R4665" i="129"/>
  <c r="P4666" i="129"/>
  <c r="Q4666" i="129"/>
  <c r="R4666" i="129"/>
  <c r="P4667" i="129"/>
  <c r="Q4667" i="129"/>
  <c r="R4667" i="129"/>
  <c r="P4668" i="129"/>
  <c r="Q4668" i="129"/>
  <c r="R4668" i="129"/>
  <c r="P4669" i="129"/>
  <c r="Q4669" i="129"/>
  <c r="R4669" i="129"/>
  <c r="P4670" i="129"/>
  <c r="Q4670" i="129"/>
  <c r="R4670" i="129"/>
  <c r="P4671" i="129"/>
  <c r="Q4671" i="129"/>
  <c r="R4671" i="129"/>
  <c r="P4672" i="129"/>
  <c r="Q4672" i="129"/>
  <c r="R4672" i="129"/>
  <c r="P4673" i="129"/>
  <c r="Q4673" i="129"/>
  <c r="R4673" i="129"/>
  <c r="P4674" i="129"/>
  <c r="Q4674" i="129"/>
  <c r="R4674" i="129"/>
  <c r="P4675" i="129"/>
  <c r="Q4675" i="129"/>
  <c r="R4675" i="129"/>
  <c r="P4676" i="129"/>
  <c r="Q4676" i="129"/>
  <c r="R4676" i="129"/>
  <c r="P4677" i="129"/>
  <c r="Q4677" i="129"/>
  <c r="R4677" i="129"/>
  <c r="P4678" i="129"/>
  <c r="Q4678" i="129"/>
  <c r="R4678" i="129"/>
  <c r="P4679" i="129"/>
  <c r="Q4679" i="129"/>
  <c r="P4680" i="129"/>
  <c r="Q4680" i="129"/>
  <c r="R4680" i="129"/>
  <c r="P4681" i="129"/>
  <c r="Q4681" i="129"/>
  <c r="R4681" i="129"/>
  <c r="P4682" i="129"/>
  <c r="Q4682" i="129"/>
  <c r="R4682" i="129"/>
  <c r="P4683" i="129"/>
  <c r="Q4683" i="129"/>
  <c r="R4683" i="129"/>
  <c r="P4684" i="129"/>
  <c r="Q4684" i="129"/>
  <c r="R4684" i="129"/>
  <c r="P4685" i="129"/>
  <c r="Q4685" i="129"/>
  <c r="R4685" i="129"/>
  <c r="P4686" i="129"/>
  <c r="Q4686" i="129"/>
  <c r="R4686" i="129"/>
  <c r="P4687" i="129"/>
  <c r="Q4687" i="129"/>
  <c r="R4687" i="129"/>
  <c r="P4688" i="129"/>
  <c r="Q4688" i="129"/>
  <c r="R4688" i="129"/>
  <c r="P4689" i="129"/>
  <c r="Q4689" i="129"/>
  <c r="R4689" i="129"/>
  <c r="P4690" i="129"/>
  <c r="Q4690" i="129"/>
  <c r="R4690" i="129"/>
  <c r="P4691" i="129"/>
  <c r="Q4691" i="129"/>
  <c r="R4691" i="129"/>
  <c r="P4692" i="129"/>
  <c r="Q4692" i="129"/>
  <c r="R4692" i="129"/>
  <c r="P4693" i="129"/>
  <c r="Q4693" i="129"/>
  <c r="R4693" i="129"/>
  <c r="P4694" i="129"/>
  <c r="Q4694" i="129"/>
  <c r="R4694" i="129"/>
  <c r="P4695" i="129"/>
  <c r="Q4695" i="129"/>
  <c r="R4695" i="129"/>
  <c r="P4696" i="129"/>
  <c r="Q4696" i="129"/>
  <c r="R4696" i="129"/>
  <c r="P4697" i="129"/>
  <c r="Q4697" i="129"/>
  <c r="R4697" i="129"/>
  <c r="P4698" i="129"/>
  <c r="Q4698" i="129"/>
  <c r="R4698" i="129"/>
  <c r="P4699" i="129"/>
  <c r="Q4699" i="129"/>
  <c r="R4699" i="129"/>
  <c r="P4700" i="129"/>
  <c r="Q4700" i="129"/>
  <c r="R4700" i="129"/>
  <c r="P4701" i="129"/>
  <c r="Q4701" i="129"/>
  <c r="R4701" i="129"/>
  <c r="P4702" i="129"/>
  <c r="Q4702" i="129"/>
  <c r="R4702" i="129"/>
  <c r="P4703" i="129"/>
  <c r="Q4703" i="129"/>
  <c r="R4703" i="129"/>
  <c r="P4704" i="129"/>
  <c r="Q4704" i="129"/>
  <c r="R4704" i="129"/>
  <c r="P4705" i="129"/>
  <c r="Q4705" i="129"/>
  <c r="R4705" i="129"/>
  <c r="P4706" i="129"/>
  <c r="Q4706" i="129"/>
  <c r="R4706" i="129"/>
  <c r="P4707" i="129"/>
  <c r="Q4707" i="129"/>
  <c r="R4707" i="129"/>
  <c r="P4708" i="129"/>
  <c r="Q4708" i="129"/>
  <c r="R4708" i="129"/>
  <c r="P4709" i="129"/>
  <c r="Q4709" i="129"/>
  <c r="R4709" i="129"/>
  <c r="P4710" i="129"/>
  <c r="Q4710" i="129"/>
  <c r="R4710" i="129"/>
  <c r="P4711" i="129"/>
  <c r="Q4711" i="129"/>
  <c r="R4711" i="129"/>
  <c r="P4712" i="129"/>
  <c r="Q4712" i="129"/>
  <c r="R4712" i="129"/>
  <c r="P4713" i="129"/>
  <c r="Q4713" i="129"/>
  <c r="R4713" i="129"/>
  <c r="P4714" i="129"/>
  <c r="Q4714" i="129"/>
  <c r="R4714" i="129"/>
  <c r="P4715" i="129"/>
  <c r="Q4715" i="129"/>
  <c r="R4715" i="129"/>
  <c r="P4716" i="129"/>
  <c r="Q4716" i="129"/>
  <c r="R4716" i="129"/>
  <c r="P4717" i="129"/>
  <c r="Q4717" i="129"/>
  <c r="R4717" i="129"/>
  <c r="P4718" i="129"/>
  <c r="Q4718" i="129"/>
  <c r="R4718" i="129"/>
  <c r="P4719" i="129"/>
  <c r="Q4719" i="129"/>
  <c r="R4719" i="129"/>
  <c r="P4720" i="129"/>
  <c r="Q4720" i="129"/>
  <c r="R4720" i="129"/>
  <c r="P4721" i="129"/>
  <c r="Q4721" i="129"/>
  <c r="R4721" i="129"/>
  <c r="P4722" i="129"/>
  <c r="Q4722" i="129"/>
  <c r="R4722" i="129"/>
  <c r="P4723" i="129"/>
  <c r="Q4723" i="129"/>
  <c r="R4723" i="129"/>
  <c r="P4724" i="129"/>
  <c r="Q4724" i="129"/>
  <c r="R4724" i="129"/>
  <c r="P4725" i="129"/>
  <c r="Q4725" i="129"/>
  <c r="R4725" i="129"/>
  <c r="P4726" i="129"/>
  <c r="Q4726" i="129"/>
  <c r="R4726" i="129"/>
  <c r="P4727" i="129"/>
  <c r="Q4727" i="129"/>
  <c r="R4727" i="129"/>
  <c r="P4728" i="129"/>
  <c r="Q4728" i="129"/>
  <c r="R4728" i="129"/>
  <c r="P4729" i="129"/>
  <c r="Q4729" i="129"/>
  <c r="R4729" i="129"/>
  <c r="P4730" i="129"/>
  <c r="Q4730" i="129"/>
  <c r="R4730" i="129"/>
  <c r="P4731" i="129"/>
  <c r="Q4731" i="129"/>
  <c r="R4731" i="129"/>
  <c r="P4732" i="129"/>
  <c r="Q4732" i="129"/>
  <c r="R4732" i="129"/>
  <c r="P4733" i="129"/>
  <c r="Q4733" i="129"/>
  <c r="R4733" i="129"/>
  <c r="P4734" i="129"/>
  <c r="Q4734" i="129"/>
  <c r="R4734" i="129"/>
  <c r="P4735" i="129"/>
  <c r="Q4735" i="129"/>
  <c r="R4735" i="129"/>
  <c r="P4736" i="129"/>
  <c r="Q4736" i="129"/>
  <c r="R4736" i="129"/>
  <c r="P4737" i="129"/>
  <c r="Q4737" i="129"/>
  <c r="R4737" i="129"/>
  <c r="P4738" i="129"/>
  <c r="Q4738" i="129"/>
  <c r="R4738" i="129"/>
  <c r="P4739" i="129"/>
  <c r="Q4739" i="129"/>
  <c r="R4739" i="129"/>
  <c r="P4740" i="129"/>
  <c r="Q4740" i="129"/>
  <c r="R4740" i="129"/>
  <c r="P4741" i="129"/>
  <c r="Q4741" i="129"/>
  <c r="R4741" i="129"/>
  <c r="P4742" i="129"/>
  <c r="Q4742" i="129"/>
  <c r="R4742" i="129"/>
  <c r="P4743" i="129"/>
  <c r="Q4743" i="129"/>
  <c r="R4743" i="129"/>
  <c r="P4744" i="129"/>
  <c r="Q4744" i="129"/>
  <c r="R4744" i="129"/>
  <c r="P4745" i="129"/>
  <c r="Q4745" i="129"/>
  <c r="R4745" i="129"/>
  <c r="P4746" i="129"/>
  <c r="Q4746" i="129"/>
  <c r="R4746" i="129"/>
  <c r="P4747" i="129"/>
  <c r="Q4747" i="129"/>
  <c r="R4747" i="129"/>
  <c r="P4748" i="129"/>
  <c r="Q4748" i="129"/>
  <c r="R4748" i="129"/>
  <c r="P4749" i="129"/>
  <c r="Q4749" i="129"/>
  <c r="R4749" i="129"/>
  <c r="P4750" i="129"/>
  <c r="Q4750" i="129"/>
  <c r="R4750" i="129"/>
  <c r="P4751" i="129"/>
  <c r="Q4751" i="129"/>
  <c r="R4751" i="129"/>
  <c r="P4752" i="129"/>
  <c r="Q4752" i="129"/>
  <c r="R4752" i="129"/>
  <c r="P4753" i="129"/>
  <c r="Q4753" i="129"/>
  <c r="R4753" i="129"/>
  <c r="P4754" i="129"/>
  <c r="Q4754" i="129"/>
  <c r="R4754" i="129"/>
  <c r="P4755" i="129"/>
  <c r="Q4755" i="129"/>
  <c r="R4755" i="129"/>
  <c r="P4756" i="129"/>
  <c r="Q4756" i="129"/>
  <c r="R4756" i="129"/>
  <c r="P4757" i="129"/>
  <c r="Q4757" i="129"/>
  <c r="R4757" i="129"/>
  <c r="P4758" i="129"/>
  <c r="Q4758" i="129"/>
  <c r="R4758" i="129"/>
  <c r="P4759" i="129"/>
  <c r="Q4759" i="129"/>
  <c r="R4759" i="129"/>
  <c r="P4760" i="129"/>
  <c r="Q4760" i="129"/>
  <c r="R4760" i="129"/>
  <c r="P4761" i="129"/>
  <c r="Q4761" i="129"/>
  <c r="R4761" i="129"/>
  <c r="P4762" i="129"/>
  <c r="Q4762" i="129"/>
  <c r="R4762" i="129"/>
  <c r="P4763" i="129"/>
  <c r="Q4763" i="129"/>
  <c r="R4763" i="129"/>
  <c r="P4764" i="129"/>
  <c r="Q4764" i="129"/>
  <c r="R4764" i="129"/>
  <c r="P4765" i="129"/>
  <c r="Q4765" i="129"/>
  <c r="R4765" i="129"/>
  <c r="P4766" i="129"/>
  <c r="Q4766" i="129"/>
  <c r="R4766" i="129"/>
  <c r="P4767" i="129"/>
  <c r="Q4767" i="129"/>
  <c r="R4767" i="129"/>
  <c r="P4768" i="129"/>
  <c r="Q4768" i="129"/>
  <c r="R4768" i="129"/>
  <c r="P4769" i="129"/>
  <c r="Q4769" i="129"/>
  <c r="R4769" i="129"/>
  <c r="P4770" i="129"/>
  <c r="Q4770" i="129"/>
  <c r="R4770" i="129"/>
  <c r="P4771" i="129"/>
  <c r="Q4771" i="129"/>
  <c r="R4771" i="129"/>
  <c r="P4772" i="129"/>
  <c r="Q4772" i="129"/>
  <c r="R4772" i="129"/>
  <c r="P4773" i="129"/>
  <c r="Q4773" i="129"/>
  <c r="R4773" i="129"/>
  <c r="P4774" i="129"/>
  <c r="Q4774" i="129"/>
  <c r="R4774" i="129"/>
  <c r="P4775" i="129"/>
  <c r="Q4775" i="129"/>
  <c r="R4775" i="129"/>
  <c r="P4776" i="129"/>
  <c r="Q4776" i="129"/>
  <c r="R4776" i="129"/>
  <c r="P4777" i="129"/>
  <c r="Q4777" i="129"/>
  <c r="R4777" i="129"/>
  <c r="P4778" i="129"/>
  <c r="Q4778" i="129"/>
  <c r="R4778" i="129"/>
  <c r="P4779" i="129"/>
  <c r="Q4779" i="129"/>
  <c r="R4779" i="129"/>
  <c r="P4780" i="129"/>
  <c r="Q4780" i="129"/>
  <c r="R4780" i="129"/>
  <c r="P4781" i="129"/>
  <c r="Q4781" i="129"/>
  <c r="R4781" i="129"/>
  <c r="P4782" i="129"/>
  <c r="Q4782" i="129"/>
  <c r="R4782" i="129"/>
  <c r="P4783" i="129"/>
  <c r="Q4783" i="129"/>
  <c r="R4783" i="129"/>
  <c r="P4784" i="129"/>
  <c r="Q4784" i="129"/>
  <c r="R4784" i="129"/>
  <c r="P4785" i="129"/>
  <c r="Q4785" i="129"/>
  <c r="R4785" i="129"/>
  <c r="P4786" i="129"/>
  <c r="Q4786" i="129"/>
  <c r="R4786" i="129"/>
  <c r="P4787" i="129"/>
  <c r="Q4787" i="129"/>
  <c r="R4787" i="129"/>
  <c r="P4788" i="129"/>
  <c r="Q4788" i="129"/>
  <c r="R4788" i="129"/>
  <c r="P4789" i="129"/>
  <c r="Q4789" i="129"/>
  <c r="R4789" i="129"/>
  <c r="P4790" i="129"/>
  <c r="Q4790" i="129"/>
  <c r="R4790" i="129"/>
  <c r="P4791" i="129"/>
  <c r="Q4791" i="129"/>
  <c r="R4791" i="129"/>
  <c r="P4792" i="129"/>
  <c r="Q4792" i="129"/>
  <c r="R4792" i="129"/>
  <c r="P4793" i="129"/>
  <c r="Q4793" i="129"/>
  <c r="R4793" i="129"/>
  <c r="P4794" i="129"/>
  <c r="Q4794" i="129"/>
  <c r="R4794" i="129"/>
  <c r="P4795" i="129"/>
  <c r="Q4795" i="129"/>
  <c r="R4795" i="129"/>
  <c r="P4796" i="129"/>
  <c r="Q4796" i="129"/>
  <c r="R4796" i="129"/>
  <c r="P4797" i="129"/>
  <c r="Q4797" i="129"/>
  <c r="R4797" i="129"/>
  <c r="P4798" i="129"/>
  <c r="Q4798" i="129"/>
  <c r="R4798" i="129"/>
  <c r="P4799" i="129"/>
  <c r="Q4799" i="129"/>
  <c r="R4799" i="129"/>
  <c r="P4800" i="129"/>
  <c r="Q4800" i="129"/>
  <c r="R4800" i="129"/>
  <c r="P4801" i="129"/>
  <c r="Q4801" i="129"/>
  <c r="R4801" i="129"/>
  <c r="P4802" i="129"/>
  <c r="Q4802" i="129"/>
  <c r="R4802" i="129"/>
  <c r="P4803" i="129"/>
  <c r="Q4803" i="129"/>
  <c r="R4803" i="129"/>
  <c r="P4804" i="129"/>
  <c r="Q4804" i="129"/>
  <c r="R4804" i="129"/>
  <c r="P4805" i="129"/>
  <c r="Q4805" i="129"/>
  <c r="R4805" i="129"/>
  <c r="P4806" i="129"/>
  <c r="Q4806" i="129"/>
  <c r="R4806" i="129"/>
  <c r="P4807" i="129"/>
  <c r="Q4807" i="129"/>
  <c r="R4807" i="129"/>
  <c r="P4808" i="129"/>
  <c r="Q4808" i="129"/>
  <c r="R4808" i="129"/>
  <c r="P4809" i="129"/>
  <c r="Q4809" i="129"/>
  <c r="R4809" i="129"/>
  <c r="P4810" i="129"/>
  <c r="Q4810" i="129"/>
  <c r="R4810" i="129"/>
  <c r="P4811" i="129"/>
  <c r="Q4811" i="129"/>
  <c r="R4811" i="129"/>
  <c r="P4812" i="129"/>
  <c r="Q4812" i="129"/>
  <c r="R4812" i="129"/>
  <c r="P4813" i="129"/>
  <c r="Q4813" i="129"/>
  <c r="R4813" i="129"/>
  <c r="P4814" i="129"/>
  <c r="Q4814" i="129"/>
  <c r="R4814" i="129"/>
  <c r="P4815" i="129"/>
  <c r="Q4815" i="129"/>
  <c r="R4815" i="129"/>
  <c r="P4816" i="129"/>
  <c r="Q4816" i="129"/>
  <c r="R4816" i="129"/>
  <c r="P4817" i="129"/>
  <c r="Q4817" i="129"/>
  <c r="R4817" i="129"/>
  <c r="P4818" i="129"/>
  <c r="Q4818" i="129"/>
  <c r="R4818" i="129"/>
  <c r="P4819" i="129"/>
  <c r="Q4819" i="129"/>
  <c r="R4819" i="129"/>
  <c r="P4820" i="129"/>
  <c r="Q4820" i="129"/>
  <c r="R4820" i="129"/>
  <c r="P4821" i="129"/>
  <c r="Q4821" i="129"/>
  <c r="R4821" i="129"/>
  <c r="P4822" i="129"/>
  <c r="Q4822" i="129"/>
  <c r="R4822" i="129"/>
  <c r="P4823" i="129"/>
  <c r="Q4823" i="129"/>
  <c r="R4823" i="129"/>
  <c r="P4824" i="129"/>
  <c r="Q4824" i="129"/>
  <c r="R4824" i="129"/>
  <c r="P4825" i="129"/>
  <c r="Q4825" i="129"/>
  <c r="R4825" i="129"/>
  <c r="P4826" i="129"/>
  <c r="Q4826" i="129"/>
  <c r="R4826" i="129"/>
  <c r="P4827" i="129"/>
  <c r="Q4827" i="129"/>
  <c r="R4827" i="129"/>
  <c r="P4828" i="129"/>
  <c r="Q4828" i="129"/>
  <c r="R4828" i="129"/>
  <c r="P4829" i="129"/>
  <c r="Q4829" i="129"/>
  <c r="R4829" i="129"/>
  <c r="P4830" i="129"/>
  <c r="Q4830" i="129"/>
  <c r="R4830" i="129"/>
  <c r="P4831" i="129"/>
  <c r="Q4831" i="129"/>
  <c r="R4831" i="129"/>
  <c r="P4832" i="129"/>
  <c r="Q4832" i="129"/>
  <c r="R4832" i="129"/>
  <c r="P4833" i="129"/>
  <c r="Q4833" i="129"/>
  <c r="R4833" i="129"/>
  <c r="P4834" i="129"/>
  <c r="Q4834" i="129"/>
  <c r="R4834" i="129"/>
  <c r="P4835" i="129"/>
  <c r="Q4835" i="129"/>
  <c r="R4835" i="129"/>
  <c r="P4836" i="129"/>
  <c r="Q4836" i="129"/>
  <c r="R4836" i="129"/>
  <c r="P4837" i="129"/>
  <c r="Q4837" i="129"/>
  <c r="R4837" i="129"/>
  <c r="P4838" i="129"/>
  <c r="Q4838" i="129"/>
  <c r="R4838" i="129"/>
  <c r="P4839" i="129"/>
  <c r="Q4839" i="129"/>
  <c r="R4839" i="129"/>
  <c r="P4840" i="129"/>
  <c r="Q4840" i="129"/>
  <c r="R4840" i="129"/>
  <c r="P4841" i="129"/>
  <c r="Q4841" i="129"/>
  <c r="R4841" i="129"/>
  <c r="P4842" i="129"/>
  <c r="Q4842" i="129"/>
  <c r="R4842" i="129"/>
  <c r="P4843" i="129"/>
  <c r="Q4843" i="129"/>
  <c r="R4843" i="129"/>
  <c r="P4844" i="129"/>
  <c r="Q4844" i="129"/>
  <c r="R4844" i="129"/>
  <c r="P4845" i="129"/>
  <c r="Q4845" i="129"/>
  <c r="R4845" i="129"/>
  <c r="P4846" i="129"/>
  <c r="Q4846" i="129"/>
  <c r="R4846" i="129"/>
  <c r="P4847" i="129"/>
  <c r="Q4847" i="129"/>
  <c r="R4847" i="129"/>
  <c r="P4848" i="129"/>
  <c r="Q4848" i="129"/>
  <c r="R4848" i="129"/>
  <c r="P4849" i="129"/>
  <c r="Q4849" i="129"/>
  <c r="R4849" i="129"/>
  <c r="P4850" i="129"/>
  <c r="Q4850" i="129"/>
  <c r="R4850" i="129"/>
  <c r="P4851" i="129"/>
  <c r="Q4851" i="129"/>
  <c r="R4851" i="129"/>
  <c r="P4852" i="129"/>
  <c r="Q4852" i="129"/>
  <c r="R4852" i="129"/>
  <c r="P4853" i="129"/>
  <c r="Q4853" i="129"/>
  <c r="R4853" i="129"/>
  <c r="P4854" i="129"/>
  <c r="Q4854" i="129"/>
  <c r="R4854" i="129"/>
  <c r="P4855" i="129"/>
  <c r="Q4855" i="129"/>
  <c r="R4855" i="129"/>
  <c r="P4856" i="129"/>
  <c r="Q4856" i="129"/>
  <c r="R4856" i="129"/>
  <c r="P4857" i="129"/>
  <c r="Q4857" i="129"/>
  <c r="R4857" i="129"/>
  <c r="P4858" i="129"/>
  <c r="Q4858" i="129"/>
  <c r="R4858" i="129"/>
  <c r="P4859" i="129"/>
  <c r="Q4859" i="129"/>
  <c r="R4859" i="129"/>
  <c r="P4860" i="129"/>
  <c r="Q4860" i="129"/>
  <c r="R4860" i="129"/>
  <c r="P4861" i="129"/>
  <c r="Q4861" i="129"/>
  <c r="R4861" i="129"/>
  <c r="P4862" i="129"/>
  <c r="Q4862" i="129"/>
  <c r="R4862" i="129"/>
  <c r="P4863" i="129"/>
  <c r="Q4863" i="129"/>
  <c r="R4863" i="129"/>
  <c r="P4864" i="129"/>
  <c r="Q4864" i="129"/>
  <c r="R4864" i="129"/>
  <c r="P4865" i="129"/>
  <c r="Q4865" i="129"/>
  <c r="R4865" i="129"/>
  <c r="P4866" i="129"/>
  <c r="Q4866" i="129"/>
  <c r="R4866" i="129"/>
  <c r="P4867" i="129"/>
  <c r="Q4867" i="129"/>
  <c r="R4867" i="129"/>
  <c r="P4868" i="129"/>
  <c r="Q4868" i="129"/>
  <c r="R4868" i="129"/>
  <c r="P4869" i="129"/>
  <c r="Q4869" i="129"/>
  <c r="R4869" i="129"/>
  <c r="P4870" i="129"/>
  <c r="Q4870" i="129"/>
  <c r="R4870" i="129"/>
  <c r="P4871" i="129"/>
  <c r="Q4871" i="129"/>
  <c r="R4871" i="129"/>
  <c r="P4872" i="129"/>
  <c r="Q4872" i="129"/>
  <c r="R4872" i="129"/>
  <c r="P4873" i="129"/>
  <c r="Q4873" i="129"/>
  <c r="R4873" i="129"/>
  <c r="P4874" i="129"/>
  <c r="Q4874" i="129"/>
  <c r="R4874" i="129"/>
  <c r="P4875" i="129"/>
  <c r="Q4875" i="129"/>
  <c r="R4875" i="129"/>
  <c r="P4876" i="129"/>
  <c r="Q4876" i="129"/>
  <c r="R4876" i="129"/>
  <c r="P4877" i="129"/>
  <c r="Q4877" i="129"/>
  <c r="R4877" i="129"/>
  <c r="P4878" i="129"/>
  <c r="Q4878" i="129"/>
  <c r="R4878" i="129"/>
  <c r="P4879" i="129"/>
  <c r="Q4879" i="129"/>
  <c r="R4879" i="129"/>
  <c r="P4880" i="129"/>
  <c r="Q4880" i="129"/>
  <c r="R4880" i="129"/>
  <c r="P4881" i="129"/>
  <c r="Q4881" i="129"/>
  <c r="R4881" i="129"/>
  <c r="P4882" i="129"/>
  <c r="Q4882" i="129"/>
  <c r="R4882" i="129"/>
  <c r="P4883" i="129"/>
  <c r="Q4883" i="129"/>
  <c r="R4883" i="129"/>
  <c r="P4884" i="129"/>
  <c r="Q4884" i="129"/>
  <c r="R4884" i="129"/>
  <c r="P4885" i="129"/>
  <c r="Q4885" i="129"/>
  <c r="R4885" i="129"/>
  <c r="P4886" i="129"/>
  <c r="Q4886" i="129"/>
  <c r="R4886" i="129"/>
  <c r="P4887" i="129"/>
  <c r="Q4887" i="129"/>
  <c r="R4887" i="129"/>
  <c r="P4888" i="129"/>
  <c r="Q4888" i="129"/>
  <c r="R4888" i="129"/>
  <c r="P4889" i="129"/>
  <c r="Q4889" i="129"/>
  <c r="R4889" i="129"/>
  <c r="P4890" i="129"/>
  <c r="Q4890" i="129"/>
  <c r="R4890" i="129"/>
  <c r="P4891" i="129"/>
  <c r="Q4891" i="129"/>
  <c r="R4891" i="129"/>
  <c r="P4892" i="129"/>
  <c r="Q4892" i="129"/>
  <c r="R4892" i="129"/>
  <c r="P4893" i="129"/>
  <c r="Q4893" i="129"/>
  <c r="R4893" i="129"/>
  <c r="P4894" i="129"/>
  <c r="Q4894" i="129"/>
  <c r="R4894" i="129"/>
  <c r="P4895" i="129"/>
  <c r="Q4895" i="129"/>
  <c r="R4895" i="129"/>
  <c r="P4896" i="129"/>
  <c r="Q4896" i="129"/>
  <c r="R4896" i="129"/>
  <c r="P4897" i="129"/>
  <c r="Q4897" i="129"/>
  <c r="R4897" i="129"/>
  <c r="P4898" i="129"/>
  <c r="Q4898" i="129"/>
  <c r="R4898" i="129"/>
  <c r="P4899" i="129"/>
  <c r="Q4899" i="129"/>
  <c r="R4899" i="129"/>
  <c r="P4900" i="129"/>
  <c r="Q4900" i="129"/>
  <c r="R4900" i="129"/>
  <c r="P4901" i="129"/>
  <c r="Q4901" i="129"/>
  <c r="R4901" i="129"/>
  <c r="P4902" i="129"/>
  <c r="Q4902" i="129"/>
  <c r="R4902" i="129"/>
  <c r="P4903" i="129"/>
  <c r="Q4903" i="129"/>
  <c r="R4903" i="129"/>
  <c r="P4904" i="129"/>
  <c r="Q4904" i="129"/>
  <c r="R4904" i="129"/>
  <c r="P4905" i="129"/>
  <c r="Q4905" i="129"/>
  <c r="R4905" i="129"/>
  <c r="P4906" i="129"/>
  <c r="Q4906" i="129"/>
  <c r="R4906" i="129"/>
  <c r="P4907" i="129"/>
  <c r="Q4907" i="129"/>
  <c r="R4907" i="129"/>
  <c r="P4908" i="129"/>
  <c r="Q4908" i="129"/>
  <c r="R4908" i="129"/>
  <c r="P4909" i="129"/>
  <c r="Q4909" i="129"/>
  <c r="R4909" i="129"/>
  <c r="P4910" i="129"/>
  <c r="Q4910" i="129"/>
  <c r="R4910" i="129"/>
  <c r="P4911" i="129"/>
  <c r="Q4911" i="129"/>
  <c r="R4911" i="129"/>
  <c r="P4912" i="129"/>
  <c r="Q4912" i="129"/>
  <c r="R4912" i="129"/>
  <c r="P4913" i="129"/>
  <c r="Q4913" i="129"/>
  <c r="R4913" i="129"/>
  <c r="P4914" i="129"/>
  <c r="Q4914" i="129"/>
  <c r="R4914" i="129"/>
  <c r="P4915" i="129"/>
  <c r="Q4915" i="129"/>
  <c r="R4915" i="129"/>
  <c r="P4916" i="129"/>
  <c r="Q4916" i="129"/>
  <c r="R4916" i="129"/>
  <c r="P4917" i="129"/>
  <c r="Q4917" i="129"/>
  <c r="R4917" i="129"/>
  <c r="P4918" i="129"/>
  <c r="Q4918" i="129"/>
  <c r="R4918" i="129"/>
  <c r="P3097" i="129"/>
  <c r="Q3097" i="129"/>
  <c r="R3097" i="129"/>
  <c r="P3098" i="129"/>
  <c r="Q3098" i="129"/>
  <c r="R3098" i="129"/>
  <c r="P3099" i="129"/>
  <c r="Q3099" i="129"/>
  <c r="R3099" i="129"/>
  <c r="P3100" i="129"/>
  <c r="Q3100" i="129"/>
  <c r="R3100" i="129"/>
  <c r="P3101" i="129"/>
  <c r="Q3101" i="129"/>
  <c r="R3101" i="129"/>
  <c r="P3102" i="129"/>
  <c r="Q3102" i="129"/>
  <c r="R3102" i="129"/>
  <c r="P3103" i="129"/>
  <c r="Q3103" i="129"/>
  <c r="R3103" i="129"/>
  <c r="P3104" i="129"/>
  <c r="Q3104" i="129"/>
  <c r="R3104" i="129"/>
  <c r="P3105" i="129"/>
  <c r="Q3105" i="129"/>
  <c r="R3105" i="129"/>
  <c r="P3106" i="129"/>
  <c r="Q3106" i="129"/>
  <c r="R3106" i="129"/>
  <c r="P3107" i="129"/>
  <c r="Q3107" i="129"/>
  <c r="R3107" i="129"/>
  <c r="P3108" i="129"/>
  <c r="Q3108" i="129"/>
  <c r="R3108" i="129"/>
  <c r="P3109" i="129"/>
  <c r="Q3109" i="129"/>
  <c r="R3109" i="129"/>
  <c r="P3110" i="129"/>
  <c r="Q3110" i="129"/>
  <c r="R3110" i="129"/>
  <c r="P3111" i="129"/>
  <c r="Q3111" i="129"/>
  <c r="R3111" i="129"/>
  <c r="O4041" i="127"/>
  <c r="P4041" i="127"/>
  <c r="O4042" i="127"/>
  <c r="P4042" i="127"/>
  <c r="O4043" i="127"/>
  <c r="P4043" i="127"/>
  <c r="O4044" i="127"/>
  <c r="P4044" i="127"/>
  <c r="O4045" i="127"/>
  <c r="P4045" i="127"/>
  <c r="O4046" i="127"/>
  <c r="P4046" i="127"/>
  <c r="O4047" i="127"/>
  <c r="P4047" i="127"/>
  <c r="O4048" i="127"/>
  <c r="P4048" i="127"/>
  <c r="O4049" i="127"/>
  <c r="P4049" i="127"/>
  <c r="O4050" i="127"/>
  <c r="P4050" i="127"/>
  <c r="O4051" i="127"/>
  <c r="P4051" i="127"/>
  <c r="O4052" i="127"/>
  <c r="P4052" i="127"/>
  <c r="O4053" i="127"/>
  <c r="P4053" i="127"/>
  <c r="O4054" i="127"/>
  <c r="P4054" i="127"/>
  <c r="O4055" i="127"/>
  <c r="P4055" i="127"/>
  <c r="O4056" i="127"/>
  <c r="P4056" i="127"/>
  <c r="O4057" i="127"/>
  <c r="P4057" i="127"/>
  <c r="O4058" i="127"/>
  <c r="P4058" i="127"/>
  <c r="O4059" i="127"/>
  <c r="P4059" i="127"/>
  <c r="O4060" i="127"/>
  <c r="P4060" i="127"/>
  <c r="O4061" i="127"/>
  <c r="P4061" i="127"/>
  <c r="O4062" i="127"/>
  <c r="P4062" i="127"/>
  <c r="O4063" i="127"/>
  <c r="P4063" i="127"/>
  <c r="O4064" i="127"/>
  <c r="P4064" i="127"/>
  <c r="O4065" i="127"/>
  <c r="P4065" i="127"/>
  <c r="O4066" i="127"/>
  <c r="P4066" i="127"/>
  <c r="O4067" i="127"/>
  <c r="P4067" i="127"/>
  <c r="O4068" i="127"/>
  <c r="P4068" i="127"/>
  <c r="O4069" i="127"/>
  <c r="P4069" i="127"/>
  <c r="O4070" i="127"/>
  <c r="P4070" i="127"/>
  <c r="O4071" i="127"/>
  <c r="P4071" i="127"/>
  <c r="O4072" i="127"/>
  <c r="P4072" i="127"/>
  <c r="O4073" i="127"/>
  <c r="P4073" i="127"/>
  <c r="O4074" i="127"/>
  <c r="P4074" i="127"/>
  <c r="O4075" i="127"/>
  <c r="P4075" i="127"/>
  <c r="O4076" i="127"/>
  <c r="P4076" i="127"/>
  <c r="O4077" i="127"/>
  <c r="P4077" i="127"/>
  <c r="O4078" i="127"/>
  <c r="P4078" i="127"/>
  <c r="O4079" i="127"/>
  <c r="P4079" i="127"/>
  <c r="O4080" i="127"/>
  <c r="P4080" i="127"/>
  <c r="O4081" i="127"/>
  <c r="P4081" i="127"/>
  <c r="O4082" i="127"/>
  <c r="P4082" i="127"/>
  <c r="O4083" i="127"/>
  <c r="P4083" i="127"/>
  <c r="O4084" i="127"/>
  <c r="P4084" i="127"/>
  <c r="O4085" i="127"/>
  <c r="P4085" i="127"/>
  <c r="O4086" i="127"/>
  <c r="P4086" i="127"/>
  <c r="O4087" i="127"/>
  <c r="P4087" i="127"/>
  <c r="O4088" i="127"/>
  <c r="P4088" i="127"/>
  <c r="O4089" i="127"/>
  <c r="P4089" i="127"/>
  <c r="O4090" i="127"/>
  <c r="P4090" i="127"/>
  <c r="O4091" i="127"/>
  <c r="P4091" i="127"/>
  <c r="O4092" i="127"/>
  <c r="P4092" i="127"/>
  <c r="O4093" i="127"/>
  <c r="P4093" i="127"/>
  <c r="O4094" i="127"/>
  <c r="P4094" i="127"/>
  <c r="O4095" i="127"/>
  <c r="P4095" i="127"/>
  <c r="O4096" i="127"/>
  <c r="P4096" i="127"/>
  <c r="O4097" i="127"/>
  <c r="P4097" i="127"/>
  <c r="O4098" i="127"/>
  <c r="P4098" i="127"/>
  <c r="O4099" i="127"/>
  <c r="P4099" i="127"/>
  <c r="O4100" i="127"/>
  <c r="P4100" i="127"/>
  <c r="O4101" i="127"/>
  <c r="P4101" i="127"/>
  <c r="O4102" i="127"/>
  <c r="P4102" i="127"/>
  <c r="O4103" i="127"/>
  <c r="P4103" i="127"/>
  <c r="O4104" i="127"/>
  <c r="P4104" i="127"/>
  <c r="O4105" i="127"/>
  <c r="P4105" i="127"/>
  <c r="O4106" i="127"/>
  <c r="P4106" i="127"/>
  <c r="O4107" i="127"/>
  <c r="P4107" i="127"/>
  <c r="O4108" i="127"/>
  <c r="P4108" i="127"/>
  <c r="O4109" i="127"/>
  <c r="P4109" i="127"/>
  <c r="O4110" i="127"/>
  <c r="P4110" i="127"/>
  <c r="O4111" i="127"/>
  <c r="P4111" i="127"/>
  <c r="O4112" i="127"/>
  <c r="P4112" i="127"/>
  <c r="O4113" i="127"/>
  <c r="P4113" i="127"/>
  <c r="O4114" i="127"/>
  <c r="P4114" i="127"/>
  <c r="O4115" i="127"/>
  <c r="P4115" i="127"/>
  <c r="O4116" i="127"/>
  <c r="P4116" i="127"/>
  <c r="O4117" i="127"/>
  <c r="P4117" i="127"/>
  <c r="O4118" i="127"/>
  <c r="P4118" i="127"/>
  <c r="O4119" i="127"/>
  <c r="P4119" i="127"/>
  <c r="O4120" i="127"/>
  <c r="P4120" i="127"/>
  <c r="O4121" i="127"/>
  <c r="P4121" i="127"/>
  <c r="O4122" i="127"/>
  <c r="P4122" i="127"/>
  <c r="O4123" i="127"/>
  <c r="P4123" i="127"/>
  <c r="O4124" i="127"/>
  <c r="P4124" i="127"/>
  <c r="O4125" i="127"/>
  <c r="P4125" i="127"/>
  <c r="O4126" i="127"/>
  <c r="P4126" i="127"/>
  <c r="O4127" i="127"/>
  <c r="P4127" i="127"/>
  <c r="O4128" i="127"/>
  <c r="P4128" i="127"/>
  <c r="O4129" i="127"/>
  <c r="P4129" i="127"/>
  <c r="O4130" i="127"/>
  <c r="P4130" i="127"/>
  <c r="O4131" i="127"/>
  <c r="P4131" i="127"/>
  <c r="O4132" i="127"/>
  <c r="P4132" i="127"/>
  <c r="O4133" i="127"/>
  <c r="P4133" i="127"/>
  <c r="O4134" i="127"/>
  <c r="P4134" i="127"/>
  <c r="O4135" i="127"/>
  <c r="P4135" i="127"/>
  <c r="O4136" i="127"/>
  <c r="P4136" i="127"/>
  <c r="O4137" i="127"/>
  <c r="P4137" i="127"/>
  <c r="O4138" i="127"/>
  <c r="P4138" i="127"/>
  <c r="O4139" i="127"/>
  <c r="P4139" i="127"/>
  <c r="O4140" i="127"/>
  <c r="P4140" i="127"/>
  <c r="O4141" i="127"/>
  <c r="P4141" i="127"/>
  <c r="O4142" i="127"/>
  <c r="P4142" i="127"/>
  <c r="O4143" i="127"/>
  <c r="P4143" i="127"/>
  <c r="O4144" i="127"/>
  <c r="P4144" i="127"/>
  <c r="O4145" i="127"/>
  <c r="P4145" i="127"/>
  <c r="O4146" i="127"/>
  <c r="P4146" i="127"/>
  <c r="O4147" i="127"/>
  <c r="P4147" i="127"/>
  <c r="O4148" i="127"/>
  <c r="P4148" i="127"/>
  <c r="O4149" i="127"/>
  <c r="P4149" i="127"/>
  <c r="O4150" i="127"/>
  <c r="P4150" i="127"/>
  <c r="O4151" i="127"/>
  <c r="P4151" i="127"/>
  <c r="O4152" i="127"/>
  <c r="P4152" i="127"/>
  <c r="O4153" i="127"/>
  <c r="P4153" i="127"/>
  <c r="O4154" i="127"/>
  <c r="P4154" i="127"/>
  <c r="O4155" i="127"/>
  <c r="P4155" i="127"/>
  <c r="O4156" i="127"/>
  <c r="P4156" i="127"/>
  <c r="O4157" i="127"/>
  <c r="P4157" i="127"/>
  <c r="O4158" i="127"/>
  <c r="P4158" i="127"/>
  <c r="O4159" i="127"/>
  <c r="P4159" i="127"/>
  <c r="O4160" i="127"/>
  <c r="P4160" i="127"/>
  <c r="O4161" i="127"/>
  <c r="P4161" i="127"/>
  <c r="O4162" i="127"/>
  <c r="P4162" i="127"/>
  <c r="O4163" i="127"/>
  <c r="P4163" i="127"/>
  <c r="O4164" i="127"/>
  <c r="P4164" i="127"/>
  <c r="O4165" i="127"/>
  <c r="P4165" i="127"/>
  <c r="O4166" i="127"/>
  <c r="P4166" i="127"/>
  <c r="O4167" i="127"/>
  <c r="P4167" i="127"/>
  <c r="O4168" i="127"/>
  <c r="P4168" i="127"/>
  <c r="O4169" i="127"/>
  <c r="P4169" i="127"/>
  <c r="O4170" i="127"/>
  <c r="P4170" i="127"/>
  <c r="O4171" i="127"/>
  <c r="P4171" i="127"/>
  <c r="O4172" i="127"/>
  <c r="P4172" i="127"/>
  <c r="O4173" i="127"/>
  <c r="P4173" i="127"/>
  <c r="O4174" i="127"/>
  <c r="P4174" i="127"/>
  <c r="O4175" i="127"/>
  <c r="P4175" i="127"/>
  <c r="O4176" i="127"/>
  <c r="P4176" i="127"/>
  <c r="O4177" i="127"/>
  <c r="P4177" i="127"/>
  <c r="O4178" i="127"/>
  <c r="P4178" i="127"/>
  <c r="O4179" i="127"/>
  <c r="P4179" i="127"/>
  <c r="O4180" i="127"/>
  <c r="P4180" i="127"/>
  <c r="O4181" i="127"/>
  <c r="P4181" i="127"/>
  <c r="O4182" i="127"/>
  <c r="P4182" i="127"/>
  <c r="O4183" i="127"/>
  <c r="P4183" i="127"/>
  <c r="O4184" i="127"/>
  <c r="P4184" i="127"/>
  <c r="O4185" i="127"/>
  <c r="P4185" i="127"/>
  <c r="O4186" i="127"/>
  <c r="P4186" i="127"/>
  <c r="O4187" i="127"/>
  <c r="P4187" i="127"/>
  <c r="O4188" i="127"/>
  <c r="P4188" i="127"/>
  <c r="O4189" i="127"/>
  <c r="P4189" i="127"/>
  <c r="O4190" i="127"/>
  <c r="P4190" i="127"/>
  <c r="O4191" i="127"/>
  <c r="P4191" i="127"/>
  <c r="O4192" i="127"/>
  <c r="P4192" i="127"/>
  <c r="O4193" i="127"/>
  <c r="P4193" i="127"/>
  <c r="O4194" i="127"/>
  <c r="P4194" i="127"/>
  <c r="O4195" i="127"/>
  <c r="P4195" i="127"/>
  <c r="O4196" i="127"/>
  <c r="P4196" i="127"/>
  <c r="O4197" i="127"/>
  <c r="P4197" i="127"/>
  <c r="O4198" i="127"/>
  <c r="P4198" i="127"/>
  <c r="O4199" i="127"/>
  <c r="P4199" i="127"/>
  <c r="O4200" i="127"/>
  <c r="P4200" i="127"/>
  <c r="O4201" i="127"/>
  <c r="P4201" i="127"/>
  <c r="O4202" i="127"/>
  <c r="P4202" i="127"/>
  <c r="O4203" i="127"/>
  <c r="P4203" i="127"/>
  <c r="O4204" i="127"/>
  <c r="P4204" i="127"/>
  <c r="O4205" i="127"/>
  <c r="P4205" i="127"/>
  <c r="O4206" i="127"/>
  <c r="P4206" i="127"/>
  <c r="O4207" i="127"/>
  <c r="P4207" i="127"/>
  <c r="O4208" i="127"/>
  <c r="P4208" i="127"/>
  <c r="O4209" i="127"/>
  <c r="P4209" i="127"/>
  <c r="O4210" i="127"/>
  <c r="P4210" i="127"/>
  <c r="O4211" i="127"/>
  <c r="P4211" i="127"/>
  <c r="O4212" i="127"/>
  <c r="P4212" i="127"/>
  <c r="O4213" i="127"/>
  <c r="P4213" i="127"/>
  <c r="O4214" i="127"/>
  <c r="P4214" i="127"/>
  <c r="O4215" i="127"/>
  <c r="P4215" i="127"/>
  <c r="O4216" i="127"/>
  <c r="P4216" i="127"/>
  <c r="O4217" i="127"/>
  <c r="P4217" i="127"/>
  <c r="O4218" i="127"/>
  <c r="P4218" i="127"/>
  <c r="O4219" i="127"/>
  <c r="P4219" i="127"/>
  <c r="O4220" i="127"/>
  <c r="P4220" i="127"/>
  <c r="O4221" i="127"/>
  <c r="P4221" i="127"/>
  <c r="O4222" i="127"/>
  <c r="P4222" i="127"/>
  <c r="O4223" i="127"/>
  <c r="P4223" i="127"/>
  <c r="O4224" i="127"/>
  <c r="P4224" i="127"/>
  <c r="O4225" i="127"/>
  <c r="P4225" i="127"/>
  <c r="O4226" i="127"/>
  <c r="P4226" i="127"/>
  <c r="O4227" i="127"/>
  <c r="P4227" i="127"/>
  <c r="O4228" i="127"/>
  <c r="P4228" i="127"/>
  <c r="O4229" i="127"/>
  <c r="P4229" i="127"/>
  <c r="O4230" i="127"/>
  <c r="P4230" i="127"/>
  <c r="O4231" i="127"/>
  <c r="P4231" i="127"/>
  <c r="O4232" i="127"/>
  <c r="P4232" i="127"/>
  <c r="O4233" i="127"/>
  <c r="P4233" i="127"/>
  <c r="O4234" i="127"/>
  <c r="P4234" i="127"/>
  <c r="O4235" i="127"/>
  <c r="P4235" i="127"/>
  <c r="O4236" i="127"/>
  <c r="P4236" i="127"/>
  <c r="O4237" i="127"/>
  <c r="P4237" i="127"/>
  <c r="O4238" i="127"/>
  <c r="P4238" i="127"/>
  <c r="O4239" i="127"/>
  <c r="P4239" i="127"/>
  <c r="O4240" i="127"/>
  <c r="P4240" i="127"/>
  <c r="O4241" i="127"/>
  <c r="P4241" i="127"/>
  <c r="O4242" i="127"/>
  <c r="P4242" i="127"/>
  <c r="O4243" i="127"/>
  <c r="P4243" i="127"/>
  <c r="O4244" i="127"/>
  <c r="P4244" i="127"/>
  <c r="O4245" i="127"/>
  <c r="P4245" i="127"/>
  <c r="O4246" i="127"/>
  <c r="P4246" i="127"/>
  <c r="O4247" i="127"/>
  <c r="P4247" i="127"/>
  <c r="O4248" i="127"/>
  <c r="P4248" i="127"/>
  <c r="O4249" i="127"/>
  <c r="P4249" i="127"/>
  <c r="O4250" i="127"/>
  <c r="P4250" i="127"/>
  <c r="O4251" i="127"/>
  <c r="P4251" i="127"/>
  <c r="O4252" i="127"/>
  <c r="P4252" i="127"/>
  <c r="O4253" i="127"/>
  <c r="P4253" i="127"/>
  <c r="O4254" i="127"/>
  <c r="P4254" i="127"/>
  <c r="O4255" i="127"/>
  <c r="P4255" i="127"/>
  <c r="O4256" i="127"/>
  <c r="P4256" i="127"/>
  <c r="O4257" i="127"/>
  <c r="P4257" i="127"/>
  <c r="O4258" i="127"/>
  <c r="P4258" i="127"/>
  <c r="O4259" i="127"/>
  <c r="P4259" i="127"/>
  <c r="O4260" i="127"/>
  <c r="P4260" i="127"/>
  <c r="O4261" i="127"/>
  <c r="P4261" i="127"/>
  <c r="O4262" i="127"/>
  <c r="P4262" i="127"/>
  <c r="O4263" i="127"/>
  <c r="P4263" i="127"/>
  <c r="O4264" i="127"/>
  <c r="P4264" i="127"/>
  <c r="O4265" i="127"/>
  <c r="P4265" i="127"/>
  <c r="O4266" i="127"/>
  <c r="P4266" i="127"/>
  <c r="O4267" i="127"/>
  <c r="P4267" i="127"/>
  <c r="O4268" i="127"/>
  <c r="P4268" i="127"/>
  <c r="O4269" i="127"/>
  <c r="P4269" i="127"/>
  <c r="O4270" i="127"/>
  <c r="P4270" i="127"/>
  <c r="O4271" i="127"/>
  <c r="P4271" i="127"/>
  <c r="O4272" i="127"/>
  <c r="P4272" i="127"/>
  <c r="O4273" i="127"/>
  <c r="P4273" i="127"/>
  <c r="O4274" i="127"/>
  <c r="P4274" i="127"/>
  <c r="O4275" i="127"/>
  <c r="P4275" i="127"/>
  <c r="O4276" i="127"/>
  <c r="P4276" i="127"/>
  <c r="O4277" i="127"/>
  <c r="P4277" i="127"/>
  <c r="O4278" i="127"/>
  <c r="P4278" i="127"/>
  <c r="O4279" i="127"/>
  <c r="P4279" i="127"/>
  <c r="O4280" i="127"/>
  <c r="P4280" i="127"/>
  <c r="O4281" i="127"/>
  <c r="P4281" i="127"/>
  <c r="O4282" i="127"/>
  <c r="P4282" i="127"/>
  <c r="O4283" i="127"/>
  <c r="P4283" i="127"/>
  <c r="O4284" i="127"/>
  <c r="P4284" i="127"/>
  <c r="O4285" i="127"/>
  <c r="P4285" i="127"/>
  <c r="O4286" i="127"/>
  <c r="P4286" i="127"/>
  <c r="O4287" i="127"/>
  <c r="P4287" i="127"/>
  <c r="O4288" i="127"/>
  <c r="P4288" i="127"/>
  <c r="O4289" i="127"/>
  <c r="P4289" i="127"/>
  <c r="O4290" i="127"/>
  <c r="P4290" i="127"/>
  <c r="O4291" i="127"/>
  <c r="P4291" i="127"/>
  <c r="O4292" i="127"/>
  <c r="P4292" i="127"/>
  <c r="O4293" i="127"/>
  <c r="P4293" i="127"/>
  <c r="O4294" i="127"/>
  <c r="P4294" i="127"/>
  <c r="O4295" i="127"/>
  <c r="P4295" i="127"/>
  <c r="O4296" i="127"/>
  <c r="P4296" i="127"/>
  <c r="O4297" i="127"/>
  <c r="P4297" i="127"/>
  <c r="O4298" i="127"/>
  <c r="P4298" i="127"/>
  <c r="O4299" i="127"/>
  <c r="P4299" i="127"/>
  <c r="O4300" i="127"/>
  <c r="P4300" i="127"/>
  <c r="O4301" i="127"/>
  <c r="P4301" i="127"/>
  <c r="O4302" i="127"/>
  <c r="P4302" i="127"/>
  <c r="O4303" i="127"/>
  <c r="P4303" i="127"/>
  <c r="O4304" i="127"/>
  <c r="P4304" i="127"/>
  <c r="O4305" i="127"/>
  <c r="P4305" i="127"/>
  <c r="O4306" i="127"/>
  <c r="P4306" i="127"/>
  <c r="O4307" i="127"/>
  <c r="P4307" i="127"/>
  <c r="O4308" i="127"/>
  <c r="P4308" i="127"/>
  <c r="O4309" i="127"/>
  <c r="P4309" i="127"/>
  <c r="O4310" i="127"/>
  <c r="P4310" i="127"/>
  <c r="O4311" i="127"/>
  <c r="P4311" i="127"/>
  <c r="O4312" i="127"/>
  <c r="P4312" i="127"/>
  <c r="O4313" i="127"/>
  <c r="P4313" i="127"/>
  <c r="O4314" i="127"/>
  <c r="P4314" i="127"/>
  <c r="O4315" i="127"/>
  <c r="P4315" i="127"/>
  <c r="O4316" i="127"/>
  <c r="P4316" i="127"/>
  <c r="O4317" i="127"/>
  <c r="P4317" i="127"/>
  <c r="O4318" i="127"/>
  <c r="P4318" i="127"/>
  <c r="O4319" i="127"/>
  <c r="P4319" i="127"/>
  <c r="O4320" i="127"/>
  <c r="P4320" i="127"/>
  <c r="O4321" i="127"/>
  <c r="P4321" i="127"/>
  <c r="O4322" i="127"/>
  <c r="P4322" i="127"/>
  <c r="O4323" i="127"/>
  <c r="P4323" i="127"/>
  <c r="O4324" i="127"/>
  <c r="P4324" i="127"/>
  <c r="O4325" i="127"/>
  <c r="P4325" i="127"/>
  <c r="O4326" i="127"/>
  <c r="P4326" i="127"/>
  <c r="O4327" i="127"/>
  <c r="P4327" i="127"/>
  <c r="O4328" i="127"/>
  <c r="P4328" i="127"/>
  <c r="O4329" i="127"/>
  <c r="P4329" i="127"/>
  <c r="O4330" i="127"/>
  <c r="P4330" i="127"/>
  <c r="O4331" i="127"/>
  <c r="P4331" i="127"/>
  <c r="O4332" i="127"/>
  <c r="P4332" i="127"/>
  <c r="O4333" i="127"/>
  <c r="P4333" i="127"/>
  <c r="O4334" i="127"/>
  <c r="P4334" i="127"/>
  <c r="O4335" i="127"/>
  <c r="P4335" i="127"/>
  <c r="O4336" i="127"/>
  <c r="P4336" i="127"/>
  <c r="O4337" i="127"/>
  <c r="P4337" i="127"/>
  <c r="O4338" i="127"/>
  <c r="P4338" i="127"/>
  <c r="O4339" i="127"/>
  <c r="P4339" i="127"/>
  <c r="O4340" i="127"/>
  <c r="P4340" i="127"/>
  <c r="O4341" i="127"/>
  <c r="P4341" i="127"/>
  <c r="O4342" i="127"/>
  <c r="P4342" i="127"/>
  <c r="O4343" i="127"/>
  <c r="P4343" i="127"/>
  <c r="O4344" i="127"/>
  <c r="P4344" i="127"/>
  <c r="O4345" i="127"/>
  <c r="P4345" i="127"/>
  <c r="O4346" i="127"/>
  <c r="P4346" i="127"/>
  <c r="O4347" i="127"/>
  <c r="P4347" i="127"/>
  <c r="O4348" i="127"/>
  <c r="P4348" i="127"/>
  <c r="O4349" i="127"/>
  <c r="P4349" i="127"/>
  <c r="O4350" i="127"/>
  <c r="P4350" i="127"/>
  <c r="O4351" i="127"/>
  <c r="P4351" i="127"/>
  <c r="O4352" i="127"/>
  <c r="P4352" i="127"/>
  <c r="O4353" i="127"/>
  <c r="P4353" i="127"/>
  <c r="O4354" i="127"/>
  <c r="P4354" i="127"/>
  <c r="O4355" i="127"/>
  <c r="P4355" i="127"/>
  <c r="O4356" i="127"/>
  <c r="P4356" i="127"/>
  <c r="O4357" i="127"/>
  <c r="P4357" i="127"/>
  <c r="O4358" i="127"/>
  <c r="P4358" i="127"/>
  <c r="O4359" i="127"/>
  <c r="P4359" i="127"/>
  <c r="O4360" i="127"/>
  <c r="P4360" i="127"/>
  <c r="O4361" i="127"/>
  <c r="P4361" i="127"/>
  <c r="O4362" i="127"/>
  <c r="P4362" i="127"/>
  <c r="O4363" i="127"/>
  <c r="P4363" i="127"/>
  <c r="O4364" i="127"/>
  <c r="P4364" i="127"/>
  <c r="O4365" i="127"/>
  <c r="P4365" i="127"/>
  <c r="O4366" i="127"/>
  <c r="P4366" i="127"/>
  <c r="O4367" i="127"/>
  <c r="P4367" i="127"/>
  <c r="O4368" i="127"/>
  <c r="P4368" i="127"/>
  <c r="O4369" i="127"/>
  <c r="P4369" i="127"/>
  <c r="O4370" i="127"/>
  <c r="P4370" i="127"/>
  <c r="O4371" i="127"/>
  <c r="P4371" i="127"/>
  <c r="O4372" i="127"/>
  <c r="P4372" i="127"/>
  <c r="O4373" i="127"/>
  <c r="P4373" i="127"/>
  <c r="O4374" i="127"/>
  <c r="P4374" i="127"/>
  <c r="O4375" i="127"/>
  <c r="P4375" i="127"/>
  <c r="O4376" i="127"/>
  <c r="P4376" i="127"/>
  <c r="O4377" i="127"/>
  <c r="P4377" i="127"/>
  <c r="O4378" i="127"/>
  <c r="P4378" i="127"/>
  <c r="O4379" i="127"/>
  <c r="P4379" i="127"/>
  <c r="O4380" i="127"/>
  <c r="P4380" i="127"/>
  <c r="O4381" i="127"/>
  <c r="P4381" i="127"/>
  <c r="O4382" i="127"/>
  <c r="P4382" i="127"/>
  <c r="O4383" i="127"/>
  <c r="P4383" i="127"/>
  <c r="O4384" i="127"/>
  <c r="P4384" i="127"/>
  <c r="O4385" i="127"/>
  <c r="P4385" i="127"/>
  <c r="O4386" i="127"/>
  <c r="P4386" i="127"/>
  <c r="O4387" i="127"/>
  <c r="P4387" i="127"/>
  <c r="O4388" i="127"/>
  <c r="P4388" i="127"/>
  <c r="O4389" i="127"/>
  <c r="P4389" i="127"/>
  <c r="O4390" i="127"/>
  <c r="P4390" i="127"/>
  <c r="O4391" i="127"/>
  <c r="P4391" i="127"/>
  <c r="O4392" i="127"/>
  <c r="P4392" i="127"/>
  <c r="O4393" i="127"/>
  <c r="P4393" i="127"/>
  <c r="O4394" i="127"/>
  <c r="P4394" i="127"/>
  <c r="O4395" i="127"/>
  <c r="P4395" i="127"/>
  <c r="O4396" i="127"/>
  <c r="P4396" i="127"/>
  <c r="O4397" i="127"/>
  <c r="P4397" i="127"/>
  <c r="O4398" i="127"/>
  <c r="P4398" i="127"/>
  <c r="O4399" i="127"/>
  <c r="P4399" i="127"/>
  <c r="O4400" i="127"/>
  <c r="P4400" i="127"/>
  <c r="O4401" i="127"/>
  <c r="P4401" i="127"/>
  <c r="O4402" i="127"/>
  <c r="P4402" i="127"/>
  <c r="O4403" i="127"/>
  <c r="P4403" i="127"/>
  <c r="O4404" i="127"/>
  <c r="P4404" i="127"/>
  <c r="O4405" i="127"/>
  <c r="P4405" i="127"/>
  <c r="O4406" i="127"/>
  <c r="P4406" i="127"/>
  <c r="O4407" i="127"/>
  <c r="P4407" i="127"/>
  <c r="O4408" i="127"/>
  <c r="P4408" i="127"/>
  <c r="O4409" i="127"/>
  <c r="P4409" i="127"/>
  <c r="O4410" i="127"/>
  <c r="P4410" i="127"/>
  <c r="O4411" i="127"/>
  <c r="P4411" i="127"/>
  <c r="O4412" i="127"/>
  <c r="P4412" i="127"/>
  <c r="O4413" i="127"/>
  <c r="P4413" i="127"/>
  <c r="O4414" i="127"/>
  <c r="P4414" i="127"/>
  <c r="O4415" i="127"/>
  <c r="P4415" i="127"/>
  <c r="O4416" i="127"/>
  <c r="P4416" i="127"/>
  <c r="O4417" i="127"/>
  <c r="P4417" i="127"/>
  <c r="O4418" i="127"/>
  <c r="P4418" i="127"/>
  <c r="O4419" i="127"/>
  <c r="P4419" i="127"/>
  <c r="O4420" i="127"/>
  <c r="P4420" i="127"/>
  <c r="O4421" i="127"/>
  <c r="P4421" i="127"/>
  <c r="O4422" i="127"/>
  <c r="P4422" i="127"/>
  <c r="O4423" i="127"/>
  <c r="P4423" i="127"/>
  <c r="O4424" i="127"/>
  <c r="P4424" i="127"/>
  <c r="O4425" i="127"/>
  <c r="P4425" i="127"/>
  <c r="O4426" i="127"/>
  <c r="P4426" i="127"/>
  <c r="O4427" i="127"/>
  <c r="P4427" i="127"/>
  <c r="O4428" i="127"/>
  <c r="P4428" i="127"/>
  <c r="O4429" i="127"/>
  <c r="P4429" i="127"/>
  <c r="O4430" i="127"/>
  <c r="P4430" i="127"/>
  <c r="O4431" i="127"/>
  <c r="P4431" i="127"/>
  <c r="O4432" i="127"/>
  <c r="P4432" i="127"/>
  <c r="O4433" i="127"/>
  <c r="P4433" i="127"/>
  <c r="O4434" i="127"/>
  <c r="P4434" i="127"/>
  <c r="O4435" i="127"/>
  <c r="P4435" i="127"/>
  <c r="O4436" i="127"/>
  <c r="P4436" i="127"/>
  <c r="O4437" i="127"/>
  <c r="P4437" i="127"/>
  <c r="O4438" i="127"/>
  <c r="P4438" i="127"/>
  <c r="O4439" i="127"/>
  <c r="P4439" i="127"/>
  <c r="O4440" i="127"/>
  <c r="P4440" i="127"/>
  <c r="O4441" i="127"/>
  <c r="P4441" i="127"/>
  <c r="O4442" i="127"/>
  <c r="P4442" i="127"/>
  <c r="O4443" i="127"/>
  <c r="P4443" i="127"/>
  <c r="O4444" i="127"/>
  <c r="P4444" i="127"/>
  <c r="O4445" i="127"/>
  <c r="P4445" i="127"/>
  <c r="O4446" i="127"/>
  <c r="P4446" i="127"/>
  <c r="O4447" i="127"/>
  <c r="P4447" i="127"/>
  <c r="O4448" i="127"/>
  <c r="P4448" i="127"/>
  <c r="O4449" i="127"/>
  <c r="P4449" i="127"/>
  <c r="O4450" i="127"/>
  <c r="P4450" i="127"/>
  <c r="O4451" i="127"/>
  <c r="P4451" i="127"/>
  <c r="O4452" i="127"/>
  <c r="P4452" i="127"/>
  <c r="O4453" i="127"/>
  <c r="P4453" i="127"/>
  <c r="O4454" i="127"/>
  <c r="P4454" i="127"/>
  <c r="O4455" i="127"/>
  <c r="P4455" i="127"/>
  <c r="O4456" i="127"/>
  <c r="P4456" i="127"/>
  <c r="O4457" i="127"/>
  <c r="P4457" i="127"/>
  <c r="O4458" i="127"/>
  <c r="P4458" i="127"/>
  <c r="O4459" i="127"/>
  <c r="P4459" i="127"/>
  <c r="O4460" i="127"/>
  <c r="P4460" i="127"/>
  <c r="O4461" i="127"/>
  <c r="P4461" i="127"/>
  <c r="O4462" i="127"/>
  <c r="P4462" i="127"/>
  <c r="O4463" i="127"/>
  <c r="P4463" i="127"/>
  <c r="O4464" i="127"/>
  <c r="P4464" i="127"/>
  <c r="O4465" i="127"/>
  <c r="P4465" i="127"/>
  <c r="O4466" i="127"/>
  <c r="P4466" i="127"/>
  <c r="O4467" i="127"/>
  <c r="P4467" i="127"/>
  <c r="O4468" i="127"/>
  <c r="P4468" i="127"/>
  <c r="O4469" i="127"/>
  <c r="P4469" i="127"/>
  <c r="O4470" i="127"/>
  <c r="P4470" i="127"/>
  <c r="O4471" i="127"/>
  <c r="P4471" i="127"/>
  <c r="O4472" i="127"/>
  <c r="P4472" i="127"/>
  <c r="O4473" i="127"/>
  <c r="P4473" i="127"/>
  <c r="O4474" i="127"/>
  <c r="P4474" i="127"/>
  <c r="O4475" i="127"/>
  <c r="P4475" i="127"/>
  <c r="O4476" i="127"/>
  <c r="P4476" i="127"/>
  <c r="O4477" i="127"/>
  <c r="P4477" i="127"/>
  <c r="O4478" i="127"/>
  <c r="P4478" i="127"/>
  <c r="O4479" i="127"/>
  <c r="P4479" i="127"/>
  <c r="O4480" i="127"/>
  <c r="P4480" i="127"/>
  <c r="O4481" i="127"/>
  <c r="P4481" i="127"/>
  <c r="O4482" i="127"/>
  <c r="P4482" i="127"/>
  <c r="O4483" i="127"/>
  <c r="P4483" i="127"/>
  <c r="O4484" i="127"/>
  <c r="P4484" i="127"/>
  <c r="O4485" i="127"/>
  <c r="P4485" i="127"/>
  <c r="O4486" i="127"/>
  <c r="P4486" i="127"/>
  <c r="O4487" i="127"/>
  <c r="P4487" i="127"/>
  <c r="O4488" i="127"/>
  <c r="P4488" i="127"/>
  <c r="O4489" i="127"/>
  <c r="P4489" i="127"/>
  <c r="O4490" i="127"/>
  <c r="P4490" i="127"/>
  <c r="O4491" i="127"/>
  <c r="P4491" i="127"/>
  <c r="O4492" i="127"/>
  <c r="P4492" i="127"/>
  <c r="O4493" i="127"/>
  <c r="P4493" i="127"/>
  <c r="O4494" i="127"/>
  <c r="P4494" i="127"/>
  <c r="O4495" i="127"/>
  <c r="P4495" i="127"/>
  <c r="O4496" i="127"/>
  <c r="P4496" i="127"/>
  <c r="O4497" i="127"/>
  <c r="P4497" i="127"/>
  <c r="O4498" i="127"/>
  <c r="P4498" i="127"/>
  <c r="O4499" i="127"/>
  <c r="P4499" i="127"/>
  <c r="O4500" i="127"/>
  <c r="P4500" i="127"/>
  <c r="O4501" i="127"/>
  <c r="P4501" i="127"/>
  <c r="O4502" i="127"/>
  <c r="P4502" i="127"/>
  <c r="O4503" i="127"/>
  <c r="P4503" i="127"/>
  <c r="O4504" i="127"/>
  <c r="P4504" i="127"/>
  <c r="O4505" i="127"/>
  <c r="P4505" i="127"/>
  <c r="O4506" i="127"/>
  <c r="P4506" i="127"/>
  <c r="O4507" i="127"/>
  <c r="P4507" i="127"/>
  <c r="O4508" i="127"/>
  <c r="P4508" i="127"/>
  <c r="O4509" i="127"/>
  <c r="P4509" i="127"/>
  <c r="O4510" i="127"/>
  <c r="P4510" i="127"/>
  <c r="O4511" i="127"/>
  <c r="P4511" i="127"/>
  <c r="O4512" i="127"/>
  <c r="P4512" i="127"/>
  <c r="O4513" i="127"/>
  <c r="P4513" i="127"/>
  <c r="O4514" i="127"/>
  <c r="P4514" i="127"/>
  <c r="O4515" i="127"/>
  <c r="P4515" i="127"/>
  <c r="O4516" i="127"/>
  <c r="P4516" i="127"/>
  <c r="O4517" i="127"/>
  <c r="P4517" i="127"/>
  <c r="O4518" i="127"/>
  <c r="P4518" i="127"/>
  <c r="O4519" i="127"/>
  <c r="P4519" i="127"/>
  <c r="O4520" i="127"/>
  <c r="P4520" i="127"/>
  <c r="O4521" i="127"/>
  <c r="P4521" i="127"/>
  <c r="O4522" i="127"/>
  <c r="P4522" i="127"/>
  <c r="O4523" i="127"/>
  <c r="P4523" i="127"/>
  <c r="O4524" i="127"/>
  <c r="P4524" i="127"/>
  <c r="O4525" i="127"/>
  <c r="P4525" i="127"/>
  <c r="O4526" i="127"/>
  <c r="P4526" i="127"/>
  <c r="O4527" i="127"/>
  <c r="P4527" i="127"/>
  <c r="O4528" i="127"/>
  <c r="P4528" i="127"/>
  <c r="O4529" i="127"/>
  <c r="P4529" i="127"/>
  <c r="O4530" i="127"/>
  <c r="P4530" i="127"/>
  <c r="O4531" i="127"/>
  <c r="P4531" i="127"/>
  <c r="O4532" i="127"/>
  <c r="P4532" i="127"/>
  <c r="O4533" i="127"/>
  <c r="P4533" i="127"/>
  <c r="O4534" i="127"/>
  <c r="P4534" i="127"/>
  <c r="O4535" i="127"/>
  <c r="P4535" i="127"/>
  <c r="O4536" i="127"/>
  <c r="P4536" i="127"/>
  <c r="O4537" i="127"/>
  <c r="P4537" i="127"/>
  <c r="O4538" i="127"/>
  <c r="P4538" i="127"/>
  <c r="O4539" i="127"/>
  <c r="P4539" i="127"/>
  <c r="O4540" i="127"/>
  <c r="P4540" i="127"/>
  <c r="O4541" i="127"/>
  <c r="P4541" i="127"/>
  <c r="O4542" i="127"/>
  <c r="P4542" i="127"/>
  <c r="O4543" i="127"/>
  <c r="P4543" i="127"/>
  <c r="O4544" i="127"/>
  <c r="P4544" i="127"/>
  <c r="O4545" i="127"/>
  <c r="P4545" i="127"/>
  <c r="O4546" i="127"/>
  <c r="P4546" i="127"/>
  <c r="O4547" i="127"/>
  <c r="P4547" i="127"/>
  <c r="O4548" i="127"/>
  <c r="P4548" i="127"/>
  <c r="O4549" i="127"/>
  <c r="P4549" i="127"/>
  <c r="O4550" i="127"/>
  <c r="P4550" i="127"/>
  <c r="O4551" i="127"/>
  <c r="P4551" i="127"/>
  <c r="O4552" i="127"/>
  <c r="P4552" i="127"/>
  <c r="O4553" i="127"/>
  <c r="P4553" i="127"/>
  <c r="O4554" i="127"/>
  <c r="P4554" i="127"/>
  <c r="O4555" i="127"/>
  <c r="P4555" i="127"/>
  <c r="O4556" i="127"/>
  <c r="P4556" i="127"/>
  <c r="O4557" i="127"/>
  <c r="P4557" i="127"/>
  <c r="O4558" i="127"/>
  <c r="P4558" i="127"/>
  <c r="O4559" i="127"/>
  <c r="P4559" i="127"/>
  <c r="O4560" i="127"/>
  <c r="P4560" i="127"/>
  <c r="O4561" i="127"/>
  <c r="P4561" i="127"/>
  <c r="O4562" i="127"/>
  <c r="P4562" i="127"/>
  <c r="O4563" i="127"/>
  <c r="P4563" i="127"/>
  <c r="O4564" i="127"/>
  <c r="P4564" i="127"/>
  <c r="O4565" i="127"/>
  <c r="P4565" i="127"/>
  <c r="O4566" i="127"/>
  <c r="P4566" i="127"/>
  <c r="O4567" i="127"/>
  <c r="P4567" i="127"/>
  <c r="O4568" i="127"/>
  <c r="P4568" i="127"/>
  <c r="O4569" i="127"/>
  <c r="P4569" i="127"/>
  <c r="O4570" i="127"/>
  <c r="P4570" i="127"/>
  <c r="O4571" i="127"/>
  <c r="P4571" i="127"/>
  <c r="O4572" i="127"/>
  <c r="P4572" i="127"/>
  <c r="O4573" i="127"/>
  <c r="P4573" i="127"/>
  <c r="O4574" i="127"/>
  <c r="P4574" i="127"/>
  <c r="O4575" i="127"/>
  <c r="P4575" i="127"/>
  <c r="O4576" i="127"/>
  <c r="P4576" i="127"/>
  <c r="O4577" i="127"/>
  <c r="P4577" i="127"/>
  <c r="O4578" i="127"/>
  <c r="P4578" i="127"/>
  <c r="O4579" i="127"/>
  <c r="P4579" i="127"/>
  <c r="O4580" i="127"/>
  <c r="P4580" i="127"/>
  <c r="O4581" i="127"/>
  <c r="P4581" i="127"/>
  <c r="O4582" i="127"/>
  <c r="P4582" i="127"/>
  <c r="O4583" i="127"/>
  <c r="P4583" i="127"/>
  <c r="O4584" i="127"/>
  <c r="P4584" i="127"/>
  <c r="O4585" i="127"/>
  <c r="P4585" i="127"/>
  <c r="O4586" i="127"/>
  <c r="P4586" i="127"/>
  <c r="O4587" i="127"/>
  <c r="P4587" i="127"/>
  <c r="O4588" i="127"/>
  <c r="P4588" i="127"/>
  <c r="O4589" i="127"/>
  <c r="P4589" i="127"/>
  <c r="O4590" i="127"/>
  <c r="P4590" i="127"/>
  <c r="O4591" i="127"/>
  <c r="P4591" i="127"/>
  <c r="O4592" i="127"/>
  <c r="P4592" i="127"/>
  <c r="O4593" i="127"/>
  <c r="P4593" i="127"/>
  <c r="O4594" i="127"/>
  <c r="P4594" i="127"/>
  <c r="O4595" i="127"/>
  <c r="P4595" i="127"/>
  <c r="O4596" i="127"/>
  <c r="P4596" i="127"/>
  <c r="O4597" i="127"/>
  <c r="P4597" i="127"/>
  <c r="O4598" i="127"/>
  <c r="P4598" i="127"/>
  <c r="O4599" i="127"/>
  <c r="P4599" i="127"/>
  <c r="O4600" i="127"/>
  <c r="P4600" i="127"/>
  <c r="O4601" i="127"/>
  <c r="P4601" i="127"/>
  <c r="O4602" i="127"/>
  <c r="P4602" i="127"/>
  <c r="O4603" i="127"/>
  <c r="P4603" i="127"/>
  <c r="O4604" i="127"/>
  <c r="P4604" i="127"/>
  <c r="O4605" i="127"/>
  <c r="P4605" i="127"/>
  <c r="O4606" i="127"/>
  <c r="P4606" i="127"/>
  <c r="O4607" i="127"/>
  <c r="P4607" i="127"/>
  <c r="O4608" i="127"/>
  <c r="P4608" i="127"/>
  <c r="O4609" i="127"/>
  <c r="P4609" i="127"/>
  <c r="O4610" i="127"/>
  <c r="P4610" i="127"/>
  <c r="O4611" i="127"/>
  <c r="P4611" i="127"/>
  <c r="O4612" i="127"/>
  <c r="P4612" i="127"/>
  <c r="O4613" i="127"/>
  <c r="P4613" i="127"/>
  <c r="O4614" i="127"/>
  <c r="P4614" i="127"/>
  <c r="O4615" i="127"/>
  <c r="P4615" i="127"/>
  <c r="O4616" i="127"/>
  <c r="P4616" i="127"/>
  <c r="O4617" i="127"/>
  <c r="P4617" i="127"/>
  <c r="O4618" i="127"/>
  <c r="P4618" i="127"/>
  <c r="O4619" i="127"/>
  <c r="P4619" i="127"/>
  <c r="O4620" i="127"/>
  <c r="P4620" i="127"/>
  <c r="O4621" i="127"/>
  <c r="P4621" i="127"/>
  <c r="O4622" i="127"/>
  <c r="P4622" i="127"/>
  <c r="O4623" i="127"/>
  <c r="P4623" i="127"/>
  <c r="O4624" i="127"/>
  <c r="P4624" i="127"/>
  <c r="O4625" i="127"/>
  <c r="P4625" i="127"/>
  <c r="O4626" i="127"/>
  <c r="P4626" i="127"/>
  <c r="O4627" i="127"/>
  <c r="P4627" i="127"/>
  <c r="O4628" i="127"/>
  <c r="P4628" i="127"/>
  <c r="O4629" i="127"/>
  <c r="P4629" i="127"/>
  <c r="O4630" i="127"/>
  <c r="P4630" i="127"/>
  <c r="O4631" i="127"/>
  <c r="P4631" i="127"/>
  <c r="O4632" i="127"/>
  <c r="P4632" i="127"/>
  <c r="O4633" i="127"/>
  <c r="P4633" i="127"/>
  <c r="O4634" i="127"/>
  <c r="P4634" i="127"/>
  <c r="O4635" i="127"/>
  <c r="P4635" i="127"/>
  <c r="O4636" i="127"/>
  <c r="P4636" i="127"/>
  <c r="O4637" i="127"/>
  <c r="P4637" i="127"/>
  <c r="O4638" i="127"/>
  <c r="P4638" i="127"/>
  <c r="O4639" i="127"/>
  <c r="P4639" i="127"/>
  <c r="O4640" i="127"/>
  <c r="P4640" i="127"/>
  <c r="O4648" i="127"/>
  <c r="P4648" i="127"/>
  <c r="O4641" i="127"/>
  <c r="P4641" i="127"/>
  <c r="O4654" i="127"/>
  <c r="P4654" i="127"/>
  <c r="O4657" i="127"/>
  <c r="P4657" i="127"/>
  <c r="O4658" i="127"/>
  <c r="P4658" i="127"/>
  <c r="O4647" i="127"/>
  <c r="P4647" i="127"/>
  <c r="O4663" i="127"/>
  <c r="P4663" i="127"/>
  <c r="O4670" i="127"/>
  <c r="P4670" i="127"/>
  <c r="O4665" i="127"/>
  <c r="P4665" i="127"/>
  <c r="O4656" i="127"/>
  <c r="P4656" i="127"/>
  <c r="O4671" i="127"/>
  <c r="P4671" i="127"/>
  <c r="O4646" i="127"/>
  <c r="P4646" i="127"/>
  <c r="O4672" i="127"/>
  <c r="P4672" i="127"/>
  <c r="O4650" i="127"/>
  <c r="P4650" i="127"/>
  <c r="O4664" i="127"/>
  <c r="P4664" i="127"/>
  <c r="O4644" i="127"/>
  <c r="P4644" i="127"/>
  <c r="O4661" i="127"/>
  <c r="P4661" i="127"/>
  <c r="O4662" i="127"/>
  <c r="P4662" i="127"/>
  <c r="O4651" i="127"/>
  <c r="P4651" i="127"/>
  <c r="O4643" i="127"/>
  <c r="P4643" i="127"/>
  <c r="O4642" i="127"/>
  <c r="P4642" i="127"/>
  <c r="O4653" i="127"/>
  <c r="P4653" i="127"/>
  <c r="O4673" i="127"/>
  <c r="P4673" i="127"/>
  <c r="O4660" i="127"/>
  <c r="P4660" i="127"/>
  <c r="O4667" i="127"/>
  <c r="P4667" i="127"/>
  <c r="O4649" i="127"/>
  <c r="P4649" i="127"/>
  <c r="O4666" i="127"/>
  <c r="P4666" i="127"/>
  <c r="O4668" i="127"/>
  <c r="P4668" i="127"/>
  <c r="O4645" i="127"/>
  <c r="P4645" i="127"/>
  <c r="O4652" i="127"/>
  <c r="P4652" i="127"/>
  <c r="O4655" i="127"/>
  <c r="P4655" i="127"/>
  <c r="O4659" i="127"/>
  <c r="P4659" i="127"/>
  <c r="O4669" i="127"/>
  <c r="P4669" i="127"/>
  <c r="O4674" i="127"/>
  <c r="P4674" i="127"/>
  <c r="O4675" i="127"/>
  <c r="P4675" i="127"/>
  <c r="O4676" i="127"/>
  <c r="P4676" i="127"/>
  <c r="O4677" i="127"/>
  <c r="P4677" i="127"/>
  <c r="O4678" i="127"/>
  <c r="P4678" i="127"/>
  <c r="O4679" i="127"/>
  <c r="P4679" i="127"/>
  <c r="O4680" i="127"/>
  <c r="P4680" i="127"/>
  <c r="O4681" i="127"/>
  <c r="P4681" i="127"/>
  <c r="O4682" i="127"/>
  <c r="P4682" i="127"/>
  <c r="O4683" i="127"/>
  <c r="P4683" i="127"/>
  <c r="O4684" i="127"/>
  <c r="P4684" i="127"/>
  <c r="O4685" i="127"/>
  <c r="P4685" i="127"/>
  <c r="O4686" i="127"/>
  <c r="P4686" i="127"/>
  <c r="O4687" i="127"/>
  <c r="P4687" i="127"/>
  <c r="O4688" i="127"/>
  <c r="P4688" i="127"/>
  <c r="O4689" i="127"/>
  <c r="P4689" i="127"/>
  <c r="O4690" i="127"/>
  <c r="P4690" i="127"/>
  <c r="O4691" i="127"/>
  <c r="P4691" i="127"/>
  <c r="O4692" i="127"/>
  <c r="P4692" i="127"/>
  <c r="O4693" i="127"/>
  <c r="P4693" i="127"/>
  <c r="O4694" i="127"/>
  <c r="P4694" i="127"/>
  <c r="O4695" i="127"/>
  <c r="P4695" i="127"/>
  <c r="O4696" i="127"/>
  <c r="P4696" i="127"/>
  <c r="O4697" i="127"/>
  <c r="P4697" i="127"/>
  <c r="O4698" i="127"/>
  <c r="P4698" i="127"/>
  <c r="O4699" i="127"/>
  <c r="P4699" i="127"/>
  <c r="O4700" i="127"/>
  <c r="P4700" i="127"/>
  <c r="O4701" i="127"/>
  <c r="P4701" i="127"/>
  <c r="O4702" i="127"/>
  <c r="P4702" i="127"/>
  <c r="O4703" i="127"/>
  <c r="P4703" i="127"/>
  <c r="O4704" i="127"/>
  <c r="P4704" i="127"/>
  <c r="O4705" i="127"/>
  <c r="P4705" i="127"/>
  <c r="O4706" i="127"/>
  <c r="P4706" i="127"/>
  <c r="O4707" i="127"/>
  <c r="P4707" i="127"/>
  <c r="O4708" i="127"/>
  <c r="P4708" i="127"/>
  <c r="O4709" i="127"/>
  <c r="P4709" i="127"/>
  <c r="O4710" i="127"/>
  <c r="P4710" i="127"/>
  <c r="O4711" i="127"/>
  <c r="P4711" i="127"/>
  <c r="O4712" i="127"/>
  <c r="P4712" i="127"/>
  <c r="O4713" i="127"/>
  <c r="P4713" i="127"/>
  <c r="O4714" i="127"/>
  <c r="P4714" i="127"/>
  <c r="O4715" i="127"/>
  <c r="P4715" i="127"/>
  <c r="O4716" i="127"/>
  <c r="P4716" i="127"/>
  <c r="O4717" i="127"/>
  <c r="P4717" i="127"/>
  <c r="O4718" i="127"/>
  <c r="P4718" i="127"/>
  <c r="O4719" i="127"/>
  <c r="P4719" i="127"/>
  <c r="O4720" i="127"/>
  <c r="P4720" i="127"/>
  <c r="O4721" i="127"/>
  <c r="P4721" i="127"/>
  <c r="O4722" i="127"/>
  <c r="P4722" i="127"/>
  <c r="O4723" i="127"/>
  <c r="P4723" i="127"/>
  <c r="O4724" i="127"/>
  <c r="P4724" i="127"/>
  <c r="O4725" i="127"/>
  <c r="P4725" i="127"/>
  <c r="O4726" i="127"/>
  <c r="P4726" i="127"/>
  <c r="O4727" i="127"/>
  <c r="P4727" i="127"/>
  <c r="O4728" i="127"/>
  <c r="P4728" i="127"/>
  <c r="O4729" i="127"/>
  <c r="P4729" i="127"/>
  <c r="O4730" i="127"/>
  <c r="P4730" i="127"/>
  <c r="O4731" i="127"/>
  <c r="P4731" i="127"/>
  <c r="O4732" i="127"/>
  <c r="P4732" i="127"/>
  <c r="O4733" i="127"/>
  <c r="P4733" i="127"/>
  <c r="O4734" i="127"/>
  <c r="P4734" i="127"/>
  <c r="O4735" i="127"/>
  <c r="P4735" i="127"/>
  <c r="O4736" i="127"/>
  <c r="P4736" i="127"/>
  <c r="O4737" i="127"/>
  <c r="P4737" i="127"/>
  <c r="O4738" i="127"/>
  <c r="P4738" i="127"/>
  <c r="O4739" i="127"/>
  <c r="P4739" i="127"/>
  <c r="O4740" i="127"/>
  <c r="P4740" i="127"/>
  <c r="O4741" i="127"/>
  <c r="P4741" i="127"/>
  <c r="O4742" i="127"/>
  <c r="P4742" i="127"/>
  <c r="O4743" i="127"/>
  <c r="P4743" i="127"/>
  <c r="O4744" i="127"/>
  <c r="P4744" i="127"/>
  <c r="O4745" i="127"/>
  <c r="P4745" i="127"/>
  <c r="O4746" i="127"/>
  <c r="P4746" i="127"/>
  <c r="O4747" i="127"/>
  <c r="P4747" i="127"/>
  <c r="O4748" i="127"/>
  <c r="P4748" i="127"/>
  <c r="O4749" i="127"/>
  <c r="P4749" i="127"/>
  <c r="O4750" i="127"/>
  <c r="P4750" i="127"/>
  <c r="O4751" i="127"/>
  <c r="P4751" i="127"/>
  <c r="O4752" i="127"/>
  <c r="P4752" i="127"/>
  <c r="O4753" i="127"/>
  <c r="P4753" i="127"/>
  <c r="O4754" i="127"/>
  <c r="P4754" i="127"/>
  <c r="O4755" i="127"/>
  <c r="P4755" i="127"/>
  <c r="O4756" i="127"/>
  <c r="P4756" i="127"/>
  <c r="O4757" i="127"/>
  <c r="P4757" i="127"/>
  <c r="O4758" i="127"/>
  <c r="P4758" i="127"/>
  <c r="O4759" i="127"/>
  <c r="P4759" i="127"/>
  <c r="O4760" i="127"/>
  <c r="P4760" i="127"/>
  <c r="O4761" i="127"/>
  <c r="P4761" i="127"/>
  <c r="O4762" i="127"/>
  <c r="P4762" i="127"/>
  <c r="O4763" i="127"/>
  <c r="P4763" i="127"/>
  <c r="O4764" i="127"/>
  <c r="P4764" i="127"/>
  <c r="O4765" i="127"/>
  <c r="P4765" i="127"/>
  <c r="O4766" i="127"/>
  <c r="P4766" i="127"/>
  <c r="O4767" i="127"/>
  <c r="P4767" i="127"/>
  <c r="O4768" i="127"/>
  <c r="P4768" i="127"/>
  <c r="O4769" i="127"/>
  <c r="P4769" i="127"/>
  <c r="O4770" i="127"/>
  <c r="P4770" i="127"/>
  <c r="O4771" i="127"/>
  <c r="P4771" i="127"/>
  <c r="O4772" i="127"/>
  <c r="P4772" i="127"/>
  <c r="O4773" i="127"/>
  <c r="P4773" i="127"/>
  <c r="O4774" i="127"/>
  <c r="P4774" i="127"/>
  <c r="O4775" i="127"/>
  <c r="P4775" i="127"/>
  <c r="O4776" i="127"/>
  <c r="P4776" i="127"/>
  <c r="O4777" i="127"/>
  <c r="P4777" i="127"/>
  <c r="O4778" i="127"/>
  <c r="P4778" i="127"/>
  <c r="O4779" i="127"/>
  <c r="P4779" i="127"/>
  <c r="O4780" i="127"/>
  <c r="P4780" i="127"/>
  <c r="O4781" i="127"/>
  <c r="P4781" i="127"/>
  <c r="O4782" i="127"/>
  <c r="P4782" i="127"/>
  <c r="O4783" i="127"/>
  <c r="P4783" i="127"/>
  <c r="O4784" i="127"/>
  <c r="P4784" i="127"/>
  <c r="O4785" i="127"/>
  <c r="P4785" i="127"/>
  <c r="O4786" i="127"/>
  <c r="P4786" i="127"/>
  <c r="O4787" i="127"/>
  <c r="P4787" i="127"/>
  <c r="O4788" i="127"/>
  <c r="P4788" i="127"/>
  <c r="O4789" i="127"/>
  <c r="P4789" i="127"/>
  <c r="O4790" i="127"/>
  <c r="P4790" i="127"/>
  <c r="O4791" i="127"/>
  <c r="P4791" i="127"/>
  <c r="O4792" i="127"/>
  <c r="P4792" i="127"/>
  <c r="O4793" i="127"/>
  <c r="P4793" i="127"/>
  <c r="O4794" i="127"/>
  <c r="P4794" i="127"/>
  <c r="O4795" i="127"/>
  <c r="P4795" i="127"/>
  <c r="O4796" i="127"/>
  <c r="P4796" i="127"/>
  <c r="O4797" i="127"/>
  <c r="P4797" i="127"/>
  <c r="O4798" i="127"/>
  <c r="P4798" i="127"/>
  <c r="O4799" i="127"/>
  <c r="P4799" i="127"/>
  <c r="O4800" i="127"/>
  <c r="P4800" i="127"/>
  <c r="O4801" i="127"/>
  <c r="P4801" i="127"/>
  <c r="O4802" i="127"/>
  <c r="P4802" i="127"/>
  <c r="O4803" i="127"/>
  <c r="P4803" i="127"/>
  <c r="O4804" i="127"/>
  <c r="P4804" i="127"/>
  <c r="O4805" i="127"/>
  <c r="P4805" i="127"/>
  <c r="O4806" i="127"/>
  <c r="P4806" i="127"/>
  <c r="O4807" i="127"/>
  <c r="P4807" i="127"/>
  <c r="O4808" i="127"/>
  <c r="P4808" i="127"/>
  <c r="O4809" i="127"/>
  <c r="P4809" i="127"/>
  <c r="O4810" i="127"/>
  <c r="P4810" i="127"/>
  <c r="O4811" i="127"/>
  <c r="P4811" i="127"/>
  <c r="O4812" i="127"/>
  <c r="P4812" i="127"/>
  <c r="O4813" i="127"/>
  <c r="P4813" i="127"/>
  <c r="O4814" i="127"/>
  <c r="P4814" i="127"/>
  <c r="O4815" i="127"/>
  <c r="P4815" i="127"/>
  <c r="O4816" i="127"/>
  <c r="P4816" i="127"/>
  <c r="O4817" i="127"/>
  <c r="P4817" i="127"/>
  <c r="O4818" i="127"/>
  <c r="P4818" i="127"/>
  <c r="O4819" i="127"/>
  <c r="P4819" i="127"/>
  <c r="O4820" i="127"/>
  <c r="P4820" i="127"/>
  <c r="O4821" i="127"/>
  <c r="P4821" i="127"/>
  <c r="O4822" i="127"/>
  <c r="P4822" i="127"/>
  <c r="O4823" i="127"/>
  <c r="P4823" i="127"/>
  <c r="O4824" i="127"/>
  <c r="P4824" i="127"/>
  <c r="O4825" i="127"/>
  <c r="P4825" i="127"/>
  <c r="O4826" i="127"/>
  <c r="P4826" i="127"/>
  <c r="O4827" i="127"/>
  <c r="P4827" i="127"/>
  <c r="O4828" i="127"/>
  <c r="P4828" i="127"/>
  <c r="O4829" i="127"/>
  <c r="P4829" i="127"/>
  <c r="O4830" i="127"/>
  <c r="P4830" i="127"/>
  <c r="O4831" i="127"/>
  <c r="P4831" i="127"/>
  <c r="O4832" i="127"/>
  <c r="P4832" i="127"/>
  <c r="O4833" i="127"/>
  <c r="P4833" i="127"/>
  <c r="O4834" i="127"/>
  <c r="P4834" i="127"/>
  <c r="O4835" i="127"/>
  <c r="P4835" i="127"/>
  <c r="O4836" i="127"/>
  <c r="P4836" i="127"/>
  <c r="O4837" i="127"/>
  <c r="P4837" i="127"/>
  <c r="O4838" i="127"/>
  <c r="P4838" i="127"/>
  <c r="O4839" i="127"/>
  <c r="P4839" i="127"/>
  <c r="O4840" i="127"/>
  <c r="P4840" i="127"/>
  <c r="O4841" i="127"/>
  <c r="P4841" i="127"/>
  <c r="O4842" i="127"/>
  <c r="P4842" i="127"/>
  <c r="O4843" i="127"/>
  <c r="P4843" i="127"/>
  <c r="O4844" i="127"/>
  <c r="P4844" i="127"/>
  <c r="O4845" i="127"/>
  <c r="P4845" i="127"/>
  <c r="O4846" i="127"/>
  <c r="P4846" i="127"/>
  <c r="O4847" i="127"/>
  <c r="P4847" i="127"/>
  <c r="O4848" i="127"/>
  <c r="P4848" i="127"/>
  <c r="O4849" i="127"/>
  <c r="P4849" i="127"/>
  <c r="O4850" i="127"/>
  <c r="P4850" i="127"/>
  <c r="O4851" i="127"/>
  <c r="P4851" i="127"/>
  <c r="O4852" i="127"/>
  <c r="P4852" i="127"/>
  <c r="O4853" i="127"/>
  <c r="P4853" i="127"/>
  <c r="O4854" i="127"/>
  <c r="P4854" i="127"/>
  <c r="O4855" i="127"/>
  <c r="P4855" i="127"/>
  <c r="O4856" i="127"/>
  <c r="P4856" i="127"/>
  <c r="O4857" i="127"/>
  <c r="P4857" i="127"/>
  <c r="O4858" i="127"/>
  <c r="P4858" i="127"/>
  <c r="O4859" i="127"/>
  <c r="P4859" i="127"/>
  <c r="O4860" i="127"/>
  <c r="P4860" i="127"/>
  <c r="O4861" i="127"/>
  <c r="P4861" i="127"/>
  <c r="O4862" i="127"/>
  <c r="P4862" i="127"/>
  <c r="O4863" i="127"/>
  <c r="P4863" i="127"/>
  <c r="O4864" i="127"/>
  <c r="P4864" i="127"/>
  <c r="O4865" i="127"/>
  <c r="P4865" i="127"/>
  <c r="O4866" i="127"/>
  <c r="P4866" i="127"/>
  <c r="O4867" i="127"/>
  <c r="P4867" i="127"/>
  <c r="O4868" i="127"/>
  <c r="P4868" i="127"/>
  <c r="O4869" i="127"/>
  <c r="P4869" i="127"/>
  <c r="O4870" i="127"/>
  <c r="P4870" i="127"/>
  <c r="O4871" i="127"/>
  <c r="P4871" i="127"/>
  <c r="O4872" i="127"/>
  <c r="P4872" i="127"/>
  <c r="O4873" i="127"/>
  <c r="P4873" i="127"/>
  <c r="O4874" i="127"/>
  <c r="P4874" i="127"/>
  <c r="O4875" i="127"/>
  <c r="P4875" i="127"/>
  <c r="O4876" i="127"/>
  <c r="P4876" i="127"/>
  <c r="O4877" i="127"/>
  <c r="P4877" i="127"/>
  <c r="O4878" i="127"/>
  <c r="P4878" i="127"/>
  <c r="O4879" i="127"/>
  <c r="P4879" i="127"/>
  <c r="O4880" i="127"/>
  <c r="P4880" i="127"/>
  <c r="O4881" i="127"/>
  <c r="P4881" i="127"/>
  <c r="O4882" i="127"/>
  <c r="P4882" i="127"/>
  <c r="O4883" i="127"/>
  <c r="P4883" i="127"/>
  <c r="O4884" i="127"/>
  <c r="P4884" i="127"/>
  <c r="O4885" i="127"/>
  <c r="P4885" i="127"/>
  <c r="O4886" i="127"/>
  <c r="P4886" i="127"/>
  <c r="O4887" i="127"/>
  <c r="P4887" i="127"/>
  <c r="O4888" i="127"/>
  <c r="P4888" i="127"/>
  <c r="O4889" i="127"/>
  <c r="P4889" i="127"/>
  <c r="O4890" i="127"/>
  <c r="P4890" i="127"/>
  <c r="O4891" i="127"/>
  <c r="P4891" i="127"/>
  <c r="O4892" i="127"/>
  <c r="P4892" i="127"/>
  <c r="O4893" i="127"/>
  <c r="P4893" i="127"/>
  <c r="O4894" i="127"/>
  <c r="P4894" i="127"/>
  <c r="O4895" i="127"/>
  <c r="P4895" i="127"/>
  <c r="O4896" i="127"/>
  <c r="P4896" i="127"/>
  <c r="O4897" i="127"/>
  <c r="P4897" i="127"/>
  <c r="O4898" i="127"/>
  <c r="P4898" i="127"/>
  <c r="O4899" i="127"/>
  <c r="P4899" i="127"/>
  <c r="O4900" i="127"/>
  <c r="P4900" i="127"/>
  <c r="O4901" i="127"/>
  <c r="P4901" i="127"/>
  <c r="O4902" i="127"/>
  <c r="P4902" i="127"/>
  <c r="O4903" i="127"/>
  <c r="P4903" i="127"/>
  <c r="O4904" i="127"/>
  <c r="P4904" i="127"/>
  <c r="O4905" i="127"/>
  <c r="P4905" i="127"/>
  <c r="O4906" i="127"/>
  <c r="P4906" i="127"/>
  <c r="O4907" i="127"/>
  <c r="P4907" i="127"/>
  <c r="O4908" i="127"/>
  <c r="P4908" i="127"/>
  <c r="O4909" i="127"/>
  <c r="P4909" i="127"/>
  <c r="O4910" i="127"/>
  <c r="P4910" i="127"/>
  <c r="O4911" i="127"/>
  <c r="P4911" i="127"/>
  <c r="O4912" i="127"/>
  <c r="P4912" i="127"/>
  <c r="O4913" i="127"/>
  <c r="P4913" i="127"/>
  <c r="O4914" i="127"/>
  <c r="P4914" i="127"/>
  <c r="O4915" i="127"/>
  <c r="P4915" i="127"/>
  <c r="O4916" i="127"/>
  <c r="P4916" i="127"/>
  <c r="O4917" i="127"/>
  <c r="P4917" i="127"/>
  <c r="O4918" i="127"/>
  <c r="P4918" i="127"/>
  <c r="O4919" i="127"/>
  <c r="P4919" i="127"/>
  <c r="O4920" i="127"/>
  <c r="P4920" i="127"/>
  <c r="O4921" i="127"/>
  <c r="P4921" i="127"/>
  <c r="O4922" i="127"/>
  <c r="P4922" i="127"/>
  <c r="O4923" i="127"/>
  <c r="P4923" i="127"/>
  <c r="O4924" i="127"/>
  <c r="P4924" i="127"/>
  <c r="O4925" i="127"/>
  <c r="P4925" i="127"/>
  <c r="O4926" i="127"/>
  <c r="P4926" i="127"/>
  <c r="O4927" i="127"/>
  <c r="P4927" i="127"/>
  <c r="O4928" i="127"/>
  <c r="P4928" i="127"/>
  <c r="O4929" i="127"/>
  <c r="P4929" i="127"/>
  <c r="O4930" i="127"/>
  <c r="P4930" i="127"/>
  <c r="O4931" i="127"/>
  <c r="P4931" i="127"/>
  <c r="O4932" i="127"/>
  <c r="P4932" i="127"/>
  <c r="O4933" i="127"/>
  <c r="P4933" i="127"/>
  <c r="O4934" i="127"/>
  <c r="P4934" i="127"/>
  <c r="O4935" i="127"/>
  <c r="P4935" i="127"/>
  <c r="O4936" i="127"/>
  <c r="P4936" i="127"/>
  <c r="O4937" i="127"/>
  <c r="P4937" i="127"/>
  <c r="O4938" i="127"/>
  <c r="P4938" i="127"/>
  <c r="O4939" i="127"/>
  <c r="P4939" i="127"/>
  <c r="O4940" i="127"/>
  <c r="P4940" i="127"/>
  <c r="O4941" i="127"/>
  <c r="P4941" i="127"/>
  <c r="O4942" i="127"/>
  <c r="P4942" i="127"/>
  <c r="O4943" i="127"/>
  <c r="P4943" i="127"/>
  <c r="O4944" i="127"/>
  <c r="P4944" i="127"/>
  <c r="O4945" i="127"/>
  <c r="P4945" i="127"/>
  <c r="O4946" i="127"/>
  <c r="P4946" i="127"/>
  <c r="O4947" i="127"/>
  <c r="P4947" i="127"/>
  <c r="O4948" i="127"/>
  <c r="P4948" i="127"/>
  <c r="O4949" i="127"/>
  <c r="P4949" i="127"/>
  <c r="O4950" i="127"/>
  <c r="P4950" i="127"/>
  <c r="O4951" i="127"/>
  <c r="P4951" i="127"/>
  <c r="O4952" i="127"/>
  <c r="P4952" i="127"/>
  <c r="O4953" i="127"/>
  <c r="P4953" i="127"/>
  <c r="O4954" i="127"/>
  <c r="P4954" i="127"/>
  <c r="O4955" i="127"/>
  <c r="P4955" i="127"/>
  <c r="O4956" i="127"/>
  <c r="P4956" i="127"/>
  <c r="O4957" i="127"/>
  <c r="P4957" i="127"/>
  <c r="O4958" i="127"/>
  <c r="P4958" i="127"/>
  <c r="O4959" i="127"/>
  <c r="P4959" i="127"/>
  <c r="O4960" i="127"/>
  <c r="P4960" i="127"/>
  <c r="O4961" i="127"/>
  <c r="P4961" i="127"/>
  <c r="O4962" i="127"/>
  <c r="P4962" i="127"/>
  <c r="O4963" i="127"/>
  <c r="P4963" i="127"/>
  <c r="O4964" i="127"/>
  <c r="P4964" i="127"/>
  <c r="O4965" i="127"/>
  <c r="P4965" i="127"/>
  <c r="O4966" i="127"/>
  <c r="P4966" i="127"/>
  <c r="O4967" i="127"/>
  <c r="P4967" i="127"/>
  <c r="O4968" i="127"/>
  <c r="P4968" i="127"/>
  <c r="O4969" i="127"/>
  <c r="P4969" i="127"/>
  <c r="O4970" i="127"/>
  <c r="P4970" i="127"/>
  <c r="O4971" i="127"/>
  <c r="P4971" i="127"/>
  <c r="O4972" i="127"/>
  <c r="P4972" i="127"/>
  <c r="O4973" i="127"/>
  <c r="P4973" i="127"/>
  <c r="O4974" i="127"/>
  <c r="P4974" i="127"/>
  <c r="O4975" i="127"/>
  <c r="P4975" i="127"/>
  <c r="O4976" i="127"/>
  <c r="P4976" i="127"/>
  <c r="O4977" i="127"/>
  <c r="P4977" i="127"/>
  <c r="O4978" i="127"/>
  <c r="P4978" i="127"/>
  <c r="O4979" i="127"/>
  <c r="P4979" i="127"/>
  <c r="O4980" i="127"/>
  <c r="P4980" i="127"/>
  <c r="O4981" i="127"/>
  <c r="P4981" i="127"/>
  <c r="O4982" i="127"/>
  <c r="P4982" i="127"/>
  <c r="O4983" i="127"/>
  <c r="P4983" i="127"/>
  <c r="O4984" i="127"/>
  <c r="P4984" i="127"/>
  <c r="O4985" i="127"/>
  <c r="P4985" i="127"/>
  <c r="O4986" i="127"/>
  <c r="P4986" i="127"/>
  <c r="O4987" i="127"/>
  <c r="P4987" i="127"/>
  <c r="O4988" i="127"/>
  <c r="P4988" i="127"/>
  <c r="O4989" i="127"/>
  <c r="P4989" i="127"/>
  <c r="O4990" i="127"/>
  <c r="P4990" i="127"/>
  <c r="O4991" i="127"/>
  <c r="P4991" i="127"/>
  <c r="O4992" i="127"/>
  <c r="P4992" i="127"/>
  <c r="O4993" i="127"/>
  <c r="P4993" i="127"/>
  <c r="O4994" i="127"/>
  <c r="P4994" i="127"/>
  <c r="O4995" i="127"/>
  <c r="P4995" i="127"/>
  <c r="O4996" i="127"/>
  <c r="P4996" i="127"/>
  <c r="O4997" i="127"/>
  <c r="P4997" i="127"/>
  <c r="O4998" i="127"/>
  <c r="P4998" i="127"/>
  <c r="O4999" i="127"/>
  <c r="P4999" i="127"/>
  <c r="O5000" i="127"/>
  <c r="P5000" i="127"/>
  <c r="O5001" i="127"/>
  <c r="P5001" i="127"/>
  <c r="O5002" i="127"/>
  <c r="P5002" i="127"/>
  <c r="O5003" i="127"/>
  <c r="P5003" i="127"/>
  <c r="O5004" i="127"/>
  <c r="P5004" i="127"/>
  <c r="O5005" i="127"/>
  <c r="P5005" i="127"/>
  <c r="O5006" i="127"/>
  <c r="P5006" i="127"/>
  <c r="O5007" i="127"/>
  <c r="P5007" i="127"/>
  <c r="O5008" i="127"/>
  <c r="P5008" i="127"/>
  <c r="O5009" i="127"/>
  <c r="P5009" i="127"/>
  <c r="O5010" i="127"/>
  <c r="P5010" i="127"/>
  <c r="O5011" i="127"/>
  <c r="P5011" i="127"/>
  <c r="O5012" i="127"/>
  <c r="P5012" i="127"/>
  <c r="O5013" i="127"/>
  <c r="P5013" i="127"/>
  <c r="O5014" i="127"/>
  <c r="P5014" i="127"/>
  <c r="O5015" i="127"/>
  <c r="P5015" i="127"/>
  <c r="O5016" i="127"/>
  <c r="P5016" i="127"/>
  <c r="O5017" i="127"/>
  <c r="P5017" i="127"/>
  <c r="O5018" i="127"/>
  <c r="P5018" i="127"/>
  <c r="O5019" i="127"/>
  <c r="P5019" i="127"/>
  <c r="O5020" i="127"/>
  <c r="P5020" i="127"/>
  <c r="O5021" i="127"/>
  <c r="P5021" i="127"/>
  <c r="O5022" i="127"/>
  <c r="P5022" i="127"/>
  <c r="O5023" i="127"/>
  <c r="P5023" i="127"/>
  <c r="O5024" i="127"/>
  <c r="P5024" i="127"/>
  <c r="O5025" i="127"/>
  <c r="P5025" i="127"/>
  <c r="O5026" i="127"/>
  <c r="P5026" i="127"/>
  <c r="O5027" i="127"/>
  <c r="P5027" i="127"/>
  <c r="O5028" i="127"/>
  <c r="P5028" i="127"/>
  <c r="O5029" i="127"/>
  <c r="P5029" i="127"/>
  <c r="O5030" i="127"/>
  <c r="P5030" i="127"/>
  <c r="O5031" i="127"/>
  <c r="P5031" i="127"/>
  <c r="O5032" i="127"/>
  <c r="P5032" i="127"/>
  <c r="O5033" i="127"/>
  <c r="P5033" i="127"/>
  <c r="O5034" i="127"/>
  <c r="P5034" i="127"/>
  <c r="O5035" i="127"/>
  <c r="P5035" i="127"/>
  <c r="O5036" i="127"/>
  <c r="P5036" i="127"/>
  <c r="O5037" i="127"/>
  <c r="P5037" i="127"/>
  <c r="O5038" i="127"/>
  <c r="P5038" i="127"/>
  <c r="O5039" i="127"/>
  <c r="P5039" i="127"/>
  <c r="O5040" i="127"/>
  <c r="P5040" i="127"/>
  <c r="O5041" i="127"/>
  <c r="P5041" i="127"/>
  <c r="O5042" i="127"/>
  <c r="P5042" i="127"/>
  <c r="O5043" i="127"/>
  <c r="P5043" i="127"/>
  <c r="O5044" i="127"/>
  <c r="P5044" i="127"/>
  <c r="O5045" i="127"/>
  <c r="P5045" i="127"/>
  <c r="O5046" i="127"/>
  <c r="P5046" i="127"/>
  <c r="O5047" i="127"/>
  <c r="P5047" i="127"/>
  <c r="O5048" i="127"/>
  <c r="P5048" i="127"/>
  <c r="O5049" i="127"/>
  <c r="P5049" i="127"/>
  <c r="O5050" i="127"/>
  <c r="P5050" i="127"/>
  <c r="O5051" i="127"/>
  <c r="P5051" i="127"/>
  <c r="O5052" i="127"/>
  <c r="P5052" i="127"/>
  <c r="O5053" i="127"/>
  <c r="P5053" i="127"/>
  <c r="O5054" i="127"/>
  <c r="P5054" i="127"/>
  <c r="O5055" i="127"/>
  <c r="P5055" i="127"/>
  <c r="O5056" i="127"/>
  <c r="P5056" i="127"/>
  <c r="O5057" i="127"/>
  <c r="P5057" i="127"/>
  <c r="O5058" i="127"/>
  <c r="P5058" i="127"/>
  <c r="O5059" i="127"/>
  <c r="P5059" i="127"/>
  <c r="O5060" i="127"/>
  <c r="P5060" i="127"/>
  <c r="O5061" i="127"/>
  <c r="P5061" i="127"/>
  <c r="O5062" i="127"/>
  <c r="P5062" i="127"/>
  <c r="O5063" i="127"/>
  <c r="P5063" i="127"/>
  <c r="O5064" i="127"/>
  <c r="P5064" i="127"/>
  <c r="O5065" i="127"/>
  <c r="P5065" i="127"/>
  <c r="O5066" i="127"/>
  <c r="P5066" i="127"/>
  <c r="O5067" i="127"/>
  <c r="P5067" i="127"/>
  <c r="O5068" i="127"/>
  <c r="P5068" i="127"/>
  <c r="O5069" i="127"/>
  <c r="P5069" i="127"/>
  <c r="O5070" i="127"/>
  <c r="P5070" i="127"/>
  <c r="O5071" i="127"/>
  <c r="P5071" i="127"/>
  <c r="O5072" i="127"/>
  <c r="P5072" i="127"/>
  <c r="O5073" i="127"/>
  <c r="P5073" i="127"/>
  <c r="O5074" i="127"/>
  <c r="P5074" i="127"/>
  <c r="O5075" i="127"/>
  <c r="P5075" i="127"/>
  <c r="O5076" i="127"/>
  <c r="P5076" i="127"/>
  <c r="O5077" i="127"/>
  <c r="P5077" i="127"/>
  <c r="O5078" i="127"/>
  <c r="P5078" i="127"/>
  <c r="O5079" i="127"/>
  <c r="P5079" i="127"/>
  <c r="O5080" i="127"/>
  <c r="P5080" i="127"/>
  <c r="O5081" i="127"/>
  <c r="P5081" i="127"/>
  <c r="O5082" i="127"/>
  <c r="P5082" i="127"/>
  <c r="O5083" i="127"/>
  <c r="P5083" i="127"/>
  <c r="O5084" i="127"/>
  <c r="P5084" i="127"/>
  <c r="O5085" i="127"/>
  <c r="P5085" i="127"/>
  <c r="O5086" i="127"/>
  <c r="P5086" i="127"/>
  <c r="O5087" i="127"/>
  <c r="P5087" i="127"/>
  <c r="O5088" i="127"/>
  <c r="P5088" i="127"/>
  <c r="O5089" i="127"/>
  <c r="P5089" i="127"/>
  <c r="O5090" i="127"/>
  <c r="P5090" i="127"/>
  <c r="O5091" i="127"/>
  <c r="P5091" i="127"/>
  <c r="O5092" i="127"/>
  <c r="P5092" i="127"/>
  <c r="O5093" i="127"/>
  <c r="P5093" i="127"/>
  <c r="O5094" i="127"/>
  <c r="P5094" i="127"/>
  <c r="O5095" i="127"/>
  <c r="P5095" i="127"/>
  <c r="O5096" i="127"/>
  <c r="P5096" i="127"/>
  <c r="O5097" i="127"/>
  <c r="P5097" i="127"/>
  <c r="O5098" i="127"/>
  <c r="P5098" i="127"/>
  <c r="O5099" i="127"/>
  <c r="P5099" i="127"/>
  <c r="O5100" i="127"/>
  <c r="P5100" i="127"/>
  <c r="O5101" i="127"/>
  <c r="P5101" i="127"/>
  <c r="O5102" i="127"/>
  <c r="P5102" i="127"/>
  <c r="O5103" i="127"/>
  <c r="P5103" i="127"/>
  <c r="O5104" i="127"/>
  <c r="P5104" i="127"/>
  <c r="O5105" i="127"/>
  <c r="P5105" i="127"/>
  <c r="O5106" i="127"/>
  <c r="P5106" i="127"/>
  <c r="O5107" i="127"/>
  <c r="P5107" i="127"/>
  <c r="O5108" i="127"/>
  <c r="P5108" i="127"/>
  <c r="O5109" i="127"/>
  <c r="P5109" i="127"/>
  <c r="O5110" i="127"/>
  <c r="P5110" i="127"/>
  <c r="O5111" i="127"/>
  <c r="P5111" i="127"/>
  <c r="O5112" i="127"/>
  <c r="P5112" i="127"/>
  <c r="O5113" i="127"/>
  <c r="P5113" i="127"/>
  <c r="O5114" i="127"/>
  <c r="P5114" i="127"/>
  <c r="O5115" i="127"/>
  <c r="P5115" i="127"/>
  <c r="O5116" i="127"/>
  <c r="P5116" i="127"/>
  <c r="O5117" i="127"/>
  <c r="P5117" i="127"/>
  <c r="O5118" i="127"/>
  <c r="P5118" i="127"/>
  <c r="O5119" i="127"/>
  <c r="P5119" i="127"/>
  <c r="O5120" i="127"/>
  <c r="P5120" i="127"/>
  <c r="O5121" i="127"/>
  <c r="P5121" i="127"/>
  <c r="O5122" i="127"/>
  <c r="P5122" i="127"/>
  <c r="O5123" i="127"/>
  <c r="P5123" i="127"/>
  <c r="O5124" i="127"/>
  <c r="P5124" i="127"/>
  <c r="O5125" i="127"/>
  <c r="P5125" i="127"/>
  <c r="O5126" i="127"/>
  <c r="P5126" i="127"/>
  <c r="O5127" i="127"/>
  <c r="P5127" i="127"/>
  <c r="O5128" i="127"/>
  <c r="P5128" i="127"/>
  <c r="O5129" i="127"/>
  <c r="P5129" i="127"/>
  <c r="O5130" i="127"/>
  <c r="P5130" i="127"/>
  <c r="O5131" i="127"/>
  <c r="P5131" i="127"/>
  <c r="O5132" i="127"/>
  <c r="P5132" i="127"/>
  <c r="O5133" i="127"/>
  <c r="P5133" i="127"/>
  <c r="O5134" i="127"/>
  <c r="P5134" i="127"/>
  <c r="O5135" i="127"/>
  <c r="P5135" i="127"/>
  <c r="O5136" i="127"/>
  <c r="P5136" i="127"/>
  <c r="O5137" i="127"/>
  <c r="P5137" i="127"/>
  <c r="O5138" i="127"/>
  <c r="P5138" i="127"/>
  <c r="O5139" i="127"/>
  <c r="P5139" i="127"/>
  <c r="O5140" i="127"/>
  <c r="P5140" i="127"/>
  <c r="O5141" i="127"/>
  <c r="P5141" i="127"/>
  <c r="O5142" i="127"/>
  <c r="P5142" i="127"/>
  <c r="O5143" i="127"/>
  <c r="P5143" i="127"/>
  <c r="O5144" i="127"/>
  <c r="P5144" i="127"/>
  <c r="O5145" i="127"/>
  <c r="P5145" i="127"/>
  <c r="O5146" i="127"/>
  <c r="P5146" i="127"/>
  <c r="O5147" i="127"/>
  <c r="P5147" i="127"/>
  <c r="O5148" i="127"/>
  <c r="P5148" i="127"/>
  <c r="O5149" i="127"/>
  <c r="P5149" i="127"/>
  <c r="O5150" i="127"/>
  <c r="P5150" i="127"/>
  <c r="O5151" i="127"/>
  <c r="P5151" i="127"/>
  <c r="O5152" i="127"/>
  <c r="P5152" i="127"/>
  <c r="O5153" i="127"/>
  <c r="P5153" i="127"/>
  <c r="O5154" i="127"/>
  <c r="P5154" i="127"/>
  <c r="O5155" i="127"/>
  <c r="P5155" i="127"/>
  <c r="O5156" i="127"/>
  <c r="P5156" i="127"/>
  <c r="O5157" i="127"/>
  <c r="P5157" i="127"/>
  <c r="O5158" i="127"/>
  <c r="P5158" i="127"/>
  <c r="O5159" i="127"/>
  <c r="P5159" i="127"/>
  <c r="O5160" i="127"/>
  <c r="P5160" i="127"/>
  <c r="O5161" i="127"/>
  <c r="P5161" i="127"/>
  <c r="O5162" i="127"/>
  <c r="P5162" i="127"/>
  <c r="O5163" i="127"/>
  <c r="P5163" i="127"/>
  <c r="O5164" i="127"/>
  <c r="P5164" i="127"/>
  <c r="O5165" i="127"/>
  <c r="P5165" i="127"/>
  <c r="O5166" i="127"/>
  <c r="P5166" i="127"/>
  <c r="O5167" i="127"/>
  <c r="P5167" i="127"/>
  <c r="O5168" i="127"/>
  <c r="P5168" i="127"/>
  <c r="O5169" i="127"/>
  <c r="P5169" i="127"/>
  <c r="O5170" i="127"/>
  <c r="P5170" i="127"/>
  <c r="O5171" i="127"/>
  <c r="P5171" i="127"/>
  <c r="O5172" i="127"/>
  <c r="P5172" i="127"/>
  <c r="O5173" i="127"/>
  <c r="P5173" i="127"/>
  <c r="O5174" i="127"/>
  <c r="P5174" i="127"/>
  <c r="O5175" i="127"/>
  <c r="P5175" i="127"/>
  <c r="O5176" i="127"/>
  <c r="P5176" i="127"/>
  <c r="O5177" i="127"/>
  <c r="P5177" i="127"/>
  <c r="O5178" i="127"/>
  <c r="P5178" i="127"/>
  <c r="O5179" i="127"/>
  <c r="P5179" i="127"/>
  <c r="O5180" i="127"/>
  <c r="P5180" i="127"/>
  <c r="O5181" i="127"/>
  <c r="P5181" i="127"/>
  <c r="O5182" i="127"/>
  <c r="P5182" i="127"/>
  <c r="O5183" i="127"/>
  <c r="P5183" i="127"/>
  <c r="O5184" i="127"/>
  <c r="P5184" i="127"/>
  <c r="O5185" i="127"/>
  <c r="P5185" i="127"/>
  <c r="O5186" i="127"/>
  <c r="P5186" i="127"/>
  <c r="O5187" i="127"/>
  <c r="P5187" i="127"/>
  <c r="O5188" i="127"/>
  <c r="P5188" i="127"/>
  <c r="O5189" i="127"/>
  <c r="P5189" i="127"/>
  <c r="O5190" i="127"/>
  <c r="P5190" i="127"/>
  <c r="O5191" i="127"/>
  <c r="P5191" i="127"/>
  <c r="O5192" i="127"/>
  <c r="P5192" i="127"/>
  <c r="O5193" i="127"/>
  <c r="P5193" i="127"/>
  <c r="O5194" i="127"/>
  <c r="P5194" i="127"/>
  <c r="O5195" i="127"/>
  <c r="P5195" i="127"/>
  <c r="O5196" i="127"/>
  <c r="P5196" i="127"/>
  <c r="O5197" i="127"/>
  <c r="P5197" i="127"/>
  <c r="O5198" i="127"/>
  <c r="P5198" i="127"/>
  <c r="O5199" i="127"/>
  <c r="P5199" i="127"/>
  <c r="O5200" i="127"/>
  <c r="P5200" i="127"/>
  <c r="O5201" i="127"/>
  <c r="P5201" i="127"/>
  <c r="O5202" i="127"/>
  <c r="P5202" i="127"/>
  <c r="O5203" i="127"/>
  <c r="P5203" i="127"/>
  <c r="O5204" i="127"/>
  <c r="P5204" i="127"/>
  <c r="O5205" i="127"/>
  <c r="P5205" i="127"/>
  <c r="O5206" i="127"/>
  <c r="P5206" i="127"/>
  <c r="O5207" i="127"/>
  <c r="P5207" i="127"/>
  <c r="O5208" i="127"/>
  <c r="P5208" i="127"/>
  <c r="O5209" i="127"/>
  <c r="P5209" i="127"/>
  <c r="O5210" i="127"/>
  <c r="P5210" i="127"/>
  <c r="O5211" i="127"/>
  <c r="P5211" i="127"/>
  <c r="O5212" i="127"/>
  <c r="P5212" i="127"/>
  <c r="O5213" i="127"/>
  <c r="P5213" i="127"/>
  <c r="O5214" i="127"/>
  <c r="P5214" i="127"/>
  <c r="O5215" i="127"/>
  <c r="P5215" i="127"/>
  <c r="O5216" i="127"/>
  <c r="P5216" i="127"/>
  <c r="O5217" i="127"/>
  <c r="P5217" i="127"/>
  <c r="O5218" i="127"/>
  <c r="P5218" i="127"/>
  <c r="O5219" i="127"/>
  <c r="P5219" i="127"/>
  <c r="O5220" i="127"/>
  <c r="P5220" i="127"/>
  <c r="O5221" i="127"/>
  <c r="P5221" i="127"/>
  <c r="O5222" i="127"/>
  <c r="P5222" i="127"/>
  <c r="O5223" i="127"/>
  <c r="P5223" i="127"/>
  <c r="O5224" i="127"/>
  <c r="P5224" i="127"/>
  <c r="O5225" i="127"/>
  <c r="P5225" i="127"/>
  <c r="O5226" i="127"/>
  <c r="P5226" i="127"/>
  <c r="O5227" i="127"/>
  <c r="P5227" i="127"/>
  <c r="O5228" i="127"/>
  <c r="P5228" i="127"/>
  <c r="O5229" i="127"/>
  <c r="P5229" i="127"/>
  <c r="O5230" i="127"/>
  <c r="P5230" i="127"/>
  <c r="O5231" i="127"/>
  <c r="P5231" i="127"/>
  <c r="O5232" i="127"/>
  <c r="P5232" i="127"/>
  <c r="O5233" i="127"/>
  <c r="P5233" i="127"/>
  <c r="O5234" i="127"/>
  <c r="P5234" i="127"/>
  <c r="O5235" i="127"/>
  <c r="P5235" i="127"/>
  <c r="O5236" i="127"/>
  <c r="P5236" i="127"/>
  <c r="O5237" i="127"/>
  <c r="P5237" i="127"/>
  <c r="O5238" i="127"/>
  <c r="P5238" i="127"/>
  <c r="O5239" i="127"/>
  <c r="P5239" i="127"/>
  <c r="O5240" i="127"/>
  <c r="P5240" i="127"/>
  <c r="O5241" i="127"/>
  <c r="P5241" i="127"/>
  <c r="O5242" i="127"/>
  <c r="P5242" i="127"/>
  <c r="O5243" i="127"/>
  <c r="P5243" i="127"/>
  <c r="O5244" i="127"/>
  <c r="P5244" i="127"/>
  <c r="O5245" i="127"/>
  <c r="P5245" i="127"/>
  <c r="O5246" i="127"/>
  <c r="P5246" i="127"/>
  <c r="O5247" i="127"/>
  <c r="P5247" i="127"/>
  <c r="O5248" i="127"/>
  <c r="P5248" i="127"/>
  <c r="O5249" i="127"/>
  <c r="P5249" i="127"/>
  <c r="O5250" i="127"/>
  <c r="P5250" i="127"/>
  <c r="O5251" i="127"/>
  <c r="P5251" i="127"/>
  <c r="O5252" i="127"/>
  <c r="P5252" i="127"/>
  <c r="O5253" i="127"/>
  <c r="P5253" i="127"/>
  <c r="O5254" i="127"/>
  <c r="P5254" i="127"/>
  <c r="O5255" i="127"/>
  <c r="P5255" i="127"/>
  <c r="O5256" i="127"/>
  <c r="P5256" i="127"/>
  <c r="O5257" i="127"/>
  <c r="P5257" i="127"/>
  <c r="O5258" i="127"/>
  <c r="P5258" i="127"/>
  <c r="O5259" i="127"/>
  <c r="P5259" i="127"/>
  <c r="O5260" i="127"/>
  <c r="P5260" i="127"/>
  <c r="O5261" i="127"/>
  <c r="P5261" i="127"/>
  <c r="O5262" i="127"/>
  <c r="P5262" i="127"/>
  <c r="O5263" i="127"/>
  <c r="P5263" i="127"/>
  <c r="O5264" i="127"/>
  <c r="P5264" i="127"/>
  <c r="O5265" i="127"/>
  <c r="P5265" i="127"/>
  <c r="O5266" i="127"/>
  <c r="P5266" i="127"/>
  <c r="O5267" i="127"/>
  <c r="P5267" i="127"/>
  <c r="O5268" i="127"/>
  <c r="P5268" i="127"/>
  <c r="O5269" i="127"/>
  <c r="P5269" i="127"/>
  <c r="O5270" i="127"/>
  <c r="P5270" i="127"/>
  <c r="O5271" i="127"/>
  <c r="P5271" i="127"/>
  <c r="O5272" i="127"/>
  <c r="P5272" i="127"/>
  <c r="O5273" i="127"/>
  <c r="P5273" i="127"/>
  <c r="O5274" i="127"/>
  <c r="P5274" i="127"/>
  <c r="O5275" i="127"/>
  <c r="P5275" i="127"/>
  <c r="O5276" i="127"/>
  <c r="P5276" i="127"/>
  <c r="O5277" i="127"/>
  <c r="P5277" i="127"/>
  <c r="O5278" i="127"/>
  <c r="P5278" i="127"/>
  <c r="O5279" i="127"/>
  <c r="P5279" i="127"/>
  <c r="O5280" i="127"/>
  <c r="P5280" i="127"/>
  <c r="O5281" i="127"/>
  <c r="P5281" i="127"/>
  <c r="O5282" i="127"/>
  <c r="P5282" i="127"/>
  <c r="O5283" i="127"/>
  <c r="P5283" i="127"/>
  <c r="O5284" i="127"/>
  <c r="P5284" i="127"/>
  <c r="O5285" i="127"/>
  <c r="P5285" i="127"/>
  <c r="O5286" i="127"/>
  <c r="P5286" i="127"/>
  <c r="O5287" i="127"/>
  <c r="P5287" i="127"/>
  <c r="O5288" i="127"/>
  <c r="P5288" i="127"/>
  <c r="O5289" i="127"/>
  <c r="P5289" i="127"/>
  <c r="O5290" i="127"/>
  <c r="P5290" i="127"/>
  <c r="O5291" i="127"/>
  <c r="P5291" i="127"/>
  <c r="O5292" i="127"/>
  <c r="P5292" i="127"/>
  <c r="O5293" i="127"/>
  <c r="P5293" i="127"/>
  <c r="O5294" i="127"/>
  <c r="P5294" i="127"/>
  <c r="O5295" i="127"/>
  <c r="P5295" i="127"/>
  <c r="O5296" i="127"/>
  <c r="P5296" i="127"/>
  <c r="O5297" i="127"/>
  <c r="P5297" i="127"/>
  <c r="O5298" i="127"/>
  <c r="P5298" i="127"/>
  <c r="O5299" i="127"/>
  <c r="P5299" i="127"/>
  <c r="O5300" i="127"/>
  <c r="P5300" i="127"/>
  <c r="O5301" i="127"/>
  <c r="P5301" i="127"/>
  <c r="O5302" i="127"/>
  <c r="P5302" i="127"/>
  <c r="O5303" i="127"/>
  <c r="P5303" i="127"/>
  <c r="O5304" i="127"/>
  <c r="P5304" i="127"/>
  <c r="O5305" i="127"/>
  <c r="P5305" i="127"/>
  <c r="O5306" i="127"/>
  <c r="P5306" i="127"/>
  <c r="O5307" i="127"/>
  <c r="P5307" i="127"/>
  <c r="O5308" i="127"/>
  <c r="P5308" i="127"/>
  <c r="O5309" i="127"/>
  <c r="P5309" i="127"/>
  <c r="O5310" i="127"/>
  <c r="P5310" i="127"/>
  <c r="O5311" i="127"/>
  <c r="P5311" i="127"/>
  <c r="O5312" i="127"/>
  <c r="P5312" i="127"/>
  <c r="O5313" i="127"/>
  <c r="P5313" i="127"/>
  <c r="O5314" i="127"/>
  <c r="P5314" i="127"/>
  <c r="O5315" i="127"/>
  <c r="P5315" i="127"/>
  <c r="O5316" i="127"/>
  <c r="P5316" i="127"/>
  <c r="O5317" i="127"/>
  <c r="P5317" i="127"/>
  <c r="O5318" i="127"/>
  <c r="P5318" i="127"/>
  <c r="O5319" i="127"/>
  <c r="P5319" i="127"/>
  <c r="O5320" i="127"/>
  <c r="P5320" i="127"/>
  <c r="O5321" i="127"/>
  <c r="P5321" i="127"/>
  <c r="O5322" i="127"/>
  <c r="P5322" i="127"/>
  <c r="O5323" i="127"/>
  <c r="P5323" i="127"/>
  <c r="O5324" i="127"/>
  <c r="P5324" i="127"/>
  <c r="O5325" i="127"/>
  <c r="P5325" i="127"/>
  <c r="O5326" i="127"/>
  <c r="P5326" i="127"/>
  <c r="O5327" i="127"/>
  <c r="P5327" i="127"/>
  <c r="O5328" i="127"/>
  <c r="P5328" i="127"/>
  <c r="O5329" i="127"/>
  <c r="P5329" i="127"/>
  <c r="O5330" i="127"/>
  <c r="P5330" i="127"/>
  <c r="O5331" i="127"/>
  <c r="P5331" i="127"/>
  <c r="O5332" i="127"/>
  <c r="P5332" i="127"/>
  <c r="O5333" i="127"/>
  <c r="P5333" i="127"/>
  <c r="O5334" i="127"/>
  <c r="P5334" i="127"/>
  <c r="O5335" i="127"/>
  <c r="P5335" i="127"/>
  <c r="O5336" i="127"/>
  <c r="P5336" i="127"/>
  <c r="O5337" i="127"/>
  <c r="P5337" i="127"/>
  <c r="O5338" i="127"/>
  <c r="P5338" i="127"/>
  <c r="O5339" i="127"/>
  <c r="P5339" i="127"/>
  <c r="O5340" i="127"/>
  <c r="P5340" i="127"/>
  <c r="O5341" i="127"/>
  <c r="P5341" i="127"/>
  <c r="O5342" i="127"/>
  <c r="P5342" i="127"/>
  <c r="O5343" i="127"/>
  <c r="P5343" i="127"/>
  <c r="O5344" i="127"/>
  <c r="P5344" i="127"/>
  <c r="O5345" i="127"/>
  <c r="P5345" i="127"/>
  <c r="O5346" i="127"/>
  <c r="P5346" i="127"/>
  <c r="O5347" i="127"/>
  <c r="P5347" i="127"/>
  <c r="O5348" i="127"/>
  <c r="P5348" i="127"/>
  <c r="O5349" i="127"/>
  <c r="P5349" i="127"/>
  <c r="O5350" i="127"/>
  <c r="P5350" i="127"/>
  <c r="O5351" i="127"/>
  <c r="P5351" i="127"/>
  <c r="O5352" i="127"/>
  <c r="P5352" i="127"/>
  <c r="O5353" i="127"/>
  <c r="P5353" i="127"/>
  <c r="O5354" i="127"/>
  <c r="P5354" i="127"/>
  <c r="O5355" i="127"/>
  <c r="P5355" i="127"/>
  <c r="O5356" i="127"/>
  <c r="P5356" i="127"/>
  <c r="O5357" i="127"/>
  <c r="P5357" i="127"/>
  <c r="O5358" i="127"/>
  <c r="P5358" i="127"/>
  <c r="O5359" i="127"/>
  <c r="P5359" i="127"/>
  <c r="O5360" i="127"/>
  <c r="P5360" i="127"/>
  <c r="O5361" i="127"/>
  <c r="P5361" i="127"/>
  <c r="O5362" i="127"/>
  <c r="P5362" i="127"/>
  <c r="O5363" i="127"/>
  <c r="P5363" i="127"/>
  <c r="O5364" i="127"/>
  <c r="P5364" i="127"/>
  <c r="O5365" i="127"/>
  <c r="P5365" i="127"/>
  <c r="O5366" i="127"/>
  <c r="P5366" i="127"/>
  <c r="O5367" i="127"/>
  <c r="P5367" i="127"/>
  <c r="O5368" i="127"/>
  <c r="P5368" i="127"/>
  <c r="O5369" i="127"/>
  <c r="P5369" i="127"/>
  <c r="O5370" i="127"/>
  <c r="P5370" i="127"/>
  <c r="O5371" i="127"/>
  <c r="P5371" i="127"/>
  <c r="O5372" i="127"/>
  <c r="P5372" i="127"/>
  <c r="O5373" i="127"/>
  <c r="P5373" i="127"/>
  <c r="O5374" i="127"/>
  <c r="P5374" i="127"/>
  <c r="O5375" i="127"/>
  <c r="P5375" i="127"/>
  <c r="O5376" i="127"/>
  <c r="P5376" i="127"/>
  <c r="O5377" i="127"/>
  <c r="P5377" i="127"/>
  <c r="O5378" i="127"/>
  <c r="P5378" i="127"/>
  <c r="O5379" i="127"/>
  <c r="P5379" i="127"/>
  <c r="O5380" i="127"/>
  <c r="P5380" i="127"/>
  <c r="O5381" i="127"/>
  <c r="P5381" i="127"/>
  <c r="O5382" i="127"/>
  <c r="P5382" i="127"/>
  <c r="O5383" i="127"/>
  <c r="P5383" i="127"/>
  <c r="O5384" i="127"/>
  <c r="P5384" i="127"/>
  <c r="O5385" i="127"/>
  <c r="P5385" i="127"/>
  <c r="O5386" i="127"/>
  <c r="P5386" i="127"/>
  <c r="O5387" i="127"/>
  <c r="P5387" i="127"/>
  <c r="O5388" i="127"/>
  <c r="P5388" i="127"/>
  <c r="O5389" i="127"/>
  <c r="P5389" i="127"/>
  <c r="O5390" i="127"/>
  <c r="P5390" i="127"/>
  <c r="O5391" i="127"/>
  <c r="P5391" i="127"/>
  <c r="O5392" i="127"/>
  <c r="P5392" i="127"/>
  <c r="O5393" i="127"/>
  <c r="P5393" i="127"/>
  <c r="O5394" i="127"/>
  <c r="P5394" i="127"/>
  <c r="O5395" i="127"/>
  <c r="P5395" i="127"/>
  <c r="O5396" i="127"/>
  <c r="P5396" i="127"/>
  <c r="O5397" i="127"/>
  <c r="P5397" i="127"/>
  <c r="O5398" i="127"/>
  <c r="P5398" i="127"/>
  <c r="O5399" i="127"/>
  <c r="P5399" i="127"/>
  <c r="O5400" i="127"/>
  <c r="P5400" i="127"/>
  <c r="O5401" i="127"/>
  <c r="P5401" i="127"/>
  <c r="O5402" i="127"/>
  <c r="P5402" i="127"/>
  <c r="O5403" i="127"/>
  <c r="P5403" i="127"/>
  <c r="O5404" i="127"/>
  <c r="P5404" i="127"/>
  <c r="O5405" i="127"/>
  <c r="P5405" i="127"/>
  <c r="O5406" i="127"/>
  <c r="P5406" i="127"/>
  <c r="O5407" i="127"/>
  <c r="P5407" i="127"/>
  <c r="O5408" i="127"/>
  <c r="P5408" i="127"/>
  <c r="O5409" i="127"/>
  <c r="P5409" i="127"/>
  <c r="O5410" i="127"/>
  <c r="P5410" i="127"/>
  <c r="O5411" i="127"/>
  <c r="P5411" i="127"/>
  <c r="O5412" i="127"/>
  <c r="P5412" i="127"/>
  <c r="O5413" i="127"/>
  <c r="P5413" i="127"/>
  <c r="O5414" i="127"/>
  <c r="P5414" i="127"/>
  <c r="O5415" i="127"/>
  <c r="P5415" i="127"/>
  <c r="O5416" i="127"/>
  <c r="P5416" i="127"/>
  <c r="O5417" i="127"/>
  <c r="P5417" i="127"/>
  <c r="O5418" i="127"/>
  <c r="P5418" i="127"/>
  <c r="O5419" i="127"/>
  <c r="P5419" i="127"/>
  <c r="O5420" i="127"/>
  <c r="P5420" i="127"/>
  <c r="O5421" i="127"/>
  <c r="P5421" i="127"/>
  <c r="O5422" i="127"/>
  <c r="P5422" i="127"/>
  <c r="O5423" i="127"/>
  <c r="P5423" i="127"/>
  <c r="O5424" i="127"/>
  <c r="P5424" i="127"/>
  <c r="O5425" i="127"/>
  <c r="P5425" i="127"/>
  <c r="O5426" i="127"/>
  <c r="P5426" i="127"/>
  <c r="O5427" i="127"/>
  <c r="P5427" i="127"/>
  <c r="O5428" i="127"/>
  <c r="P5428" i="127"/>
  <c r="O5429" i="127"/>
  <c r="P5429" i="127"/>
  <c r="O5430" i="127"/>
  <c r="P5430" i="127"/>
  <c r="O5431" i="127"/>
  <c r="P5431" i="127"/>
  <c r="O5432" i="127"/>
  <c r="P5432" i="127"/>
  <c r="O5433" i="127"/>
  <c r="P5433" i="127"/>
  <c r="O5434" i="127"/>
  <c r="P5434" i="127"/>
  <c r="O5435" i="127"/>
  <c r="P5435" i="127"/>
  <c r="O5436" i="127"/>
  <c r="P5436" i="127"/>
  <c r="O5437" i="127"/>
  <c r="P5437" i="127"/>
  <c r="O5438" i="127"/>
  <c r="P5438" i="127"/>
  <c r="O5439" i="127"/>
  <c r="P5439" i="127"/>
  <c r="O5440" i="127"/>
  <c r="P5440" i="127"/>
  <c r="O5441" i="127"/>
  <c r="P5441" i="127"/>
  <c r="O5442" i="127"/>
  <c r="P5442" i="127"/>
  <c r="O5443" i="127"/>
  <c r="P5443" i="127"/>
  <c r="O5444" i="127"/>
  <c r="P5444" i="127"/>
  <c r="O5445" i="127"/>
  <c r="P5445" i="127"/>
  <c r="O5446" i="127"/>
  <c r="P5446" i="127"/>
  <c r="O5447" i="127"/>
  <c r="P5447" i="127"/>
  <c r="O5448" i="127"/>
  <c r="P5448" i="127"/>
  <c r="O5449" i="127"/>
  <c r="P5449" i="127"/>
  <c r="O5450" i="127"/>
  <c r="P5450" i="127"/>
  <c r="O5451" i="127"/>
  <c r="P5451" i="127"/>
  <c r="O5452" i="127"/>
  <c r="P5452" i="127"/>
  <c r="O5453" i="127"/>
  <c r="P5453" i="127"/>
  <c r="O5454" i="127"/>
  <c r="P5454" i="127"/>
  <c r="O5455" i="127"/>
  <c r="P5455" i="127"/>
  <c r="O5456" i="127"/>
  <c r="P5456" i="127"/>
  <c r="O5457" i="127"/>
  <c r="P5457" i="127"/>
  <c r="O5458" i="127"/>
  <c r="P5458" i="127"/>
  <c r="O5459" i="127"/>
  <c r="P5459" i="127"/>
  <c r="O5460" i="127"/>
  <c r="P5460" i="127"/>
  <c r="O5461" i="127"/>
  <c r="P5461" i="127"/>
  <c r="O5462" i="127"/>
  <c r="P5462" i="127"/>
  <c r="O5463" i="127"/>
  <c r="P5463" i="127"/>
  <c r="O5464" i="127"/>
  <c r="P5464" i="127"/>
  <c r="O5465" i="127"/>
  <c r="P5465" i="127"/>
  <c r="O5466" i="127"/>
  <c r="P5466" i="127"/>
  <c r="O5467" i="127"/>
  <c r="P5467" i="127"/>
  <c r="O5468" i="127"/>
  <c r="P5468" i="127"/>
  <c r="O5469" i="127"/>
  <c r="P5469" i="127"/>
  <c r="O5470" i="127"/>
  <c r="P5470" i="127"/>
  <c r="O5471" i="127"/>
  <c r="P5471" i="127"/>
  <c r="O5472" i="127"/>
  <c r="P5472" i="127"/>
  <c r="O5473" i="127"/>
  <c r="P5473" i="127"/>
  <c r="O5474" i="127"/>
  <c r="P5474" i="127"/>
  <c r="O5475" i="127"/>
  <c r="P5475" i="127"/>
  <c r="O5476" i="127"/>
  <c r="P5476" i="127"/>
  <c r="O5477" i="127"/>
  <c r="P5477" i="127"/>
  <c r="O5478" i="127"/>
  <c r="P5478" i="127"/>
  <c r="O5479" i="127"/>
  <c r="P5479" i="127"/>
  <c r="O5480" i="127"/>
  <c r="P5480" i="127"/>
  <c r="O5481" i="127"/>
  <c r="P5481" i="127"/>
  <c r="O5482" i="127"/>
  <c r="P5482" i="127"/>
  <c r="O5483" i="127"/>
  <c r="P5483" i="127"/>
  <c r="O5484" i="127"/>
  <c r="P5484" i="127"/>
  <c r="O5485" i="127"/>
  <c r="P5485" i="127"/>
  <c r="O5486" i="127"/>
  <c r="P5486" i="127"/>
  <c r="O5487" i="127"/>
  <c r="P5487" i="127"/>
  <c r="O5488" i="127"/>
  <c r="P5488" i="127"/>
  <c r="O5489" i="127"/>
  <c r="P5489" i="127"/>
  <c r="O5490" i="127"/>
  <c r="P5490" i="127"/>
  <c r="O5491" i="127"/>
  <c r="P5491" i="127"/>
  <c r="O5492" i="127"/>
  <c r="P5492" i="127"/>
  <c r="O5493" i="127"/>
  <c r="P5493" i="127"/>
  <c r="O5494" i="127"/>
  <c r="P5494" i="127"/>
  <c r="O5495" i="127"/>
  <c r="P5495" i="127"/>
  <c r="O5496" i="127"/>
  <c r="P5496" i="127"/>
  <c r="O5497" i="127"/>
  <c r="P5497" i="127"/>
  <c r="O5498" i="127"/>
  <c r="P5498" i="127"/>
  <c r="O5499" i="127"/>
  <c r="P5499" i="127"/>
  <c r="O5500" i="127"/>
  <c r="P5500" i="127"/>
  <c r="O5501" i="127"/>
  <c r="P5501" i="127"/>
  <c r="O5502" i="127"/>
  <c r="P5502" i="127"/>
  <c r="O5503" i="127"/>
  <c r="P5503" i="127"/>
  <c r="O5504" i="127"/>
  <c r="P5504" i="127"/>
  <c r="O5505" i="127"/>
  <c r="P5505" i="127"/>
  <c r="O5506" i="127"/>
  <c r="P5506" i="127"/>
  <c r="O5507" i="127"/>
  <c r="P5507" i="127"/>
  <c r="O5508" i="127"/>
  <c r="P5508" i="127"/>
  <c r="O5509" i="127"/>
  <c r="P5509" i="127"/>
  <c r="O5510" i="127"/>
  <c r="P5510" i="127"/>
  <c r="O5511" i="127"/>
  <c r="P5511" i="127"/>
  <c r="O5512" i="127"/>
  <c r="P5512" i="127"/>
  <c r="O5513" i="127"/>
  <c r="P5513" i="127"/>
  <c r="O5514" i="127"/>
  <c r="P5514" i="127"/>
  <c r="O5515" i="127"/>
  <c r="P5515" i="127"/>
  <c r="O5516" i="127"/>
  <c r="P5516" i="127"/>
  <c r="O5517" i="127"/>
  <c r="P5517" i="127"/>
  <c r="O5518" i="127"/>
  <c r="P5518" i="127"/>
  <c r="O5519" i="127"/>
  <c r="P5519" i="127"/>
  <c r="O5520" i="127"/>
  <c r="P5520" i="127"/>
  <c r="O5521" i="127"/>
  <c r="P5521" i="127"/>
  <c r="O5522" i="127"/>
  <c r="P5522" i="127"/>
  <c r="O5523" i="127"/>
  <c r="P5523" i="127"/>
  <c r="O5524" i="127"/>
  <c r="P5524" i="127"/>
  <c r="O5525" i="127"/>
  <c r="P5525" i="127"/>
  <c r="O5526" i="127"/>
  <c r="P5526" i="127"/>
  <c r="O5527" i="127"/>
  <c r="P5527" i="127"/>
  <c r="O5528" i="127"/>
  <c r="P5528" i="127"/>
  <c r="O5529" i="127"/>
  <c r="P5529" i="127"/>
  <c r="O5530" i="127"/>
  <c r="P5530" i="127"/>
  <c r="O5531" i="127"/>
  <c r="P5531" i="127"/>
  <c r="O5532" i="127"/>
  <c r="P5532" i="127"/>
  <c r="O5533" i="127"/>
  <c r="P5533" i="127"/>
  <c r="O5534" i="127"/>
  <c r="P5534" i="127"/>
  <c r="O5535" i="127"/>
  <c r="P5535" i="127"/>
  <c r="O5536" i="127"/>
  <c r="P5536" i="127"/>
  <c r="O5537" i="127"/>
  <c r="P5537" i="127"/>
  <c r="O5538" i="127"/>
  <c r="P5538" i="127"/>
  <c r="O5539" i="127"/>
  <c r="P5539" i="127"/>
  <c r="O5540" i="127"/>
  <c r="P5540" i="127"/>
  <c r="O5541" i="127"/>
  <c r="P5541" i="127"/>
  <c r="O5542" i="127"/>
  <c r="P5542" i="127"/>
  <c r="O5543" i="127"/>
  <c r="P5543" i="127"/>
  <c r="O5544" i="127"/>
  <c r="P5544" i="127"/>
  <c r="O5545" i="127"/>
  <c r="P5545" i="127"/>
  <c r="O5546" i="127"/>
  <c r="P5546" i="127"/>
  <c r="O5547" i="127"/>
  <c r="P5547" i="127"/>
  <c r="O5548" i="127"/>
  <c r="P5548" i="127"/>
  <c r="O5549" i="127"/>
  <c r="P5549" i="127"/>
  <c r="O5550" i="127"/>
  <c r="P5550" i="127"/>
  <c r="O5551" i="127"/>
  <c r="P5551" i="127"/>
  <c r="O5552" i="127"/>
  <c r="P5552" i="127"/>
  <c r="O5553" i="127"/>
  <c r="P5553" i="127"/>
  <c r="O5554" i="127"/>
  <c r="P5554" i="127"/>
  <c r="O5555" i="127"/>
  <c r="P5555" i="127"/>
  <c r="O5556" i="127"/>
  <c r="P5556" i="127"/>
  <c r="O5557" i="127"/>
  <c r="P5557" i="127"/>
  <c r="O5558" i="127"/>
  <c r="P5558" i="127"/>
  <c r="O5559" i="127"/>
  <c r="P5559" i="127"/>
  <c r="O5560" i="127"/>
  <c r="P5560" i="127"/>
  <c r="O5561" i="127"/>
  <c r="P5561" i="127"/>
  <c r="O5562" i="127"/>
  <c r="P5562" i="127"/>
  <c r="O5563" i="127"/>
  <c r="P5563" i="127"/>
  <c r="O5564" i="127"/>
  <c r="P5564" i="127"/>
  <c r="O5565" i="127"/>
  <c r="P5565" i="127"/>
  <c r="O5566" i="127"/>
  <c r="P5566" i="127"/>
  <c r="O5567" i="127"/>
  <c r="P5567" i="127"/>
  <c r="O5568" i="127"/>
  <c r="P5568" i="127"/>
  <c r="O5569" i="127"/>
  <c r="P5569" i="127"/>
  <c r="O5570" i="127"/>
  <c r="P5570" i="127"/>
  <c r="O5571" i="127"/>
  <c r="P5571" i="127"/>
  <c r="O5572" i="127"/>
  <c r="P5572" i="127"/>
  <c r="O5573" i="127"/>
  <c r="P5573" i="127"/>
  <c r="O5574" i="127"/>
  <c r="P5574" i="127"/>
  <c r="O5575" i="127"/>
  <c r="P5575" i="127"/>
  <c r="O5576" i="127"/>
  <c r="P5576" i="127"/>
  <c r="O5577" i="127"/>
  <c r="P5577" i="127"/>
  <c r="O5578" i="127"/>
  <c r="P5578" i="127"/>
  <c r="O5579" i="127"/>
  <c r="P5579" i="127"/>
  <c r="O5580" i="127"/>
  <c r="P5580" i="127"/>
  <c r="O5581" i="127"/>
  <c r="P5581" i="127"/>
  <c r="O5582" i="127"/>
  <c r="P5582" i="127"/>
  <c r="O5583" i="127"/>
  <c r="P5583" i="127"/>
  <c r="O5584" i="127"/>
  <c r="P5584" i="127"/>
  <c r="O5585" i="127"/>
  <c r="P5585" i="127"/>
  <c r="O5586" i="127"/>
  <c r="P5586" i="127"/>
  <c r="O5587" i="127"/>
  <c r="P5587" i="127"/>
  <c r="O5588" i="127"/>
  <c r="P5588" i="127"/>
  <c r="O5589" i="127"/>
  <c r="P5589" i="127"/>
  <c r="O5590" i="127"/>
  <c r="P5590" i="127"/>
  <c r="O5591" i="127"/>
  <c r="P5591" i="127"/>
  <c r="O5592" i="127"/>
  <c r="P5592" i="127"/>
  <c r="O5593" i="127"/>
  <c r="P5593" i="127"/>
  <c r="O5594" i="127"/>
  <c r="P5594" i="127"/>
  <c r="O5595" i="127"/>
  <c r="P5595" i="127"/>
  <c r="O5596" i="127"/>
  <c r="P5596" i="127"/>
  <c r="O5597" i="127"/>
  <c r="P5597" i="127"/>
  <c r="O5598" i="127"/>
  <c r="P5598" i="127"/>
  <c r="O5599" i="127"/>
  <c r="P5599" i="127"/>
  <c r="O5600" i="127"/>
  <c r="P5600" i="127"/>
  <c r="O5601" i="127"/>
  <c r="P5601" i="127"/>
  <c r="O5602" i="127"/>
  <c r="P5602" i="127"/>
  <c r="O5603" i="127"/>
  <c r="P5603" i="127"/>
  <c r="O5604" i="127"/>
  <c r="P5604" i="127"/>
  <c r="O5605" i="127"/>
  <c r="P5605" i="127"/>
  <c r="O5606" i="127"/>
  <c r="P5606" i="127"/>
  <c r="O5607" i="127"/>
  <c r="P5607" i="127"/>
  <c r="O5608" i="127"/>
  <c r="P5608" i="127"/>
  <c r="O5609" i="127"/>
  <c r="P5609" i="127"/>
  <c r="O5610" i="127"/>
  <c r="P5610" i="127"/>
  <c r="O5611" i="127"/>
  <c r="P5611" i="127"/>
  <c r="O5612" i="127"/>
  <c r="P5612" i="127"/>
  <c r="O5613" i="127"/>
  <c r="P5613" i="127"/>
  <c r="O5614" i="127"/>
  <c r="P5614" i="127"/>
  <c r="O5615" i="127"/>
  <c r="P5615" i="127"/>
  <c r="O5616" i="127"/>
  <c r="P5616" i="127"/>
  <c r="O5617" i="127"/>
  <c r="P5617" i="127"/>
  <c r="O5618" i="127"/>
  <c r="P5618" i="127"/>
  <c r="O5619" i="127"/>
  <c r="P5619" i="127"/>
  <c r="O5620" i="127"/>
  <c r="P5620" i="127"/>
  <c r="O5621" i="127"/>
  <c r="P5621" i="127"/>
  <c r="O5622" i="127"/>
  <c r="P5622" i="127"/>
  <c r="O5623" i="127"/>
  <c r="P5623" i="127"/>
  <c r="O5624" i="127"/>
  <c r="P5624" i="127"/>
  <c r="O5625" i="127"/>
  <c r="P5625" i="127"/>
  <c r="O5626" i="127"/>
  <c r="P5626" i="127"/>
  <c r="O5627" i="127"/>
  <c r="P5627" i="127"/>
  <c r="O5628" i="127"/>
  <c r="P5628" i="127"/>
  <c r="O5629" i="127"/>
  <c r="P5629" i="127"/>
  <c r="O5630" i="127"/>
  <c r="P5630" i="127"/>
  <c r="O5631" i="127"/>
  <c r="P5631" i="127"/>
  <c r="O5632" i="127"/>
  <c r="P5632" i="127"/>
  <c r="O5633" i="127"/>
  <c r="P5633" i="127"/>
  <c r="O5634" i="127"/>
  <c r="P5634" i="127"/>
  <c r="O5635" i="127"/>
  <c r="P5635" i="127"/>
  <c r="O5636" i="127"/>
  <c r="P5636" i="127"/>
  <c r="O5637" i="127"/>
  <c r="P5637" i="127"/>
  <c r="O5638" i="127"/>
  <c r="P5638" i="127"/>
  <c r="O5639" i="127"/>
  <c r="P5639" i="127"/>
  <c r="O5640" i="127"/>
  <c r="P5640" i="127"/>
  <c r="O5641" i="127"/>
  <c r="P5641" i="127"/>
  <c r="O5642" i="127"/>
  <c r="P5642" i="127"/>
  <c r="O5643" i="127"/>
  <c r="P5643" i="127"/>
  <c r="O5644" i="127"/>
  <c r="P5644" i="127"/>
  <c r="O5645" i="127"/>
  <c r="P5645" i="127"/>
  <c r="O5646" i="127"/>
  <c r="P5646" i="127"/>
  <c r="O5647" i="127"/>
  <c r="P5647" i="127"/>
  <c r="O5648" i="127"/>
  <c r="P5648" i="127"/>
  <c r="O5649" i="127"/>
  <c r="P5649" i="127"/>
  <c r="O5650" i="127"/>
  <c r="P5650" i="127"/>
  <c r="O5651" i="127"/>
  <c r="P5651" i="127"/>
  <c r="O5652" i="127"/>
  <c r="P5652" i="127"/>
  <c r="O5653" i="127"/>
  <c r="P5653" i="127"/>
  <c r="O5654" i="127"/>
  <c r="P5654" i="127"/>
  <c r="O5655" i="127"/>
  <c r="P5655" i="127"/>
  <c r="O5656" i="127"/>
  <c r="P5656" i="127"/>
  <c r="O5657" i="127"/>
  <c r="P5657" i="127"/>
  <c r="O5658" i="127"/>
  <c r="P5658" i="127"/>
  <c r="O5659" i="127"/>
  <c r="P5659" i="127"/>
  <c r="O5660" i="127"/>
  <c r="P5660" i="127"/>
  <c r="O5661" i="127"/>
  <c r="P5661" i="127"/>
  <c r="O5662" i="127"/>
  <c r="P5662" i="127"/>
  <c r="O5663" i="127"/>
  <c r="P5663" i="127"/>
  <c r="O5664" i="127"/>
  <c r="P5664" i="127"/>
  <c r="O5665" i="127"/>
  <c r="P5665" i="127"/>
  <c r="O5666" i="127"/>
  <c r="P5666" i="127"/>
  <c r="O5667" i="127"/>
  <c r="P5667" i="127"/>
  <c r="O5668" i="127"/>
  <c r="P5668" i="127"/>
  <c r="O5669" i="127"/>
  <c r="P5669" i="127"/>
  <c r="O5670" i="127"/>
  <c r="P5670" i="127"/>
  <c r="O5671" i="127"/>
  <c r="P5671" i="127"/>
  <c r="O5672" i="127"/>
  <c r="P5672" i="127"/>
  <c r="O5673" i="127"/>
  <c r="P5673" i="127"/>
  <c r="O5674" i="127"/>
  <c r="P5674" i="127"/>
  <c r="O5675" i="127"/>
  <c r="P5675" i="127"/>
  <c r="O5676" i="127"/>
  <c r="P5676" i="127"/>
  <c r="O5677" i="127"/>
  <c r="P5677" i="127"/>
  <c r="O5678" i="127"/>
  <c r="P5678" i="127"/>
  <c r="O5679" i="127"/>
  <c r="P5679" i="127"/>
  <c r="O5680" i="127"/>
  <c r="P5680" i="127"/>
  <c r="O5681" i="127"/>
  <c r="P5681" i="127"/>
  <c r="O5682" i="127"/>
  <c r="P5682" i="127"/>
  <c r="O5683" i="127"/>
  <c r="P5683" i="127"/>
  <c r="O5684" i="127"/>
  <c r="P5684" i="127"/>
  <c r="O5685" i="127"/>
  <c r="P5685" i="127"/>
  <c r="O5686" i="127"/>
  <c r="P5686" i="127"/>
  <c r="O5687" i="127"/>
  <c r="P5687" i="127"/>
  <c r="O5688" i="127"/>
  <c r="P5688" i="127"/>
  <c r="O5689" i="127"/>
  <c r="P5689" i="127"/>
  <c r="O5690" i="127"/>
  <c r="P5690" i="127"/>
  <c r="O5691" i="127"/>
  <c r="P5691" i="127"/>
  <c r="O5692" i="127"/>
  <c r="P5692" i="127"/>
  <c r="O5693" i="127"/>
  <c r="P5693" i="127"/>
  <c r="O5694" i="127"/>
  <c r="P5694" i="127"/>
  <c r="O5695" i="127"/>
  <c r="P5695" i="127"/>
  <c r="O5696" i="127"/>
  <c r="P5696" i="127"/>
  <c r="O5697" i="127"/>
  <c r="P5697" i="127"/>
  <c r="O5698" i="127"/>
  <c r="P5698" i="127"/>
  <c r="O5699" i="127"/>
  <c r="P5699" i="127"/>
  <c r="O5700" i="127"/>
  <c r="P5700" i="127"/>
  <c r="O5701" i="127"/>
  <c r="P5701" i="127"/>
  <c r="O5702" i="127"/>
  <c r="P5702" i="127"/>
  <c r="O5703" i="127"/>
  <c r="P5703" i="127"/>
  <c r="O5704" i="127"/>
  <c r="P5704" i="127"/>
  <c r="O5705" i="127"/>
  <c r="P5705" i="127"/>
  <c r="O5706" i="127"/>
  <c r="P5706" i="127"/>
  <c r="O5707" i="127"/>
  <c r="P5707" i="127"/>
  <c r="O5708" i="127"/>
  <c r="P5708" i="127"/>
  <c r="O5709" i="127"/>
  <c r="P5709" i="127"/>
  <c r="O5710" i="127"/>
  <c r="P5710" i="127"/>
  <c r="O5711" i="127"/>
  <c r="P5711" i="127"/>
  <c r="O5712" i="127"/>
  <c r="P5712" i="127"/>
  <c r="O5713" i="127"/>
  <c r="P5713" i="127"/>
  <c r="O5714" i="127"/>
  <c r="P5714" i="127"/>
  <c r="O5715" i="127"/>
  <c r="P5715" i="127"/>
  <c r="O5716" i="127"/>
  <c r="P5716" i="127"/>
  <c r="O5717" i="127"/>
  <c r="P5717" i="127"/>
  <c r="O5718" i="127"/>
  <c r="P5718" i="127"/>
  <c r="O5719" i="127"/>
  <c r="P5719" i="127"/>
  <c r="O5720" i="127"/>
  <c r="P5720" i="127"/>
  <c r="O5721" i="127"/>
  <c r="P5721" i="127"/>
  <c r="O5722" i="127"/>
  <c r="P5722" i="127"/>
  <c r="O5723" i="127"/>
  <c r="P5723" i="127"/>
  <c r="O5724" i="127"/>
  <c r="P5724" i="127"/>
  <c r="O5725" i="127"/>
  <c r="P5725" i="127"/>
  <c r="O5726" i="127"/>
  <c r="P5726" i="127"/>
  <c r="O5727" i="127"/>
  <c r="P5727" i="127"/>
  <c r="O5728" i="127"/>
  <c r="P5728" i="127"/>
  <c r="O5729" i="127"/>
  <c r="P5729" i="127"/>
  <c r="O5730" i="127"/>
  <c r="P5730" i="127"/>
  <c r="O5731" i="127"/>
  <c r="P5731" i="127"/>
  <c r="O5732" i="127"/>
  <c r="P5732" i="127"/>
  <c r="O5733" i="127"/>
  <c r="P5733" i="127"/>
  <c r="O5734" i="127"/>
  <c r="P5734" i="127"/>
  <c r="O5735" i="127"/>
  <c r="P5735" i="127"/>
  <c r="O5736" i="127"/>
  <c r="P5736" i="127"/>
  <c r="O5737" i="127"/>
  <c r="P5737" i="127"/>
  <c r="O5738" i="127"/>
  <c r="P5738" i="127"/>
  <c r="O5739" i="127"/>
  <c r="P5739" i="127"/>
  <c r="O5740" i="127"/>
  <c r="P5740" i="127"/>
  <c r="O5741" i="127"/>
  <c r="P5741" i="127"/>
  <c r="O5742" i="127"/>
  <c r="P5742" i="127"/>
  <c r="O5743" i="127"/>
  <c r="P5743" i="127"/>
  <c r="O5744" i="127"/>
  <c r="P5744" i="127"/>
  <c r="O5745" i="127"/>
  <c r="P5745" i="127"/>
  <c r="O5746" i="127"/>
  <c r="P5746" i="127"/>
  <c r="O5747" i="127"/>
  <c r="P5747" i="127"/>
  <c r="O5748" i="127"/>
  <c r="P5748" i="127"/>
  <c r="O5749" i="127"/>
  <c r="P5749" i="127"/>
  <c r="O5750" i="127"/>
  <c r="P5750" i="127"/>
  <c r="O5751" i="127"/>
  <c r="P5751" i="127"/>
  <c r="O5752" i="127"/>
  <c r="P5752" i="127"/>
  <c r="O5753" i="127"/>
  <c r="P5753" i="127"/>
  <c r="O5754" i="127"/>
  <c r="P5754" i="127"/>
  <c r="O5755" i="127"/>
  <c r="P5755" i="127"/>
  <c r="O5756" i="127"/>
  <c r="P5756" i="127"/>
  <c r="O5757" i="127"/>
  <c r="P5757" i="127"/>
  <c r="O5758" i="127"/>
  <c r="P5758" i="127"/>
  <c r="O5759" i="127"/>
  <c r="P5759" i="127"/>
  <c r="O5760" i="127"/>
  <c r="P5760" i="127"/>
  <c r="O5761" i="127"/>
  <c r="P5761" i="127"/>
  <c r="O5762" i="127"/>
  <c r="P5762" i="127"/>
  <c r="O5763" i="127"/>
  <c r="P5763" i="127"/>
  <c r="O5764" i="127"/>
  <c r="P5764" i="127"/>
  <c r="O5765" i="127"/>
  <c r="P5765" i="127"/>
  <c r="O5766" i="127"/>
  <c r="P5766" i="127"/>
  <c r="O5767" i="127"/>
  <c r="P5767" i="127"/>
  <c r="O5768" i="127"/>
  <c r="P5768" i="127"/>
  <c r="O5769" i="127"/>
  <c r="P5769" i="127"/>
  <c r="O5770" i="127"/>
  <c r="P5770" i="127"/>
  <c r="O5771" i="127"/>
  <c r="P5771" i="127"/>
  <c r="O5772" i="127"/>
  <c r="P5772" i="127"/>
  <c r="O5773" i="127"/>
  <c r="P5773" i="127"/>
  <c r="O5774" i="127"/>
  <c r="P5774" i="127"/>
  <c r="O5775" i="127"/>
  <c r="P5775" i="127"/>
  <c r="O5776" i="127"/>
  <c r="P5776" i="127"/>
  <c r="O5777" i="127"/>
  <c r="P5777" i="127"/>
  <c r="O5778" i="127"/>
  <c r="P5778" i="127"/>
  <c r="O5779" i="127"/>
  <c r="P5779" i="127"/>
  <c r="O5780" i="127"/>
  <c r="P5780" i="127"/>
  <c r="O5781" i="127"/>
  <c r="P5781" i="127"/>
  <c r="O5782" i="127"/>
  <c r="P5782" i="127"/>
  <c r="O5783" i="127"/>
  <c r="P5783" i="127"/>
  <c r="O5784" i="127"/>
  <c r="P5784" i="127"/>
  <c r="O5785" i="127"/>
  <c r="P5785" i="127"/>
  <c r="O5786" i="127"/>
  <c r="P5786" i="127"/>
  <c r="O5787" i="127"/>
  <c r="P5787" i="127"/>
  <c r="O5788" i="127"/>
  <c r="P5788" i="127"/>
  <c r="O5789" i="127"/>
  <c r="P5789" i="127"/>
  <c r="O5790" i="127"/>
  <c r="P5790" i="127"/>
  <c r="O5791" i="127"/>
  <c r="P5791" i="127"/>
  <c r="O5792" i="127"/>
  <c r="P5792" i="127"/>
  <c r="O5793" i="127"/>
  <c r="P5793" i="127"/>
  <c r="O5794" i="127"/>
  <c r="P5794" i="127"/>
  <c r="O5795" i="127"/>
  <c r="P5795" i="127"/>
  <c r="O5796" i="127"/>
  <c r="P5796" i="127"/>
  <c r="O5797" i="127"/>
  <c r="P5797" i="127"/>
  <c r="O5798" i="127"/>
  <c r="P5798" i="127"/>
  <c r="O5799" i="127"/>
  <c r="P5799" i="127"/>
  <c r="O5800" i="127"/>
  <c r="P5800" i="127"/>
  <c r="O5801" i="127"/>
  <c r="P5801" i="127"/>
  <c r="O5802" i="127"/>
  <c r="P5802" i="127"/>
  <c r="O5803" i="127"/>
  <c r="P5803" i="127"/>
  <c r="O5804" i="127"/>
  <c r="P5804" i="127"/>
  <c r="O5805" i="127"/>
  <c r="P5805" i="127"/>
  <c r="O5806" i="127"/>
  <c r="P5806" i="127"/>
  <c r="O5807" i="127"/>
  <c r="P5807" i="127"/>
  <c r="O5808" i="127"/>
  <c r="P5808" i="127"/>
  <c r="O5809" i="127"/>
  <c r="P5809" i="127"/>
  <c r="O5810" i="127"/>
  <c r="P5810" i="127"/>
  <c r="O5811" i="127"/>
  <c r="P5811" i="127"/>
  <c r="O5812" i="127"/>
  <c r="P5812" i="127"/>
  <c r="O5813" i="127"/>
  <c r="P5813" i="127"/>
  <c r="O5814" i="127"/>
  <c r="P5814" i="127"/>
  <c r="O5815" i="127"/>
  <c r="P5815" i="127"/>
  <c r="O5816" i="127"/>
  <c r="P5816" i="127"/>
  <c r="O5817" i="127"/>
  <c r="P5817" i="127"/>
  <c r="O5818" i="127"/>
  <c r="P5818" i="127"/>
  <c r="O5819" i="127"/>
  <c r="P5819" i="127"/>
  <c r="O5820" i="127"/>
  <c r="P5820" i="127"/>
  <c r="O5821" i="127"/>
  <c r="P5821" i="127"/>
  <c r="O5822" i="127"/>
  <c r="P5822" i="127"/>
  <c r="O5823" i="127"/>
  <c r="P5823" i="127"/>
  <c r="O5824" i="127"/>
  <c r="P5824" i="127"/>
  <c r="O5825" i="127"/>
  <c r="P5825" i="127"/>
  <c r="O5826" i="127"/>
  <c r="P5826" i="127"/>
  <c r="O5827" i="127"/>
  <c r="P5827" i="127"/>
  <c r="O5828" i="127"/>
  <c r="P5828" i="127"/>
  <c r="O5829" i="127"/>
  <c r="P5829" i="127"/>
  <c r="O5830" i="127"/>
  <c r="P5830" i="127"/>
  <c r="O5831" i="127"/>
  <c r="P5831" i="127"/>
  <c r="O5832" i="127"/>
  <c r="P5832" i="127"/>
  <c r="O5833" i="127"/>
  <c r="P5833" i="127"/>
  <c r="O5834" i="127"/>
  <c r="P5834" i="127"/>
  <c r="O5835" i="127"/>
  <c r="P5835" i="127"/>
  <c r="O5836" i="127"/>
  <c r="P5836" i="127"/>
  <c r="O5837" i="127"/>
  <c r="P5837" i="127"/>
  <c r="O5838" i="127"/>
  <c r="P5838" i="127"/>
  <c r="O5839" i="127"/>
  <c r="P5839" i="127"/>
  <c r="O5840" i="127"/>
  <c r="P5840" i="127"/>
  <c r="O5841" i="127"/>
  <c r="P5841" i="127"/>
  <c r="O5842" i="127"/>
  <c r="P5842" i="127"/>
  <c r="O5843" i="127"/>
  <c r="P5843" i="127"/>
  <c r="O5844" i="127"/>
  <c r="P5844" i="127"/>
  <c r="O5845" i="127"/>
  <c r="P5845" i="127"/>
  <c r="O5846" i="127"/>
  <c r="P5846" i="127"/>
  <c r="O5847" i="127"/>
  <c r="P5847" i="127"/>
  <c r="O5848" i="127"/>
  <c r="P5848" i="127"/>
  <c r="O5849" i="127"/>
  <c r="P5849" i="127"/>
  <c r="O5850" i="127"/>
  <c r="P5850" i="127"/>
  <c r="O5851" i="127"/>
  <c r="P5851" i="127"/>
  <c r="O5852" i="127"/>
  <c r="P5852" i="127"/>
  <c r="O5853" i="127"/>
  <c r="P5853" i="127"/>
  <c r="O5854" i="127"/>
  <c r="P5854" i="127"/>
  <c r="O5855" i="127"/>
  <c r="P5855" i="127"/>
  <c r="O5856" i="127"/>
  <c r="P5856" i="127"/>
  <c r="O5857" i="127"/>
  <c r="P5857" i="127"/>
  <c r="O5858" i="127"/>
  <c r="P5858" i="127"/>
  <c r="O5859" i="127"/>
  <c r="P5859" i="127"/>
  <c r="O5860" i="127"/>
  <c r="P5860" i="127"/>
  <c r="O5861" i="127"/>
  <c r="P5861" i="127"/>
  <c r="O5862" i="127"/>
  <c r="P5862" i="127"/>
  <c r="O5863" i="127"/>
  <c r="P5863" i="127"/>
  <c r="O5864" i="127"/>
  <c r="P5864" i="127"/>
  <c r="O5865" i="127"/>
  <c r="P5865" i="127"/>
  <c r="O5866" i="127"/>
  <c r="P5866" i="127"/>
  <c r="O5867" i="127"/>
  <c r="P5867" i="127"/>
  <c r="O5868" i="127"/>
  <c r="P5868" i="127"/>
  <c r="O5869" i="127"/>
  <c r="P5869" i="127"/>
  <c r="O5870" i="127"/>
  <c r="P5870" i="127"/>
  <c r="O5871" i="127"/>
  <c r="P5871" i="127"/>
  <c r="O5872" i="127"/>
  <c r="P5872" i="127"/>
  <c r="O5873" i="127"/>
  <c r="P5873" i="127"/>
  <c r="O5874" i="127"/>
  <c r="P5874" i="127"/>
  <c r="O5875" i="127"/>
  <c r="P5875" i="127"/>
  <c r="O5876" i="127"/>
  <c r="P5876" i="127"/>
  <c r="O5877" i="127"/>
  <c r="P5877" i="127"/>
  <c r="O5878" i="127"/>
  <c r="P5878" i="127"/>
  <c r="O5879" i="127"/>
  <c r="P5879" i="127"/>
  <c r="O5880" i="127"/>
  <c r="P5880" i="127"/>
  <c r="O5881" i="127"/>
  <c r="P5881" i="127"/>
  <c r="O5882" i="127"/>
  <c r="P5882" i="127"/>
  <c r="O5883" i="127"/>
  <c r="P5883" i="127"/>
  <c r="O5884" i="127"/>
  <c r="P5884" i="127"/>
  <c r="O5885" i="127"/>
  <c r="P5885" i="127"/>
  <c r="O5886" i="127"/>
  <c r="P5886" i="127"/>
  <c r="O5887" i="127"/>
  <c r="P5887" i="127"/>
  <c r="O5888" i="127"/>
  <c r="P5888" i="127"/>
  <c r="O5889" i="127"/>
  <c r="P5889" i="127"/>
  <c r="O5890" i="127"/>
  <c r="P5890" i="127"/>
  <c r="O5891" i="127"/>
  <c r="P5891" i="127"/>
  <c r="O5892" i="127"/>
  <c r="P5892" i="127"/>
  <c r="O5893" i="127"/>
  <c r="P5893" i="127"/>
  <c r="O5894" i="127"/>
  <c r="P5894" i="127"/>
  <c r="O5895" i="127"/>
  <c r="P5895" i="127"/>
  <c r="O5896" i="127"/>
  <c r="P5896" i="127"/>
  <c r="O5897" i="127"/>
  <c r="P5897" i="127"/>
  <c r="O5898" i="127"/>
  <c r="P5898" i="127"/>
  <c r="O5899" i="127"/>
  <c r="P5899" i="127"/>
  <c r="O5900" i="127"/>
  <c r="P5900" i="127"/>
  <c r="O5901" i="127"/>
  <c r="P5901" i="127"/>
  <c r="O5902" i="127"/>
  <c r="P5902" i="127"/>
  <c r="O5903" i="127"/>
  <c r="P5903" i="127"/>
  <c r="O5904" i="127"/>
  <c r="P5904" i="127"/>
  <c r="O5905" i="127"/>
  <c r="P5905" i="127"/>
  <c r="O5906" i="127"/>
  <c r="P5906" i="127"/>
  <c r="O5907" i="127"/>
  <c r="P5907" i="127"/>
  <c r="O5908" i="127"/>
  <c r="P5908" i="127"/>
  <c r="O5909" i="127"/>
  <c r="P5909" i="127"/>
  <c r="O5910" i="127"/>
  <c r="P5910" i="127"/>
  <c r="O5911" i="127"/>
  <c r="P5911" i="127"/>
  <c r="O5912" i="127"/>
  <c r="P5912" i="127"/>
  <c r="O5913" i="127"/>
  <c r="P5913" i="127"/>
  <c r="O5914" i="127"/>
  <c r="P5914" i="127"/>
  <c r="O5915" i="127"/>
  <c r="P5915" i="127"/>
  <c r="O5916" i="127"/>
  <c r="P5916" i="127"/>
  <c r="O5917" i="127"/>
  <c r="P5917" i="127"/>
  <c r="O5918" i="127"/>
  <c r="P5918" i="127"/>
  <c r="O5919" i="127"/>
  <c r="P5919" i="127"/>
  <c r="O5920" i="127"/>
  <c r="P5920" i="127"/>
  <c r="O5921" i="127"/>
  <c r="P5921" i="127"/>
  <c r="O5922" i="127"/>
  <c r="P5922" i="127"/>
  <c r="O5923" i="127"/>
  <c r="P5923" i="127"/>
  <c r="O5924" i="127"/>
  <c r="P5924" i="127"/>
  <c r="O5925" i="127"/>
  <c r="P5925" i="127"/>
  <c r="O5926" i="127"/>
  <c r="P5926" i="127"/>
  <c r="O5927" i="127"/>
  <c r="P5927" i="127"/>
  <c r="O5928" i="127"/>
  <c r="P5928" i="127"/>
  <c r="O5929" i="127"/>
  <c r="P5929" i="127"/>
  <c r="O5930" i="127"/>
  <c r="P5930" i="127"/>
  <c r="O5931" i="127"/>
  <c r="P5931" i="127"/>
  <c r="O5932" i="127"/>
  <c r="P5932" i="127"/>
  <c r="O5933" i="127"/>
  <c r="P5933" i="127"/>
  <c r="O5934" i="127"/>
  <c r="P5934" i="127"/>
  <c r="O5935" i="127"/>
  <c r="P5935" i="127"/>
  <c r="O5936" i="127"/>
  <c r="P5936" i="127"/>
  <c r="O5937" i="127"/>
  <c r="P5937" i="127"/>
  <c r="O5938" i="127"/>
  <c r="P5938" i="127"/>
  <c r="O5939" i="127"/>
  <c r="P5939" i="127"/>
  <c r="O5940" i="127"/>
  <c r="P5940" i="127"/>
  <c r="O5941" i="127"/>
  <c r="P5941" i="127"/>
  <c r="O5942" i="127"/>
  <c r="P5942" i="127"/>
  <c r="O5943" i="127"/>
  <c r="P5943" i="127"/>
  <c r="O5944" i="127"/>
  <c r="P5944" i="127"/>
  <c r="O5945" i="127"/>
  <c r="P5945" i="127"/>
  <c r="O5946" i="127"/>
  <c r="P5946" i="127"/>
  <c r="O5947" i="127"/>
  <c r="P5947" i="127"/>
  <c r="O5948" i="127"/>
  <c r="P5948" i="127"/>
  <c r="O5949" i="127"/>
  <c r="P5949" i="127"/>
  <c r="O5950" i="127"/>
  <c r="P5950" i="127"/>
  <c r="O5951" i="127"/>
  <c r="P5951" i="127"/>
  <c r="O5952" i="127"/>
  <c r="P5952" i="127"/>
  <c r="O5953" i="127"/>
  <c r="P5953" i="127"/>
  <c r="O5954" i="127"/>
  <c r="P5954" i="127"/>
  <c r="O5955" i="127"/>
  <c r="P5955" i="127"/>
  <c r="O5956" i="127"/>
  <c r="P5956" i="127"/>
  <c r="O5957" i="127"/>
  <c r="P5957" i="127"/>
  <c r="O5958" i="127"/>
  <c r="P5958" i="127"/>
  <c r="O5959" i="127"/>
  <c r="P5959" i="127"/>
  <c r="O5960" i="127"/>
  <c r="P5960" i="127"/>
  <c r="O5961" i="127"/>
  <c r="P5961" i="127"/>
  <c r="O5962" i="127"/>
  <c r="P5962" i="127"/>
  <c r="O5963" i="127"/>
  <c r="P5963" i="127"/>
  <c r="O5964" i="127"/>
  <c r="P5964" i="127"/>
  <c r="O5965" i="127"/>
  <c r="P5965" i="127"/>
  <c r="O5966" i="127"/>
  <c r="P5966" i="127"/>
  <c r="O5967" i="127"/>
  <c r="P5967" i="127"/>
  <c r="O5968" i="127"/>
  <c r="P5968" i="127"/>
  <c r="O5969" i="127"/>
  <c r="P5969" i="127"/>
  <c r="O5970" i="127"/>
  <c r="P5970" i="127"/>
  <c r="O5971" i="127"/>
  <c r="P5971" i="127"/>
  <c r="O5972" i="127"/>
  <c r="P5972" i="127"/>
  <c r="O5973" i="127"/>
  <c r="P5973" i="127"/>
  <c r="O5974" i="127"/>
  <c r="P5974" i="127"/>
  <c r="O5975" i="127"/>
  <c r="P5975" i="127"/>
  <c r="O5976" i="127"/>
  <c r="P5976" i="127"/>
  <c r="O5977" i="127"/>
  <c r="P5977" i="127"/>
  <c r="O5978" i="127"/>
  <c r="P5978" i="127"/>
  <c r="O5979" i="127"/>
  <c r="P5979" i="127"/>
  <c r="O5980" i="127"/>
  <c r="P5980" i="127"/>
  <c r="O5981" i="127"/>
  <c r="P5981" i="127"/>
  <c r="O5982" i="127"/>
  <c r="P5982" i="127"/>
  <c r="O5983" i="127"/>
  <c r="P5983" i="127"/>
  <c r="O5984" i="127"/>
  <c r="P5984" i="127"/>
  <c r="O5985" i="127"/>
  <c r="P5985" i="127"/>
  <c r="O5986" i="127"/>
  <c r="P5986" i="127"/>
  <c r="O5987" i="127"/>
  <c r="P5987" i="127"/>
  <c r="O5988" i="127"/>
  <c r="P5988" i="127"/>
  <c r="O5989" i="127"/>
  <c r="P5989" i="127"/>
  <c r="O5990" i="127"/>
  <c r="P5990" i="127"/>
  <c r="O5991" i="127"/>
  <c r="P5991" i="127"/>
  <c r="O5992" i="127"/>
  <c r="P5992" i="127"/>
  <c r="O5993" i="127"/>
  <c r="P5993" i="127"/>
  <c r="O5994" i="127"/>
  <c r="P5994" i="127"/>
  <c r="O5995" i="127"/>
  <c r="P5995" i="127"/>
  <c r="O5996" i="127"/>
  <c r="P5996" i="127"/>
  <c r="O5997" i="127"/>
  <c r="P5997" i="127"/>
  <c r="O5998" i="127"/>
  <c r="P5998" i="127"/>
  <c r="O5999" i="127"/>
  <c r="P5999" i="127"/>
  <c r="O6000" i="127"/>
  <c r="P6000" i="127"/>
  <c r="O6001" i="127"/>
  <c r="P6001" i="127"/>
  <c r="O6002" i="127"/>
  <c r="P6002" i="127"/>
  <c r="O6003" i="127"/>
  <c r="P6003" i="127"/>
  <c r="O6004" i="127"/>
  <c r="P6004" i="127"/>
  <c r="O6005" i="127"/>
  <c r="P6005" i="127"/>
  <c r="O6006" i="127"/>
  <c r="P6006" i="127"/>
  <c r="O6007" i="127"/>
  <c r="P6007" i="127"/>
  <c r="O6008" i="127"/>
  <c r="P6008" i="127"/>
  <c r="O6009" i="127"/>
  <c r="P6009" i="127"/>
  <c r="O6010" i="127"/>
  <c r="P6010" i="127"/>
  <c r="O6011" i="127"/>
  <c r="P6011" i="127"/>
  <c r="O6012" i="127"/>
  <c r="P6012" i="127"/>
  <c r="O6013" i="127"/>
  <c r="P6013" i="127"/>
  <c r="O6014" i="127"/>
  <c r="P6014" i="127"/>
  <c r="O6015" i="127"/>
  <c r="P6015" i="127"/>
  <c r="O6016" i="127"/>
  <c r="P6016" i="127"/>
  <c r="O6017" i="127"/>
  <c r="P6017" i="127"/>
  <c r="O6018" i="127"/>
  <c r="P6018" i="127"/>
  <c r="O6019" i="127"/>
  <c r="P6019" i="127"/>
  <c r="O6020" i="127"/>
  <c r="P6020" i="127"/>
  <c r="O6021" i="127"/>
  <c r="P6021" i="127"/>
  <c r="O6022" i="127"/>
  <c r="P6022" i="127"/>
  <c r="O6023" i="127"/>
  <c r="P6023" i="127"/>
  <c r="O6024" i="127"/>
  <c r="P6024" i="127"/>
  <c r="O6025" i="127"/>
  <c r="P6025" i="127"/>
  <c r="O6026" i="127"/>
  <c r="P6026" i="127"/>
  <c r="O6027" i="127"/>
  <c r="P6027" i="127"/>
  <c r="O6028" i="127"/>
  <c r="P6028" i="127"/>
  <c r="O6029" i="127"/>
  <c r="P6029" i="127"/>
  <c r="O6030" i="127"/>
  <c r="P6030" i="127"/>
  <c r="O6031" i="127"/>
  <c r="P6031" i="127"/>
  <c r="O6032" i="127"/>
  <c r="P6032" i="127"/>
  <c r="O6033" i="127"/>
  <c r="P6033" i="127"/>
  <c r="O6034" i="127"/>
  <c r="P6034" i="127"/>
  <c r="O6035" i="127"/>
  <c r="P6035" i="127"/>
  <c r="O6036" i="127"/>
  <c r="P6036" i="127"/>
  <c r="O6037" i="127"/>
  <c r="P6037" i="127"/>
  <c r="O6038" i="127"/>
  <c r="P6038" i="127"/>
  <c r="O6039" i="127"/>
  <c r="P6039" i="127"/>
  <c r="O6040" i="127"/>
  <c r="P6040" i="127"/>
  <c r="O6041" i="127"/>
  <c r="P6041" i="127"/>
  <c r="O6042" i="127"/>
  <c r="P6042" i="127"/>
  <c r="O6043" i="127"/>
  <c r="P6043" i="127"/>
  <c r="O6044" i="127"/>
  <c r="P6044" i="127"/>
  <c r="O6045" i="127"/>
  <c r="P6045" i="127"/>
  <c r="O6046" i="127"/>
  <c r="P6046" i="127"/>
  <c r="O6047" i="127"/>
  <c r="P6047" i="127"/>
  <c r="O6048" i="127"/>
  <c r="P6048" i="127"/>
  <c r="O6049" i="127"/>
  <c r="P6049" i="127"/>
  <c r="O6050" i="127"/>
  <c r="P6050" i="127"/>
  <c r="O6051" i="127"/>
  <c r="P6051" i="127"/>
  <c r="O6052" i="127"/>
  <c r="P6052" i="127"/>
  <c r="O6053" i="127"/>
  <c r="P6053" i="127"/>
  <c r="O6054" i="127"/>
  <c r="P6054" i="127"/>
  <c r="O6055" i="127"/>
  <c r="P6055" i="127"/>
  <c r="O6056" i="127"/>
  <c r="P6056" i="127"/>
  <c r="O6057" i="127"/>
  <c r="P6057" i="127"/>
  <c r="O6058" i="127"/>
  <c r="P6058" i="127"/>
  <c r="O6059" i="127"/>
  <c r="P6059" i="127"/>
  <c r="O6060" i="127"/>
  <c r="P6060" i="127"/>
  <c r="O6061" i="127"/>
  <c r="P6061" i="127"/>
  <c r="O6062" i="127"/>
  <c r="P6062" i="127"/>
  <c r="O6063" i="127"/>
  <c r="P6063" i="127"/>
  <c r="O6064" i="127"/>
  <c r="P6064" i="127"/>
  <c r="O6065" i="127"/>
  <c r="P6065" i="127"/>
  <c r="O6066" i="127"/>
  <c r="P6066" i="127"/>
  <c r="O6067" i="127"/>
  <c r="P6067" i="127"/>
  <c r="O6068" i="127"/>
  <c r="P6068" i="127"/>
  <c r="O6069" i="127"/>
  <c r="P6069" i="127"/>
  <c r="O6070" i="127"/>
  <c r="P6070" i="127"/>
  <c r="O6071" i="127"/>
  <c r="P6071" i="127"/>
  <c r="O6072" i="127"/>
  <c r="P6072" i="127"/>
  <c r="O6073" i="127"/>
  <c r="P6073" i="127"/>
  <c r="O6074" i="127"/>
  <c r="P6074" i="127"/>
  <c r="O6075" i="127"/>
  <c r="P6075" i="127"/>
  <c r="O6076" i="127"/>
  <c r="P6076" i="127"/>
  <c r="O6077" i="127"/>
  <c r="P6077" i="127"/>
  <c r="O6078" i="127"/>
  <c r="P6078" i="127"/>
  <c r="O6079" i="127"/>
  <c r="P6079" i="127"/>
  <c r="O6080" i="127"/>
  <c r="P6080" i="127"/>
  <c r="O6081" i="127"/>
  <c r="P6081" i="127"/>
  <c r="O6082" i="127"/>
  <c r="P6082" i="127"/>
  <c r="O6083" i="127"/>
  <c r="P6083" i="127"/>
  <c r="O6084" i="127"/>
  <c r="P6084" i="127"/>
  <c r="O6085" i="127"/>
  <c r="P6085" i="127"/>
  <c r="O6086" i="127"/>
  <c r="P6086" i="127"/>
  <c r="O6087" i="127"/>
  <c r="P6087" i="127"/>
  <c r="O6088" i="127"/>
  <c r="P6088" i="127"/>
  <c r="O6089" i="127"/>
  <c r="P6089" i="127"/>
  <c r="O6090" i="127"/>
  <c r="P6090" i="127"/>
  <c r="O6091" i="127"/>
  <c r="P6091" i="127"/>
  <c r="O6092" i="127"/>
  <c r="P6092" i="127"/>
  <c r="O6093" i="127"/>
  <c r="P6093" i="127"/>
  <c r="O6094" i="127"/>
  <c r="P6094" i="127"/>
  <c r="O6095" i="127"/>
  <c r="P6095" i="127"/>
  <c r="O6096" i="127"/>
  <c r="P6096" i="127"/>
  <c r="O6097" i="127"/>
  <c r="P6097" i="127"/>
  <c r="O6098" i="127"/>
  <c r="P6098" i="127"/>
  <c r="O6099" i="127"/>
  <c r="P6099" i="127"/>
  <c r="O6100" i="127"/>
  <c r="P6100" i="127"/>
  <c r="O6101" i="127"/>
  <c r="P6101" i="127"/>
  <c r="O6102" i="127"/>
  <c r="P6102" i="127"/>
  <c r="O6103" i="127"/>
  <c r="P6103" i="127"/>
  <c r="O6104" i="127"/>
  <c r="P6104" i="127"/>
  <c r="O6105" i="127"/>
  <c r="P6105" i="127"/>
  <c r="O6106" i="127"/>
  <c r="P6106" i="127"/>
  <c r="O6107" i="127"/>
  <c r="P6107" i="127"/>
  <c r="O6108" i="127"/>
  <c r="P6108" i="127"/>
  <c r="O6109" i="127"/>
  <c r="P6109" i="127"/>
  <c r="O6110" i="127"/>
  <c r="P6110" i="127"/>
  <c r="O6111" i="127"/>
  <c r="P6111" i="127"/>
  <c r="O6112" i="127"/>
  <c r="P6112" i="127"/>
  <c r="O6113" i="127"/>
  <c r="P6113" i="127"/>
  <c r="O6114" i="127"/>
  <c r="P6114" i="127"/>
  <c r="O6115" i="127"/>
  <c r="P6115" i="127"/>
  <c r="O6116" i="127"/>
  <c r="P6116" i="127"/>
  <c r="O6117" i="127"/>
  <c r="P6117" i="127"/>
  <c r="O6118" i="127"/>
  <c r="P6118" i="127"/>
  <c r="O6119" i="127"/>
  <c r="P6119" i="127"/>
  <c r="O6120" i="127"/>
  <c r="P6120" i="127"/>
  <c r="O6121" i="127"/>
  <c r="P6121" i="127"/>
  <c r="O6122" i="127"/>
  <c r="P6122" i="127"/>
  <c r="O6123" i="127"/>
  <c r="P6123" i="127"/>
  <c r="O6124" i="127"/>
  <c r="P6124" i="127"/>
  <c r="O6125" i="127"/>
  <c r="P6125" i="127"/>
  <c r="O6126" i="127"/>
  <c r="P6126" i="127"/>
  <c r="O6127" i="127"/>
  <c r="P6127" i="127"/>
  <c r="O6128" i="127"/>
  <c r="P6128" i="127"/>
  <c r="O6129" i="127"/>
  <c r="P6129" i="127"/>
  <c r="O6130" i="127"/>
  <c r="P6130" i="127"/>
  <c r="O6131" i="127"/>
  <c r="P6131" i="127"/>
  <c r="O6132" i="127"/>
  <c r="P6132" i="127"/>
  <c r="O6133" i="127"/>
  <c r="P6133" i="127"/>
  <c r="O6134" i="127"/>
  <c r="P6134" i="127"/>
  <c r="O6135" i="127"/>
  <c r="P6135" i="127"/>
  <c r="O6136" i="127"/>
  <c r="P6136" i="127"/>
  <c r="O6137" i="127"/>
  <c r="P6137" i="127"/>
  <c r="O6138" i="127"/>
  <c r="P6138" i="127"/>
  <c r="O6139" i="127"/>
  <c r="P6139" i="127"/>
  <c r="O6140" i="127"/>
  <c r="P6140" i="127"/>
  <c r="O6141" i="127"/>
  <c r="P6141" i="127"/>
  <c r="O6142" i="127"/>
  <c r="P6142" i="127"/>
  <c r="O6143" i="127"/>
  <c r="P6143" i="127"/>
  <c r="O6144" i="127"/>
  <c r="P6144" i="127"/>
  <c r="O6145" i="127"/>
  <c r="P6145" i="127"/>
  <c r="O6146" i="127"/>
  <c r="P6146" i="127"/>
  <c r="O6147" i="127"/>
  <c r="P6147" i="127"/>
  <c r="O6148" i="127"/>
  <c r="P6148" i="127"/>
  <c r="O6149" i="127"/>
  <c r="P6149" i="127"/>
  <c r="O6150" i="127"/>
  <c r="P6150" i="127"/>
  <c r="O6151" i="127"/>
  <c r="P6151" i="127"/>
  <c r="O6152" i="127"/>
  <c r="P6152" i="127"/>
  <c r="O6153" i="127"/>
  <c r="P6153" i="127"/>
  <c r="O6154" i="127"/>
  <c r="P6154" i="127"/>
  <c r="O6155" i="127"/>
  <c r="P6155" i="127"/>
  <c r="O6156" i="127"/>
  <c r="P6156" i="127"/>
  <c r="O6157" i="127"/>
  <c r="P6157" i="127"/>
  <c r="O6158" i="127"/>
  <c r="P6158" i="127"/>
  <c r="O6159" i="127"/>
  <c r="P6159" i="127"/>
  <c r="O6160" i="127"/>
  <c r="P6160" i="127"/>
  <c r="O6161" i="127"/>
  <c r="P6161" i="127"/>
  <c r="O6162" i="127"/>
  <c r="P6162" i="127"/>
  <c r="O6163" i="127"/>
  <c r="P6163" i="127"/>
  <c r="O6164" i="127"/>
  <c r="P6164" i="127"/>
  <c r="O6165" i="127"/>
  <c r="P6165" i="127"/>
  <c r="O6166" i="127"/>
  <c r="P6166" i="127"/>
  <c r="O6167" i="127"/>
  <c r="P6167" i="127"/>
  <c r="O6168" i="127"/>
  <c r="P6168" i="127"/>
  <c r="O6169" i="127"/>
  <c r="P6169" i="127"/>
  <c r="O6170" i="127"/>
  <c r="P6170" i="127"/>
  <c r="O6171" i="127"/>
  <c r="P6171" i="127"/>
  <c r="O6172" i="127"/>
  <c r="P6172" i="127"/>
  <c r="O6173" i="127"/>
  <c r="P6173" i="127"/>
  <c r="O6174" i="127"/>
  <c r="P6174" i="127"/>
  <c r="O6175" i="127"/>
  <c r="P6175" i="127"/>
  <c r="O6176" i="127"/>
  <c r="P6176" i="127"/>
  <c r="O6177" i="127"/>
  <c r="P6177" i="127"/>
  <c r="O6178" i="127"/>
  <c r="P6178" i="127"/>
  <c r="O6179" i="127"/>
  <c r="P6179" i="127"/>
  <c r="O6180" i="127"/>
  <c r="P6180" i="127"/>
  <c r="O6181" i="127"/>
  <c r="P6181" i="127"/>
  <c r="O6182" i="127"/>
  <c r="P6182" i="127"/>
  <c r="O6183" i="127"/>
  <c r="P6183" i="127"/>
  <c r="O6184" i="127"/>
  <c r="P6184" i="127"/>
  <c r="O6185" i="127"/>
  <c r="P6185" i="127"/>
  <c r="O6186" i="127"/>
  <c r="P6186" i="127"/>
  <c r="O6187" i="127"/>
  <c r="P6187" i="127"/>
  <c r="O6188" i="127"/>
  <c r="P6188" i="127"/>
  <c r="O6189" i="127"/>
  <c r="P6189" i="127"/>
  <c r="O6190" i="127"/>
  <c r="P6190" i="127"/>
  <c r="O6191" i="127"/>
  <c r="P6191" i="127"/>
  <c r="O6192" i="127"/>
  <c r="P6192" i="127"/>
  <c r="O6193" i="127"/>
  <c r="P6193" i="127"/>
  <c r="O6194" i="127"/>
  <c r="P6194" i="127"/>
  <c r="O6195" i="127"/>
  <c r="P6195" i="127"/>
  <c r="O6196" i="127"/>
  <c r="P6196" i="127"/>
  <c r="O6197" i="127"/>
  <c r="P6197" i="127"/>
  <c r="O6198" i="127"/>
  <c r="P6198" i="127"/>
  <c r="O6199" i="127"/>
  <c r="P6199" i="127"/>
  <c r="O6200" i="127"/>
  <c r="P6200" i="127"/>
  <c r="O6201" i="127"/>
  <c r="P6201" i="127"/>
  <c r="O6202" i="127"/>
  <c r="P6202" i="127"/>
  <c r="O6203" i="127"/>
  <c r="P6203" i="127"/>
  <c r="O6204" i="127"/>
  <c r="P6204" i="127"/>
  <c r="O6205" i="127"/>
  <c r="P6205" i="127"/>
  <c r="O6206" i="127"/>
  <c r="P6206" i="127"/>
  <c r="O6207" i="127"/>
  <c r="P6207" i="127"/>
  <c r="O6208" i="127"/>
  <c r="P6208" i="127"/>
  <c r="O6209" i="127"/>
  <c r="P6209" i="127"/>
  <c r="O6210" i="127"/>
  <c r="P6210" i="127"/>
  <c r="O6211" i="127"/>
  <c r="P6211" i="127"/>
  <c r="O6212" i="127"/>
  <c r="P6212" i="127"/>
  <c r="O6213" i="127"/>
  <c r="P6213" i="127"/>
  <c r="O6214" i="127"/>
  <c r="P6214" i="127"/>
  <c r="O6215" i="127"/>
  <c r="P6215" i="127"/>
  <c r="O6216" i="127"/>
  <c r="P6216" i="127"/>
  <c r="O6217" i="127"/>
  <c r="P6217" i="127"/>
  <c r="O6218" i="127"/>
  <c r="P6218" i="127"/>
  <c r="O6219" i="127"/>
  <c r="P6219" i="127"/>
  <c r="O6220" i="127"/>
  <c r="P6220" i="127"/>
  <c r="O6221" i="127"/>
  <c r="P6221" i="127"/>
  <c r="O6222" i="127"/>
  <c r="P6222" i="127"/>
  <c r="O6223" i="127"/>
  <c r="P6223" i="127"/>
  <c r="O6224" i="127"/>
  <c r="P6224" i="127"/>
  <c r="O6225" i="127"/>
  <c r="P6225" i="127"/>
  <c r="O6226" i="127"/>
  <c r="P6226" i="127"/>
  <c r="O6227" i="127"/>
  <c r="P6227" i="127"/>
  <c r="O6228" i="127"/>
  <c r="P6228" i="127"/>
  <c r="O6229" i="127"/>
  <c r="P6229" i="127"/>
  <c r="O6230" i="127"/>
  <c r="P6230" i="127"/>
  <c r="O6231" i="127"/>
  <c r="P6231" i="127"/>
  <c r="O6232" i="127"/>
  <c r="P6232" i="127"/>
  <c r="O6233" i="127"/>
  <c r="P6233" i="127"/>
  <c r="O6234" i="127"/>
  <c r="P6234" i="127"/>
  <c r="O6235" i="127"/>
  <c r="P6235" i="127"/>
  <c r="O6236" i="127"/>
  <c r="P6236" i="127"/>
  <c r="O6237" i="127"/>
  <c r="P6237" i="127"/>
  <c r="O6238" i="127"/>
  <c r="P6238" i="127"/>
  <c r="O6239" i="127"/>
  <c r="P6239" i="127"/>
  <c r="O6240" i="127"/>
  <c r="P6240" i="127"/>
  <c r="O6241" i="127"/>
  <c r="P6241" i="127"/>
  <c r="O6242" i="127"/>
  <c r="P6242" i="127"/>
  <c r="O6243" i="127"/>
  <c r="P6243" i="127"/>
  <c r="O6244" i="127"/>
  <c r="P6244" i="127"/>
  <c r="O6245" i="127"/>
  <c r="P6245" i="127"/>
  <c r="O6246" i="127"/>
  <c r="P6246" i="127"/>
  <c r="O6247" i="127"/>
  <c r="P6247" i="127"/>
  <c r="O6248" i="127"/>
  <c r="P6248" i="127"/>
  <c r="O6249" i="127"/>
  <c r="P6249" i="127"/>
  <c r="O6250" i="127"/>
  <c r="P6250" i="127"/>
  <c r="O6251" i="127"/>
  <c r="P6251" i="127"/>
  <c r="O6252" i="127"/>
  <c r="P6252" i="127"/>
  <c r="O6253" i="127"/>
  <c r="P6253" i="127"/>
  <c r="O6254" i="127"/>
  <c r="P6254" i="127"/>
  <c r="O6255" i="127"/>
  <c r="P6255" i="127"/>
  <c r="O6256" i="127"/>
  <c r="P6256" i="127"/>
  <c r="O6257" i="127"/>
  <c r="P6257" i="127"/>
  <c r="O6258" i="127"/>
  <c r="P6258" i="127"/>
  <c r="O6259" i="127"/>
  <c r="P6259" i="127"/>
  <c r="O6260" i="127"/>
  <c r="P6260" i="127"/>
  <c r="O6261" i="127"/>
  <c r="P6261" i="127"/>
  <c r="O6262" i="127"/>
  <c r="P6262" i="127"/>
  <c r="O6263" i="127"/>
  <c r="P6263" i="127"/>
  <c r="O6264" i="127"/>
  <c r="P6264" i="127"/>
  <c r="O6265" i="127"/>
  <c r="P6265" i="127"/>
  <c r="O6266" i="127"/>
  <c r="P6266" i="127"/>
  <c r="O6267" i="127"/>
  <c r="P6267" i="127"/>
  <c r="O6268" i="127"/>
  <c r="P6268" i="127"/>
  <c r="O6269" i="127"/>
  <c r="P6269" i="127"/>
  <c r="O6270" i="127"/>
  <c r="P6270" i="127"/>
  <c r="O6271" i="127"/>
  <c r="P6271" i="127"/>
  <c r="O6272" i="127"/>
  <c r="P6272" i="127"/>
  <c r="O6273" i="127"/>
  <c r="P6273" i="127"/>
  <c r="O6274" i="127"/>
  <c r="P6274" i="127"/>
  <c r="O6275" i="127"/>
  <c r="P6275" i="127"/>
  <c r="O6276" i="127"/>
  <c r="P6276" i="127"/>
  <c r="O6277" i="127"/>
  <c r="P6277" i="127"/>
  <c r="O6278" i="127"/>
  <c r="P6278" i="127"/>
  <c r="O6279" i="127"/>
  <c r="P6279" i="127"/>
  <c r="O6280" i="127"/>
  <c r="P6280" i="127"/>
  <c r="O6281" i="127"/>
  <c r="P6281" i="127"/>
  <c r="O6282" i="127"/>
  <c r="P6282" i="127"/>
  <c r="O6283" i="127"/>
  <c r="P6283" i="127"/>
  <c r="O6284" i="127"/>
  <c r="P6284" i="127"/>
  <c r="O6285" i="127"/>
  <c r="P6285" i="127"/>
  <c r="O6286" i="127"/>
  <c r="P6286" i="127"/>
  <c r="O6287" i="127"/>
  <c r="P6287" i="127"/>
  <c r="O6288" i="127"/>
  <c r="P6288" i="127"/>
  <c r="O6289" i="127"/>
  <c r="P6289" i="127"/>
  <c r="O6290" i="127"/>
  <c r="P6290" i="127"/>
  <c r="O6291" i="127"/>
  <c r="P6291" i="127"/>
  <c r="O6292" i="127"/>
  <c r="P6292" i="127"/>
  <c r="O6293" i="127"/>
  <c r="P6293" i="127"/>
  <c r="O6294" i="127"/>
  <c r="P6294" i="127"/>
  <c r="O6295" i="127"/>
  <c r="P6295" i="127"/>
  <c r="O6296" i="127"/>
  <c r="P6296" i="127"/>
  <c r="O6297" i="127"/>
  <c r="P6297" i="127"/>
  <c r="O6298" i="127"/>
  <c r="P6298" i="127"/>
  <c r="O6299" i="127"/>
  <c r="P6299" i="127"/>
  <c r="O6300" i="127"/>
  <c r="P6300" i="127"/>
  <c r="O6301" i="127"/>
  <c r="P6301" i="127"/>
  <c r="O6302" i="127"/>
  <c r="P6302" i="127"/>
  <c r="O6303" i="127"/>
  <c r="P6303" i="127"/>
  <c r="O6304" i="127"/>
  <c r="P6304" i="127"/>
  <c r="O6305" i="127"/>
  <c r="P6305" i="127"/>
  <c r="O6306" i="127"/>
  <c r="P6306" i="127"/>
  <c r="O6307" i="127"/>
  <c r="P6307" i="127"/>
  <c r="O6308" i="127"/>
  <c r="P6308" i="127"/>
  <c r="O6309" i="127"/>
  <c r="P6309" i="127"/>
  <c r="O6310" i="127"/>
  <c r="P6310" i="127"/>
  <c r="O6311" i="127"/>
  <c r="P6311" i="127"/>
  <c r="O6312" i="127"/>
  <c r="P6312" i="127"/>
  <c r="O6313" i="127"/>
  <c r="P6313" i="127"/>
  <c r="O6314" i="127"/>
  <c r="P6314" i="127"/>
  <c r="O6315" i="127"/>
  <c r="P6315" i="127"/>
  <c r="O6316" i="127"/>
  <c r="P6316" i="127"/>
  <c r="O6317" i="127"/>
  <c r="P6317" i="127"/>
  <c r="O6318" i="127"/>
  <c r="P6318" i="127"/>
  <c r="O6319" i="127"/>
  <c r="P6319" i="127"/>
  <c r="O6320" i="127"/>
  <c r="P6320" i="127"/>
  <c r="O6321" i="127"/>
  <c r="P6321" i="127"/>
  <c r="O6322" i="127"/>
  <c r="P6322" i="127"/>
  <c r="O6323" i="127"/>
  <c r="P6323" i="127"/>
  <c r="O6324" i="127"/>
  <c r="P6324" i="127"/>
  <c r="O6325" i="127"/>
  <c r="P6325" i="127"/>
  <c r="O6326" i="127"/>
  <c r="P6326" i="127"/>
  <c r="O6327" i="127"/>
  <c r="P6327" i="127"/>
  <c r="O6328" i="127"/>
  <c r="P6328" i="127"/>
  <c r="O6329" i="127"/>
  <c r="P6329" i="127"/>
  <c r="O6330" i="127"/>
  <c r="P6330" i="127"/>
  <c r="O6331" i="127"/>
  <c r="P6331" i="127"/>
  <c r="O6332" i="127"/>
  <c r="P6332" i="127"/>
  <c r="O6333" i="127"/>
  <c r="P6333" i="127"/>
  <c r="O6334" i="127"/>
  <c r="P6334" i="127"/>
  <c r="O6335" i="127"/>
  <c r="P6335" i="127"/>
  <c r="O6336" i="127"/>
  <c r="P6336" i="127"/>
  <c r="O6337" i="127"/>
  <c r="P6337" i="127"/>
  <c r="O6338" i="127"/>
  <c r="P6338" i="127"/>
  <c r="O6339" i="127"/>
  <c r="P6339" i="127"/>
  <c r="O6340" i="127"/>
  <c r="P6340" i="127"/>
  <c r="O6341" i="127"/>
  <c r="P6341" i="127"/>
  <c r="O6342" i="127"/>
  <c r="P6342" i="127"/>
  <c r="O6343" i="127"/>
  <c r="P6343" i="127"/>
  <c r="O6344" i="127"/>
  <c r="P6344" i="127"/>
  <c r="O6345" i="127"/>
  <c r="P6345" i="127"/>
  <c r="O6346" i="127"/>
  <c r="P6346" i="127"/>
  <c r="O6347" i="127"/>
  <c r="P6347" i="127"/>
  <c r="O6348" i="127"/>
  <c r="P6348" i="127"/>
  <c r="O6349" i="127"/>
  <c r="P6349" i="127"/>
  <c r="O6350" i="127"/>
  <c r="P6350" i="127"/>
  <c r="O6351" i="127"/>
  <c r="P6351" i="127"/>
  <c r="O6352" i="127"/>
  <c r="P6352" i="127"/>
  <c r="O6353" i="127"/>
  <c r="P6353" i="127"/>
  <c r="O6354" i="127"/>
  <c r="P6354" i="127"/>
  <c r="O6355" i="127"/>
  <c r="P6355" i="127"/>
  <c r="O6356" i="127"/>
  <c r="P6356" i="127"/>
  <c r="O6357" i="127"/>
  <c r="P6357" i="127"/>
  <c r="O6358" i="127"/>
  <c r="P6358" i="127"/>
  <c r="O6359" i="127"/>
  <c r="P6359" i="127"/>
  <c r="O6360" i="127"/>
  <c r="P6360" i="127"/>
  <c r="O6361" i="127"/>
  <c r="P6361" i="127"/>
  <c r="O6362" i="127"/>
  <c r="P6362" i="127"/>
  <c r="O6363" i="127"/>
  <c r="P6363" i="127"/>
  <c r="O6364" i="127"/>
  <c r="P6364" i="127"/>
  <c r="O6365" i="127"/>
  <c r="P6365" i="127"/>
  <c r="O6366" i="127"/>
  <c r="P6366" i="127"/>
  <c r="O6367" i="127"/>
  <c r="P6367" i="127"/>
  <c r="O6368" i="127"/>
  <c r="P6368" i="127"/>
  <c r="O6369" i="127"/>
  <c r="P6369" i="127"/>
  <c r="O6370" i="127"/>
  <c r="P6370" i="127"/>
  <c r="O6371" i="127"/>
  <c r="P6371" i="127"/>
  <c r="O6372" i="127"/>
  <c r="P6372" i="127"/>
  <c r="O6373" i="127"/>
  <c r="P6373" i="127"/>
  <c r="O6374" i="127"/>
  <c r="P6374" i="127"/>
  <c r="O6375" i="127"/>
  <c r="P6375" i="127"/>
  <c r="O6376" i="127"/>
  <c r="P6376" i="127"/>
  <c r="O6377" i="127"/>
  <c r="P6377" i="127"/>
  <c r="O6378" i="127"/>
  <c r="P6378" i="127"/>
  <c r="O6379" i="127"/>
  <c r="P6379" i="127"/>
  <c r="O6380" i="127"/>
  <c r="P6380" i="127"/>
  <c r="O6381" i="127"/>
  <c r="P6381" i="127"/>
  <c r="O6382" i="127"/>
  <c r="P6382" i="127"/>
  <c r="O6383" i="127"/>
  <c r="P6383" i="127"/>
  <c r="O6384" i="127"/>
  <c r="P6384" i="127"/>
  <c r="O6385" i="127"/>
  <c r="P6385" i="127"/>
  <c r="O6386" i="127"/>
  <c r="P6386" i="127"/>
  <c r="O6387" i="127"/>
  <c r="P6387" i="127"/>
  <c r="O6388" i="127"/>
  <c r="P6388" i="127"/>
  <c r="O6389" i="127"/>
  <c r="P6389" i="127"/>
  <c r="O6390" i="127"/>
  <c r="P6390" i="127"/>
  <c r="O6391" i="127"/>
  <c r="P6391" i="127"/>
  <c r="O6392" i="127"/>
  <c r="P6392" i="127"/>
  <c r="O6393" i="127"/>
  <c r="P6393" i="127"/>
  <c r="O6394" i="127"/>
  <c r="P6394" i="127"/>
  <c r="N86" i="130"/>
  <c r="O86" i="130"/>
  <c r="N87" i="130"/>
  <c r="O87" i="130"/>
  <c r="N88" i="130"/>
  <c r="O88" i="130"/>
  <c r="N89" i="130"/>
  <c r="O89" i="130"/>
  <c r="N90" i="130"/>
  <c r="O90" i="130"/>
  <c r="N91" i="130"/>
  <c r="O91" i="130"/>
  <c r="N92" i="130"/>
  <c r="O92" i="130"/>
  <c r="N93" i="130"/>
  <c r="O93" i="130"/>
  <c r="N94" i="130"/>
  <c r="O94" i="130"/>
  <c r="N95" i="130"/>
  <c r="O95" i="130"/>
  <c r="N96" i="130"/>
  <c r="O96" i="130"/>
  <c r="N97" i="130"/>
  <c r="O97" i="130"/>
  <c r="N98" i="130"/>
  <c r="O98" i="130"/>
  <c r="N99" i="130"/>
  <c r="O99" i="130"/>
  <c r="N100" i="130"/>
  <c r="O100" i="130"/>
  <c r="N101" i="130"/>
  <c r="O101" i="130"/>
  <c r="N102" i="130"/>
  <c r="O102" i="130"/>
  <c r="N103" i="130"/>
  <c r="O103" i="130"/>
  <c r="N104" i="130"/>
  <c r="O104" i="130"/>
  <c r="N105" i="130"/>
  <c r="O105" i="130"/>
  <c r="N106" i="130"/>
  <c r="O106" i="130"/>
  <c r="N107" i="130"/>
  <c r="O107" i="130"/>
  <c r="N108" i="130"/>
  <c r="O108" i="130"/>
  <c r="N109" i="130"/>
  <c r="O109" i="130"/>
  <c r="N110" i="130"/>
  <c r="O110" i="130"/>
  <c r="N111" i="130"/>
  <c r="O111" i="130"/>
  <c r="N112" i="130"/>
  <c r="O112" i="130"/>
  <c r="N113" i="130"/>
  <c r="O113" i="130"/>
  <c r="N114" i="130"/>
  <c r="O114" i="130"/>
  <c r="N115" i="130"/>
  <c r="O115" i="130"/>
  <c r="N116" i="130"/>
  <c r="O116" i="130"/>
  <c r="N117" i="130"/>
  <c r="O117" i="130"/>
  <c r="N118" i="130"/>
  <c r="O118" i="130"/>
  <c r="N119" i="130"/>
  <c r="O119" i="130"/>
  <c r="N120" i="130"/>
  <c r="O120" i="130"/>
  <c r="N121" i="130"/>
  <c r="O121" i="130"/>
  <c r="N122" i="130"/>
  <c r="O122" i="130"/>
  <c r="N123" i="130"/>
  <c r="O123" i="130"/>
  <c r="N124" i="130"/>
  <c r="O124" i="130"/>
  <c r="N125" i="130"/>
  <c r="O125" i="130"/>
  <c r="N126" i="130"/>
  <c r="O126" i="130"/>
  <c r="N127" i="130"/>
  <c r="O127" i="130"/>
  <c r="N128" i="130"/>
  <c r="O128" i="130"/>
  <c r="N129" i="130"/>
  <c r="O129" i="130"/>
  <c r="N130" i="130"/>
  <c r="O130" i="130"/>
  <c r="N131" i="130"/>
  <c r="O131" i="130"/>
  <c r="N132" i="130"/>
  <c r="O132" i="130"/>
  <c r="N133" i="130"/>
  <c r="O133" i="130"/>
  <c r="N134" i="130"/>
  <c r="O134" i="130"/>
  <c r="N135" i="130"/>
  <c r="O135" i="130"/>
  <c r="N136" i="130"/>
  <c r="O136" i="130"/>
  <c r="N137" i="130"/>
  <c r="O137" i="130"/>
  <c r="N138" i="130"/>
  <c r="O138" i="130"/>
  <c r="N139" i="130"/>
  <c r="O139" i="130"/>
  <c r="N140" i="130"/>
  <c r="O140" i="130"/>
  <c r="N141" i="130"/>
  <c r="O141" i="130"/>
  <c r="N142" i="130"/>
  <c r="O142" i="130"/>
  <c r="N143" i="130"/>
  <c r="O143" i="130"/>
  <c r="N144" i="130"/>
  <c r="O144" i="130"/>
  <c r="N145" i="130"/>
  <c r="O145" i="130"/>
  <c r="N146" i="130"/>
  <c r="O146" i="130"/>
  <c r="N147" i="130"/>
  <c r="O147" i="130"/>
  <c r="N148" i="130"/>
  <c r="O148" i="130"/>
  <c r="N149" i="130"/>
  <c r="O149" i="130"/>
  <c r="N150" i="130"/>
  <c r="O150" i="130"/>
  <c r="N151" i="130"/>
  <c r="O151" i="130"/>
  <c r="N152" i="130"/>
  <c r="O152" i="130"/>
  <c r="N153" i="130"/>
  <c r="O153" i="130"/>
  <c r="N154" i="130"/>
  <c r="O154" i="130"/>
  <c r="N155" i="130"/>
  <c r="O155" i="130"/>
  <c r="N156" i="130"/>
  <c r="O156" i="130"/>
  <c r="N157" i="130"/>
  <c r="O157" i="130"/>
  <c r="N158" i="130"/>
  <c r="O158" i="130"/>
  <c r="N159" i="130"/>
  <c r="O159" i="130"/>
  <c r="N160" i="130"/>
  <c r="O160" i="130"/>
  <c r="N161" i="130"/>
  <c r="O161" i="130"/>
  <c r="N162" i="130"/>
  <c r="O162" i="130"/>
  <c r="N163" i="130"/>
  <c r="O163" i="130"/>
  <c r="N164" i="130"/>
  <c r="O164" i="130"/>
  <c r="N165" i="130"/>
  <c r="O165" i="130"/>
  <c r="N166" i="130"/>
  <c r="O166" i="130"/>
  <c r="N167" i="130"/>
  <c r="O167" i="130"/>
  <c r="N168" i="130"/>
  <c r="O168" i="130"/>
  <c r="N169" i="130"/>
  <c r="O169" i="130"/>
  <c r="N170" i="130"/>
  <c r="O170" i="130"/>
  <c r="N171" i="130"/>
  <c r="O171" i="130"/>
  <c r="N172" i="130"/>
  <c r="O172" i="130"/>
  <c r="N173" i="130"/>
  <c r="O173" i="130"/>
  <c r="N174" i="130"/>
  <c r="O174" i="130"/>
  <c r="N175" i="130"/>
  <c r="O175" i="130"/>
  <c r="N176" i="130"/>
  <c r="O176" i="130"/>
  <c r="N177" i="130"/>
  <c r="O177" i="130"/>
  <c r="N178" i="130"/>
  <c r="O178" i="130"/>
  <c r="N179" i="130"/>
  <c r="O179" i="130"/>
  <c r="N180" i="130"/>
  <c r="O180" i="130"/>
  <c r="N181" i="130"/>
  <c r="O181" i="130"/>
  <c r="N182" i="130"/>
  <c r="O182" i="130"/>
  <c r="N183" i="130"/>
  <c r="O183" i="130"/>
  <c r="N184" i="130"/>
  <c r="O184" i="130"/>
  <c r="N185" i="130"/>
  <c r="O185" i="130"/>
  <c r="N186" i="130"/>
  <c r="O186" i="130"/>
  <c r="N187" i="130"/>
  <c r="O187" i="130"/>
  <c r="N188" i="130"/>
  <c r="O188" i="130"/>
  <c r="N189" i="130"/>
  <c r="O189" i="130"/>
  <c r="N190" i="130"/>
  <c r="O190" i="130"/>
  <c r="N191" i="130"/>
  <c r="O191" i="130"/>
  <c r="N192" i="130"/>
  <c r="O192" i="130"/>
  <c r="N193" i="130"/>
  <c r="O193" i="130"/>
  <c r="N194" i="130"/>
  <c r="O194" i="130"/>
  <c r="N195" i="130"/>
  <c r="O195" i="130"/>
  <c r="N196" i="130"/>
  <c r="O196" i="130"/>
  <c r="N197" i="130"/>
  <c r="O197" i="130"/>
  <c r="N198" i="130"/>
  <c r="O198" i="130"/>
  <c r="N199" i="130"/>
  <c r="O199" i="130"/>
  <c r="N200" i="130"/>
  <c r="O200" i="130"/>
  <c r="N201" i="130"/>
  <c r="O201" i="130"/>
  <c r="N202" i="130"/>
  <c r="O202" i="130"/>
  <c r="N203" i="130"/>
  <c r="O203" i="130"/>
  <c r="N204" i="130"/>
  <c r="O204" i="130"/>
  <c r="N205" i="130"/>
  <c r="O205" i="130"/>
  <c r="N206" i="130"/>
  <c r="O206" i="130"/>
  <c r="N207" i="130"/>
  <c r="O207" i="130"/>
  <c r="N208" i="130"/>
  <c r="O208" i="130"/>
  <c r="N209" i="130"/>
  <c r="O209" i="130"/>
  <c r="N210" i="130"/>
  <c r="O210" i="130"/>
  <c r="N211" i="130"/>
  <c r="O211" i="130"/>
  <c r="N212" i="130"/>
  <c r="O212" i="130"/>
  <c r="N213" i="130"/>
  <c r="O213" i="130"/>
  <c r="N214" i="130"/>
  <c r="O214" i="130"/>
  <c r="N215" i="130"/>
  <c r="O215" i="130"/>
  <c r="N216" i="130"/>
  <c r="O216" i="130"/>
  <c r="N217" i="130"/>
  <c r="O217" i="130"/>
  <c r="N218" i="130"/>
  <c r="O218" i="130"/>
  <c r="N219" i="130"/>
  <c r="O219" i="130"/>
  <c r="N220" i="130"/>
  <c r="O220" i="130"/>
  <c r="N221" i="130"/>
  <c r="O221" i="130"/>
  <c r="N222" i="130"/>
  <c r="O222" i="130"/>
  <c r="N223" i="130"/>
  <c r="O223" i="130"/>
  <c r="N224" i="130"/>
  <c r="O224" i="130"/>
  <c r="N225" i="130"/>
  <c r="O225" i="130"/>
  <c r="N226" i="130"/>
  <c r="O226" i="130"/>
  <c r="N227" i="130"/>
  <c r="O227" i="130"/>
  <c r="N228" i="130"/>
  <c r="O228" i="130"/>
  <c r="N229" i="130"/>
  <c r="O229" i="130"/>
  <c r="P25" i="134"/>
  <c r="Q8" i="134"/>
  <c r="Q9" i="134"/>
  <c r="Q10" i="134"/>
  <c r="Q11" i="134"/>
  <c r="Q12" i="134"/>
  <c r="Q14" i="134"/>
  <c r="Q15" i="134"/>
  <c r="Q16" i="134"/>
  <c r="Q20" i="134"/>
  <c r="Q21" i="134"/>
  <c r="Q22" i="134"/>
  <c r="Q23" i="134"/>
  <c r="Q7" i="134"/>
  <c r="O19" i="134"/>
  <c r="O22" i="134"/>
  <c r="P22" i="134" s="1"/>
  <c r="O20" i="134"/>
  <c r="O21" i="134" s="1"/>
  <c r="O18" i="134"/>
  <c r="O17" i="134"/>
  <c r="O16" i="134"/>
  <c r="O15" i="134"/>
  <c r="O14" i="134"/>
  <c r="O13" i="134"/>
  <c r="P7" i="134"/>
  <c r="P20" i="134"/>
  <c r="P21" i="134" s="1"/>
  <c r="P12" i="134"/>
  <c r="P15" i="134" s="1"/>
  <c r="P11" i="134"/>
  <c r="P13" i="134" s="1"/>
  <c r="P10" i="134"/>
  <c r="P9" i="134"/>
  <c r="P8" i="134"/>
  <c r="F22" i="134"/>
  <c r="H22" i="134"/>
  <c r="I22" i="134"/>
  <c r="K22" i="134"/>
  <c r="M22" i="134"/>
  <c r="N22" i="134"/>
  <c r="S22" i="134"/>
  <c r="U22" i="134"/>
  <c r="V22" i="134"/>
  <c r="X22" i="134"/>
  <c r="Z22" i="134"/>
  <c r="AA22" i="134"/>
  <c r="AC22" i="134"/>
  <c r="AE22" i="134"/>
  <c r="AF22" i="134"/>
  <c r="AI22" i="134"/>
  <c r="AK22" i="134"/>
  <c r="AM22" i="134"/>
  <c r="AN22" i="134"/>
  <c r="E23" i="134"/>
  <c r="I23" i="134" s="1"/>
  <c r="G23" i="134"/>
  <c r="J23" i="134"/>
  <c r="L23" i="134"/>
  <c r="R23" i="134"/>
  <c r="T23" i="134"/>
  <c r="W23" i="134"/>
  <c r="Y23" i="134"/>
  <c r="AA23" i="134" s="1"/>
  <c r="AB23" i="134"/>
  <c r="AD23" i="134"/>
  <c r="AG23" i="134"/>
  <c r="AH23" i="134"/>
  <c r="AJ23" i="134"/>
  <c r="AL23" i="134"/>
  <c r="N8" i="134"/>
  <c r="M8" i="134"/>
  <c r="K8" i="134"/>
  <c r="AI19" i="138" l="1"/>
  <c r="AI21" i="138"/>
  <c r="AI15" i="138"/>
  <c r="AI14" i="138"/>
  <c r="AI24" i="138"/>
  <c r="AI18" i="138"/>
  <c r="AI26" i="138"/>
  <c r="AM21" i="125"/>
  <c r="U21" i="125"/>
  <c r="AF26" i="125"/>
  <c r="AJ25" i="125"/>
  <c r="Q22" i="125"/>
  <c r="AG26" i="125"/>
  <c r="R26" i="125"/>
  <c r="AI26" i="125"/>
  <c r="AM18" i="125"/>
  <c r="AJ26" i="125"/>
  <c r="AA227" i="140"/>
  <c r="Y227" i="140"/>
  <c r="Z227" i="140"/>
  <c r="AI7" i="138"/>
  <c r="AI17" i="138"/>
  <c r="AF227" i="140"/>
  <c r="AI8" i="138"/>
  <c r="AI5" i="138"/>
  <c r="AI10" i="138"/>
  <c r="AF12" i="138"/>
  <c r="AI22" i="138"/>
  <c r="AI16" i="138"/>
  <c r="AH28" i="138"/>
  <c r="AI28" i="138" s="1"/>
  <c r="X29" i="138"/>
  <c r="AB12" i="138" s="1"/>
  <c r="AI3" i="138"/>
  <c r="AI20" i="138"/>
  <c r="AI9" i="138"/>
  <c r="AI6" i="138"/>
  <c r="AI25" i="138"/>
  <c r="Y28" i="138"/>
  <c r="AI13" i="138"/>
  <c r="Z12" i="138"/>
  <c r="Y12" i="138"/>
  <c r="W29" i="138"/>
  <c r="AG29" i="138" s="1"/>
  <c r="AG12" i="138"/>
  <c r="AH12" i="138"/>
  <c r="AE29" i="138"/>
  <c r="AM15" i="125"/>
  <c r="U15" i="125"/>
  <c r="AH18" i="125"/>
  <c r="AK18" i="125" s="1"/>
  <c r="AL19" i="125"/>
  <c r="AM19" i="125"/>
  <c r="R25" i="125"/>
  <c r="L25" i="125"/>
  <c r="AG22" i="125"/>
  <c r="AJ22" i="125"/>
  <c r="AL20" i="125"/>
  <c r="AH15" i="125"/>
  <c r="AK15" i="125" s="1"/>
  <c r="AK13" i="125"/>
  <c r="S21" i="125"/>
  <c r="K22" i="125"/>
  <c r="L26" i="125"/>
  <c r="AF25" i="125"/>
  <c r="AK14" i="125"/>
  <c r="N23" i="125"/>
  <c r="K25" i="125"/>
  <c r="AH21" i="125"/>
  <c r="S19" i="125"/>
  <c r="U23" i="125"/>
  <c r="AI25" i="125"/>
  <c r="AB19" i="125"/>
  <c r="G164" i="140"/>
  <c r="AE164" i="140" s="1"/>
  <c r="K227" i="140"/>
  <c r="AH227" i="140" s="1"/>
  <c r="AG227" i="140"/>
  <c r="T8" i="140"/>
  <c r="J227" i="140"/>
  <c r="AB227" i="140"/>
  <c r="F227" i="140"/>
  <c r="K164" i="140"/>
  <c r="AH164" i="140" s="1"/>
  <c r="R164" i="140"/>
  <c r="O164" i="140"/>
  <c r="AK164" i="140" s="1"/>
  <c r="AD164" i="140"/>
  <c r="M164" i="140"/>
  <c r="AG164" i="140"/>
  <c r="L164" i="140"/>
  <c r="AI164" i="140" s="1"/>
  <c r="AE8" i="140"/>
  <c r="N164" i="140"/>
  <c r="AJ164" i="140" s="1"/>
  <c r="AJ8" i="140"/>
  <c r="AI8" i="140"/>
  <c r="AH8" i="140"/>
  <c r="AK8" i="140"/>
  <c r="AI22" i="125"/>
  <c r="AL25" i="125"/>
  <c r="AM25" i="125"/>
  <c r="AL26" i="125"/>
  <c r="AE25" i="125"/>
  <c r="AF22" i="125"/>
  <c r="AM26" i="125"/>
  <c r="AK20" i="125"/>
  <c r="Y26" i="125"/>
  <c r="AH26" i="125" s="1"/>
  <c r="AK26" i="125" s="1"/>
  <c r="AB22" i="125"/>
  <c r="AC26" i="125"/>
  <c r="AB25" i="125"/>
  <c r="AD26" i="125"/>
  <c r="AC25" i="125"/>
  <c r="AD25" i="125"/>
  <c r="AD22" i="125"/>
  <c r="J25" i="125"/>
  <c r="J22" i="125"/>
  <c r="S20" i="125"/>
  <c r="M26" i="125"/>
  <c r="S24" i="125"/>
  <c r="T24" i="125"/>
  <c r="P22" i="125"/>
  <c r="N25" i="125"/>
  <c r="O25" i="125"/>
  <c r="P26" i="125"/>
  <c r="U26" i="125"/>
  <c r="T21" i="125"/>
  <c r="R22" i="125"/>
  <c r="R24" i="125"/>
  <c r="P25" i="125"/>
  <c r="N26" i="125"/>
  <c r="Q25" i="125"/>
  <c r="J26" i="125"/>
  <c r="U20" i="125"/>
  <c r="O22" i="125"/>
  <c r="O24" i="125"/>
  <c r="M25" i="125"/>
  <c r="P23" i="125"/>
  <c r="S23" i="125" s="1"/>
  <c r="M22" i="125"/>
  <c r="S22" i="125" s="1"/>
  <c r="Q23" i="125"/>
  <c r="Q26" i="125"/>
  <c r="N22" i="125"/>
  <c r="T22" i="125" s="1"/>
  <c r="T20" i="125"/>
  <c r="P19" i="134"/>
  <c r="P18" i="134" s="1"/>
  <c r="O23" i="134"/>
  <c r="P16" i="134"/>
  <c r="P23" i="134"/>
  <c r="P17" i="134"/>
  <c r="P14" i="134"/>
  <c r="N23" i="134"/>
  <c r="AI23" i="134"/>
  <c r="V23" i="134"/>
  <c r="AN23" i="134"/>
  <c r="AF23" i="134"/>
  <c r="AM22" i="125" l="1"/>
  <c r="T164" i="140"/>
  <c r="R227" i="140"/>
  <c r="AB17" i="138"/>
  <c r="AB6" i="138"/>
  <c r="AB18" i="138"/>
  <c r="AB8" i="138"/>
  <c r="AB29" i="138"/>
  <c r="AB5" i="138"/>
  <c r="AB14" i="138"/>
  <c r="AB22" i="138"/>
  <c r="AB19" i="138"/>
  <c r="AB24" i="138"/>
  <c r="AB10" i="138"/>
  <c r="AB21" i="138"/>
  <c r="AB23" i="138"/>
  <c r="AB16" i="138"/>
  <c r="AB3" i="138"/>
  <c r="AH29" i="138"/>
  <c r="AI29" i="138" s="1"/>
  <c r="AB15" i="138"/>
  <c r="AB7" i="138"/>
  <c r="AB26" i="138"/>
  <c r="AB20" i="138"/>
  <c r="AB28" i="138"/>
  <c r="AB9" i="138"/>
  <c r="AB13" i="138"/>
  <c r="AB4" i="138"/>
  <c r="AB25" i="138"/>
  <c r="AI12" i="138"/>
  <c r="G227" i="140"/>
  <c r="T227" i="140" s="1"/>
  <c r="AF29" i="138"/>
  <c r="AA29" i="138"/>
  <c r="AA16" i="138"/>
  <c r="Z29" i="138"/>
  <c r="AA18" i="138"/>
  <c r="Y29" i="138"/>
  <c r="AA26" i="138"/>
  <c r="AA21" i="138"/>
  <c r="AA7" i="138"/>
  <c r="AA24" i="138"/>
  <c r="AA19" i="138"/>
  <c r="AA10" i="138"/>
  <c r="AA5" i="138"/>
  <c r="AA8" i="138"/>
  <c r="AA9" i="138"/>
  <c r="AA23" i="138"/>
  <c r="AA17" i="138"/>
  <c r="AA14" i="138"/>
  <c r="AA13" i="138"/>
  <c r="AA3" i="138"/>
  <c r="AC3" i="138" s="1"/>
  <c r="AA22" i="138"/>
  <c r="AA6" i="138"/>
  <c r="AA25" i="138"/>
  <c r="AA15" i="138"/>
  <c r="AA4" i="138"/>
  <c r="AA20" i="138"/>
  <c r="AA28" i="138"/>
  <c r="AA12" i="138"/>
  <c r="AC12" i="138" s="1"/>
  <c r="T23" i="125"/>
  <c r="U25" i="125"/>
  <c r="AB26" i="125"/>
  <c r="AK21" i="125"/>
  <c r="AH25" i="125"/>
  <c r="AK25" i="125" s="1"/>
  <c r="AH22" i="125"/>
  <c r="AK22" i="125" s="1"/>
  <c r="N227" i="140"/>
  <c r="AJ227" i="140" s="1"/>
  <c r="M227" i="140"/>
  <c r="L227" i="140"/>
  <c r="AI227" i="140" s="1"/>
  <c r="AD227" i="140"/>
  <c r="O227" i="140"/>
  <c r="AK227" i="140" s="1"/>
  <c r="AL22" i="125"/>
  <c r="T25" i="125"/>
  <c r="U24" i="125"/>
  <c r="T26" i="125"/>
  <c r="S26" i="125"/>
  <c r="U22" i="125"/>
  <c r="S25" i="125"/>
  <c r="AO228" i="140"/>
  <c r="BL228" i="140" s="1"/>
  <c r="AL228" i="140"/>
  <c r="AO165" i="140"/>
  <c r="BL165" i="140" s="1"/>
  <c r="AL165" i="140"/>
  <c r="AC165" i="140"/>
  <c r="X165" i="140"/>
  <c r="W165" i="140"/>
  <c r="V165" i="140"/>
  <c r="U165" i="140"/>
  <c r="H165" i="140"/>
  <c r="AO104" i="140"/>
  <c r="BC104" i="140" s="1"/>
  <c r="S104" i="140"/>
  <c r="Q104" i="140"/>
  <c r="P104" i="140"/>
  <c r="J104" i="140"/>
  <c r="I104" i="140" a="1"/>
  <c r="I104" i="140" s="1"/>
  <c r="K104" i="140" s="1"/>
  <c r="F104" i="140"/>
  <c r="AL104" i="140"/>
  <c r="S54" i="140"/>
  <c r="Q54" i="140"/>
  <c r="P54" i="140"/>
  <c r="J54" i="140"/>
  <c r="I54" i="140" a="1"/>
  <c r="I54" i="140" s="1"/>
  <c r="K54" i="140" s="1"/>
  <c r="F54" i="140"/>
  <c r="AO54" i="140"/>
  <c r="BC54" i="140" s="1"/>
  <c r="AL54" i="140"/>
  <c r="AL9" i="140"/>
  <c r="AC9" i="140"/>
  <c r="X9" i="140"/>
  <c r="W9" i="140"/>
  <c r="BE9" i="140" s="1"/>
  <c r="V9" i="140"/>
  <c r="U9" i="140"/>
  <c r="S9" i="140"/>
  <c r="Q9" i="140"/>
  <c r="BA9" i="140" s="1"/>
  <c r="P9" i="140"/>
  <c r="AZ9" i="140" s="1"/>
  <c r="J9" i="140"/>
  <c r="AT9" i="140" s="1"/>
  <c r="I9" i="140"/>
  <c r="H9" i="140"/>
  <c r="F9" i="140"/>
  <c r="AP9" i="140" s="1"/>
  <c r="AO9" i="140"/>
  <c r="BL9" i="140" s="1"/>
  <c r="M31" i="125"/>
  <c r="I33" i="125"/>
  <c r="R31" i="125" s="1"/>
  <c r="H33" i="125"/>
  <c r="Q30" i="125" s="1"/>
  <c r="G33" i="125"/>
  <c r="P30" i="125" s="1"/>
  <c r="F33" i="125"/>
  <c r="O31" i="125" s="1"/>
  <c r="E33" i="125"/>
  <c r="K33" i="125" s="1"/>
  <c r="D33" i="125"/>
  <c r="M30" i="125" s="1"/>
  <c r="I32" i="125"/>
  <c r="H32" i="125"/>
  <c r="G32" i="125"/>
  <c r="F32" i="125"/>
  <c r="E32" i="125"/>
  <c r="D32" i="125"/>
  <c r="L31" i="125"/>
  <c r="K31" i="125"/>
  <c r="J31" i="125"/>
  <c r="L30" i="125"/>
  <c r="K30" i="125"/>
  <c r="J30" i="125"/>
  <c r="I29" i="125"/>
  <c r="H29" i="125"/>
  <c r="G29" i="125"/>
  <c r="F29" i="125"/>
  <c r="E29" i="125"/>
  <c r="D29" i="125"/>
  <c r="R28" i="125"/>
  <c r="Q28" i="125"/>
  <c r="P28" i="125"/>
  <c r="O28" i="125"/>
  <c r="N28" i="125"/>
  <c r="M28" i="125"/>
  <c r="L28" i="125"/>
  <c r="K28" i="125"/>
  <c r="J28" i="125"/>
  <c r="R27" i="125"/>
  <c r="Q27" i="125"/>
  <c r="P27" i="125"/>
  <c r="O27" i="125"/>
  <c r="N27" i="125"/>
  <c r="M27" i="125"/>
  <c r="M33" i="125" s="1"/>
  <c r="L27" i="125"/>
  <c r="K27" i="125"/>
  <c r="J27" i="125"/>
  <c r="S93" i="131"/>
  <c r="S92" i="131"/>
  <c r="P3065" i="129"/>
  <c r="Q3065" i="129"/>
  <c r="R3065" i="129"/>
  <c r="S3065" i="129"/>
  <c r="P3066" i="129"/>
  <c r="Q3066" i="129"/>
  <c r="R3066" i="129"/>
  <c r="S3066" i="129"/>
  <c r="P3067" i="129"/>
  <c r="Q3067" i="129"/>
  <c r="R3067" i="129"/>
  <c r="S3067" i="129"/>
  <c r="P3068" i="129"/>
  <c r="Q3068" i="129"/>
  <c r="R3068" i="129"/>
  <c r="S3068" i="129"/>
  <c r="P3069" i="129"/>
  <c r="Q3069" i="129"/>
  <c r="R3069" i="129"/>
  <c r="S3069" i="129"/>
  <c r="P3070" i="129"/>
  <c r="Q3070" i="129"/>
  <c r="R3070" i="129"/>
  <c r="S3070" i="129"/>
  <c r="P3071" i="129"/>
  <c r="Q3071" i="129"/>
  <c r="R3071" i="129"/>
  <c r="S3071" i="129"/>
  <c r="P3072" i="129"/>
  <c r="Q3072" i="129"/>
  <c r="R3072" i="129"/>
  <c r="S3072" i="129"/>
  <c r="P3073" i="129"/>
  <c r="Q3073" i="129"/>
  <c r="R3073" i="129"/>
  <c r="S3073" i="129"/>
  <c r="P3074" i="129"/>
  <c r="Q3074" i="129"/>
  <c r="R3074" i="129"/>
  <c r="S3074" i="129"/>
  <c r="P3075" i="129"/>
  <c r="Q3075" i="129"/>
  <c r="R3075" i="129"/>
  <c r="S3075" i="129"/>
  <c r="P3076" i="129"/>
  <c r="Q3076" i="129"/>
  <c r="R3076" i="129"/>
  <c r="S3076" i="129"/>
  <c r="P3077" i="129"/>
  <c r="Q3077" i="129"/>
  <c r="R3077" i="129"/>
  <c r="S3077" i="129"/>
  <c r="P3078" i="129"/>
  <c r="Q3078" i="129"/>
  <c r="R3078" i="129"/>
  <c r="S3078" i="129"/>
  <c r="P3079" i="129"/>
  <c r="Q3079" i="129"/>
  <c r="R3079" i="129"/>
  <c r="S3079" i="129"/>
  <c r="P3080" i="129"/>
  <c r="Q3080" i="129"/>
  <c r="R3080" i="129"/>
  <c r="S3080" i="129"/>
  <c r="P3081" i="129"/>
  <c r="Q3081" i="129"/>
  <c r="R3081" i="129"/>
  <c r="S3081" i="129"/>
  <c r="P3082" i="129"/>
  <c r="Q3082" i="129"/>
  <c r="R3082" i="129"/>
  <c r="S3082" i="129"/>
  <c r="P3083" i="129"/>
  <c r="Q3083" i="129"/>
  <c r="R3083" i="129"/>
  <c r="S3083" i="129"/>
  <c r="P3084" i="129"/>
  <c r="Q3084" i="129"/>
  <c r="R3084" i="129"/>
  <c r="S3084" i="129"/>
  <c r="P3085" i="129"/>
  <c r="Q3085" i="129"/>
  <c r="R3085" i="129"/>
  <c r="S3085" i="129"/>
  <c r="P3086" i="129"/>
  <c r="Q3086" i="129"/>
  <c r="R3086" i="129"/>
  <c r="S3086" i="129"/>
  <c r="P3087" i="129"/>
  <c r="Q3087" i="129"/>
  <c r="R3087" i="129"/>
  <c r="S3087" i="129"/>
  <c r="P3088" i="129"/>
  <c r="Q3088" i="129"/>
  <c r="R3088" i="129"/>
  <c r="S3088" i="129"/>
  <c r="P3089" i="129"/>
  <c r="Q3089" i="129"/>
  <c r="R3089" i="129"/>
  <c r="S3089" i="129"/>
  <c r="P3090" i="129"/>
  <c r="Q3090" i="129"/>
  <c r="R3090" i="129"/>
  <c r="S3090" i="129"/>
  <c r="P3091" i="129"/>
  <c r="Q3091" i="129"/>
  <c r="R3091" i="129"/>
  <c r="S3091" i="129"/>
  <c r="P3092" i="129"/>
  <c r="Q3092" i="129"/>
  <c r="R3092" i="129"/>
  <c r="S3092" i="129"/>
  <c r="P3093" i="129"/>
  <c r="Q3093" i="129"/>
  <c r="R3093" i="129"/>
  <c r="S3093" i="129"/>
  <c r="P3094" i="129"/>
  <c r="Q3094" i="129"/>
  <c r="R3094" i="129"/>
  <c r="S3094" i="129"/>
  <c r="P3095" i="129"/>
  <c r="Q3095" i="129"/>
  <c r="R3095" i="129"/>
  <c r="S3095" i="129"/>
  <c r="P3096" i="129"/>
  <c r="Q3096" i="129"/>
  <c r="R3096" i="129"/>
  <c r="S3096" i="129"/>
  <c r="O4000" i="127"/>
  <c r="P4000" i="127"/>
  <c r="Q4000" i="127"/>
  <c r="O4001" i="127"/>
  <c r="P4001" i="127"/>
  <c r="Q4001" i="127"/>
  <c r="O4002" i="127"/>
  <c r="P4002" i="127"/>
  <c r="Q4002" i="127"/>
  <c r="O4003" i="127"/>
  <c r="P4003" i="127"/>
  <c r="Q4003" i="127"/>
  <c r="O4004" i="127"/>
  <c r="P4004" i="127"/>
  <c r="Q4004" i="127"/>
  <c r="O4005" i="127"/>
  <c r="P4005" i="127"/>
  <c r="Q4005" i="127"/>
  <c r="O4006" i="127"/>
  <c r="P4006" i="127"/>
  <c r="Q4006" i="127"/>
  <c r="O4007" i="127"/>
  <c r="P4007" i="127"/>
  <c r="Q4007" i="127"/>
  <c r="O4008" i="127"/>
  <c r="P4008" i="127"/>
  <c r="Q4008" i="127"/>
  <c r="O4009" i="127"/>
  <c r="P4009" i="127"/>
  <c r="Q4009" i="127"/>
  <c r="O4010" i="127"/>
  <c r="P4010" i="127"/>
  <c r="Q4010" i="127"/>
  <c r="O4011" i="127"/>
  <c r="P4011" i="127"/>
  <c r="Q4011" i="127"/>
  <c r="O4012" i="127"/>
  <c r="P4012" i="127"/>
  <c r="Q4012" i="127"/>
  <c r="O4013" i="127"/>
  <c r="P4013" i="127"/>
  <c r="Q4013" i="127"/>
  <c r="O4014" i="127"/>
  <c r="P4014" i="127"/>
  <c r="Q4014" i="127"/>
  <c r="O4015" i="127"/>
  <c r="P4015" i="127"/>
  <c r="Q4015" i="127"/>
  <c r="O4016" i="127"/>
  <c r="P4016" i="127"/>
  <c r="Q4016" i="127"/>
  <c r="O4017" i="127"/>
  <c r="P4017" i="127"/>
  <c r="Q4017" i="127"/>
  <c r="O4018" i="127"/>
  <c r="P4018" i="127"/>
  <c r="Q4018" i="127"/>
  <c r="O4019" i="127"/>
  <c r="P4019" i="127"/>
  <c r="Q4019" i="127"/>
  <c r="O4020" i="127"/>
  <c r="P4020" i="127"/>
  <c r="Q4020" i="127"/>
  <c r="O4021" i="127"/>
  <c r="P4021" i="127"/>
  <c r="Q4021" i="127"/>
  <c r="O4022" i="127"/>
  <c r="P4022" i="127"/>
  <c r="Q4022" i="127"/>
  <c r="O4023" i="127"/>
  <c r="P4023" i="127"/>
  <c r="Q4023" i="127"/>
  <c r="O4024" i="127"/>
  <c r="P4024" i="127"/>
  <c r="Q4024" i="127"/>
  <c r="O4025" i="127"/>
  <c r="P4025" i="127"/>
  <c r="Q4025" i="127"/>
  <c r="O4026" i="127"/>
  <c r="P4026" i="127"/>
  <c r="Q4026" i="127"/>
  <c r="O4027" i="127"/>
  <c r="P4027" i="127"/>
  <c r="Q4027" i="127"/>
  <c r="O4028" i="127"/>
  <c r="P4028" i="127"/>
  <c r="Q4028" i="127"/>
  <c r="O4029" i="127"/>
  <c r="P4029" i="127"/>
  <c r="Q4029" i="127"/>
  <c r="O4030" i="127"/>
  <c r="P4030" i="127"/>
  <c r="Q4030" i="127"/>
  <c r="O4031" i="127"/>
  <c r="P4031" i="127"/>
  <c r="Q4031" i="127"/>
  <c r="O4032" i="127"/>
  <c r="P4032" i="127"/>
  <c r="Q4032" i="127"/>
  <c r="O4033" i="127"/>
  <c r="P4033" i="127"/>
  <c r="Q4033" i="127"/>
  <c r="O4034" i="127"/>
  <c r="P4034" i="127"/>
  <c r="Q4034" i="127"/>
  <c r="O4035" i="127"/>
  <c r="P4035" i="127"/>
  <c r="Q4035" i="127"/>
  <c r="O4036" i="127"/>
  <c r="P4036" i="127"/>
  <c r="Q4036" i="127"/>
  <c r="O4037" i="127"/>
  <c r="P4037" i="127"/>
  <c r="Q4037" i="127"/>
  <c r="O4038" i="127"/>
  <c r="P4038" i="127"/>
  <c r="Q4038" i="127"/>
  <c r="O4039" i="127"/>
  <c r="P4039" i="127"/>
  <c r="Q4039" i="127"/>
  <c r="O4040" i="127"/>
  <c r="P4040" i="127"/>
  <c r="Q4040" i="127"/>
  <c r="N84" i="130"/>
  <c r="O84" i="130"/>
  <c r="N85" i="130"/>
  <c r="O85" i="130"/>
  <c r="Q31" i="125" l="1"/>
  <c r="AC17" i="138"/>
  <c r="AE227" i="140"/>
  <c r="AC22" i="138"/>
  <c r="AC16" i="138"/>
  <c r="AC5" i="138"/>
  <c r="AC18" i="138"/>
  <c r="AC6" i="138"/>
  <c r="AC8" i="138"/>
  <c r="AC29" i="138"/>
  <c r="AC14" i="138"/>
  <c r="AC23" i="138"/>
  <c r="AC24" i="138"/>
  <c r="AC21" i="138"/>
  <c r="AC19" i="138"/>
  <c r="AC10" i="138"/>
  <c r="AC26" i="138"/>
  <c r="AC13" i="138"/>
  <c r="AC7" i="138"/>
  <c r="AC15" i="138"/>
  <c r="AC20" i="138"/>
  <c r="AC28" i="138"/>
  <c r="AC9" i="138"/>
  <c r="AC4" i="138"/>
  <c r="AC25" i="138"/>
  <c r="L32" i="125"/>
  <c r="Q29" i="125"/>
  <c r="K32" i="125"/>
  <c r="AC228" i="140"/>
  <c r="V228" i="140"/>
  <c r="O33" i="125"/>
  <c r="N30" i="125"/>
  <c r="P31" i="125"/>
  <c r="P33" i="125"/>
  <c r="O30" i="125"/>
  <c r="L33" i="125"/>
  <c r="R30" i="125"/>
  <c r="K29" i="125"/>
  <c r="N31" i="125"/>
  <c r="S28" i="125"/>
  <c r="Q165" i="140"/>
  <c r="Q228" i="140" s="1"/>
  <c r="P165" i="140"/>
  <c r="H228" i="140"/>
  <c r="Z9" i="140"/>
  <c r="BH9" i="140" s="1"/>
  <c r="Z165" i="140"/>
  <c r="AB165" i="140"/>
  <c r="X228" i="140"/>
  <c r="AA165" i="140"/>
  <c r="U228" i="140"/>
  <c r="W228" i="140"/>
  <c r="S165" i="140"/>
  <c r="S228" i="140" s="1"/>
  <c r="F165" i="140"/>
  <c r="AF165" i="140"/>
  <c r="I165" i="140"/>
  <c r="I228" i="140" s="1"/>
  <c r="J165" i="140"/>
  <c r="J228" i="140" s="1"/>
  <c r="Y165" i="140"/>
  <c r="O54" i="140"/>
  <c r="O104" i="140"/>
  <c r="R104" i="140"/>
  <c r="AB9" i="140"/>
  <c r="BJ9" i="140" s="1"/>
  <c r="R54" i="140"/>
  <c r="N104" i="140"/>
  <c r="L104" i="140"/>
  <c r="M104" i="140"/>
  <c r="G104" i="140"/>
  <c r="T104" i="140" s="1"/>
  <c r="Y9" i="140"/>
  <c r="BG9" i="140" s="1"/>
  <c r="AA9" i="140"/>
  <c r="BI9" i="140" s="1"/>
  <c r="L54" i="140"/>
  <c r="N54" i="140"/>
  <c r="M54" i="140"/>
  <c r="G54" i="140"/>
  <c r="BB9" i="140"/>
  <c r="AW9" i="140"/>
  <c r="AY9" i="140"/>
  <c r="AF9" i="140"/>
  <c r="K9" i="140"/>
  <c r="M9" i="140"/>
  <c r="N9" i="140"/>
  <c r="R9" i="140"/>
  <c r="BC9" i="140"/>
  <c r="BK9" i="140"/>
  <c r="AD9" i="140"/>
  <c r="AR9" i="140"/>
  <c r="BD9" i="140"/>
  <c r="AS9" i="140"/>
  <c r="AV9" i="140" s="1"/>
  <c r="BF9" i="140"/>
  <c r="AQ9" i="140"/>
  <c r="AG9" i="140"/>
  <c r="G9" i="140"/>
  <c r="O9" i="140"/>
  <c r="L9" i="140"/>
  <c r="L29" i="125"/>
  <c r="N32" i="125"/>
  <c r="J32" i="125"/>
  <c r="N33" i="125"/>
  <c r="O32" i="125"/>
  <c r="J33" i="125"/>
  <c r="R32" i="125"/>
  <c r="J29" i="125"/>
  <c r="U27" i="125"/>
  <c r="P29" i="125"/>
  <c r="S27" i="125"/>
  <c r="N29" i="125"/>
  <c r="T29" i="125" s="1"/>
  <c r="S33" i="125"/>
  <c r="T28" i="125"/>
  <c r="R29" i="125"/>
  <c r="P32" i="125"/>
  <c r="U28" i="125"/>
  <c r="Q32" i="125"/>
  <c r="T32" i="125" s="1"/>
  <c r="M29" i="125"/>
  <c r="Q33" i="125"/>
  <c r="T33" i="125" s="1"/>
  <c r="T27" i="125"/>
  <c r="R33" i="125"/>
  <c r="O29" i="125"/>
  <c r="M32" i="125"/>
  <c r="U33" i="125" l="1"/>
  <c r="Y228" i="140"/>
  <c r="AA228" i="140"/>
  <c r="AH9" i="140"/>
  <c r="AI9" i="140"/>
  <c r="AK9" i="140"/>
  <c r="P228" i="140"/>
  <c r="F228" i="140"/>
  <c r="M228" i="140" s="1"/>
  <c r="AF228" i="140"/>
  <c r="Z228" i="140"/>
  <c r="N228" i="140"/>
  <c r="K228" i="140"/>
  <c r="AG228" i="140"/>
  <c r="AE9" i="140"/>
  <c r="AB228" i="140"/>
  <c r="N165" i="140"/>
  <c r="AJ165" i="140" s="1"/>
  <c r="K165" i="140"/>
  <c r="AH165" i="140" s="1"/>
  <c r="L165" i="140"/>
  <c r="AI165" i="140" s="1"/>
  <c r="AD165" i="140"/>
  <c r="M165" i="140"/>
  <c r="T54" i="140"/>
  <c r="G165" i="140"/>
  <c r="G228" i="140" s="1"/>
  <c r="AE228" i="140" s="1"/>
  <c r="O165" i="140"/>
  <c r="AK165" i="140" s="1"/>
  <c r="AJ9" i="140"/>
  <c r="AG165" i="140"/>
  <c r="R165" i="140"/>
  <c r="AX9" i="140"/>
  <c r="AU9" i="140"/>
  <c r="T9" i="140"/>
  <c r="S32" i="125"/>
  <c r="U32" i="125"/>
  <c r="S29" i="125"/>
  <c r="U29" i="125"/>
  <c r="AJ228" i="140" l="1"/>
  <c r="AH228" i="140"/>
  <c r="AD228" i="140"/>
  <c r="O228" i="140"/>
  <c r="AK228" i="140" s="1"/>
  <c r="R228" i="140"/>
  <c r="L228" i="140"/>
  <c r="AI228" i="140" s="1"/>
  <c r="T228" i="140"/>
  <c r="AE165" i="140"/>
  <c r="T165" i="140"/>
  <c r="AD37" i="156"/>
  <c r="AC37" i="156"/>
  <c r="AC38" i="156" s="1"/>
  <c r="W37" i="156"/>
  <c r="W38" i="156" s="1"/>
  <c r="V37" i="156"/>
  <c r="AD34" i="156"/>
  <c r="AC34" i="156"/>
  <c r="W34" i="156"/>
  <c r="V34" i="156"/>
  <c r="AD33" i="156"/>
  <c r="AC33" i="156"/>
  <c r="W33" i="156"/>
  <c r="V33" i="156"/>
  <c r="AD32" i="156"/>
  <c r="AC32" i="156"/>
  <c r="W32" i="156"/>
  <c r="V32" i="156"/>
  <c r="AD31" i="156"/>
  <c r="AC31" i="156"/>
  <c r="W31" i="156"/>
  <c r="V31" i="156"/>
  <c r="AD30" i="156"/>
  <c r="AC30" i="156"/>
  <c r="W30" i="156"/>
  <c r="V30" i="156"/>
  <c r="AD28" i="156"/>
  <c r="AC28" i="156"/>
  <c r="W28" i="156"/>
  <c r="V28" i="156"/>
  <c r="AD27" i="156"/>
  <c r="AC27" i="156"/>
  <c r="W27" i="156"/>
  <c r="V27" i="156"/>
  <c r="AD26" i="156"/>
  <c r="AC26" i="156"/>
  <c r="W26" i="156"/>
  <c r="V26" i="156"/>
  <c r="AD24" i="156"/>
  <c r="AC24" i="156"/>
  <c r="W24" i="156"/>
  <c r="V24" i="156"/>
  <c r="AD23" i="156"/>
  <c r="AC23" i="156"/>
  <c r="W23" i="156"/>
  <c r="V23" i="156"/>
  <c r="AD21" i="156"/>
  <c r="AC21" i="156"/>
  <c r="AC22" i="156" s="1"/>
  <c r="W21" i="156"/>
  <c r="W22" i="156" s="1"/>
  <c r="V21" i="156"/>
  <c r="AD19" i="156"/>
  <c r="AC19" i="156"/>
  <c r="AC20" i="156" s="1"/>
  <c r="W19" i="156"/>
  <c r="W20" i="156" s="1"/>
  <c r="V19" i="156"/>
  <c r="AD12" i="156"/>
  <c r="AC12" i="156"/>
  <c r="W12" i="156"/>
  <c r="V12" i="156"/>
  <c r="AD11" i="156"/>
  <c r="AC11" i="156"/>
  <c r="W11" i="156"/>
  <c r="V11" i="156"/>
  <c r="AD9" i="156"/>
  <c r="AC9" i="156"/>
  <c r="AC10" i="156" s="1"/>
  <c r="W9" i="156"/>
  <c r="W10" i="156" s="1"/>
  <c r="V9" i="156"/>
  <c r="AD7" i="156"/>
  <c r="AC7" i="156"/>
  <c r="W7" i="156"/>
  <c r="V7" i="156"/>
  <c r="AD6" i="156"/>
  <c r="AC6" i="156"/>
  <c r="W6" i="156"/>
  <c r="V6" i="156"/>
  <c r="AD5" i="156"/>
  <c r="AC5" i="156"/>
  <c r="W5" i="156"/>
  <c r="V5" i="156"/>
  <c r="AD4" i="156"/>
  <c r="AC4" i="156"/>
  <c r="W4" i="156"/>
  <c r="V4" i="156"/>
  <c r="L37" i="156"/>
  <c r="L38" i="156" s="1"/>
  <c r="L34" i="156"/>
  <c r="L33" i="156"/>
  <c r="L32" i="156"/>
  <c r="L31" i="156"/>
  <c r="L30" i="156"/>
  <c r="L28" i="156"/>
  <c r="L27" i="156"/>
  <c r="L26" i="156"/>
  <c r="L24" i="156"/>
  <c r="L23" i="156"/>
  <c r="L21" i="156"/>
  <c r="L19" i="156"/>
  <c r="L20" i="156" s="1"/>
  <c r="L12" i="156"/>
  <c r="L11" i="156"/>
  <c r="L9" i="156"/>
  <c r="L7" i="156"/>
  <c r="L6" i="156"/>
  <c r="L5" i="156"/>
  <c r="L4" i="156"/>
  <c r="K37" i="156"/>
  <c r="K38" i="156" s="1"/>
  <c r="K39" i="156" s="1"/>
  <c r="K34" i="156"/>
  <c r="K33" i="156"/>
  <c r="K32" i="156"/>
  <c r="K31" i="156"/>
  <c r="K30" i="156"/>
  <c r="K28" i="156"/>
  <c r="K27" i="156"/>
  <c r="K26" i="156"/>
  <c r="K24" i="156"/>
  <c r="K23" i="156"/>
  <c r="K21" i="156"/>
  <c r="K22" i="156" s="1"/>
  <c r="K19" i="156"/>
  <c r="K20" i="156" s="1"/>
  <c r="K12" i="156"/>
  <c r="K11" i="156"/>
  <c r="K9" i="156"/>
  <c r="K10" i="156" s="1"/>
  <c r="K7" i="156"/>
  <c r="K6" i="156"/>
  <c r="K5" i="156"/>
  <c r="K4" i="156"/>
  <c r="E37" i="156"/>
  <c r="E34" i="156"/>
  <c r="E33" i="156"/>
  <c r="E32" i="156"/>
  <c r="E31" i="156"/>
  <c r="E30" i="156"/>
  <c r="E28" i="156"/>
  <c r="E27" i="156"/>
  <c r="E26" i="156"/>
  <c r="E24" i="156"/>
  <c r="E23" i="156"/>
  <c r="O23" i="156" s="1"/>
  <c r="E21" i="156"/>
  <c r="E22" i="156" s="1"/>
  <c r="E19" i="156"/>
  <c r="E20" i="156" s="1"/>
  <c r="E12" i="156"/>
  <c r="E11" i="156"/>
  <c r="E9" i="156"/>
  <c r="E7" i="156"/>
  <c r="E6" i="156"/>
  <c r="E5" i="156"/>
  <c r="E4" i="156"/>
  <c r="D37" i="156"/>
  <c r="D34" i="156"/>
  <c r="D33" i="156"/>
  <c r="D32" i="156"/>
  <c r="D31" i="156"/>
  <c r="D30" i="156"/>
  <c r="D28" i="156"/>
  <c r="D27" i="156"/>
  <c r="D26" i="156"/>
  <c r="D24" i="156"/>
  <c r="D23" i="156"/>
  <c r="D21" i="156"/>
  <c r="D22" i="156" s="1"/>
  <c r="D19" i="156"/>
  <c r="D20" i="156" s="1"/>
  <c r="D12" i="156"/>
  <c r="D11" i="156"/>
  <c r="D9" i="156"/>
  <c r="D10" i="156" s="1"/>
  <c r="D5" i="156"/>
  <c r="D6" i="156"/>
  <c r="D7" i="156"/>
  <c r="D4" i="156"/>
  <c r="C5" i="154"/>
  <c r="C6" i="154"/>
  <c r="C7" i="154"/>
  <c r="C8" i="154"/>
  <c r="C9" i="154"/>
  <c r="C10" i="154"/>
  <c r="C11" i="154"/>
  <c r="C12" i="154"/>
  <c r="C13" i="154"/>
  <c r="C14" i="154"/>
  <c r="C15" i="154"/>
  <c r="C16" i="154"/>
  <c r="C17" i="154"/>
  <c r="C18" i="154"/>
  <c r="C19" i="154"/>
  <c r="C20" i="154"/>
  <c r="C21" i="154"/>
  <c r="C22" i="154"/>
  <c r="C23" i="154"/>
  <c r="C24" i="154"/>
  <c r="C25" i="154"/>
  <c r="C26" i="154"/>
  <c r="C27" i="154"/>
  <c r="C28" i="154"/>
  <c r="C29" i="154"/>
  <c r="C30" i="154"/>
  <c r="C31" i="154"/>
  <c r="C32" i="154"/>
  <c r="C33" i="154"/>
  <c r="C34" i="154"/>
  <c r="C35" i="154"/>
  <c r="C36" i="154"/>
  <c r="C37" i="154"/>
  <c r="C38" i="154"/>
  <c r="C39" i="154"/>
  <c r="C40" i="154"/>
  <c r="C41" i="154"/>
  <c r="C42" i="154"/>
  <c r="C43" i="154"/>
  <c r="C44" i="154"/>
  <c r="C45" i="154"/>
  <c r="C46" i="154"/>
  <c r="C47" i="154"/>
  <c r="C48" i="154"/>
  <c r="C49" i="154"/>
  <c r="C50" i="154"/>
  <c r="C51" i="154"/>
  <c r="C52" i="154"/>
  <c r="C53" i="154"/>
  <c r="C54" i="154"/>
  <c r="C55" i="154"/>
  <c r="C56" i="154"/>
  <c r="C57" i="154"/>
  <c r="C58" i="154"/>
  <c r="C59" i="154"/>
  <c r="C60" i="154"/>
  <c r="C61" i="154"/>
  <c r="C62" i="154"/>
  <c r="C63" i="154"/>
  <c r="C64" i="154"/>
  <c r="C65" i="154"/>
  <c r="C66" i="154"/>
  <c r="C67" i="154"/>
  <c r="C68" i="154"/>
  <c r="C69" i="154"/>
  <c r="C70" i="154"/>
  <c r="C71" i="154"/>
  <c r="C72" i="154"/>
  <c r="C73" i="154"/>
  <c r="C74" i="154"/>
  <c r="C75" i="154"/>
  <c r="C76" i="154"/>
  <c r="C77" i="154"/>
  <c r="C78" i="154"/>
  <c r="C79" i="154"/>
  <c r="C80" i="154"/>
  <c r="C81" i="154"/>
  <c r="C82" i="154"/>
  <c r="C83" i="154"/>
  <c r="C84" i="154"/>
  <c r="C85" i="154"/>
  <c r="C86" i="154"/>
  <c r="C87" i="154"/>
  <c r="C88" i="154"/>
  <c r="C89" i="154"/>
  <c r="C90" i="154"/>
  <c r="C91" i="154"/>
  <c r="C92" i="154"/>
  <c r="C93" i="154"/>
  <c r="C94" i="154"/>
  <c r="C95" i="154"/>
  <c r="C96" i="154"/>
  <c r="C97" i="154"/>
  <c r="C98" i="154"/>
  <c r="C99" i="154"/>
  <c r="C100" i="154"/>
  <c r="C101" i="154"/>
  <c r="C102" i="154"/>
  <c r="C103" i="154"/>
  <c r="C104" i="154"/>
  <c r="C105" i="154"/>
  <c r="C106" i="154"/>
  <c r="C107" i="154"/>
  <c r="C108" i="154"/>
  <c r="C109" i="154"/>
  <c r="C110" i="154"/>
  <c r="C111" i="154"/>
  <c r="C112" i="154"/>
  <c r="C113" i="154"/>
  <c r="C114" i="154"/>
  <c r="C115" i="154"/>
  <c r="C116" i="154"/>
  <c r="C117" i="154"/>
  <c r="C118" i="154"/>
  <c r="C119" i="154"/>
  <c r="C120" i="154"/>
  <c r="C121" i="154"/>
  <c r="C122" i="154"/>
  <c r="C123" i="154"/>
  <c r="C124" i="154"/>
  <c r="C125" i="154"/>
  <c r="C126" i="154"/>
  <c r="C127" i="154"/>
  <c r="C128" i="154"/>
  <c r="C129" i="154"/>
  <c r="C130" i="154"/>
  <c r="C131" i="154"/>
  <c r="C132" i="154"/>
  <c r="C133" i="154"/>
  <c r="C134" i="154"/>
  <c r="C135" i="154"/>
  <c r="C136" i="154"/>
  <c r="C137" i="154"/>
  <c r="C138" i="154"/>
  <c r="C139" i="154"/>
  <c r="C140" i="154"/>
  <c r="C141" i="154"/>
  <c r="C142" i="154"/>
  <c r="C143" i="154"/>
  <c r="C144" i="154"/>
  <c r="C145" i="154"/>
  <c r="C146" i="154"/>
  <c r="C147" i="154"/>
  <c r="C148" i="154"/>
  <c r="C149" i="154"/>
  <c r="C150" i="154"/>
  <c r="C151" i="154"/>
  <c r="C152" i="154"/>
  <c r="C153" i="154"/>
  <c r="C154" i="154"/>
  <c r="C155" i="154"/>
  <c r="C156" i="154"/>
  <c r="C157" i="154"/>
  <c r="C158" i="154"/>
  <c r="C159" i="154"/>
  <c r="C160" i="154"/>
  <c r="C161" i="154"/>
  <c r="C162" i="154"/>
  <c r="C163" i="154"/>
  <c r="C164" i="154"/>
  <c r="C165" i="154"/>
  <c r="C166" i="154"/>
  <c r="C167" i="154"/>
  <c r="C168" i="154"/>
  <c r="C169" i="154"/>
  <c r="C170" i="154"/>
  <c r="C171" i="154"/>
  <c r="C172" i="154"/>
  <c r="C173" i="154"/>
  <c r="C174" i="154"/>
  <c r="C175" i="154"/>
  <c r="C176" i="154"/>
  <c r="C177" i="154"/>
  <c r="C178" i="154"/>
  <c r="C179" i="154"/>
  <c r="C180" i="154"/>
  <c r="C181" i="154"/>
  <c r="C182" i="154"/>
  <c r="C183" i="154"/>
  <c r="C184" i="154"/>
  <c r="C185" i="154"/>
  <c r="C186" i="154"/>
  <c r="C187" i="154"/>
  <c r="C188" i="154"/>
  <c r="C189" i="154"/>
  <c r="C190" i="154"/>
  <c r="C191" i="154"/>
  <c r="C192" i="154"/>
  <c r="C193" i="154"/>
  <c r="C194" i="154"/>
  <c r="C4" i="154"/>
  <c r="B5" i="154"/>
  <c r="B6" i="154"/>
  <c r="B7" i="154"/>
  <c r="B8" i="154"/>
  <c r="B9" i="154"/>
  <c r="B10" i="154"/>
  <c r="B11" i="154"/>
  <c r="B12" i="154"/>
  <c r="B13" i="154"/>
  <c r="B14" i="154"/>
  <c r="B15" i="154"/>
  <c r="B16" i="154"/>
  <c r="B17" i="154"/>
  <c r="B18" i="154"/>
  <c r="B19" i="154"/>
  <c r="B20" i="154"/>
  <c r="B21" i="154"/>
  <c r="B22" i="154"/>
  <c r="B23" i="154"/>
  <c r="B24" i="154"/>
  <c r="B25" i="154"/>
  <c r="B26" i="154"/>
  <c r="B27" i="154"/>
  <c r="B28" i="154"/>
  <c r="B29" i="154"/>
  <c r="B30" i="154"/>
  <c r="B31" i="154"/>
  <c r="B32" i="154"/>
  <c r="B33" i="154"/>
  <c r="B34" i="154"/>
  <c r="B35" i="154"/>
  <c r="B36" i="154"/>
  <c r="B37" i="154"/>
  <c r="B38" i="154"/>
  <c r="B39" i="154"/>
  <c r="B40" i="154"/>
  <c r="B41" i="154"/>
  <c r="B42" i="154"/>
  <c r="B43" i="154"/>
  <c r="B44" i="154"/>
  <c r="B45" i="154"/>
  <c r="B46" i="154"/>
  <c r="B47" i="154"/>
  <c r="B48" i="154"/>
  <c r="B49" i="154"/>
  <c r="B50" i="154"/>
  <c r="B51" i="154"/>
  <c r="B52" i="154"/>
  <c r="B53" i="154"/>
  <c r="B54" i="154"/>
  <c r="B55" i="154"/>
  <c r="B56" i="154"/>
  <c r="B57" i="154"/>
  <c r="B58" i="154"/>
  <c r="B59" i="154"/>
  <c r="B60" i="154"/>
  <c r="B61" i="154"/>
  <c r="B62" i="154"/>
  <c r="B63" i="154"/>
  <c r="B64" i="154"/>
  <c r="B65" i="154"/>
  <c r="B66" i="154"/>
  <c r="B67" i="154"/>
  <c r="B68" i="154"/>
  <c r="B69" i="154"/>
  <c r="B70" i="154"/>
  <c r="B71" i="154"/>
  <c r="B72" i="154"/>
  <c r="B73" i="154"/>
  <c r="B74" i="154"/>
  <c r="B75" i="154"/>
  <c r="B76" i="154"/>
  <c r="B77" i="154"/>
  <c r="B78" i="154"/>
  <c r="B79" i="154"/>
  <c r="B80" i="154"/>
  <c r="B81" i="154"/>
  <c r="B82" i="154"/>
  <c r="B83" i="154"/>
  <c r="B84" i="154"/>
  <c r="B85" i="154"/>
  <c r="B86" i="154"/>
  <c r="B87" i="154"/>
  <c r="B88" i="154"/>
  <c r="B89" i="154"/>
  <c r="B90" i="154"/>
  <c r="B91" i="154"/>
  <c r="B92" i="154"/>
  <c r="B93" i="154"/>
  <c r="B94" i="154"/>
  <c r="B95" i="154"/>
  <c r="B96" i="154"/>
  <c r="B97" i="154"/>
  <c r="B98" i="154"/>
  <c r="B99" i="154"/>
  <c r="B100" i="154"/>
  <c r="B101" i="154"/>
  <c r="B102" i="154"/>
  <c r="B103" i="154"/>
  <c r="B104" i="154"/>
  <c r="B105" i="154"/>
  <c r="B106" i="154"/>
  <c r="B107" i="154"/>
  <c r="B108" i="154"/>
  <c r="B109" i="154"/>
  <c r="B110" i="154"/>
  <c r="B111" i="154"/>
  <c r="B112" i="154"/>
  <c r="B113" i="154"/>
  <c r="B114" i="154"/>
  <c r="B115" i="154"/>
  <c r="B116" i="154"/>
  <c r="B117" i="154"/>
  <c r="B118" i="154"/>
  <c r="B119" i="154"/>
  <c r="B120" i="154"/>
  <c r="B121" i="154"/>
  <c r="B122" i="154"/>
  <c r="B123" i="154"/>
  <c r="B124" i="154"/>
  <c r="B125" i="154"/>
  <c r="B126" i="154"/>
  <c r="B127" i="154"/>
  <c r="B128" i="154"/>
  <c r="B129" i="154"/>
  <c r="B130" i="154"/>
  <c r="B131" i="154"/>
  <c r="B132" i="154"/>
  <c r="B133" i="154"/>
  <c r="B134" i="154"/>
  <c r="B135" i="154"/>
  <c r="B136" i="154"/>
  <c r="B137" i="154"/>
  <c r="B138" i="154"/>
  <c r="B139" i="154"/>
  <c r="B140" i="154"/>
  <c r="B141" i="154"/>
  <c r="B142" i="154"/>
  <c r="B143" i="154"/>
  <c r="B144" i="154"/>
  <c r="B145" i="154"/>
  <c r="B146" i="154"/>
  <c r="B147" i="154"/>
  <c r="B148" i="154"/>
  <c r="B149" i="154"/>
  <c r="B150" i="154"/>
  <c r="B151" i="154"/>
  <c r="B152" i="154"/>
  <c r="B153" i="154"/>
  <c r="B154" i="154"/>
  <c r="B155" i="154"/>
  <c r="B156" i="154"/>
  <c r="B157" i="154"/>
  <c r="B158" i="154"/>
  <c r="B159" i="154"/>
  <c r="B160" i="154"/>
  <c r="B161" i="154"/>
  <c r="B162" i="154"/>
  <c r="B163" i="154"/>
  <c r="B164" i="154"/>
  <c r="B165" i="154"/>
  <c r="B166" i="154"/>
  <c r="B167" i="154"/>
  <c r="B168" i="154"/>
  <c r="B169" i="154"/>
  <c r="B170" i="154"/>
  <c r="B171" i="154"/>
  <c r="B172" i="154"/>
  <c r="B173" i="154"/>
  <c r="B174" i="154"/>
  <c r="B175" i="154"/>
  <c r="B176" i="154"/>
  <c r="B177" i="154"/>
  <c r="B178" i="154"/>
  <c r="B179" i="154"/>
  <c r="B180" i="154"/>
  <c r="B181" i="154"/>
  <c r="B182" i="154"/>
  <c r="B183" i="154"/>
  <c r="B184" i="154"/>
  <c r="B185" i="154"/>
  <c r="B186" i="154"/>
  <c r="B187" i="154"/>
  <c r="B188" i="154"/>
  <c r="B189" i="154"/>
  <c r="B190" i="154"/>
  <c r="B191" i="154"/>
  <c r="B192" i="154"/>
  <c r="B193" i="154"/>
  <c r="B194" i="154"/>
  <c r="B4" i="154"/>
  <c r="AC166" i="140"/>
  <c r="X166" i="140"/>
  <c r="W166" i="140"/>
  <c r="V166" i="140"/>
  <c r="U166" i="140"/>
  <c r="H203" i="140"/>
  <c r="H204" i="140"/>
  <c r="H186" i="140"/>
  <c r="V14" i="156" l="1"/>
  <c r="L14" i="156"/>
  <c r="O31" i="156"/>
  <c r="AD14" i="156"/>
  <c r="AC14" i="156"/>
  <c r="W14" i="156"/>
  <c r="D14" i="156"/>
  <c r="K14" i="156"/>
  <c r="E14" i="156"/>
  <c r="O14" i="156" s="1"/>
  <c r="G27" i="156"/>
  <c r="AD29" i="156"/>
  <c r="L25" i="156"/>
  <c r="G31" i="156"/>
  <c r="AG4" i="156"/>
  <c r="N24" i="156"/>
  <c r="W35" i="156"/>
  <c r="V35" i="156"/>
  <c r="N6" i="156"/>
  <c r="N34" i="156"/>
  <c r="O4" i="156"/>
  <c r="O21" i="156"/>
  <c r="O20" i="156"/>
  <c r="O11" i="156"/>
  <c r="N30" i="156"/>
  <c r="O9" i="156"/>
  <c r="O27" i="156"/>
  <c r="AG6" i="156"/>
  <c r="AG12" i="156"/>
  <c r="AG24" i="156"/>
  <c r="AG27" i="156"/>
  <c r="AG30" i="156"/>
  <c r="AG32" i="156"/>
  <c r="AG34" i="156"/>
  <c r="L22" i="156"/>
  <c r="O22" i="156" s="1"/>
  <c r="O32" i="156"/>
  <c r="AG26" i="156"/>
  <c r="L10" i="156"/>
  <c r="E29" i="156"/>
  <c r="O12" i="156"/>
  <c r="O30" i="156"/>
  <c r="AG7" i="156"/>
  <c r="AG11" i="156"/>
  <c r="AG23" i="156"/>
  <c r="AG28" i="156"/>
  <c r="AG31" i="156"/>
  <c r="AG33" i="156"/>
  <c r="G23" i="156"/>
  <c r="G33" i="156"/>
  <c r="O19" i="156"/>
  <c r="O5" i="156"/>
  <c r="O33" i="156"/>
  <c r="O6" i="156"/>
  <c r="O24" i="156"/>
  <c r="O34" i="156"/>
  <c r="G28" i="156"/>
  <c r="O7" i="156"/>
  <c r="O26" i="156"/>
  <c r="AF4" i="156"/>
  <c r="AF6" i="156"/>
  <c r="AF12" i="156"/>
  <c r="AF24" i="156"/>
  <c r="N12" i="156"/>
  <c r="N32" i="156"/>
  <c r="K25" i="156"/>
  <c r="AF23" i="156"/>
  <c r="AF26" i="156"/>
  <c r="AF28" i="156"/>
  <c r="AF31" i="156"/>
  <c r="N11" i="156"/>
  <c r="N28" i="156"/>
  <c r="G5" i="156"/>
  <c r="N20" i="156"/>
  <c r="N31" i="156"/>
  <c r="P31" i="156" s="1"/>
  <c r="X26" i="156"/>
  <c r="N4" i="156"/>
  <c r="N21" i="156"/>
  <c r="N5" i="156"/>
  <c r="N33" i="156"/>
  <c r="N7" i="156"/>
  <c r="N26" i="156"/>
  <c r="N37" i="156"/>
  <c r="X28" i="156"/>
  <c r="N10" i="156"/>
  <c r="N27" i="156"/>
  <c r="AF5" i="156"/>
  <c r="L39" i="156"/>
  <c r="N22" i="156"/>
  <c r="G34" i="156"/>
  <c r="N23" i="156"/>
  <c r="P23" i="156" s="1"/>
  <c r="AF27" i="156"/>
  <c r="AF32" i="156"/>
  <c r="AF34" i="156"/>
  <c r="L29" i="156"/>
  <c r="L35" i="156"/>
  <c r="N9" i="156"/>
  <c r="O37" i="156"/>
  <c r="O28" i="156"/>
  <c r="G6" i="156"/>
  <c r="F5" i="156"/>
  <c r="N19" i="156"/>
  <c r="E25" i="156"/>
  <c r="E35" i="156"/>
  <c r="X30" i="156"/>
  <c r="Y6" i="156"/>
  <c r="X6" i="156"/>
  <c r="X12" i="156"/>
  <c r="AF30" i="156"/>
  <c r="X34" i="156"/>
  <c r="Y12" i="156"/>
  <c r="X24" i="156"/>
  <c r="X4" i="156"/>
  <c r="Y4" i="156"/>
  <c r="X32" i="156"/>
  <c r="Y7" i="156"/>
  <c r="X7" i="156"/>
  <c r="V20" i="156"/>
  <c r="AF20" i="156" s="1"/>
  <c r="Y19" i="156"/>
  <c r="X19" i="156"/>
  <c r="AF21" i="156"/>
  <c r="AF7" i="156"/>
  <c r="AD10" i="156"/>
  <c r="AG10" i="156" s="1"/>
  <c r="AG9" i="156"/>
  <c r="AD22" i="156"/>
  <c r="AG22" i="156" s="1"/>
  <c r="AG21" i="156"/>
  <c r="V38" i="156"/>
  <c r="Y37" i="156"/>
  <c r="X37" i="156"/>
  <c r="V22" i="156"/>
  <c r="AF22" i="156" s="1"/>
  <c r="Y21" i="156"/>
  <c r="X21" i="156"/>
  <c r="AD25" i="156"/>
  <c r="AF19" i="156"/>
  <c r="W39" i="156"/>
  <c r="W8" i="156"/>
  <c r="Y11" i="156"/>
  <c r="X11" i="156"/>
  <c r="Y23" i="156"/>
  <c r="X23" i="156"/>
  <c r="Y31" i="156"/>
  <c r="X31" i="156"/>
  <c r="AD38" i="156"/>
  <c r="AG37" i="156"/>
  <c r="Y5" i="156"/>
  <c r="X5" i="156"/>
  <c r="AD20" i="156"/>
  <c r="AG19" i="156"/>
  <c r="AC39" i="156"/>
  <c r="Y27" i="156"/>
  <c r="X27" i="156"/>
  <c r="AG5" i="156"/>
  <c r="AF11" i="156"/>
  <c r="V25" i="156"/>
  <c r="V29" i="156"/>
  <c r="Y33" i="156"/>
  <c r="X33" i="156"/>
  <c r="V10" i="156"/>
  <c r="AF10" i="156" s="1"/>
  <c r="Y9" i="156"/>
  <c r="X9" i="156"/>
  <c r="AF33" i="156"/>
  <c r="AD35" i="156"/>
  <c r="Y24" i="156"/>
  <c r="AC25" i="156"/>
  <c r="Y26" i="156"/>
  <c r="Y28" i="156"/>
  <c r="AC29" i="156"/>
  <c r="Y30" i="156"/>
  <c r="Y32" i="156"/>
  <c r="Y34" i="156"/>
  <c r="AC35" i="156"/>
  <c r="AF9" i="156"/>
  <c r="W25" i="156"/>
  <c r="W29" i="156"/>
  <c r="AF37" i="156"/>
  <c r="AC8" i="156"/>
  <c r="AC18" i="156" s="1"/>
  <c r="V8" i="156"/>
  <c r="AD8" i="156"/>
  <c r="K35" i="156"/>
  <c r="G26" i="156"/>
  <c r="F23" i="156"/>
  <c r="F33" i="156"/>
  <c r="K29" i="156"/>
  <c r="L8" i="156"/>
  <c r="G7" i="156"/>
  <c r="G20" i="156"/>
  <c r="F20" i="156"/>
  <c r="D25" i="156"/>
  <c r="E38" i="156"/>
  <c r="O38" i="156" s="1"/>
  <c r="F4" i="156"/>
  <c r="F32" i="156"/>
  <c r="F24" i="156"/>
  <c r="F12" i="156"/>
  <c r="G4" i="156"/>
  <c r="G32" i="156"/>
  <c r="G24" i="156"/>
  <c r="G12" i="156"/>
  <c r="K8" i="156"/>
  <c r="D35" i="156"/>
  <c r="E10" i="156"/>
  <c r="F30" i="156"/>
  <c r="F22" i="156"/>
  <c r="G30" i="156"/>
  <c r="G22" i="156"/>
  <c r="D38" i="156"/>
  <c r="N38" i="156" s="1"/>
  <c r="F37" i="156"/>
  <c r="F21" i="156"/>
  <c r="F9" i="156"/>
  <c r="G37" i="156"/>
  <c r="G21" i="156"/>
  <c r="G9" i="156"/>
  <c r="D29" i="156"/>
  <c r="E8" i="156"/>
  <c r="F28" i="156"/>
  <c r="F31" i="156"/>
  <c r="F11" i="156"/>
  <c r="G11" i="156"/>
  <c r="F27" i="156"/>
  <c r="F19" i="156"/>
  <c r="F7" i="156"/>
  <c r="G19" i="156"/>
  <c r="F34" i="156"/>
  <c r="F26" i="156"/>
  <c r="F6" i="156"/>
  <c r="D8" i="156"/>
  <c r="D18" i="156" s="1"/>
  <c r="H185" i="140"/>
  <c r="H90" i="140"/>
  <c r="H89" i="140"/>
  <c r="AL89" i="140"/>
  <c r="AL90" i="140"/>
  <c r="Q88" i="140"/>
  <c r="P88" i="140"/>
  <c r="J88" i="140"/>
  <c r="I88" i="140" a="1"/>
  <c r="I88" i="140" s="1"/>
  <c r="F88" i="140"/>
  <c r="S87" i="140"/>
  <c r="Q87" i="140"/>
  <c r="P87" i="140"/>
  <c r="J87" i="140"/>
  <c r="I87" i="140" a="1"/>
  <c r="I87" i="140" s="1"/>
  <c r="F87" i="140"/>
  <c r="AL87" i="140"/>
  <c r="AL88" i="140"/>
  <c r="S81" i="140"/>
  <c r="S80" i="140"/>
  <c r="Q81" i="140"/>
  <c r="Q80" i="140"/>
  <c r="P81" i="140"/>
  <c r="P80" i="140"/>
  <c r="J81" i="140"/>
  <c r="J80" i="140"/>
  <c r="I81" i="140" a="1"/>
  <c r="I81" i="140" s="1"/>
  <c r="F81" i="140"/>
  <c r="I80" i="140" a="1"/>
  <c r="I80" i="140" s="1"/>
  <c r="F80" i="140"/>
  <c r="AL80" i="140"/>
  <c r="AL81" i="140"/>
  <c r="Q85" i="140"/>
  <c r="P38" i="156" l="1"/>
  <c r="AG29" i="156"/>
  <c r="AD18" i="156"/>
  <c r="P24" i="156"/>
  <c r="P4" i="156"/>
  <c r="P21" i="156"/>
  <c r="AH31" i="156"/>
  <c r="O10" i="156"/>
  <c r="P10" i="156" s="1"/>
  <c r="L18" i="156"/>
  <c r="E18" i="156"/>
  <c r="AH4" i="156"/>
  <c r="V18" i="156"/>
  <c r="W18" i="156"/>
  <c r="K18" i="156"/>
  <c r="AH24" i="156"/>
  <c r="P12" i="156"/>
  <c r="AG35" i="156"/>
  <c r="AH26" i="156"/>
  <c r="AH12" i="156"/>
  <c r="P11" i="156"/>
  <c r="AH30" i="156"/>
  <c r="P20" i="156"/>
  <c r="Y35" i="156"/>
  <c r="AH33" i="156"/>
  <c r="O29" i="156"/>
  <c r="AH27" i="156"/>
  <c r="N14" i="156"/>
  <c r="P14" i="156" s="1"/>
  <c r="P6" i="156"/>
  <c r="D36" i="156"/>
  <c r="AH11" i="156"/>
  <c r="G14" i="156"/>
  <c r="AH10" i="156"/>
  <c r="AH7" i="156"/>
  <c r="P19" i="156"/>
  <c r="AH34" i="156"/>
  <c r="AF35" i="156"/>
  <c r="P27" i="156"/>
  <c r="X35" i="156"/>
  <c r="F14" i="156"/>
  <c r="P9" i="156"/>
  <c r="P32" i="156"/>
  <c r="AH6" i="156"/>
  <c r="P34" i="156"/>
  <c r="N25" i="156"/>
  <c r="AH5" i="156"/>
  <c r="AH32" i="156"/>
  <c r="P5" i="156"/>
  <c r="AH28" i="156"/>
  <c r="P30" i="156"/>
  <c r="P26" i="156"/>
  <c r="AH23" i="156"/>
  <c r="N29" i="156"/>
  <c r="P28" i="156"/>
  <c r="O35" i="156"/>
  <c r="F10" i="156"/>
  <c r="P7" i="156"/>
  <c r="E36" i="156"/>
  <c r="P22" i="156"/>
  <c r="P33" i="156"/>
  <c r="N35" i="156"/>
  <c r="P37" i="156"/>
  <c r="O25" i="156"/>
  <c r="G10" i="156"/>
  <c r="N8" i="156"/>
  <c r="L36" i="156"/>
  <c r="L40" i="156" s="1"/>
  <c r="O8" i="156"/>
  <c r="K36" i="156"/>
  <c r="AF29" i="156"/>
  <c r="AH29" i="156" s="1"/>
  <c r="AH9" i="156"/>
  <c r="AC36" i="156"/>
  <c r="AH22" i="156"/>
  <c r="AH37" i="156"/>
  <c r="AG25" i="156"/>
  <c r="AF14" i="156"/>
  <c r="X38" i="156"/>
  <c r="Y38" i="156"/>
  <c r="V39" i="156"/>
  <c r="AG8" i="156"/>
  <c r="Y25" i="156"/>
  <c r="X25" i="156"/>
  <c r="AH19" i="156"/>
  <c r="AH21" i="156"/>
  <c r="X8" i="156"/>
  <c r="Y8" i="156"/>
  <c r="Y14" i="156"/>
  <c r="X14" i="156"/>
  <c r="AF38" i="156"/>
  <c r="AG14" i="156"/>
  <c r="X10" i="156"/>
  <c r="Y10" i="156"/>
  <c r="AF25" i="156"/>
  <c r="AG38" i="156"/>
  <c r="AD39" i="156"/>
  <c r="AG39" i="156" s="1"/>
  <c r="X22" i="156"/>
  <c r="Y22" i="156"/>
  <c r="W36" i="156"/>
  <c r="AF8" i="156"/>
  <c r="Y29" i="156"/>
  <c r="X29" i="156"/>
  <c r="AG20" i="156"/>
  <c r="AH20" i="156" s="1"/>
  <c r="AD36" i="156"/>
  <c r="X20" i="156"/>
  <c r="V36" i="156"/>
  <c r="Y20" i="156"/>
  <c r="G35" i="156"/>
  <c r="F35" i="156"/>
  <c r="E39" i="156"/>
  <c r="G29" i="156"/>
  <c r="F29" i="156"/>
  <c r="G25" i="156"/>
  <c r="F25" i="156"/>
  <c r="D39" i="156"/>
  <c r="N39" i="156" s="1"/>
  <c r="G38" i="156"/>
  <c r="F38" i="156"/>
  <c r="G8" i="156"/>
  <c r="F8" i="156"/>
  <c r="H91" i="140"/>
  <c r="R88" i="140"/>
  <c r="O88" i="140"/>
  <c r="O87" i="140"/>
  <c r="R87" i="140"/>
  <c r="K88" i="140"/>
  <c r="L88" i="140"/>
  <c r="N88" i="140"/>
  <c r="G87" i="140"/>
  <c r="T87" i="140" s="1"/>
  <c r="M87" i="140"/>
  <c r="L87" i="140"/>
  <c r="K87" i="140"/>
  <c r="N87" i="140"/>
  <c r="M88" i="140"/>
  <c r="G88" i="140"/>
  <c r="T88" i="140" s="1"/>
  <c r="M80" i="140"/>
  <c r="N80" i="140"/>
  <c r="N81" i="140"/>
  <c r="O80" i="140"/>
  <c r="L81" i="140"/>
  <c r="R81" i="140"/>
  <c r="K81" i="140"/>
  <c r="O81" i="140"/>
  <c r="M81" i="140"/>
  <c r="R80" i="140"/>
  <c r="G81" i="140"/>
  <c r="T81" i="140" s="1"/>
  <c r="G80" i="140"/>
  <c r="T80" i="140" s="1"/>
  <c r="K80" i="140"/>
  <c r="L80" i="140"/>
  <c r="O18" i="156" l="1"/>
  <c r="P29" i="156"/>
  <c r="F36" i="156"/>
  <c r="AH35" i="156"/>
  <c r="O36" i="156"/>
  <c r="G36" i="156"/>
  <c r="K40" i="156"/>
  <c r="P25" i="156"/>
  <c r="N36" i="156"/>
  <c r="E40" i="156"/>
  <c r="I13" i="156" s="1"/>
  <c r="AH38" i="156"/>
  <c r="P8" i="156"/>
  <c r="P35" i="156"/>
  <c r="N18" i="156"/>
  <c r="P18" i="156" s="1"/>
  <c r="O39" i="156"/>
  <c r="P39" i="156" s="1"/>
  <c r="AH25" i="156"/>
  <c r="AH14" i="156"/>
  <c r="AH8" i="156"/>
  <c r="Y39" i="156"/>
  <c r="X39" i="156"/>
  <c r="AG18" i="156"/>
  <c r="AD40" i="156"/>
  <c r="X18" i="156"/>
  <c r="V40" i="156"/>
  <c r="Z13" i="156" s="1"/>
  <c r="Y18" i="156"/>
  <c r="X36" i="156"/>
  <c r="Y36" i="156"/>
  <c r="W40" i="156"/>
  <c r="AA13" i="156" s="1"/>
  <c r="AG36" i="156"/>
  <c r="AF18" i="156"/>
  <c r="AC40" i="156"/>
  <c r="AF39" i="156"/>
  <c r="AH39" i="156" s="1"/>
  <c r="AF36" i="156"/>
  <c r="G18" i="156"/>
  <c r="F18" i="156"/>
  <c r="D40" i="156"/>
  <c r="H13" i="156" s="1"/>
  <c r="J13" i="156" s="1"/>
  <c r="G39" i="156"/>
  <c r="F39" i="156"/>
  <c r="AB13" i="156" l="1"/>
  <c r="AA36" i="156"/>
  <c r="AA16" i="156"/>
  <c r="AA15" i="156"/>
  <c r="Z36" i="156"/>
  <c r="Z16" i="156"/>
  <c r="Z15" i="156"/>
  <c r="AB15" i="156" s="1"/>
  <c r="I36" i="156"/>
  <c r="I15" i="156"/>
  <c r="I16" i="156"/>
  <c r="H16" i="156"/>
  <c r="H15" i="156"/>
  <c r="I10" i="156"/>
  <c r="I27" i="156"/>
  <c r="I38" i="156"/>
  <c r="I39" i="156"/>
  <c r="I37" i="156"/>
  <c r="I14" i="156"/>
  <c r="I4" i="156"/>
  <c r="N40" i="156"/>
  <c r="I11" i="156"/>
  <c r="I33" i="156"/>
  <c r="I22" i="156"/>
  <c r="I28" i="156"/>
  <c r="I9" i="156"/>
  <c r="P36" i="156"/>
  <c r="I21" i="156"/>
  <c r="I7" i="156"/>
  <c r="I19" i="156"/>
  <c r="I31" i="156"/>
  <c r="I8" i="156"/>
  <c r="I5" i="156"/>
  <c r="I24" i="156"/>
  <c r="I12" i="156"/>
  <c r="I25" i="156"/>
  <c r="I20" i="156"/>
  <c r="I32" i="156"/>
  <c r="I18" i="156"/>
  <c r="I26" i="156"/>
  <c r="I30" i="156"/>
  <c r="I6" i="156"/>
  <c r="I35" i="156"/>
  <c r="I23" i="156"/>
  <c r="I29" i="156"/>
  <c r="I40" i="156"/>
  <c r="O40" i="156"/>
  <c r="I34" i="156"/>
  <c r="AB36" i="156"/>
  <c r="AA18" i="156"/>
  <c r="AG40" i="156"/>
  <c r="X40" i="156"/>
  <c r="Y40" i="156"/>
  <c r="Z4" i="156"/>
  <c r="Z34" i="156"/>
  <c r="Z6" i="156"/>
  <c r="Z32" i="156"/>
  <c r="Z28" i="156"/>
  <c r="Z24" i="156"/>
  <c r="Z12" i="156"/>
  <c r="Z30" i="156"/>
  <c r="Z26" i="156"/>
  <c r="Z40" i="156"/>
  <c r="Z11" i="156"/>
  <c r="Z7" i="156"/>
  <c r="Z19" i="156"/>
  <c r="Z35" i="156"/>
  <c r="Z27" i="156"/>
  <c r="Z9" i="156"/>
  <c r="Z21" i="156"/>
  <c r="Z33" i="156"/>
  <c r="Z31" i="156"/>
  <c r="Z23" i="156"/>
  <c r="Z5" i="156"/>
  <c r="Z37" i="156"/>
  <c r="Z14" i="156"/>
  <c r="Z29" i="156"/>
  <c r="Z22" i="156"/>
  <c r="Z38" i="156"/>
  <c r="Z20" i="156"/>
  <c r="Z10" i="156"/>
  <c r="Z25" i="156"/>
  <c r="Z8" i="156"/>
  <c r="AF40" i="156"/>
  <c r="Z18" i="156"/>
  <c r="AA40" i="156"/>
  <c r="AA34" i="156"/>
  <c r="AA32" i="156"/>
  <c r="AA30" i="156"/>
  <c r="AA28" i="156"/>
  <c r="AA26" i="156"/>
  <c r="AA24" i="156"/>
  <c r="AA12" i="156"/>
  <c r="AA6" i="156"/>
  <c r="AA4" i="156"/>
  <c r="AA33" i="156"/>
  <c r="AA19" i="156"/>
  <c r="AA31" i="156"/>
  <c r="AA21" i="156"/>
  <c r="AA38" i="156"/>
  <c r="AA20" i="156"/>
  <c r="AA9" i="156"/>
  <c r="AA35" i="156"/>
  <c r="AA23" i="156"/>
  <c r="AA10" i="156"/>
  <c r="AA37" i="156"/>
  <c r="AA22" i="156"/>
  <c r="AA7" i="156"/>
  <c r="AA5" i="156"/>
  <c r="AA27" i="156"/>
  <c r="AA11" i="156"/>
  <c r="AA25" i="156"/>
  <c r="AA14" i="156"/>
  <c r="AA39" i="156"/>
  <c r="AA8" i="156"/>
  <c r="AA29" i="156"/>
  <c r="AH36" i="156"/>
  <c r="AH18" i="156"/>
  <c r="Z39" i="156"/>
  <c r="H39" i="156"/>
  <c r="H18" i="156"/>
  <c r="H6" i="156"/>
  <c r="H26" i="156"/>
  <c r="H34" i="156"/>
  <c r="H40" i="156"/>
  <c r="H37" i="156"/>
  <c r="H30" i="156"/>
  <c r="H28" i="156"/>
  <c r="H21" i="156"/>
  <c r="H19" i="156"/>
  <c r="H7" i="156"/>
  <c r="F40" i="156"/>
  <c r="H20" i="156"/>
  <c r="J20" i="156" s="1"/>
  <c r="H10" i="156"/>
  <c r="J10" i="156" s="1"/>
  <c r="H23" i="156"/>
  <c r="H31" i="156"/>
  <c r="H5" i="156"/>
  <c r="J5" i="156" s="1"/>
  <c r="H22" i="156"/>
  <c r="H24" i="156"/>
  <c r="H33" i="156"/>
  <c r="H11" i="156"/>
  <c r="H12" i="156"/>
  <c r="H9" i="156"/>
  <c r="H4" i="156"/>
  <c r="H27" i="156"/>
  <c r="H14" i="156"/>
  <c r="G40" i="156"/>
  <c r="H32" i="156"/>
  <c r="H25" i="156"/>
  <c r="J25" i="156" s="1"/>
  <c r="H29" i="156"/>
  <c r="H35" i="156"/>
  <c r="H36" i="156"/>
  <c r="H8" i="156"/>
  <c r="H38" i="156"/>
  <c r="AO229" i="140"/>
  <c r="BL229" i="140" s="1"/>
  <c r="AL229" i="140"/>
  <c r="AL166" i="140"/>
  <c r="H166" i="140"/>
  <c r="AO166" i="140"/>
  <c r="BL166" i="140" s="1"/>
  <c r="S105" i="140"/>
  <c r="Q105" i="140"/>
  <c r="P105" i="140"/>
  <c r="J105" i="140"/>
  <c r="I105" i="140" a="1"/>
  <c r="I105" i="140" s="1"/>
  <c r="K105" i="140" s="1"/>
  <c r="F105" i="140"/>
  <c r="AO105" i="140"/>
  <c r="BC105" i="140" s="1"/>
  <c r="AL105" i="140"/>
  <c r="AB16" i="156" l="1"/>
  <c r="J38" i="156"/>
  <c r="J39" i="156"/>
  <c r="J28" i="156"/>
  <c r="J36" i="156"/>
  <c r="J15" i="156"/>
  <c r="J16" i="156"/>
  <c r="J33" i="156"/>
  <c r="J22" i="156"/>
  <c r="J8" i="156"/>
  <c r="J27" i="156"/>
  <c r="J18" i="156"/>
  <c r="J31" i="156"/>
  <c r="J30" i="156"/>
  <c r="J24" i="156"/>
  <c r="J37" i="156"/>
  <c r="J32" i="156"/>
  <c r="J14" i="156"/>
  <c r="J21" i="156"/>
  <c r="J11" i="156"/>
  <c r="J7" i="156"/>
  <c r="J19" i="156"/>
  <c r="J4" i="156"/>
  <c r="J9" i="156"/>
  <c r="P40" i="156"/>
  <c r="J12" i="156"/>
  <c r="J6" i="156"/>
  <c r="J26" i="156"/>
  <c r="AB21" i="156"/>
  <c r="AB26" i="156"/>
  <c r="AB18" i="156"/>
  <c r="AB22" i="156"/>
  <c r="AH40" i="156"/>
  <c r="J35" i="156"/>
  <c r="J29" i="156"/>
  <c r="J23" i="156"/>
  <c r="AB38" i="156"/>
  <c r="J34" i="156"/>
  <c r="AB7" i="156"/>
  <c r="AB23" i="156"/>
  <c r="AB32" i="156"/>
  <c r="AB29" i="156"/>
  <c r="AB25" i="156"/>
  <c r="AB5" i="156"/>
  <c r="AB19" i="156"/>
  <c r="AB28" i="156"/>
  <c r="AB10" i="156"/>
  <c r="AB20" i="156"/>
  <c r="AB31" i="156"/>
  <c r="AB11" i="156"/>
  <c r="AB6" i="156"/>
  <c r="AB39" i="156"/>
  <c r="AB33" i="156"/>
  <c r="AB34" i="156"/>
  <c r="AB4" i="156"/>
  <c r="AB9" i="156"/>
  <c r="AB30" i="156"/>
  <c r="AB14" i="156"/>
  <c r="AB27" i="156"/>
  <c r="AB12" i="156"/>
  <c r="AB8" i="156"/>
  <c r="AB37" i="156"/>
  <c r="AB35" i="156"/>
  <c r="AB24" i="156"/>
  <c r="Z166" i="140"/>
  <c r="Y166" i="140"/>
  <c r="AA166" i="140"/>
  <c r="AF166" i="140"/>
  <c r="R105" i="140"/>
  <c r="AB166" i="140"/>
  <c r="O105" i="140"/>
  <c r="M105" i="140"/>
  <c r="L105" i="140"/>
  <c r="N105" i="140"/>
  <c r="G105" i="140"/>
  <c r="T105" i="140" s="1"/>
  <c r="S55" i="140" l="1"/>
  <c r="S166" i="140" s="1"/>
  <c r="Q55" i="140"/>
  <c r="P55" i="140"/>
  <c r="P166" i="140" s="1"/>
  <c r="J55" i="140"/>
  <c r="I55" i="140" a="1"/>
  <c r="I55" i="140" s="1"/>
  <c r="F55" i="140"/>
  <c r="AO55" i="140"/>
  <c r="BC55" i="140" s="1"/>
  <c r="AL55" i="140"/>
  <c r="AO10" i="140"/>
  <c r="BL10" i="140" s="1"/>
  <c r="AL10" i="140"/>
  <c r="AC10" i="140"/>
  <c r="X10" i="140"/>
  <c r="X229" i="140" s="1"/>
  <c r="W10" i="140"/>
  <c r="V10" i="140"/>
  <c r="V229" i="140" s="1"/>
  <c r="U10" i="140"/>
  <c r="S10" i="140"/>
  <c r="Q10" i="140"/>
  <c r="P10" i="140"/>
  <c r="J10" i="140"/>
  <c r="I10" i="140"/>
  <c r="H10" i="140"/>
  <c r="F10" i="140"/>
  <c r="Q166" i="140" l="1"/>
  <c r="Q229" i="140" s="1"/>
  <c r="Q89" i="140"/>
  <c r="BE10" i="140"/>
  <c r="W229" i="140"/>
  <c r="Y229" i="140" s="1"/>
  <c r="BA10" i="140"/>
  <c r="S229" i="140"/>
  <c r="AS10" i="140"/>
  <c r="BK10" i="140"/>
  <c r="AC229" i="140"/>
  <c r="AA229" i="140" s="1"/>
  <c r="AZ10" i="140"/>
  <c r="P229" i="140"/>
  <c r="BC10" i="140"/>
  <c r="U229" i="140"/>
  <c r="Z229" i="140" s="1"/>
  <c r="AP10" i="140"/>
  <c r="AR10" i="140"/>
  <c r="H229" i="140"/>
  <c r="F166" i="140"/>
  <c r="F229" i="140" s="1"/>
  <c r="K55" i="140"/>
  <c r="I166" i="140"/>
  <c r="I229" i="140" s="1"/>
  <c r="J166" i="140"/>
  <c r="J229" i="140" s="1"/>
  <c r="O55" i="140"/>
  <c r="R55" i="140"/>
  <c r="Y10" i="140"/>
  <c r="BG10" i="140" s="1"/>
  <c r="L55" i="140"/>
  <c r="N55" i="140"/>
  <c r="M55" i="140"/>
  <c r="G55" i="140"/>
  <c r="AB10" i="140"/>
  <c r="BJ10" i="140" s="1"/>
  <c r="M10" i="140"/>
  <c r="BD10" i="140"/>
  <c r="AT10" i="140"/>
  <c r="BF10" i="140"/>
  <c r="AF10" i="140"/>
  <c r="N10" i="140"/>
  <c r="R10" i="140"/>
  <c r="K10" i="140"/>
  <c r="AD10" i="140"/>
  <c r="Z10" i="140"/>
  <c r="BH10" i="140" s="1"/>
  <c r="AA10" i="140"/>
  <c r="BI10" i="140" s="1"/>
  <c r="AG10" i="140"/>
  <c r="G10" i="140"/>
  <c r="O10" i="140"/>
  <c r="L10" i="140"/>
  <c r="AQ10" i="140" l="1"/>
  <c r="AB229" i="140"/>
  <c r="AK10" i="140"/>
  <c r="AY10" i="140"/>
  <c r="BB10" i="140"/>
  <c r="AV10" i="140"/>
  <c r="AX10" i="140"/>
  <c r="AU10" i="140"/>
  <c r="AG229" i="140"/>
  <c r="N229" i="140"/>
  <c r="AJ229" i="140" s="1"/>
  <c r="AD229" i="140"/>
  <c r="M229" i="140"/>
  <c r="L229" i="140"/>
  <c r="AI229" i="140" s="1"/>
  <c r="O166" i="140"/>
  <c r="AK166" i="140" s="1"/>
  <c r="O229" i="140"/>
  <c r="AK229" i="140" s="1"/>
  <c r="K229" i="140"/>
  <c r="AH229" i="140" s="1"/>
  <c r="AF229" i="140"/>
  <c r="R229" i="140"/>
  <c r="AE10" i="140"/>
  <c r="T55" i="140"/>
  <c r="G166" i="140"/>
  <c r="G229" i="140" s="1"/>
  <c r="AD166" i="140"/>
  <c r="M166" i="140"/>
  <c r="L166" i="140"/>
  <c r="AI166" i="140" s="1"/>
  <c r="K166" i="140"/>
  <c r="AH166" i="140" s="1"/>
  <c r="AG166" i="140"/>
  <c r="N166" i="140"/>
  <c r="AJ166" i="140" s="1"/>
  <c r="R166" i="140"/>
  <c r="AH10" i="140"/>
  <c r="AI10" i="140"/>
  <c r="AJ10" i="140"/>
  <c r="AW10" i="140"/>
  <c r="T10" i="140"/>
  <c r="AE229" i="140" l="1"/>
  <c r="T229" i="140"/>
  <c r="AE166" i="140"/>
  <c r="T166" i="140"/>
  <c r="P93" i="131" l="1"/>
  <c r="P92" i="131"/>
  <c r="I40" i="125"/>
  <c r="H40" i="125"/>
  <c r="G40" i="125"/>
  <c r="F40" i="125"/>
  <c r="E40" i="125"/>
  <c r="D40" i="125"/>
  <c r="I39" i="125"/>
  <c r="H39" i="125"/>
  <c r="G39" i="125"/>
  <c r="F39" i="125"/>
  <c r="L39" i="125" s="1"/>
  <c r="E39" i="125"/>
  <c r="D39" i="125"/>
  <c r="J39" i="125" s="1"/>
  <c r="L38" i="125"/>
  <c r="K38" i="125"/>
  <c r="J38" i="125"/>
  <c r="L37" i="125"/>
  <c r="K37" i="125"/>
  <c r="J37" i="125"/>
  <c r="I36" i="125"/>
  <c r="H36" i="125"/>
  <c r="K36" i="125" s="1"/>
  <c r="G36" i="125"/>
  <c r="F36" i="125"/>
  <c r="L36" i="125" s="1"/>
  <c r="E36" i="125"/>
  <c r="D36" i="125"/>
  <c r="R35" i="125"/>
  <c r="Q35" i="125"/>
  <c r="P35" i="125"/>
  <c r="O35" i="125"/>
  <c r="N35" i="125"/>
  <c r="M35" i="125"/>
  <c r="S35" i="125" s="1"/>
  <c r="L35" i="125"/>
  <c r="K35" i="125"/>
  <c r="J35" i="125"/>
  <c r="R34" i="125"/>
  <c r="R40" i="125" s="1"/>
  <c r="Q34" i="125"/>
  <c r="P34" i="125"/>
  <c r="P40" i="125" s="1"/>
  <c r="O34" i="125"/>
  <c r="N34" i="125"/>
  <c r="M34" i="125"/>
  <c r="L34" i="125"/>
  <c r="K34" i="125"/>
  <c r="J34" i="125"/>
  <c r="J40" i="125" l="1"/>
  <c r="M37" i="125"/>
  <c r="M38" i="125"/>
  <c r="K40" i="125"/>
  <c r="N38" i="125"/>
  <c r="N37" i="125"/>
  <c r="L40" i="125"/>
  <c r="O37" i="125"/>
  <c r="O38" i="125"/>
  <c r="P37" i="125"/>
  <c r="P38" i="125"/>
  <c r="Q37" i="125"/>
  <c r="Q38" i="125"/>
  <c r="R38" i="125"/>
  <c r="R37" i="125"/>
  <c r="M40" i="125"/>
  <c r="S40" i="125" s="1"/>
  <c r="Q36" i="125"/>
  <c r="N39" i="125"/>
  <c r="J36" i="125"/>
  <c r="T35" i="125"/>
  <c r="O39" i="125"/>
  <c r="O40" i="125"/>
  <c r="U40" i="125" s="1"/>
  <c r="U34" i="125"/>
  <c r="O36" i="125"/>
  <c r="K39" i="125"/>
  <c r="R39" i="125"/>
  <c r="P36" i="125"/>
  <c r="P39" i="125"/>
  <c r="U35" i="125"/>
  <c r="Q39" i="125"/>
  <c r="R36" i="125"/>
  <c r="N40" i="125"/>
  <c r="S34" i="125"/>
  <c r="M36" i="125"/>
  <c r="Q40" i="125"/>
  <c r="T34" i="125"/>
  <c r="N36" i="125"/>
  <c r="T36" i="125" s="1"/>
  <c r="M39" i="125"/>
  <c r="U39" i="125" l="1"/>
  <c r="T39" i="125"/>
  <c r="U36" i="125"/>
  <c r="S36" i="125"/>
  <c r="T40" i="125"/>
  <c r="S39" i="125"/>
  <c r="P3038" i="129" l="1"/>
  <c r="Q3038" i="129"/>
  <c r="R3038" i="129"/>
  <c r="S3038" i="129"/>
  <c r="P3039" i="129"/>
  <c r="Q3039" i="129"/>
  <c r="R3039" i="129"/>
  <c r="S3039" i="129"/>
  <c r="P3040" i="129"/>
  <c r="Q3040" i="129"/>
  <c r="R3040" i="129"/>
  <c r="S3040" i="129"/>
  <c r="P3041" i="129"/>
  <c r="Q3041" i="129"/>
  <c r="R3041" i="129"/>
  <c r="S3041" i="129"/>
  <c r="P3042" i="129"/>
  <c r="Q3042" i="129"/>
  <c r="R3042" i="129"/>
  <c r="S3042" i="129"/>
  <c r="P3043" i="129"/>
  <c r="Q3043" i="129"/>
  <c r="R3043" i="129"/>
  <c r="S3043" i="129"/>
  <c r="P3044" i="129"/>
  <c r="Q3044" i="129"/>
  <c r="R3044" i="129"/>
  <c r="S3044" i="129"/>
  <c r="P3045" i="129"/>
  <c r="Q3045" i="129"/>
  <c r="R3045" i="129"/>
  <c r="S3045" i="129"/>
  <c r="P3046" i="129"/>
  <c r="Q3046" i="129"/>
  <c r="R3046" i="129"/>
  <c r="S3046" i="129"/>
  <c r="P3047" i="129"/>
  <c r="Q3047" i="129"/>
  <c r="R3047" i="129"/>
  <c r="S3047" i="129"/>
  <c r="P3048" i="129"/>
  <c r="Q3048" i="129"/>
  <c r="R3048" i="129"/>
  <c r="S3048" i="129"/>
  <c r="P3049" i="129"/>
  <c r="Q3049" i="129"/>
  <c r="R3049" i="129"/>
  <c r="S3049" i="129"/>
  <c r="P3050" i="129"/>
  <c r="Q3050" i="129"/>
  <c r="R3050" i="129"/>
  <c r="S3050" i="129"/>
  <c r="P3051" i="129"/>
  <c r="Q3051" i="129"/>
  <c r="R3051" i="129"/>
  <c r="S3051" i="129"/>
  <c r="P3052" i="129"/>
  <c r="Q3052" i="129"/>
  <c r="R3052" i="129"/>
  <c r="S3052" i="129"/>
  <c r="P3053" i="129"/>
  <c r="Q3053" i="129"/>
  <c r="R3053" i="129"/>
  <c r="S3053" i="129"/>
  <c r="P3054" i="129"/>
  <c r="Q3054" i="129"/>
  <c r="R3054" i="129"/>
  <c r="S3054" i="129"/>
  <c r="P3055" i="129"/>
  <c r="Q3055" i="129"/>
  <c r="R3055" i="129"/>
  <c r="S3055" i="129"/>
  <c r="P3056" i="129"/>
  <c r="Q3056" i="129"/>
  <c r="R3056" i="129"/>
  <c r="S3056" i="129"/>
  <c r="P3057" i="129"/>
  <c r="Q3057" i="129"/>
  <c r="R3057" i="129"/>
  <c r="S3057" i="129"/>
  <c r="P3058" i="129"/>
  <c r="Q3058" i="129"/>
  <c r="R3058" i="129"/>
  <c r="S3058" i="129"/>
  <c r="P3059" i="129"/>
  <c r="Q3059" i="129"/>
  <c r="R3059" i="129"/>
  <c r="S3059" i="129"/>
  <c r="P3060" i="129"/>
  <c r="Q3060" i="129"/>
  <c r="R3060" i="129"/>
  <c r="S3060" i="129"/>
  <c r="P3061" i="129"/>
  <c r="Q3061" i="129"/>
  <c r="R3061" i="129"/>
  <c r="S3061" i="129"/>
  <c r="P3062" i="129"/>
  <c r="Q3062" i="129"/>
  <c r="R3062" i="129"/>
  <c r="S3062" i="129"/>
  <c r="P3063" i="129"/>
  <c r="Q3063" i="129"/>
  <c r="R3063" i="129"/>
  <c r="S3063" i="129"/>
  <c r="P3064" i="129"/>
  <c r="Q3064" i="129"/>
  <c r="R3064" i="129"/>
  <c r="S3064" i="129"/>
  <c r="O3964" i="127"/>
  <c r="P3964" i="127"/>
  <c r="Q3964" i="127"/>
  <c r="O3965" i="127"/>
  <c r="P3965" i="127"/>
  <c r="Q3965" i="127"/>
  <c r="O3966" i="127"/>
  <c r="P3966" i="127"/>
  <c r="Q3966" i="127"/>
  <c r="O3967" i="127"/>
  <c r="P3967" i="127"/>
  <c r="Q3967" i="127"/>
  <c r="O3968" i="127"/>
  <c r="P3968" i="127"/>
  <c r="Q3968" i="127"/>
  <c r="O3969" i="127"/>
  <c r="P3969" i="127"/>
  <c r="Q3969" i="127"/>
  <c r="O3970" i="127"/>
  <c r="P3970" i="127"/>
  <c r="Q3970" i="127"/>
  <c r="O3971" i="127"/>
  <c r="P3971" i="127"/>
  <c r="Q3971" i="127"/>
  <c r="O3972" i="127"/>
  <c r="P3972" i="127"/>
  <c r="Q3972" i="127"/>
  <c r="O3973" i="127"/>
  <c r="P3973" i="127"/>
  <c r="Q3973" i="127"/>
  <c r="O3974" i="127"/>
  <c r="P3974" i="127"/>
  <c r="Q3974" i="127"/>
  <c r="O3975" i="127"/>
  <c r="P3975" i="127"/>
  <c r="Q3975" i="127"/>
  <c r="O3976" i="127"/>
  <c r="P3976" i="127"/>
  <c r="Q3976" i="127"/>
  <c r="O3977" i="127"/>
  <c r="P3977" i="127"/>
  <c r="Q3977" i="127"/>
  <c r="O3978" i="127"/>
  <c r="P3978" i="127"/>
  <c r="Q3978" i="127"/>
  <c r="O3979" i="127"/>
  <c r="P3979" i="127"/>
  <c r="Q3979" i="127"/>
  <c r="O3980" i="127"/>
  <c r="P3980" i="127"/>
  <c r="Q3980" i="127"/>
  <c r="O3981" i="127"/>
  <c r="P3981" i="127"/>
  <c r="Q3981" i="127"/>
  <c r="O3982" i="127"/>
  <c r="P3982" i="127"/>
  <c r="Q3982" i="127"/>
  <c r="O3983" i="127"/>
  <c r="P3983" i="127"/>
  <c r="Q3983" i="127"/>
  <c r="O3984" i="127"/>
  <c r="P3984" i="127"/>
  <c r="Q3984" i="127"/>
  <c r="O3985" i="127"/>
  <c r="P3985" i="127"/>
  <c r="Q3985" i="127"/>
  <c r="O3986" i="127"/>
  <c r="P3986" i="127"/>
  <c r="Q3986" i="127"/>
  <c r="O3987" i="127"/>
  <c r="P3987" i="127"/>
  <c r="Q3987" i="127"/>
  <c r="O3988" i="127"/>
  <c r="P3988" i="127"/>
  <c r="Q3988" i="127"/>
  <c r="O3989" i="127"/>
  <c r="P3989" i="127"/>
  <c r="Q3989" i="127"/>
  <c r="O3990" i="127"/>
  <c r="P3990" i="127"/>
  <c r="Q3990" i="127"/>
  <c r="O3991" i="127"/>
  <c r="P3991" i="127"/>
  <c r="Q3991" i="127"/>
  <c r="O3992" i="127"/>
  <c r="P3992" i="127"/>
  <c r="Q3992" i="127"/>
  <c r="O3993" i="127"/>
  <c r="P3993" i="127"/>
  <c r="Q3993" i="127"/>
  <c r="O3994" i="127"/>
  <c r="P3994" i="127"/>
  <c r="Q3994" i="127"/>
  <c r="O3995" i="127"/>
  <c r="P3995" i="127"/>
  <c r="Q3995" i="127"/>
  <c r="O3996" i="127"/>
  <c r="P3996" i="127"/>
  <c r="Q3996" i="127"/>
  <c r="O3997" i="127"/>
  <c r="P3997" i="127"/>
  <c r="Q3997" i="127"/>
  <c r="O3998" i="127"/>
  <c r="P3998" i="127"/>
  <c r="Q3998" i="127"/>
  <c r="O3999" i="127"/>
  <c r="P3999" i="127"/>
  <c r="Q3999" i="127"/>
  <c r="N82" i="130"/>
  <c r="O82" i="130"/>
  <c r="N83" i="130"/>
  <c r="O83" i="130"/>
  <c r="AC167" i="140"/>
  <c r="X167" i="140"/>
  <c r="W167" i="140"/>
  <c r="V167" i="140"/>
  <c r="U167" i="140"/>
  <c r="S142" i="140" l="1"/>
  <c r="S203" i="140" s="1"/>
  <c r="Q142" i="140"/>
  <c r="Q203" i="140" s="1"/>
  <c r="I47" i="125" l="1"/>
  <c r="H47" i="125"/>
  <c r="G47" i="125"/>
  <c r="F47" i="125"/>
  <c r="E47" i="125"/>
  <c r="D47" i="125"/>
  <c r="I46" i="125"/>
  <c r="H46" i="125"/>
  <c r="G46" i="125"/>
  <c r="F46" i="125"/>
  <c r="E46" i="125"/>
  <c r="D46" i="125"/>
  <c r="J46" i="125" s="1"/>
  <c r="L45" i="125"/>
  <c r="K45" i="125"/>
  <c r="J45" i="125"/>
  <c r="L44" i="125"/>
  <c r="K44" i="125"/>
  <c r="J44" i="125"/>
  <c r="I43" i="125"/>
  <c r="H43" i="125"/>
  <c r="G43" i="125"/>
  <c r="F43" i="125"/>
  <c r="E43" i="125"/>
  <c r="D43" i="125"/>
  <c r="J43" i="125" s="1"/>
  <c r="R42" i="125"/>
  <c r="Q42" i="125"/>
  <c r="P42" i="125"/>
  <c r="O42" i="125"/>
  <c r="N42" i="125"/>
  <c r="M42" i="125"/>
  <c r="S42" i="125" s="1"/>
  <c r="L42" i="125"/>
  <c r="K42" i="125"/>
  <c r="J42" i="125"/>
  <c r="R41" i="125"/>
  <c r="R47" i="125" s="1"/>
  <c r="Q41" i="125"/>
  <c r="P41" i="125"/>
  <c r="O41" i="125"/>
  <c r="N41" i="125"/>
  <c r="N46" i="125" s="1"/>
  <c r="M41" i="125"/>
  <c r="L41" i="125"/>
  <c r="K41" i="125"/>
  <c r="J41" i="125"/>
  <c r="J48" i="125"/>
  <c r="K48" i="125"/>
  <c r="L48" i="125"/>
  <c r="M48" i="125"/>
  <c r="S48" i="125" s="1"/>
  <c r="N48" i="125"/>
  <c r="O48" i="125"/>
  <c r="U48" i="125" s="1"/>
  <c r="P48" i="125"/>
  <c r="Q48" i="125"/>
  <c r="Q54" i="125" s="1"/>
  <c r="R48" i="125"/>
  <c r="J49" i="125"/>
  <c r="K49" i="125"/>
  <c r="L49" i="125"/>
  <c r="M49" i="125"/>
  <c r="N49" i="125"/>
  <c r="N53" i="125" s="1"/>
  <c r="O49" i="125"/>
  <c r="P49" i="125"/>
  <c r="Q49" i="125"/>
  <c r="R49" i="125"/>
  <c r="R53" i="125" s="1"/>
  <c r="D50" i="125"/>
  <c r="E50" i="125"/>
  <c r="K50" i="125" s="1"/>
  <c r="F50" i="125"/>
  <c r="G50" i="125"/>
  <c r="H50" i="125"/>
  <c r="I50" i="125"/>
  <c r="J51" i="125"/>
  <c r="K51" i="125"/>
  <c r="L51" i="125"/>
  <c r="J52" i="125"/>
  <c r="K52" i="125"/>
  <c r="L52" i="125"/>
  <c r="D53" i="125"/>
  <c r="E53" i="125"/>
  <c r="F53" i="125"/>
  <c r="G53" i="125"/>
  <c r="H53" i="125"/>
  <c r="I53" i="125"/>
  <c r="P53" i="125"/>
  <c r="D54" i="125"/>
  <c r="E54" i="125"/>
  <c r="F54" i="125"/>
  <c r="G54" i="125"/>
  <c r="H54" i="125"/>
  <c r="I54" i="125"/>
  <c r="R54" i="125"/>
  <c r="J47" i="125" l="1"/>
  <c r="M44" i="125"/>
  <c r="M45" i="125"/>
  <c r="M51" i="125"/>
  <c r="M52" i="125"/>
  <c r="K47" i="125"/>
  <c r="N45" i="125"/>
  <c r="N44" i="125"/>
  <c r="R52" i="125"/>
  <c r="R51" i="125"/>
  <c r="L47" i="125"/>
  <c r="O45" i="125"/>
  <c r="O44" i="125"/>
  <c r="K54" i="125"/>
  <c r="Q51" i="125"/>
  <c r="Q52" i="125"/>
  <c r="J54" i="125"/>
  <c r="P51" i="125"/>
  <c r="P52" i="125"/>
  <c r="P44" i="125"/>
  <c r="P45" i="125"/>
  <c r="O51" i="125"/>
  <c r="O52" i="125"/>
  <c r="Q44" i="125"/>
  <c r="Q45" i="125"/>
  <c r="N52" i="125"/>
  <c r="N51" i="125"/>
  <c r="R44" i="125"/>
  <c r="R45" i="125"/>
  <c r="R50" i="125"/>
  <c r="M50" i="125"/>
  <c r="N50" i="125"/>
  <c r="M47" i="125"/>
  <c r="L53" i="125"/>
  <c r="K53" i="125"/>
  <c r="J53" i="125"/>
  <c r="Q50" i="125"/>
  <c r="L50" i="125"/>
  <c r="N54" i="125"/>
  <c r="T54" i="125" s="1"/>
  <c r="L54" i="125"/>
  <c r="P43" i="125"/>
  <c r="M54" i="125"/>
  <c r="J50" i="125"/>
  <c r="O50" i="125"/>
  <c r="M53" i="125"/>
  <c r="S53" i="125" s="1"/>
  <c r="S49" i="125"/>
  <c r="T48" i="125"/>
  <c r="L46" i="125"/>
  <c r="P50" i="125"/>
  <c r="K43" i="125"/>
  <c r="Q46" i="125"/>
  <c r="T46" i="125" s="1"/>
  <c r="P46" i="125"/>
  <c r="O46" i="125"/>
  <c r="R46" i="125"/>
  <c r="T42" i="125"/>
  <c r="M43" i="125"/>
  <c r="R43" i="125"/>
  <c r="O43" i="125"/>
  <c r="L43" i="125"/>
  <c r="K46" i="125"/>
  <c r="Q43" i="125"/>
  <c r="N47" i="125"/>
  <c r="P54" i="125"/>
  <c r="U42" i="125"/>
  <c r="O47" i="125"/>
  <c r="U47" i="125" s="1"/>
  <c r="O54" i="125"/>
  <c r="U54" i="125" s="1"/>
  <c r="Q53" i="125"/>
  <c r="T53" i="125" s="1"/>
  <c r="U49" i="125"/>
  <c r="P47" i="125"/>
  <c r="S47" i="125" s="1"/>
  <c r="T49" i="125"/>
  <c r="S41" i="125"/>
  <c r="Q47" i="125"/>
  <c r="O53" i="125"/>
  <c r="U53" i="125" s="1"/>
  <c r="T41" i="125"/>
  <c r="N43" i="125"/>
  <c r="U41" i="125"/>
  <c r="M46" i="125"/>
  <c r="T50" i="125" l="1"/>
  <c r="U50" i="125"/>
  <c r="S50" i="125"/>
  <c r="S54" i="125"/>
  <c r="S43" i="125"/>
  <c r="S46" i="125"/>
  <c r="U46" i="125"/>
  <c r="T43" i="125"/>
  <c r="T47" i="125"/>
  <c r="U43" i="125"/>
  <c r="P3011" i="129" l="1"/>
  <c r="Q3011" i="129"/>
  <c r="R3011" i="129"/>
  <c r="S3011" i="129"/>
  <c r="P3012" i="129"/>
  <c r="Q3012" i="129"/>
  <c r="R3012" i="129"/>
  <c r="S3012" i="129"/>
  <c r="P3013" i="129"/>
  <c r="Q3013" i="129"/>
  <c r="R3013" i="129"/>
  <c r="S3013" i="129"/>
  <c r="P3014" i="129"/>
  <c r="Q3014" i="129"/>
  <c r="R3014" i="129"/>
  <c r="S3014" i="129"/>
  <c r="P3015" i="129"/>
  <c r="Q3015" i="129"/>
  <c r="R3015" i="129"/>
  <c r="S3015" i="129"/>
  <c r="P3016" i="129"/>
  <c r="Q3016" i="129"/>
  <c r="R3016" i="129"/>
  <c r="S3016" i="129"/>
  <c r="P3017" i="129"/>
  <c r="Q3017" i="129"/>
  <c r="R3017" i="129"/>
  <c r="S3017" i="129"/>
  <c r="P3018" i="129"/>
  <c r="Q3018" i="129"/>
  <c r="R3018" i="129"/>
  <c r="S3018" i="129"/>
  <c r="P3019" i="129"/>
  <c r="Q3019" i="129"/>
  <c r="R3019" i="129"/>
  <c r="S3019" i="129"/>
  <c r="P3020" i="129"/>
  <c r="Q3020" i="129"/>
  <c r="R3020" i="129"/>
  <c r="S3020" i="129"/>
  <c r="P3021" i="129"/>
  <c r="Q3021" i="129"/>
  <c r="R3021" i="129"/>
  <c r="S3021" i="129"/>
  <c r="P3022" i="129"/>
  <c r="Q3022" i="129"/>
  <c r="R3022" i="129"/>
  <c r="S3022" i="129"/>
  <c r="P3023" i="129"/>
  <c r="Q3023" i="129"/>
  <c r="R3023" i="129"/>
  <c r="S3023" i="129"/>
  <c r="P3024" i="129"/>
  <c r="Q3024" i="129"/>
  <c r="R3024" i="129"/>
  <c r="S3024" i="129"/>
  <c r="P3025" i="129"/>
  <c r="Q3025" i="129"/>
  <c r="R3025" i="129"/>
  <c r="S3025" i="129"/>
  <c r="P3026" i="129"/>
  <c r="Q3026" i="129"/>
  <c r="R3026" i="129"/>
  <c r="S3026" i="129"/>
  <c r="P3027" i="129"/>
  <c r="Q3027" i="129"/>
  <c r="R3027" i="129"/>
  <c r="S3027" i="129"/>
  <c r="P3028" i="129"/>
  <c r="Q3028" i="129"/>
  <c r="R3028" i="129"/>
  <c r="S3028" i="129"/>
  <c r="P3029" i="129"/>
  <c r="Q3029" i="129"/>
  <c r="R3029" i="129"/>
  <c r="S3029" i="129"/>
  <c r="P3030" i="129"/>
  <c r="Q3030" i="129"/>
  <c r="R3030" i="129"/>
  <c r="S3030" i="129"/>
  <c r="P3031" i="129"/>
  <c r="Q3031" i="129"/>
  <c r="R3031" i="129"/>
  <c r="S3031" i="129"/>
  <c r="P3032" i="129"/>
  <c r="Q3032" i="129"/>
  <c r="R3032" i="129"/>
  <c r="S3032" i="129"/>
  <c r="P3033" i="129"/>
  <c r="Q3033" i="129"/>
  <c r="R3033" i="129"/>
  <c r="S3033" i="129"/>
  <c r="P3034" i="129"/>
  <c r="Q3034" i="129"/>
  <c r="R3034" i="129"/>
  <c r="S3034" i="129"/>
  <c r="P3035" i="129"/>
  <c r="Q3035" i="129"/>
  <c r="R3035" i="129"/>
  <c r="S3035" i="129"/>
  <c r="P3036" i="129"/>
  <c r="Q3036" i="129"/>
  <c r="R3036" i="129"/>
  <c r="S3036" i="129"/>
  <c r="P3037" i="129"/>
  <c r="Q3037" i="129"/>
  <c r="R3037" i="129"/>
  <c r="S3037" i="129"/>
  <c r="O3927" i="127"/>
  <c r="P3927" i="127"/>
  <c r="Q3927" i="127"/>
  <c r="O3928" i="127"/>
  <c r="P3928" i="127"/>
  <c r="Q3928" i="127"/>
  <c r="O3929" i="127"/>
  <c r="P3929" i="127"/>
  <c r="Q3929" i="127"/>
  <c r="O3930" i="127"/>
  <c r="P3930" i="127"/>
  <c r="Q3930" i="127"/>
  <c r="O3931" i="127"/>
  <c r="P3931" i="127"/>
  <c r="Q3931" i="127"/>
  <c r="O3932" i="127"/>
  <c r="P3932" i="127"/>
  <c r="Q3932" i="127"/>
  <c r="O3933" i="127"/>
  <c r="P3933" i="127"/>
  <c r="Q3933" i="127"/>
  <c r="O3934" i="127"/>
  <c r="P3934" i="127"/>
  <c r="Q3934" i="127"/>
  <c r="O3935" i="127"/>
  <c r="P3935" i="127"/>
  <c r="Q3935" i="127"/>
  <c r="O3936" i="127"/>
  <c r="P3936" i="127"/>
  <c r="Q3936" i="127"/>
  <c r="O3937" i="127"/>
  <c r="P3937" i="127"/>
  <c r="Q3937" i="127"/>
  <c r="O3938" i="127"/>
  <c r="P3938" i="127"/>
  <c r="Q3938" i="127"/>
  <c r="O3939" i="127"/>
  <c r="P3939" i="127"/>
  <c r="Q3939" i="127"/>
  <c r="O3940" i="127"/>
  <c r="P3940" i="127"/>
  <c r="Q3940" i="127"/>
  <c r="O3941" i="127"/>
  <c r="P3941" i="127"/>
  <c r="Q3941" i="127"/>
  <c r="O3942" i="127"/>
  <c r="P3942" i="127"/>
  <c r="Q3942" i="127"/>
  <c r="O3943" i="127"/>
  <c r="P3943" i="127"/>
  <c r="Q3943" i="127"/>
  <c r="O3944" i="127"/>
  <c r="P3944" i="127"/>
  <c r="Q3944" i="127"/>
  <c r="O3945" i="127"/>
  <c r="P3945" i="127"/>
  <c r="Q3945" i="127"/>
  <c r="O3946" i="127"/>
  <c r="P3946" i="127"/>
  <c r="Q3946" i="127"/>
  <c r="O3947" i="127"/>
  <c r="P3947" i="127"/>
  <c r="Q3947" i="127"/>
  <c r="O3948" i="127"/>
  <c r="P3948" i="127"/>
  <c r="Q3948" i="127"/>
  <c r="O3949" i="127"/>
  <c r="P3949" i="127"/>
  <c r="Q3949" i="127"/>
  <c r="O3950" i="127"/>
  <c r="P3950" i="127"/>
  <c r="Q3950" i="127"/>
  <c r="O3951" i="127"/>
  <c r="P3951" i="127"/>
  <c r="Q3951" i="127"/>
  <c r="O3952" i="127"/>
  <c r="P3952" i="127"/>
  <c r="Q3952" i="127"/>
  <c r="O3953" i="127"/>
  <c r="P3953" i="127"/>
  <c r="Q3953" i="127"/>
  <c r="O3954" i="127"/>
  <c r="P3954" i="127"/>
  <c r="Q3954" i="127"/>
  <c r="O3955" i="127"/>
  <c r="P3955" i="127"/>
  <c r="Q3955" i="127"/>
  <c r="O3956" i="127"/>
  <c r="P3956" i="127"/>
  <c r="Q3956" i="127"/>
  <c r="O3957" i="127"/>
  <c r="P3957" i="127"/>
  <c r="Q3957" i="127"/>
  <c r="O3958" i="127"/>
  <c r="P3958" i="127"/>
  <c r="Q3958" i="127"/>
  <c r="O3959" i="127"/>
  <c r="P3959" i="127"/>
  <c r="Q3959" i="127"/>
  <c r="O3960" i="127"/>
  <c r="P3960" i="127"/>
  <c r="Q3960" i="127"/>
  <c r="O3961" i="127"/>
  <c r="P3961" i="127"/>
  <c r="Q3961" i="127"/>
  <c r="O3962" i="127"/>
  <c r="P3962" i="127"/>
  <c r="Q3962" i="127"/>
  <c r="O3963" i="127"/>
  <c r="P3963" i="127"/>
  <c r="Q3963" i="127"/>
  <c r="N80" i="130"/>
  <c r="O80" i="130"/>
  <c r="N81" i="130"/>
  <c r="O81" i="130"/>
  <c r="AO230" i="140" l="1"/>
  <c r="BL230" i="140" s="1"/>
  <c r="AL230" i="140"/>
  <c r="AO167" i="140"/>
  <c r="BL167" i="140" s="1"/>
  <c r="AL167" i="140"/>
  <c r="AB167" i="140"/>
  <c r="H167" i="140"/>
  <c r="AO106" i="140"/>
  <c r="BC106" i="140" s="1"/>
  <c r="S106" i="140"/>
  <c r="Q106" i="140"/>
  <c r="P106" i="140"/>
  <c r="J106" i="140"/>
  <c r="I106" i="140" a="1"/>
  <c r="I106" i="140" s="1"/>
  <c r="F106" i="140"/>
  <c r="AL106" i="140"/>
  <c r="AO56" i="140"/>
  <c r="BC56" i="140" s="1"/>
  <c r="S56" i="140"/>
  <c r="Q56" i="140"/>
  <c r="P56" i="140"/>
  <c r="J56" i="140"/>
  <c r="I56" i="140" a="1"/>
  <c r="I56" i="140" s="1"/>
  <c r="K56" i="140" s="1"/>
  <c r="F56" i="140"/>
  <c r="AL56" i="140"/>
  <c r="AO11" i="140"/>
  <c r="BL11" i="140" s="1"/>
  <c r="AL11" i="140"/>
  <c r="AC11" i="140"/>
  <c r="BK11" i="140" s="1"/>
  <c r="X11" i="140"/>
  <c r="BF11" i="140" s="1"/>
  <c r="W11" i="140"/>
  <c r="BE11" i="140" s="1"/>
  <c r="V11" i="140"/>
  <c r="U11" i="140"/>
  <c r="BC11" i="140" s="1"/>
  <c r="S11" i="140"/>
  <c r="Q11" i="140"/>
  <c r="BA11" i="140" s="1"/>
  <c r="P11" i="140"/>
  <c r="AZ11" i="140" s="1"/>
  <c r="J11" i="140"/>
  <c r="AT11" i="140" s="1"/>
  <c r="I11" i="140"/>
  <c r="AS11" i="140" s="1"/>
  <c r="H11" i="140"/>
  <c r="AR11" i="140" s="1"/>
  <c r="F11" i="140"/>
  <c r="K106" i="140" l="1"/>
  <c r="AA167" i="140"/>
  <c r="Z167" i="140"/>
  <c r="Y167" i="140"/>
  <c r="V230" i="140"/>
  <c r="Q167" i="140"/>
  <c r="AF167" i="140"/>
  <c r="U230" i="140"/>
  <c r="H230" i="140"/>
  <c r="W230" i="140"/>
  <c r="X230" i="140"/>
  <c r="AC230" i="140"/>
  <c r="S167" i="140"/>
  <c r="S230" i="140" s="1"/>
  <c r="R106" i="140"/>
  <c r="L11" i="140"/>
  <c r="J167" i="140"/>
  <c r="F167" i="140"/>
  <c r="I167" i="140"/>
  <c r="I230" i="140" s="1"/>
  <c r="P167" i="140"/>
  <c r="P230" i="140" s="1"/>
  <c r="R56" i="140"/>
  <c r="L106" i="140"/>
  <c r="G106" i="140"/>
  <c r="N106" i="140"/>
  <c r="O106" i="140"/>
  <c r="M106" i="140"/>
  <c r="AB11" i="140"/>
  <c r="BJ11" i="140" s="1"/>
  <c r="AU11" i="140"/>
  <c r="AX11" i="140"/>
  <c r="L56" i="140"/>
  <c r="N56" i="140"/>
  <c r="O56" i="140"/>
  <c r="M56" i="140"/>
  <c r="G56" i="140"/>
  <c r="AP11" i="140"/>
  <c r="BD11" i="140"/>
  <c r="AA11" i="140"/>
  <c r="BI11" i="140" s="1"/>
  <c r="AF11" i="140"/>
  <c r="Z11" i="140"/>
  <c r="BH11" i="140" s="1"/>
  <c r="Y11" i="140"/>
  <c r="BG11" i="140" s="1"/>
  <c r="N11" i="140"/>
  <c r="R11" i="140"/>
  <c r="K11" i="140"/>
  <c r="M11" i="140"/>
  <c r="O11" i="140"/>
  <c r="AG11" i="140"/>
  <c r="AD11" i="140"/>
  <c r="G11" i="140"/>
  <c r="AC24" i="134"/>
  <c r="AB25" i="134"/>
  <c r="AE24" i="134"/>
  <c r="AE25" i="134" s="1"/>
  <c r="AD25" i="134"/>
  <c r="AE10" i="134"/>
  <c r="AE9" i="134"/>
  <c r="AE11" i="134"/>
  <c r="AE12" i="134"/>
  <c r="J230" i="140" l="1"/>
  <c r="N230" i="140" s="1"/>
  <c r="T106" i="140"/>
  <c r="Q230" i="140"/>
  <c r="AA230" i="140"/>
  <c r="Y230" i="140"/>
  <c r="AK11" i="140"/>
  <c r="G167" i="140"/>
  <c r="AE167" i="140" s="1"/>
  <c r="AF230" i="140"/>
  <c r="K230" i="140"/>
  <c r="AG230" i="140"/>
  <c r="AE11" i="140"/>
  <c r="F230" i="140"/>
  <c r="AD167" i="140"/>
  <c r="Z230" i="140"/>
  <c r="AB230" i="140"/>
  <c r="O167" i="140"/>
  <c r="AK167" i="140" s="1"/>
  <c r="K167" i="140"/>
  <c r="AH167" i="140" s="1"/>
  <c r="R167" i="140"/>
  <c r="L167" i="140"/>
  <c r="AI167" i="140" s="1"/>
  <c r="M167" i="140"/>
  <c r="AG167" i="140"/>
  <c r="N167" i="140"/>
  <c r="AJ167" i="140" s="1"/>
  <c r="T56" i="140"/>
  <c r="AH11" i="140"/>
  <c r="AJ11" i="140"/>
  <c r="AQ11" i="140"/>
  <c r="AW11" i="140"/>
  <c r="AV11" i="140"/>
  <c r="BB11" i="140"/>
  <c r="AI11" i="140"/>
  <c r="AY11" i="140"/>
  <c r="T11" i="140"/>
  <c r="T167" i="140" l="1"/>
  <c r="G230" i="140"/>
  <c r="T230" i="140" s="1"/>
  <c r="AJ230" i="140"/>
  <c r="AH230" i="140"/>
  <c r="R230" i="140"/>
  <c r="M230" i="140"/>
  <c r="AD230" i="140"/>
  <c r="L230" i="140"/>
  <c r="AI230" i="140" s="1"/>
  <c r="O230" i="140"/>
  <c r="AK230" i="140" s="1"/>
  <c r="AE230" i="140" l="1"/>
  <c r="H139" i="140"/>
  <c r="AL139" i="140"/>
  <c r="AO200" i="140"/>
  <c r="BL200" i="140" s="1"/>
  <c r="AL200" i="140"/>
  <c r="BC143" i="140"/>
  <c r="H131" i="140"/>
  <c r="AO143" i="140"/>
  <c r="AL131" i="140"/>
  <c r="AO192" i="140"/>
  <c r="BL192" i="140" s="1"/>
  <c r="AL192" i="140"/>
  <c r="D10" i="138" l="1"/>
  <c r="D9" i="138"/>
  <c r="D8" i="138"/>
  <c r="D7" i="138"/>
  <c r="D6" i="138"/>
  <c r="D4" i="138"/>
  <c r="E3" i="138"/>
  <c r="E4" i="138"/>
  <c r="E6" i="138"/>
  <c r="E8" i="138"/>
  <c r="E9" i="138"/>
  <c r="E10" i="138"/>
  <c r="S143" i="140"/>
  <c r="S204" i="140" s="1"/>
  <c r="Q143" i="140"/>
  <c r="Q204" i="140" l="1"/>
  <c r="BA143" i="140"/>
  <c r="Q86" i="140"/>
  <c r="AO231" i="140" l="1"/>
  <c r="BL231" i="140" s="1"/>
  <c r="AL231" i="140"/>
  <c r="AO168" i="140"/>
  <c r="BL168" i="140" s="1"/>
  <c r="AL168" i="140"/>
  <c r="AC168" i="140"/>
  <c r="X168" i="140"/>
  <c r="W168" i="140"/>
  <c r="V168" i="140"/>
  <c r="U168" i="140"/>
  <c r="H168" i="140"/>
  <c r="AL107" i="140"/>
  <c r="S107" i="140"/>
  <c r="Q107" i="140"/>
  <c r="P107" i="140"/>
  <c r="J107" i="140"/>
  <c r="I107" i="140" a="1"/>
  <c r="I107" i="140" s="1"/>
  <c r="K107" i="140" s="1"/>
  <c r="F107" i="140"/>
  <c r="AO107" i="140"/>
  <c r="BC107" i="140" s="1"/>
  <c r="AL57" i="140"/>
  <c r="S57" i="140"/>
  <c r="Q57" i="140"/>
  <c r="P57" i="140"/>
  <c r="J57" i="140"/>
  <c r="I57" i="140" a="1"/>
  <c r="I57" i="140" s="1"/>
  <c r="F57" i="140"/>
  <c r="AO57" i="140"/>
  <c r="BC57" i="140" s="1"/>
  <c r="AL12" i="140"/>
  <c r="AC12" i="140"/>
  <c r="BK12" i="140" s="1"/>
  <c r="X12" i="140"/>
  <c r="W12" i="140"/>
  <c r="BE12" i="140" s="1"/>
  <c r="V12" i="140"/>
  <c r="U12" i="140"/>
  <c r="S12" i="140"/>
  <c r="Q12" i="140"/>
  <c r="BA12" i="140" s="1"/>
  <c r="P12" i="140"/>
  <c r="AZ12" i="140" s="1"/>
  <c r="J12" i="140"/>
  <c r="I12" i="140"/>
  <c r="H12" i="140"/>
  <c r="F12" i="140"/>
  <c r="AO12" i="140"/>
  <c r="BL12" i="140" s="1"/>
  <c r="H24" i="134"/>
  <c r="G25" i="134"/>
  <c r="F24" i="134"/>
  <c r="E25" i="134"/>
  <c r="X231" i="140" l="1"/>
  <c r="V231" i="140"/>
  <c r="Z12" i="140"/>
  <c r="BH12" i="140" s="1"/>
  <c r="AB168" i="140"/>
  <c r="R107" i="140"/>
  <c r="P168" i="140"/>
  <c r="K57" i="140"/>
  <c r="S168" i="140"/>
  <c r="S231" i="140" s="1"/>
  <c r="Q168" i="140"/>
  <c r="H231" i="140"/>
  <c r="U231" i="140"/>
  <c r="W231" i="140"/>
  <c r="AC231" i="140"/>
  <c r="O107" i="140"/>
  <c r="AF168" i="140"/>
  <c r="Y168" i="140"/>
  <c r="F168" i="140"/>
  <c r="Z168" i="140"/>
  <c r="I168" i="140"/>
  <c r="I231" i="140" s="1"/>
  <c r="J168" i="140"/>
  <c r="J231" i="140" s="1"/>
  <c r="AA168" i="140"/>
  <c r="M107" i="140"/>
  <c r="N107" i="140"/>
  <c r="G107" i="140"/>
  <c r="T107" i="140" s="1"/>
  <c r="L107" i="140"/>
  <c r="O57" i="140"/>
  <c r="R57" i="140"/>
  <c r="Y12" i="140"/>
  <c r="BG12" i="140" s="1"/>
  <c r="M57" i="140"/>
  <c r="N57" i="140"/>
  <c r="G57" i="140"/>
  <c r="L57" i="140"/>
  <c r="N12" i="140"/>
  <c r="AF12" i="140"/>
  <c r="K12" i="140"/>
  <c r="AD12" i="140"/>
  <c r="AR12" i="140"/>
  <c r="BC12" i="140"/>
  <c r="AB12" i="140"/>
  <c r="BJ12" i="140" s="1"/>
  <c r="AS12" i="140"/>
  <c r="BD12" i="140"/>
  <c r="BF12" i="140"/>
  <c r="AA12" i="140"/>
  <c r="BI12" i="140" s="1"/>
  <c r="AT12" i="140"/>
  <c r="M12" i="140"/>
  <c r="R12" i="140"/>
  <c r="AP12" i="140"/>
  <c r="BB12" i="140" s="1"/>
  <c r="AG12" i="140"/>
  <c r="G12" i="140"/>
  <c r="O12" i="140"/>
  <c r="L12" i="140"/>
  <c r="P2987" i="129"/>
  <c r="Q2987" i="129"/>
  <c r="R2987" i="129"/>
  <c r="S2987" i="129"/>
  <c r="P2988" i="129"/>
  <c r="Q2988" i="129"/>
  <c r="R2988" i="129"/>
  <c r="S2988" i="129"/>
  <c r="P2989" i="129"/>
  <c r="Q2989" i="129"/>
  <c r="R2989" i="129"/>
  <c r="S2989" i="129"/>
  <c r="P2990" i="129"/>
  <c r="Q2990" i="129"/>
  <c r="R2990" i="129"/>
  <c r="S2990" i="129"/>
  <c r="P2991" i="129"/>
  <c r="Q2991" i="129"/>
  <c r="R2991" i="129"/>
  <c r="S2991" i="129"/>
  <c r="P2992" i="129"/>
  <c r="Q2992" i="129"/>
  <c r="R2992" i="129"/>
  <c r="S2992" i="129"/>
  <c r="P2993" i="129"/>
  <c r="Q2993" i="129"/>
  <c r="R2993" i="129"/>
  <c r="S2993" i="129"/>
  <c r="P2994" i="129"/>
  <c r="Q2994" i="129"/>
  <c r="R2994" i="129"/>
  <c r="S2994" i="129"/>
  <c r="P2995" i="129"/>
  <c r="Q2995" i="129"/>
  <c r="R2995" i="129"/>
  <c r="S2995" i="129"/>
  <c r="P2996" i="129"/>
  <c r="Q2996" i="129"/>
  <c r="R2996" i="129"/>
  <c r="S2996" i="129"/>
  <c r="P2997" i="129"/>
  <c r="Q2997" i="129"/>
  <c r="R2997" i="129"/>
  <c r="S2997" i="129"/>
  <c r="P2998" i="129"/>
  <c r="Q2998" i="129"/>
  <c r="R2998" i="129"/>
  <c r="S2998" i="129"/>
  <c r="P2999" i="129"/>
  <c r="Q2999" i="129"/>
  <c r="R2999" i="129"/>
  <c r="S2999" i="129"/>
  <c r="P3000" i="129"/>
  <c r="Q3000" i="129"/>
  <c r="R3000" i="129"/>
  <c r="S3000" i="129"/>
  <c r="P3001" i="129"/>
  <c r="Q3001" i="129"/>
  <c r="R3001" i="129"/>
  <c r="S3001" i="129"/>
  <c r="P3002" i="129"/>
  <c r="Q3002" i="129"/>
  <c r="R3002" i="129"/>
  <c r="S3002" i="129"/>
  <c r="P3003" i="129"/>
  <c r="Q3003" i="129"/>
  <c r="R3003" i="129"/>
  <c r="S3003" i="129"/>
  <c r="P3004" i="129"/>
  <c r="Q3004" i="129"/>
  <c r="R3004" i="129"/>
  <c r="S3004" i="129"/>
  <c r="P3005" i="129"/>
  <c r="Q3005" i="129"/>
  <c r="R3005" i="129"/>
  <c r="S3005" i="129"/>
  <c r="P3006" i="129"/>
  <c r="Q3006" i="129"/>
  <c r="R3006" i="129"/>
  <c r="S3006" i="129"/>
  <c r="P3007" i="129"/>
  <c r="Q3007" i="129"/>
  <c r="R3007" i="129"/>
  <c r="S3007" i="129"/>
  <c r="P3008" i="129"/>
  <c r="Q3008" i="129"/>
  <c r="R3008" i="129"/>
  <c r="S3008" i="129"/>
  <c r="P3009" i="129"/>
  <c r="Q3009" i="129"/>
  <c r="R3009" i="129"/>
  <c r="S3009" i="129"/>
  <c r="P3010" i="129"/>
  <c r="Q3010" i="129"/>
  <c r="R3010" i="129"/>
  <c r="S3010" i="129"/>
  <c r="N78" i="130"/>
  <c r="O78" i="130"/>
  <c r="N79" i="130"/>
  <c r="O79" i="130"/>
  <c r="O3889" i="127"/>
  <c r="P3889" i="127"/>
  <c r="Q3889" i="127"/>
  <c r="O3890" i="127"/>
  <c r="P3890" i="127"/>
  <c r="Q3890" i="127"/>
  <c r="O3891" i="127"/>
  <c r="P3891" i="127"/>
  <c r="Q3891" i="127"/>
  <c r="O3892" i="127"/>
  <c r="P3892" i="127"/>
  <c r="Q3892" i="127"/>
  <c r="O3893" i="127"/>
  <c r="P3893" i="127"/>
  <c r="Q3893" i="127"/>
  <c r="O3894" i="127"/>
  <c r="P3894" i="127"/>
  <c r="Q3894" i="127"/>
  <c r="O3895" i="127"/>
  <c r="P3895" i="127"/>
  <c r="Q3895" i="127"/>
  <c r="O3896" i="127"/>
  <c r="P3896" i="127"/>
  <c r="Q3896" i="127"/>
  <c r="O3897" i="127"/>
  <c r="P3897" i="127"/>
  <c r="Q3897" i="127"/>
  <c r="O3898" i="127"/>
  <c r="P3898" i="127"/>
  <c r="Q3898" i="127"/>
  <c r="O3899" i="127"/>
  <c r="P3899" i="127"/>
  <c r="Q3899" i="127"/>
  <c r="O3900" i="127"/>
  <c r="P3900" i="127"/>
  <c r="Q3900" i="127"/>
  <c r="O3901" i="127"/>
  <c r="P3901" i="127"/>
  <c r="Q3901" i="127"/>
  <c r="O3902" i="127"/>
  <c r="P3902" i="127"/>
  <c r="Q3902" i="127"/>
  <c r="O3903" i="127"/>
  <c r="P3903" i="127"/>
  <c r="Q3903" i="127"/>
  <c r="O3904" i="127"/>
  <c r="P3904" i="127"/>
  <c r="Q3904" i="127"/>
  <c r="O3905" i="127"/>
  <c r="P3905" i="127"/>
  <c r="Q3905" i="127"/>
  <c r="O3906" i="127"/>
  <c r="P3906" i="127"/>
  <c r="Q3906" i="127"/>
  <c r="O3907" i="127"/>
  <c r="P3907" i="127"/>
  <c r="Q3907" i="127"/>
  <c r="O3908" i="127"/>
  <c r="P3908" i="127"/>
  <c r="Q3908" i="127"/>
  <c r="O3909" i="127"/>
  <c r="P3909" i="127"/>
  <c r="Q3909" i="127"/>
  <c r="O3910" i="127"/>
  <c r="P3910" i="127"/>
  <c r="Q3910" i="127"/>
  <c r="O3911" i="127"/>
  <c r="P3911" i="127"/>
  <c r="Q3911" i="127"/>
  <c r="O3912" i="127"/>
  <c r="P3912" i="127"/>
  <c r="Q3912" i="127"/>
  <c r="O3913" i="127"/>
  <c r="P3913" i="127"/>
  <c r="Q3913" i="127"/>
  <c r="O3914" i="127"/>
  <c r="P3914" i="127"/>
  <c r="Q3914" i="127"/>
  <c r="O3915" i="127"/>
  <c r="P3915" i="127"/>
  <c r="Q3915" i="127"/>
  <c r="O3916" i="127"/>
  <c r="P3916" i="127"/>
  <c r="Q3916" i="127"/>
  <c r="O3917" i="127"/>
  <c r="P3917" i="127"/>
  <c r="Q3917" i="127"/>
  <c r="O3918" i="127"/>
  <c r="P3918" i="127"/>
  <c r="Q3918" i="127"/>
  <c r="O3919" i="127"/>
  <c r="P3919" i="127"/>
  <c r="Q3919" i="127"/>
  <c r="O3920" i="127"/>
  <c r="P3920" i="127"/>
  <c r="Q3920" i="127"/>
  <c r="O3921" i="127"/>
  <c r="P3921" i="127"/>
  <c r="Q3921" i="127"/>
  <c r="O3922" i="127"/>
  <c r="P3922" i="127"/>
  <c r="Q3922" i="127"/>
  <c r="O3923" i="127"/>
  <c r="P3923" i="127"/>
  <c r="Q3923" i="127"/>
  <c r="O3924" i="127"/>
  <c r="P3924" i="127"/>
  <c r="Q3924" i="127"/>
  <c r="O3925" i="127"/>
  <c r="P3925" i="127"/>
  <c r="Q3925" i="127"/>
  <c r="O3926" i="127"/>
  <c r="P3926" i="127"/>
  <c r="Q3926" i="127"/>
  <c r="Y231" i="140" l="1"/>
  <c r="AI12" i="140"/>
  <c r="Z231" i="140"/>
  <c r="AA231" i="140"/>
  <c r="AF231" i="140"/>
  <c r="AB231" i="140"/>
  <c r="Q231" i="140"/>
  <c r="P231" i="140"/>
  <c r="K231" i="140"/>
  <c r="N231" i="140"/>
  <c r="AE12" i="140"/>
  <c r="F231" i="140"/>
  <c r="AG231" i="140"/>
  <c r="K168" i="140"/>
  <c r="AH168" i="140" s="1"/>
  <c r="N168" i="140"/>
  <c r="AJ168" i="140" s="1"/>
  <c r="AG168" i="140"/>
  <c r="L168" i="140"/>
  <c r="AI168" i="140" s="1"/>
  <c r="M168" i="140"/>
  <c r="O168" i="140"/>
  <c r="AK168" i="140" s="1"/>
  <c r="R168" i="140"/>
  <c r="T57" i="140"/>
  <c r="G168" i="140"/>
  <c r="G231" i="140" s="1"/>
  <c r="AD168" i="140"/>
  <c r="AH12" i="140"/>
  <c r="AX12" i="140"/>
  <c r="AU12" i="140"/>
  <c r="AK12" i="140"/>
  <c r="AJ12" i="140"/>
  <c r="AW12" i="140"/>
  <c r="AV12" i="140"/>
  <c r="AQ12" i="140"/>
  <c r="AY12" i="140"/>
  <c r="T12" i="140"/>
  <c r="AH231" i="140" l="1"/>
  <c r="AJ231" i="140"/>
  <c r="AE231" i="140"/>
  <c r="T231" i="140"/>
  <c r="M231" i="140"/>
  <c r="O231" i="140"/>
  <c r="AK231" i="140" s="1"/>
  <c r="AD231" i="140"/>
  <c r="L231" i="140"/>
  <c r="AI231" i="140" s="1"/>
  <c r="R231" i="140"/>
  <c r="AE168" i="140"/>
  <c r="T168" i="140"/>
  <c r="S2986" i="129"/>
  <c r="R2986" i="129"/>
  <c r="Q2986" i="129"/>
  <c r="P2986" i="129"/>
  <c r="S2985" i="129"/>
  <c r="R2985" i="129"/>
  <c r="Q2985" i="129"/>
  <c r="P2985" i="129"/>
  <c r="S2984" i="129"/>
  <c r="R2984" i="129"/>
  <c r="Q2984" i="129"/>
  <c r="P2984" i="129"/>
  <c r="S2983" i="129"/>
  <c r="R2983" i="129"/>
  <c r="Q2983" i="129"/>
  <c r="P2983" i="129"/>
  <c r="S2982" i="129"/>
  <c r="R2982" i="129"/>
  <c r="Q2982" i="129"/>
  <c r="P2982" i="129"/>
  <c r="S2981" i="129"/>
  <c r="R2981" i="129"/>
  <c r="Q2981" i="129"/>
  <c r="P2981" i="129"/>
  <c r="S2980" i="129"/>
  <c r="R2980" i="129"/>
  <c r="Q2980" i="129"/>
  <c r="P2980" i="129"/>
  <c r="S2979" i="129"/>
  <c r="R2979" i="129"/>
  <c r="Q2979" i="129"/>
  <c r="P2979" i="129"/>
  <c r="S2978" i="129"/>
  <c r="R2978" i="129"/>
  <c r="Q2978" i="129"/>
  <c r="P2978" i="129"/>
  <c r="S2977" i="129"/>
  <c r="R2977" i="129"/>
  <c r="Q2977" i="129"/>
  <c r="P2977" i="129"/>
  <c r="S2976" i="129"/>
  <c r="R2976" i="129"/>
  <c r="Q2976" i="129"/>
  <c r="P2976" i="129"/>
  <c r="S2975" i="129"/>
  <c r="R2975" i="129"/>
  <c r="Q2975" i="129"/>
  <c r="P2975" i="129"/>
  <c r="S2974" i="129"/>
  <c r="R2974" i="129"/>
  <c r="Q2974" i="129"/>
  <c r="P2974" i="129"/>
  <c r="S2973" i="129"/>
  <c r="R2973" i="129"/>
  <c r="Q2973" i="129"/>
  <c r="P2973" i="129"/>
  <c r="S2972" i="129"/>
  <c r="R2972" i="129"/>
  <c r="Q2972" i="129"/>
  <c r="P2972" i="129"/>
  <c r="S2971" i="129"/>
  <c r="R2971" i="129"/>
  <c r="Q2971" i="129"/>
  <c r="P2971" i="129"/>
  <c r="S2970" i="129"/>
  <c r="R2970" i="129"/>
  <c r="Q2970" i="129"/>
  <c r="P2970" i="129"/>
  <c r="S2969" i="129"/>
  <c r="R2969" i="129"/>
  <c r="Q2969" i="129"/>
  <c r="P2969" i="129"/>
  <c r="S2968" i="129"/>
  <c r="R2968" i="129"/>
  <c r="Q2968" i="129"/>
  <c r="P2968" i="129"/>
  <c r="S2967" i="129"/>
  <c r="R2967" i="129"/>
  <c r="Q2967" i="129"/>
  <c r="P2967" i="129"/>
  <c r="S2966" i="129"/>
  <c r="R2966" i="129"/>
  <c r="Q2966" i="129"/>
  <c r="P2966" i="129"/>
  <c r="S2965" i="129"/>
  <c r="R2965" i="129"/>
  <c r="Q2965" i="129"/>
  <c r="P2965" i="129"/>
  <c r="S2964" i="129"/>
  <c r="R2964" i="129"/>
  <c r="Q2964" i="129"/>
  <c r="P2964" i="129"/>
  <c r="S2963" i="129"/>
  <c r="R2963" i="129"/>
  <c r="Q2963" i="129"/>
  <c r="P2963" i="129"/>
  <c r="S2962" i="129"/>
  <c r="R2962" i="129"/>
  <c r="Q2962" i="129"/>
  <c r="P2962" i="129"/>
  <c r="S2961" i="129"/>
  <c r="R2961" i="129"/>
  <c r="Q2961" i="129"/>
  <c r="P2961" i="129"/>
  <c r="S2960" i="129"/>
  <c r="R2960" i="129"/>
  <c r="Q2960" i="129"/>
  <c r="P2960" i="129"/>
  <c r="S2959" i="129"/>
  <c r="R2959" i="129"/>
  <c r="Q2959" i="129"/>
  <c r="P2959" i="129"/>
  <c r="S2958" i="129"/>
  <c r="R2958" i="129"/>
  <c r="Q2958" i="129"/>
  <c r="P2958" i="129"/>
  <c r="P213" i="129"/>
  <c r="Q213" i="129"/>
  <c r="R213" i="129"/>
  <c r="S213" i="129"/>
  <c r="I61" i="125" l="1"/>
  <c r="H61" i="125"/>
  <c r="G61" i="125"/>
  <c r="F61" i="125"/>
  <c r="E61" i="125"/>
  <c r="D61" i="125"/>
  <c r="I60" i="125"/>
  <c r="H60" i="125"/>
  <c r="G60" i="125"/>
  <c r="F60" i="125"/>
  <c r="E60" i="125"/>
  <c r="D60" i="125"/>
  <c r="J60" i="125" s="1"/>
  <c r="L59" i="125"/>
  <c r="K59" i="125"/>
  <c r="J59" i="125"/>
  <c r="L58" i="125"/>
  <c r="K58" i="125"/>
  <c r="J58" i="125"/>
  <c r="I57" i="125"/>
  <c r="H57" i="125"/>
  <c r="G57" i="125"/>
  <c r="F57" i="125"/>
  <c r="E57" i="125"/>
  <c r="D57" i="125"/>
  <c r="R56" i="125"/>
  <c r="Q56" i="125"/>
  <c r="P56" i="125"/>
  <c r="O56" i="125"/>
  <c r="N56" i="125"/>
  <c r="M56" i="125"/>
  <c r="L56" i="125"/>
  <c r="K56" i="125"/>
  <c r="J56" i="125"/>
  <c r="R55" i="125"/>
  <c r="Q55" i="125"/>
  <c r="P55" i="125"/>
  <c r="P61" i="125" s="1"/>
  <c r="O55" i="125"/>
  <c r="N55" i="125"/>
  <c r="M55" i="125"/>
  <c r="L55" i="125"/>
  <c r="K55" i="125"/>
  <c r="J55" i="125"/>
  <c r="K61" i="125" l="1"/>
  <c r="N59" i="125"/>
  <c r="N58" i="125"/>
  <c r="L61" i="125"/>
  <c r="O59" i="125"/>
  <c r="O58" i="125"/>
  <c r="P58" i="125"/>
  <c r="P59" i="125"/>
  <c r="Q58" i="125"/>
  <c r="Q59" i="125"/>
  <c r="R59" i="125"/>
  <c r="R58" i="125"/>
  <c r="M58" i="125"/>
  <c r="M59" i="125"/>
  <c r="L57" i="125"/>
  <c r="K60" i="125"/>
  <c r="J61" i="125"/>
  <c r="N61" i="125"/>
  <c r="M61" i="125"/>
  <c r="S61" i="125" s="1"/>
  <c r="K57" i="125"/>
  <c r="O61" i="125"/>
  <c r="L60" i="125"/>
  <c r="Q61" i="125"/>
  <c r="R60" i="125"/>
  <c r="T55" i="125"/>
  <c r="J57" i="125"/>
  <c r="M60" i="125"/>
  <c r="N60" i="125"/>
  <c r="O60" i="125"/>
  <c r="R61" i="125"/>
  <c r="P57" i="125"/>
  <c r="Q60" i="125"/>
  <c r="N57" i="125"/>
  <c r="P60" i="125"/>
  <c r="U55" i="125"/>
  <c r="O57" i="125"/>
  <c r="S56" i="125"/>
  <c r="Q57" i="125"/>
  <c r="T56" i="125"/>
  <c r="R57" i="125"/>
  <c r="U56" i="125"/>
  <c r="S55" i="125"/>
  <c r="M57" i="125"/>
  <c r="S138" i="140"/>
  <c r="S137" i="140"/>
  <c r="S89" i="140"/>
  <c r="T61" i="125" l="1"/>
  <c r="S139" i="140"/>
  <c r="U61" i="125"/>
  <c r="S60" i="125"/>
  <c r="S57" i="125"/>
  <c r="T57" i="125"/>
  <c r="U60" i="125"/>
  <c r="U57" i="125"/>
  <c r="T60" i="125"/>
  <c r="AO232" i="140"/>
  <c r="BL232" i="140" s="1"/>
  <c r="AL232" i="140"/>
  <c r="AO108" i="140"/>
  <c r="BC108" i="140" s="1"/>
  <c r="AO170" i="140"/>
  <c r="BL170" i="140" s="1"/>
  <c r="AL169" i="140"/>
  <c r="AC169" i="140"/>
  <c r="X169" i="140"/>
  <c r="W169" i="140"/>
  <c r="V169" i="140"/>
  <c r="U169" i="140"/>
  <c r="H169" i="140"/>
  <c r="AR109" i="140"/>
  <c r="S108" i="140"/>
  <c r="Q108" i="140"/>
  <c r="P108" i="140"/>
  <c r="J108" i="140"/>
  <c r="I108" i="140" a="1"/>
  <c r="I108" i="140" s="1"/>
  <c r="K108" i="140" s="1"/>
  <c r="F108" i="140"/>
  <c r="AL108" i="140"/>
  <c r="S58" i="140"/>
  <c r="Q58" i="140"/>
  <c r="P58" i="140"/>
  <c r="J58" i="140"/>
  <c r="I58" i="140" a="1"/>
  <c r="I58" i="140" s="1"/>
  <c r="K58" i="140" s="1"/>
  <c r="F58" i="140"/>
  <c r="AO58" i="140"/>
  <c r="BC58" i="140" s="1"/>
  <c r="AL58" i="140"/>
  <c r="AO13" i="140"/>
  <c r="BL13" i="140" s="1"/>
  <c r="AL13" i="140"/>
  <c r="AC13" i="140"/>
  <c r="X13" i="140"/>
  <c r="W13" i="140"/>
  <c r="V13" i="140"/>
  <c r="U13" i="140"/>
  <c r="S13" i="140"/>
  <c r="Q13" i="140"/>
  <c r="P13" i="140"/>
  <c r="J13" i="140"/>
  <c r="I13" i="140"/>
  <c r="H13" i="140"/>
  <c r="F13" i="140"/>
  <c r="O77" i="130"/>
  <c r="N77" i="130"/>
  <c r="O76" i="130"/>
  <c r="N76" i="130"/>
  <c r="O3845" i="127"/>
  <c r="P3845" i="127"/>
  <c r="Q3845" i="127"/>
  <c r="O3846" i="127"/>
  <c r="P3846" i="127"/>
  <c r="Q3846" i="127"/>
  <c r="O3847" i="127"/>
  <c r="P3847" i="127"/>
  <c r="Q3847" i="127"/>
  <c r="O3848" i="127"/>
  <c r="P3848" i="127"/>
  <c r="Q3848" i="127"/>
  <c r="O3849" i="127"/>
  <c r="P3849" i="127"/>
  <c r="Q3849" i="127"/>
  <c r="O3850" i="127"/>
  <c r="P3850" i="127"/>
  <c r="Q3850" i="127"/>
  <c r="O3851" i="127"/>
  <c r="P3851" i="127"/>
  <c r="Q3851" i="127"/>
  <c r="O3852" i="127"/>
  <c r="P3852" i="127"/>
  <c r="Q3852" i="127"/>
  <c r="O3853" i="127"/>
  <c r="P3853" i="127"/>
  <c r="Q3853" i="127"/>
  <c r="O3854" i="127"/>
  <c r="P3854" i="127"/>
  <c r="Q3854" i="127"/>
  <c r="O3855" i="127"/>
  <c r="P3855" i="127"/>
  <c r="Q3855" i="127"/>
  <c r="O3856" i="127"/>
  <c r="P3856" i="127"/>
  <c r="Q3856" i="127"/>
  <c r="O3857" i="127"/>
  <c r="P3857" i="127"/>
  <c r="Q3857" i="127"/>
  <c r="O3858" i="127"/>
  <c r="P3858" i="127"/>
  <c r="Q3858" i="127"/>
  <c r="O3859" i="127"/>
  <c r="P3859" i="127"/>
  <c r="Q3859" i="127"/>
  <c r="O3860" i="127"/>
  <c r="P3860" i="127"/>
  <c r="Q3860" i="127"/>
  <c r="O3861" i="127"/>
  <c r="P3861" i="127"/>
  <c r="Q3861" i="127"/>
  <c r="O3862" i="127"/>
  <c r="P3862" i="127"/>
  <c r="Q3862" i="127"/>
  <c r="O3863" i="127"/>
  <c r="P3863" i="127"/>
  <c r="Q3863" i="127"/>
  <c r="O3864" i="127"/>
  <c r="P3864" i="127"/>
  <c r="Q3864" i="127"/>
  <c r="O3865" i="127"/>
  <c r="P3865" i="127"/>
  <c r="Q3865" i="127"/>
  <c r="O3866" i="127"/>
  <c r="P3866" i="127"/>
  <c r="Q3866" i="127"/>
  <c r="O3867" i="127"/>
  <c r="P3867" i="127"/>
  <c r="Q3867" i="127"/>
  <c r="O3868" i="127"/>
  <c r="P3868" i="127"/>
  <c r="Q3868" i="127"/>
  <c r="O3869" i="127"/>
  <c r="P3869" i="127"/>
  <c r="Q3869" i="127"/>
  <c r="O3870" i="127"/>
  <c r="P3870" i="127"/>
  <c r="Q3870" i="127"/>
  <c r="O3871" i="127"/>
  <c r="P3871" i="127"/>
  <c r="Q3871" i="127"/>
  <c r="O3872" i="127"/>
  <c r="P3872" i="127"/>
  <c r="Q3872" i="127"/>
  <c r="O3873" i="127"/>
  <c r="P3873" i="127"/>
  <c r="Q3873" i="127"/>
  <c r="O3874" i="127"/>
  <c r="P3874" i="127"/>
  <c r="Q3874" i="127"/>
  <c r="O3875" i="127"/>
  <c r="P3875" i="127"/>
  <c r="Q3875" i="127"/>
  <c r="O3876" i="127"/>
  <c r="P3876" i="127"/>
  <c r="Q3876" i="127"/>
  <c r="O3877" i="127"/>
  <c r="P3877" i="127"/>
  <c r="Q3877" i="127"/>
  <c r="O3878" i="127"/>
  <c r="P3878" i="127"/>
  <c r="Q3878" i="127"/>
  <c r="O3879" i="127"/>
  <c r="P3879" i="127"/>
  <c r="Q3879" i="127"/>
  <c r="O3880" i="127"/>
  <c r="P3880" i="127"/>
  <c r="Q3880" i="127"/>
  <c r="O3881" i="127"/>
  <c r="P3881" i="127"/>
  <c r="Q3881" i="127"/>
  <c r="O3882" i="127"/>
  <c r="P3882" i="127"/>
  <c r="Q3882" i="127"/>
  <c r="O3883" i="127"/>
  <c r="P3883" i="127"/>
  <c r="Q3883" i="127"/>
  <c r="O3884" i="127"/>
  <c r="P3884" i="127"/>
  <c r="Q3884" i="127"/>
  <c r="O3885" i="127"/>
  <c r="P3885" i="127"/>
  <c r="Q3885" i="127"/>
  <c r="O3886" i="127"/>
  <c r="P3886" i="127"/>
  <c r="Q3886" i="127"/>
  <c r="O3887" i="127"/>
  <c r="P3887" i="127"/>
  <c r="Q3887" i="127"/>
  <c r="O3888" i="127"/>
  <c r="P3888" i="127"/>
  <c r="Q3888" i="127"/>
  <c r="Q3844" i="127"/>
  <c r="P3844" i="127"/>
  <c r="O3844" i="127"/>
  <c r="J69" i="125"/>
  <c r="K69" i="125"/>
  <c r="L69" i="125"/>
  <c r="M69" i="125"/>
  <c r="N69" i="125"/>
  <c r="T69" i="125" s="1"/>
  <c r="O69" i="125"/>
  <c r="P69" i="125"/>
  <c r="Q69" i="125"/>
  <c r="R69" i="125"/>
  <c r="S69" i="125"/>
  <c r="O1071" i="127"/>
  <c r="P1071" i="127"/>
  <c r="O1072" i="127"/>
  <c r="P1072" i="127"/>
  <c r="O1073" i="127"/>
  <c r="P1073" i="127"/>
  <c r="O1074" i="127"/>
  <c r="P1074" i="127"/>
  <c r="O1075" i="127"/>
  <c r="P1075" i="127"/>
  <c r="O1076" i="127"/>
  <c r="P1076" i="127"/>
  <c r="O1077" i="127"/>
  <c r="P1077" i="127"/>
  <c r="O1078" i="127"/>
  <c r="P1078" i="127"/>
  <c r="O1079" i="127"/>
  <c r="P1079" i="127"/>
  <c r="O1080" i="127"/>
  <c r="P1080" i="127"/>
  <c r="O1081" i="127"/>
  <c r="P1081" i="127"/>
  <c r="O1082" i="127"/>
  <c r="P1082" i="127"/>
  <c r="O1083" i="127"/>
  <c r="P1083" i="127"/>
  <c r="O1084" i="127"/>
  <c r="P1084" i="127"/>
  <c r="O1085" i="127"/>
  <c r="P1085" i="127"/>
  <c r="O1086" i="127"/>
  <c r="P1086" i="127"/>
  <c r="O1087" i="127"/>
  <c r="P1087" i="127"/>
  <c r="O1088" i="127"/>
  <c r="P1088" i="127"/>
  <c r="O1089" i="127"/>
  <c r="P1089" i="127"/>
  <c r="O1090" i="127"/>
  <c r="P1090" i="127"/>
  <c r="O1091" i="127"/>
  <c r="P1091" i="127"/>
  <c r="O1092" i="127"/>
  <c r="P1092" i="127"/>
  <c r="O1093" i="127"/>
  <c r="P1093" i="127"/>
  <c r="O1094" i="127"/>
  <c r="P1094" i="127"/>
  <c r="O1095" i="127"/>
  <c r="P1095" i="127"/>
  <c r="O1096" i="127"/>
  <c r="P1096" i="127"/>
  <c r="O1097" i="127"/>
  <c r="P1097" i="127"/>
  <c r="O1098" i="127"/>
  <c r="P1098" i="127"/>
  <c r="O1099" i="127"/>
  <c r="P1099" i="127"/>
  <c r="O1100" i="127"/>
  <c r="P1100" i="127"/>
  <c r="O1101" i="127"/>
  <c r="P1101" i="127"/>
  <c r="O1102" i="127"/>
  <c r="P1102" i="127"/>
  <c r="O1103" i="127"/>
  <c r="P1103" i="127"/>
  <c r="O1104" i="127"/>
  <c r="P1104" i="127"/>
  <c r="O1105" i="127"/>
  <c r="P1105" i="127"/>
  <c r="O1106" i="127"/>
  <c r="P1106" i="127"/>
  <c r="O1107" i="127"/>
  <c r="P1107" i="127"/>
  <c r="O1108" i="127"/>
  <c r="P1108" i="127"/>
  <c r="O1109" i="127"/>
  <c r="P1109" i="127"/>
  <c r="O1110" i="127"/>
  <c r="P1110" i="127"/>
  <c r="O1111" i="127"/>
  <c r="P1111" i="127"/>
  <c r="O1112" i="127"/>
  <c r="P1112" i="127"/>
  <c r="O1113" i="127"/>
  <c r="P1113" i="127"/>
  <c r="O1114" i="127"/>
  <c r="P1114" i="127"/>
  <c r="O1115" i="127"/>
  <c r="P1115" i="127"/>
  <c r="O1116" i="127"/>
  <c r="P1116" i="127"/>
  <c r="O1117" i="127"/>
  <c r="P1117" i="127"/>
  <c r="O1118" i="127"/>
  <c r="P1118" i="127"/>
  <c r="O1119" i="127"/>
  <c r="P1119" i="127"/>
  <c r="O1120" i="127"/>
  <c r="P1120" i="127"/>
  <c r="O1121" i="127"/>
  <c r="P1121" i="127"/>
  <c r="O1122" i="127"/>
  <c r="P1122" i="127"/>
  <c r="O1123" i="127"/>
  <c r="P1123" i="127"/>
  <c r="O1124" i="127"/>
  <c r="P1124" i="127"/>
  <c r="O1125" i="127"/>
  <c r="P1125" i="127"/>
  <c r="O1126" i="127"/>
  <c r="P1126" i="127"/>
  <c r="O1127" i="127"/>
  <c r="P1127" i="127"/>
  <c r="O1128" i="127"/>
  <c r="P1128" i="127"/>
  <c r="O1129" i="127"/>
  <c r="P1129" i="127"/>
  <c r="O1130" i="127"/>
  <c r="P1130" i="127"/>
  <c r="O1131" i="127"/>
  <c r="P1131" i="127"/>
  <c r="O1132" i="127"/>
  <c r="P1132" i="127"/>
  <c r="O1133" i="127"/>
  <c r="P1133" i="127"/>
  <c r="O1134" i="127"/>
  <c r="P1134" i="127"/>
  <c r="O1135" i="127"/>
  <c r="P1135" i="127"/>
  <c r="O1136" i="127"/>
  <c r="P1136" i="127"/>
  <c r="O1137" i="127"/>
  <c r="P1137" i="127"/>
  <c r="O1138" i="127"/>
  <c r="P1138" i="127"/>
  <c r="O1139" i="127"/>
  <c r="P1139" i="127"/>
  <c r="O1140" i="127"/>
  <c r="P1140" i="127"/>
  <c r="O1141" i="127"/>
  <c r="P1141" i="127"/>
  <c r="O1142" i="127"/>
  <c r="P1142" i="127"/>
  <c r="O1143" i="127"/>
  <c r="P1143" i="127"/>
  <c r="O1144" i="127"/>
  <c r="P1144" i="127"/>
  <c r="O1145" i="127"/>
  <c r="P1145" i="127"/>
  <c r="O1146" i="127"/>
  <c r="P1146" i="127"/>
  <c r="O1147" i="127"/>
  <c r="P1147" i="127"/>
  <c r="O1148" i="127"/>
  <c r="P1148" i="127"/>
  <c r="O1149" i="127"/>
  <c r="P1149" i="127"/>
  <c r="O1150" i="127"/>
  <c r="P1150" i="127"/>
  <c r="O1151" i="127"/>
  <c r="P1151" i="127"/>
  <c r="O1152" i="127"/>
  <c r="P1152" i="127"/>
  <c r="O1153" i="127"/>
  <c r="P1153" i="127"/>
  <c r="O1154" i="127"/>
  <c r="P1154" i="127"/>
  <c r="O1155" i="127"/>
  <c r="P1155" i="127"/>
  <c r="O1156" i="127"/>
  <c r="P1156" i="127"/>
  <c r="O1157" i="127"/>
  <c r="P1157" i="127"/>
  <c r="O1158" i="127"/>
  <c r="P1158" i="127"/>
  <c r="O1159" i="127"/>
  <c r="P1159" i="127"/>
  <c r="O1160" i="127"/>
  <c r="P1160" i="127"/>
  <c r="O1161" i="127"/>
  <c r="P1161" i="127"/>
  <c r="O1162" i="127"/>
  <c r="P1162" i="127"/>
  <c r="O1163" i="127"/>
  <c r="P1163" i="127"/>
  <c r="O1164" i="127"/>
  <c r="P1164" i="127"/>
  <c r="O1165" i="127"/>
  <c r="P1165" i="127"/>
  <c r="O1166" i="127"/>
  <c r="P1166" i="127"/>
  <c r="O1167" i="127"/>
  <c r="P1167" i="127"/>
  <c r="O1168" i="127"/>
  <c r="P1168" i="127"/>
  <c r="O1169" i="127"/>
  <c r="P1169" i="127"/>
  <c r="O1170" i="127"/>
  <c r="P1170" i="127"/>
  <c r="O1171" i="127"/>
  <c r="P1171" i="127"/>
  <c r="O1172" i="127"/>
  <c r="P1172" i="127"/>
  <c r="O1173" i="127"/>
  <c r="P1173" i="127"/>
  <c r="O1174" i="127"/>
  <c r="P1174" i="127"/>
  <c r="O1175" i="127"/>
  <c r="P1175" i="127"/>
  <c r="O1176" i="127"/>
  <c r="P1176" i="127"/>
  <c r="O1177" i="127"/>
  <c r="P1177" i="127"/>
  <c r="O1178" i="127"/>
  <c r="P1178" i="127"/>
  <c r="O1179" i="127"/>
  <c r="P1179" i="127"/>
  <c r="O1180" i="127"/>
  <c r="P1180" i="127"/>
  <c r="O1181" i="127"/>
  <c r="P1181" i="127"/>
  <c r="O1182" i="127"/>
  <c r="P1182" i="127"/>
  <c r="O1183" i="127"/>
  <c r="P1183" i="127"/>
  <c r="O1184" i="127"/>
  <c r="P1184" i="127"/>
  <c r="O1185" i="127"/>
  <c r="P1185" i="127"/>
  <c r="O1186" i="127"/>
  <c r="P1186" i="127"/>
  <c r="O1187" i="127"/>
  <c r="P1187" i="127"/>
  <c r="O1188" i="127"/>
  <c r="P1188" i="127"/>
  <c r="O1189" i="127"/>
  <c r="P1189" i="127"/>
  <c r="O1190" i="127"/>
  <c r="P1190" i="127"/>
  <c r="O1191" i="127"/>
  <c r="P1191" i="127"/>
  <c r="O1192" i="127"/>
  <c r="P1192" i="127"/>
  <c r="O1193" i="127"/>
  <c r="P1193" i="127"/>
  <c r="O1194" i="127"/>
  <c r="P1194" i="127"/>
  <c r="O1195" i="127"/>
  <c r="P1195" i="127"/>
  <c r="O1196" i="127"/>
  <c r="P1196" i="127"/>
  <c r="O1197" i="127"/>
  <c r="P1197" i="127"/>
  <c r="O1198" i="127"/>
  <c r="P1198" i="127"/>
  <c r="O1199" i="127"/>
  <c r="P1199" i="127"/>
  <c r="O1200" i="127"/>
  <c r="P1200" i="127"/>
  <c r="O1201" i="127"/>
  <c r="P1201" i="127"/>
  <c r="O1202" i="127"/>
  <c r="P1202" i="127"/>
  <c r="O1203" i="127"/>
  <c r="P1203" i="127"/>
  <c r="O1204" i="127"/>
  <c r="P1204" i="127"/>
  <c r="O1205" i="127"/>
  <c r="P1205" i="127"/>
  <c r="O1206" i="127"/>
  <c r="P1206" i="127"/>
  <c r="O1207" i="127"/>
  <c r="P1207" i="127"/>
  <c r="O1208" i="127"/>
  <c r="P1208" i="127"/>
  <c r="O1209" i="127"/>
  <c r="P1209" i="127"/>
  <c r="O1210" i="127"/>
  <c r="P1210" i="127"/>
  <c r="O1211" i="127"/>
  <c r="P1211" i="127"/>
  <c r="O1212" i="127"/>
  <c r="P1212" i="127"/>
  <c r="O1213" i="127"/>
  <c r="P1213" i="127"/>
  <c r="O1214" i="127"/>
  <c r="P1214" i="127"/>
  <c r="O1215" i="127"/>
  <c r="P1215" i="127"/>
  <c r="O1216" i="127"/>
  <c r="P1216" i="127"/>
  <c r="O1217" i="127"/>
  <c r="P1217" i="127"/>
  <c r="O1218" i="127"/>
  <c r="P1218" i="127"/>
  <c r="O1219" i="127"/>
  <c r="P1219" i="127"/>
  <c r="O1220" i="127"/>
  <c r="P1220" i="127"/>
  <c r="O1221" i="127"/>
  <c r="P1221" i="127"/>
  <c r="O1222" i="127"/>
  <c r="P1222" i="127"/>
  <c r="O1223" i="127"/>
  <c r="P1223" i="127"/>
  <c r="O1224" i="127"/>
  <c r="P1224" i="127"/>
  <c r="O1225" i="127"/>
  <c r="P1225" i="127"/>
  <c r="O1226" i="127"/>
  <c r="P1226" i="127"/>
  <c r="O1227" i="127"/>
  <c r="P1227" i="127"/>
  <c r="O1228" i="127"/>
  <c r="P1228" i="127"/>
  <c r="O1229" i="127"/>
  <c r="P1229" i="127"/>
  <c r="O1230" i="127"/>
  <c r="P1230" i="127"/>
  <c r="O1231" i="127"/>
  <c r="P1231" i="127"/>
  <c r="O1232" i="127"/>
  <c r="P1232" i="127"/>
  <c r="O1233" i="127"/>
  <c r="P1233" i="127"/>
  <c r="O1234" i="127"/>
  <c r="P1234" i="127"/>
  <c r="O1235" i="127"/>
  <c r="P1235" i="127"/>
  <c r="O1236" i="127"/>
  <c r="P1236" i="127"/>
  <c r="O1237" i="127"/>
  <c r="P1237" i="127"/>
  <c r="O1238" i="127"/>
  <c r="P1238" i="127"/>
  <c r="O1239" i="127"/>
  <c r="P1239" i="127"/>
  <c r="O1240" i="127"/>
  <c r="P1240" i="127"/>
  <c r="O1241" i="127"/>
  <c r="P1241" i="127"/>
  <c r="O1242" i="127"/>
  <c r="P1242" i="127"/>
  <c r="O1243" i="127"/>
  <c r="P1243" i="127"/>
  <c r="O1244" i="127"/>
  <c r="P1244" i="127"/>
  <c r="O1245" i="127"/>
  <c r="P1245" i="127"/>
  <c r="O1246" i="127"/>
  <c r="P1246" i="127"/>
  <c r="O1247" i="127"/>
  <c r="P1247" i="127"/>
  <c r="O1248" i="127"/>
  <c r="P1248" i="127"/>
  <c r="O1249" i="127"/>
  <c r="P1249" i="127"/>
  <c r="O1250" i="127"/>
  <c r="P1250" i="127"/>
  <c r="O1251" i="127"/>
  <c r="P1251" i="127"/>
  <c r="O1252" i="127"/>
  <c r="P1252" i="127"/>
  <c r="O1253" i="127"/>
  <c r="P1253" i="127"/>
  <c r="O1254" i="127"/>
  <c r="P1254" i="127"/>
  <c r="O1255" i="127"/>
  <c r="P1255" i="127"/>
  <c r="O1256" i="127"/>
  <c r="P1256" i="127"/>
  <c r="O1257" i="127"/>
  <c r="P1257" i="127"/>
  <c r="O1258" i="127"/>
  <c r="P1258" i="127"/>
  <c r="O1259" i="127"/>
  <c r="P1259" i="127"/>
  <c r="O1260" i="127"/>
  <c r="P1260" i="127"/>
  <c r="O1261" i="127"/>
  <c r="P1261" i="127"/>
  <c r="O1262" i="127"/>
  <c r="P1262" i="127"/>
  <c r="O1263" i="127"/>
  <c r="P1263" i="127"/>
  <c r="O1264" i="127"/>
  <c r="P1264" i="127"/>
  <c r="O1265" i="127"/>
  <c r="P1265" i="127"/>
  <c r="O1266" i="127"/>
  <c r="P1266" i="127"/>
  <c r="O1267" i="127"/>
  <c r="P1267" i="127"/>
  <c r="O1268" i="127"/>
  <c r="P1268" i="127"/>
  <c r="O1269" i="127"/>
  <c r="P1269" i="127"/>
  <c r="O1270" i="127"/>
  <c r="P1270" i="127"/>
  <c r="O1271" i="127"/>
  <c r="P1271" i="127"/>
  <c r="O1272" i="127"/>
  <c r="P1272" i="127"/>
  <c r="O1273" i="127"/>
  <c r="P1273" i="127"/>
  <c r="O1274" i="127"/>
  <c r="P1274" i="127"/>
  <c r="O1275" i="127"/>
  <c r="P1275" i="127"/>
  <c r="O1276" i="127"/>
  <c r="P1276" i="127"/>
  <c r="O1277" i="127"/>
  <c r="P1277" i="127"/>
  <c r="O1278" i="127"/>
  <c r="P1278" i="127"/>
  <c r="O1279" i="127"/>
  <c r="P1279" i="127"/>
  <c r="O1280" i="127"/>
  <c r="P1280" i="127"/>
  <c r="O1281" i="127"/>
  <c r="P1281" i="127"/>
  <c r="O1282" i="127"/>
  <c r="P1282" i="127"/>
  <c r="O1283" i="127"/>
  <c r="P1283" i="127"/>
  <c r="O1284" i="127"/>
  <c r="P1284" i="127"/>
  <c r="O1285" i="127"/>
  <c r="P1285" i="127"/>
  <c r="O1286" i="127"/>
  <c r="P1286" i="127"/>
  <c r="O1287" i="127"/>
  <c r="P1287" i="127"/>
  <c r="O1288" i="127"/>
  <c r="P1288" i="127"/>
  <c r="O1289" i="127"/>
  <c r="P1289" i="127"/>
  <c r="O1290" i="127"/>
  <c r="P1290" i="127"/>
  <c r="O1291" i="127"/>
  <c r="P1291" i="127"/>
  <c r="O1292" i="127"/>
  <c r="P1292" i="127"/>
  <c r="O1293" i="127"/>
  <c r="P1293" i="127"/>
  <c r="O1294" i="127"/>
  <c r="P1294" i="127"/>
  <c r="O1295" i="127"/>
  <c r="P1295" i="127"/>
  <c r="O1296" i="127"/>
  <c r="P1296" i="127"/>
  <c r="O1297" i="127"/>
  <c r="P1297" i="127"/>
  <c r="O1298" i="127"/>
  <c r="P1298" i="127"/>
  <c r="O1299" i="127"/>
  <c r="P1299" i="127"/>
  <c r="O1300" i="127"/>
  <c r="P1300" i="127"/>
  <c r="O1301" i="127"/>
  <c r="P1301" i="127"/>
  <c r="O1302" i="127"/>
  <c r="P1302" i="127"/>
  <c r="O1303" i="127"/>
  <c r="P1303" i="127"/>
  <c r="O1304" i="127"/>
  <c r="P1304" i="127"/>
  <c r="O1305" i="127"/>
  <c r="P1305" i="127"/>
  <c r="O1306" i="127"/>
  <c r="P1306" i="127"/>
  <c r="O1307" i="127"/>
  <c r="P1307" i="127"/>
  <c r="O1308" i="127"/>
  <c r="P1308" i="127"/>
  <c r="O1309" i="127"/>
  <c r="P1309" i="127"/>
  <c r="O1310" i="127"/>
  <c r="P1310" i="127"/>
  <c r="O1311" i="127"/>
  <c r="P1311" i="127"/>
  <c r="O1312" i="127"/>
  <c r="P1312" i="127"/>
  <c r="O1313" i="127"/>
  <c r="P1313" i="127"/>
  <c r="O1314" i="127"/>
  <c r="P1314" i="127"/>
  <c r="O1315" i="127"/>
  <c r="P1315" i="127"/>
  <c r="O1316" i="127"/>
  <c r="P1316" i="127"/>
  <c r="O1317" i="127"/>
  <c r="P1317" i="127"/>
  <c r="O1318" i="127"/>
  <c r="P1318" i="127"/>
  <c r="O1319" i="127"/>
  <c r="P1319" i="127"/>
  <c r="O1320" i="127"/>
  <c r="P1320" i="127"/>
  <c r="O1321" i="127"/>
  <c r="P1321" i="127"/>
  <c r="O1322" i="127"/>
  <c r="P1322" i="127"/>
  <c r="O1323" i="127"/>
  <c r="P1323" i="127"/>
  <c r="O1324" i="127"/>
  <c r="P1324" i="127"/>
  <c r="O1325" i="127"/>
  <c r="P1325" i="127"/>
  <c r="O1326" i="127"/>
  <c r="P1326" i="127"/>
  <c r="O1327" i="127"/>
  <c r="P1327" i="127"/>
  <c r="O1328" i="127"/>
  <c r="P1328" i="127"/>
  <c r="O1329" i="127"/>
  <c r="P1329" i="127"/>
  <c r="O1330" i="127"/>
  <c r="P1330" i="127"/>
  <c r="O1331" i="127"/>
  <c r="P1331" i="127"/>
  <c r="O1332" i="127"/>
  <c r="P1332" i="127"/>
  <c r="O1333" i="127"/>
  <c r="P1333" i="127"/>
  <c r="O1334" i="127"/>
  <c r="P1334" i="127"/>
  <c r="O1335" i="127"/>
  <c r="P1335" i="127"/>
  <c r="O1336" i="127"/>
  <c r="P1336" i="127"/>
  <c r="O1337" i="127"/>
  <c r="P1337" i="127"/>
  <c r="O1338" i="127"/>
  <c r="P1338" i="127"/>
  <c r="O1339" i="127"/>
  <c r="P1339" i="127"/>
  <c r="O1340" i="127"/>
  <c r="P1340" i="127"/>
  <c r="O1341" i="127"/>
  <c r="P1341" i="127"/>
  <c r="O1342" i="127"/>
  <c r="P1342" i="127"/>
  <c r="O1343" i="127"/>
  <c r="P1343" i="127"/>
  <c r="O1344" i="127"/>
  <c r="P1344" i="127"/>
  <c r="O1345" i="127"/>
  <c r="P1345" i="127"/>
  <c r="O1346" i="127"/>
  <c r="P1346" i="127"/>
  <c r="O1347" i="127"/>
  <c r="P1347" i="127"/>
  <c r="O1348" i="127"/>
  <c r="P1348" i="127"/>
  <c r="O1349" i="127"/>
  <c r="P1349" i="127"/>
  <c r="O1350" i="127"/>
  <c r="P1350" i="127"/>
  <c r="O1351" i="127"/>
  <c r="P1351" i="127"/>
  <c r="O1352" i="127"/>
  <c r="P1352" i="127"/>
  <c r="O1353" i="127"/>
  <c r="P1353" i="127"/>
  <c r="O1354" i="127"/>
  <c r="P1354" i="127"/>
  <c r="O1355" i="127"/>
  <c r="P1355" i="127"/>
  <c r="O1356" i="127"/>
  <c r="P1356" i="127"/>
  <c r="O1357" i="127"/>
  <c r="P1357" i="127"/>
  <c r="O1358" i="127"/>
  <c r="P1358" i="127"/>
  <c r="O1359" i="127"/>
  <c r="P1359" i="127"/>
  <c r="O1360" i="127"/>
  <c r="P1360" i="127"/>
  <c r="O1361" i="127"/>
  <c r="P1361" i="127"/>
  <c r="O1362" i="127"/>
  <c r="P1362" i="127"/>
  <c r="O1363" i="127"/>
  <c r="P1363" i="127"/>
  <c r="O1364" i="127"/>
  <c r="P1364" i="127"/>
  <c r="O1365" i="127"/>
  <c r="P1365" i="127"/>
  <c r="O1366" i="127"/>
  <c r="P1366" i="127"/>
  <c r="O1367" i="127"/>
  <c r="P1367" i="127"/>
  <c r="O1368" i="127"/>
  <c r="P1368" i="127"/>
  <c r="O1369" i="127"/>
  <c r="P1369" i="127"/>
  <c r="O1370" i="127"/>
  <c r="P1370" i="127"/>
  <c r="O1371" i="127"/>
  <c r="P1371" i="127"/>
  <c r="O1372" i="127"/>
  <c r="P1372" i="127"/>
  <c r="O1373" i="127"/>
  <c r="P1373" i="127"/>
  <c r="O1374" i="127"/>
  <c r="P1374" i="127"/>
  <c r="O1375" i="127"/>
  <c r="P1375" i="127"/>
  <c r="O1376" i="127"/>
  <c r="P1376" i="127"/>
  <c r="O1377" i="127"/>
  <c r="P1377" i="127"/>
  <c r="O1378" i="127"/>
  <c r="P1378" i="127"/>
  <c r="O1379" i="127"/>
  <c r="P1379" i="127"/>
  <c r="O1380" i="127"/>
  <c r="P1380" i="127"/>
  <c r="O1381" i="127"/>
  <c r="P1381" i="127"/>
  <c r="O1382" i="127"/>
  <c r="P1382" i="127"/>
  <c r="O1383" i="127"/>
  <c r="P1383" i="127"/>
  <c r="O1384" i="127"/>
  <c r="P1384" i="127"/>
  <c r="O1385" i="127"/>
  <c r="P1385" i="127"/>
  <c r="O1386" i="127"/>
  <c r="P1386" i="127"/>
  <c r="O1387" i="127"/>
  <c r="P1387" i="127"/>
  <c r="O1388" i="127"/>
  <c r="P1388" i="127"/>
  <c r="O1389" i="127"/>
  <c r="P1389" i="127"/>
  <c r="O1390" i="127"/>
  <c r="P1390" i="127"/>
  <c r="O1391" i="127"/>
  <c r="P1391" i="127"/>
  <c r="O1392" i="127"/>
  <c r="P1392" i="127"/>
  <c r="O1393" i="127"/>
  <c r="P1393" i="127"/>
  <c r="O1394" i="127"/>
  <c r="P1394" i="127"/>
  <c r="O1395" i="127"/>
  <c r="P1395" i="127"/>
  <c r="O1396" i="127"/>
  <c r="P1396" i="127"/>
  <c r="O1397" i="127"/>
  <c r="P1397" i="127"/>
  <c r="O1398" i="127"/>
  <c r="P1398" i="127"/>
  <c r="O1399" i="127"/>
  <c r="P1399" i="127"/>
  <c r="O1400" i="127"/>
  <c r="P1400" i="127"/>
  <c r="O1401" i="127"/>
  <c r="P1401" i="127"/>
  <c r="O1402" i="127"/>
  <c r="P1402" i="127"/>
  <c r="O1403" i="127"/>
  <c r="P1403" i="127"/>
  <c r="O1404" i="127"/>
  <c r="P1404" i="127"/>
  <c r="O1405" i="127"/>
  <c r="P1405" i="127"/>
  <c r="O1406" i="127"/>
  <c r="P1406" i="127"/>
  <c r="O1407" i="127"/>
  <c r="P1407" i="127"/>
  <c r="O1408" i="127"/>
  <c r="P1408" i="127"/>
  <c r="O1409" i="127"/>
  <c r="P1409" i="127"/>
  <c r="O1410" i="127"/>
  <c r="P1410" i="127"/>
  <c r="O1411" i="127"/>
  <c r="P1411" i="127"/>
  <c r="O1412" i="127"/>
  <c r="P1412" i="127"/>
  <c r="O1413" i="127"/>
  <c r="P1413" i="127"/>
  <c r="O1414" i="127"/>
  <c r="P1414" i="127"/>
  <c r="O1415" i="127"/>
  <c r="P1415" i="127"/>
  <c r="O1416" i="127"/>
  <c r="P1416" i="127"/>
  <c r="O1417" i="127"/>
  <c r="P1417" i="127"/>
  <c r="O1418" i="127"/>
  <c r="P1418" i="127"/>
  <c r="O1419" i="127"/>
  <c r="P1419" i="127"/>
  <c r="O1420" i="127"/>
  <c r="P1420" i="127"/>
  <c r="O1421" i="127"/>
  <c r="P1421" i="127"/>
  <c r="O1422" i="127"/>
  <c r="P1422" i="127"/>
  <c r="O1423" i="127"/>
  <c r="P1423" i="127"/>
  <c r="O1424" i="127"/>
  <c r="P1424" i="127"/>
  <c r="O1425" i="127"/>
  <c r="P1425" i="127"/>
  <c r="O1426" i="127"/>
  <c r="P1426" i="127"/>
  <c r="O1427" i="127"/>
  <c r="P1427" i="127"/>
  <c r="O1428" i="127"/>
  <c r="P1428" i="127"/>
  <c r="O1429" i="127"/>
  <c r="P1429" i="127"/>
  <c r="O1430" i="127"/>
  <c r="P1430" i="127"/>
  <c r="O1431" i="127"/>
  <c r="P1431" i="127"/>
  <c r="O1432" i="127"/>
  <c r="P1432" i="127"/>
  <c r="O1433" i="127"/>
  <c r="P1433" i="127"/>
  <c r="O1434" i="127"/>
  <c r="P1434" i="127"/>
  <c r="O1435" i="127"/>
  <c r="P1435" i="127"/>
  <c r="O1436" i="127"/>
  <c r="P1436" i="127"/>
  <c r="O1437" i="127"/>
  <c r="P1437" i="127"/>
  <c r="O1438" i="127"/>
  <c r="P1438" i="127"/>
  <c r="O1439" i="127"/>
  <c r="P1439" i="127"/>
  <c r="O1440" i="127"/>
  <c r="P1440" i="127"/>
  <c r="O1441" i="127"/>
  <c r="P1441" i="127"/>
  <c r="O1442" i="127"/>
  <c r="P1442" i="127"/>
  <c r="O1443" i="127"/>
  <c r="P1443" i="127"/>
  <c r="O1444" i="127"/>
  <c r="P1444" i="127"/>
  <c r="O1445" i="127"/>
  <c r="P1445" i="127"/>
  <c r="O1446" i="127"/>
  <c r="P1446" i="127"/>
  <c r="O1447" i="127"/>
  <c r="P1447" i="127"/>
  <c r="O1448" i="127"/>
  <c r="P1448" i="127"/>
  <c r="O1449" i="127"/>
  <c r="P1449" i="127"/>
  <c r="O1450" i="127"/>
  <c r="P1450" i="127"/>
  <c r="O1451" i="127"/>
  <c r="P1451" i="127"/>
  <c r="O1452" i="127"/>
  <c r="P1452" i="127"/>
  <c r="O1453" i="127"/>
  <c r="P1453" i="127"/>
  <c r="O1454" i="127"/>
  <c r="P1454" i="127"/>
  <c r="O1455" i="127"/>
  <c r="P1455" i="127"/>
  <c r="O1456" i="127"/>
  <c r="P1456" i="127"/>
  <c r="O1457" i="127"/>
  <c r="P1457" i="127"/>
  <c r="O1458" i="127"/>
  <c r="P1458" i="127"/>
  <c r="O1459" i="127"/>
  <c r="P1459" i="127"/>
  <c r="O1460" i="127"/>
  <c r="P1460" i="127"/>
  <c r="O1461" i="127"/>
  <c r="P1461" i="127"/>
  <c r="O1462" i="127"/>
  <c r="P1462" i="127"/>
  <c r="O1463" i="127"/>
  <c r="P1463" i="127"/>
  <c r="O1464" i="127"/>
  <c r="P1464" i="127"/>
  <c r="O1465" i="127"/>
  <c r="P1465" i="127"/>
  <c r="O1466" i="127"/>
  <c r="P1466" i="127"/>
  <c r="O1467" i="127"/>
  <c r="P1467" i="127"/>
  <c r="O1468" i="127"/>
  <c r="P1468" i="127"/>
  <c r="O1469" i="127"/>
  <c r="P1469" i="127"/>
  <c r="O1470" i="127"/>
  <c r="P1470" i="127"/>
  <c r="O1471" i="127"/>
  <c r="P1471" i="127"/>
  <c r="O1472" i="127"/>
  <c r="P1472" i="127"/>
  <c r="O1473" i="127"/>
  <c r="P1473" i="127"/>
  <c r="O1474" i="127"/>
  <c r="P1474" i="127"/>
  <c r="O1475" i="127"/>
  <c r="P1475" i="127"/>
  <c r="O1476" i="127"/>
  <c r="P1476" i="127"/>
  <c r="O1477" i="127"/>
  <c r="P1477" i="127"/>
  <c r="O1478" i="127"/>
  <c r="P1478" i="127"/>
  <c r="O1479" i="127"/>
  <c r="P1479" i="127"/>
  <c r="O1480" i="127"/>
  <c r="P1480" i="127"/>
  <c r="O1481" i="127"/>
  <c r="P1481" i="127"/>
  <c r="O1482" i="127"/>
  <c r="P1482" i="127"/>
  <c r="O1483" i="127"/>
  <c r="P1483" i="127"/>
  <c r="O1484" i="127"/>
  <c r="P1484" i="127"/>
  <c r="O1485" i="127"/>
  <c r="P1485" i="127"/>
  <c r="O1486" i="127"/>
  <c r="P1486" i="127"/>
  <c r="O1487" i="127"/>
  <c r="P1487" i="127"/>
  <c r="O1488" i="127"/>
  <c r="P1488" i="127"/>
  <c r="O1489" i="127"/>
  <c r="P1489" i="127"/>
  <c r="O1490" i="127"/>
  <c r="P1490" i="127"/>
  <c r="O1491" i="127"/>
  <c r="P1491" i="127"/>
  <c r="O1492" i="127"/>
  <c r="P1492" i="127"/>
  <c r="O1493" i="127"/>
  <c r="P1493" i="127"/>
  <c r="O1494" i="127"/>
  <c r="P1494" i="127"/>
  <c r="O1495" i="127"/>
  <c r="P1495" i="127"/>
  <c r="O1496" i="127"/>
  <c r="P1496" i="127"/>
  <c r="O1497" i="127"/>
  <c r="P1497" i="127"/>
  <c r="O1498" i="127"/>
  <c r="P1498" i="127"/>
  <c r="O1499" i="127"/>
  <c r="P1499" i="127"/>
  <c r="O1500" i="127"/>
  <c r="P1500" i="127"/>
  <c r="O1501" i="127"/>
  <c r="P1501" i="127"/>
  <c r="O1502" i="127"/>
  <c r="P1502" i="127"/>
  <c r="O1503" i="127"/>
  <c r="P1503" i="127"/>
  <c r="O1504" i="127"/>
  <c r="P1504" i="127"/>
  <c r="O1505" i="127"/>
  <c r="P1505" i="127"/>
  <c r="O1506" i="127"/>
  <c r="P1506" i="127"/>
  <c r="O1507" i="127"/>
  <c r="P1507" i="127"/>
  <c r="O1508" i="127"/>
  <c r="P1508" i="127"/>
  <c r="O1509" i="127"/>
  <c r="P1509" i="127"/>
  <c r="O1510" i="127"/>
  <c r="P1510" i="127"/>
  <c r="O1511" i="127"/>
  <c r="P1511" i="127"/>
  <c r="O1512" i="127"/>
  <c r="P1512" i="127"/>
  <c r="O1513" i="127"/>
  <c r="P1513" i="127"/>
  <c r="O1514" i="127"/>
  <c r="P1514" i="127"/>
  <c r="O1515" i="127"/>
  <c r="P1515" i="127"/>
  <c r="O1516" i="127"/>
  <c r="P1516" i="127"/>
  <c r="O1517" i="127"/>
  <c r="P1517" i="127"/>
  <c r="O1518" i="127"/>
  <c r="P1518" i="127"/>
  <c r="O1519" i="127"/>
  <c r="P1519" i="127"/>
  <c r="O1520" i="127"/>
  <c r="P1520" i="127"/>
  <c r="O1521" i="127"/>
  <c r="P1521" i="127"/>
  <c r="O1522" i="127"/>
  <c r="P1522" i="127"/>
  <c r="O1523" i="127"/>
  <c r="P1523" i="127"/>
  <c r="O1524" i="127"/>
  <c r="P1524" i="127"/>
  <c r="O1525" i="127"/>
  <c r="P1525" i="127"/>
  <c r="O1526" i="127"/>
  <c r="P1526" i="127"/>
  <c r="O1527" i="127"/>
  <c r="P1527" i="127"/>
  <c r="O1528" i="127"/>
  <c r="P1528" i="127"/>
  <c r="O1529" i="127"/>
  <c r="P1529" i="127"/>
  <c r="O1530" i="127"/>
  <c r="P1530" i="127"/>
  <c r="O1531" i="127"/>
  <c r="P1531" i="127"/>
  <c r="O1532" i="127"/>
  <c r="P1532" i="127"/>
  <c r="O1533" i="127"/>
  <c r="P1533" i="127"/>
  <c r="O1534" i="127"/>
  <c r="P1534" i="127"/>
  <c r="O1535" i="127"/>
  <c r="P1535" i="127"/>
  <c r="O1536" i="127"/>
  <c r="P1536" i="127"/>
  <c r="O1537" i="127"/>
  <c r="P1537" i="127"/>
  <c r="O1538" i="127"/>
  <c r="P1538" i="127"/>
  <c r="O1539" i="127"/>
  <c r="P1539" i="127"/>
  <c r="O1540" i="127"/>
  <c r="P1540" i="127"/>
  <c r="O1541" i="127"/>
  <c r="P1541" i="127"/>
  <c r="O1542" i="127"/>
  <c r="P1542" i="127"/>
  <c r="O1543" i="127"/>
  <c r="P1543" i="127"/>
  <c r="O1544" i="127"/>
  <c r="P1544" i="127"/>
  <c r="O1545" i="127"/>
  <c r="P1545" i="127"/>
  <c r="O1546" i="127"/>
  <c r="P1546" i="127"/>
  <c r="O1547" i="127"/>
  <c r="P1547" i="127"/>
  <c r="O1548" i="127"/>
  <c r="P1548" i="127"/>
  <c r="O1549" i="127"/>
  <c r="P1549" i="127"/>
  <c r="O1550" i="127"/>
  <c r="P1550" i="127"/>
  <c r="O1551" i="127"/>
  <c r="P1551" i="127"/>
  <c r="O1552" i="127"/>
  <c r="P1552" i="127"/>
  <c r="O1553" i="127"/>
  <c r="P1553" i="127"/>
  <c r="O1554" i="127"/>
  <c r="P1554" i="127"/>
  <c r="O1555" i="127"/>
  <c r="P1555" i="127"/>
  <c r="O1556" i="127"/>
  <c r="P1556" i="127"/>
  <c r="O1557" i="127"/>
  <c r="P1557" i="127"/>
  <c r="O1558" i="127"/>
  <c r="P1558" i="127"/>
  <c r="O1559" i="127"/>
  <c r="P1559" i="127"/>
  <c r="O1560" i="127"/>
  <c r="P1560" i="127"/>
  <c r="O1561" i="127"/>
  <c r="P1561" i="127"/>
  <c r="O1562" i="127"/>
  <c r="P1562" i="127"/>
  <c r="O1563" i="127"/>
  <c r="P1563" i="127"/>
  <c r="O1564" i="127"/>
  <c r="P1564" i="127"/>
  <c r="O1565" i="127"/>
  <c r="P1565" i="127"/>
  <c r="O1566" i="127"/>
  <c r="P1566" i="127"/>
  <c r="O1567" i="127"/>
  <c r="P1567" i="127"/>
  <c r="O1568" i="127"/>
  <c r="P1568" i="127"/>
  <c r="O1569" i="127"/>
  <c r="P1569" i="127"/>
  <c r="O1570" i="127"/>
  <c r="P1570" i="127"/>
  <c r="O1571" i="127"/>
  <c r="P1571" i="127"/>
  <c r="O1572" i="127"/>
  <c r="P1572" i="127"/>
  <c r="O1573" i="127"/>
  <c r="P1573" i="127"/>
  <c r="O1574" i="127"/>
  <c r="P1574" i="127"/>
  <c r="O1575" i="127"/>
  <c r="P1575" i="127"/>
  <c r="O1576" i="127"/>
  <c r="P1576" i="127"/>
  <c r="O1577" i="127"/>
  <c r="P1577" i="127"/>
  <c r="O1578" i="127"/>
  <c r="P1578" i="127"/>
  <c r="O1579" i="127"/>
  <c r="P1579" i="127"/>
  <c r="O1580" i="127"/>
  <c r="P1580" i="127"/>
  <c r="O1581" i="127"/>
  <c r="P1581" i="127"/>
  <c r="O1582" i="127"/>
  <c r="P1582" i="127"/>
  <c r="O1583" i="127"/>
  <c r="P1583" i="127"/>
  <c r="O1584" i="127"/>
  <c r="P1584" i="127"/>
  <c r="O1585" i="127"/>
  <c r="P1585" i="127"/>
  <c r="O1586" i="127"/>
  <c r="P1586" i="127"/>
  <c r="O1587" i="127"/>
  <c r="P1587" i="127"/>
  <c r="O1588" i="127"/>
  <c r="P1588" i="127"/>
  <c r="O1589" i="127"/>
  <c r="P1589" i="127"/>
  <c r="O1590" i="127"/>
  <c r="P1590" i="127"/>
  <c r="O1591" i="127"/>
  <c r="P1591" i="127"/>
  <c r="O1592" i="127"/>
  <c r="P1592" i="127"/>
  <c r="O1593" i="127"/>
  <c r="P1593" i="127"/>
  <c r="O1594" i="127"/>
  <c r="P1594" i="127"/>
  <c r="O1595" i="127"/>
  <c r="P1595" i="127"/>
  <c r="O1596" i="127"/>
  <c r="P1596" i="127"/>
  <c r="O1597" i="127"/>
  <c r="P1597" i="127"/>
  <c r="O1598" i="127"/>
  <c r="P1598" i="127"/>
  <c r="O1599" i="127"/>
  <c r="P1599" i="127"/>
  <c r="O1600" i="127"/>
  <c r="P1600" i="127"/>
  <c r="O1601" i="127"/>
  <c r="P1601" i="127"/>
  <c r="O1602" i="127"/>
  <c r="P1602" i="127"/>
  <c r="O1603" i="127"/>
  <c r="P1603" i="127"/>
  <c r="O1604" i="127"/>
  <c r="P1604" i="127"/>
  <c r="O1605" i="127"/>
  <c r="P1605" i="127"/>
  <c r="O1606" i="127"/>
  <c r="P1606" i="127"/>
  <c r="O1607" i="127"/>
  <c r="P1607" i="127"/>
  <c r="O1608" i="127"/>
  <c r="P1608" i="127"/>
  <c r="O1609" i="127"/>
  <c r="P1609" i="127"/>
  <c r="O1610" i="127"/>
  <c r="P1610" i="127"/>
  <c r="O1611" i="127"/>
  <c r="P1611" i="127"/>
  <c r="O1612" i="127"/>
  <c r="P1612" i="127"/>
  <c r="O1613" i="127"/>
  <c r="P1613" i="127"/>
  <c r="O1614" i="127"/>
  <c r="P1614" i="127"/>
  <c r="O1615" i="127"/>
  <c r="P1615" i="127"/>
  <c r="O1616" i="127"/>
  <c r="P1616" i="127"/>
  <c r="O1617" i="127"/>
  <c r="P1617" i="127"/>
  <c r="O1618" i="127"/>
  <c r="P1618" i="127"/>
  <c r="O1619" i="127"/>
  <c r="P1619" i="127"/>
  <c r="O1620" i="127"/>
  <c r="P1620" i="127"/>
  <c r="O1621" i="127"/>
  <c r="P1621" i="127"/>
  <c r="O1622" i="127"/>
  <c r="P1622" i="127"/>
  <c r="O1623" i="127"/>
  <c r="P1623" i="127"/>
  <c r="O1624" i="127"/>
  <c r="P1624" i="127"/>
  <c r="O1625" i="127"/>
  <c r="P1625" i="127"/>
  <c r="O1626" i="127"/>
  <c r="P1626" i="127"/>
  <c r="O1627" i="127"/>
  <c r="P1627" i="127"/>
  <c r="O1628" i="127"/>
  <c r="P1628" i="127"/>
  <c r="O1629" i="127"/>
  <c r="P1629" i="127"/>
  <c r="O1630" i="127"/>
  <c r="P1630" i="127"/>
  <c r="O1631" i="127"/>
  <c r="P1631" i="127"/>
  <c r="O1632" i="127"/>
  <c r="P1632" i="127"/>
  <c r="O1633" i="127"/>
  <c r="P1633" i="127"/>
  <c r="O1634" i="127"/>
  <c r="P1634" i="127"/>
  <c r="O1635" i="127"/>
  <c r="P1635" i="127"/>
  <c r="O1636" i="127"/>
  <c r="P1636" i="127"/>
  <c r="O1637" i="127"/>
  <c r="P1637" i="127"/>
  <c r="O1638" i="127"/>
  <c r="P1638" i="127"/>
  <c r="O1639" i="127"/>
  <c r="P1639" i="127"/>
  <c r="O1640" i="127"/>
  <c r="P1640" i="127"/>
  <c r="O1641" i="127"/>
  <c r="P1641" i="127"/>
  <c r="O1642" i="127"/>
  <c r="P1642" i="127"/>
  <c r="O1643" i="127"/>
  <c r="P1643" i="127"/>
  <c r="O1644" i="127"/>
  <c r="P1644" i="127"/>
  <c r="O1645" i="127"/>
  <c r="P1645" i="127"/>
  <c r="O1646" i="127"/>
  <c r="P1646" i="127"/>
  <c r="O1647" i="127"/>
  <c r="P1647" i="127"/>
  <c r="O1648" i="127"/>
  <c r="P1648" i="127"/>
  <c r="O1649" i="127"/>
  <c r="P1649" i="127"/>
  <c r="O1650" i="127"/>
  <c r="P1650" i="127"/>
  <c r="O1651" i="127"/>
  <c r="P1651" i="127"/>
  <c r="O1652" i="127"/>
  <c r="P1652" i="127"/>
  <c r="O1653" i="127"/>
  <c r="P1653" i="127"/>
  <c r="O1654" i="127"/>
  <c r="P1654" i="127"/>
  <c r="O1655" i="127"/>
  <c r="P1655" i="127"/>
  <c r="O1656" i="127"/>
  <c r="P1656" i="127"/>
  <c r="O1657" i="127"/>
  <c r="P1657" i="127"/>
  <c r="O1658" i="127"/>
  <c r="P1658" i="127"/>
  <c r="O1659" i="127"/>
  <c r="P1659" i="127"/>
  <c r="O1660" i="127"/>
  <c r="P1660" i="127"/>
  <c r="O1661" i="127"/>
  <c r="P1661" i="127"/>
  <c r="O1662" i="127"/>
  <c r="P1662" i="127"/>
  <c r="O1663" i="127"/>
  <c r="P1663" i="127"/>
  <c r="O1664" i="127"/>
  <c r="P1664" i="127"/>
  <c r="O1665" i="127"/>
  <c r="P1665" i="127"/>
  <c r="O1666" i="127"/>
  <c r="P1666" i="127"/>
  <c r="O1667" i="127"/>
  <c r="P1667" i="127"/>
  <c r="O1668" i="127"/>
  <c r="P1668" i="127"/>
  <c r="O1669" i="127"/>
  <c r="P1669" i="127"/>
  <c r="O1670" i="127"/>
  <c r="P1670" i="127"/>
  <c r="O1671" i="127"/>
  <c r="P1671" i="127"/>
  <c r="O1672" i="127"/>
  <c r="P1672" i="127"/>
  <c r="O1673" i="127"/>
  <c r="P1673" i="127"/>
  <c r="O1674" i="127"/>
  <c r="P1674" i="127"/>
  <c r="O1675" i="127"/>
  <c r="P1675" i="127"/>
  <c r="O1676" i="127"/>
  <c r="P1676" i="127"/>
  <c r="O1677" i="127"/>
  <c r="P1677" i="127"/>
  <c r="O1678" i="127"/>
  <c r="P1678" i="127"/>
  <c r="O1679" i="127"/>
  <c r="P1679" i="127"/>
  <c r="O1680" i="127"/>
  <c r="P1680" i="127"/>
  <c r="O1681" i="127"/>
  <c r="P1681" i="127"/>
  <c r="O1682" i="127"/>
  <c r="P1682" i="127"/>
  <c r="O1683" i="127"/>
  <c r="P1683" i="127"/>
  <c r="O1684" i="127"/>
  <c r="P1684" i="127"/>
  <c r="O1685" i="127"/>
  <c r="P1685" i="127"/>
  <c r="O1686" i="127"/>
  <c r="P1686" i="127"/>
  <c r="O1687" i="127"/>
  <c r="P1687" i="127"/>
  <c r="O1688" i="127"/>
  <c r="P1688" i="127"/>
  <c r="O1689" i="127"/>
  <c r="P1689" i="127"/>
  <c r="O1690" i="127"/>
  <c r="P1690" i="127"/>
  <c r="O1691" i="127"/>
  <c r="P1691" i="127"/>
  <c r="O1692" i="127"/>
  <c r="P1692" i="127"/>
  <c r="O1693" i="127"/>
  <c r="P1693" i="127"/>
  <c r="O1694" i="127"/>
  <c r="P1694" i="127"/>
  <c r="O1695" i="127"/>
  <c r="P1695" i="127"/>
  <c r="O1696" i="127"/>
  <c r="P1696" i="127"/>
  <c r="O1697" i="127"/>
  <c r="P1697" i="127"/>
  <c r="O1698" i="127"/>
  <c r="P1698" i="127"/>
  <c r="O1699" i="127"/>
  <c r="P1699" i="127"/>
  <c r="O1700" i="127"/>
  <c r="P1700" i="127"/>
  <c r="O1701" i="127"/>
  <c r="P1701" i="127"/>
  <c r="O1702" i="127"/>
  <c r="P1702" i="127"/>
  <c r="O1703" i="127"/>
  <c r="P1703" i="127"/>
  <c r="O1704" i="127"/>
  <c r="P1704" i="127"/>
  <c r="O1705" i="127"/>
  <c r="P1705" i="127"/>
  <c r="O1706" i="127"/>
  <c r="P1706" i="127"/>
  <c r="O1707" i="127"/>
  <c r="P1707" i="127"/>
  <c r="O1708" i="127"/>
  <c r="P1708" i="127"/>
  <c r="O1709" i="127"/>
  <c r="P1709" i="127"/>
  <c r="O1710" i="127"/>
  <c r="P1710" i="127"/>
  <c r="O1711" i="127"/>
  <c r="P1711" i="127"/>
  <c r="O1712" i="127"/>
  <c r="P1712" i="127"/>
  <c r="O1713" i="127"/>
  <c r="P1713" i="127"/>
  <c r="O1714" i="127"/>
  <c r="P1714" i="127"/>
  <c r="O1715" i="127"/>
  <c r="P1715" i="127"/>
  <c r="O1716" i="127"/>
  <c r="P1716" i="127"/>
  <c r="O1717" i="127"/>
  <c r="P1717" i="127"/>
  <c r="O1718" i="127"/>
  <c r="P1718" i="127"/>
  <c r="O1719" i="127"/>
  <c r="P1719" i="127"/>
  <c r="O1720" i="127"/>
  <c r="P1720" i="127"/>
  <c r="O1721" i="127"/>
  <c r="P1721" i="127"/>
  <c r="O1722" i="127"/>
  <c r="P1722" i="127"/>
  <c r="O1723" i="127"/>
  <c r="P1723" i="127"/>
  <c r="O1724" i="127"/>
  <c r="P1724" i="127"/>
  <c r="O1725" i="127"/>
  <c r="P1725" i="127"/>
  <c r="O1726" i="127"/>
  <c r="P1726" i="127"/>
  <c r="O1727" i="127"/>
  <c r="P1727" i="127"/>
  <c r="O1728" i="127"/>
  <c r="P1728" i="127"/>
  <c r="O1729" i="127"/>
  <c r="P1729" i="127"/>
  <c r="O1730" i="127"/>
  <c r="P1730" i="127"/>
  <c r="O1731" i="127"/>
  <c r="P1731" i="127"/>
  <c r="O1732" i="127"/>
  <c r="P1732" i="127"/>
  <c r="O1733" i="127"/>
  <c r="P1733" i="127"/>
  <c r="O1734" i="127"/>
  <c r="P1734" i="127"/>
  <c r="O1735" i="127"/>
  <c r="P1735" i="127"/>
  <c r="O1736" i="127"/>
  <c r="P1736" i="127"/>
  <c r="O1737" i="127"/>
  <c r="P1737" i="127"/>
  <c r="O1738" i="127"/>
  <c r="P1738" i="127"/>
  <c r="O1739" i="127"/>
  <c r="P1739" i="127"/>
  <c r="O1740" i="127"/>
  <c r="P1740" i="127"/>
  <c r="O1741" i="127"/>
  <c r="P1741" i="127"/>
  <c r="O1742" i="127"/>
  <c r="P1742" i="127"/>
  <c r="O1743" i="127"/>
  <c r="P1743" i="127"/>
  <c r="O1744" i="127"/>
  <c r="P1744" i="127"/>
  <c r="O1745" i="127"/>
  <c r="P1745" i="127"/>
  <c r="O1746" i="127"/>
  <c r="P1746" i="127"/>
  <c r="O1747" i="127"/>
  <c r="P1747" i="127"/>
  <c r="O1748" i="127"/>
  <c r="P1748" i="127"/>
  <c r="O1749" i="127"/>
  <c r="P1749" i="127"/>
  <c r="O1750" i="127"/>
  <c r="P1750" i="127"/>
  <c r="O1751" i="127"/>
  <c r="P1751" i="127"/>
  <c r="O1752" i="127"/>
  <c r="P1752" i="127"/>
  <c r="O1753" i="127"/>
  <c r="P1753" i="127"/>
  <c r="O1754" i="127"/>
  <c r="P1754" i="127"/>
  <c r="O1755" i="127"/>
  <c r="P1755" i="127"/>
  <c r="O1756" i="127"/>
  <c r="P1756" i="127"/>
  <c r="O1757" i="127"/>
  <c r="P1757" i="127"/>
  <c r="O1758" i="127"/>
  <c r="P1758" i="127"/>
  <c r="O1759" i="127"/>
  <c r="P1759" i="127"/>
  <c r="O1760" i="127"/>
  <c r="P1760" i="127"/>
  <c r="O1761" i="127"/>
  <c r="P1761" i="127"/>
  <c r="O1762" i="127"/>
  <c r="P1762" i="127"/>
  <c r="O1763" i="127"/>
  <c r="P1763" i="127"/>
  <c r="O1764" i="127"/>
  <c r="P1764" i="127"/>
  <c r="O1765" i="127"/>
  <c r="P1765" i="127"/>
  <c r="O1766" i="127"/>
  <c r="P1766" i="127"/>
  <c r="O1767" i="127"/>
  <c r="P1767" i="127"/>
  <c r="O1768" i="127"/>
  <c r="P1768" i="127"/>
  <c r="O1769" i="127"/>
  <c r="P1769" i="127"/>
  <c r="O1770" i="127"/>
  <c r="P1770" i="127"/>
  <c r="O1771" i="127"/>
  <c r="P1771" i="127"/>
  <c r="O1772" i="127"/>
  <c r="P1772" i="127"/>
  <c r="O1773" i="127"/>
  <c r="P1773" i="127"/>
  <c r="O1774" i="127"/>
  <c r="P1774" i="127"/>
  <c r="O1775" i="127"/>
  <c r="P1775" i="127"/>
  <c r="O1776" i="127"/>
  <c r="P1776" i="127"/>
  <c r="O1777" i="127"/>
  <c r="P1777" i="127"/>
  <c r="O1778" i="127"/>
  <c r="P1778" i="127"/>
  <c r="O1779" i="127"/>
  <c r="P1779" i="127"/>
  <c r="O1780" i="127"/>
  <c r="P1780" i="127"/>
  <c r="O1781" i="127"/>
  <c r="P1781" i="127"/>
  <c r="O1782" i="127"/>
  <c r="P1782" i="127"/>
  <c r="O1783" i="127"/>
  <c r="P1783" i="127"/>
  <c r="O1784" i="127"/>
  <c r="P1784" i="127"/>
  <c r="O1785" i="127"/>
  <c r="P1785" i="127"/>
  <c r="O1786" i="127"/>
  <c r="P1786" i="127"/>
  <c r="O1787" i="127"/>
  <c r="P1787" i="127"/>
  <c r="O1788" i="127"/>
  <c r="P1788" i="127"/>
  <c r="O1789" i="127"/>
  <c r="P1789" i="127"/>
  <c r="O1790" i="127"/>
  <c r="P1790" i="127"/>
  <c r="O1791" i="127"/>
  <c r="P1791" i="127"/>
  <c r="O1792" i="127"/>
  <c r="P1792" i="127"/>
  <c r="O1793" i="127"/>
  <c r="P1793" i="127"/>
  <c r="O1794" i="127"/>
  <c r="P1794" i="127"/>
  <c r="O1795" i="127"/>
  <c r="P1795" i="127"/>
  <c r="O1796" i="127"/>
  <c r="P1796" i="127"/>
  <c r="O1797" i="127"/>
  <c r="P1797" i="127"/>
  <c r="O1798" i="127"/>
  <c r="P1798" i="127"/>
  <c r="O1799" i="127"/>
  <c r="P1799" i="127"/>
  <c r="O1800" i="127"/>
  <c r="P1800" i="127"/>
  <c r="O1801" i="127"/>
  <c r="P1801" i="127"/>
  <c r="O1802" i="127"/>
  <c r="P1802" i="127"/>
  <c r="O1803" i="127"/>
  <c r="P1803" i="127"/>
  <c r="O1804" i="127"/>
  <c r="P1804" i="127"/>
  <c r="O1805" i="127"/>
  <c r="P1805" i="127"/>
  <c r="O1806" i="127"/>
  <c r="P1806" i="127"/>
  <c r="O1807" i="127"/>
  <c r="P1807" i="127"/>
  <c r="O1808" i="127"/>
  <c r="P1808" i="127"/>
  <c r="O1809" i="127"/>
  <c r="P1809" i="127"/>
  <c r="O1810" i="127"/>
  <c r="P1810" i="127"/>
  <c r="O1811" i="127"/>
  <c r="P1811" i="127"/>
  <c r="O1812" i="127"/>
  <c r="P1812" i="127"/>
  <c r="O1813" i="127"/>
  <c r="P1813" i="127"/>
  <c r="O1814" i="127"/>
  <c r="P1814" i="127"/>
  <c r="O1815" i="127"/>
  <c r="P1815" i="127"/>
  <c r="O1816" i="127"/>
  <c r="P1816" i="127"/>
  <c r="O1817" i="127"/>
  <c r="P1817" i="127"/>
  <c r="O1818" i="127"/>
  <c r="P1818" i="127"/>
  <c r="O1819" i="127"/>
  <c r="P1819" i="127"/>
  <c r="O1820" i="127"/>
  <c r="P1820" i="127"/>
  <c r="O1821" i="127"/>
  <c r="P1821" i="127"/>
  <c r="O1822" i="127"/>
  <c r="P1822" i="127"/>
  <c r="O1823" i="127"/>
  <c r="P1823" i="127"/>
  <c r="O1824" i="127"/>
  <c r="P1824" i="127"/>
  <c r="O1825" i="127"/>
  <c r="P1825" i="127"/>
  <c r="O1826" i="127"/>
  <c r="P1826" i="127"/>
  <c r="O1827" i="127"/>
  <c r="P1827" i="127"/>
  <c r="O1828" i="127"/>
  <c r="P1828" i="127"/>
  <c r="O1829" i="127"/>
  <c r="P1829" i="127"/>
  <c r="O1830" i="127"/>
  <c r="P1830" i="127"/>
  <c r="O1831" i="127"/>
  <c r="P1831" i="127"/>
  <c r="O1832" i="127"/>
  <c r="P1832" i="127"/>
  <c r="O1833" i="127"/>
  <c r="P1833" i="127"/>
  <c r="O1834" i="127"/>
  <c r="P1834" i="127"/>
  <c r="O1835" i="127"/>
  <c r="P1835" i="127"/>
  <c r="O1836" i="127"/>
  <c r="P1836" i="127"/>
  <c r="O1837" i="127"/>
  <c r="P1837" i="127"/>
  <c r="O1838" i="127"/>
  <c r="P1838" i="127"/>
  <c r="O1839" i="127"/>
  <c r="P1839" i="127"/>
  <c r="O1840" i="127"/>
  <c r="P1840" i="127"/>
  <c r="O1841" i="127"/>
  <c r="P1841" i="127"/>
  <c r="O1842" i="127"/>
  <c r="P1842" i="127"/>
  <c r="O1843" i="127"/>
  <c r="P1843" i="127"/>
  <c r="O1844" i="127"/>
  <c r="P1844" i="127"/>
  <c r="O1845" i="127"/>
  <c r="P1845" i="127"/>
  <c r="O1846" i="127"/>
  <c r="P1846" i="127"/>
  <c r="O1847" i="127"/>
  <c r="P1847" i="127"/>
  <c r="O1848" i="127"/>
  <c r="P1848" i="127"/>
  <c r="O1849" i="127"/>
  <c r="P1849" i="127"/>
  <c r="O1850" i="127"/>
  <c r="P1850" i="127"/>
  <c r="O1851" i="127"/>
  <c r="P1851" i="127"/>
  <c r="O1852" i="127"/>
  <c r="P1852" i="127"/>
  <c r="O1853" i="127"/>
  <c r="P1853" i="127"/>
  <c r="O1854" i="127"/>
  <c r="P1854" i="127"/>
  <c r="O1855" i="127"/>
  <c r="P1855" i="127"/>
  <c r="O1856" i="127"/>
  <c r="P1856" i="127"/>
  <c r="O1857" i="127"/>
  <c r="P1857" i="127"/>
  <c r="O1858" i="127"/>
  <c r="P1858" i="127"/>
  <c r="O1859" i="127"/>
  <c r="P1859" i="127"/>
  <c r="O1860" i="127"/>
  <c r="P1860" i="127"/>
  <c r="O1861" i="127"/>
  <c r="P1861" i="127"/>
  <c r="O1862" i="127"/>
  <c r="P1862" i="127"/>
  <c r="O1863" i="127"/>
  <c r="P1863" i="127"/>
  <c r="O1864" i="127"/>
  <c r="P1864" i="127"/>
  <c r="O1865" i="127"/>
  <c r="P1865" i="127"/>
  <c r="O1866" i="127"/>
  <c r="P1866" i="127"/>
  <c r="O1867" i="127"/>
  <c r="P1867" i="127"/>
  <c r="O1868" i="127"/>
  <c r="P1868" i="127"/>
  <c r="O1869" i="127"/>
  <c r="P1869" i="127"/>
  <c r="O1870" i="127"/>
  <c r="P1870" i="127"/>
  <c r="O1871" i="127"/>
  <c r="P1871" i="127"/>
  <c r="O1872" i="127"/>
  <c r="P1872" i="127"/>
  <c r="O1873" i="127"/>
  <c r="P1873" i="127"/>
  <c r="O1874" i="127"/>
  <c r="P1874" i="127"/>
  <c r="O1875" i="127"/>
  <c r="P1875" i="127"/>
  <c r="O1876" i="127"/>
  <c r="P1876" i="127"/>
  <c r="O1877" i="127"/>
  <c r="P1877" i="127"/>
  <c r="O1878" i="127"/>
  <c r="P1878" i="127"/>
  <c r="O1879" i="127"/>
  <c r="P1879" i="127"/>
  <c r="O1880" i="127"/>
  <c r="P1880" i="127"/>
  <c r="O1881" i="127"/>
  <c r="P1881" i="127"/>
  <c r="O1882" i="127"/>
  <c r="P1882" i="127"/>
  <c r="O1883" i="127"/>
  <c r="P1883" i="127"/>
  <c r="O1884" i="127"/>
  <c r="P1884" i="127"/>
  <c r="O1885" i="127"/>
  <c r="P1885" i="127"/>
  <c r="O1886" i="127"/>
  <c r="P1886" i="127"/>
  <c r="O1887" i="127"/>
  <c r="P1887" i="127"/>
  <c r="O1888" i="127"/>
  <c r="P1888" i="127"/>
  <c r="O1889" i="127"/>
  <c r="P1889" i="127"/>
  <c r="O1890" i="127"/>
  <c r="P1890" i="127"/>
  <c r="O1891" i="127"/>
  <c r="P1891" i="127"/>
  <c r="O1892" i="127"/>
  <c r="P1892" i="127"/>
  <c r="O1893" i="127"/>
  <c r="P1893" i="127"/>
  <c r="O1894" i="127"/>
  <c r="P1894" i="127"/>
  <c r="O1895" i="127"/>
  <c r="P1895" i="127"/>
  <c r="O1896" i="127"/>
  <c r="P1896" i="127"/>
  <c r="O1897" i="127"/>
  <c r="P1897" i="127"/>
  <c r="O1898" i="127"/>
  <c r="P1898" i="127"/>
  <c r="O1899" i="127"/>
  <c r="P1899" i="127"/>
  <c r="O1900" i="127"/>
  <c r="P1900" i="127"/>
  <c r="O1901" i="127"/>
  <c r="P1901" i="127"/>
  <c r="O1902" i="127"/>
  <c r="P1902" i="127"/>
  <c r="O1903" i="127"/>
  <c r="P1903" i="127"/>
  <c r="O1904" i="127"/>
  <c r="P1904" i="127"/>
  <c r="O1905" i="127"/>
  <c r="P1905" i="127"/>
  <c r="O1906" i="127"/>
  <c r="P1906" i="127"/>
  <c r="O1907" i="127"/>
  <c r="P1907" i="127"/>
  <c r="O1908" i="127"/>
  <c r="P1908" i="127"/>
  <c r="O1909" i="127"/>
  <c r="P1909" i="127"/>
  <c r="O1910" i="127"/>
  <c r="P1910" i="127"/>
  <c r="O1911" i="127"/>
  <c r="P1911" i="127"/>
  <c r="O1912" i="127"/>
  <c r="P1912" i="127"/>
  <c r="O1913" i="127"/>
  <c r="P1913" i="127"/>
  <c r="O1914" i="127"/>
  <c r="P1914" i="127"/>
  <c r="O1915" i="127"/>
  <c r="P1915" i="127"/>
  <c r="O1916" i="127"/>
  <c r="P1916" i="127"/>
  <c r="O1917" i="127"/>
  <c r="P1917" i="127"/>
  <c r="O1918" i="127"/>
  <c r="P1918" i="127"/>
  <c r="O1919" i="127"/>
  <c r="P1919" i="127"/>
  <c r="O1920" i="127"/>
  <c r="P1920" i="127"/>
  <c r="O1921" i="127"/>
  <c r="P1921" i="127"/>
  <c r="O1922" i="127"/>
  <c r="P1922" i="127"/>
  <c r="O1923" i="127"/>
  <c r="P1923" i="127"/>
  <c r="O1924" i="127"/>
  <c r="P1924" i="127"/>
  <c r="O1925" i="127"/>
  <c r="P1925" i="127"/>
  <c r="O1926" i="127"/>
  <c r="P1926" i="127"/>
  <c r="O1927" i="127"/>
  <c r="P1927" i="127"/>
  <c r="O1928" i="127"/>
  <c r="P1928" i="127"/>
  <c r="O1929" i="127"/>
  <c r="P1929" i="127"/>
  <c r="O1930" i="127"/>
  <c r="P1930" i="127"/>
  <c r="O1931" i="127"/>
  <c r="P1931" i="127"/>
  <c r="O1932" i="127"/>
  <c r="P1932" i="127"/>
  <c r="O1933" i="127"/>
  <c r="P1933" i="127"/>
  <c r="O1934" i="127"/>
  <c r="P1934" i="127"/>
  <c r="O1935" i="127"/>
  <c r="P1935" i="127"/>
  <c r="O1936" i="127"/>
  <c r="P1936" i="127"/>
  <c r="O1937" i="127"/>
  <c r="P1937" i="127"/>
  <c r="O1938" i="127"/>
  <c r="P1938" i="127"/>
  <c r="O1939" i="127"/>
  <c r="P1939" i="127"/>
  <c r="O1940" i="127"/>
  <c r="P1940" i="127"/>
  <c r="O1941" i="127"/>
  <c r="P1941" i="127"/>
  <c r="O1942" i="127"/>
  <c r="P1942" i="127"/>
  <c r="O1943" i="127"/>
  <c r="P1943" i="127"/>
  <c r="O1944" i="127"/>
  <c r="P1944" i="127"/>
  <c r="O1945" i="127"/>
  <c r="P1945" i="127"/>
  <c r="O1946" i="127"/>
  <c r="P1946" i="127"/>
  <c r="O1947" i="127"/>
  <c r="P1947" i="127"/>
  <c r="O1948" i="127"/>
  <c r="P1948" i="127"/>
  <c r="O1949" i="127"/>
  <c r="P1949" i="127"/>
  <c r="O1950" i="127"/>
  <c r="P1950" i="127"/>
  <c r="O1951" i="127"/>
  <c r="P1951" i="127"/>
  <c r="O1952" i="127"/>
  <c r="P1952" i="127"/>
  <c r="O1953" i="127"/>
  <c r="P1953" i="127"/>
  <c r="O1954" i="127"/>
  <c r="P1954" i="127"/>
  <c r="O1955" i="127"/>
  <c r="P1955" i="127"/>
  <c r="O1956" i="127"/>
  <c r="P1956" i="127"/>
  <c r="O1957" i="127"/>
  <c r="P1957" i="127"/>
  <c r="O1958" i="127"/>
  <c r="P1958" i="127"/>
  <c r="O1959" i="127"/>
  <c r="P1959" i="127"/>
  <c r="O1960" i="127"/>
  <c r="P1960" i="127"/>
  <c r="O1961" i="127"/>
  <c r="P1961" i="127"/>
  <c r="O1962" i="127"/>
  <c r="P1962" i="127"/>
  <c r="O1963" i="127"/>
  <c r="P1963" i="127"/>
  <c r="O1964" i="127"/>
  <c r="P1964" i="127"/>
  <c r="O1965" i="127"/>
  <c r="P1965" i="127"/>
  <c r="O1966" i="127"/>
  <c r="P1966" i="127"/>
  <c r="O1967" i="127"/>
  <c r="P1967" i="127"/>
  <c r="O1968" i="127"/>
  <c r="P1968" i="127"/>
  <c r="O1969" i="127"/>
  <c r="P1969" i="127"/>
  <c r="O1970" i="127"/>
  <c r="P1970" i="127"/>
  <c r="O1971" i="127"/>
  <c r="P1971" i="127"/>
  <c r="O1972" i="127"/>
  <c r="P1972" i="127"/>
  <c r="O1973" i="127"/>
  <c r="P1973" i="127"/>
  <c r="O1974" i="127"/>
  <c r="P1974" i="127"/>
  <c r="O1975" i="127"/>
  <c r="P1975" i="127"/>
  <c r="O1976" i="127"/>
  <c r="P1976" i="127"/>
  <c r="O1977" i="127"/>
  <c r="P1977" i="127"/>
  <c r="O1978" i="127"/>
  <c r="P1978" i="127"/>
  <c r="O1979" i="127"/>
  <c r="P1979" i="127"/>
  <c r="O1980" i="127"/>
  <c r="P1980" i="127"/>
  <c r="O1981" i="127"/>
  <c r="P1981" i="127"/>
  <c r="O1982" i="127"/>
  <c r="P1982" i="127"/>
  <c r="O1983" i="127"/>
  <c r="P1983" i="127"/>
  <c r="O1984" i="127"/>
  <c r="P1984" i="127"/>
  <c r="O1985" i="127"/>
  <c r="P1985" i="127"/>
  <c r="O1986" i="127"/>
  <c r="P1986" i="127"/>
  <c r="O1987" i="127"/>
  <c r="P1987" i="127"/>
  <c r="O1988" i="127"/>
  <c r="P1988" i="127"/>
  <c r="O1989" i="127"/>
  <c r="P1989" i="127"/>
  <c r="O1990" i="127"/>
  <c r="P1990" i="127"/>
  <c r="O1991" i="127"/>
  <c r="P1991" i="127"/>
  <c r="O1992" i="127"/>
  <c r="P1992" i="127"/>
  <c r="O1993" i="127"/>
  <c r="P1993" i="127"/>
  <c r="O1994" i="127"/>
  <c r="P1994" i="127"/>
  <c r="O1995" i="127"/>
  <c r="P1995" i="127"/>
  <c r="O1996" i="127"/>
  <c r="P1996" i="127"/>
  <c r="O1997" i="127"/>
  <c r="P1997" i="127"/>
  <c r="O1998" i="127"/>
  <c r="P1998" i="127"/>
  <c r="O1999" i="127"/>
  <c r="P1999" i="127"/>
  <c r="O2000" i="127"/>
  <c r="P2000" i="127"/>
  <c r="O2001" i="127"/>
  <c r="P2001" i="127"/>
  <c r="O2002" i="127"/>
  <c r="P2002" i="127"/>
  <c r="O2003" i="127"/>
  <c r="P2003" i="127"/>
  <c r="O2004" i="127"/>
  <c r="P2004" i="127"/>
  <c r="O2005" i="127"/>
  <c r="P2005" i="127"/>
  <c r="O2006" i="127"/>
  <c r="P2006" i="127"/>
  <c r="O2007" i="127"/>
  <c r="P2007" i="127"/>
  <c r="O2008" i="127"/>
  <c r="P2008" i="127"/>
  <c r="O2009" i="127"/>
  <c r="P2009" i="127"/>
  <c r="O2010" i="127"/>
  <c r="P2010" i="127"/>
  <c r="O2011" i="127"/>
  <c r="P2011" i="127"/>
  <c r="O2012" i="127"/>
  <c r="P2012" i="127"/>
  <c r="O2013" i="127"/>
  <c r="P2013" i="127"/>
  <c r="O2014" i="127"/>
  <c r="P2014" i="127"/>
  <c r="O2015" i="127"/>
  <c r="P2015" i="127"/>
  <c r="O2016" i="127"/>
  <c r="P2016" i="127"/>
  <c r="O2017" i="127"/>
  <c r="P2017" i="127"/>
  <c r="O2018" i="127"/>
  <c r="P2018" i="127"/>
  <c r="O2019" i="127"/>
  <c r="P2019" i="127"/>
  <c r="O2020" i="127"/>
  <c r="P2020" i="127"/>
  <c r="O2021" i="127"/>
  <c r="P2021" i="127"/>
  <c r="O2022" i="127"/>
  <c r="P2022" i="127"/>
  <c r="O2023" i="127"/>
  <c r="P2023" i="127"/>
  <c r="O2024" i="127"/>
  <c r="P2024" i="127"/>
  <c r="O2025" i="127"/>
  <c r="P2025" i="127"/>
  <c r="O2026" i="127"/>
  <c r="P2026" i="127"/>
  <c r="O2027" i="127"/>
  <c r="P2027" i="127"/>
  <c r="O2028" i="127"/>
  <c r="P2028" i="127"/>
  <c r="O2029" i="127"/>
  <c r="P2029" i="127"/>
  <c r="O2030" i="127"/>
  <c r="P2030" i="127"/>
  <c r="O2031" i="127"/>
  <c r="P2031" i="127"/>
  <c r="O2032" i="127"/>
  <c r="P2032" i="127"/>
  <c r="O2033" i="127"/>
  <c r="P2033" i="127"/>
  <c r="O2034" i="127"/>
  <c r="P2034" i="127"/>
  <c r="O2035" i="127"/>
  <c r="P2035" i="127"/>
  <c r="O2036" i="127"/>
  <c r="P2036" i="127"/>
  <c r="O2037" i="127"/>
  <c r="P2037" i="127"/>
  <c r="O2038" i="127"/>
  <c r="P2038" i="127"/>
  <c r="O2039" i="127"/>
  <c r="P2039" i="127"/>
  <c r="O2040" i="127"/>
  <c r="P2040" i="127"/>
  <c r="O2041" i="127"/>
  <c r="P2041" i="127"/>
  <c r="O2042" i="127"/>
  <c r="P2042" i="127"/>
  <c r="O2043" i="127"/>
  <c r="P2043" i="127"/>
  <c r="O2044" i="127"/>
  <c r="P2044" i="127"/>
  <c r="O2045" i="127"/>
  <c r="P2045" i="127"/>
  <c r="O2046" i="127"/>
  <c r="P2046" i="127"/>
  <c r="O2047" i="127"/>
  <c r="P2047" i="127"/>
  <c r="O2048" i="127"/>
  <c r="P2048" i="127"/>
  <c r="O2049" i="127"/>
  <c r="P2049" i="127"/>
  <c r="O2050" i="127"/>
  <c r="P2050" i="127"/>
  <c r="O2051" i="127"/>
  <c r="P2051" i="127"/>
  <c r="O2052" i="127"/>
  <c r="P2052" i="127"/>
  <c r="O2053" i="127"/>
  <c r="P2053" i="127"/>
  <c r="O2054" i="127"/>
  <c r="P2054" i="127"/>
  <c r="O2055" i="127"/>
  <c r="P2055" i="127"/>
  <c r="O2056" i="127"/>
  <c r="P2056" i="127"/>
  <c r="O2057" i="127"/>
  <c r="P2057" i="127"/>
  <c r="O2058" i="127"/>
  <c r="P2058" i="127"/>
  <c r="O2059" i="127"/>
  <c r="P2059" i="127"/>
  <c r="O2060" i="127"/>
  <c r="P2060" i="127"/>
  <c r="O2061" i="127"/>
  <c r="P2061" i="127"/>
  <c r="O2062" i="127"/>
  <c r="P2062" i="127"/>
  <c r="O2063" i="127"/>
  <c r="P2063" i="127"/>
  <c r="O2064" i="127"/>
  <c r="P2064" i="127"/>
  <c r="O2065" i="127"/>
  <c r="P2065" i="127"/>
  <c r="O2066" i="127"/>
  <c r="P2066" i="127"/>
  <c r="O2067" i="127"/>
  <c r="P2067" i="127"/>
  <c r="O2068" i="127"/>
  <c r="P2068" i="127"/>
  <c r="O2069" i="127"/>
  <c r="P2069" i="127"/>
  <c r="O2070" i="127"/>
  <c r="P2070" i="127"/>
  <c r="O2071" i="127"/>
  <c r="P2071" i="127"/>
  <c r="O2072" i="127"/>
  <c r="P2072" i="127"/>
  <c r="O2073" i="127"/>
  <c r="P2073" i="127"/>
  <c r="O2074" i="127"/>
  <c r="P2074" i="127"/>
  <c r="O2075" i="127"/>
  <c r="P2075" i="127"/>
  <c r="O2076" i="127"/>
  <c r="P2076" i="127"/>
  <c r="O2077" i="127"/>
  <c r="P2077" i="127"/>
  <c r="O2078" i="127"/>
  <c r="P2078" i="127"/>
  <c r="O2079" i="127"/>
  <c r="P2079" i="127"/>
  <c r="O2080" i="127"/>
  <c r="P2080" i="127"/>
  <c r="O2081" i="127"/>
  <c r="P2081" i="127"/>
  <c r="O2082" i="127"/>
  <c r="P2082" i="127"/>
  <c r="O2083" i="127"/>
  <c r="P2083" i="127"/>
  <c r="O2084" i="127"/>
  <c r="P2084" i="127"/>
  <c r="O2085" i="127"/>
  <c r="P2085" i="127"/>
  <c r="O2086" i="127"/>
  <c r="P2086" i="127"/>
  <c r="O2087" i="127"/>
  <c r="P2087" i="127"/>
  <c r="O2088" i="127"/>
  <c r="P2088" i="127"/>
  <c r="O2089" i="127"/>
  <c r="P2089" i="127"/>
  <c r="O2090" i="127"/>
  <c r="P2090" i="127"/>
  <c r="O2091" i="127"/>
  <c r="P2091" i="127"/>
  <c r="O2092" i="127"/>
  <c r="P2092" i="127"/>
  <c r="O2093" i="127"/>
  <c r="P2093" i="127"/>
  <c r="O2094" i="127"/>
  <c r="P2094" i="127"/>
  <c r="O2095" i="127"/>
  <c r="P2095" i="127"/>
  <c r="O2096" i="127"/>
  <c r="P2096" i="127"/>
  <c r="O2097" i="127"/>
  <c r="P2097" i="127"/>
  <c r="O2098" i="127"/>
  <c r="P2098" i="127"/>
  <c r="O2099" i="127"/>
  <c r="P2099" i="127"/>
  <c r="O2100" i="127"/>
  <c r="P2100" i="127"/>
  <c r="O2101" i="127"/>
  <c r="P2101" i="127"/>
  <c r="O2102" i="127"/>
  <c r="P2102" i="127"/>
  <c r="O2103" i="127"/>
  <c r="P2103" i="127"/>
  <c r="O2104" i="127"/>
  <c r="P2104" i="127"/>
  <c r="O2105" i="127"/>
  <c r="P2105" i="127"/>
  <c r="O2106" i="127"/>
  <c r="P2106" i="127"/>
  <c r="O2107" i="127"/>
  <c r="P2107" i="127"/>
  <c r="O2108" i="127"/>
  <c r="P2108" i="127"/>
  <c r="O2109" i="127"/>
  <c r="P2109" i="127"/>
  <c r="O2110" i="127"/>
  <c r="P2110" i="127"/>
  <c r="O2111" i="127"/>
  <c r="P2111" i="127"/>
  <c r="O2112" i="127"/>
  <c r="P2112" i="127"/>
  <c r="O2113" i="127"/>
  <c r="P2113" i="127"/>
  <c r="O2114" i="127"/>
  <c r="P2114" i="127"/>
  <c r="O2115" i="127"/>
  <c r="P2115" i="127"/>
  <c r="O2116" i="127"/>
  <c r="P2116" i="127"/>
  <c r="O2117" i="127"/>
  <c r="P2117" i="127"/>
  <c r="O2118" i="127"/>
  <c r="P2118" i="127"/>
  <c r="O2119" i="127"/>
  <c r="P2119" i="127"/>
  <c r="O2120" i="127"/>
  <c r="P2120" i="127"/>
  <c r="O2121" i="127"/>
  <c r="P2121" i="127"/>
  <c r="O2122" i="127"/>
  <c r="P2122" i="127"/>
  <c r="O2123" i="127"/>
  <c r="P2123" i="127"/>
  <c r="O2124" i="127"/>
  <c r="P2124" i="127"/>
  <c r="O2125" i="127"/>
  <c r="P2125" i="127"/>
  <c r="O2126" i="127"/>
  <c r="P2126" i="127"/>
  <c r="O2127" i="127"/>
  <c r="P2127" i="127"/>
  <c r="O2128" i="127"/>
  <c r="P2128" i="127"/>
  <c r="O2129" i="127"/>
  <c r="P2129" i="127"/>
  <c r="O2130" i="127"/>
  <c r="P2130" i="127"/>
  <c r="O2131" i="127"/>
  <c r="P2131" i="127"/>
  <c r="O2132" i="127"/>
  <c r="P2132" i="127"/>
  <c r="O2133" i="127"/>
  <c r="P2133" i="127"/>
  <c r="O2134" i="127"/>
  <c r="P2134" i="127"/>
  <c r="O2135" i="127"/>
  <c r="P2135" i="127"/>
  <c r="O2136" i="127"/>
  <c r="P2136" i="127"/>
  <c r="O2137" i="127"/>
  <c r="P2137" i="127"/>
  <c r="O2138" i="127"/>
  <c r="P2138" i="127"/>
  <c r="O2139" i="127"/>
  <c r="P2139" i="127"/>
  <c r="O2140" i="127"/>
  <c r="P2140" i="127"/>
  <c r="O2141" i="127"/>
  <c r="P2141" i="127"/>
  <c r="O2142" i="127"/>
  <c r="P2142" i="127"/>
  <c r="O2143" i="127"/>
  <c r="P2143" i="127"/>
  <c r="O2144" i="127"/>
  <c r="P2144" i="127"/>
  <c r="O2145" i="127"/>
  <c r="P2145" i="127"/>
  <c r="O2146" i="127"/>
  <c r="P2146" i="127"/>
  <c r="O2147" i="127"/>
  <c r="P2147" i="127"/>
  <c r="O2148" i="127"/>
  <c r="P2148" i="127"/>
  <c r="O2149" i="127"/>
  <c r="P2149" i="127"/>
  <c r="O2150" i="127"/>
  <c r="P2150" i="127"/>
  <c r="O2151" i="127"/>
  <c r="P2151" i="127"/>
  <c r="O2152" i="127"/>
  <c r="P2152" i="127"/>
  <c r="O2153" i="127"/>
  <c r="P2153" i="127"/>
  <c r="O2154" i="127"/>
  <c r="P2154" i="127"/>
  <c r="O2155" i="127"/>
  <c r="P2155" i="127"/>
  <c r="O2156" i="127"/>
  <c r="P2156" i="127"/>
  <c r="O2157" i="127"/>
  <c r="P2157" i="127"/>
  <c r="O2158" i="127"/>
  <c r="P2158" i="127"/>
  <c r="O2159" i="127"/>
  <c r="P2159" i="127"/>
  <c r="O2160" i="127"/>
  <c r="P2160" i="127"/>
  <c r="O2161" i="127"/>
  <c r="P2161" i="127"/>
  <c r="O2162" i="127"/>
  <c r="P2162" i="127"/>
  <c r="O2163" i="127"/>
  <c r="P2163" i="127"/>
  <c r="O2164" i="127"/>
  <c r="P2164" i="127"/>
  <c r="O2165" i="127"/>
  <c r="P2165" i="127"/>
  <c r="O2166" i="127"/>
  <c r="P2166" i="127"/>
  <c r="O2167" i="127"/>
  <c r="P2167" i="127"/>
  <c r="O2168" i="127"/>
  <c r="P2168" i="127"/>
  <c r="O2169" i="127"/>
  <c r="P2169" i="127"/>
  <c r="O2170" i="127"/>
  <c r="P2170" i="127"/>
  <c r="O2171" i="127"/>
  <c r="P2171" i="127"/>
  <c r="O2172" i="127"/>
  <c r="P2172" i="127"/>
  <c r="O2173" i="127"/>
  <c r="P2173" i="127"/>
  <c r="O2174" i="127"/>
  <c r="P2174" i="127"/>
  <c r="O2175" i="127"/>
  <c r="P2175" i="127"/>
  <c r="O2176" i="127"/>
  <c r="P2176" i="127"/>
  <c r="O2177" i="127"/>
  <c r="P2177" i="127"/>
  <c r="O2178" i="127"/>
  <c r="P2178" i="127"/>
  <c r="O2179" i="127"/>
  <c r="P2179" i="127"/>
  <c r="O2180" i="127"/>
  <c r="P2180" i="127"/>
  <c r="O2181" i="127"/>
  <c r="P2181" i="127"/>
  <c r="O2182" i="127"/>
  <c r="P2182" i="127"/>
  <c r="O2183" i="127"/>
  <c r="P2183" i="127"/>
  <c r="O2184" i="127"/>
  <c r="P2184" i="127"/>
  <c r="O2185" i="127"/>
  <c r="P2185" i="127"/>
  <c r="O2186" i="127"/>
  <c r="P2186" i="127"/>
  <c r="O2187" i="127"/>
  <c r="P2187" i="127"/>
  <c r="O2188" i="127"/>
  <c r="P2188" i="127"/>
  <c r="O2189" i="127"/>
  <c r="P2189" i="127"/>
  <c r="O2190" i="127"/>
  <c r="P2190" i="127"/>
  <c r="O2191" i="127"/>
  <c r="P2191" i="127"/>
  <c r="O2192" i="127"/>
  <c r="P2192" i="127"/>
  <c r="O2193" i="127"/>
  <c r="P2193" i="127"/>
  <c r="O2194" i="127"/>
  <c r="P2194" i="127"/>
  <c r="O2195" i="127"/>
  <c r="P2195" i="127"/>
  <c r="O2196" i="127"/>
  <c r="P2196" i="127"/>
  <c r="O2197" i="127"/>
  <c r="P2197" i="127"/>
  <c r="O2198" i="127"/>
  <c r="P2198" i="127"/>
  <c r="O2199" i="127"/>
  <c r="P2199" i="127"/>
  <c r="O2200" i="127"/>
  <c r="P2200" i="127"/>
  <c r="O2201" i="127"/>
  <c r="P2201" i="127"/>
  <c r="O2202" i="127"/>
  <c r="P2202" i="127"/>
  <c r="O2203" i="127"/>
  <c r="P2203" i="127"/>
  <c r="O2204" i="127"/>
  <c r="P2204" i="127"/>
  <c r="O2205" i="127"/>
  <c r="P2205" i="127"/>
  <c r="O2206" i="127"/>
  <c r="P2206" i="127"/>
  <c r="O2207" i="127"/>
  <c r="P2207" i="127"/>
  <c r="O2208" i="127"/>
  <c r="P2208" i="127"/>
  <c r="O2209" i="127"/>
  <c r="P2209" i="127"/>
  <c r="O2210" i="127"/>
  <c r="P2210" i="127"/>
  <c r="O2211" i="127"/>
  <c r="P2211" i="127"/>
  <c r="O2212" i="127"/>
  <c r="P2212" i="127"/>
  <c r="O2213" i="127"/>
  <c r="P2213" i="127"/>
  <c r="O2214" i="127"/>
  <c r="P2214" i="127"/>
  <c r="O2215" i="127"/>
  <c r="P2215" i="127"/>
  <c r="O2216" i="127"/>
  <c r="P2216" i="127"/>
  <c r="O2217" i="127"/>
  <c r="P2217" i="127"/>
  <c r="O2218" i="127"/>
  <c r="P2218" i="127"/>
  <c r="O2219" i="127"/>
  <c r="P2219" i="127"/>
  <c r="O2220" i="127"/>
  <c r="P2220" i="127"/>
  <c r="O2221" i="127"/>
  <c r="P2221" i="127"/>
  <c r="O2222" i="127"/>
  <c r="P2222" i="127"/>
  <c r="O2223" i="127"/>
  <c r="P2223" i="127"/>
  <c r="O2224" i="127"/>
  <c r="P2224" i="127"/>
  <c r="O2225" i="127"/>
  <c r="P2225" i="127"/>
  <c r="O2226" i="127"/>
  <c r="P2226" i="127"/>
  <c r="O2227" i="127"/>
  <c r="P2227" i="127"/>
  <c r="O2228" i="127"/>
  <c r="P2228" i="127"/>
  <c r="O2229" i="127"/>
  <c r="P2229" i="127"/>
  <c r="O2230" i="127"/>
  <c r="P2230" i="127"/>
  <c r="O2231" i="127"/>
  <c r="P2231" i="127"/>
  <c r="O2232" i="127"/>
  <c r="P2232" i="127"/>
  <c r="O2233" i="127"/>
  <c r="P2233" i="127"/>
  <c r="O2234" i="127"/>
  <c r="P2234" i="127"/>
  <c r="O2235" i="127"/>
  <c r="P2235" i="127"/>
  <c r="O2236" i="127"/>
  <c r="P2236" i="127"/>
  <c r="O2237" i="127"/>
  <c r="P2237" i="127"/>
  <c r="O2238" i="127"/>
  <c r="P2238" i="127"/>
  <c r="O2239" i="127"/>
  <c r="P2239" i="127"/>
  <c r="O2240" i="127"/>
  <c r="P2240" i="127"/>
  <c r="O2241" i="127"/>
  <c r="P2241" i="127"/>
  <c r="O2242" i="127"/>
  <c r="P2242" i="127"/>
  <c r="O2243" i="127"/>
  <c r="P2243" i="127"/>
  <c r="O2244" i="127"/>
  <c r="P2244" i="127"/>
  <c r="O2245" i="127"/>
  <c r="P2245" i="127"/>
  <c r="O2246" i="127"/>
  <c r="P2246" i="127"/>
  <c r="O2247" i="127"/>
  <c r="P2247" i="127"/>
  <c r="O2248" i="127"/>
  <c r="P2248" i="127"/>
  <c r="O2249" i="127"/>
  <c r="P2249" i="127"/>
  <c r="O2250" i="127"/>
  <c r="P2250" i="127"/>
  <c r="O2251" i="127"/>
  <c r="P2251" i="127"/>
  <c r="O2252" i="127"/>
  <c r="P2252" i="127"/>
  <c r="O2253" i="127"/>
  <c r="P2253" i="127"/>
  <c r="O2254" i="127"/>
  <c r="P2254" i="127"/>
  <c r="O2255" i="127"/>
  <c r="P2255" i="127"/>
  <c r="O2256" i="127"/>
  <c r="P2256" i="127"/>
  <c r="O2257" i="127"/>
  <c r="P2257" i="127"/>
  <c r="O2258" i="127"/>
  <c r="P2258" i="127"/>
  <c r="O2259" i="127"/>
  <c r="P2259" i="127"/>
  <c r="O2260" i="127"/>
  <c r="P2260" i="127"/>
  <c r="O2261" i="127"/>
  <c r="P2261" i="127"/>
  <c r="O2262" i="127"/>
  <c r="P2262" i="127"/>
  <c r="O2263" i="127"/>
  <c r="P2263" i="127"/>
  <c r="O2264" i="127"/>
  <c r="P2264" i="127"/>
  <c r="O2265" i="127"/>
  <c r="P2265" i="127"/>
  <c r="O2266" i="127"/>
  <c r="P2266" i="127"/>
  <c r="O2267" i="127"/>
  <c r="P2267" i="127"/>
  <c r="O2268" i="127"/>
  <c r="P2268" i="127"/>
  <c r="O2269" i="127"/>
  <c r="P2269" i="127"/>
  <c r="O2270" i="127"/>
  <c r="P2270" i="127"/>
  <c r="O2271" i="127"/>
  <c r="P2271" i="127"/>
  <c r="O2272" i="127"/>
  <c r="P2272" i="127"/>
  <c r="O2273" i="127"/>
  <c r="P2273" i="127"/>
  <c r="O2274" i="127"/>
  <c r="P2274" i="127"/>
  <c r="O2275" i="127"/>
  <c r="P2275" i="127"/>
  <c r="O2276" i="127"/>
  <c r="P2276" i="127"/>
  <c r="O2277" i="127"/>
  <c r="P2277" i="127"/>
  <c r="O2278" i="127"/>
  <c r="P2278" i="127"/>
  <c r="O2279" i="127"/>
  <c r="P2279" i="127"/>
  <c r="O2280" i="127"/>
  <c r="P2280" i="127"/>
  <c r="O2281" i="127"/>
  <c r="P2281" i="127"/>
  <c r="O2282" i="127"/>
  <c r="P2282" i="127"/>
  <c r="O2283" i="127"/>
  <c r="P2283" i="127"/>
  <c r="O2284" i="127"/>
  <c r="P2284" i="127"/>
  <c r="O2285" i="127"/>
  <c r="P2285" i="127"/>
  <c r="O2286" i="127"/>
  <c r="P2286" i="127"/>
  <c r="O2287" i="127"/>
  <c r="P2287" i="127"/>
  <c r="O2288" i="127"/>
  <c r="P2288" i="127"/>
  <c r="O2289" i="127"/>
  <c r="P2289" i="127"/>
  <c r="O2290" i="127"/>
  <c r="P2290" i="127"/>
  <c r="O2291" i="127"/>
  <c r="P2291" i="127"/>
  <c r="O2292" i="127"/>
  <c r="P2292" i="127"/>
  <c r="O2293" i="127"/>
  <c r="P2293" i="127"/>
  <c r="O2294" i="127"/>
  <c r="P2294" i="127"/>
  <c r="O2295" i="127"/>
  <c r="P2295" i="127"/>
  <c r="O2296" i="127"/>
  <c r="P2296" i="127"/>
  <c r="O2297" i="127"/>
  <c r="P2297" i="127"/>
  <c r="O2298" i="127"/>
  <c r="P2298" i="127"/>
  <c r="O2299" i="127"/>
  <c r="P2299" i="127"/>
  <c r="O2300" i="127"/>
  <c r="P2300" i="127"/>
  <c r="O2301" i="127"/>
  <c r="P2301" i="127"/>
  <c r="O2302" i="127"/>
  <c r="P2302" i="127"/>
  <c r="O2303" i="127"/>
  <c r="P2303" i="127"/>
  <c r="O2304" i="127"/>
  <c r="P2304" i="127"/>
  <c r="O2305" i="127"/>
  <c r="P2305" i="127"/>
  <c r="O2306" i="127"/>
  <c r="P2306" i="127"/>
  <c r="O2307" i="127"/>
  <c r="P2307" i="127"/>
  <c r="O2308" i="127"/>
  <c r="P2308" i="127"/>
  <c r="O2309" i="127"/>
  <c r="P2309" i="127"/>
  <c r="O2310" i="127"/>
  <c r="P2310" i="127"/>
  <c r="O2311" i="127"/>
  <c r="P2311" i="127"/>
  <c r="O2312" i="127"/>
  <c r="P2312" i="127"/>
  <c r="O2313" i="127"/>
  <c r="P2313" i="127"/>
  <c r="O2314" i="127"/>
  <c r="P2314" i="127"/>
  <c r="O2315" i="127"/>
  <c r="P2315" i="127"/>
  <c r="O2316" i="127"/>
  <c r="P2316" i="127"/>
  <c r="O2317" i="127"/>
  <c r="P2317" i="127"/>
  <c r="O2318" i="127"/>
  <c r="P2318" i="127"/>
  <c r="O2319" i="127"/>
  <c r="P2319" i="127"/>
  <c r="O2320" i="127"/>
  <c r="P2320" i="127"/>
  <c r="O2321" i="127"/>
  <c r="P2321" i="127"/>
  <c r="O2322" i="127"/>
  <c r="P2322" i="127"/>
  <c r="O2323" i="127"/>
  <c r="P2323" i="127"/>
  <c r="O2324" i="127"/>
  <c r="P2324" i="127"/>
  <c r="O2325" i="127"/>
  <c r="P2325" i="127"/>
  <c r="O2326" i="127"/>
  <c r="P2326" i="127"/>
  <c r="O2327" i="127"/>
  <c r="P2327" i="127"/>
  <c r="O2328" i="127"/>
  <c r="P2328" i="127"/>
  <c r="O2329" i="127"/>
  <c r="P2329" i="127"/>
  <c r="O2330" i="127"/>
  <c r="P2330" i="127"/>
  <c r="O2331" i="127"/>
  <c r="P2331" i="127"/>
  <c r="O2332" i="127"/>
  <c r="P2332" i="127"/>
  <c r="O2333" i="127"/>
  <c r="P2333" i="127"/>
  <c r="O2334" i="127"/>
  <c r="P2334" i="127"/>
  <c r="O2335" i="127"/>
  <c r="P2335" i="127"/>
  <c r="O2336" i="127"/>
  <c r="P2336" i="127"/>
  <c r="O2337" i="127"/>
  <c r="P2337" i="127"/>
  <c r="O2338" i="127"/>
  <c r="P2338" i="127"/>
  <c r="O2339" i="127"/>
  <c r="P2339" i="127"/>
  <c r="O2340" i="127"/>
  <c r="P2340" i="127"/>
  <c r="O2341" i="127"/>
  <c r="P2341" i="127"/>
  <c r="O2342" i="127"/>
  <c r="P2342" i="127"/>
  <c r="O2343" i="127"/>
  <c r="P2343" i="127"/>
  <c r="O2344" i="127"/>
  <c r="P2344" i="127"/>
  <c r="O2345" i="127"/>
  <c r="P2345" i="127"/>
  <c r="O2346" i="127"/>
  <c r="P2346" i="127"/>
  <c r="O2347" i="127"/>
  <c r="P2347" i="127"/>
  <c r="O2348" i="127"/>
  <c r="P2348" i="127"/>
  <c r="O2349" i="127"/>
  <c r="P2349" i="127"/>
  <c r="O2350" i="127"/>
  <c r="P2350" i="127"/>
  <c r="O2351" i="127"/>
  <c r="P2351" i="127"/>
  <c r="O2352" i="127"/>
  <c r="P2352" i="127"/>
  <c r="O2353" i="127"/>
  <c r="P2353" i="127"/>
  <c r="O2354" i="127"/>
  <c r="P2354" i="127"/>
  <c r="O2355" i="127"/>
  <c r="P2355" i="127"/>
  <c r="O2356" i="127"/>
  <c r="P2356" i="127"/>
  <c r="O2357" i="127"/>
  <c r="P2357" i="127"/>
  <c r="O2358" i="127"/>
  <c r="P2358" i="127"/>
  <c r="O2359" i="127"/>
  <c r="P2359" i="127"/>
  <c r="O2360" i="127"/>
  <c r="P2360" i="127"/>
  <c r="O2361" i="127"/>
  <c r="P2361" i="127"/>
  <c r="O2362" i="127"/>
  <c r="P2362" i="127"/>
  <c r="O2363" i="127"/>
  <c r="P2363" i="127"/>
  <c r="O2364" i="127"/>
  <c r="P2364" i="127"/>
  <c r="O2365" i="127"/>
  <c r="P2365" i="127"/>
  <c r="O2366" i="127"/>
  <c r="P2366" i="127"/>
  <c r="O2367" i="127"/>
  <c r="P2367" i="127"/>
  <c r="O2368" i="127"/>
  <c r="P2368" i="127"/>
  <c r="O2369" i="127"/>
  <c r="P2369" i="127"/>
  <c r="O2370" i="127"/>
  <c r="P2370" i="127"/>
  <c r="O2371" i="127"/>
  <c r="P2371" i="127"/>
  <c r="O2372" i="127"/>
  <c r="P2372" i="127"/>
  <c r="O2373" i="127"/>
  <c r="P2373" i="127"/>
  <c r="O2374" i="127"/>
  <c r="P2374" i="127"/>
  <c r="O2375" i="127"/>
  <c r="P2375" i="127"/>
  <c r="O2376" i="127"/>
  <c r="P2376" i="127"/>
  <c r="O2377" i="127"/>
  <c r="P2377" i="127"/>
  <c r="O2378" i="127"/>
  <c r="P2378" i="127"/>
  <c r="O2379" i="127"/>
  <c r="P2379" i="127"/>
  <c r="O2380" i="127"/>
  <c r="P2380" i="127"/>
  <c r="O2381" i="127"/>
  <c r="P2381" i="127"/>
  <c r="O2382" i="127"/>
  <c r="P2382" i="127"/>
  <c r="O2383" i="127"/>
  <c r="P2383" i="127"/>
  <c r="O2384" i="127"/>
  <c r="P2384" i="127"/>
  <c r="O2385" i="127"/>
  <c r="P2385" i="127"/>
  <c r="O2386" i="127"/>
  <c r="P2386" i="127"/>
  <c r="O2387" i="127"/>
  <c r="P2387" i="127"/>
  <c r="O2388" i="127"/>
  <c r="P2388" i="127"/>
  <c r="O2389" i="127"/>
  <c r="P2389" i="127"/>
  <c r="O2390" i="127"/>
  <c r="P2390" i="127"/>
  <c r="O2391" i="127"/>
  <c r="P2391" i="127"/>
  <c r="O2392" i="127"/>
  <c r="P2392" i="127"/>
  <c r="O2393" i="127"/>
  <c r="P2393" i="127"/>
  <c r="O2394" i="127"/>
  <c r="P2394" i="127"/>
  <c r="O2395" i="127"/>
  <c r="P2395" i="127"/>
  <c r="O2396" i="127"/>
  <c r="P2396" i="127"/>
  <c r="O2397" i="127"/>
  <c r="P2397" i="127"/>
  <c r="O2398" i="127"/>
  <c r="P2398" i="127"/>
  <c r="O2399" i="127"/>
  <c r="P2399" i="127"/>
  <c r="O2400" i="127"/>
  <c r="P2400" i="127"/>
  <c r="O2401" i="127"/>
  <c r="P2401" i="127"/>
  <c r="O2402" i="127"/>
  <c r="P2402" i="127"/>
  <c r="O2403" i="127"/>
  <c r="P2403" i="127"/>
  <c r="O2404" i="127"/>
  <c r="P2404" i="127"/>
  <c r="O2405" i="127"/>
  <c r="P2405" i="127"/>
  <c r="O2406" i="127"/>
  <c r="P2406" i="127"/>
  <c r="O2407" i="127"/>
  <c r="P2407" i="127"/>
  <c r="O2408" i="127"/>
  <c r="P2408" i="127"/>
  <c r="O2409" i="127"/>
  <c r="P2409" i="127"/>
  <c r="O2410" i="127"/>
  <c r="P2410" i="127"/>
  <c r="O2411" i="127"/>
  <c r="P2411" i="127"/>
  <c r="O2412" i="127"/>
  <c r="P2412" i="127"/>
  <c r="O2413" i="127"/>
  <c r="P2413" i="127"/>
  <c r="O2414" i="127"/>
  <c r="P2414" i="127"/>
  <c r="O2415" i="127"/>
  <c r="P2415" i="127"/>
  <c r="O2416" i="127"/>
  <c r="P2416" i="127"/>
  <c r="O2417" i="127"/>
  <c r="P2417" i="127"/>
  <c r="O2418" i="127"/>
  <c r="P2418" i="127"/>
  <c r="O2419" i="127"/>
  <c r="P2419" i="127"/>
  <c r="O2420" i="127"/>
  <c r="P2420" i="127"/>
  <c r="O2421" i="127"/>
  <c r="P2421" i="127"/>
  <c r="O2422" i="127"/>
  <c r="P2422" i="127"/>
  <c r="O2423" i="127"/>
  <c r="P2423" i="127"/>
  <c r="O2424" i="127"/>
  <c r="P2424" i="127"/>
  <c r="O2425" i="127"/>
  <c r="P2425" i="127"/>
  <c r="O2426" i="127"/>
  <c r="P2426" i="127"/>
  <c r="O2427" i="127"/>
  <c r="P2427" i="127"/>
  <c r="O2428" i="127"/>
  <c r="P2428" i="127"/>
  <c r="O2429" i="127"/>
  <c r="P2429" i="127"/>
  <c r="O2430" i="127"/>
  <c r="P2430" i="127"/>
  <c r="O2431" i="127"/>
  <c r="P2431" i="127"/>
  <c r="O2432" i="127"/>
  <c r="P2432" i="127"/>
  <c r="O2433" i="127"/>
  <c r="P2433" i="127"/>
  <c r="O2434" i="127"/>
  <c r="P2434" i="127"/>
  <c r="O2435" i="127"/>
  <c r="P2435" i="127"/>
  <c r="O2436" i="127"/>
  <c r="P2436" i="127"/>
  <c r="O2437" i="127"/>
  <c r="P2437" i="127"/>
  <c r="O2438" i="127"/>
  <c r="P2438" i="127"/>
  <c r="O2439" i="127"/>
  <c r="P2439" i="127"/>
  <c r="O2440" i="127"/>
  <c r="P2440" i="127"/>
  <c r="O2441" i="127"/>
  <c r="P2441" i="127"/>
  <c r="O2442" i="127"/>
  <c r="P2442" i="127"/>
  <c r="O2443" i="127"/>
  <c r="P2443" i="127"/>
  <c r="O2444" i="127"/>
  <c r="P2444" i="127"/>
  <c r="O2445" i="127"/>
  <c r="P2445" i="127"/>
  <c r="O2446" i="127"/>
  <c r="P2446" i="127"/>
  <c r="O2447" i="127"/>
  <c r="P2447" i="127"/>
  <c r="O2448" i="127"/>
  <c r="P2448" i="127"/>
  <c r="O2449" i="127"/>
  <c r="P2449" i="127"/>
  <c r="O2450" i="127"/>
  <c r="P2450" i="127"/>
  <c r="O2451" i="127"/>
  <c r="P2451" i="127"/>
  <c r="O2452" i="127"/>
  <c r="P2452" i="127"/>
  <c r="O2453" i="127"/>
  <c r="P2453" i="127"/>
  <c r="O2454" i="127"/>
  <c r="P2454" i="127"/>
  <c r="O2455" i="127"/>
  <c r="P2455" i="127"/>
  <c r="O2456" i="127"/>
  <c r="P2456" i="127"/>
  <c r="O2457" i="127"/>
  <c r="P2457" i="127"/>
  <c r="O2458" i="127"/>
  <c r="P2458" i="127"/>
  <c r="O2459" i="127"/>
  <c r="P2459" i="127"/>
  <c r="O2460" i="127"/>
  <c r="P2460" i="127"/>
  <c r="O2461" i="127"/>
  <c r="P2461" i="127"/>
  <c r="O2462" i="127"/>
  <c r="P2462" i="127"/>
  <c r="O2463" i="127"/>
  <c r="P2463" i="127"/>
  <c r="O2464" i="127"/>
  <c r="P2464" i="127"/>
  <c r="O2465" i="127"/>
  <c r="P2465" i="127"/>
  <c r="O2466" i="127"/>
  <c r="P2466" i="127"/>
  <c r="O2467" i="127"/>
  <c r="P2467" i="127"/>
  <c r="O2468" i="127"/>
  <c r="P2468" i="127"/>
  <c r="O2469" i="127"/>
  <c r="P2469" i="127"/>
  <c r="O2470" i="127"/>
  <c r="P2470" i="127"/>
  <c r="O2471" i="127"/>
  <c r="P2471" i="127"/>
  <c r="O2472" i="127"/>
  <c r="P2472" i="127"/>
  <c r="O2473" i="127"/>
  <c r="P2473" i="127"/>
  <c r="O2474" i="127"/>
  <c r="P2474" i="127"/>
  <c r="O2475" i="127"/>
  <c r="P2475" i="127"/>
  <c r="O2476" i="127"/>
  <c r="P2476" i="127"/>
  <c r="O2477" i="127"/>
  <c r="P2477" i="127"/>
  <c r="O2478" i="127"/>
  <c r="P2478" i="127"/>
  <c r="O2479" i="127"/>
  <c r="P2479" i="127"/>
  <c r="O2480" i="127"/>
  <c r="P2480" i="127"/>
  <c r="O2481" i="127"/>
  <c r="P2481" i="127"/>
  <c r="O2482" i="127"/>
  <c r="P2482" i="127"/>
  <c r="O2483" i="127"/>
  <c r="P2483" i="127"/>
  <c r="O2484" i="127"/>
  <c r="P2484" i="127"/>
  <c r="O2485" i="127"/>
  <c r="P2485" i="127"/>
  <c r="O2486" i="127"/>
  <c r="P2486" i="127"/>
  <c r="O2487" i="127"/>
  <c r="P2487" i="127"/>
  <c r="O2488" i="127"/>
  <c r="P2488" i="127"/>
  <c r="O2489" i="127"/>
  <c r="P2489" i="127"/>
  <c r="O2490" i="127"/>
  <c r="P2490" i="127"/>
  <c r="O2491" i="127"/>
  <c r="P2491" i="127"/>
  <c r="O2492" i="127"/>
  <c r="P2492" i="127"/>
  <c r="O2493" i="127"/>
  <c r="P2493" i="127"/>
  <c r="O2494" i="127"/>
  <c r="P2494" i="127"/>
  <c r="O2495" i="127"/>
  <c r="P2495" i="127"/>
  <c r="O2496" i="127"/>
  <c r="P2496" i="127"/>
  <c r="O2497" i="127"/>
  <c r="P2497" i="127"/>
  <c r="O2498" i="127"/>
  <c r="P2498" i="127"/>
  <c r="O2499" i="127"/>
  <c r="P2499" i="127"/>
  <c r="O2500" i="127"/>
  <c r="P2500" i="127"/>
  <c r="O2501" i="127"/>
  <c r="P2501" i="127"/>
  <c r="O2502" i="127"/>
  <c r="P2502" i="127"/>
  <c r="O2503" i="127"/>
  <c r="P2503" i="127"/>
  <c r="O2504" i="127"/>
  <c r="P2504" i="127"/>
  <c r="O2505" i="127"/>
  <c r="P2505" i="127"/>
  <c r="O2506" i="127"/>
  <c r="P2506" i="127"/>
  <c r="O2507" i="127"/>
  <c r="P2507" i="127"/>
  <c r="O2508" i="127"/>
  <c r="P2508" i="127"/>
  <c r="O2509" i="127"/>
  <c r="P2509" i="127"/>
  <c r="O2510" i="127"/>
  <c r="P2510" i="127"/>
  <c r="O2511" i="127"/>
  <c r="P2511" i="127"/>
  <c r="O2512" i="127"/>
  <c r="P2512" i="127"/>
  <c r="O2513" i="127"/>
  <c r="P2513" i="127"/>
  <c r="O2514" i="127"/>
  <c r="P2514" i="127"/>
  <c r="O2515" i="127"/>
  <c r="P2515" i="127"/>
  <c r="O2516" i="127"/>
  <c r="P2516" i="127"/>
  <c r="O2517" i="127"/>
  <c r="P2517" i="127"/>
  <c r="O2518" i="127"/>
  <c r="P2518" i="127"/>
  <c r="O2519" i="127"/>
  <c r="P2519" i="127"/>
  <c r="O2520" i="127"/>
  <c r="P2520" i="127"/>
  <c r="O2521" i="127"/>
  <c r="P2521" i="127"/>
  <c r="O2522" i="127"/>
  <c r="P2522" i="127"/>
  <c r="O2523" i="127"/>
  <c r="P2523" i="127"/>
  <c r="O2524" i="127"/>
  <c r="P2524" i="127"/>
  <c r="O2525" i="127"/>
  <c r="P2525" i="127"/>
  <c r="O2526" i="127"/>
  <c r="P2526" i="127"/>
  <c r="O2527" i="127"/>
  <c r="P2527" i="127"/>
  <c r="O2528" i="127"/>
  <c r="P2528" i="127"/>
  <c r="O2529" i="127"/>
  <c r="P2529" i="127"/>
  <c r="O2530" i="127"/>
  <c r="P2530" i="127"/>
  <c r="O2531" i="127"/>
  <c r="P2531" i="127"/>
  <c r="O2532" i="127"/>
  <c r="P2532" i="127"/>
  <c r="O2533" i="127"/>
  <c r="P2533" i="127"/>
  <c r="O2534" i="127"/>
  <c r="P2534" i="127"/>
  <c r="O2535" i="127"/>
  <c r="P2535" i="127"/>
  <c r="O2536" i="127"/>
  <c r="P2536" i="127"/>
  <c r="O2537" i="127"/>
  <c r="P2537" i="127"/>
  <c r="O2538" i="127"/>
  <c r="P2538" i="127"/>
  <c r="O2539" i="127"/>
  <c r="P2539" i="127"/>
  <c r="O2540" i="127"/>
  <c r="P2540" i="127"/>
  <c r="O2541" i="127"/>
  <c r="P2541" i="127"/>
  <c r="O2542" i="127"/>
  <c r="P2542" i="127"/>
  <c r="O2543" i="127"/>
  <c r="P2543" i="127"/>
  <c r="O2544" i="127"/>
  <c r="P2544" i="127"/>
  <c r="O2545" i="127"/>
  <c r="P2545" i="127"/>
  <c r="O2546" i="127"/>
  <c r="P2546" i="127"/>
  <c r="O2547" i="127"/>
  <c r="P2547" i="127"/>
  <c r="O2548" i="127"/>
  <c r="P2548" i="127"/>
  <c r="O2549" i="127"/>
  <c r="P2549" i="127"/>
  <c r="O2550" i="127"/>
  <c r="P2550" i="127"/>
  <c r="O2551" i="127"/>
  <c r="P2551" i="127"/>
  <c r="O2552" i="127"/>
  <c r="P2552" i="127"/>
  <c r="O2553" i="127"/>
  <c r="P2553" i="127"/>
  <c r="O2554" i="127"/>
  <c r="P2554" i="127"/>
  <c r="O2555" i="127"/>
  <c r="P2555" i="127"/>
  <c r="O2556" i="127"/>
  <c r="P2556" i="127"/>
  <c r="O2557" i="127"/>
  <c r="P2557" i="127"/>
  <c r="O2558" i="127"/>
  <c r="P2558" i="127"/>
  <c r="O2559" i="127"/>
  <c r="P2559" i="127"/>
  <c r="O2560" i="127"/>
  <c r="P2560" i="127"/>
  <c r="O2561" i="127"/>
  <c r="P2561" i="127"/>
  <c r="O2562" i="127"/>
  <c r="P2562" i="127"/>
  <c r="O2563" i="127"/>
  <c r="P2563" i="127"/>
  <c r="O2564" i="127"/>
  <c r="P2564" i="127"/>
  <c r="O2565" i="127"/>
  <c r="P2565" i="127"/>
  <c r="O2566" i="127"/>
  <c r="P2566" i="127"/>
  <c r="O2567" i="127"/>
  <c r="P2567" i="127"/>
  <c r="O2568" i="127"/>
  <c r="P2568" i="127"/>
  <c r="O2569" i="127"/>
  <c r="P2569" i="127"/>
  <c r="O2570" i="127"/>
  <c r="P2570" i="127"/>
  <c r="O2571" i="127"/>
  <c r="P2571" i="127"/>
  <c r="O2572" i="127"/>
  <c r="P2572" i="127"/>
  <c r="O2573" i="127"/>
  <c r="P2573" i="127"/>
  <c r="O2574" i="127"/>
  <c r="P2574" i="127"/>
  <c r="O2575" i="127"/>
  <c r="P2575" i="127"/>
  <c r="O2576" i="127"/>
  <c r="P2576" i="127"/>
  <c r="O2577" i="127"/>
  <c r="P2577" i="127"/>
  <c r="O2578" i="127"/>
  <c r="P2578" i="127"/>
  <c r="O2579" i="127"/>
  <c r="P2579" i="127"/>
  <c r="O2580" i="127"/>
  <c r="P2580" i="127"/>
  <c r="O2581" i="127"/>
  <c r="P2581" i="127"/>
  <c r="O2582" i="127"/>
  <c r="P2582" i="127"/>
  <c r="O2583" i="127"/>
  <c r="P2583" i="127"/>
  <c r="O2584" i="127"/>
  <c r="P2584" i="127"/>
  <c r="O2585" i="127"/>
  <c r="P2585" i="127"/>
  <c r="O2586" i="127"/>
  <c r="P2586" i="127"/>
  <c r="O2587" i="127"/>
  <c r="P2587" i="127"/>
  <c r="O2588" i="127"/>
  <c r="P2588" i="127"/>
  <c r="O2589" i="127"/>
  <c r="P2589" i="127"/>
  <c r="O2590" i="127"/>
  <c r="P2590" i="127"/>
  <c r="O2591" i="127"/>
  <c r="P2591" i="127"/>
  <c r="O2592" i="127"/>
  <c r="P2592" i="127"/>
  <c r="O2593" i="127"/>
  <c r="P2593" i="127"/>
  <c r="O2594" i="127"/>
  <c r="P2594" i="127"/>
  <c r="O2595" i="127"/>
  <c r="P2595" i="127"/>
  <c r="O2596" i="127"/>
  <c r="P2596" i="127"/>
  <c r="O2597" i="127"/>
  <c r="P2597" i="127"/>
  <c r="O2598" i="127"/>
  <c r="P2598" i="127"/>
  <c r="O2599" i="127"/>
  <c r="P2599" i="127"/>
  <c r="O2600" i="127"/>
  <c r="P2600" i="127"/>
  <c r="O2601" i="127"/>
  <c r="P2601" i="127"/>
  <c r="O2602" i="127"/>
  <c r="P2602" i="127"/>
  <c r="O2603" i="127"/>
  <c r="P2603" i="127"/>
  <c r="O2604" i="127"/>
  <c r="P2604" i="127"/>
  <c r="O2605" i="127"/>
  <c r="P2605" i="127"/>
  <c r="O2606" i="127"/>
  <c r="P2606" i="127"/>
  <c r="O2607" i="127"/>
  <c r="P2607" i="127"/>
  <c r="O2608" i="127"/>
  <c r="P2608" i="127"/>
  <c r="O2609" i="127"/>
  <c r="P2609" i="127"/>
  <c r="O2610" i="127"/>
  <c r="P2610" i="127"/>
  <c r="O2611" i="127"/>
  <c r="P2611" i="127"/>
  <c r="O2612" i="127"/>
  <c r="P2612" i="127"/>
  <c r="O2613" i="127"/>
  <c r="P2613" i="127"/>
  <c r="O2614" i="127"/>
  <c r="P2614" i="127"/>
  <c r="O2615" i="127"/>
  <c r="P2615" i="127"/>
  <c r="O2616" i="127"/>
  <c r="P2616" i="127"/>
  <c r="O2617" i="127"/>
  <c r="P2617" i="127"/>
  <c r="O2618" i="127"/>
  <c r="P2618" i="127"/>
  <c r="O2619" i="127"/>
  <c r="P2619" i="127"/>
  <c r="O2620" i="127"/>
  <c r="P2620" i="127"/>
  <c r="O2621" i="127"/>
  <c r="P2621" i="127"/>
  <c r="O2622" i="127"/>
  <c r="P2622" i="127"/>
  <c r="O2623" i="127"/>
  <c r="P2623" i="127"/>
  <c r="O2624" i="127"/>
  <c r="P2624" i="127"/>
  <c r="O2625" i="127"/>
  <c r="P2625" i="127"/>
  <c r="O2626" i="127"/>
  <c r="P2626" i="127"/>
  <c r="O2627" i="127"/>
  <c r="P2627" i="127"/>
  <c r="O2628" i="127"/>
  <c r="P2628" i="127"/>
  <c r="O2629" i="127"/>
  <c r="P2629" i="127"/>
  <c r="O2630" i="127"/>
  <c r="P2630" i="127"/>
  <c r="O2631" i="127"/>
  <c r="P2631" i="127"/>
  <c r="O2632" i="127"/>
  <c r="P2632" i="127"/>
  <c r="O2633" i="127"/>
  <c r="P2633" i="127"/>
  <c r="O2634" i="127"/>
  <c r="P2634" i="127"/>
  <c r="O2635" i="127"/>
  <c r="P2635" i="127"/>
  <c r="O2636" i="127"/>
  <c r="P2636" i="127"/>
  <c r="O2637" i="127"/>
  <c r="P2637" i="127"/>
  <c r="O2638" i="127"/>
  <c r="P2638" i="127"/>
  <c r="O2639" i="127"/>
  <c r="P2639" i="127"/>
  <c r="O2640" i="127"/>
  <c r="P2640" i="127"/>
  <c r="O2641" i="127"/>
  <c r="P2641" i="127"/>
  <c r="O2642" i="127"/>
  <c r="P2642" i="127"/>
  <c r="O2643" i="127"/>
  <c r="P2643" i="127"/>
  <c r="O2644" i="127"/>
  <c r="P2644" i="127"/>
  <c r="O2645" i="127"/>
  <c r="P2645" i="127"/>
  <c r="O2646" i="127"/>
  <c r="P2646" i="127"/>
  <c r="O2647" i="127"/>
  <c r="P2647" i="127"/>
  <c r="O2648" i="127"/>
  <c r="P2648" i="127"/>
  <c r="O2649" i="127"/>
  <c r="P2649" i="127"/>
  <c r="O2650" i="127"/>
  <c r="P2650" i="127"/>
  <c r="O2651" i="127"/>
  <c r="P2651" i="127"/>
  <c r="O2652" i="127"/>
  <c r="P2652" i="127"/>
  <c r="O2653" i="127"/>
  <c r="P2653" i="127"/>
  <c r="O2654" i="127"/>
  <c r="P2654" i="127"/>
  <c r="O2655" i="127"/>
  <c r="P2655" i="127"/>
  <c r="O2656" i="127"/>
  <c r="P2656" i="127"/>
  <c r="O2657" i="127"/>
  <c r="P2657" i="127"/>
  <c r="O2658" i="127"/>
  <c r="P2658" i="127"/>
  <c r="O2659" i="127"/>
  <c r="P2659" i="127"/>
  <c r="O2660" i="127"/>
  <c r="P2660" i="127"/>
  <c r="O2661" i="127"/>
  <c r="P2661" i="127"/>
  <c r="O2662" i="127"/>
  <c r="P2662" i="127"/>
  <c r="O2663" i="127"/>
  <c r="P2663" i="127"/>
  <c r="O2664" i="127"/>
  <c r="P2664" i="127"/>
  <c r="O2665" i="127"/>
  <c r="P2665" i="127"/>
  <c r="O2666" i="127"/>
  <c r="P2666" i="127"/>
  <c r="O2667" i="127"/>
  <c r="P2667" i="127"/>
  <c r="O2668" i="127"/>
  <c r="P2668" i="127"/>
  <c r="O2669" i="127"/>
  <c r="P2669" i="127"/>
  <c r="O2670" i="127"/>
  <c r="P2670" i="127"/>
  <c r="O2671" i="127"/>
  <c r="P2671" i="127"/>
  <c r="O2672" i="127"/>
  <c r="P2672" i="127"/>
  <c r="O2673" i="127"/>
  <c r="P2673" i="127"/>
  <c r="O2674" i="127"/>
  <c r="P2674" i="127"/>
  <c r="O2675" i="127"/>
  <c r="P2675" i="127"/>
  <c r="O2676" i="127"/>
  <c r="P2676" i="127"/>
  <c r="O2677" i="127"/>
  <c r="P2677" i="127"/>
  <c r="O2678" i="127"/>
  <c r="P2678" i="127"/>
  <c r="O2679" i="127"/>
  <c r="P2679" i="127"/>
  <c r="O2680" i="127"/>
  <c r="P2680" i="127"/>
  <c r="O2681" i="127"/>
  <c r="P2681" i="127"/>
  <c r="O2682" i="127"/>
  <c r="P2682" i="127"/>
  <c r="O2683" i="127"/>
  <c r="P2683" i="127"/>
  <c r="O2684" i="127"/>
  <c r="P2684" i="127"/>
  <c r="O2685" i="127"/>
  <c r="P2685" i="127"/>
  <c r="O2686" i="127"/>
  <c r="P2686" i="127"/>
  <c r="O2687" i="127"/>
  <c r="P2687" i="127"/>
  <c r="O2688" i="127"/>
  <c r="P2688" i="127"/>
  <c r="O2689" i="127"/>
  <c r="P2689" i="127"/>
  <c r="O2690" i="127"/>
  <c r="P2690" i="127"/>
  <c r="O2691" i="127"/>
  <c r="P2691" i="127"/>
  <c r="O2692" i="127"/>
  <c r="P2692" i="127"/>
  <c r="O2693" i="127"/>
  <c r="P2693" i="127"/>
  <c r="O2694" i="127"/>
  <c r="P2694" i="127"/>
  <c r="O2695" i="127"/>
  <c r="P2695" i="127"/>
  <c r="O2696" i="127"/>
  <c r="P2696" i="127"/>
  <c r="O2697" i="127"/>
  <c r="P2697" i="127"/>
  <c r="O2698" i="127"/>
  <c r="P2698" i="127"/>
  <c r="O2699" i="127"/>
  <c r="P2699" i="127"/>
  <c r="O2700" i="127"/>
  <c r="P2700" i="127"/>
  <c r="O2701" i="127"/>
  <c r="P2701" i="127"/>
  <c r="O2702" i="127"/>
  <c r="P2702" i="127"/>
  <c r="O2703" i="127"/>
  <c r="P2703" i="127"/>
  <c r="O2704" i="127"/>
  <c r="P2704" i="127"/>
  <c r="O2705" i="127"/>
  <c r="P2705" i="127"/>
  <c r="O2706" i="127"/>
  <c r="P2706" i="127"/>
  <c r="O2707" i="127"/>
  <c r="P2707" i="127"/>
  <c r="O2708" i="127"/>
  <c r="P2708" i="127"/>
  <c r="O2709" i="127"/>
  <c r="P2709" i="127"/>
  <c r="O2710" i="127"/>
  <c r="P2710" i="127"/>
  <c r="O2711" i="127"/>
  <c r="P2711" i="127"/>
  <c r="O2712" i="127"/>
  <c r="P2712" i="127"/>
  <c r="O2713" i="127"/>
  <c r="P2713" i="127"/>
  <c r="O2714" i="127"/>
  <c r="P2714" i="127"/>
  <c r="O2715" i="127"/>
  <c r="P2715" i="127"/>
  <c r="O2716" i="127"/>
  <c r="P2716" i="127"/>
  <c r="O2717" i="127"/>
  <c r="P2717" i="127"/>
  <c r="O2718" i="127"/>
  <c r="P2718" i="127"/>
  <c r="O2719" i="127"/>
  <c r="P2719" i="127"/>
  <c r="O2720" i="127"/>
  <c r="P2720" i="127"/>
  <c r="O2721" i="127"/>
  <c r="P2721" i="127"/>
  <c r="O2722" i="127"/>
  <c r="P2722" i="127"/>
  <c r="O2723" i="127"/>
  <c r="P2723" i="127"/>
  <c r="O2724" i="127"/>
  <c r="P2724" i="127"/>
  <c r="O2725" i="127"/>
  <c r="P2725" i="127"/>
  <c r="O2726" i="127"/>
  <c r="P2726" i="127"/>
  <c r="O2727" i="127"/>
  <c r="P2727" i="127"/>
  <c r="O2728" i="127"/>
  <c r="P2728" i="127"/>
  <c r="O2729" i="127"/>
  <c r="P2729" i="127"/>
  <c r="O2730" i="127"/>
  <c r="P2730" i="127"/>
  <c r="O2731" i="127"/>
  <c r="P2731" i="127"/>
  <c r="O2732" i="127"/>
  <c r="P2732" i="127"/>
  <c r="O2733" i="127"/>
  <c r="P2733" i="127"/>
  <c r="O2734" i="127"/>
  <c r="P2734" i="127"/>
  <c r="O2735" i="127"/>
  <c r="P2735" i="127"/>
  <c r="O2736" i="127"/>
  <c r="P2736" i="127"/>
  <c r="O2737" i="127"/>
  <c r="P2737" i="127"/>
  <c r="O2738" i="127"/>
  <c r="P2738" i="127"/>
  <c r="O2739" i="127"/>
  <c r="P2739" i="127"/>
  <c r="O2740" i="127"/>
  <c r="P2740" i="127"/>
  <c r="O2741" i="127"/>
  <c r="P2741" i="127"/>
  <c r="O2742" i="127"/>
  <c r="P2742" i="127"/>
  <c r="O2743" i="127"/>
  <c r="P2743" i="127"/>
  <c r="O2744" i="127"/>
  <c r="P2744" i="127"/>
  <c r="O2745" i="127"/>
  <c r="P2745" i="127"/>
  <c r="O2746" i="127"/>
  <c r="P2746" i="127"/>
  <c r="O2747" i="127"/>
  <c r="P2747" i="127"/>
  <c r="O2748" i="127"/>
  <c r="P2748" i="127"/>
  <c r="O2749" i="127"/>
  <c r="P2749" i="127"/>
  <c r="O2750" i="127"/>
  <c r="P2750" i="127"/>
  <c r="O2751" i="127"/>
  <c r="P2751" i="127"/>
  <c r="O2752" i="127"/>
  <c r="P2752" i="127"/>
  <c r="O2753" i="127"/>
  <c r="P2753" i="127"/>
  <c r="O2754" i="127"/>
  <c r="P2754" i="127"/>
  <c r="O2755" i="127"/>
  <c r="P2755" i="127"/>
  <c r="O2756" i="127"/>
  <c r="P2756" i="127"/>
  <c r="O2757" i="127"/>
  <c r="P2757" i="127"/>
  <c r="O2758" i="127"/>
  <c r="P2758" i="127"/>
  <c r="O2759" i="127"/>
  <c r="P2759" i="127"/>
  <c r="O2760" i="127"/>
  <c r="P2760" i="127"/>
  <c r="O2761" i="127"/>
  <c r="P2761" i="127"/>
  <c r="O2762" i="127"/>
  <c r="P2762" i="127"/>
  <c r="O2763" i="127"/>
  <c r="P2763" i="127"/>
  <c r="O2764" i="127"/>
  <c r="P2764" i="127"/>
  <c r="O2765" i="127"/>
  <c r="P2765" i="127"/>
  <c r="O2766" i="127"/>
  <c r="P2766" i="127"/>
  <c r="O2767" i="127"/>
  <c r="P2767" i="127"/>
  <c r="O2768" i="127"/>
  <c r="P2768" i="127"/>
  <c r="O2769" i="127"/>
  <c r="P2769" i="127"/>
  <c r="O2770" i="127"/>
  <c r="P2770" i="127"/>
  <c r="O2771" i="127"/>
  <c r="P2771" i="127"/>
  <c r="O2772" i="127"/>
  <c r="P2772" i="127"/>
  <c r="O2773" i="127"/>
  <c r="P2773" i="127"/>
  <c r="O2774" i="127"/>
  <c r="P2774" i="127"/>
  <c r="O2775" i="127"/>
  <c r="P2775" i="127"/>
  <c r="O2776" i="127"/>
  <c r="P2776" i="127"/>
  <c r="O2777" i="127"/>
  <c r="P2777" i="127"/>
  <c r="O2778" i="127"/>
  <c r="P2778" i="127"/>
  <c r="O2779" i="127"/>
  <c r="P2779" i="127"/>
  <c r="O2780" i="127"/>
  <c r="P2780" i="127"/>
  <c r="O2781" i="127"/>
  <c r="P2781" i="127"/>
  <c r="O2782" i="127"/>
  <c r="P2782" i="127"/>
  <c r="O2783" i="127"/>
  <c r="P2783" i="127"/>
  <c r="O2784" i="127"/>
  <c r="P2784" i="127"/>
  <c r="O2785" i="127"/>
  <c r="P2785" i="127"/>
  <c r="O2786" i="127"/>
  <c r="P2786" i="127"/>
  <c r="O2787" i="127"/>
  <c r="P2787" i="127"/>
  <c r="O2788" i="127"/>
  <c r="P2788" i="127"/>
  <c r="O2789" i="127"/>
  <c r="P2789" i="127"/>
  <c r="O2790" i="127"/>
  <c r="P2790" i="127"/>
  <c r="O2791" i="127"/>
  <c r="P2791" i="127"/>
  <c r="O2792" i="127"/>
  <c r="P2792" i="127"/>
  <c r="O2793" i="127"/>
  <c r="P2793" i="127"/>
  <c r="O2794" i="127"/>
  <c r="P2794" i="127"/>
  <c r="O2795" i="127"/>
  <c r="P2795" i="127"/>
  <c r="O2796" i="127"/>
  <c r="P2796" i="127"/>
  <c r="O2797" i="127"/>
  <c r="P2797" i="127"/>
  <c r="O2798" i="127"/>
  <c r="P2798" i="127"/>
  <c r="O2799" i="127"/>
  <c r="P2799" i="127"/>
  <c r="O2800" i="127"/>
  <c r="P2800" i="127"/>
  <c r="O2801" i="127"/>
  <c r="P2801" i="127"/>
  <c r="O2802" i="127"/>
  <c r="P2802" i="127"/>
  <c r="O2803" i="127"/>
  <c r="P2803" i="127"/>
  <c r="O2804" i="127"/>
  <c r="P2804" i="127"/>
  <c r="O2805" i="127"/>
  <c r="P2805" i="127"/>
  <c r="O2806" i="127"/>
  <c r="P2806" i="127"/>
  <c r="O2807" i="127"/>
  <c r="P2807" i="127"/>
  <c r="O2808" i="127"/>
  <c r="P2808" i="127"/>
  <c r="O2809" i="127"/>
  <c r="P2809" i="127"/>
  <c r="O2810" i="127"/>
  <c r="P2810" i="127"/>
  <c r="O2811" i="127"/>
  <c r="P2811" i="127"/>
  <c r="O2812" i="127"/>
  <c r="P2812" i="127"/>
  <c r="O2813" i="127"/>
  <c r="P2813" i="127"/>
  <c r="O2814" i="127"/>
  <c r="P2814" i="127"/>
  <c r="O2815" i="127"/>
  <c r="P2815" i="127"/>
  <c r="O2816" i="127"/>
  <c r="P2816" i="127"/>
  <c r="O2817" i="127"/>
  <c r="P2817" i="127"/>
  <c r="O2818" i="127"/>
  <c r="P2818" i="127"/>
  <c r="O2819" i="127"/>
  <c r="P2819" i="127"/>
  <c r="O2820" i="127"/>
  <c r="P2820" i="127"/>
  <c r="O2821" i="127"/>
  <c r="P2821" i="127"/>
  <c r="O2822" i="127"/>
  <c r="P2822" i="127"/>
  <c r="O2823" i="127"/>
  <c r="P2823" i="127"/>
  <c r="O2824" i="127"/>
  <c r="P2824" i="127"/>
  <c r="O2825" i="127"/>
  <c r="P2825" i="127"/>
  <c r="O2826" i="127"/>
  <c r="P2826" i="127"/>
  <c r="O2827" i="127"/>
  <c r="P2827" i="127"/>
  <c r="O2828" i="127"/>
  <c r="P2828" i="127"/>
  <c r="O2829" i="127"/>
  <c r="P2829" i="127"/>
  <c r="O2830" i="127"/>
  <c r="P2830" i="127"/>
  <c r="O2831" i="127"/>
  <c r="P2831" i="127"/>
  <c r="O2832" i="127"/>
  <c r="P2832" i="127"/>
  <c r="O2833" i="127"/>
  <c r="P2833" i="127"/>
  <c r="O2834" i="127"/>
  <c r="P2834" i="127"/>
  <c r="O2835" i="127"/>
  <c r="P2835" i="127"/>
  <c r="O2836" i="127"/>
  <c r="P2836" i="127"/>
  <c r="O2837" i="127"/>
  <c r="P2837" i="127"/>
  <c r="O2838" i="127"/>
  <c r="P2838" i="127"/>
  <c r="O2839" i="127"/>
  <c r="P2839" i="127"/>
  <c r="O2840" i="127"/>
  <c r="P2840" i="127"/>
  <c r="O2841" i="127"/>
  <c r="P2841" i="127"/>
  <c r="O2842" i="127"/>
  <c r="P2842" i="127"/>
  <c r="O2843" i="127"/>
  <c r="P2843" i="127"/>
  <c r="O2844" i="127"/>
  <c r="P2844" i="127"/>
  <c r="O2845" i="127"/>
  <c r="P2845" i="127"/>
  <c r="O2846" i="127"/>
  <c r="P2846" i="127"/>
  <c r="O2847" i="127"/>
  <c r="P2847" i="127"/>
  <c r="O2848" i="127"/>
  <c r="P2848" i="127"/>
  <c r="O2849" i="127"/>
  <c r="P2849" i="127"/>
  <c r="O2850" i="127"/>
  <c r="P2850" i="127"/>
  <c r="O2851" i="127"/>
  <c r="P2851" i="127"/>
  <c r="O2852" i="127"/>
  <c r="P2852" i="127"/>
  <c r="O2853" i="127"/>
  <c r="P2853" i="127"/>
  <c r="O2854" i="127"/>
  <c r="P2854" i="127"/>
  <c r="O2855" i="127"/>
  <c r="P2855" i="127"/>
  <c r="O2856" i="127"/>
  <c r="P2856" i="127"/>
  <c r="O2857" i="127"/>
  <c r="P2857" i="127"/>
  <c r="O2858" i="127"/>
  <c r="P2858" i="127"/>
  <c r="O2859" i="127"/>
  <c r="P2859" i="127"/>
  <c r="O2860" i="127"/>
  <c r="P2860" i="127"/>
  <c r="O2861" i="127"/>
  <c r="P2861" i="127"/>
  <c r="O2862" i="127"/>
  <c r="P2862" i="127"/>
  <c r="O2863" i="127"/>
  <c r="P2863" i="127"/>
  <c r="O2864" i="127"/>
  <c r="P2864" i="127"/>
  <c r="O2865" i="127"/>
  <c r="P2865" i="127"/>
  <c r="O2866" i="127"/>
  <c r="P2866" i="127"/>
  <c r="O2867" i="127"/>
  <c r="P2867" i="127"/>
  <c r="O2868" i="127"/>
  <c r="P2868" i="127"/>
  <c r="O2869" i="127"/>
  <c r="P2869" i="127"/>
  <c r="O2870" i="127"/>
  <c r="P2870" i="127"/>
  <c r="O2871" i="127"/>
  <c r="P2871" i="127"/>
  <c r="O2872" i="127"/>
  <c r="P2872" i="127"/>
  <c r="O2873" i="127"/>
  <c r="P2873" i="127"/>
  <c r="O2874" i="127"/>
  <c r="P2874" i="127"/>
  <c r="O2875" i="127"/>
  <c r="P2875" i="127"/>
  <c r="O2876" i="127"/>
  <c r="P2876" i="127"/>
  <c r="O2877" i="127"/>
  <c r="P2877" i="127"/>
  <c r="O2878" i="127"/>
  <c r="P2878" i="127"/>
  <c r="O2879" i="127"/>
  <c r="P2879" i="127"/>
  <c r="O2880" i="127"/>
  <c r="P2880" i="127"/>
  <c r="O2881" i="127"/>
  <c r="P2881" i="127"/>
  <c r="O2882" i="127"/>
  <c r="P2882" i="127"/>
  <c r="O2883" i="127"/>
  <c r="P2883" i="127"/>
  <c r="O2884" i="127"/>
  <c r="P2884" i="127"/>
  <c r="O2885" i="127"/>
  <c r="P2885" i="127"/>
  <c r="O2886" i="127"/>
  <c r="P2886" i="127"/>
  <c r="O2887" i="127"/>
  <c r="P2887" i="127"/>
  <c r="O2888" i="127"/>
  <c r="P2888" i="127"/>
  <c r="O2889" i="127"/>
  <c r="P2889" i="127"/>
  <c r="O2890" i="127"/>
  <c r="P2890" i="127"/>
  <c r="O2891" i="127"/>
  <c r="P2891" i="127"/>
  <c r="O2892" i="127"/>
  <c r="P2892" i="127"/>
  <c r="O2893" i="127"/>
  <c r="P2893" i="127"/>
  <c r="O2894" i="127"/>
  <c r="P2894" i="127"/>
  <c r="O2895" i="127"/>
  <c r="P2895" i="127"/>
  <c r="O2896" i="127"/>
  <c r="P2896" i="127"/>
  <c r="O2897" i="127"/>
  <c r="P2897" i="127"/>
  <c r="O2898" i="127"/>
  <c r="P2898" i="127"/>
  <c r="O2899" i="127"/>
  <c r="P2899" i="127"/>
  <c r="O2900" i="127"/>
  <c r="P2900" i="127"/>
  <c r="O2901" i="127"/>
  <c r="P2901" i="127"/>
  <c r="O2902" i="127"/>
  <c r="P2902" i="127"/>
  <c r="O2903" i="127"/>
  <c r="P2903" i="127"/>
  <c r="O2904" i="127"/>
  <c r="P2904" i="127"/>
  <c r="O2905" i="127"/>
  <c r="P2905" i="127"/>
  <c r="O2906" i="127"/>
  <c r="P2906" i="127"/>
  <c r="O2907" i="127"/>
  <c r="P2907" i="127"/>
  <c r="O2908" i="127"/>
  <c r="P2908" i="127"/>
  <c r="O2909" i="127"/>
  <c r="P2909" i="127"/>
  <c r="O2910" i="127"/>
  <c r="P2910" i="127"/>
  <c r="O2911" i="127"/>
  <c r="P2911" i="127"/>
  <c r="O2912" i="127"/>
  <c r="P2912" i="127"/>
  <c r="O2913" i="127"/>
  <c r="P2913" i="127"/>
  <c r="O2914" i="127"/>
  <c r="P2914" i="127"/>
  <c r="O2915" i="127"/>
  <c r="P2915" i="127"/>
  <c r="O2916" i="127"/>
  <c r="P2916" i="127"/>
  <c r="O2917" i="127"/>
  <c r="P2917" i="127"/>
  <c r="O2918" i="127"/>
  <c r="P2918" i="127"/>
  <c r="O2919" i="127"/>
  <c r="P2919" i="127"/>
  <c r="O2920" i="127"/>
  <c r="P2920" i="127"/>
  <c r="O2921" i="127"/>
  <c r="P2921" i="127"/>
  <c r="O2922" i="127"/>
  <c r="P2922" i="127"/>
  <c r="O2923" i="127"/>
  <c r="P2923" i="127"/>
  <c r="O2924" i="127"/>
  <c r="P2924" i="127"/>
  <c r="O2925" i="127"/>
  <c r="P2925" i="127"/>
  <c r="O2926" i="127"/>
  <c r="P2926" i="127"/>
  <c r="O2927" i="127"/>
  <c r="P2927" i="127"/>
  <c r="O2928" i="127"/>
  <c r="P2928" i="127"/>
  <c r="O2929" i="127"/>
  <c r="P2929" i="127"/>
  <c r="O2930" i="127"/>
  <c r="P2930" i="127"/>
  <c r="O2931" i="127"/>
  <c r="P2931" i="127"/>
  <c r="O2932" i="127"/>
  <c r="P2932" i="127"/>
  <c r="O2933" i="127"/>
  <c r="P2933" i="127"/>
  <c r="O2934" i="127"/>
  <c r="P2934" i="127"/>
  <c r="O2935" i="127"/>
  <c r="P2935" i="127"/>
  <c r="O2936" i="127"/>
  <c r="P2936" i="127"/>
  <c r="O2937" i="127"/>
  <c r="P2937" i="127"/>
  <c r="O2938" i="127"/>
  <c r="P2938" i="127"/>
  <c r="O2939" i="127"/>
  <c r="P2939" i="127"/>
  <c r="O2940" i="127"/>
  <c r="P2940" i="127"/>
  <c r="O2941" i="127"/>
  <c r="P2941" i="127"/>
  <c r="O2942" i="127"/>
  <c r="P2942" i="127"/>
  <c r="O2943" i="127"/>
  <c r="P2943" i="127"/>
  <c r="O2944" i="127"/>
  <c r="P2944" i="127"/>
  <c r="O2945" i="127"/>
  <c r="P2945" i="127"/>
  <c r="O2946" i="127"/>
  <c r="P2946" i="127"/>
  <c r="O2947" i="127"/>
  <c r="P2947" i="127"/>
  <c r="O2948" i="127"/>
  <c r="P2948" i="127"/>
  <c r="O2949" i="127"/>
  <c r="P2949" i="127"/>
  <c r="O2950" i="127"/>
  <c r="P2950" i="127"/>
  <c r="O2951" i="127"/>
  <c r="P2951" i="127"/>
  <c r="O2952" i="127"/>
  <c r="P2952" i="127"/>
  <c r="O2953" i="127"/>
  <c r="P2953" i="127"/>
  <c r="O2954" i="127"/>
  <c r="P2954" i="127"/>
  <c r="O2955" i="127"/>
  <c r="P2955" i="127"/>
  <c r="O2956" i="127"/>
  <c r="P2956" i="127"/>
  <c r="O2957" i="127"/>
  <c r="P2957" i="127"/>
  <c r="O2958" i="127"/>
  <c r="P2958" i="127"/>
  <c r="O2959" i="127"/>
  <c r="P2959" i="127"/>
  <c r="O2960" i="127"/>
  <c r="P2960" i="127"/>
  <c r="O2961" i="127"/>
  <c r="P2961" i="127"/>
  <c r="O2962" i="127"/>
  <c r="P2962" i="127"/>
  <c r="O2963" i="127"/>
  <c r="P2963" i="127"/>
  <c r="O2964" i="127"/>
  <c r="P2964" i="127"/>
  <c r="O2965" i="127"/>
  <c r="P2965" i="127"/>
  <c r="O2966" i="127"/>
  <c r="P2966" i="127"/>
  <c r="O2967" i="127"/>
  <c r="P2967" i="127"/>
  <c r="O2968" i="127"/>
  <c r="P2968" i="127"/>
  <c r="O2969" i="127"/>
  <c r="P2969" i="127"/>
  <c r="O2970" i="127"/>
  <c r="P2970" i="127"/>
  <c r="O2971" i="127"/>
  <c r="P2971" i="127"/>
  <c r="O2972" i="127"/>
  <c r="P2972" i="127"/>
  <c r="O2973" i="127"/>
  <c r="P2973" i="127"/>
  <c r="O2974" i="127"/>
  <c r="P2974" i="127"/>
  <c r="O2975" i="127"/>
  <c r="P2975" i="127"/>
  <c r="O2976" i="127"/>
  <c r="P2976" i="127"/>
  <c r="O2977" i="127"/>
  <c r="P2977" i="127"/>
  <c r="O2978" i="127"/>
  <c r="P2978" i="127"/>
  <c r="O2979" i="127"/>
  <c r="P2979" i="127"/>
  <c r="O2980" i="127"/>
  <c r="P2980" i="127"/>
  <c r="O2981" i="127"/>
  <c r="P2981" i="127"/>
  <c r="O2982" i="127"/>
  <c r="P2982" i="127"/>
  <c r="O2983" i="127"/>
  <c r="P2983" i="127"/>
  <c r="O2984" i="127"/>
  <c r="P2984" i="127"/>
  <c r="O2985" i="127"/>
  <c r="P2985" i="127"/>
  <c r="O2986" i="127"/>
  <c r="P2986" i="127"/>
  <c r="O2987" i="127"/>
  <c r="P2987" i="127"/>
  <c r="O2988" i="127"/>
  <c r="P2988" i="127"/>
  <c r="O2989" i="127"/>
  <c r="P2989" i="127"/>
  <c r="O2990" i="127"/>
  <c r="P2990" i="127"/>
  <c r="O2991" i="127"/>
  <c r="P2991" i="127"/>
  <c r="O2992" i="127"/>
  <c r="P2992" i="127"/>
  <c r="O2993" i="127"/>
  <c r="P2993" i="127"/>
  <c r="O2994" i="127"/>
  <c r="P2994" i="127"/>
  <c r="O2995" i="127"/>
  <c r="P2995" i="127"/>
  <c r="O2996" i="127"/>
  <c r="P2996" i="127"/>
  <c r="O2997" i="127"/>
  <c r="P2997" i="127"/>
  <c r="O2998" i="127"/>
  <c r="P2998" i="127"/>
  <c r="O2999" i="127"/>
  <c r="P2999" i="127"/>
  <c r="O3000" i="127"/>
  <c r="P3000" i="127"/>
  <c r="O3001" i="127"/>
  <c r="P3001" i="127"/>
  <c r="O3002" i="127"/>
  <c r="P3002" i="127"/>
  <c r="O3003" i="127"/>
  <c r="P3003" i="127"/>
  <c r="O3004" i="127"/>
  <c r="P3004" i="127"/>
  <c r="O3005" i="127"/>
  <c r="P3005" i="127"/>
  <c r="O3006" i="127"/>
  <c r="P3006" i="127"/>
  <c r="O3007" i="127"/>
  <c r="P3007" i="127"/>
  <c r="O3008" i="127"/>
  <c r="P3008" i="127"/>
  <c r="O3009" i="127"/>
  <c r="P3009" i="127"/>
  <c r="O3010" i="127"/>
  <c r="P3010" i="127"/>
  <c r="O3011" i="127"/>
  <c r="P3011" i="127"/>
  <c r="O3012" i="127"/>
  <c r="P3012" i="127"/>
  <c r="O3013" i="127"/>
  <c r="P3013" i="127"/>
  <c r="O3014" i="127"/>
  <c r="P3014" i="127"/>
  <c r="O3015" i="127"/>
  <c r="P3015" i="127"/>
  <c r="O3016" i="127"/>
  <c r="P3016" i="127"/>
  <c r="O3017" i="127"/>
  <c r="P3017" i="127"/>
  <c r="O3018" i="127"/>
  <c r="P3018" i="127"/>
  <c r="O3019" i="127"/>
  <c r="P3019" i="127"/>
  <c r="O3020" i="127"/>
  <c r="P3020" i="127"/>
  <c r="O3021" i="127"/>
  <c r="P3021" i="127"/>
  <c r="O3022" i="127"/>
  <c r="P3022" i="127"/>
  <c r="O3023" i="127"/>
  <c r="P3023" i="127"/>
  <c r="O3024" i="127"/>
  <c r="P3024" i="127"/>
  <c r="O3025" i="127"/>
  <c r="P3025" i="127"/>
  <c r="O3026" i="127"/>
  <c r="P3026" i="127"/>
  <c r="O3027" i="127"/>
  <c r="P3027" i="127"/>
  <c r="O3028" i="127"/>
  <c r="P3028" i="127"/>
  <c r="O3029" i="127"/>
  <c r="P3029" i="127"/>
  <c r="O3030" i="127"/>
  <c r="P3030" i="127"/>
  <c r="O3031" i="127"/>
  <c r="P3031" i="127"/>
  <c r="O3032" i="127"/>
  <c r="P3032" i="127"/>
  <c r="O3033" i="127"/>
  <c r="P3033" i="127"/>
  <c r="O3034" i="127"/>
  <c r="P3034" i="127"/>
  <c r="O3035" i="127"/>
  <c r="P3035" i="127"/>
  <c r="O3036" i="127"/>
  <c r="P3036" i="127"/>
  <c r="O3037" i="127"/>
  <c r="P3037" i="127"/>
  <c r="O3038" i="127"/>
  <c r="P3038" i="127"/>
  <c r="O3039" i="127"/>
  <c r="P3039" i="127"/>
  <c r="O3040" i="127"/>
  <c r="P3040" i="127"/>
  <c r="O3041" i="127"/>
  <c r="P3041" i="127"/>
  <c r="O3042" i="127"/>
  <c r="P3042" i="127"/>
  <c r="O3043" i="127"/>
  <c r="P3043" i="127"/>
  <c r="O3044" i="127"/>
  <c r="P3044" i="127"/>
  <c r="O3045" i="127"/>
  <c r="P3045" i="127"/>
  <c r="O3046" i="127"/>
  <c r="P3046" i="127"/>
  <c r="O3047" i="127"/>
  <c r="P3047" i="127"/>
  <c r="O3048" i="127"/>
  <c r="P3048" i="127"/>
  <c r="O3049" i="127"/>
  <c r="P3049" i="127"/>
  <c r="O3050" i="127"/>
  <c r="P3050" i="127"/>
  <c r="O3051" i="127"/>
  <c r="P3051" i="127"/>
  <c r="O3052" i="127"/>
  <c r="P3052" i="127"/>
  <c r="O3053" i="127"/>
  <c r="P3053" i="127"/>
  <c r="O3054" i="127"/>
  <c r="P3054" i="127"/>
  <c r="O3055" i="127"/>
  <c r="P3055" i="127"/>
  <c r="O3056" i="127"/>
  <c r="P3056" i="127"/>
  <c r="O3057" i="127"/>
  <c r="P3057" i="127"/>
  <c r="O3058" i="127"/>
  <c r="P3058" i="127"/>
  <c r="O3059" i="127"/>
  <c r="P3059" i="127"/>
  <c r="O3060" i="127"/>
  <c r="P3060" i="127"/>
  <c r="O3061" i="127"/>
  <c r="P3061" i="127"/>
  <c r="O3062" i="127"/>
  <c r="P3062" i="127"/>
  <c r="O3063" i="127"/>
  <c r="P3063" i="127"/>
  <c r="O3064" i="127"/>
  <c r="P3064" i="127"/>
  <c r="O3065" i="127"/>
  <c r="P3065" i="127"/>
  <c r="O3066" i="127"/>
  <c r="P3066" i="127"/>
  <c r="O3067" i="127"/>
  <c r="P3067" i="127"/>
  <c r="O3068" i="127"/>
  <c r="P3068" i="127"/>
  <c r="O3069" i="127"/>
  <c r="P3069" i="127"/>
  <c r="O3070" i="127"/>
  <c r="P3070" i="127"/>
  <c r="O3071" i="127"/>
  <c r="P3071" i="127"/>
  <c r="O3072" i="127"/>
  <c r="P3072" i="127"/>
  <c r="O3073" i="127"/>
  <c r="P3073" i="127"/>
  <c r="O3074" i="127"/>
  <c r="P3074" i="127"/>
  <c r="O3075" i="127"/>
  <c r="P3075" i="127"/>
  <c r="O3076" i="127"/>
  <c r="P3076" i="127"/>
  <c r="O3077" i="127"/>
  <c r="P3077" i="127"/>
  <c r="O3078" i="127"/>
  <c r="P3078" i="127"/>
  <c r="O3079" i="127"/>
  <c r="P3079" i="127"/>
  <c r="O3080" i="127"/>
  <c r="P3080" i="127"/>
  <c r="O3081" i="127"/>
  <c r="P3081" i="127"/>
  <c r="O3082" i="127"/>
  <c r="P3082" i="127"/>
  <c r="O3083" i="127"/>
  <c r="P3083" i="127"/>
  <c r="O3084" i="127"/>
  <c r="P3084" i="127"/>
  <c r="O3085" i="127"/>
  <c r="P3085" i="127"/>
  <c r="O3086" i="127"/>
  <c r="P3086" i="127"/>
  <c r="O3087" i="127"/>
  <c r="P3087" i="127"/>
  <c r="O3088" i="127"/>
  <c r="P3088" i="127"/>
  <c r="O3089" i="127"/>
  <c r="P3089" i="127"/>
  <c r="O3090" i="127"/>
  <c r="P3090" i="127"/>
  <c r="O3091" i="127"/>
  <c r="P3091" i="127"/>
  <c r="O3092" i="127"/>
  <c r="P3092" i="127"/>
  <c r="O3093" i="127"/>
  <c r="P3093" i="127"/>
  <c r="O3094" i="127"/>
  <c r="P3094" i="127"/>
  <c r="O3095" i="127"/>
  <c r="P3095" i="127"/>
  <c r="O3096" i="127"/>
  <c r="P3096" i="127"/>
  <c r="O3097" i="127"/>
  <c r="P3097" i="127"/>
  <c r="O3098" i="127"/>
  <c r="P3098" i="127"/>
  <c r="O3099" i="127"/>
  <c r="P3099" i="127"/>
  <c r="O3100" i="127"/>
  <c r="P3100" i="127"/>
  <c r="O3101" i="127"/>
  <c r="P3101" i="127"/>
  <c r="O3102" i="127"/>
  <c r="P3102" i="127"/>
  <c r="O3103" i="127"/>
  <c r="P3103" i="127"/>
  <c r="O3104" i="127"/>
  <c r="P3104" i="127"/>
  <c r="O3105" i="127"/>
  <c r="P3105" i="127"/>
  <c r="O3106" i="127"/>
  <c r="P3106" i="127"/>
  <c r="O3107" i="127"/>
  <c r="P3107" i="127"/>
  <c r="O3108" i="127"/>
  <c r="P3108" i="127"/>
  <c r="O3109" i="127"/>
  <c r="P3109" i="127"/>
  <c r="O3110" i="127"/>
  <c r="P3110" i="127"/>
  <c r="O3111" i="127"/>
  <c r="P3111" i="127"/>
  <c r="O3112" i="127"/>
  <c r="P3112" i="127"/>
  <c r="O3113" i="127"/>
  <c r="P3113" i="127"/>
  <c r="O3114" i="127"/>
  <c r="P3114" i="127"/>
  <c r="O3115" i="127"/>
  <c r="P3115" i="127"/>
  <c r="O3116" i="127"/>
  <c r="P3116" i="127"/>
  <c r="O3117" i="127"/>
  <c r="P3117" i="127"/>
  <c r="O3118" i="127"/>
  <c r="P3118" i="127"/>
  <c r="O3119" i="127"/>
  <c r="P3119" i="127"/>
  <c r="O3120" i="127"/>
  <c r="P3120" i="127"/>
  <c r="O3121" i="127"/>
  <c r="P3121" i="127"/>
  <c r="O3122" i="127"/>
  <c r="P3122" i="127"/>
  <c r="O3123" i="127"/>
  <c r="P3123" i="127"/>
  <c r="O3124" i="127"/>
  <c r="P3124" i="127"/>
  <c r="O3125" i="127"/>
  <c r="P3125" i="127"/>
  <c r="O3126" i="127"/>
  <c r="P3126" i="127"/>
  <c r="O3127" i="127"/>
  <c r="P3127" i="127"/>
  <c r="O3128" i="127"/>
  <c r="P3128" i="127"/>
  <c r="O3129" i="127"/>
  <c r="P3129" i="127"/>
  <c r="O3130" i="127"/>
  <c r="P3130" i="127"/>
  <c r="O3131" i="127"/>
  <c r="P3131" i="127"/>
  <c r="O3132" i="127"/>
  <c r="P3132" i="127"/>
  <c r="O3133" i="127"/>
  <c r="P3133" i="127"/>
  <c r="O3134" i="127"/>
  <c r="P3134" i="127"/>
  <c r="O3135" i="127"/>
  <c r="P3135" i="127"/>
  <c r="O3136" i="127"/>
  <c r="P3136" i="127"/>
  <c r="O3137" i="127"/>
  <c r="P3137" i="127"/>
  <c r="O3138" i="127"/>
  <c r="P3138" i="127"/>
  <c r="O3139" i="127"/>
  <c r="P3139" i="127"/>
  <c r="O3140" i="127"/>
  <c r="P3140" i="127"/>
  <c r="O3141" i="127"/>
  <c r="P3141" i="127"/>
  <c r="O3142" i="127"/>
  <c r="P3142" i="127"/>
  <c r="O3143" i="127"/>
  <c r="P3143" i="127"/>
  <c r="O3144" i="127"/>
  <c r="P3144" i="127"/>
  <c r="O3145" i="127"/>
  <c r="P3145" i="127"/>
  <c r="O3146" i="127"/>
  <c r="P3146" i="127"/>
  <c r="O3147" i="127"/>
  <c r="P3147" i="127"/>
  <c r="O3148" i="127"/>
  <c r="P3148" i="127"/>
  <c r="O3149" i="127"/>
  <c r="P3149" i="127"/>
  <c r="O3150" i="127"/>
  <c r="P3150" i="127"/>
  <c r="O3151" i="127"/>
  <c r="P3151" i="127"/>
  <c r="O3152" i="127"/>
  <c r="P3152" i="127"/>
  <c r="O3153" i="127"/>
  <c r="P3153" i="127"/>
  <c r="O3154" i="127"/>
  <c r="P3154" i="127"/>
  <c r="O3155" i="127"/>
  <c r="P3155" i="127"/>
  <c r="O3156" i="127"/>
  <c r="P3156" i="127"/>
  <c r="O3157" i="127"/>
  <c r="P3157" i="127"/>
  <c r="O3158" i="127"/>
  <c r="P3158" i="127"/>
  <c r="O3159" i="127"/>
  <c r="P3159" i="127"/>
  <c r="O3160" i="127"/>
  <c r="P3160" i="127"/>
  <c r="O3161" i="127"/>
  <c r="P3161" i="127"/>
  <c r="O3162" i="127"/>
  <c r="P3162" i="127"/>
  <c r="O3163" i="127"/>
  <c r="P3163" i="127"/>
  <c r="O3164" i="127"/>
  <c r="P3164" i="127"/>
  <c r="O3165" i="127"/>
  <c r="P3165" i="127"/>
  <c r="O3166" i="127"/>
  <c r="P3166" i="127"/>
  <c r="O3167" i="127"/>
  <c r="P3167" i="127"/>
  <c r="O3168" i="127"/>
  <c r="P3168" i="127"/>
  <c r="O3169" i="127"/>
  <c r="P3169" i="127"/>
  <c r="O3170" i="127"/>
  <c r="P3170" i="127"/>
  <c r="O3171" i="127"/>
  <c r="P3171" i="127"/>
  <c r="O3172" i="127"/>
  <c r="P3172" i="127"/>
  <c r="O3173" i="127"/>
  <c r="P3173" i="127"/>
  <c r="O3174" i="127"/>
  <c r="P3174" i="127"/>
  <c r="O3175" i="127"/>
  <c r="P3175" i="127"/>
  <c r="O3176" i="127"/>
  <c r="P3176" i="127"/>
  <c r="O3177" i="127"/>
  <c r="P3177" i="127"/>
  <c r="O3178" i="127"/>
  <c r="P3178" i="127"/>
  <c r="O3179" i="127"/>
  <c r="P3179" i="127"/>
  <c r="O3180" i="127"/>
  <c r="P3180" i="127"/>
  <c r="O3181" i="127"/>
  <c r="P3181" i="127"/>
  <c r="O3182" i="127"/>
  <c r="P3182" i="127"/>
  <c r="O3183" i="127"/>
  <c r="P3183" i="127"/>
  <c r="O3184" i="127"/>
  <c r="P3184" i="127"/>
  <c r="O3185" i="127"/>
  <c r="P3185" i="127"/>
  <c r="O3186" i="127"/>
  <c r="P3186" i="127"/>
  <c r="O3187" i="127"/>
  <c r="P3187" i="127"/>
  <c r="O3188" i="127"/>
  <c r="P3188" i="127"/>
  <c r="O3189" i="127"/>
  <c r="P3189" i="127"/>
  <c r="O3190" i="127"/>
  <c r="P3190" i="127"/>
  <c r="O3191" i="127"/>
  <c r="P3191" i="127"/>
  <c r="O3192" i="127"/>
  <c r="P3192" i="127"/>
  <c r="O3193" i="127"/>
  <c r="P3193" i="127"/>
  <c r="O3194" i="127"/>
  <c r="P3194" i="127"/>
  <c r="O3195" i="127"/>
  <c r="P3195" i="127"/>
  <c r="O3196" i="127"/>
  <c r="P3196" i="127"/>
  <c r="O3197" i="127"/>
  <c r="P3197" i="127"/>
  <c r="O3198" i="127"/>
  <c r="P3198" i="127"/>
  <c r="O3199" i="127"/>
  <c r="P3199" i="127"/>
  <c r="O3200" i="127"/>
  <c r="P3200" i="127"/>
  <c r="O3201" i="127"/>
  <c r="P3201" i="127"/>
  <c r="O3202" i="127"/>
  <c r="P3202" i="127"/>
  <c r="O3203" i="127"/>
  <c r="P3203" i="127"/>
  <c r="O3204" i="127"/>
  <c r="P3204" i="127"/>
  <c r="O3205" i="127"/>
  <c r="P3205" i="127"/>
  <c r="O3206" i="127"/>
  <c r="P3206" i="127"/>
  <c r="O3207" i="127"/>
  <c r="P3207" i="127"/>
  <c r="O3208" i="127"/>
  <c r="P3208" i="127"/>
  <c r="O3209" i="127"/>
  <c r="P3209" i="127"/>
  <c r="O3210" i="127"/>
  <c r="P3210" i="127"/>
  <c r="O3211" i="127"/>
  <c r="P3211" i="127"/>
  <c r="O3212" i="127"/>
  <c r="P3212" i="127"/>
  <c r="O3213" i="127"/>
  <c r="P3213" i="127"/>
  <c r="O3214" i="127"/>
  <c r="P3214" i="127"/>
  <c r="O3215" i="127"/>
  <c r="P3215" i="127"/>
  <c r="O3216" i="127"/>
  <c r="P3216" i="127"/>
  <c r="O3217" i="127"/>
  <c r="P3217" i="127"/>
  <c r="O3218" i="127"/>
  <c r="P3218" i="127"/>
  <c r="O3219" i="127"/>
  <c r="P3219" i="127"/>
  <c r="O3220" i="127"/>
  <c r="P3220" i="127"/>
  <c r="O3221" i="127"/>
  <c r="P3221" i="127"/>
  <c r="O3222" i="127"/>
  <c r="P3222" i="127"/>
  <c r="O3223" i="127"/>
  <c r="P3223" i="127"/>
  <c r="O3224" i="127"/>
  <c r="P3224" i="127"/>
  <c r="O3225" i="127"/>
  <c r="P3225" i="127"/>
  <c r="O3226" i="127"/>
  <c r="P3226" i="127"/>
  <c r="O3227" i="127"/>
  <c r="P3227" i="127"/>
  <c r="O3228" i="127"/>
  <c r="P3228" i="127"/>
  <c r="O3229" i="127"/>
  <c r="P3229" i="127"/>
  <c r="O3230" i="127"/>
  <c r="P3230" i="127"/>
  <c r="O3231" i="127"/>
  <c r="P3231" i="127"/>
  <c r="O3232" i="127"/>
  <c r="P3232" i="127"/>
  <c r="O3233" i="127"/>
  <c r="P3233" i="127"/>
  <c r="O3234" i="127"/>
  <c r="P3234" i="127"/>
  <c r="O3235" i="127"/>
  <c r="P3235" i="127"/>
  <c r="O3236" i="127"/>
  <c r="P3236" i="127"/>
  <c r="O3237" i="127"/>
  <c r="P3237" i="127"/>
  <c r="O3238" i="127"/>
  <c r="P3238" i="127"/>
  <c r="O3239" i="127"/>
  <c r="P3239" i="127"/>
  <c r="O3240" i="127"/>
  <c r="P3240" i="127"/>
  <c r="O3241" i="127"/>
  <c r="P3241" i="127"/>
  <c r="O3242" i="127"/>
  <c r="P3242" i="127"/>
  <c r="O3243" i="127"/>
  <c r="P3243" i="127"/>
  <c r="O3244" i="127"/>
  <c r="P3244" i="127"/>
  <c r="O3245" i="127"/>
  <c r="P3245" i="127"/>
  <c r="O3246" i="127"/>
  <c r="P3246" i="127"/>
  <c r="O3247" i="127"/>
  <c r="P3247" i="127"/>
  <c r="O3248" i="127"/>
  <c r="P3248" i="127"/>
  <c r="O3249" i="127"/>
  <c r="P3249" i="127"/>
  <c r="O3250" i="127"/>
  <c r="P3250" i="127"/>
  <c r="O3251" i="127"/>
  <c r="P3251" i="127"/>
  <c r="O3252" i="127"/>
  <c r="P3252" i="127"/>
  <c r="O3253" i="127"/>
  <c r="P3253" i="127"/>
  <c r="O3254" i="127"/>
  <c r="P3254" i="127"/>
  <c r="O3255" i="127"/>
  <c r="P3255" i="127"/>
  <c r="O3256" i="127"/>
  <c r="P3256" i="127"/>
  <c r="O3257" i="127"/>
  <c r="P3257" i="127"/>
  <c r="O3258" i="127"/>
  <c r="P3258" i="127"/>
  <c r="O3259" i="127"/>
  <c r="P3259" i="127"/>
  <c r="O3260" i="127"/>
  <c r="P3260" i="127"/>
  <c r="O3261" i="127"/>
  <c r="P3261" i="127"/>
  <c r="O3262" i="127"/>
  <c r="P3262" i="127"/>
  <c r="O3263" i="127"/>
  <c r="P3263" i="127"/>
  <c r="O3264" i="127"/>
  <c r="P3264" i="127"/>
  <c r="O3265" i="127"/>
  <c r="P3265" i="127"/>
  <c r="O3266" i="127"/>
  <c r="P3266" i="127"/>
  <c r="O3267" i="127"/>
  <c r="P3267" i="127"/>
  <c r="O3268" i="127"/>
  <c r="P3268" i="127"/>
  <c r="O3269" i="127"/>
  <c r="P3269" i="127"/>
  <c r="O3270" i="127"/>
  <c r="P3270" i="127"/>
  <c r="O3271" i="127"/>
  <c r="P3271" i="127"/>
  <c r="O3272" i="127"/>
  <c r="P3272" i="127"/>
  <c r="O3273" i="127"/>
  <c r="P3273" i="127"/>
  <c r="O3274" i="127"/>
  <c r="P3274" i="127"/>
  <c r="O3275" i="127"/>
  <c r="P3275" i="127"/>
  <c r="O3276" i="127"/>
  <c r="P3276" i="127"/>
  <c r="O3277" i="127"/>
  <c r="P3277" i="127"/>
  <c r="O3278" i="127"/>
  <c r="P3278" i="127"/>
  <c r="O3279" i="127"/>
  <c r="P3279" i="127"/>
  <c r="O3280" i="127"/>
  <c r="P3280" i="127"/>
  <c r="O3281" i="127"/>
  <c r="P3281" i="127"/>
  <c r="O3282" i="127"/>
  <c r="P3282" i="127"/>
  <c r="O3283" i="127"/>
  <c r="P3283" i="127"/>
  <c r="O3284" i="127"/>
  <c r="P3284" i="127"/>
  <c r="O3285" i="127"/>
  <c r="P3285" i="127"/>
  <c r="O3286" i="127"/>
  <c r="P3286" i="127"/>
  <c r="O3287" i="127"/>
  <c r="P3287" i="127"/>
  <c r="O3288" i="127"/>
  <c r="P3288" i="127"/>
  <c r="O3289" i="127"/>
  <c r="P3289" i="127"/>
  <c r="O3290" i="127"/>
  <c r="P3290" i="127"/>
  <c r="O3291" i="127"/>
  <c r="P3291" i="127"/>
  <c r="O3292" i="127"/>
  <c r="P3292" i="127"/>
  <c r="O3293" i="127"/>
  <c r="P3293" i="127"/>
  <c r="O3294" i="127"/>
  <c r="P3294" i="127"/>
  <c r="O3295" i="127"/>
  <c r="P3295" i="127"/>
  <c r="O3296" i="127"/>
  <c r="P3296" i="127"/>
  <c r="O3297" i="127"/>
  <c r="P3297" i="127"/>
  <c r="O3298" i="127"/>
  <c r="P3298" i="127"/>
  <c r="O3299" i="127"/>
  <c r="P3299" i="127"/>
  <c r="O3300" i="127"/>
  <c r="P3300" i="127"/>
  <c r="O3301" i="127"/>
  <c r="P3301" i="127"/>
  <c r="O3302" i="127"/>
  <c r="P3302" i="127"/>
  <c r="O3303" i="127"/>
  <c r="P3303" i="127"/>
  <c r="O3304" i="127"/>
  <c r="P3304" i="127"/>
  <c r="O3305" i="127"/>
  <c r="P3305" i="127"/>
  <c r="O3306" i="127"/>
  <c r="P3306" i="127"/>
  <c r="O3307" i="127"/>
  <c r="P3307" i="127"/>
  <c r="O3308" i="127"/>
  <c r="P3308" i="127"/>
  <c r="O3309" i="127"/>
  <c r="P3309" i="127"/>
  <c r="O3310" i="127"/>
  <c r="P3310" i="127"/>
  <c r="O3311" i="127"/>
  <c r="P3311" i="127"/>
  <c r="O3312" i="127"/>
  <c r="P3312" i="127"/>
  <c r="O3313" i="127"/>
  <c r="P3313" i="127"/>
  <c r="O3314" i="127"/>
  <c r="P3314" i="127"/>
  <c r="O3315" i="127"/>
  <c r="P3315" i="127"/>
  <c r="O3316" i="127"/>
  <c r="P3316" i="127"/>
  <c r="O3317" i="127"/>
  <c r="P3317" i="127"/>
  <c r="O3318" i="127"/>
  <c r="P3318" i="127"/>
  <c r="O3319" i="127"/>
  <c r="P3319" i="127"/>
  <c r="O3320" i="127"/>
  <c r="P3320" i="127"/>
  <c r="O3321" i="127"/>
  <c r="P3321" i="127"/>
  <c r="O3322" i="127"/>
  <c r="P3322" i="127"/>
  <c r="O3323" i="127"/>
  <c r="P3323" i="127"/>
  <c r="O3324" i="127"/>
  <c r="P3324" i="127"/>
  <c r="O3325" i="127"/>
  <c r="P3325" i="127"/>
  <c r="O3326" i="127"/>
  <c r="P3326" i="127"/>
  <c r="O3327" i="127"/>
  <c r="P3327" i="127"/>
  <c r="O3328" i="127"/>
  <c r="P3328" i="127"/>
  <c r="O3329" i="127"/>
  <c r="P3329" i="127"/>
  <c r="O3330" i="127"/>
  <c r="P3330" i="127"/>
  <c r="O3331" i="127"/>
  <c r="P3331" i="127"/>
  <c r="O3332" i="127"/>
  <c r="P3332" i="127"/>
  <c r="O3333" i="127"/>
  <c r="P3333" i="127"/>
  <c r="O3334" i="127"/>
  <c r="P3334" i="127"/>
  <c r="O3335" i="127"/>
  <c r="P3335" i="127"/>
  <c r="O3336" i="127"/>
  <c r="P3336" i="127"/>
  <c r="O3337" i="127"/>
  <c r="P3337" i="127"/>
  <c r="O3338" i="127"/>
  <c r="P3338" i="127"/>
  <c r="O3339" i="127"/>
  <c r="P3339" i="127"/>
  <c r="O3340" i="127"/>
  <c r="P3340" i="127"/>
  <c r="O3341" i="127"/>
  <c r="P3341" i="127"/>
  <c r="O3342" i="127"/>
  <c r="P3342" i="127"/>
  <c r="O3343" i="127"/>
  <c r="P3343" i="127"/>
  <c r="O3344" i="127"/>
  <c r="P3344" i="127"/>
  <c r="O3345" i="127"/>
  <c r="P3345" i="127"/>
  <c r="O3346" i="127"/>
  <c r="P3346" i="127"/>
  <c r="O3347" i="127"/>
  <c r="P3347" i="127"/>
  <c r="O3348" i="127"/>
  <c r="P3348" i="127"/>
  <c r="O3349" i="127"/>
  <c r="P3349" i="127"/>
  <c r="O3350" i="127"/>
  <c r="P3350" i="127"/>
  <c r="O3351" i="127"/>
  <c r="P3351" i="127"/>
  <c r="O3352" i="127"/>
  <c r="P3352" i="127"/>
  <c r="O3353" i="127"/>
  <c r="P3353" i="127"/>
  <c r="O3354" i="127"/>
  <c r="P3354" i="127"/>
  <c r="O3355" i="127"/>
  <c r="P3355" i="127"/>
  <c r="O3356" i="127"/>
  <c r="P3356" i="127"/>
  <c r="O3357" i="127"/>
  <c r="P3357" i="127"/>
  <c r="O3358" i="127"/>
  <c r="P3358" i="127"/>
  <c r="O3359" i="127"/>
  <c r="P3359" i="127"/>
  <c r="O3360" i="127"/>
  <c r="P3360" i="127"/>
  <c r="O3361" i="127"/>
  <c r="P3361" i="127"/>
  <c r="O3362" i="127"/>
  <c r="P3362" i="127"/>
  <c r="O3363" i="127"/>
  <c r="P3363" i="127"/>
  <c r="O3364" i="127"/>
  <c r="P3364" i="127"/>
  <c r="O3365" i="127"/>
  <c r="P3365" i="127"/>
  <c r="O3366" i="127"/>
  <c r="P3366" i="127"/>
  <c r="O3367" i="127"/>
  <c r="P3367" i="127"/>
  <c r="O3368" i="127"/>
  <c r="P3368" i="127"/>
  <c r="O3369" i="127"/>
  <c r="P3369" i="127"/>
  <c r="O3370" i="127"/>
  <c r="P3370" i="127"/>
  <c r="O3371" i="127"/>
  <c r="P3371" i="127"/>
  <c r="O3372" i="127"/>
  <c r="P3372" i="127"/>
  <c r="O3373" i="127"/>
  <c r="P3373" i="127"/>
  <c r="O3374" i="127"/>
  <c r="P3374" i="127"/>
  <c r="O3375" i="127"/>
  <c r="P3375" i="127"/>
  <c r="O3376" i="127"/>
  <c r="P3376" i="127"/>
  <c r="O3377" i="127"/>
  <c r="P3377" i="127"/>
  <c r="O3378" i="127"/>
  <c r="P3378" i="127"/>
  <c r="O3379" i="127"/>
  <c r="P3379" i="127"/>
  <c r="O3380" i="127"/>
  <c r="P3380" i="127"/>
  <c r="O3381" i="127"/>
  <c r="P3381" i="127"/>
  <c r="O3382" i="127"/>
  <c r="P3382" i="127"/>
  <c r="O3383" i="127"/>
  <c r="P3383" i="127"/>
  <c r="O3384" i="127"/>
  <c r="P3384" i="127"/>
  <c r="O3385" i="127"/>
  <c r="P3385" i="127"/>
  <c r="O3386" i="127"/>
  <c r="P3386" i="127"/>
  <c r="O3387" i="127"/>
  <c r="P3387" i="127"/>
  <c r="O3388" i="127"/>
  <c r="P3388" i="127"/>
  <c r="O3389" i="127"/>
  <c r="P3389" i="127"/>
  <c r="O3390" i="127"/>
  <c r="P3390" i="127"/>
  <c r="O3391" i="127"/>
  <c r="P3391" i="127"/>
  <c r="O3392" i="127"/>
  <c r="P3392" i="127"/>
  <c r="O3393" i="127"/>
  <c r="P3393" i="127"/>
  <c r="O3394" i="127"/>
  <c r="P3394" i="127"/>
  <c r="O3395" i="127"/>
  <c r="P3395" i="127"/>
  <c r="O3396" i="127"/>
  <c r="P3396" i="127"/>
  <c r="O3397" i="127"/>
  <c r="P3397" i="127"/>
  <c r="O3398" i="127"/>
  <c r="P3398" i="127"/>
  <c r="O3399" i="127"/>
  <c r="P3399" i="127"/>
  <c r="O3400" i="127"/>
  <c r="P3400" i="127"/>
  <c r="O3401" i="127"/>
  <c r="P3401" i="127"/>
  <c r="O3402" i="127"/>
  <c r="P3402" i="127"/>
  <c r="O3403" i="127"/>
  <c r="P3403" i="127"/>
  <c r="O3404" i="127"/>
  <c r="P3404" i="127"/>
  <c r="O3405" i="127"/>
  <c r="P3405" i="127"/>
  <c r="O3406" i="127"/>
  <c r="P3406" i="127"/>
  <c r="O3407" i="127"/>
  <c r="P3407" i="127"/>
  <c r="O3408" i="127"/>
  <c r="P3408" i="127"/>
  <c r="O3409" i="127"/>
  <c r="P3409" i="127"/>
  <c r="O3410" i="127"/>
  <c r="P3410" i="127"/>
  <c r="O3411" i="127"/>
  <c r="P3411" i="127"/>
  <c r="O3412" i="127"/>
  <c r="P3412" i="127"/>
  <c r="O3413" i="127"/>
  <c r="P3413" i="127"/>
  <c r="O3414" i="127"/>
  <c r="P3414" i="127"/>
  <c r="O3415" i="127"/>
  <c r="P3415" i="127"/>
  <c r="O3416" i="127"/>
  <c r="P3416" i="127"/>
  <c r="O3417" i="127"/>
  <c r="P3417" i="127"/>
  <c r="O3418" i="127"/>
  <c r="P3418" i="127"/>
  <c r="O3419" i="127"/>
  <c r="P3419" i="127"/>
  <c r="O3420" i="127"/>
  <c r="P3420" i="127"/>
  <c r="O3421" i="127"/>
  <c r="P3421" i="127"/>
  <c r="O3422" i="127"/>
  <c r="P3422" i="127"/>
  <c r="O3423" i="127"/>
  <c r="P3423" i="127"/>
  <c r="O3424" i="127"/>
  <c r="P3424" i="127"/>
  <c r="O3425" i="127"/>
  <c r="P3425" i="127"/>
  <c r="O3426" i="127"/>
  <c r="P3426" i="127"/>
  <c r="O3427" i="127"/>
  <c r="P3427" i="127"/>
  <c r="O3428" i="127"/>
  <c r="P3428" i="127"/>
  <c r="O3429" i="127"/>
  <c r="P3429" i="127"/>
  <c r="O3430" i="127"/>
  <c r="P3430" i="127"/>
  <c r="O3431" i="127"/>
  <c r="P3431" i="127"/>
  <c r="O3432" i="127"/>
  <c r="P3432" i="127"/>
  <c r="O3433" i="127"/>
  <c r="P3433" i="127"/>
  <c r="O3434" i="127"/>
  <c r="P3434" i="127"/>
  <c r="O3435" i="127"/>
  <c r="P3435" i="127"/>
  <c r="O3436" i="127"/>
  <c r="P3436" i="127"/>
  <c r="O3437" i="127"/>
  <c r="P3437" i="127"/>
  <c r="O3438" i="127"/>
  <c r="P3438" i="127"/>
  <c r="O3439" i="127"/>
  <c r="P3439" i="127"/>
  <c r="O3440" i="127"/>
  <c r="P3440" i="127"/>
  <c r="O3441" i="127"/>
  <c r="P3441" i="127"/>
  <c r="O3442" i="127"/>
  <c r="P3442" i="127"/>
  <c r="O3443" i="127"/>
  <c r="P3443" i="127"/>
  <c r="O3444" i="127"/>
  <c r="P3444" i="127"/>
  <c r="O3445" i="127"/>
  <c r="P3445" i="127"/>
  <c r="O3446" i="127"/>
  <c r="P3446" i="127"/>
  <c r="O3447" i="127"/>
  <c r="P3447" i="127"/>
  <c r="O3448" i="127"/>
  <c r="P3448" i="127"/>
  <c r="O3449" i="127"/>
  <c r="P3449" i="127"/>
  <c r="O3450" i="127"/>
  <c r="P3450" i="127"/>
  <c r="O3451" i="127"/>
  <c r="P3451" i="127"/>
  <c r="O3452" i="127"/>
  <c r="P3452" i="127"/>
  <c r="O3453" i="127"/>
  <c r="P3453" i="127"/>
  <c r="O3454" i="127"/>
  <c r="P3454" i="127"/>
  <c r="O3455" i="127"/>
  <c r="P3455" i="127"/>
  <c r="O3456" i="127"/>
  <c r="P3456" i="127"/>
  <c r="O3457" i="127"/>
  <c r="P3457" i="127"/>
  <c r="O3458" i="127"/>
  <c r="P3458" i="127"/>
  <c r="O3459" i="127"/>
  <c r="P3459" i="127"/>
  <c r="O3460" i="127"/>
  <c r="P3460" i="127"/>
  <c r="O3461" i="127"/>
  <c r="P3461" i="127"/>
  <c r="O3462" i="127"/>
  <c r="P3462" i="127"/>
  <c r="O3463" i="127"/>
  <c r="P3463" i="127"/>
  <c r="O3464" i="127"/>
  <c r="P3464" i="127"/>
  <c r="O3465" i="127"/>
  <c r="P3465" i="127"/>
  <c r="O3466" i="127"/>
  <c r="P3466" i="127"/>
  <c r="O3467" i="127"/>
  <c r="P3467" i="127"/>
  <c r="O3468" i="127"/>
  <c r="P3468" i="127"/>
  <c r="O3469" i="127"/>
  <c r="P3469" i="127"/>
  <c r="O3470" i="127"/>
  <c r="P3470" i="127"/>
  <c r="O3471" i="127"/>
  <c r="P3471" i="127"/>
  <c r="O3472" i="127"/>
  <c r="P3472" i="127"/>
  <c r="O3473" i="127"/>
  <c r="P3473" i="127"/>
  <c r="O3474" i="127"/>
  <c r="P3474" i="127"/>
  <c r="O3475" i="127"/>
  <c r="P3475" i="127"/>
  <c r="O3476" i="127"/>
  <c r="P3476" i="127"/>
  <c r="O3477" i="127"/>
  <c r="P3477" i="127"/>
  <c r="O3478" i="127"/>
  <c r="P3478" i="127"/>
  <c r="O3479" i="127"/>
  <c r="P3479" i="127"/>
  <c r="O3480" i="127"/>
  <c r="P3480" i="127"/>
  <c r="O3481" i="127"/>
  <c r="P3481" i="127"/>
  <c r="O3482" i="127"/>
  <c r="P3482" i="127"/>
  <c r="O3483" i="127"/>
  <c r="P3483" i="127"/>
  <c r="O3484" i="127"/>
  <c r="P3484" i="127"/>
  <c r="O3485" i="127"/>
  <c r="P3485" i="127"/>
  <c r="O3486" i="127"/>
  <c r="P3486" i="127"/>
  <c r="O3487" i="127"/>
  <c r="P3487" i="127"/>
  <c r="O3488" i="127"/>
  <c r="P3488" i="127"/>
  <c r="O3489" i="127"/>
  <c r="P3489" i="127"/>
  <c r="O3490" i="127"/>
  <c r="P3490" i="127"/>
  <c r="O3491" i="127"/>
  <c r="P3491" i="127"/>
  <c r="O3492" i="127"/>
  <c r="P3492" i="127"/>
  <c r="O3493" i="127"/>
  <c r="P3493" i="127"/>
  <c r="O3494" i="127"/>
  <c r="P3494" i="127"/>
  <c r="O3495" i="127"/>
  <c r="P3495" i="127"/>
  <c r="O3496" i="127"/>
  <c r="P3496" i="127"/>
  <c r="O3497" i="127"/>
  <c r="P3497" i="127"/>
  <c r="O3498" i="127"/>
  <c r="P3498" i="127"/>
  <c r="O3499" i="127"/>
  <c r="P3499" i="127"/>
  <c r="O3500" i="127"/>
  <c r="P3500" i="127"/>
  <c r="O3501" i="127"/>
  <c r="P3501" i="127"/>
  <c r="O3502" i="127"/>
  <c r="P3502" i="127"/>
  <c r="O3503" i="127"/>
  <c r="P3503" i="127"/>
  <c r="O3504" i="127"/>
  <c r="P3504" i="127"/>
  <c r="O3505" i="127"/>
  <c r="P3505" i="127"/>
  <c r="O3506" i="127"/>
  <c r="P3506" i="127"/>
  <c r="O3507" i="127"/>
  <c r="P3507" i="127"/>
  <c r="O3508" i="127"/>
  <c r="P3508" i="127"/>
  <c r="O3509" i="127"/>
  <c r="P3509" i="127"/>
  <c r="O3510" i="127"/>
  <c r="P3510" i="127"/>
  <c r="O3511" i="127"/>
  <c r="P3511" i="127"/>
  <c r="O3512" i="127"/>
  <c r="P3512" i="127"/>
  <c r="O3513" i="127"/>
  <c r="P3513" i="127"/>
  <c r="O3514" i="127"/>
  <c r="P3514" i="127"/>
  <c r="O3515" i="127"/>
  <c r="P3515" i="127"/>
  <c r="O3516" i="127"/>
  <c r="P3516" i="127"/>
  <c r="O3517" i="127"/>
  <c r="P3517" i="127"/>
  <c r="O3518" i="127"/>
  <c r="P3518" i="127"/>
  <c r="O3519" i="127"/>
  <c r="P3519" i="127"/>
  <c r="O3520" i="127"/>
  <c r="P3520" i="127"/>
  <c r="O3521" i="127"/>
  <c r="P3521" i="127"/>
  <c r="O3522" i="127"/>
  <c r="P3522" i="127"/>
  <c r="O3523" i="127"/>
  <c r="P3523" i="127"/>
  <c r="O3524" i="127"/>
  <c r="P3524" i="127"/>
  <c r="O3525" i="127"/>
  <c r="P3525" i="127"/>
  <c r="O3526" i="127"/>
  <c r="P3526" i="127"/>
  <c r="O3527" i="127"/>
  <c r="P3527" i="127"/>
  <c r="O3528" i="127"/>
  <c r="P3528" i="127"/>
  <c r="O3529" i="127"/>
  <c r="P3529" i="127"/>
  <c r="O3530" i="127"/>
  <c r="P3530" i="127"/>
  <c r="O3531" i="127"/>
  <c r="P3531" i="127"/>
  <c r="O3532" i="127"/>
  <c r="P3532" i="127"/>
  <c r="O3533" i="127"/>
  <c r="P3533" i="127"/>
  <c r="O3534" i="127"/>
  <c r="P3534" i="127"/>
  <c r="O3535" i="127"/>
  <c r="P3535" i="127"/>
  <c r="O3536" i="127"/>
  <c r="P3536" i="127"/>
  <c r="O3537" i="127"/>
  <c r="P3537" i="127"/>
  <c r="O3538" i="127"/>
  <c r="P3538" i="127"/>
  <c r="O3539" i="127"/>
  <c r="P3539" i="127"/>
  <c r="O3540" i="127"/>
  <c r="P3540" i="127"/>
  <c r="O3541" i="127"/>
  <c r="P3541" i="127"/>
  <c r="O3542" i="127"/>
  <c r="P3542" i="127"/>
  <c r="O3543" i="127"/>
  <c r="P3543" i="127"/>
  <c r="O3544" i="127"/>
  <c r="P3544" i="127"/>
  <c r="O3545" i="127"/>
  <c r="P3545" i="127"/>
  <c r="O3546" i="127"/>
  <c r="P3546" i="127"/>
  <c r="O3547" i="127"/>
  <c r="P3547" i="127"/>
  <c r="O3548" i="127"/>
  <c r="P3548" i="127"/>
  <c r="O3549" i="127"/>
  <c r="P3549" i="127"/>
  <c r="O3550" i="127"/>
  <c r="P3550" i="127"/>
  <c r="O3551" i="127"/>
  <c r="P3551" i="127"/>
  <c r="O3552" i="127"/>
  <c r="P3552" i="127"/>
  <c r="O3553" i="127"/>
  <c r="P3553" i="127"/>
  <c r="O3554" i="127"/>
  <c r="P3554" i="127"/>
  <c r="O3555" i="127"/>
  <c r="P3555" i="127"/>
  <c r="O3556" i="127"/>
  <c r="P3556" i="127"/>
  <c r="O3557" i="127"/>
  <c r="P3557" i="127"/>
  <c r="O3558" i="127"/>
  <c r="P3558" i="127"/>
  <c r="O3559" i="127"/>
  <c r="P3559" i="127"/>
  <c r="O3560" i="127"/>
  <c r="P3560" i="127"/>
  <c r="O3561" i="127"/>
  <c r="P3561" i="127"/>
  <c r="O3562" i="127"/>
  <c r="P3562" i="127"/>
  <c r="O3563" i="127"/>
  <c r="P3563" i="127"/>
  <c r="O3564" i="127"/>
  <c r="P3564" i="127"/>
  <c r="O3565" i="127"/>
  <c r="P3565" i="127"/>
  <c r="O3566" i="127"/>
  <c r="P3566" i="127"/>
  <c r="O3567" i="127"/>
  <c r="P3567" i="127"/>
  <c r="O3568" i="127"/>
  <c r="P3568" i="127"/>
  <c r="O3569" i="127"/>
  <c r="P3569" i="127"/>
  <c r="O3570" i="127"/>
  <c r="P3570" i="127"/>
  <c r="O3571" i="127"/>
  <c r="P3571" i="127"/>
  <c r="O3572" i="127"/>
  <c r="P3572" i="127"/>
  <c r="O3573" i="127"/>
  <c r="P3573" i="127"/>
  <c r="O3574" i="127"/>
  <c r="P3574" i="127"/>
  <c r="O3575" i="127"/>
  <c r="P3575" i="127"/>
  <c r="O3576" i="127"/>
  <c r="P3576" i="127"/>
  <c r="O3577" i="127"/>
  <c r="P3577" i="127"/>
  <c r="O3578" i="127"/>
  <c r="P3578" i="127"/>
  <c r="O3579" i="127"/>
  <c r="P3579" i="127"/>
  <c r="O3580" i="127"/>
  <c r="P3580" i="127"/>
  <c r="O3581" i="127"/>
  <c r="P3581" i="127"/>
  <c r="O3582" i="127"/>
  <c r="P3582" i="127"/>
  <c r="O3583" i="127"/>
  <c r="P3583" i="127"/>
  <c r="O3584" i="127"/>
  <c r="P3584" i="127"/>
  <c r="O3585" i="127"/>
  <c r="P3585" i="127"/>
  <c r="O3586" i="127"/>
  <c r="P3586" i="127"/>
  <c r="O3587" i="127"/>
  <c r="P3587" i="127"/>
  <c r="O3588" i="127"/>
  <c r="P3588" i="127"/>
  <c r="O3589" i="127"/>
  <c r="P3589" i="127"/>
  <c r="O3590" i="127"/>
  <c r="P3590" i="127"/>
  <c r="O3591" i="127"/>
  <c r="P3591" i="127"/>
  <c r="O3592" i="127"/>
  <c r="P3592" i="127"/>
  <c r="O3593" i="127"/>
  <c r="P3593" i="127"/>
  <c r="O3594" i="127"/>
  <c r="P3594" i="127"/>
  <c r="O3595" i="127"/>
  <c r="P3595" i="127"/>
  <c r="O3596" i="127"/>
  <c r="P3596" i="127"/>
  <c r="O3597" i="127"/>
  <c r="P3597" i="127"/>
  <c r="O3598" i="127"/>
  <c r="P3598" i="127"/>
  <c r="O3599" i="127"/>
  <c r="P3599" i="127"/>
  <c r="O3600" i="127"/>
  <c r="P3600" i="127"/>
  <c r="O3601" i="127"/>
  <c r="P3601" i="127"/>
  <c r="O3602" i="127"/>
  <c r="P3602" i="127"/>
  <c r="O3603" i="127"/>
  <c r="P3603" i="127"/>
  <c r="O3604" i="127"/>
  <c r="P3604" i="127"/>
  <c r="O3605" i="127"/>
  <c r="P3605" i="127"/>
  <c r="O3606" i="127"/>
  <c r="P3606" i="127"/>
  <c r="O3607" i="127"/>
  <c r="P3607" i="127"/>
  <c r="O3608" i="127"/>
  <c r="P3608" i="127"/>
  <c r="O3609" i="127"/>
  <c r="P3609" i="127"/>
  <c r="O3610" i="127"/>
  <c r="P3610" i="127"/>
  <c r="O3611" i="127"/>
  <c r="P3611" i="127"/>
  <c r="O3612" i="127"/>
  <c r="P3612" i="127"/>
  <c r="O3613" i="127"/>
  <c r="P3613" i="127"/>
  <c r="O3614" i="127"/>
  <c r="P3614" i="127"/>
  <c r="O3615" i="127"/>
  <c r="P3615" i="127"/>
  <c r="O3616" i="127"/>
  <c r="P3616" i="127"/>
  <c r="O3617" i="127"/>
  <c r="P3617" i="127"/>
  <c r="O3618" i="127"/>
  <c r="P3618" i="127"/>
  <c r="O3619" i="127"/>
  <c r="P3619" i="127"/>
  <c r="O3620" i="127"/>
  <c r="P3620" i="127"/>
  <c r="O3621" i="127"/>
  <c r="P3621" i="127"/>
  <c r="O3622" i="127"/>
  <c r="P3622" i="127"/>
  <c r="O3623" i="127"/>
  <c r="P3623" i="127"/>
  <c r="O3624" i="127"/>
  <c r="P3624" i="127"/>
  <c r="O3625" i="127"/>
  <c r="P3625" i="127"/>
  <c r="O3626" i="127"/>
  <c r="P3626" i="127"/>
  <c r="O3627" i="127"/>
  <c r="P3627" i="127"/>
  <c r="O3628" i="127"/>
  <c r="P3628" i="127"/>
  <c r="O3629" i="127"/>
  <c r="P3629" i="127"/>
  <c r="O3630" i="127"/>
  <c r="P3630" i="127"/>
  <c r="O3631" i="127"/>
  <c r="P3631" i="127"/>
  <c r="O3632" i="127"/>
  <c r="P3632" i="127"/>
  <c r="O3633" i="127"/>
  <c r="P3633" i="127"/>
  <c r="O3634" i="127"/>
  <c r="P3634" i="127"/>
  <c r="O3635" i="127"/>
  <c r="P3635" i="127"/>
  <c r="O3636" i="127"/>
  <c r="P3636" i="127"/>
  <c r="O3637" i="127"/>
  <c r="P3637" i="127"/>
  <c r="O3638" i="127"/>
  <c r="P3638" i="127"/>
  <c r="O3639" i="127"/>
  <c r="P3639" i="127"/>
  <c r="O3640" i="127"/>
  <c r="P3640" i="127"/>
  <c r="O3641" i="127"/>
  <c r="P3641" i="127"/>
  <c r="O3642" i="127"/>
  <c r="P3642" i="127"/>
  <c r="O3643" i="127"/>
  <c r="P3643" i="127"/>
  <c r="O3644" i="127"/>
  <c r="P3644" i="127"/>
  <c r="O3645" i="127"/>
  <c r="P3645" i="127"/>
  <c r="O3646" i="127"/>
  <c r="P3646" i="127"/>
  <c r="O3647" i="127"/>
  <c r="P3647" i="127"/>
  <c r="O3648" i="127"/>
  <c r="P3648" i="127"/>
  <c r="O3649" i="127"/>
  <c r="P3649" i="127"/>
  <c r="O3650" i="127"/>
  <c r="P3650" i="127"/>
  <c r="O3651" i="127"/>
  <c r="P3651" i="127"/>
  <c r="O3652" i="127"/>
  <c r="P3652" i="127"/>
  <c r="O3653" i="127"/>
  <c r="P3653" i="127"/>
  <c r="O3654" i="127"/>
  <c r="P3654" i="127"/>
  <c r="O3655" i="127"/>
  <c r="P3655" i="127"/>
  <c r="O3656" i="127"/>
  <c r="P3656" i="127"/>
  <c r="O3657" i="127"/>
  <c r="P3657" i="127"/>
  <c r="O3658" i="127"/>
  <c r="P3658" i="127"/>
  <c r="O3659" i="127"/>
  <c r="P3659" i="127"/>
  <c r="O3660" i="127"/>
  <c r="P3660" i="127"/>
  <c r="O3661" i="127"/>
  <c r="P3661" i="127"/>
  <c r="O3662" i="127"/>
  <c r="P3662" i="127"/>
  <c r="O3663" i="127"/>
  <c r="P3663" i="127"/>
  <c r="O3664" i="127"/>
  <c r="P3664" i="127"/>
  <c r="O3665" i="127"/>
  <c r="P3665" i="127"/>
  <c r="O3666" i="127"/>
  <c r="P3666" i="127"/>
  <c r="O3667" i="127"/>
  <c r="P3667" i="127"/>
  <c r="O3668" i="127"/>
  <c r="P3668" i="127"/>
  <c r="O3669" i="127"/>
  <c r="P3669" i="127"/>
  <c r="O3670" i="127"/>
  <c r="P3670" i="127"/>
  <c r="O3671" i="127"/>
  <c r="P3671" i="127"/>
  <c r="O3672" i="127"/>
  <c r="P3672" i="127"/>
  <c r="O3673" i="127"/>
  <c r="P3673" i="127"/>
  <c r="O3674" i="127"/>
  <c r="P3674" i="127"/>
  <c r="O3675" i="127"/>
  <c r="P3675" i="127"/>
  <c r="O3676" i="127"/>
  <c r="P3676" i="127"/>
  <c r="O3677" i="127"/>
  <c r="P3677" i="127"/>
  <c r="O3678" i="127"/>
  <c r="P3678" i="127"/>
  <c r="O3679" i="127"/>
  <c r="P3679" i="127"/>
  <c r="O3680" i="127"/>
  <c r="P3680" i="127"/>
  <c r="O3681" i="127"/>
  <c r="P3681" i="127"/>
  <c r="O3682" i="127"/>
  <c r="P3682" i="127"/>
  <c r="O3683" i="127"/>
  <c r="P3683" i="127"/>
  <c r="O3684" i="127"/>
  <c r="P3684" i="127"/>
  <c r="O3685" i="127"/>
  <c r="P3685" i="127"/>
  <c r="O3686" i="127"/>
  <c r="P3686" i="127"/>
  <c r="O3687" i="127"/>
  <c r="P3687" i="127"/>
  <c r="O3688" i="127"/>
  <c r="P3688" i="127"/>
  <c r="O3689" i="127"/>
  <c r="P3689" i="127"/>
  <c r="O3690" i="127"/>
  <c r="P3690" i="127"/>
  <c r="O3691" i="127"/>
  <c r="P3691" i="127"/>
  <c r="O3692" i="127"/>
  <c r="P3692" i="127"/>
  <c r="O3693" i="127"/>
  <c r="P3693" i="127"/>
  <c r="O3694" i="127"/>
  <c r="P3694" i="127"/>
  <c r="O3695" i="127"/>
  <c r="P3695" i="127"/>
  <c r="O3696" i="127"/>
  <c r="P3696" i="127"/>
  <c r="O3697" i="127"/>
  <c r="P3697" i="127"/>
  <c r="O3698" i="127"/>
  <c r="P3698" i="127"/>
  <c r="O3699" i="127"/>
  <c r="P3699" i="127"/>
  <c r="O3700" i="127"/>
  <c r="P3700" i="127"/>
  <c r="O3701" i="127"/>
  <c r="P3701" i="127"/>
  <c r="O3702" i="127"/>
  <c r="P3702" i="127"/>
  <c r="O3703" i="127"/>
  <c r="P3703" i="127"/>
  <c r="O3704" i="127"/>
  <c r="P3704" i="127"/>
  <c r="O3705" i="127"/>
  <c r="P3705" i="127"/>
  <c r="O3706" i="127"/>
  <c r="P3706" i="127"/>
  <c r="O3707" i="127"/>
  <c r="P3707" i="127"/>
  <c r="O3708" i="127"/>
  <c r="P3708" i="127"/>
  <c r="O3709" i="127"/>
  <c r="P3709" i="127"/>
  <c r="O3710" i="127"/>
  <c r="P3710" i="127"/>
  <c r="O3711" i="127"/>
  <c r="P3711" i="127"/>
  <c r="O3712" i="127"/>
  <c r="P3712" i="127"/>
  <c r="O3713" i="127"/>
  <c r="P3713" i="127"/>
  <c r="O3714" i="127"/>
  <c r="P3714" i="127"/>
  <c r="O3715" i="127"/>
  <c r="P3715" i="127"/>
  <c r="O3716" i="127"/>
  <c r="P3716" i="127"/>
  <c r="O3717" i="127"/>
  <c r="P3717" i="127"/>
  <c r="O3718" i="127"/>
  <c r="P3718" i="127"/>
  <c r="O3719" i="127"/>
  <c r="P3719" i="127"/>
  <c r="O3720" i="127"/>
  <c r="P3720" i="127"/>
  <c r="O3721" i="127"/>
  <c r="P3721" i="127"/>
  <c r="O3722" i="127"/>
  <c r="P3722" i="127"/>
  <c r="O3723" i="127"/>
  <c r="P3723" i="127"/>
  <c r="O3724" i="127"/>
  <c r="P3724" i="127"/>
  <c r="O3725" i="127"/>
  <c r="P3725" i="127"/>
  <c r="O3726" i="127"/>
  <c r="P3726" i="127"/>
  <c r="O3727" i="127"/>
  <c r="P3727" i="127"/>
  <c r="O3728" i="127"/>
  <c r="P3728" i="127"/>
  <c r="O3729" i="127"/>
  <c r="P3729" i="127"/>
  <c r="O3730" i="127"/>
  <c r="P3730" i="127"/>
  <c r="O3731" i="127"/>
  <c r="P3731" i="127"/>
  <c r="O3732" i="127"/>
  <c r="P3732" i="127"/>
  <c r="O3733" i="127"/>
  <c r="P3733" i="127"/>
  <c r="O3734" i="127"/>
  <c r="P3734" i="127"/>
  <c r="O3735" i="127"/>
  <c r="P3735" i="127"/>
  <c r="O3736" i="127"/>
  <c r="P3736" i="127"/>
  <c r="O3737" i="127"/>
  <c r="P3737" i="127"/>
  <c r="O3738" i="127"/>
  <c r="P3738" i="127"/>
  <c r="O3739" i="127"/>
  <c r="P3739" i="127"/>
  <c r="O3740" i="127"/>
  <c r="P3740" i="127"/>
  <c r="O3741" i="127"/>
  <c r="P3741" i="127"/>
  <c r="O3742" i="127"/>
  <c r="P3742" i="127"/>
  <c r="O3743" i="127"/>
  <c r="P3743" i="127"/>
  <c r="O3744" i="127"/>
  <c r="P3744" i="127"/>
  <c r="O3745" i="127"/>
  <c r="P3745" i="127"/>
  <c r="O3746" i="127"/>
  <c r="P3746" i="127"/>
  <c r="O3747" i="127"/>
  <c r="P3747" i="127"/>
  <c r="O3748" i="127"/>
  <c r="P3748" i="127"/>
  <c r="O3749" i="127"/>
  <c r="P3749" i="127"/>
  <c r="O3750" i="127"/>
  <c r="P3750" i="127"/>
  <c r="O3751" i="127"/>
  <c r="P3751" i="127"/>
  <c r="O3752" i="127"/>
  <c r="P3752" i="127"/>
  <c r="O3753" i="127"/>
  <c r="P3753" i="127"/>
  <c r="O3754" i="127"/>
  <c r="P3754" i="127"/>
  <c r="O3755" i="127"/>
  <c r="P3755" i="127"/>
  <c r="O3756" i="127"/>
  <c r="P3756" i="127"/>
  <c r="O3757" i="127"/>
  <c r="P3757" i="127"/>
  <c r="O3758" i="127"/>
  <c r="P3758" i="127"/>
  <c r="O3759" i="127"/>
  <c r="P3759" i="127"/>
  <c r="O3760" i="127"/>
  <c r="P3760" i="127"/>
  <c r="O3761" i="127"/>
  <c r="P3761" i="127"/>
  <c r="O3762" i="127"/>
  <c r="P3762" i="127"/>
  <c r="O3763" i="127"/>
  <c r="P3763" i="127"/>
  <c r="O3764" i="127"/>
  <c r="P3764" i="127"/>
  <c r="O3765" i="127"/>
  <c r="P3765" i="127"/>
  <c r="O3766" i="127"/>
  <c r="P3766" i="127"/>
  <c r="O3767" i="127"/>
  <c r="P3767" i="127"/>
  <c r="O3768" i="127"/>
  <c r="P3768" i="127"/>
  <c r="O3769" i="127"/>
  <c r="P3769" i="127"/>
  <c r="O3770" i="127"/>
  <c r="P3770" i="127"/>
  <c r="O3771" i="127"/>
  <c r="P3771" i="127"/>
  <c r="O3772" i="127"/>
  <c r="P3772" i="127"/>
  <c r="O3773" i="127"/>
  <c r="P3773" i="127"/>
  <c r="O3774" i="127"/>
  <c r="P3774" i="127"/>
  <c r="O3775" i="127"/>
  <c r="P3775" i="127"/>
  <c r="O3776" i="127"/>
  <c r="P3776" i="127"/>
  <c r="O3777" i="127"/>
  <c r="P3777" i="127"/>
  <c r="O3778" i="127"/>
  <c r="P3778" i="127"/>
  <c r="O3779" i="127"/>
  <c r="P3779" i="127"/>
  <c r="O3780" i="127"/>
  <c r="P3780" i="127"/>
  <c r="O3781" i="127"/>
  <c r="P3781" i="127"/>
  <c r="O3782" i="127"/>
  <c r="P3782" i="127"/>
  <c r="O3783" i="127"/>
  <c r="P3783" i="127"/>
  <c r="O3784" i="127"/>
  <c r="P3784" i="127"/>
  <c r="O3785" i="127"/>
  <c r="P3785" i="127"/>
  <c r="O3786" i="127"/>
  <c r="P3786" i="127"/>
  <c r="O3787" i="127"/>
  <c r="P3787" i="127"/>
  <c r="O3788" i="127"/>
  <c r="P3788" i="127"/>
  <c r="O3789" i="127"/>
  <c r="P3789" i="127"/>
  <c r="O3790" i="127"/>
  <c r="P3790" i="127"/>
  <c r="O3791" i="127"/>
  <c r="P3791" i="127"/>
  <c r="O3792" i="127"/>
  <c r="P3792" i="127"/>
  <c r="O3793" i="127"/>
  <c r="P3793" i="127"/>
  <c r="O3794" i="127"/>
  <c r="P3794" i="127"/>
  <c r="O3795" i="127"/>
  <c r="P3795" i="127"/>
  <c r="O3796" i="127"/>
  <c r="P3796" i="127"/>
  <c r="O3797" i="127"/>
  <c r="P3797" i="127"/>
  <c r="O3798" i="127"/>
  <c r="P3798" i="127"/>
  <c r="O3799" i="127"/>
  <c r="P3799" i="127"/>
  <c r="O3800" i="127"/>
  <c r="P3800" i="127"/>
  <c r="O3801" i="127"/>
  <c r="P3801" i="127"/>
  <c r="O3802" i="127"/>
  <c r="P3802" i="127"/>
  <c r="O3803" i="127"/>
  <c r="P3803" i="127"/>
  <c r="O3804" i="127"/>
  <c r="P3804" i="127"/>
  <c r="O3805" i="127"/>
  <c r="P3805" i="127"/>
  <c r="O3806" i="127"/>
  <c r="P3806" i="127"/>
  <c r="O3807" i="127"/>
  <c r="P3807" i="127"/>
  <c r="O3808" i="127"/>
  <c r="P3808" i="127"/>
  <c r="O3809" i="127"/>
  <c r="P3809" i="127"/>
  <c r="O3810" i="127"/>
  <c r="P3810" i="127"/>
  <c r="O3811" i="127"/>
  <c r="P3811" i="127"/>
  <c r="O3812" i="127"/>
  <c r="P3812" i="127"/>
  <c r="O3813" i="127"/>
  <c r="P3813" i="127"/>
  <c r="O3814" i="127"/>
  <c r="P3814" i="127"/>
  <c r="O3815" i="127"/>
  <c r="P3815" i="127"/>
  <c r="O3816" i="127"/>
  <c r="P3816" i="127"/>
  <c r="O3817" i="127"/>
  <c r="P3817" i="127"/>
  <c r="O3818" i="127"/>
  <c r="P3818" i="127"/>
  <c r="O3819" i="127"/>
  <c r="P3819" i="127"/>
  <c r="O3820" i="127"/>
  <c r="P3820" i="127"/>
  <c r="O3821" i="127"/>
  <c r="P3821" i="127"/>
  <c r="O3822" i="127"/>
  <c r="P3822" i="127"/>
  <c r="O3823" i="127"/>
  <c r="P3823" i="127"/>
  <c r="O3824" i="127"/>
  <c r="P3824" i="127"/>
  <c r="O3825" i="127"/>
  <c r="P3825" i="127"/>
  <c r="O3826" i="127"/>
  <c r="P3826" i="127"/>
  <c r="O3827" i="127"/>
  <c r="P3827" i="127"/>
  <c r="O3828" i="127"/>
  <c r="P3828" i="127"/>
  <c r="O3829" i="127"/>
  <c r="P3829" i="127"/>
  <c r="O3830" i="127"/>
  <c r="P3830" i="127"/>
  <c r="O3831" i="127"/>
  <c r="P3831" i="127"/>
  <c r="O3832" i="127"/>
  <c r="P3832" i="127"/>
  <c r="O3833" i="127"/>
  <c r="P3833" i="127"/>
  <c r="O3834" i="127"/>
  <c r="P3834" i="127"/>
  <c r="O3835" i="127"/>
  <c r="P3835" i="127"/>
  <c r="O3836" i="127"/>
  <c r="P3836" i="127"/>
  <c r="O3837" i="127"/>
  <c r="P3837" i="127"/>
  <c r="O3838" i="127"/>
  <c r="P3838" i="127"/>
  <c r="O3839" i="127"/>
  <c r="P3839" i="127"/>
  <c r="O3840" i="127"/>
  <c r="P3840" i="127"/>
  <c r="O3841" i="127"/>
  <c r="P3841" i="127"/>
  <c r="O3842" i="127"/>
  <c r="P3842" i="127"/>
  <c r="O3843" i="127"/>
  <c r="P3843" i="127"/>
  <c r="P907" i="129"/>
  <c r="Q907" i="129"/>
  <c r="R907" i="129"/>
  <c r="P908" i="129"/>
  <c r="Q908" i="129"/>
  <c r="R908" i="129"/>
  <c r="P909" i="129"/>
  <c r="Q909" i="129"/>
  <c r="R909" i="129"/>
  <c r="P910" i="129"/>
  <c r="Q910" i="129"/>
  <c r="R910" i="129"/>
  <c r="P911" i="129"/>
  <c r="Q911" i="129"/>
  <c r="R911" i="129"/>
  <c r="P912" i="129"/>
  <c r="Q912" i="129"/>
  <c r="R912" i="129"/>
  <c r="P913" i="129"/>
  <c r="Q913" i="129"/>
  <c r="R913" i="129"/>
  <c r="P914" i="129"/>
  <c r="Q914" i="129"/>
  <c r="R914" i="129"/>
  <c r="P915" i="129"/>
  <c r="Q915" i="129"/>
  <c r="R915" i="129"/>
  <c r="P916" i="129"/>
  <c r="Q916" i="129"/>
  <c r="R916" i="129"/>
  <c r="P917" i="129"/>
  <c r="Q917" i="129"/>
  <c r="R917" i="129"/>
  <c r="P918" i="129"/>
  <c r="Q918" i="129"/>
  <c r="R918" i="129"/>
  <c r="P919" i="129"/>
  <c r="Q919" i="129"/>
  <c r="R919" i="129"/>
  <c r="P920" i="129"/>
  <c r="Q920" i="129"/>
  <c r="R920" i="129"/>
  <c r="P921" i="129"/>
  <c r="Q921" i="129"/>
  <c r="R921" i="129"/>
  <c r="P922" i="129"/>
  <c r="Q922" i="129"/>
  <c r="R922" i="129"/>
  <c r="P923" i="129"/>
  <c r="Q923" i="129"/>
  <c r="R923" i="129"/>
  <c r="P924" i="129"/>
  <c r="Q924" i="129"/>
  <c r="R924" i="129"/>
  <c r="P925" i="129"/>
  <c r="Q925" i="129"/>
  <c r="R925" i="129"/>
  <c r="P926" i="129"/>
  <c r="Q926" i="129"/>
  <c r="R926" i="129"/>
  <c r="P927" i="129"/>
  <c r="Q927" i="129"/>
  <c r="R927" i="129"/>
  <c r="P928" i="129"/>
  <c r="Q928" i="129"/>
  <c r="R928" i="129"/>
  <c r="P929" i="129"/>
  <c r="Q929" i="129"/>
  <c r="R929" i="129"/>
  <c r="P930" i="129"/>
  <c r="Q930" i="129"/>
  <c r="R930" i="129"/>
  <c r="P931" i="129"/>
  <c r="Q931" i="129"/>
  <c r="R931" i="129"/>
  <c r="P932" i="129"/>
  <c r="Q932" i="129"/>
  <c r="R932" i="129"/>
  <c r="P933" i="129"/>
  <c r="Q933" i="129"/>
  <c r="R933" i="129"/>
  <c r="P934" i="129"/>
  <c r="Q934" i="129"/>
  <c r="R934" i="129"/>
  <c r="P935" i="129"/>
  <c r="Q935" i="129"/>
  <c r="R935" i="129"/>
  <c r="P936" i="129"/>
  <c r="Q936" i="129"/>
  <c r="R936" i="129"/>
  <c r="P937" i="129"/>
  <c r="Q937" i="129"/>
  <c r="R937" i="129"/>
  <c r="P938" i="129"/>
  <c r="Q938" i="129"/>
  <c r="R938" i="129"/>
  <c r="P939" i="129"/>
  <c r="Q939" i="129"/>
  <c r="R939" i="129"/>
  <c r="P940" i="129"/>
  <c r="Q940" i="129"/>
  <c r="R940" i="129"/>
  <c r="P941" i="129"/>
  <c r="Q941" i="129"/>
  <c r="R941" i="129"/>
  <c r="P942" i="129"/>
  <c r="Q942" i="129"/>
  <c r="R942" i="129"/>
  <c r="P943" i="129"/>
  <c r="Q943" i="129"/>
  <c r="R943" i="129"/>
  <c r="P944" i="129"/>
  <c r="Q944" i="129"/>
  <c r="R944" i="129"/>
  <c r="P945" i="129"/>
  <c r="Q945" i="129"/>
  <c r="R945" i="129"/>
  <c r="P946" i="129"/>
  <c r="Q946" i="129"/>
  <c r="R946" i="129"/>
  <c r="P947" i="129"/>
  <c r="Q947" i="129"/>
  <c r="R947" i="129"/>
  <c r="P948" i="129"/>
  <c r="Q948" i="129"/>
  <c r="R948" i="129"/>
  <c r="P949" i="129"/>
  <c r="Q949" i="129"/>
  <c r="R949" i="129"/>
  <c r="P950" i="129"/>
  <c r="Q950" i="129"/>
  <c r="R950" i="129"/>
  <c r="P951" i="129"/>
  <c r="Q951" i="129"/>
  <c r="R951" i="129"/>
  <c r="P952" i="129"/>
  <c r="Q952" i="129"/>
  <c r="R952" i="129"/>
  <c r="P953" i="129"/>
  <c r="Q953" i="129"/>
  <c r="R953" i="129"/>
  <c r="P954" i="129"/>
  <c r="Q954" i="129"/>
  <c r="R954" i="129"/>
  <c r="P955" i="129"/>
  <c r="Q955" i="129"/>
  <c r="R955" i="129"/>
  <c r="P956" i="129"/>
  <c r="Q956" i="129"/>
  <c r="R956" i="129"/>
  <c r="P957" i="129"/>
  <c r="Q957" i="129"/>
  <c r="R957" i="129"/>
  <c r="P958" i="129"/>
  <c r="Q958" i="129"/>
  <c r="R958" i="129"/>
  <c r="P959" i="129"/>
  <c r="Q959" i="129"/>
  <c r="R959" i="129"/>
  <c r="P960" i="129"/>
  <c r="Q960" i="129"/>
  <c r="R960" i="129"/>
  <c r="P961" i="129"/>
  <c r="Q961" i="129"/>
  <c r="R961" i="129"/>
  <c r="P962" i="129"/>
  <c r="Q962" i="129"/>
  <c r="R962" i="129"/>
  <c r="P963" i="129"/>
  <c r="Q963" i="129"/>
  <c r="R963" i="129"/>
  <c r="P964" i="129"/>
  <c r="Q964" i="129"/>
  <c r="R964" i="129"/>
  <c r="P965" i="129"/>
  <c r="Q965" i="129"/>
  <c r="R965" i="129"/>
  <c r="P966" i="129"/>
  <c r="Q966" i="129"/>
  <c r="R966" i="129"/>
  <c r="P967" i="129"/>
  <c r="Q967" i="129"/>
  <c r="R967" i="129"/>
  <c r="P968" i="129"/>
  <c r="Q968" i="129"/>
  <c r="R968" i="129"/>
  <c r="P969" i="129"/>
  <c r="Q969" i="129"/>
  <c r="R969" i="129"/>
  <c r="P970" i="129"/>
  <c r="Q970" i="129"/>
  <c r="R970" i="129"/>
  <c r="P971" i="129"/>
  <c r="Q971" i="129"/>
  <c r="R971" i="129"/>
  <c r="P972" i="129"/>
  <c r="Q972" i="129"/>
  <c r="R972" i="129"/>
  <c r="P973" i="129"/>
  <c r="Q973" i="129"/>
  <c r="R973" i="129"/>
  <c r="P974" i="129"/>
  <c r="Q974" i="129"/>
  <c r="R974" i="129"/>
  <c r="P975" i="129"/>
  <c r="Q975" i="129"/>
  <c r="R975" i="129"/>
  <c r="P976" i="129"/>
  <c r="Q976" i="129"/>
  <c r="R976" i="129"/>
  <c r="P977" i="129"/>
  <c r="Q977" i="129"/>
  <c r="R977" i="129"/>
  <c r="P978" i="129"/>
  <c r="Q978" i="129"/>
  <c r="R978" i="129"/>
  <c r="P979" i="129"/>
  <c r="Q979" i="129"/>
  <c r="R979" i="129"/>
  <c r="P980" i="129"/>
  <c r="Q980" i="129"/>
  <c r="R980" i="129"/>
  <c r="P981" i="129"/>
  <c r="Q981" i="129"/>
  <c r="R981" i="129"/>
  <c r="P982" i="129"/>
  <c r="Q982" i="129"/>
  <c r="R982" i="129"/>
  <c r="P983" i="129"/>
  <c r="Q983" i="129"/>
  <c r="R983" i="129"/>
  <c r="P984" i="129"/>
  <c r="Q984" i="129"/>
  <c r="R984" i="129"/>
  <c r="P985" i="129"/>
  <c r="Q985" i="129"/>
  <c r="R985" i="129"/>
  <c r="P986" i="129"/>
  <c r="Q986" i="129"/>
  <c r="R986" i="129"/>
  <c r="P987" i="129"/>
  <c r="Q987" i="129"/>
  <c r="R987" i="129"/>
  <c r="P988" i="129"/>
  <c r="Q988" i="129"/>
  <c r="R988" i="129"/>
  <c r="P989" i="129"/>
  <c r="Q989" i="129"/>
  <c r="R989" i="129"/>
  <c r="P990" i="129"/>
  <c r="Q990" i="129"/>
  <c r="R990" i="129"/>
  <c r="P991" i="129"/>
  <c r="Q991" i="129"/>
  <c r="R991" i="129"/>
  <c r="P992" i="129"/>
  <c r="Q992" i="129"/>
  <c r="R992" i="129"/>
  <c r="P993" i="129"/>
  <c r="Q993" i="129"/>
  <c r="R993" i="129"/>
  <c r="P994" i="129"/>
  <c r="Q994" i="129"/>
  <c r="R994" i="129"/>
  <c r="P995" i="129"/>
  <c r="Q995" i="129"/>
  <c r="R995" i="129"/>
  <c r="P996" i="129"/>
  <c r="Q996" i="129"/>
  <c r="R996" i="129"/>
  <c r="P997" i="129"/>
  <c r="Q997" i="129"/>
  <c r="R997" i="129"/>
  <c r="P998" i="129"/>
  <c r="Q998" i="129"/>
  <c r="R998" i="129"/>
  <c r="P999" i="129"/>
  <c r="Q999" i="129"/>
  <c r="R999" i="129"/>
  <c r="P1000" i="129"/>
  <c r="Q1000" i="129"/>
  <c r="R1000" i="129"/>
  <c r="P1001" i="129"/>
  <c r="Q1001" i="129"/>
  <c r="R1001" i="129"/>
  <c r="P1002" i="129"/>
  <c r="Q1002" i="129"/>
  <c r="R1002" i="129"/>
  <c r="P1003" i="129"/>
  <c r="Q1003" i="129"/>
  <c r="R1003" i="129"/>
  <c r="P1004" i="129"/>
  <c r="Q1004" i="129"/>
  <c r="R1004" i="129"/>
  <c r="P1005" i="129"/>
  <c r="Q1005" i="129"/>
  <c r="R1005" i="129"/>
  <c r="P1006" i="129"/>
  <c r="Q1006" i="129"/>
  <c r="R1006" i="129"/>
  <c r="P1007" i="129"/>
  <c r="Q1007" i="129"/>
  <c r="R1007" i="129"/>
  <c r="P1008" i="129"/>
  <c r="Q1008" i="129"/>
  <c r="R1008" i="129"/>
  <c r="P1009" i="129"/>
  <c r="Q1009" i="129"/>
  <c r="R1009" i="129"/>
  <c r="P1010" i="129"/>
  <c r="Q1010" i="129"/>
  <c r="R1010" i="129"/>
  <c r="P1011" i="129"/>
  <c r="Q1011" i="129"/>
  <c r="R1011" i="129"/>
  <c r="P1012" i="129"/>
  <c r="Q1012" i="129"/>
  <c r="R1012" i="129"/>
  <c r="P1013" i="129"/>
  <c r="Q1013" i="129"/>
  <c r="R1013" i="129"/>
  <c r="P1014" i="129"/>
  <c r="Q1014" i="129"/>
  <c r="R1014" i="129"/>
  <c r="P1015" i="129"/>
  <c r="Q1015" i="129"/>
  <c r="R1015" i="129"/>
  <c r="P1016" i="129"/>
  <c r="Q1016" i="129"/>
  <c r="R1016" i="129"/>
  <c r="P1017" i="129"/>
  <c r="Q1017" i="129"/>
  <c r="R1017" i="129"/>
  <c r="P1018" i="129"/>
  <c r="Q1018" i="129"/>
  <c r="R1018" i="129"/>
  <c r="P1019" i="129"/>
  <c r="Q1019" i="129"/>
  <c r="R1019" i="129"/>
  <c r="P1020" i="129"/>
  <c r="Q1020" i="129"/>
  <c r="R1020" i="129"/>
  <c r="P1021" i="129"/>
  <c r="Q1021" i="129"/>
  <c r="R1021" i="129"/>
  <c r="P1022" i="129"/>
  <c r="Q1022" i="129"/>
  <c r="R1022" i="129"/>
  <c r="P1023" i="129"/>
  <c r="Q1023" i="129"/>
  <c r="R1023" i="129"/>
  <c r="P1024" i="129"/>
  <c r="Q1024" i="129"/>
  <c r="R1024" i="129"/>
  <c r="P1025" i="129"/>
  <c r="Q1025" i="129"/>
  <c r="R1025" i="129"/>
  <c r="P1026" i="129"/>
  <c r="Q1026" i="129"/>
  <c r="R1026" i="129"/>
  <c r="P1027" i="129"/>
  <c r="Q1027" i="129"/>
  <c r="R1027" i="129"/>
  <c r="P1028" i="129"/>
  <c r="Q1028" i="129"/>
  <c r="R1028" i="129"/>
  <c r="P1029" i="129"/>
  <c r="Q1029" i="129"/>
  <c r="R1029" i="129"/>
  <c r="P1030" i="129"/>
  <c r="Q1030" i="129"/>
  <c r="R1030" i="129"/>
  <c r="P1031" i="129"/>
  <c r="Q1031" i="129"/>
  <c r="R1031" i="129"/>
  <c r="P1032" i="129"/>
  <c r="Q1032" i="129"/>
  <c r="R1032" i="129"/>
  <c r="P1033" i="129"/>
  <c r="Q1033" i="129"/>
  <c r="R1033" i="129"/>
  <c r="P1034" i="129"/>
  <c r="Q1034" i="129"/>
  <c r="R1034" i="129"/>
  <c r="P1035" i="129"/>
  <c r="Q1035" i="129"/>
  <c r="R1035" i="129"/>
  <c r="P1036" i="129"/>
  <c r="Q1036" i="129"/>
  <c r="R1036" i="129"/>
  <c r="P1037" i="129"/>
  <c r="Q1037" i="129"/>
  <c r="R1037" i="129"/>
  <c r="P1038" i="129"/>
  <c r="Q1038" i="129"/>
  <c r="R1038" i="129"/>
  <c r="P1039" i="129"/>
  <c r="Q1039" i="129"/>
  <c r="R1039" i="129"/>
  <c r="P1040" i="129"/>
  <c r="Q1040" i="129"/>
  <c r="R1040" i="129"/>
  <c r="P1041" i="129"/>
  <c r="Q1041" i="129"/>
  <c r="R1041" i="129"/>
  <c r="P1042" i="129"/>
  <c r="Q1042" i="129"/>
  <c r="R1042" i="129"/>
  <c r="P1043" i="129"/>
  <c r="Q1043" i="129"/>
  <c r="R1043" i="129"/>
  <c r="P1044" i="129"/>
  <c r="Q1044" i="129"/>
  <c r="R1044" i="129"/>
  <c r="P1045" i="129"/>
  <c r="Q1045" i="129"/>
  <c r="R1045" i="129"/>
  <c r="P1046" i="129"/>
  <c r="Q1046" i="129"/>
  <c r="R1046" i="129"/>
  <c r="P1047" i="129"/>
  <c r="Q1047" i="129"/>
  <c r="R1047" i="129"/>
  <c r="P1048" i="129"/>
  <c r="Q1048" i="129"/>
  <c r="R1048" i="129"/>
  <c r="P1049" i="129"/>
  <c r="Q1049" i="129"/>
  <c r="R1049" i="129"/>
  <c r="P1050" i="129"/>
  <c r="Q1050" i="129"/>
  <c r="R1050" i="129"/>
  <c r="P1051" i="129"/>
  <c r="Q1051" i="129"/>
  <c r="R1051" i="129"/>
  <c r="P1052" i="129"/>
  <c r="Q1052" i="129"/>
  <c r="R1052" i="129"/>
  <c r="P1053" i="129"/>
  <c r="Q1053" i="129"/>
  <c r="R1053" i="129"/>
  <c r="P1054" i="129"/>
  <c r="Q1054" i="129"/>
  <c r="R1054" i="129"/>
  <c r="P1055" i="129"/>
  <c r="Q1055" i="129"/>
  <c r="R1055" i="129"/>
  <c r="P1056" i="129"/>
  <c r="Q1056" i="129"/>
  <c r="R1056" i="129"/>
  <c r="P1057" i="129"/>
  <c r="Q1057" i="129"/>
  <c r="R1057" i="129"/>
  <c r="P1058" i="129"/>
  <c r="Q1058" i="129"/>
  <c r="R1058" i="129"/>
  <c r="P1059" i="129"/>
  <c r="Q1059" i="129"/>
  <c r="R1059" i="129"/>
  <c r="P1060" i="129"/>
  <c r="Q1060" i="129"/>
  <c r="R1060" i="129"/>
  <c r="P1061" i="129"/>
  <c r="Q1061" i="129"/>
  <c r="R1061" i="129"/>
  <c r="P1062" i="129"/>
  <c r="Q1062" i="129"/>
  <c r="R1062" i="129"/>
  <c r="P1063" i="129"/>
  <c r="Q1063" i="129"/>
  <c r="R1063" i="129"/>
  <c r="P1064" i="129"/>
  <c r="Q1064" i="129"/>
  <c r="R1064" i="129"/>
  <c r="P1065" i="129"/>
  <c r="Q1065" i="129"/>
  <c r="R1065" i="129"/>
  <c r="P1066" i="129"/>
  <c r="Q1066" i="129"/>
  <c r="R1066" i="129"/>
  <c r="P1067" i="129"/>
  <c r="Q1067" i="129"/>
  <c r="R1067" i="129"/>
  <c r="P1068" i="129"/>
  <c r="Q1068" i="129"/>
  <c r="R1068" i="129"/>
  <c r="P1069" i="129"/>
  <c r="Q1069" i="129"/>
  <c r="R1069" i="129"/>
  <c r="P1070" i="129"/>
  <c r="Q1070" i="129"/>
  <c r="R1070" i="129"/>
  <c r="P1071" i="129"/>
  <c r="Q1071" i="129"/>
  <c r="R1071" i="129"/>
  <c r="P1072" i="129"/>
  <c r="Q1072" i="129"/>
  <c r="R1072" i="129"/>
  <c r="P1073" i="129"/>
  <c r="Q1073" i="129"/>
  <c r="R1073" i="129"/>
  <c r="P1074" i="129"/>
  <c r="Q1074" i="129"/>
  <c r="R1074" i="129"/>
  <c r="P1075" i="129"/>
  <c r="Q1075" i="129"/>
  <c r="R1075" i="129"/>
  <c r="P1076" i="129"/>
  <c r="Q1076" i="129"/>
  <c r="R1076" i="129"/>
  <c r="P1077" i="129"/>
  <c r="Q1077" i="129"/>
  <c r="R1077" i="129"/>
  <c r="P1078" i="129"/>
  <c r="Q1078" i="129"/>
  <c r="R1078" i="129"/>
  <c r="P1079" i="129"/>
  <c r="Q1079" i="129"/>
  <c r="R1079" i="129"/>
  <c r="P1080" i="129"/>
  <c r="Q1080" i="129"/>
  <c r="R1080" i="129"/>
  <c r="P1081" i="129"/>
  <c r="Q1081" i="129"/>
  <c r="R1081" i="129"/>
  <c r="P1082" i="129"/>
  <c r="Q1082" i="129"/>
  <c r="R1082" i="129"/>
  <c r="P1083" i="129"/>
  <c r="Q1083" i="129"/>
  <c r="R1083" i="129"/>
  <c r="P1084" i="129"/>
  <c r="Q1084" i="129"/>
  <c r="R1084" i="129"/>
  <c r="P1085" i="129"/>
  <c r="Q1085" i="129"/>
  <c r="R1085" i="129"/>
  <c r="P1086" i="129"/>
  <c r="Q1086" i="129"/>
  <c r="R1086" i="129"/>
  <c r="P1087" i="129"/>
  <c r="Q1087" i="129"/>
  <c r="R1087" i="129"/>
  <c r="P1088" i="129"/>
  <c r="Q1088" i="129"/>
  <c r="R1088" i="129"/>
  <c r="P1089" i="129"/>
  <c r="Q1089" i="129"/>
  <c r="R1089" i="129"/>
  <c r="P1090" i="129"/>
  <c r="Q1090" i="129"/>
  <c r="R1090" i="129"/>
  <c r="P1091" i="129"/>
  <c r="Q1091" i="129"/>
  <c r="R1091" i="129"/>
  <c r="P1092" i="129"/>
  <c r="Q1092" i="129"/>
  <c r="R1092" i="129"/>
  <c r="P1093" i="129"/>
  <c r="Q1093" i="129"/>
  <c r="R1093" i="129"/>
  <c r="P1094" i="129"/>
  <c r="Q1094" i="129"/>
  <c r="R1094" i="129"/>
  <c r="P1095" i="129"/>
  <c r="Q1095" i="129"/>
  <c r="R1095" i="129"/>
  <c r="P1096" i="129"/>
  <c r="Q1096" i="129"/>
  <c r="R1096" i="129"/>
  <c r="P1097" i="129"/>
  <c r="Q1097" i="129"/>
  <c r="R1097" i="129"/>
  <c r="P1098" i="129"/>
  <c r="Q1098" i="129"/>
  <c r="R1098" i="129"/>
  <c r="P1099" i="129"/>
  <c r="Q1099" i="129"/>
  <c r="R1099" i="129"/>
  <c r="P1100" i="129"/>
  <c r="Q1100" i="129"/>
  <c r="R1100" i="129"/>
  <c r="P1101" i="129"/>
  <c r="Q1101" i="129"/>
  <c r="R1101" i="129"/>
  <c r="P1102" i="129"/>
  <c r="Q1102" i="129"/>
  <c r="R1102" i="129"/>
  <c r="P1103" i="129"/>
  <c r="Q1103" i="129"/>
  <c r="R1103" i="129"/>
  <c r="P1104" i="129"/>
  <c r="Q1104" i="129"/>
  <c r="R1104" i="129"/>
  <c r="P1105" i="129"/>
  <c r="Q1105" i="129"/>
  <c r="R1105" i="129"/>
  <c r="P1106" i="129"/>
  <c r="Q1106" i="129"/>
  <c r="R1106" i="129"/>
  <c r="P1107" i="129"/>
  <c r="Q1107" i="129"/>
  <c r="R1107" i="129"/>
  <c r="P1108" i="129"/>
  <c r="Q1108" i="129"/>
  <c r="R1108" i="129"/>
  <c r="P1109" i="129"/>
  <c r="Q1109" i="129"/>
  <c r="R1109" i="129"/>
  <c r="P1110" i="129"/>
  <c r="Q1110" i="129"/>
  <c r="R1110" i="129"/>
  <c r="P1111" i="129"/>
  <c r="Q1111" i="129"/>
  <c r="R1111" i="129"/>
  <c r="P1112" i="129"/>
  <c r="Q1112" i="129"/>
  <c r="R1112" i="129"/>
  <c r="P1113" i="129"/>
  <c r="Q1113" i="129"/>
  <c r="R1113" i="129"/>
  <c r="P1114" i="129"/>
  <c r="Q1114" i="129"/>
  <c r="R1114" i="129"/>
  <c r="P1115" i="129"/>
  <c r="Q1115" i="129"/>
  <c r="R1115" i="129"/>
  <c r="P1116" i="129"/>
  <c r="Q1116" i="129"/>
  <c r="R1116" i="129"/>
  <c r="P1117" i="129"/>
  <c r="Q1117" i="129"/>
  <c r="R1117" i="129"/>
  <c r="P1118" i="129"/>
  <c r="Q1118" i="129"/>
  <c r="R1118" i="129"/>
  <c r="P1119" i="129"/>
  <c r="Q1119" i="129"/>
  <c r="R1119" i="129"/>
  <c r="P1120" i="129"/>
  <c r="Q1120" i="129"/>
  <c r="R1120" i="129"/>
  <c r="P1121" i="129"/>
  <c r="Q1121" i="129"/>
  <c r="R1121" i="129"/>
  <c r="P1122" i="129"/>
  <c r="Q1122" i="129"/>
  <c r="R1122" i="129"/>
  <c r="P1123" i="129"/>
  <c r="Q1123" i="129"/>
  <c r="R1123" i="129"/>
  <c r="P1124" i="129"/>
  <c r="Q1124" i="129"/>
  <c r="R1124" i="129"/>
  <c r="P1125" i="129"/>
  <c r="Q1125" i="129"/>
  <c r="R1125" i="129"/>
  <c r="P1126" i="129"/>
  <c r="Q1126" i="129"/>
  <c r="R1126" i="129"/>
  <c r="P1127" i="129"/>
  <c r="Q1127" i="129"/>
  <c r="R1127" i="129"/>
  <c r="P1128" i="129"/>
  <c r="Q1128" i="129"/>
  <c r="R1128" i="129"/>
  <c r="P1129" i="129"/>
  <c r="Q1129" i="129"/>
  <c r="R1129" i="129"/>
  <c r="P1130" i="129"/>
  <c r="Q1130" i="129"/>
  <c r="R1130" i="129"/>
  <c r="P1131" i="129"/>
  <c r="Q1131" i="129"/>
  <c r="R1131" i="129"/>
  <c r="P1132" i="129"/>
  <c r="Q1132" i="129"/>
  <c r="R1132" i="129"/>
  <c r="P1133" i="129"/>
  <c r="Q1133" i="129"/>
  <c r="R1133" i="129"/>
  <c r="P1134" i="129"/>
  <c r="Q1134" i="129"/>
  <c r="R1134" i="129"/>
  <c r="P1135" i="129"/>
  <c r="Q1135" i="129"/>
  <c r="R1135" i="129"/>
  <c r="P1136" i="129"/>
  <c r="Q1136" i="129"/>
  <c r="R1136" i="129"/>
  <c r="P1137" i="129"/>
  <c r="Q1137" i="129"/>
  <c r="R1137" i="129"/>
  <c r="P1138" i="129"/>
  <c r="Q1138" i="129"/>
  <c r="R1138" i="129"/>
  <c r="P1139" i="129"/>
  <c r="Q1139" i="129"/>
  <c r="R1139" i="129"/>
  <c r="P1140" i="129"/>
  <c r="Q1140" i="129"/>
  <c r="R1140" i="129"/>
  <c r="P1141" i="129"/>
  <c r="Q1141" i="129"/>
  <c r="R1141" i="129"/>
  <c r="P1142" i="129"/>
  <c r="Q1142" i="129"/>
  <c r="R1142" i="129"/>
  <c r="P1143" i="129"/>
  <c r="Q1143" i="129"/>
  <c r="R1143" i="129"/>
  <c r="P1144" i="129"/>
  <c r="Q1144" i="129"/>
  <c r="R1144" i="129"/>
  <c r="P1145" i="129"/>
  <c r="Q1145" i="129"/>
  <c r="R1145" i="129"/>
  <c r="P1146" i="129"/>
  <c r="Q1146" i="129"/>
  <c r="R1146" i="129"/>
  <c r="P1147" i="129"/>
  <c r="Q1147" i="129"/>
  <c r="R1147" i="129"/>
  <c r="P1148" i="129"/>
  <c r="Q1148" i="129"/>
  <c r="R1148" i="129"/>
  <c r="P1149" i="129"/>
  <c r="Q1149" i="129"/>
  <c r="R1149" i="129"/>
  <c r="P1150" i="129"/>
  <c r="Q1150" i="129"/>
  <c r="R1150" i="129"/>
  <c r="P1151" i="129"/>
  <c r="Q1151" i="129"/>
  <c r="R1151" i="129"/>
  <c r="P1152" i="129"/>
  <c r="Q1152" i="129"/>
  <c r="R1152" i="129"/>
  <c r="P1153" i="129"/>
  <c r="Q1153" i="129"/>
  <c r="R1153" i="129"/>
  <c r="P1154" i="129"/>
  <c r="Q1154" i="129"/>
  <c r="R1154" i="129"/>
  <c r="P1155" i="129"/>
  <c r="Q1155" i="129"/>
  <c r="R1155" i="129"/>
  <c r="P1156" i="129"/>
  <c r="Q1156" i="129"/>
  <c r="R1156" i="129"/>
  <c r="P1157" i="129"/>
  <c r="Q1157" i="129"/>
  <c r="R1157" i="129"/>
  <c r="P1158" i="129"/>
  <c r="Q1158" i="129"/>
  <c r="R1158" i="129"/>
  <c r="P1159" i="129"/>
  <c r="Q1159" i="129"/>
  <c r="R1159" i="129"/>
  <c r="P1160" i="129"/>
  <c r="Q1160" i="129"/>
  <c r="R1160" i="129"/>
  <c r="P1161" i="129"/>
  <c r="Q1161" i="129"/>
  <c r="R1161" i="129"/>
  <c r="P1162" i="129"/>
  <c r="Q1162" i="129"/>
  <c r="R1162" i="129"/>
  <c r="P1163" i="129"/>
  <c r="Q1163" i="129"/>
  <c r="R1163" i="129"/>
  <c r="P1164" i="129"/>
  <c r="Q1164" i="129"/>
  <c r="R1164" i="129"/>
  <c r="P1165" i="129"/>
  <c r="Q1165" i="129"/>
  <c r="R1165" i="129"/>
  <c r="P1166" i="129"/>
  <c r="Q1166" i="129"/>
  <c r="R1166" i="129"/>
  <c r="P1167" i="129"/>
  <c r="Q1167" i="129"/>
  <c r="R1167" i="129"/>
  <c r="P1168" i="129"/>
  <c r="Q1168" i="129"/>
  <c r="R1168" i="129"/>
  <c r="P1169" i="129"/>
  <c r="Q1169" i="129"/>
  <c r="R1169" i="129"/>
  <c r="P1170" i="129"/>
  <c r="Q1170" i="129"/>
  <c r="R1170" i="129"/>
  <c r="P1171" i="129"/>
  <c r="Q1171" i="129"/>
  <c r="R1171" i="129"/>
  <c r="P1172" i="129"/>
  <c r="Q1172" i="129"/>
  <c r="R1172" i="129"/>
  <c r="P1173" i="129"/>
  <c r="Q1173" i="129"/>
  <c r="R1173" i="129"/>
  <c r="P1174" i="129"/>
  <c r="Q1174" i="129"/>
  <c r="R1174" i="129"/>
  <c r="P1175" i="129"/>
  <c r="Q1175" i="129"/>
  <c r="R1175" i="129"/>
  <c r="P1176" i="129"/>
  <c r="Q1176" i="129"/>
  <c r="R1176" i="129"/>
  <c r="P1177" i="129"/>
  <c r="Q1177" i="129"/>
  <c r="R1177" i="129"/>
  <c r="P1178" i="129"/>
  <c r="Q1178" i="129"/>
  <c r="R1178" i="129"/>
  <c r="P1179" i="129"/>
  <c r="Q1179" i="129"/>
  <c r="R1179" i="129"/>
  <c r="P1180" i="129"/>
  <c r="Q1180" i="129"/>
  <c r="R1180" i="129"/>
  <c r="P1181" i="129"/>
  <c r="Q1181" i="129"/>
  <c r="R1181" i="129"/>
  <c r="P1182" i="129"/>
  <c r="Q1182" i="129"/>
  <c r="R1182" i="129"/>
  <c r="P1183" i="129"/>
  <c r="Q1183" i="129"/>
  <c r="R1183" i="129"/>
  <c r="P1184" i="129"/>
  <c r="Q1184" i="129"/>
  <c r="R1184" i="129"/>
  <c r="P1185" i="129"/>
  <c r="Q1185" i="129"/>
  <c r="R1185" i="129"/>
  <c r="P1186" i="129"/>
  <c r="Q1186" i="129"/>
  <c r="R1186" i="129"/>
  <c r="P1187" i="129"/>
  <c r="Q1187" i="129"/>
  <c r="R1187" i="129"/>
  <c r="P1188" i="129"/>
  <c r="Q1188" i="129"/>
  <c r="R1188" i="129"/>
  <c r="P1189" i="129"/>
  <c r="Q1189" i="129"/>
  <c r="R1189" i="129"/>
  <c r="P1190" i="129"/>
  <c r="Q1190" i="129"/>
  <c r="R1190" i="129"/>
  <c r="P1191" i="129"/>
  <c r="Q1191" i="129"/>
  <c r="R1191" i="129"/>
  <c r="P1192" i="129"/>
  <c r="Q1192" i="129"/>
  <c r="R1192" i="129"/>
  <c r="P1193" i="129"/>
  <c r="Q1193" i="129"/>
  <c r="R1193" i="129"/>
  <c r="P1194" i="129"/>
  <c r="Q1194" i="129"/>
  <c r="R1194" i="129"/>
  <c r="P1195" i="129"/>
  <c r="Q1195" i="129"/>
  <c r="R1195" i="129"/>
  <c r="P1196" i="129"/>
  <c r="Q1196" i="129"/>
  <c r="R1196" i="129"/>
  <c r="P1197" i="129"/>
  <c r="Q1197" i="129"/>
  <c r="R1197" i="129"/>
  <c r="P1198" i="129"/>
  <c r="Q1198" i="129"/>
  <c r="R1198" i="129"/>
  <c r="P1199" i="129"/>
  <c r="Q1199" i="129"/>
  <c r="R1199" i="129"/>
  <c r="P1200" i="129"/>
  <c r="Q1200" i="129"/>
  <c r="R1200" i="129"/>
  <c r="P1201" i="129"/>
  <c r="Q1201" i="129"/>
  <c r="R1201" i="129"/>
  <c r="P1202" i="129"/>
  <c r="Q1202" i="129"/>
  <c r="R1202" i="129"/>
  <c r="P1203" i="129"/>
  <c r="Q1203" i="129"/>
  <c r="R1203" i="129"/>
  <c r="P1204" i="129"/>
  <c r="Q1204" i="129"/>
  <c r="R1204" i="129"/>
  <c r="P1205" i="129"/>
  <c r="Q1205" i="129"/>
  <c r="R1205" i="129"/>
  <c r="P1206" i="129"/>
  <c r="Q1206" i="129"/>
  <c r="R1206" i="129"/>
  <c r="P1207" i="129"/>
  <c r="Q1207" i="129"/>
  <c r="R1207" i="129"/>
  <c r="P1208" i="129"/>
  <c r="Q1208" i="129"/>
  <c r="R1208" i="129"/>
  <c r="P1209" i="129"/>
  <c r="Q1209" i="129"/>
  <c r="R1209" i="129"/>
  <c r="P1210" i="129"/>
  <c r="Q1210" i="129"/>
  <c r="R1210" i="129"/>
  <c r="P1211" i="129"/>
  <c r="Q1211" i="129"/>
  <c r="R1211" i="129"/>
  <c r="P1212" i="129"/>
  <c r="Q1212" i="129"/>
  <c r="R1212" i="129"/>
  <c r="P1213" i="129"/>
  <c r="Q1213" i="129"/>
  <c r="R1213" i="129"/>
  <c r="P1214" i="129"/>
  <c r="Q1214" i="129"/>
  <c r="R1214" i="129"/>
  <c r="P1215" i="129"/>
  <c r="Q1215" i="129"/>
  <c r="R1215" i="129"/>
  <c r="P1216" i="129"/>
  <c r="Q1216" i="129"/>
  <c r="R1216" i="129"/>
  <c r="P1217" i="129"/>
  <c r="Q1217" i="129"/>
  <c r="R1217" i="129"/>
  <c r="P1218" i="129"/>
  <c r="Q1218" i="129"/>
  <c r="R1218" i="129"/>
  <c r="P1219" i="129"/>
  <c r="Q1219" i="129"/>
  <c r="R1219" i="129"/>
  <c r="P1220" i="129"/>
  <c r="Q1220" i="129"/>
  <c r="R1220" i="129"/>
  <c r="P1221" i="129"/>
  <c r="Q1221" i="129"/>
  <c r="R1221" i="129"/>
  <c r="P1222" i="129"/>
  <c r="Q1222" i="129"/>
  <c r="R1222" i="129"/>
  <c r="P1223" i="129"/>
  <c r="Q1223" i="129"/>
  <c r="R1223" i="129"/>
  <c r="P1224" i="129"/>
  <c r="Q1224" i="129"/>
  <c r="R1224" i="129"/>
  <c r="P1225" i="129"/>
  <c r="Q1225" i="129"/>
  <c r="R1225" i="129"/>
  <c r="P1226" i="129"/>
  <c r="Q1226" i="129"/>
  <c r="R1226" i="129"/>
  <c r="P1227" i="129"/>
  <c r="Q1227" i="129"/>
  <c r="R1227" i="129"/>
  <c r="P1228" i="129"/>
  <c r="Q1228" i="129"/>
  <c r="R1228" i="129"/>
  <c r="P1229" i="129"/>
  <c r="Q1229" i="129"/>
  <c r="R1229" i="129"/>
  <c r="P1230" i="129"/>
  <c r="Q1230" i="129"/>
  <c r="R1230" i="129"/>
  <c r="P1231" i="129"/>
  <c r="Q1231" i="129"/>
  <c r="R1231" i="129"/>
  <c r="P1232" i="129"/>
  <c r="Q1232" i="129"/>
  <c r="R1232" i="129"/>
  <c r="P1233" i="129"/>
  <c r="Q1233" i="129"/>
  <c r="R1233" i="129"/>
  <c r="P1234" i="129"/>
  <c r="Q1234" i="129"/>
  <c r="R1234" i="129"/>
  <c r="P1235" i="129"/>
  <c r="Q1235" i="129"/>
  <c r="R1235" i="129"/>
  <c r="P1236" i="129"/>
  <c r="Q1236" i="129"/>
  <c r="R1236" i="129"/>
  <c r="P1237" i="129"/>
  <c r="Q1237" i="129"/>
  <c r="R1237" i="129"/>
  <c r="P1238" i="129"/>
  <c r="Q1238" i="129"/>
  <c r="R1238" i="129"/>
  <c r="P1239" i="129"/>
  <c r="Q1239" i="129"/>
  <c r="R1239" i="129"/>
  <c r="P1240" i="129"/>
  <c r="Q1240" i="129"/>
  <c r="R1240" i="129"/>
  <c r="P1241" i="129"/>
  <c r="Q1241" i="129"/>
  <c r="R1241" i="129"/>
  <c r="P1242" i="129"/>
  <c r="Q1242" i="129"/>
  <c r="R1242" i="129"/>
  <c r="P1243" i="129"/>
  <c r="Q1243" i="129"/>
  <c r="R1243" i="129"/>
  <c r="P1244" i="129"/>
  <c r="Q1244" i="129"/>
  <c r="R1244" i="129"/>
  <c r="P1245" i="129"/>
  <c r="Q1245" i="129"/>
  <c r="R1245" i="129"/>
  <c r="P1246" i="129"/>
  <c r="Q1246" i="129"/>
  <c r="R1246" i="129"/>
  <c r="P1247" i="129"/>
  <c r="Q1247" i="129"/>
  <c r="R1247" i="129"/>
  <c r="P1248" i="129"/>
  <c r="Q1248" i="129"/>
  <c r="R1248" i="129"/>
  <c r="P1249" i="129"/>
  <c r="Q1249" i="129"/>
  <c r="R1249" i="129"/>
  <c r="P1250" i="129"/>
  <c r="Q1250" i="129"/>
  <c r="R1250" i="129"/>
  <c r="P1251" i="129"/>
  <c r="Q1251" i="129"/>
  <c r="R1251" i="129"/>
  <c r="P1252" i="129"/>
  <c r="Q1252" i="129"/>
  <c r="R1252" i="129"/>
  <c r="P1253" i="129"/>
  <c r="Q1253" i="129"/>
  <c r="R1253" i="129"/>
  <c r="P1254" i="129"/>
  <c r="Q1254" i="129"/>
  <c r="R1254" i="129"/>
  <c r="P1255" i="129"/>
  <c r="Q1255" i="129"/>
  <c r="R1255" i="129"/>
  <c r="P1256" i="129"/>
  <c r="Q1256" i="129"/>
  <c r="R1256" i="129"/>
  <c r="P1257" i="129"/>
  <c r="Q1257" i="129"/>
  <c r="R1257" i="129"/>
  <c r="P1258" i="129"/>
  <c r="Q1258" i="129"/>
  <c r="R1258" i="129"/>
  <c r="P1259" i="129"/>
  <c r="Q1259" i="129"/>
  <c r="R1259" i="129"/>
  <c r="P1260" i="129"/>
  <c r="Q1260" i="129"/>
  <c r="R1260" i="129"/>
  <c r="P1261" i="129"/>
  <c r="Q1261" i="129"/>
  <c r="R1261" i="129"/>
  <c r="P1262" i="129"/>
  <c r="Q1262" i="129"/>
  <c r="R1262" i="129"/>
  <c r="P1263" i="129"/>
  <c r="Q1263" i="129"/>
  <c r="R1263" i="129"/>
  <c r="P1264" i="129"/>
  <c r="Q1264" i="129"/>
  <c r="R1264" i="129"/>
  <c r="P1265" i="129"/>
  <c r="Q1265" i="129"/>
  <c r="R1265" i="129"/>
  <c r="P1266" i="129"/>
  <c r="Q1266" i="129"/>
  <c r="R1266" i="129"/>
  <c r="P1267" i="129"/>
  <c r="Q1267" i="129"/>
  <c r="R1267" i="129"/>
  <c r="P1268" i="129"/>
  <c r="Q1268" i="129"/>
  <c r="R1268" i="129"/>
  <c r="P1269" i="129"/>
  <c r="Q1269" i="129"/>
  <c r="R1269" i="129"/>
  <c r="P1270" i="129"/>
  <c r="Q1270" i="129"/>
  <c r="R1270" i="129"/>
  <c r="P1271" i="129"/>
  <c r="Q1271" i="129"/>
  <c r="R1271" i="129"/>
  <c r="P1272" i="129"/>
  <c r="Q1272" i="129"/>
  <c r="R1272" i="129"/>
  <c r="P1273" i="129"/>
  <c r="Q1273" i="129"/>
  <c r="R1273" i="129"/>
  <c r="P1274" i="129"/>
  <c r="Q1274" i="129"/>
  <c r="R1274" i="129"/>
  <c r="P1275" i="129"/>
  <c r="Q1275" i="129"/>
  <c r="R1275" i="129"/>
  <c r="P1276" i="129"/>
  <c r="Q1276" i="129"/>
  <c r="R1276" i="129"/>
  <c r="P1277" i="129"/>
  <c r="Q1277" i="129"/>
  <c r="R1277" i="129"/>
  <c r="P1278" i="129"/>
  <c r="Q1278" i="129"/>
  <c r="R1278" i="129"/>
  <c r="P1279" i="129"/>
  <c r="Q1279" i="129"/>
  <c r="R1279" i="129"/>
  <c r="P1280" i="129"/>
  <c r="Q1280" i="129"/>
  <c r="R1280" i="129"/>
  <c r="P1281" i="129"/>
  <c r="Q1281" i="129"/>
  <c r="R1281" i="129"/>
  <c r="P1282" i="129"/>
  <c r="Q1282" i="129"/>
  <c r="R1282" i="129"/>
  <c r="P1283" i="129"/>
  <c r="Q1283" i="129"/>
  <c r="R1283" i="129"/>
  <c r="P1284" i="129"/>
  <c r="Q1284" i="129"/>
  <c r="R1284" i="129"/>
  <c r="P1285" i="129"/>
  <c r="Q1285" i="129"/>
  <c r="R1285" i="129"/>
  <c r="P1286" i="129"/>
  <c r="Q1286" i="129"/>
  <c r="R1286" i="129"/>
  <c r="P1287" i="129"/>
  <c r="Q1287" i="129"/>
  <c r="R1287" i="129"/>
  <c r="P1288" i="129"/>
  <c r="Q1288" i="129"/>
  <c r="R1288" i="129"/>
  <c r="P1289" i="129"/>
  <c r="Q1289" i="129"/>
  <c r="R1289" i="129"/>
  <c r="P1290" i="129"/>
  <c r="Q1290" i="129"/>
  <c r="R1290" i="129"/>
  <c r="P1291" i="129"/>
  <c r="Q1291" i="129"/>
  <c r="R1291" i="129"/>
  <c r="P1292" i="129"/>
  <c r="Q1292" i="129"/>
  <c r="R1292" i="129"/>
  <c r="P1293" i="129"/>
  <c r="Q1293" i="129"/>
  <c r="R1293" i="129"/>
  <c r="P1294" i="129"/>
  <c r="Q1294" i="129"/>
  <c r="R1294" i="129"/>
  <c r="P1295" i="129"/>
  <c r="Q1295" i="129"/>
  <c r="R1295" i="129"/>
  <c r="P1296" i="129"/>
  <c r="Q1296" i="129"/>
  <c r="R1296" i="129"/>
  <c r="P1297" i="129"/>
  <c r="Q1297" i="129"/>
  <c r="R1297" i="129"/>
  <c r="P1298" i="129"/>
  <c r="Q1298" i="129"/>
  <c r="R1298" i="129"/>
  <c r="P1299" i="129"/>
  <c r="Q1299" i="129"/>
  <c r="R1299" i="129"/>
  <c r="P1300" i="129"/>
  <c r="Q1300" i="129"/>
  <c r="R1300" i="129"/>
  <c r="P1301" i="129"/>
  <c r="Q1301" i="129"/>
  <c r="R1301" i="129"/>
  <c r="P1302" i="129"/>
  <c r="Q1302" i="129"/>
  <c r="R1302" i="129"/>
  <c r="P1303" i="129"/>
  <c r="Q1303" i="129"/>
  <c r="R1303" i="129"/>
  <c r="P1304" i="129"/>
  <c r="Q1304" i="129"/>
  <c r="R1304" i="129"/>
  <c r="P1305" i="129"/>
  <c r="Q1305" i="129"/>
  <c r="R1305" i="129"/>
  <c r="P1306" i="129"/>
  <c r="Q1306" i="129"/>
  <c r="R1306" i="129"/>
  <c r="P1307" i="129"/>
  <c r="Q1307" i="129"/>
  <c r="R1307" i="129"/>
  <c r="P1308" i="129"/>
  <c r="Q1308" i="129"/>
  <c r="R1308" i="129"/>
  <c r="P1309" i="129"/>
  <c r="Q1309" i="129"/>
  <c r="R1309" i="129"/>
  <c r="P1310" i="129"/>
  <c r="Q1310" i="129"/>
  <c r="R1310" i="129"/>
  <c r="P1311" i="129"/>
  <c r="Q1311" i="129"/>
  <c r="R1311" i="129"/>
  <c r="P1312" i="129"/>
  <c r="Q1312" i="129"/>
  <c r="R1312" i="129"/>
  <c r="P1313" i="129"/>
  <c r="Q1313" i="129"/>
  <c r="R1313" i="129"/>
  <c r="P1314" i="129"/>
  <c r="Q1314" i="129"/>
  <c r="R1314" i="129"/>
  <c r="P1315" i="129"/>
  <c r="Q1315" i="129"/>
  <c r="R1315" i="129"/>
  <c r="P1316" i="129"/>
  <c r="Q1316" i="129"/>
  <c r="R1316" i="129"/>
  <c r="P1317" i="129"/>
  <c r="Q1317" i="129"/>
  <c r="R1317" i="129"/>
  <c r="P1318" i="129"/>
  <c r="Q1318" i="129"/>
  <c r="R1318" i="129"/>
  <c r="P1319" i="129"/>
  <c r="Q1319" i="129"/>
  <c r="R1319" i="129"/>
  <c r="P1320" i="129"/>
  <c r="Q1320" i="129"/>
  <c r="R1320" i="129"/>
  <c r="P1321" i="129"/>
  <c r="Q1321" i="129"/>
  <c r="R1321" i="129"/>
  <c r="P1322" i="129"/>
  <c r="Q1322" i="129"/>
  <c r="R1322" i="129"/>
  <c r="P1323" i="129"/>
  <c r="Q1323" i="129"/>
  <c r="R1323" i="129"/>
  <c r="P1324" i="129"/>
  <c r="Q1324" i="129"/>
  <c r="R1324" i="129"/>
  <c r="P1325" i="129"/>
  <c r="Q1325" i="129"/>
  <c r="R1325" i="129"/>
  <c r="P1326" i="129"/>
  <c r="Q1326" i="129"/>
  <c r="R1326" i="129"/>
  <c r="P1327" i="129"/>
  <c r="Q1327" i="129"/>
  <c r="R1327" i="129"/>
  <c r="P1328" i="129"/>
  <c r="Q1328" i="129"/>
  <c r="R1328" i="129"/>
  <c r="P1329" i="129"/>
  <c r="Q1329" i="129"/>
  <c r="R1329" i="129"/>
  <c r="P1330" i="129"/>
  <c r="Q1330" i="129"/>
  <c r="R1330" i="129"/>
  <c r="P1331" i="129"/>
  <c r="Q1331" i="129"/>
  <c r="R1331" i="129"/>
  <c r="P1332" i="129"/>
  <c r="Q1332" i="129"/>
  <c r="R1332" i="129"/>
  <c r="P1333" i="129"/>
  <c r="Q1333" i="129"/>
  <c r="R1333" i="129"/>
  <c r="P1334" i="129"/>
  <c r="Q1334" i="129"/>
  <c r="R1334" i="129"/>
  <c r="P1335" i="129"/>
  <c r="Q1335" i="129"/>
  <c r="R1335" i="129"/>
  <c r="P1336" i="129"/>
  <c r="Q1336" i="129"/>
  <c r="R1336" i="129"/>
  <c r="P1337" i="129"/>
  <c r="Q1337" i="129"/>
  <c r="R1337" i="129"/>
  <c r="P1338" i="129"/>
  <c r="Q1338" i="129"/>
  <c r="R1338" i="129"/>
  <c r="P1339" i="129"/>
  <c r="Q1339" i="129"/>
  <c r="R1339" i="129"/>
  <c r="P1340" i="129"/>
  <c r="Q1340" i="129"/>
  <c r="R1340" i="129"/>
  <c r="P1341" i="129"/>
  <c r="Q1341" i="129"/>
  <c r="R1341" i="129"/>
  <c r="P1342" i="129"/>
  <c r="Q1342" i="129"/>
  <c r="R1342" i="129"/>
  <c r="P1343" i="129"/>
  <c r="Q1343" i="129"/>
  <c r="R1343" i="129"/>
  <c r="P1344" i="129"/>
  <c r="Q1344" i="129"/>
  <c r="R1344" i="129"/>
  <c r="P1345" i="129"/>
  <c r="Q1345" i="129"/>
  <c r="R1345" i="129"/>
  <c r="P1346" i="129"/>
  <c r="Q1346" i="129"/>
  <c r="R1346" i="129"/>
  <c r="P1347" i="129"/>
  <c r="Q1347" i="129"/>
  <c r="R1347" i="129"/>
  <c r="P1348" i="129"/>
  <c r="Q1348" i="129"/>
  <c r="R1348" i="129"/>
  <c r="P1349" i="129"/>
  <c r="Q1349" i="129"/>
  <c r="R1349" i="129"/>
  <c r="P1350" i="129"/>
  <c r="Q1350" i="129"/>
  <c r="R1350" i="129"/>
  <c r="P1351" i="129"/>
  <c r="Q1351" i="129"/>
  <c r="R1351" i="129"/>
  <c r="P1352" i="129"/>
  <c r="Q1352" i="129"/>
  <c r="R1352" i="129"/>
  <c r="P1353" i="129"/>
  <c r="Q1353" i="129"/>
  <c r="R1353" i="129"/>
  <c r="P1354" i="129"/>
  <c r="Q1354" i="129"/>
  <c r="R1354" i="129"/>
  <c r="P1355" i="129"/>
  <c r="Q1355" i="129"/>
  <c r="R1355" i="129"/>
  <c r="P1356" i="129"/>
  <c r="Q1356" i="129"/>
  <c r="R1356" i="129"/>
  <c r="P1357" i="129"/>
  <c r="Q1357" i="129"/>
  <c r="R1357" i="129"/>
  <c r="P1358" i="129"/>
  <c r="Q1358" i="129"/>
  <c r="R1358" i="129"/>
  <c r="P1359" i="129"/>
  <c r="Q1359" i="129"/>
  <c r="R1359" i="129"/>
  <c r="P1360" i="129"/>
  <c r="Q1360" i="129"/>
  <c r="R1360" i="129"/>
  <c r="P1361" i="129"/>
  <c r="Q1361" i="129"/>
  <c r="R1361" i="129"/>
  <c r="P1362" i="129"/>
  <c r="Q1362" i="129"/>
  <c r="R1362" i="129"/>
  <c r="P1363" i="129"/>
  <c r="Q1363" i="129"/>
  <c r="R1363" i="129"/>
  <c r="P1364" i="129"/>
  <c r="Q1364" i="129"/>
  <c r="R1364" i="129"/>
  <c r="P1365" i="129"/>
  <c r="Q1365" i="129"/>
  <c r="R1365" i="129"/>
  <c r="P1366" i="129"/>
  <c r="Q1366" i="129"/>
  <c r="R1366" i="129"/>
  <c r="P1367" i="129"/>
  <c r="Q1367" i="129"/>
  <c r="R1367" i="129"/>
  <c r="P1368" i="129"/>
  <c r="Q1368" i="129"/>
  <c r="R1368" i="129"/>
  <c r="P1369" i="129"/>
  <c r="Q1369" i="129"/>
  <c r="R1369" i="129"/>
  <c r="P1370" i="129"/>
  <c r="Q1370" i="129"/>
  <c r="R1370" i="129"/>
  <c r="P1371" i="129"/>
  <c r="Q1371" i="129"/>
  <c r="R1371" i="129"/>
  <c r="P1372" i="129"/>
  <c r="Q1372" i="129"/>
  <c r="R1372" i="129"/>
  <c r="P1373" i="129"/>
  <c r="Q1373" i="129"/>
  <c r="R1373" i="129"/>
  <c r="P1374" i="129"/>
  <c r="Q1374" i="129"/>
  <c r="R1374" i="129"/>
  <c r="P1375" i="129"/>
  <c r="Q1375" i="129"/>
  <c r="R1375" i="129"/>
  <c r="P1376" i="129"/>
  <c r="Q1376" i="129"/>
  <c r="R1376" i="129"/>
  <c r="P1377" i="129"/>
  <c r="Q1377" i="129"/>
  <c r="R1377" i="129"/>
  <c r="P1378" i="129"/>
  <c r="Q1378" i="129"/>
  <c r="R1378" i="129"/>
  <c r="P1379" i="129"/>
  <c r="Q1379" i="129"/>
  <c r="R1379" i="129"/>
  <c r="P1380" i="129"/>
  <c r="Q1380" i="129"/>
  <c r="R1380" i="129"/>
  <c r="P1381" i="129"/>
  <c r="Q1381" i="129"/>
  <c r="R1381" i="129"/>
  <c r="P1382" i="129"/>
  <c r="Q1382" i="129"/>
  <c r="R1382" i="129"/>
  <c r="P1383" i="129"/>
  <c r="Q1383" i="129"/>
  <c r="R1383" i="129"/>
  <c r="P1384" i="129"/>
  <c r="Q1384" i="129"/>
  <c r="R1384" i="129"/>
  <c r="P1385" i="129"/>
  <c r="Q1385" i="129"/>
  <c r="R1385" i="129"/>
  <c r="P1386" i="129"/>
  <c r="Q1386" i="129"/>
  <c r="R1386" i="129"/>
  <c r="P1387" i="129"/>
  <c r="Q1387" i="129"/>
  <c r="R1387" i="129"/>
  <c r="P1388" i="129"/>
  <c r="Q1388" i="129"/>
  <c r="R1388" i="129"/>
  <c r="P1389" i="129"/>
  <c r="Q1389" i="129"/>
  <c r="R1389" i="129"/>
  <c r="P1390" i="129"/>
  <c r="Q1390" i="129"/>
  <c r="R1390" i="129"/>
  <c r="P1391" i="129"/>
  <c r="Q1391" i="129"/>
  <c r="R1391" i="129"/>
  <c r="P1392" i="129"/>
  <c r="Q1392" i="129"/>
  <c r="R1392" i="129"/>
  <c r="P1393" i="129"/>
  <c r="Q1393" i="129"/>
  <c r="R1393" i="129"/>
  <c r="P1394" i="129"/>
  <c r="Q1394" i="129"/>
  <c r="R1394" i="129"/>
  <c r="P1395" i="129"/>
  <c r="Q1395" i="129"/>
  <c r="R1395" i="129"/>
  <c r="P1396" i="129"/>
  <c r="Q1396" i="129"/>
  <c r="R1396" i="129"/>
  <c r="P1397" i="129"/>
  <c r="Q1397" i="129"/>
  <c r="R1397" i="129"/>
  <c r="P1398" i="129"/>
  <c r="Q1398" i="129"/>
  <c r="R1398" i="129"/>
  <c r="P1399" i="129"/>
  <c r="Q1399" i="129"/>
  <c r="R1399" i="129"/>
  <c r="P1400" i="129"/>
  <c r="Q1400" i="129"/>
  <c r="R1400" i="129"/>
  <c r="P1401" i="129"/>
  <c r="Q1401" i="129"/>
  <c r="R1401" i="129"/>
  <c r="P1402" i="129"/>
  <c r="Q1402" i="129"/>
  <c r="R1402" i="129"/>
  <c r="P1403" i="129"/>
  <c r="Q1403" i="129"/>
  <c r="R1403" i="129"/>
  <c r="P1404" i="129"/>
  <c r="Q1404" i="129"/>
  <c r="R1404" i="129"/>
  <c r="P1405" i="129"/>
  <c r="Q1405" i="129"/>
  <c r="R1405" i="129"/>
  <c r="P1406" i="129"/>
  <c r="Q1406" i="129"/>
  <c r="R1406" i="129"/>
  <c r="P1407" i="129"/>
  <c r="Q1407" i="129"/>
  <c r="R1407" i="129"/>
  <c r="P1408" i="129"/>
  <c r="Q1408" i="129"/>
  <c r="R1408" i="129"/>
  <c r="P1409" i="129"/>
  <c r="Q1409" i="129"/>
  <c r="R1409" i="129"/>
  <c r="P1410" i="129"/>
  <c r="Q1410" i="129"/>
  <c r="R1410" i="129"/>
  <c r="P1411" i="129"/>
  <c r="Q1411" i="129"/>
  <c r="R1411" i="129"/>
  <c r="P1412" i="129"/>
  <c r="Q1412" i="129"/>
  <c r="R1412" i="129"/>
  <c r="P1413" i="129"/>
  <c r="Q1413" i="129"/>
  <c r="R1413" i="129"/>
  <c r="P1414" i="129"/>
  <c r="Q1414" i="129"/>
  <c r="R1414" i="129"/>
  <c r="P1415" i="129"/>
  <c r="Q1415" i="129"/>
  <c r="R1415" i="129"/>
  <c r="P1416" i="129"/>
  <c r="Q1416" i="129"/>
  <c r="R1416" i="129"/>
  <c r="P1417" i="129"/>
  <c r="Q1417" i="129"/>
  <c r="R1417" i="129"/>
  <c r="P1418" i="129"/>
  <c r="Q1418" i="129"/>
  <c r="R1418" i="129"/>
  <c r="P1419" i="129"/>
  <c r="Q1419" i="129"/>
  <c r="R1419" i="129"/>
  <c r="P1420" i="129"/>
  <c r="Q1420" i="129"/>
  <c r="R1420" i="129"/>
  <c r="P1421" i="129"/>
  <c r="Q1421" i="129"/>
  <c r="R1421" i="129"/>
  <c r="P1422" i="129"/>
  <c r="Q1422" i="129"/>
  <c r="R1422" i="129"/>
  <c r="P1423" i="129"/>
  <c r="Q1423" i="129"/>
  <c r="R1423" i="129"/>
  <c r="P1424" i="129"/>
  <c r="Q1424" i="129"/>
  <c r="R1424" i="129"/>
  <c r="P1425" i="129"/>
  <c r="Q1425" i="129"/>
  <c r="R1425" i="129"/>
  <c r="P1426" i="129"/>
  <c r="Q1426" i="129"/>
  <c r="R1426" i="129"/>
  <c r="P1427" i="129"/>
  <c r="Q1427" i="129"/>
  <c r="R1427" i="129"/>
  <c r="P1428" i="129"/>
  <c r="Q1428" i="129"/>
  <c r="R1428" i="129"/>
  <c r="P1429" i="129"/>
  <c r="Q1429" i="129"/>
  <c r="R1429" i="129"/>
  <c r="P1430" i="129"/>
  <c r="Q1430" i="129"/>
  <c r="R1430" i="129"/>
  <c r="P1431" i="129"/>
  <c r="Q1431" i="129"/>
  <c r="R1431" i="129"/>
  <c r="P1432" i="129"/>
  <c r="Q1432" i="129"/>
  <c r="R1432" i="129"/>
  <c r="P1433" i="129"/>
  <c r="Q1433" i="129"/>
  <c r="R1433" i="129"/>
  <c r="P1434" i="129"/>
  <c r="Q1434" i="129"/>
  <c r="R1434" i="129"/>
  <c r="P1435" i="129"/>
  <c r="Q1435" i="129"/>
  <c r="R1435" i="129"/>
  <c r="P1436" i="129"/>
  <c r="Q1436" i="129"/>
  <c r="R1436" i="129"/>
  <c r="P1437" i="129"/>
  <c r="Q1437" i="129"/>
  <c r="R1437" i="129"/>
  <c r="P1438" i="129"/>
  <c r="Q1438" i="129"/>
  <c r="R1438" i="129"/>
  <c r="P1439" i="129"/>
  <c r="Q1439" i="129"/>
  <c r="R1439" i="129"/>
  <c r="P1440" i="129"/>
  <c r="Q1440" i="129"/>
  <c r="R1440" i="129"/>
  <c r="P1441" i="129"/>
  <c r="Q1441" i="129"/>
  <c r="R1441" i="129"/>
  <c r="P1442" i="129"/>
  <c r="Q1442" i="129"/>
  <c r="R1442" i="129"/>
  <c r="P1443" i="129"/>
  <c r="Q1443" i="129"/>
  <c r="R1443" i="129"/>
  <c r="P1444" i="129"/>
  <c r="Q1444" i="129"/>
  <c r="R1444" i="129"/>
  <c r="P1445" i="129"/>
  <c r="Q1445" i="129"/>
  <c r="R1445" i="129"/>
  <c r="P1446" i="129"/>
  <c r="Q1446" i="129"/>
  <c r="R1446" i="129"/>
  <c r="P1447" i="129"/>
  <c r="Q1447" i="129"/>
  <c r="R1447" i="129"/>
  <c r="P1448" i="129"/>
  <c r="Q1448" i="129"/>
  <c r="R1448" i="129"/>
  <c r="P1449" i="129"/>
  <c r="Q1449" i="129"/>
  <c r="R1449" i="129"/>
  <c r="P1450" i="129"/>
  <c r="Q1450" i="129"/>
  <c r="R1450" i="129"/>
  <c r="P1451" i="129"/>
  <c r="Q1451" i="129"/>
  <c r="R1451" i="129"/>
  <c r="P1452" i="129"/>
  <c r="Q1452" i="129"/>
  <c r="R1452" i="129"/>
  <c r="P1453" i="129"/>
  <c r="Q1453" i="129"/>
  <c r="R1453" i="129"/>
  <c r="P1454" i="129"/>
  <c r="Q1454" i="129"/>
  <c r="R1454" i="129"/>
  <c r="P1455" i="129"/>
  <c r="Q1455" i="129"/>
  <c r="R1455" i="129"/>
  <c r="P1456" i="129"/>
  <c r="Q1456" i="129"/>
  <c r="R1456" i="129"/>
  <c r="P1457" i="129"/>
  <c r="Q1457" i="129"/>
  <c r="R1457" i="129"/>
  <c r="P1458" i="129"/>
  <c r="Q1458" i="129"/>
  <c r="R1458" i="129"/>
  <c r="P1459" i="129"/>
  <c r="Q1459" i="129"/>
  <c r="R1459" i="129"/>
  <c r="P1460" i="129"/>
  <c r="Q1460" i="129"/>
  <c r="R1460" i="129"/>
  <c r="P1461" i="129"/>
  <c r="Q1461" i="129"/>
  <c r="R1461" i="129"/>
  <c r="P1462" i="129"/>
  <c r="Q1462" i="129"/>
  <c r="R1462" i="129"/>
  <c r="P1463" i="129"/>
  <c r="Q1463" i="129"/>
  <c r="R1463" i="129"/>
  <c r="P1464" i="129"/>
  <c r="Q1464" i="129"/>
  <c r="R1464" i="129"/>
  <c r="P1465" i="129"/>
  <c r="Q1465" i="129"/>
  <c r="R1465" i="129"/>
  <c r="P1466" i="129"/>
  <c r="Q1466" i="129"/>
  <c r="R1466" i="129"/>
  <c r="P1467" i="129"/>
  <c r="Q1467" i="129"/>
  <c r="R1467" i="129"/>
  <c r="P1468" i="129"/>
  <c r="Q1468" i="129"/>
  <c r="R1468" i="129"/>
  <c r="P1469" i="129"/>
  <c r="Q1469" i="129"/>
  <c r="R1469" i="129"/>
  <c r="P1470" i="129"/>
  <c r="Q1470" i="129"/>
  <c r="R1470" i="129"/>
  <c r="P1471" i="129"/>
  <c r="Q1471" i="129"/>
  <c r="R1471" i="129"/>
  <c r="P1472" i="129"/>
  <c r="Q1472" i="129"/>
  <c r="R1472" i="129"/>
  <c r="P1473" i="129"/>
  <c r="Q1473" i="129"/>
  <c r="R1473" i="129"/>
  <c r="P1474" i="129"/>
  <c r="Q1474" i="129"/>
  <c r="R1474" i="129"/>
  <c r="P1475" i="129"/>
  <c r="Q1475" i="129"/>
  <c r="R1475" i="129"/>
  <c r="P1476" i="129"/>
  <c r="Q1476" i="129"/>
  <c r="R1476" i="129"/>
  <c r="P1477" i="129"/>
  <c r="Q1477" i="129"/>
  <c r="R1477" i="129"/>
  <c r="P1478" i="129"/>
  <c r="Q1478" i="129"/>
  <c r="R1478" i="129"/>
  <c r="P1479" i="129"/>
  <c r="Q1479" i="129"/>
  <c r="R1479" i="129"/>
  <c r="P1480" i="129"/>
  <c r="Q1480" i="129"/>
  <c r="R1480" i="129"/>
  <c r="P1481" i="129"/>
  <c r="Q1481" i="129"/>
  <c r="R1481" i="129"/>
  <c r="P1482" i="129"/>
  <c r="Q1482" i="129"/>
  <c r="R1482" i="129"/>
  <c r="P1483" i="129"/>
  <c r="Q1483" i="129"/>
  <c r="R1483" i="129"/>
  <c r="P1484" i="129"/>
  <c r="Q1484" i="129"/>
  <c r="R1484" i="129"/>
  <c r="P1485" i="129"/>
  <c r="Q1485" i="129"/>
  <c r="R1485" i="129"/>
  <c r="P1486" i="129"/>
  <c r="Q1486" i="129"/>
  <c r="R1486" i="129"/>
  <c r="P1487" i="129"/>
  <c r="Q1487" i="129"/>
  <c r="R1487" i="129"/>
  <c r="P1488" i="129"/>
  <c r="Q1488" i="129"/>
  <c r="R1488" i="129"/>
  <c r="P1489" i="129"/>
  <c r="Q1489" i="129"/>
  <c r="R1489" i="129"/>
  <c r="P1490" i="129"/>
  <c r="Q1490" i="129"/>
  <c r="R1490" i="129"/>
  <c r="P1491" i="129"/>
  <c r="Q1491" i="129"/>
  <c r="R1491" i="129"/>
  <c r="P1492" i="129"/>
  <c r="Q1492" i="129"/>
  <c r="R1492" i="129"/>
  <c r="P1493" i="129"/>
  <c r="Q1493" i="129"/>
  <c r="R1493" i="129"/>
  <c r="P1494" i="129"/>
  <c r="Q1494" i="129"/>
  <c r="R1494" i="129"/>
  <c r="P1495" i="129"/>
  <c r="Q1495" i="129"/>
  <c r="R1495" i="129"/>
  <c r="P1496" i="129"/>
  <c r="Q1496" i="129"/>
  <c r="R1496" i="129"/>
  <c r="P1497" i="129"/>
  <c r="Q1497" i="129"/>
  <c r="R1497" i="129"/>
  <c r="P1498" i="129"/>
  <c r="Q1498" i="129"/>
  <c r="R1498" i="129"/>
  <c r="P1499" i="129"/>
  <c r="Q1499" i="129"/>
  <c r="R1499" i="129"/>
  <c r="P1500" i="129"/>
  <c r="Q1500" i="129"/>
  <c r="R1500" i="129"/>
  <c r="P1501" i="129"/>
  <c r="Q1501" i="129"/>
  <c r="R1501" i="129"/>
  <c r="P1502" i="129"/>
  <c r="Q1502" i="129"/>
  <c r="R1502" i="129"/>
  <c r="P1503" i="129"/>
  <c r="Q1503" i="129"/>
  <c r="R1503" i="129"/>
  <c r="P1504" i="129"/>
  <c r="Q1504" i="129"/>
  <c r="R1504" i="129"/>
  <c r="P1505" i="129"/>
  <c r="Q1505" i="129"/>
  <c r="R1505" i="129"/>
  <c r="P1506" i="129"/>
  <c r="Q1506" i="129"/>
  <c r="R1506" i="129"/>
  <c r="P1507" i="129"/>
  <c r="Q1507" i="129"/>
  <c r="R1507" i="129"/>
  <c r="P1508" i="129"/>
  <c r="Q1508" i="129"/>
  <c r="R1508" i="129"/>
  <c r="P1509" i="129"/>
  <c r="Q1509" i="129"/>
  <c r="R1509" i="129"/>
  <c r="P1510" i="129"/>
  <c r="Q1510" i="129"/>
  <c r="R1510" i="129"/>
  <c r="P1511" i="129"/>
  <c r="Q1511" i="129"/>
  <c r="R1511" i="129"/>
  <c r="P1512" i="129"/>
  <c r="Q1512" i="129"/>
  <c r="R1512" i="129"/>
  <c r="P1513" i="129"/>
  <c r="Q1513" i="129"/>
  <c r="R1513" i="129"/>
  <c r="P1514" i="129"/>
  <c r="Q1514" i="129"/>
  <c r="R1514" i="129"/>
  <c r="P1515" i="129"/>
  <c r="Q1515" i="129"/>
  <c r="R1515" i="129"/>
  <c r="P1516" i="129"/>
  <c r="Q1516" i="129"/>
  <c r="R1516" i="129"/>
  <c r="P1517" i="129"/>
  <c r="Q1517" i="129"/>
  <c r="R1517" i="129"/>
  <c r="P1518" i="129"/>
  <c r="Q1518" i="129"/>
  <c r="R1518" i="129"/>
  <c r="P1519" i="129"/>
  <c r="Q1519" i="129"/>
  <c r="R1519" i="129"/>
  <c r="P1520" i="129"/>
  <c r="Q1520" i="129"/>
  <c r="R1520" i="129"/>
  <c r="P1521" i="129"/>
  <c r="Q1521" i="129"/>
  <c r="R1521" i="129"/>
  <c r="P1522" i="129"/>
  <c r="Q1522" i="129"/>
  <c r="R1522" i="129"/>
  <c r="P1523" i="129"/>
  <c r="Q1523" i="129"/>
  <c r="R1523" i="129"/>
  <c r="P1524" i="129"/>
  <c r="Q1524" i="129"/>
  <c r="R1524" i="129"/>
  <c r="P1525" i="129"/>
  <c r="Q1525" i="129"/>
  <c r="R1525" i="129"/>
  <c r="P1526" i="129"/>
  <c r="Q1526" i="129"/>
  <c r="R1526" i="129"/>
  <c r="P1527" i="129"/>
  <c r="Q1527" i="129"/>
  <c r="R1527" i="129"/>
  <c r="P1528" i="129"/>
  <c r="Q1528" i="129"/>
  <c r="R1528" i="129"/>
  <c r="P1529" i="129"/>
  <c r="Q1529" i="129"/>
  <c r="R1529" i="129"/>
  <c r="P1530" i="129"/>
  <c r="Q1530" i="129"/>
  <c r="R1530" i="129"/>
  <c r="P1531" i="129"/>
  <c r="Q1531" i="129"/>
  <c r="R1531" i="129"/>
  <c r="P1532" i="129"/>
  <c r="Q1532" i="129"/>
  <c r="R1532" i="129"/>
  <c r="P1533" i="129"/>
  <c r="Q1533" i="129"/>
  <c r="R1533" i="129"/>
  <c r="P1534" i="129"/>
  <c r="Q1534" i="129"/>
  <c r="R1534" i="129"/>
  <c r="P1535" i="129"/>
  <c r="Q1535" i="129"/>
  <c r="R1535" i="129"/>
  <c r="P1536" i="129"/>
  <c r="Q1536" i="129"/>
  <c r="R1536" i="129"/>
  <c r="P1537" i="129"/>
  <c r="Q1537" i="129"/>
  <c r="R1537" i="129"/>
  <c r="P1538" i="129"/>
  <c r="Q1538" i="129"/>
  <c r="R1538" i="129"/>
  <c r="P1539" i="129"/>
  <c r="Q1539" i="129"/>
  <c r="R1539" i="129"/>
  <c r="P1540" i="129"/>
  <c r="Q1540" i="129"/>
  <c r="R1540" i="129"/>
  <c r="P1541" i="129"/>
  <c r="Q1541" i="129"/>
  <c r="R1541" i="129"/>
  <c r="P1542" i="129"/>
  <c r="Q1542" i="129"/>
  <c r="R1542" i="129"/>
  <c r="P1543" i="129"/>
  <c r="Q1543" i="129"/>
  <c r="R1543" i="129"/>
  <c r="P1544" i="129"/>
  <c r="Q1544" i="129"/>
  <c r="R1544" i="129"/>
  <c r="P1545" i="129"/>
  <c r="Q1545" i="129"/>
  <c r="R1545" i="129"/>
  <c r="P1546" i="129"/>
  <c r="Q1546" i="129"/>
  <c r="R1546" i="129"/>
  <c r="P1547" i="129"/>
  <c r="Q1547" i="129"/>
  <c r="R1547" i="129"/>
  <c r="P1548" i="129"/>
  <c r="Q1548" i="129"/>
  <c r="R1548" i="129"/>
  <c r="P1549" i="129"/>
  <c r="Q1549" i="129"/>
  <c r="R1549" i="129"/>
  <c r="P1550" i="129"/>
  <c r="Q1550" i="129"/>
  <c r="R1550" i="129"/>
  <c r="P1551" i="129"/>
  <c r="Q1551" i="129"/>
  <c r="R1551" i="129"/>
  <c r="P1552" i="129"/>
  <c r="Q1552" i="129"/>
  <c r="R1552" i="129"/>
  <c r="P1553" i="129"/>
  <c r="Q1553" i="129"/>
  <c r="R1553" i="129"/>
  <c r="P1554" i="129"/>
  <c r="Q1554" i="129"/>
  <c r="R1554" i="129"/>
  <c r="P1555" i="129"/>
  <c r="Q1555" i="129"/>
  <c r="R1555" i="129"/>
  <c r="P1556" i="129"/>
  <c r="Q1556" i="129"/>
  <c r="R1556" i="129"/>
  <c r="P1557" i="129"/>
  <c r="Q1557" i="129"/>
  <c r="R1557" i="129"/>
  <c r="P1558" i="129"/>
  <c r="Q1558" i="129"/>
  <c r="R1558" i="129"/>
  <c r="P1559" i="129"/>
  <c r="Q1559" i="129"/>
  <c r="R1559" i="129"/>
  <c r="P1560" i="129"/>
  <c r="Q1560" i="129"/>
  <c r="R1560" i="129"/>
  <c r="P1561" i="129"/>
  <c r="Q1561" i="129"/>
  <c r="R1561" i="129"/>
  <c r="P1562" i="129"/>
  <c r="Q1562" i="129"/>
  <c r="R1562" i="129"/>
  <c r="P1563" i="129"/>
  <c r="Q1563" i="129"/>
  <c r="R1563" i="129"/>
  <c r="P1564" i="129"/>
  <c r="Q1564" i="129"/>
  <c r="R1564" i="129"/>
  <c r="P1565" i="129"/>
  <c r="Q1565" i="129"/>
  <c r="R1565" i="129"/>
  <c r="P1566" i="129"/>
  <c r="Q1566" i="129"/>
  <c r="R1566" i="129"/>
  <c r="P1567" i="129"/>
  <c r="Q1567" i="129"/>
  <c r="R1567" i="129"/>
  <c r="P1568" i="129"/>
  <c r="Q1568" i="129"/>
  <c r="R1568" i="129"/>
  <c r="P1569" i="129"/>
  <c r="Q1569" i="129"/>
  <c r="R1569" i="129"/>
  <c r="P1570" i="129"/>
  <c r="Q1570" i="129"/>
  <c r="R1570" i="129"/>
  <c r="P1571" i="129"/>
  <c r="Q1571" i="129"/>
  <c r="R1571" i="129"/>
  <c r="P1572" i="129"/>
  <c r="Q1572" i="129"/>
  <c r="R1572" i="129"/>
  <c r="P1573" i="129"/>
  <c r="Q1573" i="129"/>
  <c r="R1573" i="129"/>
  <c r="P1574" i="129"/>
  <c r="Q1574" i="129"/>
  <c r="R1574" i="129"/>
  <c r="P1575" i="129"/>
  <c r="Q1575" i="129"/>
  <c r="R1575" i="129"/>
  <c r="P1576" i="129"/>
  <c r="Q1576" i="129"/>
  <c r="R1576" i="129"/>
  <c r="P1577" i="129"/>
  <c r="Q1577" i="129"/>
  <c r="R1577" i="129"/>
  <c r="P1578" i="129"/>
  <c r="Q1578" i="129"/>
  <c r="R1578" i="129"/>
  <c r="P1579" i="129"/>
  <c r="Q1579" i="129"/>
  <c r="R1579" i="129"/>
  <c r="P1580" i="129"/>
  <c r="Q1580" i="129"/>
  <c r="R1580" i="129"/>
  <c r="P1581" i="129"/>
  <c r="Q1581" i="129"/>
  <c r="R1581" i="129"/>
  <c r="P1582" i="129"/>
  <c r="Q1582" i="129"/>
  <c r="R1582" i="129"/>
  <c r="P1583" i="129"/>
  <c r="Q1583" i="129"/>
  <c r="R1583" i="129"/>
  <c r="P1584" i="129"/>
  <c r="Q1584" i="129"/>
  <c r="R1584" i="129"/>
  <c r="P1585" i="129"/>
  <c r="Q1585" i="129"/>
  <c r="R1585" i="129"/>
  <c r="P1586" i="129"/>
  <c r="Q1586" i="129"/>
  <c r="R1586" i="129"/>
  <c r="P1587" i="129"/>
  <c r="Q1587" i="129"/>
  <c r="R1587" i="129"/>
  <c r="P1588" i="129"/>
  <c r="Q1588" i="129"/>
  <c r="R1588" i="129"/>
  <c r="P1589" i="129"/>
  <c r="Q1589" i="129"/>
  <c r="R1589" i="129"/>
  <c r="P1590" i="129"/>
  <c r="Q1590" i="129"/>
  <c r="R1590" i="129"/>
  <c r="P1591" i="129"/>
  <c r="Q1591" i="129"/>
  <c r="R1591" i="129"/>
  <c r="P1592" i="129"/>
  <c r="Q1592" i="129"/>
  <c r="R1592" i="129"/>
  <c r="P1593" i="129"/>
  <c r="Q1593" i="129"/>
  <c r="R1593" i="129"/>
  <c r="P1594" i="129"/>
  <c r="Q1594" i="129"/>
  <c r="R1594" i="129"/>
  <c r="P1595" i="129"/>
  <c r="Q1595" i="129"/>
  <c r="R1595" i="129"/>
  <c r="P1596" i="129"/>
  <c r="Q1596" i="129"/>
  <c r="R1596" i="129"/>
  <c r="P1597" i="129"/>
  <c r="Q1597" i="129"/>
  <c r="R1597" i="129"/>
  <c r="P1598" i="129"/>
  <c r="Q1598" i="129"/>
  <c r="R1598" i="129"/>
  <c r="P1599" i="129"/>
  <c r="Q1599" i="129"/>
  <c r="R1599" i="129"/>
  <c r="P1600" i="129"/>
  <c r="Q1600" i="129"/>
  <c r="R1600" i="129"/>
  <c r="P1601" i="129"/>
  <c r="Q1601" i="129"/>
  <c r="R1601" i="129"/>
  <c r="P1602" i="129"/>
  <c r="Q1602" i="129"/>
  <c r="R1602" i="129"/>
  <c r="P1603" i="129"/>
  <c r="Q1603" i="129"/>
  <c r="R1603" i="129"/>
  <c r="P1604" i="129"/>
  <c r="Q1604" i="129"/>
  <c r="R1604" i="129"/>
  <c r="P1605" i="129"/>
  <c r="Q1605" i="129"/>
  <c r="R1605" i="129"/>
  <c r="P1606" i="129"/>
  <c r="Q1606" i="129"/>
  <c r="R1606" i="129"/>
  <c r="P1607" i="129"/>
  <c r="Q1607" i="129"/>
  <c r="R1607" i="129"/>
  <c r="P1608" i="129"/>
  <c r="Q1608" i="129"/>
  <c r="R1608" i="129"/>
  <c r="P1609" i="129"/>
  <c r="Q1609" i="129"/>
  <c r="R1609" i="129"/>
  <c r="P1610" i="129"/>
  <c r="Q1610" i="129"/>
  <c r="R1610" i="129"/>
  <c r="P1611" i="129"/>
  <c r="Q1611" i="129"/>
  <c r="R1611" i="129"/>
  <c r="P1612" i="129"/>
  <c r="Q1612" i="129"/>
  <c r="R1612" i="129"/>
  <c r="P1613" i="129"/>
  <c r="Q1613" i="129"/>
  <c r="R1613" i="129"/>
  <c r="P1614" i="129"/>
  <c r="Q1614" i="129"/>
  <c r="R1614" i="129"/>
  <c r="P1615" i="129"/>
  <c r="Q1615" i="129"/>
  <c r="R1615" i="129"/>
  <c r="P1616" i="129"/>
  <c r="Q1616" i="129"/>
  <c r="R1616" i="129"/>
  <c r="P1617" i="129"/>
  <c r="Q1617" i="129"/>
  <c r="R1617" i="129"/>
  <c r="P1618" i="129"/>
  <c r="Q1618" i="129"/>
  <c r="R1618" i="129"/>
  <c r="P1619" i="129"/>
  <c r="Q1619" i="129"/>
  <c r="R1619" i="129"/>
  <c r="P1620" i="129"/>
  <c r="Q1620" i="129"/>
  <c r="R1620" i="129"/>
  <c r="P1621" i="129"/>
  <c r="Q1621" i="129"/>
  <c r="R1621" i="129"/>
  <c r="P1622" i="129"/>
  <c r="Q1622" i="129"/>
  <c r="R1622" i="129"/>
  <c r="P1623" i="129"/>
  <c r="Q1623" i="129"/>
  <c r="R1623" i="129"/>
  <c r="P1624" i="129"/>
  <c r="Q1624" i="129"/>
  <c r="R1624" i="129"/>
  <c r="P1625" i="129"/>
  <c r="Q1625" i="129"/>
  <c r="R1625" i="129"/>
  <c r="P1626" i="129"/>
  <c r="Q1626" i="129"/>
  <c r="R1626" i="129"/>
  <c r="P1627" i="129"/>
  <c r="Q1627" i="129"/>
  <c r="R1627" i="129"/>
  <c r="P1628" i="129"/>
  <c r="Q1628" i="129"/>
  <c r="R1628" i="129"/>
  <c r="P1629" i="129"/>
  <c r="Q1629" i="129"/>
  <c r="R1629" i="129"/>
  <c r="P1630" i="129"/>
  <c r="Q1630" i="129"/>
  <c r="R1630" i="129"/>
  <c r="P1631" i="129"/>
  <c r="Q1631" i="129"/>
  <c r="R1631" i="129"/>
  <c r="P1632" i="129"/>
  <c r="Q1632" i="129"/>
  <c r="R1632" i="129"/>
  <c r="P1633" i="129"/>
  <c r="Q1633" i="129"/>
  <c r="R1633" i="129"/>
  <c r="P1634" i="129"/>
  <c r="Q1634" i="129"/>
  <c r="R1634" i="129"/>
  <c r="P1635" i="129"/>
  <c r="Q1635" i="129"/>
  <c r="R1635" i="129"/>
  <c r="P1636" i="129"/>
  <c r="Q1636" i="129"/>
  <c r="R1636" i="129"/>
  <c r="P1637" i="129"/>
  <c r="Q1637" i="129"/>
  <c r="R1637" i="129"/>
  <c r="P1638" i="129"/>
  <c r="Q1638" i="129"/>
  <c r="R1638" i="129"/>
  <c r="P1639" i="129"/>
  <c r="Q1639" i="129"/>
  <c r="R1639" i="129"/>
  <c r="P1640" i="129"/>
  <c r="Q1640" i="129"/>
  <c r="R1640" i="129"/>
  <c r="P1641" i="129"/>
  <c r="Q1641" i="129"/>
  <c r="R1641" i="129"/>
  <c r="P1642" i="129"/>
  <c r="Q1642" i="129"/>
  <c r="R1642" i="129"/>
  <c r="P1643" i="129"/>
  <c r="Q1643" i="129"/>
  <c r="R1643" i="129"/>
  <c r="P1644" i="129"/>
  <c r="Q1644" i="129"/>
  <c r="R1644" i="129"/>
  <c r="P1645" i="129"/>
  <c r="Q1645" i="129"/>
  <c r="R1645" i="129"/>
  <c r="P1646" i="129"/>
  <c r="Q1646" i="129"/>
  <c r="R1646" i="129"/>
  <c r="P1647" i="129"/>
  <c r="Q1647" i="129"/>
  <c r="R1647" i="129"/>
  <c r="P1648" i="129"/>
  <c r="Q1648" i="129"/>
  <c r="R1648" i="129"/>
  <c r="P1649" i="129"/>
  <c r="Q1649" i="129"/>
  <c r="R1649" i="129"/>
  <c r="P1650" i="129"/>
  <c r="Q1650" i="129"/>
  <c r="R1650" i="129"/>
  <c r="P1651" i="129"/>
  <c r="Q1651" i="129"/>
  <c r="R1651" i="129"/>
  <c r="P1652" i="129"/>
  <c r="Q1652" i="129"/>
  <c r="R1652" i="129"/>
  <c r="P1653" i="129"/>
  <c r="Q1653" i="129"/>
  <c r="R1653" i="129"/>
  <c r="P1654" i="129"/>
  <c r="Q1654" i="129"/>
  <c r="R1654" i="129"/>
  <c r="P1655" i="129"/>
  <c r="Q1655" i="129"/>
  <c r="R1655" i="129"/>
  <c r="P1656" i="129"/>
  <c r="Q1656" i="129"/>
  <c r="R1656" i="129"/>
  <c r="P1657" i="129"/>
  <c r="Q1657" i="129"/>
  <c r="R1657" i="129"/>
  <c r="P1658" i="129"/>
  <c r="Q1658" i="129"/>
  <c r="R1658" i="129"/>
  <c r="P1659" i="129"/>
  <c r="Q1659" i="129"/>
  <c r="R1659" i="129"/>
  <c r="P1660" i="129"/>
  <c r="Q1660" i="129"/>
  <c r="R1660" i="129"/>
  <c r="P1661" i="129"/>
  <c r="Q1661" i="129"/>
  <c r="R1661" i="129"/>
  <c r="P1662" i="129"/>
  <c r="Q1662" i="129"/>
  <c r="R1662" i="129"/>
  <c r="P1663" i="129"/>
  <c r="Q1663" i="129"/>
  <c r="R1663" i="129"/>
  <c r="P1664" i="129"/>
  <c r="Q1664" i="129"/>
  <c r="R1664" i="129"/>
  <c r="P1665" i="129"/>
  <c r="Q1665" i="129"/>
  <c r="R1665" i="129"/>
  <c r="P1666" i="129"/>
  <c r="Q1666" i="129"/>
  <c r="R1666" i="129"/>
  <c r="P1667" i="129"/>
  <c r="Q1667" i="129"/>
  <c r="R1667" i="129"/>
  <c r="P1668" i="129"/>
  <c r="Q1668" i="129"/>
  <c r="R1668" i="129"/>
  <c r="P1669" i="129"/>
  <c r="Q1669" i="129"/>
  <c r="R1669" i="129"/>
  <c r="P1670" i="129"/>
  <c r="Q1670" i="129"/>
  <c r="R1670" i="129"/>
  <c r="P1671" i="129"/>
  <c r="Q1671" i="129"/>
  <c r="R1671" i="129"/>
  <c r="P1672" i="129"/>
  <c r="Q1672" i="129"/>
  <c r="R1672" i="129"/>
  <c r="P1673" i="129"/>
  <c r="Q1673" i="129"/>
  <c r="R1673" i="129"/>
  <c r="P1674" i="129"/>
  <c r="Q1674" i="129"/>
  <c r="R1674" i="129"/>
  <c r="P1675" i="129"/>
  <c r="Q1675" i="129"/>
  <c r="R1675" i="129"/>
  <c r="P1676" i="129"/>
  <c r="Q1676" i="129"/>
  <c r="R1676" i="129"/>
  <c r="P1677" i="129"/>
  <c r="Q1677" i="129"/>
  <c r="R1677" i="129"/>
  <c r="P1678" i="129"/>
  <c r="Q1678" i="129"/>
  <c r="R1678" i="129"/>
  <c r="P1679" i="129"/>
  <c r="Q1679" i="129"/>
  <c r="R1679" i="129"/>
  <c r="P1680" i="129"/>
  <c r="Q1680" i="129"/>
  <c r="R1680" i="129"/>
  <c r="P1681" i="129"/>
  <c r="Q1681" i="129"/>
  <c r="R1681" i="129"/>
  <c r="P1682" i="129"/>
  <c r="Q1682" i="129"/>
  <c r="R1682" i="129"/>
  <c r="P1683" i="129"/>
  <c r="Q1683" i="129"/>
  <c r="R1683" i="129"/>
  <c r="P1684" i="129"/>
  <c r="Q1684" i="129"/>
  <c r="R1684" i="129"/>
  <c r="P1685" i="129"/>
  <c r="Q1685" i="129"/>
  <c r="R1685" i="129"/>
  <c r="P1686" i="129"/>
  <c r="Q1686" i="129"/>
  <c r="R1686" i="129"/>
  <c r="P1687" i="129"/>
  <c r="Q1687" i="129"/>
  <c r="R1687" i="129"/>
  <c r="P1688" i="129"/>
  <c r="Q1688" i="129"/>
  <c r="R1688" i="129"/>
  <c r="P1689" i="129"/>
  <c r="Q1689" i="129"/>
  <c r="R1689" i="129"/>
  <c r="P1690" i="129"/>
  <c r="Q1690" i="129"/>
  <c r="R1690" i="129"/>
  <c r="P1691" i="129"/>
  <c r="Q1691" i="129"/>
  <c r="R1691" i="129"/>
  <c r="P1692" i="129"/>
  <c r="Q1692" i="129"/>
  <c r="R1692" i="129"/>
  <c r="P1693" i="129"/>
  <c r="Q1693" i="129"/>
  <c r="R1693" i="129"/>
  <c r="P1694" i="129"/>
  <c r="Q1694" i="129"/>
  <c r="R1694" i="129"/>
  <c r="P1695" i="129"/>
  <c r="Q1695" i="129"/>
  <c r="R1695" i="129"/>
  <c r="P1696" i="129"/>
  <c r="Q1696" i="129"/>
  <c r="R1696" i="129"/>
  <c r="P1697" i="129"/>
  <c r="Q1697" i="129"/>
  <c r="R1697" i="129"/>
  <c r="P1698" i="129"/>
  <c r="Q1698" i="129"/>
  <c r="R1698" i="129"/>
  <c r="P1699" i="129"/>
  <c r="Q1699" i="129"/>
  <c r="R1699" i="129"/>
  <c r="P1700" i="129"/>
  <c r="Q1700" i="129"/>
  <c r="R1700" i="129"/>
  <c r="P1701" i="129"/>
  <c r="Q1701" i="129"/>
  <c r="R1701" i="129"/>
  <c r="P1702" i="129"/>
  <c r="Q1702" i="129"/>
  <c r="R1702" i="129"/>
  <c r="P1703" i="129"/>
  <c r="Q1703" i="129"/>
  <c r="R1703" i="129"/>
  <c r="P1704" i="129"/>
  <c r="Q1704" i="129"/>
  <c r="R1704" i="129"/>
  <c r="P1705" i="129"/>
  <c r="Q1705" i="129"/>
  <c r="R1705" i="129"/>
  <c r="P1706" i="129"/>
  <c r="Q1706" i="129"/>
  <c r="R1706" i="129"/>
  <c r="P1707" i="129"/>
  <c r="Q1707" i="129"/>
  <c r="R1707" i="129"/>
  <c r="P1708" i="129"/>
  <c r="Q1708" i="129"/>
  <c r="R1708" i="129"/>
  <c r="P1709" i="129"/>
  <c r="Q1709" i="129"/>
  <c r="R1709" i="129"/>
  <c r="P1710" i="129"/>
  <c r="Q1710" i="129"/>
  <c r="R1710" i="129"/>
  <c r="P1711" i="129"/>
  <c r="Q1711" i="129"/>
  <c r="R1711" i="129"/>
  <c r="P1712" i="129"/>
  <c r="Q1712" i="129"/>
  <c r="R1712" i="129"/>
  <c r="P1713" i="129"/>
  <c r="Q1713" i="129"/>
  <c r="R1713" i="129"/>
  <c r="P1714" i="129"/>
  <c r="Q1714" i="129"/>
  <c r="R1714" i="129"/>
  <c r="P1715" i="129"/>
  <c r="Q1715" i="129"/>
  <c r="R1715" i="129"/>
  <c r="P1716" i="129"/>
  <c r="Q1716" i="129"/>
  <c r="R1716" i="129"/>
  <c r="P1717" i="129"/>
  <c r="Q1717" i="129"/>
  <c r="R1717" i="129"/>
  <c r="P1718" i="129"/>
  <c r="Q1718" i="129"/>
  <c r="R1718" i="129"/>
  <c r="P1719" i="129"/>
  <c r="Q1719" i="129"/>
  <c r="R1719" i="129"/>
  <c r="P1720" i="129"/>
  <c r="Q1720" i="129"/>
  <c r="R1720" i="129"/>
  <c r="P1721" i="129"/>
  <c r="Q1721" i="129"/>
  <c r="R1721" i="129"/>
  <c r="P1722" i="129"/>
  <c r="Q1722" i="129"/>
  <c r="R1722" i="129"/>
  <c r="P1723" i="129"/>
  <c r="Q1723" i="129"/>
  <c r="R1723" i="129"/>
  <c r="P1724" i="129"/>
  <c r="Q1724" i="129"/>
  <c r="R1724" i="129"/>
  <c r="P1725" i="129"/>
  <c r="Q1725" i="129"/>
  <c r="R1725" i="129"/>
  <c r="P1726" i="129"/>
  <c r="Q1726" i="129"/>
  <c r="R1726" i="129"/>
  <c r="P1727" i="129"/>
  <c r="Q1727" i="129"/>
  <c r="R1727" i="129"/>
  <c r="P1728" i="129"/>
  <c r="Q1728" i="129"/>
  <c r="R1728" i="129"/>
  <c r="P1729" i="129"/>
  <c r="Q1729" i="129"/>
  <c r="R1729" i="129"/>
  <c r="P1730" i="129"/>
  <c r="Q1730" i="129"/>
  <c r="R1730" i="129"/>
  <c r="P1731" i="129"/>
  <c r="Q1731" i="129"/>
  <c r="R1731" i="129"/>
  <c r="P1732" i="129"/>
  <c r="Q1732" i="129"/>
  <c r="R1732" i="129"/>
  <c r="P1733" i="129"/>
  <c r="Q1733" i="129"/>
  <c r="R1733" i="129"/>
  <c r="P1734" i="129"/>
  <c r="Q1734" i="129"/>
  <c r="R1734" i="129"/>
  <c r="P1735" i="129"/>
  <c r="Q1735" i="129"/>
  <c r="R1735" i="129"/>
  <c r="P1736" i="129"/>
  <c r="Q1736" i="129"/>
  <c r="R1736" i="129"/>
  <c r="P1737" i="129"/>
  <c r="Q1737" i="129"/>
  <c r="R1737" i="129"/>
  <c r="P1738" i="129"/>
  <c r="Q1738" i="129"/>
  <c r="R1738" i="129"/>
  <c r="P1739" i="129"/>
  <c r="Q1739" i="129"/>
  <c r="R1739" i="129"/>
  <c r="P1740" i="129"/>
  <c r="Q1740" i="129"/>
  <c r="R1740" i="129"/>
  <c r="P1741" i="129"/>
  <c r="Q1741" i="129"/>
  <c r="R1741" i="129"/>
  <c r="P1742" i="129"/>
  <c r="Q1742" i="129"/>
  <c r="R1742" i="129"/>
  <c r="P1743" i="129"/>
  <c r="Q1743" i="129"/>
  <c r="R1743" i="129"/>
  <c r="P1744" i="129"/>
  <c r="Q1744" i="129"/>
  <c r="R1744" i="129"/>
  <c r="P1745" i="129"/>
  <c r="Q1745" i="129"/>
  <c r="R1745" i="129"/>
  <c r="P1746" i="129"/>
  <c r="Q1746" i="129"/>
  <c r="R1746" i="129"/>
  <c r="P1747" i="129"/>
  <c r="Q1747" i="129"/>
  <c r="R1747" i="129"/>
  <c r="P1748" i="129"/>
  <c r="Q1748" i="129"/>
  <c r="R1748" i="129"/>
  <c r="P1749" i="129"/>
  <c r="Q1749" i="129"/>
  <c r="R1749" i="129"/>
  <c r="P1750" i="129"/>
  <c r="Q1750" i="129"/>
  <c r="R1750" i="129"/>
  <c r="P1751" i="129"/>
  <c r="Q1751" i="129"/>
  <c r="R1751" i="129"/>
  <c r="P1752" i="129"/>
  <c r="Q1752" i="129"/>
  <c r="R1752" i="129"/>
  <c r="P1753" i="129"/>
  <c r="Q1753" i="129"/>
  <c r="R1753" i="129"/>
  <c r="P1754" i="129"/>
  <c r="Q1754" i="129"/>
  <c r="R1754" i="129"/>
  <c r="P1755" i="129"/>
  <c r="Q1755" i="129"/>
  <c r="R1755" i="129"/>
  <c r="P1756" i="129"/>
  <c r="Q1756" i="129"/>
  <c r="R1756" i="129"/>
  <c r="P1757" i="129"/>
  <c r="Q1757" i="129"/>
  <c r="R1757" i="129"/>
  <c r="P1758" i="129"/>
  <c r="Q1758" i="129"/>
  <c r="R1758" i="129"/>
  <c r="P1759" i="129"/>
  <c r="Q1759" i="129"/>
  <c r="R1759" i="129"/>
  <c r="P1760" i="129"/>
  <c r="Q1760" i="129"/>
  <c r="R1760" i="129"/>
  <c r="P1761" i="129"/>
  <c r="Q1761" i="129"/>
  <c r="R1761" i="129"/>
  <c r="P1762" i="129"/>
  <c r="Q1762" i="129"/>
  <c r="R1762" i="129"/>
  <c r="P1763" i="129"/>
  <c r="Q1763" i="129"/>
  <c r="R1763" i="129"/>
  <c r="P1764" i="129"/>
  <c r="Q1764" i="129"/>
  <c r="R1764" i="129"/>
  <c r="P1765" i="129"/>
  <c r="Q1765" i="129"/>
  <c r="R1765" i="129"/>
  <c r="P1766" i="129"/>
  <c r="Q1766" i="129"/>
  <c r="R1766" i="129"/>
  <c r="P1767" i="129"/>
  <c r="Q1767" i="129"/>
  <c r="R1767" i="129"/>
  <c r="P1768" i="129"/>
  <c r="Q1768" i="129"/>
  <c r="R1768" i="129"/>
  <c r="P1769" i="129"/>
  <c r="Q1769" i="129"/>
  <c r="R1769" i="129"/>
  <c r="P1770" i="129"/>
  <c r="Q1770" i="129"/>
  <c r="R1770" i="129"/>
  <c r="P1771" i="129"/>
  <c r="Q1771" i="129"/>
  <c r="R1771" i="129"/>
  <c r="P1772" i="129"/>
  <c r="Q1772" i="129"/>
  <c r="R1772" i="129"/>
  <c r="P1773" i="129"/>
  <c r="Q1773" i="129"/>
  <c r="R1773" i="129"/>
  <c r="P1774" i="129"/>
  <c r="Q1774" i="129"/>
  <c r="R1774" i="129"/>
  <c r="P1775" i="129"/>
  <c r="Q1775" i="129"/>
  <c r="R1775" i="129"/>
  <c r="P1776" i="129"/>
  <c r="Q1776" i="129"/>
  <c r="R1776" i="129"/>
  <c r="P1777" i="129"/>
  <c r="Q1777" i="129"/>
  <c r="R1777" i="129"/>
  <c r="P1778" i="129"/>
  <c r="Q1778" i="129"/>
  <c r="R1778" i="129"/>
  <c r="P1779" i="129"/>
  <c r="Q1779" i="129"/>
  <c r="R1779" i="129"/>
  <c r="P1780" i="129"/>
  <c r="Q1780" i="129"/>
  <c r="R1780" i="129"/>
  <c r="P1781" i="129"/>
  <c r="Q1781" i="129"/>
  <c r="R1781" i="129"/>
  <c r="P1782" i="129"/>
  <c r="Q1782" i="129"/>
  <c r="R1782" i="129"/>
  <c r="P1783" i="129"/>
  <c r="Q1783" i="129"/>
  <c r="R1783" i="129"/>
  <c r="P1784" i="129"/>
  <c r="Q1784" i="129"/>
  <c r="R1784" i="129"/>
  <c r="P1785" i="129"/>
  <c r="Q1785" i="129"/>
  <c r="R1785" i="129"/>
  <c r="P1786" i="129"/>
  <c r="Q1786" i="129"/>
  <c r="R1786" i="129"/>
  <c r="P1787" i="129"/>
  <c r="Q1787" i="129"/>
  <c r="R1787" i="129"/>
  <c r="P1788" i="129"/>
  <c r="Q1788" i="129"/>
  <c r="R1788" i="129"/>
  <c r="P1789" i="129"/>
  <c r="Q1789" i="129"/>
  <c r="R1789" i="129"/>
  <c r="P1790" i="129"/>
  <c r="Q1790" i="129"/>
  <c r="R1790" i="129"/>
  <c r="P1791" i="129"/>
  <c r="Q1791" i="129"/>
  <c r="R1791" i="129"/>
  <c r="P1792" i="129"/>
  <c r="Q1792" i="129"/>
  <c r="R1792" i="129"/>
  <c r="P1793" i="129"/>
  <c r="Q1793" i="129"/>
  <c r="R1793" i="129"/>
  <c r="P1794" i="129"/>
  <c r="Q1794" i="129"/>
  <c r="R1794" i="129"/>
  <c r="P1795" i="129"/>
  <c r="Q1795" i="129"/>
  <c r="R1795" i="129"/>
  <c r="P1796" i="129"/>
  <c r="Q1796" i="129"/>
  <c r="R1796" i="129"/>
  <c r="P1797" i="129"/>
  <c r="Q1797" i="129"/>
  <c r="R1797" i="129"/>
  <c r="P1798" i="129"/>
  <c r="Q1798" i="129"/>
  <c r="R1798" i="129"/>
  <c r="P1799" i="129"/>
  <c r="Q1799" i="129"/>
  <c r="R1799" i="129"/>
  <c r="P1800" i="129"/>
  <c r="Q1800" i="129"/>
  <c r="R1800" i="129"/>
  <c r="P1801" i="129"/>
  <c r="Q1801" i="129"/>
  <c r="R1801" i="129"/>
  <c r="P1802" i="129"/>
  <c r="Q1802" i="129"/>
  <c r="R1802" i="129"/>
  <c r="P1803" i="129"/>
  <c r="Q1803" i="129"/>
  <c r="R1803" i="129"/>
  <c r="P1804" i="129"/>
  <c r="Q1804" i="129"/>
  <c r="R1804" i="129"/>
  <c r="P1805" i="129"/>
  <c r="Q1805" i="129"/>
  <c r="R1805" i="129"/>
  <c r="P1806" i="129"/>
  <c r="Q1806" i="129"/>
  <c r="R1806" i="129"/>
  <c r="P1807" i="129"/>
  <c r="Q1807" i="129"/>
  <c r="R1807" i="129"/>
  <c r="P1808" i="129"/>
  <c r="Q1808" i="129"/>
  <c r="R1808" i="129"/>
  <c r="P1809" i="129"/>
  <c r="Q1809" i="129"/>
  <c r="R1809" i="129"/>
  <c r="P1810" i="129"/>
  <c r="Q1810" i="129"/>
  <c r="R1810" i="129"/>
  <c r="P1811" i="129"/>
  <c r="Q1811" i="129"/>
  <c r="R1811" i="129"/>
  <c r="P1812" i="129"/>
  <c r="Q1812" i="129"/>
  <c r="R1812" i="129"/>
  <c r="P1813" i="129"/>
  <c r="Q1813" i="129"/>
  <c r="R1813" i="129"/>
  <c r="P1814" i="129"/>
  <c r="Q1814" i="129"/>
  <c r="R1814" i="129"/>
  <c r="P1815" i="129"/>
  <c r="Q1815" i="129"/>
  <c r="R1815" i="129"/>
  <c r="P1816" i="129"/>
  <c r="Q1816" i="129"/>
  <c r="R1816" i="129"/>
  <c r="P1817" i="129"/>
  <c r="Q1817" i="129"/>
  <c r="R1817" i="129"/>
  <c r="P1818" i="129"/>
  <c r="Q1818" i="129"/>
  <c r="R1818" i="129"/>
  <c r="P1819" i="129"/>
  <c r="Q1819" i="129"/>
  <c r="R1819" i="129"/>
  <c r="P1820" i="129"/>
  <c r="Q1820" i="129"/>
  <c r="R1820" i="129"/>
  <c r="P1821" i="129"/>
  <c r="Q1821" i="129"/>
  <c r="R1821" i="129"/>
  <c r="P1822" i="129"/>
  <c r="Q1822" i="129"/>
  <c r="R1822" i="129"/>
  <c r="P1823" i="129"/>
  <c r="Q1823" i="129"/>
  <c r="R1823" i="129"/>
  <c r="P1824" i="129"/>
  <c r="Q1824" i="129"/>
  <c r="R1824" i="129"/>
  <c r="P1825" i="129"/>
  <c r="Q1825" i="129"/>
  <c r="R1825" i="129"/>
  <c r="P1826" i="129"/>
  <c r="Q1826" i="129"/>
  <c r="R1826" i="129"/>
  <c r="P1827" i="129"/>
  <c r="Q1827" i="129"/>
  <c r="R1827" i="129"/>
  <c r="P1828" i="129"/>
  <c r="Q1828" i="129"/>
  <c r="R1828" i="129"/>
  <c r="P1829" i="129"/>
  <c r="Q1829" i="129"/>
  <c r="R1829" i="129"/>
  <c r="P1830" i="129"/>
  <c r="Q1830" i="129"/>
  <c r="R1830" i="129"/>
  <c r="P1831" i="129"/>
  <c r="Q1831" i="129"/>
  <c r="R1831" i="129"/>
  <c r="P1832" i="129"/>
  <c r="Q1832" i="129"/>
  <c r="R1832" i="129"/>
  <c r="P1833" i="129"/>
  <c r="Q1833" i="129"/>
  <c r="R1833" i="129"/>
  <c r="P1834" i="129"/>
  <c r="Q1834" i="129"/>
  <c r="R1834" i="129"/>
  <c r="P1835" i="129"/>
  <c r="Q1835" i="129"/>
  <c r="R1835" i="129"/>
  <c r="P1836" i="129"/>
  <c r="Q1836" i="129"/>
  <c r="R1836" i="129"/>
  <c r="P1837" i="129"/>
  <c r="Q1837" i="129"/>
  <c r="R1837" i="129"/>
  <c r="P1838" i="129"/>
  <c r="Q1838" i="129"/>
  <c r="R1838" i="129"/>
  <c r="P1839" i="129"/>
  <c r="Q1839" i="129"/>
  <c r="R1839" i="129"/>
  <c r="P1840" i="129"/>
  <c r="Q1840" i="129"/>
  <c r="R1840" i="129"/>
  <c r="P1841" i="129"/>
  <c r="Q1841" i="129"/>
  <c r="R1841" i="129"/>
  <c r="P1842" i="129"/>
  <c r="Q1842" i="129"/>
  <c r="R1842" i="129"/>
  <c r="P1843" i="129"/>
  <c r="Q1843" i="129"/>
  <c r="R1843" i="129"/>
  <c r="P1844" i="129"/>
  <c r="Q1844" i="129"/>
  <c r="R1844" i="129"/>
  <c r="P1845" i="129"/>
  <c r="Q1845" i="129"/>
  <c r="R1845" i="129"/>
  <c r="P1846" i="129"/>
  <c r="Q1846" i="129"/>
  <c r="R1846" i="129"/>
  <c r="P1847" i="129"/>
  <c r="Q1847" i="129"/>
  <c r="R1847" i="129"/>
  <c r="P1848" i="129"/>
  <c r="Q1848" i="129"/>
  <c r="R1848" i="129"/>
  <c r="P1849" i="129"/>
  <c r="Q1849" i="129"/>
  <c r="R1849" i="129"/>
  <c r="P1850" i="129"/>
  <c r="Q1850" i="129"/>
  <c r="R1850" i="129"/>
  <c r="P1851" i="129"/>
  <c r="Q1851" i="129"/>
  <c r="R1851" i="129"/>
  <c r="P1852" i="129"/>
  <c r="Q1852" i="129"/>
  <c r="R1852" i="129"/>
  <c r="P1853" i="129"/>
  <c r="Q1853" i="129"/>
  <c r="R1853" i="129"/>
  <c r="P1854" i="129"/>
  <c r="Q1854" i="129"/>
  <c r="R1854" i="129"/>
  <c r="P1855" i="129"/>
  <c r="Q1855" i="129"/>
  <c r="R1855" i="129"/>
  <c r="P1856" i="129"/>
  <c r="Q1856" i="129"/>
  <c r="R1856" i="129"/>
  <c r="P1857" i="129"/>
  <c r="Q1857" i="129"/>
  <c r="R1857" i="129"/>
  <c r="P1858" i="129"/>
  <c r="Q1858" i="129"/>
  <c r="R1858" i="129"/>
  <c r="P1859" i="129"/>
  <c r="Q1859" i="129"/>
  <c r="R1859" i="129"/>
  <c r="P1860" i="129"/>
  <c r="Q1860" i="129"/>
  <c r="R1860" i="129"/>
  <c r="P1861" i="129"/>
  <c r="Q1861" i="129"/>
  <c r="R1861" i="129"/>
  <c r="P1862" i="129"/>
  <c r="Q1862" i="129"/>
  <c r="R1862" i="129"/>
  <c r="P1863" i="129"/>
  <c r="Q1863" i="129"/>
  <c r="R1863" i="129"/>
  <c r="P1864" i="129"/>
  <c r="Q1864" i="129"/>
  <c r="R1864" i="129"/>
  <c r="P1865" i="129"/>
  <c r="Q1865" i="129"/>
  <c r="R1865" i="129"/>
  <c r="P1866" i="129"/>
  <c r="Q1866" i="129"/>
  <c r="R1866" i="129"/>
  <c r="P1867" i="129"/>
  <c r="Q1867" i="129"/>
  <c r="R1867" i="129"/>
  <c r="P1868" i="129"/>
  <c r="Q1868" i="129"/>
  <c r="R1868" i="129"/>
  <c r="P1869" i="129"/>
  <c r="Q1869" i="129"/>
  <c r="R1869" i="129"/>
  <c r="P1870" i="129"/>
  <c r="Q1870" i="129"/>
  <c r="R1870" i="129"/>
  <c r="P1871" i="129"/>
  <c r="Q1871" i="129"/>
  <c r="R1871" i="129"/>
  <c r="P1872" i="129"/>
  <c r="Q1872" i="129"/>
  <c r="R1872" i="129"/>
  <c r="P1873" i="129"/>
  <c r="Q1873" i="129"/>
  <c r="R1873" i="129"/>
  <c r="P1874" i="129"/>
  <c r="Q1874" i="129"/>
  <c r="R1874" i="129"/>
  <c r="P1875" i="129"/>
  <c r="Q1875" i="129"/>
  <c r="R1875" i="129"/>
  <c r="P1876" i="129"/>
  <c r="Q1876" i="129"/>
  <c r="R1876" i="129"/>
  <c r="P1877" i="129"/>
  <c r="Q1877" i="129"/>
  <c r="R1877" i="129"/>
  <c r="P1878" i="129"/>
  <c r="Q1878" i="129"/>
  <c r="R1878" i="129"/>
  <c r="P1879" i="129"/>
  <c r="Q1879" i="129"/>
  <c r="R1879" i="129"/>
  <c r="P1880" i="129"/>
  <c r="Q1880" i="129"/>
  <c r="R1880" i="129"/>
  <c r="P1881" i="129"/>
  <c r="Q1881" i="129"/>
  <c r="R1881" i="129"/>
  <c r="P1882" i="129"/>
  <c r="Q1882" i="129"/>
  <c r="R1882" i="129"/>
  <c r="P1883" i="129"/>
  <c r="Q1883" i="129"/>
  <c r="R1883" i="129"/>
  <c r="P1884" i="129"/>
  <c r="Q1884" i="129"/>
  <c r="R1884" i="129"/>
  <c r="P1885" i="129"/>
  <c r="Q1885" i="129"/>
  <c r="R1885" i="129"/>
  <c r="P1886" i="129"/>
  <c r="Q1886" i="129"/>
  <c r="R1886" i="129"/>
  <c r="P1887" i="129"/>
  <c r="Q1887" i="129"/>
  <c r="R1887" i="129"/>
  <c r="P1888" i="129"/>
  <c r="Q1888" i="129"/>
  <c r="R1888" i="129"/>
  <c r="P1889" i="129"/>
  <c r="Q1889" i="129"/>
  <c r="R1889" i="129"/>
  <c r="P1890" i="129"/>
  <c r="Q1890" i="129"/>
  <c r="R1890" i="129"/>
  <c r="P1891" i="129"/>
  <c r="Q1891" i="129"/>
  <c r="R1891" i="129"/>
  <c r="P1892" i="129"/>
  <c r="Q1892" i="129"/>
  <c r="R1892" i="129"/>
  <c r="P1893" i="129"/>
  <c r="Q1893" i="129"/>
  <c r="R1893" i="129"/>
  <c r="P1894" i="129"/>
  <c r="Q1894" i="129"/>
  <c r="R1894" i="129"/>
  <c r="P1895" i="129"/>
  <c r="Q1895" i="129"/>
  <c r="R1895" i="129"/>
  <c r="P1896" i="129"/>
  <c r="Q1896" i="129"/>
  <c r="R1896" i="129"/>
  <c r="P1897" i="129"/>
  <c r="Q1897" i="129"/>
  <c r="R1897" i="129"/>
  <c r="P1898" i="129"/>
  <c r="Q1898" i="129"/>
  <c r="R1898" i="129"/>
  <c r="P1899" i="129"/>
  <c r="Q1899" i="129"/>
  <c r="R1899" i="129"/>
  <c r="P1900" i="129"/>
  <c r="Q1900" i="129"/>
  <c r="R1900" i="129"/>
  <c r="P1901" i="129"/>
  <c r="Q1901" i="129"/>
  <c r="R1901" i="129"/>
  <c r="P1902" i="129"/>
  <c r="Q1902" i="129"/>
  <c r="R1902" i="129"/>
  <c r="P1903" i="129"/>
  <c r="Q1903" i="129"/>
  <c r="R1903" i="129"/>
  <c r="P1904" i="129"/>
  <c r="Q1904" i="129"/>
  <c r="R1904" i="129"/>
  <c r="P1905" i="129"/>
  <c r="Q1905" i="129"/>
  <c r="R1905" i="129"/>
  <c r="P1906" i="129"/>
  <c r="Q1906" i="129"/>
  <c r="R1906" i="129"/>
  <c r="P1907" i="129"/>
  <c r="Q1907" i="129"/>
  <c r="R1907" i="129"/>
  <c r="P1908" i="129"/>
  <c r="Q1908" i="129"/>
  <c r="R1908" i="129"/>
  <c r="P1909" i="129"/>
  <c r="Q1909" i="129"/>
  <c r="R1909" i="129"/>
  <c r="P1910" i="129"/>
  <c r="Q1910" i="129"/>
  <c r="R1910" i="129"/>
  <c r="P1911" i="129"/>
  <c r="Q1911" i="129"/>
  <c r="R1911" i="129"/>
  <c r="P1912" i="129"/>
  <c r="Q1912" i="129"/>
  <c r="R1912" i="129"/>
  <c r="P1913" i="129"/>
  <c r="Q1913" i="129"/>
  <c r="R1913" i="129"/>
  <c r="P1914" i="129"/>
  <c r="Q1914" i="129"/>
  <c r="R1914" i="129"/>
  <c r="P1915" i="129"/>
  <c r="Q1915" i="129"/>
  <c r="R1915" i="129"/>
  <c r="P1916" i="129"/>
  <c r="Q1916" i="129"/>
  <c r="R1916" i="129"/>
  <c r="P1917" i="129"/>
  <c r="Q1917" i="129"/>
  <c r="R1917" i="129"/>
  <c r="P1918" i="129"/>
  <c r="Q1918" i="129"/>
  <c r="R1918" i="129"/>
  <c r="P1919" i="129"/>
  <c r="Q1919" i="129"/>
  <c r="R1919" i="129"/>
  <c r="P1920" i="129"/>
  <c r="Q1920" i="129"/>
  <c r="R1920" i="129"/>
  <c r="P1921" i="129"/>
  <c r="Q1921" i="129"/>
  <c r="R1921" i="129"/>
  <c r="P1922" i="129"/>
  <c r="Q1922" i="129"/>
  <c r="R1922" i="129"/>
  <c r="P1923" i="129"/>
  <c r="Q1923" i="129"/>
  <c r="R1923" i="129"/>
  <c r="P1924" i="129"/>
  <c r="Q1924" i="129"/>
  <c r="R1924" i="129"/>
  <c r="P1925" i="129"/>
  <c r="Q1925" i="129"/>
  <c r="R1925" i="129"/>
  <c r="P1926" i="129"/>
  <c r="Q1926" i="129"/>
  <c r="R1926" i="129"/>
  <c r="P1927" i="129"/>
  <c r="Q1927" i="129"/>
  <c r="R1927" i="129"/>
  <c r="P1928" i="129"/>
  <c r="Q1928" i="129"/>
  <c r="R1928" i="129"/>
  <c r="P1929" i="129"/>
  <c r="Q1929" i="129"/>
  <c r="R1929" i="129"/>
  <c r="P1930" i="129"/>
  <c r="Q1930" i="129"/>
  <c r="R1930" i="129"/>
  <c r="P1931" i="129"/>
  <c r="Q1931" i="129"/>
  <c r="R1931" i="129"/>
  <c r="P1932" i="129"/>
  <c r="Q1932" i="129"/>
  <c r="R1932" i="129"/>
  <c r="P1933" i="129"/>
  <c r="Q1933" i="129"/>
  <c r="R1933" i="129"/>
  <c r="P1934" i="129"/>
  <c r="Q1934" i="129"/>
  <c r="R1934" i="129"/>
  <c r="P1935" i="129"/>
  <c r="Q1935" i="129"/>
  <c r="R1935" i="129"/>
  <c r="P1936" i="129"/>
  <c r="Q1936" i="129"/>
  <c r="R1936" i="129"/>
  <c r="P1937" i="129"/>
  <c r="Q1937" i="129"/>
  <c r="R1937" i="129"/>
  <c r="P1938" i="129"/>
  <c r="Q1938" i="129"/>
  <c r="R1938" i="129"/>
  <c r="P1939" i="129"/>
  <c r="Q1939" i="129"/>
  <c r="R1939" i="129"/>
  <c r="P1940" i="129"/>
  <c r="Q1940" i="129"/>
  <c r="R1940" i="129"/>
  <c r="P1941" i="129"/>
  <c r="Q1941" i="129"/>
  <c r="R1941" i="129"/>
  <c r="P1942" i="129"/>
  <c r="Q1942" i="129"/>
  <c r="R1942" i="129"/>
  <c r="P1943" i="129"/>
  <c r="Q1943" i="129"/>
  <c r="R1943" i="129"/>
  <c r="P1944" i="129"/>
  <c r="Q1944" i="129"/>
  <c r="R1944" i="129"/>
  <c r="P1945" i="129"/>
  <c r="Q1945" i="129"/>
  <c r="R1945" i="129"/>
  <c r="P1946" i="129"/>
  <c r="Q1946" i="129"/>
  <c r="R1946" i="129"/>
  <c r="P1947" i="129"/>
  <c r="Q1947" i="129"/>
  <c r="R1947" i="129"/>
  <c r="P1948" i="129"/>
  <c r="Q1948" i="129"/>
  <c r="R1948" i="129"/>
  <c r="P1949" i="129"/>
  <c r="Q1949" i="129"/>
  <c r="R1949" i="129"/>
  <c r="P1950" i="129"/>
  <c r="Q1950" i="129"/>
  <c r="R1950" i="129"/>
  <c r="P1951" i="129"/>
  <c r="Q1951" i="129"/>
  <c r="R1951" i="129"/>
  <c r="P1952" i="129"/>
  <c r="Q1952" i="129"/>
  <c r="R1952" i="129"/>
  <c r="P1953" i="129"/>
  <c r="Q1953" i="129"/>
  <c r="R1953" i="129"/>
  <c r="P1954" i="129"/>
  <c r="Q1954" i="129"/>
  <c r="R1954" i="129"/>
  <c r="P1955" i="129"/>
  <c r="Q1955" i="129"/>
  <c r="R1955" i="129"/>
  <c r="P1956" i="129"/>
  <c r="Q1956" i="129"/>
  <c r="R1956" i="129"/>
  <c r="P1957" i="129"/>
  <c r="Q1957" i="129"/>
  <c r="R1957" i="129"/>
  <c r="P1958" i="129"/>
  <c r="Q1958" i="129"/>
  <c r="R1958" i="129"/>
  <c r="P1959" i="129"/>
  <c r="Q1959" i="129"/>
  <c r="R1959" i="129"/>
  <c r="P1960" i="129"/>
  <c r="Q1960" i="129"/>
  <c r="R1960" i="129"/>
  <c r="P1961" i="129"/>
  <c r="Q1961" i="129"/>
  <c r="R1961" i="129"/>
  <c r="P1962" i="129"/>
  <c r="Q1962" i="129"/>
  <c r="R1962" i="129"/>
  <c r="P1963" i="129"/>
  <c r="Q1963" i="129"/>
  <c r="R1963" i="129"/>
  <c r="P1964" i="129"/>
  <c r="Q1964" i="129"/>
  <c r="R1964" i="129"/>
  <c r="P1965" i="129"/>
  <c r="Q1965" i="129"/>
  <c r="R1965" i="129"/>
  <c r="P1966" i="129"/>
  <c r="Q1966" i="129"/>
  <c r="R1966" i="129"/>
  <c r="P1967" i="129"/>
  <c r="Q1967" i="129"/>
  <c r="R1967" i="129"/>
  <c r="P1968" i="129"/>
  <c r="Q1968" i="129"/>
  <c r="R1968" i="129"/>
  <c r="P1969" i="129"/>
  <c r="Q1969" i="129"/>
  <c r="R1969" i="129"/>
  <c r="P1970" i="129"/>
  <c r="Q1970" i="129"/>
  <c r="R1970" i="129"/>
  <c r="P1971" i="129"/>
  <c r="Q1971" i="129"/>
  <c r="R1971" i="129"/>
  <c r="P1972" i="129"/>
  <c r="Q1972" i="129"/>
  <c r="R1972" i="129"/>
  <c r="P1973" i="129"/>
  <c r="Q1973" i="129"/>
  <c r="R1973" i="129"/>
  <c r="P1974" i="129"/>
  <c r="Q1974" i="129"/>
  <c r="R1974" i="129"/>
  <c r="P1975" i="129"/>
  <c r="Q1975" i="129"/>
  <c r="R1975" i="129"/>
  <c r="P1976" i="129"/>
  <c r="Q1976" i="129"/>
  <c r="R1976" i="129"/>
  <c r="P1977" i="129"/>
  <c r="Q1977" i="129"/>
  <c r="R1977" i="129"/>
  <c r="P1978" i="129"/>
  <c r="Q1978" i="129"/>
  <c r="R1978" i="129"/>
  <c r="P1979" i="129"/>
  <c r="Q1979" i="129"/>
  <c r="R1979" i="129"/>
  <c r="P1980" i="129"/>
  <c r="Q1980" i="129"/>
  <c r="R1980" i="129"/>
  <c r="P1981" i="129"/>
  <c r="Q1981" i="129"/>
  <c r="R1981" i="129"/>
  <c r="P1982" i="129"/>
  <c r="Q1982" i="129"/>
  <c r="R1982" i="129"/>
  <c r="P1983" i="129"/>
  <c r="Q1983" i="129"/>
  <c r="R1983" i="129"/>
  <c r="P1984" i="129"/>
  <c r="Q1984" i="129"/>
  <c r="R1984" i="129"/>
  <c r="P1985" i="129"/>
  <c r="Q1985" i="129"/>
  <c r="R1985" i="129"/>
  <c r="P1986" i="129"/>
  <c r="Q1986" i="129"/>
  <c r="R1986" i="129"/>
  <c r="P1987" i="129"/>
  <c r="Q1987" i="129"/>
  <c r="R1987" i="129"/>
  <c r="P1988" i="129"/>
  <c r="Q1988" i="129"/>
  <c r="R1988" i="129"/>
  <c r="P1989" i="129"/>
  <c r="Q1989" i="129"/>
  <c r="R1989" i="129"/>
  <c r="P1990" i="129"/>
  <c r="Q1990" i="129"/>
  <c r="R1990" i="129"/>
  <c r="P1991" i="129"/>
  <c r="Q1991" i="129"/>
  <c r="R1991" i="129"/>
  <c r="P1992" i="129"/>
  <c r="Q1992" i="129"/>
  <c r="R1992" i="129"/>
  <c r="P1993" i="129"/>
  <c r="Q1993" i="129"/>
  <c r="R1993" i="129"/>
  <c r="P1994" i="129"/>
  <c r="Q1994" i="129"/>
  <c r="R1994" i="129"/>
  <c r="P1995" i="129"/>
  <c r="Q1995" i="129"/>
  <c r="R1995" i="129"/>
  <c r="P1996" i="129"/>
  <c r="Q1996" i="129"/>
  <c r="R1996" i="129"/>
  <c r="P1997" i="129"/>
  <c r="Q1997" i="129"/>
  <c r="R1997" i="129"/>
  <c r="P1998" i="129"/>
  <c r="Q1998" i="129"/>
  <c r="R1998" i="129"/>
  <c r="P1999" i="129"/>
  <c r="Q1999" i="129"/>
  <c r="R1999" i="129"/>
  <c r="P2000" i="129"/>
  <c r="Q2000" i="129"/>
  <c r="R2000" i="129"/>
  <c r="P2001" i="129"/>
  <c r="Q2001" i="129"/>
  <c r="R2001" i="129"/>
  <c r="P2002" i="129"/>
  <c r="Q2002" i="129"/>
  <c r="R2002" i="129"/>
  <c r="P2003" i="129"/>
  <c r="Q2003" i="129"/>
  <c r="R2003" i="129"/>
  <c r="P2004" i="129"/>
  <c r="Q2004" i="129"/>
  <c r="R2004" i="129"/>
  <c r="P2005" i="129"/>
  <c r="Q2005" i="129"/>
  <c r="R2005" i="129"/>
  <c r="P2006" i="129"/>
  <c r="Q2006" i="129"/>
  <c r="R2006" i="129"/>
  <c r="P2007" i="129"/>
  <c r="Q2007" i="129"/>
  <c r="R2007" i="129"/>
  <c r="P2008" i="129"/>
  <c r="Q2008" i="129"/>
  <c r="R2008" i="129"/>
  <c r="P2009" i="129"/>
  <c r="Q2009" i="129"/>
  <c r="R2009" i="129"/>
  <c r="P2010" i="129"/>
  <c r="Q2010" i="129"/>
  <c r="R2010" i="129"/>
  <c r="P2011" i="129"/>
  <c r="Q2011" i="129"/>
  <c r="R2011" i="129"/>
  <c r="P2012" i="129"/>
  <c r="Q2012" i="129"/>
  <c r="R2012" i="129"/>
  <c r="P2013" i="129"/>
  <c r="Q2013" i="129"/>
  <c r="R2013" i="129"/>
  <c r="P2014" i="129"/>
  <c r="Q2014" i="129"/>
  <c r="R2014" i="129"/>
  <c r="P2015" i="129"/>
  <c r="Q2015" i="129"/>
  <c r="R2015" i="129"/>
  <c r="P2016" i="129"/>
  <c r="Q2016" i="129"/>
  <c r="R2016" i="129"/>
  <c r="P2017" i="129"/>
  <c r="Q2017" i="129"/>
  <c r="R2017" i="129"/>
  <c r="P2018" i="129"/>
  <c r="Q2018" i="129"/>
  <c r="R2018" i="129"/>
  <c r="P2019" i="129"/>
  <c r="Q2019" i="129"/>
  <c r="R2019" i="129"/>
  <c r="P2020" i="129"/>
  <c r="Q2020" i="129"/>
  <c r="R2020" i="129"/>
  <c r="P2021" i="129"/>
  <c r="Q2021" i="129"/>
  <c r="R2021" i="129"/>
  <c r="P2022" i="129"/>
  <c r="Q2022" i="129"/>
  <c r="R2022" i="129"/>
  <c r="P2023" i="129"/>
  <c r="Q2023" i="129"/>
  <c r="R2023" i="129"/>
  <c r="P2024" i="129"/>
  <c r="Q2024" i="129"/>
  <c r="R2024" i="129"/>
  <c r="P2025" i="129"/>
  <c r="Q2025" i="129"/>
  <c r="R2025" i="129"/>
  <c r="P2026" i="129"/>
  <c r="Q2026" i="129"/>
  <c r="R2026" i="129"/>
  <c r="P2027" i="129"/>
  <c r="Q2027" i="129"/>
  <c r="R2027" i="129"/>
  <c r="P2028" i="129"/>
  <c r="Q2028" i="129"/>
  <c r="R2028" i="129"/>
  <c r="P2029" i="129"/>
  <c r="Q2029" i="129"/>
  <c r="R2029" i="129"/>
  <c r="P2030" i="129"/>
  <c r="Q2030" i="129"/>
  <c r="R2030" i="129"/>
  <c r="P2031" i="129"/>
  <c r="Q2031" i="129"/>
  <c r="R2031" i="129"/>
  <c r="P2032" i="129"/>
  <c r="Q2032" i="129"/>
  <c r="R2032" i="129"/>
  <c r="P2033" i="129"/>
  <c r="Q2033" i="129"/>
  <c r="R2033" i="129"/>
  <c r="P2034" i="129"/>
  <c r="Q2034" i="129"/>
  <c r="R2034" i="129"/>
  <c r="P2035" i="129"/>
  <c r="Q2035" i="129"/>
  <c r="R2035" i="129"/>
  <c r="P2036" i="129"/>
  <c r="Q2036" i="129"/>
  <c r="R2036" i="129"/>
  <c r="P2037" i="129"/>
  <c r="Q2037" i="129"/>
  <c r="R2037" i="129"/>
  <c r="P2038" i="129"/>
  <c r="Q2038" i="129"/>
  <c r="R2038" i="129"/>
  <c r="P2039" i="129"/>
  <c r="Q2039" i="129"/>
  <c r="R2039" i="129"/>
  <c r="P2040" i="129"/>
  <c r="Q2040" i="129"/>
  <c r="R2040" i="129"/>
  <c r="P2041" i="129"/>
  <c r="Q2041" i="129"/>
  <c r="R2041" i="129"/>
  <c r="P2042" i="129"/>
  <c r="Q2042" i="129"/>
  <c r="R2042" i="129"/>
  <c r="P2043" i="129"/>
  <c r="Q2043" i="129"/>
  <c r="R2043" i="129"/>
  <c r="P2044" i="129"/>
  <c r="Q2044" i="129"/>
  <c r="R2044" i="129"/>
  <c r="P2045" i="129"/>
  <c r="Q2045" i="129"/>
  <c r="R2045" i="129"/>
  <c r="P2046" i="129"/>
  <c r="Q2046" i="129"/>
  <c r="R2046" i="129"/>
  <c r="P2047" i="129"/>
  <c r="Q2047" i="129"/>
  <c r="R2047" i="129"/>
  <c r="P2048" i="129"/>
  <c r="Q2048" i="129"/>
  <c r="R2048" i="129"/>
  <c r="P2049" i="129"/>
  <c r="Q2049" i="129"/>
  <c r="R2049" i="129"/>
  <c r="P2050" i="129"/>
  <c r="Q2050" i="129"/>
  <c r="R2050" i="129"/>
  <c r="P2051" i="129"/>
  <c r="Q2051" i="129"/>
  <c r="R2051" i="129"/>
  <c r="P2052" i="129"/>
  <c r="Q2052" i="129"/>
  <c r="R2052" i="129"/>
  <c r="P2053" i="129"/>
  <c r="Q2053" i="129"/>
  <c r="R2053" i="129"/>
  <c r="P2054" i="129"/>
  <c r="Q2054" i="129"/>
  <c r="R2054" i="129"/>
  <c r="P2055" i="129"/>
  <c r="Q2055" i="129"/>
  <c r="R2055" i="129"/>
  <c r="P2056" i="129"/>
  <c r="Q2056" i="129"/>
  <c r="R2056" i="129"/>
  <c r="P2057" i="129"/>
  <c r="Q2057" i="129"/>
  <c r="R2057" i="129"/>
  <c r="P2058" i="129"/>
  <c r="Q2058" i="129"/>
  <c r="R2058" i="129"/>
  <c r="P2059" i="129"/>
  <c r="Q2059" i="129"/>
  <c r="R2059" i="129"/>
  <c r="P2060" i="129"/>
  <c r="Q2060" i="129"/>
  <c r="R2060" i="129"/>
  <c r="P2061" i="129"/>
  <c r="Q2061" i="129"/>
  <c r="R2061" i="129"/>
  <c r="P2062" i="129"/>
  <c r="Q2062" i="129"/>
  <c r="R2062" i="129"/>
  <c r="P2063" i="129"/>
  <c r="Q2063" i="129"/>
  <c r="R2063" i="129"/>
  <c r="P2064" i="129"/>
  <c r="Q2064" i="129"/>
  <c r="R2064" i="129"/>
  <c r="P2065" i="129"/>
  <c r="Q2065" i="129"/>
  <c r="R2065" i="129"/>
  <c r="P2066" i="129"/>
  <c r="Q2066" i="129"/>
  <c r="R2066" i="129"/>
  <c r="P2067" i="129"/>
  <c r="Q2067" i="129"/>
  <c r="R2067" i="129"/>
  <c r="P2068" i="129"/>
  <c r="Q2068" i="129"/>
  <c r="R2068" i="129"/>
  <c r="P2069" i="129"/>
  <c r="Q2069" i="129"/>
  <c r="R2069" i="129"/>
  <c r="P2070" i="129"/>
  <c r="Q2070" i="129"/>
  <c r="R2070" i="129"/>
  <c r="P2071" i="129"/>
  <c r="Q2071" i="129"/>
  <c r="R2071" i="129"/>
  <c r="P2072" i="129"/>
  <c r="Q2072" i="129"/>
  <c r="R2072" i="129"/>
  <c r="P2073" i="129"/>
  <c r="Q2073" i="129"/>
  <c r="R2073" i="129"/>
  <c r="P2074" i="129"/>
  <c r="Q2074" i="129"/>
  <c r="R2074" i="129"/>
  <c r="P2075" i="129"/>
  <c r="Q2075" i="129"/>
  <c r="R2075" i="129"/>
  <c r="P2076" i="129"/>
  <c r="Q2076" i="129"/>
  <c r="R2076" i="129"/>
  <c r="P2077" i="129"/>
  <c r="Q2077" i="129"/>
  <c r="R2077" i="129"/>
  <c r="P2078" i="129"/>
  <c r="Q2078" i="129"/>
  <c r="R2078" i="129"/>
  <c r="P2079" i="129"/>
  <c r="Q2079" i="129"/>
  <c r="R2079" i="129"/>
  <c r="P2080" i="129"/>
  <c r="Q2080" i="129"/>
  <c r="R2080" i="129"/>
  <c r="P2081" i="129"/>
  <c r="Q2081" i="129"/>
  <c r="R2081" i="129"/>
  <c r="P2082" i="129"/>
  <c r="Q2082" i="129"/>
  <c r="R2082" i="129"/>
  <c r="P2083" i="129"/>
  <c r="Q2083" i="129"/>
  <c r="R2083" i="129"/>
  <c r="P2084" i="129"/>
  <c r="Q2084" i="129"/>
  <c r="R2084" i="129"/>
  <c r="P2085" i="129"/>
  <c r="Q2085" i="129"/>
  <c r="R2085" i="129"/>
  <c r="P2086" i="129"/>
  <c r="Q2086" i="129"/>
  <c r="R2086" i="129"/>
  <c r="P2087" i="129"/>
  <c r="Q2087" i="129"/>
  <c r="R2087" i="129"/>
  <c r="P2088" i="129"/>
  <c r="Q2088" i="129"/>
  <c r="R2088" i="129"/>
  <c r="P2089" i="129"/>
  <c r="Q2089" i="129"/>
  <c r="R2089" i="129"/>
  <c r="P2090" i="129"/>
  <c r="Q2090" i="129"/>
  <c r="R2090" i="129"/>
  <c r="P2091" i="129"/>
  <c r="Q2091" i="129"/>
  <c r="R2091" i="129"/>
  <c r="P2092" i="129"/>
  <c r="Q2092" i="129"/>
  <c r="R2092" i="129"/>
  <c r="P2093" i="129"/>
  <c r="Q2093" i="129"/>
  <c r="R2093" i="129"/>
  <c r="P2094" i="129"/>
  <c r="Q2094" i="129"/>
  <c r="R2094" i="129"/>
  <c r="P2095" i="129"/>
  <c r="Q2095" i="129"/>
  <c r="R2095" i="129"/>
  <c r="P2096" i="129"/>
  <c r="Q2096" i="129"/>
  <c r="R2096" i="129"/>
  <c r="P2097" i="129"/>
  <c r="Q2097" i="129"/>
  <c r="R2097" i="129"/>
  <c r="P2098" i="129"/>
  <c r="Q2098" i="129"/>
  <c r="R2098" i="129"/>
  <c r="P2099" i="129"/>
  <c r="Q2099" i="129"/>
  <c r="R2099" i="129"/>
  <c r="P2100" i="129"/>
  <c r="Q2100" i="129"/>
  <c r="R2100" i="129"/>
  <c r="P2101" i="129"/>
  <c r="Q2101" i="129"/>
  <c r="R2101" i="129"/>
  <c r="P2102" i="129"/>
  <c r="Q2102" i="129"/>
  <c r="R2102" i="129"/>
  <c r="P2103" i="129"/>
  <c r="Q2103" i="129"/>
  <c r="R2103" i="129"/>
  <c r="P2104" i="129"/>
  <c r="Q2104" i="129"/>
  <c r="R2104" i="129"/>
  <c r="P2105" i="129"/>
  <c r="Q2105" i="129"/>
  <c r="R2105" i="129"/>
  <c r="P2106" i="129"/>
  <c r="Q2106" i="129"/>
  <c r="R2106" i="129"/>
  <c r="P2107" i="129"/>
  <c r="Q2107" i="129"/>
  <c r="R2107" i="129"/>
  <c r="P2108" i="129"/>
  <c r="Q2108" i="129"/>
  <c r="R2108" i="129"/>
  <c r="P2109" i="129"/>
  <c r="Q2109" i="129"/>
  <c r="R2109" i="129"/>
  <c r="P2110" i="129"/>
  <c r="Q2110" i="129"/>
  <c r="R2110" i="129"/>
  <c r="P2111" i="129"/>
  <c r="Q2111" i="129"/>
  <c r="R2111" i="129"/>
  <c r="P2112" i="129"/>
  <c r="Q2112" i="129"/>
  <c r="R2112" i="129"/>
  <c r="P2113" i="129"/>
  <c r="Q2113" i="129"/>
  <c r="R2113" i="129"/>
  <c r="P2114" i="129"/>
  <c r="Q2114" i="129"/>
  <c r="R2114" i="129"/>
  <c r="P2115" i="129"/>
  <c r="Q2115" i="129"/>
  <c r="R2115" i="129"/>
  <c r="P2116" i="129"/>
  <c r="Q2116" i="129"/>
  <c r="R2116" i="129"/>
  <c r="P2117" i="129"/>
  <c r="Q2117" i="129"/>
  <c r="R2117" i="129"/>
  <c r="P2118" i="129"/>
  <c r="Q2118" i="129"/>
  <c r="R2118" i="129"/>
  <c r="P2119" i="129"/>
  <c r="Q2119" i="129"/>
  <c r="R2119" i="129"/>
  <c r="P2120" i="129"/>
  <c r="Q2120" i="129"/>
  <c r="R2120" i="129"/>
  <c r="P2121" i="129"/>
  <c r="Q2121" i="129"/>
  <c r="R2121" i="129"/>
  <c r="P2122" i="129"/>
  <c r="Q2122" i="129"/>
  <c r="R2122" i="129"/>
  <c r="P2123" i="129"/>
  <c r="Q2123" i="129"/>
  <c r="R2123" i="129"/>
  <c r="P2124" i="129"/>
  <c r="Q2124" i="129"/>
  <c r="R2124" i="129"/>
  <c r="P2125" i="129"/>
  <c r="Q2125" i="129"/>
  <c r="R2125" i="129"/>
  <c r="P2126" i="129"/>
  <c r="Q2126" i="129"/>
  <c r="R2126" i="129"/>
  <c r="P2127" i="129"/>
  <c r="Q2127" i="129"/>
  <c r="R2127" i="129"/>
  <c r="P2128" i="129"/>
  <c r="Q2128" i="129"/>
  <c r="R2128" i="129"/>
  <c r="P2129" i="129"/>
  <c r="Q2129" i="129"/>
  <c r="R2129" i="129"/>
  <c r="P2130" i="129"/>
  <c r="Q2130" i="129"/>
  <c r="R2130" i="129"/>
  <c r="P2131" i="129"/>
  <c r="Q2131" i="129"/>
  <c r="R2131" i="129"/>
  <c r="P2132" i="129"/>
  <c r="Q2132" i="129"/>
  <c r="R2132" i="129"/>
  <c r="P2133" i="129"/>
  <c r="Q2133" i="129"/>
  <c r="R2133" i="129"/>
  <c r="P2134" i="129"/>
  <c r="Q2134" i="129"/>
  <c r="R2134" i="129"/>
  <c r="P2135" i="129"/>
  <c r="Q2135" i="129"/>
  <c r="R2135" i="129"/>
  <c r="P2136" i="129"/>
  <c r="Q2136" i="129"/>
  <c r="R2136" i="129"/>
  <c r="P2137" i="129"/>
  <c r="Q2137" i="129"/>
  <c r="R2137" i="129"/>
  <c r="P2138" i="129"/>
  <c r="Q2138" i="129"/>
  <c r="R2138" i="129"/>
  <c r="P2139" i="129"/>
  <c r="Q2139" i="129"/>
  <c r="R2139" i="129"/>
  <c r="P2140" i="129"/>
  <c r="Q2140" i="129"/>
  <c r="R2140" i="129"/>
  <c r="P2141" i="129"/>
  <c r="Q2141" i="129"/>
  <c r="R2141" i="129"/>
  <c r="P2142" i="129"/>
  <c r="Q2142" i="129"/>
  <c r="R2142" i="129"/>
  <c r="P2143" i="129"/>
  <c r="Q2143" i="129"/>
  <c r="R2143" i="129"/>
  <c r="P2144" i="129"/>
  <c r="Q2144" i="129"/>
  <c r="R2144" i="129"/>
  <c r="P2145" i="129"/>
  <c r="Q2145" i="129"/>
  <c r="R2145" i="129"/>
  <c r="P2146" i="129"/>
  <c r="Q2146" i="129"/>
  <c r="R2146" i="129"/>
  <c r="P2147" i="129"/>
  <c r="Q2147" i="129"/>
  <c r="R2147" i="129"/>
  <c r="P2148" i="129"/>
  <c r="Q2148" i="129"/>
  <c r="R2148" i="129"/>
  <c r="P2149" i="129"/>
  <c r="Q2149" i="129"/>
  <c r="R2149" i="129"/>
  <c r="P2150" i="129"/>
  <c r="Q2150" i="129"/>
  <c r="R2150" i="129"/>
  <c r="P2151" i="129"/>
  <c r="Q2151" i="129"/>
  <c r="R2151" i="129"/>
  <c r="P2152" i="129"/>
  <c r="Q2152" i="129"/>
  <c r="R2152" i="129"/>
  <c r="P2153" i="129"/>
  <c r="Q2153" i="129"/>
  <c r="R2153" i="129"/>
  <c r="P2154" i="129"/>
  <c r="Q2154" i="129"/>
  <c r="R2154" i="129"/>
  <c r="P2155" i="129"/>
  <c r="Q2155" i="129"/>
  <c r="R2155" i="129"/>
  <c r="P2156" i="129"/>
  <c r="Q2156" i="129"/>
  <c r="R2156" i="129"/>
  <c r="P2157" i="129"/>
  <c r="Q2157" i="129"/>
  <c r="R2157" i="129"/>
  <c r="P2158" i="129"/>
  <c r="Q2158" i="129"/>
  <c r="R2158" i="129"/>
  <c r="P2159" i="129"/>
  <c r="Q2159" i="129"/>
  <c r="R2159" i="129"/>
  <c r="P2160" i="129"/>
  <c r="Q2160" i="129"/>
  <c r="R2160" i="129"/>
  <c r="P2161" i="129"/>
  <c r="Q2161" i="129"/>
  <c r="R2161" i="129"/>
  <c r="P2162" i="129"/>
  <c r="Q2162" i="129"/>
  <c r="R2162" i="129"/>
  <c r="P2163" i="129"/>
  <c r="Q2163" i="129"/>
  <c r="R2163" i="129"/>
  <c r="P2164" i="129"/>
  <c r="Q2164" i="129"/>
  <c r="R2164" i="129"/>
  <c r="P2165" i="129"/>
  <c r="Q2165" i="129"/>
  <c r="R2165" i="129"/>
  <c r="P2166" i="129"/>
  <c r="Q2166" i="129"/>
  <c r="R2166" i="129"/>
  <c r="P2167" i="129"/>
  <c r="Q2167" i="129"/>
  <c r="R2167" i="129"/>
  <c r="P2168" i="129"/>
  <c r="Q2168" i="129"/>
  <c r="R2168" i="129"/>
  <c r="P2169" i="129"/>
  <c r="Q2169" i="129"/>
  <c r="R2169" i="129"/>
  <c r="P2170" i="129"/>
  <c r="Q2170" i="129"/>
  <c r="R2170" i="129"/>
  <c r="P2171" i="129"/>
  <c r="Q2171" i="129"/>
  <c r="R2171" i="129"/>
  <c r="P2172" i="129"/>
  <c r="Q2172" i="129"/>
  <c r="R2172" i="129"/>
  <c r="P2173" i="129"/>
  <c r="Q2173" i="129"/>
  <c r="R2173" i="129"/>
  <c r="P2174" i="129"/>
  <c r="Q2174" i="129"/>
  <c r="R2174" i="129"/>
  <c r="P2175" i="129"/>
  <c r="Q2175" i="129"/>
  <c r="R2175" i="129"/>
  <c r="P2176" i="129"/>
  <c r="Q2176" i="129"/>
  <c r="R2176" i="129"/>
  <c r="P2177" i="129"/>
  <c r="Q2177" i="129"/>
  <c r="R2177" i="129"/>
  <c r="P2178" i="129"/>
  <c r="Q2178" i="129"/>
  <c r="R2178" i="129"/>
  <c r="P2179" i="129"/>
  <c r="Q2179" i="129"/>
  <c r="R2179" i="129"/>
  <c r="P2180" i="129"/>
  <c r="Q2180" i="129"/>
  <c r="R2180" i="129"/>
  <c r="P2181" i="129"/>
  <c r="Q2181" i="129"/>
  <c r="R2181" i="129"/>
  <c r="P2182" i="129"/>
  <c r="Q2182" i="129"/>
  <c r="R2182" i="129"/>
  <c r="P2183" i="129"/>
  <c r="Q2183" i="129"/>
  <c r="R2183" i="129"/>
  <c r="P2184" i="129"/>
  <c r="Q2184" i="129"/>
  <c r="R2184" i="129"/>
  <c r="P2185" i="129"/>
  <c r="Q2185" i="129"/>
  <c r="R2185" i="129"/>
  <c r="P2186" i="129"/>
  <c r="Q2186" i="129"/>
  <c r="R2186" i="129"/>
  <c r="P2187" i="129"/>
  <c r="Q2187" i="129"/>
  <c r="R2187" i="129"/>
  <c r="P2188" i="129"/>
  <c r="Q2188" i="129"/>
  <c r="R2188" i="129"/>
  <c r="P2189" i="129"/>
  <c r="Q2189" i="129"/>
  <c r="R2189" i="129"/>
  <c r="P2190" i="129"/>
  <c r="Q2190" i="129"/>
  <c r="R2190" i="129"/>
  <c r="P2191" i="129"/>
  <c r="Q2191" i="129"/>
  <c r="R2191" i="129"/>
  <c r="P2192" i="129"/>
  <c r="Q2192" i="129"/>
  <c r="R2192" i="129"/>
  <c r="P2193" i="129"/>
  <c r="Q2193" i="129"/>
  <c r="R2193" i="129"/>
  <c r="P2194" i="129"/>
  <c r="Q2194" i="129"/>
  <c r="R2194" i="129"/>
  <c r="P2195" i="129"/>
  <c r="Q2195" i="129"/>
  <c r="R2195" i="129"/>
  <c r="P2196" i="129"/>
  <c r="Q2196" i="129"/>
  <c r="R2196" i="129"/>
  <c r="P2197" i="129"/>
  <c r="Q2197" i="129"/>
  <c r="R2197" i="129"/>
  <c r="P2198" i="129"/>
  <c r="Q2198" i="129"/>
  <c r="R2198" i="129"/>
  <c r="P2199" i="129"/>
  <c r="Q2199" i="129"/>
  <c r="R2199" i="129"/>
  <c r="P2200" i="129"/>
  <c r="Q2200" i="129"/>
  <c r="R2200" i="129"/>
  <c r="P2201" i="129"/>
  <c r="Q2201" i="129"/>
  <c r="R2201" i="129"/>
  <c r="P2202" i="129"/>
  <c r="Q2202" i="129"/>
  <c r="R2202" i="129"/>
  <c r="P2203" i="129"/>
  <c r="Q2203" i="129"/>
  <c r="R2203" i="129"/>
  <c r="P2204" i="129"/>
  <c r="Q2204" i="129"/>
  <c r="R2204" i="129"/>
  <c r="P2205" i="129"/>
  <c r="Q2205" i="129"/>
  <c r="R2205" i="129"/>
  <c r="P2206" i="129"/>
  <c r="Q2206" i="129"/>
  <c r="R2206" i="129"/>
  <c r="P2207" i="129"/>
  <c r="Q2207" i="129"/>
  <c r="R2207" i="129"/>
  <c r="P2208" i="129"/>
  <c r="Q2208" i="129"/>
  <c r="R2208" i="129"/>
  <c r="P2209" i="129"/>
  <c r="Q2209" i="129"/>
  <c r="R2209" i="129"/>
  <c r="P2210" i="129"/>
  <c r="Q2210" i="129"/>
  <c r="R2210" i="129"/>
  <c r="P2211" i="129"/>
  <c r="Q2211" i="129"/>
  <c r="R2211" i="129"/>
  <c r="P2212" i="129"/>
  <c r="Q2212" i="129"/>
  <c r="R2212" i="129"/>
  <c r="P2213" i="129"/>
  <c r="Q2213" i="129"/>
  <c r="R2213" i="129"/>
  <c r="P2214" i="129"/>
  <c r="Q2214" i="129"/>
  <c r="R2214" i="129"/>
  <c r="P2215" i="129"/>
  <c r="Q2215" i="129"/>
  <c r="R2215" i="129"/>
  <c r="P2216" i="129"/>
  <c r="Q2216" i="129"/>
  <c r="R2216" i="129"/>
  <c r="P2217" i="129"/>
  <c r="Q2217" i="129"/>
  <c r="R2217" i="129"/>
  <c r="P2218" i="129"/>
  <c r="Q2218" i="129"/>
  <c r="R2218" i="129"/>
  <c r="P2219" i="129"/>
  <c r="Q2219" i="129"/>
  <c r="R2219" i="129"/>
  <c r="P2220" i="129"/>
  <c r="Q2220" i="129"/>
  <c r="R2220" i="129"/>
  <c r="P2221" i="129"/>
  <c r="Q2221" i="129"/>
  <c r="R2221" i="129"/>
  <c r="P2222" i="129"/>
  <c r="Q2222" i="129"/>
  <c r="R2222" i="129"/>
  <c r="P2223" i="129"/>
  <c r="Q2223" i="129"/>
  <c r="R2223" i="129"/>
  <c r="P2224" i="129"/>
  <c r="Q2224" i="129"/>
  <c r="R2224" i="129"/>
  <c r="P2225" i="129"/>
  <c r="Q2225" i="129"/>
  <c r="R2225" i="129"/>
  <c r="P2226" i="129"/>
  <c r="Q2226" i="129"/>
  <c r="R2226" i="129"/>
  <c r="P2227" i="129"/>
  <c r="Q2227" i="129"/>
  <c r="R2227" i="129"/>
  <c r="P2228" i="129"/>
  <c r="Q2228" i="129"/>
  <c r="R2228" i="129"/>
  <c r="P2229" i="129"/>
  <c r="Q2229" i="129"/>
  <c r="R2229" i="129"/>
  <c r="P2230" i="129"/>
  <c r="Q2230" i="129"/>
  <c r="R2230" i="129"/>
  <c r="P2231" i="129"/>
  <c r="Q2231" i="129"/>
  <c r="R2231" i="129"/>
  <c r="P2232" i="129"/>
  <c r="Q2232" i="129"/>
  <c r="R2232" i="129"/>
  <c r="P2233" i="129"/>
  <c r="Q2233" i="129"/>
  <c r="R2233" i="129"/>
  <c r="P2234" i="129"/>
  <c r="Q2234" i="129"/>
  <c r="R2234" i="129"/>
  <c r="P2235" i="129"/>
  <c r="Q2235" i="129"/>
  <c r="R2235" i="129"/>
  <c r="P2236" i="129"/>
  <c r="Q2236" i="129"/>
  <c r="R2236" i="129"/>
  <c r="P2237" i="129"/>
  <c r="Q2237" i="129"/>
  <c r="R2237" i="129"/>
  <c r="P2238" i="129"/>
  <c r="Q2238" i="129"/>
  <c r="R2238" i="129"/>
  <c r="P2239" i="129"/>
  <c r="Q2239" i="129"/>
  <c r="R2239" i="129"/>
  <c r="P2240" i="129"/>
  <c r="Q2240" i="129"/>
  <c r="R2240" i="129"/>
  <c r="P2241" i="129"/>
  <c r="Q2241" i="129"/>
  <c r="R2241" i="129"/>
  <c r="P2242" i="129"/>
  <c r="Q2242" i="129"/>
  <c r="R2242" i="129"/>
  <c r="P2243" i="129"/>
  <c r="Q2243" i="129"/>
  <c r="R2243" i="129"/>
  <c r="P2244" i="129"/>
  <c r="Q2244" i="129"/>
  <c r="R2244" i="129"/>
  <c r="P2245" i="129"/>
  <c r="Q2245" i="129"/>
  <c r="R2245" i="129"/>
  <c r="P2246" i="129"/>
  <c r="Q2246" i="129"/>
  <c r="R2246" i="129"/>
  <c r="P2247" i="129"/>
  <c r="Q2247" i="129"/>
  <c r="R2247" i="129"/>
  <c r="P2248" i="129"/>
  <c r="Q2248" i="129"/>
  <c r="R2248" i="129"/>
  <c r="P2249" i="129"/>
  <c r="Q2249" i="129"/>
  <c r="R2249" i="129"/>
  <c r="P2250" i="129"/>
  <c r="Q2250" i="129"/>
  <c r="R2250" i="129"/>
  <c r="P2251" i="129"/>
  <c r="Q2251" i="129"/>
  <c r="R2251" i="129"/>
  <c r="P2252" i="129"/>
  <c r="Q2252" i="129"/>
  <c r="R2252" i="129"/>
  <c r="P2253" i="129"/>
  <c r="Q2253" i="129"/>
  <c r="R2253" i="129"/>
  <c r="P2254" i="129"/>
  <c r="Q2254" i="129"/>
  <c r="R2254" i="129"/>
  <c r="P2255" i="129"/>
  <c r="Q2255" i="129"/>
  <c r="R2255" i="129"/>
  <c r="P2256" i="129"/>
  <c r="Q2256" i="129"/>
  <c r="R2256" i="129"/>
  <c r="P2257" i="129"/>
  <c r="Q2257" i="129"/>
  <c r="R2257" i="129"/>
  <c r="P2258" i="129"/>
  <c r="Q2258" i="129"/>
  <c r="R2258" i="129"/>
  <c r="P2259" i="129"/>
  <c r="Q2259" i="129"/>
  <c r="R2259" i="129"/>
  <c r="P2260" i="129"/>
  <c r="Q2260" i="129"/>
  <c r="R2260" i="129"/>
  <c r="P2261" i="129"/>
  <c r="Q2261" i="129"/>
  <c r="R2261" i="129"/>
  <c r="P2262" i="129"/>
  <c r="Q2262" i="129"/>
  <c r="R2262" i="129"/>
  <c r="P2263" i="129"/>
  <c r="Q2263" i="129"/>
  <c r="R2263" i="129"/>
  <c r="P2264" i="129"/>
  <c r="Q2264" i="129"/>
  <c r="R2264" i="129"/>
  <c r="P2265" i="129"/>
  <c r="Q2265" i="129"/>
  <c r="R2265" i="129"/>
  <c r="P2266" i="129"/>
  <c r="Q2266" i="129"/>
  <c r="R2266" i="129"/>
  <c r="P2267" i="129"/>
  <c r="Q2267" i="129"/>
  <c r="R2267" i="129"/>
  <c r="P2268" i="129"/>
  <c r="Q2268" i="129"/>
  <c r="R2268" i="129"/>
  <c r="P2269" i="129"/>
  <c r="Q2269" i="129"/>
  <c r="R2269" i="129"/>
  <c r="P2270" i="129"/>
  <c r="Q2270" i="129"/>
  <c r="R2270" i="129"/>
  <c r="P2271" i="129"/>
  <c r="Q2271" i="129"/>
  <c r="R2271" i="129"/>
  <c r="P2272" i="129"/>
  <c r="Q2272" i="129"/>
  <c r="R2272" i="129"/>
  <c r="P2273" i="129"/>
  <c r="Q2273" i="129"/>
  <c r="R2273" i="129"/>
  <c r="P2274" i="129"/>
  <c r="Q2274" i="129"/>
  <c r="R2274" i="129"/>
  <c r="P2275" i="129"/>
  <c r="Q2275" i="129"/>
  <c r="R2275" i="129"/>
  <c r="P2276" i="129"/>
  <c r="Q2276" i="129"/>
  <c r="R2276" i="129"/>
  <c r="P2277" i="129"/>
  <c r="Q2277" i="129"/>
  <c r="R2277" i="129"/>
  <c r="P2278" i="129"/>
  <c r="Q2278" i="129"/>
  <c r="R2278" i="129"/>
  <c r="P2279" i="129"/>
  <c r="Q2279" i="129"/>
  <c r="R2279" i="129"/>
  <c r="P2280" i="129"/>
  <c r="Q2280" i="129"/>
  <c r="R2280" i="129"/>
  <c r="P2281" i="129"/>
  <c r="Q2281" i="129"/>
  <c r="R2281" i="129"/>
  <c r="P2282" i="129"/>
  <c r="Q2282" i="129"/>
  <c r="R2282" i="129"/>
  <c r="P2283" i="129"/>
  <c r="Q2283" i="129"/>
  <c r="R2283" i="129"/>
  <c r="P2284" i="129"/>
  <c r="Q2284" i="129"/>
  <c r="R2284" i="129"/>
  <c r="P2285" i="129"/>
  <c r="Q2285" i="129"/>
  <c r="R2285" i="129"/>
  <c r="P2286" i="129"/>
  <c r="Q2286" i="129"/>
  <c r="R2286" i="129"/>
  <c r="P2287" i="129"/>
  <c r="Q2287" i="129"/>
  <c r="R2287" i="129"/>
  <c r="P2288" i="129"/>
  <c r="Q2288" i="129"/>
  <c r="R2288" i="129"/>
  <c r="P2289" i="129"/>
  <c r="Q2289" i="129"/>
  <c r="R2289" i="129"/>
  <c r="P2290" i="129"/>
  <c r="Q2290" i="129"/>
  <c r="R2290" i="129"/>
  <c r="P2291" i="129"/>
  <c r="Q2291" i="129"/>
  <c r="R2291" i="129"/>
  <c r="P2292" i="129"/>
  <c r="Q2292" i="129"/>
  <c r="R2292" i="129"/>
  <c r="P2293" i="129"/>
  <c r="Q2293" i="129"/>
  <c r="R2293" i="129"/>
  <c r="P2294" i="129"/>
  <c r="Q2294" i="129"/>
  <c r="R2294" i="129"/>
  <c r="P2295" i="129"/>
  <c r="Q2295" i="129"/>
  <c r="R2295" i="129"/>
  <c r="P2296" i="129"/>
  <c r="Q2296" i="129"/>
  <c r="R2296" i="129"/>
  <c r="P2297" i="129"/>
  <c r="Q2297" i="129"/>
  <c r="R2297" i="129"/>
  <c r="P2298" i="129"/>
  <c r="Q2298" i="129"/>
  <c r="R2298" i="129"/>
  <c r="P2299" i="129"/>
  <c r="Q2299" i="129"/>
  <c r="R2299" i="129"/>
  <c r="P2300" i="129"/>
  <c r="Q2300" i="129"/>
  <c r="R2300" i="129"/>
  <c r="P2301" i="129"/>
  <c r="Q2301" i="129"/>
  <c r="R2301" i="129"/>
  <c r="P2302" i="129"/>
  <c r="Q2302" i="129"/>
  <c r="R2302" i="129"/>
  <c r="P2303" i="129"/>
  <c r="Q2303" i="129"/>
  <c r="R2303" i="129"/>
  <c r="P2304" i="129"/>
  <c r="Q2304" i="129"/>
  <c r="R2304" i="129"/>
  <c r="P2305" i="129"/>
  <c r="Q2305" i="129"/>
  <c r="R2305" i="129"/>
  <c r="P2306" i="129"/>
  <c r="Q2306" i="129"/>
  <c r="R2306" i="129"/>
  <c r="P2307" i="129"/>
  <c r="Q2307" i="129"/>
  <c r="R2307" i="129"/>
  <c r="P2308" i="129"/>
  <c r="Q2308" i="129"/>
  <c r="R2308" i="129"/>
  <c r="P2309" i="129"/>
  <c r="Q2309" i="129"/>
  <c r="R2309" i="129"/>
  <c r="P2310" i="129"/>
  <c r="Q2310" i="129"/>
  <c r="R2310" i="129"/>
  <c r="P2311" i="129"/>
  <c r="Q2311" i="129"/>
  <c r="R2311" i="129"/>
  <c r="P2312" i="129"/>
  <c r="Q2312" i="129"/>
  <c r="R2312" i="129"/>
  <c r="P2313" i="129"/>
  <c r="Q2313" i="129"/>
  <c r="R2313" i="129"/>
  <c r="P2314" i="129"/>
  <c r="Q2314" i="129"/>
  <c r="R2314" i="129"/>
  <c r="P2315" i="129"/>
  <c r="Q2315" i="129"/>
  <c r="R2315" i="129"/>
  <c r="P2316" i="129"/>
  <c r="Q2316" i="129"/>
  <c r="R2316" i="129"/>
  <c r="P2317" i="129"/>
  <c r="Q2317" i="129"/>
  <c r="R2317" i="129"/>
  <c r="P2318" i="129"/>
  <c r="Q2318" i="129"/>
  <c r="R2318" i="129"/>
  <c r="P2319" i="129"/>
  <c r="Q2319" i="129"/>
  <c r="R2319" i="129"/>
  <c r="P2320" i="129"/>
  <c r="Q2320" i="129"/>
  <c r="R2320" i="129"/>
  <c r="P2321" i="129"/>
  <c r="Q2321" i="129"/>
  <c r="R2321" i="129"/>
  <c r="P2322" i="129"/>
  <c r="Q2322" i="129"/>
  <c r="R2322" i="129"/>
  <c r="P2323" i="129"/>
  <c r="Q2323" i="129"/>
  <c r="R2323" i="129"/>
  <c r="P2324" i="129"/>
  <c r="Q2324" i="129"/>
  <c r="R2324" i="129"/>
  <c r="P2325" i="129"/>
  <c r="Q2325" i="129"/>
  <c r="R2325" i="129"/>
  <c r="P2326" i="129"/>
  <c r="Q2326" i="129"/>
  <c r="R2326" i="129"/>
  <c r="P2327" i="129"/>
  <c r="Q2327" i="129"/>
  <c r="R2327" i="129"/>
  <c r="P2328" i="129"/>
  <c r="Q2328" i="129"/>
  <c r="R2328" i="129"/>
  <c r="P2329" i="129"/>
  <c r="Q2329" i="129"/>
  <c r="R2329" i="129"/>
  <c r="P2330" i="129"/>
  <c r="Q2330" i="129"/>
  <c r="R2330" i="129"/>
  <c r="P2331" i="129"/>
  <c r="Q2331" i="129"/>
  <c r="R2331" i="129"/>
  <c r="P2332" i="129"/>
  <c r="Q2332" i="129"/>
  <c r="R2332" i="129"/>
  <c r="P2333" i="129"/>
  <c r="Q2333" i="129"/>
  <c r="R2333" i="129"/>
  <c r="P2334" i="129"/>
  <c r="Q2334" i="129"/>
  <c r="R2334" i="129"/>
  <c r="P2335" i="129"/>
  <c r="Q2335" i="129"/>
  <c r="R2335" i="129"/>
  <c r="P2336" i="129"/>
  <c r="Q2336" i="129"/>
  <c r="R2336" i="129"/>
  <c r="P2337" i="129"/>
  <c r="Q2337" i="129"/>
  <c r="R2337" i="129"/>
  <c r="P2338" i="129"/>
  <c r="Q2338" i="129"/>
  <c r="R2338" i="129"/>
  <c r="P2339" i="129"/>
  <c r="Q2339" i="129"/>
  <c r="R2339" i="129"/>
  <c r="P2340" i="129"/>
  <c r="Q2340" i="129"/>
  <c r="R2340" i="129"/>
  <c r="P2341" i="129"/>
  <c r="Q2341" i="129"/>
  <c r="R2341" i="129"/>
  <c r="P2342" i="129"/>
  <c r="Q2342" i="129"/>
  <c r="R2342" i="129"/>
  <c r="P2343" i="129"/>
  <c r="Q2343" i="129"/>
  <c r="R2343" i="129"/>
  <c r="P2344" i="129"/>
  <c r="Q2344" i="129"/>
  <c r="R2344" i="129"/>
  <c r="P2345" i="129"/>
  <c r="Q2345" i="129"/>
  <c r="R2345" i="129"/>
  <c r="P2346" i="129"/>
  <c r="Q2346" i="129"/>
  <c r="R2346" i="129"/>
  <c r="P2347" i="129"/>
  <c r="Q2347" i="129"/>
  <c r="R2347" i="129"/>
  <c r="P2348" i="129"/>
  <c r="Q2348" i="129"/>
  <c r="R2348" i="129"/>
  <c r="P2349" i="129"/>
  <c r="Q2349" i="129"/>
  <c r="R2349" i="129"/>
  <c r="P2350" i="129"/>
  <c r="Q2350" i="129"/>
  <c r="R2350" i="129"/>
  <c r="P2351" i="129"/>
  <c r="Q2351" i="129"/>
  <c r="R2351" i="129"/>
  <c r="P2352" i="129"/>
  <c r="Q2352" i="129"/>
  <c r="R2352" i="129"/>
  <c r="P2353" i="129"/>
  <c r="Q2353" i="129"/>
  <c r="R2353" i="129"/>
  <c r="P2354" i="129"/>
  <c r="Q2354" i="129"/>
  <c r="R2354" i="129"/>
  <c r="P2355" i="129"/>
  <c r="Q2355" i="129"/>
  <c r="R2355" i="129"/>
  <c r="P2356" i="129"/>
  <c r="Q2356" i="129"/>
  <c r="R2356" i="129"/>
  <c r="P2357" i="129"/>
  <c r="Q2357" i="129"/>
  <c r="R2357" i="129"/>
  <c r="P2358" i="129"/>
  <c r="Q2358" i="129"/>
  <c r="R2358" i="129"/>
  <c r="P2359" i="129"/>
  <c r="Q2359" i="129"/>
  <c r="R2359" i="129"/>
  <c r="P2360" i="129"/>
  <c r="Q2360" i="129"/>
  <c r="R2360" i="129"/>
  <c r="P2361" i="129"/>
  <c r="Q2361" i="129"/>
  <c r="R2361" i="129"/>
  <c r="P2362" i="129"/>
  <c r="Q2362" i="129"/>
  <c r="R2362" i="129"/>
  <c r="P2363" i="129"/>
  <c r="Q2363" i="129"/>
  <c r="R2363" i="129"/>
  <c r="P2364" i="129"/>
  <c r="Q2364" i="129"/>
  <c r="R2364" i="129"/>
  <c r="P2365" i="129"/>
  <c r="Q2365" i="129"/>
  <c r="R2365" i="129"/>
  <c r="P2366" i="129"/>
  <c r="Q2366" i="129"/>
  <c r="R2366" i="129"/>
  <c r="P2367" i="129"/>
  <c r="Q2367" i="129"/>
  <c r="R2367" i="129"/>
  <c r="P2368" i="129"/>
  <c r="Q2368" i="129"/>
  <c r="R2368" i="129"/>
  <c r="P2369" i="129"/>
  <c r="Q2369" i="129"/>
  <c r="R2369" i="129"/>
  <c r="P2370" i="129"/>
  <c r="Q2370" i="129"/>
  <c r="R2370" i="129"/>
  <c r="P2371" i="129"/>
  <c r="Q2371" i="129"/>
  <c r="R2371" i="129"/>
  <c r="P2372" i="129"/>
  <c r="Q2372" i="129"/>
  <c r="R2372" i="129"/>
  <c r="P2373" i="129"/>
  <c r="Q2373" i="129"/>
  <c r="R2373" i="129"/>
  <c r="P2374" i="129"/>
  <c r="Q2374" i="129"/>
  <c r="R2374" i="129"/>
  <c r="P2375" i="129"/>
  <c r="Q2375" i="129"/>
  <c r="R2375" i="129"/>
  <c r="P2376" i="129"/>
  <c r="Q2376" i="129"/>
  <c r="R2376" i="129"/>
  <c r="P2377" i="129"/>
  <c r="Q2377" i="129"/>
  <c r="R2377" i="129"/>
  <c r="P2378" i="129"/>
  <c r="Q2378" i="129"/>
  <c r="R2378" i="129"/>
  <c r="P2379" i="129"/>
  <c r="Q2379" i="129"/>
  <c r="R2379" i="129"/>
  <c r="P2380" i="129"/>
  <c r="Q2380" i="129"/>
  <c r="R2380" i="129"/>
  <c r="P2381" i="129"/>
  <c r="Q2381" i="129"/>
  <c r="R2381" i="129"/>
  <c r="P2382" i="129"/>
  <c r="Q2382" i="129"/>
  <c r="R2382" i="129"/>
  <c r="P2383" i="129"/>
  <c r="Q2383" i="129"/>
  <c r="R2383" i="129"/>
  <c r="P2384" i="129"/>
  <c r="Q2384" i="129"/>
  <c r="R2384" i="129"/>
  <c r="P2385" i="129"/>
  <c r="Q2385" i="129"/>
  <c r="R2385" i="129"/>
  <c r="P2386" i="129"/>
  <c r="Q2386" i="129"/>
  <c r="R2386" i="129"/>
  <c r="P2387" i="129"/>
  <c r="Q2387" i="129"/>
  <c r="R2387" i="129"/>
  <c r="P2388" i="129"/>
  <c r="Q2388" i="129"/>
  <c r="R2388" i="129"/>
  <c r="P2389" i="129"/>
  <c r="Q2389" i="129"/>
  <c r="R2389" i="129"/>
  <c r="P2390" i="129"/>
  <c r="Q2390" i="129"/>
  <c r="R2390" i="129"/>
  <c r="P2391" i="129"/>
  <c r="Q2391" i="129"/>
  <c r="R2391" i="129"/>
  <c r="P2392" i="129"/>
  <c r="Q2392" i="129"/>
  <c r="R2392" i="129"/>
  <c r="P2393" i="129"/>
  <c r="Q2393" i="129"/>
  <c r="R2393" i="129"/>
  <c r="P2394" i="129"/>
  <c r="Q2394" i="129"/>
  <c r="R2394" i="129"/>
  <c r="P2395" i="129"/>
  <c r="Q2395" i="129"/>
  <c r="R2395" i="129"/>
  <c r="P2396" i="129"/>
  <c r="Q2396" i="129"/>
  <c r="R2396" i="129"/>
  <c r="P2397" i="129"/>
  <c r="Q2397" i="129"/>
  <c r="R2397" i="129"/>
  <c r="P2398" i="129"/>
  <c r="Q2398" i="129"/>
  <c r="R2398" i="129"/>
  <c r="P2399" i="129"/>
  <c r="Q2399" i="129"/>
  <c r="R2399" i="129"/>
  <c r="P2400" i="129"/>
  <c r="Q2400" i="129"/>
  <c r="R2400" i="129"/>
  <c r="P2401" i="129"/>
  <c r="Q2401" i="129"/>
  <c r="R2401" i="129"/>
  <c r="P2402" i="129"/>
  <c r="Q2402" i="129"/>
  <c r="R2402" i="129"/>
  <c r="P2403" i="129"/>
  <c r="Q2403" i="129"/>
  <c r="R2403" i="129"/>
  <c r="P2404" i="129"/>
  <c r="Q2404" i="129"/>
  <c r="R2404" i="129"/>
  <c r="P2405" i="129"/>
  <c r="Q2405" i="129"/>
  <c r="R2405" i="129"/>
  <c r="P2406" i="129"/>
  <c r="Q2406" i="129"/>
  <c r="R2406" i="129"/>
  <c r="P2407" i="129"/>
  <c r="Q2407" i="129"/>
  <c r="R2407" i="129"/>
  <c r="P2408" i="129"/>
  <c r="Q2408" i="129"/>
  <c r="R2408" i="129"/>
  <c r="P2409" i="129"/>
  <c r="Q2409" i="129"/>
  <c r="R2409" i="129"/>
  <c r="P2410" i="129"/>
  <c r="Q2410" i="129"/>
  <c r="R2410" i="129"/>
  <c r="P2411" i="129"/>
  <c r="Q2411" i="129"/>
  <c r="R2411" i="129"/>
  <c r="P2412" i="129"/>
  <c r="Q2412" i="129"/>
  <c r="R2412" i="129"/>
  <c r="P2413" i="129"/>
  <c r="Q2413" i="129"/>
  <c r="R2413" i="129"/>
  <c r="P2414" i="129"/>
  <c r="Q2414" i="129"/>
  <c r="R2414" i="129"/>
  <c r="P2415" i="129"/>
  <c r="Q2415" i="129"/>
  <c r="R2415" i="129"/>
  <c r="P2416" i="129"/>
  <c r="Q2416" i="129"/>
  <c r="R2416" i="129"/>
  <c r="P2417" i="129"/>
  <c r="Q2417" i="129"/>
  <c r="R2417" i="129"/>
  <c r="P2418" i="129"/>
  <c r="Q2418" i="129"/>
  <c r="R2418" i="129"/>
  <c r="P2419" i="129"/>
  <c r="Q2419" i="129"/>
  <c r="R2419" i="129"/>
  <c r="P2420" i="129"/>
  <c r="Q2420" i="129"/>
  <c r="R2420" i="129"/>
  <c r="P2421" i="129"/>
  <c r="Q2421" i="129"/>
  <c r="R2421" i="129"/>
  <c r="P2422" i="129"/>
  <c r="Q2422" i="129"/>
  <c r="R2422" i="129"/>
  <c r="P2423" i="129"/>
  <c r="Q2423" i="129"/>
  <c r="R2423" i="129"/>
  <c r="P2424" i="129"/>
  <c r="Q2424" i="129"/>
  <c r="R2424" i="129"/>
  <c r="P2425" i="129"/>
  <c r="Q2425" i="129"/>
  <c r="R2425" i="129"/>
  <c r="P2426" i="129"/>
  <c r="Q2426" i="129"/>
  <c r="R2426" i="129"/>
  <c r="P2427" i="129"/>
  <c r="Q2427" i="129"/>
  <c r="R2427" i="129"/>
  <c r="P2428" i="129"/>
  <c r="Q2428" i="129"/>
  <c r="R2428" i="129"/>
  <c r="P2429" i="129"/>
  <c r="Q2429" i="129"/>
  <c r="R2429" i="129"/>
  <c r="P2430" i="129"/>
  <c r="Q2430" i="129"/>
  <c r="R2430" i="129"/>
  <c r="P2431" i="129"/>
  <c r="Q2431" i="129"/>
  <c r="R2431" i="129"/>
  <c r="P2432" i="129"/>
  <c r="Q2432" i="129"/>
  <c r="R2432" i="129"/>
  <c r="P2433" i="129"/>
  <c r="Q2433" i="129"/>
  <c r="R2433" i="129"/>
  <c r="P2434" i="129"/>
  <c r="Q2434" i="129"/>
  <c r="R2434" i="129"/>
  <c r="P2435" i="129"/>
  <c r="Q2435" i="129"/>
  <c r="R2435" i="129"/>
  <c r="P2436" i="129"/>
  <c r="Q2436" i="129"/>
  <c r="R2436" i="129"/>
  <c r="P2437" i="129"/>
  <c r="Q2437" i="129"/>
  <c r="R2437" i="129"/>
  <c r="P2438" i="129"/>
  <c r="Q2438" i="129"/>
  <c r="R2438" i="129"/>
  <c r="P2439" i="129"/>
  <c r="Q2439" i="129"/>
  <c r="R2439" i="129"/>
  <c r="P2440" i="129"/>
  <c r="Q2440" i="129"/>
  <c r="R2440" i="129"/>
  <c r="P2441" i="129"/>
  <c r="Q2441" i="129"/>
  <c r="R2441" i="129"/>
  <c r="P2442" i="129"/>
  <c r="Q2442" i="129"/>
  <c r="R2442" i="129"/>
  <c r="P2443" i="129"/>
  <c r="Q2443" i="129"/>
  <c r="R2443" i="129"/>
  <c r="P2444" i="129"/>
  <c r="Q2444" i="129"/>
  <c r="R2444" i="129"/>
  <c r="P2445" i="129"/>
  <c r="Q2445" i="129"/>
  <c r="R2445" i="129"/>
  <c r="P2446" i="129"/>
  <c r="Q2446" i="129"/>
  <c r="R2446" i="129"/>
  <c r="P2447" i="129"/>
  <c r="Q2447" i="129"/>
  <c r="R2447" i="129"/>
  <c r="P2448" i="129"/>
  <c r="Q2448" i="129"/>
  <c r="R2448" i="129"/>
  <c r="P2449" i="129"/>
  <c r="Q2449" i="129"/>
  <c r="R2449" i="129"/>
  <c r="P2450" i="129"/>
  <c r="Q2450" i="129"/>
  <c r="R2450" i="129"/>
  <c r="P2451" i="129"/>
  <c r="Q2451" i="129"/>
  <c r="R2451" i="129"/>
  <c r="P2452" i="129"/>
  <c r="Q2452" i="129"/>
  <c r="R2452" i="129"/>
  <c r="P2453" i="129"/>
  <c r="Q2453" i="129"/>
  <c r="R2453" i="129"/>
  <c r="P2454" i="129"/>
  <c r="Q2454" i="129"/>
  <c r="R2454" i="129"/>
  <c r="P2455" i="129"/>
  <c r="Q2455" i="129"/>
  <c r="R2455" i="129"/>
  <c r="P2456" i="129"/>
  <c r="Q2456" i="129"/>
  <c r="R2456" i="129"/>
  <c r="P2457" i="129"/>
  <c r="Q2457" i="129"/>
  <c r="R2457" i="129"/>
  <c r="P2458" i="129"/>
  <c r="Q2458" i="129"/>
  <c r="R2458" i="129"/>
  <c r="P2459" i="129"/>
  <c r="Q2459" i="129"/>
  <c r="R2459" i="129"/>
  <c r="P2460" i="129"/>
  <c r="Q2460" i="129"/>
  <c r="R2460" i="129"/>
  <c r="P2461" i="129"/>
  <c r="Q2461" i="129"/>
  <c r="R2461" i="129"/>
  <c r="P2462" i="129"/>
  <c r="Q2462" i="129"/>
  <c r="R2462" i="129"/>
  <c r="P2463" i="129"/>
  <c r="Q2463" i="129"/>
  <c r="R2463" i="129"/>
  <c r="P2464" i="129"/>
  <c r="Q2464" i="129"/>
  <c r="R2464" i="129"/>
  <c r="P2465" i="129"/>
  <c r="Q2465" i="129"/>
  <c r="R2465" i="129"/>
  <c r="P2466" i="129"/>
  <c r="Q2466" i="129"/>
  <c r="R2466" i="129"/>
  <c r="P2467" i="129"/>
  <c r="Q2467" i="129"/>
  <c r="R2467" i="129"/>
  <c r="P2468" i="129"/>
  <c r="Q2468" i="129"/>
  <c r="R2468" i="129"/>
  <c r="P2469" i="129"/>
  <c r="Q2469" i="129"/>
  <c r="R2469" i="129"/>
  <c r="P2470" i="129"/>
  <c r="Q2470" i="129"/>
  <c r="R2470" i="129"/>
  <c r="P2471" i="129"/>
  <c r="Q2471" i="129"/>
  <c r="R2471" i="129"/>
  <c r="P2472" i="129"/>
  <c r="Q2472" i="129"/>
  <c r="R2472" i="129"/>
  <c r="P2473" i="129"/>
  <c r="Q2473" i="129"/>
  <c r="R2473" i="129"/>
  <c r="P2474" i="129"/>
  <c r="Q2474" i="129"/>
  <c r="R2474" i="129"/>
  <c r="P2475" i="129"/>
  <c r="Q2475" i="129"/>
  <c r="R2475" i="129"/>
  <c r="P2476" i="129"/>
  <c r="Q2476" i="129"/>
  <c r="R2476" i="129"/>
  <c r="P2477" i="129"/>
  <c r="Q2477" i="129"/>
  <c r="R2477" i="129"/>
  <c r="P2478" i="129"/>
  <c r="Q2478" i="129"/>
  <c r="R2478" i="129"/>
  <c r="P2479" i="129"/>
  <c r="Q2479" i="129"/>
  <c r="R2479" i="129"/>
  <c r="P2480" i="129"/>
  <c r="Q2480" i="129"/>
  <c r="R2480" i="129"/>
  <c r="P2481" i="129"/>
  <c r="Q2481" i="129"/>
  <c r="R2481" i="129"/>
  <c r="P2482" i="129"/>
  <c r="Q2482" i="129"/>
  <c r="R2482" i="129"/>
  <c r="P2483" i="129"/>
  <c r="Q2483" i="129"/>
  <c r="R2483" i="129"/>
  <c r="P2484" i="129"/>
  <c r="Q2484" i="129"/>
  <c r="R2484" i="129"/>
  <c r="P2485" i="129"/>
  <c r="Q2485" i="129"/>
  <c r="R2485" i="129"/>
  <c r="P2486" i="129"/>
  <c r="Q2486" i="129"/>
  <c r="R2486" i="129"/>
  <c r="P2487" i="129"/>
  <c r="Q2487" i="129"/>
  <c r="R2487" i="129"/>
  <c r="P2488" i="129"/>
  <c r="Q2488" i="129"/>
  <c r="R2488" i="129"/>
  <c r="P2489" i="129"/>
  <c r="Q2489" i="129"/>
  <c r="R2489" i="129"/>
  <c r="P2490" i="129"/>
  <c r="Q2490" i="129"/>
  <c r="R2490" i="129"/>
  <c r="P2491" i="129"/>
  <c r="Q2491" i="129"/>
  <c r="R2491" i="129"/>
  <c r="P2492" i="129"/>
  <c r="Q2492" i="129"/>
  <c r="R2492" i="129"/>
  <c r="P2493" i="129"/>
  <c r="Q2493" i="129"/>
  <c r="R2493" i="129"/>
  <c r="P2494" i="129"/>
  <c r="Q2494" i="129"/>
  <c r="R2494" i="129"/>
  <c r="P2495" i="129"/>
  <c r="Q2495" i="129"/>
  <c r="R2495" i="129"/>
  <c r="P2496" i="129"/>
  <c r="Q2496" i="129"/>
  <c r="R2496" i="129"/>
  <c r="P2497" i="129"/>
  <c r="Q2497" i="129"/>
  <c r="R2497" i="129"/>
  <c r="P2498" i="129"/>
  <c r="Q2498" i="129"/>
  <c r="R2498" i="129"/>
  <c r="P2499" i="129"/>
  <c r="Q2499" i="129"/>
  <c r="R2499" i="129"/>
  <c r="P2500" i="129"/>
  <c r="Q2500" i="129"/>
  <c r="R2500" i="129"/>
  <c r="P2501" i="129"/>
  <c r="Q2501" i="129"/>
  <c r="R2501" i="129"/>
  <c r="P2502" i="129"/>
  <c r="Q2502" i="129"/>
  <c r="R2502" i="129"/>
  <c r="P2503" i="129"/>
  <c r="Q2503" i="129"/>
  <c r="R2503" i="129"/>
  <c r="P2504" i="129"/>
  <c r="Q2504" i="129"/>
  <c r="R2504" i="129"/>
  <c r="P2505" i="129"/>
  <c r="Q2505" i="129"/>
  <c r="R2505" i="129"/>
  <c r="P2506" i="129"/>
  <c r="Q2506" i="129"/>
  <c r="R2506" i="129"/>
  <c r="P2507" i="129"/>
  <c r="Q2507" i="129"/>
  <c r="R2507" i="129"/>
  <c r="P2508" i="129"/>
  <c r="Q2508" i="129"/>
  <c r="R2508" i="129"/>
  <c r="P2509" i="129"/>
  <c r="Q2509" i="129"/>
  <c r="R2509" i="129"/>
  <c r="P2510" i="129"/>
  <c r="Q2510" i="129"/>
  <c r="R2510" i="129"/>
  <c r="P2511" i="129"/>
  <c r="Q2511" i="129"/>
  <c r="R2511" i="129"/>
  <c r="P2512" i="129"/>
  <c r="Q2512" i="129"/>
  <c r="R2512" i="129"/>
  <c r="P2513" i="129"/>
  <c r="Q2513" i="129"/>
  <c r="R2513" i="129"/>
  <c r="P2514" i="129"/>
  <c r="Q2514" i="129"/>
  <c r="R2514" i="129"/>
  <c r="P2515" i="129"/>
  <c r="Q2515" i="129"/>
  <c r="R2515" i="129"/>
  <c r="P2516" i="129"/>
  <c r="Q2516" i="129"/>
  <c r="R2516" i="129"/>
  <c r="P2517" i="129"/>
  <c r="Q2517" i="129"/>
  <c r="R2517" i="129"/>
  <c r="P2518" i="129"/>
  <c r="Q2518" i="129"/>
  <c r="R2518" i="129"/>
  <c r="P2519" i="129"/>
  <c r="Q2519" i="129"/>
  <c r="R2519" i="129"/>
  <c r="P2520" i="129"/>
  <c r="Q2520" i="129"/>
  <c r="R2520" i="129"/>
  <c r="P2521" i="129"/>
  <c r="Q2521" i="129"/>
  <c r="R2521" i="129"/>
  <c r="P2522" i="129"/>
  <c r="Q2522" i="129"/>
  <c r="R2522" i="129"/>
  <c r="P2523" i="129"/>
  <c r="Q2523" i="129"/>
  <c r="R2523" i="129"/>
  <c r="P2524" i="129"/>
  <c r="Q2524" i="129"/>
  <c r="R2524" i="129"/>
  <c r="P2525" i="129"/>
  <c r="Q2525" i="129"/>
  <c r="R2525" i="129"/>
  <c r="P2526" i="129"/>
  <c r="Q2526" i="129"/>
  <c r="R2526" i="129"/>
  <c r="P2527" i="129"/>
  <c r="Q2527" i="129"/>
  <c r="R2527" i="129"/>
  <c r="P2528" i="129"/>
  <c r="Q2528" i="129"/>
  <c r="R2528" i="129"/>
  <c r="P2529" i="129"/>
  <c r="Q2529" i="129"/>
  <c r="R2529" i="129"/>
  <c r="P2530" i="129"/>
  <c r="Q2530" i="129"/>
  <c r="R2530" i="129"/>
  <c r="P2531" i="129"/>
  <c r="Q2531" i="129"/>
  <c r="R2531" i="129"/>
  <c r="P2532" i="129"/>
  <c r="Q2532" i="129"/>
  <c r="R2532" i="129"/>
  <c r="P2533" i="129"/>
  <c r="Q2533" i="129"/>
  <c r="R2533" i="129"/>
  <c r="P2534" i="129"/>
  <c r="Q2534" i="129"/>
  <c r="R2534" i="129"/>
  <c r="P2535" i="129"/>
  <c r="Q2535" i="129"/>
  <c r="R2535" i="129"/>
  <c r="P2536" i="129"/>
  <c r="Q2536" i="129"/>
  <c r="R2536" i="129"/>
  <c r="P2537" i="129"/>
  <c r="Q2537" i="129"/>
  <c r="R2537" i="129"/>
  <c r="P2538" i="129"/>
  <c r="Q2538" i="129"/>
  <c r="R2538" i="129"/>
  <c r="P2539" i="129"/>
  <c r="Q2539" i="129"/>
  <c r="R2539" i="129"/>
  <c r="P2540" i="129"/>
  <c r="Q2540" i="129"/>
  <c r="R2540" i="129"/>
  <c r="P2541" i="129"/>
  <c r="Q2541" i="129"/>
  <c r="R2541" i="129"/>
  <c r="P2542" i="129"/>
  <c r="Q2542" i="129"/>
  <c r="R2542" i="129"/>
  <c r="P2543" i="129"/>
  <c r="Q2543" i="129"/>
  <c r="R2543" i="129"/>
  <c r="P2544" i="129"/>
  <c r="Q2544" i="129"/>
  <c r="R2544" i="129"/>
  <c r="P2545" i="129"/>
  <c r="Q2545" i="129"/>
  <c r="R2545" i="129"/>
  <c r="P2546" i="129"/>
  <c r="Q2546" i="129"/>
  <c r="R2546" i="129"/>
  <c r="P2547" i="129"/>
  <c r="Q2547" i="129"/>
  <c r="R2547" i="129"/>
  <c r="P2548" i="129"/>
  <c r="Q2548" i="129"/>
  <c r="R2548" i="129"/>
  <c r="P2549" i="129"/>
  <c r="Q2549" i="129"/>
  <c r="R2549" i="129"/>
  <c r="P2550" i="129"/>
  <c r="Q2550" i="129"/>
  <c r="R2550" i="129"/>
  <c r="P2551" i="129"/>
  <c r="Q2551" i="129"/>
  <c r="R2551" i="129"/>
  <c r="P2552" i="129"/>
  <c r="Q2552" i="129"/>
  <c r="R2552" i="129"/>
  <c r="P2553" i="129"/>
  <c r="Q2553" i="129"/>
  <c r="R2553" i="129"/>
  <c r="P2554" i="129"/>
  <c r="Q2554" i="129"/>
  <c r="R2554" i="129"/>
  <c r="P2555" i="129"/>
  <c r="Q2555" i="129"/>
  <c r="R2555" i="129"/>
  <c r="P2556" i="129"/>
  <c r="Q2556" i="129"/>
  <c r="R2556" i="129"/>
  <c r="P2557" i="129"/>
  <c r="Q2557" i="129"/>
  <c r="R2557" i="129"/>
  <c r="P2558" i="129"/>
  <c r="Q2558" i="129"/>
  <c r="R2558" i="129"/>
  <c r="P2559" i="129"/>
  <c r="Q2559" i="129"/>
  <c r="R2559" i="129"/>
  <c r="P2560" i="129"/>
  <c r="Q2560" i="129"/>
  <c r="R2560" i="129"/>
  <c r="P2561" i="129"/>
  <c r="Q2561" i="129"/>
  <c r="R2561" i="129"/>
  <c r="P2562" i="129"/>
  <c r="Q2562" i="129"/>
  <c r="R2562" i="129"/>
  <c r="P2563" i="129"/>
  <c r="Q2563" i="129"/>
  <c r="R2563" i="129"/>
  <c r="P2564" i="129"/>
  <c r="Q2564" i="129"/>
  <c r="R2564" i="129"/>
  <c r="P2565" i="129"/>
  <c r="Q2565" i="129"/>
  <c r="R2565" i="129"/>
  <c r="P2566" i="129"/>
  <c r="Q2566" i="129"/>
  <c r="R2566" i="129"/>
  <c r="P2567" i="129"/>
  <c r="Q2567" i="129"/>
  <c r="R2567" i="129"/>
  <c r="P2568" i="129"/>
  <c r="Q2568" i="129"/>
  <c r="R2568" i="129"/>
  <c r="P2569" i="129"/>
  <c r="Q2569" i="129"/>
  <c r="R2569" i="129"/>
  <c r="P2570" i="129"/>
  <c r="Q2570" i="129"/>
  <c r="R2570" i="129"/>
  <c r="P2571" i="129"/>
  <c r="Q2571" i="129"/>
  <c r="R2571" i="129"/>
  <c r="P2572" i="129"/>
  <c r="Q2572" i="129"/>
  <c r="R2572" i="129"/>
  <c r="P2573" i="129"/>
  <c r="Q2573" i="129"/>
  <c r="R2573" i="129"/>
  <c r="P2574" i="129"/>
  <c r="Q2574" i="129"/>
  <c r="R2574" i="129"/>
  <c r="P2575" i="129"/>
  <c r="Q2575" i="129"/>
  <c r="R2575" i="129"/>
  <c r="P2576" i="129"/>
  <c r="Q2576" i="129"/>
  <c r="R2576" i="129"/>
  <c r="P2577" i="129"/>
  <c r="Q2577" i="129"/>
  <c r="R2577" i="129"/>
  <c r="P2578" i="129"/>
  <c r="Q2578" i="129"/>
  <c r="R2578" i="129"/>
  <c r="P2579" i="129"/>
  <c r="Q2579" i="129"/>
  <c r="R2579" i="129"/>
  <c r="P2580" i="129"/>
  <c r="Q2580" i="129"/>
  <c r="R2580" i="129"/>
  <c r="P2581" i="129"/>
  <c r="Q2581" i="129"/>
  <c r="R2581" i="129"/>
  <c r="P2582" i="129"/>
  <c r="Q2582" i="129"/>
  <c r="R2582" i="129"/>
  <c r="P2583" i="129"/>
  <c r="Q2583" i="129"/>
  <c r="R2583" i="129"/>
  <c r="P2584" i="129"/>
  <c r="Q2584" i="129"/>
  <c r="R2584" i="129"/>
  <c r="P2585" i="129"/>
  <c r="Q2585" i="129"/>
  <c r="R2585" i="129"/>
  <c r="P2586" i="129"/>
  <c r="Q2586" i="129"/>
  <c r="R2586" i="129"/>
  <c r="P2587" i="129"/>
  <c r="Q2587" i="129"/>
  <c r="R2587" i="129"/>
  <c r="P2588" i="129"/>
  <c r="Q2588" i="129"/>
  <c r="R2588" i="129"/>
  <c r="P2589" i="129"/>
  <c r="Q2589" i="129"/>
  <c r="R2589" i="129"/>
  <c r="P2590" i="129"/>
  <c r="Q2590" i="129"/>
  <c r="R2590" i="129"/>
  <c r="P2591" i="129"/>
  <c r="Q2591" i="129"/>
  <c r="R2591" i="129"/>
  <c r="P2592" i="129"/>
  <c r="Q2592" i="129"/>
  <c r="R2592" i="129"/>
  <c r="P2593" i="129"/>
  <c r="Q2593" i="129"/>
  <c r="R2593" i="129"/>
  <c r="P2594" i="129"/>
  <c r="Q2594" i="129"/>
  <c r="R2594" i="129"/>
  <c r="P2595" i="129"/>
  <c r="Q2595" i="129"/>
  <c r="R2595" i="129"/>
  <c r="P2596" i="129"/>
  <c r="Q2596" i="129"/>
  <c r="R2596" i="129"/>
  <c r="P2597" i="129"/>
  <c r="Q2597" i="129"/>
  <c r="R2597" i="129"/>
  <c r="P2598" i="129"/>
  <c r="Q2598" i="129"/>
  <c r="R2598" i="129"/>
  <c r="P2599" i="129"/>
  <c r="Q2599" i="129"/>
  <c r="R2599" i="129"/>
  <c r="P2600" i="129"/>
  <c r="Q2600" i="129"/>
  <c r="R2600" i="129"/>
  <c r="P2601" i="129"/>
  <c r="Q2601" i="129"/>
  <c r="R2601" i="129"/>
  <c r="P2602" i="129"/>
  <c r="Q2602" i="129"/>
  <c r="R2602" i="129"/>
  <c r="P2603" i="129"/>
  <c r="Q2603" i="129"/>
  <c r="R2603" i="129"/>
  <c r="P2604" i="129"/>
  <c r="Q2604" i="129"/>
  <c r="R2604" i="129"/>
  <c r="P2605" i="129"/>
  <c r="Q2605" i="129"/>
  <c r="R2605" i="129"/>
  <c r="P2606" i="129"/>
  <c r="Q2606" i="129"/>
  <c r="R2606" i="129"/>
  <c r="P2607" i="129"/>
  <c r="Q2607" i="129"/>
  <c r="R2607" i="129"/>
  <c r="P2608" i="129"/>
  <c r="Q2608" i="129"/>
  <c r="R2608" i="129"/>
  <c r="P2609" i="129"/>
  <c r="Q2609" i="129"/>
  <c r="R2609" i="129"/>
  <c r="P2610" i="129"/>
  <c r="Q2610" i="129"/>
  <c r="R2610" i="129"/>
  <c r="P2611" i="129"/>
  <c r="Q2611" i="129"/>
  <c r="R2611" i="129"/>
  <c r="P2612" i="129"/>
  <c r="Q2612" i="129"/>
  <c r="R2612" i="129"/>
  <c r="P2613" i="129"/>
  <c r="Q2613" i="129"/>
  <c r="R2613" i="129"/>
  <c r="P2614" i="129"/>
  <c r="Q2614" i="129"/>
  <c r="R2614" i="129"/>
  <c r="P2615" i="129"/>
  <c r="Q2615" i="129"/>
  <c r="R2615" i="129"/>
  <c r="P2616" i="129"/>
  <c r="Q2616" i="129"/>
  <c r="R2616" i="129"/>
  <c r="P2617" i="129"/>
  <c r="Q2617" i="129"/>
  <c r="R2617" i="129"/>
  <c r="P2618" i="129"/>
  <c r="Q2618" i="129"/>
  <c r="R2618" i="129"/>
  <c r="P2619" i="129"/>
  <c r="Q2619" i="129"/>
  <c r="R2619" i="129"/>
  <c r="P2620" i="129"/>
  <c r="Q2620" i="129"/>
  <c r="R2620" i="129"/>
  <c r="P2621" i="129"/>
  <c r="Q2621" i="129"/>
  <c r="R2621" i="129"/>
  <c r="P2622" i="129"/>
  <c r="Q2622" i="129"/>
  <c r="R2622" i="129"/>
  <c r="P2623" i="129"/>
  <c r="Q2623" i="129"/>
  <c r="R2623" i="129"/>
  <c r="P2624" i="129"/>
  <c r="Q2624" i="129"/>
  <c r="R2624" i="129"/>
  <c r="P2625" i="129"/>
  <c r="Q2625" i="129"/>
  <c r="R2625" i="129"/>
  <c r="P2626" i="129"/>
  <c r="Q2626" i="129"/>
  <c r="R2626" i="129"/>
  <c r="P2627" i="129"/>
  <c r="Q2627" i="129"/>
  <c r="R2627" i="129"/>
  <c r="P2628" i="129"/>
  <c r="Q2628" i="129"/>
  <c r="R2628" i="129"/>
  <c r="P2629" i="129"/>
  <c r="Q2629" i="129"/>
  <c r="R2629" i="129"/>
  <c r="P2630" i="129"/>
  <c r="Q2630" i="129"/>
  <c r="R2630" i="129"/>
  <c r="P2631" i="129"/>
  <c r="Q2631" i="129"/>
  <c r="R2631" i="129"/>
  <c r="P2632" i="129"/>
  <c r="Q2632" i="129"/>
  <c r="R2632" i="129"/>
  <c r="P2633" i="129"/>
  <c r="Q2633" i="129"/>
  <c r="R2633" i="129"/>
  <c r="P2634" i="129"/>
  <c r="Q2634" i="129"/>
  <c r="R2634" i="129"/>
  <c r="P2635" i="129"/>
  <c r="Q2635" i="129"/>
  <c r="R2635" i="129"/>
  <c r="P2636" i="129"/>
  <c r="Q2636" i="129"/>
  <c r="R2636" i="129"/>
  <c r="P2637" i="129"/>
  <c r="Q2637" i="129"/>
  <c r="R2637" i="129"/>
  <c r="P2638" i="129"/>
  <c r="Q2638" i="129"/>
  <c r="R2638" i="129"/>
  <c r="P2639" i="129"/>
  <c r="Q2639" i="129"/>
  <c r="R2639" i="129"/>
  <c r="P2640" i="129"/>
  <c r="Q2640" i="129"/>
  <c r="R2640" i="129"/>
  <c r="P2641" i="129"/>
  <c r="Q2641" i="129"/>
  <c r="R2641" i="129"/>
  <c r="P2642" i="129"/>
  <c r="Q2642" i="129"/>
  <c r="R2642" i="129"/>
  <c r="P2643" i="129"/>
  <c r="Q2643" i="129"/>
  <c r="R2643" i="129"/>
  <c r="P2644" i="129"/>
  <c r="Q2644" i="129"/>
  <c r="R2644" i="129"/>
  <c r="P2645" i="129"/>
  <c r="Q2645" i="129"/>
  <c r="R2645" i="129"/>
  <c r="P2646" i="129"/>
  <c r="Q2646" i="129"/>
  <c r="R2646" i="129"/>
  <c r="P2647" i="129"/>
  <c r="Q2647" i="129"/>
  <c r="R2647" i="129"/>
  <c r="P2648" i="129"/>
  <c r="Q2648" i="129"/>
  <c r="R2648" i="129"/>
  <c r="P2649" i="129"/>
  <c r="Q2649" i="129"/>
  <c r="R2649" i="129"/>
  <c r="P2650" i="129"/>
  <c r="Q2650" i="129"/>
  <c r="R2650" i="129"/>
  <c r="P2651" i="129"/>
  <c r="Q2651" i="129"/>
  <c r="R2651" i="129"/>
  <c r="P2652" i="129"/>
  <c r="Q2652" i="129"/>
  <c r="R2652" i="129"/>
  <c r="P2653" i="129"/>
  <c r="Q2653" i="129"/>
  <c r="R2653" i="129"/>
  <c r="P2654" i="129"/>
  <c r="Q2654" i="129"/>
  <c r="R2654" i="129"/>
  <c r="P2655" i="129"/>
  <c r="Q2655" i="129"/>
  <c r="R2655" i="129"/>
  <c r="P2656" i="129"/>
  <c r="Q2656" i="129"/>
  <c r="R2656" i="129"/>
  <c r="P2657" i="129"/>
  <c r="Q2657" i="129"/>
  <c r="R2657" i="129"/>
  <c r="P2658" i="129"/>
  <c r="Q2658" i="129"/>
  <c r="R2658" i="129"/>
  <c r="P2659" i="129"/>
  <c r="Q2659" i="129"/>
  <c r="R2659" i="129"/>
  <c r="P2660" i="129"/>
  <c r="Q2660" i="129"/>
  <c r="R2660" i="129"/>
  <c r="P2661" i="129"/>
  <c r="Q2661" i="129"/>
  <c r="R2661" i="129"/>
  <c r="P2662" i="129"/>
  <c r="Q2662" i="129"/>
  <c r="R2662" i="129"/>
  <c r="P2663" i="129"/>
  <c r="Q2663" i="129"/>
  <c r="R2663" i="129"/>
  <c r="P2664" i="129"/>
  <c r="Q2664" i="129"/>
  <c r="R2664" i="129"/>
  <c r="P2665" i="129"/>
  <c r="Q2665" i="129"/>
  <c r="R2665" i="129"/>
  <c r="P2666" i="129"/>
  <c r="Q2666" i="129"/>
  <c r="R2666" i="129"/>
  <c r="P2667" i="129"/>
  <c r="Q2667" i="129"/>
  <c r="R2667" i="129"/>
  <c r="P2668" i="129"/>
  <c r="Q2668" i="129"/>
  <c r="R2668" i="129"/>
  <c r="P2669" i="129"/>
  <c r="Q2669" i="129"/>
  <c r="R2669" i="129"/>
  <c r="P2670" i="129"/>
  <c r="Q2670" i="129"/>
  <c r="R2670" i="129"/>
  <c r="P2671" i="129"/>
  <c r="Q2671" i="129"/>
  <c r="R2671" i="129"/>
  <c r="P2672" i="129"/>
  <c r="Q2672" i="129"/>
  <c r="R2672" i="129"/>
  <c r="P2673" i="129"/>
  <c r="Q2673" i="129"/>
  <c r="R2673" i="129"/>
  <c r="P2674" i="129"/>
  <c r="Q2674" i="129"/>
  <c r="R2674" i="129"/>
  <c r="P2675" i="129"/>
  <c r="Q2675" i="129"/>
  <c r="R2675" i="129"/>
  <c r="P2676" i="129"/>
  <c r="Q2676" i="129"/>
  <c r="R2676" i="129"/>
  <c r="P2677" i="129"/>
  <c r="Q2677" i="129"/>
  <c r="R2677" i="129"/>
  <c r="P2678" i="129"/>
  <c r="Q2678" i="129"/>
  <c r="R2678" i="129"/>
  <c r="P2679" i="129"/>
  <c r="Q2679" i="129"/>
  <c r="R2679" i="129"/>
  <c r="P2680" i="129"/>
  <c r="Q2680" i="129"/>
  <c r="R2680" i="129"/>
  <c r="P2681" i="129"/>
  <c r="Q2681" i="129"/>
  <c r="R2681" i="129"/>
  <c r="P2682" i="129"/>
  <c r="Q2682" i="129"/>
  <c r="R2682" i="129"/>
  <c r="P2683" i="129"/>
  <c r="Q2683" i="129"/>
  <c r="R2683" i="129"/>
  <c r="P2684" i="129"/>
  <c r="Q2684" i="129"/>
  <c r="R2684" i="129"/>
  <c r="P2685" i="129"/>
  <c r="Q2685" i="129"/>
  <c r="R2685" i="129"/>
  <c r="P2686" i="129"/>
  <c r="Q2686" i="129"/>
  <c r="R2686" i="129"/>
  <c r="P2687" i="129"/>
  <c r="Q2687" i="129"/>
  <c r="R2687" i="129"/>
  <c r="P2688" i="129"/>
  <c r="Q2688" i="129"/>
  <c r="R2688" i="129"/>
  <c r="P2689" i="129"/>
  <c r="Q2689" i="129"/>
  <c r="R2689" i="129"/>
  <c r="P2690" i="129"/>
  <c r="Q2690" i="129"/>
  <c r="R2690" i="129"/>
  <c r="P2691" i="129"/>
  <c r="Q2691" i="129"/>
  <c r="R2691" i="129"/>
  <c r="P2692" i="129"/>
  <c r="Q2692" i="129"/>
  <c r="R2692" i="129"/>
  <c r="P2693" i="129"/>
  <c r="Q2693" i="129"/>
  <c r="R2693" i="129"/>
  <c r="P2694" i="129"/>
  <c r="Q2694" i="129"/>
  <c r="R2694" i="129"/>
  <c r="P2695" i="129"/>
  <c r="Q2695" i="129"/>
  <c r="R2695" i="129"/>
  <c r="P2696" i="129"/>
  <c r="Q2696" i="129"/>
  <c r="R2696" i="129"/>
  <c r="P2697" i="129"/>
  <c r="Q2697" i="129"/>
  <c r="R2697" i="129"/>
  <c r="P2698" i="129"/>
  <c r="Q2698" i="129"/>
  <c r="R2698" i="129"/>
  <c r="P2699" i="129"/>
  <c r="Q2699" i="129"/>
  <c r="R2699" i="129"/>
  <c r="P2700" i="129"/>
  <c r="Q2700" i="129"/>
  <c r="R2700" i="129"/>
  <c r="P2701" i="129"/>
  <c r="Q2701" i="129"/>
  <c r="R2701" i="129"/>
  <c r="P2702" i="129"/>
  <c r="Q2702" i="129"/>
  <c r="R2702" i="129"/>
  <c r="P2703" i="129"/>
  <c r="Q2703" i="129"/>
  <c r="R2703" i="129"/>
  <c r="P2704" i="129"/>
  <c r="Q2704" i="129"/>
  <c r="R2704" i="129"/>
  <c r="P2705" i="129"/>
  <c r="Q2705" i="129"/>
  <c r="R2705" i="129"/>
  <c r="P2706" i="129"/>
  <c r="Q2706" i="129"/>
  <c r="R2706" i="129"/>
  <c r="P2707" i="129"/>
  <c r="Q2707" i="129"/>
  <c r="R2707" i="129"/>
  <c r="P2708" i="129"/>
  <c r="Q2708" i="129"/>
  <c r="R2708" i="129"/>
  <c r="P2709" i="129"/>
  <c r="Q2709" i="129"/>
  <c r="R2709" i="129"/>
  <c r="P2710" i="129"/>
  <c r="Q2710" i="129"/>
  <c r="R2710" i="129"/>
  <c r="P2711" i="129"/>
  <c r="Q2711" i="129"/>
  <c r="R2711" i="129"/>
  <c r="P2712" i="129"/>
  <c r="Q2712" i="129"/>
  <c r="R2712" i="129"/>
  <c r="P2713" i="129"/>
  <c r="Q2713" i="129"/>
  <c r="R2713" i="129"/>
  <c r="P2714" i="129"/>
  <c r="Q2714" i="129"/>
  <c r="R2714" i="129"/>
  <c r="P2715" i="129"/>
  <c r="Q2715" i="129"/>
  <c r="R2715" i="129"/>
  <c r="P2716" i="129"/>
  <c r="Q2716" i="129"/>
  <c r="R2716" i="129"/>
  <c r="P2717" i="129"/>
  <c r="Q2717" i="129"/>
  <c r="R2717" i="129"/>
  <c r="P2718" i="129"/>
  <c r="Q2718" i="129"/>
  <c r="R2718" i="129"/>
  <c r="P2719" i="129"/>
  <c r="Q2719" i="129"/>
  <c r="R2719" i="129"/>
  <c r="P2720" i="129"/>
  <c r="Q2720" i="129"/>
  <c r="R2720" i="129"/>
  <c r="P2721" i="129"/>
  <c r="Q2721" i="129"/>
  <c r="R2721" i="129"/>
  <c r="P2722" i="129"/>
  <c r="Q2722" i="129"/>
  <c r="R2722" i="129"/>
  <c r="P2723" i="129"/>
  <c r="Q2723" i="129"/>
  <c r="R2723" i="129"/>
  <c r="P2724" i="129"/>
  <c r="Q2724" i="129"/>
  <c r="R2724" i="129"/>
  <c r="P2725" i="129"/>
  <c r="Q2725" i="129"/>
  <c r="R2725" i="129"/>
  <c r="P2726" i="129"/>
  <c r="Q2726" i="129"/>
  <c r="R2726" i="129"/>
  <c r="P2727" i="129"/>
  <c r="Q2727" i="129"/>
  <c r="R2727" i="129"/>
  <c r="P2728" i="129"/>
  <c r="Q2728" i="129"/>
  <c r="R2728" i="129"/>
  <c r="P2729" i="129"/>
  <c r="Q2729" i="129"/>
  <c r="R2729" i="129"/>
  <c r="P2730" i="129"/>
  <c r="Q2730" i="129"/>
  <c r="R2730" i="129"/>
  <c r="P2731" i="129"/>
  <c r="Q2731" i="129"/>
  <c r="R2731" i="129"/>
  <c r="P2732" i="129"/>
  <c r="Q2732" i="129"/>
  <c r="R2732" i="129"/>
  <c r="P2733" i="129"/>
  <c r="Q2733" i="129"/>
  <c r="R2733" i="129"/>
  <c r="P2734" i="129"/>
  <c r="Q2734" i="129"/>
  <c r="R2734" i="129"/>
  <c r="P2735" i="129"/>
  <c r="Q2735" i="129"/>
  <c r="R2735" i="129"/>
  <c r="P2736" i="129"/>
  <c r="Q2736" i="129"/>
  <c r="R2736" i="129"/>
  <c r="P2737" i="129"/>
  <c r="Q2737" i="129"/>
  <c r="R2737" i="129"/>
  <c r="P2738" i="129"/>
  <c r="Q2738" i="129"/>
  <c r="R2738" i="129"/>
  <c r="P2739" i="129"/>
  <c r="Q2739" i="129"/>
  <c r="R2739" i="129"/>
  <c r="P2740" i="129"/>
  <c r="Q2740" i="129"/>
  <c r="R2740" i="129"/>
  <c r="P2741" i="129"/>
  <c r="Q2741" i="129"/>
  <c r="R2741" i="129"/>
  <c r="P2742" i="129"/>
  <c r="Q2742" i="129"/>
  <c r="R2742" i="129"/>
  <c r="P2743" i="129"/>
  <c r="Q2743" i="129"/>
  <c r="R2743" i="129"/>
  <c r="P2744" i="129"/>
  <c r="Q2744" i="129"/>
  <c r="R2744" i="129"/>
  <c r="P2745" i="129"/>
  <c r="Q2745" i="129"/>
  <c r="R2745" i="129"/>
  <c r="P2746" i="129"/>
  <c r="Q2746" i="129"/>
  <c r="R2746" i="129"/>
  <c r="P2747" i="129"/>
  <c r="Q2747" i="129"/>
  <c r="R2747" i="129"/>
  <c r="P2748" i="129"/>
  <c r="Q2748" i="129"/>
  <c r="R2748" i="129"/>
  <c r="P2749" i="129"/>
  <c r="Q2749" i="129"/>
  <c r="R2749" i="129"/>
  <c r="P2750" i="129"/>
  <c r="Q2750" i="129"/>
  <c r="R2750" i="129"/>
  <c r="P2751" i="129"/>
  <c r="Q2751" i="129"/>
  <c r="R2751" i="129"/>
  <c r="P2752" i="129"/>
  <c r="Q2752" i="129"/>
  <c r="R2752" i="129"/>
  <c r="P2753" i="129"/>
  <c r="Q2753" i="129"/>
  <c r="R2753" i="129"/>
  <c r="P2754" i="129"/>
  <c r="Q2754" i="129"/>
  <c r="R2754" i="129"/>
  <c r="P2755" i="129"/>
  <c r="Q2755" i="129"/>
  <c r="R2755" i="129"/>
  <c r="P2756" i="129"/>
  <c r="Q2756" i="129"/>
  <c r="R2756" i="129"/>
  <c r="P2757" i="129"/>
  <c r="Q2757" i="129"/>
  <c r="R2757" i="129"/>
  <c r="P2758" i="129"/>
  <c r="Q2758" i="129"/>
  <c r="R2758" i="129"/>
  <c r="P2759" i="129"/>
  <c r="Q2759" i="129"/>
  <c r="R2759" i="129"/>
  <c r="P2760" i="129"/>
  <c r="Q2760" i="129"/>
  <c r="R2760" i="129"/>
  <c r="P2761" i="129"/>
  <c r="Q2761" i="129"/>
  <c r="R2761" i="129"/>
  <c r="P2762" i="129"/>
  <c r="Q2762" i="129"/>
  <c r="R2762" i="129"/>
  <c r="P2763" i="129"/>
  <c r="Q2763" i="129"/>
  <c r="R2763" i="129"/>
  <c r="P2764" i="129"/>
  <c r="Q2764" i="129"/>
  <c r="R2764" i="129"/>
  <c r="P2765" i="129"/>
  <c r="Q2765" i="129"/>
  <c r="R2765" i="129"/>
  <c r="P2766" i="129"/>
  <c r="Q2766" i="129"/>
  <c r="R2766" i="129"/>
  <c r="P2767" i="129"/>
  <c r="Q2767" i="129"/>
  <c r="R2767" i="129"/>
  <c r="P2768" i="129"/>
  <c r="Q2768" i="129"/>
  <c r="R2768" i="129"/>
  <c r="P2769" i="129"/>
  <c r="Q2769" i="129"/>
  <c r="R2769" i="129"/>
  <c r="P2770" i="129"/>
  <c r="Q2770" i="129"/>
  <c r="R2770" i="129"/>
  <c r="P2771" i="129"/>
  <c r="Q2771" i="129"/>
  <c r="R2771" i="129"/>
  <c r="P2772" i="129"/>
  <c r="Q2772" i="129"/>
  <c r="R2772" i="129"/>
  <c r="P2773" i="129"/>
  <c r="Q2773" i="129"/>
  <c r="R2773" i="129"/>
  <c r="P2774" i="129"/>
  <c r="Q2774" i="129"/>
  <c r="R2774" i="129"/>
  <c r="P2775" i="129"/>
  <c r="Q2775" i="129"/>
  <c r="R2775" i="129"/>
  <c r="P2776" i="129"/>
  <c r="Q2776" i="129"/>
  <c r="R2776" i="129"/>
  <c r="P2777" i="129"/>
  <c r="Q2777" i="129"/>
  <c r="R2777" i="129"/>
  <c r="P2778" i="129"/>
  <c r="Q2778" i="129"/>
  <c r="R2778" i="129"/>
  <c r="P2779" i="129"/>
  <c r="Q2779" i="129"/>
  <c r="R2779" i="129"/>
  <c r="P2780" i="129"/>
  <c r="Q2780" i="129"/>
  <c r="R2780" i="129"/>
  <c r="P2781" i="129"/>
  <c r="Q2781" i="129"/>
  <c r="R2781" i="129"/>
  <c r="P2782" i="129"/>
  <c r="Q2782" i="129"/>
  <c r="R2782" i="129"/>
  <c r="P2783" i="129"/>
  <c r="Q2783" i="129"/>
  <c r="R2783" i="129"/>
  <c r="P2784" i="129"/>
  <c r="Q2784" i="129"/>
  <c r="R2784" i="129"/>
  <c r="P2785" i="129"/>
  <c r="Q2785" i="129"/>
  <c r="R2785" i="129"/>
  <c r="P2786" i="129"/>
  <c r="Q2786" i="129"/>
  <c r="R2786" i="129"/>
  <c r="P2787" i="129"/>
  <c r="Q2787" i="129"/>
  <c r="R2787" i="129"/>
  <c r="P2788" i="129"/>
  <c r="Q2788" i="129"/>
  <c r="R2788" i="129"/>
  <c r="P2789" i="129"/>
  <c r="Q2789" i="129"/>
  <c r="R2789" i="129"/>
  <c r="P2790" i="129"/>
  <c r="Q2790" i="129"/>
  <c r="R2790" i="129"/>
  <c r="P2791" i="129"/>
  <c r="Q2791" i="129"/>
  <c r="R2791" i="129"/>
  <c r="P2792" i="129"/>
  <c r="Q2792" i="129"/>
  <c r="R2792" i="129"/>
  <c r="P2793" i="129"/>
  <c r="Q2793" i="129"/>
  <c r="R2793" i="129"/>
  <c r="P2794" i="129"/>
  <c r="Q2794" i="129"/>
  <c r="R2794" i="129"/>
  <c r="P2795" i="129"/>
  <c r="Q2795" i="129"/>
  <c r="R2795" i="129"/>
  <c r="P2796" i="129"/>
  <c r="Q2796" i="129"/>
  <c r="R2796" i="129"/>
  <c r="P2797" i="129"/>
  <c r="Q2797" i="129"/>
  <c r="R2797" i="129"/>
  <c r="P2798" i="129"/>
  <c r="Q2798" i="129"/>
  <c r="R2798" i="129"/>
  <c r="P2799" i="129"/>
  <c r="Q2799" i="129"/>
  <c r="R2799" i="129"/>
  <c r="P2800" i="129"/>
  <c r="Q2800" i="129"/>
  <c r="R2800" i="129"/>
  <c r="P2801" i="129"/>
  <c r="Q2801" i="129"/>
  <c r="R2801" i="129"/>
  <c r="P2802" i="129"/>
  <c r="Q2802" i="129"/>
  <c r="R2802" i="129"/>
  <c r="P2803" i="129"/>
  <c r="Q2803" i="129"/>
  <c r="R2803" i="129"/>
  <c r="P2804" i="129"/>
  <c r="Q2804" i="129"/>
  <c r="R2804" i="129"/>
  <c r="P2805" i="129"/>
  <c r="Q2805" i="129"/>
  <c r="R2805" i="129"/>
  <c r="P2806" i="129"/>
  <c r="Q2806" i="129"/>
  <c r="R2806" i="129"/>
  <c r="P2807" i="129"/>
  <c r="Q2807" i="129"/>
  <c r="R2807" i="129"/>
  <c r="P2808" i="129"/>
  <c r="Q2808" i="129"/>
  <c r="R2808" i="129"/>
  <c r="P2809" i="129"/>
  <c r="Q2809" i="129"/>
  <c r="R2809" i="129"/>
  <c r="P2810" i="129"/>
  <c r="Q2810" i="129"/>
  <c r="R2810" i="129"/>
  <c r="P2811" i="129"/>
  <c r="Q2811" i="129"/>
  <c r="R2811" i="129"/>
  <c r="P2812" i="129"/>
  <c r="Q2812" i="129"/>
  <c r="R2812" i="129"/>
  <c r="P2813" i="129"/>
  <c r="Q2813" i="129"/>
  <c r="R2813" i="129"/>
  <c r="P2814" i="129"/>
  <c r="Q2814" i="129"/>
  <c r="R2814" i="129"/>
  <c r="P2815" i="129"/>
  <c r="Q2815" i="129"/>
  <c r="R2815" i="129"/>
  <c r="P2816" i="129"/>
  <c r="Q2816" i="129"/>
  <c r="R2816" i="129"/>
  <c r="P2817" i="129"/>
  <c r="Q2817" i="129"/>
  <c r="R2817" i="129"/>
  <c r="P2818" i="129"/>
  <c r="Q2818" i="129"/>
  <c r="R2818" i="129"/>
  <c r="P2819" i="129"/>
  <c r="Q2819" i="129"/>
  <c r="R2819" i="129"/>
  <c r="P2820" i="129"/>
  <c r="Q2820" i="129"/>
  <c r="R2820" i="129"/>
  <c r="P2821" i="129"/>
  <c r="Q2821" i="129"/>
  <c r="R2821" i="129"/>
  <c r="P2822" i="129"/>
  <c r="Q2822" i="129"/>
  <c r="R2822" i="129"/>
  <c r="P2823" i="129"/>
  <c r="Q2823" i="129"/>
  <c r="R2823" i="129"/>
  <c r="P2824" i="129"/>
  <c r="Q2824" i="129"/>
  <c r="R2824" i="129"/>
  <c r="P2825" i="129"/>
  <c r="Q2825" i="129"/>
  <c r="R2825" i="129"/>
  <c r="P2826" i="129"/>
  <c r="Q2826" i="129"/>
  <c r="R2826" i="129"/>
  <c r="P2827" i="129"/>
  <c r="Q2827" i="129"/>
  <c r="R2827" i="129"/>
  <c r="P2828" i="129"/>
  <c r="Q2828" i="129"/>
  <c r="R2828" i="129"/>
  <c r="P2829" i="129"/>
  <c r="Q2829" i="129"/>
  <c r="R2829" i="129"/>
  <c r="P2830" i="129"/>
  <c r="Q2830" i="129"/>
  <c r="R2830" i="129"/>
  <c r="P2831" i="129"/>
  <c r="Q2831" i="129"/>
  <c r="R2831" i="129"/>
  <c r="P2832" i="129"/>
  <c r="Q2832" i="129"/>
  <c r="R2832" i="129"/>
  <c r="P2833" i="129"/>
  <c r="Q2833" i="129"/>
  <c r="R2833" i="129"/>
  <c r="P2834" i="129"/>
  <c r="Q2834" i="129"/>
  <c r="R2834" i="129"/>
  <c r="P2835" i="129"/>
  <c r="Q2835" i="129"/>
  <c r="R2835" i="129"/>
  <c r="P2836" i="129"/>
  <c r="Q2836" i="129"/>
  <c r="R2836" i="129"/>
  <c r="P2837" i="129"/>
  <c r="Q2837" i="129"/>
  <c r="R2837" i="129"/>
  <c r="P2838" i="129"/>
  <c r="Q2838" i="129"/>
  <c r="R2838" i="129"/>
  <c r="P2839" i="129"/>
  <c r="Q2839" i="129"/>
  <c r="R2839" i="129"/>
  <c r="P2840" i="129"/>
  <c r="Q2840" i="129"/>
  <c r="R2840" i="129"/>
  <c r="P2841" i="129"/>
  <c r="Q2841" i="129"/>
  <c r="R2841" i="129"/>
  <c r="P2842" i="129"/>
  <c r="Q2842" i="129"/>
  <c r="R2842" i="129"/>
  <c r="P2843" i="129"/>
  <c r="Q2843" i="129"/>
  <c r="R2843" i="129"/>
  <c r="P2844" i="129"/>
  <c r="Q2844" i="129"/>
  <c r="R2844" i="129"/>
  <c r="P2845" i="129"/>
  <c r="Q2845" i="129"/>
  <c r="R2845" i="129"/>
  <c r="P2846" i="129"/>
  <c r="Q2846" i="129"/>
  <c r="R2846" i="129"/>
  <c r="P2847" i="129"/>
  <c r="Q2847" i="129"/>
  <c r="R2847" i="129"/>
  <c r="P2848" i="129"/>
  <c r="Q2848" i="129"/>
  <c r="R2848" i="129"/>
  <c r="P2849" i="129"/>
  <c r="Q2849" i="129"/>
  <c r="R2849" i="129"/>
  <c r="P2850" i="129"/>
  <c r="Q2850" i="129"/>
  <c r="R2850" i="129"/>
  <c r="P2851" i="129"/>
  <c r="Q2851" i="129"/>
  <c r="R2851" i="129"/>
  <c r="P2852" i="129"/>
  <c r="Q2852" i="129"/>
  <c r="R2852" i="129"/>
  <c r="P2853" i="129"/>
  <c r="Q2853" i="129"/>
  <c r="R2853" i="129"/>
  <c r="P2854" i="129"/>
  <c r="Q2854" i="129"/>
  <c r="R2854" i="129"/>
  <c r="P2855" i="129"/>
  <c r="Q2855" i="129"/>
  <c r="R2855" i="129"/>
  <c r="P2856" i="129"/>
  <c r="Q2856" i="129"/>
  <c r="R2856" i="129"/>
  <c r="P2857" i="129"/>
  <c r="Q2857" i="129"/>
  <c r="R2857" i="129"/>
  <c r="P2858" i="129"/>
  <c r="Q2858" i="129"/>
  <c r="R2858" i="129"/>
  <c r="P2859" i="129"/>
  <c r="Q2859" i="129"/>
  <c r="R2859" i="129"/>
  <c r="P2860" i="129"/>
  <c r="Q2860" i="129"/>
  <c r="R2860" i="129"/>
  <c r="P2861" i="129"/>
  <c r="Q2861" i="129"/>
  <c r="R2861" i="129"/>
  <c r="P2862" i="129"/>
  <c r="Q2862" i="129"/>
  <c r="R2862" i="129"/>
  <c r="P2863" i="129"/>
  <c r="Q2863" i="129"/>
  <c r="R2863" i="129"/>
  <c r="P2864" i="129"/>
  <c r="Q2864" i="129"/>
  <c r="R2864" i="129"/>
  <c r="P2865" i="129"/>
  <c r="Q2865" i="129"/>
  <c r="R2865" i="129"/>
  <c r="P2866" i="129"/>
  <c r="Q2866" i="129"/>
  <c r="R2866" i="129"/>
  <c r="P2867" i="129"/>
  <c r="Q2867" i="129"/>
  <c r="R2867" i="129"/>
  <c r="P2868" i="129"/>
  <c r="Q2868" i="129"/>
  <c r="R2868" i="129"/>
  <c r="P2869" i="129"/>
  <c r="Q2869" i="129"/>
  <c r="R2869" i="129"/>
  <c r="P2870" i="129"/>
  <c r="Q2870" i="129"/>
  <c r="R2870" i="129"/>
  <c r="P2871" i="129"/>
  <c r="Q2871" i="129"/>
  <c r="R2871" i="129"/>
  <c r="P2872" i="129"/>
  <c r="Q2872" i="129"/>
  <c r="R2872" i="129"/>
  <c r="P2873" i="129"/>
  <c r="Q2873" i="129"/>
  <c r="R2873" i="129"/>
  <c r="P2874" i="129"/>
  <c r="Q2874" i="129"/>
  <c r="R2874" i="129"/>
  <c r="P2875" i="129"/>
  <c r="Q2875" i="129"/>
  <c r="R2875" i="129"/>
  <c r="P2876" i="129"/>
  <c r="Q2876" i="129"/>
  <c r="R2876" i="129"/>
  <c r="P2877" i="129"/>
  <c r="Q2877" i="129"/>
  <c r="R2877" i="129"/>
  <c r="P2878" i="129"/>
  <c r="Q2878" i="129"/>
  <c r="R2878" i="129"/>
  <c r="P2879" i="129"/>
  <c r="Q2879" i="129"/>
  <c r="R2879" i="129"/>
  <c r="P2880" i="129"/>
  <c r="Q2880" i="129"/>
  <c r="R2880" i="129"/>
  <c r="P2881" i="129"/>
  <c r="Q2881" i="129"/>
  <c r="R2881" i="129"/>
  <c r="P2882" i="129"/>
  <c r="Q2882" i="129"/>
  <c r="R2882" i="129"/>
  <c r="P2883" i="129"/>
  <c r="Q2883" i="129"/>
  <c r="R2883" i="129"/>
  <c r="P2884" i="129"/>
  <c r="Q2884" i="129"/>
  <c r="R2884" i="129"/>
  <c r="P2885" i="129"/>
  <c r="Q2885" i="129"/>
  <c r="R2885" i="129"/>
  <c r="P2886" i="129"/>
  <c r="Q2886" i="129"/>
  <c r="R2886" i="129"/>
  <c r="P2887" i="129"/>
  <c r="Q2887" i="129"/>
  <c r="R2887" i="129"/>
  <c r="P2888" i="129"/>
  <c r="Q2888" i="129"/>
  <c r="R2888" i="129"/>
  <c r="P2889" i="129"/>
  <c r="Q2889" i="129"/>
  <c r="R2889" i="129"/>
  <c r="P2890" i="129"/>
  <c r="Q2890" i="129"/>
  <c r="R2890" i="129"/>
  <c r="P2891" i="129"/>
  <c r="Q2891" i="129"/>
  <c r="R2891" i="129"/>
  <c r="P2892" i="129"/>
  <c r="Q2892" i="129"/>
  <c r="R2892" i="129"/>
  <c r="P2893" i="129"/>
  <c r="Q2893" i="129"/>
  <c r="R2893" i="129"/>
  <c r="P2894" i="129"/>
  <c r="Q2894" i="129"/>
  <c r="R2894" i="129"/>
  <c r="P2895" i="129"/>
  <c r="Q2895" i="129"/>
  <c r="R2895" i="129"/>
  <c r="P2896" i="129"/>
  <c r="Q2896" i="129"/>
  <c r="R2896" i="129"/>
  <c r="P2897" i="129"/>
  <c r="Q2897" i="129"/>
  <c r="R2897" i="129"/>
  <c r="P2898" i="129"/>
  <c r="Q2898" i="129"/>
  <c r="R2898" i="129"/>
  <c r="P2899" i="129"/>
  <c r="Q2899" i="129"/>
  <c r="R2899" i="129"/>
  <c r="P2900" i="129"/>
  <c r="Q2900" i="129"/>
  <c r="R2900" i="129"/>
  <c r="P2901" i="129"/>
  <c r="Q2901" i="129"/>
  <c r="R2901" i="129"/>
  <c r="P2902" i="129"/>
  <c r="Q2902" i="129"/>
  <c r="R2902" i="129"/>
  <c r="P2903" i="129"/>
  <c r="Q2903" i="129"/>
  <c r="R2903" i="129"/>
  <c r="P2904" i="129"/>
  <c r="Q2904" i="129"/>
  <c r="R2904" i="129"/>
  <c r="P2905" i="129"/>
  <c r="Q2905" i="129"/>
  <c r="R2905" i="129"/>
  <c r="P2906" i="129"/>
  <c r="Q2906" i="129"/>
  <c r="R2906" i="129"/>
  <c r="P2907" i="129"/>
  <c r="Q2907" i="129"/>
  <c r="R2907" i="129"/>
  <c r="P2908" i="129"/>
  <c r="Q2908" i="129"/>
  <c r="R2908" i="129"/>
  <c r="P2909" i="129"/>
  <c r="Q2909" i="129"/>
  <c r="R2909" i="129"/>
  <c r="P2910" i="129"/>
  <c r="Q2910" i="129"/>
  <c r="R2910" i="129"/>
  <c r="P2911" i="129"/>
  <c r="Q2911" i="129"/>
  <c r="R2911" i="129"/>
  <c r="P2912" i="129"/>
  <c r="Q2912" i="129"/>
  <c r="R2912" i="129"/>
  <c r="P2913" i="129"/>
  <c r="Q2913" i="129"/>
  <c r="R2913" i="129"/>
  <c r="P2914" i="129"/>
  <c r="Q2914" i="129"/>
  <c r="R2914" i="129"/>
  <c r="P2915" i="129"/>
  <c r="Q2915" i="129"/>
  <c r="R2915" i="129"/>
  <c r="P2916" i="129"/>
  <c r="Q2916" i="129"/>
  <c r="R2916" i="129"/>
  <c r="P2917" i="129"/>
  <c r="Q2917" i="129"/>
  <c r="R2917" i="129"/>
  <c r="P2918" i="129"/>
  <c r="Q2918" i="129"/>
  <c r="R2918" i="129"/>
  <c r="P2919" i="129"/>
  <c r="Q2919" i="129"/>
  <c r="R2919" i="129"/>
  <c r="P2920" i="129"/>
  <c r="Q2920" i="129"/>
  <c r="R2920" i="129"/>
  <c r="P2921" i="129"/>
  <c r="Q2921" i="129"/>
  <c r="R2921" i="129"/>
  <c r="P2922" i="129"/>
  <c r="Q2922" i="129"/>
  <c r="R2922" i="129"/>
  <c r="P2923" i="129"/>
  <c r="Q2923" i="129"/>
  <c r="R2923" i="129"/>
  <c r="P2924" i="129"/>
  <c r="Q2924" i="129"/>
  <c r="R2924" i="129"/>
  <c r="P2925" i="129"/>
  <c r="Q2925" i="129"/>
  <c r="R2925" i="129"/>
  <c r="P2926" i="129"/>
  <c r="Q2926" i="129"/>
  <c r="R2926" i="129"/>
  <c r="P2927" i="129"/>
  <c r="Q2927" i="129"/>
  <c r="R2927" i="129"/>
  <c r="P2928" i="129"/>
  <c r="Q2928" i="129"/>
  <c r="R2928" i="129"/>
  <c r="P2929" i="129"/>
  <c r="Q2929" i="129"/>
  <c r="R2929" i="129"/>
  <c r="P2930" i="129"/>
  <c r="Q2930" i="129"/>
  <c r="R2930" i="129"/>
  <c r="P2931" i="129"/>
  <c r="Q2931" i="129"/>
  <c r="R2931" i="129"/>
  <c r="P2932" i="129"/>
  <c r="Q2932" i="129"/>
  <c r="R2932" i="129"/>
  <c r="P2933" i="129"/>
  <c r="Q2933" i="129"/>
  <c r="R2933" i="129"/>
  <c r="P2934" i="129"/>
  <c r="Q2934" i="129"/>
  <c r="R2934" i="129"/>
  <c r="P2935" i="129"/>
  <c r="Q2935" i="129"/>
  <c r="R2935" i="129"/>
  <c r="P2936" i="129"/>
  <c r="Q2936" i="129"/>
  <c r="R2936" i="129"/>
  <c r="P2937" i="129"/>
  <c r="Q2937" i="129"/>
  <c r="R2937" i="129"/>
  <c r="P2938" i="129"/>
  <c r="Q2938" i="129"/>
  <c r="R2938" i="129"/>
  <c r="P2939" i="129"/>
  <c r="Q2939" i="129"/>
  <c r="R2939" i="129"/>
  <c r="P2940" i="129"/>
  <c r="Q2940" i="129"/>
  <c r="R2940" i="129"/>
  <c r="P2941" i="129"/>
  <c r="Q2941" i="129"/>
  <c r="R2941" i="129"/>
  <c r="P2942" i="129"/>
  <c r="Q2942" i="129"/>
  <c r="R2942" i="129"/>
  <c r="P2943" i="129"/>
  <c r="Q2943" i="129"/>
  <c r="R2943" i="129"/>
  <c r="P2944" i="129"/>
  <c r="Q2944" i="129"/>
  <c r="R2944" i="129"/>
  <c r="P2945" i="129"/>
  <c r="Q2945" i="129"/>
  <c r="R2945" i="129"/>
  <c r="P2946" i="129"/>
  <c r="Q2946" i="129"/>
  <c r="R2946" i="129"/>
  <c r="P2947" i="129"/>
  <c r="Q2947" i="129"/>
  <c r="R2947" i="129"/>
  <c r="P2948" i="129"/>
  <c r="Q2948" i="129"/>
  <c r="R2948" i="129"/>
  <c r="P2949" i="129"/>
  <c r="Q2949" i="129"/>
  <c r="R2949" i="129"/>
  <c r="P2950" i="129"/>
  <c r="Q2950" i="129"/>
  <c r="R2950" i="129"/>
  <c r="P2951" i="129"/>
  <c r="Q2951" i="129"/>
  <c r="R2951" i="129"/>
  <c r="P2952" i="129"/>
  <c r="Q2952" i="129"/>
  <c r="R2952" i="129"/>
  <c r="P2953" i="129"/>
  <c r="Q2953" i="129"/>
  <c r="R2953" i="129"/>
  <c r="P2954" i="129"/>
  <c r="Q2954" i="129"/>
  <c r="R2954" i="129"/>
  <c r="P2955" i="129"/>
  <c r="Q2955" i="129"/>
  <c r="R2955" i="129"/>
  <c r="P2956" i="129"/>
  <c r="Q2956" i="129"/>
  <c r="R2956" i="129"/>
  <c r="P2957" i="129"/>
  <c r="Q2957" i="129"/>
  <c r="R2957" i="129"/>
  <c r="H232" i="140" l="1"/>
  <c r="X232" i="140"/>
  <c r="V232" i="140"/>
  <c r="W232" i="140"/>
  <c r="U232" i="140"/>
  <c r="Z169" i="140"/>
  <c r="AC232" i="140"/>
  <c r="P169" i="140"/>
  <c r="F169" i="140"/>
  <c r="R108" i="140"/>
  <c r="S169" i="140"/>
  <c r="S232" i="140" s="1"/>
  <c r="AF169" i="140"/>
  <c r="O108" i="140"/>
  <c r="Y169" i="140"/>
  <c r="Q169" i="140"/>
  <c r="Q232" i="140" s="1"/>
  <c r="I169" i="140"/>
  <c r="I232" i="140" s="1"/>
  <c r="AB169" i="140"/>
  <c r="J169" i="140"/>
  <c r="J232" i="140" s="1"/>
  <c r="AA169" i="140"/>
  <c r="M58" i="140"/>
  <c r="O58" i="140"/>
  <c r="L108" i="140"/>
  <c r="N108" i="140"/>
  <c r="R58" i="140"/>
  <c r="M108" i="140"/>
  <c r="G108" i="140"/>
  <c r="T108" i="140" s="1"/>
  <c r="L58" i="140"/>
  <c r="N58" i="140"/>
  <c r="G58" i="140"/>
  <c r="Z13" i="140"/>
  <c r="BH13" i="140" s="1"/>
  <c r="N13" i="140"/>
  <c r="AA13" i="140"/>
  <c r="AD13" i="140"/>
  <c r="AB13" i="140"/>
  <c r="K13" i="140"/>
  <c r="Y13" i="140"/>
  <c r="O13" i="140"/>
  <c r="G13" i="140"/>
  <c r="R13" i="140"/>
  <c r="AF13" i="140"/>
  <c r="M13" i="140"/>
  <c r="AG13" i="140"/>
  <c r="L13" i="140"/>
  <c r="U69" i="125"/>
  <c r="AA232" i="140" l="1"/>
  <c r="AF232" i="140"/>
  <c r="Y232" i="140"/>
  <c r="Z232" i="140"/>
  <c r="AB232" i="140"/>
  <c r="P232" i="140"/>
  <c r="AG232" i="140"/>
  <c r="K232" i="140"/>
  <c r="N232" i="140"/>
  <c r="AE13" i="140"/>
  <c r="F232" i="140"/>
  <c r="R232" i="140" s="1"/>
  <c r="O169" i="140"/>
  <c r="AK169" i="140" s="1"/>
  <c r="AD169" i="140"/>
  <c r="R169" i="140"/>
  <c r="M169" i="140"/>
  <c r="N169" i="140"/>
  <c r="AJ169" i="140" s="1"/>
  <c r="AG169" i="140"/>
  <c r="T58" i="140"/>
  <c r="G169" i="140"/>
  <c r="G232" i="140" s="1"/>
  <c r="AE232" i="140" s="1"/>
  <c r="L169" i="140"/>
  <c r="AI169" i="140" s="1"/>
  <c r="K169" i="140"/>
  <c r="AH169" i="140" s="1"/>
  <c r="AI13" i="140"/>
  <c r="AJ13" i="140"/>
  <c r="AK13" i="140"/>
  <c r="AH13" i="140"/>
  <c r="T13" i="140"/>
  <c r="AJ232" i="140" l="1"/>
  <c r="AH232" i="140"/>
  <c r="O232" i="140"/>
  <c r="AK232" i="140" s="1"/>
  <c r="AD232" i="140"/>
  <c r="L232" i="140"/>
  <c r="AI232" i="140" s="1"/>
  <c r="M232" i="140"/>
  <c r="T232" i="140"/>
  <c r="AE169" i="140"/>
  <c r="T169" i="140"/>
  <c r="C95" i="131" l="1"/>
  <c r="E95" i="131"/>
  <c r="E94" i="131"/>
  <c r="C94" i="131"/>
  <c r="G92" i="131"/>
  <c r="G93" i="131" l="1"/>
  <c r="I129" i="140" l="1" a="1"/>
  <c r="I129" i="140" s="1"/>
  <c r="AL251" i="140" l="1"/>
  <c r="AL250" i="140"/>
  <c r="AL249" i="140"/>
  <c r="AL248" i="140"/>
  <c r="AC249" i="140"/>
  <c r="AC248" i="140"/>
  <c r="X249" i="140"/>
  <c r="W249" i="140"/>
  <c r="V249" i="140"/>
  <c r="U249" i="140"/>
  <c r="X248" i="140"/>
  <c r="W248" i="140"/>
  <c r="V248" i="140"/>
  <c r="U248" i="140"/>
  <c r="AO233" i="140"/>
  <c r="BL233" i="140" s="1"/>
  <c r="AL233" i="140"/>
  <c r="U73" i="125"/>
  <c r="T73" i="125"/>
  <c r="S73" i="125"/>
  <c r="L73" i="125"/>
  <c r="K73" i="125"/>
  <c r="J73" i="125"/>
  <c r="U72" i="125"/>
  <c r="T72" i="125"/>
  <c r="S72" i="125"/>
  <c r="L72" i="125"/>
  <c r="K72" i="125"/>
  <c r="J72" i="125"/>
  <c r="R70" i="125"/>
  <c r="Q70" i="125"/>
  <c r="P70" i="125"/>
  <c r="O70" i="125"/>
  <c r="N70" i="125"/>
  <c r="M70" i="125"/>
  <c r="L70" i="125"/>
  <c r="K70" i="125"/>
  <c r="J70" i="125"/>
  <c r="AO169" i="140"/>
  <c r="BL169" i="140" s="1"/>
  <c r="AL170" i="140"/>
  <c r="AC170" i="140"/>
  <c r="X170" i="140"/>
  <c r="W170" i="140"/>
  <c r="V170" i="140"/>
  <c r="U170" i="140"/>
  <c r="H170" i="140"/>
  <c r="AO109" i="140"/>
  <c r="BC109" i="140" s="1"/>
  <c r="S109" i="140"/>
  <c r="Q109" i="140"/>
  <c r="P109" i="140"/>
  <c r="J109" i="140"/>
  <c r="I109" i="140" a="1"/>
  <c r="I109" i="140" s="1"/>
  <c r="F109" i="140"/>
  <c r="AL109" i="140"/>
  <c r="AO59" i="140"/>
  <c r="BC59" i="140" s="1"/>
  <c r="AO14" i="140"/>
  <c r="BL14" i="140" s="1"/>
  <c r="S70" i="125" l="1"/>
  <c r="K109" i="140"/>
  <c r="AB248" i="140"/>
  <c r="Z249" i="140"/>
  <c r="Z248" i="140"/>
  <c r="Y248" i="140"/>
  <c r="AB249" i="140"/>
  <c r="AA249" i="140"/>
  <c r="AA248" i="140"/>
  <c r="Y249" i="140"/>
  <c r="AF170" i="140"/>
  <c r="O109" i="140"/>
  <c r="R109" i="140"/>
  <c r="Y170" i="140"/>
  <c r="AB170" i="140"/>
  <c r="T70" i="125"/>
  <c r="U70" i="125"/>
  <c r="AA170" i="140"/>
  <c r="Z170" i="140"/>
  <c r="L109" i="140"/>
  <c r="M109" i="140"/>
  <c r="N109" i="140"/>
  <c r="G109" i="140"/>
  <c r="T109" i="140" s="1"/>
  <c r="S59" i="140" l="1"/>
  <c r="S170" i="140" s="1"/>
  <c r="Q59" i="140"/>
  <c r="Q170" i="140" s="1"/>
  <c r="P59" i="140"/>
  <c r="J59" i="140"/>
  <c r="I59" i="140" a="1"/>
  <c r="I59" i="140" s="1"/>
  <c r="I170" i="140" s="1"/>
  <c r="F59" i="140"/>
  <c r="AL59" i="140"/>
  <c r="U172" i="140"/>
  <c r="V172" i="140"/>
  <c r="W172" i="140"/>
  <c r="X172" i="140"/>
  <c r="AC172" i="140"/>
  <c r="U173" i="140"/>
  <c r="V173" i="140"/>
  <c r="W173" i="140"/>
  <c r="X173" i="140"/>
  <c r="AC173" i="140"/>
  <c r="U174" i="140"/>
  <c r="V174" i="140"/>
  <c r="W174" i="140"/>
  <c r="X174" i="140"/>
  <c r="AC174" i="140"/>
  <c r="U175" i="140"/>
  <c r="V175" i="140"/>
  <c r="W175" i="140"/>
  <c r="X175" i="140"/>
  <c r="AC175" i="140"/>
  <c r="BK163" i="140" s="1"/>
  <c r="U176" i="140"/>
  <c r="V176" i="140"/>
  <c r="BD164" i="140" s="1"/>
  <c r="W176" i="140"/>
  <c r="X176" i="140"/>
  <c r="AC176" i="140"/>
  <c r="U177" i="140"/>
  <c r="V177" i="140"/>
  <c r="W177" i="140"/>
  <c r="BE165" i="140" s="1"/>
  <c r="X177" i="140"/>
  <c r="AC177" i="140"/>
  <c r="BK165" i="140" s="1"/>
  <c r="U178" i="140"/>
  <c r="V178" i="140"/>
  <c r="W178" i="140"/>
  <c r="X178" i="140"/>
  <c r="AC178" i="140"/>
  <c r="U179" i="140"/>
  <c r="BC167" i="140" s="1"/>
  <c r="V179" i="140"/>
  <c r="W179" i="140"/>
  <c r="BE167" i="140" s="1"/>
  <c r="X179" i="140"/>
  <c r="AC179" i="140"/>
  <c r="U180" i="140"/>
  <c r="V180" i="140"/>
  <c r="W180" i="140"/>
  <c r="X180" i="140"/>
  <c r="BF168" i="140" s="1"/>
  <c r="AC180" i="140"/>
  <c r="U181" i="140"/>
  <c r="BC169" i="140" s="1"/>
  <c r="V181" i="140"/>
  <c r="W181" i="140"/>
  <c r="X181" i="140"/>
  <c r="AC181" i="140"/>
  <c r="U182" i="140"/>
  <c r="V182" i="140"/>
  <c r="BD170" i="140" s="1"/>
  <c r="W182" i="140"/>
  <c r="X182" i="140"/>
  <c r="BF170" i="140" s="1"/>
  <c r="AC182" i="140"/>
  <c r="U183" i="140"/>
  <c r="V183" i="140"/>
  <c r="W183" i="140"/>
  <c r="X183" i="140"/>
  <c r="AC183" i="140"/>
  <c r="AC171" i="140"/>
  <c r="BK171" i="140" s="1"/>
  <c r="X171" i="140"/>
  <c r="W171" i="140"/>
  <c r="V171" i="140"/>
  <c r="BD171" i="140" s="1"/>
  <c r="U171" i="140"/>
  <c r="BF169" i="140" l="1"/>
  <c r="BC168" i="140"/>
  <c r="BK164" i="140"/>
  <c r="BD163" i="140"/>
  <c r="BE171" i="140"/>
  <c r="BE169" i="140"/>
  <c r="BK167" i="140"/>
  <c r="BF164" i="140"/>
  <c r="BC163" i="140"/>
  <c r="BK170" i="140"/>
  <c r="BD169" i="140"/>
  <c r="BF167" i="140"/>
  <c r="BE164" i="140"/>
  <c r="BE170" i="140"/>
  <c r="BK168" i="140"/>
  <c r="BD167" i="140"/>
  <c r="BF165" i="140"/>
  <c r="BC164" i="140"/>
  <c r="BC170" i="140"/>
  <c r="BE168" i="140"/>
  <c r="BD165" i="140"/>
  <c r="BF163" i="140"/>
  <c r="BK169" i="140"/>
  <c r="BD168" i="140"/>
  <c r="BC165" i="140"/>
  <c r="BE163" i="140"/>
  <c r="BF171" i="140"/>
  <c r="BC171" i="140"/>
  <c r="BE175" i="140"/>
  <c r="BE183" i="140"/>
  <c r="BK181" i="140"/>
  <c r="BD180" i="140"/>
  <c r="BF178" i="140"/>
  <c r="BC177" i="140"/>
  <c r="BK173" i="140"/>
  <c r="BD175" i="140"/>
  <c r="BF177" i="140"/>
  <c r="BC176" i="140"/>
  <c r="BE174" i="140"/>
  <c r="BD172" i="140"/>
  <c r="BF173" i="140"/>
  <c r="BC172" i="140"/>
  <c r="BD183" i="140"/>
  <c r="BF181" i="140"/>
  <c r="BC180" i="140"/>
  <c r="BE178" i="140"/>
  <c r="BK176" i="140"/>
  <c r="BC183" i="140"/>
  <c r="BE181" i="140"/>
  <c r="BK179" i="140"/>
  <c r="BD178" i="140"/>
  <c r="BK175" i="140"/>
  <c r="BD174" i="140"/>
  <c r="BF176" i="140"/>
  <c r="BC175" i="140"/>
  <c r="BE173" i="140"/>
  <c r="BK182" i="140"/>
  <c r="BD181" i="140"/>
  <c r="BF179" i="140"/>
  <c r="BC178" i="140"/>
  <c r="BE176" i="140"/>
  <c r="BK174" i="140"/>
  <c r="BD173" i="140"/>
  <c r="BC181" i="140"/>
  <c r="BK177" i="140"/>
  <c r="BC173" i="140"/>
  <c r="BE182" i="140"/>
  <c r="BK180" i="140"/>
  <c r="BD179" i="140"/>
  <c r="BK172" i="140"/>
  <c r="BF182" i="140"/>
  <c r="BE179" i="140"/>
  <c r="BD176" i="140"/>
  <c r="BF174" i="140"/>
  <c r="BK183" i="140"/>
  <c r="BD182" i="140"/>
  <c r="BF180" i="140"/>
  <c r="BC179" i="140"/>
  <c r="BE177" i="140"/>
  <c r="BF172" i="140"/>
  <c r="BF183" i="140"/>
  <c r="BC182" i="140"/>
  <c r="BE180" i="140"/>
  <c r="BK178" i="140"/>
  <c r="BD177" i="140"/>
  <c r="BF175" i="140"/>
  <c r="BC174" i="140"/>
  <c r="BE172" i="140"/>
  <c r="AB175" i="140"/>
  <c r="AA179" i="140"/>
  <c r="F170" i="140"/>
  <c r="AG170" i="140"/>
  <c r="K170" i="140"/>
  <c r="AH170" i="140" s="1"/>
  <c r="J170" i="140"/>
  <c r="P170" i="140"/>
  <c r="K59" i="140"/>
  <c r="R59" i="140"/>
  <c r="O59" i="140"/>
  <c r="Y178" i="140"/>
  <c r="Y183" i="140"/>
  <c r="Z182" i="140"/>
  <c r="Y175" i="140"/>
  <c r="AB180" i="140"/>
  <c r="Z171" i="140"/>
  <c r="Z173" i="140"/>
  <c r="Z177" i="140"/>
  <c r="AA173" i="140"/>
  <c r="AB172" i="140"/>
  <c r="L59" i="140"/>
  <c r="N59" i="140"/>
  <c r="Y171" i="140"/>
  <c r="Y182" i="140"/>
  <c r="BG170" i="140" s="1"/>
  <c r="AA171" i="140"/>
  <c r="Y180" i="140"/>
  <c r="BG168" i="140" s="1"/>
  <c r="Y172" i="140"/>
  <c r="M59" i="140"/>
  <c r="G59" i="140"/>
  <c r="Z181" i="140"/>
  <c r="BH169" i="140" s="1"/>
  <c r="Z178" i="140"/>
  <c r="BH166" i="140" s="1"/>
  <c r="Y176" i="140"/>
  <c r="Z172" i="140"/>
  <c r="AB171" i="140"/>
  <c r="AA181" i="140"/>
  <c r="Y177" i="140"/>
  <c r="BG165" i="140" s="1"/>
  <c r="AB177" i="140"/>
  <c r="AA172" i="140"/>
  <c r="AA183" i="140"/>
  <c r="AA182" i="140"/>
  <c r="AB174" i="140"/>
  <c r="AB183" i="140"/>
  <c r="Y181" i="140"/>
  <c r="Z183" i="140"/>
  <c r="Z176" i="140"/>
  <c r="Z175" i="140"/>
  <c r="BH163" i="140" s="1"/>
  <c r="AB181" i="140"/>
  <c r="BJ169" i="140" s="1"/>
  <c r="AA174" i="140"/>
  <c r="AA175" i="140"/>
  <c r="BI163" i="140" s="1"/>
  <c r="Z174" i="140"/>
  <c r="Y173" i="140"/>
  <c r="AB182" i="140"/>
  <c r="BJ170" i="140" s="1"/>
  <c r="AA178" i="140"/>
  <c r="AA177" i="140"/>
  <c r="BI165" i="140" s="1"/>
  <c r="Y174" i="140"/>
  <c r="AA180" i="140"/>
  <c r="Y179" i="140"/>
  <c r="AB176" i="140"/>
  <c r="BJ164" i="140" s="1"/>
  <c r="AB173" i="140"/>
  <c r="AB179" i="140"/>
  <c r="BJ167" i="140" s="1"/>
  <c r="Z180" i="140"/>
  <c r="AB178" i="140"/>
  <c r="Z179" i="140"/>
  <c r="BH167" i="140" s="1"/>
  <c r="AA176" i="140"/>
  <c r="BI164" i="140" s="1"/>
  <c r="BJ165" i="140" l="1"/>
  <c r="BJ168" i="140"/>
  <c r="BH165" i="140"/>
  <c r="BI167" i="140"/>
  <c r="BH164" i="140"/>
  <c r="BG171" i="140"/>
  <c r="BG163" i="140"/>
  <c r="BJ163" i="140"/>
  <c r="BH168" i="140"/>
  <c r="BI170" i="140"/>
  <c r="BH170" i="140"/>
  <c r="BI168" i="140"/>
  <c r="BG169" i="140"/>
  <c r="BI169" i="140"/>
  <c r="BG164" i="140"/>
  <c r="BH183" i="140"/>
  <c r="BH171" i="140"/>
  <c r="BG179" i="140"/>
  <c r="BG167" i="140"/>
  <c r="BI171" i="140"/>
  <c r="BJ171" i="140"/>
  <c r="BI176" i="140"/>
  <c r="BJ178" i="140"/>
  <c r="BJ173" i="140"/>
  <c r="BJ181" i="140"/>
  <c r="BG181" i="140"/>
  <c r="BG173" i="140"/>
  <c r="BJ176" i="140"/>
  <c r="BG172" i="140"/>
  <c r="BJ182" i="140"/>
  <c r="BI180" i="140"/>
  <c r="BG176" i="140"/>
  <c r="BH178" i="140"/>
  <c r="BH174" i="140"/>
  <c r="BI175" i="140"/>
  <c r="BI174" i="140"/>
  <c r="BH172" i="140"/>
  <c r="BI183" i="140"/>
  <c r="BH179" i="140"/>
  <c r="BJ179" i="140"/>
  <c r="BJ183" i="140"/>
  <c r="BI181" i="140"/>
  <c r="BI172" i="140"/>
  <c r="BI179" i="140"/>
  <c r="BJ177" i="140"/>
  <c r="BH181" i="140"/>
  <c r="BG182" i="140"/>
  <c r="BJ172" i="140"/>
  <c r="BJ180" i="140"/>
  <c r="BG178" i="140"/>
  <c r="BJ175" i="140"/>
  <c r="BI173" i="140"/>
  <c r="BG174" i="140"/>
  <c r="BH175" i="140"/>
  <c r="BH177" i="140"/>
  <c r="BI177" i="140"/>
  <c r="BH176" i="140"/>
  <c r="BJ174" i="140"/>
  <c r="BH173" i="140"/>
  <c r="BG175" i="140"/>
  <c r="BH180" i="140"/>
  <c r="BI178" i="140"/>
  <c r="BI182" i="140"/>
  <c r="BH182" i="140"/>
  <c r="BG177" i="140"/>
  <c r="BG180" i="140"/>
  <c r="BG183" i="140"/>
  <c r="R170" i="140"/>
  <c r="N170" i="140"/>
  <c r="AJ170" i="140" s="1"/>
  <c r="O170" i="140"/>
  <c r="AK170" i="140" s="1"/>
  <c r="T59" i="140"/>
  <c r="G170" i="140"/>
  <c r="AD170" i="140"/>
  <c r="M170" i="140"/>
  <c r="L170" i="140"/>
  <c r="AI170" i="140" s="1"/>
  <c r="AE170" i="140" l="1"/>
  <c r="T170" i="140"/>
  <c r="AL14" i="140" l="1"/>
  <c r="AC14" i="140"/>
  <c r="BK13" i="140" s="1"/>
  <c r="X14" i="140"/>
  <c r="W14" i="140"/>
  <c r="V14" i="140"/>
  <c r="U14" i="140"/>
  <c r="S14" i="140"/>
  <c r="S233" i="140" s="1"/>
  <c r="Q14" i="140"/>
  <c r="P14" i="140"/>
  <c r="J14" i="140"/>
  <c r="I14" i="140"/>
  <c r="H14" i="140"/>
  <c r="F14" i="140"/>
  <c r="AC16" i="140"/>
  <c r="AC235" i="140" s="1"/>
  <c r="AC17" i="140"/>
  <c r="AC236" i="140" s="1"/>
  <c r="AC18" i="140"/>
  <c r="AC237" i="140" s="1"/>
  <c r="AC19" i="140"/>
  <c r="AC238" i="140" s="1"/>
  <c r="AC20" i="140"/>
  <c r="AC239" i="140" s="1"/>
  <c r="AC21" i="140"/>
  <c r="AC240" i="140" s="1"/>
  <c r="AC22" i="140"/>
  <c r="AC241" i="140" s="1"/>
  <c r="AC23" i="140"/>
  <c r="AC242" i="140" s="1"/>
  <c r="AC24" i="140"/>
  <c r="AC243" i="140" s="1"/>
  <c r="AC25" i="140"/>
  <c r="AC244" i="140" s="1"/>
  <c r="AC26" i="140"/>
  <c r="AC245" i="140" s="1"/>
  <c r="AC27" i="140"/>
  <c r="AC246" i="140" s="1"/>
  <c r="AC28" i="140"/>
  <c r="AC29" i="140"/>
  <c r="AC30" i="140"/>
  <c r="AC31" i="140"/>
  <c r="AC32" i="140"/>
  <c r="AC33" i="140"/>
  <c r="AC34" i="140"/>
  <c r="AC35" i="140"/>
  <c r="AC36" i="140"/>
  <c r="AC37" i="140"/>
  <c r="AC38" i="140"/>
  <c r="AC39" i="140"/>
  <c r="AC15" i="140"/>
  <c r="X16" i="140"/>
  <c r="X235" i="140" s="1"/>
  <c r="X17" i="140"/>
  <c r="X236" i="140" s="1"/>
  <c r="X18" i="140"/>
  <c r="X237" i="140" s="1"/>
  <c r="X19" i="140"/>
  <c r="X238" i="140" s="1"/>
  <c r="X20" i="140"/>
  <c r="X239" i="140" s="1"/>
  <c r="X21" i="140"/>
  <c r="X240" i="140" s="1"/>
  <c r="X22" i="140"/>
  <c r="X241" i="140" s="1"/>
  <c r="X23" i="140"/>
  <c r="X242" i="140" s="1"/>
  <c r="X24" i="140"/>
  <c r="X243" i="140" s="1"/>
  <c r="X25" i="140"/>
  <c r="X244" i="140" s="1"/>
  <c r="X26" i="140"/>
  <c r="X245" i="140" s="1"/>
  <c r="X27" i="140"/>
  <c r="X246" i="140" s="1"/>
  <c r="X28" i="140"/>
  <c r="X29" i="140"/>
  <c r="X30" i="140"/>
  <c r="X31" i="140"/>
  <c r="X32" i="140"/>
  <c r="X33" i="140"/>
  <c r="X34" i="140"/>
  <c r="X35" i="140"/>
  <c r="X36" i="140"/>
  <c r="X37" i="140"/>
  <c r="X38" i="140"/>
  <c r="X39" i="140"/>
  <c r="X15" i="140"/>
  <c r="X234" i="140" s="1"/>
  <c r="W16" i="140"/>
  <c r="W235" i="140" s="1"/>
  <c r="W17" i="140"/>
  <c r="W236" i="140" s="1"/>
  <c r="W18" i="140"/>
  <c r="W237" i="140" s="1"/>
  <c r="W19" i="140"/>
  <c r="W238" i="140" s="1"/>
  <c r="W20" i="140"/>
  <c r="W239" i="140" s="1"/>
  <c r="W21" i="140"/>
  <c r="W240" i="140" s="1"/>
  <c r="W22" i="140"/>
  <c r="W241" i="140" s="1"/>
  <c r="W23" i="140"/>
  <c r="W242" i="140" s="1"/>
  <c r="BE230" i="140" s="1"/>
  <c r="W24" i="140"/>
  <c r="W243" i="140" s="1"/>
  <c r="W25" i="140"/>
  <c r="W244" i="140" s="1"/>
  <c r="W26" i="140"/>
  <c r="W245" i="140" s="1"/>
  <c r="W27" i="140"/>
  <c r="W246" i="140" s="1"/>
  <c r="W28" i="140"/>
  <c r="W29" i="140"/>
  <c r="W30" i="140"/>
  <c r="W31" i="140"/>
  <c r="W32" i="140"/>
  <c r="W33" i="140"/>
  <c r="W34" i="140"/>
  <c r="W35" i="140"/>
  <c r="W36" i="140"/>
  <c r="W37" i="140"/>
  <c r="W38" i="140"/>
  <c r="W39" i="140"/>
  <c r="W15" i="140"/>
  <c r="W234" i="140" s="1"/>
  <c r="V16" i="140"/>
  <c r="V235" i="140" s="1"/>
  <c r="V17" i="140"/>
  <c r="V236" i="140" s="1"/>
  <c r="V18" i="140"/>
  <c r="V237" i="140" s="1"/>
  <c r="V19" i="140"/>
  <c r="V238" i="140" s="1"/>
  <c r="V20" i="140"/>
  <c r="V239" i="140" s="1"/>
  <c r="V21" i="140"/>
  <c r="V240" i="140" s="1"/>
  <c r="V22" i="140"/>
  <c r="V241" i="140" s="1"/>
  <c r="V23" i="140"/>
  <c r="V242" i="140" s="1"/>
  <c r="V24" i="140"/>
  <c r="V243" i="140" s="1"/>
  <c r="V25" i="140"/>
  <c r="V244" i="140" s="1"/>
  <c r="V26" i="140"/>
  <c r="V245" i="140" s="1"/>
  <c r="V27" i="140"/>
  <c r="V246" i="140" s="1"/>
  <c r="V28" i="140"/>
  <c r="V29" i="140"/>
  <c r="V30" i="140"/>
  <c r="V31" i="140"/>
  <c r="V32" i="140"/>
  <c r="V33" i="140"/>
  <c r="V34" i="140"/>
  <c r="V35" i="140"/>
  <c r="V36" i="140"/>
  <c r="V37" i="140"/>
  <c r="V38" i="140"/>
  <c r="V39" i="140"/>
  <c r="V15" i="140"/>
  <c r="V234" i="140" s="1"/>
  <c r="U16" i="140"/>
  <c r="U235" i="140" s="1"/>
  <c r="U17" i="140"/>
  <c r="U236" i="140" s="1"/>
  <c r="U18" i="140"/>
  <c r="U237" i="140" s="1"/>
  <c r="U19" i="140"/>
  <c r="U238" i="140" s="1"/>
  <c r="U20" i="140"/>
  <c r="U239" i="140" s="1"/>
  <c r="U21" i="140"/>
  <c r="U240" i="140" s="1"/>
  <c r="BC228" i="140" s="1"/>
  <c r="U22" i="140"/>
  <c r="U241" i="140" s="1"/>
  <c r="U23" i="140"/>
  <c r="U242" i="140" s="1"/>
  <c r="U24" i="140"/>
  <c r="U243" i="140" s="1"/>
  <c r="U25" i="140"/>
  <c r="U244" i="140" s="1"/>
  <c r="U26" i="140"/>
  <c r="U245" i="140" s="1"/>
  <c r="U27" i="140"/>
  <c r="U246" i="140" s="1"/>
  <c r="U28" i="140"/>
  <c r="U29" i="140"/>
  <c r="U30" i="140"/>
  <c r="U31" i="140"/>
  <c r="U32" i="140"/>
  <c r="U33" i="140"/>
  <c r="U34" i="140"/>
  <c r="U35" i="140"/>
  <c r="U36" i="140"/>
  <c r="U37" i="140"/>
  <c r="U38" i="140"/>
  <c r="U39" i="140"/>
  <c r="U15" i="140"/>
  <c r="U234" i="140" s="1"/>
  <c r="BD230" i="140" l="1"/>
  <c r="BE231" i="140"/>
  <c r="BF232" i="140"/>
  <c r="BF231" i="140"/>
  <c r="BK232" i="140"/>
  <c r="BC227" i="140"/>
  <c r="BD228" i="140"/>
  <c r="BF230" i="140"/>
  <c r="BC226" i="140"/>
  <c r="BD227" i="140"/>
  <c r="BE228" i="140"/>
  <c r="BK230" i="140"/>
  <c r="BD226" i="140"/>
  <c r="BE227" i="140"/>
  <c r="BF228" i="140"/>
  <c r="BC232" i="140"/>
  <c r="BE226" i="140"/>
  <c r="BF227" i="140"/>
  <c r="BK228" i="140"/>
  <c r="BC231" i="140"/>
  <c r="BD232" i="140"/>
  <c r="BF226" i="140"/>
  <c r="BK227" i="140"/>
  <c r="BC230" i="140"/>
  <c r="BD231" i="140"/>
  <c r="BE232" i="140"/>
  <c r="BK226" i="140"/>
  <c r="BK243" i="140"/>
  <c r="BK231" i="140"/>
  <c r="BE241" i="140"/>
  <c r="BF242" i="140"/>
  <c r="BD240" i="140"/>
  <c r="BF240" i="140"/>
  <c r="BK241" i="140"/>
  <c r="BD246" i="140"/>
  <c r="BC243" i="140"/>
  <c r="BD244" i="140"/>
  <c r="BE237" i="140"/>
  <c r="BF246" i="140"/>
  <c r="BC237" i="140"/>
  <c r="Q233" i="140"/>
  <c r="BA13" i="140"/>
  <c r="F233" i="140"/>
  <c r="AP13" i="140"/>
  <c r="V233" i="140"/>
  <c r="BD13" i="140"/>
  <c r="H233" i="140"/>
  <c r="AR13" i="140"/>
  <c r="W233" i="140"/>
  <c r="BE245" i="140" s="1"/>
  <c r="BE13" i="140"/>
  <c r="U233" i="140"/>
  <c r="BC245" i="140" s="1"/>
  <c r="BC13" i="140"/>
  <c r="I233" i="140"/>
  <c r="AS13" i="140"/>
  <c r="X233" i="140"/>
  <c r="BF13" i="140"/>
  <c r="J233" i="140"/>
  <c r="AT13" i="140"/>
  <c r="P233" i="140"/>
  <c r="AZ13" i="140"/>
  <c r="BD242" i="140"/>
  <c r="BE243" i="140"/>
  <c r="BF244" i="140"/>
  <c r="BK237" i="140"/>
  <c r="BK242" i="140"/>
  <c r="BD241" i="140"/>
  <c r="BE242" i="140"/>
  <c r="BF243" i="140"/>
  <c r="BK244" i="140"/>
  <c r="BC246" i="140"/>
  <c r="BE240" i="140"/>
  <c r="BF241" i="140"/>
  <c r="BC244" i="140"/>
  <c r="BD245" i="140"/>
  <c r="BD237" i="140"/>
  <c r="BE246" i="140"/>
  <c r="BK240" i="140"/>
  <c r="BC242" i="140"/>
  <c r="BD243" i="140"/>
  <c r="BE244" i="140"/>
  <c r="BF245" i="140"/>
  <c r="BF237" i="140"/>
  <c r="Z240" i="140"/>
  <c r="BH228" i="140" s="1"/>
  <c r="BC240" i="140"/>
  <c r="Z241" i="140"/>
  <c r="BH229" i="140" s="1"/>
  <c r="BC241" i="140"/>
  <c r="Z245" i="140"/>
  <c r="Z237" i="140"/>
  <c r="Z246" i="140"/>
  <c r="Z238" i="140"/>
  <c r="Z242" i="140"/>
  <c r="Z239" i="140"/>
  <c r="Z244" i="140"/>
  <c r="BH232" i="140" s="1"/>
  <c r="Z236" i="140"/>
  <c r="Z234" i="140"/>
  <c r="Z243" i="140"/>
  <c r="BH231" i="140" s="1"/>
  <c r="Z235" i="140"/>
  <c r="AB242" i="140"/>
  <c r="Y244" i="140"/>
  <c r="BG232" i="140" s="1"/>
  <c r="Y236" i="140"/>
  <c r="AA245" i="140"/>
  <c r="AA237" i="140"/>
  <c r="AB241" i="140"/>
  <c r="Y234" i="140"/>
  <c r="Y243" i="140"/>
  <c r="Y235" i="140"/>
  <c r="AA244" i="140"/>
  <c r="AA236" i="140"/>
  <c r="AB240" i="140"/>
  <c r="Y242" i="140"/>
  <c r="BK16" i="140"/>
  <c r="AC234" i="140"/>
  <c r="AA243" i="140"/>
  <c r="BI231" i="140" s="1"/>
  <c r="AA235" i="140"/>
  <c r="AB239" i="140"/>
  <c r="Y241" i="140"/>
  <c r="AA242" i="140"/>
  <c r="AB246" i="140"/>
  <c r="AB238" i="140"/>
  <c r="BJ226" i="140" s="1"/>
  <c r="Y240" i="140"/>
  <c r="BG228" i="140" s="1"/>
  <c r="AA241" i="140"/>
  <c r="AB245" i="140"/>
  <c r="AB237" i="140"/>
  <c r="Y239" i="140"/>
  <c r="BG227" i="140" s="1"/>
  <c r="AA240" i="140"/>
  <c r="BI228" i="140" s="1"/>
  <c r="AB244" i="140"/>
  <c r="BJ232" i="140" s="1"/>
  <c r="AB236" i="140"/>
  <c r="Y246" i="140"/>
  <c r="Y238" i="140"/>
  <c r="BG226" i="140" s="1"/>
  <c r="AA239" i="140"/>
  <c r="BI227" i="140" s="1"/>
  <c r="BK14" i="140"/>
  <c r="AC233" i="140"/>
  <c r="BK245" i="140" s="1"/>
  <c r="AB234" i="140"/>
  <c r="AB243" i="140"/>
  <c r="BJ231" i="140" s="1"/>
  <c r="AB235" i="140"/>
  <c r="Y245" i="140"/>
  <c r="Y237" i="140"/>
  <c r="AA246" i="140"/>
  <c r="AA238" i="140"/>
  <c r="BI226" i="140" s="1"/>
  <c r="BK34" i="140"/>
  <c r="BK26" i="140"/>
  <c r="BC14" i="140"/>
  <c r="BD14" i="140"/>
  <c r="BF14" i="140"/>
  <c r="BE16" i="140"/>
  <c r="BF16" i="140"/>
  <c r="BF17" i="140"/>
  <c r="BK25" i="140"/>
  <c r="BK17" i="140"/>
  <c r="BC16" i="140"/>
  <c r="BK33" i="140"/>
  <c r="BD16" i="140"/>
  <c r="BK18" i="140"/>
  <c r="BF36" i="140"/>
  <c r="BF28" i="140"/>
  <c r="BF20" i="140"/>
  <c r="BK37" i="140"/>
  <c r="BK29" i="140"/>
  <c r="BK21" i="140"/>
  <c r="BE24" i="140"/>
  <c r="BF33" i="140"/>
  <c r="BF25" i="140"/>
  <c r="BC36" i="140"/>
  <c r="BC28" i="140"/>
  <c r="BC20" i="140"/>
  <c r="BD37" i="140"/>
  <c r="BD29" i="140"/>
  <c r="BD21" i="140"/>
  <c r="BE38" i="140"/>
  <c r="BE30" i="140"/>
  <c r="BE22" i="140"/>
  <c r="BF39" i="140"/>
  <c r="BF31" i="140"/>
  <c r="BF23" i="140"/>
  <c r="BC27" i="140"/>
  <c r="BD36" i="140"/>
  <c r="BD28" i="140"/>
  <c r="BD20" i="140"/>
  <c r="BE37" i="140"/>
  <c r="BE29" i="140"/>
  <c r="BE21" i="140"/>
  <c r="BF38" i="140"/>
  <c r="BF30" i="140"/>
  <c r="BF22" i="140"/>
  <c r="BK39" i="140"/>
  <c r="BK31" i="140"/>
  <c r="BK23" i="140"/>
  <c r="BE15" i="140"/>
  <c r="BE14" i="140"/>
  <c r="BC35" i="140"/>
  <c r="BC19" i="140"/>
  <c r="BC22" i="140"/>
  <c r="BD39" i="140"/>
  <c r="BD31" i="140"/>
  <c r="BD23" i="140"/>
  <c r="BE32" i="140"/>
  <c r="BC38" i="140"/>
  <c r="BC30" i="140"/>
  <c r="BC37" i="140"/>
  <c r="BC29" i="140"/>
  <c r="BC21" i="140"/>
  <c r="BD38" i="140"/>
  <c r="BD30" i="140"/>
  <c r="BD22" i="140"/>
  <c r="BE39" i="140"/>
  <c r="BE31" i="140"/>
  <c r="BE23" i="140"/>
  <c r="BF32" i="140"/>
  <c r="BF24" i="140"/>
  <c r="BC34" i="140"/>
  <c r="BC18" i="140"/>
  <c r="BD35" i="140"/>
  <c r="BD27" i="140"/>
  <c r="BD19" i="140"/>
  <c r="BE36" i="140"/>
  <c r="BE28" i="140"/>
  <c r="BE20" i="140"/>
  <c r="BF37" i="140"/>
  <c r="BF29" i="140"/>
  <c r="BF21" i="140"/>
  <c r="BK38" i="140"/>
  <c r="BK30" i="140"/>
  <c r="BK22" i="140"/>
  <c r="BF15" i="140"/>
  <c r="BC33" i="140"/>
  <c r="BC17" i="140"/>
  <c r="BD34" i="140"/>
  <c r="BD26" i="140"/>
  <c r="BD18" i="140"/>
  <c r="BE35" i="140"/>
  <c r="BE27" i="140"/>
  <c r="BE19" i="140"/>
  <c r="BK15" i="140"/>
  <c r="BC26" i="140"/>
  <c r="BC24" i="140"/>
  <c r="BD33" i="140"/>
  <c r="BD25" i="140"/>
  <c r="BD17" i="140"/>
  <c r="BE34" i="140"/>
  <c r="BE26" i="140"/>
  <c r="BE18" i="140"/>
  <c r="BF35" i="140"/>
  <c r="BF27" i="140"/>
  <c r="BF19" i="140"/>
  <c r="BK36" i="140"/>
  <c r="BK28" i="140"/>
  <c r="BK20" i="140"/>
  <c r="BC25" i="140"/>
  <c r="BC32" i="140"/>
  <c r="BC39" i="140"/>
  <c r="BC31" i="140"/>
  <c r="BC23" i="140"/>
  <c r="BD32" i="140"/>
  <c r="BD24" i="140"/>
  <c r="BE33" i="140"/>
  <c r="BE25" i="140"/>
  <c r="BE17" i="140"/>
  <c r="BF34" i="140"/>
  <c r="BF26" i="140"/>
  <c r="BF18" i="140"/>
  <c r="BK35" i="140"/>
  <c r="BK27" i="140"/>
  <c r="BK19" i="140"/>
  <c r="BC15" i="140"/>
  <c r="BK32" i="140"/>
  <c r="BK24" i="140"/>
  <c r="BD15" i="140"/>
  <c r="AB14" i="140"/>
  <c r="N14" i="140"/>
  <c r="AA14" i="140"/>
  <c r="Z14" i="140"/>
  <c r="BH14" i="140" s="1"/>
  <c r="M14" i="140"/>
  <c r="Y14" i="140"/>
  <c r="BG13" i="140" s="1"/>
  <c r="R14" i="140"/>
  <c r="AD14" i="140"/>
  <c r="AF14" i="140"/>
  <c r="K14" i="140"/>
  <c r="O14" i="140"/>
  <c r="G14" i="140"/>
  <c r="G233" i="140" s="1"/>
  <c r="AG14" i="140"/>
  <c r="L14" i="140"/>
  <c r="Z39" i="140"/>
  <c r="Z31" i="140"/>
  <c r="Z23" i="140"/>
  <c r="Z15" i="140"/>
  <c r="BH15" i="140" s="1"/>
  <c r="Z32" i="140"/>
  <c r="Z24" i="140"/>
  <c r="Z16" i="140"/>
  <c r="Z30" i="140"/>
  <c r="Z22" i="140"/>
  <c r="Z38" i="140"/>
  <c r="Z34" i="140"/>
  <c r="Z26" i="140"/>
  <c r="BH26" i="140" s="1"/>
  <c r="Z18" i="140"/>
  <c r="Z33" i="140"/>
  <c r="BH33" i="140" s="1"/>
  <c r="Z25" i="140"/>
  <c r="BH25" i="140" s="1"/>
  <c r="Z17" i="140"/>
  <c r="AA34" i="140"/>
  <c r="AA26" i="140"/>
  <c r="Z21" i="140"/>
  <c r="AA37" i="140"/>
  <c r="AA29" i="140"/>
  <c r="Z29" i="140"/>
  <c r="Z37" i="140"/>
  <c r="Z36" i="140"/>
  <c r="Z28" i="140"/>
  <c r="Z20" i="140"/>
  <c r="AB36" i="140"/>
  <c r="AB28" i="140"/>
  <c r="AB20" i="140"/>
  <c r="Y38" i="140"/>
  <c r="Y30" i="140"/>
  <c r="Y22" i="140"/>
  <c r="AA39" i="140"/>
  <c r="AA31" i="140"/>
  <c r="AA23" i="140"/>
  <c r="AA38" i="140"/>
  <c r="AA30" i="140"/>
  <c r="AA22" i="140"/>
  <c r="AA21" i="140"/>
  <c r="AB33" i="140"/>
  <c r="AB25" i="140"/>
  <c r="AB17" i="140"/>
  <c r="Z35" i="140"/>
  <c r="BH35" i="140" s="1"/>
  <c r="Z27" i="140"/>
  <c r="BH27" i="140" s="1"/>
  <c r="Z19" i="140"/>
  <c r="BH19" i="140" s="1"/>
  <c r="AA36" i="140"/>
  <c r="AA28" i="140"/>
  <c r="AA20" i="140"/>
  <c r="AA35" i="140"/>
  <c r="AA27" i="140"/>
  <c r="AA19" i="140"/>
  <c r="AA18" i="140"/>
  <c r="AA33" i="140"/>
  <c r="AA25" i="140"/>
  <c r="AA17" i="140"/>
  <c r="AA15" i="140"/>
  <c r="AA32" i="140"/>
  <c r="AA24" i="140"/>
  <c r="AA16" i="140"/>
  <c r="AB16" i="140"/>
  <c r="Y34" i="140"/>
  <c r="Y26" i="140"/>
  <c r="Y18" i="140"/>
  <c r="AB15" i="140"/>
  <c r="AB39" i="140"/>
  <c r="AB31" i="140"/>
  <c r="AB23" i="140"/>
  <c r="Y33" i="140"/>
  <c r="Y25" i="140"/>
  <c r="Y17" i="140"/>
  <c r="AB32" i="140"/>
  <c r="AB38" i="140"/>
  <c r="AB30" i="140"/>
  <c r="AB22" i="140"/>
  <c r="Y32" i="140"/>
  <c r="Y24" i="140"/>
  <c r="Y16" i="140"/>
  <c r="AB24" i="140"/>
  <c r="AB37" i="140"/>
  <c r="AB29" i="140"/>
  <c r="AB21" i="140"/>
  <c r="Y39" i="140"/>
  <c r="Y31" i="140"/>
  <c r="Y23" i="140"/>
  <c r="AB35" i="140"/>
  <c r="AB27" i="140"/>
  <c r="AB19" i="140"/>
  <c r="Y37" i="140"/>
  <c r="Y29" i="140"/>
  <c r="Y21" i="140"/>
  <c r="AB34" i="140"/>
  <c r="AB26" i="140"/>
  <c r="AB18" i="140"/>
  <c r="Y36" i="140"/>
  <c r="Y28" i="140"/>
  <c r="Y20" i="140"/>
  <c r="Y35" i="140"/>
  <c r="Y27" i="140"/>
  <c r="Y19" i="140"/>
  <c r="Y15" i="140"/>
  <c r="BK246" i="140" l="1"/>
  <c r="BJ230" i="140"/>
  <c r="BI232" i="140"/>
  <c r="BJ227" i="140"/>
  <c r="BG230" i="140"/>
  <c r="BH227" i="140"/>
  <c r="BI230" i="140"/>
  <c r="BG231" i="140"/>
  <c r="BJ228" i="140"/>
  <c r="BH230" i="140"/>
  <c r="BH226" i="140"/>
  <c r="BG24" i="140"/>
  <c r="BH246" i="140"/>
  <c r="BH37" i="140"/>
  <c r="BH24" i="140"/>
  <c r="BH32" i="140"/>
  <c r="BH17" i="140"/>
  <c r="BH16" i="140"/>
  <c r="BH29" i="140"/>
  <c r="AY13" i="140"/>
  <c r="BH243" i="140"/>
  <c r="BH241" i="140"/>
  <c r="BH237" i="140"/>
  <c r="BH20" i="140"/>
  <c r="BH38" i="140"/>
  <c r="BH31" i="140"/>
  <c r="BH242" i="140"/>
  <c r="BH28" i="140"/>
  <c r="BH22" i="140"/>
  <c r="BH39" i="140"/>
  <c r="BH240" i="140"/>
  <c r="BH36" i="140"/>
  <c r="BH30" i="140"/>
  <c r="BH244" i="140"/>
  <c r="BH18" i="140"/>
  <c r="BH21" i="140"/>
  <c r="BH34" i="140"/>
  <c r="BH23" i="140"/>
  <c r="BG245" i="140"/>
  <c r="BJ243" i="140"/>
  <c r="BI241" i="140"/>
  <c r="BG237" i="140"/>
  <c r="BI244" i="140"/>
  <c r="BD234" i="140"/>
  <c r="AE233" i="140"/>
  <c r="AD233" i="140"/>
  <c r="AB233" i="140"/>
  <c r="K233" i="140"/>
  <c r="AF233" i="140"/>
  <c r="Y233" i="140"/>
  <c r="BG234" i="140" s="1"/>
  <c r="Z233" i="140"/>
  <c r="BH233" i="140" s="1"/>
  <c r="AX13" i="140"/>
  <c r="AG233" i="140"/>
  <c r="BC234" i="140"/>
  <c r="BF234" i="140"/>
  <c r="BG242" i="140"/>
  <c r="BI237" i="140"/>
  <c r="BE234" i="140"/>
  <c r="BI14" i="140"/>
  <c r="BI13" i="140"/>
  <c r="AU13" i="140"/>
  <c r="BJ14" i="140"/>
  <c r="BJ13" i="140"/>
  <c r="AW13" i="140"/>
  <c r="AV13" i="140"/>
  <c r="AQ13" i="140"/>
  <c r="BB13" i="140"/>
  <c r="BJ244" i="140"/>
  <c r="BJ237" i="140"/>
  <c r="BG240" i="140"/>
  <c r="BI242" i="140"/>
  <c r="BG243" i="140"/>
  <c r="BJ245" i="140"/>
  <c r="BJ240" i="140"/>
  <c r="BI240" i="140"/>
  <c r="BI243" i="140"/>
  <c r="BG244" i="140"/>
  <c r="BG246" i="140"/>
  <c r="BG241" i="140"/>
  <c r="BJ241" i="140"/>
  <c r="BJ246" i="140"/>
  <c r="BJ242" i="140"/>
  <c r="AA234" i="140"/>
  <c r="BI246" i="140" s="1"/>
  <c r="BK234" i="140"/>
  <c r="AA233" i="140"/>
  <c r="BI245" i="140" s="1"/>
  <c r="BJ28" i="140"/>
  <c r="BI37" i="140"/>
  <c r="BI18" i="140"/>
  <c r="BG32" i="140"/>
  <c r="BJ16" i="140"/>
  <c r="M233" i="140"/>
  <c r="L233" i="140"/>
  <c r="AE14" i="140"/>
  <c r="T233" i="140"/>
  <c r="O233" i="140"/>
  <c r="N233" i="140"/>
  <c r="R233" i="140"/>
  <c r="BI21" i="140"/>
  <c r="BJ31" i="140"/>
  <c r="BJ22" i="140"/>
  <c r="BI26" i="140"/>
  <c r="BI23" i="140"/>
  <c r="BG21" i="140"/>
  <c r="BI31" i="140"/>
  <c r="BI16" i="140"/>
  <c r="BJ17" i="140"/>
  <c r="BG18" i="140"/>
  <c r="BG30" i="140"/>
  <c r="BG33" i="140"/>
  <c r="BJ30" i="140"/>
  <c r="BJ39" i="140"/>
  <c r="BG29" i="140"/>
  <c r="BG27" i="140"/>
  <c r="BI34" i="140"/>
  <c r="BJ25" i="140"/>
  <c r="BG39" i="140"/>
  <c r="BG38" i="140"/>
  <c r="BJ34" i="140"/>
  <c r="BG23" i="140"/>
  <c r="BG15" i="140"/>
  <c r="BG14" i="140"/>
  <c r="BJ20" i="140"/>
  <c r="BI29" i="140"/>
  <c r="BJ35" i="140"/>
  <c r="BI17" i="140"/>
  <c r="BI24" i="140"/>
  <c r="BI33" i="140"/>
  <c r="BJ38" i="140"/>
  <c r="BJ33" i="140"/>
  <c r="BG19" i="140"/>
  <c r="BI22" i="140"/>
  <c r="BG31" i="140"/>
  <c r="BG37" i="140"/>
  <c r="BJ19" i="140"/>
  <c r="BG17" i="140"/>
  <c r="BG26" i="140"/>
  <c r="BG35" i="140"/>
  <c r="BJ21" i="140"/>
  <c r="BI30" i="140"/>
  <c r="AK14" i="140"/>
  <c r="BI15" i="140"/>
  <c r="BJ36" i="140"/>
  <c r="BG16" i="140"/>
  <c r="BJ27" i="140"/>
  <c r="BG25" i="140"/>
  <c r="BG34" i="140"/>
  <c r="BI19" i="140"/>
  <c r="BI39" i="140"/>
  <c r="BJ29" i="140"/>
  <c r="BI38" i="140"/>
  <c r="BI20" i="140"/>
  <c r="BJ15" i="140"/>
  <c r="BG28" i="140"/>
  <c r="BG22" i="140"/>
  <c r="BJ23" i="140"/>
  <c r="BJ32" i="140"/>
  <c r="BI25" i="140"/>
  <c r="BI28" i="140"/>
  <c r="BJ18" i="140"/>
  <c r="BI32" i="140"/>
  <c r="BI27" i="140"/>
  <c r="BG20" i="140"/>
  <c r="BJ24" i="140"/>
  <c r="BJ37" i="140"/>
  <c r="BG36" i="140"/>
  <c r="BI36" i="140"/>
  <c r="BJ26" i="140"/>
  <c r="BI35" i="140"/>
  <c r="AJ14" i="140"/>
  <c r="AH14" i="140"/>
  <c r="AI14" i="140"/>
  <c r="T14" i="140"/>
  <c r="N74" i="130"/>
  <c r="O74" i="130"/>
  <c r="N75" i="130"/>
  <c r="O75" i="130"/>
  <c r="O1029" i="127"/>
  <c r="P1029" i="127"/>
  <c r="Q1029" i="127"/>
  <c r="O1030" i="127"/>
  <c r="P1030" i="127"/>
  <c r="Q1030" i="127"/>
  <c r="O1031" i="127"/>
  <c r="P1031" i="127"/>
  <c r="Q1031" i="127"/>
  <c r="O1032" i="127"/>
  <c r="P1032" i="127"/>
  <c r="Q1032" i="127"/>
  <c r="O1033" i="127"/>
  <c r="P1033" i="127"/>
  <c r="Q1033" i="127"/>
  <c r="O1034" i="127"/>
  <c r="P1034" i="127"/>
  <c r="Q1034" i="127"/>
  <c r="O1035" i="127"/>
  <c r="P1035" i="127"/>
  <c r="Q1035" i="127"/>
  <c r="O1036" i="127"/>
  <c r="P1036" i="127"/>
  <c r="Q1036" i="127"/>
  <c r="O1037" i="127"/>
  <c r="P1037" i="127"/>
  <c r="Q1037" i="127"/>
  <c r="O1038" i="127"/>
  <c r="P1038" i="127"/>
  <c r="Q1038" i="127"/>
  <c r="O1039" i="127"/>
  <c r="P1039" i="127"/>
  <c r="Q1039" i="127"/>
  <c r="O1040" i="127"/>
  <c r="P1040" i="127"/>
  <c r="Q1040" i="127"/>
  <c r="O1041" i="127"/>
  <c r="P1041" i="127"/>
  <c r="Q1041" i="127"/>
  <c r="O1042" i="127"/>
  <c r="P1042" i="127"/>
  <c r="Q1042" i="127"/>
  <c r="O1043" i="127"/>
  <c r="P1043" i="127"/>
  <c r="Q1043" i="127"/>
  <c r="O1044" i="127"/>
  <c r="P1044" i="127"/>
  <c r="Q1044" i="127"/>
  <c r="O1045" i="127"/>
  <c r="P1045" i="127"/>
  <c r="Q1045" i="127"/>
  <c r="O1046" i="127"/>
  <c r="P1046" i="127"/>
  <c r="Q1046" i="127"/>
  <c r="O1047" i="127"/>
  <c r="P1047" i="127"/>
  <c r="Q1047" i="127"/>
  <c r="O1048" i="127"/>
  <c r="P1048" i="127"/>
  <c r="Q1048" i="127"/>
  <c r="O1049" i="127"/>
  <c r="P1049" i="127"/>
  <c r="Q1049" i="127"/>
  <c r="O1050" i="127"/>
  <c r="P1050" i="127"/>
  <c r="Q1050" i="127"/>
  <c r="O1051" i="127"/>
  <c r="P1051" i="127"/>
  <c r="Q1051" i="127"/>
  <c r="O1052" i="127"/>
  <c r="P1052" i="127"/>
  <c r="Q1052" i="127"/>
  <c r="O1053" i="127"/>
  <c r="P1053" i="127"/>
  <c r="Q1053" i="127"/>
  <c r="O1054" i="127"/>
  <c r="P1054" i="127"/>
  <c r="Q1054" i="127"/>
  <c r="O1055" i="127"/>
  <c r="P1055" i="127"/>
  <c r="Q1055" i="127"/>
  <c r="O1056" i="127"/>
  <c r="P1056" i="127"/>
  <c r="Q1056" i="127"/>
  <c r="O1057" i="127"/>
  <c r="P1057" i="127"/>
  <c r="Q1057" i="127"/>
  <c r="O1058" i="127"/>
  <c r="P1058" i="127"/>
  <c r="Q1058" i="127"/>
  <c r="O1059" i="127"/>
  <c r="P1059" i="127"/>
  <c r="Q1059" i="127"/>
  <c r="O1060" i="127"/>
  <c r="P1060" i="127"/>
  <c r="Q1060" i="127"/>
  <c r="O1061" i="127"/>
  <c r="P1061" i="127"/>
  <c r="Q1061" i="127"/>
  <c r="O1062" i="127"/>
  <c r="P1062" i="127"/>
  <c r="Q1062" i="127"/>
  <c r="O1063" i="127"/>
  <c r="P1063" i="127"/>
  <c r="Q1063" i="127"/>
  <c r="O1064" i="127"/>
  <c r="P1064" i="127"/>
  <c r="Q1064" i="127"/>
  <c r="O1065" i="127"/>
  <c r="P1065" i="127"/>
  <c r="Q1065" i="127"/>
  <c r="O1066" i="127"/>
  <c r="P1066" i="127"/>
  <c r="Q1066" i="127"/>
  <c r="O1067" i="127"/>
  <c r="P1067" i="127"/>
  <c r="Q1067" i="127"/>
  <c r="O1068" i="127"/>
  <c r="P1068" i="127"/>
  <c r="Q1068" i="127"/>
  <c r="O1069" i="127"/>
  <c r="P1069" i="127"/>
  <c r="Q1069" i="127"/>
  <c r="O1070" i="127"/>
  <c r="P1070" i="127"/>
  <c r="Q1070" i="127"/>
  <c r="P878" i="129"/>
  <c r="Q878" i="129"/>
  <c r="R878" i="129"/>
  <c r="S878" i="129"/>
  <c r="P879" i="129"/>
  <c r="Q879" i="129"/>
  <c r="R879" i="129"/>
  <c r="S879" i="129"/>
  <c r="P880" i="129"/>
  <c r="Q880" i="129"/>
  <c r="R880" i="129"/>
  <c r="S880" i="129"/>
  <c r="P881" i="129"/>
  <c r="Q881" i="129"/>
  <c r="R881" i="129"/>
  <c r="S881" i="129"/>
  <c r="P882" i="129"/>
  <c r="Q882" i="129"/>
  <c r="R882" i="129"/>
  <c r="S882" i="129"/>
  <c r="P883" i="129"/>
  <c r="Q883" i="129"/>
  <c r="R883" i="129"/>
  <c r="S883" i="129"/>
  <c r="P884" i="129"/>
  <c r="Q884" i="129"/>
  <c r="R884" i="129"/>
  <c r="S884" i="129"/>
  <c r="P885" i="129"/>
  <c r="Q885" i="129"/>
  <c r="R885" i="129"/>
  <c r="S885" i="129"/>
  <c r="P886" i="129"/>
  <c r="Q886" i="129"/>
  <c r="R886" i="129"/>
  <c r="S886" i="129"/>
  <c r="P887" i="129"/>
  <c r="Q887" i="129"/>
  <c r="R887" i="129"/>
  <c r="S887" i="129"/>
  <c r="P888" i="129"/>
  <c r="Q888" i="129"/>
  <c r="R888" i="129"/>
  <c r="S888" i="129"/>
  <c r="P889" i="129"/>
  <c r="Q889" i="129"/>
  <c r="R889" i="129"/>
  <c r="S889" i="129"/>
  <c r="P890" i="129"/>
  <c r="Q890" i="129"/>
  <c r="R890" i="129"/>
  <c r="S890" i="129"/>
  <c r="P891" i="129"/>
  <c r="Q891" i="129"/>
  <c r="R891" i="129"/>
  <c r="S891" i="129"/>
  <c r="P892" i="129"/>
  <c r="Q892" i="129"/>
  <c r="R892" i="129"/>
  <c r="S892" i="129"/>
  <c r="P893" i="129"/>
  <c r="Q893" i="129"/>
  <c r="R893" i="129"/>
  <c r="S893" i="129"/>
  <c r="P894" i="129"/>
  <c r="Q894" i="129"/>
  <c r="R894" i="129"/>
  <c r="S894" i="129"/>
  <c r="P895" i="129"/>
  <c r="Q895" i="129"/>
  <c r="R895" i="129"/>
  <c r="S895" i="129"/>
  <c r="P896" i="129"/>
  <c r="Q896" i="129"/>
  <c r="R896" i="129"/>
  <c r="S896" i="129"/>
  <c r="P897" i="129"/>
  <c r="Q897" i="129"/>
  <c r="R897" i="129"/>
  <c r="S897" i="129"/>
  <c r="P898" i="129"/>
  <c r="Q898" i="129"/>
  <c r="R898" i="129"/>
  <c r="S898" i="129"/>
  <c r="P899" i="129"/>
  <c r="Q899" i="129"/>
  <c r="R899" i="129"/>
  <c r="S899" i="129"/>
  <c r="P900" i="129"/>
  <c r="Q900" i="129"/>
  <c r="R900" i="129"/>
  <c r="S900" i="129"/>
  <c r="P901" i="129"/>
  <c r="Q901" i="129"/>
  <c r="R901" i="129"/>
  <c r="S901" i="129"/>
  <c r="P902" i="129"/>
  <c r="Q902" i="129"/>
  <c r="R902" i="129"/>
  <c r="S902" i="129"/>
  <c r="P903" i="129"/>
  <c r="Q903" i="129"/>
  <c r="R903" i="129"/>
  <c r="S903" i="129"/>
  <c r="P904" i="129"/>
  <c r="Q904" i="129"/>
  <c r="R904" i="129"/>
  <c r="S904" i="129"/>
  <c r="P905" i="129"/>
  <c r="Q905" i="129"/>
  <c r="R905" i="129"/>
  <c r="S905" i="129"/>
  <c r="P906" i="129"/>
  <c r="Q906" i="129"/>
  <c r="R906" i="129"/>
  <c r="S906" i="129"/>
  <c r="BH245" i="140" l="1"/>
  <c r="BH234" i="140"/>
  <c r="AH233" i="140"/>
  <c r="AK233" i="140"/>
  <c r="AI233" i="140"/>
  <c r="BJ234" i="140"/>
  <c r="AJ233" i="140"/>
  <c r="BI234" i="140"/>
  <c r="I82" i="125"/>
  <c r="H82" i="125"/>
  <c r="G82" i="125"/>
  <c r="F82" i="125"/>
  <c r="E82" i="125"/>
  <c r="D82" i="125"/>
  <c r="I81" i="125"/>
  <c r="H81" i="125"/>
  <c r="G81" i="125"/>
  <c r="F81" i="125"/>
  <c r="E81" i="125"/>
  <c r="D81" i="125"/>
  <c r="U80" i="125"/>
  <c r="T80" i="125"/>
  <c r="S80" i="125"/>
  <c r="L80" i="125"/>
  <c r="K80" i="125"/>
  <c r="J80" i="125"/>
  <c r="U79" i="125"/>
  <c r="T79" i="125"/>
  <c r="S79" i="125"/>
  <c r="L79" i="125"/>
  <c r="K79" i="125"/>
  <c r="J79" i="125"/>
  <c r="I78" i="125"/>
  <c r="H78" i="125"/>
  <c r="G78" i="125"/>
  <c r="F78" i="125"/>
  <c r="E78" i="125"/>
  <c r="D78" i="125"/>
  <c r="R77" i="125"/>
  <c r="Q77" i="125"/>
  <c r="P77" i="125"/>
  <c r="O77" i="125"/>
  <c r="N77" i="125"/>
  <c r="M77" i="125"/>
  <c r="L77" i="125"/>
  <c r="K77" i="125"/>
  <c r="J77" i="125"/>
  <c r="R76" i="125"/>
  <c r="Q76" i="125"/>
  <c r="P76" i="125"/>
  <c r="O76" i="125"/>
  <c r="N76" i="125"/>
  <c r="M76" i="125"/>
  <c r="L76" i="125"/>
  <c r="K76" i="125"/>
  <c r="J76" i="125"/>
  <c r="D20" i="138"/>
  <c r="E20" i="138"/>
  <c r="K20" i="138"/>
  <c r="L20" i="138"/>
  <c r="M20" i="138" l="1"/>
  <c r="N78" i="125"/>
  <c r="K81" i="125"/>
  <c r="R82" i="125"/>
  <c r="N20" i="138"/>
  <c r="N79" i="125"/>
  <c r="N80" i="125"/>
  <c r="O79" i="125"/>
  <c r="O80" i="125"/>
  <c r="P79" i="125"/>
  <c r="P80" i="125"/>
  <c r="L81" i="125"/>
  <c r="Q80" i="125"/>
  <c r="Q79" i="125"/>
  <c r="M80" i="125"/>
  <c r="M79" i="125"/>
  <c r="Q78" i="125"/>
  <c r="R80" i="125"/>
  <c r="R79" i="125"/>
  <c r="O20" i="138"/>
  <c r="F20" i="138"/>
  <c r="L78" i="125"/>
  <c r="K78" i="125"/>
  <c r="M82" i="125"/>
  <c r="O81" i="125"/>
  <c r="R81" i="125"/>
  <c r="J82" i="125"/>
  <c r="U77" i="125"/>
  <c r="R78" i="125"/>
  <c r="K82" i="125"/>
  <c r="J78" i="125"/>
  <c r="J81" i="125"/>
  <c r="L82" i="125"/>
  <c r="S77" i="125"/>
  <c r="P81" i="125"/>
  <c r="O78" i="125"/>
  <c r="N81" i="125"/>
  <c r="T77" i="125"/>
  <c r="N82" i="125"/>
  <c r="Q81" i="125"/>
  <c r="O82" i="125"/>
  <c r="U82" i="125" s="1"/>
  <c r="P82" i="125"/>
  <c r="Q82" i="125"/>
  <c r="T76" i="125"/>
  <c r="S76" i="125"/>
  <c r="U76" i="125"/>
  <c r="M81" i="125"/>
  <c r="P78" i="125"/>
  <c r="M78" i="125"/>
  <c r="G20" i="138"/>
  <c r="T78" i="125" l="1"/>
  <c r="S82" i="125"/>
  <c r="P20" i="138"/>
  <c r="T82" i="125"/>
  <c r="U81" i="125"/>
  <c r="T81" i="125"/>
  <c r="U78" i="125"/>
  <c r="S81" i="125"/>
  <c r="S78" i="125"/>
  <c r="N72" i="130" l="1"/>
  <c r="O72" i="130"/>
  <c r="N73" i="130"/>
  <c r="O73" i="130"/>
  <c r="O993" i="127"/>
  <c r="P993" i="127"/>
  <c r="Q993" i="127"/>
  <c r="O994" i="127"/>
  <c r="P994" i="127"/>
  <c r="Q994" i="127"/>
  <c r="O995" i="127"/>
  <c r="P995" i="127"/>
  <c r="Q995" i="127"/>
  <c r="O996" i="127"/>
  <c r="P996" i="127"/>
  <c r="Q996" i="127"/>
  <c r="O997" i="127"/>
  <c r="P997" i="127"/>
  <c r="Q997" i="127"/>
  <c r="O998" i="127"/>
  <c r="P998" i="127"/>
  <c r="Q998" i="127"/>
  <c r="O999" i="127"/>
  <c r="P999" i="127"/>
  <c r="Q999" i="127"/>
  <c r="O1000" i="127"/>
  <c r="P1000" i="127"/>
  <c r="Q1000" i="127"/>
  <c r="O1001" i="127"/>
  <c r="P1001" i="127"/>
  <c r="Q1001" i="127"/>
  <c r="O1002" i="127"/>
  <c r="P1002" i="127"/>
  <c r="Q1002" i="127"/>
  <c r="O1003" i="127"/>
  <c r="P1003" i="127"/>
  <c r="Q1003" i="127"/>
  <c r="O1004" i="127"/>
  <c r="P1004" i="127"/>
  <c r="Q1004" i="127"/>
  <c r="O1005" i="127"/>
  <c r="P1005" i="127"/>
  <c r="Q1005" i="127"/>
  <c r="O1006" i="127"/>
  <c r="P1006" i="127"/>
  <c r="Q1006" i="127"/>
  <c r="O1007" i="127"/>
  <c r="P1007" i="127"/>
  <c r="Q1007" i="127"/>
  <c r="O1008" i="127"/>
  <c r="P1008" i="127"/>
  <c r="Q1008" i="127"/>
  <c r="O1009" i="127"/>
  <c r="P1009" i="127"/>
  <c r="Q1009" i="127"/>
  <c r="O1010" i="127"/>
  <c r="P1010" i="127"/>
  <c r="Q1010" i="127"/>
  <c r="O1011" i="127"/>
  <c r="P1011" i="127"/>
  <c r="Q1011" i="127"/>
  <c r="O1012" i="127"/>
  <c r="P1012" i="127"/>
  <c r="Q1012" i="127"/>
  <c r="O1013" i="127"/>
  <c r="P1013" i="127"/>
  <c r="Q1013" i="127"/>
  <c r="O1014" i="127"/>
  <c r="P1014" i="127"/>
  <c r="Q1014" i="127"/>
  <c r="O1015" i="127"/>
  <c r="P1015" i="127"/>
  <c r="Q1015" i="127"/>
  <c r="O1016" i="127"/>
  <c r="P1016" i="127"/>
  <c r="Q1016" i="127"/>
  <c r="O1017" i="127"/>
  <c r="P1017" i="127"/>
  <c r="Q1017" i="127"/>
  <c r="O1018" i="127"/>
  <c r="P1018" i="127"/>
  <c r="Q1018" i="127"/>
  <c r="O1019" i="127"/>
  <c r="P1019" i="127"/>
  <c r="Q1019" i="127"/>
  <c r="O1020" i="127"/>
  <c r="P1020" i="127"/>
  <c r="Q1020" i="127"/>
  <c r="O1021" i="127"/>
  <c r="P1021" i="127"/>
  <c r="Q1021" i="127"/>
  <c r="O1022" i="127"/>
  <c r="P1022" i="127"/>
  <c r="Q1022" i="127"/>
  <c r="O1023" i="127"/>
  <c r="P1023" i="127"/>
  <c r="Q1023" i="127"/>
  <c r="O1024" i="127"/>
  <c r="P1024" i="127"/>
  <c r="Q1024" i="127"/>
  <c r="O1025" i="127"/>
  <c r="P1025" i="127"/>
  <c r="Q1025" i="127"/>
  <c r="O1026" i="127"/>
  <c r="P1026" i="127"/>
  <c r="Q1026" i="127"/>
  <c r="O1027" i="127"/>
  <c r="P1027" i="127"/>
  <c r="Q1027" i="127"/>
  <c r="O1028" i="127"/>
  <c r="P1028" i="127"/>
  <c r="Q1028" i="127"/>
  <c r="P853" i="129"/>
  <c r="Q853" i="129"/>
  <c r="R853" i="129"/>
  <c r="S853" i="129"/>
  <c r="P854" i="129"/>
  <c r="Q854" i="129"/>
  <c r="R854" i="129"/>
  <c r="S854" i="129"/>
  <c r="P855" i="129"/>
  <c r="Q855" i="129"/>
  <c r="R855" i="129"/>
  <c r="S855" i="129"/>
  <c r="P856" i="129"/>
  <c r="Q856" i="129"/>
  <c r="R856" i="129"/>
  <c r="S856" i="129"/>
  <c r="P857" i="129"/>
  <c r="Q857" i="129"/>
  <c r="R857" i="129"/>
  <c r="S857" i="129"/>
  <c r="P858" i="129"/>
  <c r="Q858" i="129"/>
  <c r="R858" i="129"/>
  <c r="S858" i="129"/>
  <c r="P859" i="129"/>
  <c r="Q859" i="129"/>
  <c r="R859" i="129"/>
  <c r="S859" i="129"/>
  <c r="P860" i="129"/>
  <c r="Q860" i="129"/>
  <c r="R860" i="129"/>
  <c r="S860" i="129"/>
  <c r="P861" i="129"/>
  <c r="Q861" i="129"/>
  <c r="R861" i="129"/>
  <c r="S861" i="129"/>
  <c r="P862" i="129"/>
  <c r="Q862" i="129"/>
  <c r="R862" i="129"/>
  <c r="S862" i="129"/>
  <c r="P863" i="129"/>
  <c r="Q863" i="129"/>
  <c r="R863" i="129"/>
  <c r="S863" i="129"/>
  <c r="P864" i="129"/>
  <c r="Q864" i="129"/>
  <c r="R864" i="129"/>
  <c r="S864" i="129"/>
  <c r="P865" i="129"/>
  <c r="Q865" i="129"/>
  <c r="R865" i="129"/>
  <c r="S865" i="129"/>
  <c r="P866" i="129"/>
  <c r="Q866" i="129"/>
  <c r="R866" i="129"/>
  <c r="S866" i="129"/>
  <c r="P867" i="129"/>
  <c r="Q867" i="129"/>
  <c r="R867" i="129"/>
  <c r="S867" i="129"/>
  <c r="P868" i="129"/>
  <c r="Q868" i="129"/>
  <c r="R868" i="129"/>
  <c r="S868" i="129"/>
  <c r="P869" i="129"/>
  <c r="Q869" i="129"/>
  <c r="R869" i="129"/>
  <c r="S869" i="129"/>
  <c r="P870" i="129"/>
  <c r="Q870" i="129"/>
  <c r="R870" i="129"/>
  <c r="S870" i="129"/>
  <c r="P871" i="129"/>
  <c r="Q871" i="129"/>
  <c r="R871" i="129"/>
  <c r="S871" i="129"/>
  <c r="P872" i="129"/>
  <c r="Q872" i="129"/>
  <c r="R872" i="129"/>
  <c r="S872" i="129"/>
  <c r="P873" i="129"/>
  <c r="Q873" i="129"/>
  <c r="R873" i="129"/>
  <c r="S873" i="129"/>
  <c r="P874" i="129"/>
  <c r="Q874" i="129"/>
  <c r="R874" i="129"/>
  <c r="S874" i="129"/>
  <c r="P875" i="129"/>
  <c r="Q875" i="129"/>
  <c r="R875" i="129"/>
  <c r="S875" i="129"/>
  <c r="P876" i="129"/>
  <c r="Q876" i="129"/>
  <c r="R876" i="129"/>
  <c r="S876" i="129"/>
  <c r="P877" i="129"/>
  <c r="Q877" i="129"/>
  <c r="R877" i="129"/>
  <c r="S877" i="129"/>
  <c r="AO223" i="140"/>
  <c r="AO224" i="140"/>
  <c r="AO225" i="140"/>
  <c r="AO234" i="140"/>
  <c r="BL234" i="140" s="1"/>
  <c r="AO235" i="140"/>
  <c r="AO236" i="140"/>
  <c r="AO237" i="140"/>
  <c r="AO238" i="140"/>
  <c r="AO239" i="140"/>
  <c r="AO240" i="140"/>
  <c r="AO241" i="140"/>
  <c r="AO242" i="140"/>
  <c r="AO243" i="140"/>
  <c r="AO244" i="140"/>
  <c r="AO245" i="140"/>
  <c r="AO246" i="140"/>
  <c r="AO247" i="140"/>
  <c r="AO248" i="140"/>
  <c r="AO249" i="140"/>
  <c r="AO250" i="140"/>
  <c r="AO251" i="140"/>
  <c r="AO252" i="140"/>
  <c r="AO253" i="140"/>
  <c r="AO254" i="140"/>
  <c r="AO255" i="140"/>
  <c r="AO256" i="140"/>
  <c r="AO257" i="140"/>
  <c r="AO258" i="140"/>
  <c r="AO259" i="140"/>
  <c r="AO260" i="140"/>
  <c r="AO261" i="140"/>
  <c r="AO262" i="140"/>
  <c r="AO263" i="140"/>
  <c r="AO264" i="140"/>
  <c r="AO265" i="140"/>
  <c r="AO160" i="140"/>
  <c r="AO161" i="140"/>
  <c r="AO162" i="140"/>
  <c r="AO171" i="140"/>
  <c r="BL171" i="140" s="1"/>
  <c r="AO172" i="140"/>
  <c r="AO173" i="140"/>
  <c r="AO174" i="140"/>
  <c r="AO175" i="140"/>
  <c r="AO176" i="140"/>
  <c r="AO177" i="140"/>
  <c r="AO178" i="140"/>
  <c r="AO179" i="140"/>
  <c r="AO180" i="140"/>
  <c r="AO181" i="140"/>
  <c r="AO182" i="140"/>
  <c r="AO183" i="140"/>
  <c r="AO184" i="140"/>
  <c r="AO185" i="140"/>
  <c r="AO186" i="140"/>
  <c r="AO187" i="140"/>
  <c r="AO188" i="140"/>
  <c r="AO189" i="140"/>
  <c r="AO190" i="140"/>
  <c r="AO191" i="140"/>
  <c r="AO193" i="140"/>
  <c r="AO194" i="140"/>
  <c r="AO195" i="140"/>
  <c r="AO196" i="140"/>
  <c r="AO197" i="140"/>
  <c r="AO198" i="140"/>
  <c r="AO199" i="140"/>
  <c r="AO201" i="140"/>
  <c r="AO202" i="140"/>
  <c r="AO203" i="140"/>
  <c r="AO204" i="140"/>
  <c r="AO205" i="140"/>
  <c r="AO206" i="140"/>
  <c r="AO207" i="140"/>
  <c r="AO208" i="140"/>
  <c r="AO99" i="140"/>
  <c r="BC99" i="140" s="1"/>
  <c r="AO100" i="140"/>
  <c r="BC100" i="140" s="1"/>
  <c r="AO101" i="140"/>
  <c r="AO110" i="140"/>
  <c r="BC110" i="140" s="1"/>
  <c r="AO111" i="140"/>
  <c r="AO112" i="140"/>
  <c r="AO113" i="140"/>
  <c r="AO114" i="140"/>
  <c r="AO115" i="140"/>
  <c r="AO116" i="140"/>
  <c r="AO117" i="140"/>
  <c r="AO118" i="140"/>
  <c r="AO119" i="140"/>
  <c r="AO120" i="140"/>
  <c r="AO121" i="140"/>
  <c r="AO122" i="140"/>
  <c r="AO123" i="140"/>
  <c r="AO124" i="140"/>
  <c r="AO125" i="140"/>
  <c r="AO126" i="140"/>
  <c r="AO127" i="140"/>
  <c r="AO128" i="140"/>
  <c r="AO129" i="140"/>
  <c r="AO130" i="140"/>
  <c r="AO131" i="140"/>
  <c r="AO132" i="140"/>
  <c r="AO133" i="140"/>
  <c r="AO134" i="140"/>
  <c r="AO135" i="140"/>
  <c r="AO136" i="140"/>
  <c r="AO137" i="140"/>
  <c r="AO138" i="140"/>
  <c r="AO139" i="140"/>
  <c r="AO140" i="140"/>
  <c r="AO141" i="140"/>
  <c r="AO142" i="140"/>
  <c r="AO144" i="140"/>
  <c r="AO145" i="140"/>
  <c r="AO146" i="140"/>
  <c r="AO147" i="140"/>
  <c r="AO49" i="140"/>
  <c r="AO50" i="140"/>
  <c r="AO51" i="140"/>
  <c r="AO60" i="140"/>
  <c r="AO61" i="140"/>
  <c r="AO62" i="140"/>
  <c r="AO63" i="140"/>
  <c r="AO64" i="140"/>
  <c r="AO65" i="140"/>
  <c r="AO66" i="140"/>
  <c r="AO67" i="140"/>
  <c r="AO68" i="140"/>
  <c r="AO69" i="140"/>
  <c r="AO70" i="140"/>
  <c r="AO71" i="140"/>
  <c r="AO72" i="140"/>
  <c r="AO73" i="140"/>
  <c r="AO74" i="140"/>
  <c r="AO75" i="140"/>
  <c r="AO76" i="140"/>
  <c r="AO77" i="140"/>
  <c r="AO78" i="140"/>
  <c r="AO79" i="140"/>
  <c r="AO80" i="140"/>
  <c r="AO81" i="140"/>
  <c r="AO82" i="140"/>
  <c r="AO83" i="140"/>
  <c r="AO84" i="140"/>
  <c r="AO85" i="140"/>
  <c r="AO86" i="140"/>
  <c r="AO87" i="140"/>
  <c r="AO88" i="140"/>
  <c r="AO89" i="140"/>
  <c r="AO90" i="140"/>
  <c r="AO91" i="140"/>
  <c r="AO5" i="140"/>
  <c r="AO6" i="140"/>
  <c r="AO15" i="140"/>
  <c r="AO16" i="140"/>
  <c r="AO17" i="140"/>
  <c r="AO18" i="140"/>
  <c r="AO19" i="140"/>
  <c r="AO20" i="140"/>
  <c r="AO21" i="140"/>
  <c r="AO22" i="140"/>
  <c r="AO23" i="140"/>
  <c r="AO24" i="140"/>
  <c r="AO25" i="140"/>
  <c r="AO26" i="140"/>
  <c r="AO27" i="140"/>
  <c r="AO28" i="140"/>
  <c r="AO29" i="140"/>
  <c r="AO30" i="140"/>
  <c r="AO31" i="140"/>
  <c r="AO32" i="140"/>
  <c r="AO33" i="140"/>
  <c r="AO34" i="140"/>
  <c r="AO35" i="140"/>
  <c r="AO36" i="140"/>
  <c r="AO37" i="140"/>
  <c r="AO38" i="140"/>
  <c r="AO39" i="140"/>
  <c r="AO40" i="140"/>
  <c r="AO4" i="140"/>
  <c r="AL234" i="140"/>
  <c r="AL171" i="140"/>
  <c r="H171" i="140"/>
  <c r="AF171" i="140" s="1"/>
  <c r="AR89" i="140"/>
  <c r="AR90" i="140"/>
  <c r="AR61" i="140"/>
  <c r="AR62" i="140"/>
  <c r="AR63" i="140"/>
  <c r="AR64" i="140"/>
  <c r="AR65" i="140"/>
  <c r="AR66" i="140"/>
  <c r="AR67" i="140"/>
  <c r="AR68" i="140"/>
  <c r="AR69" i="140"/>
  <c r="AR70" i="140"/>
  <c r="AR71" i="140"/>
  <c r="AR72" i="140"/>
  <c r="AR74" i="140"/>
  <c r="AR75" i="140"/>
  <c r="AR76" i="140"/>
  <c r="AR77" i="140"/>
  <c r="AR78" i="140"/>
  <c r="AR79" i="140"/>
  <c r="AR80" i="140"/>
  <c r="AR81" i="140"/>
  <c r="AL100" i="140"/>
  <c r="AL99" i="140"/>
  <c r="AL110" i="140"/>
  <c r="S110" i="140"/>
  <c r="Q110" i="140"/>
  <c r="P110" i="140"/>
  <c r="J110" i="140"/>
  <c r="I110" i="140" a="1"/>
  <c r="I110" i="140" s="1"/>
  <c r="K110" i="140" s="1"/>
  <c r="F110" i="140"/>
  <c r="R110" i="140" l="1"/>
  <c r="O110" i="140"/>
  <c r="M110" i="140"/>
  <c r="G110" i="140"/>
  <c r="N110" i="140"/>
  <c r="L110" i="140"/>
  <c r="T110" i="140" l="1"/>
  <c r="P143" i="140"/>
  <c r="J143" i="140"/>
  <c r="I143" i="140" a="1"/>
  <c r="I143" i="140" s="1"/>
  <c r="F143" i="140"/>
  <c r="P142" i="140"/>
  <c r="P203" i="140" s="1"/>
  <c r="J142" i="140"/>
  <c r="J203" i="140" s="1"/>
  <c r="I142" i="140" a="1"/>
  <c r="I142" i="140" s="1"/>
  <c r="I203" i="140" s="1"/>
  <c r="F142" i="140"/>
  <c r="F203" i="140" s="1"/>
  <c r="AL143" i="140"/>
  <c r="AL142" i="140"/>
  <c r="I86" i="140" a="1"/>
  <c r="I86" i="140" s="1"/>
  <c r="I85" i="140" a="1"/>
  <c r="I85" i="140" s="1"/>
  <c r="I138" i="140" a="1"/>
  <c r="I138" i="140" s="1"/>
  <c r="AS138" i="140" s="1"/>
  <c r="AU138" i="140" s="1"/>
  <c r="I137" i="140" a="1"/>
  <c r="I137" i="140" s="1"/>
  <c r="AL138" i="140"/>
  <c r="AL137" i="140"/>
  <c r="Q138" i="140"/>
  <c r="BA138" i="140" s="1"/>
  <c r="P138" i="140"/>
  <c r="AZ138" i="140" s="1"/>
  <c r="J138" i="140"/>
  <c r="AT138" i="140" s="1"/>
  <c r="F138" i="140"/>
  <c r="AP138" i="140" s="1"/>
  <c r="Q137" i="140"/>
  <c r="P137" i="140"/>
  <c r="J137" i="140"/>
  <c r="F137" i="140"/>
  <c r="P86" i="140"/>
  <c r="J86" i="140"/>
  <c r="F86" i="140"/>
  <c r="S79" i="140"/>
  <c r="Q79" i="140"/>
  <c r="P79" i="140"/>
  <c r="J79" i="140"/>
  <c r="I79" i="140" a="1"/>
  <c r="I79" i="140" s="1"/>
  <c r="F79" i="140"/>
  <c r="AL50" i="140"/>
  <c r="AL49" i="140"/>
  <c r="BC60" i="140"/>
  <c r="AL60" i="140"/>
  <c r="S60" i="140"/>
  <c r="S171" i="140" s="1"/>
  <c r="Q60" i="140"/>
  <c r="P60" i="140"/>
  <c r="J60" i="140"/>
  <c r="I60" i="140" a="1"/>
  <c r="I60" i="140" s="1"/>
  <c r="I171" i="140" s="1"/>
  <c r="AG171" i="140" s="1"/>
  <c r="F60" i="140"/>
  <c r="F171" i="140" s="1"/>
  <c r="AD171" i="140" s="1"/>
  <c r="S75" i="140"/>
  <c r="Q75" i="140"/>
  <c r="P75" i="140"/>
  <c r="F75" i="140"/>
  <c r="BL5" i="140"/>
  <c r="BL4" i="140"/>
  <c r="AQ138" i="140" l="1"/>
  <c r="AW138" i="140"/>
  <c r="AV138" i="140"/>
  <c r="F204" i="140"/>
  <c r="AP143" i="140"/>
  <c r="I204" i="140"/>
  <c r="AS143" i="140"/>
  <c r="AU143" i="140" s="1"/>
  <c r="AY138" i="140"/>
  <c r="J204" i="140"/>
  <c r="AT143" i="140"/>
  <c r="AX138" i="140"/>
  <c r="BB138" i="140"/>
  <c r="P204" i="140"/>
  <c r="AZ143" i="140"/>
  <c r="AY143" i="140" s="1"/>
  <c r="I89" i="140"/>
  <c r="I139" i="140"/>
  <c r="AS139" i="140" s="1"/>
  <c r="Q139" i="140"/>
  <c r="BA139" i="140" s="1"/>
  <c r="P139" i="140"/>
  <c r="AZ139" i="140" s="1"/>
  <c r="F139" i="140"/>
  <c r="AP139" i="140" s="1"/>
  <c r="J139" i="140"/>
  <c r="AT139" i="140" s="1"/>
  <c r="R137" i="140"/>
  <c r="H146" i="140"/>
  <c r="K142" i="140"/>
  <c r="P171" i="140"/>
  <c r="Q171" i="140"/>
  <c r="K171" i="140"/>
  <c r="AH171" i="140" s="1"/>
  <c r="J171" i="140"/>
  <c r="L171" i="140"/>
  <c r="AI171" i="140" s="1"/>
  <c r="G138" i="140"/>
  <c r="T138" i="140" s="1"/>
  <c r="M137" i="140"/>
  <c r="K60" i="140"/>
  <c r="R138" i="140"/>
  <c r="O137" i="140"/>
  <c r="O138" i="140"/>
  <c r="M60" i="140"/>
  <c r="O142" i="140"/>
  <c r="M143" i="140"/>
  <c r="M138" i="140"/>
  <c r="O60" i="140"/>
  <c r="G137" i="140"/>
  <c r="R60" i="140"/>
  <c r="M142" i="140"/>
  <c r="R143" i="140"/>
  <c r="R142" i="140"/>
  <c r="N143" i="140"/>
  <c r="N142" i="140"/>
  <c r="O143" i="140"/>
  <c r="L142" i="140"/>
  <c r="L143" i="140"/>
  <c r="G142" i="140"/>
  <c r="G203" i="140" s="1"/>
  <c r="G143" i="140"/>
  <c r="K138" i="140"/>
  <c r="L138" i="140"/>
  <c r="N138" i="140"/>
  <c r="K137" i="140"/>
  <c r="N137" i="140"/>
  <c r="L137" i="140"/>
  <c r="N60" i="140"/>
  <c r="G60" i="140"/>
  <c r="L60" i="140"/>
  <c r="L21" i="148"/>
  <c r="K21" i="148"/>
  <c r="J21" i="148"/>
  <c r="J25" i="146"/>
  <c r="I25" i="146"/>
  <c r="G25" i="146"/>
  <c r="B25" i="146"/>
  <c r="J24" i="146"/>
  <c r="I24" i="146"/>
  <c r="G24" i="146"/>
  <c r="B24" i="146"/>
  <c r="AC23" i="146"/>
  <c r="J23" i="146"/>
  <c r="I23" i="146"/>
  <c r="G23" i="146"/>
  <c r="B23" i="146"/>
  <c r="J22" i="146"/>
  <c r="I22" i="146"/>
  <c r="G22" i="146"/>
  <c r="B22" i="146"/>
  <c r="J21" i="146"/>
  <c r="I21" i="146"/>
  <c r="G21" i="146"/>
  <c r="B21" i="146"/>
  <c r="J20" i="146"/>
  <c r="I20" i="146"/>
  <c r="G20" i="146"/>
  <c r="B20" i="146"/>
  <c r="J19" i="146"/>
  <c r="I19" i="146"/>
  <c r="G19" i="146"/>
  <c r="B19" i="146"/>
  <c r="J18" i="146"/>
  <c r="I18" i="146"/>
  <c r="G18" i="146"/>
  <c r="B18" i="146"/>
  <c r="AF17" i="146"/>
  <c r="AC17" i="146"/>
  <c r="Z17" i="146"/>
  <c r="J17" i="146"/>
  <c r="I17" i="146"/>
  <c r="G17" i="146"/>
  <c r="B17" i="146"/>
  <c r="AF16" i="146"/>
  <c r="AC16" i="146"/>
  <c r="J16" i="146"/>
  <c r="I16" i="146"/>
  <c r="G16" i="146"/>
  <c r="B16" i="146"/>
  <c r="AH15" i="146"/>
  <c r="AG15" i="146"/>
  <c r="AF15" i="146"/>
  <c r="AE15" i="146"/>
  <c r="AB15" i="146"/>
  <c r="J15" i="146"/>
  <c r="I15" i="146"/>
  <c r="G15" i="146"/>
  <c r="B15" i="146"/>
  <c r="J14" i="146"/>
  <c r="I14" i="146"/>
  <c r="G14" i="146"/>
  <c r="B14" i="146"/>
  <c r="J13" i="146"/>
  <c r="I13" i="146"/>
  <c r="G13" i="146"/>
  <c r="B13" i="146"/>
  <c r="J12" i="146"/>
  <c r="I12" i="146"/>
  <c r="G12" i="146"/>
  <c r="B12" i="146"/>
  <c r="J11" i="146"/>
  <c r="I11" i="146"/>
  <c r="G11" i="146"/>
  <c r="B11" i="146"/>
  <c r="J10" i="146"/>
  <c r="I10" i="146"/>
  <c r="G10" i="146"/>
  <c r="B10" i="146"/>
  <c r="J9" i="146"/>
  <c r="I9" i="146"/>
  <c r="G9" i="146"/>
  <c r="B9" i="146"/>
  <c r="J8" i="146"/>
  <c r="I8" i="146"/>
  <c r="G8" i="146"/>
  <c r="B8" i="146"/>
  <c r="J7" i="146"/>
  <c r="I7" i="146"/>
  <c r="G7" i="146"/>
  <c r="B7" i="146"/>
  <c r="J6" i="146"/>
  <c r="I6" i="146"/>
  <c r="G6" i="146"/>
  <c r="B6" i="146"/>
  <c r="J5" i="146"/>
  <c r="I5" i="146"/>
  <c r="G5" i="146"/>
  <c r="B5" i="146"/>
  <c r="J4" i="146"/>
  <c r="I4" i="146"/>
  <c r="G4" i="146"/>
  <c r="B4" i="146"/>
  <c r="J3" i="146"/>
  <c r="I3" i="146"/>
  <c r="G3" i="146"/>
  <c r="B3" i="146"/>
  <c r="J2" i="146"/>
  <c r="I2" i="146"/>
  <c r="G2" i="146"/>
  <c r="B2" i="146"/>
  <c r="T5" i="145"/>
  <c r="S5" i="145"/>
  <c r="R5" i="145"/>
  <c r="Q5" i="145"/>
  <c r="P5" i="145"/>
  <c r="O5" i="145"/>
  <c r="N5" i="145"/>
  <c r="M5" i="145"/>
  <c r="L5" i="145"/>
  <c r="K5" i="145"/>
  <c r="J5" i="145"/>
  <c r="I5" i="145"/>
  <c r="H5" i="145"/>
  <c r="G5" i="145"/>
  <c r="F5" i="145"/>
  <c r="E5" i="145"/>
  <c r="D5" i="145"/>
  <c r="C5" i="145"/>
  <c r="T4" i="145"/>
  <c r="S4" i="145"/>
  <c r="R4" i="145"/>
  <c r="Q4" i="145"/>
  <c r="P4" i="145"/>
  <c r="N4" i="145"/>
  <c r="K4" i="145"/>
  <c r="J4" i="145"/>
  <c r="H4" i="145"/>
  <c r="F4" i="145"/>
  <c r="T3" i="145"/>
  <c r="S3" i="145"/>
  <c r="R3" i="145"/>
  <c r="Q3" i="145"/>
  <c r="P3" i="145"/>
  <c r="N3" i="145"/>
  <c r="K3" i="145"/>
  <c r="J3" i="145"/>
  <c r="H3" i="145"/>
  <c r="F3" i="145"/>
  <c r="S852" i="129"/>
  <c r="R852" i="129"/>
  <c r="Q852" i="129"/>
  <c r="P852" i="129"/>
  <c r="S851" i="129"/>
  <c r="R851" i="129"/>
  <c r="Q851" i="129"/>
  <c r="P851" i="129"/>
  <c r="S850" i="129"/>
  <c r="R850" i="129"/>
  <c r="Q850" i="129"/>
  <c r="P850" i="129"/>
  <c r="S849" i="129"/>
  <c r="R849" i="129"/>
  <c r="Q849" i="129"/>
  <c r="P849" i="129"/>
  <c r="S848" i="129"/>
  <c r="R848" i="129"/>
  <c r="Q848" i="129"/>
  <c r="P848" i="129"/>
  <c r="S847" i="129"/>
  <c r="R847" i="129"/>
  <c r="Q847" i="129"/>
  <c r="P847" i="129"/>
  <c r="S846" i="129"/>
  <c r="R846" i="129"/>
  <c r="Q846" i="129"/>
  <c r="P846" i="129"/>
  <c r="S845" i="129"/>
  <c r="R845" i="129"/>
  <c r="Q845" i="129"/>
  <c r="P845" i="129"/>
  <c r="S844" i="129"/>
  <c r="R844" i="129"/>
  <c r="Q844" i="129"/>
  <c r="P844" i="129"/>
  <c r="S843" i="129"/>
  <c r="R843" i="129"/>
  <c r="Q843" i="129"/>
  <c r="P843" i="129"/>
  <c r="S842" i="129"/>
  <c r="R842" i="129"/>
  <c r="Q842" i="129"/>
  <c r="P842" i="129"/>
  <c r="S841" i="129"/>
  <c r="R841" i="129"/>
  <c r="Q841" i="129"/>
  <c r="P841" i="129"/>
  <c r="S840" i="129"/>
  <c r="R840" i="129"/>
  <c r="Q840" i="129"/>
  <c r="P840" i="129"/>
  <c r="S839" i="129"/>
  <c r="R839" i="129"/>
  <c r="Q839" i="129"/>
  <c r="P839" i="129"/>
  <c r="S838" i="129"/>
  <c r="R838" i="129"/>
  <c r="Q838" i="129"/>
  <c r="P838" i="129"/>
  <c r="S837" i="129"/>
  <c r="R837" i="129"/>
  <c r="Q837" i="129"/>
  <c r="P837" i="129"/>
  <c r="S836" i="129"/>
  <c r="R836" i="129"/>
  <c r="Q836" i="129"/>
  <c r="P836" i="129"/>
  <c r="S835" i="129"/>
  <c r="R835" i="129"/>
  <c r="Q835" i="129"/>
  <c r="P835" i="129"/>
  <c r="S834" i="129"/>
  <c r="R834" i="129"/>
  <c r="Q834" i="129"/>
  <c r="P834" i="129"/>
  <c r="S833" i="129"/>
  <c r="R833" i="129"/>
  <c r="Q833" i="129"/>
  <c r="P833" i="129"/>
  <c r="S832" i="129"/>
  <c r="R832" i="129"/>
  <c r="Q832" i="129"/>
  <c r="P832" i="129"/>
  <c r="S831" i="129"/>
  <c r="R831" i="129"/>
  <c r="Q831" i="129"/>
  <c r="P831" i="129"/>
  <c r="S830" i="129"/>
  <c r="R830" i="129"/>
  <c r="Q830" i="129"/>
  <c r="P830" i="129"/>
  <c r="S829" i="129"/>
  <c r="R829" i="129"/>
  <c r="Q829" i="129"/>
  <c r="P829" i="129"/>
  <c r="S828" i="129"/>
  <c r="R828" i="129"/>
  <c r="Q828" i="129"/>
  <c r="P828" i="129"/>
  <c r="S827" i="129"/>
  <c r="R827" i="129"/>
  <c r="Q827" i="129"/>
  <c r="P827" i="129"/>
  <c r="S826" i="129"/>
  <c r="R826" i="129"/>
  <c r="Q826" i="129"/>
  <c r="P826" i="129"/>
  <c r="S825" i="129"/>
  <c r="R825" i="129"/>
  <c r="Q825" i="129"/>
  <c r="P825" i="129"/>
  <c r="S824" i="129"/>
  <c r="R824" i="129"/>
  <c r="Q824" i="129"/>
  <c r="P824" i="129"/>
  <c r="S823" i="129"/>
  <c r="R823" i="129"/>
  <c r="Q823" i="129"/>
  <c r="P823" i="129"/>
  <c r="S822" i="129"/>
  <c r="R822" i="129"/>
  <c r="Q822" i="129"/>
  <c r="P822" i="129"/>
  <c r="S821" i="129"/>
  <c r="R821" i="129"/>
  <c r="Q821" i="129"/>
  <c r="P821" i="129"/>
  <c r="S820" i="129"/>
  <c r="R820" i="129"/>
  <c r="Q820" i="129"/>
  <c r="P820" i="129"/>
  <c r="S819" i="129"/>
  <c r="R819" i="129"/>
  <c r="Q819" i="129"/>
  <c r="P819" i="129"/>
  <c r="S818" i="129"/>
  <c r="R818" i="129"/>
  <c r="Q818" i="129"/>
  <c r="P818" i="129"/>
  <c r="S817" i="129"/>
  <c r="R817" i="129"/>
  <c r="Q817" i="129"/>
  <c r="P817" i="129"/>
  <c r="S816" i="129"/>
  <c r="R816" i="129"/>
  <c r="Q816" i="129"/>
  <c r="P816" i="129"/>
  <c r="S815" i="129"/>
  <c r="R815" i="129"/>
  <c r="Q815" i="129"/>
  <c r="P815" i="129"/>
  <c r="S814" i="129"/>
  <c r="R814" i="129"/>
  <c r="Q814" i="129"/>
  <c r="P814" i="129"/>
  <c r="S813" i="129"/>
  <c r="R813" i="129"/>
  <c r="Q813" i="129"/>
  <c r="P813" i="129"/>
  <c r="S812" i="129"/>
  <c r="R812" i="129"/>
  <c r="Q812" i="129"/>
  <c r="P812" i="129"/>
  <c r="S811" i="129"/>
  <c r="R811" i="129"/>
  <c r="Q811" i="129"/>
  <c r="P811" i="129"/>
  <c r="S810" i="129"/>
  <c r="R810" i="129"/>
  <c r="Q810" i="129"/>
  <c r="P810" i="129"/>
  <c r="S809" i="129"/>
  <c r="R809" i="129"/>
  <c r="Q809" i="129"/>
  <c r="P809" i="129"/>
  <c r="S808" i="129"/>
  <c r="R808" i="129"/>
  <c r="Q808" i="129"/>
  <c r="P808" i="129"/>
  <c r="S807" i="129"/>
  <c r="R807" i="129"/>
  <c r="Q807" i="129"/>
  <c r="P807" i="129"/>
  <c r="S806" i="129"/>
  <c r="R806" i="129"/>
  <c r="Q806" i="129"/>
  <c r="P806" i="129"/>
  <c r="S805" i="129"/>
  <c r="R805" i="129"/>
  <c r="Q805" i="129"/>
  <c r="P805" i="129"/>
  <c r="S804" i="129"/>
  <c r="R804" i="129"/>
  <c r="Q804" i="129"/>
  <c r="P804" i="129"/>
  <c r="S803" i="129"/>
  <c r="R803" i="129"/>
  <c r="Q803" i="129"/>
  <c r="P803" i="129"/>
  <c r="S802" i="129"/>
  <c r="R802" i="129"/>
  <c r="Q802" i="129"/>
  <c r="P802" i="129"/>
  <c r="S801" i="129"/>
  <c r="R801" i="129"/>
  <c r="Q801" i="129"/>
  <c r="P801" i="129"/>
  <c r="S800" i="129"/>
  <c r="R800" i="129"/>
  <c r="Q800" i="129"/>
  <c r="P800" i="129"/>
  <c r="S799" i="129"/>
  <c r="R799" i="129"/>
  <c r="Q799" i="129"/>
  <c r="P799" i="129"/>
  <c r="S798" i="129"/>
  <c r="R798" i="129"/>
  <c r="Q798" i="129"/>
  <c r="P798" i="129"/>
  <c r="S797" i="129"/>
  <c r="R797" i="129"/>
  <c r="Q797" i="129"/>
  <c r="P797" i="129"/>
  <c r="S796" i="129"/>
  <c r="R796" i="129"/>
  <c r="Q796" i="129"/>
  <c r="P796" i="129"/>
  <c r="S795" i="129"/>
  <c r="R795" i="129"/>
  <c r="Q795" i="129"/>
  <c r="P795" i="129"/>
  <c r="S794" i="129"/>
  <c r="R794" i="129"/>
  <c r="Q794" i="129"/>
  <c r="P794" i="129"/>
  <c r="S793" i="129"/>
  <c r="R793" i="129"/>
  <c r="Q793" i="129"/>
  <c r="P793" i="129"/>
  <c r="S792" i="129"/>
  <c r="R792" i="129"/>
  <c r="Q792" i="129"/>
  <c r="P792" i="129"/>
  <c r="S791" i="129"/>
  <c r="R791" i="129"/>
  <c r="Q791" i="129"/>
  <c r="P791" i="129"/>
  <c r="S790" i="129"/>
  <c r="R790" i="129"/>
  <c r="Q790" i="129"/>
  <c r="P790" i="129"/>
  <c r="S789" i="129"/>
  <c r="R789" i="129"/>
  <c r="Q789" i="129"/>
  <c r="P789" i="129"/>
  <c r="S788" i="129"/>
  <c r="R788" i="129"/>
  <c r="Q788" i="129"/>
  <c r="P788" i="129"/>
  <c r="S787" i="129"/>
  <c r="R787" i="129"/>
  <c r="Q787" i="129"/>
  <c r="P787" i="129"/>
  <c r="S786" i="129"/>
  <c r="R786" i="129"/>
  <c r="Q786" i="129"/>
  <c r="P786" i="129"/>
  <c r="S785" i="129"/>
  <c r="R785" i="129"/>
  <c r="Q785" i="129"/>
  <c r="P785" i="129"/>
  <c r="S784" i="129"/>
  <c r="R784" i="129"/>
  <c r="Q784" i="129"/>
  <c r="P784" i="129"/>
  <c r="S783" i="129"/>
  <c r="R783" i="129"/>
  <c r="Q783" i="129"/>
  <c r="P783" i="129"/>
  <c r="S782" i="129"/>
  <c r="R782" i="129"/>
  <c r="Q782" i="129"/>
  <c r="P782" i="129"/>
  <c r="S781" i="129"/>
  <c r="R781" i="129"/>
  <c r="Q781" i="129"/>
  <c r="P781" i="129"/>
  <c r="S780" i="129"/>
  <c r="R780" i="129"/>
  <c r="Q780" i="129"/>
  <c r="P780" i="129"/>
  <c r="S779" i="129"/>
  <c r="R779" i="129"/>
  <c r="Q779" i="129"/>
  <c r="P779" i="129"/>
  <c r="S778" i="129"/>
  <c r="R778" i="129"/>
  <c r="Q778" i="129"/>
  <c r="P778" i="129"/>
  <c r="S777" i="129"/>
  <c r="R777" i="129"/>
  <c r="Q777" i="129"/>
  <c r="P777" i="129"/>
  <c r="S776" i="129"/>
  <c r="R776" i="129"/>
  <c r="Q776" i="129"/>
  <c r="P776" i="129"/>
  <c r="S775" i="129"/>
  <c r="R775" i="129"/>
  <c r="Q775" i="129"/>
  <c r="P775" i="129"/>
  <c r="S774" i="129"/>
  <c r="R774" i="129"/>
  <c r="Q774" i="129"/>
  <c r="P774" i="129"/>
  <c r="S773" i="129"/>
  <c r="R773" i="129"/>
  <c r="Q773" i="129"/>
  <c r="P773" i="129"/>
  <c r="S772" i="129"/>
  <c r="R772" i="129"/>
  <c r="Q772" i="129"/>
  <c r="P772" i="129"/>
  <c r="S771" i="129"/>
  <c r="R771" i="129"/>
  <c r="Q771" i="129"/>
  <c r="P771" i="129"/>
  <c r="S770" i="129"/>
  <c r="R770" i="129"/>
  <c r="Q770" i="129"/>
  <c r="P770" i="129"/>
  <c r="S769" i="129"/>
  <c r="R769" i="129"/>
  <c r="Q769" i="129"/>
  <c r="P769" i="129"/>
  <c r="S768" i="129"/>
  <c r="R768" i="129"/>
  <c r="Q768" i="129"/>
  <c r="P768" i="129"/>
  <c r="S767" i="129"/>
  <c r="R767" i="129"/>
  <c r="Q767" i="129"/>
  <c r="P767" i="129"/>
  <c r="S766" i="129"/>
  <c r="R766" i="129"/>
  <c r="Q766" i="129"/>
  <c r="P766" i="129"/>
  <c r="S765" i="129"/>
  <c r="R765" i="129"/>
  <c r="Q765" i="129"/>
  <c r="P765" i="129"/>
  <c r="S764" i="129"/>
  <c r="R764" i="129"/>
  <c r="Q764" i="129"/>
  <c r="P764" i="129"/>
  <c r="S763" i="129"/>
  <c r="R763" i="129"/>
  <c r="Q763" i="129"/>
  <c r="P763" i="129"/>
  <c r="S762" i="129"/>
  <c r="R762" i="129"/>
  <c r="Q762" i="129"/>
  <c r="P762" i="129"/>
  <c r="S761" i="129"/>
  <c r="R761" i="129"/>
  <c r="Q761" i="129"/>
  <c r="P761" i="129"/>
  <c r="S760" i="129"/>
  <c r="R760" i="129"/>
  <c r="Q760" i="129"/>
  <c r="P760" i="129"/>
  <c r="S759" i="129"/>
  <c r="R759" i="129"/>
  <c r="Q759" i="129"/>
  <c r="P759" i="129"/>
  <c r="S758" i="129"/>
  <c r="R758" i="129"/>
  <c r="Q758" i="129"/>
  <c r="P758" i="129"/>
  <c r="S757" i="129"/>
  <c r="R757" i="129"/>
  <c r="Q757" i="129"/>
  <c r="P757" i="129"/>
  <c r="S756" i="129"/>
  <c r="R756" i="129"/>
  <c r="Q756" i="129"/>
  <c r="P756" i="129"/>
  <c r="S755" i="129"/>
  <c r="R755" i="129"/>
  <c r="Q755" i="129"/>
  <c r="P755" i="129"/>
  <c r="S754" i="129"/>
  <c r="R754" i="129"/>
  <c r="Q754" i="129"/>
  <c r="P754" i="129"/>
  <c r="S753" i="129"/>
  <c r="R753" i="129"/>
  <c r="Q753" i="129"/>
  <c r="P753" i="129"/>
  <c r="S752" i="129"/>
  <c r="R752" i="129"/>
  <c r="Q752" i="129"/>
  <c r="P752" i="129"/>
  <c r="S751" i="129"/>
  <c r="R751" i="129"/>
  <c r="Q751" i="129"/>
  <c r="P751" i="129"/>
  <c r="S750" i="129"/>
  <c r="R750" i="129"/>
  <c r="Q750" i="129"/>
  <c r="P750" i="129"/>
  <c r="S749" i="129"/>
  <c r="R749" i="129"/>
  <c r="Q749" i="129"/>
  <c r="P749" i="129"/>
  <c r="S748" i="129"/>
  <c r="R748" i="129"/>
  <c r="Q748" i="129"/>
  <c r="P748" i="129"/>
  <c r="S747" i="129"/>
  <c r="R747" i="129"/>
  <c r="Q747" i="129"/>
  <c r="P747" i="129"/>
  <c r="S746" i="129"/>
  <c r="R746" i="129"/>
  <c r="Q746" i="129"/>
  <c r="P746" i="129"/>
  <c r="S745" i="129"/>
  <c r="R745" i="129"/>
  <c r="Q745" i="129"/>
  <c r="P745" i="129"/>
  <c r="S744" i="129"/>
  <c r="R744" i="129"/>
  <c r="Q744" i="129"/>
  <c r="P744" i="129"/>
  <c r="S743" i="129"/>
  <c r="R743" i="129"/>
  <c r="Q743" i="129"/>
  <c r="P743" i="129"/>
  <c r="S742" i="129"/>
  <c r="R742" i="129"/>
  <c r="Q742" i="129"/>
  <c r="P742" i="129"/>
  <c r="S741" i="129"/>
  <c r="R741" i="129"/>
  <c r="Q741" i="129"/>
  <c r="P741" i="129"/>
  <c r="S740" i="129"/>
  <c r="R740" i="129"/>
  <c r="Q740" i="129"/>
  <c r="P740" i="129"/>
  <c r="S739" i="129"/>
  <c r="R739" i="129"/>
  <c r="Q739" i="129"/>
  <c r="P739" i="129"/>
  <c r="S738" i="129"/>
  <c r="R738" i="129"/>
  <c r="Q738" i="129"/>
  <c r="P738" i="129"/>
  <c r="S737" i="129"/>
  <c r="R737" i="129"/>
  <c r="Q737" i="129"/>
  <c r="P737" i="129"/>
  <c r="S736" i="129"/>
  <c r="R736" i="129"/>
  <c r="Q736" i="129"/>
  <c r="P736" i="129"/>
  <c r="S735" i="129"/>
  <c r="R735" i="129"/>
  <c r="Q735" i="129"/>
  <c r="P735" i="129"/>
  <c r="S734" i="129"/>
  <c r="R734" i="129"/>
  <c r="Q734" i="129"/>
  <c r="P734" i="129"/>
  <c r="S733" i="129"/>
  <c r="R733" i="129"/>
  <c r="Q733" i="129"/>
  <c r="P733" i="129"/>
  <c r="S732" i="129"/>
  <c r="R732" i="129"/>
  <c r="Q732" i="129"/>
  <c r="P732" i="129"/>
  <c r="S731" i="129"/>
  <c r="R731" i="129"/>
  <c r="Q731" i="129"/>
  <c r="P731" i="129"/>
  <c r="S730" i="129"/>
  <c r="R730" i="129"/>
  <c r="Q730" i="129"/>
  <c r="P730" i="129"/>
  <c r="S729" i="129"/>
  <c r="R729" i="129"/>
  <c r="Q729" i="129"/>
  <c r="P729" i="129"/>
  <c r="S728" i="129"/>
  <c r="R728" i="129"/>
  <c r="Q728" i="129"/>
  <c r="P728" i="129"/>
  <c r="S727" i="129"/>
  <c r="R727" i="129"/>
  <c r="Q727" i="129"/>
  <c r="P727" i="129"/>
  <c r="S726" i="129"/>
  <c r="R726" i="129"/>
  <c r="Q726" i="129"/>
  <c r="P726" i="129"/>
  <c r="S725" i="129"/>
  <c r="R725" i="129"/>
  <c r="Q725" i="129"/>
  <c r="P725" i="129"/>
  <c r="S724" i="129"/>
  <c r="R724" i="129"/>
  <c r="Q724" i="129"/>
  <c r="P724" i="129"/>
  <c r="S723" i="129"/>
  <c r="R723" i="129"/>
  <c r="Q723" i="129"/>
  <c r="P723" i="129"/>
  <c r="S722" i="129"/>
  <c r="R722" i="129"/>
  <c r="Q722" i="129"/>
  <c r="P722" i="129"/>
  <c r="S721" i="129"/>
  <c r="R721" i="129"/>
  <c r="Q721" i="129"/>
  <c r="P721" i="129"/>
  <c r="S720" i="129"/>
  <c r="R720" i="129"/>
  <c r="Q720" i="129"/>
  <c r="P720" i="129"/>
  <c r="S719" i="129"/>
  <c r="R719" i="129"/>
  <c r="Q719" i="129"/>
  <c r="P719" i="129"/>
  <c r="S718" i="129"/>
  <c r="R718" i="129"/>
  <c r="Q718" i="129"/>
  <c r="P718" i="129"/>
  <c r="S717" i="129"/>
  <c r="R717" i="129"/>
  <c r="Q717" i="129"/>
  <c r="P717" i="129"/>
  <c r="S716" i="129"/>
  <c r="R716" i="129"/>
  <c r="Q716" i="129"/>
  <c r="P716" i="129"/>
  <c r="S715" i="129"/>
  <c r="R715" i="129"/>
  <c r="Q715" i="129"/>
  <c r="P715" i="129"/>
  <c r="S714" i="129"/>
  <c r="R714" i="129"/>
  <c r="Q714" i="129"/>
  <c r="P714" i="129"/>
  <c r="S713" i="129"/>
  <c r="R713" i="129"/>
  <c r="Q713" i="129"/>
  <c r="P713" i="129"/>
  <c r="S712" i="129"/>
  <c r="R712" i="129"/>
  <c r="Q712" i="129"/>
  <c r="P712" i="129"/>
  <c r="S711" i="129"/>
  <c r="R711" i="129"/>
  <c r="Q711" i="129"/>
  <c r="P711" i="129"/>
  <c r="S710" i="129"/>
  <c r="R710" i="129"/>
  <c r="Q710" i="129"/>
  <c r="P710" i="129"/>
  <c r="S709" i="129"/>
  <c r="R709" i="129"/>
  <c r="Q709" i="129"/>
  <c r="P709" i="129"/>
  <c r="S708" i="129"/>
  <c r="R708" i="129"/>
  <c r="Q708" i="129"/>
  <c r="P708" i="129"/>
  <c r="S707" i="129"/>
  <c r="R707" i="129"/>
  <c r="Q707" i="129"/>
  <c r="P707" i="129"/>
  <c r="S706" i="129"/>
  <c r="R706" i="129"/>
  <c r="Q706" i="129"/>
  <c r="P706" i="129"/>
  <c r="S705" i="129"/>
  <c r="R705" i="129"/>
  <c r="Q705" i="129"/>
  <c r="P705" i="129"/>
  <c r="S704" i="129"/>
  <c r="R704" i="129"/>
  <c r="Q704" i="129"/>
  <c r="P704" i="129"/>
  <c r="S703" i="129"/>
  <c r="R703" i="129"/>
  <c r="Q703" i="129"/>
  <c r="P703" i="129"/>
  <c r="S702" i="129"/>
  <c r="R702" i="129"/>
  <c r="Q702" i="129"/>
  <c r="P702" i="129"/>
  <c r="S701" i="129"/>
  <c r="R701" i="129"/>
  <c r="Q701" i="129"/>
  <c r="P701" i="129"/>
  <c r="S700" i="129"/>
  <c r="R700" i="129"/>
  <c r="Q700" i="129"/>
  <c r="P700" i="129"/>
  <c r="S699" i="129"/>
  <c r="R699" i="129"/>
  <c r="Q699" i="129"/>
  <c r="P699" i="129"/>
  <c r="S698" i="129"/>
  <c r="R698" i="129"/>
  <c r="Q698" i="129"/>
  <c r="P698" i="129"/>
  <c r="S697" i="129"/>
  <c r="R697" i="129"/>
  <c r="Q697" i="129"/>
  <c r="P697" i="129"/>
  <c r="S696" i="129"/>
  <c r="R696" i="129"/>
  <c r="Q696" i="129"/>
  <c r="P696" i="129"/>
  <c r="S695" i="129"/>
  <c r="R695" i="129"/>
  <c r="Q695" i="129"/>
  <c r="P695" i="129"/>
  <c r="S694" i="129"/>
  <c r="R694" i="129"/>
  <c r="Q694" i="129"/>
  <c r="P694" i="129"/>
  <c r="S693" i="129"/>
  <c r="R693" i="129"/>
  <c r="Q693" i="129"/>
  <c r="P693" i="129"/>
  <c r="S692" i="129"/>
  <c r="R692" i="129"/>
  <c r="Q692" i="129"/>
  <c r="P692" i="129"/>
  <c r="S691" i="129"/>
  <c r="R691" i="129"/>
  <c r="Q691" i="129"/>
  <c r="P691" i="129"/>
  <c r="S690" i="129"/>
  <c r="R690" i="129"/>
  <c r="Q690" i="129"/>
  <c r="P690" i="129"/>
  <c r="S689" i="129"/>
  <c r="R689" i="129"/>
  <c r="Q689" i="129"/>
  <c r="P689" i="129"/>
  <c r="S688" i="129"/>
  <c r="R688" i="129"/>
  <c r="Q688" i="129"/>
  <c r="P688" i="129"/>
  <c r="S687" i="129"/>
  <c r="R687" i="129"/>
  <c r="Q687" i="129"/>
  <c r="P687" i="129"/>
  <c r="S686" i="129"/>
  <c r="R686" i="129"/>
  <c r="Q686" i="129"/>
  <c r="P686" i="129"/>
  <c r="S685" i="129"/>
  <c r="R685" i="129"/>
  <c r="Q685" i="129"/>
  <c r="P685" i="129"/>
  <c r="S684" i="129"/>
  <c r="R684" i="129"/>
  <c r="Q684" i="129"/>
  <c r="P684" i="129"/>
  <c r="S683" i="129"/>
  <c r="R683" i="129"/>
  <c r="Q683" i="129"/>
  <c r="P683" i="129"/>
  <c r="S682" i="129"/>
  <c r="R682" i="129"/>
  <c r="Q682" i="129"/>
  <c r="P682" i="129"/>
  <c r="S681" i="129"/>
  <c r="R681" i="129"/>
  <c r="Q681" i="129"/>
  <c r="P681" i="129"/>
  <c r="S680" i="129"/>
  <c r="R680" i="129"/>
  <c r="Q680" i="129"/>
  <c r="P680" i="129"/>
  <c r="S679" i="129"/>
  <c r="R679" i="129"/>
  <c r="Q679" i="129"/>
  <c r="P679" i="129"/>
  <c r="S678" i="129"/>
  <c r="R678" i="129"/>
  <c r="Q678" i="129"/>
  <c r="P678" i="129"/>
  <c r="S677" i="129"/>
  <c r="R677" i="129"/>
  <c r="Q677" i="129"/>
  <c r="P677" i="129"/>
  <c r="S676" i="129"/>
  <c r="R676" i="129"/>
  <c r="Q676" i="129"/>
  <c r="P676" i="129"/>
  <c r="S675" i="129"/>
  <c r="R675" i="129"/>
  <c r="Q675" i="129"/>
  <c r="P675" i="129"/>
  <c r="S674" i="129"/>
  <c r="R674" i="129"/>
  <c r="Q674" i="129"/>
  <c r="P674" i="129"/>
  <c r="S673" i="129"/>
  <c r="R673" i="129"/>
  <c r="Q673" i="129"/>
  <c r="P673" i="129"/>
  <c r="S672" i="129"/>
  <c r="R672" i="129"/>
  <c r="Q672" i="129"/>
  <c r="P672" i="129"/>
  <c r="S671" i="129"/>
  <c r="R671" i="129"/>
  <c r="Q671" i="129"/>
  <c r="P671" i="129"/>
  <c r="S670" i="129"/>
  <c r="R670" i="129"/>
  <c r="Q670" i="129"/>
  <c r="P670" i="129"/>
  <c r="S669" i="129"/>
  <c r="R669" i="129"/>
  <c r="Q669" i="129"/>
  <c r="P669" i="129"/>
  <c r="S668" i="129"/>
  <c r="R668" i="129"/>
  <c r="Q668" i="129"/>
  <c r="P668" i="129"/>
  <c r="S667" i="129"/>
  <c r="R667" i="129"/>
  <c r="Q667" i="129"/>
  <c r="P667" i="129"/>
  <c r="S666" i="129"/>
  <c r="R666" i="129"/>
  <c r="Q666" i="129"/>
  <c r="P666" i="129"/>
  <c r="S665" i="129"/>
  <c r="R665" i="129"/>
  <c r="Q665" i="129"/>
  <c r="P665" i="129"/>
  <c r="S664" i="129"/>
  <c r="R664" i="129"/>
  <c r="Q664" i="129"/>
  <c r="P664" i="129"/>
  <c r="S663" i="129"/>
  <c r="R663" i="129"/>
  <c r="Q663" i="129"/>
  <c r="P663" i="129"/>
  <c r="S662" i="129"/>
  <c r="R662" i="129"/>
  <c r="Q662" i="129"/>
  <c r="P662" i="129"/>
  <c r="S661" i="129"/>
  <c r="R661" i="129"/>
  <c r="Q661" i="129"/>
  <c r="P661" i="129"/>
  <c r="S660" i="129"/>
  <c r="R660" i="129"/>
  <c r="Q660" i="129"/>
  <c r="P660" i="129"/>
  <c r="S659" i="129"/>
  <c r="R659" i="129"/>
  <c r="Q659" i="129"/>
  <c r="P659" i="129"/>
  <c r="S658" i="129"/>
  <c r="R658" i="129"/>
  <c r="Q658" i="129"/>
  <c r="P658" i="129"/>
  <c r="S657" i="129"/>
  <c r="R657" i="129"/>
  <c r="Q657" i="129"/>
  <c r="P657" i="129"/>
  <c r="S656" i="129"/>
  <c r="R656" i="129"/>
  <c r="Q656" i="129"/>
  <c r="P656" i="129"/>
  <c r="S655" i="129"/>
  <c r="R655" i="129"/>
  <c r="Q655" i="129"/>
  <c r="P655" i="129"/>
  <c r="S654" i="129"/>
  <c r="R654" i="129"/>
  <c r="Q654" i="129"/>
  <c r="P654" i="129"/>
  <c r="S653" i="129"/>
  <c r="R653" i="129"/>
  <c r="Q653" i="129"/>
  <c r="P653" i="129"/>
  <c r="S652" i="129"/>
  <c r="R652" i="129"/>
  <c r="Q652" i="129"/>
  <c r="P652" i="129"/>
  <c r="S651" i="129"/>
  <c r="R651" i="129"/>
  <c r="Q651" i="129"/>
  <c r="P651" i="129"/>
  <c r="S650" i="129"/>
  <c r="R650" i="129"/>
  <c r="Q650" i="129"/>
  <c r="P650" i="129"/>
  <c r="S649" i="129"/>
  <c r="R649" i="129"/>
  <c r="Q649" i="129"/>
  <c r="P649" i="129"/>
  <c r="S648" i="129"/>
  <c r="R648" i="129"/>
  <c r="Q648" i="129"/>
  <c r="P648" i="129"/>
  <c r="S647" i="129"/>
  <c r="R647" i="129"/>
  <c r="Q647" i="129"/>
  <c r="P647" i="129"/>
  <c r="S646" i="129"/>
  <c r="R646" i="129"/>
  <c r="Q646" i="129"/>
  <c r="P646" i="129"/>
  <c r="S645" i="129"/>
  <c r="R645" i="129"/>
  <c r="Q645" i="129"/>
  <c r="P645" i="129"/>
  <c r="S644" i="129"/>
  <c r="R644" i="129"/>
  <c r="Q644" i="129"/>
  <c r="P644" i="129"/>
  <c r="S643" i="129"/>
  <c r="R643" i="129"/>
  <c r="Q643" i="129"/>
  <c r="P643" i="129"/>
  <c r="S642" i="129"/>
  <c r="R642" i="129"/>
  <c r="Q642" i="129"/>
  <c r="P642" i="129"/>
  <c r="S641" i="129"/>
  <c r="R641" i="129"/>
  <c r="Q641" i="129"/>
  <c r="P641" i="129"/>
  <c r="S640" i="129"/>
  <c r="R640" i="129"/>
  <c r="Q640" i="129"/>
  <c r="P640" i="129"/>
  <c r="S639" i="129"/>
  <c r="R639" i="129"/>
  <c r="Q639" i="129"/>
  <c r="P639" i="129"/>
  <c r="S638" i="129"/>
  <c r="R638" i="129"/>
  <c r="Q638" i="129"/>
  <c r="P638" i="129"/>
  <c r="S637" i="129"/>
  <c r="R637" i="129"/>
  <c r="Q637" i="129"/>
  <c r="P637" i="129"/>
  <c r="S636" i="129"/>
  <c r="R636" i="129"/>
  <c r="Q636" i="129"/>
  <c r="P636" i="129"/>
  <c r="S635" i="129"/>
  <c r="R635" i="129"/>
  <c r="Q635" i="129"/>
  <c r="P635" i="129"/>
  <c r="S634" i="129"/>
  <c r="R634" i="129"/>
  <c r="Q634" i="129"/>
  <c r="P634" i="129"/>
  <c r="S633" i="129"/>
  <c r="R633" i="129"/>
  <c r="Q633" i="129"/>
  <c r="P633" i="129"/>
  <c r="S632" i="129"/>
  <c r="R632" i="129"/>
  <c r="Q632" i="129"/>
  <c r="P632" i="129"/>
  <c r="S631" i="129"/>
  <c r="R631" i="129"/>
  <c r="Q631" i="129"/>
  <c r="P631" i="129"/>
  <c r="S630" i="129"/>
  <c r="R630" i="129"/>
  <c r="Q630" i="129"/>
  <c r="P630" i="129"/>
  <c r="S629" i="129"/>
  <c r="R629" i="129"/>
  <c r="Q629" i="129"/>
  <c r="P629" i="129"/>
  <c r="S628" i="129"/>
  <c r="R628" i="129"/>
  <c r="Q628" i="129"/>
  <c r="P628" i="129"/>
  <c r="S627" i="129"/>
  <c r="R627" i="129"/>
  <c r="Q627" i="129"/>
  <c r="P627" i="129"/>
  <c r="S626" i="129"/>
  <c r="R626" i="129"/>
  <c r="Q626" i="129"/>
  <c r="P626" i="129"/>
  <c r="S625" i="129"/>
  <c r="R625" i="129"/>
  <c r="Q625" i="129"/>
  <c r="P625" i="129"/>
  <c r="S624" i="129"/>
  <c r="R624" i="129"/>
  <c r="Q624" i="129"/>
  <c r="P624" i="129"/>
  <c r="S623" i="129"/>
  <c r="R623" i="129"/>
  <c r="Q623" i="129"/>
  <c r="P623" i="129"/>
  <c r="S622" i="129"/>
  <c r="R622" i="129"/>
  <c r="Q622" i="129"/>
  <c r="P622" i="129"/>
  <c r="S621" i="129"/>
  <c r="R621" i="129"/>
  <c r="Q621" i="129"/>
  <c r="P621" i="129"/>
  <c r="S620" i="129"/>
  <c r="R620" i="129"/>
  <c r="Q620" i="129"/>
  <c r="P620" i="129"/>
  <c r="S619" i="129"/>
  <c r="R619" i="129"/>
  <c r="Q619" i="129"/>
  <c r="P619" i="129"/>
  <c r="S618" i="129"/>
  <c r="R618" i="129"/>
  <c r="Q618" i="129"/>
  <c r="P618" i="129"/>
  <c r="S617" i="129"/>
  <c r="R617" i="129"/>
  <c r="Q617" i="129"/>
  <c r="P617" i="129"/>
  <c r="S616" i="129"/>
  <c r="R616" i="129"/>
  <c r="Q616" i="129"/>
  <c r="P616" i="129"/>
  <c r="S615" i="129"/>
  <c r="R615" i="129"/>
  <c r="Q615" i="129"/>
  <c r="P615" i="129"/>
  <c r="S614" i="129"/>
  <c r="R614" i="129"/>
  <c r="Q614" i="129"/>
  <c r="P614" i="129"/>
  <c r="S613" i="129"/>
  <c r="R613" i="129"/>
  <c r="Q613" i="129"/>
  <c r="P613" i="129"/>
  <c r="S612" i="129"/>
  <c r="R612" i="129"/>
  <c r="Q612" i="129"/>
  <c r="P612" i="129"/>
  <c r="S611" i="129"/>
  <c r="R611" i="129"/>
  <c r="Q611" i="129"/>
  <c r="P611" i="129"/>
  <c r="S610" i="129"/>
  <c r="R610" i="129"/>
  <c r="Q610" i="129"/>
  <c r="P610" i="129"/>
  <c r="S609" i="129"/>
  <c r="R609" i="129"/>
  <c r="Q609" i="129"/>
  <c r="P609" i="129"/>
  <c r="S608" i="129"/>
  <c r="R608" i="129"/>
  <c r="Q608" i="129"/>
  <c r="P608" i="129"/>
  <c r="S607" i="129"/>
  <c r="R607" i="129"/>
  <c r="Q607" i="129"/>
  <c r="P607" i="129"/>
  <c r="S606" i="129"/>
  <c r="R606" i="129"/>
  <c r="Q606" i="129"/>
  <c r="P606" i="129"/>
  <c r="S605" i="129"/>
  <c r="R605" i="129"/>
  <c r="Q605" i="129"/>
  <c r="P605" i="129"/>
  <c r="S604" i="129"/>
  <c r="R604" i="129"/>
  <c r="Q604" i="129"/>
  <c r="P604" i="129"/>
  <c r="S603" i="129"/>
  <c r="R603" i="129"/>
  <c r="Q603" i="129"/>
  <c r="P603" i="129"/>
  <c r="S602" i="129"/>
  <c r="R602" i="129"/>
  <c r="Q602" i="129"/>
  <c r="P602" i="129"/>
  <c r="S601" i="129"/>
  <c r="R601" i="129"/>
  <c r="Q601" i="129"/>
  <c r="P601" i="129"/>
  <c r="S600" i="129"/>
  <c r="R600" i="129"/>
  <c r="Q600" i="129"/>
  <c r="P600" i="129"/>
  <c r="S599" i="129"/>
  <c r="R599" i="129"/>
  <c r="Q599" i="129"/>
  <c r="P599" i="129"/>
  <c r="S598" i="129"/>
  <c r="R598" i="129"/>
  <c r="Q598" i="129"/>
  <c r="P598" i="129"/>
  <c r="S597" i="129"/>
  <c r="R597" i="129"/>
  <c r="Q597" i="129"/>
  <c r="P597" i="129"/>
  <c r="S596" i="129"/>
  <c r="R596" i="129"/>
  <c r="Q596" i="129"/>
  <c r="P596" i="129"/>
  <c r="S595" i="129"/>
  <c r="R595" i="129"/>
  <c r="Q595" i="129"/>
  <c r="P595" i="129"/>
  <c r="S594" i="129"/>
  <c r="R594" i="129"/>
  <c r="Q594" i="129"/>
  <c r="P594" i="129"/>
  <c r="S593" i="129"/>
  <c r="R593" i="129"/>
  <c r="Q593" i="129"/>
  <c r="P593" i="129"/>
  <c r="S592" i="129"/>
  <c r="R592" i="129"/>
  <c r="Q592" i="129"/>
  <c r="P592" i="129"/>
  <c r="S591" i="129"/>
  <c r="R591" i="129"/>
  <c r="Q591" i="129"/>
  <c r="P591" i="129"/>
  <c r="S590" i="129"/>
  <c r="R590" i="129"/>
  <c r="Q590" i="129"/>
  <c r="P590" i="129"/>
  <c r="S589" i="129"/>
  <c r="R589" i="129"/>
  <c r="Q589" i="129"/>
  <c r="P589" i="129"/>
  <c r="S588" i="129"/>
  <c r="R588" i="129"/>
  <c r="Q588" i="129"/>
  <c r="P588" i="129"/>
  <c r="S587" i="129"/>
  <c r="R587" i="129"/>
  <c r="Q587" i="129"/>
  <c r="P587" i="129"/>
  <c r="S586" i="129"/>
  <c r="R586" i="129"/>
  <c r="Q586" i="129"/>
  <c r="P586" i="129"/>
  <c r="S585" i="129"/>
  <c r="R585" i="129"/>
  <c r="Q585" i="129"/>
  <c r="P585" i="129"/>
  <c r="S584" i="129"/>
  <c r="R584" i="129"/>
  <c r="Q584" i="129"/>
  <c r="P584" i="129"/>
  <c r="S583" i="129"/>
  <c r="R583" i="129"/>
  <c r="Q583" i="129"/>
  <c r="P583" i="129"/>
  <c r="S582" i="129"/>
  <c r="R582" i="129"/>
  <c r="Q582" i="129"/>
  <c r="P582" i="129"/>
  <c r="S581" i="129"/>
  <c r="R581" i="129"/>
  <c r="Q581" i="129"/>
  <c r="P581" i="129"/>
  <c r="S580" i="129"/>
  <c r="R580" i="129"/>
  <c r="Q580" i="129"/>
  <c r="P580" i="129"/>
  <c r="S579" i="129"/>
  <c r="R579" i="129"/>
  <c r="Q579" i="129"/>
  <c r="P579" i="129"/>
  <c r="S578" i="129"/>
  <c r="R578" i="129"/>
  <c r="Q578" i="129"/>
  <c r="P578" i="129"/>
  <c r="S577" i="129"/>
  <c r="R577" i="129"/>
  <c r="Q577" i="129"/>
  <c r="P577" i="129"/>
  <c r="S576" i="129"/>
  <c r="R576" i="129"/>
  <c r="Q576" i="129"/>
  <c r="P576" i="129"/>
  <c r="S575" i="129"/>
  <c r="R575" i="129"/>
  <c r="Q575" i="129"/>
  <c r="P575" i="129"/>
  <c r="S574" i="129"/>
  <c r="R574" i="129"/>
  <c r="Q574" i="129"/>
  <c r="P574" i="129"/>
  <c r="S573" i="129"/>
  <c r="R573" i="129"/>
  <c r="Q573" i="129"/>
  <c r="P573" i="129"/>
  <c r="S572" i="129"/>
  <c r="R572" i="129"/>
  <c r="Q572" i="129"/>
  <c r="P572" i="129"/>
  <c r="S571" i="129"/>
  <c r="R571" i="129"/>
  <c r="Q571" i="129"/>
  <c r="P571" i="129"/>
  <c r="S570" i="129"/>
  <c r="R570" i="129"/>
  <c r="Q570" i="129"/>
  <c r="P570" i="129"/>
  <c r="S569" i="129"/>
  <c r="R569" i="129"/>
  <c r="Q569" i="129"/>
  <c r="P569" i="129"/>
  <c r="S568" i="129"/>
  <c r="R568" i="129"/>
  <c r="Q568" i="129"/>
  <c r="P568" i="129"/>
  <c r="S567" i="129"/>
  <c r="R567" i="129"/>
  <c r="Q567" i="129"/>
  <c r="P567" i="129"/>
  <c r="S566" i="129"/>
  <c r="R566" i="129"/>
  <c r="Q566" i="129"/>
  <c r="P566" i="129"/>
  <c r="S565" i="129"/>
  <c r="R565" i="129"/>
  <c r="Q565" i="129"/>
  <c r="P565" i="129"/>
  <c r="S564" i="129"/>
  <c r="R564" i="129"/>
  <c r="Q564" i="129"/>
  <c r="P564" i="129"/>
  <c r="S563" i="129"/>
  <c r="R563" i="129"/>
  <c r="Q563" i="129"/>
  <c r="P563" i="129"/>
  <c r="S562" i="129"/>
  <c r="R562" i="129"/>
  <c r="Q562" i="129"/>
  <c r="P562" i="129"/>
  <c r="S561" i="129"/>
  <c r="R561" i="129"/>
  <c r="Q561" i="129"/>
  <c r="P561" i="129"/>
  <c r="S560" i="129"/>
  <c r="R560" i="129"/>
  <c r="Q560" i="129"/>
  <c r="P560" i="129"/>
  <c r="S559" i="129"/>
  <c r="R559" i="129"/>
  <c r="Q559" i="129"/>
  <c r="P559" i="129"/>
  <c r="S558" i="129"/>
  <c r="R558" i="129"/>
  <c r="Q558" i="129"/>
  <c r="P558" i="129"/>
  <c r="S557" i="129"/>
  <c r="R557" i="129"/>
  <c r="Q557" i="129"/>
  <c r="P557" i="129"/>
  <c r="S556" i="129"/>
  <c r="R556" i="129"/>
  <c r="Q556" i="129"/>
  <c r="P556" i="129"/>
  <c r="S555" i="129"/>
  <c r="R555" i="129"/>
  <c r="Q555" i="129"/>
  <c r="P555" i="129"/>
  <c r="S554" i="129"/>
  <c r="R554" i="129"/>
  <c r="Q554" i="129"/>
  <c r="P554" i="129"/>
  <c r="S553" i="129"/>
  <c r="R553" i="129"/>
  <c r="Q553" i="129"/>
  <c r="P553" i="129"/>
  <c r="S552" i="129"/>
  <c r="R552" i="129"/>
  <c r="Q552" i="129"/>
  <c r="P552" i="129"/>
  <c r="S551" i="129"/>
  <c r="R551" i="129"/>
  <c r="Q551" i="129"/>
  <c r="P551" i="129"/>
  <c r="S550" i="129"/>
  <c r="R550" i="129"/>
  <c r="Q550" i="129"/>
  <c r="P550" i="129"/>
  <c r="S549" i="129"/>
  <c r="R549" i="129"/>
  <c r="Q549" i="129"/>
  <c r="P549" i="129"/>
  <c r="S548" i="129"/>
  <c r="R548" i="129"/>
  <c r="Q548" i="129"/>
  <c r="P548" i="129"/>
  <c r="S547" i="129"/>
  <c r="R547" i="129"/>
  <c r="Q547" i="129"/>
  <c r="P547" i="129"/>
  <c r="S546" i="129"/>
  <c r="R546" i="129"/>
  <c r="Q546" i="129"/>
  <c r="P546" i="129"/>
  <c r="S545" i="129"/>
  <c r="R545" i="129"/>
  <c r="Q545" i="129"/>
  <c r="P545" i="129"/>
  <c r="S544" i="129"/>
  <c r="R544" i="129"/>
  <c r="Q544" i="129"/>
  <c r="P544" i="129"/>
  <c r="S543" i="129"/>
  <c r="R543" i="129"/>
  <c r="Q543" i="129"/>
  <c r="P543" i="129"/>
  <c r="S542" i="129"/>
  <c r="R542" i="129"/>
  <c r="Q542" i="129"/>
  <c r="P542" i="129"/>
  <c r="S541" i="129"/>
  <c r="R541" i="129"/>
  <c r="Q541" i="129"/>
  <c r="P541" i="129"/>
  <c r="S540" i="129"/>
  <c r="R540" i="129"/>
  <c r="Q540" i="129"/>
  <c r="P540" i="129"/>
  <c r="S539" i="129"/>
  <c r="R539" i="129"/>
  <c r="Q539" i="129"/>
  <c r="P539" i="129"/>
  <c r="S538" i="129"/>
  <c r="R538" i="129"/>
  <c r="Q538" i="129"/>
  <c r="P538" i="129"/>
  <c r="S537" i="129"/>
  <c r="R537" i="129"/>
  <c r="Q537" i="129"/>
  <c r="P537" i="129"/>
  <c r="S536" i="129"/>
  <c r="R536" i="129"/>
  <c r="Q536" i="129"/>
  <c r="P536" i="129"/>
  <c r="S535" i="129"/>
  <c r="R535" i="129"/>
  <c r="Q535" i="129"/>
  <c r="P535" i="129"/>
  <c r="S534" i="129"/>
  <c r="R534" i="129"/>
  <c r="Q534" i="129"/>
  <c r="P534" i="129"/>
  <c r="S533" i="129"/>
  <c r="R533" i="129"/>
  <c r="Q533" i="129"/>
  <c r="P533" i="129"/>
  <c r="S532" i="129"/>
  <c r="R532" i="129"/>
  <c r="Q532" i="129"/>
  <c r="P532" i="129"/>
  <c r="S531" i="129"/>
  <c r="R531" i="129"/>
  <c r="Q531" i="129"/>
  <c r="P531" i="129"/>
  <c r="S530" i="129"/>
  <c r="R530" i="129"/>
  <c r="Q530" i="129"/>
  <c r="P530" i="129"/>
  <c r="S529" i="129"/>
  <c r="R529" i="129"/>
  <c r="Q529" i="129"/>
  <c r="P529" i="129"/>
  <c r="S528" i="129"/>
  <c r="R528" i="129"/>
  <c r="Q528" i="129"/>
  <c r="P528" i="129"/>
  <c r="S527" i="129"/>
  <c r="R527" i="129"/>
  <c r="Q527" i="129"/>
  <c r="P527" i="129"/>
  <c r="S526" i="129"/>
  <c r="R526" i="129"/>
  <c r="Q526" i="129"/>
  <c r="P526" i="129"/>
  <c r="S525" i="129"/>
  <c r="R525" i="129"/>
  <c r="Q525" i="129"/>
  <c r="P525" i="129"/>
  <c r="S524" i="129"/>
  <c r="R524" i="129"/>
  <c r="Q524" i="129"/>
  <c r="P524" i="129"/>
  <c r="S523" i="129"/>
  <c r="R523" i="129"/>
  <c r="Q523" i="129"/>
  <c r="P523" i="129"/>
  <c r="S522" i="129"/>
  <c r="R522" i="129"/>
  <c r="Q522" i="129"/>
  <c r="P522" i="129"/>
  <c r="S521" i="129"/>
  <c r="R521" i="129"/>
  <c r="Q521" i="129"/>
  <c r="P521" i="129"/>
  <c r="S520" i="129"/>
  <c r="R520" i="129"/>
  <c r="Q520" i="129"/>
  <c r="P520" i="129"/>
  <c r="S519" i="129"/>
  <c r="R519" i="129"/>
  <c r="Q519" i="129"/>
  <c r="P519" i="129"/>
  <c r="S518" i="129"/>
  <c r="Q518" i="129"/>
  <c r="P518" i="129"/>
  <c r="S517" i="129"/>
  <c r="R517" i="129"/>
  <c r="Q517" i="129"/>
  <c r="P517" i="129"/>
  <c r="S516" i="129"/>
  <c r="R516" i="129"/>
  <c r="Q516" i="129"/>
  <c r="P516" i="129"/>
  <c r="S515" i="129"/>
  <c r="R515" i="129"/>
  <c r="Q515" i="129"/>
  <c r="P515" i="129"/>
  <c r="S514" i="129"/>
  <c r="R514" i="129"/>
  <c r="Q514" i="129"/>
  <c r="P514" i="129"/>
  <c r="S513" i="129"/>
  <c r="R513" i="129"/>
  <c r="Q513" i="129"/>
  <c r="P513" i="129"/>
  <c r="S512" i="129"/>
  <c r="R512" i="129"/>
  <c r="Q512" i="129"/>
  <c r="P512" i="129"/>
  <c r="S511" i="129"/>
  <c r="R511" i="129"/>
  <c r="Q511" i="129"/>
  <c r="P511" i="129"/>
  <c r="S510" i="129"/>
  <c r="R510" i="129"/>
  <c r="Q510" i="129"/>
  <c r="P510" i="129"/>
  <c r="S509" i="129"/>
  <c r="R509" i="129"/>
  <c r="Q509" i="129"/>
  <c r="P509" i="129"/>
  <c r="S508" i="129"/>
  <c r="R508" i="129"/>
  <c r="Q508" i="129"/>
  <c r="P508" i="129"/>
  <c r="S507" i="129"/>
  <c r="R507" i="129"/>
  <c r="Q507" i="129"/>
  <c r="P507" i="129"/>
  <c r="S506" i="129"/>
  <c r="R506" i="129"/>
  <c r="Q506" i="129"/>
  <c r="P506" i="129"/>
  <c r="S505" i="129"/>
  <c r="R505" i="129"/>
  <c r="Q505" i="129"/>
  <c r="P505" i="129"/>
  <c r="S504" i="129"/>
  <c r="R504" i="129"/>
  <c r="Q504" i="129"/>
  <c r="P504" i="129"/>
  <c r="S503" i="129"/>
  <c r="R503" i="129"/>
  <c r="Q503" i="129"/>
  <c r="P503" i="129"/>
  <c r="S502" i="129"/>
  <c r="R502" i="129"/>
  <c r="Q502" i="129"/>
  <c r="P502" i="129"/>
  <c r="S501" i="129"/>
  <c r="R501" i="129"/>
  <c r="Q501" i="129"/>
  <c r="P501" i="129"/>
  <c r="S500" i="129"/>
  <c r="R500" i="129"/>
  <c r="Q500" i="129"/>
  <c r="P500" i="129"/>
  <c r="S499" i="129"/>
  <c r="R499" i="129"/>
  <c r="Q499" i="129"/>
  <c r="P499" i="129"/>
  <c r="S498" i="129"/>
  <c r="R498" i="129"/>
  <c r="Q498" i="129"/>
  <c r="P498" i="129"/>
  <c r="S497" i="129"/>
  <c r="R497" i="129"/>
  <c r="Q497" i="129"/>
  <c r="P497" i="129"/>
  <c r="S496" i="129"/>
  <c r="R496" i="129"/>
  <c r="Q496" i="129"/>
  <c r="P496" i="129"/>
  <c r="S495" i="129"/>
  <c r="R495" i="129"/>
  <c r="Q495" i="129"/>
  <c r="P495" i="129"/>
  <c r="S494" i="129"/>
  <c r="R494" i="129"/>
  <c r="Q494" i="129"/>
  <c r="P494" i="129"/>
  <c r="S493" i="129"/>
  <c r="R493" i="129"/>
  <c r="Q493" i="129"/>
  <c r="P493" i="129"/>
  <c r="S492" i="129"/>
  <c r="R492" i="129"/>
  <c r="Q492" i="129"/>
  <c r="P492" i="129"/>
  <c r="S491" i="129"/>
  <c r="R491" i="129"/>
  <c r="Q491" i="129"/>
  <c r="P491" i="129"/>
  <c r="S490" i="129"/>
  <c r="R490" i="129"/>
  <c r="Q490" i="129"/>
  <c r="P490" i="129"/>
  <c r="S489" i="129"/>
  <c r="R489" i="129"/>
  <c r="Q489" i="129"/>
  <c r="P489" i="129"/>
  <c r="S488" i="129"/>
  <c r="R488" i="129"/>
  <c r="Q488" i="129"/>
  <c r="P488" i="129"/>
  <c r="S487" i="129"/>
  <c r="R487" i="129"/>
  <c r="Q487" i="129"/>
  <c r="P487" i="129"/>
  <c r="S486" i="129"/>
  <c r="R486" i="129"/>
  <c r="Q486" i="129"/>
  <c r="P486" i="129"/>
  <c r="S485" i="129"/>
  <c r="R485" i="129"/>
  <c r="Q485" i="129"/>
  <c r="P485" i="129"/>
  <c r="S484" i="129"/>
  <c r="R484" i="129"/>
  <c r="Q484" i="129"/>
  <c r="P484" i="129"/>
  <c r="S483" i="129"/>
  <c r="R483" i="129"/>
  <c r="Q483" i="129"/>
  <c r="P483" i="129"/>
  <c r="S482" i="129"/>
  <c r="R482" i="129"/>
  <c r="Q482" i="129"/>
  <c r="P482" i="129"/>
  <c r="S481" i="129"/>
  <c r="R481" i="129"/>
  <c r="Q481" i="129"/>
  <c r="P481" i="129"/>
  <c r="S480" i="129"/>
  <c r="Q480" i="129"/>
  <c r="P480" i="129"/>
  <c r="S479" i="129"/>
  <c r="R479" i="129"/>
  <c r="Q479" i="129"/>
  <c r="P479" i="129"/>
  <c r="S478" i="129"/>
  <c r="R478" i="129"/>
  <c r="Q478" i="129"/>
  <c r="P478" i="129"/>
  <c r="S477" i="129"/>
  <c r="R477" i="129"/>
  <c r="Q477" i="129"/>
  <c r="P477" i="129"/>
  <c r="S476" i="129"/>
  <c r="R476" i="129"/>
  <c r="Q476" i="129"/>
  <c r="P476" i="129"/>
  <c r="S475" i="129"/>
  <c r="R475" i="129"/>
  <c r="Q475" i="129"/>
  <c r="P475" i="129"/>
  <c r="S474" i="129"/>
  <c r="R474" i="129"/>
  <c r="Q474" i="129"/>
  <c r="P474" i="129"/>
  <c r="S473" i="129"/>
  <c r="R473" i="129"/>
  <c r="Q473" i="129"/>
  <c r="P473" i="129"/>
  <c r="S472" i="129"/>
  <c r="R472" i="129"/>
  <c r="Q472" i="129"/>
  <c r="P472" i="129"/>
  <c r="S471" i="129"/>
  <c r="R471" i="129"/>
  <c r="Q471" i="129"/>
  <c r="P471" i="129"/>
  <c r="S470" i="129"/>
  <c r="R470" i="129"/>
  <c r="Q470" i="129"/>
  <c r="P470" i="129"/>
  <c r="S469" i="129"/>
  <c r="R469" i="129"/>
  <c r="Q469" i="129"/>
  <c r="P469" i="129"/>
  <c r="S468" i="129"/>
  <c r="R468" i="129"/>
  <c r="Q468" i="129"/>
  <c r="P468" i="129"/>
  <c r="S467" i="129"/>
  <c r="R467" i="129"/>
  <c r="Q467" i="129"/>
  <c r="P467" i="129"/>
  <c r="S466" i="129"/>
  <c r="R466" i="129"/>
  <c r="Q466" i="129"/>
  <c r="P466" i="129"/>
  <c r="S465" i="129"/>
  <c r="R465" i="129"/>
  <c r="Q465" i="129"/>
  <c r="P465" i="129"/>
  <c r="S464" i="129"/>
  <c r="R464" i="129"/>
  <c r="Q464" i="129"/>
  <c r="P464" i="129"/>
  <c r="S463" i="129"/>
  <c r="R463" i="129"/>
  <c r="Q463" i="129"/>
  <c r="P463" i="129"/>
  <c r="S462" i="129"/>
  <c r="R462" i="129"/>
  <c r="Q462" i="129"/>
  <c r="P462" i="129"/>
  <c r="S461" i="129"/>
  <c r="R461" i="129"/>
  <c r="Q461" i="129"/>
  <c r="P461" i="129"/>
  <c r="S460" i="129"/>
  <c r="R460" i="129"/>
  <c r="Q460" i="129"/>
  <c r="P460" i="129"/>
  <c r="S459" i="129"/>
  <c r="R459" i="129"/>
  <c r="Q459" i="129"/>
  <c r="P459" i="129"/>
  <c r="S458" i="129"/>
  <c r="R458" i="129"/>
  <c r="Q458" i="129"/>
  <c r="P458" i="129"/>
  <c r="S457" i="129"/>
  <c r="R457" i="129"/>
  <c r="Q457" i="129"/>
  <c r="P457" i="129"/>
  <c r="S456" i="129"/>
  <c r="R456" i="129"/>
  <c r="Q456" i="129"/>
  <c r="P456" i="129"/>
  <c r="S455" i="129"/>
  <c r="R455" i="129"/>
  <c r="Q455" i="129"/>
  <c r="P455" i="129"/>
  <c r="S454" i="129"/>
  <c r="R454" i="129"/>
  <c r="Q454" i="129"/>
  <c r="P454" i="129"/>
  <c r="S453" i="129"/>
  <c r="R453" i="129"/>
  <c r="Q453" i="129"/>
  <c r="P453" i="129"/>
  <c r="S452" i="129"/>
  <c r="R452" i="129"/>
  <c r="Q452" i="129"/>
  <c r="P452" i="129"/>
  <c r="S451" i="129"/>
  <c r="R451" i="129"/>
  <c r="Q451" i="129"/>
  <c r="P451" i="129"/>
  <c r="S450" i="129"/>
  <c r="R450" i="129"/>
  <c r="Q450" i="129"/>
  <c r="P450" i="129"/>
  <c r="S449" i="129"/>
  <c r="R449" i="129"/>
  <c r="Q449" i="129"/>
  <c r="P449" i="129"/>
  <c r="S448" i="129"/>
  <c r="R448" i="129"/>
  <c r="Q448" i="129"/>
  <c r="P448" i="129"/>
  <c r="S447" i="129"/>
  <c r="R447" i="129"/>
  <c r="Q447" i="129"/>
  <c r="P447" i="129"/>
  <c r="S446" i="129"/>
  <c r="R446" i="129"/>
  <c r="Q446" i="129"/>
  <c r="P446" i="129"/>
  <c r="S445" i="129"/>
  <c r="R445" i="129"/>
  <c r="Q445" i="129"/>
  <c r="P445" i="129"/>
  <c r="S444" i="129"/>
  <c r="R444" i="129"/>
  <c r="Q444" i="129"/>
  <c r="P444" i="129"/>
  <c r="S443" i="129"/>
  <c r="R443" i="129"/>
  <c r="Q443" i="129"/>
  <c r="P443" i="129"/>
  <c r="S442" i="129"/>
  <c r="R442" i="129"/>
  <c r="Q442" i="129"/>
  <c r="P442" i="129"/>
  <c r="S441" i="129"/>
  <c r="R441" i="129"/>
  <c r="Q441" i="129"/>
  <c r="P441" i="129"/>
  <c r="S440" i="129"/>
  <c r="R440" i="129"/>
  <c r="Q440" i="129"/>
  <c r="P440" i="129"/>
  <c r="S439" i="129"/>
  <c r="R439" i="129"/>
  <c r="Q439" i="129"/>
  <c r="P439" i="129"/>
  <c r="S438" i="129"/>
  <c r="R438" i="129"/>
  <c r="Q438" i="129"/>
  <c r="P438" i="129"/>
  <c r="S437" i="129"/>
  <c r="Q437" i="129"/>
  <c r="P437" i="129"/>
  <c r="S436" i="129"/>
  <c r="R436" i="129"/>
  <c r="Q436" i="129"/>
  <c r="P436" i="129"/>
  <c r="S435" i="129"/>
  <c r="R435" i="129"/>
  <c r="Q435" i="129"/>
  <c r="P435" i="129"/>
  <c r="S434" i="129"/>
  <c r="R434" i="129"/>
  <c r="Q434" i="129"/>
  <c r="P434" i="129"/>
  <c r="S433" i="129"/>
  <c r="R433" i="129"/>
  <c r="Q433" i="129"/>
  <c r="P433" i="129"/>
  <c r="S432" i="129"/>
  <c r="R432" i="129"/>
  <c r="Q432" i="129"/>
  <c r="P432" i="129"/>
  <c r="S431" i="129"/>
  <c r="R431" i="129"/>
  <c r="Q431" i="129"/>
  <c r="P431" i="129"/>
  <c r="S430" i="129"/>
  <c r="R430" i="129"/>
  <c r="Q430" i="129"/>
  <c r="P430" i="129"/>
  <c r="S429" i="129"/>
  <c r="R429" i="129"/>
  <c r="Q429" i="129"/>
  <c r="P429" i="129"/>
  <c r="S428" i="129"/>
  <c r="R428" i="129"/>
  <c r="Q428" i="129"/>
  <c r="P428" i="129"/>
  <c r="S427" i="129"/>
  <c r="R427" i="129"/>
  <c r="Q427" i="129"/>
  <c r="P427" i="129"/>
  <c r="S426" i="129"/>
  <c r="R426" i="129"/>
  <c r="Q426" i="129"/>
  <c r="P426" i="129"/>
  <c r="S425" i="129"/>
  <c r="R425" i="129"/>
  <c r="Q425" i="129"/>
  <c r="P425" i="129"/>
  <c r="S424" i="129"/>
  <c r="R424" i="129"/>
  <c r="Q424" i="129"/>
  <c r="P424" i="129"/>
  <c r="S423" i="129"/>
  <c r="R423" i="129"/>
  <c r="Q423" i="129"/>
  <c r="P423" i="129"/>
  <c r="S422" i="129"/>
  <c r="R422" i="129"/>
  <c r="Q422" i="129"/>
  <c r="P422" i="129"/>
  <c r="S421" i="129"/>
  <c r="R421" i="129"/>
  <c r="Q421" i="129"/>
  <c r="P421" i="129"/>
  <c r="S420" i="129"/>
  <c r="R420" i="129"/>
  <c r="Q420" i="129"/>
  <c r="P420" i="129"/>
  <c r="S419" i="129"/>
  <c r="R419" i="129"/>
  <c r="Q419" i="129"/>
  <c r="P419" i="129"/>
  <c r="S418" i="129"/>
  <c r="R418" i="129"/>
  <c r="Q418" i="129"/>
  <c r="P418" i="129"/>
  <c r="S417" i="129"/>
  <c r="R417" i="129"/>
  <c r="Q417" i="129"/>
  <c r="P417" i="129"/>
  <c r="S416" i="129"/>
  <c r="R416" i="129"/>
  <c r="Q416" i="129"/>
  <c r="P416" i="129"/>
  <c r="S415" i="129"/>
  <c r="R415" i="129"/>
  <c r="Q415" i="129"/>
  <c r="P415" i="129"/>
  <c r="S414" i="129"/>
  <c r="R414" i="129"/>
  <c r="Q414" i="129"/>
  <c r="P414" i="129"/>
  <c r="S413" i="129"/>
  <c r="R413" i="129"/>
  <c r="Q413" i="129"/>
  <c r="P413" i="129"/>
  <c r="S412" i="129"/>
  <c r="R412" i="129"/>
  <c r="Q412" i="129"/>
  <c r="P412" i="129"/>
  <c r="S411" i="129"/>
  <c r="R411" i="129"/>
  <c r="Q411" i="129"/>
  <c r="P411" i="129"/>
  <c r="S410" i="129"/>
  <c r="R410" i="129"/>
  <c r="Q410" i="129"/>
  <c r="P410" i="129"/>
  <c r="S409" i="129"/>
  <c r="R409" i="129"/>
  <c r="Q409" i="129"/>
  <c r="P409" i="129"/>
  <c r="S408" i="129"/>
  <c r="R408" i="129"/>
  <c r="Q408" i="129"/>
  <c r="P408" i="129"/>
  <c r="S407" i="129"/>
  <c r="R407" i="129"/>
  <c r="Q407" i="129"/>
  <c r="P407" i="129"/>
  <c r="S406" i="129"/>
  <c r="R406" i="129"/>
  <c r="Q406" i="129"/>
  <c r="P406" i="129"/>
  <c r="S405" i="129"/>
  <c r="R405" i="129"/>
  <c r="Q405" i="129"/>
  <c r="P405" i="129"/>
  <c r="S404" i="129"/>
  <c r="R404" i="129"/>
  <c r="Q404" i="129"/>
  <c r="P404" i="129"/>
  <c r="S403" i="129"/>
  <c r="R403" i="129"/>
  <c r="Q403" i="129"/>
  <c r="P403" i="129"/>
  <c r="S402" i="129"/>
  <c r="R402" i="129"/>
  <c r="Q402" i="129"/>
  <c r="P402" i="129"/>
  <c r="S401" i="129"/>
  <c r="R401" i="129"/>
  <c r="Q401" i="129"/>
  <c r="P401" i="129"/>
  <c r="S400" i="129"/>
  <c r="R400" i="129"/>
  <c r="Q400" i="129"/>
  <c r="P400" i="129"/>
  <c r="S399" i="129"/>
  <c r="R399" i="129"/>
  <c r="Q399" i="129"/>
  <c r="P399" i="129"/>
  <c r="S398" i="129"/>
  <c r="R398" i="129"/>
  <c r="Q398" i="129"/>
  <c r="P398" i="129"/>
  <c r="S397" i="129"/>
  <c r="R397" i="129"/>
  <c r="Q397" i="129"/>
  <c r="P397" i="129"/>
  <c r="S396" i="129"/>
  <c r="R396" i="129"/>
  <c r="Q396" i="129"/>
  <c r="P396" i="129"/>
  <c r="S395" i="129"/>
  <c r="R395" i="129"/>
  <c r="Q395" i="129"/>
  <c r="P395" i="129"/>
  <c r="S394" i="129"/>
  <c r="R394" i="129"/>
  <c r="Q394" i="129"/>
  <c r="P394" i="129"/>
  <c r="S393" i="129"/>
  <c r="R393" i="129"/>
  <c r="Q393" i="129"/>
  <c r="P393" i="129"/>
  <c r="S392" i="129"/>
  <c r="R392" i="129"/>
  <c r="Q392" i="129"/>
  <c r="P392" i="129"/>
  <c r="S391" i="129"/>
  <c r="R391" i="129"/>
  <c r="Q391" i="129"/>
  <c r="P391" i="129"/>
  <c r="S390" i="129"/>
  <c r="R390" i="129"/>
  <c r="Q390" i="129"/>
  <c r="P390" i="129"/>
  <c r="S389" i="129"/>
  <c r="R389" i="129"/>
  <c r="Q389" i="129"/>
  <c r="P389" i="129"/>
  <c r="S388" i="129"/>
  <c r="R388" i="129"/>
  <c r="Q388" i="129"/>
  <c r="P388" i="129"/>
  <c r="S387" i="129"/>
  <c r="R387" i="129"/>
  <c r="Q387" i="129"/>
  <c r="P387" i="129"/>
  <c r="S386" i="129"/>
  <c r="R386" i="129"/>
  <c r="Q386" i="129"/>
  <c r="P386" i="129"/>
  <c r="S385" i="129"/>
  <c r="R385" i="129"/>
  <c r="Q385" i="129"/>
  <c r="P385" i="129"/>
  <c r="S384" i="129"/>
  <c r="R384" i="129"/>
  <c r="Q384" i="129"/>
  <c r="P384" i="129"/>
  <c r="S383" i="129"/>
  <c r="R383" i="129"/>
  <c r="Q383" i="129"/>
  <c r="P383" i="129"/>
  <c r="S382" i="129"/>
  <c r="R382" i="129"/>
  <c r="Q382" i="129"/>
  <c r="P382" i="129"/>
  <c r="S381" i="129"/>
  <c r="R381" i="129"/>
  <c r="Q381" i="129"/>
  <c r="P381" i="129"/>
  <c r="S380" i="129"/>
  <c r="R380" i="129"/>
  <c r="Q380" i="129"/>
  <c r="P380" i="129"/>
  <c r="S379" i="129"/>
  <c r="R379" i="129"/>
  <c r="Q379" i="129"/>
  <c r="P379" i="129"/>
  <c r="S378" i="129"/>
  <c r="R378" i="129"/>
  <c r="Q378" i="129"/>
  <c r="P378" i="129"/>
  <c r="S377" i="129"/>
  <c r="R377" i="129"/>
  <c r="Q377" i="129"/>
  <c r="P377" i="129"/>
  <c r="S376" i="129"/>
  <c r="R376" i="129"/>
  <c r="Q376" i="129"/>
  <c r="P376" i="129"/>
  <c r="S375" i="129"/>
  <c r="R375" i="129"/>
  <c r="Q375" i="129"/>
  <c r="P375" i="129"/>
  <c r="S374" i="129"/>
  <c r="R374" i="129"/>
  <c r="Q374" i="129"/>
  <c r="P374" i="129"/>
  <c r="S373" i="129"/>
  <c r="R373" i="129"/>
  <c r="Q373" i="129"/>
  <c r="P373" i="129"/>
  <c r="S372" i="129"/>
  <c r="R372" i="129"/>
  <c r="Q372" i="129"/>
  <c r="P372" i="129"/>
  <c r="S371" i="129"/>
  <c r="R371" i="129"/>
  <c r="Q371" i="129"/>
  <c r="P371" i="129"/>
  <c r="S370" i="129"/>
  <c r="R370" i="129"/>
  <c r="Q370" i="129"/>
  <c r="P370" i="129"/>
  <c r="S369" i="129"/>
  <c r="R369" i="129"/>
  <c r="Q369" i="129"/>
  <c r="P369" i="129"/>
  <c r="S368" i="129"/>
  <c r="R368" i="129"/>
  <c r="Q368" i="129"/>
  <c r="P368" i="129"/>
  <c r="S367" i="129"/>
  <c r="R367" i="129"/>
  <c r="Q367" i="129"/>
  <c r="P367" i="129"/>
  <c r="S366" i="129"/>
  <c r="R366" i="129"/>
  <c r="Q366" i="129"/>
  <c r="P366" i="129"/>
  <c r="S365" i="129"/>
  <c r="R365" i="129"/>
  <c r="Q365" i="129"/>
  <c r="P365" i="129"/>
  <c r="S364" i="129"/>
  <c r="R364" i="129"/>
  <c r="Q364" i="129"/>
  <c r="P364" i="129"/>
  <c r="S363" i="129"/>
  <c r="R363" i="129"/>
  <c r="Q363" i="129"/>
  <c r="P363" i="129"/>
  <c r="S362" i="129"/>
  <c r="R362" i="129"/>
  <c r="Q362" i="129"/>
  <c r="P362" i="129"/>
  <c r="S361" i="129"/>
  <c r="R361" i="129"/>
  <c r="Q361" i="129"/>
  <c r="P361" i="129"/>
  <c r="S360" i="129"/>
  <c r="R360" i="129"/>
  <c r="Q360" i="129"/>
  <c r="P360" i="129"/>
  <c r="S359" i="129"/>
  <c r="R359" i="129"/>
  <c r="Q359" i="129"/>
  <c r="P359" i="129"/>
  <c r="S358" i="129"/>
  <c r="R358" i="129"/>
  <c r="Q358" i="129"/>
  <c r="P358" i="129"/>
  <c r="S357" i="129"/>
  <c r="R357" i="129"/>
  <c r="Q357" i="129"/>
  <c r="P357" i="129"/>
  <c r="S356" i="129"/>
  <c r="R356" i="129"/>
  <c r="Q356" i="129"/>
  <c r="P356" i="129"/>
  <c r="S355" i="129"/>
  <c r="R355" i="129"/>
  <c r="Q355" i="129"/>
  <c r="P355" i="129"/>
  <c r="S354" i="129"/>
  <c r="R354" i="129"/>
  <c r="Q354" i="129"/>
  <c r="P354" i="129"/>
  <c r="S353" i="129"/>
  <c r="R353" i="129"/>
  <c r="Q353" i="129"/>
  <c r="P353" i="129"/>
  <c r="S352" i="129"/>
  <c r="R352" i="129"/>
  <c r="Q352" i="129"/>
  <c r="P352" i="129"/>
  <c r="S351" i="129"/>
  <c r="R351" i="129"/>
  <c r="Q351" i="129"/>
  <c r="P351" i="129"/>
  <c r="S350" i="129"/>
  <c r="R350" i="129"/>
  <c r="Q350" i="129"/>
  <c r="P350" i="129"/>
  <c r="S349" i="129"/>
  <c r="R349" i="129"/>
  <c r="Q349" i="129"/>
  <c r="P349" i="129"/>
  <c r="S348" i="129"/>
  <c r="R348" i="129"/>
  <c r="Q348" i="129"/>
  <c r="P348" i="129"/>
  <c r="S347" i="129"/>
  <c r="R347" i="129"/>
  <c r="Q347" i="129"/>
  <c r="P347" i="129"/>
  <c r="S346" i="129"/>
  <c r="R346" i="129"/>
  <c r="Q346" i="129"/>
  <c r="P346" i="129"/>
  <c r="S345" i="129"/>
  <c r="R345" i="129"/>
  <c r="Q345" i="129"/>
  <c r="P345" i="129"/>
  <c r="S344" i="129"/>
  <c r="R344" i="129"/>
  <c r="Q344" i="129"/>
  <c r="P344" i="129"/>
  <c r="S343" i="129"/>
  <c r="R343" i="129"/>
  <c r="Q343" i="129"/>
  <c r="P343" i="129"/>
  <c r="S342" i="129"/>
  <c r="R342" i="129"/>
  <c r="Q342" i="129"/>
  <c r="P342" i="129"/>
  <c r="S341" i="129"/>
  <c r="R341" i="129"/>
  <c r="Q341" i="129"/>
  <c r="P341" i="129"/>
  <c r="S340" i="129"/>
  <c r="R340" i="129"/>
  <c r="Q340" i="129"/>
  <c r="P340" i="129"/>
  <c r="S339" i="129"/>
  <c r="R339" i="129"/>
  <c r="Q339" i="129"/>
  <c r="P339" i="129"/>
  <c r="S338" i="129"/>
  <c r="R338" i="129"/>
  <c r="Q338" i="129"/>
  <c r="P338" i="129"/>
  <c r="S337" i="129"/>
  <c r="R337" i="129"/>
  <c r="Q337" i="129"/>
  <c r="P337" i="129"/>
  <c r="S336" i="129"/>
  <c r="R336" i="129"/>
  <c r="Q336" i="129"/>
  <c r="P336" i="129"/>
  <c r="S335" i="129"/>
  <c r="R335" i="129"/>
  <c r="Q335" i="129"/>
  <c r="P335" i="129"/>
  <c r="S334" i="129"/>
  <c r="R334" i="129"/>
  <c r="Q334" i="129"/>
  <c r="P334" i="129"/>
  <c r="S333" i="129"/>
  <c r="R333" i="129"/>
  <c r="Q333" i="129"/>
  <c r="P333" i="129"/>
  <c r="S332" i="129"/>
  <c r="R332" i="129"/>
  <c r="Q332" i="129"/>
  <c r="P332" i="129"/>
  <c r="S331" i="129"/>
  <c r="R331" i="129"/>
  <c r="Q331" i="129"/>
  <c r="P331" i="129"/>
  <c r="S330" i="129"/>
  <c r="R330" i="129"/>
  <c r="Q330" i="129"/>
  <c r="P330" i="129"/>
  <c r="S329" i="129"/>
  <c r="R329" i="129"/>
  <c r="Q329" i="129"/>
  <c r="P329" i="129"/>
  <c r="S328" i="129"/>
  <c r="R328" i="129"/>
  <c r="Q328" i="129"/>
  <c r="P328" i="129"/>
  <c r="S327" i="129"/>
  <c r="R327" i="129"/>
  <c r="Q327" i="129"/>
  <c r="P327" i="129"/>
  <c r="S326" i="129"/>
  <c r="R326" i="129"/>
  <c r="Q326" i="129"/>
  <c r="P326" i="129"/>
  <c r="S325" i="129"/>
  <c r="R325" i="129"/>
  <c r="Q325" i="129"/>
  <c r="P325" i="129"/>
  <c r="S324" i="129"/>
  <c r="R324" i="129"/>
  <c r="Q324" i="129"/>
  <c r="P324" i="129"/>
  <c r="S323" i="129"/>
  <c r="R323" i="129"/>
  <c r="Q323" i="129"/>
  <c r="P323" i="129"/>
  <c r="S322" i="129"/>
  <c r="R322" i="129"/>
  <c r="Q322" i="129"/>
  <c r="P322" i="129"/>
  <c r="S321" i="129"/>
  <c r="R321" i="129"/>
  <c r="Q321" i="129"/>
  <c r="P321" i="129"/>
  <c r="S320" i="129"/>
  <c r="R320" i="129"/>
  <c r="Q320" i="129"/>
  <c r="P320" i="129"/>
  <c r="S319" i="129"/>
  <c r="R319" i="129"/>
  <c r="Q319" i="129"/>
  <c r="P319" i="129"/>
  <c r="S318" i="129"/>
  <c r="R318" i="129"/>
  <c r="Q318" i="129"/>
  <c r="P318" i="129"/>
  <c r="S317" i="129"/>
  <c r="R317" i="129"/>
  <c r="Q317" i="129"/>
  <c r="P317" i="129"/>
  <c r="S316" i="129"/>
  <c r="R316" i="129"/>
  <c r="Q316" i="129"/>
  <c r="P316" i="129"/>
  <c r="S315" i="129"/>
  <c r="R315" i="129"/>
  <c r="Q315" i="129"/>
  <c r="P315" i="129"/>
  <c r="S314" i="129"/>
  <c r="R314" i="129"/>
  <c r="Q314" i="129"/>
  <c r="P314" i="129"/>
  <c r="S313" i="129"/>
  <c r="R313" i="129"/>
  <c r="Q313" i="129"/>
  <c r="P313" i="129"/>
  <c r="S312" i="129"/>
  <c r="R312" i="129"/>
  <c r="Q312" i="129"/>
  <c r="P312" i="129"/>
  <c r="S311" i="129"/>
  <c r="R311" i="129"/>
  <c r="Q311" i="129"/>
  <c r="P311" i="129"/>
  <c r="S310" i="129"/>
  <c r="R310" i="129"/>
  <c r="Q310" i="129"/>
  <c r="P310" i="129"/>
  <c r="S309" i="129"/>
  <c r="R309" i="129"/>
  <c r="Q309" i="129"/>
  <c r="P309" i="129"/>
  <c r="S308" i="129"/>
  <c r="R308" i="129"/>
  <c r="Q308" i="129"/>
  <c r="P308" i="129"/>
  <c r="S307" i="129"/>
  <c r="R307" i="129"/>
  <c r="Q307" i="129"/>
  <c r="P307" i="129"/>
  <c r="S306" i="129"/>
  <c r="R306" i="129"/>
  <c r="Q306" i="129"/>
  <c r="P306" i="129"/>
  <c r="S305" i="129"/>
  <c r="R305" i="129"/>
  <c r="Q305" i="129"/>
  <c r="P305" i="129"/>
  <c r="S304" i="129"/>
  <c r="R304" i="129"/>
  <c r="Q304" i="129"/>
  <c r="P304" i="129"/>
  <c r="S303" i="129"/>
  <c r="R303" i="129"/>
  <c r="Q303" i="129"/>
  <c r="P303" i="129"/>
  <c r="S302" i="129"/>
  <c r="R302" i="129"/>
  <c r="Q302" i="129"/>
  <c r="P302" i="129"/>
  <c r="S301" i="129"/>
  <c r="R301" i="129"/>
  <c r="Q301" i="129"/>
  <c r="P301" i="129"/>
  <c r="S300" i="129"/>
  <c r="R300" i="129"/>
  <c r="Q300" i="129"/>
  <c r="P300" i="129"/>
  <c r="S299" i="129"/>
  <c r="R299" i="129"/>
  <c r="Q299" i="129"/>
  <c r="P299" i="129"/>
  <c r="S298" i="129"/>
  <c r="R298" i="129"/>
  <c r="Q298" i="129"/>
  <c r="P298" i="129"/>
  <c r="S297" i="129"/>
  <c r="R297" i="129"/>
  <c r="Q297" i="129"/>
  <c r="P297" i="129"/>
  <c r="S296" i="129"/>
  <c r="R296" i="129"/>
  <c r="Q296" i="129"/>
  <c r="P296" i="129"/>
  <c r="S295" i="129"/>
  <c r="R295" i="129"/>
  <c r="Q295" i="129"/>
  <c r="P295" i="129"/>
  <c r="S294" i="129"/>
  <c r="R294" i="129"/>
  <c r="Q294" i="129"/>
  <c r="P294" i="129"/>
  <c r="S293" i="129"/>
  <c r="R293" i="129"/>
  <c r="Q293" i="129"/>
  <c r="P293" i="129"/>
  <c r="S292" i="129"/>
  <c r="R292" i="129"/>
  <c r="Q292" i="129"/>
  <c r="P292" i="129"/>
  <c r="S291" i="129"/>
  <c r="R291" i="129"/>
  <c r="Q291" i="129"/>
  <c r="P291" i="129"/>
  <c r="S290" i="129"/>
  <c r="R290" i="129"/>
  <c r="Q290" i="129"/>
  <c r="P290" i="129"/>
  <c r="S289" i="129"/>
  <c r="R289" i="129"/>
  <c r="Q289" i="129"/>
  <c r="P289" i="129"/>
  <c r="S288" i="129"/>
  <c r="R288" i="129"/>
  <c r="Q288" i="129"/>
  <c r="P288" i="129"/>
  <c r="S287" i="129"/>
  <c r="R287" i="129"/>
  <c r="Q287" i="129"/>
  <c r="P287" i="129"/>
  <c r="S286" i="129"/>
  <c r="R286" i="129"/>
  <c r="Q286" i="129"/>
  <c r="P286" i="129"/>
  <c r="S285" i="129"/>
  <c r="R285" i="129"/>
  <c r="Q285" i="129"/>
  <c r="P285" i="129"/>
  <c r="S284" i="129"/>
  <c r="R284" i="129"/>
  <c r="Q284" i="129"/>
  <c r="P284" i="129"/>
  <c r="S283" i="129"/>
  <c r="R283" i="129"/>
  <c r="Q283" i="129"/>
  <c r="P283" i="129"/>
  <c r="S282" i="129"/>
  <c r="R282" i="129"/>
  <c r="Q282" i="129"/>
  <c r="P282" i="129"/>
  <c r="S281" i="129"/>
  <c r="R281" i="129"/>
  <c r="Q281" i="129"/>
  <c r="P281" i="129"/>
  <c r="S280" i="129"/>
  <c r="R280" i="129"/>
  <c r="Q280" i="129"/>
  <c r="P280" i="129"/>
  <c r="S279" i="129"/>
  <c r="R279" i="129"/>
  <c r="Q279" i="129"/>
  <c r="P279" i="129"/>
  <c r="S278" i="129"/>
  <c r="R278" i="129"/>
  <c r="Q278" i="129"/>
  <c r="P278" i="129"/>
  <c r="S277" i="129"/>
  <c r="R277" i="129"/>
  <c r="Q277" i="129"/>
  <c r="P277" i="129"/>
  <c r="S276" i="129"/>
  <c r="R276" i="129"/>
  <c r="Q276" i="129"/>
  <c r="P276" i="129"/>
  <c r="S275" i="129"/>
  <c r="R275" i="129"/>
  <c r="Q275" i="129"/>
  <c r="P275" i="129"/>
  <c r="S274" i="129"/>
  <c r="R274" i="129"/>
  <c r="Q274" i="129"/>
  <c r="P274" i="129"/>
  <c r="S273" i="129"/>
  <c r="R273" i="129"/>
  <c r="Q273" i="129"/>
  <c r="P273" i="129"/>
  <c r="S272" i="129"/>
  <c r="R272" i="129"/>
  <c r="Q272" i="129"/>
  <c r="P272" i="129"/>
  <c r="S271" i="129"/>
  <c r="R271" i="129"/>
  <c r="Q271" i="129"/>
  <c r="P271" i="129"/>
  <c r="S270" i="129"/>
  <c r="R270" i="129"/>
  <c r="Q270" i="129"/>
  <c r="P270" i="129"/>
  <c r="S269" i="129"/>
  <c r="R269" i="129"/>
  <c r="Q269" i="129"/>
  <c r="P269" i="129"/>
  <c r="S268" i="129"/>
  <c r="R268" i="129"/>
  <c r="Q268" i="129"/>
  <c r="P268" i="129"/>
  <c r="S267" i="129"/>
  <c r="R267" i="129"/>
  <c r="Q267" i="129"/>
  <c r="P267" i="129"/>
  <c r="S266" i="129"/>
  <c r="R266" i="129"/>
  <c r="Q266" i="129"/>
  <c r="P266" i="129"/>
  <c r="S265" i="129"/>
  <c r="R265" i="129"/>
  <c r="Q265" i="129"/>
  <c r="P265" i="129"/>
  <c r="S264" i="129"/>
  <c r="R264" i="129"/>
  <c r="Q264" i="129"/>
  <c r="P264" i="129"/>
  <c r="S263" i="129"/>
  <c r="R263" i="129"/>
  <c r="Q263" i="129"/>
  <c r="P263" i="129"/>
  <c r="S262" i="129"/>
  <c r="R262" i="129"/>
  <c r="Q262" i="129"/>
  <c r="P262" i="129"/>
  <c r="S261" i="129"/>
  <c r="R261" i="129"/>
  <c r="Q261" i="129"/>
  <c r="P261" i="129"/>
  <c r="S260" i="129"/>
  <c r="R260" i="129"/>
  <c r="Q260" i="129"/>
  <c r="P260" i="129"/>
  <c r="S259" i="129"/>
  <c r="R259" i="129"/>
  <c r="Q259" i="129"/>
  <c r="P259" i="129"/>
  <c r="S258" i="129"/>
  <c r="R258" i="129"/>
  <c r="Q258" i="129"/>
  <c r="P258" i="129"/>
  <c r="S257" i="129"/>
  <c r="R257" i="129"/>
  <c r="Q257" i="129"/>
  <c r="P257" i="129"/>
  <c r="S256" i="129"/>
  <c r="R256" i="129"/>
  <c r="Q256" i="129"/>
  <c r="P256" i="129"/>
  <c r="S255" i="129"/>
  <c r="R255" i="129"/>
  <c r="Q255" i="129"/>
  <c r="P255" i="129"/>
  <c r="S254" i="129"/>
  <c r="R254" i="129"/>
  <c r="Q254" i="129"/>
  <c r="P254" i="129"/>
  <c r="S253" i="129"/>
  <c r="R253" i="129"/>
  <c r="Q253" i="129"/>
  <c r="P253" i="129"/>
  <c r="S252" i="129"/>
  <c r="R252" i="129"/>
  <c r="Q252" i="129"/>
  <c r="P252" i="129"/>
  <c r="S251" i="129"/>
  <c r="R251" i="129"/>
  <c r="Q251" i="129"/>
  <c r="P251" i="129"/>
  <c r="S250" i="129"/>
  <c r="R250" i="129"/>
  <c r="Q250" i="129"/>
  <c r="P250" i="129"/>
  <c r="S249" i="129"/>
  <c r="R249" i="129"/>
  <c r="Q249" i="129"/>
  <c r="P249" i="129"/>
  <c r="S248" i="129"/>
  <c r="R248" i="129"/>
  <c r="Q248" i="129"/>
  <c r="P248" i="129"/>
  <c r="S247" i="129"/>
  <c r="R247" i="129"/>
  <c r="Q247" i="129"/>
  <c r="P247" i="129"/>
  <c r="S246" i="129"/>
  <c r="R246" i="129"/>
  <c r="Q246" i="129"/>
  <c r="P246" i="129"/>
  <c r="S245" i="129"/>
  <c r="R245" i="129"/>
  <c r="Q245" i="129"/>
  <c r="P245" i="129"/>
  <c r="S244" i="129"/>
  <c r="R244" i="129"/>
  <c r="Q244" i="129"/>
  <c r="P244" i="129"/>
  <c r="S243" i="129"/>
  <c r="R243" i="129"/>
  <c r="Q243" i="129"/>
  <c r="P243" i="129"/>
  <c r="S242" i="129"/>
  <c r="R242" i="129"/>
  <c r="Q242" i="129"/>
  <c r="P242" i="129"/>
  <c r="S241" i="129"/>
  <c r="R241" i="129"/>
  <c r="Q241" i="129"/>
  <c r="P241" i="129"/>
  <c r="S240" i="129"/>
  <c r="R240" i="129"/>
  <c r="Q240" i="129"/>
  <c r="P240" i="129"/>
  <c r="S239" i="129"/>
  <c r="R239" i="129"/>
  <c r="Q239" i="129"/>
  <c r="P239" i="129"/>
  <c r="S238" i="129"/>
  <c r="R238" i="129"/>
  <c r="Q238" i="129"/>
  <c r="P238" i="129"/>
  <c r="S237" i="129"/>
  <c r="R237" i="129"/>
  <c r="Q237" i="129"/>
  <c r="P237" i="129"/>
  <c r="S236" i="129"/>
  <c r="R236" i="129"/>
  <c r="Q236" i="129"/>
  <c r="P236" i="129"/>
  <c r="S235" i="129"/>
  <c r="R235" i="129"/>
  <c r="Q235" i="129"/>
  <c r="P235" i="129"/>
  <c r="S234" i="129"/>
  <c r="R234" i="129"/>
  <c r="Q234" i="129"/>
  <c r="P234" i="129"/>
  <c r="S233" i="129"/>
  <c r="R233" i="129"/>
  <c r="Q233" i="129"/>
  <c r="P233" i="129"/>
  <c r="S232" i="129"/>
  <c r="R232" i="129"/>
  <c r="Q232" i="129"/>
  <c r="P232" i="129"/>
  <c r="S231" i="129"/>
  <c r="R231" i="129"/>
  <c r="Q231" i="129"/>
  <c r="P231" i="129"/>
  <c r="S230" i="129"/>
  <c r="R230" i="129"/>
  <c r="Q230" i="129"/>
  <c r="P230" i="129"/>
  <c r="S229" i="129"/>
  <c r="R229" i="129"/>
  <c r="Q229" i="129"/>
  <c r="P229" i="129"/>
  <c r="S228" i="129"/>
  <c r="R228" i="129"/>
  <c r="Q228" i="129"/>
  <c r="P228" i="129"/>
  <c r="S227" i="129"/>
  <c r="R227" i="129"/>
  <c r="Q227" i="129"/>
  <c r="P227" i="129"/>
  <c r="S226" i="129"/>
  <c r="R226" i="129"/>
  <c r="Q226" i="129"/>
  <c r="P226" i="129"/>
  <c r="S225" i="129"/>
  <c r="R225" i="129"/>
  <c r="Q225" i="129"/>
  <c r="P225" i="129"/>
  <c r="S224" i="129"/>
  <c r="R224" i="129"/>
  <c r="Q224" i="129"/>
  <c r="P224" i="129"/>
  <c r="S223" i="129"/>
  <c r="R223" i="129"/>
  <c r="Q223" i="129"/>
  <c r="P223" i="129"/>
  <c r="S222" i="129"/>
  <c r="R222" i="129"/>
  <c r="Q222" i="129"/>
  <c r="P222" i="129"/>
  <c r="S221" i="129"/>
  <c r="R221" i="129"/>
  <c r="Q221" i="129"/>
  <c r="P221" i="129"/>
  <c r="S220" i="129"/>
  <c r="R220" i="129"/>
  <c r="Q220" i="129"/>
  <c r="P220" i="129"/>
  <c r="S219" i="129"/>
  <c r="R219" i="129"/>
  <c r="Q219" i="129"/>
  <c r="P219" i="129"/>
  <c r="S218" i="129"/>
  <c r="R218" i="129"/>
  <c r="Q218" i="129"/>
  <c r="P218" i="129"/>
  <c r="S217" i="129"/>
  <c r="R217" i="129"/>
  <c r="Q217" i="129"/>
  <c r="P217" i="129"/>
  <c r="S216" i="129"/>
  <c r="R216" i="129"/>
  <c r="Q216" i="129"/>
  <c r="P216" i="129"/>
  <c r="S215" i="129"/>
  <c r="R215" i="129"/>
  <c r="Q215" i="129"/>
  <c r="P215" i="129"/>
  <c r="S214" i="129"/>
  <c r="R214" i="129"/>
  <c r="Q214" i="129"/>
  <c r="P214" i="129"/>
  <c r="S212" i="129"/>
  <c r="R212" i="129"/>
  <c r="Q212" i="129"/>
  <c r="P212" i="129"/>
  <c r="S211" i="129"/>
  <c r="R211" i="129"/>
  <c r="Q211" i="129"/>
  <c r="P211" i="129"/>
  <c r="S210" i="129"/>
  <c r="R210" i="129"/>
  <c r="Q210" i="129"/>
  <c r="P210" i="129"/>
  <c r="S209" i="129"/>
  <c r="R209" i="129"/>
  <c r="Q209" i="129"/>
  <c r="P209" i="129"/>
  <c r="S208" i="129"/>
  <c r="R208" i="129"/>
  <c r="Q208" i="129"/>
  <c r="P208" i="129"/>
  <c r="S207" i="129"/>
  <c r="R207" i="129"/>
  <c r="Q207" i="129"/>
  <c r="P207" i="129"/>
  <c r="S206" i="129"/>
  <c r="R206" i="129"/>
  <c r="Q206" i="129"/>
  <c r="P206" i="129"/>
  <c r="S205" i="129"/>
  <c r="R205" i="129"/>
  <c r="Q205" i="129"/>
  <c r="P205" i="129"/>
  <c r="S204" i="129"/>
  <c r="R204" i="129"/>
  <c r="Q204" i="129"/>
  <c r="P204" i="129"/>
  <c r="S203" i="129"/>
  <c r="R203" i="129"/>
  <c r="Q203" i="129"/>
  <c r="P203" i="129"/>
  <c r="S202" i="129"/>
  <c r="R202" i="129"/>
  <c r="Q202" i="129"/>
  <c r="P202" i="129"/>
  <c r="S201" i="129"/>
  <c r="R201" i="129"/>
  <c r="Q201" i="129"/>
  <c r="P201" i="129"/>
  <c r="S200" i="129"/>
  <c r="R200" i="129"/>
  <c r="Q200" i="129"/>
  <c r="P200" i="129"/>
  <c r="S199" i="129"/>
  <c r="R199" i="129"/>
  <c r="Q199" i="129"/>
  <c r="P199" i="129"/>
  <c r="S198" i="129"/>
  <c r="R198" i="129"/>
  <c r="Q198" i="129"/>
  <c r="P198" i="129"/>
  <c r="S197" i="129"/>
  <c r="R197" i="129"/>
  <c r="Q197" i="129"/>
  <c r="P197" i="129"/>
  <c r="S196" i="129"/>
  <c r="R196" i="129"/>
  <c r="Q196" i="129"/>
  <c r="P196" i="129"/>
  <c r="S195" i="129"/>
  <c r="R195" i="129"/>
  <c r="Q195" i="129"/>
  <c r="P195" i="129"/>
  <c r="S194" i="129"/>
  <c r="R194" i="129"/>
  <c r="Q194" i="129"/>
  <c r="P194" i="129"/>
  <c r="S193" i="129"/>
  <c r="R193" i="129"/>
  <c r="Q193" i="129"/>
  <c r="P193" i="129"/>
  <c r="S192" i="129"/>
  <c r="R192" i="129"/>
  <c r="Q192" i="129"/>
  <c r="P192" i="129"/>
  <c r="S191" i="129"/>
  <c r="R191" i="129"/>
  <c r="Q191" i="129"/>
  <c r="P191" i="129"/>
  <c r="S190" i="129"/>
  <c r="R190" i="129"/>
  <c r="Q190" i="129"/>
  <c r="P190" i="129"/>
  <c r="S189" i="129"/>
  <c r="R189" i="129"/>
  <c r="Q189" i="129"/>
  <c r="P189" i="129"/>
  <c r="S188" i="129"/>
  <c r="R188" i="129"/>
  <c r="Q188" i="129"/>
  <c r="P188" i="129"/>
  <c r="S187" i="129"/>
  <c r="R187" i="129"/>
  <c r="Q187" i="129"/>
  <c r="P187" i="129"/>
  <c r="S186" i="129"/>
  <c r="R186" i="129"/>
  <c r="Q186" i="129"/>
  <c r="P186" i="129"/>
  <c r="S185" i="129"/>
  <c r="R185" i="129"/>
  <c r="Q185" i="129"/>
  <c r="P185" i="129"/>
  <c r="S184" i="129"/>
  <c r="R184" i="129"/>
  <c r="Q184" i="129"/>
  <c r="P184" i="129"/>
  <c r="S183" i="129"/>
  <c r="R183" i="129"/>
  <c r="Q183" i="129"/>
  <c r="P183" i="129"/>
  <c r="S182" i="129"/>
  <c r="R182" i="129"/>
  <c r="Q182" i="129"/>
  <c r="P182" i="129"/>
  <c r="S181" i="129"/>
  <c r="R181" i="129"/>
  <c r="Q181" i="129"/>
  <c r="P181" i="129"/>
  <c r="S180" i="129"/>
  <c r="R180" i="129"/>
  <c r="Q180" i="129"/>
  <c r="P180" i="129"/>
  <c r="S179" i="129"/>
  <c r="R179" i="129"/>
  <c r="Q179" i="129"/>
  <c r="P179" i="129"/>
  <c r="S178" i="129"/>
  <c r="R178" i="129"/>
  <c r="Q178" i="129"/>
  <c r="P178" i="129"/>
  <c r="S177" i="129"/>
  <c r="R177" i="129"/>
  <c r="Q177" i="129"/>
  <c r="P177" i="129"/>
  <c r="S176" i="129"/>
  <c r="R176" i="129"/>
  <c r="Q176" i="129"/>
  <c r="P176" i="129"/>
  <c r="S175" i="129"/>
  <c r="R175" i="129"/>
  <c r="Q175" i="129"/>
  <c r="P175" i="129"/>
  <c r="S174" i="129"/>
  <c r="R174" i="129"/>
  <c r="Q174" i="129"/>
  <c r="P174" i="129"/>
  <c r="S173" i="129"/>
  <c r="R173" i="129"/>
  <c r="Q173" i="129"/>
  <c r="P173" i="129"/>
  <c r="S172" i="129"/>
  <c r="R172" i="129"/>
  <c r="Q172" i="129"/>
  <c r="P172" i="129"/>
  <c r="S171" i="129"/>
  <c r="R171" i="129"/>
  <c r="Q171" i="129"/>
  <c r="P171" i="129"/>
  <c r="S170" i="129"/>
  <c r="R170" i="129"/>
  <c r="Q170" i="129"/>
  <c r="P170" i="129"/>
  <c r="S169" i="129"/>
  <c r="R169" i="129"/>
  <c r="Q169" i="129"/>
  <c r="P169" i="129"/>
  <c r="S168" i="129"/>
  <c r="R168" i="129"/>
  <c r="Q168" i="129"/>
  <c r="P168" i="129"/>
  <c r="S167" i="129"/>
  <c r="R167" i="129"/>
  <c r="Q167" i="129"/>
  <c r="P167" i="129"/>
  <c r="S166" i="129"/>
  <c r="R166" i="129"/>
  <c r="Q166" i="129"/>
  <c r="P166" i="129"/>
  <c r="S165" i="129"/>
  <c r="R165" i="129"/>
  <c r="Q165" i="129"/>
  <c r="P165" i="129"/>
  <c r="S164" i="129"/>
  <c r="R164" i="129"/>
  <c r="Q164" i="129"/>
  <c r="P164" i="129"/>
  <c r="S163" i="129"/>
  <c r="R163" i="129"/>
  <c r="Q163" i="129"/>
  <c r="P163" i="129"/>
  <c r="S162" i="129"/>
  <c r="R162" i="129"/>
  <c r="Q162" i="129"/>
  <c r="P162" i="129"/>
  <c r="S161" i="129"/>
  <c r="R161" i="129"/>
  <c r="Q161" i="129"/>
  <c r="P161" i="129"/>
  <c r="S160" i="129"/>
  <c r="R160" i="129"/>
  <c r="Q160" i="129"/>
  <c r="P160" i="129"/>
  <c r="S159" i="129"/>
  <c r="R159" i="129"/>
  <c r="Q159" i="129"/>
  <c r="P159" i="129"/>
  <c r="S158" i="129"/>
  <c r="R158" i="129"/>
  <c r="Q158" i="129"/>
  <c r="P158" i="129"/>
  <c r="S157" i="129"/>
  <c r="R157" i="129"/>
  <c r="Q157" i="129"/>
  <c r="P157" i="129"/>
  <c r="S156" i="129"/>
  <c r="R156" i="129"/>
  <c r="Q156" i="129"/>
  <c r="P156" i="129"/>
  <c r="S155" i="129"/>
  <c r="R155" i="129"/>
  <c r="Q155" i="129"/>
  <c r="P155" i="129"/>
  <c r="S154" i="129"/>
  <c r="R154" i="129"/>
  <c r="Q154" i="129"/>
  <c r="P154" i="129"/>
  <c r="S153" i="129"/>
  <c r="R153" i="129"/>
  <c r="Q153" i="129"/>
  <c r="P153" i="129"/>
  <c r="S152" i="129"/>
  <c r="R152" i="129"/>
  <c r="Q152" i="129"/>
  <c r="P152" i="129"/>
  <c r="S151" i="129"/>
  <c r="R151" i="129"/>
  <c r="Q151" i="129"/>
  <c r="P151" i="129"/>
  <c r="S150" i="129"/>
  <c r="R150" i="129"/>
  <c r="Q150" i="129"/>
  <c r="P150" i="129"/>
  <c r="S149" i="129"/>
  <c r="R149" i="129"/>
  <c r="Q149" i="129"/>
  <c r="P149" i="129"/>
  <c r="S148" i="129"/>
  <c r="R148" i="129"/>
  <c r="Q148" i="129"/>
  <c r="P148" i="129"/>
  <c r="S147" i="129"/>
  <c r="R147" i="129"/>
  <c r="Q147" i="129"/>
  <c r="P147" i="129"/>
  <c r="S146" i="129"/>
  <c r="R146" i="129"/>
  <c r="Q146" i="129"/>
  <c r="P146" i="129"/>
  <c r="S145" i="129"/>
  <c r="R145" i="129"/>
  <c r="Q145" i="129"/>
  <c r="P145" i="129"/>
  <c r="S144" i="129"/>
  <c r="R144" i="129"/>
  <c r="Q144" i="129"/>
  <c r="P144" i="129"/>
  <c r="S143" i="129"/>
  <c r="R143" i="129"/>
  <c r="Q143" i="129"/>
  <c r="P143" i="129"/>
  <c r="S142" i="129"/>
  <c r="R142" i="129"/>
  <c r="Q142" i="129"/>
  <c r="P142" i="129"/>
  <c r="S141" i="129"/>
  <c r="R141" i="129"/>
  <c r="Q141" i="129"/>
  <c r="P141" i="129"/>
  <c r="S140" i="129"/>
  <c r="R140" i="129"/>
  <c r="Q140" i="129"/>
  <c r="P140" i="129"/>
  <c r="S139" i="129"/>
  <c r="R139" i="129"/>
  <c r="Q139" i="129"/>
  <c r="P139" i="129"/>
  <c r="S138" i="129"/>
  <c r="R138" i="129"/>
  <c r="Q138" i="129"/>
  <c r="P138" i="129"/>
  <c r="S137" i="129"/>
  <c r="R137" i="129"/>
  <c r="Q137" i="129"/>
  <c r="P137" i="129"/>
  <c r="S136" i="129"/>
  <c r="R136" i="129"/>
  <c r="Q136" i="129"/>
  <c r="P136" i="129"/>
  <c r="S135" i="129"/>
  <c r="R135" i="129"/>
  <c r="Q135" i="129"/>
  <c r="P135" i="129"/>
  <c r="S134" i="129"/>
  <c r="R134" i="129"/>
  <c r="Q134" i="129"/>
  <c r="P134" i="129"/>
  <c r="S133" i="129"/>
  <c r="R133" i="129"/>
  <c r="Q133" i="129"/>
  <c r="P133" i="129"/>
  <c r="S132" i="129"/>
  <c r="R132" i="129"/>
  <c r="Q132" i="129"/>
  <c r="P132" i="129"/>
  <c r="S131" i="129"/>
  <c r="R131" i="129"/>
  <c r="Q131" i="129"/>
  <c r="P131" i="129"/>
  <c r="S130" i="129"/>
  <c r="R130" i="129"/>
  <c r="Q130" i="129"/>
  <c r="P130" i="129"/>
  <c r="S129" i="129"/>
  <c r="R129" i="129"/>
  <c r="Q129" i="129"/>
  <c r="P129" i="129"/>
  <c r="S128" i="129"/>
  <c r="R128" i="129"/>
  <c r="Q128" i="129"/>
  <c r="P128" i="129"/>
  <c r="S127" i="129"/>
  <c r="R127" i="129"/>
  <c r="Q127" i="129"/>
  <c r="P127" i="129"/>
  <c r="S126" i="129"/>
  <c r="R126" i="129"/>
  <c r="Q126" i="129"/>
  <c r="P126" i="129"/>
  <c r="S125" i="129"/>
  <c r="R125" i="129"/>
  <c r="Q125" i="129"/>
  <c r="P125" i="129"/>
  <c r="S124" i="129"/>
  <c r="R124" i="129"/>
  <c r="Q124" i="129"/>
  <c r="P124" i="129"/>
  <c r="S123" i="129"/>
  <c r="R123" i="129"/>
  <c r="Q123" i="129"/>
  <c r="P123" i="129"/>
  <c r="S122" i="129"/>
  <c r="R122" i="129"/>
  <c r="Q122" i="129"/>
  <c r="P122" i="129"/>
  <c r="S121" i="129"/>
  <c r="R121" i="129"/>
  <c r="Q121" i="129"/>
  <c r="P121" i="129"/>
  <c r="S120" i="129"/>
  <c r="R120" i="129"/>
  <c r="Q120" i="129"/>
  <c r="P120" i="129"/>
  <c r="S119" i="129"/>
  <c r="R119" i="129"/>
  <c r="Q119" i="129"/>
  <c r="P119" i="129"/>
  <c r="S118" i="129"/>
  <c r="R118" i="129"/>
  <c r="Q118" i="129"/>
  <c r="P118" i="129"/>
  <c r="S117" i="129"/>
  <c r="R117" i="129"/>
  <c r="Q117" i="129"/>
  <c r="P117" i="129"/>
  <c r="S116" i="129"/>
  <c r="R116" i="129"/>
  <c r="Q116" i="129"/>
  <c r="P116" i="129"/>
  <c r="S115" i="129"/>
  <c r="R115" i="129"/>
  <c r="Q115" i="129"/>
  <c r="P115" i="129"/>
  <c r="S114" i="129"/>
  <c r="R114" i="129"/>
  <c r="Q114" i="129"/>
  <c r="P114" i="129"/>
  <c r="S113" i="129"/>
  <c r="R113" i="129"/>
  <c r="Q113" i="129"/>
  <c r="P113" i="129"/>
  <c r="S112" i="129"/>
  <c r="R112" i="129"/>
  <c r="Q112" i="129"/>
  <c r="P112" i="129"/>
  <c r="S111" i="129"/>
  <c r="R111" i="129"/>
  <c r="Q111" i="129"/>
  <c r="P111" i="129"/>
  <c r="S110" i="129"/>
  <c r="R110" i="129"/>
  <c r="Q110" i="129"/>
  <c r="P110" i="129"/>
  <c r="S109" i="129"/>
  <c r="R109" i="129"/>
  <c r="Q109" i="129"/>
  <c r="P109" i="129"/>
  <c r="S108" i="129"/>
  <c r="R108" i="129"/>
  <c r="Q108" i="129"/>
  <c r="P108" i="129"/>
  <c r="S107" i="129"/>
  <c r="R107" i="129"/>
  <c r="Q107" i="129"/>
  <c r="P107" i="129"/>
  <c r="S106" i="129"/>
  <c r="R106" i="129"/>
  <c r="Q106" i="129"/>
  <c r="P106" i="129"/>
  <c r="S105" i="129"/>
  <c r="R105" i="129"/>
  <c r="Q105" i="129"/>
  <c r="P105" i="129"/>
  <c r="S104" i="129"/>
  <c r="R104" i="129"/>
  <c r="Q104" i="129"/>
  <c r="P104" i="129"/>
  <c r="S103" i="129"/>
  <c r="R103" i="129"/>
  <c r="Q103" i="129"/>
  <c r="P103" i="129"/>
  <c r="S102" i="129"/>
  <c r="R102" i="129"/>
  <c r="Q102" i="129"/>
  <c r="P102" i="129"/>
  <c r="S101" i="129"/>
  <c r="R101" i="129"/>
  <c r="Q101" i="129"/>
  <c r="P101" i="129"/>
  <c r="S100" i="129"/>
  <c r="R100" i="129"/>
  <c r="Q100" i="129"/>
  <c r="P100" i="129"/>
  <c r="S99" i="129"/>
  <c r="R99" i="129"/>
  <c r="Q99" i="129"/>
  <c r="P99" i="129"/>
  <c r="S98" i="129"/>
  <c r="R98" i="129"/>
  <c r="Q98" i="129"/>
  <c r="P98" i="129"/>
  <c r="S97" i="129"/>
  <c r="R97" i="129"/>
  <c r="Q97" i="129"/>
  <c r="P97" i="129"/>
  <c r="S96" i="129"/>
  <c r="R96" i="129"/>
  <c r="Q96" i="129"/>
  <c r="P96" i="129"/>
  <c r="S95" i="129"/>
  <c r="R95" i="129"/>
  <c r="Q95" i="129"/>
  <c r="P95" i="129"/>
  <c r="S94" i="129"/>
  <c r="R94" i="129"/>
  <c r="Q94" i="129"/>
  <c r="P94" i="129"/>
  <c r="S93" i="129"/>
  <c r="R93" i="129"/>
  <c r="Q93" i="129"/>
  <c r="P93" i="129"/>
  <c r="S92" i="129"/>
  <c r="R92" i="129"/>
  <c r="Q92" i="129"/>
  <c r="P92" i="129"/>
  <c r="S91" i="129"/>
  <c r="R91" i="129"/>
  <c r="Q91" i="129"/>
  <c r="P91" i="129"/>
  <c r="S90" i="129"/>
  <c r="R90" i="129"/>
  <c r="Q90" i="129"/>
  <c r="P90" i="129"/>
  <c r="S89" i="129"/>
  <c r="R89" i="129"/>
  <c r="Q89" i="129"/>
  <c r="P89" i="129"/>
  <c r="S88" i="129"/>
  <c r="R88" i="129"/>
  <c r="Q88" i="129"/>
  <c r="P88" i="129"/>
  <c r="S87" i="129"/>
  <c r="R87" i="129"/>
  <c r="Q87" i="129"/>
  <c r="P87" i="129"/>
  <c r="S86" i="129"/>
  <c r="R86" i="129"/>
  <c r="Q86" i="129"/>
  <c r="P86" i="129"/>
  <c r="S85" i="129"/>
  <c r="R85" i="129"/>
  <c r="Q85" i="129"/>
  <c r="P85" i="129"/>
  <c r="S84" i="129"/>
  <c r="R84" i="129"/>
  <c r="Q84" i="129"/>
  <c r="P84" i="129"/>
  <c r="S83" i="129"/>
  <c r="R83" i="129"/>
  <c r="Q83" i="129"/>
  <c r="P83" i="129"/>
  <c r="S82" i="129"/>
  <c r="R82" i="129"/>
  <c r="Q82" i="129"/>
  <c r="P82" i="129"/>
  <c r="S81" i="129"/>
  <c r="R81" i="129"/>
  <c r="Q81" i="129"/>
  <c r="P81" i="129"/>
  <c r="S80" i="129"/>
  <c r="R80" i="129"/>
  <c r="Q80" i="129"/>
  <c r="P80" i="129"/>
  <c r="S79" i="129"/>
  <c r="R79" i="129"/>
  <c r="Q79" i="129"/>
  <c r="P79" i="129"/>
  <c r="S78" i="129"/>
  <c r="R78" i="129"/>
  <c r="Q78" i="129"/>
  <c r="P78" i="129"/>
  <c r="S77" i="129"/>
  <c r="Q77" i="129"/>
  <c r="P77" i="129"/>
  <c r="S76" i="129"/>
  <c r="R76" i="129"/>
  <c r="Q76" i="129"/>
  <c r="P76" i="129"/>
  <c r="S75" i="129"/>
  <c r="R75" i="129"/>
  <c r="Q75" i="129"/>
  <c r="P75" i="129"/>
  <c r="S74" i="129"/>
  <c r="R74" i="129"/>
  <c r="Q74" i="129"/>
  <c r="P74" i="129"/>
  <c r="S73" i="129"/>
  <c r="R73" i="129"/>
  <c r="Q73" i="129"/>
  <c r="P73" i="129"/>
  <c r="S72" i="129"/>
  <c r="R72" i="129"/>
  <c r="Q72" i="129"/>
  <c r="P72" i="129"/>
  <c r="S71" i="129"/>
  <c r="R71" i="129"/>
  <c r="Q71" i="129"/>
  <c r="P71" i="129"/>
  <c r="S70" i="129"/>
  <c r="R70" i="129"/>
  <c r="Q70" i="129"/>
  <c r="P70" i="129"/>
  <c r="S69" i="129"/>
  <c r="R69" i="129"/>
  <c r="Q69" i="129"/>
  <c r="P69" i="129"/>
  <c r="S68" i="129"/>
  <c r="R68" i="129"/>
  <c r="Q68" i="129"/>
  <c r="P68" i="129"/>
  <c r="S67" i="129"/>
  <c r="R67" i="129"/>
  <c r="Q67" i="129"/>
  <c r="P67" i="129"/>
  <c r="S66" i="129"/>
  <c r="R66" i="129"/>
  <c r="Q66" i="129"/>
  <c r="P66" i="129"/>
  <c r="S65" i="129"/>
  <c r="R65" i="129"/>
  <c r="Q65" i="129"/>
  <c r="P65" i="129"/>
  <c r="S64" i="129"/>
  <c r="R64" i="129"/>
  <c r="Q64" i="129"/>
  <c r="P64" i="129"/>
  <c r="S63" i="129"/>
  <c r="R63" i="129"/>
  <c r="Q63" i="129"/>
  <c r="P63" i="129"/>
  <c r="S62" i="129"/>
  <c r="R62" i="129"/>
  <c r="Q62" i="129"/>
  <c r="P62" i="129"/>
  <c r="S61" i="129"/>
  <c r="R61" i="129"/>
  <c r="Q61" i="129"/>
  <c r="P61" i="129"/>
  <c r="S60" i="129"/>
  <c r="R60" i="129"/>
  <c r="Q60" i="129"/>
  <c r="P60" i="129"/>
  <c r="S59" i="129"/>
  <c r="R59" i="129"/>
  <c r="Q59" i="129"/>
  <c r="P59" i="129"/>
  <c r="S58" i="129"/>
  <c r="R58" i="129"/>
  <c r="Q58" i="129"/>
  <c r="P58" i="129"/>
  <c r="S57" i="129"/>
  <c r="R57" i="129"/>
  <c r="Q57" i="129"/>
  <c r="P57" i="129"/>
  <c r="S56" i="129"/>
  <c r="R56" i="129"/>
  <c r="Q56" i="129"/>
  <c r="P56" i="129"/>
  <c r="S55" i="129"/>
  <c r="R55" i="129"/>
  <c r="Q55" i="129"/>
  <c r="P55" i="129"/>
  <c r="S54" i="129"/>
  <c r="R54" i="129"/>
  <c r="Q54" i="129"/>
  <c r="P54" i="129"/>
  <c r="S53" i="129"/>
  <c r="R53" i="129"/>
  <c r="Q53" i="129"/>
  <c r="P53" i="129"/>
  <c r="S52" i="129"/>
  <c r="R52" i="129"/>
  <c r="Q52" i="129"/>
  <c r="P52" i="129"/>
  <c r="S51" i="129"/>
  <c r="R51" i="129"/>
  <c r="Q51" i="129"/>
  <c r="P51" i="129"/>
  <c r="S50" i="129"/>
  <c r="R50" i="129"/>
  <c r="Q50" i="129"/>
  <c r="P50" i="129"/>
  <c r="S49" i="129"/>
  <c r="R49" i="129"/>
  <c r="Q49" i="129"/>
  <c r="P49" i="129"/>
  <c r="S48" i="129"/>
  <c r="R48" i="129"/>
  <c r="Q48" i="129"/>
  <c r="P48" i="129"/>
  <c r="S47" i="129"/>
  <c r="R47" i="129"/>
  <c r="Q47" i="129"/>
  <c r="P47" i="129"/>
  <c r="S46" i="129"/>
  <c r="R46" i="129"/>
  <c r="Q46" i="129"/>
  <c r="P46" i="129"/>
  <c r="S45" i="129"/>
  <c r="R45" i="129"/>
  <c r="Q45" i="129"/>
  <c r="P45" i="129"/>
  <c r="S44" i="129"/>
  <c r="R44" i="129"/>
  <c r="Q44" i="129"/>
  <c r="P44" i="129"/>
  <c r="S43" i="129"/>
  <c r="R43" i="129"/>
  <c r="Q43" i="129"/>
  <c r="P43" i="129"/>
  <c r="S42" i="129"/>
  <c r="Q42" i="129"/>
  <c r="P42" i="129"/>
  <c r="S41" i="129"/>
  <c r="R41" i="129"/>
  <c r="Q41" i="129"/>
  <c r="P41" i="129"/>
  <c r="S40" i="129"/>
  <c r="R40" i="129"/>
  <c r="Q40" i="129"/>
  <c r="P40" i="129"/>
  <c r="S39" i="129"/>
  <c r="R39" i="129"/>
  <c r="Q39" i="129"/>
  <c r="P39" i="129"/>
  <c r="S38" i="129"/>
  <c r="R38" i="129"/>
  <c r="Q38" i="129"/>
  <c r="P38" i="129"/>
  <c r="S37" i="129"/>
  <c r="R37" i="129"/>
  <c r="Q37" i="129"/>
  <c r="P37" i="129"/>
  <c r="S36" i="129"/>
  <c r="R36" i="129"/>
  <c r="Q36" i="129"/>
  <c r="P36" i="129"/>
  <c r="S35" i="129"/>
  <c r="R35" i="129"/>
  <c r="Q35" i="129"/>
  <c r="P35" i="129"/>
  <c r="S34" i="129"/>
  <c r="R34" i="129"/>
  <c r="Q34" i="129"/>
  <c r="P34" i="129"/>
  <c r="S33" i="129"/>
  <c r="R33" i="129"/>
  <c r="Q33" i="129"/>
  <c r="P33" i="129"/>
  <c r="S32" i="129"/>
  <c r="R32" i="129"/>
  <c r="Q32" i="129"/>
  <c r="P32" i="129"/>
  <c r="S31" i="129"/>
  <c r="R31" i="129"/>
  <c r="Q31" i="129"/>
  <c r="P31" i="129"/>
  <c r="S30" i="129"/>
  <c r="R30" i="129"/>
  <c r="Q30" i="129"/>
  <c r="P30" i="129"/>
  <c r="S29" i="129"/>
  <c r="R29" i="129"/>
  <c r="Q29" i="129"/>
  <c r="P29" i="129"/>
  <c r="S28" i="129"/>
  <c r="R28" i="129"/>
  <c r="Q28" i="129"/>
  <c r="P28" i="129"/>
  <c r="S27" i="129"/>
  <c r="R27" i="129"/>
  <c r="Q27" i="129"/>
  <c r="P27" i="129"/>
  <c r="S26" i="129"/>
  <c r="R26" i="129"/>
  <c r="Q26" i="129"/>
  <c r="P26" i="129"/>
  <c r="S25" i="129"/>
  <c r="R25" i="129"/>
  <c r="Q25" i="129"/>
  <c r="P25" i="129"/>
  <c r="S24" i="129"/>
  <c r="R24" i="129"/>
  <c r="Q24" i="129"/>
  <c r="P24" i="129"/>
  <c r="S23" i="129"/>
  <c r="R23" i="129"/>
  <c r="Q23" i="129"/>
  <c r="P23" i="129"/>
  <c r="S22" i="129"/>
  <c r="R22" i="129"/>
  <c r="Q22" i="129"/>
  <c r="P22" i="129"/>
  <c r="S21" i="129"/>
  <c r="R21" i="129"/>
  <c r="Q21" i="129"/>
  <c r="P21" i="129"/>
  <c r="S20" i="129"/>
  <c r="R20" i="129"/>
  <c r="Q20" i="129"/>
  <c r="P20" i="129"/>
  <c r="S19" i="129"/>
  <c r="R19" i="129"/>
  <c r="Q19" i="129"/>
  <c r="P19" i="129"/>
  <c r="S18" i="129"/>
  <c r="R18" i="129"/>
  <c r="Q18" i="129"/>
  <c r="P18" i="129"/>
  <c r="S17" i="129"/>
  <c r="R17" i="129"/>
  <c r="Q17" i="129"/>
  <c r="P17" i="129"/>
  <c r="S16" i="129"/>
  <c r="R16" i="129"/>
  <c r="Q16" i="129"/>
  <c r="P16" i="129"/>
  <c r="S15" i="129"/>
  <c r="R15" i="129"/>
  <c r="Q15" i="129"/>
  <c r="P15" i="129"/>
  <c r="S14" i="129"/>
  <c r="R14" i="129"/>
  <c r="Q14" i="129"/>
  <c r="P14" i="129"/>
  <c r="S13" i="129"/>
  <c r="R13" i="129"/>
  <c r="Q13" i="129"/>
  <c r="P13" i="129"/>
  <c r="S12" i="129"/>
  <c r="R12" i="129"/>
  <c r="Q12" i="129"/>
  <c r="P12" i="129"/>
  <c r="S11" i="129"/>
  <c r="R11" i="129"/>
  <c r="Q11" i="129"/>
  <c r="P11" i="129"/>
  <c r="S10" i="129"/>
  <c r="R10" i="129"/>
  <c r="Q10" i="129"/>
  <c r="P10" i="129"/>
  <c r="S9" i="129"/>
  <c r="R9" i="129"/>
  <c r="Q9" i="129"/>
  <c r="P9" i="129"/>
  <c r="S8" i="129"/>
  <c r="R8" i="129"/>
  <c r="Q8" i="129"/>
  <c r="P8" i="129"/>
  <c r="S7" i="129"/>
  <c r="R7" i="129"/>
  <c r="Q7" i="129"/>
  <c r="P7" i="129"/>
  <c r="S6" i="129"/>
  <c r="R6" i="129"/>
  <c r="Q6" i="129"/>
  <c r="P6" i="129"/>
  <c r="S5" i="129"/>
  <c r="R5" i="129"/>
  <c r="Q5" i="129"/>
  <c r="P5" i="129"/>
  <c r="S4" i="129"/>
  <c r="R4" i="129"/>
  <c r="Q4" i="129"/>
  <c r="P4" i="129"/>
  <c r="S3" i="129"/>
  <c r="R3" i="129"/>
  <c r="Q3" i="129"/>
  <c r="P3" i="129"/>
  <c r="S2" i="129"/>
  <c r="R2" i="129"/>
  <c r="Q2" i="129"/>
  <c r="P2" i="129"/>
  <c r="Q992" i="127"/>
  <c r="P992" i="127"/>
  <c r="O992" i="127"/>
  <c r="Q991" i="127"/>
  <c r="P991" i="127"/>
  <c r="O991" i="127"/>
  <c r="Q990" i="127"/>
  <c r="P990" i="127"/>
  <c r="O990" i="127"/>
  <c r="Q989" i="127"/>
  <c r="P989" i="127"/>
  <c r="O989" i="127"/>
  <c r="Q988" i="127"/>
  <c r="P988" i="127"/>
  <c r="O988" i="127"/>
  <c r="Q987" i="127"/>
  <c r="P987" i="127"/>
  <c r="O987" i="127"/>
  <c r="Q986" i="127"/>
  <c r="P986" i="127"/>
  <c r="O986" i="127"/>
  <c r="Q985" i="127"/>
  <c r="P985" i="127"/>
  <c r="O985" i="127"/>
  <c r="Q984" i="127"/>
  <c r="P984" i="127"/>
  <c r="O984" i="127"/>
  <c r="Q983" i="127"/>
  <c r="P983" i="127"/>
  <c r="O983" i="127"/>
  <c r="Q982" i="127"/>
  <c r="P982" i="127"/>
  <c r="O982" i="127"/>
  <c r="Q981" i="127"/>
  <c r="P981" i="127"/>
  <c r="O981" i="127"/>
  <c r="Q980" i="127"/>
  <c r="P980" i="127"/>
  <c r="O980" i="127"/>
  <c r="Q979" i="127"/>
  <c r="P979" i="127"/>
  <c r="O979" i="127"/>
  <c r="Q978" i="127"/>
  <c r="P978" i="127"/>
  <c r="O978" i="127"/>
  <c r="Q977" i="127"/>
  <c r="P977" i="127"/>
  <c r="O977" i="127"/>
  <c r="Q976" i="127"/>
  <c r="P976" i="127"/>
  <c r="O976" i="127"/>
  <c r="Q975" i="127"/>
  <c r="P975" i="127"/>
  <c r="O975" i="127"/>
  <c r="Q974" i="127"/>
  <c r="P974" i="127"/>
  <c r="O974" i="127"/>
  <c r="Q973" i="127"/>
  <c r="P973" i="127"/>
  <c r="O973" i="127"/>
  <c r="Q972" i="127"/>
  <c r="P972" i="127"/>
  <c r="O972" i="127"/>
  <c r="Q971" i="127"/>
  <c r="P971" i="127"/>
  <c r="O971" i="127"/>
  <c r="Q970" i="127"/>
  <c r="P970" i="127"/>
  <c r="O970" i="127"/>
  <c r="Q969" i="127"/>
  <c r="P969" i="127"/>
  <c r="O969" i="127"/>
  <c r="Q968" i="127"/>
  <c r="P968" i="127"/>
  <c r="O968" i="127"/>
  <c r="Q967" i="127"/>
  <c r="P967" i="127"/>
  <c r="O967" i="127"/>
  <c r="Q966" i="127"/>
  <c r="P966" i="127"/>
  <c r="O966" i="127"/>
  <c r="Q965" i="127"/>
  <c r="P965" i="127"/>
  <c r="O965" i="127"/>
  <c r="Q964" i="127"/>
  <c r="P964" i="127"/>
  <c r="O964" i="127"/>
  <c r="Q963" i="127"/>
  <c r="P963" i="127"/>
  <c r="O963" i="127"/>
  <c r="Q962" i="127"/>
  <c r="P962" i="127"/>
  <c r="O962" i="127"/>
  <c r="Q961" i="127"/>
  <c r="P961" i="127"/>
  <c r="O961" i="127"/>
  <c r="Q960" i="127"/>
  <c r="P960" i="127"/>
  <c r="O960" i="127"/>
  <c r="Q959" i="127"/>
  <c r="P959" i="127"/>
  <c r="O959" i="127"/>
  <c r="Q958" i="127"/>
  <c r="P958" i="127"/>
  <c r="O958" i="127"/>
  <c r="Q957" i="127"/>
  <c r="P957" i="127"/>
  <c r="O957" i="127"/>
  <c r="Q956" i="127"/>
  <c r="P956" i="127"/>
  <c r="O956" i="127"/>
  <c r="Q955" i="127"/>
  <c r="P955" i="127"/>
  <c r="O955" i="127"/>
  <c r="Q954" i="127"/>
  <c r="P954" i="127"/>
  <c r="O954" i="127"/>
  <c r="Q953" i="127"/>
  <c r="P953" i="127"/>
  <c r="O953" i="127"/>
  <c r="Q952" i="127"/>
  <c r="P952" i="127"/>
  <c r="O952" i="127"/>
  <c r="Q951" i="127"/>
  <c r="P951" i="127"/>
  <c r="O951" i="127"/>
  <c r="Q950" i="127"/>
  <c r="P950" i="127"/>
  <c r="O950" i="127"/>
  <c r="Q949" i="127"/>
  <c r="P949" i="127"/>
  <c r="O949" i="127"/>
  <c r="Q948" i="127"/>
  <c r="P948" i="127"/>
  <c r="O948" i="127"/>
  <c r="Q947" i="127"/>
  <c r="P947" i="127"/>
  <c r="O947" i="127"/>
  <c r="Q946" i="127"/>
  <c r="P946" i="127"/>
  <c r="O946" i="127"/>
  <c r="Q945" i="127"/>
  <c r="P945" i="127"/>
  <c r="O945" i="127"/>
  <c r="Q944" i="127"/>
  <c r="P944" i="127"/>
  <c r="O944" i="127"/>
  <c r="Q943" i="127"/>
  <c r="P943" i="127"/>
  <c r="O943" i="127"/>
  <c r="Q942" i="127"/>
  <c r="P942" i="127"/>
  <c r="O942" i="127"/>
  <c r="Q941" i="127"/>
  <c r="P941" i="127"/>
  <c r="O941" i="127"/>
  <c r="Q940" i="127"/>
  <c r="P940" i="127"/>
  <c r="O940" i="127"/>
  <c r="Q939" i="127"/>
  <c r="P939" i="127"/>
  <c r="O939" i="127"/>
  <c r="Q938" i="127"/>
  <c r="P938" i="127"/>
  <c r="O938" i="127"/>
  <c r="Q937" i="127"/>
  <c r="P937" i="127"/>
  <c r="O937" i="127"/>
  <c r="Q936" i="127"/>
  <c r="P936" i="127"/>
  <c r="O936" i="127"/>
  <c r="Q935" i="127"/>
  <c r="P935" i="127"/>
  <c r="O935" i="127"/>
  <c r="Q934" i="127"/>
  <c r="P934" i="127"/>
  <c r="O934" i="127"/>
  <c r="Q933" i="127"/>
  <c r="P933" i="127"/>
  <c r="O933" i="127"/>
  <c r="Q932" i="127"/>
  <c r="P932" i="127"/>
  <c r="O932" i="127"/>
  <c r="Q931" i="127"/>
  <c r="P931" i="127"/>
  <c r="O931" i="127"/>
  <c r="Q930" i="127"/>
  <c r="P930" i="127"/>
  <c r="O930" i="127"/>
  <c r="Q929" i="127"/>
  <c r="P929" i="127"/>
  <c r="O929" i="127"/>
  <c r="Q928" i="127"/>
  <c r="P928" i="127"/>
  <c r="O928" i="127"/>
  <c r="Q927" i="127"/>
  <c r="P927" i="127"/>
  <c r="O927" i="127"/>
  <c r="Q926" i="127"/>
  <c r="P926" i="127"/>
  <c r="O926" i="127"/>
  <c r="Q925" i="127"/>
  <c r="P925" i="127"/>
  <c r="O925" i="127"/>
  <c r="Q924" i="127"/>
  <c r="P924" i="127"/>
  <c r="O924" i="127"/>
  <c r="Q923" i="127"/>
  <c r="P923" i="127"/>
  <c r="O923" i="127"/>
  <c r="Q922" i="127"/>
  <c r="P922" i="127"/>
  <c r="O922" i="127"/>
  <c r="Q921" i="127"/>
  <c r="P921" i="127"/>
  <c r="O921" i="127"/>
  <c r="Q920" i="127"/>
  <c r="P920" i="127"/>
  <c r="O920" i="127"/>
  <c r="Q919" i="127"/>
  <c r="P919" i="127"/>
  <c r="O919" i="127"/>
  <c r="Q918" i="127"/>
  <c r="P918" i="127"/>
  <c r="O918" i="127"/>
  <c r="Q917" i="127"/>
  <c r="P917" i="127"/>
  <c r="O917" i="127"/>
  <c r="Q916" i="127"/>
  <c r="P916" i="127"/>
  <c r="O916" i="127"/>
  <c r="Q915" i="127"/>
  <c r="P915" i="127"/>
  <c r="O915" i="127"/>
  <c r="Q914" i="127"/>
  <c r="P914" i="127"/>
  <c r="O914" i="127"/>
  <c r="Q913" i="127"/>
  <c r="P913" i="127"/>
  <c r="O913" i="127"/>
  <c r="Q912" i="127"/>
  <c r="P912" i="127"/>
  <c r="O912" i="127"/>
  <c r="Q911" i="127"/>
  <c r="P911" i="127"/>
  <c r="O911" i="127"/>
  <c r="Q910" i="127"/>
  <c r="P910" i="127"/>
  <c r="O910" i="127"/>
  <c r="Q909" i="127"/>
  <c r="P909" i="127"/>
  <c r="O909" i="127"/>
  <c r="Q908" i="127"/>
  <c r="P908" i="127"/>
  <c r="O908" i="127"/>
  <c r="Q907" i="127"/>
  <c r="P907" i="127"/>
  <c r="O907" i="127"/>
  <c r="Q906" i="127"/>
  <c r="P906" i="127"/>
  <c r="O906" i="127"/>
  <c r="Q905" i="127"/>
  <c r="P905" i="127"/>
  <c r="O905" i="127"/>
  <c r="Q904" i="127"/>
  <c r="P904" i="127"/>
  <c r="O904" i="127"/>
  <c r="Q903" i="127"/>
  <c r="P903" i="127"/>
  <c r="O903" i="127"/>
  <c r="Q902" i="127"/>
  <c r="P902" i="127"/>
  <c r="O902" i="127"/>
  <c r="Q901" i="127"/>
  <c r="P901" i="127"/>
  <c r="O901" i="127"/>
  <c r="Q900" i="127"/>
  <c r="P900" i="127"/>
  <c r="O900" i="127"/>
  <c r="Q899" i="127"/>
  <c r="P899" i="127"/>
  <c r="O899" i="127"/>
  <c r="Q898" i="127"/>
  <c r="P898" i="127"/>
  <c r="O898" i="127"/>
  <c r="Q897" i="127"/>
  <c r="P897" i="127"/>
  <c r="O897" i="127"/>
  <c r="Q896" i="127"/>
  <c r="P896" i="127"/>
  <c r="O896" i="127"/>
  <c r="Q895" i="127"/>
  <c r="P895" i="127"/>
  <c r="O895" i="127"/>
  <c r="Q894" i="127"/>
  <c r="P894" i="127"/>
  <c r="O894" i="127"/>
  <c r="Q893" i="127"/>
  <c r="P893" i="127"/>
  <c r="O893" i="127"/>
  <c r="Q892" i="127"/>
  <c r="P892" i="127"/>
  <c r="O892" i="127"/>
  <c r="Q891" i="127"/>
  <c r="P891" i="127"/>
  <c r="O891" i="127"/>
  <c r="Q890" i="127"/>
  <c r="P890" i="127"/>
  <c r="O890" i="127"/>
  <c r="Q889" i="127"/>
  <c r="P889" i="127"/>
  <c r="O889" i="127"/>
  <c r="Q888" i="127"/>
  <c r="P888" i="127"/>
  <c r="O888" i="127"/>
  <c r="Q887" i="127"/>
  <c r="P887" i="127"/>
  <c r="O887" i="127"/>
  <c r="Q886" i="127"/>
  <c r="P886" i="127"/>
  <c r="O886" i="127"/>
  <c r="Q885" i="127"/>
  <c r="P885" i="127"/>
  <c r="O885" i="127"/>
  <c r="Q884" i="127"/>
  <c r="P884" i="127"/>
  <c r="O884" i="127"/>
  <c r="Q883" i="127"/>
  <c r="P883" i="127"/>
  <c r="O883" i="127"/>
  <c r="Q882" i="127"/>
  <c r="P882" i="127"/>
  <c r="O882" i="127"/>
  <c r="Q881" i="127"/>
  <c r="P881" i="127"/>
  <c r="O881" i="127"/>
  <c r="Q880" i="127"/>
  <c r="P880" i="127"/>
  <c r="O880" i="127"/>
  <c r="Q879" i="127"/>
  <c r="P879" i="127"/>
  <c r="O879" i="127"/>
  <c r="Q878" i="127"/>
  <c r="P878" i="127"/>
  <c r="O878" i="127"/>
  <c r="Q877" i="127"/>
  <c r="P877" i="127"/>
  <c r="O877" i="127"/>
  <c r="Q876" i="127"/>
  <c r="P876" i="127"/>
  <c r="O876" i="127"/>
  <c r="Q875" i="127"/>
  <c r="P875" i="127"/>
  <c r="O875" i="127"/>
  <c r="Q874" i="127"/>
  <c r="P874" i="127"/>
  <c r="O874" i="127"/>
  <c r="Q873" i="127"/>
  <c r="P873" i="127"/>
  <c r="O873" i="127"/>
  <c r="Q872" i="127"/>
  <c r="P872" i="127"/>
  <c r="O872" i="127"/>
  <c r="Q871" i="127"/>
  <c r="P871" i="127"/>
  <c r="O871" i="127"/>
  <c r="Q870" i="127"/>
  <c r="P870" i="127"/>
  <c r="O870" i="127"/>
  <c r="Q869" i="127"/>
  <c r="P869" i="127"/>
  <c r="O869" i="127"/>
  <c r="Q868" i="127"/>
  <c r="P868" i="127"/>
  <c r="O868" i="127"/>
  <c r="Q867" i="127"/>
  <c r="P867" i="127"/>
  <c r="O867" i="127"/>
  <c r="Q866" i="127"/>
  <c r="P866" i="127"/>
  <c r="O866" i="127"/>
  <c r="Q865" i="127"/>
  <c r="P865" i="127"/>
  <c r="O865" i="127"/>
  <c r="Q864" i="127"/>
  <c r="P864" i="127"/>
  <c r="O864" i="127"/>
  <c r="Q863" i="127"/>
  <c r="P863" i="127"/>
  <c r="O863" i="127"/>
  <c r="Q862" i="127"/>
  <c r="P862" i="127"/>
  <c r="O862" i="127"/>
  <c r="Q861" i="127"/>
  <c r="P861" i="127"/>
  <c r="O861" i="127"/>
  <c r="Q860" i="127"/>
  <c r="P860" i="127"/>
  <c r="O860" i="127"/>
  <c r="Q859" i="127"/>
  <c r="P859" i="127"/>
  <c r="O859" i="127"/>
  <c r="Q858" i="127"/>
  <c r="P858" i="127"/>
  <c r="O858" i="127"/>
  <c r="Q857" i="127"/>
  <c r="P857" i="127"/>
  <c r="O857" i="127"/>
  <c r="Q856" i="127"/>
  <c r="P856" i="127"/>
  <c r="O856" i="127"/>
  <c r="Q855" i="127"/>
  <c r="P855" i="127"/>
  <c r="O855" i="127"/>
  <c r="Q854" i="127"/>
  <c r="P854" i="127"/>
  <c r="O854" i="127"/>
  <c r="Q853" i="127"/>
  <c r="P853" i="127"/>
  <c r="O853" i="127"/>
  <c r="Q852" i="127"/>
  <c r="P852" i="127"/>
  <c r="O852" i="127"/>
  <c r="Q851" i="127"/>
  <c r="P851" i="127"/>
  <c r="O851" i="127"/>
  <c r="Q850" i="127"/>
  <c r="P850" i="127"/>
  <c r="O850" i="127"/>
  <c r="Q849" i="127"/>
  <c r="P849" i="127"/>
  <c r="O849" i="127"/>
  <c r="Q848" i="127"/>
  <c r="P848" i="127"/>
  <c r="O848" i="127"/>
  <c r="Q847" i="127"/>
  <c r="P847" i="127"/>
  <c r="O847" i="127"/>
  <c r="Q846" i="127"/>
  <c r="P846" i="127"/>
  <c r="O846" i="127"/>
  <c r="Q845" i="127"/>
  <c r="P845" i="127"/>
  <c r="O845" i="127"/>
  <c r="Q844" i="127"/>
  <c r="P844" i="127"/>
  <c r="O844" i="127"/>
  <c r="Q843" i="127"/>
  <c r="P843" i="127"/>
  <c r="O843" i="127"/>
  <c r="Q842" i="127"/>
  <c r="P842" i="127"/>
  <c r="O842" i="127"/>
  <c r="Q841" i="127"/>
  <c r="P841" i="127"/>
  <c r="O841" i="127"/>
  <c r="Q840" i="127"/>
  <c r="P840" i="127"/>
  <c r="O840" i="127"/>
  <c r="Q839" i="127"/>
  <c r="P839" i="127"/>
  <c r="O839" i="127"/>
  <c r="Q838" i="127"/>
  <c r="P838" i="127"/>
  <c r="O838" i="127"/>
  <c r="Q837" i="127"/>
  <c r="P837" i="127"/>
  <c r="O837" i="127"/>
  <c r="Q836" i="127"/>
  <c r="P836" i="127"/>
  <c r="O836" i="127"/>
  <c r="Q835" i="127"/>
  <c r="P835" i="127"/>
  <c r="O835" i="127"/>
  <c r="Q834" i="127"/>
  <c r="P834" i="127"/>
  <c r="O834" i="127"/>
  <c r="Q833" i="127"/>
  <c r="P833" i="127"/>
  <c r="O833" i="127"/>
  <c r="Q832" i="127"/>
  <c r="P832" i="127"/>
  <c r="O832" i="127"/>
  <c r="Q831" i="127"/>
  <c r="P831" i="127"/>
  <c r="O831" i="127"/>
  <c r="Q830" i="127"/>
  <c r="P830" i="127"/>
  <c r="O830" i="127"/>
  <c r="Q829" i="127"/>
  <c r="P829" i="127"/>
  <c r="O829" i="127"/>
  <c r="Q828" i="127"/>
  <c r="P828" i="127"/>
  <c r="O828" i="127"/>
  <c r="Q827" i="127"/>
  <c r="P827" i="127"/>
  <c r="O827" i="127"/>
  <c r="Q826" i="127"/>
  <c r="P826" i="127"/>
  <c r="O826" i="127"/>
  <c r="Q825" i="127"/>
  <c r="P825" i="127"/>
  <c r="O825" i="127"/>
  <c r="Q824" i="127"/>
  <c r="P824" i="127"/>
  <c r="O824" i="127"/>
  <c r="Q823" i="127"/>
  <c r="P823" i="127"/>
  <c r="O823" i="127"/>
  <c r="Q822" i="127"/>
  <c r="P822" i="127"/>
  <c r="O822" i="127"/>
  <c r="Q821" i="127"/>
  <c r="P821" i="127"/>
  <c r="O821" i="127"/>
  <c r="Q820" i="127"/>
  <c r="P820" i="127"/>
  <c r="O820" i="127"/>
  <c r="Q819" i="127"/>
  <c r="P819" i="127"/>
  <c r="O819" i="127"/>
  <c r="Q818" i="127"/>
  <c r="P818" i="127"/>
  <c r="O818" i="127"/>
  <c r="Q817" i="127"/>
  <c r="P817" i="127"/>
  <c r="O817" i="127"/>
  <c r="Q816" i="127"/>
  <c r="P816" i="127"/>
  <c r="O816" i="127"/>
  <c r="Q815" i="127"/>
  <c r="P815" i="127"/>
  <c r="O815" i="127"/>
  <c r="Q814" i="127"/>
  <c r="P814" i="127"/>
  <c r="O814" i="127"/>
  <c r="Q813" i="127"/>
  <c r="P813" i="127"/>
  <c r="O813" i="127"/>
  <c r="Q812" i="127"/>
  <c r="P812" i="127"/>
  <c r="O812" i="127"/>
  <c r="Q811" i="127"/>
  <c r="P811" i="127"/>
  <c r="O811" i="127"/>
  <c r="Q810" i="127"/>
  <c r="P810" i="127"/>
  <c r="O810" i="127"/>
  <c r="Q809" i="127"/>
  <c r="P809" i="127"/>
  <c r="O809" i="127"/>
  <c r="Q808" i="127"/>
  <c r="P808" i="127"/>
  <c r="O808" i="127"/>
  <c r="Q807" i="127"/>
  <c r="P807" i="127"/>
  <c r="O807" i="127"/>
  <c r="Q806" i="127"/>
  <c r="P806" i="127"/>
  <c r="O806" i="127"/>
  <c r="Q805" i="127"/>
  <c r="P805" i="127"/>
  <c r="O805" i="127"/>
  <c r="Q804" i="127"/>
  <c r="P804" i="127"/>
  <c r="O804" i="127"/>
  <c r="Q803" i="127"/>
  <c r="P803" i="127"/>
  <c r="O803" i="127"/>
  <c r="Q802" i="127"/>
  <c r="P802" i="127"/>
  <c r="O802" i="127"/>
  <c r="Q801" i="127"/>
  <c r="P801" i="127"/>
  <c r="O801" i="127"/>
  <c r="Q800" i="127"/>
  <c r="P800" i="127"/>
  <c r="O800" i="127"/>
  <c r="Q799" i="127"/>
  <c r="P799" i="127"/>
  <c r="O799" i="127"/>
  <c r="Q798" i="127"/>
  <c r="P798" i="127"/>
  <c r="O798" i="127"/>
  <c r="Q797" i="127"/>
  <c r="P797" i="127"/>
  <c r="O797" i="127"/>
  <c r="Q796" i="127"/>
  <c r="P796" i="127"/>
  <c r="O796" i="127"/>
  <c r="Q795" i="127"/>
  <c r="P795" i="127"/>
  <c r="O795" i="127"/>
  <c r="Q794" i="127"/>
  <c r="P794" i="127"/>
  <c r="O794" i="127"/>
  <c r="Q793" i="127"/>
  <c r="P793" i="127"/>
  <c r="O793" i="127"/>
  <c r="Q792" i="127"/>
  <c r="P792" i="127"/>
  <c r="O792" i="127"/>
  <c r="Q791" i="127"/>
  <c r="P791" i="127"/>
  <c r="O791" i="127"/>
  <c r="Q790" i="127"/>
  <c r="P790" i="127"/>
  <c r="O790" i="127"/>
  <c r="Q789" i="127"/>
  <c r="P789" i="127"/>
  <c r="O789" i="127"/>
  <c r="Q788" i="127"/>
  <c r="P788" i="127"/>
  <c r="O788" i="127"/>
  <c r="Q787" i="127"/>
  <c r="P787" i="127"/>
  <c r="O787" i="127"/>
  <c r="Q786" i="127"/>
  <c r="P786" i="127"/>
  <c r="O786" i="127"/>
  <c r="Q785" i="127"/>
  <c r="P785" i="127"/>
  <c r="O785" i="127"/>
  <c r="Q784" i="127"/>
  <c r="P784" i="127"/>
  <c r="O784" i="127"/>
  <c r="Q783" i="127"/>
  <c r="P783" i="127"/>
  <c r="O783" i="127"/>
  <c r="Q782" i="127"/>
  <c r="P782" i="127"/>
  <c r="O782" i="127"/>
  <c r="Q781" i="127"/>
  <c r="P781" i="127"/>
  <c r="O781" i="127"/>
  <c r="Q780" i="127"/>
  <c r="P780" i="127"/>
  <c r="O780" i="127"/>
  <c r="Q779" i="127"/>
  <c r="P779" i="127"/>
  <c r="O779" i="127"/>
  <c r="Q778" i="127"/>
  <c r="P778" i="127"/>
  <c r="O778" i="127"/>
  <c r="Q777" i="127"/>
  <c r="P777" i="127"/>
  <c r="O777" i="127"/>
  <c r="Q776" i="127"/>
  <c r="P776" i="127"/>
  <c r="O776" i="127"/>
  <c r="Q775" i="127"/>
  <c r="P775" i="127"/>
  <c r="O775" i="127"/>
  <c r="Q774" i="127"/>
  <c r="P774" i="127"/>
  <c r="O774" i="127"/>
  <c r="Q773" i="127"/>
  <c r="P773" i="127"/>
  <c r="O773" i="127"/>
  <c r="Q772" i="127"/>
  <c r="P772" i="127"/>
  <c r="O772" i="127"/>
  <c r="Q771" i="127"/>
  <c r="P771" i="127"/>
  <c r="O771" i="127"/>
  <c r="Q770" i="127"/>
  <c r="P770" i="127"/>
  <c r="O770" i="127"/>
  <c r="Q769" i="127"/>
  <c r="P769" i="127"/>
  <c r="O769" i="127"/>
  <c r="Q768" i="127"/>
  <c r="P768" i="127"/>
  <c r="O768" i="127"/>
  <c r="Q767" i="127"/>
  <c r="P767" i="127"/>
  <c r="O767" i="127"/>
  <c r="Q766" i="127"/>
  <c r="P766" i="127"/>
  <c r="O766" i="127"/>
  <c r="Q765" i="127"/>
  <c r="P765" i="127"/>
  <c r="O765" i="127"/>
  <c r="Q764" i="127"/>
  <c r="P764" i="127"/>
  <c r="O764" i="127"/>
  <c r="Q763" i="127"/>
  <c r="P763" i="127"/>
  <c r="O763" i="127"/>
  <c r="Q762" i="127"/>
  <c r="P762" i="127"/>
  <c r="O762" i="127"/>
  <c r="Q761" i="127"/>
  <c r="P761" i="127"/>
  <c r="O761" i="127"/>
  <c r="Q760" i="127"/>
  <c r="P760" i="127"/>
  <c r="O760" i="127"/>
  <c r="Q759" i="127"/>
  <c r="P759" i="127"/>
  <c r="O759" i="127"/>
  <c r="Q758" i="127"/>
  <c r="P758" i="127"/>
  <c r="O758" i="127"/>
  <c r="Q757" i="127"/>
  <c r="P757" i="127"/>
  <c r="O757" i="127"/>
  <c r="Q756" i="127"/>
  <c r="P756" i="127"/>
  <c r="O756" i="127"/>
  <c r="Q755" i="127"/>
  <c r="P755" i="127"/>
  <c r="O755" i="127"/>
  <c r="Q754" i="127"/>
  <c r="P754" i="127"/>
  <c r="O754" i="127"/>
  <c r="Q753" i="127"/>
  <c r="P753" i="127"/>
  <c r="O753" i="127"/>
  <c r="Q752" i="127"/>
  <c r="P752" i="127"/>
  <c r="O752" i="127"/>
  <c r="Q751" i="127"/>
  <c r="P751" i="127"/>
  <c r="O751" i="127"/>
  <c r="Q750" i="127"/>
  <c r="P750" i="127"/>
  <c r="O750" i="127"/>
  <c r="Q749" i="127"/>
  <c r="P749" i="127"/>
  <c r="O749" i="127"/>
  <c r="Q748" i="127"/>
  <c r="P748" i="127"/>
  <c r="O748" i="127"/>
  <c r="Q747" i="127"/>
  <c r="P747" i="127"/>
  <c r="O747" i="127"/>
  <c r="Q746" i="127"/>
  <c r="P746" i="127"/>
  <c r="O746" i="127"/>
  <c r="Q745" i="127"/>
  <c r="P745" i="127"/>
  <c r="O745" i="127"/>
  <c r="Q744" i="127"/>
  <c r="P744" i="127"/>
  <c r="O744" i="127"/>
  <c r="Q743" i="127"/>
  <c r="P743" i="127"/>
  <c r="O743" i="127"/>
  <c r="Q742" i="127"/>
  <c r="P742" i="127"/>
  <c r="O742" i="127"/>
  <c r="Q741" i="127"/>
  <c r="P741" i="127"/>
  <c r="O741" i="127"/>
  <c r="Q740" i="127"/>
  <c r="P740" i="127"/>
  <c r="O740" i="127"/>
  <c r="Q739" i="127"/>
  <c r="P739" i="127"/>
  <c r="O739" i="127"/>
  <c r="Q738" i="127"/>
  <c r="P738" i="127"/>
  <c r="O738" i="127"/>
  <c r="Q737" i="127"/>
  <c r="P737" i="127"/>
  <c r="O737" i="127"/>
  <c r="Q736" i="127"/>
  <c r="P736" i="127"/>
  <c r="O736" i="127"/>
  <c r="Q735" i="127"/>
  <c r="P735" i="127"/>
  <c r="O735" i="127"/>
  <c r="Q734" i="127"/>
  <c r="P734" i="127"/>
  <c r="O734" i="127"/>
  <c r="Q733" i="127"/>
  <c r="P733" i="127"/>
  <c r="O733" i="127"/>
  <c r="Q732" i="127"/>
  <c r="P732" i="127"/>
  <c r="O732" i="127"/>
  <c r="Q731" i="127"/>
  <c r="P731" i="127"/>
  <c r="O731" i="127"/>
  <c r="Q730" i="127"/>
  <c r="P730" i="127"/>
  <c r="O730" i="127"/>
  <c r="Q729" i="127"/>
  <c r="P729" i="127"/>
  <c r="O729" i="127"/>
  <c r="Q728" i="127"/>
  <c r="P728" i="127"/>
  <c r="O728" i="127"/>
  <c r="Q727" i="127"/>
  <c r="P727" i="127"/>
  <c r="O727" i="127"/>
  <c r="Q726" i="127"/>
  <c r="P726" i="127"/>
  <c r="O726" i="127"/>
  <c r="Q725" i="127"/>
  <c r="P725" i="127"/>
  <c r="O725" i="127"/>
  <c r="Q724" i="127"/>
  <c r="P724" i="127"/>
  <c r="O724" i="127"/>
  <c r="Q723" i="127"/>
  <c r="P723" i="127"/>
  <c r="O723" i="127"/>
  <c r="Q722" i="127"/>
  <c r="P722" i="127"/>
  <c r="O722" i="127"/>
  <c r="Q721" i="127"/>
  <c r="P721" i="127"/>
  <c r="O721" i="127"/>
  <c r="Q720" i="127"/>
  <c r="P720" i="127"/>
  <c r="O720" i="127"/>
  <c r="Q719" i="127"/>
  <c r="P719" i="127"/>
  <c r="O719" i="127"/>
  <c r="Q718" i="127"/>
  <c r="P718" i="127"/>
  <c r="O718" i="127"/>
  <c r="Q717" i="127"/>
  <c r="P717" i="127"/>
  <c r="O717" i="127"/>
  <c r="Q716" i="127"/>
  <c r="P716" i="127"/>
  <c r="O716" i="127"/>
  <c r="Q715" i="127"/>
  <c r="P715" i="127"/>
  <c r="O715" i="127"/>
  <c r="Q714" i="127"/>
  <c r="P714" i="127"/>
  <c r="O714" i="127"/>
  <c r="Q713" i="127"/>
  <c r="P713" i="127"/>
  <c r="O713" i="127"/>
  <c r="Q712" i="127"/>
  <c r="P712" i="127"/>
  <c r="O712" i="127"/>
  <c r="Q711" i="127"/>
  <c r="P711" i="127"/>
  <c r="O711" i="127"/>
  <c r="Q710" i="127"/>
  <c r="P710" i="127"/>
  <c r="O710" i="127"/>
  <c r="Q709" i="127"/>
  <c r="P709" i="127"/>
  <c r="O709" i="127"/>
  <c r="Q708" i="127"/>
  <c r="P708" i="127"/>
  <c r="O708" i="127"/>
  <c r="Q707" i="127"/>
  <c r="P707" i="127"/>
  <c r="O707" i="127"/>
  <c r="Q706" i="127"/>
  <c r="P706" i="127"/>
  <c r="O706" i="127"/>
  <c r="Q705" i="127"/>
  <c r="P705" i="127"/>
  <c r="O705" i="127"/>
  <c r="Q704" i="127"/>
  <c r="P704" i="127"/>
  <c r="O704" i="127"/>
  <c r="Q703" i="127"/>
  <c r="P703" i="127"/>
  <c r="O703" i="127"/>
  <c r="Q702" i="127"/>
  <c r="P702" i="127"/>
  <c r="O702" i="127"/>
  <c r="Q701" i="127"/>
  <c r="P701" i="127"/>
  <c r="O701" i="127"/>
  <c r="Q700" i="127"/>
  <c r="P700" i="127"/>
  <c r="O700" i="127"/>
  <c r="Q699" i="127"/>
  <c r="P699" i="127"/>
  <c r="O699" i="127"/>
  <c r="Q698" i="127"/>
  <c r="P698" i="127"/>
  <c r="O698" i="127"/>
  <c r="Q697" i="127"/>
  <c r="P697" i="127"/>
  <c r="O697" i="127"/>
  <c r="Q696" i="127"/>
  <c r="P696" i="127"/>
  <c r="O696" i="127"/>
  <c r="Q695" i="127"/>
  <c r="P695" i="127"/>
  <c r="O695" i="127"/>
  <c r="Q694" i="127"/>
  <c r="P694" i="127"/>
  <c r="O694" i="127"/>
  <c r="Q693" i="127"/>
  <c r="P693" i="127"/>
  <c r="O693" i="127"/>
  <c r="Q692" i="127"/>
  <c r="P692" i="127"/>
  <c r="O692" i="127"/>
  <c r="Q691" i="127"/>
  <c r="P691" i="127"/>
  <c r="O691" i="127"/>
  <c r="Q690" i="127"/>
  <c r="P690" i="127"/>
  <c r="O690" i="127"/>
  <c r="Q689" i="127"/>
  <c r="P689" i="127"/>
  <c r="O689" i="127"/>
  <c r="Q688" i="127"/>
  <c r="P688" i="127"/>
  <c r="O688" i="127"/>
  <c r="Q687" i="127"/>
  <c r="P687" i="127"/>
  <c r="O687" i="127"/>
  <c r="Q686" i="127"/>
  <c r="P686" i="127"/>
  <c r="O686" i="127"/>
  <c r="Q685" i="127"/>
  <c r="P685" i="127"/>
  <c r="O685" i="127"/>
  <c r="Q684" i="127"/>
  <c r="P684" i="127"/>
  <c r="O684" i="127"/>
  <c r="Q683" i="127"/>
  <c r="P683" i="127"/>
  <c r="O683" i="127"/>
  <c r="Q682" i="127"/>
  <c r="P682" i="127"/>
  <c r="O682" i="127"/>
  <c r="Q681" i="127"/>
  <c r="P681" i="127"/>
  <c r="O681" i="127"/>
  <c r="Q680" i="127"/>
  <c r="P680" i="127"/>
  <c r="O680" i="127"/>
  <c r="Q679" i="127"/>
  <c r="P679" i="127"/>
  <c r="O679" i="127"/>
  <c r="Q678" i="127"/>
  <c r="P678" i="127"/>
  <c r="O678" i="127"/>
  <c r="Q677" i="127"/>
  <c r="P677" i="127"/>
  <c r="O677" i="127"/>
  <c r="Q676" i="127"/>
  <c r="P676" i="127"/>
  <c r="O676" i="127"/>
  <c r="Q675" i="127"/>
  <c r="P675" i="127"/>
  <c r="O675" i="127"/>
  <c r="Q674" i="127"/>
  <c r="P674" i="127"/>
  <c r="O674" i="127"/>
  <c r="Q673" i="127"/>
  <c r="P673" i="127"/>
  <c r="O673" i="127"/>
  <c r="Q672" i="127"/>
  <c r="P672" i="127"/>
  <c r="O672" i="127"/>
  <c r="Q671" i="127"/>
  <c r="P671" i="127"/>
  <c r="O671" i="127"/>
  <c r="Q670" i="127"/>
  <c r="P670" i="127"/>
  <c r="O670" i="127"/>
  <c r="Q669" i="127"/>
  <c r="P669" i="127"/>
  <c r="O669" i="127"/>
  <c r="Q668" i="127"/>
  <c r="P668" i="127"/>
  <c r="O668" i="127"/>
  <c r="Q667" i="127"/>
  <c r="P667" i="127"/>
  <c r="O667" i="127"/>
  <c r="Q666" i="127"/>
  <c r="P666" i="127"/>
  <c r="O666" i="127"/>
  <c r="Q665" i="127"/>
  <c r="P665" i="127"/>
  <c r="O665" i="127"/>
  <c r="Q664" i="127"/>
  <c r="P664" i="127"/>
  <c r="O664" i="127"/>
  <c r="Q663" i="127"/>
  <c r="P663" i="127"/>
  <c r="O663" i="127"/>
  <c r="Q662" i="127"/>
  <c r="P662" i="127"/>
  <c r="O662" i="127"/>
  <c r="Q661" i="127"/>
  <c r="P661" i="127"/>
  <c r="O661" i="127"/>
  <c r="Q660" i="127"/>
  <c r="P660" i="127"/>
  <c r="O660" i="127"/>
  <c r="Q659" i="127"/>
  <c r="P659" i="127"/>
  <c r="O659" i="127"/>
  <c r="Q658" i="127"/>
  <c r="P658" i="127"/>
  <c r="O658" i="127"/>
  <c r="Q657" i="127"/>
  <c r="P657" i="127"/>
  <c r="O657" i="127"/>
  <c r="Q656" i="127"/>
  <c r="P656" i="127"/>
  <c r="O656" i="127"/>
  <c r="Q655" i="127"/>
  <c r="P655" i="127"/>
  <c r="O655" i="127"/>
  <c r="Q654" i="127"/>
  <c r="P654" i="127"/>
  <c r="O654" i="127"/>
  <c r="Q653" i="127"/>
  <c r="P653" i="127"/>
  <c r="O653" i="127"/>
  <c r="Q652" i="127"/>
  <c r="P652" i="127"/>
  <c r="O652" i="127"/>
  <c r="Q651" i="127"/>
  <c r="P651" i="127"/>
  <c r="O651" i="127"/>
  <c r="Q650" i="127"/>
  <c r="P650" i="127"/>
  <c r="O650" i="127"/>
  <c r="Q649" i="127"/>
  <c r="P649" i="127"/>
  <c r="O649" i="127"/>
  <c r="Q648" i="127"/>
  <c r="P648" i="127"/>
  <c r="O648" i="127"/>
  <c r="Q647" i="127"/>
  <c r="P647" i="127"/>
  <c r="O647" i="127"/>
  <c r="Q646" i="127"/>
  <c r="P646" i="127"/>
  <c r="O646" i="127"/>
  <c r="Q645" i="127"/>
  <c r="P645" i="127"/>
  <c r="O645" i="127"/>
  <c r="Q644" i="127"/>
  <c r="P644" i="127"/>
  <c r="O644" i="127"/>
  <c r="Q643" i="127"/>
  <c r="P643" i="127"/>
  <c r="O643" i="127"/>
  <c r="Q642" i="127"/>
  <c r="P642" i="127"/>
  <c r="O642" i="127"/>
  <c r="Q641" i="127"/>
  <c r="P641" i="127"/>
  <c r="O641" i="127"/>
  <c r="Q640" i="127"/>
  <c r="P640" i="127"/>
  <c r="O640" i="127"/>
  <c r="Q639" i="127"/>
  <c r="P639" i="127"/>
  <c r="O639" i="127"/>
  <c r="Q638" i="127"/>
  <c r="P638" i="127"/>
  <c r="O638" i="127"/>
  <c r="Q637" i="127"/>
  <c r="P637" i="127"/>
  <c r="O637" i="127"/>
  <c r="Q636" i="127"/>
  <c r="P636" i="127"/>
  <c r="O636" i="127"/>
  <c r="Q635" i="127"/>
  <c r="P635" i="127"/>
  <c r="O635" i="127"/>
  <c r="Q634" i="127"/>
  <c r="P634" i="127"/>
  <c r="O634" i="127"/>
  <c r="Q633" i="127"/>
  <c r="P633" i="127"/>
  <c r="O633" i="127"/>
  <c r="Q632" i="127"/>
  <c r="P632" i="127"/>
  <c r="O632" i="127"/>
  <c r="Q631" i="127"/>
  <c r="P631" i="127"/>
  <c r="O631" i="127"/>
  <c r="Q630" i="127"/>
  <c r="P630" i="127"/>
  <c r="O630" i="127"/>
  <c r="Q629" i="127"/>
  <c r="P629" i="127"/>
  <c r="O629" i="127"/>
  <c r="Q628" i="127"/>
  <c r="P628" i="127"/>
  <c r="O628" i="127"/>
  <c r="Q627" i="127"/>
  <c r="P627" i="127"/>
  <c r="O627" i="127"/>
  <c r="Q626" i="127"/>
  <c r="P626" i="127"/>
  <c r="O626" i="127"/>
  <c r="Q625" i="127"/>
  <c r="P625" i="127"/>
  <c r="O625" i="127"/>
  <c r="Q624" i="127"/>
  <c r="P624" i="127"/>
  <c r="O624" i="127"/>
  <c r="Q623" i="127"/>
  <c r="P623" i="127"/>
  <c r="O623" i="127"/>
  <c r="Q622" i="127"/>
  <c r="P622" i="127"/>
  <c r="O622" i="127"/>
  <c r="Q621" i="127"/>
  <c r="P621" i="127"/>
  <c r="O621" i="127"/>
  <c r="Q620" i="127"/>
  <c r="P620" i="127"/>
  <c r="O620" i="127"/>
  <c r="Q619" i="127"/>
  <c r="P619" i="127"/>
  <c r="O619" i="127"/>
  <c r="Q618" i="127"/>
  <c r="P618" i="127"/>
  <c r="O618" i="127"/>
  <c r="Q617" i="127"/>
  <c r="P617" i="127"/>
  <c r="O617" i="127"/>
  <c r="Q616" i="127"/>
  <c r="P616" i="127"/>
  <c r="O616" i="127"/>
  <c r="Q615" i="127"/>
  <c r="P615" i="127"/>
  <c r="O615" i="127"/>
  <c r="Q614" i="127"/>
  <c r="P614" i="127"/>
  <c r="O614" i="127"/>
  <c r="Q613" i="127"/>
  <c r="P613" i="127"/>
  <c r="O613" i="127"/>
  <c r="Q612" i="127"/>
  <c r="P612" i="127"/>
  <c r="O612" i="127"/>
  <c r="Q611" i="127"/>
  <c r="P611" i="127"/>
  <c r="O611" i="127"/>
  <c r="Q610" i="127"/>
  <c r="P610" i="127"/>
  <c r="O610" i="127"/>
  <c r="Q609" i="127"/>
  <c r="P609" i="127"/>
  <c r="O609" i="127"/>
  <c r="Q608" i="127"/>
  <c r="P608" i="127"/>
  <c r="O608" i="127"/>
  <c r="Q607" i="127"/>
  <c r="P607" i="127"/>
  <c r="O607" i="127"/>
  <c r="Q606" i="127"/>
  <c r="P606" i="127"/>
  <c r="O606" i="127"/>
  <c r="Q605" i="127"/>
  <c r="P605" i="127"/>
  <c r="O605" i="127"/>
  <c r="Q604" i="127"/>
  <c r="P604" i="127"/>
  <c r="O604" i="127"/>
  <c r="Q603" i="127"/>
  <c r="P603" i="127"/>
  <c r="O603" i="127"/>
  <c r="Q602" i="127"/>
  <c r="P602" i="127"/>
  <c r="O602" i="127"/>
  <c r="Q601" i="127"/>
  <c r="P601" i="127"/>
  <c r="O601" i="127"/>
  <c r="Q600" i="127"/>
  <c r="P600" i="127"/>
  <c r="O600" i="127"/>
  <c r="Q599" i="127"/>
  <c r="P599" i="127"/>
  <c r="O599" i="127"/>
  <c r="Q598" i="127"/>
  <c r="P598" i="127"/>
  <c r="O598" i="127"/>
  <c r="Q597" i="127"/>
  <c r="P597" i="127"/>
  <c r="O597" i="127"/>
  <c r="Q596" i="127"/>
  <c r="P596" i="127"/>
  <c r="O596" i="127"/>
  <c r="Q595" i="127"/>
  <c r="P595" i="127"/>
  <c r="O595" i="127"/>
  <c r="Q594" i="127"/>
  <c r="P594" i="127"/>
  <c r="O594" i="127"/>
  <c r="Q593" i="127"/>
  <c r="P593" i="127"/>
  <c r="O593" i="127"/>
  <c r="Q592" i="127"/>
  <c r="P592" i="127"/>
  <c r="O592" i="127"/>
  <c r="Q591" i="127"/>
  <c r="P591" i="127"/>
  <c r="O591" i="127"/>
  <c r="Q590" i="127"/>
  <c r="P590" i="127"/>
  <c r="O590" i="127"/>
  <c r="Q589" i="127"/>
  <c r="P589" i="127"/>
  <c r="O589" i="127"/>
  <c r="Q588" i="127"/>
  <c r="P588" i="127"/>
  <c r="O588" i="127"/>
  <c r="Q587" i="127"/>
  <c r="P587" i="127"/>
  <c r="O587" i="127"/>
  <c r="Q586" i="127"/>
  <c r="P586" i="127"/>
  <c r="O586" i="127"/>
  <c r="Q585" i="127"/>
  <c r="P585" i="127"/>
  <c r="O585" i="127"/>
  <c r="Q584" i="127"/>
  <c r="P584" i="127"/>
  <c r="O584" i="127"/>
  <c r="Q583" i="127"/>
  <c r="P583" i="127"/>
  <c r="O583" i="127"/>
  <c r="Q582" i="127"/>
  <c r="P582" i="127"/>
  <c r="O582" i="127"/>
  <c r="Q581" i="127"/>
  <c r="P581" i="127"/>
  <c r="O581" i="127"/>
  <c r="Q580" i="127"/>
  <c r="P580" i="127"/>
  <c r="O580" i="127"/>
  <c r="Q579" i="127"/>
  <c r="P579" i="127"/>
  <c r="O579" i="127"/>
  <c r="Q578" i="127"/>
  <c r="P578" i="127"/>
  <c r="O578" i="127"/>
  <c r="Q577" i="127"/>
  <c r="P577" i="127"/>
  <c r="O577" i="127"/>
  <c r="Q576" i="127"/>
  <c r="P576" i="127"/>
  <c r="O576" i="127"/>
  <c r="Q575" i="127"/>
  <c r="P575" i="127"/>
  <c r="O575" i="127"/>
  <c r="Q574" i="127"/>
  <c r="P574" i="127"/>
  <c r="O574" i="127"/>
  <c r="Q573" i="127"/>
  <c r="P573" i="127"/>
  <c r="O573" i="127"/>
  <c r="Q572" i="127"/>
  <c r="P572" i="127"/>
  <c r="O572" i="127"/>
  <c r="Q571" i="127"/>
  <c r="P571" i="127"/>
  <c r="O571" i="127"/>
  <c r="Q570" i="127"/>
  <c r="P570" i="127"/>
  <c r="O570" i="127"/>
  <c r="Q569" i="127"/>
  <c r="P569" i="127"/>
  <c r="O569" i="127"/>
  <c r="Q568" i="127"/>
  <c r="P568" i="127"/>
  <c r="O568" i="127"/>
  <c r="Q567" i="127"/>
  <c r="P567" i="127"/>
  <c r="O567" i="127"/>
  <c r="Q566" i="127"/>
  <c r="P566" i="127"/>
  <c r="O566" i="127"/>
  <c r="Q565" i="127"/>
  <c r="P565" i="127"/>
  <c r="O565" i="127"/>
  <c r="Q564" i="127"/>
  <c r="P564" i="127"/>
  <c r="O564" i="127"/>
  <c r="Q563" i="127"/>
  <c r="P563" i="127"/>
  <c r="O563" i="127"/>
  <c r="Q562" i="127"/>
  <c r="P562" i="127"/>
  <c r="O562" i="127"/>
  <c r="Q561" i="127"/>
  <c r="P561" i="127"/>
  <c r="O561" i="127"/>
  <c r="Q560" i="127"/>
  <c r="P560" i="127"/>
  <c r="O560" i="127"/>
  <c r="Q559" i="127"/>
  <c r="P559" i="127"/>
  <c r="O559" i="127"/>
  <c r="Q558" i="127"/>
  <c r="P558" i="127"/>
  <c r="O558" i="127"/>
  <c r="Q557" i="127"/>
  <c r="P557" i="127"/>
  <c r="O557" i="127"/>
  <c r="Q556" i="127"/>
  <c r="P556" i="127"/>
  <c r="O556" i="127"/>
  <c r="Q555" i="127"/>
  <c r="P555" i="127"/>
  <c r="O555" i="127"/>
  <c r="Q554" i="127"/>
  <c r="P554" i="127"/>
  <c r="O554" i="127"/>
  <c r="Q553" i="127"/>
  <c r="P553" i="127"/>
  <c r="O553" i="127"/>
  <c r="Q552" i="127"/>
  <c r="P552" i="127"/>
  <c r="O552" i="127"/>
  <c r="Q551" i="127"/>
  <c r="P551" i="127"/>
  <c r="O551" i="127"/>
  <c r="Q550" i="127"/>
  <c r="P550" i="127"/>
  <c r="O550" i="127"/>
  <c r="Q549" i="127"/>
  <c r="P549" i="127"/>
  <c r="O549" i="127"/>
  <c r="Q548" i="127"/>
  <c r="P548" i="127"/>
  <c r="O548" i="127"/>
  <c r="Q547" i="127"/>
  <c r="P547" i="127"/>
  <c r="O547" i="127"/>
  <c r="Q546" i="127"/>
  <c r="P546" i="127"/>
  <c r="O546" i="127"/>
  <c r="Q545" i="127"/>
  <c r="P545" i="127"/>
  <c r="O545" i="127"/>
  <c r="Q544" i="127"/>
  <c r="P544" i="127"/>
  <c r="O544" i="127"/>
  <c r="Q543" i="127"/>
  <c r="P543" i="127"/>
  <c r="O543" i="127"/>
  <c r="Q542" i="127"/>
  <c r="P542" i="127"/>
  <c r="O542" i="127"/>
  <c r="Q541" i="127"/>
  <c r="P541" i="127"/>
  <c r="O541" i="127"/>
  <c r="Q540" i="127"/>
  <c r="P540" i="127"/>
  <c r="O540" i="127"/>
  <c r="Q539" i="127"/>
  <c r="P539" i="127"/>
  <c r="O539" i="127"/>
  <c r="Q538" i="127"/>
  <c r="P538" i="127"/>
  <c r="O538" i="127"/>
  <c r="Q537" i="127"/>
  <c r="P537" i="127"/>
  <c r="O537" i="127"/>
  <c r="Q536" i="127"/>
  <c r="P536" i="127"/>
  <c r="O536" i="127"/>
  <c r="Q535" i="127"/>
  <c r="P535" i="127"/>
  <c r="O535" i="127"/>
  <c r="Q534" i="127"/>
  <c r="P534" i="127"/>
  <c r="O534" i="127"/>
  <c r="Q533" i="127"/>
  <c r="P533" i="127"/>
  <c r="O533" i="127"/>
  <c r="Q532" i="127"/>
  <c r="P532" i="127"/>
  <c r="O532" i="127"/>
  <c r="Q531" i="127"/>
  <c r="P531" i="127"/>
  <c r="O531" i="127"/>
  <c r="Q530" i="127"/>
  <c r="P530" i="127"/>
  <c r="O530" i="127"/>
  <c r="Q529" i="127"/>
  <c r="P529" i="127"/>
  <c r="O529" i="127"/>
  <c r="Q528" i="127"/>
  <c r="P528" i="127"/>
  <c r="O528" i="127"/>
  <c r="Q527" i="127"/>
  <c r="P527" i="127"/>
  <c r="O527" i="127"/>
  <c r="Q526" i="127"/>
  <c r="P526" i="127"/>
  <c r="O526" i="127"/>
  <c r="Q525" i="127"/>
  <c r="P525" i="127"/>
  <c r="O525" i="127"/>
  <c r="Q524" i="127"/>
  <c r="P524" i="127"/>
  <c r="O524" i="127"/>
  <c r="Q523" i="127"/>
  <c r="P523" i="127"/>
  <c r="O523" i="127"/>
  <c r="Q522" i="127"/>
  <c r="P522" i="127"/>
  <c r="O522" i="127"/>
  <c r="Q521" i="127"/>
  <c r="P521" i="127"/>
  <c r="O521" i="127"/>
  <c r="Q520" i="127"/>
  <c r="P520" i="127"/>
  <c r="O520" i="127"/>
  <c r="Q519" i="127"/>
  <c r="P519" i="127"/>
  <c r="O519" i="127"/>
  <c r="Q518" i="127"/>
  <c r="P518" i="127"/>
  <c r="O518" i="127"/>
  <c r="Q517" i="127"/>
  <c r="P517" i="127"/>
  <c r="O517" i="127"/>
  <c r="Q516" i="127"/>
  <c r="P516" i="127"/>
  <c r="O516" i="127"/>
  <c r="Q515" i="127"/>
  <c r="P515" i="127"/>
  <c r="O515" i="127"/>
  <c r="Q514" i="127"/>
  <c r="P514" i="127"/>
  <c r="O514" i="127"/>
  <c r="Q513" i="127"/>
  <c r="P513" i="127"/>
  <c r="O513" i="127"/>
  <c r="Q512" i="127"/>
  <c r="P512" i="127"/>
  <c r="O512" i="127"/>
  <c r="Q511" i="127"/>
  <c r="P511" i="127"/>
  <c r="O511" i="127"/>
  <c r="Q510" i="127"/>
  <c r="P510" i="127"/>
  <c r="O510" i="127"/>
  <c r="Q509" i="127"/>
  <c r="P509" i="127"/>
  <c r="O509" i="127"/>
  <c r="Q508" i="127"/>
  <c r="P508" i="127"/>
  <c r="O508" i="127"/>
  <c r="Q507" i="127"/>
  <c r="P507" i="127"/>
  <c r="O507" i="127"/>
  <c r="Q506" i="127"/>
  <c r="P506" i="127"/>
  <c r="O506" i="127"/>
  <c r="Q505" i="127"/>
  <c r="P505" i="127"/>
  <c r="O505" i="127"/>
  <c r="Q504" i="127"/>
  <c r="P504" i="127"/>
  <c r="O504" i="127"/>
  <c r="Q503" i="127"/>
  <c r="P503" i="127"/>
  <c r="O503" i="127"/>
  <c r="Q502" i="127"/>
  <c r="P502" i="127"/>
  <c r="O502" i="127"/>
  <c r="Q501" i="127"/>
  <c r="P501" i="127"/>
  <c r="O501" i="127"/>
  <c r="Q500" i="127"/>
  <c r="P500" i="127"/>
  <c r="O500" i="127"/>
  <c r="Q499" i="127"/>
  <c r="P499" i="127"/>
  <c r="O499" i="127"/>
  <c r="Q498" i="127"/>
  <c r="P498" i="127"/>
  <c r="O498" i="127"/>
  <c r="Q497" i="127"/>
  <c r="P497" i="127"/>
  <c r="O497" i="127"/>
  <c r="Q496" i="127"/>
  <c r="P496" i="127"/>
  <c r="O496" i="127"/>
  <c r="Q495" i="127"/>
  <c r="P495" i="127"/>
  <c r="O495" i="127"/>
  <c r="Q494" i="127"/>
  <c r="P494" i="127"/>
  <c r="O494" i="127"/>
  <c r="Q493" i="127"/>
  <c r="P493" i="127"/>
  <c r="O493" i="127"/>
  <c r="Q492" i="127"/>
  <c r="P492" i="127"/>
  <c r="O492" i="127"/>
  <c r="Q491" i="127"/>
  <c r="P491" i="127"/>
  <c r="O491" i="127"/>
  <c r="Q490" i="127"/>
  <c r="P490" i="127"/>
  <c r="O490" i="127"/>
  <c r="Q489" i="127"/>
  <c r="P489" i="127"/>
  <c r="O489" i="127"/>
  <c r="Q488" i="127"/>
  <c r="P488" i="127"/>
  <c r="O488" i="127"/>
  <c r="Q487" i="127"/>
  <c r="P487" i="127"/>
  <c r="O487" i="127"/>
  <c r="Q486" i="127"/>
  <c r="P486" i="127"/>
  <c r="O486" i="127"/>
  <c r="Q485" i="127"/>
  <c r="P485" i="127"/>
  <c r="O485" i="127"/>
  <c r="Q484" i="127"/>
  <c r="P484" i="127"/>
  <c r="O484" i="127"/>
  <c r="Q483" i="127"/>
  <c r="P483" i="127"/>
  <c r="O483" i="127"/>
  <c r="Q482" i="127"/>
  <c r="P482" i="127"/>
  <c r="O482" i="127"/>
  <c r="Q481" i="127"/>
  <c r="P481" i="127"/>
  <c r="O481" i="127"/>
  <c r="Q480" i="127"/>
  <c r="P480" i="127"/>
  <c r="O480" i="127"/>
  <c r="Q479" i="127"/>
  <c r="P479" i="127"/>
  <c r="O479" i="127"/>
  <c r="Q478" i="127"/>
  <c r="P478" i="127"/>
  <c r="O478" i="127"/>
  <c r="Q477" i="127"/>
  <c r="P477" i="127"/>
  <c r="O477" i="127"/>
  <c r="Q476" i="127"/>
  <c r="P476" i="127"/>
  <c r="O476" i="127"/>
  <c r="Q475" i="127"/>
  <c r="P475" i="127"/>
  <c r="O475" i="127"/>
  <c r="Q474" i="127"/>
  <c r="P474" i="127"/>
  <c r="O474" i="127"/>
  <c r="Q473" i="127"/>
  <c r="P473" i="127"/>
  <c r="O473" i="127"/>
  <c r="Q472" i="127"/>
  <c r="P472" i="127"/>
  <c r="O472" i="127"/>
  <c r="Q471" i="127"/>
  <c r="P471" i="127"/>
  <c r="O471" i="127"/>
  <c r="Q470" i="127"/>
  <c r="P470" i="127"/>
  <c r="O470" i="127"/>
  <c r="Q469" i="127"/>
  <c r="P469" i="127"/>
  <c r="O469" i="127"/>
  <c r="Q468" i="127"/>
  <c r="P468" i="127"/>
  <c r="O468" i="127"/>
  <c r="Q467" i="127"/>
  <c r="P467" i="127"/>
  <c r="O467" i="127"/>
  <c r="Q466" i="127"/>
  <c r="P466" i="127"/>
  <c r="O466" i="127"/>
  <c r="Q465" i="127"/>
  <c r="P465" i="127"/>
  <c r="O465" i="127"/>
  <c r="Q464" i="127"/>
  <c r="P464" i="127"/>
  <c r="O464" i="127"/>
  <c r="Q463" i="127"/>
  <c r="P463" i="127"/>
  <c r="O463" i="127"/>
  <c r="Q462" i="127"/>
  <c r="P462" i="127"/>
  <c r="O462" i="127"/>
  <c r="Q461" i="127"/>
  <c r="P461" i="127"/>
  <c r="O461" i="127"/>
  <c r="Q460" i="127"/>
  <c r="P460" i="127"/>
  <c r="O460" i="127"/>
  <c r="Q459" i="127"/>
  <c r="P459" i="127"/>
  <c r="O459" i="127"/>
  <c r="Q458" i="127"/>
  <c r="P458" i="127"/>
  <c r="O458" i="127"/>
  <c r="Q457" i="127"/>
  <c r="P457" i="127"/>
  <c r="O457" i="127"/>
  <c r="Q456" i="127"/>
  <c r="P456" i="127"/>
  <c r="O456" i="127"/>
  <c r="Q455" i="127"/>
  <c r="P455" i="127"/>
  <c r="O455" i="127"/>
  <c r="Q454" i="127"/>
  <c r="P454" i="127"/>
  <c r="O454" i="127"/>
  <c r="Q453" i="127"/>
  <c r="P453" i="127"/>
  <c r="O453" i="127"/>
  <c r="Q452" i="127"/>
  <c r="P452" i="127"/>
  <c r="O452" i="127"/>
  <c r="Q451" i="127"/>
  <c r="P451" i="127"/>
  <c r="O451" i="127"/>
  <c r="Q450" i="127"/>
  <c r="P450" i="127"/>
  <c r="O450" i="127"/>
  <c r="Q449" i="127"/>
  <c r="P449" i="127"/>
  <c r="O449" i="127"/>
  <c r="Q448" i="127"/>
  <c r="P448" i="127"/>
  <c r="O448" i="127"/>
  <c r="Q447" i="127"/>
  <c r="P447" i="127"/>
  <c r="O447" i="127"/>
  <c r="Q446" i="127"/>
  <c r="P446" i="127"/>
  <c r="O446" i="127"/>
  <c r="Q445" i="127"/>
  <c r="P445" i="127"/>
  <c r="O445" i="127"/>
  <c r="Q444" i="127"/>
  <c r="P444" i="127"/>
  <c r="O444" i="127"/>
  <c r="Q443" i="127"/>
  <c r="P443" i="127"/>
  <c r="O443" i="127"/>
  <c r="Q442" i="127"/>
  <c r="P442" i="127"/>
  <c r="O442" i="127"/>
  <c r="Q441" i="127"/>
  <c r="P441" i="127"/>
  <c r="O441" i="127"/>
  <c r="Q440" i="127"/>
  <c r="P440" i="127"/>
  <c r="O440" i="127"/>
  <c r="Q439" i="127"/>
  <c r="P439" i="127"/>
  <c r="O439" i="127"/>
  <c r="Q438" i="127"/>
  <c r="P438" i="127"/>
  <c r="O438" i="127"/>
  <c r="Q437" i="127"/>
  <c r="P437" i="127"/>
  <c r="O437" i="127"/>
  <c r="Q436" i="127"/>
  <c r="P436" i="127"/>
  <c r="O436" i="127"/>
  <c r="Q435" i="127"/>
  <c r="P435" i="127"/>
  <c r="O435" i="127"/>
  <c r="Q434" i="127"/>
  <c r="P434" i="127"/>
  <c r="O434" i="127"/>
  <c r="Q433" i="127"/>
  <c r="P433" i="127"/>
  <c r="O433" i="127"/>
  <c r="Q432" i="127"/>
  <c r="P432" i="127"/>
  <c r="O432" i="127"/>
  <c r="Q431" i="127"/>
  <c r="P431" i="127"/>
  <c r="O431" i="127"/>
  <c r="Q430" i="127"/>
  <c r="P430" i="127"/>
  <c r="O430" i="127"/>
  <c r="Q429" i="127"/>
  <c r="P429" i="127"/>
  <c r="O429" i="127"/>
  <c r="Q428" i="127"/>
  <c r="P428" i="127"/>
  <c r="O428" i="127"/>
  <c r="Q427" i="127"/>
  <c r="P427" i="127"/>
  <c r="O427" i="127"/>
  <c r="Q426" i="127"/>
  <c r="P426" i="127"/>
  <c r="O426" i="127"/>
  <c r="Q425" i="127"/>
  <c r="P425" i="127"/>
  <c r="O425" i="127"/>
  <c r="Q424" i="127"/>
  <c r="P424" i="127"/>
  <c r="O424" i="127"/>
  <c r="Q423" i="127"/>
  <c r="P423" i="127"/>
  <c r="O423" i="127"/>
  <c r="Q422" i="127"/>
  <c r="P422" i="127"/>
  <c r="O422" i="127"/>
  <c r="Q421" i="127"/>
  <c r="P421" i="127"/>
  <c r="O421" i="127"/>
  <c r="Q420" i="127"/>
  <c r="P420" i="127"/>
  <c r="O420" i="127"/>
  <c r="Q419" i="127"/>
  <c r="P419" i="127"/>
  <c r="O419" i="127"/>
  <c r="Q418" i="127"/>
  <c r="P418" i="127"/>
  <c r="O418" i="127"/>
  <c r="Q417" i="127"/>
  <c r="P417" i="127"/>
  <c r="O417" i="127"/>
  <c r="Q416" i="127"/>
  <c r="P416" i="127"/>
  <c r="O416" i="127"/>
  <c r="Q415" i="127"/>
  <c r="P415" i="127"/>
  <c r="O415" i="127"/>
  <c r="Q414" i="127"/>
  <c r="P414" i="127"/>
  <c r="O414" i="127"/>
  <c r="Q413" i="127"/>
  <c r="P413" i="127"/>
  <c r="O413" i="127"/>
  <c r="Q412" i="127"/>
  <c r="P412" i="127"/>
  <c r="O412" i="127"/>
  <c r="Q411" i="127"/>
  <c r="P411" i="127"/>
  <c r="O411" i="127"/>
  <c r="Q410" i="127"/>
  <c r="P410" i="127"/>
  <c r="O410" i="127"/>
  <c r="Q409" i="127"/>
  <c r="P409" i="127"/>
  <c r="O409" i="127"/>
  <c r="Q408" i="127"/>
  <c r="P408" i="127"/>
  <c r="O408" i="127"/>
  <c r="Q407" i="127"/>
  <c r="P407" i="127"/>
  <c r="O407" i="127"/>
  <c r="Q406" i="127"/>
  <c r="P406" i="127"/>
  <c r="O406" i="127"/>
  <c r="Q405" i="127"/>
  <c r="P405" i="127"/>
  <c r="O405" i="127"/>
  <c r="Q404" i="127"/>
  <c r="P404" i="127"/>
  <c r="O404" i="127"/>
  <c r="Q403" i="127"/>
  <c r="P403" i="127"/>
  <c r="O403" i="127"/>
  <c r="Q402" i="127"/>
  <c r="P402" i="127"/>
  <c r="O402" i="127"/>
  <c r="Q401" i="127"/>
  <c r="P401" i="127"/>
  <c r="O401" i="127"/>
  <c r="Q400" i="127"/>
  <c r="P400" i="127"/>
  <c r="O400" i="127"/>
  <c r="Q399" i="127"/>
  <c r="P399" i="127"/>
  <c r="O399" i="127"/>
  <c r="Q398" i="127"/>
  <c r="P398" i="127"/>
  <c r="O398" i="127"/>
  <c r="Q397" i="127"/>
  <c r="P397" i="127"/>
  <c r="O397" i="127"/>
  <c r="Q396" i="127"/>
  <c r="P396" i="127"/>
  <c r="O396" i="127"/>
  <c r="Q395" i="127"/>
  <c r="P395" i="127"/>
  <c r="O395" i="127"/>
  <c r="Q394" i="127"/>
  <c r="P394" i="127"/>
  <c r="O394" i="127"/>
  <c r="Q393" i="127"/>
  <c r="P393" i="127"/>
  <c r="O393" i="127"/>
  <c r="Q392" i="127"/>
  <c r="P392" i="127"/>
  <c r="O392" i="127"/>
  <c r="Q391" i="127"/>
  <c r="P391" i="127"/>
  <c r="O391" i="127"/>
  <c r="Q390" i="127"/>
  <c r="P390" i="127"/>
  <c r="O390" i="127"/>
  <c r="Q389" i="127"/>
  <c r="P389" i="127"/>
  <c r="O389" i="127"/>
  <c r="Q388" i="127"/>
  <c r="P388" i="127"/>
  <c r="O388" i="127"/>
  <c r="Q387" i="127"/>
  <c r="P387" i="127"/>
  <c r="O387" i="127"/>
  <c r="Q386" i="127"/>
  <c r="P386" i="127"/>
  <c r="O386" i="127"/>
  <c r="Q385" i="127"/>
  <c r="P385" i="127"/>
  <c r="O385" i="127"/>
  <c r="Q384" i="127"/>
  <c r="P384" i="127"/>
  <c r="O384" i="127"/>
  <c r="Q383" i="127"/>
  <c r="P383" i="127"/>
  <c r="O383" i="127"/>
  <c r="Q382" i="127"/>
  <c r="P382" i="127"/>
  <c r="O382" i="127"/>
  <c r="Q381" i="127"/>
  <c r="P381" i="127"/>
  <c r="O381" i="127"/>
  <c r="Q380" i="127"/>
  <c r="P380" i="127"/>
  <c r="O380" i="127"/>
  <c r="Q379" i="127"/>
  <c r="P379" i="127"/>
  <c r="O379" i="127"/>
  <c r="Q378" i="127"/>
  <c r="P378" i="127"/>
  <c r="O378" i="127"/>
  <c r="Q377" i="127"/>
  <c r="P377" i="127"/>
  <c r="O377" i="127"/>
  <c r="Q376" i="127"/>
  <c r="P376" i="127"/>
  <c r="O376" i="127"/>
  <c r="Q375" i="127"/>
  <c r="P375" i="127"/>
  <c r="O375" i="127"/>
  <c r="Q374" i="127"/>
  <c r="P374" i="127"/>
  <c r="O374" i="127"/>
  <c r="Q373" i="127"/>
  <c r="P373" i="127"/>
  <c r="O373" i="127"/>
  <c r="Q372" i="127"/>
  <c r="P372" i="127"/>
  <c r="O372" i="127"/>
  <c r="Q371" i="127"/>
  <c r="P371" i="127"/>
  <c r="O371" i="127"/>
  <c r="Q370" i="127"/>
  <c r="P370" i="127"/>
  <c r="O370" i="127"/>
  <c r="Q369" i="127"/>
  <c r="P369" i="127"/>
  <c r="O369" i="127"/>
  <c r="Q368" i="127"/>
  <c r="P368" i="127"/>
  <c r="O368" i="127"/>
  <c r="Q367" i="127"/>
  <c r="P367" i="127"/>
  <c r="O367" i="127"/>
  <c r="Q366" i="127"/>
  <c r="P366" i="127"/>
  <c r="O366" i="127"/>
  <c r="Q365" i="127"/>
  <c r="P365" i="127"/>
  <c r="O365" i="127"/>
  <c r="Q364" i="127"/>
  <c r="P364" i="127"/>
  <c r="O364" i="127"/>
  <c r="Q363" i="127"/>
  <c r="P363" i="127"/>
  <c r="O363" i="127"/>
  <c r="Q362" i="127"/>
  <c r="P362" i="127"/>
  <c r="O362" i="127"/>
  <c r="Q361" i="127"/>
  <c r="P361" i="127"/>
  <c r="O361" i="127"/>
  <c r="Q360" i="127"/>
  <c r="P360" i="127"/>
  <c r="O360" i="127"/>
  <c r="Q359" i="127"/>
  <c r="P359" i="127"/>
  <c r="O359" i="127"/>
  <c r="Q358" i="127"/>
  <c r="P358" i="127"/>
  <c r="O358" i="127"/>
  <c r="Q357" i="127"/>
  <c r="P357" i="127"/>
  <c r="O357" i="127"/>
  <c r="Q356" i="127"/>
  <c r="P356" i="127"/>
  <c r="O356" i="127"/>
  <c r="Q355" i="127"/>
  <c r="P355" i="127"/>
  <c r="O355" i="127"/>
  <c r="Q354" i="127"/>
  <c r="P354" i="127"/>
  <c r="O354" i="127"/>
  <c r="Q353" i="127"/>
  <c r="P353" i="127"/>
  <c r="O353" i="127"/>
  <c r="Q352" i="127"/>
  <c r="P352" i="127"/>
  <c r="O352" i="127"/>
  <c r="Q351" i="127"/>
  <c r="P351" i="127"/>
  <c r="O351" i="127"/>
  <c r="Q350" i="127"/>
  <c r="P350" i="127"/>
  <c r="O350" i="127"/>
  <c r="Q349" i="127"/>
  <c r="P349" i="127"/>
  <c r="O349" i="127"/>
  <c r="Q348" i="127"/>
  <c r="P348" i="127"/>
  <c r="O348" i="127"/>
  <c r="Q347" i="127"/>
  <c r="P347" i="127"/>
  <c r="O347" i="127"/>
  <c r="Q346" i="127"/>
  <c r="P346" i="127"/>
  <c r="O346" i="127"/>
  <c r="Q345" i="127"/>
  <c r="P345" i="127"/>
  <c r="O345" i="127"/>
  <c r="Q344" i="127"/>
  <c r="P344" i="127"/>
  <c r="O344" i="127"/>
  <c r="Q343" i="127"/>
  <c r="P343" i="127"/>
  <c r="O343" i="127"/>
  <c r="Q342" i="127"/>
  <c r="P342" i="127"/>
  <c r="O342" i="127"/>
  <c r="Q341" i="127"/>
  <c r="P341" i="127"/>
  <c r="O341" i="127"/>
  <c r="Q340" i="127"/>
  <c r="P340" i="127"/>
  <c r="O340" i="127"/>
  <c r="Q339" i="127"/>
  <c r="P339" i="127"/>
  <c r="O339" i="127"/>
  <c r="Q338" i="127"/>
  <c r="P338" i="127"/>
  <c r="O338" i="127"/>
  <c r="Q337" i="127"/>
  <c r="P337" i="127"/>
  <c r="O337" i="127"/>
  <c r="Q336" i="127"/>
  <c r="P336" i="127"/>
  <c r="O336" i="127"/>
  <c r="Q335" i="127"/>
  <c r="P335" i="127"/>
  <c r="O335" i="127"/>
  <c r="Q334" i="127"/>
  <c r="P334" i="127"/>
  <c r="O334" i="127"/>
  <c r="Q333" i="127"/>
  <c r="P333" i="127"/>
  <c r="O333" i="127"/>
  <c r="Q332" i="127"/>
  <c r="P332" i="127"/>
  <c r="O332" i="127"/>
  <c r="Q331" i="127"/>
  <c r="P331" i="127"/>
  <c r="O331" i="127"/>
  <c r="Q330" i="127"/>
  <c r="P330" i="127"/>
  <c r="O330" i="127"/>
  <c r="Q329" i="127"/>
  <c r="P329" i="127"/>
  <c r="O329" i="127"/>
  <c r="Q328" i="127"/>
  <c r="P328" i="127"/>
  <c r="O328" i="127"/>
  <c r="Q327" i="127"/>
  <c r="P327" i="127"/>
  <c r="O327" i="127"/>
  <c r="Q326" i="127"/>
  <c r="P326" i="127"/>
  <c r="O326" i="127"/>
  <c r="Q325" i="127"/>
  <c r="P325" i="127"/>
  <c r="O325" i="127"/>
  <c r="Q324" i="127"/>
  <c r="P324" i="127"/>
  <c r="O324" i="127"/>
  <c r="Q323" i="127"/>
  <c r="P323" i="127"/>
  <c r="O323" i="127"/>
  <c r="Q322" i="127"/>
  <c r="P322" i="127"/>
  <c r="O322" i="127"/>
  <c r="Q321" i="127"/>
  <c r="P321" i="127"/>
  <c r="O321" i="127"/>
  <c r="Q320" i="127"/>
  <c r="P320" i="127"/>
  <c r="O320" i="127"/>
  <c r="Q319" i="127"/>
  <c r="P319" i="127"/>
  <c r="O319" i="127"/>
  <c r="Q318" i="127"/>
  <c r="P318" i="127"/>
  <c r="O318" i="127"/>
  <c r="Q317" i="127"/>
  <c r="P317" i="127"/>
  <c r="O317" i="127"/>
  <c r="Q316" i="127"/>
  <c r="P316" i="127"/>
  <c r="O316" i="127"/>
  <c r="Q315" i="127"/>
  <c r="P315" i="127"/>
  <c r="O315" i="127"/>
  <c r="Q314" i="127"/>
  <c r="P314" i="127"/>
  <c r="O314" i="127"/>
  <c r="Q313" i="127"/>
  <c r="P313" i="127"/>
  <c r="O313" i="127"/>
  <c r="Q312" i="127"/>
  <c r="P312" i="127"/>
  <c r="O312" i="127"/>
  <c r="Q311" i="127"/>
  <c r="P311" i="127"/>
  <c r="O311" i="127"/>
  <c r="Q310" i="127"/>
  <c r="P310" i="127"/>
  <c r="O310" i="127"/>
  <c r="Q309" i="127"/>
  <c r="P309" i="127"/>
  <c r="O309" i="127"/>
  <c r="Q308" i="127"/>
  <c r="P308" i="127"/>
  <c r="O308" i="127"/>
  <c r="Q307" i="127"/>
  <c r="P307" i="127"/>
  <c r="O307" i="127"/>
  <c r="Q306" i="127"/>
  <c r="P306" i="127"/>
  <c r="O306" i="127"/>
  <c r="Q305" i="127"/>
  <c r="P305" i="127"/>
  <c r="O305" i="127"/>
  <c r="Q304" i="127"/>
  <c r="P304" i="127"/>
  <c r="O304" i="127"/>
  <c r="Q303" i="127"/>
  <c r="P303" i="127"/>
  <c r="O303" i="127"/>
  <c r="Q302" i="127"/>
  <c r="P302" i="127"/>
  <c r="O302" i="127"/>
  <c r="Q301" i="127"/>
  <c r="P301" i="127"/>
  <c r="O301" i="127"/>
  <c r="Q300" i="127"/>
  <c r="P300" i="127"/>
  <c r="O300" i="127"/>
  <c r="Q299" i="127"/>
  <c r="P299" i="127"/>
  <c r="O299" i="127"/>
  <c r="Q298" i="127"/>
  <c r="P298" i="127"/>
  <c r="O298" i="127"/>
  <c r="Q297" i="127"/>
  <c r="P297" i="127"/>
  <c r="O297" i="127"/>
  <c r="Q296" i="127"/>
  <c r="P296" i="127"/>
  <c r="O296" i="127"/>
  <c r="Q295" i="127"/>
  <c r="P295" i="127"/>
  <c r="O295" i="127"/>
  <c r="Q294" i="127"/>
  <c r="P294" i="127"/>
  <c r="O294" i="127"/>
  <c r="Q293" i="127"/>
  <c r="P293" i="127"/>
  <c r="O293" i="127"/>
  <c r="Q292" i="127"/>
  <c r="P292" i="127"/>
  <c r="O292" i="127"/>
  <c r="Q291" i="127"/>
  <c r="P291" i="127"/>
  <c r="O291" i="127"/>
  <c r="Q290" i="127"/>
  <c r="P290" i="127"/>
  <c r="O290" i="127"/>
  <c r="Q289" i="127"/>
  <c r="P289" i="127"/>
  <c r="O289" i="127"/>
  <c r="Q288" i="127"/>
  <c r="P288" i="127"/>
  <c r="O288" i="127"/>
  <c r="Q287" i="127"/>
  <c r="P287" i="127"/>
  <c r="O287" i="127"/>
  <c r="Q286" i="127"/>
  <c r="P286" i="127"/>
  <c r="O286" i="127"/>
  <c r="Q285" i="127"/>
  <c r="P285" i="127"/>
  <c r="O285" i="127"/>
  <c r="Q284" i="127"/>
  <c r="P284" i="127"/>
  <c r="O284" i="127"/>
  <c r="Q283" i="127"/>
  <c r="P283" i="127"/>
  <c r="O283" i="127"/>
  <c r="Q282" i="127"/>
  <c r="P282" i="127"/>
  <c r="O282" i="127"/>
  <c r="Q281" i="127"/>
  <c r="P281" i="127"/>
  <c r="O281" i="127"/>
  <c r="Q280" i="127"/>
  <c r="P280" i="127"/>
  <c r="O280" i="127"/>
  <c r="Q279" i="127"/>
  <c r="P279" i="127"/>
  <c r="O279" i="127"/>
  <c r="Q278" i="127"/>
  <c r="P278" i="127"/>
  <c r="O278" i="127"/>
  <c r="Q277" i="127"/>
  <c r="P277" i="127"/>
  <c r="O277" i="127"/>
  <c r="Q276" i="127"/>
  <c r="P276" i="127"/>
  <c r="O276" i="127"/>
  <c r="Q275" i="127"/>
  <c r="P275" i="127"/>
  <c r="O275" i="127"/>
  <c r="Q274" i="127"/>
  <c r="P274" i="127"/>
  <c r="O274" i="127"/>
  <c r="Q273" i="127"/>
  <c r="P273" i="127"/>
  <c r="O273" i="127"/>
  <c r="Q272" i="127"/>
  <c r="P272" i="127"/>
  <c r="O272" i="127"/>
  <c r="Q271" i="127"/>
  <c r="P271" i="127"/>
  <c r="O271" i="127"/>
  <c r="Q270" i="127"/>
  <c r="P270" i="127"/>
  <c r="O270" i="127"/>
  <c r="Q269" i="127"/>
  <c r="P269" i="127"/>
  <c r="O269" i="127"/>
  <c r="Q268" i="127"/>
  <c r="P268" i="127"/>
  <c r="O268" i="127"/>
  <c r="Q267" i="127"/>
  <c r="P267" i="127"/>
  <c r="O267" i="127"/>
  <c r="Q266" i="127"/>
  <c r="P266" i="127"/>
  <c r="O266" i="127"/>
  <c r="Q265" i="127"/>
  <c r="P265" i="127"/>
  <c r="O265" i="127"/>
  <c r="Q264" i="127"/>
  <c r="P264" i="127"/>
  <c r="O264" i="127"/>
  <c r="Q263" i="127"/>
  <c r="P263" i="127"/>
  <c r="O263" i="127"/>
  <c r="Q262" i="127"/>
  <c r="P262" i="127"/>
  <c r="O262" i="127"/>
  <c r="Q261" i="127"/>
  <c r="P261" i="127"/>
  <c r="O261" i="127"/>
  <c r="Q260" i="127"/>
  <c r="P260" i="127"/>
  <c r="O260" i="127"/>
  <c r="Q259" i="127"/>
  <c r="P259" i="127"/>
  <c r="O259" i="127"/>
  <c r="Q258" i="127"/>
  <c r="P258" i="127"/>
  <c r="O258" i="127"/>
  <c r="Q257" i="127"/>
  <c r="P257" i="127"/>
  <c r="O257" i="127"/>
  <c r="Q256" i="127"/>
  <c r="P256" i="127"/>
  <c r="O256" i="127"/>
  <c r="Q255" i="127"/>
  <c r="P255" i="127"/>
  <c r="O255" i="127"/>
  <c r="Q254" i="127"/>
  <c r="P254" i="127"/>
  <c r="O254" i="127"/>
  <c r="Q253" i="127"/>
  <c r="P253" i="127"/>
  <c r="O253" i="127"/>
  <c r="Q252" i="127"/>
  <c r="P252" i="127"/>
  <c r="O252" i="127"/>
  <c r="Q251" i="127"/>
  <c r="P251" i="127"/>
  <c r="O251" i="127"/>
  <c r="Q250" i="127"/>
  <c r="P250" i="127"/>
  <c r="O250" i="127"/>
  <c r="Q249" i="127"/>
  <c r="P249" i="127"/>
  <c r="O249" i="127"/>
  <c r="Q248" i="127"/>
  <c r="P248" i="127"/>
  <c r="O248" i="127"/>
  <c r="Q247" i="127"/>
  <c r="P247" i="127"/>
  <c r="O247" i="127"/>
  <c r="Q246" i="127"/>
  <c r="P246" i="127"/>
  <c r="O246" i="127"/>
  <c r="Q245" i="127"/>
  <c r="P245" i="127"/>
  <c r="O245" i="127"/>
  <c r="Q244" i="127"/>
  <c r="P244" i="127"/>
  <c r="O244" i="127"/>
  <c r="Q243" i="127"/>
  <c r="P243" i="127"/>
  <c r="O243" i="127"/>
  <c r="Q242" i="127"/>
  <c r="P242" i="127"/>
  <c r="O242" i="127"/>
  <c r="Q241" i="127"/>
  <c r="P241" i="127"/>
  <c r="O241" i="127"/>
  <c r="Q240" i="127"/>
  <c r="P240" i="127"/>
  <c r="O240" i="127"/>
  <c r="Q239" i="127"/>
  <c r="P239" i="127"/>
  <c r="O239" i="127"/>
  <c r="Q238" i="127"/>
  <c r="P238" i="127"/>
  <c r="O238" i="127"/>
  <c r="Q237" i="127"/>
  <c r="P237" i="127"/>
  <c r="O237" i="127"/>
  <c r="Q236" i="127"/>
  <c r="P236" i="127"/>
  <c r="O236" i="127"/>
  <c r="Q235" i="127"/>
  <c r="P235" i="127"/>
  <c r="O235" i="127"/>
  <c r="Q234" i="127"/>
  <c r="P234" i="127"/>
  <c r="O234" i="127"/>
  <c r="Q233" i="127"/>
  <c r="P233" i="127"/>
  <c r="O233" i="127"/>
  <c r="Q232" i="127"/>
  <c r="P232" i="127"/>
  <c r="O232" i="127"/>
  <c r="Q231" i="127"/>
  <c r="P231" i="127"/>
  <c r="O231" i="127"/>
  <c r="Q230" i="127"/>
  <c r="P230" i="127"/>
  <c r="O230" i="127"/>
  <c r="Q229" i="127"/>
  <c r="P229" i="127"/>
  <c r="O229" i="127"/>
  <c r="Q228" i="127"/>
  <c r="P228" i="127"/>
  <c r="O228" i="127"/>
  <c r="Q227" i="127"/>
  <c r="P227" i="127"/>
  <c r="O227" i="127"/>
  <c r="Q226" i="127"/>
  <c r="P226" i="127"/>
  <c r="O226" i="127"/>
  <c r="Q225" i="127"/>
  <c r="P225" i="127"/>
  <c r="O225" i="127"/>
  <c r="Q224" i="127"/>
  <c r="P224" i="127"/>
  <c r="O224" i="127"/>
  <c r="Q223" i="127"/>
  <c r="P223" i="127"/>
  <c r="O223" i="127"/>
  <c r="Q222" i="127"/>
  <c r="P222" i="127"/>
  <c r="O222" i="127"/>
  <c r="Q221" i="127"/>
  <c r="P221" i="127"/>
  <c r="O221" i="127"/>
  <c r="Q220" i="127"/>
  <c r="P220" i="127"/>
  <c r="O220" i="127"/>
  <c r="Q219" i="127"/>
  <c r="P219" i="127"/>
  <c r="O219" i="127"/>
  <c r="Q218" i="127"/>
  <c r="P218" i="127"/>
  <c r="O218" i="127"/>
  <c r="Q217" i="127"/>
  <c r="P217" i="127"/>
  <c r="O217" i="127"/>
  <c r="Q216" i="127"/>
  <c r="P216" i="127"/>
  <c r="O216" i="127"/>
  <c r="Q215" i="127"/>
  <c r="P215" i="127"/>
  <c r="O215" i="127"/>
  <c r="Q214" i="127"/>
  <c r="P214" i="127"/>
  <c r="O214" i="127"/>
  <c r="Q213" i="127"/>
  <c r="P213" i="127"/>
  <c r="O213" i="127"/>
  <c r="Q212" i="127"/>
  <c r="P212" i="127"/>
  <c r="O212" i="127"/>
  <c r="Q211" i="127"/>
  <c r="P211" i="127"/>
  <c r="O211" i="127"/>
  <c r="Q210" i="127"/>
  <c r="P210" i="127"/>
  <c r="O210" i="127"/>
  <c r="Q209" i="127"/>
  <c r="P209" i="127"/>
  <c r="O209" i="127"/>
  <c r="Q208" i="127"/>
  <c r="P208" i="127"/>
  <c r="O208" i="127"/>
  <c r="Q207" i="127"/>
  <c r="P207" i="127"/>
  <c r="O207" i="127"/>
  <c r="Q206" i="127"/>
  <c r="P206" i="127"/>
  <c r="O206" i="127"/>
  <c r="Q205" i="127"/>
  <c r="P205" i="127"/>
  <c r="O205" i="127"/>
  <c r="Q204" i="127"/>
  <c r="P204" i="127"/>
  <c r="O204" i="127"/>
  <c r="Q203" i="127"/>
  <c r="P203" i="127"/>
  <c r="O203" i="127"/>
  <c r="Q202" i="127"/>
  <c r="P202" i="127"/>
  <c r="O202" i="127"/>
  <c r="Q201" i="127"/>
  <c r="P201" i="127"/>
  <c r="O201" i="127"/>
  <c r="Q200" i="127"/>
  <c r="P200" i="127"/>
  <c r="O200" i="127"/>
  <c r="Q199" i="127"/>
  <c r="P199" i="127"/>
  <c r="O199" i="127"/>
  <c r="Q198" i="127"/>
  <c r="P198" i="127"/>
  <c r="O198" i="127"/>
  <c r="Q197" i="127"/>
  <c r="P197" i="127"/>
  <c r="O197" i="127"/>
  <c r="Q196" i="127"/>
  <c r="P196" i="127"/>
  <c r="O196" i="127"/>
  <c r="Q195" i="127"/>
  <c r="P195" i="127"/>
  <c r="O195" i="127"/>
  <c r="Q194" i="127"/>
  <c r="P194" i="127"/>
  <c r="O194" i="127"/>
  <c r="Q193" i="127"/>
  <c r="P193" i="127"/>
  <c r="O193" i="127"/>
  <c r="Q192" i="127"/>
  <c r="P192" i="127"/>
  <c r="O192" i="127"/>
  <c r="Q191" i="127"/>
  <c r="P191" i="127"/>
  <c r="O191" i="127"/>
  <c r="Q190" i="127"/>
  <c r="P190" i="127"/>
  <c r="O190" i="127"/>
  <c r="Q189" i="127"/>
  <c r="P189" i="127"/>
  <c r="O189" i="127"/>
  <c r="Q188" i="127"/>
  <c r="P188" i="127"/>
  <c r="O188" i="127"/>
  <c r="Q187" i="127"/>
  <c r="P187" i="127"/>
  <c r="O187" i="127"/>
  <c r="Q186" i="127"/>
  <c r="P186" i="127"/>
  <c r="O186" i="127"/>
  <c r="Q185" i="127"/>
  <c r="P185" i="127"/>
  <c r="O185" i="127"/>
  <c r="Q184" i="127"/>
  <c r="P184" i="127"/>
  <c r="O184" i="127"/>
  <c r="Q183" i="127"/>
  <c r="P183" i="127"/>
  <c r="O183" i="127"/>
  <c r="Q182" i="127"/>
  <c r="P182" i="127"/>
  <c r="O182" i="127"/>
  <c r="Q181" i="127"/>
  <c r="P181" i="127"/>
  <c r="O181" i="127"/>
  <c r="Q180" i="127"/>
  <c r="P180" i="127"/>
  <c r="O180" i="127"/>
  <c r="Q179" i="127"/>
  <c r="P179" i="127"/>
  <c r="O179" i="127"/>
  <c r="Q178" i="127"/>
  <c r="P178" i="127"/>
  <c r="O178" i="127"/>
  <c r="Q177" i="127"/>
  <c r="P177" i="127"/>
  <c r="O177" i="127"/>
  <c r="Q176" i="127"/>
  <c r="P176" i="127"/>
  <c r="O176" i="127"/>
  <c r="Q175" i="127"/>
  <c r="P175" i="127"/>
  <c r="O175" i="127"/>
  <c r="Q174" i="127"/>
  <c r="P174" i="127"/>
  <c r="O174" i="127"/>
  <c r="Q173" i="127"/>
  <c r="P173" i="127"/>
  <c r="O173" i="127"/>
  <c r="Q172" i="127"/>
  <c r="P172" i="127"/>
  <c r="O172" i="127"/>
  <c r="Q171" i="127"/>
  <c r="P171" i="127"/>
  <c r="O171" i="127"/>
  <c r="Q170" i="127"/>
  <c r="P170" i="127"/>
  <c r="O170" i="127"/>
  <c r="Q169" i="127"/>
  <c r="P169" i="127"/>
  <c r="O169" i="127"/>
  <c r="Q168" i="127"/>
  <c r="P168" i="127"/>
  <c r="O168" i="127"/>
  <c r="Q167" i="127"/>
  <c r="P167" i="127"/>
  <c r="O167" i="127"/>
  <c r="Q166" i="127"/>
  <c r="P166" i="127"/>
  <c r="O166" i="127"/>
  <c r="Q165" i="127"/>
  <c r="P165" i="127"/>
  <c r="O165" i="127"/>
  <c r="Q164" i="127"/>
  <c r="P164" i="127"/>
  <c r="O164" i="127"/>
  <c r="Q163" i="127"/>
  <c r="P163" i="127"/>
  <c r="O163" i="127"/>
  <c r="Q162" i="127"/>
  <c r="P162" i="127"/>
  <c r="O162" i="127"/>
  <c r="Q161" i="127"/>
  <c r="P161" i="127"/>
  <c r="O161" i="127"/>
  <c r="Q160" i="127"/>
  <c r="P160" i="127"/>
  <c r="O160" i="127"/>
  <c r="Q159" i="127"/>
  <c r="P159" i="127"/>
  <c r="O159" i="127"/>
  <c r="Q158" i="127"/>
  <c r="P158" i="127"/>
  <c r="O158" i="127"/>
  <c r="Q157" i="127"/>
  <c r="P157" i="127"/>
  <c r="O157" i="127"/>
  <c r="Q156" i="127"/>
  <c r="P156" i="127"/>
  <c r="O156" i="127"/>
  <c r="Q155" i="127"/>
  <c r="P155" i="127"/>
  <c r="O155" i="127"/>
  <c r="Q154" i="127"/>
  <c r="P154" i="127"/>
  <c r="O154" i="127"/>
  <c r="Q153" i="127"/>
  <c r="P153" i="127"/>
  <c r="O153" i="127"/>
  <c r="Q152" i="127"/>
  <c r="P152" i="127"/>
  <c r="O152" i="127"/>
  <c r="Q151" i="127"/>
  <c r="P151" i="127"/>
  <c r="O151" i="127"/>
  <c r="Q150" i="127"/>
  <c r="P150" i="127"/>
  <c r="O150" i="127"/>
  <c r="Q149" i="127"/>
  <c r="P149" i="127"/>
  <c r="O149" i="127"/>
  <c r="Q148" i="127"/>
  <c r="P148" i="127"/>
  <c r="O148" i="127"/>
  <c r="Q147" i="127"/>
  <c r="P147" i="127"/>
  <c r="O147" i="127"/>
  <c r="Q146" i="127"/>
  <c r="P146" i="127"/>
  <c r="O146" i="127"/>
  <c r="Q145" i="127"/>
  <c r="P145" i="127"/>
  <c r="O145" i="127"/>
  <c r="Q144" i="127"/>
  <c r="P144" i="127"/>
  <c r="O144" i="127"/>
  <c r="Q143" i="127"/>
  <c r="P143" i="127"/>
  <c r="O143" i="127"/>
  <c r="Q142" i="127"/>
  <c r="P142" i="127"/>
  <c r="O142" i="127"/>
  <c r="Q141" i="127"/>
  <c r="P141" i="127"/>
  <c r="O141" i="127"/>
  <c r="Q140" i="127"/>
  <c r="P140" i="127"/>
  <c r="O140" i="127"/>
  <c r="Q139" i="127"/>
  <c r="P139" i="127"/>
  <c r="O139" i="127"/>
  <c r="Q138" i="127"/>
  <c r="P138" i="127"/>
  <c r="O138" i="127"/>
  <c r="Q137" i="127"/>
  <c r="P137" i="127"/>
  <c r="O137" i="127"/>
  <c r="Q136" i="127"/>
  <c r="P136" i="127"/>
  <c r="O136" i="127"/>
  <c r="Q135" i="127"/>
  <c r="P135" i="127"/>
  <c r="O135" i="127"/>
  <c r="Q134" i="127"/>
  <c r="P134" i="127"/>
  <c r="O134" i="127"/>
  <c r="Q133" i="127"/>
  <c r="P133" i="127"/>
  <c r="O133" i="127"/>
  <c r="Q132" i="127"/>
  <c r="P132" i="127"/>
  <c r="O132" i="127"/>
  <c r="Q131" i="127"/>
  <c r="P131" i="127"/>
  <c r="O131" i="127"/>
  <c r="Q130" i="127"/>
  <c r="P130" i="127"/>
  <c r="O130" i="127"/>
  <c r="Q129" i="127"/>
  <c r="P129" i="127"/>
  <c r="O129" i="127"/>
  <c r="Q128" i="127"/>
  <c r="P128" i="127"/>
  <c r="O128" i="127"/>
  <c r="Q127" i="127"/>
  <c r="P127" i="127"/>
  <c r="O127" i="127"/>
  <c r="Q126" i="127"/>
  <c r="P126" i="127"/>
  <c r="O126" i="127"/>
  <c r="Q125" i="127"/>
  <c r="P125" i="127"/>
  <c r="O125" i="127"/>
  <c r="Q124" i="127"/>
  <c r="P124" i="127"/>
  <c r="O124" i="127"/>
  <c r="Q123" i="127"/>
  <c r="P123" i="127"/>
  <c r="O123" i="127"/>
  <c r="Q122" i="127"/>
  <c r="P122" i="127"/>
  <c r="O122" i="127"/>
  <c r="Q121" i="127"/>
  <c r="P121" i="127"/>
  <c r="O121" i="127"/>
  <c r="Q120" i="127"/>
  <c r="P120" i="127"/>
  <c r="O120" i="127"/>
  <c r="Q119" i="127"/>
  <c r="P119" i="127"/>
  <c r="O119" i="127"/>
  <c r="Q118" i="127"/>
  <c r="P118" i="127"/>
  <c r="O118" i="127"/>
  <c r="Q117" i="127"/>
  <c r="P117" i="127"/>
  <c r="O117" i="127"/>
  <c r="Q116" i="127"/>
  <c r="P116" i="127"/>
  <c r="O116" i="127"/>
  <c r="Q115" i="127"/>
  <c r="P115" i="127"/>
  <c r="O115" i="127"/>
  <c r="Q114" i="127"/>
  <c r="P114" i="127"/>
  <c r="O114" i="127"/>
  <c r="Q113" i="127"/>
  <c r="P113" i="127"/>
  <c r="O113" i="127"/>
  <c r="Q112" i="127"/>
  <c r="P112" i="127"/>
  <c r="O112" i="127"/>
  <c r="Q111" i="127"/>
  <c r="P111" i="127"/>
  <c r="O111" i="127"/>
  <c r="Q110" i="127"/>
  <c r="P110" i="127"/>
  <c r="O110" i="127"/>
  <c r="Q109" i="127"/>
  <c r="P109" i="127"/>
  <c r="O109" i="127"/>
  <c r="Q108" i="127"/>
  <c r="P108" i="127"/>
  <c r="O108" i="127"/>
  <c r="Q107" i="127"/>
  <c r="P107" i="127"/>
  <c r="O107" i="127"/>
  <c r="Q106" i="127"/>
  <c r="P106" i="127"/>
  <c r="O106" i="127"/>
  <c r="Q105" i="127"/>
  <c r="P105" i="127"/>
  <c r="O105" i="127"/>
  <c r="Q104" i="127"/>
  <c r="P104" i="127"/>
  <c r="O104" i="127"/>
  <c r="Q103" i="127"/>
  <c r="P103" i="127"/>
  <c r="O103" i="127"/>
  <c r="Q102" i="127"/>
  <c r="P102" i="127"/>
  <c r="O102" i="127"/>
  <c r="Q101" i="127"/>
  <c r="P101" i="127"/>
  <c r="O101" i="127"/>
  <c r="Q100" i="127"/>
  <c r="P100" i="127"/>
  <c r="O100" i="127"/>
  <c r="Q99" i="127"/>
  <c r="P99" i="127"/>
  <c r="O99" i="127"/>
  <c r="Q98" i="127"/>
  <c r="P98" i="127"/>
  <c r="O98" i="127"/>
  <c r="Q97" i="127"/>
  <c r="P97" i="127"/>
  <c r="O97" i="127"/>
  <c r="Q96" i="127"/>
  <c r="P96" i="127"/>
  <c r="O96" i="127"/>
  <c r="Q95" i="127"/>
  <c r="P95" i="127"/>
  <c r="O95" i="127"/>
  <c r="Q94" i="127"/>
  <c r="P94" i="127"/>
  <c r="O94" i="127"/>
  <c r="Q93" i="127"/>
  <c r="P93" i="127"/>
  <c r="O93" i="127"/>
  <c r="Q92" i="127"/>
  <c r="P92" i="127"/>
  <c r="O92" i="127"/>
  <c r="Q91" i="127"/>
  <c r="P91" i="127"/>
  <c r="O91" i="127"/>
  <c r="Q90" i="127"/>
  <c r="P90" i="127"/>
  <c r="O90" i="127"/>
  <c r="Q89" i="127"/>
  <c r="P89" i="127"/>
  <c r="O89" i="127"/>
  <c r="Q88" i="127"/>
  <c r="P88" i="127"/>
  <c r="O88" i="127"/>
  <c r="Q87" i="127"/>
  <c r="P87" i="127"/>
  <c r="O87" i="127"/>
  <c r="Q86" i="127"/>
  <c r="P86" i="127"/>
  <c r="O86" i="127"/>
  <c r="Q85" i="127"/>
  <c r="P85" i="127"/>
  <c r="O85" i="127"/>
  <c r="Q84" i="127"/>
  <c r="P84" i="127"/>
  <c r="O84" i="127"/>
  <c r="Q83" i="127"/>
  <c r="P83" i="127"/>
  <c r="O83" i="127"/>
  <c r="Q82" i="127"/>
  <c r="P82" i="127"/>
  <c r="O82" i="127"/>
  <c r="Q81" i="127"/>
  <c r="P81" i="127"/>
  <c r="O81" i="127"/>
  <c r="Q80" i="127"/>
  <c r="P80" i="127"/>
  <c r="O80" i="127"/>
  <c r="Q79" i="127"/>
  <c r="P79" i="127"/>
  <c r="O79" i="127"/>
  <c r="Q78" i="127"/>
  <c r="P78" i="127"/>
  <c r="O78" i="127"/>
  <c r="Q77" i="127"/>
  <c r="P77" i="127"/>
  <c r="O77" i="127"/>
  <c r="Q76" i="127"/>
  <c r="P76" i="127"/>
  <c r="O76" i="127"/>
  <c r="Q75" i="127"/>
  <c r="P75" i="127"/>
  <c r="O75" i="127"/>
  <c r="Q74" i="127"/>
  <c r="P74" i="127"/>
  <c r="O74" i="127"/>
  <c r="Q73" i="127"/>
  <c r="P73" i="127"/>
  <c r="O73" i="127"/>
  <c r="Q72" i="127"/>
  <c r="P72" i="127"/>
  <c r="O72" i="127"/>
  <c r="Q71" i="127"/>
  <c r="P71" i="127"/>
  <c r="O71" i="127"/>
  <c r="Q70" i="127"/>
  <c r="P70" i="127"/>
  <c r="O70" i="127"/>
  <c r="Q69" i="127"/>
  <c r="P69" i="127"/>
  <c r="O69" i="127"/>
  <c r="Q68" i="127"/>
  <c r="P68" i="127"/>
  <c r="O68" i="127"/>
  <c r="Q67" i="127"/>
  <c r="P67" i="127"/>
  <c r="O67" i="127"/>
  <c r="Q66" i="127"/>
  <c r="P66" i="127"/>
  <c r="O66" i="127"/>
  <c r="Q65" i="127"/>
  <c r="P65" i="127"/>
  <c r="O65" i="127"/>
  <c r="Q64" i="127"/>
  <c r="P64" i="127"/>
  <c r="O64" i="127"/>
  <c r="Q63" i="127"/>
  <c r="P63" i="127"/>
  <c r="O63" i="127"/>
  <c r="Q62" i="127"/>
  <c r="P62" i="127"/>
  <c r="O62" i="127"/>
  <c r="Q61" i="127"/>
  <c r="P61" i="127"/>
  <c r="O61" i="127"/>
  <c r="Q60" i="127"/>
  <c r="P60" i="127"/>
  <c r="O60" i="127"/>
  <c r="Q59" i="127"/>
  <c r="P59" i="127"/>
  <c r="O59" i="127"/>
  <c r="Q58" i="127"/>
  <c r="P58" i="127"/>
  <c r="O58" i="127"/>
  <c r="Q57" i="127"/>
  <c r="P57" i="127"/>
  <c r="O57" i="127"/>
  <c r="Q56" i="127"/>
  <c r="P56" i="127"/>
  <c r="O56" i="127"/>
  <c r="Q55" i="127"/>
  <c r="P55" i="127"/>
  <c r="O55" i="127"/>
  <c r="Q54" i="127"/>
  <c r="P54" i="127"/>
  <c r="O54" i="127"/>
  <c r="Q53" i="127"/>
  <c r="P53" i="127"/>
  <c r="O53" i="127"/>
  <c r="Q52" i="127"/>
  <c r="P52" i="127"/>
  <c r="O52" i="127"/>
  <c r="Q51" i="127"/>
  <c r="P51" i="127"/>
  <c r="O51" i="127"/>
  <c r="Q50" i="127"/>
  <c r="P50" i="127"/>
  <c r="O50" i="127"/>
  <c r="Q49" i="127"/>
  <c r="P49" i="127"/>
  <c r="O49" i="127"/>
  <c r="Q48" i="127"/>
  <c r="P48" i="127"/>
  <c r="O48" i="127"/>
  <c r="Q47" i="127"/>
  <c r="P47" i="127"/>
  <c r="O47" i="127"/>
  <c r="Q46" i="127"/>
  <c r="P46" i="127"/>
  <c r="O46" i="127"/>
  <c r="Q45" i="127"/>
  <c r="P45" i="127"/>
  <c r="O45" i="127"/>
  <c r="Q44" i="127"/>
  <c r="P44" i="127"/>
  <c r="O44" i="127"/>
  <c r="Q43" i="127"/>
  <c r="P43" i="127"/>
  <c r="O43" i="127"/>
  <c r="Q42" i="127"/>
  <c r="P42" i="127"/>
  <c r="O42" i="127"/>
  <c r="Q41" i="127"/>
  <c r="P41" i="127"/>
  <c r="O41" i="127"/>
  <c r="Q40" i="127"/>
  <c r="P40" i="127"/>
  <c r="O40" i="127"/>
  <c r="Q39" i="127"/>
  <c r="P39" i="127"/>
  <c r="O39" i="127"/>
  <c r="Q38" i="127"/>
  <c r="P38" i="127"/>
  <c r="O38" i="127"/>
  <c r="Q37" i="127"/>
  <c r="P37" i="127"/>
  <c r="O37" i="127"/>
  <c r="Q36" i="127"/>
  <c r="P36" i="127"/>
  <c r="O36" i="127"/>
  <c r="Q35" i="127"/>
  <c r="P35" i="127"/>
  <c r="O35" i="127"/>
  <c r="Q34" i="127"/>
  <c r="P34" i="127"/>
  <c r="O34" i="127"/>
  <c r="Q33" i="127"/>
  <c r="P33" i="127"/>
  <c r="O33" i="127"/>
  <c r="Q32" i="127"/>
  <c r="P32" i="127"/>
  <c r="O32" i="127"/>
  <c r="Q31" i="127"/>
  <c r="P31" i="127"/>
  <c r="O31" i="127"/>
  <c r="Q30" i="127"/>
  <c r="P30" i="127"/>
  <c r="O30" i="127"/>
  <c r="Q29" i="127"/>
  <c r="P29" i="127"/>
  <c r="O29" i="127"/>
  <c r="Q28" i="127"/>
  <c r="P28" i="127"/>
  <c r="O28" i="127"/>
  <c r="Q27" i="127"/>
  <c r="P27" i="127"/>
  <c r="O27" i="127"/>
  <c r="Q26" i="127"/>
  <c r="P26" i="127"/>
  <c r="O26" i="127"/>
  <c r="Q25" i="127"/>
  <c r="P25" i="127"/>
  <c r="O25" i="127"/>
  <c r="Q24" i="127"/>
  <c r="P24" i="127"/>
  <c r="O24" i="127"/>
  <c r="Q23" i="127"/>
  <c r="P23" i="127"/>
  <c r="O23" i="127"/>
  <c r="Q22" i="127"/>
  <c r="P22" i="127"/>
  <c r="O22" i="127"/>
  <c r="Q21" i="127"/>
  <c r="P21" i="127"/>
  <c r="O21" i="127"/>
  <c r="Q20" i="127"/>
  <c r="P20" i="127"/>
  <c r="O20" i="127"/>
  <c r="Q19" i="127"/>
  <c r="P19" i="127"/>
  <c r="O19" i="127"/>
  <c r="Q18" i="127"/>
  <c r="P18" i="127"/>
  <c r="O18" i="127"/>
  <c r="Q17" i="127"/>
  <c r="P17" i="127"/>
  <c r="O17" i="127"/>
  <c r="Q16" i="127"/>
  <c r="P16" i="127"/>
  <c r="O16" i="127"/>
  <c r="Q15" i="127"/>
  <c r="P15" i="127"/>
  <c r="O15" i="127"/>
  <c r="Q14" i="127"/>
  <c r="P14" i="127"/>
  <c r="O14" i="127"/>
  <c r="Q13" i="127"/>
  <c r="P13" i="127"/>
  <c r="O13" i="127"/>
  <c r="Q12" i="127"/>
  <c r="P12" i="127"/>
  <c r="O12" i="127"/>
  <c r="Q11" i="127"/>
  <c r="P11" i="127"/>
  <c r="O11" i="127"/>
  <c r="Q10" i="127"/>
  <c r="P10" i="127"/>
  <c r="O10" i="127"/>
  <c r="Q9" i="127"/>
  <c r="P9" i="127"/>
  <c r="O9" i="127"/>
  <c r="Q8" i="127"/>
  <c r="P8" i="127"/>
  <c r="O8" i="127"/>
  <c r="Q7" i="127"/>
  <c r="P7" i="127"/>
  <c r="O7" i="127"/>
  <c r="Q6" i="127"/>
  <c r="P6" i="127"/>
  <c r="O6" i="127"/>
  <c r="Q5" i="127"/>
  <c r="P5" i="127"/>
  <c r="O5" i="127"/>
  <c r="Q4" i="127"/>
  <c r="P4" i="127"/>
  <c r="O4" i="127"/>
  <c r="Q3" i="127"/>
  <c r="P3" i="127"/>
  <c r="O3" i="127"/>
  <c r="Q2" i="127"/>
  <c r="P2" i="127"/>
  <c r="O2" i="127"/>
  <c r="O71" i="130"/>
  <c r="N71" i="130"/>
  <c r="O70" i="130"/>
  <c r="N70" i="130"/>
  <c r="O69" i="130"/>
  <c r="N69" i="130"/>
  <c r="O68" i="130"/>
  <c r="N68" i="130"/>
  <c r="O67" i="130"/>
  <c r="N67" i="130"/>
  <c r="O66" i="130"/>
  <c r="N66" i="130"/>
  <c r="O65" i="130"/>
  <c r="N65" i="130"/>
  <c r="O64" i="130"/>
  <c r="N64" i="130"/>
  <c r="O63" i="130"/>
  <c r="N63" i="130"/>
  <c r="O62" i="130"/>
  <c r="N62" i="130"/>
  <c r="O61" i="130"/>
  <c r="N61" i="130"/>
  <c r="O60" i="130"/>
  <c r="N60" i="130"/>
  <c r="O59" i="130"/>
  <c r="N59" i="130"/>
  <c r="O58" i="130"/>
  <c r="N58" i="130"/>
  <c r="O57" i="130"/>
  <c r="N57" i="130"/>
  <c r="O56" i="130"/>
  <c r="N56" i="130"/>
  <c r="O55" i="130"/>
  <c r="N55" i="130"/>
  <c r="O54" i="130"/>
  <c r="N54" i="130"/>
  <c r="O53" i="130"/>
  <c r="N53" i="130"/>
  <c r="O52" i="130"/>
  <c r="N52" i="130"/>
  <c r="O51" i="130"/>
  <c r="N51" i="130"/>
  <c r="O50" i="130"/>
  <c r="N50" i="130"/>
  <c r="O49" i="130"/>
  <c r="N49" i="130"/>
  <c r="O48" i="130"/>
  <c r="N48" i="130"/>
  <c r="O47" i="130"/>
  <c r="N47" i="130"/>
  <c r="O46" i="130"/>
  <c r="N46" i="130"/>
  <c r="O45" i="130"/>
  <c r="N45" i="130"/>
  <c r="O44" i="130"/>
  <c r="N44" i="130"/>
  <c r="O43" i="130"/>
  <c r="N43" i="130"/>
  <c r="O42" i="130"/>
  <c r="N42" i="130"/>
  <c r="O41" i="130"/>
  <c r="N41" i="130"/>
  <c r="O40" i="130"/>
  <c r="N40" i="130"/>
  <c r="O39" i="130"/>
  <c r="N39" i="130"/>
  <c r="O38" i="130"/>
  <c r="N38" i="130"/>
  <c r="O37" i="130"/>
  <c r="N37" i="130"/>
  <c r="O36" i="130"/>
  <c r="N36" i="130"/>
  <c r="O35" i="130"/>
  <c r="N35" i="130"/>
  <c r="O34" i="130"/>
  <c r="N34" i="130"/>
  <c r="O33" i="130"/>
  <c r="N33" i="130"/>
  <c r="O32" i="130"/>
  <c r="N32" i="130"/>
  <c r="O31" i="130"/>
  <c r="N31" i="130"/>
  <c r="O30" i="130"/>
  <c r="N30" i="130"/>
  <c r="O29" i="130"/>
  <c r="N29" i="130"/>
  <c r="O28" i="130"/>
  <c r="N28" i="130"/>
  <c r="O27" i="130"/>
  <c r="N27" i="130"/>
  <c r="O26" i="130"/>
  <c r="N26" i="130"/>
  <c r="O25" i="130"/>
  <c r="N25" i="130"/>
  <c r="O24" i="130"/>
  <c r="N24" i="130"/>
  <c r="O23" i="130"/>
  <c r="N23" i="130"/>
  <c r="O22" i="130"/>
  <c r="N22" i="130"/>
  <c r="O21" i="130"/>
  <c r="N21" i="130"/>
  <c r="O20" i="130"/>
  <c r="N20" i="130"/>
  <c r="O19" i="130"/>
  <c r="N19" i="130"/>
  <c r="O18" i="130"/>
  <c r="N18" i="130"/>
  <c r="O17" i="130"/>
  <c r="N17" i="130"/>
  <c r="O16" i="130"/>
  <c r="N16" i="130"/>
  <c r="O15" i="130"/>
  <c r="N15" i="130"/>
  <c r="O14" i="130"/>
  <c r="N14" i="130"/>
  <c r="O13" i="130"/>
  <c r="N13" i="130"/>
  <c r="O12" i="130"/>
  <c r="N12" i="130"/>
  <c r="O11" i="130"/>
  <c r="N11" i="130"/>
  <c r="O10" i="130"/>
  <c r="N10" i="130"/>
  <c r="O9" i="130"/>
  <c r="N9" i="130"/>
  <c r="O8" i="130"/>
  <c r="N8" i="130"/>
  <c r="O7" i="130"/>
  <c r="N7" i="130"/>
  <c r="O6" i="130"/>
  <c r="N6" i="130"/>
  <c r="O5" i="130"/>
  <c r="N5" i="130"/>
  <c r="O4" i="130"/>
  <c r="N4" i="130"/>
  <c r="O3" i="130"/>
  <c r="N3" i="130"/>
  <c r="O2" i="130"/>
  <c r="N2" i="130"/>
  <c r="I179" i="125"/>
  <c r="R177" i="125" s="1"/>
  <c r="H179" i="125"/>
  <c r="Q177" i="125" s="1"/>
  <c r="G179" i="125"/>
  <c r="P176" i="125" s="1"/>
  <c r="F179" i="125"/>
  <c r="E179" i="125"/>
  <c r="D179" i="125"/>
  <c r="M176" i="125" s="1"/>
  <c r="I178" i="125"/>
  <c r="H178" i="125"/>
  <c r="G178" i="125"/>
  <c r="F178" i="125"/>
  <c r="E178" i="125"/>
  <c r="D178" i="125"/>
  <c r="O177" i="125"/>
  <c r="L177" i="125"/>
  <c r="K177" i="125"/>
  <c r="J177" i="125"/>
  <c r="R176" i="125"/>
  <c r="O176" i="125"/>
  <c r="L176" i="125"/>
  <c r="K176" i="125"/>
  <c r="J176" i="125"/>
  <c r="I175" i="125"/>
  <c r="H175" i="125"/>
  <c r="G175" i="125"/>
  <c r="F175" i="125"/>
  <c r="E175" i="125"/>
  <c r="D175" i="125"/>
  <c r="R174" i="125"/>
  <c r="Q174" i="125"/>
  <c r="P174" i="125"/>
  <c r="S174" i="125" s="1"/>
  <c r="O174" i="125"/>
  <c r="N174" i="125"/>
  <c r="M174" i="125"/>
  <c r="L174" i="125"/>
  <c r="K174" i="125"/>
  <c r="J174" i="125"/>
  <c r="R173" i="125"/>
  <c r="Q173" i="125"/>
  <c r="P173" i="125"/>
  <c r="O173" i="125"/>
  <c r="N173" i="125"/>
  <c r="M173" i="125"/>
  <c r="M175" i="125" s="1"/>
  <c r="L173" i="125"/>
  <c r="K173" i="125"/>
  <c r="J173" i="125"/>
  <c r="G172" i="125"/>
  <c r="P170" i="125" s="1"/>
  <c r="F172" i="125"/>
  <c r="O170" i="125" s="1"/>
  <c r="E172" i="125"/>
  <c r="N169" i="125" s="1"/>
  <c r="D172" i="125"/>
  <c r="G171" i="125"/>
  <c r="F171" i="125"/>
  <c r="E171" i="125"/>
  <c r="D171" i="125"/>
  <c r="L170" i="125"/>
  <c r="K170" i="125"/>
  <c r="J170" i="125"/>
  <c r="M169" i="125"/>
  <c r="L169" i="125"/>
  <c r="K169" i="125"/>
  <c r="J169" i="125"/>
  <c r="G168" i="125"/>
  <c r="F168" i="125"/>
  <c r="E168" i="125"/>
  <c r="D168" i="125"/>
  <c r="P167" i="125"/>
  <c r="O167" i="125"/>
  <c r="N167" i="125"/>
  <c r="M167" i="125"/>
  <c r="J167" i="125"/>
  <c r="I167" i="125"/>
  <c r="H167" i="125"/>
  <c r="P166" i="125"/>
  <c r="O166" i="125"/>
  <c r="N166" i="125"/>
  <c r="M166" i="125"/>
  <c r="J166" i="125"/>
  <c r="I166" i="125"/>
  <c r="I83" i="125" s="1"/>
  <c r="H166" i="125"/>
  <c r="G165" i="125"/>
  <c r="P162" i="125" s="1"/>
  <c r="F165" i="125"/>
  <c r="O163" i="125" s="1"/>
  <c r="E165" i="125"/>
  <c r="D165" i="125"/>
  <c r="M163" i="125" s="1"/>
  <c r="G164" i="125"/>
  <c r="F164" i="125"/>
  <c r="E164" i="125"/>
  <c r="D164" i="125"/>
  <c r="P163" i="125"/>
  <c r="L163" i="125"/>
  <c r="K163" i="125"/>
  <c r="J163" i="125"/>
  <c r="L162" i="125"/>
  <c r="K162" i="125"/>
  <c r="J162" i="125"/>
  <c r="G161" i="125"/>
  <c r="F161" i="125"/>
  <c r="E161" i="125"/>
  <c r="D161" i="125"/>
  <c r="P160" i="125"/>
  <c r="O160" i="125"/>
  <c r="N160" i="125"/>
  <c r="M160" i="125"/>
  <c r="J160" i="125"/>
  <c r="I160" i="125"/>
  <c r="R160" i="125" s="1"/>
  <c r="H160" i="125"/>
  <c r="Q160" i="125" s="1"/>
  <c r="P159" i="125"/>
  <c r="O159" i="125"/>
  <c r="N159" i="125"/>
  <c r="M159" i="125"/>
  <c r="J159" i="125"/>
  <c r="I159" i="125"/>
  <c r="H159" i="125"/>
  <c r="I158" i="125"/>
  <c r="R155" i="125" s="1"/>
  <c r="H158" i="125"/>
  <c r="Q156" i="125" s="1"/>
  <c r="G158" i="125"/>
  <c r="F158" i="125"/>
  <c r="E158" i="125"/>
  <c r="N155" i="125" s="1"/>
  <c r="D158" i="125"/>
  <c r="M156" i="125" s="1"/>
  <c r="I157" i="125"/>
  <c r="H157" i="125"/>
  <c r="G157" i="125"/>
  <c r="F157" i="125"/>
  <c r="E157" i="125"/>
  <c r="D157" i="125"/>
  <c r="U156" i="125"/>
  <c r="T156" i="125"/>
  <c r="S156" i="125"/>
  <c r="L156" i="125"/>
  <c r="K156" i="125"/>
  <c r="J156" i="125"/>
  <c r="U155" i="125"/>
  <c r="T155" i="125"/>
  <c r="S155" i="125"/>
  <c r="L155" i="125"/>
  <c r="K155" i="125"/>
  <c r="J155" i="125"/>
  <c r="I154" i="125"/>
  <c r="H154" i="125"/>
  <c r="G154" i="125"/>
  <c r="F154" i="125"/>
  <c r="E154" i="125"/>
  <c r="D154" i="125"/>
  <c r="R153" i="125"/>
  <c r="Q153" i="125"/>
  <c r="P153" i="125"/>
  <c r="O153" i="125"/>
  <c r="N153" i="125"/>
  <c r="M153" i="125"/>
  <c r="L153" i="125"/>
  <c r="K153" i="125"/>
  <c r="J153" i="125"/>
  <c r="R152" i="125"/>
  <c r="Q152" i="125"/>
  <c r="P152" i="125"/>
  <c r="O152" i="125"/>
  <c r="N152" i="125"/>
  <c r="M152" i="125"/>
  <c r="L152" i="125"/>
  <c r="K152" i="125"/>
  <c r="J152" i="125"/>
  <c r="I151" i="125"/>
  <c r="R149" i="125" s="1"/>
  <c r="H151" i="125"/>
  <c r="Q149" i="125" s="1"/>
  <c r="G151" i="125"/>
  <c r="P149" i="125" s="1"/>
  <c r="F151" i="125"/>
  <c r="O148" i="125" s="1"/>
  <c r="E151" i="125"/>
  <c r="D151" i="125"/>
  <c r="M149" i="125" s="1"/>
  <c r="I150" i="125"/>
  <c r="H150" i="125"/>
  <c r="G150" i="125"/>
  <c r="F150" i="125"/>
  <c r="E150" i="125"/>
  <c r="D150" i="125"/>
  <c r="U149" i="125"/>
  <c r="T149" i="125"/>
  <c r="S149" i="125"/>
  <c r="L149" i="125"/>
  <c r="K149" i="125"/>
  <c r="J149" i="125"/>
  <c r="U148" i="125"/>
  <c r="T148" i="125"/>
  <c r="S148" i="125"/>
  <c r="L148" i="125"/>
  <c r="K148" i="125"/>
  <c r="J148" i="125"/>
  <c r="I147" i="125"/>
  <c r="H147" i="125"/>
  <c r="G147" i="125"/>
  <c r="F147" i="125"/>
  <c r="E147" i="125"/>
  <c r="D147" i="125"/>
  <c r="R146" i="125"/>
  <c r="Q146" i="125"/>
  <c r="P146" i="125"/>
  <c r="O146" i="125"/>
  <c r="N146" i="125"/>
  <c r="M146" i="125"/>
  <c r="L146" i="125"/>
  <c r="K146" i="125"/>
  <c r="J146" i="125"/>
  <c r="R145" i="125"/>
  <c r="Q145" i="125"/>
  <c r="Q151" i="125" s="1"/>
  <c r="P145" i="125"/>
  <c r="O145" i="125"/>
  <c r="N145" i="125"/>
  <c r="M145" i="125"/>
  <c r="L145" i="125"/>
  <c r="K145" i="125"/>
  <c r="J145" i="125"/>
  <c r="I144" i="125"/>
  <c r="R141" i="125" s="1"/>
  <c r="H144" i="125"/>
  <c r="Q141" i="125" s="1"/>
  <c r="G144" i="125"/>
  <c r="P142" i="125" s="1"/>
  <c r="F144" i="125"/>
  <c r="O141" i="125" s="1"/>
  <c r="E144" i="125"/>
  <c r="D144" i="125"/>
  <c r="I143" i="125"/>
  <c r="H143" i="125"/>
  <c r="G143" i="125"/>
  <c r="F143" i="125"/>
  <c r="E143" i="125"/>
  <c r="D143" i="125"/>
  <c r="U142" i="125"/>
  <c r="T142" i="125"/>
  <c r="S142" i="125"/>
  <c r="L142" i="125"/>
  <c r="K142" i="125"/>
  <c r="J142" i="125"/>
  <c r="U141" i="125"/>
  <c r="T141" i="125"/>
  <c r="S141" i="125"/>
  <c r="L141" i="125"/>
  <c r="K141" i="125"/>
  <c r="J141" i="125"/>
  <c r="I140" i="125"/>
  <c r="H140" i="125"/>
  <c r="G140" i="125"/>
  <c r="F140" i="125"/>
  <c r="E140" i="125"/>
  <c r="D140" i="125"/>
  <c r="R139" i="125"/>
  <c r="Q139" i="125"/>
  <c r="P139" i="125"/>
  <c r="O139" i="125"/>
  <c r="N139" i="125"/>
  <c r="M139" i="125"/>
  <c r="L139" i="125"/>
  <c r="K139" i="125"/>
  <c r="J139" i="125"/>
  <c r="R138" i="125"/>
  <c r="Q138" i="125"/>
  <c r="P138" i="125"/>
  <c r="O138" i="125"/>
  <c r="N138" i="125"/>
  <c r="M138" i="125"/>
  <c r="L138" i="125"/>
  <c r="K138" i="125"/>
  <c r="J138" i="125"/>
  <c r="I137" i="125"/>
  <c r="H137" i="125"/>
  <c r="Q134" i="125" s="1"/>
  <c r="G137" i="125"/>
  <c r="P135" i="125" s="1"/>
  <c r="F137" i="125"/>
  <c r="O135" i="125" s="1"/>
  <c r="E137" i="125"/>
  <c r="D137" i="125"/>
  <c r="M134" i="125" s="1"/>
  <c r="I136" i="125"/>
  <c r="H136" i="125"/>
  <c r="G136" i="125"/>
  <c r="F136" i="125"/>
  <c r="E136" i="125"/>
  <c r="D136" i="125"/>
  <c r="U135" i="125"/>
  <c r="T135" i="125"/>
  <c r="S135" i="125"/>
  <c r="L135" i="125"/>
  <c r="K135" i="125"/>
  <c r="J135" i="125"/>
  <c r="U134" i="125"/>
  <c r="T134" i="125"/>
  <c r="S134" i="125"/>
  <c r="L134" i="125"/>
  <c r="K134" i="125"/>
  <c r="J134" i="125"/>
  <c r="I133" i="125"/>
  <c r="H133" i="125"/>
  <c r="G133" i="125"/>
  <c r="F133" i="125"/>
  <c r="E133" i="125"/>
  <c r="D133" i="125"/>
  <c r="R132" i="125"/>
  <c r="Q132" i="125"/>
  <c r="P132" i="125"/>
  <c r="O132" i="125"/>
  <c r="N132" i="125"/>
  <c r="M132" i="125"/>
  <c r="L132" i="125"/>
  <c r="K132" i="125"/>
  <c r="J132" i="125"/>
  <c r="R131" i="125"/>
  <c r="Q131" i="125"/>
  <c r="P131" i="125"/>
  <c r="O131" i="125"/>
  <c r="N131" i="125"/>
  <c r="M131" i="125"/>
  <c r="L131" i="125"/>
  <c r="K131" i="125"/>
  <c r="J131" i="125"/>
  <c r="I130" i="125"/>
  <c r="R128" i="125" s="1"/>
  <c r="H130" i="125"/>
  <c r="Q128" i="125" s="1"/>
  <c r="G130" i="125"/>
  <c r="P128" i="125" s="1"/>
  <c r="F130" i="125"/>
  <c r="O128" i="125" s="1"/>
  <c r="E130" i="125"/>
  <c r="D130" i="125"/>
  <c r="I129" i="125"/>
  <c r="H129" i="125"/>
  <c r="G129" i="125"/>
  <c r="F129" i="125"/>
  <c r="E129" i="125"/>
  <c r="D129" i="125"/>
  <c r="L128" i="125"/>
  <c r="K128" i="125"/>
  <c r="J128" i="125"/>
  <c r="I127" i="125"/>
  <c r="H127" i="125"/>
  <c r="G127" i="125"/>
  <c r="F127" i="125"/>
  <c r="E127" i="125"/>
  <c r="D127" i="125"/>
  <c r="R126" i="125"/>
  <c r="Q126" i="125"/>
  <c r="P126" i="125"/>
  <c r="O126" i="125"/>
  <c r="N126" i="125"/>
  <c r="M126" i="125"/>
  <c r="L126" i="125"/>
  <c r="K126" i="125"/>
  <c r="J126" i="125"/>
  <c r="R125" i="125"/>
  <c r="Q125" i="125"/>
  <c r="P125" i="125"/>
  <c r="O125" i="125"/>
  <c r="N125" i="125"/>
  <c r="M125" i="125"/>
  <c r="L125" i="125"/>
  <c r="K125" i="125"/>
  <c r="J125" i="125"/>
  <c r="I124" i="125"/>
  <c r="H124" i="125"/>
  <c r="Q122" i="125" s="1"/>
  <c r="G124" i="125"/>
  <c r="P122" i="125" s="1"/>
  <c r="F124" i="125"/>
  <c r="E124" i="125"/>
  <c r="N121" i="125" s="1"/>
  <c r="D124" i="125"/>
  <c r="I123" i="125"/>
  <c r="H123" i="125"/>
  <c r="G123" i="125"/>
  <c r="F123" i="125"/>
  <c r="E123" i="125"/>
  <c r="D123" i="125"/>
  <c r="U122" i="125"/>
  <c r="T122" i="125"/>
  <c r="S122" i="125"/>
  <c r="L122" i="125"/>
  <c r="K122" i="125"/>
  <c r="J122" i="125"/>
  <c r="U121" i="125"/>
  <c r="T121" i="125"/>
  <c r="S121" i="125"/>
  <c r="L121" i="125"/>
  <c r="K121" i="125"/>
  <c r="J121" i="125"/>
  <c r="I120" i="125"/>
  <c r="H120" i="125"/>
  <c r="G120" i="125"/>
  <c r="F120" i="125"/>
  <c r="E120" i="125"/>
  <c r="D120" i="125"/>
  <c r="R119" i="125"/>
  <c r="Q119" i="125"/>
  <c r="P119" i="125"/>
  <c r="O119" i="125"/>
  <c r="N119" i="125"/>
  <c r="M119" i="125"/>
  <c r="L119" i="125"/>
  <c r="K119" i="125"/>
  <c r="J119" i="125"/>
  <c r="R118" i="125"/>
  <c r="Q118" i="125"/>
  <c r="P118" i="125"/>
  <c r="O118" i="125"/>
  <c r="N118" i="125"/>
  <c r="M118" i="125"/>
  <c r="L118" i="125"/>
  <c r="K118" i="125"/>
  <c r="J118" i="125"/>
  <c r="I117" i="125"/>
  <c r="R115" i="125" s="1"/>
  <c r="H117" i="125"/>
  <c r="Q115" i="125" s="1"/>
  <c r="G117" i="125"/>
  <c r="F117" i="125"/>
  <c r="O115" i="125" s="1"/>
  <c r="E117" i="125"/>
  <c r="N115" i="125" s="1"/>
  <c r="D117" i="125"/>
  <c r="M115" i="125" s="1"/>
  <c r="I116" i="125"/>
  <c r="H116" i="125"/>
  <c r="G116" i="125"/>
  <c r="F116" i="125"/>
  <c r="E116" i="125"/>
  <c r="D116" i="125"/>
  <c r="U115" i="125"/>
  <c r="T115" i="125"/>
  <c r="S115" i="125"/>
  <c r="L115" i="125"/>
  <c r="K115" i="125"/>
  <c r="J115" i="125"/>
  <c r="U114" i="125"/>
  <c r="T114" i="125"/>
  <c r="S114" i="125"/>
  <c r="L114" i="125"/>
  <c r="K114" i="125"/>
  <c r="J114" i="125"/>
  <c r="I113" i="125"/>
  <c r="H113" i="125"/>
  <c r="G113" i="125"/>
  <c r="F113" i="125"/>
  <c r="E113" i="125"/>
  <c r="D113" i="125"/>
  <c r="R112" i="125"/>
  <c r="Q112" i="125"/>
  <c r="P112" i="125"/>
  <c r="O112" i="125"/>
  <c r="N112" i="125"/>
  <c r="M112" i="125"/>
  <c r="L112" i="125"/>
  <c r="K112" i="125"/>
  <c r="J112" i="125"/>
  <c r="R111" i="125"/>
  <c r="Q111" i="125"/>
  <c r="P111" i="125"/>
  <c r="O111" i="125"/>
  <c r="N111" i="125"/>
  <c r="M111" i="125"/>
  <c r="L111" i="125"/>
  <c r="K111" i="125"/>
  <c r="J111" i="125"/>
  <c r="I110" i="125"/>
  <c r="R94" i="125" s="1"/>
  <c r="H110" i="125"/>
  <c r="Q108" i="125" s="1"/>
  <c r="G110" i="125"/>
  <c r="P108" i="125" s="1"/>
  <c r="F110" i="125"/>
  <c r="O100" i="125" s="1"/>
  <c r="E110" i="125"/>
  <c r="D110" i="125"/>
  <c r="M108" i="125" s="1"/>
  <c r="I109" i="125"/>
  <c r="H109" i="125"/>
  <c r="G109" i="125"/>
  <c r="F109" i="125"/>
  <c r="E109" i="125"/>
  <c r="D109" i="125"/>
  <c r="U108" i="125"/>
  <c r="T108" i="125"/>
  <c r="S108" i="125"/>
  <c r="L108" i="125"/>
  <c r="K108" i="125"/>
  <c r="J108" i="125"/>
  <c r="U107" i="125"/>
  <c r="T107" i="125"/>
  <c r="S107" i="125"/>
  <c r="M107" i="125"/>
  <c r="L107" i="125"/>
  <c r="K107" i="125"/>
  <c r="J107" i="125"/>
  <c r="I106" i="125"/>
  <c r="H106" i="125"/>
  <c r="G106" i="125"/>
  <c r="F106" i="125"/>
  <c r="E106" i="125"/>
  <c r="D106" i="125"/>
  <c r="R105" i="125"/>
  <c r="Q105" i="125"/>
  <c r="P105" i="125"/>
  <c r="O105" i="125"/>
  <c r="N105" i="125"/>
  <c r="M105" i="125"/>
  <c r="L105" i="125"/>
  <c r="K105" i="125"/>
  <c r="J105" i="125"/>
  <c r="R104" i="125"/>
  <c r="Q104" i="125"/>
  <c r="P104" i="125"/>
  <c r="O104" i="125"/>
  <c r="N104" i="125"/>
  <c r="M104" i="125"/>
  <c r="L104" i="125"/>
  <c r="K104" i="125"/>
  <c r="J104" i="125"/>
  <c r="I103" i="125"/>
  <c r="H103" i="125"/>
  <c r="G103" i="125"/>
  <c r="F103" i="125"/>
  <c r="E103" i="125"/>
  <c r="D103" i="125"/>
  <c r="I102" i="125"/>
  <c r="H102" i="125"/>
  <c r="G102" i="125"/>
  <c r="F102" i="125"/>
  <c r="E102" i="125"/>
  <c r="D102" i="125"/>
  <c r="U101" i="125"/>
  <c r="T101" i="125"/>
  <c r="S101" i="125"/>
  <c r="L101" i="125"/>
  <c r="K101" i="125"/>
  <c r="J101" i="125"/>
  <c r="U100" i="125"/>
  <c r="T100" i="125"/>
  <c r="S100" i="125"/>
  <c r="L100" i="125"/>
  <c r="K100" i="125"/>
  <c r="J100" i="125"/>
  <c r="I99" i="125"/>
  <c r="H99" i="125"/>
  <c r="G99" i="125"/>
  <c r="F99" i="125"/>
  <c r="E99" i="125"/>
  <c r="D99" i="125"/>
  <c r="R98" i="125"/>
  <c r="Q98" i="125"/>
  <c r="P98" i="125"/>
  <c r="O98" i="125"/>
  <c r="N98" i="125"/>
  <c r="M98" i="125"/>
  <c r="L98" i="125"/>
  <c r="K98" i="125"/>
  <c r="J98" i="125"/>
  <c r="R97" i="125"/>
  <c r="Q97" i="125"/>
  <c r="P97" i="125"/>
  <c r="O97" i="125"/>
  <c r="N97" i="125"/>
  <c r="M97" i="125"/>
  <c r="L97" i="125"/>
  <c r="K97" i="125"/>
  <c r="J97" i="125"/>
  <c r="I96" i="125"/>
  <c r="H96" i="125"/>
  <c r="G96" i="125"/>
  <c r="F96" i="125"/>
  <c r="E96" i="125"/>
  <c r="D96" i="125"/>
  <c r="I95" i="125"/>
  <c r="H95" i="125"/>
  <c r="G95" i="125"/>
  <c r="F95" i="125"/>
  <c r="L95" i="125" s="1"/>
  <c r="E95" i="125"/>
  <c r="D95" i="125"/>
  <c r="U94" i="125"/>
  <c r="T94" i="125"/>
  <c r="S94" i="125"/>
  <c r="L94" i="125"/>
  <c r="K94" i="125"/>
  <c r="J94" i="125"/>
  <c r="U93" i="125"/>
  <c r="T93" i="125"/>
  <c r="S93" i="125"/>
  <c r="L93" i="125"/>
  <c r="K93" i="125"/>
  <c r="J93" i="125"/>
  <c r="I92" i="125"/>
  <c r="H92" i="125"/>
  <c r="G92" i="125"/>
  <c r="F92" i="125"/>
  <c r="E92" i="125"/>
  <c r="D92" i="125"/>
  <c r="R91" i="125"/>
  <c r="Q91" i="125"/>
  <c r="P91" i="125"/>
  <c r="O91" i="125"/>
  <c r="N91" i="125"/>
  <c r="M91" i="125"/>
  <c r="L91" i="125"/>
  <c r="K91" i="125"/>
  <c r="J91" i="125"/>
  <c r="R90" i="125"/>
  <c r="Q90" i="125"/>
  <c r="P90" i="125"/>
  <c r="O90" i="125"/>
  <c r="N90" i="125"/>
  <c r="M90" i="125"/>
  <c r="L90" i="125"/>
  <c r="K90" i="125"/>
  <c r="J90" i="125"/>
  <c r="I87" i="125"/>
  <c r="H87" i="125"/>
  <c r="G87" i="125"/>
  <c r="F87" i="125"/>
  <c r="E87" i="125"/>
  <c r="D87" i="125"/>
  <c r="I86" i="125"/>
  <c r="H86" i="125"/>
  <c r="G86" i="125"/>
  <c r="F86" i="125"/>
  <c r="E86" i="125"/>
  <c r="D86" i="125"/>
  <c r="G84" i="125"/>
  <c r="F84" i="125"/>
  <c r="E84" i="125"/>
  <c r="D84" i="125"/>
  <c r="G83" i="125"/>
  <c r="F83" i="125"/>
  <c r="E83" i="125"/>
  <c r="D83" i="125"/>
  <c r="C101" i="131"/>
  <c r="L24" i="138"/>
  <c r="K24" i="138"/>
  <c r="E24" i="138"/>
  <c r="D24" i="138"/>
  <c r="L26" i="138"/>
  <c r="K26" i="138"/>
  <c r="E26" i="138"/>
  <c r="D26" i="138"/>
  <c r="L19" i="138"/>
  <c r="K19" i="138"/>
  <c r="E19" i="138"/>
  <c r="D19" i="138"/>
  <c r="L22" i="138"/>
  <c r="K22" i="138"/>
  <c r="E22" i="138"/>
  <c r="D22" i="138"/>
  <c r="L23" i="138"/>
  <c r="K23" i="138"/>
  <c r="E23" i="138"/>
  <c r="D23" i="138"/>
  <c r="L25" i="138"/>
  <c r="K25" i="138"/>
  <c r="E25" i="138"/>
  <c r="D25" i="138"/>
  <c r="L18" i="138"/>
  <c r="K18" i="138"/>
  <c r="E18" i="138"/>
  <c r="D18" i="138"/>
  <c r="L17" i="138"/>
  <c r="K17" i="138"/>
  <c r="E17" i="138"/>
  <c r="D17" i="138"/>
  <c r="L21" i="138"/>
  <c r="K21" i="138"/>
  <c r="E21" i="138"/>
  <c r="D21" i="138"/>
  <c r="L16" i="138"/>
  <c r="K16" i="138"/>
  <c r="E16" i="138"/>
  <c r="D16" i="138"/>
  <c r="L14" i="138"/>
  <c r="K14" i="138"/>
  <c r="E14" i="138"/>
  <c r="D14" i="138"/>
  <c r="L15" i="138"/>
  <c r="K15" i="138"/>
  <c r="E15" i="138"/>
  <c r="D15" i="138"/>
  <c r="L10" i="138"/>
  <c r="K10" i="138"/>
  <c r="L7" i="138"/>
  <c r="K7" i="138"/>
  <c r="E7" i="138"/>
  <c r="L9" i="138"/>
  <c r="K9" i="138"/>
  <c r="L8" i="138"/>
  <c r="O8" i="138" s="1"/>
  <c r="K8" i="138"/>
  <c r="G8" i="138"/>
  <c r="L6" i="138"/>
  <c r="K6" i="138"/>
  <c r="L5" i="138"/>
  <c r="K5" i="138"/>
  <c r="E5" i="138"/>
  <c r="D5" i="138"/>
  <c r="L4" i="138"/>
  <c r="K4" i="138"/>
  <c r="L3" i="138"/>
  <c r="K3" i="138"/>
  <c r="D3" i="138"/>
  <c r="BL264" i="140"/>
  <c r="AL264" i="140"/>
  <c r="BL263" i="140"/>
  <c r="AL263" i="140"/>
  <c r="BL262" i="140"/>
  <c r="AL262" i="140"/>
  <c r="BL261" i="140"/>
  <c r="AL261" i="140"/>
  <c r="BL260" i="140"/>
  <c r="AL260" i="140"/>
  <c r="BL259" i="140"/>
  <c r="AL259" i="140"/>
  <c r="BL258" i="140"/>
  <c r="AL258" i="140"/>
  <c r="BL256" i="140"/>
  <c r="AL256" i="140"/>
  <c r="BL255" i="140"/>
  <c r="AL255" i="140"/>
  <c r="BL254" i="140"/>
  <c r="AL254" i="140"/>
  <c r="BL253" i="140"/>
  <c r="AL253" i="140"/>
  <c r="BL251" i="140"/>
  <c r="BL250" i="140"/>
  <c r="BL249" i="140"/>
  <c r="BL248" i="140"/>
  <c r="BL247" i="140"/>
  <c r="AL247" i="140"/>
  <c r="BL246" i="140"/>
  <c r="AL246" i="140"/>
  <c r="BL245" i="140"/>
  <c r="AL245" i="140"/>
  <c r="BL244" i="140"/>
  <c r="AL244" i="140"/>
  <c r="BL243" i="140"/>
  <c r="AL243" i="140"/>
  <c r="BL242" i="140"/>
  <c r="AL242" i="140"/>
  <c r="BL241" i="140"/>
  <c r="AL241" i="140"/>
  <c r="BL240" i="140"/>
  <c r="AL240" i="140"/>
  <c r="BL239" i="140"/>
  <c r="AL239" i="140"/>
  <c r="BL238" i="140"/>
  <c r="AL238" i="140"/>
  <c r="BL237" i="140"/>
  <c r="AL237" i="140"/>
  <c r="BL236" i="140"/>
  <c r="AL236" i="140"/>
  <c r="BL235" i="140"/>
  <c r="AL235" i="140"/>
  <c r="BL225" i="140"/>
  <c r="AL225" i="140"/>
  <c r="BL224" i="140"/>
  <c r="AL224" i="140"/>
  <c r="BL223" i="140"/>
  <c r="AL223" i="140"/>
  <c r="BL207" i="140"/>
  <c r="AL207" i="140"/>
  <c r="BL206" i="140"/>
  <c r="AL206" i="140"/>
  <c r="BL205" i="140"/>
  <c r="AL205" i="140"/>
  <c r="BL204" i="140"/>
  <c r="AL204" i="140"/>
  <c r="BL203" i="140"/>
  <c r="AL203" i="140"/>
  <c r="BL202" i="140"/>
  <c r="AL202" i="140"/>
  <c r="S202" i="140"/>
  <c r="Q202" i="140"/>
  <c r="P202" i="140"/>
  <c r="J202" i="140"/>
  <c r="I202" i="140"/>
  <c r="H202" i="140"/>
  <c r="G202" i="140"/>
  <c r="F202" i="140"/>
  <c r="BL201" i="140"/>
  <c r="AL201" i="140"/>
  <c r="S201" i="140"/>
  <c r="Q201" i="140"/>
  <c r="P201" i="140"/>
  <c r="J201" i="140"/>
  <c r="I201" i="140"/>
  <c r="H201" i="140"/>
  <c r="G201" i="140"/>
  <c r="F201" i="140"/>
  <c r="BL199" i="140"/>
  <c r="AL199" i="140"/>
  <c r="H199" i="140"/>
  <c r="BL198" i="140"/>
  <c r="AL198" i="140"/>
  <c r="H198" i="140"/>
  <c r="BL197" i="140"/>
  <c r="BL196" i="140"/>
  <c r="AL196" i="140"/>
  <c r="BL195" i="140"/>
  <c r="AL195" i="140"/>
  <c r="BL194" i="140"/>
  <c r="AL194" i="140"/>
  <c r="S194" i="140"/>
  <c r="Q194" i="140"/>
  <c r="P194" i="140"/>
  <c r="J194" i="140"/>
  <c r="I194" i="140"/>
  <c r="H194" i="140"/>
  <c r="G194" i="140"/>
  <c r="F194" i="140"/>
  <c r="BL193" i="140"/>
  <c r="AL193" i="140"/>
  <c r="S193" i="140"/>
  <c r="Q193" i="140"/>
  <c r="P193" i="140"/>
  <c r="J193" i="140"/>
  <c r="I193" i="140"/>
  <c r="H193" i="140"/>
  <c r="G193" i="140"/>
  <c r="F193" i="140"/>
  <c r="BL191" i="140"/>
  <c r="AL191" i="140"/>
  <c r="H191" i="140"/>
  <c r="H254" i="140" s="1"/>
  <c r="BL190" i="140"/>
  <c r="AL190" i="140"/>
  <c r="H190" i="140"/>
  <c r="BL189" i="140"/>
  <c r="AL189" i="140"/>
  <c r="BL188" i="140"/>
  <c r="AL188" i="140"/>
  <c r="BL187" i="140"/>
  <c r="AL187" i="140"/>
  <c r="BL186" i="140"/>
  <c r="AL186" i="140"/>
  <c r="H249" i="140"/>
  <c r="AF249" i="140" s="1"/>
  <c r="BL185" i="140"/>
  <c r="AL185" i="140"/>
  <c r="H248" i="140"/>
  <c r="AF248" i="140" s="1"/>
  <c r="BL184" i="140"/>
  <c r="AL184" i="140"/>
  <c r="BL183" i="140"/>
  <c r="AL183" i="140"/>
  <c r="H183" i="140"/>
  <c r="AF183" i="140" s="1"/>
  <c r="BL182" i="140"/>
  <c r="AL182" i="140"/>
  <c r="H182" i="140"/>
  <c r="BL181" i="140"/>
  <c r="AL181" i="140"/>
  <c r="H181" i="140"/>
  <c r="AF181" i="140" s="1"/>
  <c r="BL180" i="140"/>
  <c r="AL180" i="140"/>
  <c r="H180" i="140"/>
  <c r="AF180" i="140" s="1"/>
  <c r="BL179" i="140"/>
  <c r="AL179" i="140"/>
  <c r="H179" i="140"/>
  <c r="AF179" i="140" s="1"/>
  <c r="BL178" i="140"/>
  <c r="AL178" i="140"/>
  <c r="H178" i="140"/>
  <c r="AF178" i="140" s="1"/>
  <c r="BL177" i="140"/>
  <c r="AL177" i="140"/>
  <c r="H177" i="140"/>
  <c r="AF177" i="140" s="1"/>
  <c r="BL176" i="140"/>
  <c r="AL176" i="140"/>
  <c r="H176" i="140"/>
  <c r="AF176" i="140" s="1"/>
  <c r="BL175" i="140"/>
  <c r="AL175" i="140"/>
  <c r="H175" i="140"/>
  <c r="BL174" i="140"/>
  <c r="AL174" i="140"/>
  <c r="H174" i="140"/>
  <c r="AF174" i="140" s="1"/>
  <c r="BL173" i="140"/>
  <c r="AL173" i="140"/>
  <c r="H173" i="140"/>
  <c r="AF173" i="140" s="1"/>
  <c r="BL172" i="140"/>
  <c r="AL172" i="140"/>
  <c r="H172" i="140"/>
  <c r="AF172" i="140" s="1"/>
  <c r="BL162" i="140"/>
  <c r="AL162" i="140"/>
  <c r="BL161" i="140"/>
  <c r="AL161" i="140"/>
  <c r="BL160" i="140"/>
  <c r="AL160" i="140"/>
  <c r="AL147" i="140"/>
  <c r="AL146" i="140"/>
  <c r="AL145" i="140"/>
  <c r="AL144" i="140"/>
  <c r="AL141" i="140"/>
  <c r="T141" i="140"/>
  <c r="R141" i="140"/>
  <c r="O141" i="140"/>
  <c r="N141" i="140"/>
  <c r="M141" i="140"/>
  <c r="L141" i="140"/>
  <c r="K141" i="140"/>
  <c r="AL140" i="140"/>
  <c r="T140" i="140"/>
  <c r="R140" i="140"/>
  <c r="O140" i="140"/>
  <c r="N140" i="140"/>
  <c r="M140" i="140"/>
  <c r="L140" i="140"/>
  <c r="K140" i="140"/>
  <c r="AL136" i="140"/>
  <c r="BC147" i="140"/>
  <c r="AL135" i="140"/>
  <c r="BC146" i="140"/>
  <c r="AL134" i="140"/>
  <c r="BC145" i="140"/>
  <c r="AL133" i="140"/>
  <c r="T133" i="140"/>
  <c r="R133" i="140"/>
  <c r="O133" i="140"/>
  <c r="N133" i="140"/>
  <c r="M133" i="140"/>
  <c r="L133" i="140"/>
  <c r="K133" i="140"/>
  <c r="BC144" i="140"/>
  <c r="AL132" i="140"/>
  <c r="T132" i="140"/>
  <c r="R132" i="140"/>
  <c r="O132" i="140"/>
  <c r="N132" i="140"/>
  <c r="M132" i="140"/>
  <c r="L132" i="140"/>
  <c r="K132" i="140"/>
  <c r="BC142" i="140"/>
  <c r="AL130" i="140"/>
  <c r="S130" i="140"/>
  <c r="Q130" i="140"/>
  <c r="P130" i="140"/>
  <c r="J130" i="140"/>
  <c r="I130" i="140" a="1"/>
  <c r="I130" i="140" s="1"/>
  <c r="I131" i="140" s="1"/>
  <c r="F130" i="140"/>
  <c r="BC141" i="140"/>
  <c r="AL129" i="140"/>
  <c r="S129" i="140"/>
  <c r="Q129" i="140"/>
  <c r="Q131" i="140" s="1"/>
  <c r="P129" i="140"/>
  <c r="P131" i="140" s="1"/>
  <c r="J129" i="140"/>
  <c r="J131" i="140" s="1"/>
  <c r="F129" i="140"/>
  <c r="BC140" i="140"/>
  <c r="AL128" i="140"/>
  <c r="BC139" i="140"/>
  <c r="AL127" i="140"/>
  <c r="BC138" i="140"/>
  <c r="AL126" i="140"/>
  <c r="BC137" i="140"/>
  <c r="AL125" i="140"/>
  <c r="P125" i="140"/>
  <c r="P186" i="140" s="1"/>
  <c r="J125" i="140"/>
  <c r="J186" i="140" s="1"/>
  <c r="I125" i="140" a="1"/>
  <c r="I125" i="140" s="1"/>
  <c r="I186" i="140" s="1"/>
  <c r="F125" i="140"/>
  <c r="F186" i="140" s="1"/>
  <c r="BC136" i="140"/>
  <c r="AL124" i="140"/>
  <c r="P124" i="140"/>
  <c r="P185" i="140" s="1"/>
  <c r="J124" i="140"/>
  <c r="J185" i="140" s="1"/>
  <c r="I124" i="140" a="1"/>
  <c r="I124" i="140" s="1"/>
  <c r="F124" i="140"/>
  <c r="F185" i="140" s="1"/>
  <c r="BC135" i="140"/>
  <c r="AL123" i="140"/>
  <c r="H123" i="140"/>
  <c r="BC134" i="140"/>
  <c r="BC133" i="140"/>
  <c r="BC132" i="140"/>
  <c r="BC131" i="140"/>
  <c r="AR131" i="140"/>
  <c r="BC130" i="140"/>
  <c r="AR130" i="140"/>
  <c r="BC129" i="140"/>
  <c r="AR129" i="140"/>
  <c r="BC128" i="140"/>
  <c r="BC127" i="140"/>
  <c r="BC126" i="140"/>
  <c r="BC125" i="140"/>
  <c r="AR125" i="140"/>
  <c r="BC124" i="140"/>
  <c r="BC123" i="140"/>
  <c r="BC122" i="140"/>
  <c r="AL122" i="140"/>
  <c r="S122" i="140"/>
  <c r="Q122" i="140"/>
  <c r="P122" i="140"/>
  <c r="J122" i="140"/>
  <c r="I122" i="140" a="1"/>
  <c r="I122" i="140" s="1"/>
  <c r="F122" i="140"/>
  <c r="BC121" i="140"/>
  <c r="AR121" i="140"/>
  <c r="AL121" i="140"/>
  <c r="S121" i="140"/>
  <c r="Q121" i="140"/>
  <c r="BA109" i="140" s="1"/>
  <c r="P121" i="140"/>
  <c r="AZ109" i="140" s="1"/>
  <c r="J121" i="140"/>
  <c r="AT109" i="140" s="1"/>
  <c r="I121" i="140" a="1"/>
  <c r="I121" i="140" s="1"/>
  <c r="F121" i="140"/>
  <c r="AP109" i="140" s="1"/>
  <c r="BC120" i="140"/>
  <c r="AR120" i="140"/>
  <c r="AL120" i="140"/>
  <c r="S120" i="140"/>
  <c r="Q120" i="140"/>
  <c r="P120" i="140"/>
  <c r="J120" i="140"/>
  <c r="I120" i="140" a="1"/>
  <c r="I120" i="140" s="1"/>
  <c r="F120" i="140"/>
  <c r="BC119" i="140"/>
  <c r="AR119" i="140"/>
  <c r="AL119" i="140"/>
  <c r="S119" i="140"/>
  <c r="Q119" i="140"/>
  <c r="P119" i="140"/>
  <c r="J119" i="140"/>
  <c r="I119" i="140" a="1"/>
  <c r="I119" i="140" s="1"/>
  <c r="K119" i="140" s="1"/>
  <c r="F119" i="140"/>
  <c r="BC118" i="140"/>
  <c r="AR118" i="140"/>
  <c r="AL118" i="140"/>
  <c r="S118" i="140"/>
  <c r="Q118" i="140"/>
  <c r="P118" i="140"/>
  <c r="J118" i="140"/>
  <c r="I118" i="140" a="1"/>
  <c r="I118" i="140" s="1"/>
  <c r="F118" i="140"/>
  <c r="BC117" i="140"/>
  <c r="AR117" i="140"/>
  <c r="AL117" i="140"/>
  <c r="S117" i="140"/>
  <c r="Q117" i="140"/>
  <c r="P117" i="140"/>
  <c r="J117" i="140"/>
  <c r="I117" i="140" a="1"/>
  <c r="I117" i="140" s="1"/>
  <c r="K117" i="140" s="1"/>
  <c r="F117" i="140"/>
  <c r="BC116" i="140"/>
  <c r="AL116" i="140"/>
  <c r="S116" i="140"/>
  <c r="Q116" i="140"/>
  <c r="P116" i="140"/>
  <c r="J116" i="140"/>
  <c r="I116" i="140" a="1"/>
  <c r="I116" i="140" s="1"/>
  <c r="F116" i="140"/>
  <c r="BC115" i="140"/>
  <c r="AL115" i="140"/>
  <c r="S115" i="140"/>
  <c r="Q115" i="140"/>
  <c r="P115" i="140"/>
  <c r="J115" i="140"/>
  <c r="I115" i="140" a="1"/>
  <c r="I115" i="140" s="1"/>
  <c r="F115" i="140"/>
  <c r="BC114" i="140"/>
  <c r="AL114" i="140"/>
  <c r="S114" i="140"/>
  <c r="Q114" i="140"/>
  <c r="BA102" i="140" s="1"/>
  <c r="P114" i="140"/>
  <c r="AZ102" i="140" s="1"/>
  <c r="J114" i="140"/>
  <c r="AT102" i="140" s="1"/>
  <c r="I114" i="140" a="1"/>
  <c r="I114" i="140" s="1"/>
  <c r="F114" i="140"/>
  <c r="AP102" i="140" s="1"/>
  <c r="BC113" i="140"/>
  <c r="AR113" i="140"/>
  <c r="AL113" i="140"/>
  <c r="S113" i="140"/>
  <c r="Q113" i="140"/>
  <c r="P113" i="140"/>
  <c r="J113" i="140"/>
  <c r="I113" i="140" a="1"/>
  <c r="I113" i="140" s="1"/>
  <c r="K113" i="140" s="1"/>
  <c r="F113" i="140"/>
  <c r="BC112" i="140"/>
  <c r="AL112" i="140"/>
  <c r="S112" i="140"/>
  <c r="Q112" i="140"/>
  <c r="P112" i="140"/>
  <c r="J112" i="140"/>
  <c r="I112" i="140" a="1"/>
  <c r="I112" i="140" s="1"/>
  <c r="F112" i="140"/>
  <c r="BC111" i="140"/>
  <c r="AL111" i="140"/>
  <c r="S111" i="140"/>
  <c r="Q111" i="140"/>
  <c r="P111" i="140"/>
  <c r="J111" i="140"/>
  <c r="I111" i="140" a="1"/>
  <c r="I111" i="140" s="1"/>
  <c r="F111" i="140"/>
  <c r="BC101" i="140"/>
  <c r="AL101" i="140"/>
  <c r="AL91" i="140"/>
  <c r="AL86" i="140"/>
  <c r="AL85" i="140"/>
  <c r="P85" i="140"/>
  <c r="J85" i="140"/>
  <c r="J89" i="140" s="1"/>
  <c r="K85" i="140"/>
  <c r="F85" i="140"/>
  <c r="F89" i="140" s="1"/>
  <c r="AL84" i="140"/>
  <c r="AL83" i="140"/>
  <c r="AL82" i="140"/>
  <c r="BC91" i="140"/>
  <c r="AL79" i="140"/>
  <c r="K79" i="140"/>
  <c r="BC90" i="140"/>
  <c r="AL78" i="140"/>
  <c r="S78" i="140"/>
  <c r="Q78" i="140"/>
  <c r="P78" i="140"/>
  <c r="J78" i="140"/>
  <c r="I78" i="140" a="1"/>
  <c r="I78" i="140" s="1"/>
  <c r="F78" i="140"/>
  <c r="BC89" i="140"/>
  <c r="AL77" i="140"/>
  <c r="S77" i="140"/>
  <c r="Q77" i="140"/>
  <c r="P77" i="140"/>
  <c r="J77" i="140"/>
  <c r="I77" i="140" a="1"/>
  <c r="I77" i="140" s="1"/>
  <c r="F77" i="140"/>
  <c r="BC88" i="140"/>
  <c r="AL76" i="140"/>
  <c r="S76" i="140"/>
  <c r="Q76" i="140"/>
  <c r="P76" i="140"/>
  <c r="J76" i="140"/>
  <c r="I76" i="140" a="1"/>
  <c r="I76" i="140" s="1"/>
  <c r="F76" i="140"/>
  <c r="BC87" i="140"/>
  <c r="AL75" i="140"/>
  <c r="J75" i="140"/>
  <c r="I75" i="140" a="1"/>
  <c r="I75" i="140" s="1"/>
  <c r="BC86" i="140"/>
  <c r="AL74" i="140"/>
  <c r="S74" i="140"/>
  <c r="Q74" i="140"/>
  <c r="P74" i="140"/>
  <c r="J74" i="140"/>
  <c r="I74" i="140" a="1"/>
  <c r="I74" i="140" s="1"/>
  <c r="F74" i="140"/>
  <c r="BC85" i="140"/>
  <c r="AL73" i="140"/>
  <c r="H73" i="140"/>
  <c r="BC84" i="140"/>
  <c r="BC83" i="140"/>
  <c r="BC82" i="140"/>
  <c r="BC81" i="140"/>
  <c r="BC80" i="140"/>
  <c r="BC79" i="140"/>
  <c r="BC78" i="140"/>
  <c r="BC77" i="140"/>
  <c r="BC76" i="140"/>
  <c r="BC75" i="140"/>
  <c r="BC74" i="140"/>
  <c r="BC73" i="140"/>
  <c r="BC72" i="140"/>
  <c r="AL72" i="140"/>
  <c r="S72" i="140"/>
  <c r="Q72" i="140"/>
  <c r="P72" i="140"/>
  <c r="J72" i="140"/>
  <c r="I72" i="140" a="1"/>
  <c r="I72" i="140" s="1"/>
  <c r="F72" i="140"/>
  <c r="BC71" i="140"/>
  <c r="AL71" i="140"/>
  <c r="S71" i="140"/>
  <c r="Q71" i="140"/>
  <c r="P71" i="140"/>
  <c r="J71" i="140"/>
  <c r="I71" i="140" a="1"/>
  <c r="I71" i="140" s="1"/>
  <c r="F71" i="140"/>
  <c r="BC70" i="140"/>
  <c r="AL70" i="140"/>
  <c r="S70" i="140"/>
  <c r="Q70" i="140"/>
  <c r="P70" i="140"/>
  <c r="J70" i="140"/>
  <c r="I70" i="140" a="1"/>
  <c r="I70" i="140" s="1"/>
  <c r="F70" i="140"/>
  <c r="BC69" i="140"/>
  <c r="AL69" i="140"/>
  <c r="S69" i="140"/>
  <c r="Q69" i="140"/>
  <c r="P69" i="140"/>
  <c r="J69" i="140"/>
  <c r="I69" i="140" a="1"/>
  <c r="I69" i="140" s="1"/>
  <c r="F69" i="140"/>
  <c r="BC68" i="140"/>
  <c r="AL68" i="140"/>
  <c r="S68" i="140"/>
  <c r="Q68" i="140"/>
  <c r="P68" i="140"/>
  <c r="J68" i="140"/>
  <c r="I68" i="140" a="1"/>
  <c r="I68" i="140" s="1"/>
  <c r="F68" i="140"/>
  <c r="BC67" i="140"/>
  <c r="AL67" i="140"/>
  <c r="S67" i="140"/>
  <c r="Q67" i="140"/>
  <c r="P67" i="140"/>
  <c r="J67" i="140"/>
  <c r="I67" i="140" a="1"/>
  <c r="I67" i="140" s="1"/>
  <c r="F67" i="140"/>
  <c r="BC66" i="140"/>
  <c r="AL66" i="140"/>
  <c r="S66" i="140"/>
  <c r="Q66" i="140"/>
  <c r="P66" i="140"/>
  <c r="J66" i="140"/>
  <c r="I66" i="140" a="1"/>
  <c r="I66" i="140" s="1"/>
  <c r="F66" i="140"/>
  <c r="BC65" i="140"/>
  <c r="AL65" i="140"/>
  <c r="S65" i="140"/>
  <c r="Q65" i="140"/>
  <c r="P65" i="140"/>
  <c r="J65" i="140"/>
  <c r="I65" i="140" a="1"/>
  <c r="I65" i="140" s="1"/>
  <c r="F65" i="140"/>
  <c r="BC64" i="140"/>
  <c r="AL64" i="140"/>
  <c r="S64" i="140"/>
  <c r="Q64" i="140"/>
  <c r="P64" i="140"/>
  <c r="J64" i="140"/>
  <c r="I64" i="140" a="1"/>
  <c r="I64" i="140" s="1"/>
  <c r="F64" i="140"/>
  <c r="BC63" i="140"/>
  <c r="AL63" i="140"/>
  <c r="S63" i="140"/>
  <c r="Q63" i="140"/>
  <c r="P63" i="140"/>
  <c r="J63" i="140"/>
  <c r="I63" i="140" a="1"/>
  <c r="I63" i="140" s="1"/>
  <c r="F63" i="140"/>
  <c r="BC62" i="140"/>
  <c r="AL62" i="140"/>
  <c r="S62" i="140"/>
  <c r="Q62" i="140"/>
  <c r="P62" i="140"/>
  <c r="J62" i="140"/>
  <c r="I62" i="140" a="1"/>
  <c r="I62" i="140" s="1"/>
  <c r="F62" i="140"/>
  <c r="BC61" i="140"/>
  <c r="AL61" i="140"/>
  <c r="J49" i="140" s="1"/>
  <c r="S61" i="140"/>
  <c r="Q61" i="140"/>
  <c r="BA61" i="140" s="1"/>
  <c r="P61" i="140"/>
  <c r="AZ61" i="140" s="1"/>
  <c r="J61" i="140"/>
  <c r="AT61" i="140" s="1"/>
  <c r="I61" i="140" a="1"/>
  <c r="I61" i="140" s="1"/>
  <c r="AS61" i="140" s="1"/>
  <c r="F61" i="140"/>
  <c r="AP61" i="140" s="1"/>
  <c r="BC51" i="140"/>
  <c r="AL51" i="140"/>
  <c r="BC50" i="140"/>
  <c r="BC49" i="140"/>
  <c r="BL40" i="140"/>
  <c r="AL40" i="140"/>
  <c r="BL39" i="140"/>
  <c r="AL39" i="140"/>
  <c r="S39" i="140"/>
  <c r="Q39" i="140"/>
  <c r="P39" i="140"/>
  <c r="J39" i="140"/>
  <c r="I39" i="140"/>
  <c r="H39" i="140"/>
  <c r="F39" i="140"/>
  <c r="BL38" i="140"/>
  <c r="AL38" i="140"/>
  <c r="S38" i="140"/>
  <c r="Q38" i="140"/>
  <c r="P38" i="140"/>
  <c r="J38" i="140"/>
  <c r="I38" i="140"/>
  <c r="H38" i="140"/>
  <c r="F38" i="140"/>
  <c r="BL37" i="140"/>
  <c r="AL37" i="140"/>
  <c r="S37" i="140"/>
  <c r="Q37" i="140"/>
  <c r="P37" i="140"/>
  <c r="J37" i="140"/>
  <c r="I37" i="140"/>
  <c r="H37" i="140"/>
  <c r="F37" i="140"/>
  <c r="BL36" i="140"/>
  <c r="AL36" i="140"/>
  <c r="S36" i="140"/>
  <c r="Q36" i="140"/>
  <c r="P36" i="140"/>
  <c r="J36" i="140"/>
  <c r="I36" i="140"/>
  <c r="H36" i="140"/>
  <c r="F36" i="140"/>
  <c r="BL35" i="140"/>
  <c r="AL35" i="140"/>
  <c r="S35" i="140"/>
  <c r="Q35" i="140"/>
  <c r="P35" i="140"/>
  <c r="J35" i="140"/>
  <c r="I35" i="140"/>
  <c r="H35" i="140"/>
  <c r="F35" i="140"/>
  <c r="BL34" i="140"/>
  <c r="AL34" i="140"/>
  <c r="S34" i="140"/>
  <c r="Q34" i="140"/>
  <c r="P34" i="140"/>
  <c r="J34" i="140"/>
  <c r="I34" i="140"/>
  <c r="H34" i="140"/>
  <c r="F34" i="140"/>
  <c r="BL33" i="140"/>
  <c r="AL33" i="140"/>
  <c r="S33" i="140"/>
  <c r="Q33" i="140"/>
  <c r="P33" i="140"/>
  <c r="J33" i="140"/>
  <c r="I33" i="140"/>
  <c r="H33" i="140"/>
  <c r="F33" i="140"/>
  <c r="BL32" i="140"/>
  <c r="AL32" i="140"/>
  <c r="S32" i="140"/>
  <c r="Q32" i="140"/>
  <c r="P32" i="140"/>
  <c r="J32" i="140"/>
  <c r="I32" i="140"/>
  <c r="H32" i="140"/>
  <c r="F32" i="140"/>
  <c r="BL31" i="140"/>
  <c r="AL31" i="140"/>
  <c r="S31" i="140"/>
  <c r="Q31" i="140"/>
  <c r="P31" i="140"/>
  <c r="J31" i="140"/>
  <c r="I31" i="140"/>
  <c r="H31" i="140"/>
  <c r="F31" i="140"/>
  <c r="BL30" i="140"/>
  <c r="AL30" i="140"/>
  <c r="S30" i="140"/>
  <c r="Q30" i="140"/>
  <c r="P30" i="140"/>
  <c r="J30" i="140"/>
  <c r="I30" i="140"/>
  <c r="H30" i="140"/>
  <c r="F30" i="140"/>
  <c r="BL29" i="140"/>
  <c r="AL29" i="140"/>
  <c r="S29" i="140"/>
  <c r="Q29" i="140"/>
  <c r="P29" i="140"/>
  <c r="J29" i="140"/>
  <c r="I29" i="140"/>
  <c r="H29" i="140"/>
  <c r="F29" i="140"/>
  <c r="BL28" i="140"/>
  <c r="AL28" i="140"/>
  <c r="Q28" i="140"/>
  <c r="P28" i="140"/>
  <c r="J28" i="140"/>
  <c r="I28" i="140"/>
  <c r="H28" i="140"/>
  <c r="F28" i="140"/>
  <c r="AL27" i="140"/>
  <c r="S27" i="140"/>
  <c r="Q27" i="140"/>
  <c r="P27" i="140"/>
  <c r="J27" i="140"/>
  <c r="I27" i="140"/>
  <c r="H27" i="140"/>
  <c r="H246" i="140" s="1"/>
  <c r="AF246" i="140" s="1"/>
  <c r="F27" i="140"/>
  <c r="BL27" i="140"/>
  <c r="AL26" i="140"/>
  <c r="S26" i="140"/>
  <c r="Q26" i="140"/>
  <c r="P26" i="140"/>
  <c r="J26" i="140"/>
  <c r="I26" i="140"/>
  <c r="H26" i="140"/>
  <c r="F26" i="140"/>
  <c r="BL26" i="140"/>
  <c r="BL25" i="140"/>
  <c r="AL25" i="140"/>
  <c r="S25" i="140"/>
  <c r="Q25" i="140"/>
  <c r="P25" i="140"/>
  <c r="J25" i="140"/>
  <c r="I25" i="140"/>
  <c r="H25" i="140"/>
  <c r="H244" i="140" s="1"/>
  <c r="AF244" i="140" s="1"/>
  <c r="F25" i="140"/>
  <c r="BL24" i="140"/>
  <c r="AL24" i="140"/>
  <c r="S24" i="140"/>
  <c r="Q24" i="140"/>
  <c r="P24" i="140"/>
  <c r="J24" i="140"/>
  <c r="I24" i="140"/>
  <c r="H24" i="140"/>
  <c r="F24" i="140"/>
  <c r="BL23" i="140"/>
  <c r="AL23" i="140"/>
  <c r="S23" i="140"/>
  <c r="Q23" i="140"/>
  <c r="P23" i="140"/>
  <c r="J23" i="140"/>
  <c r="I23" i="140"/>
  <c r="H23" i="140"/>
  <c r="H242" i="140" s="1"/>
  <c r="F23" i="140"/>
  <c r="BL22" i="140"/>
  <c r="AL22" i="140"/>
  <c r="S22" i="140"/>
  <c r="Q22" i="140"/>
  <c r="P22" i="140"/>
  <c r="J22" i="140"/>
  <c r="I22" i="140"/>
  <c r="H22" i="140"/>
  <c r="H241" i="140" s="1"/>
  <c r="AF241" i="140" s="1"/>
  <c r="F22" i="140"/>
  <c r="BL21" i="140"/>
  <c r="AL21" i="140"/>
  <c r="S21" i="140"/>
  <c r="Q21" i="140"/>
  <c r="P21" i="140"/>
  <c r="J21" i="140"/>
  <c r="I21" i="140"/>
  <c r="H21" i="140"/>
  <c r="H240" i="140" s="1"/>
  <c r="AF240" i="140" s="1"/>
  <c r="F21" i="140"/>
  <c r="BL20" i="140"/>
  <c r="AL20" i="140"/>
  <c r="S20" i="140"/>
  <c r="Q20" i="140"/>
  <c r="P20" i="140"/>
  <c r="J20" i="140"/>
  <c r="I20" i="140"/>
  <c r="H20" i="140"/>
  <c r="H239" i="140" s="1"/>
  <c r="F20" i="140"/>
  <c r="BL19" i="140"/>
  <c r="AL19" i="140"/>
  <c r="S19" i="140"/>
  <c r="Q19" i="140"/>
  <c r="P19" i="140"/>
  <c r="J19" i="140"/>
  <c r="I19" i="140"/>
  <c r="H19" i="140"/>
  <c r="H238" i="140" s="1"/>
  <c r="F19" i="140"/>
  <c r="BL18" i="140"/>
  <c r="AL18" i="140"/>
  <c r="S18" i="140"/>
  <c r="Q18" i="140"/>
  <c r="P18" i="140"/>
  <c r="J18" i="140"/>
  <c r="I18" i="140"/>
  <c r="H18" i="140"/>
  <c r="F18" i="140"/>
  <c r="BL17" i="140"/>
  <c r="AL17" i="140"/>
  <c r="S17" i="140"/>
  <c r="Q17" i="140"/>
  <c r="P17" i="140"/>
  <c r="J17" i="140"/>
  <c r="I17" i="140"/>
  <c r="H17" i="140"/>
  <c r="H236" i="140" s="1"/>
  <c r="AF236" i="140" s="1"/>
  <c r="F17" i="140"/>
  <c r="BL16" i="140"/>
  <c r="AL16" i="140"/>
  <c r="S16" i="140"/>
  <c r="Q16" i="140"/>
  <c r="P16" i="140"/>
  <c r="J16" i="140"/>
  <c r="I16" i="140"/>
  <c r="H16" i="140"/>
  <c r="F16" i="140"/>
  <c r="BL15" i="140"/>
  <c r="AL15" i="140"/>
  <c r="S15" i="140"/>
  <c r="S234" i="140" s="1"/>
  <c r="Q15" i="140"/>
  <c r="P15" i="140"/>
  <c r="J15" i="140"/>
  <c r="I15" i="140"/>
  <c r="AS14" i="140" s="1"/>
  <c r="H15" i="140"/>
  <c r="AR14" i="140" s="1"/>
  <c r="F15" i="140"/>
  <c r="BL6" i="140"/>
  <c r="AL6" i="140"/>
  <c r="AL5" i="140"/>
  <c r="AL4" i="140"/>
  <c r="AL26" i="134"/>
  <c r="AM26" i="134" s="1"/>
  <c r="AJ26" i="134"/>
  <c r="AK26" i="134" s="1"/>
  <c r="AD26" i="134"/>
  <c r="AE26" i="134" s="1"/>
  <c r="AB26" i="134"/>
  <c r="AC26" i="134" s="1"/>
  <c r="T26" i="134"/>
  <c r="R26" i="134"/>
  <c r="S26" i="134" s="1"/>
  <c r="L26" i="134"/>
  <c r="M26" i="134" s="1"/>
  <c r="J26" i="134"/>
  <c r="AL25" i="134"/>
  <c r="AJ25" i="134"/>
  <c r="AN25" i="134" s="1"/>
  <c r="AF25" i="134"/>
  <c r="AA25" i="134"/>
  <c r="T25" i="134"/>
  <c r="R25" i="134"/>
  <c r="L25" i="134"/>
  <c r="J25" i="134"/>
  <c r="I25" i="134"/>
  <c r="AN24" i="134"/>
  <c r="AM24" i="134"/>
  <c r="AK24" i="134"/>
  <c r="AF24" i="134"/>
  <c r="AA24" i="134"/>
  <c r="V24" i="134"/>
  <c r="U24" i="134"/>
  <c r="S24" i="134"/>
  <c r="N24" i="134"/>
  <c r="O24" i="134" s="1"/>
  <c r="P24" i="134" s="1"/>
  <c r="M24" i="134"/>
  <c r="K24" i="134"/>
  <c r="I24" i="134"/>
  <c r="AL21" i="134"/>
  <c r="AJ21" i="134"/>
  <c r="AD21" i="134"/>
  <c r="AB21" i="134"/>
  <c r="Y21" i="134"/>
  <c r="W21" i="134"/>
  <c r="T21" i="134"/>
  <c r="R21" i="134"/>
  <c r="L21" i="134"/>
  <c r="J21" i="134"/>
  <c r="G21" i="134"/>
  <c r="E21" i="134"/>
  <c r="AN20" i="134"/>
  <c r="AM20" i="134"/>
  <c r="AK20" i="134"/>
  <c r="AF20" i="134"/>
  <c r="AA20" i="134"/>
  <c r="V20" i="134"/>
  <c r="U20" i="134"/>
  <c r="S20" i="134"/>
  <c r="N20" i="134"/>
  <c r="M20" i="134"/>
  <c r="K20" i="134"/>
  <c r="I20" i="134"/>
  <c r="H20" i="134"/>
  <c r="F20" i="134"/>
  <c r="AL19" i="134"/>
  <c r="AM19" i="134" s="1"/>
  <c r="AJ19" i="134"/>
  <c r="AN19" i="134" s="1"/>
  <c r="AH19" i="134"/>
  <c r="AG19" i="134"/>
  <c r="AD19" i="134"/>
  <c r="AE19" i="134" s="1"/>
  <c r="AB19" i="134"/>
  <c r="AA19" i="134"/>
  <c r="Z19" i="134"/>
  <c r="X19" i="134"/>
  <c r="T19" i="134"/>
  <c r="R19" i="134"/>
  <c r="S19" i="134" s="1"/>
  <c r="L19" i="134"/>
  <c r="J19" i="134"/>
  <c r="I19" i="134"/>
  <c r="H19" i="134"/>
  <c r="F19" i="134"/>
  <c r="AL17" i="134"/>
  <c r="AJ17" i="134"/>
  <c r="AN17" i="134" s="1"/>
  <c r="AH17" i="134"/>
  <c r="AG17" i="134"/>
  <c r="AD17" i="134"/>
  <c r="AB17" i="134"/>
  <c r="T17" i="134"/>
  <c r="R17" i="134"/>
  <c r="L17" i="134"/>
  <c r="J17" i="134"/>
  <c r="Q17" i="134" s="1"/>
  <c r="AL16" i="134"/>
  <c r="AJ16" i="134"/>
  <c r="AH16" i="134"/>
  <c r="AG16" i="134"/>
  <c r="AE16" i="134"/>
  <c r="AD16" i="134"/>
  <c r="AB16" i="134"/>
  <c r="Y16" i="134"/>
  <c r="W16" i="134"/>
  <c r="AA16" i="134" s="1"/>
  <c r="T16" i="134"/>
  <c r="R16" i="134"/>
  <c r="L16" i="134"/>
  <c r="J16" i="134"/>
  <c r="G16" i="134"/>
  <c r="E16" i="134"/>
  <c r="I16" i="134" s="1"/>
  <c r="AL15" i="134"/>
  <c r="AJ15" i="134"/>
  <c r="AH15" i="134"/>
  <c r="AG15" i="134"/>
  <c r="AD15" i="134"/>
  <c r="AB15" i="134"/>
  <c r="Y15" i="134"/>
  <c r="W15" i="134"/>
  <c r="AA15" i="134" s="1"/>
  <c r="T15" i="134"/>
  <c r="R15" i="134"/>
  <c r="L15" i="134"/>
  <c r="J15" i="134"/>
  <c r="G15" i="134"/>
  <c r="E15" i="134"/>
  <c r="AL14" i="134"/>
  <c r="AJ14" i="134"/>
  <c r="AN14" i="134" s="1"/>
  <c r="AH14" i="134"/>
  <c r="AG14" i="134"/>
  <c r="AI14" i="134" s="1"/>
  <c r="AD14" i="134"/>
  <c r="AB14" i="134"/>
  <c r="Y14" i="134"/>
  <c r="AA14" i="134" s="1"/>
  <c r="W14" i="134"/>
  <c r="T14" i="134"/>
  <c r="R14" i="134"/>
  <c r="L14" i="134"/>
  <c r="J14" i="134"/>
  <c r="G14" i="134"/>
  <c r="E14" i="134"/>
  <c r="AL13" i="134"/>
  <c r="AJ13" i="134"/>
  <c r="AH13" i="134"/>
  <c r="AG13" i="134"/>
  <c r="AE13" i="134"/>
  <c r="AD13" i="134"/>
  <c r="AB13" i="134"/>
  <c r="Y13" i="134"/>
  <c r="W13" i="134"/>
  <c r="T13" i="134"/>
  <c r="R13" i="134"/>
  <c r="L13" i="134"/>
  <c r="J13" i="134"/>
  <c r="Q13" i="134" s="1"/>
  <c r="G13" i="134"/>
  <c r="E13" i="134"/>
  <c r="AN12" i="134"/>
  <c r="AM12" i="134"/>
  <c r="AK12" i="134"/>
  <c r="AI12" i="134"/>
  <c r="AF12" i="134"/>
  <c r="AC12" i="134"/>
  <c r="AA12" i="134"/>
  <c r="Z12" i="134"/>
  <c r="X12" i="134"/>
  <c r="V12" i="134"/>
  <c r="U12" i="134"/>
  <c r="S12" i="134"/>
  <c r="N12" i="134"/>
  <c r="M12" i="134"/>
  <c r="K12" i="134"/>
  <c r="I12" i="134"/>
  <c r="H12" i="134"/>
  <c r="F12" i="134"/>
  <c r="AN11" i="134"/>
  <c r="AM11" i="134"/>
  <c r="AK11" i="134"/>
  <c r="AI11" i="134"/>
  <c r="AF11" i="134"/>
  <c r="AC11" i="134"/>
  <c r="AA11" i="134"/>
  <c r="Z11" i="134"/>
  <c r="X11" i="134"/>
  <c r="V11" i="134"/>
  <c r="U11" i="134"/>
  <c r="S11" i="134"/>
  <c r="N11" i="134"/>
  <c r="M11" i="134"/>
  <c r="K11" i="134"/>
  <c r="I11" i="134"/>
  <c r="H11" i="134"/>
  <c r="F11" i="134"/>
  <c r="AN10" i="134"/>
  <c r="AM10" i="134"/>
  <c r="AK10" i="134"/>
  <c r="AI10" i="134"/>
  <c r="AF10" i="134"/>
  <c r="AC10" i="134"/>
  <c r="AA10" i="134"/>
  <c r="Z10" i="134"/>
  <c r="Z13" i="134" s="1"/>
  <c r="X10" i="134"/>
  <c r="V10" i="134"/>
  <c r="U10" i="134"/>
  <c r="S10" i="134"/>
  <c r="N10" i="134"/>
  <c r="M10" i="134"/>
  <c r="K10" i="134"/>
  <c r="I10" i="134"/>
  <c r="H10" i="134"/>
  <c r="F10" i="134"/>
  <c r="AN9" i="134"/>
  <c r="AM9" i="134"/>
  <c r="AK9" i="134"/>
  <c r="AI9" i="134"/>
  <c r="AF9" i="134"/>
  <c r="AC9" i="134"/>
  <c r="AC25" i="134" s="1"/>
  <c r="Y9" i="134"/>
  <c r="Y26" i="134" s="1"/>
  <c r="Z26" i="134" s="1"/>
  <c r="W9" i="134"/>
  <c r="V9" i="134"/>
  <c r="U9" i="134"/>
  <c r="S9" i="134"/>
  <c r="N9" i="134"/>
  <c r="M9" i="134"/>
  <c r="K9" i="134"/>
  <c r="G26" i="134"/>
  <c r="H26" i="134" s="1"/>
  <c r="F9" i="134"/>
  <c r="F25" i="134" s="1"/>
  <c r="AN7" i="134"/>
  <c r="AM7" i="134"/>
  <c r="AK7" i="134"/>
  <c r="AK23" i="134" s="1"/>
  <c r="AI7" i="134"/>
  <c r="AF7" i="134"/>
  <c r="AE7" i="134"/>
  <c r="AC7" i="134"/>
  <c r="AC23" i="134" s="1"/>
  <c r="AA7" i="134"/>
  <c r="Z7" i="134"/>
  <c r="X7" i="134"/>
  <c r="V7" i="134"/>
  <c r="U7" i="134"/>
  <c r="S7" i="134"/>
  <c r="N7" i="134"/>
  <c r="M7" i="134"/>
  <c r="M23" i="134" s="1"/>
  <c r="K7" i="134"/>
  <c r="K23" i="134" s="1"/>
  <c r="I7" i="134"/>
  <c r="H7" i="134"/>
  <c r="F7" i="134"/>
  <c r="F23" i="134" s="1"/>
  <c r="AX143" i="140" l="1"/>
  <c r="AQ143" i="140"/>
  <c r="AW143" i="140"/>
  <c r="AV143" i="140"/>
  <c r="BB143" i="140"/>
  <c r="M14" i="138"/>
  <c r="M21" i="138"/>
  <c r="M18" i="138"/>
  <c r="M23" i="138"/>
  <c r="M19" i="138"/>
  <c r="M24" i="138"/>
  <c r="V15" i="134"/>
  <c r="V13" i="134"/>
  <c r="AY102" i="140"/>
  <c r="AY109" i="140"/>
  <c r="AF182" i="140"/>
  <c r="AR170" i="140"/>
  <c r="BB109" i="140"/>
  <c r="AR88" i="140"/>
  <c r="BB102" i="140"/>
  <c r="AF175" i="140"/>
  <c r="AR163" i="140"/>
  <c r="AF238" i="140"/>
  <c r="AQ109" i="140"/>
  <c r="AW109" i="140"/>
  <c r="AW102" i="140"/>
  <c r="AQ102" i="140"/>
  <c r="K121" i="140"/>
  <c r="AS109" i="140"/>
  <c r="AU109" i="140" s="1"/>
  <c r="K114" i="140"/>
  <c r="AS102" i="140"/>
  <c r="AU102" i="140" s="1"/>
  <c r="L123" i="125"/>
  <c r="M17" i="138"/>
  <c r="M16" i="138"/>
  <c r="M25" i="138"/>
  <c r="D13" i="138"/>
  <c r="R140" i="130"/>
  <c r="Q144" i="130"/>
  <c r="R145" i="130"/>
  <c r="R126" i="130"/>
  <c r="Q98" i="130"/>
  <c r="R134" i="130"/>
  <c r="Q137" i="130"/>
  <c r="R142" i="130"/>
  <c r="Q139" i="130"/>
  <c r="Q136" i="130"/>
  <c r="Q146" i="130"/>
  <c r="R137" i="130"/>
  <c r="Q109" i="130"/>
  <c r="R139" i="130"/>
  <c r="Q86" i="130"/>
  <c r="Q120" i="130"/>
  <c r="R147" i="130"/>
  <c r="R132" i="130"/>
  <c r="Q142" i="130"/>
  <c r="Q149" i="130"/>
  <c r="R141" i="130"/>
  <c r="Q133" i="130"/>
  <c r="R121" i="130"/>
  <c r="R105" i="130"/>
  <c r="Q152" i="130"/>
  <c r="Q141" i="130"/>
  <c r="Q153" i="130"/>
  <c r="Q121" i="130"/>
  <c r="Q147" i="130"/>
  <c r="Q138" i="130"/>
  <c r="Q110" i="130"/>
  <c r="Q155" i="130"/>
  <c r="R148" i="130"/>
  <c r="Q145" i="130"/>
  <c r="R149" i="130"/>
  <c r="Q97" i="130"/>
  <c r="Q107" i="130"/>
  <c r="Q122" i="130"/>
  <c r="Q123" i="130"/>
  <c r="Q150" i="130"/>
  <c r="Q154" i="130"/>
  <c r="R113" i="130"/>
  <c r="Q91" i="130"/>
  <c r="Q104" i="130"/>
  <c r="Q115" i="130"/>
  <c r="Q129" i="130"/>
  <c r="R116" i="130"/>
  <c r="Q94" i="130"/>
  <c r="Q105" i="130"/>
  <c r="Q117" i="130"/>
  <c r="Q134" i="130"/>
  <c r="R124" i="130"/>
  <c r="Q96" i="130"/>
  <c r="Q106" i="130"/>
  <c r="Q118" i="130"/>
  <c r="R129" i="130"/>
  <c r="R150" i="130"/>
  <c r="Q88" i="130"/>
  <c r="Q99" i="130"/>
  <c r="Q112" i="130"/>
  <c r="Q125" i="130"/>
  <c r="Q89" i="130"/>
  <c r="Q101" i="130"/>
  <c r="Q113" i="130"/>
  <c r="Q126" i="130"/>
  <c r="Q157" i="130"/>
  <c r="Q90" i="130"/>
  <c r="Q102" i="130"/>
  <c r="Q114" i="130"/>
  <c r="Q128" i="130"/>
  <c r="M7" i="138"/>
  <c r="M22" i="138"/>
  <c r="J82" i="140"/>
  <c r="AT82" i="140" s="1"/>
  <c r="J18" i="134"/>
  <c r="Q18" i="134" s="1"/>
  <c r="Q19" i="134"/>
  <c r="M26" i="138"/>
  <c r="M9" i="138"/>
  <c r="M8" i="138"/>
  <c r="M6" i="138"/>
  <c r="R106" i="130"/>
  <c r="R114" i="130"/>
  <c r="R122" i="130"/>
  <c r="R130" i="130"/>
  <c r="R138" i="130"/>
  <c r="R146" i="130"/>
  <c r="Q87" i="130"/>
  <c r="Q95" i="130"/>
  <c r="Q103" i="130"/>
  <c r="Q111" i="130"/>
  <c r="Q119" i="130"/>
  <c r="Q127" i="130"/>
  <c r="Q135" i="130"/>
  <c r="Q143" i="130"/>
  <c r="Q151" i="130"/>
  <c r="R107" i="130"/>
  <c r="R115" i="130"/>
  <c r="R123" i="130"/>
  <c r="R108" i="130"/>
  <c r="R101" i="130"/>
  <c r="R109" i="130"/>
  <c r="R117" i="130"/>
  <c r="R125" i="130"/>
  <c r="R133" i="130"/>
  <c r="R102" i="130"/>
  <c r="R110" i="130"/>
  <c r="R118" i="130"/>
  <c r="R103" i="130"/>
  <c r="R111" i="130"/>
  <c r="R119" i="130"/>
  <c r="R127" i="130"/>
  <c r="R135" i="130"/>
  <c r="R143" i="130"/>
  <c r="R151" i="130"/>
  <c r="Q92" i="130"/>
  <c r="Q100" i="130"/>
  <c r="Q108" i="130"/>
  <c r="Q116" i="130"/>
  <c r="Q124" i="130"/>
  <c r="Q132" i="130"/>
  <c r="Q140" i="130"/>
  <c r="Q148" i="130"/>
  <c r="Q156" i="130"/>
  <c r="R104" i="130"/>
  <c r="R112" i="130"/>
  <c r="R120" i="130"/>
  <c r="R128" i="130"/>
  <c r="R136" i="130"/>
  <c r="R144" i="130"/>
  <c r="R100" i="130"/>
  <c r="Q93" i="130"/>
  <c r="R131" i="130"/>
  <c r="Q130" i="130"/>
  <c r="Q131" i="130"/>
  <c r="M10" i="138"/>
  <c r="I172" i="125"/>
  <c r="O99" i="125"/>
  <c r="M15" i="138"/>
  <c r="M4" i="138"/>
  <c r="M5" i="138"/>
  <c r="M3" i="138"/>
  <c r="L13" i="138"/>
  <c r="L28" i="138" s="1"/>
  <c r="K13" i="138"/>
  <c r="E13" i="138"/>
  <c r="E28" i="138" s="1"/>
  <c r="AA9" i="134"/>
  <c r="V21" i="134"/>
  <c r="AN16" i="134"/>
  <c r="AI17" i="134"/>
  <c r="H13" i="134"/>
  <c r="M16" i="134"/>
  <c r="H14" i="134"/>
  <c r="H23" i="134"/>
  <c r="X21" i="134"/>
  <c r="X23" i="134"/>
  <c r="AM15" i="134"/>
  <c r="AM23" i="134"/>
  <c r="Z21" i="134"/>
  <c r="Z23" i="134"/>
  <c r="AM25" i="134"/>
  <c r="AE17" i="134"/>
  <c r="AE23" i="134"/>
  <c r="S15" i="134"/>
  <c r="S23" i="134"/>
  <c r="V17" i="134"/>
  <c r="U15" i="134"/>
  <c r="U23" i="134"/>
  <c r="AI16" i="134"/>
  <c r="K21" i="134"/>
  <c r="U13" i="134"/>
  <c r="V19" i="134"/>
  <c r="U16" i="134"/>
  <c r="AA13" i="134"/>
  <c r="M19" i="134"/>
  <c r="M18" i="134" s="1"/>
  <c r="L18" i="134"/>
  <c r="N18" i="134" s="1"/>
  <c r="S17" i="134"/>
  <c r="X16" i="134"/>
  <c r="AI15" i="134"/>
  <c r="V16" i="134"/>
  <c r="V25" i="134"/>
  <c r="M15" i="134"/>
  <c r="AC15" i="134"/>
  <c r="AK13" i="134"/>
  <c r="S25" i="134"/>
  <c r="AM13" i="134"/>
  <c r="S16" i="134"/>
  <c r="AI13" i="134"/>
  <c r="V14" i="134"/>
  <c r="U25" i="134"/>
  <c r="X13" i="134"/>
  <c r="AK16" i="134"/>
  <c r="S14" i="134"/>
  <c r="AN15" i="134"/>
  <c r="AN13" i="134"/>
  <c r="AK17" i="134"/>
  <c r="H15" i="134"/>
  <c r="U17" i="134"/>
  <c r="AM17" i="134"/>
  <c r="S13" i="134"/>
  <c r="AC16" i="134"/>
  <c r="Z16" i="134"/>
  <c r="X14" i="134"/>
  <c r="AI19" i="134"/>
  <c r="AK25" i="134"/>
  <c r="AF15" i="134"/>
  <c r="AM16" i="134"/>
  <c r="X15" i="134"/>
  <c r="W17" i="134"/>
  <c r="U19" i="134"/>
  <c r="Z14" i="134"/>
  <c r="AK14" i="134"/>
  <c r="Z15" i="134"/>
  <c r="AK15" i="134"/>
  <c r="Y17" i="134"/>
  <c r="AK21" i="134"/>
  <c r="X9" i="134"/>
  <c r="X17" i="134" s="1"/>
  <c r="AK19" i="134"/>
  <c r="AM21" i="134"/>
  <c r="U14" i="134"/>
  <c r="AM14" i="134"/>
  <c r="Z9" i="134"/>
  <c r="Z17" i="134" s="1"/>
  <c r="F13" i="134"/>
  <c r="AE14" i="134"/>
  <c r="S21" i="134"/>
  <c r="W26" i="134"/>
  <c r="AA26" i="134" s="1"/>
  <c r="U21" i="134"/>
  <c r="N16" i="134"/>
  <c r="K16" i="134"/>
  <c r="M13" i="134"/>
  <c r="K13" i="134"/>
  <c r="K17" i="134"/>
  <c r="M25" i="134"/>
  <c r="M17" i="134"/>
  <c r="N19" i="134"/>
  <c r="N14" i="134"/>
  <c r="M21" i="134"/>
  <c r="N25" i="134"/>
  <c r="M14" i="134"/>
  <c r="N15" i="134"/>
  <c r="N21" i="134"/>
  <c r="N13" i="134"/>
  <c r="N17" i="134"/>
  <c r="K25" i="134"/>
  <c r="K14" i="134"/>
  <c r="K15" i="134"/>
  <c r="I90" i="140"/>
  <c r="J90" i="140"/>
  <c r="J91" i="140" s="1"/>
  <c r="AT91" i="140" s="1"/>
  <c r="P90" i="140"/>
  <c r="AZ90" i="140" s="1"/>
  <c r="Q90" i="140"/>
  <c r="BA90" i="140" s="1"/>
  <c r="S90" i="140"/>
  <c r="S91" i="140" s="1"/>
  <c r="F90" i="140"/>
  <c r="P103" i="125"/>
  <c r="M161" i="125"/>
  <c r="N158" i="125"/>
  <c r="T143" i="140"/>
  <c r="G204" i="140"/>
  <c r="K124" i="140"/>
  <c r="I185" i="140"/>
  <c r="N185" i="140" s="1"/>
  <c r="N248" i="140" s="1"/>
  <c r="AJ248" i="140" s="1"/>
  <c r="K89" i="140"/>
  <c r="P89" i="140"/>
  <c r="N89" i="140"/>
  <c r="N26" i="134"/>
  <c r="Q114" i="125"/>
  <c r="Q100" i="125"/>
  <c r="O142" i="125"/>
  <c r="K95" i="125"/>
  <c r="S105" i="125"/>
  <c r="O114" i="125"/>
  <c r="P106" i="125"/>
  <c r="M120" i="125"/>
  <c r="K154" i="125"/>
  <c r="Q93" i="125"/>
  <c r="N161" i="125"/>
  <c r="J136" i="125"/>
  <c r="P148" i="125"/>
  <c r="P124" i="125"/>
  <c r="Q133" i="125"/>
  <c r="O140" i="125"/>
  <c r="M177" i="125"/>
  <c r="R114" i="125"/>
  <c r="Q135" i="125"/>
  <c r="Q123" i="125"/>
  <c r="J116" i="125"/>
  <c r="U160" i="140"/>
  <c r="BC160" i="140" s="1"/>
  <c r="V160" i="140"/>
  <c r="BD160" i="140" s="1"/>
  <c r="W160" i="140"/>
  <c r="BE160" i="140" s="1"/>
  <c r="X160" i="140"/>
  <c r="BF160" i="140" s="1"/>
  <c r="AC160" i="140"/>
  <c r="BK160" i="140" s="1"/>
  <c r="F131" i="140"/>
  <c r="AP131" i="140" s="1"/>
  <c r="S131" i="140"/>
  <c r="T142" i="140"/>
  <c r="AF242" i="140"/>
  <c r="R156" i="125"/>
  <c r="H161" i="125"/>
  <c r="K161" i="125" s="1"/>
  <c r="O168" i="125"/>
  <c r="H84" i="125"/>
  <c r="N114" i="125"/>
  <c r="I161" i="125"/>
  <c r="L161" i="125" s="1"/>
  <c r="O169" i="125"/>
  <c r="K175" i="125"/>
  <c r="J179" i="125"/>
  <c r="I84" i="125"/>
  <c r="I88" i="125" s="1"/>
  <c r="M93" i="125"/>
  <c r="M94" i="125"/>
  <c r="P177" i="125"/>
  <c r="H83" i="125"/>
  <c r="H88" i="125" s="1"/>
  <c r="M147" i="125"/>
  <c r="M148" i="125"/>
  <c r="P154" i="125"/>
  <c r="L109" i="125"/>
  <c r="R133" i="125"/>
  <c r="K136" i="125"/>
  <c r="J157" i="125"/>
  <c r="L158" i="125"/>
  <c r="U174" i="125"/>
  <c r="K96" i="125"/>
  <c r="K99" i="125"/>
  <c r="M100" i="125"/>
  <c r="M101" i="125"/>
  <c r="R148" i="125"/>
  <c r="O161" i="125"/>
  <c r="J95" i="125"/>
  <c r="J130" i="125"/>
  <c r="M135" i="125"/>
  <c r="AE21" i="134"/>
  <c r="AN26" i="134"/>
  <c r="V26" i="134"/>
  <c r="H200" i="140"/>
  <c r="L139" i="140"/>
  <c r="AV139" i="140" s="1"/>
  <c r="K139" i="140"/>
  <c r="AU139" i="140" s="1"/>
  <c r="AF17" i="134"/>
  <c r="AF16" i="134"/>
  <c r="AF14" i="134"/>
  <c r="AF13" i="134"/>
  <c r="AC13" i="134"/>
  <c r="AF19" i="134"/>
  <c r="AE15" i="134"/>
  <c r="AC14" i="134"/>
  <c r="AC19" i="134"/>
  <c r="AC17" i="134"/>
  <c r="AC21" i="134"/>
  <c r="O139" i="140"/>
  <c r="AY139" i="140" s="1"/>
  <c r="N139" i="140"/>
  <c r="AX139" i="140" s="1"/>
  <c r="M139" i="140"/>
  <c r="AW139" i="140" s="1"/>
  <c r="R139" i="140"/>
  <c r="BB139" i="140" s="1"/>
  <c r="T137" i="140"/>
  <c r="T139" i="140" s="1"/>
  <c r="G139" i="140"/>
  <c r="AQ139" i="140" s="1"/>
  <c r="H192" i="140"/>
  <c r="H253" i="140"/>
  <c r="Q179" i="125"/>
  <c r="M128" i="125"/>
  <c r="S128" i="125" s="1"/>
  <c r="J165" i="125"/>
  <c r="H237" i="140"/>
  <c r="AF237" i="140" s="1"/>
  <c r="H245" i="140"/>
  <c r="AF245" i="140" s="1"/>
  <c r="AP64" i="140"/>
  <c r="U26" i="134"/>
  <c r="K26" i="134"/>
  <c r="X26" i="134"/>
  <c r="AF26" i="134"/>
  <c r="AA21" i="134"/>
  <c r="H21" i="134"/>
  <c r="AF21" i="134"/>
  <c r="AN21" i="134"/>
  <c r="I21" i="134"/>
  <c r="F15" i="134"/>
  <c r="F16" i="134"/>
  <c r="I15" i="134"/>
  <c r="H16" i="134"/>
  <c r="I14" i="134"/>
  <c r="I13" i="134"/>
  <c r="H9" i="134"/>
  <c r="I9" i="134"/>
  <c r="G17" i="134"/>
  <c r="E17" i="134"/>
  <c r="F17" i="134"/>
  <c r="K19" i="134"/>
  <c r="K18" i="134" s="1"/>
  <c r="E26" i="134"/>
  <c r="F21" i="134"/>
  <c r="F14" i="134"/>
  <c r="U126" i="125"/>
  <c r="P161" i="125"/>
  <c r="S161" i="125" s="1"/>
  <c r="O101" i="125"/>
  <c r="P141" i="125"/>
  <c r="Q142" i="125"/>
  <c r="K106" i="125"/>
  <c r="J127" i="125"/>
  <c r="J144" i="125"/>
  <c r="L117" i="125"/>
  <c r="S119" i="125"/>
  <c r="H235" i="140"/>
  <c r="AF235" i="140" s="1"/>
  <c r="H243" i="140"/>
  <c r="AF243" i="140" s="1"/>
  <c r="F234" i="140"/>
  <c r="AD234" i="140" s="1"/>
  <c r="AP14" i="140"/>
  <c r="J234" i="140"/>
  <c r="AT14" i="140"/>
  <c r="AX14" i="140" s="1"/>
  <c r="P234" i="140"/>
  <c r="AZ14" i="140"/>
  <c r="Q234" i="140"/>
  <c r="BA14" i="140"/>
  <c r="AU14" i="140"/>
  <c r="AC161" i="140"/>
  <c r="BK166" i="140" s="1"/>
  <c r="Q62" i="125"/>
  <c r="H68" i="125"/>
  <c r="H64" i="125"/>
  <c r="L66" i="125"/>
  <c r="R109" i="125"/>
  <c r="P134" i="125"/>
  <c r="R142" i="125"/>
  <c r="J154" i="125"/>
  <c r="O93" i="125"/>
  <c r="M84" i="125"/>
  <c r="L86" i="125"/>
  <c r="O94" i="125"/>
  <c r="L154" i="125"/>
  <c r="G89" i="125"/>
  <c r="P86" i="125" s="1"/>
  <c r="N63" i="125"/>
  <c r="K63" i="125"/>
  <c r="O107" i="125"/>
  <c r="O108" i="125"/>
  <c r="K150" i="125"/>
  <c r="L160" i="125"/>
  <c r="K87" i="125"/>
  <c r="D68" i="125"/>
  <c r="D64" i="125"/>
  <c r="M62" i="125"/>
  <c r="J62" i="125"/>
  <c r="O84" i="125"/>
  <c r="J87" i="125"/>
  <c r="K102" i="125"/>
  <c r="N122" i="125"/>
  <c r="E89" i="125"/>
  <c r="N87" i="125" s="1"/>
  <c r="E67" i="125"/>
  <c r="P84" i="125"/>
  <c r="L102" i="125"/>
  <c r="K137" i="125"/>
  <c r="T146" i="125"/>
  <c r="R63" i="125"/>
  <c r="I67" i="125"/>
  <c r="H67" i="125"/>
  <c r="Q63" i="125"/>
  <c r="J66" i="125"/>
  <c r="N99" i="125"/>
  <c r="N140" i="125"/>
  <c r="R154" i="125"/>
  <c r="Q129" i="125"/>
  <c r="Q155" i="125"/>
  <c r="M168" i="125"/>
  <c r="F89" i="125"/>
  <c r="O86" i="125" s="1"/>
  <c r="S98" i="125"/>
  <c r="Q110" i="125"/>
  <c r="M141" i="125"/>
  <c r="T153" i="125"/>
  <c r="J99" i="125"/>
  <c r="Q106" i="125"/>
  <c r="L120" i="125"/>
  <c r="K143" i="125"/>
  <c r="O157" i="125"/>
  <c r="P171" i="125"/>
  <c r="L113" i="125"/>
  <c r="S91" i="125"/>
  <c r="L92" i="125"/>
  <c r="K109" i="125"/>
  <c r="T112" i="125"/>
  <c r="J123" i="125"/>
  <c r="L124" i="125"/>
  <c r="S131" i="125"/>
  <c r="K158" i="125"/>
  <c r="S160" i="125"/>
  <c r="U90" i="125"/>
  <c r="K103" i="125"/>
  <c r="P113" i="125"/>
  <c r="K123" i="125"/>
  <c r="O127" i="125"/>
  <c r="L144" i="125"/>
  <c r="P150" i="125"/>
  <c r="P96" i="125"/>
  <c r="P130" i="125"/>
  <c r="T132" i="125"/>
  <c r="M102" i="125"/>
  <c r="N106" i="125"/>
  <c r="T106" i="125" s="1"/>
  <c r="N117" i="125"/>
  <c r="N124" i="125"/>
  <c r="O134" i="125"/>
  <c r="Q148" i="125"/>
  <c r="M155" i="125"/>
  <c r="N168" i="125"/>
  <c r="N170" i="125"/>
  <c r="P175" i="125"/>
  <c r="S175" i="125" s="1"/>
  <c r="P121" i="125"/>
  <c r="O130" i="125"/>
  <c r="N135" i="125"/>
  <c r="R92" i="125"/>
  <c r="P94" i="125"/>
  <c r="U98" i="125"/>
  <c r="Q101" i="125"/>
  <c r="J109" i="125"/>
  <c r="Q121" i="125"/>
  <c r="P136" i="125"/>
  <c r="L136" i="125"/>
  <c r="S139" i="125"/>
  <c r="L140" i="125"/>
  <c r="M143" i="125"/>
  <c r="O155" i="125"/>
  <c r="L175" i="125"/>
  <c r="O178" i="125"/>
  <c r="Q95" i="125"/>
  <c r="Q94" i="125"/>
  <c r="L106" i="125"/>
  <c r="R113" i="125"/>
  <c r="R120" i="125"/>
  <c r="K127" i="125"/>
  <c r="P144" i="125"/>
  <c r="R150" i="125"/>
  <c r="M165" i="125"/>
  <c r="H171" i="125"/>
  <c r="K171" i="125" s="1"/>
  <c r="R178" i="125"/>
  <c r="Q176" i="125"/>
  <c r="R103" i="125"/>
  <c r="J103" i="125"/>
  <c r="L116" i="125"/>
  <c r="S118" i="125"/>
  <c r="U125" i="125"/>
  <c r="K130" i="125"/>
  <c r="U139" i="125"/>
  <c r="J143" i="125"/>
  <c r="K144" i="125"/>
  <c r="J147" i="125"/>
  <c r="M162" i="125"/>
  <c r="S162" i="125" s="1"/>
  <c r="P169" i="125"/>
  <c r="S169" i="125" s="1"/>
  <c r="Q175" i="125"/>
  <c r="U176" i="125"/>
  <c r="J178" i="125"/>
  <c r="J83" i="125"/>
  <c r="L87" i="125"/>
  <c r="M96" i="125"/>
  <c r="J92" i="125"/>
  <c r="J124" i="125"/>
  <c r="J129" i="125"/>
  <c r="L130" i="125"/>
  <c r="M137" i="125"/>
  <c r="R144" i="125"/>
  <c r="O116" i="125"/>
  <c r="K86" i="125"/>
  <c r="N96" i="125"/>
  <c r="K92" i="125"/>
  <c r="J96" i="125"/>
  <c r="J102" i="125"/>
  <c r="L103" i="125"/>
  <c r="M106" i="125"/>
  <c r="S106" i="125" s="1"/>
  <c r="J106" i="125"/>
  <c r="K113" i="125"/>
  <c r="K117" i="125"/>
  <c r="M124" i="125"/>
  <c r="S124" i="125" s="1"/>
  <c r="K124" i="125"/>
  <c r="K133" i="125"/>
  <c r="N134" i="125"/>
  <c r="U138" i="125"/>
  <c r="Q143" i="125"/>
  <c r="L143" i="125"/>
  <c r="N147" i="125"/>
  <c r="S146" i="125"/>
  <c r="M158" i="125"/>
  <c r="L157" i="125"/>
  <c r="M171" i="125"/>
  <c r="J172" i="125"/>
  <c r="N175" i="125"/>
  <c r="L178" i="125"/>
  <c r="N130" i="125"/>
  <c r="R130" i="125"/>
  <c r="K129" i="125"/>
  <c r="D101" i="131"/>
  <c r="E101" i="131" s="1"/>
  <c r="E98" i="131"/>
  <c r="D100" i="131"/>
  <c r="C99" i="131"/>
  <c r="D99" i="131"/>
  <c r="C100" i="131"/>
  <c r="E97" i="131"/>
  <c r="G3" i="138"/>
  <c r="G4" i="138"/>
  <c r="G5" i="138"/>
  <c r="AG20" i="140"/>
  <c r="AG27" i="140"/>
  <c r="AG37" i="140"/>
  <c r="AD39" i="140"/>
  <c r="AF239" i="140"/>
  <c r="AG26" i="140"/>
  <c r="AF28" i="140"/>
  <c r="AD30" i="140"/>
  <c r="AD38" i="140"/>
  <c r="AD23" i="140"/>
  <c r="AD32" i="140"/>
  <c r="AF15" i="140"/>
  <c r="H234" i="140"/>
  <c r="AF234" i="140" s="1"/>
  <c r="AD16" i="140"/>
  <c r="AG22" i="140"/>
  <c r="AD24" i="140"/>
  <c r="AD33" i="140"/>
  <c r="AG39" i="140"/>
  <c r="AG15" i="140"/>
  <c r="I234" i="140"/>
  <c r="AD17" i="140"/>
  <c r="AG32" i="140"/>
  <c r="AD19" i="140"/>
  <c r="AD36" i="140"/>
  <c r="AG29" i="140"/>
  <c r="AD31" i="140"/>
  <c r="AD18" i="140"/>
  <c r="AG24" i="140"/>
  <c r="AG33" i="140"/>
  <c r="AD35" i="140"/>
  <c r="AG18" i="140"/>
  <c r="AD20" i="140"/>
  <c r="AD28" i="140"/>
  <c r="AD29" i="140"/>
  <c r="AG35" i="140"/>
  <c r="AD37" i="140"/>
  <c r="Q120" i="125"/>
  <c r="O121" i="125"/>
  <c r="Q144" i="125"/>
  <c r="O117" i="125"/>
  <c r="Q137" i="125"/>
  <c r="U177" i="125"/>
  <c r="R95" i="125"/>
  <c r="P92" i="125"/>
  <c r="R93" i="125"/>
  <c r="T97" i="125"/>
  <c r="P102" i="125"/>
  <c r="S102" i="125" s="1"/>
  <c r="P100" i="125"/>
  <c r="Q107" i="125"/>
  <c r="O113" i="125"/>
  <c r="M114" i="125"/>
  <c r="P123" i="125"/>
  <c r="M122" i="125"/>
  <c r="R129" i="125"/>
  <c r="P143" i="125"/>
  <c r="S143" i="125" s="1"/>
  <c r="R151" i="125"/>
  <c r="Q150" i="125"/>
  <c r="K147" i="125"/>
  <c r="J151" i="125"/>
  <c r="R157" i="125"/>
  <c r="U157" i="125" s="1"/>
  <c r="K160" i="125"/>
  <c r="J161" i="125"/>
  <c r="O162" i="125"/>
  <c r="P172" i="125"/>
  <c r="Q167" i="125"/>
  <c r="M179" i="125"/>
  <c r="U97" i="125"/>
  <c r="N142" i="125"/>
  <c r="D89" i="125"/>
  <c r="R83" i="125"/>
  <c r="F85" i="125"/>
  <c r="R102" i="125"/>
  <c r="R100" i="125"/>
  <c r="M109" i="125"/>
  <c r="M110" i="125"/>
  <c r="P116" i="125"/>
  <c r="R123" i="125"/>
  <c r="O122" i="125"/>
  <c r="T131" i="125"/>
  <c r="Q136" i="125"/>
  <c r="M133" i="125"/>
  <c r="R143" i="125"/>
  <c r="L151" i="125"/>
  <c r="U153" i="125"/>
  <c r="N156" i="125"/>
  <c r="M164" i="125"/>
  <c r="H172" i="125"/>
  <c r="K172" i="125" s="1"/>
  <c r="M178" i="125"/>
  <c r="J175" i="125"/>
  <c r="R108" i="125"/>
  <c r="G85" i="125"/>
  <c r="F88" i="125"/>
  <c r="P101" i="125"/>
  <c r="N109" i="125"/>
  <c r="J120" i="125"/>
  <c r="R136" i="125"/>
  <c r="Q147" i="125"/>
  <c r="N164" i="125"/>
  <c r="J164" i="125"/>
  <c r="N178" i="125"/>
  <c r="J86" i="125"/>
  <c r="Q92" i="125"/>
  <c r="T91" i="125"/>
  <c r="L96" i="125"/>
  <c r="O103" i="125"/>
  <c r="U105" i="125"/>
  <c r="J110" i="125"/>
  <c r="R116" i="125"/>
  <c r="U116" i="125" s="1"/>
  <c r="K116" i="125"/>
  <c r="K120" i="125"/>
  <c r="N129" i="125"/>
  <c r="T129" i="125" s="1"/>
  <c r="L127" i="125"/>
  <c r="L129" i="125"/>
  <c r="N137" i="125"/>
  <c r="J133" i="125"/>
  <c r="J137" i="125"/>
  <c r="K140" i="125"/>
  <c r="M150" i="125"/>
  <c r="R147" i="125"/>
  <c r="L150" i="125"/>
  <c r="O154" i="125"/>
  <c r="N157" i="125"/>
  <c r="K157" i="125"/>
  <c r="O158" i="125"/>
  <c r="Q159" i="125"/>
  <c r="Q164" i="125" s="1"/>
  <c r="U160" i="125"/>
  <c r="O164" i="125"/>
  <c r="J168" i="125"/>
  <c r="J171" i="125"/>
  <c r="K178" i="125"/>
  <c r="L179" i="125"/>
  <c r="P83" i="125"/>
  <c r="P88" i="125" s="1"/>
  <c r="R101" i="125"/>
  <c r="P109" i="125"/>
  <c r="P107" i="125"/>
  <c r="U112" i="125"/>
  <c r="O124" i="125"/>
  <c r="M121" i="125"/>
  <c r="Q124" i="125"/>
  <c r="Q130" i="125"/>
  <c r="O129" i="125"/>
  <c r="N128" i="125"/>
  <c r="T128" i="125" s="1"/>
  <c r="O144" i="125"/>
  <c r="N150" i="125"/>
  <c r="P164" i="125"/>
  <c r="S163" i="125"/>
  <c r="N171" i="125"/>
  <c r="P178" i="125"/>
  <c r="S176" i="125"/>
  <c r="H85" i="125"/>
  <c r="S90" i="125"/>
  <c r="P95" i="125"/>
  <c r="P93" i="125"/>
  <c r="Q96" i="125"/>
  <c r="Q103" i="125"/>
  <c r="N102" i="125"/>
  <c r="L99" i="125"/>
  <c r="R110" i="125"/>
  <c r="Q109" i="125"/>
  <c r="R107" i="125"/>
  <c r="L110" i="125"/>
  <c r="M117" i="125"/>
  <c r="J113" i="125"/>
  <c r="T119" i="125"/>
  <c r="P129" i="125"/>
  <c r="U128" i="125"/>
  <c r="P137" i="125"/>
  <c r="M136" i="125"/>
  <c r="L133" i="125"/>
  <c r="T139" i="125"/>
  <c r="N141" i="125"/>
  <c r="P147" i="125"/>
  <c r="S147" i="125" s="1"/>
  <c r="L147" i="125"/>
  <c r="M151" i="125"/>
  <c r="P157" i="125"/>
  <c r="O171" i="125"/>
  <c r="R179" i="125"/>
  <c r="Q178" i="125"/>
  <c r="U161" i="140"/>
  <c r="BC166" i="140" s="1"/>
  <c r="X161" i="140"/>
  <c r="BF166" i="140" s="1"/>
  <c r="W161" i="140"/>
  <c r="BE166" i="140" s="1"/>
  <c r="V161" i="140"/>
  <c r="BD166" i="140" s="1"/>
  <c r="BA29" i="140"/>
  <c r="AZ69" i="140"/>
  <c r="AP69" i="140"/>
  <c r="AZ16" i="140"/>
  <c r="BA23" i="140"/>
  <c r="AT25" i="140"/>
  <c r="AS66" i="140"/>
  <c r="BA21" i="140"/>
  <c r="BA30" i="140"/>
  <c r="BA38" i="140"/>
  <c r="BA119" i="140"/>
  <c r="AS69" i="140"/>
  <c r="AS74" i="140"/>
  <c r="AR86" i="140"/>
  <c r="AR87" i="140"/>
  <c r="AP68" i="140"/>
  <c r="AS71" i="140"/>
  <c r="AZ77" i="140"/>
  <c r="AS64" i="140"/>
  <c r="AS76" i="140"/>
  <c r="BA19" i="140"/>
  <c r="AZ20" i="140"/>
  <c r="AZ64" i="140"/>
  <c r="AZ68" i="140"/>
  <c r="AR137" i="140"/>
  <c r="AP70" i="140"/>
  <c r="AP71" i="140"/>
  <c r="AP72" i="140"/>
  <c r="AP74" i="140"/>
  <c r="AP75" i="140"/>
  <c r="AP76" i="140"/>
  <c r="AP77" i="140"/>
  <c r="AP78" i="140"/>
  <c r="AP79" i="140"/>
  <c r="AP80" i="140"/>
  <c r="AP81" i="140"/>
  <c r="AS89" i="140"/>
  <c r="AZ17" i="140"/>
  <c r="AT18" i="140"/>
  <c r="BA24" i="140"/>
  <c r="AP62" i="140"/>
  <c r="AP63" i="140"/>
  <c r="AP65" i="140"/>
  <c r="BA34" i="140"/>
  <c r="AS63" i="140"/>
  <c r="AS78" i="140"/>
  <c r="AS79" i="140"/>
  <c r="AS80" i="140"/>
  <c r="AS81" i="140"/>
  <c r="AT89" i="140"/>
  <c r="AS77" i="140"/>
  <c r="BA18" i="140"/>
  <c r="AZ19" i="140"/>
  <c r="AT20" i="140"/>
  <c r="AZ36" i="140"/>
  <c r="AT62" i="140"/>
  <c r="AT63" i="140"/>
  <c r="AT64" i="140"/>
  <c r="AT65" i="140"/>
  <c r="AT66" i="140"/>
  <c r="AT67" i="140"/>
  <c r="AT68" i="140"/>
  <c r="AT69" i="140"/>
  <c r="AT70" i="140"/>
  <c r="AT71" i="140"/>
  <c r="AT74" i="140"/>
  <c r="AT75" i="140"/>
  <c r="AT76" i="140"/>
  <c r="AT77" i="140"/>
  <c r="AT78" i="140"/>
  <c r="AT79" i="140"/>
  <c r="AT80" i="140"/>
  <c r="AT81" i="140"/>
  <c r="AS70" i="140"/>
  <c r="AZ62" i="140"/>
  <c r="AZ63" i="140"/>
  <c r="AZ65" i="140"/>
  <c r="BA89" i="140"/>
  <c r="AS62" i="140"/>
  <c r="AZ78" i="140"/>
  <c r="AZ79" i="140"/>
  <c r="AZ80" i="140"/>
  <c r="AZ81" i="140"/>
  <c r="BA20" i="140"/>
  <c r="AZ30" i="140"/>
  <c r="AT31" i="140"/>
  <c r="BA62" i="140"/>
  <c r="BA63" i="140"/>
  <c r="BA64" i="140"/>
  <c r="BA65" i="140"/>
  <c r="BA66" i="140"/>
  <c r="BA67" i="140"/>
  <c r="BA68" i="140"/>
  <c r="BA69" i="140"/>
  <c r="BA70" i="140"/>
  <c r="BA71" i="140"/>
  <c r="BA72" i="140"/>
  <c r="BA74" i="140"/>
  <c r="BA75" i="140"/>
  <c r="BA76" i="140"/>
  <c r="BA77" i="140"/>
  <c r="BA78" i="140"/>
  <c r="BA79" i="140"/>
  <c r="BA80" i="140"/>
  <c r="BA81" i="140"/>
  <c r="AP89" i="140"/>
  <c r="AP66" i="140"/>
  <c r="AP67" i="140"/>
  <c r="BA17" i="140"/>
  <c r="AT19" i="140"/>
  <c r="BA25" i="140"/>
  <c r="AS67" i="140"/>
  <c r="AS72" i="140"/>
  <c r="AZ66" i="140"/>
  <c r="AZ67" i="140"/>
  <c r="AZ74" i="140"/>
  <c r="AZ75" i="140"/>
  <c r="AZ76" i="140"/>
  <c r="AS65" i="140"/>
  <c r="AS68" i="140"/>
  <c r="AZ70" i="140"/>
  <c r="AZ71" i="140"/>
  <c r="AZ72" i="140"/>
  <c r="AT16" i="140"/>
  <c r="BA22" i="140"/>
  <c r="AZ23" i="140"/>
  <c r="AT24" i="140"/>
  <c r="AZ32" i="140"/>
  <c r="AT33" i="140"/>
  <c r="K203" i="140"/>
  <c r="H145" i="140"/>
  <c r="AR133" i="140" s="1"/>
  <c r="AS19" i="140"/>
  <c r="AG19" i="140"/>
  <c r="AF20" i="140"/>
  <c r="AP21" i="140"/>
  <c r="AD21" i="140"/>
  <c r="AF27" i="140"/>
  <c r="AF29" i="140"/>
  <c r="AS36" i="140"/>
  <c r="AG36" i="140"/>
  <c r="AF37" i="140"/>
  <c r="AF23" i="140"/>
  <c r="AS31" i="140"/>
  <c r="AG31" i="140"/>
  <c r="AF32" i="140"/>
  <c r="AS16" i="140"/>
  <c r="AG16" i="140"/>
  <c r="AF17" i="140"/>
  <c r="AF25" i="140"/>
  <c r="AR34" i="140"/>
  <c r="AF34" i="140"/>
  <c r="AS17" i="140"/>
  <c r="AG17" i="140"/>
  <c r="AF18" i="140"/>
  <c r="AS25" i="140"/>
  <c r="AG25" i="140"/>
  <c r="AP26" i="140"/>
  <c r="AD26" i="140"/>
  <c r="AS34" i="140"/>
  <c r="AG34" i="140"/>
  <c r="AF35" i="140"/>
  <c r="AF19" i="140"/>
  <c r="AF26" i="140"/>
  <c r="AP27" i="140"/>
  <c r="AD27" i="140"/>
  <c r="AR36" i="140"/>
  <c r="AF36" i="140"/>
  <c r="AF21" i="140"/>
  <c r="AP22" i="140"/>
  <c r="AD22" i="140"/>
  <c r="AS28" i="140"/>
  <c r="AG28" i="140"/>
  <c r="AF30" i="140"/>
  <c r="AR38" i="140"/>
  <c r="AF38" i="140"/>
  <c r="AD15" i="140"/>
  <c r="AF22" i="140"/>
  <c r="AS30" i="140"/>
  <c r="AG30" i="140"/>
  <c r="AS38" i="140"/>
  <c r="AG38" i="140"/>
  <c r="AS21" i="140"/>
  <c r="AG21" i="140"/>
  <c r="AF31" i="140"/>
  <c r="AF39" i="140"/>
  <c r="AF16" i="140"/>
  <c r="AS23" i="140"/>
  <c r="AG23" i="140"/>
  <c r="AF24" i="140"/>
  <c r="AP25" i="140"/>
  <c r="AD25" i="140"/>
  <c r="AF33" i="140"/>
  <c r="AP34" i="140"/>
  <c r="AD34" i="140"/>
  <c r="AC4" i="140"/>
  <c r="X4" i="140"/>
  <c r="W4" i="140"/>
  <c r="V4" i="140"/>
  <c r="X5" i="140"/>
  <c r="W5" i="140"/>
  <c r="AC5" i="140"/>
  <c r="V5" i="140"/>
  <c r="U5" i="140"/>
  <c r="U4" i="140"/>
  <c r="AS33" i="140"/>
  <c r="K143" i="140"/>
  <c r="O171" i="140"/>
  <c r="AK171" i="140" s="1"/>
  <c r="H144" i="140"/>
  <c r="AR132" i="140" s="1"/>
  <c r="H261" i="140"/>
  <c r="O26" i="140"/>
  <c r="AK26" i="140" s="1"/>
  <c r="G20" i="140"/>
  <c r="G33" i="140"/>
  <c r="S84" i="125"/>
  <c r="P89" i="125"/>
  <c r="Q84" i="125"/>
  <c r="P115" i="125"/>
  <c r="J117" i="125"/>
  <c r="P114" i="125"/>
  <c r="O147" i="125"/>
  <c r="U145" i="125"/>
  <c r="O151" i="125"/>
  <c r="S153" i="125"/>
  <c r="M157" i="125"/>
  <c r="P156" i="125"/>
  <c r="P155" i="125"/>
  <c r="L172" i="125"/>
  <c r="L83" i="125"/>
  <c r="J84" i="125"/>
  <c r="N86" i="125"/>
  <c r="D88" i="125"/>
  <c r="S112" i="125"/>
  <c r="M116" i="125"/>
  <c r="M129" i="125"/>
  <c r="N163" i="125"/>
  <c r="N162" i="125"/>
  <c r="O175" i="125"/>
  <c r="U173" i="125"/>
  <c r="O179" i="125"/>
  <c r="K179" i="125"/>
  <c r="N177" i="125"/>
  <c r="T177" i="125" s="1"/>
  <c r="N176" i="125"/>
  <c r="M130" i="125"/>
  <c r="S130" i="125" s="1"/>
  <c r="M127" i="125"/>
  <c r="S125" i="125"/>
  <c r="R169" i="125"/>
  <c r="U169" i="125" s="1"/>
  <c r="R170" i="125"/>
  <c r="U170" i="125" s="1"/>
  <c r="M83" i="125"/>
  <c r="M92" i="125"/>
  <c r="S92" i="125" s="1"/>
  <c r="R122" i="125"/>
  <c r="R121" i="125"/>
  <c r="N83" i="125"/>
  <c r="G88" i="125"/>
  <c r="O106" i="125"/>
  <c r="U104" i="125"/>
  <c r="O110" i="125"/>
  <c r="U119" i="125"/>
  <c r="O123" i="125"/>
  <c r="O150" i="125"/>
  <c r="Q154" i="125"/>
  <c r="Q158" i="125"/>
  <c r="T158" i="125" s="1"/>
  <c r="O172" i="125"/>
  <c r="U91" i="125"/>
  <c r="O95" i="125"/>
  <c r="O92" i="125"/>
  <c r="R135" i="125"/>
  <c r="R134" i="125"/>
  <c r="K84" i="125"/>
  <c r="O83" i="125"/>
  <c r="E88" i="125"/>
  <c r="O96" i="125"/>
  <c r="O109" i="125"/>
  <c r="Q113" i="125"/>
  <c r="T111" i="125"/>
  <c r="Q117" i="125"/>
  <c r="T117" i="125" s="1"/>
  <c r="Q116" i="125"/>
  <c r="O137" i="125"/>
  <c r="L137" i="125"/>
  <c r="M140" i="125"/>
  <c r="S138" i="125"/>
  <c r="M144" i="125"/>
  <c r="S144" i="125" s="1"/>
  <c r="J140" i="125"/>
  <c r="Q157" i="125"/>
  <c r="T157" i="125" s="1"/>
  <c r="T167" i="125"/>
  <c r="N84" i="125"/>
  <c r="D85" i="125"/>
  <c r="J150" i="125"/>
  <c r="K151" i="125"/>
  <c r="N149" i="125"/>
  <c r="N148" i="125"/>
  <c r="J158" i="125"/>
  <c r="I165" i="125"/>
  <c r="L159" i="125"/>
  <c r="R159" i="125"/>
  <c r="R164" i="125" s="1"/>
  <c r="I164" i="125"/>
  <c r="L164" i="125" s="1"/>
  <c r="M99" i="125"/>
  <c r="S97" i="125"/>
  <c r="M103" i="125"/>
  <c r="S103" i="125" s="1"/>
  <c r="U132" i="125"/>
  <c r="O136" i="125"/>
  <c r="U136" i="125" s="1"/>
  <c r="E85" i="125"/>
  <c r="Q102" i="125"/>
  <c r="T98" i="125"/>
  <c r="Q99" i="125"/>
  <c r="N101" i="125"/>
  <c r="K110" i="125"/>
  <c r="N108" i="125"/>
  <c r="N93" i="125"/>
  <c r="N100" i="125"/>
  <c r="N107" i="125"/>
  <c r="N94" i="125"/>
  <c r="I171" i="125"/>
  <c r="L171" i="125" s="1"/>
  <c r="L167" i="125"/>
  <c r="R167" i="125"/>
  <c r="T90" i="125"/>
  <c r="N92" i="125"/>
  <c r="R96" i="125"/>
  <c r="P99" i="125"/>
  <c r="T105" i="125"/>
  <c r="R106" i="125"/>
  <c r="N110" i="125"/>
  <c r="P117" i="125"/>
  <c r="T118" i="125"/>
  <c r="N120" i="125"/>
  <c r="R124" i="125"/>
  <c r="U124" i="125" s="1"/>
  <c r="P127" i="125"/>
  <c r="N133" i="125"/>
  <c r="T133" i="125" s="1"/>
  <c r="R137" i="125"/>
  <c r="P140" i="125"/>
  <c r="N143" i="125"/>
  <c r="T143" i="125" s="1"/>
  <c r="N151" i="125"/>
  <c r="T151" i="125" s="1"/>
  <c r="P158" i="125"/>
  <c r="T160" i="125"/>
  <c r="H164" i="125"/>
  <c r="K164" i="125" s="1"/>
  <c r="N165" i="125"/>
  <c r="H168" i="125"/>
  <c r="K168" i="125" s="1"/>
  <c r="P168" i="125"/>
  <c r="S168" i="125" s="1"/>
  <c r="T174" i="125"/>
  <c r="R175" i="125"/>
  <c r="N179" i="125"/>
  <c r="T179" i="125" s="1"/>
  <c r="M95" i="125"/>
  <c r="O102" i="125"/>
  <c r="U102" i="125" s="1"/>
  <c r="S111" i="125"/>
  <c r="M113" i="125"/>
  <c r="S113" i="125" s="1"/>
  <c r="U118" i="125"/>
  <c r="O120" i="125"/>
  <c r="U120" i="125" s="1"/>
  <c r="M123" i="125"/>
  <c r="S123" i="125" s="1"/>
  <c r="S126" i="125"/>
  <c r="Q127" i="125"/>
  <c r="U131" i="125"/>
  <c r="O133" i="125"/>
  <c r="U133" i="125" s="1"/>
  <c r="Q140" i="125"/>
  <c r="T140" i="125" s="1"/>
  <c r="O143" i="125"/>
  <c r="U143" i="125" s="1"/>
  <c r="U146" i="125"/>
  <c r="S152" i="125"/>
  <c r="M154" i="125"/>
  <c r="S154" i="125" s="1"/>
  <c r="K159" i="125"/>
  <c r="S159" i="125"/>
  <c r="O165" i="125"/>
  <c r="Q166" i="125"/>
  <c r="T166" i="125" s="1"/>
  <c r="K167" i="125"/>
  <c r="S167" i="125"/>
  <c r="I168" i="125"/>
  <c r="L168" i="125" s="1"/>
  <c r="M172" i="125"/>
  <c r="N95" i="125"/>
  <c r="R99" i="125"/>
  <c r="U99" i="125" s="1"/>
  <c r="N103" i="125"/>
  <c r="T103" i="125" s="1"/>
  <c r="P110" i="125"/>
  <c r="S110" i="125" s="1"/>
  <c r="N113" i="125"/>
  <c r="R117" i="125"/>
  <c r="P120" i="125"/>
  <c r="N123" i="125"/>
  <c r="T126" i="125"/>
  <c r="R127" i="125"/>
  <c r="U127" i="125" s="1"/>
  <c r="P133" i="125"/>
  <c r="S133" i="125" s="1"/>
  <c r="N136" i="125"/>
  <c r="T136" i="125" s="1"/>
  <c r="R140" i="125"/>
  <c r="N144" i="125"/>
  <c r="T144" i="125" s="1"/>
  <c r="P151" i="125"/>
  <c r="T152" i="125"/>
  <c r="N154" i="125"/>
  <c r="R158" i="125"/>
  <c r="H165" i="125"/>
  <c r="P165" i="125"/>
  <c r="R166" i="125"/>
  <c r="N172" i="125"/>
  <c r="P179" i="125"/>
  <c r="S179" i="125" s="1"/>
  <c r="S104" i="125"/>
  <c r="U111" i="125"/>
  <c r="S132" i="125"/>
  <c r="S145" i="125"/>
  <c r="U152" i="125"/>
  <c r="O156" i="125"/>
  <c r="U159" i="125"/>
  <c r="K166" i="125"/>
  <c r="S166" i="125"/>
  <c r="S173" i="125"/>
  <c r="T104" i="125"/>
  <c r="N116" i="125"/>
  <c r="T116" i="125" s="1"/>
  <c r="T145" i="125"/>
  <c r="L166" i="125"/>
  <c r="T173" i="125"/>
  <c r="M142" i="125"/>
  <c r="O149" i="125"/>
  <c r="M170" i="125"/>
  <c r="S170" i="125" s="1"/>
  <c r="T125" i="125"/>
  <c r="N127" i="125"/>
  <c r="T138" i="125"/>
  <c r="N8" i="138"/>
  <c r="P8" i="138" s="1"/>
  <c r="F14" i="138"/>
  <c r="G16" i="138"/>
  <c r="G25" i="138"/>
  <c r="G19" i="138"/>
  <c r="O26" i="138"/>
  <c r="G26" i="138"/>
  <c r="F6" i="138"/>
  <c r="O4" i="138"/>
  <c r="N22" i="138"/>
  <c r="R171" i="140"/>
  <c r="M202" i="140"/>
  <c r="L194" i="140"/>
  <c r="N4" i="138"/>
  <c r="O3" i="138"/>
  <c r="O5" i="138"/>
  <c r="O6" i="138"/>
  <c r="N3" i="138"/>
  <c r="F4" i="138"/>
  <c r="N9" i="138"/>
  <c r="G6" i="138"/>
  <c r="G7" i="138"/>
  <c r="O9" i="138"/>
  <c r="N7" i="138"/>
  <c r="O7" i="138"/>
  <c r="F8" i="138"/>
  <c r="F3" i="138"/>
  <c r="F5" i="138"/>
  <c r="G9" i="138"/>
  <c r="N5" i="138"/>
  <c r="F9" i="138"/>
  <c r="F7" i="138"/>
  <c r="D12" i="138"/>
  <c r="N6" i="138"/>
  <c r="L12" i="138"/>
  <c r="O16" i="138"/>
  <c r="G14" i="138"/>
  <c r="N24" i="138"/>
  <c r="N15" i="138"/>
  <c r="N14" i="138"/>
  <c r="F18" i="138"/>
  <c r="N17" i="138"/>
  <c r="N18" i="138"/>
  <c r="O21" i="138"/>
  <c r="O25" i="138"/>
  <c r="N16" i="138"/>
  <c r="G17" i="138"/>
  <c r="O18" i="138"/>
  <c r="F25" i="138"/>
  <c r="N23" i="138"/>
  <c r="O19" i="138"/>
  <c r="F26" i="138"/>
  <c r="N25" i="138"/>
  <c r="G22" i="138"/>
  <c r="N26" i="138"/>
  <c r="O17" i="138"/>
  <c r="O23" i="138"/>
  <c r="O15" i="138"/>
  <c r="G18" i="138"/>
  <c r="O22" i="138"/>
  <c r="O24" i="138"/>
  <c r="N10" i="138"/>
  <c r="G10" i="138"/>
  <c r="F19" i="138"/>
  <c r="O14" i="138"/>
  <c r="F16" i="138"/>
  <c r="N21" i="138"/>
  <c r="N19" i="138"/>
  <c r="F10" i="138"/>
  <c r="E12" i="138"/>
  <c r="F15" i="138"/>
  <c r="G15" i="138"/>
  <c r="F21" i="138"/>
  <c r="F23" i="138"/>
  <c r="F24" i="138"/>
  <c r="G21" i="138"/>
  <c r="G23" i="138"/>
  <c r="G24" i="138"/>
  <c r="F17" i="138"/>
  <c r="F22" i="138"/>
  <c r="K12" i="138"/>
  <c r="O10" i="138"/>
  <c r="AS15" i="140"/>
  <c r="AZ15" i="140"/>
  <c r="S40" i="140"/>
  <c r="BA15" i="140"/>
  <c r="AR15" i="140"/>
  <c r="N171" i="140"/>
  <c r="AJ171" i="140" s="1"/>
  <c r="M171" i="140"/>
  <c r="K194" i="140"/>
  <c r="BA27" i="140"/>
  <c r="T60" i="140"/>
  <c r="G171" i="140"/>
  <c r="Q100" i="140"/>
  <c r="I100" i="140"/>
  <c r="P99" i="140"/>
  <c r="AZ99" i="140" s="1"/>
  <c r="Q99" i="140"/>
  <c r="BA99" i="140" s="1"/>
  <c r="S99" i="140"/>
  <c r="H99" i="140"/>
  <c r="AR99" i="140" s="1"/>
  <c r="I99" i="140"/>
  <c r="J99" i="140"/>
  <c r="AT99" i="140" s="1"/>
  <c r="F99" i="140"/>
  <c r="AP99" i="140" s="1"/>
  <c r="G99" i="140"/>
  <c r="S100" i="140"/>
  <c r="AR179" i="140"/>
  <c r="H100" i="140"/>
  <c r="F100" i="140"/>
  <c r="G15" i="140"/>
  <c r="N16" i="140"/>
  <c r="AJ16" i="140" s="1"/>
  <c r="L16" i="140"/>
  <c r="AI16" i="140" s="1"/>
  <c r="BA33" i="140"/>
  <c r="S49" i="140"/>
  <c r="S82" i="140" s="1"/>
  <c r="AR181" i="140"/>
  <c r="R85" i="140"/>
  <c r="K76" i="140"/>
  <c r="J73" i="140"/>
  <c r="AT72" i="140"/>
  <c r="K75" i="140"/>
  <c r="AS75" i="140"/>
  <c r="AZ121" i="140"/>
  <c r="J100" i="140"/>
  <c r="P146" i="140"/>
  <c r="P100" i="140"/>
  <c r="M129" i="140"/>
  <c r="AS118" i="140"/>
  <c r="AU118" i="140" s="1"/>
  <c r="M30" i="140"/>
  <c r="H50" i="140"/>
  <c r="H83" i="140" s="1"/>
  <c r="AR83" i="140" s="1"/>
  <c r="F50" i="140"/>
  <c r="F83" i="140" s="1"/>
  <c r="AP83" i="140" s="1"/>
  <c r="S50" i="140"/>
  <c r="S83" i="140" s="1"/>
  <c r="Q50" i="140"/>
  <c r="Q83" i="140" s="1"/>
  <c r="BA83" i="140" s="1"/>
  <c r="P50" i="140"/>
  <c r="P83" i="140" s="1"/>
  <c r="AZ83" i="140" s="1"/>
  <c r="J50" i="140"/>
  <c r="J83" i="140" s="1"/>
  <c r="AT83" i="140" s="1"/>
  <c r="I50" i="140"/>
  <c r="I83" i="140" s="1"/>
  <c r="AS83" i="140" s="1"/>
  <c r="K29" i="140"/>
  <c r="AH29" i="140" s="1"/>
  <c r="L37" i="140"/>
  <c r="AI37" i="140" s="1"/>
  <c r="T194" i="140"/>
  <c r="I49" i="140"/>
  <c r="I82" i="140" s="1"/>
  <c r="AS82" i="140" s="1"/>
  <c r="N24" i="140"/>
  <c r="AJ24" i="140" s="1"/>
  <c r="AZ117" i="140"/>
  <c r="AP120" i="140"/>
  <c r="Q49" i="140"/>
  <c r="Q82" i="140" s="1"/>
  <c r="BA82" i="140" s="1"/>
  <c r="H49" i="140"/>
  <c r="P49" i="140"/>
  <c r="F49" i="140"/>
  <c r="F82" i="140" s="1"/>
  <c r="AP82" i="140" s="1"/>
  <c r="G49" i="140"/>
  <c r="J40" i="140"/>
  <c r="AT39" i="140" s="1"/>
  <c r="AP130" i="140"/>
  <c r="N202" i="140"/>
  <c r="R16" i="140"/>
  <c r="N26" i="140"/>
  <c r="AJ26" i="140" s="1"/>
  <c r="M65" i="140"/>
  <c r="BA32" i="140"/>
  <c r="R121" i="140"/>
  <c r="N23" i="140"/>
  <c r="AJ23" i="140" s="1"/>
  <c r="K26" i="140"/>
  <c r="AH26" i="140" s="1"/>
  <c r="K39" i="140"/>
  <c r="AH39" i="140" s="1"/>
  <c r="L193" i="140"/>
  <c r="O15" i="140"/>
  <c r="AK15" i="140" s="1"/>
  <c r="AR26" i="140"/>
  <c r="N21" i="140"/>
  <c r="AJ21" i="140" s="1"/>
  <c r="G23" i="140"/>
  <c r="AT23" i="140"/>
  <c r="O25" i="140"/>
  <c r="AK25" i="140" s="1"/>
  <c r="L31" i="140"/>
  <c r="AI31" i="140" s="1"/>
  <c r="O193" i="140"/>
  <c r="G18" i="140"/>
  <c r="O21" i="140"/>
  <c r="AK21" i="140" s="1"/>
  <c r="R26" i="140"/>
  <c r="R29" i="140"/>
  <c r="AT37" i="140"/>
  <c r="K37" i="140"/>
  <c r="AH37" i="140" s="1"/>
  <c r="AR178" i="140"/>
  <c r="AR182" i="140"/>
  <c r="N194" i="140"/>
  <c r="H4" i="140"/>
  <c r="K35" i="140"/>
  <c r="AH35" i="140" s="1"/>
  <c r="N39" i="140"/>
  <c r="AJ39" i="140" s="1"/>
  <c r="AZ125" i="140"/>
  <c r="G130" i="140"/>
  <c r="T130" i="140" s="1"/>
  <c r="AP30" i="140"/>
  <c r="AT113" i="140"/>
  <c r="M115" i="140"/>
  <c r="AT120" i="140"/>
  <c r="L22" i="140"/>
  <c r="AI22" i="140" s="1"/>
  <c r="O202" i="140"/>
  <c r="K18" i="140"/>
  <c r="AH18" i="140" s="1"/>
  <c r="N25" i="140"/>
  <c r="AJ25" i="140" s="1"/>
  <c r="L26" i="140"/>
  <c r="AI26" i="140" s="1"/>
  <c r="R28" i="140"/>
  <c r="N32" i="140"/>
  <c r="AJ32" i="140" s="1"/>
  <c r="K33" i="140"/>
  <c r="AH33" i="140" s="1"/>
  <c r="Q4" i="140"/>
  <c r="K15" i="140"/>
  <c r="AH15" i="140" s="1"/>
  <c r="N22" i="140"/>
  <c r="AJ22" i="140" s="1"/>
  <c r="M26" i="140"/>
  <c r="G28" i="140"/>
  <c r="N30" i="140"/>
  <c r="AJ30" i="140" s="1"/>
  <c r="L15" i="140"/>
  <c r="AI15" i="140" s="1"/>
  <c r="R24" i="140"/>
  <c r="N37" i="140"/>
  <c r="AJ37" i="140" s="1"/>
  <c r="M38" i="140"/>
  <c r="K20" i="140"/>
  <c r="AH20" i="140" s="1"/>
  <c r="G21" i="140"/>
  <c r="G38" i="140"/>
  <c r="BA113" i="140"/>
  <c r="O22" i="140"/>
  <c r="AK22" i="140" s="1"/>
  <c r="G29" i="140"/>
  <c r="N28" i="140"/>
  <c r="AJ28" i="140" s="1"/>
  <c r="L29" i="140"/>
  <c r="AI29" i="140" s="1"/>
  <c r="Q5" i="140"/>
  <c r="N34" i="140"/>
  <c r="AJ34" i="140" s="1"/>
  <c r="M39" i="140"/>
  <c r="L17" i="140"/>
  <c r="AI17" i="140" s="1"/>
  <c r="K21" i="140"/>
  <c r="AH21" i="140" s="1"/>
  <c r="AZ29" i="140"/>
  <c r="AT30" i="140"/>
  <c r="M32" i="140"/>
  <c r="AZ35" i="140"/>
  <c r="R35" i="140"/>
  <c r="M66" i="140"/>
  <c r="M70" i="140"/>
  <c r="AZ129" i="140"/>
  <c r="L202" i="140"/>
  <c r="G70" i="140"/>
  <c r="M72" i="140"/>
  <c r="L85" i="140"/>
  <c r="O111" i="140"/>
  <c r="O194" i="140"/>
  <c r="R75" i="140"/>
  <c r="N79" i="140"/>
  <c r="O115" i="140"/>
  <c r="R118" i="140"/>
  <c r="O78" i="140"/>
  <c r="AS125" i="140"/>
  <c r="AU125" i="140" s="1"/>
  <c r="G64" i="140"/>
  <c r="T64" i="140" s="1"/>
  <c r="O65" i="140"/>
  <c r="R114" i="140"/>
  <c r="R116" i="140"/>
  <c r="O129" i="140"/>
  <c r="O130" i="140"/>
  <c r="G62" i="140"/>
  <c r="T62" i="140" s="1"/>
  <c r="G63" i="140"/>
  <c r="T63" i="140" s="1"/>
  <c r="N76" i="140"/>
  <c r="G111" i="140"/>
  <c r="T111" i="140" s="1"/>
  <c r="AS129" i="140"/>
  <c r="AU129" i="140" s="1"/>
  <c r="K111" i="140"/>
  <c r="N111" i="140"/>
  <c r="R17" i="140"/>
  <c r="AS18" i="140"/>
  <c r="R31" i="140"/>
  <c r="AT36" i="140"/>
  <c r="F73" i="140"/>
  <c r="AR180" i="140"/>
  <c r="R23" i="140"/>
  <c r="S5" i="140"/>
  <c r="AR30" i="140"/>
  <c r="G31" i="140"/>
  <c r="AP32" i="140"/>
  <c r="N35" i="140"/>
  <c r="AJ35" i="140" s="1"/>
  <c r="AS35" i="140"/>
  <c r="R62" i="140"/>
  <c r="R64" i="140"/>
  <c r="R78" i="140"/>
  <c r="R86" i="140"/>
  <c r="G115" i="140"/>
  <c r="T115" i="140" s="1"/>
  <c r="Q125" i="140"/>
  <c r="BA125" i="140" s="1"/>
  <c r="R194" i="140"/>
  <c r="R202" i="140"/>
  <c r="G16" i="140"/>
  <c r="AR20" i="140"/>
  <c r="L21" i="140"/>
  <c r="AI21" i="140" s="1"/>
  <c r="AZ21" i="140"/>
  <c r="R22" i="140"/>
  <c r="K24" i="140"/>
  <c r="AH24" i="140" s="1"/>
  <c r="AT28" i="140"/>
  <c r="BA37" i="140"/>
  <c r="BA36" i="140"/>
  <c r="R61" i="140"/>
  <c r="R63" i="140"/>
  <c r="G72" i="140"/>
  <c r="F40" i="140"/>
  <c r="AP39" i="140" s="1"/>
  <c r="N17" i="140"/>
  <c r="AJ17" i="140" s="1"/>
  <c r="AP17" i="140"/>
  <c r="L18" i="140"/>
  <c r="AI18" i="140" s="1"/>
  <c r="M20" i="140"/>
  <c r="AP24" i="140"/>
  <c r="R25" i="140"/>
  <c r="N27" i="140"/>
  <c r="AJ27" i="140" s="1"/>
  <c r="BA28" i="140"/>
  <c r="M29" i="140"/>
  <c r="AP29" i="140"/>
  <c r="K32" i="140"/>
  <c r="AH32" i="140" s="1"/>
  <c r="AR32" i="140"/>
  <c r="AR33" i="140"/>
  <c r="AZ34" i="140"/>
  <c r="AT35" i="140"/>
  <c r="R36" i="140"/>
  <c r="AZ38" i="140"/>
  <c r="AS113" i="140"/>
  <c r="AU113" i="140" s="1"/>
  <c r="G113" i="140"/>
  <c r="K201" i="140"/>
  <c r="T202" i="140"/>
  <c r="K17" i="140"/>
  <c r="AH17" i="140" s="1"/>
  <c r="AR17" i="140"/>
  <c r="G19" i="140"/>
  <c r="AP19" i="140"/>
  <c r="N20" i="140"/>
  <c r="AJ20" i="140" s="1"/>
  <c r="L24" i="140"/>
  <c r="AI24" i="140" s="1"/>
  <c r="AS26" i="140"/>
  <c r="AZ31" i="140"/>
  <c r="AS32" i="140"/>
  <c r="L33" i="140"/>
  <c r="AI33" i="140" s="1"/>
  <c r="Q40" i="140"/>
  <c r="BA39" i="140" s="1"/>
  <c r="O71" i="140"/>
  <c r="G76" i="140"/>
  <c r="T76" i="140" s="1"/>
  <c r="N201" i="140"/>
  <c r="O18" i="140"/>
  <c r="AK18" i="140" s="1"/>
  <c r="O27" i="140"/>
  <c r="AK27" i="140" s="1"/>
  <c r="N29" i="140"/>
  <c r="AJ29" i="140" s="1"/>
  <c r="AT29" i="140"/>
  <c r="L35" i="140"/>
  <c r="AI35" i="140" s="1"/>
  <c r="M37" i="140"/>
  <c r="AT38" i="140"/>
  <c r="L39" i="140"/>
  <c r="AI39" i="140" s="1"/>
  <c r="R15" i="140"/>
  <c r="AR19" i="140"/>
  <c r="K23" i="140"/>
  <c r="AH23" i="140" s="1"/>
  <c r="M24" i="140"/>
  <c r="BA26" i="140"/>
  <c r="AT27" i="140"/>
  <c r="R27" i="140"/>
  <c r="O28" i="140"/>
  <c r="AK28" i="140" s="1"/>
  <c r="BA31" i="140"/>
  <c r="O33" i="140"/>
  <c r="AK33" i="140" s="1"/>
  <c r="L74" i="140"/>
  <c r="O112" i="140"/>
  <c r="R193" i="140"/>
  <c r="AS22" i="140"/>
  <c r="L23" i="140"/>
  <c r="AI23" i="140" s="1"/>
  <c r="O31" i="140"/>
  <c r="AK31" i="140" s="1"/>
  <c r="M61" i="140"/>
  <c r="L65" i="140"/>
  <c r="O72" i="140"/>
  <c r="O79" i="140"/>
  <c r="G86" i="140"/>
  <c r="T86" i="140" s="1"/>
  <c r="R112" i="140"/>
  <c r="T193" i="140"/>
  <c r="F4" i="140"/>
  <c r="R20" i="140"/>
  <c r="O24" i="140"/>
  <c r="AK24" i="140" s="1"/>
  <c r="L32" i="140"/>
  <c r="AI32" i="140" s="1"/>
  <c r="R33" i="140"/>
  <c r="R38" i="140"/>
  <c r="R39" i="140"/>
  <c r="M69" i="140"/>
  <c r="T201" i="140"/>
  <c r="K115" i="140"/>
  <c r="N115" i="140"/>
  <c r="I4" i="140"/>
  <c r="F5" i="140"/>
  <c r="P40" i="140"/>
  <c r="AZ39" i="140" s="1"/>
  <c r="M16" i="140"/>
  <c r="M18" i="140"/>
  <c r="AP18" i="140"/>
  <c r="AZ18" i="140"/>
  <c r="K19" i="140"/>
  <c r="AH19" i="140" s="1"/>
  <c r="R21" i="140"/>
  <c r="AT21" i="140"/>
  <c r="G22" i="140"/>
  <c r="M22" i="140"/>
  <c r="AT22" i="140"/>
  <c r="K25" i="140"/>
  <c r="AH25" i="140" s="1"/>
  <c r="AZ25" i="140"/>
  <c r="K27" i="140"/>
  <c r="AH27" i="140" s="1"/>
  <c r="L30" i="140"/>
  <c r="AI30" i="140" s="1"/>
  <c r="O34" i="140"/>
  <c r="AK34" i="140" s="1"/>
  <c r="G36" i="140"/>
  <c r="M36" i="140"/>
  <c r="L36" i="140"/>
  <c r="AI36" i="140" s="1"/>
  <c r="AP37" i="140"/>
  <c r="O38" i="140"/>
  <c r="AK38" i="140" s="1"/>
  <c r="R68" i="140"/>
  <c r="O85" i="140"/>
  <c r="G85" i="140"/>
  <c r="P5" i="140"/>
  <c r="AT15" i="140"/>
  <c r="AP16" i="140"/>
  <c r="AT17" i="140"/>
  <c r="N18" i="140"/>
  <c r="AJ18" i="140" s="1"/>
  <c r="AR18" i="140"/>
  <c r="L19" i="140"/>
  <c r="AI19" i="140" s="1"/>
  <c r="L20" i="140"/>
  <c r="AI20" i="140" s="1"/>
  <c r="M28" i="140"/>
  <c r="L28" i="140"/>
  <c r="AI28" i="140" s="1"/>
  <c r="AZ28" i="140"/>
  <c r="AR37" i="140"/>
  <c r="M114" i="140"/>
  <c r="L114" i="140"/>
  <c r="G120" i="140"/>
  <c r="T120" i="140" s="1"/>
  <c r="O120" i="140"/>
  <c r="M122" i="140"/>
  <c r="F123" i="140"/>
  <c r="G122" i="140"/>
  <c r="O122" i="140"/>
  <c r="O16" i="140"/>
  <c r="AK16" i="140" s="1"/>
  <c r="M19" i="140"/>
  <c r="M34" i="140"/>
  <c r="L34" i="140"/>
  <c r="AI34" i="140" s="1"/>
  <c r="AP35" i="140"/>
  <c r="BA35" i="140"/>
  <c r="R34" i="140"/>
  <c r="AS37" i="140"/>
  <c r="K36" i="140"/>
  <c r="AH36" i="140" s="1"/>
  <c r="R37" i="140"/>
  <c r="AP38" i="140"/>
  <c r="G37" i="140"/>
  <c r="L122" i="140"/>
  <c r="K122" i="140"/>
  <c r="G17" i="140"/>
  <c r="S4" i="140"/>
  <c r="I5" i="140"/>
  <c r="AR16" i="140"/>
  <c r="BA16" i="140"/>
  <c r="N19" i="140"/>
  <c r="AJ19" i="140" s="1"/>
  <c r="AP20" i="140"/>
  <c r="AZ24" i="140"/>
  <c r="AR25" i="140"/>
  <c r="AZ27" i="140"/>
  <c r="AR29" i="140"/>
  <c r="AP31" i="140"/>
  <c r="R30" i="140"/>
  <c r="O30" i="140"/>
  <c r="AK30" i="140" s="1"/>
  <c r="N33" i="140"/>
  <c r="AJ33" i="140" s="1"/>
  <c r="AT34" i="140"/>
  <c r="G34" i="140"/>
  <c r="R74" i="140"/>
  <c r="M74" i="140"/>
  <c r="L75" i="140"/>
  <c r="G75" i="140"/>
  <c r="BA129" i="140"/>
  <c r="H5" i="140"/>
  <c r="R18" i="140"/>
  <c r="O19" i="140"/>
  <c r="AK19" i="140" s="1"/>
  <c r="O20" i="140"/>
  <c r="AK20" i="140" s="1"/>
  <c r="AS29" i="140"/>
  <c r="K28" i="140"/>
  <c r="AH28" i="140" s="1"/>
  <c r="AR28" i="140"/>
  <c r="O32" i="140"/>
  <c r="AK32" i="140" s="1"/>
  <c r="AZ33" i="140"/>
  <c r="AR35" i="140"/>
  <c r="N36" i="140"/>
  <c r="AJ36" i="140" s="1"/>
  <c r="G68" i="140"/>
  <c r="O68" i="140"/>
  <c r="M68" i="140"/>
  <c r="AT26" i="140"/>
  <c r="N31" i="140"/>
  <c r="AJ31" i="140" s="1"/>
  <c r="AT32" i="140"/>
  <c r="J4" i="140"/>
  <c r="J5" i="140"/>
  <c r="K22" i="140"/>
  <c r="AH22" i="140" s="1"/>
  <c r="AZ22" i="140"/>
  <c r="G30" i="140"/>
  <c r="G32" i="140"/>
  <c r="R32" i="140"/>
  <c r="AP33" i="140"/>
  <c r="L67" i="140"/>
  <c r="G67" i="140"/>
  <c r="T67" i="140" s="1"/>
  <c r="R67" i="140"/>
  <c r="AT130" i="140"/>
  <c r="M15" i="140"/>
  <c r="K16" i="140"/>
  <c r="AH16" i="140" s="1"/>
  <c r="M25" i="140"/>
  <c r="L25" i="140"/>
  <c r="AI25" i="140" s="1"/>
  <c r="M27" i="140"/>
  <c r="AP28" i="140"/>
  <c r="L27" i="140"/>
  <c r="AI27" i="140" s="1"/>
  <c r="O29" i="140"/>
  <c r="AK29" i="140" s="1"/>
  <c r="AR31" i="140"/>
  <c r="O36" i="140"/>
  <c r="AK36" i="140" s="1"/>
  <c r="AZ37" i="140"/>
  <c r="I40" i="140"/>
  <c r="AT118" i="140"/>
  <c r="G24" i="140"/>
  <c r="G26" i="140"/>
  <c r="AZ26" i="140"/>
  <c r="H40" i="140"/>
  <c r="AR39" i="140" s="1"/>
  <c r="P4" i="140"/>
  <c r="N15" i="140"/>
  <c r="AJ15" i="140" s="1"/>
  <c r="AP15" i="140"/>
  <c r="M17" i="140"/>
  <c r="O17" i="140"/>
  <c r="AK17" i="140" s="1"/>
  <c r="R19" i="140"/>
  <c r="M21" i="140"/>
  <c r="AR21" i="140"/>
  <c r="AR22" i="140"/>
  <c r="M23" i="140"/>
  <c r="AP23" i="140"/>
  <c r="AR24" i="140"/>
  <c r="G25" i="140"/>
  <c r="AR27" i="140"/>
  <c r="G27" i="140"/>
  <c r="K30" i="140"/>
  <c r="AH30" i="140" s="1"/>
  <c r="K31" i="140"/>
  <c r="AH31" i="140" s="1"/>
  <c r="K38" i="140"/>
  <c r="AH38" i="140" s="1"/>
  <c r="AS39" i="140"/>
  <c r="O75" i="140"/>
  <c r="BA117" i="140"/>
  <c r="R117" i="140"/>
  <c r="AZ118" i="140"/>
  <c r="N193" i="140"/>
  <c r="M193" i="140"/>
  <c r="O201" i="140"/>
  <c r="M201" i="140"/>
  <c r="L201" i="140"/>
  <c r="K202" i="140"/>
  <c r="O39" i="140"/>
  <c r="AK39" i="140" s="1"/>
  <c r="O67" i="140"/>
  <c r="O76" i="140"/>
  <c r="AS20" i="140"/>
  <c r="O23" i="140"/>
  <c r="AK23" i="140" s="1"/>
  <c r="AS24" i="140"/>
  <c r="AS27" i="140"/>
  <c r="M33" i="140"/>
  <c r="K34" i="140"/>
  <c r="AH34" i="140" s="1"/>
  <c r="O37" i="140"/>
  <c r="AK37" i="140" s="1"/>
  <c r="L38" i="140"/>
  <c r="AI38" i="140" s="1"/>
  <c r="G39" i="140"/>
  <c r="M64" i="140"/>
  <c r="O74" i="140"/>
  <c r="AT119" i="140"/>
  <c r="AZ130" i="140"/>
  <c r="O185" i="140"/>
  <c r="O248" i="140" s="1"/>
  <c r="AK248" i="140" s="1"/>
  <c r="M124" i="140"/>
  <c r="G124" i="140"/>
  <c r="H258" i="140"/>
  <c r="AR23" i="140"/>
  <c r="M35" i="140"/>
  <c r="N75" i="140"/>
  <c r="R76" i="140"/>
  <c r="N113" i="140"/>
  <c r="G116" i="140"/>
  <c r="T116" i="140" s="1"/>
  <c r="M119" i="140"/>
  <c r="BA130" i="140"/>
  <c r="O35" i="140"/>
  <c r="AK35" i="140" s="1"/>
  <c r="G35" i="140"/>
  <c r="N38" i="140"/>
  <c r="AJ38" i="140" s="1"/>
  <c r="G65" i="140"/>
  <c r="T65" i="140" s="1"/>
  <c r="G71" i="140"/>
  <c r="T71" i="140" s="1"/>
  <c r="R77" i="140"/>
  <c r="N119" i="140"/>
  <c r="AS120" i="140"/>
  <c r="AU120" i="140" s="1"/>
  <c r="G121" i="140"/>
  <c r="T121" i="140" s="1"/>
  <c r="S123" i="140"/>
  <c r="R122" i="140"/>
  <c r="AT131" i="140"/>
  <c r="M31" i="140"/>
  <c r="AP36" i="140"/>
  <c r="AP118" i="140"/>
  <c r="M118" i="140"/>
  <c r="S144" i="140"/>
  <c r="O186" i="140"/>
  <c r="O249" i="140" s="1"/>
  <c r="AK249" i="140" s="1"/>
  <c r="O125" i="140"/>
  <c r="G125" i="140"/>
  <c r="N121" i="140"/>
  <c r="L129" i="140"/>
  <c r="G129" i="140"/>
  <c r="T203" i="140"/>
  <c r="R201" i="140"/>
  <c r="H259" i="140"/>
  <c r="M78" i="140"/>
  <c r="AZ113" i="140"/>
  <c r="AZ119" i="140"/>
  <c r="O70" i="140"/>
  <c r="G117" i="140"/>
  <c r="T117" i="140" s="1"/>
  <c r="BA118" i="140"/>
  <c r="O119" i="140"/>
  <c r="AZ131" i="140"/>
  <c r="M130" i="140"/>
  <c r="K193" i="140"/>
  <c r="M194" i="140"/>
  <c r="I172" i="140"/>
  <c r="AG172" i="140" s="1"/>
  <c r="N61" i="140"/>
  <c r="K61" i="140"/>
  <c r="I173" i="140"/>
  <c r="AG173" i="140" s="1"/>
  <c r="L62" i="140"/>
  <c r="K62" i="140"/>
  <c r="I174" i="140"/>
  <c r="AG174" i="140" s="1"/>
  <c r="K63" i="140"/>
  <c r="I175" i="140"/>
  <c r="K64" i="140"/>
  <c r="I177" i="140"/>
  <c r="AG177" i="140" s="1"/>
  <c r="N66" i="140"/>
  <c r="L66" i="140"/>
  <c r="K66" i="140"/>
  <c r="I181" i="140"/>
  <c r="AG181" i="140" s="1"/>
  <c r="L70" i="140"/>
  <c r="K70" i="140"/>
  <c r="I176" i="140"/>
  <c r="AG176" i="140" s="1"/>
  <c r="K65" i="140"/>
  <c r="N65" i="140"/>
  <c r="I182" i="140"/>
  <c r="L71" i="140"/>
  <c r="N71" i="140"/>
  <c r="K71" i="140"/>
  <c r="I180" i="140"/>
  <c r="AG180" i="140" s="1"/>
  <c r="N69" i="140"/>
  <c r="K69" i="140"/>
  <c r="I183" i="140"/>
  <c r="AG183" i="140" s="1"/>
  <c r="I73" i="140"/>
  <c r="N72" i="140"/>
  <c r="K72" i="140"/>
  <c r="L63" i="140"/>
  <c r="N112" i="140"/>
  <c r="L112" i="140"/>
  <c r="K112" i="140"/>
  <c r="P172" i="140"/>
  <c r="P235" i="140" s="1"/>
  <c r="O61" i="140"/>
  <c r="Q176" i="140"/>
  <c r="Q239" i="140" s="1"/>
  <c r="P177" i="140"/>
  <c r="P240" i="140" s="1"/>
  <c r="I178" i="140"/>
  <c r="AG178" i="140" s="1"/>
  <c r="Q180" i="140"/>
  <c r="Q243" i="140" s="1"/>
  <c r="Q181" i="140"/>
  <c r="Q244" i="140" s="1"/>
  <c r="Q182" i="140"/>
  <c r="Q183" i="140"/>
  <c r="Q246" i="140" s="1"/>
  <c r="Q73" i="140"/>
  <c r="AS121" i="140"/>
  <c r="AU121" i="140" s="1"/>
  <c r="J176" i="140"/>
  <c r="J239" i="140" s="1"/>
  <c r="S177" i="140"/>
  <c r="S240" i="140" s="1"/>
  <c r="K67" i="140"/>
  <c r="S178" i="140"/>
  <c r="S241" i="140" s="1"/>
  <c r="J179" i="140"/>
  <c r="J242" i="140" s="1"/>
  <c r="J180" i="140"/>
  <c r="J243" i="140" s="1"/>
  <c r="S180" i="140"/>
  <c r="S243" i="140" s="1"/>
  <c r="J181" i="140"/>
  <c r="J244" i="140" s="1"/>
  <c r="N70" i="140"/>
  <c r="S181" i="140"/>
  <c r="S244" i="140" s="1"/>
  <c r="J182" i="140"/>
  <c r="S182" i="140"/>
  <c r="S245" i="140" s="1"/>
  <c r="J183" i="140"/>
  <c r="J246" i="140" s="1"/>
  <c r="S183" i="140"/>
  <c r="S246" i="140" s="1"/>
  <c r="S73" i="140"/>
  <c r="N74" i="140"/>
  <c r="N77" i="140"/>
  <c r="M77" i="140"/>
  <c r="G78" i="140"/>
  <c r="N86" i="140"/>
  <c r="R113" i="140"/>
  <c r="BA121" i="140"/>
  <c r="AS132" i="140"/>
  <c r="P174" i="140"/>
  <c r="P237" i="140" s="1"/>
  <c r="P175" i="140"/>
  <c r="Q172" i="140"/>
  <c r="Q235" i="140" s="1"/>
  <c r="Q173" i="140"/>
  <c r="Q236" i="140" s="1"/>
  <c r="R65" i="140"/>
  <c r="Q177" i="140"/>
  <c r="Q240" i="140" s="1"/>
  <c r="R66" i="140"/>
  <c r="I179" i="140"/>
  <c r="AG179" i="140" s="1"/>
  <c r="Q179" i="140"/>
  <c r="Q242" i="140" s="1"/>
  <c r="R69" i="140"/>
  <c r="R70" i="140"/>
  <c r="R71" i="140"/>
  <c r="R72" i="140"/>
  <c r="L77" i="140"/>
  <c r="K77" i="140"/>
  <c r="J172" i="140"/>
  <c r="J235" i="140" s="1"/>
  <c r="S172" i="140"/>
  <c r="S235" i="140" s="1"/>
  <c r="J173" i="140"/>
  <c r="J236" i="140" s="1"/>
  <c r="N62" i="140"/>
  <c r="S173" i="140"/>
  <c r="S236" i="140" s="1"/>
  <c r="J174" i="140"/>
  <c r="J237" i="140" s="1"/>
  <c r="S174" i="140"/>
  <c r="S237" i="140" s="1"/>
  <c r="J175" i="140"/>
  <c r="S175" i="140"/>
  <c r="S238" i="140" s="1"/>
  <c r="K68" i="140"/>
  <c r="S179" i="140"/>
  <c r="S242" i="140" s="1"/>
  <c r="K74" i="140"/>
  <c r="O77" i="140"/>
  <c r="G77" i="140"/>
  <c r="T77" i="140" s="1"/>
  <c r="K86" i="140"/>
  <c r="G112" i="140"/>
  <c r="T112" i="140" s="1"/>
  <c r="N116" i="140"/>
  <c r="L116" i="140"/>
  <c r="K116" i="140"/>
  <c r="L119" i="140"/>
  <c r="R119" i="140"/>
  <c r="P173" i="140"/>
  <c r="P236" i="140" s="1"/>
  <c r="Q174" i="140"/>
  <c r="Q237" i="140" s="1"/>
  <c r="Q175" i="140"/>
  <c r="J178" i="140"/>
  <c r="J241" i="140" s="1"/>
  <c r="N120" i="140"/>
  <c r="L120" i="140"/>
  <c r="K120" i="140"/>
  <c r="AT121" i="140"/>
  <c r="M67" i="140"/>
  <c r="L68" i="140"/>
  <c r="L69" i="140"/>
  <c r="N78" i="140"/>
  <c r="L78" i="140"/>
  <c r="K78" i="140"/>
  <c r="M79" i="140"/>
  <c r="L79" i="140"/>
  <c r="R79" i="140"/>
  <c r="N85" i="140"/>
  <c r="M111" i="140"/>
  <c r="N117" i="140"/>
  <c r="AS117" i="140"/>
  <c r="AU117" i="140" s="1"/>
  <c r="G119" i="140"/>
  <c r="T119" i="140" s="1"/>
  <c r="AZ120" i="140"/>
  <c r="N67" i="140"/>
  <c r="M75" i="140"/>
  <c r="G79" i="140"/>
  <c r="T79" i="140" s="1"/>
  <c r="L115" i="140"/>
  <c r="R115" i="140"/>
  <c r="O116" i="140"/>
  <c r="AT117" i="140"/>
  <c r="K118" i="140"/>
  <c r="R120" i="140"/>
  <c r="BA120" i="140"/>
  <c r="L61" i="140"/>
  <c r="M62" i="140"/>
  <c r="N63" i="140"/>
  <c r="N64" i="140"/>
  <c r="F176" i="140"/>
  <c r="AD176" i="140" s="1"/>
  <c r="F177" i="140"/>
  <c r="AD177" i="140" s="1"/>
  <c r="F178" i="140"/>
  <c r="AD178" i="140" s="1"/>
  <c r="F179" i="140"/>
  <c r="AD179" i="140" s="1"/>
  <c r="N68" i="140"/>
  <c r="F182" i="140"/>
  <c r="M71" i="140"/>
  <c r="F183" i="140"/>
  <c r="AD183" i="140" s="1"/>
  <c r="L72" i="140"/>
  <c r="L118" i="140"/>
  <c r="AS130" i="140"/>
  <c r="AU130" i="140" s="1"/>
  <c r="F172" i="140"/>
  <c r="AD172" i="140" s="1"/>
  <c r="G61" i="140"/>
  <c r="O62" i="140"/>
  <c r="F174" i="140"/>
  <c r="AD174" i="140" s="1"/>
  <c r="M63" i="140"/>
  <c r="O63" i="140"/>
  <c r="F175" i="140"/>
  <c r="L64" i="140"/>
  <c r="O64" i="140"/>
  <c r="P176" i="140"/>
  <c r="P239" i="140" s="1"/>
  <c r="G66" i="140"/>
  <c r="O66" i="140"/>
  <c r="P178" i="140"/>
  <c r="P241" i="140" s="1"/>
  <c r="F180" i="140"/>
  <c r="AD180" i="140" s="1"/>
  <c r="G69" i="140"/>
  <c r="P180" i="140"/>
  <c r="P243" i="140" s="1"/>
  <c r="O69" i="140"/>
  <c r="P181" i="140"/>
  <c r="P244" i="140" s="1"/>
  <c r="P182" i="140"/>
  <c r="P183" i="140"/>
  <c r="P246" i="140" s="1"/>
  <c r="P73" i="140"/>
  <c r="L111" i="140"/>
  <c r="R111" i="140"/>
  <c r="AP119" i="140"/>
  <c r="I123" i="140"/>
  <c r="AS123" i="140" s="1"/>
  <c r="M186" i="140"/>
  <c r="M249" i="140" s="1"/>
  <c r="N125" i="140"/>
  <c r="AT125" i="140"/>
  <c r="AT129" i="140"/>
  <c r="O124" i="140"/>
  <c r="M125" i="140"/>
  <c r="P248" i="140"/>
  <c r="Q190" i="140"/>
  <c r="BA190" i="140" s="1"/>
  <c r="R129" i="140"/>
  <c r="Q191" i="140"/>
  <c r="BA191" i="140" s="1"/>
  <c r="R130" i="140"/>
  <c r="F173" i="140"/>
  <c r="AD173" i="140" s="1"/>
  <c r="S176" i="140"/>
  <c r="S239" i="140" s="1"/>
  <c r="J177" i="140"/>
  <c r="J240" i="140" s="1"/>
  <c r="Q178" i="140"/>
  <c r="Q241" i="140" s="1"/>
  <c r="P179" i="140"/>
  <c r="P242" i="140" s="1"/>
  <c r="F181" i="140"/>
  <c r="AD181" i="140" s="1"/>
  <c r="L76" i="140"/>
  <c r="M85" i="140"/>
  <c r="L86" i="140"/>
  <c r="L113" i="140"/>
  <c r="N114" i="140"/>
  <c r="L117" i="140"/>
  <c r="N118" i="140"/>
  <c r="L121" i="140"/>
  <c r="N122" i="140"/>
  <c r="P123" i="140"/>
  <c r="AZ123" i="140" s="1"/>
  <c r="G74" i="140"/>
  <c r="M76" i="140"/>
  <c r="M86" i="140"/>
  <c r="M113" i="140"/>
  <c r="G114" i="140"/>
  <c r="T114" i="140" s="1"/>
  <c r="O114" i="140"/>
  <c r="M117" i="140"/>
  <c r="G118" i="140"/>
  <c r="O118" i="140"/>
  <c r="AS119" i="140"/>
  <c r="M121" i="140"/>
  <c r="AS131" i="140"/>
  <c r="AU131" i="140" s="1"/>
  <c r="BA131" i="140"/>
  <c r="Q123" i="140"/>
  <c r="BA123" i="140" s="1"/>
  <c r="I146" i="140"/>
  <c r="I144" i="140"/>
  <c r="AS144" i="140" s="1"/>
  <c r="AP113" i="140"/>
  <c r="AP117" i="140"/>
  <c r="AP121" i="140"/>
  <c r="AP125" i="140"/>
  <c r="AP129" i="140"/>
  <c r="J123" i="140"/>
  <c r="AT123" i="140" s="1"/>
  <c r="N124" i="140"/>
  <c r="I190" i="140"/>
  <c r="AS190" i="140" s="1"/>
  <c r="AU190" i="140" s="1"/>
  <c r="K129" i="140"/>
  <c r="O86" i="140"/>
  <c r="M112" i="140"/>
  <c r="O113" i="140"/>
  <c r="M116" i="140"/>
  <c r="O117" i="140"/>
  <c r="M120" i="140"/>
  <c r="O121" i="140"/>
  <c r="J190" i="140"/>
  <c r="AT190" i="140" s="1"/>
  <c r="I191" i="140"/>
  <c r="AS191" i="140" s="1"/>
  <c r="AU191" i="140" s="1"/>
  <c r="K130" i="140"/>
  <c r="I198" i="140"/>
  <c r="I145" i="140"/>
  <c r="AS145" i="140" s="1"/>
  <c r="L186" i="140"/>
  <c r="L249" i="140" s="1"/>
  <c r="AI249" i="140" s="1"/>
  <c r="K125" i="140"/>
  <c r="Q144" i="140"/>
  <c r="K144" i="140"/>
  <c r="AU144" i="140" s="1"/>
  <c r="P190" i="140"/>
  <c r="AZ190" i="140" s="1"/>
  <c r="J191" i="140"/>
  <c r="AT191" i="140" s="1"/>
  <c r="AX191" i="140" s="1"/>
  <c r="F198" i="140"/>
  <c r="P199" i="140"/>
  <c r="F260" i="140"/>
  <c r="M203" i="140"/>
  <c r="L203" i="140"/>
  <c r="J261" i="140"/>
  <c r="L144" i="140"/>
  <c r="AV144" i="140" s="1"/>
  <c r="F145" i="140"/>
  <c r="AP145" i="140" s="1"/>
  <c r="J146" i="140"/>
  <c r="S146" i="140"/>
  <c r="S191" i="140"/>
  <c r="I199" i="140"/>
  <c r="Q199" i="140"/>
  <c r="P260" i="140"/>
  <c r="O203" i="140"/>
  <c r="S261" i="140"/>
  <c r="M144" i="140"/>
  <c r="AW144" i="140" s="1"/>
  <c r="L130" i="140"/>
  <c r="P198" i="140"/>
  <c r="J199" i="140"/>
  <c r="I260" i="140"/>
  <c r="Q260" i="140"/>
  <c r="R203" i="140"/>
  <c r="F144" i="140"/>
  <c r="N144" i="140"/>
  <c r="AX144" i="140" s="1"/>
  <c r="P145" i="140"/>
  <c r="AZ145" i="140" s="1"/>
  <c r="Q124" i="140"/>
  <c r="Q185" i="140" s="1"/>
  <c r="S190" i="140"/>
  <c r="Q198" i="140"/>
  <c r="S199" i="140"/>
  <c r="J260" i="140"/>
  <c r="N203" i="140"/>
  <c r="O144" i="140"/>
  <c r="AY144" i="140" s="1"/>
  <c r="Q145" i="140"/>
  <c r="BA145" i="140" s="1"/>
  <c r="J248" i="140"/>
  <c r="L125" i="140"/>
  <c r="F191" i="140"/>
  <c r="AP191" i="140" s="1"/>
  <c r="N130" i="140"/>
  <c r="J198" i="140"/>
  <c r="S260" i="140"/>
  <c r="P144" i="140"/>
  <c r="J145" i="140"/>
  <c r="AT145" i="140" s="1"/>
  <c r="S198" i="140"/>
  <c r="F261" i="140"/>
  <c r="M204" i="140"/>
  <c r="S145" i="140"/>
  <c r="F146" i="140"/>
  <c r="L124" i="140"/>
  <c r="F249" i="140"/>
  <c r="AD249" i="140" s="1"/>
  <c r="F190" i="140"/>
  <c r="AP190" i="140" s="1"/>
  <c r="N129" i="140"/>
  <c r="P191" i="140"/>
  <c r="AZ191" i="140" s="1"/>
  <c r="F199" i="140"/>
  <c r="P261" i="140"/>
  <c r="O204" i="140"/>
  <c r="J144" i="140"/>
  <c r="R144" i="140"/>
  <c r="BB144" i="140" s="1"/>
  <c r="Q146" i="140"/>
  <c r="AQ190" i="140" l="1"/>
  <c r="AV190" i="140"/>
  <c r="AW190" i="140"/>
  <c r="BB190" i="140"/>
  <c r="AZ132" i="140"/>
  <c r="AZ144" i="140"/>
  <c r="AT132" i="140"/>
  <c r="AT144" i="140"/>
  <c r="AP86" i="140"/>
  <c r="AP73" i="140"/>
  <c r="AT86" i="140"/>
  <c r="AT73" i="140"/>
  <c r="AP132" i="140"/>
  <c r="AP144" i="140"/>
  <c r="AY190" i="140"/>
  <c r="AX190" i="140"/>
  <c r="AZ86" i="140"/>
  <c r="AZ73" i="140"/>
  <c r="AP137" i="140"/>
  <c r="AP123" i="140"/>
  <c r="AS87" i="140"/>
  <c r="AS73" i="140"/>
  <c r="AQ191" i="140"/>
  <c r="AV191" i="140"/>
  <c r="AW191" i="140"/>
  <c r="BA86" i="140"/>
  <c r="BA73" i="140"/>
  <c r="AY191" i="140"/>
  <c r="BB191" i="140"/>
  <c r="BA132" i="140"/>
  <c r="BA144" i="140"/>
  <c r="AT90" i="140"/>
  <c r="AT204" i="140"/>
  <c r="AZ204" i="140"/>
  <c r="AU132" i="140"/>
  <c r="AT133" i="140"/>
  <c r="AZ133" i="140"/>
  <c r="AV102" i="140"/>
  <c r="AP90" i="140"/>
  <c r="AX109" i="140"/>
  <c r="AS90" i="140"/>
  <c r="AR226" i="140"/>
  <c r="BA133" i="140"/>
  <c r="AP133" i="140"/>
  <c r="AS133" i="140"/>
  <c r="AU133" i="140" s="1"/>
  <c r="H147" i="140"/>
  <c r="AR145" i="140"/>
  <c r="AU145" i="140" s="1"/>
  <c r="AV109" i="140"/>
  <c r="J238" i="140"/>
  <c r="AT226" i="140" s="1"/>
  <c r="AT163" i="140"/>
  <c r="AG182" i="140"/>
  <c r="AS170" i="140"/>
  <c r="AU170" i="140" s="1"/>
  <c r="AZ89" i="140"/>
  <c r="AD175" i="140"/>
  <c r="AP163" i="140"/>
  <c r="AD182" i="140"/>
  <c r="AP170" i="140"/>
  <c r="P238" i="140"/>
  <c r="AZ226" i="140" s="1"/>
  <c r="AZ163" i="140"/>
  <c r="Q245" i="140"/>
  <c r="BA170" i="140"/>
  <c r="J245" i="140"/>
  <c r="AT170" i="140"/>
  <c r="AG175" i="140"/>
  <c r="AS163" i="140"/>
  <c r="AU163" i="140" s="1"/>
  <c r="P245" i="140"/>
  <c r="AZ170" i="140"/>
  <c r="Q238" i="140"/>
  <c r="BA226" i="140" s="1"/>
  <c r="BA163" i="140"/>
  <c r="AX102" i="140"/>
  <c r="M12" i="138"/>
  <c r="Q65" i="125"/>
  <c r="Q66" i="125"/>
  <c r="S171" i="125"/>
  <c r="M65" i="125"/>
  <c r="M66" i="125"/>
  <c r="K28" i="138"/>
  <c r="M28" i="138" s="1"/>
  <c r="M13" i="138"/>
  <c r="I17" i="134"/>
  <c r="AA17" i="134"/>
  <c r="H17" i="134"/>
  <c r="H25" i="134"/>
  <c r="O90" i="140"/>
  <c r="K90" i="140"/>
  <c r="K91" i="140" s="1"/>
  <c r="AU91" i="140" s="1"/>
  <c r="I91" i="140"/>
  <c r="AS91" i="140" s="1"/>
  <c r="F91" i="140"/>
  <c r="AP91" i="140" s="1"/>
  <c r="M90" i="140"/>
  <c r="R90" i="140"/>
  <c r="N90" i="140"/>
  <c r="N91" i="140" s="1"/>
  <c r="AX91" i="140" s="1"/>
  <c r="Q91" i="140"/>
  <c r="BA91" i="140" s="1"/>
  <c r="L90" i="140"/>
  <c r="G90" i="140"/>
  <c r="T90" i="140" s="1"/>
  <c r="U129" i="125"/>
  <c r="T175" i="125"/>
  <c r="T123" i="125"/>
  <c r="Q83" i="125"/>
  <c r="Q67" i="125"/>
  <c r="H89" i="125"/>
  <c r="Q86" i="125" s="1"/>
  <c r="T124" i="125"/>
  <c r="K83" i="125"/>
  <c r="T110" i="125"/>
  <c r="T99" i="125"/>
  <c r="U130" i="125"/>
  <c r="T144" i="140"/>
  <c r="G185" i="140"/>
  <c r="G248" i="140" s="1"/>
  <c r="AE248" i="140" s="1"/>
  <c r="G186" i="140"/>
  <c r="G249" i="140" s="1"/>
  <c r="AE249" i="140" s="1"/>
  <c r="Q186" i="140"/>
  <c r="Q249" i="140" s="1"/>
  <c r="G89" i="140"/>
  <c r="P91" i="140"/>
  <c r="AZ91" i="140" s="1"/>
  <c r="AY16" i="140"/>
  <c r="G82" i="140"/>
  <c r="AZ49" i="140"/>
  <c r="P82" i="140"/>
  <c r="AR49" i="140"/>
  <c r="H82" i="140"/>
  <c r="AR82" i="140" s="1"/>
  <c r="H127" i="140"/>
  <c r="AR115" i="140" s="1"/>
  <c r="S120" i="125"/>
  <c r="S157" i="125"/>
  <c r="L84" i="125"/>
  <c r="R84" i="125"/>
  <c r="S177" i="125"/>
  <c r="L88" i="125"/>
  <c r="K85" i="125"/>
  <c r="U110" i="125"/>
  <c r="S151" i="125"/>
  <c r="U117" i="125"/>
  <c r="U140" i="125"/>
  <c r="O88" i="125"/>
  <c r="I85" i="125"/>
  <c r="L85" i="125" s="1"/>
  <c r="S136" i="125"/>
  <c r="I89" i="125"/>
  <c r="T154" i="125"/>
  <c r="T120" i="125"/>
  <c r="S150" i="125"/>
  <c r="S192" i="140"/>
  <c r="P87" i="125"/>
  <c r="Q161" i="125"/>
  <c r="T161" i="125" s="1"/>
  <c r="T159" i="125"/>
  <c r="T176" i="125"/>
  <c r="Q165" i="125"/>
  <c r="U103" i="125"/>
  <c r="U113" i="125"/>
  <c r="S137" i="125"/>
  <c r="O87" i="125"/>
  <c r="U144" i="125"/>
  <c r="T68" i="140"/>
  <c r="U224" i="140"/>
  <c r="BC236" i="140" s="1"/>
  <c r="F192" i="140"/>
  <c r="AP204" i="140" s="1"/>
  <c r="I200" i="140"/>
  <c r="P200" i="140"/>
  <c r="S200" i="140"/>
  <c r="AT203" i="140"/>
  <c r="J200" i="140"/>
  <c r="G131" i="140"/>
  <c r="BA203" i="140"/>
  <c r="Q200" i="140"/>
  <c r="AP203" i="140"/>
  <c r="F200" i="140"/>
  <c r="BB17" i="140"/>
  <c r="M131" i="140"/>
  <c r="R131" i="140"/>
  <c r="K131" i="140"/>
  <c r="O131" i="140"/>
  <c r="N131" i="140"/>
  <c r="L131" i="140"/>
  <c r="P192" i="140"/>
  <c r="AZ180" i="140" s="1"/>
  <c r="J192" i="140"/>
  <c r="I192" i="140"/>
  <c r="AS204" i="140" s="1"/>
  <c r="Q192" i="140"/>
  <c r="G198" i="140"/>
  <c r="T198" i="140" s="1"/>
  <c r="AY36" i="140"/>
  <c r="H247" i="140"/>
  <c r="AU31" i="140"/>
  <c r="I26" i="134"/>
  <c r="F26" i="134"/>
  <c r="T130" i="125"/>
  <c r="U178" i="125"/>
  <c r="S158" i="125"/>
  <c r="O234" i="140"/>
  <c r="AK234" i="140" s="1"/>
  <c r="M234" i="140"/>
  <c r="N234" i="140"/>
  <c r="AJ234" i="140" s="1"/>
  <c r="BB14" i="140"/>
  <c r="R234" i="140"/>
  <c r="AY14" i="140"/>
  <c r="AT49" i="140"/>
  <c r="AS49" i="140"/>
  <c r="AV14" i="140"/>
  <c r="AQ14" i="140"/>
  <c r="AW14" i="140"/>
  <c r="K123" i="140"/>
  <c r="AU123" i="140" s="1"/>
  <c r="X224" i="140"/>
  <c r="BB29" i="140"/>
  <c r="BE161" i="140"/>
  <c r="W223" i="140"/>
  <c r="BD161" i="140"/>
  <c r="AB161" i="140"/>
  <c r="BJ166" i="140" s="1"/>
  <c r="BF161" i="140"/>
  <c r="Y161" i="140"/>
  <c r="BG166" i="140" s="1"/>
  <c r="BC161" i="140"/>
  <c r="Z161" i="140"/>
  <c r="AA161" i="140"/>
  <c r="BI166" i="140" s="1"/>
  <c r="BK161" i="140"/>
  <c r="K67" i="125"/>
  <c r="U147" i="125"/>
  <c r="S129" i="125"/>
  <c r="J89" i="125"/>
  <c r="K65" i="125"/>
  <c r="U164" i="125"/>
  <c r="R62" i="125"/>
  <c r="I68" i="125"/>
  <c r="I64" i="125"/>
  <c r="K66" i="125"/>
  <c r="L65" i="125"/>
  <c r="J65" i="125"/>
  <c r="U109" i="125"/>
  <c r="U179" i="125"/>
  <c r="U154" i="125"/>
  <c r="G67" i="125"/>
  <c r="P63" i="125"/>
  <c r="O63" i="125"/>
  <c r="F67" i="125"/>
  <c r="L67" i="125" s="1"/>
  <c r="L63" i="125"/>
  <c r="T63" i="125"/>
  <c r="M63" i="125"/>
  <c r="D67" i="125"/>
  <c r="J63" i="125"/>
  <c r="E68" i="125"/>
  <c r="E64" i="125"/>
  <c r="K64" i="125" s="1"/>
  <c r="N62" i="125"/>
  <c r="N67" i="125" s="1"/>
  <c r="K62" i="125"/>
  <c r="O62" i="125"/>
  <c r="F64" i="125"/>
  <c r="L62" i="125"/>
  <c r="F68" i="125"/>
  <c r="P62" i="125"/>
  <c r="S62" i="125" s="1"/>
  <c r="G68" i="125"/>
  <c r="G64" i="125"/>
  <c r="J64" i="125" s="1"/>
  <c r="Q68" i="125"/>
  <c r="Q64" i="125"/>
  <c r="R89" i="125"/>
  <c r="T137" i="125"/>
  <c r="S165" i="125"/>
  <c r="T96" i="125"/>
  <c r="S96" i="125"/>
  <c r="T165" i="125"/>
  <c r="T95" i="125"/>
  <c r="K88" i="125"/>
  <c r="U151" i="125"/>
  <c r="T147" i="125"/>
  <c r="T92" i="125"/>
  <c r="T102" i="125"/>
  <c r="R88" i="125"/>
  <c r="U88" i="125" s="1"/>
  <c r="P85" i="125"/>
  <c r="Q169" i="125"/>
  <c r="T169" i="125" s="1"/>
  <c r="S95" i="125"/>
  <c r="U92" i="125"/>
  <c r="S172" i="125"/>
  <c r="U150" i="125"/>
  <c r="T164" i="125"/>
  <c r="R85" i="125"/>
  <c r="T150" i="125"/>
  <c r="Q170" i="125"/>
  <c r="T170" i="125" s="1"/>
  <c r="S117" i="125"/>
  <c r="U123" i="125"/>
  <c r="N13" i="138"/>
  <c r="O13" i="138"/>
  <c r="F13" i="138"/>
  <c r="F28" i="138" s="1"/>
  <c r="D28" i="138"/>
  <c r="D29" i="138" s="1"/>
  <c r="G13" i="138"/>
  <c r="L29" i="138"/>
  <c r="P9" i="138"/>
  <c r="AR203" i="140"/>
  <c r="P4" i="138"/>
  <c r="P6" i="138"/>
  <c r="P24" i="138"/>
  <c r="V223" i="140"/>
  <c r="BD235" i="140" s="1"/>
  <c r="AY145" i="140"/>
  <c r="AW145" i="140"/>
  <c r="BB24" i="140"/>
  <c r="AQ145" i="140"/>
  <c r="U223" i="140"/>
  <c r="X223" i="140"/>
  <c r="BB145" i="140"/>
  <c r="AB160" i="140"/>
  <c r="BJ160" i="140" s="1"/>
  <c r="AU38" i="140"/>
  <c r="AA160" i="140"/>
  <c r="BI160" i="140" s="1"/>
  <c r="Z160" i="140"/>
  <c r="BH160" i="140" s="1"/>
  <c r="V224" i="140"/>
  <c r="BD236" i="140" s="1"/>
  <c r="AX33" i="140"/>
  <c r="W224" i="140"/>
  <c r="BE236" i="140" s="1"/>
  <c r="AZ4" i="140"/>
  <c r="I244" i="140"/>
  <c r="N244" i="140" s="1"/>
  <c r="AJ244" i="140" s="1"/>
  <c r="I242" i="140"/>
  <c r="F242" i="140"/>
  <c r="I246" i="140"/>
  <c r="BK5" i="140"/>
  <c r="AC224" i="140"/>
  <c r="BK236" i="140" s="1"/>
  <c r="I241" i="140"/>
  <c r="AE27" i="140"/>
  <c r="BA4" i="140"/>
  <c r="I240" i="140"/>
  <c r="F240" i="140"/>
  <c r="O240" i="140" s="1"/>
  <c r="AK240" i="140" s="1"/>
  <c r="F241" i="140"/>
  <c r="G234" i="140"/>
  <c r="F239" i="140"/>
  <c r="I239" i="140"/>
  <c r="BA5" i="140"/>
  <c r="F237" i="140"/>
  <c r="F238" i="140"/>
  <c r="F236" i="140"/>
  <c r="R236" i="140" s="1"/>
  <c r="I245" i="140"/>
  <c r="I238" i="140"/>
  <c r="AE28" i="140"/>
  <c r="I237" i="140"/>
  <c r="BK4" i="140"/>
  <c r="AC223" i="140"/>
  <c r="F246" i="140"/>
  <c r="I243" i="140"/>
  <c r="N243" i="140" s="1"/>
  <c r="AJ243" i="140" s="1"/>
  <c r="I235" i="140"/>
  <c r="N235" i="140" s="1"/>
  <c r="AJ235" i="140" s="1"/>
  <c r="F245" i="140"/>
  <c r="I236" i="140"/>
  <c r="N236" i="140" s="1"/>
  <c r="AJ236" i="140" s="1"/>
  <c r="F244" i="140"/>
  <c r="O244" i="140" s="1"/>
  <c r="AK244" i="140" s="1"/>
  <c r="AG234" i="140"/>
  <c r="K234" i="140"/>
  <c r="AH234" i="140" s="1"/>
  <c r="F243" i="140"/>
  <c r="R243" i="140" s="1"/>
  <c r="F235" i="140"/>
  <c r="L234" i="140"/>
  <c r="AI234" i="140" s="1"/>
  <c r="BD4" i="140"/>
  <c r="AR5" i="140"/>
  <c r="BE4" i="140"/>
  <c r="BC4" i="140"/>
  <c r="BF4" i="140"/>
  <c r="BC5" i="140"/>
  <c r="AT5" i="140"/>
  <c r="AR4" i="140"/>
  <c r="BD5" i="140"/>
  <c r="AT4" i="140"/>
  <c r="AP5" i="140"/>
  <c r="BE5" i="140"/>
  <c r="AS5" i="140"/>
  <c r="BF5" i="140"/>
  <c r="AX25" i="140"/>
  <c r="U158" i="125"/>
  <c r="J85" i="125"/>
  <c r="M86" i="125"/>
  <c r="S86" i="125" s="1"/>
  <c r="S109" i="125"/>
  <c r="S116" i="125"/>
  <c r="M87" i="125"/>
  <c r="S178" i="125"/>
  <c r="T109" i="125"/>
  <c r="S164" i="125"/>
  <c r="T113" i="125"/>
  <c r="U95" i="125"/>
  <c r="T178" i="125"/>
  <c r="T127" i="125"/>
  <c r="AU25" i="140"/>
  <c r="AX38" i="140"/>
  <c r="Y160" i="140"/>
  <c r="BG160" i="140" s="1"/>
  <c r="BB34" i="140"/>
  <c r="AU19" i="140"/>
  <c r="BA49" i="140"/>
  <c r="AS86" i="140"/>
  <c r="AW25" i="140"/>
  <c r="AS100" i="140"/>
  <c r="BA100" i="140"/>
  <c r="AX18" i="140"/>
  <c r="AS203" i="140"/>
  <c r="AR242" i="140"/>
  <c r="AZ203" i="140"/>
  <c r="AY32" i="140"/>
  <c r="AS88" i="140"/>
  <c r="AR246" i="140"/>
  <c r="AT88" i="140"/>
  <c r="AP88" i="140"/>
  <c r="AZ88" i="140"/>
  <c r="BA88" i="140"/>
  <c r="T171" i="140"/>
  <c r="AE171" i="140"/>
  <c r="AX16" i="140"/>
  <c r="AV145" i="140"/>
  <c r="AX145" i="140"/>
  <c r="BB19" i="140"/>
  <c r="BB22" i="140"/>
  <c r="AQ30" i="140"/>
  <c r="AX19" i="140"/>
  <c r="AX31" i="140"/>
  <c r="AS137" i="140"/>
  <c r="AU137" i="140" s="1"/>
  <c r="AP87" i="140"/>
  <c r="AZ137" i="140"/>
  <c r="AQ137" i="140" s="1"/>
  <c r="AT87" i="140"/>
  <c r="BA87" i="140"/>
  <c r="AZ87" i="140"/>
  <c r="AT137" i="140"/>
  <c r="AW137" i="140" s="1"/>
  <c r="AR241" i="140"/>
  <c r="H260" i="140"/>
  <c r="AY23" i="140"/>
  <c r="AY22" i="140"/>
  <c r="AU23" i="140"/>
  <c r="AV22" i="140"/>
  <c r="AX23" i="140"/>
  <c r="AX21" i="140"/>
  <c r="AX36" i="140"/>
  <c r="AY26" i="140"/>
  <c r="BB26" i="140"/>
  <c r="AY34" i="140"/>
  <c r="H207" i="140"/>
  <c r="AU36" i="140"/>
  <c r="AV34" i="140"/>
  <c r="AV21" i="140"/>
  <c r="BB27" i="140"/>
  <c r="AX34" i="140"/>
  <c r="AY27" i="140"/>
  <c r="AX28" i="140"/>
  <c r="BB21" i="140"/>
  <c r="AU28" i="140"/>
  <c r="AU34" i="140"/>
  <c r="AY21" i="140"/>
  <c r="AU16" i="140"/>
  <c r="AW27" i="140"/>
  <c r="AU17" i="140"/>
  <c r="AC6" i="140"/>
  <c r="AX129" i="140"/>
  <c r="AX125" i="140"/>
  <c r="BB25" i="140"/>
  <c r="AV25" i="140"/>
  <c r="AU30" i="140"/>
  <c r="AX30" i="140"/>
  <c r="P249" i="140"/>
  <c r="T33" i="140"/>
  <c r="AE33" i="140"/>
  <c r="T39" i="140"/>
  <c r="AE39" i="140"/>
  <c r="T16" i="140"/>
  <c r="AE16" i="140"/>
  <c r="T36" i="140"/>
  <c r="AE36" i="140"/>
  <c r="AE15" i="140"/>
  <c r="T20" i="140"/>
  <c r="AE20" i="140"/>
  <c r="T26" i="140"/>
  <c r="AE26" i="140"/>
  <c r="T22" i="140"/>
  <c r="AE22" i="140"/>
  <c r="T31" i="140"/>
  <c r="AE31" i="140"/>
  <c r="AD5" i="140"/>
  <c r="T25" i="140"/>
  <c r="AE25" i="140"/>
  <c r="T24" i="140"/>
  <c r="AE24" i="140"/>
  <c r="T37" i="140"/>
  <c r="AE37" i="140"/>
  <c r="T38" i="140"/>
  <c r="AE38" i="140"/>
  <c r="T21" i="140"/>
  <c r="AE21" i="140"/>
  <c r="AA5" i="140"/>
  <c r="BI5" i="140" s="1"/>
  <c r="T32" i="140"/>
  <c r="AE32" i="140"/>
  <c r="T34" i="140"/>
  <c r="AE34" i="140"/>
  <c r="T19" i="140"/>
  <c r="AE19" i="140"/>
  <c r="T29" i="140"/>
  <c r="AE29" i="140"/>
  <c r="T18" i="140"/>
  <c r="AE18" i="140"/>
  <c r="AF5" i="140"/>
  <c r="T35" i="140"/>
  <c r="AE35" i="140"/>
  <c r="T30" i="140"/>
  <c r="AE30" i="140"/>
  <c r="T17" i="140"/>
  <c r="AE17" i="140"/>
  <c r="T23" i="140"/>
  <c r="AE23" i="140"/>
  <c r="AG5" i="140"/>
  <c r="V6" i="140"/>
  <c r="W6" i="140"/>
  <c r="AF4" i="140"/>
  <c r="X6" i="140"/>
  <c r="AG4" i="140"/>
  <c r="Z4" i="140"/>
  <c r="BH4" i="140" s="1"/>
  <c r="U6" i="140"/>
  <c r="AD4" i="140"/>
  <c r="Y5" i="140"/>
  <c r="BG5" i="140" s="1"/>
  <c r="AY17" i="140"/>
  <c r="Z5" i="140"/>
  <c r="BH5" i="140" s="1"/>
  <c r="AB5" i="140"/>
  <c r="BJ5" i="140" s="1"/>
  <c r="N123" i="140"/>
  <c r="AX123" i="140" s="1"/>
  <c r="AY129" i="140"/>
  <c r="AS40" i="140"/>
  <c r="Y4" i="140"/>
  <c r="BG4" i="140" s="1"/>
  <c r="AB4" i="140"/>
  <c r="BJ4" i="140" s="1"/>
  <c r="AU33" i="140"/>
  <c r="AA4" i="140"/>
  <c r="BI4" i="140" s="1"/>
  <c r="S125" i="140"/>
  <c r="S186" i="140" s="1"/>
  <c r="AX32" i="140"/>
  <c r="AR204" i="140"/>
  <c r="T15" i="140"/>
  <c r="AY130" i="140"/>
  <c r="AR40" i="140"/>
  <c r="BB130" i="140"/>
  <c r="AW130" i="140"/>
  <c r="F126" i="140"/>
  <c r="AP114" i="140" s="1"/>
  <c r="AW39" i="140"/>
  <c r="G4" i="140"/>
  <c r="AX118" i="140"/>
  <c r="R73" i="140"/>
  <c r="BB73" i="140" s="1"/>
  <c r="N73" i="140"/>
  <c r="AX73" i="140" s="1"/>
  <c r="R123" i="140"/>
  <c r="BB123" i="140" s="1"/>
  <c r="K40" i="140"/>
  <c r="AQ17" i="140"/>
  <c r="BB37" i="140"/>
  <c r="G100" i="140"/>
  <c r="T100" i="140" s="1"/>
  <c r="K73" i="140"/>
  <c r="AU73" i="140" s="1"/>
  <c r="O73" i="140"/>
  <c r="AY73" i="140" s="1"/>
  <c r="O123" i="140"/>
  <c r="AY123" i="140" s="1"/>
  <c r="M73" i="140"/>
  <c r="AW73" i="140" s="1"/>
  <c r="AY133" i="140"/>
  <c r="L73" i="140"/>
  <c r="AV73" i="140" s="1"/>
  <c r="G50" i="140"/>
  <c r="G83" i="140" s="1"/>
  <c r="L123" i="140"/>
  <c r="AV123" i="140" s="1"/>
  <c r="BB15" i="140"/>
  <c r="M123" i="140"/>
  <c r="AW123" i="140" s="1"/>
  <c r="G40" i="140"/>
  <c r="BA40" i="140"/>
  <c r="J126" i="140"/>
  <c r="AT114" i="140" s="1"/>
  <c r="AW114" i="140" s="1"/>
  <c r="AQ130" i="140"/>
  <c r="T72" i="140"/>
  <c r="G73" i="140"/>
  <c r="AQ73" i="140" s="1"/>
  <c r="S124" i="140"/>
  <c r="G183" i="140"/>
  <c r="G246" i="140" s="1"/>
  <c r="AV32" i="140"/>
  <c r="AU15" i="140"/>
  <c r="L40" i="140"/>
  <c r="BB32" i="140"/>
  <c r="AX113" i="140"/>
  <c r="U84" i="125"/>
  <c r="N89" i="125"/>
  <c r="N85" i="125"/>
  <c r="T83" i="125"/>
  <c r="R172" i="125"/>
  <c r="U172" i="125" s="1"/>
  <c r="R168" i="125"/>
  <c r="U168" i="125" s="1"/>
  <c r="U106" i="125"/>
  <c r="Q172" i="125"/>
  <c r="T172" i="125" s="1"/>
  <c r="Q168" i="125"/>
  <c r="T168" i="125" s="1"/>
  <c r="R165" i="125"/>
  <c r="U165" i="125" s="1"/>
  <c r="R161" i="125"/>
  <c r="U161" i="125" s="1"/>
  <c r="Q88" i="125"/>
  <c r="Q89" i="125"/>
  <c r="Q85" i="125"/>
  <c r="Q162" i="125"/>
  <c r="T162" i="125" s="1"/>
  <c r="Q163" i="125"/>
  <c r="T163" i="125" s="1"/>
  <c r="R171" i="125"/>
  <c r="U171" i="125" s="1"/>
  <c r="U167" i="125"/>
  <c r="Q171" i="125"/>
  <c r="T171" i="125" s="1"/>
  <c r="S140" i="125"/>
  <c r="U96" i="125"/>
  <c r="U166" i="125"/>
  <c r="K165" i="125"/>
  <c r="L165" i="125"/>
  <c r="R162" i="125"/>
  <c r="U162" i="125" s="1"/>
  <c r="R163" i="125"/>
  <c r="U163" i="125" s="1"/>
  <c r="M89" i="125"/>
  <c r="S89" i="125" s="1"/>
  <c r="M85" i="125"/>
  <c r="S85" i="125" s="1"/>
  <c r="S83" i="125"/>
  <c r="J88" i="125"/>
  <c r="S99" i="125"/>
  <c r="N88" i="125"/>
  <c r="T84" i="125"/>
  <c r="U137" i="125"/>
  <c r="U175" i="125"/>
  <c r="T86" i="125"/>
  <c r="O89" i="125"/>
  <c r="U83" i="125"/>
  <c r="O85" i="125"/>
  <c r="S127" i="125"/>
  <c r="M88" i="125"/>
  <c r="S88" i="125" s="1"/>
  <c r="P26" i="138"/>
  <c r="P22" i="138"/>
  <c r="O28" i="138"/>
  <c r="P7" i="138"/>
  <c r="P3" i="138"/>
  <c r="G12" i="138"/>
  <c r="P16" i="138"/>
  <c r="T74" i="140"/>
  <c r="T75" i="140"/>
  <c r="AY121" i="140"/>
  <c r="T99" i="140"/>
  <c r="G181" i="140"/>
  <c r="G244" i="140" s="1"/>
  <c r="S51" i="140"/>
  <c r="P5" i="138"/>
  <c r="E29" i="138"/>
  <c r="N12" i="138"/>
  <c r="P14" i="138"/>
  <c r="P18" i="138"/>
  <c r="P15" i="138"/>
  <c r="P25" i="138"/>
  <c r="P17" i="138"/>
  <c r="P21" i="138"/>
  <c r="P23" i="138"/>
  <c r="P10" i="138"/>
  <c r="O12" i="138"/>
  <c r="P19" i="138"/>
  <c r="F12" i="138"/>
  <c r="S160" i="140"/>
  <c r="S223" i="140" s="1"/>
  <c r="AY35" i="140"/>
  <c r="AW30" i="140"/>
  <c r="AW17" i="140"/>
  <c r="Q127" i="140"/>
  <c r="BA115" i="140" s="1"/>
  <c r="O40" i="140"/>
  <c r="AU29" i="140"/>
  <c r="AY31" i="140"/>
  <c r="G179" i="140"/>
  <c r="G242" i="140" s="1"/>
  <c r="K99" i="140"/>
  <c r="AS99" i="140"/>
  <c r="AU99" i="140" s="1"/>
  <c r="O100" i="140"/>
  <c r="AZ100" i="140"/>
  <c r="R100" i="140"/>
  <c r="AP100" i="140"/>
  <c r="K100" i="140"/>
  <c r="AR100" i="140"/>
  <c r="N100" i="140"/>
  <c r="AT100" i="140"/>
  <c r="BB99" i="140"/>
  <c r="AQ99" i="140"/>
  <c r="AY99" i="140"/>
  <c r="BB131" i="140"/>
  <c r="AW120" i="140"/>
  <c r="AW99" i="140"/>
  <c r="AQ19" i="140"/>
  <c r="AQ132" i="140"/>
  <c r="AY38" i="140"/>
  <c r="M99" i="140"/>
  <c r="L99" i="140"/>
  <c r="AV120" i="140"/>
  <c r="BB30" i="140"/>
  <c r="AY39" i="140"/>
  <c r="N99" i="140"/>
  <c r="AU22" i="140"/>
  <c r="AV30" i="140"/>
  <c r="G199" i="140"/>
  <c r="T199" i="140" s="1"/>
  <c r="BB120" i="140"/>
  <c r="AU20" i="140"/>
  <c r="P127" i="140"/>
  <c r="AZ115" i="140" s="1"/>
  <c r="Q6" i="140"/>
  <c r="L100" i="140"/>
  <c r="R99" i="140"/>
  <c r="R4" i="140"/>
  <c r="O99" i="140"/>
  <c r="G178" i="140"/>
  <c r="G241" i="140" s="1"/>
  <c r="J127" i="140"/>
  <c r="AT115" i="140" s="1"/>
  <c r="BB113" i="140"/>
  <c r="T70" i="140"/>
  <c r="T49" i="140"/>
  <c r="AQ49" i="140"/>
  <c r="AP49" i="140"/>
  <c r="O49" i="140"/>
  <c r="G174" i="140"/>
  <c r="G237" i="140" s="1"/>
  <c r="BB117" i="140"/>
  <c r="T113" i="140"/>
  <c r="M100" i="140"/>
  <c r="M49" i="140"/>
  <c r="L49" i="140"/>
  <c r="K49" i="140"/>
  <c r="R50" i="140"/>
  <c r="L50" i="140"/>
  <c r="M50" i="140"/>
  <c r="AW19" i="140"/>
  <c r="R49" i="140"/>
  <c r="K50" i="140"/>
  <c r="AV19" i="140"/>
  <c r="N50" i="140"/>
  <c r="N49" i="140"/>
  <c r="O50" i="140"/>
  <c r="G191" i="140"/>
  <c r="S161" i="140"/>
  <c r="S224" i="140" s="1"/>
  <c r="L204" i="140"/>
  <c r="N204" i="140"/>
  <c r="P101" i="140"/>
  <c r="AZ103" i="140" s="1"/>
  <c r="Q126" i="140"/>
  <c r="BA114" i="140" s="1"/>
  <c r="BB114" i="140" s="1"/>
  <c r="AQ118" i="140"/>
  <c r="AY37" i="140"/>
  <c r="AV17" i="140"/>
  <c r="AX117" i="140"/>
  <c r="AY18" i="140"/>
  <c r="AY30" i="140"/>
  <c r="AY29" i="140"/>
  <c r="I51" i="140"/>
  <c r="AS53" i="140" s="1"/>
  <c r="G145" i="140"/>
  <c r="T145" i="140" s="1"/>
  <c r="P51" i="140"/>
  <c r="AQ21" i="140"/>
  <c r="AW21" i="140"/>
  <c r="AU32" i="140"/>
  <c r="AX132" i="140"/>
  <c r="J160" i="140"/>
  <c r="J187" i="140" s="1"/>
  <c r="AT187" i="140" s="1"/>
  <c r="L4" i="140"/>
  <c r="AS4" i="140"/>
  <c r="O5" i="140"/>
  <c r="AZ5" i="140"/>
  <c r="BB132" i="140"/>
  <c r="AW132" i="140"/>
  <c r="AY24" i="140"/>
  <c r="AU37" i="140"/>
  <c r="AU18" i="140"/>
  <c r="AW24" i="140"/>
  <c r="F6" i="140"/>
  <c r="AP4" i="140"/>
  <c r="H6" i="140"/>
  <c r="AQ32" i="140"/>
  <c r="AX22" i="140"/>
  <c r="R5" i="140"/>
  <c r="Q160" i="140"/>
  <c r="Q223" i="140" s="1"/>
  <c r="BA223" i="140" s="1"/>
  <c r="Q51" i="140"/>
  <c r="AX133" i="140"/>
  <c r="F101" i="140"/>
  <c r="AP103" i="140" s="1"/>
  <c r="G190" i="140"/>
  <c r="G182" i="140"/>
  <c r="G245" i="140" s="1"/>
  <c r="I101" i="140"/>
  <c r="AS103" i="140" s="1"/>
  <c r="I126" i="140"/>
  <c r="I160" i="140"/>
  <c r="I223" i="140" s="1"/>
  <c r="F160" i="140"/>
  <c r="F223" i="140" s="1"/>
  <c r="P160" i="140"/>
  <c r="P187" i="140" s="1"/>
  <c r="AZ187" i="140" s="1"/>
  <c r="AZ40" i="140"/>
  <c r="R40" i="140"/>
  <c r="G176" i="140"/>
  <c r="G239" i="140" s="1"/>
  <c r="Q101" i="140"/>
  <c r="BA103" i="140" s="1"/>
  <c r="P126" i="140"/>
  <c r="N40" i="140"/>
  <c r="N5" i="140"/>
  <c r="T129" i="140"/>
  <c r="T131" i="140" s="1"/>
  <c r="AY117" i="140"/>
  <c r="AQ39" i="140"/>
  <c r="BB39" i="140"/>
  <c r="AQ26" i="140"/>
  <c r="AW34" i="140"/>
  <c r="S101" i="140"/>
  <c r="S184" i="140" s="1"/>
  <c r="AY19" i="140"/>
  <c r="AU35" i="140"/>
  <c r="AQ29" i="140"/>
  <c r="AW29" i="140"/>
  <c r="J51" i="140"/>
  <c r="AT53" i="140" s="1"/>
  <c r="R125" i="140"/>
  <c r="AQ34" i="140"/>
  <c r="AU26" i="140"/>
  <c r="AV26" i="140"/>
  <c r="AX35" i="140"/>
  <c r="BA137" i="140"/>
  <c r="BB137" i="140" s="1"/>
  <c r="M185" i="140"/>
  <c r="M248" i="140" s="1"/>
  <c r="AX120" i="140"/>
  <c r="G160" i="140"/>
  <c r="AV29" i="140"/>
  <c r="AY15" i="140"/>
  <c r="AQ22" i="140"/>
  <c r="H126" i="140"/>
  <c r="H101" i="140"/>
  <c r="AR103" i="140" s="1"/>
  <c r="AU21" i="140"/>
  <c r="AQ18" i="140"/>
  <c r="AW18" i="140"/>
  <c r="AV18" i="140"/>
  <c r="F248" i="140"/>
  <c r="AD248" i="140" s="1"/>
  <c r="AX121" i="140"/>
  <c r="AU39" i="140"/>
  <c r="H160" i="140"/>
  <c r="H223" i="140" s="1"/>
  <c r="H51" i="140"/>
  <c r="AR53" i="140" s="1"/>
  <c r="BB35" i="140"/>
  <c r="AY132" i="140"/>
  <c r="G123" i="140"/>
  <c r="AQ123" i="140" s="1"/>
  <c r="T122" i="140"/>
  <c r="AX15" i="140"/>
  <c r="AT40" i="140"/>
  <c r="AX37" i="140"/>
  <c r="J161" i="140"/>
  <c r="H264" i="140"/>
  <c r="AU24" i="140"/>
  <c r="AV24" i="140"/>
  <c r="AY118" i="140"/>
  <c r="O4" i="140"/>
  <c r="P6" i="140"/>
  <c r="AQ28" i="140"/>
  <c r="AW28" i="140"/>
  <c r="AV28" i="140"/>
  <c r="N4" i="140"/>
  <c r="J6" i="140"/>
  <c r="K5" i="140"/>
  <c r="AW35" i="140"/>
  <c r="AQ35" i="140"/>
  <c r="AV35" i="140"/>
  <c r="AQ27" i="140"/>
  <c r="BB28" i="140"/>
  <c r="AW118" i="140"/>
  <c r="AV118" i="140"/>
  <c r="AU27" i="140"/>
  <c r="AV27" i="140"/>
  <c r="T27" i="140"/>
  <c r="G5" i="140"/>
  <c r="AP40" i="140"/>
  <c r="AW15" i="140"/>
  <c r="AV15" i="140"/>
  <c r="AQ15" i="140"/>
  <c r="BB33" i="140"/>
  <c r="AQ33" i="140"/>
  <c r="AV33" i="140"/>
  <c r="AW33" i="140"/>
  <c r="AV16" i="140"/>
  <c r="AQ16" i="140"/>
  <c r="AW16" i="140"/>
  <c r="K4" i="140"/>
  <c r="I6" i="140"/>
  <c r="J101" i="140"/>
  <c r="AT103" i="140" s="1"/>
  <c r="BB118" i="140"/>
  <c r="AQ36" i="140"/>
  <c r="AW36" i="140"/>
  <c r="AV36" i="140"/>
  <c r="M40" i="140"/>
  <c r="H161" i="140"/>
  <c r="T85" i="140"/>
  <c r="AW32" i="140"/>
  <c r="AY25" i="140"/>
  <c r="AQ25" i="140"/>
  <c r="AX27" i="140"/>
  <c r="G126" i="140"/>
  <c r="G134" i="140" s="1"/>
  <c r="AY20" i="140"/>
  <c r="AQ20" i="140"/>
  <c r="BB20" i="140"/>
  <c r="AV20" i="140"/>
  <c r="AW20" i="140"/>
  <c r="S6" i="140"/>
  <c r="AQ38" i="140"/>
  <c r="AW38" i="140"/>
  <c r="AV38" i="140"/>
  <c r="BB38" i="140"/>
  <c r="AY28" i="140"/>
  <c r="AQ37" i="140"/>
  <c r="AV37" i="140"/>
  <c r="AW37" i="140"/>
  <c r="AQ24" i="140"/>
  <c r="AX39" i="140"/>
  <c r="BB18" i="140"/>
  <c r="AQ23" i="140"/>
  <c r="BB23" i="140"/>
  <c r="AW23" i="140"/>
  <c r="AV23" i="140"/>
  <c r="AX26" i="140"/>
  <c r="AW26" i="140"/>
  <c r="AV39" i="140"/>
  <c r="AX24" i="140"/>
  <c r="AX29" i="140"/>
  <c r="L185" i="140"/>
  <c r="L248" i="140" s="1"/>
  <c r="AI248" i="140" s="1"/>
  <c r="AY119" i="140"/>
  <c r="AW22" i="140"/>
  <c r="AY33" i="140"/>
  <c r="AW31" i="140"/>
  <c r="AQ31" i="140"/>
  <c r="AV31" i="140"/>
  <c r="BB31" i="140"/>
  <c r="BB16" i="140"/>
  <c r="AX17" i="140"/>
  <c r="M5" i="140"/>
  <c r="L5" i="140"/>
  <c r="BB36" i="140"/>
  <c r="AX20" i="140"/>
  <c r="M4" i="140"/>
  <c r="M146" i="140"/>
  <c r="L146" i="140"/>
  <c r="S262" i="140"/>
  <c r="F254" i="140"/>
  <c r="M191" i="140"/>
  <c r="L191" i="140"/>
  <c r="J254" i="140"/>
  <c r="AT242" i="140" s="1"/>
  <c r="N191" i="140"/>
  <c r="I249" i="140"/>
  <c r="AG249" i="140" s="1"/>
  <c r="K186" i="140"/>
  <c r="K249" i="140" s="1"/>
  <c r="AH249" i="140" s="1"/>
  <c r="I147" i="140"/>
  <c r="AS147" i="140" s="1"/>
  <c r="K145" i="140"/>
  <c r="I253" i="140"/>
  <c r="K190" i="140"/>
  <c r="K146" i="140"/>
  <c r="BA178" i="140"/>
  <c r="R178" i="140"/>
  <c r="AV131" i="140"/>
  <c r="AQ131" i="140"/>
  <c r="AW131" i="140"/>
  <c r="AX130" i="140"/>
  <c r="L172" i="140"/>
  <c r="AI172" i="140" s="1"/>
  <c r="M172" i="140"/>
  <c r="M182" i="140"/>
  <c r="L182" i="140"/>
  <c r="AI182" i="140" s="1"/>
  <c r="AP182" i="140"/>
  <c r="AY120" i="140"/>
  <c r="AQ120" i="140"/>
  <c r="O174" i="140"/>
  <c r="AK174" i="140" s="1"/>
  <c r="AY113" i="140"/>
  <c r="BA180" i="140"/>
  <c r="R180" i="140"/>
  <c r="K183" i="140"/>
  <c r="AH183" i="140" s="1"/>
  <c r="K177" i="140"/>
  <c r="AH177" i="140" s="1"/>
  <c r="BB119" i="140"/>
  <c r="AY131" i="140"/>
  <c r="R174" i="140"/>
  <c r="R179" i="140"/>
  <c r="BA179" i="140"/>
  <c r="R173" i="140"/>
  <c r="BB121" i="140"/>
  <c r="O172" i="140"/>
  <c r="AK172" i="140" s="1"/>
  <c r="F253" i="140"/>
  <c r="L190" i="140"/>
  <c r="M190" i="140"/>
  <c r="S147" i="140"/>
  <c r="J147" i="140"/>
  <c r="AT147" i="140" s="1"/>
  <c r="N145" i="140"/>
  <c r="G144" i="140"/>
  <c r="AQ144" i="140" s="1"/>
  <c r="J262" i="140"/>
  <c r="N260" i="140"/>
  <c r="S254" i="140"/>
  <c r="O146" i="140"/>
  <c r="S259" i="140"/>
  <c r="S207" i="140"/>
  <c r="G260" i="140"/>
  <c r="L260" i="140"/>
  <c r="M260" i="140"/>
  <c r="I258" i="140"/>
  <c r="K198" i="140"/>
  <c r="O180" i="140"/>
  <c r="AK180" i="140" s="1"/>
  <c r="BB125" i="140"/>
  <c r="AV130" i="140"/>
  <c r="N174" i="140"/>
  <c r="AJ174" i="140" s="1"/>
  <c r="BA242" i="140"/>
  <c r="T78" i="140"/>
  <c r="AT182" i="140"/>
  <c r="N182" i="140"/>
  <c r="AJ182" i="140" s="1"/>
  <c r="R183" i="140"/>
  <c r="K178" i="140"/>
  <c r="AH178" i="140" s="1"/>
  <c r="AS178" i="140"/>
  <c r="AU178" i="140" s="1"/>
  <c r="K174" i="140"/>
  <c r="AH174" i="140" s="1"/>
  <c r="I161" i="140"/>
  <c r="R146" i="140"/>
  <c r="S258" i="140"/>
  <c r="S206" i="140"/>
  <c r="O145" i="140"/>
  <c r="P147" i="140"/>
  <c r="AZ147" i="140" s="1"/>
  <c r="AQ133" i="140"/>
  <c r="AW133" i="140"/>
  <c r="AV133" i="140"/>
  <c r="BA241" i="140"/>
  <c r="G146" i="140"/>
  <c r="T146" i="140" s="1"/>
  <c r="AZ182" i="140"/>
  <c r="O182" i="140"/>
  <c r="AK182" i="140" s="1"/>
  <c r="AZ178" i="140"/>
  <c r="O178" i="140"/>
  <c r="AK178" i="140" s="1"/>
  <c r="M174" i="140"/>
  <c r="L174" i="140"/>
  <c r="AI174" i="140" s="1"/>
  <c r="L176" i="140"/>
  <c r="AI176" i="140" s="1"/>
  <c r="M176" i="140"/>
  <c r="F259" i="140"/>
  <c r="M199" i="140"/>
  <c r="L199" i="140"/>
  <c r="F207" i="140"/>
  <c r="O260" i="140"/>
  <c r="P262" i="140"/>
  <c r="P253" i="140"/>
  <c r="AZ241" i="140" s="1"/>
  <c r="O190" i="140"/>
  <c r="AQ121" i="140"/>
  <c r="AW121" i="140"/>
  <c r="AV121" i="140"/>
  <c r="N177" i="140"/>
  <c r="AJ177" i="140" s="1"/>
  <c r="R260" i="140"/>
  <c r="J259" i="140"/>
  <c r="J207" i="140"/>
  <c r="N199" i="140"/>
  <c r="T204" i="140"/>
  <c r="N146" i="140"/>
  <c r="AQ129" i="140"/>
  <c r="AW129" i="140"/>
  <c r="AV129" i="140"/>
  <c r="AQ117" i="140"/>
  <c r="AW117" i="140"/>
  <c r="AV117" i="140"/>
  <c r="AX131" i="140"/>
  <c r="AP179" i="140"/>
  <c r="M179" i="140"/>
  <c r="L179" i="140"/>
  <c r="AI179" i="140" s="1"/>
  <c r="F161" i="140"/>
  <c r="F51" i="140"/>
  <c r="N172" i="140"/>
  <c r="AJ172" i="140" s="1"/>
  <c r="AS179" i="140"/>
  <c r="AU179" i="140" s="1"/>
  <c r="K179" i="140"/>
  <c r="AH179" i="140" s="1"/>
  <c r="Q161" i="140"/>
  <c r="AT180" i="140"/>
  <c r="N180" i="140"/>
  <c r="AJ180" i="140" s="1"/>
  <c r="Q247" i="140"/>
  <c r="I127" i="140"/>
  <c r="K181" i="140"/>
  <c r="AH181" i="140" s="1"/>
  <c r="AS181" i="140"/>
  <c r="AU181" i="140" s="1"/>
  <c r="K172" i="140"/>
  <c r="AH172" i="140" s="1"/>
  <c r="L145" i="140"/>
  <c r="F147" i="140"/>
  <c r="AP147" i="140" s="1"/>
  <c r="M145" i="140"/>
  <c r="P259" i="140"/>
  <c r="P207" i="140"/>
  <c r="O199" i="140"/>
  <c r="AQ113" i="140"/>
  <c r="AW113" i="140"/>
  <c r="AV113" i="140"/>
  <c r="AP181" i="140"/>
  <c r="M181" i="140"/>
  <c r="L181" i="140"/>
  <c r="AI181" i="140" s="1"/>
  <c r="Q254" i="140"/>
  <c r="R191" i="140"/>
  <c r="AV119" i="140"/>
  <c r="AW119" i="140"/>
  <c r="AQ119" i="140"/>
  <c r="O183" i="140"/>
  <c r="AK183" i="140" s="1"/>
  <c r="G180" i="140"/>
  <c r="G243" i="140" s="1"/>
  <c r="T69" i="140"/>
  <c r="G175" i="140"/>
  <c r="G238" i="140" s="1"/>
  <c r="R172" i="140"/>
  <c r="N176" i="140"/>
  <c r="AJ176" i="140" s="1"/>
  <c r="BA182" i="140"/>
  <c r="R182" i="140"/>
  <c r="O177" i="140"/>
  <c r="AK177" i="140" s="1"/>
  <c r="G173" i="140"/>
  <c r="G236" i="140" s="1"/>
  <c r="J258" i="140"/>
  <c r="N198" i="140"/>
  <c r="Q258" i="140"/>
  <c r="R198" i="140"/>
  <c r="P258" i="140"/>
  <c r="O198" i="140"/>
  <c r="I254" i="140"/>
  <c r="K191" i="140"/>
  <c r="AQ125" i="140"/>
  <c r="AW125" i="140"/>
  <c r="AV125" i="140"/>
  <c r="J249" i="140"/>
  <c r="N186" i="140"/>
  <c r="N249" i="140" s="1"/>
  <c r="AJ249" i="140" s="1"/>
  <c r="AY125" i="140"/>
  <c r="P247" i="140"/>
  <c r="AZ248" i="140" s="1"/>
  <c r="AZ181" i="140"/>
  <c r="O181" i="140"/>
  <c r="AK181" i="140" s="1"/>
  <c r="L180" i="140"/>
  <c r="AI180" i="140" s="1"/>
  <c r="M180" i="140"/>
  <c r="AP180" i="140"/>
  <c r="M175" i="140"/>
  <c r="L175" i="140"/>
  <c r="AI175" i="140" s="1"/>
  <c r="M183" i="140"/>
  <c r="L183" i="140"/>
  <c r="AI183" i="140" s="1"/>
  <c r="M178" i="140"/>
  <c r="L178" i="140"/>
  <c r="AI178" i="140" s="1"/>
  <c r="AP178" i="140"/>
  <c r="N178" i="140"/>
  <c r="AJ178" i="140" s="1"/>
  <c r="AT178" i="140"/>
  <c r="S247" i="140"/>
  <c r="N179" i="140"/>
  <c r="AJ179" i="140" s="1"/>
  <c r="AT179" i="140"/>
  <c r="AS180" i="140"/>
  <c r="AU180" i="140" s="1"/>
  <c r="K180" i="140"/>
  <c r="AH180" i="140" s="1"/>
  <c r="O261" i="140"/>
  <c r="P254" i="140"/>
  <c r="O191" i="140"/>
  <c r="M261" i="140"/>
  <c r="G261" i="140"/>
  <c r="T261" i="140" s="1"/>
  <c r="S253" i="140"/>
  <c r="Q259" i="140"/>
  <c r="Q207" i="140"/>
  <c r="R199" i="140"/>
  <c r="F258" i="140"/>
  <c r="M198" i="140"/>
  <c r="L198" i="140"/>
  <c r="J253" i="140"/>
  <c r="N190" i="140"/>
  <c r="O179" i="140"/>
  <c r="AK179" i="140" s="1"/>
  <c r="AZ179" i="140"/>
  <c r="M173" i="140"/>
  <c r="L173" i="140"/>
  <c r="AI173" i="140" s="1"/>
  <c r="BB133" i="140"/>
  <c r="G177" i="140"/>
  <c r="G240" i="140" s="1"/>
  <c r="T66" i="140"/>
  <c r="O173" i="140"/>
  <c r="AK173" i="140" s="1"/>
  <c r="N175" i="140"/>
  <c r="AJ175" i="140" s="1"/>
  <c r="AT175" i="140"/>
  <c r="R177" i="140"/>
  <c r="O175" i="140"/>
  <c r="AK175" i="140" s="1"/>
  <c r="AZ175" i="140"/>
  <c r="BB129" i="140"/>
  <c r="N183" i="140"/>
  <c r="AJ183" i="140" s="1"/>
  <c r="P161" i="140"/>
  <c r="AV132" i="140"/>
  <c r="R181" i="140"/>
  <c r="BA181" i="140"/>
  <c r="R176" i="140"/>
  <c r="K182" i="140"/>
  <c r="AH182" i="140" s="1"/>
  <c r="AS182" i="140"/>
  <c r="AU182" i="140" s="1"/>
  <c r="K176" i="140"/>
  <c r="AH176" i="140" s="1"/>
  <c r="K173" i="140"/>
  <c r="AH173" i="140" s="1"/>
  <c r="T118" i="140"/>
  <c r="Q147" i="140"/>
  <c r="BA147" i="140" s="1"/>
  <c r="R145" i="140"/>
  <c r="R124" i="140"/>
  <c r="I259" i="140"/>
  <c r="I207" i="140"/>
  <c r="K199" i="140"/>
  <c r="Q261" i="140"/>
  <c r="R204" i="140"/>
  <c r="BA204" i="140"/>
  <c r="I248" i="140"/>
  <c r="K185" i="140"/>
  <c r="K248" i="140" s="1"/>
  <c r="AH248" i="140" s="1"/>
  <c r="I261" i="140"/>
  <c r="K204" i="140"/>
  <c r="AU119" i="140"/>
  <c r="AX119" i="140"/>
  <c r="AZ242" i="140"/>
  <c r="Q253" i="140"/>
  <c r="R190" i="140"/>
  <c r="F127" i="140"/>
  <c r="O176" i="140"/>
  <c r="AK176" i="140" s="1"/>
  <c r="G172" i="140"/>
  <c r="G235" i="140" s="1"/>
  <c r="T61" i="140"/>
  <c r="M177" i="140"/>
  <c r="L177" i="140"/>
  <c r="AI177" i="140" s="1"/>
  <c r="R175" i="140"/>
  <c r="N173" i="140"/>
  <c r="AJ173" i="140" s="1"/>
  <c r="J247" i="140"/>
  <c r="AT248" i="140" s="1"/>
  <c r="AT246" i="140"/>
  <c r="AT181" i="140"/>
  <c r="N181" i="140"/>
  <c r="AJ181" i="140" s="1"/>
  <c r="K175" i="140"/>
  <c r="AH175" i="140" s="1"/>
  <c r="BB170" i="140" l="1"/>
  <c r="BB163" i="140"/>
  <c r="AY204" i="140"/>
  <c r="AW204" i="140"/>
  <c r="AQ204" i="140"/>
  <c r="BF229" i="140"/>
  <c r="BF236" i="140"/>
  <c r="BK223" i="140"/>
  <c r="BK235" i="140"/>
  <c r="BF223" i="140"/>
  <c r="BF235" i="140"/>
  <c r="W250" i="140"/>
  <c r="BE235" i="140"/>
  <c r="BB204" i="140"/>
  <c r="BC223" i="140"/>
  <c r="BC235" i="140"/>
  <c r="AY170" i="140"/>
  <c r="M192" i="140"/>
  <c r="AU103" i="140"/>
  <c r="BA246" i="140"/>
  <c r="AZ126" i="140"/>
  <c r="AZ114" i="140"/>
  <c r="AP127" i="140"/>
  <c r="AP115" i="140"/>
  <c r="AT241" i="140"/>
  <c r="BE238" i="140"/>
  <c r="AS126" i="140"/>
  <c r="AS114" i="140"/>
  <c r="AZ246" i="140"/>
  <c r="AR126" i="140"/>
  <c r="AR114" i="140"/>
  <c r="AP226" i="140"/>
  <c r="BB226" i="140" s="1"/>
  <c r="AS127" i="140"/>
  <c r="AS115" i="140"/>
  <c r="BA126" i="140"/>
  <c r="P135" i="140"/>
  <c r="AZ135" i="140" s="1"/>
  <c r="AZ127" i="140"/>
  <c r="AV163" i="140"/>
  <c r="AW163" i="140"/>
  <c r="AQ163" i="140"/>
  <c r="J135" i="140"/>
  <c r="AT135" i="140" s="1"/>
  <c r="AT127" i="140"/>
  <c r="J134" i="140"/>
  <c r="AT122" i="140" s="1"/>
  <c r="AT126" i="140"/>
  <c r="AX163" i="140"/>
  <c r="F134" i="140"/>
  <c r="AP122" i="140" s="1"/>
  <c r="AP126" i="140"/>
  <c r="N238" i="140"/>
  <c r="AJ238" i="140" s="1"/>
  <c r="AS226" i="140"/>
  <c r="AU226" i="140" s="1"/>
  <c r="AR248" i="140"/>
  <c r="H135" i="140"/>
  <c r="AR127" i="140"/>
  <c r="AY163" i="140"/>
  <c r="Q135" i="140"/>
  <c r="BA135" i="140" s="1"/>
  <c r="BA127" i="140"/>
  <c r="AZ82" i="140"/>
  <c r="AX170" i="140"/>
  <c r="AQ170" i="140"/>
  <c r="AW170" i="140"/>
  <c r="AV170" i="140"/>
  <c r="AU53" i="140"/>
  <c r="BB103" i="140"/>
  <c r="AZ54" i="140"/>
  <c r="AZ53" i="140"/>
  <c r="AP54" i="140"/>
  <c r="AP53" i="140"/>
  <c r="AX53" i="140"/>
  <c r="AW103" i="140"/>
  <c r="AV103" i="140"/>
  <c r="AQ103" i="140"/>
  <c r="AX103" i="140"/>
  <c r="BA54" i="140"/>
  <c r="BB54" i="140" s="1"/>
  <c r="BA53" i="140"/>
  <c r="BB53" i="140" s="1"/>
  <c r="AY103" i="140"/>
  <c r="AT106" i="140"/>
  <c r="AT104" i="140"/>
  <c r="AR106" i="140"/>
  <c r="AR104" i="140"/>
  <c r="AZ106" i="140"/>
  <c r="AZ104" i="140"/>
  <c r="AS106" i="140"/>
  <c r="AS104" i="140"/>
  <c r="AS55" i="140"/>
  <c r="AS54" i="140"/>
  <c r="BA106" i="140"/>
  <c r="BA104" i="140"/>
  <c r="AR55" i="140"/>
  <c r="AR54" i="140"/>
  <c r="AT55" i="140"/>
  <c r="AT54" i="140"/>
  <c r="AP106" i="140"/>
  <c r="AP104" i="140"/>
  <c r="K29" i="138"/>
  <c r="M29" i="138" s="1"/>
  <c r="J68" i="125"/>
  <c r="P65" i="125"/>
  <c r="P66" i="125"/>
  <c r="K68" i="125"/>
  <c r="N66" i="125"/>
  <c r="N65" i="125"/>
  <c r="O65" i="125"/>
  <c r="U65" i="125" s="1"/>
  <c r="O66" i="125"/>
  <c r="R66" i="125"/>
  <c r="R65" i="125"/>
  <c r="Q87" i="125"/>
  <c r="T87" i="125" s="1"/>
  <c r="K89" i="125"/>
  <c r="T67" i="125"/>
  <c r="R186" i="140"/>
  <c r="R249" i="140" s="1"/>
  <c r="AZ56" i="140"/>
  <c r="AZ55" i="140"/>
  <c r="BA105" i="140"/>
  <c r="AR105" i="140"/>
  <c r="AS105" i="140"/>
  <c r="AT105" i="140"/>
  <c r="AP56" i="140"/>
  <c r="AP55" i="140"/>
  <c r="AZ105" i="140"/>
  <c r="BA56" i="140"/>
  <c r="BA55" i="140"/>
  <c r="AP105" i="140"/>
  <c r="S126" i="140"/>
  <c r="S134" i="140" s="1"/>
  <c r="S185" i="140"/>
  <c r="S248" i="140" s="1"/>
  <c r="G192" i="140"/>
  <c r="T89" i="140"/>
  <c r="T91" i="140" s="1"/>
  <c r="G91" i="140"/>
  <c r="AQ91" i="140" s="1"/>
  <c r="N200" i="140"/>
  <c r="AR249" i="140"/>
  <c r="BE233" i="140"/>
  <c r="BE229" i="140"/>
  <c r="P224" i="140"/>
  <c r="P251" i="140" s="1"/>
  <c r="BD233" i="140"/>
  <c r="BD229" i="140"/>
  <c r="J188" i="140"/>
  <c r="Q224" i="140"/>
  <c r="BC233" i="140"/>
  <c r="BC229" i="140"/>
  <c r="BK233" i="140"/>
  <c r="BK229" i="140"/>
  <c r="T205" i="140"/>
  <c r="AR57" i="140"/>
  <c r="AR56" i="140"/>
  <c r="AS57" i="140"/>
  <c r="AS56" i="140"/>
  <c r="AT57" i="140"/>
  <c r="AT56" i="140"/>
  <c r="U89" i="125"/>
  <c r="S87" i="125"/>
  <c r="R86" i="125"/>
  <c r="U86" i="125" s="1"/>
  <c r="R87" i="125"/>
  <c r="U87" i="125" s="1"/>
  <c r="U85" i="125"/>
  <c r="L89" i="125"/>
  <c r="G223" i="140"/>
  <c r="AE223" i="140" s="1"/>
  <c r="T262" i="140"/>
  <c r="H262" i="140"/>
  <c r="N242" i="140"/>
  <c r="AJ242" i="140" s="1"/>
  <c r="T123" i="140"/>
  <c r="BA6" i="140"/>
  <c r="U251" i="140"/>
  <c r="BA108" i="140"/>
  <c r="BA107" i="140"/>
  <c r="BA58" i="140"/>
  <c r="BA57" i="140"/>
  <c r="AR108" i="140"/>
  <c r="AR107" i="140"/>
  <c r="AP108" i="140"/>
  <c r="AP107" i="140"/>
  <c r="AZ108" i="140"/>
  <c r="AZ107" i="140"/>
  <c r="AZ58" i="140"/>
  <c r="AZ57" i="140"/>
  <c r="AS108" i="140"/>
  <c r="AU108" i="140" s="1"/>
  <c r="AS107" i="140"/>
  <c r="AP58" i="140"/>
  <c r="AP57" i="140"/>
  <c r="AT108" i="140"/>
  <c r="AT107" i="140"/>
  <c r="L200" i="140"/>
  <c r="K192" i="140"/>
  <c r="O192" i="140"/>
  <c r="BB203" i="140"/>
  <c r="AW203" i="140"/>
  <c r="AQ203" i="140"/>
  <c r="M200" i="140"/>
  <c r="T200" i="140"/>
  <c r="O200" i="140"/>
  <c r="G200" i="140"/>
  <c r="R200" i="140"/>
  <c r="K200" i="140"/>
  <c r="L192" i="140"/>
  <c r="N192" i="140"/>
  <c r="R192" i="140"/>
  <c r="T190" i="140"/>
  <c r="N262" i="140"/>
  <c r="T73" i="140"/>
  <c r="AR50" i="140"/>
  <c r="AR58" i="140"/>
  <c r="AS50" i="140"/>
  <c r="AS58" i="140"/>
  <c r="AP241" i="140"/>
  <c r="AY241" i="140" s="1"/>
  <c r="AP246" i="140"/>
  <c r="AT50" i="140"/>
  <c r="AT58" i="140"/>
  <c r="BB5" i="140"/>
  <c r="BB4" i="140"/>
  <c r="N28" i="138"/>
  <c r="P28" i="138" s="1"/>
  <c r="AU203" i="140"/>
  <c r="I247" i="140"/>
  <c r="AS248" i="140" s="1"/>
  <c r="AU248" i="140" s="1"/>
  <c r="AP238" i="140"/>
  <c r="X251" i="140"/>
  <c r="BF233" i="140"/>
  <c r="Z224" i="140"/>
  <c r="BH236" i="140" s="1"/>
  <c r="BE223" i="140"/>
  <c r="BD224" i="140"/>
  <c r="BE224" i="140"/>
  <c r="BC224" i="140"/>
  <c r="AR60" i="140"/>
  <c r="AR59" i="140"/>
  <c r="AS60" i="140"/>
  <c r="AS59" i="140"/>
  <c r="AT60" i="140"/>
  <c r="AT59" i="140"/>
  <c r="BF224" i="140"/>
  <c r="BK224" i="140"/>
  <c r="BG161" i="140"/>
  <c r="BA60" i="140"/>
  <c r="BA59" i="140"/>
  <c r="AS246" i="140"/>
  <c r="AX246" i="140" s="1"/>
  <c r="AP60" i="140"/>
  <c r="AP59" i="140"/>
  <c r="AS241" i="140"/>
  <c r="AP242" i="140"/>
  <c r="AW242" i="140" s="1"/>
  <c r="AZ60" i="140"/>
  <c r="AZ59" i="140"/>
  <c r="BI161" i="140"/>
  <c r="BH161" i="140"/>
  <c r="BJ161" i="140"/>
  <c r="P13" i="138"/>
  <c r="V250" i="140"/>
  <c r="BD223" i="140"/>
  <c r="S66" i="125"/>
  <c r="T66" i="125"/>
  <c r="P67" i="125"/>
  <c r="L68" i="125"/>
  <c r="J67" i="125"/>
  <c r="L64" i="125"/>
  <c r="M67" i="125"/>
  <c r="S63" i="125"/>
  <c r="U62" i="125"/>
  <c r="O68" i="125"/>
  <c r="O64" i="125"/>
  <c r="S65" i="125"/>
  <c r="M64" i="125"/>
  <c r="T62" i="125"/>
  <c r="N68" i="125"/>
  <c r="T68" i="125" s="1"/>
  <c r="N64" i="125"/>
  <c r="T64" i="125" s="1"/>
  <c r="T65" i="125"/>
  <c r="M68" i="125"/>
  <c r="R68" i="125"/>
  <c r="R64" i="125"/>
  <c r="R67" i="125"/>
  <c r="P68" i="125"/>
  <c r="P64" i="125"/>
  <c r="O67" i="125"/>
  <c r="U63" i="125"/>
  <c r="G28" i="138"/>
  <c r="H15" i="138"/>
  <c r="H19" i="138"/>
  <c r="H8" i="138"/>
  <c r="H18" i="138"/>
  <c r="H16" i="138"/>
  <c r="H14" i="138"/>
  <c r="H3" i="138"/>
  <c r="H9" i="138"/>
  <c r="H21" i="138"/>
  <c r="H10" i="138"/>
  <c r="H7" i="138"/>
  <c r="H12" i="138"/>
  <c r="H24" i="138"/>
  <c r="H26" i="138"/>
  <c r="H4" i="138"/>
  <c r="H22" i="138"/>
  <c r="H23" i="138"/>
  <c r="H20" i="138"/>
  <c r="H6" i="138"/>
  <c r="H29" i="138"/>
  <c r="H17" i="138"/>
  <c r="H13" i="138"/>
  <c r="H28" i="138"/>
  <c r="H25" i="138"/>
  <c r="H5" i="138"/>
  <c r="R262" i="140"/>
  <c r="AS238" i="140"/>
  <c r="AX99" i="140"/>
  <c r="I224" i="140"/>
  <c r="AG161" i="140"/>
  <c r="H188" i="140"/>
  <c r="AR176" i="140" s="1"/>
  <c r="AF161" i="140"/>
  <c r="BA160" i="140"/>
  <c r="F224" i="140"/>
  <c r="AD161" i="140"/>
  <c r="F247" i="140"/>
  <c r="AP248" i="140" s="1"/>
  <c r="AY248" i="140" s="1"/>
  <c r="M262" i="140"/>
  <c r="F262" i="140"/>
  <c r="O262" i="140"/>
  <c r="AS242" i="140"/>
  <c r="AG223" i="140"/>
  <c r="AU5" i="140"/>
  <c r="AG248" i="140"/>
  <c r="AX5" i="140"/>
  <c r="AB224" i="140"/>
  <c r="BJ236" i="140" s="1"/>
  <c r="V251" i="140"/>
  <c r="AB223" i="140"/>
  <c r="U250" i="140"/>
  <c r="AA224" i="140"/>
  <c r="BI236" i="140" s="1"/>
  <c r="AC251" i="140"/>
  <c r="AA223" i="140"/>
  <c r="AC250" i="140"/>
  <c r="Y224" i="140"/>
  <c r="BG236" i="140" s="1"/>
  <c r="W251" i="140"/>
  <c r="Y223" i="140"/>
  <c r="X250" i="140"/>
  <c r="AY203" i="140"/>
  <c r="AU4" i="140"/>
  <c r="AV5" i="140"/>
  <c r="AW5" i="140"/>
  <c r="AY5" i="140"/>
  <c r="Z223" i="140"/>
  <c r="AR6" i="140"/>
  <c r="AE238" i="140"/>
  <c r="T238" i="140"/>
  <c r="AE241" i="140"/>
  <c r="T241" i="140"/>
  <c r="AE242" i="140"/>
  <c r="T242" i="140"/>
  <c r="T244" i="140"/>
  <c r="AE244" i="140"/>
  <c r="AE240" i="140"/>
  <c r="T240" i="140"/>
  <c r="AE237" i="140"/>
  <c r="T237" i="140"/>
  <c r="AE243" i="140"/>
  <c r="T243" i="140"/>
  <c r="AE235" i="140"/>
  <c r="T235" i="140"/>
  <c r="AE245" i="140"/>
  <c r="T245" i="140"/>
  <c r="AE236" i="140"/>
  <c r="T236" i="140"/>
  <c r="AE239" i="140"/>
  <c r="T239" i="140"/>
  <c r="AE246" i="140"/>
  <c r="T246" i="140"/>
  <c r="L235" i="140"/>
  <c r="AI235" i="140" s="1"/>
  <c r="AD235" i="140"/>
  <c r="M245" i="140"/>
  <c r="AD245" i="140"/>
  <c r="L245" i="140"/>
  <c r="AI245" i="140" s="1"/>
  <c r="AD238" i="140"/>
  <c r="M238" i="140"/>
  <c r="AG239" i="140"/>
  <c r="K239" i="140"/>
  <c r="AH239" i="140" s="1"/>
  <c r="K241" i="140"/>
  <c r="AH241" i="140" s="1"/>
  <c r="AG241" i="140"/>
  <c r="O245" i="140"/>
  <c r="N241" i="140"/>
  <c r="AJ241" i="140" s="1"/>
  <c r="M243" i="140"/>
  <c r="AD243" i="140"/>
  <c r="L243" i="140"/>
  <c r="AI243" i="140" s="1"/>
  <c r="L241" i="140"/>
  <c r="AI241" i="140" s="1"/>
  <c r="AD241" i="140"/>
  <c r="R240" i="140"/>
  <c r="M241" i="140"/>
  <c r="R241" i="140"/>
  <c r="AP223" i="140"/>
  <c r="BB223" i="140" s="1"/>
  <c r="AD223" i="140"/>
  <c r="K235" i="140"/>
  <c r="AH235" i="140" s="1"/>
  <c r="AG235" i="140"/>
  <c r="M237" i="140"/>
  <c r="AD237" i="140"/>
  <c r="L237" i="140"/>
  <c r="AI237" i="140" s="1"/>
  <c r="M240" i="140"/>
  <c r="AD240" i="140"/>
  <c r="L240" i="140"/>
  <c r="AI240" i="140" s="1"/>
  <c r="L246" i="140"/>
  <c r="AI246" i="140" s="1"/>
  <c r="AG246" i="140"/>
  <c r="K246" i="140"/>
  <c r="AH246" i="140" s="1"/>
  <c r="R244" i="140"/>
  <c r="M235" i="140"/>
  <c r="AR223" i="140"/>
  <c r="AR250" i="140" s="1"/>
  <c r="AF223" i="140"/>
  <c r="K243" i="140"/>
  <c r="AH243" i="140" s="1"/>
  <c r="AG243" i="140"/>
  <c r="L239" i="140"/>
  <c r="AI239" i="140" s="1"/>
  <c r="AD239" i="140"/>
  <c r="M239" i="140"/>
  <c r="L242" i="140"/>
  <c r="AI242" i="140" s="1"/>
  <c r="AD242" i="140"/>
  <c r="M242" i="140"/>
  <c r="O235" i="140"/>
  <c r="AK235" i="140" s="1"/>
  <c r="R239" i="140"/>
  <c r="O242" i="140"/>
  <c r="AK242" i="140" s="1"/>
  <c r="M246" i="140"/>
  <c r="AD246" i="140"/>
  <c r="K237" i="140"/>
  <c r="AH237" i="140" s="1"/>
  <c r="AG237" i="140"/>
  <c r="K240" i="140"/>
  <c r="AH240" i="140" s="1"/>
  <c r="AG240" i="140"/>
  <c r="N239" i="140"/>
  <c r="AJ239" i="140" s="1"/>
  <c r="R245" i="140"/>
  <c r="R237" i="140"/>
  <c r="R246" i="140"/>
  <c r="R238" i="140"/>
  <c r="O238" i="140"/>
  <c r="AK238" i="140" s="1"/>
  <c r="M244" i="140"/>
  <c r="AD244" i="140"/>
  <c r="L244" i="140"/>
  <c r="AI244" i="140" s="1"/>
  <c r="L238" i="140"/>
  <c r="AI238" i="140" s="1"/>
  <c r="K238" i="140"/>
  <c r="AH238" i="140" s="1"/>
  <c r="AG238" i="140"/>
  <c r="AE234" i="140"/>
  <c r="T234" i="140"/>
  <c r="K242" i="140"/>
  <c r="AH242" i="140" s="1"/>
  <c r="AG242" i="140"/>
  <c r="N237" i="140"/>
  <c r="AJ237" i="140" s="1"/>
  <c r="N246" i="140"/>
  <c r="AJ246" i="140" s="1"/>
  <c r="R235" i="140"/>
  <c r="K245" i="140"/>
  <c r="AH245" i="140" s="1"/>
  <c r="AG245" i="140"/>
  <c r="K244" i="140"/>
  <c r="AH244" i="140" s="1"/>
  <c r="AG244" i="140"/>
  <c r="P223" i="140"/>
  <c r="AZ223" i="140" s="1"/>
  <c r="O246" i="140"/>
  <c r="AK246" i="140" s="1"/>
  <c r="N245" i="140"/>
  <c r="AJ245" i="140" s="1"/>
  <c r="O241" i="140"/>
  <c r="AK241" i="140" s="1"/>
  <c r="O237" i="140"/>
  <c r="AK237" i="140" s="1"/>
  <c r="N240" i="140"/>
  <c r="AJ240" i="140" s="1"/>
  <c r="K236" i="140"/>
  <c r="AH236" i="140" s="1"/>
  <c r="AG236" i="140"/>
  <c r="L236" i="140"/>
  <c r="AI236" i="140" s="1"/>
  <c r="AD236" i="140"/>
  <c r="M236" i="140"/>
  <c r="O239" i="140"/>
  <c r="AK239" i="140" s="1"/>
  <c r="O236" i="140"/>
  <c r="AK236" i="140" s="1"/>
  <c r="R242" i="140"/>
  <c r="O243" i="140"/>
  <c r="AK243" i="140" s="1"/>
  <c r="T4" i="140"/>
  <c r="J224" i="140"/>
  <c r="J223" i="140"/>
  <c r="M223" i="140" s="1"/>
  <c r="H224" i="140"/>
  <c r="T5" i="140"/>
  <c r="AY137" i="140"/>
  <c r="G187" i="140"/>
  <c r="G195" i="140" s="1"/>
  <c r="AE160" i="140"/>
  <c r="AR160" i="140"/>
  <c r="AF160" i="140"/>
  <c r="AS160" i="140"/>
  <c r="AG160" i="140"/>
  <c r="AX203" i="140"/>
  <c r="AP160" i="140"/>
  <c r="AD160" i="140"/>
  <c r="AV203" i="140"/>
  <c r="BB100" i="140"/>
  <c r="AX100" i="140"/>
  <c r="AZ50" i="140"/>
  <c r="BA50" i="140"/>
  <c r="AP50" i="140"/>
  <c r="AT112" i="140"/>
  <c r="S205" i="140"/>
  <c r="BA112" i="140"/>
  <c r="AS112" i="140"/>
  <c r="AZ112" i="140"/>
  <c r="AR112" i="140"/>
  <c r="AP112" i="140"/>
  <c r="T174" i="140"/>
  <c r="AE174" i="140"/>
  <c r="T178" i="140"/>
  <c r="AE178" i="140"/>
  <c r="T177" i="140"/>
  <c r="AE177" i="140"/>
  <c r="T175" i="140"/>
  <c r="AE175" i="140"/>
  <c r="T172" i="140"/>
  <c r="AE172" i="140"/>
  <c r="T181" i="140"/>
  <c r="AE181" i="140"/>
  <c r="T179" i="140"/>
  <c r="AE179" i="140"/>
  <c r="T183" i="140"/>
  <c r="AE183" i="140"/>
  <c r="T173" i="140"/>
  <c r="AE173" i="140"/>
  <c r="T180" i="140"/>
  <c r="AE180" i="140"/>
  <c r="T176" i="140"/>
  <c r="AE176" i="140"/>
  <c r="T182" i="140"/>
  <c r="AE182" i="140"/>
  <c r="H263" i="140"/>
  <c r="H265" i="140" s="1"/>
  <c r="K260" i="140"/>
  <c r="BB40" i="140"/>
  <c r="AV137" i="140"/>
  <c r="AX137" i="140"/>
  <c r="AU204" i="140"/>
  <c r="AT249" i="140"/>
  <c r="AZ249" i="140"/>
  <c r="BA111" i="140"/>
  <c r="BA110" i="140"/>
  <c r="AS111" i="140"/>
  <c r="AS110" i="140"/>
  <c r="AR111" i="140"/>
  <c r="AR110" i="140"/>
  <c r="AZ111" i="140"/>
  <c r="AZ110" i="140"/>
  <c r="AP111" i="140"/>
  <c r="AP110" i="140"/>
  <c r="AT111" i="140"/>
  <c r="AT110" i="140"/>
  <c r="AY40" i="140"/>
  <c r="T40" i="140"/>
  <c r="AD6" i="140"/>
  <c r="AF6" i="140"/>
  <c r="AG6" i="140"/>
  <c r="AH5" i="140"/>
  <c r="AJ5" i="140"/>
  <c r="AE4" i="140"/>
  <c r="AK5" i="140"/>
  <c r="AE5" i="140"/>
  <c r="AI5" i="140"/>
  <c r="AK4" i="140"/>
  <c r="AB6" i="140"/>
  <c r="AI4" i="140"/>
  <c r="Z6" i="140"/>
  <c r="AH4" i="140"/>
  <c r="Y6" i="140"/>
  <c r="AJ4" i="140"/>
  <c r="AA6" i="140"/>
  <c r="S127" i="140"/>
  <c r="S135" i="140" s="1"/>
  <c r="T125" i="140"/>
  <c r="G207" i="140"/>
  <c r="S162" i="140"/>
  <c r="M134" i="140"/>
  <c r="O126" i="140"/>
  <c r="T50" i="140"/>
  <c r="T51" i="140" s="1"/>
  <c r="N126" i="140"/>
  <c r="M126" i="140"/>
  <c r="L6" i="140"/>
  <c r="AU40" i="140"/>
  <c r="AW40" i="140"/>
  <c r="G247" i="140"/>
  <c r="T124" i="140"/>
  <c r="T82" i="140"/>
  <c r="G6" i="140"/>
  <c r="R101" i="140"/>
  <c r="T88" i="125"/>
  <c r="T85" i="125"/>
  <c r="T89" i="125"/>
  <c r="I28" i="138"/>
  <c r="I20" i="138"/>
  <c r="I7" i="138"/>
  <c r="F29" i="138"/>
  <c r="I18" i="138"/>
  <c r="G29" i="138"/>
  <c r="I24" i="138"/>
  <c r="I8" i="138"/>
  <c r="I15" i="138"/>
  <c r="I14" i="138"/>
  <c r="I19" i="138"/>
  <c r="I12" i="138"/>
  <c r="I6" i="138"/>
  <c r="I16" i="138"/>
  <c r="I3" i="138"/>
  <c r="I26" i="138"/>
  <c r="I9" i="138"/>
  <c r="I21" i="138"/>
  <c r="I10" i="138"/>
  <c r="I23" i="138"/>
  <c r="L51" i="140"/>
  <c r="O82" i="140"/>
  <c r="AT161" i="140"/>
  <c r="S84" i="140"/>
  <c r="K51" i="140"/>
  <c r="I5" i="138"/>
  <c r="I13" i="138"/>
  <c r="I25" i="138"/>
  <c r="I22" i="138"/>
  <c r="I17" i="138"/>
  <c r="P12" i="138"/>
  <c r="I4" i="138"/>
  <c r="I29" i="138"/>
  <c r="O29" i="138"/>
  <c r="I134" i="140"/>
  <c r="AS122" i="140" s="1"/>
  <c r="AV99" i="140"/>
  <c r="J128" i="140"/>
  <c r="N127" i="140"/>
  <c r="AU100" i="140"/>
  <c r="AY100" i="140"/>
  <c r="AQ100" i="140"/>
  <c r="AV100" i="140"/>
  <c r="AW100" i="140"/>
  <c r="AW101" i="140" s="1"/>
  <c r="R82" i="140"/>
  <c r="O6" i="140"/>
  <c r="AY182" i="140"/>
  <c r="R6" i="140"/>
  <c r="K82" i="140"/>
  <c r="N82" i="140"/>
  <c r="F250" i="140"/>
  <c r="L82" i="140"/>
  <c r="T191" i="140"/>
  <c r="J84" i="140"/>
  <c r="AT84" i="140" s="1"/>
  <c r="F84" i="140"/>
  <c r="AP84" i="140" s="1"/>
  <c r="BB182" i="140"/>
  <c r="L147" i="140"/>
  <c r="AV147" i="140" s="1"/>
  <c r="R126" i="140"/>
  <c r="K101" i="140"/>
  <c r="O101" i="140"/>
  <c r="N6" i="140"/>
  <c r="S188" i="140"/>
  <c r="S196" i="140" s="1"/>
  <c r="J162" i="140"/>
  <c r="AT164" i="140" s="1"/>
  <c r="AZ101" i="140"/>
  <c r="R147" i="140"/>
  <c r="BB147" i="140" s="1"/>
  <c r="G101" i="140"/>
  <c r="M101" i="140"/>
  <c r="L126" i="140"/>
  <c r="K126" i="140"/>
  <c r="P134" i="140"/>
  <c r="AZ122" i="140" s="1"/>
  <c r="AP101" i="140"/>
  <c r="Q134" i="140"/>
  <c r="BA122" i="140" s="1"/>
  <c r="BB122" i="140" s="1"/>
  <c r="Q128" i="140"/>
  <c r="AT101" i="140"/>
  <c r="AZ160" i="140"/>
  <c r="F187" i="140"/>
  <c r="O160" i="140"/>
  <c r="AK160" i="140" s="1"/>
  <c r="AT160" i="140"/>
  <c r="M160" i="140"/>
  <c r="M82" i="140"/>
  <c r="F162" i="140"/>
  <c r="AP164" i="140" s="1"/>
  <c r="R160" i="140"/>
  <c r="S225" i="140"/>
  <c r="R223" i="140"/>
  <c r="N161" i="140"/>
  <c r="AJ161" i="140" s="1"/>
  <c r="N101" i="140"/>
  <c r="N160" i="140"/>
  <c r="AJ160" i="140" s="1"/>
  <c r="L101" i="140"/>
  <c r="AY4" i="140"/>
  <c r="R51" i="140"/>
  <c r="T160" i="140"/>
  <c r="AQ40" i="140"/>
  <c r="M51" i="140"/>
  <c r="N51" i="140"/>
  <c r="AX4" i="140"/>
  <c r="K83" i="140"/>
  <c r="AX181" i="140"/>
  <c r="I162" i="140"/>
  <c r="AS164" i="140" s="1"/>
  <c r="N83" i="140"/>
  <c r="L160" i="140"/>
  <c r="AI160" i="140" s="1"/>
  <c r="R83" i="140"/>
  <c r="K160" i="140"/>
  <c r="AH160" i="140" s="1"/>
  <c r="Q162" i="140"/>
  <c r="BA164" i="140" s="1"/>
  <c r="I187" i="140"/>
  <c r="K223" i="140"/>
  <c r="AQ5" i="140"/>
  <c r="I84" i="140"/>
  <c r="AS84" i="140" s="1"/>
  <c r="AQ4" i="140"/>
  <c r="AV4" i="140"/>
  <c r="AW4" i="140"/>
  <c r="G127" i="140"/>
  <c r="BB181" i="140"/>
  <c r="AS223" i="140"/>
  <c r="O83" i="140"/>
  <c r="L223" i="140"/>
  <c r="T101" i="140"/>
  <c r="N147" i="140"/>
  <c r="AX147" i="140" s="1"/>
  <c r="AV40" i="140"/>
  <c r="AY179" i="140"/>
  <c r="O51" i="140"/>
  <c r="O147" i="140"/>
  <c r="AY147" i="140" s="1"/>
  <c r="M6" i="140"/>
  <c r="AX40" i="140"/>
  <c r="M147" i="140"/>
  <c r="AW147" i="140" s="1"/>
  <c r="P128" i="140"/>
  <c r="AP6" i="140"/>
  <c r="AR101" i="140"/>
  <c r="H84" i="140"/>
  <c r="H128" i="140"/>
  <c r="AR116" i="140" s="1"/>
  <c r="H134" i="140"/>
  <c r="AR122" i="140" s="1"/>
  <c r="AX180" i="140"/>
  <c r="G147" i="140"/>
  <c r="AQ147" i="140" s="1"/>
  <c r="AZ6" i="140"/>
  <c r="H187" i="140"/>
  <c r="H162" i="140"/>
  <c r="AR164" i="140" s="1"/>
  <c r="AR161" i="140"/>
  <c r="AS249" i="140"/>
  <c r="K262" i="140"/>
  <c r="AS6" i="140"/>
  <c r="H250" i="140"/>
  <c r="AR238" i="140" s="1"/>
  <c r="K6" i="140"/>
  <c r="AT6" i="140"/>
  <c r="R207" i="140"/>
  <c r="L261" i="140"/>
  <c r="J264" i="140"/>
  <c r="N259" i="140"/>
  <c r="G259" i="140"/>
  <c r="G264" i="140" s="1"/>
  <c r="M259" i="140"/>
  <c r="F264" i="140"/>
  <c r="L259" i="140"/>
  <c r="I188" i="140"/>
  <c r="AS188" i="140" s="1"/>
  <c r="AU188" i="140" s="1"/>
  <c r="AS161" i="140"/>
  <c r="K161" i="140"/>
  <c r="AH161" i="140" s="1"/>
  <c r="S264" i="140"/>
  <c r="K253" i="140"/>
  <c r="G254" i="140"/>
  <c r="T254" i="140" s="1"/>
  <c r="M254" i="140"/>
  <c r="L254" i="140"/>
  <c r="I264" i="140"/>
  <c r="K259" i="140"/>
  <c r="P188" i="140"/>
  <c r="AZ161" i="140"/>
  <c r="O161" i="140"/>
  <c r="AK161" i="140" s="1"/>
  <c r="O259" i="140"/>
  <c r="P264" i="140"/>
  <c r="Q264" i="140"/>
  <c r="R259" i="140"/>
  <c r="P162" i="140"/>
  <c r="AZ164" i="140" s="1"/>
  <c r="AS101" i="140"/>
  <c r="Q248" i="140"/>
  <c r="R185" i="140"/>
  <c r="R248" i="140" s="1"/>
  <c r="Q187" i="140"/>
  <c r="BA187" i="140" s="1"/>
  <c r="AW178" i="140"/>
  <c r="AV178" i="140"/>
  <c r="AQ178" i="140"/>
  <c r="Q263" i="140"/>
  <c r="R258" i="140"/>
  <c r="F135" i="140"/>
  <c r="AP135" i="140" s="1"/>
  <c r="L127" i="140"/>
  <c r="M127" i="140"/>
  <c r="R127" i="140"/>
  <c r="F128" i="140"/>
  <c r="O127" i="140"/>
  <c r="AX179" i="140"/>
  <c r="AX178" i="140"/>
  <c r="Q84" i="140"/>
  <c r="BA84" i="140" s="1"/>
  <c r="AY181" i="140"/>
  <c r="O258" i="140"/>
  <c r="P263" i="140"/>
  <c r="I128" i="140"/>
  <c r="R254" i="140"/>
  <c r="Q262" i="140"/>
  <c r="G262" i="140"/>
  <c r="BB180" i="140"/>
  <c r="T260" i="140"/>
  <c r="P195" i="140"/>
  <c r="G161" i="140"/>
  <c r="T83" i="140"/>
  <c r="G51" i="140"/>
  <c r="AQ50" i="140" s="1"/>
  <c r="P84" i="140"/>
  <c r="AZ84" i="140" s="1"/>
  <c r="O253" i="140"/>
  <c r="L262" i="140"/>
  <c r="T147" i="140"/>
  <c r="K147" i="140"/>
  <c r="AU147" i="140" s="1"/>
  <c r="N254" i="140"/>
  <c r="I262" i="140"/>
  <c r="K254" i="140"/>
  <c r="M83" i="140"/>
  <c r="L83" i="140"/>
  <c r="S249" i="140"/>
  <c r="T186" i="140"/>
  <c r="N261" i="140"/>
  <c r="I250" i="140"/>
  <c r="Q188" i="140"/>
  <c r="BA188" i="140" s="1"/>
  <c r="BA161" i="140"/>
  <c r="R161" i="140"/>
  <c r="I263" i="140"/>
  <c r="K258" i="140"/>
  <c r="O254" i="140"/>
  <c r="AV180" i="140"/>
  <c r="AQ180" i="140"/>
  <c r="AW180" i="140"/>
  <c r="N258" i="140"/>
  <c r="J263" i="140"/>
  <c r="AW181" i="140"/>
  <c r="AV181" i="140"/>
  <c r="AQ181" i="140"/>
  <c r="BA101" i="140"/>
  <c r="O207" i="140"/>
  <c r="I135" i="140"/>
  <c r="AS135" i="140" s="1"/>
  <c r="AU135" i="140" s="1"/>
  <c r="K127" i="140"/>
  <c r="M207" i="140"/>
  <c r="L207" i="140"/>
  <c r="AW182" i="140"/>
  <c r="AV182" i="140"/>
  <c r="AQ182" i="140"/>
  <c r="J195" i="140"/>
  <c r="K207" i="140"/>
  <c r="T126" i="140"/>
  <c r="G258" i="140"/>
  <c r="G263" i="140" s="1"/>
  <c r="M258" i="140"/>
  <c r="F263" i="140"/>
  <c r="L258" i="140"/>
  <c r="R253" i="140"/>
  <c r="K261" i="140"/>
  <c r="R261" i="140"/>
  <c r="N253" i="140"/>
  <c r="S208" i="140"/>
  <c r="AX204" i="140"/>
  <c r="F188" i="140"/>
  <c r="AP188" i="140" s="1"/>
  <c r="M161" i="140"/>
  <c r="L161" i="140"/>
  <c r="AI161" i="140" s="1"/>
  <c r="AP161" i="140"/>
  <c r="AQ179" i="140"/>
  <c r="AW179" i="140"/>
  <c r="AV179" i="140"/>
  <c r="N207" i="140"/>
  <c r="AV204" i="140"/>
  <c r="AY178" i="140"/>
  <c r="S263" i="140"/>
  <c r="AX182" i="140"/>
  <c r="AY180" i="140"/>
  <c r="G253" i="140"/>
  <c r="T253" i="140" s="1"/>
  <c r="M253" i="140"/>
  <c r="L253" i="140"/>
  <c r="BB179" i="140"/>
  <c r="BB178" i="140"/>
  <c r="AS116" i="140" l="1"/>
  <c r="AS128" i="140"/>
  <c r="AP116" i="140"/>
  <c r="AP128" i="140"/>
  <c r="AZ116" i="140"/>
  <c r="AZ128" i="140"/>
  <c r="AP175" i="140"/>
  <c r="AW175" i="140" s="1"/>
  <c r="AP187" i="140"/>
  <c r="BB187" i="140" s="1"/>
  <c r="BB135" i="140"/>
  <c r="AT116" i="140"/>
  <c r="AT128" i="140"/>
  <c r="AT176" i="140"/>
  <c r="AT188" i="140"/>
  <c r="AX188" i="140" s="1"/>
  <c r="AY135" i="140"/>
  <c r="AZ176" i="140"/>
  <c r="AZ188" i="140"/>
  <c r="AY188" i="140" s="1"/>
  <c r="BA116" i="140"/>
  <c r="BA128" i="140"/>
  <c r="AS175" i="140"/>
  <c r="AX175" i="140" s="1"/>
  <c r="AS187" i="140"/>
  <c r="AW188" i="140"/>
  <c r="AQ188" i="140"/>
  <c r="AV188" i="140"/>
  <c r="AX135" i="140"/>
  <c r="AQ135" i="140"/>
  <c r="AV135" i="140"/>
  <c r="AW135" i="140"/>
  <c r="BB188" i="140"/>
  <c r="AY122" i="140"/>
  <c r="AQ175" i="140"/>
  <c r="BB127" i="140"/>
  <c r="AX126" i="140"/>
  <c r="J136" i="140"/>
  <c r="AU127" i="140"/>
  <c r="AV127" i="140"/>
  <c r="BG223" i="140"/>
  <c r="BG235" i="140"/>
  <c r="AX127" i="140"/>
  <c r="BI223" i="140"/>
  <c r="BI235" i="140"/>
  <c r="BJ223" i="140"/>
  <c r="BJ235" i="140"/>
  <c r="BH223" i="140"/>
  <c r="BH235" i="140"/>
  <c r="AW226" i="140"/>
  <c r="AY226" i="140"/>
  <c r="AQ226" i="140"/>
  <c r="AV226" i="140"/>
  <c r="AU126" i="140"/>
  <c r="AZ239" i="140"/>
  <c r="AV115" i="140"/>
  <c r="AQ115" i="140"/>
  <c r="AW115" i="140"/>
  <c r="AP176" i="140"/>
  <c r="AX116" i="140"/>
  <c r="AU114" i="140"/>
  <c r="AV114" i="140"/>
  <c r="AT183" i="140"/>
  <c r="BK238" i="140"/>
  <c r="BK239" i="140"/>
  <c r="AU238" i="140"/>
  <c r="AQ246" i="140"/>
  <c r="AW122" i="140"/>
  <c r="AV122" i="140"/>
  <c r="AQ122" i="140"/>
  <c r="AY114" i="140"/>
  <c r="AQ114" i="140"/>
  <c r="BA176" i="140"/>
  <c r="AU116" i="140"/>
  <c r="AV175" i="140"/>
  <c r="BC239" i="140"/>
  <c r="AU115" i="140"/>
  <c r="AX115" i="140"/>
  <c r="BD238" i="140"/>
  <c r="BA175" i="140"/>
  <c r="BB175" i="140" s="1"/>
  <c r="AU122" i="140"/>
  <c r="BF238" i="140"/>
  <c r="BC238" i="140"/>
  <c r="AZ183" i="140"/>
  <c r="AY116" i="140"/>
  <c r="BB116" i="140"/>
  <c r="BF239" i="140"/>
  <c r="AX114" i="140"/>
  <c r="AV116" i="140"/>
  <c r="AW116" i="140"/>
  <c r="AQ116" i="140"/>
  <c r="AR175" i="140"/>
  <c r="AU175" i="140" s="1"/>
  <c r="BE239" i="140"/>
  <c r="BD239" i="140"/>
  <c r="AY127" i="140"/>
  <c r="AY115" i="140"/>
  <c r="AS176" i="140"/>
  <c r="AX122" i="140"/>
  <c r="BB115" i="140"/>
  <c r="AZ134" i="140"/>
  <c r="M187" i="140"/>
  <c r="AT146" i="140"/>
  <c r="AT134" i="140"/>
  <c r="AQ127" i="140"/>
  <c r="H196" i="140"/>
  <c r="AW126" i="140"/>
  <c r="AQ126" i="140"/>
  <c r="AV126" i="140"/>
  <c r="BB126" i="140"/>
  <c r="AP146" i="140"/>
  <c r="AP134" i="140"/>
  <c r="L134" i="140"/>
  <c r="AS134" i="140"/>
  <c r="P189" i="140"/>
  <c r="J189" i="140"/>
  <c r="I195" i="140"/>
  <c r="N195" i="140" s="1"/>
  <c r="BA249" i="140"/>
  <c r="AW127" i="140"/>
  <c r="AF250" i="140"/>
  <c r="BA146" i="140"/>
  <c r="BA134" i="140"/>
  <c r="AR146" i="140"/>
  <c r="AR134" i="140"/>
  <c r="AX226" i="140"/>
  <c r="AY126" i="140"/>
  <c r="AU164" i="140"/>
  <c r="AQ54" i="140"/>
  <c r="BB164" i="140"/>
  <c r="AY164" i="140"/>
  <c r="AY54" i="140"/>
  <c r="AQ53" i="140"/>
  <c r="AV53" i="140"/>
  <c r="AW53" i="140"/>
  <c r="AW164" i="140"/>
  <c r="AV164" i="140"/>
  <c r="AQ164" i="140"/>
  <c r="AY53" i="140"/>
  <c r="AX164" i="140"/>
  <c r="U66" i="125"/>
  <c r="N29" i="138"/>
  <c r="BB106" i="140"/>
  <c r="AX55" i="140"/>
  <c r="AQ106" i="140"/>
  <c r="AY106" i="140"/>
  <c r="J196" i="140"/>
  <c r="AU104" i="140"/>
  <c r="AU106" i="140"/>
  <c r="AW106" i="140"/>
  <c r="AX106" i="140"/>
  <c r="AU54" i="140"/>
  <c r="AU55" i="140"/>
  <c r="AV106" i="140"/>
  <c r="BB104" i="140"/>
  <c r="AX54" i="140"/>
  <c r="AR167" i="140"/>
  <c r="AR165" i="140"/>
  <c r="AP167" i="140"/>
  <c r="AP165" i="140"/>
  <c r="AT167" i="140"/>
  <c r="AT165" i="140"/>
  <c r="BA167" i="140"/>
  <c r="BA165" i="140"/>
  <c r="AY104" i="140"/>
  <c r="AW104" i="140"/>
  <c r="AV104" i="140"/>
  <c r="AQ104" i="140"/>
  <c r="AV54" i="140"/>
  <c r="AS167" i="140"/>
  <c r="AS165" i="140"/>
  <c r="AW54" i="140"/>
  <c r="AZ167" i="140"/>
  <c r="AZ165" i="140"/>
  <c r="AX104" i="140"/>
  <c r="BB55" i="140"/>
  <c r="BB56" i="140"/>
  <c r="AX105" i="140"/>
  <c r="AQ56" i="140"/>
  <c r="AU105" i="140"/>
  <c r="AU57" i="140"/>
  <c r="AW105" i="140"/>
  <c r="AV105" i="140"/>
  <c r="AQ105" i="140"/>
  <c r="AQ55" i="140"/>
  <c r="AV55" i="140"/>
  <c r="AW55" i="140"/>
  <c r="AT166" i="140"/>
  <c r="AW56" i="140"/>
  <c r="AY56" i="140"/>
  <c r="BH224" i="140"/>
  <c r="AR166" i="140"/>
  <c r="AY105" i="140"/>
  <c r="AZ166" i="140"/>
  <c r="BB105" i="140"/>
  <c r="AS166" i="140"/>
  <c r="AY55" i="140"/>
  <c r="BA166" i="140"/>
  <c r="AP166" i="140"/>
  <c r="Q225" i="140"/>
  <c r="BA227" i="140" s="1"/>
  <c r="BA224" i="140"/>
  <c r="BA225" i="140" s="1"/>
  <c r="Q251" i="140"/>
  <c r="BA239" i="140" s="1"/>
  <c r="M89" i="140"/>
  <c r="M91" i="140" s="1"/>
  <c r="AW91" i="140" s="1"/>
  <c r="O89" i="140"/>
  <c r="O91" i="140" s="1"/>
  <c r="AY91" i="140" s="1"/>
  <c r="R89" i="140"/>
  <c r="R91" i="140" s="1"/>
  <c r="BB91" i="140" s="1"/>
  <c r="L89" i="140"/>
  <c r="L91" i="140" s="1"/>
  <c r="AV91" i="140" s="1"/>
  <c r="AG224" i="140"/>
  <c r="BI233" i="140"/>
  <c r="BI229" i="140"/>
  <c r="AP249" i="140"/>
  <c r="AY249" i="140" s="1"/>
  <c r="AD224" i="140"/>
  <c r="BG233" i="140"/>
  <c r="BG229" i="140"/>
  <c r="BJ233" i="140"/>
  <c r="BJ229" i="140"/>
  <c r="AU56" i="140"/>
  <c r="AX57" i="140"/>
  <c r="AV56" i="140"/>
  <c r="BA231" i="140"/>
  <c r="BA230" i="140"/>
  <c r="AX56" i="140"/>
  <c r="J16" i="138"/>
  <c r="J29" i="138"/>
  <c r="AY108" i="140"/>
  <c r="Z251" i="140"/>
  <c r="BB108" i="140"/>
  <c r="AY58" i="140"/>
  <c r="BB58" i="140"/>
  <c r="AQ108" i="140"/>
  <c r="AY57" i="140"/>
  <c r="AQ58" i="140"/>
  <c r="AY107" i="140"/>
  <c r="BB107" i="140"/>
  <c r="AV108" i="140"/>
  <c r="BB57" i="140"/>
  <c r="AX108" i="140"/>
  <c r="AX107" i="140"/>
  <c r="AU107" i="140"/>
  <c r="AW108" i="140"/>
  <c r="AV57" i="140"/>
  <c r="AQ57" i="140"/>
  <c r="AW57" i="140"/>
  <c r="AW107" i="140"/>
  <c r="AV107" i="140"/>
  <c r="AQ107" i="140"/>
  <c r="AW246" i="140"/>
  <c r="T192" i="140"/>
  <c r="BA169" i="140"/>
  <c r="BA168" i="140"/>
  <c r="AT169" i="140"/>
  <c r="AT168" i="140"/>
  <c r="AR169" i="140"/>
  <c r="AR168" i="140"/>
  <c r="AS169" i="140"/>
  <c r="AS168" i="140"/>
  <c r="AZ169" i="140"/>
  <c r="AZ168" i="140"/>
  <c r="AP169" i="140"/>
  <c r="AP168" i="140"/>
  <c r="AY246" i="140"/>
  <c r="BB246" i="140"/>
  <c r="J12" i="138"/>
  <c r="J17" i="138"/>
  <c r="BB6" i="140"/>
  <c r="AW241" i="140"/>
  <c r="AV241" i="140"/>
  <c r="AQ241" i="140"/>
  <c r="BB241" i="140"/>
  <c r="BB160" i="140"/>
  <c r="AX58" i="140"/>
  <c r="AX6" i="140"/>
  <c r="BA233" i="140"/>
  <c r="BA232" i="140"/>
  <c r="AU58" i="140"/>
  <c r="AW58" i="140"/>
  <c r="AV58" i="140"/>
  <c r="T247" i="140"/>
  <c r="AQ242" i="140"/>
  <c r="J14" i="138"/>
  <c r="J24" i="138"/>
  <c r="S67" i="125"/>
  <c r="J9" i="138"/>
  <c r="J28" i="138"/>
  <c r="J22" i="138"/>
  <c r="J25" i="138"/>
  <c r="P29" i="138"/>
  <c r="J8" i="138"/>
  <c r="AV238" i="140"/>
  <c r="AX241" i="140"/>
  <c r="AY242" i="140"/>
  <c r="AU241" i="140"/>
  <c r="BB242" i="140"/>
  <c r="AZ224" i="140"/>
  <c r="AZ225" i="140" s="1"/>
  <c r="AV246" i="140"/>
  <c r="AU246" i="140"/>
  <c r="R247" i="140"/>
  <c r="AV242" i="140"/>
  <c r="M247" i="140"/>
  <c r="AU59" i="140"/>
  <c r="AX59" i="140"/>
  <c r="AT224" i="140"/>
  <c r="AT251" i="140" s="1"/>
  <c r="BG224" i="140"/>
  <c r="BJ224" i="140"/>
  <c r="BA173" i="140"/>
  <c r="AQ59" i="140"/>
  <c r="AV59" i="140"/>
  <c r="AW59" i="140"/>
  <c r="AZ173" i="140"/>
  <c r="AR173" i="140"/>
  <c r="AT173" i="140"/>
  <c r="AY59" i="140"/>
  <c r="BI224" i="140"/>
  <c r="BB59" i="140"/>
  <c r="AS173" i="140"/>
  <c r="AP173" i="140"/>
  <c r="J15" i="138"/>
  <c r="J10" i="138"/>
  <c r="J20" i="138"/>
  <c r="I225" i="140"/>
  <c r="AS227" i="140" s="1"/>
  <c r="AA251" i="140"/>
  <c r="Y250" i="140"/>
  <c r="I251" i="140"/>
  <c r="AS239" i="140" s="1"/>
  <c r="Y251" i="140"/>
  <c r="AB251" i="140"/>
  <c r="AX248" i="140"/>
  <c r="S64" i="125"/>
  <c r="U64" i="125"/>
  <c r="S68" i="125"/>
  <c r="U68" i="125"/>
  <c r="U67" i="125"/>
  <c r="J13" i="138"/>
  <c r="J3" i="138"/>
  <c r="J6" i="138"/>
  <c r="J19" i="138"/>
  <c r="J7" i="138"/>
  <c r="J18" i="138"/>
  <c r="J4" i="138"/>
  <c r="J21" i="138"/>
  <c r="J26" i="138"/>
  <c r="J5" i="138"/>
  <c r="J23" i="138"/>
  <c r="AX242" i="140"/>
  <c r="K224" i="140"/>
  <c r="AH224" i="140" s="1"/>
  <c r="AS224" i="140"/>
  <c r="AS251" i="140" s="1"/>
  <c r="AQ223" i="140"/>
  <c r="AU242" i="140"/>
  <c r="P225" i="140"/>
  <c r="AZ227" i="140" s="1"/>
  <c r="L224" i="140"/>
  <c r="AI224" i="140" s="1"/>
  <c r="R224" i="140"/>
  <c r="R225" i="140" s="1"/>
  <c r="AP162" i="140"/>
  <c r="AR224" i="140"/>
  <c r="AR225" i="140" s="1"/>
  <c r="H225" i="140"/>
  <c r="AR227" i="140" s="1"/>
  <c r="O224" i="140"/>
  <c r="AK224" i="140" s="1"/>
  <c r="F225" i="140"/>
  <c r="AP227" i="140" s="1"/>
  <c r="AY223" i="140"/>
  <c r="AP224" i="140"/>
  <c r="AP225" i="140" s="1"/>
  <c r="F251" i="140"/>
  <c r="AP239" i="140" s="1"/>
  <c r="BB239" i="140" s="1"/>
  <c r="O247" i="140"/>
  <c r="AK245" i="140"/>
  <c r="G224" i="140"/>
  <c r="AE224" i="140" s="1"/>
  <c r="AE161" i="140"/>
  <c r="AY160" i="140"/>
  <c r="O223" i="140"/>
  <c r="AK223" i="140" s="1"/>
  <c r="AU6" i="140"/>
  <c r="AH223" i="140"/>
  <c r="AY6" i="140"/>
  <c r="AI223" i="140"/>
  <c r="AW160" i="140"/>
  <c r="P250" i="140"/>
  <c r="AZ238" i="140" s="1"/>
  <c r="AY238" i="140" s="1"/>
  <c r="AG250" i="140"/>
  <c r="G250" i="140"/>
  <c r="AE250" i="140" s="1"/>
  <c r="AA250" i="140"/>
  <c r="N224" i="140"/>
  <c r="AJ224" i="140" s="1"/>
  <c r="F255" i="140"/>
  <c r="AD250" i="140"/>
  <c r="Z250" i="140"/>
  <c r="AB250" i="140"/>
  <c r="J250" i="140"/>
  <c r="AT238" i="140" s="1"/>
  <c r="AW238" i="140" s="1"/>
  <c r="N223" i="140"/>
  <c r="AJ223" i="140" s="1"/>
  <c r="AT223" i="140"/>
  <c r="AW223" i="140" s="1"/>
  <c r="T6" i="140"/>
  <c r="J251" i="140"/>
  <c r="M224" i="140"/>
  <c r="M225" i="140" s="1"/>
  <c r="N247" i="140"/>
  <c r="J225" i="140"/>
  <c r="AT227" i="140" s="1"/>
  <c r="K247" i="140"/>
  <c r="L247" i="140"/>
  <c r="AV160" i="140"/>
  <c r="H251" i="140"/>
  <c r="AR263" i="140" s="1"/>
  <c r="AF224" i="140"/>
  <c r="S128" i="140"/>
  <c r="T184" i="140"/>
  <c r="AU160" i="140"/>
  <c r="O128" i="140"/>
  <c r="AY128" i="140" s="1"/>
  <c r="T127" i="140"/>
  <c r="T128" i="140" s="1"/>
  <c r="AY112" i="140"/>
  <c r="AU112" i="140"/>
  <c r="BA236" i="140"/>
  <c r="BA237" i="140"/>
  <c r="G184" i="140"/>
  <c r="M184" i="140"/>
  <c r="M205" i="140"/>
  <c r="L205" i="140"/>
  <c r="F184" i="140"/>
  <c r="F206" i="140"/>
  <c r="F205" i="140"/>
  <c r="AP174" i="140"/>
  <c r="AR236" i="140"/>
  <c r="AR237" i="140"/>
  <c r="AP236" i="140"/>
  <c r="AP237" i="140"/>
  <c r="O205" i="140"/>
  <c r="P184" i="140"/>
  <c r="AZ172" i="140" s="1"/>
  <c r="P206" i="140"/>
  <c r="P205" i="140"/>
  <c r="AZ174" i="140"/>
  <c r="I205" i="140"/>
  <c r="AS174" i="140"/>
  <c r="I206" i="140"/>
  <c r="K205" i="140"/>
  <c r="I184" i="140"/>
  <c r="BB112" i="140"/>
  <c r="G206" i="140"/>
  <c r="T206" i="140" s="1"/>
  <c r="H184" i="140"/>
  <c r="AR174" i="140"/>
  <c r="H206" i="140"/>
  <c r="H205" i="140"/>
  <c r="R184" i="140"/>
  <c r="Q184" i="140"/>
  <c r="R205" i="140"/>
  <c r="Q205" i="140"/>
  <c r="BA174" i="140"/>
  <c r="Q206" i="140"/>
  <c r="AX112" i="140"/>
  <c r="AZ236" i="140"/>
  <c r="AZ237" i="140"/>
  <c r="AY194" i="140"/>
  <c r="AZ194" i="140"/>
  <c r="AT236" i="140"/>
  <c r="AT237" i="140"/>
  <c r="AS236" i="140"/>
  <c r="AS237" i="140"/>
  <c r="G205" i="140"/>
  <c r="AV112" i="140"/>
  <c r="AQ112" i="140"/>
  <c r="AW112" i="140"/>
  <c r="J205" i="140"/>
  <c r="AT174" i="140"/>
  <c r="J184" i="140"/>
  <c r="J206" i="140"/>
  <c r="N205" i="140"/>
  <c r="AZ193" i="140"/>
  <c r="AY111" i="140"/>
  <c r="BB111" i="140"/>
  <c r="AQ111" i="140"/>
  <c r="AV111" i="140"/>
  <c r="AW111" i="140"/>
  <c r="AX111" i="140"/>
  <c r="AX110" i="140"/>
  <c r="AU111" i="140"/>
  <c r="AR141" i="140"/>
  <c r="AR142" i="140"/>
  <c r="AZ141" i="140"/>
  <c r="AZ142" i="140"/>
  <c r="AT141" i="140"/>
  <c r="AT142" i="140"/>
  <c r="S187" i="140"/>
  <c r="T187" i="140" s="1"/>
  <c r="T185" i="140"/>
  <c r="AS141" i="140"/>
  <c r="AS142" i="140"/>
  <c r="BA141" i="140"/>
  <c r="BA142" i="140"/>
  <c r="AP141" i="140"/>
  <c r="AP142" i="140"/>
  <c r="AZ171" i="140"/>
  <c r="AR171" i="140"/>
  <c r="AS235" i="140"/>
  <c r="AS234" i="140"/>
  <c r="AY110" i="140"/>
  <c r="BA235" i="140"/>
  <c r="BA234" i="140"/>
  <c r="AT172" i="140"/>
  <c r="AT171" i="140"/>
  <c r="AP172" i="140"/>
  <c r="AP171" i="140"/>
  <c r="AU110" i="140"/>
  <c r="AW110" i="140"/>
  <c r="AQ110" i="140"/>
  <c r="AV110" i="140"/>
  <c r="AT235" i="140"/>
  <c r="AT234" i="140"/>
  <c r="AP235" i="140"/>
  <c r="AP234" i="140"/>
  <c r="AS171" i="140"/>
  <c r="BB110" i="140"/>
  <c r="AZ235" i="140"/>
  <c r="AZ234" i="140"/>
  <c r="AR235" i="140"/>
  <c r="AR234" i="140"/>
  <c r="BA171" i="140"/>
  <c r="T207" i="140"/>
  <c r="N134" i="140"/>
  <c r="R134" i="140"/>
  <c r="T223" i="140"/>
  <c r="AJ6" i="140"/>
  <c r="AH6" i="140"/>
  <c r="K128" i="140"/>
  <c r="AU128" i="140" s="1"/>
  <c r="AK6" i="140"/>
  <c r="AE6" i="140"/>
  <c r="AI6" i="140"/>
  <c r="T84" i="140"/>
  <c r="N128" i="140"/>
  <c r="AX128" i="140" s="1"/>
  <c r="M128" i="140"/>
  <c r="AW128" i="140" s="1"/>
  <c r="AS146" i="140"/>
  <c r="AU146" i="140" s="1"/>
  <c r="AP250" i="140"/>
  <c r="O134" i="140"/>
  <c r="AZ146" i="140"/>
  <c r="AQ146" i="140" s="1"/>
  <c r="L84" i="140"/>
  <c r="AV84" i="140" s="1"/>
  <c r="P136" i="140"/>
  <c r="F195" i="140"/>
  <c r="AP183" i="140" s="1"/>
  <c r="O84" i="140"/>
  <c r="AY84" i="140" s="1"/>
  <c r="K84" i="140"/>
  <c r="AU84" i="140" s="1"/>
  <c r="AX160" i="140"/>
  <c r="AT162" i="140"/>
  <c r="R128" i="140"/>
  <c r="BB128" i="140" s="1"/>
  <c r="AQ160" i="140"/>
  <c r="M162" i="140"/>
  <c r="AX161" i="140"/>
  <c r="R84" i="140"/>
  <c r="BB84" i="140" s="1"/>
  <c r="L250" i="140"/>
  <c r="AZ162" i="140"/>
  <c r="N84" i="140"/>
  <c r="AX84" i="140" s="1"/>
  <c r="AV248" i="140"/>
  <c r="AV101" i="140"/>
  <c r="O187" i="140"/>
  <c r="O162" i="140"/>
  <c r="Q136" i="140"/>
  <c r="L128" i="140"/>
  <c r="AV128" i="140" s="1"/>
  <c r="AY101" i="140"/>
  <c r="N162" i="140"/>
  <c r="M84" i="140"/>
  <c r="AW84" i="140" s="1"/>
  <c r="L187" i="140"/>
  <c r="AV223" i="140"/>
  <c r="N187" i="140"/>
  <c r="R162" i="140"/>
  <c r="K187" i="140"/>
  <c r="I189" i="140"/>
  <c r="AS177" i="140" s="1"/>
  <c r="K134" i="140"/>
  <c r="L162" i="140"/>
  <c r="AQ101" i="140"/>
  <c r="BB101" i="140"/>
  <c r="AQ6" i="140"/>
  <c r="AU223" i="140"/>
  <c r="AS250" i="140"/>
  <c r="K162" i="140"/>
  <c r="G265" i="140"/>
  <c r="AS162" i="140"/>
  <c r="G135" i="140"/>
  <c r="G136" i="140" s="1"/>
  <c r="AQ136" i="140" s="1"/>
  <c r="G128" i="140"/>
  <c r="AQ128" i="140" s="1"/>
  <c r="AW6" i="140"/>
  <c r="AR162" i="140"/>
  <c r="AU249" i="140"/>
  <c r="H189" i="140"/>
  <c r="AR177" i="140" s="1"/>
  <c r="H195" i="140"/>
  <c r="AR183" i="140" s="1"/>
  <c r="AX249" i="140"/>
  <c r="T258" i="140"/>
  <c r="H255" i="140"/>
  <c r="H136" i="140"/>
  <c r="AR124" i="140" s="1"/>
  <c r="AW248" i="140"/>
  <c r="AQ248" i="140"/>
  <c r="AV6" i="140"/>
  <c r="I255" i="140"/>
  <c r="K250" i="140"/>
  <c r="K135" i="140"/>
  <c r="AZ263" i="140"/>
  <c r="O263" i="140"/>
  <c r="P265" i="140"/>
  <c r="AX101" i="140"/>
  <c r="AP263" i="140"/>
  <c r="M263" i="140"/>
  <c r="L263" i="140"/>
  <c r="F265" i="140"/>
  <c r="N135" i="140"/>
  <c r="J265" i="140"/>
  <c r="N263" i="140"/>
  <c r="AT263" i="140"/>
  <c r="G188" i="140"/>
  <c r="T161" i="140"/>
  <c r="T162" i="140" s="1"/>
  <c r="G162" i="140"/>
  <c r="BA263" i="140"/>
  <c r="Q265" i="140"/>
  <c r="R263" i="140"/>
  <c r="AU101" i="140"/>
  <c r="AY161" i="140"/>
  <c r="AU161" i="140"/>
  <c r="F196" i="140"/>
  <c r="M188" i="140"/>
  <c r="L188" i="140"/>
  <c r="M135" i="140"/>
  <c r="M136" i="140" s="1"/>
  <c r="AW136" i="140" s="1"/>
  <c r="L135" i="140"/>
  <c r="O135" i="140"/>
  <c r="F136" i="140"/>
  <c r="R135" i="140"/>
  <c r="P196" i="140"/>
  <c r="O188" i="140"/>
  <c r="I196" i="140"/>
  <c r="K188" i="140"/>
  <c r="AS263" i="140"/>
  <c r="I265" i="140"/>
  <c r="K263" i="140"/>
  <c r="BB161" i="140"/>
  <c r="Q195" i="140"/>
  <c r="Q189" i="140"/>
  <c r="R187" i="140"/>
  <c r="R264" i="140"/>
  <c r="K264" i="140"/>
  <c r="N264" i="140"/>
  <c r="Q196" i="140"/>
  <c r="R188" i="140"/>
  <c r="I136" i="140"/>
  <c r="S265" i="140"/>
  <c r="T263" i="140"/>
  <c r="P256" i="140"/>
  <c r="T134" i="140"/>
  <c r="S136" i="140"/>
  <c r="J197" i="140"/>
  <c r="T249" i="140"/>
  <c r="S251" i="140"/>
  <c r="F189" i="140"/>
  <c r="N188" i="140"/>
  <c r="T259" i="140"/>
  <c r="L264" i="140"/>
  <c r="M264" i="140"/>
  <c r="AW161" i="140"/>
  <c r="AV161" i="140"/>
  <c r="AQ161" i="140"/>
  <c r="BA162" i="140"/>
  <c r="BA248" i="140"/>
  <c r="BB248" i="140" s="1"/>
  <c r="Q250" i="140"/>
  <c r="T248" i="140"/>
  <c r="S250" i="140"/>
  <c r="O264" i="140"/>
  <c r="T264" i="140"/>
  <c r="G84" i="140"/>
  <c r="AQ84" i="140" s="1"/>
  <c r="AY175" i="140" l="1"/>
  <c r="AU187" i="140"/>
  <c r="AX187" i="140"/>
  <c r="BA124" i="140"/>
  <c r="BA136" i="140"/>
  <c r="AS124" i="140"/>
  <c r="AS136" i="140"/>
  <c r="AP124" i="140"/>
  <c r="AQ124" i="140" s="1"/>
  <c r="AP136" i="140"/>
  <c r="AZ124" i="140"/>
  <c r="AZ136" i="140"/>
  <c r="AT124" i="140"/>
  <c r="AT136" i="140"/>
  <c r="AW187" i="140"/>
  <c r="AV187" i="140"/>
  <c r="AQ187" i="140"/>
  <c r="AY187" i="140"/>
  <c r="BB146" i="140"/>
  <c r="AX195" i="140"/>
  <c r="I197" i="140"/>
  <c r="M189" i="140"/>
  <c r="AQ238" i="140"/>
  <c r="AX238" i="140"/>
  <c r="AU124" i="140"/>
  <c r="AT194" i="140"/>
  <c r="BH239" i="140"/>
  <c r="BA238" i="140"/>
  <c r="BB238" i="140" s="1"/>
  <c r="L136" i="140"/>
  <c r="AV136" i="140" s="1"/>
  <c r="BI238" i="140"/>
  <c r="BJ239" i="140"/>
  <c r="AW146" i="140"/>
  <c r="AU176" i="140"/>
  <c r="AX176" i="140"/>
  <c r="AT193" i="140"/>
  <c r="BG239" i="140"/>
  <c r="AQ239" i="140"/>
  <c r="AY239" i="140"/>
  <c r="AT177" i="140"/>
  <c r="AX177" i="140" s="1"/>
  <c r="BB176" i="140"/>
  <c r="BJ238" i="140"/>
  <c r="BG238" i="140"/>
  <c r="BB134" i="140"/>
  <c r="AS183" i="140"/>
  <c r="AU183" i="140" s="1"/>
  <c r="AP243" i="140"/>
  <c r="AV176" i="140"/>
  <c r="AQ176" i="140"/>
  <c r="AW176" i="140"/>
  <c r="AS243" i="140"/>
  <c r="AR243" i="140"/>
  <c r="BA183" i="140"/>
  <c r="BB183" i="140" s="1"/>
  <c r="AP177" i="140"/>
  <c r="AZ244" i="140"/>
  <c r="AW183" i="140"/>
  <c r="AQ183" i="140"/>
  <c r="AR172" i="140"/>
  <c r="AT239" i="140"/>
  <c r="AX239" i="140" s="1"/>
  <c r="BH238" i="140"/>
  <c r="BI239" i="140"/>
  <c r="AV239" i="140"/>
  <c r="AZ177" i="140"/>
  <c r="AS172" i="140"/>
  <c r="AU172" i="140" s="1"/>
  <c r="BA177" i="140"/>
  <c r="BA172" i="140"/>
  <c r="BB172" i="140" s="1"/>
  <c r="AU177" i="140"/>
  <c r="H208" i="140"/>
  <c r="AR239" i="140"/>
  <c r="AU239" i="140" s="1"/>
  <c r="AU134" i="140"/>
  <c r="AY183" i="140"/>
  <c r="AX124" i="140"/>
  <c r="AY176" i="140"/>
  <c r="P255" i="140"/>
  <c r="G255" i="140" s="1"/>
  <c r="AZ186" i="140"/>
  <c r="AD251" i="140"/>
  <c r="AY134" i="140"/>
  <c r="AR194" i="140"/>
  <c r="AV195" i="140"/>
  <c r="AG251" i="140"/>
  <c r="Q256" i="140"/>
  <c r="J255" i="140"/>
  <c r="M255" i="140" s="1"/>
  <c r="AQ134" i="140"/>
  <c r="AW134" i="140"/>
  <c r="AV134" i="140"/>
  <c r="AX134" i="140"/>
  <c r="H197" i="140"/>
  <c r="AX227" i="140"/>
  <c r="AU227" i="140"/>
  <c r="AQ227" i="140"/>
  <c r="AV227" i="140"/>
  <c r="AW227" i="140"/>
  <c r="AY227" i="140"/>
  <c r="BB227" i="140"/>
  <c r="AY167" i="140"/>
  <c r="AW167" i="140"/>
  <c r="AU167" i="140"/>
  <c r="AQ167" i="140"/>
  <c r="BB167" i="140"/>
  <c r="AX167" i="140"/>
  <c r="AV167" i="140"/>
  <c r="BA251" i="140"/>
  <c r="BB165" i="140"/>
  <c r="AU165" i="140"/>
  <c r="AT229" i="140"/>
  <c r="AT228" i="140"/>
  <c r="AR229" i="140"/>
  <c r="AR228" i="140"/>
  <c r="AP229" i="140"/>
  <c r="AP228" i="140"/>
  <c r="BA229" i="140"/>
  <c r="BA228" i="140"/>
  <c r="AX165" i="140"/>
  <c r="AZ229" i="140"/>
  <c r="AZ228" i="140"/>
  <c r="AS229" i="140"/>
  <c r="AS228" i="140"/>
  <c r="AQ165" i="140"/>
  <c r="AW165" i="140"/>
  <c r="AV165" i="140"/>
  <c r="AY165" i="140"/>
  <c r="AW166" i="140"/>
  <c r="AV166" i="140"/>
  <c r="AY166" i="140"/>
  <c r="BB166" i="140"/>
  <c r="AX166" i="140"/>
  <c r="AQ166" i="140"/>
  <c r="AU166" i="140"/>
  <c r="AV249" i="140"/>
  <c r="AQ249" i="140"/>
  <c r="AQ173" i="140"/>
  <c r="AW249" i="140"/>
  <c r="BB249" i="140"/>
  <c r="AS231" i="140"/>
  <c r="AS230" i="140"/>
  <c r="AT231" i="140"/>
  <c r="AT230" i="140"/>
  <c r="AR231" i="140"/>
  <c r="AR230" i="140"/>
  <c r="AP231" i="140"/>
  <c r="BB231" i="140" s="1"/>
  <c r="AP230" i="140"/>
  <c r="AZ231" i="140"/>
  <c r="AZ230" i="140"/>
  <c r="AU169" i="140"/>
  <c r="AY169" i="140"/>
  <c r="AV169" i="140"/>
  <c r="AZ251" i="140"/>
  <c r="AQ169" i="140"/>
  <c r="AW169" i="140"/>
  <c r="BB169" i="140"/>
  <c r="AX168" i="140"/>
  <c r="AX169" i="140"/>
  <c r="L225" i="140"/>
  <c r="AQ168" i="140"/>
  <c r="AW168" i="140"/>
  <c r="AV168" i="140"/>
  <c r="AY168" i="140"/>
  <c r="BB168" i="140"/>
  <c r="AU168" i="140"/>
  <c r="AZ250" i="140"/>
  <c r="AQ250" i="140" s="1"/>
  <c r="BB162" i="140"/>
  <c r="BB224" i="140"/>
  <c r="BB225" i="140" s="1"/>
  <c r="AT233" i="140"/>
  <c r="AT232" i="140"/>
  <c r="AT247" i="140" s="1"/>
  <c r="AR233" i="140"/>
  <c r="AR232" i="140"/>
  <c r="AR247" i="140" s="1"/>
  <c r="AP233" i="140"/>
  <c r="AP232" i="140"/>
  <c r="AZ233" i="140"/>
  <c r="AZ232" i="140"/>
  <c r="AS233" i="140"/>
  <c r="AS232" i="140"/>
  <c r="AW162" i="140"/>
  <c r="F256" i="140"/>
  <c r="AP244" i="140" s="1"/>
  <c r="AX223" i="140"/>
  <c r="AH250" i="140"/>
  <c r="AY173" i="140"/>
  <c r="BB173" i="140"/>
  <c r="AX224" i="140"/>
  <c r="AS225" i="140"/>
  <c r="AV162" i="140"/>
  <c r="AR251" i="140"/>
  <c r="AR252" i="140" s="1"/>
  <c r="I256" i="140"/>
  <c r="AW173" i="140"/>
  <c r="AX173" i="140"/>
  <c r="F252" i="140"/>
  <c r="AP264" i="140" s="1"/>
  <c r="AV173" i="140"/>
  <c r="AU173" i="140"/>
  <c r="AY224" i="140"/>
  <c r="AY225" i="140" s="1"/>
  <c r="AW224" i="140"/>
  <c r="AW225" i="140" s="1"/>
  <c r="T224" i="140"/>
  <c r="T225" i="140" s="1"/>
  <c r="K225" i="140"/>
  <c r="N251" i="140"/>
  <c r="AJ251" i="140" s="1"/>
  <c r="G251" i="140"/>
  <c r="G252" i="140" s="1"/>
  <c r="N250" i="140"/>
  <c r="AJ250" i="140" s="1"/>
  <c r="G225" i="140"/>
  <c r="I252" i="140"/>
  <c r="AS264" i="140" s="1"/>
  <c r="R251" i="140"/>
  <c r="O251" i="140"/>
  <c r="AK251" i="140" s="1"/>
  <c r="L251" i="140"/>
  <c r="AI251" i="140" s="1"/>
  <c r="AU224" i="140"/>
  <c r="AU225" i="140" s="1"/>
  <c r="J252" i="140"/>
  <c r="AT264" i="140" s="1"/>
  <c r="AT265" i="140" s="1"/>
  <c r="J256" i="140"/>
  <c r="AT244" i="140" s="1"/>
  <c r="M251" i="140"/>
  <c r="P252" i="140"/>
  <c r="O250" i="140"/>
  <c r="AK250" i="140" s="1"/>
  <c r="AV224" i="140"/>
  <c r="AV225" i="140" s="1"/>
  <c r="AQ224" i="140"/>
  <c r="AQ225" i="140" s="1"/>
  <c r="L255" i="140"/>
  <c r="AP251" i="140"/>
  <c r="AU162" i="140"/>
  <c r="O225" i="140"/>
  <c r="AY162" i="140"/>
  <c r="AT250" i="140"/>
  <c r="AX250" i="140" s="1"/>
  <c r="M250" i="140"/>
  <c r="AT225" i="140"/>
  <c r="AI250" i="140"/>
  <c r="N225" i="140"/>
  <c r="H256" i="140"/>
  <c r="AR244" i="140" s="1"/>
  <c r="AF251" i="140"/>
  <c r="K251" i="140"/>
  <c r="AH251" i="140" s="1"/>
  <c r="H252" i="140"/>
  <c r="AR264" i="140" s="1"/>
  <c r="AU264" i="140" s="1"/>
  <c r="N136" i="140"/>
  <c r="AX136" i="140" s="1"/>
  <c r="AU236" i="140"/>
  <c r="AY141" i="140"/>
  <c r="AQ141" i="140"/>
  <c r="BB141" i="140"/>
  <c r="AV141" i="140"/>
  <c r="AR207" i="140"/>
  <c r="AR206" i="140"/>
  <c r="AP207" i="140"/>
  <c r="AP206" i="140"/>
  <c r="AS207" i="140"/>
  <c r="AS206" i="140"/>
  <c r="AT207" i="140"/>
  <c r="AT206" i="140"/>
  <c r="BA207" i="140"/>
  <c r="BA206" i="140"/>
  <c r="AZ207" i="140"/>
  <c r="AY207" i="140" s="1"/>
  <c r="AZ206" i="140"/>
  <c r="BA186" i="140"/>
  <c r="AT185" i="140"/>
  <c r="AT186" i="140"/>
  <c r="AR185" i="140"/>
  <c r="AR186" i="140"/>
  <c r="AP186" i="140"/>
  <c r="AS185" i="140"/>
  <c r="AS186" i="140"/>
  <c r="AZ189" i="140"/>
  <c r="AU237" i="140"/>
  <c r="AW141" i="140"/>
  <c r="AX235" i="140"/>
  <c r="S195" i="140"/>
  <c r="S197" i="140" s="1"/>
  <c r="S189" i="140"/>
  <c r="AV235" i="140"/>
  <c r="T208" i="140"/>
  <c r="AY237" i="140"/>
  <c r="AY236" i="140"/>
  <c r="N184" i="140"/>
  <c r="AX236" i="140"/>
  <c r="R206" i="140"/>
  <c r="R208" i="140" s="1"/>
  <c r="Q208" i="140"/>
  <c r="AR184" i="140"/>
  <c r="AR205" i="140"/>
  <c r="BA194" i="140"/>
  <c r="BB194" i="140"/>
  <c r="AU235" i="140"/>
  <c r="BA205" i="140"/>
  <c r="BA184" i="140"/>
  <c r="BB205" i="140"/>
  <c r="BB174" i="140"/>
  <c r="AP184" i="140"/>
  <c r="AV205" i="140"/>
  <c r="AP205" i="140"/>
  <c r="AW205" i="140"/>
  <c r="AV174" i="140"/>
  <c r="AQ174" i="140"/>
  <c r="AW174" i="140"/>
  <c r="N206" i="140"/>
  <c r="N208" i="140" s="1"/>
  <c r="J208" i="140"/>
  <c r="AT260" i="140"/>
  <c r="AT261" i="140"/>
  <c r="AS201" i="140"/>
  <c r="AS202" i="140"/>
  <c r="AX193" i="140"/>
  <c r="AU194" i="140"/>
  <c r="AS194" i="140"/>
  <c r="AR260" i="140"/>
  <c r="AR261" i="140"/>
  <c r="G208" i="140"/>
  <c r="AP260" i="140"/>
  <c r="AP261" i="140"/>
  <c r="AP194" i="140"/>
  <c r="AW194" i="140"/>
  <c r="AV194" i="140"/>
  <c r="BB171" i="140"/>
  <c r="AX194" i="140"/>
  <c r="K184" i="140"/>
  <c r="AZ184" i="140"/>
  <c r="AY174" i="140"/>
  <c r="AY205" i="140"/>
  <c r="AZ205" i="140"/>
  <c r="AV237" i="140"/>
  <c r="AW237" i="140"/>
  <c r="AQ237" i="140"/>
  <c r="F208" i="140"/>
  <c r="BB196" i="140" s="1"/>
  <c r="M206" i="140"/>
  <c r="M208" i="140" s="1"/>
  <c r="L206" i="140"/>
  <c r="L208" i="140" s="1"/>
  <c r="AW236" i="140"/>
  <c r="AQ236" i="140"/>
  <c r="AV236" i="140"/>
  <c r="BB237" i="140"/>
  <c r="O206" i="140"/>
  <c r="O208" i="140" s="1"/>
  <c r="P208" i="140"/>
  <c r="BB236" i="140"/>
  <c r="K206" i="140"/>
  <c r="K208" i="140" s="1"/>
  <c r="I208" i="140"/>
  <c r="AX196" i="140" s="1"/>
  <c r="AX197" i="140" s="1"/>
  <c r="AX174" i="140"/>
  <c r="AT205" i="140"/>
  <c r="AX205" i="140"/>
  <c r="AT184" i="140"/>
  <c r="AT201" i="140"/>
  <c r="AT202" i="140"/>
  <c r="AR201" i="140"/>
  <c r="AR202" i="140"/>
  <c r="AX237" i="140"/>
  <c r="AU174" i="140"/>
  <c r="AS184" i="140"/>
  <c r="AU205" i="140"/>
  <c r="AS205" i="140"/>
  <c r="O184" i="140"/>
  <c r="L184" i="140"/>
  <c r="AU141" i="140"/>
  <c r="BB193" i="140"/>
  <c r="BA193" i="140"/>
  <c r="AV193" i="140"/>
  <c r="AP193" i="140"/>
  <c r="AW193" i="140"/>
  <c r="AY193" i="140"/>
  <c r="AR193" i="140"/>
  <c r="AS193" i="140"/>
  <c r="AU193" i="140"/>
  <c r="AQ172" i="140"/>
  <c r="AY172" i="140"/>
  <c r="AX141" i="140"/>
  <c r="AW172" i="140"/>
  <c r="AU142" i="140"/>
  <c r="AX142" i="140"/>
  <c r="AV172" i="140"/>
  <c r="AU254" i="140"/>
  <c r="AY235" i="140"/>
  <c r="BB142" i="140"/>
  <c r="R136" i="140"/>
  <c r="BB136" i="140" s="1"/>
  <c r="AW235" i="140"/>
  <c r="AU171" i="140"/>
  <c r="AX254" i="140"/>
  <c r="AQ235" i="140"/>
  <c r="BB235" i="140"/>
  <c r="AY254" i="140"/>
  <c r="AZ254" i="140"/>
  <c r="AU234" i="140"/>
  <c r="AW254" i="140"/>
  <c r="AV254" i="140"/>
  <c r="AP259" i="140"/>
  <c r="AT259" i="140"/>
  <c r="AS198" i="140"/>
  <c r="AS199" i="140"/>
  <c r="AR198" i="140"/>
  <c r="AR199" i="140"/>
  <c r="AT198" i="140"/>
  <c r="AT199" i="140"/>
  <c r="AY142" i="140"/>
  <c r="AR259" i="140"/>
  <c r="AQ142" i="140"/>
  <c r="AW142" i="140"/>
  <c r="AV142" i="140"/>
  <c r="AX192" i="140"/>
  <c r="AX172" i="140"/>
  <c r="AW234" i="140"/>
  <c r="AQ234" i="140"/>
  <c r="AV234" i="140"/>
  <c r="AQ171" i="140"/>
  <c r="AV171" i="140"/>
  <c r="AW171" i="140"/>
  <c r="AX234" i="140"/>
  <c r="AX171" i="140"/>
  <c r="AY234" i="140"/>
  <c r="AY171" i="140"/>
  <c r="BB234" i="140"/>
  <c r="AX146" i="140"/>
  <c r="AV146" i="140"/>
  <c r="AV250" i="140"/>
  <c r="AW195" i="140"/>
  <c r="M195" i="140"/>
  <c r="O195" i="140"/>
  <c r="AY195" i="140"/>
  <c r="L195" i="140"/>
  <c r="AQ162" i="140"/>
  <c r="O136" i="140"/>
  <c r="AY136" i="140" s="1"/>
  <c r="AY146" i="140"/>
  <c r="AX162" i="140"/>
  <c r="N189" i="140"/>
  <c r="AS252" i="140"/>
  <c r="O189" i="140"/>
  <c r="L189" i="140"/>
  <c r="K136" i="140"/>
  <c r="AU136" i="140" s="1"/>
  <c r="K189" i="140"/>
  <c r="AU250" i="140"/>
  <c r="AU195" i="140"/>
  <c r="N196" i="140"/>
  <c r="N197" i="140" s="1"/>
  <c r="T135" i="140"/>
  <c r="T136" i="140" s="1"/>
  <c r="K265" i="140"/>
  <c r="R265" i="140"/>
  <c r="R189" i="140"/>
  <c r="K195" i="140"/>
  <c r="S252" i="140"/>
  <c r="S255" i="140"/>
  <c r="T250" i="140"/>
  <c r="O196" i="140"/>
  <c r="AY196" i="140"/>
  <c r="S256" i="140"/>
  <c r="O265" i="140"/>
  <c r="AU255" i="140"/>
  <c r="K255" i="140"/>
  <c r="AZ256" i="140"/>
  <c r="AW196" i="140"/>
  <c r="M196" i="140"/>
  <c r="L196" i="140"/>
  <c r="AY263" i="140"/>
  <c r="BB263" i="140"/>
  <c r="AX263" i="140"/>
  <c r="P257" i="140"/>
  <c r="L265" i="140"/>
  <c r="Q197" i="140"/>
  <c r="R195" i="140"/>
  <c r="BB195" i="140"/>
  <c r="AS265" i="140"/>
  <c r="AU263" i="140"/>
  <c r="N265" i="140"/>
  <c r="M265" i="140"/>
  <c r="AV255" i="140"/>
  <c r="AV264" i="140"/>
  <c r="AW264" i="140"/>
  <c r="T265" i="140"/>
  <c r="K196" i="140"/>
  <c r="P197" i="140"/>
  <c r="AX251" i="140"/>
  <c r="AP265" i="140"/>
  <c r="AQ263" i="140"/>
  <c r="AW263" i="140"/>
  <c r="AV263" i="140"/>
  <c r="G196" i="140"/>
  <c r="T188" i="140"/>
  <c r="T189" i="140" s="1"/>
  <c r="G189" i="140"/>
  <c r="R250" i="140"/>
  <c r="BA250" i="140"/>
  <c r="Q252" i="140"/>
  <c r="BA264" i="140" s="1"/>
  <c r="BB264" i="140" s="1"/>
  <c r="Q255" i="140"/>
  <c r="R196" i="140"/>
  <c r="F197" i="140"/>
  <c r="O255" i="140" l="1"/>
  <c r="BB124" i="140"/>
  <c r="AV124" i="140"/>
  <c r="AW124" i="140"/>
  <c r="AY124" i="140"/>
  <c r="N255" i="140"/>
  <c r="BA247" i="140"/>
  <c r="AY255" i="140"/>
  <c r="AX255" i="140"/>
  <c r="AW255" i="140"/>
  <c r="AX264" i="140"/>
  <c r="BA265" i="140"/>
  <c r="AR265" i="140"/>
  <c r="AZ240" i="140"/>
  <c r="AZ264" i="140"/>
  <c r="AW239" i="140"/>
  <c r="AY177" i="140"/>
  <c r="BB177" i="140"/>
  <c r="BA240" i="140"/>
  <c r="AQ244" i="140"/>
  <c r="AW244" i="140"/>
  <c r="BA244" i="140"/>
  <c r="BB244" i="140" s="1"/>
  <c r="AW177" i="140"/>
  <c r="AV177" i="140"/>
  <c r="AQ177" i="140"/>
  <c r="AS240" i="140"/>
  <c r="AU243" i="140"/>
  <c r="AX183" i="140"/>
  <c r="AP185" i="140"/>
  <c r="AT240" i="140"/>
  <c r="AZ243" i="140"/>
  <c r="AY243" i="140" s="1"/>
  <c r="AV183" i="140"/>
  <c r="AZ245" i="140"/>
  <c r="AZ185" i="140"/>
  <c r="AP240" i="140"/>
  <c r="AT243" i="140"/>
  <c r="AX243" i="140" s="1"/>
  <c r="AR240" i="140"/>
  <c r="AY244" i="140"/>
  <c r="AQ243" i="140"/>
  <c r="AV243" i="140"/>
  <c r="BA243" i="140"/>
  <c r="BB243" i="140" s="1"/>
  <c r="BA185" i="140"/>
  <c r="AS244" i="140"/>
  <c r="AU244" i="140" s="1"/>
  <c r="H257" i="140"/>
  <c r="AR245" i="140" s="1"/>
  <c r="AZ255" i="140"/>
  <c r="AZ257" i="140" s="1"/>
  <c r="F257" i="140"/>
  <c r="AP245" i="140" s="1"/>
  <c r="AV196" i="140"/>
  <c r="AV197" i="140" s="1"/>
  <c r="AU196" i="140"/>
  <c r="AU197" i="140" s="1"/>
  <c r="J257" i="140"/>
  <c r="AT245" i="140" s="1"/>
  <c r="AU228" i="140"/>
  <c r="AU229" i="140"/>
  <c r="AX229" i="140"/>
  <c r="AV229" i="140"/>
  <c r="BB229" i="140"/>
  <c r="AY229" i="140"/>
  <c r="AQ229" i="140"/>
  <c r="AW229" i="140"/>
  <c r="BB228" i="140"/>
  <c r="AQ228" i="140"/>
  <c r="AW228" i="140"/>
  <c r="AV228" i="140"/>
  <c r="AY228" i="140"/>
  <c r="AX228" i="140"/>
  <c r="AX231" i="140"/>
  <c r="AY250" i="140"/>
  <c r="AZ247" i="140"/>
  <c r="AP247" i="140"/>
  <c r="AZ252" i="140"/>
  <c r="AU231" i="140"/>
  <c r="AS247" i="140"/>
  <c r="AX230" i="140"/>
  <c r="AV231" i="140"/>
  <c r="AW231" i="140"/>
  <c r="AQ231" i="140"/>
  <c r="AY231" i="140"/>
  <c r="AY230" i="140"/>
  <c r="AU230" i="140"/>
  <c r="AQ230" i="140"/>
  <c r="AV230" i="140"/>
  <c r="AW230" i="140"/>
  <c r="BB230" i="140"/>
  <c r="AW260" i="140"/>
  <c r="AY251" i="140"/>
  <c r="G256" i="140"/>
  <c r="G257" i="140" s="1"/>
  <c r="AT200" i="140"/>
  <c r="AS200" i="140"/>
  <c r="AR200" i="140"/>
  <c r="AY192" i="140"/>
  <c r="AU192" i="140"/>
  <c r="AV192" i="140"/>
  <c r="BB192" i="140"/>
  <c r="AW192" i="140"/>
  <c r="L252" i="140"/>
  <c r="AW233" i="140"/>
  <c r="R256" i="140"/>
  <c r="AY256" i="140"/>
  <c r="AY257" i="140" s="1"/>
  <c r="AX233" i="140"/>
  <c r="AV233" i="140"/>
  <c r="AU232" i="140"/>
  <c r="AU247" i="140" s="1"/>
  <c r="AU233" i="140"/>
  <c r="BB233" i="140"/>
  <c r="AY233" i="140"/>
  <c r="M256" i="140"/>
  <c r="M257" i="140" s="1"/>
  <c r="O256" i="140"/>
  <c r="O257" i="140" s="1"/>
  <c r="AV256" i="140"/>
  <c r="AV257" i="140" s="1"/>
  <c r="AW256" i="140"/>
  <c r="AW257" i="140" s="1"/>
  <c r="AQ233" i="140"/>
  <c r="AY232" i="140"/>
  <c r="AV232" i="140"/>
  <c r="AQ232" i="140"/>
  <c r="AW232" i="140"/>
  <c r="AW247" i="140" s="1"/>
  <c r="BB232" i="140"/>
  <c r="AX232" i="140"/>
  <c r="AX247" i="140" s="1"/>
  <c r="AT252" i="140"/>
  <c r="AU251" i="140"/>
  <c r="AU252" i="140" s="1"/>
  <c r="AW250" i="140"/>
  <c r="L256" i="140"/>
  <c r="L257" i="140" s="1"/>
  <c r="I257" i="140"/>
  <c r="AS245" i="140" s="1"/>
  <c r="AX225" i="140"/>
  <c r="O252" i="140"/>
  <c r="AW253" i="140"/>
  <c r="T251" i="140"/>
  <c r="T252" i="140" s="1"/>
  <c r="AU253" i="140"/>
  <c r="AE251" i="140"/>
  <c r="AW251" i="140"/>
  <c r="AX253" i="140"/>
  <c r="N252" i="140"/>
  <c r="M252" i="140"/>
  <c r="N256" i="140"/>
  <c r="N257" i="140" s="1"/>
  <c r="R252" i="140"/>
  <c r="AV253" i="140"/>
  <c r="AY253" i="140"/>
  <c r="AP252" i="140"/>
  <c r="AQ251" i="140"/>
  <c r="AQ252" i="140" s="1"/>
  <c r="AZ253" i="140"/>
  <c r="AX256" i="140"/>
  <c r="AX257" i="140" s="1"/>
  <c r="T195" i="140"/>
  <c r="BB251" i="140"/>
  <c r="AV251" i="140"/>
  <c r="AV252" i="140" s="1"/>
  <c r="K256" i="140"/>
  <c r="K257" i="140" s="1"/>
  <c r="AU256" i="140"/>
  <c r="AU257" i="140" s="1"/>
  <c r="AU207" i="140"/>
  <c r="K252" i="140"/>
  <c r="AX202" i="140"/>
  <c r="AW262" i="140"/>
  <c r="AW185" i="140"/>
  <c r="AU265" i="140"/>
  <c r="AX201" i="140"/>
  <c r="AX185" i="140"/>
  <c r="AT262" i="140"/>
  <c r="AP262" i="140"/>
  <c r="AR189" i="140"/>
  <c r="AW184" i="140"/>
  <c r="BA189" i="140"/>
  <c r="AY206" i="140"/>
  <c r="AY208" i="140" s="1"/>
  <c r="AZ208" i="140"/>
  <c r="AW206" i="140"/>
  <c r="AQ206" i="140"/>
  <c r="AV206" i="140"/>
  <c r="AU184" i="140"/>
  <c r="AW207" i="140"/>
  <c r="AV207" i="140"/>
  <c r="AQ207" i="140"/>
  <c r="BB206" i="140"/>
  <c r="AP208" i="140"/>
  <c r="BA208" i="140"/>
  <c r="BB207" i="140"/>
  <c r="AR208" i="140"/>
  <c r="AX206" i="140"/>
  <c r="AT208" i="140"/>
  <c r="AU206" i="140"/>
  <c r="AS208" i="140"/>
  <c r="AX207" i="140"/>
  <c r="BB186" i="140"/>
  <c r="AV186" i="140"/>
  <c r="AQ186" i="140"/>
  <c r="AW186" i="140"/>
  <c r="AY186" i="140"/>
  <c r="AX184" i="140"/>
  <c r="AV185" i="140"/>
  <c r="AU185" i="140"/>
  <c r="AY184" i="140"/>
  <c r="AV184" i="140"/>
  <c r="AX186" i="140"/>
  <c r="AT189" i="140"/>
  <c r="BB184" i="140"/>
  <c r="AU186" i="140"/>
  <c r="BB256" i="140"/>
  <c r="AR262" i="140"/>
  <c r="AZ260" i="140"/>
  <c r="AY260" i="140" s="1"/>
  <c r="AZ261" i="140"/>
  <c r="AY261" i="140" s="1"/>
  <c r="AP201" i="140"/>
  <c r="AP202" i="140"/>
  <c r="AU202" i="140"/>
  <c r="AQ205" i="140"/>
  <c r="AQ184" i="140"/>
  <c r="AZ201" i="140"/>
  <c r="AZ202" i="140"/>
  <c r="AS260" i="140"/>
  <c r="AX260" i="140" s="1"/>
  <c r="AS261" i="140"/>
  <c r="AU261" i="140" s="1"/>
  <c r="AU201" i="140"/>
  <c r="BA201" i="140"/>
  <c r="BA202" i="140"/>
  <c r="AW261" i="140"/>
  <c r="AQ193" i="140"/>
  <c r="AQ194" i="140"/>
  <c r="AX198" i="140"/>
  <c r="AU198" i="140"/>
  <c r="AY197" i="140"/>
  <c r="AX199" i="140"/>
  <c r="AU199" i="140"/>
  <c r="AZ258" i="140"/>
  <c r="AZ259" i="140"/>
  <c r="AY259" i="140" s="1"/>
  <c r="AZ198" i="140"/>
  <c r="AZ199" i="140"/>
  <c r="AP198" i="140"/>
  <c r="AP199" i="140"/>
  <c r="BA254" i="140"/>
  <c r="BB254" i="140"/>
  <c r="AS259" i="140"/>
  <c r="AU259" i="140" s="1"/>
  <c r="BA198" i="140"/>
  <c r="BA199" i="140"/>
  <c r="AW259" i="140"/>
  <c r="O197" i="140"/>
  <c r="AW197" i="140"/>
  <c r="M197" i="140"/>
  <c r="L197" i="140"/>
  <c r="BB265" i="140"/>
  <c r="AX252" i="140"/>
  <c r="K197" i="140"/>
  <c r="BB253" i="140"/>
  <c r="BA253" i="140"/>
  <c r="BA256" i="140"/>
  <c r="BB255" i="140"/>
  <c r="BA255" i="140"/>
  <c r="Q257" i="140"/>
  <c r="R255" i="140"/>
  <c r="BB250" i="140"/>
  <c r="BA252" i="140"/>
  <c r="AV265" i="140"/>
  <c r="BB197" i="140"/>
  <c r="AW265" i="140"/>
  <c r="R197" i="140"/>
  <c r="AX265" i="140"/>
  <c r="S257" i="140"/>
  <c r="T255" i="140"/>
  <c r="G197" i="140"/>
  <c r="T196" i="140"/>
  <c r="AQ185" i="140" l="1"/>
  <c r="AZ265" i="140"/>
  <c r="AQ264" i="140"/>
  <c r="AQ265" i="140" s="1"/>
  <c r="AY264" i="140"/>
  <c r="AY265" i="140" s="1"/>
  <c r="AX200" i="140"/>
  <c r="AY245" i="140"/>
  <c r="BB240" i="140"/>
  <c r="AW243" i="140"/>
  <c r="AY240" i="140"/>
  <c r="AQ240" i="140"/>
  <c r="AV240" i="140"/>
  <c r="AW240" i="140"/>
  <c r="BA245" i="140"/>
  <c r="AX240" i="140"/>
  <c r="AU240" i="140"/>
  <c r="AV244" i="140"/>
  <c r="AX245" i="140"/>
  <c r="AU245" i="140"/>
  <c r="BB185" i="140"/>
  <c r="AY185" i="140"/>
  <c r="BB245" i="140"/>
  <c r="AW245" i="140"/>
  <c r="AQ245" i="140"/>
  <c r="AV245" i="140"/>
  <c r="AX244" i="140"/>
  <c r="AT258" i="140"/>
  <c r="AR258" i="140"/>
  <c r="AS258" i="140"/>
  <c r="AP258" i="140"/>
  <c r="AQ258" i="140" s="1"/>
  <c r="BB247" i="140"/>
  <c r="AY252" i="140"/>
  <c r="AV247" i="140"/>
  <c r="T256" i="140"/>
  <c r="T257" i="140" s="1"/>
  <c r="AQ247" i="140"/>
  <c r="AY247" i="140"/>
  <c r="R257" i="140"/>
  <c r="BA200" i="140"/>
  <c r="AV198" i="140"/>
  <c r="AP200" i="140"/>
  <c r="AZ200" i="140"/>
  <c r="AU200" i="140"/>
  <c r="AW252" i="140"/>
  <c r="BB252" i="140"/>
  <c r="T197" i="140"/>
  <c r="AY202" i="140"/>
  <c r="AU208" i="140"/>
  <c r="AY201" i="140"/>
  <c r="AS262" i="140"/>
  <c r="AU262" i="140"/>
  <c r="AV262" i="140"/>
  <c r="AX262" i="140"/>
  <c r="BB257" i="140"/>
  <c r="AU260" i="140"/>
  <c r="AV208" i="140"/>
  <c r="AQ208" i="140"/>
  <c r="AW208" i="140"/>
  <c r="BB208" i="140"/>
  <c r="AX208" i="140"/>
  <c r="BB201" i="140"/>
  <c r="AP189" i="140"/>
  <c r="AW189" i="140"/>
  <c r="BB189" i="140"/>
  <c r="AY189" i="140"/>
  <c r="AQ189" i="140"/>
  <c r="AY262" i="140"/>
  <c r="AS189" i="140"/>
  <c r="AU189" i="140"/>
  <c r="AQ201" i="140"/>
  <c r="AW201" i="140"/>
  <c r="AQ261" i="140"/>
  <c r="AV201" i="140"/>
  <c r="AZ262" i="140"/>
  <c r="BB202" i="140"/>
  <c r="AQ260" i="140"/>
  <c r="AV261" i="140"/>
  <c r="AQ202" i="140"/>
  <c r="AV202" i="140"/>
  <c r="AW202" i="140"/>
  <c r="BA260" i="140"/>
  <c r="BB260" i="140" s="1"/>
  <c r="BA261" i="140"/>
  <c r="BB261" i="140" s="1"/>
  <c r="AX261" i="140"/>
  <c r="AV260" i="140"/>
  <c r="AV259" i="140"/>
  <c r="BB199" i="140"/>
  <c r="AW198" i="140"/>
  <c r="AY198" i="140"/>
  <c r="AQ259" i="140"/>
  <c r="BB198" i="140"/>
  <c r="AX259" i="140"/>
  <c r="AQ198" i="140"/>
  <c r="BA258" i="140"/>
  <c r="BA259" i="140"/>
  <c r="BB259" i="140" s="1"/>
  <c r="AW199" i="140"/>
  <c r="AV199" i="140"/>
  <c r="AQ199" i="140"/>
  <c r="AY199" i="140"/>
  <c r="BA257" i="140"/>
  <c r="AV258" i="140" l="1"/>
  <c r="AX258" i="140"/>
  <c r="BB258" i="140"/>
  <c r="AU258" i="140"/>
  <c r="AW258" i="140"/>
  <c r="AY258" i="140"/>
  <c r="AY200" i="140"/>
  <c r="AQ200" i="140"/>
  <c r="AW200" i="140"/>
  <c r="BB200" i="140"/>
  <c r="AV200" i="140"/>
  <c r="AX189" i="140"/>
  <c r="AV189" i="140"/>
  <c r="BB262" i="140"/>
  <c r="BA262" i="140"/>
  <c r="AQ262" i="140"/>
  <c r="AP51" i="140"/>
  <c r="AP85" i="140" s="1"/>
  <c r="AV60" i="140" l="1"/>
  <c r="AU60" i="140"/>
  <c r="AX60" i="140"/>
  <c r="AW60" i="140"/>
  <c r="AX72" i="140"/>
  <c r="AW72" i="140"/>
  <c r="AU72" i="140"/>
  <c r="AU83" i="140"/>
  <c r="AV83" i="140"/>
  <c r="AV70" i="140"/>
  <c r="AU70" i="140"/>
  <c r="AV69" i="140"/>
  <c r="AU69" i="140"/>
  <c r="AV72" i="140"/>
  <c r="AV68" i="140"/>
  <c r="AU68" i="140"/>
  <c r="AU76" i="140"/>
  <c r="AV76" i="140"/>
  <c r="AW76" i="140"/>
  <c r="AX76" i="140"/>
  <c r="AW61" i="140"/>
  <c r="AX61" i="140"/>
  <c r="AU62" i="140"/>
  <c r="AV62" i="140"/>
  <c r="AU61" i="140"/>
  <c r="AV61" i="140"/>
  <c r="AW68" i="140"/>
  <c r="AX68" i="140"/>
  <c r="AU78" i="140"/>
  <c r="AV78" i="140"/>
  <c r="AX79" i="140"/>
  <c r="AW79" i="140"/>
  <c r="AX80" i="140"/>
  <c r="AW80" i="140"/>
  <c r="AX74" i="140"/>
  <c r="AW74" i="140"/>
  <c r="AU71" i="140"/>
  <c r="AV71" i="140"/>
  <c r="AT85" i="140"/>
  <c r="AX64" i="140"/>
  <c r="AW64" i="140"/>
  <c r="AW78" i="140"/>
  <c r="AX78" i="140"/>
  <c r="AW81" i="140"/>
  <c r="AX81" i="140"/>
  <c r="AV80" i="140"/>
  <c r="AU80" i="140"/>
  <c r="AX83" i="140"/>
  <c r="AW83" i="140"/>
  <c r="AW62" i="140"/>
  <c r="AX62" i="140"/>
  <c r="AW69" i="140"/>
  <c r="AX69" i="140"/>
  <c r="AU66" i="140"/>
  <c r="AV66" i="140"/>
  <c r="AW71" i="140"/>
  <c r="AX71" i="140"/>
  <c r="AW70" i="140"/>
  <c r="AX70" i="140"/>
  <c r="AX82" i="140"/>
  <c r="AW82" i="140"/>
  <c r="AU81" i="140"/>
  <c r="AV81" i="140"/>
  <c r="AX75" i="140"/>
  <c r="AW75" i="140"/>
  <c r="AV50" i="140"/>
  <c r="AV65" i="140"/>
  <c r="AU65" i="140"/>
  <c r="AW65" i="140"/>
  <c r="AX65" i="140"/>
  <c r="AX63" i="140"/>
  <c r="AW63" i="140"/>
  <c r="AU67" i="140"/>
  <c r="AV67" i="140"/>
  <c r="AV75" i="140"/>
  <c r="AU75" i="140"/>
  <c r="AU64" i="140"/>
  <c r="AV64" i="140"/>
  <c r="AV82" i="140"/>
  <c r="AU82" i="140"/>
  <c r="AV79" i="140"/>
  <c r="AU79" i="140"/>
  <c r="AV63" i="140"/>
  <c r="AU63" i="140"/>
  <c r="AW67" i="140"/>
  <c r="AX67" i="140"/>
  <c r="AU77" i="140"/>
  <c r="AV77" i="140"/>
  <c r="AV74" i="140"/>
  <c r="AU74" i="140"/>
  <c r="AT51" i="140"/>
  <c r="AW77" i="140"/>
  <c r="AX77" i="140"/>
  <c r="AX66" i="140"/>
  <c r="AW66" i="140"/>
  <c r="AS51" i="140" l="1"/>
  <c r="AS85" i="140" s="1"/>
  <c r="AX50" i="140"/>
  <c r="AR51" i="140"/>
  <c r="AR85" i="140" s="1"/>
  <c r="AU50" i="140"/>
  <c r="AU49" i="140"/>
  <c r="AX49" i="140"/>
  <c r="AW49" i="140"/>
  <c r="AW50" i="140"/>
  <c r="AV49" i="140"/>
  <c r="AV51" i="140" s="1"/>
  <c r="AV85" i="140" s="1"/>
  <c r="AX51" i="140" l="1"/>
  <c r="AX85" i="140" s="1"/>
  <c r="AU51" i="140"/>
  <c r="AU85" i="140" s="1"/>
  <c r="AW51" i="140"/>
  <c r="AW85" i="140" s="1"/>
  <c r="AP254" i="140"/>
  <c r="AP195" i="140" l="1"/>
  <c r="AP192" i="140"/>
  <c r="AQ254" i="140"/>
  <c r="AP256" i="140"/>
  <c r="AQ256" i="140" s="1"/>
  <c r="AP253" i="140"/>
  <c r="AP196" i="140"/>
  <c r="AP197" i="140" l="1"/>
  <c r="AQ253" i="140"/>
  <c r="AP255" i="140"/>
  <c r="AP257" i="140" l="1"/>
  <c r="AQ255" i="140"/>
  <c r="AR254" i="140"/>
  <c r="AR256" i="140" s="1"/>
  <c r="AV86" i="140"/>
  <c r="AU86" i="140"/>
  <c r="AU90" i="140"/>
  <c r="AV90" i="140"/>
  <c r="AV87" i="140"/>
  <c r="AU87" i="140"/>
  <c r="AV89" i="140"/>
  <c r="AU89" i="140"/>
  <c r="AV88" i="140"/>
  <c r="AU88" i="140"/>
  <c r="AS196" i="140"/>
  <c r="AS195" i="140" l="1"/>
  <c r="AS197" i="140" s="1"/>
  <c r="AS192" i="140"/>
  <c r="AR195" i="140"/>
  <c r="AR192" i="140"/>
  <c r="AQ257" i="140"/>
  <c r="AR253" i="140"/>
  <c r="AR255" i="140" s="1"/>
  <c r="AR257" i="140" s="1"/>
  <c r="AR196" i="140"/>
  <c r="AS253" i="140"/>
  <c r="AS255" i="140" s="1"/>
  <c r="AS254" i="140"/>
  <c r="AS256" i="140" s="1"/>
  <c r="AR197" i="140" l="1"/>
  <c r="AS257" i="140"/>
  <c r="AX86" i="140"/>
  <c r="AW86" i="140"/>
  <c r="AW90" i="140"/>
  <c r="AX90" i="140"/>
  <c r="AT196" i="140"/>
  <c r="AW88" i="140"/>
  <c r="AX88" i="140"/>
  <c r="AX87" i="140"/>
  <c r="AW87" i="140"/>
  <c r="AW89" i="140"/>
  <c r="AX89" i="140"/>
  <c r="AQ51" i="140"/>
  <c r="AT253" i="140" l="1"/>
  <c r="AT255" i="140" s="1"/>
  <c r="AT192" i="140"/>
  <c r="AT254" i="140"/>
  <c r="AT256" i="140" s="1"/>
  <c r="AT195" i="140"/>
  <c r="AT197" i="140" s="1"/>
  <c r="AT257" i="140" l="1"/>
  <c r="AY60" i="140"/>
  <c r="AQ60" i="140"/>
  <c r="AY49" i="140" l="1"/>
  <c r="AQ85" i="140"/>
  <c r="AQ72" i="140"/>
  <c r="AY72" i="140"/>
  <c r="AY83" i="140"/>
  <c r="AQ83" i="140"/>
  <c r="AY82" i="140"/>
  <c r="AQ82" i="140"/>
  <c r="AQ77" i="140"/>
  <c r="AY77" i="140"/>
  <c r="AQ74" i="140"/>
  <c r="AY74" i="140"/>
  <c r="AQ64" i="140"/>
  <c r="AY64" i="140"/>
  <c r="AY70" i="140"/>
  <c r="AQ70" i="140"/>
  <c r="AY76" i="140"/>
  <c r="AQ76" i="140"/>
  <c r="AY61" i="140"/>
  <c r="AQ61" i="140"/>
  <c r="AY81" i="140"/>
  <c r="AQ81" i="140"/>
  <c r="AQ66" i="140"/>
  <c r="AY66" i="140"/>
  <c r="AY62" i="140"/>
  <c r="AQ62" i="140"/>
  <c r="AY63" i="140"/>
  <c r="AQ63" i="140"/>
  <c r="AY50" i="140"/>
  <c r="AQ78" i="140"/>
  <c r="AY78" i="140"/>
  <c r="AY71" i="140"/>
  <c r="AQ71" i="140"/>
  <c r="AY67" i="140"/>
  <c r="AQ67" i="140"/>
  <c r="AQ75" i="140"/>
  <c r="AY75" i="140"/>
  <c r="AY68" i="140"/>
  <c r="AQ68" i="140"/>
  <c r="AY69" i="140"/>
  <c r="AQ69" i="140"/>
  <c r="AY65" i="140"/>
  <c r="AQ65" i="140"/>
  <c r="AQ79" i="140"/>
  <c r="AY79" i="140"/>
  <c r="AQ80" i="140"/>
  <c r="AY80" i="140"/>
  <c r="BB60" i="140"/>
  <c r="BB49" i="140"/>
  <c r="BB50" i="140"/>
  <c r="BB66" i="140"/>
  <c r="BB70" i="140"/>
  <c r="BB80" i="140"/>
  <c r="BB79" i="140"/>
  <c r="BB81" i="140"/>
  <c r="BB62" i="140"/>
  <c r="BB76" i="140"/>
  <c r="BB65" i="140"/>
  <c r="BB78" i="140"/>
  <c r="BB69" i="140"/>
  <c r="BB72" i="140"/>
  <c r="BB67" i="140"/>
  <c r="BB77" i="140"/>
  <c r="BB64" i="140"/>
  <c r="BB82" i="140"/>
  <c r="BB75" i="140"/>
  <c r="BB61" i="140"/>
  <c r="BB71" i="140"/>
  <c r="BB83" i="140"/>
  <c r="BB68" i="140"/>
  <c r="BB74" i="140"/>
  <c r="BB63" i="140"/>
  <c r="AY51" i="140" l="1"/>
  <c r="AY85" i="140" s="1"/>
  <c r="BB51" i="140"/>
  <c r="BB85" i="140" s="1"/>
  <c r="AZ51" i="140"/>
  <c r="AZ85" i="140" s="1"/>
  <c r="BA51" i="140"/>
  <c r="BA85" i="140" s="1"/>
  <c r="BB86" i="140"/>
  <c r="AY86" i="140"/>
  <c r="AQ86" i="140"/>
  <c r="AQ88" i="140"/>
  <c r="AY88" i="140"/>
  <c r="AQ90" i="140"/>
  <c r="AY87" i="140"/>
  <c r="AQ87" i="140"/>
  <c r="AY89" i="140"/>
  <c r="AQ89" i="140"/>
  <c r="AY90" i="140"/>
  <c r="BB90" i="140"/>
  <c r="BB87" i="140"/>
  <c r="AZ196" i="140"/>
  <c r="BB89" i="140"/>
  <c r="BB88" i="140"/>
  <c r="AQ196" i="140"/>
  <c r="BA196" i="140"/>
  <c r="AQ195" i="140" l="1"/>
  <c r="AQ197" i="140" s="1"/>
  <c r="AQ192" i="140"/>
  <c r="BA195" i="140"/>
  <c r="BA197" i="140" s="1"/>
  <c r="BA192" i="140"/>
  <c r="AZ195" i="140"/>
  <c r="AZ197" i="140" s="1"/>
  <c r="AZ192" i="140"/>
  <c r="M74" i="125" l="1"/>
  <c r="O74" i="125"/>
  <c r="N75" i="125"/>
  <c r="O71" i="125"/>
  <c r="N71" i="125"/>
  <c r="N74" i="125"/>
  <c r="E75" i="125"/>
  <c r="F75" i="125"/>
  <c r="H75" i="125"/>
  <c r="Q71" i="125"/>
  <c r="Q75" i="125"/>
  <c r="Q74" i="125"/>
  <c r="P74" i="125"/>
  <c r="M75" i="125"/>
  <c r="P75" i="125"/>
  <c r="P71" i="125"/>
  <c r="R74" i="125"/>
  <c r="R71" i="125"/>
  <c r="R75" i="125"/>
  <c r="D75" i="125"/>
  <c r="I75" i="125"/>
  <c r="G75" i="125"/>
  <c r="M71" i="125"/>
  <c r="I71" i="125"/>
  <c r="I74" i="125"/>
  <c r="G74" i="125"/>
  <c r="E71" i="125"/>
  <c r="E74" i="125"/>
  <c r="H71" i="125"/>
  <c r="H74" i="125"/>
  <c r="G71" i="125"/>
  <c r="D71" i="125"/>
  <c r="D74" i="125"/>
  <c r="O75" i="125"/>
  <c r="F71" i="125"/>
  <c r="F74" i="125"/>
  <c r="L71" i="125" l="1"/>
  <c r="Q73" i="125"/>
  <c r="T45" i="125"/>
  <c r="T51" i="125"/>
  <c r="N72" i="125"/>
  <c r="K74" i="125"/>
  <c r="R72" i="125"/>
  <c r="U75" i="125"/>
  <c r="Q72" i="125"/>
  <c r="P73" i="125"/>
  <c r="M73" i="125"/>
  <c r="S71" i="125"/>
  <c r="K71" i="125"/>
  <c r="L74" i="125"/>
  <c r="J71" i="125"/>
  <c r="U71" i="125"/>
  <c r="T75" i="125"/>
  <c r="R73" i="125"/>
  <c r="T74" i="125"/>
  <c r="T71" i="125"/>
  <c r="J74" i="125"/>
  <c r="L75" i="125"/>
  <c r="S74" i="125"/>
  <c r="U74" i="125"/>
  <c r="S75" i="125"/>
  <c r="J75" i="125"/>
  <c r="K75" i="125"/>
  <c r="N73" i="125"/>
  <c r="P72" i="125"/>
  <c r="M72" i="125"/>
  <c r="O72" i="125"/>
  <c r="O73" i="125"/>
  <c r="U30" i="125" l="1"/>
  <c r="S30" i="125"/>
  <c r="S31" i="125"/>
  <c r="T30" i="125"/>
  <c r="T31" i="125"/>
  <c r="U31" i="125"/>
  <c r="U37" i="125"/>
  <c r="U38" i="125"/>
  <c r="U51" i="125"/>
  <c r="S52" i="125"/>
  <c r="T37" i="125"/>
  <c r="S45" i="125"/>
  <c r="T38" i="125"/>
  <c r="S51" i="125"/>
  <c r="S38" i="125"/>
  <c r="S44" i="125"/>
  <c r="S37" i="125"/>
  <c r="T59" i="125"/>
  <c r="T52" i="125"/>
  <c r="U45" i="125"/>
  <c r="U44" i="125"/>
  <c r="T44" i="125"/>
  <c r="U59" i="125"/>
  <c r="U58" i="125"/>
  <c r="S59" i="125"/>
  <c r="U52" i="125"/>
  <c r="S58" i="125"/>
  <c r="T58" i="12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9C7F8C-E5EE-443F-882C-A499619A47C2}" keepAlive="1" name="ModelConnection_ExternalData_1" description="数据模型" type="5" refreshedVersion="8" minRefreshableVersion="5" saveData="1">
    <dbPr connection="Data Model Connection" command="全店核心数据_bymonth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0000000}" keepAlive="1" name="ThisWorkbookDataModel" description="数据模型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65D1DC1F-B591-4D98-AABE-26D679DFC638}" keepAlive="1" name="查询 - jda日历" description="与工作簿中“jda日历”查询的连接。" type="5" refreshedVersion="8" background="1" saveData="1">
    <dbPr connection="Provider=Microsoft.Mashup.OleDb.1;Data Source=$Workbook$;Location=jda日历;Extended Properties=&quot;&quot;" command="SELECT * FROM [jda日历]"/>
  </connection>
  <connection id="4" xr16:uid="{3EC22AF9-3209-43AE-9CD1-F8221D4F9F76}" keepAlive="1" name="查询 - month_shopquery" description="与工作簿中“month_shopquery”查询的连接。" type="5" refreshedVersion="8" background="1" saveData="1">
    <dbPr connection="Provider=Microsoft.Mashup.OleDb.1;Data Source=$Workbook$;Location=month_shopquery;Extended Properties=&quot;&quot;" command="SELECT * FROM [month_shopquery]"/>
  </connection>
  <connection id="5" xr16:uid="{BFEE0855-86B2-4E0A-A30C-DA9F4E69D9D2}" keepAlive="1" name="查询 - 目标表" description="与工作簿中“目标表”查询的连接。" type="5" refreshedVersion="8" background="1" saveData="1">
    <dbPr connection="Provider=Microsoft.Mashup.OleDb.1;Data Source=$Workbook$;Location=目标表;Extended Properties=&quot;&quot;" command="SELECT * FROM [目标表]"/>
  </connection>
  <connection id="6" xr16:uid="{3435A4F6-0A01-4C26-8DF1-D720A2093F3C}" name="查询 - 全店核心数据_bymonth" description="与工作簿中“全店核心数据_bymonth”查询的连接。" type="100" refreshedVersion="8" minRefreshableVersion="5">
    <extLst>
      <ext xmlns:x15="http://schemas.microsoft.com/office/spreadsheetml/2010/11/main" uri="{DE250136-89BD-433C-8126-D09CA5730AF9}">
        <x15:connection id="59ef10f2-85fc-435e-82b3-5b7b44f09139"/>
      </ext>
    </extLst>
  </connection>
  <connection id="7" xr16:uid="{4BB07B96-E11E-45EE-81FD-A26CF40FFA01}" keepAlive="1" name="查询 - 数据库" description="与工作簿中“数据库”查询的连接。" type="5" refreshedVersion="0" background="1">
    <dbPr connection="Provider=Microsoft.Mashup.OleDb.1;Data Source=$Workbook$;Location=数据库;Extended Properties=&quot;&quot;" command="SELECT * FROM [数据库]"/>
  </connection>
  <connection id="8" xr16:uid="{330F6AF2-AEFC-48FC-90EB-0C79E638BFBE}" keepAlive="1" name="查询 - 主机" description="与工作簿中“主机”查询的连接。" type="5" refreshedVersion="0" background="1">
    <dbPr connection="Provider=Microsoft.Mashup.OleDb.1;Data Source=$Workbook$;Location=主机;Extended Properties=&quot;&quot;" command="SELECT * FROM [主机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<sst xmlns="http://schemas.openxmlformats.org/spreadsheetml/2006/main" count="67639" uniqueCount="919">
  <si>
    <t>总计</t>
  </si>
  <si>
    <t>值</t>
  </si>
  <si>
    <t>广告流量</t>
  </si>
  <si>
    <t>平台流量</t>
  </si>
  <si>
    <t>站外广告</t>
  </si>
  <si>
    <t>uv</t>
  </si>
  <si>
    <t>dunhill登喜路官方旗舰店</t>
  </si>
  <si>
    <t>zegna杰尼亚官方旗舰店</t>
  </si>
  <si>
    <t>user_name</t>
  </si>
  <si>
    <t>stat_date</t>
  </si>
  <si>
    <t>dun</t>
  </si>
  <si>
    <t>zegna</t>
  </si>
  <si>
    <t>bc</t>
  </si>
  <si>
    <t>src_name</t>
  </si>
  <si>
    <t>ea_id</t>
  </si>
  <si>
    <t>shop_id</t>
  </si>
  <si>
    <t>plat_shop_id</t>
  </si>
  <si>
    <t>src_id</t>
  </si>
  <si>
    <t>src_level</t>
  </si>
  <si>
    <t>parent_src_id</t>
  </si>
  <si>
    <t>parent_src_name</t>
  </si>
  <si>
    <t>own_principle</t>
  </si>
  <si>
    <t>uv_cm_130</t>
  </si>
  <si>
    <t>ipv_uv_cm_018</t>
  </si>
  <si>
    <t>crt_ord_byr_cnt_cm_010</t>
  </si>
  <si>
    <t>crt_ord_vld_amt_cm_008</t>
  </si>
  <si>
    <t>clt_byr_cnt_cm_058</t>
  </si>
  <si>
    <t>clt_byr_cnt_cm_063</t>
  </si>
  <si>
    <t>pay_ord_byr_cnt_cm_161</t>
  </si>
  <si>
    <t>pay_ord_byr_cnt_cm_162</t>
  </si>
  <si>
    <t>pay_ord_byr_cnt_cm_163</t>
  </si>
  <si>
    <t>pay_ord_byr_cnt_cm_164</t>
  </si>
  <si>
    <t>etl_create_time</t>
  </si>
  <si>
    <t>etl_modify_time</t>
  </si>
  <si>
    <t>adv_clk_cnt_cm_023</t>
  </si>
  <si>
    <t>adv_e_pay_ord_amt_cm_001</t>
  </si>
  <si>
    <t>pay_ord_amt_cm_196</t>
  </si>
  <si>
    <t>pay_ord_byr_cnt_cm_219</t>
  </si>
  <si>
    <t>all</t>
  </si>
  <si>
    <t>-</t>
  </si>
  <si>
    <t>brunellocucinelli旗舰店</t>
  </si>
  <si>
    <t>流量宝</t>
  </si>
  <si>
    <t>UD效果投放</t>
  </si>
  <si>
    <t>淘宝客</t>
  </si>
  <si>
    <t>UD品牌投放</t>
  </si>
  <si>
    <t>src_name2</t>
  </si>
  <si>
    <t>TRAFFIC CHANNEL</t>
  </si>
  <si>
    <t>DUNHILL</t>
  </si>
  <si>
    <t>UV</t>
  </si>
  <si>
    <t>PAID</t>
  </si>
  <si>
    <t>NON-PAID</t>
  </si>
  <si>
    <t>品牌定制</t>
  </si>
  <si>
    <t>品牌广告</t>
  </si>
  <si>
    <t>Showmax</t>
  </si>
  <si>
    <t>超级直播</t>
  </si>
  <si>
    <t>内容广告</t>
  </si>
  <si>
    <t>超级短视频</t>
  </si>
  <si>
    <t>效果广告</t>
  </si>
  <si>
    <t>超级全域通</t>
  </si>
  <si>
    <t>品牌特秀</t>
  </si>
  <si>
    <t>单媒体营销</t>
  </si>
  <si>
    <t>品销宝- 品牌专区</t>
  </si>
  <si>
    <t>超级互动城</t>
  </si>
  <si>
    <t>万相台</t>
  </si>
  <si>
    <t>引力魔方</t>
  </si>
  <si>
    <t>直通车</t>
  </si>
  <si>
    <t>短直联动</t>
  </si>
  <si>
    <t>品销宝- 明星店铺</t>
  </si>
  <si>
    <t>广告二级</t>
    <phoneticPr fontId="13" type="noConversion"/>
  </si>
  <si>
    <t>站外投放</t>
  </si>
  <si>
    <t>站外投放 汇总</t>
  </si>
  <si>
    <t>JCGP</t>
  </si>
  <si>
    <t>内容投放</t>
  </si>
  <si>
    <t>内容投放 汇总</t>
  </si>
  <si>
    <t>CHANNEL</t>
  </si>
  <si>
    <t>YOY</t>
  </si>
  <si>
    <t>UV%</t>
  </si>
  <si>
    <t>DISPLAY</t>
  </si>
  <si>
    <t>SEARCH</t>
  </si>
  <si>
    <t>AI</t>
  </si>
  <si>
    <t>BRANDZONE</t>
  </si>
  <si>
    <t>AFF</t>
  </si>
  <si>
    <t>SUPER LS</t>
  </si>
  <si>
    <t>PAID TTL</t>
  </si>
  <si>
    <t>MOBILE SEARCH</t>
  </si>
  <si>
    <t>RECOMMENDATION</t>
  </si>
  <si>
    <t>OTHER FREE</t>
  </si>
  <si>
    <t>ORGANIC</t>
  </si>
  <si>
    <t>MOBILE TMALL</t>
  </si>
  <si>
    <t>MOBILE LIVESTREAM</t>
  </si>
  <si>
    <t>MOBILE OTHER SHOP</t>
  </si>
  <si>
    <t>SCAN</t>
  </si>
  <si>
    <t>CRM</t>
  </si>
  <si>
    <t>CAMPAIGN</t>
  </si>
  <si>
    <t>NON-PAID TTL</t>
  </si>
  <si>
    <t>TOTAL</t>
  </si>
  <si>
    <t>日期类型</t>
  </si>
  <si>
    <t>统计日期</t>
  </si>
  <si>
    <t>一级来源</t>
  </si>
  <si>
    <t>二级来源</t>
  </si>
  <si>
    <t>访客数</t>
  </si>
  <si>
    <t>新访客数</t>
  </si>
  <si>
    <t>加购人数</t>
  </si>
  <si>
    <t>商品收藏人数</t>
  </si>
  <si>
    <t>下单金额</t>
  </si>
  <si>
    <t>下单买家数</t>
  </si>
  <si>
    <t>支付金额</t>
  </si>
  <si>
    <t>支付买家数</t>
  </si>
  <si>
    <t>引导店铺页访客数</t>
  </si>
  <si>
    <t>引导商品访客数</t>
  </si>
  <si>
    <t>month</t>
  </si>
  <si>
    <t>88VIP频道</t>
  </si>
  <si>
    <t>一淘</t>
  </si>
  <si>
    <t>关注</t>
  </si>
  <si>
    <t>大促会场</t>
  </si>
  <si>
    <t>天猫关注</t>
  </si>
  <si>
    <t>天猫小黑盒</t>
  </si>
  <si>
    <t>天猫榜单</t>
  </si>
  <si>
    <t>天猫超市</t>
  </si>
  <si>
    <t>我的淘宝</t>
  </si>
  <si>
    <t>手机天猫</t>
  </si>
  <si>
    <t>手机浏览器访问淘宝</t>
  </si>
  <si>
    <t>手淘充值</t>
  </si>
  <si>
    <t>手淘其他店铺</t>
  </si>
  <si>
    <t>手淘发表评价</t>
  </si>
  <si>
    <t>手淘我的评价</t>
  </si>
  <si>
    <t>手淘拍立淘</t>
  </si>
  <si>
    <t>手淘推荐</t>
  </si>
  <si>
    <t>手淘搜索</t>
  </si>
  <si>
    <t>手淘摇现金</t>
  </si>
  <si>
    <t>手淘旺信</t>
  </si>
  <si>
    <t>手淘有好价</t>
  </si>
  <si>
    <t>手淘有好货</t>
  </si>
  <si>
    <t>手淘消息中心</t>
  </si>
  <si>
    <t>手淘淘宝直播</t>
  </si>
  <si>
    <t>手淘淘金币</t>
  </si>
  <si>
    <t>手淘确认订单</t>
  </si>
  <si>
    <t>手淘问大家</t>
  </si>
  <si>
    <t>日常营销活动</t>
  </si>
  <si>
    <t>淘内待分类</t>
  </si>
  <si>
    <t>淘口令分享</t>
  </si>
  <si>
    <t>淘外网站</t>
  </si>
  <si>
    <t>淘宝好价</t>
  </si>
  <si>
    <t>淘宝特价版</t>
  </si>
  <si>
    <t>淘宝跨境站点</t>
  </si>
  <si>
    <t>淘工厂直营</t>
  </si>
  <si>
    <t>电视淘宝</t>
  </si>
  <si>
    <t>百亿补贴</t>
  </si>
  <si>
    <t>直接访问</t>
  </si>
  <si>
    <t>短视频全屏页上下滑</t>
  </si>
  <si>
    <t>红包签到</t>
  </si>
  <si>
    <t>聚划算会场</t>
  </si>
  <si>
    <t>芭芭农场</t>
  </si>
  <si>
    <t>购物车</t>
  </si>
  <si>
    <t>逛逛</t>
  </si>
  <si>
    <t>闲鱼</t>
  </si>
  <si>
    <t>阿里拍卖</t>
  </si>
  <si>
    <t>飞猪</t>
  </si>
  <si>
    <t>三级来源</t>
  </si>
  <si>
    <t>主会场</t>
  </si>
  <si>
    <t>榜单会场</t>
  </si>
  <si>
    <t>其他入口榜单</t>
  </si>
  <si>
    <t>手机浏览器访问天猫</t>
  </si>
  <si>
    <t>手猫免费其他</t>
  </si>
  <si>
    <t>手猫其他店铺</t>
  </si>
  <si>
    <t>手猫商品详情</t>
  </si>
  <si>
    <t>手猫搜索</t>
  </si>
  <si>
    <t>手猫旺信聊天</t>
  </si>
  <si>
    <t>手猫首页</t>
  </si>
  <si>
    <t>商品详情页头图推荐</t>
  </si>
  <si>
    <t>店铺超链</t>
  </si>
  <si>
    <t>其他猜你喜欢</t>
  </si>
  <si>
    <t>购中推荐</t>
  </si>
  <si>
    <t>购后推荐</t>
  </si>
  <si>
    <t>首页推荐-微详情</t>
  </si>
  <si>
    <t>首页推荐-直播</t>
  </si>
  <si>
    <t>首页推荐-短视频</t>
  </si>
  <si>
    <t>手淘搜索-商品及其他</t>
  </si>
  <si>
    <t>手淘搜索-直播</t>
  </si>
  <si>
    <t>手淘搜索-短视频</t>
  </si>
  <si>
    <t>淘特其他渠道</t>
  </si>
  <si>
    <t>淘特搜索</t>
  </si>
  <si>
    <t>飞猪其他</t>
  </si>
  <si>
    <t>品销宝-品牌专区</t>
  </si>
  <si>
    <t>[NULL]</t>
  </si>
  <si>
    <t>大客权益会场</t>
  </si>
  <si>
    <t>天猫U先试用</t>
  </si>
  <si>
    <t>每日好店</t>
  </si>
  <si>
    <t>聚划算</t>
  </si>
  <si>
    <t>阿里妈妈权益会场</t>
  </si>
  <si>
    <t>超级惊喜站</t>
  </si>
  <si>
    <t>商品详情页入口榜单</t>
  </si>
  <si>
    <t>手猫消息中心</t>
  </si>
  <si>
    <t>推荐云主题</t>
  </si>
  <si>
    <t>阿里妈妈超级惊喜站</t>
  </si>
  <si>
    <t>搜索入口榜单</t>
  </si>
  <si>
    <t>淘特互动游戏</t>
  </si>
  <si>
    <t>淘特推荐</t>
  </si>
  <si>
    <t>红包省钱卡</t>
  </si>
  <si>
    <t>行标签</t>
  </si>
  <si>
    <t>列标签</t>
  </si>
  <si>
    <t>税率</t>
    <phoneticPr fontId="18" type="noConversion"/>
  </si>
  <si>
    <t>汇率</t>
    <phoneticPr fontId="18" type="noConversion"/>
  </si>
  <si>
    <t>5.15-5.20</t>
    <phoneticPr fontId="18" type="noConversion"/>
  </si>
  <si>
    <t>KPI</t>
  </si>
  <si>
    <t>COMPAIGN</t>
  </si>
  <si>
    <t>BRANDING</t>
    <phoneticPr fontId="18" type="noConversion"/>
  </si>
  <si>
    <t>LY</t>
    <phoneticPr fontId="18" type="noConversion"/>
  </si>
  <si>
    <t>HEYBOX</t>
    <phoneticPr fontId="18" type="noConversion"/>
  </si>
  <si>
    <t>YOY</t>
    <phoneticPr fontId="18" type="noConversion"/>
  </si>
  <si>
    <t xml:space="preserve">GMV </t>
  </si>
  <si>
    <t>NET</t>
  </si>
  <si>
    <t>Buyers</t>
  </si>
  <si>
    <t>Units</t>
  </si>
  <si>
    <t>CR</t>
  </si>
  <si>
    <t>ATV</t>
  </si>
  <si>
    <t>AUR</t>
    <phoneticPr fontId="18" type="noConversion"/>
  </si>
  <si>
    <t>UPT</t>
  </si>
  <si>
    <t>RRC</t>
    <phoneticPr fontId="18" type="noConversion"/>
  </si>
  <si>
    <t>RR</t>
    <phoneticPr fontId="18" type="noConversion"/>
  </si>
  <si>
    <t>Pre-Sales</t>
  </si>
  <si>
    <t>Pre-Sales%</t>
    <phoneticPr fontId="18" type="noConversion"/>
  </si>
  <si>
    <t>MD GMV</t>
    <phoneticPr fontId="18" type="noConversion"/>
  </si>
  <si>
    <t>MD%</t>
    <phoneticPr fontId="18" type="noConversion"/>
  </si>
  <si>
    <t>淘特自主访问</t>
  </si>
  <si>
    <t>热点会场</t>
  </si>
  <si>
    <t>盒马</t>
  </si>
  <si>
    <t>手淘社区</t>
  </si>
  <si>
    <t>year</t>
    <phoneticPr fontId="13" type="noConversion"/>
  </si>
  <si>
    <t>month</t>
    <phoneticPr fontId="13" type="noConversion"/>
  </si>
  <si>
    <t>UV YOY</t>
  </si>
  <si>
    <t>CONTENT</t>
  </si>
  <si>
    <t>YOY</t>
    <phoneticPr fontId="13" type="noConversion"/>
  </si>
  <si>
    <t>TTL</t>
    <phoneticPr fontId="13" type="noConversion"/>
  </si>
  <si>
    <t>(全部)</t>
  </si>
  <si>
    <t>SUPER VIDEO</t>
  </si>
  <si>
    <t>OUTSIDE</t>
  </si>
  <si>
    <t>SUB-CHANNEL</t>
  </si>
  <si>
    <t>TY</t>
  </si>
  <si>
    <t>LY</t>
  </si>
  <si>
    <t>TY UV%</t>
  </si>
  <si>
    <t>LY UV%</t>
  </si>
  <si>
    <t>UV% YOY</t>
  </si>
  <si>
    <t>NON-PAID</t>
    <phoneticPr fontId="13" type="noConversion"/>
  </si>
  <si>
    <t>Apr</t>
  </si>
  <si>
    <t>May</t>
  </si>
  <si>
    <t>BU25</t>
  </si>
  <si>
    <t>BU24</t>
  </si>
  <si>
    <t>FREE</t>
  </si>
  <si>
    <t>PAID%</t>
    <phoneticPr fontId="13" type="noConversion"/>
  </si>
  <si>
    <t>FREE%</t>
    <phoneticPr fontId="13" type="noConversion"/>
  </si>
  <si>
    <t>淘宝直播</t>
  </si>
  <si>
    <t>小黑盒频道</t>
  </si>
  <si>
    <t>YTD</t>
    <phoneticPr fontId="13" type="noConversion"/>
  </si>
  <si>
    <t>Value YOY</t>
    <phoneticPr fontId="13" type="noConversion"/>
  </si>
  <si>
    <t>Actual</t>
  </si>
  <si>
    <t>Actual</t>
    <phoneticPr fontId="13" type="noConversion"/>
  </si>
  <si>
    <t>Actual Excl. Tax</t>
  </si>
  <si>
    <t>Actual Excl. Tax</t>
    <phoneticPr fontId="18" type="noConversion"/>
  </si>
  <si>
    <t>LY Actual</t>
  </si>
  <si>
    <t>LY Actual</t>
    <phoneticPr fontId="18" type="noConversion"/>
  </si>
  <si>
    <t>LY Actual Excl. Tax</t>
  </si>
  <si>
    <t>LY Actual Excl. Tax</t>
    <phoneticPr fontId="18" type="noConversion"/>
  </si>
  <si>
    <t>D11</t>
    <phoneticPr fontId="13" type="noConversion"/>
  </si>
  <si>
    <t>CVD</t>
    <phoneticPr fontId="13" type="noConversion"/>
  </si>
  <si>
    <t>CNY</t>
    <phoneticPr fontId="13" type="noConversion"/>
  </si>
  <si>
    <t>DATE</t>
    <phoneticPr fontId="13" type="noConversion"/>
  </si>
  <si>
    <t>浏览量</t>
  </si>
  <si>
    <t>商品访客数</t>
  </si>
  <si>
    <t>商品浏览量</t>
  </si>
  <si>
    <t>商品收藏次数</t>
  </si>
  <si>
    <t>支付子订单数</t>
  </si>
  <si>
    <t>支付件数</t>
  </si>
  <si>
    <t>客单价</t>
  </si>
  <si>
    <t>UV价值</t>
  </si>
  <si>
    <t>老访客数</t>
  </si>
  <si>
    <t>加购件数</t>
  </si>
  <si>
    <t>支付老买家数</t>
  </si>
  <si>
    <t>老买家支付金额</t>
  </si>
  <si>
    <t>直通车消耗</t>
  </si>
  <si>
    <t>钻石展位消耗</t>
  </si>
  <si>
    <t>淘宝客佣金</t>
  </si>
  <si>
    <t>支付父订单数</t>
  </si>
  <si>
    <t>Q2</t>
  </si>
  <si>
    <t>Q1</t>
  </si>
  <si>
    <t>Q4</t>
  </si>
  <si>
    <t>Q3</t>
  </si>
  <si>
    <t>BU23</t>
  </si>
  <si>
    <t>开始日期</t>
  </si>
  <si>
    <t>结束日期</t>
  </si>
  <si>
    <t>超级推荐消耗</t>
  </si>
  <si>
    <t>万相台消耗</t>
  </si>
  <si>
    <t>引力魔方消耗</t>
  </si>
  <si>
    <t>成功退款完结金额</t>
  </si>
  <si>
    <t>关注店铺人数</t>
  </si>
  <si>
    <t>支付退款金额</t>
  </si>
  <si>
    <t>2022-04-01~2022-04-30</t>
  </si>
  <si>
    <t>2022-05-01~2022-05-31</t>
  </si>
  <si>
    <t>2022-06-01~2022-06-30</t>
  </si>
  <si>
    <t>2022-07-01~2022-07-31</t>
  </si>
  <si>
    <t>2022-08-01~2022-08-31</t>
  </si>
  <si>
    <t>2022-09-01~2022-09-30</t>
  </si>
  <si>
    <t>2022-10-01~2022-10-31</t>
  </si>
  <si>
    <t>2022-11-01~2022-11-30</t>
  </si>
  <si>
    <t>2022-12-01~2022-12-31</t>
  </si>
  <si>
    <t>2023-01-01~2023-01-31</t>
  </si>
  <si>
    <t>2023-02-01~2023-02-28</t>
  </si>
  <si>
    <t>2023-03-01~2023-03-31</t>
  </si>
  <si>
    <t>2023-04-01~2023-04-30</t>
  </si>
  <si>
    <t>2023-05-01~2023-05-31</t>
  </si>
  <si>
    <t>2023-06-01~2023-06-30</t>
  </si>
  <si>
    <t>2023-07-01~2023-07-31</t>
  </si>
  <si>
    <t>2023-08-01~2023-08-31</t>
  </si>
  <si>
    <t>2023-09-01~2023-09-30</t>
  </si>
  <si>
    <t>2023-10-01~2023-10-31</t>
  </si>
  <si>
    <t>2023-11-01~2023-11-30</t>
  </si>
  <si>
    <t>2023-12-01~2023-12-31</t>
  </si>
  <si>
    <t>2024-01-01~2024-01-31</t>
  </si>
  <si>
    <t>2024-02-01~2024-02-29</t>
  </si>
  <si>
    <t>2024-04-01~2024-04-30</t>
  </si>
  <si>
    <t>2024-05-01~2024-05-31</t>
  </si>
  <si>
    <t>2024-06-01~2024-06-30</t>
  </si>
  <si>
    <t>2024-07-01~2024-07-31</t>
  </si>
  <si>
    <t>md_gmv</t>
  </si>
  <si>
    <t>md_net</t>
  </si>
  <si>
    <t>BU25</t>
    <phoneticPr fontId="13" type="noConversion"/>
  </si>
  <si>
    <t>GMV</t>
    <phoneticPr fontId="13" type="noConversion"/>
  </si>
  <si>
    <t>NET</t>
    <phoneticPr fontId="13" type="noConversion"/>
  </si>
  <si>
    <t>UV</t>
    <phoneticPr fontId="13" type="noConversion"/>
  </si>
  <si>
    <t>BU24</t>
    <phoneticPr fontId="13" type="noConversion"/>
  </si>
  <si>
    <t>PayYear</t>
    <phoneticPr fontId="13" type="noConversion"/>
  </si>
  <si>
    <t>MTD YOY</t>
    <phoneticPr fontId="13" type="noConversion"/>
  </si>
  <si>
    <t>CURDATE</t>
    <phoneticPr fontId="13" type="noConversion"/>
  </si>
  <si>
    <t>PFS含税</t>
    <phoneticPr fontId="13" type="noConversion"/>
  </si>
  <si>
    <t>OFS含税</t>
    <phoneticPr fontId="13" type="noConversion"/>
  </si>
  <si>
    <t>WBTQ含税</t>
    <phoneticPr fontId="13" type="noConversion"/>
  </si>
  <si>
    <t>WBTQ去税</t>
    <phoneticPr fontId="13" type="noConversion"/>
  </si>
  <si>
    <t>TOTAL含税</t>
    <phoneticPr fontId="13" type="noConversion"/>
  </si>
  <si>
    <t>TOTAL去税</t>
    <phoneticPr fontId="13" type="noConversion"/>
  </si>
  <si>
    <t>YOY Ex FF</t>
    <phoneticPr fontId="13" type="noConversion"/>
  </si>
  <si>
    <t>2024-08-01~2024-08-31</t>
  </si>
  <si>
    <t>D12</t>
    <phoneticPr fontId="13" type="noConversion"/>
  </si>
  <si>
    <t>DTC含税</t>
    <phoneticPr fontId="13" type="noConversion"/>
  </si>
  <si>
    <t>DTC去税</t>
    <phoneticPr fontId="13" type="noConversion"/>
  </si>
  <si>
    <t>OTHER APPS</t>
  </si>
  <si>
    <t>ZEGNA</t>
  </si>
  <si>
    <t>BC</t>
  </si>
  <si>
    <t>PAID%</t>
  </si>
  <si>
    <t>Outside Tmall Channels%</t>
  </si>
  <si>
    <t>NON-PAID%</t>
  </si>
  <si>
    <t>竞店流量分布</t>
    <phoneticPr fontId="13" type="noConversion"/>
  </si>
  <si>
    <t>uv_cm_015</t>
  </si>
  <si>
    <t>uv_cm_100</t>
  </si>
  <si>
    <t>pay_ord_byr_cnt_cm_008</t>
  </si>
  <si>
    <t>pay_ord_amt_cm_009</t>
  </si>
  <si>
    <t>cart_byr_cnt_cm_029</t>
  </si>
  <si>
    <t>23.5044.1</t>
  </si>
  <si>
    <t>2024-09-01~2024-09-30</t>
  </si>
  <si>
    <t>TY UV</t>
    <phoneticPr fontId="13" type="noConversion"/>
  </si>
  <si>
    <t>LY UV</t>
    <phoneticPr fontId="13" type="noConversion"/>
  </si>
  <si>
    <t>TY CR</t>
    <phoneticPr fontId="13" type="noConversion"/>
  </si>
  <si>
    <t>LY CR</t>
    <phoneticPr fontId="13" type="noConversion"/>
  </si>
  <si>
    <t>BUYERS</t>
  </si>
  <si>
    <t>TY BUYERS</t>
    <phoneticPr fontId="13" type="noConversion"/>
  </si>
  <si>
    <t>LY BUYERS</t>
    <phoneticPr fontId="13" type="noConversion"/>
  </si>
  <si>
    <t>CR YOY</t>
    <phoneticPr fontId="13" type="noConversion"/>
  </si>
  <si>
    <t>2024-10-01~2024-10-31</t>
  </si>
  <si>
    <t>百亿补贴频道</t>
  </si>
  <si>
    <t>手淘扫一扫</t>
  </si>
  <si>
    <t>(多项)</t>
  </si>
  <si>
    <t>淘宝秒杀频道</t>
  </si>
  <si>
    <t>24-D11</t>
    <phoneticPr fontId="13" type="noConversion"/>
  </si>
  <si>
    <t>TTL</t>
    <phoneticPr fontId="13" type="noConversion"/>
  </si>
  <si>
    <t>2024-11-01~2024-11-30</t>
  </si>
  <si>
    <t>MD NET</t>
    <phoneticPr fontId="13" type="noConversion"/>
  </si>
  <si>
    <t>NET MD%</t>
    <phoneticPr fontId="13" type="noConversion"/>
  </si>
  <si>
    <t>GMV MD%</t>
    <phoneticPr fontId="18" type="noConversion"/>
  </si>
  <si>
    <t>YOY</t>
    <phoneticPr fontId="13" type="noConversion"/>
  </si>
  <si>
    <t>老客支付子订单数</t>
  </si>
  <si>
    <t>jda日历.PaySeason</t>
  </si>
  <si>
    <t>jda日历.PayMonth</t>
  </si>
  <si>
    <t>jda日历.PayYear</t>
  </si>
  <si>
    <t>2024-12-01~2024-12-31</t>
  </si>
  <si>
    <t>BU25 Organic</t>
  </si>
  <si>
    <t>YOY Organic</t>
    <phoneticPr fontId="13" type="noConversion"/>
  </si>
  <si>
    <t>MTD-TY SC</t>
    <phoneticPr fontId="13" type="noConversion"/>
  </si>
  <si>
    <t>MTD-LY SC</t>
    <phoneticPr fontId="13" type="noConversion"/>
  </si>
  <si>
    <t>MTD-TY FF</t>
    <phoneticPr fontId="13" type="noConversion"/>
  </si>
  <si>
    <t>MTD-LY FF</t>
    <phoneticPr fontId="13" type="noConversion"/>
  </si>
  <si>
    <t>MTD YOY Organic</t>
    <phoneticPr fontId="13" type="noConversion"/>
  </si>
  <si>
    <t>MTD YOY Ex FF</t>
    <phoneticPr fontId="13" type="noConversion"/>
  </si>
  <si>
    <t>天猫APP</t>
  </si>
  <si>
    <t>品牌广告</t>
    <phoneticPr fontId="13" type="noConversion"/>
  </si>
  <si>
    <t>品牌特秀</t>
    <phoneticPr fontId="13" type="noConversion"/>
  </si>
  <si>
    <t>广告流量</t>
    <phoneticPr fontId="13" type="noConversion"/>
  </si>
  <si>
    <t>原三级来源</t>
    <phoneticPr fontId="13" type="noConversion"/>
  </si>
  <si>
    <t>其他猜你喜欢</t>
    <phoneticPr fontId="13" type="noConversion"/>
  </si>
  <si>
    <t>HEYBOX</t>
    <phoneticPr fontId="13" type="noConversion"/>
  </si>
  <si>
    <t>RESOURCE VENUE</t>
  </si>
  <si>
    <t>Extra Inside Channel(JCGP/Heybox/Celebrity LS)</t>
    <phoneticPr fontId="13" type="noConversion"/>
  </si>
  <si>
    <t>TY
(Ex Extra Traffic)</t>
    <phoneticPr fontId="13" type="noConversion"/>
  </si>
  <si>
    <t>LY
(Ex Extra Traffic)</t>
    <phoneticPr fontId="13" type="noConversion"/>
  </si>
  <si>
    <t>YOY
(Ex Extra Traffic)</t>
    <phoneticPr fontId="13" type="noConversion"/>
  </si>
  <si>
    <t>1.2-2.4 vs 24.1.15-24.2.17</t>
    <phoneticPr fontId="13" type="noConversion"/>
  </si>
  <si>
    <t>NET SHARE%</t>
    <phoneticPr fontId="13" type="noConversion"/>
  </si>
  <si>
    <t>YTD NETSALES</t>
    <phoneticPr fontId="18" type="noConversion"/>
  </si>
  <si>
    <t>LY YTD NETSALES</t>
    <phoneticPr fontId="13" type="noConversion"/>
  </si>
  <si>
    <t>2025-01-01~2025-01-31</t>
  </si>
  <si>
    <t>MTD-TY Ads</t>
    <phoneticPr fontId="13" type="noConversion"/>
  </si>
  <si>
    <t>MTD-LY Ads</t>
    <phoneticPr fontId="13" type="noConversion"/>
  </si>
  <si>
    <t>MTD-TY Organic</t>
    <phoneticPr fontId="13" type="noConversion"/>
  </si>
  <si>
    <t>MTD-LY Organic</t>
    <phoneticPr fontId="13" type="noConversion"/>
  </si>
  <si>
    <t>MTD YOY Ex SC&amp;FF</t>
    <phoneticPr fontId="13" type="noConversion"/>
  </si>
  <si>
    <t>MTD-TY Ex SC&amp;FF</t>
    <phoneticPr fontId="13" type="noConversion"/>
  </si>
  <si>
    <t>MTD-LY Ex SC&amp;FF</t>
    <phoneticPr fontId="13" type="noConversion"/>
  </si>
  <si>
    <t>品销宝-明星店铺</t>
  </si>
  <si>
    <t>OTHER APPS</t>
    <phoneticPr fontId="13" type="noConversion"/>
  </si>
  <si>
    <t>pay_year</t>
    <phoneticPr fontId="13" type="noConversion"/>
  </si>
  <si>
    <t>Extra Inside Channel(JCGP/Heybox/LS/SuperVideo)</t>
    <phoneticPr fontId="13" type="noConversion"/>
  </si>
  <si>
    <t>2025-02-01~2025-02-28</t>
  </si>
  <si>
    <t>MD GMV %</t>
    <phoneticPr fontId="18" type="noConversion"/>
  </si>
  <si>
    <t>MD NET%</t>
    <phoneticPr fontId="13" type="noConversion"/>
  </si>
  <si>
    <t>D11 MEMBER YOY</t>
    <phoneticPr fontId="18" type="noConversion"/>
  </si>
  <si>
    <t>Client Type</t>
  </si>
  <si>
    <t>MEMBER VOLUME</t>
    <phoneticPr fontId="18" type="noConversion"/>
  </si>
  <si>
    <t>NEW RECUIRTERS</t>
    <phoneticPr fontId="18" type="noConversion"/>
  </si>
  <si>
    <t>GMV</t>
    <phoneticPr fontId="18" type="noConversion"/>
  </si>
  <si>
    <t>GMV SHARE%</t>
    <phoneticPr fontId="18" type="noConversion"/>
  </si>
  <si>
    <t>ACTIVE USERS</t>
    <phoneticPr fontId="18" type="noConversion"/>
  </si>
  <si>
    <t>ACTIVE RATE%</t>
    <phoneticPr fontId="18" type="noConversion"/>
  </si>
  <si>
    <t>BUYERS</t>
    <phoneticPr fontId="18" type="noConversion"/>
  </si>
  <si>
    <t>ATV</t>
    <phoneticPr fontId="18" type="noConversion"/>
  </si>
  <si>
    <t>ACTIVE CR%</t>
    <phoneticPr fontId="18" type="noConversion"/>
  </si>
  <si>
    <t>NEW MEMBER BUYERS</t>
    <phoneticPr fontId="18" type="noConversion"/>
  </si>
  <si>
    <t>NEW MEMBER AMOUNT</t>
    <phoneticPr fontId="18" type="noConversion"/>
  </si>
  <si>
    <t>NEW MEMBER CR</t>
    <phoneticPr fontId="18" type="noConversion"/>
  </si>
  <si>
    <t>EXISTING MEMBER BUYERS</t>
    <phoneticPr fontId="18" type="noConversion"/>
  </si>
  <si>
    <t>EXISTING MEMBER AMOUNT</t>
    <phoneticPr fontId="18" type="noConversion"/>
  </si>
  <si>
    <t>NEW MEMBER BUYERS%</t>
    <phoneticPr fontId="18" type="noConversion"/>
  </si>
  <si>
    <t>NEW MEMBER AMOUNT%</t>
    <phoneticPr fontId="18" type="noConversion"/>
  </si>
  <si>
    <t>NEW MEMBER ATV</t>
    <phoneticPr fontId="18" type="noConversion"/>
  </si>
  <si>
    <t>EXISTING MEMBER ATV</t>
    <phoneticPr fontId="18" type="noConversion"/>
  </si>
  <si>
    <t>BU25 D11</t>
  </si>
  <si>
    <t>BU24 D11</t>
  </si>
  <si>
    <t>* Data From: DATA BANK</t>
    <phoneticPr fontId="18" type="noConversion"/>
  </si>
  <si>
    <t>波段</t>
    <phoneticPr fontId="13" type="noConversion"/>
  </si>
  <si>
    <t>年份</t>
    <phoneticPr fontId="13" type="noConversion"/>
  </si>
  <si>
    <t>活跃会员</t>
  </si>
  <si>
    <t>购买会员</t>
  </si>
  <si>
    <t>月份</t>
    <phoneticPr fontId="13" type="noConversion"/>
  </si>
  <si>
    <t>会员累计规模</t>
    <phoneticPr fontId="13" type="noConversion"/>
  </si>
  <si>
    <t>当期新入会会员人数</t>
    <phoneticPr fontId="13" type="noConversion"/>
  </si>
  <si>
    <t>老会员人数</t>
    <phoneticPr fontId="13" type="noConversion"/>
  </si>
  <si>
    <t>活跃率</t>
    <phoneticPr fontId="13" type="noConversion"/>
  </si>
  <si>
    <t>Scan</t>
  </si>
  <si>
    <t>Search</t>
  </si>
  <si>
    <t>Quick_Entry</t>
  </si>
  <si>
    <t>Chat</t>
  </si>
  <si>
    <t>Official_Account</t>
  </si>
  <si>
    <t>Other_Wxapp</t>
  </si>
  <si>
    <t>Others</t>
  </si>
  <si>
    <t>Wechat_Entry</t>
  </si>
  <si>
    <t>Notification</t>
  </si>
  <si>
    <t>是否会员</t>
  </si>
  <si>
    <t>clients_status</t>
  </si>
  <si>
    <t>PayYear</t>
  </si>
  <si>
    <t>net_sales</t>
  </si>
  <si>
    <t>net_units</t>
  </si>
  <si>
    <t>否</t>
  </si>
  <si>
    <t>new</t>
  </si>
  <si>
    <t>old</t>
  </si>
  <si>
    <t>是</t>
  </si>
  <si>
    <t>buyers</t>
    <phoneticPr fontId="13" type="noConversion"/>
  </si>
  <si>
    <t>gmv</t>
    <phoneticPr fontId="13" type="noConversion"/>
  </si>
  <si>
    <t>units</t>
    <phoneticPr fontId="13" type="noConversion"/>
  </si>
  <si>
    <t>求和项:net_sales</t>
  </si>
  <si>
    <t>求和项:net_units</t>
  </si>
  <si>
    <t>求和项:buyers</t>
  </si>
  <si>
    <t>求和项:gmv</t>
  </si>
  <si>
    <t>求和项:units</t>
  </si>
  <si>
    <t>求和项:rrc</t>
  </si>
  <si>
    <t>求和项:net_sales%</t>
  </si>
  <si>
    <t>net_buyers</t>
    <phoneticPr fontId="13" type="noConversion"/>
  </si>
  <si>
    <t>求和项:net_buyers</t>
  </si>
  <si>
    <t>求和项:net_buyers2</t>
  </si>
  <si>
    <t>否 汇总</t>
  </si>
  <si>
    <t>是 汇总</t>
  </si>
  <si>
    <t>求和项:net_upt</t>
  </si>
  <si>
    <t>求和项:net_atv</t>
  </si>
  <si>
    <t>VOL</t>
    <phoneticPr fontId="13" type="noConversion"/>
  </si>
  <si>
    <t>NEW</t>
    <phoneticPr fontId="13" type="noConversion"/>
  </si>
  <si>
    <t>EXISTING</t>
    <phoneticPr fontId="13" type="noConversion"/>
  </si>
  <si>
    <t>ACTIVE NUMS</t>
    <phoneticPr fontId="13" type="noConversion"/>
  </si>
  <si>
    <t>ACTIVE RATE</t>
    <phoneticPr fontId="13" type="noConversion"/>
  </si>
  <si>
    <t>TTL</t>
    <phoneticPr fontId="13" type="noConversion"/>
  </si>
  <si>
    <t>BU25</t>
    <phoneticPr fontId="13" type="noConversion"/>
  </si>
  <si>
    <t>BU24</t>
    <phoneticPr fontId="13" type="noConversion"/>
  </si>
  <si>
    <t>SEG</t>
    <phoneticPr fontId="13" type="noConversion"/>
  </si>
  <si>
    <t>短信低响应人数</t>
    <phoneticPr fontId="13" type="noConversion"/>
  </si>
  <si>
    <t>短信中高响应人数</t>
    <phoneticPr fontId="13" type="noConversion"/>
  </si>
  <si>
    <t>YOY</t>
    <phoneticPr fontId="13" type="noConversion"/>
  </si>
  <si>
    <t>CVR</t>
    <phoneticPr fontId="13" type="noConversion"/>
  </si>
  <si>
    <t>新增粉丝数</t>
  </si>
  <si>
    <t>累计粉丝数</t>
  </si>
  <si>
    <t>2022年</t>
  </si>
  <si>
    <t>2023年</t>
  </si>
  <si>
    <t>2024年</t>
  </si>
  <si>
    <t>2025年</t>
  </si>
  <si>
    <t>净增粉丝数</t>
    <phoneticPr fontId="13" type="noConversion"/>
  </si>
  <si>
    <t>&lt;2022/1/1</t>
  </si>
  <si>
    <t>求和项:净增粉丝数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</si>
  <si>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</si>
  <si>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</si>
  <si>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</si>
  <si>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</si>
  <si>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</si>
  <si>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</si>
  <si>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</si>
  <si>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</si>
  <si>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</si>
  <si>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</si>
  <si>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</si>
  <si>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</si>
  <si>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渠道来源</t>
  </si>
  <si>
    <t>Advertisement</t>
  </si>
  <si>
    <t>Channels</t>
  </si>
  <si>
    <t>MingPin</t>
  </si>
  <si>
    <t>DATE</t>
    <phoneticPr fontId="18" type="noConversion"/>
  </si>
  <si>
    <t>SC_Tanglala</t>
  </si>
  <si>
    <t>SC_55</t>
  </si>
  <si>
    <t>FF</t>
  </si>
  <si>
    <r>
      <rPr>
        <b/>
        <sz val="10"/>
        <color theme="1"/>
        <rFont val="微软雅黑"/>
        <family val="2"/>
        <charset val="134"/>
      </rPr>
      <t>渠道来源</t>
    </r>
  </si>
  <si>
    <t>SMS</t>
  </si>
  <si>
    <t>1st_Channel</t>
  </si>
  <si>
    <t>1st_Channel</t>
    <phoneticPr fontId="18" type="noConversion"/>
  </si>
  <si>
    <t>2nd_channel</t>
  </si>
  <si>
    <t>2nd_channel</t>
    <phoneticPr fontId="18" type="noConversion"/>
  </si>
  <si>
    <t>2025-03-01~2025-03-31</t>
  </si>
  <si>
    <t>2024-03-01~2024-03-31</t>
  </si>
  <si>
    <t>朋友圈广告</t>
  </si>
  <si>
    <t>搜索</t>
  </si>
  <si>
    <t>快捷入口</t>
  </si>
  <si>
    <t>内卖</t>
  </si>
  <si>
    <t>公众号</t>
  </si>
  <si>
    <t>其他移动引用</t>
  </si>
  <si>
    <t>微信聊天</t>
  </si>
  <si>
    <t>其他小程序</t>
  </si>
  <si>
    <t>扫码</t>
  </si>
  <si>
    <t>微信功能入口</t>
  </si>
  <si>
    <t>视频号</t>
  </si>
  <si>
    <t>服务通知</t>
  </si>
  <si>
    <t>URL详情</t>
  </si>
  <si>
    <t>DATE</t>
  </si>
  <si>
    <r>
      <t>MTD-TY</t>
    </r>
    <r>
      <rPr>
        <sz val="10"/>
        <color theme="1"/>
        <rFont val="等线"/>
        <family val="2"/>
        <charset val="134"/>
      </rPr>
      <t>导购</t>
    </r>
    <phoneticPr fontId="13" type="noConversion"/>
  </si>
  <si>
    <r>
      <t>MTD-LY</t>
    </r>
    <r>
      <rPr>
        <sz val="10"/>
        <color theme="1"/>
        <rFont val="等线"/>
        <family val="2"/>
        <charset val="134"/>
      </rPr>
      <t>导购</t>
    </r>
    <phoneticPr fontId="13" type="noConversion"/>
  </si>
  <si>
    <t>BU25 YTD FF</t>
  </si>
  <si>
    <t>BU25 YTD Ex FF</t>
  </si>
  <si>
    <t>BU25 YTD SC</t>
  </si>
  <si>
    <t>BU25 YTD Ads</t>
  </si>
  <si>
    <t>2025-04-01~2025-04-30</t>
  </si>
  <si>
    <t>BU26</t>
  </si>
  <si>
    <t>BU26 YTD导购</t>
  </si>
  <si>
    <t>BU26 SC</t>
  </si>
  <si>
    <t>BU26 Organic</t>
  </si>
  <si>
    <t>BU25 YTD导购</t>
  </si>
  <si>
    <t>BU25 SC</t>
  </si>
  <si>
    <t>BU26 YTD FF</t>
  </si>
  <si>
    <t>BU26 YTD Ex FF</t>
  </si>
  <si>
    <t>BU26 YTD SC</t>
  </si>
  <si>
    <t>BU26 YTD Ads</t>
  </si>
  <si>
    <t>BU26</t>
    <phoneticPr fontId="13" type="noConversion"/>
  </si>
  <si>
    <t>BU26 FF</t>
  </si>
  <si>
    <t>BU26 Ex FF</t>
  </si>
  <si>
    <t>BU26 Ads</t>
  </si>
  <si>
    <t>BU25 FF</t>
  </si>
  <si>
    <t>BU25 Ex FF</t>
  </si>
  <si>
    <t>BU25 Ads</t>
  </si>
  <si>
    <t>FREE OUTSIDE</t>
  </si>
  <si>
    <t>FREE OUTSIDE</t>
    <phoneticPr fontId="13" type="noConversion"/>
  </si>
  <si>
    <t>SC_品数</t>
  </si>
  <si>
    <t>品数</t>
  </si>
  <si>
    <t>Red_Pocket</t>
  </si>
  <si>
    <t>2025-05-01~2025-05-31</t>
  </si>
  <si>
    <t>巨浪</t>
  </si>
  <si>
    <t>Date</t>
  </si>
  <si>
    <t>gmv</t>
  </si>
  <si>
    <t>net</t>
  </si>
  <si>
    <t>gmv_units</t>
  </si>
  <si>
    <t>rrc</t>
  </si>
  <si>
    <t>cr</t>
  </si>
  <si>
    <t>aov</t>
  </si>
  <si>
    <t>atv</t>
  </si>
  <si>
    <t>buyers</t>
  </si>
  <si>
    <t>free_traffic</t>
  </si>
  <si>
    <t>paid_traffic</t>
  </si>
  <si>
    <t>channel</t>
  </si>
  <si>
    <t>PFS</t>
  </si>
  <si>
    <t>DTC</t>
  </si>
  <si>
    <t>GMV_TGT</t>
    <phoneticPr fontId="13" type="noConversion"/>
  </si>
  <si>
    <t>NET_TGT</t>
    <phoneticPr fontId="13" type="noConversion"/>
  </si>
  <si>
    <t>TRAFFIC_TGT</t>
    <phoneticPr fontId="13" type="noConversion"/>
  </si>
  <si>
    <t>BUYERS_TGT</t>
    <phoneticPr fontId="13" type="noConversion"/>
  </si>
  <si>
    <t>CVR_TGT</t>
    <phoneticPr fontId="13" type="noConversion"/>
  </si>
  <si>
    <t>ATV_TGT</t>
    <phoneticPr fontId="13" type="noConversion"/>
  </si>
  <si>
    <t>UPT_TGT</t>
    <phoneticPr fontId="13" type="noConversion"/>
  </si>
  <si>
    <t>RRC_TGT</t>
    <phoneticPr fontId="13" type="noConversion"/>
  </si>
  <si>
    <t>UNITS_TGT</t>
    <phoneticPr fontId="13" type="noConversion"/>
  </si>
  <si>
    <r>
      <rPr>
        <b/>
        <sz val="10"/>
        <color theme="1"/>
        <rFont val="微软雅黑"/>
        <family val="2"/>
        <charset val="134"/>
      </rPr>
      <t>税率</t>
    </r>
    <phoneticPr fontId="18" type="noConversion"/>
  </si>
  <si>
    <r>
      <rPr>
        <b/>
        <sz val="10"/>
        <color theme="1"/>
        <rFont val="微软雅黑"/>
        <family val="2"/>
        <charset val="134"/>
      </rPr>
      <t>汇率</t>
    </r>
    <phoneticPr fontId="18" type="noConversion"/>
  </si>
  <si>
    <t>GMV_ACH</t>
    <phoneticPr fontId="13" type="noConversion"/>
  </si>
  <si>
    <t>NET_ACH</t>
    <phoneticPr fontId="13" type="noConversion"/>
  </si>
  <si>
    <t>TRAFFIC_ACH</t>
    <phoneticPr fontId="13" type="noConversion"/>
  </si>
  <si>
    <t>BUYERS_ACH</t>
    <phoneticPr fontId="13" type="noConversion"/>
  </si>
  <si>
    <t>CVR_ACH</t>
    <phoneticPr fontId="13" type="noConversion"/>
  </si>
  <si>
    <t>ATV_ACH</t>
    <phoneticPr fontId="13" type="noConversion"/>
  </si>
  <si>
    <t>UPT_ACH</t>
    <phoneticPr fontId="13" type="noConversion"/>
  </si>
  <si>
    <t>RRC_ACH</t>
    <phoneticPr fontId="13" type="noConversion"/>
  </si>
  <si>
    <t>PFS去税</t>
    <phoneticPr fontId="13" type="noConversion"/>
  </si>
  <si>
    <t>Extra Inside Channel(Heybox/LS/SuperVideo)</t>
    <phoneticPr fontId="13" type="noConversion"/>
  </si>
  <si>
    <t>视频号广告</t>
  </si>
  <si>
    <t>TY_UV</t>
    <phoneticPr fontId="18" type="noConversion"/>
  </si>
  <si>
    <t>TY_ORDERS</t>
    <phoneticPr fontId="18" type="noConversion"/>
  </si>
  <si>
    <t>TY_SALES</t>
    <phoneticPr fontId="18" type="noConversion"/>
  </si>
  <si>
    <t>LY_UV</t>
    <phoneticPr fontId="18" type="noConversion"/>
  </si>
  <si>
    <t>LY_ORDERS</t>
    <phoneticPr fontId="18" type="noConversion"/>
  </si>
  <si>
    <t>LY_SALES</t>
    <phoneticPr fontId="18" type="noConversion"/>
  </si>
  <si>
    <t>MTD</t>
    <phoneticPr fontId="13" type="noConversion"/>
  </si>
  <si>
    <t>day</t>
  </si>
  <si>
    <t>BU25</t>
    <phoneticPr fontId="13" type="noConversion"/>
  </si>
  <si>
    <t>BU26</t>
    <phoneticPr fontId="13" type="noConversion"/>
  </si>
  <si>
    <t>淘金币及相关场域</t>
  </si>
  <si>
    <t>巨浪&amp;新人频道</t>
  </si>
  <si>
    <t>year</t>
  </si>
  <si>
    <t>Outside Tmall Channels</t>
    <phoneticPr fontId="13" type="noConversion"/>
  </si>
  <si>
    <t>Special Paid Channel(JCGP/Heybox/Super LS/SuperVideo)</t>
    <phoneticPr fontId="13" type="noConversion"/>
  </si>
  <si>
    <t>2025-06-01~2025-06-30</t>
  </si>
  <si>
    <t>dtc_social_net</t>
  </si>
  <si>
    <t>dtc_social_gmv</t>
  </si>
  <si>
    <t>dtc_social_rrc</t>
  </si>
  <si>
    <t>dtc_social_traffic</t>
  </si>
  <si>
    <t>PayYear2</t>
  </si>
  <si>
    <t>PayYear3</t>
  </si>
  <si>
    <t>PayYear4</t>
  </si>
  <si>
    <t>PayYear5</t>
  </si>
  <si>
    <t>PayYear6</t>
  </si>
  <si>
    <t>PayYear7</t>
  </si>
  <si>
    <t>PayYear8</t>
  </si>
  <si>
    <t>PayYear9</t>
  </si>
  <si>
    <t>PayYear10</t>
  </si>
  <si>
    <t>Jun</t>
    <phoneticPr fontId="13" type="noConversion"/>
  </si>
  <si>
    <t>uv%</t>
  </si>
  <si>
    <t>BU25_618</t>
    <phoneticPr fontId="13" type="noConversion"/>
  </si>
  <si>
    <t>其他</t>
  </si>
  <si>
    <t>2025-07-01~2025-07-31</t>
  </si>
  <si>
    <t>MD NET</t>
    <phoneticPr fontId="18" type="noConversion"/>
  </si>
  <si>
    <t>dtc_organic_net</t>
  </si>
  <si>
    <t>dtc_organic_gmv</t>
  </si>
  <si>
    <t>dtc_organic_rrc</t>
  </si>
  <si>
    <t>dtc_organic_traffic</t>
  </si>
  <si>
    <t>Jul</t>
    <phoneticPr fontId="13" type="noConversion"/>
  </si>
  <si>
    <t>SUPER VIDEO</t>
    <phoneticPr fontId="13" type="noConversion"/>
  </si>
  <si>
    <t xml:space="preserve"> uv to atc</t>
  </si>
  <si>
    <t>公众号自定义菜单</t>
  </si>
  <si>
    <t>公众号文章</t>
  </si>
  <si>
    <t>公众号模板消息</t>
  </si>
  <si>
    <t>公众号 profile 页服务预览</t>
  </si>
  <si>
    <t>公众号会话下发的小程序消息卡片</t>
  </si>
  <si>
    <t>公众号会话下发的文字链</t>
  </si>
  <si>
    <t>scene</t>
    <phoneticPr fontId="13" type="noConversion"/>
  </si>
  <si>
    <t>date</t>
  </si>
  <si>
    <t>date</t>
    <phoneticPr fontId="13" type="noConversion"/>
  </si>
  <si>
    <t>bu</t>
    <phoneticPr fontId="13" type="noConversion"/>
  </si>
  <si>
    <t>uv</t>
    <phoneticPr fontId="13" type="noConversion"/>
  </si>
  <si>
    <t>amount</t>
    <phoneticPr fontId="13" type="noConversion"/>
  </si>
  <si>
    <t>order</t>
    <phoneticPr fontId="13" type="noConversion"/>
  </si>
  <si>
    <t>cvr</t>
    <phoneticPr fontId="13" type="noConversion"/>
  </si>
  <si>
    <t>atc</t>
    <phoneticPr fontId="13" type="noConversion"/>
  </si>
  <si>
    <t>uv%</t>
    <phoneticPr fontId="13" type="noConversion"/>
  </si>
  <si>
    <t>求和项:uv</t>
  </si>
  <si>
    <t>求和项:order</t>
  </si>
  <si>
    <t>求和项:cvr%</t>
  </si>
  <si>
    <t xml:space="preserve">uv% </t>
  </si>
  <si>
    <t>uv value yoy</t>
  </si>
  <si>
    <t>uv yoy</t>
  </si>
  <si>
    <t>cvr% yoy</t>
  </si>
  <si>
    <t>求和项:amount</t>
  </si>
  <si>
    <t>求和项:amount2</t>
  </si>
  <si>
    <t>YTD YOY SC</t>
    <phoneticPr fontId="13" type="noConversion"/>
  </si>
  <si>
    <t>MTD YOY SC</t>
    <phoneticPr fontId="13" type="noConversion"/>
  </si>
  <si>
    <t>25.7.29-25.8.29 vs 24.7.10-24.8.10</t>
    <phoneticPr fontId="13" type="noConversion"/>
  </si>
  <si>
    <t>2025-08-01~2025-08-31</t>
  </si>
  <si>
    <t>裂变券引流</t>
  </si>
  <si>
    <t>Aug</t>
    <phoneticPr fontId="13" type="noConversion"/>
  </si>
  <si>
    <t>2025-09-01~2025-09-30</t>
  </si>
  <si>
    <t>小红书品专</t>
  </si>
  <si>
    <t>Sep</t>
    <phoneticPr fontId="13" type="noConversion"/>
  </si>
  <si>
    <t>RED_BOOK_BZ</t>
  </si>
  <si>
    <t>BU26 FF</t>
    <phoneticPr fontId="13" type="noConversion"/>
  </si>
  <si>
    <t>BU25 FF</t>
    <phoneticPr fontId="13" type="noConversion"/>
  </si>
  <si>
    <t>MTD-TY FF</t>
  </si>
  <si>
    <t>MTD-LY FF</t>
  </si>
  <si>
    <t>3rd_channel</t>
    <phoneticPr fontId="18" type="noConversion"/>
  </si>
  <si>
    <t>Affiliation CPS</t>
  </si>
  <si>
    <t>Display CPC</t>
  </si>
  <si>
    <t>Brandzone</t>
  </si>
  <si>
    <t>Brand Social</t>
  </si>
  <si>
    <t>Brand Search</t>
  </si>
  <si>
    <t>Free</t>
  </si>
  <si>
    <t>Mingpin</t>
  </si>
  <si>
    <t>Organic</t>
  </si>
  <si>
    <t>1st_channel</t>
    <phoneticPr fontId="13" type="noConversion"/>
  </si>
  <si>
    <t>Paid</t>
    <phoneticPr fontId="13" type="noConversion"/>
  </si>
  <si>
    <t>名品小程序</t>
  </si>
  <si>
    <t>LiveStream</t>
  </si>
  <si>
    <t>直播小程序</t>
  </si>
  <si>
    <t>SC_shihuo</t>
  </si>
  <si>
    <t>识货</t>
  </si>
  <si>
    <t>Red_Book_BZ</t>
  </si>
  <si>
    <t>OFS_QR_CODE</t>
  </si>
  <si>
    <t>LiveStream</t>
    <phoneticPr fontId="13" type="noConversion"/>
  </si>
  <si>
    <t>Others</t>
    <phoneticPr fontId="13" type="noConversion"/>
  </si>
  <si>
    <t>LiveStream</t>
    <phoneticPr fontId="13" type="noConversion"/>
  </si>
  <si>
    <r>
      <rPr>
        <b/>
        <sz val="10"/>
        <color theme="1"/>
        <rFont val="微软雅黑"/>
        <family val="2"/>
        <charset val="134"/>
      </rPr>
      <t>官网</t>
    </r>
    <r>
      <rPr>
        <b/>
        <sz val="10"/>
        <color theme="1"/>
        <rFont val="Arial"/>
        <family val="2"/>
      </rPr>
      <t>QR</t>
    </r>
    <phoneticPr fontId="13" type="noConversion"/>
  </si>
  <si>
    <t>微信功能入口</t>
    <phoneticPr fontId="13" type="noConversion"/>
  </si>
  <si>
    <t>Organic</t>
    <phoneticPr fontId="13" type="noConversion"/>
  </si>
  <si>
    <t>Paid</t>
  </si>
  <si>
    <t>Affiliation CPS 汇总</t>
  </si>
  <si>
    <t>Display CPC 汇总</t>
  </si>
  <si>
    <t>Paid 汇总</t>
  </si>
  <si>
    <t>Brand Search 汇总</t>
  </si>
  <si>
    <t>Brand Social 汇总</t>
  </si>
  <si>
    <t>CRM 汇总</t>
  </si>
  <si>
    <t>Organic 汇总</t>
  </si>
  <si>
    <t>Free 汇总</t>
  </si>
  <si>
    <t>Brandzone 汇总</t>
  </si>
  <si>
    <t>FF 汇总</t>
  </si>
  <si>
    <t>求和项:TY_UV</t>
  </si>
  <si>
    <t>求和项:TY_ORDERS</t>
  </si>
  <si>
    <t>求和项:LY_UV</t>
  </si>
  <si>
    <t>求和项:LY_ORDERS</t>
  </si>
  <si>
    <t>官网QR</t>
  </si>
  <si>
    <t>Others 汇总</t>
  </si>
  <si>
    <t>Quick_Entry 汇总</t>
  </si>
  <si>
    <t>求和项:TY_SALES</t>
  </si>
  <si>
    <t>求和项:LY_SALES</t>
  </si>
  <si>
    <t>Mingpin 汇总</t>
  </si>
  <si>
    <t>Affiliation CPS TTL</t>
    <phoneticPr fontId="13" type="noConversion"/>
  </si>
  <si>
    <t>Brandzone TTL</t>
  </si>
  <si>
    <t>Display CPC TTL</t>
  </si>
  <si>
    <t>Paid TTL</t>
  </si>
  <si>
    <t>Organic TTL</t>
  </si>
  <si>
    <t>Mingpin TTL</t>
  </si>
  <si>
    <t>Free TTL</t>
  </si>
  <si>
    <t>UV YOY</t>
    <phoneticPr fontId="13" type="noConversion"/>
  </si>
  <si>
    <t>TY UV%</t>
    <phoneticPr fontId="13" type="noConversion"/>
  </si>
  <si>
    <t>LY UV%</t>
    <phoneticPr fontId="13" type="noConversion"/>
  </si>
  <si>
    <t>UV% YOY</t>
    <phoneticPr fontId="13" type="noConversion"/>
  </si>
  <si>
    <t>TY 
BUYERS</t>
    <phoneticPr fontId="13" type="noConversion"/>
  </si>
  <si>
    <r>
      <rPr>
        <b/>
        <sz val="11"/>
        <color theme="0"/>
        <rFont val="微软雅黑"/>
        <family val="2"/>
        <charset val="134"/>
      </rPr>
      <t>3</t>
    </r>
    <r>
      <rPr>
        <b/>
        <sz val="11"/>
        <color theme="0"/>
        <rFont val="Arial"/>
        <family val="2"/>
      </rPr>
      <t>rd Channel</t>
    </r>
    <phoneticPr fontId="13" type="noConversion"/>
  </si>
  <si>
    <t>2nd Channel</t>
    <phoneticPr fontId="13" type="noConversion"/>
  </si>
  <si>
    <t>1st Channel</t>
    <phoneticPr fontId="13" type="noConversion"/>
  </si>
  <si>
    <t>唐辣辣</t>
  </si>
  <si>
    <t>唐辣辣</t>
    <phoneticPr fontId="13" type="noConversion"/>
  </si>
  <si>
    <r>
      <t>55</t>
    </r>
    <r>
      <rPr>
        <b/>
        <sz val="10"/>
        <color theme="1"/>
        <rFont val="微软雅黑"/>
        <family val="2"/>
        <charset val="134"/>
      </rPr>
      <t>海淘</t>
    </r>
    <phoneticPr fontId="13" type="noConversion"/>
  </si>
  <si>
    <t>唐辣辣</t>
    <phoneticPr fontId="13" type="noConversion"/>
  </si>
  <si>
    <t>55海淘</t>
  </si>
  <si>
    <t>SMS</t>
    <phoneticPr fontId="13" type="noConversion"/>
  </si>
  <si>
    <t>SMS</t>
    <phoneticPr fontId="13" type="noConversion"/>
  </si>
  <si>
    <r>
      <t>55</t>
    </r>
    <r>
      <rPr>
        <sz val="10"/>
        <color theme="1"/>
        <rFont val="微软雅黑"/>
        <family val="2"/>
        <charset val="134"/>
      </rPr>
      <t>海淘</t>
    </r>
    <phoneticPr fontId="13" type="noConversion"/>
  </si>
  <si>
    <t>Quick_Entry TTL</t>
    <phoneticPr fontId="13" type="noConversion"/>
  </si>
  <si>
    <t>Brand Search TTL</t>
    <phoneticPr fontId="13" type="noConversion"/>
  </si>
  <si>
    <t>Brand Social TTL</t>
    <phoneticPr fontId="13" type="noConversion"/>
  </si>
  <si>
    <t>CRM TTL</t>
    <phoneticPr fontId="13" type="noConversion"/>
  </si>
  <si>
    <t>Others TTL</t>
    <phoneticPr fontId="13" type="noConversion"/>
  </si>
  <si>
    <t>2025-10-01~2025-10-31</t>
  </si>
  <si>
    <t>Oct</t>
    <phoneticPr fontId="13" type="noConversion"/>
  </si>
  <si>
    <t>JCGP 汇总</t>
  </si>
  <si>
    <t>25.10.10-25.11.14 vs 24.10.12-24.11.11</t>
    <phoneticPr fontId="13" type="noConversion"/>
  </si>
  <si>
    <t>GMV excl.cancel</t>
    <phoneticPr fontId="13" type="noConversion"/>
  </si>
  <si>
    <t>RRC after shift</t>
    <phoneticPr fontId="18" type="noConversion"/>
  </si>
  <si>
    <t>Target</t>
    <phoneticPr fontId="13" type="noConversion"/>
  </si>
  <si>
    <t>ACH</t>
    <phoneticPr fontId="13" type="noConversion"/>
  </si>
  <si>
    <t>Target Excl. Tax</t>
    <phoneticPr fontId="13" type="noConversion"/>
  </si>
  <si>
    <t>聚划算频道</t>
  </si>
  <si>
    <t>BU26</t>
    <phoneticPr fontId="13" type="noConversion"/>
  </si>
  <si>
    <t>BU25</t>
    <phoneticPr fontId="13" type="noConversion"/>
  </si>
  <si>
    <t>MALE</t>
  </si>
  <si>
    <t>FEMALE</t>
  </si>
  <si>
    <t>BU26_D11</t>
  </si>
  <si>
    <t>BU25_D11</t>
  </si>
  <si>
    <t>18-24</t>
  </si>
  <si>
    <t>25-29</t>
  </si>
  <si>
    <t>30-34</t>
  </si>
  <si>
    <t>35-39</t>
  </si>
  <si>
    <t>40-49</t>
  </si>
  <si>
    <t>50+</t>
  </si>
  <si>
    <t>GENDER</t>
    <phoneticPr fontId="13" type="noConversion"/>
  </si>
  <si>
    <t>AGE</t>
    <phoneticPr fontId="13" type="noConversion"/>
  </si>
  <si>
    <t>求和项:支付买家数</t>
  </si>
  <si>
    <t>求和项:CVR</t>
  </si>
  <si>
    <t>campaign</t>
  </si>
  <si>
    <t>campaign</t>
    <phoneticPr fontId="13" type="noConversion"/>
  </si>
  <si>
    <t>D11</t>
    <phoneticPr fontId="13" type="noConversion"/>
  </si>
  <si>
    <t>campaign</t>
    <phoneticPr fontId="13" type="noConversion"/>
  </si>
  <si>
    <t>618</t>
    <phoneticPr fontId="13" type="noConversion"/>
  </si>
  <si>
    <t>D11</t>
    <phoneticPr fontId="13" type="noConversion"/>
  </si>
  <si>
    <t>CVR YOY</t>
  </si>
  <si>
    <t>CVR</t>
  </si>
  <si>
    <t>TY CVR</t>
    <phoneticPr fontId="13" type="noConversion"/>
  </si>
  <si>
    <t>LY CVR</t>
    <phoneticPr fontId="13" type="noConversion"/>
  </si>
  <si>
    <t>CVR YOY</t>
    <phoneticPr fontId="13" type="noConversion"/>
  </si>
  <si>
    <t>UV</t>
    <phoneticPr fontId="13" type="noConversion"/>
  </si>
  <si>
    <t>buyers</t>
    <phoneticPr fontId="13" type="noConversion"/>
  </si>
  <si>
    <t>YOY</t>
    <phoneticPr fontId="13" type="noConversion"/>
  </si>
  <si>
    <t>BU25_D11</t>
    <phoneticPr fontId="13" type="noConversion"/>
  </si>
  <si>
    <t>phase</t>
  </si>
  <si>
    <t>phase</t>
    <phoneticPr fontId="13" type="noConversion"/>
  </si>
  <si>
    <t>pre-sale</t>
    <phoneticPr fontId="13" type="noConversion"/>
  </si>
  <si>
    <t>phase1</t>
    <phoneticPr fontId="13" type="noConversion"/>
  </si>
  <si>
    <t>phase2</t>
    <phoneticPr fontId="13" type="noConversion"/>
  </si>
  <si>
    <t>2025-11-01~2025-11-30</t>
  </si>
  <si>
    <t>(空白)</t>
  </si>
  <si>
    <r>
      <rPr>
        <b/>
        <i/>
        <sz val="9"/>
        <color theme="1"/>
        <rFont val="微软雅黑"/>
        <family val="2"/>
        <charset val="134"/>
      </rPr>
      <t>混合版本</t>
    </r>
    <r>
      <rPr>
        <b/>
        <i/>
        <sz val="9"/>
        <color theme="1"/>
        <rFont val="Arial"/>
        <family val="2"/>
      </rPr>
      <t>-</t>
    </r>
    <r>
      <rPr>
        <b/>
        <i/>
        <sz val="9"/>
        <color theme="1"/>
        <rFont val="微软雅黑"/>
        <family val="2"/>
        <charset val="134"/>
      </rPr>
      <t>付费-</t>
    </r>
    <r>
      <rPr>
        <b/>
        <i/>
        <sz val="9"/>
        <color theme="1"/>
        <rFont val="Arial"/>
        <family val="2"/>
      </rPr>
      <t xml:space="preserve">ALIMAMA; </t>
    </r>
    <r>
      <rPr>
        <b/>
        <i/>
        <sz val="9"/>
        <color theme="1"/>
        <rFont val="微软雅黑"/>
        <family val="2"/>
        <charset val="134"/>
      </rPr>
      <t>免费-</t>
    </r>
    <r>
      <rPr>
        <b/>
        <i/>
        <sz val="9"/>
        <color theme="1"/>
        <rFont val="Arial"/>
        <family val="2"/>
      </rPr>
      <t>SYCM</t>
    </r>
    <phoneticPr fontId="13" type="noConversion"/>
  </si>
  <si>
    <t>Red_Book_feeds</t>
  </si>
  <si>
    <t>小红书feeds</t>
  </si>
  <si>
    <r>
      <t>55</t>
    </r>
    <r>
      <rPr>
        <b/>
        <sz val="10"/>
        <color theme="1"/>
        <rFont val="微软雅黑"/>
        <family val="2"/>
        <charset val="134"/>
      </rPr>
      <t>海淘</t>
    </r>
    <phoneticPr fontId="13" type="noConversion"/>
  </si>
  <si>
    <r>
      <t>官网</t>
    </r>
    <r>
      <rPr>
        <b/>
        <sz val="10"/>
        <color theme="1"/>
        <rFont val="Arial"/>
        <family val="2"/>
      </rPr>
      <t>QR</t>
    </r>
  </si>
  <si>
    <t>Editorial</t>
  </si>
  <si>
    <t>Wechat KOL</t>
  </si>
  <si>
    <t>微信KOL</t>
  </si>
  <si>
    <t>RED_BOOK_FEEDS</t>
    <phoneticPr fontId="13" type="noConversion"/>
  </si>
  <si>
    <t>Display CPC</t>
    <phoneticPr fontId="13" type="noConversion"/>
  </si>
  <si>
    <t>Wechat_KOL</t>
    <phoneticPr fontId="13" type="noConversion"/>
  </si>
  <si>
    <t>RED_KOL</t>
    <phoneticPr fontId="13" type="noConversion"/>
  </si>
  <si>
    <r>
      <rPr>
        <b/>
        <sz val="8"/>
        <color theme="1"/>
        <rFont val="微软雅黑"/>
        <family val="2"/>
        <charset val="134"/>
      </rPr>
      <t>中文解释</t>
    </r>
    <phoneticPr fontId="13" type="noConversion"/>
  </si>
  <si>
    <r>
      <rPr>
        <b/>
        <sz val="8"/>
        <color theme="1"/>
        <rFont val="微软雅黑"/>
        <family val="2"/>
        <charset val="134"/>
      </rPr>
      <t>备注</t>
    </r>
    <phoneticPr fontId="13" type="noConversion"/>
  </si>
  <si>
    <r>
      <rPr>
        <sz val="8"/>
        <color theme="1"/>
        <rFont val="微软雅黑"/>
        <family val="2"/>
        <charset val="134"/>
      </rPr>
      <t>搜索</t>
    </r>
  </si>
  <si>
    <r>
      <t>55</t>
    </r>
    <r>
      <rPr>
        <sz val="8"/>
        <color theme="1"/>
        <rFont val="微软雅黑"/>
        <family val="2"/>
        <charset val="134"/>
      </rPr>
      <t>海淘</t>
    </r>
    <phoneticPr fontId="13" type="noConversion"/>
  </si>
  <si>
    <r>
      <t>SC_</t>
    </r>
    <r>
      <rPr>
        <sz val="8"/>
        <color theme="1"/>
        <rFont val="微软雅黑"/>
        <family val="2"/>
        <charset val="134"/>
      </rPr>
      <t>品数</t>
    </r>
  </si>
  <si>
    <r>
      <rPr>
        <sz val="8"/>
        <color theme="1"/>
        <rFont val="微软雅黑"/>
        <family val="2"/>
        <charset val="134"/>
      </rPr>
      <t>品数</t>
    </r>
  </si>
  <si>
    <r>
      <rPr>
        <sz val="8"/>
        <color theme="1"/>
        <rFont val="微软雅黑"/>
        <family val="2"/>
        <charset val="134"/>
      </rPr>
      <t>快捷入口</t>
    </r>
  </si>
  <si>
    <r>
      <rPr>
        <sz val="8"/>
        <color theme="1"/>
        <rFont val="微软雅黑"/>
        <family val="2"/>
        <charset val="134"/>
      </rPr>
      <t>公众号</t>
    </r>
  </si>
  <si>
    <r>
      <rPr>
        <sz val="8"/>
        <color theme="1"/>
        <rFont val="微软雅黑"/>
        <family val="2"/>
        <charset val="134"/>
      </rPr>
      <t>其他移动引用</t>
    </r>
  </si>
  <si>
    <r>
      <rPr>
        <sz val="8"/>
        <color theme="1"/>
        <rFont val="微软雅黑"/>
        <family val="2"/>
        <charset val="134"/>
      </rPr>
      <t>微信聊天</t>
    </r>
  </si>
  <si>
    <r>
      <rPr>
        <sz val="8"/>
        <color theme="1"/>
        <rFont val="微软雅黑"/>
        <family val="2"/>
        <charset val="134"/>
      </rPr>
      <t>其他小程序</t>
    </r>
    <phoneticPr fontId="13" type="noConversion"/>
  </si>
  <si>
    <r>
      <rPr>
        <sz val="8"/>
        <color theme="1"/>
        <rFont val="微软雅黑"/>
        <family val="2"/>
        <charset val="134"/>
      </rPr>
      <t>扫码</t>
    </r>
  </si>
  <si>
    <r>
      <rPr>
        <sz val="8"/>
        <color theme="1"/>
        <rFont val="微软雅黑"/>
        <family val="2"/>
        <charset val="134"/>
      </rPr>
      <t>微信功能入口</t>
    </r>
  </si>
  <si>
    <r>
      <rPr>
        <sz val="8"/>
        <color theme="1"/>
        <rFont val="微软雅黑"/>
        <family val="2"/>
        <charset val="134"/>
      </rPr>
      <t>视频号</t>
    </r>
  </si>
  <si>
    <r>
      <rPr>
        <sz val="8"/>
        <color theme="1"/>
        <rFont val="微软雅黑"/>
        <family val="2"/>
        <charset val="134"/>
      </rPr>
      <t>服务通知</t>
    </r>
  </si>
  <si>
    <r>
      <rPr>
        <sz val="8"/>
        <color theme="1"/>
        <rFont val="微软雅黑"/>
        <family val="2"/>
        <charset val="134"/>
      </rPr>
      <t>朋友圈广告</t>
    </r>
  </si>
  <si>
    <r>
      <rPr>
        <sz val="8"/>
        <color theme="1"/>
        <rFont val="微软雅黑"/>
        <family val="2"/>
        <charset val="134"/>
      </rPr>
      <t>红包封面</t>
    </r>
  </si>
  <si>
    <r>
      <rPr>
        <sz val="8"/>
        <color theme="1"/>
        <rFont val="微软雅黑"/>
        <family val="2"/>
        <charset val="134"/>
      </rPr>
      <t>视频号广告</t>
    </r>
  </si>
  <si>
    <r>
      <rPr>
        <sz val="8"/>
        <color theme="1"/>
        <rFont val="微软雅黑"/>
        <family val="2"/>
        <charset val="134"/>
      </rPr>
      <t>唐辣辣</t>
    </r>
    <phoneticPr fontId="13" type="noConversion"/>
  </si>
  <si>
    <r>
      <rPr>
        <sz val="8"/>
        <color theme="1"/>
        <rFont val="微软雅黑"/>
        <family val="2"/>
        <charset val="134"/>
      </rPr>
      <t>其他</t>
    </r>
  </si>
  <si>
    <r>
      <rPr>
        <sz val="8"/>
        <color theme="1"/>
        <rFont val="微软雅黑"/>
        <family val="2"/>
        <charset val="134"/>
      </rPr>
      <t>内卖</t>
    </r>
  </si>
  <si>
    <r>
      <rPr>
        <sz val="8"/>
        <color theme="1"/>
        <rFont val="微软雅黑"/>
        <family val="2"/>
        <charset val="134"/>
      </rPr>
      <t>小红书品专</t>
    </r>
  </si>
  <si>
    <r>
      <rPr>
        <sz val="8"/>
        <color theme="1"/>
        <rFont val="微软雅黑"/>
        <family val="2"/>
        <charset val="134"/>
      </rPr>
      <t>名品小程序</t>
    </r>
  </si>
  <si>
    <r>
      <rPr>
        <sz val="8"/>
        <color theme="1"/>
        <rFont val="微软雅黑"/>
        <family val="2"/>
        <charset val="134"/>
      </rPr>
      <t>直播小程序</t>
    </r>
  </si>
  <si>
    <r>
      <rPr>
        <sz val="8"/>
        <color theme="1"/>
        <rFont val="微软雅黑"/>
        <family val="2"/>
        <charset val="134"/>
      </rPr>
      <t>识货</t>
    </r>
  </si>
  <si>
    <r>
      <rPr>
        <sz val="8"/>
        <color theme="1"/>
        <rFont val="微软雅黑"/>
        <family val="2"/>
        <charset val="134"/>
      </rPr>
      <t>官网</t>
    </r>
    <r>
      <rPr>
        <sz val="8"/>
        <color theme="1"/>
        <rFont val="Arial"/>
        <family val="2"/>
      </rPr>
      <t>QR</t>
    </r>
    <phoneticPr fontId="13" type="noConversion"/>
  </si>
  <si>
    <r>
      <rPr>
        <sz val="8"/>
        <color theme="1"/>
        <rFont val="微软雅黑"/>
        <family val="2"/>
        <charset val="134"/>
      </rPr>
      <t>微信</t>
    </r>
    <r>
      <rPr>
        <sz val="8"/>
        <color theme="1"/>
        <rFont val="Arial"/>
        <family val="2"/>
      </rPr>
      <t>KOL</t>
    </r>
    <phoneticPr fontId="13" type="noConversion"/>
  </si>
  <si>
    <r>
      <rPr>
        <b/>
        <sz val="8"/>
        <color theme="1"/>
        <rFont val="微软雅黑"/>
        <family val="2"/>
        <charset val="134"/>
      </rPr>
      <t>吉良先生</t>
    </r>
    <r>
      <rPr>
        <b/>
        <sz val="8"/>
        <color theme="1"/>
        <rFont val="Arial"/>
        <family val="2"/>
      </rPr>
      <t>/</t>
    </r>
    <r>
      <rPr>
        <b/>
        <sz val="8"/>
        <color theme="1"/>
        <rFont val="微软雅黑"/>
        <family val="2"/>
        <charset val="134"/>
      </rPr>
      <t>刘小葵</t>
    </r>
    <phoneticPr fontId="13" type="noConversion"/>
  </si>
  <si>
    <r>
      <rPr>
        <sz val="8"/>
        <color theme="1"/>
        <rFont val="微软雅黑"/>
        <family val="2"/>
        <charset val="134"/>
      </rPr>
      <t>小红书</t>
    </r>
    <r>
      <rPr>
        <sz val="8"/>
        <color theme="1"/>
        <rFont val="Arial"/>
        <family val="2"/>
      </rPr>
      <t>KOL</t>
    </r>
    <phoneticPr fontId="13" type="noConversion"/>
  </si>
  <si>
    <r>
      <rPr>
        <sz val="8"/>
        <color theme="1"/>
        <rFont val="微软雅黑"/>
        <family val="2"/>
        <charset val="134"/>
      </rPr>
      <t>小红书</t>
    </r>
    <r>
      <rPr>
        <sz val="8"/>
        <color theme="1"/>
        <rFont val="Arial"/>
        <family val="2"/>
      </rPr>
      <t>FEEDS</t>
    </r>
    <phoneticPr fontId="13" type="noConversion"/>
  </si>
  <si>
    <t>Wechat KOL</t>
    <phoneticPr fontId="13" type="noConversion"/>
  </si>
  <si>
    <t>Other_Apps</t>
    <phoneticPr fontId="13" type="noConversion"/>
  </si>
  <si>
    <t>Wechat_Moment_Ads</t>
    <phoneticPr fontId="13" type="noConversion"/>
  </si>
  <si>
    <t>Wechat_Channel_Ads</t>
    <phoneticPr fontId="13" type="noConversion"/>
  </si>
  <si>
    <t>Editorial</t>
    <phoneticPr fontId="13" type="noConversion"/>
  </si>
  <si>
    <t>Editorial TTL</t>
    <phoneticPr fontId="13" type="noConversion"/>
  </si>
  <si>
    <r>
      <rPr>
        <sz val="10"/>
        <color theme="1"/>
        <rFont val="宋体"/>
        <family val="2"/>
        <charset val="134"/>
      </rPr>
      <t>小红书</t>
    </r>
    <r>
      <rPr>
        <sz val="10"/>
        <color theme="1"/>
        <rFont val="Arial"/>
        <family val="2"/>
      </rPr>
      <t>FEEDS</t>
    </r>
    <phoneticPr fontId="13" type="noConversion"/>
  </si>
  <si>
    <t>小红书FEEDS</t>
  </si>
  <si>
    <t>(空白) 汇总</t>
  </si>
  <si>
    <t>Nov</t>
    <phoneticPr fontId="13" type="noConversion"/>
  </si>
  <si>
    <t>2025-12-01~2025-12-31</t>
  </si>
  <si>
    <t>品销宝-品牌专区</t>
    <phoneticPr fontId="13" type="noConversion"/>
  </si>
  <si>
    <r>
      <t>SYCM</t>
    </r>
    <r>
      <rPr>
        <b/>
        <i/>
        <sz val="9"/>
        <color theme="1"/>
        <rFont val="宋体"/>
        <family val="2"/>
        <charset val="134"/>
      </rPr>
      <t>版本</t>
    </r>
    <phoneticPr fontId="13" type="noConversion"/>
  </si>
  <si>
    <t>new_uv</t>
  </si>
  <si>
    <t>atc_users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</si>
  <si>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</si>
  <si>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</si>
  <si>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</si>
  <si>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</si>
  <si>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</si>
  <si>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</si>
  <si>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</si>
  <si>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</si>
  <si>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</si>
  <si>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date_type</t>
  </si>
  <si>
    <t>date_type</t>
    <phoneticPr fontId="13" type="noConversion"/>
  </si>
  <si>
    <t>month</t>
    <phoneticPr fontId="13" type="noConversion"/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</si>
  <si>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</si>
  <si>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</si>
  <si>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</si>
  <si>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</si>
  <si>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</si>
  <si>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</si>
  <si>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</si>
  <si>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</si>
  <si>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</si>
  <si>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bu</t>
  </si>
  <si>
    <t>bu</t>
    <phoneticPr fontId="13" type="noConversion"/>
  </si>
  <si>
    <t>BU25</t>
    <phoneticPr fontId="13" type="noConversion"/>
  </si>
  <si>
    <t>BU26</t>
    <phoneticPr fontId="13" type="noConversion"/>
  </si>
  <si>
    <t xml:space="preserve">gmv </t>
  </si>
  <si>
    <t>2025-01-31</t>
  </si>
  <si>
    <t>2025-02-28</t>
  </si>
  <si>
    <t>2025-03-31</t>
  </si>
  <si>
    <t xml:space="preserve">buyers </t>
  </si>
  <si>
    <t>站内付费</t>
  </si>
  <si>
    <t>站内付费 汇总</t>
  </si>
  <si>
    <t>Dec</t>
    <phoneticPr fontId="13" type="noConversion"/>
  </si>
  <si>
    <t>KOL推广</t>
  </si>
  <si>
    <r>
      <t>55</t>
    </r>
    <r>
      <rPr>
        <b/>
        <sz val="10"/>
        <color theme="1"/>
        <rFont val="微软雅黑"/>
        <family val="2"/>
        <charset val="134"/>
      </rPr>
      <t>海淘</t>
    </r>
    <phoneticPr fontId="13" type="noConversion"/>
  </si>
  <si>
    <t>唐辣辣</t>
    <phoneticPr fontId="13" type="noConversion"/>
  </si>
  <si>
    <t>BUYERS
YOY</t>
    <phoneticPr fontId="13" type="noConversion"/>
  </si>
  <si>
    <t>LY
BUYERS</t>
    <phoneticPr fontId="13" type="noConversion"/>
  </si>
  <si>
    <t>25.12.05-25.12.14 vs 24.12.05-24.12.14</t>
    <phoneticPr fontId="13" type="noConversion"/>
  </si>
  <si>
    <t>HEYBOX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</si>
</sst>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43" formatCode="_ * #,##0.00_ ;_ * \-#,##0.00_ ;_ * &quot;-&quot;??_ ;_ @_ "/>
    <numFmt numFmtId="176" formatCode="#,##0_ "/>
    <numFmt numFmtId="177" formatCode="[$￥-804]0.00"/>
    <numFmt numFmtId="178" formatCode="0,&quot;K&quot;"/>
    <numFmt numFmtId="179" formatCode="\+0%;\-0%;0%"/>
    <numFmt numFmtId="180" formatCode="0,\K"/>
    <numFmt numFmtId="181" formatCode="0.00,,&quot;M&quot;"/>
    <numFmt numFmtId="182" formatCode="0.0,,&quot;M&quot;"/>
    <numFmt numFmtId="183" formatCode="0.0,&quot;K&quot;"/>
    <numFmt numFmtId="184" formatCode="0.0"/>
    <numFmt numFmtId="185" formatCode="#,##0.0_ "/>
    <numFmt numFmtId="186" formatCode="[Red]\+0%;[Green]\-0%;0%"/>
    <numFmt numFmtId="187" formatCode="0.0000000000_ "/>
    <numFmt numFmtId="188" formatCode="[Red]\+0%;[Color10]\-0%;0%"/>
    <numFmt numFmtId="189" formatCode="\+0\P\P;\-0\P\P;0\P\P"/>
    <numFmt numFmtId="190" formatCode="[Red]\+0\P\P;[Color10]\-0\P\P;\●0\P\P"/>
    <numFmt numFmtId="191" formatCode="[Color10]\+0%;[Red]\-0%;0%"/>
    <numFmt numFmtId="192" formatCode="[Color10]\+0\P\P;[Red]\-0\P\P;\●0\P\P"/>
    <numFmt numFmtId="193" formatCode="[Red]&quot;+&quot;0\P\P;[Color10]&quot;-&quot;0\P\P;&quot;●&quot;0\P\P"/>
    <numFmt numFmtId="194" formatCode="[Color10]&quot;+&quot;0%;[Red]&quot;-&quot;0%;&quot;●&quot;0%"/>
    <numFmt numFmtId="195" formatCode="0.0_ "/>
    <numFmt numFmtId="196" formatCode="#,##0_);[Red]\(#,##0\)"/>
    <numFmt numFmtId="197" formatCode="#,##0_ ;[Red]\-#,##0\ "/>
  </numFmts>
  <fonts count="93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9"/>
      <name val="微软雅黑"/>
      <family val="2"/>
      <charset val="134"/>
    </font>
    <font>
      <b/>
      <sz val="6"/>
      <color rgb="FF333333"/>
      <name val="Arial"/>
      <family val="2"/>
    </font>
    <font>
      <b/>
      <sz val="6"/>
      <color rgb="FF333333"/>
      <name val="宋体"/>
      <family val="2"/>
      <charset val="134"/>
    </font>
    <font>
      <sz val="6"/>
      <color rgb="FF333333"/>
      <name val="Arial"/>
      <family val="2"/>
    </font>
    <font>
      <sz val="6"/>
      <color theme="1"/>
      <name val="Arial"/>
      <family val="2"/>
    </font>
    <font>
      <b/>
      <sz val="6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  <font>
      <b/>
      <i/>
      <sz val="10"/>
      <color rgb="FFFFFFFF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微软雅黑"/>
      <family val="2"/>
      <charset val="134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rgb="FFFFFFFF"/>
      <name val="Arial"/>
      <family val="2"/>
    </font>
    <font>
      <i/>
      <sz val="10"/>
      <color rgb="FF167CC5"/>
      <name val="Arial"/>
      <family val="2"/>
    </font>
    <font>
      <sz val="8"/>
      <color rgb="FF000000"/>
      <name val="Arial"/>
      <family val="2"/>
    </font>
    <font>
      <sz val="8"/>
      <color rgb="FF00B050"/>
      <name val="Arial"/>
      <family val="2"/>
    </font>
    <font>
      <sz val="9"/>
      <color rgb="FF00B050"/>
      <name val="Arial"/>
      <family val="2"/>
    </font>
    <font>
      <b/>
      <sz val="18"/>
      <color theme="1"/>
      <name val="微软雅黑"/>
      <family val="2"/>
      <charset val="134"/>
    </font>
    <font>
      <b/>
      <sz val="9"/>
      <color rgb="FF00B050"/>
      <name val="Arial"/>
      <family val="2"/>
    </font>
    <font>
      <b/>
      <sz val="8"/>
      <color rgb="FFFFFFFF"/>
      <name val="Arial"/>
      <family val="2"/>
    </font>
    <font>
      <b/>
      <sz val="8"/>
      <color theme="0"/>
      <name val="Arial"/>
      <family val="2"/>
    </font>
    <font>
      <sz val="16"/>
      <color theme="1"/>
      <name val="Arial"/>
      <family val="2"/>
    </font>
    <font>
      <b/>
      <sz val="8"/>
      <color rgb="FF00B050"/>
      <name val="Arial"/>
      <family val="2"/>
    </font>
    <font>
      <b/>
      <sz val="10"/>
      <color theme="1"/>
      <name val="宋体"/>
      <family val="2"/>
      <charset val="134"/>
    </font>
    <font>
      <sz val="10"/>
      <color theme="1"/>
      <name val="宋体"/>
      <family val="3"/>
      <charset val="134"/>
    </font>
    <font>
      <b/>
      <i/>
      <sz val="10"/>
      <color rgb="FF167CC5"/>
      <name val="Arial"/>
      <family val="2"/>
    </font>
    <font>
      <b/>
      <i/>
      <sz val="9"/>
      <color rgb="FF00B050"/>
      <name val="Arial"/>
      <family val="2"/>
    </font>
    <font>
      <sz val="10"/>
      <color theme="1"/>
      <name val="思源黑体 CN Normal"/>
      <family val="2"/>
      <charset val="134"/>
    </font>
    <font>
      <b/>
      <i/>
      <sz val="10"/>
      <color rgb="FF000000"/>
      <name val="思源黑体 CN Normal"/>
      <family val="2"/>
      <charset val="134"/>
    </font>
    <font>
      <sz val="10"/>
      <color rgb="FF000000"/>
      <name val="思源黑体 CN Normal"/>
      <family val="2"/>
      <charset val="134"/>
    </font>
    <font>
      <sz val="12"/>
      <color rgb="FFFFFFFF"/>
      <name val="思源黑体 CN Normal"/>
      <family val="2"/>
      <charset val="134"/>
    </font>
    <font>
      <i/>
      <sz val="10"/>
      <color rgb="FF000000"/>
      <name val="思源黑体 CN Normal"/>
      <family val="2"/>
      <charset val="134"/>
    </font>
    <font>
      <b/>
      <sz val="11"/>
      <color rgb="FFFFFFFF"/>
      <name val="宋体"/>
      <family val="3"/>
      <charset val="134"/>
    </font>
    <font>
      <sz val="9"/>
      <color theme="1"/>
      <name val="Arial"/>
      <family val="2"/>
    </font>
    <font>
      <sz val="9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10"/>
      <color theme="1"/>
      <name val="Arial"/>
      <family val="2"/>
      <charset val="134"/>
    </font>
    <font>
      <sz val="10"/>
      <color theme="1"/>
      <name val="等线"/>
      <family val="2"/>
      <charset val="134"/>
    </font>
    <font>
      <b/>
      <i/>
      <u/>
      <sz val="10"/>
      <color theme="1"/>
      <name val="Arial"/>
      <family val="2"/>
    </font>
    <font>
      <b/>
      <i/>
      <u/>
      <sz val="9"/>
      <color theme="1"/>
      <name val="Arial"/>
      <family val="2"/>
    </font>
    <font>
      <b/>
      <sz val="10"/>
      <color rgb="FF00B050"/>
      <name val="Arial"/>
      <family val="2"/>
    </font>
    <font>
      <b/>
      <sz val="9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微软雅黑"/>
      <family val="2"/>
      <charset val="134"/>
    </font>
    <font>
      <b/>
      <sz val="11"/>
      <color theme="0"/>
      <name val="Arial"/>
      <family val="2"/>
      <charset val="134"/>
    </font>
    <font>
      <sz val="10"/>
      <color rgb="FF00B050"/>
      <name val="Arial"/>
      <family val="2"/>
    </font>
    <font>
      <sz val="11"/>
      <color rgb="FF000000"/>
      <name val="Arial"/>
      <family val="2"/>
    </font>
    <font>
      <sz val="11"/>
      <color rgb="FF00B050"/>
      <name val="Arial"/>
      <family val="2"/>
    </font>
    <font>
      <b/>
      <i/>
      <sz val="9"/>
      <color theme="1"/>
      <name val="Arial"/>
      <family val="2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theme="1"/>
      <name val="Calibri"/>
      <family val="2"/>
    </font>
    <font>
      <b/>
      <sz val="10"/>
      <color rgb="FFFA7D00"/>
      <name val="微软雅黑"/>
      <family val="2"/>
      <charset val="134"/>
    </font>
    <font>
      <i/>
      <sz val="10"/>
      <color rgb="FF7F7F7F"/>
      <name val="微软雅黑"/>
      <family val="2"/>
      <charset val="134"/>
    </font>
    <font>
      <sz val="8"/>
      <color theme="1"/>
      <name val="Arial"/>
      <family val="2"/>
    </font>
    <font>
      <b/>
      <i/>
      <sz val="9"/>
      <color theme="1"/>
      <name val="微软雅黑"/>
      <family val="2"/>
      <charset val="134"/>
    </font>
    <font>
      <b/>
      <i/>
      <sz val="9"/>
      <color theme="1"/>
      <name val="Arial"/>
      <family val="2"/>
      <charset val="134"/>
    </font>
    <font>
      <b/>
      <sz val="10"/>
      <color theme="1"/>
      <name val="宋体"/>
      <family val="3"/>
      <charset val="134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8"/>
      <color theme="1"/>
      <name val="Arial"/>
      <family val="2"/>
    </font>
    <font>
      <sz val="8"/>
      <color theme="1"/>
      <name val="Arial"/>
      <family val="2"/>
      <charset val="134"/>
    </font>
    <font>
      <b/>
      <i/>
      <u/>
      <sz val="12"/>
      <color theme="1"/>
      <name val="Arial"/>
      <family val="2"/>
    </font>
    <font>
      <sz val="10"/>
      <color theme="1"/>
      <name val="宋体"/>
      <family val="2"/>
      <charset val="134"/>
    </font>
    <font>
      <sz val="10"/>
      <color theme="1"/>
      <name val="Arial"/>
      <family val="2"/>
      <charset val="134"/>
    </font>
    <font>
      <b/>
      <i/>
      <sz val="9"/>
      <color theme="1"/>
      <name val="宋体"/>
      <family val="2"/>
      <charset val="134"/>
    </font>
    <font>
      <b/>
      <i/>
      <sz val="11"/>
      <color theme="1"/>
      <name val="等线"/>
      <family val="3"/>
      <charset val="134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6609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theme="4" tint="0.5999938962981048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theme="4"/>
      </patternFill>
    </fill>
    <fill>
      <patternFill patternType="solid">
        <fgColor theme="4" tint="-0.249977111117893"/>
        <bgColor theme="4" tint="0.5999938962981048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rgb="FFF2F2F2"/>
      </patternFill>
    </fill>
    <fill>
      <patternFill patternType="solid">
        <fgColor rgb="FFDFECFF"/>
      </patternFill>
    </fill>
    <fill>
      <patternFill patternType="solid">
        <fgColor rgb="FFFFFFFF"/>
      </patternFill>
    </fill>
    <fill>
      <patternFill patternType="solid">
        <fgColor rgb="FFF4F9FF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00000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auto="1"/>
      </right>
      <top style="medium">
        <color theme="0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8"/>
      </bottom>
      <diagonal/>
    </border>
    <border>
      <left/>
      <right/>
      <top style="thin">
        <color auto="1"/>
      </top>
      <bottom style="thick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theme="0"/>
      </bottom>
      <diagonal/>
    </border>
    <border>
      <left/>
      <right/>
      <top style="medium">
        <color auto="1"/>
      </top>
      <bottom style="medium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medium">
        <color auto="1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auto="1"/>
      </top>
      <bottom/>
      <diagonal/>
    </border>
    <border>
      <left style="medium">
        <color theme="0"/>
      </left>
      <right/>
      <top style="medium">
        <color theme="0"/>
      </top>
      <bottom style="medium">
        <color auto="1"/>
      </bottom>
      <diagonal/>
    </border>
    <border>
      <left/>
      <right/>
      <top style="medium">
        <color theme="0"/>
      </top>
      <bottom style="medium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/>
      <top style="thin">
        <color rgb="FFB2B2B2"/>
      </top>
      <bottom style="thin">
        <color auto="1"/>
      </bottom>
      <diagonal/>
    </border>
    <border>
      <left/>
      <right style="thin">
        <color rgb="FFB2B2B2"/>
      </right>
      <top style="thin">
        <color rgb="FFB2B2B2"/>
      </top>
      <bottom style="thin">
        <color auto="1"/>
      </bottom>
      <diagonal/>
    </border>
  </borders>
  <cellStyleXfs count="40">
    <xf numFmtId="0" fontId="0" fillId="0" borderId="0"/>
    <xf numFmtId="9" fontId="12" fillId="0" borderId="0" applyFont="0" applyFill="0" applyBorder="0" applyAlignment="0" applyProtection="0">
      <alignment vertical="center"/>
    </xf>
    <xf numFmtId="0" fontId="14" fillId="0" borderId="0"/>
    <xf numFmtId="9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4" fillId="0" borderId="0"/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6" fillId="0" borderId="0" applyNumberFormat="0" applyFont="0" applyFill="0" applyBorder="0" applyAlignment="0" applyProtection="0"/>
    <xf numFmtId="0" fontId="14" fillId="0" borderId="0"/>
    <xf numFmtId="0" fontId="16" fillId="0" borderId="0" applyNumberFormat="0" applyFont="0" applyFill="0" applyBorder="0" applyAlignment="0" applyProtection="0"/>
    <xf numFmtId="0" fontId="14" fillId="0" borderId="0">
      <alignment vertical="center"/>
    </xf>
    <xf numFmtId="0" fontId="16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0" fontId="17" fillId="0" borderId="0" applyNumberFormat="0" applyFont="0" applyFill="0" applyBorder="0" applyAlignment="0" applyProtection="0"/>
    <xf numFmtId="0" fontId="15" fillId="0" borderId="0"/>
    <xf numFmtId="43" fontId="12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16" fillId="0" borderId="0" applyNumberFormat="0" applyFont="0" applyFill="0" applyBorder="0" applyAlignment="0" applyProtection="0"/>
    <xf numFmtId="0" fontId="16" fillId="0" borderId="0" applyNumberFormat="0" applyFont="0" applyFill="0" applyBorder="0" applyAlignment="0" applyProtection="0"/>
    <xf numFmtId="43" fontId="14" fillId="0" borderId="0" applyFont="0" applyFill="0" applyBorder="0" applyAlignment="0" applyProtection="0">
      <alignment vertical="center"/>
    </xf>
    <xf numFmtId="0" fontId="12" fillId="0" borderId="0"/>
    <xf numFmtId="177" fontId="14" fillId="0" borderId="0"/>
    <xf numFmtId="0" fontId="11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26" borderId="41" applyNumberFormat="0" applyFont="0" applyAlignment="0" applyProtection="0">
      <alignment vertical="center"/>
    </xf>
    <xf numFmtId="0" fontId="75" fillId="0" borderId="0">
      <alignment vertical="center"/>
    </xf>
    <xf numFmtId="0" fontId="78" fillId="28" borderId="50" applyNumberForma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</cellStyleXfs>
  <cellXfs count="682">
    <xf numFmtId="0" fontId="0" fillId="0" borderId="0" xfId="0"/>
    <xf numFmtId="0" fontId="11" fillId="0" borderId="0" xfId="26">
      <alignment vertical="center"/>
    </xf>
    <xf numFmtId="0" fontId="0" fillId="0" borderId="1" xfId="0" applyBorder="1" applyAlignment="1">
      <alignment horizontal="center"/>
    </xf>
    <xf numFmtId="0" fontId="0" fillId="0" borderId="1" xfId="0" pivotButton="1" applyBorder="1" applyAlignment="1">
      <alignment horizontal="center"/>
    </xf>
    <xf numFmtId="9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9" fontId="11" fillId="0" borderId="0" xfId="1" applyFont="1">
      <alignment vertical="center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2" borderId="0" xfId="0" applyFont="1" applyFill="1" applyAlignment="1">
      <alignment horizontal="left" vertical="center" wrapText="1" indent="1"/>
    </xf>
    <xf numFmtId="178" fontId="0" fillId="0" borderId="0" xfId="0" applyNumberFormat="1"/>
    <xf numFmtId="0" fontId="23" fillId="2" borderId="0" xfId="0" applyFont="1" applyFill="1" applyAlignment="1">
      <alignment horizontal="left" vertical="center" wrapText="1" indent="1"/>
    </xf>
    <xf numFmtId="0" fontId="10" fillId="0" borderId="0" xfId="26" applyFont="1">
      <alignment vertical="center"/>
    </xf>
    <xf numFmtId="9" fontId="0" fillId="0" borderId="0" xfId="1" applyFont="1" applyAlignment="1"/>
    <xf numFmtId="0" fontId="0" fillId="0" borderId="1" xfId="0" applyBorder="1"/>
    <xf numFmtId="3" fontId="0" fillId="0" borderId="0" xfId="0" applyNumberFormat="1"/>
    <xf numFmtId="14" fontId="0" fillId="0" borderId="0" xfId="0" applyNumberFormat="1"/>
    <xf numFmtId="4" fontId="0" fillId="0" borderId="0" xfId="0" applyNumberFormat="1"/>
    <xf numFmtId="0" fontId="24" fillId="0" borderId="0" xfId="0" pivotButton="1" applyFont="1"/>
    <xf numFmtId="0" fontId="24" fillId="0" borderId="0" xfId="0" applyFont="1"/>
    <xf numFmtId="0" fontId="24" fillId="0" borderId="0" xfId="0" applyFont="1" applyAlignment="1">
      <alignment horizontal="left"/>
    </xf>
    <xf numFmtId="0" fontId="24" fillId="0" borderId="0" xfId="0" applyFont="1" applyAlignment="1">
      <alignment horizontal="left" indent="1"/>
    </xf>
    <xf numFmtId="180" fontId="24" fillId="0" borderId="0" xfId="0" applyNumberFormat="1" applyFont="1"/>
    <xf numFmtId="9" fontId="24" fillId="0" borderId="0" xfId="0" applyNumberFormat="1" applyFon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24" fillId="0" borderId="0" xfId="30" applyFont="1">
      <alignment vertical="center"/>
    </xf>
    <xf numFmtId="0" fontId="27" fillId="5" borderId="0" xfId="30" applyFont="1" applyFill="1" applyAlignment="1">
      <alignment horizontal="center" vertical="center" wrapText="1" readingOrder="1"/>
    </xf>
    <xf numFmtId="0" fontId="28" fillId="4" borderId="6" xfId="30" applyFont="1" applyFill="1" applyBorder="1" applyAlignment="1">
      <alignment horizontal="center" vertical="center" wrapText="1" readingOrder="1"/>
    </xf>
    <xf numFmtId="181" fontId="16" fillId="6" borderId="6" xfId="30" applyNumberFormat="1" applyFont="1" applyFill="1" applyBorder="1" applyAlignment="1">
      <alignment horizontal="right" vertical="center" wrapText="1"/>
    </xf>
    <xf numFmtId="181" fontId="16" fillId="0" borderId="0" xfId="30" applyNumberFormat="1" applyFont="1" applyAlignment="1">
      <alignment horizontal="right" vertical="center" wrapText="1"/>
    </xf>
    <xf numFmtId="179" fontId="16" fillId="0" borderId="0" xfId="31" applyNumberFormat="1" applyFont="1" applyBorder="1" applyAlignment="1">
      <alignment horizontal="right" vertical="center" wrapText="1"/>
    </xf>
    <xf numFmtId="3" fontId="16" fillId="0" borderId="0" xfId="30" applyNumberFormat="1" applyFont="1" applyAlignment="1">
      <alignment horizontal="right" vertical="center" wrapText="1"/>
    </xf>
    <xf numFmtId="179" fontId="16" fillId="0" borderId="7" xfId="31" applyNumberFormat="1" applyFont="1" applyBorder="1" applyAlignment="1">
      <alignment horizontal="right" vertical="center" wrapText="1"/>
    </xf>
    <xf numFmtId="178" fontId="16" fillId="0" borderId="6" xfId="30" applyNumberFormat="1" applyFont="1" applyBorder="1" applyAlignment="1">
      <alignment horizontal="right" vertical="center" wrapText="1"/>
    </xf>
    <xf numFmtId="178" fontId="16" fillId="0" borderId="0" xfId="30" applyNumberFormat="1" applyFont="1" applyAlignment="1">
      <alignment horizontal="right" vertical="center" wrapText="1"/>
    </xf>
    <xf numFmtId="0" fontId="28" fillId="0" borderId="8" xfId="30" applyFont="1" applyBorder="1" applyAlignment="1">
      <alignment horizontal="center" vertical="center" wrapText="1" readingOrder="1"/>
    </xf>
    <xf numFmtId="181" fontId="24" fillId="6" borderId="6" xfId="30" applyNumberFormat="1" applyFont="1" applyFill="1" applyBorder="1">
      <alignment vertical="center"/>
    </xf>
    <xf numFmtId="181" fontId="24" fillId="0" borderId="0" xfId="30" applyNumberFormat="1" applyFont="1">
      <alignment vertical="center"/>
    </xf>
    <xf numFmtId="3" fontId="24" fillId="0" borderId="0" xfId="30" applyNumberFormat="1" applyFont="1">
      <alignment vertical="center"/>
    </xf>
    <xf numFmtId="178" fontId="24" fillId="0" borderId="6" xfId="30" applyNumberFormat="1" applyFont="1" applyBorder="1">
      <alignment vertical="center"/>
    </xf>
    <xf numFmtId="0" fontId="16" fillId="0" borderId="0" xfId="30" applyFont="1" applyAlignment="1">
      <alignment horizontal="right" vertical="center" wrapText="1"/>
    </xf>
    <xf numFmtId="0" fontId="16" fillId="0" borderId="6" xfId="30" applyFont="1" applyBorder="1" applyAlignment="1">
      <alignment horizontal="right" vertical="center" wrapText="1"/>
    </xf>
    <xf numFmtId="3" fontId="16" fillId="0" borderId="6" xfId="30" applyNumberFormat="1" applyFont="1" applyBorder="1" applyAlignment="1">
      <alignment horizontal="right" vertical="center" wrapText="1"/>
    </xf>
    <xf numFmtId="10" fontId="16" fillId="0" borderId="0" xfId="30" applyNumberFormat="1" applyFont="1" applyAlignment="1">
      <alignment horizontal="right" vertical="center" wrapText="1"/>
    </xf>
    <xf numFmtId="176" fontId="16" fillId="0" borderId="6" xfId="30" applyNumberFormat="1" applyFont="1" applyBorder="1" applyAlignment="1">
      <alignment horizontal="right" vertical="center" wrapText="1"/>
    </xf>
    <xf numFmtId="176" fontId="16" fillId="0" borderId="0" xfId="30" applyNumberFormat="1" applyFont="1" applyAlignment="1">
      <alignment horizontal="right" vertical="center" wrapText="1"/>
    </xf>
    <xf numFmtId="184" fontId="16" fillId="0" borderId="6" xfId="30" applyNumberFormat="1" applyFont="1" applyBorder="1" applyAlignment="1">
      <alignment horizontal="right" vertical="center" wrapText="1"/>
    </xf>
    <xf numFmtId="184" fontId="16" fillId="0" borderId="0" xfId="30" applyNumberFormat="1" applyFont="1" applyAlignment="1">
      <alignment horizontal="right" vertical="center" wrapText="1"/>
    </xf>
    <xf numFmtId="9" fontId="16" fillId="0" borderId="0" xfId="31" applyFont="1" applyBorder="1" applyAlignment="1">
      <alignment horizontal="right" vertical="center" wrapText="1"/>
    </xf>
    <xf numFmtId="0" fontId="28" fillId="4" borderId="8" xfId="30" applyFont="1" applyFill="1" applyBorder="1" applyAlignment="1">
      <alignment horizontal="center" vertical="center" wrapText="1" readingOrder="1"/>
    </xf>
    <xf numFmtId="0" fontId="24" fillId="0" borderId="0" xfId="30" applyFont="1" applyAlignment="1">
      <alignment horizontal="center" vertical="center"/>
    </xf>
    <xf numFmtId="0" fontId="25" fillId="4" borderId="8" xfId="30" applyFont="1" applyFill="1" applyBorder="1" applyAlignment="1">
      <alignment horizontal="center" vertical="center"/>
    </xf>
    <xf numFmtId="9" fontId="24" fillId="0" borderId="0" xfId="31" applyFont="1" applyBorder="1">
      <alignment vertical="center"/>
    </xf>
    <xf numFmtId="9" fontId="24" fillId="0" borderId="0" xfId="30" applyNumberFormat="1" applyFont="1">
      <alignment vertical="center"/>
    </xf>
    <xf numFmtId="0" fontId="25" fillId="0" borderId="0" xfId="30" applyFont="1" applyAlignment="1">
      <alignment horizontal="center" vertical="center"/>
    </xf>
    <xf numFmtId="0" fontId="0" fillId="0" borderId="1" xfId="0" pivotButton="1" applyBorder="1"/>
    <xf numFmtId="0" fontId="0" fillId="0" borderId="1" xfId="0" applyBorder="1" applyAlignment="1">
      <alignment vertical="center"/>
    </xf>
    <xf numFmtId="0" fontId="0" fillId="0" borderId="1" xfId="0" pivotButton="1" applyBorder="1" applyAlignment="1">
      <alignment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/>
    <xf numFmtId="10" fontId="0" fillId="0" borderId="0" xfId="0" applyNumberFormat="1"/>
    <xf numFmtId="0" fontId="22" fillId="2" borderId="0" xfId="0" applyFont="1" applyFill="1" applyAlignment="1">
      <alignment horizontal="right" vertical="center" wrapText="1" indent="1"/>
    </xf>
    <xf numFmtId="47" fontId="22" fillId="2" borderId="0" xfId="0" applyNumberFormat="1" applyFont="1" applyFill="1" applyAlignment="1">
      <alignment horizontal="right" vertical="center" wrapText="1" indent="1"/>
    </xf>
    <xf numFmtId="9" fontId="0" fillId="7" borderId="1" xfId="0" applyNumberFormat="1" applyFill="1" applyBorder="1" applyAlignment="1">
      <alignment vertical="center"/>
    </xf>
    <xf numFmtId="3" fontId="16" fillId="6" borderId="0" xfId="30" applyNumberFormat="1" applyFont="1" applyFill="1" applyAlignment="1">
      <alignment horizontal="right" vertical="center" wrapText="1"/>
    </xf>
    <xf numFmtId="181" fontId="16" fillId="6" borderId="0" xfId="30" applyNumberFormat="1" applyFont="1" applyFill="1" applyAlignment="1">
      <alignment horizontal="right" vertical="center" wrapText="1"/>
    </xf>
    <xf numFmtId="0" fontId="24" fillId="4" borderId="0" xfId="0" applyFont="1" applyFill="1" applyAlignment="1">
      <alignment horizontal="left" indent="1"/>
    </xf>
    <xf numFmtId="0" fontId="26" fillId="5" borderId="6" xfId="30" applyFont="1" applyFill="1" applyBorder="1" applyAlignment="1">
      <alignment horizontal="center" vertical="center" wrapText="1" readingOrder="1"/>
    </xf>
    <xf numFmtId="0" fontId="31" fillId="5" borderId="0" xfId="30" applyFont="1" applyFill="1" applyAlignment="1">
      <alignment horizontal="center" vertical="center" wrapText="1" readingOrder="1"/>
    </xf>
    <xf numFmtId="0" fontId="26" fillId="5" borderId="0" xfId="30" applyFont="1" applyFill="1" applyAlignment="1">
      <alignment horizontal="center" vertical="center" wrapText="1" readingOrder="1"/>
    </xf>
    <xf numFmtId="0" fontId="26" fillId="5" borderId="7" xfId="30" applyFont="1" applyFill="1" applyBorder="1" applyAlignment="1">
      <alignment horizontal="center" vertical="center" wrapText="1" readingOrder="1"/>
    </xf>
    <xf numFmtId="178" fontId="24" fillId="0" borderId="0" xfId="30" applyNumberFormat="1" applyFont="1">
      <alignment vertical="center"/>
    </xf>
    <xf numFmtId="10" fontId="16" fillId="0" borderId="6" xfId="30" applyNumberFormat="1" applyFont="1" applyBorder="1" applyAlignment="1">
      <alignment horizontal="right" vertical="center" wrapText="1"/>
    </xf>
    <xf numFmtId="9" fontId="16" fillId="0" borderId="6" xfId="31" applyFont="1" applyBorder="1" applyAlignment="1">
      <alignment horizontal="right" vertical="center" wrapText="1"/>
    </xf>
    <xf numFmtId="0" fontId="26" fillId="3" borderId="19" xfId="30" applyFont="1" applyFill="1" applyBorder="1" applyAlignment="1">
      <alignment horizontal="center" vertical="center" wrapText="1" readingOrder="1"/>
    </xf>
    <xf numFmtId="0" fontId="26" fillId="3" borderId="20" xfId="30" applyFont="1" applyFill="1" applyBorder="1" applyAlignment="1">
      <alignment horizontal="center" vertical="center" wrapText="1" readingOrder="1"/>
    </xf>
    <xf numFmtId="0" fontId="31" fillId="3" borderId="17" xfId="30" applyFont="1" applyFill="1" applyBorder="1" applyAlignment="1">
      <alignment horizontal="center" vertical="center" wrapText="1" readingOrder="1"/>
    </xf>
    <xf numFmtId="0" fontId="31" fillId="3" borderId="19" xfId="30" applyFont="1" applyFill="1" applyBorder="1" applyAlignment="1">
      <alignment horizontal="center" vertical="center" wrapText="1" readingOrder="1"/>
    </xf>
    <xf numFmtId="0" fontId="26" fillId="3" borderId="16" xfId="30" applyFont="1" applyFill="1" applyBorder="1" applyAlignment="1">
      <alignment horizontal="center" vertical="center" wrapText="1" readingOrder="1"/>
    </xf>
    <xf numFmtId="0" fontId="26" fillId="3" borderId="17" xfId="30" applyFont="1" applyFill="1" applyBorder="1" applyAlignment="1">
      <alignment horizontal="center" vertical="center" wrapText="1" readingOrder="1"/>
    </xf>
    <xf numFmtId="0" fontId="26" fillId="5" borderId="3" xfId="30" applyFont="1" applyFill="1" applyBorder="1" applyAlignment="1">
      <alignment horizontal="center" vertical="center" wrapText="1" readingOrder="1"/>
    </xf>
    <xf numFmtId="0" fontId="31" fillId="5" borderId="4" xfId="30" applyFont="1" applyFill="1" applyBorder="1" applyAlignment="1">
      <alignment horizontal="center" vertical="center" wrapText="1" readingOrder="1"/>
    </xf>
    <xf numFmtId="0" fontId="26" fillId="5" borderId="4" xfId="30" applyFont="1" applyFill="1" applyBorder="1" applyAlignment="1">
      <alignment horizontal="center" vertical="center" wrapText="1" readingOrder="1"/>
    </xf>
    <xf numFmtId="0" fontId="26" fillId="5" borderId="5" xfId="30" applyFont="1" applyFill="1" applyBorder="1" applyAlignment="1">
      <alignment horizontal="center" vertical="center" wrapText="1" readingOrder="1"/>
    </xf>
    <xf numFmtId="14" fontId="24" fillId="0" borderId="0" xfId="0" applyNumberFormat="1" applyFont="1"/>
    <xf numFmtId="9" fontId="28" fillId="0" borderId="0" xfId="1" applyFont="1" applyFill="1" applyBorder="1" applyAlignment="1">
      <alignment horizontal="center" vertical="center" wrapText="1" readingOrder="1"/>
    </xf>
    <xf numFmtId="10" fontId="28" fillId="0" borderId="0" xfId="1" applyNumberFormat="1" applyFont="1" applyFill="1" applyBorder="1" applyAlignment="1">
      <alignment horizontal="center" vertical="center" wrapText="1" readingOrder="1"/>
    </xf>
    <xf numFmtId="9" fontId="25" fillId="0" borderId="0" xfId="1" applyFont="1" applyFill="1" applyBorder="1" applyAlignment="1">
      <alignment horizontal="center" vertical="center"/>
    </xf>
    <xf numFmtId="0" fontId="32" fillId="0" borderId="0" xfId="0" applyFont="1"/>
    <xf numFmtId="10" fontId="33" fillId="0" borderId="0" xfId="1" applyNumberFormat="1" applyFont="1" applyFill="1" applyBorder="1" applyAlignment="1">
      <alignment horizontal="center" vertical="center" wrapText="1" readingOrder="1"/>
    </xf>
    <xf numFmtId="9" fontId="33" fillId="0" borderId="0" xfId="1" applyFont="1" applyFill="1" applyBorder="1" applyAlignment="1">
      <alignment horizontal="center" vertical="center" wrapText="1" readingOrder="1"/>
    </xf>
    <xf numFmtId="9" fontId="24" fillId="0" borderId="0" xfId="1" applyFont="1" applyFill="1" applyBorder="1" applyAlignment="1">
      <alignment horizontal="center" vertical="center"/>
    </xf>
    <xf numFmtId="0" fontId="25" fillId="0" borderId="0" xfId="30" applyFont="1">
      <alignment vertical="center"/>
    </xf>
    <xf numFmtId="14" fontId="24" fillId="0" borderId="0" xfId="30" applyNumberFormat="1" applyFont="1">
      <alignment vertical="center"/>
    </xf>
    <xf numFmtId="179" fontId="28" fillId="0" borderId="0" xfId="1" applyNumberFormat="1" applyFont="1" applyFill="1" applyAlignment="1">
      <alignment horizontal="center" vertical="center" wrapText="1" readingOrder="1"/>
    </xf>
    <xf numFmtId="186" fontId="28" fillId="0" borderId="0" xfId="1" applyNumberFormat="1" applyFont="1" applyFill="1" applyAlignment="1">
      <alignment horizontal="center" vertical="center" wrapText="1" readingOrder="1"/>
    </xf>
    <xf numFmtId="0" fontId="34" fillId="0" borderId="0" xfId="30" applyFont="1">
      <alignment vertical="center"/>
    </xf>
    <xf numFmtId="0" fontId="34" fillId="0" borderId="0" xfId="30" applyFont="1" applyAlignment="1">
      <alignment horizontal="center" vertical="center"/>
    </xf>
    <xf numFmtId="10" fontId="16" fillId="0" borderId="0" xfId="1" applyNumberFormat="1" applyFont="1" applyFill="1" applyAlignment="1">
      <alignment horizontal="center" vertical="center" wrapText="1" readingOrder="1"/>
    </xf>
    <xf numFmtId="9" fontId="16" fillId="0" borderId="0" xfId="1" applyFont="1" applyFill="1" applyAlignment="1">
      <alignment horizontal="center" vertical="center" wrapText="1" readingOrder="1"/>
    </xf>
    <xf numFmtId="9" fontId="16" fillId="0" borderId="0" xfId="1" applyFont="1" applyFill="1" applyAlignment="1">
      <alignment horizontal="center" vertical="center"/>
    </xf>
    <xf numFmtId="10" fontId="33" fillId="0" borderId="0" xfId="1" applyNumberFormat="1" applyFont="1" applyFill="1" applyAlignment="1">
      <alignment horizontal="center" vertical="center" wrapText="1" readingOrder="1"/>
    </xf>
    <xf numFmtId="9" fontId="33" fillId="0" borderId="0" xfId="1" applyFont="1" applyFill="1" applyAlignment="1">
      <alignment horizontal="center" vertical="center" wrapText="1" readingOrder="1"/>
    </xf>
    <xf numFmtId="9" fontId="24" fillId="0" borderId="0" xfId="1" applyFont="1" applyFill="1" applyAlignment="1">
      <alignment horizontal="center" vertical="center"/>
    </xf>
    <xf numFmtId="0" fontId="33" fillId="0" borderId="0" xfId="1" applyNumberFormat="1" applyFont="1" applyFill="1" applyAlignment="1">
      <alignment horizontal="center" vertical="center" wrapText="1" readingOrder="1"/>
    </xf>
    <xf numFmtId="181" fontId="0" fillId="0" borderId="0" xfId="0" applyNumberFormat="1"/>
    <xf numFmtId="0" fontId="19" fillId="2" borderId="0" xfId="26" applyFont="1" applyFill="1" applyAlignment="1">
      <alignment horizontal="center" vertical="center" wrapText="1"/>
    </xf>
    <xf numFmtId="0" fontId="21" fillId="2" borderId="0" xfId="26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11" fillId="0" borderId="0" xfId="26" applyAlignment="1">
      <alignment horizontal="center" vertical="center"/>
    </xf>
    <xf numFmtId="9" fontId="0" fillId="9" borderId="1" xfId="0" applyNumberFormat="1" applyFill="1" applyBorder="1" applyAlignment="1">
      <alignment vertical="center"/>
    </xf>
    <xf numFmtId="9" fontId="0" fillId="10" borderId="1" xfId="0" applyNumberFormat="1" applyFill="1" applyBorder="1" applyAlignment="1">
      <alignment vertical="center"/>
    </xf>
    <xf numFmtId="9" fontId="24" fillId="0" borderId="0" xfId="1" applyFont="1">
      <alignment vertical="center"/>
    </xf>
    <xf numFmtId="0" fontId="0" fillId="2" borderId="0" xfId="0" applyFill="1"/>
    <xf numFmtId="0" fontId="33" fillId="0" borderId="0" xfId="0" applyFont="1" applyAlignment="1">
      <alignment horizontal="center" vertical="center" wrapText="1" readingOrder="1"/>
    </xf>
    <xf numFmtId="0" fontId="38" fillId="13" borderId="0" xfId="0" applyFont="1" applyFill="1" applyAlignment="1">
      <alignment horizontal="center" vertical="center" wrapText="1" readingOrder="1"/>
    </xf>
    <xf numFmtId="0" fontId="39" fillId="8" borderId="2" xfId="0" applyFont="1" applyFill="1" applyBorder="1" applyAlignment="1">
      <alignment vertical="center" wrapText="1" readingOrder="1"/>
    </xf>
    <xf numFmtId="0" fontId="39" fillId="8" borderId="0" xfId="0" applyFont="1" applyFill="1" applyAlignment="1">
      <alignment vertical="center" wrapText="1" readingOrder="1"/>
    </xf>
    <xf numFmtId="0" fontId="39" fillId="8" borderId="0" xfId="0" applyFont="1" applyFill="1" applyAlignment="1">
      <alignment horizontal="center" vertical="center" wrapText="1" readingOrder="1"/>
    </xf>
    <xf numFmtId="0" fontId="32" fillId="8" borderId="0" xfId="0" applyFont="1" applyFill="1" applyAlignment="1">
      <alignment horizontal="center" vertical="center" wrapText="1"/>
    </xf>
    <xf numFmtId="179" fontId="41" fillId="2" borderId="0" xfId="0" applyNumberFormat="1" applyFont="1" applyFill="1" applyAlignment="1">
      <alignment horizontal="center" vertical="center" wrapText="1" readingOrder="1"/>
    </xf>
    <xf numFmtId="0" fontId="42" fillId="0" borderId="0" xfId="0" applyFont="1"/>
    <xf numFmtId="0" fontId="27" fillId="11" borderId="26" xfId="0" applyFont="1" applyFill="1" applyBorder="1" applyAlignment="1">
      <alignment horizontal="center" vertical="center" wrapText="1" readingOrder="1"/>
    </xf>
    <xf numFmtId="0" fontId="27" fillId="11" borderId="27" xfId="0" applyFont="1" applyFill="1" applyBorder="1" applyAlignment="1">
      <alignment horizontal="center" vertical="center" wrapText="1" readingOrder="1"/>
    </xf>
    <xf numFmtId="0" fontId="33" fillId="0" borderId="23" xfId="0" applyFont="1" applyBorder="1" applyAlignment="1">
      <alignment horizontal="center" vertical="center" wrapText="1" readingOrder="1"/>
    </xf>
    <xf numFmtId="179" fontId="41" fillId="2" borderId="23" xfId="0" applyNumberFormat="1" applyFont="1" applyFill="1" applyBorder="1" applyAlignment="1">
      <alignment horizontal="center" vertical="center" wrapText="1" readingOrder="1"/>
    </xf>
    <xf numFmtId="178" fontId="33" fillId="0" borderId="23" xfId="0" applyNumberFormat="1" applyFont="1" applyBorder="1" applyAlignment="1">
      <alignment horizontal="center" vertical="center" wrapText="1" readingOrder="1"/>
    </xf>
    <xf numFmtId="178" fontId="33" fillId="0" borderId="0" xfId="0" applyNumberFormat="1" applyFont="1" applyAlignment="1">
      <alignment horizontal="center" vertical="center" wrapText="1" readingOrder="1"/>
    </xf>
    <xf numFmtId="178" fontId="38" fillId="13" borderId="0" xfId="0" applyNumberFormat="1" applyFont="1" applyFill="1" applyAlignment="1">
      <alignment horizontal="center" vertical="center" wrapText="1" readingOrder="1"/>
    </xf>
    <xf numFmtId="0" fontId="27" fillId="11" borderId="25" xfId="0" applyFont="1" applyFill="1" applyBorder="1" applyAlignment="1">
      <alignment horizontal="center" vertical="center" wrapText="1" readingOrder="1"/>
    </xf>
    <xf numFmtId="178" fontId="33" fillId="0" borderId="22" xfId="0" applyNumberFormat="1" applyFont="1" applyBorder="1" applyAlignment="1">
      <alignment horizontal="center" vertical="center" wrapText="1" readingOrder="1"/>
    </xf>
    <xf numFmtId="178" fontId="33" fillId="0" borderId="24" xfId="0" applyNumberFormat="1" applyFont="1" applyBorder="1" applyAlignment="1">
      <alignment horizontal="center" vertical="center" wrapText="1" readingOrder="1"/>
    </xf>
    <xf numFmtId="178" fontId="33" fillId="0" borderId="29" xfId="0" applyNumberFormat="1" applyFont="1" applyBorder="1" applyAlignment="1">
      <alignment horizontal="center" vertical="center" wrapText="1" readingOrder="1"/>
    </xf>
    <xf numFmtId="178" fontId="33" fillId="0" borderId="30" xfId="0" applyNumberFormat="1" applyFont="1" applyBorder="1" applyAlignment="1">
      <alignment horizontal="center" vertical="center" wrapText="1" readingOrder="1"/>
    </xf>
    <xf numFmtId="178" fontId="38" fillId="13" borderId="29" xfId="0" applyNumberFormat="1" applyFont="1" applyFill="1" applyBorder="1" applyAlignment="1">
      <alignment horizontal="center" vertical="center" wrapText="1" readingOrder="1"/>
    </xf>
    <xf numFmtId="178" fontId="38" fillId="13" borderId="30" xfId="0" applyNumberFormat="1" applyFont="1" applyFill="1" applyBorder="1" applyAlignment="1">
      <alignment horizontal="center" vertical="center" wrapText="1" readingOrder="1"/>
    </xf>
    <xf numFmtId="179" fontId="41" fillId="2" borderId="22" xfId="0" applyNumberFormat="1" applyFont="1" applyFill="1" applyBorder="1" applyAlignment="1">
      <alignment horizontal="center" vertical="center" wrapText="1" readingOrder="1"/>
    </xf>
    <xf numFmtId="179" fontId="41" fillId="2" borderId="29" xfId="0" applyNumberFormat="1" applyFont="1" applyFill="1" applyBorder="1" applyAlignment="1">
      <alignment horizontal="center" vertical="center" wrapText="1" readingOrder="1"/>
    </xf>
    <xf numFmtId="178" fontId="28" fillId="0" borderId="22" xfId="0" applyNumberFormat="1" applyFont="1" applyBorder="1" applyAlignment="1">
      <alignment horizontal="center" vertical="center" wrapText="1" readingOrder="1"/>
    </xf>
    <xf numFmtId="178" fontId="28" fillId="0" borderId="23" xfId="0" applyNumberFormat="1" applyFont="1" applyBorder="1" applyAlignment="1">
      <alignment horizontal="center" vertical="center" wrapText="1" readingOrder="1"/>
    </xf>
    <xf numFmtId="178" fontId="28" fillId="0" borderId="24" xfId="0" applyNumberFormat="1" applyFont="1" applyBorder="1" applyAlignment="1">
      <alignment horizontal="center" vertical="center" wrapText="1" readingOrder="1"/>
    </xf>
    <xf numFmtId="179" fontId="43" fillId="2" borderId="22" xfId="0" applyNumberFormat="1" applyFont="1" applyFill="1" applyBorder="1" applyAlignment="1">
      <alignment horizontal="center" vertical="center" wrapText="1" readingOrder="1"/>
    </xf>
    <xf numFmtId="179" fontId="43" fillId="2" borderId="23" xfId="0" applyNumberFormat="1" applyFont="1" applyFill="1" applyBorder="1" applyAlignment="1">
      <alignment horizontal="center" vertical="center" wrapText="1" readingOrder="1"/>
    </xf>
    <xf numFmtId="178" fontId="28" fillId="0" borderId="31" xfId="0" applyNumberFormat="1" applyFont="1" applyBorder="1" applyAlignment="1">
      <alignment horizontal="center" vertical="center" wrapText="1" readingOrder="1"/>
    </xf>
    <xf numFmtId="178" fontId="28" fillId="0" borderId="28" xfId="0" applyNumberFormat="1" applyFont="1" applyBorder="1" applyAlignment="1">
      <alignment horizontal="center" vertical="center" wrapText="1" readingOrder="1"/>
    </xf>
    <xf numFmtId="178" fontId="28" fillId="0" borderId="32" xfId="0" applyNumberFormat="1" applyFont="1" applyBorder="1" applyAlignment="1">
      <alignment horizontal="center" vertical="center" wrapText="1" readingOrder="1"/>
    </xf>
    <xf numFmtId="179" fontId="43" fillId="2" borderId="31" xfId="0" applyNumberFormat="1" applyFont="1" applyFill="1" applyBorder="1" applyAlignment="1">
      <alignment horizontal="center" vertical="center" wrapText="1" readingOrder="1"/>
    </xf>
    <xf numFmtId="179" fontId="43" fillId="2" borderId="28" xfId="0" applyNumberFormat="1" applyFont="1" applyFill="1" applyBorder="1" applyAlignment="1">
      <alignment horizontal="center" vertical="center" wrapText="1" readingOrder="1"/>
    </xf>
    <xf numFmtId="178" fontId="16" fillId="0" borderId="22" xfId="0" applyNumberFormat="1" applyFont="1" applyBorder="1" applyAlignment="1">
      <alignment horizontal="center" vertical="center" wrapText="1"/>
    </xf>
    <xf numFmtId="178" fontId="16" fillId="0" borderId="23" xfId="0" applyNumberFormat="1" applyFont="1" applyBorder="1" applyAlignment="1">
      <alignment horizontal="center" vertical="center" wrapText="1"/>
    </xf>
    <xf numFmtId="178" fontId="16" fillId="0" borderId="24" xfId="0" applyNumberFormat="1" applyFont="1" applyBorder="1" applyAlignment="1">
      <alignment horizontal="center" vertical="center" wrapText="1"/>
    </xf>
    <xf numFmtId="178" fontId="16" fillId="0" borderId="29" xfId="0" applyNumberFormat="1" applyFont="1" applyBorder="1" applyAlignment="1">
      <alignment horizontal="center" vertical="center" wrapText="1"/>
    </xf>
    <xf numFmtId="178" fontId="16" fillId="0" borderId="0" xfId="0" applyNumberFormat="1" applyFont="1" applyAlignment="1">
      <alignment horizontal="center" vertical="center" wrapText="1"/>
    </xf>
    <xf numFmtId="178" fontId="16" fillId="0" borderId="30" xfId="0" applyNumberFormat="1" applyFont="1" applyBorder="1" applyAlignment="1">
      <alignment horizontal="center" vertical="center" wrapText="1"/>
    </xf>
    <xf numFmtId="178" fontId="29" fillId="0" borderId="22" xfId="0" applyNumberFormat="1" applyFont="1" applyBorder="1" applyAlignment="1">
      <alignment horizontal="center" vertical="center" wrapText="1"/>
    </xf>
    <xf numFmtId="178" fontId="29" fillId="0" borderId="23" xfId="0" applyNumberFormat="1" applyFont="1" applyBorder="1" applyAlignment="1">
      <alignment horizontal="center" vertical="center" wrapText="1"/>
    </xf>
    <xf numFmtId="178" fontId="29" fillId="0" borderId="24" xfId="0" applyNumberFormat="1" applyFont="1" applyBorder="1" applyAlignment="1">
      <alignment horizontal="center" vertical="center" wrapText="1"/>
    </xf>
    <xf numFmtId="178" fontId="29" fillId="0" borderId="31" xfId="0" applyNumberFormat="1" applyFont="1" applyBorder="1" applyAlignment="1">
      <alignment horizontal="center" vertical="center" wrapText="1"/>
    </xf>
    <xf numFmtId="178" fontId="29" fillId="0" borderId="28" xfId="0" applyNumberFormat="1" applyFont="1" applyBorder="1" applyAlignment="1">
      <alignment horizontal="center" vertical="center" wrapText="1"/>
    </xf>
    <xf numFmtId="178" fontId="29" fillId="0" borderId="32" xfId="0" applyNumberFormat="1" applyFont="1" applyBorder="1" applyAlignment="1">
      <alignment horizontal="center" vertical="center" wrapText="1"/>
    </xf>
    <xf numFmtId="9" fontId="28" fillId="0" borderId="0" xfId="1" applyFont="1" applyFill="1" applyAlignment="1">
      <alignment horizontal="center" vertical="center" wrapText="1" readingOrder="1"/>
    </xf>
    <xf numFmtId="176" fontId="45" fillId="14" borderId="0" xfId="0" applyNumberFormat="1" applyFont="1" applyFill="1" applyAlignment="1">
      <alignment horizontal="center" vertical="center" wrapText="1" readingOrder="1"/>
    </xf>
    <xf numFmtId="9" fontId="45" fillId="14" borderId="0" xfId="0" applyNumberFormat="1" applyFont="1" applyFill="1" applyAlignment="1">
      <alignment horizontal="center" vertical="center" wrapText="1" readingOrder="1"/>
    </xf>
    <xf numFmtId="0" fontId="0" fillId="0" borderId="0" xfId="0" applyAlignment="1">
      <alignment wrapText="1"/>
    </xf>
    <xf numFmtId="179" fontId="43" fillId="7" borderId="23" xfId="0" applyNumberFormat="1" applyFont="1" applyFill="1" applyBorder="1" applyAlignment="1">
      <alignment horizontal="center" vertical="center" wrapText="1" readingOrder="1"/>
    </xf>
    <xf numFmtId="10" fontId="45" fillId="14" borderId="0" xfId="0" applyNumberFormat="1" applyFont="1" applyFill="1" applyAlignment="1">
      <alignment horizontal="center" vertical="center" wrapText="1" readingOrder="1"/>
    </xf>
    <xf numFmtId="0" fontId="32" fillId="0" borderId="0" xfId="0" applyFont="1" applyAlignment="1">
      <alignment vertical="center"/>
    </xf>
    <xf numFmtId="0" fontId="25" fillId="0" borderId="0" xfId="0" applyFont="1"/>
    <xf numFmtId="0" fontId="33" fillId="10" borderId="0" xfId="0" applyFont="1" applyFill="1" applyAlignment="1">
      <alignment horizontal="center" vertical="center" wrapText="1" readingOrder="1"/>
    </xf>
    <xf numFmtId="9" fontId="33" fillId="10" borderId="29" xfId="0" applyNumberFormat="1" applyFont="1" applyFill="1" applyBorder="1" applyAlignment="1">
      <alignment horizontal="center" vertical="center" wrapText="1" readingOrder="1"/>
    </xf>
    <xf numFmtId="9" fontId="33" fillId="10" borderId="0" xfId="0" applyNumberFormat="1" applyFont="1" applyFill="1" applyAlignment="1">
      <alignment horizontal="center" vertical="center" wrapText="1" readingOrder="1"/>
    </xf>
    <xf numFmtId="9" fontId="33" fillId="10" borderId="30" xfId="0" applyNumberFormat="1" applyFont="1" applyFill="1" applyBorder="1" applyAlignment="1">
      <alignment horizontal="center" vertical="center" wrapText="1" readingOrder="1"/>
    </xf>
    <xf numFmtId="179" fontId="41" fillId="10" borderId="29" xfId="0" applyNumberFormat="1" applyFont="1" applyFill="1" applyBorder="1" applyAlignment="1">
      <alignment horizontal="center" vertical="center" wrapText="1" readingOrder="1"/>
    </xf>
    <xf numFmtId="179" fontId="41" fillId="10" borderId="0" xfId="0" applyNumberFormat="1" applyFont="1" applyFill="1" applyAlignment="1">
      <alignment horizontal="center" vertical="center" wrapText="1" readingOrder="1"/>
    </xf>
    <xf numFmtId="179" fontId="41" fillId="10" borderId="25" xfId="0" applyNumberFormat="1" applyFont="1" applyFill="1" applyBorder="1" applyAlignment="1">
      <alignment horizontal="center" vertical="center" wrapText="1" readingOrder="1"/>
    </xf>
    <xf numFmtId="179" fontId="41" fillId="10" borderId="26" xfId="0" applyNumberFormat="1" applyFont="1" applyFill="1" applyBorder="1" applyAlignment="1">
      <alignment horizontal="center" vertical="center" wrapText="1" readingOrder="1"/>
    </xf>
    <xf numFmtId="0" fontId="38" fillId="15" borderId="0" xfId="0" applyFont="1" applyFill="1" applyAlignment="1">
      <alignment horizontal="center" vertical="center" wrapText="1" readingOrder="1"/>
    </xf>
    <xf numFmtId="178" fontId="38" fillId="15" borderId="29" xfId="0" applyNumberFormat="1" applyFont="1" applyFill="1" applyBorder="1" applyAlignment="1">
      <alignment horizontal="center" vertical="center" wrapText="1" readingOrder="1"/>
    </xf>
    <xf numFmtId="178" fontId="38" fillId="15" borderId="0" xfId="0" applyNumberFormat="1" applyFont="1" applyFill="1" applyAlignment="1">
      <alignment horizontal="center" vertical="center" wrapText="1" readingOrder="1"/>
    </xf>
    <xf numFmtId="178" fontId="38" fillId="15" borderId="30" xfId="0" applyNumberFormat="1" applyFont="1" applyFill="1" applyBorder="1" applyAlignment="1">
      <alignment horizontal="center" vertical="center" wrapText="1" readingOrder="1"/>
    </xf>
    <xf numFmtId="179" fontId="41" fillId="15" borderId="29" xfId="0" applyNumberFormat="1" applyFont="1" applyFill="1" applyBorder="1" applyAlignment="1">
      <alignment horizontal="center" vertical="center" wrapText="1" readingOrder="1"/>
    </xf>
    <xf numFmtId="179" fontId="41" fillId="15" borderId="0" xfId="0" applyNumberFormat="1" applyFont="1" applyFill="1" applyAlignment="1">
      <alignment horizontal="center" vertical="center" wrapText="1" readingOrder="1"/>
    </xf>
    <xf numFmtId="9" fontId="38" fillId="15" borderId="0" xfId="1" applyFont="1" applyFill="1" applyAlignment="1">
      <alignment horizontal="center" vertical="center" wrapText="1" readingOrder="1"/>
    </xf>
    <xf numFmtId="176" fontId="24" fillId="0" borderId="0" xfId="0" applyNumberFormat="1" applyFont="1"/>
    <xf numFmtId="0" fontId="25" fillId="0" borderId="8" xfId="30" applyFont="1" applyBorder="1" applyAlignment="1">
      <alignment horizontal="center" vertical="center"/>
    </xf>
    <xf numFmtId="0" fontId="24" fillId="0" borderId="10" xfId="30" applyFont="1" applyBorder="1">
      <alignment vertical="center"/>
    </xf>
    <xf numFmtId="0" fontId="0" fillId="10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82" fontId="39" fillId="2" borderId="10" xfId="0" applyNumberFormat="1" applyFont="1" applyFill="1" applyBorder="1" applyAlignment="1">
      <alignment horizontal="center" vertical="center" wrapText="1" readingOrder="1"/>
    </xf>
    <xf numFmtId="176" fontId="39" fillId="2" borderId="10" xfId="0" applyNumberFormat="1" applyFont="1" applyFill="1" applyBorder="1" applyAlignment="1">
      <alignment horizontal="center" vertical="center" wrapText="1" readingOrder="1"/>
    </xf>
    <xf numFmtId="10" fontId="39" fillId="8" borderId="10" xfId="0" applyNumberFormat="1" applyFont="1" applyFill="1" applyBorder="1" applyAlignment="1">
      <alignment horizontal="center" vertical="center" wrapText="1" readingOrder="1"/>
    </xf>
    <xf numFmtId="178" fontId="39" fillId="8" borderId="10" xfId="0" applyNumberFormat="1" applyFont="1" applyFill="1" applyBorder="1" applyAlignment="1">
      <alignment horizontal="center" vertical="center" wrapText="1" readingOrder="1"/>
    </xf>
    <xf numFmtId="9" fontId="39" fillId="8" borderId="10" xfId="0" applyNumberFormat="1" applyFont="1" applyFill="1" applyBorder="1" applyAlignment="1">
      <alignment horizontal="center" vertical="center" wrapText="1" readingOrder="1"/>
    </xf>
    <xf numFmtId="0" fontId="6" fillId="0" borderId="0" xfId="26" applyFont="1">
      <alignment vertical="center"/>
    </xf>
    <xf numFmtId="0" fontId="0" fillId="0" borderId="0" xfId="0" applyAlignment="1">
      <alignment horizontal="center"/>
    </xf>
    <xf numFmtId="0" fontId="20" fillId="2" borderId="0" xfId="26" applyFont="1" applyFill="1" applyAlignment="1">
      <alignment horizontal="center" vertical="center" wrapText="1"/>
    </xf>
    <xf numFmtId="47" fontId="22" fillId="2" borderId="0" xfId="0" applyNumberFormat="1" applyFont="1" applyFill="1" applyAlignment="1">
      <alignment horizontal="center" vertical="center" wrapText="1"/>
    </xf>
    <xf numFmtId="179" fontId="41" fillId="2" borderId="24" xfId="0" applyNumberFormat="1" applyFont="1" applyFill="1" applyBorder="1" applyAlignment="1">
      <alignment horizontal="center" vertical="center" wrapText="1" readingOrder="1"/>
    </xf>
    <xf numFmtId="179" fontId="41" fillId="2" borderId="30" xfId="0" applyNumberFormat="1" applyFont="1" applyFill="1" applyBorder="1" applyAlignment="1">
      <alignment horizontal="center" vertical="center" wrapText="1" readingOrder="1"/>
    </xf>
    <xf numFmtId="179" fontId="41" fillId="10" borderId="30" xfId="0" applyNumberFormat="1" applyFont="1" applyFill="1" applyBorder="1" applyAlignment="1">
      <alignment horizontal="center" vertical="center" wrapText="1" readingOrder="1"/>
    </xf>
    <xf numFmtId="179" fontId="41" fillId="15" borderId="30" xfId="0" applyNumberFormat="1" applyFont="1" applyFill="1" applyBorder="1" applyAlignment="1">
      <alignment horizontal="center" vertical="center" wrapText="1" readingOrder="1"/>
    </xf>
    <xf numFmtId="179" fontId="41" fillId="10" borderId="27" xfId="0" applyNumberFormat="1" applyFont="1" applyFill="1" applyBorder="1" applyAlignment="1">
      <alignment horizontal="center" vertical="center" wrapText="1" readingOrder="1"/>
    </xf>
    <xf numFmtId="179" fontId="43" fillId="7" borderId="24" xfId="0" applyNumberFormat="1" applyFont="1" applyFill="1" applyBorder="1" applyAlignment="1">
      <alignment horizontal="center" vertical="center" wrapText="1" readingOrder="1"/>
    </xf>
    <xf numFmtId="179" fontId="43" fillId="2" borderId="24" xfId="0" applyNumberFormat="1" applyFont="1" applyFill="1" applyBorder="1" applyAlignment="1">
      <alignment horizontal="center" vertical="center" wrapText="1" readingOrder="1"/>
    </xf>
    <xf numFmtId="179" fontId="43" fillId="2" borderId="32" xfId="0" applyNumberFormat="1" applyFont="1" applyFill="1" applyBorder="1" applyAlignment="1">
      <alignment horizontal="center" vertical="center" wrapText="1" readingOrder="1"/>
    </xf>
    <xf numFmtId="9" fontId="38" fillId="15" borderId="29" xfId="1" applyFont="1" applyFill="1" applyBorder="1" applyAlignment="1">
      <alignment horizontal="center" vertical="center" wrapText="1" readingOrder="1"/>
    </xf>
    <xf numFmtId="9" fontId="38" fillId="15" borderId="0" xfId="1" applyFont="1" applyFill="1" applyBorder="1" applyAlignment="1">
      <alignment horizontal="center" vertical="center" wrapText="1" readingOrder="1"/>
    </xf>
    <xf numFmtId="9" fontId="38" fillId="15" borderId="30" xfId="1" applyFont="1" applyFill="1" applyBorder="1" applyAlignment="1">
      <alignment horizontal="center" vertical="center" wrapText="1" readingOrder="1"/>
    </xf>
    <xf numFmtId="179" fontId="43" fillId="0" borderId="28" xfId="0" applyNumberFormat="1" applyFont="1" applyBorder="1" applyAlignment="1">
      <alignment horizontal="center" vertical="center" wrapText="1" readingOrder="1"/>
    </xf>
    <xf numFmtId="179" fontId="43" fillId="0" borderId="32" xfId="0" applyNumberFormat="1" applyFont="1" applyBorder="1" applyAlignment="1">
      <alignment horizontal="center" vertical="center" wrapText="1" readingOrder="1"/>
    </xf>
    <xf numFmtId="179" fontId="43" fillId="0" borderId="23" xfId="0" applyNumberFormat="1" applyFont="1" applyBorder="1" applyAlignment="1">
      <alignment horizontal="center" vertical="center" wrapText="1" readingOrder="1"/>
    </xf>
    <xf numFmtId="179" fontId="43" fillId="0" borderId="24" xfId="0" applyNumberFormat="1" applyFont="1" applyBorder="1" applyAlignment="1">
      <alignment horizontal="center" vertical="center" wrapText="1" readingOrder="1"/>
    </xf>
    <xf numFmtId="10" fontId="28" fillId="0" borderId="0" xfId="1" applyNumberFormat="1" applyFont="1" applyFill="1" applyAlignment="1">
      <alignment horizontal="center" vertical="center" wrapText="1" readingOrder="1"/>
    </xf>
    <xf numFmtId="9" fontId="25" fillId="0" borderId="0" xfId="1" applyFont="1" applyFill="1" applyAlignment="1">
      <alignment horizontal="center" vertical="center"/>
    </xf>
    <xf numFmtId="181" fontId="16" fillId="4" borderId="0" xfId="30" applyNumberFormat="1" applyFont="1" applyFill="1" applyAlignment="1">
      <alignment horizontal="right" vertical="center" wrapText="1"/>
    </xf>
    <xf numFmtId="178" fontId="16" fillId="4" borderId="0" xfId="30" applyNumberFormat="1" applyFont="1" applyFill="1" applyAlignment="1">
      <alignment horizontal="right" vertical="center" wrapText="1"/>
    </xf>
    <xf numFmtId="0" fontId="16" fillId="4" borderId="0" xfId="30" applyFont="1" applyFill="1" applyAlignment="1">
      <alignment horizontal="right" vertical="center" wrapText="1"/>
    </xf>
    <xf numFmtId="3" fontId="16" fillId="4" borderId="0" xfId="30" applyNumberFormat="1" applyFont="1" applyFill="1" applyAlignment="1">
      <alignment horizontal="right" vertical="center" wrapText="1"/>
    </xf>
    <xf numFmtId="188" fontId="28" fillId="0" borderId="0" xfId="1" applyNumberFormat="1" applyFont="1" applyFill="1" applyAlignment="1">
      <alignment horizontal="center" vertical="center" wrapText="1" readingOrder="1"/>
    </xf>
    <xf numFmtId="0" fontId="46" fillId="0" borderId="0" xfId="30" applyFont="1">
      <alignment vertical="center"/>
    </xf>
    <xf numFmtId="0" fontId="46" fillId="0" borderId="0" xfId="30" applyFont="1" applyAlignment="1">
      <alignment horizontal="center" vertical="center"/>
    </xf>
    <xf numFmtId="187" fontId="46" fillId="0" borderId="0" xfId="30" applyNumberFormat="1" applyFont="1">
      <alignment vertical="center"/>
    </xf>
    <xf numFmtId="3" fontId="46" fillId="0" borderId="0" xfId="30" applyNumberFormat="1" applyFont="1">
      <alignment vertical="center"/>
    </xf>
    <xf numFmtId="9" fontId="24" fillId="0" borderId="0" xfId="1" applyFont="1" applyAlignment="1"/>
    <xf numFmtId="0" fontId="39" fillId="0" borderId="0" xfId="0" applyFont="1" applyAlignment="1">
      <alignment horizontal="center" vertical="center" wrapText="1" readingOrder="1"/>
    </xf>
    <xf numFmtId="178" fontId="39" fillId="0" borderId="2" xfId="0" applyNumberFormat="1" applyFont="1" applyBorder="1" applyAlignment="1">
      <alignment horizontal="center" vertical="center" wrapText="1" readingOrder="1"/>
    </xf>
    <xf numFmtId="9" fontId="39" fillId="0" borderId="2" xfId="0" applyNumberFormat="1" applyFont="1" applyBorder="1" applyAlignment="1">
      <alignment horizontal="center" vertical="center" wrapText="1" readingOrder="1"/>
    </xf>
    <xf numFmtId="176" fontId="39" fillId="0" borderId="0" xfId="1" applyNumberFormat="1" applyFont="1" applyFill="1" applyBorder="1" applyAlignment="1">
      <alignment horizontal="center" vertical="center" wrapText="1" readingOrder="1"/>
    </xf>
    <xf numFmtId="10" fontId="39" fillId="0" borderId="2" xfId="0" applyNumberFormat="1" applyFont="1" applyBorder="1" applyAlignment="1">
      <alignment horizontal="center" vertical="center" wrapText="1" readingOrder="1"/>
    </xf>
    <xf numFmtId="178" fontId="39" fillId="0" borderId="0" xfId="0" applyNumberFormat="1" applyFont="1" applyAlignment="1">
      <alignment horizontal="center" vertical="center" wrapText="1" readingOrder="1"/>
    </xf>
    <xf numFmtId="9" fontId="40" fillId="0" borderId="0" xfId="0" applyNumberFormat="1" applyFont="1" applyAlignment="1">
      <alignment horizontal="center" vertical="center" wrapText="1" readingOrder="1"/>
    </xf>
    <xf numFmtId="9" fontId="39" fillId="0" borderId="0" xfId="0" applyNumberFormat="1" applyFont="1" applyAlignment="1">
      <alignment horizontal="center" vertical="center" wrapText="1" readingOrder="1"/>
    </xf>
    <xf numFmtId="10" fontId="39" fillId="0" borderId="0" xfId="0" applyNumberFormat="1" applyFont="1" applyAlignment="1">
      <alignment horizontal="center" vertical="center" wrapText="1" readingOrder="1"/>
    </xf>
    <xf numFmtId="0" fontId="44" fillId="14" borderId="0" xfId="0" applyFont="1" applyFill="1" applyAlignment="1">
      <alignment vertical="center" wrapText="1" readingOrder="1"/>
    </xf>
    <xf numFmtId="181" fontId="44" fillId="14" borderId="0" xfId="0" applyNumberFormat="1" applyFont="1" applyFill="1" applyAlignment="1">
      <alignment horizontal="center" vertical="center" wrapText="1" readingOrder="1"/>
    </xf>
    <xf numFmtId="180" fontId="44" fillId="14" borderId="0" xfId="0" applyNumberFormat="1" applyFont="1" applyFill="1" applyAlignment="1">
      <alignment horizontal="center" vertical="center" wrapText="1" readingOrder="1"/>
    </xf>
    <xf numFmtId="176" fontId="44" fillId="14" borderId="0" xfId="0" applyNumberFormat="1" applyFont="1" applyFill="1" applyAlignment="1">
      <alignment horizontal="center" vertical="center" wrapText="1" readingOrder="1"/>
    </xf>
    <xf numFmtId="0" fontId="44" fillId="14" borderId="0" xfId="0" applyFont="1" applyFill="1" applyAlignment="1">
      <alignment horizontal="center" vertical="center" wrapText="1" readingOrder="1"/>
    </xf>
    <xf numFmtId="189" fontId="41" fillId="10" borderId="29" xfId="0" applyNumberFormat="1" applyFont="1" applyFill="1" applyBorder="1" applyAlignment="1">
      <alignment horizontal="center" vertical="center" wrapText="1" readingOrder="1"/>
    </xf>
    <xf numFmtId="189" fontId="41" fillId="10" borderId="0" xfId="0" applyNumberFormat="1" applyFont="1" applyFill="1" applyAlignment="1">
      <alignment horizontal="center" vertical="center" wrapText="1" readingOrder="1"/>
    </xf>
    <xf numFmtId="189" fontId="41" fillId="10" borderId="25" xfId="0" applyNumberFormat="1" applyFont="1" applyFill="1" applyBorder="1" applyAlignment="1">
      <alignment horizontal="center" vertical="center" wrapText="1" readingOrder="1"/>
    </xf>
    <xf numFmtId="189" fontId="41" fillId="10" borderId="26" xfId="0" applyNumberFormat="1" applyFont="1" applyFill="1" applyBorder="1" applyAlignment="1">
      <alignment horizontal="center" vertical="center" wrapText="1" readingOrder="1"/>
    </xf>
    <xf numFmtId="190" fontId="16" fillId="0" borderId="7" xfId="31" applyNumberFormat="1" applyFont="1" applyBorder="1" applyAlignment="1">
      <alignment horizontal="right" vertical="center" wrapText="1"/>
    </xf>
    <xf numFmtId="191" fontId="16" fillId="0" borderId="21" xfId="31" applyNumberFormat="1" applyFont="1" applyBorder="1" applyAlignment="1">
      <alignment horizontal="right" vertical="center" wrapText="1"/>
    </xf>
    <xf numFmtId="191" fontId="16" fillId="0" borderId="7" xfId="31" applyNumberFormat="1" applyFont="1" applyBorder="1" applyAlignment="1">
      <alignment horizontal="right" vertical="center" wrapText="1"/>
    </xf>
    <xf numFmtId="0" fontId="25" fillId="10" borderId="0" xfId="30" applyFont="1" applyFill="1">
      <alignment vertical="center"/>
    </xf>
    <xf numFmtId="0" fontId="48" fillId="10" borderId="0" xfId="30" applyFont="1" applyFill="1" applyAlignment="1">
      <alignment horizontal="center" vertical="center"/>
    </xf>
    <xf numFmtId="0" fontId="25" fillId="10" borderId="0" xfId="30" applyFont="1" applyFill="1" applyAlignment="1">
      <alignment horizontal="center" vertical="center"/>
    </xf>
    <xf numFmtId="9" fontId="24" fillId="0" borderId="10" xfId="1" applyFont="1" applyBorder="1">
      <alignment vertical="center"/>
    </xf>
    <xf numFmtId="192" fontId="16" fillId="0" borderId="11" xfId="31" applyNumberFormat="1" applyFont="1" applyBorder="1" applyAlignment="1">
      <alignment horizontal="right" vertical="center" wrapText="1"/>
    </xf>
    <xf numFmtId="9" fontId="24" fillId="0" borderId="10" xfId="30" applyNumberFormat="1" applyFont="1" applyBorder="1">
      <alignment vertical="center"/>
    </xf>
    <xf numFmtId="193" fontId="28" fillId="0" borderId="0" xfId="1" applyNumberFormat="1" applyFont="1" applyFill="1" applyAlignment="1">
      <alignment horizontal="center" vertical="center" wrapText="1" readingOrder="1"/>
    </xf>
    <xf numFmtId="191" fontId="28" fillId="0" borderId="0" xfId="1" applyNumberFormat="1" applyFont="1" applyFill="1" applyAlignment="1">
      <alignment horizontal="center" vertical="center" wrapText="1" readingOrder="1"/>
    </xf>
    <xf numFmtId="0" fontId="39" fillId="0" borderId="2" xfId="0" applyFont="1" applyBorder="1" applyAlignment="1">
      <alignment horizontal="center" vertical="center" wrapText="1" readingOrder="1"/>
    </xf>
    <xf numFmtId="10" fontId="33" fillId="0" borderId="34" xfId="1" applyNumberFormat="1" applyFont="1" applyFill="1" applyBorder="1" applyAlignment="1">
      <alignment horizontal="center" vertical="center" wrapText="1" readingOrder="1"/>
    </xf>
    <xf numFmtId="9" fontId="33" fillId="0" borderId="34" xfId="1" applyFont="1" applyFill="1" applyBorder="1" applyAlignment="1">
      <alignment horizontal="center" vertical="center" wrapText="1" readingOrder="1"/>
    </xf>
    <xf numFmtId="9" fontId="24" fillId="0" borderId="34" xfId="1" applyFont="1" applyFill="1" applyBorder="1" applyAlignment="1">
      <alignment horizontal="center" vertical="center"/>
    </xf>
    <xf numFmtId="47" fontId="22" fillId="2" borderId="0" xfId="0" applyNumberFormat="1" applyFont="1" applyFill="1" applyAlignment="1">
      <alignment horizontal="left" vertical="center" wrapText="1" indent="1"/>
    </xf>
    <xf numFmtId="47" fontId="21" fillId="2" borderId="0" xfId="26" applyNumberFormat="1" applyFont="1" applyFill="1" applyAlignment="1">
      <alignment horizontal="center" vertical="center" wrapText="1"/>
    </xf>
    <xf numFmtId="0" fontId="49" fillId="0" borderId="0" xfId="30" applyFont="1">
      <alignment vertical="center"/>
    </xf>
    <xf numFmtId="9" fontId="40" fillId="8" borderId="0" xfId="0" applyNumberFormat="1" applyFont="1" applyFill="1" applyAlignment="1">
      <alignment horizontal="center" vertical="center" wrapText="1" readingOrder="1"/>
    </xf>
    <xf numFmtId="9" fontId="33" fillId="10" borderId="27" xfId="0" applyNumberFormat="1" applyFont="1" applyFill="1" applyBorder="1" applyAlignment="1">
      <alignment horizontal="center" vertical="center" wrapText="1" readingOrder="1"/>
    </xf>
    <xf numFmtId="181" fontId="28" fillId="0" borderId="29" xfId="0" applyNumberFormat="1" applyFont="1" applyBorder="1" applyAlignment="1">
      <alignment horizontal="center" vertical="center" wrapText="1" readingOrder="1"/>
    </xf>
    <xf numFmtId="181" fontId="28" fillId="0" borderId="0" xfId="0" applyNumberFormat="1" applyFont="1" applyAlignment="1">
      <alignment horizontal="center" vertical="center" wrapText="1" readingOrder="1"/>
    </xf>
    <xf numFmtId="181" fontId="28" fillId="0" borderId="30" xfId="0" applyNumberFormat="1" applyFont="1" applyBorder="1" applyAlignment="1">
      <alignment horizontal="center" vertical="center" wrapText="1" readingOrder="1"/>
    </xf>
    <xf numFmtId="181" fontId="29" fillId="0" borderId="0" xfId="0" applyNumberFormat="1" applyFont="1" applyAlignment="1">
      <alignment horizontal="center" vertical="center" wrapText="1"/>
    </xf>
    <xf numFmtId="181" fontId="29" fillId="0" borderId="30" xfId="0" applyNumberFormat="1" applyFont="1" applyBorder="1" applyAlignment="1">
      <alignment horizontal="center" vertical="center" wrapText="1"/>
    </xf>
    <xf numFmtId="181" fontId="28" fillId="0" borderId="31" xfId="0" applyNumberFormat="1" applyFont="1" applyBorder="1" applyAlignment="1">
      <alignment horizontal="center" vertical="center" wrapText="1" readingOrder="1"/>
    </xf>
    <xf numFmtId="181" fontId="28" fillId="0" borderId="28" xfId="0" applyNumberFormat="1" applyFont="1" applyBorder="1" applyAlignment="1">
      <alignment horizontal="center" vertical="center" wrapText="1" readingOrder="1"/>
    </xf>
    <xf numFmtId="181" fontId="28" fillId="0" borderId="32" xfId="0" applyNumberFormat="1" applyFont="1" applyBorder="1" applyAlignment="1">
      <alignment horizontal="center" vertical="center" wrapText="1" readingOrder="1"/>
    </xf>
    <xf numFmtId="181" fontId="29" fillId="0" borderId="31" xfId="0" applyNumberFormat="1" applyFont="1" applyBorder="1" applyAlignment="1">
      <alignment horizontal="center" vertical="center" wrapText="1"/>
    </xf>
    <xf numFmtId="181" fontId="29" fillId="0" borderId="28" xfId="0" applyNumberFormat="1" applyFont="1" applyBorder="1" applyAlignment="1">
      <alignment horizontal="center" vertical="center" wrapText="1"/>
    </xf>
    <xf numFmtId="181" fontId="29" fillId="0" borderId="32" xfId="0" applyNumberFormat="1" applyFont="1" applyBorder="1" applyAlignment="1">
      <alignment horizontal="center" vertical="center" wrapText="1"/>
    </xf>
    <xf numFmtId="179" fontId="41" fillId="2" borderId="31" xfId="0" applyNumberFormat="1" applyFont="1" applyFill="1" applyBorder="1" applyAlignment="1">
      <alignment horizontal="center" vertical="center" wrapText="1" readingOrder="1"/>
    </xf>
    <xf numFmtId="179" fontId="41" fillId="0" borderId="28" xfId="0" applyNumberFormat="1" applyFont="1" applyBorder="1" applyAlignment="1">
      <alignment horizontal="center" vertical="center" wrapText="1" readingOrder="1"/>
    </xf>
    <xf numFmtId="179" fontId="41" fillId="0" borderId="32" xfId="0" applyNumberFormat="1" applyFont="1" applyBorder="1" applyAlignment="1">
      <alignment horizontal="center" vertical="center" wrapText="1" readingOrder="1"/>
    </xf>
    <xf numFmtId="0" fontId="28" fillId="0" borderId="23" xfId="0" applyFont="1" applyBorder="1" applyAlignment="1">
      <alignment horizontal="center" vertical="center" wrapText="1" readingOrder="1"/>
    </xf>
    <xf numFmtId="181" fontId="28" fillId="0" borderId="22" xfId="0" applyNumberFormat="1" applyFont="1" applyBorder="1" applyAlignment="1">
      <alignment horizontal="center" vertical="center" wrapText="1" readingOrder="1"/>
    </xf>
    <xf numFmtId="181" fontId="28" fillId="0" borderId="23" xfId="0" applyNumberFormat="1" applyFont="1" applyBorder="1" applyAlignment="1">
      <alignment horizontal="center" vertical="center" wrapText="1" readingOrder="1"/>
    </xf>
    <xf numFmtId="181" fontId="28" fillId="0" borderId="24" xfId="0" applyNumberFormat="1" applyFont="1" applyBorder="1" applyAlignment="1">
      <alignment horizontal="center" vertical="center" wrapText="1" readingOrder="1"/>
    </xf>
    <xf numFmtId="181" fontId="29" fillId="0" borderId="22" xfId="0" applyNumberFormat="1" applyFont="1" applyBorder="1" applyAlignment="1">
      <alignment horizontal="center" vertical="center" wrapText="1"/>
    </xf>
    <xf numFmtId="181" fontId="29" fillId="0" borderId="23" xfId="0" applyNumberFormat="1" applyFont="1" applyBorder="1" applyAlignment="1">
      <alignment horizontal="center" vertical="center" wrapText="1"/>
    </xf>
    <xf numFmtId="181" fontId="29" fillId="0" borderId="2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 readingOrder="1"/>
    </xf>
    <xf numFmtId="179" fontId="43" fillId="2" borderId="29" xfId="0" applyNumberFormat="1" applyFont="1" applyFill="1" applyBorder="1" applyAlignment="1">
      <alignment horizontal="center" vertical="center" wrapText="1" readingOrder="1"/>
    </xf>
    <xf numFmtId="179" fontId="43" fillId="2" borderId="0" xfId="0" applyNumberFormat="1" applyFont="1" applyFill="1" applyAlignment="1">
      <alignment horizontal="center" vertical="center" wrapText="1" readingOrder="1"/>
    </xf>
    <xf numFmtId="179" fontId="43" fillId="2" borderId="30" xfId="0" applyNumberFormat="1" applyFont="1" applyFill="1" applyBorder="1" applyAlignment="1">
      <alignment horizontal="center" vertical="center" wrapText="1" readingOrder="1"/>
    </xf>
    <xf numFmtId="0" fontId="28" fillId="10" borderId="0" xfId="0" applyFont="1" applyFill="1" applyAlignment="1">
      <alignment horizontal="center" vertical="center" wrapText="1" readingOrder="1"/>
    </xf>
    <xf numFmtId="9" fontId="28" fillId="10" borderId="29" xfId="0" applyNumberFormat="1" applyFont="1" applyFill="1" applyBorder="1" applyAlignment="1">
      <alignment horizontal="center" vertical="center" wrapText="1" readingOrder="1"/>
    </xf>
    <xf numFmtId="9" fontId="28" fillId="10" borderId="0" xfId="0" applyNumberFormat="1" applyFont="1" applyFill="1" applyAlignment="1">
      <alignment horizontal="center" vertical="center" wrapText="1" readingOrder="1"/>
    </xf>
    <xf numFmtId="9" fontId="28" fillId="10" borderId="30" xfId="0" applyNumberFormat="1" applyFont="1" applyFill="1" applyBorder="1" applyAlignment="1">
      <alignment horizontal="center" vertical="center" wrapText="1" readingOrder="1"/>
    </xf>
    <xf numFmtId="189" fontId="43" fillId="10" borderId="29" xfId="0" applyNumberFormat="1" applyFont="1" applyFill="1" applyBorder="1" applyAlignment="1">
      <alignment horizontal="center" vertical="center" wrapText="1" readingOrder="1"/>
    </xf>
    <xf numFmtId="189" fontId="43" fillId="10" borderId="0" xfId="0" applyNumberFormat="1" applyFont="1" applyFill="1" applyAlignment="1">
      <alignment horizontal="center" vertical="center" wrapText="1" readingOrder="1"/>
    </xf>
    <xf numFmtId="0" fontId="50" fillId="13" borderId="0" xfId="0" applyFont="1" applyFill="1" applyAlignment="1">
      <alignment horizontal="center" vertical="center" wrapText="1" readingOrder="1"/>
    </xf>
    <xf numFmtId="181" fontId="50" fillId="15" borderId="29" xfId="0" applyNumberFormat="1" applyFont="1" applyFill="1" applyBorder="1" applyAlignment="1">
      <alignment horizontal="center" vertical="center" wrapText="1" readingOrder="1"/>
    </xf>
    <xf numFmtId="181" fontId="50" fillId="15" borderId="30" xfId="0" applyNumberFormat="1" applyFont="1" applyFill="1" applyBorder="1" applyAlignment="1">
      <alignment horizontal="center" vertical="center" wrapText="1" readingOrder="1"/>
    </xf>
    <xf numFmtId="189" fontId="43" fillId="10" borderId="25" xfId="0" applyNumberFormat="1" applyFont="1" applyFill="1" applyBorder="1" applyAlignment="1">
      <alignment horizontal="center" vertical="center" wrapText="1" readingOrder="1"/>
    </xf>
    <xf numFmtId="189" fontId="43" fillId="10" borderId="26" xfId="0" applyNumberFormat="1" applyFont="1" applyFill="1" applyBorder="1" applyAlignment="1">
      <alignment horizontal="center" vertical="center" wrapText="1" readingOrder="1"/>
    </xf>
    <xf numFmtId="9" fontId="50" fillId="15" borderId="29" xfId="1" applyFont="1" applyFill="1" applyBorder="1" applyAlignment="1">
      <alignment horizontal="center" vertical="center" wrapText="1" readingOrder="1"/>
    </xf>
    <xf numFmtId="9" fontId="50" fillId="15" borderId="0" xfId="1" applyFont="1" applyFill="1" applyBorder="1" applyAlignment="1">
      <alignment horizontal="center" vertical="center" wrapText="1" readingOrder="1"/>
    </xf>
    <xf numFmtId="9" fontId="50" fillId="15" borderId="30" xfId="1" applyFont="1" applyFill="1" applyBorder="1" applyAlignment="1">
      <alignment horizontal="center" vertical="center" wrapText="1" readingOrder="1"/>
    </xf>
    <xf numFmtId="179" fontId="51" fillId="15" borderId="29" xfId="0" applyNumberFormat="1" applyFont="1" applyFill="1" applyBorder="1" applyAlignment="1">
      <alignment horizontal="center" vertical="center" wrapText="1" readingOrder="1"/>
    </xf>
    <xf numFmtId="179" fontId="51" fillId="15" borderId="0" xfId="0" applyNumberFormat="1" applyFont="1" applyFill="1" applyAlignment="1">
      <alignment horizontal="center" vertical="center" wrapText="1" readingOrder="1"/>
    </xf>
    <xf numFmtId="179" fontId="51" fillId="15" borderId="30" xfId="0" applyNumberFormat="1" applyFont="1" applyFill="1" applyBorder="1" applyAlignment="1">
      <alignment horizontal="center" vertical="center" wrapText="1" readingOrder="1"/>
    </xf>
    <xf numFmtId="179" fontId="41" fillId="0" borderId="23" xfId="0" applyNumberFormat="1" applyFont="1" applyBorder="1" applyAlignment="1">
      <alignment horizontal="center" vertical="center" wrapText="1" readingOrder="1"/>
    </xf>
    <xf numFmtId="179" fontId="41" fillId="0" borderId="24" xfId="0" applyNumberFormat="1" applyFont="1" applyBorder="1" applyAlignment="1">
      <alignment horizontal="center" vertical="center" wrapText="1" readingOrder="1"/>
    </xf>
    <xf numFmtId="178" fontId="33" fillId="0" borderId="32" xfId="0" applyNumberFormat="1" applyFont="1" applyBorder="1" applyAlignment="1">
      <alignment horizontal="center" vertical="center" wrapText="1" readingOrder="1"/>
    </xf>
    <xf numFmtId="189" fontId="51" fillId="15" borderId="29" xfId="0" applyNumberFormat="1" applyFont="1" applyFill="1" applyBorder="1" applyAlignment="1">
      <alignment horizontal="center" vertical="center" wrapText="1" readingOrder="1"/>
    </xf>
    <xf numFmtId="189" fontId="51" fillId="15" borderId="0" xfId="0" applyNumberFormat="1" applyFont="1" applyFill="1" applyAlignment="1">
      <alignment horizontal="center" vertical="center" wrapText="1" readingOrder="1"/>
    </xf>
    <xf numFmtId="0" fontId="52" fillId="0" borderId="0" xfId="0" applyFont="1" applyAlignment="1">
      <alignment vertical="center"/>
    </xf>
    <xf numFmtId="0" fontId="53" fillId="0" borderId="0" xfId="0" applyFont="1" applyAlignment="1">
      <alignment horizontal="left" vertical="center"/>
    </xf>
    <xf numFmtId="0" fontId="54" fillId="0" borderId="0" xfId="0" applyFont="1" applyAlignment="1">
      <alignment vertical="center"/>
    </xf>
    <xf numFmtId="0" fontId="55" fillId="3" borderId="6" xfId="0" applyFont="1" applyFill="1" applyBorder="1" applyAlignment="1">
      <alignment horizontal="center" vertical="center" wrapText="1" readingOrder="1"/>
    </xf>
    <xf numFmtId="0" fontId="55" fillId="3" borderId="0" xfId="0" applyFont="1" applyFill="1" applyAlignment="1">
      <alignment horizontal="center" vertical="center" wrapText="1" readingOrder="1"/>
    </xf>
    <xf numFmtId="0" fontId="55" fillId="3" borderId="7" xfId="0" applyFont="1" applyFill="1" applyBorder="1" applyAlignment="1">
      <alignment horizontal="center" vertical="center" wrapText="1" readingOrder="1"/>
    </xf>
    <xf numFmtId="0" fontId="54" fillId="0" borderId="6" xfId="0" applyFont="1" applyBorder="1" applyAlignment="1">
      <alignment horizontal="center" vertical="center" wrapText="1" readingOrder="1"/>
    </xf>
    <xf numFmtId="176" fontId="52" fillId="0" borderId="0" xfId="0" applyNumberFormat="1" applyFont="1" applyAlignment="1">
      <alignment horizontal="center"/>
    </xf>
    <xf numFmtId="9" fontId="54" fillId="0" borderId="0" xfId="1" applyFont="1" applyBorder="1" applyAlignment="1">
      <alignment horizontal="center" vertical="center" wrapText="1" readingOrder="1"/>
    </xf>
    <xf numFmtId="38" fontId="54" fillId="0" borderId="0" xfId="0" applyNumberFormat="1" applyFont="1" applyAlignment="1">
      <alignment horizontal="center" vertical="center" wrapText="1" readingOrder="1"/>
    </xf>
    <xf numFmtId="9" fontId="54" fillId="0" borderId="0" xfId="0" applyNumberFormat="1" applyFont="1" applyAlignment="1">
      <alignment horizontal="center" vertical="center" wrapText="1" readingOrder="1"/>
    </xf>
    <xf numFmtId="9" fontId="52" fillId="0" borderId="0" xfId="1" applyFont="1" applyAlignment="1">
      <alignment horizontal="center"/>
    </xf>
    <xf numFmtId="176" fontId="52" fillId="0" borderId="7" xfId="0" applyNumberFormat="1" applyFont="1" applyBorder="1" applyAlignment="1">
      <alignment horizontal="center"/>
    </xf>
    <xf numFmtId="0" fontId="54" fillId="0" borderId="9" xfId="0" applyFont="1" applyBorder="1" applyAlignment="1">
      <alignment horizontal="center" vertical="center" wrapText="1" readingOrder="1"/>
    </xf>
    <xf numFmtId="194" fontId="52" fillId="0" borderId="10" xfId="0" applyNumberFormat="1" applyFont="1" applyBorder="1" applyAlignment="1">
      <alignment horizontal="center" vertical="center"/>
    </xf>
    <xf numFmtId="194" fontId="52" fillId="0" borderId="11" xfId="0" applyNumberFormat="1" applyFont="1" applyBorder="1" applyAlignment="1">
      <alignment horizontal="center" vertical="center"/>
    </xf>
    <xf numFmtId="194" fontId="52" fillId="0" borderId="0" xfId="0" applyNumberFormat="1" applyFont="1" applyAlignment="1">
      <alignment horizontal="center" vertical="center"/>
    </xf>
    <xf numFmtId="0" fontId="57" fillId="16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  <xf numFmtId="176" fontId="0" fillId="0" borderId="1" xfId="0" applyNumberFormat="1" applyBorder="1"/>
    <xf numFmtId="195" fontId="0" fillId="0" borderId="1" xfId="0" applyNumberFormat="1" applyBorder="1"/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0" fillId="0" borderId="0" xfId="0" applyFont="1" applyAlignment="1">
      <alignment horizontal="center" vertical="center"/>
    </xf>
    <xf numFmtId="9" fontId="0" fillId="0" borderId="1" xfId="1" applyFont="1" applyBorder="1" applyAlignment="1"/>
    <xf numFmtId="1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/>
    <xf numFmtId="0" fontId="58" fillId="0" borderId="0" xfId="0" applyFont="1" applyAlignment="1">
      <alignment vertical="center"/>
    </xf>
    <xf numFmtId="14" fontId="58" fillId="0" borderId="0" xfId="0" applyNumberFormat="1" applyFont="1" applyAlignment="1">
      <alignment vertical="center"/>
    </xf>
    <xf numFmtId="0" fontId="59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8" fillId="17" borderId="35" xfId="0" applyFont="1" applyFill="1" applyBorder="1" applyAlignment="1">
      <alignment vertical="center"/>
    </xf>
    <xf numFmtId="0" fontId="58" fillId="0" borderId="35" xfId="0" applyFont="1" applyBorder="1" applyAlignment="1">
      <alignment vertical="center"/>
    </xf>
    <xf numFmtId="0" fontId="0" fillId="0" borderId="0" xfId="0" applyAlignment="1">
      <alignment horizontal="left" indent="1"/>
    </xf>
    <xf numFmtId="14" fontId="25" fillId="0" borderId="0" xfId="0" applyNumberFormat="1" applyFont="1"/>
    <xf numFmtId="176" fontId="32" fillId="0" borderId="0" xfId="0" applyNumberFormat="1" applyFont="1"/>
    <xf numFmtId="0" fontId="32" fillId="0" borderId="0" xfId="0" applyFont="1" applyAlignment="1">
      <alignment horizontal="center"/>
    </xf>
    <xf numFmtId="0" fontId="32" fillId="0" borderId="0" xfId="0" pivotButton="1" applyFont="1" applyAlignment="1">
      <alignment horizontal="center"/>
    </xf>
    <xf numFmtId="0" fontId="32" fillId="0" borderId="0" xfId="0" applyFont="1" applyAlignment="1">
      <alignment horizontal="center" vertical="center" wrapText="1"/>
    </xf>
    <xf numFmtId="0" fontId="61" fillId="0" borderId="0" xfId="0" applyFont="1"/>
    <xf numFmtId="0" fontId="62" fillId="0" borderId="0" xfId="0" applyFont="1"/>
    <xf numFmtId="181" fontId="50" fillId="15" borderId="0" xfId="0" applyNumberFormat="1" applyFont="1" applyFill="1" applyAlignment="1">
      <alignment horizontal="center" vertical="center" wrapText="1" readingOrder="1"/>
    </xf>
    <xf numFmtId="0" fontId="32" fillId="0" borderId="0" xfId="0" pivotButton="1" applyFont="1"/>
    <xf numFmtId="14" fontId="32" fillId="0" borderId="0" xfId="0" applyNumberFormat="1" applyFont="1" applyAlignment="1">
      <alignment horizontal="left"/>
    </xf>
    <xf numFmtId="178" fontId="28" fillId="0" borderId="29" xfId="0" applyNumberFormat="1" applyFont="1" applyBorder="1" applyAlignment="1">
      <alignment horizontal="center" vertical="center" wrapText="1" readingOrder="1"/>
    </xf>
    <xf numFmtId="178" fontId="28" fillId="0" borderId="0" xfId="0" applyNumberFormat="1" applyFont="1" applyAlignment="1">
      <alignment horizontal="center" vertical="center" wrapText="1" readingOrder="1"/>
    </xf>
    <xf numFmtId="178" fontId="28" fillId="0" borderId="30" xfId="0" applyNumberFormat="1" applyFont="1" applyBorder="1" applyAlignment="1">
      <alignment horizontal="center" vertical="center" wrapText="1" readingOrder="1"/>
    </xf>
    <xf numFmtId="178" fontId="29" fillId="0" borderId="29" xfId="0" applyNumberFormat="1" applyFont="1" applyBorder="1" applyAlignment="1">
      <alignment horizontal="center" vertical="center" wrapText="1"/>
    </xf>
    <xf numFmtId="178" fontId="29" fillId="0" borderId="0" xfId="0" applyNumberFormat="1" applyFont="1" applyAlignment="1">
      <alignment horizontal="center" vertical="center" wrapText="1"/>
    </xf>
    <xf numFmtId="178" fontId="29" fillId="0" borderId="30" xfId="0" applyNumberFormat="1" applyFont="1" applyBorder="1" applyAlignment="1">
      <alignment horizontal="center" vertical="center" wrapText="1"/>
    </xf>
    <xf numFmtId="178" fontId="50" fillId="13" borderId="29" xfId="0" applyNumberFormat="1" applyFont="1" applyFill="1" applyBorder="1" applyAlignment="1">
      <alignment horizontal="center" vertical="center" wrapText="1" readingOrder="1"/>
    </xf>
    <xf numFmtId="178" fontId="50" fillId="13" borderId="0" xfId="0" applyNumberFormat="1" applyFont="1" applyFill="1" applyAlignment="1">
      <alignment horizontal="center" vertical="center" wrapText="1" readingOrder="1"/>
    </xf>
    <xf numFmtId="178" fontId="50" fillId="13" borderId="30" xfId="0" applyNumberFormat="1" applyFont="1" applyFill="1" applyBorder="1" applyAlignment="1">
      <alignment horizontal="center" vertical="center" wrapText="1" readingOrder="1"/>
    </xf>
    <xf numFmtId="179" fontId="43" fillId="15" borderId="29" xfId="0" applyNumberFormat="1" applyFont="1" applyFill="1" applyBorder="1" applyAlignment="1">
      <alignment horizontal="center" vertical="center" wrapText="1" readingOrder="1"/>
    </xf>
    <xf numFmtId="179" fontId="43" fillId="15" borderId="0" xfId="0" applyNumberFormat="1" applyFont="1" applyFill="1" applyAlignment="1">
      <alignment horizontal="center" vertical="center" wrapText="1" readingOrder="1"/>
    </xf>
    <xf numFmtId="179" fontId="43" fillId="15" borderId="30" xfId="0" applyNumberFormat="1" applyFont="1" applyFill="1" applyBorder="1" applyAlignment="1">
      <alignment horizontal="center" vertical="center" wrapText="1" readingOrder="1"/>
    </xf>
    <xf numFmtId="0" fontId="58" fillId="0" borderId="0" xfId="0" applyFont="1"/>
    <xf numFmtId="10" fontId="58" fillId="0" borderId="0" xfId="1" applyNumberFormat="1" applyFont="1" applyAlignment="1"/>
    <xf numFmtId="14" fontId="58" fillId="0" borderId="0" xfId="0" applyNumberFormat="1" applyFont="1"/>
    <xf numFmtId="10" fontId="24" fillId="0" borderId="0" xfId="1" applyNumberFormat="1" applyFont="1" applyFill="1" applyBorder="1" applyAlignment="1">
      <alignment horizontal="center" vertical="center"/>
    </xf>
    <xf numFmtId="196" fontId="24" fillId="0" borderId="0" xfId="1" applyNumberFormat="1" applyFont="1" applyFill="1" applyBorder="1" applyAlignment="1">
      <alignment horizontal="center" vertical="center"/>
    </xf>
    <xf numFmtId="185" fontId="24" fillId="0" borderId="0" xfId="1" applyNumberFormat="1" applyFont="1" applyFill="1" applyBorder="1" applyAlignment="1">
      <alignment horizontal="center" vertical="center"/>
    </xf>
    <xf numFmtId="176" fontId="24" fillId="0" borderId="0" xfId="1" applyNumberFormat="1" applyFont="1" applyFill="1" applyBorder="1" applyAlignment="1">
      <alignment horizontal="center" vertical="center"/>
    </xf>
    <xf numFmtId="0" fontId="64" fillId="6" borderId="0" xfId="30" applyFont="1" applyFill="1">
      <alignment vertical="center"/>
    </xf>
    <xf numFmtId="14" fontId="64" fillId="6" borderId="0" xfId="30" applyNumberFormat="1" applyFont="1" applyFill="1">
      <alignment vertical="center"/>
    </xf>
    <xf numFmtId="10" fontId="25" fillId="0" borderId="0" xfId="1" applyNumberFormat="1" applyFont="1" applyFill="1" applyBorder="1" applyAlignment="1">
      <alignment horizontal="center" vertical="center"/>
    </xf>
    <xf numFmtId="196" fontId="25" fillId="0" borderId="0" xfId="1" applyNumberFormat="1" applyFont="1" applyFill="1" applyBorder="1" applyAlignment="1">
      <alignment horizontal="center" vertical="center"/>
    </xf>
    <xf numFmtId="185" fontId="25" fillId="0" borderId="0" xfId="1" applyNumberFormat="1" applyFont="1" applyFill="1" applyBorder="1" applyAlignment="1">
      <alignment horizontal="center" vertical="center"/>
    </xf>
    <xf numFmtId="192" fontId="28" fillId="0" borderId="0" xfId="1" applyNumberFormat="1" applyFont="1" applyFill="1" applyAlignment="1">
      <alignment horizontal="center" vertical="center" wrapText="1" readingOrder="1"/>
    </xf>
    <xf numFmtId="9" fontId="29" fillId="0" borderId="0" xfId="1" applyFont="1" applyFill="1" applyBorder="1" applyAlignment="1">
      <alignment horizontal="center" vertical="center"/>
    </xf>
    <xf numFmtId="9" fontId="16" fillId="0" borderId="0" xfId="1" applyFont="1" applyFill="1" applyBorder="1" applyAlignment="1">
      <alignment horizontal="center" vertical="center"/>
    </xf>
    <xf numFmtId="192" fontId="32" fillId="0" borderId="0" xfId="0" applyNumberFormat="1" applyFont="1"/>
    <xf numFmtId="192" fontId="40" fillId="0" borderId="2" xfId="0" applyNumberFormat="1" applyFont="1" applyBorder="1" applyAlignment="1">
      <alignment horizontal="center" vertical="center" wrapText="1" readingOrder="1"/>
    </xf>
    <xf numFmtId="192" fontId="40" fillId="0" borderId="0" xfId="0" applyNumberFormat="1" applyFont="1" applyAlignment="1">
      <alignment horizontal="center" vertical="center" wrapText="1" readingOrder="1"/>
    </xf>
    <xf numFmtId="192" fontId="47" fillId="14" borderId="0" xfId="0" applyNumberFormat="1" applyFont="1" applyFill="1" applyAlignment="1">
      <alignment horizontal="center" vertical="center" wrapText="1" readingOrder="1"/>
    </xf>
    <xf numFmtId="14" fontId="22" fillId="2" borderId="0" xfId="0" applyNumberFormat="1" applyFont="1" applyFill="1" applyAlignment="1">
      <alignment horizontal="center" vertical="center" wrapText="1"/>
    </xf>
    <xf numFmtId="14" fontId="22" fillId="2" borderId="0" xfId="0" applyNumberFormat="1" applyFont="1" applyFill="1" applyAlignment="1">
      <alignment horizontal="left" vertical="center" wrapText="1" indent="1"/>
    </xf>
    <xf numFmtId="14" fontId="21" fillId="2" borderId="0" xfId="26" applyNumberFormat="1" applyFont="1" applyFill="1" applyAlignment="1">
      <alignment horizontal="center" vertical="center" wrapText="1"/>
    </xf>
    <xf numFmtId="0" fontId="25" fillId="0" borderId="7" xfId="30" applyFont="1" applyBorder="1" applyAlignment="1">
      <alignment horizontal="center" vertical="center"/>
    </xf>
    <xf numFmtId="0" fontId="25" fillId="0" borderId="11" xfId="3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14" fontId="25" fillId="19" borderId="1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176" fontId="24" fillId="0" borderId="1" xfId="0" applyNumberFormat="1" applyFont="1" applyBorder="1" applyAlignment="1">
      <alignment horizontal="center" vertical="center"/>
    </xf>
    <xf numFmtId="9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0" fontId="24" fillId="0" borderId="1" xfId="0" applyNumberFormat="1" applyFont="1" applyBorder="1" applyAlignment="1">
      <alignment horizontal="center" vertical="center"/>
    </xf>
    <xf numFmtId="0" fontId="5" fillId="0" borderId="0" xfId="0" applyFont="1"/>
    <xf numFmtId="191" fontId="28" fillId="0" borderId="0" xfId="1" applyNumberFormat="1" applyFont="1" applyFill="1" applyBorder="1" applyAlignment="1">
      <alignment horizontal="center" vertical="center" wrapText="1" readingOrder="1"/>
    </xf>
    <xf numFmtId="179" fontId="28" fillId="0" borderId="0" xfId="1" applyNumberFormat="1" applyFont="1" applyFill="1" applyBorder="1" applyAlignment="1">
      <alignment horizontal="center" vertical="center" wrapText="1" readingOrder="1"/>
    </xf>
    <xf numFmtId="193" fontId="28" fillId="0" borderId="0" xfId="1" applyNumberFormat="1" applyFont="1" applyFill="1" applyBorder="1" applyAlignment="1">
      <alignment horizontal="center" vertical="center" wrapText="1" readingOrder="1"/>
    </xf>
    <xf numFmtId="188" fontId="28" fillId="0" borderId="0" xfId="1" applyNumberFormat="1" applyFont="1" applyFill="1" applyBorder="1" applyAlignment="1">
      <alignment horizontal="center" vertical="center" wrapText="1" readingOrder="1"/>
    </xf>
    <xf numFmtId="193" fontId="28" fillId="0" borderId="37" xfId="1" applyNumberFormat="1" applyFont="1" applyFill="1" applyBorder="1" applyAlignment="1">
      <alignment horizontal="center" vertical="center" wrapText="1" readingOrder="1"/>
    </xf>
    <xf numFmtId="192" fontId="58" fillId="0" borderId="0" xfId="0" applyNumberFormat="1" applyFont="1"/>
    <xf numFmtId="0" fontId="37" fillId="3" borderId="38" xfId="0" applyFont="1" applyFill="1" applyBorder="1" applyAlignment="1">
      <alignment horizontal="center" vertical="center" wrapText="1" readingOrder="1"/>
    </xf>
    <xf numFmtId="192" fontId="37" fillId="3" borderId="38" xfId="0" applyNumberFormat="1" applyFont="1" applyFill="1" applyBorder="1" applyAlignment="1">
      <alignment horizontal="center" vertical="center" wrapText="1" readingOrder="1"/>
    </xf>
    <xf numFmtId="0" fontId="37" fillId="3" borderId="36" xfId="0" applyFont="1" applyFill="1" applyBorder="1" applyAlignment="1">
      <alignment horizontal="center" vertical="center" wrapText="1" readingOrder="1"/>
    </xf>
    <xf numFmtId="0" fontId="35" fillId="0" borderId="12" xfId="30" applyFont="1" applyBorder="1" applyAlignment="1">
      <alignment horizontal="center" vertical="center" wrapText="1" readingOrder="1"/>
    </xf>
    <xf numFmtId="0" fontId="35" fillId="0" borderId="9" xfId="30" applyFont="1" applyBorder="1" applyAlignment="1">
      <alignment horizontal="center" vertical="center" wrapText="1" readingOrder="1"/>
    </xf>
    <xf numFmtId="0" fontId="35" fillId="0" borderId="10" xfId="30" applyFont="1" applyBorder="1" applyAlignment="1">
      <alignment horizontal="center" vertical="center" wrapText="1" readingOrder="1"/>
    </xf>
    <xf numFmtId="0" fontId="35" fillId="0" borderId="10" xfId="30" applyFont="1" applyBorder="1" applyAlignment="1">
      <alignment horizontal="center" vertical="center"/>
    </xf>
    <xf numFmtId="0" fontId="35" fillId="0" borderId="11" xfId="30" applyFont="1" applyBorder="1" applyAlignment="1">
      <alignment horizontal="center" vertical="center"/>
    </xf>
    <xf numFmtId="0" fontId="36" fillId="0" borderId="10" xfId="30" applyFont="1" applyBorder="1" applyAlignment="1">
      <alignment horizontal="center" vertical="center"/>
    </xf>
    <xf numFmtId="0" fontId="36" fillId="0" borderId="0" xfId="30" applyFont="1" applyAlignment="1">
      <alignment horizontal="center" vertical="center"/>
    </xf>
    <xf numFmtId="17" fontId="29" fillId="0" borderId="0" xfId="30" applyNumberFormat="1" applyFont="1" applyAlignment="1">
      <alignment horizontal="center" vertical="center" wrapText="1" readingOrder="1"/>
    </xf>
    <xf numFmtId="176" fontId="28" fillId="0" borderId="0" xfId="30" applyNumberFormat="1" applyFont="1" applyAlignment="1">
      <alignment horizontal="center" vertical="center" wrapText="1" readingOrder="1"/>
    </xf>
    <xf numFmtId="185" fontId="28" fillId="0" borderId="0" xfId="30" applyNumberFormat="1" applyFont="1" applyAlignment="1">
      <alignment horizontal="center" vertical="center" wrapText="1" readingOrder="1"/>
    </xf>
    <xf numFmtId="17" fontId="16" fillId="0" borderId="0" xfId="30" applyNumberFormat="1" applyFont="1" applyAlignment="1">
      <alignment horizontal="center" vertical="center" wrapText="1" readingOrder="1"/>
    </xf>
    <xf numFmtId="181" fontId="33" fillId="0" borderId="0" xfId="30" applyNumberFormat="1" applyFont="1" applyAlignment="1">
      <alignment horizontal="center" vertical="center" wrapText="1" readingOrder="1"/>
    </xf>
    <xf numFmtId="180" fontId="33" fillId="0" borderId="0" xfId="30" applyNumberFormat="1" applyFont="1" applyAlignment="1">
      <alignment horizontal="center" vertical="center" wrapText="1" readingOrder="1"/>
    </xf>
    <xf numFmtId="176" fontId="33" fillId="0" borderId="0" xfId="30" applyNumberFormat="1" applyFont="1" applyAlignment="1">
      <alignment horizontal="center" vertical="center" wrapText="1" readingOrder="1"/>
    </xf>
    <xf numFmtId="185" fontId="33" fillId="0" borderId="0" xfId="30" applyNumberFormat="1" applyFont="1" applyAlignment="1">
      <alignment horizontal="center" vertical="center" wrapText="1" readingOrder="1"/>
    </xf>
    <xf numFmtId="0" fontId="36" fillId="0" borderId="0" xfId="30" applyFont="1">
      <alignment vertical="center"/>
    </xf>
    <xf numFmtId="183" fontId="28" fillId="0" borderId="0" xfId="30" applyNumberFormat="1" applyFont="1" applyAlignment="1">
      <alignment horizontal="center" vertical="center" wrapText="1" readingOrder="1"/>
    </xf>
    <xf numFmtId="176" fontId="33" fillId="0" borderId="0" xfId="30" quotePrefix="1" applyNumberFormat="1" applyFont="1" applyAlignment="1">
      <alignment horizontal="center" vertical="center" wrapText="1" readingOrder="1"/>
    </xf>
    <xf numFmtId="183" fontId="33" fillId="0" borderId="0" xfId="30" applyNumberFormat="1" applyFont="1" applyAlignment="1">
      <alignment horizontal="center" vertical="center" wrapText="1" readingOrder="1"/>
    </xf>
    <xf numFmtId="176" fontId="16" fillId="0" borderId="0" xfId="30" applyNumberFormat="1" applyFont="1" applyAlignment="1">
      <alignment horizontal="center" vertical="center" wrapText="1"/>
    </xf>
    <xf numFmtId="176" fontId="24" fillId="0" borderId="0" xfId="30" applyNumberFormat="1" applyFont="1" applyAlignment="1">
      <alignment horizontal="center" vertical="center"/>
    </xf>
    <xf numFmtId="176" fontId="16" fillId="0" borderId="0" xfId="30" quotePrefix="1" applyNumberFormat="1" applyFont="1" applyAlignment="1">
      <alignment horizontal="center" vertical="center" wrapText="1" readingOrder="1"/>
    </xf>
    <xf numFmtId="183" fontId="33" fillId="0" borderId="34" xfId="30" applyNumberFormat="1" applyFont="1" applyBorder="1" applyAlignment="1">
      <alignment horizontal="center" vertical="center" wrapText="1" readingOrder="1"/>
    </xf>
    <xf numFmtId="176" fontId="33" fillId="0" borderId="34" xfId="30" applyNumberFormat="1" applyFont="1" applyBorder="1" applyAlignment="1">
      <alignment horizontal="center" vertical="center" wrapText="1" readingOrder="1"/>
    </xf>
    <xf numFmtId="10" fontId="24" fillId="0" borderId="0" xfId="1" applyNumberFormat="1" applyFont="1" applyFill="1">
      <alignment vertical="center"/>
    </xf>
    <xf numFmtId="176" fontId="24" fillId="0" borderId="0" xfId="30" applyNumberFormat="1" applyFont="1">
      <alignment vertical="center"/>
    </xf>
    <xf numFmtId="195" fontId="24" fillId="0" borderId="0" xfId="30" applyNumberFormat="1" applyFont="1">
      <alignment vertical="center"/>
    </xf>
    <xf numFmtId="9" fontId="24" fillId="0" borderId="0" xfId="1" applyFont="1" applyFill="1">
      <alignment vertical="center"/>
    </xf>
    <xf numFmtId="181" fontId="28" fillId="0" borderId="0" xfId="30" applyNumberFormat="1" applyFont="1" applyAlignment="1">
      <alignment horizontal="center" vertical="center" wrapText="1" readingOrder="1"/>
    </xf>
    <xf numFmtId="0" fontId="16" fillId="0" borderId="0" xfId="30" applyFont="1" applyAlignment="1">
      <alignment horizontal="center" vertical="center"/>
    </xf>
    <xf numFmtId="176" fontId="16" fillId="0" borderId="0" xfId="30" applyNumberFormat="1" applyFont="1" applyAlignment="1">
      <alignment horizontal="center" vertical="center" wrapText="1" readingOrder="1"/>
    </xf>
    <xf numFmtId="185" fontId="16" fillId="0" borderId="0" xfId="30" applyNumberFormat="1" applyFont="1" applyAlignment="1">
      <alignment horizontal="center" vertical="center" wrapText="1" readingOrder="1"/>
    </xf>
    <xf numFmtId="185" fontId="33" fillId="0" borderId="34" xfId="30" applyNumberFormat="1" applyFont="1" applyBorder="1" applyAlignment="1">
      <alignment horizontal="center" vertical="center" wrapText="1" readingOrder="1"/>
    </xf>
    <xf numFmtId="0" fontId="16" fillId="0" borderId="0" xfId="30" applyFont="1">
      <alignment vertical="center"/>
    </xf>
    <xf numFmtId="0" fontId="29" fillId="0" borderId="12" xfId="30" applyFont="1" applyBorder="1" applyAlignment="1">
      <alignment horizontal="center" vertical="center" wrapText="1" readingOrder="1"/>
    </xf>
    <xf numFmtId="0" fontId="29" fillId="0" borderId="9" xfId="30" applyFont="1" applyBorder="1" applyAlignment="1">
      <alignment horizontal="center" vertical="center" wrapText="1" readingOrder="1"/>
    </xf>
    <xf numFmtId="0" fontId="29" fillId="0" borderId="10" xfId="30" applyFont="1" applyBorder="1" applyAlignment="1">
      <alignment horizontal="center" vertical="center" wrapText="1" readingOrder="1"/>
    </xf>
    <xf numFmtId="0" fontId="29" fillId="0" borderId="10" xfId="30" applyFont="1" applyBorder="1" applyAlignment="1">
      <alignment horizontal="center" vertical="center"/>
    </xf>
    <xf numFmtId="0" fontId="29" fillId="0" borderId="11" xfId="30" applyFont="1" applyBorder="1" applyAlignment="1">
      <alignment horizontal="center" vertical="center"/>
    </xf>
    <xf numFmtId="0" fontId="16" fillId="0" borderId="10" xfId="30" applyFont="1" applyBorder="1" applyAlignment="1">
      <alignment horizontal="center" vertical="center"/>
    </xf>
    <xf numFmtId="178" fontId="28" fillId="0" borderId="0" xfId="30" applyNumberFormat="1" applyFont="1" applyAlignment="1">
      <alignment horizontal="center" vertical="center" wrapText="1" readingOrder="1"/>
    </xf>
    <xf numFmtId="180" fontId="28" fillId="0" borderId="0" xfId="30" applyNumberFormat="1" applyFont="1" applyAlignment="1">
      <alignment horizontal="center" vertical="center" wrapText="1" readingOrder="1"/>
    </xf>
    <xf numFmtId="178" fontId="33" fillId="0" borderId="0" xfId="30" applyNumberFormat="1" applyFont="1" applyAlignment="1">
      <alignment horizontal="center" vertical="center" wrapText="1" readingOrder="1"/>
    </xf>
    <xf numFmtId="182" fontId="33" fillId="0" borderId="0" xfId="30" applyNumberFormat="1" applyFont="1" applyAlignment="1">
      <alignment horizontal="center" vertical="center" wrapText="1" readingOrder="1"/>
    </xf>
    <xf numFmtId="182" fontId="28" fillId="0" borderId="0" xfId="30" applyNumberFormat="1" applyFont="1" applyAlignment="1">
      <alignment horizontal="center" vertical="center" wrapText="1" readingOrder="1"/>
    </xf>
    <xf numFmtId="0" fontId="24" fillId="6" borderId="0" xfId="0" applyFont="1" applyFill="1"/>
    <xf numFmtId="176" fontId="24" fillId="6" borderId="0" xfId="0" applyNumberFormat="1" applyFont="1" applyFill="1"/>
    <xf numFmtId="9" fontId="24" fillId="6" borderId="0" xfId="1" applyFont="1" applyFill="1" applyAlignment="1"/>
    <xf numFmtId="9" fontId="24" fillId="6" borderId="0" xfId="0" applyNumberFormat="1" applyFont="1" applyFill="1"/>
    <xf numFmtId="0" fontId="24" fillId="20" borderId="0" xfId="0" applyFont="1" applyFill="1"/>
    <xf numFmtId="0" fontId="0" fillId="20" borderId="0" xfId="0" applyFill="1"/>
    <xf numFmtId="0" fontId="67" fillId="0" borderId="0" xfId="0" applyFont="1"/>
    <xf numFmtId="0" fontId="68" fillId="23" borderId="0" xfId="0" applyFont="1" applyFill="1" applyAlignment="1">
      <alignment horizontal="center" vertical="center"/>
    </xf>
    <xf numFmtId="0" fontId="70" fillId="23" borderId="0" xfId="0" applyFont="1" applyFill="1" applyAlignment="1">
      <alignment horizontal="center" vertical="center"/>
    </xf>
    <xf numFmtId="0" fontId="68" fillId="23" borderId="0" xfId="0" applyFont="1" applyFill="1" applyAlignment="1">
      <alignment horizontal="center" vertical="center" wrapText="1"/>
    </xf>
    <xf numFmtId="197" fontId="35" fillId="25" borderId="0" xfId="0" applyNumberFormat="1" applyFont="1" applyFill="1" applyAlignment="1">
      <alignment horizontal="center" vertical="center" wrapText="1" readingOrder="1"/>
    </xf>
    <xf numFmtId="191" fontId="35" fillId="25" borderId="0" xfId="0" applyNumberFormat="1" applyFont="1" applyFill="1" applyAlignment="1">
      <alignment horizontal="center" vertical="center" wrapText="1" readingOrder="1"/>
    </xf>
    <xf numFmtId="192" fontId="35" fillId="25" borderId="0" xfId="0" applyNumberFormat="1" applyFont="1" applyFill="1" applyAlignment="1">
      <alignment horizontal="center" vertical="center" wrapText="1" readingOrder="1"/>
    </xf>
    <xf numFmtId="176" fontId="35" fillId="24" borderId="0" xfId="0" applyNumberFormat="1" applyFont="1" applyFill="1" applyAlignment="1">
      <alignment horizontal="center" vertical="center"/>
    </xf>
    <xf numFmtId="9" fontId="35" fillId="24" borderId="0" xfId="1" applyFont="1" applyFill="1" applyBorder="1" applyAlignment="1">
      <alignment horizontal="center" vertical="center"/>
    </xf>
    <xf numFmtId="10" fontId="35" fillId="24" borderId="0" xfId="1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5" fillId="0" borderId="0" xfId="0" applyFont="1"/>
    <xf numFmtId="14" fontId="65" fillId="0" borderId="0" xfId="0" applyNumberFormat="1" applyFont="1"/>
    <xf numFmtId="176" fontId="24" fillId="0" borderId="0" xfId="0" applyNumberFormat="1" applyFont="1" applyAlignment="1">
      <alignment horizontal="center" vertical="center"/>
    </xf>
    <xf numFmtId="197" fontId="33" fillId="0" borderId="0" xfId="0" applyNumberFormat="1" applyFont="1" applyAlignment="1">
      <alignment horizontal="center" vertical="center" wrapText="1" readingOrder="1"/>
    </xf>
    <xf numFmtId="191" fontId="71" fillId="0" borderId="0" xfId="0" applyNumberFormat="1" applyFont="1" applyAlignment="1">
      <alignment horizontal="center" vertical="center" wrapText="1" readingOrder="1"/>
    </xf>
    <xf numFmtId="9" fontId="24" fillId="0" borderId="0" xfId="1" applyFont="1" applyBorder="1" applyAlignment="1">
      <alignment horizontal="center" vertical="center"/>
    </xf>
    <xf numFmtId="192" fontId="71" fillId="0" borderId="0" xfId="0" applyNumberFormat="1" applyFont="1" applyAlignment="1">
      <alignment horizontal="center" vertical="center" wrapText="1" readingOrder="1"/>
    </xf>
    <xf numFmtId="10" fontId="24" fillId="0" borderId="0" xfId="1" applyNumberFormat="1" applyFont="1" applyBorder="1" applyAlignment="1">
      <alignment horizontal="center" vertical="center"/>
    </xf>
    <xf numFmtId="176" fontId="25" fillId="9" borderId="0" xfId="0" applyNumberFormat="1" applyFont="1" applyFill="1" applyAlignment="1">
      <alignment horizontal="center" vertical="center"/>
    </xf>
    <xf numFmtId="197" fontId="28" fillId="9" borderId="0" xfId="0" applyNumberFormat="1" applyFont="1" applyFill="1" applyAlignment="1">
      <alignment horizontal="center" vertical="center" wrapText="1" readingOrder="1"/>
    </xf>
    <xf numFmtId="191" fontId="66" fillId="9" borderId="0" xfId="0" applyNumberFormat="1" applyFont="1" applyFill="1" applyAlignment="1">
      <alignment horizontal="center" vertical="center" wrapText="1" readingOrder="1"/>
    </xf>
    <xf numFmtId="9" fontId="25" fillId="9" borderId="0" xfId="1" applyFont="1" applyFill="1" applyBorder="1" applyAlignment="1">
      <alignment horizontal="center" vertical="center"/>
    </xf>
    <xf numFmtId="192" fontId="66" fillId="9" borderId="0" xfId="0" applyNumberFormat="1" applyFont="1" applyFill="1" applyAlignment="1">
      <alignment horizontal="center" vertical="center" wrapText="1" readingOrder="1"/>
    </xf>
    <xf numFmtId="10" fontId="25" fillId="9" borderId="0" xfId="1" applyNumberFormat="1" applyFont="1" applyFill="1" applyBorder="1" applyAlignment="1">
      <alignment horizontal="center" vertical="center"/>
    </xf>
    <xf numFmtId="197" fontId="33" fillId="9" borderId="0" xfId="0" applyNumberFormat="1" applyFont="1" applyFill="1" applyAlignment="1">
      <alignment horizontal="center" vertical="center" wrapText="1" readingOrder="1"/>
    </xf>
    <xf numFmtId="191" fontId="71" fillId="9" borderId="0" xfId="0" applyNumberFormat="1" applyFont="1" applyFill="1" applyAlignment="1">
      <alignment horizontal="center" vertical="center" wrapText="1" readingOrder="1"/>
    </xf>
    <xf numFmtId="192" fontId="71" fillId="9" borderId="0" xfId="0" applyNumberFormat="1" applyFont="1" applyFill="1" applyAlignment="1">
      <alignment horizontal="center" vertical="center" wrapText="1" readingOrder="1"/>
    </xf>
    <xf numFmtId="197" fontId="36" fillId="25" borderId="0" xfId="0" applyNumberFormat="1" applyFont="1" applyFill="1" applyAlignment="1">
      <alignment horizontal="center" vertical="center" wrapText="1" readingOrder="1"/>
    </xf>
    <xf numFmtId="191" fontId="36" fillId="25" borderId="0" xfId="0" applyNumberFormat="1" applyFont="1" applyFill="1" applyAlignment="1">
      <alignment horizontal="center" vertical="center" wrapText="1" readingOrder="1"/>
    </xf>
    <xf numFmtId="192" fontId="36" fillId="25" borderId="0" xfId="0" applyNumberFormat="1" applyFont="1" applyFill="1" applyAlignment="1">
      <alignment horizontal="center" vertical="center" wrapText="1" readingOrder="1"/>
    </xf>
    <xf numFmtId="176" fontId="25" fillId="0" borderId="0" xfId="0" applyNumberFormat="1" applyFont="1" applyAlignment="1">
      <alignment horizontal="center" vertical="center"/>
    </xf>
    <xf numFmtId="9" fontId="25" fillId="0" borderId="0" xfId="1" applyFont="1" applyBorder="1" applyAlignment="1">
      <alignment horizontal="center" vertical="center"/>
    </xf>
    <xf numFmtId="10" fontId="25" fillId="0" borderId="0" xfId="1" applyNumberFormat="1" applyFont="1" applyBorder="1" applyAlignment="1">
      <alignment horizontal="center" vertical="center"/>
    </xf>
    <xf numFmtId="176" fontId="68" fillId="21" borderId="0" xfId="0" applyNumberFormat="1" applyFont="1" applyFill="1" applyAlignment="1">
      <alignment horizontal="center" vertical="center"/>
    </xf>
    <xf numFmtId="197" fontId="72" fillId="22" borderId="0" xfId="0" applyNumberFormat="1" applyFont="1" applyFill="1" applyAlignment="1">
      <alignment horizontal="center" vertical="center" wrapText="1" readingOrder="1"/>
    </xf>
    <xf numFmtId="191" fontId="73" fillId="22" borderId="0" xfId="0" applyNumberFormat="1" applyFont="1" applyFill="1" applyAlignment="1">
      <alignment horizontal="center" vertical="center" wrapText="1" readingOrder="1"/>
    </xf>
    <xf numFmtId="9" fontId="68" fillId="21" borderId="0" xfId="1" applyFont="1" applyFill="1" applyBorder="1" applyAlignment="1">
      <alignment horizontal="center" vertical="center"/>
    </xf>
    <xf numFmtId="0" fontId="0" fillId="22" borderId="0" xfId="0" applyFill="1" applyAlignment="1">
      <alignment horizontal="center" vertical="center"/>
    </xf>
    <xf numFmtId="10" fontId="68" fillId="21" borderId="0" xfId="1" applyNumberFormat="1" applyFont="1" applyFill="1" applyBorder="1" applyAlignment="1">
      <alignment horizontal="center" vertical="center"/>
    </xf>
    <xf numFmtId="0" fontId="74" fillId="26" borderId="41" xfId="36" applyFont="1" applyAlignment="1"/>
    <xf numFmtId="14" fontId="74" fillId="26" borderId="41" xfId="36" applyNumberFormat="1" applyFont="1" applyAlignme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9" fontId="33" fillId="0" borderId="34" xfId="1" applyFont="1" applyBorder="1" applyAlignment="1">
      <alignment horizontal="center" vertical="center" wrapText="1" readingOrder="1"/>
    </xf>
    <xf numFmtId="191" fontId="16" fillId="0" borderId="0" xfId="31" applyNumberFormat="1" applyFont="1" applyBorder="1" applyAlignment="1">
      <alignment horizontal="right" vertical="center" wrapText="1"/>
    </xf>
    <xf numFmtId="190" fontId="16" fillId="0" borderId="0" xfId="31" applyNumberFormat="1" applyFont="1" applyBorder="1" applyAlignment="1">
      <alignment horizontal="right" vertical="center" wrapText="1"/>
    </xf>
    <xf numFmtId="192" fontId="16" fillId="0" borderId="10" xfId="31" applyNumberFormat="1" applyFont="1" applyBorder="1" applyAlignment="1">
      <alignment horizontal="right" vertical="center" wrapText="1"/>
    </xf>
    <xf numFmtId="191" fontId="16" fillId="0" borderId="42" xfId="31" applyNumberFormat="1" applyFont="1" applyBorder="1" applyAlignment="1">
      <alignment horizontal="right" vertical="center" wrapText="1"/>
    </xf>
    <xf numFmtId="191" fontId="16" fillId="0" borderId="43" xfId="31" applyNumberFormat="1" applyFont="1" applyBorder="1" applyAlignment="1">
      <alignment horizontal="right" vertical="center" wrapText="1"/>
    </xf>
    <xf numFmtId="190" fontId="16" fillId="0" borderId="43" xfId="31" applyNumberFormat="1" applyFont="1" applyBorder="1" applyAlignment="1">
      <alignment horizontal="right" vertical="center" wrapText="1"/>
    </xf>
    <xf numFmtId="179" fontId="16" fillId="0" borderId="43" xfId="31" applyNumberFormat="1" applyFont="1" applyBorder="1" applyAlignment="1">
      <alignment horizontal="right" vertical="center" wrapText="1"/>
    </xf>
    <xf numFmtId="192" fontId="16" fillId="0" borderId="44" xfId="31" applyNumberFormat="1" applyFont="1" applyBorder="1" applyAlignment="1">
      <alignment horizontal="right" vertical="center" wrapText="1"/>
    </xf>
    <xf numFmtId="191" fontId="16" fillId="0" borderId="45" xfId="31" applyNumberFormat="1" applyFont="1" applyBorder="1" applyAlignment="1">
      <alignment horizontal="right" vertical="center" wrapText="1"/>
    </xf>
    <xf numFmtId="0" fontId="26" fillId="3" borderId="0" xfId="30" applyFont="1" applyFill="1" applyAlignment="1">
      <alignment horizontal="center" vertical="center" wrapText="1" readingOrder="1"/>
    </xf>
    <xf numFmtId="0" fontId="26" fillId="3" borderId="43" xfId="30" applyFont="1" applyFill="1" applyBorder="1" applyAlignment="1">
      <alignment horizontal="center" vertical="center" wrapText="1" readingOrder="1"/>
    </xf>
    <xf numFmtId="181" fontId="16" fillId="0" borderId="3" xfId="30" applyNumberFormat="1" applyFont="1" applyBorder="1" applyAlignment="1">
      <alignment horizontal="right" vertical="center" wrapText="1"/>
    </xf>
    <xf numFmtId="181" fontId="16" fillId="0" borderId="4" xfId="30" applyNumberFormat="1" applyFont="1" applyBorder="1" applyAlignment="1">
      <alignment horizontal="right" vertical="center" wrapText="1"/>
    </xf>
    <xf numFmtId="191" fontId="16" fillId="0" borderId="46" xfId="31" applyNumberFormat="1" applyFont="1" applyBorder="1" applyAlignment="1">
      <alignment horizontal="right" vertical="center" wrapText="1"/>
    </xf>
    <xf numFmtId="181" fontId="16" fillId="0" borderId="6" xfId="30" applyNumberFormat="1" applyFont="1" applyBorder="1" applyAlignment="1">
      <alignment horizontal="right" vertical="center" wrapText="1"/>
    </xf>
    <xf numFmtId="9" fontId="24" fillId="0" borderId="6" xfId="31" applyFont="1" applyBorder="1">
      <alignment vertical="center"/>
    </xf>
    <xf numFmtId="9" fontId="24" fillId="0" borderId="9" xfId="1" applyFont="1" applyBorder="1">
      <alignment vertical="center"/>
    </xf>
    <xf numFmtId="0" fontId="26" fillId="3" borderId="47" xfId="30" applyFont="1" applyFill="1" applyBorder="1" applyAlignment="1">
      <alignment horizontal="center" vertical="center" wrapText="1" readingOrder="1"/>
    </xf>
    <xf numFmtId="0" fontId="31" fillId="3" borderId="10" xfId="30" applyFont="1" applyFill="1" applyBorder="1" applyAlignment="1">
      <alignment horizontal="center" vertical="center" wrapText="1" readingOrder="1"/>
    </xf>
    <xf numFmtId="0" fontId="26" fillId="3" borderId="10" xfId="30" applyFont="1" applyFill="1" applyBorder="1" applyAlignment="1">
      <alignment horizontal="center" vertical="center" wrapText="1" readingOrder="1"/>
    </xf>
    <xf numFmtId="0" fontId="31" fillId="3" borderId="48" xfId="30" applyFont="1" applyFill="1" applyBorder="1" applyAlignment="1">
      <alignment horizontal="center" vertical="center" wrapText="1" readingOrder="1"/>
    </xf>
    <xf numFmtId="9" fontId="16" fillId="0" borderId="5" xfId="31" applyFont="1" applyBorder="1" applyAlignment="1">
      <alignment horizontal="right" vertical="center" wrapText="1"/>
    </xf>
    <xf numFmtId="9" fontId="16" fillId="0" borderId="7" xfId="31" applyFont="1" applyBorder="1" applyAlignment="1">
      <alignment horizontal="right" vertical="center" wrapText="1"/>
    </xf>
    <xf numFmtId="0" fontId="75" fillId="0" borderId="0" xfId="37" applyAlignment="1">
      <alignment horizontal="center" vertical="top"/>
    </xf>
    <xf numFmtId="0" fontId="75" fillId="0" borderId="0" xfId="37" applyAlignment="1">
      <alignment horizontal="left"/>
    </xf>
    <xf numFmtId="9" fontId="75" fillId="0" borderId="0" xfId="37" applyNumberFormat="1">
      <alignment vertical="center"/>
    </xf>
    <xf numFmtId="9" fontId="76" fillId="0" borderId="0" xfId="37" applyNumberFormat="1" applyFont="1">
      <alignment vertical="center"/>
    </xf>
    <xf numFmtId="9" fontId="77" fillId="27" borderId="49" xfId="0" applyNumberFormat="1" applyFont="1" applyFill="1" applyBorder="1"/>
    <xf numFmtId="0" fontId="76" fillId="0" borderId="0" xfId="37" applyFont="1" applyAlignment="1">
      <alignment horizontal="center" vertical="top"/>
    </xf>
    <xf numFmtId="10" fontId="24" fillId="0" borderId="0" xfId="0" applyNumberFormat="1" applyFont="1"/>
    <xf numFmtId="0" fontId="0" fillId="0" borderId="0" xfId="0" quotePrefix="1"/>
    <xf numFmtId="14" fontId="78" fillId="28" borderId="50" xfId="38" applyNumberFormat="1" applyAlignment="1"/>
    <xf numFmtId="0" fontId="79" fillId="0" borderId="0" xfId="39" applyAlignment="1"/>
    <xf numFmtId="0" fontId="3" fillId="0" borderId="0" xfId="26" applyFont="1" applyAlignment="1">
      <alignment horizontal="center" vertical="center"/>
    </xf>
    <xf numFmtId="0" fontId="3" fillId="0" borderId="0" xfId="26" quotePrefix="1" applyFont="1" applyAlignment="1">
      <alignment horizontal="center" vertical="center"/>
    </xf>
    <xf numFmtId="191" fontId="40" fillId="0" borderId="2" xfId="0" applyNumberFormat="1" applyFont="1" applyBorder="1" applyAlignment="1">
      <alignment horizontal="center" vertical="center" wrapText="1" readingOrder="1"/>
    </xf>
    <xf numFmtId="191" fontId="40" fillId="0" borderId="0" xfId="0" applyNumberFormat="1" applyFont="1" applyAlignment="1">
      <alignment horizontal="center" vertical="center" wrapText="1" readingOrder="1"/>
    </xf>
    <xf numFmtId="191" fontId="47" fillId="14" borderId="0" xfId="0" applyNumberFormat="1" applyFont="1" applyFill="1" applyAlignment="1">
      <alignment horizontal="center" vertical="center" wrapText="1" readingOrder="1"/>
    </xf>
    <xf numFmtId="191" fontId="40" fillId="8" borderId="10" xfId="0" applyNumberFormat="1" applyFont="1" applyFill="1" applyBorder="1" applyAlignment="1">
      <alignment horizontal="center" vertical="center" wrapText="1" readingOrder="1"/>
    </xf>
    <xf numFmtId="191" fontId="45" fillId="14" borderId="0" xfId="0" applyNumberFormat="1" applyFont="1" applyFill="1" applyAlignment="1">
      <alignment horizontal="center" vertical="center" wrapText="1" readingOrder="1"/>
    </xf>
    <xf numFmtId="9" fontId="45" fillId="14" borderId="0" xfId="1" applyFont="1" applyFill="1" applyAlignment="1">
      <alignment horizontal="center" vertical="center" wrapText="1" readingOrder="1"/>
    </xf>
    <xf numFmtId="176" fontId="0" fillId="0" borderId="0" xfId="0" applyNumberFormat="1"/>
    <xf numFmtId="0" fontId="24" fillId="0" borderId="0" xfId="0" pivotButton="1" applyFont="1" applyAlignment="1">
      <alignment horizontal="center"/>
    </xf>
    <xf numFmtId="176" fontId="28" fillId="0" borderId="22" xfId="0" applyNumberFormat="1" applyFont="1" applyBorder="1" applyAlignment="1">
      <alignment horizontal="center" vertical="center" wrapText="1" readingOrder="1"/>
    </xf>
    <xf numFmtId="176" fontId="28" fillId="0" borderId="23" xfId="0" applyNumberFormat="1" applyFont="1" applyBorder="1" applyAlignment="1">
      <alignment horizontal="center" vertical="center" wrapText="1" readingOrder="1"/>
    </xf>
    <xf numFmtId="176" fontId="28" fillId="0" borderId="24" xfId="0" applyNumberFormat="1" applyFont="1" applyBorder="1" applyAlignment="1">
      <alignment horizontal="center" vertical="center" wrapText="1" readingOrder="1"/>
    </xf>
    <xf numFmtId="176" fontId="28" fillId="0" borderId="29" xfId="0" applyNumberFormat="1" applyFont="1" applyBorder="1" applyAlignment="1">
      <alignment horizontal="center" vertical="center" wrapText="1" readingOrder="1"/>
    </xf>
    <xf numFmtId="176" fontId="28" fillId="0" borderId="0" xfId="0" applyNumberFormat="1" applyFont="1" applyAlignment="1">
      <alignment horizontal="center" vertical="center" wrapText="1" readingOrder="1"/>
    </xf>
    <xf numFmtId="176" fontId="28" fillId="0" borderId="30" xfId="0" applyNumberFormat="1" applyFont="1" applyBorder="1" applyAlignment="1">
      <alignment horizontal="center" vertical="center" wrapText="1" readingOrder="1"/>
    </xf>
    <xf numFmtId="176" fontId="28" fillId="0" borderId="31" xfId="0" applyNumberFormat="1" applyFont="1" applyBorder="1" applyAlignment="1">
      <alignment horizontal="center" vertical="center" wrapText="1" readingOrder="1"/>
    </xf>
    <xf numFmtId="176" fontId="28" fillId="0" borderId="28" xfId="0" applyNumberFormat="1" applyFont="1" applyBorder="1" applyAlignment="1">
      <alignment horizontal="center" vertical="center" wrapText="1" readingOrder="1"/>
    </xf>
    <xf numFmtId="176" fontId="28" fillId="0" borderId="32" xfId="0" applyNumberFormat="1" applyFont="1" applyBorder="1" applyAlignment="1">
      <alignment horizontal="center" vertical="center" wrapText="1" readingOrder="1"/>
    </xf>
    <xf numFmtId="176" fontId="29" fillId="0" borderId="31" xfId="0" applyNumberFormat="1" applyFont="1" applyBorder="1" applyAlignment="1">
      <alignment horizontal="center" vertical="center" wrapText="1"/>
    </xf>
    <xf numFmtId="176" fontId="29" fillId="0" borderId="28" xfId="0" applyNumberFormat="1" applyFont="1" applyBorder="1" applyAlignment="1">
      <alignment horizontal="center" vertical="center" wrapText="1"/>
    </xf>
    <xf numFmtId="176" fontId="29" fillId="0" borderId="32" xfId="0" applyNumberFormat="1" applyFont="1" applyBorder="1" applyAlignment="1">
      <alignment horizontal="center" vertical="center" wrapText="1"/>
    </xf>
    <xf numFmtId="10" fontId="28" fillId="0" borderId="22" xfId="0" applyNumberFormat="1" applyFont="1" applyBorder="1" applyAlignment="1">
      <alignment horizontal="center" vertical="center" wrapText="1" readingOrder="1"/>
    </xf>
    <xf numFmtId="10" fontId="28" fillId="0" borderId="23" xfId="0" applyNumberFormat="1" applyFont="1" applyBorder="1" applyAlignment="1">
      <alignment horizontal="center" vertical="center" wrapText="1" readingOrder="1"/>
    </xf>
    <xf numFmtId="10" fontId="28" fillId="0" borderId="24" xfId="0" applyNumberFormat="1" applyFont="1" applyBorder="1" applyAlignment="1">
      <alignment horizontal="center" vertical="center" wrapText="1" readingOrder="1"/>
    </xf>
    <xf numFmtId="10" fontId="28" fillId="0" borderId="29" xfId="0" applyNumberFormat="1" applyFont="1" applyBorder="1" applyAlignment="1">
      <alignment horizontal="center" vertical="center" wrapText="1" readingOrder="1"/>
    </xf>
    <xf numFmtId="10" fontId="28" fillId="0" borderId="0" xfId="0" applyNumberFormat="1" applyFont="1" applyAlignment="1">
      <alignment horizontal="center" vertical="center" wrapText="1" readingOrder="1"/>
    </xf>
    <xf numFmtId="10" fontId="28" fillId="0" borderId="30" xfId="0" applyNumberFormat="1" applyFont="1" applyBorder="1" applyAlignment="1">
      <alignment horizontal="center" vertical="center" wrapText="1" readingOrder="1"/>
    </xf>
    <xf numFmtId="10" fontId="28" fillId="0" borderId="31" xfId="0" applyNumberFormat="1" applyFont="1" applyBorder="1" applyAlignment="1">
      <alignment horizontal="center" vertical="center" wrapText="1" readingOrder="1"/>
    </xf>
    <xf numFmtId="10" fontId="28" fillId="0" borderId="28" xfId="0" applyNumberFormat="1" applyFont="1" applyBorder="1" applyAlignment="1">
      <alignment horizontal="center" vertical="center" wrapText="1" readingOrder="1"/>
    </xf>
    <xf numFmtId="10" fontId="28" fillId="0" borderId="32" xfId="0" applyNumberFormat="1" applyFont="1" applyBorder="1" applyAlignment="1">
      <alignment horizontal="center" vertical="center" wrapText="1" readingOrder="1"/>
    </xf>
    <xf numFmtId="10" fontId="29" fillId="0" borderId="31" xfId="0" applyNumberFormat="1" applyFont="1" applyBorder="1" applyAlignment="1">
      <alignment horizontal="center" vertical="center" wrapText="1"/>
    </xf>
    <xf numFmtId="10" fontId="29" fillId="0" borderId="28" xfId="0" applyNumberFormat="1" applyFont="1" applyBorder="1" applyAlignment="1">
      <alignment horizontal="center" vertical="center" wrapText="1"/>
    </xf>
    <xf numFmtId="10" fontId="29" fillId="0" borderId="32" xfId="0" applyNumberFormat="1" applyFont="1" applyBorder="1" applyAlignment="1">
      <alignment horizontal="center" vertical="center" wrapText="1"/>
    </xf>
    <xf numFmtId="192" fontId="45" fillId="14" borderId="0" xfId="0" applyNumberFormat="1" applyFont="1" applyFill="1" applyAlignment="1">
      <alignment horizontal="center" vertical="center" wrapText="1" readingOrder="1"/>
    </xf>
    <xf numFmtId="0" fontId="25" fillId="9" borderId="0" xfId="0" applyFont="1" applyFill="1" applyAlignment="1">
      <alignment horizontal="center" vertical="center" wrapText="1"/>
    </xf>
    <xf numFmtId="0" fontId="25" fillId="9" borderId="0" xfId="0" applyFont="1" applyFill="1" applyAlignment="1">
      <alignment horizontal="center" vertical="center"/>
    </xf>
    <xf numFmtId="0" fontId="25" fillId="18" borderId="0" xfId="0" applyFont="1" applyFill="1" applyAlignment="1">
      <alignment horizontal="center" vertical="center"/>
    </xf>
    <xf numFmtId="0" fontId="82" fillId="26" borderId="41" xfId="36" applyFont="1" applyAlignment="1"/>
    <xf numFmtId="0" fontId="83" fillId="0" borderId="0" xfId="0" applyFont="1"/>
    <xf numFmtId="0" fontId="86" fillId="0" borderId="1" xfId="0" applyFont="1" applyBorder="1"/>
    <xf numFmtId="0" fontId="80" fillId="0" borderId="1" xfId="0" applyFont="1" applyBorder="1"/>
    <xf numFmtId="0" fontId="87" fillId="0" borderId="1" xfId="0" applyFont="1" applyBorder="1"/>
    <xf numFmtId="0" fontId="88" fillId="0" borderId="0" xfId="0" applyFont="1"/>
    <xf numFmtId="14" fontId="88" fillId="0" borderId="0" xfId="0" applyNumberFormat="1" applyFont="1"/>
    <xf numFmtId="0" fontId="90" fillId="0" borderId="0" xfId="0" applyFont="1" applyAlignment="1">
      <alignment horizontal="center" vertical="center" wrapText="1"/>
    </xf>
    <xf numFmtId="178" fontId="24" fillId="0" borderId="0" xfId="0" applyNumberFormat="1" applyFont="1"/>
    <xf numFmtId="0" fontId="24" fillId="0" borderId="0" xfId="0" applyFont="1" applyAlignment="1">
      <alignment horizontal="left" indent="2"/>
    </xf>
    <xf numFmtId="0" fontId="0" fillId="29" borderId="0" xfId="0" applyFill="1" applyAlignment="1">
      <alignment horizontal="left"/>
    </xf>
    <xf numFmtId="0" fontId="0" fillId="29" borderId="0" xfId="0" applyFill="1" applyAlignment="1">
      <alignment horizontal="right"/>
    </xf>
    <xf numFmtId="0" fontId="0" fillId="30" borderId="0" xfId="0" applyFill="1" applyAlignment="1">
      <alignment horizontal="left"/>
    </xf>
    <xf numFmtId="0" fontId="0" fillId="30" borderId="0" xfId="0" applyFill="1" applyAlignment="1">
      <alignment horizontal="right"/>
    </xf>
    <xf numFmtId="0" fontId="0" fillId="31" borderId="0" xfId="0" applyFill="1" applyAlignment="1">
      <alignment horizontal="left"/>
    </xf>
    <xf numFmtId="0" fontId="0" fillId="31" borderId="0" xfId="0" applyFill="1" applyAlignment="1">
      <alignment horizontal="right"/>
    </xf>
    <xf numFmtId="0" fontId="0" fillId="29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3" fontId="0" fillId="31" borderId="0" xfId="0" applyNumberFormat="1" applyFill="1" applyAlignment="1">
      <alignment horizontal="center" vertical="center"/>
    </xf>
    <xf numFmtId="0" fontId="0" fillId="30" borderId="0" xfId="0" applyFill="1" applyAlignment="1">
      <alignment horizontal="center" vertical="center"/>
    </xf>
    <xf numFmtId="3" fontId="0" fillId="30" borderId="0" xfId="0" applyNumberFormat="1" applyFill="1" applyAlignment="1">
      <alignment horizontal="center" vertical="center"/>
    </xf>
    <xf numFmtId="0" fontId="0" fillId="0" borderId="1" xfId="0" applyBorder="1" applyAlignment="1">
      <alignment horizontal="left"/>
    </xf>
    <xf numFmtId="176" fontId="0" fillId="7" borderId="1" xfId="0" applyNumberFormat="1" applyFill="1" applyBorder="1" applyAlignment="1">
      <alignment vertical="center"/>
    </xf>
    <xf numFmtId="176" fontId="0" fillId="9" borderId="1" xfId="0" applyNumberFormat="1" applyFill="1" applyBorder="1" applyAlignment="1">
      <alignment vertical="center"/>
    </xf>
    <xf numFmtId="176" fontId="0" fillId="10" borderId="1" xfId="0" applyNumberForma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92" fillId="0" borderId="0" xfId="0" applyFont="1"/>
    <xf numFmtId="181" fontId="92" fillId="0" borderId="0" xfId="0" applyNumberFormat="1" applyFont="1"/>
    <xf numFmtId="9" fontId="92" fillId="0" borderId="0" xfId="1" applyFont="1" applyAlignment="1"/>
    <xf numFmtId="0" fontId="74" fillId="26" borderId="51" xfId="36" applyFont="1" applyBorder="1" applyAlignment="1"/>
    <xf numFmtId="0" fontId="74" fillId="26" borderId="52" xfId="36" applyFont="1" applyBorder="1" applyAlignment="1"/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176" fontId="2" fillId="0" borderId="0" xfId="0" applyNumberFormat="1" applyFont="1"/>
    <xf numFmtId="9" fontId="2" fillId="0" borderId="0" xfId="0" applyNumberFormat="1" applyFont="1"/>
    <xf numFmtId="10" fontId="2" fillId="0" borderId="0" xfId="0" applyNumberFormat="1" applyFont="1"/>
    <xf numFmtId="0" fontId="24" fillId="0" borderId="13" xfId="30" applyFont="1" applyBorder="1" applyAlignment="1">
      <alignment horizontal="center" vertical="center"/>
    </xf>
    <xf numFmtId="0" fontId="24" fillId="0" borderId="14" xfId="30" applyFont="1" applyBorder="1" applyAlignment="1">
      <alignment horizontal="center" vertical="center"/>
    </xf>
    <xf numFmtId="0" fontId="24" fillId="0" borderId="15" xfId="30" applyFont="1" applyBorder="1" applyAlignment="1">
      <alignment horizontal="center" vertical="center"/>
    </xf>
    <xf numFmtId="0" fontId="30" fillId="5" borderId="13" xfId="30" applyFont="1" applyFill="1" applyBorder="1" applyAlignment="1">
      <alignment horizontal="center" vertical="center" wrapText="1" readingOrder="1"/>
    </xf>
    <xf numFmtId="0" fontId="30" fillId="5" borderId="14" xfId="30" applyFont="1" applyFill="1" applyBorder="1" applyAlignment="1">
      <alignment horizontal="center" vertical="center" wrapText="1" readingOrder="1"/>
    </xf>
    <xf numFmtId="0" fontId="30" fillId="5" borderId="15" xfId="30" applyFont="1" applyFill="1" applyBorder="1" applyAlignment="1">
      <alignment horizontal="center" vertical="center" wrapText="1" readingOrder="1"/>
    </xf>
    <xf numFmtId="0" fontId="26" fillId="3" borderId="3" xfId="30" applyFont="1" applyFill="1" applyBorder="1" applyAlignment="1">
      <alignment horizontal="center" vertical="center" wrapText="1" readingOrder="1"/>
    </xf>
    <xf numFmtId="0" fontId="26" fillId="3" borderId="6" xfId="30" applyFont="1" applyFill="1" applyBorder="1" applyAlignment="1">
      <alignment horizontal="center" vertical="center" wrapText="1" readingOrder="1"/>
    </xf>
    <xf numFmtId="0" fontId="30" fillId="5" borderId="4" xfId="30" applyFont="1" applyFill="1" applyBorder="1" applyAlignment="1">
      <alignment horizontal="center" vertical="center" wrapText="1" readingOrder="1"/>
    </xf>
    <xf numFmtId="0" fontId="30" fillId="3" borderId="16" xfId="30" applyFont="1" applyFill="1" applyBorder="1" applyAlignment="1">
      <alignment horizontal="center" vertical="center" wrapText="1" readingOrder="1"/>
    </xf>
    <xf numFmtId="0" fontId="30" fillId="3" borderId="17" xfId="30" applyFont="1" applyFill="1" applyBorder="1" applyAlignment="1">
      <alignment horizontal="center" vertical="center" wrapText="1" readingOrder="1"/>
    </xf>
    <xf numFmtId="0" fontId="30" fillId="3" borderId="33" xfId="30" applyFont="1" applyFill="1" applyBorder="1" applyAlignment="1">
      <alignment horizontal="center" vertical="center" wrapText="1" readingOrder="1"/>
    </xf>
    <xf numFmtId="0" fontId="30" fillId="3" borderId="39" xfId="30" applyFont="1" applyFill="1" applyBorder="1" applyAlignment="1">
      <alignment horizontal="center" vertical="center" wrapText="1" readingOrder="1"/>
    </xf>
    <xf numFmtId="0" fontId="30" fillId="3" borderId="40" xfId="30" applyFont="1" applyFill="1" applyBorder="1" applyAlignment="1">
      <alignment horizontal="center" vertical="center" wrapText="1" readingOrder="1"/>
    </xf>
    <xf numFmtId="0" fontId="30" fillId="3" borderId="18" xfId="30" applyFont="1" applyFill="1" applyBorder="1" applyAlignment="1">
      <alignment horizontal="center" vertical="center" wrapText="1" readingOrder="1"/>
    </xf>
    <xf numFmtId="0" fontId="39" fillId="2" borderId="10" xfId="0" applyFont="1" applyFill="1" applyBorder="1" applyAlignment="1">
      <alignment horizontal="center" vertical="center" wrapText="1" readingOrder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6" fillId="3" borderId="22" xfId="0" applyFont="1" applyFill="1" applyBorder="1" applyAlignment="1">
      <alignment horizontal="center" vertical="center" wrapText="1" readingOrder="1"/>
    </xf>
    <xf numFmtId="0" fontId="26" fillId="3" borderId="23" xfId="0" applyFont="1" applyFill="1" applyBorder="1" applyAlignment="1">
      <alignment horizontal="center" vertical="center" wrapText="1" readingOrder="1"/>
    </xf>
    <xf numFmtId="0" fontId="26" fillId="3" borderId="24" xfId="0" applyFont="1" applyFill="1" applyBorder="1" applyAlignment="1">
      <alignment horizontal="center" vertical="center" wrapText="1" readingOrder="1"/>
    </xf>
    <xf numFmtId="17" fontId="28" fillId="12" borderId="23" xfId="0" applyNumberFormat="1" applyFont="1" applyFill="1" applyBorder="1" applyAlignment="1">
      <alignment horizontal="center" vertical="center" wrapText="1" readingOrder="1"/>
    </xf>
    <xf numFmtId="17" fontId="28" fillId="12" borderId="0" xfId="0" applyNumberFormat="1" applyFont="1" applyFill="1" applyAlignment="1">
      <alignment horizontal="center" vertical="center" wrapText="1" readingOrder="1"/>
    </xf>
    <xf numFmtId="17" fontId="28" fillId="12" borderId="26" xfId="0" applyNumberFormat="1" applyFont="1" applyFill="1" applyBorder="1" applyAlignment="1">
      <alignment horizontal="center" vertical="center" wrapText="1" readingOrder="1"/>
    </xf>
    <xf numFmtId="16" fontId="28" fillId="0" borderId="28" xfId="0" applyNumberFormat="1" applyFont="1" applyBorder="1" applyAlignment="1">
      <alignment horizontal="center" vertical="center" wrapText="1" readingOrder="1"/>
    </xf>
    <xf numFmtId="0" fontId="26" fillId="3" borderId="25" xfId="0" applyFont="1" applyFill="1" applyBorder="1" applyAlignment="1">
      <alignment horizontal="center" vertical="center" wrapText="1" readingOrder="1"/>
    </xf>
    <xf numFmtId="0" fontId="26" fillId="3" borderId="26" xfId="0" applyFont="1" applyFill="1" applyBorder="1" applyAlignment="1">
      <alignment horizontal="center" vertical="center" wrapText="1" readingOrder="1"/>
    </xf>
    <xf numFmtId="16" fontId="28" fillId="0" borderId="32" xfId="0" applyNumberFormat="1" applyFont="1" applyBorder="1" applyAlignment="1">
      <alignment horizontal="center" vertical="center" wrapText="1" readingOrder="1"/>
    </xf>
    <xf numFmtId="16" fontId="28" fillId="12" borderId="23" xfId="0" applyNumberFormat="1" applyFont="1" applyFill="1" applyBorder="1" applyAlignment="1">
      <alignment horizontal="center" vertical="center" wrapText="1" readingOrder="1"/>
    </xf>
    <xf numFmtId="16" fontId="28" fillId="12" borderId="0" xfId="0" applyNumberFormat="1" applyFont="1" applyFill="1" applyAlignment="1">
      <alignment horizontal="center" vertical="center" wrapText="1" readingOrder="1"/>
    </xf>
    <xf numFmtId="16" fontId="28" fillId="12" borderId="26" xfId="0" applyNumberFormat="1" applyFont="1" applyFill="1" applyBorder="1" applyAlignment="1">
      <alignment horizontal="center" vertical="center" wrapText="1" readingOrder="1"/>
    </xf>
    <xf numFmtId="0" fontId="29" fillId="0" borderId="26" xfId="0" applyFont="1" applyBorder="1" applyAlignment="1">
      <alignment horizontal="center" vertical="center" wrapText="1" readingOrder="1"/>
    </xf>
    <xf numFmtId="0" fontId="29" fillId="0" borderId="27" xfId="0" applyFont="1" applyBorder="1" applyAlignment="1">
      <alignment horizontal="center" vertical="center" wrapText="1" readingOrder="1"/>
    </xf>
    <xf numFmtId="16" fontId="33" fillId="0" borderId="28" xfId="0" applyNumberFormat="1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6" fillId="0" borderId="4" xfId="0" applyFont="1" applyBorder="1" applyAlignment="1">
      <alignment horizontal="left" vertical="center" wrapText="1" readingOrder="1"/>
    </xf>
    <xf numFmtId="0" fontId="25" fillId="18" borderId="0" xfId="0" applyFont="1" applyFill="1" applyAlignment="1">
      <alignment horizontal="center" vertical="center" wrapText="1"/>
    </xf>
    <xf numFmtId="0" fontId="25" fillId="18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35" fillId="24" borderId="0" xfId="0" applyFont="1" applyFill="1" applyAlignment="1">
      <alignment horizontal="center" vertical="center" wrapText="1"/>
    </xf>
    <xf numFmtId="0" fontId="35" fillId="24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center" vertical="center" wrapText="1"/>
    </xf>
    <xf numFmtId="0" fontId="25" fillId="9" borderId="0" xfId="0" applyFont="1" applyFill="1" applyAlignment="1">
      <alignment horizontal="center" vertical="center"/>
    </xf>
    <xf numFmtId="0" fontId="68" fillId="21" borderId="0" xfId="0" applyFont="1" applyFill="1" applyAlignment="1">
      <alignment horizontal="center" vertical="center" wrapText="1"/>
    </xf>
    <xf numFmtId="0" fontId="68" fillId="21" borderId="0" xfId="0" applyFont="1" applyFill="1" applyAlignment="1">
      <alignment horizontal="center" vertical="center"/>
    </xf>
    <xf numFmtId="0" fontId="60" fillId="0" borderId="0" xfId="0" applyFont="1" applyAlignment="1">
      <alignment horizont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24" fillId="0" borderId="0" xfId="0" applyNumberFormat="1" applyFont="1"/>
    <xf numFmtId="9" fontId="46" fillId="0" borderId="0" xfId="1" applyFont="1">
      <alignment vertical="center"/>
    </xf>
  </cellXfs>
  <cellStyles count="40">
    <cellStyle name="百分比" xfId="1" builtinId="5"/>
    <cellStyle name="百分比 2" xfId="3" xr:uid="{00000000-0005-0000-0000-000001000000}"/>
    <cellStyle name="百分比 3" xfId="5" xr:uid="{00000000-0005-0000-0000-000002000000}"/>
    <cellStyle name="百分比 4" xfId="28" xr:uid="{08FCBF4F-CC75-4678-8985-34A4FCE311B6}"/>
    <cellStyle name="百分比 5" xfId="31" xr:uid="{031CB66B-B328-4018-B9E5-2B8B0BE6D8FC}"/>
    <cellStyle name="百分比 6" xfId="34" xr:uid="{F4ADCAD1-8578-4637-9645-C2F25270CE3F}"/>
    <cellStyle name="常规" xfId="0" builtinId="0"/>
    <cellStyle name="常规 10" xfId="13" xr:uid="{3F1FD152-AF8D-4994-AD8F-2B2D9EC083AC}"/>
    <cellStyle name="常规 11" xfId="17" xr:uid="{595D4E9C-5C5D-43B6-B4FC-ABD185ECC362}"/>
    <cellStyle name="常规 12" xfId="22" xr:uid="{02D57F5B-1583-47E7-90C0-9F29C17A4951}"/>
    <cellStyle name="常规 13" xfId="12" xr:uid="{2CBDFB96-E8CE-46F1-898A-0BE04CAC7E69}"/>
    <cellStyle name="常规 14" xfId="25" xr:uid="{6CD1010A-5BA3-48A6-A6A0-85B3EBDED30B}"/>
    <cellStyle name="常规 15" xfId="26" xr:uid="{F65E16CD-783C-4A1B-B1CC-7CEC923C7DFB}"/>
    <cellStyle name="常规 16" xfId="27" xr:uid="{FB2DAC9E-876C-48C0-8579-882A6B96D980}"/>
    <cellStyle name="常规 17" xfId="30" xr:uid="{DB15C896-DA5F-4C0B-838C-F657906EDE3B}"/>
    <cellStyle name="常规 18" xfId="33" xr:uid="{D565683A-11E3-44B8-A53A-541E2A4F25CE}"/>
    <cellStyle name="常规 19" xfId="37" xr:uid="{4261EFF1-35DB-40FF-B89D-2AD83C0D815E}"/>
    <cellStyle name="常规 2" xfId="2" xr:uid="{00000000-0005-0000-0000-000004000000}"/>
    <cellStyle name="常规 2 2" xfId="24" xr:uid="{6792FD77-0BB5-4110-B29A-17ACA8DC3CF0}"/>
    <cellStyle name="常规 2 2 3" xfId="9" xr:uid="{5B28514F-2AA1-7946-9C4F-2CA543546318}"/>
    <cellStyle name="常规 3" xfId="4" xr:uid="{00000000-0005-0000-0000-000005000000}"/>
    <cellStyle name="常规 4" xfId="6" xr:uid="{00000000-0005-0000-0000-000006000000}"/>
    <cellStyle name="常规 5" xfId="10" xr:uid="{E3898F13-89B6-4816-B0AC-935B95245CD0}"/>
    <cellStyle name="常规 6" xfId="11" xr:uid="{0850354B-1BA3-4378-82C0-6CD3B0FD3852}"/>
    <cellStyle name="常规 7" xfId="16" xr:uid="{50BE41A1-1281-4A3C-8342-12AC76522953}"/>
    <cellStyle name="常规 7 2" xfId="21" xr:uid="{B76C561F-E452-480A-8C7A-AC7F27AA6E25}"/>
    <cellStyle name="常规 8" xfId="14" xr:uid="{297CA19C-BB25-4F8E-92DA-51DD6E6DD975}"/>
    <cellStyle name="常规 9" xfId="15" xr:uid="{2A6F353F-0C19-4362-80DE-EDD45111B400}"/>
    <cellStyle name="计算" xfId="38" builtinId="22"/>
    <cellStyle name="解释性文本" xfId="39" builtinId="53"/>
    <cellStyle name="千位分隔 2" xfId="8" xr:uid="{2B190FC2-C412-2741-A7F4-56CC9A75725B}"/>
    <cellStyle name="千位分隔 2 2" xfId="20" xr:uid="{5362FCF4-6A73-4C77-B871-723BA16A8AE5}"/>
    <cellStyle name="千位分隔 2 3" xfId="23" xr:uid="{1BB1E9B6-1F8C-41F7-A4F3-33A6E0B767C5}"/>
    <cellStyle name="千位分隔 3" xfId="7" xr:uid="{00000000-0005-0000-0000-000008000000}"/>
    <cellStyle name="千位分隔 3 2" xfId="19" xr:uid="{BA045708-906E-44FB-8E27-37542DCB3AC8}"/>
    <cellStyle name="千位分隔 4" xfId="18" xr:uid="{3C97F6A5-A235-4C7A-AFFD-A326D4ED7259}"/>
    <cellStyle name="千位分隔 5" xfId="29" xr:uid="{4343C6EA-C935-47FE-8C54-7693B4491E73}"/>
    <cellStyle name="千位分隔 6" xfId="32" xr:uid="{46FADC3A-51A3-481F-BF06-2668F4063D95}"/>
    <cellStyle name="千位分隔 7" xfId="35" xr:uid="{8357DEE1-E583-4D04-B5FF-EC422DE23091}"/>
    <cellStyle name="注释" xfId="36" builtinId="10"/>
  </cellStyles>
  <dxfs count="7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auto="1"/>
      </font>
    </dxf>
    <dxf>
      <font>
        <color rgb="FF00B050"/>
      </font>
    </dxf>
    <dxf>
      <font>
        <color rgb="FFC00000"/>
      </font>
    </dxf>
    <dxf>
      <font>
        <color theme="1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auto="1"/>
      </font>
    </dxf>
    <dxf>
      <font>
        <color rgb="FF00B050"/>
      </font>
    </dxf>
    <dxf>
      <font>
        <color rgb="FFC00000"/>
      </font>
    </dxf>
    <dxf>
      <font>
        <color theme="1"/>
      </font>
    </dxf>
    <dxf>
      <font>
        <color auto="1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theme="1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theme="1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rgb="FFC00000"/>
      </font>
    </dxf>
    <dxf>
      <font>
        <color auto="1"/>
      </font>
    </dxf>
    <dxf>
      <font>
        <color rgb="FF00B050"/>
      </font>
    </dxf>
    <dxf>
      <font>
        <color rgb="FFC00000"/>
      </font>
    </dxf>
    <dxf>
      <font>
        <color auto="1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auto="1"/>
      </font>
    </dxf>
    <dxf>
      <font>
        <color rgb="FFC00000"/>
      </font>
    </dxf>
    <dxf>
      <font>
        <color auto="1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auto="1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rgb="FF00B050"/>
      </font>
    </dxf>
    <dxf>
      <font>
        <color auto="1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auto="1"/>
      </font>
    </dxf>
    <dxf>
      <font>
        <color rgb="FFC00000"/>
      </font>
    </dxf>
    <dxf>
      <font>
        <color auto="1"/>
      </font>
    </dxf>
    <dxf>
      <font>
        <color rgb="FF00B050"/>
      </font>
    </dxf>
    <dxf>
      <font>
        <color rgb="FFC00000"/>
      </font>
    </dxf>
    <dxf>
      <font>
        <color auto="1"/>
      </font>
    </dxf>
    <dxf>
      <font>
        <color rgb="FF00B050"/>
      </font>
    </dxf>
    <dxf>
      <font>
        <color auto="1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rgb="FF00B050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theme="1"/>
      </font>
    </dxf>
    <dxf>
      <font>
        <color rgb="FFC00000"/>
      </font>
    </dxf>
    <dxf>
      <font>
        <color rgb="FF00B050"/>
      </font>
    </dxf>
    <dxf>
      <font>
        <color theme="1"/>
      </font>
    </dxf>
    <dxf>
      <font>
        <color rgb="FFC00000"/>
      </font>
    </dxf>
    <dxf>
      <font>
        <color rgb="FF00B050"/>
      </font>
    </dxf>
    <dxf>
      <font>
        <color theme="1"/>
      </font>
    </dxf>
    <dxf>
      <font>
        <color rgb="FFC00000"/>
      </font>
    </dxf>
    <dxf>
      <font>
        <color rgb="FF00B050"/>
      </font>
    </dxf>
    <dxf>
      <font>
        <color theme="1"/>
      </font>
    </dxf>
    <dxf>
      <font>
        <color rgb="FFC00000"/>
      </font>
    </dxf>
    <dxf>
      <font>
        <color rgb="FF00B050"/>
      </font>
    </dxf>
    <dxf>
      <font>
        <color theme="1"/>
      </font>
    </dxf>
    <dxf>
      <font>
        <color rgb="FFC00000"/>
      </font>
    </dxf>
    <dxf>
      <font>
        <color rgb="FF00B050"/>
      </font>
    </dxf>
    <dxf>
      <font>
        <color theme="1"/>
      </font>
    </dxf>
    <dxf>
      <font>
        <color rgb="FFC00000"/>
      </font>
    </dxf>
    <dxf>
      <font>
        <color rgb="FF00B050"/>
      </font>
    </dxf>
    <dxf>
      <font>
        <color rgb="FFC00000"/>
      </font>
    </dxf>
    <dxf>
      <font>
        <color rgb="FF00B050"/>
      </font>
    </dxf>
    <dxf>
      <font>
        <color auto="1"/>
      </font>
    </dxf>
    <dxf>
      <font>
        <color rgb="FF00B050"/>
      </font>
    </dxf>
    <dxf>
      <font>
        <color rgb="FFC00000"/>
      </font>
    </dxf>
    <dxf>
      <font>
        <color auto="1"/>
      </font>
    </dxf>
    <dxf>
      <font>
        <b/>
        <i val="0"/>
        <color rgb="FF00B050"/>
      </font>
    </dxf>
    <dxf>
      <font>
        <b/>
        <i val="0"/>
        <color auto="1"/>
      </font>
    </dxf>
    <dxf>
      <font>
        <b/>
        <i val="0"/>
        <color rgb="FFC00000"/>
      </font>
    </dxf>
    <dxf>
      <font>
        <b/>
        <i val="0"/>
        <color rgb="FF00B050"/>
      </font>
    </dxf>
    <dxf>
      <font>
        <b/>
        <i val="0"/>
        <color auto="1"/>
      </font>
    </dxf>
    <dxf>
      <font>
        <b/>
        <i val="0"/>
        <color rgb="FFC00000"/>
      </font>
    </dxf>
    <dxf>
      <numFmt numFmtId="176" formatCode="#,##0_ "/>
    </dxf>
    <dxf>
      <numFmt numFmtId="176" formatCode="#,##0_ "/>
    </dxf>
    <dxf>
      <numFmt numFmtId="176" formatCode="#,##0_ 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numFmt numFmtId="13" formatCode="0%"/>
    </dxf>
    <dxf>
      <numFmt numFmtId="176" formatCode="#,##0_ "/>
    </dxf>
    <dxf>
      <numFmt numFmtId="176" formatCode="#,##0_ "/>
    </dxf>
    <dxf>
      <numFmt numFmtId="176" formatCode="#,##0_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numFmt numFmtId="176" formatCode="#,##0_ "/>
    </dxf>
    <dxf>
      <numFmt numFmtId="176" formatCode="#,##0_ "/>
    </dxf>
    <dxf>
      <numFmt numFmtId="176" formatCode="#,##0_ "/>
    </dxf>
    <dxf>
      <fill>
        <patternFill patternType="solid">
          <bgColor theme="0" tint="-0.14999847407452621"/>
        </patternFill>
      </fill>
    </dxf>
    <dxf>
      <fill>
        <patternFill patternType="solid">
          <bgColor theme="4" tint="0.59999389629810485"/>
        </patternFill>
      </fill>
    </dxf>
    <dxf>
      <fill>
        <patternFill patternType="solid"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78" formatCode="0,&quot;K&quot;"/>
    </dxf>
    <dxf>
      <numFmt numFmtId="13" formatCode="0%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numFmt numFmtId="14" formatCode="0.00%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13" formatCode="0%"/>
    </dxf>
    <dxf>
      <numFmt numFmtId="180" formatCode="0,\K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numFmt numFmtId="14" formatCode="0.00%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13" formatCode="0%"/>
    </dxf>
    <dxf>
      <numFmt numFmtId="180" formatCode="0,\K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z val="10"/>
        <charset val="134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z val="1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83" formatCode="0.0,&quot;K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83" formatCode="0.0,&quot;K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85" formatCode="#,##0.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83" formatCode="0.0,&quot;K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83" formatCode="0.0,&quot;K&quot;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2" formatCode="mmm\-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border outline="0">
        <top style="medium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85" formatCode="#,##0.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2" formatCode="mmm\-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border outline="0">
        <top style="medium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85" formatCode="#,##0.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2" formatCode="mmm\-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border outline="0">
        <top style="medium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85" formatCode="#,##0.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2" formatCode="mmm\-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border outline="0">
        <top style="medium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85" formatCode="#,##0.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2" formatCode="mmm\-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border outline="0">
        <top style="medium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85" formatCode="#,##0.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2" formatCode="mmm\-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border outline="0">
        <top style="medium">
          <color auto="1"/>
        </top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85" formatCode="#,##0.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2" formatCode="mmm\-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border outline="0">
        <top style="medium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85" formatCode="#,##0.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2" formatCode="mmm\-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border outline="0">
        <top style="medium">
          <color auto="1"/>
        </top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85" formatCode="#,##0.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2" formatCode="mmm\-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border outline="0">
        <top style="medium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85" formatCode="#,##0.0_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85" formatCode="#,##0.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76" formatCode="#,##0_ 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2" formatCode="mmm\-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1"/>
    </dxf>
    <dxf>
      <border outline="0">
        <top style="medium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9" formatCode="yyyy/m/d"/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  <dxf>
      <font>
        <b val="0"/>
        <i val="0"/>
        <sz val="8"/>
        <color rgb="FF0070C0"/>
        <name val="Microsoft YaHei Light"/>
        <family val="2"/>
        <charset val="134"/>
        <scheme val="none"/>
      </font>
      <border>
        <vertical/>
        <horizontal/>
      </border>
    </dxf>
    <dxf>
      <font>
        <sz val="8"/>
        <color theme="1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8" tint="0.79998168889431442"/>
          <bgColor theme="8" tint="0.79998168889431442"/>
        </patternFill>
      </fill>
    </dxf>
    <dxf>
      <font>
        <b/>
        <i val="0"/>
      </font>
    </dxf>
    <dxf>
      <font>
        <b/>
        <color theme="1"/>
      </font>
      <fill>
        <patternFill>
          <bgColor theme="4" tint="0.79998168889431442"/>
        </patternFill>
      </fill>
    </dxf>
    <dxf>
      <font>
        <b/>
        <color theme="1"/>
      </font>
      <fill>
        <patternFill patternType="solid">
          <fgColor theme="8" tint="0.59999389629810485"/>
          <bgColor theme="8" tint="0.59999389629810485"/>
        </patternFill>
      </fill>
    </dxf>
    <dxf>
      <font>
        <b/>
        <color theme="1"/>
      </font>
      <border>
        <left style="medium">
          <color theme="8" tint="0.59999389629810485"/>
        </left>
        <right style="medium">
          <color theme="8" tint="0.59999389629810485"/>
        </right>
        <top style="medium">
          <color theme="8" tint="0.59999389629810485"/>
        </top>
        <bottom style="medium">
          <color theme="8" tint="0.59999389629810485"/>
        </bottom>
      </border>
    </dxf>
    <dxf>
      <border>
        <left style="thin">
          <color theme="8" tint="0.39997558519241921"/>
        </left>
        <right style="thin">
          <color theme="8" tint="0.39997558519241921"/>
        </right>
      </border>
    </dxf>
    <dxf>
      <border>
        <top style="thin">
          <color theme="8" tint="0.39997558519241921"/>
        </top>
        <bottom style="thin">
          <color theme="8" tint="0.39997558519241921"/>
        </bottom>
        <horizontal style="thin">
          <color theme="8" tint="0.39997558519241921"/>
        </horizontal>
      </border>
    </dxf>
    <dxf>
      <font>
        <b/>
        <i val="0"/>
      </font>
    </dxf>
    <dxf>
      <font>
        <b/>
        <color theme="1"/>
      </font>
      <border>
        <top style="thin">
          <color theme="8" tint="-0.249977111117893"/>
        </top>
        <bottom style="medium">
          <color theme="8" tint="-0.249977111117893"/>
        </bottom>
      </border>
    </dxf>
    <dxf>
      <font>
        <b/>
        <color theme="0"/>
      </font>
      <fill>
        <patternFill patternType="solid">
          <fgColor theme="8"/>
          <bgColor theme="8"/>
        </patternFill>
      </fill>
      <border>
        <top style="medium">
          <color theme="8" tint="-0.249977111117893"/>
        </top>
      </border>
    </dxf>
    <dxf>
      <font>
        <color theme="1"/>
      </font>
    </dxf>
  </dxfs>
  <tableStyles count="3" defaultTableStyle="TableStyleMedium2" defaultPivotStyle="PivotStyleLight16">
    <tableStyle name="PivotStyleMedium13 2" table="0" count="14" xr9:uid="{CB5C8F0B-4EE8-4721-BC01-7F441E69BE5D}">
      <tableStyleElement type="wholeTable" dxfId="786"/>
      <tableStyleElement type="headerRow" dxfId="785"/>
      <tableStyleElement type="totalRow" dxfId="784"/>
      <tableStyleElement type="firstColumn" dxfId="783"/>
      <tableStyleElement type="firstRowStripe" dxfId="782"/>
      <tableStyleElement type="firstColumnStripe" dxfId="781"/>
      <tableStyleElement type="firstSubtotalColumn" dxfId="780"/>
      <tableStyleElement type="firstSubtotalRow" dxfId="779"/>
      <tableStyleElement type="secondSubtotalRow" dxfId="778"/>
      <tableStyleElement type="thirdSubtotalRow" dxfId="777"/>
      <tableStyleElement type="firstRowSubheading" dxfId="776"/>
      <tableStyleElement type="secondRowSubheading" dxfId="775"/>
      <tableStyleElement type="pageFieldLabels" dxfId="774"/>
      <tableStyleElement type="pageFieldValues" dxfId="773"/>
    </tableStyle>
    <tableStyle name="TimeSlicerStyleDark1 2" pivot="0" table="0" count="9" xr9:uid="{B7957C42-BDAE-4283-953B-F93679B593B3}">
      <tableStyleElement type="wholeTable" dxfId="772"/>
      <tableStyleElement type="headerRow" dxfId="771"/>
    </tableStyle>
    <tableStyle name="扁平的数据透视样式" table="0" count="3" xr9:uid="{FCBBAF5C-0B6E-4363-A2A3-7938F865D25D}">
      <tableStyleElement type="headerRow" dxfId="770"/>
      <tableStyleElement type="totalRow" dxfId="769"/>
      <tableStyleElement type="secondRowStripe" dxfId="768"/>
    </tableStyle>
  </tableStyles>
  <colors>
    <mruColors>
      <color rgb="FF388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/>
              </stop>
              <stop position="1">
                <color theme="4" tint="-0.499984740745262"/>
              </stop>
            </gradientFill>
          </fill>
          <border>
            <vertical/>
            <horizontal/>
          </border>
        </dxf>
        <dxf>
          <font>
            <sz val="8"/>
            <color theme="1" tint="0.499984740745262"/>
            <name val="Arial"/>
            <family val="2"/>
          </font>
          <border>
            <left/>
            <right/>
            <top/>
            <bottom/>
            <vertical/>
            <horizontal/>
          </border>
        </dxf>
        <dxf>
          <font>
            <sz val="8"/>
            <color theme="1" tint="0.499984740745262"/>
            <name val="Arial"/>
            <family val="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8"/>
            <color theme="8"/>
            <name val="Arial"/>
            <family val="2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4.xml"/><Relationship Id="rId117" Type="http://schemas.openxmlformats.org/officeDocument/2006/relationships/customXml" Target="../customXml/item35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25.xml"/><Relationship Id="rId63" Type="http://schemas.openxmlformats.org/officeDocument/2006/relationships/externalLink" Target="externalLinks/externalLink41.xml"/><Relationship Id="rId68" Type="http://schemas.openxmlformats.org/officeDocument/2006/relationships/pivotCacheDefinition" Target="pivotCache/pivotCacheDefinition2.xml"/><Relationship Id="rId84" Type="http://schemas.openxmlformats.org/officeDocument/2006/relationships/customXml" Target="../customXml/item2.xml"/><Relationship Id="rId89" Type="http://schemas.openxmlformats.org/officeDocument/2006/relationships/customXml" Target="../customXml/item7.xml"/><Relationship Id="rId112" Type="http://schemas.openxmlformats.org/officeDocument/2006/relationships/customXml" Target="../customXml/item30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5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36.xml"/><Relationship Id="rId74" Type="http://schemas.openxmlformats.org/officeDocument/2006/relationships/pivotCacheDefinition" Target="pivotCache/pivotCacheDefinition8.xml"/><Relationship Id="rId79" Type="http://schemas.openxmlformats.org/officeDocument/2006/relationships/sharedStrings" Target="sharedStrings.xml"/><Relationship Id="rId102" Type="http://schemas.openxmlformats.org/officeDocument/2006/relationships/customXml" Target="../customXml/item20.xml"/><Relationship Id="rId123" Type="http://schemas.openxmlformats.org/officeDocument/2006/relationships/customXml" Target="../customXml/item41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8.xml"/><Relationship Id="rId95" Type="http://schemas.openxmlformats.org/officeDocument/2006/relationships/customXml" Target="../customXml/item13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43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6.xml"/><Relationship Id="rId64" Type="http://schemas.openxmlformats.org/officeDocument/2006/relationships/externalLink" Target="externalLinks/externalLink42.xml"/><Relationship Id="rId69" Type="http://schemas.openxmlformats.org/officeDocument/2006/relationships/pivotCacheDefinition" Target="pivotCache/pivotCacheDefinition3.xml"/><Relationship Id="rId113" Type="http://schemas.openxmlformats.org/officeDocument/2006/relationships/customXml" Target="../customXml/item31.xml"/><Relationship Id="rId118" Type="http://schemas.openxmlformats.org/officeDocument/2006/relationships/customXml" Target="../customXml/item36.xml"/><Relationship Id="rId80" Type="http://schemas.openxmlformats.org/officeDocument/2006/relationships/sheetMetadata" Target="metadata.xml"/><Relationship Id="rId85" Type="http://schemas.openxmlformats.org/officeDocument/2006/relationships/customXml" Target="../customXml/item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59" Type="http://schemas.openxmlformats.org/officeDocument/2006/relationships/externalLink" Target="externalLinks/externalLink37.xml"/><Relationship Id="rId103" Type="http://schemas.openxmlformats.org/officeDocument/2006/relationships/customXml" Target="../customXml/item21.xml"/><Relationship Id="rId108" Type="http://schemas.openxmlformats.org/officeDocument/2006/relationships/customXml" Target="../customXml/item26.xml"/><Relationship Id="rId124" Type="http://schemas.openxmlformats.org/officeDocument/2006/relationships/customXml" Target="../customXml/item42.xml"/><Relationship Id="rId54" Type="http://schemas.openxmlformats.org/officeDocument/2006/relationships/externalLink" Target="externalLinks/externalLink32.xml"/><Relationship Id="rId70" Type="http://schemas.openxmlformats.org/officeDocument/2006/relationships/pivotCacheDefinition" Target="pivotCache/pivotCacheDefinition4.xml"/><Relationship Id="rId75" Type="http://schemas.openxmlformats.org/officeDocument/2006/relationships/pivotCacheDefinition" Target="pivotCache/pivotCacheDefinition9.xml"/><Relationship Id="rId91" Type="http://schemas.openxmlformats.org/officeDocument/2006/relationships/customXml" Target="../customXml/item9.xml"/><Relationship Id="rId96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49" Type="http://schemas.openxmlformats.org/officeDocument/2006/relationships/externalLink" Target="externalLinks/externalLink27.xml"/><Relationship Id="rId114" Type="http://schemas.openxmlformats.org/officeDocument/2006/relationships/customXml" Target="../customXml/item32.xml"/><Relationship Id="rId119" Type="http://schemas.openxmlformats.org/officeDocument/2006/relationships/customXml" Target="../customXml/item37.xml"/><Relationship Id="rId44" Type="http://schemas.openxmlformats.org/officeDocument/2006/relationships/externalLink" Target="externalLinks/externalLink22.xml"/><Relationship Id="rId60" Type="http://schemas.openxmlformats.org/officeDocument/2006/relationships/externalLink" Target="externalLinks/externalLink38.xml"/><Relationship Id="rId65" Type="http://schemas.openxmlformats.org/officeDocument/2006/relationships/externalLink" Target="externalLinks/externalLink43.xml"/><Relationship Id="rId81" Type="http://schemas.openxmlformats.org/officeDocument/2006/relationships/powerPivotData" Target="model/item.data"/><Relationship Id="rId86" Type="http://schemas.openxmlformats.org/officeDocument/2006/relationships/customXml" Target="../customXml/item4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7.xml"/><Relationship Id="rId109" Type="http://schemas.openxmlformats.org/officeDocument/2006/relationships/customXml" Target="../customXml/item27.xml"/><Relationship Id="rId34" Type="http://schemas.openxmlformats.org/officeDocument/2006/relationships/externalLink" Target="externalLinks/externalLink12.xml"/><Relationship Id="rId50" Type="http://schemas.openxmlformats.org/officeDocument/2006/relationships/externalLink" Target="externalLinks/externalLink28.xml"/><Relationship Id="rId55" Type="http://schemas.openxmlformats.org/officeDocument/2006/relationships/externalLink" Target="externalLinks/externalLink33.xml"/><Relationship Id="rId76" Type="http://schemas.openxmlformats.org/officeDocument/2006/relationships/theme" Target="theme/theme1.xml"/><Relationship Id="rId97" Type="http://schemas.openxmlformats.org/officeDocument/2006/relationships/customXml" Target="../customXml/item15.xml"/><Relationship Id="rId104" Type="http://schemas.openxmlformats.org/officeDocument/2006/relationships/customXml" Target="../customXml/item22.xml"/><Relationship Id="rId120" Type="http://schemas.openxmlformats.org/officeDocument/2006/relationships/customXml" Target="../customXml/item38.xml"/><Relationship Id="rId125" Type="http://schemas.openxmlformats.org/officeDocument/2006/relationships/customXml" Target="../customXml/item43.xml"/><Relationship Id="rId7" Type="http://schemas.openxmlformats.org/officeDocument/2006/relationships/worksheet" Target="worksheets/sheet7.xml"/><Relationship Id="rId71" Type="http://schemas.openxmlformats.org/officeDocument/2006/relationships/pivotCacheDefinition" Target="pivotCache/pivotCacheDefinition5.xml"/><Relationship Id="rId92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66" Type="http://schemas.openxmlformats.org/officeDocument/2006/relationships/externalLink" Target="externalLinks/externalLink44.xml"/><Relationship Id="rId87" Type="http://schemas.openxmlformats.org/officeDocument/2006/relationships/customXml" Target="../customXml/item5.xml"/><Relationship Id="rId110" Type="http://schemas.openxmlformats.org/officeDocument/2006/relationships/customXml" Target="../customXml/item28.xml"/><Relationship Id="rId115" Type="http://schemas.openxmlformats.org/officeDocument/2006/relationships/customXml" Target="../customXml/item33.xml"/><Relationship Id="rId61" Type="http://schemas.openxmlformats.org/officeDocument/2006/relationships/externalLink" Target="externalLinks/externalLink39.xml"/><Relationship Id="rId82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56" Type="http://schemas.openxmlformats.org/officeDocument/2006/relationships/externalLink" Target="externalLinks/externalLink34.xml"/><Relationship Id="rId77" Type="http://schemas.openxmlformats.org/officeDocument/2006/relationships/connections" Target="connections.xml"/><Relationship Id="rId100" Type="http://schemas.openxmlformats.org/officeDocument/2006/relationships/customXml" Target="../customXml/item18.xml"/><Relationship Id="rId105" Type="http://schemas.openxmlformats.org/officeDocument/2006/relationships/customXml" Target="../customXml/item23.xml"/><Relationship Id="rId126" Type="http://schemas.microsoft.com/office/2023/09/relationships/Python" Target="pytho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9.xml"/><Relationship Id="rId72" Type="http://schemas.openxmlformats.org/officeDocument/2006/relationships/pivotCacheDefinition" Target="pivotCache/pivotCacheDefinition6.xml"/><Relationship Id="rId93" Type="http://schemas.openxmlformats.org/officeDocument/2006/relationships/customXml" Target="../customXml/item11.xml"/><Relationship Id="rId98" Type="http://schemas.openxmlformats.org/officeDocument/2006/relationships/customXml" Target="../customXml/item16.xml"/><Relationship Id="rId121" Type="http://schemas.openxmlformats.org/officeDocument/2006/relationships/customXml" Target="../customXml/item39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3.xml"/><Relationship Id="rId46" Type="http://schemas.openxmlformats.org/officeDocument/2006/relationships/externalLink" Target="externalLinks/externalLink24.xml"/><Relationship Id="rId67" Type="http://schemas.openxmlformats.org/officeDocument/2006/relationships/pivotCacheDefinition" Target="pivotCache/pivotCacheDefinition1.xml"/><Relationship Id="rId116" Type="http://schemas.openxmlformats.org/officeDocument/2006/relationships/customXml" Target="../customXml/item34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62" Type="http://schemas.openxmlformats.org/officeDocument/2006/relationships/externalLink" Target="externalLinks/externalLink40.xml"/><Relationship Id="rId83" Type="http://schemas.openxmlformats.org/officeDocument/2006/relationships/customXml" Target="../customXml/item1.xml"/><Relationship Id="rId88" Type="http://schemas.openxmlformats.org/officeDocument/2006/relationships/customXml" Target="../customXml/item6.xml"/><Relationship Id="rId111" Type="http://schemas.openxmlformats.org/officeDocument/2006/relationships/customXml" Target="../customXml/item29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4.xml"/><Relationship Id="rId57" Type="http://schemas.openxmlformats.org/officeDocument/2006/relationships/externalLink" Target="externalLinks/externalLink35.xml"/><Relationship Id="rId106" Type="http://schemas.openxmlformats.org/officeDocument/2006/relationships/customXml" Target="../customXml/item24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9.xml"/><Relationship Id="rId52" Type="http://schemas.openxmlformats.org/officeDocument/2006/relationships/externalLink" Target="externalLinks/externalLink30.xml"/><Relationship Id="rId73" Type="http://schemas.openxmlformats.org/officeDocument/2006/relationships/pivotCacheDefinition" Target="pivotCache/pivotCacheDefinition7.xml"/><Relationship Id="rId78" Type="http://schemas.openxmlformats.org/officeDocument/2006/relationships/styles" Target="styles.xml"/><Relationship Id="rId94" Type="http://schemas.openxmlformats.org/officeDocument/2006/relationships/customXml" Target="../customXml/item12.xml"/><Relationship Id="rId99" Type="http://schemas.openxmlformats.org/officeDocument/2006/relationships/customXml" Target="../customXml/item17.xml"/><Relationship Id="rId101" Type="http://schemas.openxmlformats.org/officeDocument/2006/relationships/customXml" Target="../customXml/item19.xml"/><Relationship Id="rId122" Type="http://schemas.openxmlformats.org/officeDocument/2006/relationships/customXml" Target="../customXml/item4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392</xdr:row>
          <xdr:rowOff>88900</xdr:rowOff>
        </xdr:from>
        <xdr:to>
          <xdr:col>2</xdr:col>
          <xdr:colOff>1479550</xdr:colOff>
          <xdr:row>399</xdr:row>
          <xdr:rowOff>31750</xdr:rowOff>
        </xdr:to>
        <xdr:sp macro="" textlink="">
          <xdr:nvSpPr>
            <xdr:cNvPr id="11265" name="Control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C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E550085\INFL2R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557F1CA\CS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5.151\&#21830;&#19994;&#26234;&#33021;&#37096;\&#38632;&#20037;\&#29590;&#29081;&#24215;&#38138;\&#21830;&#21697;&#31471;&#30456;&#20851;\&#21830;&#21697;&#24635;&#34920;\&#29590;&#29081;&#24215;&#38138;&#21830;&#21697;&#24635;&#34920;-101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CD1E3F0\PLAN%20de%20PRODNuevo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anda\Desktop\192.168.0.73\bottega%20veneta\Users\Sushi.Chen.AD\Desktop\QIXI\SP\NEWS\Longines%20%202016%20%20Love%20Campaign%20Spotplan-Toutiao-2016070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anda\Desktop\APM\Y-&#36816;&#33829;\&#21608;&#25253;\192.168.0.73\bottega%20veneta\Users\eagle.gao\Desktop\Belluna%20Poposal\PPTV%20MIDO&#25490;&#26399;12.1-12.3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wanglaiyan\Desktop\tom\Monki\10%20&#25968;&#25454;&#25910;&#38598;\2020&#24180;10&#26376;\10&#26376;27&#26085;\&#36141;&#29289;&#37329;&#20805;&#20540;&#26126;&#32454;-v5-1026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anda\Desktop\192.168.0.73\bottega%20veneta\Users\Sushi.Chen.AD\Desktop\QIXI\SP\NEWS\Longines%20%202016%20Love%20Campaign%20Spotplan-Tencent%20News%20APP-20160704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bqhome\AppData\Local\Temp\360zip$Temp\360$0\BusinessPlanner_Demo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E86BA4\2021%20(4.14)%20Paid-Media%20Tracking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E86BA4\2021%20Paid-Media%20Overview%205.7(2)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E86BA4\2021%20(4.15)%20Paid%20Media%20Tracking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B50AC5\&#20248;&#24800;&#21048;&#27169;&#26495;1214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anda\Desktop\192.168.0.73\bottega%20veneta\Users\eagle.gao\Desktop\Belluna%20Poposal\mido%20SP%2020151027-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B50AC5\&#21103;&#26412;&#20170;&#26085;&#22836;&#26465;-TISSOT0714-SP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DA6D4E8\Inventory_n_Supply_OR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4F7D355\6IXTY8IGHT11.11%20%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chriszhao\Desktop\bal%20&#21608;&#25253;\G:\Users\bqhome\AppData\Local\Temp\360zip$Temp\360$0\BusinessPlanner_Dem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anda\Desktop\192.168.15.151\&#21830;&#19994;&#26234;&#33021;&#37096;\10\Program%20Files\Tencent\QQ\Users\283243705\FileRecv\&#24120;&#29992;&#34920;&#26684;\&#21830;&#21697;&#24635;&#34920;\&#24120;&#29992;&#34920;&#26684;\&#21830;&#21697;&#24635;&#34920;&#26356;&#26032;\&#30005;&#21830;\12&#26376;\&#26356;&#26032;&#24211;&#23384;&#25968;0108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0.73\bottega%20veneta\Users\Sushi.Chen.AD\Desktop\QIXI\SP\NEWS\Longines%20%202016%20%20Love%20Campaign%20Spotplan-Toutiao-20160705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3\bottega%20veneta\Users\tiantian.cheng\Desktop\&#21103;&#26412;&#20170;&#26085;&#22836;&#26465;-TISSOT0714-S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3\bottega%20veneta\Users\eagle.gao\Desktop\Belluna%20Poposal\PPTV%20MIDO&#25490;&#26399;12.1-12.31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3\bottega%20veneta\D\MEC%20Interaction\Interaction%20SH\Finnair\2010\7.Local%20Hero\2.Media%20Plan\Finnair%20Q4%20Local%20Hero%20plan%20Internet%20(USD)%20201010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2CE59B8\CPEXPER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3190210\Warm%20&amp;%20Cozy%20829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3\bottega%20veneta\Users\Sushi.Chen.AD\Desktop\QIXI\SP\NEWS\Longines%20%202016%20%20Love%20Campaign%20Spotplan-Toutiao-2016070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pple\Downloads\apm&#22825;&#29483;%202022&#24180;%20(3&#26376;&#31532;2&#21608;&#65289;2022203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3\bottega%20veneta\Users\Sushi.Chen.AD\Desktop\QIXI\SP\NEWS\Longines%20%202016%20Love%20Campaign%20Spotplan-Tencent%20News%20APP-20160704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mon.fang/Desktop/&#33109;&#34920;&#20998;&#20139;&#25968;&#25454;/&#22899;&#35013;&#24066;&#22330;&#22823;&#30424;&#26376;&#25253;2021&#24180;2&#26376;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anda\Desktop\192.168.15.151\&#21830;&#19994;&#26234;&#33021;&#37096;\&#38632;&#20037;\&#29590;&#29081;&#24215;&#38138;\&#21830;&#21697;&#31471;&#30456;&#20851;\&#21830;&#21697;&#24635;&#34920;\&#29590;&#29081;&#24215;&#38138;&#21830;&#21697;&#24635;&#34920;-101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75EC2D9\COMMRO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mes.lv\Desktop\&#21345;&#22320;&#20122;&#21608;&#25253;\&#21697;&#29260;\Cartier-&#21452;11&#29616;&#36135;&#25968;&#25454;&#36319;&#36394;-11.12(1)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\Documents%20and%20Settings\Administrator\Local%20Settings\Temporary%20Internet%20Files\Content.Outlook\01Q1DCPI\10-21&#31454;&#20105;&#23545;&#25163;&#26085;&#25253;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wanglaiyan\Desktop\tom\Monki\10%20&#25968;&#25454;&#25910;&#38598;\2020&#24180;10&#26376;\10&#26376;21&#26085;\MONKI&#23448;&#26041;&#26071;&#33328;&#24215;&#21452;11&#27491;&#24335;&#25968;&#25454;&#36319;&#36394;&#65288;2019&#65289;1111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qingmu-394\Documents\Tencent%20Files\591690585\FileRecv\2017&#24180;&#24230;&#34892;&#19994;&#36235;&#21183;_v3_20180131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5A7BA34\Doors%20Per%20MRO%20LIST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chriszhao\Desktop\bal%20&#21608;&#25253;\Y:\KiplingHK\Asia%20Product\SS15\SPF15\SPF15%20Linelist\SPF15%20LL%2020141010%20(from%20Hasnae)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73\bottega%20veneta\Users\eagle.gao\Desktop\Belluna%20Poposal\mido%20SP%2020151027-1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r-ssn-fps01\Documents%20and%20Settings\mshim\Desktop\&#47196;&#46972;%20&#54028;&#51068;_3\AVEDA\Monthly%20Report\FY14\Dec\AV_KR_Monthly%20Report_FY14_Dec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5.151\&#21830;&#19994;&#26234;&#33021;&#37096;\10\Program%20Files\Tencent\QQ\Users\283243705\FileRecv\&#24120;&#29992;&#34920;&#26684;\&#21830;&#21697;&#24635;&#34920;\&#24120;&#29992;&#34920;&#26684;\&#21830;&#21697;&#24635;&#34920;&#26356;&#26032;\&#30005;&#21830;\12&#26376;\&#26356;&#26032;&#24211;&#23384;&#25968;01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5.151\&#21830;&#19994;&#26234;&#33021;&#37096;\Users\qingmupc0035\AppData\Roaming\Microsoft\Excel\RecoveredExternalLink1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4F7D355\&#29976;&#29305;&#39033;&#30446;&#35268;&#21010;&#22120;1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m024027\Desktop\DTC&#38144;&#21806;&#20998;&#26512;&#27169;&#26495;.xlsx" TargetMode="External"/><Relationship Id="rId1" Type="http://schemas.openxmlformats.org/officeDocument/2006/relationships/externalLinkPath" Target="file:///C:\Users\jm024027\Desktop\DTC&#38144;&#21806;&#20998;&#26512;&#27169;&#2649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=28%"/>
      <sheetName val="INFLOB98"/>
      <sheetName val="INFL2RF98"/>
      <sheetName val="INFLATION"/>
      <sheetName val="infl trend"/>
      <sheetName val="TASAS"/>
      <sheetName val="W CONV"/>
      <sheetName val="WO CONV"/>
      <sheetName val="Graph"/>
      <sheetName val="SMG&amp;A - Input Local Currency"/>
      <sheetName val="SMG&amp;A Calculated US$"/>
      <sheetName val="KFT Format"/>
      <sheetName val="Instr"/>
      <sheetName val="FINALPHP"/>
      <sheetName val="Cover Sheet"/>
      <sheetName val="PARAMETERS"/>
      <sheetName val="REST_DEC"/>
      <sheetName val="BY TYPE"/>
      <sheetName val="INFL2RF"/>
      <sheetName val="Synthèse"/>
      <sheetName val="KI600"/>
      <sheetName val="HagR&amp;G"/>
      <sheetName val="OTR.CRED."/>
      <sheetName val="list"/>
      <sheetName val="R$_GER"/>
      <sheetName val="Sheet3"/>
      <sheetName val="Listen"/>
      <sheetName val="L&amp;S Project input"/>
      <sheetName val="#REF"/>
      <sheetName val="Base dropdown"/>
      <sheetName val="UsgRA2"/>
      <sheetName val="Sheet1"/>
      <sheetName val="ACT02"/>
      <sheetName val="L Y "/>
      <sheetName val="infl_trend"/>
      <sheetName val="W_CONV"/>
      <sheetName val="WO_CONV"/>
      <sheetName val="SMG&amp;A_-_Input_Local_Currency"/>
      <sheetName val="SMG&amp;A_Calculated_US$"/>
      <sheetName val="KFT_Format"/>
      <sheetName val="Cover_Sheet"/>
      <sheetName val="BY_TYPE"/>
      <sheetName val="OTR_CRED_"/>
      <sheetName val="L&amp;S_Project_input"/>
      <sheetName val="Base_dropdown"/>
      <sheetName val="Horno 2"/>
      <sheetName val="MD"/>
      <sheetName val="legend"/>
      <sheetName val="Instructions"/>
      <sheetName val="mapping"/>
      <sheetName val="Lists"/>
      <sheetName val="Per_ac"/>
      <sheetName val="Keys"/>
      <sheetName val="Sheet4"/>
      <sheetName val="TAB_AUX"/>
      <sheetName val="Tab 3 - Exchange Rate"/>
      <sheetName val="Maestro"/>
      <sheetName val="Tabulador MDO"/>
      <sheetName val="data validation"/>
      <sheetName val="Drop-Down lists"/>
      <sheetName val="instrument"/>
      <sheetName val="JULY VOLT REVIEW"/>
      <sheetName val="2000"/>
      <sheetName val="f3"/>
      <sheetName val="infl_trend1"/>
      <sheetName val="W_CONV1"/>
      <sheetName val="WO_CONV1"/>
      <sheetName val="SMG&amp;A_-_Input_Local_Currency1"/>
      <sheetName val="SMG&amp;A_Calculated_US$1"/>
      <sheetName val="KFT_Format1"/>
      <sheetName val="Cover_Sheet1"/>
      <sheetName val="BY_TYPE1"/>
      <sheetName val="OTR_CRED_1"/>
      <sheetName val="L&amp;S_Project_input1"/>
      <sheetName val="Base_dropdown1"/>
      <sheetName val="L_Y_"/>
      <sheetName val="Horno_2"/>
      <sheetName val="Sheet2"/>
      <sheetName val="Master 7-11"/>
      <sheetName val="Programs"/>
      <sheetName val="Lists HIDE"/>
      <sheetName val="Listas desplegables"/>
      <sheetName val="Drop Downs"/>
      <sheetName val="Last Month Data"/>
      <sheetName val="Approval Level map"/>
      <sheetName val="Volumen"/>
      <sheetName val="key"/>
      <sheetName val="Auxiliar"/>
      <sheetName val="Asset Category"/>
      <sheetName val="Upload"/>
      <sheetName val="Materiales"/>
      <sheetName val="SMG&amp;A_-_Input_Locaf_Currency"/>
      <sheetName val="input options"/>
      <sheetName val="Input"/>
      <sheetName val="Validation"/>
      <sheetName val="Tabelle2"/>
      <sheetName val="Master"/>
      <sheetName val="infl_trend2"/>
      <sheetName val="W_CONV2"/>
      <sheetName val="WO_CONV2"/>
      <sheetName val="SMG&amp;A_-_Input_Local_Currency2"/>
      <sheetName val="SMG&amp;A_Calculated_US$2"/>
      <sheetName val="KFT_Format2"/>
      <sheetName val="Cover_Sheet2"/>
      <sheetName val="BY_TYPE2"/>
      <sheetName val="OTR_CRED_2"/>
      <sheetName val="Base_dropdown2"/>
      <sheetName val="L&amp;S_Project_input2"/>
      <sheetName val="L_Y_1"/>
      <sheetName val="Horno_21"/>
      <sheetName val="Tabulador_MDO"/>
      <sheetName val="Tab_3_-_Exchange_Rate"/>
      <sheetName val="data_validation"/>
      <sheetName val="Drop-Down_lists"/>
      <sheetName val="JULY_VOLT_REVIEW"/>
      <sheetName val="Master_7-11"/>
      <sheetName val="Lists_HIDE"/>
      <sheetName val="Listas_desplegables"/>
      <sheetName val="Drop_Downs"/>
      <sheetName val="Base PO"/>
      <sheetName val="Grafica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R.CRED."/>
      <sheetName val="Definition"/>
      <sheetName val="Incremental P&amp;L"/>
      <sheetName val="CXPhas"/>
      <sheetName val="FINALPHP"/>
      <sheetName val="OTR_CRED_"/>
      <sheetName val="Incremental_P&amp;L"/>
      <sheetName val="IBRs"/>
      <sheetName val="HagR&amp;G"/>
      <sheetName val="REST_DEC"/>
      <sheetName val="BY TYPE"/>
      <sheetName val="94RES_D (2)"/>
      <sheetName val="vs. MU3S"/>
      <sheetName val="CSDS"/>
      <sheetName val="CSDS.XLS"/>
      <sheetName val="PDR"/>
      <sheetName val="Inputs"/>
      <sheetName val="BY_TYPE"/>
      <sheetName val="94RES_D_(2)"/>
      <sheetName val="WO CO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.23库存"/>
      <sheetName val="玖熙店铺商品总表-1014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ManodeObraRESUMEN"/>
      <sheetName val="BriefMes"/>
      <sheetName val="Ocupación+TurnosRESUMEN"/>
      <sheetName val="Ocupación+TurnosDetalle"/>
      <sheetName val="MODxLINEA"/>
      <sheetName val="BriefAño"/>
      <sheetName val="DOS"/>
      <sheetName val="Ref"/>
      <sheetName val="PT"/>
      <sheetName val="Targets"/>
      <sheetName val="MOD"/>
      <sheetName val="PLAN de PRODNuevo"/>
      <sheetName val="OTR.CRED."/>
      <sheetName val="ID"/>
      <sheetName val="#REF"/>
      <sheetName val="PDet"/>
      <sheetName val="PLAN_de_PRODNuevo"/>
      <sheetName val="OTR_CRED_"/>
      <sheetName val="Sheet1"/>
      <sheetName val="Sheet2"/>
      <sheetName val="L&amp;S Project input"/>
      <sheetName val="AP per KG (TRF)"/>
      <sheetName val="MCC"/>
      <sheetName val="Worksheet       (PASS WORD 650)"/>
      <sheetName val="key"/>
      <sheetName val="AP_per_KG_(TRF)"/>
      <sheetName val="L&amp;S_Project_input"/>
      <sheetName val="Instructions"/>
      <sheetName val="TSGAR"/>
      <sheetName val="Lists Payroll HIDE"/>
      <sheetName val="FX Rates"/>
      <sheetName val="Control 1998"/>
      <sheetName val="List"/>
      <sheetName val="Keys"/>
      <sheetName val="Worksheet_______(PASS_WORD_650)"/>
      <sheetName val="CP"/>
      <sheetName val="SOV tot"/>
      <sheetName val="Base"/>
      <sheetName val="Lists HIDE"/>
      <sheetName val="Minion Table"/>
      <sheetName val="PLAN_de_PRODNuevo1"/>
      <sheetName val="OTR_CRED_1"/>
      <sheetName val="AP_per_KG_(TRF)1"/>
      <sheetName val="L&amp;S_Project_input1"/>
      <sheetName val="Lists_Payroll_HIDE"/>
      <sheetName val="PLAN_de_PRODNuevo2"/>
      <sheetName val="OTR_CRED_2"/>
      <sheetName val="AP_per_KG_(TRF)2"/>
      <sheetName val="L&amp;S_Project_input2"/>
      <sheetName val="Lists_Payroll_HIDE1"/>
      <sheetName val="Worksheet_______(PASS_WORD_6501"/>
      <sheetName val="Control_1998"/>
      <sheetName val="CTRL"/>
      <sheetName val="Supply Cali"/>
      <sheetName val="Inventories"/>
      <sheetName val="Inventory"/>
      <sheetName val="M-20 (@ Agosto 1999)"/>
      <sheetName val="Sales Aug-20"/>
      <sheetName val="Minion_Table"/>
      <sheetName val="FX_Rat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期表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期表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购物金充值明细"/>
      <sheetName val="数据情况"/>
      <sheetName val="数据透视"/>
      <sheetName val="Sheet5"/>
      <sheetName val="订单明细"/>
      <sheetName val="日期表"/>
      <sheetName val="DB"/>
      <sheetName val="Template"/>
      <sheetName val="RANGES"/>
      <sheetName val="Home"/>
      <sheetName val="Dashboard data"/>
      <sheetName val="P&amp;L (CY Act)"/>
      <sheetName val="P&amp;L (CY Plan)"/>
      <sheetName val="P&amp;L (PY Act)"/>
      <sheetName val="Sales Fc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期表"/>
      <sheetName val="DB"/>
      <sheetName val="购物金充值明细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GES"/>
      <sheetName val="Home"/>
      <sheetName val="Dashboard data"/>
      <sheetName val="Dashboard"/>
      <sheetName val="P&amp;L (CY Plan)"/>
      <sheetName val="P&amp;L (CY Act)"/>
      <sheetName val="P&amp;L (PY Act)"/>
      <sheetName val="P&amp;L (Compare)"/>
      <sheetName val="Balance Sheet"/>
      <sheetName val="Cash Flow"/>
      <sheetName val="Sales Fcst"/>
      <sheetName val="Sales Record"/>
      <sheetName val="Spending Record"/>
      <sheetName val="Invoice"/>
      <sheetName val="Purchase Order "/>
      <sheetName val="Payroll"/>
      <sheetName val="Timesheet"/>
      <sheetName val="Inventory List"/>
      <sheetName val="Expense report"/>
      <sheetName val="Loan Amortization Schedule"/>
      <sheetName val="Contacts"/>
      <sheetName val="x"/>
      <sheetName val="货品分析情况"/>
      <sheetName val="Template"/>
      <sheetName val="Lists"/>
      <sheetName val="Lookup_Table"/>
      <sheetName val="DB"/>
      <sheetName val="PRC-TV (0)"/>
      <sheetName val="cK Jeans - orginal"/>
      <sheetName val="BusinessPlanner_Demo"/>
      <sheetName val="毛衣女"/>
      <sheetName val="Sheet1"/>
      <sheetName val="Sheet3"/>
      <sheetName val="hide"/>
      <sheetName val="Spotplan"/>
      <sheetName val="购物金充值明细"/>
      <sheetName val="Daily"/>
      <sheetName val="流量汇总"/>
      <sheetName val="竞品"/>
      <sheetName val="Database"/>
      <sheetName val="CRITERIA1"/>
      <sheetName val="CRITERIA2"/>
      <sheetName val="CRITERIA3"/>
      <sheetName val="CRITERIA4"/>
      <sheetName val="name"/>
      <sheetName val="City list"/>
      <sheetName val="AcqShares"/>
      <sheetName val="Assumptions"/>
      <sheetName val="TgtShares"/>
      <sheetName val="日期表"/>
      <sheetName val="9.23库存"/>
      <sheetName val="Mobile Data"/>
      <sheetName val="drop down boxes"/>
      <sheetName val="21 Top Worst Stores"/>
      <sheetName val="Input"/>
      <sheetName val="9 Net Sales Retail LFL"/>
      <sheetName val="공문"/>
      <sheetName val="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投放Tracking--4.13"/>
      <sheetName val="Overview "/>
      <sheetName val="商品层级"/>
      <sheetName val="商品品类"/>
      <sheetName val="品类筛选"/>
      <sheetName val="付费层级DV "/>
      <sheetName val="付费品类DV "/>
      <sheetName val="商品数据汇总"/>
      <sheetName val="直通车DB"/>
      <sheetName val="超级推荐DB"/>
      <sheetName val="拉新快DB"/>
      <sheetName val="上新快DB"/>
      <sheetName val="货品加速DB"/>
      <sheetName val="直通车关键词"/>
      <sheetName val="直通车关键词DB"/>
      <sheetName val="产品明细"/>
      <sheetName val="Store - 品类"/>
      <sheetName val="Store - 层级"/>
      <sheetName val="钻展人群-Display"/>
      <sheetName val="钻展人群-4.13"/>
      <sheetName val="钻展人群-past 3days"/>
      <sheetName val="(BI-DB) Merchandise Operation"/>
      <sheetName val="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投放Tracking--5.7"/>
      <sheetName val="Overview"/>
      <sheetName val="商品数据汇总"/>
      <sheetName val="品类-层级"/>
      <sheetName val="商品层级"/>
      <sheetName val="商品品类"/>
      <sheetName val="直通车DB"/>
      <sheetName val="超级推荐DB"/>
      <sheetName val="拉新快DB"/>
      <sheetName val="上新快DB"/>
      <sheetName val="货品加速DB"/>
      <sheetName val="直通车关键词"/>
      <sheetName val="直通车关键词DB"/>
      <sheetName val="钻展人群"/>
      <sheetName val="钻展DB"/>
      <sheetName val="店铺商品数据"/>
      <sheetName val="Store - 品类"/>
      <sheetName val="Store - 层级"/>
      <sheetName val="(BI-DB) Merchandise Oper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投放Tracking--4.15"/>
      <sheetName val="Overview "/>
      <sheetName val="商品层级"/>
      <sheetName val="商品品类"/>
      <sheetName val="品类筛选"/>
      <sheetName val="付费层级DV "/>
      <sheetName val="付费品类DV "/>
      <sheetName val="商品数据汇总"/>
      <sheetName val="直通车DB"/>
      <sheetName val="超级推荐DB"/>
      <sheetName val="拉新快DB"/>
      <sheetName val="上新快DB"/>
      <sheetName val="货品加速DB"/>
      <sheetName val="直通车关键词"/>
      <sheetName val="直通车关键词DB"/>
      <sheetName val="钻展人群-Display"/>
      <sheetName val="钻展人群-4.15"/>
      <sheetName val="钻展人群-past 5 days"/>
      <sheetName val="(BI-DB) Merchandise Operation"/>
      <sheetName val="Store - 层级"/>
      <sheetName val="Store - 品类"/>
      <sheetName val="产品明细 (吾折天)"/>
      <sheetName val="Spotp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店铺券template 1213-1227"/>
      <sheetName val="店铺券template"/>
      <sheetName val="PV"/>
      <sheetName val="数据源"/>
      <sheetName val="分层分类DB"/>
      <sheetName val="Lists"/>
      <sheetName val="Templat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期表"/>
      <sheetName val="毛衣女"/>
      <sheetName val="mido SP 20151027-1"/>
    </sheetNames>
    <definedNames>
      <definedName name="表1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Lists"/>
      <sheetName val="截图"/>
      <sheetName val="nj-Mixed"/>
      <sheetName val="sz-Mixed"/>
      <sheetName val="RANGES"/>
      <sheetName val="Home"/>
      <sheetName val="Dashboard data"/>
      <sheetName val="P&amp;L (CY Act)"/>
      <sheetName val="P&amp;L (CY Plan)"/>
      <sheetName val="P&amp;L (PY Act)"/>
      <sheetName val="Sales Fcst"/>
      <sheetName val="hide"/>
      <sheetName val="Settings"/>
      <sheetName val="InputTables"/>
      <sheetName val="流量拆解by day"/>
      <sheetName val="流量拆解&amp;付费拆分"/>
      <sheetName val="DB"/>
      <sheetName val="Spotplan"/>
      <sheetName val="Forecast Raw data"/>
      <sheetName val="Sheet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"/>
      <sheetName val="原始数据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官方活动节奏"/>
      <sheetName val="11.11 plan"/>
      <sheetName val="目标"/>
      <sheetName val="流量分解"/>
      <sheetName val="目标分解方案"/>
      <sheetName val="Plan B"/>
      <sheetName val="销售时段预估"/>
      <sheetName val="预售方案"/>
      <sheetName val="正式期方案"/>
      <sheetName val="甘特图 "/>
      <sheetName val="上班时间安排"/>
      <sheetName val="预售及商品分解"/>
      <sheetName val="商品分工"/>
      <sheetName val="视觉营销  "/>
      <sheetName val="双11当日安排"/>
      <sheetName val="推广营销"/>
      <sheetName val="素材准备"/>
      <sheetName val="付费推广总览"/>
      <sheetName val="付费分天拆解"/>
      <sheetName val="CRM双11规划"/>
      <sheetName val="微淘双11规划"/>
      <sheetName val="预售店铺首页"/>
      <sheetName val="双十一付费推广计划（老）"/>
      <sheetName val="双11付费分阶段拆解（老）"/>
      <sheetName val="双11内容投放"/>
      <sheetName val="赠品"/>
      <sheetName val="优惠券统计"/>
      <sheetName val="品类备货及售罄"/>
      <sheetName val="DOUBLE 11 预估初版"/>
      <sheetName val=" TMALL 单品和套组 STOCK DATA "/>
      <sheetName val="商品明细 "/>
      <sheetName val="TOP30"/>
      <sheetName val="预售商品"/>
      <sheetName val="活动商品（秒杀）"/>
      <sheetName val="品牌团商品"/>
      <sheetName val="Fujian Mixed"/>
      <sheetName val="RANGES"/>
      <sheetName val="Home"/>
      <sheetName val="Dashboard data"/>
      <sheetName val="P&amp;L (CY Act)"/>
      <sheetName val="P&amp;L (CY Plan)"/>
      <sheetName val="P&amp;L (PY Act)"/>
      <sheetName val="Sales Fcst"/>
      <sheetName val="Sheet1"/>
      <sheetName val="Lists"/>
      <sheetName val="Template"/>
      <sheetName val="商品数据汇总"/>
      <sheetName val="DB"/>
      <sheetName val="数据源"/>
      <sheetName val="Spot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GES"/>
      <sheetName val="Home"/>
      <sheetName val="Dashboard data"/>
      <sheetName val="Dashboard"/>
      <sheetName val="P&amp;L (CY Plan)"/>
      <sheetName val="P&amp;L (CY Act)"/>
      <sheetName val="P&amp;L (PY Act)"/>
      <sheetName val="P&amp;L (Compare)"/>
      <sheetName val="Balance Sheet"/>
      <sheetName val="Cash Flow"/>
      <sheetName val="Sales Fcst"/>
      <sheetName val="Sales Record"/>
      <sheetName val="Spending Record"/>
      <sheetName val="Invoice"/>
      <sheetName val="Purchase Order "/>
      <sheetName val="Payroll"/>
      <sheetName val="Timesheet"/>
      <sheetName val="Inventory List"/>
      <sheetName val="Expense report"/>
      <sheetName val="Loan Amortization Schedule"/>
      <sheetName val="Contacts"/>
      <sheetName val="x"/>
      <sheetName val="货品分析情况"/>
      <sheetName val="Template"/>
      <sheetName val="Lists"/>
      <sheetName val="Lookup_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GES"/>
      <sheetName val="Spotplan"/>
      <sheetName val="Home"/>
      <sheetName val="Dashboard data"/>
      <sheetName val="P&amp;L (CY Act)"/>
      <sheetName val="P&amp;L (CY Plan)"/>
      <sheetName val="P&amp;L (PY Act)"/>
      <sheetName val="Sales Fc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  <sheetName val="分析明细"/>
      <sheetName val="Templa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  <sheetName val="Lists"/>
      <sheetName val="截图"/>
      <sheetName val="nj-Mixed"/>
      <sheetName val="sz-Mixed"/>
      <sheetName val="RANGES"/>
      <sheetName val="Home"/>
      <sheetName val="Dashboard data"/>
      <sheetName val="P&amp;L (CY Act)"/>
      <sheetName val="P&amp;L (CY Plan)"/>
      <sheetName val="P&amp;L (PY Act)"/>
      <sheetName val="Sales Fcst"/>
      <sheetName val="hide"/>
      <sheetName val="Settings"/>
      <sheetName val="InputTables"/>
      <sheetName val="流量拆解by day"/>
      <sheetName val="流量拆解&amp;付费拆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  <sheetName val="Spotplan"/>
      <sheetName val=" Guidelines"/>
      <sheetName val=" 中文指导"/>
      <sheetName val="截屏"/>
      <sheetName val="Forecast Raw data"/>
      <sheetName val="PPTV MIDO排期12.1-12.31"/>
      <sheetName val="Template"/>
      <sheetName val="hi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e"/>
      <sheetName val="Online Plan "/>
      <sheetName val="Site info"/>
      <sheetName val="Status Report"/>
      <sheetName val="Creative Specs"/>
      <sheetName val="媒体"/>
      <sheetName val="Sheet1"/>
      <sheetName val="Sheet3"/>
      <sheetName val="nj-Mixed"/>
      <sheetName val="sz-Mixed"/>
      <sheetName val="基础编码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ERSEDED"/>
      <sheetName val="Sheet3"/>
      <sheetName val="FINALUS$"/>
      <sheetName val="CAPERFORM"/>
      <sheetName val="CAPERFORM $"/>
      <sheetName val="IFO$"/>
      <sheetName val="Sheet1"/>
      <sheetName val="Sheet2"/>
      <sheetName val="FINALPHP"/>
      <sheetName val="FOODOR"/>
      <sheetName val="Control"/>
      <sheetName val="CPEXPER"/>
      <sheetName val="IVA-DEC"/>
      <sheetName val="000"/>
      <sheetName val="Control 1999"/>
      <sheetName val="CH-OV"/>
      <sheetName val="depletion sked_exLTC"/>
      <sheetName val="PIPELINE"/>
      <sheetName val="pipe(ex-ltc)"/>
      <sheetName val="OB97LST"/>
      <sheetName val="Tables"/>
      <sheetName val="CONSUMO MAT. Y MAT. PRIMAS"/>
      <sheetName val="B"/>
      <sheetName val="Q"/>
      <sheetName val="AN"/>
      <sheetName val="AY"/>
      <sheetName val="H"/>
      <sheetName val="J"/>
      <sheetName val="A"/>
      <sheetName val="N"/>
      <sheetName val="AX"/>
      <sheetName val="Setup"/>
      <sheetName val="QC - 1a"/>
      <sheetName val="Category"/>
      <sheetName val="BU3_95"/>
      <sheetName val="PPV Chart1"/>
      <sheetName val="PPV by BU by Category"/>
      <sheetName val="Macro1"/>
      <sheetName val="Free Cash Flow Rpt "/>
      <sheetName val="Summary"/>
      <sheetName val="BOM"/>
      <sheetName val="KF Plants; Calendar weeks"/>
      <sheetName val="Forex"/>
      <sheetName val="YECALENDAR"/>
      <sheetName val="File Setting"/>
      <sheetName val="AM"/>
      <sheetName val="ROMI"/>
      <sheetName val="Account Group"/>
      <sheetName val="Country Key"/>
      <sheetName val="Language"/>
      <sheetName val="Transportation Zone"/>
      <sheetName val="RA"/>
      <sheetName val="CAPERFORM_$"/>
      <sheetName val="Control_1999"/>
      <sheetName val="depletion_sked_exLTC"/>
      <sheetName val="CONSUMO_MAT__Y_MAT__PRIMAS"/>
      <sheetName val="QC_-_1a"/>
      <sheetName val="PPV_Chart1"/>
      <sheetName val="PPV_by_BU_by_Category"/>
      <sheetName val="Free_Cash_Flow_Rpt_"/>
      <sheetName val="KF_Plants;_Calendar_weeks"/>
      <sheetName val="File_Setting"/>
      <sheetName val="Menú"/>
      <sheetName val="TASA DE CAMBIO"/>
      <sheetName val="Cta"/>
      <sheetName val="Brand Analysis (1)"/>
      <sheetName val="KARDEX"/>
      <sheetName val="sum98bsxtm"/>
      <sheetName val="antbsxton"/>
      <sheetName val="Worksheet       (PASS WORD 650)"/>
      <sheetName val="Anex 17"/>
      <sheetName val="IPCs"/>
      <sheetName val="A-351VZL"/>
      <sheetName val="IPC"/>
      <sheetName val="calculos"/>
      <sheetName val="INPUTS"/>
      <sheetName val="impuestos trim"/>
      <sheetName val="Formulario"/>
      <sheetName val="CUENTAS POR COBRAR NO COMERCIAL"/>
      <sheetName val="B-111"/>
      <sheetName val="Cedula L (I-4´12)"/>
      <sheetName val="IAE-GILLETTE"/>
      <sheetName val="Mov. Patrimo "/>
      <sheetName val="Dados BLP"/>
      <sheetName val="RETAIL "/>
      <sheetName val="BS"/>
      <sheetName val="Dozavos IAE"/>
      <sheetName val="PMIREQ"/>
      <sheetName val="FixedCostFore"/>
      <sheetName val="BLP"/>
      <sheetName val="#¡REF"/>
      <sheetName val="OBData"/>
      <sheetName val="DB"/>
      <sheetName val="Adf par resp"/>
      <sheetName val="SUIVI EFFECTIFS"/>
      <sheetName val="EFFECT."/>
      <sheetName val="Tons"/>
      <sheetName val="tit"/>
      <sheetName val="abcd"/>
      <sheetName val="ar"/>
      <sheetName val="Vendas Tons"/>
      <sheetName val="C.Estr."/>
      <sheetName val="COSTAB97"/>
      <sheetName val="indice"/>
      <sheetName val="mixprod"/>
      <sheetName val="raf"/>
      <sheetName val="rce"/>
      <sheetName val="CAB"/>
      <sheetName val="Instr"/>
      <sheetName val="SHEET"/>
      <sheetName val="Lion Baking Powder DOM"/>
      <sheetName val="VOLUME - SOS"/>
      <sheetName val="PRICE ASSUMPTIONS DOM"/>
      <sheetName val="Lists"/>
      <sheetName val="POV"/>
      <sheetName val="Budget"/>
      <sheetName val="Tablames"/>
      <sheetName val="MES"/>
      <sheetName val="MAE_MESES"/>
      <sheetName val="Buy Group Assignments"/>
      <sheetName val="Costs by Req'd Part # 12-03-01"/>
      <sheetName val="1994FRF"/>
      <sheetName val="Nominales 19"/>
      <sheetName val="Overview"/>
      <sheetName val="UK S"/>
      <sheetName val="US$"/>
      <sheetName val="PARAMETERS"/>
      <sheetName val="ANALYSIS"/>
      <sheetName val="CAPERFORM_$1"/>
      <sheetName val="Date"/>
      <sheetName val="validation"/>
      <sheetName val="Costo M.P."/>
      <sheetName val="ISLR PNR"/>
      <sheetName val="Axv "/>
      <sheetName val="FLUJO EF."/>
      <sheetName val="P&amp;LBANANA"/>
      <sheetName val=""/>
      <sheetName val="CHWTRD"/>
      <sheetName val="(L1)"/>
      <sheetName val="(L2)"/>
      <sheetName val="(L3)"/>
      <sheetName val="(L4)"/>
      <sheetName val="(L5)"/>
      <sheetName val="(L6)"/>
      <sheetName val="(L7)"/>
      <sheetName val="(L8)"/>
      <sheetName val="(L9)"/>
      <sheetName val="纸箱需求"/>
      <sheetName val="Index"/>
      <sheetName val="Cover"/>
      <sheetName val="depletion_sked_exLTC1"/>
      <sheetName val="Control_19991"/>
      <sheetName val="Free_Cash_Flow_Rpt_1"/>
      <sheetName val="CONSUMO_MAT__Y_MAT__PRIMAS1"/>
      <sheetName val="KF_Plants;_Calendar_weeks1"/>
      <sheetName val="File_Setting1"/>
      <sheetName val="QC_-_1a1"/>
      <sheetName val="PPV_Chart11"/>
      <sheetName val="PPV_by_BU_by_Category1"/>
      <sheetName val="Account_Group"/>
      <sheetName val="Country_Key"/>
      <sheetName val="Transportation_Zone"/>
      <sheetName val="TASA_DE_CAMBIO"/>
      <sheetName val="Brand_Analysis_(1)"/>
      <sheetName val="Worksheet_______(PASS_WORD_650)"/>
      <sheetName val="Anex_17"/>
      <sheetName val="impuestos_trim"/>
      <sheetName val="CUENTAS_POR_COBRAR_NO_COMERCIAL"/>
      <sheetName val="Cedula_L_(I-4´12)"/>
      <sheetName val="Mov__Patrimo_"/>
      <sheetName val="Dados_BLP"/>
      <sheetName val="RETAIL_"/>
      <sheetName val="Dozavos_IAE"/>
      <sheetName val="Brand "/>
      <sheetName val="CAPERFORM_$2"/>
      <sheetName val="PPV_Chart12"/>
      <sheetName val="PPV_by_BU_by_Category2"/>
      <sheetName val="Control_19992"/>
      <sheetName val="depletion_sked_exLTC2"/>
      <sheetName val="CONSUMO_MAT__Y_MAT__PRIMAS2"/>
      <sheetName val="QC_-_1a2"/>
      <sheetName val="Free_Cash_Flow_Rpt_2"/>
      <sheetName val="Account_Group1"/>
      <sheetName val="Country_Key1"/>
      <sheetName val="Transportation_Zone1"/>
      <sheetName val="KF_Plants;_Calendar_weeks2"/>
      <sheetName val="File_Setting2"/>
      <sheetName val="TASA_DE_CAMBIO1"/>
      <sheetName val="Brand_Analysis_(1)1"/>
      <sheetName val="Worksheet_______(PASS_WORD_6501"/>
      <sheetName val="Anex_171"/>
      <sheetName val="impuestos_trim1"/>
      <sheetName val="CUENTAS_POR_COBRAR_NO_COMERCIA1"/>
      <sheetName val="Cedula_L_(I-4´12)1"/>
      <sheetName val="Mov__Patrimo_1"/>
      <sheetName val="Dados_BLP1"/>
      <sheetName val="RETAIL_1"/>
      <sheetName val="Dozavos_IAE1"/>
      <sheetName val="Adf_par_resp"/>
      <sheetName val="SUIVI_EFFECTIFS"/>
      <sheetName val="EFFECT_"/>
      <sheetName val="Vendas_Tons"/>
      <sheetName val="C_Estr_"/>
      <sheetName val="Lion_Baking_Powder_DOM"/>
      <sheetName val="VOLUME_-_SOS"/>
      <sheetName val="PRICE_ASSUMPTIONS_DOM"/>
      <sheetName val="Buy_Group_Assignments"/>
      <sheetName val="Costs_by_Req'd_Part_#_12-03-01"/>
      <sheetName val="Nominales_19"/>
      <sheetName val="UK_S"/>
      <sheetName val="Costo_M_P_"/>
      <sheetName val="ISLR_PNR"/>
      <sheetName val="Axv_"/>
      <sheetName val="FLUJO_EF_"/>
      <sheetName val="Brand_"/>
      <sheetName val="PRICEVARIANCE"/>
      <sheetName val="AM Q3 15 90 days Plan"/>
      <sheetName val="DATOS"/>
      <sheetName val="LIST"/>
      <sheetName val="VISCOUS"/>
      <sheetName val="_x005f_x0000_"/>
      <sheetName val="LE"/>
      <sheetName val="Product Views"/>
      <sheetName val="Riepilogo linee-direz BUD"/>
      <sheetName val="April Financial Tracker"/>
      <sheetName val="Paros Por Falta de Material"/>
      <sheetName val="数据List"/>
      <sheetName val="_x005f_x005f_x005f_x0000_"/>
      <sheetName val="_x005f_x005f_x005f_x005f_x005f_x005f_x005f_x0000_"/>
      <sheetName val="CAPERFORM_$3"/>
      <sheetName val="QC_-_1a3"/>
      <sheetName val="Control_19993"/>
      <sheetName val="PPV_Chart13"/>
      <sheetName val="PPV_by_BU_by_Category3"/>
      <sheetName val="Account_Group2"/>
      <sheetName val="Country_Key2"/>
      <sheetName val="Transportation_Zone2"/>
      <sheetName val="depletion_sked_exLTC3"/>
      <sheetName val="CONSUMO_MAT__Y_MAT__PRIMAS3"/>
      <sheetName val="Free_Cash_Flow_Rpt_3"/>
      <sheetName val="KF_Plants;_Calendar_weeks3"/>
      <sheetName val="File_Setting3"/>
      <sheetName val="TASA_DE_CAMBIO2"/>
      <sheetName val="Brand_Analysis_(1)2"/>
      <sheetName val="Worksheet_______(PASS_WORD_6502"/>
      <sheetName val="Anex_172"/>
      <sheetName val="impuestos_trim2"/>
      <sheetName val="CUENTAS_POR_COBRAR_NO_COMERCIA2"/>
      <sheetName val="Cedula_L_(I-4´12)2"/>
      <sheetName val="Mov__Patrimo_2"/>
      <sheetName val="Dados_BLP2"/>
      <sheetName val="RETAIL_2"/>
      <sheetName val="Dozavos_IAE2"/>
      <sheetName val="Adf_par_resp1"/>
      <sheetName val="SUIVI_EFFECTIFS1"/>
      <sheetName val="EFFECT_1"/>
      <sheetName val="Vendas_Tons1"/>
      <sheetName val="C_Estr_1"/>
      <sheetName val="Lion_Baking_Powder_DOM1"/>
      <sheetName val="VOLUME_-_SOS1"/>
      <sheetName val="PRICE_ASSUMPTIONS_DOM1"/>
      <sheetName val="Buy_Group_Assignments1"/>
      <sheetName val="Costs_by_Req'd_Part_#_12-03-011"/>
      <sheetName val="Nominales_191"/>
      <sheetName val="UK_S1"/>
      <sheetName val="Costo_M_P_1"/>
      <sheetName val="ISLR_PNR1"/>
      <sheetName val="Axv_1"/>
      <sheetName val="FLUJO_EF_1"/>
      <sheetName val="Brand_1"/>
      <sheetName val="AM_Q3_15_90_days_Plan"/>
      <sheetName val="Product_Views"/>
      <sheetName val="Month"/>
      <sheetName val="SUD"/>
      <sheetName val="CAPERFORM_$4"/>
      <sheetName val="QC_-_1a4"/>
      <sheetName val="Control_19994"/>
      <sheetName val="PPV_Chart14"/>
      <sheetName val="PPV_by_BU_by_Category4"/>
      <sheetName val="depletion_sked_exLTC4"/>
      <sheetName val="CONSUMO_MAT__Y_MAT__PRIMAS4"/>
      <sheetName val="Account_Group3"/>
      <sheetName val="Country_Key3"/>
      <sheetName val="Transportation_Zone3"/>
      <sheetName val="Free_Cash_Flow_Rpt_4"/>
      <sheetName val="KF_Plants;_Calendar_weeks4"/>
      <sheetName val="File_Setting4"/>
      <sheetName val="TASA_DE_CAMBIO3"/>
      <sheetName val="Brand_Analysis_(1)3"/>
      <sheetName val="Worksheet_______(PASS_WORD_6503"/>
      <sheetName val="Anex_173"/>
      <sheetName val="impuestos_trim3"/>
      <sheetName val="CUENTAS_POR_COBRAR_NO_COMERCIA3"/>
      <sheetName val="Cedula_L_(I-4´12)3"/>
      <sheetName val="Mov__Patrimo_3"/>
      <sheetName val="Dados_BLP3"/>
      <sheetName val="RETAIL_3"/>
      <sheetName val="Dozavos_IAE3"/>
      <sheetName val="Adf_par_resp2"/>
      <sheetName val="SUIVI_EFFECTIFS2"/>
      <sheetName val="EFFECT_2"/>
      <sheetName val="Vendas_Tons2"/>
      <sheetName val="C_Estr_2"/>
      <sheetName val="Lion_Baking_Powder_DOM2"/>
      <sheetName val="VOLUME_-_SOS2"/>
      <sheetName val="PRICE_ASSUMPTIONS_DOM2"/>
      <sheetName val="Buy_Group_Assignments2"/>
      <sheetName val="Costs_by_Req'd_Part_#_12-03-012"/>
      <sheetName val="Nominales_192"/>
      <sheetName val="UK_S2"/>
      <sheetName val="Costo_M_P_2"/>
      <sheetName val="ISLR_PNR2"/>
      <sheetName val="Axv_2"/>
      <sheetName val="FLUJO_EF_2"/>
      <sheetName val="Brand_2"/>
      <sheetName val="AM_Q3_15_90_days_Plan1"/>
      <sheetName val="Product_Views1"/>
      <sheetName val="Riepilogo_linee-direz_BUD"/>
      <sheetName val="_x005f_x005f_x005f_x005f_x005f_x005f_x005f_x005f_x005f_x005f_"/>
      <sheetName val="Settings"/>
      <sheetName val="Service Line &amp; Service Offering"/>
      <sheetName val="Data Setup"/>
      <sheetName val="HOME"/>
      <sheetName val="Línea 1"/>
      <sheetName val="DIOH"/>
      <sheetName val="Forecast Percent"/>
      <sheetName val="Send&amp;Retrieve"/>
      <sheetName val="Sheet13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U"/>
      <sheetName val="CZ"/>
      <sheetName val="P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otplan all"/>
      <sheetName val=" Guidelines"/>
      <sheetName val=" 中文指导"/>
      <sheetName val="Lists"/>
      <sheetName val="Spotplan Mobile"/>
      <sheetName val="截图"/>
      <sheetName val="hide"/>
      <sheetName val="OP2"/>
      <sheetName val="REF"/>
      <sheetName val="Spot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期表"/>
      <sheetName val="hide"/>
      <sheetName val="分析明细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otplan all"/>
      <sheetName val=" Guidelines"/>
      <sheetName val=" 中文指导"/>
      <sheetName val="Lists"/>
      <sheetName val="Spotplan Mobile"/>
      <sheetName val="截图"/>
      <sheetName val="hide"/>
      <sheetName val="MediaPlan"/>
      <sheetName val="Spot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大盘趋势分析"/>
      <sheetName val="辅助图表"/>
      <sheetName val="辅助表"/>
      <sheetName val="市场大盘"/>
      <sheetName val="市场大盘透视表"/>
      <sheetName val="二级类目"/>
      <sheetName val="二级类目GMV数据源"/>
      <sheetName val="市场大盘UV数据源"/>
      <sheetName val="店铺GMV排行"/>
      <sheetName val="店铺GMV排行数据源"/>
      <sheetName val="店铺UV排行"/>
      <sheetName val="店铺UV排行数据源"/>
      <sheetName val="品牌GMV排行"/>
      <sheetName val="品牌GMV排行数据源"/>
      <sheetName val="品牌UV排行"/>
      <sheetName val="品牌UV排行数据源"/>
      <sheetName val="竞争品牌"/>
      <sheetName val="竞争品牌数据源"/>
      <sheetName val="竟店数据"/>
      <sheetName val="竞店数据源"/>
      <sheetName val="行业客群数据源"/>
      <sheetName val="搜索排行-品牌词-近30天"/>
      <sheetName val="搜索排行-搜索词-近30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otplan"/>
      <sheetName val="二级类目GMV数据源"/>
      <sheetName val="市场大盘UV数据源"/>
      <sheetName val="二级类目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-USD"/>
      <sheetName val="Net Sales"/>
    </sheetNames>
    <sheetDataSet>
      <sheetData sheetId="0" refreshError="1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粉丝会员"/>
      <sheetName val="预售+预热"/>
      <sheetName val="Traffic"/>
      <sheetName val="收款订单源"/>
      <sheetName val="相对路径"/>
      <sheetName val="取数源"/>
      <sheetName val="Retail KPI"/>
      <sheetName val="商品Summary"/>
      <sheetName val="Sheet1"/>
      <sheetName val="品类源"/>
      <sheetName val="预售订单源"/>
      <sheetName val="出款订单源(BI)"/>
      <sheetName val="商品现货作品tracking"/>
      <sheetName val="Cartier-双11现货数据跟踪-11.12(1)"/>
      <sheetName val="hide"/>
      <sheetName val="Lists"/>
      <sheetName val="Template"/>
      <sheetName val="Spotplan"/>
      <sheetName val="分析明细"/>
      <sheetName val="二级类目GMV数据源"/>
      <sheetName val="市场大盘UV数据源"/>
      <sheetName val="二级类目"/>
    </sheetNames>
    <definedNames>
      <definedName name="Number_of_Payments"/>
      <definedName name="Values_Entered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月竞争对手日报"/>
      <sheetName val="原始数据"/>
      <sheetName val="Sheet3"/>
      <sheetName val="分析明细"/>
      <sheetName val="10-21竞争对手日报"/>
      <sheetName val="Spotplan"/>
      <sheetName val="二级类目GMV数据源"/>
      <sheetName val="市场大盘UV数据源"/>
      <sheetName val="二级类目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期表"/>
      <sheetName val="预售商品效果表"/>
      <sheetName val="商品效果表"/>
      <sheetName val="预售商品信息表"/>
      <sheetName val="无线端流量表"/>
      <sheetName val="掌柜表"/>
      <sheetName val="预热核心数据监控"/>
      <sheetName val="D11数据（by小时）"/>
      <sheetName val="预热商品转化金额预估"/>
      <sheetName val="预售活动详情"/>
      <sheetName val="双11竞店跟踪"/>
      <sheetName val="预热类目分析"/>
      <sheetName val="加购情况TOP100"/>
      <sheetName val="预售类目分析"/>
      <sheetName val="预售商品下定情况"/>
      <sheetName val="流量数据分析"/>
      <sheetName val="正式看板"/>
      <sheetName val="预热看板"/>
      <sheetName val="预热大盘看板"/>
      <sheetName val="现货商品折扣预估"/>
      <sheetName val="商品总表"/>
      <sheetName val="大盘-数透表"/>
      <sheetName val="大盘数据"/>
      <sheetName val="数透-生意参谋"/>
      <sheetName val="生意参谋数据"/>
      <sheetName val="商品每日加购情况"/>
      <sheetName val="预热商品信息表"/>
      <sheetName val="9.23库存"/>
      <sheetName val="Mobile Data"/>
      <sheetName val="分析明细"/>
      <sheetName val="MONKI官方旗舰店双11正式数据跟踪（2019）1111"/>
      <sheetName val="Spot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毛衣女"/>
      <sheetName val="购物金充值明细"/>
      <sheetName val="DB"/>
      <sheetName val="drop down boxes"/>
      <sheetName val="2017年度行业趋势_v3_20180131"/>
      <sheetName val="Template"/>
      <sheetName val="Mobile Data"/>
      <sheetName val="分析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potplan"/>
      <sheetName val="Lists"/>
      <sheetName val="超级推荐微详情&amp;钻展资源位"/>
      <sheetName val="Template"/>
      <sheetName val="DB"/>
      <sheetName val="RANGES"/>
      <sheetName val="Home"/>
      <sheetName val="Dashboard data"/>
      <sheetName val="P&amp;L (CY Act)"/>
      <sheetName val="P&amp;L (CY Plan)"/>
      <sheetName val="P&amp;L (PY Act)"/>
      <sheetName val="Sales Fcst"/>
      <sheetName val="618付费拆分"/>
      <sheetName val="618阶段数据同比"/>
      <sheetName val="拆分概览"/>
      <sheetName val="运营拆分需求"/>
      <sheetName val="商品数据汇总"/>
      <sheetName val="数据源"/>
      <sheetName val="项目规划器"/>
      <sheetName val="毛衣女"/>
      <sheetName val="drop down boxes"/>
      <sheetName val="透视"/>
      <sheetName val="图片"/>
      <sheetName val="本周数据源"/>
      <sheetName val="hide"/>
      <sheetName val="购物金充值明细"/>
      <sheetName val="산출근거"/>
      <sheetName val="普查库示例"/>
      <sheetName val="原材料单价分析"/>
    </sheetNames>
    <definedNames>
      <definedName name="End_Ba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NATIVE-FY02"/>
      <sheetName val="SW"/>
    </sheetNames>
    <sheetDataSet>
      <sheetData sheetId="0" refreshError="1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PF15 LL"/>
      <sheetName val="SPF15 Composition Packs"/>
      <sheetName val="PIVOT COLOR OVERVIEW"/>
      <sheetName val="Monkey Clip Pivot Overview"/>
      <sheetName val="SKUs OUT"/>
      <sheetName val="drop down boxes"/>
      <sheetName val="PIVOT"/>
      <sheetName val="Lists"/>
      <sheetName val="Template"/>
      <sheetName val="Mobile Data"/>
      <sheetName val="分析明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  <sheetName val="Spot Plan"/>
      <sheetName val="点位示列图"/>
      <sheetName val="Forecast Raw data"/>
      <sheetName val="hide"/>
      <sheetName val="drop down boxes"/>
      <sheetName val="Template"/>
      <sheetName val="Mobi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  <sheetName val="Top Products Total (RAW)"/>
      <sheetName val="drop down boxes"/>
      <sheetName val="Templat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析明细"/>
      <sheetName val="Top Products Total (RAW)"/>
      <sheetName val="Lists"/>
      <sheetName val="drop down box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  <sheetName val="分析明细"/>
      <sheetName val="原始数据"/>
      <sheetName val="Top Products Total (RAW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项目规划器"/>
      <sheetName val="Framework"/>
      <sheetName val="月度数据汇总"/>
      <sheetName val="图表"/>
      <sheetName val="日期与情况透析"/>
      <sheetName val="草稿"/>
      <sheetName val="上半年回顾"/>
      <sheetName val="SemesterReview"/>
      <sheetName val="微淘双11规划"/>
      <sheetName val="cK Jeans - orginal"/>
      <sheetName val="hide"/>
      <sheetName val="Spotplan"/>
      <sheetName val="Lists"/>
      <sheetName val="商品汇总"/>
      <sheetName val="商品数据汇总"/>
      <sheetName val="数据源"/>
      <sheetName val="Forecast Raw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FF SUMMARY"/>
      <sheetName val="dtc_订单源"/>
      <sheetName val="OFS导购订单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安娜" refreshedDate="45747.857598842595" createdVersion="8" refreshedVersion="8" minRefreshableVersion="3" recordCount="8" xr:uid="{C8C335B9-5FF0-4ECA-B9C3-B709B8EB7FB1}">
  <cacheSource type="worksheet">
    <worksheetSource ref="N1:V9" sheet="会员源"/>
  </cacheSource>
  <cacheFields count="13">
    <cacheField name="是否会员" numFmtId="0">
      <sharedItems count="2">
        <s v="否"/>
        <s v="是"/>
      </sharedItems>
    </cacheField>
    <cacheField name="clients_status" numFmtId="0">
      <sharedItems count="2">
        <s v="new"/>
        <s v="old"/>
      </sharedItems>
    </cacheField>
    <cacheField name="PayYear" numFmtId="0">
      <sharedItems count="2">
        <s v="BU24"/>
        <s v="BU25"/>
      </sharedItems>
    </cacheField>
    <cacheField name="net_sales" numFmtId="0">
      <sharedItems containsSemiMixedTypes="0" containsString="0" containsNumber="1" minValue="1675396.15" maxValue="7507365.6100000003"/>
    </cacheField>
    <cacheField name="net_units" numFmtId="0">
      <sharedItems containsSemiMixedTypes="0" containsString="0" containsNumber="1" containsInteger="1" minValue="438" maxValue="2486"/>
    </cacheField>
    <cacheField name="buyers" numFmtId="0">
      <sharedItems containsSemiMixedTypes="0" containsString="0" containsNumber="1" containsInteger="1" minValue="435" maxValue="5992"/>
    </cacheField>
    <cacheField name="gmv" numFmtId="0">
      <sharedItems containsSemiMixedTypes="0" containsString="0" containsNumber="1" minValue="3154866" maxValue="27404163"/>
    </cacheField>
    <cacheField name="units" numFmtId="0">
      <sharedItems containsSemiMixedTypes="0" containsString="0" containsNumber="1" containsInteger="1" minValue="771" maxValue="7581"/>
    </cacheField>
    <cacheField name="net_buyers" numFmtId="0">
      <sharedItems containsSemiMixedTypes="0" containsString="0" containsNumber="1" containsInteger="1" minValue="289" maxValue="2093"/>
    </cacheField>
    <cacheField name="upt" numFmtId="0" formula="units/buyers" databaseField="0"/>
    <cacheField name="rrc" numFmtId="0" formula=" 1-net_sales/gmv" databaseField="0"/>
    <cacheField name="net_upt" numFmtId="0" formula="net_units/net_buyers" databaseField="0"/>
    <cacheField name="net_atv" numFmtId="0" formula="net_sales/net_buyer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安娜" refreshedDate="45748.675055439817" createdVersion="8" refreshedVersion="8" minRefreshableVersion="3" recordCount="1190" xr:uid="{B7841F53-85F0-4323-8EFB-6B8D7CEF3B0C}">
  <cacheSource type="worksheet">
    <worksheetSource ref="A1:D1048576" sheet="粉丝源"/>
  </cacheSource>
  <cacheFields count="7">
    <cacheField name="统计日期" numFmtId="0">
      <sharedItems containsNonDate="0" containsDate="1" containsString="0" containsBlank="1" minDate="2022-01-01T00:00:00" maxDate="2025-04-01T00:00:00" count="1187">
        <d v="2025-03-31T00:00:00"/>
        <d v="2025-03-30T00:00:00"/>
        <d v="2025-03-29T00:00:00"/>
        <d v="2025-03-28T00:00:00"/>
        <d v="2025-03-27T00:00:00"/>
        <d v="2025-03-26T00:00:00"/>
        <d v="2025-03-25T00:00:00"/>
        <d v="2025-03-24T00:00:00"/>
        <d v="2025-03-23T00:00:00"/>
        <d v="2025-03-22T00:00:00"/>
        <d v="2025-03-21T00:00:00"/>
        <d v="2025-03-20T00:00:00"/>
        <d v="2025-03-19T00:00:00"/>
        <d v="2025-03-18T00:00:00"/>
        <d v="2025-03-17T00:00:00"/>
        <d v="2025-03-16T00:00:00"/>
        <d v="2025-03-15T00:00:00"/>
        <d v="2025-03-14T00:00:00"/>
        <d v="2025-03-13T00:00:00"/>
        <d v="2025-03-12T00:00:00"/>
        <d v="2025-03-11T00:00:00"/>
        <d v="2025-03-10T00:00:00"/>
        <d v="2025-03-09T00:00:00"/>
        <d v="2025-03-08T00:00:00"/>
        <d v="2025-03-07T00:00:00"/>
        <d v="2025-03-06T00:00:00"/>
        <d v="2025-03-05T00:00:00"/>
        <d v="2025-03-04T00:00:00"/>
        <d v="2025-03-03T00:00:00"/>
        <d v="2025-03-02T00:00:00"/>
        <d v="2025-03-01T00:00:00"/>
        <d v="2025-02-28T00:00:00"/>
        <d v="2025-02-27T00:00:00"/>
        <d v="2025-02-26T00:00:00"/>
        <d v="2025-02-25T00:00:00"/>
        <d v="2025-02-24T00:00:00"/>
        <d v="2025-02-23T00:00:00"/>
        <d v="2025-02-22T00:00:00"/>
        <d v="2025-02-21T00:00:00"/>
        <d v="2025-02-20T00:00:00"/>
        <d v="2025-02-19T00:00:00"/>
        <d v="2025-02-18T00:00:00"/>
        <d v="2025-02-17T00:00:00"/>
        <d v="2025-02-16T00:00:00"/>
        <d v="2025-02-15T00:00:00"/>
        <d v="2025-02-14T00:00:00"/>
        <d v="2025-02-13T00:00:00"/>
        <d v="2025-02-12T00:00:00"/>
        <d v="2025-02-11T00:00:00"/>
        <d v="2025-02-10T00:00:00"/>
        <d v="2025-02-09T00:00:00"/>
        <d v="2025-02-08T00:00:00"/>
        <d v="2025-02-07T00:00:00"/>
        <d v="2025-02-06T00:00:00"/>
        <d v="2025-02-05T00:00:00"/>
        <d v="2025-02-04T00:00:00"/>
        <d v="2025-02-03T00:00:00"/>
        <d v="2025-02-02T00:00:00"/>
        <d v="2025-02-01T00:00:00"/>
        <d v="2025-01-31T00:00:00"/>
        <d v="2025-01-30T00:00:00"/>
        <d v="2025-01-29T00:00:00"/>
        <d v="2025-01-28T00:00:00"/>
        <d v="2025-01-27T00:00:00"/>
        <d v="2025-01-26T00:00:00"/>
        <d v="2025-01-25T00:00:00"/>
        <d v="2025-01-24T00:00:00"/>
        <d v="2025-01-23T00:00:00"/>
        <d v="2025-01-22T00:00:00"/>
        <d v="2025-01-21T00:00:00"/>
        <d v="2025-01-20T00:00:00"/>
        <d v="2025-01-19T00:00:00"/>
        <d v="2025-01-18T00:00:00"/>
        <d v="2025-01-17T00:00:00"/>
        <d v="2025-01-16T00:00:00"/>
        <d v="2025-01-15T00:00:00"/>
        <d v="2025-01-14T00:00:00"/>
        <d v="2025-01-13T00:00:00"/>
        <d v="2025-01-12T00:00:00"/>
        <d v="2025-01-11T00:00:00"/>
        <d v="2025-01-10T00:00:00"/>
        <d v="2025-01-09T00:00:00"/>
        <d v="2025-01-08T00:00:00"/>
        <d v="2025-01-07T00:00:00"/>
        <d v="2025-01-06T00:00:00"/>
        <d v="2025-01-05T00:00:00"/>
        <d v="2025-01-04T00:00:00"/>
        <d v="2025-01-03T00:00:00"/>
        <d v="2025-01-02T00:00:00"/>
        <d v="2025-01-01T00:00:00"/>
        <d v="2024-12-31T00:00:00"/>
        <d v="2024-12-30T00:00:00"/>
        <d v="2024-12-29T00:00:00"/>
        <d v="2024-12-28T00:00:00"/>
        <d v="2024-12-27T00:00:00"/>
        <d v="2024-12-26T00:00:00"/>
        <d v="2024-12-25T00:00:00"/>
        <d v="2024-12-24T00:00:00"/>
        <d v="2024-12-23T00:00:00"/>
        <d v="2024-12-22T00:00:00"/>
        <d v="2024-12-21T00:00:00"/>
        <d v="2024-12-20T00:00:00"/>
        <d v="2024-12-19T00:00:00"/>
        <d v="2024-12-18T00:00:00"/>
        <d v="2024-12-17T00:00:00"/>
        <d v="2024-12-16T00:00:00"/>
        <d v="2024-12-15T00:00:00"/>
        <d v="2024-12-14T00:00:00"/>
        <d v="2024-12-13T00:00:00"/>
        <d v="2024-12-12T00:00:00"/>
        <d v="2024-12-11T00:00:00"/>
        <d v="2024-12-10T00:00:00"/>
        <d v="2024-12-09T00:00:00"/>
        <d v="2024-12-08T00:00:00"/>
        <d v="2024-12-07T00:00:00"/>
        <d v="2024-12-06T00:00:00"/>
        <d v="2024-12-05T00:00:00"/>
        <d v="2024-12-04T00:00:00"/>
        <d v="2024-12-03T00:00:00"/>
        <d v="2024-12-02T00:00:00"/>
        <d v="2024-12-01T00:00:00"/>
        <d v="2024-11-30T00:00:00"/>
        <d v="2024-11-29T00:00:00"/>
        <d v="2024-11-28T00:00:00"/>
        <d v="2024-11-27T00:00:00"/>
        <d v="2024-11-26T00:00:00"/>
        <d v="2024-11-25T00:00:00"/>
        <d v="2024-11-24T00:00:00"/>
        <d v="2024-11-23T00:00:00"/>
        <d v="2024-11-22T00:00:00"/>
        <d v="2024-11-21T00:00:00"/>
        <d v="2024-11-20T00:00:00"/>
        <d v="2024-11-19T00:00:00"/>
        <d v="2024-11-18T00:00:00"/>
        <d v="2024-11-17T00:00:00"/>
        <d v="2024-11-16T00:00:00"/>
        <d v="2024-11-15T00:00:00"/>
        <d v="2024-11-14T00:00:00"/>
        <d v="2024-11-13T00:00:00"/>
        <d v="2024-11-12T00:00:00"/>
        <d v="2024-11-11T00:00:00"/>
        <d v="2024-11-10T00:00:00"/>
        <d v="2024-11-09T00:00:00"/>
        <d v="2024-11-08T00:00:00"/>
        <d v="2024-11-07T00:00:00"/>
        <d v="2024-11-06T00:00:00"/>
        <d v="2024-11-05T00:00:00"/>
        <d v="2024-11-04T00:00:00"/>
        <d v="2024-11-03T00:00:00"/>
        <d v="2024-11-02T00:00:00"/>
        <d v="2024-11-01T00:00:00"/>
        <d v="2024-10-31T00:00:00"/>
        <d v="2024-10-30T00:00:00"/>
        <d v="2024-10-29T00:00:00"/>
        <d v="2024-10-28T00:00:00"/>
        <d v="2024-10-27T00:00:00"/>
        <d v="2024-10-26T00:00:00"/>
        <d v="2024-10-25T00:00:00"/>
        <d v="2024-10-24T00:00:00"/>
        <d v="2024-10-23T00:00:00"/>
        <d v="2024-10-22T00:00:00"/>
        <d v="2024-10-21T00:00:00"/>
        <d v="2024-10-20T00:00:00"/>
        <d v="2024-10-19T00:00:00"/>
        <d v="2024-10-18T00:00:00"/>
        <d v="2024-10-17T00:00:00"/>
        <d v="2024-10-16T00:00:00"/>
        <d v="2024-10-15T00:00:00"/>
        <d v="2024-10-14T00:00:00"/>
        <d v="2024-10-13T00:00:00"/>
        <d v="2024-10-12T00:00:00"/>
        <d v="2024-10-11T00:00:00"/>
        <d v="2024-10-10T00:00:00"/>
        <d v="2024-10-09T00:00:00"/>
        <d v="2024-10-08T00:00:00"/>
        <d v="2024-10-07T00:00:00"/>
        <d v="2024-10-06T00:00:00"/>
        <d v="2024-10-05T00:00:00"/>
        <d v="2024-10-04T00:00:00"/>
        <d v="2024-10-03T00:00:00"/>
        <d v="2024-10-02T00:00:00"/>
        <d v="2024-10-01T00:00:00"/>
        <d v="2024-09-30T00:00:00"/>
        <d v="2024-09-29T00:00:00"/>
        <d v="2024-09-28T00:00:00"/>
        <d v="2024-09-27T00:00:00"/>
        <d v="2024-09-26T00:00:00"/>
        <d v="2024-09-25T00:00:00"/>
        <d v="2024-09-24T00:00:00"/>
        <d v="2024-09-23T00:00:00"/>
        <d v="2024-09-22T00:00:00"/>
        <d v="2024-09-21T00:00:00"/>
        <d v="2024-09-20T00:00:00"/>
        <d v="2024-09-19T00:00:00"/>
        <d v="2024-09-18T00:00:00"/>
        <d v="2024-09-17T00:00:00"/>
        <d v="2024-09-16T00:00:00"/>
        <d v="2024-09-15T00:00:00"/>
        <d v="2024-09-14T00:00:00"/>
        <d v="2024-09-13T00:00:00"/>
        <d v="2024-09-12T00:00:00"/>
        <d v="2024-09-11T00:00:00"/>
        <d v="2024-09-10T00:00:00"/>
        <d v="2024-09-09T00:00:00"/>
        <d v="2024-09-08T00:00:00"/>
        <d v="2024-09-07T00:00:00"/>
        <d v="2024-09-06T00:00:00"/>
        <d v="2024-09-05T00:00:00"/>
        <d v="2024-09-04T00:00:00"/>
        <d v="2024-09-03T00:00:00"/>
        <d v="2024-09-02T00:00:00"/>
        <d v="2024-09-01T00:00:00"/>
        <d v="2024-08-31T00:00:00"/>
        <d v="2024-08-30T00:00:00"/>
        <d v="2024-08-29T00:00:00"/>
        <d v="2024-08-28T00:00:00"/>
        <d v="2024-08-27T00:00:00"/>
        <d v="2024-08-26T00:00:00"/>
        <d v="2024-08-25T00:00:00"/>
        <d v="2024-08-24T00:00:00"/>
        <d v="2024-08-23T00:00:00"/>
        <d v="2024-08-22T00:00:00"/>
        <d v="2024-08-21T00:00:00"/>
        <d v="2024-08-20T00:00:00"/>
        <d v="2024-08-19T00:00:00"/>
        <d v="2024-08-18T00:00:00"/>
        <d v="2024-08-17T00:00:00"/>
        <d v="2024-08-16T00:00:00"/>
        <d v="2024-08-15T00:00:00"/>
        <d v="2024-08-14T00:00:00"/>
        <d v="2024-08-13T00:00:00"/>
        <d v="2024-08-12T00:00:00"/>
        <d v="2024-08-11T00:00:00"/>
        <d v="2024-08-10T00:00:00"/>
        <d v="2024-08-09T00:00:00"/>
        <d v="2024-08-08T00:00:00"/>
        <d v="2024-08-07T00:00:00"/>
        <d v="2024-08-06T00:00:00"/>
        <d v="2024-08-05T00:00:00"/>
        <d v="2024-08-04T00:00:00"/>
        <d v="2024-08-03T00:00:00"/>
        <d v="2024-08-02T00:00:00"/>
        <d v="2024-08-01T00:00:00"/>
        <d v="2024-07-31T00:00:00"/>
        <d v="2024-07-30T00:00:00"/>
        <d v="2024-07-29T00:00:00"/>
        <d v="2024-07-28T00:00:00"/>
        <d v="2024-07-27T00:00:00"/>
        <d v="2024-07-26T00:00:00"/>
        <d v="2024-07-25T00:00:00"/>
        <d v="2024-07-24T00:00:00"/>
        <d v="2024-07-23T00:00:00"/>
        <d v="2024-07-22T00:00:00"/>
        <d v="2024-07-21T00:00:00"/>
        <d v="2024-07-20T00:00:00"/>
        <d v="2024-07-19T00:00:00"/>
        <d v="2024-07-18T00:00:00"/>
        <d v="2024-07-17T00:00:00"/>
        <d v="2024-07-16T00:00:00"/>
        <d v="2024-07-15T00:00:00"/>
        <d v="2024-07-14T00:00:00"/>
        <d v="2024-07-13T00:00:00"/>
        <d v="2024-07-12T00:00:00"/>
        <d v="2024-07-11T00:00:00"/>
        <d v="2024-07-10T00:00:00"/>
        <d v="2024-07-09T00:00:00"/>
        <d v="2024-07-08T00:00:00"/>
        <d v="2024-07-07T00:00:00"/>
        <d v="2024-07-06T00:00:00"/>
        <d v="2024-07-05T00:00:00"/>
        <d v="2024-07-04T00:00:00"/>
        <d v="2024-07-03T00:00:00"/>
        <d v="2024-07-02T00:00:00"/>
        <d v="2024-07-01T00:00:00"/>
        <d v="2024-06-30T00:00:00"/>
        <d v="2024-06-29T00:00:00"/>
        <d v="2024-06-28T00:00:00"/>
        <d v="2024-06-27T00:00:00"/>
        <d v="2024-06-26T00:00:00"/>
        <d v="2024-06-25T00:00:00"/>
        <d v="2024-06-24T00:00:00"/>
        <d v="2024-06-23T00:00:00"/>
        <d v="2024-06-22T00:00:00"/>
        <d v="2024-06-21T00:00:00"/>
        <d v="2024-06-20T00:00:00"/>
        <d v="2024-06-19T00:00:00"/>
        <d v="2024-06-18T00:00:00"/>
        <d v="2024-06-17T00:00:00"/>
        <d v="2024-06-16T00:00:00"/>
        <d v="2024-06-15T00:00:00"/>
        <d v="2024-06-14T00:00:00"/>
        <d v="2024-06-13T00:00:00"/>
        <d v="2024-06-12T00:00:00"/>
        <d v="2024-06-11T00:00:00"/>
        <d v="2024-06-10T00:00:00"/>
        <d v="2024-06-09T00:00:00"/>
        <d v="2024-06-08T00:00:00"/>
        <d v="2024-06-07T00:00:00"/>
        <d v="2024-06-06T00:00:00"/>
        <d v="2024-06-05T00:00:00"/>
        <d v="2024-06-04T00:00:00"/>
        <d v="2024-06-03T00:00:00"/>
        <d v="2024-06-02T00:00:00"/>
        <d v="2024-06-01T00:00:00"/>
        <d v="2024-05-31T00:00:00"/>
        <d v="2024-05-30T00:00:00"/>
        <d v="2024-05-29T00:00:00"/>
        <d v="2024-05-28T00:00:00"/>
        <d v="2024-05-27T00:00:00"/>
        <d v="2024-05-26T00:00:00"/>
        <d v="2024-05-25T00:00:00"/>
        <d v="2024-05-24T00:00:00"/>
        <d v="2024-05-23T00:00:00"/>
        <d v="2024-05-22T00:00:00"/>
        <d v="2024-05-21T00:00:00"/>
        <d v="2024-05-20T00:00:00"/>
        <d v="2024-05-19T00:00:00"/>
        <d v="2024-05-18T00:00:00"/>
        <d v="2024-05-17T00:00:00"/>
        <d v="2024-05-16T00:00:00"/>
        <d v="2024-05-15T00:00:00"/>
        <d v="2024-05-14T00:00:00"/>
        <d v="2024-05-13T00:00:00"/>
        <d v="2024-05-12T00:00:00"/>
        <d v="2024-05-11T00:00:00"/>
        <d v="2024-05-10T00:00:00"/>
        <d v="2024-05-09T00:00:00"/>
        <d v="2024-05-08T00:00:00"/>
        <d v="2024-05-07T00:00:00"/>
        <d v="2024-05-06T00:00:00"/>
        <d v="2024-05-05T00:00:00"/>
        <d v="2024-05-04T00:00:00"/>
        <d v="2024-05-03T00:00:00"/>
        <d v="2024-05-02T00:00:00"/>
        <d v="2024-05-01T00:00:00"/>
        <d v="2024-04-30T00:00:00"/>
        <d v="2024-04-29T00:00:00"/>
        <d v="2024-04-28T00:00:00"/>
        <d v="2024-04-27T00:00:00"/>
        <d v="2024-04-26T00:00:00"/>
        <d v="2024-04-25T00:00:00"/>
        <d v="2024-04-24T00:00:00"/>
        <d v="2024-04-23T00:00:00"/>
        <d v="2024-04-22T00:00:00"/>
        <d v="2024-04-21T00:00:00"/>
        <d v="2024-04-20T00:00:00"/>
        <d v="2024-04-19T00:00:00"/>
        <d v="2024-04-18T00:00:00"/>
        <d v="2024-04-17T00:00:00"/>
        <d v="2024-04-16T00:00:00"/>
        <d v="2024-04-15T00:00:00"/>
        <d v="2024-04-14T00:00:00"/>
        <d v="2024-04-13T00:00:00"/>
        <d v="2024-04-12T00:00:00"/>
        <d v="2024-04-11T00:00:00"/>
        <d v="2024-04-10T00:00:00"/>
        <d v="2024-04-09T00:00:00"/>
        <d v="2024-04-08T00:00:00"/>
        <d v="2024-04-07T00:00:00"/>
        <d v="2024-04-06T00:00:00"/>
        <d v="2024-04-05T00:00:00"/>
        <d v="2024-04-04T00:00:00"/>
        <d v="2024-04-03T00:00:00"/>
        <d v="2024-04-02T00:00:00"/>
        <d v="2024-04-01T00:00:00"/>
        <d v="2024-03-31T00:00:00"/>
        <d v="2024-03-30T00:00:00"/>
        <d v="2024-03-29T00:00:00"/>
        <d v="2024-03-28T00:00:00"/>
        <d v="2024-03-27T00:00:00"/>
        <d v="2024-03-26T00:00:00"/>
        <d v="2024-03-25T00:00:00"/>
        <d v="2024-03-24T00:00:00"/>
        <d v="2024-03-23T00:00:00"/>
        <d v="2024-03-22T00:00:00"/>
        <d v="2024-03-21T00:00:00"/>
        <d v="2024-03-20T00:00:00"/>
        <d v="2024-03-19T00:00:00"/>
        <d v="2024-03-18T00:00:00"/>
        <d v="2024-03-17T00:00:00"/>
        <d v="2024-03-16T00:00:00"/>
        <d v="2024-03-15T00:00:00"/>
        <d v="2024-03-14T00:00:00"/>
        <d v="2024-03-13T00:00:00"/>
        <d v="2024-03-12T00:00:00"/>
        <d v="2024-03-11T00:00:00"/>
        <d v="2024-03-10T00:00:00"/>
        <d v="2024-03-09T00:00:00"/>
        <d v="2024-03-08T00:00:00"/>
        <d v="2024-03-07T00:00:00"/>
        <d v="2024-03-06T00:00:00"/>
        <d v="2024-03-05T00:00:00"/>
        <d v="2024-03-04T00:00:00"/>
        <d v="2024-03-03T00:00:00"/>
        <d v="2024-03-02T00:00:00"/>
        <d v="2024-03-01T00:00:00"/>
        <d v="2024-02-29T00:00:00"/>
        <d v="2024-02-28T00:00:00"/>
        <d v="2024-02-27T00:00:00"/>
        <d v="2024-02-26T00:00:00"/>
        <d v="2024-02-25T00:00:00"/>
        <d v="2024-02-24T00:00:00"/>
        <d v="2024-02-23T00:00:00"/>
        <d v="2024-02-22T00:00:00"/>
        <d v="2024-02-21T00:00:00"/>
        <d v="2024-02-20T00:00:00"/>
        <d v="2024-02-19T00:00:00"/>
        <d v="2024-02-18T00:00:00"/>
        <d v="2024-02-17T00:00:00"/>
        <d v="2024-02-16T00:00:00"/>
        <d v="2024-02-15T00:00:00"/>
        <d v="2024-02-14T00:00:00"/>
        <d v="2024-02-13T00:00:00"/>
        <d v="2024-02-12T00:00:00"/>
        <d v="2024-02-11T00:00:00"/>
        <d v="2024-02-10T00:00:00"/>
        <d v="2024-02-09T00:00:00"/>
        <d v="2024-02-08T00:00:00"/>
        <d v="2024-02-07T00:00:00"/>
        <d v="2024-02-06T00:00:00"/>
        <d v="2024-02-05T00:00:00"/>
        <d v="2024-02-04T00:00:00"/>
        <d v="2024-02-03T00:00:00"/>
        <d v="2024-02-02T00:00:00"/>
        <d v="2024-02-01T00:00:00"/>
        <d v="2024-01-31T00:00:00"/>
        <d v="2024-01-30T00:00:00"/>
        <d v="2024-01-29T00:00:00"/>
        <d v="2024-01-28T00:00:00"/>
        <d v="2024-01-27T00:00:00"/>
        <d v="2024-01-26T00:00:00"/>
        <d v="2024-01-25T00:00:00"/>
        <d v="2024-01-24T00:00:00"/>
        <d v="2024-01-23T00:00:00"/>
        <d v="2024-01-22T00:00:00"/>
        <d v="2024-01-21T00:00:00"/>
        <d v="2024-01-20T00:00:00"/>
        <d v="2024-01-19T00:00:00"/>
        <d v="2024-01-18T00:00:00"/>
        <d v="2024-01-17T00:00:00"/>
        <d v="2024-01-16T00:00:00"/>
        <d v="2024-01-15T00:00:00"/>
        <d v="2024-01-14T00:00:00"/>
        <d v="2024-01-13T00:00:00"/>
        <d v="2024-01-12T00:00:00"/>
        <d v="2024-01-11T00:00:00"/>
        <d v="2024-01-10T00:00:00"/>
        <d v="2024-01-09T00:00:00"/>
        <d v="2024-01-08T00:00:00"/>
        <d v="2024-01-07T00:00:00"/>
        <d v="2024-01-06T00:00:00"/>
        <d v="2024-01-05T00:00:00"/>
        <d v="2024-01-04T00:00:00"/>
        <d v="2024-01-03T00:00:00"/>
        <d v="2024-01-02T00:00:00"/>
        <d v="2024-01-01T00:00:00"/>
        <d v="2023-12-31T00:00:00"/>
        <d v="2023-12-30T00:00:00"/>
        <d v="2023-12-29T00:00:00"/>
        <d v="2023-12-28T00:00:00"/>
        <d v="2023-12-27T00:00:00"/>
        <d v="2023-12-26T00:00:00"/>
        <d v="2023-12-25T00:00:00"/>
        <d v="2023-12-24T00:00:00"/>
        <d v="2023-12-23T00:00:00"/>
        <d v="2023-12-22T00:00:00"/>
        <d v="2023-12-21T00:00:00"/>
        <d v="2023-12-20T00:00:00"/>
        <d v="2023-12-19T00:00:00"/>
        <d v="2023-12-18T00:00:00"/>
        <d v="2023-12-17T00:00:00"/>
        <d v="2023-12-16T00:00:00"/>
        <d v="2023-12-15T00:00:00"/>
        <d v="2023-12-14T00:00:00"/>
        <d v="2023-12-13T00:00:00"/>
        <d v="2023-12-12T00:00:00"/>
        <d v="2023-12-11T00:00:00"/>
        <d v="2023-12-10T00:00:00"/>
        <d v="2023-12-09T00:00:00"/>
        <d v="2023-12-08T00:00:00"/>
        <d v="2023-12-07T00:00:00"/>
        <d v="2023-12-06T00:00:00"/>
        <d v="2023-12-05T00:00:00"/>
        <d v="2023-12-04T00:00:00"/>
        <d v="2023-12-03T00:00:00"/>
        <d v="2023-12-02T00:00:00"/>
        <d v="2023-12-01T00:00:00"/>
        <d v="2023-11-30T00:00:00"/>
        <d v="2023-11-29T00:00:00"/>
        <d v="2023-11-28T00:00:00"/>
        <d v="2023-11-27T00:00:00"/>
        <d v="2023-11-26T00:00:00"/>
        <d v="2023-11-25T00:00:00"/>
        <d v="2023-11-24T00:00:00"/>
        <d v="2023-11-23T00:00:00"/>
        <d v="2023-11-22T00:00:00"/>
        <d v="2023-11-21T00:00:00"/>
        <d v="2023-11-20T00:00:00"/>
        <d v="2023-11-19T00:00:00"/>
        <d v="2023-11-18T00:00:00"/>
        <d v="2023-11-17T00:00:00"/>
        <d v="2023-11-16T00:00:00"/>
        <d v="2023-11-15T00:00:00"/>
        <d v="2023-11-14T00:00:00"/>
        <d v="2023-11-13T00:00:00"/>
        <d v="2023-11-12T00:00:00"/>
        <d v="2023-11-11T00:00:00"/>
        <d v="2023-11-10T00:00:00"/>
        <d v="2023-11-09T00:00:00"/>
        <d v="2023-11-08T00:00:00"/>
        <d v="2023-11-07T00:00:00"/>
        <d v="2023-11-06T00:00:00"/>
        <d v="2023-11-05T00:00:00"/>
        <d v="2023-11-04T00:00:00"/>
        <d v="2023-11-03T00:00:00"/>
        <d v="2023-11-02T00:00:00"/>
        <d v="2023-11-01T00:00:00"/>
        <d v="2023-10-31T00:00:00"/>
        <d v="2023-10-30T00:00:00"/>
        <d v="2023-10-29T00:00:00"/>
        <d v="2023-10-28T00:00:00"/>
        <d v="2023-10-27T00:00:00"/>
        <d v="2023-10-26T00:00:00"/>
        <d v="2023-10-25T00:00:00"/>
        <d v="2023-10-24T00:00:00"/>
        <d v="2023-10-23T00:00:00"/>
        <d v="2023-10-22T00:00:00"/>
        <d v="2023-10-21T00:00:00"/>
        <d v="2023-10-20T00:00:00"/>
        <d v="2023-10-19T00:00:00"/>
        <d v="2023-10-18T00:00:00"/>
        <d v="2023-10-17T00:00:00"/>
        <d v="2023-10-16T00:00:00"/>
        <d v="2023-10-15T00:00:00"/>
        <d v="2023-10-14T00:00:00"/>
        <d v="2023-10-13T00:00:00"/>
        <d v="2023-10-12T00:00:00"/>
        <d v="2023-10-11T00:00:00"/>
        <d v="2023-10-10T00:00:00"/>
        <d v="2023-10-09T00:00:00"/>
        <d v="2023-10-08T00:00:00"/>
        <d v="2023-10-07T00:00:00"/>
        <d v="2023-10-06T00:00:00"/>
        <d v="2023-10-05T00:00:00"/>
        <d v="2023-10-04T00:00:00"/>
        <d v="2023-10-03T00:00:00"/>
        <d v="2023-10-02T00:00:00"/>
        <d v="2023-10-01T00:00:00"/>
        <d v="2023-09-30T00:00:00"/>
        <d v="2023-09-29T00:00:00"/>
        <d v="2023-09-28T00:00:00"/>
        <d v="2023-09-27T00:00:00"/>
        <d v="2023-09-26T00:00:00"/>
        <d v="2023-09-25T00:00:00"/>
        <d v="2023-09-24T00:00:00"/>
        <d v="2023-09-23T00:00:00"/>
        <d v="2023-09-22T00:00:00"/>
        <d v="2023-09-21T00:00:00"/>
        <d v="2023-09-20T00:00:00"/>
        <d v="2023-09-19T00:00:00"/>
        <d v="2023-09-18T00:00:00"/>
        <d v="2023-09-17T00:00:00"/>
        <d v="2023-09-16T00:00:00"/>
        <d v="2023-09-15T00:00:00"/>
        <d v="2023-09-14T00:00:00"/>
        <d v="2023-09-13T00:00:00"/>
        <d v="2023-09-12T00:00:00"/>
        <d v="2023-09-11T00:00:00"/>
        <d v="2023-09-10T00:00:00"/>
        <d v="2023-09-09T00:00:00"/>
        <d v="2023-09-08T00:00:00"/>
        <d v="2023-09-07T00:00:00"/>
        <d v="2023-09-06T00:00:00"/>
        <d v="2023-09-05T00:00:00"/>
        <d v="2023-09-04T00:00:00"/>
        <d v="2023-09-03T00:00:00"/>
        <d v="2023-09-02T00:00:00"/>
        <d v="2023-09-01T00:00:00"/>
        <d v="2023-08-31T00:00:00"/>
        <d v="2023-08-30T00:00:00"/>
        <d v="2023-08-29T00:00:00"/>
        <d v="2023-08-28T00:00:00"/>
        <d v="2023-08-27T00:00:00"/>
        <d v="2023-08-26T00:00:00"/>
        <d v="2023-08-25T00:00:00"/>
        <d v="2023-08-24T00:00:00"/>
        <d v="2023-08-23T00:00:00"/>
        <d v="2023-08-22T00:00:00"/>
        <d v="2023-08-21T00:00:00"/>
        <d v="2023-08-20T00:00:00"/>
        <d v="2023-08-19T00:00:00"/>
        <d v="2023-08-18T00:00:00"/>
        <d v="2023-08-17T00:00:00"/>
        <d v="2023-08-16T00:00:00"/>
        <d v="2023-08-15T00:00:00"/>
        <d v="2023-08-14T00:00:00"/>
        <d v="2023-08-13T00:00:00"/>
        <d v="2023-08-12T00:00:00"/>
        <d v="2023-08-11T00:00:00"/>
        <d v="2023-08-10T00:00:00"/>
        <d v="2023-08-09T00:00:00"/>
        <d v="2023-08-08T00:00:00"/>
        <d v="2023-08-07T00:00:00"/>
        <d v="2023-08-06T00:00:00"/>
        <d v="2023-08-05T00:00:00"/>
        <d v="2023-08-04T00:00:00"/>
        <d v="2023-08-03T00:00:00"/>
        <d v="2023-08-02T00:00:00"/>
        <d v="2023-08-01T00:00:00"/>
        <d v="2023-07-31T00:00:00"/>
        <d v="2023-07-30T00:00:00"/>
        <d v="2023-07-29T00:00:00"/>
        <d v="2023-07-28T00:00:00"/>
        <d v="2023-07-27T00:00:00"/>
        <d v="2023-07-26T00:00:00"/>
        <d v="2023-07-25T00:00:00"/>
        <d v="2023-07-24T00:00:00"/>
        <d v="2023-07-23T00:00:00"/>
        <d v="2023-07-22T00:00:00"/>
        <d v="2023-07-21T00:00:00"/>
        <d v="2023-07-20T00:00:00"/>
        <d v="2023-07-19T00:00:00"/>
        <d v="2023-07-18T00:00:00"/>
        <d v="2023-07-17T00:00:00"/>
        <d v="2023-07-16T00:00:00"/>
        <d v="2023-07-15T00:00:00"/>
        <d v="2023-07-14T00:00:00"/>
        <d v="2023-07-13T00:00:00"/>
        <d v="2023-07-12T00:00:00"/>
        <d v="2023-07-11T00:00:00"/>
        <d v="2023-07-10T00:00:00"/>
        <d v="2023-07-09T00:00:00"/>
        <d v="2023-07-08T00:00:00"/>
        <d v="2023-07-07T00:00:00"/>
        <d v="2023-07-06T00:00:00"/>
        <d v="2023-07-05T00:00:00"/>
        <d v="2023-07-04T00:00:00"/>
        <d v="2023-07-03T00:00:00"/>
        <d v="2023-07-02T00:00:00"/>
        <d v="2023-07-01T00:00:00"/>
        <d v="2023-06-30T00:00:00"/>
        <d v="2023-06-29T00:00:00"/>
        <d v="2023-06-28T00:00:00"/>
        <d v="2023-06-27T00:00:00"/>
        <d v="2023-06-26T00:00:00"/>
        <d v="2023-06-25T00:00:00"/>
        <d v="2023-06-24T00:00:00"/>
        <d v="2023-06-23T00:00:00"/>
        <d v="2023-06-22T00:00:00"/>
        <d v="2023-06-21T00:00:00"/>
        <d v="2023-06-20T00:00:00"/>
        <d v="2023-06-19T00:00:00"/>
        <d v="2023-06-18T00:00:00"/>
        <d v="2023-06-17T00:00:00"/>
        <d v="2023-06-16T00:00:00"/>
        <d v="2023-06-15T00:00:00"/>
        <d v="2023-06-14T00:00:00"/>
        <d v="2023-06-13T00:00:00"/>
        <d v="2023-06-12T00:00:00"/>
        <d v="2023-06-11T00:00:00"/>
        <d v="2023-06-10T00:00:00"/>
        <d v="2023-06-09T00:00:00"/>
        <d v="2023-06-08T00:00:00"/>
        <d v="2023-06-07T00:00:00"/>
        <d v="2023-06-06T00:00:00"/>
        <d v="2023-06-05T00:00:00"/>
        <d v="2023-06-04T00:00:00"/>
        <d v="2023-06-03T00:00:00"/>
        <d v="2023-06-02T00:00:00"/>
        <d v="2023-06-01T00:00:00"/>
        <d v="2023-05-31T00:00:00"/>
        <d v="2023-05-30T00:00:00"/>
        <d v="2023-05-29T00:00:00"/>
        <d v="2023-05-28T00:00:00"/>
        <d v="2023-05-27T00:00:00"/>
        <d v="2023-05-26T00:00:00"/>
        <d v="2023-05-25T00:00:00"/>
        <d v="2023-05-24T00:00:00"/>
        <d v="2023-05-23T00:00:00"/>
        <d v="2023-05-22T00:00:00"/>
        <d v="2023-05-21T00:00:00"/>
        <d v="2023-05-20T00:00:00"/>
        <d v="2023-05-19T00:00:00"/>
        <d v="2023-05-18T00:00:00"/>
        <d v="2023-05-17T00:00:00"/>
        <d v="2023-05-16T00:00:00"/>
        <d v="2023-05-15T00:00:00"/>
        <d v="2023-05-14T00:00:00"/>
        <d v="2023-05-13T00:00:00"/>
        <d v="2023-05-12T00:00:00"/>
        <d v="2023-05-11T00:00:00"/>
        <d v="2023-05-10T00:00:00"/>
        <d v="2023-05-09T00:00:00"/>
        <d v="2023-05-08T00:00:00"/>
        <d v="2023-05-07T00:00:00"/>
        <d v="2023-05-06T00:00:00"/>
        <d v="2023-05-05T00:00:00"/>
        <d v="2023-05-04T00:00:00"/>
        <d v="2023-05-03T00:00:00"/>
        <d v="2023-05-02T00:00:00"/>
        <d v="2023-05-01T00:00:00"/>
        <d v="2023-04-30T00:00:00"/>
        <d v="2023-04-29T00:00:00"/>
        <d v="2023-04-28T00:00:00"/>
        <d v="2023-04-27T00:00:00"/>
        <d v="2023-04-26T00:00:00"/>
        <d v="2023-04-25T00:00:00"/>
        <d v="2023-04-24T00:00:00"/>
        <d v="2023-04-23T00:00:00"/>
        <d v="2023-04-22T00:00:00"/>
        <d v="2023-04-21T00:00:00"/>
        <d v="2023-04-20T00:00:00"/>
        <d v="2023-04-19T00:00:00"/>
        <d v="2023-04-18T00:00:00"/>
        <d v="2023-04-17T00:00:00"/>
        <d v="2023-04-16T00:00:00"/>
        <d v="2023-04-15T00:00:00"/>
        <d v="2023-04-14T00:00:00"/>
        <d v="2023-04-13T00:00:00"/>
        <d v="2023-04-12T00:00:00"/>
        <d v="2023-04-11T00:00:00"/>
        <d v="2023-04-10T00:00:00"/>
        <d v="2023-04-09T00:00:00"/>
        <d v="2023-04-08T00:00:00"/>
        <d v="2023-04-07T00:00:00"/>
        <d v="2023-04-06T00:00:00"/>
        <d v="2023-04-05T00:00:00"/>
        <d v="2023-04-04T00:00:00"/>
        <d v="2023-04-03T00:00:00"/>
        <d v="2023-04-02T00:00:00"/>
        <d v="2023-04-01T00:00:00"/>
        <d v="2023-03-31T00:00:00"/>
        <d v="2023-03-30T00:00:00"/>
        <d v="2023-03-29T00:00:00"/>
        <d v="2023-03-28T00:00:00"/>
        <d v="2023-03-27T00:00:00"/>
        <d v="2023-03-26T00:00:00"/>
        <d v="2023-03-25T00:00:00"/>
        <d v="2023-03-24T00:00:00"/>
        <d v="2023-03-23T00:00:00"/>
        <d v="2023-03-22T00:00:00"/>
        <d v="2023-03-21T00:00:00"/>
        <d v="2023-03-20T00:00:00"/>
        <d v="2023-03-19T00:00:00"/>
        <d v="2023-03-18T00:00:00"/>
        <d v="2023-03-17T00:00:00"/>
        <d v="2023-03-16T00:00:00"/>
        <d v="2023-03-15T00:00:00"/>
        <d v="2023-03-14T00:00:00"/>
        <d v="2023-03-13T00:00:00"/>
        <d v="2023-03-12T00:00:00"/>
        <d v="2023-03-11T00:00:00"/>
        <d v="2023-03-10T00:00:00"/>
        <d v="2023-03-09T00:00:00"/>
        <d v="2023-03-08T00:00:00"/>
        <d v="2023-03-07T00:00:00"/>
        <d v="2023-03-06T00:00:00"/>
        <d v="2023-03-05T00:00:00"/>
        <d v="2023-03-04T00:00:00"/>
        <d v="2023-03-03T00:00:00"/>
        <d v="2023-03-02T00:00:00"/>
        <d v="2023-03-01T00:00:00"/>
        <d v="2023-02-28T00:00:00"/>
        <d v="2023-02-27T00:00:00"/>
        <d v="2023-02-26T00:00:00"/>
        <d v="2023-02-25T00:00:00"/>
        <d v="2023-02-24T00:00:00"/>
        <d v="2023-02-23T00:00:00"/>
        <d v="2023-02-22T00:00:00"/>
        <d v="2023-02-21T00:00:00"/>
        <d v="2023-02-20T00:00:00"/>
        <d v="2023-02-19T00:00:00"/>
        <d v="2023-02-18T00:00:00"/>
        <d v="2023-02-17T00:00:00"/>
        <d v="2023-02-16T00:00:00"/>
        <d v="2023-02-15T00:00:00"/>
        <d v="2023-02-14T00:00:00"/>
        <d v="2023-02-13T00:00:00"/>
        <d v="2023-02-12T00:00:00"/>
        <d v="2023-02-11T00:00:00"/>
        <d v="2023-02-10T00:00:00"/>
        <d v="2023-02-09T00:00:00"/>
        <d v="2023-02-08T00:00:00"/>
        <d v="2023-02-07T00:00:00"/>
        <d v="2023-02-06T00:00:00"/>
        <d v="2023-02-05T00:00:00"/>
        <d v="2023-02-04T00:00:00"/>
        <d v="2023-02-03T00:00:00"/>
        <d v="2023-02-02T00:00:00"/>
        <d v="2023-02-01T00:00:00"/>
        <d v="2023-01-31T00:00:00"/>
        <d v="2023-01-30T00:00:00"/>
        <d v="2023-01-29T00:00:00"/>
        <d v="2023-01-28T00:00:00"/>
        <d v="2023-01-27T00:00:00"/>
        <d v="2023-01-26T00:00:00"/>
        <d v="2023-01-25T00:00:00"/>
        <d v="2023-01-24T00:00:00"/>
        <d v="2023-01-23T00:00:00"/>
        <d v="2023-01-22T00:00:00"/>
        <d v="2023-01-21T00:00:00"/>
        <d v="2023-01-20T00:00:00"/>
        <d v="2023-01-19T00:00:00"/>
        <d v="2023-01-18T00:00:00"/>
        <d v="2023-01-17T00:00:00"/>
        <d v="2023-01-16T00:00:00"/>
        <d v="2023-01-15T00:00:00"/>
        <d v="2023-01-14T00:00:00"/>
        <d v="2023-01-13T00:00:00"/>
        <d v="2023-01-12T00:00:00"/>
        <d v="2023-01-11T00:00:00"/>
        <d v="2023-01-10T00:00:00"/>
        <d v="2023-01-09T00:00:00"/>
        <d v="2023-01-08T00:00:00"/>
        <d v="2023-01-07T00:00:00"/>
        <d v="2023-01-06T00:00:00"/>
        <d v="2023-01-05T00:00:00"/>
        <d v="2023-01-04T00:00:00"/>
        <d v="2023-01-03T00:00:00"/>
        <d v="2023-01-02T00:00:00"/>
        <d v="2023-01-01T00:00:00"/>
        <d v="2022-12-31T00:00:00"/>
        <d v="2022-12-30T00:00:00"/>
        <d v="2022-12-29T00:00:00"/>
        <d v="2022-12-28T00:00:00"/>
        <d v="2022-12-27T00:00:00"/>
        <d v="2022-12-26T00:00:00"/>
        <d v="2022-12-25T00:00:00"/>
        <d v="2022-12-24T00:00:00"/>
        <d v="2022-12-23T00:00:00"/>
        <d v="2022-12-22T00:00:00"/>
        <d v="2022-12-21T00:00:00"/>
        <d v="2022-12-20T00:00:00"/>
        <d v="2022-12-19T00:00:00"/>
        <d v="2022-12-18T00:00:00"/>
        <d v="2022-12-17T00:00:00"/>
        <d v="2022-12-16T00:00:00"/>
        <d v="2022-12-15T00:00:00"/>
        <d v="2022-12-14T00:00:00"/>
        <d v="2022-12-13T00:00:00"/>
        <d v="2022-12-12T00:00:00"/>
        <d v="2022-12-11T00:00:00"/>
        <d v="2022-12-10T00:00:00"/>
        <d v="2022-12-09T00:00:00"/>
        <d v="2022-12-08T00:00:00"/>
        <d v="2022-12-07T00:00:00"/>
        <d v="2022-12-06T00:00:00"/>
        <d v="2022-12-05T00:00:00"/>
        <d v="2022-12-04T00:00:00"/>
        <d v="2022-12-03T00:00:00"/>
        <d v="2022-12-02T00:00:00"/>
        <d v="2022-12-01T00:00:00"/>
        <d v="2022-11-30T00:00:00"/>
        <d v="2022-11-29T00:00:00"/>
        <d v="2022-11-28T00:00:00"/>
        <d v="2022-11-27T00:00:00"/>
        <d v="2022-11-26T00:00:00"/>
        <d v="2022-11-25T00:00:00"/>
        <d v="2022-11-24T00:00:00"/>
        <d v="2022-11-23T00:00:00"/>
        <d v="2022-11-22T00:00:00"/>
        <d v="2022-11-21T00:00:00"/>
        <d v="2022-11-20T00:00:00"/>
        <d v="2022-11-19T00:00:00"/>
        <d v="2022-11-18T00:00:00"/>
        <d v="2022-11-17T00:00:00"/>
        <d v="2022-11-16T00:00:00"/>
        <d v="2022-11-15T00:00:00"/>
        <d v="2022-11-14T00:00:00"/>
        <d v="2022-11-13T00:00:00"/>
        <d v="2022-11-12T00:00:00"/>
        <d v="2022-11-11T00:00:00"/>
        <d v="2022-11-10T00:00:00"/>
        <d v="2022-11-09T00:00:00"/>
        <d v="2022-11-08T00:00:00"/>
        <d v="2022-11-07T00:00:00"/>
        <d v="2022-11-06T00:00:00"/>
        <d v="2022-11-05T00:00:00"/>
        <d v="2022-11-04T00:00:00"/>
        <d v="2022-11-03T00:00:00"/>
        <d v="2022-11-02T00:00:00"/>
        <d v="2022-11-01T00:00:00"/>
        <d v="2022-10-31T00:00:00"/>
        <d v="2022-10-30T00:00:00"/>
        <d v="2022-10-29T00:00:00"/>
        <d v="2022-10-28T00:00:00"/>
        <d v="2022-10-27T00:00:00"/>
        <d v="2022-10-26T00:00:00"/>
        <d v="2022-10-25T00:00:00"/>
        <d v="2022-10-24T00:00:00"/>
        <d v="2022-10-23T00:00:00"/>
        <d v="2022-10-22T00:00:00"/>
        <d v="2022-10-21T00:00:00"/>
        <d v="2022-10-20T00:00:00"/>
        <d v="2022-10-19T00:00:00"/>
        <d v="2022-10-18T00:00:00"/>
        <d v="2022-10-17T00:00:00"/>
        <d v="2022-10-16T00:00:00"/>
        <d v="2022-10-15T00:00:00"/>
        <d v="2022-10-14T00:00:00"/>
        <d v="2022-10-13T00:00:00"/>
        <d v="2022-10-12T00:00:00"/>
        <d v="2022-10-11T00:00:00"/>
        <d v="2022-10-10T00:00:00"/>
        <d v="2022-10-09T00:00:00"/>
        <d v="2022-10-08T00:00:00"/>
        <d v="2022-10-07T00:00:00"/>
        <d v="2022-10-06T00:00:00"/>
        <d v="2022-10-05T00:00:00"/>
        <d v="2022-10-04T00:00:00"/>
        <d v="2022-10-03T00:00:00"/>
        <d v="2022-10-02T00:00:00"/>
        <d v="2022-10-01T00:00:00"/>
        <d v="2022-09-30T00:00:00"/>
        <d v="2022-09-29T00:00:00"/>
        <d v="2022-09-28T00:00:00"/>
        <d v="2022-09-27T00:00:00"/>
        <d v="2022-09-26T00:00:00"/>
        <d v="2022-09-25T00:00:00"/>
        <d v="2022-09-24T00:00:00"/>
        <d v="2022-09-23T00:00:00"/>
        <d v="2022-09-22T00:00:00"/>
        <d v="2022-09-21T00:00:00"/>
        <d v="2022-09-20T00:00:00"/>
        <d v="2022-09-19T00:00:00"/>
        <d v="2022-09-18T00:00:00"/>
        <d v="2022-09-17T00:00:00"/>
        <d v="2022-09-16T00:00:00"/>
        <d v="2022-09-15T00:00:00"/>
        <d v="2022-09-14T00:00:00"/>
        <d v="2022-09-13T00:00:00"/>
        <d v="2022-09-12T00:00:00"/>
        <d v="2022-09-11T00:00:00"/>
        <d v="2022-09-10T00:00:00"/>
        <d v="2022-09-09T00:00:00"/>
        <d v="2022-09-08T00:00:00"/>
        <d v="2022-09-07T00:00:00"/>
        <d v="2022-09-06T00:00:00"/>
        <d v="2022-09-05T00:00:00"/>
        <d v="2022-09-04T00:00:00"/>
        <d v="2022-09-03T00:00:00"/>
        <d v="2022-09-02T00:00:00"/>
        <d v="2022-09-01T00:00:00"/>
        <d v="2022-08-31T00:00:00"/>
        <d v="2022-08-30T00:00:00"/>
        <d v="2022-08-29T00:00:00"/>
        <d v="2022-08-28T00:00:00"/>
        <d v="2022-08-27T00:00:00"/>
        <d v="2022-08-26T00:00:00"/>
        <d v="2022-08-25T00:00:00"/>
        <d v="2022-08-24T00:00:00"/>
        <d v="2022-08-23T00:00:00"/>
        <d v="2022-08-22T00:00:00"/>
        <d v="2022-08-21T00:00:00"/>
        <d v="2022-08-20T00:00:00"/>
        <d v="2022-08-19T00:00:00"/>
        <d v="2022-08-18T00:00:00"/>
        <d v="2022-08-17T00:00:00"/>
        <d v="2022-08-16T00:00:00"/>
        <d v="2022-08-15T00:00:00"/>
        <d v="2022-08-14T00:00:00"/>
        <d v="2022-08-13T00:00:00"/>
        <d v="2022-08-12T00:00:00"/>
        <d v="2022-08-11T00:00:00"/>
        <d v="2022-08-10T00:00:00"/>
        <d v="2022-08-09T00:00:00"/>
        <d v="2022-08-08T00:00:00"/>
        <d v="2022-08-07T00:00:00"/>
        <d v="2022-08-06T00:00:00"/>
        <d v="2022-08-05T00:00:00"/>
        <d v="2022-08-04T00:00:00"/>
        <d v="2022-08-03T00:00:00"/>
        <d v="2022-08-02T00:00:00"/>
        <d v="2022-08-01T00:00:00"/>
        <d v="2022-07-31T00:00:00"/>
        <d v="2022-07-30T00:00:00"/>
        <d v="2022-07-29T00:00:00"/>
        <d v="2022-07-28T00:00:00"/>
        <d v="2022-07-27T00:00:00"/>
        <d v="2022-07-26T00:00:00"/>
        <d v="2022-07-25T00:00:00"/>
        <d v="2022-07-24T00:00:00"/>
        <d v="2022-07-23T00:00:00"/>
        <d v="2022-07-22T00:00:00"/>
        <d v="2022-07-21T00:00:00"/>
        <d v="2022-07-20T00:00:00"/>
        <d v="2022-07-19T00:00:00"/>
        <d v="2022-07-18T00:00:00"/>
        <d v="2022-07-17T00:00:00"/>
        <d v="2022-07-16T00:00:00"/>
        <d v="2022-07-15T00:00:00"/>
        <d v="2022-07-14T00:00:00"/>
        <d v="2022-07-13T00:00:00"/>
        <d v="2022-07-12T00:00:00"/>
        <d v="2022-07-11T00:00:00"/>
        <d v="2022-07-10T00:00:00"/>
        <d v="2022-07-09T00:00:00"/>
        <d v="2022-07-08T00:00:00"/>
        <d v="2022-07-07T00:00:00"/>
        <d v="2022-07-06T00:00:00"/>
        <d v="2022-07-05T00:00:00"/>
        <d v="2022-07-04T00:00:00"/>
        <d v="2022-07-03T00:00:00"/>
        <d v="2022-07-02T00:00:00"/>
        <d v="2022-07-01T00:00:00"/>
        <d v="2022-06-30T00:00:00"/>
        <d v="2022-06-29T00:00:00"/>
        <d v="2022-06-28T00:00:00"/>
        <d v="2022-06-27T00:00:00"/>
        <d v="2022-06-26T00:00:00"/>
        <d v="2022-06-25T00:00:00"/>
        <d v="2022-06-24T00:00:00"/>
        <d v="2022-06-23T00:00:00"/>
        <d v="2022-06-22T00:00:00"/>
        <d v="2022-06-21T00:00:00"/>
        <d v="2022-06-20T00:00:00"/>
        <d v="2022-06-19T00:00:00"/>
        <d v="2022-06-18T00:00:00"/>
        <d v="2022-06-17T00:00:00"/>
        <d v="2022-06-16T00:00:00"/>
        <d v="2022-06-15T00:00:00"/>
        <d v="2022-06-14T00:00:00"/>
        <d v="2022-06-13T00:00:00"/>
        <d v="2022-06-12T00:00:00"/>
        <d v="2022-06-11T00:00:00"/>
        <d v="2022-06-10T00:00:00"/>
        <d v="2022-06-09T00:00:00"/>
        <d v="2022-06-08T00:00:00"/>
        <d v="2022-06-07T00:00:00"/>
        <d v="2022-06-06T00:00:00"/>
        <d v="2022-06-05T00:00:00"/>
        <d v="2022-06-04T00:00:00"/>
        <d v="2022-06-03T00:00:00"/>
        <d v="2022-06-02T00:00:00"/>
        <d v="2022-06-01T00:00:00"/>
        <d v="2022-05-31T00:00:00"/>
        <d v="2022-05-30T00:00:00"/>
        <d v="2022-05-29T00:00:00"/>
        <d v="2022-05-28T00:00:00"/>
        <d v="2022-05-27T00:00:00"/>
        <d v="2022-05-26T00:00:00"/>
        <d v="2022-05-25T00:00:00"/>
        <d v="2022-05-24T00:00:00"/>
        <d v="2022-05-23T00:00:00"/>
        <d v="2022-05-22T00:00:00"/>
        <d v="2022-05-21T00:00:00"/>
        <d v="2022-05-20T00:00:00"/>
        <d v="2022-05-19T00:00:00"/>
        <d v="2022-05-18T00:00:00"/>
        <d v="2022-05-17T00:00:00"/>
        <d v="2022-05-16T00:00:00"/>
        <d v="2022-05-15T00:00:00"/>
        <d v="2022-05-14T00:00:00"/>
        <d v="2022-05-13T00:00:00"/>
        <d v="2022-05-12T00:00:00"/>
        <d v="2022-05-11T00:00:00"/>
        <d v="2022-05-10T00:00:00"/>
        <d v="2022-05-09T00:00:00"/>
        <d v="2022-05-08T00:00:00"/>
        <d v="2022-05-07T00:00:00"/>
        <d v="2022-05-06T00:00:00"/>
        <d v="2022-05-05T00:00:00"/>
        <d v="2022-05-04T00:00:00"/>
        <d v="2022-05-03T00:00:00"/>
        <d v="2022-05-02T00:00:00"/>
        <d v="2022-05-01T00:00:00"/>
        <d v="2022-04-30T00:00:00"/>
        <d v="2022-04-29T00:00:00"/>
        <d v="2022-04-28T00:00:00"/>
        <d v="2022-04-27T00:00:00"/>
        <d v="2022-04-26T00:00:00"/>
        <d v="2022-04-25T00:00:00"/>
        <d v="2022-04-24T00:00:00"/>
        <d v="2022-04-23T00:00:00"/>
        <d v="2022-04-22T00:00:00"/>
        <d v="2022-04-21T00:00:00"/>
        <d v="2022-04-20T00:00:00"/>
        <d v="2022-04-19T00:00:00"/>
        <d v="2022-04-18T00:00:00"/>
        <d v="2022-04-17T00:00:00"/>
        <d v="2022-04-16T00:00:00"/>
        <d v="2022-04-15T00:00:00"/>
        <d v="2022-04-14T00:00:00"/>
        <d v="2022-04-13T00:00:00"/>
        <d v="2022-04-12T00:00:00"/>
        <d v="2022-04-11T00:00:00"/>
        <d v="2022-04-10T00:00:00"/>
        <d v="2022-04-09T00:00:00"/>
        <d v="2022-04-08T00:00:00"/>
        <d v="2022-04-07T00:00:00"/>
        <d v="2022-04-06T00:00:00"/>
        <d v="2022-04-05T00:00:00"/>
        <d v="2022-04-04T00:00:00"/>
        <d v="2022-04-03T00:00:00"/>
        <d v="2022-04-02T00:00:00"/>
        <d v="2022-04-01T00:00:00"/>
        <d v="2022-03-31T00:00:00"/>
        <d v="2022-03-30T00:00:00"/>
        <d v="2022-03-29T00:00:00"/>
        <d v="2022-03-28T00:00:00"/>
        <d v="2022-03-27T00:00:00"/>
        <d v="2022-03-26T00:00:00"/>
        <d v="2022-03-25T00:00:00"/>
        <d v="2022-03-24T00:00:00"/>
        <d v="2022-03-23T00:00:00"/>
        <d v="2022-03-22T00:00:00"/>
        <d v="2022-03-21T00:00:00"/>
        <d v="2022-03-20T00:00:00"/>
        <d v="2022-03-19T00:00:00"/>
        <d v="2022-03-18T00:00:00"/>
        <d v="2022-03-17T00:00:00"/>
        <d v="2022-03-16T00:00:00"/>
        <d v="2022-03-15T00:00:00"/>
        <d v="2022-03-14T00:00:00"/>
        <d v="2022-03-13T00:00:00"/>
        <d v="2022-03-12T00:00:00"/>
        <d v="2022-03-11T00:00:00"/>
        <d v="2022-03-10T00:00:00"/>
        <d v="2022-03-09T00:00:00"/>
        <d v="2022-03-08T00:00:00"/>
        <d v="2022-03-07T00:00:00"/>
        <d v="2022-03-06T00:00:00"/>
        <d v="2022-03-05T00:00:00"/>
        <d v="2022-03-04T00:00:00"/>
        <d v="2022-03-03T00:00:00"/>
        <d v="2022-03-02T00:00:00"/>
        <d v="2022-03-01T00:00:00"/>
        <d v="2022-02-28T00:00:00"/>
        <d v="2022-02-27T00:00:00"/>
        <d v="2022-02-26T00:00:00"/>
        <d v="2022-02-25T00:00:00"/>
        <d v="2022-02-24T00:00:00"/>
        <d v="2022-02-23T00:00:00"/>
        <d v="2022-02-22T00:00:00"/>
        <d v="2022-02-21T00:00:00"/>
        <d v="2022-02-20T00:00:00"/>
        <d v="2022-02-19T00:00:00"/>
        <d v="2022-02-18T00:00:00"/>
        <d v="2022-02-17T00:00:00"/>
        <d v="2022-02-16T00:00:00"/>
        <d v="2022-02-15T00:00:00"/>
        <d v="2022-02-14T00:00:00"/>
        <d v="2022-02-13T00:00:00"/>
        <d v="2022-02-12T00:00:00"/>
        <d v="2022-02-11T00:00:00"/>
        <d v="2022-02-10T00:00:00"/>
        <d v="2022-02-09T00:00:00"/>
        <d v="2022-02-08T00:00:00"/>
        <d v="2022-02-07T00:00:00"/>
        <d v="2022-02-06T00:00:00"/>
        <d v="2022-02-05T00:00:00"/>
        <d v="2022-02-04T00:00:00"/>
        <d v="2022-02-03T00:00:00"/>
        <d v="2022-02-02T00:00:00"/>
        <d v="2022-02-01T00:00:00"/>
        <d v="2022-01-31T00:00:00"/>
        <d v="2022-01-30T00:00:00"/>
        <d v="2022-01-29T00:00:00"/>
        <d v="2022-01-28T00:00:00"/>
        <d v="2022-01-27T00:00:00"/>
        <d v="2022-01-26T00:00:00"/>
        <d v="2022-01-25T00:00:00"/>
        <d v="2022-01-24T00:00:00"/>
        <d v="2022-01-23T00:00:00"/>
        <d v="2022-01-22T00:00:00"/>
        <d v="2022-01-21T00:00:00"/>
        <d v="2022-01-20T00:00:00"/>
        <d v="2022-01-19T00:00:00"/>
        <d v="2022-01-18T00:00:00"/>
        <d v="2022-01-17T00:00:00"/>
        <d v="2022-01-16T00:00:00"/>
        <d v="2022-01-15T00:00:00"/>
        <d v="2022-01-14T00:00:00"/>
        <d v="2022-01-13T00:00:00"/>
        <d v="2022-01-12T00:00:00"/>
        <d v="2022-01-11T00:00:00"/>
        <d v="2022-01-10T00:00:00"/>
        <d v="2022-01-09T00:00:00"/>
        <d v="2022-01-08T00:00:00"/>
        <d v="2022-01-07T00:00:00"/>
        <d v="2022-01-06T00:00:00"/>
        <d v="2022-01-05T00:00:00"/>
        <d v="2022-01-04T00:00:00"/>
        <d v="2022-01-03T00:00:00"/>
        <d v="2022-01-02T00:00:00"/>
        <d v="2022-01-01T00:00:00"/>
        <m/>
      </sharedItems>
      <fieldGroup par="6"/>
    </cacheField>
    <cacheField name="新增粉丝数" numFmtId="0">
      <sharedItems containsString="0" containsBlank="1" containsNumber="1" containsInteger="1" minValue="14" maxValue="5246"/>
    </cacheField>
    <cacheField name="累计粉丝数" numFmtId="0">
      <sharedItems containsString="0" containsBlank="1" containsNumber="1" containsInteger="1" minValue="146511" maxValue="219514"/>
    </cacheField>
    <cacheField name="净增粉丝数" numFmtId="0">
      <sharedItems containsString="0" containsBlank="1" containsNumber="1" containsInteger="1" minValue="-107" maxValue="5154"/>
    </cacheField>
    <cacheField name="月(统计日期)" numFmtId="0" databaseField="0">
      <fieldGroup base="0">
        <rangePr groupBy="months" startDate="2022-01-01T00:00:00" endDate="2025-04-01T00:00:00"/>
        <groupItems count="14">
          <s v="&lt;2022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5/4/1"/>
        </groupItems>
      </fieldGroup>
    </cacheField>
    <cacheField name="季度(统计日期)" numFmtId="0" databaseField="0">
      <fieldGroup base="0">
        <rangePr groupBy="quarters" startDate="2022-01-01T00:00:00" endDate="2025-04-01T00:00:00"/>
        <groupItems count="6">
          <s v="&lt;2022/1/1"/>
          <s v="第一季"/>
          <s v="第二季"/>
          <s v="第三季"/>
          <s v="第四季"/>
          <s v="&gt;2025/4/1"/>
        </groupItems>
      </fieldGroup>
    </cacheField>
    <cacheField name="年(统计日期)" numFmtId="0" databaseField="0">
      <fieldGroup base="0">
        <rangePr groupBy="years" startDate="2022-01-01T00:00:00" endDate="2025-04-01T00:00:00"/>
        <groupItems count="6">
          <s v="&lt;2022/1/1"/>
          <s v="2022年"/>
          <s v="2023年"/>
          <s v="2024年"/>
          <s v="2025年"/>
          <s v="&gt;2025/4/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安娜" refreshedDate="45968.745107291666" createdVersion="8" refreshedVersion="8" minRefreshableVersion="3" recordCount="192" xr:uid="{976873D2-2907-4D39-B8CB-44F6E7AEFB32}">
  <cacheSource type="worksheet">
    <worksheetSource ref="A3:K225" sheet="dtc_channel源"/>
  </cacheSource>
  <cacheFields count="13">
    <cacheField name="DATE" numFmtId="14">
      <sharedItems containsNonDate="0" containsDate="1" containsString="0" containsBlank="1" minDate="2024-04-01T00:00:00" maxDate="2025-10-02T00:00:00" count="20">
        <d v="2025-04-01T00:00:00"/>
        <d v="2025-05-01T00:00:00"/>
        <d v="2025-06-01T00:00:00"/>
        <d v="2025-07-01T00:00:00"/>
        <d v="2025-08-01T00:00:00"/>
        <d v="2025-09-01T00:00:00"/>
        <d v="2025-10-01T00:00:00"/>
        <m/>
        <d v="2024-04-01T00:00:00" u="1"/>
        <d v="2024-05-01T00:00:00" u="1"/>
        <d v="2024-06-01T00:00:00" u="1"/>
        <d v="2024-07-01T00:00:00" u="1"/>
        <d v="2024-08-01T00:00:00" u="1"/>
        <d v="2024-09-01T00:00:00" u="1"/>
        <d v="2024-10-01T00:00:00" u="1"/>
        <d v="2024-11-01T00:00:00" u="1"/>
        <d v="2024-12-01T00:00:00" u="1"/>
        <d v="2025-01-01T00:00:00" u="1"/>
        <d v="2025-02-01T00:00:00" u="1"/>
        <d v="2025-03-01T00:00:00" u="1"/>
      </sharedItems>
    </cacheField>
    <cacheField name="1st_Channel" numFmtId="14">
      <sharedItems containsBlank="1" count="6">
        <s v="Organic"/>
        <s v="Paid"/>
        <s v="Free"/>
        <s v="FF"/>
        <m/>
        <s v="NON_PAID" u="1"/>
      </sharedItems>
    </cacheField>
    <cacheField name="2nd_channel" numFmtId="14">
      <sharedItems containsBlank="1" count="28">
        <s v="Brand Search"/>
        <s v="Affiliation CPS"/>
        <s v="Quick_Entry"/>
        <s v="Brand Social"/>
        <s v="Others"/>
        <s v="CRM"/>
        <s v="Mingpin"/>
        <s v="Display CPC"/>
        <s v="FF"/>
        <s v="Brandzone"/>
        <m/>
        <s v="Advertisement" u="1"/>
        <s v="Scan" u="1"/>
        <s v="SC_PinShu" u="1"/>
        <s v="Search" u="1"/>
        <s v="Chat" u="1"/>
        <s v="Official_Account" u="1"/>
        <s v="Other_Wxapp" u="1"/>
        <s v="Wechat_Entry" u="1"/>
        <s v="Channels" u="1"/>
        <s v="Notification" u="1"/>
        <s v="SMS" u="1"/>
        <s v="SC_Tanglala" u="1"/>
        <s v="SC_55" u="1"/>
        <s v="SC_值得买" u="1"/>
        <s v="SC_识货" u="1"/>
        <s v="SC_品数" u="1"/>
        <s v="Red_Pocket" u="1"/>
      </sharedItems>
    </cacheField>
    <cacheField name="3rd_channel" numFmtId="0">
      <sharedItems containsBlank="1"/>
    </cacheField>
    <cacheField name="渠道来源" numFmtId="0">
      <sharedItems containsBlank="1" count="33">
        <s v="搜索"/>
        <s v="55海淘"/>
        <s v="品数"/>
        <s v="快捷入口"/>
        <s v="公众号"/>
        <s v="其他移动引用"/>
        <s v="URL详情"/>
        <s v="微信聊天"/>
        <s v="名品小程序"/>
        <s v="扫码"/>
        <s v="微信功能入口"/>
        <s v="视频号"/>
        <s v="服务通知"/>
        <s v="朋友圈广告"/>
        <s v="其他小程序"/>
        <s v="唐辣辣"/>
        <s v="其他"/>
        <s v="内卖"/>
        <s v="直播小程序"/>
        <s v="视频号广告"/>
        <s v="小红书品专"/>
        <s v="识货"/>
        <s v="官网QR"/>
        <m/>
        <s v="社群55海淘" u="1"/>
        <s v="社群唐辣辣" u="1"/>
        <s v="名品" u="1"/>
        <s v="朋友圈广告&amp;red_bidding_feeds" u="1"/>
        <s v="值得买App" u="1"/>
        <s v="识货App" u="1"/>
        <s v="吉良先生公众号文章广告" u="1"/>
        <s v="red_bidding_feeds" u="1"/>
        <s v="红包封面" u="1"/>
      </sharedItems>
    </cacheField>
    <cacheField name="TY_UV" numFmtId="0">
      <sharedItems containsString="0" containsBlank="1" containsNumber="1" containsInteger="1" minValue="0" maxValue="3200"/>
    </cacheField>
    <cacheField name="TY_ORDERS" numFmtId="0">
      <sharedItems containsString="0" containsBlank="1" containsNumber="1" containsInteger="1" minValue="0" maxValue="270"/>
    </cacheField>
    <cacheField name="TY_SALES" numFmtId="0">
      <sharedItems containsString="0" containsBlank="1" containsNumber="1" containsInteger="1" minValue="0" maxValue="524464"/>
    </cacheField>
    <cacheField name="LY_UV" numFmtId="0">
      <sharedItems containsString="0" containsBlank="1" containsNumber="1" containsInteger="1" minValue="0" maxValue="12591"/>
    </cacheField>
    <cacheField name="LY_ORDERS" numFmtId="0">
      <sharedItems containsString="0" containsBlank="1" containsNumber="1" containsInteger="1" minValue="0" maxValue="845"/>
    </cacheField>
    <cacheField name="LY_SALES" numFmtId="0">
      <sharedItems containsString="0" containsBlank="1" containsNumber="1" containsInteger="1" minValue="0" maxValue="841725"/>
    </cacheField>
    <cacheField name="BU25_CVR" numFmtId="0" formula="#NAME?/#NAME?" databaseField="0"/>
    <cacheField name="BU24_CVR" numFmtId="0" formula="#NAME?/#NAME?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安娜" refreshedDate="46028.775996990742" createdVersion="8" refreshedVersion="8" minRefreshableVersion="3" recordCount="1081" xr:uid="{F6147F73-4516-477E-B776-2AE6E57463BB}">
  <cacheSource type="worksheet">
    <worksheetSource ref="A1:K1048576" sheet="竞店一级数据源"/>
  </cacheSource>
  <cacheFields count="12">
    <cacheField name="date_type" numFmtId="0">
      <sharedItems containsBlank="1" count="2">
        <s v="month"/>
        <m/>
      </sharedItems>
    </cacheField>
    <cacheField name="stat_date" numFmtId="0">
      <sharedItems containsBlank="1" count="19">
        <s v="2024-04-30"/>
        <s v="2024-05-31"/>
        <s v="2024-06-30"/>
        <s v="2024-07-31"/>
        <s v="2024-08-31"/>
        <s v="2024-09-30"/>
        <s v="2024-10-31"/>
        <s v="2024-11-30"/>
        <s v="2024-12-31"/>
        <s v="2025-04-30"/>
        <s v="2025-05-31"/>
        <s v="2025-06-30"/>
        <s v="2025-07-31"/>
        <s v="2025-08-31"/>
        <s v="2025-09-30"/>
        <s v="2025-10-31"/>
        <s v="2025-11-30"/>
        <s v="2025-12-31"/>
        <m/>
      </sharedItems>
    </cacheField>
    <cacheField name="user_name" numFmtId="0">
      <sharedItems containsBlank="1" count="4">
        <s v="brunellocucinelli旗舰店"/>
        <s v="dunhill登喜路官方旗舰店"/>
        <s v="zegna杰尼亚官方旗舰店"/>
        <m/>
      </sharedItems>
    </cacheField>
    <cacheField name="src_name" numFmtId="0">
      <sharedItems containsBlank="1" count="3">
        <s v="平台流量"/>
        <s v="广告流量"/>
        <m/>
      </sharedItems>
    </cacheField>
    <cacheField name="uv" numFmtId="0">
      <sharedItems containsString="0" containsBlank="1" containsNumber="1" containsInteger="1" minValue="31202" maxValue="1520790"/>
    </cacheField>
    <cacheField name="new_uv" numFmtId="0">
      <sharedItems containsString="0" containsBlank="1" containsNumber="1" containsInteger="1" minValue="26530" maxValue="1242250"/>
    </cacheField>
    <cacheField name="atc_users" numFmtId="0">
      <sharedItems containsString="0" containsBlank="1" containsNumber="1" containsInteger="1" minValue="665" maxValue="9529"/>
    </cacheField>
    <cacheField name="buyers" numFmtId="0">
      <sharedItems containsString="0" containsBlank="1" containsNumber="1" containsInteger="1" minValue="77" maxValue="2221"/>
    </cacheField>
    <cacheField name="gmv" numFmtId="0">
      <sharedItems containsString="0" containsBlank="1" containsNumber="1" minValue="432645" maxValue="12848413.739999998"/>
    </cacheField>
    <cacheField name="bu" numFmtId="0">
      <sharedItems containsBlank="1" count="3">
        <s v="BU25"/>
        <s v="BU26"/>
        <m/>
      </sharedItems>
    </cacheField>
    <cacheField name="month" numFmtId="0">
      <sharedItems containsString="0" containsBlank="1" containsNumber="1" containsInteger="1" minValue="4" maxValue="12" count="10">
        <n v="4"/>
        <n v="5"/>
        <n v="6"/>
        <n v="7"/>
        <n v="8"/>
        <n v="9"/>
        <n v="10"/>
        <n v="11"/>
        <n v="12"/>
        <m/>
      </sharedItems>
    </cacheField>
    <cacheField name="cr" numFmtId="0" formula="#NAME?/#NAME?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安娜" refreshedDate="46028.800826157407" createdVersion="8" refreshedVersion="8" minRefreshableVersion="3" recordCount="752" xr:uid="{9246DF87-D4BC-4CDB-856C-93635A627F8E}">
  <cacheSource type="worksheet">
    <worksheetSource ref="A1:L1048576" sheet="竞店PAID三级数据源"/>
  </cacheSource>
  <cacheFields count="13">
    <cacheField name="date_type" numFmtId="0">
      <sharedItems containsBlank="1" count="2">
        <s v="month"/>
        <m/>
      </sharedItems>
    </cacheField>
    <cacheField name="stat_date" numFmtId="0">
      <sharedItems containsBlank="1" count="22">
        <s v="2024-04-30"/>
        <s v="2024-05-31"/>
        <s v="2024-06-30"/>
        <s v="2024-07-31"/>
        <s v="2024-08-31"/>
        <s v="2024-09-30"/>
        <s v="2024-10-31"/>
        <s v="2024-11-30"/>
        <s v="2024-12-31"/>
        <s v="2025-01-31"/>
        <s v="2025-02-28"/>
        <s v="2025-03-31"/>
        <s v="2025-04-30"/>
        <s v="2025-05-31"/>
        <s v="2025-06-30"/>
        <s v="2025-07-31"/>
        <s v="2025-08-31"/>
        <s v="2025-09-30"/>
        <s v="2025-10-31"/>
        <s v="2025-11-30"/>
        <s v="2025-12-31"/>
        <m/>
      </sharedItems>
    </cacheField>
    <cacheField name="user_name" numFmtId="0">
      <sharedItems containsBlank="1" count="4">
        <s v="brunellocucinelli旗舰店"/>
        <s v="dunhill登喜路官方旗舰店"/>
        <s v="zegna杰尼亚官方旗舰店"/>
        <m/>
      </sharedItems>
    </cacheField>
    <cacheField name="parent_src_name" numFmtId="0">
      <sharedItems containsBlank="1"/>
    </cacheField>
    <cacheField name="src_name" numFmtId="0">
      <sharedItems containsBlank="1" containsMixedTypes="1" containsNumber="1" minValue="22.1" maxValue="28" count="29">
        <s v="万相台"/>
        <s v="流量宝"/>
        <s v="直通车"/>
        <s v="淘宝客"/>
        <s v="超级短视频"/>
        <s v="引力魔方"/>
        <s v="品销宝- 明星店铺"/>
        <s v="品牌定制"/>
        <s v="UD效果投放"/>
        <s v="品销宝- 品牌专区"/>
        <s v="品牌特秀"/>
        <s v="超级全域通"/>
        <s v="Showmax"/>
        <s v="超级直播"/>
        <s v="短直联动"/>
        <s v="单媒体营销"/>
        <m/>
        <n v="22.1" u="1"/>
        <n v="22.15" u="1"/>
        <n v="23.495000000000001" u="1"/>
        <n v="22.18" u="1"/>
        <n v="22.17" u="1"/>
        <n v="27.495100000000001" u="1"/>
        <n v="22.2" u="1"/>
        <n v="22.19" u="1"/>
        <n v="22.6" u="1"/>
        <n v="28" u="1"/>
        <n v="27.495200000000001" u="1"/>
        <n v="22.7" u="1"/>
      </sharedItems>
      <fieldGroup par="12"/>
    </cacheField>
    <cacheField name="uv" numFmtId="0">
      <sharedItems containsString="0" containsBlank="1" containsNumber="1" containsInteger="1" minValue="1" maxValue="1000375"/>
    </cacheField>
    <cacheField name="new_uv" numFmtId="0">
      <sharedItems containsString="0" containsBlank="1" containsNumber="1" containsInteger="1" minValue="0" maxValue="748569"/>
    </cacheField>
    <cacheField name="atc_users" numFmtId="0">
      <sharedItems containsString="0" containsBlank="1" containsNumber="1" containsInteger="1" minValue="0" maxValue="4079"/>
    </cacheField>
    <cacheField name="buyers" numFmtId="0">
      <sharedItems containsString="0" containsBlank="1" containsNumber="1" containsInteger="1" minValue="0" maxValue="701"/>
    </cacheField>
    <cacheField name="gmv" numFmtId="0">
      <sharedItems containsString="0" containsBlank="1" containsNumber="1" minValue="0" maxValue="3366633.3200000003"/>
    </cacheField>
    <cacheField name="bu" numFmtId="0">
      <sharedItems containsBlank="1" count="3">
        <s v="BU25"/>
        <s v="BU26"/>
        <m/>
      </sharedItems>
    </cacheField>
    <cacheField name="month" numFmtId="0">
      <sharedItems containsString="0" containsBlank="1" containsNumber="1" containsInteger="1" minValue="1" maxValue="12" count="13">
        <n v="4"/>
        <n v="5"/>
        <n v="6"/>
        <n v="7"/>
        <n v="8"/>
        <n v="9"/>
        <n v="10"/>
        <n v="11"/>
        <n v="12"/>
        <n v="1"/>
        <n v="2"/>
        <n v="3"/>
        <m/>
      </sharedItems>
    </cacheField>
    <cacheField name="src_name2" numFmtId="0" databaseField="0">
      <fieldGroup base="4">
        <discretePr count="29">
          <x v="16"/>
          <x v="14"/>
          <x v="16"/>
          <x v="16"/>
          <x v="12"/>
          <x v="16"/>
          <x v="16"/>
          <x v="14"/>
          <x v="14"/>
          <x v="16"/>
          <x v="13"/>
          <x v="14"/>
          <x v="13"/>
          <x v="12"/>
          <x v="12"/>
          <x v="12"/>
          <x v="15"/>
          <x v="0"/>
          <x v="1"/>
          <x v="2"/>
          <x v="3"/>
          <x v="4"/>
          <x v="5"/>
          <x v="6"/>
          <x v="7"/>
          <x v="8"/>
          <x v="9"/>
          <x v="10"/>
          <x v="11"/>
        </discretePr>
        <groupItems count="17">
          <n v="22.1"/>
          <n v="22.15"/>
          <n v="23.495000000000001"/>
          <n v="22.18"/>
          <n v="22.17"/>
          <n v="27.495100000000001"/>
          <n v="22.2"/>
          <n v="22.19"/>
          <n v="22.6"/>
          <n v="28"/>
          <n v="27.495200000000001"/>
          <n v="22.7"/>
          <s v="数据组2"/>
          <s v="数据组3"/>
          <s v="数据组1"/>
          <m/>
          <s v="数据组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安娜" refreshedDate="46028.81176921296" createdVersion="8" refreshedVersion="8" minRefreshableVersion="3" recordCount="233" xr:uid="{F58FE003-31EB-43C3-8420-27BDDE757BA7}">
  <cacheSource type="worksheet">
    <worksheetSource ref="A1:S1048576" sheet="一级流量源"/>
  </cacheSource>
  <cacheFields count="22">
    <cacheField name="统计日期" numFmtId="0">
      <sharedItems containsNonDate="0" containsDate="1" containsString="0" containsBlank="1" minDate="2022-04-01T00:00:00" maxDate="2025-12-02T00:00:00" count="115"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4-03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2-01T00:00:00"/>
        <m/>
      </sharedItems>
      <fieldGroup par="20"/>
    </cacheField>
    <cacheField name="一级来源" numFmtId="0">
      <sharedItems containsBlank="1" count="3">
        <s v="平台流量"/>
        <s v="广告流量"/>
        <m/>
      </sharedItems>
    </cacheField>
    <cacheField name="日期类型" numFmtId="0">
      <sharedItems containsBlank="1" count="3">
        <s v="month"/>
        <s v="day"/>
        <m/>
      </sharedItems>
    </cacheField>
    <cacheField name="访客数" numFmtId="0">
      <sharedItems containsString="0" containsBlank="1" containsNumber="1" containsInteger="1" minValue="3090" maxValue="598138"/>
    </cacheField>
    <cacheField name="新访客数" numFmtId="0">
      <sharedItems containsString="0" containsBlank="1" containsNumber="1" containsInteger="1" minValue="2114" maxValue="576781"/>
    </cacheField>
    <cacheField name="加购人数" numFmtId="0">
      <sharedItems containsString="0" containsBlank="1" containsNumber="1" containsInteger="1" minValue="71" maxValue="9529"/>
    </cacheField>
    <cacheField name="商品收藏人数" numFmtId="0">
      <sharedItems containsString="0" containsBlank="1" containsNumber="1" containsInteger="1" minValue="26" maxValue="5230"/>
    </cacheField>
    <cacheField name="下单金额" numFmtId="0">
      <sharedItems containsString="0" containsBlank="1" containsNumber="1" minValue="39085" maxValue="17011176.390000001"/>
    </cacheField>
    <cacheField name="下单买家数" numFmtId="0">
      <sharedItems containsString="0" containsBlank="1" containsNumber="1" containsInteger="1" minValue="6" maxValue="2485"/>
    </cacheField>
    <cacheField name="支付金额" numFmtId="0">
      <sharedItems containsString="0" containsBlank="1" containsNumber="1" minValue="10645" maxValue="12848413.74"/>
    </cacheField>
    <cacheField name="支付买家数" numFmtId="0">
      <sharedItems containsString="0" containsBlank="1" containsNumber="1" containsInteger="1" minValue="2" maxValue="2221"/>
    </cacheField>
    <cacheField name="引导店铺页访客数" numFmtId="0">
      <sharedItems containsBlank="1" containsMixedTypes="1" containsNumber="1" containsInteger="1" minValue="792" maxValue="71567"/>
    </cacheField>
    <cacheField name="引导商品访客数" numFmtId="0">
      <sharedItems containsString="0" containsBlank="1" containsNumber="1" containsInteger="1" minValue="2476" maxValue="576611"/>
    </cacheField>
    <cacheField name="year" numFmtId="0">
      <sharedItems containsString="0" containsBlank="1" containsNumber="1" containsInteger="1" minValue="2022" maxValue="2025" count="5">
        <n v="2022"/>
        <n v="2023"/>
        <n v="2024"/>
        <n v="2025"/>
        <m/>
      </sharedItems>
    </cacheField>
    <cacheField name="month" numFmtId="0">
      <sharedItems containsString="0" containsBlank="1" containsNumber="1" containsInteger="1" minValue="1" maxValue="12"/>
    </cacheField>
    <cacheField name="campaign" numFmtId="0">
      <sharedItems containsBlank="1" count="2">
        <m/>
        <s v="D11"/>
      </sharedItems>
    </cacheField>
    <cacheField name="UV" numFmtId="0">
      <sharedItems containsString="0" containsBlank="1" containsNumber="1" containsInteger="1" minValue="0" maxValue="1571"/>
    </cacheField>
    <cacheField name="buyers" numFmtId="0">
      <sharedItems containsString="0" containsBlank="1" containsNumber="1" containsInteger="1" minValue="0" maxValue="8"/>
    </cacheField>
    <cacheField name="phase" numFmtId="0">
      <sharedItems containsBlank="1" count="4">
        <m/>
        <s v="pre-sale"/>
        <s v="phase1"/>
        <s v="phase2"/>
      </sharedItems>
    </cacheField>
    <cacheField name="月(统计日期)" numFmtId="0" databaseField="0">
      <fieldGroup base="0">
        <rangePr groupBy="months" startDate="2022-04-01T00:00:00" endDate="2025-12-02T00:00:00"/>
        <groupItems count="14">
          <s v="&lt;2022/4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5/12/2"/>
        </groupItems>
      </fieldGroup>
    </cacheField>
    <cacheField name="年(统计日期)" numFmtId="0" databaseField="0">
      <fieldGroup base="0">
        <rangePr groupBy="years" startDate="2022-04-01T00:00:00" endDate="2025-12-02T00:00:00"/>
        <groupItems count="6">
          <s v="&lt;2022/4/1"/>
          <s v="2022年"/>
          <s v="2023年"/>
          <s v="2024年"/>
          <s v="2025年"/>
          <s v="&gt;2025/12/2"/>
        </groupItems>
      </fieldGroup>
    </cacheField>
    <cacheField name="CVR" numFmtId="0" formula="支付买家数/访客数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安娜" refreshedDate="46029.786152430555" createdVersion="8" refreshedVersion="8" minRefreshableVersion="3" recordCount="108" xr:uid="{5EED46C0-9444-4153-838F-3ADB173F481A}">
  <cacheSource type="worksheet">
    <worksheetSource ref="B2:L110" sheet="公众号"/>
  </cacheSource>
  <cacheFields count="12">
    <cacheField name="date" numFmtId="14">
      <sharedItems containsSemiMixedTypes="0" containsNonDate="0" containsDate="1" containsString="0" minDate="2024-04-01T00:00:00" maxDate="2025-12-02T00:00:00" count="18">
        <d v="2025-08-01T00:00:00"/>
        <d v="2025-07-01T00:00:00"/>
        <d v="2025-06-01T00:00:00"/>
        <d v="2025-05-01T00:00:00"/>
        <d v="2025-04-01T00:00:00"/>
        <d v="2024-08-01T00:00:00"/>
        <d v="2024-07-01T00:00:00"/>
        <d v="2024-06-01T00:00:00"/>
        <d v="2024-05-01T00:00:00"/>
        <d v="2024-04-01T00:00:00"/>
        <d v="2025-09-01T00:00:00"/>
        <d v="2024-09-01T00:00:00"/>
        <d v="2025-10-01T00:00:00"/>
        <d v="2024-10-01T00:00:00"/>
        <d v="2025-11-01T00:00:00"/>
        <d v="2024-11-01T00:00:00"/>
        <d v="2025-12-01T00:00:00"/>
        <d v="2024-12-01T00:00:00"/>
      </sharedItems>
    </cacheField>
    <cacheField name="channel" numFmtId="0">
      <sharedItems/>
    </cacheField>
    <cacheField name="scene" numFmtId="0">
      <sharedItems count="6">
        <s v="公众号自定义菜单"/>
        <s v="公众号文章"/>
        <s v="公众号模板消息"/>
        <s v="公众号 profile 页服务预览"/>
        <s v="公众号会话下发的小程序消息卡片"/>
        <s v="公众号会话下发的文字链"/>
      </sharedItems>
    </cacheField>
    <cacheField name="uv" numFmtId="176">
      <sharedItems containsSemiMixedTypes="0" containsString="0" containsNumber="1" containsInteger="1" minValue="0" maxValue="682"/>
    </cacheField>
    <cacheField name="uv%" numFmtId="9">
      <sharedItems containsSemiMixedTypes="0" containsString="0" containsNumber="1" minValue="0" maxValue="0.62398703403565636"/>
    </cacheField>
    <cacheField name="atc" numFmtId="0">
      <sharedItems containsSemiMixedTypes="0" containsString="0" containsNumber="1" containsInteger="1" minValue="0" maxValue="39"/>
    </cacheField>
    <cacheField name=" uv to atc" numFmtId="10">
      <sharedItems containsSemiMixedTypes="0" containsString="0" containsNumber="1" minValue="0" maxValue="0.2558139534883721"/>
    </cacheField>
    <cacheField name="order" numFmtId="0">
      <sharedItems containsSemiMixedTypes="0" containsString="0" containsNumber="1" containsInteger="1" minValue="0" maxValue="3"/>
    </cacheField>
    <cacheField name="amount" numFmtId="176">
      <sharedItems containsSemiMixedTypes="0" containsString="0" containsNumber="1" containsInteger="1" minValue="0" maxValue="14500"/>
    </cacheField>
    <cacheField name="cvr" numFmtId="10">
      <sharedItems containsSemiMixedTypes="0" containsString="0" containsNumber="1" minValue="0" maxValue="2.5000000000000001E-2"/>
    </cacheField>
    <cacheField name="bu" numFmtId="0">
      <sharedItems count="2">
        <s v="BU26"/>
        <s v="BU25"/>
      </sharedItems>
    </cacheField>
    <cacheField name="cvr%" numFmtId="0" formula="order/uv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安娜" refreshedDate="46031.732191550924" createdVersion="8" refreshedVersion="8" minRefreshableVersion="3" recordCount="6476" xr:uid="{04E1AECA-475B-422A-B586-48C1CAF96D4E}">
  <cacheSource type="worksheet">
    <worksheetSource ref="A1:R1048576" sheet="二级流量源"/>
  </cacheSource>
  <cacheFields count="22">
    <cacheField name="日期类型" numFmtId="0">
      <sharedItems containsBlank="1" count="3">
        <s v="month"/>
        <s v="day"/>
        <m/>
      </sharedItems>
    </cacheField>
    <cacheField name="统计日期" numFmtId="0">
      <sharedItems containsNonDate="0" containsDate="1" containsString="0" containsBlank="1" minDate="2023-04-01T00:00:00" maxDate="2025-12-02T00:00:00" count="182">
        <d v="2024-06-01T00:00:00"/>
        <d v="2024-05-01T00:00:00"/>
        <d v="2024-04-01T00:00:00"/>
        <d v="2023-06-01T00:00:00"/>
        <d v="2023-05-01T00:00:00"/>
        <d v="2023-04-01T00:00:00"/>
        <d v="2024-07-01T00:00:00"/>
        <d v="2023-07-01T00:00:00"/>
        <d v="2024-08-01T00:00:00"/>
        <d v="2023-08-01T00:00:00"/>
        <d v="2024-09-01T00:00:00"/>
        <d v="2023-09-01T00:00:00"/>
        <d v="2024-10-01T00:00:00"/>
        <d v="2023-10-01T00:00:00"/>
        <d v="2024-11-01T00:00:00"/>
        <d v="2023-11-01T00:00:00"/>
        <d v="2024-12-01T00:00:00"/>
        <d v="2023-12-01T00:00:00"/>
        <d v="2025-01-01T00:00:00"/>
        <d v="2024-01-01T00:00:00"/>
        <d v="2025-02-01T00:00:00"/>
        <d v="2024-02-01T00:00:00"/>
        <d v="2025-03-01T00:00:00"/>
        <d v="2024-03-01T00:00:00"/>
        <d v="2025-04-01T00:00:00"/>
        <d v="2025-05-01T00:00:00"/>
        <d v="2025-06-20T00:00:00"/>
        <d v="2025-06-19T00:00:00"/>
        <d v="2025-06-18T00:00:00"/>
        <d v="2025-06-17T00:00:00"/>
        <d v="2025-06-16T00:00:00"/>
        <d v="2025-06-15T00:00:00"/>
        <d v="2025-06-14T00:00:00"/>
        <d v="2025-06-13T00:00:00"/>
        <d v="2025-06-12T00:00:00"/>
        <d v="2025-06-11T00:00:00"/>
        <d v="2025-06-10T00:00:00"/>
        <d v="2025-06-09T00:00:00"/>
        <d v="2025-06-08T00:00:00"/>
        <d v="2025-06-07T00:00:00"/>
        <d v="2025-06-06T00:00:00"/>
        <d v="2025-06-05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7T00:00:00"/>
        <d v="2025-05-26T00:00:00"/>
        <d v="2025-05-25T00:00:00"/>
        <d v="2025-05-24T00:00:00"/>
        <d v="2025-05-23T00:00:00"/>
        <d v="2025-05-22T00:00:00"/>
        <d v="2025-05-21T00:00:00"/>
        <d v="2025-05-20T00:00:00"/>
        <d v="2025-05-19T00:00:00"/>
        <d v="2025-05-18T00:00:00"/>
        <d v="2025-05-17T00:00:00"/>
        <d v="2025-05-16T00:00:00"/>
        <d v="2025-05-15T00:00:00"/>
        <d v="2025-05-14T00:00:00"/>
        <d v="2025-05-13T00:00:00"/>
        <d v="2025-05-12T00:00:00"/>
        <d v="2024-06-20T00:00:00"/>
        <d v="2024-06-19T00:00:00"/>
        <d v="2024-06-18T00:00:00"/>
        <d v="2024-06-17T00:00:00"/>
        <d v="2024-06-16T00:00:00"/>
        <d v="2024-06-15T00:00:00"/>
        <d v="2024-06-14T00:00:00"/>
        <d v="2024-06-13T00:00:00"/>
        <d v="2024-06-12T00:00:00"/>
        <d v="2024-06-11T00:00:00"/>
        <d v="2024-06-10T00:00:00"/>
        <d v="2024-06-09T00:00:00"/>
        <d v="2024-06-08T00:00:00"/>
        <d v="2024-06-07T00:00:00"/>
        <d v="2024-06-06T00:00:00"/>
        <d v="2024-06-05T00:00:00"/>
        <d v="2024-06-04T00:00:00"/>
        <d v="2024-06-03T00:00:00"/>
        <d v="2024-06-02T00:00:00"/>
        <d v="2024-05-31T00:00:00"/>
        <d v="2024-05-30T00:00:00"/>
        <d v="2024-05-29T00:00:00"/>
        <d v="2024-05-28T00:00:00"/>
        <d v="2024-05-27T00:00:00"/>
        <d v="2024-05-26T00:00:00"/>
        <d v="2024-05-25T00:00:00"/>
        <d v="2024-05-24T00:00:00"/>
        <d v="2024-05-23T00:00:00"/>
        <d v="2024-05-22T00:00:00"/>
        <d v="2024-05-21T00:00:00"/>
        <d v="2024-05-20T00:00:00"/>
        <d v="2024-05-19T00:00:00"/>
        <d v="2024-05-18T00:00:00"/>
        <d v="2024-05-17T00:00:00"/>
        <d v="2024-05-16T00:00:00"/>
        <d v="2024-05-15T00:00:00"/>
        <d v="2024-05-14T00:00:00"/>
        <d v="2024-05-13T00:00:00"/>
        <d v="2024-05-12T00:00:00"/>
        <d v="2025-07-01T00:00:00"/>
        <d v="2025-08-01T00:00:00"/>
        <d v="2025-09-01T00:00:00"/>
        <d v="2025-10-01T00:00:00"/>
        <d v="2025-11-14T00:00:00"/>
        <d v="2025-11-13T00:00:00"/>
        <d v="2025-11-12T00:00:00"/>
        <d v="2025-11-11T00:00:00"/>
        <d v="2025-11-10T00:00:00"/>
        <d v="2025-11-09T00:00:00"/>
        <d v="2025-11-08T00:00:00"/>
        <d v="2025-11-07T00:00:00"/>
        <d v="2025-11-06T00:00:00"/>
        <d v="2025-11-05T00:00:00"/>
        <d v="2025-11-04T00:00:00"/>
        <d v="2025-11-03T00:00:00"/>
        <d v="2025-11-02T00:00:00"/>
        <d v="2025-11-01T00:00:00"/>
        <d v="2025-10-31T00:00:00"/>
        <d v="2025-10-30T00:00:00"/>
        <d v="2025-10-29T00:00:00"/>
        <d v="2025-10-28T00:00:00"/>
        <d v="2025-10-27T00:00:00"/>
        <d v="2025-10-26T00:00:00"/>
        <d v="2025-10-25T00:00:00"/>
        <d v="2025-10-24T00:00:00"/>
        <d v="2025-10-23T00:00:00"/>
        <d v="2025-10-22T00:00:00"/>
        <d v="2025-10-21T00:00:00"/>
        <d v="2025-10-20T00:00:00"/>
        <d v="2025-10-19T00:00:00"/>
        <d v="2025-10-18T00:00:00"/>
        <d v="2025-10-17T00:00:00"/>
        <d v="2025-10-16T00:00:00"/>
        <d v="2025-10-15T00:00:00"/>
        <d v="2025-10-14T00:00:00"/>
        <d v="2025-10-13T00:00:00"/>
        <d v="2025-10-12T00:00:00"/>
        <d v="2025-10-11T00:00:00"/>
        <d v="2025-10-10T00:00:00"/>
        <d v="2024-11-14T00:00:00"/>
        <d v="2024-11-13T00:00:00"/>
        <d v="2024-11-12T00:00:00"/>
        <d v="2024-11-11T00:00:00"/>
        <d v="2024-11-10T00:00:00"/>
        <d v="2024-11-09T00:00:00"/>
        <d v="2024-11-08T00:00:00"/>
        <d v="2024-11-07T00:00:00"/>
        <d v="2024-11-06T00:00:00"/>
        <d v="2024-11-05T00:00:00"/>
        <d v="2024-11-04T00:00:00"/>
        <d v="2024-11-03T00:00:00"/>
        <d v="2024-11-02T00:00:00"/>
        <d v="2024-10-31T00:00:00"/>
        <d v="2024-10-30T00:00:00"/>
        <d v="2024-10-29T00:00:00"/>
        <d v="2024-10-28T00:00:00"/>
        <d v="2024-10-27T00:00:00"/>
        <d v="2024-10-26T00:00:00"/>
        <d v="2024-10-25T00:00:00"/>
        <d v="2024-10-24T00:00:00"/>
        <d v="2024-10-23T00:00:00"/>
        <d v="2024-10-22T00:00:00"/>
        <d v="2024-10-21T00:00:00"/>
        <d v="2024-10-20T00:00:00"/>
        <d v="2024-10-19T00:00:00"/>
        <d v="2024-10-18T00:00:00"/>
        <d v="2024-10-17T00:00:00"/>
        <d v="2024-10-16T00:00:00"/>
        <d v="2024-10-15T00:00:00"/>
        <d v="2024-10-14T00:00:00"/>
        <d v="2024-10-13T00:00:00"/>
        <d v="2024-10-12T00:00:00"/>
        <d v="2024-10-11T00:00:00"/>
        <d v="2024-10-10T00:00:00"/>
        <d v="2025-12-01T00:00:00"/>
        <m/>
      </sharedItems>
      <fieldGroup par="20"/>
    </cacheField>
    <cacheField name="一级来源" numFmtId="0">
      <sharedItems containsBlank="1" count="3">
        <s v="广告流量"/>
        <s v="平台流量"/>
        <m/>
      </sharedItems>
    </cacheField>
    <cacheField name="二级来源" numFmtId="0">
      <sharedItems containsBlank="1" count="72">
        <s v="站外广告"/>
        <s v="效果广告"/>
        <s v="品牌广告"/>
        <s v="内容广告"/>
        <s v="阿里拍卖"/>
        <s v="闲鱼"/>
        <s v="逛逛"/>
        <s v="购物车"/>
        <s v="芭芭农场"/>
        <s v="红包签到"/>
        <s v="短视频全屏页上下滑"/>
        <s v="直接访问"/>
        <s v="盒马"/>
        <s v="百亿补贴"/>
        <s v="淘工厂直营"/>
        <s v="淘宝特价版"/>
        <s v="淘宝好价"/>
        <s v="淘外网站"/>
        <s v="淘口令分享"/>
        <s v="淘内待分类"/>
        <s v="日常营销活动"/>
        <s v="手淘问大家"/>
        <s v="手淘淘金币"/>
        <s v="手淘淘宝直播"/>
        <s v="手淘消息中心"/>
        <s v="手淘有好货"/>
        <s v="手淘有好价"/>
        <s v="手淘旺信"/>
        <s v="手淘摇现金"/>
        <s v="手淘搜索"/>
        <s v="手淘推荐"/>
        <s v="手淘拍立淘"/>
        <s v="手淘我的评价"/>
        <s v="手淘发表评价"/>
        <s v="手淘其他店铺"/>
        <s v="手淘充值"/>
        <s v="手机浏览器访问淘宝"/>
        <s v="手机天猫"/>
        <s v="我的淘宝"/>
        <s v="天猫榜单"/>
        <s v="天猫小黑盒"/>
        <s v="天猫关注"/>
        <s v="大促会场"/>
        <s v="关注"/>
        <s v="一淘"/>
        <s v="88VIP频道"/>
        <s v="飞猪"/>
        <s v="聚划算会场"/>
        <s v="电视淘宝"/>
        <s v="淘宝跨境站点"/>
        <s v="手淘确认订单"/>
        <s v="天猫超市"/>
        <s v="红包省钱卡"/>
        <s v="每日好店"/>
        <s v="手淘社区"/>
        <s v="天猫U先试用"/>
        <s v="大客权益会场"/>
        <s v="阿里妈妈权益会场"/>
        <s v="聚划算"/>
        <s v="淘宝直播"/>
        <s v="小黑盒频道"/>
        <s v="百亿补贴频道"/>
        <s v="手淘扫一扫"/>
        <s v="淘宝秒杀频道"/>
        <s v="天猫APP"/>
        <s v="巨浪"/>
        <s v="淘金币及相关场域"/>
        <s v="巨浪&amp;新人频道"/>
        <s v="裂变券引流"/>
        <s v="聚划算频道"/>
        <m/>
        <s v="订阅" u="1"/>
      </sharedItems>
      <fieldGroup par="18"/>
    </cacheField>
    <cacheField name="访客数" numFmtId="0">
      <sharedItems containsString="0" containsBlank="1" containsNumber="1" containsInteger="1" minValue="1" maxValue="580462"/>
    </cacheField>
    <cacheField name="新访客数" numFmtId="0">
      <sharedItems containsString="0" containsBlank="1" containsNumber="1" containsInteger="1" minValue="0" maxValue="559444"/>
    </cacheField>
    <cacheField name="加购人数" numFmtId="0">
      <sharedItems containsString="0" containsBlank="1" containsNumber="1" containsInteger="1" minValue="0" maxValue="8297"/>
    </cacheField>
    <cacheField name="商品收藏人数" numFmtId="0">
      <sharedItems containsString="0" containsBlank="1" containsNumber="1" containsInteger="1" minValue="0" maxValue="5175"/>
    </cacheField>
    <cacheField name="下单金额" numFmtId="0">
      <sharedItems containsString="0" containsBlank="1" containsNumber="1" minValue="0" maxValue="11245295.26"/>
    </cacheField>
    <cacheField name="下单买家数" numFmtId="0">
      <sharedItems containsString="0" containsBlank="1" containsNumber="1" containsInteger="1" minValue="0" maxValue="1740"/>
    </cacheField>
    <cacheField name="支付金额" numFmtId="0">
      <sharedItems containsString="0" containsBlank="1" containsNumber="1" minValue="0" maxValue="8139216.79"/>
    </cacheField>
    <cacheField name="支付买家数" numFmtId="0">
      <sharedItems containsString="0" containsBlank="1" containsNumber="1" containsInteger="1" minValue="0" maxValue="1419"/>
    </cacheField>
    <cacheField name="引导店铺页访客数" numFmtId="0">
      <sharedItems containsString="0" containsBlank="1" containsNumber="1" containsInteger="1" minValue="0" maxValue="55457"/>
    </cacheField>
    <cacheField name="引导商品访客数" numFmtId="0">
      <sharedItems containsString="0" containsBlank="1" containsNumber="1" containsInteger="1" minValue="0" maxValue="569882"/>
    </cacheField>
    <cacheField name="year" numFmtId="0">
      <sharedItems containsString="0" containsBlank="1" containsNumber="1" containsInteger="1" minValue="2023" maxValue="2025"/>
    </cacheField>
    <cacheField name="month" numFmtId="0">
      <sharedItems containsString="0" containsBlank="1" containsNumber="1" containsInteger="1" minValue="1" maxValue="12" count="13">
        <n v="6"/>
        <n v="5"/>
        <n v="4"/>
        <n v="7"/>
        <n v="8"/>
        <n v="9"/>
        <n v="10"/>
        <n v="11"/>
        <n v="12"/>
        <n v="1"/>
        <n v="2"/>
        <n v="3"/>
        <m/>
      </sharedItems>
    </cacheField>
    <cacheField name="pay_year" numFmtId="0">
      <sharedItems containsBlank="1" count="4">
        <s v="BU25"/>
        <s v="BU24"/>
        <s v="BU26"/>
        <m/>
      </sharedItems>
    </cacheField>
    <cacheField name="campaign" numFmtId="0">
      <sharedItems containsBlank="1" count="3">
        <m/>
        <s v="618"/>
        <s v="D11"/>
      </sharedItems>
    </cacheField>
    <cacheField name="二级来源2" numFmtId="0" databaseField="0">
      <fieldGroup base="3">
        <discretePr count="72">
          <x v="11"/>
          <x v="10"/>
          <x v="9"/>
          <x v="8"/>
          <x v="36"/>
          <x v="14"/>
          <x v="18"/>
          <x v="21"/>
          <x v="36"/>
          <x v="36"/>
          <x v="18"/>
          <x v="21"/>
          <x v="14"/>
          <x v="19"/>
          <x v="36"/>
          <x v="14"/>
          <x v="33"/>
          <x v="6"/>
          <x v="21"/>
          <x v="5"/>
          <x v="19"/>
          <x v="16"/>
          <x v="36"/>
          <x v="13"/>
          <x v="16"/>
          <x v="31"/>
          <x v="32"/>
          <x v="16"/>
          <x v="30"/>
          <x v="4"/>
          <x v="3"/>
          <x v="20"/>
          <x v="21"/>
          <x v="21"/>
          <x v="2"/>
          <x v="36"/>
          <x v="1"/>
          <x v="17"/>
          <x v="21"/>
          <x v="36"/>
          <x v="0"/>
          <x v="18"/>
          <x v="19"/>
          <x v="18"/>
          <x v="14"/>
          <x v="36"/>
          <x v="14"/>
          <x v="29"/>
          <x v="7"/>
          <x v="34"/>
          <x v="21"/>
          <x v="36"/>
          <x v="24"/>
          <x v="26"/>
          <x v="27"/>
          <x v="35"/>
          <x v="19"/>
          <x v="19"/>
          <x v="25"/>
          <x v="13"/>
          <x v="36"/>
          <x v="19"/>
          <x v="20"/>
          <x v="36"/>
          <x v="17"/>
          <x v="22"/>
          <x v="36"/>
          <x v="23"/>
          <x v="28"/>
          <x v="36"/>
          <x v="12"/>
          <x v="15"/>
        </discretePr>
        <groupItems count="37">
          <s v="天猫小黑盒"/>
          <s v="手机浏览器访问淘宝"/>
          <s v="手淘其他店铺"/>
          <s v="手淘推荐"/>
          <s v="手淘搜索"/>
          <s v="淘内待分类"/>
          <s v="淘外网站"/>
          <s v="电视淘宝"/>
          <s v="内容广告"/>
          <s v="品牌广告"/>
          <s v="效果广告"/>
          <s v="站外广告"/>
          <m/>
          <s v="数据组4"/>
          <s v="数据组6"/>
          <s v="订阅"/>
          <s v="数据组5"/>
          <s v="数据组7"/>
          <s v="数据组3"/>
          <s v="数据组2"/>
          <s v="数据组9"/>
          <s v="数据组1"/>
          <s v="巨浪"/>
          <s v="巨浪&amp;新人频道"/>
          <s v="红包省钱卡"/>
          <s v="聚划算"/>
          <s v="每日好店"/>
          <s v="手淘社区"/>
          <s v="裂变券引流"/>
          <s v="聚划算会场"/>
          <s v="手淘摇现金"/>
          <s v="手淘有好货"/>
          <s v="手淘有好价"/>
          <s v="淘宝好价"/>
          <s v="淘宝跨境站点"/>
          <s v="天猫U先试用"/>
          <s v="数据组8"/>
        </groupItems>
      </fieldGroup>
    </cacheField>
    <cacheField name="月(统计日期)" numFmtId="0" databaseField="0">
      <fieldGroup base="1">
        <rangePr groupBy="months" startDate="2023-04-01T00:00:00" endDate="2025-12-02T00:00:00"/>
        <groupItems count="14">
          <s v="&lt;2023/4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5/12/2"/>
        </groupItems>
      </fieldGroup>
    </cacheField>
    <cacheField name="年(统计日期)" numFmtId="0" databaseField="0">
      <fieldGroup base="1">
        <rangePr groupBy="years" startDate="2023-04-01T00:00:00" endDate="2025-12-02T00:00:00"/>
        <groupItems count="5">
          <s v="&lt;2023/4/1"/>
          <s v="2023年"/>
          <s v="2024年"/>
          <s v="2025年"/>
          <s v="&gt;2025/12/2"/>
        </groupItems>
      </fieldGroup>
    </cacheField>
    <cacheField name="CR" numFmtId="0" formula="支付买家数/访客数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安娜" refreshedDate="46031.732311342595" createdVersion="8" refreshedVersion="8" minRefreshableVersion="3" recordCount="4977" xr:uid="{D467CD46-F58C-4004-949F-8F4FA9ABB78E}">
  <cacheSource type="worksheet">
    <worksheetSource ref="A1:T1048576" sheet="三级流量源"/>
  </cacheSource>
  <cacheFields count="22">
    <cacheField name="日期类型" numFmtId="0">
      <sharedItems containsBlank="1" count="3">
        <s v="month"/>
        <s v="day"/>
        <m/>
      </sharedItems>
    </cacheField>
    <cacheField name="统计日期" numFmtId="0">
      <sharedItems containsNonDate="0" containsDate="1" containsString="0" containsBlank="1" minDate="2023-04-01T00:00:00" maxDate="2025-12-02T00:00:00" count="182">
        <d v="2023-04-01T00:00:00"/>
        <d v="2023-05-01T00:00:00"/>
        <d v="2023-06-01T00:00:00"/>
        <d v="2024-04-01T00:00:00"/>
        <d v="2024-05-01T00:00:00"/>
        <d v="2024-06-01T00:00:00"/>
        <d v="2024-07-01T00:00:00"/>
        <d v="2023-07-01T00:00:00"/>
        <d v="2024-08-01T00:00:00"/>
        <d v="2023-08-01T00:00:00"/>
        <d v="2024-09-01T00:00:00"/>
        <d v="2023-09-01T00:00:00"/>
        <d v="2024-10-01T00:00:00"/>
        <d v="2023-10-01T00:00:00"/>
        <d v="2024-11-01T00:00:00"/>
        <d v="2023-11-01T00:00:00"/>
        <d v="2024-12-01T00:00:00"/>
        <d v="2023-12-01T00:00:00"/>
        <d v="2025-01-01T00:00:00"/>
        <d v="2024-01-01T00:00:00"/>
        <d v="2025-02-01T00:00:00"/>
        <d v="2024-02-01T00:00:00"/>
        <d v="2025-03-01T00:00:00"/>
        <d v="2024-03-01T00:00:00"/>
        <d v="2025-04-01T00:00:00"/>
        <d v="2025-05-0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7-01T00:00:00"/>
        <d v="2025-08-01T00:00:00"/>
        <d v="2025-09-01T00:00:00"/>
        <d v="2025-10-01T00:00:00"/>
        <d v="2025-11-14T00:00:00"/>
        <d v="2025-11-13T00:00:00"/>
        <d v="2025-11-12T00:00:00"/>
        <d v="2025-11-11T00:00:00"/>
        <d v="2025-11-10T00:00:00"/>
        <d v="2025-11-09T00:00:00"/>
        <d v="2025-11-08T00:00:00"/>
        <d v="2025-11-07T00:00:00"/>
        <d v="2025-11-06T00:00:00"/>
        <d v="2025-11-05T00:00:00"/>
        <d v="2025-11-04T00:00:00"/>
        <d v="2025-11-03T00:00:00"/>
        <d v="2025-11-02T00:00:00"/>
        <d v="2025-11-01T00:00:00"/>
        <d v="2025-10-31T00:00:00"/>
        <d v="2025-10-30T00:00:00"/>
        <d v="2025-10-29T00:00:00"/>
        <d v="2025-10-28T00:00:00"/>
        <d v="2025-10-27T00:00:00"/>
        <d v="2025-10-26T00:00:00"/>
        <d v="2025-10-25T00:00:00"/>
        <d v="2025-10-24T00:00:00"/>
        <d v="2025-10-23T00:00:00"/>
        <d v="2025-10-22T00:00:00"/>
        <d v="2025-10-21T00:00:00"/>
        <d v="2025-10-20T00:00:00"/>
        <d v="2025-10-19T00:00:00"/>
        <d v="2025-10-18T00:00:00"/>
        <d v="2025-10-17T00:00:00"/>
        <d v="2025-10-16T00:00:00"/>
        <d v="2025-10-15T00:00:00"/>
        <d v="2025-10-14T00:00:00"/>
        <d v="2025-10-13T00:00:00"/>
        <d v="2025-10-12T00:00:00"/>
        <d v="2025-10-11T00:00:00"/>
        <d v="2025-10-10T00:00:00"/>
        <d v="2024-11-14T00:00:00"/>
        <d v="2024-11-13T00:00:00"/>
        <d v="2024-11-12T00:00:00"/>
        <d v="2024-11-11T00:00:00"/>
        <d v="2024-11-10T00:00:00"/>
        <d v="2024-11-09T00:00:00"/>
        <d v="2024-11-08T00:00:00"/>
        <d v="2024-11-07T00:00:00"/>
        <d v="2024-11-06T00:00:00"/>
        <d v="2024-11-05T00:00:00"/>
        <d v="2024-11-04T00:00:00"/>
        <d v="2024-11-03T00:00:00"/>
        <d v="2024-11-02T00:00:00"/>
        <d v="2024-10-31T00:00:00"/>
        <d v="2024-10-30T00:00:00"/>
        <d v="2024-10-29T00:00:00"/>
        <d v="2024-10-28T00:00:00"/>
        <d v="2024-10-27T00:00:00"/>
        <d v="2024-10-26T00:00:00"/>
        <d v="2024-10-25T00:00:00"/>
        <d v="2024-10-24T00:00:00"/>
        <d v="2024-10-23T00:00:00"/>
        <d v="2024-10-22T00:00:00"/>
        <d v="2024-10-21T00:00:00"/>
        <d v="2024-10-20T00:00:00"/>
        <d v="2024-10-19T00:00:00"/>
        <d v="2024-10-18T00:00:00"/>
        <d v="2024-10-17T00:00:00"/>
        <d v="2024-10-16T00:00:00"/>
        <d v="2024-10-15T00:00:00"/>
        <d v="2024-10-14T00:00:00"/>
        <d v="2024-10-13T00:00:00"/>
        <d v="2024-10-12T00:00:00"/>
        <d v="2024-10-11T00:00:00"/>
        <d v="2024-10-10T00:00:00"/>
        <d v="2025-12-01T00:00:00"/>
        <m/>
      </sharedItems>
    </cacheField>
    <cacheField name="一级来源" numFmtId="0">
      <sharedItems containsBlank="1" count="3">
        <s v="广告流量"/>
        <s v="平台流量"/>
        <m/>
      </sharedItems>
    </cacheField>
    <cacheField name="二级来源" numFmtId="0">
      <sharedItems containsBlank="1" count="15">
        <s v="效果广告"/>
        <s v="天猫榜单"/>
        <s v="手机天猫"/>
        <s v="手淘其他店铺"/>
        <s v="手淘推荐"/>
        <s v="内容广告"/>
        <s v="品牌广告"/>
        <s v="站外广告"/>
        <s v="大促会场"/>
        <s v="大客权益会场"/>
        <s v="阿里妈妈权益会场"/>
        <s v="淘宝特价版"/>
        <s v="手淘搜索"/>
        <s v="飞猪"/>
        <m/>
      </sharedItems>
    </cacheField>
    <cacheField name="三级来源" numFmtId="0">
      <sharedItems containsBlank="1" count="55">
        <s v="万相台"/>
        <s v="引力魔方"/>
        <s v="直通车"/>
        <s v="其他入口榜单"/>
        <s v="手机浏览器访问天猫"/>
        <s v="手猫免费其他"/>
        <s v="手猫其他店铺"/>
        <s v="手猫商品详情"/>
        <s v="手猫搜索"/>
        <s v="手猫旺信聊天"/>
        <s v="手猫首页"/>
        <s v="商品详情页头图推荐"/>
        <s v="店铺超链"/>
        <s v="其他猜你喜欢"/>
        <s v="推荐云主题"/>
        <s v="购中推荐"/>
        <s v="购后推荐"/>
        <s v="首页推荐-微详情"/>
        <s v="首页推荐-直播"/>
        <s v="首页推荐-短视频"/>
        <s v="超级短视频"/>
        <s v="品销宝-品牌专区"/>
        <s v="UD效果投放"/>
        <s v="流量宝"/>
        <s v="淘宝客"/>
        <s v="主会场"/>
        <s v="榜单会场"/>
        <s v="超级惊喜站"/>
        <s v="商品详情页入口榜单"/>
        <s v="手猫消息中心"/>
        <s v="品牌特秀"/>
        <s v="阿里妈妈超级惊喜站"/>
        <s v="超级互动城"/>
        <s v="UD品牌投放"/>
        <s v="热点会场"/>
        <s v="搜索入口榜单"/>
        <s v="淘特互动游戏"/>
        <s v="淘特其他渠道"/>
        <s v="淘特推荐"/>
        <s v="淘特搜索"/>
        <s v="淘特自主访问"/>
        <s v="超级直播"/>
        <s v="手淘搜索-商品及其他"/>
        <s v="手淘搜索-直播"/>
        <s v="手淘搜索-短视频"/>
        <s v="品牌定制"/>
        <s v="飞猪其他"/>
        <s v="短直联动"/>
        <s v="Showmax"/>
        <s v="超级全域通"/>
        <s v="品销宝-明星店铺"/>
        <m/>
        <s v="智能场景" u="1"/>
        <s v="关键词推广" u="1"/>
        <s v="人群推广" u="1"/>
      </sharedItems>
      <fieldGroup par="20"/>
    </cacheField>
    <cacheField name="访客数" numFmtId="0">
      <sharedItems containsString="0" containsBlank="1" containsNumber="1" containsInteger="1" minValue="1" maxValue="446701"/>
    </cacheField>
    <cacheField name="新访客数" numFmtId="0">
      <sharedItems containsBlank="1" containsMixedTypes="1" containsNumber="1" containsInteger="1" minValue="0" maxValue="420983"/>
    </cacheField>
    <cacheField name="加购人数" numFmtId="0">
      <sharedItems containsBlank="1" containsMixedTypes="1" containsNumber="1" containsInteger="1" minValue="0" maxValue="4079"/>
    </cacheField>
    <cacheField name="商品收藏人数" numFmtId="0">
      <sharedItems containsBlank="1" containsMixedTypes="1" containsNumber="1" containsInteger="1" minValue="0" maxValue="3986"/>
    </cacheField>
    <cacheField name="下单金额" numFmtId="0">
      <sharedItems containsBlank="1" containsMixedTypes="1" containsNumber="1" minValue="0" maxValue="5029780.68"/>
    </cacheField>
    <cacheField name="下单买家数" numFmtId="0">
      <sharedItems containsBlank="1" containsMixedTypes="1" containsNumber="1" containsInteger="1" minValue="0" maxValue="857"/>
    </cacheField>
    <cacheField name="支付金额" numFmtId="0">
      <sharedItems containsBlank="1" containsMixedTypes="1" containsNumber="1" minValue="0" maxValue="3366633.32"/>
    </cacheField>
    <cacheField name="支付买家数" numFmtId="0">
      <sharedItems containsBlank="1" containsMixedTypes="1" containsNumber="1" containsInteger="1" minValue="0" maxValue="701"/>
    </cacheField>
    <cacheField name="引导店铺页访客数" numFmtId="0">
      <sharedItems containsBlank="1" containsMixedTypes="1" containsNumber="1" containsInteger="1" minValue="0" maxValue="25126"/>
    </cacheField>
    <cacheField name="引导商品访客数" numFmtId="0">
      <sharedItems containsBlank="1" containsMixedTypes="1" containsNumber="1" containsInteger="1" minValue="0" maxValue="446662"/>
    </cacheField>
    <cacheField name="year" numFmtId="0">
      <sharedItems containsString="0" containsBlank="1" containsNumber="1" containsInteger="1" minValue="2023" maxValue="2025"/>
    </cacheField>
    <cacheField name="month" numFmtId="0">
      <sharedItems containsString="0" containsBlank="1" containsNumber="1" containsInteger="1" minValue="1" maxValue="12" count="13">
        <n v="4"/>
        <n v="5"/>
        <n v="6"/>
        <n v="7"/>
        <n v="8"/>
        <n v="9"/>
        <n v="10"/>
        <n v="11"/>
        <n v="12"/>
        <n v="1"/>
        <n v="2"/>
        <n v="3"/>
        <m/>
      </sharedItems>
    </cacheField>
    <cacheField name="原三级来源" numFmtId="0">
      <sharedItems containsBlank="1"/>
    </cacheField>
    <cacheField name="pay_year" numFmtId="0">
      <sharedItems containsBlank="1" count="4">
        <s v="BU24"/>
        <s v="BU25"/>
        <s v="BU26"/>
        <m/>
      </sharedItems>
    </cacheField>
    <cacheField name="campaign" numFmtId="0">
      <sharedItems containsBlank="1" count="3">
        <m/>
        <s v="618"/>
        <s v="D11"/>
      </sharedItems>
    </cacheField>
    <cacheField name="三级来源2" numFmtId="0" databaseField="0">
      <fieldGroup base="4">
        <discretePr count="55">
          <x v="25"/>
          <x v="26"/>
          <x v="35"/>
          <x v="2"/>
          <x v="3"/>
          <x v="4"/>
          <x v="5"/>
          <x v="6"/>
          <x v="7"/>
          <x v="8"/>
          <x v="9"/>
          <x v="10"/>
          <x v="11"/>
          <x v="44"/>
          <x v="33"/>
          <x v="12"/>
          <x v="13"/>
          <x v="14"/>
          <x v="15"/>
          <x v="16"/>
          <x v="46"/>
          <x v="24"/>
          <x v="27"/>
          <x v="28"/>
          <x v="29"/>
          <x v="0"/>
          <x v="1"/>
          <x v="30"/>
          <x v="31"/>
          <x v="32"/>
          <x v="45"/>
          <x v="34"/>
          <x v="43"/>
          <x v="36"/>
          <x v="41"/>
          <x v="37"/>
          <x v="38"/>
          <x v="20"/>
          <x v="39"/>
          <x v="21"/>
          <x v="40"/>
          <x v="23"/>
          <x v="17"/>
          <x v="18"/>
          <x v="19"/>
          <x v="43"/>
          <x v="22"/>
          <x v="46"/>
          <x v="45"/>
          <x v="43"/>
          <x v="47"/>
          <x v="42"/>
          <x v="48"/>
          <x v="49"/>
          <x v="50"/>
        </discretePr>
        <groupItems count="51">
          <s v="主会场"/>
          <s v="榜单会场"/>
          <s v="其他入口榜单"/>
          <s v="手机浏览器访问天猫"/>
          <s v="手猫免费其他"/>
          <s v="手猫其他店铺"/>
          <s v="手猫商品详情"/>
          <s v="手猫搜索"/>
          <s v="手猫旺信聊天"/>
          <s v="手猫首页"/>
          <s v="商品详情页头图推荐"/>
          <s v="店铺超链"/>
          <s v="购中推荐"/>
          <s v="购后推荐"/>
          <s v="首页推荐-微详情"/>
          <s v="首页推荐-直播"/>
          <s v="首页推荐-短视频"/>
          <s v="手淘搜索-商品及其他"/>
          <s v="手淘搜索-直播"/>
          <s v="手淘搜索-短视频"/>
          <s v="淘特其他渠道"/>
          <s v="淘特搜索"/>
          <s v="飞猪其他"/>
          <s v="超级直播"/>
          <s v="品销宝-品牌专区"/>
          <s v="万相台"/>
          <s v="引力魔方"/>
          <s v="UD效果投放"/>
          <s v="流量宝"/>
          <s v="淘宝客"/>
          <s v="超级惊喜站"/>
          <s v="商品详情页入口榜单"/>
          <s v="手猫消息中心"/>
          <s v="推荐云主题"/>
          <s v="阿里妈妈超级惊喜站"/>
          <s v="直通车"/>
          <s v="UD品牌投放"/>
          <s v="搜索入口榜单"/>
          <s v="淘特互动游戏"/>
          <s v="淘特推荐"/>
          <s v="淘特自主访问"/>
          <s v="热点会场"/>
          <m/>
          <s v="数据组2"/>
          <s v="其他猜你喜欢"/>
          <s v="数据组1"/>
          <s v="数据组3"/>
          <s v="品销宝-明星店铺"/>
          <s v="智能场景"/>
          <s v="关键词推广"/>
          <s v="人群推广"/>
        </groupItems>
      </fieldGroup>
    </cacheField>
    <cacheField name="CVR" numFmtId="0" formula="支付买家数/访客数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6657906.9299999997"/>
    <n v="2054"/>
    <n v="3948"/>
    <n v="17819187"/>
    <n v="4759"/>
    <n v="1836"/>
  </r>
  <r>
    <x v="0"/>
    <x v="0"/>
    <x v="1"/>
    <n v="7507365.6100000003"/>
    <n v="2486"/>
    <n v="5992"/>
    <n v="27404163"/>
    <n v="7581"/>
    <n v="2093"/>
  </r>
  <r>
    <x v="0"/>
    <x v="1"/>
    <x v="0"/>
    <n v="1675396.15"/>
    <n v="438"/>
    <n v="435"/>
    <n v="3154866"/>
    <n v="771"/>
    <n v="289"/>
  </r>
  <r>
    <x v="0"/>
    <x v="1"/>
    <x v="1"/>
    <n v="2357987.33"/>
    <n v="692"/>
    <n v="784"/>
    <n v="5074550"/>
    <n v="1379"/>
    <n v="470"/>
  </r>
  <r>
    <x v="1"/>
    <x v="0"/>
    <x v="0"/>
    <n v="5967306.5700000003"/>
    <n v="1775"/>
    <n v="2114"/>
    <n v="10914312.5"/>
    <n v="3020"/>
    <n v="1538"/>
  </r>
  <r>
    <x v="1"/>
    <x v="0"/>
    <x v="1"/>
    <n v="5082421.0999999996"/>
    <n v="1532"/>
    <n v="2036"/>
    <n v="11913719.5"/>
    <n v="3254"/>
    <n v="1197"/>
  </r>
  <r>
    <x v="1"/>
    <x v="1"/>
    <x v="0"/>
    <n v="3903641.72"/>
    <n v="1110"/>
    <n v="801"/>
    <n v="7731219"/>
    <n v="2057"/>
    <n v="581"/>
  </r>
  <r>
    <x v="1"/>
    <x v="1"/>
    <x v="1"/>
    <n v="5113101.01"/>
    <n v="1644"/>
    <n v="1095"/>
    <n v="10853715"/>
    <n v="3114"/>
    <n v="7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0">
  <r>
    <x v="0"/>
    <n v="56"/>
    <n v="219514"/>
    <n v="42"/>
  </r>
  <r>
    <x v="1"/>
    <n v="43"/>
    <n v="219472"/>
    <n v="31"/>
  </r>
  <r>
    <x v="2"/>
    <n v="50"/>
    <n v="219441"/>
    <n v="40"/>
  </r>
  <r>
    <x v="3"/>
    <n v="37"/>
    <n v="219401"/>
    <n v="25"/>
  </r>
  <r>
    <x v="4"/>
    <n v="33"/>
    <n v="219376"/>
    <n v="17"/>
  </r>
  <r>
    <x v="5"/>
    <n v="35"/>
    <n v="219359"/>
    <n v="17"/>
  </r>
  <r>
    <x v="6"/>
    <n v="39"/>
    <n v="219342"/>
    <n v="26"/>
  </r>
  <r>
    <x v="7"/>
    <n v="36"/>
    <n v="219316"/>
    <n v="23"/>
  </r>
  <r>
    <x v="8"/>
    <n v="42"/>
    <n v="219293"/>
    <n v="24"/>
  </r>
  <r>
    <x v="9"/>
    <n v="41"/>
    <n v="219269"/>
    <n v="31"/>
  </r>
  <r>
    <x v="10"/>
    <n v="34"/>
    <n v="219238"/>
    <n v="22"/>
  </r>
  <r>
    <x v="11"/>
    <n v="37"/>
    <n v="219216"/>
    <n v="22"/>
  </r>
  <r>
    <x v="12"/>
    <n v="47"/>
    <n v="219194"/>
    <n v="34"/>
  </r>
  <r>
    <x v="13"/>
    <n v="46"/>
    <n v="219160"/>
    <n v="29"/>
  </r>
  <r>
    <x v="14"/>
    <n v="43"/>
    <n v="219131"/>
    <n v="31"/>
  </r>
  <r>
    <x v="15"/>
    <n v="57"/>
    <n v="219100"/>
    <n v="40"/>
  </r>
  <r>
    <x v="16"/>
    <n v="51"/>
    <n v="219060"/>
    <n v="37"/>
  </r>
  <r>
    <x v="17"/>
    <n v="35"/>
    <n v="219023"/>
    <n v="29"/>
  </r>
  <r>
    <x v="18"/>
    <n v="46"/>
    <n v="218994"/>
    <n v="28"/>
  </r>
  <r>
    <x v="19"/>
    <n v="46"/>
    <n v="218966"/>
    <n v="33"/>
  </r>
  <r>
    <x v="20"/>
    <n v="41"/>
    <n v="218933"/>
    <n v="26"/>
  </r>
  <r>
    <x v="21"/>
    <n v="46"/>
    <n v="218907"/>
    <n v="28"/>
  </r>
  <r>
    <x v="22"/>
    <n v="50"/>
    <n v="218879"/>
    <n v="35"/>
  </r>
  <r>
    <x v="23"/>
    <n v="46"/>
    <n v="218844"/>
    <n v="26"/>
  </r>
  <r>
    <x v="24"/>
    <n v="46"/>
    <n v="218818"/>
    <n v="35"/>
  </r>
  <r>
    <x v="25"/>
    <n v="43"/>
    <n v="218783"/>
    <n v="31"/>
  </r>
  <r>
    <x v="26"/>
    <n v="49"/>
    <n v="218752"/>
    <n v="21"/>
  </r>
  <r>
    <x v="27"/>
    <n v="54"/>
    <n v="218731"/>
    <n v="29"/>
  </r>
  <r>
    <x v="28"/>
    <n v="50"/>
    <n v="218702"/>
    <n v="31"/>
  </r>
  <r>
    <x v="29"/>
    <n v="42"/>
    <n v="218671"/>
    <n v="22"/>
  </r>
  <r>
    <x v="30"/>
    <n v="44"/>
    <n v="218649"/>
    <n v="28"/>
  </r>
  <r>
    <x v="31"/>
    <n v="49"/>
    <n v="218621"/>
    <n v="33"/>
  </r>
  <r>
    <x v="32"/>
    <n v="52"/>
    <n v="218588"/>
    <n v="35"/>
  </r>
  <r>
    <x v="33"/>
    <n v="35"/>
    <n v="218553"/>
    <n v="22"/>
  </r>
  <r>
    <x v="34"/>
    <n v="38"/>
    <n v="218531"/>
    <n v="22"/>
  </r>
  <r>
    <x v="35"/>
    <n v="55"/>
    <n v="218509"/>
    <n v="42"/>
  </r>
  <r>
    <x v="36"/>
    <n v="57"/>
    <n v="218467"/>
    <n v="32"/>
  </r>
  <r>
    <x v="37"/>
    <n v="53"/>
    <n v="218435"/>
    <n v="38"/>
  </r>
  <r>
    <x v="38"/>
    <n v="45"/>
    <n v="218397"/>
    <n v="39"/>
  </r>
  <r>
    <x v="39"/>
    <n v="40"/>
    <n v="218358"/>
    <n v="25"/>
  </r>
  <r>
    <x v="40"/>
    <n v="50"/>
    <n v="218333"/>
    <n v="33"/>
  </r>
  <r>
    <x v="41"/>
    <n v="47"/>
    <n v="218300"/>
    <n v="38"/>
  </r>
  <r>
    <x v="42"/>
    <n v="41"/>
    <n v="218262"/>
    <n v="23"/>
  </r>
  <r>
    <x v="43"/>
    <n v="53"/>
    <n v="218239"/>
    <n v="33"/>
  </r>
  <r>
    <x v="44"/>
    <n v="42"/>
    <n v="218206"/>
    <n v="21"/>
  </r>
  <r>
    <x v="45"/>
    <n v="44"/>
    <n v="218185"/>
    <n v="27"/>
  </r>
  <r>
    <x v="46"/>
    <n v="54"/>
    <n v="218158"/>
    <n v="43"/>
  </r>
  <r>
    <x v="47"/>
    <n v="45"/>
    <n v="218115"/>
    <n v="32"/>
  </r>
  <r>
    <x v="48"/>
    <n v="52"/>
    <n v="218083"/>
    <n v="40"/>
  </r>
  <r>
    <x v="49"/>
    <n v="68"/>
    <n v="218043"/>
    <n v="54"/>
  </r>
  <r>
    <x v="50"/>
    <n v="48"/>
    <n v="217989"/>
    <n v="38"/>
  </r>
  <r>
    <x v="51"/>
    <n v="53"/>
    <n v="217951"/>
    <n v="43"/>
  </r>
  <r>
    <x v="52"/>
    <n v="45"/>
    <n v="217908"/>
    <n v="29"/>
  </r>
  <r>
    <x v="53"/>
    <n v="57"/>
    <n v="217879"/>
    <n v="43"/>
  </r>
  <r>
    <x v="54"/>
    <n v="47"/>
    <n v="217836"/>
    <n v="35"/>
  </r>
  <r>
    <x v="55"/>
    <n v="62"/>
    <n v="217801"/>
    <n v="49"/>
  </r>
  <r>
    <x v="56"/>
    <n v="43"/>
    <n v="217752"/>
    <n v="30"/>
  </r>
  <r>
    <x v="57"/>
    <n v="58"/>
    <n v="217722"/>
    <n v="49"/>
  </r>
  <r>
    <x v="58"/>
    <n v="46"/>
    <n v="217673"/>
    <n v="28"/>
  </r>
  <r>
    <x v="59"/>
    <n v="62"/>
    <n v="217645"/>
    <n v="45"/>
  </r>
  <r>
    <x v="60"/>
    <n v="38"/>
    <n v="217600"/>
    <n v="29"/>
  </r>
  <r>
    <x v="61"/>
    <n v="43"/>
    <n v="217571"/>
    <n v="33"/>
  </r>
  <r>
    <x v="62"/>
    <n v="34"/>
    <n v="217538"/>
    <n v="27"/>
  </r>
  <r>
    <x v="63"/>
    <n v="42"/>
    <n v="217511"/>
    <n v="32"/>
  </r>
  <r>
    <x v="64"/>
    <n v="43"/>
    <n v="217479"/>
    <n v="34"/>
  </r>
  <r>
    <x v="65"/>
    <n v="54"/>
    <n v="217445"/>
    <n v="38"/>
  </r>
  <r>
    <x v="66"/>
    <n v="53"/>
    <n v="217407"/>
    <n v="40"/>
  </r>
  <r>
    <x v="67"/>
    <n v="39"/>
    <n v="217367"/>
    <n v="21"/>
  </r>
  <r>
    <x v="68"/>
    <n v="57"/>
    <n v="217346"/>
    <n v="44"/>
  </r>
  <r>
    <x v="69"/>
    <n v="45"/>
    <n v="217302"/>
    <n v="34"/>
  </r>
  <r>
    <x v="70"/>
    <n v="52"/>
    <n v="217268"/>
    <n v="42"/>
  </r>
  <r>
    <x v="71"/>
    <n v="45"/>
    <n v="217226"/>
    <n v="29"/>
  </r>
  <r>
    <x v="72"/>
    <n v="44"/>
    <n v="217197"/>
    <n v="32"/>
  </r>
  <r>
    <x v="73"/>
    <n v="48"/>
    <n v="217165"/>
    <n v="24"/>
  </r>
  <r>
    <x v="74"/>
    <n v="52"/>
    <n v="217141"/>
    <n v="37"/>
  </r>
  <r>
    <x v="75"/>
    <n v="38"/>
    <n v="217104"/>
    <n v="28"/>
  </r>
  <r>
    <x v="76"/>
    <n v="45"/>
    <n v="217076"/>
    <n v="31"/>
  </r>
  <r>
    <x v="77"/>
    <n v="41"/>
    <n v="217045"/>
    <n v="17"/>
  </r>
  <r>
    <x v="78"/>
    <n v="61"/>
    <n v="217028"/>
    <n v="44"/>
  </r>
  <r>
    <x v="79"/>
    <n v="72"/>
    <n v="216984"/>
    <n v="52"/>
  </r>
  <r>
    <x v="80"/>
    <n v="53"/>
    <n v="216932"/>
    <n v="41"/>
  </r>
  <r>
    <x v="81"/>
    <n v="72"/>
    <n v="216891"/>
    <n v="57"/>
  </r>
  <r>
    <x v="82"/>
    <n v="61"/>
    <n v="216834"/>
    <n v="48"/>
  </r>
  <r>
    <x v="83"/>
    <n v="63"/>
    <n v="216786"/>
    <n v="46"/>
  </r>
  <r>
    <x v="84"/>
    <n v="54"/>
    <n v="216740"/>
    <n v="39"/>
  </r>
  <r>
    <x v="85"/>
    <n v="56"/>
    <n v="216701"/>
    <n v="40"/>
  </r>
  <r>
    <x v="86"/>
    <n v="50"/>
    <n v="216661"/>
    <n v="40"/>
  </r>
  <r>
    <x v="87"/>
    <n v="51"/>
    <n v="216621"/>
    <n v="38"/>
  </r>
  <r>
    <x v="88"/>
    <n v="59"/>
    <n v="216583"/>
    <n v="50"/>
  </r>
  <r>
    <x v="89"/>
    <n v="62"/>
    <n v="216533"/>
    <n v="45"/>
  </r>
  <r>
    <x v="90"/>
    <n v="36"/>
    <n v="216488"/>
    <n v="26"/>
  </r>
  <r>
    <x v="91"/>
    <n v="42"/>
    <n v="216462"/>
    <n v="24"/>
  </r>
  <r>
    <x v="92"/>
    <n v="46"/>
    <n v="216438"/>
    <n v="34"/>
  </r>
  <r>
    <x v="93"/>
    <n v="44"/>
    <n v="216404"/>
    <n v="23"/>
  </r>
  <r>
    <x v="94"/>
    <n v="63"/>
    <n v="216381"/>
    <n v="47"/>
  </r>
  <r>
    <x v="95"/>
    <n v="49"/>
    <n v="216334"/>
    <n v="28"/>
  </r>
  <r>
    <x v="96"/>
    <n v="53"/>
    <n v="216306"/>
    <n v="47"/>
  </r>
  <r>
    <x v="97"/>
    <n v="54"/>
    <n v="216259"/>
    <n v="39"/>
  </r>
  <r>
    <x v="98"/>
    <n v="52"/>
    <n v="216220"/>
    <n v="32"/>
  </r>
  <r>
    <x v="99"/>
    <n v="51"/>
    <n v="216188"/>
    <n v="35"/>
  </r>
  <r>
    <x v="100"/>
    <n v="58"/>
    <n v="216153"/>
    <n v="39"/>
  </r>
  <r>
    <x v="101"/>
    <n v="51"/>
    <n v="216114"/>
    <n v="33"/>
  </r>
  <r>
    <x v="102"/>
    <n v="47"/>
    <n v="216081"/>
    <n v="28"/>
  </r>
  <r>
    <x v="103"/>
    <n v="60"/>
    <n v="216053"/>
    <n v="46"/>
  </r>
  <r>
    <x v="104"/>
    <n v="47"/>
    <n v="216007"/>
    <n v="30"/>
  </r>
  <r>
    <x v="105"/>
    <n v="59"/>
    <n v="215977"/>
    <n v="39"/>
  </r>
  <r>
    <x v="106"/>
    <n v="68"/>
    <n v="215938"/>
    <n v="50"/>
  </r>
  <r>
    <x v="107"/>
    <n v="58"/>
    <n v="215888"/>
    <n v="36"/>
  </r>
  <r>
    <x v="108"/>
    <n v="70"/>
    <n v="215852"/>
    <n v="53"/>
  </r>
  <r>
    <x v="109"/>
    <n v="130"/>
    <n v="215799"/>
    <n v="99"/>
  </r>
  <r>
    <x v="110"/>
    <n v="79"/>
    <n v="215700"/>
    <n v="61"/>
  </r>
  <r>
    <x v="111"/>
    <n v="82"/>
    <n v="215639"/>
    <n v="67"/>
  </r>
  <r>
    <x v="112"/>
    <n v="105"/>
    <n v="215572"/>
    <n v="84"/>
  </r>
  <r>
    <x v="113"/>
    <n v="60"/>
    <n v="215488"/>
    <n v="41"/>
  </r>
  <r>
    <x v="114"/>
    <n v="71"/>
    <n v="215447"/>
    <n v="57"/>
  </r>
  <r>
    <x v="115"/>
    <n v="59"/>
    <n v="215390"/>
    <n v="34"/>
  </r>
  <r>
    <x v="116"/>
    <n v="72"/>
    <n v="215356"/>
    <n v="50"/>
  </r>
  <r>
    <x v="117"/>
    <n v="73"/>
    <n v="215306"/>
    <n v="57"/>
  </r>
  <r>
    <x v="118"/>
    <n v="56"/>
    <n v="215249"/>
    <n v="41"/>
  </r>
  <r>
    <x v="119"/>
    <n v="65"/>
    <n v="215208"/>
    <n v="54"/>
  </r>
  <r>
    <x v="120"/>
    <n v="73"/>
    <n v="215154"/>
    <n v="58"/>
  </r>
  <r>
    <x v="121"/>
    <n v="69"/>
    <n v="215096"/>
    <n v="47"/>
  </r>
  <r>
    <x v="122"/>
    <n v="62"/>
    <n v="215049"/>
    <n v="53"/>
  </r>
  <r>
    <x v="123"/>
    <n v="115"/>
    <n v="214996"/>
    <n v="97"/>
  </r>
  <r>
    <x v="124"/>
    <n v="78"/>
    <n v="214899"/>
    <n v="64"/>
  </r>
  <r>
    <x v="125"/>
    <n v="60"/>
    <n v="214835"/>
    <n v="48"/>
  </r>
  <r>
    <x v="126"/>
    <n v="68"/>
    <n v="214787"/>
    <n v="58"/>
  </r>
  <r>
    <x v="127"/>
    <n v="60"/>
    <n v="214729"/>
    <n v="45"/>
  </r>
  <r>
    <x v="128"/>
    <n v="72"/>
    <n v="214684"/>
    <n v="55"/>
  </r>
  <r>
    <x v="129"/>
    <n v="80"/>
    <n v="214629"/>
    <n v="66"/>
  </r>
  <r>
    <x v="130"/>
    <n v="80"/>
    <n v="214563"/>
    <n v="62"/>
  </r>
  <r>
    <x v="131"/>
    <n v="70"/>
    <n v="214501"/>
    <n v="48"/>
  </r>
  <r>
    <x v="132"/>
    <n v="66"/>
    <n v="214453"/>
    <n v="48"/>
  </r>
  <r>
    <x v="133"/>
    <n v="65"/>
    <n v="214405"/>
    <n v="49"/>
  </r>
  <r>
    <x v="134"/>
    <n v="81"/>
    <n v="214356"/>
    <n v="64"/>
  </r>
  <r>
    <x v="135"/>
    <n v="63"/>
    <n v="214292"/>
    <n v="44"/>
  </r>
  <r>
    <x v="136"/>
    <n v="60"/>
    <n v="214248"/>
    <n v="36"/>
  </r>
  <r>
    <x v="137"/>
    <n v="64"/>
    <n v="214212"/>
    <n v="53"/>
  </r>
  <r>
    <x v="138"/>
    <n v="77"/>
    <n v="214159"/>
    <n v="62"/>
  </r>
  <r>
    <x v="139"/>
    <n v="50"/>
    <n v="214097"/>
    <n v="29"/>
  </r>
  <r>
    <x v="140"/>
    <n v="138"/>
    <n v="214068"/>
    <n v="105"/>
  </r>
  <r>
    <x v="141"/>
    <n v="146"/>
    <n v="213963"/>
    <n v="125"/>
  </r>
  <r>
    <x v="142"/>
    <n v="120"/>
    <n v="213838"/>
    <n v="103"/>
  </r>
  <r>
    <x v="143"/>
    <n v="94"/>
    <n v="213735"/>
    <n v="74"/>
  </r>
  <r>
    <x v="144"/>
    <n v="95"/>
    <n v="213661"/>
    <n v="71"/>
  </r>
  <r>
    <x v="145"/>
    <n v="96"/>
    <n v="213590"/>
    <n v="74"/>
  </r>
  <r>
    <x v="146"/>
    <n v="105"/>
    <n v="213516"/>
    <n v="95"/>
  </r>
  <r>
    <x v="147"/>
    <n v="98"/>
    <n v="213421"/>
    <n v="77"/>
  </r>
  <r>
    <x v="148"/>
    <n v="129"/>
    <n v="213344"/>
    <n v="106"/>
  </r>
  <r>
    <x v="149"/>
    <n v="157"/>
    <n v="213238"/>
    <n v="135"/>
  </r>
  <r>
    <x v="150"/>
    <n v="122"/>
    <n v="213103"/>
    <n v="99"/>
  </r>
  <r>
    <x v="151"/>
    <n v="115"/>
    <n v="213004"/>
    <n v="94"/>
  </r>
  <r>
    <x v="152"/>
    <n v="100"/>
    <n v="212910"/>
    <n v="73"/>
  </r>
  <r>
    <x v="153"/>
    <n v="108"/>
    <n v="212837"/>
    <n v="91"/>
  </r>
  <r>
    <x v="154"/>
    <n v="104"/>
    <n v="212746"/>
    <n v="82"/>
  </r>
  <r>
    <x v="155"/>
    <n v="102"/>
    <n v="212664"/>
    <n v="87"/>
  </r>
  <r>
    <x v="156"/>
    <n v="84"/>
    <n v="212577"/>
    <n v="69"/>
  </r>
  <r>
    <x v="157"/>
    <n v="83"/>
    <n v="212508"/>
    <n v="58"/>
  </r>
  <r>
    <x v="158"/>
    <n v="140"/>
    <n v="212450"/>
    <n v="116"/>
  </r>
  <r>
    <x v="159"/>
    <n v="108"/>
    <n v="212334"/>
    <n v="82"/>
  </r>
  <r>
    <x v="160"/>
    <n v="137"/>
    <n v="212252"/>
    <n v="119"/>
  </r>
  <r>
    <x v="161"/>
    <n v="94"/>
    <n v="212133"/>
    <n v="63"/>
  </r>
  <r>
    <x v="162"/>
    <n v="101"/>
    <n v="212070"/>
    <n v="77"/>
  </r>
  <r>
    <x v="163"/>
    <n v="104"/>
    <n v="211993"/>
    <n v="81"/>
  </r>
  <r>
    <x v="164"/>
    <n v="69"/>
    <n v="211912"/>
    <n v="53"/>
  </r>
  <r>
    <x v="165"/>
    <n v="69"/>
    <n v="211859"/>
    <n v="50"/>
  </r>
  <r>
    <x v="166"/>
    <n v="93"/>
    <n v="211809"/>
    <n v="68"/>
  </r>
  <r>
    <x v="167"/>
    <n v="90"/>
    <n v="211741"/>
    <n v="59"/>
  </r>
  <r>
    <x v="168"/>
    <n v="106"/>
    <n v="211682"/>
    <n v="72"/>
  </r>
  <r>
    <x v="169"/>
    <n v="116"/>
    <n v="211610"/>
    <n v="95"/>
  </r>
  <r>
    <x v="170"/>
    <n v="100"/>
    <n v="211515"/>
    <n v="75"/>
  </r>
  <r>
    <x v="171"/>
    <n v="104"/>
    <n v="211440"/>
    <n v="87"/>
  </r>
  <r>
    <x v="172"/>
    <n v="125"/>
    <n v="211353"/>
    <n v="102"/>
  </r>
  <r>
    <x v="173"/>
    <n v="130"/>
    <n v="211251"/>
    <n v="106"/>
  </r>
  <r>
    <x v="174"/>
    <n v="141"/>
    <n v="211145"/>
    <n v="116"/>
  </r>
  <r>
    <x v="175"/>
    <n v="46"/>
    <n v="211029"/>
    <n v="32"/>
  </r>
  <r>
    <x v="176"/>
    <n v="48"/>
    <n v="210997"/>
    <n v="26"/>
  </r>
  <r>
    <x v="177"/>
    <n v="44"/>
    <n v="210971"/>
    <n v="23"/>
  </r>
  <r>
    <x v="178"/>
    <n v="39"/>
    <n v="210948"/>
    <n v="24"/>
  </r>
  <r>
    <x v="179"/>
    <n v="37"/>
    <n v="210924"/>
    <n v="21"/>
  </r>
  <r>
    <x v="180"/>
    <n v="39"/>
    <n v="210903"/>
    <n v="30"/>
  </r>
  <r>
    <x v="181"/>
    <n v="47"/>
    <n v="210873"/>
    <n v="31"/>
  </r>
  <r>
    <x v="182"/>
    <n v="51"/>
    <n v="210842"/>
    <n v="40"/>
  </r>
  <r>
    <x v="183"/>
    <n v="47"/>
    <n v="210802"/>
    <n v="30"/>
  </r>
  <r>
    <x v="184"/>
    <n v="52"/>
    <n v="210772"/>
    <n v="33"/>
  </r>
  <r>
    <x v="185"/>
    <n v="49"/>
    <n v="210739"/>
    <n v="38"/>
  </r>
  <r>
    <x v="186"/>
    <n v="33"/>
    <n v="210701"/>
    <n v="16"/>
  </r>
  <r>
    <x v="187"/>
    <n v="44"/>
    <n v="210685"/>
    <n v="23"/>
  </r>
  <r>
    <x v="188"/>
    <n v="47"/>
    <n v="210662"/>
    <n v="26"/>
  </r>
  <r>
    <x v="189"/>
    <n v="37"/>
    <n v="210636"/>
    <n v="21"/>
  </r>
  <r>
    <x v="190"/>
    <n v="51"/>
    <n v="210615"/>
    <n v="37"/>
  </r>
  <r>
    <x v="191"/>
    <n v="39"/>
    <n v="210578"/>
    <n v="25"/>
  </r>
  <r>
    <x v="192"/>
    <n v="46"/>
    <n v="210553"/>
    <n v="30"/>
  </r>
  <r>
    <x v="193"/>
    <n v="47"/>
    <n v="210523"/>
    <n v="27"/>
  </r>
  <r>
    <x v="194"/>
    <n v="38"/>
    <n v="210496"/>
    <n v="20"/>
  </r>
  <r>
    <x v="195"/>
    <n v="47"/>
    <n v="210476"/>
    <n v="36"/>
  </r>
  <r>
    <x v="196"/>
    <n v="30"/>
    <n v="210440"/>
    <n v="15"/>
  </r>
  <r>
    <x v="197"/>
    <n v="47"/>
    <n v="210425"/>
    <n v="31"/>
  </r>
  <r>
    <x v="198"/>
    <n v="33"/>
    <n v="210394"/>
    <n v="19"/>
  </r>
  <r>
    <x v="199"/>
    <n v="36"/>
    <n v="210375"/>
    <n v="14"/>
  </r>
  <r>
    <x v="200"/>
    <n v="29"/>
    <n v="210361"/>
    <n v="10"/>
  </r>
  <r>
    <x v="201"/>
    <n v="35"/>
    <n v="210351"/>
    <n v="26"/>
  </r>
  <r>
    <x v="202"/>
    <n v="35"/>
    <n v="210325"/>
    <n v="13"/>
  </r>
  <r>
    <x v="203"/>
    <n v="34"/>
    <n v="210312"/>
    <n v="17"/>
  </r>
  <r>
    <x v="204"/>
    <n v="38"/>
    <n v="210295"/>
    <n v="24"/>
  </r>
  <r>
    <x v="205"/>
    <n v="50"/>
    <n v="210271"/>
    <n v="36"/>
  </r>
  <r>
    <x v="206"/>
    <n v="41"/>
    <n v="210235"/>
    <n v="25"/>
  </r>
  <r>
    <x v="207"/>
    <n v="29"/>
    <n v="210210"/>
    <n v="6"/>
  </r>
  <r>
    <x v="208"/>
    <n v="38"/>
    <n v="210204"/>
    <n v="28"/>
  </r>
  <r>
    <x v="209"/>
    <n v="41"/>
    <n v="210176"/>
    <n v="30"/>
  </r>
  <r>
    <x v="210"/>
    <n v="53"/>
    <n v="210146"/>
    <n v="34"/>
  </r>
  <r>
    <x v="211"/>
    <n v="38"/>
    <n v="210112"/>
    <n v="23"/>
  </r>
  <r>
    <x v="212"/>
    <n v="37"/>
    <n v="210089"/>
    <n v="23"/>
  </r>
  <r>
    <x v="213"/>
    <n v="39"/>
    <n v="210066"/>
    <n v="25"/>
  </r>
  <r>
    <x v="214"/>
    <n v="39"/>
    <n v="210041"/>
    <n v="30"/>
  </r>
  <r>
    <x v="215"/>
    <n v="43"/>
    <n v="210011"/>
    <n v="24"/>
  </r>
  <r>
    <x v="216"/>
    <n v="41"/>
    <n v="209987"/>
    <n v="25"/>
  </r>
  <r>
    <x v="217"/>
    <n v="50"/>
    <n v="209962"/>
    <n v="38"/>
  </r>
  <r>
    <x v="218"/>
    <n v="39"/>
    <n v="209924"/>
    <n v="20"/>
  </r>
  <r>
    <x v="219"/>
    <n v="33"/>
    <n v="209904"/>
    <n v="10"/>
  </r>
  <r>
    <x v="220"/>
    <n v="36"/>
    <n v="209894"/>
    <n v="14"/>
  </r>
  <r>
    <x v="221"/>
    <n v="30"/>
    <n v="209880"/>
    <n v="13"/>
  </r>
  <r>
    <x v="222"/>
    <n v="35"/>
    <n v="209867"/>
    <n v="19"/>
  </r>
  <r>
    <x v="223"/>
    <n v="42"/>
    <n v="209848"/>
    <n v="31"/>
  </r>
  <r>
    <x v="224"/>
    <n v="34"/>
    <n v="209817"/>
    <n v="21"/>
  </r>
  <r>
    <x v="225"/>
    <n v="64"/>
    <n v="209796"/>
    <n v="47"/>
  </r>
  <r>
    <x v="226"/>
    <n v="40"/>
    <n v="209749"/>
    <n v="30"/>
  </r>
  <r>
    <x v="227"/>
    <n v="38"/>
    <n v="209719"/>
    <n v="23"/>
  </r>
  <r>
    <x v="228"/>
    <n v="50"/>
    <n v="209696"/>
    <n v="33"/>
  </r>
  <r>
    <x v="229"/>
    <n v="41"/>
    <n v="209663"/>
    <n v="22"/>
  </r>
  <r>
    <x v="230"/>
    <n v="38"/>
    <n v="209641"/>
    <n v="20"/>
  </r>
  <r>
    <x v="231"/>
    <n v="39"/>
    <n v="209621"/>
    <n v="23"/>
  </r>
  <r>
    <x v="232"/>
    <n v="37"/>
    <n v="209598"/>
    <n v="24"/>
  </r>
  <r>
    <x v="233"/>
    <n v="36"/>
    <n v="209574"/>
    <n v="19"/>
  </r>
  <r>
    <x v="234"/>
    <n v="66"/>
    <n v="209555"/>
    <n v="50"/>
  </r>
  <r>
    <x v="235"/>
    <n v="49"/>
    <n v="209505"/>
    <n v="33"/>
  </r>
  <r>
    <x v="236"/>
    <n v="49"/>
    <n v="209472"/>
    <n v="39"/>
  </r>
  <r>
    <x v="237"/>
    <n v="37"/>
    <n v="209433"/>
    <n v="17"/>
  </r>
  <r>
    <x v="238"/>
    <n v="32"/>
    <n v="209416"/>
    <n v="19"/>
  </r>
  <r>
    <x v="239"/>
    <n v="38"/>
    <n v="209397"/>
    <n v="22"/>
  </r>
  <r>
    <x v="240"/>
    <n v="28"/>
    <n v="209375"/>
    <n v="14"/>
  </r>
  <r>
    <x v="241"/>
    <n v="36"/>
    <n v="209361"/>
    <n v="20"/>
  </r>
  <r>
    <x v="242"/>
    <n v="28"/>
    <n v="209341"/>
    <n v="17"/>
  </r>
  <r>
    <x v="243"/>
    <n v="52"/>
    <n v="209324"/>
    <n v="37"/>
  </r>
  <r>
    <x v="244"/>
    <n v="58"/>
    <n v="209287"/>
    <n v="49"/>
  </r>
  <r>
    <x v="245"/>
    <n v="35"/>
    <n v="209238"/>
    <n v="12"/>
  </r>
  <r>
    <x v="246"/>
    <n v="31"/>
    <n v="209226"/>
    <n v="22"/>
  </r>
  <r>
    <x v="247"/>
    <n v="33"/>
    <n v="209204"/>
    <n v="15"/>
  </r>
  <r>
    <x v="248"/>
    <n v="43"/>
    <n v="209189"/>
    <n v="27"/>
  </r>
  <r>
    <x v="249"/>
    <n v="34"/>
    <n v="209162"/>
    <n v="23"/>
  </r>
  <r>
    <x v="250"/>
    <n v="52"/>
    <n v="209139"/>
    <n v="33"/>
  </r>
  <r>
    <x v="251"/>
    <n v="35"/>
    <n v="209106"/>
    <n v="19"/>
  </r>
  <r>
    <x v="252"/>
    <n v="38"/>
    <n v="209087"/>
    <n v="19"/>
  </r>
  <r>
    <x v="253"/>
    <n v="49"/>
    <n v="209068"/>
    <n v="27"/>
  </r>
  <r>
    <x v="254"/>
    <n v="33"/>
    <n v="209041"/>
    <n v="15"/>
  </r>
  <r>
    <x v="255"/>
    <n v="34"/>
    <n v="209026"/>
    <n v="26"/>
  </r>
  <r>
    <x v="256"/>
    <n v="21"/>
    <n v="209000"/>
    <n v="9"/>
  </r>
  <r>
    <x v="257"/>
    <n v="32"/>
    <n v="208991"/>
    <n v="12"/>
  </r>
  <r>
    <x v="258"/>
    <n v="33"/>
    <n v="208979"/>
    <n v="18"/>
  </r>
  <r>
    <x v="259"/>
    <n v="46"/>
    <n v="208961"/>
    <n v="25"/>
  </r>
  <r>
    <x v="260"/>
    <n v="40"/>
    <n v="208936"/>
    <n v="21"/>
  </r>
  <r>
    <x v="261"/>
    <n v="40"/>
    <n v="208915"/>
    <n v="14"/>
  </r>
  <r>
    <x v="262"/>
    <n v="26"/>
    <n v="208901"/>
    <n v="8"/>
  </r>
  <r>
    <x v="263"/>
    <n v="40"/>
    <n v="208893"/>
    <n v="27"/>
  </r>
  <r>
    <x v="264"/>
    <n v="35"/>
    <n v="208866"/>
    <n v="15"/>
  </r>
  <r>
    <x v="265"/>
    <n v="36"/>
    <n v="208851"/>
    <n v="19"/>
  </r>
  <r>
    <x v="266"/>
    <n v="40"/>
    <n v="208832"/>
    <n v="24"/>
  </r>
  <r>
    <x v="267"/>
    <n v="40"/>
    <n v="208808"/>
    <n v="26"/>
  </r>
  <r>
    <x v="268"/>
    <n v="45"/>
    <n v="208782"/>
    <n v="26"/>
  </r>
  <r>
    <x v="269"/>
    <n v="40"/>
    <n v="208756"/>
    <n v="15"/>
  </r>
  <r>
    <x v="270"/>
    <n v="34"/>
    <n v="208741"/>
    <n v="15"/>
  </r>
  <r>
    <x v="271"/>
    <n v="39"/>
    <n v="208726"/>
    <n v="15"/>
  </r>
  <r>
    <x v="272"/>
    <n v="55"/>
    <n v="208711"/>
    <n v="39"/>
  </r>
  <r>
    <x v="273"/>
    <n v="86"/>
    <n v="208672"/>
    <n v="62"/>
  </r>
  <r>
    <x v="274"/>
    <n v="51"/>
    <n v="208610"/>
    <n v="37"/>
  </r>
  <r>
    <x v="275"/>
    <n v="41"/>
    <n v="208573"/>
    <n v="13"/>
  </r>
  <r>
    <x v="276"/>
    <n v="47"/>
    <n v="208560"/>
    <n v="32"/>
  </r>
  <r>
    <x v="277"/>
    <n v="30"/>
    <n v="208528"/>
    <n v="0"/>
  </r>
  <r>
    <x v="278"/>
    <n v="48"/>
    <n v="208528"/>
    <n v="32"/>
  </r>
  <r>
    <x v="279"/>
    <n v="64"/>
    <n v="208496"/>
    <n v="39"/>
  </r>
  <r>
    <x v="280"/>
    <n v="64"/>
    <n v="208457"/>
    <n v="42"/>
  </r>
  <r>
    <x v="281"/>
    <n v="69"/>
    <n v="208415"/>
    <n v="50"/>
  </r>
  <r>
    <x v="282"/>
    <n v="42"/>
    <n v="208365"/>
    <n v="19"/>
  </r>
  <r>
    <x v="283"/>
    <n v="45"/>
    <n v="208346"/>
    <n v="16"/>
  </r>
  <r>
    <x v="284"/>
    <n v="63"/>
    <n v="208330"/>
    <n v="47"/>
  </r>
  <r>
    <x v="285"/>
    <n v="98"/>
    <n v="208283"/>
    <n v="69"/>
  </r>
  <r>
    <x v="286"/>
    <n v="84"/>
    <n v="208214"/>
    <n v="51"/>
  </r>
  <r>
    <x v="287"/>
    <n v="93"/>
    <n v="208163"/>
    <n v="72"/>
  </r>
  <r>
    <x v="288"/>
    <n v="115"/>
    <n v="208091"/>
    <n v="85"/>
  </r>
  <r>
    <x v="289"/>
    <n v="161"/>
    <n v="208006"/>
    <n v="137"/>
  </r>
  <r>
    <x v="290"/>
    <n v="94"/>
    <n v="207869"/>
    <n v="70"/>
  </r>
  <r>
    <x v="291"/>
    <n v="87"/>
    <n v="207799"/>
    <n v="64"/>
  </r>
  <r>
    <x v="292"/>
    <n v="92"/>
    <n v="207735"/>
    <n v="72"/>
  </r>
  <r>
    <x v="293"/>
    <n v="82"/>
    <n v="207663"/>
    <n v="61"/>
  </r>
  <r>
    <x v="294"/>
    <n v="69"/>
    <n v="207602"/>
    <n v="55"/>
  </r>
  <r>
    <x v="295"/>
    <n v="93"/>
    <n v="207547"/>
    <n v="64"/>
  </r>
  <r>
    <x v="296"/>
    <n v="83"/>
    <n v="207483"/>
    <n v="59"/>
  </r>
  <r>
    <x v="297"/>
    <n v="75"/>
    <n v="207424"/>
    <n v="58"/>
  </r>
  <r>
    <x v="298"/>
    <n v="77"/>
    <n v="207366"/>
    <n v="53"/>
  </r>
  <r>
    <x v="299"/>
    <n v="102"/>
    <n v="207313"/>
    <n v="79"/>
  </r>
  <r>
    <x v="300"/>
    <n v="90"/>
    <n v="207234"/>
    <n v="67"/>
  </r>
  <r>
    <x v="301"/>
    <n v="77"/>
    <n v="207167"/>
    <n v="48"/>
  </r>
  <r>
    <x v="302"/>
    <n v="81"/>
    <n v="207119"/>
    <n v="63"/>
  </r>
  <r>
    <x v="303"/>
    <n v="68"/>
    <n v="207056"/>
    <n v="49"/>
  </r>
  <r>
    <x v="304"/>
    <n v="76"/>
    <n v="207007"/>
    <n v="49"/>
  </r>
  <r>
    <x v="305"/>
    <n v="80"/>
    <n v="206958"/>
    <n v="63"/>
  </r>
  <r>
    <x v="306"/>
    <n v="77"/>
    <n v="206895"/>
    <n v="56"/>
  </r>
  <r>
    <x v="307"/>
    <n v="144"/>
    <n v="206839"/>
    <n v="118"/>
  </r>
  <r>
    <x v="308"/>
    <n v="110"/>
    <n v="206721"/>
    <n v="71"/>
  </r>
  <r>
    <x v="309"/>
    <n v="118"/>
    <n v="206650"/>
    <n v="91"/>
  </r>
  <r>
    <x v="310"/>
    <n v="95"/>
    <n v="206559"/>
    <n v="75"/>
  </r>
  <r>
    <x v="311"/>
    <n v="114"/>
    <n v="206484"/>
    <n v="88"/>
  </r>
  <r>
    <x v="312"/>
    <n v="144"/>
    <n v="206396"/>
    <n v="121"/>
  </r>
  <r>
    <x v="313"/>
    <n v="155"/>
    <n v="206275"/>
    <n v="125"/>
  </r>
  <r>
    <x v="314"/>
    <n v="118"/>
    <n v="206150"/>
    <n v="94"/>
  </r>
  <r>
    <x v="315"/>
    <n v="110"/>
    <n v="206056"/>
    <n v="84"/>
  </r>
  <r>
    <x v="316"/>
    <n v="102"/>
    <n v="205972"/>
    <n v="76"/>
  </r>
  <r>
    <x v="317"/>
    <n v="92"/>
    <n v="205896"/>
    <n v="53"/>
  </r>
  <r>
    <x v="318"/>
    <n v="118"/>
    <n v="205843"/>
    <n v="78"/>
  </r>
  <r>
    <x v="319"/>
    <n v="104"/>
    <n v="205765"/>
    <n v="78"/>
  </r>
  <r>
    <x v="320"/>
    <n v="120"/>
    <n v="205687"/>
    <n v="99"/>
  </r>
  <r>
    <x v="321"/>
    <n v="61"/>
    <n v="205588"/>
    <n v="41"/>
  </r>
  <r>
    <x v="322"/>
    <n v="72"/>
    <n v="205547"/>
    <n v="59"/>
  </r>
  <r>
    <x v="323"/>
    <n v="107"/>
    <n v="205488"/>
    <n v="84"/>
  </r>
  <r>
    <x v="324"/>
    <n v="121"/>
    <n v="205404"/>
    <n v="92"/>
  </r>
  <r>
    <x v="325"/>
    <n v="89"/>
    <n v="205312"/>
    <n v="69"/>
  </r>
  <r>
    <x v="326"/>
    <n v="48"/>
    <n v="205243"/>
    <n v="31"/>
  </r>
  <r>
    <x v="327"/>
    <n v="45"/>
    <n v="205212"/>
    <n v="19"/>
  </r>
  <r>
    <x v="328"/>
    <n v="67"/>
    <n v="205193"/>
    <n v="43"/>
  </r>
  <r>
    <x v="329"/>
    <n v="29"/>
    <n v="205150"/>
    <n v="-2"/>
  </r>
  <r>
    <x v="330"/>
    <n v="35"/>
    <n v="205152"/>
    <n v="15"/>
  </r>
  <r>
    <x v="331"/>
    <n v="34"/>
    <n v="205137"/>
    <n v="16"/>
  </r>
  <r>
    <x v="332"/>
    <n v="31"/>
    <n v="205121"/>
    <n v="2"/>
  </r>
  <r>
    <x v="333"/>
    <n v="39"/>
    <n v="205119"/>
    <n v="21"/>
  </r>
  <r>
    <x v="334"/>
    <n v="37"/>
    <n v="205098"/>
    <n v="17"/>
  </r>
  <r>
    <x v="335"/>
    <n v="39"/>
    <n v="205081"/>
    <n v="17"/>
  </r>
  <r>
    <x v="336"/>
    <n v="36"/>
    <n v="205064"/>
    <n v="11"/>
  </r>
  <r>
    <x v="337"/>
    <n v="50"/>
    <n v="205053"/>
    <n v="30"/>
  </r>
  <r>
    <x v="338"/>
    <n v="36"/>
    <n v="205023"/>
    <n v="19"/>
  </r>
  <r>
    <x v="339"/>
    <n v="37"/>
    <n v="205004"/>
    <n v="15"/>
  </r>
  <r>
    <x v="340"/>
    <n v="33"/>
    <n v="204989"/>
    <n v="15"/>
  </r>
  <r>
    <x v="341"/>
    <n v="37"/>
    <n v="204974"/>
    <n v="16"/>
  </r>
  <r>
    <x v="342"/>
    <n v="22"/>
    <n v="204958"/>
    <n v="2"/>
  </r>
  <r>
    <x v="343"/>
    <n v="34"/>
    <n v="204956"/>
    <n v="8"/>
  </r>
  <r>
    <x v="344"/>
    <n v="42"/>
    <n v="204948"/>
    <n v="30"/>
  </r>
  <r>
    <x v="345"/>
    <n v="43"/>
    <n v="204918"/>
    <n v="11"/>
  </r>
  <r>
    <x v="346"/>
    <n v="32"/>
    <n v="204907"/>
    <n v="10"/>
  </r>
  <r>
    <x v="347"/>
    <n v="25"/>
    <n v="204897"/>
    <n v="3"/>
  </r>
  <r>
    <x v="348"/>
    <n v="31"/>
    <n v="204894"/>
    <n v="7"/>
  </r>
  <r>
    <x v="349"/>
    <n v="35"/>
    <n v="204887"/>
    <n v="14"/>
  </r>
  <r>
    <x v="350"/>
    <n v="45"/>
    <n v="204873"/>
    <n v="24"/>
  </r>
  <r>
    <x v="351"/>
    <n v="46"/>
    <n v="204849"/>
    <n v="23"/>
  </r>
  <r>
    <x v="352"/>
    <n v="43"/>
    <n v="204826"/>
    <n v="14"/>
  </r>
  <r>
    <x v="353"/>
    <n v="36"/>
    <n v="204812"/>
    <n v="10"/>
  </r>
  <r>
    <x v="354"/>
    <n v="50"/>
    <n v="204802"/>
    <n v="28"/>
  </r>
  <r>
    <x v="355"/>
    <n v="34"/>
    <n v="204774"/>
    <n v="10"/>
  </r>
  <r>
    <x v="356"/>
    <n v="29"/>
    <n v="204764"/>
    <n v="8"/>
  </r>
  <r>
    <x v="357"/>
    <n v="36"/>
    <n v="204756"/>
    <n v="11"/>
  </r>
  <r>
    <x v="358"/>
    <n v="39"/>
    <n v="204745"/>
    <n v="24"/>
  </r>
  <r>
    <x v="359"/>
    <n v="36"/>
    <n v="204721"/>
    <n v="8"/>
  </r>
  <r>
    <x v="360"/>
    <n v="38"/>
    <n v="204713"/>
    <n v="21"/>
  </r>
  <r>
    <x v="361"/>
    <n v="39"/>
    <n v="204692"/>
    <n v="11"/>
  </r>
  <r>
    <x v="362"/>
    <n v="33"/>
    <n v="204681"/>
    <n v="13"/>
  </r>
  <r>
    <x v="363"/>
    <n v="25"/>
    <n v="204668"/>
    <n v="0"/>
  </r>
  <r>
    <x v="364"/>
    <n v="28"/>
    <n v="204668"/>
    <n v="-5"/>
  </r>
  <r>
    <x v="365"/>
    <n v="32"/>
    <n v="204673"/>
    <n v="3"/>
  </r>
  <r>
    <x v="366"/>
    <n v="38"/>
    <n v="204670"/>
    <n v="20"/>
  </r>
  <r>
    <x v="367"/>
    <n v="29"/>
    <n v="204650"/>
    <n v="12"/>
  </r>
  <r>
    <x v="368"/>
    <n v="39"/>
    <n v="204638"/>
    <n v="21"/>
  </r>
  <r>
    <x v="369"/>
    <n v="28"/>
    <n v="204617"/>
    <n v="-2"/>
  </r>
  <r>
    <x v="370"/>
    <n v="31"/>
    <n v="204619"/>
    <n v="7"/>
  </r>
  <r>
    <x v="371"/>
    <n v="44"/>
    <n v="204612"/>
    <n v="27"/>
  </r>
  <r>
    <x v="372"/>
    <n v="39"/>
    <n v="204585"/>
    <n v="2"/>
  </r>
  <r>
    <x v="373"/>
    <n v="68"/>
    <n v="204583"/>
    <n v="50"/>
  </r>
  <r>
    <x v="374"/>
    <n v="38"/>
    <n v="204533"/>
    <n v="18"/>
  </r>
  <r>
    <x v="375"/>
    <n v="28"/>
    <n v="204515"/>
    <n v="0"/>
  </r>
  <r>
    <x v="376"/>
    <n v="84"/>
    <n v="204515"/>
    <n v="62"/>
  </r>
  <r>
    <x v="377"/>
    <n v="45"/>
    <n v="204453"/>
    <n v="13"/>
  </r>
  <r>
    <x v="378"/>
    <n v="43"/>
    <n v="204440"/>
    <n v="28"/>
  </r>
  <r>
    <x v="379"/>
    <n v="41"/>
    <n v="204412"/>
    <n v="25"/>
  </r>
  <r>
    <x v="380"/>
    <n v="37"/>
    <n v="204387"/>
    <n v="15"/>
  </r>
  <r>
    <x v="381"/>
    <n v="37"/>
    <n v="204372"/>
    <n v="8"/>
  </r>
  <r>
    <x v="382"/>
    <n v="28"/>
    <n v="204364"/>
    <n v="4"/>
  </r>
  <r>
    <x v="383"/>
    <n v="34"/>
    <n v="204360"/>
    <n v="4"/>
  </r>
  <r>
    <x v="384"/>
    <n v="30"/>
    <n v="204356"/>
    <n v="5"/>
  </r>
  <r>
    <x v="385"/>
    <n v="35"/>
    <n v="204351"/>
    <n v="8"/>
  </r>
  <r>
    <x v="386"/>
    <n v="35"/>
    <n v="204343"/>
    <n v="-1"/>
  </r>
  <r>
    <x v="387"/>
    <n v="38"/>
    <n v="204344"/>
    <n v="12"/>
  </r>
  <r>
    <x v="388"/>
    <n v="28"/>
    <n v="204332"/>
    <n v="-2"/>
  </r>
  <r>
    <x v="389"/>
    <n v="54"/>
    <n v="204334"/>
    <n v="24"/>
  </r>
  <r>
    <x v="390"/>
    <n v="36"/>
    <n v="204310"/>
    <n v="17"/>
  </r>
  <r>
    <x v="391"/>
    <n v="29"/>
    <n v="204293"/>
    <n v="5"/>
  </r>
  <r>
    <x v="392"/>
    <n v="34"/>
    <n v="204288"/>
    <n v="5"/>
  </r>
  <r>
    <x v="393"/>
    <n v="26"/>
    <n v="204283"/>
    <n v="-4"/>
  </r>
  <r>
    <x v="394"/>
    <n v="32"/>
    <n v="204287"/>
    <n v="-18"/>
  </r>
  <r>
    <x v="395"/>
    <n v="38"/>
    <n v="204305"/>
    <n v="14"/>
  </r>
  <r>
    <x v="396"/>
    <n v="31"/>
    <n v="204291"/>
    <n v="8"/>
  </r>
  <r>
    <x v="397"/>
    <n v="34"/>
    <n v="204283"/>
    <n v="9"/>
  </r>
  <r>
    <x v="398"/>
    <n v="34"/>
    <n v="204274"/>
    <n v="7"/>
  </r>
  <r>
    <x v="399"/>
    <n v="40"/>
    <n v="204267"/>
    <n v="10"/>
  </r>
  <r>
    <x v="400"/>
    <n v="31"/>
    <n v="204257"/>
    <n v="8"/>
  </r>
  <r>
    <x v="401"/>
    <n v="29"/>
    <n v="204249"/>
    <n v="12"/>
  </r>
  <r>
    <x v="402"/>
    <n v="28"/>
    <n v="204237"/>
    <n v="8"/>
  </r>
  <r>
    <x v="403"/>
    <n v="38"/>
    <n v="204229"/>
    <n v="16"/>
  </r>
  <r>
    <x v="404"/>
    <n v="38"/>
    <n v="204213"/>
    <n v="7"/>
  </r>
  <r>
    <x v="405"/>
    <n v="33"/>
    <n v="204206"/>
    <n v="-8"/>
  </r>
  <r>
    <x v="406"/>
    <n v="28"/>
    <n v="204214"/>
    <n v="-6"/>
  </r>
  <r>
    <x v="407"/>
    <n v="31"/>
    <n v="204220"/>
    <n v="16"/>
  </r>
  <r>
    <x v="408"/>
    <n v="44"/>
    <n v="204204"/>
    <n v="21"/>
  </r>
  <r>
    <x v="409"/>
    <n v="33"/>
    <n v="204183"/>
    <n v="13"/>
  </r>
  <r>
    <x v="410"/>
    <n v="33"/>
    <n v="204170"/>
    <n v="4"/>
  </r>
  <r>
    <x v="411"/>
    <n v="51"/>
    <n v="204166"/>
    <n v="28"/>
  </r>
  <r>
    <x v="412"/>
    <n v="21"/>
    <n v="204138"/>
    <n v="3"/>
  </r>
  <r>
    <x v="413"/>
    <n v="34"/>
    <n v="204135"/>
    <n v="8"/>
  </r>
  <r>
    <x v="414"/>
    <n v="34"/>
    <n v="204127"/>
    <n v="19"/>
  </r>
  <r>
    <x v="415"/>
    <n v="30"/>
    <n v="204108"/>
    <n v="21"/>
  </r>
  <r>
    <x v="416"/>
    <n v="26"/>
    <n v="204087"/>
    <n v="18"/>
  </r>
  <r>
    <x v="417"/>
    <n v="22"/>
    <n v="204069"/>
    <n v="6"/>
  </r>
  <r>
    <x v="418"/>
    <n v="43"/>
    <n v="204063"/>
    <n v="28"/>
  </r>
  <r>
    <x v="419"/>
    <n v="32"/>
    <n v="204035"/>
    <n v="21"/>
  </r>
  <r>
    <x v="420"/>
    <n v="28"/>
    <n v="204014"/>
    <n v="14"/>
  </r>
  <r>
    <x v="421"/>
    <n v="39"/>
    <n v="204000"/>
    <n v="19"/>
  </r>
  <r>
    <x v="422"/>
    <n v="40"/>
    <n v="203981"/>
    <n v="22"/>
  </r>
  <r>
    <x v="423"/>
    <n v="32"/>
    <n v="203959"/>
    <n v="15"/>
  </r>
  <r>
    <x v="424"/>
    <n v="38"/>
    <n v="203944"/>
    <n v="9"/>
  </r>
  <r>
    <x v="425"/>
    <n v="39"/>
    <n v="203935"/>
    <n v="6"/>
  </r>
  <r>
    <x v="426"/>
    <n v="49"/>
    <n v="203929"/>
    <n v="24"/>
  </r>
  <r>
    <x v="427"/>
    <n v="46"/>
    <n v="203905"/>
    <n v="25"/>
  </r>
  <r>
    <x v="428"/>
    <n v="42"/>
    <n v="203880"/>
    <n v="13"/>
  </r>
  <r>
    <x v="429"/>
    <n v="59"/>
    <n v="203867"/>
    <n v="38"/>
  </r>
  <r>
    <x v="430"/>
    <n v="44"/>
    <n v="203829"/>
    <n v="22"/>
  </r>
  <r>
    <x v="431"/>
    <n v="40"/>
    <n v="203807"/>
    <n v="6"/>
  </r>
  <r>
    <x v="432"/>
    <n v="50"/>
    <n v="203801"/>
    <n v="22"/>
  </r>
  <r>
    <x v="433"/>
    <n v="44"/>
    <n v="203779"/>
    <n v="17"/>
  </r>
  <r>
    <x v="434"/>
    <n v="56"/>
    <n v="203762"/>
    <n v="29"/>
  </r>
  <r>
    <x v="435"/>
    <n v="47"/>
    <n v="203733"/>
    <n v="20"/>
  </r>
  <r>
    <x v="436"/>
    <n v="55"/>
    <n v="203713"/>
    <n v="31"/>
  </r>
  <r>
    <x v="437"/>
    <n v="46"/>
    <n v="203682"/>
    <n v="21"/>
  </r>
  <r>
    <x v="438"/>
    <n v="36"/>
    <n v="203661"/>
    <n v="-5"/>
  </r>
  <r>
    <x v="439"/>
    <n v="49"/>
    <n v="203666"/>
    <n v="8"/>
  </r>
  <r>
    <x v="440"/>
    <n v="50"/>
    <n v="203658"/>
    <n v="27"/>
  </r>
  <r>
    <x v="441"/>
    <n v="40"/>
    <n v="203631"/>
    <n v="1"/>
  </r>
  <r>
    <x v="442"/>
    <n v="56"/>
    <n v="203630"/>
    <n v="36"/>
  </r>
  <r>
    <x v="443"/>
    <n v="37"/>
    <n v="203594"/>
    <n v="6"/>
  </r>
  <r>
    <x v="444"/>
    <n v="36"/>
    <n v="203588"/>
    <n v="6"/>
  </r>
  <r>
    <x v="445"/>
    <n v="46"/>
    <n v="203582"/>
    <n v="20"/>
  </r>
  <r>
    <x v="446"/>
    <n v="47"/>
    <n v="203562"/>
    <n v="14"/>
  </r>
  <r>
    <x v="447"/>
    <n v="45"/>
    <n v="203548"/>
    <n v="17"/>
  </r>
  <r>
    <x v="448"/>
    <n v="54"/>
    <n v="203531"/>
    <n v="28"/>
  </r>
  <r>
    <x v="449"/>
    <n v="64"/>
    <n v="203503"/>
    <n v="23"/>
  </r>
  <r>
    <x v="450"/>
    <n v="39"/>
    <n v="203480"/>
    <n v="13"/>
  </r>
  <r>
    <x v="451"/>
    <n v="34"/>
    <n v="203467"/>
    <n v="1"/>
  </r>
  <r>
    <x v="452"/>
    <n v="57"/>
    <n v="203466"/>
    <n v="36"/>
  </r>
  <r>
    <x v="453"/>
    <n v="49"/>
    <n v="203430"/>
    <n v="32"/>
  </r>
  <r>
    <x v="454"/>
    <n v="59"/>
    <n v="203398"/>
    <n v="23"/>
  </r>
  <r>
    <x v="455"/>
    <n v="39"/>
    <n v="203375"/>
    <n v="11"/>
  </r>
  <r>
    <x v="456"/>
    <n v="52"/>
    <n v="203364"/>
    <n v="34"/>
  </r>
  <r>
    <x v="457"/>
    <n v="38"/>
    <n v="203330"/>
    <n v="2"/>
  </r>
  <r>
    <x v="458"/>
    <n v="42"/>
    <n v="203328"/>
    <n v="13"/>
  </r>
  <r>
    <x v="459"/>
    <n v="43"/>
    <n v="203315"/>
    <n v="17"/>
  </r>
  <r>
    <x v="460"/>
    <n v="53"/>
    <n v="203298"/>
    <n v="23"/>
  </r>
  <r>
    <x v="461"/>
    <n v="41"/>
    <n v="203275"/>
    <n v="2"/>
  </r>
  <r>
    <x v="462"/>
    <n v="58"/>
    <n v="203273"/>
    <n v="31"/>
  </r>
  <r>
    <x v="463"/>
    <n v="171"/>
    <n v="203242"/>
    <n v="139"/>
  </r>
  <r>
    <x v="464"/>
    <n v="118"/>
    <n v="203103"/>
    <n v="81"/>
  </r>
  <r>
    <x v="465"/>
    <n v="141"/>
    <n v="203022"/>
    <n v="106"/>
  </r>
  <r>
    <x v="466"/>
    <n v="95"/>
    <n v="202916"/>
    <n v="71"/>
  </r>
  <r>
    <x v="467"/>
    <n v="138"/>
    <n v="202845"/>
    <n v="113"/>
  </r>
  <r>
    <x v="468"/>
    <n v="196"/>
    <n v="202732"/>
    <n v="167"/>
  </r>
  <r>
    <x v="469"/>
    <n v="121"/>
    <n v="202565"/>
    <n v="89"/>
  </r>
  <r>
    <x v="470"/>
    <n v="149"/>
    <n v="202476"/>
    <n v="104"/>
  </r>
  <r>
    <x v="471"/>
    <n v="160"/>
    <n v="202372"/>
    <n v="132"/>
  </r>
  <r>
    <x v="472"/>
    <n v="205"/>
    <n v="202240"/>
    <n v="173"/>
  </r>
  <r>
    <x v="473"/>
    <n v="48"/>
    <n v="202067"/>
    <n v="17"/>
  </r>
  <r>
    <x v="474"/>
    <n v="123"/>
    <n v="202050"/>
    <n v="89"/>
  </r>
  <r>
    <x v="475"/>
    <n v="51"/>
    <n v="201961"/>
    <n v="20"/>
  </r>
  <r>
    <x v="476"/>
    <n v="71"/>
    <n v="201941"/>
    <n v="43"/>
  </r>
  <r>
    <x v="477"/>
    <n v="66"/>
    <n v="201898"/>
    <n v="23"/>
  </r>
  <r>
    <x v="478"/>
    <n v="46"/>
    <n v="201875"/>
    <n v="4"/>
  </r>
  <r>
    <x v="479"/>
    <n v="57"/>
    <n v="201871"/>
    <n v="29"/>
  </r>
  <r>
    <x v="480"/>
    <n v="49"/>
    <n v="201842"/>
    <n v="18"/>
  </r>
  <r>
    <x v="481"/>
    <n v="50"/>
    <n v="201824"/>
    <n v="20"/>
  </r>
  <r>
    <x v="482"/>
    <n v="47"/>
    <n v="201804"/>
    <n v="20"/>
  </r>
  <r>
    <x v="483"/>
    <n v="47"/>
    <n v="201784"/>
    <n v="8"/>
  </r>
  <r>
    <x v="484"/>
    <n v="59"/>
    <n v="201776"/>
    <n v="21"/>
  </r>
  <r>
    <x v="485"/>
    <n v="46"/>
    <n v="201755"/>
    <n v="16"/>
  </r>
  <r>
    <x v="486"/>
    <n v="46"/>
    <n v="201739"/>
    <n v="17"/>
  </r>
  <r>
    <x v="487"/>
    <n v="56"/>
    <n v="201722"/>
    <n v="1"/>
  </r>
  <r>
    <x v="488"/>
    <n v="298"/>
    <n v="201721"/>
    <n v="247"/>
  </r>
  <r>
    <x v="489"/>
    <n v="314"/>
    <n v="201474"/>
    <n v="281"/>
  </r>
  <r>
    <x v="490"/>
    <n v="345"/>
    <n v="201193"/>
    <n v="300"/>
  </r>
  <r>
    <x v="491"/>
    <n v="389"/>
    <n v="200893"/>
    <n v="338"/>
  </r>
  <r>
    <x v="492"/>
    <n v="359"/>
    <n v="200555"/>
    <n v="316"/>
  </r>
  <r>
    <x v="493"/>
    <n v="429"/>
    <n v="200239"/>
    <n v="394"/>
  </r>
  <r>
    <x v="494"/>
    <n v="432"/>
    <n v="199845"/>
    <n v="409"/>
  </r>
  <r>
    <x v="495"/>
    <n v="46"/>
    <n v="199436"/>
    <n v="20"/>
  </r>
  <r>
    <x v="496"/>
    <n v="43"/>
    <n v="199416"/>
    <n v="16"/>
  </r>
  <r>
    <x v="497"/>
    <n v="46"/>
    <n v="199400"/>
    <n v="21"/>
  </r>
  <r>
    <x v="498"/>
    <n v="42"/>
    <n v="199379"/>
    <n v="13"/>
  </r>
  <r>
    <x v="499"/>
    <n v="49"/>
    <n v="199366"/>
    <n v="29"/>
  </r>
  <r>
    <x v="500"/>
    <n v="59"/>
    <n v="199337"/>
    <n v="28"/>
  </r>
  <r>
    <x v="501"/>
    <n v="68"/>
    <n v="199309"/>
    <n v="37"/>
  </r>
  <r>
    <x v="502"/>
    <n v="51"/>
    <n v="199272"/>
    <n v="20"/>
  </r>
  <r>
    <x v="503"/>
    <n v="54"/>
    <n v="199252"/>
    <n v="34"/>
  </r>
  <r>
    <x v="504"/>
    <n v="71"/>
    <n v="199218"/>
    <n v="41"/>
  </r>
  <r>
    <x v="505"/>
    <n v="71"/>
    <n v="199177"/>
    <n v="42"/>
  </r>
  <r>
    <x v="506"/>
    <n v="172"/>
    <n v="199135"/>
    <n v="113"/>
  </r>
  <r>
    <x v="507"/>
    <n v="112"/>
    <n v="199022"/>
    <n v="57"/>
  </r>
  <r>
    <x v="508"/>
    <n v="114"/>
    <n v="198965"/>
    <n v="79"/>
  </r>
  <r>
    <x v="509"/>
    <n v="118"/>
    <n v="198886"/>
    <n v="78"/>
  </r>
  <r>
    <x v="510"/>
    <n v="136"/>
    <n v="198808"/>
    <n v="103"/>
  </r>
  <r>
    <x v="511"/>
    <n v="107"/>
    <n v="198705"/>
    <n v="61"/>
  </r>
  <r>
    <x v="512"/>
    <n v="167"/>
    <n v="198644"/>
    <n v="124"/>
  </r>
  <r>
    <x v="513"/>
    <n v="137"/>
    <n v="198520"/>
    <n v="86"/>
  </r>
  <r>
    <x v="514"/>
    <n v="130"/>
    <n v="198434"/>
    <n v="95"/>
  </r>
  <r>
    <x v="515"/>
    <n v="107"/>
    <n v="198339"/>
    <n v="67"/>
  </r>
  <r>
    <x v="516"/>
    <n v="104"/>
    <n v="198272"/>
    <n v="53"/>
  </r>
  <r>
    <x v="517"/>
    <n v="118"/>
    <n v="198219"/>
    <n v="66"/>
  </r>
  <r>
    <x v="518"/>
    <n v="114"/>
    <n v="198153"/>
    <n v="73"/>
  </r>
  <r>
    <x v="519"/>
    <n v="109"/>
    <n v="198080"/>
    <n v="69"/>
  </r>
  <r>
    <x v="520"/>
    <n v="123"/>
    <n v="198011"/>
    <n v="83"/>
  </r>
  <r>
    <x v="521"/>
    <n v="104"/>
    <n v="197928"/>
    <n v="63"/>
  </r>
  <r>
    <x v="522"/>
    <n v="89"/>
    <n v="197865"/>
    <n v="41"/>
  </r>
  <r>
    <x v="523"/>
    <n v="107"/>
    <n v="197824"/>
    <n v="46"/>
  </r>
  <r>
    <x v="524"/>
    <n v="118"/>
    <n v="197778"/>
    <n v="53"/>
  </r>
  <r>
    <x v="525"/>
    <n v="122"/>
    <n v="197725"/>
    <n v="82"/>
  </r>
  <r>
    <x v="526"/>
    <n v="116"/>
    <n v="197643"/>
    <n v="62"/>
  </r>
  <r>
    <x v="527"/>
    <n v="101"/>
    <n v="197581"/>
    <n v="49"/>
  </r>
  <r>
    <x v="528"/>
    <n v="109"/>
    <n v="197532"/>
    <n v="76"/>
  </r>
  <r>
    <x v="529"/>
    <n v="119"/>
    <n v="197456"/>
    <n v="75"/>
  </r>
  <r>
    <x v="530"/>
    <n v="153"/>
    <n v="197381"/>
    <n v="93"/>
  </r>
  <r>
    <x v="531"/>
    <n v="137"/>
    <n v="197288"/>
    <n v="105"/>
  </r>
  <r>
    <x v="532"/>
    <n v="114"/>
    <n v="197183"/>
    <n v="87"/>
  </r>
  <r>
    <x v="533"/>
    <n v="108"/>
    <n v="197096"/>
    <n v="65"/>
  </r>
  <r>
    <x v="534"/>
    <n v="110"/>
    <n v="197031"/>
    <n v="65"/>
  </r>
  <r>
    <x v="535"/>
    <n v="98"/>
    <n v="196966"/>
    <n v="70"/>
  </r>
  <r>
    <x v="536"/>
    <n v="88"/>
    <n v="196896"/>
    <n v="51"/>
  </r>
  <r>
    <x v="537"/>
    <n v="99"/>
    <n v="196845"/>
    <n v="58"/>
  </r>
  <r>
    <x v="538"/>
    <n v="47"/>
    <n v="196787"/>
    <n v="14"/>
  </r>
  <r>
    <x v="539"/>
    <n v="60"/>
    <n v="196773"/>
    <n v="21"/>
  </r>
  <r>
    <x v="540"/>
    <n v="54"/>
    <n v="196752"/>
    <n v="18"/>
  </r>
  <r>
    <x v="541"/>
    <n v="32"/>
    <n v="196734"/>
    <n v="2"/>
  </r>
  <r>
    <x v="542"/>
    <n v="47"/>
    <n v="196732"/>
    <n v="6"/>
  </r>
  <r>
    <x v="543"/>
    <n v="40"/>
    <n v="196726"/>
    <n v="5"/>
  </r>
  <r>
    <x v="544"/>
    <n v="41"/>
    <n v="196721"/>
    <n v="8"/>
  </r>
  <r>
    <x v="545"/>
    <n v="265"/>
    <n v="196713"/>
    <n v="231"/>
  </r>
  <r>
    <x v="546"/>
    <n v="119"/>
    <n v="196482"/>
    <n v="79"/>
  </r>
  <r>
    <x v="547"/>
    <n v="169"/>
    <n v="196403"/>
    <n v="132"/>
  </r>
  <r>
    <x v="548"/>
    <n v="370"/>
    <n v="196271"/>
    <n v="323"/>
  </r>
  <r>
    <x v="549"/>
    <n v="368"/>
    <n v="195948"/>
    <n v="336"/>
  </r>
  <r>
    <x v="550"/>
    <n v="584"/>
    <n v="195612"/>
    <n v="562"/>
  </r>
  <r>
    <x v="551"/>
    <n v="545"/>
    <n v="195050"/>
    <n v="523"/>
  </r>
  <r>
    <x v="552"/>
    <n v="40"/>
    <n v="194527"/>
    <n v="9"/>
  </r>
  <r>
    <x v="553"/>
    <n v="29"/>
    <n v="194518"/>
    <n v="11"/>
  </r>
  <r>
    <x v="554"/>
    <n v="47"/>
    <n v="194507"/>
    <n v="22"/>
  </r>
  <r>
    <x v="555"/>
    <n v="30"/>
    <n v="194485"/>
    <n v="0"/>
  </r>
  <r>
    <x v="556"/>
    <n v="26"/>
    <n v="194485"/>
    <n v="6"/>
  </r>
  <r>
    <x v="557"/>
    <n v="23"/>
    <n v="194479"/>
    <n v="-10"/>
  </r>
  <r>
    <x v="558"/>
    <n v="14"/>
    <n v="194489"/>
    <n v="-18"/>
  </r>
  <r>
    <x v="559"/>
    <n v="32"/>
    <n v="194507"/>
    <n v="4"/>
  </r>
  <r>
    <x v="560"/>
    <n v="35"/>
    <n v="194473"/>
    <n v="12"/>
  </r>
  <r>
    <x v="561"/>
    <n v="46"/>
    <n v="194461"/>
    <n v="19"/>
  </r>
  <r>
    <x v="562"/>
    <n v="47"/>
    <n v="194442"/>
    <n v="26"/>
  </r>
  <r>
    <x v="563"/>
    <n v="40"/>
    <n v="194416"/>
    <n v="3"/>
  </r>
  <r>
    <x v="564"/>
    <n v="43"/>
    <n v="194413"/>
    <n v="15"/>
  </r>
  <r>
    <x v="565"/>
    <n v="35"/>
    <n v="194398"/>
    <n v="7"/>
  </r>
  <r>
    <x v="566"/>
    <n v="34"/>
    <n v="194391"/>
    <n v="18"/>
  </r>
  <r>
    <x v="567"/>
    <n v="40"/>
    <n v="194373"/>
    <n v="13"/>
  </r>
  <r>
    <x v="568"/>
    <n v="34"/>
    <n v="194360"/>
    <n v="0"/>
  </r>
  <r>
    <x v="569"/>
    <n v="36"/>
    <n v="194360"/>
    <n v="0"/>
  </r>
  <r>
    <x v="570"/>
    <n v="23"/>
    <n v="194360"/>
    <n v="-1"/>
  </r>
  <r>
    <x v="571"/>
    <n v="19"/>
    <n v="194361"/>
    <n v="-11"/>
  </r>
  <r>
    <x v="572"/>
    <n v="35"/>
    <n v="194372"/>
    <n v="-25"/>
  </r>
  <r>
    <x v="573"/>
    <n v="26"/>
    <n v="194397"/>
    <n v="-8"/>
  </r>
  <r>
    <x v="574"/>
    <n v="36"/>
    <n v="194405"/>
    <n v="6"/>
  </r>
  <r>
    <x v="575"/>
    <n v="40"/>
    <n v="194399"/>
    <n v="13"/>
  </r>
  <r>
    <x v="576"/>
    <n v="40"/>
    <n v="194386"/>
    <n v="2"/>
  </r>
  <r>
    <x v="577"/>
    <n v="24"/>
    <n v="194384"/>
    <n v="0"/>
  </r>
  <r>
    <x v="578"/>
    <n v="46"/>
    <n v="194384"/>
    <n v="20"/>
  </r>
  <r>
    <x v="579"/>
    <n v="40"/>
    <n v="194364"/>
    <n v="-1"/>
  </r>
  <r>
    <x v="580"/>
    <n v="41"/>
    <n v="194365"/>
    <n v="10"/>
  </r>
  <r>
    <x v="581"/>
    <n v="42"/>
    <n v="194355"/>
    <n v="7"/>
  </r>
  <r>
    <x v="582"/>
    <n v="34"/>
    <n v="194348"/>
    <n v="1"/>
  </r>
  <r>
    <x v="583"/>
    <n v="34"/>
    <n v="194347"/>
    <n v="10"/>
  </r>
  <r>
    <x v="584"/>
    <n v="37"/>
    <n v="194337"/>
    <n v="1"/>
  </r>
  <r>
    <x v="585"/>
    <n v="33"/>
    <n v="194336"/>
    <n v="2"/>
  </r>
  <r>
    <x v="586"/>
    <n v="21"/>
    <n v="194334"/>
    <n v="-2"/>
  </r>
  <r>
    <x v="587"/>
    <n v="39"/>
    <n v="194336"/>
    <n v="6"/>
  </r>
  <r>
    <x v="588"/>
    <n v="29"/>
    <n v="194330"/>
    <n v="7"/>
  </r>
  <r>
    <x v="589"/>
    <n v="34"/>
    <n v="194323"/>
    <n v="2"/>
  </r>
  <r>
    <x v="590"/>
    <n v="29"/>
    <n v="194321"/>
    <n v="-12"/>
  </r>
  <r>
    <x v="591"/>
    <n v="25"/>
    <n v="194333"/>
    <n v="16"/>
  </r>
  <r>
    <x v="592"/>
    <n v="29"/>
    <n v="194317"/>
    <n v="0"/>
  </r>
  <r>
    <x v="593"/>
    <n v="51"/>
    <n v="194317"/>
    <n v="33"/>
  </r>
  <r>
    <x v="594"/>
    <n v="32"/>
    <n v="194284"/>
    <n v="6"/>
  </r>
  <r>
    <x v="595"/>
    <n v="24"/>
    <n v="194278"/>
    <n v="-8"/>
  </r>
  <r>
    <x v="596"/>
    <n v="80"/>
    <n v="194286"/>
    <n v="57"/>
  </r>
  <r>
    <x v="597"/>
    <n v="31"/>
    <n v="194229"/>
    <n v="-2"/>
  </r>
  <r>
    <x v="598"/>
    <n v="38"/>
    <n v="194231"/>
    <n v="17"/>
  </r>
  <r>
    <x v="599"/>
    <n v="37"/>
    <n v="194214"/>
    <n v="16"/>
  </r>
  <r>
    <x v="600"/>
    <n v="30"/>
    <n v="194198"/>
    <n v="-3"/>
  </r>
  <r>
    <x v="601"/>
    <n v="25"/>
    <n v="194201"/>
    <n v="-7"/>
  </r>
  <r>
    <x v="602"/>
    <n v="28"/>
    <n v="194208"/>
    <n v="5"/>
  </r>
  <r>
    <x v="603"/>
    <n v="27"/>
    <n v="194203"/>
    <n v="-9"/>
  </r>
  <r>
    <x v="604"/>
    <n v="36"/>
    <n v="194212"/>
    <n v="22"/>
  </r>
  <r>
    <x v="605"/>
    <n v="30"/>
    <n v="194190"/>
    <n v="16"/>
  </r>
  <r>
    <x v="606"/>
    <n v="42"/>
    <n v="194174"/>
    <n v="13"/>
  </r>
  <r>
    <x v="607"/>
    <n v="38"/>
    <n v="194161"/>
    <n v="16"/>
  </r>
  <r>
    <x v="608"/>
    <n v="25"/>
    <n v="194145"/>
    <n v="-5"/>
  </r>
  <r>
    <x v="609"/>
    <n v="37"/>
    <n v="194150"/>
    <n v="4"/>
  </r>
  <r>
    <x v="610"/>
    <n v="35"/>
    <n v="194146"/>
    <n v="18"/>
  </r>
  <r>
    <x v="611"/>
    <n v="26"/>
    <n v="194128"/>
    <n v="13"/>
  </r>
  <r>
    <x v="612"/>
    <n v="37"/>
    <n v="194115"/>
    <n v="14"/>
  </r>
  <r>
    <x v="613"/>
    <n v="25"/>
    <n v="194101"/>
    <n v="-9"/>
  </r>
  <r>
    <x v="614"/>
    <n v="37"/>
    <n v="194110"/>
    <n v="9"/>
  </r>
  <r>
    <x v="615"/>
    <n v="30"/>
    <n v="194101"/>
    <n v="21"/>
  </r>
  <r>
    <x v="616"/>
    <n v="28"/>
    <n v="194080"/>
    <n v="-2"/>
  </r>
  <r>
    <x v="617"/>
    <n v="33"/>
    <n v="194082"/>
    <n v="16"/>
  </r>
  <r>
    <x v="618"/>
    <n v="26"/>
    <n v="194066"/>
    <n v="-2"/>
  </r>
  <r>
    <x v="619"/>
    <n v="33"/>
    <n v="194068"/>
    <n v="12"/>
  </r>
  <r>
    <x v="620"/>
    <n v="20"/>
    <n v="194056"/>
    <n v="-11"/>
  </r>
  <r>
    <x v="621"/>
    <n v="26"/>
    <n v="194067"/>
    <n v="9"/>
  </r>
  <r>
    <x v="622"/>
    <n v="21"/>
    <n v="194058"/>
    <n v="-5"/>
  </r>
  <r>
    <x v="623"/>
    <n v="22"/>
    <n v="194063"/>
    <n v="4"/>
  </r>
  <r>
    <x v="624"/>
    <n v="47"/>
    <n v="194059"/>
    <n v="25"/>
  </r>
  <r>
    <x v="625"/>
    <n v="23"/>
    <n v="194034"/>
    <n v="-5"/>
  </r>
  <r>
    <x v="626"/>
    <n v="29"/>
    <n v="194039"/>
    <n v="9"/>
  </r>
  <r>
    <x v="627"/>
    <n v="34"/>
    <n v="194030"/>
    <n v="8"/>
  </r>
  <r>
    <x v="628"/>
    <n v="32"/>
    <n v="194022"/>
    <n v="8"/>
  </r>
  <r>
    <x v="629"/>
    <n v="21"/>
    <n v="194014"/>
    <n v="-10"/>
  </r>
  <r>
    <x v="630"/>
    <n v="25"/>
    <n v="194024"/>
    <n v="-13"/>
  </r>
  <r>
    <x v="631"/>
    <n v="36"/>
    <n v="194037"/>
    <n v="14"/>
  </r>
  <r>
    <x v="632"/>
    <n v="29"/>
    <n v="194023"/>
    <n v="1"/>
  </r>
  <r>
    <x v="633"/>
    <n v="37"/>
    <n v="194022"/>
    <n v="19"/>
  </r>
  <r>
    <x v="634"/>
    <n v="28"/>
    <n v="194003"/>
    <n v="13"/>
  </r>
  <r>
    <x v="635"/>
    <n v="38"/>
    <n v="193990"/>
    <n v="15"/>
  </r>
  <r>
    <x v="636"/>
    <n v="36"/>
    <n v="193975"/>
    <n v="10"/>
  </r>
  <r>
    <x v="637"/>
    <n v="28"/>
    <n v="193965"/>
    <n v="13"/>
  </r>
  <r>
    <x v="638"/>
    <n v="32"/>
    <n v="193952"/>
    <n v="-2"/>
  </r>
  <r>
    <x v="639"/>
    <n v="27"/>
    <n v="193954"/>
    <n v="1"/>
  </r>
  <r>
    <x v="640"/>
    <n v="16"/>
    <n v="193953"/>
    <n v="-2"/>
  </r>
  <r>
    <x v="641"/>
    <n v="28"/>
    <n v="193955"/>
    <n v="-11"/>
  </r>
  <r>
    <x v="642"/>
    <n v="32"/>
    <n v="193966"/>
    <n v="1"/>
  </r>
  <r>
    <x v="643"/>
    <n v="415"/>
    <n v="193965"/>
    <n v="379"/>
  </r>
  <r>
    <x v="644"/>
    <n v="90"/>
    <n v="193586"/>
    <n v="57"/>
  </r>
  <r>
    <x v="645"/>
    <n v="102"/>
    <n v="193529"/>
    <n v="83"/>
  </r>
  <r>
    <x v="646"/>
    <n v="120"/>
    <n v="193446"/>
    <n v="86"/>
  </r>
  <r>
    <x v="647"/>
    <n v="28"/>
    <n v="193360"/>
    <n v="-7"/>
  </r>
  <r>
    <x v="648"/>
    <n v="25"/>
    <n v="193367"/>
    <n v="6"/>
  </r>
  <r>
    <x v="649"/>
    <n v="23"/>
    <n v="193361"/>
    <n v="-2"/>
  </r>
  <r>
    <x v="650"/>
    <n v="97"/>
    <n v="193363"/>
    <n v="80"/>
  </r>
  <r>
    <x v="651"/>
    <n v="71"/>
    <n v="193283"/>
    <n v="41"/>
  </r>
  <r>
    <x v="652"/>
    <n v="95"/>
    <n v="193242"/>
    <n v="49"/>
  </r>
  <r>
    <x v="653"/>
    <n v="86"/>
    <n v="193193"/>
    <n v="51"/>
  </r>
  <r>
    <x v="654"/>
    <n v="63"/>
    <n v="193142"/>
    <n v="32"/>
  </r>
  <r>
    <x v="655"/>
    <n v="88"/>
    <n v="193110"/>
    <n v="51"/>
  </r>
  <r>
    <x v="656"/>
    <n v="55"/>
    <n v="193059"/>
    <n v="25"/>
  </r>
  <r>
    <x v="657"/>
    <n v="67"/>
    <n v="193034"/>
    <n v="29"/>
  </r>
  <r>
    <x v="658"/>
    <n v="61"/>
    <n v="193005"/>
    <n v="39"/>
  </r>
  <r>
    <x v="659"/>
    <n v="80"/>
    <n v="192966"/>
    <n v="58"/>
  </r>
  <r>
    <x v="660"/>
    <n v="86"/>
    <n v="192908"/>
    <n v="50"/>
  </r>
  <r>
    <x v="661"/>
    <n v="118"/>
    <n v="192858"/>
    <n v="90"/>
  </r>
  <r>
    <x v="662"/>
    <n v="80"/>
    <n v="192768"/>
    <n v="44"/>
  </r>
  <r>
    <x v="663"/>
    <n v="72"/>
    <n v="192724"/>
    <n v="44"/>
  </r>
  <r>
    <x v="664"/>
    <n v="84"/>
    <n v="192680"/>
    <n v="47"/>
  </r>
  <r>
    <x v="665"/>
    <n v="76"/>
    <n v="192633"/>
    <n v="67"/>
  </r>
  <r>
    <x v="666"/>
    <n v="109"/>
    <n v="192566"/>
    <n v="61"/>
  </r>
  <r>
    <x v="667"/>
    <n v="85"/>
    <n v="192505"/>
    <n v="44"/>
  </r>
  <r>
    <x v="668"/>
    <n v="69"/>
    <n v="192461"/>
    <n v="33"/>
  </r>
  <r>
    <x v="669"/>
    <n v="70"/>
    <n v="192428"/>
    <n v="16"/>
  </r>
  <r>
    <x v="670"/>
    <n v="72"/>
    <n v="192412"/>
    <n v="9"/>
  </r>
  <r>
    <x v="671"/>
    <n v="75"/>
    <n v="192403"/>
    <n v="31"/>
  </r>
  <r>
    <x v="672"/>
    <n v="280"/>
    <n v="192372"/>
    <n v="237"/>
  </r>
  <r>
    <x v="673"/>
    <n v="185"/>
    <n v="192135"/>
    <n v="157"/>
  </r>
  <r>
    <x v="674"/>
    <n v="234"/>
    <n v="191978"/>
    <n v="174"/>
  </r>
  <r>
    <x v="675"/>
    <n v="534"/>
    <n v="191804"/>
    <n v="490"/>
  </r>
  <r>
    <x v="676"/>
    <n v="58"/>
    <n v="191314"/>
    <n v="12"/>
  </r>
  <r>
    <x v="677"/>
    <n v="71"/>
    <n v="191302"/>
    <n v="54"/>
  </r>
  <r>
    <x v="678"/>
    <n v="65"/>
    <n v="191248"/>
    <n v="40"/>
  </r>
  <r>
    <x v="679"/>
    <n v="55"/>
    <n v="191208"/>
    <n v="30"/>
  </r>
  <r>
    <x v="680"/>
    <n v="77"/>
    <n v="191178"/>
    <n v="46"/>
  </r>
  <r>
    <x v="681"/>
    <n v="60"/>
    <n v="191132"/>
    <n v="19"/>
  </r>
  <r>
    <x v="682"/>
    <n v="45"/>
    <n v="191113"/>
    <n v="17"/>
  </r>
  <r>
    <x v="683"/>
    <n v="73"/>
    <n v="191096"/>
    <n v="46"/>
  </r>
  <r>
    <x v="684"/>
    <n v="62"/>
    <n v="191050"/>
    <n v="27"/>
  </r>
  <r>
    <x v="685"/>
    <n v="67"/>
    <n v="191023"/>
    <n v="43"/>
  </r>
  <r>
    <x v="686"/>
    <n v="46"/>
    <n v="190980"/>
    <n v="9"/>
  </r>
  <r>
    <x v="687"/>
    <n v="54"/>
    <n v="190971"/>
    <n v="15"/>
  </r>
  <r>
    <x v="688"/>
    <n v="46"/>
    <n v="190956"/>
    <n v="27"/>
  </r>
  <r>
    <x v="689"/>
    <n v="24"/>
    <n v="190929"/>
    <n v="-11"/>
  </r>
  <r>
    <x v="690"/>
    <n v="39"/>
    <n v="190940"/>
    <n v="10"/>
  </r>
  <r>
    <x v="691"/>
    <n v="47"/>
    <n v="190930"/>
    <n v="28"/>
  </r>
  <r>
    <x v="692"/>
    <n v="38"/>
    <n v="190902"/>
    <n v="3"/>
  </r>
  <r>
    <x v="693"/>
    <n v="57"/>
    <n v="190899"/>
    <n v="19"/>
  </r>
  <r>
    <x v="694"/>
    <n v="56"/>
    <n v="190880"/>
    <n v="24"/>
  </r>
  <r>
    <x v="695"/>
    <n v="43"/>
    <n v="190856"/>
    <n v="37"/>
  </r>
  <r>
    <x v="696"/>
    <n v="52"/>
    <n v="190819"/>
    <n v="23"/>
  </r>
  <r>
    <x v="697"/>
    <n v="46"/>
    <n v="190796"/>
    <n v="12"/>
  </r>
  <r>
    <x v="698"/>
    <n v="37"/>
    <n v="190784"/>
    <n v="0"/>
  </r>
  <r>
    <x v="699"/>
    <n v="41"/>
    <n v="190784"/>
    <n v="30"/>
  </r>
  <r>
    <x v="700"/>
    <n v="40"/>
    <n v="190754"/>
    <n v="12"/>
  </r>
  <r>
    <x v="701"/>
    <n v="53"/>
    <n v="190742"/>
    <n v="38"/>
  </r>
  <r>
    <x v="702"/>
    <n v="39"/>
    <n v="190704"/>
    <n v="19"/>
  </r>
  <r>
    <x v="703"/>
    <n v="37"/>
    <n v="190685"/>
    <n v="5"/>
  </r>
  <r>
    <x v="704"/>
    <n v="48"/>
    <n v="190680"/>
    <n v="31"/>
  </r>
  <r>
    <x v="705"/>
    <n v="50"/>
    <n v="190649"/>
    <n v="25"/>
  </r>
  <r>
    <x v="706"/>
    <n v="40"/>
    <n v="190624"/>
    <n v="10"/>
  </r>
  <r>
    <x v="707"/>
    <n v="48"/>
    <n v="190614"/>
    <n v="26"/>
  </r>
  <r>
    <x v="708"/>
    <n v="41"/>
    <n v="190588"/>
    <n v="5"/>
  </r>
  <r>
    <x v="709"/>
    <n v="47"/>
    <n v="190583"/>
    <n v="16"/>
  </r>
  <r>
    <x v="710"/>
    <n v="39"/>
    <n v="190567"/>
    <n v="11"/>
  </r>
  <r>
    <x v="711"/>
    <n v="41"/>
    <n v="190556"/>
    <n v="-11"/>
  </r>
  <r>
    <x v="712"/>
    <n v="35"/>
    <n v="190567"/>
    <n v="9"/>
  </r>
  <r>
    <x v="713"/>
    <n v="45"/>
    <n v="190558"/>
    <n v="19"/>
  </r>
  <r>
    <x v="714"/>
    <n v="33"/>
    <n v="190539"/>
    <n v="-9"/>
  </r>
  <r>
    <x v="715"/>
    <n v="77"/>
    <n v="190548"/>
    <n v="43"/>
  </r>
  <r>
    <x v="716"/>
    <n v="47"/>
    <n v="190505"/>
    <n v="6"/>
  </r>
  <r>
    <x v="717"/>
    <n v="41"/>
    <n v="190499"/>
    <n v="11"/>
  </r>
  <r>
    <x v="718"/>
    <n v="38"/>
    <n v="190488"/>
    <n v="10"/>
  </r>
  <r>
    <x v="719"/>
    <n v="39"/>
    <n v="190478"/>
    <n v="8"/>
  </r>
  <r>
    <x v="720"/>
    <n v="41"/>
    <n v="190470"/>
    <n v="6"/>
  </r>
  <r>
    <x v="721"/>
    <n v="80"/>
    <n v="190464"/>
    <n v="47"/>
  </r>
  <r>
    <x v="722"/>
    <n v="40"/>
    <n v="190417"/>
    <n v="4"/>
  </r>
  <r>
    <x v="723"/>
    <n v="47"/>
    <n v="190413"/>
    <n v="9"/>
  </r>
  <r>
    <x v="724"/>
    <n v="50"/>
    <n v="190404"/>
    <n v="13"/>
  </r>
  <r>
    <x v="725"/>
    <n v="86"/>
    <n v="190391"/>
    <n v="43"/>
  </r>
  <r>
    <x v="726"/>
    <n v="61"/>
    <n v="190348"/>
    <n v="22"/>
  </r>
  <r>
    <x v="727"/>
    <n v="43"/>
    <n v="190326"/>
    <n v="14"/>
  </r>
  <r>
    <x v="728"/>
    <n v="36"/>
    <n v="190312"/>
    <n v="-5"/>
  </r>
  <r>
    <x v="729"/>
    <n v="124"/>
    <n v="190317"/>
    <n v="81"/>
  </r>
  <r>
    <x v="730"/>
    <n v="98"/>
    <n v="190236"/>
    <n v="75"/>
  </r>
  <r>
    <x v="731"/>
    <n v="85"/>
    <n v="190161"/>
    <n v="38"/>
  </r>
  <r>
    <x v="732"/>
    <n v="143"/>
    <n v="190123"/>
    <n v="124"/>
  </r>
  <r>
    <x v="733"/>
    <n v="26"/>
    <n v="189999"/>
    <n v="-11"/>
  </r>
  <r>
    <x v="734"/>
    <n v="32"/>
    <n v="190010"/>
    <n v="21"/>
  </r>
  <r>
    <x v="735"/>
    <n v="31"/>
    <n v="189989"/>
    <n v="-2"/>
  </r>
  <r>
    <x v="736"/>
    <n v="38"/>
    <n v="189991"/>
    <n v="9"/>
  </r>
  <r>
    <x v="737"/>
    <n v="37"/>
    <n v="189982"/>
    <n v="19"/>
  </r>
  <r>
    <x v="738"/>
    <n v="35"/>
    <n v="189963"/>
    <n v="3"/>
  </r>
  <r>
    <x v="739"/>
    <n v="35"/>
    <n v="189960"/>
    <n v="-7"/>
  </r>
  <r>
    <x v="740"/>
    <n v="31"/>
    <n v="189967"/>
    <n v="6"/>
  </r>
  <r>
    <x v="741"/>
    <n v="40"/>
    <n v="189961"/>
    <n v="5"/>
  </r>
  <r>
    <x v="742"/>
    <n v="38"/>
    <n v="189956"/>
    <n v="23"/>
  </r>
  <r>
    <x v="743"/>
    <n v="49"/>
    <n v="189933"/>
    <n v="-5"/>
  </r>
  <r>
    <x v="744"/>
    <n v="44"/>
    <n v="189938"/>
    <n v="-1"/>
  </r>
  <r>
    <x v="745"/>
    <n v="31"/>
    <n v="189939"/>
    <n v="-9"/>
  </r>
  <r>
    <x v="746"/>
    <n v="34"/>
    <n v="189948"/>
    <n v="5"/>
  </r>
  <r>
    <x v="747"/>
    <n v="34"/>
    <n v="189943"/>
    <n v="5"/>
  </r>
  <r>
    <x v="748"/>
    <n v="34"/>
    <n v="189938"/>
    <n v="16"/>
  </r>
  <r>
    <x v="749"/>
    <n v="24"/>
    <n v="189922"/>
    <n v="-16"/>
  </r>
  <r>
    <x v="750"/>
    <n v="44"/>
    <n v="189938"/>
    <n v="6"/>
  </r>
  <r>
    <x v="751"/>
    <n v="37"/>
    <n v="189932"/>
    <n v="-7"/>
  </r>
  <r>
    <x v="752"/>
    <n v="46"/>
    <n v="189939"/>
    <n v="19"/>
  </r>
  <r>
    <x v="753"/>
    <n v="33"/>
    <n v="189920"/>
    <n v="5"/>
  </r>
  <r>
    <x v="754"/>
    <n v="23"/>
    <n v="189915"/>
    <n v="-7"/>
  </r>
  <r>
    <x v="755"/>
    <n v="33"/>
    <n v="189922"/>
    <n v="-2"/>
  </r>
  <r>
    <x v="756"/>
    <n v="25"/>
    <n v="189924"/>
    <n v="-20"/>
  </r>
  <r>
    <x v="757"/>
    <n v="40"/>
    <n v="189944"/>
    <n v="-18"/>
  </r>
  <r>
    <x v="758"/>
    <n v="82"/>
    <n v="189962"/>
    <n v="21"/>
  </r>
  <r>
    <x v="759"/>
    <n v="1050"/>
    <n v="189941"/>
    <n v="1003"/>
  </r>
  <r>
    <x v="760"/>
    <n v="183"/>
    <n v="188938"/>
    <n v="143"/>
  </r>
  <r>
    <x v="761"/>
    <n v="170"/>
    <n v="188795"/>
    <n v="138"/>
  </r>
  <r>
    <x v="762"/>
    <n v="175"/>
    <n v="188657"/>
    <n v="116"/>
  </r>
  <r>
    <x v="763"/>
    <n v="48"/>
    <n v="188541"/>
    <n v="10"/>
  </r>
  <r>
    <x v="764"/>
    <n v="50"/>
    <n v="188531"/>
    <n v="5"/>
  </r>
  <r>
    <x v="765"/>
    <n v="35"/>
    <n v="188526"/>
    <n v="2"/>
  </r>
  <r>
    <x v="766"/>
    <n v="36"/>
    <n v="188524"/>
    <n v="19"/>
  </r>
  <r>
    <x v="767"/>
    <n v="55"/>
    <n v="188505"/>
    <n v="10"/>
  </r>
  <r>
    <x v="768"/>
    <n v="38"/>
    <n v="188495"/>
    <n v="15"/>
  </r>
  <r>
    <x v="769"/>
    <n v="39"/>
    <n v="188480"/>
    <n v="15"/>
  </r>
  <r>
    <x v="770"/>
    <n v="52"/>
    <n v="188465"/>
    <n v="25"/>
  </r>
  <r>
    <x v="771"/>
    <n v="49"/>
    <n v="188440"/>
    <n v="-2"/>
  </r>
  <r>
    <x v="772"/>
    <n v="42"/>
    <n v="188442"/>
    <n v="8"/>
  </r>
  <r>
    <x v="773"/>
    <n v="43"/>
    <n v="188434"/>
    <n v="2"/>
  </r>
  <r>
    <x v="774"/>
    <n v="53"/>
    <n v="188432"/>
    <n v="6"/>
  </r>
  <r>
    <x v="775"/>
    <n v="38"/>
    <n v="188426"/>
    <n v="-4"/>
  </r>
  <r>
    <x v="776"/>
    <n v="32"/>
    <n v="188430"/>
    <n v="12"/>
  </r>
  <r>
    <x v="777"/>
    <n v="36"/>
    <n v="188418"/>
    <n v="3"/>
  </r>
  <r>
    <x v="778"/>
    <n v="80"/>
    <n v="188415"/>
    <n v="33"/>
  </r>
  <r>
    <x v="779"/>
    <n v="42"/>
    <n v="188382"/>
    <n v="1"/>
  </r>
  <r>
    <x v="780"/>
    <n v="59"/>
    <n v="188381"/>
    <n v="13"/>
  </r>
  <r>
    <x v="781"/>
    <n v="55"/>
    <n v="188368"/>
    <n v="8"/>
  </r>
  <r>
    <x v="782"/>
    <n v="47"/>
    <n v="188360"/>
    <n v="9"/>
  </r>
  <r>
    <x v="783"/>
    <n v="45"/>
    <n v="188351"/>
    <n v="10"/>
  </r>
  <r>
    <x v="784"/>
    <n v="59"/>
    <n v="188341"/>
    <n v="10"/>
  </r>
  <r>
    <x v="785"/>
    <n v="56"/>
    <n v="188331"/>
    <n v="20"/>
  </r>
  <r>
    <x v="786"/>
    <n v="97"/>
    <n v="188311"/>
    <n v="70"/>
  </r>
  <r>
    <x v="787"/>
    <n v="55"/>
    <n v="188241"/>
    <n v="3"/>
  </r>
  <r>
    <x v="788"/>
    <n v="52"/>
    <n v="188238"/>
    <n v="16"/>
  </r>
  <r>
    <x v="789"/>
    <n v="57"/>
    <n v="188222"/>
    <n v="26"/>
  </r>
  <r>
    <x v="790"/>
    <n v="67"/>
    <n v="188196"/>
    <n v="40"/>
  </r>
  <r>
    <x v="791"/>
    <n v="52"/>
    <n v="188156"/>
    <n v="-1"/>
  </r>
  <r>
    <x v="792"/>
    <n v="54"/>
    <n v="188157"/>
    <n v="23"/>
  </r>
  <r>
    <x v="793"/>
    <n v="47"/>
    <n v="188134"/>
    <n v="17"/>
  </r>
  <r>
    <x v="794"/>
    <n v="56"/>
    <n v="188117"/>
    <n v="20"/>
  </r>
  <r>
    <x v="795"/>
    <n v="55"/>
    <n v="188097"/>
    <n v="21"/>
  </r>
  <r>
    <x v="796"/>
    <n v="58"/>
    <n v="188076"/>
    <n v="35"/>
  </r>
  <r>
    <x v="797"/>
    <n v="50"/>
    <n v="188041"/>
    <n v="18"/>
  </r>
  <r>
    <x v="798"/>
    <n v="56"/>
    <n v="188023"/>
    <n v="25"/>
  </r>
  <r>
    <x v="799"/>
    <n v="85"/>
    <n v="187998"/>
    <n v="58"/>
  </r>
  <r>
    <x v="800"/>
    <n v="54"/>
    <n v="187940"/>
    <n v="34"/>
  </r>
  <r>
    <x v="801"/>
    <n v="38"/>
    <n v="187906"/>
    <n v="26"/>
  </r>
  <r>
    <x v="802"/>
    <n v="45"/>
    <n v="187880"/>
    <n v="19"/>
  </r>
  <r>
    <x v="803"/>
    <n v="35"/>
    <n v="187861"/>
    <n v="4"/>
  </r>
  <r>
    <x v="804"/>
    <n v="41"/>
    <n v="187857"/>
    <n v="14"/>
  </r>
  <r>
    <x v="805"/>
    <n v="112"/>
    <n v="187843"/>
    <n v="95"/>
  </r>
  <r>
    <x v="806"/>
    <n v="45"/>
    <n v="187748"/>
    <n v="11"/>
  </r>
  <r>
    <x v="807"/>
    <n v="54"/>
    <n v="187737"/>
    <n v="19"/>
  </r>
  <r>
    <x v="808"/>
    <n v="52"/>
    <n v="187718"/>
    <n v="13"/>
  </r>
  <r>
    <x v="809"/>
    <n v="46"/>
    <n v="187705"/>
    <n v="14"/>
  </r>
  <r>
    <x v="810"/>
    <n v="61"/>
    <n v="187691"/>
    <n v="35"/>
  </r>
  <r>
    <x v="811"/>
    <n v="45"/>
    <n v="187656"/>
    <n v="-1"/>
  </r>
  <r>
    <x v="812"/>
    <n v="58"/>
    <n v="187657"/>
    <n v="18"/>
  </r>
  <r>
    <x v="813"/>
    <n v="2270"/>
    <n v="187639"/>
    <n v="2221"/>
  </r>
  <r>
    <x v="814"/>
    <n v="200"/>
    <n v="185418"/>
    <n v="157"/>
  </r>
  <r>
    <x v="815"/>
    <n v="767"/>
    <n v="185261"/>
    <n v="722"/>
  </r>
  <r>
    <x v="816"/>
    <n v="58"/>
    <n v="184539"/>
    <n v="33"/>
  </r>
  <r>
    <x v="817"/>
    <n v="77"/>
    <n v="184506"/>
    <n v="28"/>
  </r>
  <r>
    <x v="818"/>
    <n v="63"/>
    <n v="184478"/>
    <n v="32"/>
  </r>
  <r>
    <x v="819"/>
    <n v="56"/>
    <n v="184446"/>
    <n v="22"/>
  </r>
  <r>
    <x v="820"/>
    <n v="53"/>
    <n v="184424"/>
    <n v="9"/>
  </r>
  <r>
    <x v="821"/>
    <n v="138"/>
    <n v="184415"/>
    <n v="112"/>
  </r>
  <r>
    <x v="822"/>
    <n v="39"/>
    <n v="184303"/>
    <n v="-4"/>
  </r>
  <r>
    <x v="823"/>
    <n v="77"/>
    <n v="184307"/>
    <n v="44"/>
  </r>
  <r>
    <x v="824"/>
    <n v="88"/>
    <n v="184263"/>
    <n v="39"/>
  </r>
  <r>
    <x v="825"/>
    <n v="784"/>
    <n v="184224"/>
    <n v="743"/>
  </r>
  <r>
    <x v="826"/>
    <n v="157"/>
    <n v="183481"/>
    <n v="114"/>
  </r>
  <r>
    <x v="827"/>
    <n v="120"/>
    <n v="183367"/>
    <n v="100"/>
  </r>
  <r>
    <x v="828"/>
    <n v="157"/>
    <n v="183267"/>
    <n v="132"/>
  </r>
  <r>
    <x v="829"/>
    <n v="95"/>
    <n v="183135"/>
    <n v="78"/>
  </r>
  <r>
    <x v="830"/>
    <n v="91"/>
    <n v="183057"/>
    <n v="61"/>
  </r>
  <r>
    <x v="831"/>
    <n v="93"/>
    <n v="182996"/>
    <n v="62"/>
  </r>
  <r>
    <x v="832"/>
    <n v="99"/>
    <n v="182934"/>
    <n v="74"/>
  </r>
  <r>
    <x v="833"/>
    <n v="85"/>
    <n v="182860"/>
    <n v="60"/>
  </r>
  <r>
    <x v="834"/>
    <n v="92"/>
    <n v="182800"/>
    <n v="76"/>
  </r>
  <r>
    <x v="835"/>
    <n v="94"/>
    <n v="182724"/>
    <n v="59"/>
  </r>
  <r>
    <x v="836"/>
    <n v="94"/>
    <n v="182665"/>
    <n v="59"/>
  </r>
  <r>
    <x v="837"/>
    <n v="85"/>
    <n v="182606"/>
    <n v="53"/>
  </r>
  <r>
    <x v="838"/>
    <n v="44"/>
    <n v="182553"/>
    <n v="15"/>
  </r>
  <r>
    <x v="839"/>
    <n v="36"/>
    <n v="182538"/>
    <n v="-3"/>
  </r>
  <r>
    <x v="840"/>
    <n v="65"/>
    <n v="182541"/>
    <n v="23"/>
  </r>
  <r>
    <x v="841"/>
    <n v="66"/>
    <n v="182518"/>
    <n v="19"/>
  </r>
  <r>
    <x v="842"/>
    <n v="49"/>
    <n v="182499"/>
    <n v="12"/>
  </r>
  <r>
    <x v="843"/>
    <n v="55"/>
    <n v="182487"/>
    <n v="25"/>
  </r>
  <r>
    <x v="844"/>
    <n v="59"/>
    <n v="182462"/>
    <n v="6"/>
  </r>
  <r>
    <x v="845"/>
    <n v="60"/>
    <n v="182456"/>
    <n v="29"/>
  </r>
  <r>
    <x v="846"/>
    <n v="62"/>
    <n v="182427"/>
    <n v="29"/>
  </r>
  <r>
    <x v="847"/>
    <n v="50"/>
    <n v="182398"/>
    <n v="13"/>
  </r>
  <r>
    <x v="848"/>
    <n v="79"/>
    <n v="182385"/>
    <n v="21"/>
  </r>
  <r>
    <x v="849"/>
    <n v="56"/>
    <n v="182364"/>
    <n v="16"/>
  </r>
  <r>
    <x v="850"/>
    <n v="38"/>
    <n v="182348"/>
    <n v="15"/>
  </r>
  <r>
    <x v="851"/>
    <n v="59"/>
    <n v="182333"/>
    <n v="16"/>
  </r>
  <r>
    <x v="852"/>
    <n v="46"/>
    <n v="182317"/>
    <n v="-3"/>
  </r>
  <r>
    <x v="853"/>
    <n v="61"/>
    <n v="182320"/>
    <n v="10"/>
  </r>
  <r>
    <x v="854"/>
    <n v="59"/>
    <n v="182310"/>
    <n v="30"/>
  </r>
  <r>
    <x v="855"/>
    <n v="67"/>
    <n v="182280"/>
    <n v="17"/>
  </r>
  <r>
    <x v="856"/>
    <n v="53"/>
    <n v="182263"/>
    <n v="-9"/>
  </r>
  <r>
    <x v="857"/>
    <n v="49"/>
    <n v="182272"/>
    <n v="3"/>
  </r>
  <r>
    <x v="858"/>
    <n v="64"/>
    <n v="182269"/>
    <n v="23"/>
  </r>
  <r>
    <x v="859"/>
    <n v="292"/>
    <n v="182246"/>
    <n v="220"/>
  </r>
  <r>
    <x v="860"/>
    <n v="201"/>
    <n v="182026"/>
    <n v="140"/>
  </r>
  <r>
    <x v="861"/>
    <n v="186"/>
    <n v="181886"/>
    <n v="136"/>
  </r>
  <r>
    <x v="862"/>
    <n v="163"/>
    <n v="181750"/>
    <n v="105"/>
  </r>
  <r>
    <x v="863"/>
    <n v="70"/>
    <n v="181645"/>
    <n v="19"/>
  </r>
  <r>
    <x v="864"/>
    <n v="51"/>
    <n v="181626"/>
    <n v="13"/>
  </r>
  <r>
    <x v="865"/>
    <n v="49"/>
    <n v="181613"/>
    <n v="8"/>
  </r>
  <r>
    <x v="866"/>
    <n v="56"/>
    <n v="181605"/>
    <n v="15"/>
  </r>
  <r>
    <x v="867"/>
    <n v="56"/>
    <n v="181590"/>
    <n v="12"/>
  </r>
  <r>
    <x v="868"/>
    <n v="61"/>
    <n v="181578"/>
    <n v="3"/>
  </r>
  <r>
    <x v="869"/>
    <n v="76"/>
    <n v="181575"/>
    <n v="24"/>
  </r>
  <r>
    <x v="870"/>
    <n v="89"/>
    <n v="181551"/>
    <n v="19"/>
  </r>
  <r>
    <x v="871"/>
    <n v="127"/>
    <n v="181532"/>
    <n v="36"/>
  </r>
  <r>
    <x v="872"/>
    <n v="96"/>
    <n v="181496"/>
    <n v="9"/>
  </r>
  <r>
    <x v="873"/>
    <n v="82"/>
    <n v="181487"/>
    <n v="36"/>
  </r>
  <r>
    <x v="874"/>
    <n v="72"/>
    <n v="181451"/>
    <n v="19"/>
  </r>
  <r>
    <x v="875"/>
    <n v="68"/>
    <n v="181432"/>
    <n v="6"/>
  </r>
  <r>
    <x v="876"/>
    <n v="74"/>
    <n v="181426"/>
    <n v="29"/>
  </r>
  <r>
    <x v="877"/>
    <n v="79"/>
    <n v="181397"/>
    <n v="8"/>
  </r>
  <r>
    <x v="878"/>
    <n v="85"/>
    <n v="181389"/>
    <n v="-5"/>
  </r>
  <r>
    <x v="879"/>
    <n v="69"/>
    <n v="181394"/>
    <n v="-1"/>
  </r>
  <r>
    <x v="880"/>
    <n v="53"/>
    <n v="181395"/>
    <n v="-9"/>
  </r>
  <r>
    <x v="881"/>
    <n v="77"/>
    <n v="181404"/>
    <n v="-7"/>
  </r>
  <r>
    <x v="882"/>
    <n v="78"/>
    <n v="181411"/>
    <n v="-8"/>
  </r>
  <r>
    <x v="883"/>
    <n v="72"/>
    <n v="181419"/>
    <n v="1"/>
  </r>
  <r>
    <x v="884"/>
    <n v="84"/>
    <n v="181418"/>
    <n v="19"/>
  </r>
  <r>
    <x v="885"/>
    <n v="68"/>
    <n v="181399"/>
    <n v="14"/>
  </r>
  <r>
    <x v="886"/>
    <n v="501"/>
    <n v="181385"/>
    <n v="432"/>
  </r>
  <r>
    <x v="887"/>
    <n v="214"/>
    <n v="180953"/>
    <n v="143"/>
  </r>
  <r>
    <x v="888"/>
    <n v="208"/>
    <n v="180810"/>
    <n v="130"/>
  </r>
  <r>
    <x v="889"/>
    <n v="299"/>
    <n v="180680"/>
    <n v="217"/>
  </r>
  <r>
    <x v="890"/>
    <n v="137"/>
    <n v="180463"/>
    <n v="56"/>
  </r>
  <r>
    <x v="891"/>
    <n v="117"/>
    <n v="180407"/>
    <n v="80"/>
  </r>
  <r>
    <x v="892"/>
    <n v="102"/>
    <n v="180327"/>
    <n v="55"/>
  </r>
  <r>
    <x v="893"/>
    <n v="100"/>
    <n v="180272"/>
    <n v="43"/>
  </r>
  <r>
    <x v="894"/>
    <n v="97"/>
    <n v="180229"/>
    <n v="45"/>
  </r>
  <r>
    <x v="895"/>
    <n v="69"/>
    <n v="180184"/>
    <n v="24"/>
  </r>
  <r>
    <x v="896"/>
    <n v="82"/>
    <n v="180160"/>
    <n v="44"/>
  </r>
  <r>
    <x v="897"/>
    <n v="101"/>
    <n v="180116"/>
    <n v="31"/>
  </r>
  <r>
    <x v="898"/>
    <n v="92"/>
    <n v="180085"/>
    <n v="46"/>
  </r>
  <r>
    <x v="899"/>
    <n v="67"/>
    <n v="180039"/>
    <n v="3"/>
  </r>
  <r>
    <x v="900"/>
    <n v="70"/>
    <n v="180036"/>
    <n v="23"/>
  </r>
  <r>
    <x v="901"/>
    <n v="72"/>
    <n v="180013"/>
    <n v="28"/>
  </r>
  <r>
    <x v="902"/>
    <n v="80"/>
    <n v="179985"/>
    <n v="38"/>
  </r>
  <r>
    <x v="903"/>
    <n v="71"/>
    <n v="179947"/>
    <n v="5"/>
  </r>
  <r>
    <x v="904"/>
    <n v="60"/>
    <n v="179942"/>
    <n v="17"/>
  </r>
  <r>
    <x v="905"/>
    <n v="60"/>
    <n v="179925"/>
    <n v="20"/>
  </r>
  <r>
    <x v="906"/>
    <n v="58"/>
    <n v="179905"/>
    <n v="-14"/>
  </r>
  <r>
    <x v="907"/>
    <n v="69"/>
    <n v="179919"/>
    <n v="-7"/>
  </r>
  <r>
    <x v="908"/>
    <n v="50"/>
    <n v="179926"/>
    <n v="-3"/>
  </r>
  <r>
    <x v="909"/>
    <n v="68"/>
    <n v="179929"/>
    <n v="13"/>
  </r>
  <r>
    <x v="910"/>
    <n v="46"/>
    <n v="179916"/>
    <n v="5"/>
  </r>
  <r>
    <x v="911"/>
    <n v="47"/>
    <n v="179911"/>
    <n v="4"/>
  </r>
  <r>
    <x v="912"/>
    <n v="45"/>
    <n v="179907"/>
    <n v="-12"/>
  </r>
  <r>
    <x v="913"/>
    <n v="44"/>
    <n v="179919"/>
    <n v="-14"/>
  </r>
  <r>
    <x v="914"/>
    <n v="36"/>
    <n v="179933"/>
    <n v="-10"/>
  </r>
  <r>
    <x v="915"/>
    <n v="50"/>
    <n v="179943"/>
    <n v="-1"/>
  </r>
  <r>
    <x v="916"/>
    <n v="37"/>
    <n v="179944"/>
    <n v="-16"/>
  </r>
  <r>
    <x v="917"/>
    <n v="47"/>
    <n v="179960"/>
    <n v="-10"/>
  </r>
  <r>
    <x v="918"/>
    <n v="60"/>
    <n v="179970"/>
    <n v="18"/>
  </r>
  <r>
    <x v="919"/>
    <n v="64"/>
    <n v="179952"/>
    <n v="-1"/>
  </r>
  <r>
    <x v="920"/>
    <n v="60"/>
    <n v="179953"/>
    <n v="-11"/>
  </r>
  <r>
    <x v="921"/>
    <n v="45"/>
    <n v="179964"/>
    <n v="-15"/>
  </r>
  <r>
    <x v="922"/>
    <n v="37"/>
    <n v="179979"/>
    <n v="-53"/>
  </r>
  <r>
    <x v="923"/>
    <n v="37"/>
    <n v="180032"/>
    <n v="-43"/>
  </r>
  <r>
    <x v="924"/>
    <n v="24"/>
    <n v="180075"/>
    <n v="-45"/>
  </r>
  <r>
    <x v="925"/>
    <n v="43"/>
    <n v="180120"/>
    <n v="-18"/>
  </r>
  <r>
    <x v="926"/>
    <n v="47"/>
    <n v="180138"/>
    <n v="-10"/>
  </r>
  <r>
    <x v="927"/>
    <n v="43"/>
    <n v="180148"/>
    <n v="-34"/>
  </r>
  <r>
    <x v="928"/>
    <n v="35"/>
    <n v="180182"/>
    <n v="-42"/>
  </r>
  <r>
    <x v="929"/>
    <n v="29"/>
    <n v="180224"/>
    <n v="-29"/>
  </r>
  <r>
    <x v="930"/>
    <n v="37"/>
    <n v="180253"/>
    <n v="-32"/>
  </r>
  <r>
    <x v="931"/>
    <n v="38"/>
    <n v="180285"/>
    <n v="-63"/>
  </r>
  <r>
    <x v="932"/>
    <n v="63"/>
    <n v="180348"/>
    <n v="-9"/>
  </r>
  <r>
    <x v="933"/>
    <n v="50"/>
    <n v="180357"/>
    <n v="-30"/>
  </r>
  <r>
    <x v="934"/>
    <n v="29"/>
    <n v="180387"/>
    <n v="-65"/>
  </r>
  <r>
    <x v="935"/>
    <n v="26"/>
    <n v="180452"/>
    <n v="-78"/>
  </r>
  <r>
    <x v="936"/>
    <n v="5246"/>
    <n v="180530"/>
    <n v="5154"/>
  </r>
  <r>
    <x v="937"/>
    <n v="984"/>
    <n v="175376"/>
    <n v="896"/>
  </r>
  <r>
    <x v="938"/>
    <n v="935"/>
    <n v="174480"/>
    <n v="853"/>
  </r>
  <r>
    <x v="939"/>
    <n v="1070"/>
    <n v="173627"/>
    <n v="1012"/>
  </r>
  <r>
    <x v="940"/>
    <n v="49"/>
    <n v="172615"/>
    <n v="0"/>
  </r>
  <r>
    <x v="941"/>
    <n v="26"/>
    <n v="172615"/>
    <n v="-10"/>
  </r>
  <r>
    <x v="942"/>
    <n v="72"/>
    <n v="172625"/>
    <n v="20"/>
  </r>
  <r>
    <x v="943"/>
    <n v="52"/>
    <n v="172605"/>
    <n v="22"/>
  </r>
  <r>
    <x v="944"/>
    <n v="26"/>
    <n v="172583"/>
    <n v="-10"/>
  </r>
  <r>
    <x v="945"/>
    <n v="44"/>
    <n v="172593"/>
    <n v="-3"/>
  </r>
  <r>
    <x v="946"/>
    <n v="42"/>
    <n v="172596"/>
    <n v="-24"/>
  </r>
  <r>
    <x v="947"/>
    <n v="54"/>
    <n v="172620"/>
    <n v="-8"/>
  </r>
  <r>
    <x v="948"/>
    <n v="40"/>
    <n v="172628"/>
    <n v="2"/>
  </r>
  <r>
    <x v="949"/>
    <n v="36"/>
    <n v="172626"/>
    <n v="-20"/>
  </r>
  <r>
    <x v="950"/>
    <n v="40"/>
    <n v="172646"/>
    <n v="-3"/>
  </r>
  <r>
    <x v="951"/>
    <n v="40"/>
    <n v="172649"/>
    <n v="-23"/>
  </r>
  <r>
    <x v="952"/>
    <n v="29"/>
    <n v="172672"/>
    <n v="-11"/>
  </r>
  <r>
    <x v="953"/>
    <n v="40"/>
    <n v="172683"/>
    <n v="-30"/>
  </r>
  <r>
    <x v="954"/>
    <n v="39"/>
    <n v="172713"/>
    <n v="-22"/>
  </r>
  <r>
    <x v="955"/>
    <n v="32"/>
    <n v="172735"/>
    <n v="-38"/>
  </r>
  <r>
    <x v="956"/>
    <n v="40"/>
    <n v="172773"/>
    <n v="-4"/>
  </r>
  <r>
    <x v="957"/>
    <n v="40"/>
    <n v="172777"/>
    <n v="-15"/>
  </r>
  <r>
    <x v="958"/>
    <n v="38"/>
    <n v="172792"/>
    <n v="-9"/>
  </r>
  <r>
    <x v="959"/>
    <n v="44"/>
    <n v="172801"/>
    <n v="-7"/>
  </r>
  <r>
    <x v="960"/>
    <n v="52"/>
    <n v="172808"/>
    <n v="-10"/>
  </r>
  <r>
    <x v="961"/>
    <n v="58"/>
    <n v="172818"/>
    <n v="15"/>
  </r>
  <r>
    <x v="962"/>
    <n v="38"/>
    <n v="172803"/>
    <n v="-4"/>
  </r>
  <r>
    <x v="963"/>
    <n v="49"/>
    <n v="172807"/>
    <n v="-5"/>
  </r>
  <r>
    <x v="964"/>
    <n v="57"/>
    <n v="172812"/>
    <n v="-21"/>
  </r>
  <r>
    <x v="965"/>
    <n v="52"/>
    <n v="172833"/>
    <n v="3"/>
  </r>
  <r>
    <x v="966"/>
    <n v="43"/>
    <n v="172830"/>
    <n v="-35"/>
  </r>
  <r>
    <x v="967"/>
    <n v="69"/>
    <n v="172865"/>
    <n v="6"/>
  </r>
  <r>
    <x v="968"/>
    <n v="46"/>
    <n v="172859"/>
    <n v="-14"/>
  </r>
  <r>
    <x v="969"/>
    <n v="37"/>
    <n v="172873"/>
    <n v="-23"/>
  </r>
  <r>
    <x v="970"/>
    <n v="33"/>
    <n v="172896"/>
    <n v="-20"/>
  </r>
  <r>
    <x v="971"/>
    <n v="51"/>
    <n v="172916"/>
    <n v="-2"/>
  </r>
  <r>
    <x v="972"/>
    <n v="38"/>
    <n v="172918"/>
    <n v="-30"/>
  </r>
  <r>
    <x v="973"/>
    <n v="41"/>
    <n v="172948"/>
    <n v="-24"/>
  </r>
  <r>
    <x v="974"/>
    <n v="42"/>
    <n v="172972"/>
    <n v="-27"/>
  </r>
  <r>
    <x v="975"/>
    <n v="57"/>
    <n v="172999"/>
    <n v="-15"/>
  </r>
  <r>
    <x v="976"/>
    <n v="54"/>
    <n v="173014"/>
    <n v="-30"/>
  </r>
  <r>
    <x v="977"/>
    <n v="44"/>
    <n v="173044"/>
    <n v="-23"/>
  </r>
  <r>
    <x v="978"/>
    <n v="53"/>
    <n v="173067"/>
    <n v="-36"/>
  </r>
  <r>
    <x v="979"/>
    <n v="47"/>
    <n v="173103"/>
    <n v="-24"/>
  </r>
  <r>
    <x v="980"/>
    <n v="54"/>
    <n v="173127"/>
    <n v="-24"/>
  </r>
  <r>
    <x v="981"/>
    <n v="56"/>
    <n v="173151"/>
    <n v="-27"/>
  </r>
  <r>
    <x v="982"/>
    <n v="43"/>
    <n v="173178"/>
    <n v="-57"/>
  </r>
  <r>
    <x v="983"/>
    <n v="36"/>
    <n v="173235"/>
    <n v="-107"/>
  </r>
  <r>
    <x v="984"/>
    <n v="3572"/>
    <n v="173342"/>
    <n v="3503"/>
  </r>
  <r>
    <x v="985"/>
    <n v="1350"/>
    <n v="169839"/>
    <n v="1272"/>
  </r>
  <r>
    <x v="986"/>
    <n v="1093"/>
    <n v="168567"/>
    <n v="1022"/>
  </r>
  <r>
    <x v="987"/>
    <n v="1337"/>
    <n v="167545"/>
    <n v="1277"/>
  </r>
  <r>
    <x v="988"/>
    <n v="50"/>
    <n v="166268"/>
    <n v="0"/>
  </r>
  <r>
    <x v="989"/>
    <n v="45"/>
    <n v="166268"/>
    <n v="-11"/>
  </r>
  <r>
    <x v="990"/>
    <n v="52"/>
    <n v="166279"/>
    <n v="7"/>
  </r>
  <r>
    <x v="991"/>
    <n v="38"/>
    <n v="166272"/>
    <n v="-21"/>
  </r>
  <r>
    <x v="992"/>
    <n v="47"/>
    <n v="166293"/>
    <n v="-8"/>
  </r>
  <r>
    <x v="993"/>
    <n v="47"/>
    <n v="166301"/>
    <n v="-5"/>
  </r>
  <r>
    <x v="994"/>
    <n v="34"/>
    <n v="166306"/>
    <n v="-21"/>
  </r>
  <r>
    <x v="995"/>
    <n v="30"/>
    <n v="166327"/>
    <n v="-27"/>
  </r>
  <r>
    <x v="996"/>
    <n v="35"/>
    <n v="166354"/>
    <n v="-14"/>
  </r>
  <r>
    <x v="997"/>
    <n v="44"/>
    <n v="166368"/>
    <n v="-10"/>
  </r>
  <r>
    <x v="998"/>
    <n v="42"/>
    <n v="166378"/>
    <n v="-8"/>
  </r>
  <r>
    <x v="999"/>
    <n v="33"/>
    <n v="166386"/>
    <n v="-14"/>
  </r>
  <r>
    <x v="1000"/>
    <n v="50"/>
    <n v="166400"/>
    <n v="-6"/>
  </r>
  <r>
    <x v="1001"/>
    <n v="42"/>
    <n v="166406"/>
    <n v="-13"/>
  </r>
  <r>
    <x v="1002"/>
    <n v="48"/>
    <n v="166419"/>
    <n v="-23"/>
  </r>
  <r>
    <x v="1003"/>
    <n v="47"/>
    <n v="166442"/>
    <n v="-15"/>
  </r>
  <r>
    <x v="1004"/>
    <n v="35"/>
    <n v="166457"/>
    <n v="-24"/>
  </r>
  <r>
    <x v="1005"/>
    <n v="27"/>
    <n v="166481"/>
    <n v="-35"/>
  </r>
  <r>
    <x v="1006"/>
    <n v="38"/>
    <n v="166516"/>
    <n v="-38"/>
  </r>
  <r>
    <x v="1007"/>
    <n v="37"/>
    <n v="166554"/>
    <n v="-51"/>
  </r>
  <r>
    <x v="1008"/>
    <n v="33"/>
    <n v="166605"/>
    <n v="-49"/>
  </r>
  <r>
    <x v="1009"/>
    <n v="49"/>
    <n v="166654"/>
    <n v="-44"/>
  </r>
  <r>
    <x v="1010"/>
    <n v="40"/>
    <n v="166698"/>
    <n v="-59"/>
  </r>
  <r>
    <x v="1011"/>
    <n v="34"/>
    <n v="166757"/>
    <n v="-73"/>
  </r>
  <r>
    <x v="1012"/>
    <n v="4136"/>
    <n v="166830"/>
    <n v="4050"/>
  </r>
  <r>
    <x v="1013"/>
    <n v="1468"/>
    <n v="162780"/>
    <n v="1371"/>
  </r>
  <r>
    <x v="1014"/>
    <n v="1203"/>
    <n v="161409"/>
    <n v="1100"/>
  </r>
  <r>
    <x v="1015"/>
    <n v="627"/>
    <n v="160309"/>
    <n v="543"/>
  </r>
  <r>
    <x v="1016"/>
    <n v="99"/>
    <n v="159766"/>
    <n v="12"/>
  </r>
  <r>
    <x v="1017"/>
    <n v="100"/>
    <n v="159754"/>
    <n v="-12"/>
  </r>
  <r>
    <x v="1018"/>
    <n v="2630"/>
    <n v="159766"/>
    <n v="2541"/>
  </r>
  <r>
    <x v="1019"/>
    <n v="1250"/>
    <n v="157225"/>
    <n v="1165"/>
  </r>
  <r>
    <x v="1020"/>
    <n v="1015"/>
    <n v="156060"/>
    <n v="934"/>
  </r>
  <r>
    <x v="1021"/>
    <n v="1461"/>
    <n v="155126"/>
    <n v="1405"/>
  </r>
  <r>
    <x v="1022"/>
    <n v="78"/>
    <n v="153721"/>
    <n v="35"/>
  </r>
  <r>
    <x v="1023"/>
    <n v="98"/>
    <n v="153686"/>
    <n v="50"/>
  </r>
  <r>
    <x v="1024"/>
    <n v="85"/>
    <n v="153636"/>
    <n v="32"/>
  </r>
  <r>
    <x v="1025"/>
    <n v="89"/>
    <n v="153604"/>
    <n v="49"/>
  </r>
  <r>
    <x v="1026"/>
    <n v="100"/>
    <n v="153555"/>
    <n v="55"/>
  </r>
  <r>
    <x v="1027"/>
    <n v="144"/>
    <n v="153500"/>
    <n v="116"/>
  </r>
  <r>
    <x v="1028"/>
    <n v="121"/>
    <n v="153384"/>
    <n v="63"/>
  </r>
  <r>
    <x v="1029"/>
    <n v="128"/>
    <n v="153321"/>
    <n v="89"/>
  </r>
  <r>
    <x v="1030"/>
    <n v="115"/>
    <n v="153232"/>
    <n v="60"/>
  </r>
  <r>
    <x v="1031"/>
    <n v="105"/>
    <n v="153172"/>
    <n v="48"/>
  </r>
  <r>
    <x v="1032"/>
    <n v="136"/>
    <n v="153124"/>
    <n v="86"/>
  </r>
  <r>
    <x v="1033"/>
    <n v="133"/>
    <n v="153038"/>
    <n v="71"/>
  </r>
  <r>
    <x v="1034"/>
    <n v="95"/>
    <n v="152967"/>
    <n v="36"/>
  </r>
  <r>
    <x v="1035"/>
    <n v="102"/>
    <n v="152931"/>
    <n v="4"/>
  </r>
  <r>
    <x v="1036"/>
    <n v="120"/>
    <n v="152927"/>
    <n v="61"/>
  </r>
  <r>
    <x v="1037"/>
    <n v="116"/>
    <n v="152866"/>
    <n v="47"/>
  </r>
  <r>
    <x v="1038"/>
    <n v="111"/>
    <n v="152819"/>
    <n v="37"/>
  </r>
  <r>
    <x v="1039"/>
    <n v="97"/>
    <n v="152782"/>
    <n v="48"/>
  </r>
  <r>
    <x v="1040"/>
    <n v="98"/>
    <n v="152734"/>
    <n v="17"/>
  </r>
  <r>
    <x v="1041"/>
    <n v="94"/>
    <n v="152717"/>
    <n v="19"/>
  </r>
  <r>
    <x v="1042"/>
    <n v="92"/>
    <n v="152698"/>
    <n v="30"/>
  </r>
  <r>
    <x v="1043"/>
    <n v="80"/>
    <n v="152668"/>
    <n v="14"/>
  </r>
  <r>
    <x v="1044"/>
    <n v="61"/>
    <n v="152654"/>
    <n v="2"/>
  </r>
  <r>
    <x v="1045"/>
    <n v="78"/>
    <n v="152652"/>
    <n v="-3"/>
  </r>
  <r>
    <x v="1046"/>
    <n v="122"/>
    <n v="152655"/>
    <n v="57"/>
  </r>
  <r>
    <x v="1047"/>
    <n v="119"/>
    <n v="152598"/>
    <n v="43"/>
  </r>
  <r>
    <x v="1048"/>
    <n v="285"/>
    <n v="152555"/>
    <n v="169"/>
  </r>
  <r>
    <x v="1049"/>
    <n v="2112"/>
    <n v="152386"/>
    <n v="2044"/>
  </r>
  <r>
    <x v="1050"/>
    <n v="3285"/>
    <n v="150342"/>
    <n v="3251"/>
  </r>
  <r>
    <x v="1051"/>
    <n v="45"/>
    <n v="147091"/>
    <n v="-1"/>
  </r>
  <r>
    <x v="1052"/>
    <n v="55"/>
    <n v="147092"/>
    <n v="6"/>
  </r>
  <r>
    <x v="1053"/>
    <n v="63"/>
    <n v="147086"/>
    <n v="24"/>
  </r>
  <r>
    <x v="1054"/>
    <n v="51"/>
    <n v="147062"/>
    <n v="7"/>
  </r>
  <r>
    <x v="1055"/>
    <n v="47"/>
    <n v="147055"/>
    <n v="15"/>
  </r>
  <r>
    <x v="1056"/>
    <n v="50"/>
    <n v="147040"/>
    <n v="18"/>
  </r>
  <r>
    <x v="1057"/>
    <n v="53"/>
    <n v="147022"/>
    <n v="3"/>
  </r>
  <r>
    <x v="1058"/>
    <n v="64"/>
    <n v="147019"/>
    <n v="25"/>
  </r>
  <r>
    <x v="1059"/>
    <n v="40"/>
    <n v="146994"/>
    <n v="1"/>
  </r>
  <r>
    <x v="1060"/>
    <n v="50"/>
    <n v="146993"/>
    <n v="9"/>
  </r>
  <r>
    <x v="1061"/>
    <n v="49"/>
    <n v="146984"/>
    <n v="0"/>
  </r>
  <r>
    <x v="1062"/>
    <n v="46"/>
    <n v="146984"/>
    <n v="1"/>
  </r>
  <r>
    <x v="1063"/>
    <n v="47"/>
    <n v="146983"/>
    <n v="15"/>
  </r>
  <r>
    <x v="1064"/>
    <n v="46"/>
    <n v="146968"/>
    <n v="13"/>
  </r>
  <r>
    <x v="1065"/>
    <n v="36"/>
    <n v="146955"/>
    <n v="-19"/>
  </r>
  <r>
    <x v="1066"/>
    <n v="38"/>
    <n v="146974"/>
    <n v="-7"/>
  </r>
  <r>
    <x v="1067"/>
    <n v="36"/>
    <n v="146981"/>
    <n v="-2"/>
  </r>
  <r>
    <x v="1068"/>
    <n v="35"/>
    <n v="146983"/>
    <n v="14"/>
  </r>
  <r>
    <x v="1069"/>
    <n v="50"/>
    <n v="146969"/>
    <n v="11"/>
  </r>
  <r>
    <x v="1070"/>
    <n v="52"/>
    <n v="146958"/>
    <n v="16"/>
  </r>
  <r>
    <x v="1071"/>
    <n v="45"/>
    <n v="146942"/>
    <n v="-5"/>
  </r>
  <r>
    <x v="1072"/>
    <n v="57"/>
    <n v="146947"/>
    <n v="6"/>
  </r>
  <r>
    <x v="1073"/>
    <n v="58"/>
    <n v="146941"/>
    <n v="1"/>
  </r>
  <r>
    <x v="1074"/>
    <n v="53"/>
    <n v="146940"/>
    <n v="9"/>
  </r>
  <r>
    <x v="1075"/>
    <n v="58"/>
    <n v="146931"/>
    <n v="9"/>
  </r>
  <r>
    <x v="1076"/>
    <n v="41"/>
    <n v="146922"/>
    <n v="0"/>
  </r>
  <r>
    <x v="1077"/>
    <n v="49"/>
    <n v="146922"/>
    <n v="11"/>
  </r>
  <r>
    <x v="1078"/>
    <n v="43"/>
    <n v="146911"/>
    <n v="-14"/>
  </r>
  <r>
    <x v="1079"/>
    <n v="71"/>
    <n v="146925"/>
    <n v="20"/>
  </r>
  <r>
    <x v="1080"/>
    <n v="50"/>
    <n v="146905"/>
    <n v="12"/>
  </r>
  <r>
    <x v="1081"/>
    <n v="49"/>
    <n v="146893"/>
    <n v="13"/>
  </r>
  <r>
    <x v="1082"/>
    <n v="61"/>
    <n v="146880"/>
    <n v="6"/>
  </r>
  <r>
    <x v="1083"/>
    <n v="44"/>
    <n v="146874"/>
    <n v="-8"/>
  </r>
  <r>
    <x v="1084"/>
    <n v="49"/>
    <n v="146882"/>
    <n v="-1"/>
  </r>
  <r>
    <x v="1085"/>
    <n v="43"/>
    <n v="146883"/>
    <n v="-6"/>
  </r>
  <r>
    <x v="1086"/>
    <n v="54"/>
    <n v="146889"/>
    <n v="23"/>
  </r>
  <r>
    <x v="1087"/>
    <n v="43"/>
    <n v="146866"/>
    <n v="-3"/>
  </r>
  <r>
    <x v="1088"/>
    <n v="53"/>
    <n v="146869"/>
    <n v="7"/>
  </r>
  <r>
    <x v="1089"/>
    <n v="55"/>
    <n v="146862"/>
    <n v="-7"/>
  </r>
  <r>
    <x v="1090"/>
    <n v="64"/>
    <n v="146869"/>
    <n v="-16"/>
  </r>
  <r>
    <x v="1091"/>
    <n v="57"/>
    <n v="146885"/>
    <n v="2"/>
  </r>
  <r>
    <x v="1092"/>
    <n v="52"/>
    <n v="146883"/>
    <n v="14"/>
  </r>
  <r>
    <x v="1093"/>
    <n v="37"/>
    <n v="146869"/>
    <n v="-2"/>
  </r>
  <r>
    <x v="1094"/>
    <n v="47"/>
    <n v="146871"/>
    <n v="10"/>
  </r>
  <r>
    <x v="1095"/>
    <n v="33"/>
    <n v="146861"/>
    <n v="-9"/>
  </r>
  <r>
    <x v="1096"/>
    <n v="31"/>
    <n v="146870"/>
    <n v="-1"/>
  </r>
  <r>
    <x v="1097"/>
    <n v="42"/>
    <n v="146871"/>
    <n v="3"/>
  </r>
  <r>
    <x v="1098"/>
    <n v="50"/>
    <n v="146868"/>
    <n v="10"/>
  </r>
  <r>
    <x v="1099"/>
    <n v="52"/>
    <n v="146858"/>
    <n v="10"/>
  </r>
  <r>
    <x v="1100"/>
    <n v="58"/>
    <n v="146848"/>
    <n v="19"/>
  </r>
  <r>
    <x v="1101"/>
    <n v="62"/>
    <n v="146829"/>
    <n v="-1"/>
  </r>
  <r>
    <x v="1102"/>
    <n v="60"/>
    <n v="146830"/>
    <n v="14"/>
  </r>
  <r>
    <x v="1103"/>
    <n v="41"/>
    <n v="146816"/>
    <n v="1"/>
  </r>
  <r>
    <x v="1104"/>
    <n v="42"/>
    <n v="146815"/>
    <n v="2"/>
  </r>
  <r>
    <x v="1105"/>
    <n v="44"/>
    <n v="146813"/>
    <n v="9"/>
  </r>
  <r>
    <x v="1106"/>
    <n v="54"/>
    <n v="146804"/>
    <n v="15"/>
  </r>
  <r>
    <x v="1107"/>
    <n v="70"/>
    <n v="146789"/>
    <n v="16"/>
  </r>
  <r>
    <x v="1108"/>
    <n v="84"/>
    <n v="146773"/>
    <n v="34"/>
  </r>
  <r>
    <x v="1109"/>
    <n v="177"/>
    <n v="146739"/>
    <n v="120"/>
  </r>
  <r>
    <x v="1110"/>
    <n v="60"/>
    <n v="146619"/>
    <n v="-2"/>
  </r>
  <r>
    <x v="1111"/>
    <n v="57"/>
    <n v="146621"/>
    <n v="23"/>
  </r>
  <r>
    <x v="1112"/>
    <n v="66"/>
    <n v="146598"/>
    <n v="17"/>
  </r>
  <r>
    <x v="1113"/>
    <n v="80"/>
    <n v="146581"/>
    <n v="31"/>
  </r>
  <r>
    <x v="1114"/>
    <n v="69"/>
    <n v="146550"/>
    <n v="39"/>
  </r>
  <r>
    <x v="1115"/>
    <n v="42"/>
    <n v="146511"/>
    <n v="-29"/>
  </r>
  <r>
    <x v="1116"/>
    <n v="42"/>
    <n v="146540"/>
    <n v="-13"/>
  </r>
  <r>
    <x v="1117"/>
    <n v="39"/>
    <n v="146553"/>
    <n v="-13"/>
  </r>
  <r>
    <x v="1118"/>
    <n v="48"/>
    <n v="146566"/>
    <n v="-19"/>
  </r>
  <r>
    <x v="1119"/>
    <n v="49"/>
    <n v="146585"/>
    <n v="-7"/>
  </r>
  <r>
    <x v="1120"/>
    <n v="44"/>
    <n v="146592"/>
    <n v="-30"/>
  </r>
  <r>
    <x v="1121"/>
    <n v="86"/>
    <n v="146622"/>
    <n v="29"/>
  </r>
  <r>
    <x v="1122"/>
    <n v="67"/>
    <n v="146593"/>
    <n v="2"/>
  </r>
  <r>
    <x v="1123"/>
    <n v="42"/>
    <n v="146591"/>
    <n v="-34"/>
  </r>
  <r>
    <x v="1124"/>
    <n v="53"/>
    <n v="146625"/>
    <n v="-19"/>
  </r>
  <r>
    <x v="1125"/>
    <n v="53"/>
    <n v="146644"/>
    <n v="0"/>
  </r>
  <r>
    <x v="1126"/>
    <n v="51"/>
    <n v="146644"/>
    <n v="-4"/>
  </r>
  <r>
    <x v="1127"/>
    <n v="59"/>
    <n v="146648"/>
    <n v="-6"/>
  </r>
  <r>
    <x v="1128"/>
    <n v="55"/>
    <n v="146654"/>
    <n v="-6"/>
  </r>
  <r>
    <x v="1129"/>
    <n v="53"/>
    <n v="146660"/>
    <n v="-24"/>
  </r>
  <r>
    <x v="1130"/>
    <n v="41"/>
    <n v="146684"/>
    <n v="-12"/>
  </r>
  <r>
    <x v="1131"/>
    <n v="59"/>
    <n v="146696"/>
    <n v="-1"/>
  </r>
  <r>
    <x v="1132"/>
    <n v="50"/>
    <n v="146697"/>
    <n v="5"/>
  </r>
  <r>
    <x v="1133"/>
    <n v="52"/>
    <n v="146692"/>
    <n v="-13"/>
  </r>
  <r>
    <x v="1134"/>
    <n v="73"/>
    <n v="146705"/>
    <n v="25"/>
  </r>
  <r>
    <x v="1135"/>
    <n v="65"/>
    <n v="146680"/>
    <n v="11"/>
  </r>
  <r>
    <x v="1136"/>
    <n v="49"/>
    <n v="146669"/>
    <n v="-15"/>
  </r>
  <r>
    <x v="1137"/>
    <n v="43"/>
    <n v="146684"/>
    <n v="-21"/>
  </r>
  <r>
    <x v="1138"/>
    <n v="60"/>
    <n v="146705"/>
    <n v="0"/>
  </r>
  <r>
    <x v="1139"/>
    <n v="54"/>
    <n v="146705"/>
    <n v="-3"/>
  </r>
  <r>
    <x v="1140"/>
    <n v="53"/>
    <n v="146708"/>
    <n v="0"/>
  </r>
  <r>
    <x v="1141"/>
    <n v="63"/>
    <n v="146708"/>
    <n v="20"/>
  </r>
  <r>
    <x v="1142"/>
    <n v="73"/>
    <n v="146688"/>
    <n v="7"/>
  </r>
  <r>
    <x v="1143"/>
    <n v="76"/>
    <n v="146681"/>
    <n v="16"/>
  </r>
  <r>
    <x v="1144"/>
    <n v="54"/>
    <n v="146665"/>
    <n v="-12"/>
  </r>
  <r>
    <x v="1145"/>
    <n v="88"/>
    <n v="146677"/>
    <n v="25"/>
  </r>
  <r>
    <x v="1146"/>
    <n v="67"/>
    <n v="146652"/>
    <n v="0"/>
  </r>
  <r>
    <x v="1147"/>
    <n v="48"/>
    <n v="146652"/>
    <n v="-30"/>
  </r>
  <r>
    <x v="1148"/>
    <n v="44"/>
    <n v="146682"/>
    <n v="-23"/>
  </r>
  <r>
    <x v="1149"/>
    <n v="40"/>
    <n v="146705"/>
    <n v="-20"/>
  </r>
  <r>
    <x v="1150"/>
    <n v="37"/>
    <n v="146725"/>
    <n v="-24"/>
  </r>
  <r>
    <x v="1151"/>
    <n v="39"/>
    <n v="146749"/>
    <n v="-18"/>
  </r>
  <r>
    <x v="1152"/>
    <n v="37"/>
    <n v="146767"/>
    <n v="-8"/>
  </r>
  <r>
    <x v="1153"/>
    <n v="45"/>
    <n v="146775"/>
    <n v="0"/>
  </r>
  <r>
    <x v="1154"/>
    <n v="34"/>
    <n v="146775"/>
    <n v="-30"/>
  </r>
  <r>
    <x v="1155"/>
    <n v="31"/>
    <n v="146805"/>
    <n v="1"/>
  </r>
  <r>
    <x v="1156"/>
    <n v="40"/>
    <n v="146804"/>
    <n v="-27"/>
  </r>
  <r>
    <x v="1157"/>
    <n v="47"/>
    <n v="146831"/>
    <n v="-18"/>
  </r>
  <r>
    <x v="1158"/>
    <n v="36"/>
    <n v="146849"/>
    <n v="-23"/>
  </r>
  <r>
    <x v="1159"/>
    <n v="34"/>
    <n v="146872"/>
    <n v="-27"/>
  </r>
  <r>
    <x v="1160"/>
    <n v="35"/>
    <n v="146899"/>
    <n v="-35"/>
  </r>
  <r>
    <x v="1161"/>
    <n v="37"/>
    <n v="146934"/>
    <n v="-18"/>
  </r>
  <r>
    <x v="1162"/>
    <n v="44"/>
    <n v="146952"/>
    <n v="-19"/>
  </r>
  <r>
    <x v="1163"/>
    <n v="55"/>
    <n v="146971"/>
    <n v="-22"/>
  </r>
  <r>
    <x v="1164"/>
    <n v="33"/>
    <n v="146993"/>
    <n v="-33"/>
  </r>
  <r>
    <x v="1165"/>
    <n v="49"/>
    <n v="147026"/>
    <n v="-12"/>
  </r>
  <r>
    <x v="1166"/>
    <n v="39"/>
    <n v="147038"/>
    <n v="-25"/>
  </r>
  <r>
    <x v="1167"/>
    <n v="40"/>
    <n v="147063"/>
    <n v="-24"/>
  </r>
  <r>
    <x v="1168"/>
    <n v="40"/>
    <n v="147087"/>
    <n v="-21"/>
  </r>
  <r>
    <x v="1169"/>
    <n v="46"/>
    <n v="147108"/>
    <n v="3"/>
  </r>
  <r>
    <x v="1170"/>
    <n v="59"/>
    <n v="147105"/>
    <n v="-26"/>
  </r>
  <r>
    <x v="1171"/>
    <n v="45"/>
    <n v="147131"/>
    <n v="-22"/>
  </r>
  <r>
    <x v="1172"/>
    <n v="47"/>
    <n v="147153"/>
    <n v="-11"/>
  </r>
  <r>
    <x v="1173"/>
    <n v="68"/>
    <n v="147164"/>
    <n v="6"/>
  </r>
  <r>
    <x v="1174"/>
    <n v="63"/>
    <n v="147158"/>
    <n v="-1"/>
  </r>
  <r>
    <x v="1175"/>
    <n v="74"/>
    <n v="147159"/>
    <n v="-4"/>
  </r>
  <r>
    <x v="1176"/>
    <n v="62"/>
    <n v="147163"/>
    <n v="-23"/>
  </r>
  <r>
    <x v="1177"/>
    <n v="67"/>
    <n v="147186"/>
    <n v="-21"/>
  </r>
  <r>
    <x v="1178"/>
    <n v="45"/>
    <n v="147207"/>
    <n v="-40"/>
  </r>
  <r>
    <x v="1179"/>
    <n v="49"/>
    <n v="147247"/>
    <n v="-19"/>
  </r>
  <r>
    <x v="1180"/>
    <n v="53"/>
    <n v="147266"/>
    <n v="-13"/>
  </r>
  <r>
    <x v="1181"/>
    <n v="51"/>
    <n v="147279"/>
    <n v="-42"/>
  </r>
  <r>
    <x v="1182"/>
    <n v="50"/>
    <n v="147321"/>
    <n v="0"/>
  </r>
  <r>
    <x v="1183"/>
    <n v="50"/>
    <n v="147321"/>
    <n v="-35"/>
  </r>
  <r>
    <x v="1184"/>
    <n v="64"/>
    <n v="147356"/>
    <n v="8"/>
  </r>
  <r>
    <x v="1185"/>
    <n v="57"/>
    <n v="147348"/>
    <n v="-5"/>
  </r>
  <r>
    <x v="1186"/>
    <m/>
    <m/>
    <m/>
  </r>
  <r>
    <x v="1186"/>
    <m/>
    <m/>
    <m/>
  </r>
  <r>
    <x v="1186"/>
    <m/>
    <m/>
    <m/>
  </r>
  <r>
    <x v="1186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x v="0"/>
    <x v="0"/>
    <x v="0"/>
    <s v="Search"/>
    <x v="0"/>
    <n v="913"/>
    <n v="1"/>
    <n v="4895"/>
    <n v="1188"/>
    <n v="1"/>
    <n v="2595"/>
  </r>
  <r>
    <x v="0"/>
    <x v="1"/>
    <x v="1"/>
    <s v="SC_55"/>
    <x v="1"/>
    <n v="67"/>
    <n v="0"/>
    <n v="0"/>
    <n v="0"/>
    <n v="0"/>
    <n v="0"/>
  </r>
  <r>
    <x v="0"/>
    <x v="1"/>
    <x v="1"/>
    <s v="SC_品数"/>
    <x v="2"/>
    <n v="0"/>
    <n v="0"/>
    <n v="0"/>
    <n v="16"/>
    <n v="0"/>
    <n v="0"/>
  </r>
  <r>
    <x v="0"/>
    <x v="0"/>
    <x v="2"/>
    <s v="Quick_Entry"/>
    <x v="3"/>
    <n v="1192"/>
    <n v="3"/>
    <n v="9750"/>
    <n v="1236"/>
    <n v="1"/>
    <n v="2495"/>
  </r>
  <r>
    <x v="0"/>
    <x v="1"/>
    <x v="1"/>
    <s v="SC_55"/>
    <x v="1"/>
    <n v="4"/>
    <n v="1"/>
    <n v="4350"/>
    <n v="0"/>
    <n v="0"/>
    <n v="0"/>
  </r>
  <r>
    <x v="0"/>
    <x v="1"/>
    <x v="1"/>
    <s v="SC_品数"/>
    <x v="2"/>
    <n v="0"/>
    <n v="0"/>
    <n v="0"/>
    <n v="11"/>
    <n v="0"/>
    <n v="0"/>
  </r>
  <r>
    <x v="0"/>
    <x v="0"/>
    <x v="3"/>
    <s v="Official_Account"/>
    <x v="4"/>
    <n v="799"/>
    <n v="1"/>
    <n v="2650"/>
    <n v="1118"/>
    <n v="0"/>
    <n v="0"/>
  </r>
  <r>
    <x v="0"/>
    <x v="0"/>
    <x v="4"/>
    <s v="Others"/>
    <x v="5"/>
    <n v="23"/>
    <n v="0"/>
    <n v="0"/>
    <n v="24"/>
    <n v="0"/>
    <n v="0"/>
  </r>
  <r>
    <x v="0"/>
    <x v="0"/>
    <x v="5"/>
    <s v="SMS"/>
    <x v="6"/>
    <n v="81"/>
    <n v="0"/>
    <n v="0"/>
    <n v="49"/>
    <n v="0"/>
    <n v="0"/>
  </r>
  <r>
    <x v="0"/>
    <x v="0"/>
    <x v="5"/>
    <s v="Chat"/>
    <x v="7"/>
    <n v="274"/>
    <n v="1"/>
    <n v="7245"/>
    <n v="190"/>
    <n v="0"/>
    <n v="0"/>
  </r>
  <r>
    <x v="0"/>
    <x v="1"/>
    <x v="1"/>
    <s v="SC_55"/>
    <x v="1"/>
    <n v="2"/>
    <n v="0"/>
    <n v="0"/>
    <n v="0"/>
    <n v="0"/>
    <n v="0"/>
  </r>
  <r>
    <x v="0"/>
    <x v="1"/>
    <x v="1"/>
    <s v="SC_品数"/>
    <x v="2"/>
    <n v="0"/>
    <n v="0"/>
    <n v="0"/>
    <n v="897"/>
    <n v="0"/>
    <n v="0"/>
  </r>
  <r>
    <x v="0"/>
    <x v="2"/>
    <x v="6"/>
    <s v="Other_Wxapp"/>
    <x v="8"/>
    <n v="1104"/>
    <n v="0"/>
    <n v="0"/>
    <n v="675"/>
    <n v="0"/>
    <n v="0"/>
  </r>
  <r>
    <x v="0"/>
    <x v="0"/>
    <x v="4"/>
    <s v="Scan"/>
    <x v="9"/>
    <n v="28"/>
    <n v="0"/>
    <n v="0"/>
    <n v="54"/>
    <n v="0"/>
    <n v="0"/>
  </r>
  <r>
    <x v="0"/>
    <x v="1"/>
    <x v="1"/>
    <s v="SC_55"/>
    <x v="1"/>
    <n v="47"/>
    <n v="18"/>
    <n v="127190"/>
    <n v="0"/>
    <n v="0"/>
    <n v="0"/>
  </r>
  <r>
    <x v="0"/>
    <x v="1"/>
    <x v="1"/>
    <s v="SC_品数"/>
    <x v="2"/>
    <n v="0"/>
    <n v="0"/>
    <n v="0"/>
    <n v="1752"/>
    <n v="16"/>
    <n v="99200"/>
  </r>
  <r>
    <x v="0"/>
    <x v="0"/>
    <x v="4"/>
    <s v="Wechat_Entry"/>
    <x v="10"/>
    <n v="52"/>
    <n v="0"/>
    <n v="0"/>
    <n v="39"/>
    <n v="0"/>
    <n v="0"/>
  </r>
  <r>
    <x v="0"/>
    <x v="0"/>
    <x v="3"/>
    <s v="Channels"/>
    <x v="11"/>
    <n v="11"/>
    <n v="0"/>
    <n v="0"/>
    <n v="14"/>
    <n v="0"/>
    <n v="0"/>
  </r>
  <r>
    <x v="0"/>
    <x v="0"/>
    <x v="5"/>
    <s v="Notification"/>
    <x v="12"/>
    <n v="101"/>
    <n v="0"/>
    <n v="0"/>
    <n v="6"/>
    <n v="0"/>
    <n v="0"/>
  </r>
  <r>
    <x v="0"/>
    <x v="1"/>
    <x v="7"/>
    <s v="Advertisement"/>
    <x v="13"/>
    <n v="0"/>
    <n v="0"/>
    <n v="0"/>
    <n v="9668"/>
    <n v="0"/>
    <n v="0"/>
  </r>
  <r>
    <x v="1"/>
    <x v="0"/>
    <x v="0"/>
    <s v="Search"/>
    <x v="0"/>
    <n v="1206"/>
    <n v="1"/>
    <n v="4895"/>
    <n v="945"/>
    <n v="0"/>
    <n v="0"/>
  </r>
  <r>
    <x v="1"/>
    <x v="1"/>
    <x v="1"/>
    <s v="SC_55"/>
    <x v="1"/>
    <n v="14"/>
    <n v="0"/>
    <n v="0"/>
    <n v="0"/>
    <n v="0"/>
    <n v="0"/>
  </r>
  <r>
    <x v="1"/>
    <x v="1"/>
    <x v="1"/>
    <s v="SC_品数"/>
    <x v="2"/>
    <n v="0"/>
    <n v="0"/>
    <n v="0"/>
    <n v="4"/>
    <n v="0"/>
    <n v="0"/>
  </r>
  <r>
    <x v="1"/>
    <x v="0"/>
    <x v="2"/>
    <s v="Quick_Entry"/>
    <x v="3"/>
    <n v="1194"/>
    <n v="4"/>
    <n v="18250"/>
    <n v="1102"/>
    <n v="3"/>
    <n v="10685"/>
  </r>
  <r>
    <x v="1"/>
    <x v="1"/>
    <x v="1"/>
    <s v="SC_55"/>
    <x v="1"/>
    <n v="13"/>
    <n v="0"/>
    <n v="0"/>
    <n v="0"/>
    <n v="0"/>
    <n v="0"/>
  </r>
  <r>
    <x v="1"/>
    <x v="1"/>
    <x v="1"/>
    <s v="SC_品数"/>
    <x v="2"/>
    <n v="0"/>
    <n v="0"/>
    <n v="0"/>
    <n v="2"/>
    <n v="0"/>
    <n v="0"/>
  </r>
  <r>
    <x v="1"/>
    <x v="0"/>
    <x v="3"/>
    <s v="Official_Account"/>
    <x v="4"/>
    <n v="760"/>
    <n v="1"/>
    <n v="4645"/>
    <n v="1749"/>
    <n v="3"/>
    <n v="10585"/>
  </r>
  <r>
    <x v="1"/>
    <x v="0"/>
    <x v="4"/>
    <s v="Others"/>
    <x v="5"/>
    <n v="25"/>
    <n v="0"/>
    <n v="0"/>
    <n v="38"/>
    <n v="0"/>
    <n v="0"/>
  </r>
  <r>
    <x v="1"/>
    <x v="0"/>
    <x v="5"/>
    <s v="SMS"/>
    <x v="6"/>
    <n v="74"/>
    <n v="0"/>
    <n v="0"/>
    <n v="226"/>
    <n v="0"/>
    <n v="0"/>
  </r>
  <r>
    <x v="1"/>
    <x v="0"/>
    <x v="5"/>
    <s v="Chat"/>
    <x v="7"/>
    <n v="427"/>
    <n v="0"/>
    <n v="0"/>
    <n v="327"/>
    <n v="0"/>
    <n v="0"/>
  </r>
  <r>
    <x v="1"/>
    <x v="1"/>
    <x v="1"/>
    <s v="SC_55"/>
    <x v="1"/>
    <n v="8"/>
    <n v="2"/>
    <n v="9290"/>
    <n v="1"/>
    <n v="0"/>
    <n v="0"/>
  </r>
  <r>
    <x v="1"/>
    <x v="1"/>
    <x v="1"/>
    <s v="SC_品数"/>
    <x v="2"/>
    <n v="0"/>
    <n v="0"/>
    <n v="0"/>
    <n v="0"/>
    <n v="0"/>
    <n v="0"/>
  </r>
  <r>
    <x v="1"/>
    <x v="2"/>
    <x v="6"/>
    <s v="Other_Wxapp"/>
    <x v="14"/>
    <n v="981"/>
    <n v="0"/>
    <n v="0"/>
    <n v="1418"/>
    <n v="0"/>
    <n v="0"/>
  </r>
  <r>
    <x v="1"/>
    <x v="0"/>
    <x v="4"/>
    <s v="Scan"/>
    <x v="9"/>
    <n v="51"/>
    <n v="0"/>
    <n v="0"/>
    <n v="213"/>
    <n v="0"/>
    <n v="0"/>
  </r>
  <r>
    <x v="1"/>
    <x v="1"/>
    <x v="1"/>
    <s v="SC_55"/>
    <x v="1"/>
    <n v="68"/>
    <n v="11"/>
    <n v="57615"/>
    <n v="4"/>
    <n v="1"/>
    <n v="2795"/>
  </r>
  <r>
    <x v="1"/>
    <x v="1"/>
    <x v="1"/>
    <s v="SC_品数"/>
    <x v="2"/>
    <n v="0"/>
    <n v="0"/>
    <n v="0"/>
    <n v="238"/>
    <n v="1"/>
    <n v="8695"/>
  </r>
  <r>
    <x v="1"/>
    <x v="0"/>
    <x v="4"/>
    <s v="Wechat_Entry"/>
    <x v="10"/>
    <n v="59"/>
    <n v="0"/>
    <n v="0"/>
    <n v="49"/>
    <n v="0"/>
    <n v="0"/>
  </r>
  <r>
    <x v="1"/>
    <x v="0"/>
    <x v="3"/>
    <s v="Channels"/>
    <x v="11"/>
    <n v="13"/>
    <n v="0"/>
    <n v="0"/>
    <n v="31"/>
    <n v="0"/>
    <n v="0"/>
  </r>
  <r>
    <x v="1"/>
    <x v="0"/>
    <x v="5"/>
    <s v="Notification"/>
    <x v="12"/>
    <n v="148"/>
    <n v="0"/>
    <n v="0"/>
    <n v="27"/>
    <n v="0"/>
    <n v="0"/>
  </r>
  <r>
    <x v="1"/>
    <x v="1"/>
    <x v="7"/>
    <s v="Advertisement"/>
    <x v="13"/>
    <n v="0"/>
    <n v="0"/>
    <n v="0"/>
    <n v="1984"/>
    <n v="0"/>
    <n v="0"/>
  </r>
  <r>
    <x v="2"/>
    <x v="0"/>
    <x v="0"/>
    <s v="Search"/>
    <x v="0"/>
    <n v="1151"/>
    <n v="2"/>
    <n v="7410"/>
    <n v="839"/>
    <n v="1"/>
    <n v="1650"/>
  </r>
  <r>
    <x v="2"/>
    <x v="1"/>
    <x v="1"/>
    <s v="SC_55"/>
    <x v="1"/>
    <n v="0"/>
    <n v="0"/>
    <n v="0"/>
    <n v="4"/>
    <n v="0"/>
    <n v="0"/>
  </r>
  <r>
    <x v="2"/>
    <x v="1"/>
    <x v="1"/>
    <s v="SC_品数"/>
    <x v="2"/>
    <n v="0"/>
    <n v="0"/>
    <n v="0"/>
    <n v="0"/>
    <n v="0"/>
    <n v="0"/>
  </r>
  <r>
    <x v="2"/>
    <x v="1"/>
    <x v="1"/>
    <s v="SC_Tanglala"/>
    <x v="15"/>
    <n v="0"/>
    <n v="0"/>
    <n v="0"/>
    <n v="622"/>
    <n v="1"/>
    <n v="4695"/>
  </r>
  <r>
    <x v="2"/>
    <x v="0"/>
    <x v="2"/>
    <s v="Quick_Entry"/>
    <x v="3"/>
    <n v="1178"/>
    <n v="3"/>
    <n v="24930"/>
    <n v="1144"/>
    <n v="12"/>
    <n v="74015"/>
  </r>
  <r>
    <x v="2"/>
    <x v="1"/>
    <x v="1"/>
    <s v="SC_55"/>
    <x v="1"/>
    <n v="0"/>
    <n v="0"/>
    <n v="0"/>
    <n v="28"/>
    <n v="0"/>
    <n v="0"/>
  </r>
  <r>
    <x v="2"/>
    <x v="1"/>
    <x v="1"/>
    <s v="SC_品数"/>
    <x v="2"/>
    <n v="0"/>
    <n v="0"/>
    <n v="0"/>
    <n v="0"/>
    <n v="0"/>
    <n v="0"/>
  </r>
  <r>
    <x v="2"/>
    <x v="0"/>
    <x v="3"/>
    <s v="Official_Account"/>
    <x v="4"/>
    <n v="1033"/>
    <n v="2"/>
    <n v="19195"/>
    <n v="905"/>
    <n v="2"/>
    <n v="13495"/>
  </r>
  <r>
    <x v="2"/>
    <x v="0"/>
    <x v="4"/>
    <s v="Others"/>
    <x v="16"/>
    <n v="16"/>
    <n v="0"/>
    <n v="0"/>
    <n v="34"/>
    <n v="0"/>
    <n v="0"/>
  </r>
  <r>
    <x v="2"/>
    <x v="0"/>
    <x v="5"/>
    <s v="SMS"/>
    <x v="6"/>
    <n v="212"/>
    <n v="0"/>
    <n v="0"/>
    <n v="79"/>
    <n v="0"/>
    <n v="0"/>
  </r>
  <r>
    <x v="2"/>
    <x v="0"/>
    <x v="5"/>
    <s v="Chat"/>
    <x v="7"/>
    <n v="296"/>
    <n v="0"/>
    <n v="0"/>
    <n v="353"/>
    <n v="1"/>
    <n v="1295"/>
  </r>
  <r>
    <x v="2"/>
    <x v="1"/>
    <x v="1"/>
    <s v="SC_55"/>
    <x v="1"/>
    <n v="0"/>
    <n v="0"/>
    <n v="0"/>
    <n v="0"/>
    <n v="0"/>
    <n v="0"/>
  </r>
  <r>
    <x v="2"/>
    <x v="1"/>
    <x v="1"/>
    <s v="SC_品数"/>
    <x v="2"/>
    <n v="0"/>
    <n v="0"/>
    <n v="0"/>
    <n v="0"/>
    <n v="0"/>
    <n v="0"/>
  </r>
  <r>
    <x v="2"/>
    <x v="1"/>
    <x v="1"/>
    <s v="SC_Tanglala"/>
    <x v="15"/>
    <n v="0"/>
    <n v="0"/>
    <n v="0"/>
    <n v="2000"/>
    <n v="52"/>
    <n v="366340"/>
  </r>
  <r>
    <x v="2"/>
    <x v="2"/>
    <x v="6"/>
    <s v="Other_Wxapp"/>
    <x v="8"/>
    <n v="2522"/>
    <n v="0"/>
    <n v="0"/>
    <n v="314"/>
    <n v="0"/>
    <n v="0"/>
  </r>
  <r>
    <x v="2"/>
    <x v="0"/>
    <x v="4"/>
    <s v="Scan"/>
    <x v="9"/>
    <n v="62"/>
    <n v="0"/>
    <n v="0"/>
    <n v="96"/>
    <n v="0"/>
    <n v="0"/>
  </r>
  <r>
    <x v="2"/>
    <x v="1"/>
    <x v="1"/>
    <s v="SC_55"/>
    <x v="1"/>
    <n v="0"/>
    <n v="0"/>
    <n v="0"/>
    <n v="349"/>
    <n v="15"/>
    <n v="64740"/>
  </r>
  <r>
    <x v="2"/>
    <x v="1"/>
    <x v="1"/>
    <s v="SC_品数"/>
    <x v="2"/>
    <n v="0"/>
    <n v="0"/>
    <n v="0"/>
    <n v="154"/>
    <n v="0"/>
    <n v="0"/>
  </r>
  <r>
    <x v="2"/>
    <x v="0"/>
    <x v="4"/>
    <s v="Wechat_Entry"/>
    <x v="10"/>
    <n v="59"/>
    <n v="0"/>
    <n v="0"/>
    <n v="50"/>
    <n v="0"/>
    <n v="0"/>
  </r>
  <r>
    <x v="2"/>
    <x v="0"/>
    <x v="3"/>
    <s v="Channels"/>
    <x v="11"/>
    <n v="9"/>
    <n v="0"/>
    <n v="0"/>
    <n v="15"/>
    <n v="0"/>
    <n v="0"/>
  </r>
  <r>
    <x v="2"/>
    <x v="0"/>
    <x v="5"/>
    <s v="Notification"/>
    <x v="12"/>
    <n v="121"/>
    <n v="3"/>
    <n v="5105"/>
    <n v="35"/>
    <n v="0"/>
    <n v="0"/>
  </r>
  <r>
    <x v="2"/>
    <x v="1"/>
    <x v="7"/>
    <s v="Advertisement"/>
    <x v="13"/>
    <n v="0"/>
    <n v="0"/>
    <n v="0"/>
    <n v="23"/>
    <n v="0"/>
    <n v="0"/>
  </r>
  <r>
    <x v="3"/>
    <x v="0"/>
    <x v="0"/>
    <s v="Search"/>
    <x v="0"/>
    <n v="1270"/>
    <n v="0"/>
    <n v="0"/>
    <n v="1064"/>
    <n v="3"/>
    <n v="18801"/>
  </r>
  <r>
    <x v="3"/>
    <x v="1"/>
    <x v="1"/>
    <s v="SC_55"/>
    <x v="1"/>
    <n v="22"/>
    <n v="0"/>
    <n v="0"/>
    <n v="7"/>
    <n v="0"/>
    <n v="0"/>
  </r>
  <r>
    <x v="3"/>
    <x v="1"/>
    <x v="1"/>
    <s v="SC_品数"/>
    <x v="2"/>
    <n v="0"/>
    <n v="0"/>
    <n v="0"/>
    <n v="0"/>
    <n v="0"/>
    <n v="0"/>
  </r>
  <r>
    <x v="3"/>
    <x v="1"/>
    <x v="1"/>
    <s v="SC_Tanglala"/>
    <x v="15"/>
    <n v="0"/>
    <n v="0"/>
    <n v="0"/>
    <n v="0"/>
    <n v="0"/>
    <n v="0"/>
  </r>
  <r>
    <x v="3"/>
    <x v="3"/>
    <x v="8"/>
    <s v="FF"/>
    <x v="17"/>
    <n v="0"/>
    <n v="0"/>
    <n v="0"/>
    <n v="40"/>
    <n v="0"/>
    <n v="0"/>
  </r>
  <r>
    <x v="3"/>
    <x v="0"/>
    <x v="2"/>
    <s v="Quick_Entry"/>
    <x v="3"/>
    <n v="1155"/>
    <n v="2"/>
    <n v="4839"/>
    <n v="2631"/>
    <n v="7"/>
    <n v="21764"/>
  </r>
  <r>
    <x v="3"/>
    <x v="1"/>
    <x v="1"/>
    <s v="SC_55"/>
    <x v="1"/>
    <n v="18"/>
    <n v="4"/>
    <n v="14090"/>
    <n v="17"/>
    <n v="1"/>
    <n v="4695"/>
  </r>
  <r>
    <x v="3"/>
    <x v="1"/>
    <x v="1"/>
    <s v="SC_品数"/>
    <x v="2"/>
    <n v="0"/>
    <n v="0"/>
    <n v="0"/>
    <n v="0"/>
    <n v="0"/>
    <n v="0"/>
  </r>
  <r>
    <x v="3"/>
    <x v="3"/>
    <x v="8"/>
    <s v="FF"/>
    <x v="17"/>
    <n v="0"/>
    <n v="0"/>
    <n v="0"/>
    <n v="1337"/>
    <n v="374"/>
    <n v="387423"/>
  </r>
  <r>
    <x v="3"/>
    <x v="0"/>
    <x v="3"/>
    <s v="Official_Account"/>
    <x v="4"/>
    <n v="434"/>
    <n v="1"/>
    <n v="7295"/>
    <n v="645"/>
    <n v="0"/>
    <n v="0"/>
  </r>
  <r>
    <x v="3"/>
    <x v="0"/>
    <x v="4"/>
    <s v="Others"/>
    <x v="16"/>
    <n v="3"/>
    <n v="0"/>
    <n v="0"/>
    <n v="41"/>
    <n v="0"/>
    <n v="0"/>
  </r>
  <r>
    <x v="3"/>
    <x v="0"/>
    <x v="5"/>
    <s v="SMS"/>
    <x v="6"/>
    <n v="157"/>
    <n v="2"/>
    <n v="12190"/>
    <n v="41"/>
    <n v="0"/>
    <n v="0"/>
  </r>
  <r>
    <x v="3"/>
    <x v="3"/>
    <x v="8"/>
    <s v="FF"/>
    <x v="17"/>
    <n v="0"/>
    <n v="0"/>
    <n v="0"/>
    <n v="45"/>
    <n v="5"/>
    <n v="3449"/>
  </r>
  <r>
    <x v="3"/>
    <x v="0"/>
    <x v="5"/>
    <s v="Chat"/>
    <x v="7"/>
    <n v="612"/>
    <n v="3"/>
    <n v="12265"/>
    <n v="1476"/>
    <n v="0"/>
    <n v="0"/>
  </r>
  <r>
    <x v="3"/>
    <x v="1"/>
    <x v="1"/>
    <s v="SC_55"/>
    <x v="1"/>
    <n v="6"/>
    <n v="1"/>
    <n v="1990"/>
    <n v="5"/>
    <n v="0"/>
    <n v="0"/>
  </r>
  <r>
    <x v="3"/>
    <x v="1"/>
    <x v="1"/>
    <s v="SC_品数"/>
    <x v="2"/>
    <n v="0"/>
    <n v="0"/>
    <n v="0"/>
    <n v="0"/>
    <n v="0"/>
    <n v="0"/>
  </r>
  <r>
    <x v="3"/>
    <x v="1"/>
    <x v="1"/>
    <s v="SC_Tanglala"/>
    <x v="15"/>
    <n v="0"/>
    <n v="0"/>
    <n v="0"/>
    <n v="0"/>
    <n v="0"/>
    <n v="0"/>
  </r>
  <r>
    <x v="3"/>
    <x v="3"/>
    <x v="8"/>
    <s v="FF"/>
    <x v="17"/>
    <n v="0"/>
    <n v="0"/>
    <n v="0"/>
    <n v="324"/>
    <n v="58"/>
    <n v="48038"/>
  </r>
  <r>
    <x v="3"/>
    <x v="2"/>
    <x v="6"/>
    <s v="Other_Wxapp"/>
    <x v="8"/>
    <n v="2048"/>
    <n v="0"/>
    <n v="0"/>
    <n v="226"/>
    <n v="0"/>
    <n v="0"/>
  </r>
  <r>
    <x v="3"/>
    <x v="0"/>
    <x v="4"/>
    <s v="Scan"/>
    <x v="9"/>
    <n v="58"/>
    <n v="0"/>
    <n v="0"/>
    <n v="41"/>
    <n v="0"/>
    <n v="0"/>
  </r>
  <r>
    <x v="3"/>
    <x v="1"/>
    <x v="1"/>
    <s v="SC_55"/>
    <x v="1"/>
    <n v="155"/>
    <n v="19"/>
    <n v="119565"/>
    <n v="231"/>
    <n v="14"/>
    <n v="60325"/>
  </r>
  <r>
    <x v="3"/>
    <x v="1"/>
    <x v="1"/>
    <s v="SC_品数"/>
    <x v="2"/>
    <n v="0"/>
    <n v="0"/>
    <n v="0"/>
    <n v="0"/>
    <n v="0"/>
    <n v="0"/>
  </r>
  <r>
    <x v="3"/>
    <x v="3"/>
    <x v="8"/>
    <s v="FF"/>
    <x v="17"/>
    <n v="0"/>
    <n v="0"/>
    <n v="0"/>
    <n v="12591"/>
    <n v="845"/>
    <n v="841725"/>
  </r>
  <r>
    <x v="3"/>
    <x v="0"/>
    <x v="4"/>
    <s v="Wechat_Entry"/>
    <x v="10"/>
    <n v="62"/>
    <n v="0"/>
    <n v="0"/>
    <n v="2"/>
    <n v="0"/>
    <n v="0"/>
  </r>
  <r>
    <x v="3"/>
    <x v="3"/>
    <x v="8"/>
    <s v="FF"/>
    <x v="17"/>
    <n v="0"/>
    <n v="0"/>
    <n v="0"/>
    <n v="90"/>
    <n v="3"/>
    <n v="2374"/>
  </r>
  <r>
    <x v="3"/>
    <x v="0"/>
    <x v="3"/>
    <s v="Channels"/>
    <x v="11"/>
    <n v="7"/>
    <n v="0"/>
    <n v="0"/>
    <n v="13"/>
    <n v="0"/>
    <n v="0"/>
  </r>
  <r>
    <x v="3"/>
    <x v="0"/>
    <x v="5"/>
    <s v="Notification"/>
    <x v="12"/>
    <n v="38"/>
    <n v="2"/>
    <n v="8700"/>
    <n v="13"/>
    <n v="0"/>
    <n v="0"/>
  </r>
  <r>
    <x v="3"/>
    <x v="1"/>
    <x v="1"/>
    <s v="SC_55"/>
    <x v="1"/>
    <n v="2"/>
    <n v="2"/>
    <n v="7575"/>
    <n v="1"/>
    <n v="0"/>
    <n v="0"/>
  </r>
  <r>
    <x v="3"/>
    <x v="3"/>
    <x v="8"/>
    <s v="FF"/>
    <x v="17"/>
    <n v="0"/>
    <n v="0"/>
    <n v="0"/>
    <n v="300"/>
    <n v="4"/>
    <n v="2325"/>
  </r>
  <r>
    <x v="3"/>
    <x v="1"/>
    <x v="7"/>
    <s v="Advertisement"/>
    <x v="13"/>
    <n v="0"/>
    <n v="0"/>
    <n v="0"/>
    <n v="0"/>
    <n v="0"/>
    <n v="0"/>
  </r>
  <r>
    <x v="4"/>
    <x v="0"/>
    <x v="0"/>
    <s v="Search"/>
    <x v="0"/>
    <n v="1182"/>
    <n v="3"/>
    <n v="12509"/>
    <n v="943"/>
    <n v="0"/>
    <n v="0"/>
  </r>
  <r>
    <x v="4"/>
    <x v="1"/>
    <x v="1"/>
    <s v="SC_55"/>
    <x v="1"/>
    <n v="65"/>
    <n v="4"/>
    <n v="21090"/>
    <n v="17"/>
    <n v="0"/>
    <n v="0"/>
  </r>
  <r>
    <x v="4"/>
    <x v="1"/>
    <x v="1"/>
    <s v="SC_品数"/>
    <x v="2"/>
    <n v="0"/>
    <n v="0"/>
    <n v="0"/>
    <n v="0"/>
    <n v="0"/>
    <n v="0"/>
  </r>
  <r>
    <x v="4"/>
    <x v="1"/>
    <x v="1"/>
    <s v="SC_Tanglala"/>
    <x v="15"/>
    <n v="0"/>
    <n v="0"/>
    <n v="0"/>
    <n v="0"/>
    <n v="0"/>
    <n v="0"/>
  </r>
  <r>
    <x v="4"/>
    <x v="3"/>
    <x v="8"/>
    <s v="FF"/>
    <x v="17"/>
    <n v="200"/>
    <n v="4"/>
    <n v="5870"/>
    <n v="0"/>
    <n v="0"/>
    <n v="0"/>
  </r>
  <r>
    <x v="4"/>
    <x v="0"/>
    <x v="2"/>
    <s v="Quick_Entry"/>
    <x v="3"/>
    <n v="1139"/>
    <n v="3"/>
    <n v="10635"/>
    <n v="952"/>
    <n v="4"/>
    <n v="28720"/>
  </r>
  <r>
    <x v="4"/>
    <x v="1"/>
    <x v="1"/>
    <s v="SC_55"/>
    <x v="1"/>
    <n v="33"/>
    <n v="5"/>
    <n v="20050"/>
    <n v="32"/>
    <n v="0"/>
    <n v="0"/>
  </r>
  <r>
    <x v="4"/>
    <x v="1"/>
    <x v="1"/>
    <s v="SC_品数"/>
    <x v="2"/>
    <n v="0"/>
    <n v="0"/>
    <n v="0"/>
    <n v="0"/>
    <n v="0"/>
    <n v="0"/>
  </r>
  <r>
    <x v="4"/>
    <x v="3"/>
    <x v="8"/>
    <s v="FF"/>
    <x v="17"/>
    <n v="900"/>
    <n v="113"/>
    <n v="169080"/>
    <n v="0"/>
    <n v="0"/>
    <n v="0"/>
  </r>
  <r>
    <x v="4"/>
    <x v="0"/>
    <x v="3"/>
    <s v="Official_Account"/>
    <x v="4"/>
    <n v="606"/>
    <n v="0"/>
    <n v="0"/>
    <n v="912"/>
    <n v="0"/>
    <n v="0"/>
  </r>
  <r>
    <x v="4"/>
    <x v="0"/>
    <x v="4"/>
    <s v="Others"/>
    <x v="16"/>
    <n v="10"/>
    <n v="0"/>
    <n v="0"/>
    <n v="9"/>
    <n v="0"/>
    <n v="0"/>
  </r>
  <r>
    <x v="4"/>
    <x v="0"/>
    <x v="5"/>
    <s v="SMS"/>
    <x v="6"/>
    <n v="154"/>
    <n v="0"/>
    <n v="0"/>
    <n v="89"/>
    <n v="0"/>
    <n v="0"/>
  </r>
  <r>
    <x v="4"/>
    <x v="3"/>
    <x v="8"/>
    <s v="FF"/>
    <x v="17"/>
    <n v="193"/>
    <n v="16"/>
    <n v="17745"/>
    <n v="0"/>
    <n v="0"/>
    <n v="0"/>
  </r>
  <r>
    <x v="4"/>
    <x v="0"/>
    <x v="5"/>
    <s v="Chat"/>
    <x v="7"/>
    <n v="609"/>
    <n v="0"/>
    <n v="0"/>
    <n v="476"/>
    <n v="0"/>
    <n v="0"/>
  </r>
  <r>
    <x v="4"/>
    <x v="1"/>
    <x v="1"/>
    <s v="SC_55"/>
    <x v="1"/>
    <n v="7"/>
    <n v="0"/>
    <n v="0"/>
    <n v="11"/>
    <n v="0"/>
    <n v="0"/>
  </r>
  <r>
    <x v="4"/>
    <x v="1"/>
    <x v="1"/>
    <s v="SC_品数"/>
    <x v="2"/>
    <n v="0"/>
    <n v="0"/>
    <n v="0"/>
    <n v="0"/>
    <n v="0"/>
    <n v="0"/>
  </r>
  <r>
    <x v="4"/>
    <x v="1"/>
    <x v="1"/>
    <s v="SC_Tanglala"/>
    <x v="15"/>
    <n v="0"/>
    <n v="0"/>
    <n v="0"/>
    <n v="0"/>
    <n v="0"/>
    <n v="0"/>
  </r>
  <r>
    <x v="4"/>
    <x v="3"/>
    <x v="8"/>
    <s v="FF"/>
    <x v="17"/>
    <n v="3200"/>
    <n v="270"/>
    <n v="524464"/>
    <n v="0"/>
    <n v="0"/>
    <n v="0"/>
  </r>
  <r>
    <x v="4"/>
    <x v="2"/>
    <x v="6"/>
    <s v="Other_Wxapp"/>
    <x v="8"/>
    <n v="2200"/>
    <n v="1"/>
    <n v="6895"/>
    <n v="292"/>
    <n v="0"/>
    <n v="0"/>
  </r>
  <r>
    <x v="4"/>
    <x v="0"/>
    <x v="4"/>
    <s v="LiveStream"/>
    <x v="18"/>
    <n v="3"/>
    <n v="0"/>
    <n v="0"/>
    <n v="0"/>
    <n v="0"/>
    <n v="0"/>
  </r>
  <r>
    <x v="4"/>
    <x v="0"/>
    <x v="4"/>
    <s v="Scan"/>
    <x v="9"/>
    <n v="100"/>
    <n v="0"/>
    <n v="0"/>
    <n v="50"/>
    <n v="0"/>
    <n v="0"/>
  </r>
  <r>
    <x v="4"/>
    <x v="1"/>
    <x v="1"/>
    <s v="SC_55"/>
    <x v="1"/>
    <n v="171"/>
    <n v="31"/>
    <n v="118990"/>
    <n v="801"/>
    <n v="11"/>
    <n v="72575"/>
  </r>
  <r>
    <x v="4"/>
    <x v="1"/>
    <x v="1"/>
    <s v="SC_品数"/>
    <x v="2"/>
    <n v="0"/>
    <n v="0"/>
    <n v="0"/>
    <n v="0"/>
    <n v="0"/>
    <n v="0"/>
  </r>
  <r>
    <x v="4"/>
    <x v="3"/>
    <x v="8"/>
    <s v="FF"/>
    <x v="17"/>
    <n v="410"/>
    <n v="8"/>
    <n v="15005"/>
    <n v="32"/>
    <n v="0"/>
    <n v="0"/>
  </r>
  <r>
    <x v="4"/>
    <x v="0"/>
    <x v="4"/>
    <s v="Wechat_Entry"/>
    <x v="10"/>
    <n v="66"/>
    <n v="0"/>
    <n v="0"/>
    <n v="43"/>
    <n v="0"/>
    <n v="0"/>
  </r>
  <r>
    <x v="4"/>
    <x v="3"/>
    <x v="8"/>
    <s v="FF"/>
    <x v="17"/>
    <n v="850"/>
    <n v="121"/>
    <n v="183310"/>
    <n v="0"/>
    <n v="0"/>
    <n v="0"/>
  </r>
  <r>
    <x v="4"/>
    <x v="0"/>
    <x v="3"/>
    <s v="Channels"/>
    <x v="11"/>
    <n v="11"/>
    <n v="0"/>
    <n v="0"/>
    <n v="15"/>
    <n v="0"/>
    <n v="0"/>
  </r>
  <r>
    <x v="4"/>
    <x v="0"/>
    <x v="5"/>
    <s v="Notification"/>
    <x v="12"/>
    <n v="91"/>
    <n v="0"/>
    <n v="0"/>
    <n v="36"/>
    <n v="0"/>
    <n v="0"/>
  </r>
  <r>
    <x v="4"/>
    <x v="1"/>
    <x v="1"/>
    <s v="SC_55"/>
    <x v="1"/>
    <n v="2"/>
    <n v="0"/>
    <n v="0"/>
    <n v="3"/>
    <n v="0"/>
    <n v="0"/>
  </r>
  <r>
    <x v="4"/>
    <x v="3"/>
    <x v="8"/>
    <s v="FF"/>
    <x v="17"/>
    <n v="150"/>
    <n v="12"/>
    <n v="25890"/>
    <n v="0"/>
    <n v="0"/>
    <n v="0"/>
  </r>
  <r>
    <x v="4"/>
    <x v="1"/>
    <x v="7"/>
    <s v="Advertisement"/>
    <x v="13"/>
    <n v="0"/>
    <n v="0"/>
    <n v="0"/>
    <n v="0"/>
    <n v="0"/>
    <n v="0"/>
  </r>
  <r>
    <x v="5"/>
    <x v="0"/>
    <x v="0"/>
    <s v="Search"/>
    <x v="0"/>
    <n v="912"/>
    <n v="2"/>
    <n v="7045"/>
    <n v="788"/>
    <n v="1"/>
    <n v="16950"/>
  </r>
  <r>
    <x v="5"/>
    <x v="1"/>
    <x v="1"/>
    <s v="SC_55"/>
    <x v="1"/>
    <n v="197"/>
    <n v="1"/>
    <n v="2350"/>
    <n v="0"/>
    <n v="0"/>
    <n v="0"/>
  </r>
  <r>
    <x v="5"/>
    <x v="1"/>
    <x v="1"/>
    <s v="SC_品数"/>
    <x v="2"/>
    <n v="0"/>
    <n v="0"/>
    <n v="0"/>
    <n v="0"/>
    <n v="0"/>
    <n v="0"/>
  </r>
  <r>
    <x v="5"/>
    <x v="1"/>
    <x v="1"/>
    <s v="SC_Tanglala"/>
    <x v="15"/>
    <n v="0"/>
    <n v="0"/>
    <n v="0"/>
    <n v="0"/>
    <n v="0"/>
    <n v="0"/>
  </r>
  <r>
    <x v="5"/>
    <x v="3"/>
    <x v="8"/>
    <s v="FF"/>
    <x v="17"/>
    <n v="0"/>
    <n v="0"/>
    <n v="0"/>
    <n v="0"/>
    <n v="0"/>
    <n v="0"/>
  </r>
  <r>
    <x v="5"/>
    <x v="0"/>
    <x v="2"/>
    <s v="Quick_Entry"/>
    <x v="3"/>
    <n v="1400"/>
    <n v="1"/>
    <n v="2550"/>
    <n v="901"/>
    <n v="4"/>
    <n v="48335"/>
  </r>
  <r>
    <x v="5"/>
    <x v="1"/>
    <x v="1"/>
    <s v="SC_55"/>
    <x v="1"/>
    <n v="7"/>
    <n v="1"/>
    <n v="2995"/>
    <n v="0"/>
    <n v="0"/>
    <n v="0"/>
  </r>
  <r>
    <x v="5"/>
    <x v="1"/>
    <x v="1"/>
    <s v="SC_品数"/>
    <x v="2"/>
    <n v="0"/>
    <n v="0"/>
    <n v="0"/>
    <n v="0"/>
    <n v="0"/>
    <n v="0"/>
  </r>
  <r>
    <x v="5"/>
    <x v="3"/>
    <x v="8"/>
    <s v="FF"/>
    <x v="17"/>
    <n v="60"/>
    <n v="4"/>
    <n v="8325"/>
    <n v="0"/>
    <n v="0"/>
    <n v="0"/>
  </r>
  <r>
    <x v="5"/>
    <x v="0"/>
    <x v="3"/>
    <s v="Official_Account"/>
    <x v="4"/>
    <n v="774"/>
    <n v="1"/>
    <n v="2995"/>
    <n v="1021"/>
    <n v="2"/>
    <n v="8190"/>
  </r>
  <r>
    <x v="5"/>
    <x v="0"/>
    <x v="4"/>
    <s v="Others"/>
    <x v="16"/>
    <n v="37"/>
    <n v="0"/>
    <n v="0"/>
    <n v="12"/>
    <n v="0"/>
    <n v="0"/>
  </r>
  <r>
    <x v="5"/>
    <x v="0"/>
    <x v="5"/>
    <s v="SMS"/>
    <x v="6"/>
    <n v="122"/>
    <n v="0"/>
    <n v="0"/>
    <n v="25"/>
    <n v="0"/>
    <n v="0"/>
  </r>
  <r>
    <x v="5"/>
    <x v="3"/>
    <x v="8"/>
    <s v="FF"/>
    <x v="17"/>
    <n v="0"/>
    <n v="0"/>
    <n v="0"/>
    <n v="0"/>
    <n v="0"/>
    <n v="0"/>
  </r>
  <r>
    <x v="5"/>
    <x v="0"/>
    <x v="5"/>
    <s v="Chat"/>
    <x v="7"/>
    <n v="128"/>
    <n v="0"/>
    <n v="0"/>
    <n v="88"/>
    <n v="0"/>
    <n v="0"/>
  </r>
  <r>
    <x v="5"/>
    <x v="1"/>
    <x v="1"/>
    <s v="SC_55"/>
    <x v="1"/>
    <n v="1"/>
    <n v="1"/>
    <n v="4695"/>
    <n v="0"/>
    <n v="0"/>
    <n v="0"/>
  </r>
  <r>
    <x v="5"/>
    <x v="1"/>
    <x v="1"/>
    <s v="SC_品数"/>
    <x v="2"/>
    <n v="0"/>
    <n v="0"/>
    <n v="0"/>
    <n v="0"/>
    <n v="0"/>
    <n v="0"/>
  </r>
  <r>
    <x v="5"/>
    <x v="1"/>
    <x v="1"/>
    <s v="SC_Tanglala"/>
    <x v="15"/>
    <n v="0"/>
    <n v="0"/>
    <n v="0"/>
    <n v="0"/>
    <n v="0"/>
    <n v="0"/>
  </r>
  <r>
    <x v="5"/>
    <x v="3"/>
    <x v="8"/>
    <s v="FF"/>
    <x v="17"/>
    <n v="400"/>
    <n v="7"/>
    <n v="15030"/>
    <n v="0"/>
    <n v="0"/>
    <n v="0"/>
  </r>
  <r>
    <x v="5"/>
    <x v="2"/>
    <x v="6"/>
    <s v="Other_Wxapp"/>
    <x v="8"/>
    <n v="2211"/>
    <n v="0"/>
    <n v="0"/>
    <n v="454"/>
    <n v="0"/>
    <n v="0"/>
  </r>
  <r>
    <x v="5"/>
    <x v="0"/>
    <x v="4"/>
    <s v="LiveStream"/>
    <x v="18"/>
    <n v="20"/>
    <n v="0"/>
    <n v="0"/>
    <n v="0"/>
    <n v="0"/>
    <n v="0"/>
  </r>
  <r>
    <x v="5"/>
    <x v="0"/>
    <x v="4"/>
    <s v="Scan"/>
    <x v="9"/>
    <n v="76"/>
    <n v="1"/>
    <n v="2795"/>
    <n v="66"/>
    <n v="0"/>
    <n v="0"/>
  </r>
  <r>
    <x v="5"/>
    <x v="1"/>
    <x v="1"/>
    <s v="SC_55"/>
    <x v="1"/>
    <n v="20"/>
    <n v="12"/>
    <n v="72350"/>
    <n v="0"/>
    <n v="0"/>
    <n v="0"/>
  </r>
  <r>
    <x v="5"/>
    <x v="1"/>
    <x v="1"/>
    <s v="SC_品数"/>
    <x v="2"/>
    <n v="0"/>
    <n v="0"/>
    <n v="0"/>
    <n v="0"/>
    <n v="0"/>
    <n v="0"/>
  </r>
  <r>
    <x v="5"/>
    <x v="3"/>
    <x v="8"/>
    <s v="FF"/>
    <x v="17"/>
    <n v="7"/>
    <n v="0"/>
    <n v="0"/>
    <n v="0"/>
    <n v="0"/>
    <n v="0"/>
  </r>
  <r>
    <x v="5"/>
    <x v="0"/>
    <x v="4"/>
    <s v="Wechat_Entry"/>
    <x v="10"/>
    <n v="33"/>
    <n v="0"/>
    <n v="0"/>
    <n v="33"/>
    <n v="0"/>
    <n v="0"/>
  </r>
  <r>
    <x v="5"/>
    <x v="3"/>
    <x v="8"/>
    <s v="FF"/>
    <x v="17"/>
    <n v="160"/>
    <n v="6"/>
    <n v="10930"/>
    <n v="0"/>
    <n v="0"/>
    <n v="0"/>
  </r>
  <r>
    <x v="5"/>
    <x v="0"/>
    <x v="3"/>
    <s v="Channels"/>
    <x v="11"/>
    <n v="16"/>
    <n v="0"/>
    <n v="0"/>
    <n v="20"/>
    <n v="0"/>
    <n v="0"/>
  </r>
  <r>
    <x v="5"/>
    <x v="0"/>
    <x v="5"/>
    <s v="Notification"/>
    <x v="12"/>
    <n v="65"/>
    <n v="0"/>
    <n v="0"/>
    <n v="13"/>
    <n v="0"/>
    <n v="0"/>
  </r>
  <r>
    <x v="5"/>
    <x v="1"/>
    <x v="1"/>
    <s v="SC_55"/>
    <x v="1"/>
    <n v="1"/>
    <m/>
    <m/>
    <n v="0"/>
    <n v="0"/>
    <n v="0"/>
  </r>
  <r>
    <x v="5"/>
    <x v="3"/>
    <x v="8"/>
    <s v="FF"/>
    <x v="17"/>
    <n v="20"/>
    <n v="2"/>
    <n v="2715"/>
    <n v="0"/>
    <n v="0"/>
    <n v="0"/>
  </r>
  <r>
    <x v="5"/>
    <x v="1"/>
    <x v="7"/>
    <s v="Advertisement"/>
    <x v="19"/>
    <n v="206"/>
    <n v="0"/>
    <n v="0"/>
    <n v="0"/>
    <n v="0"/>
    <n v="0"/>
  </r>
  <r>
    <x v="5"/>
    <x v="1"/>
    <x v="7"/>
    <s v="Advertisement"/>
    <x v="13"/>
    <n v="0"/>
    <n v="0"/>
    <n v="0"/>
    <n v="0"/>
    <n v="0"/>
    <n v="0"/>
  </r>
  <r>
    <x v="5"/>
    <x v="1"/>
    <x v="9"/>
    <s v="Advertisement"/>
    <x v="20"/>
    <n v="34"/>
    <n v="1"/>
    <n v="7400"/>
    <n v="0"/>
    <n v="0"/>
    <n v="0"/>
  </r>
  <r>
    <x v="6"/>
    <x v="0"/>
    <x v="0"/>
    <s v="Search"/>
    <x v="0"/>
    <n v="1045"/>
    <n v="1"/>
    <n v="18990"/>
    <n v="988"/>
    <n v="1"/>
    <n v="8365"/>
  </r>
  <r>
    <x v="6"/>
    <x v="1"/>
    <x v="1"/>
    <s v="SC_55"/>
    <x v="1"/>
    <n v="21"/>
    <n v="0"/>
    <n v="0"/>
    <n v="0"/>
    <n v="0"/>
    <n v="0"/>
  </r>
  <r>
    <x v="6"/>
    <x v="1"/>
    <x v="1"/>
    <s v="SC_品数"/>
    <x v="2"/>
    <n v="0"/>
    <n v="0"/>
    <n v="0"/>
    <n v="0"/>
    <n v="0"/>
    <n v="0"/>
  </r>
  <r>
    <x v="6"/>
    <x v="1"/>
    <x v="1"/>
    <s v="SC_Tanglala"/>
    <x v="15"/>
    <n v="0"/>
    <n v="0"/>
    <n v="0"/>
    <n v="0"/>
    <n v="0"/>
    <n v="0"/>
  </r>
  <r>
    <x v="6"/>
    <x v="3"/>
    <x v="8"/>
    <s v="FF"/>
    <x v="17"/>
    <n v="0"/>
    <n v="0"/>
    <n v="0"/>
    <n v="0"/>
    <n v="0"/>
    <n v="0"/>
  </r>
  <r>
    <x v="6"/>
    <x v="0"/>
    <x v="2"/>
    <s v="Quick_Entry"/>
    <x v="3"/>
    <n v="1463"/>
    <n v="4"/>
    <n v="21840"/>
    <n v="1077"/>
    <n v="5"/>
    <n v="16150"/>
  </r>
  <r>
    <x v="6"/>
    <x v="1"/>
    <x v="1"/>
    <s v="SC_55"/>
    <x v="1"/>
    <n v="1"/>
    <n v="0"/>
    <n v="0"/>
    <n v="0"/>
    <n v="0"/>
    <n v="0"/>
  </r>
  <r>
    <x v="6"/>
    <x v="1"/>
    <x v="1"/>
    <s v="SC_品数"/>
    <x v="2"/>
    <n v="0"/>
    <n v="0"/>
    <n v="0"/>
    <n v="0"/>
    <n v="0"/>
    <n v="0"/>
  </r>
  <r>
    <x v="6"/>
    <x v="3"/>
    <x v="8"/>
    <s v="FF"/>
    <x v="17"/>
    <n v="0"/>
    <n v="0"/>
    <n v="0"/>
    <n v="0"/>
    <n v="0"/>
    <n v="0"/>
  </r>
  <r>
    <x v="6"/>
    <x v="0"/>
    <x v="3"/>
    <s v="Official_Account"/>
    <x v="4"/>
    <n v="617"/>
    <n v="3"/>
    <n v="8890"/>
    <n v="966"/>
    <n v="0"/>
    <n v="0"/>
  </r>
  <r>
    <x v="6"/>
    <x v="0"/>
    <x v="4"/>
    <s v="Others"/>
    <x v="16"/>
    <n v="24"/>
    <n v="0"/>
    <n v="0"/>
    <n v="18"/>
    <n v="0"/>
    <n v="0"/>
  </r>
  <r>
    <x v="6"/>
    <x v="0"/>
    <x v="5"/>
    <s v="SMS"/>
    <x v="6"/>
    <n v="72"/>
    <n v="0"/>
    <n v="0"/>
    <n v="30"/>
    <n v="0"/>
    <n v="0"/>
  </r>
  <r>
    <x v="6"/>
    <x v="1"/>
    <x v="1"/>
    <s v="SC_shihuo"/>
    <x v="21"/>
    <n v="0"/>
    <n v="0"/>
    <n v="0"/>
    <n v="3"/>
    <n v="0"/>
    <n v="0"/>
  </r>
  <r>
    <x v="6"/>
    <x v="1"/>
    <x v="9"/>
    <s v="Red_Book_BZ"/>
    <x v="20"/>
    <n v="19"/>
    <n v="0"/>
    <n v="0"/>
    <n v="0"/>
    <n v="0"/>
    <n v="0"/>
  </r>
  <r>
    <x v="6"/>
    <x v="0"/>
    <x v="4"/>
    <s v="OFS_QR_CODE"/>
    <x v="22"/>
    <n v="4"/>
    <n v="0"/>
    <n v="0"/>
    <n v="0"/>
    <n v="0"/>
    <n v="0"/>
  </r>
  <r>
    <x v="6"/>
    <x v="0"/>
    <x v="5"/>
    <s v="Chat"/>
    <x v="7"/>
    <n v="109"/>
    <n v="0"/>
    <n v="0"/>
    <n v="110"/>
    <n v="0"/>
    <n v="0"/>
  </r>
  <r>
    <x v="6"/>
    <x v="1"/>
    <x v="1"/>
    <s v="SC_55"/>
    <x v="1"/>
    <n v="32"/>
    <n v="0"/>
    <n v="0"/>
    <n v="0"/>
    <n v="0"/>
    <n v="0"/>
  </r>
  <r>
    <x v="6"/>
    <x v="1"/>
    <x v="1"/>
    <s v="SC_品数"/>
    <x v="2"/>
    <n v="0"/>
    <n v="0"/>
    <n v="0"/>
    <n v="0"/>
    <n v="0"/>
    <n v="0"/>
  </r>
  <r>
    <x v="6"/>
    <x v="1"/>
    <x v="1"/>
    <s v="SC_Tanglala"/>
    <x v="15"/>
    <n v="0"/>
    <n v="0"/>
    <n v="0"/>
    <n v="0"/>
    <n v="0"/>
    <n v="0"/>
  </r>
  <r>
    <x v="6"/>
    <x v="3"/>
    <x v="8"/>
    <s v="FF"/>
    <x v="17"/>
    <n v="0"/>
    <n v="0"/>
    <n v="0"/>
    <n v="0"/>
    <n v="0"/>
    <n v="0"/>
  </r>
  <r>
    <x v="6"/>
    <x v="2"/>
    <x v="6"/>
    <s v="Other_Wxapp"/>
    <x v="8"/>
    <n v="2838"/>
    <n v="2"/>
    <n v="11995"/>
    <n v="333"/>
    <n v="0"/>
    <n v="0"/>
  </r>
  <r>
    <x v="6"/>
    <x v="0"/>
    <x v="4"/>
    <s v="LiveStream"/>
    <x v="18"/>
    <n v="21"/>
    <n v="1"/>
    <n v="2795"/>
    <n v="0"/>
    <n v="0"/>
    <n v="0"/>
  </r>
  <r>
    <x v="6"/>
    <x v="0"/>
    <x v="4"/>
    <s v="Scan"/>
    <x v="9"/>
    <n v="81"/>
    <n v="1"/>
    <n v="7640"/>
    <n v="161"/>
    <n v="0"/>
    <n v="0"/>
  </r>
  <r>
    <x v="6"/>
    <x v="1"/>
    <x v="1"/>
    <s v="SC_55"/>
    <x v="1"/>
    <n v="5"/>
    <n v="5"/>
    <n v="40880"/>
    <n v="3"/>
    <n v="0"/>
    <n v="0"/>
  </r>
  <r>
    <x v="6"/>
    <x v="1"/>
    <x v="1"/>
    <s v="SC_shihuo"/>
    <x v="21"/>
    <n v="0"/>
    <n v="0"/>
    <n v="0"/>
    <n v="1"/>
    <n v="0"/>
    <n v="0"/>
  </r>
  <r>
    <x v="6"/>
    <x v="3"/>
    <x v="8"/>
    <s v="FF"/>
    <x v="17"/>
    <n v="0"/>
    <n v="0"/>
    <n v="0"/>
    <n v="0"/>
    <n v="0"/>
    <n v="0"/>
  </r>
  <r>
    <x v="6"/>
    <x v="0"/>
    <x v="4"/>
    <s v="OFS_QR_CODE"/>
    <x v="22"/>
    <n v="5"/>
    <n v="0"/>
    <n v="0"/>
    <n v="0"/>
    <n v="0"/>
    <n v="0"/>
  </r>
  <r>
    <x v="6"/>
    <x v="0"/>
    <x v="4"/>
    <s v="Wechat_Entry"/>
    <x v="10"/>
    <n v="73"/>
    <n v="0"/>
    <n v="0"/>
    <n v="45"/>
    <n v="0"/>
    <n v="0"/>
  </r>
  <r>
    <x v="6"/>
    <x v="3"/>
    <x v="8"/>
    <s v="FF"/>
    <x v="17"/>
    <n v="0"/>
    <n v="0"/>
    <n v="0"/>
    <n v="0"/>
    <n v="0"/>
    <n v="0"/>
  </r>
  <r>
    <x v="6"/>
    <x v="0"/>
    <x v="3"/>
    <s v="Channels"/>
    <x v="11"/>
    <n v="11"/>
    <n v="0"/>
    <n v="0"/>
    <n v="9"/>
    <n v="0"/>
    <n v="0"/>
  </r>
  <r>
    <x v="6"/>
    <x v="0"/>
    <x v="5"/>
    <s v="Notification"/>
    <x v="12"/>
    <n v="225"/>
    <n v="0"/>
    <n v="0"/>
    <n v="16"/>
    <n v="0"/>
    <n v="0"/>
  </r>
  <r>
    <x v="6"/>
    <x v="1"/>
    <x v="1"/>
    <s v="SC_55"/>
    <x v="1"/>
    <n v="0"/>
    <n v="0"/>
    <n v="0"/>
    <n v="0"/>
    <n v="0"/>
    <n v="0"/>
  </r>
  <r>
    <x v="6"/>
    <x v="3"/>
    <x v="8"/>
    <s v="FF"/>
    <x v="17"/>
    <n v="0"/>
    <n v="0"/>
    <n v="0"/>
    <n v="0"/>
    <n v="0"/>
    <n v="0"/>
  </r>
  <r>
    <x v="6"/>
    <x v="1"/>
    <x v="7"/>
    <s v="Advertisement"/>
    <x v="19"/>
    <n v="0"/>
    <n v="0"/>
    <n v="0"/>
    <n v="0"/>
    <n v="0"/>
    <n v="0"/>
  </r>
  <r>
    <x v="6"/>
    <x v="1"/>
    <x v="7"/>
    <s v="Advertisement"/>
    <x v="13"/>
    <n v="0"/>
    <n v="0"/>
    <n v="0"/>
    <n v="22"/>
    <n v="0"/>
    <n v="0"/>
  </r>
  <r>
    <x v="7"/>
    <x v="4"/>
    <x v="10"/>
    <m/>
    <x v="23"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1">
  <r>
    <x v="0"/>
    <x v="0"/>
    <x v="0"/>
    <x v="0"/>
    <n v="43192"/>
    <n v="38306"/>
    <n v="1630"/>
    <n v="232"/>
    <n v="3333500"/>
    <x v="0"/>
    <x v="0"/>
  </r>
  <r>
    <x v="0"/>
    <x v="0"/>
    <x v="0"/>
    <x v="1"/>
    <n v="95957"/>
    <n v="89644"/>
    <n v="1598"/>
    <n v="115"/>
    <n v="1544800"/>
    <x v="0"/>
    <x v="0"/>
  </r>
  <r>
    <x v="0"/>
    <x v="0"/>
    <x v="1"/>
    <x v="0"/>
    <n v="31202"/>
    <n v="26530"/>
    <n v="731"/>
    <n v="152"/>
    <n v="950410"/>
    <x v="0"/>
    <x v="0"/>
  </r>
  <r>
    <x v="0"/>
    <x v="0"/>
    <x v="1"/>
    <x v="1"/>
    <n v="153058"/>
    <n v="147096"/>
    <n v="1489"/>
    <n v="96"/>
    <n v="545295"/>
    <x v="0"/>
    <x v="0"/>
  </r>
  <r>
    <x v="0"/>
    <x v="0"/>
    <x v="2"/>
    <x v="0"/>
    <n v="93607"/>
    <n v="84947"/>
    <n v="2143"/>
    <n v="397"/>
    <n v="3883030"/>
    <x v="0"/>
    <x v="0"/>
  </r>
  <r>
    <x v="0"/>
    <x v="0"/>
    <x v="2"/>
    <x v="1"/>
    <n v="211540"/>
    <n v="199907"/>
    <n v="2611"/>
    <n v="239"/>
    <n v="2473320"/>
    <x v="0"/>
    <x v="0"/>
  </r>
  <r>
    <x v="0"/>
    <x v="1"/>
    <x v="0"/>
    <x v="0"/>
    <n v="55791"/>
    <n v="49069"/>
    <n v="2200"/>
    <n v="339"/>
    <n v="4872700"/>
    <x v="0"/>
    <x v="1"/>
  </r>
  <r>
    <x v="0"/>
    <x v="1"/>
    <x v="0"/>
    <x v="1"/>
    <n v="162284"/>
    <n v="155163"/>
    <n v="2614"/>
    <n v="233"/>
    <n v="2640400"/>
    <x v="0"/>
    <x v="1"/>
  </r>
  <r>
    <x v="0"/>
    <x v="1"/>
    <x v="1"/>
    <x v="1"/>
    <n v="432046"/>
    <n v="414317"/>
    <n v="4282"/>
    <n v="868"/>
    <n v="3052220.73"/>
    <x v="0"/>
    <x v="1"/>
  </r>
  <r>
    <x v="0"/>
    <x v="1"/>
    <x v="1"/>
    <x v="0"/>
    <n v="241898"/>
    <n v="229936"/>
    <n v="3585"/>
    <n v="1260"/>
    <n v="4556993.8900000006"/>
    <x v="0"/>
    <x v="1"/>
  </r>
  <r>
    <x v="0"/>
    <x v="1"/>
    <x v="2"/>
    <x v="1"/>
    <n v="1258520"/>
    <n v="976137"/>
    <n v="3305"/>
    <n v="386"/>
    <n v="3054640"/>
    <x v="0"/>
    <x v="1"/>
  </r>
  <r>
    <x v="0"/>
    <x v="1"/>
    <x v="2"/>
    <x v="0"/>
    <n v="122781"/>
    <n v="112827"/>
    <n v="2764"/>
    <n v="615"/>
    <n v="5504870"/>
    <x v="0"/>
    <x v="1"/>
  </r>
  <r>
    <x v="0"/>
    <x v="2"/>
    <x v="0"/>
    <x v="1"/>
    <n v="310398"/>
    <n v="294175"/>
    <n v="3448"/>
    <n v="319"/>
    <n v="2614475"/>
    <x v="0"/>
    <x v="2"/>
  </r>
  <r>
    <x v="0"/>
    <x v="2"/>
    <x v="0"/>
    <x v="0"/>
    <n v="113158"/>
    <n v="105137"/>
    <n v="2669"/>
    <n v="518"/>
    <n v="5512430"/>
    <x v="0"/>
    <x v="2"/>
  </r>
  <r>
    <x v="0"/>
    <x v="2"/>
    <x v="1"/>
    <x v="0"/>
    <n v="126364"/>
    <n v="111458"/>
    <n v="3345"/>
    <n v="1119"/>
    <n v="3991461.1499999994"/>
    <x v="0"/>
    <x v="2"/>
  </r>
  <r>
    <x v="0"/>
    <x v="2"/>
    <x v="1"/>
    <x v="1"/>
    <n v="504663"/>
    <n v="479155"/>
    <n v="3700"/>
    <n v="636"/>
    <n v="2372679.2399999998"/>
    <x v="0"/>
    <x v="2"/>
  </r>
  <r>
    <x v="0"/>
    <x v="2"/>
    <x v="2"/>
    <x v="0"/>
    <n v="171700"/>
    <n v="158947"/>
    <n v="2402"/>
    <n v="588"/>
    <n v="5858560"/>
    <x v="0"/>
    <x v="2"/>
  </r>
  <r>
    <x v="0"/>
    <x v="2"/>
    <x v="2"/>
    <x v="1"/>
    <n v="1520790"/>
    <n v="1242250"/>
    <n v="3543"/>
    <n v="379"/>
    <n v="3394710"/>
    <x v="0"/>
    <x v="2"/>
  </r>
  <r>
    <x v="0"/>
    <x v="3"/>
    <x v="0"/>
    <x v="1"/>
    <n v="180309"/>
    <n v="168389"/>
    <n v="2655"/>
    <n v="197"/>
    <n v="1866625"/>
    <x v="0"/>
    <x v="3"/>
  </r>
  <r>
    <x v="0"/>
    <x v="3"/>
    <x v="0"/>
    <x v="0"/>
    <n v="59120"/>
    <n v="52063"/>
    <n v="2529"/>
    <n v="399"/>
    <n v="4510745"/>
    <x v="0"/>
    <x v="3"/>
  </r>
  <r>
    <x v="0"/>
    <x v="3"/>
    <x v="1"/>
    <x v="0"/>
    <n v="60621"/>
    <n v="54282"/>
    <n v="747"/>
    <n v="194"/>
    <n v="1012150"/>
    <x v="0"/>
    <x v="3"/>
  </r>
  <r>
    <x v="0"/>
    <x v="3"/>
    <x v="1"/>
    <x v="1"/>
    <n v="222116"/>
    <n v="211205"/>
    <n v="2047"/>
    <n v="139"/>
    <n v="762495"/>
    <x v="0"/>
    <x v="3"/>
  </r>
  <r>
    <x v="0"/>
    <x v="3"/>
    <x v="2"/>
    <x v="0"/>
    <n v="66971"/>
    <n v="58351"/>
    <n v="1759"/>
    <n v="353"/>
    <n v="3593965"/>
    <x v="0"/>
    <x v="3"/>
  </r>
  <r>
    <x v="0"/>
    <x v="3"/>
    <x v="2"/>
    <x v="1"/>
    <n v="304717"/>
    <n v="285691"/>
    <n v="2704"/>
    <n v="230"/>
    <n v="2140080"/>
    <x v="0"/>
    <x v="3"/>
  </r>
  <r>
    <x v="0"/>
    <x v="4"/>
    <x v="0"/>
    <x v="0"/>
    <n v="57773"/>
    <n v="50397"/>
    <n v="2402"/>
    <n v="332"/>
    <n v="4416740"/>
    <x v="0"/>
    <x v="4"/>
  </r>
  <r>
    <x v="0"/>
    <x v="4"/>
    <x v="0"/>
    <x v="1"/>
    <n v="212881"/>
    <n v="203293"/>
    <n v="2972"/>
    <n v="152"/>
    <n v="1725375"/>
    <x v="0"/>
    <x v="4"/>
  </r>
  <r>
    <x v="0"/>
    <x v="4"/>
    <x v="1"/>
    <x v="1"/>
    <n v="195033"/>
    <n v="185113"/>
    <n v="1870"/>
    <n v="94"/>
    <n v="478985"/>
    <x v="0"/>
    <x v="4"/>
  </r>
  <r>
    <x v="0"/>
    <x v="4"/>
    <x v="1"/>
    <x v="0"/>
    <n v="47039"/>
    <n v="41517"/>
    <n v="665"/>
    <n v="136"/>
    <n v="858725"/>
    <x v="0"/>
    <x v="4"/>
  </r>
  <r>
    <x v="0"/>
    <x v="4"/>
    <x v="2"/>
    <x v="0"/>
    <n v="85276"/>
    <n v="74493"/>
    <n v="1875"/>
    <n v="348"/>
    <n v="3595856"/>
    <x v="0"/>
    <x v="4"/>
  </r>
  <r>
    <x v="0"/>
    <x v="4"/>
    <x v="2"/>
    <x v="1"/>
    <n v="324247"/>
    <n v="295559"/>
    <n v="2831"/>
    <n v="217"/>
    <n v="2082030"/>
    <x v="0"/>
    <x v="4"/>
  </r>
  <r>
    <x v="0"/>
    <x v="5"/>
    <x v="0"/>
    <x v="1"/>
    <n v="156342"/>
    <n v="143765"/>
    <n v="2566"/>
    <n v="96"/>
    <n v="1482810"/>
    <x v="0"/>
    <x v="5"/>
  </r>
  <r>
    <x v="0"/>
    <x v="5"/>
    <x v="0"/>
    <x v="0"/>
    <n v="51198"/>
    <n v="45499"/>
    <n v="1853"/>
    <n v="201"/>
    <n v="3398165"/>
    <x v="0"/>
    <x v="5"/>
  </r>
  <r>
    <x v="0"/>
    <x v="5"/>
    <x v="1"/>
    <x v="1"/>
    <n v="182722"/>
    <n v="175127"/>
    <n v="1968"/>
    <n v="90"/>
    <n v="432645"/>
    <x v="0"/>
    <x v="5"/>
  </r>
  <r>
    <x v="0"/>
    <x v="5"/>
    <x v="1"/>
    <x v="0"/>
    <n v="45068"/>
    <n v="40687"/>
    <n v="742"/>
    <n v="135"/>
    <n v="729980"/>
    <x v="0"/>
    <x v="5"/>
  </r>
  <r>
    <x v="0"/>
    <x v="5"/>
    <x v="2"/>
    <x v="1"/>
    <n v="262362"/>
    <n v="243742"/>
    <n v="2796"/>
    <n v="197"/>
    <n v="2063160"/>
    <x v="0"/>
    <x v="5"/>
  </r>
  <r>
    <x v="0"/>
    <x v="5"/>
    <x v="2"/>
    <x v="0"/>
    <n v="85865"/>
    <n v="76520"/>
    <n v="1840"/>
    <n v="335"/>
    <n v="3941120"/>
    <x v="0"/>
    <x v="5"/>
  </r>
  <r>
    <x v="0"/>
    <x v="6"/>
    <x v="0"/>
    <x v="0"/>
    <n v="84284"/>
    <n v="74248"/>
    <n v="2914"/>
    <n v="359"/>
    <n v="5520910"/>
    <x v="0"/>
    <x v="6"/>
  </r>
  <r>
    <x v="0"/>
    <x v="6"/>
    <x v="0"/>
    <x v="1"/>
    <n v="284692"/>
    <n v="271405"/>
    <n v="3694"/>
    <n v="196"/>
    <n v="2586885"/>
    <x v="0"/>
    <x v="6"/>
  </r>
  <r>
    <x v="0"/>
    <x v="6"/>
    <x v="1"/>
    <x v="1"/>
    <n v="308792"/>
    <n v="294904"/>
    <n v="9529"/>
    <n v="1553"/>
    <n v="8237501.4800000004"/>
    <x v="0"/>
    <x v="6"/>
  </r>
  <r>
    <x v="0"/>
    <x v="6"/>
    <x v="1"/>
    <x v="0"/>
    <n v="179310"/>
    <n v="166340"/>
    <n v="7104"/>
    <n v="2221"/>
    <n v="12848413.739999998"/>
    <x v="0"/>
    <x v="6"/>
  </r>
  <r>
    <x v="0"/>
    <x v="6"/>
    <x v="2"/>
    <x v="1"/>
    <n v="284809"/>
    <n v="269710"/>
    <n v="4063"/>
    <n v="363"/>
    <n v="4056050"/>
    <x v="0"/>
    <x v="6"/>
  </r>
  <r>
    <x v="0"/>
    <x v="6"/>
    <x v="2"/>
    <x v="0"/>
    <n v="133441"/>
    <n v="122741"/>
    <n v="3386"/>
    <n v="608"/>
    <n v="7231870"/>
    <x v="0"/>
    <x v="6"/>
  </r>
  <r>
    <x v="0"/>
    <x v="7"/>
    <x v="0"/>
    <x v="1"/>
    <n v="298028"/>
    <n v="286036"/>
    <n v="5099"/>
    <n v="220"/>
    <n v="2623965"/>
    <x v="0"/>
    <x v="7"/>
  </r>
  <r>
    <x v="0"/>
    <x v="7"/>
    <x v="0"/>
    <x v="0"/>
    <n v="116340"/>
    <n v="102101"/>
    <n v="4323"/>
    <n v="440"/>
    <n v="5956315"/>
    <x v="0"/>
    <x v="7"/>
  </r>
  <r>
    <x v="0"/>
    <x v="7"/>
    <x v="1"/>
    <x v="1"/>
    <n v="270714"/>
    <n v="249407"/>
    <n v="7275"/>
    <n v="1085"/>
    <n v="4880668.12"/>
    <x v="0"/>
    <x v="7"/>
  </r>
  <r>
    <x v="0"/>
    <x v="7"/>
    <x v="1"/>
    <x v="0"/>
    <n v="250883"/>
    <n v="232440"/>
    <n v="6091"/>
    <n v="1713"/>
    <n v="8899624.6799999997"/>
    <x v="0"/>
    <x v="7"/>
  </r>
  <r>
    <x v="0"/>
    <x v="7"/>
    <x v="2"/>
    <x v="1"/>
    <n v="336382"/>
    <n v="322128"/>
    <n v="4547"/>
    <n v="356"/>
    <n v="4288390"/>
    <x v="0"/>
    <x v="7"/>
  </r>
  <r>
    <x v="0"/>
    <x v="7"/>
    <x v="2"/>
    <x v="0"/>
    <n v="145660"/>
    <n v="132987"/>
    <n v="3528"/>
    <n v="541"/>
    <n v="7093910"/>
    <x v="0"/>
    <x v="7"/>
  </r>
  <r>
    <x v="0"/>
    <x v="8"/>
    <x v="0"/>
    <x v="0"/>
    <n v="172934"/>
    <n v="156701"/>
    <n v="3791"/>
    <n v="551"/>
    <n v="9778415.0699999984"/>
    <x v="0"/>
    <x v="8"/>
  </r>
  <r>
    <x v="0"/>
    <x v="8"/>
    <x v="0"/>
    <x v="1"/>
    <n v="518682"/>
    <n v="498591"/>
    <n v="5083"/>
    <n v="282"/>
    <n v="4660465"/>
    <x v="0"/>
    <x v="8"/>
  </r>
  <r>
    <x v="0"/>
    <x v="8"/>
    <x v="1"/>
    <x v="1"/>
    <n v="219663"/>
    <n v="209554"/>
    <n v="3320"/>
    <n v="411"/>
    <n v="2431414.5"/>
    <x v="0"/>
    <x v="8"/>
  </r>
  <r>
    <x v="0"/>
    <x v="8"/>
    <x v="1"/>
    <x v="0"/>
    <n v="136573"/>
    <n v="124707"/>
    <n v="2809"/>
    <n v="744"/>
    <n v="5056362.8000000007"/>
    <x v="0"/>
    <x v="8"/>
  </r>
  <r>
    <x v="0"/>
    <x v="8"/>
    <x v="2"/>
    <x v="0"/>
    <n v="211581"/>
    <n v="196558"/>
    <n v="3627"/>
    <n v="500"/>
    <n v="7546360"/>
    <x v="0"/>
    <x v="8"/>
  </r>
  <r>
    <x v="0"/>
    <x v="8"/>
    <x v="2"/>
    <x v="1"/>
    <n v="426783"/>
    <n v="412293"/>
    <n v="4151"/>
    <n v="317"/>
    <n v="4152320"/>
    <x v="0"/>
    <x v="8"/>
  </r>
  <r>
    <x v="0"/>
    <x v="9"/>
    <x v="0"/>
    <x v="0"/>
    <n v="88887"/>
    <n v="80993"/>
    <n v="3393"/>
    <n v="375"/>
    <n v="5739170"/>
    <x v="1"/>
    <x v="0"/>
  </r>
  <r>
    <x v="0"/>
    <x v="9"/>
    <x v="0"/>
    <x v="1"/>
    <n v="216750"/>
    <n v="207943"/>
    <n v="3466"/>
    <n v="159"/>
    <n v="2590440"/>
    <x v="1"/>
    <x v="0"/>
  </r>
  <r>
    <x v="0"/>
    <x v="9"/>
    <x v="1"/>
    <x v="1"/>
    <n v="247903"/>
    <n v="239963"/>
    <n v="1798"/>
    <n v="107"/>
    <n v="604670"/>
    <x v="1"/>
    <x v="0"/>
  </r>
  <r>
    <x v="0"/>
    <x v="9"/>
    <x v="1"/>
    <x v="0"/>
    <n v="73175"/>
    <n v="67694"/>
    <n v="1044"/>
    <n v="142"/>
    <n v="912185"/>
    <x v="1"/>
    <x v="0"/>
  </r>
  <r>
    <x v="0"/>
    <x v="9"/>
    <x v="2"/>
    <x v="1"/>
    <n v="346628"/>
    <n v="337822"/>
    <n v="3718"/>
    <n v="265"/>
    <n v="2755580"/>
    <x v="1"/>
    <x v="0"/>
  </r>
  <r>
    <x v="0"/>
    <x v="9"/>
    <x v="2"/>
    <x v="0"/>
    <n v="103668"/>
    <n v="95424"/>
    <n v="2875"/>
    <n v="456"/>
    <n v="5794859"/>
    <x v="1"/>
    <x v="0"/>
  </r>
  <r>
    <x v="0"/>
    <x v="10"/>
    <x v="0"/>
    <x v="1"/>
    <n v="362945"/>
    <n v="348048"/>
    <n v="4393"/>
    <n v="255"/>
    <n v="3254985"/>
    <x v="1"/>
    <x v="1"/>
  </r>
  <r>
    <x v="0"/>
    <x v="10"/>
    <x v="0"/>
    <x v="0"/>
    <n v="137603"/>
    <n v="126060"/>
    <n v="4244"/>
    <n v="578"/>
    <n v="7864855"/>
    <x v="1"/>
    <x v="1"/>
  </r>
  <r>
    <x v="0"/>
    <x v="10"/>
    <x v="1"/>
    <x v="0"/>
    <n v="165316"/>
    <n v="153676"/>
    <n v="4488"/>
    <n v="1355"/>
    <n v="5604881.379999999"/>
    <x v="1"/>
    <x v="1"/>
  </r>
  <r>
    <x v="0"/>
    <x v="10"/>
    <x v="1"/>
    <x v="1"/>
    <n v="376615"/>
    <n v="364498"/>
    <n v="7272"/>
    <n v="970"/>
    <n v="3695697.13"/>
    <x v="1"/>
    <x v="1"/>
  </r>
  <r>
    <x v="0"/>
    <x v="10"/>
    <x v="2"/>
    <x v="0"/>
    <n v="124578"/>
    <n v="114881"/>
    <n v="3442"/>
    <n v="742"/>
    <n v="8776540"/>
    <x v="1"/>
    <x v="1"/>
  </r>
  <r>
    <x v="0"/>
    <x v="10"/>
    <x v="2"/>
    <x v="1"/>
    <n v="266489"/>
    <n v="256814"/>
    <n v="4436"/>
    <n v="444"/>
    <n v="4878160"/>
    <x v="1"/>
    <x v="1"/>
  </r>
  <r>
    <x v="0"/>
    <x v="11"/>
    <x v="0"/>
    <x v="0"/>
    <n v="136694"/>
    <n v="125107"/>
    <n v="4609"/>
    <n v="734"/>
    <n v="12042030"/>
    <x v="1"/>
    <x v="2"/>
  </r>
  <r>
    <x v="0"/>
    <x v="11"/>
    <x v="0"/>
    <x v="1"/>
    <n v="421555"/>
    <n v="404961"/>
    <n v="5178"/>
    <n v="383"/>
    <n v="5136165"/>
    <x v="1"/>
    <x v="2"/>
  </r>
  <r>
    <x v="0"/>
    <x v="11"/>
    <x v="1"/>
    <x v="0"/>
    <n v="199169"/>
    <n v="187216"/>
    <n v="3156"/>
    <n v="956"/>
    <n v="3864749.4299999997"/>
    <x v="1"/>
    <x v="2"/>
  </r>
  <r>
    <x v="0"/>
    <x v="11"/>
    <x v="1"/>
    <x v="1"/>
    <n v="312346"/>
    <n v="295104"/>
    <n v="4154"/>
    <n v="573"/>
    <n v="2037644.86"/>
    <x v="1"/>
    <x v="2"/>
  </r>
  <r>
    <x v="0"/>
    <x v="11"/>
    <x v="2"/>
    <x v="0"/>
    <n v="141195"/>
    <n v="130866"/>
    <n v="2823"/>
    <n v="588"/>
    <n v="6731830"/>
    <x v="1"/>
    <x v="2"/>
  </r>
  <r>
    <x v="0"/>
    <x v="11"/>
    <x v="2"/>
    <x v="1"/>
    <n v="248741"/>
    <n v="235827"/>
    <n v="4171"/>
    <n v="396"/>
    <n v="4035930"/>
    <x v="1"/>
    <x v="2"/>
  </r>
  <r>
    <x v="0"/>
    <x v="12"/>
    <x v="0"/>
    <x v="1"/>
    <n v="213203"/>
    <n v="199791"/>
    <n v="3928"/>
    <n v="243"/>
    <n v="3738525"/>
    <x v="1"/>
    <x v="3"/>
  </r>
  <r>
    <x v="0"/>
    <x v="12"/>
    <x v="0"/>
    <x v="0"/>
    <n v="183959"/>
    <n v="175124"/>
    <n v="4600"/>
    <n v="601"/>
    <n v="9761850"/>
    <x v="1"/>
    <x v="3"/>
  </r>
  <r>
    <x v="0"/>
    <x v="12"/>
    <x v="1"/>
    <x v="0"/>
    <n v="78885"/>
    <n v="72504"/>
    <n v="1292"/>
    <n v="190"/>
    <n v="1137566"/>
    <x v="1"/>
    <x v="3"/>
  </r>
  <r>
    <x v="0"/>
    <x v="12"/>
    <x v="1"/>
    <x v="1"/>
    <n v="226815"/>
    <n v="218417"/>
    <n v="1535"/>
    <n v="99"/>
    <n v="568537"/>
    <x v="1"/>
    <x v="3"/>
  </r>
  <r>
    <x v="0"/>
    <x v="12"/>
    <x v="2"/>
    <x v="0"/>
    <n v="156623"/>
    <n v="148997"/>
    <n v="2104"/>
    <n v="364"/>
    <n v="4267980"/>
    <x v="1"/>
    <x v="3"/>
  </r>
  <r>
    <x v="0"/>
    <x v="12"/>
    <x v="2"/>
    <x v="1"/>
    <n v="183883"/>
    <n v="177125"/>
    <n v="2841"/>
    <n v="227"/>
    <n v="2391820"/>
    <x v="1"/>
    <x v="3"/>
  </r>
  <r>
    <x v="0"/>
    <x v="13"/>
    <x v="0"/>
    <x v="0"/>
    <n v="215563"/>
    <n v="206230"/>
    <n v="5427"/>
    <n v="555"/>
    <n v="8627465"/>
    <x v="1"/>
    <x v="4"/>
  </r>
  <r>
    <x v="0"/>
    <x v="13"/>
    <x v="0"/>
    <x v="1"/>
    <n v="167532"/>
    <n v="153181"/>
    <n v="3135"/>
    <n v="179"/>
    <n v="2085035"/>
    <x v="1"/>
    <x v="4"/>
  </r>
  <r>
    <x v="0"/>
    <x v="13"/>
    <x v="1"/>
    <x v="1"/>
    <n v="202927"/>
    <n v="194828"/>
    <n v="1586"/>
    <n v="110"/>
    <n v="470548"/>
    <x v="1"/>
    <x v="4"/>
  </r>
  <r>
    <x v="0"/>
    <x v="13"/>
    <x v="1"/>
    <x v="0"/>
    <n v="83953"/>
    <n v="76889"/>
    <n v="1605"/>
    <n v="289"/>
    <n v="1591464.5899999999"/>
    <x v="1"/>
    <x v="4"/>
  </r>
  <r>
    <x v="0"/>
    <x v="13"/>
    <x v="2"/>
    <x v="1"/>
    <n v="204995"/>
    <n v="193805"/>
    <n v="2650"/>
    <n v="229"/>
    <n v="2661260"/>
    <x v="1"/>
    <x v="4"/>
  </r>
  <r>
    <x v="0"/>
    <x v="13"/>
    <x v="2"/>
    <x v="0"/>
    <n v="134268"/>
    <n v="123063"/>
    <n v="2608"/>
    <n v="420"/>
    <n v="5386460"/>
    <x v="1"/>
    <x v="4"/>
  </r>
  <r>
    <x v="0"/>
    <x v="14"/>
    <x v="0"/>
    <x v="0"/>
    <n v="187068"/>
    <n v="178659"/>
    <n v="3984"/>
    <n v="374"/>
    <n v="5691605"/>
    <x v="1"/>
    <x v="5"/>
  </r>
  <r>
    <x v="0"/>
    <x v="14"/>
    <x v="0"/>
    <x v="1"/>
    <n v="163911"/>
    <n v="151572"/>
    <n v="2281"/>
    <n v="131"/>
    <n v="1602880"/>
    <x v="1"/>
    <x v="5"/>
  </r>
  <r>
    <x v="0"/>
    <x v="14"/>
    <x v="1"/>
    <x v="1"/>
    <n v="259239"/>
    <n v="251214"/>
    <n v="1358"/>
    <n v="77"/>
    <n v="546918"/>
    <x v="1"/>
    <x v="5"/>
  </r>
  <r>
    <x v="0"/>
    <x v="14"/>
    <x v="1"/>
    <x v="0"/>
    <n v="118847"/>
    <n v="111654"/>
    <n v="1241"/>
    <n v="170"/>
    <n v="1185159"/>
    <x v="1"/>
    <x v="5"/>
  </r>
  <r>
    <x v="0"/>
    <x v="14"/>
    <x v="2"/>
    <x v="0"/>
    <n v="187778"/>
    <n v="170329"/>
    <n v="2490"/>
    <n v="360"/>
    <n v="5419340"/>
    <x v="1"/>
    <x v="5"/>
  </r>
  <r>
    <x v="0"/>
    <x v="14"/>
    <x v="2"/>
    <x v="1"/>
    <n v="320129"/>
    <n v="301496"/>
    <n v="2339"/>
    <n v="201"/>
    <n v="2409500"/>
    <x v="1"/>
    <x v="5"/>
  </r>
  <r>
    <x v="0"/>
    <x v="15"/>
    <x v="0"/>
    <x v="1"/>
    <n v="570819"/>
    <n v="540154"/>
    <n v="3102"/>
    <n v="147"/>
    <n v="2214130"/>
    <x v="1"/>
    <x v="6"/>
  </r>
  <r>
    <x v="0"/>
    <x v="15"/>
    <x v="0"/>
    <x v="0"/>
    <n v="306790"/>
    <n v="287053"/>
    <n v="4790"/>
    <n v="490"/>
    <n v="7089705"/>
    <x v="1"/>
    <x v="6"/>
  </r>
  <r>
    <x v="0"/>
    <x v="15"/>
    <x v="1"/>
    <x v="0"/>
    <n v="273124"/>
    <n v="247608"/>
    <n v="4570"/>
    <n v="1085"/>
    <n v="6888557.5299999993"/>
    <x v="1"/>
    <x v="6"/>
  </r>
  <r>
    <x v="0"/>
    <x v="15"/>
    <x v="1"/>
    <x v="1"/>
    <n v="598138"/>
    <n v="576781"/>
    <n v="4374"/>
    <n v="461"/>
    <n v="2667026.4500000002"/>
    <x v="1"/>
    <x v="6"/>
  </r>
  <r>
    <x v="0"/>
    <x v="15"/>
    <x v="2"/>
    <x v="1"/>
    <n v="427769"/>
    <n v="396651"/>
    <n v="3264"/>
    <n v="222"/>
    <n v="2710560"/>
    <x v="1"/>
    <x v="6"/>
  </r>
  <r>
    <x v="0"/>
    <x v="15"/>
    <x v="2"/>
    <x v="0"/>
    <n v="300884"/>
    <n v="276424"/>
    <n v="3578"/>
    <n v="514"/>
    <n v="7238701"/>
    <x v="1"/>
    <x v="6"/>
  </r>
  <r>
    <x v="0"/>
    <x v="16"/>
    <x v="0"/>
    <x v="0"/>
    <n v="628246"/>
    <n v="596298"/>
    <n v="5084"/>
    <n v="470"/>
    <n v="8890090"/>
    <x v="1"/>
    <x v="7"/>
  </r>
  <r>
    <x v="0"/>
    <x v="16"/>
    <x v="0"/>
    <x v="1"/>
    <n v="522311"/>
    <n v="426844"/>
    <n v="3741"/>
    <n v="188"/>
    <n v="3003340"/>
    <x v="1"/>
    <x v="7"/>
  </r>
  <r>
    <x v="0"/>
    <x v="16"/>
    <x v="1"/>
    <x v="1"/>
    <n v="368855"/>
    <n v="328801"/>
    <n v="2672"/>
    <n v="313"/>
    <n v="1552499.0999999999"/>
    <x v="1"/>
    <x v="7"/>
  </r>
  <r>
    <x v="0"/>
    <x v="16"/>
    <x v="1"/>
    <x v="0"/>
    <n v="279314"/>
    <n v="251321"/>
    <n v="4588"/>
    <n v="945"/>
    <n v="5575508.5500000007"/>
    <x v="1"/>
    <x v="7"/>
  </r>
  <r>
    <x v="0"/>
    <x v="16"/>
    <x v="2"/>
    <x v="1"/>
    <n v="427703"/>
    <n v="355994"/>
    <n v="3214"/>
    <n v="289"/>
    <n v="3654240"/>
    <x v="1"/>
    <x v="7"/>
  </r>
  <r>
    <x v="0"/>
    <x v="16"/>
    <x v="2"/>
    <x v="0"/>
    <n v="297234"/>
    <n v="255843"/>
    <n v="3862"/>
    <n v="598"/>
    <n v="8854739"/>
    <x v="1"/>
    <x v="7"/>
  </r>
  <r>
    <x v="0"/>
    <x v="17"/>
    <x v="0"/>
    <x v="1"/>
    <n v="622141"/>
    <n v="572113"/>
    <n v="5153"/>
    <n v="322"/>
    <n v="4393670"/>
    <x v="1"/>
    <x v="8"/>
  </r>
  <r>
    <x v="0"/>
    <x v="17"/>
    <x v="0"/>
    <x v="0"/>
    <n v="548176"/>
    <n v="515657"/>
    <n v="7680"/>
    <n v="758"/>
    <n v="11811460"/>
    <x v="1"/>
    <x v="8"/>
  </r>
  <r>
    <x v="0"/>
    <x v="17"/>
    <x v="1"/>
    <x v="0"/>
    <n v="217370"/>
    <n v="197580"/>
    <n v="3942"/>
    <n v="789"/>
    <n v="4749986.17"/>
    <x v="1"/>
    <x v="8"/>
  </r>
  <r>
    <x v="0"/>
    <x v="17"/>
    <x v="1"/>
    <x v="1"/>
    <n v="378635"/>
    <n v="356040"/>
    <n v="2435"/>
    <n v="280"/>
    <n v="1567903"/>
    <x v="1"/>
    <x v="8"/>
  </r>
  <r>
    <x v="0"/>
    <x v="17"/>
    <x v="2"/>
    <x v="1"/>
    <n v="281359"/>
    <n v="247702"/>
    <n v="3328"/>
    <n v="292"/>
    <n v="4283260"/>
    <x v="1"/>
    <x v="8"/>
  </r>
  <r>
    <x v="0"/>
    <x v="17"/>
    <x v="2"/>
    <x v="0"/>
    <n v="242179"/>
    <n v="223458"/>
    <n v="3750"/>
    <n v="576"/>
    <n v="8615940"/>
    <x v="1"/>
    <x v="8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  <r>
    <x v="1"/>
    <x v="18"/>
    <x v="3"/>
    <x v="2"/>
    <m/>
    <m/>
    <m/>
    <m/>
    <m/>
    <x v="2"/>
    <x v="9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2">
  <r>
    <x v="0"/>
    <x v="0"/>
    <x v="0"/>
    <s v="效果广告"/>
    <x v="0"/>
    <n v="29778"/>
    <n v="25828"/>
    <n v="606"/>
    <n v="72"/>
    <n v="941600"/>
    <x v="0"/>
    <x v="0"/>
  </r>
  <r>
    <x v="0"/>
    <x v="0"/>
    <x v="0"/>
    <s v="站外广告"/>
    <x v="1"/>
    <n v="201"/>
    <n v="191"/>
    <n v="2"/>
    <n v="0"/>
    <n v="0"/>
    <x v="0"/>
    <x v="0"/>
  </r>
  <r>
    <x v="0"/>
    <x v="0"/>
    <x v="0"/>
    <s v="效果广告"/>
    <x v="2"/>
    <n v="23848"/>
    <n v="22040"/>
    <n v="359"/>
    <n v="25"/>
    <n v="304600"/>
    <x v="0"/>
    <x v="0"/>
  </r>
  <r>
    <x v="0"/>
    <x v="0"/>
    <x v="0"/>
    <s v="站外广告"/>
    <x v="3"/>
    <n v="690"/>
    <n v="266"/>
    <n v="3"/>
    <n v="1"/>
    <n v="15600"/>
    <x v="0"/>
    <x v="0"/>
  </r>
  <r>
    <x v="0"/>
    <x v="0"/>
    <x v="0"/>
    <s v="内容广告"/>
    <x v="4"/>
    <n v="3"/>
    <n v="1"/>
    <n v="0"/>
    <n v="0"/>
    <n v="0"/>
    <x v="0"/>
    <x v="0"/>
  </r>
  <r>
    <x v="0"/>
    <x v="0"/>
    <x v="0"/>
    <s v="效果广告"/>
    <x v="5"/>
    <n v="42779"/>
    <n v="36374"/>
    <n v="422"/>
    <n v="2"/>
    <n v="15700"/>
    <x v="0"/>
    <x v="0"/>
  </r>
  <r>
    <x v="0"/>
    <x v="0"/>
    <x v="0"/>
    <s v="品牌广告"/>
    <x v="6"/>
    <n v="9344"/>
    <n v="8799"/>
    <n v="334"/>
    <n v="23"/>
    <n v="322300"/>
    <x v="0"/>
    <x v="0"/>
  </r>
  <r>
    <x v="0"/>
    <x v="0"/>
    <x v="0"/>
    <s v="品牌广告"/>
    <x v="7"/>
    <n v="13"/>
    <n v="13"/>
    <n v="0"/>
    <n v="0"/>
    <n v="0"/>
    <x v="0"/>
    <x v="0"/>
  </r>
  <r>
    <x v="0"/>
    <x v="0"/>
    <x v="1"/>
    <s v="效果广告"/>
    <x v="5"/>
    <n v="65010"/>
    <n v="57247"/>
    <n v="379"/>
    <n v="16"/>
    <n v="113635"/>
    <x v="0"/>
    <x v="0"/>
  </r>
  <r>
    <x v="0"/>
    <x v="0"/>
    <x v="1"/>
    <s v="站外广告"/>
    <x v="8"/>
    <n v="1"/>
    <n v="1"/>
    <n v="0"/>
    <n v="0"/>
    <n v="0"/>
    <x v="0"/>
    <x v="0"/>
  </r>
  <r>
    <x v="0"/>
    <x v="0"/>
    <x v="1"/>
    <s v="站外广告"/>
    <x v="1"/>
    <n v="14"/>
    <n v="9"/>
    <n v="0"/>
    <n v="0"/>
    <n v="0"/>
    <x v="0"/>
    <x v="0"/>
  </r>
  <r>
    <x v="0"/>
    <x v="0"/>
    <x v="1"/>
    <s v="品牌广告"/>
    <x v="9"/>
    <n v="17556"/>
    <n v="16790"/>
    <n v="289"/>
    <n v="25"/>
    <n v="127385"/>
    <x v="0"/>
    <x v="0"/>
  </r>
  <r>
    <x v="0"/>
    <x v="0"/>
    <x v="1"/>
    <s v="内容广告"/>
    <x v="4"/>
    <n v="5"/>
    <n v="2"/>
    <n v="0"/>
    <n v="0"/>
    <n v="0"/>
    <x v="0"/>
    <x v="0"/>
  </r>
  <r>
    <x v="0"/>
    <x v="0"/>
    <x v="1"/>
    <s v="品牌广告"/>
    <x v="7"/>
    <n v="1"/>
    <n v="1"/>
    <n v="0"/>
    <n v="0"/>
    <n v="0"/>
    <x v="0"/>
    <x v="0"/>
  </r>
  <r>
    <x v="0"/>
    <x v="0"/>
    <x v="1"/>
    <s v="站外广告"/>
    <x v="3"/>
    <n v="2430"/>
    <n v="1284"/>
    <n v="10"/>
    <n v="4"/>
    <n v="37325"/>
    <x v="0"/>
    <x v="0"/>
  </r>
  <r>
    <x v="0"/>
    <x v="0"/>
    <x v="1"/>
    <s v="效果广告"/>
    <x v="0"/>
    <n v="35881"/>
    <n v="32369"/>
    <n v="395"/>
    <n v="30"/>
    <n v="135310"/>
    <x v="0"/>
    <x v="0"/>
  </r>
  <r>
    <x v="0"/>
    <x v="0"/>
    <x v="1"/>
    <s v="效果广告"/>
    <x v="2"/>
    <n v="47841"/>
    <n v="45904"/>
    <n v="545"/>
    <n v="35"/>
    <n v="184575"/>
    <x v="0"/>
    <x v="0"/>
  </r>
  <r>
    <x v="0"/>
    <x v="0"/>
    <x v="1"/>
    <s v="品牌广告"/>
    <x v="10"/>
    <n v="2"/>
    <n v="2"/>
    <n v="0"/>
    <n v="0"/>
    <n v="0"/>
    <x v="0"/>
    <x v="0"/>
  </r>
  <r>
    <x v="0"/>
    <x v="0"/>
    <x v="2"/>
    <s v="效果广告"/>
    <x v="5"/>
    <n v="86781"/>
    <n v="77974"/>
    <n v="231"/>
    <n v="10"/>
    <n v="156500"/>
    <x v="0"/>
    <x v="0"/>
  </r>
  <r>
    <x v="0"/>
    <x v="0"/>
    <x v="2"/>
    <s v="站外广告"/>
    <x v="3"/>
    <n v="226"/>
    <n v="153"/>
    <n v="3"/>
    <n v="1"/>
    <n v="3900"/>
    <x v="0"/>
    <x v="0"/>
  </r>
  <r>
    <x v="0"/>
    <x v="0"/>
    <x v="2"/>
    <s v="品牌广告"/>
    <x v="9"/>
    <n v="54359"/>
    <n v="50424"/>
    <n v="1154"/>
    <n v="121"/>
    <n v="1233500"/>
    <x v="0"/>
    <x v="0"/>
  </r>
  <r>
    <x v="0"/>
    <x v="0"/>
    <x v="2"/>
    <s v="站外广告"/>
    <x v="1"/>
    <n v="59"/>
    <n v="46"/>
    <n v="2"/>
    <n v="0"/>
    <n v="0"/>
    <x v="0"/>
    <x v="0"/>
  </r>
  <r>
    <x v="0"/>
    <x v="0"/>
    <x v="2"/>
    <s v="效果广告"/>
    <x v="0"/>
    <n v="45705"/>
    <n v="38313"/>
    <n v="717"/>
    <n v="88"/>
    <n v="892100"/>
    <x v="0"/>
    <x v="0"/>
  </r>
  <r>
    <x v="0"/>
    <x v="0"/>
    <x v="2"/>
    <s v="品牌广告"/>
    <x v="10"/>
    <n v="24"/>
    <n v="24"/>
    <n v="0"/>
    <n v="0"/>
    <n v="0"/>
    <x v="0"/>
    <x v="0"/>
  </r>
  <r>
    <x v="0"/>
    <x v="0"/>
    <x v="2"/>
    <s v="站外广告"/>
    <x v="8"/>
    <n v="2"/>
    <n v="2"/>
    <n v="0"/>
    <n v="0"/>
    <n v="0"/>
    <x v="0"/>
    <x v="0"/>
  </r>
  <r>
    <x v="0"/>
    <x v="0"/>
    <x v="2"/>
    <s v="品牌广告"/>
    <x v="7"/>
    <n v="221"/>
    <n v="216"/>
    <n v="0"/>
    <n v="0"/>
    <n v="0"/>
    <x v="0"/>
    <x v="0"/>
  </r>
  <r>
    <x v="0"/>
    <x v="0"/>
    <x v="2"/>
    <s v="品牌广告"/>
    <x v="11"/>
    <n v="10"/>
    <n v="10"/>
    <n v="0"/>
    <n v="0"/>
    <n v="0"/>
    <x v="0"/>
    <x v="0"/>
  </r>
  <r>
    <x v="0"/>
    <x v="0"/>
    <x v="2"/>
    <s v="内容广告"/>
    <x v="4"/>
    <n v="7"/>
    <n v="4"/>
    <n v="0"/>
    <n v="0"/>
    <n v="0"/>
    <x v="0"/>
    <x v="0"/>
  </r>
  <r>
    <x v="0"/>
    <x v="0"/>
    <x v="2"/>
    <s v="效果广告"/>
    <x v="2"/>
    <n v="49102"/>
    <n v="44270"/>
    <n v="662"/>
    <n v="39"/>
    <n v="339400"/>
    <x v="0"/>
    <x v="0"/>
  </r>
  <r>
    <x v="0"/>
    <x v="1"/>
    <x v="0"/>
    <s v="站外广告"/>
    <x v="1"/>
    <n v="35"/>
    <n v="15"/>
    <n v="1"/>
    <n v="0"/>
    <n v="0"/>
    <x v="0"/>
    <x v="1"/>
  </r>
  <r>
    <x v="0"/>
    <x v="1"/>
    <x v="0"/>
    <s v="品牌广告"/>
    <x v="7"/>
    <n v="9"/>
    <n v="8"/>
    <n v="0"/>
    <n v="0"/>
    <n v="0"/>
    <x v="0"/>
    <x v="1"/>
  </r>
  <r>
    <x v="0"/>
    <x v="1"/>
    <x v="0"/>
    <s v="效果广告"/>
    <x v="5"/>
    <n v="85094"/>
    <n v="75915"/>
    <n v="720"/>
    <n v="16"/>
    <n v="170100"/>
    <x v="0"/>
    <x v="1"/>
  </r>
  <r>
    <x v="0"/>
    <x v="1"/>
    <x v="0"/>
    <s v="站外广告"/>
    <x v="3"/>
    <n v="328"/>
    <n v="183"/>
    <n v="2"/>
    <n v="1"/>
    <n v="4800"/>
    <x v="0"/>
    <x v="1"/>
  </r>
  <r>
    <x v="0"/>
    <x v="1"/>
    <x v="0"/>
    <s v="效果广告"/>
    <x v="0"/>
    <n v="39657"/>
    <n v="34123"/>
    <n v="802"/>
    <n v="118"/>
    <n v="1471900"/>
    <x v="0"/>
    <x v="1"/>
  </r>
  <r>
    <x v="0"/>
    <x v="1"/>
    <x v="0"/>
    <s v="站外广告"/>
    <x v="8"/>
    <n v="1"/>
    <n v="0"/>
    <n v="0"/>
    <n v="0"/>
    <n v="0"/>
    <x v="0"/>
    <x v="1"/>
  </r>
  <r>
    <x v="0"/>
    <x v="1"/>
    <x v="0"/>
    <s v="品牌广告"/>
    <x v="11"/>
    <n v="3"/>
    <n v="1"/>
    <n v="0"/>
    <n v="0"/>
    <n v="0"/>
    <x v="0"/>
    <x v="1"/>
  </r>
  <r>
    <x v="0"/>
    <x v="1"/>
    <x v="0"/>
    <s v="品牌广告"/>
    <x v="12"/>
    <n v="1"/>
    <n v="0"/>
    <n v="0"/>
    <n v="0"/>
    <n v="0"/>
    <x v="0"/>
    <x v="1"/>
  </r>
  <r>
    <x v="0"/>
    <x v="1"/>
    <x v="0"/>
    <s v="品牌广告"/>
    <x v="6"/>
    <n v="11811"/>
    <n v="11154"/>
    <n v="551"/>
    <n v="37"/>
    <n v="463100"/>
    <x v="0"/>
    <x v="1"/>
  </r>
  <r>
    <x v="0"/>
    <x v="1"/>
    <x v="0"/>
    <s v="内容广告"/>
    <x v="4"/>
    <n v="2"/>
    <n v="1"/>
    <n v="0"/>
    <n v="0"/>
    <n v="0"/>
    <x v="0"/>
    <x v="1"/>
  </r>
  <r>
    <x v="0"/>
    <x v="1"/>
    <x v="0"/>
    <s v="效果广告"/>
    <x v="2"/>
    <n v="43939"/>
    <n v="41008"/>
    <n v="756"/>
    <n v="75"/>
    <n v="628100"/>
    <x v="0"/>
    <x v="1"/>
  </r>
  <r>
    <x v="0"/>
    <x v="1"/>
    <x v="1"/>
    <s v="效果广告"/>
    <x v="2"/>
    <n v="80160"/>
    <n v="74634"/>
    <n v="1557"/>
    <n v="324"/>
    <n v="1184411.54"/>
    <x v="0"/>
    <x v="1"/>
  </r>
  <r>
    <x v="0"/>
    <x v="1"/>
    <x v="1"/>
    <s v="品牌广告"/>
    <x v="10"/>
    <n v="18966"/>
    <n v="16440"/>
    <n v="0"/>
    <n v="0"/>
    <n v="0"/>
    <x v="0"/>
    <x v="1"/>
  </r>
  <r>
    <x v="0"/>
    <x v="1"/>
    <x v="1"/>
    <s v="效果广告"/>
    <x v="5"/>
    <n v="196216"/>
    <n v="181149"/>
    <n v="1411"/>
    <n v="151"/>
    <n v="397062.21"/>
    <x v="0"/>
    <x v="1"/>
  </r>
  <r>
    <x v="0"/>
    <x v="1"/>
    <x v="1"/>
    <s v="效果广告"/>
    <x v="0"/>
    <n v="52506"/>
    <n v="44246"/>
    <n v="1389"/>
    <n v="399"/>
    <n v="1330716.0899999996"/>
    <x v="0"/>
    <x v="1"/>
  </r>
  <r>
    <x v="0"/>
    <x v="1"/>
    <x v="1"/>
    <s v="品牌广告"/>
    <x v="12"/>
    <n v="14007"/>
    <n v="12445"/>
    <n v="0"/>
    <n v="0"/>
    <n v="0"/>
    <x v="0"/>
    <x v="1"/>
  </r>
  <r>
    <x v="0"/>
    <x v="1"/>
    <x v="1"/>
    <s v="品牌广告"/>
    <x v="9"/>
    <n v="20721"/>
    <n v="19122"/>
    <n v="461"/>
    <n v="93"/>
    <n v="352213.5"/>
    <x v="0"/>
    <x v="1"/>
  </r>
  <r>
    <x v="0"/>
    <x v="1"/>
    <x v="1"/>
    <s v="站外广告"/>
    <x v="8"/>
    <n v="4"/>
    <n v="2"/>
    <n v="0"/>
    <n v="0"/>
    <n v="0"/>
    <x v="0"/>
    <x v="1"/>
  </r>
  <r>
    <x v="0"/>
    <x v="1"/>
    <x v="1"/>
    <s v="内容广告"/>
    <x v="13"/>
    <n v="85426"/>
    <n v="78561"/>
    <n v="33"/>
    <n v="0"/>
    <n v="0"/>
    <x v="0"/>
    <x v="1"/>
  </r>
  <r>
    <x v="0"/>
    <x v="1"/>
    <x v="1"/>
    <s v="内容广告"/>
    <x v="14"/>
    <n v="10"/>
    <n v="6"/>
    <n v="0"/>
    <n v="0"/>
    <n v="0"/>
    <x v="0"/>
    <x v="1"/>
  </r>
  <r>
    <x v="0"/>
    <x v="1"/>
    <x v="1"/>
    <s v="品牌广告"/>
    <x v="7"/>
    <n v="5"/>
    <n v="4"/>
    <n v="0"/>
    <n v="0"/>
    <n v="0"/>
    <x v="0"/>
    <x v="1"/>
  </r>
  <r>
    <x v="0"/>
    <x v="1"/>
    <x v="1"/>
    <s v="内容广告"/>
    <x v="4"/>
    <n v="4"/>
    <n v="2"/>
    <n v="1"/>
    <n v="0"/>
    <n v="0"/>
    <x v="0"/>
    <x v="1"/>
  </r>
  <r>
    <x v="0"/>
    <x v="1"/>
    <x v="1"/>
    <s v="站外广告"/>
    <x v="1"/>
    <n v="79"/>
    <n v="48"/>
    <n v="4"/>
    <n v="0"/>
    <n v="0"/>
    <x v="0"/>
    <x v="1"/>
  </r>
  <r>
    <x v="0"/>
    <x v="1"/>
    <x v="1"/>
    <s v="站外广告"/>
    <x v="3"/>
    <n v="4923"/>
    <n v="2691"/>
    <n v="40"/>
    <n v="40"/>
    <n v="144705.32999999999"/>
    <x v="0"/>
    <x v="1"/>
  </r>
  <r>
    <x v="0"/>
    <x v="1"/>
    <x v="1"/>
    <s v="品牌广告"/>
    <x v="11"/>
    <n v="4"/>
    <n v="4"/>
    <n v="0"/>
    <n v="0"/>
    <n v="0"/>
    <x v="0"/>
    <x v="1"/>
  </r>
  <r>
    <x v="0"/>
    <x v="1"/>
    <x v="2"/>
    <s v="站外广告"/>
    <x v="3"/>
    <n v="744"/>
    <n v="522"/>
    <n v="0"/>
    <n v="1"/>
    <n v="6300"/>
    <x v="0"/>
    <x v="1"/>
  </r>
  <r>
    <x v="0"/>
    <x v="1"/>
    <x v="2"/>
    <s v="品牌广告"/>
    <x v="7"/>
    <n v="897920"/>
    <n v="634103"/>
    <n v="0"/>
    <n v="0"/>
    <n v="0"/>
    <x v="0"/>
    <x v="1"/>
  </r>
  <r>
    <x v="0"/>
    <x v="1"/>
    <x v="2"/>
    <s v="品牌广告"/>
    <x v="12"/>
    <n v="28725"/>
    <n v="25487"/>
    <n v="0"/>
    <n v="0"/>
    <n v="0"/>
    <x v="0"/>
    <x v="1"/>
  </r>
  <r>
    <x v="0"/>
    <x v="1"/>
    <x v="2"/>
    <s v="内容广告"/>
    <x v="13"/>
    <n v="29239"/>
    <n v="25360"/>
    <n v="0"/>
    <n v="0"/>
    <n v="0"/>
    <x v="0"/>
    <x v="1"/>
  </r>
  <r>
    <x v="0"/>
    <x v="1"/>
    <x v="2"/>
    <s v="站外广告"/>
    <x v="1"/>
    <n v="51"/>
    <n v="40"/>
    <n v="0"/>
    <n v="0"/>
    <n v="0"/>
    <x v="0"/>
    <x v="1"/>
  </r>
  <r>
    <x v="0"/>
    <x v="1"/>
    <x v="2"/>
    <s v="内容广告"/>
    <x v="4"/>
    <n v="11"/>
    <n v="4"/>
    <n v="0"/>
    <n v="0"/>
    <n v="0"/>
    <x v="0"/>
    <x v="1"/>
  </r>
  <r>
    <x v="0"/>
    <x v="1"/>
    <x v="2"/>
    <s v="效果广告"/>
    <x v="0"/>
    <n v="50988"/>
    <n v="43126"/>
    <n v="1143"/>
    <n v="179"/>
    <n v="1458880"/>
    <x v="0"/>
    <x v="1"/>
  </r>
  <r>
    <x v="0"/>
    <x v="1"/>
    <x v="2"/>
    <s v="站外广告"/>
    <x v="8"/>
    <n v="1"/>
    <n v="1"/>
    <n v="0"/>
    <n v="0"/>
    <n v="0"/>
    <x v="0"/>
    <x v="1"/>
  </r>
  <r>
    <x v="0"/>
    <x v="1"/>
    <x v="2"/>
    <s v="效果广告"/>
    <x v="2"/>
    <n v="57796"/>
    <n v="52061"/>
    <n v="824"/>
    <n v="66"/>
    <n v="504140"/>
    <x v="0"/>
    <x v="1"/>
  </r>
  <r>
    <x v="0"/>
    <x v="1"/>
    <x v="2"/>
    <s v="效果广告"/>
    <x v="5"/>
    <n v="142851"/>
    <n v="132634"/>
    <n v="141"/>
    <n v="6"/>
    <n v="42480"/>
    <x v="0"/>
    <x v="1"/>
  </r>
  <r>
    <x v="0"/>
    <x v="1"/>
    <x v="2"/>
    <s v="品牌广告"/>
    <x v="11"/>
    <n v="8"/>
    <n v="7"/>
    <n v="0"/>
    <n v="0"/>
    <n v="0"/>
    <x v="0"/>
    <x v="1"/>
  </r>
  <r>
    <x v="0"/>
    <x v="1"/>
    <x v="2"/>
    <s v="品牌广告"/>
    <x v="10"/>
    <n v="31939"/>
    <n v="28956"/>
    <n v="0"/>
    <n v="0"/>
    <n v="0"/>
    <x v="0"/>
    <x v="1"/>
  </r>
  <r>
    <x v="0"/>
    <x v="1"/>
    <x v="2"/>
    <s v="品牌广告"/>
    <x v="15"/>
    <n v="1"/>
    <n v="1"/>
    <n v="0"/>
    <n v="0"/>
    <n v="0"/>
    <x v="0"/>
    <x v="1"/>
  </r>
  <r>
    <x v="0"/>
    <x v="1"/>
    <x v="2"/>
    <s v="品牌广告"/>
    <x v="9"/>
    <n v="54503"/>
    <n v="50190"/>
    <n v="1426"/>
    <n v="169"/>
    <n v="1240720"/>
    <x v="0"/>
    <x v="1"/>
  </r>
  <r>
    <x v="0"/>
    <x v="2"/>
    <x v="0"/>
    <s v="内容广告"/>
    <x v="13"/>
    <n v="5"/>
    <n v="3"/>
    <n v="0"/>
    <n v="0"/>
    <n v="0"/>
    <x v="0"/>
    <x v="2"/>
  </r>
  <r>
    <x v="0"/>
    <x v="2"/>
    <x v="0"/>
    <s v="效果广告"/>
    <x v="5"/>
    <n v="100648"/>
    <n v="84683"/>
    <n v="996"/>
    <n v="44"/>
    <n v="380070"/>
    <x v="0"/>
    <x v="2"/>
  </r>
  <r>
    <x v="0"/>
    <x v="2"/>
    <x v="0"/>
    <s v="站外广告"/>
    <x v="1"/>
    <n v="44"/>
    <n v="34"/>
    <n v="0"/>
    <n v="0"/>
    <n v="0"/>
    <x v="0"/>
    <x v="2"/>
  </r>
  <r>
    <x v="0"/>
    <x v="2"/>
    <x v="0"/>
    <s v="品牌广告"/>
    <x v="6"/>
    <n v="9760"/>
    <n v="9061"/>
    <n v="422"/>
    <n v="42"/>
    <n v="389210"/>
    <x v="0"/>
    <x v="2"/>
  </r>
  <r>
    <x v="0"/>
    <x v="2"/>
    <x v="0"/>
    <s v="站外广告"/>
    <x v="8"/>
    <n v="2"/>
    <n v="1"/>
    <n v="0"/>
    <n v="0"/>
    <n v="0"/>
    <x v="0"/>
    <x v="2"/>
  </r>
  <r>
    <x v="0"/>
    <x v="2"/>
    <x v="0"/>
    <s v="效果广告"/>
    <x v="0"/>
    <n v="87618"/>
    <n v="72879"/>
    <n v="1336"/>
    <n v="117"/>
    <n v="897490"/>
    <x v="0"/>
    <x v="2"/>
  </r>
  <r>
    <x v="0"/>
    <x v="2"/>
    <x v="0"/>
    <s v="品牌广告"/>
    <x v="11"/>
    <n v="1"/>
    <n v="1"/>
    <n v="0"/>
    <n v="0"/>
    <n v="0"/>
    <x v="0"/>
    <x v="2"/>
  </r>
  <r>
    <x v="0"/>
    <x v="2"/>
    <x v="0"/>
    <s v="品牌广告"/>
    <x v="7"/>
    <n v="6"/>
    <n v="5"/>
    <n v="0"/>
    <n v="0"/>
    <n v="0"/>
    <x v="0"/>
    <x v="2"/>
  </r>
  <r>
    <x v="0"/>
    <x v="2"/>
    <x v="0"/>
    <s v="站外广告"/>
    <x v="3"/>
    <n v="437"/>
    <n v="303"/>
    <n v="5"/>
    <n v="1"/>
    <n v="14000"/>
    <x v="0"/>
    <x v="2"/>
  </r>
  <r>
    <x v="0"/>
    <x v="2"/>
    <x v="0"/>
    <s v="品牌广告"/>
    <x v="10"/>
    <n v="98075"/>
    <n v="95330"/>
    <n v="0"/>
    <n v="0"/>
    <n v="0"/>
    <x v="0"/>
    <x v="2"/>
  </r>
  <r>
    <x v="0"/>
    <x v="2"/>
    <x v="0"/>
    <s v="效果广告"/>
    <x v="2"/>
    <n v="55494"/>
    <n v="48467"/>
    <n v="1087"/>
    <n v="143"/>
    <n v="1028080"/>
    <x v="0"/>
    <x v="2"/>
  </r>
  <r>
    <x v="0"/>
    <x v="2"/>
    <x v="0"/>
    <s v="内容广告"/>
    <x v="4"/>
    <n v="1"/>
    <n v="0"/>
    <n v="0"/>
    <n v="0"/>
    <n v="0"/>
    <x v="0"/>
    <x v="2"/>
  </r>
  <r>
    <x v="0"/>
    <x v="2"/>
    <x v="1"/>
    <s v="内容广告"/>
    <x v="13"/>
    <n v="54475"/>
    <n v="46819"/>
    <n v="50"/>
    <n v="0"/>
    <n v="0"/>
    <x v="0"/>
    <x v="2"/>
  </r>
  <r>
    <x v="0"/>
    <x v="2"/>
    <x v="1"/>
    <s v="站外广告"/>
    <x v="3"/>
    <n v="11848"/>
    <n v="7267"/>
    <n v="70"/>
    <n v="41"/>
    <n v="120522.03000000001"/>
    <x v="0"/>
    <x v="2"/>
  </r>
  <r>
    <x v="0"/>
    <x v="2"/>
    <x v="1"/>
    <s v="站外广告"/>
    <x v="8"/>
    <n v="3"/>
    <n v="3"/>
    <n v="0"/>
    <n v="0"/>
    <n v="0"/>
    <x v="0"/>
    <x v="2"/>
  </r>
  <r>
    <x v="0"/>
    <x v="2"/>
    <x v="1"/>
    <s v="品牌广告"/>
    <x v="10"/>
    <n v="25126"/>
    <n v="21679"/>
    <n v="0"/>
    <n v="0"/>
    <n v="0"/>
    <x v="0"/>
    <x v="2"/>
  </r>
  <r>
    <x v="0"/>
    <x v="2"/>
    <x v="1"/>
    <s v="品牌广告"/>
    <x v="12"/>
    <n v="16640"/>
    <n v="14591"/>
    <n v="0"/>
    <n v="0"/>
    <n v="0"/>
    <x v="0"/>
    <x v="2"/>
  </r>
  <r>
    <x v="0"/>
    <x v="2"/>
    <x v="1"/>
    <s v="效果广告"/>
    <x v="2"/>
    <n v="77247"/>
    <n v="71087"/>
    <n v="1473"/>
    <n v="328"/>
    <n v="1260047.51"/>
    <x v="0"/>
    <x v="2"/>
  </r>
  <r>
    <x v="0"/>
    <x v="2"/>
    <x v="1"/>
    <s v="品牌广告"/>
    <x v="11"/>
    <n v="2"/>
    <n v="1"/>
    <n v="0"/>
    <n v="0"/>
    <n v="0"/>
    <x v="0"/>
    <x v="2"/>
  </r>
  <r>
    <x v="0"/>
    <x v="2"/>
    <x v="1"/>
    <s v="效果广告"/>
    <x v="0"/>
    <n v="60709"/>
    <n v="51856"/>
    <n v="1186"/>
    <n v="193"/>
    <n v="653426.92999999993"/>
    <x v="0"/>
    <x v="2"/>
  </r>
  <r>
    <x v="0"/>
    <x v="2"/>
    <x v="1"/>
    <s v="效果广告"/>
    <x v="5"/>
    <n v="175024"/>
    <n v="153568"/>
    <n v="768"/>
    <n v="50"/>
    <n v="177974.27000000002"/>
    <x v="0"/>
    <x v="2"/>
  </r>
  <r>
    <x v="0"/>
    <x v="2"/>
    <x v="1"/>
    <s v="品牌广告"/>
    <x v="7"/>
    <n v="3"/>
    <n v="2"/>
    <n v="0"/>
    <n v="0"/>
    <n v="0"/>
    <x v="0"/>
    <x v="2"/>
  </r>
  <r>
    <x v="0"/>
    <x v="2"/>
    <x v="1"/>
    <s v="内容广告"/>
    <x v="4"/>
    <n v="130669"/>
    <n v="119948"/>
    <n v="24"/>
    <n v="0"/>
    <n v="0"/>
    <x v="0"/>
    <x v="2"/>
  </r>
  <r>
    <x v="0"/>
    <x v="2"/>
    <x v="1"/>
    <s v="站外广告"/>
    <x v="1"/>
    <n v="32"/>
    <n v="20"/>
    <n v="1"/>
    <n v="0"/>
    <n v="0"/>
    <x v="0"/>
    <x v="2"/>
  </r>
  <r>
    <x v="0"/>
    <x v="2"/>
    <x v="1"/>
    <s v="内容广告"/>
    <x v="14"/>
    <n v="3"/>
    <n v="2"/>
    <n v="0"/>
    <n v="0"/>
    <n v="0"/>
    <x v="0"/>
    <x v="2"/>
  </r>
  <r>
    <x v="0"/>
    <x v="2"/>
    <x v="1"/>
    <s v="品牌广告"/>
    <x v="9"/>
    <n v="15387"/>
    <n v="13992"/>
    <n v="420"/>
    <n v="90"/>
    <n v="319104.77"/>
    <x v="0"/>
    <x v="2"/>
  </r>
  <r>
    <x v="0"/>
    <x v="2"/>
    <x v="2"/>
    <s v="效果广告"/>
    <x v="2"/>
    <n v="67530"/>
    <n v="59984"/>
    <n v="813"/>
    <n v="64"/>
    <n v="527320"/>
    <x v="0"/>
    <x v="2"/>
  </r>
  <r>
    <x v="0"/>
    <x v="2"/>
    <x v="2"/>
    <s v="品牌广告"/>
    <x v="9"/>
    <n v="48507"/>
    <n v="44151"/>
    <n v="1260"/>
    <n v="176"/>
    <n v="1649660"/>
    <x v="0"/>
    <x v="2"/>
  </r>
  <r>
    <x v="0"/>
    <x v="2"/>
    <x v="2"/>
    <s v="内容广告"/>
    <x v="13"/>
    <n v="101726"/>
    <n v="96478"/>
    <n v="0"/>
    <n v="0"/>
    <n v="0"/>
    <x v="0"/>
    <x v="2"/>
  </r>
  <r>
    <x v="0"/>
    <x v="2"/>
    <x v="2"/>
    <s v="站外广告"/>
    <x v="1"/>
    <n v="44"/>
    <n v="26"/>
    <n v="0"/>
    <n v="0"/>
    <n v="0"/>
    <x v="0"/>
    <x v="2"/>
  </r>
  <r>
    <x v="0"/>
    <x v="2"/>
    <x v="2"/>
    <s v="站外广告"/>
    <x v="8"/>
    <n v="5"/>
    <n v="5"/>
    <n v="0"/>
    <n v="0"/>
    <n v="0"/>
    <x v="0"/>
    <x v="2"/>
  </r>
  <r>
    <x v="0"/>
    <x v="2"/>
    <x v="2"/>
    <s v="内容广告"/>
    <x v="14"/>
    <n v="1"/>
    <n v="1"/>
    <n v="0"/>
    <n v="0"/>
    <n v="0"/>
    <x v="0"/>
    <x v="2"/>
  </r>
  <r>
    <x v="0"/>
    <x v="2"/>
    <x v="2"/>
    <s v="效果广告"/>
    <x v="5"/>
    <n v="169603"/>
    <n v="153435"/>
    <n v="277"/>
    <n v="10"/>
    <n v="50940"/>
    <x v="0"/>
    <x v="2"/>
  </r>
  <r>
    <x v="0"/>
    <x v="2"/>
    <x v="2"/>
    <s v="效果广告"/>
    <x v="0"/>
    <n v="104724"/>
    <n v="90639"/>
    <n v="1399"/>
    <n v="169"/>
    <n v="1371390"/>
    <x v="0"/>
    <x v="2"/>
  </r>
  <r>
    <x v="0"/>
    <x v="2"/>
    <x v="2"/>
    <s v="品牌广告"/>
    <x v="10"/>
    <n v="23776"/>
    <n v="20873"/>
    <n v="0"/>
    <n v="0"/>
    <n v="0"/>
    <x v="0"/>
    <x v="2"/>
  </r>
  <r>
    <x v="0"/>
    <x v="2"/>
    <x v="2"/>
    <s v="品牌广告"/>
    <x v="12"/>
    <n v="53899"/>
    <n v="48386"/>
    <n v="0"/>
    <n v="0"/>
    <n v="0"/>
    <x v="0"/>
    <x v="2"/>
  </r>
  <r>
    <x v="0"/>
    <x v="2"/>
    <x v="2"/>
    <s v="品牌广告"/>
    <x v="7"/>
    <n v="1000375"/>
    <n v="748569"/>
    <n v="0"/>
    <n v="0"/>
    <n v="0"/>
    <x v="0"/>
    <x v="2"/>
  </r>
  <r>
    <x v="0"/>
    <x v="2"/>
    <x v="2"/>
    <s v="站外广告"/>
    <x v="3"/>
    <n v="841"/>
    <n v="536"/>
    <n v="4"/>
    <n v="1"/>
    <n v="500"/>
    <x v="0"/>
    <x v="2"/>
  </r>
  <r>
    <x v="0"/>
    <x v="2"/>
    <x v="2"/>
    <s v="品牌广告"/>
    <x v="11"/>
    <n v="4"/>
    <n v="4"/>
    <n v="0"/>
    <n v="0"/>
    <n v="0"/>
    <x v="0"/>
    <x v="2"/>
  </r>
  <r>
    <x v="0"/>
    <x v="2"/>
    <x v="2"/>
    <s v="内容广告"/>
    <x v="4"/>
    <n v="12"/>
    <n v="7"/>
    <n v="0"/>
    <n v="0"/>
    <n v="0"/>
    <x v="0"/>
    <x v="2"/>
  </r>
  <r>
    <x v="0"/>
    <x v="3"/>
    <x v="0"/>
    <s v="站外广告"/>
    <x v="1"/>
    <n v="18"/>
    <n v="10"/>
    <n v="1"/>
    <n v="0"/>
    <n v="0"/>
    <x v="0"/>
    <x v="3"/>
  </r>
  <r>
    <x v="0"/>
    <x v="3"/>
    <x v="0"/>
    <s v="内容广告"/>
    <x v="13"/>
    <n v="7"/>
    <n v="3"/>
    <n v="0"/>
    <n v="0"/>
    <n v="0"/>
    <x v="0"/>
    <x v="3"/>
  </r>
  <r>
    <x v="0"/>
    <x v="3"/>
    <x v="0"/>
    <s v="内容广告"/>
    <x v="4"/>
    <n v="2"/>
    <n v="1"/>
    <n v="0"/>
    <n v="0"/>
    <n v="0"/>
    <x v="0"/>
    <x v="3"/>
  </r>
  <r>
    <x v="0"/>
    <x v="3"/>
    <x v="0"/>
    <s v="品牌广告"/>
    <x v="10"/>
    <n v="2"/>
    <n v="2"/>
    <n v="0"/>
    <n v="0"/>
    <n v="0"/>
    <x v="0"/>
    <x v="3"/>
  </r>
  <r>
    <x v="0"/>
    <x v="3"/>
    <x v="0"/>
    <s v="品牌广告"/>
    <x v="6"/>
    <n v="9725"/>
    <n v="9038"/>
    <n v="438"/>
    <n v="42"/>
    <n v="363180"/>
    <x v="0"/>
    <x v="3"/>
  </r>
  <r>
    <x v="0"/>
    <x v="3"/>
    <x v="0"/>
    <s v="品牌广告"/>
    <x v="7"/>
    <n v="5"/>
    <n v="5"/>
    <n v="0"/>
    <n v="0"/>
    <n v="0"/>
    <x v="0"/>
    <x v="3"/>
  </r>
  <r>
    <x v="0"/>
    <x v="3"/>
    <x v="0"/>
    <s v="站外广告"/>
    <x v="3"/>
    <n v="553"/>
    <n v="319"/>
    <n v="5"/>
    <n v="1"/>
    <n v="6510"/>
    <x v="0"/>
    <x v="3"/>
  </r>
  <r>
    <x v="0"/>
    <x v="3"/>
    <x v="0"/>
    <s v="效果广告"/>
    <x v="5"/>
    <n v="117730"/>
    <n v="108692"/>
    <n v="1022"/>
    <n v="22"/>
    <n v="140325"/>
    <x v="0"/>
    <x v="3"/>
  </r>
  <r>
    <x v="0"/>
    <x v="3"/>
    <x v="0"/>
    <s v="效果广告"/>
    <x v="2"/>
    <n v="33883"/>
    <n v="31026"/>
    <n v="600"/>
    <n v="35"/>
    <n v="469000"/>
    <x v="0"/>
    <x v="3"/>
  </r>
  <r>
    <x v="0"/>
    <x v="3"/>
    <x v="0"/>
    <s v="效果广告"/>
    <x v="0"/>
    <n v="32859"/>
    <n v="24274"/>
    <n v="827"/>
    <n v="113"/>
    <n v="1022830"/>
    <x v="0"/>
    <x v="3"/>
  </r>
  <r>
    <x v="0"/>
    <x v="3"/>
    <x v="1"/>
    <s v="效果广告"/>
    <x v="0"/>
    <n v="41461"/>
    <n v="36642"/>
    <n v="678"/>
    <n v="44"/>
    <n v="272810"/>
    <x v="0"/>
    <x v="3"/>
  </r>
  <r>
    <x v="0"/>
    <x v="3"/>
    <x v="1"/>
    <s v="内容广告"/>
    <x v="13"/>
    <n v="10296"/>
    <n v="8328"/>
    <n v="16"/>
    <n v="0"/>
    <n v="0"/>
    <x v="0"/>
    <x v="3"/>
  </r>
  <r>
    <x v="0"/>
    <x v="3"/>
    <x v="1"/>
    <s v="内容广告"/>
    <x v="14"/>
    <n v="4735"/>
    <n v="4073"/>
    <n v="7"/>
    <n v="0"/>
    <n v="0"/>
    <x v="0"/>
    <x v="3"/>
  </r>
  <r>
    <x v="0"/>
    <x v="3"/>
    <x v="1"/>
    <s v="站外广告"/>
    <x v="1"/>
    <n v="12"/>
    <n v="8"/>
    <n v="0"/>
    <n v="0"/>
    <n v="0"/>
    <x v="0"/>
    <x v="3"/>
  </r>
  <r>
    <x v="0"/>
    <x v="3"/>
    <x v="1"/>
    <s v="内容广告"/>
    <x v="4"/>
    <n v="28926"/>
    <n v="26423"/>
    <n v="6"/>
    <n v="0"/>
    <n v="0"/>
    <x v="0"/>
    <x v="3"/>
  </r>
  <r>
    <x v="0"/>
    <x v="3"/>
    <x v="1"/>
    <s v="效果广告"/>
    <x v="2"/>
    <n v="53224"/>
    <n v="50473"/>
    <n v="680"/>
    <n v="65"/>
    <n v="359470"/>
    <x v="0"/>
    <x v="3"/>
  </r>
  <r>
    <x v="0"/>
    <x v="3"/>
    <x v="1"/>
    <s v="效果广告"/>
    <x v="5"/>
    <n v="86192"/>
    <n v="77463"/>
    <n v="553"/>
    <n v="14"/>
    <n v="72800"/>
    <x v="0"/>
    <x v="3"/>
  </r>
  <r>
    <x v="0"/>
    <x v="3"/>
    <x v="1"/>
    <s v="品牌广告"/>
    <x v="11"/>
    <n v="1"/>
    <n v="0"/>
    <n v="0"/>
    <n v="0"/>
    <n v="0"/>
    <x v="0"/>
    <x v="3"/>
  </r>
  <r>
    <x v="0"/>
    <x v="3"/>
    <x v="1"/>
    <s v="品牌广告"/>
    <x v="9"/>
    <n v="14356"/>
    <n v="13598"/>
    <n v="254"/>
    <n v="30"/>
    <n v="102770"/>
    <x v="0"/>
    <x v="3"/>
  </r>
  <r>
    <x v="0"/>
    <x v="3"/>
    <x v="1"/>
    <s v="站外广告"/>
    <x v="3"/>
    <n v="3761"/>
    <n v="1950"/>
    <n v="12"/>
    <n v="6"/>
    <n v="53370"/>
    <x v="0"/>
    <x v="3"/>
  </r>
  <r>
    <x v="0"/>
    <x v="3"/>
    <x v="1"/>
    <s v="站外广告"/>
    <x v="8"/>
    <n v="1"/>
    <n v="1"/>
    <n v="0"/>
    <n v="0"/>
    <n v="0"/>
    <x v="0"/>
    <x v="3"/>
  </r>
  <r>
    <x v="0"/>
    <x v="3"/>
    <x v="1"/>
    <s v="品牌广告"/>
    <x v="12"/>
    <n v="1"/>
    <n v="1"/>
    <n v="0"/>
    <n v="0"/>
    <n v="0"/>
    <x v="0"/>
    <x v="3"/>
  </r>
  <r>
    <x v="0"/>
    <x v="3"/>
    <x v="2"/>
    <s v="品牌广告"/>
    <x v="9"/>
    <n v="43477"/>
    <n v="40779"/>
    <n v="1269"/>
    <n v="132"/>
    <n v="1200160"/>
    <x v="0"/>
    <x v="3"/>
  </r>
  <r>
    <x v="0"/>
    <x v="3"/>
    <x v="2"/>
    <s v="内容广告"/>
    <x v="13"/>
    <n v="31"/>
    <n v="9"/>
    <n v="0"/>
    <n v="0"/>
    <n v="0"/>
    <x v="0"/>
    <x v="3"/>
  </r>
  <r>
    <x v="0"/>
    <x v="3"/>
    <x v="2"/>
    <s v="品牌广告"/>
    <x v="7"/>
    <n v="2376"/>
    <n v="2334"/>
    <n v="0"/>
    <n v="0"/>
    <n v="0"/>
    <x v="0"/>
    <x v="3"/>
  </r>
  <r>
    <x v="0"/>
    <x v="3"/>
    <x v="2"/>
    <s v="站外广告"/>
    <x v="1"/>
    <n v="23"/>
    <n v="18"/>
    <n v="1"/>
    <n v="0"/>
    <n v="0"/>
    <x v="0"/>
    <x v="3"/>
  </r>
  <r>
    <x v="0"/>
    <x v="3"/>
    <x v="2"/>
    <s v="效果广告"/>
    <x v="0"/>
    <n v="65046"/>
    <n v="54845"/>
    <n v="741"/>
    <n v="79"/>
    <n v="705540"/>
    <x v="0"/>
    <x v="3"/>
  </r>
  <r>
    <x v="0"/>
    <x v="3"/>
    <x v="2"/>
    <s v="站外广告"/>
    <x v="3"/>
    <n v="631"/>
    <n v="430"/>
    <n v="1"/>
    <n v="0"/>
    <n v="0"/>
    <x v="0"/>
    <x v="3"/>
  </r>
  <r>
    <x v="0"/>
    <x v="3"/>
    <x v="2"/>
    <s v="内容广告"/>
    <x v="4"/>
    <n v="3"/>
    <n v="2"/>
    <n v="0"/>
    <n v="0"/>
    <n v="0"/>
    <x v="0"/>
    <x v="3"/>
  </r>
  <r>
    <x v="0"/>
    <x v="3"/>
    <x v="2"/>
    <s v="效果广告"/>
    <x v="2"/>
    <n v="51345"/>
    <n v="46939"/>
    <n v="617"/>
    <n v="39"/>
    <n v="294140"/>
    <x v="0"/>
    <x v="3"/>
  </r>
  <r>
    <x v="0"/>
    <x v="3"/>
    <x v="2"/>
    <s v="品牌广告"/>
    <x v="11"/>
    <n v="3"/>
    <n v="3"/>
    <n v="0"/>
    <n v="0"/>
    <n v="0"/>
    <x v="0"/>
    <x v="3"/>
  </r>
  <r>
    <x v="0"/>
    <x v="3"/>
    <x v="2"/>
    <s v="品牌广告"/>
    <x v="12"/>
    <n v="3"/>
    <n v="2"/>
    <n v="0"/>
    <n v="0"/>
    <n v="0"/>
    <x v="0"/>
    <x v="3"/>
  </r>
  <r>
    <x v="0"/>
    <x v="3"/>
    <x v="2"/>
    <s v="品牌广告"/>
    <x v="10"/>
    <n v="3"/>
    <n v="3"/>
    <n v="0"/>
    <n v="0"/>
    <n v="0"/>
    <x v="0"/>
    <x v="3"/>
  </r>
  <r>
    <x v="0"/>
    <x v="3"/>
    <x v="2"/>
    <s v="效果广告"/>
    <x v="5"/>
    <n v="166206"/>
    <n v="151229"/>
    <n v="232"/>
    <n v="4"/>
    <n v="31780"/>
    <x v="0"/>
    <x v="3"/>
  </r>
  <r>
    <x v="0"/>
    <x v="4"/>
    <x v="0"/>
    <s v="效果广告"/>
    <x v="5"/>
    <n v="140322"/>
    <n v="129701"/>
    <n v="1067"/>
    <n v="14"/>
    <n v="203550"/>
    <x v="0"/>
    <x v="4"/>
  </r>
  <r>
    <x v="0"/>
    <x v="4"/>
    <x v="0"/>
    <s v="站外广告"/>
    <x v="1"/>
    <n v="40"/>
    <n v="22"/>
    <n v="1"/>
    <n v="0"/>
    <n v="0"/>
    <x v="0"/>
    <x v="4"/>
  </r>
  <r>
    <x v="0"/>
    <x v="4"/>
    <x v="0"/>
    <s v="品牌广告"/>
    <x v="6"/>
    <n v="9724"/>
    <n v="9096"/>
    <n v="435"/>
    <n v="33"/>
    <n v="431620"/>
    <x v="0"/>
    <x v="4"/>
  </r>
  <r>
    <x v="0"/>
    <x v="4"/>
    <x v="0"/>
    <s v="站外广告"/>
    <x v="8"/>
    <n v="1"/>
    <n v="1"/>
    <n v="0"/>
    <n v="0"/>
    <n v="0"/>
    <x v="0"/>
    <x v="4"/>
  </r>
  <r>
    <x v="0"/>
    <x v="4"/>
    <x v="0"/>
    <s v="品牌广告"/>
    <x v="10"/>
    <n v="1"/>
    <n v="1"/>
    <n v="0"/>
    <n v="0"/>
    <n v="0"/>
    <x v="0"/>
    <x v="4"/>
  </r>
  <r>
    <x v="0"/>
    <x v="4"/>
    <x v="0"/>
    <s v="站外广告"/>
    <x v="3"/>
    <n v="416"/>
    <n v="229"/>
    <n v="2"/>
    <n v="0"/>
    <n v="0"/>
    <x v="0"/>
    <x v="4"/>
  </r>
  <r>
    <x v="0"/>
    <x v="4"/>
    <x v="0"/>
    <s v="内容广告"/>
    <x v="4"/>
    <n v="1"/>
    <n v="1"/>
    <n v="0"/>
    <n v="0"/>
    <n v="0"/>
    <x v="0"/>
    <x v="4"/>
  </r>
  <r>
    <x v="0"/>
    <x v="4"/>
    <x v="0"/>
    <s v="效果广告"/>
    <x v="2"/>
    <n v="25134"/>
    <n v="22659"/>
    <n v="397"/>
    <n v="19"/>
    <n v="135615"/>
    <x v="0"/>
    <x v="4"/>
  </r>
  <r>
    <x v="0"/>
    <x v="4"/>
    <x v="0"/>
    <s v="效果广告"/>
    <x v="0"/>
    <n v="55166"/>
    <n v="48882"/>
    <n v="1304"/>
    <n v="95"/>
    <n v="1062890"/>
    <x v="0"/>
    <x v="4"/>
  </r>
  <r>
    <x v="0"/>
    <x v="4"/>
    <x v="0"/>
    <s v="品牌广告"/>
    <x v="11"/>
    <n v="1"/>
    <n v="1"/>
    <n v="0"/>
    <n v="0"/>
    <n v="0"/>
    <x v="0"/>
    <x v="4"/>
  </r>
  <r>
    <x v="0"/>
    <x v="4"/>
    <x v="0"/>
    <s v="品牌广告"/>
    <x v="7"/>
    <n v="3"/>
    <n v="3"/>
    <n v="0"/>
    <n v="0"/>
    <n v="0"/>
    <x v="0"/>
    <x v="4"/>
  </r>
  <r>
    <x v="0"/>
    <x v="4"/>
    <x v="1"/>
    <s v="效果广告"/>
    <x v="5"/>
    <n v="68223"/>
    <n v="59594"/>
    <n v="477"/>
    <n v="6"/>
    <n v="37285"/>
    <x v="0"/>
    <x v="4"/>
  </r>
  <r>
    <x v="0"/>
    <x v="4"/>
    <x v="1"/>
    <s v="效果广告"/>
    <x v="0"/>
    <n v="42954"/>
    <n v="39450"/>
    <n v="667"/>
    <n v="30"/>
    <n v="166680"/>
    <x v="0"/>
    <x v="4"/>
  </r>
  <r>
    <x v="0"/>
    <x v="4"/>
    <x v="1"/>
    <s v="品牌广告"/>
    <x v="7"/>
    <n v="3"/>
    <n v="2"/>
    <n v="0"/>
    <n v="0"/>
    <n v="0"/>
    <x v="0"/>
    <x v="4"/>
  </r>
  <r>
    <x v="0"/>
    <x v="4"/>
    <x v="1"/>
    <s v="内容广告"/>
    <x v="14"/>
    <n v="8027"/>
    <n v="7130"/>
    <n v="4"/>
    <n v="0"/>
    <n v="0"/>
    <x v="0"/>
    <x v="4"/>
  </r>
  <r>
    <x v="0"/>
    <x v="4"/>
    <x v="1"/>
    <s v="站外广告"/>
    <x v="1"/>
    <n v="11"/>
    <n v="9"/>
    <n v="1"/>
    <n v="0"/>
    <n v="0"/>
    <x v="0"/>
    <x v="4"/>
  </r>
  <r>
    <x v="0"/>
    <x v="4"/>
    <x v="1"/>
    <s v="品牌广告"/>
    <x v="11"/>
    <n v="2"/>
    <n v="1"/>
    <n v="0"/>
    <n v="0"/>
    <n v="0"/>
    <x v="0"/>
    <x v="4"/>
  </r>
  <r>
    <x v="0"/>
    <x v="4"/>
    <x v="1"/>
    <s v="内容广告"/>
    <x v="13"/>
    <n v="4649"/>
    <n v="3997"/>
    <n v="6"/>
    <n v="0"/>
    <n v="0"/>
    <x v="0"/>
    <x v="4"/>
  </r>
  <r>
    <x v="0"/>
    <x v="4"/>
    <x v="1"/>
    <s v="站外广告"/>
    <x v="3"/>
    <n v="3050"/>
    <n v="1884"/>
    <n v="15"/>
    <n v="4"/>
    <n v="22135"/>
    <x v="0"/>
    <x v="4"/>
  </r>
  <r>
    <x v="0"/>
    <x v="4"/>
    <x v="1"/>
    <s v="内容广告"/>
    <x v="4"/>
    <n v="7805"/>
    <n v="6693"/>
    <n v="12"/>
    <n v="0"/>
    <n v="0"/>
    <x v="0"/>
    <x v="4"/>
  </r>
  <r>
    <x v="0"/>
    <x v="4"/>
    <x v="1"/>
    <s v="效果广告"/>
    <x v="2"/>
    <n v="60428"/>
    <n v="58139"/>
    <n v="584"/>
    <n v="38"/>
    <n v="201425"/>
    <x v="0"/>
    <x v="4"/>
  </r>
  <r>
    <x v="0"/>
    <x v="4"/>
    <x v="1"/>
    <s v="品牌广告"/>
    <x v="9"/>
    <n v="15299"/>
    <n v="14657"/>
    <n v="221"/>
    <n v="33"/>
    <n v="126700"/>
    <x v="0"/>
    <x v="4"/>
  </r>
  <r>
    <x v="0"/>
    <x v="4"/>
    <x v="1"/>
    <s v="品牌广告"/>
    <x v="10"/>
    <n v="1"/>
    <n v="1"/>
    <n v="0"/>
    <n v="0"/>
    <n v="0"/>
    <x v="0"/>
    <x v="4"/>
  </r>
  <r>
    <x v="0"/>
    <x v="4"/>
    <x v="2"/>
    <s v="品牌广告"/>
    <x v="7"/>
    <n v="1102"/>
    <n v="1091"/>
    <n v="0"/>
    <n v="0"/>
    <n v="0"/>
    <x v="0"/>
    <x v="4"/>
  </r>
  <r>
    <x v="0"/>
    <x v="4"/>
    <x v="2"/>
    <s v="站外广告"/>
    <x v="8"/>
    <n v="1"/>
    <n v="0"/>
    <n v="0"/>
    <n v="0"/>
    <n v="0"/>
    <x v="0"/>
    <x v="4"/>
  </r>
  <r>
    <x v="0"/>
    <x v="4"/>
    <x v="2"/>
    <s v="效果广告"/>
    <x v="5"/>
    <n v="186635"/>
    <n v="159281"/>
    <n v="311"/>
    <n v="7"/>
    <n v="40700"/>
    <x v="0"/>
    <x v="4"/>
  </r>
  <r>
    <x v="0"/>
    <x v="4"/>
    <x v="2"/>
    <s v="品牌广告"/>
    <x v="11"/>
    <n v="3"/>
    <n v="3"/>
    <n v="0"/>
    <n v="0"/>
    <n v="0"/>
    <x v="0"/>
    <x v="4"/>
  </r>
  <r>
    <x v="0"/>
    <x v="4"/>
    <x v="2"/>
    <s v="站外广告"/>
    <x v="3"/>
    <n v="947"/>
    <n v="618"/>
    <n v="0"/>
    <n v="0"/>
    <n v="0"/>
    <x v="0"/>
    <x v="4"/>
  </r>
  <r>
    <x v="0"/>
    <x v="4"/>
    <x v="2"/>
    <s v="品牌广告"/>
    <x v="9"/>
    <n v="42029"/>
    <n v="39032"/>
    <n v="1098"/>
    <n v="113"/>
    <n v="1186780"/>
    <x v="0"/>
    <x v="4"/>
  </r>
  <r>
    <x v="0"/>
    <x v="4"/>
    <x v="2"/>
    <s v="效果广告"/>
    <x v="2"/>
    <n v="45487"/>
    <n v="41690"/>
    <n v="509"/>
    <n v="32"/>
    <n v="229200"/>
    <x v="0"/>
    <x v="4"/>
  </r>
  <r>
    <x v="0"/>
    <x v="4"/>
    <x v="2"/>
    <s v="效果广告"/>
    <x v="0"/>
    <n v="74026"/>
    <n v="65239"/>
    <n v="1086"/>
    <n v="89"/>
    <n v="741590"/>
    <x v="0"/>
    <x v="4"/>
  </r>
  <r>
    <x v="0"/>
    <x v="4"/>
    <x v="2"/>
    <s v="内容广告"/>
    <x v="4"/>
    <n v="9"/>
    <n v="5"/>
    <n v="0"/>
    <n v="0"/>
    <n v="0"/>
    <x v="0"/>
    <x v="4"/>
  </r>
  <r>
    <x v="0"/>
    <x v="4"/>
    <x v="2"/>
    <s v="内容广告"/>
    <x v="13"/>
    <n v="17"/>
    <n v="6"/>
    <n v="0"/>
    <n v="0"/>
    <n v="0"/>
    <x v="0"/>
    <x v="4"/>
  </r>
  <r>
    <x v="0"/>
    <x v="4"/>
    <x v="2"/>
    <s v="站外广告"/>
    <x v="1"/>
    <n v="57"/>
    <n v="47"/>
    <n v="1"/>
    <n v="0"/>
    <n v="0"/>
    <x v="0"/>
    <x v="4"/>
  </r>
  <r>
    <x v="0"/>
    <x v="5"/>
    <x v="0"/>
    <s v="效果广告"/>
    <x v="5"/>
    <n v="73704"/>
    <n v="63532"/>
    <n v="678"/>
    <n v="12"/>
    <n v="141445"/>
    <x v="0"/>
    <x v="5"/>
  </r>
  <r>
    <x v="0"/>
    <x v="5"/>
    <x v="0"/>
    <s v="效果广告"/>
    <x v="0"/>
    <n v="68011"/>
    <n v="60118"/>
    <n v="1300"/>
    <n v="54"/>
    <n v="765945"/>
    <x v="0"/>
    <x v="5"/>
  </r>
  <r>
    <x v="0"/>
    <x v="5"/>
    <x v="0"/>
    <s v="内容广告"/>
    <x v="4"/>
    <n v="3"/>
    <n v="2"/>
    <n v="0"/>
    <n v="0"/>
    <n v="0"/>
    <x v="0"/>
    <x v="5"/>
  </r>
  <r>
    <x v="0"/>
    <x v="5"/>
    <x v="0"/>
    <s v="站外广告"/>
    <x v="1"/>
    <n v="23"/>
    <n v="13"/>
    <n v="0"/>
    <n v="0"/>
    <n v="0"/>
    <x v="0"/>
    <x v="5"/>
  </r>
  <r>
    <x v="0"/>
    <x v="5"/>
    <x v="0"/>
    <s v="品牌广告"/>
    <x v="7"/>
    <n v="6"/>
    <n v="5"/>
    <n v="0"/>
    <n v="0"/>
    <n v="0"/>
    <x v="0"/>
    <x v="5"/>
  </r>
  <r>
    <x v="0"/>
    <x v="5"/>
    <x v="0"/>
    <s v="效果广告"/>
    <x v="2"/>
    <n v="16477"/>
    <n v="15072"/>
    <n v="297"/>
    <n v="17"/>
    <n v="157185"/>
    <x v="0"/>
    <x v="5"/>
  </r>
  <r>
    <x v="0"/>
    <x v="5"/>
    <x v="0"/>
    <s v="品牌广告"/>
    <x v="6"/>
    <n v="10306"/>
    <n v="9709"/>
    <n v="463"/>
    <n v="23"/>
    <n v="487880"/>
    <x v="0"/>
    <x v="5"/>
  </r>
  <r>
    <x v="0"/>
    <x v="5"/>
    <x v="0"/>
    <s v="站外广告"/>
    <x v="3"/>
    <n v="263"/>
    <n v="170"/>
    <n v="7"/>
    <n v="0"/>
    <n v="0"/>
    <x v="0"/>
    <x v="5"/>
  </r>
  <r>
    <x v="0"/>
    <x v="5"/>
    <x v="1"/>
    <s v="站外广告"/>
    <x v="8"/>
    <n v="1"/>
    <n v="1"/>
    <n v="0"/>
    <n v="0"/>
    <n v="0"/>
    <x v="0"/>
    <x v="5"/>
  </r>
  <r>
    <x v="0"/>
    <x v="5"/>
    <x v="1"/>
    <s v="品牌广告"/>
    <x v="9"/>
    <n v="15203"/>
    <n v="14556"/>
    <n v="238"/>
    <n v="30"/>
    <n v="120310"/>
    <x v="0"/>
    <x v="5"/>
  </r>
  <r>
    <x v="0"/>
    <x v="5"/>
    <x v="1"/>
    <s v="效果广告"/>
    <x v="2"/>
    <n v="78173"/>
    <n v="75821"/>
    <n v="636"/>
    <n v="30"/>
    <n v="147600"/>
    <x v="0"/>
    <x v="5"/>
  </r>
  <r>
    <x v="0"/>
    <x v="5"/>
    <x v="1"/>
    <s v="站外广告"/>
    <x v="1"/>
    <n v="14"/>
    <n v="8"/>
    <n v="0"/>
    <n v="0"/>
    <n v="0"/>
    <x v="0"/>
    <x v="5"/>
  </r>
  <r>
    <x v="0"/>
    <x v="5"/>
    <x v="1"/>
    <s v="内容广告"/>
    <x v="13"/>
    <n v="4047"/>
    <n v="3815"/>
    <n v="6"/>
    <n v="0"/>
    <n v="0"/>
    <x v="0"/>
    <x v="5"/>
  </r>
  <r>
    <x v="0"/>
    <x v="5"/>
    <x v="1"/>
    <s v="内容广告"/>
    <x v="14"/>
    <n v="8658"/>
    <n v="8383"/>
    <n v="5"/>
    <n v="0"/>
    <n v="0"/>
    <x v="0"/>
    <x v="5"/>
  </r>
  <r>
    <x v="0"/>
    <x v="5"/>
    <x v="1"/>
    <s v="效果广告"/>
    <x v="0"/>
    <n v="44784"/>
    <n v="39991"/>
    <n v="761"/>
    <n v="24"/>
    <n v="119850"/>
    <x v="0"/>
    <x v="5"/>
  </r>
  <r>
    <x v="0"/>
    <x v="5"/>
    <x v="1"/>
    <s v="效果广告"/>
    <x v="5"/>
    <n v="42217"/>
    <n v="36218"/>
    <n v="473"/>
    <n v="8"/>
    <n v="55385"/>
    <x v="0"/>
    <x v="5"/>
  </r>
  <r>
    <x v="0"/>
    <x v="5"/>
    <x v="1"/>
    <s v="内容广告"/>
    <x v="4"/>
    <n v="696"/>
    <n v="613"/>
    <n v="11"/>
    <n v="0"/>
    <n v="0"/>
    <x v="0"/>
    <x v="5"/>
  </r>
  <r>
    <x v="0"/>
    <x v="5"/>
    <x v="1"/>
    <s v="品牌广告"/>
    <x v="7"/>
    <n v="1"/>
    <n v="1"/>
    <n v="0"/>
    <n v="0"/>
    <n v="0"/>
    <x v="0"/>
    <x v="5"/>
  </r>
  <r>
    <x v="0"/>
    <x v="5"/>
    <x v="1"/>
    <s v="站外广告"/>
    <x v="3"/>
    <n v="2899"/>
    <n v="1983"/>
    <n v="14"/>
    <n v="12"/>
    <n v="37855"/>
    <x v="0"/>
    <x v="5"/>
  </r>
  <r>
    <x v="0"/>
    <x v="5"/>
    <x v="2"/>
    <s v="效果广告"/>
    <x v="2"/>
    <n v="54421"/>
    <n v="50663"/>
    <n v="528"/>
    <n v="50"/>
    <n v="465000"/>
    <x v="0"/>
    <x v="5"/>
  </r>
  <r>
    <x v="0"/>
    <x v="5"/>
    <x v="2"/>
    <s v="站外广告"/>
    <x v="1"/>
    <n v="7637"/>
    <n v="7608"/>
    <n v="2"/>
    <n v="0"/>
    <n v="0"/>
    <x v="0"/>
    <x v="5"/>
  </r>
  <r>
    <x v="0"/>
    <x v="5"/>
    <x v="2"/>
    <s v="品牌广告"/>
    <x v="11"/>
    <n v="3"/>
    <n v="2"/>
    <n v="0"/>
    <n v="0"/>
    <n v="0"/>
    <x v="0"/>
    <x v="5"/>
  </r>
  <r>
    <x v="0"/>
    <x v="5"/>
    <x v="2"/>
    <s v="效果广告"/>
    <x v="5"/>
    <n v="108950"/>
    <n v="96773"/>
    <n v="367"/>
    <n v="8"/>
    <n v="83500"/>
    <x v="0"/>
    <x v="5"/>
  </r>
  <r>
    <x v="0"/>
    <x v="5"/>
    <x v="2"/>
    <s v="品牌广告"/>
    <x v="9"/>
    <n v="46618"/>
    <n v="43484"/>
    <n v="1092"/>
    <n v="121"/>
    <n v="1264060"/>
    <x v="0"/>
    <x v="5"/>
  </r>
  <r>
    <x v="0"/>
    <x v="5"/>
    <x v="2"/>
    <s v="内容广告"/>
    <x v="4"/>
    <n v="9"/>
    <n v="5"/>
    <n v="0"/>
    <n v="0"/>
    <n v="0"/>
    <x v="0"/>
    <x v="5"/>
  </r>
  <r>
    <x v="0"/>
    <x v="5"/>
    <x v="2"/>
    <s v="效果广告"/>
    <x v="0"/>
    <n v="67414"/>
    <n v="54646"/>
    <n v="981"/>
    <n v="37"/>
    <n v="348000"/>
    <x v="0"/>
    <x v="5"/>
  </r>
  <r>
    <x v="0"/>
    <x v="5"/>
    <x v="2"/>
    <s v="站外广告"/>
    <x v="3"/>
    <n v="450"/>
    <n v="299"/>
    <n v="3"/>
    <n v="0"/>
    <n v="0"/>
    <x v="0"/>
    <x v="5"/>
  </r>
  <r>
    <x v="0"/>
    <x v="5"/>
    <x v="2"/>
    <s v="品牌广告"/>
    <x v="7"/>
    <n v="647"/>
    <n v="644"/>
    <n v="0"/>
    <n v="0"/>
    <n v="0"/>
    <x v="0"/>
    <x v="5"/>
  </r>
  <r>
    <x v="0"/>
    <x v="5"/>
    <x v="2"/>
    <s v="内容广告"/>
    <x v="13"/>
    <n v="3"/>
    <n v="2"/>
    <n v="0"/>
    <n v="0"/>
    <n v="0"/>
    <x v="0"/>
    <x v="5"/>
  </r>
  <r>
    <x v="0"/>
    <x v="6"/>
    <x v="0"/>
    <s v="品牌广告"/>
    <x v="10"/>
    <n v="47071"/>
    <n v="45487"/>
    <n v="0"/>
    <n v="0"/>
    <n v="0"/>
    <x v="0"/>
    <x v="6"/>
  </r>
  <r>
    <x v="0"/>
    <x v="6"/>
    <x v="0"/>
    <s v="品牌广告"/>
    <x v="11"/>
    <n v="7"/>
    <n v="3"/>
    <n v="0"/>
    <n v="0"/>
    <n v="0"/>
    <x v="0"/>
    <x v="6"/>
  </r>
  <r>
    <x v="0"/>
    <x v="6"/>
    <x v="0"/>
    <s v="品牌广告"/>
    <x v="12"/>
    <n v="15854"/>
    <n v="14470"/>
    <n v="0"/>
    <n v="0"/>
    <n v="0"/>
    <x v="0"/>
    <x v="6"/>
  </r>
  <r>
    <x v="0"/>
    <x v="6"/>
    <x v="0"/>
    <s v="站外广告"/>
    <x v="3"/>
    <n v="2208"/>
    <n v="1267"/>
    <n v="12"/>
    <n v="4"/>
    <n v="11595"/>
    <x v="0"/>
    <x v="6"/>
  </r>
  <r>
    <x v="0"/>
    <x v="6"/>
    <x v="0"/>
    <s v="效果广告"/>
    <x v="2"/>
    <n v="33978"/>
    <n v="31373"/>
    <n v="515"/>
    <n v="38"/>
    <n v="414430"/>
    <x v="0"/>
    <x v="6"/>
  </r>
  <r>
    <x v="0"/>
    <x v="6"/>
    <x v="0"/>
    <s v="品牌广告"/>
    <x v="6"/>
    <n v="16178"/>
    <n v="15123"/>
    <n v="618"/>
    <n v="34"/>
    <n v="559850"/>
    <x v="0"/>
    <x v="6"/>
  </r>
  <r>
    <x v="0"/>
    <x v="6"/>
    <x v="0"/>
    <s v="效果广告"/>
    <x v="0"/>
    <n v="65572"/>
    <n v="55747"/>
    <n v="1557"/>
    <n v="104"/>
    <n v="1308785"/>
    <x v="0"/>
    <x v="6"/>
  </r>
  <r>
    <x v="0"/>
    <x v="6"/>
    <x v="0"/>
    <s v="效果广告"/>
    <x v="5"/>
    <n v="137787"/>
    <n v="122415"/>
    <n v="1292"/>
    <n v="26"/>
    <n v="334225"/>
    <x v="0"/>
    <x v="6"/>
  </r>
  <r>
    <x v="0"/>
    <x v="6"/>
    <x v="0"/>
    <s v="站外广告"/>
    <x v="1"/>
    <n v="60"/>
    <n v="31"/>
    <n v="1"/>
    <n v="0"/>
    <n v="0"/>
    <x v="0"/>
    <x v="6"/>
  </r>
  <r>
    <x v="0"/>
    <x v="6"/>
    <x v="0"/>
    <s v="站外广告"/>
    <x v="8"/>
    <n v="4"/>
    <n v="3"/>
    <n v="0"/>
    <n v="0"/>
    <n v="0"/>
    <x v="0"/>
    <x v="6"/>
  </r>
  <r>
    <x v="0"/>
    <x v="6"/>
    <x v="0"/>
    <s v="品牌广告"/>
    <x v="7"/>
    <n v="1"/>
    <n v="1"/>
    <n v="0"/>
    <n v="0"/>
    <n v="0"/>
    <x v="0"/>
    <x v="6"/>
  </r>
  <r>
    <x v="0"/>
    <x v="6"/>
    <x v="1"/>
    <s v="品牌广告"/>
    <x v="9"/>
    <n v="18002"/>
    <n v="16162"/>
    <n v="775"/>
    <n v="152"/>
    <n v="736447.07000000007"/>
    <x v="0"/>
    <x v="6"/>
  </r>
  <r>
    <x v="0"/>
    <x v="6"/>
    <x v="1"/>
    <s v="品牌广告"/>
    <x v="11"/>
    <n v="6"/>
    <n v="4"/>
    <n v="0"/>
    <n v="0"/>
    <n v="0"/>
    <x v="0"/>
    <x v="6"/>
  </r>
  <r>
    <x v="0"/>
    <x v="6"/>
    <x v="1"/>
    <s v="内容广告"/>
    <x v="13"/>
    <n v="19421"/>
    <n v="17258"/>
    <n v="112"/>
    <n v="0"/>
    <n v="0"/>
    <x v="0"/>
    <x v="6"/>
  </r>
  <r>
    <x v="0"/>
    <x v="6"/>
    <x v="1"/>
    <s v="站外广告"/>
    <x v="8"/>
    <n v="3"/>
    <n v="2"/>
    <n v="0"/>
    <n v="0"/>
    <n v="0"/>
    <x v="0"/>
    <x v="6"/>
  </r>
  <r>
    <x v="0"/>
    <x v="6"/>
    <x v="1"/>
    <s v="效果广告"/>
    <x v="2"/>
    <n v="126838"/>
    <n v="120157"/>
    <n v="3575"/>
    <n v="701"/>
    <n v="3366633.3200000003"/>
    <x v="0"/>
    <x v="6"/>
  </r>
  <r>
    <x v="0"/>
    <x v="6"/>
    <x v="1"/>
    <s v="效果广告"/>
    <x v="0"/>
    <n v="72536"/>
    <n v="60060"/>
    <n v="2935"/>
    <n v="569"/>
    <n v="3298756.3699999996"/>
    <x v="0"/>
    <x v="6"/>
  </r>
  <r>
    <x v="0"/>
    <x v="6"/>
    <x v="1"/>
    <s v="品牌广告"/>
    <x v="10"/>
    <n v="10573"/>
    <n v="10004"/>
    <n v="0"/>
    <n v="0"/>
    <n v="0"/>
    <x v="0"/>
    <x v="6"/>
  </r>
  <r>
    <x v="0"/>
    <x v="6"/>
    <x v="1"/>
    <s v="内容广告"/>
    <x v="14"/>
    <n v="5"/>
    <n v="5"/>
    <n v="0"/>
    <n v="0"/>
    <n v="0"/>
    <x v="0"/>
    <x v="6"/>
  </r>
  <r>
    <x v="0"/>
    <x v="6"/>
    <x v="1"/>
    <s v="效果广告"/>
    <x v="5"/>
    <n v="81186"/>
    <n v="67971"/>
    <n v="2745"/>
    <n v="233"/>
    <n v="1142887.7800000003"/>
    <x v="0"/>
    <x v="6"/>
  </r>
  <r>
    <x v="0"/>
    <x v="6"/>
    <x v="1"/>
    <s v="品牌广告"/>
    <x v="7"/>
    <n v="3"/>
    <n v="2"/>
    <n v="0"/>
    <n v="0"/>
    <n v="0"/>
    <x v="0"/>
    <x v="6"/>
  </r>
  <r>
    <x v="0"/>
    <x v="6"/>
    <x v="1"/>
    <s v="品牌广告"/>
    <x v="12"/>
    <n v="7400"/>
    <n v="7059"/>
    <n v="0"/>
    <n v="0"/>
    <n v="0"/>
    <x v="0"/>
    <x v="6"/>
  </r>
  <r>
    <x v="0"/>
    <x v="6"/>
    <x v="1"/>
    <s v="内容广告"/>
    <x v="4"/>
    <n v="3661"/>
    <n v="3090"/>
    <n v="96"/>
    <n v="0"/>
    <n v="0"/>
    <x v="0"/>
    <x v="6"/>
  </r>
  <r>
    <x v="0"/>
    <x v="6"/>
    <x v="1"/>
    <s v="站外广告"/>
    <x v="1"/>
    <n v="97"/>
    <n v="64"/>
    <n v="2"/>
    <n v="0"/>
    <n v="0"/>
    <x v="0"/>
    <x v="6"/>
  </r>
  <r>
    <x v="0"/>
    <x v="6"/>
    <x v="1"/>
    <s v="站外广告"/>
    <x v="3"/>
    <n v="10821"/>
    <n v="9062"/>
    <n v="604"/>
    <n v="86"/>
    <n v="357840.00999999995"/>
    <x v="0"/>
    <x v="6"/>
  </r>
  <r>
    <x v="0"/>
    <x v="6"/>
    <x v="2"/>
    <s v="品牌广告"/>
    <x v="15"/>
    <n v="1"/>
    <n v="1"/>
    <n v="0"/>
    <n v="0"/>
    <n v="0"/>
    <x v="0"/>
    <x v="6"/>
  </r>
  <r>
    <x v="0"/>
    <x v="6"/>
    <x v="2"/>
    <s v="效果广告"/>
    <x v="5"/>
    <n v="77649"/>
    <n v="67335"/>
    <n v="398"/>
    <n v="14"/>
    <n v="121600"/>
    <x v="0"/>
    <x v="6"/>
  </r>
  <r>
    <x v="0"/>
    <x v="6"/>
    <x v="2"/>
    <s v="品牌广告"/>
    <x v="10"/>
    <n v="43170"/>
    <n v="40530"/>
    <n v="0"/>
    <n v="0"/>
    <n v="0"/>
    <x v="0"/>
    <x v="6"/>
  </r>
  <r>
    <x v="0"/>
    <x v="6"/>
    <x v="2"/>
    <s v="品牌广告"/>
    <x v="9"/>
    <n v="72109"/>
    <n v="67402"/>
    <n v="1964"/>
    <n v="224"/>
    <n v="2675800"/>
    <x v="0"/>
    <x v="6"/>
  </r>
  <r>
    <x v="0"/>
    <x v="6"/>
    <x v="2"/>
    <s v="品牌广告"/>
    <x v="11"/>
    <n v="5"/>
    <n v="4"/>
    <n v="0"/>
    <n v="0"/>
    <n v="0"/>
    <x v="0"/>
    <x v="6"/>
  </r>
  <r>
    <x v="0"/>
    <x v="6"/>
    <x v="2"/>
    <s v="内容广告"/>
    <x v="4"/>
    <n v="2"/>
    <n v="0"/>
    <n v="0"/>
    <n v="0"/>
    <n v="0"/>
    <x v="0"/>
    <x v="6"/>
  </r>
  <r>
    <x v="0"/>
    <x v="6"/>
    <x v="2"/>
    <s v="站外广告"/>
    <x v="1"/>
    <n v="136"/>
    <n v="109"/>
    <n v="4"/>
    <n v="0"/>
    <n v="0"/>
    <x v="0"/>
    <x v="6"/>
  </r>
  <r>
    <x v="0"/>
    <x v="6"/>
    <x v="2"/>
    <s v="品牌广告"/>
    <x v="7"/>
    <n v="315"/>
    <n v="312"/>
    <n v="0"/>
    <n v="0"/>
    <n v="0"/>
    <x v="0"/>
    <x v="6"/>
  </r>
  <r>
    <x v="0"/>
    <x v="6"/>
    <x v="2"/>
    <s v="效果广告"/>
    <x v="0"/>
    <n v="58860"/>
    <n v="48906"/>
    <n v="1401"/>
    <n v="118"/>
    <n v="1264050"/>
    <x v="0"/>
    <x v="6"/>
  </r>
  <r>
    <x v="0"/>
    <x v="6"/>
    <x v="2"/>
    <s v="效果广告"/>
    <x v="2"/>
    <n v="65950"/>
    <n v="61194"/>
    <n v="585"/>
    <n v="44"/>
    <n v="289400"/>
    <x v="0"/>
    <x v="6"/>
  </r>
  <r>
    <x v="0"/>
    <x v="6"/>
    <x v="2"/>
    <s v="站外广告"/>
    <x v="8"/>
    <n v="2"/>
    <n v="2"/>
    <n v="0"/>
    <n v="0"/>
    <n v="0"/>
    <x v="0"/>
    <x v="6"/>
  </r>
  <r>
    <x v="0"/>
    <x v="6"/>
    <x v="2"/>
    <s v="站外广告"/>
    <x v="3"/>
    <n v="1506"/>
    <n v="847"/>
    <n v="19"/>
    <n v="13"/>
    <n v="125200"/>
    <x v="0"/>
    <x v="6"/>
  </r>
  <r>
    <x v="0"/>
    <x v="7"/>
    <x v="0"/>
    <s v="效果广告"/>
    <x v="5"/>
    <n v="174230"/>
    <n v="157269"/>
    <n v="1479"/>
    <n v="28"/>
    <n v="324790"/>
    <x v="0"/>
    <x v="7"/>
  </r>
  <r>
    <x v="0"/>
    <x v="7"/>
    <x v="0"/>
    <s v="品牌广告"/>
    <x v="6"/>
    <n v="16499"/>
    <n v="15321"/>
    <n v="967"/>
    <n v="52"/>
    <n v="522430"/>
    <x v="0"/>
    <x v="7"/>
  </r>
  <r>
    <x v="0"/>
    <x v="7"/>
    <x v="0"/>
    <s v="品牌广告"/>
    <x v="11"/>
    <n v="6"/>
    <n v="3"/>
    <n v="0"/>
    <n v="0"/>
    <n v="0"/>
    <x v="0"/>
    <x v="7"/>
  </r>
  <r>
    <x v="0"/>
    <x v="7"/>
    <x v="0"/>
    <s v="站外广告"/>
    <x v="8"/>
    <n v="1"/>
    <n v="1"/>
    <n v="0"/>
    <n v="0"/>
    <n v="0"/>
    <x v="0"/>
    <x v="7"/>
  </r>
  <r>
    <x v="0"/>
    <x v="7"/>
    <x v="0"/>
    <s v="品牌广告"/>
    <x v="7"/>
    <n v="5"/>
    <n v="3"/>
    <n v="0"/>
    <n v="0"/>
    <n v="0"/>
    <x v="0"/>
    <x v="7"/>
  </r>
  <r>
    <x v="0"/>
    <x v="7"/>
    <x v="0"/>
    <s v="品牌广告"/>
    <x v="10"/>
    <n v="23855"/>
    <n v="22092"/>
    <n v="0"/>
    <n v="0"/>
    <n v="0"/>
    <x v="0"/>
    <x v="7"/>
  </r>
  <r>
    <x v="0"/>
    <x v="7"/>
    <x v="0"/>
    <s v="站外广告"/>
    <x v="3"/>
    <n v="2684"/>
    <n v="1433"/>
    <n v="20"/>
    <n v="7"/>
    <n v="68905"/>
    <x v="0"/>
    <x v="7"/>
  </r>
  <r>
    <x v="0"/>
    <x v="7"/>
    <x v="0"/>
    <s v="效果广告"/>
    <x v="0"/>
    <n v="83960"/>
    <n v="74668"/>
    <n v="2441"/>
    <n v="125"/>
    <n v="1626315"/>
    <x v="0"/>
    <x v="7"/>
  </r>
  <r>
    <x v="0"/>
    <x v="7"/>
    <x v="0"/>
    <s v="内容广告"/>
    <x v="4"/>
    <n v="7"/>
    <n v="4"/>
    <n v="0"/>
    <n v="0"/>
    <n v="0"/>
    <x v="0"/>
    <x v="7"/>
  </r>
  <r>
    <x v="0"/>
    <x v="7"/>
    <x v="0"/>
    <s v="效果广告"/>
    <x v="2"/>
    <n v="24065"/>
    <n v="21933"/>
    <n v="582"/>
    <n v="25"/>
    <n v="212860"/>
    <x v="0"/>
    <x v="7"/>
  </r>
  <r>
    <x v="0"/>
    <x v="7"/>
    <x v="0"/>
    <s v="品牌广告"/>
    <x v="12"/>
    <n v="10154"/>
    <n v="9037"/>
    <n v="0"/>
    <n v="0"/>
    <n v="0"/>
    <x v="0"/>
    <x v="7"/>
  </r>
  <r>
    <x v="0"/>
    <x v="7"/>
    <x v="0"/>
    <s v="站外广告"/>
    <x v="1"/>
    <n v="29"/>
    <n v="23"/>
    <n v="1"/>
    <n v="0"/>
    <n v="0"/>
    <x v="0"/>
    <x v="7"/>
  </r>
  <r>
    <x v="0"/>
    <x v="7"/>
    <x v="1"/>
    <s v="内容广告"/>
    <x v="4"/>
    <n v="3895"/>
    <n v="3009"/>
    <n v="177"/>
    <n v="0"/>
    <n v="0"/>
    <x v="0"/>
    <x v="7"/>
  </r>
  <r>
    <x v="0"/>
    <x v="7"/>
    <x v="1"/>
    <s v="内容广告"/>
    <x v="13"/>
    <n v="34711"/>
    <n v="30425"/>
    <n v="145"/>
    <n v="0"/>
    <n v="0"/>
    <x v="0"/>
    <x v="7"/>
  </r>
  <r>
    <x v="0"/>
    <x v="7"/>
    <x v="1"/>
    <s v="站外广告"/>
    <x v="1"/>
    <n v="43"/>
    <n v="23"/>
    <n v="1"/>
    <n v="0"/>
    <n v="0"/>
    <x v="0"/>
    <x v="7"/>
  </r>
  <r>
    <x v="0"/>
    <x v="7"/>
    <x v="1"/>
    <s v="站外广告"/>
    <x v="8"/>
    <n v="2"/>
    <n v="2"/>
    <n v="0"/>
    <n v="0"/>
    <n v="0"/>
    <x v="0"/>
    <x v="7"/>
  </r>
  <r>
    <x v="0"/>
    <x v="7"/>
    <x v="1"/>
    <s v="站外广告"/>
    <x v="3"/>
    <n v="4917"/>
    <n v="2843"/>
    <n v="115"/>
    <n v="39"/>
    <n v="146088.41"/>
    <x v="0"/>
    <x v="7"/>
  </r>
  <r>
    <x v="0"/>
    <x v="7"/>
    <x v="1"/>
    <s v="内容广告"/>
    <x v="14"/>
    <n v="1"/>
    <n v="0"/>
    <n v="0"/>
    <n v="0"/>
    <n v="0"/>
    <x v="0"/>
    <x v="7"/>
  </r>
  <r>
    <x v="0"/>
    <x v="7"/>
    <x v="1"/>
    <s v="效果广告"/>
    <x v="0"/>
    <n v="69938"/>
    <n v="57342"/>
    <n v="2681"/>
    <n v="380"/>
    <n v="1615948.2699999998"/>
    <x v="0"/>
    <x v="7"/>
  </r>
  <r>
    <x v="0"/>
    <x v="7"/>
    <x v="1"/>
    <s v="品牌广告"/>
    <x v="11"/>
    <n v="3"/>
    <n v="1"/>
    <n v="0"/>
    <n v="0"/>
    <n v="0"/>
    <x v="0"/>
    <x v="7"/>
  </r>
  <r>
    <x v="0"/>
    <x v="7"/>
    <x v="1"/>
    <s v="效果广告"/>
    <x v="2"/>
    <n v="105119"/>
    <n v="97629"/>
    <n v="2438"/>
    <n v="481"/>
    <n v="2137935.5"/>
    <x v="0"/>
    <x v="7"/>
  </r>
  <r>
    <x v="0"/>
    <x v="7"/>
    <x v="1"/>
    <s v="效果广告"/>
    <x v="5"/>
    <n v="63841"/>
    <n v="47797"/>
    <n v="1993"/>
    <n v="181"/>
    <n v="731191.14"/>
    <x v="0"/>
    <x v="7"/>
  </r>
  <r>
    <x v="0"/>
    <x v="7"/>
    <x v="1"/>
    <s v="品牌广告"/>
    <x v="12"/>
    <n v="4013"/>
    <n v="3551"/>
    <n v="0"/>
    <n v="0"/>
    <n v="0"/>
    <x v="0"/>
    <x v="7"/>
  </r>
  <r>
    <x v="0"/>
    <x v="7"/>
    <x v="1"/>
    <s v="品牌广告"/>
    <x v="10"/>
    <n v="3562"/>
    <n v="3085"/>
    <n v="0"/>
    <n v="0"/>
    <n v="0"/>
    <x v="0"/>
    <x v="7"/>
  </r>
  <r>
    <x v="0"/>
    <x v="7"/>
    <x v="1"/>
    <s v="品牌广告"/>
    <x v="9"/>
    <n v="17341"/>
    <n v="15708"/>
    <n v="577"/>
    <n v="113"/>
    <n v="572094.5"/>
    <x v="0"/>
    <x v="7"/>
  </r>
  <r>
    <x v="0"/>
    <x v="7"/>
    <x v="2"/>
    <s v="站外广告"/>
    <x v="8"/>
    <n v="2"/>
    <n v="2"/>
    <n v="0"/>
    <n v="0"/>
    <n v="0"/>
    <x v="0"/>
    <x v="7"/>
  </r>
  <r>
    <x v="0"/>
    <x v="7"/>
    <x v="2"/>
    <s v="品牌广告"/>
    <x v="15"/>
    <n v="40570"/>
    <n v="40405"/>
    <n v="0"/>
    <n v="0"/>
    <n v="0"/>
    <x v="0"/>
    <x v="7"/>
  </r>
  <r>
    <x v="0"/>
    <x v="7"/>
    <x v="2"/>
    <s v="品牌广告"/>
    <x v="9"/>
    <n v="82793"/>
    <n v="78415"/>
    <n v="2308"/>
    <n v="219"/>
    <n v="2724520"/>
    <x v="0"/>
    <x v="7"/>
  </r>
  <r>
    <x v="0"/>
    <x v="7"/>
    <x v="2"/>
    <s v="效果广告"/>
    <x v="0"/>
    <n v="94490"/>
    <n v="85631"/>
    <n v="1566"/>
    <n v="121"/>
    <n v="1447400"/>
    <x v="0"/>
    <x v="7"/>
  </r>
  <r>
    <x v="0"/>
    <x v="7"/>
    <x v="2"/>
    <s v="效果广告"/>
    <x v="5"/>
    <n v="63666"/>
    <n v="54514"/>
    <n v="308"/>
    <n v="7"/>
    <n v="53950"/>
    <x v="0"/>
    <x v="7"/>
  </r>
  <r>
    <x v="0"/>
    <x v="7"/>
    <x v="2"/>
    <s v="内容广告"/>
    <x v="14"/>
    <n v="1"/>
    <n v="0"/>
    <n v="0"/>
    <n v="0"/>
    <n v="0"/>
    <x v="0"/>
    <x v="7"/>
  </r>
  <r>
    <x v="0"/>
    <x v="7"/>
    <x v="2"/>
    <s v="品牌广告"/>
    <x v="10"/>
    <n v="24289"/>
    <n v="22366"/>
    <n v="0"/>
    <n v="0"/>
    <n v="0"/>
    <x v="0"/>
    <x v="7"/>
  </r>
  <r>
    <x v="0"/>
    <x v="7"/>
    <x v="2"/>
    <s v="内容广告"/>
    <x v="4"/>
    <n v="3"/>
    <n v="1"/>
    <n v="0"/>
    <n v="0"/>
    <n v="0"/>
    <x v="0"/>
    <x v="7"/>
  </r>
  <r>
    <x v="0"/>
    <x v="7"/>
    <x v="2"/>
    <s v="站外广告"/>
    <x v="1"/>
    <n v="45"/>
    <n v="32"/>
    <n v="2"/>
    <n v="0"/>
    <n v="0"/>
    <x v="0"/>
    <x v="7"/>
  </r>
  <r>
    <x v="0"/>
    <x v="7"/>
    <x v="2"/>
    <s v="品牌广告"/>
    <x v="7"/>
    <n v="159"/>
    <n v="157"/>
    <n v="0"/>
    <n v="0"/>
    <n v="0"/>
    <x v="0"/>
    <x v="7"/>
  </r>
  <r>
    <x v="0"/>
    <x v="7"/>
    <x v="2"/>
    <s v="品牌广告"/>
    <x v="11"/>
    <n v="5"/>
    <n v="3"/>
    <n v="0"/>
    <n v="0"/>
    <n v="0"/>
    <x v="0"/>
    <x v="7"/>
  </r>
  <r>
    <x v="0"/>
    <x v="7"/>
    <x v="2"/>
    <s v="站外广告"/>
    <x v="3"/>
    <n v="1564"/>
    <n v="823"/>
    <n v="18"/>
    <n v="8"/>
    <n v="88450"/>
    <x v="0"/>
    <x v="7"/>
  </r>
  <r>
    <x v="0"/>
    <x v="7"/>
    <x v="2"/>
    <s v="效果广告"/>
    <x v="2"/>
    <n v="61530"/>
    <n v="57097"/>
    <n v="608"/>
    <n v="31"/>
    <n v="350820"/>
    <x v="0"/>
    <x v="7"/>
  </r>
  <r>
    <x v="0"/>
    <x v="8"/>
    <x v="0"/>
    <s v="效果广告"/>
    <x v="2"/>
    <n v="30923"/>
    <n v="27616"/>
    <n v="525"/>
    <n v="28"/>
    <n v="355465"/>
    <x v="0"/>
    <x v="8"/>
  </r>
  <r>
    <x v="0"/>
    <x v="8"/>
    <x v="0"/>
    <s v="站外广告"/>
    <x v="1"/>
    <n v="100"/>
    <n v="67"/>
    <n v="0"/>
    <n v="0"/>
    <n v="0"/>
    <x v="0"/>
    <x v="8"/>
  </r>
  <r>
    <x v="0"/>
    <x v="8"/>
    <x v="0"/>
    <s v="品牌广告"/>
    <x v="7"/>
    <n v="3"/>
    <n v="3"/>
    <n v="0"/>
    <n v="0"/>
    <n v="0"/>
    <x v="0"/>
    <x v="8"/>
  </r>
  <r>
    <x v="0"/>
    <x v="8"/>
    <x v="0"/>
    <s v="站外广告"/>
    <x v="3"/>
    <n v="5062"/>
    <n v="3130"/>
    <n v="25"/>
    <n v="6"/>
    <n v="251720"/>
    <x v="0"/>
    <x v="8"/>
  </r>
  <r>
    <x v="0"/>
    <x v="8"/>
    <x v="0"/>
    <s v="效果广告"/>
    <x v="5"/>
    <n v="260479"/>
    <n v="233339"/>
    <n v="1907"/>
    <n v="69"/>
    <n v="987775"/>
    <x v="0"/>
    <x v="8"/>
  </r>
  <r>
    <x v="0"/>
    <x v="8"/>
    <x v="0"/>
    <s v="内容广告"/>
    <x v="14"/>
    <n v="1"/>
    <n v="1"/>
    <n v="0"/>
    <n v="0"/>
    <n v="0"/>
    <x v="0"/>
    <x v="8"/>
  </r>
  <r>
    <x v="0"/>
    <x v="8"/>
    <x v="0"/>
    <s v="站外广告"/>
    <x v="8"/>
    <n v="1"/>
    <n v="1"/>
    <n v="0"/>
    <n v="0"/>
    <n v="0"/>
    <x v="0"/>
    <x v="8"/>
  </r>
  <r>
    <x v="0"/>
    <x v="8"/>
    <x v="0"/>
    <s v="效果广告"/>
    <x v="0"/>
    <n v="168071"/>
    <n v="155232"/>
    <n v="2117"/>
    <n v="152"/>
    <n v="2759830"/>
    <x v="0"/>
    <x v="8"/>
  </r>
  <r>
    <x v="0"/>
    <x v="8"/>
    <x v="0"/>
    <s v="内容广告"/>
    <x v="4"/>
    <n v="9"/>
    <n v="5"/>
    <n v="0"/>
    <n v="0"/>
    <n v="0"/>
    <x v="0"/>
    <x v="8"/>
  </r>
  <r>
    <x v="0"/>
    <x v="8"/>
    <x v="0"/>
    <s v="品牌广告"/>
    <x v="12"/>
    <n v="86823"/>
    <n v="83713"/>
    <n v="0"/>
    <n v="0"/>
    <n v="0"/>
    <x v="0"/>
    <x v="8"/>
  </r>
  <r>
    <x v="0"/>
    <x v="8"/>
    <x v="0"/>
    <s v="品牌广告"/>
    <x v="6"/>
    <n v="20456"/>
    <n v="19106"/>
    <n v="960"/>
    <n v="54"/>
    <n v="756015"/>
    <x v="0"/>
    <x v="8"/>
  </r>
  <r>
    <x v="0"/>
    <x v="8"/>
    <x v="0"/>
    <s v="品牌广告"/>
    <x v="9"/>
    <n v="1"/>
    <n v="0"/>
    <n v="0"/>
    <n v="0"/>
    <n v="0"/>
    <x v="0"/>
    <x v="8"/>
  </r>
  <r>
    <x v="0"/>
    <x v="8"/>
    <x v="0"/>
    <s v="品牌广告"/>
    <x v="10"/>
    <n v="2"/>
    <n v="2"/>
    <n v="0"/>
    <n v="0"/>
    <n v="0"/>
    <x v="0"/>
    <x v="8"/>
  </r>
  <r>
    <x v="0"/>
    <x v="8"/>
    <x v="1"/>
    <s v="效果广告"/>
    <x v="2"/>
    <n v="90026"/>
    <n v="84777"/>
    <n v="948"/>
    <n v="105"/>
    <n v="543609.5"/>
    <x v="0"/>
    <x v="8"/>
  </r>
  <r>
    <x v="0"/>
    <x v="8"/>
    <x v="1"/>
    <s v="效果广告"/>
    <x v="5"/>
    <n v="51362"/>
    <n v="41323"/>
    <n v="1027"/>
    <n v="74"/>
    <n v="413338.65"/>
    <x v="0"/>
    <x v="8"/>
  </r>
  <r>
    <x v="0"/>
    <x v="8"/>
    <x v="1"/>
    <s v="站外广告"/>
    <x v="1"/>
    <n v="51"/>
    <n v="28"/>
    <n v="0"/>
    <n v="0"/>
    <n v="0"/>
    <x v="0"/>
    <x v="8"/>
  </r>
  <r>
    <x v="0"/>
    <x v="8"/>
    <x v="1"/>
    <s v="品牌广告"/>
    <x v="10"/>
    <n v="1"/>
    <n v="1"/>
    <n v="0"/>
    <n v="0"/>
    <n v="0"/>
    <x v="0"/>
    <x v="8"/>
  </r>
  <r>
    <x v="0"/>
    <x v="8"/>
    <x v="1"/>
    <s v="内容广告"/>
    <x v="13"/>
    <n v="5334"/>
    <n v="4569"/>
    <n v="49"/>
    <n v="0"/>
    <n v="0"/>
    <x v="0"/>
    <x v="8"/>
  </r>
  <r>
    <x v="0"/>
    <x v="8"/>
    <x v="1"/>
    <s v="品牌广告"/>
    <x v="9"/>
    <n v="19739"/>
    <n v="18328"/>
    <n v="415"/>
    <n v="80"/>
    <n v="500637"/>
    <x v="0"/>
    <x v="8"/>
  </r>
  <r>
    <x v="0"/>
    <x v="8"/>
    <x v="1"/>
    <s v="内容广告"/>
    <x v="4"/>
    <n v="13986"/>
    <n v="12263"/>
    <n v="60"/>
    <n v="0"/>
    <n v="0"/>
    <x v="0"/>
    <x v="8"/>
  </r>
  <r>
    <x v="0"/>
    <x v="8"/>
    <x v="1"/>
    <s v="站外广告"/>
    <x v="8"/>
    <n v="1"/>
    <n v="1"/>
    <n v="0"/>
    <n v="0"/>
    <n v="0"/>
    <x v="0"/>
    <x v="8"/>
  </r>
  <r>
    <x v="0"/>
    <x v="8"/>
    <x v="1"/>
    <s v="站外广告"/>
    <x v="3"/>
    <n v="3493"/>
    <n v="1997"/>
    <n v="62"/>
    <n v="43"/>
    <n v="231421.03000000003"/>
    <x v="0"/>
    <x v="8"/>
  </r>
  <r>
    <x v="0"/>
    <x v="8"/>
    <x v="1"/>
    <s v="效果广告"/>
    <x v="0"/>
    <n v="65599"/>
    <n v="57843"/>
    <n v="1163"/>
    <n v="173"/>
    <n v="1064223.82"/>
    <x v="0"/>
    <x v="8"/>
  </r>
  <r>
    <x v="0"/>
    <x v="8"/>
    <x v="1"/>
    <s v="品牌广告"/>
    <x v="11"/>
    <n v="2"/>
    <n v="1"/>
    <n v="0"/>
    <n v="0"/>
    <n v="0"/>
    <x v="0"/>
    <x v="8"/>
  </r>
  <r>
    <x v="0"/>
    <x v="8"/>
    <x v="2"/>
    <s v="效果广告"/>
    <x v="2"/>
    <n v="83283"/>
    <n v="77562"/>
    <n v="630"/>
    <n v="38"/>
    <n v="312780"/>
    <x v="0"/>
    <x v="8"/>
  </r>
  <r>
    <x v="0"/>
    <x v="8"/>
    <x v="2"/>
    <s v="品牌广告"/>
    <x v="9"/>
    <n v="81619"/>
    <n v="76431"/>
    <n v="2195"/>
    <n v="199"/>
    <n v="2703760"/>
    <x v="0"/>
    <x v="8"/>
  </r>
  <r>
    <x v="0"/>
    <x v="8"/>
    <x v="2"/>
    <s v="站外广告"/>
    <x v="1"/>
    <n v="109"/>
    <n v="75"/>
    <n v="2"/>
    <n v="0"/>
    <n v="0"/>
    <x v="0"/>
    <x v="8"/>
  </r>
  <r>
    <x v="0"/>
    <x v="8"/>
    <x v="2"/>
    <s v="效果广告"/>
    <x v="0"/>
    <n v="164089"/>
    <n v="152644"/>
    <n v="1097"/>
    <n v="105"/>
    <n v="1337280"/>
    <x v="0"/>
    <x v="8"/>
  </r>
  <r>
    <x v="0"/>
    <x v="8"/>
    <x v="2"/>
    <s v="站外广告"/>
    <x v="3"/>
    <n v="998"/>
    <n v="640"/>
    <n v="3"/>
    <n v="0"/>
    <n v="0"/>
    <x v="0"/>
    <x v="8"/>
  </r>
  <r>
    <x v="0"/>
    <x v="8"/>
    <x v="2"/>
    <s v="内容广告"/>
    <x v="4"/>
    <n v="4"/>
    <n v="3"/>
    <n v="0"/>
    <n v="0"/>
    <n v="0"/>
    <x v="0"/>
    <x v="8"/>
  </r>
  <r>
    <x v="0"/>
    <x v="8"/>
    <x v="2"/>
    <s v="品牌广告"/>
    <x v="11"/>
    <n v="2"/>
    <n v="2"/>
    <n v="0"/>
    <n v="0"/>
    <n v="0"/>
    <x v="0"/>
    <x v="8"/>
  </r>
  <r>
    <x v="0"/>
    <x v="8"/>
    <x v="2"/>
    <s v="品牌广告"/>
    <x v="15"/>
    <n v="22"/>
    <n v="22"/>
    <n v="0"/>
    <n v="0"/>
    <n v="0"/>
    <x v="0"/>
    <x v="8"/>
  </r>
  <r>
    <x v="0"/>
    <x v="8"/>
    <x v="2"/>
    <s v="品牌广告"/>
    <x v="7"/>
    <n v="117"/>
    <n v="115"/>
    <n v="0"/>
    <n v="0"/>
    <n v="0"/>
    <x v="0"/>
    <x v="8"/>
  </r>
  <r>
    <x v="0"/>
    <x v="8"/>
    <x v="2"/>
    <s v="品牌广告"/>
    <x v="10"/>
    <n v="14"/>
    <n v="11"/>
    <n v="0"/>
    <n v="0"/>
    <n v="0"/>
    <x v="0"/>
    <x v="8"/>
  </r>
  <r>
    <x v="0"/>
    <x v="8"/>
    <x v="2"/>
    <s v="效果广告"/>
    <x v="5"/>
    <n v="157060"/>
    <n v="135546"/>
    <n v="508"/>
    <n v="11"/>
    <n v="91700"/>
    <x v="0"/>
    <x v="8"/>
  </r>
  <r>
    <x v="0"/>
    <x v="8"/>
    <x v="2"/>
    <s v="品牌广告"/>
    <x v="6"/>
    <n v="1"/>
    <n v="1"/>
    <n v="0"/>
    <n v="0"/>
    <n v="0"/>
    <x v="0"/>
    <x v="8"/>
  </r>
  <r>
    <x v="0"/>
    <x v="9"/>
    <x v="0"/>
    <s v="品牌广告"/>
    <x v="6"/>
    <n v="20"/>
    <n v="6"/>
    <n v="0"/>
    <n v="0"/>
    <n v="0"/>
    <x v="0"/>
    <x v="9"/>
  </r>
  <r>
    <x v="0"/>
    <x v="9"/>
    <x v="0"/>
    <s v="站外广告"/>
    <x v="8"/>
    <n v="1"/>
    <n v="1"/>
    <n v="0"/>
    <n v="0"/>
    <n v="0"/>
    <x v="0"/>
    <x v="9"/>
  </r>
  <r>
    <x v="0"/>
    <x v="9"/>
    <x v="0"/>
    <s v="品牌广告"/>
    <x v="9"/>
    <n v="18382"/>
    <n v="17112"/>
    <n v="738"/>
    <n v="50"/>
    <n v="616690"/>
    <x v="0"/>
    <x v="9"/>
  </r>
  <r>
    <x v="0"/>
    <x v="9"/>
    <x v="0"/>
    <s v="品牌广告"/>
    <x v="12"/>
    <n v="59"/>
    <n v="36"/>
    <n v="0"/>
    <n v="0"/>
    <n v="0"/>
    <x v="0"/>
    <x v="9"/>
  </r>
  <r>
    <x v="0"/>
    <x v="9"/>
    <x v="0"/>
    <s v="品牌广告"/>
    <x v="10"/>
    <n v="2"/>
    <n v="2"/>
    <n v="0"/>
    <n v="0"/>
    <n v="0"/>
    <x v="0"/>
    <x v="9"/>
  </r>
  <r>
    <x v="0"/>
    <x v="9"/>
    <x v="0"/>
    <s v="效果广告"/>
    <x v="0"/>
    <n v="140011"/>
    <n v="133084"/>
    <n v="1593"/>
    <n v="84"/>
    <n v="876815"/>
    <x v="0"/>
    <x v="9"/>
  </r>
  <r>
    <x v="0"/>
    <x v="9"/>
    <x v="0"/>
    <s v="站外广告"/>
    <x v="3"/>
    <n v="6575"/>
    <n v="3095"/>
    <n v="24"/>
    <n v="10"/>
    <n v="164400"/>
    <x v="0"/>
    <x v="9"/>
  </r>
  <r>
    <x v="0"/>
    <x v="9"/>
    <x v="0"/>
    <s v="效果广告"/>
    <x v="2"/>
    <n v="26483"/>
    <n v="23247"/>
    <n v="426"/>
    <n v="35"/>
    <n v="339420"/>
    <x v="0"/>
    <x v="9"/>
  </r>
  <r>
    <x v="0"/>
    <x v="9"/>
    <x v="0"/>
    <s v="品牌广告"/>
    <x v="7"/>
    <n v="2"/>
    <n v="0"/>
    <n v="0"/>
    <n v="0"/>
    <n v="0"/>
    <x v="0"/>
    <x v="9"/>
  </r>
  <r>
    <x v="0"/>
    <x v="9"/>
    <x v="0"/>
    <s v="站外广告"/>
    <x v="1"/>
    <n v="56"/>
    <n v="36"/>
    <n v="0"/>
    <n v="0"/>
    <n v="0"/>
    <x v="0"/>
    <x v="9"/>
  </r>
  <r>
    <x v="0"/>
    <x v="9"/>
    <x v="0"/>
    <s v="效果广告"/>
    <x v="5"/>
    <n v="274209"/>
    <n v="243366"/>
    <n v="1737"/>
    <n v="57"/>
    <n v="638960"/>
    <x v="0"/>
    <x v="9"/>
  </r>
  <r>
    <x v="0"/>
    <x v="9"/>
    <x v="0"/>
    <s v="内容广告"/>
    <x v="4"/>
    <n v="150461"/>
    <n v="135254"/>
    <n v="41"/>
    <n v="0"/>
    <n v="0"/>
    <x v="0"/>
    <x v="9"/>
  </r>
  <r>
    <x v="0"/>
    <x v="9"/>
    <x v="1"/>
    <s v="站外广告"/>
    <x v="1"/>
    <n v="24"/>
    <n v="15"/>
    <n v="1"/>
    <n v="0"/>
    <n v="0"/>
    <x v="0"/>
    <x v="9"/>
  </r>
  <r>
    <x v="0"/>
    <x v="9"/>
    <x v="1"/>
    <s v="效果广告"/>
    <x v="0"/>
    <n v="94433"/>
    <n v="85373"/>
    <n v="1113"/>
    <n v="107"/>
    <n v="827323.05"/>
    <x v="0"/>
    <x v="9"/>
  </r>
  <r>
    <x v="0"/>
    <x v="9"/>
    <x v="1"/>
    <s v="效果广告"/>
    <x v="2"/>
    <n v="72257"/>
    <n v="67945"/>
    <n v="733"/>
    <n v="66"/>
    <n v="463160"/>
    <x v="0"/>
    <x v="9"/>
  </r>
  <r>
    <x v="0"/>
    <x v="9"/>
    <x v="1"/>
    <s v="站外广告"/>
    <x v="3"/>
    <n v="10273"/>
    <n v="5121"/>
    <n v="24"/>
    <n v="8"/>
    <n v="40860"/>
    <x v="0"/>
    <x v="9"/>
  </r>
  <r>
    <x v="0"/>
    <x v="9"/>
    <x v="1"/>
    <s v="品牌广告"/>
    <x v="9"/>
    <n v="13"/>
    <n v="9"/>
    <n v="0"/>
    <n v="0"/>
    <n v="0"/>
    <x v="0"/>
    <x v="9"/>
  </r>
  <r>
    <x v="0"/>
    <x v="9"/>
    <x v="1"/>
    <s v="内容广告"/>
    <x v="4"/>
    <n v="1242"/>
    <n v="902"/>
    <n v="3"/>
    <n v="0"/>
    <n v="0"/>
    <x v="0"/>
    <x v="9"/>
  </r>
  <r>
    <x v="0"/>
    <x v="9"/>
    <x v="1"/>
    <s v="效果广告"/>
    <x v="5"/>
    <n v="82727"/>
    <n v="72092"/>
    <n v="717"/>
    <n v="35"/>
    <n v="308808.05"/>
    <x v="0"/>
    <x v="9"/>
  </r>
  <r>
    <x v="0"/>
    <x v="9"/>
    <x v="1"/>
    <s v="品牌广告"/>
    <x v="12"/>
    <n v="1"/>
    <n v="1"/>
    <n v="0"/>
    <n v="0"/>
    <n v="0"/>
    <x v="0"/>
    <x v="9"/>
  </r>
  <r>
    <x v="0"/>
    <x v="9"/>
    <x v="1"/>
    <s v="内容广告"/>
    <x v="13"/>
    <n v="14654"/>
    <n v="12717"/>
    <n v="117"/>
    <n v="0"/>
    <n v="0"/>
    <x v="0"/>
    <x v="9"/>
  </r>
  <r>
    <x v="0"/>
    <x v="9"/>
    <x v="2"/>
    <s v="效果广告"/>
    <x v="2"/>
    <n v="59601"/>
    <n v="54892"/>
    <n v="536"/>
    <n v="38"/>
    <n v="525000"/>
    <x v="0"/>
    <x v="9"/>
  </r>
  <r>
    <x v="0"/>
    <x v="9"/>
    <x v="2"/>
    <s v="品牌广告"/>
    <x v="11"/>
    <n v="1"/>
    <n v="0"/>
    <n v="0"/>
    <n v="0"/>
    <n v="0"/>
    <x v="0"/>
    <x v="9"/>
  </r>
  <r>
    <x v="0"/>
    <x v="9"/>
    <x v="2"/>
    <s v="内容广告"/>
    <x v="4"/>
    <n v="3"/>
    <n v="3"/>
    <n v="0"/>
    <n v="0"/>
    <n v="0"/>
    <x v="0"/>
    <x v="9"/>
  </r>
  <r>
    <x v="0"/>
    <x v="9"/>
    <x v="2"/>
    <s v="效果广告"/>
    <x v="5"/>
    <n v="130974"/>
    <n v="111202"/>
    <n v="483"/>
    <n v="15"/>
    <n v="156300"/>
    <x v="0"/>
    <x v="9"/>
  </r>
  <r>
    <x v="0"/>
    <x v="9"/>
    <x v="2"/>
    <s v="站外广告"/>
    <x v="1"/>
    <n v="88"/>
    <n v="65"/>
    <n v="3"/>
    <n v="0"/>
    <n v="0"/>
    <x v="0"/>
    <x v="9"/>
  </r>
  <r>
    <x v="0"/>
    <x v="9"/>
    <x v="2"/>
    <s v="品牌广告"/>
    <x v="15"/>
    <n v="9"/>
    <n v="9"/>
    <n v="0"/>
    <n v="0"/>
    <n v="0"/>
    <x v="0"/>
    <x v="9"/>
  </r>
  <r>
    <x v="0"/>
    <x v="9"/>
    <x v="2"/>
    <s v="品牌广告"/>
    <x v="7"/>
    <n v="99"/>
    <n v="98"/>
    <n v="0"/>
    <n v="0"/>
    <n v="0"/>
    <x v="0"/>
    <x v="9"/>
  </r>
  <r>
    <x v="0"/>
    <x v="9"/>
    <x v="2"/>
    <s v="效果广告"/>
    <x v="0"/>
    <n v="106192"/>
    <n v="96802"/>
    <n v="939"/>
    <n v="116"/>
    <n v="1468200"/>
    <x v="0"/>
    <x v="9"/>
  </r>
  <r>
    <x v="0"/>
    <x v="9"/>
    <x v="2"/>
    <s v="品牌广告"/>
    <x v="9"/>
    <n v="56473"/>
    <n v="52917"/>
    <n v="1380"/>
    <n v="167"/>
    <n v="1903210"/>
    <x v="0"/>
    <x v="9"/>
  </r>
  <r>
    <x v="0"/>
    <x v="9"/>
    <x v="2"/>
    <s v="站外广告"/>
    <x v="3"/>
    <n v="946"/>
    <n v="601"/>
    <n v="0"/>
    <n v="0"/>
    <n v="0"/>
    <x v="0"/>
    <x v="9"/>
  </r>
  <r>
    <x v="0"/>
    <x v="10"/>
    <x v="0"/>
    <s v="品牌广告"/>
    <x v="6"/>
    <n v="4"/>
    <n v="4"/>
    <n v="0"/>
    <n v="0"/>
    <n v="0"/>
    <x v="0"/>
    <x v="10"/>
  </r>
  <r>
    <x v="0"/>
    <x v="10"/>
    <x v="0"/>
    <s v="效果广告"/>
    <x v="0"/>
    <n v="84287"/>
    <n v="80614"/>
    <n v="1669"/>
    <n v="83"/>
    <n v="1123940"/>
    <x v="0"/>
    <x v="10"/>
  </r>
  <r>
    <x v="0"/>
    <x v="10"/>
    <x v="0"/>
    <s v="内容广告"/>
    <x v="13"/>
    <n v="53"/>
    <n v="31"/>
    <n v="0"/>
    <n v="0"/>
    <n v="0"/>
    <x v="0"/>
    <x v="10"/>
  </r>
  <r>
    <x v="0"/>
    <x v="10"/>
    <x v="0"/>
    <s v="站外广告"/>
    <x v="8"/>
    <n v="2"/>
    <n v="2"/>
    <n v="0"/>
    <n v="0"/>
    <n v="0"/>
    <x v="0"/>
    <x v="10"/>
  </r>
  <r>
    <x v="0"/>
    <x v="10"/>
    <x v="0"/>
    <s v="站外广告"/>
    <x v="3"/>
    <n v="2248"/>
    <n v="1329"/>
    <n v="13"/>
    <n v="3"/>
    <n v="16055"/>
    <x v="0"/>
    <x v="10"/>
  </r>
  <r>
    <x v="0"/>
    <x v="10"/>
    <x v="0"/>
    <s v="效果广告"/>
    <x v="5"/>
    <n v="159032"/>
    <n v="143375"/>
    <n v="1630"/>
    <n v="41"/>
    <n v="524750"/>
    <x v="0"/>
    <x v="10"/>
  </r>
  <r>
    <x v="0"/>
    <x v="10"/>
    <x v="0"/>
    <s v="品牌广告"/>
    <x v="12"/>
    <n v="1"/>
    <n v="0"/>
    <n v="0"/>
    <n v="0"/>
    <n v="0"/>
    <x v="0"/>
    <x v="10"/>
  </r>
  <r>
    <x v="0"/>
    <x v="10"/>
    <x v="0"/>
    <s v="内容广告"/>
    <x v="4"/>
    <n v="4"/>
    <n v="2"/>
    <n v="0"/>
    <n v="0"/>
    <n v="0"/>
    <x v="0"/>
    <x v="10"/>
  </r>
  <r>
    <x v="0"/>
    <x v="10"/>
    <x v="0"/>
    <s v="品牌广告"/>
    <x v="9"/>
    <n v="11990"/>
    <n v="11186"/>
    <n v="564"/>
    <n v="32"/>
    <n v="613195"/>
    <x v="0"/>
    <x v="10"/>
  </r>
  <r>
    <x v="0"/>
    <x v="10"/>
    <x v="0"/>
    <s v="效果广告"/>
    <x v="2"/>
    <n v="20003"/>
    <n v="17804"/>
    <n v="316"/>
    <n v="16"/>
    <n v="177890"/>
    <x v="0"/>
    <x v="10"/>
  </r>
  <r>
    <x v="0"/>
    <x v="10"/>
    <x v="0"/>
    <s v="品牌广告"/>
    <x v="11"/>
    <n v="2"/>
    <n v="2"/>
    <n v="0"/>
    <n v="0"/>
    <n v="0"/>
    <x v="0"/>
    <x v="10"/>
  </r>
  <r>
    <x v="0"/>
    <x v="10"/>
    <x v="0"/>
    <s v="站外广告"/>
    <x v="1"/>
    <n v="209"/>
    <n v="188"/>
    <n v="0"/>
    <n v="0"/>
    <n v="0"/>
    <x v="0"/>
    <x v="10"/>
  </r>
  <r>
    <x v="0"/>
    <x v="10"/>
    <x v="0"/>
    <s v="品牌广告"/>
    <x v="7"/>
    <n v="3"/>
    <n v="2"/>
    <n v="0"/>
    <n v="0"/>
    <n v="0"/>
    <x v="0"/>
    <x v="10"/>
  </r>
  <r>
    <x v="0"/>
    <x v="10"/>
    <x v="1"/>
    <s v="效果广告"/>
    <x v="5"/>
    <n v="119972"/>
    <n v="108855"/>
    <n v="667"/>
    <n v="47"/>
    <n v="308785"/>
    <x v="0"/>
    <x v="10"/>
  </r>
  <r>
    <x v="0"/>
    <x v="10"/>
    <x v="1"/>
    <s v="品牌广告"/>
    <x v="7"/>
    <n v="2"/>
    <n v="1"/>
    <n v="0"/>
    <n v="0"/>
    <n v="0"/>
    <x v="0"/>
    <x v="10"/>
  </r>
  <r>
    <x v="0"/>
    <x v="10"/>
    <x v="1"/>
    <s v="站外广告"/>
    <x v="8"/>
    <n v="1"/>
    <n v="1"/>
    <n v="0"/>
    <n v="0"/>
    <n v="0"/>
    <x v="0"/>
    <x v="10"/>
  </r>
  <r>
    <x v="0"/>
    <x v="10"/>
    <x v="1"/>
    <s v="内容广告"/>
    <x v="4"/>
    <n v="2"/>
    <n v="1"/>
    <n v="0"/>
    <n v="0"/>
    <n v="0"/>
    <x v="0"/>
    <x v="10"/>
  </r>
  <r>
    <x v="0"/>
    <x v="10"/>
    <x v="1"/>
    <s v="站外广告"/>
    <x v="3"/>
    <n v="7995"/>
    <n v="4246"/>
    <n v="18"/>
    <n v="9"/>
    <n v="82600"/>
    <x v="0"/>
    <x v="10"/>
  </r>
  <r>
    <x v="0"/>
    <x v="10"/>
    <x v="1"/>
    <s v="内容广告"/>
    <x v="13"/>
    <n v="4343"/>
    <n v="3638"/>
    <n v="15"/>
    <n v="0"/>
    <n v="0"/>
    <x v="0"/>
    <x v="10"/>
  </r>
  <r>
    <x v="0"/>
    <x v="10"/>
    <x v="1"/>
    <s v="品牌广告"/>
    <x v="9"/>
    <n v="3"/>
    <n v="3"/>
    <n v="0"/>
    <n v="0"/>
    <n v="0"/>
    <x v="0"/>
    <x v="10"/>
  </r>
  <r>
    <x v="0"/>
    <x v="10"/>
    <x v="1"/>
    <s v="效果广告"/>
    <x v="2"/>
    <n v="67111"/>
    <n v="63192"/>
    <n v="599"/>
    <n v="41"/>
    <n v="270295"/>
    <x v="0"/>
    <x v="10"/>
  </r>
  <r>
    <x v="0"/>
    <x v="10"/>
    <x v="1"/>
    <s v="效果广告"/>
    <x v="0"/>
    <n v="82330"/>
    <n v="73670"/>
    <n v="829"/>
    <n v="56"/>
    <n v="356030"/>
    <x v="0"/>
    <x v="10"/>
  </r>
  <r>
    <x v="0"/>
    <x v="10"/>
    <x v="1"/>
    <s v="品牌广告"/>
    <x v="11"/>
    <n v="1"/>
    <n v="1"/>
    <n v="0"/>
    <n v="0"/>
    <n v="0"/>
    <x v="0"/>
    <x v="10"/>
  </r>
  <r>
    <x v="0"/>
    <x v="10"/>
    <x v="1"/>
    <s v="站外广告"/>
    <x v="1"/>
    <n v="15"/>
    <n v="11"/>
    <n v="0"/>
    <n v="0"/>
    <n v="0"/>
    <x v="0"/>
    <x v="10"/>
  </r>
  <r>
    <x v="0"/>
    <x v="10"/>
    <x v="2"/>
    <s v="站外广告"/>
    <x v="3"/>
    <n v="5980"/>
    <n v="2862"/>
    <n v="13"/>
    <n v="6"/>
    <n v="127700"/>
    <x v="0"/>
    <x v="10"/>
  </r>
  <r>
    <x v="0"/>
    <x v="10"/>
    <x v="2"/>
    <s v="效果广告"/>
    <x v="2"/>
    <n v="45235"/>
    <n v="41709"/>
    <n v="431"/>
    <n v="37"/>
    <n v="540400"/>
    <x v="0"/>
    <x v="10"/>
  </r>
  <r>
    <x v="0"/>
    <x v="10"/>
    <x v="2"/>
    <s v="内容广告"/>
    <x v="4"/>
    <n v="1"/>
    <n v="0"/>
    <n v="0"/>
    <n v="0"/>
    <n v="0"/>
    <x v="0"/>
    <x v="10"/>
  </r>
  <r>
    <x v="0"/>
    <x v="10"/>
    <x v="2"/>
    <s v="效果广告"/>
    <x v="5"/>
    <n v="84179"/>
    <n v="72437"/>
    <n v="351"/>
    <n v="4"/>
    <n v="58000"/>
    <x v="0"/>
    <x v="10"/>
  </r>
  <r>
    <x v="0"/>
    <x v="10"/>
    <x v="2"/>
    <s v="品牌广告"/>
    <x v="9"/>
    <n v="55856"/>
    <n v="52994"/>
    <n v="1604"/>
    <n v="155"/>
    <n v="1913070"/>
    <x v="0"/>
    <x v="10"/>
  </r>
  <r>
    <x v="0"/>
    <x v="10"/>
    <x v="2"/>
    <s v="站外广告"/>
    <x v="1"/>
    <n v="131616"/>
    <n v="131567"/>
    <n v="157"/>
    <n v="0"/>
    <n v="0"/>
    <x v="0"/>
    <x v="10"/>
  </r>
  <r>
    <x v="0"/>
    <x v="10"/>
    <x v="2"/>
    <s v="品牌广告"/>
    <x v="15"/>
    <n v="3"/>
    <n v="3"/>
    <n v="0"/>
    <n v="0"/>
    <n v="0"/>
    <x v="0"/>
    <x v="10"/>
  </r>
  <r>
    <x v="0"/>
    <x v="10"/>
    <x v="2"/>
    <s v="品牌广告"/>
    <x v="7"/>
    <n v="86"/>
    <n v="85"/>
    <n v="0"/>
    <n v="0"/>
    <n v="0"/>
    <x v="0"/>
    <x v="10"/>
  </r>
  <r>
    <x v="0"/>
    <x v="10"/>
    <x v="2"/>
    <s v="效果广告"/>
    <x v="0"/>
    <n v="79849"/>
    <n v="72208"/>
    <n v="678"/>
    <n v="68"/>
    <n v="641200"/>
    <x v="0"/>
    <x v="10"/>
  </r>
  <r>
    <x v="0"/>
    <x v="10"/>
    <x v="2"/>
    <s v="品牌广告"/>
    <x v="6"/>
    <n v="1"/>
    <n v="0"/>
    <n v="0"/>
    <n v="0"/>
    <n v="0"/>
    <x v="0"/>
    <x v="10"/>
  </r>
  <r>
    <x v="0"/>
    <x v="11"/>
    <x v="0"/>
    <s v="站外广告"/>
    <x v="1"/>
    <n v="24"/>
    <n v="13"/>
    <n v="0"/>
    <n v="0"/>
    <n v="0"/>
    <x v="0"/>
    <x v="11"/>
  </r>
  <r>
    <x v="0"/>
    <x v="11"/>
    <x v="0"/>
    <s v="效果广告"/>
    <x v="5"/>
    <n v="171211"/>
    <n v="159305"/>
    <n v="1789"/>
    <n v="15"/>
    <n v="244820"/>
    <x v="0"/>
    <x v="11"/>
  </r>
  <r>
    <x v="0"/>
    <x v="11"/>
    <x v="0"/>
    <s v="品牌广告"/>
    <x v="7"/>
    <n v="1"/>
    <n v="1"/>
    <n v="0"/>
    <n v="0"/>
    <n v="0"/>
    <x v="0"/>
    <x v="11"/>
  </r>
  <r>
    <x v="0"/>
    <x v="11"/>
    <x v="0"/>
    <s v="品牌广告"/>
    <x v="9"/>
    <n v="15005"/>
    <n v="14145"/>
    <n v="656"/>
    <n v="33"/>
    <n v="571475"/>
    <x v="0"/>
    <x v="11"/>
  </r>
  <r>
    <x v="0"/>
    <x v="11"/>
    <x v="0"/>
    <s v="效果广告"/>
    <x v="0"/>
    <n v="56852"/>
    <n v="53131"/>
    <n v="1568"/>
    <n v="54"/>
    <n v="924850"/>
    <x v="0"/>
    <x v="11"/>
  </r>
  <r>
    <x v="0"/>
    <x v="11"/>
    <x v="0"/>
    <s v="品牌广告"/>
    <x v="12"/>
    <n v="2"/>
    <n v="2"/>
    <n v="0"/>
    <n v="0"/>
    <n v="0"/>
    <x v="0"/>
    <x v="11"/>
  </r>
  <r>
    <x v="0"/>
    <x v="11"/>
    <x v="0"/>
    <s v="效果广告"/>
    <x v="2"/>
    <n v="24899"/>
    <n v="22719"/>
    <n v="346"/>
    <n v="21"/>
    <n v="243875"/>
    <x v="0"/>
    <x v="11"/>
  </r>
  <r>
    <x v="0"/>
    <x v="11"/>
    <x v="0"/>
    <s v="内容广告"/>
    <x v="4"/>
    <n v="5"/>
    <n v="5"/>
    <n v="0"/>
    <n v="0"/>
    <n v="0"/>
    <x v="0"/>
    <x v="11"/>
  </r>
  <r>
    <x v="0"/>
    <x v="11"/>
    <x v="0"/>
    <s v="内容广告"/>
    <x v="14"/>
    <n v="1"/>
    <n v="1"/>
    <n v="0"/>
    <n v="0"/>
    <n v="0"/>
    <x v="0"/>
    <x v="11"/>
  </r>
  <r>
    <x v="0"/>
    <x v="11"/>
    <x v="0"/>
    <s v="品牌广告"/>
    <x v="11"/>
    <n v="4"/>
    <n v="3"/>
    <n v="0"/>
    <n v="0"/>
    <n v="0"/>
    <x v="0"/>
    <x v="11"/>
  </r>
  <r>
    <x v="0"/>
    <x v="11"/>
    <x v="0"/>
    <s v="站外广告"/>
    <x v="3"/>
    <n v="3963"/>
    <n v="2312"/>
    <n v="33"/>
    <n v="10"/>
    <n v="138100"/>
    <x v="0"/>
    <x v="11"/>
  </r>
  <r>
    <x v="0"/>
    <x v="11"/>
    <x v="0"/>
    <s v="品牌广告"/>
    <x v="6"/>
    <n v="1"/>
    <n v="1"/>
    <n v="0"/>
    <n v="0"/>
    <n v="0"/>
    <x v="0"/>
    <x v="11"/>
  </r>
  <r>
    <x v="0"/>
    <x v="11"/>
    <x v="1"/>
    <s v="品牌广告"/>
    <x v="9"/>
    <n v="1"/>
    <n v="1"/>
    <n v="0"/>
    <n v="0"/>
    <n v="0"/>
    <x v="0"/>
    <x v="11"/>
  </r>
  <r>
    <x v="0"/>
    <x v="11"/>
    <x v="1"/>
    <s v="内容广告"/>
    <x v="13"/>
    <n v="4959"/>
    <n v="4213"/>
    <n v="29"/>
    <n v="0"/>
    <n v="0"/>
    <x v="0"/>
    <x v="11"/>
  </r>
  <r>
    <x v="0"/>
    <x v="11"/>
    <x v="1"/>
    <s v="品牌广告"/>
    <x v="11"/>
    <n v="5"/>
    <n v="3"/>
    <n v="0"/>
    <n v="0"/>
    <n v="0"/>
    <x v="0"/>
    <x v="11"/>
  </r>
  <r>
    <x v="0"/>
    <x v="11"/>
    <x v="1"/>
    <s v="效果广告"/>
    <x v="0"/>
    <n v="95750"/>
    <n v="83784"/>
    <n v="766"/>
    <n v="44"/>
    <n v="250710"/>
    <x v="0"/>
    <x v="11"/>
  </r>
  <r>
    <x v="0"/>
    <x v="11"/>
    <x v="1"/>
    <s v="品牌广告"/>
    <x v="7"/>
    <n v="1"/>
    <n v="1"/>
    <n v="0"/>
    <n v="0"/>
    <n v="0"/>
    <x v="0"/>
    <x v="11"/>
  </r>
  <r>
    <x v="0"/>
    <x v="11"/>
    <x v="1"/>
    <s v="站外广告"/>
    <x v="1"/>
    <n v="20"/>
    <n v="17"/>
    <n v="2"/>
    <n v="0"/>
    <n v="0"/>
    <x v="0"/>
    <x v="11"/>
  </r>
  <r>
    <x v="0"/>
    <x v="11"/>
    <x v="1"/>
    <s v="效果广告"/>
    <x v="5"/>
    <n v="152039"/>
    <n v="136684"/>
    <n v="624"/>
    <n v="20"/>
    <n v="185775"/>
    <x v="0"/>
    <x v="11"/>
  </r>
  <r>
    <x v="0"/>
    <x v="11"/>
    <x v="1"/>
    <s v="内容广告"/>
    <x v="4"/>
    <n v="2"/>
    <n v="1"/>
    <n v="0"/>
    <n v="0"/>
    <n v="0"/>
    <x v="0"/>
    <x v="11"/>
  </r>
  <r>
    <x v="0"/>
    <x v="11"/>
    <x v="1"/>
    <s v="效果广告"/>
    <x v="2"/>
    <n v="67153"/>
    <n v="63677"/>
    <n v="511"/>
    <n v="32"/>
    <n v="196200"/>
    <x v="0"/>
    <x v="11"/>
  </r>
  <r>
    <x v="0"/>
    <x v="11"/>
    <x v="1"/>
    <s v="站外广告"/>
    <x v="3"/>
    <n v="8670"/>
    <n v="5019"/>
    <n v="12"/>
    <n v="4"/>
    <n v="81895"/>
    <x v="0"/>
    <x v="11"/>
  </r>
  <r>
    <x v="0"/>
    <x v="11"/>
    <x v="1"/>
    <s v="站外广告"/>
    <x v="8"/>
    <n v="2"/>
    <n v="1"/>
    <n v="0"/>
    <n v="0"/>
    <n v="0"/>
    <x v="0"/>
    <x v="11"/>
  </r>
  <r>
    <x v="0"/>
    <x v="11"/>
    <x v="2"/>
    <s v="内容广告"/>
    <x v="4"/>
    <n v="2"/>
    <n v="1"/>
    <n v="0"/>
    <n v="0"/>
    <n v="0"/>
    <x v="0"/>
    <x v="11"/>
  </r>
  <r>
    <x v="0"/>
    <x v="11"/>
    <x v="2"/>
    <s v="效果广告"/>
    <x v="5"/>
    <n v="54787"/>
    <n v="48762"/>
    <n v="234"/>
    <n v="10"/>
    <n v="77400"/>
    <x v="0"/>
    <x v="11"/>
  </r>
  <r>
    <x v="0"/>
    <x v="11"/>
    <x v="2"/>
    <s v="品牌广告"/>
    <x v="15"/>
    <n v="2"/>
    <n v="2"/>
    <n v="0"/>
    <n v="0"/>
    <n v="0"/>
    <x v="0"/>
    <x v="11"/>
  </r>
  <r>
    <x v="0"/>
    <x v="11"/>
    <x v="2"/>
    <s v="品牌广告"/>
    <x v="9"/>
    <n v="64055"/>
    <n v="60921"/>
    <n v="1535"/>
    <n v="157"/>
    <n v="1806460"/>
    <x v="0"/>
    <x v="11"/>
  </r>
  <r>
    <x v="0"/>
    <x v="11"/>
    <x v="2"/>
    <s v="站外广告"/>
    <x v="3"/>
    <n v="2795"/>
    <n v="1554"/>
    <n v="25"/>
    <n v="10"/>
    <n v="109500"/>
    <x v="0"/>
    <x v="11"/>
  </r>
  <r>
    <x v="0"/>
    <x v="11"/>
    <x v="2"/>
    <s v="效果广告"/>
    <x v="0"/>
    <n v="47171"/>
    <n v="41602"/>
    <n v="694"/>
    <n v="72"/>
    <n v="1084000"/>
    <x v="0"/>
    <x v="11"/>
  </r>
  <r>
    <x v="0"/>
    <x v="11"/>
    <x v="2"/>
    <s v="品牌广告"/>
    <x v="7"/>
    <n v="91"/>
    <n v="87"/>
    <n v="0"/>
    <n v="0"/>
    <n v="0"/>
    <x v="0"/>
    <x v="11"/>
  </r>
  <r>
    <x v="0"/>
    <x v="11"/>
    <x v="2"/>
    <s v="站外广告"/>
    <x v="1"/>
    <n v="276980"/>
    <n v="276192"/>
    <n v="422"/>
    <n v="0"/>
    <n v="0"/>
    <x v="0"/>
    <x v="11"/>
  </r>
  <r>
    <x v="0"/>
    <x v="11"/>
    <x v="2"/>
    <s v="效果广告"/>
    <x v="2"/>
    <n v="32410"/>
    <n v="29606"/>
    <n v="318"/>
    <n v="26"/>
    <n v="202800"/>
    <x v="0"/>
    <x v="11"/>
  </r>
  <r>
    <x v="0"/>
    <x v="11"/>
    <x v="2"/>
    <s v="品牌广告"/>
    <x v="11"/>
    <n v="1"/>
    <n v="1"/>
    <n v="0"/>
    <n v="0"/>
    <n v="0"/>
    <x v="0"/>
    <x v="11"/>
  </r>
  <r>
    <x v="0"/>
    <x v="11"/>
    <x v="2"/>
    <s v="内容广告"/>
    <x v="14"/>
    <n v="1"/>
    <n v="1"/>
    <n v="0"/>
    <n v="0"/>
    <n v="0"/>
    <x v="0"/>
    <x v="11"/>
  </r>
  <r>
    <x v="0"/>
    <x v="12"/>
    <x v="0"/>
    <s v="品牌广告"/>
    <x v="15"/>
    <n v="1"/>
    <n v="0"/>
    <n v="0"/>
    <n v="0"/>
    <n v="0"/>
    <x v="1"/>
    <x v="0"/>
  </r>
  <r>
    <x v="0"/>
    <x v="12"/>
    <x v="0"/>
    <s v="品牌广告"/>
    <x v="11"/>
    <n v="4"/>
    <n v="2"/>
    <n v="0"/>
    <n v="0"/>
    <n v="0"/>
    <x v="1"/>
    <x v="0"/>
  </r>
  <r>
    <x v="0"/>
    <x v="12"/>
    <x v="0"/>
    <s v="品牌广告"/>
    <x v="7"/>
    <n v="2"/>
    <n v="1"/>
    <n v="0"/>
    <n v="0"/>
    <n v="0"/>
    <x v="1"/>
    <x v="0"/>
  </r>
  <r>
    <x v="0"/>
    <x v="12"/>
    <x v="0"/>
    <s v="效果广告"/>
    <x v="2"/>
    <n v="18576"/>
    <n v="16977"/>
    <n v="323"/>
    <n v="26"/>
    <n v="436680"/>
    <x v="1"/>
    <x v="0"/>
  </r>
  <r>
    <x v="0"/>
    <x v="12"/>
    <x v="0"/>
    <s v="品牌广告"/>
    <x v="9"/>
    <n v="14593"/>
    <n v="13734"/>
    <n v="657"/>
    <n v="40"/>
    <n v="519400"/>
    <x v="1"/>
    <x v="0"/>
  </r>
  <r>
    <x v="0"/>
    <x v="12"/>
    <x v="0"/>
    <s v="站外广告"/>
    <x v="8"/>
    <n v="6"/>
    <n v="4"/>
    <n v="0"/>
    <n v="0"/>
    <n v="0"/>
    <x v="1"/>
    <x v="0"/>
  </r>
  <r>
    <x v="0"/>
    <x v="12"/>
    <x v="0"/>
    <s v="效果广告"/>
    <x v="5"/>
    <n v="159555"/>
    <n v="150247"/>
    <n v="1556"/>
    <n v="27"/>
    <n v="326620"/>
    <x v="1"/>
    <x v="0"/>
  </r>
  <r>
    <x v="0"/>
    <x v="12"/>
    <x v="0"/>
    <s v="内容广告"/>
    <x v="4"/>
    <n v="17"/>
    <n v="10"/>
    <n v="0"/>
    <n v="0"/>
    <n v="0"/>
    <x v="1"/>
    <x v="0"/>
  </r>
  <r>
    <x v="0"/>
    <x v="12"/>
    <x v="0"/>
    <s v="效果广告"/>
    <x v="0"/>
    <n v="34980"/>
    <n v="31601"/>
    <n v="1193"/>
    <n v="73"/>
    <n v="1302645"/>
    <x v="1"/>
    <x v="0"/>
  </r>
  <r>
    <x v="0"/>
    <x v="12"/>
    <x v="0"/>
    <s v="品牌广告"/>
    <x v="6"/>
    <n v="3"/>
    <n v="3"/>
    <n v="0"/>
    <n v="0"/>
    <n v="0"/>
    <x v="1"/>
    <x v="0"/>
  </r>
  <r>
    <x v="0"/>
    <x v="12"/>
    <x v="0"/>
    <s v="站外广告"/>
    <x v="1"/>
    <n v="50"/>
    <n v="26"/>
    <n v="2"/>
    <n v="0"/>
    <n v="0"/>
    <x v="1"/>
    <x v="0"/>
  </r>
  <r>
    <x v="0"/>
    <x v="12"/>
    <x v="0"/>
    <s v="站外广告"/>
    <x v="3"/>
    <n v="3042"/>
    <n v="1677"/>
    <n v="33"/>
    <n v="7"/>
    <n v="104790"/>
    <x v="1"/>
    <x v="0"/>
  </r>
  <r>
    <x v="0"/>
    <x v="12"/>
    <x v="1"/>
    <s v="效果广告"/>
    <x v="2"/>
    <n v="70348"/>
    <n v="67008"/>
    <n v="535"/>
    <n v="59"/>
    <n v="328210"/>
    <x v="1"/>
    <x v="0"/>
  </r>
  <r>
    <x v="0"/>
    <x v="12"/>
    <x v="1"/>
    <s v="品牌广告"/>
    <x v="11"/>
    <n v="1"/>
    <n v="0"/>
    <n v="0"/>
    <n v="0"/>
    <n v="0"/>
    <x v="1"/>
    <x v="0"/>
  </r>
  <r>
    <x v="0"/>
    <x v="12"/>
    <x v="1"/>
    <s v="效果广告"/>
    <x v="0"/>
    <n v="37920"/>
    <n v="34410"/>
    <n v="784"/>
    <n v="30"/>
    <n v="174160"/>
    <x v="1"/>
    <x v="0"/>
  </r>
  <r>
    <x v="0"/>
    <x v="12"/>
    <x v="1"/>
    <s v="品牌广告"/>
    <x v="9"/>
    <n v="2"/>
    <n v="2"/>
    <n v="0"/>
    <n v="0"/>
    <n v="0"/>
    <x v="1"/>
    <x v="0"/>
  </r>
  <r>
    <x v="0"/>
    <x v="12"/>
    <x v="1"/>
    <s v="站外广告"/>
    <x v="1"/>
    <n v="12"/>
    <n v="11"/>
    <n v="0"/>
    <n v="0"/>
    <n v="0"/>
    <x v="1"/>
    <x v="0"/>
  </r>
  <r>
    <x v="0"/>
    <x v="12"/>
    <x v="1"/>
    <s v="内容广告"/>
    <x v="13"/>
    <n v="6361"/>
    <n v="5562"/>
    <n v="26"/>
    <n v="0"/>
    <n v="0"/>
    <x v="1"/>
    <x v="0"/>
  </r>
  <r>
    <x v="0"/>
    <x v="12"/>
    <x v="1"/>
    <s v="站外广告"/>
    <x v="8"/>
    <n v="1"/>
    <n v="1"/>
    <n v="0"/>
    <n v="0"/>
    <n v="0"/>
    <x v="1"/>
    <x v="0"/>
  </r>
  <r>
    <x v="0"/>
    <x v="12"/>
    <x v="1"/>
    <s v="品牌广告"/>
    <x v="7"/>
    <n v="1"/>
    <n v="1"/>
    <n v="0"/>
    <n v="0"/>
    <n v="0"/>
    <x v="1"/>
    <x v="0"/>
  </r>
  <r>
    <x v="0"/>
    <x v="12"/>
    <x v="1"/>
    <s v="效果广告"/>
    <x v="5"/>
    <n v="147094"/>
    <n v="138420"/>
    <n v="602"/>
    <n v="23"/>
    <n v="114465"/>
    <x v="1"/>
    <x v="0"/>
  </r>
  <r>
    <x v="0"/>
    <x v="12"/>
    <x v="1"/>
    <s v="内容广告"/>
    <x v="4"/>
    <n v="6"/>
    <n v="6"/>
    <n v="1"/>
    <n v="0"/>
    <n v="0"/>
    <x v="1"/>
    <x v="0"/>
  </r>
  <r>
    <x v="0"/>
    <x v="12"/>
    <x v="1"/>
    <s v="站外广告"/>
    <x v="3"/>
    <n v="3515"/>
    <n v="2112"/>
    <n v="13"/>
    <n v="6"/>
    <n v="43205"/>
    <x v="1"/>
    <x v="0"/>
  </r>
  <r>
    <x v="0"/>
    <x v="12"/>
    <x v="2"/>
    <s v="效果广告"/>
    <x v="0"/>
    <n v="51260"/>
    <n v="45211"/>
    <n v="1393"/>
    <n v="102"/>
    <n v="1036920"/>
    <x v="1"/>
    <x v="0"/>
  </r>
  <r>
    <x v="0"/>
    <x v="12"/>
    <x v="2"/>
    <s v="品牌广告"/>
    <x v="7"/>
    <n v="80"/>
    <n v="77"/>
    <n v="0"/>
    <n v="0"/>
    <n v="0"/>
    <x v="1"/>
    <x v="0"/>
  </r>
  <r>
    <x v="0"/>
    <x v="12"/>
    <x v="2"/>
    <s v="站外广告"/>
    <x v="1"/>
    <n v="178904"/>
    <n v="178540"/>
    <n v="481"/>
    <n v="0"/>
    <n v="0"/>
    <x v="1"/>
    <x v="0"/>
  </r>
  <r>
    <x v="0"/>
    <x v="12"/>
    <x v="2"/>
    <s v="效果广告"/>
    <x v="5"/>
    <n v="45358"/>
    <n v="39456"/>
    <n v="265"/>
    <n v="6"/>
    <n v="48600"/>
    <x v="1"/>
    <x v="0"/>
  </r>
  <r>
    <x v="0"/>
    <x v="12"/>
    <x v="2"/>
    <s v="品牌广告"/>
    <x v="11"/>
    <n v="5"/>
    <n v="3"/>
    <n v="0"/>
    <n v="0"/>
    <n v="0"/>
    <x v="1"/>
    <x v="0"/>
  </r>
  <r>
    <x v="0"/>
    <x v="12"/>
    <x v="2"/>
    <s v="内容广告"/>
    <x v="4"/>
    <n v="5"/>
    <n v="4"/>
    <n v="0"/>
    <n v="0"/>
    <n v="0"/>
    <x v="1"/>
    <x v="0"/>
  </r>
  <r>
    <x v="0"/>
    <x v="12"/>
    <x v="2"/>
    <s v="效果广告"/>
    <x v="2"/>
    <n v="29928"/>
    <n v="27233"/>
    <n v="308"/>
    <n v="17"/>
    <n v="142700"/>
    <x v="1"/>
    <x v="0"/>
  </r>
  <r>
    <x v="0"/>
    <x v="12"/>
    <x v="2"/>
    <s v="品牌广告"/>
    <x v="9"/>
    <n v="57574"/>
    <n v="54520"/>
    <n v="1444"/>
    <n v="146"/>
    <n v="1434120"/>
    <x v="1"/>
    <x v="0"/>
  </r>
  <r>
    <x v="0"/>
    <x v="12"/>
    <x v="2"/>
    <s v="站外广告"/>
    <x v="3"/>
    <n v="2576"/>
    <n v="1536"/>
    <n v="34"/>
    <n v="14"/>
    <n v="252740"/>
    <x v="1"/>
    <x v="0"/>
  </r>
  <r>
    <x v="0"/>
    <x v="13"/>
    <x v="0"/>
    <s v="效果广告"/>
    <x v="2"/>
    <n v="25705"/>
    <n v="23701"/>
    <n v="354"/>
    <n v="27"/>
    <n v="233520"/>
    <x v="1"/>
    <x v="1"/>
  </r>
  <r>
    <x v="0"/>
    <x v="13"/>
    <x v="0"/>
    <s v="品牌广告"/>
    <x v="11"/>
    <n v="13"/>
    <n v="10"/>
    <n v="0"/>
    <n v="0"/>
    <n v="0"/>
    <x v="1"/>
    <x v="1"/>
  </r>
  <r>
    <x v="0"/>
    <x v="13"/>
    <x v="0"/>
    <s v="站外广告"/>
    <x v="3"/>
    <n v="5075"/>
    <n v="3115"/>
    <n v="39"/>
    <n v="4"/>
    <n v="22140"/>
    <x v="1"/>
    <x v="1"/>
  </r>
  <r>
    <x v="0"/>
    <x v="13"/>
    <x v="0"/>
    <s v="内容广告"/>
    <x v="4"/>
    <n v="15"/>
    <n v="10"/>
    <n v="0"/>
    <n v="0"/>
    <n v="0"/>
    <x v="1"/>
    <x v="1"/>
  </r>
  <r>
    <x v="0"/>
    <x v="13"/>
    <x v="0"/>
    <s v="站外广告"/>
    <x v="1"/>
    <n v="79"/>
    <n v="49"/>
    <n v="3"/>
    <n v="0"/>
    <n v="0"/>
    <x v="1"/>
    <x v="1"/>
  </r>
  <r>
    <x v="0"/>
    <x v="13"/>
    <x v="0"/>
    <s v="效果广告"/>
    <x v="0"/>
    <n v="68916"/>
    <n v="63730"/>
    <n v="1825"/>
    <n v="125"/>
    <n v="1805590"/>
    <x v="1"/>
    <x v="1"/>
  </r>
  <r>
    <x v="0"/>
    <x v="13"/>
    <x v="0"/>
    <s v="品牌广告"/>
    <x v="12"/>
    <n v="62666"/>
    <n v="59415"/>
    <n v="0"/>
    <n v="0"/>
    <n v="0"/>
    <x v="1"/>
    <x v="1"/>
  </r>
  <r>
    <x v="0"/>
    <x v="13"/>
    <x v="0"/>
    <s v="品牌广告"/>
    <x v="6"/>
    <n v="1"/>
    <n v="1"/>
    <n v="0"/>
    <n v="0"/>
    <n v="0"/>
    <x v="1"/>
    <x v="1"/>
  </r>
  <r>
    <x v="0"/>
    <x v="13"/>
    <x v="0"/>
    <s v="品牌广告"/>
    <x v="7"/>
    <n v="5"/>
    <n v="3"/>
    <n v="0"/>
    <n v="0"/>
    <n v="0"/>
    <x v="1"/>
    <x v="1"/>
  </r>
  <r>
    <x v="0"/>
    <x v="13"/>
    <x v="0"/>
    <s v="内容广告"/>
    <x v="14"/>
    <n v="1"/>
    <n v="0"/>
    <n v="0"/>
    <n v="0"/>
    <n v="0"/>
    <x v="1"/>
    <x v="1"/>
  </r>
  <r>
    <x v="0"/>
    <x v="13"/>
    <x v="0"/>
    <s v="站外广告"/>
    <x v="8"/>
    <n v="2"/>
    <n v="1"/>
    <n v="0"/>
    <n v="0"/>
    <n v="0"/>
    <x v="1"/>
    <x v="1"/>
  </r>
  <r>
    <x v="0"/>
    <x v="13"/>
    <x v="0"/>
    <s v="效果广告"/>
    <x v="5"/>
    <n v="174838"/>
    <n v="158174"/>
    <n v="1860"/>
    <n v="55"/>
    <n v="616105"/>
    <x v="1"/>
    <x v="1"/>
  </r>
  <r>
    <x v="0"/>
    <x v="13"/>
    <x v="0"/>
    <s v="品牌广告"/>
    <x v="9"/>
    <n v="17351"/>
    <n v="16417"/>
    <n v="728"/>
    <n v="66"/>
    <n v="711655"/>
    <x v="1"/>
    <x v="1"/>
  </r>
  <r>
    <x v="0"/>
    <x v="13"/>
    <x v="0"/>
    <s v="品牌广告"/>
    <x v="10"/>
    <n v="40302"/>
    <n v="37077"/>
    <n v="0"/>
    <n v="0"/>
    <n v="0"/>
    <x v="1"/>
    <x v="1"/>
  </r>
  <r>
    <x v="0"/>
    <x v="13"/>
    <x v="1"/>
    <s v="内容广告"/>
    <x v="4"/>
    <n v="27"/>
    <n v="16"/>
    <n v="0"/>
    <n v="0"/>
    <n v="0"/>
    <x v="1"/>
    <x v="1"/>
  </r>
  <r>
    <x v="0"/>
    <x v="13"/>
    <x v="1"/>
    <s v="站外广告"/>
    <x v="8"/>
    <n v="4"/>
    <n v="3"/>
    <n v="0"/>
    <n v="0"/>
    <n v="0"/>
    <x v="1"/>
    <x v="1"/>
  </r>
  <r>
    <x v="0"/>
    <x v="13"/>
    <x v="1"/>
    <s v="效果广告"/>
    <x v="5"/>
    <n v="176007"/>
    <n v="160627"/>
    <n v="1392"/>
    <n v="108"/>
    <n v="363122.16000000003"/>
    <x v="1"/>
    <x v="1"/>
  </r>
  <r>
    <x v="0"/>
    <x v="13"/>
    <x v="1"/>
    <s v="品牌广告"/>
    <x v="11"/>
    <n v="15"/>
    <n v="8"/>
    <n v="0"/>
    <n v="0"/>
    <n v="0"/>
    <x v="1"/>
    <x v="1"/>
  </r>
  <r>
    <x v="0"/>
    <x v="13"/>
    <x v="1"/>
    <s v="站外广告"/>
    <x v="3"/>
    <n v="6283"/>
    <n v="3888"/>
    <n v="844"/>
    <n v="194"/>
    <n v="740801.17"/>
    <x v="1"/>
    <x v="1"/>
  </r>
  <r>
    <x v="0"/>
    <x v="13"/>
    <x v="1"/>
    <s v="效果广告"/>
    <x v="0"/>
    <n v="85124"/>
    <n v="74164"/>
    <n v="4079"/>
    <n v="560"/>
    <n v="1926777.89"/>
    <x v="1"/>
    <x v="1"/>
  </r>
  <r>
    <x v="0"/>
    <x v="13"/>
    <x v="1"/>
    <s v="效果广告"/>
    <x v="2"/>
    <n v="134440"/>
    <n v="127937"/>
    <n v="1429"/>
    <n v="208"/>
    <n v="874638.53"/>
    <x v="1"/>
    <x v="1"/>
  </r>
  <r>
    <x v="0"/>
    <x v="13"/>
    <x v="1"/>
    <s v="站外广告"/>
    <x v="1"/>
    <n v="70"/>
    <n v="50"/>
    <n v="2"/>
    <n v="0"/>
    <n v="0"/>
    <x v="1"/>
    <x v="1"/>
  </r>
  <r>
    <x v="0"/>
    <x v="13"/>
    <x v="1"/>
    <s v="品牌广告"/>
    <x v="7"/>
    <n v="5"/>
    <n v="5"/>
    <n v="0"/>
    <n v="0"/>
    <n v="0"/>
    <x v="1"/>
    <x v="1"/>
  </r>
  <r>
    <x v="0"/>
    <x v="13"/>
    <x v="1"/>
    <s v="品牌广告"/>
    <x v="9"/>
    <n v="2"/>
    <n v="2"/>
    <n v="0"/>
    <n v="0"/>
    <n v="0"/>
    <x v="1"/>
    <x v="1"/>
  </r>
  <r>
    <x v="0"/>
    <x v="13"/>
    <x v="1"/>
    <s v="内容广告"/>
    <x v="13"/>
    <n v="13483"/>
    <n v="12255"/>
    <n v="226"/>
    <n v="0"/>
    <n v="0"/>
    <x v="1"/>
    <x v="1"/>
  </r>
  <r>
    <x v="0"/>
    <x v="13"/>
    <x v="2"/>
    <s v="站外广告"/>
    <x v="3"/>
    <n v="4010"/>
    <n v="2356"/>
    <n v="50"/>
    <n v="33"/>
    <n v="403140"/>
    <x v="1"/>
    <x v="1"/>
  </r>
  <r>
    <x v="0"/>
    <x v="13"/>
    <x v="2"/>
    <s v="内容广告"/>
    <x v="4"/>
    <n v="24"/>
    <n v="18"/>
    <n v="0"/>
    <n v="0"/>
    <n v="0"/>
    <x v="1"/>
    <x v="1"/>
  </r>
  <r>
    <x v="0"/>
    <x v="13"/>
    <x v="2"/>
    <s v="内容广告"/>
    <x v="14"/>
    <n v="2"/>
    <n v="1"/>
    <n v="0"/>
    <n v="0"/>
    <n v="0"/>
    <x v="1"/>
    <x v="1"/>
  </r>
  <r>
    <x v="0"/>
    <x v="13"/>
    <x v="2"/>
    <s v="品牌广告"/>
    <x v="7"/>
    <n v="87"/>
    <n v="83"/>
    <n v="0"/>
    <n v="0"/>
    <n v="0"/>
    <x v="1"/>
    <x v="1"/>
  </r>
  <r>
    <x v="0"/>
    <x v="13"/>
    <x v="2"/>
    <s v="站外广告"/>
    <x v="8"/>
    <n v="3"/>
    <n v="2"/>
    <n v="0"/>
    <n v="0"/>
    <n v="0"/>
    <x v="1"/>
    <x v="1"/>
  </r>
  <r>
    <x v="0"/>
    <x v="13"/>
    <x v="2"/>
    <s v="品牌广告"/>
    <x v="9"/>
    <n v="51291"/>
    <n v="48079"/>
    <n v="1587"/>
    <n v="200"/>
    <n v="2210900"/>
    <x v="1"/>
    <x v="1"/>
  </r>
  <r>
    <x v="0"/>
    <x v="13"/>
    <x v="2"/>
    <s v="效果广告"/>
    <x v="0"/>
    <n v="91907"/>
    <n v="83156"/>
    <n v="2284"/>
    <n v="209"/>
    <n v="2119060"/>
    <x v="1"/>
    <x v="1"/>
  </r>
  <r>
    <x v="0"/>
    <x v="13"/>
    <x v="2"/>
    <s v="效果广告"/>
    <x v="2"/>
    <n v="53693"/>
    <n v="49579"/>
    <n v="481"/>
    <n v="40"/>
    <n v="325800"/>
    <x v="1"/>
    <x v="1"/>
  </r>
  <r>
    <x v="0"/>
    <x v="13"/>
    <x v="2"/>
    <s v="效果广告"/>
    <x v="5"/>
    <n v="94856"/>
    <n v="86526"/>
    <n v="330"/>
    <n v="8"/>
    <n v="72500"/>
    <x v="1"/>
    <x v="1"/>
  </r>
  <r>
    <x v="0"/>
    <x v="13"/>
    <x v="2"/>
    <s v="品牌广告"/>
    <x v="11"/>
    <n v="9"/>
    <n v="5"/>
    <n v="0"/>
    <n v="0"/>
    <n v="0"/>
    <x v="1"/>
    <x v="1"/>
  </r>
  <r>
    <x v="0"/>
    <x v="13"/>
    <x v="2"/>
    <s v="品牌广告"/>
    <x v="15"/>
    <n v="2"/>
    <n v="2"/>
    <n v="0"/>
    <n v="0"/>
    <n v="0"/>
    <x v="1"/>
    <x v="1"/>
  </r>
  <r>
    <x v="0"/>
    <x v="13"/>
    <x v="2"/>
    <s v="站外广告"/>
    <x v="1"/>
    <n v="61"/>
    <n v="45"/>
    <n v="2"/>
    <n v="0"/>
    <n v="0"/>
    <x v="1"/>
    <x v="1"/>
  </r>
  <r>
    <x v="0"/>
    <x v="14"/>
    <x v="0"/>
    <s v="效果广告"/>
    <x v="0"/>
    <n v="90802"/>
    <n v="81478"/>
    <n v="2694"/>
    <n v="168"/>
    <n v="1974480"/>
    <x v="1"/>
    <x v="2"/>
  </r>
  <r>
    <x v="0"/>
    <x v="14"/>
    <x v="0"/>
    <s v="品牌广告"/>
    <x v="10"/>
    <n v="43859"/>
    <n v="40880"/>
    <n v="0"/>
    <n v="0"/>
    <n v="0"/>
    <x v="1"/>
    <x v="2"/>
  </r>
  <r>
    <x v="0"/>
    <x v="14"/>
    <x v="0"/>
    <s v="效果广告"/>
    <x v="5"/>
    <n v="275765"/>
    <n v="258194"/>
    <n v="1861"/>
    <n v="118"/>
    <n v="1151060"/>
    <x v="1"/>
    <x v="2"/>
  </r>
  <r>
    <x v="0"/>
    <x v="14"/>
    <x v="0"/>
    <s v="内容广告"/>
    <x v="4"/>
    <n v="83"/>
    <n v="57"/>
    <n v="0"/>
    <n v="0"/>
    <n v="0"/>
    <x v="1"/>
    <x v="2"/>
  </r>
  <r>
    <x v="0"/>
    <x v="14"/>
    <x v="0"/>
    <s v="品牌广告"/>
    <x v="9"/>
    <n v="14050"/>
    <n v="13145"/>
    <n v="667"/>
    <n v="77"/>
    <n v="1330880"/>
    <x v="1"/>
    <x v="2"/>
  </r>
  <r>
    <x v="0"/>
    <x v="14"/>
    <x v="0"/>
    <s v="站外广告"/>
    <x v="8"/>
    <n v="2"/>
    <n v="1"/>
    <n v="0"/>
    <n v="0"/>
    <n v="0"/>
    <x v="1"/>
    <x v="2"/>
  </r>
  <r>
    <x v="0"/>
    <x v="14"/>
    <x v="0"/>
    <s v="品牌广告"/>
    <x v="11"/>
    <n v="6"/>
    <n v="5"/>
    <n v="0"/>
    <n v="0"/>
    <n v="0"/>
    <x v="1"/>
    <x v="2"/>
  </r>
  <r>
    <x v="0"/>
    <x v="14"/>
    <x v="0"/>
    <s v="品牌广告"/>
    <x v="7"/>
    <n v="4"/>
    <n v="3"/>
    <n v="0"/>
    <n v="0"/>
    <n v="0"/>
    <x v="1"/>
    <x v="2"/>
  </r>
  <r>
    <x v="0"/>
    <x v="14"/>
    <x v="0"/>
    <s v="品牌广告"/>
    <x v="15"/>
    <n v="1"/>
    <n v="1"/>
    <n v="0"/>
    <n v="0"/>
    <n v="0"/>
    <x v="1"/>
    <x v="2"/>
  </r>
  <r>
    <x v="0"/>
    <x v="14"/>
    <x v="0"/>
    <s v="效果广告"/>
    <x v="2"/>
    <n v="25932"/>
    <n v="23619"/>
    <n v="453"/>
    <n v="44"/>
    <n v="308015"/>
    <x v="1"/>
    <x v="2"/>
  </r>
  <r>
    <x v="0"/>
    <x v="14"/>
    <x v="0"/>
    <s v="站外广告"/>
    <x v="1"/>
    <n v="62"/>
    <n v="45"/>
    <n v="2"/>
    <n v="0"/>
    <n v="0"/>
    <x v="1"/>
    <x v="2"/>
  </r>
  <r>
    <x v="0"/>
    <x v="14"/>
    <x v="0"/>
    <s v="品牌广告"/>
    <x v="12"/>
    <n v="2"/>
    <n v="1"/>
    <n v="0"/>
    <n v="0"/>
    <n v="0"/>
    <x v="1"/>
    <x v="2"/>
  </r>
  <r>
    <x v="0"/>
    <x v="14"/>
    <x v="0"/>
    <s v="品牌广告"/>
    <x v="6"/>
    <n v="2"/>
    <n v="2"/>
    <n v="0"/>
    <n v="0"/>
    <n v="0"/>
    <x v="1"/>
    <x v="2"/>
  </r>
  <r>
    <x v="0"/>
    <x v="14"/>
    <x v="0"/>
    <s v="站外广告"/>
    <x v="3"/>
    <n v="3320"/>
    <n v="2025"/>
    <n v="38"/>
    <n v="25"/>
    <n v="602760"/>
    <x v="1"/>
    <x v="2"/>
  </r>
  <r>
    <x v="0"/>
    <x v="14"/>
    <x v="1"/>
    <s v="内容广告"/>
    <x v="14"/>
    <n v="1"/>
    <n v="1"/>
    <n v="0"/>
    <n v="0"/>
    <n v="0"/>
    <x v="1"/>
    <x v="2"/>
  </r>
  <r>
    <x v="0"/>
    <x v="14"/>
    <x v="1"/>
    <s v="内容广告"/>
    <x v="4"/>
    <n v="62"/>
    <n v="42"/>
    <n v="0"/>
    <n v="0"/>
    <n v="0"/>
    <x v="1"/>
    <x v="2"/>
  </r>
  <r>
    <x v="0"/>
    <x v="14"/>
    <x v="1"/>
    <s v="品牌广告"/>
    <x v="9"/>
    <n v="1"/>
    <n v="1"/>
    <n v="0"/>
    <n v="0"/>
    <n v="0"/>
    <x v="1"/>
    <x v="2"/>
  </r>
  <r>
    <x v="0"/>
    <x v="14"/>
    <x v="1"/>
    <s v="站外广告"/>
    <x v="8"/>
    <n v="7"/>
    <n v="6"/>
    <n v="0"/>
    <n v="0"/>
    <n v="0"/>
    <x v="1"/>
    <x v="2"/>
  </r>
  <r>
    <x v="0"/>
    <x v="14"/>
    <x v="1"/>
    <s v="站外广告"/>
    <x v="1"/>
    <n v="48"/>
    <n v="41"/>
    <n v="0"/>
    <n v="0"/>
    <n v="0"/>
    <x v="1"/>
    <x v="2"/>
  </r>
  <r>
    <x v="0"/>
    <x v="14"/>
    <x v="1"/>
    <s v="效果广告"/>
    <x v="0"/>
    <n v="68431"/>
    <n v="56559"/>
    <n v="2357"/>
    <n v="339"/>
    <n v="1187219.54"/>
    <x v="1"/>
    <x v="2"/>
  </r>
  <r>
    <x v="0"/>
    <x v="14"/>
    <x v="1"/>
    <s v="效果广告"/>
    <x v="5"/>
    <n v="177613"/>
    <n v="159351"/>
    <n v="1125"/>
    <n v="78"/>
    <n v="271197.2"/>
    <x v="1"/>
    <x v="2"/>
  </r>
  <r>
    <x v="0"/>
    <x v="14"/>
    <x v="1"/>
    <s v="品牌广告"/>
    <x v="11"/>
    <n v="6"/>
    <n v="3"/>
    <n v="0"/>
    <n v="0"/>
    <n v="0"/>
    <x v="1"/>
    <x v="2"/>
  </r>
  <r>
    <x v="0"/>
    <x v="14"/>
    <x v="1"/>
    <s v="效果广告"/>
    <x v="2"/>
    <n v="83983"/>
    <n v="78717"/>
    <n v="894"/>
    <n v="177"/>
    <n v="592451"/>
    <x v="1"/>
    <x v="2"/>
  </r>
  <r>
    <x v="0"/>
    <x v="14"/>
    <x v="1"/>
    <s v="站外广告"/>
    <x v="3"/>
    <n v="4184"/>
    <n v="2175"/>
    <n v="79"/>
    <n v="43"/>
    <n v="174858.19"/>
    <x v="1"/>
    <x v="2"/>
  </r>
  <r>
    <x v="0"/>
    <x v="14"/>
    <x v="1"/>
    <s v="内容广告"/>
    <x v="13"/>
    <n v="12604"/>
    <n v="10531"/>
    <n v="170"/>
    <n v="0"/>
    <n v="0"/>
    <x v="1"/>
    <x v="2"/>
  </r>
  <r>
    <x v="0"/>
    <x v="14"/>
    <x v="2"/>
    <s v="效果广告"/>
    <x v="0"/>
    <n v="75752"/>
    <n v="65318"/>
    <n v="2066"/>
    <n v="181"/>
    <n v="1519240"/>
    <x v="1"/>
    <x v="2"/>
  </r>
  <r>
    <x v="0"/>
    <x v="14"/>
    <x v="2"/>
    <s v="效果广告"/>
    <x v="5"/>
    <n v="83089"/>
    <n v="70891"/>
    <n v="432"/>
    <n v="14"/>
    <n v="137080"/>
    <x v="1"/>
    <x v="2"/>
  </r>
  <r>
    <x v="0"/>
    <x v="14"/>
    <x v="2"/>
    <s v="站外广告"/>
    <x v="1"/>
    <n v="43"/>
    <n v="31"/>
    <n v="0"/>
    <n v="0"/>
    <n v="0"/>
    <x v="1"/>
    <x v="2"/>
  </r>
  <r>
    <x v="0"/>
    <x v="14"/>
    <x v="2"/>
    <s v="效果广告"/>
    <x v="2"/>
    <n v="75481"/>
    <n v="69894"/>
    <n v="650"/>
    <n v="51"/>
    <n v="412280"/>
    <x v="1"/>
    <x v="2"/>
  </r>
  <r>
    <x v="0"/>
    <x v="14"/>
    <x v="2"/>
    <s v="品牌广告"/>
    <x v="9"/>
    <n v="43089"/>
    <n v="40263"/>
    <n v="1319"/>
    <n v="186"/>
    <n v="2147410"/>
    <x v="1"/>
    <x v="2"/>
  </r>
  <r>
    <x v="0"/>
    <x v="14"/>
    <x v="2"/>
    <s v="内容广告"/>
    <x v="4"/>
    <n v="44"/>
    <n v="25"/>
    <n v="0"/>
    <n v="0"/>
    <n v="0"/>
    <x v="1"/>
    <x v="2"/>
  </r>
  <r>
    <x v="0"/>
    <x v="14"/>
    <x v="2"/>
    <s v="品牌广告"/>
    <x v="7"/>
    <n v="75"/>
    <n v="74"/>
    <n v="0"/>
    <n v="0"/>
    <n v="0"/>
    <x v="1"/>
    <x v="2"/>
  </r>
  <r>
    <x v="0"/>
    <x v="14"/>
    <x v="2"/>
    <s v="站外广告"/>
    <x v="8"/>
    <n v="2"/>
    <n v="1"/>
    <n v="0"/>
    <n v="0"/>
    <n v="0"/>
    <x v="1"/>
    <x v="2"/>
  </r>
  <r>
    <x v="0"/>
    <x v="14"/>
    <x v="2"/>
    <s v="站外广告"/>
    <x v="3"/>
    <n v="4106"/>
    <n v="2346"/>
    <n v="47"/>
    <n v="18"/>
    <n v="189080"/>
    <x v="1"/>
    <x v="2"/>
  </r>
  <r>
    <x v="0"/>
    <x v="14"/>
    <x v="2"/>
    <s v="品牌广告"/>
    <x v="11"/>
    <n v="7"/>
    <n v="2"/>
    <n v="0"/>
    <n v="0"/>
    <n v="0"/>
    <x v="1"/>
    <x v="2"/>
  </r>
  <r>
    <x v="0"/>
    <x v="15"/>
    <x v="0"/>
    <s v="内容广告"/>
    <x v="4"/>
    <n v="36"/>
    <n v="21"/>
    <n v="0"/>
    <n v="0"/>
    <n v="0"/>
    <x v="1"/>
    <x v="3"/>
  </r>
  <r>
    <x v="0"/>
    <x v="15"/>
    <x v="0"/>
    <s v="品牌广告"/>
    <x v="7"/>
    <n v="8"/>
    <n v="6"/>
    <n v="0"/>
    <n v="0"/>
    <n v="0"/>
    <x v="1"/>
    <x v="3"/>
  </r>
  <r>
    <x v="0"/>
    <x v="15"/>
    <x v="0"/>
    <s v="品牌广告"/>
    <x v="11"/>
    <n v="3"/>
    <n v="3"/>
    <n v="0"/>
    <n v="0"/>
    <n v="0"/>
    <x v="1"/>
    <x v="3"/>
  </r>
  <r>
    <x v="0"/>
    <x v="15"/>
    <x v="0"/>
    <s v="品牌广告"/>
    <x v="10"/>
    <n v="1"/>
    <n v="0"/>
    <n v="0"/>
    <n v="0"/>
    <n v="0"/>
    <x v="1"/>
    <x v="3"/>
  </r>
  <r>
    <x v="0"/>
    <x v="15"/>
    <x v="0"/>
    <s v="效果广告"/>
    <x v="0"/>
    <n v="63164"/>
    <n v="56230"/>
    <n v="1870"/>
    <n v="114"/>
    <n v="1856475"/>
    <x v="1"/>
    <x v="3"/>
  </r>
  <r>
    <x v="0"/>
    <x v="15"/>
    <x v="0"/>
    <s v="站外广告"/>
    <x v="3"/>
    <n v="1998"/>
    <n v="1184"/>
    <n v="26"/>
    <n v="3"/>
    <n v="15160"/>
    <x v="1"/>
    <x v="3"/>
  </r>
  <r>
    <x v="0"/>
    <x v="15"/>
    <x v="0"/>
    <s v="效果广告"/>
    <x v="2"/>
    <n v="20944"/>
    <n v="18654"/>
    <n v="435"/>
    <n v="36"/>
    <n v="541430"/>
    <x v="1"/>
    <x v="3"/>
  </r>
  <r>
    <x v="0"/>
    <x v="15"/>
    <x v="0"/>
    <s v="品牌广告"/>
    <x v="9"/>
    <n v="11372"/>
    <n v="10541"/>
    <n v="528"/>
    <n v="45"/>
    <n v="688695"/>
    <x v="1"/>
    <x v="3"/>
  </r>
  <r>
    <x v="0"/>
    <x v="15"/>
    <x v="0"/>
    <s v="品牌广告"/>
    <x v="6"/>
    <n v="2"/>
    <n v="2"/>
    <n v="0"/>
    <n v="0"/>
    <n v="0"/>
    <x v="1"/>
    <x v="3"/>
  </r>
  <r>
    <x v="0"/>
    <x v="15"/>
    <x v="0"/>
    <s v="站外广告"/>
    <x v="1"/>
    <n v="56"/>
    <n v="51"/>
    <n v="1"/>
    <n v="0"/>
    <n v="0"/>
    <x v="1"/>
    <x v="3"/>
  </r>
  <r>
    <x v="0"/>
    <x v="15"/>
    <x v="0"/>
    <s v="效果广告"/>
    <x v="5"/>
    <n v="135250"/>
    <n v="120937"/>
    <n v="1463"/>
    <n v="72"/>
    <n v="866505"/>
    <x v="1"/>
    <x v="3"/>
  </r>
  <r>
    <x v="0"/>
    <x v="15"/>
    <x v="1"/>
    <s v="效果广告"/>
    <x v="0"/>
    <n v="17887"/>
    <n v="15457"/>
    <n v="416"/>
    <n v="33"/>
    <n v="197625"/>
    <x v="1"/>
    <x v="3"/>
  </r>
  <r>
    <x v="0"/>
    <x v="15"/>
    <x v="1"/>
    <s v="内容广告"/>
    <x v="4"/>
    <n v="1583"/>
    <n v="1110"/>
    <n v="2"/>
    <n v="0"/>
    <n v="0"/>
    <x v="1"/>
    <x v="3"/>
  </r>
  <r>
    <x v="0"/>
    <x v="15"/>
    <x v="1"/>
    <s v="内容广告"/>
    <x v="13"/>
    <n v="2800"/>
    <n v="2101"/>
    <n v="13"/>
    <n v="0"/>
    <n v="0"/>
    <x v="1"/>
    <x v="3"/>
  </r>
  <r>
    <x v="0"/>
    <x v="15"/>
    <x v="1"/>
    <s v="站外广告"/>
    <x v="1"/>
    <n v="7"/>
    <n v="4"/>
    <n v="0"/>
    <n v="0"/>
    <n v="0"/>
    <x v="1"/>
    <x v="3"/>
  </r>
  <r>
    <x v="0"/>
    <x v="15"/>
    <x v="1"/>
    <s v="站外广告"/>
    <x v="3"/>
    <n v="2923"/>
    <n v="1646"/>
    <n v="27"/>
    <n v="9"/>
    <n v="53005"/>
    <x v="1"/>
    <x v="3"/>
  </r>
  <r>
    <x v="0"/>
    <x v="15"/>
    <x v="1"/>
    <s v="品牌广告"/>
    <x v="9"/>
    <n v="1"/>
    <n v="1"/>
    <n v="0"/>
    <n v="0"/>
    <n v="0"/>
    <x v="1"/>
    <x v="3"/>
  </r>
  <r>
    <x v="0"/>
    <x v="15"/>
    <x v="1"/>
    <s v="效果广告"/>
    <x v="2"/>
    <n v="53429"/>
    <n v="50746"/>
    <n v="482"/>
    <n v="36"/>
    <n v="177307"/>
    <x v="1"/>
    <x v="3"/>
  </r>
  <r>
    <x v="0"/>
    <x v="15"/>
    <x v="1"/>
    <s v="效果广告"/>
    <x v="5"/>
    <n v="161054"/>
    <n v="152446"/>
    <n v="700"/>
    <n v="26"/>
    <n v="149705"/>
    <x v="1"/>
    <x v="3"/>
  </r>
  <r>
    <x v="0"/>
    <x v="15"/>
    <x v="2"/>
    <s v="内容广告"/>
    <x v="4"/>
    <n v="17854"/>
    <n v="15351"/>
    <n v="25"/>
    <n v="2"/>
    <n v="15900"/>
    <x v="1"/>
    <x v="3"/>
  </r>
  <r>
    <x v="0"/>
    <x v="15"/>
    <x v="2"/>
    <s v="品牌广告"/>
    <x v="15"/>
    <n v="1"/>
    <n v="1"/>
    <n v="0"/>
    <n v="0"/>
    <n v="0"/>
    <x v="1"/>
    <x v="3"/>
  </r>
  <r>
    <x v="0"/>
    <x v="15"/>
    <x v="2"/>
    <s v="品牌广告"/>
    <x v="9"/>
    <n v="37306"/>
    <n v="35356"/>
    <n v="998"/>
    <n v="118"/>
    <n v="1322220"/>
    <x v="1"/>
    <x v="3"/>
  </r>
  <r>
    <x v="0"/>
    <x v="15"/>
    <x v="2"/>
    <s v="站外广告"/>
    <x v="8"/>
    <n v="1"/>
    <n v="0"/>
    <n v="0"/>
    <n v="0"/>
    <n v="0"/>
    <x v="1"/>
    <x v="3"/>
  </r>
  <r>
    <x v="0"/>
    <x v="15"/>
    <x v="2"/>
    <s v="效果广告"/>
    <x v="5"/>
    <n v="76250"/>
    <n v="67572"/>
    <n v="439"/>
    <n v="8"/>
    <n v="82280"/>
    <x v="1"/>
    <x v="3"/>
  </r>
  <r>
    <x v="0"/>
    <x v="15"/>
    <x v="2"/>
    <s v="站外广告"/>
    <x v="1"/>
    <n v="23"/>
    <n v="20"/>
    <n v="0"/>
    <n v="0"/>
    <n v="0"/>
    <x v="1"/>
    <x v="3"/>
  </r>
  <r>
    <x v="0"/>
    <x v="15"/>
    <x v="2"/>
    <s v="效果广告"/>
    <x v="2"/>
    <n v="42457"/>
    <n v="38647"/>
    <n v="581"/>
    <n v="37"/>
    <n v="312940"/>
    <x v="1"/>
    <x v="3"/>
  </r>
  <r>
    <x v="0"/>
    <x v="15"/>
    <x v="2"/>
    <s v="站外广告"/>
    <x v="3"/>
    <n v="3810"/>
    <n v="2345"/>
    <n v="39"/>
    <n v="15"/>
    <n v="232500"/>
    <x v="1"/>
    <x v="3"/>
  </r>
  <r>
    <x v="0"/>
    <x v="15"/>
    <x v="2"/>
    <s v="品牌广告"/>
    <x v="7"/>
    <n v="60"/>
    <n v="58"/>
    <n v="0"/>
    <n v="0"/>
    <n v="0"/>
    <x v="1"/>
    <x v="3"/>
  </r>
  <r>
    <x v="0"/>
    <x v="15"/>
    <x v="2"/>
    <s v="效果广告"/>
    <x v="0"/>
    <n v="34495"/>
    <n v="29534"/>
    <n v="973"/>
    <n v="71"/>
    <n v="582260"/>
    <x v="1"/>
    <x v="3"/>
  </r>
  <r>
    <x v="0"/>
    <x v="15"/>
    <x v="2"/>
    <s v="品牌广告"/>
    <x v="11"/>
    <n v="1"/>
    <n v="1"/>
    <n v="0"/>
    <n v="0"/>
    <n v="0"/>
    <x v="1"/>
    <x v="3"/>
  </r>
  <r>
    <x v="0"/>
    <x v="16"/>
    <x v="0"/>
    <s v="效果广告"/>
    <x v="5"/>
    <n v="109202"/>
    <n v="95742"/>
    <n v="1697"/>
    <n v="77"/>
    <n v="741905"/>
    <x v="1"/>
    <x v="4"/>
  </r>
  <r>
    <x v="0"/>
    <x v="16"/>
    <x v="0"/>
    <s v="品牌广告"/>
    <x v="7"/>
    <n v="4"/>
    <n v="3"/>
    <n v="0"/>
    <n v="0"/>
    <n v="0"/>
    <x v="1"/>
    <x v="4"/>
  </r>
  <r>
    <x v="0"/>
    <x v="16"/>
    <x v="0"/>
    <s v="站外广告"/>
    <x v="1"/>
    <n v="122"/>
    <n v="108"/>
    <n v="6"/>
    <n v="0"/>
    <n v="0"/>
    <x v="1"/>
    <x v="4"/>
  </r>
  <r>
    <x v="0"/>
    <x v="16"/>
    <x v="0"/>
    <s v="站外广告"/>
    <x v="8"/>
    <n v="4"/>
    <n v="2"/>
    <n v="0"/>
    <n v="0"/>
    <n v="0"/>
    <x v="1"/>
    <x v="4"/>
  </r>
  <r>
    <x v="0"/>
    <x v="16"/>
    <x v="0"/>
    <s v="品牌广告"/>
    <x v="11"/>
    <n v="8"/>
    <n v="4"/>
    <n v="0"/>
    <n v="0"/>
    <n v="0"/>
    <x v="1"/>
    <x v="4"/>
  </r>
  <r>
    <x v="0"/>
    <x v="16"/>
    <x v="0"/>
    <s v="品牌广告"/>
    <x v="9"/>
    <n v="13080"/>
    <n v="12211"/>
    <n v="710"/>
    <n v="44"/>
    <n v="600705"/>
    <x v="1"/>
    <x v="4"/>
  </r>
  <r>
    <x v="0"/>
    <x v="16"/>
    <x v="0"/>
    <s v="效果广告"/>
    <x v="0"/>
    <n v="16892"/>
    <n v="13219"/>
    <n v="381"/>
    <n v="34"/>
    <n v="508020"/>
    <x v="1"/>
    <x v="4"/>
  </r>
  <r>
    <x v="0"/>
    <x v="16"/>
    <x v="0"/>
    <s v="内容广告"/>
    <x v="14"/>
    <n v="1"/>
    <n v="0"/>
    <n v="0"/>
    <n v="0"/>
    <n v="0"/>
    <x v="1"/>
    <x v="4"/>
  </r>
  <r>
    <x v="0"/>
    <x v="16"/>
    <x v="0"/>
    <s v="内容广告"/>
    <x v="4"/>
    <n v="27"/>
    <n v="7"/>
    <n v="1"/>
    <n v="0"/>
    <n v="0"/>
    <x v="1"/>
    <x v="4"/>
  </r>
  <r>
    <x v="0"/>
    <x v="16"/>
    <x v="0"/>
    <s v="效果广告"/>
    <x v="2"/>
    <n v="37554"/>
    <n v="34669"/>
    <n v="550"/>
    <n v="33"/>
    <n v="307670"/>
    <x v="1"/>
    <x v="4"/>
  </r>
  <r>
    <x v="0"/>
    <x v="16"/>
    <x v="0"/>
    <s v="站外广告"/>
    <x v="3"/>
    <n v="1690"/>
    <n v="1027"/>
    <n v="18"/>
    <n v="2"/>
    <n v="23300"/>
    <x v="1"/>
    <x v="4"/>
  </r>
  <r>
    <x v="0"/>
    <x v="16"/>
    <x v="1"/>
    <s v="效果广告"/>
    <x v="0"/>
    <n v="13231"/>
    <n v="12560"/>
    <n v="342"/>
    <n v="28"/>
    <n v="83751.05"/>
    <x v="1"/>
    <x v="4"/>
  </r>
  <r>
    <x v="0"/>
    <x v="16"/>
    <x v="1"/>
    <s v="内容广告"/>
    <x v="4"/>
    <n v="3932"/>
    <n v="3406"/>
    <n v="8"/>
    <n v="1"/>
    <n v="2995"/>
    <x v="1"/>
    <x v="4"/>
  </r>
  <r>
    <x v="0"/>
    <x v="16"/>
    <x v="1"/>
    <s v="效果广告"/>
    <x v="5"/>
    <n v="135826"/>
    <n v="127655"/>
    <n v="688"/>
    <n v="21"/>
    <n v="95327"/>
    <x v="1"/>
    <x v="4"/>
  </r>
  <r>
    <x v="0"/>
    <x v="16"/>
    <x v="1"/>
    <s v="站外广告"/>
    <x v="3"/>
    <n v="2502"/>
    <n v="1217"/>
    <n v="15"/>
    <n v="15"/>
    <n v="77985"/>
    <x v="1"/>
    <x v="4"/>
  </r>
  <r>
    <x v="0"/>
    <x v="16"/>
    <x v="1"/>
    <s v="站外广告"/>
    <x v="8"/>
    <n v="1"/>
    <n v="1"/>
    <n v="0"/>
    <n v="0"/>
    <n v="0"/>
    <x v="1"/>
    <x v="4"/>
  </r>
  <r>
    <x v="0"/>
    <x v="16"/>
    <x v="1"/>
    <s v="内容广告"/>
    <x v="14"/>
    <n v="1"/>
    <n v="1"/>
    <n v="0"/>
    <n v="0"/>
    <n v="0"/>
    <x v="1"/>
    <x v="4"/>
  </r>
  <r>
    <x v="0"/>
    <x v="16"/>
    <x v="1"/>
    <s v="品牌广告"/>
    <x v="7"/>
    <n v="2"/>
    <n v="1"/>
    <n v="0"/>
    <n v="0"/>
    <n v="0"/>
    <x v="1"/>
    <x v="4"/>
  </r>
  <r>
    <x v="0"/>
    <x v="16"/>
    <x v="1"/>
    <s v="内容广告"/>
    <x v="13"/>
    <n v="2999"/>
    <n v="2334"/>
    <n v="27"/>
    <n v="0"/>
    <n v="0"/>
    <x v="1"/>
    <x v="4"/>
  </r>
  <r>
    <x v="0"/>
    <x v="16"/>
    <x v="1"/>
    <s v="品牌广告"/>
    <x v="11"/>
    <n v="2"/>
    <n v="2"/>
    <n v="0"/>
    <n v="0"/>
    <n v="0"/>
    <x v="1"/>
    <x v="4"/>
  </r>
  <r>
    <x v="0"/>
    <x v="16"/>
    <x v="1"/>
    <s v="效果广告"/>
    <x v="2"/>
    <n v="54176"/>
    <n v="51543"/>
    <n v="574"/>
    <n v="55"/>
    <n v="262520"/>
    <x v="1"/>
    <x v="4"/>
  </r>
  <r>
    <x v="0"/>
    <x v="16"/>
    <x v="1"/>
    <s v="品牌广告"/>
    <x v="9"/>
    <n v="2"/>
    <n v="2"/>
    <n v="0"/>
    <n v="0"/>
    <n v="0"/>
    <x v="1"/>
    <x v="4"/>
  </r>
  <r>
    <x v="0"/>
    <x v="16"/>
    <x v="1"/>
    <s v="站外广告"/>
    <x v="1"/>
    <n v="18"/>
    <n v="9"/>
    <n v="1"/>
    <n v="0"/>
    <n v="0"/>
    <x v="1"/>
    <x v="4"/>
  </r>
  <r>
    <x v="0"/>
    <x v="16"/>
    <x v="2"/>
    <s v="站外广告"/>
    <x v="1"/>
    <n v="32"/>
    <n v="21"/>
    <n v="0"/>
    <n v="0"/>
    <n v="0"/>
    <x v="1"/>
    <x v="4"/>
  </r>
  <r>
    <x v="0"/>
    <x v="16"/>
    <x v="2"/>
    <s v="效果广告"/>
    <x v="5"/>
    <n v="108074"/>
    <n v="97424"/>
    <n v="601"/>
    <n v="17"/>
    <n v="146080"/>
    <x v="1"/>
    <x v="4"/>
  </r>
  <r>
    <x v="0"/>
    <x v="16"/>
    <x v="2"/>
    <s v="品牌广告"/>
    <x v="15"/>
    <n v="1"/>
    <n v="1"/>
    <n v="0"/>
    <n v="0"/>
    <n v="0"/>
    <x v="1"/>
    <x v="4"/>
  </r>
  <r>
    <x v="0"/>
    <x v="16"/>
    <x v="2"/>
    <s v="站外广告"/>
    <x v="3"/>
    <n v="4072"/>
    <n v="2263"/>
    <n v="29"/>
    <n v="11"/>
    <n v="174760"/>
    <x v="1"/>
    <x v="4"/>
  </r>
  <r>
    <x v="0"/>
    <x v="16"/>
    <x v="2"/>
    <s v="效果广告"/>
    <x v="2"/>
    <n v="50136"/>
    <n v="45830"/>
    <n v="736"/>
    <n v="50"/>
    <n v="399960"/>
    <x v="1"/>
    <x v="4"/>
  </r>
  <r>
    <x v="0"/>
    <x v="16"/>
    <x v="2"/>
    <s v="品牌广告"/>
    <x v="9"/>
    <n v="42068"/>
    <n v="39776"/>
    <n v="1147"/>
    <n v="151"/>
    <n v="1872280"/>
    <x v="1"/>
    <x v="4"/>
  </r>
  <r>
    <x v="0"/>
    <x v="16"/>
    <x v="2"/>
    <s v="站外广告"/>
    <x v="8"/>
    <n v="1"/>
    <n v="1"/>
    <n v="0"/>
    <n v="0"/>
    <n v="0"/>
    <x v="1"/>
    <x v="4"/>
  </r>
  <r>
    <x v="0"/>
    <x v="16"/>
    <x v="2"/>
    <s v="品牌广告"/>
    <x v="7"/>
    <n v="55"/>
    <n v="55"/>
    <n v="0"/>
    <n v="0"/>
    <n v="0"/>
    <x v="1"/>
    <x v="4"/>
  </r>
  <r>
    <x v="0"/>
    <x v="16"/>
    <x v="2"/>
    <s v="品牌广告"/>
    <x v="12"/>
    <n v="1"/>
    <n v="1"/>
    <n v="0"/>
    <n v="0"/>
    <n v="0"/>
    <x v="1"/>
    <x v="4"/>
  </r>
  <r>
    <x v="0"/>
    <x v="16"/>
    <x v="2"/>
    <s v="内容广告"/>
    <x v="4"/>
    <n v="13984"/>
    <n v="10134"/>
    <n v="44"/>
    <n v="5"/>
    <n v="93080"/>
    <x v="1"/>
    <x v="4"/>
  </r>
  <r>
    <x v="0"/>
    <x v="16"/>
    <x v="2"/>
    <s v="效果广告"/>
    <x v="0"/>
    <n v="9718"/>
    <n v="7068"/>
    <n v="261"/>
    <n v="11"/>
    <n v="102400"/>
    <x v="1"/>
    <x v="4"/>
  </r>
  <r>
    <x v="0"/>
    <x v="16"/>
    <x v="2"/>
    <s v="品牌广告"/>
    <x v="11"/>
    <n v="3"/>
    <n v="2"/>
    <n v="0"/>
    <n v="0"/>
    <n v="0"/>
    <x v="1"/>
    <x v="4"/>
  </r>
  <r>
    <x v="0"/>
    <x v="17"/>
    <x v="0"/>
    <s v="内容广告"/>
    <x v="14"/>
    <n v="3"/>
    <n v="1"/>
    <n v="0"/>
    <n v="0"/>
    <n v="0"/>
    <x v="1"/>
    <x v="5"/>
  </r>
  <r>
    <x v="0"/>
    <x v="17"/>
    <x v="0"/>
    <s v="站外广告"/>
    <x v="8"/>
    <n v="2"/>
    <n v="0"/>
    <n v="0"/>
    <n v="0"/>
    <n v="0"/>
    <x v="1"/>
    <x v="5"/>
  </r>
  <r>
    <x v="0"/>
    <x v="17"/>
    <x v="0"/>
    <s v="内容广告"/>
    <x v="4"/>
    <n v="380"/>
    <n v="209"/>
    <n v="3"/>
    <n v="0"/>
    <n v="0"/>
    <x v="1"/>
    <x v="5"/>
  </r>
  <r>
    <x v="0"/>
    <x v="17"/>
    <x v="0"/>
    <s v="品牌广告"/>
    <x v="9"/>
    <n v="15644"/>
    <n v="14661"/>
    <n v="652"/>
    <n v="34"/>
    <n v="478590"/>
    <x v="1"/>
    <x v="5"/>
  </r>
  <r>
    <x v="0"/>
    <x v="17"/>
    <x v="0"/>
    <s v="站外广告"/>
    <x v="3"/>
    <n v="1052"/>
    <n v="543"/>
    <n v="9"/>
    <n v="1"/>
    <n v="6500"/>
    <x v="1"/>
    <x v="5"/>
  </r>
  <r>
    <x v="0"/>
    <x v="17"/>
    <x v="0"/>
    <s v="效果广告"/>
    <x v="0"/>
    <n v="12"/>
    <n v="9"/>
    <n v="0"/>
    <n v="0"/>
    <n v="0"/>
    <x v="1"/>
    <x v="5"/>
  </r>
  <r>
    <x v="0"/>
    <x v="17"/>
    <x v="0"/>
    <s v="效果广告"/>
    <x v="5"/>
    <n v="126105"/>
    <n v="114603"/>
    <n v="1210"/>
    <n v="72"/>
    <n v="900775"/>
    <x v="1"/>
    <x v="5"/>
  </r>
  <r>
    <x v="0"/>
    <x v="17"/>
    <x v="0"/>
    <s v="品牌广告"/>
    <x v="11"/>
    <n v="1"/>
    <n v="0"/>
    <n v="0"/>
    <n v="0"/>
    <n v="0"/>
    <x v="1"/>
    <x v="5"/>
  </r>
  <r>
    <x v="0"/>
    <x v="17"/>
    <x v="0"/>
    <s v="品牌广告"/>
    <x v="7"/>
    <n v="3"/>
    <n v="1"/>
    <n v="0"/>
    <n v="0"/>
    <n v="0"/>
    <x v="1"/>
    <x v="5"/>
  </r>
  <r>
    <x v="0"/>
    <x v="17"/>
    <x v="0"/>
    <s v="效果广告"/>
    <x v="2"/>
    <n v="25886"/>
    <n v="23426"/>
    <n v="490"/>
    <n v="30"/>
    <n v="269705"/>
    <x v="1"/>
    <x v="5"/>
  </r>
  <r>
    <x v="0"/>
    <x v="17"/>
    <x v="0"/>
    <s v="内容广告"/>
    <x v="13"/>
    <n v="25"/>
    <n v="6"/>
    <n v="0"/>
    <n v="0"/>
    <n v="0"/>
    <x v="1"/>
    <x v="5"/>
  </r>
  <r>
    <x v="0"/>
    <x v="17"/>
    <x v="0"/>
    <s v="站外广告"/>
    <x v="1"/>
    <n v="55"/>
    <n v="48"/>
    <n v="1"/>
    <n v="0"/>
    <n v="0"/>
    <x v="1"/>
    <x v="5"/>
  </r>
  <r>
    <x v="0"/>
    <x v="17"/>
    <x v="1"/>
    <s v="效果广告"/>
    <x v="2"/>
    <n v="59373"/>
    <n v="56305"/>
    <n v="509"/>
    <n v="31"/>
    <n v="151011"/>
    <x v="1"/>
    <x v="5"/>
  </r>
  <r>
    <x v="0"/>
    <x v="17"/>
    <x v="1"/>
    <s v="内容广告"/>
    <x v="4"/>
    <n v="4513"/>
    <n v="3936"/>
    <n v="5"/>
    <n v="0"/>
    <n v="0"/>
    <x v="1"/>
    <x v="5"/>
  </r>
  <r>
    <x v="0"/>
    <x v="17"/>
    <x v="1"/>
    <s v="内容广告"/>
    <x v="14"/>
    <n v="18"/>
    <n v="17"/>
    <n v="0"/>
    <n v="0"/>
    <n v="0"/>
    <x v="1"/>
    <x v="5"/>
  </r>
  <r>
    <x v="0"/>
    <x v="17"/>
    <x v="1"/>
    <s v="品牌广告"/>
    <x v="11"/>
    <n v="2"/>
    <n v="2"/>
    <n v="0"/>
    <n v="0"/>
    <n v="0"/>
    <x v="1"/>
    <x v="5"/>
  </r>
  <r>
    <x v="0"/>
    <x v="17"/>
    <x v="1"/>
    <s v="效果广告"/>
    <x v="5"/>
    <n v="169900"/>
    <n v="161831"/>
    <n v="573"/>
    <n v="13"/>
    <n v="120240"/>
    <x v="1"/>
    <x v="5"/>
  </r>
  <r>
    <x v="0"/>
    <x v="17"/>
    <x v="1"/>
    <s v="站外广告"/>
    <x v="8"/>
    <n v="1"/>
    <n v="0"/>
    <n v="0"/>
    <n v="0"/>
    <n v="0"/>
    <x v="1"/>
    <x v="5"/>
  </r>
  <r>
    <x v="0"/>
    <x v="17"/>
    <x v="1"/>
    <s v="站外广告"/>
    <x v="1"/>
    <n v="15"/>
    <n v="13"/>
    <n v="0"/>
    <n v="0"/>
    <n v="0"/>
    <x v="1"/>
    <x v="5"/>
  </r>
  <r>
    <x v="0"/>
    <x v="17"/>
    <x v="1"/>
    <s v="品牌广告"/>
    <x v="7"/>
    <n v="1"/>
    <n v="1"/>
    <n v="0"/>
    <n v="0"/>
    <n v="0"/>
    <x v="1"/>
    <x v="5"/>
  </r>
  <r>
    <x v="0"/>
    <x v="17"/>
    <x v="1"/>
    <s v="站外广告"/>
    <x v="3"/>
    <n v="2436"/>
    <n v="1139"/>
    <n v="11"/>
    <n v="5"/>
    <n v="22257"/>
    <x v="1"/>
    <x v="5"/>
  </r>
  <r>
    <x v="0"/>
    <x v="17"/>
    <x v="1"/>
    <s v="品牌广告"/>
    <x v="9"/>
    <n v="3"/>
    <n v="3"/>
    <n v="0"/>
    <n v="0"/>
    <n v="0"/>
    <x v="1"/>
    <x v="5"/>
  </r>
  <r>
    <x v="0"/>
    <x v="17"/>
    <x v="1"/>
    <s v="效果广告"/>
    <x v="0"/>
    <n v="14634"/>
    <n v="13836"/>
    <n v="269"/>
    <n v="35"/>
    <n v="271560"/>
    <x v="1"/>
    <x v="5"/>
  </r>
  <r>
    <x v="0"/>
    <x v="17"/>
    <x v="1"/>
    <s v="内容广告"/>
    <x v="13"/>
    <n v="23315"/>
    <n v="20341"/>
    <n v="48"/>
    <n v="0"/>
    <n v="0"/>
    <x v="1"/>
    <x v="5"/>
  </r>
  <r>
    <x v="0"/>
    <x v="17"/>
    <x v="2"/>
    <s v="站外广告"/>
    <x v="8"/>
    <n v="2"/>
    <n v="2"/>
    <n v="0"/>
    <n v="0"/>
    <n v="0"/>
    <x v="1"/>
    <x v="5"/>
  </r>
  <r>
    <x v="0"/>
    <x v="17"/>
    <x v="2"/>
    <s v="品牌广告"/>
    <x v="7"/>
    <n v="47"/>
    <n v="42"/>
    <n v="0"/>
    <n v="0"/>
    <n v="0"/>
    <x v="1"/>
    <x v="5"/>
  </r>
  <r>
    <x v="0"/>
    <x v="17"/>
    <x v="2"/>
    <s v="品牌广告"/>
    <x v="9"/>
    <n v="49437"/>
    <n v="46383"/>
    <n v="1171"/>
    <n v="141"/>
    <n v="1781520"/>
    <x v="1"/>
    <x v="5"/>
  </r>
  <r>
    <x v="0"/>
    <x v="17"/>
    <x v="2"/>
    <s v="内容广告"/>
    <x v="13"/>
    <n v="5"/>
    <n v="4"/>
    <n v="0"/>
    <n v="0"/>
    <n v="0"/>
    <x v="1"/>
    <x v="5"/>
  </r>
  <r>
    <x v="0"/>
    <x v="17"/>
    <x v="2"/>
    <s v="效果广告"/>
    <x v="2"/>
    <n v="53767"/>
    <n v="48821"/>
    <n v="663"/>
    <n v="42"/>
    <n v="318840"/>
    <x v="1"/>
    <x v="5"/>
  </r>
  <r>
    <x v="0"/>
    <x v="17"/>
    <x v="2"/>
    <s v="站外广告"/>
    <x v="3"/>
    <n v="4251"/>
    <n v="2216"/>
    <n v="17"/>
    <n v="9"/>
    <n v="50200"/>
    <x v="1"/>
    <x v="5"/>
  </r>
  <r>
    <x v="0"/>
    <x v="17"/>
    <x v="2"/>
    <s v="品牌广告"/>
    <x v="15"/>
    <n v="2"/>
    <n v="2"/>
    <n v="0"/>
    <n v="0"/>
    <n v="0"/>
    <x v="1"/>
    <x v="5"/>
  </r>
  <r>
    <x v="0"/>
    <x v="17"/>
    <x v="2"/>
    <s v="站外广告"/>
    <x v="1"/>
    <n v="38"/>
    <n v="25"/>
    <n v="0"/>
    <n v="0"/>
    <n v="0"/>
    <x v="1"/>
    <x v="5"/>
  </r>
  <r>
    <x v="0"/>
    <x v="17"/>
    <x v="2"/>
    <s v="内容广告"/>
    <x v="4"/>
    <n v="56375"/>
    <n v="41569"/>
    <n v="46"/>
    <n v="0"/>
    <n v="0"/>
    <x v="1"/>
    <x v="5"/>
  </r>
  <r>
    <x v="0"/>
    <x v="17"/>
    <x v="2"/>
    <s v="效果广告"/>
    <x v="0"/>
    <n v="16"/>
    <n v="11"/>
    <n v="0"/>
    <n v="0"/>
    <n v="0"/>
    <x v="1"/>
    <x v="5"/>
  </r>
  <r>
    <x v="0"/>
    <x v="17"/>
    <x v="2"/>
    <s v="内容广告"/>
    <x v="14"/>
    <n v="2"/>
    <n v="2"/>
    <n v="0"/>
    <n v="0"/>
    <n v="0"/>
    <x v="1"/>
    <x v="5"/>
  </r>
  <r>
    <x v="0"/>
    <x v="17"/>
    <x v="2"/>
    <s v="效果广告"/>
    <x v="5"/>
    <n v="199286"/>
    <n v="176605"/>
    <n v="566"/>
    <n v="26"/>
    <n v="343340"/>
    <x v="1"/>
    <x v="5"/>
  </r>
  <r>
    <x v="0"/>
    <x v="17"/>
    <x v="2"/>
    <s v="品牌广告"/>
    <x v="11"/>
    <n v="6"/>
    <n v="5"/>
    <n v="0"/>
    <n v="0"/>
    <n v="0"/>
    <x v="1"/>
    <x v="5"/>
  </r>
  <r>
    <x v="0"/>
    <x v="18"/>
    <x v="0"/>
    <s v="品牌广告"/>
    <x v="6"/>
    <n v="1"/>
    <n v="1"/>
    <n v="0"/>
    <n v="0"/>
    <n v="0"/>
    <x v="1"/>
    <x v="6"/>
  </r>
  <r>
    <x v="0"/>
    <x v="18"/>
    <x v="0"/>
    <s v="内容广告"/>
    <x v="13"/>
    <n v="22"/>
    <n v="16"/>
    <n v="0"/>
    <n v="0"/>
    <n v="0"/>
    <x v="1"/>
    <x v="6"/>
  </r>
  <r>
    <x v="0"/>
    <x v="18"/>
    <x v="0"/>
    <s v="效果广告"/>
    <x v="2"/>
    <n v="49986"/>
    <n v="45631"/>
    <n v="627"/>
    <n v="27"/>
    <n v="362850"/>
    <x v="1"/>
    <x v="6"/>
  </r>
  <r>
    <x v="0"/>
    <x v="18"/>
    <x v="0"/>
    <s v="品牌广告"/>
    <x v="9"/>
    <n v="16980"/>
    <n v="15862"/>
    <n v="717"/>
    <n v="37"/>
    <n v="637340"/>
    <x v="1"/>
    <x v="6"/>
  </r>
  <r>
    <x v="0"/>
    <x v="18"/>
    <x v="0"/>
    <s v="内容广告"/>
    <x v="14"/>
    <n v="4"/>
    <n v="2"/>
    <n v="0"/>
    <n v="0"/>
    <n v="0"/>
    <x v="1"/>
    <x v="6"/>
  </r>
  <r>
    <x v="0"/>
    <x v="18"/>
    <x v="0"/>
    <s v="品牌广告"/>
    <x v="12"/>
    <n v="45053"/>
    <n v="42343"/>
    <n v="0"/>
    <n v="0"/>
    <n v="0"/>
    <x v="1"/>
    <x v="6"/>
  </r>
  <r>
    <x v="0"/>
    <x v="18"/>
    <x v="0"/>
    <s v="品牌广告"/>
    <x v="10"/>
    <n v="30897"/>
    <n v="28098"/>
    <n v="0"/>
    <n v="0"/>
    <n v="0"/>
    <x v="1"/>
    <x v="6"/>
  </r>
  <r>
    <x v="0"/>
    <x v="18"/>
    <x v="0"/>
    <s v="效果广告"/>
    <x v="5"/>
    <n v="450177"/>
    <n v="416105"/>
    <n v="1848"/>
    <n v="89"/>
    <n v="1410200"/>
    <x v="1"/>
    <x v="6"/>
  </r>
  <r>
    <x v="0"/>
    <x v="18"/>
    <x v="0"/>
    <s v="站外广告"/>
    <x v="1"/>
    <n v="146"/>
    <n v="109"/>
    <n v="3"/>
    <n v="0"/>
    <n v="0"/>
    <x v="1"/>
    <x v="6"/>
  </r>
  <r>
    <x v="0"/>
    <x v="18"/>
    <x v="0"/>
    <s v="效果广告"/>
    <x v="0"/>
    <n v="19"/>
    <n v="11"/>
    <n v="0"/>
    <n v="0"/>
    <n v="0"/>
    <x v="1"/>
    <x v="6"/>
  </r>
  <r>
    <x v="0"/>
    <x v="18"/>
    <x v="0"/>
    <s v="站外广告"/>
    <x v="8"/>
    <n v="7"/>
    <n v="6"/>
    <n v="0"/>
    <n v="0"/>
    <n v="0"/>
    <x v="1"/>
    <x v="6"/>
  </r>
  <r>
    <x v="0"/>
    <x v="18"/>
    <x v="0"/>
    <s v="内容广告"/>
    <x v="4"/>
    <n v="347"/>
    <n v="221"/>
    <n v="1"/>
    <n v="0"/>
    <n v="0"/>
    <x v="1"/>
    <x v="6"/>
  </r>
  <r>
    <x v="0"/>
    <x v="18"/>
    <x v="0"/>
    <s v="品牌广告"/>
    <x v="11"/>
    <n v="17"/>
    <n v="9"/>
    <n v="0"/>
    <n v="0"/>
    <n v="0"/>
    <x v="1"/>
    <x v="6"/>
  </r>
  <r>
    <x v="0"/>
    <x v="18"/>
    <x v="0"/>
    <s v="品牌广告"/>
    <x v="7"/>
    <n v="3"/>
    <n v="3"/>
    <n v="0"/>
    <n v="0"/>
    <n v="0"/>
    <x v="1"/>
    <x v="6"/>
  </r>
  <r>
    <x v="0"/>
    <x v="18"/>
    <x v="0"/>
    <s v="站外广告"/>
    <x v="3"/>
    <n v="2053"/>
    <n v="1077"/>
    <n v="2"/>
    <n v="0"/>
    <n v="0"/>
    <x v="1"/>
    <x v="6"/>
  </r>
  <r>
    <x v="0"/>
    <x v="18"/>
    <x v="1"/>
    <s v="站外广告"/>
    <x v="1"/>
    <n v="84"/>
    <n v="51"/>
    <n v="3"/>
    <n v="0"/>
    <n v="0"/>
    <x v="1"/>
    <x v="6"/>
  </r>
  <r>
    <x v="0"/>
    <x v="18"/>
    <x v="1"/>
    <s v="内容广告"/>
    <x v="14"/>
    <n v="190"/>
    <n v="164"/>
    <n v="0"/>
    <n v="0"/>
    <n v="0"/>
    <x v="1"/>
    <x v="6"/>
  </r>
  <r>
    <x v="0"/>
    <x v="18"/>
    <x v="1"/>
    <s v="品牌广告"/>
    <x v="7"/>
    <n v="1"/>
    <n v="0"/>
    <n v="0"/>
    <n v="0"/>
    <n v="0"/>
    <x v="1"/>
    <x v="6"/>
  </r>
  <r>
    <x v="0"/>
    <x v="18"/>
    <x v="1"/>
    <s v="站外广告"/>
    <x v="8"/>
    <n v="7"/>
    <n v="3"/>
    <n v="0"/>
    <n v="0"/>
    <n v="0"/>
    <x v="1"/>
    <x v="6"/>
  </r>
  <r>
    <x v="0"/>
    <x v="18"/>
    <x v="1"/>
    <s v="内容广告"/>
    <x v="13"/>
    <n v="18878"/>
    <n v="13088"/>
    <n v="233"/>
    <n v="0"/>
    <n v="0"/>
    <x v="1"/>
    <x v="6"/>
  </r>
  <r>
    <x v="0"/>
    <x v="18"/>
    <x v="1"/>
    <s v="效果广告"/>
    <x v="5"/>
    <n v="446701"/>
    <n v="420983"/>
    <n v="2694"/>
    <n v="217"/>
    <n v="1189627.1499999999"/>
    <x v="1"/>
    <x v="6"/>
  </r>
  <r>
    <x v="0"/>
    <x v="18"/>
    <x v="1"/>
    <s v="内容广告"/>
    <x v="4"/>
    <n v="8078"/>
    <n v="5744"/>
    <n v="12"/>
    <n v="0"/>
    <n v="0"/>
    <x v="1"/>
    <x v="6"/>
  </r>
  <r>
    <x v="0"/>
    <x v="18"/>
    <x v="1"/>
    <s v="站外广告"/>
    <x v="3"/>
    <n v="5984"/>
    <n v="2757"/>
    <n v="75"/>
    <n v="34"/>
    <n v="294804.45999999996"/>
    <x v="1"/>
    <x v="6"/>
  </r>
  <r>
    <x v="0"/>
    <x v="18"/>
    <x v="1"/>
    <s v="品牌广告"/>
    <x v="9"/>
    <n v="2"/>
    <n v="2"/>
    <n v="0"/>
    <n v="0"/>
    <n v="0"/>
    <x v="1"/>
    <x v="6"/>
  </r>
  <r>
    <x v="0"/>
    <x v="18"/>
    <x v="1"/>
    <s v="品牌广告"/>
    <x v="11"/>
    <n v="4"/>
    <n v="2"/>
    <n v="0"/>
    <n v="0"/>
    <n v="0"/>
    <x v="1"/>
    <x v="6"/>
  </r>
  <r>
    <x v="0"/>
    <x v="18"/>
    <x v="1"/>
    <s v="效果广告"/>
    <x v="0"/>
    <n v="19721"/>
    <n v="18101"/>
    <n v="496"/>
    <n v="91"/>
    <n v="463851"/>
    <x v="1"/>
    <x v="6"/>
  </r>
  <r>
    <x v="0"/>
    <x v="18"/>
    <x v="1"/>
    <s v="效果广告"/>
    <x v="2"/>
    <n v="139094"/>
    <n v="129830"/>
    <n v="1171"/>
    <n v="152"/>
    <n v="860398.29999999993"/>
    <x v="1"/>
    <x v="6"/>
  </r>
  <r>
    <x v="0"/>
    <x v="18"/>
    <x v="2"/>
    <s v="品牌广告"/>
    <x v="15"/>
    <n v="1"/>
    <n v="1"/>
    <n v="0"/>
    <n v="0"/>
    <n v="0"/>
    <x v="1"/>
    <x v="6"/>
  </r>
  <r>
    <x v="0"/>
    <x v="18"/>
    <x v="2"/>
    <s v="内容广告"/>
    <x v="13"/>
    <n v="10"/>
    <n v="5"/>
    <n v="0"/>
    <n v="0"/>
    <n v="0"/>
    <x v="1"/>
    <x v="6"/>
  </r>
  <r>
    <x v="0"/>
    <x v="18"/>
    <x v="2"/>
    <s v="效果广告"/>
    <x v="5"/>
    <n v="257006"/>
    <n v="210708"/>
    <n v="945"/>
    <n v="36"/>
    <n v="418540"/>
    <x v="1"/>
    <x v="6"/>
  </r>
  <r>
    <x v="0"/>
    <x v="18"/>
    <x v="2"/>
    <s v="站外广告"/>
    <x v="1"/>
    <n v="94"/>
    <n v="56"/>
    <n v="0"/>
    <n v="0"/>
    <n v="0"/>
    <x v="1"/>
    <x v="6"/>
  </r>
  <r>
    <x v="0"/>
    <x v="18"/>
    <x v="2"/>
    <s v="品牌广告"/>
    <x v="7"/>
    <n v="36"/>
    <n v="36"/>
    <n v="0"/>
    <n v="0"/>
    <n v="0"/>
    <x v="1"/>
    <x v="6"/>
  </r>
  <r>
    <x v="0"/>
    <x v="18"/>
    <x v="2"/>
    <s v="品牌广告"/>
    <x v="9"/>
    <n v="61098"/>
    <n v="57001"/>
    <n v="1490"/>
    <n v="132"/>
    <n v="1670120"/>
    <x v="1"/>
    <x v="6"/>
  </r>
  <r>
    <x v="0"/>
    <x v="18"/>
    <x v="2"/>
    <s v="效果广告"/>
    <x v="0"/>
    <n v="29"/>
    <n v="22"/>
    <n v="0"/>
    <n v="0"/>
    <n v="0"/>
    <x v="1"/>
    <x v="6"/>
  </r>
  <r>
    <x v="0"/>
    <x v="18"/>
    <x v="2"/>
    <s v="站外广告"/>
    <x v="3"/>
    <n v="5546"/>
    <n v="2685"/>
    <n v="20"/>
    <n v="17"/>
    <n v="185500"/>
    <x v="1"/>
    <x v="6"/>
  </r>
  <r>
    <x v="0"/>
    <x v="18"/>
    <x v="2"/>
    <s v="内容广告"/>
    <x v="4"/>
    <n v="82342"/>
    <n v="66459"/>
    <n v="58"/>
    <n v="0"/>
    <n v="0"/>
    <x v="1"/>
    <x v="6"/>
  </r>
  <r>
    <x v="0"/>
    <x v="18"/>
    <x v="2"/>
    <s v="内容广告"/>
    <x v="14"/>
    <n v="2"/>
    <n v="2"/>
    <n v="0"/>
    <n v="0"/>
    <n v="0"/>
    <x v="1"/>
    <x v="6"/>
  </r>
  <r>
    <x v="0"/>
    <x v="18"/>
    <x v="2"/>
    <s v="品牌广告"/>
    <x v="11"/>
    <n v="21"/>
    <n v="17"/>
    <n v="0"/>
    <n v="0"/>
    <n v="0"/>
    <x v="1"/>
    <x v="6"/>
  </r>
  <r>
    <x v="0"/>
    <x v="18"/>
    <x v="2"/>
    <s v="站外广告"/>
    <x v="8"/>
    <n v="5"/>
    <n v="3"/>
    <n v="0"/>
    <n v="0"/>
    <n v="0"/>
    <x v="1"/>
    <x v="6"/>
  </r>
  <r>
    <x v="0"/>
    <x v="18"/>
    <x v="2"/>
    <s v="效果广告"/>
    <x v="2"/>
    <n v="91492"/>
    <n v="82977"/>
    <n v="980"/>
    <n v="54"/>
    <n v="576300"/>
    <x v="1"/>
    <x v="6"/>
  </r>
  <r>
    <x v="0"/>
    <x v="19"/>
    <x v="0"/>
    <s v="品牌广告"/>
    <x v="6"/>
    <n v="2"/>
    <n v="2"/>
    <n v="0"/>
    <n v="0"/>
    <n v="0"/>
    <x v="1"/>
    <x v="7"/>
  </r>
  <r>
    <x v="0"/>
    <x v="19"/>
    <x v="0"/>
    <s v="站外广告"/>
    <x v="8"/>
    <n v="11"/>
    <n v="4"/>
    <n v="0"/>
    <n v="0"/>
    <n v="0"/>
    <x v="1"/>
    <x v="7"/>
  </r>
  <r>
    <x v="0"/>
    <x v="19"/>
    <x v="0"/>
    <s v="品牌广告"/>
    <x v="11"/>
    <n v="12"/>
    <n v="8"/>
    <n v="0"/>
    <n v="0"/>
    <n v="0"/>
    <x v="1"/>
    <x v="7"/>
  </r>
  <r>
    <x v="0"/>
    <x v="19"/>
    <x v="0"/>
    <s v="效果广告"/>
    <x v="5"/>
    <n v="408828"/>
    <n v="320291"/>
    <n v="2266"/>
    <n v="135"/>
    <n v="2170040"/>
    <x v="1"/>
    <x v="7"/>
  </r>
  <r>
    <x v="0"/>
    <x v="19"/>
    <x v="0"/>
    <s v="内容广告"/>
    <x v="13"/>
    <n v="8"/>
    <n v="4"/>
    <n v="0"/>
    <n v="0"/>
    <n v="0"/>
    <x v="1"/>
    <x v="7"/>
  </r>
  <r>
    <x v="0"/>
    <x v="19"/>
    <x v="0"/>
    <s v="内容广告"/>
    <x v="14"/>
    <n v="11"/>
    <n v="0"/>
    <n v="0"/>
    <n v="0"/>
    <n v="0"/>
    <x v="1"/>
    <x v="7"/>
  </r>
  <r>
    <x v="0"/>
    <x v="19"/>
    <x v="0"/>
    <s v="站外广告"/>
    <x v="3"/>
    <n v="1562"/>
    <n v="724"/>
    <n v="7"/>
    <n v="0"/>
    <n v="0"/>
    <x v="1"/>
    <x v="7"/>
  </r>
  <r>
    <x v="0"/>
    <x v="19"/>
    <x v="0"/>
    <s v="内容广告"/>
    <x v="4"/>
    <n v="28797"/>
    <n v="16077"/>
    <n v="162"/>
    <n v="3"/>
    <n v="24900"/>
    <x v="1"/>
    <x v="7"/>
  </r>
  <r>
    <x v="0"/>
    <x v="19"/>
    <x v="0"/>
    <s v="品牌广告"/>
    <x v="7"/>
    <n v="1"/>
    <n v="1"/>
    <n v="0"/>
    <n v="0"/>
    <n v="0"/>
    <x v="1"/>
    <x v="7"/>
  </r>
  <r>
    <x v="0"/>
    <x v="19"/>
    <x v="0"/>
    <s v="品牌广告"/>
    <x v="10"/>
    <n v="37352"/>
    <n v="34277"/>
    <n v="0"/>
    <n v="0"/>
    <n v="0"/>
    <x v="1"/>
    <x v="7"/>
  </r>
  <r>
    <x v="0"/>
    <x v="19"/>
    <x v="0"/>
    <s v="效果广告"/>
    <x v="2"/>
    <n v="54497"/>
    <n v="46174"/>
    <n v="807"/>
    <n v="28"/>
    <n v="423650"/>
    <x v="1"/>
    <x v="7"/>
  </r>
  <r>
    <x v="0"/>
    <x v="19"/>
    <x v="0"/>
    <s v="效果广告"/>
    <x v="0"/>
    <n v="23"/>
    <n v="15"/>
    <n v="0"/>
    <n v="0"/>
    <n v="0"/>
    <x v="1"/>
    <x v="7"/>
  </r>
  <r>
    <x v="0"/>
    <x v="19"/>
    <x v="0"/>
    <s v="品牌广告"/>
    <x v="9"/>
    <n v="18546"/>
    <n v="17218"/>
    <n v="684"/>
    <n v="31"/>
    <n v="519150"/>
    <x v="1"/>
    <x v="7"/>
  </r>
  <r>
    <x v="0"/>
    <x v="19"/>
    <x v="0"/>
    <s v="品牌广告"/>
    <x v="12"/>
    <n v="1"/>
    <n v="1"/>
    <n v="0"/>
    <n v="0"/>
    <n v="0"/>
    <x v="1"/>
    <x v="7"/>
  </r>
  <r>
    <x v="0"/>
    <x v="19"/>
    <x v="0"/>
    <s v="站外广告"/>
    <x v="1"/>
    <n v="157"/>
    <n v="93"/>
    <n v="0"/>
    <n v="0"/>
    <n v="0"/>
    <x v="1"/>
    <x v="7"/>
  </r>
  <r>
    <x v="0"/>
    <x v="19"/>
    <x v="1"/>
    <s v="内容广告"/>
    <x v="4"/>
    <n v="828"/>
    <n v="565"/>
    <n v="2"/>
    <n v="0"/>
    <n v="0"/>
    <x v="1"/>
    <x v="7"/>
  </r>
  <r>
    <x v="0"/>
    <x v="19"/>
    <x v="1"/>
    <s v="站外广告"/>
    <x v="3"/>
    <n v="5445"/>
    <n v="2712"/>
    <n v="66"/>
    <n v="43"/>
    <n v="244819.1"/>
    <x v="1"/>
    <x v="7"/>
  </r>
  <r>
    <x v="0"/>
    <x v="19"/>
    <x v="1"/>
    <s v="效果广告"/>
    <x v="5"/>
    <n v="264774"/>
    <n v="226155"/>
    <n v="1368"/>
    <n v="92"/>
    <n v="427500"/>
    <x v="1"/>
    <x v="7"/>
  </r>
  <r>
    <x v="0"/>
    <x v="19"/>
    <x v="1"/>
    <s v="内容广告"/>
    <x v="14"/>
    <n v="60"/>
    <n v="52"/>
    <n v="0"/>
    <n v="0"/>
    <n v="0"/>
    <x v="1"/>
    <x v="7"/>
  </r>
  <r>
    <x v="0"/>
    <x v="19"/>
    <x v="1"/>
    <s v="站外广告"/>
    <x v="8"/>
    <n v="5"/>
    <n v="3"/>
    <n v="0"/>
    <n v="0"/>
    <n v="0"/>
    <x v="1"/>
    <x v="7"/>
  </r>
  <r>
    <x v="0"/>
    <x v="19"/>
    <x v="1"/>
    <s v="内容广告"/>
    <x v="13"/>
    <n v="11925"/>
    <n v="8408"/>
    <n v="129"/>
    <n v="0"/>
    <n v="0"/>
    <x v="1"/>
    <x v="7"/>
  </r>
  <r>
    <x v="0"/>
    <x v="19"/>
    <x v="1"/>
    <s v="站外广告"/>
    <x v="1"/>
    <n v="84"/>
    <n v="53"/>
    <n v="0"/>
    <n v="0"/>
    <n v="0"/>
    <x v="1"/>
    <x v="7"/>
  </r>
  <r>
    <x v="0"/>
    <x v="19"/>
    <x v="1"/>
    <s v="效果广告"/>
    <x v="0"/>
    <n v="22099"/>
    <n v="20067"/>
    <n v="543"/>
    <n v="93"/>
    <n v="444723"/>
    <x v="1"/>
    <x v="7"/>
  </r>
  <r>
    <x v="0"/>
    <x v="19"/>
    <x v="1"/>
    <s v="效果广告"/>
    <x v="2"/>
    <n v="85939"/>
    <n v="77282"/>
    <n v="744"/>
    <n v="109"/>
    <n v="549007"/>
    <x v="1"/>
    <x v="7"/>
  </r>
  <r>
    <x v="0"/>
    <x v="19"/>
    <x v="1"/>
    <s v="品牌广告"/>
    <x v="7"/>
    <n v="1"/>
    <n v="0"/>
    <n v="0"/>
    <n v="0"/>
    <n v="0"/>
    <x v="1"/>
    <x v="7"/>
  </r>
  <r>
    <x v="0"/>
    <x v="19"/>
    <x v="1"/>
    <s v="品牌广告"/>
    <x v="11"/>
    <n v="10"/>
    <n v="3"/>
    <n v="0"/>
    <n v="0"/>
    <n v="0"/>
    <x v="1"/>
    <x v="7"/>
  </r>
  <r>
    <x v="0"/>
    <x v="19"/>
    <x v="2"/>
    <s v="品牌广告"/>
    <x v="9"/>
    <n v="79974"/>
    <n v="74936"/>
    <n v="1750"/>
    <n v="195"/>
    <n v="2690760"/>
    <x v="1"/>
    <x v="7"/>
  </r>
  <r>
    <x v="0"/>
    <x v="19"/>
    <x v="2"/>
    <s v="品牌广告"/>
    <x v="7"/>
    <n v="41"/>
    <n v="38"/>
    <n v="0"/>
    <n v="0"/>
    <n v="0"/>
    <x v="1"/>
    <x v="7"/>
  </r>
  <r>
    <x v="0"/>
    <x v="19"/>
    <x v="2"/>
    <s v="站外广告"/>
    <x v="1"/>
    <n v="74"/>
    <n v="43"/>
    <n v="2"/>
    <n v="0"/>
    <n v="0"/>
    <x v="1"/>
    <x v="7"/>
  </r>
  <r>
    <x v="0"/>
    <x v="19"/>
    <x v="2"/>
    <s v="效果广告"/>
    <x v="2"/>
    <n v="72241"/>
    <n v="62395"/>
    <n v="826"/>
    <n v="56"/>
    <n v="546000"/>
    <x v="1"/>
    <x v="7"/>
  </r>
  <r>
    <x v="0"/>
    <x v="19"/>
    <x v="2"/>
    <s v="效果广告"/>
    <x v="5"/>
    <n v="235410"/>
    <n v="155778"/>
    <n v="711"/>
    <n v="52"/>
    <n v="568880"/>
    <x v="1"/>
    <x v="7"/>
  </r>
  <r>
    <x v="0"/>
    <x v="19"/>
    <x v="2"/>
    <s v="效果广告"/>
    <x v="0"/>
    <n v="88"/>
    <n v="53"/>
    <n v="0"/>
    <n v="0"/>
    <n v="0"/>
    <x v="1"/>
    <x v="7"/>
  </r>
  <r>
    <x v="0"/>
    <x v="19"/>
    <x v="2"/>
    <s v="内容广告"/>
    <x v="13"/>
    <n v="9"/>
    <n v="5"/>
    <n v="1"/>
    <n v="0"/>
    <n v="0"/>
    <x v="1"/>
    <x v="7"/>
  </r>
  <r>
    <x v="0"/>
    <x v="19"/>
    <x v="2"/>
    <s v="品牌广告"/>
    <x v="11"/>
    <n v="13"/>
    <n v="5"/>
    <n v="0"/>
    <n v="0"/>
    <n v="0"/>
    <x v="1"/>
    <x v="7"/>
  </r>
  <r>
    <x v="0"/>
    <x v="19"/>
    <x v="2"/>
    <s v="内容广告"/>
    <x v="14"/>
    <n v="6"/>
    <n v="2"/>
    <n v="0"/>
    <n v="0"/>
    <n v="0"/>
    <x v="1"/>
    <x v="7"/>
  </r>
  <r>
    <x v="0"/>
    <x v="19"/>
    <x v="2"/>
    <s v="内容广告"/>
    <x v="4"/>
    <n v="108214"/>
    <n v="81056"/>
    <n v="70"/>
    <n v="3"/>
    <n v="27000"/>
    <x v="1"/>
    <x v="7"/>
  </r>
  <r>
    <x v="0"/>
    <x v="19"/>
    <x v="2"/>
    <s v="站外广告"/>
    <x v="3"/>
    <n v="4737"/>
    <n v="2178"/>
    <n v="32"/>
    <n v="12"/>
    <n v="144500"/>
    <x v="1"/>
    <x v="7"/>
  </r>
  <r>
    <x v="0"/>
    <x v="19"/>
    <x v="2"/>
    <s v="站外广告"/>
    <x v="8"/>
    <n v="6"/>
    <n v="3"/>
    <n v="0"/>
    <n v="0"/>
    <n v="0"/>
    <x v="1"/>
    <x v="7"/>
  </r>
  <r>
    <x v="0"/>
    <x v="20"/>
    <x v="0"/>
    <s v="内容广告"/>
    <x v="14"/>
    <n v="4"/>
    <n v="3"/>
    <n v="0"/>
    <n v="0"/>
    <n v="0"/>
    <x v="1"/>
    <x v="8"/>
  </r>
  <r>
    <x v="0"/>
    <x v="20"/>
    <x v="0"/>
    <s v="内容广告"/>
    <x v="4"/>
    <n v="24834"/>
    <n v="17861"/>
    <n v="179"/>
    <n v="0"/>
    <n v="0"/>
    <x v="1"/>
    <x v="8"/>
  </r>
  <r>
    <x v="0"/>
    <x v="20"/>
    <x v="0"/>
    <s v="站外广告"/>
    <x v="1"/>
    <n v="248"/>
    <n v="204"/>
    <n v="2"/>
    <n v="0"/>
    <n v="0"/>
    <x v="1"/>
    <x v="8"/>
  </r>
  <r>
    <x v="0"/>
    <x v="20"/>
    <x v="0"/>
    <s v="站外广告"/>
    <x v="3"/>
    <n v="2107"/>
    <n v="1084"/>
    <n v="9"/>
    <n v="2"/>
    <n v="11380"/>
    <x v="1"/>
    <x v="8"/>
  </r>
  <r>
    <x v="0"/>
    <x v="20"/>
    <x v="0"/>
    <s v="品牌广告"/>
    <x v="6"/>
    <n v="3"/>
    <n v="3"/>
    <n v="0"/>
    <n v="0"/>
    <n v="0"/>
    <x v="1"/>
    <x v="8"/>
  </r>
  <r>
    <x v="0"/>
    <x v="20"/>
    <x v="0"/>
    <s v="效果广告"/>
    <x v="5"/>
    <n v="471954"/>
    <n v="427093"/>
    <n v="3295"/>
    <n v="227"/>
    <n v="3099920"/>
    <x v="1"/>
    <x v="8"/>
  </r>
  <r>
    <x v="0"/>
    <x v="20"/>
    <x v="0"/>
    <s v="品牌广告"/>
    <x v="7"/>
    <n v="4"/>
    <n v="3"/>
    <n v="0"/>
    <n v="0"/>
    <n v="0"/>
    <x v="1"/>
    <x v="8"/>
  </r>
  <r>
    <x v="0"/>
    <x v="20"/>
    <x v="0"/>
    <s v="站外广告"/>
    <x v="8"/>
    <n v="15"/>
    <n v="10"/>
    <n v="0"/>
    <n v="0"/>
    <n v="0"/>
    <x v="1"/>
    <x v="8"/>
  </r>
  <r>
    <x v="0"/>
    <x v="20"/>
    <x v="0"/>
    <s v="品牌广告"/>
    <x v="11"/>
    <n v="7"/>
    <n v="4"/>
    <n v="0"/>
    <n v="0"/>
    <n v="0"/>
    <x v="1"/>
    <x v="8"/>
  </r>
  <r>
    <x v="0"/>
    <x v="20"/>
    <x v="0"/>
    <s v="效果广告"/>
    <x v="2"/>
    <n v="68632"/>
    <n v="58807"/>
    <n v="1134"/>
    <n v="68"/>
    <n v="915990"/>
    <x v="1"/>
    <x v="8"/>
  </r>
  <r>
    <x v="0"/>
    <x v="20"/>
    <x v="0"/>
    <s v="内容广告"/>
    <x v="13"/>
    <n v="5"/>
    <n v="2"/>
    <n v="0"/>
    <n v="0"/>
    <n v="0"/>
    <x v="1"/>
    <x v="8"/>
  </r>
  <r>
    <x v="0"/>
    <x v="20"/>
    <x v="0"/>
    <s v="品牌广告"/>
    <x v="9"/>
    <n v="20755"/>
    <n v="19011"/>
    <n v="797"/>
    <n v="42"/>
    <n v="613870"/>
    <x v="1"/>
    <x v="8"/>
  </r>
  <r>
    <x v="0"/>
    <x v="20"/>
    <x v="0"/>
    <s v="效果广告"/>
    <x v="0"/>
    <n v="25"/>
    <n v="13"/>
    <n v="0"/>
    <n v="0"/>
    <n v="0"/>
    <x v="1"/>
    <x v="8"/>
  </r>
  <r>
    <x v="0"/>
    <x v="20"/>
    <x v="0"/>
    <s v="品牌广告"/>
    <x v="12"/>
    <n v="60963"/>
    <n v="57095"/>
    <n v="0"/>
    <n v="0"/>
    <n v="0"/>
    <x v="1"/>
    <x v="8"/>
  </r>
  <r>
    <x v="0"/>
    <x v="20"/>
    <x v="1"/>
    <s v="内容广告"/>
    <x v="13"/>
    <n v="9554"/>
    <n v="6687"/>
    <n v="83"/>
    <n v="0"/>
    <n v="0"/>
    <x v="1"/>
    <x v="8"/>
  </r>
  <r>
    <x v="0"/>
    <x v="20"/>
    <x v="1"/>
    <s v="效果广告"/>
    <x v="5"/>
    <n v="308634"/>
    <n v="287308"/>
    <n v="1232"/>
    <n v="95"/>
    <n v="609475"/>
    <x v="1"/>
    <x v="8"/>
  </r>
  <r>
    <x v="0"/>
    <x v="20"/>
    <x v="1"/>
    <s v="内容广告"/>
    <x v="14"/>
    <n v="14"/>
    <n v="11"/>
    <n v="0"/>
    <n v="0"/>
    <n v="0"/>
    <x v="1"/>
    <x v="8"/>
  </r>
  <r>
    <x v="0"/>
    <x v="20"/>
    <x v="1"/>
    <s v="站外广告"/>
    <x v="3"/>
    <n v="4701"/>
    <n v="2701"/>
    <n v="75"/>
    <n v="41"/>
    <n v="133775"/>
    <x v="1"/>
    <x v="8"/>
  </r>
  <r>
    <x v="0"/>
    <x v="20"/>
    <x v="1"/>
    <s v="品牌广告"/>
    <x v="11"/>
    <n v="4"/>
    <n v="3"/>
    <n v="0"/>
    <n v="0"/>
    <n v="0"/>
    <x v="1"/>
    <x v="8"/>
  </r>
  <r>
    <x v="0"/>
    <x v="20"/>
    <x v="1"/>
    <s v="效果广告"/>
    <x v="0"/>
    <n v="24954"/>
    <n v="22758"/>
    <n v="589"/>
    <n v="85"/>
    <n v="522441"/>
    <x v="1"/>
    <x v="8"/>
  </r>
  <r>
    <x v="0"/>
    <x v="20"/>
    <x v="1"/>
    <s v="内容广告"/>
    <x v="4"/>
    <n v="311"/>
    <n v="184"/>
    <n v="1"/>
    <n v="0"/>
    <n v="0"/>
    <x v="1"/>
    <x v="8"/>
  </r>
  <r>
    <x v="0"/>
    <x v="20"/>
    <x v="1"/>
    <s v="品牌广告"/>
    <x v="9"/>
    <n v="1"/>
    <n v="1"/>
    <n v="0"/>
    <n v="0"/>
    <n v="0"/>
    <x v="1"/>
    <x v="8"/>
  </r>
  <r>
    <x v="0"/>
    <x v="20"/>
    <x v="1"/>
    <s v="效果广告"/>
    <x v="2"/>
    <n v="47916"/>
    <n v="42284"/>
    <n v="602"/>
    <n v="81"/>
    <n v="400787"/>
    <x v="1"/>
    <x v="8"/>
  </r>
  <r>
    <x v="0"/>
    <x v="20"/>
    <x v="1"/>
    <s v="站外广告"/>
    <x v="1"/>
    <n v="49"/>
    <n v="30"/>
    <n v="1"/>
    <n v="0"/>
    <n v="0"/>
    <x v="1"/>
    <x v="8"/>
  </r>
  <r>
    <x v="0"/>
    <x v="20"/>
    <x v="1"/>
    <s v="站外广告"/>
    <x v="8"/>
    <n v="4"/>
    <n v="3"/>
    <n v="0"/>
    <n v="0"/>
    <n v="0"/>
    <x v="1"/>
    <x v="8"/>
  </r>
  <r>
    <x v="0"/>
    <x v="20"/>
    <x v="2"/>
    <s v="站外广告"/>
    <x v="1"/>
    <n v="46"/>
    <n v="26"/>
    <n v="1"/>
    <n v="0"/>
    <n v="0"/>
    <x v="1"/>
    <x v="8"/>
  </r>
  <r>
    <x v="0"/>
    <x v="20"/>
    <x v="2"/>
    <s v="品牌广告"/>
    <x v="7"/>
    <n v="22"/>
    <n v="21"/>
    <n v="0"/>
    <n v="0"/>
    <n v="0"/>
    <x v="1"/>
    <x v="8"/>
  </r>
  <r>
    <x v="0"/>
    <x v="20"/>
    <x v="2"/>
    <s v="品牌广告"/>
    <x v="11"/>
    <n v="7"/>
    <n v="5"/>
    <n v="0"/>
    <n v="0"/>
    <n v="0"/>
    <x v="1"/>
    <x v="8"/>
  </r>
  <r>
    <x v="0"/>
    <x v="20"/>
    <x v="2"/>
    <s v="效果广告"/>
    <x v="0"/>
    <n v="11"/>
    <n v="5"/>
    <n v="0"/>
    <n v="0"/>
    <n v="0"/>
    <x v="1"/>
    <x v="8"/>
  </r>
  <r>
    <x v="0"/>
    <x v="20"/>
    <x v="2"/>
    <s v="效果广告"/>
    <x v="5"/>
    <n v="140236"/>
    <n v="110348"/>
    <n v="852"/>
    <n v="60"/>
    <n v="765500"/>
    <x v="1"/>
    <x v="8"/>
  </r>
  <r>
    <x v="0"/>
    <x v="20"/>
    <x v="2"/>
    <s v="效果广告"/>
    <x v="2"/>
    <n v="69425"/>
    <n v="61303"/>
    <n v="954"/>
    <n v="70"/>
    <n v="732880"/>
    <x v="1"/>
    <x v="8"/>
  </r>
  <r>
    <x v="0"/>
    <x v="20"/>
    <x v="2"/>
    <s v="品牌广告"/>
    <x v="9"/>
    <n v="78624"/>
    <n v="72835"/>
    <n v="1697"/>
    <n v="173"/>
    <n v="2829880"/>
    <x v="1"/>
    <x v="8"/>
  </r>
  <r>
    <x v="0"/>
    <x v="20"/>
    <x v="2"/>
    <s v="站外广告"/>
    <x v="3"/>
    <n v="5064"/>
    <n v="2780"/>
    <n v="33"/>
    <n v="9"/>
    <n v="107100"/>
    <x v="1"/>
    <x v="8"/>
  </r>
  <r>
    <x v="0"/>
    <x v="20"/>
    <x v="2"/>
    <s v="站外广告"/>
    <x v="8"/>
    <n v="7"/>
    <n v="2"/>
    <n v="0"/>
    <n v="0"/>
    <n v="0"/>
    <x v="1"/>
    <x v="8"/>
  </r>
  <r>
    <x v="0"/>
    <x v="20"/>
    <x v="2"/>
    <s v="内容广告"/>
    <x v="4"/>
    <n v="24477"/>
    <n v="12941"/>
    <n v="6"/>
    <n v="0"/>
    <n v="0"/>
    <x v="1"/>
    <x v="8"/>
  </r>
  <r>
    <x v="0"/>
    <x v="20"/>
    <x v="2"/>
    <s v="内容广告"/>
    <x v="13"/>
    <n v="4"/>
    <n v="2"/>
    <n v="0"/>
    <n v="0"/>
    <n v="0"/>
    <x v="1"/>
    <x v="8"/>
  </r>
  <r>
    <x v="0"/>
    <x v="20"/>
    <x v="2"/>
    <s v="内容广告"/>
    <x v="14"/>
    <n v="6"/>
    <n v="4"/>
    <n v="0"/>
    <n v="0"/>
    <n v="0"/>
    <x v="1"/>
    <x v="8"/>
  </r>
  <r>
    <x v="1"/>
    <x v="21"/>
    <x v="3"/>
    <m/>
    <x v="16"/>
    <m/>
    <m/>
    <m/>
    <m/>
    <m/>
    <x v="2"/>
    <x v="12"/>
  </r>
  <r>
    <x v="1"/>
    <x v="21"/>
    <x v="3"/>
    <m/>
    <x v="16"/>
    <m/>
    <m/>
    <m/>
    <m/>
    <m/>
    <x v="2"/>
    <x v="12"/>
  </r>
  <r>
    <x v="1"/>
    <x v="21"/>
    <x v="3"/>
    <m/>
    <x v="16"/>
    <m/>
    <m/>
    <m/>
    <m/>
    <m/>
    <x v="2"/>
    <x v="12"/>
  </r>
  <r>
    <x v="1"/>
    <x v="21"/>
    <x v="3"/>
    <m/>
    <x v="16"/>
    <m/>
    <m/>
    <m/>
    <m/>
    <m/>
    <x v="2"/>
    <x v="12"/>
  </r>
  <r>
    <x v="1"/>
    <x v="21"/>
    <x v="3"/>
    <m/>
    <x v="16"/>
    <m/>
    <m/>
    <m/>
    <m/>
    <m/>
    <x v="2"/>
    <x v="12"/>
  </r>
  <r>
    <x v="1"/>
    <x v="21"/>
    <x v="3"/>
    <m/>
    <x v="16"/>
    <m/>
    <m/>
    <m/>
    <m/>
    <m/>
    <x v="2"/>
    <x v="12"/>
  </r>
  <r>
    <x v="1"/>
    <x v="21"/>
    <x v="3"/>
    <m/>
    <x v="16"/>
    <m/>
    <m/>
    <m/>
    <m/>
    <m/>
    <x v="2"/>
    <x v="12"/>
  </r>
  <r>
    <x v="1"/>
    <x v="21"/>
    <x v="3"/>
    <m/>
    <x v="16"/>
    <m/>
    <m/>
    <m/>
    <m/>
    <m/>
    <x v="2"/>
    <x v="12"/>
  </r>
  <r>
    <x v="1"/>
    <x v="21"/>
    <x v="3"/>
    <m/>
    <x v="16"/>
    <m/>
    <m/>
    <m/>
    <m/>
    <m/>
    <x v="2"/>
    <x v="12"/>
  </r>
  <r>
    <x v="1"/>
    <x v="21"/>
    <x v="3"/>
    <m/>
    <x v="16"/>
    <m/>
    <m/>
    <m/>
    <m/>
    <m/>
    <x v="2"/>
    <x v="12"/>
  </r>
  <r>
    <x v="1"/>
    <x v="21"/>
    <x v="3"/>
    <m/>
    <x v="16"/>
    <m/>
    <m/>
    <m/>
    <m/>
    <m/>
    <x v="2"/>
    <x v="12"/>
  </r>
  <r>
    <x v="1"/>
    <x v="21"/>
    <x v="3"/>
    <m/>
    <x v="16"/>
    <m/>
    <m/>
    <m/>
    <m/>
    <m/>
    <x v="2"/>
    <x v="12"/>
  </r>
  <r>
    <x v="1"/>
    <x v="21"/>
    <x v="3"/>
    <m/>
    <x v="16"/>
    <m/>
    <m/>
    <m/>
    <m/>
    <m/>
    <x v="2"/>
    <x v="12"/>
  </r>
  <r>
    <x v="1"/>
    <x v="21"/>
    <x v="3"/>
    <m/>
    <x v="16"/>
    <m/>
    <m/>
    <m/>
    <m/>
    <m/>
    <x v="2"/>
    <x v="12"/>
  </r>
  <r>
    <x v="1"/>
    <x v="21"/>
    <x v="3"/>
    <m/>
    <x v="16"/>
    <m/>
    <m/>
    <m/>
    <m/>
    <m/>
    <x v="2"/>
    <x v="12"/>
  </r>
  <r>
    <x v="1"/>
    <x v="21"/>
    <x v="3"/>
    <m/>
    <x v="16"/>
    <m/>
    <m/>
    <m/>
    <m/>
    <m/>
    <x v="2"/>
    <x v="1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">
  <r>
    <x v="0"/>
    <x v="0"/>
    <x v="0"/>
    <n v="130151"/>
    <n v="123724"/>
    <n v="941"/>
    <n v="1051"/>
    <n v="831916.81"/>
    <n v="108"/>
    <n v="447857.5"/>
    <n v="84"/>
    <s v="[NULL]"/>
    <n v="136072"/>
    <x v="0"/>
    <n v="4"/>
    <x v="0"/>
    <m/>
    <m/>
    <x v="0"/>
  </r>
  <r>
    <x v="0"/>
    <x v="1"/>
    <x v="0"/>
    <n v="124976"/>
    <n v="119118"/>
    <n v="1053"/>
    <n v="1605"/>
    <n v="1055934.17"/>
    <n v="91"/>
    <n v="145158.42000000001"/>
    <n v="29"/>
    <s v="[NULL]"/>
    <n v="127873"/>
    <x v="0"/>
    <n v="4"/>
    <x v="0"/>
    <m/>
    <m/>
    <x v="0"/>
  </r>
  <r>
    <x v="1"/>
    <x v="0"/>
    <x v="0"/>
    <n v="204931"/>
    <n v="196345"/>
    <n v="1621"/>
    <n v="1583"/>
    <n v="1955807.34"/>
    <n v="363"/>
    <n v="1394358"/>
    <n v="303"/>
    <s v="[NULL]"/>
    <n v="154665"/>
    <x v="0"/>
    <n v="5"/>
    <x v="0"/>
    <m/>
    <m/>
    <x v="0"/>
  </r>
  <r>
    <x v="1"/>
    <x v="1"/>
    <x v="0"/>
    <n v="204200"/>
    <n v="192898"/>
    <n v="1981"/>
    <n v="2373"/>
    <n v="1242864.48"/>
    <n v="201"/>
    <n v="565934.69999999995"/>
    <n v="122"/>
    <s v="[NULL]"/>
    <n v="216453"/>
    <x v="0"/>
    <n v="5"/>
    <x v="0"/>
    <m/>
    <m/>
    <x v="0"/>
  </r>
  <r>
    <x v="2"/>
    <x v="0"/>
    <x v="0"/>
    <n v="242814"/>
    <n v="228467"/>
    <n v="3188"/>
    <n v="1987"/>
    <n v="4259443.42"/>
    <n v="1019"/>
    <n v="3455863.81"/>
    <n v="926"/>
    <s v="[NULL]"/>
    <n v="203043"/>
    <x v="0"/>
    <n v="6"/>
    <x v="0"/>
    <m/>
    <m/>
    <x v="0"/>
  </r>
  <r>
    <x v="2"/>
    <x v="1"/>
    <x v="0"/>
    <n v="228873"/>
    <n v="213596"/>
    <n v="3397"/>
    <n v="2397"/>
    <n v="2262618.63"/>
    <n v="590"/>
    <n v="1558691.6"/>
    <n v="466"/>
    <s v="[NULL]"/>
    <n v="242985"/>
    <x v="0"/>
    <n v="6"/>
    <x v="0"/>
    <m/>
    <m/>
    <x v="0"/>
  </r>
  <r>
    <x v="3"/>
    <x v="0"/>
    <x v="0"/>
    <n v="162135"/>
    <n v="153382"/>
    <n v="1700"/>
    <n v="1351"/>
    <n v="2179795.4700000002"/>
    <n v="537"/>
    <n v="1617423.32"/>
    <n v="489"/>
    <s v="[NULL]"/>
    <n v="169853"/>
    <x v="0"/>
    <n v="7"/>
    <x v="0"/>
    <m/>
    <m/>
    <x v="0"/>
  </r>
  <r>
    <x v="3"/>
    <x v="1"/>
    <x v="0"/>
    <n v="135746"/>
    <n v="125621"/>
    <n v="1515"/>
    <n v="1599"/>
    <n v="1120451.78"/>
    <n v="284"/>
    <n v="757167.08"/>
    <n v="239"/>
    <s v="[NULL]"/>
    <n v="140029"/>
    <x v="0"/>
    <n v="7"/>
    <x v="0"/>
    <m/>
    <m/>
    <x v="0"/>
  </r>
  <r>
    <x v="4"/>
    <x v="0"/>
    <x v="0"/>
    <n v="102361"/>
    <n v="95352"/>
    <n v="1031"/>
    <n v="1006"/>
    <n v="1538585.4"/>
    <n v="297"/>
    <n v="1214052.6499999999"/>
    <n v="264"/>
    <s v="[NULL]"/>
    <n v="107751"/>
    <x v="0"/>
    <n v="8"/>
    <x v="0"/>
    <m/>
    <m/>
    <x v="0"/>
  </r>
  <r>
    <x v="4"/>
    <x v="1"/>
    <x v="0"/>
    <n v="134360"/>
    <n v="125697"/>
    <n v="1141"/>
    <n v="1264"/>
    <n v="933400.25"/>
    <n v="171"/>
    <n v="678447.25"/>
    <n v="142"/>
    <s v="[NULL]"/>
    <n v="137514"/>
    <x v="0"/>
    <n v="8"/>
    <x v="0"/>
    <m/>
    <m/>
    <x v="0"/>
  </r>
  <r>
    <x v="5"/>
    <x v="0"/>
    <x v="0"/>
    <n v="138635"/>
    <n v="131669"/>
    <n v="1345"/>
    <n v="1162"/>
    <n v="1850782.01"/>
    <n v="227"/>
    <n v="1345472.01"/>
    <n v="199"/>
    <s v="[NULL]"/>
    <n v="145822"/>
    <x v="0"/>
    <n v="9"/>
    <x v="0"/>
    <m/>
    <m/>
    <x v="0"/>
  </r>
  <r>
    <x v="5"/>
    <x v="1"/>
    <x v="0"/>
    <n v="123190"/>
    <n v="115624"/>
    <n v="1304"/>
    <n v="1298"/>
    <n v="583157"/>
    <n v="105"/>
    <n v="405022"/>
    <n v="81"/>
    <s v="[NULL]"/>
    <n v="126521"/>
    <x v="0"/>
    <n v="9"/>
    <x v="0"/>
    <m/>
    <m/>
    <x v="0"/>
  </r>
  <r>
    <x v="6"/>
    <x v="0"/>
    <x v="0"/>
    <n v="333753"/>
    <n v="321179"/>
    <n v="3240"/>
    <n v="2198"/>
    <n v="5332367.53"/>
    <n v="868"/>
    <n v="3181389.55"/>
    <n v="595"/>
    <s v="[NULL]"/>
    <n v="334937"/>
    <x v="0"/>
    <n v="10"/>
    <x v="0"/>
    <m/>
    <m/>
    <x v="0"/>
  </r>
  <r>
    <x v="6"/>
    <x v="1"/>
    <x v="0"/>
    <n v="233610"/>
    <n v="219565"/>
    <n v="3420"/>
    <n v="2615"/>
    <n v="2411309.16"/>
    <n v="478"/>
    <n v="1045617.03"/>
    <n v="202"/>
    <s v="[NULL]"/>
    <n v="251993"/>
    <x v="0"/>
    <n v="10"/>
    <x v="0"/>
    <m/>
    <m/>
    <x v="0"/>
  </r>
  <r>
    <x v="7"/>
    <x v="0"/>
    <x v="0"/>
    <n v="397135"/>
    <n v="379310"/>
    <n v="3803"/>
    <n v="2085"/>
    <n v="6312181.0300000003"/>
    <n v="1067"/>
    <n v="4678422.95"/>
    <n v="990"/>
    <s v="[NULL]"/>
    <n v="400414"/>
    <x v="0"/>
    <n v="11"/>
    <x v="0"/>
    <m/>
    <m/>
    <x v="0"/>
  </r>
  <r>
    <x v="7"/>
    <x v="1"/>
    <x v="0"/>
    <n v="191015"/>
    <n v="172526"/>
    <n v="3168"/>
    <n v="1668"/>
    <n v="3372971.3"/>
    <n v="604"/>
    <n v="2374636.6800000002"/>
    <n v="517"/>
    <s v="[NULL]"/>
    <n v="202342"/>
    <x v="0"/>
    <n v="11"/>
    <x v="0"/>
    <m/>
    <m/>
    <x v="0"/>
  </r>
  <r>
    <x v="8"/>
    <x v="0"/>
    <x v="0"/>
    <n v="588936"/>
    <n v="576375"/>
    <n v="2713"/>
    <n v="1700"/>
    <n v="4497932.01"/>
    <n v="639"/>
    <n v="3267416.01"/>
    <n v="566"/>
    <s v="[NULL]"/>
    <n v="412403"/>
    <x v="0"/>
    <n v="12"/>
    <x v="0"/>
    <m/>
    <m/>
    <x v="0"/>
  </r>
  <r>
    <x v="8"/>
    <x v="1"/>
    <x v="0"/>
    <n v="362883"/>
    <n v="349069"/>
    <n v="2293"/>
    <n v="1588"/>
    <n v="2290200.54"/>
    <n v="356"/>
    <n v="1648125.54"/>
    <n v="311"/>
    <s v="[NULL]"/>
    <n v="154241"/>
    <x v="0"/>
    <n v="12"/>
    <x v="0"/>
    <m/>
    <m/>
    <x v="0"/>
  </r>
  <r>
    <x v="9"/>
    <x v="0"/>
    <x v="0"/>
    <n v="434883"/>
    <n v="422117"/>
    <n v="2929"/>
    <n v="1613"/>
    <n v="3796309"/>
    <n v="979"/>
    <n v="2848803"/>
    <n v="795"/>
    <s v="[NULL]"/>
    <n v="339510"/>
    <x v="1"/>
    <n v="1"/>
    <x v="0"/>
    <m/>
    <m/>
    <x v="0"/>
  </r>
  <r>
    <x v="9"/>
    <x v="1"/>
    <x v="0"/>
    <n v="200871"/>
    <n v="189248"/>
    <n v="2331"/>
    <n v="1844"/>
    <n v="1661092"/>
    <n v="325"/>
    <n v="1269456"/>
    <n v="280"/>
    <s v="[NULL]"/>
    <n v="149661"/>
    <x v="1"/>
    <n v="1"/>
    <x v="0"/>
    <m/>
    <m/>
    <x v="0"/>
  </r>
  <r>
    <x v="10"/>
    <x v="0"/>
    <x v="0"/>
    <n v="312694"/>
    <n v="303404"/>
    <n v="1383"/>
    <n v="1027"/>
    <n v="1982975"/>
    <n v="257"/>
    <n v="1451345"/>
    <n v="211"/>
    <s v="[NULL]"/>
    <n v="307919"/>
    <x v="1"/>
    <n v="2"/>
    <x v="0"/>
    <m/>
    <m/>
    <x v="0"/>
  </r>
  <r>
    <x v="10"/>
    <x v="1"/>
    <x v="0"/>
    <n v="135558"/>
    <n v="126760"/>
    <n v="1557"/>
    <n v="1238"/>
    <n v="1207590"/>
    <n v="178"/>
    <n v="784250"/>
    <n v="134"/>
    <s v="[NULL]"/>
    <n v="126168"/>
    <x v="1"/>
    <n v="2"/>
    <x v="0"/>
    <m/>
    <m/>
    <x v="0"/>
  </r>
  <r>
    <x v="11"/>
    <x v="0"/>
    <x v="0"/>
    <n v="301843"/>
    <n v="293972"/>
    <n v="1125"/>
    <n v="773"/>
    <n v="1468520.01"/>
    <n v="215"/>
    <n v="978505.01"/>
    <n v="177"/>
    <s v="[NULL]"/>
    <n v="298516"/>
    <x v="1"/>
    <n v="4"/>
    <x v="0"/>
    <m/>
    <m/>
    <x v="0"/>
  </r>
  <r>
    <x v="11"/>
    <x v="1"/>
    <x v="0"/>
    <n v="127813"/>
    <n v="120498"/>
    <n v="1370"/>
    <n v="1062"/>
    <n v="1046065"/>
    <n v="167"/>
    <n v="609635"/>
    <n v="113"/>
    <s v="[NULL]"/>
    <n v="120349"/>
    <x v="1"/>
    <n v="4"/>
    <x v="0"/>
    <m/>
    <m/>
    <x v="0"/>
  </r>
  <r>
    <x v="12"/>
    <x v="0"/>
    <x v="0"/>
    <n v="161848"/>
    <n v="152586"/>
    <n v="1932"/>
    <n v="1056"/>
    <n v="2459662.0099999998"/>
    <n v="587"/>
    <n v="1718197.01"/>
    <n v="421"/>
    <s v="[NULL]"/>
    <n v="143950"/>
    <x v="1"/>
    <n v="5"/>
    <x v="0"/>
    <m/>
    <m/>
    <x v="0"/>
  </r>
  <r>
    <x v="12"/>
    <x v="1"/>
    <x v="0"/>
    <n v="272817"/>
    <n v="264533"/>
    <n v="2950"/>
    <n v="1634"/>
    <n v="1764782"/>
    <n v="439"/>
    <n v="971183"/>
    <n v="255"/>
    <s v="[NULL]"/>
    <n v="264102"/>
    <x v="1"/>
    <n v="5"/>
    <x v="0"/>
    <m/>
    <m/>
    <x v="0"/>
  </r>
  <r>
    <x v="13"/>
    <x v="0"/>
    <x v="0"/>
    <n v="189802"/>
    <n v="178252"/>
    <n v="3154"/>
    <n v="1214"/>
    <n v="4627959.76"/>
    <n v="1226"/>
    <n v="3668162.26"/>
    <n v="1061"/>
    <m/>
    <n v="155822"/>
    <x v="1"/>
    <n v="6"/>
    <x v="0"/>
    <m/>
    <m/>
    <x v="0"/>
  </r>
  <r>
    <x v="13"/>
    <x v="1"/>
    <x v="0"/>
    <n v="280902"/>
    <n v="264142"/>
    <n v="3341"/>
    <n v="1707"/>
    <n v="2965026.75"/>
    <n v="767"/>
    <n v="2141052.25"/>
    <n v="626"/>
    <m/>
    <n v="273160"/>
    <x v="1"/>
    <n v="6"/>
    <x v="0"/>
    <m/>
    <m/>
    <x v="0"/>
  </r>
  <r>
    <x v="14"/>
    <x v="0"/>
    <x v="0"/>
    <n v="73376"/>
    <n v="68278"/>
    <n v="969"/>
    <n v="523"/>
    <n v="1156289"/>
    <n v="250"/>
    <n v="951219"/>
    <n v="227"/>
    <s v="[NULL]"/>
    <n v="70573"/>
    <x v="1"/>
    <n v="7"/>
    <x v="0"/>
    <m/>
    <m/>
    <x v="0"/>
  </r>
  <r>
    <x v="14"/>
    <x v="1"/>
    <x v="0"/>
    <n v="158166"/>
    <n v="152676"/>
    <n v="1484"/>
    <n v="922"/>
    <n v="909631.18"/>
    <n v="216"/>
    <n v="530811.68000000005"/>
    <n v="150"/>
    <s v="[NULL]"/>
    <n v="151592"/>
    <x v="1"/>
    <n v="7"/>
    <x v="0"/>
    <m/>
    <m/>
    <x v="0"/>
  </r>
  <r>
    <x v="15"/>
    <x v="0"/>
    <x v="0"/>
    <n v="80273"/>
    <n v="75237"/>
    <n v="925"/>
    <n v="524"/>
    <n v="1271078.7"/>
    <n v="234"/>
    <n v="881003.7"/>
    <n v="196"/>
    <s v="[NULL]"/>
    <n v="74937"/>
    <x v="1"/>
    <n v="8"/>
    <x v="0"/>
    <m/>
    <m/>
    <x v="0"/>
  </r>
  <r>
    <x v="15"/>
    <x v="1"/>
    <x v="0"/>
    <n v="148545"/>
    <n v="142631"/>
    <n v="1216"/>
    <n v="910"/>
    <n v="1048155.98"/>
    <n v="177"/>
    <n v="488271.5"/>
    <n v="123"/>
    <s v="[NULL]"/>
    <n v="140991"/>
    <x v="1"/>
    <n v="8"/>
    <x v="0"/>
    <m/>
    <m/>
    <x v="0"/>
  </r>
  <r>
    <x v="16"/>
    <x v="0"/>
    <x v="0"/>
    <n v="107753"/>
    <n v="102903"/>
    <n v="845"/>
    <n v="575"/>
    <n v="1177117.01"/>
    <n v="168"/>
    <n v="741177.01"/>
    <n v="140"/>
    <s v="[NULL]"/>
    <n v="103577"/>
    <x v="1"/>
    <n v="9"/>
    <x v="0"/>
    <m/>
    <m/>
    <x v="0"/>
  </r>
  <r>
    <x v="16"/>
    <x v="1"/>
    <x v="0"/>
    <n v="114536"/>
    <n v="108992"/>
    <n v="1161"/>
    <n v="869"/>
    <n v="900539"/>
    <n v="138"/>
    <n v="370193"/>
    <n v="87"/>
    <s v="[NULL]"/>
    <n v="107455"/>
    <x v="1"/>
    <n v="9"/>
    <x v="0"/>
    <m/>
    <m/>
    <x v="0"/>
  </r>
  <r>
    <x v="17"/>
    <x v="0"/>
    <x v="0"/>
    <n v="239418"/>
    <n v="226442"/>
    <n v="3681"/>
    <n v="1496"/>
    <n v="8205361.7599999998"/>
    <n v="1408"/>
    <n v="5410308.7599999998"/>
    <n v="1089"/>
    <s v="[NULL]"/>
    <n v="152339"/>
    <x v="1"/>
    <n v="10"/>
    <x v="0"/>
    <m/>
    <m/>
    <x v="0"/>
  </r>
  <r>
    <x v="17"/>
    <x v="1"/>
    <x v="0"/>
    <n v="284957"/>
    <n v="271355"/>
    <n v="4488"/>
    <n v="2461"/>
    <n v="4440324.5999999996"/>
    <n v="791"/>
    <n v="2228973.9"/>
    <n v="504"/>
    <s v="[NULL]"/>
    <n v="216710"/>
    <x v="1"/>
    <n v="10"/>
    <x v="0"/>
    <m/>
    <m/>
    <x v="0"/>
  </r>
  <r>
    <x v="18"/>
    <x v="0"/>
    <x v="0"/>
    <n v="207714"/>
    <n v="191426"/>
    <n v="4155"/>
    <n v="1489"/>
    <n v="11315357.65"/>
    <n v="1769"/>
    <n v="8506726.0399999991"/>
    <n v="1603"/>
    <s v="[NULL]"/>
    <n v="169201"/>
    <x v="1"/>
    <n v="11"/>
    <x v="0"/>
    <m/>
    <m/>
    <x v="0"/>
  </r>
  <r>
    <x v="18"/>
    <x v="1"/>
    <x v="0"/>
    <n v="269947"/>
    <n v="245584"/>
    <n v="3998"/>
    <n v="2056"/>
    <n v="5981123.0700000003"/>
    <n v="983"/>
    <n v="4228594.45"/>
    <n v="835"/>
    <s v="[NULL]"/>
    <n v="226037"/>
    <x v="1"/>
    <n v="11"/>
    <x v="0"/>
    <m/>
    <m/>
    <x v="0"/>
  </r>
  <r>
    <x v="19"/>
    <x v="0"/>
    <x v="0"/>
    <n v="291381"/>
    <n v="280736"/>
    <n v="2040"/>
    <n v="949"/>
    <n v="5274353.53"/>
    <n v="717"/>
    <n v="4007762.53"/>
    <n v="633"/>
    <s v="[NULL]"/>
    <n v="106794"/>
    <x v="1"/>
    <n v="12"/>
    <x v="0"/>
    <m/>
    <m/>
    <x v="0"/>
  </r>
  <r>
    <x v="19"/>
    <x v="1"/>
    <x v="0"/>
    <n v="238816"/>
    <n v="219746"/>
    <n v="1997"/>
    <n v="1298"/>
    <n v="2787417.5"/>
    <n v="362"/>
    <n v="1775913"/>
    <n v="294"/>
    <s v="[NULL]"/>
    <n v="147762"/>
    <x v="1"/>
    <n v="12"/>
    <x v="0"/>
    <m/>
    <m/>
    <x v="0"/>
  </r>
  <r>
    <x v="20"/>
    <x v="0"/>
    <x v="0"/>
    <n v="93211"/>
    <n v="85137"/>
    <n v="1446"/>
    <n v="758"/>
    <n v="3394440"/>
    <n v="396"/>
    <n v="2612332"/>
    <n v="364"/>
    <s v="[NULL]"/>
    <n v="88666"/>
    <x v="2"/>
    <n v="1"/>
    <x v="0"/>
    <m/>
    <m/>
    <x v="0"/>
  </r>
  <r>
    <x v="20"/>
    <x v="1"/>
    <x v="0"/>
    <n v="147796"/>
    <n v="137809"/>
    <n v="1962"/>
    <n v="1225"/>
    <n v="2038209.5"/>
    <n v="258"/>
    <n v="1343681.5"/>
    <n v="208"/>
    <s v="[NULL]"/>
    <n v="138726"/>
    <x v="2"/>
    <n v="1"/>
    <x v="0"/>
    <m/>
    <m/>
    <x v="0"/>
  </r>
  <r>
    <x v="21"/>
    <x v="0"/>
    <x v="0"/>
    <n v="38029"/>
    <n v="33010"/>
    <n v="732"/>
    <n v="469"/>
    <n v="1579970"/>
    <n v="189"/>
    <n v="1065464"/>
    <n v="161"/>
    <s v="[NULL]"/>
    <n v="34071"/>
    <x v="2"/>
    <n v="2"/>
    <x v="0"/>
    <m/>
    <m/>
    <x v="0"/>
  </r>
  <r>
    <x v="21"/>
    <x v="1"/>
    <x v="0"/>
    <n v="163017"/>
    <n v="157626"/>
    <n v="1243"/>
    <n v="978"/>
    <n v="1169210"/>
    <n v="137"/>
    <n v="537650"/>
    <n v="97"/>
    <s v="[NULL]"/>
    <n v="154950"/>
    <x v="2"/>
    <n v="2"/>
    <x v="0"/>
    <m/>
    <m/>
    <x v="0"/>
  </r>
  <r>
    <x v="22"/>
    <x v="0"/>
    <x v="0"/>
    <n v="31202"/>
    <n v="26530"/>
    <n v="731"/>
    <n v="374"/>
    <n v="1082515"/>
    <n v="169"/>
    <n v="950410"/>
    <n v="152"/>
    <m/>
    <n v="26810"/>
    <x v="2"/>
    <n v="4"/>
    <x v="0"/>
    <m/>
    <m/>
    <x v="0"/>
  </r>
  <r>
    <x v="22"/>
    <x v="1"/>
    <x v="0"/>
    <n v="153058"/>
    <n v="147096"/>
    <n v="1489"/>
    <n v="1096"/>
    <n v="1026350"/>
    <n v="142"/>
    <n v="545295"/>
    <n v="96"/>
    <m/>
    <n v="143890"/>
    <x v="2"/>
    <n v="4"/>
    <x v="0"/>
    <m/>
    <m/>
    <x v="0"/>
  </r>
  <r>
    <x v="23"/>
    <x v="0"/>
    <x v="0"/>
    <n v="241898"/>
    <n v="229936"/>
    <n v="3585"/>
    <n v="1234"/>
    <n v="5641244.54"/>
    <n v="1398"/>
    <n v="4556993.8899999997"/>
    <n v="1260"/>
    <n v="22795"/>
    <n v="75218"/>
    <x v="2"/>
    <n v="5"/>
    <x v="0"/>
    <m/>
    <m/>
    <x v="0"/>
  </r>
  <r>
    <x v="23"/>
    <x v="1"/>
    <x v="0"/>
    <n v="432046"/>
    <n v="414317"/>
    <n v="4282"/>
    <n v="2036"/>
    <n v="4448641.4400000004"/>
    <n v="1049"/>
    <n v="3052220.73"/>
    <n v="868"/>
    <n v="69012"/>
    <n v="342379"/>
    <x v="2"/>
    <n v="5"/>
    <x v="0"/>
    <m/>
    <m/>
    <x v="0"/>
  </r>
  <r>
    <x v="24"/>
    <x v="0"/>
    <x v="0"/>
    <n v="126364"/>
    <n v="111458"/>
    <n v="3345"/>
    <n v="1159"/>
    <n v="5196279.1500000004"/>
    <n v="1279"/>
    <n v="3991461.15"/>
    <n v="1119"/>
    <n v="21957"/>
    <n v="79578"/>
    <x v="2"/>
    <n v="6"/>
    <x v="0"/>
    <m/>
    <m/>
    <x v="0"/>
  </r>
  <r>
    <x v="24"/>
    <x v="1"/>
    <x v="0"/>
    <n v="504663"/>
    <n v="479155"/>
    <n v="3700"/>
    <n v="2364"/>
    <n v="3897463.35"/>
    <n v="817"/>
    <n v="2372679.2400000002"/>
    <n v="636"/>
    <n v="71567"/>
    <n v="335126"/>
    <x v="2"/>
    <n v="6"/>
    <x v="0"/>
    <m/>
    <m/>
    <x v="0"/>
  </r>
  <r>
    <x v="25"/>
    <x v="0"/>
    <x v="0"/>
    <n v="60621"/>
    <n v="54282"/>
    <n v="747"/>
    <n v="457"/>
    <n v="1326765"/>
    <n v="223"/>
    <n v="1012150"/>
    <n v="194"/>
    <m/>
    <n v="27991"/>
    <x v="2"/>
    <n v="7"/>
    <x v="0"/>
    <m/>
    <m/>
    <x v="0"/>
  </r>
  <r>
    <x v="25"/>
    <x v="1"/>
    <x v="0"/>
    <n v="222116"/>
    <n v="211205"/>
    <n v="2047"/>
    <n v="1702"/>
    <n v="1993270"/>
    <n v="250"/>
    <n v="762495"/>
    <n v="139"/>
    <m/>
    <n v="183088"/>
    <x v="2"/>
    <n v="7"/>
    <x v="0"/>
    <m/>
    <m/>
    <x v="0"/>
  </r>
  <r>
    <x v="26"/>
    <x v="0"/>
    <x v="0"/>
    <n v="47039"/>
    <n v="41517"/>
    <n v="665"/>
    <n v="439"/>
    <n v="1128745"/>
    <n v="154"/>
    <n v="858725"/>
    <n v="136"/>
    <m/>
    <n v="30165"/>
    <x v="2"/>
    <n v="8"/>
    <x v="0"/>
    <m/>
    <m/>
    <x v="0"/>
  </r>
  <r>
    <x v="26"/>
    <x v="1"/>
    <x v="0"/>
    <n v="195033"/>
    <n v="185113"/>
    <n v="1870"/>
    <n v="2079"/>
    <n v="1804400"/>
    <n v="210"/>
    <n v="478985"/>
    <n v="94"/>
    <m/>
    <n v="176193"/>
    <x v="2"/>
    <n v="8"/>
    <x v="0"/>
    <m/>
    <m/>
    <x v="0"/>
  </r>
  <r>
    <x v="27"/>
    <x v="0"/>
    <x v="0"/>
    <n v="45068"/>
    <n v="40687"/>
    <n v="742"/>
    <n v="405"/>
    <n v="1115975"/>
    <n v="162"/>
    <n v="729980"/>
    <n v="135"/>
    <m/>
    <n v="31261"/>
    <x v="2"/>
    <n v="9"/>
    <x v="0"/>
    <m/>
    <m/>
    <x v="0"/>
  </r>
  <r>
    <x v="27"/>
    <x v="1"/>
    <x v="0"/>
    <n v="182722"/>
    <n v="175127"/>
    <n v="1968"/>
    <n v="1973"/>
    <n v="1915675"/>
    <n v="213"/>
    <n v="432645"/>
    <n v="90"/>
    <m/>
    <n v="164512"/>
    <x v="2"/>
    <n v="9"/>
    <x v="0"/>
    <m/>
    <m/>
    <x v="0"/>
  </r>
  <r>
    <x v="28"/>
    <x v="0"/>
    <x v="0"/>
    <n v="179310"/>
    <n v="166340"/>
    <n v="7104"/>
    <n v="1903"/>
    <n v="17011176.390000001"/>
    <n v="2485"/>
    <n v="12848413.74"/>
    <n v="2221"/>
    <m/>
    <n v="110941"/>
    <x v="2"/>
    <n v="10"/>
    <x v="0"/>
    <m/>
    <m/>
    <x v="0"/>
  </r>
  <r>
    <x v="28"/>
    <x v="1"/>
    <x v="0"/>
    <n v="308792"/>
    <n v="294904"/>
    <n v="9529"/>
    <n v="3751"/>
    <n v="13044715.76"/>
    <n v="1952"/>
    <n v="8237501.4800000004"/>
    <n v="1553"/>
    <m/>
    <n v="272246"/>
    <x v="2"/>
    <n v="10"/>
    <x v="0"/>
    <m/>
    <m/>
    <x v="0"/>
  </r>
  <r>
    <x v="29"/>
    <x v="0"/>
    <x v="0"/>
    <n v="250883"/>
    <n v="232440"/>
    <n v="6091"/>
    <n v="2005"/>
    <n v="12764575.18"/>
    <n v="1961"/>
    <n v="8899624.6799999997"/>
    <n v="1713"/>
    <n v="36709"/>
    <n v="149544"/>
    <x v="2"/>
    <n v="11"/>
    <x v="0"/>
    <m/>
    <m/>
    <x v="0"/>
  </r>
  <r>
    <x v="29"/>
    <x v="1"/>
    <x v="0"/>
    <n v="270714"/>
    <n v="249407"/>
    <n v="7275"/>
    <n v="3200"/>
    <n v="7518291.4900000002"/>
    <n v="1328"/>
    <n v="4880668.12"/>
    <n v="1085"/>
    <n v="44123"/>
    <n v="227027"/>
    <x v="2"/>
    <n v="11"/>
    <x v="0"/>
    <m/>
    <m/>
    <x v="0"/>
  </r>
  <r>
    <x v="30"/>
    <x v="0"/>
    <x v="0"/>
    <n v="136573"/>
    <n v="124707"/>
    <n v="2809"/>
    <n v="1082"/>
    <n v="6958738.2999999998"/>
    <n v="846"/>
    <n v="5056362.8"/>
    <n v="744"/>
    <n v="21192"/>
    <n v="103186"/>
    <x v="2"/>
    <n v="12"/>
    <x v="0"/>
    <m/>
    <m/>
    <x v="0"/>
  </r>
  <r>
    <x v="30"/>
    <x v="1"/>
    <x v="0"/>
    <n v="219663"/>
    <n v="209554"/>
    <n v="3320"/>
    <n v="2296"/>
    <n v="4625539.5"/>
    <n v="569"/>
    <n v="2431414.5"/>
    <n v="411"/>
    <n v="34146"/>
    <n v="204524"/>
    <x v="2"/>
    <n v="12"/>
    <x v="0"/>
    <m/>
    <m/>
    <x v="0"/>
  </r>
  <r>
    <x v="31"/>
    <x v="0"/>
    <x v="0"/>
    <n v="106543"/>
    <n v="98256"/>
    <n v="1562"/>
    <n v="706"/>
    <n v="3683575"/>
    <n v="401"/>
    <n v="2717000"/>
    <n v="360"/>
    <n v="20052"/>
    <n v="60584"/>
    <x v="3"/>
    <n v="1"/>
    <x v="0"/>
    <m/>
    <m/>
    <x v="0"/>
  </r>
  <r>
    <x v="31"/>
    <x v="1"/>
    <x v="0"/>
    <n v="236961"/>
    <n v="228367"/>
    <n v="2432"/>
    <n v="2046"/>
    <n v="3151249.72"/>
    <n v="304"/>
    <n v="1486523.05"/>
    <n v="194"/>
    <n v="30229"/>
    <n v="219269"/>
    <x v="3"/>
    <n v="1"/>
    <x v="0"/>
    <m/>
    <m/>
    <x v="0"/>
  </r>
  <r>
    <x v="32"/>
    <x v="0"/>
    <x v="0"/>
    <n v="70663"/>
    <n v="63396"/>
    <n v="1141"/>
    <n v="548"/>
    <n v="2228850"/>
    <n v="256"/>
    <n v="1536350"/>
    <n v="211"/>
    <n v="16265"/>
    <n v="50356"/>
    <x v="3"/>
    <n v="2"/>
    <x v="0"/>
    <m/>
    <m/>
    <x v="0"/>
  </r>
  <r>
    <x v="32"/>
    <x v="1"/>
    <x v="0"/>
    <n v="247354"/>
    <n v="240089"/>
    <n v="1912"/>
    <n v="1439"/>
    <n v="1903525"/>
    <n v="222"/>
    <n v="879500"/>
    <n v="132"/>
    <n v="26272"/>
    <n v="237172"/>
    <x v="3"/>
    <n v="2"/>
    <x v="0"/>
    <m/>
    <m/>
    <x v="0"/>
  </r>
  <r>
    <x v="33"/>
    <x v="0"/>
    <x v="0"/>
    <n v="34220"/>
    <n v="29807"/>
    <n v="832"/>
    <n v="394"/>
    <n v="1444140"/>
    <n v="174"/>
    <n v="1049900"/>
    <n v="150"/>
    <m/>
    <n v="29948"/>
    <x v="2"/>
    <n v="3"/>
    <x v="0"/>
    <m/>
    <m/>
    <x v="0"/>
  </r>
  <r>
    <x v="33"/>
    <x v="1"/>
    <x v="0"/>
    <n v="143350"/>
    <n v="138132"/>
    <n v="1380"/>
    <n v="905"/>
    <n v="1184981.67"/>
    <n v="157"/>
    <n v="824371.67"/>
    <n v="118"/>
    <m/>
    <n v="130239"/>
    <x v="2"/>
    <n v="3"/>
    <x v="0"/>
    <m/>
    <m/>
    <x v="0"/>
  </r>
  <r>
    <x v="34"/>
    <x v="0"/>
    <x v="0"/>
    <n v="101654"/>
    <n v="92257"/>
    <n v="1130"/>
    <n v="671"/>
    <n v="1747090"/>
    <n v="203"/>
    <n v="1215290"/>
    <n v="158"/>
    <n v="15567"/>
    <n v="69044"/>
    <x v="3"/>
    <n v="3"/>
    <x v="0"/>
    <m/>
    <m/>
    <x v="0"/>
  </r>
  <r>
    <x v="34"/>
    <x v="1"/>
    <x v="0"/>
    <n v="287495"/>
    <n v="276113"/>
    <n v="1771"/>
    <n v="1833"/>
    <n v="2220245"/>
    <n v="213"/>
    <n v="657010"/>
    <n v="92"/>
    <n v="25956"/>
    <n v="275853"/>
    <x v="3"/>
    <n v="3"/>
    <x v="0"/>
    <m/>
    <m/>
    <x v="0"/>
  </r>
  <r>
    <x v="35"/>
    <x v="0"/>
    <x v="0"/>
    <n v="73175"/>
    <n v="67694"/>
    <n v="1044"/>
    <n v="594"/>
    <n v="1359560"/>
    <n v="183"/>
    <n v="912185"/>
    <n v="142"/>
    <n v="13855"/>
    <n v="53157"/>
    <x v="3"/>
    <n v="4"/>
    <x v="0"/>
    <m/>
    <m/>
    <x v="0"/>
  </r>
  <r>
    <x v="35"/>
    <x v="1"/>
    <x v="0"/>
    <n v="247903"/>
    <n v="239963"/>
    <n v="1798"/>
    <n v="2216"/>
    <n v="1327990"/>
    <n v="195"/>
    <n v="604670"/>
    <n v="107"/>
    <n v="22419"/>
    <n v="237066"/>
    <x v="3"/>
    <n v="4"/>
    <x v="0"/>
    <m/>
    <m/>
    <x v="0"/>
  </r>
  <r>
    <x v="36"/>
    <x v="0"/>
    <x v="0"/>
    <n v="165316"/>
    <n v="153676"/>
    <n v="4488"/>
    <n v="1424"/>
    <n v="7587072.3799999999"/>
    <n v="1564"/>
    <n v="5604881.3799999999"/>
    <n v="1355"/>
    <n v="23910"/>
    <n v="116996"/>
    <x v="3"/>
    <n v="5"/>
    <x v="0"/>
    <m/>
    <m/>
    <x v="0"/>
  </r>
  <r>
    <x v="36"/>
    <x v="1"/>
    <x v="0"/>
    <n v="376615"/>
    <n v="364498"/>
    <n v="7272"/>
    <n v="5230"/>
    <n v="6546902.1299999999"/>
    <n v="1394"/>
    <n v="3695697.13"/>
    <n v="970"/>
    <n v="31063"/>
    <n v="359697"/>
    <x v="3"/>
    <n v="5"/>
    <x v="0"/>
    <m/>
    <m/>
    <x v="0"/>
  </r>
  <r>
    <x v="37"/>
    <x v="0"/>
    <x v="0"/>
    <n v="199169"/>
    <n v="187216"/>
    <n v="3156"/>
    <n v="1288"/>
    <n v="5265139.43"/>
    <n v="1098"/>
    <n v="3864749.43"/>
    <n v="956"/>
    <n v="22617"/>
    <n v="138094"/>
    <x v="3"/>
    <n v="6"/>
    <x v="0"/>
    <m/>
    <m/>
    <x v="0"/>
  </r>
  <r>
    <x v="37"/>
    <x v="1"/>
    <x v="0"/>
    <n v="312346"/>
    <n v="295104"/>
    <n v="4154"/>
    <n v="3746"/>
    <n v="3579621.71"/>
    <n v="818"/>
    <n v="2037644.86"/>
    <n v="573"/>
    <n v="25141"/>
    <n v="297365"/>
    <x v="3"/>
    <n v="6"/>
    <x v="0"/>
    <m/>
    <m/>
    <x v="0"/>
  </r>
  <r>
    <x v="38"/>
    <x v="0"/>
    <x v="0"/>
    <n v="78885"/>
    <n v="72504"/>
    <n v="1292"/>
    <n v="646"/>
    <n v="1859757"/>
    <n v="221"/>
    <n v="1137566"/>
    <n v="190"/>
    <n v="14345"/>
    <n v="66266"/>
    <x v="3"/>
    <n v="7"/>
    <x v="0"/>
    <m/>
    <m/>
    <x v="0"/>
  </r>
  <r>
    <x v="38"/>
    <x v="1"/>
    <x v="0"/>
    <n v="226815"/>
    <n v="218417"/>
    <n v="1535"/>
    <n v="1444"/>
    <n v="1390937"/>
    <n v="164"/>
    <n v="568537"/>
    <n v="99"/>
    <n v="18732"/>
    <n v="219589"/>
    <x v="3"/>
    <n v="7"/>
    <x v="0"/>
    <m/>
    <m/>
    <x v="0"/>
  </r>
  <r>
    <x v="39"/>
    <x v="0"/>
    <x v="0"/>
    <n v="83953"/>
    <n v="76889"/>
    <n v="1605"/>
    <n v="718"/>
    <n v="2035765.59"/>
    <n v="343"/>
    <n v="1591464.59"/>
    <n v="289"/>
    <n v="15819"/>
    <n v="71185"/>
    <x v="3"/>
    <n v="8"/>
    <x v="0"/>
    <m/>
    <m/>
    <x v="0"/>
  </r>
  <r>
    <x v="39"/>
    <x v="1"/>
    <x v="0"/>
    <n v="202927"/>
    <n v="194828"/>
    <n v="1586"/>
    <n v="1109"/>
    <n v="937443"/>
    <n v="166"/>
    <n v="470548"/>
    <n v="110"/>
    <n v="20844"/>
    <n v="194049"/>
    <x v="3"/>
    <n v="8"/>
    <x v="0"/>
    <m/>
    <m/>
    <x v="0"/>
  </r>
  <r>
    <x v="40"/>
    <x v="0"/>
    <x v="0"/>
    <n v="118847"/>
    <n v="111654"/>
    <n v="1241"/>
    <n v="637"/>
    <n v="1927879"/>
    <n v="219"/>
    <n v="1185159"/>
    <n v="170"/>
    <n v="11059"/>
    <n v="77456"/>
    <x v="3"/>
    <n v="9"/>
    <x v="0"/>
    <m/>
    <m/>
    <x v="0"/>
  </r>
  <r>
    <x v="40"/>
    <x v="1"/>
    <x v="0"/>
    <n v="259239"/>
    <n v="251214"/>
    <n v="1358"/>
    <n v="1103"/>
    <n v="1308555"/>
    <n v="138"/>
    <n v="546918"/>
    <n v="77"/>
    <n v="22118"/>
    <n v="239437"/>
    <x v="3"/>
    <n v="9"/>
    <x v="0"/>
    <m/>
    <m/>
    <x v="0"/>
  </r>
  <r>
    <x v="41"/>
    <x v="0"/>
    <x v="0"/>
    <n v="273124"/>
    <n v="247608"/>
    <n v="4570"/>
    <n v="1525"/>
    <n v="8734491.5299999993"/>
    <n v="1223"/>
    <n v="6888557.5300000003"/>
    <n v="1085"/>
    <n v="22482"/>
    <n v="163044"/>
    <x v="3"/>
    <n v="10"/>
    <x v="0"/>
    <m/>
    <m/>
    <x v="0"/>
  </r>
  <r>
    <x v="41"/>
    <x v="1"/>
    <x v="0"/>
    <n v="598138"/>
    <n v="576781"/>
    <n v="4374"/>
    <n v="3372"/>
    <n v="4421049.32"/>
    <n v="604"/>
    <n v="2667026.4500000002"/>
    <n v="461"/>
    <n v="38662"/>
    <n v="576611"/>
    <x v="3"/>
    <n v="10"/>
    <x v="0"/>
    <m/>
    <m/>
    <x v="0"/>
  </r>
  <r>
    <x v="42"/>
    <x v="0"/>
    <x v="1"/>
    <n v="3622"/>
    <n v="2644"/>
    <n v="92"/>
    <n v="29"/>
    <n v="168795"/>
    <n v="13"/>
    <n v="103395"/>
    <n v="10"/>
    <n v="826"/>
    <n v="2476"/>
    <x v="2"/>
    <n v="10"/>
    <x v="1"/>
    <n v="0"/>
    <m/>
    <x v="0"/>
  </r>
  <r>
    <x v="42"/>
    <x v="1"/>
    <x v="1"/>
    <n v="18638"/>
    <n v="14040"/>
    <n v="258"/>
    <n v="164"/>
    <n v="177170"/>
    <n v="16"/>
    <n v="56905"/>
    <n v="7"/>
    <n v="4090"/>
    <n v="15968"/>
    <x v="2"/>
    <n v="10"/>
    <x v="1"/>
    <n v="0"/>
    <m/>
    <x v="0"/>
  </r>
  <r>
    <x v="43"/>
    <x v="0"/>
    <x v="1"/>
    <n v="3090"/>
    <n v="2114"/>
    <n v="71"/>
    <n v="36"/>
    <n v="39085"/>
    <n v="6"/>
    <n v="10645"/>
    <n v="2"/>
    <n v="792"/>
    <n v="2605"/>
    <x v="2"/>
    <n v="10"/>
    <x v="1"/>
    <n v="0"/>
    <m/>
    <x v="0"/>
  </r>
  <r>
    <x v="43"/>
    <x v="1"/>
    <x v="1"/>
    <n v="17135"/>
    <n v="12179"/>
    <n v="224"/>
    <n v="139"/>
    <n v="81035"/>
    <n v="10"/>
    <n v="12145"/>
    <n v="2"/>
    <n v="4107"/>
    <n v="14743"/>
    <x v="2"/>
    <n v="10"/>
    <x v="1"/>
    <n v="0"/>
    <m/>
    <x v="0"/>
  </r>
  <r>
    <x v="44"/>
    <x v="0"/>
    <x v="1"/>
    <n v="4519"/>
    <n v="3099"/>
    <n v="181"/>
    <n v="55"/>
    <n v="440874.79"/>
    <n v="71"/>
    <n v="328707.78999999998"/>
    <n v="62"/>
    <n v="1247"/>
    <n v="3132"/>
    <x v="2"/>
    <n v="10"/>
    <x v="1"/>
    <n v="0"/>
    <m/>
    <x v="1"/>
  </r>
  <r>
    <x v="44"/>
    <x v="1"/>
    <x v="1"/>
    <n v="17660"/>
    <n v="12583"/>
    <n v="386"/>
    <n v="162"/>
    <n v="284108.83"/>
    <n v="44"/>
    <n v="176873.83"/>
    <n v="37"/>
    <n v="3790"/>
    <n v="15071"/>
    <x v="2"/>
    <n v="10"/>
    <x v="1"/>
    <n v="0"/>
    <m/>
    <x v="1"/>
  </r>
  <r>
    <x v="45"/>
    <x v="0"/>
    <x v="1"/>
    <n v="3689"/>
    <n v="2189"/>
    <n v="177"/>
    <n v="55"/>
    <n v="294415"/>
    <n v="56"/>
    <n v="248773"/>
    <n v="49"/>
    <n v="1046"/>
    <n v="3270"/>
    <x v="2"/>
    <n v="10"/>
    <x v="1"/>
    <n v="0"/>
    <m/>
    <x v="1"/>
  </r>
  <r>
    <x v="45"/>
    <x v="1"/>
    <x v="1"/>
    <n v="17265"/>
    <n v="11201"/>
    <n v="390"/>
    <n v="164"/>
    <n v="258926"/>
    <n v="50"/>
    <n v="155187"/>
    <n v="35"/>
    <n v="3762"/>
    <n v="15304"/>
    <x v="2"/>
    <n v="10"/>
    <x v="1"/>
    <n v="0"/>
    <m/>
    <x v="1"/>
  </r>
  <r>
    <x v="46"/>
    <x v="0"/>
    <x v="1"/>
    <n v="5476"/>
    <n v="3586"/>
    <n v="221"/>
    <n v="73"/>
    <n v="304340"/>
    <n v="51"/>
    <n v="261470"/>
    <n v="43"/>
    <n v="1303"/>
    <n v="3642"/>
    <x v="2"/>
    <n v="10"/>
    <x v="1"/>
    <n v="0"/>
    <m/>
    <x v="1"/>
  </r>
  <r>
    <x v="46"/>
    <x v="1"/>
    <x v="1"/>
    <n v="18800"/>
    <n v="12146"/>
    <n v="380"/>
    <n v="181"/>
    <n v="190169"/>
    <n v="38"/>
    <n v="145379"/>
    <n v="29"/>
    <n v="3523"/>
    <n v="15909"/>
    <x v="2"/>
    <n v="10"/>
    <x v="1"/>
    <n v="0"/>
    <m/>
    <x v="1"/>
  </r>
  <r>
    <x v="47"/>
    <x v="0"/>
    <x v="1"/>
    <n v="6438"/>
    <n v="4257"/>
    <n v="242"/>
    <n v="61"/>
    <n v="251987"/>
    <n v="49"/>
    <n v="191317"/>
    <n v="38"/>
    <n v="1135"/>
    <n v="4427"/>
    <x v="2"/>
    <n v="10"/>
    <x v="1"/>
    <n v="0"/>
    <m/>
    <x v="1"/>
  </r>
  <r>
    <x v="47"/>
    <x v="1"/>
    <x v="1"/>
    <n v="21031"/>
    <n v="13533"/>
    <n v="357"/>
    <n v="206"/>
    <n v="194376"/>
    <n v="31"/>
    <n v="123086"/>
    <n v="22"/>
    <n v="3860"/>
    <n v="18054"/>
    <x v="2"/>
    <n v="10"/>
    <x v="1"/>
    <n v="0"/>
    <m/>
    <x v="1"/>
  </r>
  <r>
    <x v="48"/>
    <x v="0"/>
    <x v="1"/>
    <n v="6448"/>
    <n v="4171"/>
    <n v="214"/>
    <n v="63"/>
    <n v="192610"/>
    <n v="45"/>
    <n v="134137"/>
    <n v="34"/>
    <n v="1167"/>
    <n v="4794"/>
    <x v="2"/>
    <n v="10"/>
    <x v="1"/>
    <n v="0"/>
    <m/>
    <x v="1"/>
  </r>
  <r>
    <x v="48"/>
    <x v="1"/>
    <x v="1"/>
    <n v="20151"/>
    <n v="12480"/>
    <n v="349"/>
    <n v="187"/>
    <n v="175551"/>
    <n v="26"/>
    <n v="68314"/>
    <n v="15"/>
    <n v="2662"/>
    <n v="17979"/>
    <x v="2"/>
    <n v="10"/>
    <x v="1"/>
    <n v="0"/>
    <m/>
    <x v="1"/>
  </r>
  <r>
    <x v="49"/>
    <x v="0"/>
    <x v="1"/>
    <n v="5879"/>
    <n v="4366"/>
    <n v="253"/>
    <n v="84"/>
    <n v="229768"/>
    <n v="41"/>
    <n v="144613"/>
    <n v="25"/>
    <n v="1987"/>
    <n v="5854"/>
    <x v="2"/>
    <n v="10"/>
    <x v="1"/>
    <n v="1009"/>
    <n v="0"/>
    <x v="1"/>
  </r>
  <r>
    <x v="49"/>
    <x v="1"/>
    <x v="1"/>
    <n v="16021"/>
    <n v="9266"/>
    <n v="354"/>
    <n v="167"/>
    <n v="239991"/>
    <n v="34"/>
    <n v="87550"/>
    <n v="18"/>
    <n v="1594"/>
    <n v="14671"/>
    <x v="2"/>
    <n v="10"/>
    <x v="1"/>
    <n v="1009"/>
    <n v="0"/>
    <x v="1"/>
  </r>
  <r>
    <x v="50"/>
    <x v="0"/>
    <x v="1"/>
    <n v="8527"/>
    <n v="6593"/>
    <n v="367"/>
    <n v="92"/>
    <n v="772533.86"/>
    <n v="47"/>
    <n v="137442"/>
    <n v="29"/>
    <n v="2280"/>
    <n v="7020"/>
    <x v="2"/>
    <n v="10"/>
    <x v="1"/>
    <n v="1178"/>
    <n v="1"/>
    <x v="1"/>
  </r>
  <r>
    <x v="50"/>
    <x v="1"/>
    <x v="1"/>
    <n v="16648"/>
    <n v="9729"/>
    <n v="422"/>
    <n v="145"/>
    <n v="810845.86"/>
    <n v="33"/>
    <n v="86060"/>
    <n v="17"/>
    <n v="1482"/>
    <n v="13977"/>
    <x v="2"/>
    <n v="10"/>
    <x v="1"/>
    <n v="1178"/>
    <n v="1"/>
    <x v="1"/>
  </r>
  <r>
    <x v="51"/>
    <x v="0"/>
    <x v="1"/>
    <n v="8719"/>
    <n v="6503"/>
    <n v="385"/>
    <n v="122"/>
    <n v="264726.92"/>
    <n v="41"/>
    <n v="122638.92"/>
    <n v="22"/>
    <n v="2555"/>
    <n v="8822"/>
    <x v="2"/>
    <n v="10"/>
    <x v="1"/>
    <n v="1262"/>
    <n v="1"/>
    <x v="1"/>
  </r>
  <r>
    <x v="51"/>
    <x v="1"/>
    <x v="1"/>
    <n v="16498"/>
    <n v="9524"/>
    <n v="423"/>
    <n v="155"/>
    <n v="262234"/>
    <n v="39"/>
    <n v="115458"/>
    <n v="19"/>
    <n v="1689"/>
    <n v="14896"/>
    <x v="2"/>
    <n v="10"/>
    <x v="1"/>
    <n v="1262"/>
    <n v="1"/>
    <x v="1"/>
  </r>
  <r>
    <x v="52"/>
    <x v="0"/>
    <x v="1"/>
    <n v="10784"/>
    <n v="7980"/>
    <n v="464"/>
    <n v="119"/>
    <n v="400027"/>
    <n v="60"/>
    <n v="152408"/>
    <n v="30"/>
    <n v="2742"/>
    <n v="9632"/>
    <x v="2"/>
    <n v="10"/>
    <x v="1"/>
    <n v="1306"/>
    <n v="0"/>
    <x v="1"/>
  </r>
  <r>
    <x v="52"/>
    <x v="1"/>
    <x v="1"/>
    <n v="17318"/>
    <n v="10489"/>
    <n v="428"/>
    <n v="159"/>
    <n v="324186"/>
    <n v="42"/>
    <n v="102558"/>
    <n v="19"/>
    <n v="1684"/>
    <n v="14811"/>
    <x v="2"/>
    <n v="10"/>
    <x v="1"/>
    <n v="1306"/>
    <n v="0"/>
    <x v="1"/>
  </r>
  <r>
    <x v="53"/>
    <x v="0"/>
    <x v="1"/>
    <n v="11134"/>
    <n v="8213"/>
    <n v="1025"/>
    <n v="92"/>
    <n v="3477444.16"/>
    <n v="607"/>
    <n v="2956570.16"/>
    <n v="557"/>
    <n v="3199"/>
    <n v="9454"/>
    <x v="2"/>
    <n v="10"/>
    <x v="1"/>
    <n v="1353"/>
    <n v="8"/>
    <x v="2"/>
  </r>
  <r>
    <x v="53"/>
    <x v="1"/>
    <x v="1"/>
    <n v="20241"/>
    <n v="12944"/>
    <n v="1219"/>
    <n v="178"/>
    <n v="2223179.12"/>
    <n v="413"/>
    <n v="1862068.12"/>
    <n v="379"/>
    <n v="2082"/>
    <n v="17170"/>
    <x v="2"/>
    <n v="10"/>
    <x v="1"/>
    <n v="1353"/>
    <n v="8"/>
    <x v="2"/>
  </r>
  <r>
    <x v="54"/>
    <x v="0"/>
    <x v="1"/>
    <n v="12353"/>
    <n v="9283"/>
    <n v="836"/>
    <n v="119"/>
    <n v="1968732.17"/>
    <n v="330"/>
    <n v="1363283.23"/>
    <n v="288"/>
    <n v="2978"/>
    <n v="9345"/>
    <x v="2"/>
    <n v="10"/>
    <x v="1"/>
    <n v="1365"/>
    <n v="3"/>
    <x v="2"/>
  </r>
  <r>
    <x v="54"/>
    <x v="1"/>
    <x v="1"/>
    <n v="20662"/>
    <n v="12566"/>
    <n v="843"/>
    <n v="209"/>
    <n v="1621793.89"/>
    <n v="248"/>
    <n v="1007865.39"/>
    <n v="210"/>
    <n v="1993"/>
    <n v="17528"/>
    <x v="2"/>
    <n v="10"/>
    <x v="1"/>
    <n v="1365"/>
    <n v="3"/>
    <x v="2"/>
  </r>
  <r>
    <x v="55"/>
    <x v="0"/>
    <x v="1"/>
    <n v="11964"/>
    <n v="8725"/>
    <n v="626"/>
    <n v="104"/>
    <n v="1160083.5"/>
    <n v="215"/>
    <n v="946936"/>
    <n v="193"/>
    <n v="2630"/>
    <n v="9232"/>
    <x v="2"/>
    <n v="10"/>
    <x v="1"/>
    <n v="1221"/>
    <n v="1"/>
    <x v="2"/>
  </r>
  <r>
    <x v="55"/>
    <x v="1"/>
    <x v="1"/>
    <n v="20856"/>
    <n v="12824"/>
    <n v="695"/>
    <n v="206"/>
    <n v="927140.29"/>
    <n v="172"/>
    <n v="684372.87"/>
    <n v="143"/>
    <n v="1891"/>
    <n v="17744"/>
    <x v="2"/>
    <n v="10"/>
    <x v="1"/>
    <n v="1221"/>
    <n v="1"/>
    <x v="2"/>
  </r>
  <r>
    <x v="56"/>
    <x v="0"/>
    <x v="1"/>
    <n v="22955"/>
    <n v="19474"/>
    <n v="1042"/>
    <n v="134"/>
    <n v="2441150.96"/>
    <n v="467"/>
    <n v="2103895.44"/>
    <n v="424"/>
    <n v="3050"/>
    <n v="11094"/>
    <x v="2"/>
    <n v="10"/>
    <x v="1"/>
    <n v="1481"/>
    <n v="5"/>
    <x v="2"/>
  </r>
  <r>
    <x v="56"/>
    <x v="1"/>
    <x v="1"/>
    <n v="24719"/>
    <n v="16518"/>
    <n v="1138"/>
    <n v="217"/>
    <n v="1683686.84"/>
    <n v="306"/>
    <n v="1364913.34"/>
    <n v="276"/>
    <n v="1979"/>
    <n v="21364"/>
    <x v="2"/>
    <n v="10"/>
    <x v="1"/>
    <n v="1481"/>
    <n v="5"/>
    <x v="2"/>
  </r>
  <r>
    <x v="57"/>
    <x v="0"/>
    <x v="1"/>
    <n v="7678"/>
    <n v="5013"/>
    <n v="323"/>
    <n v="100"/>
    <n v="649380.5"/>
    <n v="85"/>
    <n v="497043.5"/>
    <n v="68"/>
    <n v="2428"/>
    <n v="7895"/>
    <x v="2"/>
    <n v="10"/>
    <x v="1"/>
    <n v="1408"/>
    <n v="1"/>
    <x v="2"/>
  </r>
  <r>
    <x v="57"/>
    <x v="1"/>
    <x v="1"/>
    <n v="14359"/>
    <n v="7490"/>
    <n v="366"/>
    <n v="138"/>
    <n v="392421"/>
    <n v="53"/>
    <n v="255540"/>
    <n v="39"/>
    <n v="1442"/>
    <n v="12625"/>
    <x v="2"/>
    <n v="10"/>
    <x v="1"/>
    <n v="1408"/>
    <n v="1"/>
    <x v="2"/>
  </r>
  <r>
    <x v="58"/>
    <x v="0"/>
    <x v="1"/>
    <n v="10094"/>
    <n v="7363"/>
    <n v="335"/>
    <n v="118"/>
    <n v="375863"/>
    <n v="73"/>
    <n v="309936"/>
    <n v="59"/>
    <n v="2567"/>
    <n v="7818"/>
    <x v="2"/>
    <n v="10"/>
    <x v="1"/>
    <n v="1451"/>
    <n v="1"/>
    <x v="2"/>
  </r>
  <r>
    <x v="58"/>
    <x v="1"/>
    <x v="1"/>
    <n v="15736"/>
    <n v="8467"/>
    <n v="409"/>
    <n v="173"/>
    <n v="351563.5"/>
    <n v="55"/>
    <n v="193786.5"/>
    <n v="41"/>
    <n v="1682"/>
    <n v="13224"/>
    <x v="2"/>
    <n v="10"/>
    <x v="1"/>
    <n v="1451"/>
    <n v="1"/>
    <x v="2"/>
  </r>
  <r>
    <x v="59"/>
    <x v="0"/>
    <x v="1"/>
    <n v="7347"/>
    <n v="4945"/>
    <n v="336"/>
    <n v="114"/>
    <n v="460037.03"/>
    <n v="88"/>
    <n v="344578.53"/>
    <n v="69"/>
    <n v="2644"/>
    <n v="7489"/>
    <x v="2"/>
    <n v="10"/>
    <x v="1"/>
    <n v="1411"/>
    <n v="2"/>
    <x v="2"/>
  </r>
  <r>
    <x v="59"/>
    <x v="1"/>
    <x v="1"/>
    <n v="15092"/>
    <n v="7873"/>
    <n v="400"/>
    <n v="185"/>
    <n v="279607.43"/>
    <n v="50"/>
    <n v="188661.93"/>
    <n v="38"/>
    <n v="1655"/>
    <n v="13344"/>
    <x v="2"/>
    <n v="10"/>
    <x v="1"/>
    <n v="1411"/>
    <n v="2"/>
    <x v="2"/>
  </r>
  <r>
    <x v="60"/>
    <x v="0"/>
    <x v="1"/>
    <n v="17561"/>
    <n v="14305"/>
    <n v="360"/>
    <n v="126"/>
    <n v="316492.58"/>
    <n v="62"/>
    <n v="237449.08"/>
    <n v="43"/>
    <n v="2644"/>
    <n v="9040"/>
    <x v="2"/>
    <n v="10"/>
    <x v="1"/>
    <n v="1342"/>
    <n v="2"/>
    <x v="2"/>
  </r>
  <r>
    <x v="60"/>
    <x v="1"/>
    <x v="1"/>
    <n v="19930"/>
    <n v="12202"/>
    <n v="411"/>
    <n v="193"/>
    <n v="249911"/>
    <n v="38"/>
    <n v="91750.5"/>
    <n v="18"/>
    <n v="1807"/>
    <n v="16630"/>
    <x v="2"/>
    <n v="10"/>
    <x v="1"/>
    <n v="1342"/>
    <n v="2"/>
    <x v="2"/>
  </r>
  <r>
    <x v="61"/>
    <x v="0"/>
    <x v="1"/>
    <n v="9032"/>
    <n v="6087"/>
    <n v="330"/>
    <n v="123"/>
    <n v="326322"/>
    <n v="60"/>
    <n v="253793"/>
    <n v="50"/>
    <n v="2503"/>
    <n v="9145"/>
    <x v="2"/>
    <n v="10"/>
    <x v="1"/>
    <n v="1294"/>
    <n v="1"/>
    <x v="2"/>
  </r>
  <r>
    <x v="61"/>
    <x v="1"/>
    <x v="1"/>
    <n v="15797"/>
    <n v="8826"/>
    <n v="357"/>
    <n v="172"/>
    <n v="252562"/>
    <n v="38"/>
    <n v="119342"/>
    <n v="26"/>
    <n v="1562"/>
    <n v="14176"/>
    <x v="2"/>
    <n v="10"/>
    <x v="1"/>
    <n v="1294"/>
    <n v="1"/>
    <x v="2"/>
  </r>
  <r>
    <x v="62"/>
    <x v="0"/>
    <x v="1"/>
    <n v="17954"/>
    <n v="14365"/>
    <n v="363"/>
    <n v="111"/>
    <n v="319247.5"/>
    <n v="55"/>
    <n v="192883.5"/>
    <n v="37"/>
    <n v="2587"/>
    <n v="10389"/>
    <x v="2"/>
    <n v="10"/>
    <x v="1"/>
    <n v="1374"/>
    <n v="0"/>
    <x v="2"/>
  </r>
  <r>
    <x v="62"/>
    <x v="1"/>
    <x v="1"/>
    <n v="18403"/>
    <n v="10931"/>
    <n v="420"/>
    <n v="166"/>
    <n v="222960"/>
    <n v="43"/>
    <n v="113452.5"/>
    <n v="25"/>
    <n v="1750"/>
    <n v="15358"/>
    <x v="2"/>
    <n v="10"/>
    <x v="1"/>
    <n v="1374"/>
    <n v="0"/>
    <x v="2"/>
  </r>
  <r>
    <x v="63"/>
    <x v="0"/>
    <x v="1"/>
    <n v="13267"/>
    <n v="9396"/>
    <n v="677"/>
    <n v="125"/>
    <n v="1691386.42"/>
    <n v="356"/>
    <n v="1471755.59"/>
    <n v="329"/>
    <n v="3247"/>
    <n v="11480"/>
    <x v="2"/>
    <n v="10"/>
    <x v="1"/>
    <n v="1529"/>
    <n v="7"/>
    <x v="3"/>
  </r>
  <r>
    <x v="63"/>
    <x v="1"/>
    <x v="1"/>
    <n v="18811"/>
    <n v="11150"/>
    <n v="825"/>
    <n v="184"/>
    <n v="1169593"/>
    <n v="267"/>
    <n v="1001777.5"/>
    <n v="250"/>
    <n v="2070"/>
    <n v="15477"/>
    <x v="2"/>
    <n v="10"/>
    <x v="1"/>
    <n v="1529"/>
    <n v="7"/>
    <x v="3"/>
  </r>
  <r>
    <x v="29"/>
    <x v="0"/>
    <x v="1"/>
    <n v="13777"/>
    <n v="9631"/>
    <n v="526"/>
    <n v="150"/>
    <n v="903866.2"/>
    <n v="179"/>
    <n v="718683.2"/>
    <n v="154"/>
    <n v="2916"/>
    <n v="11339"/>
    <x v="2"/>
    <n v="11"/>
    <x v="1"/>
    <n v="1259"/>
    <n v="3"/>
    <x v="3"/>
  </r>
  <r>
    <x v="29"/>
    <x v="1"/>
    <x v="1"/>
    <n v="19622"/>
    <n v="11643"/>
    <n v="724"/>
    <n v="202"/>
    <n v="719815.24"/>
    <n v="153"/>
    <n v="601067.87"/>
    <n v="139"/>
    <n v="2220"/>
    <n v="16678"/>
    <x v="2"/>
    <n v="11"/>
    <x v="1"/>
    <n v="1259"/>
    <n v="3"/>
    <x v="3"/>
  </r>
  <r>
    <x v="64"/>
    <x v="0"/>
    <x v="1"/>
    <n v="15049"/>
    <n v="10336"/>
    <n v="504"/>
    <n v="143"/>
    <n v="859754.31"/>
    <n v="176"/>
    <n v="680902.31"/>
    <n v="156"/>
    <n v="2362"/>
    <n v="11214"/>
    <x v="2"/>
    <n v="11"/>
    <x v="1"/>
    <n v="801"/>
    <n v="4"/>
    <x v="3"/>
  </r>
  <r>
    <x v="64"/>
    <x v="1"/>
    <x v="1"/>
    <n v="19023"/>
    <n v="11215"/>
    <n v="566"/>
    <n v="202"/>
    <n v="527804.18999999994"/>
    <n v="118"/>
    <n v="436000.19"/>
    <n v="110"/>
    <n v="2772"/>
    <n v="16309"/>
    <x v="2"/>
    <n v="11"/>
    <x v="1"/>
    <n v="801"/>
    <n v="4"/>
    <x v="3"/>
  </r>
  <r>
    <x v="65"/>
    <x v="0"/>
    <x v="1"/>
    <n v="13892"/>
    <n v="9315"/>
    <n v="625"/>
    <n v="114"/>
    <n v="1305260.98"/>
    <n v="247"/>
    <n v="1041994.48"/>
    <n v="224"/>
    <n v="2480"/>
    <n v="10403"/>
    <x v="2"/>
    <n v="11"/>
    <x v="1"/>
    <n v="969"/>
    <n v="2"/>
    <x v="3"/>
  </r>
  <r>
    <x v="65"/>
    <x v="1"/>
    <x v="1"/>
    <n v="20489"/>
    <n v="11889"/>
    <n v="688"/>
    <n v="196"/>
    <n v="823786.29"/>
    <n v="162"/>
    <n v="630940.79"/>
    <n v="145"/>
    <n v="2702"/>
    <n v="17581"/>
    <x v="2"/>
    <n v="11"/>
    <x v="1"/>
    <n v="969"/>
    <n v="2"/>
    <x v="3"/>
  </r>
  <r>
    <x v="66"/>
    <x v="0"/>
    <x v="1"/>
    <n v="9386"/>
    <n v="5626"/>
    <n v="313"/>
    <n v="108"/>
    <n v="348547.5"/>
    <n v="69"/>
    <n v="218470"/>
    <n v="52"/>
    <n v="1858"/>
    <n v="9401"/>
    <x v="2"/>
    <n v="11"/>
    <x v="1"/>
    <n v="628"/>
    <n v="0"/>
    <x v="3"/>
  </r>
  <r>
    <x v="66"/>
    <x v="1"/>
    <x v="1"/>
    <n v="15120"/>
    <n v="8506"/>
    <n v="327"/>
    <n v="169"/>
    <n v="242101"/>
    <n v="45"/>
    <n v="102104"/>
    <n v="28"/>
    <n v="2349"/>
    <n v="13464"/>
    <x v="2"/>
    <n v="11"/>
    <x v="1"/>
    <n v="628"/>
    <n v="0"/>
    <x v="3"/>
  </r>
  <r>
    <x v="67"/>
    <x v="0"/>
    <x v="1"/>
    <n v="9371"/>
    <n v="6164"/>
    <n v="344"/>
    <n v="123"/>
    <n v="410886.5"/>
    <n v="74"/>
    <n v="279598"/>
    <n v="55"/>
    <n v="2491"/>
    <n v="9486"/>
    <x v="2"/>
    <n v="11"/>
    <x v="1"/>
    <n v="1214"/>
    <n v="0"/>
    <x v="3"/>
  </r>
  <r>
    <x v="67"/>
    <x v="1"/>
    <x v="1"/>
    <n v="14044"/>
    <n v="7640"/>
    <n v="316"/>
    <n v="156"/>
    <n v="219263"/>
    <n v="38"/>
    <n v="120709.5"/>
    <n v="25"/>
    <n v="1976"/>
    <n v="12060"/>
    <x v="2"/>
    <n v="11"/>
    <x v="1"/>
    <n v="1214"/>
    <n v="0"/>
    <x v="3"/>
  </r>
  <r>
    <x v="68"/>
    <x v="0"/>
    <x v="1"/>
    <n v="15482"/>
    <n v="11833"/>
    <n v="323"/>
    <n v="121"/>
    <n v="325392"/>
    <n v="63"/>
    <n v="218907"/>
    <n v="42"/>
    <n v="2353"/>
    <n v="9264"/>
    <x v="2"/>
    <n v="11"/>
    <x v="1"/>
    <n v="1202"/>
    <n v="2"/>
    <x v="3"/>
  </r>
  <r>
    <x v="68"/>
    <x v="1"/>
    <x v="1"/>
    <n v="15538"/>
    <n v="8675"/>
    <n v="299"/>
    <n v="141"/>
    <n v="182976.5"/>
    <n v="31"/>
    <n v="97861.5"/>
    <n v="24"/>
    <n v="2050"/>
    <n v="12205"/>
    <x v="2"/>
    <n v="11"/>
    <x v="1"/>
    <n v="1202"/>
    <n v="2"/>
    <x v="3"/>
  </r>
  <r>
    <x v="69"/>
    <x v="0"/>
    <x v="1"/>
    <n v="20109"/>
    <n v="16443"/>
    <n v="264"/>
    <n v="93"/>
    <n v="300232.5"/>
    <n v="60"/>
    <n v="214087.5"/>
    <n v="44"/>
    <n v="2261"/>
    <n v="8674"/>
    <x v="2"/>
    <n v="11"/>
    <x v="1"/>
    <n v="1142"/>
    <n v="1"/>
    <x v="3"/>
  </r>
  <r>
    <x v="69"/>
    <x v="1"/>
    <x v="1"/>
    <n v="14997"/>
    <n v="8250"/>
    <n v="293"/>
    <n v="144"/>
    <n v="200020"/>
    <n v="42"/>
    <n v="111877.5"/>
    <n v="31"/>
    <n v="2005"/>
    <n v="11851"/>
    <x v="2"/>
    <n v="11"/>
    <x v="1"/>
    <n v="1142"/>
    <n v="1"/>
    <x v="3"/>
  </r>
  <r>
    <x v="70"/>
    <x v="0"/>
    <x v="1"/>
    <n v="7345"/>
    <n v="4841"/>
    <n v="299"/>
    <n v="88"/>
    <n v="325388.51"/>
    <n v="56"/>
    <n v="226414.01"/>
    <n v="47"/>
    <n v="2376"/>
    <n v="7463"/>
    <x v="2"/>
    <n v="11"/>
    <x v="1"/>
    <n v="1278"/>
    <n v="0"/>
    <x v="3"/>
  </r>
  <r>
    <x v="70"/>
    <x v="1"/>
    <x v="1"/>
    <n v="14388"/>
    <n v="7760"/>
    <n v="389"/>
    <n v="179"/>
    <n v="338505.5"/>
    <n v="42"/>
    <n v="180441"/>
    <n v="31"/>
    <n v="2136"/>
    <n v="12304"/>
    <x v="2"/>
    <n v="11"/>
    <x v="1"/>
    <n v="1278"/>
    <n v="0"/>
    <x v="3"/>
  </r>
  <r>
    <x v="71"/>
    <x v="0"/>
    <x v="1"/>
    <n v="11897"/>
    <n v="8516"/>
    <n v="369"/>
    <n v="94"/>
    <n v="376289"/>
    <n v="68"/>
    <n v="212368"/>
    <n v="46"/>
    <n v="2684"/>
    <n v="9292"/>
    <x v="2"/>
    <n v="11"/>
    <x v="1"/>
    <n v="1318"/>
    <n v="5"/>
    <x v="3"/>
  </r>
  <r>
    <x v="71"/>
    <x v="1"/>
    <x v="1"/>
    <n v="18481"/>
    <n v="10879"/>
    <n v="431"/>
    <n v="219"/>
    <n v="204878"/>
    <n v="45"/>
    <n v="122636"/>
    <n v="37"/>
    <n v="2764"/>
    <n v="14941"/>
    <x v="2"/>
    <n v="11"/>
    <x v="1"/>
    <n v="1318"/>
    <n v="5"/>
    <x v="3"/>
  </r>
  <r>
    <x v="72"/>
    <x v="0"/>
    <x v="1"/>
    <n v="13497"/>
    <n v="9594"/>
    <n v="738"/>
    <n v="140"/>
    <n v="1552768.76"/>
    <n v="342"/>
    <n v="1315538.76"/>
    <n v="309"/>
    <n v="3465"/>
    <n v="12092"/>
    <x v="2"/>
    <n v="11"/>
    <x v="1"/>
    <n v="1571"/>
    <n v="2"/>
    <x v="3"/>
  </r>
  <r>
    <x v="72"/>
    <x v="1"/>
    <x v="1"/>
    <n v="21148"/>
    <n v="12720"/>
    <n v="839"/>
    <n v="224"/>
    <n v="832207"/>
    <n v="218"/>
    <n v="692964"/>
    <n v="198"/>
    <n v="3544"/>
    <n v="17362"/>
    <x v="2"/>
    <n v="11"/>
    <x v="1"/>
    <n v="1571"/>
    <n v="2"/>
    <x v="3"/>
  </r>
  <r>
    <x v="73"/>
    <x v="0"/>
    <x v="1"/>
    <n v="21549"/>
    <n v="16973"/>
    <n v="766"/>
    <n v="114"/>
    <n v="2220276.42"/>
    <n v="438"/>
    <n v="1664441.92"/>
    <n v="373"/>
    <n v="3179"/>
    <n v="13122"/>
    <x v="2"/>
    <n v="11"/>
    <x v="1"/>
    <n v="1385"/>
    <n v="7"/>
    <x v="3"/>
  </r>
  <r>
    <x v="73"/>
    <x v="1"/>
    <x v="1"/>
    <n v="19991"/>
    <n v="11794"/>
    <n v="755"/>
    <n v="170"/>
    <n v="934732.27"/>
    <n v="208"/>
    <n v="778858.27"/>
    <n v="195"/>
    <n v="3420"/>
    <n v="16413"/>
    <x v="2"/>
    <n v="11"/>
    <x v="1"/>
    <n v="1385"/>
    <n v="7"/>
    <x v="3"/>
  </r>
  <r>
    <x v="74"/>
    <x v="0"/>
    <x v="1"/>
    <n v="6787"/>
    <n v="3213"/>
    <n v="145"/>
    <n v="57"/>
    <n v="253744"/>
    <n v="34"/>
    <n v="168914"/>
    <n v="29"/>
    <n v="1000"/>
    <n v="6511"/>
    <x v="2"/>
    <n v="11"/>
    <x v="1"/>
    <n v="0"/>
    <m/>
    <x v="0"/>
  </r>
  <r>
    <x v="74"/>
    <x v="1"/>
    <x v="1"/>
    <n v="8207"/>
    <n v="4477"/>
    <n v="188"/>
    <n v="92"/>
    <n v="100569"/>
    <n v="20"/>
    <n v="54724"/>
    <n v="17"/>
    <n v="1181"/>
    <n v="7867"/>
    <x v="2"/>
    <n v="11"/>
    <x v="1"/>
    <n v="0"/>
    <m/>
    <x v="0"/>
  </r>
  <r>
    <x v="75"/>
    <x v="0"/>
    <x v="1"/>
    <n v="6357"/>
    <n v="2986"/>
    <n v="139"/>
    <n v="53"/>
    <n v="155555"/>
    <n v="30"/>
    <n v="139887"/>
    <n v="28"/>
    <n v="936"/>
    <n v="6144"/>
    <x v="2"/>
    <n v="11"/>
    <x v="1"/>
    <n v="0"/>
    <m/>
    <x v="0"/>
  </r>
  <r>
    <x v="75"/>
    <x v="1"/>
    <x v="1"/>
    <n v="8687"/>
    <n v="5212"/>
    <n v="203"/>
    <n v="96"/>
    <n v="185943"/>
    <n v="19"/>
    <n v="89770"/>
    <n v="13"/>
    <n v="1158"/>
    <n v="8393"/>
    <x v="2"/>
    <n v="11"/>
    <x v="1"/>
    <n v="0"/>
    <m/>
    <x v="0"/>
  </r>
  <r>
    <x v="76"/>
    <x v="0"/>
    <x v="1"/>
    <n v="6010"/>
    <n v="3036"/>
    <n v="134"/>
    <n v="62"/>
    <n v="91727"/>
    <n v="19"/>
    <n v="74112"/>
    <n v="15"/>
    <n v="885"/>
    <n v="5780"/>
    <x v="2"/>
    <n v="11"/>
    <x v="1"/>
    <n v="0"/>
    <m/>
    <x v="0"/>
  </r>
  <r>
    <x v="76"/>
    <x v="1"/>
    <x v="1"/>
    <n v="8749"/>
    <n v="5143"/>
    <n v="180"/>
    <n v="126"/>
    <n v="80302"/>
    <n v="16"/>
    <n v="31782"/>
    <n v="8"/>
    <n v="1150"/>
    <n v="8464"/>
    <x v="2"/>
    <n v="11"/>
    <x v="1"/>
    <n v="0"/>
    <m/>
    <x v="0"/>
  </r>
  <r>
    <x v="77"/>
    <x v="0"/>
    <x v="1"/>
    <n v="8819"/>
    <n v="6744"/>
    <n v="136"/>
    <n v="32"/>
    <n v="267261"/>
    <n v="47"/>
    <n v="189331"/>
    <n v="43"/>
    <n v="1006"/>
    <n v="3848"/>
    <x v="3"/>
    <n v="10"/>
    <x v="1"/>
    <m/>
    <m/>
    <x v="1"/>
  </r>
  <r>
    <x v="77"/>
    <x v="1"/>
    <x v="1"/>
    <n v="46077"/>
    <n v="31583"/>
    <n v="192"/>
    <n v="95"/>
    <n v="113254.39"/>
    <n v="23"/>
    <n v="83584.39"/>
    <n v="19"/>
    <n v="1652"/>
    <n v="44702"/>
    <x v="3"/>
    <n v="10"/>
    <x v="1"/>
    <m/>
    <m/>
    <x v="1"/>
  </r>
  <r>
    <x v="78"/>
    <x v="0"/>
    <x v="1"/>
    <n v="8894"/>
    <n v="6103"/>
    <n v="148"/>
    <n v="26"/>
    <n v="262820"/>
    <n v="40"/>
    <n v="204135"/>
    <n v="35"/>
    <n v="836"/>
    <n v="4831"/>
    <x v="3"/>
    <n v="10"/>
    <x v="1"/>
    <m/>
    <m/>
    <x v="1"/>
  </r>
  <r>
    <x v="78"/>
    <x v="1"/>
    <x v="1"/>
    <n v="46108"/>
    <n v="31856"/>
    <n v="133"/>
    <n v="88"/>
    <n v="170660"/>
    <n v="24"/>
    <n v="94105"/>
    <n v="17"/>
    <n v="1335"/>
    <n v="44664"/>
    <x v="3"/>
    <n v="10"/>
    <x v="1"/>
    <m/>
    <m/>
    <x v="1"/>
  </r>
  <r>
    <x v="79"/>
    <x v="0"/>
    <x v="1"/>
    <n v="6293"/>
    <n v="3914"/>
    <n v="192"/>
    <n v="52"/>
    <n v="199804"/>
    <n v="32"/>
    <n v="155719"/>
    <n v="26"/>
    <n v="932"/>
    <n v="6008"/>
    <x v="3"/>
    <n v="10"/>
    <x v="1"/>
    <m/>
    <m/>
    <x v="1"/>
  </r>
  <r>
    <x v="79"/>
    <x v="1"/>
    <x v="1"/>
    <n v="26815"/>
    <n v="15152"/>
    <n v="148"/>
    <n v="99"/>
    <n v="150575"/>
    <n v="23"/>
    <n v="95460"/>
    <n v="16"/>
    <n v="1305"/>
    <n v="26195"/>
    <x v="3"/>
    <n v="10"/>
    <x v="1"/>
    <m/>
    <m/>
    <x v="1"/>
  </r>
  <r>
    <x v="80"/>
    <x v="0"/>
    <x v="1"/>
    <n v="7242"/>
    <n v="4650"/>
    <n v="169"/>
    <n v="48"/>
    <n v="197167"/>
    <n v="38"/>
    <n v="153657"/>
    <n v="32"/>
    <n v="992"/>
    <n v="7029"/>
    <x v="3"/>
    <n v="10"/>
    <x v="1"/>
    <m/>
    <m/>
    <x v="1"/>
  </r>
  <r>
    <x v="80"/>
    <x v="1"/>
    <x v="1"/>
    <n v="27473"/>
    <n v="16334"/>
    <n v="154"/>
    <n v="88"/>
    <n v="130632"/>
    <n v="23"/>
    <n v="61122"/>
    <n v="15"/>
    <n v="1377"/>
    <n v="26867"/>
    <x v="3"/>
    <n v="10"/>
    <x v="1"/>
    <m/>
    <m/>
    <x v="1"/>
  </r>
  <r>
    <x v="81"/>
    <x v="0"/>
    <x v="1"/>
    <n v="11674"/>
    <n v="8266"/>
    <n v="180"/>
    <n v="53"/>
    <n v="295160"/>
    <n v="41"/>
    <n v="198120"/>
    <n v="34"/>
    <n v="1005"/>
    <n v="6206"/>
    <x v="3"/>
    <n v="10"/>
    <x v="1"/>
    <m/>
    <m/>
    <x v="1"/>
  </r>
  <r>
    <x v="81"/>
    <x v="1"/>
    <x v="1"/>
    <n v="26099"/>
    <n v="13916"/>
    <n v="173"/>
    <n v="106"/>
    <n v="145380"/>
    <n v="17"/>
    <n v="59380"/>
    <n v="11"/>
    <n v="1499"/>
    <n v="24621"/>
    <x v="3"/>
    <n v="10"/>
    <x v="1"/>
    <m/>
    <m/>
    <x v="1"/>
  </r>
  <r>
    <x v="82"/>
    <x v="0"/>
    <x v="1"/>
    <n v="8729"/>
    <n v="4883"/>
    <n v="205"/>
    <n v="57"/>
    <n v="141166"/>
    <n v="28"/>
    <n v="115696"/>
    <n v="25"/>
    <n v="1102"/>
    <n v="6109"/>
    <x v="3"/>
    <n v="10"/>
    <x v="1"/>
    <m/>
    <m/>
    <x v="1"/>
  </r>
  <r>
    <x v="82"/>
    <x v="1"/>
    <x v="1"/>
    <n v="32262"/>
    <n v="20820"/>
    <n v="185"/>
    <n v="145"/>
    <n v="133239"/>
    <n v="14"/>
    <n v="29304"/>
    <n v="7"/>
    <n v="1514"/>
    <n v="30818"/>
    <x v="3"/>
    <n v="10"/>
    <x v="1"/>
    <m/>
    <m/>
    <x v="1"/>
  </r>
  <r>
    <x v="83"/>
    <x v="0"/>
    <x v="1"/>
    <n v="10052"/>
    <n v="6164"/>
    <n v="216"/>
    <n v="57"/>
    <n v="109075"/>
    <n v="24"/>
    <n v="87805"/>
    <n v="20"/>
    <n v="1022"/>
    <n v="6148"/>
    <x v="3"/>
    <n v="10"/>
    <x v="1"/>
    <m/>
    <m/>
    <x v="1"/>
  </r>
  <r>
    <x v="83"/>
    <x v="1"/>
    <x v="1"/>
    <n v="27830"/>
    <n v="15308"/>
    <n v="199"/>
    <n v="159"/>
    <n v="108185"/>
    <n v="16"/>
    <n v="38410"/>
    <n v="9"/>
    <n v="1583"/>
    <n v="26027"/>
    <x v="3"/>
    <n v="10"/>
    <x v="1"/>
    <m/>
    <m/>
    <x v="1"/>
  </r>
  <r>
    <x v="84"/>
    <x v="0"/>
    <x v="1"/>
    <n v="12807"/>
    <n v="8549"/>
    <n v="247"/>
    <n v="59"/>
    <n v="136285"/>
    <n v="17"/>
    <n v="84120"/>
    <n v="11"/>
    <n v="1105"/>
    <n v="7494"/>
    <x v="3"/>
    <n v="10"/>
    <x v="1"/>
    <m/>
    <m/>
    <x v="1"/>
  </r>
  <r>
    <x v="84"/>
    <x v="1"/>
    <x v="1"/>
    <n v="38423"/>
    <n v="26315"/>
    <n v="195"/>
    <n v="158"/>
    <n v="54745"/>
    <n v="7"/>
    <n v="25175"/>
    <n v="4"/>
    <n v="1629"/>
    <n v="36517"/>
    <x v="3"/>
    <n v="10"/>
    <x v="1"/>
    <m/>
    <m/>
    <x v="1"/>
  </r>
  <r>
    <x v="85"/>
    <x v="0"/>
    <x v="1"/>
    <n v="14134"/>
    <n v="9583"/>
    <n v="281"/>
    <n v="79"/>
    <n v="172620"/>
    <n v="22"/>
    <n v="80110"/>
    <n v="15"/>
    <n v="1278"/>
    <n v="8608"/>
    <x v="3"/>
    <n v="10"/>
    <x v="1"/>
    <m/>
    <m/>
    <x v="1"/>
  </r>
  <r>
    <x v="85"/>
    <x v="1"/>
    <x v="1"/>
    <n v="46650"/>
    <n v="30826"/>
    <n v="306"/>
    <n v="252"/>
    <n v="133130"/>
    <n v="13"/>
    <n v="33095"/>
    <n v="5"/>
    <n v="2077"/>
    <n v="45259"/>
    <x v="3"/>
    <n v="10"/>
    <x v="1"/>
    <m/>
    <m/>
    <x v="1"/>
  </r>
  <r>
    <x v="86"/>
    <x v="0"/>
    <x v="1"/>
    <n v="8692"/>
    <n v="4510"/>
    <n v="299"/>
    <n v="100"/>
    <n v="118920"/>
    <n v="18"/>
    <n v="70715"/>
    <n v="12"/>
    <n v="1466"/>
    <n v="8437"/>
    <x v="3"/>
    <n v="10"/>
    <x v="1"/>
    <m/>
    <m/>
    <x v="1"/>
  </r>
  <r>
    <x v="86"/>
    <x v="1"/>
    <x v="1"/>
    <n v="54670"/>
    <n v="34303"/>
    <n v="387"/>
    <n v="422"/>
    <n v="120615"/>
    <n v="13"/>
    <n v="71860"/>
    <n v="7"/>
    <n v="2474"/>
    <n v="53985"/>
    <x v="3"/>
    <n v="10"/>
    <x v="1"/>
    <m/>
    <m/>
    <x v="1"/>
  </r>
  <r>
    <x v="87"/>
    <x v="0"/>
    <x v="1"/>
    <n v="14271"/>
    <n v="8446"/>
    <n v="452"/>
    <n v="95"/>
    <n v="1492842.72"/>
    <n v="265"/>
    <n v="1280877.72"/>
    <n v="241"/>
    <n v="1979"/>
    <n v="11283"/>
    <x v="3"/>
    <n v="10"/>
    <x v="1"/>
    <m/>
    <m/>
    <x v="2"/>
  </r>
  <r>
    <x v="87"/>
    <x v="1"/>
    <x v="1"/>
    <n v="43994"/>
    <n v="26165"/>
    <n v="352"/>
    <n v="284"/>
    <n v="655209.21"/>
    <n v="92"/>
    <n v="494846.34"/>
    <n v="82"/>
    <n v="2159"/>
    <n v="42379"/>
    <x v="3"/>
    <n v="10"/>
    <x v="1"/>
    <m/>
    <m/>
    <x v="2"/>
  </r>
  <r>
    <x v="88"/>
    <x v="0"/>
    <x v="1"/>
    <n v="17504"/>
    <n v="11116"/>
    <n v="374"/>
    <n v="90"/>
    <n v="663131.18000000005"/>
    <n v="116"/>
    <n v="550161.18000000005"/>
    <n v="110"/>
    <n v="1595"/>
    <n v="10931"/>
    <x v="3"/>
    <n v="10"/>
    <x v="1"/>
    <m/>
    <m/>
    <x v="2"/>
  </r>
  <r>
    <x v="88"/>
    <x v="1"/>
    <x v="1"/>
    <n v="45054"/>
    <n v="26141"/>
    <n v="317"/>
    <n v="322"/>
    <n v="315616.26"/>
    <n v="50"/>
    <n v="202366.26"/>
    <n v="42"/>
    <n v="2027"/>
    <n v="42857"/>
    <x v="3"/>
    <n v="10"/>
    <x v="1"/>
    <m/>
    <m/>
    <x v="2"/>
  </r>
  <r>
    <x v="89"/>
    <x v="0"/>
    <x v="1"/>
    <n v="13830"/>
    <n v="7879"/>
    <n v="311"/>
    <n v="102"/>
    <n v="598285.43999999994"/>
    <n v="99"/>
    <n v="504475.44"/>
    <n v="86"/>
    <n v="1616"/>
    <n v="10785"/>
    <x v="3"/>
    <n v="10"/>
    <x v="1"/>
    <m/>
    <m/>
    <x v="2"/>
  </r>
  <r>
    <x v="89"/>
    <x v="1"/>
    <x v="1"/>
    <n v="53820"/>
    <n v="32027"/>
    <n v="313"/>
    <n v="349"/>
    <n v="267850"/>
    <n v="44"/>
    <n v="166380"/>
    <n v="32"/>
    <n v="2073"/>
    <n v="52547"/>
    <x v="3"/>
    <n v="10"/>
    <x v="1"/>
    <m/>
    <m/>
    <x v="2"/>
  </r>
  <r>
    <x v="90"/>
    <x v="0"/>
    <x v="1"/>
    <n v="11681"/>
    <n v="6040"/>
    <n v="322"/>
    <n v="98"/>
    <n v="458115"/>
    <n v="89"/>
    <n v="385365"/>
    <n v="79"/>
    <n v="1445"/>
    <n v="9568"/>
    <x v="3"/>
    <n v="10"/>
    <x v="1"/>
    <m/>
    <m/>
    <x v="2"/>
  </r>
  <r>
    <x v="90"/>
    <x v="1"/>
    <x v="1"/>
    <n v="50348"/>
    <n v="28467"/>
    <n v="269"/>
    <n v="320"/>
    <n v="257575"/>
    <n v="41"/>
    <n v="204395"/>
    <n v="37"/>
    <n v="1857"/>
    <n v="49300"/>
    <x v="3"/>
    <n v="10"/>
    <x v="1"/>
    <m/>
    <m/>
    <x v="2"/>
  </r>
  <r>
    <x v="91"/>
    <x v="0"/>
    <x v="1"/>
    <n v="8728"/>
    <n v="3834"/>
    <n v="250"/>
    <n v="81"/>
    <n v="320545.33"/>
    <n v="58"/>
    <n v="251695.33"/>
    <n v="49"/>
    <n v="1176"/>
    <n v="8547"/>
    <x v="3"/>
    <n v="10"/>
    <x v="1"/>
    <m/>
    <m/>
    <x v="2"/>
  </r>
  <r>
    <x v="91"/>
    <x v="1"/>
    <x v="1"/>
    <n v="29499"/>
    <n v="16317"/>
    <n v="141"/>
    <n v="122"/>
    <n v="145070"/>
    <n v="24"/>
    <n v="97190"/>
    <n v="19"/>
    <n v="1611"/>
    <n v="29020"/>
    <x v="3"/>
    <n v="10"/>
    <x v="1"/>
    <m/>
    <m/>
    <x v="2"/>
  </r>
  <r>
    <x v="92"/>
    <x v="0"/>
    <x v="1"/>
    <n v="12376"/>
    <n v="7264"/>
    <n v="281"/>
    <n v="70"/>
    <n v="244399.83"/>
    <n v="56"/>
    <n v="205534.83"/>
    <n v="48"/>
    <n v="1148"/>
    <n v="10216"/>
    <x v="3"/>
    <n v="10"/>
    <x v="1"/>
    <m/>
    <m/>
    <x v="2"/>
  </r>
  <r>
    <x v="92"/>
    <x v="1"/>
    <x v="1"/>
    <n v="25691"/>
    <n v="13870"/>
    <n v="205"/>
    <n v="150"/>
    <n v="86360"/>
    <n v="17"/>
    <n v="47400"/>
    <n v="12"/>
    <n v="1627"/>
    <n v="24659"/>
    <x v="3"/>
    <n v="10"/>
    <x v="1"/>
    <m/>
    <m/>
    <x v="2"/>
  </r>
  <r>
    <x v="93"/>
    <x v="0"/>
    <x v="1"/>
    <n v="10016"/>
    <n v="4560"/>
    <n v="326"/>
    <n v="93"/>
    <n v="365000"/>
    <n v="70"/>
    <n v="317840"/>
    <n v="63"/>
    <n v="1365"/>
    <n v="9752"/>
    <x v="3"/>
    <n v="10"/>
    <x v="1"/>
    <m/>
    <m/>
    <x v="2"/>
  </r>
  <r>
    <x v="93"/>
    <x v="1"/>
    <x v="1"/>
    <n v="29898"/>
    <n v="17169"/>
    <n v="195"/>
    <n v="163"/>
    <n v="102930"/>
    <n v="21"/>
    <n v="70590"/>
    <n v="17"/>
    <n v="1787"/>
    <n v="29387"/>
    <x v="3"/>
    <n v="10"/>
    <x v="1"/>
    <m/>
    <m/>
    <x v="2"/>
  </r>
  <r>
    <x v="94"/>
    <x v="0"/>
    <x v="1"/>
    <n v="15126"/>
    <n v="30995"/>
    <n v="279"/>
    <n v="87"/>
    <n v="434434.46"/>
    <n v="64"/>
    <n v="306764.46000000002"/>
    <n v="54"/>
    <n v="1227"/>
    <n v="11114"/>
    <x v="3"/>
    <n v="10"/>
    <x v="1"/>
    <m/>
    <m/>
    <x v="2"/>
  </r>
  <r>
    <x v="94"/>
    <x v="1"/>
    <x v="1"/>
    <n v="29909"/>
    <n v="16680"/>
    <n v="200"/>
    <n v="140"/>
    <n v="171754.46"/>
    <n v="17"/>
    <n v="59024.46"/>
    <n v="12"/>
    <n v="1745"/>
    <n v="28495"/>
    <x v="3"/>
    <n v="10"/>
    <x v="1"/>
    <m/>
    <m/>
    <x v="2"/>
  </r>
  <r>
    <x v="95"/>
    <x v="0"/>
    <x v="1"/>
    <n v="11893"/>
    <n v="6607"/>
    <n v="323"/>
    <n v="71"/>
    <n v="481844"/>
    <n v="76"/>
    <n v="427574"/>
    <n v="68"/>
    <n v="1317"/>
    <n v="11610"/>
    <x v="3"/>
    <n v="10"/>
    <x v="1"/>
    <m/>
    <m/>
    <x v="2"/>
  </r>
  <r>
    <x v="95"/>
    <x v="1"/>
    <x v="1"/>
    <n v="31085"/>
    <n v="18213"/>
    <n v="177"/>
    <n v="139"/>
    <n v="256837"/>
    <n v="32"/>
    <n v="158892"/>
    <n v="25"/>
    <n v="1502"/>
    <n v="30669"/>
    <x v="3"/>
    <n v="10"/>
    <x v="1"/>
    <m/>
    <m/>
    <x v="2"/>
  </r>
  <r>
    <x v="96"/>
    <x v="0"/>
    <x v="1"/>
    <n v="20485"/>
    <n v="13473"/>
    <n v="304"/>
    <n v="95"/>
    <n v="348496.09"/>
    <n v="67"/>
    <n v="311077.09000000003"/>
    <n v="58"/>
    <n v="1282"/>
    <n v="17478"/>
    <x v="3"/>
    <n v="10"/>
    <x v="1"/>
    <m/>
    <m/>
    <x v="2"/>
  </r>
  <r>
    <x v="96"/>
    <x v="1"/>
    <x v="1"/>
    <n v="33081"/>
    <n v="18605"/>
    <n v="192"/>
    <n v="148"/>
    <n v="186330"/>
    <n v="27"/>
    <n v="154050"/>
    <n v="24"/>
    <n v="1459"/>
    <n v="32092"/>
    <x v="3"/>
    <n v="10"/>
    <x v="1"/>
    <m/>
    <m/>
    <x v="2"/>
  </r>
  <r>
    <x v="97"/>
    <x v="0"/>
    <x v="1"/>
    <n v="19881"/>
    <n v="12954"/>
    <n v="297"/>
    <n v="70"/>
    <n v="419462"/>
    <n v="75"/>
    <n v="363782"/>
    <n v="69"/>
    <n v="1194"/>
    <n v="14527"/>
    <x v="3"/>
    <n v="10"/>
    <x v="1"/>
    <m/>
    <m/>
    <x v="2"/>
  </r>
  <r>
    <x v="97"/>
    <x v="1"/>
    <x v="1"/>
    <n v="49392"/>
    <n v="31416"/>
    <n v="207"/>
    <n v="193"/>
    <n v="178820"/>
    <n v="34"/>
    <n v="114565"/>
    <n v="28"/>
    <n v="1577"/>
    <n v="48453"/>
    <x v="3"/>
    <n v="10"/>
    <x v="1"/>
    <m/>
    <m/>
    <x v="2"/>
  </r>
  <r>
    <x v="98"/>
    <x v="0"/>
    <x v="1"/>
    <n v="18833"/>
    <n v="11665"/>
    <n v="314"/>
    <n v="93"/>
    <n v="593460.47999999998"/>
    <n v="94"/>
    <n v="374150.48"/>
    <n v="78"/>
    <n v="1257"/>
    <n v="15423"/>
    <x v="3"/>
    <n v="10"/>
    <x v="1"/>
    <m/>
    <m/>
    <x v="2"/>
  </r>
  <r>
    <x v="98"/>
    <x v="1"/>
    <x v="1"/>
    <n v="26638"/>
    <n v="14169"/>
    <n v="151"/>
    <n v="136"/>
    <n v="207145"/>
    <n v="33"/>
    <n v="129405"/>
    <n v="27"/>
    <n v="1299"/>
    <n v="25559"/>
    <x v="3"/>
    <n v="10"/>
    <x v="1"/>
    <m/>
    <m/>
    <x v="2"/>
  </r>
  <r>
    <x v="99"/>
    <x v="0"/>
    <x v="1"/>
    <n v="22005"/>
    <n v="13927"/>
    <n v="355"/>
    <n v="87"/>
    <n v="522763.52000000002"/>
    <n v="93"/>
    <n v="380158.52"/>
    <n v="75"/>
    <n v="1326"/>
    <n v="18535"/>
    <x v="3"/>
    <n v="11"/>
    <x v="1"/>
    <m/>
    <m/>
    <x v="3"/>
  </r>
  <r>
    <x v="99"/>
    <x v="1"/>
    <x v="1"/>
    <n v="31137"/>
    <n v="18628"/>
    <n v="132"/>
    <n v="151"/>
    <n v="148480"/>
    <n v="21"/>
    <n v="82560"/>
    <n v="15"/>
    <n v="1406"/>
    <n v="29848"/>
    <x v="3"/>
    <n v="11"/>
    <x v="1"/>
    <m/>
    <m/>
    <x v="3"/>
  </r>
  <r>
    <x v="100"/>
    <x v="0"/>
    <x v="1"/>
    <n v="23723"/>
    <n v="15551"/>
    <n v="323"/>
    <n v="88"/>
    <n v="525391.91"/>
    <n v="80"/>
    <n v="420531.91"/>
    <n v="67"/>
    <n v="1355"/>
    <n v="17907"/>
    <x v="3"/>
    <n v="11"/>
    <x v="1"/>
    <m/>
    <m/>
    <x v="3"/>
  </r>
  <r>
    <x v="100"/>
    <x v="1"/>
    <x v="1"/>
    <n v="35079"/>
    <n v="21273"/>
    <n v="184"/>
    <n v="168"/>
    <n v="215540"/>
    <n v="28"/>
    <n v="122680"/>
    <n v="22"/>
    <n v="1653"/>
    <n v="34024"/>
    <x v="3"/>
    <n v="11"/>
    <x v="1"/>
    <m/>
    <m/>
    <x v="3"/>
  </r>
  <r>
    <x v="101"/>
    <x v="0"/>
    <x v="1"/>
    <n v="25175"/>
    <n v="16421"/>
    <n v="322"/>
    <n v="91"/>
    <n v="404330"/>
    <n v="58"/>
    <n v="200435"/>
    <n v="44"/>
    <n v="1401"/>
    <n v="16683"/>
    <x v="3"/>
    <n v="11"/>
    <x v="1"/>
    <m/>
    <m/>
    <x v="3"/>
  </r>
  <r>
    <x v="101"/>
    <x v="1"/>
    <x v="1"/>
    <n v="32913"/>
    <n v="18068"/>
    <n v="194"/>
    <n v="156"/>
    <n v="113600"/>
    <n v="18"/>
    <n v="72920"/>
    <n v="15"/>
    <n v="1624"/>
    <n v="31497"/>
    <x v="3"/>
    <n v="11"/>
    <x v="1"/>
    <m/>
    <m/>
    <x v="3"/>
  </r>
  <r>
    <x v="102"/>
    <x v="0"/>
    <x v="1"/>
    <n v="28316"/>
    <n v="17463"/>
    <n v="287"/>
    <n v="90"/>
    <n v="288469"/>
    <n v="57"/>
    <n v="206079"/>
    <n v="49"/>
    <n v="1375"/>
    <n v="28079"/>
    <x v="3"/>
    <n v="11"/>
    <x v="1"/>
    <m/>
    <m/>
    <x v="3"/>
  </r>
  <r>
    <x v="102"/>
    <x v="1"/>
    <x v="1"/>
    <n v="33919"/>
    <n v="18516"/>
    <n v="166"/>
    <n v="170"/>
    <n v="116980"/>
    <n v="23"/>
    <n v="66630"/>
    <n v="15"/>
    <n v="1539"/>
    <n v="33522"/>
    <x v="3"/>
    <n v="11"/>
    <x v="1"/>
    <m/>
    <m/>
    <x v="3"/>
  </r>
  <r>
    <x v="103"/>
    <x v="0"/>
    <x v="1"/>
    <n v="21810"/>
    <n v="14117"/>
    <n v="328"/>
    <n v="92"/>
    <n v="615534.99"/>
    <n v="94"/>
    <n v="416174.99"/>
    <n v="76"/>
    <n v="1277"/>
    <n v="14871"/>
    <x v="3"/>
    <n v="11"/>
    <x v="1"/>
    <m/>
    <m/>
    <x v="3"/>
  </r>
  <r>
    <x v="103"/>
    <x v="1"/>
    <x v="1"/>
    <n v="37737"/>
    <n v="20838"/>
    <n v="196"/>
    <n v="182"/>
    <n v="156885"/>
    <n v="31"/>
    <n v="74015"/>
    <n v="20"/>
    <n v="1650"/>
    <n v="36313"/>
    <x v="3"/>
    <n v="11"/>
    <x v="1"/>
    <m/>
    <m/>
    <x v="3"/>
  </r>
  <r>
    <x v="104"/>
    <x v="0"/>
    <x v="1"/>
    <n v="15198"/>
    <n v="8218"/>
    <n v="322"/>
    <n v="102"/>
    <n v="328004.06"/>
    <n v="61"/>
    <n v="233664.06"/>
    <n v="53"/>
    <n v="1412"/>
    <n v="13624"/>
    <x v="3"/>
    <n v="11"/>
    <x v="1"/>
    <m/>
    <m/>
    <x v="3"/>
  </r>
  <r>
    <x v="104"/>
    <x v="1"/>
    <x v="1"/>
    <n v="33228"/>
    <n v="18245"/>
    <n v="143"/>
    <n v="137"/>
    <n v="89835.44"/>
    <n v="17"/>
    <n v="54525.440000000002"/>
    <n v="13"/>
    <n v="1435"/>
    <n v="32478"/>
    <x v="3"/>
    <n v="11"/>
    <x v="1"/>
    <m/>
    <m/>
    <x v="3"/>
  </r>
  <r>
    <x v="105"/>
    <x v="0"/>
    <x v="1"/>
    <n v="17552"/>
    <n v="11302"/>
    <n v="306"/>
    <n v="88"/>
    <n v="403171.42"/>
    <n v="65"/>
    <n v="329111.42"/>
    <n v="60"/>
    <n v="1382"/>
    <n v="16317"/>
    <x v="3"/>
    <n v="11"/>
    <x v="1"/>
    <m/>
    <m/>
    <x v="3"/>
  </r>
  <r>
    <x v="105"/>
    <x v="1"/>
    <x v="1"/>
    <n v="33562"/>
    <n v="18995"/>
    <n v="166"/>
    <n v="170"/>
    <n v="78874"/>
    <n v="19"/>
    <n v="40244"/>
    <n v="13"/>
    <n v="1494"/>
    <n v="32690"/>
    <x v="3"/>
    <n v="11"/>
    <x v="1"/>
    <m/>
    <m/>
    <x v="3"/>
  </r>
  <r>
    <x v="106"/>
    <x v="0"/>
    <x v="1"/>
    <n v="15412"/>
    <n v="8661"/>
    <n v="347"/>
    <n v="104"/>
    <n v="535483.84"/>
    <n v="91"/>
    <n v="326820.42"/>
    <n v="73"/>
    <n v="1607"/>
    <n v="14975"/>
    <x v="3"/>
    <n v="11"/>
    <x v="1"/>
    <m/>
    <m/>
    <x v="3"/>
  </r>
  <r>
    <x v="106"/>
    <x v="1"/>
    <x v="1"/>
    <n v="31293"/>
    <n v="16774"/>
    <n v="200"/>
    <n v="157"/>
    <n v="184175"/>
    <n v="32"/>
    <n v="117950"/>
    <n v="26"/>
    <n v="1700"/>
    <n v="30775"/>
    <x v="3"/>
    <n v="11"/>
    <x v="1"/>
    <m/>
    <m/>
    <x v="3"/>
  </r>
  <r>
    <x v="107"/>
    <x v="0"/>
    <x v="1"/>
    <n v="20149"/>
    <n v="13171"/>
    <n v="316"/>
    <n v="103"/>
    <n v="441603.96"/>
    <n v="76"/>
    <n v="298198.46000000002"/>
    <n v="61"/>
    <n v="1703"/>
    <n v="17756"/>
    <x v="3"/>
    <n v="11"/>
    <x v="1"/>
    <m/>
    <m/>
    <x v="3"/>
  </r>
  <r>
    <x v="107"/>
    <x v="1"/>
    <x v="1"/>
    <n v="32207"/>
    <n v="17449"/>
    <n v="207"/>
    <n v="156"/>
    <n v="126458"/>
    <n v="25"/>
    <n v="79188"/>
    <n v="22"/>
    <n v="2028"/>
    <n v="30830"/>
    <x v="3"/>
    <n v="11"/>
    <x v="1"/>
    <m/>
    <m/>
    <x v="3"/>
  </r>
  <r>
    <x v="108"/>
    <x v="0"/>
    <x v="1"/>
    <n v="18451"/>
    <n v="11731"/>
    <n v="320"/>
    <n v="161"/>
    <n v="474418.76"/>
    <n v="86"/>
    <n v="327918.51"/>
    <n v="66"/>
    <n v="1730"/>
    <n v="17476"/>
    <x v="3"/>
    <n v="11"/>
    <x v="1"/>
    <m/>
    <m/>
    <x v="3"/>
  </r>
  <r>
    <x v="108"/>
    <x v="1"/>
    <x v="1"/>
    <n v="32906"/>
    <n v="17451"/>
    <n v="186"/>
    <n v="170"/>
    <n v="135362"/>
    <n v="26"/>
    <n v="71512"/>
    <n v="20"/>
    <n v="1781"/>
    <n v="32045"/>
    <x v="3"/>
    <n v="11"/>
    <x v="1"/>
    <m/>
    <m/>
    <x v="3"/>
  </r>
  <r>
    <x v="109"/>
    <x v="0"/>
    <x v="1"/>
    <n v="20589"/>
    <n v="12544"/>
    <n v="349"/>
    <n v="124"/>
    <n v="693089.17"/>
    <n v="137"/>
    <n v="481866.77"/>
    <n v="114"/>
    <n v="1856"/>
    <n v="19361"/>
    <x v="3"/>
    <n v="11"/>
    <x v="1"/>
    <m/>
    <m/>
    <x v="3"/>
  </r>
  <r>
    <x v="109"/>
    <x v="1"/>
    <x v="1"/>
    <n v="28909"/>
    <n v="15178"/>
    <n v="184"/>
    <n v="152"/>
    <n v="238356.18"/>
    <n v="42"/>
    <n v="156926.18"/>
    <n v="36"/>
    <n v="1634"/>
    <n v="27869"/>
    <x v="3"/>
    <n v="11"/>
    <x v="1"/>
    <m/>
    <m/>
    <x v="3"/>
  </r>
  <r>
    <x v="110"/>
    <x v="0"/>
    <x v="1"/>
    <n v="17503"/>
    <n v="10178"/>
    <n v="309"/>
    <n v="103"/>
    <n v="394196"/>
    <n v="75"/>
    <n v="315211.40999999997"/>
    <n v="69"/>
    <n v="1542"/>
    <n v="17200"/>
    <x v="3"/>
    <n v="11"/>
    <x v="1"/>
    <m/>
    <m/>
    <x v="3"/>
  </r>
  <r>
    <x v="110"/>
    <x v="1"/>
    <x v="1"/>
    <n v="36529"/>
    <n v="21181"/>
    <n v="159"/>
    <n v="186"/>
    <n v="142589"/>
    <n v="24"/>
    <n v="87674"/>
    <n v="18"/>
    <n v="1547"/>
    <n v="36139"/>
    <x v="3"/>
    <n v="11"/>
    <x v="1"/>
    <m/>
    <m/>
    <x v="3"/>
  </r>
  <r>
    <x v="111"/>
    <x v="0"/>
    <x v="1"/>
    <n v="13981"/>
    <n v="7545"/>
    <n v="274"/>
    <n v="82"/>
    <n v="525219.83999999997"/>
    <n v="76"/>
    <n v="317904.84000000003"/>
    <n v="64"/>
    <n v="1525"/>
    <n v="13695"/>
    <x v="3"/>
    <n v="11"/>
    <x v="1"/>
    <m/>
    <m/>
    <x v="3"/>
  </r>
  <r>
    <x v="111"/>
    <x v="1"/>
    <x v="1"/>
    <n v="35426"/>
    <n v="19026"/>
    <n v="179"/>
    <n v="232"/>
    <n v="217852"/>
    <n v="29"/>
    <n v="162920"/>
    <n v="23"/>
    <n v="1640"/>
    <n v="35016"/>
    <x v="3"/>
    <n v="11"/>
    <x v="1"/>
    <m/>
    <m/>
    <x v="3"/>
  </r>
  <r>
    <x v="112"/>
    <x v="0"/>
    <x v="1"/>
    <n v="11812"/>
    <n v="5967"/>
    <n v="260"/>
    <n v="64"/>
    <n v="497530.24"/>
    <n v="92"/>
    <n v="383630.24"/>
    <n v="77"/>
    <n v="1361"/>
    <n v="11559"/>
    <x v="3"/>
    <n v="11"/>
    <x v="1"/>
    <m/>
    <m/>
    <x v="3"/>
  </r>
  <r>
    <x v="112"/>
    <x v="1"/>
    <x v="1"/>
    <n v="19320"/>
    <n v="9270"/>
    <n v="92"/>
    <n v="94"/>
    <n v="210660.48000000001"/>
    <n v="26"/>
    <n v="100470.48"/>
    <n v="22"/>
    <n v="1197"/>
    <n v="18956"/>
    <x v="3"/>
    <n v="11"/>
    <x v="1"/>
    <m/>
    <m/>
    <x v="3"/>
  </r>
  <r>
    <x v="99"/>
    <x v="0"/>
    <x v="0"/>
    <n v="279314"/>
    <n v="251321"/>
    <n v="4588"/>
    <n v="1989"/>
    <n v="8602154.7100000009"/>
    <n v="1147"/>
    <n v="5575508.5499999998"/>
    <n v="945"/>
    <n v="25868"/>
    <n v="241948"/>
    <x v="3"/>
    <n v="11"/>
    <x v="0"/>
    <m/>
    <m/>
    <x v="0"/>
  </r>
  <r>
    <x v="99"/>
    <x v="1"/>
    <x v="0"/>
    <n v="368855"/>
    <n v="328801"/>
    <n v="2672"/>
    <n v="2213"/>
    <n v="2763461.1"/>
    <n v="408"/>
    <n v="1552499.1"/>
    <n v="313"/>
    <n v="34263"/>
    <n v="351886"/>
    <x v="3"/>
    <n v="11"/>
    <x v="0"/>
    <m/>
    <m/>
    <x v="0"/>
  </r>
  <r>
    <x v="113"/>
    <x v="0"/>
    <x v="0"/>
    <n v="217370"/>
    <n v="197580"/>
    <n v="3942"/>
    <n v="2292"/>
    <n v="6943288.0499999998"/>
    <n v="881"/>
    <n v="4749986.17"/>
    <n v="789"/>
    <n v="21570"/>
    <n v="195347"/>
    <x v="3"/>
    <n v="12"/>
    <x v="0"/>
    <m/>
    <m/>
    <x v="0"/>
  </r>
  <r>
    <x v="113"/>
    <x v="1"/>
    <x v="0"/>
    <n v="378635"/>
    <n v="356040"/>
    <n v="2435"/>
    <n v="1149"/>
    <n v="2906866.12"/>
    <n v="355"/>
    <n v="1567903"/>
    <n v="280"/>
    <n v="34248"/>
    <n v="362420"/>
    <x v="3"/>
    <n v="12"/>
    <x v="0"/>
    <m/>
    <m/>
    <x v="0"/>
  </r>
  <r>
    <x v="114"/>
    <x v="2"/>
    <x v="2"/>
    <m/>
    <m/>
    <m/>
    <m/>
    <m/>
    <m/>
    <m/>
    <m/>
    <m/>
    <m/>
    <x v="4"/>
    <m/>
    <x v="0"/>
    <m/>
    <m/>
    <x v="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s v="Official_Account"/>
    <x v="0"/>
    <n v="274"/>
    <n v="0.45214521452145212"/>
    <n v="18"/>
    <n v="6.569343065693431E-2"/>
    <n v="0"/>
    <n v="0"/>
    <n v="0"/>
    <x v="0"/>
  </r>
  <r>
    <x v="0"/>
    <s v="Official_Account"/>
    <x v="1"/>
    <n v="203"/>
    <n v="0.33498349834983498"/>
    <n v="4"/>
    <n v="1.9704433497536946E-2"/>
    <n v="0"/>
    <n v="0"/>
    <n v="0"/>
    <x v="0"/>
  </r>
  <r>
    <x v="0"/>
    <s v="Official_Account"/>
    <x v="2"/>
    <n v="47"/>
    <n v="7.7557755775577553E-2"/>
    <n v="0"/>
    <n v="0"/>
    <n v="0"/>
    <n v="0"/>
    <n v="0"/>
    <x v="0"/>
  </r>
  <r>
    <x v="0"/>
    <s v="Official_Account"/>
    <x v="3"/>
    <n v="39"/>
    <n v="6.4356435643564358E-2"/>
    <n v="0"/>
    <n v="0"/>
    <n v="0"/>
    <n v="0"/>
    <n v="0"/>
    <x v="0"/>
  </r>
  <r>
    <x v="0"/>
    <s v="Official_Account"/>
    <x v="4"/>
    <n v="28"/>
    <n v="4.6204620462046202E-2"/>
    <n v="1"/>
    <n v="3.5714285714285712E-2"/>
    <n v="0"/>
    <n v="0"/>
    <n v="0"/>
    <x v="0"/>
  </r>
  <r>
    <x v="0"/>
    <s v="Official_Account"/>
    <x v="5"/>
    <n v="15"/>
    <n v="2.4752475247524754E-2"/>
    <n v="0"/>
    <n v="0"/>
    <n v="0"/>
    <n v="0"/>
    <n v="0"/>
    <x v="0"/>
  </r>
  <r>
    <x v="1"/>
    <s v="Official_Account"/>
    <x v="0"/>
    <n v="249"/>
    <n v="0.57373271889400923"/>
    <n v="5"/>
    <n v="2.0080321285140562E-2"/>
    <n v="1"/>
    <n v="7295"/>
    <n v="4.0160642570281121E-3"/>
    <x v="0"/>
  </r>
  <r>
    <x v="1"/>
    <s v="Official_Account"/>
    <x v="1"/>
    <n v="75"/>
    <n v="0.1728110599078341"/>
    <n v="2"/>
    <n v="2.6666666666666668E-2"/>
    <n v="0"/>
    <n v="0"/>
    <n v="0"/>
    <x v="0"/>
  </r>
  <r>
    <x v="1"/>
    <s v="Official_Account"/>
    <x v="2"/>
    <n v="43"/>
    <n v="9.9078341013824886E-2"/>
    <n v="11"/>
    <n v="0.2558139534883721"/>
    <n v="0"/>
    <n v="0"/>
    <n v="0"/>
    <x v="0"/>
  </r>
  <r>
    <x v="1"/>
    <s v="Official_Account"/>
    <x v="3"/>
    <n v="34"/>
    <n v="7.8341013824884786E-2"/>
    <n v="0"/>
    <n v="0"/>
    <n v="0"/>
    <n v="0"/>
    <n v="0"/>
    <x v="0"/>
  </r>
  <r>
    <x v="1"/>
    <s v="Official_Account"/>
    <x v="4"/>
    <n v="28"/>
    <n v="6.4516129032258063E-2"/>
    <n v="0"/>
    <n v="0"/>
    <n v="0"/>
    <n v="0"/>
    <n v="0"/>
    <x v="0"/>
  </r>
  <r>
    <x v="1"/>
    <s v="Official_Account"/>
    <x v="5"/>
    <n v="5"/>
    <n v="1.1520737327188941E-2"/>
    <n v="0"/>
    <n v="0"/>
    <n v="0"/>
    <n v="0"/>
    <n v="0"/>
    <x v="0"/>
  </r>
  <r>
    <x v="2"/>
    <s v="Official_Account"/>
    <x v="0"/>
    <n v="412"/>
    <n v="0.39883833494675702"/>
    <n v="19"/>
    <n v="4.6116504854368932E-2"/>
    <n v="1"/>
    <n v="4695"/>
    <n v="2.4271844660194173E-3"/>
    <x v="0"/>
  </r>
  <r>
    <x v="2"/>
    <s v="Official_Account"/>
    <x v="1"/>
    <n v="236"/>
    <n v="0.22846079380445306"/>
    <n v="9"/>
    <n v="3.8135593220338986E-2"/>
    <n v="1"/>
    <n v="14500"/>
    <n v="4.2372881355932203E-3"/>
    <x v="0"/>
  </r>
  <r>
    <x v="2"/>
    <s v="Official_Account"/>
    <x v="2"/>
    <n v="244"/>
    <n v="0.23620522749273959"/>
    <n v="0"/>
    <n v="0"/>
    <n v="0"/>
    <n v="0"/>
    <n v="0"/>
    <x v="0"/>
  </r>
  <r>
    <x v="2"/>
    <s v="Official_Account"/>
    <x v="3"/>
    <n v="60"/>
    <n v="5.8083252662149081E-2"/>
    <n v="2"/>
    <n v="3.3333333333333333E-2"/>
    <n v="0"/>
    <n v="0"/>
    <n v="0"/>
    <x v="0"/>
  </r>
  <r>
    <x v="2"/>
    <s v="Official_Account"/>
    <x v="4"/>
    <n v="66"/>
    <n v="6.3891577928363988E-2"/>
    <n v="2"/>
    <n v="3.0303030303030304E-2"/>
    <n v="0"/>
    <n v="0"/>
    <n v="0"/>
    <x v="0"/>
  </r>
  <r>
    <x v="2"/>
    <s v="Official_Account"/>
    <x v="5"/>
    <n v="15"/>
    <n v="1.452081316553727E-2"/>
    <n v="0"/>
    <n v="0"/>
    <n v="0"/>
    <n v="0"/>
    <n v="0"/>
    <x v="0"/>
  </r>
  <r>
    <x v="3"/>
    <s v="Official_Account"/>
    <x v="0"/>
    <n v="386"/>
    <n v="0.50789473684210529"/>
    <n v="14"/>
    <n v="3.6269430051813469E-2"/>
    <n v="1"/>
    <n v="4645"/>
    <n v="2.5906735751295338E-3"/>
    <x v="0"/>
  </r>
  <r>
    <x v="3"/>
    <s v="Official_Account"/>
    <x v="1"/>
    <n v="227"/>
    <n v="0.29868421052631577"/>
    <n v="15"/>
    <n v="6.6079295154185022E-2"/>
    <n v="0"/>
    <n v="0"/>
    <n v="0"/>
    <x v="0"/>
  </r>
  <r>
    <x v="3"/>
    <s v="Official_Account"/>
    <x v="2"/>
    <n v="75"/>
    <n v="9.8684210526315791E-2"/>
    <n v="3"/>
    <n v="0.04"/>
    <n v="0"/>
    <n v="0"/>
    <n v="0"/>
    <x v="0"/>
  </r>
  <r>
    <x v="3"/>
    <s v="Official_Account"/>
    <x v="3"/>
    <n v="35"/>
    <n v="4.6052631578947366E-2"/>
    <n v="0"/>
    <n v="0"/>
    <n v="0"/>
    <n v="0"/>
    <n v="0"/>
    <x v="0"/>
  </r>
  <r>
    <x v="3"/>
    <s v="Official_Account"/>
    <x v="4"/>
    <n v="31"/>
    <n v="4.0789473684210528E-2"/>
    <n v="2"/>
    <n v="6.4516129032258063E-2"/>
    <n v="0"/>
    <n v="0"/>
    <n v="0"/>
    <x v="0"/>
  </r>
  <r>
    <x v="3"/>
    <s v="Official_Account"/>
    <x v="5"/>
    <n v="6"/>
    <n v="7.8947368421052634E-3"/>
    <n v="1"/>
    <n v="0.16666666666666666"/>
    <n v="0"/>
    <n v="0"/>
    <n v="0"/>
    <x v="0"/>
  </r>
  <r>
    <x v="4"/>
    <s v="Official_Account"/>
    <x v="0"/>
    <n v="413"/>
    <n v="0.51689612015018771"/>
    <n v="14"/>
    <n v="3.3898305084745763E-2"/>
    <n v="1"/>
    <n v="2650"/>
    <n v="2.4213075060532689E-3"/>
    <x v="0"/>
  </r>
  <r>
    <x v="4"/>
    <s v="Official_Account"/>
    <x v="1"/>
    <n v="250"/>
    <n v="0.31289111389236546"/>
    <n v="1"/>
    <n v="4.0000000000000001E-3"/>
    <n v="0"/>
    <n v="0"/>
    <n v="0"/>
    <x v="0"/>
  </r>
  <r>
    <x v="4"/>
    <s v="Official_Account"/>
    <x v="2"/>
    <n v="56"/>
    <n v="7.0087609511889859E-2"/>
    <n v="3"/>
    <n v="5.3571428571428568E-2"/>
    <n v="0"/>
    <n v="0"/>
    <n v="0"/>
    <x v="0"/>
  </r>
  <r>
    <x v="4"/>
    <s v="Official_Account"/>
    <x v="3"/>
    <n v="43"/>
    <n v="5.3817271589486862E-2"/>
    <n v="0"/>
    <n v="0"/>
    <n v="0"/>
    <n v="0"/>
    <n v="0"/>
    <x v="0"/>
  </r>
  <r>
    <x v="4"/>
    <s v="Official_Account"/>
    <x v="4"/>
    <n v="28"/>
    <n v="3.5043804755944929E-2"/>
    <n v="0"/>
    <n v="0"/>
    <n v="0"/>
    <n v="0"/>
    <n v="0"/>
    <x v="0"/>
  </r>
  <r>
    <x v="4"/>
    <s v="Official_Account"/>
    <x v="5"/>
    <n v="9"/>
    <n v="1.1264080100125156E-2"/>
    <n v="0"/>
    <n v="0"/>
    <n v="0"/>
    <n v="0"/>
    <n v="0"/>
    <x v="0"/>
  </r>
  <r>
    <x v="5"/>
    <s v="Official_Account"/>
    <x v="0"/>
    <n v="407"/>
    <n v="0.44627192982456143"/>
    <n v="12"/>
    <n v="2.9484029484029485E-2"/>
    <n v="0"/>
    <n v="0"/>
    <n v="0"/>
    <x v="1"/>
  </r>
  <r>
    <x v="5"/>
    <s v="Official_Account"/>
    <x v="1"/>
    <n v="284"/>
    <n v="0.31140350877192985"/>
    <n v="1"/>
    <n v="3.5211267605633804E-3"/>
    <n v="0"/>
    <n v="0"/>
    <n v="0"/>
    <x v="1"/>
  </r>
  <r>
    <x v="5"/>
    <s v="Official_Account"/>
    <x v="2"/>
    <n v="80"/>
    <n v="8.771929824561403E-2"/>
    <n v="2"/>
    <n v="2.5000000000000001E-2"/>
    <n v="0"/>
    <n v="0"/>
    <n v="0"/>
    <x v="1"/>
  </r>
  <r>
    <x v="5"/>
    <s v="Official_Account"/>
    <x v="3"/>
    <n v="54"/>
    <n v="5.921052631578947E-2"/>
    <n v="0"/>
    <n v="0"/>
    <n v="0"/>
    <n v="0"/>
    <n v="0"/>
    <x v="1"/>
  </r>
  <r>
    <x v="5"/>
    <s v="Official_Account"/>
    <x v="4"/>
    <n v="87"/>
    <n v="9.5394736842105268E-2"/>
    <n v="1"/>
    <n v="1.1494252873563218E-2"/>
    <n v="0"/>
    <n v="0"/>
    <n v="0"/>
    <x v="1"/>
  </r>
  <r>
    <x v="5"/>
    <s v="Official_Account"/>
    <x v="5"/>
    <n v="0"/>
    <n v="0"/>
    <n v="0"/>
    <n v="0"/>
    <n v="0"/>
    <n v="0"/>
    <n v="0"/>
    <x v="1"/>
  </r>
  <r>
    <x v="6"/>
    <s v="Official_Account"/>
    <x v="0"/>
    <n v="476"/>
    <n v="0.52021857923497272"/>
    <n v="9"/>
    <n v="1.8907563025210083E-2"/>
    <n v="2"/>
    <n v="7812"/>
    <n v="4.2016806722689074E-3"/>
    <x v="1"/>
  </r>
  <r>
    <x v="6"/>
    <s v="Official_Account"/>
    <x v="1"/>
    <n v="247"/>
    <n v="0.26994535519125684"/>
    <n v="6"/>
    <n v="2.4291497975708502E-2"/>
    <n v="0"/>
    <n v="0"/>
    <n v="0"/>
    <x v="1"/>
  </r>
  <r>
    <x v="6"/>
    <s v="Official_Account"/>
    <x v="2"/>
    <n v="0"/>
    <n v="0"/>
    <n v="0"/>
    <n v="0"/>
    <n v="0"/>
    <n v="0"/>
    <n v="0"/>
    <x v="1"/>
  </r>
  <r>
    <x v="6"/>
    <s v="Official_Account"/>
    <x v="3"/>
    <n v="83"/>
    <n v="9.0710382513661203E-2"/>
    <n v="2"/>
    <n v="2.4096385542168676E-2"/>
    <n v="0"/>
    <n v="0"/>
    <n v="0"/>
    <x v="1"/>
  </r>
  <r>
    <x v="6"/>
    <s v="Official_Account"/>
    <x v="4"/>
    <n v="109"/>
    <n v="0.11912568306010929"/>
    <n v="2"/>
    <n v="1.834862385321101E-2"/>
    <n v="1"/>
    <n v="3050"/>
    <n v="9.1743119266055051E-3"/>
    <x v="1"/>
  </r>
  <r>
    <x v="6"/>
    <s v="Official_Account"/>
    <x v="5"/>
    <n v="0"/>
    <n v="0"/>
    <n v="0"/>
    <n v="0"/>
    <n v="0"/>
    <n v="0"/>
    <n v="0"/>
    <x v="1"/>
  </r>
  <r>
    <x v="7"/>
    <s v="Official_Account"/>
    <x v="0"/>
    <n v="504"/>
    <n v="0.5569060773480663"/>
    <n v="31"/>
    <n v="6.1507936507936505E-2"/>
    <n v="0"/>
    <n v="0"/>
    <n v="0"/>
    <x v="1"/>
  </r>
  <r>
    <x v="7"/>
    <s v="Official_Account"/>
    <x v="1"/>
    <n v="181"/>
    <n v="0.2"/>
    <n v="2"/>
    <n v="1.1049723756906077E-2"/>
    <n v="0"/>
    <n v="0"/>
    <n v="0"/>
    <x v="1"/>
  </r>
  <r>
    <x v="7"/>
    <s v="Official_Account"/>
    <x v="2"/>
    <n v="90"/>
    <n v="9.9447513812154692E-2"/>
    <n v="2"/>
    <n v="2.2222222222222223E-2"/>
    <n v="0"/>
    <n v="0"/>
    <n v="0"/>
    <x v="1"/>
  </r>
  <r>
    <x v="7"/>
    <s v="Official_Account"/>
    <x v="3"/>
    <n v="50"/>
    <n v="5.5248618784530384E-2"/>
    <n v="1"/>
    <n v="0.02"/>
    <n v="0"/>
    <n v="0"/>
    <n v="0"/>
    <x v="1"/>
  </r>
  <r>
    <x v="7"/>
    <s v="Official_Account"/>
    <x v="4"/>
    <n v="80"/>
    <n v="8.8397790055248615E-2"/>
    <n v="19"/>
    <n v="0.23749999999999999"/>
    <n v="2"/>
    <n v="13495"/>
    <n v="2.5000000000000001E-2"/>
    <x v="1"/>
  </r>
  <r>
    <x v="7"/>
    <s v="Official_Account"/>
    <x v="5"/>
    <n v="0"/>
    <n v="0"/>
    <n v="0"/>
    <n v="0"/>
    <n v="0"/>
    <n v="0"/>
    <n v="0"/>
    <x v="1"/>
  </r>
  <r>
    <x v="8"/>
    <s v="Official_Account"/>
    <x v="0"/>
    <n v="682"/>
    <n v="0.38993710691823902"/>
    <n v="27"/>
    <n v="3.9589442815249266E-2"/>
    <n v="1"/>
    <n v="4195"/>
    <n v="1.4662756598240469E-3"/>
    <x v="1"/>
  </r>
  <r>
    <x v="8"/>
    <s v="Official_Account"/>
    <x v="1"/>
    <n v="210"/>
    <n v="0.12006861063464837"/>
    <n v="3"/>
    <n v="1.4285714285714285E-2"/>
    <n v="0"/>
    <n v="0"/>
    <n v="0"/>
    <x v="1"/>
  </r>
  <r>
    <x v="8"/>
    <s v="Official_Account"/>
    <x v="2"/>
    <n v="86"/>
    <n v="4.9170954831332186E-2"/>
    <n v="2"/>
    <n v="2.3255813953488372E-2"/>
    <n v="1"/>
    <n v="3195"/>
    <n v="1.1627906976744186E-2"/>
    <x v="1"/>
  </r>
  <r>
    <x v="8"/>
    <s v="Official_Account"/>
    <x v="3"/>
    <n v="214"/>
    <n v="0.12235563178959405"/>
    <n v="3"/>
    <n v="1.4018691588785047E-2"/>
    <n v="0"/>
    <n v="0"/>
    <n v="0"/>
    <x v="1"/>
  </r>
  <r>
    <x v="8"/>
    <s v="Official_Account"/>
    <x v="4"/>
    <n v="557"/>
    <n v="0.31846769582618639"/>
    <n v="14"/>
    <n v="2.5134649910233394E-2"/>
    <n v="1"/>
    <n v="3195"/>
    <n v="1.7953321364452424E-3"/>
    <x v="1"/>
  </r>
  <r>
    <x v="8"/>
    <s v="Official_Account"/>
    <x v="5"/>
    <n v="0"/>
    <n v="0"/>
    <n v="0"/>
    <n v="0"/>
    <n v="0"/>
    <n v="0"/>
    <n v="0"/>
    <x v="1"/>
  </r>
  <r>
    <x v="9"/>
    <s v="Official_Account"/>
    <x v="0"/>
    <n v="650"/>
    <n v="0.58139534883720934"/>
    <n v="16"/>
    <n v="2.4615384615384615E-2"/>
    <n v="0"/>
    <n v="0"/>
    <n v="0"/>
    <x v="1"/>
  </r>
  <r>
    <x v="9"/>
    <s v="Official_Account"/>
    <x v="1"/>
    <n v="174"/>
    <n v="0.15563506261180679"/>
    <n v="2"/>
    <n v="1.1494252873563218E-2"/>
    <n v="0"/>
    <n v="0"/>
    <n v="0"/>
    <x v="1"/>
  </r>
  <r>
    <x v="9"/>
    <s v="Official_Account"/>
    <x v="2"/>
    <n v="71"/>
    <n v="6.3506261180679785E-2"/>
    <n v="1"/>
    <n v="1.4084507042253521E-2"/>
    <n v="0"/>
    <n v="0"/>
    <n v="0"/>
    <x v="1"/>
  </r>
  <r>
    <x v="9"/>
    <s v="Official_Account"/>
    <x v="3"/>
    <n v="118"/>
    <n v="0.10554561717352415"/>
    <n v="0"/>
    <n v="0"/>
    <n v="0"/>
    <n v="0"/>
    <n v="0"/>
    <x v="1"/>
  </r>
  <r>
    <x v="9"/>
    <s v="Official_Account"/>
    <x v="4"/>
    <n v="105"/>
    <n v="9.3917710196779969E-2"/>
    <n v="2"/>
    <n v="1.9047619047619049E-2"/>
    <n v="0"/>
    <n v="0"/>
    <n v="0"/>
    <x v="1"/>
  </r>
  <r>
    <x v="9"/>
    <s v="Official_Account"/>
    <x v="5"/>
    <n v="0"/>
    <n v="0"/>
    <n v="0"/>
    <n v="0"/>
    <n v="0"/>
    <n v="0"/>
    <n v="0"/>
    <x v="1"/>
  </r>
  <r>
    <x v="10"/>
    <s v="Official_Account"/>
    <x v="0"/>
    <n v="368"/>
    <n v="0.47545219638242892"/>
    <n v="10"/>
    <n v="2.717391304347826E-2"/>
    <n v="1"/>
    <n v="2995"/>
    <n v="2.717391304347826E-3"/>
    <x v="0"/>
  </r>
  <r>
    <x v="10"/>
    <s v="Official_Account"/>
    <x v="1"/>
    <n v="148"/>
    <n v="0.19121447028423771"/>
    <n v="2"/>
    <n v="1.3513513513513514E-2"/>
    <n v="0"/>
    <n v="0"/>
    <n v="0"/>
    <x v="0"/>
  </r>
  <r>
    <x v="10"/>
    <s v="Official_Account"/>
    <x v="2"/>
    <n v="50"/>
    <n v="6.4599483204134361E-2"/>
    <n v="0"/>
    <n v="0"/>
    <n v="0"/>
    <n v="0"/>
    <n v="0"/>
    <x v="0"/>
  </r>
  <r>
    <x v="10"/>
    <s v="Official_Account"/>
    <x v="3"/>
    <n v="86"/>
    <n v="0.1111111111111111"/>
    <n v="1"/>
    <n v="1.1627906976744186E-2"/>
    <n v="0"/>
    <n v="0"/>
    <n v="0"/>
    <x v="0"/>
  </r>
  <r>
    <x v="10"/>
    <s v="Official_Account"/>
    <x v="4"/>
    <n v="103"/>
    <n v="0.13307493540051679"/>
    <n v="2"/>
    <n v="1.9417475728155338E-2"/>
    <n v="0"/>
    <n v="0"/>
    <n v="0"/>
    <x v="0"/>
  </r>
  <r>
    <x v="10"/>
    <s v="Official_Account"/>
    <x v="5"/>
    <n v="19"/>
    <n v="2.454780361757106E-2"/>
    <n v="0"/>
    <n v="0"/>
    <n v="0"/>
    <n v="0"/>
    <n v="0"/>
    <x v="0"/>
  </r>
  <r>
    <x v="11"/>
    <s v="Official_Account"/>
    <x v="0"/>
    <n v="471"/>
    <n v="0.46131243878550443"/>
    <n v="14"/>
    <n v="2.9723991507430998E-2"/>
    <n v="2"/>
    <n v="8190"/>
    <n v="4.246284501061571E-3"/>
    <x v="1"/>
  </r>
  <r>
    <x v="11"/>
    <s v="Official_Account"/>
    <x v="1"/>
    <n v="259"/>
    <n v="0.25367286973555336"/>
    <n v="3"/>
    <n v="1.1583011583011582E-2"/>
    <n v="0"/>
    <n v="0"/>
    <n v="0"/>
    <x v="1"/>
  </r>
  <r>
    <x v="11"/>
    <s v="Official_Account"/>
    <x v="2"/>
    <n v="82"/>
    <n v="8.0313418217433888E-2"/>
    <n v="0"/>
    <n v="0"/>
    <n v="0"/>
    <n v="0"/>
    <n v="0"/>
    <x v="1"/>
  </r>
  <r>
    <x v="11"/>
    <s v="Official_Account"/>
    <x v="3"/>
    <n v="84"/>
    <n v="8.2272282076395684E-2"/>
    <n v="1"/>
    <n v="1.1904761904761904E-2"/>
    <n v="0"/>
    <n v="0"/>
    <n v="0"/>
    <x v="1"/>
  </r>
  <r>
    <x v="11"/>
    <s v="Official_Account"/>
    <x v="4"/>
    <n v="120"/>
    <n v="0.11753183153770813"/>
    <n v="2"/>
    <n v="1.6666666666666666E-2"/>
    <n v="0"/>
    <n v="0"/>
    <n v="0"/>
    <x v="1"/>
  </r>
  <r>
    <x v="11"/>
    <s v="Official_Account"/>
    <x v="5"/>
    <n v="5"/>
    <n v="4.8971596474045058E-3"/>
    <n v="0"/>
    <n v="0"/>
    <n v="0"/>
    <n v="0"/>
    <n v="0"/>
    <x v="1"/>
  </r>
  <r>
    <x v="12"/>
    <s v="Official_Account"/>
    <x v="0"/>
    <n v="385"/>
    <n v="0.62398703403565636"/>
    <n v="16"/>
    <n v="4.1558441558441558E-2"/>
    <n v="3"/>
    <n v="8890"/>
    <n v="7.7922077922077922E-3"/>
    <x v="0"/>
  </r>
  <r>
    <x v="12"/>
    <s v="Official_Account"/>
    <x v="1"/>
    <n v="91"/>
    <n v="0.14748784440842788"/>
    <n v="2"/>
    <n v="2.197802197802198E-2"/>
    <n v="0"/>
    <n v="0"/>
    <n v="0"/>
    <x v="0"/>
  </r>
  <r>
    <x v="12"/>
    <s v="Official_Account"/>
    <x v="2"/>
    <n v="53"/>
    <n v="8.5899513776337116E-2"/>
    <n v="0"/>
    <n v="0"/>
    <n v="0"/>
    <n v="0"/>
    <n v="0"/>
    <x v="0"/>
  </r>
  <r>
    <x v="12"/>
    <s v="Official_Account"/>
    <x v="3"/>
    <n v="47"/>
    <n v="7.6175040518638576E-2"/>
    <n v="1"/>
    <n v="2.1276595744680851E-2"/>
    <n v="0"/>
    <n v="0"/>
    <n v="0"/>
    <x v="0"/>
  </r>
  <r>
    <x v="12"/>
    <s v="Official_Account"/>
    <x v="4"/>
    <n v="33"/>
    <n v="5.3484602917341979E-2"/>
    <n v="1"/>
    <n v="3.0303030303030304E-2"/>
    <n v="0"/>
    <n v="0"/>
    <n v="0"/>
    <x v="0"/>
  </r>
  <r>
    <x v="12"/>
    <s v="Official_Account"/>
    <x v="5"/>
    <n v="8"/>
    <n v="1.2965964343598054E-2"/>
    <n v="0"/>
    <n v="0"/>
    <n v="0"/>
    <n v="0"/>
    <n v="0"/>
    <x v="0"/>
  </r>
  <r>
    <x v="13"/>
    <s v="Official_Account"/>
    <x v="0"/>
    <n v="527"/>
    <n v="0.54554865424430643"/>
    <n v="19"/>
    <n v="3.6053130929791274E-2"/>
    <n v="0"/>
    <n v="0"/>
    <n v="0"/>
    <x v="1"/>
  </r>
  <r>
    <x v="13"/>
    <s v="Official_Account"/>
    <x v="1"/>
    <n v="208"/>
    <n v="0.21532091097308489"/>
    <n v="2"/>
    <n v="9.6153846153846159E-3"/>
    <n v="0"/>
    <n v="0"/>
    <n v="0"/>
    <x v="1"/>
  </r>
  <r>
    <x v="13"/>
    <s v="Official_Account"/>
    <x v="2"/>
    <n v="84"/>
    <n v="8.6956521739130432E-2"/>
    <n v="4"/>
    <n v="4.7619047619047616E-2"/>
    <n v="0"/>
    <n v="0"/>
    <n v="0"/>
    <x v="1"/>
  </r>
  <r>
    <x v="13"/>
    <s v="Official_Account"/>
    <x v="3"/>
    <n v="77"/>
    <n v="7.9710144927536225E-2"/>
    <n v="0"/>
    <n v="0"/>
    <n v="0"/>
    <n v="0"/>
    <n v="0"/>
    <x v="1"/>
  </r>
  <r>
    <x v="13"/>
    <s v="Official_Account"/>
    <x v="4"/>
    <n v="61"/>
    <n v="6.3146997929606624E-2"/>
    <n v="2"/>
    <n v="3.2786885245901641E-2"/>
    <n v="0"/>
    <n v="0"/>
    <n v="0"/>
    <x v="1"/>
  </r>
  <r>
    <x v="13"/>
    <s v="Official_Account"/>
    <x v="5"/>
    <n v="9"/>
    <n v="9.316770186335404E-3"/>
    <n v="0"/>
    <n v="0"/>
    <n v="0"/>
    <n v="0"/>
    <n v="0"/>
    <x v="1"/>
  </r>
  <r>
    <x v="14"/>
    <s v="Official_Account"/>
    <x v="0"/>
    <n v="375"/>
    <n v="0.59904153354632583"/>
    <n v="8"/>
    <n v="2.1333333333333333E-2"/>
    <n v="0"/>
    <n v="0"/>
    <n v="0"/>
    <x v="0"/>
  </r>
  <r>
    <x v="14"/>
    <s v="Official_Account"/>
    <x v="1"/>
    <n v="134"/>
    <n v="0.21405750798722045"/>
    <n v="3"/>
    <n v="2.2388059701492536E-2"/>
    <n v="0"/>
    <n v="0"/>
    <n v="0"/>
    <x v="0"/>
  </r>
  <r>
    <x v="14"/>
    <s v="Official_Account"/>
    <x v="2"/>
    <n v="36"/>
    <n v="5.7507987220447282E-2"/>
    <n v="1"/>
    <n v="2.7777777777777776E-2"/>
    <n v="0"/>
    <n v="0"/>
    <n v="0"/>
    <x v="0"/>
  </r>
  <r>
    <x v="14"/>
    <s v="Official_Account"/>
    <x v="3"/>
    <n v="44"/>
    <n v="7.0287539936102233E-2"/>
    <n v="1"/>
    <n v="2.2727272727272728E-2"/>
    <n v="0"/>
    <n v="0"/>
    <n v="0"/>
    <x v="0"/>
  </r>
  <r>
    <x v="14"/>
    <s v="Official_Account"/>
    <x v="4"/>
    <n v="32"/>
    <n v="5.1118210862619806E-2"/>
    <n v="0"/>
    <n v="0"/>
    <n v="0"/>
    <n v="0"/>
    <n v="0"/>
    <x v="0"/>
  </r>
  <r>
    <x v="14"/>
    <s v="Official_Account"/>
    <x v="5"/>
    <n v="5"/>
    <n v="7.9872204472843447E-3"/>
    <n v="0"/>
    <n v="0"/>
    <n v="0"/>
    <n v="0"/>
    <n v="0"/>
    <x v="0"/>
  </r>
  <r>
    <x v="15"/>
    <s v="Official_Account"/>
    <x v="0"/>
    <n v="517"/>
    <n v="0.53575129533678756"/>
    <n v="22"/>
    <n v="4.2553191489361701E-2"/>
    <n v="1"/>
    <n v="4995"/>
    <n v="1.9342359767891683E-3"/>
    <x v="1"/>
  </r>
  <r>
    <x v="15"/>
    <s v="Official_Account"/>
    <x v="1"/>
    <n v="227"/>
    <n v="0.23523316062176167"/>
    <n v="1"/>
    <n v="4.4052863436123352E-3"/>
    <n v="0"/>
    <n v="0"/>
    <n v="0"/>
    <x v="1"/>
  </r>
  <r>
    <x v="15"/>
    <s v="Official_Account"/>
    <x v="2"/>
    <n v="66"/>
    <n v="6.8393782383419685E-2"/>
    <n v="2"/>
    <n v="3.0303030303030304E-2"/>
    <n v="0"/>
    <n v="0"/>
    <n v="0"/>
    <x v="1"/>
  </r>
  <r>
    <x v="15"/>
    <s v="Official_Account"/>
    <x v="3"/>
    <n v="74"/>
    <n v="7.6683937823834203E-2"/>
    <n v="9"/>
    <n v="0.12162162162162163"/>
    <n v="1"/>
    <n v="5450"/>
    <n v="1.3513513513513514E-2"/>
    <x v="1"/>
  </r>
  <r>
    <x v="15"/>
    <s v="Official_Account"/>
    <x v="4"/>
    <n v="65"/>
    <n v="6.7357512953367879E-2"/>
    <n v="1"/>
    <n v="1.5384615384615385E-2"/>
    <n v="0"/>
    <n v="0"/>
    <n v="0"/>
    <x v="1"/>
  </r>
  <r>
    <x v="15"/>
    <s v="Official_Account"/>
    <x v="5"/>
    <n v="16"/>
    <n v="1.6580310880829015E-2"/>
    <n v="0"/>
    <n v="0"/>
    <n v="0"/>
    <n v="0"/>
    <n v="0"/>
    <x v="1"/>
  </r>
  <r>
    <x v="16"/>
    <s v="Official_Account"/>
    <x v="0"/>
    <n v="419"/>
    <n v="0.51159951159951156"/>
    <n v="9"/>
    <n v="2.1479713603818614E-2"/>
    <n v="0"/>
    <n v="0"/>
    <n v="0"/>
    <x v="0"/>
  </r>
  <r>
    <x v="16"/>
    <s v="Official_Account"/>
    <x v="1"/>
    <n v="162"/>
    <n v="0.19780219780219779"/>
    <n v="4"/>
    <n v="2.4691358024691357E-2"/>
    <n v="0"/>
    <n v="0"/>
    <n v="0"/>
    <x v="0"/>
  </r>
  <r>
    <x v="16"/>
    <s v="Official_Account"/>
    <x v="2"/>
    <n v="44"/>
    <n v="5.3724053724053727E-2"/>
    <n v="0"/>
    <n v="0"/>
    <n v="0"/>
    <n v="0"/>
    <n v="0"/>
    <x v="0"/>
  </r>
  <r>
    <x v="16"/>
    <s v="Official_Account"/>
    <x v="3"/>
    <n v="53"/>
    <n v="6.4713064713064719E-2"/>
    <n v="0"/>
    <n v="0"/>
    <n v="0"/>
    <n v="0"/>
    <n v="0"/>
    <x v="0"/>
  </r>
  <r>
    <x v="16"/>
    <s v="Official_Account"/>
    <x v="4"/>
    <n v="128"/>
    <n v="0.15628815628815629"/>
    <n v="4"/>
    <n v="3.125E-2"/>
    <n v="0"/>
    <n v="0"/>
    <n v="0"/>
    <x v="0"/>
  </r>
  <r>
    <x v="16"/>
    <s v="Official_Account"/>
    <x v="5"/>
    <n v="13"/>
    <n v="1.5873015873015872E-2"/>
    <n v="1"/>
    <n v="7.6923076923076927E-2"/>
    <n v="0"/>
    <n v="0"/>
    <n v="0"/>
    <x v="0"/>
  </r>
  <r>
    <x v="17"/>
    <s v="Official_Account"/>
    <x v="0"/>
    <n v="541"/>
    <n v="0.54701718907987862"/>
    <n v="39"/>
    <n v="7.2088724584103508E-2"/>
    <n v="2"/>
    <n v="4790"/>
    <n v="3.6968576709796672E-3"/>
    <x v="1"/>
  </r>
  <r>
    <x v="17"/>
    <s v="Official_Account"/>
    <x v="1"/>
    <n v="158"/>
    <n v="0.15975733063700709"/>
    <n v="6"/>
    <n v="3.7974683544303799E-2"/>
    <n v="0"/>
    <n v="0"/>
    <n v="0"/>
    <x v="1"/>
  </r>
  <r>
    <x v="17"/>
    <s v="Official_Account"/>
    <x v="2"/>
    <n v="76"/>
    <n v="7.6845298281092017E-2"/>
    <n v="0"/>
    <n v="0"/>
    <n v="0"/>
    <n v="0"/>
    <n v="0"/>
    <x v="1"/>
  </r>
  <r>
    <x v="17"/>
    <s v="Official_Account"/>
    <x v="3"/>
    <n v="116"/>
    <n v="0.11729019211324571"/>
    <n v="0"/>
    <n v="0"/>
    <n v="0"/>
    <n v="0"/>
    <n v="0"/>
    <x v="1"/>
  </r>
  <r>
    <x v="17"/>
    <s v="Official_Account"/>
    <x v="4"/>
    <n v="85"/>
    <n v="8.5945399393326599E-2"/>
    <n v="6"/>
    <n v="7.0588235294117646E-2"/>
    <n v="0"/>
    <n v="0"/>
    <n v="0"/>
    <x v="1"/>
  </r>
  <r>
    <x v="17"/>
    <s v="Official_Account"/>
    <x v="5"/>
    <n v="13"/>
    <n v="1.314459049544995E-2"/>
    <n v="0"/>
    <n v="0"/>
    <n v="0"/>
    <n v="0"/>
    <n v="0"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76">
  <r>
    <x v="0"/>
    <x v="0"/>
    <x v="0"/>
    <x v="0"/>
    <n v="11882"/>
    <n v="7290"/>
    <n v="71"/>
    <n v="25"/>
    <n v="136022.03"/>
    <n v="46"/>
    <n v="120522.03"/>
    <n v="41"/>
    <n v="410"/>
    <n v="11626"/>
    <n v="2024"/>
    <x v="0"/>
    <x v="0"/>
    <x v="0"/>
  </r>
  <r>
    <x v="0"/>
    <x v="0"/>
    <x v="0"/>
    <x v="1"/>
    <n v="296971"/>
    <n v="271865"/>
    <n v="3217"/>
    <n v="2197"/>
    <n v="3459429.03"/>
    <n v="713"/>
    <n v="2041084.44"/>
    <n v="540"/>
    <n v="16831"/>
    <n v="296116"/>
    <n v="2024"/>
    <x v="0"/>
    <x v="0"/>
    <x v="0"/>
  </r>
  <r>
    <x v="0"/>
    <x v="0"/>
    <x v="0"/>
    <x v="2"/>
    <n v="55460"/>
    <n v="49718"/>
    <n v="420"/>
    <n v="132"/>
    <n v="414069.29"/>
    <n v="97"/>
    <n v="319104.77"/>
    <n v="90"/>
    <n v="55457"/>
    <n v="13355"/>
    <n v="2024"/>
    <x v="0"/>
    <x v="0"/>
    <x v="0"/>
  </r>
  <r>
    <x v="0"/>
    <x v="0"/>
    <x v="0"/>
    <x v="3"/>
    <n v="182027"/>
    <n v="165948"/>
    <n v="74"/>
    <n v="47"/>
    <n v="0"/>
    <n v="0"/>
    <n v="0"/>
    <n v="0"/>
    <n v="360"/>
    <n v="27069"/>
    <n v="2024"/>
    <x v="0"/>
    <x v="0"/>
    <x v="0"/>
  </r>
  <r>
    <x v="0"/>
    <x v="0"/>
    <x v="1"/>
    <x v="4"/>
    <n v="3"/>
    <n v="2"/>
    <n v="0"/>
    <n v="0"/>
    <n v="0"/>
    <n v="0"/>
    <n v="0"/>
    <n v="0"/>
    <n v="1"/>
    <n v="2"/>
    <n v="2024"/>
    <x v="0"/>
    <x v="0"/>
    <x v="0"/>
  </r>
  <r>
    <x v="0"/>
    <x v="0"/>
    <x v="1"/>
    <x v="5"/>
    <n v="108"/>
    <n v="85"/>
    <n v="2"/>
    <n v="0"/>
    <n v="0"/>
    <n v="0"/>
    <n v="0"/>
    <n v="0"/>
    <n v="7"/>
    <n v="108"/>
    <n v="2024"/>
    <x v="0"/>
    <x v="0"/>
    <x v="0"/>
  </r>
  <r>
    <x v="0"/>
    <x v="0"/>
    <x v="1"/>
    <x v="6"/>
    <n v="15273"/>
    <n v="14661"/>
    <n v="1"/>
    <n v="1"/>
    <n v="0"/>
    <n v="0"/>
    <n v="0"/>
    <n v="0"/>
    <n v="163"/>
    <n v="136"/>
    <n v="2024"/>
    <x v="0"/>
    <x v="0"/>
    <x v="0"/>
  </r>
  <r>
    <x v="0"/>
    <x v="0"/>
    <x v="1"/>
    <x v="7"/>
    <n v="4653"/>
    <n v="2474"/>
    <n v="616"/>
    <n v="58"/>
    <n v="2481503.44"/>
    <n v="691"/>
    <n v="2177818.96"/>
    <n v="654"/>
    <n v="1596"/>
    <n v="4444"/>
    <n v="2024"/>
    <x v="0"/>
    <x v="0"/>
    <x v="0"/>
  </r>
  <r>
    <x v="0"/>
    <x v="0"/>
    <x v="1"/>
    <x v="8"/>
    <n v="211"/>
    <n v="68"/>
    <n v="2"/>
    <n v="4"/>
    <n v="5740"/>
    <n v="1"/>
    <n v="2235"/>
    <n v="1"/>
    <n v="5"/>
    <n v="151"/>
    <n v="2024"/>
    <x v="0"/>
    <x v="0"/>
    <x v="0"/>
  </r>
  <r>
    <x v="0"/>
    <x v="0"/>
    <x v="1"/>
    <x v="9"/>
    <n v="63"/>
    <n v="30"/>
    <n v="1"/>
    <n v="0"/>
    <n v="0"/>
    <n v="0"/>
    <n v="0"/>
    <n v="0"/>
    <n v="7"/>
    <n v="63"/>
    <n v="2024"/>
    <x v="0"/>
    <x v="0"/>
    <x v="0"/>
  </r>
  <r>
    <x v="0"/>
    <x v="0"/>
    <x v="1"/>
    <x v="10"/>
    <n v="9850"/>
    <n v="7909"/>
    <n v="105"/>
    <n v="82"/>
    <n v="127921.38"/>
    <n v="27"/>
    <n v="58691.38"/>
    <n v="20"/>
    <n v="2360"/>
    <n v="8682"/>
    <n v="2024"/>
    <x v="0"/>
    <x v="0"/>
    <x v="0"/>
  </r>
  <r>
    <x v="0"/>
    <x v="0"/>
    <x v="1"/>
    <x v="11"/>
    <n v="40"/>
    <n v="37"/>
    <n v="0"/>
    <n v="0"/>
    <n v="0"/>
    <n v="0"/>
    <n v="0"/>
    <n v="0"/>
    <n v="17"/>
    <n v="23"/>
    <n v="2024"/>
    <x v="0"/>
    <x v="0"/>
    <x v="0"/>
  </r>
  <r>
    <x v="0"/>
    <x v="0"/>
    <x v="1"/>
    <x v="12"/>
    <n v="1"/>
    <n v="1"/>
    <n v="0"/>
    <n v="0"/>
    <n v="0"/>
    <n v="0"/>
    <n v="0"/>
    <n v="0"/>
    <n v="0"/>
    <n v="0"/>
    <n v="2024"/>
    <x v="0"/>
    <x v="0"/>
    <x v="0"/>
  </r>
  <r>
    <x v="0"/>
    <x v="0"/>
    <x v="1"/>
    <x v="13"/>
    <n v="756"/>
    <n v="637"/>
    <n v="34"/>
    <n v="0"/>
    <n v="16169.5"/>
    <n v="7"/>
    <n v="11695.5"/>
    <n v="5"/>
    <n v="3"/>
    <n v="756"/>
    <n v="2024"/>
    <x v="0"/>
    <x v="0"/>
    <x v="0"/>
  </r>
  <r>
    <x v="0"/>
    <x v="0"/>
    <x v="1"/>
    <x v="14"/>
    <n v="1"/>
    <n v="1"/>
    <n v="0"/>
    <n v="0"/>
    <n v="0"/>
    <n v="0"/>
    <n v="0"/>
    <n v="0"/>
    <n v="0"/>
    <n v="0"/>
    <n v="2024"/>
    <x v="0"/>
    <x v="0"/>
    <x v="0"/>
  </r>
  <r>
    <x v="0"/>
    <x v="0"/>
    <x v="1"/>
    <x v="15"/>
    <n v="313"/>
    <n v="297"/>
    <n v="2"/>
    <n v="3"/>
    <n v="0"/>
    <n v="0"/>
    <n v="0"/>
    <n v="0"/>
    <n v="6"/>
    <n v="313"/>
    <n v="2024"/>
    <x v="0"/>
    <x v="0"/>
    <x v="0"/>
  </r>
  <r>
    <x v="0"/>
    <x v="0"/>
    <x v="1"/>
    <x v="16"/>
    <n v="85"/>
    <n v="24"/>
    <n v="1"/>
    <n v="0"/>
    <n v="3145"/>
    <n v="1"/>
    <n v="3145"/>
    <n v="1"/>
    <n v="6"/>
    <n v="85"/>
    <n v="2024"/>
    <x v="0"/>
    <x v="0"/>
    <x v="0"/>
  </r>
  <r>
    <x v="0"/>
    <x v="0"/>
    <x v="1"/>
    <x v="17"/>
    <n v="41"/>
    <n v="38"/>
    <n v="1"/>
    <n v="0"/>
    <n v="8190"/>
    <n v="1"/>
    <n v="8190"/>
    <n v="1"/>
    <n v="9"/>
    <n v="32"/>
    <n v="2024"/>
    <x v="0"/>
    <x v="0"/>
    <x v="0"/>
  </r>
  <r>
    <x v="0"/>
    <x v="0"/>
    <x v="1"/>
    <x v="18"/>
    <n v="131"/>
    <n v="105"/>
    <n v="23"/>
    <n v="3"/>
    <n v="91098.61"/>
    <n v="14"/>
    <n v="41504.61"/>
    <n v="12"/>
    <n v="24"/>
    <n v="124"/>
    <n v="2024"/>
    <x v="0"/>
    <x v="0"/>
    <x v="0"/>
  </r>
  <r>
    <x v="0"/>
    <x v="0"/>
    <x v="1"/>
    <x v="19"/>
    <n v="12335"/>
    <n v="8917"/>
    <n v="428"/>
    <n v="147"/>
    <n v="1028422.63"/>
    <n v="273"/>
    <n v="691500.87"/>
    <n v="224"/>
    <n v="6124"/>
    <n v="8731"/>
    <n v="2024"/>
    <x v="0"/>
    <x v="0"/>
    <x v="0"/>
  </r>
  <r>
    <x v="0"/>
    <x v="0"/>
    <x v="1"/>
    <x v="20"/>
    <n v="769"/>
    <n v="524"/>
    <n v="10"/>
    <n v="10"/>
    <n v="8404.69"/>
    <n v="5"/>
    <n v="4864.6899999999996"/>
    <n v="3"/>
    <n v="117"/>
    <n v="747"/>
    <n v="2024"/>
    <x v="0"/>
    <x v="0"/>
    <x v="0"/>
  </r>
  <r>
    <x v="0"/>
    <x v="0"/>
    <x v="1"/>
    <x v="21"/>
    <n v="102"/>
    <n v="61"/>
    <n v="2"/>
    <n v="4"/>
    <n v="29258.55"/>
    <n v="5"/>
    <n v="7093.35"/>
    <n v="4"/>
    <n v="21"/>
    <n v="102"/>
    <n v="2024"/>
    <x v="0"/>
    <x v="0"/>
    <x v="0"/>
  </r>
  <r>
    <x v="0"/>
    <x v="0"/>
    <x v="1"/>
    <x v="22"/>
    <n v="53"/>
    <n v="44"/>
    <n v="1"/>
    <n v="0"/>
    <n v="0"/>
    <n v="0"/>
    <n v="0"/>
    <n v="0"/>
    <n v="0"/>
    <n v="6"/>
    <n v="2024"/>
    <x v="0"/>
    <x v="0"/>
    <x v="0"/>
  </r>
  <r>
    <x v="0"/>
    <x v="0"/>
    <x v="1"/>
    <x v="23"/>
    <n v="30631"/>
    <n v="27243"/>
    <n v="148"/>
    <n v="95"/>
    <n v="275869.59999999998"/>
    <n v="88"/>
    <n v="230193.6"/>
    <n v="80"/>
    <n v="1457"/>
    <n v="6828"/>
    <n v="2024"/>
    <x v="0"/>
    <x v="0"/>
    <x v="0"/>
  </r>
  <r>
    <x v="0"/>
    <x v="0"/>
    <x v="1"/>
    <x v="24"/>
    <n v="603"/>
    <n v="339"/>
    <n v="26"/>
    <n v="3"/>
    <n v="66373"/>
    <n v="18"/>
    <n v="57490.5"/>
    <n v="17"/>
    <n v="136"/>
    <n v="519"/>
    <n v="2024"/>
    <x v="0"/>
    <x v="0"/>
    <x v="0"/>
  </r>
  <r>
    <x v="0"/>
    <x v="0"/>
    <x v="1"/>
    <x v="25"/>
    <n v="20"/>
    <n v="15"/>
    <n v="0"/>
    <n v="1"/>
    <n v="0"/>
    <n v="0"/>
    <n v="0"/>
    <n v="0"/>
    <n v="3"/>
    <n v="20"/>
    <n v="2024"/>
    <x v="0"/>
    <x v="0"/>
    <x v="0"/>
  </r>
  <r>
    <x v="0"/>
    <x v="0"/>
    <x v="1"/>
    <x v="26"/>
    <n v="10"/>
    <n v="4"/>
    <n v="0"/>
    <n v="1"/>
    <n v="0"/>
    <n v="0"/>
    <n v="0"/>
    <n v="0"/>
    <n v="0"/>
    <n v="10"/>
    <n v="2024"/>
    <x v="0"/>
    <x v="0"/>
    <x v="0"/>
  </r>
  <r>
    <x v="0"/>
    <x v="0"/>
    <x v="1"/>
    <x v="27"/>
    <n v="2435"/>
    <n v="1422"/>
    <n v="210"/>
    <n v="51"/>
    <n v="726639.96"/>
    <n v="189"/>
    <n v="612323.46"/>
    <n v="178"/>
    <n v="924"/>
    <n v="2256"/>
    <n v="2024"/>
    <x v="0"/>
    <x v="0"/>
    <x v="0"/>
  </r>
  <r>
    <x v="0"/>
    <x v="0"/>
    <x v="1"/>
    <x v="28"/>
    <n v="7"/>
    <n v="3"/>
    <n v="0"/>
    <n v="0"/>
    <n v="0"/>
    <n v="0"/>
    <n v="0"/>
    <n v="0"/>
    <n v="0"/>
    <n v="7"/>
    <n v="2024"/>
    <x v="0"/>
    <x v="0"/>
    <x v="0"/>
  </r>
  <r>
    <x v="0"/>
    <x v="0"/>
    <x v="1"/>
    <x v="29"/>
    <n v="19224"/>
    <n v="16473"/>
    <n v="1270"/>
    <n v="278"/>
    <n v="1291383.6599999999"/>
    <n v="362"/>
    <n v="1013566.18"/>
    <n v="324"/>
    <n v="6062"/>
    <n v="17051"/>
    <n v="2024"/>
    <x v="0"/>
    <x v="0"/>
    <x v="0"/>
  </r>
  <r>
    <x v="0"/>
    <x v="0"/>
    <x v="1"/>
    <x v="30"/>
    <n v="32118"/>
    <n v="24229"/>
    <n v="800"/>
    <n v="338"/>
    <n v="489639.04"/>
    <n v="168"/>
    <n v="391783"/>
    <n v="145"/>
    <n v="4253"/>
    <n v="28951"/>
    <n v="2024"/>
    <x v="0"/>
    <x v="0"/>
    <x v="0"/>
  </r>
  <r>
    <x v="0"/>
    <x v="0"/>
    <x v="1"/>
    <x v="31"/>
    <n v="2740"/>
    <n v="2264"/>
    <n v="85"/>
    <n v="61"/>
    <n v="114835.2"/>
    <n v="24"/>
    <n v="61602.2"/>
    <n v="18"/>
    <n v="417"/>
    <n v="2668"/>
    <n v="2024"/>
    <x v="0"/>
    <x v="0"/>
    <x v="0"/>
  </r>
  <r>
    <x v="0"/>
    <x v="0"/>
    <x v="1"/>
    <x v="32"/>
    <n v="84"/>
    <n v="50"/>
    <n v="4"/>
    <n v="3"/>
    <n v="11443"/>
    <n v="3"/>
    <n v="11443"/>
    <n v="3"/>
    <n v="39"/>
    <n v="77"/>
    <n v="2024"/>
    <x v="0"/>
    <x v="0"/>
    <x v="0"/>
  </r>
  <r>
    <x v="0"/>
    <x v="0"/>
    <x v="1"/>
    <x v="33"/>
    <n v="1"/>
    <n v="1"/>
    <n v="0"/>
    <n v="0"/>
    <n v="0"/>
    <n v="0"/>
    <n v="0"/>
    <n v="0"/>
    <n v="0"/>
    <n v="0"/>
    <n v="2024"/>
    <x v="0"/>
    <x v="0"/>
    <x v="0"/>
  </r>
  <r>
    <x v="0"/>
    <x v="0"/>
    <x v="1"/>
    <x v="34"/>
    <n v="3697"/>
    <n v="2148"/>
    <n v="135"/>
    <n v="59"/>
    <n v="187416.64"/>
    <n v="54"/>
    <n v="143420.48000000001"/>
    <n v="46"/>
    <n v="1460"/>
    <n v="2970"/>
    <n v="2024"/>
    <x v="0"/>
    <x v="0"/>
    <x v="0"/>
  </r>
  <r>
    <x v="0"/>
    <x v="0"/>
    <x v="1"/>
    <x v="35"/>
    <n v="3"/>
    <n v="1"/>
    <n v="0"/>
    <n v="0"/>
    <n v="0"/>
    <n v="0"/>
    <n v="0"/>
    <n v="0"/>
    <n v="0"/>
    <n v="2"/>
    <n v="2024"/>
    <x v="0"/>
    <x v="0"/>
    <x v="0"/>
  </r>
  <r>
    <x v="0"/>
    <x v="0"/>
    <x v="1"/>
    <x v="36"/>
    <n v="15"/>
    <n v="14"/>
    <n v="0"/>
    <n v="0"/>
    <n v="0"/>
    <n v="0"/>
    <n v="0"/>
    <n v="0"/>
    <n v="7"/>
    <n v="10"/>
    <n v="2024"/>
    <x v="0"/>
    <x v="0"/>
    <x v="0"/>
  </r>
  <r>
    <x v="0"/>
    <x v="0"/>
    <x v="1"/>
    <x v="37"/>
    <n v="7198"/>
    <n v="6225"/>
    <n v="86"/>
    <n v="4"/>
    <n v="272871.44"/>
    <n v="77"/>
    <n v="225309.44"/>
    <n v="71"/>
    <n v="1040"/>
    <n v="7077"/>
    <n v="2024"/>
    <x v="0"/>
    <x v="0"/>
    <x v="0"/>
  </r>
  <r>
    <x v="0"/>
    <x v="0"/>
    <x v="1"/>
    <x v="38"/>
    <n v="4618"/>
    <n v="2491"/>
    <n v="399"/>
    <n v="107"/>
    <n v="1062693.3500000001"/>
    <n v="255"/>
    <n v="786684.17"/>
    <n v="226"/>
    <n v="1429"/>
    <n v="4361"/>
    <n v="2024"/>
    <x v="0"/>
    <x v="0"/>
    <x v="0"/>
  </r>
  <r>
    <x v="0"/>
    <x v="0"/>
    <x v="1"/>
    <x v="39"/>
    <n v="161"/>
    <n v="154"/>
    <n v="2"/>
    <n v="5"/>
    <n v="0"/>
    <n v="0"/>
    <n v="0"/>
    <n v="0"/>
    <n v="15"/>
    <n v="161"/>
    <n v="2024"/>
    <x v="0"/>
    <x v="0"/>
    <x v="0"/>
  </r>
  <r>
    <x v="0"/>
    <x v="0"/>
    <x v="1"/>
    <x v="40"/>
    <n v="67"/>
    <n v="49"/>
    <n v="3"/>
    <n v="1"/>
    <n v="0"/>
    <n v="0"/>
    <n v="0"/>
    <n v="0"/>
    <n v="8"/>
    <n v="67"/>
    <n v="2024"/>
    <x v="0"/>
    <x v="0"/>
    <x v="0"/>
  </r>
  <r>
    <x v="0"/>
    <x v="0"/>
    <x v="1"/>
    <x v="41"/>
    <n v="58"/>
    <n v="33"/>
    <n v="0"/>
    <n v="0"/>
    <n v="4755"/>
    <n v="1"/>
    <n v="4755"/>
    <n v="1"/>
    <n v="15"/>
    <n v="54"/>
    <n v="2024"/>
    <x v="0"/>
    <x v="0"/>
    <x v="0"/>
  </r>
  <r>
    <x v="0"/>
    <x v="0"/>
    <x v="1"/>
    <x v="42"/>
    <n v="1771"/>
    <n v="953"/>
    <n v="51"/>
    <n v="24"/>
    <n v="36319.360000000001"/>
    <n v="13"/>
    <n v="20502"/>
    <n v="7"/>
    <n v="255"/>
    <n v="1650"/>
    <n v="2024"/>
    <x v="0"/>
    <x v="0"/>
    <x v="0"/>
  </r>
  <r>
    <x v="0"/>
    <x v="0"/>
    <x v="1"/>
    <x v="43"/>
    <n v="2050"/>
    <n v="1475"/>
    <n v="76"/>
    <n v="25"/>
    <n v="35461.160000000003"/>
    <n v="14"/>
    <n v="31375.66"/>
    <n v="13"/>
    <n v="1682"/>
    <n v="1064"/>
    <n v="2024"/>
    <x v="0"/>
    <x v="0"/>
    <x v="0"/>
  </r>
  <r>
    <x v="0"/>
    <x v="0"/>
    <x v="1"/>
    <x v="44"/>
    <n v="408"/>
    <n v="137"/>
    <n v="8"/>
    <n v="2"/>
    <n v="149122"/>
    <n v="39"/>
    <n v="144627"/>
    <n v="38"/>
    <n v="7"/>
    <n v="408"/>
    <n v="2024"/>
    <x v="0"/>
    <x v="0"/>
    <x v="0"/>
  </r>
  <r>
    <x v="0"/>
    <x v="0"/>
    <x v="1"/>
    <x v="45"/>
    <n v="89"/>
    <n v="67"/>
    <n v="2"/>
    <n v="0"/>
    <n v="0"/>
    <n v="0"/>
    <n v="0"/>
    <n v="0"/>
    <n v="1"/>
    <n v="89"/>
    <n v="2024"/>
    <x v="0"/>
    <x v="0"/>
    <x v="0"/>
  </r>
  <r>
    <x v="0"/>
    <x v="1"/>
    <x v="0"/>
    <x v="0"/>
    <n v="5003"/>
    <n v="2741"/>
    <n v="44"/>
    <n v="12"/>
    <n v="154077.32999999999"/>
    <n v="41"/>
    <n v="144705.32999999999"/>
    <n v="40"/>
    <n v="347"/>
    <n v="4641"/>
    <n v="2024"/>
    <x v="1"/>
    <x v="0"/>
    <x v="0"/>
  </r>
  <r>
    <x v="0"/>
    <x v="1"/>
    <x v="0"/>
    <x v="1"/>
    <n v="305525"/>
    <n v="291958"/>
    <n v="3880"/>
    <n v="1883"/>
    <n v="3930297.2"/>
    <n v="951"/>
    <n v="2700227.49"/>
    <n v="778"/>
    <n v="18287"/>
    <n v="301884"/>
    <n v="2024"/>
    <x v="1"/>
    <x v="0"/>
    <x v="0"/>
  </r>
  <r>
    <x v="0"/>
    <x v="1"/>
    <x v="0"/>
    <x v="2"/>
    <n v="52240"/>
    <n v="47588"/>
    <n v="461"/>
    <n v="155"/>
    <n v="529123"/>
    <n v="104"/>
    <n v="352213.5"/>
    <n v="93"/>
    <n v="52233"/>
    <n v="16370"/>
    <n v="2024"/>
    <x v="1"/>
    <x v="0"/>
    <x v="0"/>
  </r>
  <r>
    <x v="0"/>
    <x v="1"/>
    <x v="0"/>
    <x v="3"/>
    <n v="85436"/>
    <n v="78567"/>
    <n v="34"/>
    <n v="15"/>
    <n v="0"/>
    <n v="0"/>
    <n v="0"/>
    <n v="0"/>
    <n v="211"/>
    <n v="29504"/>
    <n v="2024"/>
    <x v="1"/>
    <x v="0"/>
    <x v="0"/>
  </r>
  <r>
    <x v="0"/>
    <x v="1"/>
    <x v="1"/>
    <x v="46"/>
    <n v="1"/>
    <n v="1"/>
    <n v="0"/>
    <n v="0"/>
    <n v="0"/>
    <n v="0"/>
    <n v="0"/>
    <n v="0"/>
    <n v="0"/>
    <n v="0"/>
    <n v="2024"/>
    <x v="1"/>
    <x v="0"/>
    <x v="0"/>
  </r>
  <r>
    <x v="0"/>
    <x v="1"/>
    <x v="1"/>
    <x v="4"/>
    <n v="1"/>
    <n v="0"/>
    <n v="0"/>
    <n v="0"/>
    <n v="0"/>
    <n v="0"/>
    <n v="0"/>
    <n v="0"/>
    <n v="0"/>
    <n v="1"/>
    <n v="2024"/>
    <x v="1"/>
    <x v="0"/>
    <x v="0"/>
  </r>
  <r>
    <x v="0"/>
    <x v="1"/>
    <x v="1"/>
    <x v="5"/>
    <n v="102"/>
    <n v="80"/>
    <n v="1"/>
    <n v="2"/>
    <n v="0"/>
    <n v="0"/>
    <n v="0"/>
    <n v="0"/>
    <n v="8"/>
    <n v="102"/>
    <n v="2024"/>
    <x v="1"/>
    <x v="0"/>
    <x v="0"/>
  </r>
  <r>
    <x v="0"/>
    <x v="1"/>
    <x v="1"/>
    <x v="6"/>
    <n v="13415"/>
    <n v="13170"/>
    <n v="0"/>
    <n v="0"/>
    <n v="0"/>
    <n v="0"/>
    <n v="0"/>
    <n v="0"/>
    <n v="12"/>
    <n v="43"/>
    <n v="2024"/>
    <x v="1"/>
    <x v="0"/>
    <x v="0"/>
  </r>
  <r>
    <x v="0"/>
    <x v="1"/>
    <x v="1"/>
    <x v="7"/>
    <n v="4692"/>
    <n v="2429"/>
    <n v="769"/>
    <n v="65"/>
    <n v="3328360.82"/>
    <n v="886"/>
    <n v="2837909.32"/>
    <n v="831"/>
    <n v="1743"/>
    <n v="4472"/>
    <n v="2024"/>
    <x v="1"/>
    <x v="0"/>
    <x v="0"/>
  </r>
  <r>
    <x v="0"/>
    <x v="1"/>
    <x v="1"/>
    <x v="8"/>
    <n v="365"/>
    <n v="247"/>
    <n v="2"/>
    <n v="0"/>
    <n v="8526"/>
    <n v="2"/>
    <n v="3354"/>
    <n v="1"/>
    <n v="4"/>
    <n v="120"/>
    <n v="2024"/>
    <x v="1"/>
    <x v="0"/>
    <x v="0"/>
  </r>
  <r>
    <x v="0"/>
    <x v="1"/>
    <x v="1"/>
    <x v="47"/>
    <n v="1"/>
    <n v="1"/>
    <n v="0"/>
    <n v="0"/>
    <n v="0"/>
    <n v="0"/>
    <n v="0"/>
    <n v="0"/>
    <n v="0"/>
    <n v="1"/>
    <n v="2024"/>
    <x v="1"/>
    <x v="0"/>
    <x v="0"/>
  </r>
  <r>
    <x v="0"/>
    <x v="1"/>
    <x v="1"/>
    <x v="9"/>
    <n v="63"/>
    <n v="27"/>
    <n v="0"/>
    <n v="1"/>
    <n v="0"/>
    <n v="0"/>
    <n v="0"/>
    <n v="0"/>
    <n v="4"/>
    <n v="63"/>
    <n v="2024"/>
    <x v="1"/>
    <x v="0"/>
    <x v="0"/>
  </r>
  <r>
    <x v="0"/>
    <x v="1"/>
    <x v="1"/>
    <x v="10"/>
    <n v="1094"/>
    <n v="849"/>
    <n v="27"/>
    <n v="6"/>
    <n v="35441.5"/>
    <n v="10"/>
    <n v="21596.5"/>
    <n v="9"/>
    <n v="90"/>
    <n v="380"/>
    <n v="2024"/>
    <x v="1"/>
    <x v="0"/>
    <x v="0"/>
  </r>
  <r>
    <x v="0"/>
    <x v="1"/>
    <x v="1"/>
    <x v="11"/>
    <n v="57"/>
    <n v="47"/>
    <n v="0"/>
    <n v="2"/>
    <n v="3360"/>
    <n v="1"/>
    <n v="3360"/>
    <n v="1"/>
    <n v="27"/>
    <n v="30"/>
    <n v="2024"/>
    <x v="1"/>
    <x v="0"/>
    <x v="0"/>
  </r>
  <r>
    <x v="0"/>
    <x v="1"/>
    <x v="1"/>
    <x v="13"/>
    <n v="578"/>
    <n v="454"/>
    <n v="18"/>
    <n v="1"/>
    <n v="0"/>
    <n v="0"/>
    <n v="0"/>
    <n v="0"/>
    <n v="12"/>
    <n v="577"/>
    <n v="2024"/>
    <x v="1"/>
    <x v="0"/>
    <x v="0"/>
  </r>
  <r>
    <x v="0"/>
    <x v="1"/>
    <x v="1"/>
    <x v="48"/>
    <n v="1"/>
    <n v="1"/>
    <n v="0"/>
    <n v="0"/>
    <n v="0"/>
    <n v="0"/>
    <n v="0"/>
    <n v="0"/>
    <n v="0"/>
    <n v="1"/>
    <n v="2024"/>
    <x v="1"/>
    <x v="0"/>
    <x v="0"/>
  </r>
  <r>
    <x v="0"/>
    <x v="1"/>
    <x v="1"/>
    <x v="14"/>
    <n v="1"/>
    <n v="1"/>
    <n v="0"/>
    <n v="0"/>
    <n v="0"/>
    <n v="0"/>
    <n v="0"/>
    <n v="0"/>
    <n v="0"/>
    <n v="0"/>
    <n v="2024"/>
    <x v="1"/>
    <x v="0"/>
    <x v="0"/>
  </r>
  <r>
    <x v="0"/>
    <x v="1"/>
    <x v="1"/>
    <x v="49"/>
    <n v="7"/>
    <n v="7"/>
    <n v="0"/>
    <n v="0"/>
    <n v="0"/>
    <n v="0"/>
    <n v="0"/>
    <n v="0"/>
    <n v="0"/>
    <n v="0"/>
    <n v="2024"/>
    <x v="1"/>
    <x v="0"/>
    <x v="0"/>
  </r>
  <r>
    <x v="0"/>
    <x v="1"/>
    <x v="1"/>
    <x v="15"/>
    <n v="313"/>
    <n v="310"/>
    <n v="0"/>
    <n v="2"/>
    <n v="0"/>
    <n v="0"/>
    <n v="0"/>
    <n v="0"/>
    <n v="6"/>
    <n v="313"/>
    <n v="2024"/>
    <x v="1"/>
    <x v="0"/>
    <x v="0"/>
  </r>
  <r>
    <x v="0"/>
    <x v="1"/>
    <x v="1"/>
    <x v="16"/>
    <n v="245"/>
    <n v="89"/>
    <n v="4"/>
    <n v="1"/>
    <n v="17353"/>
    <n v="3"/>
    <n v="13269"/>
    <n v="3"/>
    <n v="22"/>
    <n v="244"/>
    <n v="2024"/>
    <x v="1"/>
    <x v="0"/>
    <x v="0"/>
  </r>
  <r>
    <x v="0"/>
    <x v="1"/>
    <x v="1"/>
    <x v="17"/>
    <n v="63"/>
    <n v="58"/>
    <n v="0"/>
    <n v="0"/>
    <n v="0"/>
    <n v="0"/>
    <n v="0"/>
    <n v="0"/>
    <n v="30"/>
    <n v="33"/>
    <n v="2024"/>
    <x v="1"/>
    <x v="0"/>
    <x v="0"/>
  </r>
  <r>
    <x v="0"/>
    <x v="1"/>
    <x v="1"/>
    <x v="18"/>
    <n v="181"/>
    <n v="160"/>
    <n v="26"/>
    <n v="4"/>
    <n v="68125.440000000002"/>
    <n v="19"/>
    <n v="60295.94"/>
    <n v="18"/>
    <n v="43"/>
    <n v="130"/>
    <n v="2024"/>
    <x v="1"/>
    <x v="0"/>
    <x v="0"/>
  </r>
  <r>
    <x v="0"/>
    <x v="1"/>
    <x v="1"/>
    <x v="19"/>
    <n v="12618"/>
    <n v="9347"/>
    <n v="553"/>
    <n v="134"/>
    <n v="1115286.19"/>
    <n v="288"/>
    <n v="830003.4"/>
    <n v="256"/>
    <n v="6926"/>
    <n v="7304"/>
    <n v="2024"/>
    <x v="1"/>
    <x v="0"/>
    <x v="0"/>
  </r>
  <r>
    <x v="0"/>
    <x v="1"/>
    <x v="1"/>
    <x v="20"/>
    <n v="565"/>
    <n v="311"/>
    <n v="17"/>
    <n v="3"/>
    <n v="16286"/>
    <n v="5"/>
    <n v="9116.5"/>
    <n v="4"/>
    <n v="96"/>
    <n v="535"/>
    <n v="2024"/>
    <x v="1"/>
    <x v="0"/>
    <x v="0"/>
  </r>
  <r>
    <x v="0"/>
    <x v="1"/>
    <x v="1"/>
    <x v="21"/>
    <n v="111"/>
    <n v="56"/>
    <n v="5"/>
    <n v="3"/>
    <n v="16801"/>
    <n v="4"/>
    <n v="10658"/>
    <n v="4"/>
    <n v="16"/>
    <n v="111"/>
    <n v="2024"/>
    <x v="1"/>
    <x v="0"/>
    <x v="0"/>
  </r>
  <r>
    <x v="0"/>
    <x v="1"/>
    <x v="1"/>
    <x v="50"/>
    <n v="1"/>
    <n v="0"/>
    <n v="0"/>
    <n v="0"/>
    <n v="0"/>
    <n v="0"/>
    <n v="0"/>
    <n v="0"/>
    <n v="0"/>
    <n v="0"/>
    <n v="2024"/>
    <x v="1"/>
    <x v="0"/>
    <x v="0"/>
  </r>
  <r>
    <x v="0"/>
    <x v="1"/>
    <x v="1"/>
    <x v="22"/>
    <n v="11"/>
    <n v="9"/>
    <n v="0"/>
    <n v="0"/>
    <n v="0"/>
    <n v="0"/>
    <n v="0"/>
    <n v="0"/>
    <n v="0"/>
    <n v="1"/>
    <n v="2024"/>
    <x v="1"/>
    <x v="0"/>
    <x v="0"/>
  </r>
  <r>
    <x v="0"/>
    <x v="1"/>
    <x v="1"/>
    <x v="23"/>
    <n v="104063"/>
    <n v="100334"/>
    <n v="190"/>
    <n v="102"/>
    <n v="359196.11"/>
    <n v="109"/>
    <n v="260942.02"/>
    <n v="95"/>
    <n v="1261"/>
    <n v="6678"/>
    <n v="2024"/>
    <x v="1"/>
    <x v="0"/>
    <x v="0"/>
  </r>
  <r>
    <x v="0"/>
    <x v="1"/>
    <x v="1"/>
    <x v="24"/>
    <n v="410"/>
    <n v="242"/>
    <n v="38"/>
    <n v="1"/>
    <n v="70481.52"/>
    <n v="27"/>
    <n v="61709.52"/>
    <n v="25"/>
    <n v="116"/>
    <n v="339"/>
    <n v="2024"/>
    <x v="1"/>
    <x v="0"/>
    <x v="0"/>
  </r>
  <r>
    <x v="0"/>
    <x v="1"/>
    <x v="1"/>
    <x v="25"/>
    <n v="17"/>
    <n v="12"/>
    <n v="1"/>
    <n v="2"/>
    <n v="0"/>
    <n v="0"/>
    <n v="0"/>
    <n v="0"/>
    <n v="3"/>
    <n v="17"/>
    <n v="2024"/>
    <x v="1"/>
    <x v="0"/>
    <x v="0"/>
  </r>
  <r>
    <x v="0"/>
    <x v="1"/>
    <x v="1"/>
    <x v="26"/>
    <n v="4"/>
    <n v="1"/>
    <n v="0"/>
    <n v="0"/>
    <n v="0"/>
    <n v="0"/>
    <n v="0"/>
    <n v="0"/>
    <n v="0"/>
    <n v="4"/>
    <n v="2024"/>
    <x v="1"/>
    <x v="0"/>
    <x v="0"/>
  </r>
  <r>
    <x v="0"/>
    <x v="1"/>
    <x v="1"/>
    <x v="27"/>
    <n v="2394"/>
    <n v="1368"/>
    <n v="324"/>
    <n v="51"/>
    <n v="773851.14"/>
    <n v="214"/>
    <n v="624749.64"/>
    <n v="195"/>
    <n v="1000"/>
    <n v="2200"/>
    <n v="2024"/>
    <x v="1"/>
    <x v="0"/>
    <x v="0"/>
  </r>
  <r>
    <x v="0"/>
    <x v="1"/>
    <x v="1"/>
    <x v="28"/>
    <n v="9"/>
    <n v="6"/>
    <n v="0"/>
    <n v="0"/>
    <n v="0"/>
    <n v="0"/>
    <n v="0"/>
    <n v="0"/>
    <n v="1"/>
    <n v="5"/>
    <n v="2024"/>
    <x v="1"/>
    <x v="0"/>
    <x v="0"/>
  </r>
  <r>
    <x v="0"/>
    <x v="1"/>
    <x v="1"/>
    <x v="29"/>
    <n v="15951"/>
    <n v="13660"/>
    <n v="909"/>
    <n v="204"/>
    <n v="760485.34"/>
    <n v="229"/>
    <n v="618933.61"/>
    <n v="205"/>
    <n v="5713"/>
    <n v="13289"/>
    <n v="2024"/>
    <x v="1"/>
    <x v="0"/>
    <x v="0"/>
  </r>
  <r>
    <x v="0"/>
    <x v="1"/>
    <x v="1"/>
    <x v="30"/>
    <n v="86761"/>
    <n v="79801"/>
    <n v="1352"/>
    <n v="584"/>
    <n v="636323.11"/>
    <n v="252"/>
    <n v="495983.6"/>
    <n v="202"/>
    <n v="7498"/>
    <n v="38631"/>
    <n v="2024"/>
    <x v="1"/>
    <x v="0"/>
    <x v="0"/>
  </r>
  <r>
    <x v="0"/>
    <x v="1"/>
    <x v="1"/>
    <x v="31"/>
    <n v="2031"/>
    <n v="1585"/>
    <n v="87"/>
    <n v="52"/>
    <n v="93213.87"/>
    <n v="30"/>
    <n v="68368.87"/>
    <n v="24"/>
    <n v="403"/>
    <n v="1946"/>
    <n v="2024"/>
    <x v="1"/>
    <x v="0"/>
    <x v="0"/>
  </r>
  <r>
    <x v="0"/>
    <x v="1"/>
    <x v="1"/>
    <x v="32"/>
    <n v="89"/>
    <n v="47"/>
    <n v="5"/>
    <n v="3"/>
    <n v="13029"/>
    <n v="2"/>
    <n v="3834"/>
    <n v="1"/>
    <n v="45"/>
    <n v="82"/>
    <n v="2024"/>
    <x v="1"/>
    <x v="0"/>
    <x v="0"/>
  </r>
  <r>
    <x v="0"/>
    <x v="1"/>
    <x v="1"/>
    <x v="33"/>
    <n v="3"/>
    <n v="0"/>
    <n v="0"/>
    <n v="0"/>
    <n v="0"/>
    <n v="0"/>
    <n v="0"/>
    <n v="0"/>
    <n v="0"/>
    <n v="0"/>
    <n v="2024"/>
    <x v="1"/>
    <x v="0"/>
    <x v="0"/>
  </r>
  <r>
    <x v="0"/>
    <x v="1"/>
    <x v="1"/>
    <x v="34"/>
    <n v="3664"/>
    <n v="2151"/>
    <n v="280"/>
    <n v="82"/>
    <n v="281074.84999999998"/>
    <n v="79"/>
    <n v="222197.85"/>
    <n v="67"/>
    <n v="1637"/>
    <n v="3043"/>
    <n v="2024"/>
    <x v="1"/>
    <x v="0"/>
    <x v="0"/>
  </r>
  <r>
    <x v="0"/>
    <x v="1"/>
    <x v="1"/>
    <x v="35"/>
    <n v="1"/>
    <n v="0"/>
    <n v="0"/>
    <n v="0"/>
    <n v="0"/>
    <n v="0"/>
    <n v="0"/>
    <n v="0"/>
    <n v="0"/>
    <n v="0"/>
    <n v="2024"/>
    <x v="1"/>
    <x v="0"/>
    <x v="0"/>
  </r>
  <r>
    <x v="0"/>
    <x v="1"/>
    <x v="1"/>
    <x v="36"/>
    <n v="40"/>
    <n v="35"/>
    <n v="0"/>
    <n v="0"/>
    <n v="0"/>
    <n v="0"/>
    <n v="0"/>
    <n v="0"/>
    <n v="27"/>
    <n v="13"/>
    <n v="2024"/>
    <x v="1"/>
    <x v="0"/>
    <x v="0"/>
  </r>
  <r>
    <x v="0"/>
    <x v="1"/>
    <x v="1"/>
    <x v="37"/>
    <n v="7677"/>
    <n v="6941"/>
    <n v="82"/>
    <n v="0"/>
    <n v="240896.01"/>
    <n v="73"/>
    <n v="222862.51"/>
    <n v="68"/>
    <n v="1073"/>
    <n v="7526"/>
    <n v="2024"/>
    <x v="1"/>
    <x v="0"/>
    <x v="0"/>
  </r>
  <r>
    <x v="0"/>
    <x v="1"/>
    <x v="1"/>
    <x v="38"/>
    <n v="4810"/>
    <n v="2674"/>
    <n v="402"/>
    <n v="104"/>
    <n v="1138070"/>
    <n v="289"/>
    <n v="914718.86"/>
    <n v="267"/>
    <n v="1506"/>
    <n v="4045"/>
    <n v="2024"/>
    <x v="1"/>
    <x v="0"/>
    <x v="0"/>
  </r>
  <r>
    <x v="0"/>
    <x v="1"/>
    <x v="1"/>
    <x v="51"/>
    <n v="7"/>
    <n v="7"/>
    <n v="0"/>
    <n v="0"/>
    <n v="0"/>
    <n v="0"/>
    <n v="0"/>
    <n v="0"/>
    <n v="1"/>
    <n v="4"/>
    <n v="2024"/>
    <x v="1"/>
    <x v="0"/>
    <x v="0"/>
  </r>
  <r>
    <x v="0"/>
    <x v="1"/>
    <x v="1"/>
    <x v="39"/>
    <n v="1"/>
    <n v="0"/>
    <n v="0"/>
    <n v="0"/>
    <n v="0"/>
    <n v="0"/>
    <n v="0"/>
    <n v="0"/>
    <n v="0"/>
    <n v="1"/>
    <n v="2024"/>
    <x v="1"/>
    <x v="0"/>
    <x v="0"/>
  </r>
  <r>
    <x v="0"/>
    <x v="1"/>
    <x v="1"/>
    <x v="40"/>
    <n v="127"/>
    <n v="109"/>
    <n v="3"/>
    <n v="0"/>
    <n v="0"/>
    <n v="0"/>
    <n v="0"/>
    <n v="0"/>
    <n v="2"/>
    <n v="126"/>
    <n v="2024"/>
    <x v="1"/>
    <x v="0"/>
    <x v="0"/>
  </r>
  <r>
    <x v="0"/>
    <x v="1"/>
    <x v="1"/>
    <x v="41"/>
    <n v="42"/>
    <n v="27"/>
    <n v="3"/>
    <n v="0"/>
    <n v="0"/>
    <n v="0"/>
    <n v="0"/>
    <n v="0"/>
    <n v="13"/>
    <n v="40"/>
    <n v="2024"/>
    <x v="1"/>
    <x v="0"/>
    <x v="0"/>
  </r>
  <r>
    <x v="0"/>
    <x v="1"/>
    <x v="1"/>
    <x v="42"/>
    <n v="1198"/>
    <n v="574"/>
    <n v="39"/>
    <n v="19"/>
    <n v="24540.5"/>
    <n v="10"/>
    <n v="13088"/>
    <n v="7"/>
    <n v="175"/>
    <n v="1083"/>
    <n v="2024"/>
    <x v="1"/>
    <x v="0"/>
    <x v="0"/>
  </r>
  <r>
    <x v="0"/>
    <x v="1"/>
    <x v="1"/>
    <x v="43"/>
    <n v="3608"/>
    <n v="2917"/>
    <n v="68"/>
    <n v="27"/>
    <n v="49682"/>
    <n v="20"/>
    <n v="36543"/>
    <n v="16"/>
    <n v="1646"/>
    <n v="1247"/>
    <n v="2024"/>
    <x v="1"/>
    <x v="0"/>
    <x v="0"/>
  </r>
  <r>
    <x v="0"/>
    <x v="1"/>
    <x v="1"/>
    <x v="44"/>
    <n v="213"/>
    <n v="92"/>
    <n v="12"/>
    <n v="3"/>
    <n v="136911.20000000001"/>
    <n v="54"/>
    <n v="130568.2"/>
    <n v="53"/>
    <n v="2"/>
    <n v="213"/>
    <n v="2024"/>
    <x v="1"/>
    <x v="0"/>
    <x v="0"/>
  </r>
  <r>
    <x v="0"/>
    <x v="1"/>
    <x v="1"/>
    <x v="45"/>
    <n v="256"/>
    <n v="183"/>
    <n v="10"/>
    <n v="0"/>
    <n v="11684.5"/>
    <n v="4"/>
    <n v="9447.5"/>
    <n v="3"/>
    <n v="4"/>
    <n v="256"/>
    <n v="2024"/>
    <x v="1"/>
    <x v="0"/>
    <x v="0"/>
  </r>
  <r>
    <x v="0"/>
    <x v="2"/>
    <x v="0"/>
    <x v="0"/>
    <n v="2445"/>
    <n v="1294"/>
    <n v="10"/>
    <n v="5"/>
    <n v="37325"/>
    <n v="4"/>
    <n v="37325"/>
    <n v="4"/>
    <m/>
    <n v="2293"/>
    <n v="2024"/>
    <x v="2"/>
    <x v="0"/>
    <x v="0"/>
  </r>
  <r>
    <x v="0"/>
    <x v="2"/>
    <x v="0"/>
    <x v="1"/>
    <n v="137359"/>
    <n v="131160"/>
    <n v="1223"/>
    <n v="997"/>
    <n v="832220"/>
    <n v="117"/>
    <n v="398860"/>
    <n v="73"/>
    <m/>
    <n v="136880"/>
    <n v="2024"/>
    <x v="2"/>
    <x v="0"/>
    <x v="0"/>
  </r>
  <r>
    <x v="0"/>
    <x v="2"/>
    <x v="0"/>
    <x v="2"/>
    <n v="17559"/>
    <n v="16793"/>
    <n v="289"/>
    <n v="106"/>
    <n v="175080"/>
    <n v="27"/>
    <n v="127385"/>
    <n v="25"/>
    <m/>
    <n v="8415"/>
    <n v="2024"/>
    <x v="2"/>
    <x v="0"/>
    <x v="0"/>
  </r>
  <r>
    <x v="0"/>
    <x v="2"/>
    <x v="0"/>
    <x v="3"/>
    <n v="5"/>
    <n v="2"/>
    <n v="0"/>
    <n v="0"/>
    <n v="0"/>
    <n v="0"/>
    <n v="0"/>
    <n v="0"/>
    <m/>
    <n v="0"/>
    <n v="2024"/>
    <x v="2"/>
    <x v="0"/>
    <x v="0"/>
  </r>
  <r>
    <x v="0"/>
    <x v="2"/>
    <x v="1"/>
    <x v="4"/>
    <n v="1"/>
    <n v="1"/>
    <n v="0"/>
    <n v="0"/>
    <n v="0"/>
    <n v="0"/>
    <n v="0"/>
    <n v="0"/>
    <m/>
    <n v="0"/>
    <n v="2024"/>
    <x v="2"/>
    <x v="0"/>
    <x v="0"/>
  </r>
  <r>
    <x v="0"/>
    <x v="2"/>
    <x v="1"/>
    <x v="5"/>
    <n v="99"/>
    <n v="78"/>
    <n v="1"/>
    <n v="4"/>
    <n v="0"/>
    <n v="0"/>
    <n v="0"/>
    <n v="0"/>
    <m/>
    <n v="99"/>
    <n v="2024"/>
    <x v="2"/>
    <x v="0"/>
    <x v="0"/>
  </r>
  <r>
    <x v="0"/>
    <x v="2"/>
    <x v="1"/>
    <x v="6"/>
    <n v="8"/>
    <n v="3"/>
    <n v="0"/>
    <n v="0"/>
    <n v="0"/>
    <n v="0"/>
    <n v="0"/>
    <n v="0"/>
    <m/>
    <n v="3"/>
    <n v="2024"/>
    <x v="2"/>
    <x v="0"/>
    <x v="0"/>
  </r>
  <r>
    <x v="0"/>
    <x v="2"/>
    <x v="1"/>
    <x v="7"/>
    <n v="1886"/>
    <n v="1145"/>
    <n v="152"/>
    <n v="18"/>
    <n v="528145"/>
    <n v="84"/>
    <n v="491245"/>
    <n v="79"/>
    <m/>
    <n v="1786"/>
    <n v="2024"/>
    <x v="2"/>
    <x v="0"/>
    <x v="0"/>
  </r>
  <r>
    <x v="0"/>
    <x v="2"/>
    <x v="1"/>
    <x v="8"/>
    <n v="21"/>
    <n v="9"/>
    <n v="0"/>
    <n v="0"/>
    <n v="0"/>
    <n v="0"/>
    <n v="0"/>
    <n v="0"/>
    <m/>
    <n v="21"/>
    <n v="2024"/>
    <x v="2"/>
    <x v="0"/>
    <x v="0"/>
  </r>
  <r>
    <x v="0"/>
    <x v="2"/>
    <x v="1"/>
    <x v="47"/>
    <n v="16"/>
    <n v="9"/>
    <n v="0"/>
    <n v="0"/>
    <n v="0"/>
    <n v="0"/>
    <n v="0"/>
    <n v="0"/>
    <m/>
    <n v="16"/>
    <n v="2024"/>
    <x v="2"/>
    <x v="0"/>
    <x v="0"/>
  </r>
  <r>
    <x v="0"/>
    <x v="2"/>
    <x v="1"/>
    <x v="10"/>
    <n v="148"/>
    <n v="109"/>
    <n v="4"/>
    <n v="1"/>
    <n v="0"/>
    <n v="0"/>
    <n v="0"/>
    <n v="0"/>
    <m/>
    <n v="90"/>
    <n v="2024"/>
    <x v="2"/>
    <x v="0"/>
    <x v="0"/>
  </r>
  <r>
    <x v="0"/>
    <x v="2"/>
    <x v="1"/>
    <x v="11"/>
    <n v="152"/>
    <n v="79"/>
    <n v="1"/>
    <n v="0"/>
    <n v="3195"/>
    <n v="1"/>
    <n v="3195"/>
    <n v="1"/>
    <m/>
    <n v="149"/>
    <n v="2024"/>
    <x v="2"/>
    <x v="0"/>
    <x v="0"/>
  </r>
  <r>
    <x v="0"/>
    <x v="2"/>
    <x v="1"/>
    <x v="49"/>
    <n v="1"/>
    <n v="1"/>
    <n v="0"/>
    <n v="0"/>
    <n v="0"/>
    <n v="0"/>
    <n v="0"/>
    <n v="0"/>
    <m/>
    <n v="0"/>
    <n v="2024"/>
    <x v="2"/>
    <x v="0"/>
    <x v="0"/>
  </r>
  <r>
    <x v="0"/>
    <x v="2"/>
    <x v="1"/>
    <x v="15"/>
    <n v="235"/>
    <n v="227"/>
    <n v="0"/>
    <n v="0"/>
    <n v="0"/>
    <n v="0"/>
    <n v="0"/>
    <n v="0"/>
    <m/>
    <n v="234"/>
    <n v="2024"/>
    <x v="2"/>
    <x v="0"/>
    <x v="0"/>
  </r>
  <r>
    <x v="0"/>
    <x v="2"/>
    <x v="1"/>
    <x v="16"/>
    <n v="67"/>
    <n v="38"/>
    <n v="1"/>
    <n v="0"/>
    <n v="0"/>
    <n v="0"/>
    <n v="0"/>
    <n v="0"/>
    <m/>
    <n v="67"/>
    <n v="2024"/>
    <x v="2"/>
    <x v="0"/>
    <x v="0"/>
  </r>
  <r>
    <x v="0"/>
    <x v="2"/>
    <x v="1"/>
    <x v="17"/>
    <n v="21"/>
    <n v="21"/>
    <n v="0"/>
    <n v="1"/>
    <n v="0"/>
    <n v="0"/>
    <n v="0"/>
    <n v="0"/>
    <m/>
    <n v="14"/>
    <n v="2024"/>
    <x v="2"/>
    <x v="0"/>
    <x v="0"/>
  </r>
  <r>
    <x v="0"/>
    <x v="2"/>
    <x v="1"/>
    <x v="18"/>
    <n v="57"/>
    <n v="52"/>
    <n v="6"/>
    <n v="0"/>
    <n v="56880"/>
    <n v="5"/>
    <n v="56880"/>
    <n v="5"/>
    <m/>
    <n v="55"/>
    <n v="2024"/>
    <x v="2"/>
    <x v="0"/>
    <x v="0"/>
  </r>
  <r>
    <x v="0"/>
    <x v="2"/>
    <x v="1"/>
    <x v="19"/>
    <n v="5100"/>
    <n v="3754"/>
    <n v="103"/>
    <n v="42"/>
    <n v="258021.1"/>
    <n v="37"/>
    <n v="234801.1"/>
    <n v="36"/>
    <m/>
    <n v="3001"/>
    <n v="2024"/>
    <x v="2"/>
    <x v="0"/>
    <x v="0"/>
  </r>
  <r>
    <x v="0"/>
    <x v="2"/>
    <x v="1"/>
    <x v="20"/>
    <n v="917"/>
    <n v="663"/>
    <n v="14"/>
    <n v="14"/>
    <n v="20555"/>
    <n v="2"/>
    <n v="20555"/>
    <n v="2"/>
    <m/>
    <n v="789"/>
    <n v="2024"/>
    <x v="2"/>
    <x v="0"/>
    <x v="0"/>
  </r>
  <r>
    <x v="0"/>
    <x v="2"/>
    <x v="1"/>
    <x v="21"/>
    <n v="34"/>
    <n v="20"/>
    <n v="2"/>
    <n v="0"/>
    <n v="14995"/>
    <n v="1"/>
    <n v="14995"/>
    <n v="1"/>
    <m/>
    <n v="34"/>
    <n v="2024"/>
    <x v="2"/>
    <x v="0"/>
    <x v="0"/>
  </r>
  <r>
    <x v="0"/>
    <x v="2"/>
    <x v="1"/>
    <x v="22"/>
    <n v="1"/>
    <n v="1"/>
    <n v="0"/>
    <n v="0"/>
    <n v="0"/>
    <n v="0"/>
    <n v="0"/>
    <n v="0"/>
    <m/>
    <n v="1"/>
    <n v="2024"/>
    <x v="2"/>
    <x v="0"/>
    <x v="0"/>
  </r>
  <r>
    <x v="0"/>
    <x v="2"/>
    <x v="1"/>
    <x v="23"/>
    <n v="2220"/>
    <n v="1402"/>
    <n v="23"/>
    <n v="32"/>
    <n v="76710"/>
    <n v="7"/>
    <n v="51875"/>
    <n v="4"/>
    <m/>
    <n v="1814"/>
    <n v="2024"/>
    <x v="2"/>
    <x v="0"/>
    <x v="0"/>
  </r>
  <r>
    <x v="0"/>
    <x v="2"/>
    <x v="1"/>
    <x v="24"/>
    <n v="118"/>
    <n v="95"/>
    <n v="3"/>
    <n v="0"/>
    <n v="4015"/>
    <n v="2"/>
    <n v="3195"/>
    <n v="1"/>
    <m/>
    <n v="80"/>
    <n v="2024"/>
    <x v="2"/>
    <x v="0"/>
    <x v="0"/>
  </r>
  <r>
    <x v="0"/>
    <x v="2"/>
    <x v="1"/>
    <x v="25"/>
    <n v="18"/>
    <n v="16"/>
    <n v="0"/>
    <n v="0"/>
    <n v="0"/>
    <n v="0"/>
    <n v="0"/>
    <n v="0"/>
    <m/>
    <n v="18"/>
    <n v="2024"/>
    <x v="2"/>
    <x v="0"/>
    <x v="0"/>
  </r>
  <r>
    <x v="0"/>
    <x v="2"/>
    <x v="1"/>
    <x v="27"/>
    <n v="1028"/>
    <n v="740"/>
    <n v="49"/>
    <n v="19"/>
    <n v="219205"/>
    <n v="33"/>
    <n v="214510"/>
    <n v="33"/>
    <m/>
    <n v="897"/>
    <n v="2024"/>
    <x v="2"/>
    <x v="0"/>
    <x v="0"/>
  </r>
  <r>
    <x v="0"/>
    <x v="2"/>
    <x v="1"/>
    <x v="28"/>
    <n v="1"/>
    <n v="0"/>
    <n v="0"/>
    <n v="0"/>
    <n v="0"/>
    <n v="0"/>
    <n v="0"/>
    <n v="0"/>
    <m/>
    <n v="1"/>
    <n v="2024"/>
    <x v="2"/>
    <x v="0"/>
    <x v="0"/>
  </r>
  <r>
    <x v="0"/>
    <x v="2"/>
    <x v="1"/>
    <x v="29"/>
    <n v="9015"/>
    <n v="8088"/>
    <n v="218"/>
    <n v="110"/>
    <n v="132600"/>
    <n v="21"/>
    <n v="103875"/>
    <n v="19"/>
    <m/>
    <n v="7492"/>
    <n v="2024"/>
    <x v="2"/>
    <x v="0"/>
    <x v="0"/>
  </r>
  <r>
    <x v="0"/>
    <x v="2"/>
    <x v="1"/>
    <x v="30"/>
    <n v="7265"/>
    <n v="5322"/>
    <n v="115"/>
    <n v="78"/>
    <n v="118170"/>
    <n v="18"/>
    <n v="87185"/>
    <n v="16"/>
    <m/>
    <n v="6794"/>
    <n v="2024"/>
    <x v="2"/>
    <x v="0"/>
    <x v="0"/>
  </r>
  <r>
    <x v="0"/>
    <x v="2"/>
    <x v="1"/>
    <x v="31"/>
    <n v="1101"/>
    <n v="910"/>
    <n v="53"/>
    <n v="22"/>
    <n v="16430"/>
    <n v="6"/>
    <n v="16430"/>
    <n v="6"/>
    <m/>
    <n v="1043"/>
    <n v="2024"/>
    <x v="2"/>
    <x v="0"/>
    <x v="0"/>
  </r>
  <r>
    <x v="0"/>
    <x v="2"/>
    <x v="1"/>
    <x v="32"/>
    <n v="16"/>
    <n v="7"/>
    <n v="3"/>
    <n v="0"/>
    <n v="2200"/>
    <n v="1"/>
    <n v="2200"/>
    <n v="1"/>
    <m/>
    <n v="15"/>
    <n v="2024"/>
    <x v="2"/>
    <x v="0"/>
    <x v="0"/>
  </r>
  <r>
    <x v="0"/>
    <x v="2"/>
    <x v="1"/>
    <x v="34"/>
    <n v="1141"/>
    <n v="730"/>
    <n v="30"/>
    <n v="16"/>
    <n v="31470"/>
    <n v="7"/>
    <n v="31470"/>
    <n v="7"/>
    <m/>
    <n v="870"/>
    <n v="2024"/>
    <x v="2"/>
    <x v="0"/>
    <x v="0"/>
  </r>
  <r>
    <x v="0"/>
    <x v="2"/>
    <x v="1"/>
    <x v="35"/>
    <n v="2"/>
    <n v="2"/>
    <n v="0"/>
    <n v="0"/>
    <n v="0"/>
    <n v="0"/>
    <n v="0"/>
    <n v="0"/>
    <m/>
    <n v="0"/>
    <n v="2024"/>
    <x v="2"/>
    <x v="0"/>
    <x v="0"/>
  </r>
  <r>
    <x v="0"/>
    <x v="2"/>
    <x v="1"/>
    <x v="36"/>
    <n v="11"/>
    <n v="9"/>
    <n v="0"/>
    <n v="0"/>
    <n v="0"/>
    <n v="0"/>
    <n v="0"/>
    <n v="0"/>
    <m/>
    <n v="7"/>
    <n v="2024"/>
    <x v="2"/>
    <x v="0"/>
    <x v="0"/>
  </r>
  <r>
    <x v="0"/>
    <x v="2"/>
    <x v="1"/>
    <x v="37"/>
    <n v="4033"/>
    <n v="3565"/>
    <n v="32"/>
    <n v="0"/>
    <n v="116603.9"/>
    <n v="13"/>
    <n v="113408.9"/>
    <n v="12"/>
    <m/>
    <n v="3911"/>
    <n v="2024"/>
    <x v="2"/>
    <x v="0"/>
    <x v="0"/>
  </r>
  <r>
    <x v="0"/>
    <x v="2"/>
    <x v="1"/>
    <x v="38"/>
    <n v="2324"/>
    <n v="1509"/>
    <n v="86"/>
    <n v="49"/>
    <n v="301240"/>
    <n v="46"/>
    <n v="264575"/>
    <n v="42"/>
    <m/>
    <n v="2219"/>
    <n v="2024"/>
    <x v="2"/>
    <x v="0"/>
    <x v="0"/>
  </r>
  <r>
    <x v="0"/>
    <x v="2"/>
    <x v="1"/>
    <x v="39"/>
    <n v="10"/>
    <n v="10"/>
    <n v="0"/>
    <n v="0"/>
    <n v="0"/>
    <n v="0"/>
    <n v="0"/>
    <n v="0"/>
    <m/>
    <n v="10"/>
    <n v="2024"/>
    <x v="2"/>
    <x v="0"/>
    <x v="0"/>
  </r>
  <r>
    <x v="0"/>
    <x v="2"/>
    <x v="1"/>
    <x v="40"/>
    <n v="22"/>
    <n v="15"/>
    <n v="0"/>
    <n v="0"/>
    <n v="0"/>
    <n v="0"/>
    <n v="0"/>
    <n v="0"/>
    <m/>
    <n v="22"/>
    <n v="2024"/>
    <x v="2"/>
    <x v="0"/>
    <x v="0"/>
  </r>
  <r>
    <x v="0"/>
    <x v="2"/>
    <x v="1"/>
    <x v="41"/>
    <n v="29"/>
    <n v="23"/>
    <n v="0"/>
    <n v="0"/>
    <n v="0"/>
    <n v="0"/>
    <n v="0"/>
    <n v="0"/>
    <m/>
    <n v="27"/>
    <n v="2024"/>
    <x v="2"/>
    <x v="0"/>
    <x v="0"/>
  </r>
  <r>
    <x v="0"/>
    <x v="2"/>
    <x v="1"/>
    <x v="42"/>
    <n v="1"/>
    <n v="1"/>
    <n v="0"/>
    <n v="0"/>
    <n v="0"/>
    <n v="0"/>
    <n v="0"/>
    <n v="0"/>
    <m/>
    <n v="1"/>
    <n v="2024"/>
    <x v="2"/>
    <x v="0"/>
    <x v="0"/>
  </r>
  <r>
    <x v="0"/>
    <x v="2"/>
    <x v="1"/>
    <x v="43"/>
    <n v="1817"/>
    <n v="1467"/>
    <n v="27"/>
    <n v="16"/>
    <n v="34710"/>
    <n v="5"/>
    <n v="32215"/>
    <n v="4"/>
    <m/>
    <n v="853"/>
    <n v="2024"/>
    <x v="2"/>
    <x v="0"/>
    <x v="0"/>
  </r>
  <r>
    <x v="0"/>
    <x v="2"/>
    <x v="1"/>
    <x v="44"/>
    <n v="46"/>
    <n v="19"/>
    <n v="1"/>
    <n v="0"/>
    <n v="13260"/>
    <n v="2"/>
    <n v="13260"/>
    <n v="2"/>
    <m/>
    <n v="46"/>
    <n v="2024"/>
    <x v="2"/>
    <x v="0"/>
    <x v="0"/>
  </r>
  <r>
    <x v="0"/>
    <x v="2"/>
    <x v="1"/>
    <x v="45"/>
    <n v="2"/>
    <n v="1"/>
    <n v="0"/>
    <n v="0"/>
    <n v="4695"/>
    <n v="1"/>
    <n v="0"/>
    <n v="0"/>
    <m/>
    <n v="1"/>
    <n v="2024"/>
    <x v="2"/>
    <x v="0"/>
    <x v="0"/>
  </r>
  <r>
    <x v="0"/>
    <x v="3"/>
    <x v="0"/>
    <x v="0"/>
    <n v="4979"/>
    <n v="2716"/>
    <n v="72"/>
    <n v="11"/>
    <n v="180142.65"/>
    <n v="51"/>
    <n v="154378.65"/>
    <n v="47"/>
    <m/>
    <n v="4666"/>
    <n v="2023"/>
    <x v="0"/>
    <x v="1"/>
    <x v="0"/>
  </r>
  <r>
    <x v="0"/>
    <x v="3"/>
    <x v="0"/>
    <x v="1"/>
    <n v="268979"/>
    <n v="252246"/>
    <n v="2998"/>
    <n v="1577"/>
    <n v="2566044.75"/>
    <n v="659"/>
    <n v="1822149.25"/>
    <n v="529"/>
    <m/>
    <n v="267505"/>
    <n v="2023"/>
    <x v="0"/>
    <x v="1"/>
    <x v="0"/>
  </r>
  <r>
    <x v="0"/>
    <x v="3"/>
    <x v="0"/>
    <x v="2"/>
    <n v="13121"/>
    <n v="11895"/>
    <n v="362"/>
    <n v="135"/>
    <n v="338258"/>
    <n v="98"/>
    <n v="268787"/>
    <n v="87"/>
    <m/>
    <n v="6405"/>
    <n v="2023"/>
    <x v="0"/>
    <x v="1"/>
    <x v="0"/>
  </r>
  <r>
    <x v="0"/>
    <x v="3"/>
    <x v="0"/>
    <x v="3"/>
    <n v="351"/>
    <n v="349"/>
    <n v="0"/>
    <n v="0"/>
    <n v="0"/>
    <n v="0"/>
    <n v="0"/>
    <n v="0"/>
    <m/>
    <n v="351"/>
    <n v="2023"/>
    <x v="0"/>
    <x v="1"/>
    <x v="0"/>
  </r>
  <r>
    <x v="0"/>
    <x v="3"/>
    <x v="1"/>
    <x v="5"/>
    <n v="893"/>
    <n v="663"/>
    <n v="6"/>
    <n v="6"/>
    <n v="8445"/>
    <n v="2"/>
    <n v="2975"/>
    <n v="1"/>
    <m/>
    <n v="858"/>
    <n v="2023"/>
    <x v="0"/>
    <x v="1"/>
    <x v="0"/>
  </r>
  <r>
    <x v="0"/>
    <x v="3"/>
    <x v="1"/>
    <x v="6"/>
    <n v="112"/>
    <n v="70"/>
    <n v="1"/>
    <n v="1"/>
    <n v="0"/>
    <n v="0"/>
    <n v="0"/>
    <n v="0"/>
    <m/>
    <n v="64"/>
    <n v="2023"/>
    <x v="0"/>
    <x v="1"/>
    <x v="0"/>
  </r>
  <r>
    <x v="0"/>
    <x v="3"/>
    <x v="1"/>
    <x v="7"/>
    <n v="5399"/>
    <n v="3151"/>
    <n v="497"/>
    <n v="59"/>
    <n v="2325709.0699999998"/>
    <n v="642"/>
    <n v="2068066.57"/>
    <n v="606"/>
    <m/>
    <n v="4937"/>
    <n v="2023"/>
    <x v="0"/>
    <x v="1"/>
    <x v="0"/>
  </r>
  <r>
    <x v="0"/>
    <x v="3"/>
    <x v="1"/>
    <x v="8"/>
    <n v="355"/>
    <n v="242"/>
    <n v="2"/>
    <n v="2"/>
    <n v="0"/>
    <n v="0"/>
    <n v="0"/>
    <n v="0"/>
    <m/>
    <n v="355"/>
    <n v="2023"/>
    <x v="0"/>
    <x v="1"/>
    <x v="0"/>
  </r>
  <r>
    <x v="0"/>
    <x v="3"/>
    <x v="1"/>
    <x v="47"/>
    <n v="17"/>
    <n v="4"/>
    <n v="0"/>
    <n v="0"/>
    <n v="0"/>
    <n v="0"/>
    <n v="0"/>
    <n v="0"/>
    <m/>
    <n v="17"/>
    <n v="2023"/>
    <x v="0"/>
    <x v="1"/>
    <x v="0"/>
  </r>
  <r>
    <x v="0"/>
    <x v="3"/>
    <x v="1"/>
    <x v="52"/>
    <n v="4"/>
    <n v="2"/>
    <n v="0"/>
    <n v="0"/>
    <n v="2795"/>
    <n v="1"/>
    <n v="2795"/>
    <n v="1"/>
    <m/>
    <n v="4"/>
    <n v="2023"/>
    <x v="0"/>
    <x v="1"/>
    <x v="0"/>
  </r>
  <r>
    <x v="0"/>
    <x v="3"/>
    <x v="1"/>
    <x v="10"/>
    <n v="325"/>
    <n v="235"/>
    <n v="7"/>
    <n v="4"/>
    <n v="4695"/>
    <n v="1"/>
    <n v="4695"/>
    <n v="1"/>
    <m/>
    <n v="303"/>
    <n v="2023"/>
    <x v="0"/>
    <x v="1"/>
    <x v="0"/>
  </r>
  <r>
    <x v="0"/>
    <x v="3"/>
    <x v="1"/>
    <x v="11"/>
    <n v="21"/>
    <n v="19"/>
    <n v="0"/>
    <n v="0"/>
    <n v="2697"/>
    <n v="1"/>
    <n v="0"/>
    <n v="0"/>
    <m/>
    <n v="16"/>
    <n v="2023"/>
    <x v="0"/>
    <x v="1"/>
    <x v="0"/>
  </r>
  <r>
    <x v="0"/>
    <x v="3"/>
    <x v="1"/>
    <x v="15"/>
    <n v="207"/>
    <n v="165"/>
    <n v="2"/>
    <n v="0"/>
    <n v="41656.5"/>
    <n v="2"/>
    <n v="41656.5"/>
    <n v="2"/>
    <m/>
    <n v="207"/>
    <n v="2023"/>
    <x v="0"/>
    <x v="1"/>
    <x v="0"/>
  </r>
  <r>
    <x v="0"/>
    <x v="3"/>
    <x v="1"/>
    <x v="16"/>
    <n v="2"/>
    <n v="1"/>
    <n v="0"/>
    <n v="0"/>
    <n v="0"/>
    <n v="0"/>
    <n v="0"/>
    <n v="0"/>
    <m/>
    <n v="2"/>
    <n v="2023"/>
    <x v="0"/>
    <x v="1"/>
    <x v="0"/>
  </r>
  <r>
    <x v="0"/>
    <x v="3"/>
    <x v="1"/>
    <x v="17"/>
    <n v="124"/>
    <n v="116"/>
    <n v="2"/>
    <n v="2"/>
    <n v="0"/>
    <n v="0"/>
    <n v="0"/>
    <n v="0"/>
    <m/>
    <n v="112"/>
    <n v="2023"/>
    <x v="0"/>
    <x v="1"/>
    <x v="0"/>
  </r>
  <r>
    <x v="0"/>
    <x v="3"/>
    <x v="1"/>
    <x v="18"/>
    <n v="164"/>
    <n v="138"/>
    <n v="25"/>
    <n v="7"/>
    <n v="92182.41"/>
    <n v="20"/>
    <n v="82901.41"/>
    <n v="20"/>
    <m/>
    <n v="162"/>
    <n v="2023"/>
    <x v="0"/>
    <x v="1"/>
    <x v="0"/>
  </r>
  <r>
    <x v="0"/>
    <x v="3"/>
    <x v="1"/>
    <x v="19"/>
    <n v="9511"/>
    <n v="6983"/>
    <n v="242"/>
    <n v="78"/>
    <n v="409896.93"/>
    <n v="110"/>
    <n v="326996.43"/>
    <n v="101"/>
    <m/>
    <n v="7165"/>
    <n v="2023"/>
    <x v="0"/>
    <x v="1"/>
    <x v="0"/>
  </r>
  <r>
    <x v="0"/>
    <x v="3"/>
    <x v="1"/>
    <x v="53"/>
    <n v="74"/>
    <n v="41"/>
    <n v="2"/>
    <n v="0"/>
    <n v="3483"/>
    <n v="2"/>
    <n v="2488"/>
    <n v="1"/>
    <m/>
    <n v="47"/>
    <n v="2023"/>
    <x v="0"/>
    <x v="1"/>
    <x v="0"/>
  </r>
  <r>
    <x v="0"/>
    <x v="3"/>
    <x v="1"/>
    <x v="20"/>
    <n v="3497"/>
    <n v="3006"/>
    <n v="46"/>
    <n v="25"/>
    <n v="42869.42"/>
    <n v="14"/>
    <n v="37474.42"/>
    <n v="13"/>
    <m/>
    <n v="2136"/>
    <n v="2023"/>
    <x v="0"/>
    <x v="1"/>
    <x v="0"/>
  </r>
  <r>
    <x v="0"/>
    <x v="3"/>
    <x v="1"/>
    <x v="21"/>
    <n v="105"/>
    <n v="66"/>
    <n v="6"/>
    <n v="2"/>
    <n v="16083"/>
    <n v="3"/>
    <n v="16083"/>
    <n v="3"/>
    <m/>
    <n v="104"/>
    <n v="2023"/>
    <x v="0"/>
    <x v="1"/>
    <x v="0"/>
  </r>
  <r>
    <x v="0"/>
    <x v="3"/>
    <x v="1"/>
    <x v="54"/>
    <n v="2"/>
    <n v="2"/>
    <n v="0"/>
    <n v="0"/>
    <n v="0"/>
    <n v="0"/>
    <n v="0"/>
    <n v="0"/>
    <m/>
    <n v="1"/>
    <n v="2023"/>
    <x v="0"/>
    <x v="1"/>
    <x v="0"/>
  </r>
  <r>
    <x v="0"/>
    <x v="3"/>
    <x v="1"/>
    <x v="22"/>
    <n v="16"/>
    <n v="8"/>
    <n v="0"/>
    <n v="0"/>
    <n v="0"/>
    <n v="0"/>
    <n v="0"/>
    <n v="0"/>
    <m/>
    <n v="16"/>
    <n v="2023"/>
    <x v="0"/>
    <x v="1"/>
    <x v="0"/>
  </r>
  <r>
    <x v="0"/>
    <x v="3"/>
    <x v="1"/>
    <x v="23"/>
    <n v="52002"/>
    <n v="51276"/>
    <n v="455"/>
    <n v="102"/>
    <n v="735187.91"/>
    <n v="237"/>
    <n v="499920.91"/>
    <n v="178"/>
    <m/>
    <n v="51648"/>
    <n v="2023"/>
    <x v="0"/>
    <x v="1"/>
    <x v="0"/>
  </r>
  <r>
    <x v="0"/>
    <x v="3"/>
    <x v="1"/>
    <x v="24"/>
    <n v="329"/>
    <n v="237"/>
    <n v="32"/>
    <n v="2"/>
    <n v="74307.350000000006"/>
    <n v="19"/>
    <n v="59857.35"/>
    <n v="17"/>
    <m/>
    <n v="261"/>
    <n v="2023"/>
    <x v="0"/>
    <x v="1"/>
    <x v="0"/>
  </r>
  <r>
    <x v="0"/>
    <x v="3"/>
    <x v="1"/>
    <x v="25"/>
    <n v="666"/>
    <n v="567"/>
    <n v="4"/>
    <n v="7"/>
    <n v="0"/>
    <n v="0"/>
    <n v="0"/>
    <n v="0"/>
    <m/>
    <n v="665"/>
    <n v="2023"/>
    <x v="0"/>
    <x v="1"/>
    <x v="0"/>
  </r>
  <r>
    <x v="0"/>
    <x v="3"/>
    <x v="1"/>
    <x v="26"/>
    <n v="320"/>
    <n v="110"/>
    <n v="6"/>
    <n v="9"/>
    <n v="9735"/>
    <n v="4"/>
    <n v="6737"/>
    <n v="3"/>
    <m/>
    <n v="320"/>
    <n v="2023"/>
    <x v="0"/>
    <x v="1"/>
    <x v="0"/>
  </r>
  <r>
    <x v="0"/>
    <x v="3"/>
    <x v="1"/>
    <x v="27"/>
    <n v="1512"/>
    <n v="761"/>
    <n v="143"/>
    <n v="39"/>
    <n v="492578.5"/>
    <n v="139"/>
    <n v="430024.5"/>
    <n v="131"/>
    <m/>
    <n v="1431"/>
    <n v="2023"/>
    <x v="0"/>
    <x v="1"/>
    <x v="0"/>
  </r>
  <r>
    <x v="0"/>
    <x v="3"/>
    <x v="1"/>
    <x v="29"/>
    <n v="20150"/>
    <n v="17471"/>
    <n v="985"/>
    <n v="377"/>
    <n v="774667"/>
    <n v="256"/>
    <n v="579735"/>
    <n v="210"/>
    <m/>
    <n v="18546"/>
    <n v="2023"/>
    <x v="0"/>
    <x v="1"/>
    <x v="0"/>
  </r>
  <r>
    <x v="0"/>
    <x v="3"/>
    <x v="1"/>
    <x v="30"/>
    <n v="91925"/>
    <n v="83574"/>
    <n v="606"/>
    <n v="375"/>
    <n v="347387.08"/>
    <n v="99"/>
    <n v="235392.08"/>
    <n v="83"/>
    <m/>
    <n v="65456"/>
    <n v="2023"/>
    <x v="0"/>
    <x v="1"/>
    <x v="0"/>
  </r>
  <r>
    <x v="0"/>
    <x v="3"/>
    <x v="1"/>
    <x v="31"/>
    <n v="1311"/>
    <n v="1046"/>
    <n v="50"/>
    <n v="34"/>
    <n v="70682.5"/>
    <n v="16"/>
    <n v="40593"/>
    <n v="12"/>
    <m/>
    <n v="1262"/>
    <n v="2023"/>
    <x v="0"/>
    <x v="1"/>
    <x v="0"/>
  </r>
  <r>
    <x v="0"/>
    <x v="3"/>
    <x v="1"/>
    <x v="32"/>
    <n v="5"/>
    <n v="1"/>
    <n v="0"/>
    <n v="0"/>
    <n v="2488"/>
    <n v="1"/>
    <n v="2488"/>
    <n v="1"/>
    <m/>
    <n v="3"/>
    <n v="2023"/>
    <x v="0"/>
    <x v="1"/>
    <x v="0"/>
  </r>
  <r>
    <x v="0"/>
    <x v="3"/>
    <x v="1"/>
    <x v="34"/>
    <n v="2747"/>
    <n v="1554"/>
    <n v="132"/>
    <n v="56"/>
    <n v="138478.10999999999"/>
    <n v="40"/>
    <n v="111566.11"/>
    <n v="31"/>
    <m/>
    <n v="2474"/>
    <n v="2023"/>
    <x v="0"/>
    <x v="1"/>
    <x v="0"/>
  </r>
  <r>
    <x v="0"/>
    <x v="3"/>
    <x v="1"/>
    <x v="36"/>
    <n v="33"/>
    <n v="26"/>
    <n v="0"/>
    <n v="0"/>
    <n v="1810"/>
    <n v="1"/>
    <n v="1810"/>
    <n v="1"/>
    <m/>
    <n v="18"/>
    <n v="2023"/>
    <x v="0"/>
    <x v="1"/>
    <x v="0"/>
  </r>
  <r>
    <x v="0"/>
    <x v="3"/>
    <x v="1"/>
    <x v="37"/>
    <n v="5606"/>
    <n v="4734"/>
    <n v="245"/>
    <n v="1"/>
    <n v="175681.5"/>
    <n v="53"/>
    <n v="163301.5"/>
    <n v="51"/>
    <m/>
    <n v="5455"/>
    <n v="2023"/>
    <x v="0"/>
    <x v="1"/>
    <x v="0"/>
  </r>
  <r>
    <x v="0"/>
    <x v="3"/>
    <x v="1"/>
    <x v="38"/>
    <n v="10731"/>
    <n v="8030"/>
    <n v="403"/>
    <n v="141"/>
    <n v="951794.21"/>
    <n v="238"/>
    <n v="802042.21"/>
    <n v="220"/>
    <m/>
    <n v="6795"/>
    <n v="2023"/>
    <x v="0"/>
    <x v="1"/>
    <x v="0"/>
  </r>
  <r>
    <x v="0"/>
    <x v="3"/>
    <x v="1"/>
    <x v="39"/>
    <n v="201"/>
    <n v="147"/>
    <n v="2"/>
    <n v="1"/>
    <n v="0"/>
    <n v="0"/>
    <n v="0"/>
    <n v="0"/>
    <m/>
    <n v="201"/>
    <n v="2023"/>
    <x v="0"/>
    <x v="1"/>
    <x v="0"/>
  </r>
  <r>
    <x v="0"/>
    <x v="3"/>
    <x v="1"/>
    <x v="40"/>
    <n v="36"/>
    <n v="17"/>
    <n v="0"/>
    <n v="1"/>
    <n v="0"/>
    <n v="0"/>
    <n v="0"/>
    <n v="0"/>
    <m/>
    <n v="36"/>
    <n v="2023"/>
    <x v="0"/>
    <x v="1"/>
    <x v="0"/>
  </r>
  <r>
    <x v="0"/>
    <x v="3"/>
    <x v="1"/>
    <x v="41"/>
    <n v="61"/>
    <n v="40"/>
    <n v="3"/>
    <n v="0"/>
    <n v="0"/>
    <n v="0"/>
    <n v="0"/>
    <n v="0"/>
    <m/>
    <n v="54"/>
    <n v="2023"/>
    <x v="0"/>
    <x v="1"/>
    <x v="0"/>
  </r>
  <r>
    <x v="0"/>
    <x v="3"/>
    <x v="1"/>
    <x v="55"/>
    <n v="3"/>
    <n v="3"/>
    <n v="0"/>
    <n v="0"/>
    <n v="0"/>
    <n v="0"/>
    <n v="0"/>
    <n v="0"/>
    <m/>
    <n v="3"/>
    <n v="2023"/>
    <x v="0"/>
    <x v="1"/>
    <x v="0"/>
  </r>
  <r>
    <x v="0"/>
    <x v="3"/>
    <x v="1"/>
    <x v="56"/>
    <n v="51"/>
    <n v="34"/>
    <n v="0"/>
    <n v="0"/>
    <n v="0"/>
    <n v="0"/>
    <n v="0"/>
    <n v="0"/>
    <m/>
    <n v="51"/>
    <n v="2023"/>
    <x v="0"/>
    <x v="1"/>
    <x v="0"/>
  </r>
  <r>
    <x v="0"/>
    <x v="3"/>
    <x v="1"/>
    <x v="42"/>
    <n v="1661"/>
    <n v="1106"/>
    <n v="39"/>
    <n v="21"/>
    <n v="62091"/>
    <n v="17"/>
    <n v="50305"/>
    <n v="14"/>
    <m/>
    <n v="1554"/>
    <n v="2023"/>
    <x v="0"/>
    <x v="1"/>
    <x v="0"/>
  </r>
  <r>
    <x v="0"/>
    <x v="3"/>
    <x v="1"/>
    <x v="43"/>
    <n v="2383"/>
    <n v="1684"/>
    <n v="84"/>
    <n v="31"/>
    <n v="86315.08"/>
    <n v="23"/>
    <n v="52736.08"/>
    <n v="18"/>
    <m/>
    <n v="1376"/>
    <n v="2023"/>
    <x v="0"/>
    <x v="1"/>
    <x v="0"/>
  </r>
  <r>
    <x v="0"/>
    <x v="3"/>
    <x v="1"/>
    <x v="44"/>
    <n v="164"/>
    <n v="86"/>
    <n v="17"/>
    <n v="0"/>
    <n v="151103.5"/>
    <n v="48"/>
    <n v="134328.5"/>
    <n v="45"/>
    <m/>
    <n v="163"/>
    <n v="2023"/>
    <x v="0"/>
    <x v="1"/>
    <x v="0"/>
  </r>
  <r>
    <x v="0"/>
    <x v="4"/>
    <x v="0"/>
    <x v="0"/>
    <n v="3908"/>
    <n v="2195"/>
    <n v="23"/>
    <n v="12"/>
    <n v="66722"/>
    <n v="15"/>
    <n v="32481"/>
    <n v="11"/>
    <m/>
    <n v="3555"/>
    <n v="2023"/>
    <x v="1"/>
    <x v="1"/>
    <x v="0"/>
  </r>
  <r>
    <x v="0"/>
    <x v="4"/>
    <x v="0"/>
    <x v="1"/>
    <n v="261101"/>
    <n v="252463"/>
    <n v="2642"/>
    <n v="1518"/>
    <n v="1466214"/>
    <n v="391"/>
    <n v="733642"/>
    <n v="215"/>
    <m/>
    <n v="258889"/>
    <n v="2023"/>
    <x v="1"/>
    <x v="1"/>
    <x v="0"/>
  </r>
  <r>
    <x v="0"/>
    <x v="4"/>
    <x v="0"/>
    <x v="2"/>
    <n v="13751"/>
    <n v="12789"/>
    <n v="358"/>
    <n v="127"/>
    <n v="309046"/>
    <n v="52"/>
    <n v="243145"/>
    <n v="41"/>
    <m/>
    <n v="6777"/>
    <n v="2023"/>
    <x v="1"/>
    <x v="1"/>
    <x v="0"/>
  </r>
  <r>
    <x v="0"/>
    <x v="4"/>
    <x v="0"/>
    <x v="3"/>
    <n v="3"/>
    <n v="3"/>
    <n v="0"/>
    <n v="0"/>
    <n v="0"/>
    <n v="0"/>
    <n v="0"/>
    <n v="0"/>
    <m/>
    <n v="3"/>
    <n v="2023"/>
    <x v="1"/>
    <x v="1"/>
    <x v="0"/>
  </r>
  <r>
    <x v="0"/>
    <x v="4"/>
    <x v="1"/>
    <x v="57"/>
    <n v="14"/>
    <n v="7"/>
    <n v="0"/>
    <n v="0"/>
    <n v="0"/>
    <n v="0"/>
    <n v="0"/>
    <n v="0"/>
    <n v="0"/>
    <n v="14"/>
    <n v="2023"/>
    <x v="1"/>
    <x v="1"/>
    <x v="0"/>
  </r>
  <r>
    <x v="0"/>
    <x v="4"/>
    <x v="1"/>
    <x v="5"/>
    <n v="1360"/>
    <n v="1116"/>
    <n v="4"/>
    <n v="9"/>
    <n v="2998"/>
    <n v="1"/>
    <n v="0"/>
    <n v="0"/>
    <m/>
    <n v="1318"/>
    <n v="2023"/>
    <x v="1"/>
    <x v="1"/>
    <x v="0"/>
  </r>
  <r>
    <x v="0"/>
    <x v="4"/>
    <x v="1"/>
    <x v="6"/>
    <n v="166"/>
    <n v="79"/>
    <n v="1"/>
    <n v="2"/>
    <n v="0"/>
    <n v="0"/>
    <n v="0"/>
    <n v="0"/>
    <m/>
    <n v="78"/>
    <n v="2023"/>
    <x v="1"/>
    <x v="1"/>
    <x v="0"/>
  </r>
  <r>
    <x v="0"/>
    <x v="4"/>
    <x v="1"/>
    <x v="7"/>
    <n v="3731"/>
    <n v="2131"/>
    <n v="340"/>
    <n v="50"/>
    <n v="1445432"/>
    <n v="354"/>
    <n v="1037703"/>
    <n v="257"/>
    <m/>
    <n v="3624"/>
    <n v="2023"/>
    <x v="1"/>
    <x v="1"/>
    <x v="0"/>
  </r>
  <r>
    <x v="0"/>
    <x v="4"/>
    <x v="1"/>
    <x v="8"/>
    <n v="161"/>
    <n v="100"/>
    <n v="3"/>
    <n v="0"/>
    <n v="3195"/>
    <n v="1"/>
    <n v="3195"/>
    <n v="1"/>
    <m/>
    <n v="161"/>
    <n v="2023"/>
    <x v="1"/>
    <x v="1"/>
    <x v="0"/>
  </r>
  <r>
    <x v="0"/>
    <x v="4"/>
    <x v="1"/>
    <x v="47"/>
    <n v="12"/>
    <n v="6"/>
    <n v="0"/>
    <n v="0"/>
    <n v="0"/>
    <n v="0"/>
    <n v="0"/>
    <n v="0"/>
    <m/>
    <n v="12"/>
    <n v="2023"/>
    <x v="1"/>
    <x v="1"/>
    <x v="0"/>
  </r>
  <r>
    <x v="0"/>
    <x v="4"/>
    <x v="1"/>
    <x v="58"/>
    <n v="12"/>
    <n v="6"/>
    <n v="0"/>
    <n v="0"/>
    <n v="0"/>
    <n v="0"/>
    <n v="0"/>
    <n v="0"/>
    <n v="0"/>
    <n v="12"/>
    <n v="2023"/>
    <x v="1"/>
    <x v="1"/>
    <x v="0"/>
  </r>
  <r>
    <x v="0"/>
    <x v="4"/>
    <x v="1"/>
    <x v="10"/>
    <n v="287"/>
    <n v="217"/>
    <n v="4"/>
    <n v="11"/>
    <n v="0"/>
    <n v="0"/>
    <n v="0"/>
    <n v="0"/>
    <m/>
    <n v="266"/>
    <n v="2023"/>
    <x v="1"/>
    <x v="1"/>
    <x v="0"/>
  </r>
  <r>
    <x v="0"/>
    <x v="4"/>
    <x v="1"/>
    <x v="11"/>
    <n v="29"/>
    <n v="24"/>
    <n v="0"/>
    <n v="0"/>
    <n v="0"/>
    <n v="0"/>
    <n v="0"/>
    <n v="0"/>
    <m/>
    <n v="24"/>
    <n v="2023"/>
    <x v="1"/>
    <x v="1"/>
    <x v="0"/>
  </r>
  <r>
    <x v="0"/>
    <x v="4"/>
    <x v="1"/>
    <x v="15"/>
    <n v="72"/>
    <n v="57"/>
    <n v="2"/>
    <n v="0"/>
    <n v="0"/>
    <n v="0"/>
    <n v="0"/>
    <n v="0"/>
    <m/>
    <n v="72"/>
    <n v="2023"/>
    <x v="1"/>
    <x v="1"/>
    <x v="0"/>
  </r>
  <r>
    <x v="0"/>
    <x v="4"/>
    <x v="1"/>
    <x v="17"/>
    <n v="115"/>
    <n v="112"/>
    <n v="2"/>
    <n v="1"/>
    <n v="995"/>
    <n v="1"/>
    <n v="970"/>
    <n v="1"/>
    <m/>
    <n v="103"/>
    <n v="2023"/>
    <x v="1"/>
    <x v="1"/>
    <x v="0"/>
  </r>
  <r>
    <x v="0"/>
    <x v="4"/>
    <x v="1"/>
    <x v="18"/>
    <n v="109"/>
    <n v="102"/>
    <n v="7"/>
    <n v="3"/>
    <n v="23025.54"/>
    <n v="8"/>
    <n v="17626.54"/>
    <n v="6"/>
    <m/>
    <n v="107"/>
    <n v="2023"/>
    <x v="1"/>
    <x v="1"/>
    <x v="0"/>
  </r>
  <r>
    <x v="0"/>
    <x v="4"/>
    <x v="1"/>
    <x v="19"/>
    <n v="8171"/>
    <n v="6180"/>
    <n v="183"/>
    <n v="75"/>
    <n v="236826.64"/>
    <n v="69"/>
    <n v="195803.64"/>
    <n v="54"/>
    <m/>
    <n v="6012"/>
    <n v="2023"/>
    <x v="1"/>
    <x v="1"/>
    <x v="0"/>
  </r>
  <r>
    <x v="0"/>
    <x v="4"/>
    <x v="1"/>
    <x v="53"/>
    <n v="107"/>
    <n v="85"/>
    <n v="2"/>
    <n v="1"/>
    <n v="0"/>
    <n v="0"/>
    <n v="0"/>
    <n v="0"/>
    <m/>
    <n v="53"/>
    <n v="2023"/>
    <x v="1"/>
    <x v="1"/>
    <x v="0"/>
  </r>
  <r>
    <x v="0"/>
    <x v="4"/>
    <x v="1"/>
    <x v="20"/>
    <n v="4027"/>
    <n v="3277"/>
    <n v="43"/>
    <n v="38"/>
    <n v="45576.01"/>
    <n v="7"/>
    <n v="24828.01"/>
    <n v="5"/>
    <m/>
    <n v="2898"/>
    <n v="2023"/>
    <x v="1"/>
    <x v="1"/>
    <x v="0"/>
  </r>
  <r>
    <x v="0"/>
    <x v="4"/>
    <x v="1"/>
    <x v="21"/>
    <n v="105"/>
    <n v="72"/>
    <n v="4"/>
    <n v="1"/>
    <n v="7295"/>
    <n v="2"/>
    <n v="7295"/>
    <n v="2"/>
    <m/>
    <n v="105"/>
    <n v="2023"/>
    <x v="1"/>
    <x v="1"/>
    <x v="0"/>
  </r>
  <r>
    <x v="0"/>
    <x v="4"/>
    <x v="1"/>
    <x v="22"/>
    <n v="18"/>
    <n v="11"/>
    <n v="3"/>
    <n v="0"/>
    <n v="1188"/>
    <n v="1"/>
    <n v="0"/>
    <n v="0"/>
    <m/>
    <n v="16"/>
    <n v="2023"/>
    <x v="1"/>
    <x v="1"/>
    <x v="0"/>
  </r>
  <r>
    <x v="0"/>
    <x v="4"/>
    <x v="1"/>
    <x v="23"/>
    <n v="1898"/>
    <n v="1411"/>
    <n v="36"/>
    <n v="12"/>
    <n v="46938"/>
    <n v="13"/>
    <n v="33892"/>
    <n v="10"/>
    <m/>
    <n v="1545"/>
    <n v="2023"/>
    <x v="1"/>
    <x v="1"/>
    <x v="0"/>
  </r>
  <r>
    <x v="0"/>
    <x v="4"/>
    <x v="1"/>
    <x v="24"/>
    <n v="278"/>
    <n v="197"/>
    <n v="11"/>
    <n v="3"/>
    <n v="21975"/>
    <n v="7"/>
    <n v="14765"/>
    <n v="4"/>
    <m/>
    <n v="228"/>
    <n v="2023"/>
    <x v="1"/>
    <x v="1"/>
    <x v="0"/>
  </r>
  <r>
    <x v="0"/>
    <x v="4"/>
    <x v="1"/>
    <x v="25"/>
    <n v="1575"/>
    <n v="1386"/>
    <n v="15"/>
    <n v="20"/>
    <n v="4250"/>
    <n v="1"/>
    <n v="0"/>
    <n v="0"/>
    <m/>
    <n v="1573"/>
    <n v="2023"/>
    <x v="1"/>
    <x v="1"/>
    <x v="0"/>
  </r>
  <r>
    <x v="0"/>
    <x v="4"/>
    <x v="1"/>
    <x v="26"/>
    <n v="61"/>
    <n v="24"/>
    <n v="1"/>
    <n v="1"/>
    <n v="5940"/>
    <n v="1"/>
    <n v="2945"/>
    <n v="1"/>
    <m/>
    <n v="61"/>
    <n v="2023"/>
    <x v="1"/>
    <x v="1"/>
    <x v="0"/>
  </r>
  <r>
    <x v="0"/>
    <x v="4"/>
    <x v="1"/>
    <x v="27"/>
    <n v="1297"/>
    <n v="735"/>
    <n v="95"/>
    <n v="33"/>
    <n v="411206.11"/>
    <n v="100"/>
    <n v="272380.11"/>
    <n v="72"/>
    <m/>
    <n v="1225"/>
    <n v="2023"/>
    <x v="1"/>
    <x v="1"/>
    <x v="0"/>
  </r>
  <r>
    <x v="0"/>
    <x v="4"/>
    <x v="1"/>
    <x v="29"/>
    <n v="16243"/>
    <n v="14249"/>
    <n v="498"/>
    <n v="286"/>
    <n v="338536"/>
    <n v="83"/>
    <n v="209192"/>
    <n v="54"/>
    <m/>
    <n v="14511"/>
    <n v="2023"/>
    <x v="1"/>
    <x v="1"/>
    <x v="0"/>
  </r>
  <r>
    <x v="0"/>
    <x v="4"/>
    <x v="1"/>
    <x v="30"/>
    <n v="122025"/>
    <n v="114661"/>
    <n v="510"/>
    <n v="412"/>
    <n v="181323"/>
    <n v="54"/>
    <n v="90994"/>
    <n v="26"/>
    <m/>
    <n v="109063"/>
    <n v="2023"/>
    <x v="1"/>
    <x v="1"/>
    <x v="0"/>
  </r>
  <r>
    <x v="0"/>
    <x v="4"/>
    <x v="1"/>
    <x v="31"/>
    <n v="1739"/>
    <n v="1427"/>
    <n v="57"/>
    <n v="40"/>
    <n v="65970"/>
    <n v="10"/>
    <n v="33230"/>
    <n v="6"/>
    <m/>
    <n v="1673"/>
    <n v="2023"/>
    <x v="1"/>
    <x v="1"/>
    <x v="0"/>
  </r>
  <r>
    <x v="0"/>
    <x v="4"/>
    <x v="1"/>
    <x v="32"/>
    <n v="3"/>
    <n v="2"/>
    <n v="0"/>
    <n v="0"/>
    <n v="0"/>
    <n v="0"/>
    <n v="0"/>
    <n v="0"/>
    <m/>
    <n v="1"/>
    <n v="2023"/>
    <x v="1"/>
    <x v="1"/>
    <x v="0"/>
  </r>
  <r>
    <x v="0"/>
    <x v="4"/>
    <x v="1"/>
    <x v="34"/>
    <n v="3066"/>
    <n v="1866"/>
    <n v="125"/>
    <n v="51"/>
    <n v="84261"/>
    <n v="30"/>
    <n v="33158"/>
    <n v="10"/>
    <m/>
    <n v="2764"/>
    <n v="2023"/>
    <x v="1"/>
    <x v="1"/>
    <x v="0"/>
  </r>
  <r>
    <x v="0"/>
    <x v="4"/>
    <x v="1"/>
    <x v="36"/>
    <n v="36"/>
    <n v="33"/>
    <n v="0"/>
    <n v="0"/>
    <n v="0"/>
    <n v="0"/>
    <n v="0"/>
    <n v="0"/>
    <m/>
    <n v="16"/>
    <n v="2023"/>
    <x v="1"/>
    <x v="1"/>
    <x v="0"/>
  </r>
  <r>
    <x v="0"/>
    <x v="4"/>
    <x v="1"/>
    <x v="37"/>
    <n v="4990"/>
    <n v="4437"/>
    <n v="208"/>
    <n v="3"/>
    <n v="137111"/>
    <n v="33"/>
    <n v="107308"/>
    <n v="23"/>
    <m/>
    <n v="4837"/>
    <n v="2023"/>
    <x v="1"/>
    <x v="1"/>
    <x v="0"/>
  </r>
  <r>
    <x v="0"/>
    <x v="4"/>
    <x v="1"/>
    <x v="38"/>
    <n v="4335"/>
    <n v="2797"/>
    <n v="187"/>
    <n v="85"/>
    <n v="472291.44"/>
    <n v="114"/>
    <n v="426541.44"/>
    <n v="117"/>
    <m/>
    <n v="4219"/>
    <n v="2023"/>
    <x v="1"/>
    <x v="1"/>
    <x v="0"/>
  </r>
  <r>
    <x v="0"/>
    <x v="4"/>
    <x v="1"/>
    <x v="39"/>
    <n v="42"/>
    <n v="25"/>
    <n v="2"/>
    <n v="1"/>
    <n v="3718"/>
    <n v="1"/>
    <n v="0"/>
    <n v="0"/>
    <m/>
    <n v="42"/>
    <n v="2023"/>
    <x v="1"/>
    <x v="1"/>
    <x v="0"/>
  </r>
  <r>
    <x v="0"/>
    <x v="4"/>
    <x v="1"/>
    <x v="40"/>
    <n v="80"/>
    <n v="35"/>
    <n v="3"/>
    <n v="0"/>
    <n v="0"/>
    <n v="0"/>
    <n v="0"/>
    <n v="0"/>
    <m/>
    <n v="80"/>
    <n v="2023"/>
    <x v="1"/>
    <x v="1"/>
    <x v="0"/>
  </r>
  <r>
    <x v="0"/>
    <x v="4"/>
    <x v="1"/>
    <x v="41"/>
    <n v="48"/>
    <n v="40"/>
    <n v="3"/>
    <n v="0"/>
    <n v="1980"/>
    <n v="1"/>
    <n v="0"/>
    <n v="0"/>
    <m/>
    <n v="45"/>
    <n v="2023"/>
    <x v="1"/>
    <x v="1"/>
    <x v="0"/>
  </r>
  <r>
    <x v="0"/>
    <x v="4"/>
    <x v="1"/>
    <x v="55"/>
    <n v="6"/>
    <n v="2"/>
    <n v="0"/>
    <n v="0"/>
    <n v="0"/>
    <n v="0"/>
    <n v="0"/>
    <n v="0"/>
    <m/>
    <n v="6"/>
    <n v="2023"/>
    <x v="1"/>
    <x v="1"/>
    <x v="0"/>
  </r>
  <r>
    <x v="0"/>
    <x v="4"/>
    <x v="1"/>
    <x v="56"/>
    <n v="14"/>
    <n v="7"/>
    <n v="0"/>
    <n v="0"/>
    <n v="0"/>
    <n v="0"/>
    <n v="0"/>
    <n v="0"/>
    <m/>
    <n v="14"/>
    <n v="2023"/>
    <x v="1"/>
    <x v="1"/>
    <x v="0"/>
  </r>
  <r>
    <x v="0"/>
    <x v="4"/>
    <x v="1"/>
    <x v="42"/>
    <n v="1432"/>
    <n v="1128"/>
    <n v="15"/>
    <n v="14"/>
    <n v="16359"/>
    <n v="6"/>
    <n v="7518"/>
    <n v="3"/>
    <m/>
    <n v="1409"/>
    <n v="2023"/>
    <x v="1"/>
    <x v="1"/>
    <x v="0"/>
  </r>
  <r>
    <x v="0"/>
    <x v="4"/>
    <x v="1"/>
    <x v="43"/>
    <n v="2885"/>
    <n v="2246"/>
    <n v="87"/>
    <n v="41"/>
    <n v="35807"/>
    <n v="12"/>
    <n v="22884"/>
    <n v="7"/>
    <m/>
    <n v="1614"/>
    <n v="2023"/>
    <x v="1"/>
    <x v="1"/>
    <x v="0"/>
  </r>
  <r>
    <x v="0"/>
    <x v="4"/>
    <x v="1"/>
    <x v="44"/>
    <n v="148"/>
    <n v="93"/>
    <n v="6"/>
    <n v="1"/>
    <n v="90269"/>
    <n v="16"/>
    <n v="85158"/>
    <n v="17"/>
    <m/>
    <n v="148"/>
    <n v="2023"/>
    <x v="1"/>
    <x v="1"/>
    <x v="0"/>
  </r>
  <r>
    <x v="0"/>
    <x v="5"/>
    <x v="0"/>
    <x v="0"/>
    <n v="4911"/>
    <n v="3942"/>
    <n v="6"/>
    <n v="5"/>
    <n v="84255"/>
    <n v="6"/>
    <n v="70470"/>
    <n v="6"/>
    <m/>
    <n v="4682"/>
    <n v="2023"/>
    <x v="2"/>
    <x v="1"/>
    <x v="0"/>
  </r>
  <r>
    <x v="0"/>
    <x v="5"/>
    <x v="0"/>
    <x v="1"/>
    <n v="113691"/>
    <n v="106338"/>
    <n v="1164"/>
    <n v="964"/>
    <n v="726885"/>
    <n v="132"/>
    <n v="371485"/>
    <n v="81"/>
    <m/>
    <n v="112492"/>
    <n v="2023"/>
    <x v="2"/>
    <x v="1"/>
    <x v="0"/>
  </r>
  <r>
    <x v="0"/>
    <x v="5"/>
    <x v="0"/>
    <x v="2"/>
    <n v="12614"/>
    <n v="11910"/>
    <n v="230"/>
    <n v="102"/>
    <n v="245210"/>
    <n v="33"/>
    <n v="177965"/>
    <n v="30"/>
    <m/>
    <n v="6043"/>
    <n v="2023"/>
    <x v="2"/>
    <x v="1"/>
    <x v="0"/>
  </r>
  <r>
    <x v="0"/>
    <x v="5"/>
    <x v="0"/>
    <x v="3"/>
    <n v="1"/>
    <n v="1"/>
    <n v="0"/>
    <n v="0"/>
    <n v="0"/>
    <n v="0"/>
    <n v="0"/>
    <n v="0"/>
    <m/>
    <n v="1"/>
    <n v="2023"/>
    <x v="2"/>
    <x v="1"/>
    <x v="0"/>
  </r>
  <r>
    <x v="0"/>
    <x v="5"/>
    <x v="1"/>
    <x v="5"/>
    <n v="1130"/>
    <n v="993"/>
    <n v="2"/>
    <n v="3"/>
    <n v="11740"/>
    <n v="3"/>
    <n v="11740"/>
    <n v="3"/>
    <m/>
    <n v="1113"/>
    <n v="2023"/>
    <x v="2"/>
    <x v="1"/>
    <x v="0"/>
  </r>
  <r>
    <x v="0"/>
    <x v="5"/>
    <x v="1"/>
    <x v="6"/>
    <n v="184"/>
    <n v="97"/>
    <n v="2"/>
    <n v="0"/>
    <n v="0"/>
    <n v="0"/>
    <n v="0"/>
    <n v="0"/>
    <m/>
    <n v="96"/>
    <n v="2023"/>
    <x v="2"/>
    <x v="1"/>
    <x v="0"/>
  </r>
  <r>
    <x v="0"/>
    <x v="5"/>
    <x v="1"/>
    <x v="7"/>
    <n v="2508"/>
    <n v="1615"/>
    <n v="145"/>
    <n v="23"/>
    <n v="704945"/>
    <n v="116"/>
    <n v="570195"/>
    <n v="108"/>
    <m/>
    <n v="2436"/>
    <n v="2023"/>
    <x v="2"/>
    <x v="1"/>
    <x v="0"/>
  </r>
  <r>
    <x v="0"/>
    <x v="5"/>
    <x v="1"/>
    <x v="8"/>
    <n v="73"/>
    <n v="50"/>
    <n v="2"/>
    <n v="0"/>
    <n v="0"/>
    <n v="0"/>
    <n v="0"/>
    <n v="0"/>
    <m/>
    <n v="73"/>
    <n v="2023"/>
    <x v="2"/>
    <x v="1"/>
    <x v="0"/>
  </r>
  <r>
    <x v="0"/>
    <x v="5"/>
    <x v="1"/>
    <x v="47"/>
    <n v="16"/>
    <n v="3"/>
    <n v="0"/>
    <n v="0"/>
    <n v="0"/>
    <n v="0"/>
    <n v="0"/>
    <n v="0"/>
    <m/>
    <n v="16"/>
    <n v="2023"/>
    <x v="2"/>
    <x v="1"/>
    <x v="0"/>
  </r>
  <r>
    <x v="0"/>
    <x v="5"/>
    <x v="1"/>
    <x v="58"/>
    <n v="16"/>
    <n v="3"/>
    <n v="0"/>
    <n v="0"/>
    <n v="0"/>
    <n v="0"/>
    <n v="0"/>
    <n v="0"/>
    <n v="0"/>
    <n v="16"/>
    <n v="2023"/>
    <x v="2"/>
    <x v="1"/>
    <x v="0"/>
  </r>
  <r>
    <x v="0"/>
    <x v="5"/>
    <x v="1"/>
    <x v="52"/>
    <n v="2"/>
    <n v="2"/>
    <n v="0"/>
    <n v="0"/>
    <n v="0"/>
    <n v="0"/>
    <n v="0"/>
    <n v="0"/>
    <m/>
    <n v="2"/>
    <n v="2023"/>
    <x v="2"/>
    <x v="1"/>
    <x v="0"/>
  </r>
  <r>
    <x v="0"/>
    <x v="5"/>
    <x v="1"/>
    <x v="10"/>
    <n v="85"/>
    <n v="64"/>
    <n v="3"/>
    <n v="3"/>
    <n v="0"/>
    <n v="0"/>
    <n v="0"/>
    <n v="0"/>
    <m/>
    <n v="83"/>
    <n v="2023"/>
    <x v="2"/>
    <x v="1"/>
    <x v="0"/>
  </r>
  <r>
    <x v="0"/>
    <x v="5"/>
    <x v="1"/>
    <x v="11"/>
    <n v="22"/>
    <n v="18"/>
    <n v="1"/>
    <n v="0"/>
    <n v="0"/>
    <n v="0"/>
    <n v="0"/>
    <n v="0"/>
    <m/>
    <n v="12"/>
    <n v="2023"/>
    <x v="2"/>
    <x v="1"/>
    <x v="0"/>
  </r>
  <r>
    <x v="0"/>
    <x v="5"/>
    <x v="1"/>
    <x v="15"/>
    <n v="52"/>
    <n v="45"/>
    <n v="0"/>
    <n v="0"/>
    <n v="19500"/>
    <n v="1"/>
    <n v="19500"/>
    <n v="1"/>
    <m/>
    <n v="52"/>
    <n v="2023"/>
    <x v="2"/>
    <x v="1"/>
    <x v="0"/>
  </r>
  <r>
    <x v="0"/>
    <x v="5"/>
    <x v="1"/>
    <x v="17"/>
    <n v="64"/>
    <n v="63"/>
    <n v="0"/>
    <n v="0"/>
    <n v="0"/>
    <n v="0"/>
    <n v="0"/>
    <n v="0"/>
    <m/>
    <n v="58"/>
    <n v="2023"/>
    <x v="2"/>
    <x v="1"/>
    <x v="0"/>
  </r>
  <r>
    <x v="0"/>
    <x v="5"/>
    <x v="1"/>
    <x v="18"/>
    <n v="62"/>
    <n v="57"/>
    <n v="3"/>
    <n v="3"/>
    <n v="19430"/>
    <n v="3"/>
    <n v="16035"/>
    <n v="3"/>
    <m/>
    <n v="60"/>
    <n v="2023"/>
    <x v="2"/>
    <x v="1"/>
    <x v="0"/>
  </r>
  <r>
    <x v="0"/>
    <x v="5"/>
    <x v="1"/>
    <x v="19"/>
    <n v="5652"/>
    <n v="4352"/>
    <n v="106"/>
    <n v="46"/>
    <n v="259735.01"/>
    <n v="37"/>
    <n v="153615.01"/>
    <n v="30"/>
    <m/>
    <n v="4613"/>
    <n v="2023"/>
    <x v="2"/>
    <x v="1"/>
    <x v="0"/>
  </r>
  <r>
    <x v="0"/>
    <x v="5"/>
    <x v="1"/>
    <x v="53"/>
    <n v="82"/>
    <n v="49"/>
    <n v="1"/>
    <n v="1"/>
    <n v="0"/>
    <n v="0"/>
    <n v="0"/>
    <n v="0"/>
    <m/>
    <n v="60"/>
    <n v="2023"/>
    <x v="2"/>
    <x v="1"/>
    <x v="0"/>
  </r>
  <r>
    <x v="0"/>
    <x v="5"/>
    <x v="1"/>
    <x v="20"/>
    <n v="3643"/>
    <n v="2917"/>
    <n v="50"/>
    <n v="30"/>
    <n v="30220.01"/>
    <n v="8"/>
    <n v="22430.01"/>
    <n v="6"/>
    <m/>
    <n v="3606"/>
    <n v="2023"/>
    <x v="2"/>
    <x v="1"/>
    <x v="0"/>
  </r>
  <r>
    <x v="0"/>
    <x v="5"/>
    <x v="1"/>
    <x v="21"/>
    <n v="75"/>
    <n v="51"/>
    <n v="3"/>
    <n v="0"/>
    <n v="0"/>
    <n v="0"/>
    <n v="0"/>
    <n v="0"/>
    <m/>
    <n v="73"/>
    <n v="2023"/>
    <x v="2"/>
    <x v="1"/>
    <x v="0"/>
  </r>
  <r>
    <x v="0"/>
    <x v="5"/>
    <x v="1"/>
    <x v="22"/>
    <n v="6"/>
    <n v="4"/>
    <n v="0"/>
    <n v="0"/>
    <n v="0"/>
    <n v="0"/>
    <n v="0"/>
    <n v="0"/>
    <m/>
    <n v="6"/>
    <n v="2023"/>
    <x v="2"/>
    <x v="1"/>
    <x v="0"/>
  </r>
  <r>
    <x v="0"/>
    <x v="5"/>
    <x v="1"/>
    <x v="23"/>
    <n v="1066"/>
    <n v="791"/>
    <n v="15"/>
    <n v="9"/>
    <n v="21790"/>
    <n v="4"/>
    <n v="7390"/>
    <n v="2"/>
    <m/>
    <n v="914"/>
    <n v="2023"/>
    <x v="2"/>
    <x v="1"/>
    <x v="0"/>
  </r>
  <r>
    <x v="0"/>
    <x v="5"/>
    <x v="1"/>
    <x v="24"/>
    <n v="110"/>
    <n v="85"/>
    <n v="5"/>
    <n v="1"/>
    <n v="7545"/>
    <n v="2"/>
    <n v="7545"/>
    <n v="2"/>
    <m/>
    <n v="92"/>
    <n v="2023"/>
    <x v="2"/>
    <x v="1"/>
    <x v="0"/>
  </r>
  <r>
    <x v="0"/>
    <x v="5"/>
    <x v="1"/>
    <x v="25"/>
    <n v="2585"/>
    <n v="2397"/>
    <n v="29"/>
    <n v="41"/>
    <n v="2150"/>
    <n v="1"/>
    <n v="0"/>
    <n v="0"/>
    <m/>
    <n v="2581"/>
    <n v="2023"/>
    <x v="2"/>
    <x v="1"/>
    <x v="0"/>
  </r>
  <r>
    <x v="0"/>
    <x v="5"/>
    <x v="1"/>
    <x v="26"/>
    <n v="4"/>
    <n v="1"/>
    <n v="0"/>
    <n v="0"/>
    <n v="0"/>
    <n v="0"/>
    <n v="0"/>
    <n v="0"/>
    <m/>
    <n v="4"/>
    <n v="2023"/>
    <x v="2"/>
    <x v="1"/>
    <x v="0"/>
  </r>
  <r>
    <x v="0"/>
    <x v="5"/>
    <x v="1"/>
    <x v="27"/>
    <n v="905"/>
    <n v="564"/>
    <n v="47"/>
    <n v="15"/>
    <n v="289645"/>
    <n v="57"/>
    <n v="251520"/>
    <n v="54"/>
    <m/>
    <n v="857"/>
    <n v="2023"/>
    <x v="2"/>
    <x v="1"/>
    <x v="0"/>
  </r>
  <r>
    <x v="0"/>
    <x v="5"/>
    <x v="1"/>
    <x v="29"/>
    <n v="11445"/>
    <n v="10131"/>
    <n v="269"/>
    <n v="210"/>
    <n v="168885"/>
    <n v="31"/>
    <n v="92765"/>
    <n v="21"/>
    <m/>
    <n v="9896"/>
    <n v="2023"/>
    <x v="2"/>
    <x v="1"/>
    <x v="0"/>
  </r>
  <r>
    <x v="0"/>
    <x v="5"/>
    <x v="1"/>
    <x v="30"/>
    <n v="271884"/>
    <n v="264540"/>
    <n v="318"/>
    <n v="321"/>
    <n v="216475"/>
    <n v="25"/>
    <n v="85955"/>
    <n v="16"/>
    <m/>
    <n v="271722"/>
    <n v="2023"/>
    <x v="2"/>
    <x v="1"/>
    <x v="0"/>
  </r>
  <r>
    <x v="0"/>
    <x v="5"/>
    <x v="1"/>
    <x v="31"/>
    <n v="1463"/>
    <n v="1202"/>
    <n v="35"/>
    <n v="34"/>
    <n v="47120"/>
    <n v="9"/>
    <n v="28130"/>
    <n v="6"/>
    <m/>
    <n v="1413"/>
    <n v="2023"/>
    <x v="2"/>
    <x v="1"/>
    <x v="0"/>
  </r>
  <r>
    <x v="0"/>
    <x v="5"/>
    <x v="1"/>
    <x v="32"/>
    <n v="3"/>
    <n v="1"/>
    <n v="0"/>
    <n v="0"/>
    <n v="0"/>
    <n v="0"/>
    <n v="0"/>
    <n v="0"/>
    <m/>
    <n v="2"/>
    <n v="2023"/>
    <x v="2"/>
    <x v="1"/>
    <x v="0"/>
  </r>
  <r>
    <x v="0"/>
    <x v="5"/>
    <x v="1"/>
    <x v="34"/>
    <n v="1945"/>
    <n v="1288"/>
    <n v="50"/>
    <n v="34"/>
    <n v="33595"/>
    <n v="7"/>
    <n v="29445"/>
    <n v="6"/>
    <m/>
    <n v="1687"/>
    <n v="2023"/>
    <x v="2"/>
    <x v="1"/>
    <x v="0"/>
  </r>
  <r>
    <x v="0"/>
    <x v="5"/>
    <x v="1"/>
    <x v="36"/>
    <n v="14"/>
    <n v="11"/>
    <n v="0"/>
    <n v="0"/>
    <n v="0"/>
    <n v="0"/>
    <n v="0"/>
    <n v="0"/>
    <m/>
    <n v="7"/>
    <n v="2023"/>
    <x v="2"/>
    <x v="1"/>
    <x v="0"/>
  </r>
  <r>
    <x v="0"/>
    <x v="5"/>
    <x v="1"/>
    <x v="37"/>
    <n v="4013"/>
    <n v="3616"/>
    <n v="115"/>
    <n v="1"/>
    <n v="137165"/>
    <n v="14"/>
    <n v="91025"/>
    <n v="11"/>
    <m/>
    <n v="3869"/>
    <n v="2023"/>
    <x v="2"/>
    <x v="1"/>
    <x v="0"/>
  </r>
  <r>
    <x v="0"/>
    <x v="5"/>
    <x v="1"/>
    <x v="38"/>
    <n v="4285"/>
    <n v="3096"/>
    <n v="107"/>
    <n v="66"/>
    <n v="290475"/>
    <n v="49"/>
    <n v="216155"/>
    <n v="38"/>
    <m/>
    <n v="4222"/>
    <n v="2023"/>
    <x v="2"/>
    <x v="1"/>
    <x v="0"/>
  </r>
  <r>
    <x v="0"/>
    <x v="5"/>
    <x v="1"/>
    <x v="39"/>
    <n v="2"/>
    <n v="2"/>
    <n v="0"/>
    <n v="1"/>
    <n v="0"/>
    <n v="0"/>
    <n v="0"/>
    <n v="0"/>
    <m/>
    <n v="2"/>
    <n v="2023"/>
    <x v="2"/>
    <x v="1"/>
    <x v="0"/>
  </r>
  <r>
    <x v="0"/>
    <x v="5"/>
    <x v="1"/>
    <x v="40"/>
    <n v="128"/>
    <n v="64"/>
    <n v="0"/>
    <n v="1"/>
    <n v="0"/>
    <n v="0"/>
    <n v="0"/>
    <n v="0"/>
    <m/>
    <n v="128"/>
    <n v="2023"/>
    <x v="2"/>
    <x v="1"/>
    <x v="0"/>
  </r>
  <r>
    <x v="0"/>
    <x v="5"/>
    <x v="1"/>
    <x v="41"/>
    <n v="43"/>
    <n v="38"/>
    <n v="2"/>
    <n v="0"/>
    <n v="0"/>
    <n v="0"/>
    <n v="0"/>
    <n v="0"/>
    <m/>
    <n v="38"/>
    <n v="2023"/>
    <x v="2"/>
    <x v="1"/>
    <x v="0"/>
  </r>
  <r>
    <x v="0"/>
    <x v="5"/>
    <x v="1"/>
    <x v="55"/>
    <n v="13"/>
    <n v="10"/>
    <n v="0"/>
    <n v="1"/>
    <n v="0"/>
    <n v="0"/>
    <n v="0"/>
    <n v="0"/>
    <m/>
    <n v="13"/>
    <n v="2023"/>
    <x v="2"/>
    <x v="1"/>
    <x v="0"/>
  </r>
  <r>
    <x v="0"/>
    <x v="5"/>
    <x v="1"/>
    <x v="43"/>
    <n v="2649"/>
    <n v="2160"/>
    <n v="46"/>
    <n v="34"/>
    <n v="6390"/>
    <n v="1"/>
    <n v="3195"/>
    <n v="1"/>
    <m/>
    <n v="1390"/>
    <n v="2023"/>
    <x v="2"/>
    <x v="1"/>
    <x v="0"/>
  </r>
  <r>
    <x v="0"/>
    <x v="5"/>
    <x v="1"/>
    <x v="44"/>
    <n v="37"/>
    <n v="11"/>
    <n v="1"/>
    <n v="1"/>
    <n v="4595"/>
    <n v="1"/>
    <n v="4595"/>
    <n v="1"/>
    <m/>
    <n v="36"/>
    <n v="2023"/>
    <x v="2"/>
    <x v="1"/>
    <x v="0"/>
  </r>
  <r>
    <x v="0"/>
    <x v="6"/>
    <x v="0"/>
    <x v="0"/>
    <n v="3774"/>
    <n v="1959"/>
    <n v="12"/>
    <n v="19"/>
    <n v="71870"/>
    <n v="7"/>
    <n v="53370"/>
    <n v="6"/>
    <m/>
    <n v="3574"/>
    <n v="2024"/>
    <x v="3"/>
    <x v="0"/>
    <x v="0"/>
  </r>
  <r>
    <x v="0"/>
    <x v="6"/>
    <x v="0"/>
    <x v="1"/>
    <n v="172139"/>
    <n v="161536"/>
    <n v="1794"/>
    <n v="1579"/>
    <n v="1794305"/>
    <n v="220"/>
    <n v="641295"/>
    <n v="112"/>
    <m/>
    <n v="171538"/>
    <n v="2024"/>
    <x v="3"/>
    <x v="0"/>
    <x v="0"/>
  </r>
  <r>
    <x v="0"/>
    <x v="6"/>
    <x v="0"/>
    <x v="2"/>
    <n v="14358"/>
    <n v="13599"/>
    <n v="254"/>
    <n v="113"/>
    <n v="171965"/>
    <n v="35"/>
    <n v="102770"/>
    <n v="30"/>
    <m/>
    <n v="7173"/>
    <n v="2024"/>
    <x v="3"/>
    <x v="0"/>
    <x v="0"/>
  </r>
  <r>
    <x v="0"/>
    <x v="6"/>
    <x v="0"/>
    <x v="3"/>
    <n v="42999"/>
    <n v="38571"/>
    <n v="29"/>
    <n v="21"/>
    <n v="0"/>
    <n v="0"/>
    <n v="0"/>
    <n v="0"/>
    <m/>
    <n v="6535"/>
    <n v="2024"/>
    <x v="3"/>
    <x v="0"/>
    <x v="0"/>
  </r>
  <r>
    <x v="0"/>
    <x v="6"/>
    <x v="1"/>
    <x v="5"/>
    <n v="79"/>
    <n v="68"/>
    <n v="0"/>
    <n v="0"/>
    <n v="0"/>
    <n v="0"/>
    <n v="0"/>
    <n v="0"/>
    <m/>
    <n v="79"/>
    <n v="2024"/>
    <x v="3"/>
    <x v="0"/>
    <x v="0"/>
  </r>
  <r>
    <x v="0"/>
    <x v="6"/>
    <x v="1"/>
    <x v="6"/>
    <n v="4782"/>
    <n v="4539"/>
    <n v="1"/>
    <n v="2"/>
    <n v="0"/>
    <n v="0"/>
    <n v="0"/>
    <n v="0"/>
    <m/>
    <n v="60"/>
    <n v="2024"/>
    <x v="3"/>
    <x v="0"/>
    <x v="0"/>
  </r>
  <r>
    <x v="0"/>
    <x v="6"/>
    <x v="1"/>
    <x v="7"/>
    <n v="2046"/>
    <n v="1202"/>
    <n v="155"/>
    <n v="25"/>
    <n v="594795"/>
    <n v="108"/>
    <n v="534070"/>
    <n v="100"/>
    <m/>
    <n v="1938"/>
    <n v="2024"/>
    <x v="3"/>
    <x v="0"/>
    <x v="0"/>
  </r>
  <r>
    <x v="0"/>
    <x v="6"/>
    <x v="1"/>
    <x v="8"/>
    <n v="82"/>
    <n v="35"/>
    <n v="2"/>
    <n v="0"/>
    <n v="0"/>
    <n v="0"/>
    <n v="0"/>
    <n v="0"/>
    <m/>
    <n v="58"/>
    <n v="2024"/>
    <x v="3"/>
    <x v="0"/>
    <x v="0"/>
  </r>
  <r>
    <x v="0"/>
    <x v="6"/>
    <x v="1"/>
    <x v="9"/>
    <n v="67"/>
    <n v="28"/>
    <n v="1"/>
    <n v="1"/>
    <n v="0"/>
    <n v="0"/>
    <n v="0"/>
    <n v="0"/>
    <m/>
    <n v="67"/>
    <n v="2024"/>
    <x v="3"/>
    <x v="0"/>
    <x v="0"/>
  </r>
  <r>
    <x v="0"/>
    <x v="6"/>
    <x v="1"/>
    <x v="10"/>
    <n v="1231"/>
    <n v="887"/>
    <n v="16"/>
    <n v="20"/>
    <n v="3195"/>
    <n v="1"/>
    <n v="3195"/>
    <n v="1"/>
    <m/>
    <n v="951"/>
    <n v="2024"/>
    <x v="3"/>
    <x v="0"/>
    <x v="0"/>
  </r>
  <r>
    <x v="0"/>
    <x v="6"/>
    <x v="1"/>
    <x v="11"/>
    <n v="18"/>
    <n v="16"/>
    <n v="0"/>
    <n v="0"/>
    <n v="0"/>
    <n v="0"/>
    <n v="0"/>
    <n v="0"/>
    <m/>
    <n v="5"/>
    <n v="2024"/>
    <x v="3"/>
    <x v="0"/>
    <x v="0"/>
  </r>
  <r>
    <x v="0"/>
    <x v="6"/>
    <x v="1"/>
    <x v="12"/>
    <n v="1"/>
    <n v="1"/>
    <n v="0"/>
    <n v="0"/>
    <n v="0"/>
    <n v="0"/>
    <n v="0"/>
    <n v="0"/>
    <m/>
    <n v="0"/>
    <n v="2024"/>
    <x v="3"/>
    <x v="0"/>
    <x v="0"/>
  </r>
  <r>
    <x v="0"/>
    <x v="6"/>
    <x v="1"/>
    <x v="48"/>
    <n v="1"/>
    <n v="1"/>
    <n v="0"/>
    <n v="0"/>
    <n v="0"/>
    <n v="0"/>
    <n v="0"/>
    <n v="0"/>
    <m/>
    <n v="1"/>
    <n v="2024"/>
    <x v="3"/>
    <x v="0"/>
    <x v="0"/>
  </r>
  <r>
    <x v="0"/>
    <x v="6"/>
    <x v="1"/>
    <x v="59"/>
    <n v="15713"/>
    <n v="14222"/>
    <n v="65"/>
    <n v="65"/>
    <n v="123840"/>
    <n v="20"/>
    <n v="111450"/>
    <n v="19"/>
    <m/>
    <n v="2783"/>
    <n v="2024"/>
    <x v="3"/>
    <x v="0"/>
    <x v="0"/>
  </r>
  <r>
    <x v="0"/>
    <x v="6"/>
    <x v="1"/>
    <x v="15"/>
    <n v="179"/>
    <n v="168"/>
    <n v="2"/>
    <n v="2"/>
    <n v="0"/>
    <n v="0"/>
    <n v="0"/>
    <n v="0"/>
    <m/>
    <n v="179"/>
    <n v="2024"/>
    <x v="3"/>
    <x v="0"/>
    <x v="0"/>
  </r>
  <r>
    <x v="0"/>
    <x v="6"/>
    <x v="1"/>
    <x v="17"/>
    <n v="45"/>
    <n v="44"/>
    <n v="0"/>
    <n v="0"/>
    <n v="4765"/>
    <n v="2"/>
    <n v="4765"/>
    <n v="2"/>
    <m/>
    <n v="35"/>
    <n v="2024"/>
    <x v="3"/>
    <x v="0"/>
    <x v="0"/>
  </r>
  <r>
    <x v="0"/>
    <x v="6"/>
    <x v="1"/>
    <x v="18"/>
    <n v="65"/>
    <n v="58"/>
    <n v="4"/>
    <n v="4"/>
    <n v="12645"/>
    <n v="2"/>
    <n v="12645"/>
    <n v="2"/>
    <m/>
    <n v="60"/>
    <n v="2024"/>
    <x v="3"/>
    <x v="0"/>
    <x v="0"/>
  </r>
  <r>
    <x v="0"/>
    <x v="6"/>
    <x v="1"/>
    <x v="19"/>
    <n v="7240"/>
    <n v="5239"/>
    <n v="133"/>
    <n v="72"/>
    <n v="364310"/>
    <n v="70"/>
    <n v="284355"/>
    <n v="60"/>
    <m/>
    <n v="4718"/>
    <n v="2024"/>
    <x v="3"/>
    <x v="0"/>
    <x v="0"/>
  </r>
  <r>
    <x v="0"/>
    <x v="6"/>
    <x v="1"/>
    <x v="20"/>
    <n v="219"/>
    <n v="141"/>
    <n v="3"/>
    <n v="2"/>
    <n v="0"/>
    <n v="0"/>
    <n v="0"/>
    <n v="0"/>
    <m/>
    <n v="204"/>
    <n v="2024"/>
    <x v="3"/>
    <x v="0"/>
    <x v="0"/>
  </r>
  <r>
    <x v="0"/>
    <x v="6"/>
    <x v="1"/>
    <x v="21"/>
    <n v="54"/>
    <n v="35"/>
    <n v="1"/>
    <n v="1"/>
    <n v="9530"/>
    <n v="2"/>
    <n v="7295"/>
    <n v="1"/>
    <m/>
    <n v="54"/>
    <n v="2024"/>
    <x v="3"/>
    <x v="0"/>
    <x v="0"/>
  </r>
  <r>
    <x v="0"/>
    <x v="6"/>
    <x v="1"/>
    <x v="22"/>
    <n v="20"/>
    <n v="8"/>
    <n v="0"/>
    <n v="0"/>
    <n v="0"/>
    <n v="0"/>
    <n v="0"/>
    <n v="0"/>
    <m/>
    <n v="15"/>
    <n v="2024"/>
    <x v="3"/>
    <x v="0"/>
    <x v="0"/>
  </r>
  <r>
    <x v="0"/>
    <x v="6"/>
    <x v="1"/>
    <x v="24"/>
    <n v="236"/>
    <n v="163"/>
    <n v="6"/>
    <n v="0"/>
    <n v="28640"/>
    <n v="4"/>
    <n v="15140"/>
    <n v="3"/>
    <m/>
    <n v="211"/>
    <n v="2024"/>
    <x v="3"/>
    <x v="0"/>
    <x v="0"/>
  </r>
  <r>
    <x v="0"/>
    <x v="6"/>
    <x v="1"/>
    <x v="25"/>
    <n v="8"/>
    <n v="6"/>
    <n v="0"/>
    <n v="0"/>
    <n v="0"/>
    <n v="0"/>
    <n v="0"/>
    <n v="0"/>
    <m/>
    <n v="8"/>
    <n v="2024"/>
    <x v="3"/>
    <x v="0"/>
    <x v="0"/>
  </r>
  <r>
    <x v="0"/>
    <x v="6"/>
    <x v="1"/>
    <x v="27"/>
    <n v="1853"/>
    <n v="1336"/>
    <n v="71"/>
    <n v="22"/>
    <n v="216095.96"/>
    <n v="47"/>
    <n v="212560.96"/>
    <n v="47"/>
    <m/>
    <n v="1672"/>
    <n v="2024"/>
    <x v="3"/>
    <x v="0"/>
    <x v="0"/>
  </r>
  <r>
    <x v="0"/>
    <x v="6"/>
    <x v="1"/>
    <x v="28"/>
    <n v="3"/>
    <n v="2"/>
    <n v="0"/>
    <n v="0"/>
    <n v="0"/>
    <n v="0"/>
    <n v="0"/>
    <n v="0"/>
    <m/>
    <n v="3"/>
    <n v="2024"/>
    <x v="3"/>
    <x v="0"/>
    <x v="0"/>
  </r>
  <r>
    <x v="0"/>
    <x v="6"/>
    <x v="1"/>
    <x v="29"/>
    <n v="8885"/>
    <n v="7837"/>
    <n v="220"/>
    <n v="104"/>
    <n v="239845"/>
    <n v="50"/>
    <n v="150365"/>
    <n v="40"/>
    <m/>
    <n v="7348"/>
    <n v="2024"/>
    <x v="3"/>
    <x v="0"/>
    <x v="0"/>
  </r>
  <r>
    <x v="0"/>
    <x v="6"/>
    <x v="1"/>
    <x v="30"/>
    <n v="16326"/>
    <n v="13933"/>
    <n v="90"/>
    <n v="54"/>
    <n v="57280"/>
    <n v="15"/>
    <n v="51780"/>
    <n v="14"/>
    <m/>
    <n v="4882"/>
    <n v="2024"/>
    <x v="3"/>
    <x v="0"/>
    <x v="0"/>
  </r>
  <r>
    <x v="0"/>
    <x v="6"/>
    <x v="1"/>
    <x v="31"/>
    <n v="2673"/>
    <n v="2367"/>
    <n v="57"/>
    <n v="55"/>
    <n v="81320"/>
    <n v="7"/>
    <n v="47635"/>
    <n v="6"/>
    <m/>
    <n v="2585"/>
    <n v="2024"/>
    <x v="3"/>
    <x v="0"/>
    <x v="0"/>
  </r>
  <r>
    <x v="0"/>
    <x v="6"/>
    <x v="1"/>
    <x v="32"/>
    <n v="39"/>
    <n v="26"/>
    <n v="1"/>
    <n v="1"/>
    <n v="2995"/>
    <n v="1"/>
    <n v="2995"/>
    <n v="1"/>
    <m/>
    <n v="31"/>
    <n v="2024"/>
    <x v="3"/>
    <x v="0"/>
    <x v="0"/>
  </r>
  <r>
    <x v="0"/>
    <x v="6"/>
    <x v="1"/>
    <x v="34"/>
    <n v="1486"/>
    <n v="876"/>
    <n v="34"/>
    <n v="27"/>
    <n v="15135"/>
    <n v="5"/>
    <n v="12340"/>
    <n v="4"/>
    <m/>
    <n v="1172"/>
    <n v="2024"/>
    <x v="3"/>
    <x v="0"/>
    <x v="0"/>
  </r>
  <r>
    <x v="0"/>
    <x v="6"/>
    <x v="1"/>
    <x v="36"/>
    <n v="18"/>
    <n v="17"/>
    <n v="0"/>
    <n v="0"/>
    <n v="0"/>
    <n v="0"/>
    <n v="0"/>
    <n v="0"/>
    <m/>
    <n v="15"/>
    <n v="2024"/>
    <x v="3"/>
    <x v="0"/>
    <x v="0"/>
  </r>
  <r>
    <x v="0"/>
    <x v="6"/>
    <x v="1"/>
    <x v="37"/>
    <n v="2874"/>
    <n v="2510"/>
    <n v="13"/>
    <n v="0"/>
    <n v="73700"/>
    <n v="10"/>
    <n v="65850"/>
    <n v="10"/>
    <m/>
    <n v="2740"/>
    <n v="2024"/>
    <x v="3"/>
    <x v="0"/>
    <x v="0"/>
  </r>
  <r>
    <x v="0"/>
    <x v="6"/>
    <x v="1"/>
    <x v="38"/>
    <n v="2088"/>
    <n v="1265"/>
    <n v="62"/>
    <n v="54"/>
    <n v="212455"/>
    <n v="42"/>
    <n v="183285"/>
    <n v="39"/>
    <m/>
    <n v="1983"/>
    <n v="2024"/>
    <x v="3"/>
    <x v="0"/>
    <x v="0"/>
  </r>
  <r>
    <x v="0"/>
    <x v="6"/>
    <x v="1"/>
    <x v="60"/>
    <n v="76"/>
    <n v="64"/>
    <n v="2"/>
    <n v="0"/>
    <n v="0"/>
    <n v="0"/>
    <n v="0"/>
    <n v="0"/>
    <m/>
    <n v="76"/>
    <n v="2024"/>
    <x v="3"/>
    <x v="0"/>
    <x v="0"/>
  </r>
  <r>
    <x v="0"/>
    <x v="6"/>
    <x v="1"/>
    <x v="39"/>
    <n v="39"/>
    <n v="39"/>
    <n v="0"/>
    <n v="0"/>
    <n v="0"/>
    <n v="0"/>
    <n v="0"/>
    <n v="0"/>
    <m/>
    <n v="39"/>
    <n v="2024"/>
    <x v="3"/>
    <x v="0"/>
    <x v="0"/>
  </r>
  <r>
    <x v="0"/>
    <x v="6"/>
    <x v="1"/>
    <x v="41"/>
    <n v="43"/>
    <n v="26"/>
    <n v="0"/>
    <n v="0"/>
    <n v="0"/>
    <n v="0"/>
    <n v="0"/>
    <n v="0"/>
    <m/>
    <n v="41"/>
    <n v="2024"/>
    <x v="3"/>
    <x v="0"/>
    <x v="0"/>
  </r>
  <r>
    <x v="0"/>
    <x v="6"/>
    <x v="1"/>
    <x v="43"/>
    <n v="1621"/>
    <n v="1322"/>
    <n v="19"/>
    <n v="12"/>
    <n v="11510"/>
    <n v="2"/>
    <n v="2445"/>
    <n v="1"/>
    <m/>
    <n v="700"/>
    <n v="2024"/>
    <x v="3"/>
    <x v="0"/>
    <x v="0"/>
  </r>
  <r>
    <x v="0"/>
    <x v="6"/>
    <x v="1"/>
    <x v="44"/>
    <n v="64"/>
    <n v="27"/>
    <n v="1"/>
    <n v="0"/>
    <n v="17480"/>
    <n v="4"/>
    <n v="15035"/>
    <n v="3"/>
    <m/>
    <n v="64"/>
    <n v="2024"/>
    <x v="3"/>
    <x v="0"/>
    <x v="0"/>
  </r>
  <r>
    <x v="0"/>
    <x v="7"/>
    <x v="0"/>
    <x v="0"/>
    <n v="2991"/>
    <n v="1712"/>
    <n v="14"/>
    <n v="5"/>
    <n v="27028"/>
    <n v="7"/>
    <n v="27028"/>
    <n v="7"/>
    <m/>
    <n v="2757"/>
    <n v="2023"/>
    <x v="3"/>
    <x v="1"/>
    <x v="0"/>
  </r>
  <r>
    <x v="0"/>
    <x v="7"/>
    <x v="0"/>
    <x v="1"/>
    <n v="148142"/>
    <n v="142569"/>
    <n v="1305"/>
    <n v="849"/>
    <n v="759735.68"/>
    <n v="190"/>
    <n v="418472.68"/>
    <n v="127"/>
    <m/>
    <n v="147285"/>
    <n v="2023"/>
    <x v="3"/>
    <x v="1"/>
    <x v="0"/>
  </r>
  <r>
    <x v="0"/>
    <x v="7"/>
    <x v="0"/>
    <x v="2"/>
    <n v="10861"/>
    <n v="10262"/>
    <n v="199"/>
    <n v="76"/>
    <n v="184851.5"/>
    <n v="36"/>
    <n v="142883"/>
    <n v="31"/>
    <m/>
    <n v="4839"/>
    <n v="2023"/>
    <x v="3"/>
    <x v="1"/>
    <x v="0"/>
  </r>
  <r>
    <x v="0"/>
    <x v="7"/>
    <x v="1"/>
    <x v="5"/>
    <n v="683"/>
    <n v="584"/>
    <n v="2"/>
    <n v="2"/>
    <n v="2125"/>
    <n v="1"/>
    <n v="2125"/>
    <n v="1"/>
    <m/>
    <n v="671"/>
    <n v="2023"/>
    <x v="3"/>
    <x v="1"/>
    <x v="0"/>
  </r>
  <r>
    <x v="0"/>
    <x v="7"/>
    <x v="1"/>
    <x v="6"/>
    <n v="48"/>
    <n v="32"/>
    <n v="2"/>
    <n v="1"/>
    <n v="0"/>
    <n v="0"/>
    <n v="0"/>
    <n v="0"/>
    <m/>
    <n v="32"/>
    <n v="2023"/>
    <x v="3"/>
    <x v="1"/>
    <x v="0"/>
  </r>
  <r>
    <x v="0"/>
    <x v="7"/>
    <x v="1"/>
    <x v="7"/>
    <n v="2265"/>
    <n v="1440"/>
    <n v="146"/>
    <n v="24"/>
    <n v="673722"/>
    <n v="141"/>
    <n v="597714.5"/>
    <n v="135"/>
    <m/>
    <n v="2193"/>
    <n v="2023"/>
    <x v="3"/>
    <x v="1"/>
    <x v="0"/>
  </r>
  <r>
    <x v="0"/>
    <x v="7"/>
    <x v="1"/>
    <x v="8"/>
    <n v="446"/>
    <n v="290"/>
    <n v="6"/>
    <n v="1"/>
    <n v="7700"/>
    <n v="1"/>
    <n v="0"/>
    <n v="0"/>
    <m/>
    <n v="446"/>
    <n v="2023"/>
    <x v="3"/>
    <x v="1"/>
    <x v="0"/>
  </r>
  <r>
    <x v="0"/>
    <x v="7"/>
    <x v="1"/>
    <x v="47"/>
    <n v="12"/>
    <n v="5"/>
    <n v="1"/>
    <n v="1"/>
    <n v="0"/>
    <n v="0"/>
    <n v="0"/>
    <n v="0"/>
    <m/>
    <n v="12"/>
    <n v="2023"/>
    <x v="3"/>
    <x v="1"/>
    <x v="0"/>
  </r>
  <r>
    <x v="0"/>
    <x v="7"/>
    <x v="1"/>
    <x v="52"/>
    <n v="5"/>
    <n v="3"/>
    <n v="1"/>
    <n v="0"/>
    <n v="0"/>
    <n v="0"/>
    <n v="0"/>
    <n v="0"/>
    <m/>
    <n v="5"/>
    <n v="2023"/>
    <x v="3"/>
    <x v="1"/>
    <x v="0"/>
  </r>
  <r>
    <x v="0"/>
    <x v="7"/>
    <x v="1"/>
    <x v="10"/>
    <n v="100"/>
    <n v="79"/>
    <n v="1"/>
    <n v="6"/>
    <n v="0"/>
    <n v="0"/>
    <n v="0"/>
    <n v="0"/>
    <m/>
    <n v="80"/>
    <n v="2023"/>
    <x v="3"/>
    <x v="1"/>
    <x v="0"/>
  </r>
  <r>
    <x v="0"/>
    <x v="7"/>
    <x v="1"/>
    <x v="11"/>
    <n v="14"/>
    <n v="11"/>
    <n v="0"/>
    <n v="0"/>
    <n v="0"/>
    <n v="0"/>
    <n v="0"/>
    <n v="0"/>
    <m/>
    <n v="7"/>
    <n v="2023"/>
    <x v="3"/>
    <x v="1"/>
    <x v="0"/>
  </r>
  <r>
    <x v="0"/>
    <x v="7"/>
    <x v="1"/>
    <x v="15"/>
    <n v="77"/>
    <n v="62"/>
    <n v="0"/>
    <n v="0"/>
    <n v="0"/>
    <n v="0"/>
    <n v="0"/>
    <n v="0"/>
    <m/>
    <n v="77"/>
    <n v="2023"/>
    <x v="3"/>
    <x v="1"/>
    <x v="0"/>
  </r>
  <r>
    <x v="0"/>
    <x v="7"/>
    <x v="1"/>
    <x v="16"/>
    <n v="2"/>
    <n v="0"/>
    <n v="0"/>
    <n v="0"/>
    <n v="0"/>
    <n v="0"/>
    <n v="0"/>
    <n v="0"/>
    <m/>
    <n v="2"/>
    <n v="2023"/>
    <x v="3"/>
    <x v="1"/>
    <x v="0"/>
  </r>
  <r>
    <x v="0"/>
    <x v="7"/>
    <x v="1"/>
    <x v="17"/>
    <n v="58"/>
    <n v="57"/>
    <n v="1"/>
    <n v="0"/>
    <n v="0"/>
    <n v="0"/>
    <n v="0"/>
    <n v="0"/>
    <m/>
    <n v="41"/>
    <n v="2023"/>
    <x v="3"/>
    <x v="1"/>
    <x v="0"/>
  </r>
  <r>
    <x v="0"/>
    <x v="7"/>
    <x v="1"/>
    <x v="18"/>
    <n v="47"/>
    <n v="43"/>
    <n v="5"/>
    <n v="3"/>
    <n v="31195.5"/>
    <n v="7"/>
    <n v="25700.5"/>
    <n v="7"/>
    <m/>
    <n v="45"/>
    <n v="2023"/>
    <x v="3"/>
    <x v="1"/>
    <x v="0"/>
  </r>
  <r>
    <x v="0"/>
    <x v="7"/>
    <x v="1"/>
    <x v="19"/>
    <n v="3766"/>
    <n v="2688"/>
    <n v="115"/>
    <n v="42"/>
    <n v="137352.5"/>
    <n v="30"/>
    <n v="116811"/>
    <n v="27"/>
    <m/>
    <n v="2833"/>
    <n v="2023"/>
    <x v="3"/>
    <x v="1"/>
    <x v="0"/>
  </r>
  <r>
    <x v="0"/>
    <x v="7"/>
    <x v="1"/>
    <x v="53"/>
    <n v="123"/>
    <n v="109"/>
    <n v="4"/>
    <n v="1"/>
    <n v="0"/>
    <n v="0"/>
    <n v="0"/>
    <n v="0"/>
    <m/>
    <n v="66"/>
    <n v="2023"/>
    <x v="3"/>
    <x v="1"/>
    <x v="0"/>
  </r>
  <r>
    <x v="0"/>
    <x v="7"/>
    <x v="1"/>
    <x v="20"/>
    <n v="2011"/>
    <n v="1494"/>
    <n v="31"/>
    <n v="23"/>
    <n v="23498.5"/>
    <n v="7"/>
    <n v="23498.5"/>
    <n v="7"/>
    <m/>
    <n v="1995"/>
    <n v="2023"/>
    <x v="3"/>
    <x v="1"/>
    <x v="0"/>
  </r>
  <r>
    <x v="0"/>
    <x v="7"/>
    <x v="1"/>
    <x v="21"/>
    <n v="63"/>
    <n v="42"/>
    <n v="2"/>
    <n v="0"/>
    <n v="0"/>
    <n v="0"/>
    <n v="0"/>
    <n v="0"/>
    <m/>
    <n v="61"/>
    <n v="2023"/>
    <x v="3"/>
    <x v="1"/>
    <x v="0"/>
  </r>
  <r>
    <x v="0"/>
    <x v="7"/>
    <x v="1"/>
    <x v="22"/>
    <n v="15"/>
    <n v="6"/>
    <n v="0"/>
    <n v="0"/>
    <n v="0"/>
    <n v="0"/>
    <n v="0"/>
    <n v="0"/>
    <m/>
    <n v="15"/>
    <n v="2023"/>
    <x v="3"/>
    <x v="1"/>
    <x v="0"/>
  </r>
  <r>
    <x v="0"/>
    <x v="7"/>
    <x v="1"/>
    <x v="23"/>
    <n v="3249"/>
    <n v="2746"/>
    <n v="25"/>
    <n v="21"/>
    <n v="34627"/>
    <n v="9"/>
    <n v="19825.5"/>
    <n v="7"/>
    <m/>
    <n v="3067"/>
    <n v="2023"/>
    <x v="3"/>
    <x v="1"/>
    <x v="0"/>
  </r>
  <r>
    <x v="0"/>
    <x v="7"/>
    <x v="1"/>
    <x v="24"/>
    <n v="143"/>
    <n v="113"/>
    <n v="5"/>
    <n v="3"/>
    <n v="2488"/>
    <n v="1"/>
    <n v="2488"/>
    <n v="1"/>
    <m/>
    <n v="128"/>
    <n v="2023"/>
    <x v="3"/>
    <x v="1"/>
    <x v="0"/>
  </r>
  <r>
    <x v="0"/>
    <x v="7"/>
    <x v="1"/>
    <x v="25"/>
    <n v="585"/>
    <n v="537"/>
    <n v="2"/>
    <n v="9"/>
    <n v="2488"/>
    <n v="1"/>
    <n v="2488"/>
    <n v="1"/>
    <m/>
    <n v="585"/>
    <n v="2023"/>
    <x v="3"/>
    <x v="1"/>
    <x v="0"/>
  </r>
  <r>
    <x v="0"/>
    <x v="7"/>
    <x v="1"/>
    <x v="26"/>
    <n v="85"/>
    <n v="34"/>
    <n v="2"/>
    <n v="0"/>
    <n v="4976"/>
    <n v="1"/>
    <n v="2488"/>
    <n v="1"/>
    <m/>
    <n v="85"/>
    <n v="2023"/>
    <x v="3"/>
    <x v="1"/>
    <x v="0"/>
  </r>
  <r>
    <x v="0"/>
    <x v="7"/>
    <x v="1"/>
    <x v="27"/>
    <n v="704"/>
    <n v="408"/>
    <n v="62"/>
    <n v="22"/>
    <n v="199896.5"/>
    <n v="55"/>
    <n v="178028"/>
    <n v="52"/>
    <m/>
    <n v="650"/>
    <n v="2023"/>
    <x v="3"/>
    <x v="1"/>
    <x v="0"/>
  </r>
  <r>
    <x v="0"/>
    <x v="7"/>
    <x v="1"/>
    <x v="29"/>
    <n v="8519"/>
    <n v="7525"/>
    <n v="219"/>
    <n v="117"/>
    <n v="136914.5"/>
    <n v="35"/>
    <n v="87789"/>
    <n v="27"/>
    <m/>
    <n v="7176"/>
    <n v="2023"/>
    <x v="3"/>
    <x v="1"/>
    <x v="0"/>
  </r>
  <r>
    <x v="0"/>
    <x v="7"/>
    <x v="1"/>
    <x v="30"/>
    <n v="47947"/>
    <n v="44553"/>
    <n v="239"/>
    <n v="179"/>
    <n v="113070"/>
    <n v="29"/>
    <n v="85185"/>
    <n v="25"/>
    <m/>
    <n v="47793"/>
    <n v="2023"/>
    <x v="3"/>
    <x v="1"/>
    <x v="0"/>
  </r>
  <r>
    <x v="0"/>
    <x v="7"/>
    <x v="1"/>
    <x v="31"/>
    <n v="914"/>
    <n v="794"/>
    <n v="32"/>
    <n v="26"/>
    <n v="31425.5"/>
    <n v="6"/>
    <n v="31425.5"/>
    <n v="6"/>
    <m/>
    <n v="866"/>
    <n v="2023"/>
    <x v="3"/>
    <x v="1"/>
    <x v="0"/>
  </r>
  <r>
    <x v="0"/>
    <x v="7"/>
    <x v="1"/>
    <x v="32"/>
    <n v="2"/>
    <n v="1"/>
    <n v="0"/>
    <n v="0"/>
    <n v="0"/>
    <n v="0"/>
    <n v="0"/>
    <n v="0"/>
    <m/>
    <n v="0"/>
    <n v="2023"/>
    <x v="3"/>
    <x v="1"/>
    <x v="0"/>
  </r>
  <r>
    <x v="0"/>
    <x v="7"/>
    <x v="1"/>
    <x v="33"/>
    <n v="1"/>
    <n v="1"/>
    <n v="0"/>
    <n v="0"/>
    <n v="0"/>
    <n v="0"/>
    <n v="0"/>
    <n v="0"/>
    <m/>
    <n v="0"/>
    <n v="2023"/>
    <x v="3"/>
    <x v="1"/>
    <x v="0"/>
  </r>
  <r>
    <x v="0"/>
    <x v="7"/>
    <x v="1"/>
    <x v="34"/>
    <n v="1477"/>
    <n v="922"/>
    <n v="57"/>
    <n v="28"/>
    <n v="41629"/>
    <n v="13"/>
    <n v="41629"/>
    <n v="13"/>
    <m/>
    <n v="1244"/>
    <n v="2023"/>
    <x v="3"/>
    <x v="1"/>
    <x v="0"/>
  </r>
  <r>
    <x v="0"/>
    <x v="7"/>
    <x v="1"/>
    <x v="36"/>
    <n v="16"/>
    <n v="13"/>
    <n v="0"/>
    <n v="0"/>
    <n v="0"/>
    <n v="0"/>
    <n v="0"/>
    <n v="0"/>
    <m/>
    <n v="11"/>
    <n v="2023"/>
    <x v="3"/>
    <x v="1"/>
    <x v="0"/>
  </r>
  <r>
    <x v="0"/>
    <x v="7"/>
    <x v="1"/>
    <x v="37"/>
    <n v="4347"/>
    <n v="3901"/>
    <n v="133"/>
    <n v="0"/>
    <n v="85944.5"/>
    <n v="21"/>
    <n v="85944.5"/>
    <n v="21"/>
    <m/>
    <n v="4207"/>
    <n v="2023"/>
    <x v="3"/>
    <x v="1"/>
    <x v="0"/>
  </r>
  <r>
    <x v="0"/>
    <x v="7"/>
    <x v="1"/>
    <x v="38"/>
    <n v="3011"/>
    <n v="2196"/>
    <n v="107"/>
    <n v="53"/>
    <n v="261030.5"/>
    <n v="59"/>
    <n v="200100.5"/>
    <n v="54"/>
    <m/>
    <n v="2938"/>
    <n v="2023"/>
    <x v="3"/>
    <x v="1"/>
    <x v="0"/>
  </r>
  <r>
    <x v="0"/>
    <x v="7"/>
    <x v="1"/>
    <x v="39"/>
    <n v="136"/>
    <n v="92"/>
    <n v="2"/>
    <n v="4"/>
    <n v="0"/>
    <n v="0"/>
    <n v="0"/>
    <n v="0"/>
    <m/>
    <n v="136"/>
    <n v="2023"/>
    <x v="3"/>
    <x v="1"/>
    <x v="0"/>
  </r>
  <r>
    <x v="0"/>
    <x v="7"/>
    <x v="1"/>
    <x v="40"/>
    <n v="88"/>
    <n v="64"/>
    <n v="0"/>
    <n v="2"/>
    <n v="0"/>
    <n v="0"/>
    <n v="0"/>
    <n v="0"/>
    <m/>
    <n v="88"/>
    <n v="2023"/>
    <x v="3"/>
    <x v="1"/>
    <x v="0"/>
  </r>
  <r>
    <x v="0"/>
    <x v="7"/>
    <x v="1"/>
    <x v="41"/>
    <n v="42"/>
    <n v="35"/>
    <n v="1"/>
    <n v="0"/>
    <n v="0"/>
    <n v="0"/>
    <n v="0"/>
    <n v="0"/>
    <m/>
    <n v="38"/>
    <n v="2023"/>
    <x v="3"/>
    <x v="1"/>
    <x v="0"/>
  </r>
  <r>
    <x v="0"/>
    <x v="7"/>
    <x v="1"/>
    <x v="55"/>
    <n v="4"/>
    <n v="4"/>
    <n v="0"/>
    <n v="0"/>
    <n v="0"/>
    <n v="0"/>
    <n v="0"/>
    <n v="0"/>
    <m/>
    <n v="4"/>
    <n v="2023"/>
    <x v="3"/>
    <x v="1"/>
    <x v="0"/>
  </r>
  <r>
    <x v="0"/>
    <x v="7"/>
    <x v="1"/>
    <x v="43"/>
    <n v="1814"/>
    <n v="1403"/>
    <n v="43"/>
    <n v="23"/>
    <n v="23402.5"/>
    <n v="8"/>
    <n v="23402.5"/>
    <n v="8"/>
    <m/>
    <n v="998"/>
    <n v="2023"/>
    <x v="3"/>
    <x v="1"/>
    <x v="0"/>
  </r>
  <r>
    <x v="0"/>
    <x v="7"/>
    <x v="1"/>
    <x v="44"/>
    <n v="28"/>
    <n v="13"/>
    <n v="1"/>
    <n v="0"/>
    <n v="33329"/>
    <n v="7"/>
    <n v="33329"/>
    <n v="7"/>
    <m/>
    <n v="28"/>
    <n v="2023"/>
    <x v="3"/>
    <x v="1"/>
    <x v="0"/>
  </r>
  <r>
    <x v="0"/>
    <x v="8"/>
    <x v="0"/>
    <x v="0"/>
    <n v="3061"/>
    <n v="1893"/>
    <n v="16"/>
    <n v="6"/>
    <n v="55085"/>
    <n v="5"/>
    <n v="22135"/>
    <n v="4"/>
    <m/>
    <n v="2846"/>
    <n v="2024"/>
    <x v="4"/>
    <x v="0"/>
    <x v="0"/>
  </r>
  <r>
    <x v="0"/>
    <x v="8"/>
    <x v="0"/>
    <x v="1"/>
    <n v="163458"/>
    <n v="153925"/>
    <n v="1649"/>
    <n v="1979"/>
    <n v="1629430"/>
    <n v="178"/>
    <n v="372215"/>
    <n v="66"/>
    <m/>
    <n v="162819"/>
    <n v="2024"/>
    <x v="4"/>
    <x v="0"/>
    <x v="0"/>
  </r>
  <r>
    <x v="0"/>
    <x v="8"/>
    <x v="0"/>
    <x v="2"/>
    <n v="15304"/>
    <n v="14661"/>
    <n v="221"/>
    <n v="91"/>
    <n v="170045"/>
    <n v="38"/>
    <n v="126700"/>
    <n v="33"/>
    <m/>
    <n v="7486"/>
    <n v="2024"/>
    <x v="4"/>
    <x v="0"/>
    <x v="0"/>
  </r>
  <r>
    <x v="0"/>
    <x v="8"/>
    <x v="0"/>
    <x v="3"/>
    <n v="20144"/>
    <n v="17728"/>
    <n v="22"/>
    <n v="24"/>
    <n v="0"/>
    <n v="0"/>
    <n v="0"/>
    <n v="0"/>
    <m/>
    <n v="8270"/>
    <n v="2024"/>
    <x v="4"/>
    <x v="0"/>
    <x v="0"/>
  </r>
  <r>
    <x v="0"/>
    <x v="8"/>
    <x v="1"/>
    <x v="5"/>
    <n v="67"/>
    <n v="55"/>
    <n v="0"/>
    <n v="0"/>
    <n v="0"/>
    <n v="0"/>
    <n v="0"/>
    <n v="0"/>
    <m/>
    <n v="67"/>
    <n v="2024"/>
    <x v="4"/>
    <x v="0"/>
    <x v="0"/>
  </r>
  <r>
    <x v="0"/>
    <x v="8"/>
    <x v="1"/>
    <x v="6"/>
    <n v="2684"/>
    <n v="2515"/>
    <n v="0"/>
    <n v="0"/>
    <n v="0"/>
    <n v="0"/>
    <n v="0"/>
    <n v="0"/>
    <m/>
    <n v="20"/>
    <n v="2024"/>
    <x v="4"/>
    <x v="0"/>
    <x v="0"/>
  </r>
  <r>
    <x v="0"/>
    <x v="8"/>
    <x v="1"/>
    <x v="7"/>
    <n v="1806"/>
    <n v="1141"/>
    <n v="114"/>
    <n v="26"/>
    <n v="385910"/>
    <n v="73"/>
    <n v="341935"/>
    <n v="68"/>
    <m/>
    <n v="1674"/>
    <n v="2024"/>
    <x v="4"/>
    <x v="0"/>
    <x v="0"/>
  </r>
  <r>
    <x v="0"/>
    <x v="8"/>
    <x v="1"/>
    <x v="8"/>
    <n v="59"/>
    <n v="31"/>
    <n v="1"/>
    <n v="3"/>
    <n v="0"/>
    <n v="0"/>
    <n v="0"/>
    <n v="0"/>
    <m/>
    <n v="41"/>
    <n v="2024"/>
    <x v="4"/>
    <x v="0"/>
    <x v="0"/>
  </r>
  <r>
    <x v="0"/>
    <x v="8"/>
    <x v="1"/>
    <x v="9"/>
    <n v="123"/>
    <n v="81"/>
    <n v="0"/>
    <n v="1"/>
    <n v="0"/>
    <n v="0"/>
    <n v="0"/>
    <n v="0"/>
    <m/>
    <n v="60"/>
    <n v="2024"/>
    <x v="4"/>
    <x v="0"/>
    <x v="0"/>
  </r>
  <r>
    <x v="0"/>
    <x v="8"/>
    <x v="1"/>
    <x v="10"/>
    <n v="407"/>
    <n v="296"/>
    <n v="4"/>
    <n v="7"/>
    <n v="0"/>
    <n v="0"/>
    <n v="0"/>
    <n v="0"/>
    <m/>
    <n v="342"/>
    <n v="2024"/>
    <x v="4"/>
    <x v="0"/>
    <x v="0"/>
  </r>
  <r>
    <x v="0"/>
    <x v="8"/>
    <x v="1"/>
    <x v="11"/>
    <n v="22"/>
    <n v="22"/>
    <n v="0"/>
    <n v="0"/>
    <n v="0"/>
    <n v="0"/>
    <n v="0"/>
    <n v="0"/>
    <m/>
    <n v="12"/>
    <n v="2024"/>
    <x v="4"/>
    <x v="0"/>
    <x v="0"/>
  </r>
  <r>
    <x v="0"/>
    <x v="8"/>
    <x v="1"/>
    <x v="48"/>
    <n v="2"/>
    <n v="2"/>
    <n v="0"/>
    <n v="0"/>
    <n v="0"/>
    <n v="0"/>
    <n v="0"/>
    <n v="0"/>
    <m/>
    <n v="2"/>
    <n v="2024"/>
    <x v="4"/>
    <x v="0"/>
    <x v="0"/>
  </r>
  <r>
    <x v="0"/>
    <x v="8"/>
    <x v="1"/>
    <x v="59"/>
    <n v="10639"/>
    <n v="9193"/>
    <n v="45"/>
    <n v="49"/>
    <n v="103800"/>
    <n v="17"/>
    <n v="78865"/>
    <n v="15"/>
    <m/>
    <n v="2682"/>
    <n v="2024"/>
    <x v="4"/>
    <x v="0"/>
    <x v="0"/>
  </r>
  <r>
    <x v="0"/>
    <x v="8"/>
    <x v="1"/>
    <x v="15"/>
    <n v="263"/>
    <n v="254"/>
    <n v="0"/>
    <n v="2"/>
    <n v="0"/>
    <n v="0"/>
    <n v="0"/>
    <n v="0"/>
    <m/>
    <n v="263"/>
    <n v="2024"/>
    <x v="4"/>
    <x v="0"/>
    <x v="0"/>
  </r>
  <r>
    <x v="0"/>
    <x v="8"/>
    <x v="1"/>
    <x v="17"/>
    <n v="22"/>
    <n v="22"/>
    <n v="1"/>
    <n v="0"/>
    <n v="820"/>
    <n v="1"/>
    <n v="820"/>
    <n v="1"/>
    <m/>
    <n v="13"/>
    <n v="2024"/>
    <x v="4"/>
    <x v="0"/>
    <x v="0"/>
  </r>
  <r>
    <x v="0"/>
    <x v="8"/>
    <x v="1"/>
    <x v="18"/>
    <n v="83"/>
    <n v="73"/>
    <n v="8"/>
    <n v="1"/>
    <n v="5585"/>
    <n v="4"/>
    <n v="5585"/>
    <n v="4"/>
    <m/>
    <n v="69"/>
    <n v="2024"/>
    <x v="4"/>
    <x v="0"/>
    <x v="0"/>
  </r>
  <r>
    <x v="0"/>
    <x v="8"/>
    <x v="1"/>
    <x v="19"/>
    <n v="5754"/>
    <n v="4298"/>
    <n v="106"/>
    <n v="88"/>
    <n v="338540"/>
    <n v="49"/>
    <n v="295775"/>
    <n v="48"/>
    <m/>
    <n v="3625"/>
    <n v="2024"/>
    <x v="4"/>
    <x v="0"/>
    <x v="0"/>
  </r>
  <r>
    <x v="0"/>
    <x v="8"/>
    <x v="1"/>
    <x v="20"/>
    <n v="352"/>
    <n v="199"/>
    <n v="15"/>
    <n v="6"/>
    <n v="14095"/>
    <n v="2"/>
    <n v="14095"/>
    <n v="2"/>
    <m/>
    <n v="344"/>
    <n v="2024"/>
    <x v="4"/>
    <x v="0"/>
    <x v="0"/>
  </r>
  <r>
    <x v="0"/>
    <x v="8"/>
    <x v="1"/>
    <x v="21"/>
    <n v="40"/>
    <n v="30"/>
    <n v="0"/>
    <n v="0"/>
    <n v="3195"/>
    <n v="1"/>
    <n v="3195"/>
    <n v="1"/>
    <m/>
    <n v="40"/>
    <n v="2024"/>
    <x v="4"/>
    <x v="0"/>
    <x v="0"/>
  </r>
  <r>
    <x v="0"/>
    <x v="8"/>
    <x v="1"/>
    <x v="22"/>
    <n v="46"/>
    <n v="32"/>
    <n v="0"/>
    <n v="0"/>
    <n v="0"/>
    <n v="0"/>
    <n v="0"/>
    <n v="0"/>
    <m/>
    <n v="10"/>
    <n v="2024"/>
    <x v="4"/>
    <x v="0"/>
    <x v="0"/>
  </r>
  <r>
    <x v="0"/>
    <x v="8"/>
    <x v="1"/>
    <x v="24"/>
    <n v="194"/>
    <n v="167"/>
    <n v="3"/>
    <n v="4"/>
    <n v="43540"/>
    <n v="4"/>
    <n v="30040"/>
    <n v="3"/>
    <m/>
    <n v="163"/>
    <n v="2024"/>
    <x v="4"/>
    <x v="0"/>
    <x v="0"/>
  </r>
  <r>
    <x v="0"/>
    <x v="8"/>
    <x v="1"/>
    <x v="25"/>
    <n v="1"/>
    <n v="1"/>
    <n v="0"/>
    <n v="0"/>
    <n v="0"/>
    <n v="0"/>
    <n v="0"/>
    <n v="0"/>
    <m/>
    <n v="1"/>
    <n v="2024"/>
    <x v="4"/>
    <x v="0"/>
    <x v="0"/>
  </r>
  <r>
    <x v="0"/>
    <x v="8"/>
    <x v="1"/>
    <x v="27"/>
    <n v="1251"/>
    <n v="915"/>
    <n v="39"/>
    <n v="24"/>
    <n v="313965"/>
    <n v="35"/>
    <n v="271275"/>
    <n v="34"/>
    <m/>
    <n v="1106"/>
    <n v="2024"/>
    <x v="4"/>
    <x v="0"/>
    <x v="0"/>
  </r>
  <r>
    <x v="0"/>
    <x v="8"/>
    <x v="1"/>
    <x v="28"/>
    <n v="33"/>
    <n v="24"/>
    <n v="0"/>
    <n v="0"/>
    <n v="0"/>
    <n v="0"/>
    <n v="0"/>
    <n v="0"/>
    <m/>
    <n v="5"/>
    <n v="2024"/>
    <x v="4"/>
    <x v="0"/>
    <x v="0"/>
  </r>
  <r>
    <x v="0"/>
    <x v="8"/>
    <x v="1"/>
    <x v="29"/>
    <n v="8440"/>
    <n v="7557"/>
    <n v="209"/>
    <n v="105"/>
    <n v="153570"/>
    <n v="23"/>
    <n v="78890"/>
    <n v="18"/>
    <m/>
    <n v="6867"/>
    <n v="2024"/>
    <x v="4"/>
    <x v="0"/>
    <x v="0"/>
  </r>
  <r>
    <x v="0"/>
    <x v="8"/>
    <x v="1"/>
    <x v="30"/>
    <n v="12151"/>
    <n v="10178"/>
    <n v="102"/>
    <n v="73"/>
    <n v="129910"/>
    <n v="18"/>
    <n v="96180"/>
    <n v="16"/>
    <m/>
    <n v="9102"/>
    <n v="2024"/>
    <x v="4"/>
    <x v="0"/>
    <x v="0"/>
  </r>
  <r>
    <x v="0"/>
    <x v="8"/>
    <x v="1"/>
    <x v="31"/>
    <n v="2030"/>
    <n v="1803"/>
    <n v="44"/>
    <n v="47"/>
    <n v="82890"/>
    <n v="7"/>
    <n v="52890"/>
    <n v="5"/>
    <m/>
    <n v="1944"/>
    <n v="2024"/>
    <x v="4"/>
    <x v="0"/>
    <x v="0"/>
  </r>
  <r>
    <x v="0"/>
    <x v="8"/>
    <x v="1"/>
    <x v="32"/>
    <n v="34"/>
    <n v="29"/>
    <n v="1"/>
    <n v="1"/>
    <n v="0"/>
    <n v="0"/>
    <n v="0"/>
    <n v="0"/>
    <m/>
    <n v="31"/>
    <n v="2024"/>
    <x v="4"/>
    <x v="0"/>
    <x v="0"/>
  </r>
  <r>
    <x v="0"/>
    <x v="8"/>
    <x v="1"/>
    <x v="34"/>
    <n v="1569"/>
    <n v="1068"/>
    <n v="42"/>
    <n v="32"/>
    <n v="47025"/>
    <n v="5"/>
    <n v="42080"/>
    <n v="5"/>
    <m/>
    <n v="1316"/>
    <n v="2024"/>
    <x v="4"/>
    <x v="0"/>
    <x v="0"/>
  </r>
  <r>
    <x v="0"/>
    <x v="8"/>
    <x v="1"/>
    <x v="36"/>
    <n v="9"/>
    <n v="8"/>
    <n v="0"/>
    <n v="0"/>
    <n v="0"/>
    <n v="0"/>
    <n v="0"/>
    <n v="0"/>
    <m/>
    <n v="7"/>
    <n v="2024"/>
    <x v="4"/>
    <x v="0"/>
    <x v="0"/>
  </r>
  <r>
    <x v="0"/>
    <x v="8"/>
    <x v="1"/>
    <x v="37"/>
    <n v="3178"/>
    <n v="2886"/>
    <n v="15"/>
    <n v="0"/>
    <n v="44335"/>
    <n v="10"/>
    <n v="43985"/>
    <n v="9"/>
    <m/>
    <n v="3060"/>
    <n v="2024"/>
    <x v="4"/>
    <x v="0"/>
    <x v="0"/>
  </r>
  <r>
    <x v="0"/>
    <x v="8"/>
    <x v="1"/>
    <x v="38"/>
    <n v="1730"/>
    <n v="1144"/>
    <n v="51"/>
    <n v="36"/>
    <n v="242465"/>
    <n v="34"/>
    <n v="218570"/>
    <n v="32"/>
    <m/>
    <n v="1615"/>
    <n v="2024"/>
    <x v="4"/>
    <x v="0"/>
    <x v="0"/>
  </r>
  <r>
    <x v="0"/>
    <x v="8"/>
    <x v="1"/>
    <x v="60"/>
    <n v="51"/>
    <n v="43"/>
    <n v="1"/>
    <n v="1"/>
    <n v="0"/>
    <n v="0"/>
    <n v="0"/>
    <n v="0"/>
    <m/>
    <n v="51"/>
    <n v="2024"/>
    <x v="4"/>
    <x v="0"/>
    <x v="0"/>
  </r>
  <r>
    <x v="0"/>
    <x v="8"/>
    <x v="1"/>
    <x v="39"/>
    <n v="1"/>
    <n v="1"/>
    <n v="0"/>
    <n v="0"/>
    <n v="0"/>
    <n v="0"/>
    <n v="0"/>
    <n v="0"/>
    <m/>
    <n v="1"/>
    <n v="2024"/>
    <x v="4"/>
    <x v="0"/>
    <x v="0"/>
  </r>
  <r>
    <x v="0"/>
    <x v="8"/>
    <x v="1"/>
    <x v="41"/>
    <n v="27"/>
    <n v="27"/>
    <n v="0"/>
    <n v="0"/>
    <n v="0"/>
    <n v="0"/>
    <n v="0"/>
    <n v="0"/>
    <m/>
    <n v="24"/>
    <n v="2024"/>
    <x v="4"/>
    <x v="0"/>
    <x v="0"/>
  </r>
  <r>
    <x v="0"/>
    <x v="8"/>
    <x v="1"/>
    <x v="43"/>
    <n v="1477"/>
    <n v="1218"/>
    <n v="28"/>
    <n v="15"/>
    <n v="6570"/>
    <n v="2"/>
    <n v="6570"/>
    <n v="2"/>
    <m/>
    <n v="721"/>
    <n v="2024"/>
    <x v="4"/>
    <x v="0"/>
    <x v="0"/>
  </r>
  <r>
    <x v="0"/>
    <x v="8"/>
    <x v="1"/>
    <x v="44"/>
    <n v="147"/>
    <n v="87"/>
    <n v="0"/>
    <n v="0"/>
    <n v="11295"/>
    <n v="3"/>
    <n v="11295"/>
    <n v="3"/>
    <m/>
    <n v="147"/>
    <n v="2024"/>
    <x v="4"/>
    <x v="0"/>
    <x v="0"/>
  </r>
  <r>
    <x v="0"/>
    <x v="9"/>
    <x v="0"/>
    <x v="0"/>
    <n v="3477"/>
    <n v="2004"/>
    <n v="13"/>
    <n v="10"/>
    <n v="13439"/>
    <n v="4"/>
    <n v="13439"/>
    <n v="4"/>
    <m/>
    <n v="3184"/>
    <n v="2023"/>
    <x v="4"/>
    <x v="1"/>
    <x v="0"/>
  </r>
  <r>
    <x v="0"/>
    <x v="9"/>
    <x v="0"/>
    <x v="1"/>
    <n v="136414"/>
    <n v="130406"/>
    <n v="1033"/>
    <n v="829"/>
    <n v="881135.98"/>
    <n v="148"/>
    <n v="332046.5"/>
    <n v="94"/>
    <m/>
    <n v="135381"/>
    <n v="2023"/>
    <x v="4"/>
    <x v="1"/>
    <x v="0"/>
  </r>
  <r>
    <x v="0"/>
    <x v="9"/>
    <x v="0"/>
    <x v="2"/>
    <n v="12963"/>
    <n v="12340"/>
    <n v="206"/>
    <n v="84"/>
    <n v="194399.5"/>
    <n v="38"/>
    <n v="176504.5"/>
    <n v="36"/>
    <m/>
    <n v="6180"/>
    <n v="2023"/>
    <x v="4"/>
    <x v="1"/>
    <x v="0"/>
  </r>
  <r>
    <x v="0"/>
    <x v="9"/>
    <x v="0"/>
    <x v="3"/>
    <n v="1"/>
    <n v="0"/>
    <n v="0"/>
    <n v="0"/>
    <n v="0"/>
    <n v="0"/>
    <n v="0"/>
    <n v="0"/>
    <m/>
    <n v="1"/>
    <n v="2023"/>
    <x v="4"/>
    <x v="1"/>
    <x v="0"/>
  </r>
  <r>
    <x v="0"/>
    <x v="9"/>
    <x v="1"/>
    <x v="5"/>
    <n v="640"/>
    <n v="546"/>
    <n v="1"/>
    <n v="2"/>
    <n v="3935.5"/>
    <n v="2"/>
    <n v="3935.5"/>
    <n v="2"/>
    <m/>
    <n v="631"/>
    <n v="2023"/>
    <x v="4"/>
    <x v="1"/>
    <x v="0"/>
  </r>
  <r>
    <x v="0"/>
    <x v="9"/>
    <x v="1"/>
    <x v="6"/>
    <n v="50"/>
    <n v="25"/>
    <n v="0"/>
    <n v="0"/>
    <n v="0"/>
    <n v="0"/>
    <n v="0"/>
    <n v="0"/>
    <m/>
    <n v="25"/>
    <n v="2023"/>
    <x v="4"/>
    <x v="1"/>
    <x v="0"/>
  </r>
  <r>
    <x v="0"/>
    <x v="9"/>
    <x v="1"/>
    <x v="7"/>
    <n v="2182"/>
    <n v="1377"/>
    <n v="161"/>
    <n v="22"/>
    <n v="610950.68999999994"/>
    <n v="123"/>
    <n v="479067.19"/>
    <n v="110"/>
    <m/>
    <n v="2082"/>
    <n v="2023"/>
    <x v="4"/>
    <x v="1"/>
    <x v="0"/>
  </r>
  <r>
    <x v="0"/>
    <x v="9"/>
    <x v="1"/>
    <x v="8"/>
    <n v="555"/>
    <n v="377"/>
    <n v="4"/>
    <n v="3"/>
    <n v="0"/>
    <n v="0"/>
    <n v="0"/>
    <n v="0"/>
    <m/>
    <n v="552"/>
    <n v="2023"/>
    <x v="4"/>
    <x v="1"/>
    <x v="0"/>
  </r>
  <r>
    <x v="0"/>
    <x v="9"/>
    <x v="1"/>
    <x v="47"/>
    <n v="16"/>
    <n v="8"/>
    <n v="0"/>
    <n v="0"/>
    <n v="0"/>
    <n v="0"/>
    <n v="0"/>
    <n v="0"/>
    <m/>
    <n v="16"/>
    <n v="2023"/>
    <x v="4"/>
    <x v="1"/>
    <x v="0"/>
  </r>
  <r>
    <x v="0"/>
    <x v="9"/>
    <x v="1"/>
    <x v="52"/>
    <n v="3"/>
    <n v="2"/>
    <n v="0"/>
    <n v="0"/>
    <n v="0"/>
    <n v="0"/>
    <n v="0"/>
    <n v="0"/>
    <m/>
    <n v="3"/>
    <n v="2023"/>
    <x v="4"/>
    <x v="1"/>
    <x v="0"/>
  </r>
  <r>
    <x v="0"/>
    <x v="9"/>
    <x v="1"/>
    <x v="10"/>
    <n v="22"/>
    <n v="15"/>
    <n v="1"/>
    <n v="0"/>
    <n v="0"/>
    <n v="0"/>
    <n v="0"/>
    <n v="0"/>
    <m/>
    <n v="17"/>
    <n v="2023"/>
    <x v="4"/>
    <x v="1"/>
    <x v="0"/>
  </r>
  <r>
    <x v="0"/>
    <x v="9"/>
    <x v="1"/>
    <x v="11"/>
    <n v="19"/>
    <n v="13"/>
    <n v="0"/>
    <n v="1"/>
    <n v="0"/>
    <n v="0"/>
    <n v="0"/>
    <n v="0"/>
    <m/>
    <n v="13"/>
    <n v="2023"/>
    <x v="4"/>
    <x v="1"/>
    <x v="0"/>
  </r>
  <r>
    <x v="0"/>
    <x v="9"/>
    <x v="1"/>
    <x v="59"/>
    <n v="5189"/>
    <n v="4498"/>
    <n v="16"/>
    <n v="27"/>
    <n v="20204"/>
    <n v="4"/>
    <n v="15228"/>
    <n v="3"/>
    <m/>
    <n v="4929"/>
    <n v="2023"/>
    <x v="4"/>
    <x v="1"/>
    <x v="0"/>
  </r>
  <r>
    <x v="0"/>
    <x v="9"/>
    <x v="1"/>
    <x v="15"/>
    <n v="65"/>
    <n v="51"/>
    <n v="0"/>
    <n v="0"/>
    <n v="0"/>
    <n v="0"/>
    <n v="0"/>
    <n v="0"/>
    <m/>
    <n v="65"/>
    <n v="2023"/>
    <x v="4"/>
    <x v="1"/>
    <x v="0"/>
  </r>
  <r>
    <x v="0"/>
    <x v="9"/>
    <x v="1"/>
    <x v="16"/>
    <n v="8"/>
    <n v="5"/>
    <n v="0"/>
    <n v="0"/>
    <n v="0"/>
    <n v="0"/>
    <n v="0"/>
    <n v="0"/>
    <m/>
    <n v="8"/>
    <n v="2023"/>
    <x v="4"/>
    <x v="1"/>
    <x v="0"/>
  </r>
  <r>
    <x v="0"/>
    <x v="9"/>
    <x v="1"/>
    <x v="17"/>
    <n v="101"/>
    <n v="99"/>
    <n v="0"/>
    <n v="0"/>
    <n v="0"/>
    <n v="0"/>
    <n v="0"/>
    <n v="0"/>
    <m/>
    <n v="89"/>
    <n v="2023"/>
    <x v="4"/>
    <x v="1"/>
    <x v="0"/>
  </r>
  <r>
    <x v="0"/>
    <x v="9"/>
    <x v="1"/>
    <x v="18"/>
    <n v="51"/>
    <n v="44"/>
    <n v="1"/>
    <n v="0"/>
    <n v="15978"/>
    <n v="4"/>
    <n v="15978"/>
    <n v="4"/>
    <m/>
    <n v="49"/>
    <n v="2023"/>
    <x v="4"/>
    <x v="1"/>
    <x v="0"/>
  </r>
  <r>
    <x v="0"/>
    <x v="9"/>
    <x v="1"/>
    <x v="19"/>
    <n v="4479"/>
    <n v="3333"/>
    <n v="104"/>
    <n v="38"/>
    <n v="189778.01"/>
    <n v="38"/>
    <n v="130370.01"/>
    <n v="32"/>
    <m/>
    <n v="3021"/>
    <n v="2023"/>
    <x v="4"/>
    <x v="1"/>
    <x v="0"/>
  </r>
  <r>
    <x v="0"/>
    <x v="9"/>
    <x v="1"/>
    <x v="53"/>
    <n v="118"/>
    <n v="111"/>
    <n v="3"/>
    <n v="1"/>
    <n v="0"/>
    <n v="0"/>
    <n v="0"/>
    <n v="0"/>
    <m/>
    <n v="49"/>
    <n v="2023"/>
    <x v="4"/>
    <x v="1"/>
    <x v="0"/>
  </r>
  <r>
    <x v="0"/>
    <x v="9"/>
    <x v="1"/>
    <x v="20"/>
    <n v="3771"/>
    <n v="3123"/>
    <n v="37"/>
    <n v="23"/>
    <n v="39465.01"/>
    <n v="8"/>
    <n v="13025.01"/>
    <n v="3"/>
    <m/>
    <n v="2096"/>
    <n v="2023"/>
    <x v="4"/>
    <x v="1"/>
    <x v="0"/>
  </r>
  <r>
    <x v="0"/>
    <x v="9"/>
    <x v="1"/>
    <x v="21"/>
    <n v="56"/>
    <n v="35"/>
    <n v="2"/>
    <n v="1"/>
    <n v="5683"/>
    <n v="2"/>
    <n v="2488"/>
    <n v="1"/>
    <m/>
    <n v="55"/>
    <n v="2023"/>
    <x v="4"/>
    <x v="1"/>
    <x v="0"/>
  </r>
  <r>
    <x v="0"/>
    <x v="9"/>
    <x v="1"/>
    <x v="22"/>
    <n v="7"/>
    <n v="4"/>
    <n v="0"/>
    <n v="0"/>
    <n v="0"/>
    <n v="0"/>
    <n v="0"/>
    <n v="0"/>
    <m/>
    <n v="7"/>
    <n v="2023"/>
    <x v="4"/>
    <x v="1"/>
    <x v="0"/>
  </r>
  <r>
    <x v="0"/>
    <x v="9"/>
    <x v="1"/>
    <x v="24"/>
    <n v="127"/>
    <n v="93"/>
    <n v="4"/>
    <n v="1"/>
    <n v="17935"/>
    <n v="4"/>
    <n v="17935"/>
    <n v="4"/>
    <m/>
    <n v="101"/>
    <n v="2023"/>
    <x v="4"/>
    <x v="1"/>
    <x v="0"/>
  </r>
  <r>
    <x v="0"/>
    <x v="9"/>
    <x v="1"/>
    <x v="25"/>
    <n v="271"/>
    <n v="251"/>
    <n v="3"/>
    <n v="1"/>
    <n v="0"/>
    <n v="0"/>
    <n v="0"/>
    <n v="0"/>
    <m/>
    <n v="271"/>
    <n v="2023"/>
    <x v="4"/>
    <x v="1"/>
    <x v="0"/>
  </r>
  <r>
    <x v="0"/>
    <x v="9"/>
    <x v="1"/>
    <x v="26"/>
    <n v="19"/>
    <n v="5"/>
    <n v="2"/>
    <n v="1"/>
    <n v="0"/>
    <n v="0"/>
    <n v="0"/>
    <n v="0"/>
    <m/>
    <n v="19"/>
    <n v="2023"/>
    <x v="4"/>
    <x v="1"/>
    <x v="0"/>
  </r>
  <r>
    <x v="0"/>
    <x v="9"/>
    <x v="1"/>
    <x v="27"/>
    <n v="635"/>
    <n v="374"/>
    <n v="43"/>
    <n v="23"/>
    <n v="233714"/>
    <n v="40"/>
    <n v="200694"/>
    <n v="37"/>
    <m/>
    <n v="570"/>
    <n v="2023"/>
    <x v="4"/>
    <x v="1"/>
    <x v="0"/>
  </r>
  <r>
    <x v="0"/>
    <x v="9"/>
    <x v="1"/>
    <x v="29"/>
    <n v="9827"/>
    <n v="8822"/>
    <n v="217"/>
    <n v="129"/>
    <n v="279412"/>
    <n v="62"/>
    <n v="160129.5"/>
    <n v="44"/>
    <m/>
    <n v="7890"/>
    <n v="2023"/>
    <x v="4"/>
    <x v="1"/>
    <x v="0"/>
  </r>
  <r>
    <x v="0"/>
    <x v="9"/>
    <x v="1"/>
    <x v="30"/>
    <n v="51022"/>
    <n v="47828"/>
    <n v="225"/>
    <n v="200"/>
    <n v="89761.5"/>
    <n v="20"/>
    <n v="42728.5"/>
    <n v="15"/>
    <m/>
    <n v="50836"/>
    <n v="2023"/>
    <x v="4"/>
    <x v="1"/>
    <x v="0"/>
  </r>
  <r>
    <x v="0"/>
    <x v="9"/>
    <x v="1"/>
    <x v="31"/>
    <n v="912"/>
    <n v="783"/>
    <n v="27"/>
    <n v="23"/>
    <n v="26365"/>
    <n v="4"/>
    <n v="15585"/>
    <n v="4"/>
    <m/>
    <n v="875"/>
    <n v="2023"/>
    <x v="4"/>
    <x v="1"/>
    <x v="0"/>
  </r>
  <r>
    <x v="0"/>
    <x v="9"/>
    <x v="1"/>
    <x v="32"/>
    <n v="3"/>
    <n v="0"/>
    <n v="0"/>
    <n v="0"/>
    <n v="0"/>
    <n v="0"/>
    <n v="0"/>
    <n v="0"/>
    <m/>
    <n v="1"/>
    <n v="2023"/>
    <x v="4"/>
    <x v="1"/>
    <x v="0"/>
  </r>
  <r>
    <x v="0"/>
    <x v="9"/>
    <x v="1"/>
    <x v="34"/>
    <n v="1411"/>
    <n v="934"/>
    <n v="43"/>
    <n v="21"/>
    <n v="50881"/>
    <n v="9"/>
    <n v="25691"/>
    <n v="6"/>
    <m/>
    <n v="1161"/>
    <n v="2023"/>
    <x v="4"/>
    <x v="1"/>
    <x v="0"/>
  </r>
  <r>
    <x v="0"/>
    <x v="9"/>
    <x v="1"/>
    <x v="35"/>
    <n v="1"/>
    <n v="0"/>
    <n v="0"/>
    <n v="0"/>
    <n v="0"/>
    <n v="0"/>
    <n v="0"/>
    <n v="0"/>
    <m/>
    <n v="1"/>
    <n v="2023"/>
    <x v="4"/>
    <x v="1"/>
    <x v="0"/>
  </r>
  <r>
    <x v="0"/>
    <x v="9"/>
    <x v="1"/>
    <x v="36"/>
    <n v="23"/>
    <n v="20"/>
    <n v="0"/>
    <n v="0"/>
    <n v="0"/>
    <n v="0"/>
    <n v="0"/>
    <n v="0"/>
    <m/>
    <n v="10"/>
    <n v="2023"/>
    <x v="4"/>
    <x v="1"/>
    <x v="0"/>
  </r>
  <r>
    <x v="0"/>
    <x v="9"/>
    <x v="1"/>
    <x v="37"/>
    <n v="3816"/>
    <n v="3396"/>
    <n v="128"/>
    <n v="2"/>
    <n v="113026"/>
    <n v="18"/>
    <n v="56176"/>
    <n v="16"/>
    <m/>
    <n v="3649"/>
    <n v="2023"/>
    <x v="4"/>
    <x v="1"/>
    <x v="0"/>
  </r>
  <r>
    <x v="0"/>
    <x v="9"/>
    <x v="1"/>
    <x v="38"/>
    <n v="2630"/>
    <n v="1771"/>
    <n v="105"/>
    <n v="48"/>
    <n v="260083.98"/>
    <n v="46"/>
    <n v="184142.98"/>
    <n v="41"/>
    <m/>
    <n v="2529"/>
    <n v="2023"/>
    <x v="4"/>
    <x v="1"/>
    <x v="0"/>
  </r>
  <r>
    <x v="0"/>
    <x v="9"/>
    <x v="1"/>
    <x v="39"/>
    <n v="86"/>
    <n v="55"/>
    <n v="3"/>
    <n v="2"/>
    <n v="0"/>
    <n v="0"/>
    <n v="0"/>
    <n v="0"/>
    <m/>
    <n v="86"/>
    <n v="2023"/>
    <x v="4"/>
    <x v="1"/>
    <x v="0"/>
  </r>
  <r>
    <x v="0"/>
    <x v="9"/>
    <x v="1"/>
    <x v="40"/>
    <n v="83"/>
    <n v="40"/>
    <n v="2"/>
    <n v="1"/>
    <n v="0"/>
    <n v="0"/>
    <n v="0"/>
    <n v="0"/>
    <m/>
    <n v="83"/>
    <n v="2023"/>
    <x v="4"/>
    <x v="1"/>
    <x v="0"/>
  </r>
  <r>
    <x v="0"/>
    <x v="9"/>
    <x v="1"/>
    <x v="41"/>
    <n v="37"/>
    <n v="26"/>
    <n v="1"/>
    <n v="0"/>
    <n v="0"/>
    <n v="0"/>
    <n v="0"/>
    <n v="0"/>
    <m/>
    <n v="32"/>
    <n v="2023"/>
    <x v="4"/>
    <x v="1"/>
    <x v="0"/>
  </r>
  <r>
    <x v="0"/>
    <x v="9"/>
    <x v="1"/>
    <x v="55"/>
    <n v="1"/>
    <n v="1"/>
    <n v="0"/>
    <n v="0"/>
    <n v="0"/>
    <n v="0"/>
    <n v="0"/>
    <n v="0"/>
    <m/>
    <n v="1"/>
    <n v="2023"/>
    <x v="4"/>
    <x v="1"/>
    <x v="0"/>
  </r>
  <r>
    <x v="0"/>
    <x v="9"/>
    <x v="1"/>
    <x v="43"/>
    <n v="1929"/>
    <n v="1582"/>
    <n v="41"/>
    <n v="27"/>
    <n v="18639.5"/>
    <n v="5"/>
    <n v="12389.5"/>
    <n v="4"/>
    <m/>
    <n v="1057"/>
    <n v="2023"/>
    <x v="4"/>
    <x v="1"/>
    <x v="0"/>
  </r>
  <r>
    <x v="0"/>
    <x v="9"/>
    <x v="1"/>
    <x v="44"/>
    <n v="35"/>
    <n v="18"/>
    <n v="1"/>
    <n v="2"/>
    <n v="35575"/>
    <n v="6"/>
    <n v="35575"/>
    <n v="6"/>
    <m/>
    <n v="35"/>
    <n v="2023"/>
    <x v="4"/>
    <x v="1"/>
    <x v="0"/>
  </r>
  <r>
    <x v="0"/>
    <x v="10"/>
    <x v="0"/>
    <x v="0"/>
    <n v="2913"/>
    <n v="1992"/>
    <n v="14"/>
    <n v="18"/>
    <n v="41850"/>
    <n v="13"/>
    <n v="37855"/>
    <n v="12"/>
    <m/>
    <n v="2706"/>
    <n v="2024"/>
    <x v="5"/>
    <x v="0"/>
    <x v="0"/>
  </r>
  <r>
    <x v="0"/>
    <x v="10"/>
    <x v="0"/>
    <x v="1"/>
    <n v="155836"/>
    <n v="148114"/>
    <n v="1743"/>
    <n v="1869"/>
    <n v="1746365"/>
    <n v="174"/>
    <n v="303660"/>
    <n v="57"/>
    <m/>
    <n v="155064"/>
    <n v="2024"/>
    <x v="5"/>
    <x v="0"/>
    <x v="0"/>
  </r>
  <r>
    <x v="0"/>
    <x v="10"/>
    <x v="0"/>
    <x v="2"/>
    <n v="15204"/>
    <n v="14557"/>
    <n v="238"/>
    <n v="78"/>
    <n v="159635"/>
    <n v="36"/>
    <n v="120310"/>
    <n v="30"/>
    <m/>
    <n v="7288"/>
    <n v="2024"/>
    <x v="5"/>
    <x v="0"/>
    <x v="0"/>
  </r>
  <r>
    <x v="0"/>
    <x v="10"/>
    <x v="0"/>
    <x v="3"/>
    <n v="13237"/>
    <n v="12691"/>
    <n v="22"/>
    <n v="26"/>
    <n v="0"/>
    <n v="0"/>
    <n v="0"/>
    <n v="0"/>
    <m/>
    <n v="3041"/>
    <n v="2024"/>
    <x v="5"/>
    <x v="0"/>
    <x v="0"/>
  </r>
  <r>
    <x v="0"/>
    <x v="10"/>
    <x v="1"/>
    <x v="5"/>
    <n v="98"/>
    <n v="79"/>
    <n v="2"/>
    <n v="2"/>
    <n v="0"/>
    <n v="0"/>
    <n v="0"/>
    <n v="0"/>
    <m/>
    <n v="98"/>
    <n v="2024"/>
    <x v="5"/>
    <x v="0"/>
    <x v="0"/>
  </r>
  <r>
    <x v="0"/>
    <x v="10"/>
    <x v="1"/>
    <x v="6"/>
    <n v="1445"/>
    <n v="1385"/>
    <n v="0"/>
    <n v="0"/>
    <n v="0"/>
    <n v="0"/>
    <n v="0"/>
    <n v="0"/>
    <m/>
    <n v="6"/>
    <n v="2024"/>
    <x v="5"/>
    <x v="0"/>
    <x v="0"/>
  </r>
  <r>
    <x v="0"/>
    <x v="10"/>
    <x v="1"/>
    <x v="7"/>
    <n v="1768"/>
    <n v="1093"/>
    <n v="147"/>
    <n v="24"/>
    <n v="531560"/>
    <n v="81"/>
    <n v="393125"/>
    <n v="76"/>
    <m/>
    <n v="1653"/>
    <n v="2024"/>
    <x v="5"/>
    <x v="0"/>
    <x v="0"/>
  </r>
  <r>
    <x v="0"/>
    <x v="10"/>
    <x v="1"/>
    <x v="8"/>
    <n v="22"/>
    <n v="12"/>
    <n v="0"/>
    <n v="1"/>
    <n v="0"/>
    <n v="0"/>
    <n v="0"/>
    <n v="0"/>
    <m/>
    <n v="9"/>
    <n v="2024"/>
    <x v="5"/>
    <x v="0"/>
    <x v="0"/>
  </r>
  <r>
    <x v="0"/>
    <x v="10"/>
    <x v="1"/>
    <x v="9"/>
    <n v="225"/>
    <n v="177"/>
    <n v="0"/>
    <n v="0"/>
    <n v="0"/>
    <n v="0"/>
    <n v="0"/>
    <n v="0"/>
    <m/>
    <n v="33"/>
    <n v="2024"/>
    <x v="5"/>
    <x v="0"/>
    <x v="0"/>
  </r>
  <r>
    <x v="0"/>
    <x v="10"/>
    <x v="1"/>
    <x v="10"/>
    <n v="177"/>
    <n v="129"/>
    <n v="5"/>
    <n v="7"/>
    <n v="0"/>
    <n v="0"/>
    <n v="0"/>
    <n v="0"/>
    <m/>
    <n v="149"/>
    <n v="2024"/>
    <x v="5"/>
    <x v="0"/>
    <x v="0"/>
  </r>
  <r>
    <x v="0"/>
    <x v="10"/>
    <x v="1"/>
    <x v="11"/>
    <n v="23"/>
    <n v="23"/>
    <n v="0"/>
    <n v="0"/>
    <n v="0"/>
    <n v="0"/>
    <n v="0"/>
    <n v="0"/>
    <m/>
    <n v="10"/>
    <n v="2024"/>
    <x v="5"/>
    <x v="0"/>
    <x v="0"/>
  </r>
  <r>
    <x v="0"/>
    <x v="10"/>
    <x v="1"/>
    <x v="59"/>
    <n v="9969"/>
    <n v="9328"/>
    <n v="38"/>
    <n v="50"/>
    <n v="79630"/>
    <n v="18"/>
    <n v="63230"/>
    <n v="16"/>
    <m/>
    <n v="2972"/>
    <n v="2024"/>
    <x v="5"/>
    <x v="0"/>
    <x v="0"/>
  </r>
  <r>
    <x v="0"/>
    <x v="10"/>
    <x v="1"/>
    <x v="15"/>
    <n v="354"/>
    <n v="346"/>
    <n v="2"/>
    <n v="3"/>
    <n v="0"/>
    <n v="0"/>
    <n v="0"/>
    <n v="0"/>
    <m/>
    <n v="354"/>
    <n v="2024"/>
    <x v="5"/>
    <x v="0"/>
    <x v="0"/>
  </r>
  <r>
    <x v="0"/>
    <x v="10"/>
    <x v="1"/>
    <x v="17"/>
    <n v="29"/>
    <n v="27"/>
    <n v="0"/>
    <n v="0"/>
    <n v="11500"/>
    <n v="1"/>
    <n v="11500"/>
    <n v="1"/>
    <m/>
    <n v="23"/>
    <n v="2024"/>
    <x v="5"/>
    <x v="0"/>
    <x v="0"/>
  </r>
  <r>
    <x v="0"/>
    <x v="10"/>
    <x v="1"/>
    <x v="18"/>
    <n v="82"/>
    <n v="80"/>
    <n v="8"/>
    <n v="1"/>
    <n v="14980"/>
    <n v="4"/>
    <n v="14980"/>
    <n v="4"/>
    <m/>
    <n v="77"/>
    <n v="2024"/>
    <x v="5"/>
    <x v="0"/>
    <x v="0"/>
  </r>
  <r>
    <x v="0"/>
    <x v="10"/>
    <x v="1"/>
    <x v="19"/>
    <n v="5563"/>
    <n v="4243"/>
    <n v="134"/>
    <n v="64"/>
    <n v="258570"/>
    <n v="46"/>
    <n v="164700"/>
    <n v="38"/>
    <m/>
    <n v="3489"/>
    <n v="2024"/>
    <x v="5"/>
    <x v="0"/>
    <x v="0"/>
  </r>
  <r>
    <x v="0"/>
    <x v="10"/>
    <x v="1"/>
    <x v="20"/>
    <n v="286"/>
    <n v="173"/>
    <n v="5"/>
    <n v="9"/>
    <n v="9990"/>
    <n v="2"/>
    <n v="4995"/>
    <n v="1"/>
    <m/>
    <n v="273"/>
    <n v="2024"/>
    <x v="5"/>
    <x v="0"/>
    <x v="0"/>
  </r>
  <r>
    <x v="0"/>
    <x v="10"/>
    <x v="1"/>
    <x v="21"/>
    <n v="39"/>
    <n v="28"/>
    <n v="0"/>
    <n v="2"/>
    <n v="14985"/>
    <n v="2"/>
    <n v="4995"/>
    <n v="1"/>
    <m/>
    <n v="39"/>
    <n v="2024"/>
    <x v="5"/>
    <x v="0"/>
    <x v="0"/>
  </r>
  <r>
    <x v="0"/>
    <x v="10"/>
    <x v="1"/>
    <x v="22"/>
    <n v="76"/>
    <n v="51"/>
    <n v="0"/>
    <n v="0"/>
    <n v="0"/>
    <n v="0"/>
    <n v="0"/>
    <n v="0"/>
    <m/>
    <n v="8"/>
    <n v="2024"/>
    <x v="5"/>
    <x v="0"/>
    <x v="0"/>
  </r>
  <r>
    <x v="0"/>
    <x v="10"/>
    <x v="1"/>
    <x v="24"/>
    <n v="205"/>
    <n v="180"/>
    <n v="5"/>
    <n v="0"/>
    <n v="35965"/>
    <n v="4"/>
    <n v="20515"/>
    <n v="3"/>
    <m/>
    <n v="177"/>
    <n v="2024"/>
    <x v="5"/>
    <x v="0"/>
    <x v="0"/>
  </r>
  <r>
    <x v="0"/>
    <x v="10"/>
    <x v="1"/>
    <x v="25"/>
    <n v="1"/>
    <n v="1"/>
    <n v="0"/>
    <n v="0"/>
    <n v="0"/>
    <n v="0"/>
    <n v="0"/>
    <n v="0"/>
    <m/>
    <n v="1"/>
    <n v="2024"/>
    <x v="5"/>
    <x v="0"/>
    <x v="0"/>
  </r>
  <r>
    <x v="0"/>
    <x v="10"/>
    <x v="1"/>
    <x v="27"/>
    <n v="1334"/>
    <n v="975"/>
    <n v="63"/>
    <n v="22"/>
    <n v="241515"/>
    <n v="40"/>
    <n v="188075"/>
    <n v="35"/>
    <m/>
    <n v="1229"/>
    <n v="2024"/>
    <x v="5"/>
    <x v="0"/>
    <x v="0"/>
  </r>
  <r>
    <x v="0"/>
    <x v="10"/>
    <x v="1"/>
    <x v="29"/>
    <n v="9570"/>
    <n v="8508"/>
    <n v="217"/>
    <n v="78"/>
    <n v="205755"/>
    <n v="30"/>
    <n v="105000"/>
    <n v="24"/>
    <m/>
    <n v="7595"/>
    <n v="2024"/>
    <x v="5"/>
    <x v="0"/>
    <x v="0"/>
  </r>
  <r>
    <x v="0"/>
    <x v="10"/>
    <x v="1"/>
    <x v="30"/>
    <n v="10708"/>
    <n v="8861"/>
    <n v="97"/>
    <n v="89"/>
    <n v="75235"/>
    <n v="11"/>
    <n v="37340"/>
    <n v="8"/>
    <m/>
    <n v="9064"/>
    <n v="2024"/>
    <x v="5"/>
    <x v="0"/>
    <x v="0"/>
  </r>
  <r>
    <x v="0"/>
    <x v="10"/>
    <x v="1"/>
    <x v="31"/>
    <n v="2169"/>
    <n v="1904"/>
    <n v="32"/>
    <n v="26"/>
    <n v="3495"/>
    <n v="1"/>
    <n v="3495"/>
    <n v="1"/>
    <m/>
    <n v="2031"/>
    <n v="2024"/>
    <x v="5"/>
    <x v="0"/>
    <x v="0"/>
  </r>
  <r>
    <x v="0"/>
    <x v="10"/>
    <x v="1"/>
    <x v="32"/>
    <n v="44"/>
    <n v="33"/>
    <n v="3"/>
    <n v="0"/>
    <n v="9990"/>
    <n v="2"/>
    <n v="9990"/>
    <n v="2"/>
    <m/>
    <n v="40"/>
    <n v="2024"/>
    <x v="5"/>
    <x v="0"/>
    <x v="0"/>
  </r>
  <r>
    <x v="0"/>
    <x v="10"/>
    <x v="1"/>
    <x v="34"/>
    <n v="1282"/>
    <n v="861"/>
    <n v="39"/>
    <n v="32"/>
    <n v="27635"/>
    <n v="4"/>
    <n v="27635"/>
    <n v="4"/>
    <m/>
    <n v="1025"/>
    <n v="2024"/>
    <x v="5"/>
    <x v="0"/>
    <x v="0"/>
  </r>
  <r>
    <x v="0"/>
    <x v="10"/>
    <x v="1"/>
    <x v="35"/>
    <n v="3"/>
    <n v="2"/>
    <n v="0"/>
    <n v="0"/>
    <n v="0"/>
    <n v="0"/>
    <n v="0"/>
    <n v="0"/>
    <m/>
    <n v="0"/>
    <n v="2024"/>
    <x v="5"/>
    <x v="0"/>
    <x v="0"/>
  </r>
  <r>
    <x v="0"/>
    <x v="10"/>
    <x v="1"/>
    <x v="36"/>
    <n v="12"/>
    <n v="11"/>
    <n v="0"/>
    <n v="0"/>
    <n v="0"/>
    <n v="0"/>
    <n v="0"/>
    <n v="0"/>
    <m/>
    <n v="8"/>
    <n v="2024"/>
    <x v="5"/>
    <x v="0"/>
    <x v="0"/>
  </r>
  <r>
    <x v="0"/>
    <x v="10"/>
    <x v="1"/>
    <x v="37"/>
    <n v="3772"/>
    <n v="3433"/>
    <n v="59"/>
    <n v="0"/>
    <n v="44635"/>
    <n v="8"/>
    <n v="44635"/>
    <n v="8"/>
    <m/>
    <n v="3662"/>
    <n v="2024"/>
    <x v="5"/>
    <x v="0"/>
    <x v="0"/>
  </r>
  <r>
    <x v="0"/>
    <x v="10"/>
    <x v="1"/>
    <x v="38"/>
    <n v="1847"/>
    <n v="1249"/>
    <n v="63"/>
    <n v="53"/>
    <n v="242295"/>
    <n v="33"/>
    <n v="155005"/>
    <n v="28"/>
    <m/>
    <n v="1750"/>
    <n v="2024"/>
    <x v="5"/>
    <x v="0"/>
    <x v="0"/>
  </r>
  <r>
    <x v="0"/>
    <x v="10"/>
    <x v="1"/>
    <x v="60"/>
    <n v="7"/>
    <n v="5"/>
    <n v="0"/>
    <n v="0"/>
    <n v="0"/>
    <n v="0"/>
    <n v="0"/>
    <n v="0"/>
    <m/>
    <n v="7"/>
    <n v="2024"/>
    <x v="5"/>
    <x v="0"/>
    <x v="0"/>
  </r>
  <r>
    <x v="0"/>
    <x v="10"/>
    <x v="1"/>
    <x v="41"/>
    <n v="29"/>
    <n v="24"/>
    <n v="0"/>
    <n v="0"/>
    <n v="0"/>
    <n v="0"/>
    <n v="0"/>
    <n v="0"/>
    <m/>
    <n v="28"/>
    <n v="2024"/>
    <x v="5"/>
    <x v="0"/>
    <x v="0"/>
  </r>
  <r>
    <x v="0"/>
    <x v="10"/>
    <x v="1"/>
    <x v="43"/>
    <n v="1474"/>
    <n v="1232"/>
    <n v="22"/>
    <n v="15"/>
    <n v="0"/>
    <n v="0"/>
    <n v="0"/>
    <n v="0"/>
    <m/>
    <n v="740"/>
    <n v="2024"/>
    <x v="5"/>
    <x v="0"/>
    <x v="0"/>
  </r>
  <r>
    <x v="0"/>
    <x v="10"/>
    <x v="1"/>
    <x v="44"/>
    <n v="108"/>
    <n v="45"/>
    <n v="1"/>
    <n v="0"/>
    <n v="26230"/>
    <n v="6"/>
    <n v="23235"/>
    <n v="6"/>
    <m/>
    <n v="108"/>
    <n v="2024"/>
    <x v="5"/>
    <x v="0"/>
    <x v="0"/>
  </r>
  <r>
    <x v="0"/>
    <x v="10"/>
    <x v="1"/>
    <x v="45"/>
    <n v="1"/>
    <n v="0"/>
    <n v="0"/>
    <n v="0"/>
    <n v="0"/>
    <n v="0"/>
    <n v="0"/>
    <n v="0"/>
    <m/>
    <n v="1"/>
    <n v="2024"/>
    <x v="5"/>
    <x v="0"/>
    <x v="0"/>
  </r>
  <r>
    <x v="0"/>
    <x v="11"/>
    <x v="0"/>
    <x v="0"/>
    <n v="1958"/>
    <n v="1346"/>
    <n v="18"/>
    <n v="5"/>
    <n v="47644"/>
    <n v="6"/>
    <n v="18718"/>
    <n v="5"/>
    <m/>
    <n v="1562"/>
    <n v="2023"/>
    <x v="5"/>
    <x v="1"/>
    <x v="0"/>
  </r>
  <r>
    <x v="0"/>
    <x v="11"/>
    <x v="0"/>
    <x v="1"/>
    <n v="96856"/>
    <n v="91349"/>
    <n v="980"/>
    <n v="774"/>
    <n v="741722"/>
    <n v="106"/>
    <n v="266402"/>
    <n v="61"/>
    <m/>
    <n v="96144"/>
    <n v="2023"/>
    <x v="5"/>
    <x v="1"/>
    <x v="0"/>
  </r>
  <r>
    <x v="0"/>
    <x v="11"/>
    <x v="0"/>
    <x v="2"/>
    <n v="12620"/>
    <n v="11827"/>
    <n v="186"/>
    <n v="104"/>
    <n v="134148"/>
    <n v="32"/>
    <n v="108048"/>
    <n v="27"/>
    <m/>
    <n v="5985"/>
    <n v="2023"/>
    <x v="5"/>
    <x v="1"/>
    <x v="0"/>
  </r>
  <r>
    <x v="0"/>
    <x v="11"/>
    <x v="0"/>
    <x v="3"/>
    <n v="5986"/>
    <n v="5973"/>
    <n v="0"/>
    <n v="0"/>
    <n v="0"/>
    <n v="0"/>
    <n v="0"/>
    <n v="0"/>
    <m/>
    <n v="5986"/>
    <n v="2023"/>
    <x v="5"/>
    <x v="1"/>
    <x v="0"/>
  </r>
  <r>
    <x v="0"/>
    <x v="11"/>
    <x v="1"/>
    <x v="5"/>
    <n v="769"/>
    <n v="671"/>
    <n v="2"/>
    <n v="2"/>
    <n v="0"/>
    <n v="0"/>
    <n v="0"/>
    <n v="0"/>
    <m/>
    <n v="769"/>
    <n v="2023"/>
    <x v="5"/>
    <x v="1"/>
    <x v="0"/>
  </r>
  <r>
    <x v="0"/>
    <x v="11"/>
    <x v="1"/>
    <x v="6"/>
    <n v="38"/>
    <n v="19"/>
    <n v="0"/>
    <n v="0"/>
    <n v="0"/>
    <n v="0"/>
    <n v="0"/>
    <n v="0"/>
    <m/>
    <n v="16"/>
    <n v="2023"/>
    <x v="5"/>
    <x v="1"/>
    <x v="0"/>
  </r>
  <r>
    <x v="0"/>
    <x v="11"/>
    <x v="1"/>
    <x v="7"/>
    <n v="2016"/>
    <n v="1338"/>
    <n v="111"/>
    <n v="25"/>
    <n v="429036"/>
    <n v="78"/>
    <n v="345883"/>
    <n v="73"/>
    <m/>
    <n v="1946"/>
    <n v="2023"/>
    <x v="5"/>
    <x v="1"/>
    <x v="0"/>
  </r>
  <r>
    <x v="0"/>
    <x v="11"/>
    <x v="1"/>
    <x v="8"/>
    <n v="455"/>
    <n v="299"/>
    <n v="4"/>
    <n v="3"/>
    <n v="14012.5"/>
    <n v="1"/>
    <n v="14012.5"/>
    <n v="1"/>
    <m/>
    <n v="455"/>
    <n v="2023"/>
    <x v="5"/>
    <x v="1"/>
    <x v="0"/>
  </r>
  <r>
    <x v="0"/>
    <x v="11"/>
    <x v="1"/>
    <x v="47"/>
    <n v="21"/>
    <n v="18"/>
    <n v="0"/>
    <n v="0"/>
    <n v="0"/>
    <n v="0"/>
    <n v="0"/>
    <n v="0"/>
    <m/>
    <n v="21"/>
    <n v="2023"/>
    <x v="5"/>
    <x v="1"/>
    <x v="0"/>
  </r>
  <r>
    <x v="0"/>
    <x v="11"/>
    <x v="1"/>
    <x v="10"/>
    <n v="39"/>
    <n v="30"/>
    <n v="0"/>
    <n v="0"/>
    <n v="0"/>
    <n v="0"/>
    <n v="0"/>
    <n v="0"/>
    <m/>
    <n v="19"/>
    <n v="2023"/>
    <x v="5"/>
    <x v="1"/>
    <x v="0"/>
  </r>
  <r>
    <x v="0"/>
    <x v="11"/>
    <x v="1"/>
    <x v="11"/>
    <n v="47"/>
    <n v="33"/>
    <n v="0"/>
    <n v="0"/>
    <n v="0"/>
    <n v="0"/>
    <n v="0"/>
    <n v="0"/>
    <m/>
    <n v="25"/>
    <n v="2023"/>
    <x v="5"/>
    <x v="1"/>
    <x v="0"/>
  </r>
  <r>
    <x v="0"/>
    <x v="11"/>
    <x v="1"/>
    <x v="59"/>
    <n v="4369"/>
    <n v="4027"/>
    <n v="63"/>
    <n v="27"/>
    <n v="33560"/>
    <n v="13"/>
    <n v="24601"/>
    <n v="10"/>
    <m/>
    <n v="4104"/>
    <n v="2023"/>
    <x v="5"/>
    <x v="1"/>
    <x v="0"/>
  </r>
  <r>
    <x v="0"/>
    <x v="11"/>
    <x v="1"/>
    <x v="15"/>
    <n v="71"/>
    <n v="59"/>
    <n v="1"/>
    <n v="0"/>
    <n v="0"/>
    <n v="0"/>
    <n v="0"/>
    <n v="0"/>
    <m/>
    <n v="71"/>
    <n v="2023"/>
    <x v="5"/>
    <x v="1"/>
    <x v="0"/>
  </r>
  <r>
    <x v="0"/>
    <x v="11"/>
    <x v="1"/>
    <x v="16"/>
    <n v="1"/>
    <n v="0"/>
    <n v="0"/>
    <n v="0"/>
    <n v="0"/>
    <n v="0"/>
    <n v="0"/>
    <n v="0"/>
    <m/>
    <n v="1"/>
    <n v="2023"/>
    <x v="5"/>
    <x v="1"/>
    <x v="0"/>
  </r>
  <r>
    <x v="0"/>
    <x v="11"/>
    <x v="1"/>
    <x v="17"/>
    <n v="58"/>
    <n v="56"/>
    <n v="0"/>
    <n v="0"/>
    <n v="0"/>
    <n v="0"/>
    <n v="0"/>
    <n v="0"/>
    <m/>
    <n v="51"/>
    <n v="2023"/>
    <x v="5"/>
    <x v="1"/>
    <x v="0"/>
  </r>
  <r>
    <x v="0"/>
    <x v="11"/>
    <x v="1"/>
    <x v="18"/>
    <n v="64"/>
    <n v="56"/>
    <n v="3"/>
    <n v="2"/>
    <n v="35796"/>
    <n v="7"/>
    <n v="33808"/>
    <n v="7"/>
    <m/>
    <n v="60"/>
    <n v="2023"/>
    <x v="5"/>
    <x v="1"/>
    <x v="0"/>
  </r>
  <r>
    <x v="0"/>
    <x v="11"/>
    <x v="1"/>
    <x v="19"/>
    <n v="4922"/>
    <n v="3846"/>
    <n v="76"/>
    <n v="43"/>
    <n v="197936.01"/>
    <n v="31"/>
    <n v="146966.01"/>
    <n v="27"/>
    <m/>
    <n v="3085"/>
    <n v="2023"/>
    <x v="5"/>
    <x v="1"/>
    <x v="0"/>
  </r>
  <r>
    <x v="0"/>
    <x v="11"/>
    <x v="1"/>
    <x v="53"/>
    <n v="73"/>
    <n v="64"/>
    <n v="1"/>
    <n v="0"/>
    <n v="0"/>
    <n v="0"/>
    <n v="0"/>
    <n v="0"/>
    <m/>
    <n v="34"/>
    <n v="2023"/>
    <x v="5"/>
    <x v="1"/>
    <x v="0"/>
  </r>
  <r>
    <x v="0"/>
    <x v="11"/>
    <x v="1"/>
    <x v="20"/>
    <n v="1959"/>
    <n v="1526"/>
    <n v="20"/>
    <n v="34"/>
    <n v="28521"/>
    <n v="4"/>
    <n v="21571"/>
    <n v="4"/>
    <m/>
    <n v="1926"/>
    <n v="2023"/>
    <x v="5"/>
    <x v="1"/>
    <x v="0"/>
  </r>
  <r>
    <x v="0"/>
    <x v="11"/>
    <x v="1"/>
    <x v="21"/>
    <n v="36"/>
    <n v="24"/>
    <n v="1"/>
    <n v="1"/>
    <n v="0"/>
    <n v="0"/>
    <n v="0"/>
    <n v="0"/>
    <m/>
    <n v="36"/>
    <n v="2023"/>
    <x v="5"/>
    <x v="1"/>
    <x v="0"/>
  </r>
  <r>
    <x v="0"/>
    <x v="11"/>
    <x v="1"/>
    <x v="22"/>
    <n v="4"/>
    <n v="3"/>
    <n v="0"/>
    <n v="0"/>
    <n v="0"/>
    <n v="0"/>
    <n v="0"/>
    <n v="0"/>
    <m/>
    <n v="4"/>
    <n v="2023"/>
    <x v="5"/>
    <x v="1"/>
    <x v="0"/>
  </r>
  <r>
    <x v="0"/>
    <x v="11"/>
    <x v="1"/>
    <x v="24"/>
    <n v="120"/>
    <n v="92"/>
    <n v="0"/>
    <n v="0"/>
    <n v="2995"/>
    <n v="1"/>
    <n v="2995"/>
    <n v="1"/>
    <m/>
    <n v="92"/>
    <n v="2023"/>
    <x v="5"/>
    <x v="1"/>
    <x v="0"/>
  </r>
  <r>
    <x v="0"/>
    <x v="11"/>
    <x v="1"/>
    <x v="25"/>
    <n v="196"/>
    <n v="179"/>
    <n v="3"/>
    <n v="3"/>
    <n v="0"/>
    <n v="0"/>
    <n v="0"/>
    <n v="0"/>
    <m/>
    <n v="196"/>
    <n v="2023"/>
    <x v="5"/>
    <x v="1"/>
    <x v="0"/>
  </r>
  <r>
    <x v="0"/>
    <x v="11"/>
    <x v="1"/>
    <x v="26"/>
    <n v="13"/>
    <n v="5"/>
    <n v="0"/>
    <n v="0"/>
    <n v="0"/>
    <n v="0"/>
    <n v="0"/>
    <n v="0"/>
    <m/>
    <n v="13"/>
    <n v="2023"/>
    <x v="5"/>
    <x v="1"/>
    <x v="0"/>
  </r>
  <r>
    <x v="0"/>
    <x v="11"/>
    <x v="1"/>
    <x v="27"/>
    <n v="585"/>
    <n v="365"/>
    <n v="33"/>
    <n v="22"/>
    <n v="146664"/>
    <n v="26"/>
    <n v="123863"/>
    <n v="24"/>
    <m/>
    <n v="530"/>
    <n v="2023"/>
    <x v="5"/>
    <x v="1"/>
    <x v="0"/>
  </r>
  <r>
    <x v="0"/>
    <x v="11"/>
    <x v="1"/>
    <x v="29"/>
    <n v="9327"/>
    <n v="8330"/>
    <n v="186"/>
    <n v="100"/>
    <n v="169803"/>
    <n v="33"/>
    <n v="97598"/>
    <n v="27"/>
    <m/>
    <n v="7172"/>
    <n v="2023"/>
    <x v="5"/>
    <x v="1"/>
    <x v="0"/>
  </r>
  <r>
    <x v="0"/>
    <x v="11"/>
    <x v="1"/>
    <x v="30"/>
    <n v="80739"/>
    <n v="76825"/>
    <n v="232"/>
    <n v="249"/>
    <n v="243424"/>
    <n v="19"/>
    <n v="86508"/>
    <n v="10"/>
    <m/>
    <n v="80530"/>
    <n v="2023"/>
    <x v="5"/>
    <x v="1"/>
    <x v="0"/>
  </r>
  <r>
    <x v="0"/>
    <x v="11"/>
    <x v="1"/>
    <x v="31"/>
    <n v="1027"/>
    <n v="868"/>
    <n v="30"/>
    <n v="19"/>
    <n v="46455"/>
    <n v="8"/>
    <n v="19050"/>
    <n v="3"/>
    <m/>
    <n v="984"/>
    <n v="2023"/>
    <x v="5"/>
    <x v="1"/>
    <x v="0"/>
  </r>
  <r>
    <x v="0"/>
    <x v="11"/>
    <x v="1"/>
    <x v="32"/>
    <n v="1"/>
    <n v="0"/>
    <n v="0"/>
    <n v="0"/>
    <n v="0"/>
    <n v="0"/>
    <n v="0"/>
    <n v="0"/>
    <m/>
    <n v="0"/>
    <n v="2023"/>
    <x v="5"/>
    <x v="1"/>
    <x v="0"/>
  </r>
  <r>
    <x v="0"/>
    <x v="11"/>
    <x v="1"/>
    <x v="33"/>
    <n v="1"/>
    <n v="0"/>
    <n v="0"/>
    <n v="0"/>
    <n v="0"/>
    <n v="0"/>
    <n v="0"/>
    <n v="0"/>
    <m/>
    <n v="0"/>
    <n v="2023"/>
    <x v="5"/>
    <x v="1"/>
    <x v="0"/>
  </r>
  <r>
    <x v="0"/>
    <x v="11"/>
    <x v="1"/>
    <x v="34"/>
    <n v="1549"/>
    <n v="1018"/>
    <n v="31"/>
    <n v="27"/>
    <n v="8370"/>
    <n v="3"/>
    <n v="7380"/>
    <n v="3"/>
    <m/>
    <n v="1282"/>
    <n v="2023"/>
    <x v="5"/>
    <x v="1"/>
    <x v="0"/>
  </r>
  <r>
    <x v="0"/>
    <x v="11"/>
    <x v="1"/>
    <x v="36"/>
    <n v="20"/>
    <n v="16"/>
    <n v="0"/>
    <n v="0"/>
    <n v="0"/>
    <n v="0"/>
    <n v="0"/>
    <n v="0"/>
    <m/>
    <n v="11"/>
    <n v="2023"/>
    <x v="5"/>
    <x v="1"/>
    <x v="0"/>
  </r>
  <r>
    <x v="0"/>
    <x v="11"/>
    <x v="1"/>
    <x v="37"/>
    <n v="4282"/>
    <n v="3947"/>
    <n v="112"/>
    <n v="0"/>
    <n v="75375"/>
    <n v="7"/>
    <n v="39880"/>
    <n v="6"/>
    <m/>
    <n v="4096"/>
    <n v="2023"/>
    <x v="5"/>
    <x v="1"/>
    <x v="0"/>
  </r>
  <r>
    <x v="0"/>
    <x v="11"/>
    <x v="1"/>
    <x v="38"/>
    <n v="2887"/>
    <n v="2094"/>
    <n v="73"/>
    <n v="53"/>
    <n v="146067.5"/>
    <n v="23"/>
    <n v="107112.5"/>
    <n v="23"/>
    <m/>
    <n v="2786"/>
    <n v="2023"/>
    <x v="5"/>
    <x v="1"/>
    <x v="0"/>
  </r>
  <r>
    <x v="0"/>
    <x v="11"/>
    <x v="1"/>
    <x v="39"/>
    <n v="48"/>
    <n v="43"/>
    <n v="1"/>
    <n v="1"/>
    <n v="0"/>
    <n v="0"/>
    <n v="0"/>
    <n v="0"/>
    <m/>
    <n v="48"/>
    <n v="2023"/>
    <x v="5"/>
    <x v="1"/>
    <x v="0"/>
  </r>
  <r>
    <x v="0"/>
    <x v="11"/>
    <x v="1"/>
    <x v="40"/>
    <n v="107"/>
    <n v="82"/>
    <n v="0"/>
    <n v="1"/>
    <n v="0"/>
    <n v="0"/>
    <n v="0"/>
    <n v="0"/>
    <m/>
    <n v="107"/>
    <n v="2023"/>
    <x v="5"/>
    <x v="1"/>
    <x v="0"/>
  </r>
  <r>
    <x v="0"/>
    <x v="11"/>
    <x v="1"/>
    <x v="41"/>
    <n v="42"/>
    <n v="33"/>
    <n v="2"/>
    <n v="0"/>
    <n v="0"/>
    <n v="0"/>
    <n v="0"/>
    <n v="0"/>
    <m/>
    <n v="40"/>
    <n v="2023"/>
    <x v="5"/>
    <x v="1"/>
    <x v="0"/>
  </r>
  <r>
    <x v="0"/>
    <x v="11"/>
    <x v="1"/>
    <x v="55"/>
    <n v="7"/>
    <n v="3"/>
    <n v="0"/>
    <n v="0"/>
    <n v="0"/>
    <n v="0"/>
    <n v="0"/>
    <n v="0"/>
    <m/>
    <n v="7"/>
    <n v="2023"/>
    <x v="5"/>
    <x v="1"/>
    <x v="0"/>
  </r>
  <r>
    <x v="0"/>
    <x v="11"/>
    <x v="1"/>
    <x v="42"/>
    <n v="378"/>
    <n v="215"/>
    <n v="8"/>
    <n v="4"/>
    <n v="0"/>
    <n v="0"/>
    <n v="0"/>
    <n v="0"/>
    <m/>
    <n v="371"/>
    <n v="2023"/>
    <x v="5"/>
    <x v="1"/>
    <x v="0"/>
  </r>
  <r>
    <x v="0"/>
    <x v="11"/>
    <x v="1"/>
    <x v="43"/>
    <n v="2046"/>
    <n v="1714"/>
    <n v="35"/>
    <n v="27"/>
    <n v="22075"/>
    <n v="6"/>
    <n v="17080"/>
    <n v="5"/>
    <m/>
    <n v="1179"/>
    <n v="2023"/>
    <x v="5"/>
    <x v="1"/>
    <x v="0"/>
  </r>
  <r>
    <x v="0"/>
    <x v="11"/>
    <x v="1"/>
    <x v="44"/>
    <n v="19"/>
    <n v="7"/>
    <n v="1"/>
    <n v="0"/>
    <n v="10185"/>
    <n v="2"/>
    <n v="10185"/>
    <n v="2"/>
    <m/>
    <n v="18"/>
    <n v="2023"/>
    <x v="5"/>
    <x v="1"/>
    <x v="0"/>
  </r>
  <r>
    <x v="0"/>
    <x v="12"/>
    <x v="0"/>
    <x v="0"/>
    <n v="10918"/>
    <n v="9127"/>
    <n v="606"/>
    <n v="36"/>
    <n v="452431.01"/>
    <n v="101"/>
    <n v="357840.01"/>
    <n v="86"/>
    <m/>
    <n v="10603"/>
    <n v="2024"/>
    <x v="6"/>
    <x v="0"/>
    <x v="0"/>
  </r>
  <r>
    <x v="0"/>
    <x v="12"/>
    <x v="0"/>
    <x v="1"/>
    <n v="252251"/>
    <n v="237906"/>
    <n v="8297"/>
    <n v="3511"/>
    <n v="11245295.26"/>
    <n v="1740"/>
    <n v="7373967.9800000004"/>
    <n v="1381"/>
    <m/>
    <n v="251298"/>
    <n v="2024"/>
    <x v="6"/>
    <x v="0"/>
    <x v="0"/>
  </r>
  <r>
    <x v="0"/>
    <x v="12"/>
    <x v="0"/>
    <x v="2"/>
    <n v="35629"/>
    <n v="33159"/>
    <n v="775"/>
    <n v="180"/>
    <n v="1617498.07"/>
    <n v="183"/>
    <n v="736447.07"/>
    <n v="152"/>
    <m/>
    <n v="14253"/>
    <n v="2024"/>
    <x v="6"/>
    <x v="0"/>
    <x v="0"/>
  </r>
  <r>
    <x v="0"/>
    <x v="12"/>
    <x v="0"/>
    <x v="3"/>
    <n v="23021"/>
    <n v="20347"/>
    <n v="208"/>
    <n v="102"/>
    <n v="0"/>
    <n v="0"/>
    <n v="0"/>
    <n v="0"/>
    <m/>
    <n v="5780"/>
    <n v="2024"/>
    <x v="6"/>
    <x v="0"/>
    <x v="0"/>
  </r>
  <r>
    <x v="0"/>
    <x v="12"/>
    <x v="1"/>
    <x v="4"/>
    <n v="1"/>
    <n v="1"/>
    <n v="0"/>
    <n v="0"/>
    <n v="0"/>
    <n v="0"/>
    <n v="0"/>
    <n v="0"/>
    <m/>
    <n v="0"/>
    <n v="2024"/>
    <x v="6"/>
    <x v="0"/>
    <x v="0"/>
  </r>
  <r>
    <x v="0"/>
    <x v="12"/>
    <x v="1"/>
    <x v="5"/>
    <n v="196"/>
    <n v="139"/>
    <n v="4"/>
    <n v="2"/>
    <n v="2447.5"/>
    <n v="1"/>
    <n v="2447.5"/>
    <n v="1"/>
    <m/>
    <n v="196"/>
    <n v="2024"/>
    <x v="6"/>
    <x v="0"/>
    <x v="0"/>
  </r>
  <r>
    <x v="0"/>
    <x v="12"/>
    <x v="1"/>
    <x v="6"/>
    <n v="9153"/>
    <n v="9084"/>
    <n v="0"/>
    <n v="0"/>
    <n v="0"/>
    <n v="0"/>
    <n v="0"/>
    <n v="0"/>
    <m/>
    <n v="11"/>
    <n v="2024"/>
    <x v="6"/>
    <x v="0"/>
    <x v="0"/>
  </r>
  <r>
    <x v="0"/>
    <x v="12"/>
    <x v="1"/>
    <x v="7"/>
    <n v="8163"/>
    <n v="4480"/>
    <n v="1576"/>
    <n v="145"/>
    <n v="9683766.5199999996"/>
    <n v="1508"/>
    <n v="8139216.79"/>
    <n v="1419"/>
    <m/>
    <n v="7860"/>
    <n v="2024"/>
    <x v="6"/>
    <x v="0"/>
    <x v="0"/>
  </r>
  <r>
    <x v="0"/>
    <x v="12"/>
    <x v="1"/>
    <x v="8"/>
    <n v="731"/>
    <n v="650"/>
    <n v="0"/>
    <n v="0"/>
    <n v="0"/>
    <n v="0"/>
    <n v="0"/>
    <n v="0"/>
    <m/>
    <n v="65"/>
    <n v="2024"/>
    <x v="6"/>
    <x v="0"/>
    <x v="0"/>
  </r>
  <r>
    <x v="0"/>
    <x v="12"/>
    <x v="1"/>
    <x v="9"/>
    <n v="202"/>
    <n v="143"/>
    <n v="2"/>
    <n v="1"/>
    <n v="0"/>
    <n v="0"/>
    <n v="0"/>
    <n v="0"/>
    <m/>
    <n v="69"/>
    <n v="2024"/>
    <x v="6"/>
    <x v="0"/>
    <x v="0"/>
  </r>
  <r>
    <x v="0"/>
    <x v="12"/>
    <x v="1"/>
    <x v="52"/>
    <n v="1"/>
    <n v="1"/>
    <n v="0"/>
    <n v="0"/>
    <n v="0"/>
    <n v="0"/>
    <n v="0"/>
    <n v="0"/>
    <m/>
    <n v="1"/>
    <n v="2024"/>
    <x v="6"/>
    <x v="0"/>
    <x v="0"/>
  </r>
  <r>
    <x v="0"/>
    <x v="12"/>
    <x v="1"/>
    <x v="10"/>
    <n v="343"/>
    <n v="251"/>
    <n v="23"/>
    <n v="15"/>
    <n v="3990"/>
    <n v="1"/>
    <n v="3990"/>
    <n v="1"/>
    <m/>
    <n v="257"/>
    <n v="2024"/>
    <x v="6"/>
    <x v="0"/>
    <x v="0"/>
  </r>
  <r>
    <x v="0"/>
    <x v="12"/>
    <x v="1"/>
    <x v="11"/>
    <n v="103"/>
    <n v="85"/>
    <n v="0"/>
    <n v="1"/>
    <n v="1498"/>
    <n v="1"/>
    <n v="1498"/>
    <n v="1"/>
    <m/>
    <n v="33"/>
    <n v="2024"/>
    <x v="6"/>
    <x v="0"/>
    <x v="0"/>
  </r>
  <r>
    <x v="0"/>
    <x v="12"/>
    <x v="1"/>
    <x v="61"/>
    <n v="1786"/>
    <n v="1250"/>
    <n v="52"/>
    <n v="11"/>
    <n v="39392.639999999999"/>
    <n v="13"/>
    <n v="30657.64"/>
    <n v="9"/>
    <m/>
    <n v="1786"/>
    <n v="2024"/>
    <x v="6"/>
    <x v="0"/>
    <x v="0"/>
  </r>
  <r>
    <x v="0"/>
    <x v="12"/>
    <x v="1"/>
    <x v="48"/>
    <n v="13"/>
    <n v="11"/>
    <n v="0"/>
    <n v="0"/>
    <n v="0"/>
    <n v="0"/>
    <n v="0"/>
    <n v="0"/>
    <m/>
    <n v="13"/>
    <n v="2024"/>
    <x v="6"/>
    <x v="0"/>
    <x v="0"/>
  </r>
  <r>
    <x v="0"/>
    <x v="12"/>
    <x v="1"/>
    <x v="14"/>
    <n v="2"/>
    <n v="2"/>
    <n v="0"/>
    <n v="0"/>
    <n v="0"/>
    <n v="0"/>
    <n v="0"/>
    <n v="0"/>
    <m/>
    <n v="0"/>
    <n v="2024"/>
    <x v="6"/>
    <x v="0"/>
    <x v="0"/>
  </r>
  <r>
    <x v="0"/>
    <x v="12"/>
    <x v="1"/>
    <x v="59"/>
    <n v="37996"/>
    <n v="35312"/>
    <n v="401"/>
    <n v="139"/>
    <n v="1051105.6299999999"/>
    <n v="168"/>
    <n v="877835.63"/>
    <n v="148"/>
    <m/>
    <n v="6342"/>
    <n v="2024"/>
    <x v="6"/>
    <x v="0"/>
    <x v="0"/>
  </r>
  <r>
    <x v="0"/>
    <x v="12"/>
    <x v="1"/>
    <x v="15"/>
    <n v="577"/>
    <n v="558"/>
    <n v="2"/>
    <n v="2"/>
    <n v="0"/>
    <n v="0"/>
    <n v="0"/>
    <n v="0"/>
    <m/>
    <n v="577"/>
    <n v="2024"/>
    <x v="6"/>
    <x v="0"/>
    <x v="0"/>
  </r>
  <r>
    <x v="0"/>
    <x v="12"/>
    <x v="1"/>
    <x v="17"/>
    <n v="114"/>
    <n v="105"/>
    <n v="4"/>
    <n v="1"/>
    <n v="13648"/>
    <n v="3"/>
    <n v="13648"/>
    <n v="3"/>
    <m/>
    <n v="95"/>
    <n v="2024"/>
    <x v="6"/>
    <x v="0"/>
    <x v="0"/>
  </r>
  <r>
    <x v="0"/>
    <x v="12"/>
    <x v="1"/>
    <x v="18"/>
    <n v="269"/>
    <n v="232"/>
    <n v="53"/>
    <n v="5"/>
    <n v="139596"/>
    <n v="27"/>
    <n v="139596"/>
    <n v="27"/>
    <m/>
    <n v="249"/>
    <n v="2024"/>
    <x v="6"/>
    <x v="0"/>
    <x v="0"/>
  </r>
  <r>
    <x v="0"/>
    <x v="12"/>
    <x v="1"/>
    <x v="19"/>
    <n v="22391"/>
    <n v="16402"/>
    <n v="1578"/>
    <n v="370"/>
    <n v="4179565.07"/>
    <n v="604"/>
    <n v="2828857.14"/>
    <n v="522"/>
    <m/>
    <n v="18447"/>
    <n v="2024"/>
    <x v="6"/>
    <x v="0"/>
    <x v="0"/>
  </r>
  <r>
    <x v="0"/>
    <x v="12"/>
    <x v="1"/>
    <x v="20"/>
    <n v="1328"/>
    <n v="1092"/>
    <n v="18"/>
    <n v="10"/>
    <n v="29715"/>
    <n v="13"/>
    <n v="4642"/>
    <n v="5"/>
    <m/>
    <n v="1296"/>
    <n v="2024"/>
    <x v="6"/>
    <x v="0"/>
    <x v="0"/>
  </r>
  <r>
    <x v="0"/>
    <x v="12"/>
    <x v="1"/>
    <x v="21"/>
    <n v="140"/>
    <n v="80"/>
    <n v="20"/>
    <n v="1"/>
    <n v="24454"/>
    <n v="8"/>
    <n v="15529"/>
    <n v="5"/>
    <m/>
    <n v="140"/>
    <n v="2024"/>
    <x v="6"/>
    <x v="0"/>
    <x v="0"/>
  </r>
  <r>
    <x v="0"/>
    <x v="12"/>
    <x v="1"/>
    <x v="22"/>
    <n v="389"/>
    <n v="286"/>
    <n v="4"/>
    <n v="1"/>
    <n v="2941.14"/>
    <n v="1"/>
    <n v="2941.14"/>
    <n v="1"/>
    <m/>
    <n v="147"/>
    <n v="2024"/>
    <x v="6"/>
    <x v="0"/>
    <x v="0"/>
  </r>
  <r>
    <x v="0"/>
    <x v="12"/>
    <x v="1"/>
    <x v="24"/>
    <n v="710"/>
    <n v="524"/>
    <n v="68"/>
    <n v="15"/>
    <n v="159014.20000000001"/>
    <n v="30"/>
    <n v="123369.2"/>
    <n v="29"/>
    <m/>
    <n v="628"/>
    <n v="2024"/>
    <x v="6"/>
    <x v="0"/>
    <x v="0"/>
  </r>
  <r>
    <x v="0"/>
    <x v="12"/>
    <x v="1"/>
    <x v="27"/>
    <n v="3482"/>
    <n v="1773"/>
    <n v="475"/>
    <n v="106"/>
    <n v="2084824.61"/>
    <n v="338"/>
    <n v="1709333.65"/>
    <n v="307"/>
    <m/>
    <n v="3300"/>
    <n v="2024"/>
    <x v="6"/>
    <x v="0"/>
    <x v="0"/>
  </r>
  <r>
    <x v="0"/>
    <x v="12"/>
    <x v="1"/>
    <x v="29"/>
    <n v="29855"/>
    <n v="25646"/>
    <n v="2385"/>
    <n v="346"/>
    <n v="3195106.14"/>
    <n v="631"/>
    <n v="2434356.64"/>
    <n v="548"/>
    <m/>
    <n v="26467"/>
    <n v="2024"/>
    <x v="6"/>
    <x v="0"/>
    <x v="0"/>
  </r>
  <r>
    <x v="0"/>
    <x v="12"/>
    <x v="1"/>
    <x v="30"/>
    <n v="79316"/>
    <n v="68370"/>
    <n v="1982"/>
    <n v="769"/>
    <n v="1896612.36"/>
    <n v="323"/>
    <n v="1205546.3600000001"/>
    <n v="254"/>
    <m/>
    <n v="54799"/>
    <n v="2024"/>
    <x v="6"/>
    <x v="0"/>
    <x v="0"/>
  </r>
  <r>
    <x v="0"/>
    <x v="12"/>
    <x v="1"/>
    <x v="31"/>
    <n v="4136"/>
    <n v="3238"/>
    <n v="175"/>
    <n v="88"/>
    <n v="245191.72"/>
    <n v="41"/>
    <n v="180781.22"/>
    <n v="34"/>
    <m/>
    <n v="3992"/>
    <n v="2024"/>
    <x v="6"/>
    <x v="0"/>
    <x v="0"/>
  </r>
  <r>
    <x v="0"/>
    <x v="12"/>
    <x v="1"/>
    <x v="32"/>
    <n v="154"/>
    <n v="90"/>
    <n v="14"/>
    <n v="6"/>
    <n v="21222.5"/>
    <n v="5"/>
    <n v="21222.5"/>
    <n v="5"/>
    <m/>
    <n v="152"/>
    <n v="2024"/>
    <x v="6"/>
    <x v="0"/>
    <x v="0"/>
  </r>
  <r>
    <x v="0"/>
    <x v="12"/>
    <x v="1"/>
    <x v="34"/>
    <n v="7251"/>
    <n v="3850"/>
    <n v="611"/>
    <n v="179"/>
    <n v="664728.93999999994"/>
    <n v="140"/>
    <n v="550119.02"/>
    <n v="124"/>
    <m/>
    <n v="6591"/>
    <n v="2024"/>
    <x v="6"/>
    <x v="0"/>
    <x v="0"/>
  </r>
  <r>
    <x v="0"/>
    <x v="12"/>
    <x v="1"/>
    <x v="35"/>
    <n v="7"/>
    <n v="6"/>
    <n v="1"/>
    <n v="0"/>
    <n v="0"/>
    <n v="0"/>
    <n v="0"/>
    <n v="0"/>
    <m/>
    <n v="5"/>
    <n v="2024"/>
    <x v="6"/>
    <x v="0"/>
    <x v="0"/>
  </r>
  <r>
    <x v="0"/>
    <x v="12"/>
    <x v="1"/>
    <x v="36"/>
    <n v="57"/>
    <n v="52"/>
    <n v="0"/>
    <n v="1"/>
    <n v="3980"/>
    <n v="1"/>
    <n v="3980"/>
    <n v="1"/>
    <m/>
    <n v="49"/>
    <n v="2024"/>
    <x v="6"/>
    <x v="0"/>
    <x v="0"/>
  </r>
  <r>
    <x v="0"/>
    <x v="12"/>
    <x v="1"/>
    <x v="37"/>
    <n v="6285"/>
    <n v="5464"/>
    <n v="285"/>
    <n v="0"/>
    <n v="553118.68999999994"/>
    <n v="77"/>
    <n v="412948.19"/>
    <n v="63"/>
    <m/>
    <n v="6161"/>
    <n v="2024"/>
    <x v="6"/>
    <x v="0"/>
    <x v="0"/>
  </r>
  <r>
    <x v="0"/>
    <x v="12"/>
    <x v="1"/>
    <x v="38"/>
    <n v="5770"/>
    <n v="2850"/>
    <n v="814"/>
    <n v="186"/>
    <n v="3325271.98"/>
    <n v="471"/>
    <n v="2442648.06"/>
    <n v="409"/>
    <m/>
    <n v="5358"/>
    <n v="2024"/>
    <x v="6"/>
    <x v="0"/>
    <x v="0"/>
  </r>
  <r>
    <x v="0"/>
    <x v="12"/>
    <x v="1"/>
    <x v="60"/>
    <n v="44"/>
    <n v="26"/>
    <n v="0"/>
    <n v="0"/>
    <n v="0"/>
    <n v="0"/>
    <n v="0"/>
    <n v="0"/>
    <m/>
    <n v="44"/>
    <n v="2024"/>
    <x v="6"/>
    <x v="0"/>
    <x v="0"/>
  </r>
  <r>
    <x v="0"/>
    <x v="12"/>
    <x v="1"/>
    <x v="51"/>
    <n v="1"/>
    <n v="1"/>
    <n v="0"/>
    <n v="0"/>
    <n v="0"/>
    <n v="0"/>
    <n v="0"/>
    <n v="0"/>
    <m/>
    <n v="0"/>
    <n v="2024"/>
    <x v="6"/>
    <x v="0"/>
    <x v="0"/>
  </r>
  <r>
    <x v="0"/>
    <x v="12"/>
    <x v="1"/>
    <x v="39"/>
    <n v="50"/>
    <n v="22"/>
    <n v="0"/>
    <n v="0"/>
    <n v="0"/>
    <n v="0"/>
    <n v="0"/>
    <n v="0"/>
    <m/>
    <n v="50"/>
    <n v="2024"/>
    <x v="6"/>
    <x v="0"/>
    <x v="0"/>
  </r>
  <r>
    <x v="0"/>
    <x v="12"/>
    <x v="1"/>
    <x v="41"/>
    <n v="44"/>
    <n v="34"/>
    <n v="1"/>
    <n v="0"/>
    <n v="0"/>
    <n v="0"/>
    <n v="0"/>
    <n v="0"/>
    <m/>
    <n v="40"/>
    <n v="2024"/>
    <x v="6"/>
    <x v="0"/>
    <x v="0"/>
  </r>
  <r>
    <x v="0"/>
    <x v="12"/>
    <x v="1"/>
    <x v="42"/>
    <n v="2983"/>
    <n v="1876"/>
    <n v="87"/>
    <n v="42"/>
    <n v="97918"/>
    <n v="18"/>
    <n v="70708"/>
    <n v="13"/>
    <m/>
    <n v="2818"/>
    <n v="2024"/>
    <x v="6"/>
    <x v="0"/>
    <x v="0"/>
  </r>
  <r>
    <x v="0"/>
    <x v="12"/>
    <x v="1"/>
    <x v="43"/>
    <n v="2358"/>
    <n v="1741"/>
    <n v="111"/>
    <n v="43"/>
    <n v="152763"/>
    <n v="22"/>
    <n v="130363"/>
    <n v="20"/>
    <m/>
    <n v="1302"/>
    <n v="2024"/>
    <x v="6"/>
    <x v="0"/>
    <x v="0"/>
  </r>
  <r>
    <x v="0"/>
    <x v="12"/>
    <x v="1"/>
    <x v="44"/>
    <n v="377"/>
    <n v="177"/>
    <n v="47"/>
    <n v="5"/>
    <n v="586179.61"/>
    <n v="107"/>
    <n v="517546.03"/>
    <n v="103"/>
    <m/>
    <n v="377"/>
    <n v="2024"/>
    <x v="6"/>
    <x v="0"/>
    <x v="0"/>
  </r>
  <r>
    <x v="0"/>
    <x v="12"/>
    <x v="1"/>
    <x v="45"/>
    <n v="23"/>
    <n v="16"/>
    <n v="0"/>
    <n v="0"/>
    <n v="1980"/>
    <n v="1"/>
    <n v="1980"/>
    <n v="1"/>
    <m/>
    <n v="23"/>
    <n v="2024"/>
    <x v="6"/>
    <x v="0"/>
    <x v="0"/>
  </r>
  <r>
    <x v="0"/>
    <x v="13"/>
    <x v="0"/>
    <x v="0"/>
    <n v="5458"/>
    <n v="3936"/>
    <n v="60"/>
    <n v="22"/>
    <n v="269792"/>
    <n v="49"/>
    <n v="135121"/>
    <n v="30"/>
    <m/>
    <n v="5147"/>
    <n v="2023"/>
    <x v="6"/>
    <x v="1"/>
    <x v="0"/>
  </r>
  <r>
    <x v="0"/>
    <x v="13"/>
    <x v="0"/>
    <x v="1"/>
    <n v="198706"/>
    <n v="187205"/>
    <n v="4055"/>
    <n v="2301"/>
    <n v="3857441.3"/>
    <n v="687"/>
    <n v="1854268.6"/>
    <n v="435"/>
    <m/>
    <n v="197720"/>
    <n v="2023"/>
    <x v="6"/>
    <x v="1"/>
    <x v="0"/>
  </r>
  <r>
    <x v="0"/>
    <x v="13"/>
    <x v="0"/>
    <x v="2"/>
    <n v="49185"/>
    <n v="45260"/>
    <n v="500"/>
    <n v="175"/>
    <n v="456415"/>
    <n v="94"/>
    <n v="309871"/>
    <n v="58"/>
    <m/>
    <n v="14489"/>
    <n v="2023"/>
    <x v="6"/>
    <x v="1"/>
    <x v="0"/>
  </r>
  <r>
    <x v="0"/>
    <x v="13"/>
    <x v="0"/>
    <x v="3"/>
    <n v="41370"/>
    <n v="39017"/>
    <n v="5"/>
    <n v="4"/>
    <n v="0"/>
    <n v="0"/>
    <n v="0"/>
    <n v="0"/>
    <m/>
    <n v="5942"/>
    <n v="2023"/>
    <x v="6"/>
    <x v="1"/>
    <x v="0"/>
  </r>
  <r>
    <x v="0"/>
    <x v="13"/>
    <x v="1"/>
    <x v="4"/>
    <n v="4"/>
    <n v="4"/>
    <n v="0"/>
    <n v="0"/>
    <n v="0"/>
    <n v="0"/>
    <n v="0"/>
    <n v="0"/>
    <m/>
    <n v="0"/>
    <n v="2023"/>
    <x v="6"/>
    <x v="1"/>
    <x v="0"/>
  </r>
  <r>
    <x v="0"/>
    <x v="13"/>
    <x v="1"/>
    <x v="57"/>
    <n v="53"/>
    <n v="41"/>
    <n v="0"/>
    <n v="0"/>
    <n v="0"/>
    <n v="0"/>
    <n v="0"/>
    <n v="0"/>
    <n v="1"/>
    <m/>
    <n v="2023"/>
    <x v="6"/>
    <x v="1"/>
    <x v="0"/>
  </r>
  <r>
    <x v="0"/>
    <x v="13"/>
    <x v="1"/>
    <x v="5"/>
    <n v="609"/>
    <n v="525"/>
    <n v="3"/>
    <n v="3"/>
    <n v="1680"/>
    <n v="1"/>
    <n v="0"/>
    <n v="0"/>
    <m/>
    <n v="609"/>
    <n v="2023"/>
    <x v="6"/>
    <x v="1"/>
    <x v="0"/>
  </r>
  <r>
    <x v="0"/>
    <x v="13"/>
    <x v="1"/>
    <x v="6"/>
    <n v="2048"/>
    <n v="1978"/>
    <n v="1"/>
    <n v="1"/>
    <n v="0"/>
    <n v="0"/>
    <n v="0"/>
    <n v="0"/>
    <m/>
    <n v="41"/>
    <n v="2023"/>
    <x v="6"/>
    <x v="1"/>
    <x v="0"/>
  </r>
  <r>
    <x v="0"/>
    <x v="13"/>
    <x v="1"/>
    <x v="7"/>
    <n v="6593"/>
    <n v="3370"/>
    <n v="879"/>
    <n v="133"/>
    <n v="5216055.66"/>
    <n v="976"/>
    <n v="3663693.66"/>
    <n v="780"/>
    <m/>
    <n v="6111"/>
    <n v="2023"/>
    <x v="6"/>
    <x v="1"/>
    <x v="0"/>
  </r>
  <r>
    <x v="0"/>
    <x v="13"/>
    <x v="1"/>
    <x v="8"/>
    <n v="1103"/>
    <n v="658"/>
    <n v="13"/>
    <n v="4"/>
    <n v="0"/>
    <n v="0"/>
    <n v="0"/>
    <n v="0"/>
    <m/>
    <n v="1007"/>
    <n v="2023"/>
    <x v="6"/>
    <x v="1"/>
    <x v="0"/>
  </r>
  <r>
    <x v="0"/>
    <x v="13"/>
    <x v="1"/>
    <x v="47"/>
    <n v="20"/>
    <n v="16"/>
    <n v="0"/>
    <n v="0"/>
    <n v="0"/>
    <n v="0"/>
    <n v="0"/>
    <n v="0"/>
    <m/>
    <n v="20"/>
    <n v="2023"/>
    <x v="6"/>
    <x v="1"/>
    <x v="0"/>
  </r>
  <r>
    <x v="0"/>
    <x v="13"/>
    <x v="1"/>
    <x v="10"/>
    <n v="498"/>
    <n v="384"/>
    <n v="3"/>
    <n v="1"/>
    <n v="25460"/>
    <n v="3"/>
    <n v="21780"/>
    <n v="2"/>
    <m/>
    <n v="138"/>
    <n v="2023"/>
    <x v="6"/>
    <x v="1"/>
    <x v="0"/>
  </r>
  <r>
    <x v="0"/>
    <x v="13"/>
    <x v="1"/>
    <x v="11"/>
    <n v="132"/>
    <n v="67"/>
    <n v="2"/>
    <n v="3"/>
    <n v="3580"/>
    <n v="1"/>
    <n v="0"/>
    <n v="0"/>
    <m/>
    <n v="124"/>
    <n v="2023"/>
    <x v="6"/>
    <x v="1"/>
    <x v="0"/>
  </r>
  <r>
    <x v="0"/>
    <x v="13"/>
    <x v="1"/>
    <x v="13"/>
    <n v="2"/>
    <n v="2"/>
    <n v="0"/>
    <n v="0"/>
    <n v="0"/>
    <n v="0"/>
    <n v="0"/>
    <n v="0"/>
    <m/>
    <n v="0"/>
    <n v="2023"/>
    <x v="6"/>
    <x v="1"/>
    <x v="0"/>
  </r>
  <r>
    <x v="0"/>
    <x v="13"/>
    <x v="1"/>
    <x v="49"/>
    <n v="1"/>
    <n v="1"/>
    <n v="0"/>
    <n v="0"/>
    <n v="0"/>
    <n v="0"/>
    <n v="0"/>
    <n v="0"/>
    <m/>
    <n v="0"/>
    <n v="2023"/>
    <x v="6"/>
    <x v="1"/>
    <x v="0"/>
  </r>
  <r>
    <x v="0"/>
    <x v="13"/>
    <x v="1"/>
    <x v="59"/>
    <n v="57436"/>
    <n v="55753"/>
    <n v="153"/>
    <n v="57"/>
    <n v="318006"/>
    <n v="78"/>
    <n v="188370"/>
    <n v="46"/>
    <m/>
    <n v="5907"/>
    <n v="2023"/>
    <x v="6"/>
    <x v="1"/>
    <x v="0"/>
  </r>
  <r>
    <x v="0"/>
    <x v="13"/>
    <x v="1"/>
    <x v="15"/>
    <n v="82"/>
    <n v="65"/>
    <n v="3"/>
    <n v="0"/>
    <n v="9390"/>
    <n v="1"/>
    <n v="4695"/>
    <n v="1"/>
    <m/>
    <n v="82"/>
    <n v="2023"/>
    <x v="6"/>
    <x v="1"/>
    <x v="0"/>
  </r>
  <r>
    <x v="0"/>
    <x v="13"/>
    <x v="1"/>
    <x v="16"/>
    <n v="95"/>
    <n v="32"/>
    <n v="2"/>
    <n v="0"/>
    <n v="13945"/>
    <n v="4"/>
    <n v="1480"/>
    <n v="1"/>
    <m/>
    <n v="95"/>
    <n v="2023"/>
    <x v="6"/>
    <x v="1"/>
    <x v="0"/>
  </r>
  <r>
    <x v="0"/>
    <x v="13"/>
    <x v="1"/>
    <x v="17"/>
    <n v="124"/>
    <n v="120"/>
    <n v="2"/>
    <n v="0"/>
    <n v="11615"/>
    <n v="2"/>
    <n v="1680"/>
    <n v="1"/>
    <m/>
    <n v="122"/>
    <n v="2023"/>
    <x v="6"/>
    <x v="1"/>
    <x v="0"/>
  </r>
  <r>
    <x v="0"/>
    <x v="13"/>
    <x v="1"/>
    <x v="18"/>
    <n v="288"/>
    <n v="241"/>
    <n v="21"/>
    <n v="7"/>
    <n v="82480.67"/>
    <n v="17"/>
    <n v="44761.67"/>
    <n v="9"/>
    <m/>
    <n v="229"/>
    <n v="2023"/>
    <x v="6"/>
    <x v="1"/>
    <x v="0"/>
  </r>
  <r>
    <x v="0"/>
    <x v="13"/>
    <x v="1"/>
    <x v="19"/>
    <n v="13413"/>
    <n v="9257"/>
    <n v="557"/>
    <n v="172"/>
    <n v="1311326.3899999999"/>
    <n v="215"/>
    <n v="639595.63"/>
    <n v="133"/>
    <m/>
    <n v="8158"/>
    <n v="2023"/>
    <x v="6"/>
    <x v="1"/>
    <x v="0"/>
  </r>
  <r>
    <x v="0"/>
    <x v="13"/>
    <x v="1"/>
    <x v="53"/>
    <n v="102"/>
    <n v="88"/>
    <n v="1"/>
    <n v="1"/>
    <n v="1680"/>
    <n v="1"/>
    <n v="1680"/>
    <n v="1"/>
    <m/>
    <n v="54"/>
    <n v="2023"/>
    <x v="6"/>
    <x v="1"/>
    <x v="0"/>
  </r>
  <r>
    <x v="0"/>
    <x v="13"/>
    <x v="1"/>
    <x v="20"/>
    <n v="6186"/>
    <n v="4589"/>
    <n v="137"/>
    <n v="96"/>
    <n v="98158"/>
    <n v="21"/>
    <n v="85483"/>
    <n v="16"/>
    <m/>
    <n v="6130"/>
    <n v="2023"/>
    <x v="6"/>
    <x v="1"/>
    <x v="0"/>
  </r>
  <r>
    <x v="0"/>
    <x v="13"/>
    <x v="1"/>
    <x v="21"/>
    <n v="154"/>
    <n v="68"/>
    <n v="18"/>
    <n v="4"/>
    <n v="27188"/>
    <n v="7"/>
    <n v="19280"/>
    <n v="5"/>
    <m/>
    <n v="154"/>
    <n v="2023"/>
    <x v="6"/>
    <x v="1"/>
    <x v="0"/>
  </r>
  <r>
    <x v="0"/>
    <x v="13"/>
    <x v="1"/>
    <x v="22"/>
    <n v="13"/>
    <n v="11"/>
    <n v="0"/>
    <n v="0"/>
    <n v="0"/>
    <n v="0"/>
    <n v="0"/>
    <n v="0"/>
    <m/>
    <n v="5"/>
    <n v="2023"/>
    <x v="6"/>
    <x v="1"/>
    <x v="0"/>
  </r>
  <r>
    <x v="0"/>
    <x v="13"/>
    <x v="1"/>
    <x v="24"/>
    <n v="534"/>
    <n v="378"/>
    <n v="38"/>
    <n v="9"/>
    <n v="112580.32"/>
    <n v="25"/>
    <n v="32703.32"/>
    <n v="11"/>
    <m/>
    <n v="425"/>
    <n v="2023"/>
    <x v="6"/>
    <x v="1"/>
    <x v="0"/>
  </r>
  <r>
    <x v="0"/>
    <x v="13"/>
    <x v="1"/>
    <x v="25"/>
    <n v="232"/>
    <n v="187"/>
    <n v="5"/>
    <n v="6"/>
    <n v="0"/>
    <n v="0"/>
    <n v="0"/>
    <n v="0"/>
    <m/>
    <n v="232"/>
    <n v="2023"/>
    <x v="6"/>
    <x v="1"/>
    <x v="0"/>
  </r>
  <r>
    <x v="0"/>
    <x v="13"/>
    <x v="1"/>
    <x v="26"/>
    <n v="5"/>
    <n v="2"/>
    <n v="1"/>
    <n v="0"/>
    <n v="0"/>
    <n v="0"/>
    <n v="0"/>
    <n v="0"/>
    <m/>
    <n v="5"/>
    <n v="2023"/>
    <x v="6"/>
    <x v="1"/>
    <x v="0"/>
  </r>
  <r>
    <x v="0"/>
    <x v="13"/>
    <x v="1"/>
    <x v="27"/>
    <n v="2101"/>
    <n v="975"/>
    <n v="297"/>
    <n v="88"/>
    <n v="1398576.75"/>
    <n v="270"/>
    <n v="915204.75"/>
    <n v="187"/>
    <m/>
    <n v="1971"/>
    <n v="2023"/>
    <x v="6"/>
    <x v="1"/>
    <x v="0"/>
  </r>
  <r>
    <x v="0"/>
    <x v="13"/>
    <x v="1"/>
    <x v="29"/>
    <n v="18839"/>
    <n v="15649"/>
    <n v="922"/>
    <n v="295"/>
    <n v="910876"/>
    <n v="209"/>
    <n v="601961"/>
    <n v="148"/>
    <m/>
    <n v="16208"/>
    <n v="2023"/>
    <x v="6"/>
    <x v="1"/>
    <x v="0"/>
  </r>
  <r>
    <x v="0"/>
    <x v="13"/>
    <x v="1"/>
    <x v="30"/>
    <n v="130485"/>
    <n v="119449"/>
    <n v="950"/>
    <n v="522"/>
    <n v="702824"/>
    <n v="143"/>
    <n v="299522"/>
    <n v="80"/>
    <m/>
    <n v="107211"/>
    <n v="2023"/>
    <x v="6"/>
    <x v="1"/>
    <x v="0"/>
  </r>
  <r>
    <x v="0"/>
    <x v="13"/>
    <x v="1"/>
    <x v="31"/>
    <n v="2092"/>
    <n v="1601"/>
    <n v="80"/>
    <n v="59"/>
    <n v="165135"/>
    <n v="20"/>
    <n v="134435"/>
    <n v="14"/>
    <m/>
    <n v="1999"/>
    <n v="2023"/>
    <x v="6"/>
    <x v="1"/>
    <x v="0"/>
  </r>
  <r>
    <x v="0"/>
    <x v="13"/>
    <x v="1"/>
    <x v="62"/>
    <n v="3"/>
    <n v="3"/>
    <n v="1"/>
    <n v="0"/>
    <n v="1680"/>
    <n v="1"/>
    <n v="1680"/>
    <n v="1"/>
    <m/>
    <n v="3"/>
    <n v="2023"/>
    <x v="6"/>
    <x v="1"/>
    <x v="0"/>
  </r>
  <r>
    <x v="0"/>
    <x v="13"/>
    <x v="1"/>
    <x v="32"/>
    <n v="20"/>
    <n v="11"/>
    <n v="0"/>
    <n v="1"/>
    <n v="0"/>
    <n v="0"/>
    <n v="0"/>
    <n v="0"/>
    <m/>
    <n v="11"/>
    <n v="2023"/>
    <x v="6"/>
    <x v="1"/>
    <x v="0"/>
  </r>
  <r>
    <x v="0"/>
    <x v="13"/>
    <x v="1"/>
    <x v="33"/>
    <n v="17"/>
    <n v="16"/>
    <n v="0"/>
    <n v="0"/>
    <n v="0"/>
    <n v="0"/>
    <n v="0"/>
    <n v="0"/>
    <m/>
    <n v="0"/>
    <n v="2023"/>
    <x v="6"/>
    <x v="1"/>
    <x v="0"/>
  </r>
  <r>
    <x v="0"/>
    <x v="13"/>
    <x v="1"/>
    <x v="34"/>
    <n v="6356"/>
    <n v="4048"/>
    <n v="372"/>
    <n v="133"/>
    <n v="379196"/>
    <n v="91"/>
    <n v="159910"/>
    <n v="47"/>
    <m/>
    <n v="4632"/>
    <n v="2023"/>
    <x v="6"/>
    <x v="1"/>
    <x v="0"/>
  </r>
  <r>
    <x v="0"/>
    <x v="13"/>
    <x v="1"/>
    <x v="35"/>
    <n v="1"/>
    <n v="0"/>
    <n v="0"/>
    <n v="0"/>
    <n v="0"/>
    <n v="0"/>
    <n v="0"/>
    <n v="0"/>
    <m/>
    <n v="1"/>
    <n v="2023"/>
    <x v="6"/>
    <x v="1"/>
    <x v="0"/>
  </r>
  <r>
    <x v="0"/>
    <x v="13"/>
    <x v="1"/>
    <x v="36"/>
    <n v="153"/>
    <n v="148"/>
    <n v="1"/>
    <n v="0"/>
    <n v="0"/>
    <n v="0"/>
    <n v="0"/>
    <n v="0"/>
    <m/>
    <n v="131"/>
    <n v="2023"/>
    <x v="6"/>
    <x v="1"/>
    <x v="0"/>
  </r>
  <r>
    <x v="0"/>
    <x v="13"/>
    <x v="1"/>
    <x v="37"/>
    <n v="8630"/>
    <n v="7706"/>
    <n v="307"/>
    <n v="3"/>
    <n v="409171.57"/>
    <n v="77"/>
    <n v="183573.57"/>
    <n v="54"/>
    <m/>
    <n v="8481"/>
    <n v="2023"/>
    <x v="6"/>
    <x v="1"/>
    <x v="0"/>
  </r>
  <r>
    <x v="0"/>
    <x v="13"/>
    <x v="1"/>
    <x v="38"/>
    <n v="11608"/>
    <n v="8580"/>
    <n v="476"/>
    <n v="210"/>
    <n v="1682338.05"/>
    <n v="296"/>
    <n v="1431162.7"/>
    <n v="287"/>
    <m/>
    <n v="6916"/>
    <n v="2023"/>
    <x v="6"/>
    <x v="1"/>
    <x v="0"/>
  </r>
  <r>
    <x v="0"/>
    <x v="13"/>
    <x v="1"/>
    <x v="39"/>
    <n v="935"/>
    <n v="849"/>
    <n v="10"/>
    <n v="8"/>
    <n v="34780"/>
    <n v="6"/>
    <n v="19500"/>
    <n v="4"/>
    <m/>
    <n v="935"/>
    <n v="2023"/>
    <x v="6"/>
    <x v="1"/>
    <x v="0"/>
  </r>
  <r>
    <x v="0"/>
    <x v="13"/>
    <x v="1"/>
    <x v="40"/>
    <n v="142"/>
    <n v="89"/>
    <n v="6"/>
    <n v="1"/>
    <n v="0"/>
    <n v="0"/>
    <n v="0"/>
    <n v="0"/>
    <m/>
    <n v="142"/>
    <n v="2023"/>
    <x v="6"/>
    <x v="1"/>
    <x v="0"/>
  </r>
  <r>
    <x v="0"/>
    <x v="13"/>
    <x v="1"/>
    <x v="41"/>
    <n v="48"/>
    <n v="35"/>
    <n v="3"/>
    <n v="0"/>
    <n v="0"/>
    <n v="0"/>
    <n v="4980"/>
    <n v="1"/>
    <m/>
    <n v="42"/>
    <n v="2023"/>
    <x v="6"/>
    <x v="1"/>
    <x v="0"/>
  </r>
  <r>
    <x v="0"/>
    <x v="13"/>
    <x v="1"/>
    <x v="55"/>
    <n v="5"/>
    <n v="5"/>
    <n v="0"/>
    <n v="0"/>
    <n v="0"/>
    <n v="0"/>
    <n v="0"/>
    <n v="0"/>
    <m/>
    <n v="5"/>
    <n v="2023"/>
    <x v="6"/>
    <x v="1"/>
    <x v="0"/>
  </r>
  <r>
    <x v="0"/>
    <x v="13"/>
    <x v="1"/>
    <x v="56"/>
    <n v="53"/>
    <n v="41"/>
    <n v="0"/>
    <n v="0"/>
    <n v="0"/>
    <n v="0"/>
    <n v="0"/>
    <n v="0"/>
    <m/>
    <n v="53"/>
    <n v="2023"/>
    <x v="6"/>
    <x v="1"/>
    <x v="0"/>
  </r>
  <r>
    <x v="0"/>
    <x v="13"/>
    <x v="1"/>
    <x v="42"/>
    <n v="2090"/>
    <n v="1173"/>
    <n v="60"/>
    <n v="20"/>
    <n v="35635"/>
    <n v="6"/>
    <n v="16465"/>
    <n v="3"/>
    <m/>
    <n v="2035"/>
    <n v="2023"/>
    <x v="6"/>
    <x v="1"/>
    <x v="0"/>
  </r>
  <r>
    <x v="0"/>
    <x v="13"/>
    <x v="1"/>
    <x v="43"/>
    <n v="3575"/>
    <n v="2812"/>
    <n v="112"/>
    <n v="53"/>
    <n v="71071.039999999994"/>
    <n v="19"/>
    <n v="27503.040000000001"/>
    <n v="8"/>
    <m/>
    <n v="1569"/>
    <n v="2023"/>
    <x v="6"/>
    <x v="1"/>
    <x v="0"/>
  </r>
  <r>
    <x v="0"/>
    <x v="13"/>
    <x v="1"/>
    <x v="44"/>
    <n v="324"/>
    <n v="215"/>
    <n v="11"/>
    <n v="4"/>
    <n v="154296"/>
    <n v="33"/>
    <n v="134476"/>
    <n v="30"/>
    <m/>
    <n v="324"/>
    <n v="2023"/>
    <x v="6"/>
    <x v="1"/>
    <x v="0"/>
  </r>
  <r>
    <x v="0"/>
    <x v="13"/>
    <x v="1"/>
    <x v="45"/>
    <n v="10"/>
    <n v="2"/>
    <n v="2"/>
    <n v="0"/>
    <n v="1680"/>
    <n v="1"/>
    <n v="3360"/>
    <n v="1"/>
    <m/>
    <n v="9"/>
    <n v="2023"/>
    <x v="6"/>
    <x v="1"/>
    <x v="0"/>
  </r>
  <r>
    <x v="0"/>
    <x v="14"/>
    <x v="0"/>
    <x v="0"/>
    <n v="4960"/>
    <n v="2868"/>
    <n v="116"/>
    <n v="19"/>
    <n v="164625.41"/>
    <n v="41"/>
    <n v="146088.41"/>
    <n v="39"/>
    <n v="564"/>
    <n v="4756"/>
    <n v="2024"/>
    <x v="7"/>
    <x v="0"/>
    <x v="0"/>
  </r>
  <r>
    <x v="0"/>
    <x v="14"/>
    <x v="0"/>
    <x v="1"/>
    <n v="214032"/>
    <n v="195060"/>
    <n v="6517"/>
    <n v="2924"/>
    <n v="6778613.7199999997"/>
    <n v="1200"/>
    <n v="4309517.3499999996"/>
    <n v="976"/>
    <n v="20048"/>
    <n v="213027"/>
    <n v="2024"/>
    <x v="7"/>
    <x v="0"/>
    <x v="0"/>
  </r>
  <r>
    <x v="0"/>
    <x v="14"/>
    <x v="0"/>
    <x v="2"/>
    <n v="24814"/>
    <n v="22319"/>
    <n v="577"/>
    <n v="152"/>
    <n v="738148.5"/>
    <n v="133"/>
    <n v="572094.5"/>
    <n v="113"/>
    <n v="24812"/>
    <n v="11187"/>
    <n v="2024"/>
    <x v="7"/>
    <x v="0"/>
    <x v="0"/>
  </r>
  <r>
    <x v="0"/>
    <x v="14"/>
    <x v="0"/>
    <x v="3"/>
    <n v="38536"/>
    <n v="33425"/>
    <n v="322"/>
    <n v="185"/>
    <n v="0"/>
    <n v="0"/>
    <n v="0"/>
    <n v="0"/>
    <n v="485"/>
    <n v="6743"/>
    <n v="2024"/>
    <x v="7"/>
    <x v="0"/>
    <x v="0"/>
  </r>
  <r>
    <x v="0"/>
    <x v="14"/>
    <x v="1"/>
    <x v="4"/>
    <n v="2"/>
    <n v="1"/>
    <n v="0"/>
    <n v="0"/>
    <n v="0"/>
    <n v="0"/>
    <n v="0"/>
    <n v="0"/>
    <n v="0"/>
    <n v="0"/>
    <n v="2024"/>
    <x v="7"/>
    <x v="0"/>
    <x v="0"/>
  </r>
  <r>
    <x v="0"/>
    <x v="14"/>
    <x v="1"/>
    <x v="5"/>
    <n v="146"/>
    <n v="105"/>
    <n v="1"/>
    <n v="2"/>
    <n v="0"/>
    <n v="0"/>
    <n v="0"/>
    <n v="0"/>
    <n v="12"/>
    <n v="145"/>
    <n v="2024"/>
    <x v="7"/>
    <x v="0"/>
    <x v="0"/>
  </r>
  <r>
    <x v="0"/>
    <x v="14"/>
    <x v="1"/>
    <x v="6"/>
    <n v="6550"/>
    <n v="6227"/>
    <n v="0"/>
    <n v="0"/>
    <n v="0"/>
    <n v="0"/>
    <n v="0"/>
    <n v="0"/>
    <n v="5"/>
    <n v="15"/>
    <n v="2024"/>
    <x v="7"/>
    <x v="0"/>
    <x v="0"/>
  </r>
  <r>
    <x v="0"/>
    <x v="14"/>
    <x v="1"/>
    <x v="7"/>
    <n v="7471"/>
    <n v="3505"/>
    <n v="1095"/>
    <n v="103"/>
    <n v="6511273.54"/>
    <n v="1093"/>
    <n v="5211879.67"/>
    <n v="1034"/>
    <n v="2444"/>
    <n v="7183"/>
    <n v="2024"/>
    <x v="7"/>
    <x v="0"/>
    <x v="0"/>
  </r>
  <r>
    <x v="0"/>
    <x v="14"/>
    <x v="1"/>
    <x v="8"/>
    <n v="519"/>
    <n v="438"/>
    <n v="1"/>
    <n v="1"/>
    <n v="0"/>
    <n v="0"/>
    <n v="0"/>
    <n v="0"/>
    <n v="0"/>
    <n v="46"/>
    <n v="2024"/>
    <x v="7"/>
    <x v="0"/>
    <x v="0"/>
  </r>
  <r>
    <x v="0"/>
    <x v="14"/>
    <x v="1"/>
    <x v="9"/>
    <n v="228"/>
    <n v="177"/>
    <n v="3"/>
    <n v="0"/>
    <n v="1988"/>
    <n v="1"/>
    <n v="1988"/>
    <n v="1"/>
    <n v="2"/>
    <n v="63"/>
    <n v="2024"/>
    <x v="7"/>
    <x v="0"/>
    <x v="0"/>
  </r>
  <r>
    <x v="0"/>
    <x v="14"/>
    <x v="1"/>
    <x v="10"/>
    <n v="510"/>
    <n v="337"/>
    <n v="26"/>
    <n v="22"/>
    <n v="25767"/>
    <n v="2"/>
    <n v="17500"/>
    <n v="1"/>
    <n v="55"/>
    <n v="374"/>
    <n v="2024"/>
    <x v="7"/>
    <x v="0"/>
    <x v="0"/>
  </r>
  <r>
    <x v="0"/>
    <x v="14"/>
    <x v="1"/>
    <x v="11"/>
    <n v="114"/>
    <n v="103"/>
    <n v="0"/>
    <n v="0"/>
    <n v="0"/>
    <n v="0"/>
    <n v="0"/>
    <n v="0"/>
    <n v="82"/>
    <n v="32"/>
    <n v="2024"/>
    <x v="7"/>
    <x v="0"/>
    <x v="0"/>
  </r>
  <r>
    <x v="0"/>
    <x v="14"/>
    <x v="1"/>
    <x v="61"/>
    <n v="2"/>
    <n v="1"/>
    <n v="0"/>
    <n v="0"/>
    <n v="0"/>
    <n v="0"/>
    <n v="0"/>
    <n v="0"/>
    <n v="0"/>
    <n v="1"/>
    <n v="2024"/>
    <x v="7"/>
    <x v="0"/>
    <x v="0"/>
  </r>
  <r>
    <x v="0"/>
    <x v="14"/>
    <x v="1"/>
    <x v="48"/>
    <n v="1"/>
    <n v="1"/>
    <n v="0"/>
    <n v="0"/>
    <n v="0"/>
    <n v="0"/>
    <n v="0"/>
    <n v="0"/>
    <n v="1"/>
    <n v="0"/>
    <n v="2024"/>
    <x v="7"/>
    <x v="0"/>
    <x v="0"/>
  </r>
  <r>
    <x v="0"/>
    <x v="14"/>
    <x v="1"/>
    <x v="14"/>
    <n v="1"/>
    <n v="1"/>
    <n v="0"/>
    <n v="0"/>
    <n v="0"/>
    <n v="0"/>
    <n v="0"/>
    <n v="0"/>
    <n v="0"/>
    <n v="0"/>
    <n v="2024"/>
    <x v="7"/>
    <x v="0"/>
    <x v="0"/>
  </r>
  <r>
    <x v="0"/>
    <x v="14"/>
    <x v="1"/>
    <x v="63"/>
    <n v="1"/>
    <n v="1"/>
    <n v="0"/>
    <n v="0"/>
    <n v="0"/>
    <n v="0"/>
    <n v="0"/>
    <n v="0"/>
    <n v="0"/>
    <n v="0"/>
    <n v="2024"/>
    <x v="7"/>
    <x v="0"/>
    <x v="0"/>
  </r>
  <r>
    <x v="0"/>
    <x v="14"/>
    <x v="1"/>
    <x v="59"/>
    <n v="77649"/>
    <n v="73745"/>
    <n v="419"/>
    <n v="146"/>
    <n v="1030068.75"/>
    <n v="159"/>
    <n v="695010.75"/>
    <n v="137"/>
    <n v="2050"/>
    <n v="10453"/>
    <n v="2024"/>
    <x v="7"/>
    <x v="0"/>
    <x v="0"/>
  </r>
  <r>
    <x v="0"/>
    <x v="14"/>
    <x v="1"/>
    <x v="15"/>
    <n v="504"/>
    <n v="482"/>
    <n v="3"/>
    <n v="4"/>
    <n v="4940"/>
    <n v="1"/>
    <n v="4940"/>
    <n v="1"/>
    <n v="4"/>
    <n v="504"/>
    <n v="2024"/>
    <x v="7"/>
    <x v="0"/>
    <x v="0"/>
  </r>
  <r>
    <x v="0"/>
    <x v="14"/>
    <x v="1"/>
    <x v="17"/>
    <n v="138"/>
    <n v="133"/>
    <n v="2"/>
    <n v="1"/>
    <n v="41914"/>
    <n v="5"/>
    <n v="13488"/>
    <n v="4"/>
    <n v="5"/>
    <n v="133"/>
    <n v="2024"/>
    <x v="7"/>
    <x v="0"/>
    <x v="0"/>
  </r>
  <r>
    <x v="0"/>
    <x v="14"/>
    <x v="1"/>
    <x v="18"/>
    <n v="228"/>
    <n v="186"/>
    <n v="23"/>
    <n v="3"/>
    <n v="292105"/>
    <n v="15"/>
    <n v="75225"/>
    <n v="14"/>
    <n v="30"/>
    <n v="204"/>
    <n v="2024"/>
    <x v="7"/>
    <x v="0"/>
    <x v="0"/>
  </r>
  <r>
    <x v="0"/>
    <x v="14"/>
    <x v="1"/>
    <x v="19"/>
    <n v="29284"/>
    <n v="22522"/>
    <n v="1447"/>
    <n v="334"/>
    <n v="4198483.3499999996"/>
    <n v="585"/>
    <n v="2752812.48"/>
    <n v="511"/>
    <n v="9327"/>
    <n v="25598"/>
    <n v="2024"/>
    <x v="7"/>
    <x v="0"/>
    <x v="0"/>
  </r>
  <r>
    <x v="0"/>
    <x v="14"/>
    <x v="1"/>
    <x v="20"/>
    <n v="1549"/>
    <n v="1278"/>
    <n v="21"/>
    <n v="13"/>
    <n v="31990"/>
    <n v="7"/>
    <n v="7363"/>
    <n v="3"/>
    <n v="107"/>
    <n v="1515"/>
    <n v="2024"/>
    <x v="7"/>
    <x v="0"/>
    <x v="0"/>
  </r>
  <r>
    <x v="0"/>
    <x v="14"/>
    <x v="1"/>
    <x v="21"/>
    <n v="188"/>
    <n v="109"/>
    <n v="8"/>
    <n v="3"/>
    <n v="2980"/>
    <n v="1"/>
    <n v="2980"/>
    <n v="1"/>
    <n v="34"/>
    <n v="187"/>
    <n v="2024"/>
    <x v="7"/>
    <x v="0"/>
    <x v="0"/>
  </r>
  <r>
    <x v="0"/>
    <x v="14"/>
    <x v="1"/>
    <x v="50"/>
    <n v="2"/>
    <n v="0"/>
    <n v="0"/>
    <n v="0"/>
    <n v="5400"/>
    <n v="1"/>
    <n v="5400"/>
    <n v="1"/>
    <n v="0"/>
    <n v="1"/>
    <n v="2024"/>
    <x v="7"/>
    <x v="0"/>
    <x v="0"/>
  </r>
  <r>
    <x v="0"/>
    <x v="14"/>
    <x v="1"/>
    <x v="22"/>
    <n v="798"/>
    <n v="485"/>
    <n v="20"/>
    <n v="7"/>
    <n v="48526.87"/>
    <n v="10"/>
    <n v="44701.87"/>
    <n v="10"/>
    <n v="55"/>
    <n v="628"/>
    <n v="2024"/>
    <x v="7"/>
    <x v="0"/>
    <x v="0"/>
  </r>
  <r>
    <x v="0"/>
    <x v="14"/>
    <x v="1"/>
    <x v="24"/>
    <n v="811"/>
    <n v="518"/>
    <n v="60"/>
    <n v="7"/>
    <n v="256600.56"/>
    <n v="35"/>
    <n v="244900.56"/>
    <n v="35"/>
    <n v="162"/>
    <n v="733"/>
    <n v="2024"/>
    <x v="7"/>
    <x v="0"/>
    <x v="0"/>
  </r>
  <r>
    <x v="0"/>
    <x v="14"/>
    <x v="1"/>
    <x v="27"/>
    <n v="3416"/>
    <n v="1619"/>
    <n v="357"/>
    <n v="93"/>
    <n v="1807757.04"/>
    <n v="295"/>
    <n v="1444507.54"/>
    <n v="265"/>
    <n v="1161"/>
    <n v="3208"/>
    <n v="2024"/>
    <x v="7"/>
    <x v="0"/>
    <x v="0"/>
  </r>
  <r>
    <x v="0"/>
    <x v="14"/>
    <x v="1"/>
    <x v="29"/>
    <n v="37999"/>
    <n v="32660"/>
    <n v="1731"/>
    <n v="426"/>
    <n v="2385859.67"/>
    <n v="480"/>
    <n v="1756244.17"/>
    <n v="411"/>
    <n v="9246"/>
    <n v="34480"/>
    <n v="2024"/>
    <x v="7"/>
    <x v="0"/>
    <x v="0"/>
  </r>
  <r>
    <x v="0"/>
    <x v="14"/>
    <x v="1"/>
    <x v="30"/>
    <n v="108121"/>
    <n v="92834"/>
    <n v="1977"/>
    <n v="869"/>
    <n v="2047798.85"/>
    <n v="329"/>
    <n v="1195844.8500000001"/>
    <n v="257"/>
    <n v="17184"/>
    <n v="84511"/>
    <n v="2024"/>
    <x v="7"/>
    <x v="0"/>
    <x v="0"/>
  </r>
  <r>
    <x v="0"/>
    <x v="14"/>
    <x v="1"/>
    <x v="31"/>
    <n v="3837"/>
    <n v="2936"/>
    <n v="160"/>
    <n v="73"/>
    <n v="239216.65"/>
    <n v="39"/>
    <n v="123489.15"/>
    <n v="25"/>
    <n v="600"/>
    <n v="3726"/>
    <n v="2024"/>
    <x v="7"/>
    <x v="0"/>
    <x v="0"/>
  </r>
  <r>
    <x v="0"/>
    <x v="14"/>
    <x v="1"/>
    <x v="32"/>
    <n v="129"/>
    <n v="65"/>
    <n v="10"/>
    <n v="6"/>
    <n v="9395"/>
    <n v="3"/>
    <n v="5895"/>
    <n v="3"/>
    <n v="36"/>
    <n v="124"/>
    <n v="2024"/>
    <x v="7"/>
    <x v="0"/>
    <x v="0"/>
  </r>
  <r>
    <x v="0"/>
    <x v="14"/>
    <x v="1"/>
    <x v="34"/>
    <n v="6107"/>
    <n v="3089"/>
    <n v="375"/>
    <n v="129"/>
    <n v="528558.77"/>
    <n v="110"/>
    <n v="404062.4"/>
    <n v="93"/>
    <n v="2170"/>
    <n v="5473"/>
    <n v="2024"/>
    <x v="7"/>
    <x v="0"/>
    <x v="0"/>
  </r>
  <r>
    <x v="0"/>
    <x v="14"/>
    <x v="1"/>
    <x v="35"/>
    <n v="9"/>
    <n v="3"/>
    <n v="0"/>
    <n v="0"/>
    <n v="0"/>
    <n v="0"/>
    <n v="0"/>
    <n v="0"/>
    <n v="0"/>
    <n v="8"/>
    <n v="2024"/>
    <x v="7"/>
    <x v="0"/>
    <x v="0"/>
  </r>
  <r>
    <x v="0"/>
    <x v="14"/>
    <x v="1"/>
    <x v="36"/>
    <n v="85"/>
    <n v="79"/>
    <n v="0"/>
    <n v="0"/>
    <n v="5250"/>
    <n v="1"/>
    <n v="1750"/>
    <n v="1"/>
    <n v="12"/>
    <n v="77"/>
    <n v="2024"/>
    <x v="7"/>
    <x v="0"/>
    <x v="0"/>
  </r>
  <r>
    <x v="0"/>
    <x v="14"/>
    <x v="1"/>
    <x v="38"/>
    <n v="5970"/>
    <n v="2697"/>
    <n v="579"/>
    <n v="180"/>
    <n v="2865118.39"/>
    <n v="364"/>
    <n v="1735339.89"/>
    <n v="315"/>
    <n v="1652"/>
    <n v="5567"/>
    <n v="2024"/>
    <x v="7"/>
    <x v="0"/>
    <x v="0"/>
  </r>
  <r>
    <x v="0"/>
    <x v="14"/>
    <x v="1"/>
    <x v="60"/>
    <n v="61"/>
    <n v="34"/>
    <n v="0"/>
    <n v="0"/>
    <n v="0"/>
    <n v="0"/>
    <n v="0"/>
    <n v="0"/>
    <n v="2"/>
    <n v="61"/>
    <n v="2024"/>
    <x v="7"/>
    <x v="0"/>
    <x v="0"/>
  </r>
  <r>
    <x v="0"/>
    <x v="14"/>
    <x v="1"/>
    <x v="39"/>
    <n v="343"/>
    <n v="307"/>
    <n v="8"/>
    <n v="3"/>
    <n v="13400"/>
    <n v="2"/>
    <n v="13400"/>
    <n v="2"/>
    <n v="41"/>
    <n v="343"/>
    <n v="2024"/>
    <x v="7"/>
    <x v="0"/>
    <x v="0"/>
  </r>
  <r>
    <x v="0"/>
    <x v="14"/>
    <x v="1"/>
    <x v="41"/>
    <n v="48"/>
    <n v="35"/>
    <n v="1"/>
    <n v="0"/>
    <n v="0"/>
    <n v="0"/>
    <n v="0"/>
    <n v="0"/>
    <n v="5"/>
    <n v="47"/>
    <n v="2024"/>
    <x v="7"/>
    <x v="0"/>
    <x v="0"/>
  </r>
  <r>
    <x v="0"/>
    <x v="14"/>
    <x v="1"/>
    <x v="42"/>
    <n v="2386"/>
    <n v="1385"/>
    <n v="56"/>
    <n v="60"/>
    <n v="51535"/>
    <n v="16"/>
    <n v="41830"/>
    <n v="14"/>
    <n v="224"/>
    <n v="2325"/>
    <n v="2024"/>
    <x v="7"/>
    <x v="0"/>
    <x v="0"/>
  </r>
  <r>
    <x v="0"/>
    <x v="14"/>
    <x v="1"/>
    <x v="43"/>
    <n v="2562"/>
    <n v="1771"/>
    <n v="82"/>
    <n v="33"/>
    <n v="133147"/>
    <n v="14"/>
    <n v="91197"/>
    <n v="10"/>
    <n v="1855"/>
    <n v="1499"/>
    <n v="2024"/>
    <x v="7"/>
    <x v="0"/>
    <x v="0"/>
  </r>
  <r>
    <x v="0"/>
    <x v="14"/>
    <x v="1"/>
    <x v="44"/>
    <n v="301"/>
    <n v="130"/>
    <n v="37"/>
    <n v="1"/>
    <n v="321104.28000000003"/>
    <n v="76"/>
    <n v="282794.78000000003"/>
    <n v="73"/>
    <n v="10"/>
    <n v="301"/>
    <n v="2024"/>
    <x v="7"/>
    <x v="0"/>
    <x v="0"/>
  </r>
  <r>
    <x v="0"/>
    <x v="14"/>
    <x v="1"/>
    <x v="45"/>
    <n v="9"/>
    <n v="6"/>
    <n v="1"/>
    <n v="1"/>
    <n v="0"/>
    <n v="0"/>
    <n v="0"/>
    <n v="0"/>
    <n v="2"/>
    <n v="8"/>
    <n v="2024"/>
    <x v="7"/>
    <x v="0"/>
    <x v="0"/>
  </r>
  <r>
    <x v="0"/>
    <x v="15"/>
    <x v="0"/>
    <x v="0"/>
    <n v="12414"/>
    <n v="10721"/>
    <n v="73"/>
    <n v="41"/>
    <n v="194334"/>
    <n v="40"/>
    <n v="180714"/>
    <n v="36"/>
    <m/>
    <n v="12095"/>
    <n v="2023"/>
    <x v="7"/>
    <x v="1"/>
    <x v="0"/>
  </r>
  <r>
    <x v="0"/>
    <x v="15"/>
    <x v="0"/>
    <x v="1"/>
    <n v="204451"/>
    <n v="181809"/>
    <n v="3547"/>
    <n v="1862"/>
    <n v="5347865.6399999997"/>
    <n v="877"/>
    <n v="3707687.02"/>
    <n v="741"/>
    <m/>
    <n v="203775"/>
    <n v="2023"/>
    <x v="7"/>
    <x v="1"/>
    <x v="0"/>
  </r>
  <r>
    <x v="0"/>
    <x v="15"/>
    <x v="0"/>
    <x v="2"/>
    <n v="46817"/>
    <n v="42167"/>
    <n v="473"/>
    <n v="180"/>
    <n v="607304.43000000005"/>
    <n v="107"/>
    <n v="498119.43"/>
    <n v="97"/>
    <m/>
    <n v="14483"/>
    <n v="2023"/>
    <x v="7"/>
    <x v="1"/>
    <x v="0"/>
  </r>
  <r>
    <x v="0"/>
    <x v="15"/>
    <x v="0"/>
    <x v="3"/>
    <n v="15710"/>
    <n v="14530"/>
    <n v="5"/>
    <n v="1"/>
    <n v="0"/>
    <n v="0"/>
    <n v="0"/>
    <n v="0"/>
    <m/>
    <n v="2336"/>
    <n v="2023"/>
    <x v="7"/>
    <x v="1"/>
    <x v="0"/>
  </r>
  <r>
    <x v="0"/>
    <x v="15"/>
    <x v="1"/>
    <x v="46"/>
    <n v="1"/>
    <n v="1"/>
    <n v="0"/>
    <n v="0"/>
    <n v="0"/>
    <n v="0"/>
    <n v="0"/>
    <n v="0"/>
    <m/>
    <n v="1"/>
    <n v="2023"/>
    <x v="7"/>
    <x v="1"/>
    <x v="0"/>
  </r>
  <r>
    <x v="0"/>
    <x v="15"/>
    <x v="1"/>
    <x v="4"/>
    <n v="2"/>
    <n v="1"/>
    <n v="0"/>
    <n v="0"/>
    <n v="0"/>
    <n v="0"/>
    <n v="0"/>
    <n v="0"/>
    <m/>
    <n v="1"/>
    <n v="2023"/>
    <x v="7"/>
    <x v="1"/>
    <x v="0"/>
  </r>
  <r>
    <x v="0"/>
    <x v="15"/>
    <x v="1"/>
    <x v="5"/>
    <n v="142"/>
    <n v="108"/>
    <n v="0"/>
    <n v="1"/>
    <n v="0"/>
    <n v="0"/>
    <n v="0"/>
    <n v="0"/>
    <m/>
    <n v="142"/>
    <n v="2023"/>
    <x v="7"/>
    <x v="1"/>
    <x v="0"/>
  </r>
  <r>
    <x v="0"/>
    <x v="15"/>
    <x v="1"/>
    <x v="6"/>
    <n v="1643"/>
    <n v="1510"/>
    <n v="2"/>
    <n v="3"/>
    <n v="0"/>
    <n v="0"/>
    <n v="0"/>
    <n v="0"/>
    <m/>
    <n v="62"/>
    <n v="2023"/>
    <x v="7"/>
    <x v="1"/>
    <x v="0"/>
  </r>
  <r>
    <x v="0"/>
    <x v="15"/>
    <x v="1"/>
    <x v="7"/>
    <n v="7184"/>
    <n v="3521"/>
    <n v="834"/>
    <n v="99"/>
    <n v="6447199.8600000003"/>
    <n v="1081"/>
    <n v="5185563.75"/>
    <n v="1032"/>
    <m/>
    <n v="6967"/>
    <n v="2023"/>
    <x v="7"/>
    <x v="1"/>
    <x v="0"/>
  </r>
  <r>
    <x v="0"/>
    <x v="15"/>
    <x v="1"/>
    <x v="8"/>
    <n v="218"/>
    <n v="133"/>
    <n v="0"/>
    <n v="1"/>
    <n v="0"/>
    <n v="0"/>
    <n v="0"/>
    <n v="0"/>
    <m/>
    <n v="192"/>
    <n v="2023"/>
    <x v="7"/>
    <x v="1"/>
    <x v="0"/>
  </r>
  <r>
    <x v="0"/>
    <x v="15"/>
    <x v="1"/>
    <x v="47"/>
    <n v="28"/>
    <n v="14"/>
    <n v="0"/>
    <n v="2"/>
    <n v="0"/>
    <n v="0"/>
    <n v="0"/>
    <n v="0"/>
    <m/>
    <n v="28"/>
    <n v="2023"/>
    <x v="7"/>
    <x v="1"/>
    <x v="0"/>
  </r>
  <r>
    <x v="0"/>
    <x v="15"/>
    <x v="1"/>
    <x v="10"/>
    <n v="717"/>
    <n v="362"/>
    <n v="19"/>
    <n v="7"/>
    <n v="57983"/>
    <n v="11"/>
    <n v="46876.5"/>
    <n v="9"/>
    <m/>
    <n v="567"/>
    <n v="2023"/>
    <x v="7"/>
    <x v="1"/>
    <x v="0"/>
  </r>
  <r>
    <x v="0"/>
    <x v="15"/>
    <x v="1"/>
    <x v="11"/>
    <n v="155"/>
    <n v="82"/>
    <n v="0"/>
    <n v="0"/>
    <n v="0"/>
    <n v="0"/>
    <n v="0"/>
    <n v="0"/>
    <m/>
    <n v="135"/>
    <n v="2023"/>
    <x v="7"/>
    <x v="1"/>
    <x v="0"/>
  </r>
  <r>
    <x v="0"/>
    <x v="15"/>
    <x v="1"/>
    <x v="48"/>
    <n v="1"/>
    <n v="0"/>
    <n v="0"/>
    <n v="0"/>
    <n v="0"/>
    <n v="0"/>
    <n v="0"/>
    <n v="0"/>
    <m/>
    <n v="1"/>
    <n v="2023"/>
    <x v="7"/>
    <x v="1"/>
    <x v="0"/>
  </r>
  <r>
    <x v="0"/>
    <x v="15"/>
    <x v="1"/>
    <x v="59"/>
    <n v="33188"/>
    <n v="30461"/>
    <n v="148"/>
    <n v="61"/>
    <n v="419417.04"/>
    <n v="87"/>
    <n v="351798.04"/>
    <n v="79"/>
    <m/>
    <n v="5498"/>
    <n v="2023"/>
    <x v="7"/>
    <x v="1"/>
    <x v="0"/>
  </r>
  <r>
    <x v="0"/>
    <x v="15"/>
    <x v="1"/>
    <x v="15"/>
    <n v="106"/>
    <n v="97"/>
    <n v="3"/>
    <n v="0"/>
    <n v="3496.5"/>
    <n v="1"/>
    <n v="0"/>
    <n v="0"/>
    <m/>
    <n v="106"/>
    <n v="2023"/>
    <x v="7"/>
    <x v="1"/>
    <x v="0"/>
  </r>
  <r>
    <x v="0"/>
    <x v="15"/>
    <x v="1"/>
    <x v="16"/>
    <n v="295"/>
    <n v="118"/>
    <n v="2"/>
    <n v="0"/>
    <n v="22645"/>
    <n v="6"/>
    <n v="19957"/>
    <n v="5"/>
    <m/>
    <n v="295"/>
    <n v="2023"/>
    <x v="7"/>
    <x v="1"/>
    <x v="0"/>
  </r>
  <r>
    <x v="0"/>
    <x v="15"/>
    <x v="1"/>
    <x v="17"/>
    <n v="176"/>
    <n v="174"/>
    <n v="0"/>
    <n v="1"/>
    <n v="6847"/>
    <n v="2"/>
    <n v="6847"/>
    <n v="2"/>
    <m/>
    <n v="167"/>
    <n v="2023"/>
    <x v="7"/>
    <x v="1"/>
    <x v="0"/>
  </r>
  <r>
    <x v="0"/>
    <x v="15"/>
    <x v="1"/>
    <x v="18"/>
    <n v="270"/>
    <n v="218"/>
    <n v="37"/>
    <n v="6"/>
    <n v="157293"/>
    <n v="27"/>
    <n v="73498"/>
    <n v="21"/>
    <m/>
    <n v="244"/>
    <n v="2023"/>
    <x v="7"/>
    <x v="1"/>
    <x v="0"/>
  </r>
  <r>
    <x v="0"/>
    <x v="15"/>
    <x v="1"/>
    <x v="19"/>
    <n v="12224"/>
    <n v="8265"/>
    <n v="377"/>
    <n v="124"/>
    <n v="1541697.29"/>
    <n v="237"/>
    <n v="1204901.29"/>
    <n v="229"/>
    <m/>
    <n v="8125"/>
    <n v="2023"/>
    <x v="7"/>
    <x v="1"/>
    <x v="0"/>
  </r>
  <r>
    <x v="0"/>
    <x v="15"/>
    <x v="1"/>
    <x v="53"/>
    <n v="81"/>
    <n v="61"/>
    <n v="4"/>
    <n v="0"/>
    <n v="0"/>
    <n v="0"/>
    <n v="0"/>
    <n v="0"/>
    <m/>
    <n v="43"/>
    <n v="2023"/>
    <x v="7"/>
    <x v="1"/>
    <x v="0"/>
  </r>
  <r>
    <x v="0"/>
    <x v="15"/>
    <x v="1"/>
    <x v="20"/>
    <n v="5926"/>
    <n v="4176"/>
    <n v="134"/>
    <n v="66"/>
    <n v="222364.5"/>
    <n v="41"/>
    <n v="142627.5"/>
    <n v="32"/>
    <m/>
    <n v="5865"/>
    <n v="2023"/>
    <x v="7"/>
    <x v="1"/>
    <x v="0"/>
  </r>
  <r>
    <x v="0"/>
    <x v="15"/>
    <x v="1"/>
    <x v="21"/>
    <n v="113"/>
    <n v="48"/>
    <n v="9"/>
    <n v="3"/>
    <n v="19410"/>
    <n v="4"/>
    <n v="13496"/>
    <n v="4"/>
    <m/>
    <n v="113"/>
    <n v="2023"/>
    <x v="7"/>
    <x v="1"/>
    <x v="0"/>
  </r>
  <r>
    <x v="0"/>
    <x v="15"/>
    <x v="1"/>
    <x v="22"/>
    <n v="5"/>
    <n v="4"/>
    <n v="0"/>
    <n v="1"/>
    <n v="0"/>
    <n v="0"/>
    <n v="0"/>
    <n v="0"/>
    <m/>
    <n v="5"/>
    <n v="2023"/>
    <x v="7"/>
    <x v="1"/>
    <x v="0"/>
  </r>
  <r>
    <x v="0"/>
    <x v="15"/>
    <x v="1"/>
    <x v="24"/>
    <n v="600"/>
    <n v="368"/>
    <n v="64"/>
    <n v="10"/>
    <n v="383093.09"/>
    <n v="45"/>
    <n v="146712.09"/>
    <n v="38"/>
    <m/>
    <n v="493"/>
    <n v="2023"/>
    <x v="7"/>
    <x v="1"/>
    <x v="0"/>
  </r>
  <r>
    <x v="0"/>
    <x v="15"/>
    <x v="1"/>
    <x v="25"/>
    <n v="369"/>
    <n v="292"/>
    <n v="4"/>
    <n v="11"/>
    <n v="0"/>
    <n v="0"/>
    <n v="0"/>
    <n v="0"/>
    <m/>
    <n v="369"/>
    <n v="2023"/>
    <x v="7"/>
    <x v="1"/>
    <x v="0"/>
  </r>
  <r>
    <x v="0"/>
    <x v="15"/>
    <x v="1"/>
    <x v="27"/>
    <n v="2224"/>
    <n v="894"/>
    <n v="286"/>
    <n v="78"/>
    <n v="1527766.76"/>
    <n v="270"/>
    <n v="1186900.1399999999"/>
    <n v="238"/>
    <m/>
    <n v="2083"/>
    <n v="2023"/>
    <x v="7"/>
    <x v="1"/>
    <x v="0"/>
  </r>
  <r>
    <x v="0"/>
    <x v="15"/>
    <x v="1"/>
    <x v="29"/>
    <n v="41434"/>
    <n v="35994"/>
    <n v="2000"/>
    <n v="517"/>
    <n v="2714803.28"/>
    <n v="526"/>
    <n v="1976704.17"/>
    <n v="457"/>
    <m/>
    <n v="39276"/>
    <n v="2023"/>
    <x v="7"/>
    <x v="1"/>
    <x v="0"/>
  </r>
  <r>
    <x v="0"/>
    <x v="15"/>
    <x v="1"/>
    <x v="30"/>
    <n v="109014"/>
    <n v="97241"/>
    <n v="694"/>
    <n v="460"/>
    <n v="550402.39"/>
    <n v="108"/>
    <n v="349773.39"/>
    <n v="83"/>
    <m/>
    <n v="104005"/>
    <n v="2023"/>
    <x v="7"/>
    <x v="1"/>
    <x v="0"/>
  </r>
  <r>
    <x v="0"/>
    <x v="15"/>
    <x v="1"/>
    <x v="31"/>
    <n v="2397"/>
    <n v="1708"/>
    <n v="90"/>
    <n v="74"/>
    <n v="141266.74"/>
    <n v="21"/>
    <n v="102106.74"/>
    <n v="15"/>
    <m/>
    <n v="2312"/>
    <n v="2023"/>
    <x v="7"/>
    <x v="1"/>
    <x v="0"/>
  </r>
  <r>
    <x v="0"/>
    <x v="15"/>
    <x v="1"/>
    <x v="32"/>
    <n v="19"/>
    <n v="10"/>
    <n v="1"/>
    <n v="0"/>
    <n v="0"/>
    <n v="0"/>
    <n v="0"/>
    <n v="0"/>
    <m/>
    <n v="11"/>
    <n v="2023"/>
    <x v="7"/>
    <x v="1"/>
    <x v="0"/>
  </r>
  <r>
    <x v="0"/>
    <x v="15"/>
    <x v="1"/>
    <x v="33"/>
    <n v="13"/>
    <n v="12"/>
    <n v="0"/>
    <n v="0"/>
    <n v="0"/>
    <n v="0"/>
    <n v="0"/>
    <n v="0"/>
    <m/>
    <n v="0"/>
    <n v="2023"/>
    <x v="7"/>
    <x v="1"/>
    <x v="0"/>
  </r>
  <r>
    <x v="0"/>
    <x v="15"/>
    <x v="1"/>
    <x v="34"/>
    <n v="4879"/>
    <n v="2665"/>
    <n v="227"/>
    <n v="97"/>
    <n v="319418.84000000003"/>
    <n v="64"/>
    <n v="269857.34000000003"/>
    <n v="53"/>
    <m/>
    <n v="4290"/>
    <n v="2023"/>
    <x v="7"/>
    <x v="1"/>
    <x v="0"/>
  </r>
  <r>
    <x v="0"/>
    <x v="15"/>
    <x v="1"/>
    <x v="35"/>
    <n v="5"/>
    <n v="1"/>
    <n v="0"/>
    <n v="0"/>
    <n v="0"/>
    <n v="0"/>
    <n v="0"/>
    <n v="0"/>
    <m/>
    <n v="4"/>
    <n v="2023"/>
    <x v="7"/>
    <x v="1"/>
    <x v="0"/>
  </r>
  <r>
    <x v="0"/>
    <x v="15"/>
    <x v="1"/>
    <x v="36"/>
    <n v="32"/>
    <n v="28"/>
    <n v="2"/>
    <n v="1"/>
    <n v="0"/>
    <n v="0"/>
    <n v="0"/>
    <n v="0"/>
    <m/>
    <n v="26"/>
    <n v="2023"/>
    <x v="7"/>
    <x v="1"/>
    <x v="0"/>
  </r>
  <r>
    <x v="0"/>
    <x v="15"/>
    <x v="1"/>
    <x v="37"/>
    <n v="10407"/>
    <n v="8950"/>
    <n v="69"/>
    <n v="2"/>
    <n v="621372"/>
    <n v="98"/>
    <n v="508712"/>
    <n v="84"/>
    <m/>
    <n v="10167"/>
    <n v="2023"/>
    <x v="7"/>
    <x v="1"/>
    <x v="0"/>
  </r>
  <r>
    <x v="0"/>
    <x v="15"/>
    <x v="1"/>
    <x v="38"/>
    <n v="8035"/>
    <n v="4120"/>
    <n v="640"/>
    <n v="168"/>
    <n v="2738652.34"/>
    <n v="413"/>
    <n v="1911046.34"/>
    <n v="372"/>
    <m/>
    <n v="7684"/>
    <n v="2023"/>
    <x v="7"/>
    <x v="1"/>
    <x v="0"/>
  </r>
  <r>
    <x v="0"/>
    <x v="15"/>
    <x v="1"/>
    <x v="39"/>
    <n v="648"/>
    <n v="542"/>
    <n v="5"/>
    <n v="5"/>
    <n v="10160"/>
    <n v="2"/>
    <n v="10160"/>
    <n v="2"/>
    <m/>
    <n v="648"/>
    <n v="2023"/>
    <x v="7"/>
    <x v="1"/>
    <x v="0"/>
  </r>
  <r>
    <x v="0"/>
    <x v="15"/>
    <x v="1"/>
    <x v="40"/>
    <n v="109"/>
    <n v="55"/>
    <n v="3"/>
    <n v="0"/>
    <n v="0"/>
    <n v="0"/>
    <n v="0"/>
    <n v="0"/>
    <m/>
    <n v="109"/>
    <n v="2023"/>
    <x v="7"/>
    <x v="1"/>
    <x v="0"/>
  </r>
  <r>
    <x v="0"/>
    <x v="15"/>
    <x v="1"/>
    <x v="41"/>
    <n v="60"/>
    <n v="36"/>
    <n v="0"/>
    <n v="0"/>
    <n v="0"/>
    <n v="0"/>
    <n v="0"/>
    <n v="0"/>
    <m/>
    <n v="55"/>
    <n v="2023"/>
    <x v="7"/>
    <x v="1"/>
    <x v="0"/>
  </r>
  <r>
    <x v="0"/>
    <x v="15"/>
    <x v="1"/>
    <x v="55"/>
    <n v="4"/>
    <n v="3"/>
    <n v="0"/>
    <n v="0"/>
    <n v="0"/>
    <n v="0"/>
    <n v="0"/>
    <n v="0"/>
    <m/>
    <n v="4"/>
    <n v="2023"/>
    <x v="7"/>
    <x v="1"/>
    <x v="0"/>
  </r>
  <r>
    <x v="0"/>
    <x v="15"/>
    <x v="1"/>
    <x v="56"/>
    <n v="73"/>
    <n v="47"/>
    <n v="0"/>
    <n v="0"/>
    <n v="0"/>
    <n v="0"/>
    <n v="0"/>
    <n v="0"/>
    <m/>
    <n v="73"/>
    <n v="2023"/>
    <x v="7"/>
    <x v="1"/>
    <x v="0"/>
  </r>
  <r>
    <x v="0"/>
    <x v="15"/>
    <x v="1"/>
    <x v="42"/>
    <n v="1984"/>
    <n v="1096"/>
    <n v="47"/>
    <n v="16"/>
    <n v="50822"/>
    <n v="12"/>
    <n v="42425"/>
    <n v="11"/>
    <m/>
    <n v="1875"/>
    <n v="2023"/>
    <x v="7"/>
    <x v="1"/>
    <x v="0"/>
  </r>
  <r>
    <x v="0"/>
    <x v="15"/>
    <x v="1"/>
    <x v="43"/>
    <n v="3124"/>
    <n v="2174"/>
    <n v="103"/>
    <n v="40"/>
    <n v="247721.5"/>
    <n v="27"/>
    <n v="165726.5"/>
    <n v="23"/>
    <m/>
    <n v="1942"/>
    <n v="2023"/>
    <x v="7"/>
    <x v="1"/>
    <x v="0"/>
  </r>
  <r>
    <x v="0"/>
    <x v="15"/>
    <x v="1"/>
    <x v="44"/>
    <n v="294"/>
    <n v="193"/>
    <n v="17"/>
    <n v="2"/>
    <n v="385266.08"/>
    <n v="65"/>
    <n v="337118.08"/>
    <n v="65"/>
    <m/>
    <n v="291"/>
    <n v="2023"/>
    <x v="7"/>
    <x v="1"/>
    <x v="0"/>
  </r>
  <r>
    <x v="0"/>
    <x v="15"/>
    <x v="1"/>
    <x v="45"/>
    <n v="18"/>
    <n v="1"/>
    <n v="2"/>
    <n v="0"/>
    <n v="13610"/>
    <n v="3"/>
    <n v="13610"/>
    <n v="3"/>
    <m/>
    <n v="18"/>
    <n v="2023"/>
    <x v="7"/>
    <x v="1"/>
    <x v="0"/>
  </r>
  <r>
    <x v="0"/>
    <x v="16"/>
    <x v="0"/>
    <x v="0"/>
    <n v="3543"/>
    <n v="2026"/>
    <n v="62"/>
    <n v="9"/>
    <n v="250576.03"/>
    <n v="44"/>
    <n v="231421.03"/>
    <n v="43"/>
    <n v="256"/>
    <n v="3477"/>
    <n v="2024"/>
    <x v="8"/>
    <x v="0"/>
    <x v="0"/>
  </r>
  <r>
    <x v="0"/>
    <x v="16"/>
    <x v="0"/>
    <x v="1"/>
    <n v="187106"/>
    <n v="176575"/>
    <n v="2837"/>
    <n v="2035"/>
    <n v="3823634.47"/>
    <n v="463"/>
    <n v="1880304.47"/>
    <n v="319"/>
    <n v="15261"/>
    <n v="186189"/>
    <n v="2024"/>
    <x v="8"/>
    <x v="0"/>
    <x v="0"/>
  </r>
  <r>
    <x v="0"/>
    <x v="16"/>
    <x v="0"/>
    <x v="2"/>
    <n v="19742"/>
    <n v="18330"/>
    <n v="415"/>
    <n v="146"/>
    <n v="763167"/>
    <n v="95"/>
    <n v="500637"/>
    <n v="80"/>
    <n v="19740"/>
    <n v="10283"/>
    <n v="2024"/>
    <x v="8"/>
    <x v="0"/>
    <x v="0"/>
  </r>
  <r>
    <x v="0"/>
    <x v="16"/>
    <x v="0"/>
    <x v="3"/>
    <n v="19253"/>
    <n v="16819"/>
    <n v="109"/>
    <n v="170"/>
    <n v="0"/>
    <n v="0"/>
    <n v="0"/>
    <n v="0"/>
    <n v="358"/>
    <n v="12734"/>
    <n v="2024"/>
    <x v="8"/>
    <x v="0"/>
    <x v="0"/>
  </r>
  <r>
    <x v="0"/>
    <x v="16"/>
    <x v="1"/>
    <x v="5"/>
    <n v="136"/>
    <n v="97"/>
    <n v="1"/>
    <n v="3"/>
    <n v="0"/>
    <n v="0"/>
    <n v="0"/>
    <n v="0"/>
    <n v="8"/>
    <n v="134"/>
    <n v="2024"/>
    <x v="8"/>
    <x v="0"/>
    <x v="0"/>
  </r>
  <r>
    <x v="0"/>
    <x v="16"/>
    <x v="1"/>
    <x v="6"/>
    <n v="3091"/>
    <n v="3055"/>
    <n v="0"/>
    <n v="0"/>
    <n v="0"/>
    <n v="0"/>
    <n v="0"/>
    <n v="0"/>
    <n v="2"/>
    <n v="13"/>
    <n v="2024"/>
    <x v="8"/>
    <x v="0"/>
    <x v="0"/>
  </r>
  <r>
    <x v="0"/>
    <x v="16"/>
    <x v="1"/>
    <x v="7"/>
    <n v="4823"/>
    <n v="2414"/>
    <n v="502"/>
    <n v="74"/>
    <n v="3730635.66"/>
    <n v="492"/>
    <n v="2999718.16"/>
    <n v="462"/>
    <n v="1657"/>
    <n v="4624"/>
    <n v="2024"/>
    <x v="8"/>
    <x v="0"/>
    <x v="0"/>
  </r>
  <r>
    <x v="0"/>
    <x v="16"/>
    <x v="1"/>
    <x v="8"/>
    <n v="467"/>
    <n v="392"/>
    <n v="1"/>
    <n v="2"/>
    <n v="0"/>
    <n v="0"/>
    <n v="0"/>
    <n v="0"/>
    <n v="1"/>
    <n v="114"/>
    <n v="2024"/>
    <x v="8"/>
    <x v="0"/>
    <x v="0"/>
  </r>
  <r>
    <x v="0"/>
    <x v="16"/>
    <x v="1"/>
    <x v="9"/>
    <n v="31"/>
    <n v="11"/>
    <n v="2"/>
    <n v="0"/>
    <n v="3400"/>
    <n v="1"/>
    <n v="3400"/>
    <n v="1"/>
    <n v="1"/>
    <n v="30"/>
    <n v="2024"/>
    <x v="8"/>
    <x v="0"/>
    <x v="0"/>
  </r>
  <r>
    <x v="0"/>
    <x v="16"/>
    <x v="1"/>
    <x v="10"/>
    <n v="253"/>
    <n v="135"/>
    <n v="6"/>
    <n v="7"/>
    <n v="21725"/>
    <n v="3"/>
    <n v="15975"/>
    <n v="3"/>
    <n v="37"/>
    <n v="220"/>
    <n v="2024"/>
    <x v="8"/>
    <x v="0"/>
    <x v="0"/>
  </r>
  <r>
    <x v="0"/>
    <x v="16"/>
    <x v="1"/>
    <x v="11"/>
    <n v="148"/>
    <n v="140"/>
    <n v="0"/>
    <n v="0"/>
    <n v="5350"/>
    <n v="1"/>
    <n v="5350"/>
    <n v="1"/>
    <n v="123"/>
    <n v="25"/>
    <n v="2024"/>
    <x v="8"/>
    <x v="0"/>
    <x v="0"/>
  </r>
  <r>
    <x v="0"/>
    <x v="16"/>
    <x v="1"/>
    <x v="48"/>
    <n v="2"/>
    <n v="2"/>
    <n v="0"/>
    <n v="0"/>
    <n v="0"/>
    <n v="0"/>
    <n v="0"/>
    <n v="0"/>
    <n v="0"/>
    <n v="2"/>
    <n v="2024"/>
    <x v="8"/>
    <x v="0"/>
    <x v="0"/>
  </r>
  <r>
    <x v="0"/>
    <x v="16"/>
    <x v="1"/>
    <x v="59"/>
    <n v="18507"/>
    <n v="16106"/>
    <n v="186"/>
    <n v="64"/>
    <n v="633111.07999999996"/>
    <n v="103"/>
    <n v="512106.08"/>
    <n v="90"/>
    <n v="1349"/>
    <n v="8926"/>
    <n v="2024"/>
    <x v="8"/>
    <x v="0"/>
    <x v="0"/>
  </r>
  <r>
    <x v="0"/>
    <x v="16"/>
    <x v="1"/>
    <x v="15"/>
    <n v="768"/>
    <n v="756"/>
    <n v="4"/>
    <n v="2"/>
    <n v="12200"/>
    <n v="2"/>
    <n v="0"/>
    <n v="0"/>
    <n v="4"/>
    <n v="768"/>
    <n v="2024"/>
    <x v="8"/>
    <x v="0"/>
    <x v="0"/>
  </r>
  <r>
    <x v="0"/>
    <x v="16"/>
    <x v="1"/>
    <x v="17"/>
    <n v="150"/>
    <n v="141"/>
    <n v="2"/>
    <n v="1"/>
    <n v="15657"/>
    <n v="3"/>
    <n v="15657"/>
    <n v="3"/>
    <n v="17"/>
    <n v="133"/>
    <n v="2024"/>
    <x v="8"/>
    <x v="0"/>
    <x v="0"/>
  </r>
  <r>
    <x v="0"/>
    <x v="16"/>
    <x v="1"/>
    <x v="18"/>
    <n v="183"/>
    <n v="162"/>
    <n v="16"/>
    <n v="0"/>
    <n v="61761.14"/>
    <n v="12"/>
    <n v="59701.14"/>
    <n v="12"/>
    <n v="29"/>
    <n v="152"/>
    <n v="2024"/>
    <x v="8"/>
    <x v="0"/>
    <x v="0"/>
  </r>
  <r>
    <x v="0"/>
    <x v="16"/>
    <x v="1"/>
    <x v="19"/>
    <n v="20213"/>
    <n v="15812"/>
    <n v="794"/>
    <n v="223"/>
    <n v="2271154.48"/>
    <n v="304"/>
    <n v="1708866.98"/>
    <n v="275"/>
    <n v="7280"/>
    <n v="16529"/>
    <n v="2024"/>
    <x v="8"/>
    <x v="0"/>
    <x v="0"/>
  </r>
  <r>
    <x v="0"/>
    <x v="16"/>
    <x v="1"/>
    <x v="20"/>
    <n v="1482"/>
    <n v="942"/>
    <n v="30"/>
    <n v="16"/>
    <n v="58280"/>
    <n v="7"/>
    <n v="14610"/>
    <n v="4"/>
    <n v="172"/>
    <n v="1452"/>
    <n v="2024"/>
    <x v="8"/>
    <x v="0"/>
    <x v="0"/>
  </r>
  <r>
    <x v="0"/>
    <x v="16"/>
    <x v="1"/>
    <x v="21"/>
    <n v="154"/>
    <n v="96"/>
    <n v="12"/>
    <n v="2"/>
    <n v="2995"/>
    <n v="1"/>
    <n v="2995"/>
    <n v="1"/>
    <n v="20"/>
    <n v="154"/>
    <n v="2024"/>
    <x v="8"/>
    <x v="0"/>
    <x v="0"/>
  </r>
  <r>
    <x v="0"/>
    <x v="16"/>
    <x v="1"/>
    <x v="50"/>
    <n v="2"/>
    <n v="0"/>
    <n v="0"/>
    <n v="0"/>
    <n v="1990"/>
    <n v="1"/>
    <n v="1990"/>
    <n v="1"/>
    <n v="0"/>
    <n v="0"/>
    <n v="2024"/>
    <x v="8"/>
    <x v="0"/>
    <x v="0"/>
  </r>
  <r>
    <x v="0"/>
    <x v="16"/>
    <x v="1"/>
    <x v="22"/>
    <n v="478"/>
    <n v="316"/>
    <n v="6"/>
    <n v="3"/>
    <n v="8250"/>
    <n v="2"/>
    <n v="2500"/>
    <n v="1"/>
    <n v="23"/>
    <n v="315"/>
    <n v="2024"/>
    <x v="8"/>
    <x v="0"/>
    <x v="0"/>
  </r>
  <r>
    <x v="0"/>
    <x v="16"/>
    <x v="1"/>
    <x v="24"/>
    <n v="504"/>
    <n v="359"/>
    <n v="22"/>
    <n v="5"/>
    <n v="46457.14"/>
    <n v="11"/>
    <n v="44157.14"/>
    <n v="11"/>
    <n v="127"/>
    <n v="445"/>
    <n v="2024"/>
    <x v="8"/>
    <x v="0"/>
    <x v="0"/>
  </r>
  <r>
    <x v="0"/>
    <x v="16"/>
    <x v="1"/>
    <x v="27"/>
    <n v="2775"/>
    <n v="1580"/>
    <n v="188"/>
    <n v="50"/>
    <n v="1203166.6200000001"/>
    <n v="158"/>
    <n v="1007300.12"/>
    <n v="144"/>
    <n v="1325"/>
    <n v="2342"/>
    <n v="2024"/>
    <x v="8"/>
    <x v="0"/>
    <x v="0"/>
  </r>
  <r>
    <x v="0"/>
    <x v="16"/>
    <x v="1"/>
    <x v="29"/>
    <n v="22403"/>
    <n v="19363"/>
    <n v="756"/>
    <n v="232"/>
    <n v="1002350.86"/>
    <n v="181"/>
    <n v="724050.86"/>
    <n v="153"/>
    <n v="8032"/>
    <n v="18880"/>
    <n v="2024"/>
    <x v="8"/>
    <x v="0"/>
    <x v="0"/>
  </r>
  <r>
    <x v="0"/>
    <x v="16"/>
    <x v="1"/>
    <x v="30"/>
    <n v="73236"/>
    <n v="64101"/>
    <n v="791"/>
    <n v="361"/>
    <n v="912837.78"/>
    <n v="138"/>
    <n v="600184.28"/>
    <n v="110"/>
    <n v="3583"/>
    <n v="58369"/>
    <n v="2024"/>
    <x v="8"/>
    <x v="0"/>
    <x v="0"/>
  </r>
  <r>
    <x v="0"/>
    <x v="16"/>
    <x v="1"/>
    <x v="31"/>
    <n v="2070"/>
    <n v="1565"/>
    <n v="84"/>
    <n v="53"/>
    <n v="241782.5"/>
    <n v="26"/>
    <n v="179735"/>
    <n v="23"/>
    <n v="410"/>
    <n v="1986"/>
    <n v="2024"/>
    <x v="8"/>
    <x v="0"/>
    <x v="0"/>
  </r>
  <r>
    <x v="0"/>
    <x v="16"/>
    <x v="1"/>
    <x v="32"/>
    <n v="56"/>
    <n v="34"/>
    <n v="3"/>
    <n v="1"/>
    <n v="14162.72"/>
    <n v="1"/>
    <n v="14162.72"/>
    <n v="1"/>
    <n v="13"/>
    <n v="56"/>
    <n v="2024"/>
    <x v="8"/>
    <x v="0"/>
    <x v="0"/>
  </r>
  <r>
    <x v="0"/>
    <x v="16"/>
    <x v="1"/>
    <x v="34"/>
    <n v="3705"/>
    <n v="2080"/>
    <n v="202"/>
    <n v="81"/>
    <n v="315783.11"/>
    <n v="55"/>
    <n v="241805.61"/>
    <n v="48"/>
    <n v="1431"/>
    <n v="3191"/>
    <n v="2024"/>
    <x v="8"/>
    <x v="0"/>
    <x v="0"/>
  </r>
  <r>
    <x v="0"/>
    <x v="16"/>
    <x v="1"/>
    <x v="35"/>
    <n v="30"/>
    <n v="26"/>
    <n v="0"/>
    <n v="0"/>
    <n v="0"/>
    <n v="0"/>
    <n v="0"/>
    <n v="0"/>
    <n v="0"/>
    <n v="5"/>
    <n v="2024"/>
    <x v="8"/>
    <x v="0"/>
    <x v="0"/>
  </r>
  <r>
    <x v="0"/>
    <x v="16"/>
    <x v="1"/>
    <x v="36"/>
    <n v="56"/>
    <n v="52"/>
    <n v="0"/>
    <n v="0"/>
    <n v="0"/>
    <n v="0"/>
    <n v="0"/>
    <n v="0"/>
    <n v="13"/>
    <n v="45"/>
    <n v="2024"/>
    <x v="8"/>
    <x v="0"/>
    <x v="0"/>
  </r>
  <r>
    <x v="0"/>
    <x v="16"/>
    <x v="1"/>
    <x v="38"/>
    <n v="4184"/>
    <n v="2130"/>
    <n v="264"/>
    <n v="130"/>
    <n v="1674667.39"/>
    <n v="194"/>
    <n v="1263779.23"/>
    <n v="180"/>
    <n v="1104"/>
    <n v="4028"/>
    <n v="2024"/>
    <x v="8"/>
    <x v="0"/>
    <x v="0"/>
  </r>
  <r>
    <x v="0"/>
    <x v="16"/>
    <x v="1"/>
    <x v="60"/>
    <n v="92"/>
    <n v="85"/>
    <n v="0"/>
    <n v="0"/>
    <n v="0"/>
    <n v="0"/>
    <n v="0"/>
    <n v="0"/>
    <n v="6"/>
    <n v="89"/>
    <n v="2024"/>
    <x v="8"/>
    <x v="0"/>
    <x v="0"/>
  </r>
  <r>
    <x v="0"/>
    <x v="16"/>
    <x v="1"/>
    <x v="39"/>
    <n v="56"/>
    <n v="50"/>
    <n v="4"/>
    <n v="2"/>
    <n v="0"/>
    <n v="0"/>
    <n v="0"/>
    <n v="0"/>
    <n v="6"/>
    <n v="56"/>
    <n v="2024"/>
    <x v="8"/>
    <x v="0"/>
    <x v="0"/>
  </r>
  <r>
    <x v="0"/>
    <x v="16"/>
    <x v="1"/>
    <x v="41"/>
    <n v="48"/>
    <n v="31"/>
    <n v="1"/>
    <n v="0"/>
    <n v="0"/>
    <n v="0"/>
    <n v="0"/>
    <n v="0"/>
    <n v="9"/>
    <n v="47"/>
    <n v="2024"/>
    <x v="8"/>
    <x v="0"/>
    <x v="0"/>
  </r>
  <r>
    <x v="0"/>
    <x v="16"/>
    <x v="1"/>
    <x v="64"/>
    <n v="1438"/>
    <n v="1044"/>
    <n v="0"/>
    <n v="0"/>
    <n v="0"/>
    <n v="0"/>
    <n v="0"/>
    <n v="0"/>
    <n v="340"/>
    <n v="1397"/>
    <n v="2024"/>
    <x v="8"/>
    <x v="0"/>
    <x v="0"/>
  </r>
  <r>
    <x v="0"/>
    <x v="16"/>
    <x v="1"/>
    <x v="42"/>
    <n v="1251"/>
    <n v="587"/>
    <n v="59"/>
    <n v="15"/>
    <n v="66229"/>
    <n v="16"/>
    <n v="41925"/>
    <n v="12"/>
    <n v="148"/>
    <n v="1217"/>
    <n v="2024"/>
    <x v="8"/>
    <x v="0"/>
    <x v="0"/>
  </r>
  <r>
    <x v="0"/>
    <x v="16"/>
    <x v="1"/>
    <x v="43"/>
    <n v="2225"/>
    <n v="1615"/>
    <n v="57"/>
    <n v="22"/>
    <n v="33645"/>
    <n v="6"/>
    <n v="19705"/>
    <n v="4"/>
    <n v="1817"/>
    <n v="1333"/>
    <n v="2024"/>
    <x v="8"/>
    <x v="0"/>
    <x v="0"/>
  </r>
  <r>
    <x v="0"/>
    <x v="16"/>
    <x v="1"/>
    <x v="44"/>
    <n v="135"/>
    <n v="52"/>
    <n v="8"/>
    <n v="1"/>
    <n v="173200.35"/>
    <n v="31"/>
    <n v="157615.35"/>
    <n v="31"/>
    <n v="3"/>
    <n v="134"/>
    <n v="2024"/>
    <x v="8"/>
    <x v="0"/>
    <x v="0"/>
  </r>
  <r>
    <x v="0"/>
    <x v="17"/>
    <x v="0"/>
    <x v="0"/>
    <n v="7283"/>
    <n v="4453"/>
    <n v="27"/>
    <n v="10"/>
    <n v="132357.5"/>
    <n v="19"/>
    <n v="119347.5"/>
    <n v="19"/>
    <m/>
    <n v="4207"/>
    <n v="2023"/>
    <x v="8"/>
    <x v="1"/>
    <x v="0"/>
  </r>
  <r>
    <x v="0"/>
    <x v="17"/>
    <x v="0"/>
    <x v="1"/>
    <n v="128914"/>
    <n v="116428"/>
    <n v="1610"/>
    <n v="1149"/>
    <n v="2155978.5"/>
    <n v="279"/>
    <n v="1308879"/>
    <n v="219"/>
    <m/>
    <n v="127864"/>
    <n v="2023"/>
    <x v="8"/>
    <x v="1"/>
    <x v="0"/>
  </r>
  <r>
    <x v="0"/>
    <x v="17"/>
    <x v="0"/>
    <x v="2"/>
    <n v="88179"/>
    <n v="82954"/>
    <n v="418"/>
    <n v="157"/>
    <n v="672882.5"/>
    <n v="89"/>
    <n v="462042.5"/>
    <n v="76"/>
    <m/>
    <n v="18606"/>
    <n v="2023"/>
    <x v="8"/>
    <x v="1"/>
    <x v="0"/>
  </r>
  <r>
    <x v="0"/>
    <x v="17"/>
    <x v="0"/>
    <x v="3"/>
    <n v="23227"/>
    <n v="19487"/>
    <n v="4"/>
    <n v="6"/>
    <n v="0"/>
    <n v="0"/>
    <n v="0"/>
    <n v="0"/>
    <m/>
    <n v="3328"/>
    <n v="2023"/>
    <x v="8"/>
    <x v="1"/>
    <x v="0"/>
  </r>
  <r>
    <x v="0"/>
    <x v="17"/>
    <x v="1"/>
    <x v="5"/>
    <n v="173"/>
    <n v="144"/>
    <n v="0"/>
    <n v="1"/>
    <n v="0"/>
    <n v="0"/>
    <n v="0"/>
    <n v="0"/>
    <m/>
    <n v="173"/>
    <n v="2023"/>
    <x v="8"/>
    <x v="1"/>
    <x v="0"/>
  </r>
  <r>
    <x v="0"/>
    <x v="17"/>
    <x v="1"/>
    <x v="6"/>
    <n v="13204"/>
    <n v="13052"/>
    <n v="2"/>
    <n v="2"/>
    <n v="0"/>
    <n v="0"/>
    <n v="0"/>
    <n v="0"/>
    <m/>
    <n v="107"/>
    <n v="2023"/>
    <x v="8"/>
    <x v="1"/>
    <x v="0"/>
  </r>
  <r>
    <x v="0"/>
    <x v="17"/>
    <x v="1"/>
    <x v="7"/>
    <n v="4563"/>
    <n v="2471"/>
    <n v="411"/>
    <n v="56"/>
    <n v="3172398.5"/>
    <n v="470"/>
    <n v="2535382.5"/>
    <n v="426"/>
    <m/>
    <n v="4256"/>
    <n v="2023"/>
    <x v="8"/>
    <x v="1"/>
    <x v="0"/>
  </r>
  <r>
    <x v="0"/>
    <x v="17"/>
    <x v="1"/>
    <x v="8"/>
    <n v="185"/>
    <n v="119"/>
    <n v="0"/>
    <n v="0"/>
    <n v="0"/>
    <n v="0"/>
    <n v="0"/>
    <n v="0"/>
    <m/>
    <n v="125"/>
    <n v="2023"/>
    <x v="8"/>
    <x v="1"/>
    <x v="0"/>
  </r>
  <r>
    <x v="0"/>
    <x v="17"/>
    <x v="1"/>
    <x v="47"/>
    <n v="34"/>
    <n v="22"/>
    <n v="1"/>
    <n v="0"/>
    <n v="0"/>
    <n v="0"/>
    <n v="0"/>
    <n v="0"/>
    <m/>
    <n v="34"/>
    <n v="2023"/>
    <x v="8"/>
    <x v="1"/>
    <x v="0"/>
  </r>
  <r>
    <x v="0"/>
    <x v="17"/>
    <x v="1"/>
    <x v="10"/>
    <n v="521"/>
    <n v="268"/>
    <n v="24"/>
    <n v="3"/>
    <n v="40435"/>
    <n v="5"/>
    <n v="29795"/>
    <n v="4"/>
    <m/>
    <n v="430"/>
    <n v="2023"/>
    <x v="8"/>
    <x v="1"/>
    <x v="0"/>
  </r>
  <r>
    <x v="0"/>
    <x v="17"/>
    <x v="1"/>
    <x v="11"/>
    <n v="168"/>
    <n v="110"/>
    <n v="0"/>
    <n v="0"/>
    <n v="4495"/>
    <n v="1"/>
    <n v="4495"/>
    <n v="1"/>
    <m/>
    <n v="111"/>
    <n v="2023"/>
    <x v="8"/>
    <x v="1"/>
    <x v="0"/>
  </r>
  <r>
    <x v="0"/>
    <x v="17"/>
    <x v="1"/>
    <x v="59"/>
    <n v="43327"/>
    <n v="41786"/>
    <n v="85"/>
    <n v="34"/>
    <n v="289162.5"/>
    <n v="51"/>
    <n v="243677.5"/>
    <n v="48"/>
    <m/>
    <n v="2906"/>
    <n v="2023"/>
    <x v="8"/>
    <x v="1"/>
    <x v="0"/>
  </r>
  <r>
    <x v="0"/>
    <x v="17"/>
    <x v="1"/>
    <x v="15"/>
    <n v="163"/>
    <n v="142"/>
    <n v="2"/>
    <n v="0"/>
    <n v="0"/>
    <n v="0"/>
    <n v="0"/>
    <n v="0"/>
    <m/>
    <n v="162"/>
    <n v="2023"/>
    <x v="8"/>
    <x v="1"/>
    <x v="0"/>
  </r>
  <r>
    <x v="0"/>
    <x v="17"/>
    <x v="1"/>
    <x v="16"/>
    <n v="313"/>
    <n v="111"/>
    <n v="5"/>
    <n v="1"/>
    <n v="14911.5"/>
    <n v="4"/>
    <n v="11485"/>
    <n v="3"/>
    <m/>
    <n v="313"/>
    <n v="2023"/>
    <x v="8"/>
    <x v="1"/>
    <x v="0"/>
  </r>
  <r>
    <x v="0"/>
    <x v="17"/>
    <x v="1"/>
    <x v="17"/>
    <n v="121"/>
    <n v="120"/>
    <n v="2"/>
    <n v="0"/>
    <n v="1680"/>
    <n v="1"/>
    <n v="1680"/>
    <n v="1"/>
    <m/>
    <n v="107"/>
    <n v="2023"/>
    <x v="8"/>
    <x v="1"/>
    <x v="0"/>
  </r>
  <r>
    <x v="0"/>
    <x v="17"/>
    <x v="1"/>
    <x v="18"/>
    <n v="204"/>
    <n v="176"/>
    <n v="17"/>
    <n v="6"/>
    <n v="94363"/>
    <n v="10"/>
    <n v="74468"/>
    <n v="9"/>
    <m/>
    <n v="127"/>
    <n v="2023"/>
    <x v="8"/>
    <x v="1"/>
    <x v="0"/>
  </r>
  <r>
    <x v="0"/>
    <x v="17"/>
    <x v="1"/>
    <x v="19"/>
    <n v="15000"/>
    <n v="11075"/>
    <n v="260"/>
    <n v="88"/>
    <n v="883204.53"/>
    <n v="141"/>
    <n v="738037.53"/>
    <n v="129"/>
    <m/>
    <n v="6510"/>
    <n v="2023"/>
    <x v="8"/>
    <x v="1"/>
    <x v="0"/>
  </r>
  <r>
    <x v="0"/>
    <x v="17"/>
    <x v="1"/>
    <x v="53"/>
    <n v="141"/>
    <n v="118"/>
    <n v="6"/>
    <n v="3"/>
    <n v="0"/>
    <n v="0"/>
    <n v="0"/>
    <n v="0"/>
    <m/>
    <n v="86"/>
    <n v="2023"/>
    <x v="8"/>
    <x v="1"/>
    <x v="0"/>
  </r>
  <r>
    <x v="0"/>
    <x v="17"/>
    <x v="1"/>
    <x v="20"/>
    <n v="5460"/>
    <n v="3612"/>
    <n v="103"/>
    <n v="60"/>
    <n v="58291"/>
    <n v="11"/>
    <n v="33296"/>
    <n v="8"/>
    <m/>
    <n v="5230"/>
    <n v="2023"/>
    <x v="8"/>
    <x v="1"/>
    <x v="0"/>
  </r>
  <r>
    <x v="0"/>
    <x v="17"/>
    <x v="1"/>
    <x v="21"/>
    <n v="82"/>
    <n v="38"/>
    <n v="6"/>
    <n v="1"/>
    <n v="27161.5"/>
    <n v="5"/>
    <n v="27161.5"/>
    <n v="5"/>
    <m/>
    <n v="81"/>
    <n v="2023"/>
    <x v="8"/>
    <x v="1"/>
    <x v="0"/>
  </r>
  <r>
    <x v="0"/>
    <x v="17"/>
    <x v="1"/>
    <x v="22"/>
    <n v="4"/>
    <n v="2"/>
    <n v="0"/>
    <n v="0"/>
    <n v="0"/>
    <n v="0"/>
    <n v="0"/>
    <n v="0"/>
    <m/>
    <n v="0"/>
    <n v="2023"/>
    <x v="8"/>
    <x v="1"/>
    <x v="0"/>
  </r>
  <r>
    <x v="0"/>
    <x v="17"/>
    <x v="1"/>
    <x v="24"/>
    <n v="405"/>
    <n v="258"/>
    <n v="16"/>
    <n v="2"/>
    <n v="30150"/>
    <n v="7"/>
    <n v="30150"/>
    <n v="7"/>
    <m/>
    <n v="225"/>
    <n v="2023"/>
    <x v="8"/>
    <x v="1"/>
    <x v="0"/>
  </r>
  <r>
    <x v="0"/>
    <x v="17"/>
    <x v="1"/>
    <x v="25"/>
    <n v="166"/>
    <n v="131"/>
    <n v="4"/>
    <n v="5"/>
    <n v="0"/>
    <n v="0"/>
    <n v="0"/>
    <n v="0"/>
    <m/>
    <n v="166"/>
    <n v="2023"/>
    <x v="8"/>
    <x v="1"/>
    <x v="0"/>
  </r>
  <r>
    <x v="0"/>
    <x v="17"/>
    <x v="1"/>
    <x v="26"/>
    <n v="1"/>
    <n v="0"/>
    <n v="0"/>
    <n v="0"/>
    <n v="0"/>
    <n v="0"/>
    <n v="0"/>
    <n v="0"/>
    <m/>
    <n v="1"/>
    <n v="2023"/>
    <x v="8"/>
    <x v="1"/>
    <x v="0"/>
  </r>
  <r>
    <x v="0"/>
    <x v="17"/>
    <x v="1"/>
    <x v="27"/>
    <n v="1320"/>
    <n v="606"/>
    <n v="159"/>
    <n v="34"/>
    <n v="998440"/>
    <n v="169"/>
    <n v="824962.5"/>
    <n v="156"/>
    <m/>
    <n v="1216"/>
    <n v="2023"/>
    <x v="8"/>
    <x v="1"/>
    <x v="0"/>
  </r>
  <r>
    <x v="0"/>
    <x v="17"/>
    <x v="1"/>
    <x v="29"/>
    <n v="15279"/>
    <n v="12974"/>
    <n v="533"/>
    <n v="190"/>
    <n v="708457"/>
    <n v="112"/>
    <n v="489319.5"/>
    <n v="96"/>
    <m/>
    <n v="13590"/>
    <n v="2023"/>
    <x v="8"/>
    <x v="1"/>
    <x v="0"/>
  </r>
  <r>
    <x v="0"/>
    <x v="17"/>
    <x v="1"/>
    <x v="30"/>
    <n v="74877"/>
    <n v="66922"/>
    <n v="608"/>
    <n v="364"/>
    <n v="446066"/>
    <n v="64"/>
    <n v="306796"/>
    <n v="53"/>
    <m/>
    <n v="69736"/>
    <n v="2023"/>
    <x v="8"/>
    <x v="1"/>
    <x v="0"/>
  </r>
  <r>
    <x v="0"/>
    <x v="17"/>
    <x v="1"/>
    <x v="31"/>
    <n v="1917"/>
    <n v="1453"/>
    <n v="70"/>
    <n v="49"/>
    <n v="196847.5"/>
    <n v="24"/>
    <n v="133652.5"/>
    <n v="19"/>
    <m/>
    <n v="1838"/>
    <n v="2023"/>
    <x v="8"/>
    <x v="1"/>
    <x v="0"/>
  </r>
  <r>
    <x v="0"/>
    <x v="17"/>
    <x v="1"/>
    <x v="32"/>
    <n v="9"/>
    <n v="8"/>
    <n v="0"/>
    <n v="0"/>
    <n v="0"/>
    <n v="0"/>
    <n v="0"/>
    <n v="0"/>
    <m/>
    <n v="3"/>
    <n v="2023"/>
    <x v="8"/>
    <x v="1"/>
    <x v="0"/>
  </r>
  <r>
    <x v="0"/>
    <x v="17"/>
    <x v="1"/>
    <x v="34"/>
    <n v="3210"/>
    <n v="1883"/>
    <n v="105"/>
    <n v="54"/>
    <n v="161348"/>
    <n v="28"/>
    <n v="143473"/>
    <n v="25"/>
    <m/>
    <n v="2600"/>
    <n v="2023"/>
    <x v="8"/>
    <x v="1"/>
    <x v="0"/>
  </r>
  <r>
    <x v="0"/>
    <x v="17"/>
    <x v="1"/>
    <x v="35"/>
    <n v="2"/>
    <n v="1"/>
    <n v="0"/>
    <n v="0"/>
    <n v="0"/>
    <n v="0"/>
    <n v="0"/>
    <n v="0"/>
    <m/>
    <n v="1"/>
    <n v="2023"/>
    <x v="8"/>
    <x v="1"/>
    <x v="0"/>
  </r>
  <r>
    <x v="0"/>
    <x v="17"/>
    <x v="1"/>
    <x v="36"/>
    <n v="39"/>
    <n v="28"/>
    <n v="0"/>
    <n v="0"/>
    <n v="0"/>
    <n v="0"/>
    <n v="0"/>
    <n v="0"/>
    <m/>
    <n v="21"/>
    <n v="2023"/>
    <x v="8"/>
    <x v="1"/>
    <x v="0"/>
  </r>
  <r>
    <x v="0"/>
    <x v="17"/>
    <x v="1"/>
    <x v="37"/>
    <n v="8771"/>
    <n v="7780"/>
    <n v="64"/>
    <n v="1"/>
    <n v="459924"/>
    <n v="67"/>
    <n v="362744"/>
    <n v="61"/>
    <m/>
    <n v="8576"/>
    <n v="2023"/>
    <x v="8"/>
    <x v="1"/>
    <x v="0"/>
  </r>
  <r>
    <x v="0"/>
    <x v="17"/>
    <x v="1"/>
    <x v="38"/>
    <n v="5638"/>
    <n v="3416"/>
    <n v="247"/>
    <n v="108"/>
    <n v="1125974.5"/>
    <n v="175"/>
    <n v="979007"/>
    <n v="169"/>
    <m/>
    <n v="5139"/>
    <n v="2023"/>
    <x v="8"/>
    <x v="1"/>
    <x v="0"/>
  </r>
  <r>
    <x v="0"/>
    <x v="17"/>
    <x v="1"/>
    <x v="39"/>
    <n v="104"/>
    <n v="99"/>
    <n v="1"/>
    <n v="0"/>
    <n v="0"/>
    <n v="0"/>
    <n v="0"/>
    <n v="0"/>
    <m/>
    <n v="104"/>
    <n v="2023"/>
    <x v="8"/>
    <x v="1"/>
    <x v="0"/>
  </r>
  <r>
    <x v="0"/>
    <x v="17"/>
    <x v="1"/>
    <x v="40"/>
    <n v="123280"/>
    <n v="121794"/>
    <n v="14"/>
    <n v="8"/>
    <n v="7750"/>
    <n v="1"/>
    <n v="7750"/>
    <n v="1"/>
    <m/>
    <n v="1915"/>
    <n v="2023"/>
    <x v="8"/>
    <x v="1"/>
    <x v="0"/>
  </r>
  <r>
    <x v="0"/>
    <x v="17"/>
    <x v="1"/>
    <x v="41"/>
    <n v="43"/>
    <n v="24"/>
    <n v="1"/>
    <n v="0"/>
    <n v="0"/>
    <n v="0"/>
    <n v="0"/>
    <n v="0"/>
    <m/>
    <n v="42"/>
    <n v="2023"/>
    <x v="8"/>
    <x v="1"/>
    <x v="0"/>
  </r>
  <r>
    <x v="0"/>
    <x v="17"/>
    <x v="1"/>
    <x v="42"/>
    <n v="709"/>
    <n v="326"/>
    <n v="33"/>
    <n v="8"/>
    <n v="23470"/>
    <n v="5"/>
    <n v="23470"/>
    <n v="5"/>
    <m/>
    <n v="706"/>
    <n v="2023"/>
    <x v="8"/>
    <x v="1"/>
    <x v="0"/>
  </r>
  <r>
    <x v="0"/>
    <x v="17"/>
    <x v="1"/>
    <x v="43"/>
    <n v="2625"/>
    <n v="1946"/>
    <n v="99"/>
    <n v="36"/>
    <n v="130851.5"/>
    <n v="26"/>
    <n v="112196.5"/>
    <n v="24"/>
    <m/>
    <n v="1557"/>
    <n v="2023"/>
    <x v="8"/>
    <x v="1"/>
    <x v="0"/>
  </r>
  <r>
    <x v="0"/>
    <x v="17"/>
    <x v="1"/>
    <x v="44"/>
    <n v="123"/>
    <n v="64"/>
    <n v="6"/>
    <n v="1"/>
    <n v="101670"/>
    <n v="21"/>
    <n v="84842"/>
    <n v="19"/>
    <m/>
    <n v="123"/>
    <n v="2023"/>
    <x v="8"/>
    <x v="1"/>
    <x v="0"/>
  </r>
  <r>
    <x v="0"/>
    <x v="18"/>
    <x v="0"/>
    <x v="0"/>
    <n v="10296"/>
    <n v="5136"/>
    <n v="25"/>
    <n v="18"/>
    <n v="40860"/>
    <n v="8"/>
    <n v="40860"/>
    <n v="8"/>
    <n v="104"/>
    <n v="10257"/>
    <n v="2025"/>
    <x v="9"/>
    <x v="0"/>
    <x v="0"/>
  </r>
  <r>
    <x v="0"/>
    <x v="18"/>
    <x v="0"/>
    <x v="1"/>
    <n v="222353"/>
    <n v="213817"/>
    <n v="2327"/>
    <n v="2003"/>
    <n v="3126379.72"/>
    <n v="299"/>
    <n v="1461653.05"/>
    <n v="189"/>
    <n v="29747"/>
    <n v="214491"/>
    <n v="2025"/>
    <x v="9"/>
    <x v="0"/>
    <x v="0"/>
  </r>
  <r>
    <x v="0"/>
    <x v="18"/>
    <x v="0"/>
    <x v="2"/>
    <n v="14"/>
    <n v="10"/>
    <n v="0"/>
    <n v="0"/>
    <n v="0"/>
    <n v="0"/>
    <n v="0"/>
    <n v="0"/>
    <n v="14"/>
    <n v="2"/>
    <n v="2025"/>
    <x v="9"/>
    <x v="0"/>
    <x v="0"/>
  </r>
  <r>
    <x v="0"/>
    <x v="18"/>
    <x v="0"/>
    <x v="3"/>
    <n v="15885"/>
    <n v="13618"/>
    <n v="120"/>
    <n v="41"/>
    <n v="0"/>
    <n v="0"/>
    <n v="0"/>
    <n v="0"/>
    <n v="551"/>
    <n v="4926"/>
    <n v="2025"/>
    <x v="9"/>
    <x v="0"/>
    <x v="0"/>
  </r>
  <r>
    <x v="0"/>
    <x v="18"/>
    <x v="1"/>
    <x v="5"/>
    <n v="141"/>
    <n v="106"/>
    <n v="0"/>
    <n v="0"/>
    <n v="0"/>
    <n v="0"/>
    <n v="0"/>
    <n v="0"/>
    <n v="3"/>
    <n v="140"/>
    <n v="2025"/>
    <x v="9"/>
    <x v="0"/>
    <x v="0"/>
  </r>
  <r>
    <x v="0"/>
    <x v="18"/>
    <x v="1"/>
    <x v="6"/>
    <n v="10746"/>
    <n v="10611"/>
    <n v="0"/>
    <n v="0"/>
    <n v="0"/>
    <n v="0"/>
    <n v="0"/>
    <n v="0"/>
    <n v="3"/>
    <n v="7"/>
    <n v="2025"/>
    <x v="9"/>
    <x v="0"/>
    <x v="0"/>
  </r>
  <r>
    <x v="0"/>
    <x v="18"/>
    <x v="1"/>
    <x v="7"/>
    <n v="2631"/>
    <n v="1392"/>
    <n v="242"/>
    <n v="39"/>
    <n v="1658145.8"/>
    <n v="213"/>
    <n v="1342785.8"/>
    <n v="197"/>
    <n v="955"/>
    <n v="2474"/>
    <n v="2025"/>
    <x v="9"/>
    <x v="0"/>
    <x v="0"/>
  </r>
  <r>
    <x v="0"/>
    <x v="18"/>
    <x v="1"/>
    <x v="8"/>
    <n v="1763"/>
    <n v="1653"/>
    <n v="2"/>
    <n v="5"/>
    <n v="8365"/>
    <n v="1"/>
    <n v="0"/>
    <n v="0"/>
    <n v="3"/>
    <n v="98"/>
    <n v="2025"/>
    <x v="9"/>
    <x v="0"/>
    <x v="0"/>
  </r>
  <r>
    <x v="0"/>
    <x v="18"/>
    <x v="1"/>
    <x v="9"/>
    <n v="279"/>
    <n v="237"/>
    <n v="1"/>
    <n v="0"/>
    <n v="2795"/>
    <n v="1"/>
    <n v="0"/>
    <n v="0"/>
    <n v="1"/>
    <n v="56"/>
    <n v="2025"/>
    <x v="9"/>
    <x v="0"/>
    <x v="0"/>
  </r>
  <r>
    <x v="0"/>
    <x v="18"/>
    <x v="1"/>
    <x v="10"/>
    <n v="100"/>
    <n v="62"/>
    <n v="1"/>
    <n v="1"/>
    <n v="66050"/>
    <n v="1"/>
    <n v="22000"/>
    <n v="1"/>
    <n v="22"/>
    <n v="69"/>
    <n v="2025"/>
    <x v="9"/>
    <x v="0"/>
    <x v="0"/>
  </r>
  <r>
    <x v="0"/>
    <x v="18"/>
    <x v="1"/>
    <x v="11"/>
    <n v="75"/>
    <n v="71"/>
    <n v="0"/>
    <n v="0"/>
    <n v="0"/>
    <n v="0"/>
    <n v="0"/>
    <n v="0"/>
    <n v="59"/>
    <n v="16"/>
    <n v="2025"/>
    <x v="9"/>
    <x v="0"/>
    <x v="0"/>
  </r>
  <r>
    <x v="0"/>
    <x v="18"/>
    <x v="1"/>
    <x v="48"/>
    <n v="554"/>
    <n v="553"/>
    <n v="0"/>
    <n v="0"/>
    <n v="0"/>
    <n v="0"/>
    <n v="0"/>
    <n v="0"/>
    <n v="554"/>
    <n v="3"/>
    <n v="2025"/>
    <x v="9"/>
    <x v="0"/>
    <x v="0"/>
  </r>
  <r>
    <x v="0"/>
    <x v="18"/>
    <x v="1"/>
    <x v="59"/>
    <n v="31692"/>
    <n v="29800"/>
    <n v="114"/>
    <n v="59"/>
    <n v="367090"/>
    <n v="49"/>
    <n v="297755"/>
    <n v="45"/>
    <n v="1179"/>
    <n v="10149"/>
    <n v="2025"/>
    <x v="9"/>
    <x v="0"/>
    <x v="0"/>
  </r>
  <r>
    <x v="0"/>
    <x v="18"/>
    <x v="1"/>
    <x v="15"/>
    <n v="545"/>
    <n v="525"/>
    <n v="2"/>
    <n v="4"/>
    <n v="0"/>
    <n v="0"/>
    <n v="0"/>
    <n v="0"/>
    <n v="7"/>
    <n v="545"/>
    <n v="2025"/>
    <x v="9"/>
    <x v="0"/>
    <x v="0"/>
  </r>
  <r>
    <x v="0"/>
    <x v="18"/>
    <x v="1"/>
    <x v="17"/>
    <n v="90"/>
    <n v="82"/>
    <n v="1"/>
    <n v="1"/>
    <n v="79695"/>
    <n v="2"/>
    <n v="23055"/>
    <n v="2"/>
    <n v="8"/>
    <n v="82"/>
    <n v="2025"/>
    <x v="9"/>
    <x v="0"/>
    <x v="0"/>
  </r>
  <r>
    <x v="0"/>
    <x v="18"/>
    <x v="1"/>
    <x v="18"/>
    <n v="110"/>
    <n v="100"/>
    <n v="6"/>
    <n v="2"/>
    <n v="26340"/>
    <n v="3"/>
    <n v="17990"/>
    <n v="3"/>
    <n v="21"/>
    <n v="97"/>
    <n v="2025"/>
    <x v="9"/>
    <x v="0"/>
    <x v="0"/>
  </r>
  <r>
    <x v="0"/>
    <x v="18"/>
    <x v="1"/>
    <x v="19"/>
    <n v="10377"/>
    <n v="7889"/>
    <n v="305"/>
    <n v="154"/>
    <n v="1097841.25"/>
    <n v="127"/>
    <n v="828621.25"/>
    <n v="116"/>
    <n v="5383"/>
    <n v="6474"/>
    <n v="2025"/>
    <x v="9"/>
    <x v="0"/>
    <x v="0"/>
  </r>
  <r>
    <x v="0"/>
    <x v="18"/>
    <x v="1"/>
    <x v="20"/>
    <n v="1420"/>
    <n v="796"/>
    <n v="22"/>
    <n v="16"/>
    <n v="31895"/>
    <n v="3"/>
    <n v="5200"/>
    <n v="1"/>
    <n v="131"/>
    <n v="1396"/>
    <n v="2025"/>
    <x v="9"/>
    <x v="0"/>
    <x v="0"/>
  </r>
  <r>
    <x v="0"/>
    <x v="18"/>
    <x v="1"/>
    <x v="21"/>
    <n v="73"/>
    <n v="52"/>
    <n v="6"/>
    <n v="1"/>
    <n v="28710"/>
    <n v="4"/>
    <n v="22720"/>
    <n v="4"/>
    <n v="21"/>
    <n v="73"/>
    <n v="2025"/>
    <x v="9"/>
    <x v="0"/>
    <x v="0"/>
  </r>
  <r>
    <x v="0"/>
    <x v="18"/>
    <x v="1"/>
    <x v="22"/>
    <n v="704"/>
    <n v="626"/>
    <n v="1"/>
    <n v="0"/>
    <n v="0"/>
    <n v="0"/>
    <n v="0"/>
    <n v="0"/>
    <n v="0"/>
    <n v="24"/>
    <n v="2025"/>
    <x v="9"/>
    <x v="0"/>
    <x v="0"/>
  </r>
  <r>
    <x v="0"/>
    <x v="18"/>
    <x v="1"/>
    <x v="24"/>
    <n v="320"/>
    <n v="254"/>
    <n v="9"/>
    <n v="0"/>
    <n v="35455"/>
    <n v="7"/>
    <n v="33060"/>
    <n v="6"/>
    <n v="82"/>
    <n v="282"/>
    <n v="2025"/>
    <x v="9"/>
    <x v="0"/>
    <x v="0"/>
  </r>
  <r>
    <x v="0"/>
    <x v="18"/>
    <x v="1"/>
    <x v="27"/>
    <n v="1794"/>
    <n v="1122"/>
    <n v="90"/>
    <n v="34"/>
    <n v="797175"/>
    <n v="79"/>
    <n v="603725"/>
    <n v="74"/>
    <n v="1274"/>
    <n v="1120"/>
    <n v="2025"/>
    <x v="9"/>
    <x v="0"/>
    <x v="0"/>
  </r>
  <r>
    <x v="0"/>
    <x v="18"/>
    <x v="1"/>
    <x v="29"/>
    <n v="18461"/>
    <n v="16480"/>
    <n v="514"/>
    <n v="170"/>
    <n v="545561.67000000004"/>
    <n v="84"/>
    <n v="377415"/>
    <n v="72"/>
    <n v="9538"/>
    <n v="12616"/>
    <n v="2025"/>
    <x v="9"/>
    <x v="0"/>
    <x v="0"/>
  </r>
  <r>
    <x v="0"/>
    <x v="18"/>
    <x v="1"/>
    <x v="30"/>
    <n v="27278"/>
    <n v="22363"/>
    <n v="294"/>
    <n v="170"/>
    <n v="435586.67"/>
    <n v="38"/>
    <n v="313970"/>
    <n v="34"/>
    <n v="1857"/>
    <n v="24250"/>
    <n v="2025"/>
    <x v="9"/>
    <x v="0"/>
    <x v="0"/>
  </r>
  <r>
    <x v="0"/>
    <x v="18"/>
    <x v="1"/>
    <x v="31"/>
    <n v="1469"/>
    <n v="1169"/>
    <n v="49"/>
    <n v="30"/>
    <n v="83865"/>
    <n v="9"/>
    <n v="25540"/>
    <n v="4"/>
    <n v="334"/>
    <n v="1368"/>
    <n v="2025"/>
    <x v="9"/>
    <x v="0"/>
    <x v="0"/>
  </r>
  <r>
    <x v="0"/>
    <x v="18"/>
    <x v="1"/>
    <x v="32"/>
    <n v="19"/>
    <n v="9"/>
    <n v="0"/>
    <n v="0"/>
    <n v="5990"/>
    <n v="1"/>
    <n v="5990"/>
    <n v="1"/>
    <n v="2"/>
    <n v="18"/>
    <n v="2025"/>
    <x v="9"/>
    <x v="0"/>
    <x v="0"/>
  </r>
  <r>
    <x v="0"/>
    <x v="18"/>
    <x v="1"/>
    <x v="33"/>
    <n v="6"/>
    <n v="4"/>
    <n v="1"/>
    <n v="0"/>
    <n v="0"/>
    <n v="0"/>
    <n v="0"/>
    <n v="0"/>
    <n v="1"/>
    <n v="3"/>
    <n v="2025"/>
    <x v="9"/>
    <x v="0"/>
    <x v="0"/>
  </r>
  <r>
    <x v="0"/>
    <x v="18"/>
    <x v="1"/>
    <x v="34"/>
    <n v="2446"/>
    <n v="1414"/>
    <n v="87"/>
    <n v="36"/>
    <n v="111855"/>
    <n v="17"/>
    <n v="90760"/>
    <n v="14"/>
    <n v="1118"/>
    <n v="1969"/>
    <n v="2025"/>
    <x v="9"/>
    <x v="0"/>
    <x v="0"/>
  </r>
  <r>
    <x v="0"/>
    <x v="18"/>
    <x v="1"/>
    <x v="35"/>
    <n v="14"/>
    <n v="3"/>
    <n v="0"/>
    <n v="0"/>
    <n v="0"/>
    <n v="0"/>
    <n v="0"/>
    <n v="0"/>
    <n v="0"/>
    <n v="10"/>
    <n v="2025"/>
    <x v="9"/>
    <x v="0"/>
    <x v="0"/>
  </r>
  <r>
    <x v="0"/>
    <x v="18"/>
    <x v="1"/>
    <x v="36"/>
    <n v="38"/>
    <n v="37"/>
    <n v="0"/>
    <n v="0"/>
    <n v="0"/>
    <n v="0"/>
    <n v="0"/>
    <n v="0"/>
    <n v="5"/>
    <n v="33"/>
    <n v="2025"/>
    <x v="9"/>
    <x v="0"/>
    <x v="0"/>
  </r>
  <r>
    <x v="0"/>
    <x v="18"/>
    <x v="1"/>
    <x v="38"/>
    <n v="2477"/>
    <n v="1333"/>
    <n v="99"/>
    <n v="82"/>
    <n v="666755"/>
    <n v="63"/>
    <n v="473800"/>
    <n v="57"/>
    <n v="632"/>
    <n v="2329"/>
    <n v="2025"/>
    <x v="9"/>
    <x v="0"/>
    <x v="0"/>
  </r>
  <r>
    <x v="0"/>
    <x v="18"/>
    <x v="1"/>
    <x v="60"/>
    <n v="7"/>
    <n v="7"/>
    <n v="0"/>
    <n v="0"/>
    <n v="0"/>
    <n v="0"/>
    <n v="0"/>
    <n v="0"/>
    <n v="0"/>
    <n v="7"/>
    <n v="2025"/>
    <x v="9"/>
    <x v="0"/>
    <x v="0"/>
  </r>
  <r>
    <x v="0"/>
    <x v="18"/>
    <x v="1"/>
    <x v="39"/>
    <n v="387"/>
    <n v="368"/>
    <n v="2"/>
    <n v="3"/>
    <n v="0"/>
    <n v="0"/>
    <n v="0"/>
    <n v="0"/>
    <n v="62"/>
    <n v="386"/>
    <n v="2025"/>
    <x v="9"/>
    <x v="0"/>
    <x v="0"/>
  </r>
  <r>
    <x v="0"/>
    <x v="18"/>
    <x v="1"/>
    <x v="41"/>
    <n v="20"/>
    <n v="11"/>
    <n v="1"/>
    <n v="0"/>
    <n v="0"/>
    <n v="0"/>
    <n v="0"/>
    <n v="0"/>
    <n v="3"/>
    <n v="19"/>
    <n v="2025"/>
    <x v="9"/>
    <x v="0"/>
    <x v="0"/>
  </r>
  <r>
    <x v="0"/>
    <x v="18"/>
    <x v="1"/>
    <x v="55"/>
    <n v="3"/>
    <n v="2"/>
    <n v="0"/>
    <n v="0"/>
    <n v="0"/>
    <n v="0"/>
    <n v="0"/>
    <n v="0"/>
    <n v="0"/>
    <n v="3"/>
    <n v="2025"/>
    <x v="9"/>
    <x v="0"/>
    <x v="0"/>
  </r>
  <r>
    <x v="0"/>
    <x v="18"/>
    <x v="1"/>
    <x v="64"/>
    <n v="5663"/>
    <n v="5107"/>
    <n v="155"/>
    <n v="29"/>
    <n v="428275"/>
    <n v="33"/>
    <n v="305155"/>
    <n v="32"/>
    <n v="1146"/>
    <n v="5538"/>
    <n v="2025"/>
    <x v="9"/>
    <x v="0"/>
    <x v="0"/>
  </r>
  <r>
    <x v="0"/>
    <x v="18"/>
    <x v="1"/>
    <x v="42"/>
    <n v="1"/>
    <n v="0"/>
    <n v="0"/>
    <n v="0"/>
    <n v="0"/>
    <n v="0"/>
    <n v="0"/>
    <n v="0"/>
    <n v="0"/>
    <n v="0"/>
    <n v="2025"/>
    <x v="9"/>
    <x v="0"/>
    <x v="0"/>
  </r>
  <r>
    <x v="0"/>
    <x v="18"/>
    <x v="1"/>
    <x v="43"/>
    <n v="1781"/>
    <n v="1342"/>
    <n v="40"/>
    <n v="18"/>
    <n v="49135"/>
    <n v="4"/>
    <n v="40890"/>
    <n v="2"/>
    <n v="1499"/>
    <n v="993"/>
    <n v="2025"/>
    <x v="9"/>
    <x v="0"/>
    <x v="0"/>
  </r>
  <r>
    <x v="0"/>
    <x v="18"/>
    <x v="1"/>
    <x v="44"/>
    <n v="321"/>
    <n v="106"/>
    <n v="4"/>
    <n v="0"/>
    <n v="94780"/>
    <n v="13"/>
    <n v="87330"/>
    <n v="12"/>
    <n v="1"/>
    <n v="321"/>
    <n v="2025"/>
    <x v="9"/>
    <x v="0"/>
    <x v="0"/>
  </r>
  <r>
    <x v="0"/>
    <x v="19"/>
    <x v="0"/>
    <x v="0"/>
    <n v="3731"/>
    <n v="2178"/>
    <n v="9"/>
    <n v="12"/>
    <n v="133108"/>
    <n v="16"/>
    <n v="80396.5"/>
    <n v="13"/>
    <m/>
    <n v="3491"/>
    <n v="2024"/>
    <x v="9"/>
    <x v="1"/>
    <x v="0"/>
  </r>
  <r>
    <x v="0"/>
    <x v="19"/>
    <x v="0"/>
    <x v="1"/>
    <n v="131827"/>
    <n v="121924"/>
    <n v="1639"/>
    <n v="1099"/>
    <n v="1637289"/>
    <n v="209"/>
    <n v="1095142.5"/>
    <n v="166"/>
    <m/>
    <n v="131255"/>
    <n v="2024"/>
    <x v="9"/>
    <x v="1"/>
    <x v="0"/>
  </r>
  <r>
    <x v="0"/>
    <x v="19"/>
    <x v="0"/>
    <x v="2"/>
    <n v="17843"/>
    <n v="16456"/>
    <n v="372"/>
    <n v="132"/>
    <n v="366872.5"/>
    <n v="52"/>
    <n v="254952.5"/>
    <n v="47"/>
    <m/>
    <n v="8789"/>
    <n v="2024"/>
    <x v="9"/>
    <x v="1"/>
    <x v="0"/>
  </r>
  <r>
    <x v="0"/>
    <x v="19"/>
    <x v="0"/>
    <x v="3"/>
    <n v="18"/>
    <n v="10"/>
    <n v="0"/>
    <n v="0"/>
    <n v="0"/>
    <n v="0"/>
    <n v="0"/>
    <n v="0"/>
    <m/>
    <n v="1"/>
    <n v="2024"/>
    <x v="9"/>
    <x v="1"/>
    <x v="0"/>
  </r>
  <r>
    <x v="0"/>
    <x v="19"/>
    <x v="1"/>
    <x v="5"/>
    <n v="159"/>
    <n v="124"/>
    <n v="1"/>
    <n v="0"/>
    <n v="0"/>
    <n v="0"/>
    <n v="0"/>
    <n v="0"/>
    <m/>
    <n v="159"/>
    <n v="2024"/>
    <x v="9"/>
    <x v="1"/>
    <x v="0"/>
  </r>
  <r>
    <x v="0"/>
    <x v="19"/>
    <x v="1"/>
    <x v="6"/>
    <n v="46"/>
    <n v="33"/>
    <n v="2"/>
    <n v="1"/>
    <n v="0"/>
    <n v="0"/>
    <n v="0"/>
    <n v="0"/>
    <m/>
    <n v="25"/>
    <n v="2024"/>
    <x v="9"/>
    <x v="1"/>
    <x v="0"/>
  </r>
  <r>
    <x v="0"/>
    <x v="19"/>
    <x v="1"/>
    <x v="7"/>
    <n v="3284"/>
    <n v="1872"/>
    <n v="272"/>
    <n v="35"/>
    <n v="1736375.48"/>
    <n v="221"/>
    <n v="1482387.48"/>
    <n v="214"/>
    <m/>
    <n v="3156"/>
    <n v="2024"/>
    <x v="9"/>
    <x v="1"/>
    <x v="0"/>
  </r>
  <r>
    <x v="0"/>
    <x v="19"/>
    <x v="1"/>
    <x v="8"/>
    <n v="150"/>
    <n v="72"/>
    <n v="0"/>
    <n v="1"/>
    <n v="0"/>
    <n v="0"/>
    <n v="0"/>
    <n v="0"/>
    <m/>
    <n v="150"/>
    <n v="2024"/>
    <x v="9"/>
    <x v="1"/>
    <x v="0"/>
  </r>
  <r>
    <x v="0"/>
    <x v="19"/>
    <x v="1"/>
    <x v="47"/>
    <n v="28"/>
    <n v="16"/>
    <n v="1"/>
    <n v="0"/>
    <n v="0"/>
    <n v="0"/>
    <n v="0"/>
    <n v="0"/>
    <m/>
    <n v="28"/>
    <n v="2024"/>
    <x v="9"/>
    <x v="1"/>
    <x v="0"/>
  </r>
  <r>
    <x v="0"/>
    <x v="19"/>
    <x v="1"/>
    <x v="10"/>
    <n v="214"/>
    <n v="142"/>
    <n v="8"/>
    <n v="3"/>
    <n v="4495"/>
    <n v="1"/>
    <n v="4495"/>
    <n v="1"/>
    <m/>
    <n v="182"/>
    <n v="2024"/>
    <x v="9"/>
    <x v="1"/>
    <x v="0"/>
  </r>
  <r>
    <x v="0"/>
    <x v="19"/>
    <x v="1"/>
    <x v="11"/>
    <n v="326"/>
    <n v="174"/>
    <n v="0"/>
    <n v="2"/>
    <n v="0"/>
    <n v="0"/>
    <n v="0"/>
    <n v="0"/>
    <m/>
    <n v="287"/>
    <n v="2024"/>
    <x v="9"/>
    <x v="1"/>
    <x v="0"/>
  </r>
  <r>
    <x v="0"/>
    <x v="19"/>
    <x v="1"/>
    <x v="48"/>
    <n v="1"/>
    <n v="1"/>
    <n v="0"/>
    <n v="0"/>
    <n v="0"/>
    <n v="0"/>
    <n v="0"/>
    <n v="0"/>
    <m/>
    <n v="1"/>
    <n v="2024"/>
    <x v="9"/>
    <x v="1"/>
    <x v="0"/>
  </r>
  <r>
    <x v="0"/>
    <x v="19"/>
    <x v="1"/>
    <x v="59"/>
    <n v="3808"/>
    <n v="2893"/>
    <n v="47"/>
    <n v="43"/>
    <n v="107421.5"/>
    <n v="15"/>
    <n v="70546.5"/>
    <n v="13"/>
    <m/>
    <n v="3320"/>
    <n v="2024"/>
    <x v="9"/>
    <x v="1"/>
    <x v="0"/>
  </r>
  <r>
    <x v="0"/>
    <x v="19"/>
    <x v="1"/>
    <x v="15"/>
    <n v="154"/>
    <n v="146"/>
    <n v="1"/>
    <n v="0"/>
    <n v="0"/>
    <n v="0"/>
    <n v="0"/>
    <n v="0"/>
    <m/>
    <n v="151"/>
    <n v="2024"/>
    <x v="9"/>
    <x v="1"/>
    <x v="0"/>
  </r>
  <r>
    <x v="0"/>
    <x v="19"/>
    <x v="1"/>
    <x v="16"/>
    <n v="200"/>
    <n v="70"/>
    <n v="1"/>
    <n v="3"/>
    <n v="4495"/>
    <n v="1"/>
    <n v="4495"/>
    <n v="1"/>
    <m/>
    <n v="200"/>
    <n v="2024"/>
    <x v="9"/>
    <x v="1"/>
    <x v="0"/>
  </r>
  <r>
    <x v="0"/>
    <x v="19"/>
    <x v="1"/>
    <x v="17"/>
    <n v="110"/>
    <n v="104"/>
    <n v="1"/>
    <n v="0"/>
    <n v="0"/>
    <n v="0"/>
    <n v="0"/>
    <n v="0"/>
    <m/>
    <n v="95"/>
    <n v="2024"/>
    <x v="9"/>
    <x v="1"/>
    <x v="0"/>
  </r>
  <r>
    <x v="0"/>
    <x v="19"/>
    <x v="1"/>
    <x v="18"/>
    <n v="103"/>
    <n v="89"/>
    <n v="9"/>
    <n v="1"/>
    <n v="120543"/>
    <n v="11"/>
    <n v="91348"/>
    <n v="10"/>
    <m/>
    <n v="99"/>
    <n v="2024"/>
    <x v="9"/>
    <x v="1"/>
    <x v="0"/>
  </r>
  <r>
    <x v="0"/>
    <x v="19"/>
    <x v="1"/>
    <x v="19"/>
    <n v="7700"/>
    <n v="5303"/>
    <n v="206"/>
    <n v="80"/>
    <n v="565715.56999999995"/>
    <n v="79"/>
    <n v="388275.57"/>
    <n v="70"/>
    <m/>
    <n v="5220"/>
    <n v="2024"/>
    <x v="9"/>
    <x v="1"/>
    <x v="0"/>
  </r>
  <r>
    <x v="0"/>
    <x v="19"/>
    <x v="1"/>
    <x v="53"/>
    <n v="87"/>
    <n v="74"/>
    <n v="0"/>
    <n v="1"/>
    <n v="0"/>
    <n v="0"/>
    <n v="0"/>
    <n v="0"/>
    <m/>
    <n v="46"/>
    <n v="2024"/>
    <x v="9"/>
    <x v="1"/>
    <x v="0"/>
  </r>
  <r>
    <x v="0"/>
    <x v="19"/>
    <x v="1"/>
    <x v="20"/>
    <n v="3559"/>
    <n v="2336"/>
    <n v="77"/>
    <n v="43"/>
    <n v="29365"/>
    <n v="3"/>
    <n v="17115"/>
    <n v="2"/>
    <m/>
    <n v="3546"/>
    <n v="2024"/>
    <x v="9"/>
    <x v="1"/>
    <x v="0"/>
  </r>
  <r>
    <x v="0"/>
    <x v="19"/>
    <x v="1"/>
    <x v="21"/>
    <n v="52"/>
    <n v="21"/>
    <n v="3"/>
    <n v="3"/>
    <n v="13595"/>
    <n v="3"/>
    <n v="13595"/>
    <n v="3"/>
    <m/>
    <n v="52"/>
    <n v="2024"/>
    <x v="9"/>
    <x v="1"/>
    <x v="0"/>
  </r>
  <r>
    <x v="0"/>
    <x v="19"/>
    <x v="1"/>
    <x v="22"/>
    <n v="5"/>
    <n v="0"/>
    <n v="1"/>
    <n v="0"/>
    <n v="5425"/>
    <n v="1"/>
    <n v="0"/>
    <n v="0"/>
    <m/>
    <n v="5"/>
    <n v="2024"/>
    <x v="9"/>
    <x v="1"/>
    <x v="0"/>
  </r>
  <r>
    <x v="0"/>
    <x v="19"/>
    <x v="1"/>
    <x v="24"/>
    <n v="242"/>
    <n v="172"/>
    <n v="11"/>
    <n v="2"/>
    <n v="34405"/>
    <n v="5"/>
    <n v="34405"/>
    <n v="5"/>
    <m/>
    <n v="176"/>
    <n v="2024"/>
    <x v="9"/>
    <x v="1"/>
    <x v="0"/>
  </r>
  <r>
    <x v="0"/>
    <x v="19"/>
    <x v="1"/>
    <x v="25"/>
    <n v="147"/>
    <n v="118"/>
    <n v="1"/>
    <n v="0"/>
    <n v="0"/>
    <n v="0"/>
    <n v="0"/>
    <n v="0"/>
    <m/>
    <n v="146"/>
    <n v="2024"/>
    <x v="9"/>
    <x v="1"/>
    <x v="0"/>
  </r>
  <r>
    <x v="0"/>
    <x v="19"/>
    <x v="1"/>
    <x v="27"/>
    <n v="851"/>
    <n v="457"/>
    <n v="84"/>
    <n v="27"/>
    <n v="683046.7"/>
    <n v="92"/>
    <n v="630201.69999999995"/>
    <n v="88"/>
    <m/>
    <n v="768"/>
    <n v="2024"/>
    <x v="9"/>
    <x v="1"/>
    <x v="0"/>
  </r>
  <r>
    <x v="0"/>
    <x v="19"/>
    <x v="1"/>
    <x v="29"/>
    <n v="12107"/>
    <n v="10522"/>
    <n v="365"/>
    <n v="135"/>
    <n v="313468.65999999997"/>
    <n v="56"/>
    <n v="247053.66"/>
    <n v="49"/>
    <m/>
    <n v="10122"/>
    <n v="2024"/>
    <x v="9"/>
    <x v="1"/>
    <x v="0"/>
  </r>
  <r>
    <x v="0"/>
    <x v="19"/>
    <x v="1"/>
    <x v="30"/>
    <n v="57980"/>
    <n v="52192"/>
    <n v="382"/>
    <n v="295"/>
    <n v="370190.07"/>
    <n v="30"/>
    <n v="213818.57"/>
    <n v="23"/>
    <m/>
    <n v="57421"/>
    <n v="2024"/>
    <x v="9"/>
    <x v="1"/>
    <x v="0"/>
  </r>
  <r>
    <x v="0"/>
    <x v="19"/>
    <x v="1"/>
    <x v="31"/>
    <n v="2009"/>
    <n v="1583"/>
    <n v="64"/>
    <n v="39"/>
    <n v="108215"/>
    <n v="19"/>
    <n v="87915"/>
    <n v="16"/>
    <m/>
    <n v="1953"/>
    <n v="2024"/>
    <x v="9"/>
    <x v="1"/>
    <x v="0"/>
  </r>
  <r>
    <x v="0"/>
    <x v="19"/>
    <x v="1"/>
    <x v="32"/>
    <n v="5"/>
    <n v="2"/>
    <n v="0"/>
    <n v="0"/>
    <n v="0"/>
    <n v="0"/>
    <n v="0"/>
    <n v="0"/>
    <m/>
    <n v="0"/>
    <n v="2024"/>
    <x v="9"/>
    <x v="1"/>
    <x v="0"/>
  </r>
  <r>
    <x v="0"/>
    <x v="19"/>
    <x v="1"/>
    <x v="34"/>
    <n v="2207"/>
    <n v="1335"/>
    <n v="81"/>
    <n v="33"/>
    <n v="127713"/>
    <n v="17"/>
    <n v="72423"/>
    <n v="12"/>
    <m/>
    <n v="1786"/>
    <n v="2024"/>
    <x v="9"/>
    <x v="1"/>
    <x v="0"/>
  </r>
  <r>
    <x v="0"/>
    <x v="19"/>
    <x v="1"/>
    <x v="36"/>
    <n v="35"/>
    <n v="22"/>
    <n v="0"/>
    <n v="0"/>
    <n v="0"/>
    <n v="0"/>
    <n v="0"/>
    <n v="0"/>
    <m/>
    <n v="16"/>
    <n v="2024"/>
    <x v="9"/>
    <x v="1"/>
    <x v="0"/>
  </r>
  <r>
    <x v="0"/>
    <x v="19"/>
    <x v="1"/>
    <x v="37"/>
    <n v="7238"/>
    <n v="6429"/>
    <n v="50"/>
    <n v="1"/>
    <n v="229433"/>
    <n v="22"/>
    <n v="137053"/>
    <n v="20"/>
    <m/>
    <n v="7064"/>
    <n v="2024"/>
    <x v="9"/>
    <x v="1"/>
    <x v="0"/>
  </r>
  <r>
    <x v="0"/>
    <x v="19"/>
    <x v="1"/>
    <x v="38"/>
    <n v="4256"/>
    <n v="2718"/>
    <n v="136"/>
    <n v="80"/>
    <n v="928668.7"/>
    <n v="94"/>
    <n v="680468.7"/>
    <n v="89"/>
    <m/>
    <n v="4072"/>
    <n v="2024"/>
    <x v="9"/>
    <x v="1"/>
    <x v="0"/>
  </r>
  <r>
    <x v="0"/>
    <x v="19"/>
    <x v="1"/>
    <x v="40"/>
    <n v="448"/>
    <n v="279"/>
    <n v="7"/>
    <n v="4"/>
    <n v="0"/>
    <n v="0"/>
    <n v="0"/>
    <n v="0"/>
    <m/>
    <n v="447"/>
    <n v="2024"/>
    <x v="9"/>
    <x v="1"/>
    <x v="0"/>
  </r>
  <r>
    <x v="0"/>
    <x v="19"/>
    <x v="1"/>
    <x v="41"/>
    <n v="25"/>
    <n v="22"/>
    <n v="0"/>
    <n v="0"/>
    <n v="0"/>
    <n v="0"/>
    <n v="0"/>
    <n v="0"/>
    <m/>
    <n v="24"/>
    <n v="2024"/>
    <x v="9"/>
    <x v="1"/>
    <x v="0"/>
  </r>
  <r>
    <x v="0"/>
    <x v="19"/>
    <x v="1"/>
    <x v="42"/>
    <n v="2592"/>
    <n v="1554"/>
    <n v="43"/>
    <n v="38"/>
    <n v="20826.5"/>
    <n v="5"/>
    <n v="20826.5"/>
    <n v="5"/>
    <m/>
    <n v="2591"/>
    <n v="2024"/>
    <x v="9"/>
    <x v="1"/>
    <x v="0"/>
  </r>
  <r>
    <x v="0"/>
    <x v="19"/>
    <x v="1"/>
    <x v="43"/>
    <n v="2464"/>
    <n v="1917"/>
    <n v="65"/>
    <n v="31"/>
    <n v="85003"/>
    <n v="10"/>
    <n v="74858"/>
    <n v="8"/>
    <m/>
    <n v="1391"/>
    <n v="2024"/>
    <x v="9"/>
    <x v="1"/>
    <x v="0"/>
  </r>
  <r>
    <x v="0"/>
    <x v="19"/>
    <x v="1"/>
    <x v="44"/>
    <n v="88"/>
    <n v="41"/>
    <n v="3"/>
    <n v="1"/>
    <n v="94812.5"/>
    <n v="14"/>
    <n v="91417.5"/>
    <n v="14"/>
    <m/>
    <n v="87"/>
    <n v="2024"/>
    <x v="9"/>
    <x v="1"/>
    <x v="0"/>
  </r>
  <r>
    <x v="0"/>
    <x v="20"/>
    <x v="0"/>
    <x v="0"/>
    <n v="8010"/>
    <n v="4258"/>
    <n v="18"/>
    <n v="4"/>
    <n v="95550"/>
    <n v="10"/>
    <n v="82600"/>
    <n v="9"/>
    <n v="65"/>
    <n v="7988"/>
    <n v="2025"/>
    <x v="10"/>
    <x v="0"/>
    <x v="0"/>
  </r>
  <r>
    <x v="0"/>
    <x v="20"/>
    <x v="0"/>
    <x v="1"/>
    <n v="241681"/>
    <n v="234624"/>
    <n v="1890"/>
    <n v="1435"/>
    <n v="1831120"/>
    <n v="214"/>
    <n v="820045"/>
    <n v="125"/>
    <n v="26151"/>
    <n v="234531"/>
    <n v="2025"/>
    <x v="10"/>
    <x v="0"/>
    <x v="0"/>
  </r>
  <r>
    <x v="0"/>
    <x v="20"/>
    <x v="0"/>
    <x v="2"/>
    <n v="6"/>
    <n v="5"/>
    <n v="0"/>
    <n v="0"/>
    <n v="0"/>
    <n v="0"/>
    <n v="0"/>
    <n v="0"/>
    <n v="3"/>
    <n v="3"/>
    <n v="2025"/>
    <x v="10"/>
    <x v="0"/>
    <x v="0"/>
  </r>
  <r>
    <x v="0"/>
    <x v="20"/>
    <x v="0"/>
    <x v="3"/>
    <n v="4344"/>
    <n v="3639"/>
    <n v="15"/>
    <n v="3"/>
    <n v="0"/>
    <n v="0"/>
    <n v="0"/>
    <n v="0"/>
    <n v="104"/>
    <n v="929"/>
    <n v="2025"/>
    <x v="10"/>
    <x v="0"/>
    <x v="0"/>
  </r>
  <r>
    <x v="0"/>
    <x v="20"/>
    <x v="1"/>
    <x v="5"/>
    <n v="104"/>
    <n v="87"/>
    <n v="1"/>
    <n v="0"/>
    <n v="0"/>
    <n v="0"/>
    <n v="0"/>
    <n v="0"/>
    <n v="3"/>
    <n v="104"/>
    <n v="2025"/>
    <x v="10"/>
    <x v="0"/>
    <x v="0"/>
  </r>
  <r>
    <x v="0"/>
    <x v="20"/>
    <x v="1"/>
    <x v="6"/>
    <n v="854"/>
    <n v="836"/>
    <n v="0"/>
    <n v="0"/>
    <n v="0"/>
    <n v="0"/>
    <n v="0"/>
    <n v="0"/>
    <n v="3"/>
    <n v="4"/>
    <n v="2025"/>
    <x v="10"/>
    <x v="0"/>
    <x v="0"/>
  </r>
  <r>
    <x v="0"/>
    <x v="20"/>
    <x v="1"/>
    <x v="7"/>
    <n v="2108"/>
    <n v="1236"/>
    <n v="188"/>
    <n v="36"/>
    <n v="982300"/>
    <n v="121"/>
    <n v="761190"/>
    <n v="111"/>
    <n v="737"/>
    <n v="1981"/>
    <n v="2025"/>
    <x v="10"/>
    <x v="0"/>
    <x v="0"/>
  </r>
  <r>
    <x v="0"/>
    <x v="20"/>
    <x v="1"/>
    <x v="8"/>
    <n v="94"/>
    <n v="60"/>
    <n v="3"/>
    <n v="2"/>
    <n v="16500"/>
    <n v="1"/>
    <n v="0"/>
    <n v="0"/>
    <n v="1"/>
    <n v="73"/>
    <n v="2025"/>
    <x v="10"/>
    <x v="0"/>
    <x v="0"/>
  </r>
  <r>
    <x v="0"/>
    <x v="20"/>
    <x v="1"/>
    <x v="9"/>
    <n v="198"/>
    <n v="132"/>
    <n v="0"/>
    <n v="0"/>
    <n v="0"/>
    <n v="0"/>
    <n v="0"/>
    <n v="0"/>
    <n v="3"/>
    <n v="117"/>
    <n v="2025"/>
    <x v="10"/>
    <x v="0"/>
    <x v="0"/>
  </r>
  <r>
    <x v="0"/>
    <x v="20"/>
    <x v="1"/>
    <x v="10"/>
    <n v="63"/>
    <n v="40"/>
    <n v="1"/>
    <n v="0"/>
    <n v="0"/>
    <n v="0"/>
    <n v="0"/>
    <n v="0"/>
    <n v="8"/>
    <n v="52"/>
    <n v="2025"/>
    <x v="10"/>
    <x v="0"/>
    <x v="0"/>
  </r>
  <r>
    <x v="0"/>
    <x v="20"/>
    <x v="1"/>
    <x v="11"/>
    <n v="35"/>
    <n v="33"/>
    <n v="0"/>
    <n v="0"/>
    <n v="0"/>
    <n v="0"/>
    <n v="0"/>
    <n v="0"/>
    <n v="24"/>
    <n v="11"/>
    <n v="2025"/>
    <x v="10"/>
    <x v="0"/>
    <x v="0"/>
  </r>
  <r>
    <x v="0"/>
    <x v="20"/>
    <x v="1"/>
    <x v="61"/>
    <n v="153"/>
    <n v="130"/>
    <n v="2"/>
    <n v="0"/>
    <n v="0"/>
    <n v="0"/>
    <n v="0"/>
    <n v="0"/>
    <n v="0"/>
    <n v="153"/>
    <n v="2025"/>
    <x v="10"/>
    <x v="0"/>
    <x v="0"/>
  </r>
  <r>
    <x v="0"/>
    <x v="20"/>
    <x v="1"/>
    <x v="48"/>
    <n v="778"/>
    <n v="763"/>
    <n v="0"/>
    <n v="0"/>
    <n v="0"/>
    <n v="0"/>
    <n v="0"/>
    <n v="0"/>
    <n v="778"/>
    <n v="11"/>
    <n v="2025"/>
    <x v="10"/>
    <x v="0"/>
    <x v="0"/>
  </r>
  <r>
    <x v="0"/>
    <x v="20"/>
    <x v="1"/>
    <x v="59"/>
    <n v="24511"/>
    <n v="21922"/>
    <n v="77"/>
    <n v="43"/>
    <n v="226435"/>
    <n v="28"/>
    <n v="128960"/>
    <n v="18"/>
    <n v="948"/>
    <n v="15202"/>
    <n v="2025"/>
    <x v="10"/>
    <x v="0"/>
    <x v="0"/>
  </r>
  <r>
    <x v="0"/>
    <x v="20"/>
    <x v="1"/>
    <x v="15"/>
    <n v="734"/>
    <n v="708"/>
    <n v="4"/>
    <n v="3"/>
    <n v="4695"/>
    <n v="1"/>
    <n v="0"/>
    <n v="0"/>
    <n v="6"/>
    <n v="733"/>
    <n v="2025"/>
    <x v="10"/>
    <x v="0"/>
    <x v="0"/>
  </r>
  <r>
    <x v="0"/>
    <x v="20"/>
    <x v="1"/>
    <x v="17"/>
    <n v="72"/>
    <n v="66"/>
    <n v="0"/>
    <n v="0"/>
    <n v="0"/>
    <n v="0"/>
    <n v="0"/>
    <n v="0"/>
    <n v="9"/>
    <n v="63"/>
    <n v="2025"/>
    <x v="10"/>
    <x v="0"/>
    <x v="0"/>
  </r>
  <r>
    <x v="0"/>
    <x v="20"/>
    <x v="1"/>
    <x v="18"/>
    <n v="67"/>
    <n v="58"/>
    <n v="4"/>
    <n v="1"/>
    <n v="14170"/>
    <n v="2"/>
    <n v="14170"/>
    <n v="2"/>
    <n v="13"/>
    <n v="61"/>
    <n v="2025"/>
    <x v="10"/>
    <x v="0"/>
    <x v="0"/>
  </r>
  <r>
    <x v="0"/>
    <x v="20"/>
    <x v="1"/>
    <x v="19"/>
    <n v="8374"/>
    <n v="6673"/>
    <n v="215"/>
    <n v="84"/>
    <n v="481790"/>
    <n v="58"/>
    <n v="354525"/>
    <n v="52"/>
    <n v="4127"/>
    <n v="5144"/>
    <n v="2025"/>
    <x v="10"/>
    <x v="0"/>
    <x v="0"/>
  </r>
  <r>
    <x v="0"/>
    <x v="20"/>
    <x v="1"/>
    <x v="20"/>
    <n v="712"/>
    <n v="399"/>
    <n v="16"/>
    <n v="11"/>
    <n v="61837.15"/>
    <n v="6"/>
    <n v="17392.150000000001"/>
    <n v="3"/>
    <n v="68"/>
    <n v="705"/>
    <n v="2025"/>
    <x v="10"/>
    <x v="0"/>
    <x v="0"/>
  </r>
  <r>
    <x v="0"/>
    <x v="20"/>
    <x v="1"/>
    <x v="21"/>
    <n v="49"/>
    <n v="32"/>
    <n v="2"/>
    <n v="0"/>
    <n v="0"/>
    <n v="0"/>
    <n v="0"/>
    <n v="0"/>
    <n v="3"/>
    <n v="49"/>
    <n v="2025"/>
    <x v="10"/>
    <x v="0"/>
    <x v="0"/>
  </r>
  <r>
    <x v="0"/>
    <x v="20"/>
    <x v="1"/>
    <x v="50"/>
    <n v="1"/>
    <n v="1"/>
    <n v="0"/>
    <n v="0"/>
    <n v="0"/>
    <n v="0"/>
    <n v="0"/>
    <n v="0"/>
    <n v="0"/>
    <n v="1"/>
    <n v="2025"/>
    <x v="10"/>
    <x v="0"/>
    <x v="0"/>
  </r>
  <r>
    <x v="0"/>
    <x v="20"/>
    <x v="1"/>
    <x v="22"/>
    <n v="120"/>
    <n v="97"/>
    <n v="0"/>
    <n v="1"/>
    <n v="18500"/>
    <n v="1"/>
    <n v="9250"/>
    <n v="1"/>
    <n v="0"/>
    <n v="56"/>
    <n v="2025"/>
    <x v="10"/>
    <x v="0"/>
    <x v="0"/>
  </r>
  <r>
    <x v="0"/>
    <x v="20"/>
    <x v="1"/>
    <x v="24"/>
    <n v="233"/>
    <n v="182"/>
    <n v="5"/>
    <n v="1"/>
    <n v="30195"/>
    <n v="5"/>
    <n v="30195"/>
    <n v="5"/>
    <n v="56"/>
    <n v="203"/>
    <n v="2025"/>
    <x v="10"/>
    <x v="0"/>
    <x v="0"/>
  </r>
  <r>
    <x v="0"/>
    <x v="20"/>
    <x v="1"/>
    <x v="27"/>
    <n v="1573"/>
    <n v="1031"/>
    <n v="61"/>
    <n v="20"/>
    <n v="327485"/>
    <n v="37"/>
    <n v="217220"/>
    <n v="34"/>
    <n v="909"/>
    <n v="1164"/>
    <n v="2025"/>
    <x v="10"/>
    <x v="0"/>
    <x v="0"/>
  </r>
  <r>
    <x v="0"/>
    <x v="20"/>
    <x v="1"/>
    <x v="29"/>
    <n v="14468"/>
    <n v="12944"/>
    <n v="356"/>
    <n v="136"/>
    <n v="405920"/>
    <n v="60"/>
    <n v="295215"/>
    <n v="49"/>
    <n v="7744"/>
    <n v="9525"/>
    <n v="2025"/>
    <x v="10"/>
    <x v="0"/>
    <x v="0"/>
  </r>
  <r>
    <x v="0"/>
    <x v="20"/>
    <x v="1"/>
    <x v="30"/>
    <n v="13683"/>
    <n v="10974"/>
    <n v="166"/>
    <n v="92"/>
    <n v="255680"/>
    <n v="31"/>
    <n v="139220"/>
    <n v="22"/>
    <n v="1147"/>
    <n v="11167"/>
    <n v="2025"/>
    <x v="10"/>
    <x v="0"/>
    <x v="0"/>
  </r>
  <r>
    <x v="0"/>
    <x v="20"/>
    <x v="1"/>
    <x v="31"/>
    <n v="1565"/>
    <n v="1354"/>
    <n v="72"/>
    <n v="62"/>
    <n v="64035"/>
    <n v="6"/>
    <n v="44535"/>
    <n v="5"/>
    <n v="329"/>
    <n v="1469"/>
    <n v="2025"/>
    <x v="10"/>
    <x v="0"/>
    <x v="0"/>
  </r>
  <r>
    <x v="0"/>
    <x v="20"/>
    <x v="1"/>
    <x v="32"/>
    <n v="9"/>
    <n v="8"/>
    <n v="1"/>
    <n v="0"/>
    <n v="14985"/>
    <n v="1"/>
    <n v="14985"/>
    <n v="1"/>
    <n v="1"/>
    <n v="9"/>
    <n v="2025"/>
    <x v="10"/>
    <x v="0"/>
    <x v="0"/>
  </r>
  <r>
    <x v="0"/>
    <x v="20"/>
    <x v="1"/>
    <x v="33"/>
    <n v="1"/>
    <n v="1"/>
    <n v="0"/>
    <n v="0"/>
    <n v="0"/>
    <n v="0"/>
    <n v="0"/>
    <n v="0"/>
    <n v="0"/>
    <n v="1"/>
    <n v="2025"/>
    <x v="10"/>
    <x v="0"/>
    <x v="0"/>
  </r>
  <r>
    <x v="0"/>
    <x v="20"/>
    <x v="1"/>
    <x v="34"/>
    <n v="1918"/>
    <n v="1204"/>
    <n v="58"/>
    <n v="26"/>
    <n v="163640"/>
    <n v="13"/>
    <n v="59925"/>
    <n v="7"/>
    <n v="882"/>
    <n v="1532"/>
    <n v="2025"/>
    <x v="10"/>
    <x v="0"/>
    <x v="0"/>
  </r>
  <r>
    <x v="0"/>
    <x v="20"/>
    <x v="1"/>
    <x v="35"/>
    <n v="18"/>
    <n v="9"/>
    <n v="0"/>
    <n v="0"/>
    <n v="0"/>
    <n v="0"/>
    <n v="0"/>
    <n v="0"/>
    <n v="0"/>
    <n v="17"/>
    <n v="2025"/>
    <x v="10"/>
    <x v="0"/>
    <x v="0"/>
  </r>
  <r>
    <x v="0"/>
    <x v="20"/>
    <x v="1"/>
    <x v="36"/>
    <n v="50"/>
    <n v="50"/>
    <n v="1"/>
    <n v="0"/>
    <n v="0"/>
    <n v="0"/>
    <n v="0"/>
    <n v="0"/>
    <n v="8"/>
    <n v="42"/>
    <n v="2025"/>
    <x v="10"/>
    <x v="0"/>
    <x v="0"/>
  </r>
  <r>
    <x v="0"/>
    <x v="20"/>
    <x v="1"/>
    <x v="38"/>
    <n v="1979"/>
    <n v="1207"/>
    <n v="88"/>
    <n v="77"/>
    <n v="376610"/>
    <n v="48"/>
    <n v="276420"/>
    <n v="42"/>
    <n v="505"/>
    <n v="1878"/>
    <n v="2025"/>
    <x v="10"/>
    <x v="0"/>
    <x v="0"/>
  </r>
  <r>
    <x v="0"/>
    <x v="20"/>
    <x v="1"/>
    <x v="60"/>
    <n v="7"/>
    <n v="5"/>
    <n v="0"/>
    <n v="0"/>
    <n v="0"/>
    <n v="0"/>
    <n v="0"/>
    <n v="0"/>
    <n v="0"/>
    <n v="6"/>
    <n v="2025"/>
    <x v="10"/>
    <x v="0"/>
    <x v="0"/>
  </r>
  <r>
    <x v="0"/>
    <x v="20"/>
    <x v="1"/>
    <x v="39"/>
    <n v="159"/>
    <n v="144"/>
    <n v="0"/>
    <n v="2"/>
    <n v="18500"/>
    <n v="1"/>
    <n v="9250"/>
    <n v="1"/>
    <n v="34"/>
    <n v="159"/>
    <n v="2025"/>
    <x v="10"/>
    <x v="0"/>
    <x v="0"/>
  </r>
  <r>
    <x v="0"/>
    <x v="20"/>
    <x v="1"/>
    <x v="64"/>
    <n v="5471"/>
    <n v="4958"/>
    <n v="120"/>
    <n v="30"/>
    <n v="255850"/>
    <n v="23"/>
    <n v="195955"/>
    <n v="19"/>
    <n v="922"/>
    <n v="5358"/>
    <n v="2025"/>
    <x v="10"/>
    <x v="0"/>
    <x v="0"/>
  </r>
  <r>
    <x v="0"/>
    <x v="20"/>
    <x v="1"/>
    <x v="43"/>
    <n v="1553"/>
    <n v="1224"/>
    <n v="26"/>
    <n v="20"/>
    <n v="4175"/>
    <n v="1"/>
    <n v="4175"/>
    <n v="1"/>
    <n v="1304"/>
    <n v="840"/>
    <n v="2025"/>
    <x v="10"/>
    <x v="0"/>
    <x v="0"/>
  </r>
  <r>
    <x v="0"/>
    <x v="20"/>
    <x v="1"/>
    <x v="44"/>
    <n v="342"/>
    <n v="136"/>
    <n v="1"/>
    <n v="1"/>
    <n v="32540"/>
    <n v="9"/>
    <n v="32540"/>
    <n v="9"/>
    <n v="3"/>
    <n v="342"/>
    <n v="2025"/>
    <x v="10"/>
    <x v="0"/>
    <x v="0"/>
  </r>
  <r>
    <x v="0"/>
    <x v="20"/>
    <x v="1"/>
    <x v="45"/>
    <n v="6"/>
    <n v="4"/>
    <n v="0"/>
    <n v="0"/>
    <n v="0"/>
    <n v="0"/>
    <n v="0"/>
    <n v="0"/>
    <n v="0"/>
    <n v="6"/>
    <n v="2025"/>
    <x v="10"/>
    <x v="0"/>
    <x v="0"/>
  </r>
  <r>
    <x v="0"/>
    <x v="21"/>
    <x v="0"/>
    <x v="0"/>
    <n v="4766"/>
    <n v="2454"/>
    <n v="6"/>
    <n v="5"/>
    <n v="5450"/>
    <n v="1"/>
    <n v="5450"/>
    <n v="1"/>
    <m/>
    <n v="4563"/>
    <n v="2024"/>
    <x v="10"/>
    <x v="1"/>
    <x v="0"/>
  </r>
  <r>
    <x v="0"/>
    <x v="21"/>
    <x v="0"/>
    <x v="1"/>
    <n v="148816"/>
    <n v="143296"/>
    <n v="989"/>
    <n v="863"/>
    <n v="933225"/>
    <n v="100"/>
    <n v="367260"/>
    <n v="64"/>
    <m/>
    <n v="148323"/>
    <n v="2024"/>
    <x v="10"/>
    <x v="1"/>
    <x v="0"/>
  </r>
  <r>
    <x v="0"/>
    <x v="21"/>
    <x v="0"/>
    <x v="2"/>
    <n v="15698"/>
    <n v="14941"/>
    <n v="275"/>
    <n v="120"/>
    <n v="273605"/>
    <n v="42"/>
    <n v="200120"/>
    <n v="37"/>
    <m/>
    <n v="7726"/>
    <n v="2024"/>
    <x v="10"/>
    <x v="1"/>
    <x v="0"/>
  </r>
  <r>
    <x v="0"/>
    <x v="21"/>
    <x v="0"/>
    <x v="3"/>
    <n v="24"/>
    <n v="11"/>
    <n v="0"/>
    <n v="0"/>
    <n v="0"/>
    <n v="0"/>
    <n v="0"/>
    <n v="0"/>
    <m/>
    <n v="5"/>
    <n v="2024"/>
    <x v="10"/>
    <x v="1"/>
    <x v="0"/>
  </r>
  <r>
    <x v="0"/>
    <x v="21"/>
    <x v="1"/>
    <x v="4"/>
    <n v="1"/>
    <n v="1"/>
    <n v="0"/>
    <n v="0"/>
    <n v="0"/>
    <n v="0"/>
    <n v="0"/>
    <n v="0"/>
    <m/>
    <n v="0"/>
    <n v="2024"/>
    <x v="10"/>
    <x v="1"/>
    <x v="0"/>
  </r>
  <r>
    <x v="0"/>
    <x v="21"/>
    <x v="1"/>
    <x v="5"/>
    <n v="101"/>
    <n v="85"/>
    <n v="0"/>
    <n v="1"/>
    <n v="0"/>
    <n v="0"/>
    <n v="0"/>
    <n v="0"/>
    <m/>
    <n v="101"/>
    <n v="2024"/>
    <x v="10"/>
    <x v="1"/>
    <x v="0"/>
  </r>
  <r>
    <x v="0"/>
    <x v="21"/>
    <x v="1"/>
    <x v="6"/>
    <n v="41"/>
    <n v="33"/>
    <n v="0"/>
    <n v="1"/>
    <n v="0"/>
    <n v="0"/>
    <n v="0"/>
    <n v="0"/>
    <m/>
    <n v="31"/>
    <n v="2024"/>
    <x v="10"/>
    <x v="1"/>
    <x v="0"/>
  </r>
  <r>
    <x v="0"/>
    <x v="21"/>
    <x v="1"/>
    <x v="7"/>
    <n v="2200"/>
    <n v="1391"/>
    <n v="139"/>
    <n v="37"/>
    <n v="717215"/>
    <n v="101"/>
    <n v="598015"/>
    <n v="94"/>
    <m/>
    <n v="2099"/>
    <n v="2024"/>
    <x v="10"/>
    <x v="1"/>
    <x v="0"/>
  </r>
  <r>
    <x v="0"/>
    <x v="21"/>
    <x v="1"/>
    <x v="8"/>
    <n v="93"/>
    <n v="49"/>
    <n v="0"/>
    <n v="0"/>
    <n v="0"/>
    <n v="0"/>
    <n v="0"/>
    <n v="0"/>
    <m/>
    <n v="93"/>
    <n v="2024"/>
    <x v="10"/>
    <x v="1"/>
    <x v="0"/>
  </r>
  <r>
    <x v="0"/>
    <x v="21"/>
    <x v="1"/>
    <x v="47"/>
    <n v="16"/>
    <n v="9"/>
    <n v="1"/>
    <n v="0"/>
    <n v="0"/>
    <n v="0"/>
    <n v="0"/>
    <n v="0"/>
    <m/>
    <n v="16"/>
    <n v="2024"/>
    <x v="10"/>
    <x v="1"/>
    <x v="0"/>
  </r>
  <r>
    <x v="0"/>
    <x v="21"/>
    <x v="1"/>
    <x v="10"/>
    <n v="89"/>
    <n v="63"/>
    <n v="3"/>
    <n v="4"/>
    <n v="13335"/>
    <n v="2"/>
    <n v="4445"/>
    <n v="1"/>
    <m/>
    <n v="81"/>
    <n v="2024"/>
    <x v="10"/>
    <x v="1"/>
    <x v="0"/>
  </r>
  <r>
    <x v="0"/>
    <x v="21"/>
    <x v="1"/>
    <x v="11"/>
    <n v="504"/>
    <n v="319"/>
    <n v="0"/>
    <n v="1"/>
    <n v="0"/>
    <n v="0"/>
    <n v="0"/>
    <n v="0"/>
    <m/>
    <n v="456"/>
    <n v="2024"/>
    <x v="10"/>
    <x v="1"/>
    <x v="0"/>
  </r>
  <r>
    <x v="0"/>
    <x v="21"/>
    <x v="1"/>
    <x v="59"/>
    <n v="3573"/>
    <n v="2812"/>
    <n v="31"/>
    <n v="54"/>
    <n v="75310"/>
    <n v="12"/>
    <n v="56175"/>
    <n v="11"/>
    <m/>
    <n v="3217"/>
    <n v="2024"/>
    <x v="10"/>
    <x v="1"/>
    <x v="0"/>
  </r>
  <r>
    <x v="0"/>
    <x v="21"/>
    <x v="1"/>
    <x v="15"/>
    <n v="276"/>
    <n v="257"/>
    <n v="0"/>
    <n v="1"/>
    <n v="0"/>
    <n v="0"/>
    <n v="0"/>
    <n v="0"/>
    <m/>
    <n v="268"/>
    <n v="2024"/>
    <x v="10"/>
    <x v="1"/>
    <x v="0"/>
  </r>
  <r>
    <x v="0"/>
    <x v="21"/>
    <x v="1"/>
    <x v="16"/>
    <n v="75"/>
    <n v="35"/>
    <n v="2"/>
    <n v="1"/>
    <n v="0"/>
    <n v="0"/>
    <n v="0"/>
    <n v="0"/>
    <m/>
    <n v="75"/>
    <n v="2024"/>
    <x v="10"/>
    <x v="1"/>
    <x v="0"/>
  </r>
  <r>
    <x v="0"/>
    <x v="21"/>
    <x v="1"/>
    <x v="17"/>
    <n v="29"/>
    <n v="29"/>
    <n v="0"/>
    <n v="0"/>
    <n v="0"/>
    <n v="0"/>
    <n v="0"/>
    <n v="0"/>
    <m/>
    <n v="16"/>
    <n v="2024"/>
    <x v="10"/>
    <x v="1"/>
    <x v="0"/>
  </r>
  <r>
    <x v="0"/>
    <x v="21"/>
    <x v="1"/>
    <x v="18"/>
    <n v="55"/>
    <n v="51"/>
    <n v="0"/>
    <n v="0"/>
    <n v="3345"/>
    <n v="1"/>
    <n v="3345"/>
    <n v="1"/>
    <m/>
    <n v="54"/>
    <n v="2024"/>
    <x v="10"/>
    <x v="1"/>
    <x v="0"/>
  </r>
  <r>
    <x v="0"/>
    <x v="21"/>
    <x v="1"/>
    <x v="19"/>
    <n v="6135"/>
    <n v="4608"/>
    <n v="115"/>
    <n v="55"/>
    <n v="353052"/>
    <n v="45"/>
    <n v="190416"/>
    <n v="37"/>
    <m/>
    <n v="3905"/>
    <n v="2024"/>
    <x v="10"/>
    <x v="1"/>
    <x v="0"/>
  </r>
  <r>
    <x v="0"/>
    <x v="21"/>
    <x v="1"/>
    <x v="53"/>
    <n v="4"/>
    <n v="4"/>
    <n v="0"/>
    <n v="0"/>
    <n v="0"/>
    <n v="0"/>
    <n v="0"/>
    <n v="0"/>
    <m/>
    <n v="2"/>
    <n v="2024"/>
    <x v="10"/>
    <x v="1"/>
    <x v="0"/>
  </r>
  <r>
    <x v="0"/>
    <x v="21"/>
    <x v="1"/>
    <x v="20"/>
    <n v="3662"/>
    <n v="2720"/>
    <n v="57"/>
    <n v="50"/>
    <n v="41612.370000000003"/>
    <n v="10"/>
    <n v="25336.37"/>
    <n v="7"/>
    <m/>
    <n v="3643"/>
    <n v="2024"/>
    <x v="10"/>
    <x v="1"/>
    <x v="0"/>
  </r>
  <r>
    <x v="0"/>
    <x v="21"/>
    <x v="1"/>
    <x v="21"/>
    <n v="33"/>
    <n v="24"/>
    <n v="1"/>
    <n v="0"/>
    <n v="0"/>
    <n v="0"/>
    <n v="0"/>
    <n v="0"/>
    <m/>
    <n v="33"/>
    <n v="2024"/>
    <x v="10"/>
    <x v="1"/>
    <x v="0"/>
  </r>
  <r>
    <x v="0"/>
    <x v="21"/>
    <x v="1"/>
    <x v="22"/>
    <n v="3"/>
    <n v="1"/>
    <n v="0"/>
    <n v="0"/>
    <n v="0"/>
    <n v="0"/>
    <n v="0"/>
    <n v="0"/>
    <m/>
    <n v="3"/>
    <n v="2024"/>
    <x v="10"/>
    <x v="1"/>
    <x v="0"/>
  </r>
  <r>
    <x v="0"/>
    <x v="21"/>
    <x v="1"/>
    <x v="24"/>
    <n v="115"/>
    <n v="80"/>
    <n v="2"/>
    <n v="1"/>
    <n v="5450"/>
    <n v="1"/>
    <n v="5450"/>
    <n v="1"/>
    <m/>
    <n v="83"/>
    <n v="2024"/>
    <x v="10"/>
    <x v="1"/>
    <x v="0"/>
  </r>
  <r>
    <x v="0"/>
    <x v="21"/>
    <x v="1"/>
    <x v="25"/>
    <n v="48"/>
    <n v="36"/>
    <n v="1"/>
    <n v="0"/>
    <n v="0"/>
    <n v="0"/>
    <n v="0"/>
    <n v="0"/>
    <m/>
    <n v="48"/>
    <n v="2024"/>
    <x v="10"/>
    <x v="1"/>
    <x v="0"/>
  </r>
  <r>
    <x v="0"/>
    <x v="21"/>
    <x v="1"/>
    <x v="27"/>
    <n v="714"/>
    <n v="448"/>
    <n v="34"/>
    <n v="18"/>
    <n v="291820"/>
    <n v="40"/>
    <n v="228395"/>
    <n v="37"/>
    <m/>
    <n v="630"/>
    <n v="2024"/>
    <x v="10"/>
    <x v="1"/>
    <x v="0"/>
  </r>
  <r>
    <x v="0"/>
    <x v="21"/>
    <x v="1"/>
    <x v="29"/>
    <n v="8633"/>
    <n v="7670"/>
    <n v="253"/>
    <n v="132"/>
    <n v="221270"/>
    <n v="40"/>
    <n v="135640"/>
    <n v="34"/>
    <m/>
    <n v="7224"/>
    <n v="2024"/>
    <x v="10"/>
    <x v="1"/>
    <x v="0"/>
  </r>
  <r>
    <x v="0"/>
    <x v="21"/>
    <x v="1"/>
    <x v="30"/>
    <n v="9276"/>
    <n v="7263"/>
    <n v="81"/>
    <n v="74"/>
    <n v="67070"/>
    <n v="8"/>
    <n v="33775"/>
    <n v="6"/>
    <m/>
    <n v="8898"/>
    <n v="2024"/>
    <x v="10"/>
    <x v="1"/>
    <x v="0"/>
  </r>
  <r>
    <x v="0"/>
    <x v="21"/>
    <x v="1"/>
    <x v="31"/>
    <n v="1019"/>
    <n v="830"/>
    <n v="28"/>
    <n v="22"/>
    <n v="67210"/>
    <n v="7"/>
    <n v="14365"/>
    <n v="4"/>
    <m/>
    <n v="980"/>
    <n v="2024"/>
    <x v="10"/>
    <x v="1"/>
    <x v="0"/>
  </r>
  <r>
    <x v="0"/>
    <x v="21"/>
    <x v="1"/>
    <x v="32"/>
    <n v="3"/>
    <n v="2"/>
    <n v="0"/>
    <n v="0"/>
    <n v="0"/>
    <n v="0"/>
    <n v="0"/>
    <n v="0"/>
    <m/>
    <n v="3"/>
    <n v="2024"/>
    <x v="10"/>
    <x v="1"/>
    <x v="0"/>
  </r>
  <r>
    <x v="0"/>
    <x v="21"/>
    <x v="1"/>
    <x v="34"/>
    <n v="959"/>
    <n v="630"/>
    <n v="22"/>
    <n v="13"/>
    <n v="47635"/>
    <n v="4"/>
    <n v="17135"/>
    <n v="3"/>
    <m/>
    <n v="702"/>
    <n v="2024"/>
    <x v="10"/>
    <x v="1"/>
    <x v="0"/>
  </r>
  <r>
    <x v="0"/>
    <x v="21"/>
    <x v="1"/>
    <x v="35"/>
    <n v="1"/>
    <n v="0"/>
    <n v="0"/>
    <n v="0"/>
    <n v="0"/>
    <n v="0"/>
    <n v="0"/>
    <n v="0"/>
    <m/>
    <n v="1"/>
    <n v="2024"/>
    <x v="10"/>
    <x v="1"/>
    <x v="0"/>
  </r>
  <r>
    <x v="0"/>
    <x v="21"/>
    <x v="1"/>
    <x v="36"/>
    <n v="29"/>
    <n v="22"/>
    <n v="0"/>
    <n v="0"/>
    <n v="0"/>
    <n v="0"/>
    <n v="0"/>
    <n v="0"/>
    <m/>
    <n v="15"/>
    <n v="2024"/>
    <x v="10"/>
    <x v="1"/>
    <x v="0"/>
  </r>
  <r>
    <x v="0"/>
    <x v="21"/>
    <x v="1"/>
    <x v="37"/>
    <n v="4180"/>
    <n v="3730"/>
    <n v="49"/>
    <n v="0"/>
    <n v="55470"/>
    <n v="7"/>
    <n v="46075"/>
    <n v="7"/>
    <m/>
    <n v="4059"/>
    <n v="2024"/>
    <x v="10"/>
    <x v="1"/>
    <x v="0"/>
  </r>
  <r>
    <x v="0"/>
    <x v="21"/>
    <x v="1"/>
    <x v="38"/>
    <n v="2787"/>
    <n v="1943"/>
    <n v="71"/>
    <n v="69"/>
    <n v="346600"/>
    <n v="42"/>
    <n v="212100"/>
    <n v="34"/>
    <m/>
    <n v="2659"/>
    <n v="2024"/>
    <x v="10"/>
    <x v="1"/>
    <x v="0"/>
  </r>
  <r>
    <x v="0"/>
    <x v="21"/>
    <x v="1"/>
    <x v="39"/>
    <n v="10"/>
    <n v="9"/>
    <n v="0"/>
    <n v="0"/>
    <n v="0"/>
    <n v="0"/>
    <n v="0"/>
    <n v="0"/>
    <m/>
    <n v="10"/>
    <n v="2024"/>
    <x v="10"/>
    <x v="1"/>
    <x v="0"/>
  </r>
  <r>
    <x v="0"/>
    <x v="21"/>
    <x v="1"/>
    <x v="40"/>
    <n v="167"/>
    <n v="125"/>
    <n v="2"/>
    <n v="0"/>
    <n v="0"/>
    <n v="0"/>
    <n v="0"/>
    <n v="0"/>
    <m/>
    <n v="167"/>
    <n v="2024"/>
    <x v="10"/>
    <x v="1"/>
    <x v="0"/>
  </r>
  <r>
    <x v="0"/>
    <x v="21"/>
    <x v="1"/>
    <x v="41"/>
    <n v="34"/>
    <n v="26"/>
    <n v="0"/>
    <n v="0"/>
    <n v="0"/>
    <n v="0"/>
    <n v="0"/>
    <n v="0"/>
    <m/>
    <n v="32"/>
    <n v="2024"/>
    <x v="10"/>
    <x v="1"/>
    <x v="0"/>
  </r>
  <r>
    <x v="0"/>
    <x v="21"/>
    <x v="1"/>
    <x v="56"/>
    <n v="38"/>
    <n v="38"/>
    <n v="0"/>
    <n v="0"/>
    <n v="0"/>
    <n v="0"/>
    <n v="0"/>
    <n v="0"/>
    <m/>
    <n v="38"/>
    <n v="2024"/>
    <x v="10"/>
    <x v="1"/>
    <x v="0"/>
  </r>
  <r>
    <x v="0"/>
    <x v="21"/>
    <x v="1"/>
    <x v="42"/>
    <n v="26"/>
    <n v="18"/>
    <n v="0"/>
    <n v="0"/>
    <n v="0"/>
    <n v="0"/>
    <n v="0"/>
    <n v="0"/>
    <m/>
    <n v="22"/>
    <n v="2024"/>
    <x v="10"/>
    <x v="1"/>
    <x v="0"/>
  </r>
  <r>
    <x v="0"/>
    <x v="21"/>
    <x v="1"/>
    <x v="43"/>
    <n v="1857"/>
    <n v="1501"/>
    <n v="43"/>
    <n v="24"/>
    <n v="38710"/>
    <n v="3"/>
    <n v="38710"/>
    <n v="3"/>
    <m/>
    <n v="994"/>
    <n v="2024"/>
    <x v="10"/>
    <x v="1"/>
    <x v="0"/>
  </r>
  <r>
    <x v="0"/>
    <x v="21"/>
    <x v="1"/>
    <x v="44"/>
    <n v="73"/>
    <n v="34"/>
    <n v="0"/>
    <n v="1"/>
    <n v="13885"/>
    <n v="3"/>
    <n v="9440"/>
    <n v="2"/>
    <m/>
    <n v="73"/>
    <n v="2024"/>
    <x v="10"/>
    <x v="1"/>
    <x v="0"/>
  </r>
  <r>
    <x v="0"/>
    <x v="22"/>
    <x v="0"/>
    <x v="0"/>
    <n v="8692"/>
    <n v="5037"/>
    <n v="14"/>
    <n v="12"/>
    <n v="81895"/>
    <n v="4"/>
    <n v="81895"/>
    <n v="4"/>
    <n v="71"/>
    <n v="8657"/>
    <n v="2025"/>
    <x v="11"/>
    <x v="0"/>
    <x v="0"/>
  </r>
  <r>
    <x v="0"/>
    <x v="22"/>
    <x v="0"/>
    <x v="1"/>
    <n v="281655"/>
    <n v="270251"/>
    <n v="1742"/>
    <n v="1822"/>
    <n v="2165295"/>
    <n v="211"/>
    <n v="602060"/>
    <n v="90"/>
    <n v="25816"/>
    <n v="273322"/>
    <n v="2025"/>
    <x v="11"/>
    <x v="0"/>
    <x v="0"/>
  </r>
  <r>
    <x v="0"/>
    <x v="22"/>
    <x v="0"/>
    <x v="2"/>
    <n v="7"/>
    <n v="5"/>
    <n v="0"/>
    <n v="0"/>
    <n v="0"/>
    <n v="0"/>
    <n v="0"/>
    <n v="0"/>
    <n v="1"/>
    <n v="6"/>
    <n v="2025"/>
    <x v="11"/>
    <x v="0"/>
    <x v="0"/>
  </r>
  <r>
    <x v="0"/>
    <x v="22"/>
    <x v="0"/>
    <x v="3"/>
    <n v="4961"/>
    <n v="4214"/>
    <n v="29"/>
    <n v="4"/>
    <n v="0"/>
    <n v="0"/>
    <n v="0"/>
    <n v="0"/>
    <n v="107"/>
    <n v="1038"/>
    <n v="2025"/>
    <x v="11"/>
    <x v="0"/>
    <x v="0"/>
  </r>
  <r>
    <x v="0"/>
    <x v="22"/>
    <x v="1"/>
    <x v="4"/>
    <n v="1"/>
    <n v="0"/>
    <n v="0"/>
    <n v="0"/>
    <n v="0"/>
    <n v="0"/>
    <n v="0"/>
    <n v="0"/>
    <n v="1"/>
    <n v="1"/>
    <n v="2025"/>
    <x v="11"/>
    <x v="0"/>
    <x v="0"/>
  </r>
  <r>
    <x v="0"/>
    <x v="22"/>
    <x v="1"/>
    <x v="5"/>
    <n v="145"/>
    <n v="120"/>
    <n v="0"/>
    <n v="0"/>
    <n v="0"/>
    <n v="0"/>
    <n v="0"/>
    <n v="0"/>
    <n v="1"/>
    <n v="145"/>
    <n v="2025"/>
    <x v="11"/>
    <x v="0"/>
    <x v="0"/>
  </r>
  <r>
    <x v="0"/>
    <x v="22"/>
    <x v="1"/>
    <x v="6"/>
    <n v="1681"/>
    <n v="1636"/>
    <n v="0"/>
    <n v="0"/>
    <n v="0"/>
    <n v="0"/>
    <n v="0"/>
    <n v="0"/>
    <n v="2"/>
    <n v="1"/>
    <n v="2025"/>
    <x v="11"/>
    <x v="0"/>
    <x v="0"/>
  </r>
  <r>
    <x v="0"/>
    <x v="22"/>
    <x v="1"/>
    <x v="7"/>
    <n v="1826"/>
    <n v="1122"/>
    <n v="152"/>
    <n v="28"/>
    <n v="579765"/>
    <n v="85"/>
    <n v="519795"/>
    <n v="77"/>
    <n v="595"/>
    <n v="1703"/>
    <n v="2025"/>
    <x v="11"/>
    <x v="0"/>
    <x v="0"/>
  </r>
  <r>
    <x v="0"/>
    <x v="22"/>
    <x v="1"/>
    <x v="8"/>
    <n v="414"/>
    <n v="347"/>
    <n v="6"/>
    <n v="9"/>
    <n v="0"/>
    <n v="0"/>
    <n v="0"/>
    <n v="0"/>
    <n v="10"/>
    <n v="388"/>
    <n v="2025"/>
    <x v="11"/>
    <x v="0"/>
    <x v="0"/>
  </r>
  <r>
    <x v="0"/>
    <x v="22"/>
    <x v="1"/>
    <x v="9"/>
    <n v="115"/>
    <n v="73"/>
    <n v="1"/>
    <n v="1"/>
    <n v="0"/>
    <n v="0"/>
    <n v="0"/>
    <n v="0"/>
    <n v="4"/>
    <n v="74"/>
    <n v="2025"/>
    <x v="11"/>
    <x v="0"/>
    <x v="0"/>
  </r>
  <r>
    <x v="0"/>
    <x v="22"/>
    <x v="1"/>
    <x v="10"/>
    <n v="101"/>
    <n v="69"/>
    <n v="0"/>
    <n v="0"/>
    <n v="0"/>
    <n v="0"/>
    <n v="0"/>
    <n v="0"/>
    <n v="10"/>
    <n v="83"/>
    <n v="2025"/>
    <x v="11"/>
    <x v="0"/>
    <x v="0"/>
  </r>
  <r>
    <x v="0"/>
    <x v="22"/>
    <x v="1"/>
    <x v="11"/>
    <n v="19"/>
    <n v="16"/>
    <n v="0"/>
    <n v="0"/>
    <n v="0"/>
    <n v="0"/>
    <n v="0"/>
    <n v="0"/>
    <n v="5"/>
    <n v="14"/>
    <n v="2025"/>
    <x v="11"/>
    <x v="0"/>
    <x v="0"/>
  </r>
  <r>
    <x v="0"/>
    <x v="22"/>
    <x v="1"/>
    <x v="48"/>
    <n v="1"/>
    <n v="1"/>
    <n v="0"/>
    <n v="0"/>
    <n v="0"/>
    <n v="0"/>
    <n v="0"/>
    <n v="0"/>
    <n v="1"/>
    <n v="0"/>
    <n v="2025"/>
    <x v="11"/>
    <x v="0"/>
    <x v="0"/>
  </r>
  <r>
    <x v="0"/>
    <x v="22"/>
    <x v="1"/>
    <x v="59"/>
    <n v="45586"/>
    <n v="40492"/>
    <n v="53"/>
    <n v="79"/>
    <n v="212010"/>
    <n v="26"/>
    <n v="121730"/>
    <n v="18"/>
    <n v="904"/>
    <n v="27829"/>
    <n v="2025"/>
    <x v="11"/>
    <x v="0"/>
    <x v="0"/>
  </r>
  <r>
    <x v="0"/>
    <x v="22"/>
    <x v="1"/>
    <x v="15"/>
    <n v="571"/>
    <n v="548"/>
    <n v="0"/>
    <n v="2"/>
    <n v="14500"/>
    <n v="1"/>
    <n v="0"/>
    <n v="0"/>
    <n v="4"/>
    <n v="571"/>
    <n v="2025"/>
    <x v="11"/>
    <x v="0"/>
    <x v="0"/>
  </r>
  <r>
    <x v="0"/>
    <x v="22"/>
    <x v="1"/>
    <x v="17"/>
    <n v="1191"/>
    <n v="957"/>
    <n v="2"/>
    <n v="0"/>
    <n v="0"/>
    <n v="0"/>
    <n v="0"/>
    <n v="0"/>
    <n v="13"/>
    <n v="1178"/>
    <n v="2025"/>
    <x v="11"/>
    <x v="0"/>
    <x v="0"/>
  </r>
  <r>
    <x v="0"/>
    <x v="22"/>
    <x v="1"/>
    <x v="18"/>
    <n v="77"/>
    <n v="67"/>
    <n v="5"/>
    <n v="2"/>
    <n v="51490"/>
    <n v="3"/>
    <n v="51490"/>
    <n v="3"/>
    <n v="15"/>
    <n v="63"/>
    <n v="2025"/>
    <x v="11"/>
    <x v="0"/>
    <x v="0"/>
  </r>
  <r>
    <x v="0"/>
    <x v="22"/>
    <x v="1"/>
    <x v="19"/>
    <n v="8968"/>
    <n v="7469"/>
    <n v="149"/>
    <n v="63"/>
    <n v="401721.36"/>
    <n v="49"/>
    <n v="331036.36"/>
    <n v="44"/>
    <n v="3514"/>
    <n v="4864"/>
    <n v="2025"/>
    <x v="11"/>
    <x v="0"/>
    <x v="0"/>
  </r>
  <r>
    <x v="0"/>
    <x v="22"/>
    <x v="1"/>
    <x v="20"/>
    <n v="562"/>
    <n v="324"/>
    <n v="14"/>
    <n v="5"/>
    <n v="42195"/>
    <n v="3"/>
    <n v="18295"/>
    <n v="3"/>
    <n v="72"/>
    <n v="545"/>
    <n v="2025"/>
    <x v="11"/>
    <x v="0"/>
    <x v="0"/>
  </r>
  <r>
    <x v="0"/>
    <x v="22"/>
    <x v="1"/>
    <x v="21"/>
    <n v="45"/>
    <n v="33"/>
    <n v="0"/>
    <n v="0"/>
    <n v="4645"/>
    <n v="1"/>
    <n v="4645"/>
    <n v="1"/>
    <n v="2"/>
    <n v="45"/>
    <n v="2025"/>
    <x v="11"/>
    <x v="0"/>
    <x v="0"/>
  </r>
  <r>
    <x v="0"/>
    <x v="22"/>
    <x v="1"/>
    <x v="22"/>
    <n v="133"/>
    <n v="113"/>
    <n v="0"/>
    <n v="0"/>
    <n v="0"/>
    <n v="0"/>
    <n v="0"/>
    <n v="0"/>
    <n v="0"/>
    <n v="12"/>
    <n v="2025"/>
    <x v="11"/>
    <x v="0"/>
    <x v="0"/>
  </r>
  <r>
    <x v="0"/>
    <x v="22"/>
    <x v="1"/>
    <x v="24"/>
    <n v="231"/>
    <n v="203"/>
    <n v="4"/>
    <n v="1"/>
    <n v="51795"/>
    <n v="2"/>
    <n v="44500"/>
    <n v="1"/>
    <n v="71"/>
    <n v="192"/>
    <n v="2025"/>
    <x v="11"/>
    <x v="0"/>
    <x v="0"/>
  </r>
  <r>
    <x v="0"/>
    <x v="22"/>
    <x v="1"/>
    <x v="27"/>
    <n v="1738"/>
    <n v="1270"/>
    <n v="75"/>
    <n v="19"/>
    <n v="359655"/>
    <n v="40"/>
    <n v="299665"/>
    <n v="38"/>
    <n v="852"/>
    <n v="1370"/>
    <n v="2025"/>
    <x v="11"/>
    <x v="0"/>
    <x v="0"/>
  </r>
  <r>
    <x v="0"/>
    <x v="22"/>
    <x v="1"/>
    <x v="29"/>
    <n v="13126"/>
    <n v="11993"/>
    <n v="254"/>
    <n v="138"/>
    <n v="401250"/>
    <n v="47"/>
    <n v="307235"/>
    <n v="37"/>
    <n v="7466"/>
    <n v="7915"/>
    <n v="2025"/>
    <x v="11"/>
    <x v="0"/>
    <x v="0"/>
  </r>
  <r>
    <x v="0"/>
    <x v="22"/>
    <x v="1"/>
    <x v="30"/>
    <n v="21978"/>
    <n v="19156"/>
    <n v="258"/>
    <n v="167"/>
    <n v="211320"/>
    <n v="20"/>
    <n v="133885"/>
    <n v="13"/>
    <n v="1896"/>
    <n v="17023"/>
    <n v="2025"/>
    <x v="11"/>
    <x v="0"/>
    <x v="0"/>
  </r>
  <r>
    <x v="0"/>
    <x v="22"/>
    <x v="1"/>
    <x v="31"/>
    <n v="2343"/>
    <n v="2115"/>
    <n v="154"/>
    <n v="104"/>
    <n v="148600"/>
    <n v="14"/>
    <n v="85905"/>
    <n v="9"/>
    <n v="399"/>
    <n v="2251"/>
    <n v="2025"/>
    <x v="11"/>
    <x v="0"/>
    <x v="0"/>
  </r>
  <r>
    <x v="0"/>
    <x v="22"/>
    <x v="1"/>
    <x v="62"/>
    <n v="1"/>
    <n v="1"/>
    <n v="0"/>
    <n v="0"/>
    <n v="0"/>
    <n v="0"/>
    <n v="0"/>
    <n v="0"/>
    <n v="1"/>
    <n v="1"/>
    <n v="2025"/>
    <x v="11"/>
    <x v="0"/>
    <x v="0"/>
  </r>
  <r>
    <x v="0"/>
    <x v="22"/>
    <x v="1"/>
    <x v="32"/>
    <n v="19"/>
    <n v="12"/>
    <n v="1"/>
    <n v="0"/>
    <n v="6900"/>
    <n v="1"/>
    <n v="6900"/>
    <n v="1"/>
    <n v="6"/>
    <n v="18"/>
    <n v="2025"/>
    <x v="11"/>
    <x v="0"/>
    <x v="0"/>
  </r>
  <r>
    <x v="0"/>
    <x v="22"/>
    <x v="1"/>
    <x v="33"/>
    <n v="1"/>
    <n v="1"/>
    <n v="0"/>
    <n v="0"/>
    <n v="0"/>
    <n v="0"/>
    <n v="0"/>
    <n v="0"/>
    <n v="1"/>
    <n v="0"/>
    <n v="2025"/>
    <x v="11"/>
    <x v="0"/>
    <x v="0"/>
  </r>
  <r>
    <x v="0"/>
    <x v="22"/>
    <x v="1"/>
    <x v="34"/>
    <n v="1834"/>
    <n v="1204"/>
    <n v="65"/>
    <n v="27"/>
    <n v="39375"/>
    <n v="6"/>
    <n v="24175"/>
    <n v="5"/>
    <n v="780"/>
    <n v="1485"/>
    <n v="2025"/>
    <x v="11"/>
    <x v="0"/>
    <x v="0"/>
  </r>
  <r>
    <x v="0"/>
    <x v="22"/>
    <x v="1"/>
    <x v="35"/>
    <n v="21"/>
    <n v="13"/>
    <n v="0"/>
    <n v="0"/>
    <n v="0"/>
    <n v="0"/>
    <n v="0"/>
    <n v="0"/>
    <n v="0"/>
    <n v="17"/>
    <n v="2025"/>
    <x v="11"/>
    <x v="0"/>
    <x v="0"/>
  </r>
  <r>
    <x v="0"/>
    <x v="22"/>
    <x v="1"/>
    <x v="36"/>
    <n v="32"/>
    <n v="32"/>
    <n v="0"/>
    <n v="0"/>
    <n v="0"/>
    <n v="0"/>
    <n v="0"/>
    <n v="0"/>
    <n v="4"/>
    <n v="29"/>
    <n v="2025"/>
    <x v="11"/>
    <x v="0"/>
    <x v="0"/>
  </r>
  <r>
    <x v="0"/>
    <x v="22"/>
    <x v="1"/>
    <x v="38"/>
    <n v="1791"/>
    <n v="1164"/>
    <n v="77"/>
    <n v="64"/>
    <n v="431810"/>
    <n v="44"/>
    <n v="335110"/>
    <n v="38"/>
    <n v="403"/>
    <n v="1709"/>
    <n v="2025"/>
    <x v="11"/>
    <x v="0"/>
    <x v="0"/>
  </r>
  <r>
    <x v="0"/>
    <x v="22"/>
    <x v="1"/>
    <x v="60"/>
    <n v="527"/>
    <n v="506"/>
    <n v="4"/>
    <n v="1"/>
    <n v="21950"/>
    <n v="1"/>
    <n v="0"/>
    <n v="0"/>
    <n v="19"/>
    <n v="527"/>
    <n v="2025"/>
    <x v="11"/>
    <x v="0"/>
    <x v="0"/>
  </r>
  <r>
    <x v="0"/>
    <x v="22"/>
    <x v="1"/>
    <x v="39"/>
    <n v="2"/>
    <n v="2"/>
    <n v="0"/>
    <n v="0"/>
    <n v="0"/>
    <n v="0"/>
    <n v="0"/>
    <n v="0"/>
    <n v="1"/>
    <n v="2"/>
    <n v="2025"/>
    <x v="11"/>
    <x v="0"/>
    <x v="0"/>
  </r>
  <r>
    <x v="0"/>
    <x v="22"/>
    <x v="1"/>
    <x v="64"/>
    <n v="5560"/>
    <n v="5170"/>
    <n v="102"/>
    <n v="28"/>
    <n v="85970"/>
    <n v="12"/>
    <n v="79470"/>
    <n v="11"/>
    <n v="896"/>
    <n v="5429"/>
    <n v="2025"/>
    <x v="11"/>
    <x v="0"/>
    <x v="0"/>
  </r>
  <r>
    <x v="0"/>
    <x v="22"/>
    <x v="1"/>
    <x v="43"/>
    <n v="1600"/>
    <n v="1337"/>
    <n v="31"/>
    <n v="12"/>
    <n v="12790"/>
    <n v="2"/>
    <n v="12790"/>
    <n v="2"/>
    <n v="1367"/>
    <n v="817"/>
    <n v="2025"/>
    <x v="11"/>
    <x v="0"/>
    <x v="0"/>
  </r>
  <r>
    <x v="0"/>
    <x v="22"/>
    <x v="1"/>
    <x v="44"/>
    <n v="552"/>
    <n v="225"/>
    <n v="4"/>
    <n v="3"/>
    <n v="29070"/>
    <n v="5"/>
    <n v="21775"/>
    <n v="4"/>
    <n v="2"/>
    <n v="552"/>
    <n v="2025"/>
    <x v="11"/>
    <x v="0"/>
    <x v="0"/>
  </r>
  <r>
    <x v="0"/>
    <x v="22"/>
    <x v="1"/>
    <x v="45"/>
    <n v="2"/>
    <n v="1"/>
    <n v="0"/>
    <n v="0"/>
    <n v="4645"/>
    <n v="1"/>
    <n v="4645"/>
    <n v="1"/>
    <n v="1"/>
    <n v="1"/>
    <n v="2025"/>
    <x v="11"/>
    <x v="0"/>
    <x v="0"/>
  </r>
  <r>
    <x v="0"/>
    <x v="23"/>
    <x v="0"/>
    <x v="0"/>
    <n v="3775"/>
    <n v="2006"/>
    <n v="13"/>
    <n v="6"/>
    <n v="37295"/>
    <n v="9"/>
    <n v="37295"/>
    <n v="9"/>
    <m/>
    <n v="3562"/>
    <n v="2024"/>
    <x v="11"/>
    <x v="1"/>
    <x v="0"/>
  </r>
  <r>
    <x v="0"/>
    <x v="23"/>
    <x v="0"/>
    <x v="1"/>
    <n v="121305"/>
    <n v="115979"/>
    <n v="1068"/>
    <n v="795"/>
    <n v="766336.67"/>
    <n v="107"/>
    <n v="443406.67"/>
    <n v="73"/>
    <m/>
    <n v="120893"/>
    <n v="2024"/>
    <x v="11"/>
    <x v="1"/>
    <x v="0"/>
  </r>
  <r>
    <x v="0"/>
    <x v="23"/>
    <x v="0"/>
    <x v="2"/>
    <n v="23672"/>
    <n v="22929"/>
    <n v="338"/>
    <n v="120"/>
    <n v="426485"/>
    <n v="49"/>
    <n v="388805"/>
    <n v="44"/>
    <m/>
    <n v="10584"/>
    <n v="2024"/>
    <x v="11"/>
    <x v="1"/>
    <x v="0"/>
  </r>
  <r>
    <x v="0"/>
    <x v="23"/>
    <x v="0"/>
    <x v="3"/>
    <n v="3"/>
    <n v="2"/>
    <n v="0"/>
    <n v="0"/>
    <n v="0"/>
    <n v="0"/>
    <n v="0"/>
    <n v="0"/>
    <m/>
    <n v="0"/>
    <n v="2024"/>
    <x v="11"/>
    <x v="1"/>
    <x v="0"/>
  </r>
  <r>
    <x v="0"/>
    <x v="23"/>
    <x v="1"/>
    <x v="4"/>
    <n v="1"/>
    <n v="0"/>
    <n v="0"/>
    <n v="0"/>
    <n v="0"/>
    <n v="0"/>
    <n v="0"/>
    <n v="0"/>
    <m/>
    <n v="0"/>
    <n v="2024"/>
    <x v="11"/>
    <x v="1"/>
    <x v="0"/>
  </r>
  <r>
    <x v="0"/>
    <x v="23"/>
    <x v="1"/>
    <x v="5"/>
    <n v="103"/>
    <n v="86"/>
    <n v="0"/>
    <n v="2"/>
    <n v="0"/>
    <n v="0"/>
    <n v="0"/>
    <n v="0"/>
    <m/>
    <n v="103"/>
    <n v="2024"/>
    <x v="11"/>
    <x v="1"/>
    <x v="0"/>
  </r>
  <r>
    <x v="0"/>
    <x v="23"/>
    <x v="1"/>
    <x v="6"/>
    <n v="14"/>
    <n v="12"/>
    <n v="1"/>
    <n v="0"/>
    <n v="0"/>
    <n v="0"/>
    <n v="0"/>
    <n v="0"/>
    <m/>
    <n v="9"/>
    <n v="2024"/>
    <x v="11"/>
    <x v="1"/>
    <x v="0"/>
  </r>
  <r>
    <x v="0"/>
    <x v="23"/>
    <x v="1"/>
    <x v="7"/>
    <n v="2106"/>
    <n v="1335"/>
    <n v="149"/>
    <n v="24"/>
    <n v="543441.47"/>
    <n v="92"/>
    <n v="524706.47"/>
    <n v="90"/>
    <m/>
    <n v="2010"/>
    <n v="2024"/>
    <x v="11"/>
    <x v="1"/>
    <x v="0"/>
  </r>
  <r>
    <x v="0"/>
    <x v="23"/>
    <x v="1"/>
    <x v="8"/>
    <n v="12"/>
    <n v="2"/>
    <n v="0"/>
    <n v="0"/>
    <n v="0"/>
    <n v="0"/>
    <n v="0"/>
    <n v="0"/>
    <m/>
    <n v="12"/>
    <n v="2024"/>
    <x v="11"/>
    <x v="1"/>
    <x v="0"/>
  </r>
  <r>
    <x v="0"/>
    <x v="23"/>
    <x v="1"/>
    <x v="47"/>
    <n v="6"/>
    <n v="5"/>
    <n v="0"/>
    <n v="0"/>
    <n v="0"/>
    <n v="0"/>
    <n v="0"/>
    <n v="0"/>
    <m/>
    <n v="6"/>
    <n v="2024"/>
    <x v="11"/>
    <x v="1"/>
    <x v="0"/>
  </r>
  <r>
    <x v="0"/>
    <x v="23"/>
    <x v="1"/>
    <x v="10"/>
    <n v="133"/>
    <n v="95"/>
    <n v="4"/>
    <n v="1"/>
    <n v="8990"/>
    <n v="1"/>
    <n v="4495"/>
    <n v="1"/>
    <m/>
    <n v="124"/>
    <n v="2024"/>
    <x v="11"/>
    <x v="1"/>
    <x v="0"/>
  </r>
  <r>
    <x v="0"/>
    <x v="23"/>
    <x v="1"/>
    <x v="11"/>
    <n v="293"/>
    <n v="162"/>
    <n v="0"/>
    <n v="0"/>
    <n v="0"/>
    <n v="0"/>
    <n v="0"/>
    <n v="0"/>
    <m/>
    <n v="293"/>
    <n v="2024"/>
    <x v="11"/>
    <x v="1"/>
    <x v="0"/>
  </r>
  <r>
    <x v="0"/>
    <x v="23"/>
    <x v="1"/>
    <x v="59"/>
    <n v="2825"/>
    <n v="2172"/>
    <n v="17"/>
    <n v="42"/>
    <n v="55710"/>
    <n v="8"/>
    <n v="37130"/>
    <n v="6"/>
    <m/>
    <n v="2471"/>
    <n v="2024"/>
    <x v="11"/>
    <x v="1"/>
    <x v="0"/>
  </r>
  <r>
    <x v="0"/>
    <x v="23"/>
    <x v="1"/>
    <x v="15"/>
    <n v="234"/>
    <n v="218"/>
    <n v="0"/>
    <n v="0"/>
    <n v="0"/>
    <n v="0"/>
    <n v="0"/>
    <n v="0"/>
    <m/>
    <n v="233"/>
    <n v="2024"/>
    <x v="11"/>
    <x v="1"/>
    <x v="0"/>
  </r>
  <r>
    <x v="0"/>
    <x v="23"/>
    <x v="1"/>
    <x v="16"/>
    <n v="34"/>
    <n v="14"/>
    <n v="0"/>
    <n v="0"/>
    <n v="0"/>
    <n v="0"/>
    <n v="0"/>
    <n v="0"/>
    <m/>
    <n v="34"/>
    <n v="2024"/>
    <x v="11"/>
    <x v="1"/>
    <x v="0"/>
  </r>
  <r>
    <x v="0"/>
    <x v="23"/>
    <x v="1"/>
    <x v="17"/>
    <n v="24"/>
    <n v="22"/>
    <n v="1"/>
    <n v="0"/>
    <n v="0"/>
    <n v="0"/>
    <n v="0"/>
    <n v="0"/>
    <m/>
    <n v="20"/>
    <n v="2024"/>
    <x v="11"/>
    <x v="1"/>
    <x v="0"/>
  </r>
  <r>
    <x v="0"/>
    <x v="23"/>
    <x v="1"/>
    <x v="18"/>
    <n v="88"/>
    <n v="76"/>
    <n v="8"/>
    <n v="3"/>
    <n v="8990"/>
    <n v="2"/>
    <n v="4495"/>
    <n v="1"/>
    <m/>
    <n v="84"/>
    <n v="2024"/>
    <x v="11"/>
    <x v="1"/>
    <x v="0"/>
  </r>
  <r>
    <x v="0"/>
    <x v="23"/>
    <x v="1"/>
    <x v="19"/>
    <n v="6277"/>
    <n v="4675"/>
    <n v="151"/>
    <n v="58"/>
    <n v="474330"/>
    <n v="55"/>
    <n v="322310"/>
    <n v="45"/>
    <m/>
    <n v="3740"/>
    <n v="2024"/>
    <x v="11"/>
    <x v="1"/>
    <x v="0"/>
  </r>
  <r>
    <x v="0"/>
    <x v="23"/>
    <x v="1"/>
    <x v="20"/>
    <n v="1082"/>
    <n v="746"/>
    <n v="22"/>
    <n v="12"/>
    <n v="35790"/>
    <n v="4"/>
    <n v="35790"/>
    <n v="4"/>
    <m/>
    <n v="1072"/>
    <n v="2024"/>
    <x v="11"/>
    <x v="1"/>
    <x v="0"/>
  </r>
  <r>
    <x v="0"/>
    <x v="23"/>
    <x v="1"/>
    <x v="21"/>
    <n v="30"/>
    <n v="18"/>
    <n v="0"/>
    <n v="0"/>
    <n v="0"/>
    <n v="0"/>
    <n v="0"/>
    <n v="0"/>
    <m/>
    <n v="30"/>
    <n v="2024"/>
    <x v="11"/>
    <x v="1"/>
    <x v="0"/>
  </r>
  <r>
    <x v="0"/>
    <x v="23"/>
    <x v="1"/>
    <x v="22"/>
    <n v="4"/>
    <n v="2"/>
    <n v="0"/>
    <n v="0"/>
    <n v="0"/>
    <n v="0"/>
    <n v="0"/>
    <n v="0"/>
    <m/>
    <n v="4"/>
    <n v="2024"/>
    <x v="11"/>
    <x v="1"/>
    <x v="0"/>
  </r>
  <r>
    <x v="0"/>
    <x v="23"/>
    <x v="1"/>
    <x v="24"/>
    <n v="129"/>
    <n v="99"/>
    <n v="3"/>
    <n v="2"/>
    <n v="33850"/>
    <n v="1"/>
    <n v="33850"/>
    <n v="1"/>
    <m/>
    <n v="93"/>
    <n v="2024"/>
    <x v="11"/>
    <x v="1"/>
    <x v="0"/>
  </r>
  <r>
    <x v="0"/>
    <x v="23"/>
    <x v="1"/>
    <x v="25"/>
    <n v="48"/>
    <n v="43"/>
    <n v="1"/>
    <n v="0"/>
    <n v="0"/>
    <n v="0"/>
    <n v="0"/>
    <n v="0"/>
    <m/>
    <n v="48"/>
    <n v="2024"/>
    <x v="11"/>
    <x v="1"/>
    <x v="0"/>
  </r>
  <r>
    <x v="0"/>
    <x v="23"/>
    <x v="1"/>
    <x v="27"/>
    <n v="1917"/>
    <n v="1403"/>
    <n v="59"/>
    <n v="21"/>
    <n v="268278.53000000003"/>
    <n v="40"/>
    <n v="242553.53"/>
    <n v="37"/>
    <m/>
    <n v="1733"/>
    <n v="2024"/>
    <x v="11"/>
    <x v="1"/>
    <x v="0"/>
  </r>
  <r>
    <x v="0"/>
    <x v="23"/>
    <x v="1"/>
    <x v="28"/>
    <n v="4"/>
    <n v="2"/>
    <n v="0"/>
    <n v="0"/>
    <n v="0"/>
    <n v="0"/>
    <n v="0"/>
    <n v="0"/>
    <m/>
    <n v="4"/>
    <n v="2024"/>
    <x v="11"/>
    <x v="1"/>
    <x v="0"/>
  </r>
  <r>
    <x v="0"/>
    <x v="23"/>
    <x v="1"/>
    <x v="29"/>
    <n v="8971"/>
    <n v="8092"/>
    <n v="244"/>
    <n v="121"/>
    <n v="255775"/>
    <n v="35"/>
    <n v="166855"/>
    <n v="26"/>
    <m/>
    <n v="7645"/>
    <n v="2024"/>
    <x v="11"/>
    <x v="1"/>
    <x v="0"/>
  </r>
  <r>
    <x v="0"/>
    <x v="23"/>
    <x v="1"/>
    <x v="30"/>
    <n v="6262"/>
    <n v="4596"/>
    <n v="91"/>
    <n v="50"/>
    <n v="97045"/>
    <n v="10"/>
    <n v="85095"/>
    <n v="9"/>
    <m/>
    <n v="5983"/>
    <n v="2024"/>
    <x v="11"/>
    <x v="1"/>
    <x v="0"/>
  </r>
  <r>
    <x v="0"/>
    <x v="23"/>
    <x v="1"/>
    <x v="31"/>
    <n v="1213"/>
    <n v="1041"/>
    <n v="38"/>
    <n v="23"/>
    <n v="10595"/>
    <n v="2"/>
    <n v="10595"/>
    <n v="2"/>
    <m/>
    <n v="1164"/>
    <n v="2024"/>
    <x v="11"/>
    <x v="1"/>
    <x v="0"/>
  </r>
  <r>
    <x v="0"/>
    <x v="23"/>
    <x v="1"/>
    <x v="32"/>
    <n v="4"/>
    <n v="2"/>
    <n v="0"/>
    <n v="0"/>
    <n v="0"/>
    <n v="0"/>
    <n v="0"/>
    <n v="0"/>
    <m/>
    <n v="1"/>
    <n v="2024"/>
    <x v="11"/>
    <x v="1"/>
    <x v="0"/>
  </r>
  <r>
    <x v="0"/>
    <x v="23"/>
    <x v="1"/>
    <x v="34"/>
    <n v="987"/>
    <n v="662"/>
    <n v="31"/>
    <n v="10"/>
    <n v="30140"/>
    <n v="3"/>
    <n v="30140"/>
    <n v="3"/>
    <m/>
    <n v="686"/>
    <n v="2024"/>
    <x v="11"/>
    <x v="1"/>
    <x v="0"/>
  </r>
  <r>
    <x v="0"/>
    <x v="23"/>
    <x v="1"/>
    <x v="36"/>
    <n v="20"/>
    <n v="18"/>
    <n v="0"/>
    <n v="0"/>
    <n v="0"/>
    <n v="0"/>
    <n v="0"/>
    <n v="0"/>
    <m/>
    <n v="9"/>
    <n v="2024"/>
    <x v="11"/>
    <x v="1"/>
    <x v="0"/>
  </r>
  <r>
    <x v="0"/>
    <x v="23"/>
    <x v="1"/>
    <x v="37"/>
    <n v="4374"/>
    <n v="3895"/>
    <n v="74"/>
    <n v="0"/>
    <n v="80575"/>
    <n v="16"/>
    <n v="70285"/>
    <n v="15"/>
    <m/>
    <n v="4217"/>
    <n v="2024"/>
    <x v="11"/>
    <x v="1"/>
    <x v="0"/>
  </r>
  <r>
    <x v="0"/>
    <x v="23"/>
    <x v="1"/>
    <x v="38"/>
    <n v="2756"/>
    <n v="1839"/>
    <n v="79"/>
    <n v="65"/>
    <n v="403685"/>
    <n v="34"/>
    <n v="232465"/>
    <n v="31"/>
    <m/>
    <n v="2620"/>
    <n v="2024"/>
    <x v="11"/>
    <x v="1"/>
    <x v="0"/>
  </r>
  <r>
    <x v="0"/>
    <x v="23"/>
    <x v="1"/>
    <x v="39"/>
    <n v="85"/>
    <n v="82"/>
    <n v="0"/>
    <n v="1"/>
    <n v="0"/>
    <n v="0"/>
    <n v="0"/>
    <n v="0"/>
    <m/>
    <n v="85"/>
    <n v="2024"/>
    <x v="11"/>
    <x v="1"/>
    <x v="0"/>
  </r>
  <r>
    <x v="0"/>
    <x v="23"/>
    <x v="1"/>
    <x v="40"/>
    <n v="93"/>
    <n v="61"/>
    <n v="2"/>
    <n v="1"/>
    <n v="0"/>
    <n v="0"/>
    <n v="0"/>
    <n v="0"/>
    <m/>
    <n v="93"/>
    <n v="2024"/>
    <x v="11"/>
    <x v="1"/>
    <x v="0"/>
  </r>
  <r>
    <x v="0"/>
    <x v="23"/>
    <x v="1"/>
    <x v="41"/>
    <n v="33"/>
    <n v="24"/>
    <n v="1"/>
    <n v="0"/>
    <n v="0"/>
    <n v="0"/>
    <n v="0"/>
    <n v="0"/>
    <m/>
    <n v="28"/>
    <n v="2024"/>
    <x v="11"/>
    <x v="1"/>
    <x v="0"/>
  </r>
  <r>
    <x v="0"/>
    <x v="23"/>
    <x v="1"/>
    <x v="56"/>
    <n v="362"/>
    <n v="350"/>
    <n v="1"/>
    <n v="1"/>
    <n v="0"/>
    <n v="0"/>
    <n v="0"/>
    <n v="0"/>
    <m/>
    <n v="362"/>
    <n v="2024"/>
    <x v="11"/>
    <x v="1"/>
    <x v="0"/>
  </r>
  <r>
    <x v="0"/>
    <x v="23"/>
    <x v="1"/>
    <x v="42"/>
    <n v="553"/>
    <n v="382"/>
    <n v="10"/>
    <n v="8"/>
    <n v="29990"/>
    <n v="1"/>
    <n v="14995"/>
    <n v="1"/>
    <m/>
    <n v="552"/>
    <n v="2024"/>
    <x v="11"/>
    <x v="1"/>
    <x v="0"/>
  </r>
  <r>
    <x v="0"/>
    <x v="23"/>
    <x v="1"/>
    <x v="43"/>
    <n v="2147"/>
    <n v="1795"/>
    <n v="38"/>
    <n v="25"/>
    <n v="41825"/>
    <n v="6"/>
    <n v="38430"/>
    <n v="5"/>
    <m/>
    <n v="959"/>
    <n v="2024"/>
    <x v="11"/>
    <x v="1"/>
    <x v="0"/>
  </r>
  <r>
    <x v="0"/>
    <x v="23"/>
    <x v="1"/>
    <x v="44"/>
    <n v="56"/>
    <n v="31"/>
    <n v="0"/>
    <n v="0"/>
    <n v="20840"/>
    <n v="3"/>
    <n v="20840"/>
    <n v="3"/>
    <m/>
    <n v="56"/>
    <n v="2024"/>
    <x v="11"/>
    <x v="1"/>
    <x v="0"/>
  </r>
  <r>
    <x v="0"/>
    <x v="24"/>
    <x v="0"/>
    <x v="0"/>
    <n v="3528"/>
    <n v="2124"/>
    <n v="13"/>
    <n v="9"/>
    <n v="57290"/>
    <n v="7"/>
    <n v="43205"/>
    <n v="6"/>
    <n v="56"/>
    <n v="3493"/>
    <n v="2025"/>
    <x v="2"/>
    <x v="2"/>
    <x v="0"/>
  </r>
  <r>
    <x v="0"/>
    <x v="24"/>
    <x v="0"/>
    <x v="1"/>
    <n v="241729"/>
    <n v="233863"/>
    <n v="1768"/>
    <n v="2210"/>
    <n v="1294175"/>
    <n v="191"/>
    <n v="575550"/>
    <n v="103"/>
    <n v="22275"/>
    <n v="234589"/>
    <n v="2025"/>
    <x v="2"/>
    <x v="2"/>
    <x v="0"/>
  </r>
  <r>
    <x v="0"/>
    <x v="24"/>
    <x v="0"/>
    <x v="2"/>
    <n v="4"/>
    <n v="3"/>
    <n v="0"/>
    <n v="0"/>
    <n v="0"/>
    <n v="0"/>
    <n v="0"/>
    <n v="0"/>
    <n v="2"/>
    <n v="2"/>
    <n v="2025"/>
    <x v="2"/>
    <x v="2"/>
    <x v="0"/>
  </r>
  <r>
    <x v="0"/>
    <x v="24"/>
    <x v="0"/>
    <x v="3"/>
    <n v="6367"/>
    <n v="5568"/>
    <n v="27"/>
    <n v="5"/>
    <n v="0"/>
    <n v="0"/>
    <n v="0"/>
    <n v="0"/>
    <n v="129"/>
    <n v="2000"/>
    <n v="2025"/>
    <x v="2"/>
    <x v="2"/>
    <x v="0"/>
  </r>
  <r>
    <x v="0"/>
    <x v="24"/>
    <x v="1"/>
    <x v="4"/>
    <n v="1"/>
    <n v="1"/>
    <n v="0"/>
    <n v="0"/>
    <n v="0"/>
    <n v="0"/>
    <n v="0"/>
    <n v="0"/>
    <n v="0"/>
    <n v="1"/>
    <n v="2025"/>
    <x v="2"/>
    <x v="2"/>
    <x v="0"/>
  </r>
  <r>
    <x v="0"/>
    <x v="24"/>
    <x v="1"/>
    <x v="5"/>
    <n v="63"/>
    <n v="54"/>
    <n v="0"/>
    <n v="0"/>
    <n v="0"/>
    <n v="0"/>
    <n v="0"/>
    <n v="0"/>
    <n v="2"/>
    <n v="63"/>
    <n v="2025"/>
    <x v="2"/>
    <x v="2"/>
    <x v="0"/>
  </r>
  <r>
    <x v="0"/>
    <x v="24"/>
    <x v="1"/>
    <x v="6"/>
    <n v="1346"/>
    <n v="1281"/>
    <n v="0"/>
    <n v="0"/>
    <n v="0"/>
    <n v="0"/>
    <n v="0"/>
    <n v="0"/>
    <n v="3"/>
    <n v="2"/>
    <n v="2025"/>
    <x v="2"/>
    <x v="2"/>
    <x v="0"/>
  </r>
  <r>
    <x v="0"/>
    <x v="24"/>
    <x v="1"/>
    <x v="7"/>
    <n v="1647"/>
    <n v="978"/>
    <n v="138"/>
    <n v="30"/>
    <n v="513230"/>
    <n v="81"/>
    <n v="457420"/>
    <n v="77"/>
    <n v="519"/>
    <n v="1541"/>
    <n v="2025"/>
    <x v="2"/>
    <x v="2"/>
    <x v="0"/>
  </r>
  <r>
    <x v="0"/>
    <x v="24"/>
    <x v="1"/>
    <x v="8"/>
    <n v="1163"/>
    <n v="1064"/>
    <n v="7"/>
    <n v="13"/>
    <n v="7250"/>
    <n v="1"/>
    <n v="7250"/>
    <n v="1"/>
    <n v="6"/>
    <n v="256"/>
    <n v="2025"/>
    <x v="2"/>
    <x v="2"/>
    <x v="0"/>
  </r>
  <r>
    <x v="0"/>
    <x v="24"/>
    <x v="1"/>
    <x v="9"/>
    <n v="435"/>
    <n v="389"/>
    <n v="1"/>
    <n v="1"/>
    <n v="0"/>
    <n v="0"/>
    <n v="0"/>
    <n v="0"/>
    <n v="0"/>
    <n v="52"/>
    <n v="2025"/>
    <x v="2"/>
    <x v="2"/>
    <x v="0"/>
  </r>
  <r>
    <x v="0"/>
    <x v="24"/>
    <x v="1"/>
    <x v="10"/>
    <n v="79"/>
    <n v="49"/>
    <n v="2"/>
    <n v="0"/>
    <n v="0"/>
    <n v="0"/>
    <n v="0"/>
    <n v="0"/>
    <n v="10"/>
    <n v="53"/>
    <n v="2025"/>
    <x v="2"/>
    <x v="2"/>
    <x v="0"/>
  </r>
  <r>
    <x v="0"/>
    <x v="24"/>
    <x v="1"/>
    <x v="11"/>
    <n v="33"/>
    <n v="30"/>
    <n v="0"/>
    <n v="0"/>
    <n v="0"/>
    <n v="0"/>
    <n v="0"/>
    <n v="0"/>
    <n v="22"/>
    <n v="11"/>
    <n v="2025"/>
    <x v="2"/>
    <x v="2"/>
    <x v="0"/>
  </r>
  <r>
    <x v="0"/>
    <x v="24"/>
    <x v="1"/>
    <x v="48"/>
    <n v="1"/>
    <n v="1"/>
    <n v="0"/>
    <n v="0"/>
    <n v="0"/>
    <n v="0"/>
    <n v="0"/>
    <n v="0"/>
    <n v="1"/>
    <n v="0"/>
    <n v="2025"/>
    <x v="2"/>
    <x v="2"/>
    <x v="0"/>
  </r>
  <r>
    <x v="0"/>
    <x v="24"/>
    <x v="1"/>
    <x v="59"/>
    <n v="3289"/>
    <n v="2772"/>
    <n v="70"/>
    <n v="19"/>
    <n v="150165"/>
    <n v="20"/>
    <n v="120875"/>
    <n v="17"/>
    <n v="754"/>
    <n v="1542"/>
    <n v="2025"/>
    <x v="2"/>
    <x v="2"/>
    <x v="0"/>
  </r>
  <r>
    <x v="0"/>
    <x v="24"/>
    <x v="1"/>
    <x v="15"/>
    <n v="424"/>
    <n v="409"/>
    <n v="0"/>
    <n v="2"/>
    <n v="0"/>
    <n v="0"/>
    <n v="0"/>
    <n v="0"/>
    <n v="3"/>
    <n v="424"/>
    <n v="2025"/>
    <x v="2"/>
    <x v="2"/>
    <x v="0"/>
  </r>
  <r>
    <x v="0"/>
    <x v="24"/>
    <x v="1"/>
    <x v="17"/>
    <n v="2293"/>
    <n v="1845"/>
    <n v="6"/>
    <n v="0"/>
    <n v="11950"/>
    <n v="1"/>
    <n v="0"/>
    <n v="0"/>
    <n v="15"/>
    <n v="2278"/>
    <n v="2025"/>
    <x v="2"/>
    <x v="2"/>
    <x v="0"/>
  </r>
  <r>
    <x v="0"/>
    <x v="24"/>
    <x v="1"/>
    <x v="18"/>
    <n v="73"/>
    <n v="57"/>
    <n v="7"/>
    <n v="0"/>
    <n v="33775"/>
    <n v="7"/>
    <n v="20590"/>
    <n v="4"/>
    <n v="8"/>
    <n v="62"/>
    <n v="2025"/>
    <x v="2"/>
    <x v="2"/>
    <x v="0"/>
  </r>
  <r>
    <x v="0"/>
    <x v="24"/>
    <x v="1"/>
    <x v="19"/>
    <n v="9151"/>
    <n v="7630"/>
    <n v="158"/>
    <n v="71"/>
    <n v="245560"/>
    <n v="42"/>
    <n v="201090"/>
    <n v="36"/>
    <n v="2979"/>
    <n v="4003"/>
    <n v="2025"/>
    <x v="2"/>
    <x v="2"/>
    <x v="0"/>
  </r>
  <r>
    <x v="0"/>
    <x v="24"/>
    <x v="1"/>
    <x v="20"/>
    <n v="157"/>
    <n v="77"/>
    <n v="6"/>
    <n v="1"/>
    <n v="0"/>
    <n v="0"/>
    <n v="0"/>
    <n v="0"/>
    <n v="12"/>
    <n v="155"/>
    <n v="2025"/>
    <x v="2"/>
    <x v="2"/>
    <x v="0"/>
  </r>
  <r>
    <x v="0"/>
    <x v="24"/>
    <x v="1"/>
    <x v="22"/>
    <n v="878"/>
    <n v="803"/>
    <n v="1"/>
    <n v="1"/>
    <n v="0"/>
    <n v="0"/>
    <n v="0"/>
    <n v="0"/>
    <n v="1"/>
    <n v="8"/>
    <n v="2025"/>
    <x v="2"/>
    <x v="2"/>
    <x v="0"/>
  </r>
  <r>
    <x v="0"/>
    <x v="24"/>
    <x v="1"/>
    <x v="24"/>
    <n v="190"/>
    <n v="164"/>
    <n v="10"/>
    <n v="0"/>
    <n v="8895"/>
    <n v="1"/>
    <n v="8895"/>
    <n v="1"/>
    <n v="53"/>
    <n v="164"/>
    <n v="2025"/>
    <x v="2"/>
    <x v="2"/>
    <x v="0"/>
  </r>
  <r>
    <x v="0"/>
    <x v="24"/>
    <x v="1"/>
    <x v="27"/>
    <n v="1658"/>
    <n v="1215"/>
    <n v="59"/>
    <n v="19"/>
    <n v="176287.98"/>
    <n v="31"/>
    <n v="157147.98000000001"/>
    <n v="30"/>
    <n v="787"/>
    <n v="1353"/>
    <n v="2025"/>
    <x v="2"/>
    <x v="2"/>
    <x v="0"/>
  </r>
  <r>
    <x v="0"/>
    <x v="24"/>
    <x v="1"/>
    <x v="29"/>
    <n v="11602"/>
    <n v="10557"/>
    <n v="245"/>
    <n v="110"/>
    <n v="223842.98"/>
    <n v="32"/>
    <n v="111517.98"/>
    <n v="23"/>
    <n v="6396"/>
    <n v="7185"/>
    <n v="2025"/>
    <x v="2"/>
    <x v="2"/>
    <x v="0"/>
  </r>
  <r>
    <x v="0"/>
    <x v="24"/>
    <x v="1"/>
    <x v="30"/>
    <n v="35894"/>
    <n v="32714"/>
    <n v="294"/>
    <n v="206"/>
    <n v="257950"/>
    <n v="32"/>
    <n v="139285"/>
    <n v="20"/>
    <n v="2038"/>
    <n v="29610"/>
    <n v="2025"/>
    <x v="2"/>
    <x v="2"/>
    <x v="0"/>
  </r>
  <r>
    <x v="0"/>
    <x v="24"/>
    <x v="1"/>
    <x v="31"/>
    <n v="1445"/>
    <n v="1263"/>
    <n v="61"/>
    <n v="59"/>
    <n v="33590"/>
    <n v="4"/>
    <n v="7890"/>
    <n v="2"/>
    <n v="285"/>
    <n v="1374"/>
    <n v="2025"/>
    <x v="2"/>
    <x v="2"/>
    <x v="0"/>
  </r>
  <r>
    <x v="0"/>
    <x v="24"/>
    <x v="1"/>
    <x v="32"/>
    <n v="18"/>
    <n v="13"/>
    <n v="0"/>
    <n v="0"/>
    <n v="0"/>
    <n v="0"/>
    <n v="0"/>
    <n v="0"/>
    <n v="3"/>
    <n v="18"/>
    <n v="2025"/>
    <x v="2"/>
    <x v="2"/>
    <x v="0"/>
  </r>
  <r>
    <x v="0"/>
    <x v="24"/>
    <x v="1"/>
    <x v="34"/>
    <n v="2256"/>
    <n v="1589"/>
    <n v="65"/>
    <n v="27"/>
    <n v="33920"/>
    <n v="7"/>
    <n v="24930"/>
    <n v="5"/>
    <n v="801"/>
    <n v="1941"/>
    <n v="2025"/>
    <x v="2"/>
    <x v="2"/>
    <x v="0"/>
  </r>
  <r>
    <x v="0"/>
    <x v="24"/>
    <x v="1"/>
    <x v="35"/>
    <n v="6"/>
    <n v="5"/>
    <n v="0"/>
    <n v="0"/>
    <n v="0"/>
    <n v="0"/>
    <n v="0"/>
    <n v="0"/>
    <n v="0"/>
    <n v="3"/>
    <n v="2025"/>
    <x v="2"/>
    <x v="2"/>
    <x v="0"/>
  </r>
  <r>
    <x v="0"/>
    <x v="24"/>
    <x v="1"/>
    <x v="36"/>
    <n v="16"/>
    <n v="16"/>
    <n v="0"/>
    <n v="0"/>
    <n v="0"/>
    <n v="0"/>
    <n v="0"/>
    <n v="0"/>
    <n v="9"/>
    <n v="8"/>
    <n v="2025"/>
    <x v="2"/>
    <x v="2"/>
    <x v="0"/>
  </r>
  <r>
    <x v="0"/>
    <x v="24"/>
    <x v="1"/>
    <x v="38"/>
    <n v="1641"/>
    <n v="1025"/>
    <n v="61"/>
    <n v="56"/>
    <n v="185775"/>
    <n v="23"/>
    <n v="175490"/>
    <n v="21"/>
    <n v="367"/>
    <n v="1553"/>
    <n v="2025"/>
    <x v="2"/>
    <x v="2"/>
    <x v="0"/>
  </r>
  <r>
    <x v="0"/>
    <x v="24"/>
    <x v="1"/>
    <x v="60"/>
    <n v="430"/>
    <n v="423"/>
    <n v="2"/>
    <n v="4"/>
    <n v="22200"/>
    <n v="2"/>
    <n v="0"/>
    <n v="0"/>
    <n v="24"/>
    <n v="429"/>
    <n v="2025"/>
    <x v="2"/>
    <x v="2"/>
    <x v="0"/>
  </r>
  <r>
    <x v="0"/>
    <x v="24"/>
    <x v="1"/>
    <x v="51"/>
    <n v="1"/>
    <n v="1"/>
    <n v="0"/>
    <n v="0"/>
    <n v="0"/>
    <n v="0"/>
    <n v="0"/>
    <n v="0"/>
    <n v="1"/>
    <n v="0"/>
    <n v="2025"/>
    <x v="2"/>
    <x v="2"/>
    <x v="0"/>
  </r>
  <r>
    <x v="0"/>
    <x v="24"/>
    <x v="1"/>
    <x v="64"/>
    <n v="5621"/>
    <n v="5232"/>
    <n v="97"/>
    <n v="29"/>
    <n v="77725"/>
    <n v="11"/>
    <n v="74475"/>
    <n v="10"/>
    <n v="822"/>
    <n v="5491"/>
    <n v="2025"/>
    <x v="2"/>
    <x v="2"/>
    <x v="0"/>
  </r>
  <r>
    <x v="0"/>
    <x v="24"/>
    <x v="1"/>
    <x v="43"/>
    <n v="1574"/>
    <n v="1267"/>
    <n v="34"/>
    <n v="13"/>
    <n v="51400"/>
    <n v="4"/>
    <n v="14500"/>
    <n v="1"/>
    <n v="1293"/>
    <n v="789"/>
    <n v="2025"/>
    <x v="2"/>
    <x v="2"/>
    <x v="0"/>
  </r>
  <r>
    <x v="0"/>
    <x v="24"/>
    <x v="1"/>
    <x v="44"/>
    <n v="221"/>
    <n v="82"/>
    <n v="0"/>
    <n v="1"/>
    <n v="29020"/>
    <n v="6"/>
    <n v="29020"/>
    <n v="6"/>
    <n v="0"/>
    <n v="221"/>
    <n v="2025"/>
    <x v="2"/>
    <x v="2"/>
    <x v="0"/>
  </r>
  <r>
    <x v="0"/>
    <x v="24"/>
    <x v="1"/>
    <x v="45"/>
    <n v="1"/>
    <n v="0"/>
    <n v="0"/>
    <n v="0"/>
    <n v="0"/>
    <n v="0"/>
    <n v="0"/>
    <n v="0"/>
    <n v="0"/>
    <n v="1"/>
    <n v="2025"/>
    <x v="2"/>
    <x v="2"/>
    <x v="0"/>
  </r>
  <r>
    <x v="0"/>
    <x v="25"/>
    <x v="0"/>
    <x v="0"/>
    <n v="6355"/>
    <n v="3941"/>
    <n v="846"/>
    <n v="68"/>
    <n v="1047088.17"/>
    <n v="249"/>
    <n v="740801.17"/>
    <n v="194"/>
    <n v="139"/>
    <n v="6259"/>
    <n v="2025"/>
    <x v="1"/>
    <x v="2"/>
    <x v="0"/>
  </r>
  <r>
    <x v="0"/>
    <x v="25"/>
    <x v="0"/>
    <x v="1"/>
    <n v="362818"/>
    <n v="350514"/>
    <n v="6290"/>
    <n v="5175"/>
    <n v="5582343.1100000003"/>
    <n v="1170"/>
    <n v="3032560.11"/>
    <n v="801"/>
    <n v="30795"/>
    <n v="355333"/>
    <n v="2025"/>
    <x v="1"/>
    <x v="2"/>
    <x v="0"/>
  </r>
  <r>
    <x v="0"/>
    <x v="25"/>
    <x v="0"/>
    <x v="2"/>
    <n v="22"/>
    <n v="15"/>
    <n v="0"/>
    <n v="0"/>
    <n v="0"/>
    <n v="0"/>
    <n v="0"/>
    <n v="0"/>
    <n v="5"/>
    <n v="14"/>
    <n v="2025"/>
    <x v="1"/>
    <x v="2"/>
    <x v="0"/>
  </r>
  <r>
    <x v="0"/>
    <x v="25"/>
    <x v="0"/>
    <x v="3"/>
    <n v="13509"/>
    <n v="12271"/>
    <n v="226"/>
    <n v="8"/>
    <n v="0"/>
    <n v="0"/>
    <n v="0"/>
    <n v="0"/>
    <n v="211"/>
    <n v="3083"/>
    <n v="2025"/>
    <x v="1"/>
    <x v="2"/>
    <x v="0"/>
  </r>
  <r>
    <x v="0"/>
    <x v="25"/>
    <x v="1"/>
    <x v="46"/>
    <n v="1"/>
    <n v="0"/>
    <n v="0"/>
    <n v="0"/>
    <n v="0"/>
    <n v="0"/>
    <n v="0"/>
    <n v="0"/>
    <n v="0"/>
    <n v="0"/>
    <n v="2025"/>
    <x v="1"/>
    <x v="2"/>
    <x v="0"/>
  </r>
  <r>
    <x v="0"/>
    <x v="25"/>
    <x v="1"/>
    <x v="4"/>
    <n v="1"/>
    <n v="1"/>
    <n v="0"/>
    <n v="0"/>
    <n v="0"/>
    <n v="0"/>
    <n v="0"/>
    <n v="0"/>
    <n v="0"/>
    <n v="0"/>
    <n v="2025"/>
    <x v="1"/>
    <x v="2"/>
    <x v="0"/>
  </r>
  <r>
    <x v="0"/>
    <x v="25"/>
    <x v="1"/>
    <x v="5"/>
    <n v="98"/>
    <n v="79"/>
    <n v="2"/>
    <n v="3"/>
    <n v="0"/>
    <n v="0"/>
    <n v="0"/>
    <n v="0"/>
    <n v="10"/>
    <n v="91"/>
    <n v="2025"/>
    <x v="1"/>
    <x v="2"/>
    <x v="0"/>
  </r>
  <r>
    <x v="0"/>
    <x v="25"/>
    <x v="1"/>
    <x v="6"/>
    <n v="8177"/>
    <n v="8014"/>
    <n v="1"/>
    <n v="0"/>
    <n v="0"/>
    <n v="0"/>
    <n v="0"/>
    <n v="0"/>
    <n v="3"/>
    <n v="10"/>
    <n v="2025"/>
    <x v="1"/>
    <x v="2"/>
    <x v="0"/>
  </r>
  <r>
    <x v="0"/>
    <x v="25"/>
    <x v="1"/>
    <x v="7"/>
    <n v="4583"/>
    <n v="2319"/>
    <n v="936"/>
    <n v="77"/>
    <n v="3655901.97"/>
    <n v="872"/>
    <n v="3175845.97"/>
    <n v="813"/>
    <n v="1687"/>
    <n v="4415"/>
    <n v="2025"/>
    <x v="1"/>
    <x v="2"/>
    <x v="0"/>
  </r>
  <r>
    <x v="0"/>
    <x v="25"/>
    <x v="1"/>
    <x v="8"/>
    <n v="1516"/>
    <n v="1252"/>
    <n v="38"/>
    <n v="41"/>
    <n v="10803"/>
    <n v="4"/>
    <n v="6255"/>
    <n v="2"/>
    <n v="14"/>
    <n v="462"/>
    <n v="2025"/>
    <x v="1"/>
    <x v="2"/>
    <x v="0"/>
  </r>
  <r>
    <x v="0"/>
    <x v="25"/>
    <x v="1"/>
    <x v="9"/>
    <n v="1066"/>
    <n v="925"/>
    <n v="4"/>
    <n v="4"/>
    <n v="3100"/>
    <n v="1"/>
    <n v="3100"/>
    <n v="1"/>
    <n v="8"/>
    <n v="88"/>
    <n v="2025"/>
    <x v="1"/>
    <x v="2"/>
    <x v="0"/>
  </r>
  <r>
    <x v="0"/>
    <x v="25"/>
    <x v="1"/>
    <x v="10"/>
    <n v="204"/>
    <n v="146"/>
    <n v="6"/>
    <n v="2"/>
    <n v="8557"/>
    <n v="3"/>
    <n v="3607"/>
    <n v="2"/>
    <n v="25"/>
    <n v="118"/>
    <n v="2025"/>
    <x v="1"/>
    <x v="2"/>
    <x v="0"/>
  </r>
  <r>
    <x v="0"/>
    <x v="25"/>
    <x v="1"/>
    <x v="11"/>
    <n v="93"/>
    <n v="90"/>
    <n v="0"/>
    <n v="0"/>
    <n v="0"/>
    <n v="0"/>
    <n v="0"/>
    <n v="0"/>
    <n v="78"/>
    <n v="15"/>
    <n v="2025"/>
    <x v="1"/>
    <x v="2"/>
    <x v="0"/>
  </r>
  <r>
    <x v="0"/>
    <x v="25"/>
    <x v="1"/>
    <x v="61"/>
    <n v="98"/>
    <n v="70"/>
    <n v="0"/>
    <n v="0"/>
    <n v="0"/>
    <n v="0"/>
    <n v="0"/>
    <n v="0"/>
    <n v="0"/>
    <n v="98"/>
    <n v="2025"/>
    <x v="1"/>
    <x v="2"/>
    <x v="0"/>
  </r>
  <r>
    <x v="0"/>
    <x v="25"/>
    <x v="1"/>
    <x v="48"/>
    <n v="4"/>
    <n v="4"/>
    <n v="0"/>
    <n v="0"/>
    <n v="0"/>
    <n v="0"/>
    <n v="0"/>
    <n v="0"/>
    <n v="2"/>
    <n v="2"/>
    <n v="2025"/>
    <x v="1"/>
    <x v="2"/>
    <x v="0"/>
  </r>
  <r>
    <x v="0"/>
    <x v="25"/>
    <x v="1"/>
    <x v="14"/>
    <n v="2"/>
    <n v="2"/>
    <n v="0"/>
    <n v="0"/>
    <n v="0"/>
    <n v="0"/>
    <n v="0"/>
    <n v="0"/>
    <n v="0"/>
    <n v="0"/>
    <n v="2025"/>
    <x v="1"/>
    <x v="2"/>
    <x v="0"/>
  </r>
  <r>
    <x v="0"/>
    <x v="25"/>
    <x v="1"/>
    <x v="59"/>
    <n v="18286"/>
    <n v="16690"/>
    <n v="370"/>
    <n v="73"/>
    <n v="663071.87"/>
    <n v="174"/>
    <n v="575882.87"/>
    <n v="165"/>
    <n v="1567"/>
    <n v="3323"/>
    <n v="2025"/>
    <x v="1"/>
    <x v="2"/>
    <x v="0"/>
  </r>
  <r>
    <x v="0"/>
    <x v="25"/>
    <x v="1"/>
    <x v="15"/>
    <n v="974"/>
    <n v="949"/>
    <n v="3"/>
    <n v="3"/>
    <n v="0"/>
    <n v="0"/>
    <n v="0"/>
    <n v="0"/>
    <n v="7"/>
    <n v="974"/>
    <n v="2025"/>
    <x v="1"/>
    <x v="2"/>
    <x v="0"/>
  </r>
  <r>
    <x v="0"/>
    <x v="25"/>
    <x v="1"/>
    <x v="17"/>
    <n v="9273"/>
    <n v="7439"/>
    <n v="131"/>
    <n v="10"/>
    <n v="12518"/>
    <n v="3"/>
    <n v="1598"/>
    <n v="1"/>
    <n v="14"/>
    <n v="9259"/>
    <n v="2025"/>
    <x v="1"/>
    <x v="2"/>
    <x v="0"/>
  </r>
  <r>
    <x v="0"/>
    <x v="25"/>
    <x v="1"/>
    <x v="18"/>
    <n v="302"/>
    <n v="275"/>
    <n v="54"/>
    <n v="2"/>
    <n v="210587.66"/>
    <n v="42"/>
    <n v="134907.66"/>
    <n v="32"/>
    <n v="35"/>
    <n v="282"/>
    <n v="2025"/>
    <x v="1"/>
    <x v="2"/>
    <x v="0"/>
  </r>
  <r>
    <x v="0"/>
    <x v="25"/>
    <x v="1"/>
    <x v="19"/>
    <n v="15949"/>
    <n v="12432"/>
    <n v="1068"/>
    <n v="203"/>
    <n v="1666177.18"/>
    <n v="437"/>
    <n v="1361378.31"/>
    <n v="383"/>
    <n v="5900"/>
    <n v="8809"/>
    <n v="2025"/>
    <x v="1"/>
    <x v="2"/>
    <x v="0"/>
  </r>
  <r>
    <x v="0"/>
    <x v="25"/>
    <x v="1"/>
    <x v="20"/>
    <n v="356"/>
    <n v="186"/>
    <n v="11"/>
    <n v="5"/>
    <n v="21922"/>
    <n v="7"/>
    <n v="15692"/>
    <n v="6"/>
    <n v="39"/>
    <n v="348"/>
    <n v="2025"/>
    <x v="1"/>
    <x v="2"/>
    <x v="0"/>
  </r>
  <r>
    <x v="0"/>
    <x v="25"/>
    <x v="1"/>
    <x v="50"/>
    <n v="1"/>
    <n v="0"/>
    <n v="0"/>
    <n v="0"/>
    <n v="1490"/>
    <n v="1"/>
    <n v="1490"/>
    <n v="1"/>
    <n v="0"/>
    <n v="0"/>
    <n v="2025"/>
    <x v="1"/>
    <x v="2"/>
    <x v="0"/>
  </r>
  <r>
    <x v="0"/>
    <x v="25"/>
    <x v="1"/>
    <x v="22"/>
    <n v="1143"/>
    <n v="932"/>
    <n v="13"/>
    <n v="2"/>
    <n v="30651.599999999999"/>
    <n v="11"/>
    <n v="23451.599999999999"/>
    <n v="9"/>
    <n v="11"/>
    <n v="163"/>
    <n v="2025"/>
    <x v="1"/>
    <x v="2"/>
    <x v="0"/>
  </r>
  <r>
    <x v="0"/>
    <x v="25"/>
    <x v="1"/>
    <x v="24"/>
    <n v="444"/>
    <n v="324"/>
    <n v="43"/>
    <n v="6"/>
    <n v="63284.25"/>
    <n v="22"/>
    <n v="46459.25"/>
    <n v="20"/>
    <n v="98"/>
    <n v="399"/>
    <n v="2025"/>
    <x v="1"/>
    <x v="2"/>
    <x v="0"/>
  </r>
  <r>
    <x v="0"/>
    <x v="25"/>
    <x v="1"/>
    <x v="27"/>
    <n v="2388"/>
    <n v="1342"/>
    <n v="242"/>
    <n v="47"/>
    <n v="738948.31"/>
    <n v="184"/>
    <n v="630519.31000000006"/>
    <n v="169"/>
    <n v="1298"/>
    <n v="1907"/>
    <n v="2025"/>
    <x v="1"/>
    <x v="2"/>
    <x v="0"/>
  </r>
  <r>
    <x v="0"/>
    <x v="25"/>
    <x v="1"/>
    <x v="29"/>
    <n v="18626"/>
    <n v="16128"/>
    <n v="917"/>
    <n v="221"/>
    <n v="817288.84"/>
    <n v="221"/>
    <n v="583582.84"/>
    <n v="186"/>
    <n v="9322"/>
    <n v="12532"/>
    <n v="2025"/>
    <x v="1"/>
    <x v="2"/>
    <x v="0"/>
  </r>
  <r>
    <x v="0"/>
    <x v="25"/>
    <x v="1"/>
    <x v="30"/>
    <n v="88352"/>
    <n v="80434"/>
    <n v="1195"/>
    <n v="619"/>
    <n v="959326.59"/>
    <n v="218"/>
    <n v="528401.59"/>
    <n v="172"/>
    <n v="5813"/>
    <n v="77037"/>
    <n v="2025"/>
    <x v="1"/>
    <x v="2"/>
    <x v="0"/>
  </r>
  <r>
    <x v="0"/>
    <x v="25"/>
    <x v="1"/>
    <x v="31"/>
    <n v="2170"/>
    <n v="1713"/>
    <n v="121"/>
    <n v="51"/>
    <n v="156052"/>
    <n v="28"/>
    <n v="139112"/>
    <n v="24"/>
    <n v="415"/>
    <n v="2066"/>
    <n v="2025"/>
    <x v="1"/>
    <x v="2"/>
    <x v="0"/>
  </r>
  <r>
    <x v="0"/>
    <x v="25"/>
    <x v="1"/>
    <x v="32"/>
    <n v="56"/>
    <n v="41"/>
    <n v="4"/>
    <n v="0"/>
    <n v="7430.76"/>
    <n v="3"/>
    <n v="3435.76"/>
    <n v="2"/>
    <n v="15"/>
    <n v="55"/>
    <n v="2025"/>
    <x v="1"/>
    <x v="2"/>
    <x v="0"/>
  </r>
  <r>
    <x v="0"/>
    <x v="25"/>
    <x v="1"/>
    <x v="34"/>
    <n v="5410"/>
    <n v="3357"/>
    <n v="339"/>
    <n v="114"/>
    <n v="249570.51"/>
    <n v="77"/>
    <n v="192963.51"/>
    <n v="64"/>
    <n v="1758"/>
    <n v="4910"/>
    <n v="2025"/>
    <x v="1"/>
    <x v="2"/>
    <x v="0"/>
  </r>
  <r>
    <x v="0"/>
    <x v="25"/>
    <x v="1"/>
    <x v="35"/>
    <n v="9"/>
    <n v="5"/>
    <n v="0"/>
    <n v="0"/>
    <n v="0"/>
    <n v="0"/>
    <n v="0"/>
    <n v="0"/>
    <n v="0"/>
    <n v="5"/>
    <n v="2025"/>
    <x v="1"/>
    <x v="2"/>
    <x v="0"/>
  </r>
  <r>
    <x v="0"/>
    <x v="25"/>
    <x v="1"/>
    <x v="36"/>
    <n v="31"/>
    <n v="26"/>
    <n v="0"/>
    <n v="0"/>
    <n v="0"/>
    <n v="0"/>
    <n v="0"/>
    <n v="0"/>
    <n v="7"/>
    <n v="24"/>
    <n v="2025"/>
    <x v="1"/>
    <x v="2"/>
    <x v="0"/>
  </r>
  <r>
    <x v="0"/>
    <x v="25"/>
    <x v="1"/>
    <x v="38"/>
    <n v="3683"/>
    <n v="1865"/>
    <n v="521"/>
    <n v="139"/>
    <n v="1480565.03"/>
    <n v="315"/>
    <n v="986590.03"/>
    <n v="267"/>
    <n v="1116"/>
    <n v="3491"/>
    <n v="2025"/>
    <x v="1"/>
    <x v="2"/>
    <x v="0"/>
  </r>
  <r>
    <x v="0"/>
    <x v="25"/>
    <x v="1"/>
    <x v="65"/>
    <n v="25"/>
    <n v="25"/>
    <n v="0"/>
    <n v="1"/>
    <n v="1990"/>
    <n v="1"/>
    <n v="0"/>
    <n v="0"/>
    <n v="0"/>
    <n v="25"/>
    <n v="2025"/>
    <x v="1"/>
    <x v="2"/>
    <x v="0"/>
  </r>
  <r>
    <x v="0"/>
    <x v="25"/>
    <x v="1"/>
    <x v="60"/>
    <n v="206"/>
    <n v="194"/>
    <n v="3"/>
    <n v="3"/>
    <n v="0"/>
    <n v="0"/>
    <n v="0"/>
    <n v="0"/>
    <n v="9"/>
    <n v="205"/>
    <n v="2025"/>
    <x v="1"/>
    <x v="2"/>
    <x v="0"/>
  </r>
  <r>
    <x v="0"/>
    <x v="25"/>
    <x v="1"/>
    <x v="39"/>
    <n v="9"/>
    <n v="8"/>
    <n v="0"/>
    <n v="0"/>
    <n v="0"/>
    <n v="0"/>
    <n v="0"/>
    <n v="0"/>
    <n v="2"/>
    <n v="9"/>
    <n v="2025"/>
    <x v="1"/>
    <x v="2"/>
    <x v="0"/>
  </r>
  <r>
    <x v="0"/>
    <x v="25"/>
    <x v="1"/>
    <x v="64"/>
    <n v="6665"/>
    <n v="5937"/>
    <n v="299"/>
    <n v="54"/>
    <n v="590687.26"/>
    <n v="103"/>
    <n v="422762.26"/>
    <n v="88"/>
    <n v="1158"/>
    <n v="6522"/>
    <n v="2025"/>
    <x v="1"/>
    <x v="2"/>
    <x v="0"/>
  </r>
  <r>
    <x v="0"/>
    <x v="25"/>
    <x v="1"/>
    <x v="42"/>
    <n v="1985"/>
    <n v="970"/>
    <n v="90"/>
    <n v="47"/>
    <n v="45574"/>
    <n v="17"/>
    <n v="25656"/>
    <n v="11"/>
    <n v="225"/>
    <n v="1943"/>
    <n v="2025"/>
    <x v="1"/>
    <x v="2"/>
    <x v="0"/>
  </r>
  <r>
    <x v="0"/>
    <x v="25"/>
    <x v="1"/>
    <x v="43"/>
    <n v="2031"/>
    <n v="1554"/>
    <n v="87"/>
    <n v="23"/>
    <n v="75469.95"/>
    <n v="22"/>
    <n v="69866.95"/>
    <n v="21"/>
    <n v="1572"/>
    <n v="1174"/>
    <n v="2025"/>
    <x v="1"/>
    <x v="2"/>
    <x v="0"/>
  </r>
  <r>
    <x v="0"/>
    <x v="25"/>
    <x v="1"/>
    <x v="44"/>
    <n v="459"/>
    <n v="193"/>
    <n v="23"/>
    <n v="3"/>
    <n v="228109"/>
    <n v="58"/>
    <n v="220521"/>
    <n v="57"/>
    <n v="7"/>
    <n v="459"/>
    <n v="2025"/>
    <x v="1"/>
    <x v="2"/>
    <x v="0"/>
  </r>
  <r>
    <x v="0"/>
    <x v="25"/>
    <x v="1"/>
    <x v="45"/>
    <n v="48"/>
    <n v="11"/>
    <n v="2"/>
    <n v="0"/>
    <n v="6063.53"/>
    <n v="3"/>
    <n v="6063.53"/>
    <n v="3"/>
    <n v="5"/>
    <n v="47"/>
    <n v="2025"/>
    <x v="1"/>
    <x v="2"/>
    <x v="0"/>
  </r>
  <r>
    <x v="1"/>
    <x v="26"/>
    <x v="0"/>
    <x v="0"/>
    <n v="258"/>
    <n v="82"/>
    <n v="4"/>
    <n v="0"/>
    <n v="3995"/>
    <n v="1"/>
    <n v="3995"/>
    <n v="1"/>
    <n v="0"/>
    <n v="252"/>
    <n v="2025"/>
    <x v="0"/>
    <x v="2"/>
    <x v="1"/>
  </r>
  <r>
    <x v="1"/>
    <x v="26"/>
    <x v="0"/>
    <x v="1"/>
    <n v="18072"/>
    <n v="12094"/>
    <n v="202"/>
    <n v="232"/>
    <n v="224391"/>
    <n v="57"/>
    <n v="115181"/>
    <n v="37"/>
    <n v="948"/>
    <n v="17870"/>
    <n v="2025"/>
    <x v="0"/>
    <x v="2"/>
    <x v="1"/>
  </r>
  <r>
    <x v="1"/>
    <x v="26"/>
    <x v="0"/>
    <x v="3"/>
    <n v="798"/>
    <n v="560"/>
    <n v="16"/>
    <n v="0"/>
    <n v="0"/>
    <n v="0"/>
    <n v="0"/>
    <n v="0"/>
    <n v="18"/>
    <n v="154"/>
    <n v="2025"/>
    <x v="0"/>
    <x v="2"/>
    <x v="1"/>
  </r>
  <r>
    <x v="1"/>
    <x v="26"/>
    <x v="1"/>
    <x v="5"/>
    <n v="2"/>
    <n v="1"/>
    <n v="0"/>
    <n v="0"/>
    <n v="0"/>
    <n v="0"/>
    <n v="0"/>
    <n v="0"/>
    <n v="0"/>
    <n v="2"/>
    <n v="2025"/>
    <x v="0"/>
    <x v="2"/>
    <x v="1"/>
  </r>
  <r>
    <x v="1"/>
    <x v="26"/>
    <x v="1"/>
    <x v="6"/>
    <n v="213"/>
    <n v="183"/>
    <n v="0"/>
    <n v="0"/>
    <n v="0"/>
    <n v="0"/>
    <n v="0"/>
    <n v="0"/>
    <n v="0"/>
    <n v="0"/>
    <n v="2025"/>
    <x v="0"/>
    <x v="2"/>
    <x v="1"/>
  </r>
  <r>
    <x v="1"/>
    <x v="26"/>
    <x v="1"/>
    <x v="7"/>
    <n v="289"/>
    <n v="78"/>
    <n v="43"/>
    <n v="1"/>
    <n v="186767.44"/>
    <n v="45"/>
    <n v="166964.44"/>
    <n v="40"/>
    <n v="80"/>
    <n v="275"/>
    <n v="2025"/>
    <x v="0"/>
    <x v="2"/>
    <x v="1"/>
  </r>
  <r>
    <x v="1"/>
    <x v="26"/>
    <x v="1"/>
    <x v="8"/>
    <n v="44"/>
    <n v="27"/>
    <n v="3"/>
    <n v="5"/>
    <n v="0"/>
    <n v="0"/>
    <n v="0"/>
    <n v="0"/>
    <n v="0"/>
    <n v="21"/>
    <n v="2025"/>
    <x v="0"/>
    <x v="2"/>
    <x v="1"/>
  </r>
  <r>
    <x v="1"/>
    <x v="26"/>
    <x v="1"/>
    <x v="9"/>
    <n v="77"/>
    <n v="72"/>
    <n v="0"/>
    <n v="0"/>
    <n v="0"/>
    <n v="0"/>
    <n v="0"/>
    <n v="0"/>
    <n v="0"/>
    <n v="1"/>
    <n v="2025"/>
    <x v="0"/>
    <x v="2"/>
    <x v="1"/>
  </r>
  <r>
    <x v="1"/>
    <x v="26"/>
    <x v="1"/>
    <x v="10"/>
    <n v="15"/>
    <n v="8"/>
    <n v="0"/>
    <n v="0"/>
    <n v="0"/>
    <n v="0"/>
    <n v="0"/>
    <n v="0"/>
    <n v="0"/>
    <n v="5"/>
    <n v="2025"/>
    <x v="0"/>
    <x v="2"/>
    <x v="1"/>
  </r>
  <r>
    <x v="1"/>
    <x v="26"/>
    <x v="1"/>
    <x v="11"/>
    <n v="1"/>
    <n v="1"/>
    <n v="0"/>
    <n v="0"/>
    <n v="0"/>
    <n v="0"/>
    <n v="0"/>
    <n v="0"/>
    <n v="1"/>
    <n v="0"/>
    <n v="2025"/>
    <x v="0"/>
    <x v="2"/>
    <x v="1"/>
  </r>
  <r>
    <x v="1"/>
    <x v="26"/>
    <x v="1"/>
    <x v="66"/>
    <n v="30"/>
    <n v="21"/>
    <n v="0"/>
    <n v="0"/>
    <n v="1990"/>
    <n v="1"/>
    <n v="0"/>
    <n v="0"/>
    <n v="0"/>
    <n v="6"/>
    <n v="2025"/>
    <x v="0"/>
    <x v="2"/>
    <x v="1"/>
  </r>
  <r>
    <x v="1"/>
    <x v="26"/>
    <x v="1"/>
    <x v="59"/>
    <n v="3963"/>
    <n v="3542"/>
    <n v="11"/>
    <n v="3"/>
    <n v="53279.28"/>
    <n v="14"/>
    <n v="41809.279999999999"/>
    <n v="11"/>
    <n v="61"/>
    <n v="188"/>
    <n v="2025"/>
    <x v="0"/>
    <x v="2"/>
    <x v="1"/>
  </r>
  <r>
    <x v="1"/>
    <x v="26"/>
    <x v="1"/>
    <x v="15"/>
    <n v="23"/>
    <n v="22"/>
    <n v="0"/>
    <n v="0"/>
    <n v="0"/>
    <n v="0"/>
    <n v="0"/>
    <n v="0"/>
    <n v="0"/>
    <n v="23"/>
    <n v="2025"/>
    <x v="0"/>
    <x v="2"/>
    <x v="1"/>
  </r>
  <r>
    <x v="1"/>
    <x v="26"/>
    <x v="1"/>
    <x v="17"/>
    <n v="178"/>
    <n v="98"/>
    <n v="7"/>
    <n v="0"/>
    <n v="0"/>
    <n v="0"/>
    <n v="0"/>
    <n v="0"/>
    <n v="0"/>
    <n v="178"/>
    <n v="2025"/>
    <x v="0"/>
    <x v="2"/>
    <x v="1"/>
  </r>
  <r>
    <x v="1"/>
    <x v="26"/>
    <x v="1"/>
    <x v="18"/>
    <n v="7"/>
    <n v="5"/>
    <n v="0"/>
    <n v="0"/>
    <n v="0"/>
    <n v="0"/>
    <n v="0"/>
    <n v="0"/>
    <n v="0"/>
    <n v="4"/>
    <n v="2025"/>
    <x v="0"/>
    <x v="2"/>
    <x v="1"/>
  </r>
  <r>
    <x v="1"/>
    <x v="26"/>
    <x v="1"/>
    <x v="19"/>
    <n v="554"/>
    <n v="349"/>
    <n v="24"/>
    <n v="9"/>
    <n v="96668"/>
    <n v="21"/>
    <n v="84893"/>
    <n v="19"/>
    <n v="191"/>
    <n v="311"/>
    <n v="2025"/>
    <x v="0"/>
    <x v="2"/>
    <x v="1"/>
  </r>
  <r>
    <x v="1"/>
    <x v="26"/>
    <x v="1"/>
    <x v="20"/>
    <n v="29"/>
    <n v="25"/>
    <n v="0"/>
    <n v="0"/>
    <n v="0"/>
    <n v="0"/>
    <n v="0"/>
    <n v="0"/>
    <n v="6"/>
    <n v="26"/>
    <n v="2025"/>
    <x v="0"/>
    <x v="2"/>
    <x v="1"/>
  </r>
  <r>
    <x v="1"/>
    <x v="26"/>
    <x v="1"/>
    <x v="22"/>
    <n v="30"/>
    <n v="21"/>
    <n v="0"/>
    <n v="0"/>
    <n v="1990"/>
    <n v="1"/>
    <n v="0"/>
    <n v="0"/>
    <n v="0"/>
    <n v="6"/>
    <n v="2025"/>
    <x v="0"/>
    <x v="2"/>
    <x v="1"/>
  </r>
  <r>
    <x v="1"/>
    <x v="26"/>
    <x v="1"/>
    <x v="24"/>
    <n v="40"/>
    <n v="16"/>
    <n v="2"/>
    <n v="0"/>
    <n v="4970"/>
    <n v="1"/>
    <n v="0"/>
    <n v="0"/>
    <n v="32"/>
    <n v="17"/>
    <n v="2025"/>
    <x v="0"/>
    <x v="2"/>
    <x v="1"/>
  </r>
  <r>
    <x v="1"/>
    <x v="26"/>
    <x v="1"/>
    <x v="27"/>
    <n v="70"/>
    <n v="32"/>
    <n v="5"/>
    <n v="3"/>
    <n v="25673"/>
    <n v="8"/>
    <n v="18988"/>
    <n v="6"/>
    <n v="30"/>
    <n v="54"/>
    <n v="2025"/>
    <x v="0"/>
    <x v="2"/>
    <x v="1"/>
  </r>
  <r>
    <x v="1"/>
    <x v="26"/>
    <x v="1"/>
    <x v="29"/>
    <n v="700"/>
    <n v="514"/>
    <n v="28"/>
    <n v="8"/>
    <n v="49683"/>
    <n v="16"/>
    <n v="37913"/>
    <n v="13"/>
    <n v="308"/>
    <n v="524"/>
    <n v="2025"/>
    <x v="0"/>
    <x v="2"/>
    <x v="1"/>
  </r>
  <r>
    <x v="1"/>
    <x v="26"/>
    <x v="1"/>
    <x v="30"/>
    <n v="3331"/>
    <n v="2323"/>
    <n v="37"/>
    <n v="18"/>
    <n v="62368"/>
    <n v="14"/>
    <n v="28898"/>
    <n v="9"/>
    <n v="165"/>
    <n v="2537"/>
    <n v="2025"/>
    <x v="0"/>
    <x v="2"/>
    <x v="1"/>
  </r>
  <r>
    <x v="1"/>
    <x v="26"/>
    <x v="1"/>
    <x v="31"/>
    <n v="83"/>
    <n v="58"/>
    <n v="2"/>
    <n v="6"/>
    <n v="0"/>
    <n v="0"/>
    <n v="0"/>
    <n v="0"/>
    <n v="15"/>
    <n v="78"/>
    <n v="2025"/>
    <x v="0"/>
    <x v="2"/>
    <x v="1"/>
  </r>
  <r>
    <x v="1"/>
    <x v="26"/>
    <x v="1"/>
    <x v="32"/>
    <n v="3"/>
    <n v="2"/>
    <n v="0"/>
    <n v="0"/>
    <n v="0"/>
    <n v="0"/>
    <n v="0"/>
    <n v="0"/>
    <n v="0"/>
    <n v="3"/>
    <n v="2025"/>
    <x v="0"/>
    <x v="2"/>
    <x v="1"/>
  </r>
  <r>
    <x v="1"/>
    <x v="26"/>
    <x v="1"/>
    <x v="34"/>
    <n v="150"/>
    <n v="75"/>
    <n v="9"/>
    <n v="2"/>
    <n v="9163"/>
    <n v="3"/>
    <n v="9163"/>
    <n v="3"/>
    <n v="44"/>
    <n v="138"/>
    <n v="2025"/>
    <x v="0"/>
    <x v="2"/>
    <x v="1"/>
  </r>
  <r>
    <x v="1"/>
    <x v="26"/>
    <x v="1"/>
    <x v="36"/>
    <n v="1"/>
    <n v="1"/>
    <n v="0"/>
    <n v="0"/>
    <n v="0"/>
    <n v="0"/>
    <n v="0"/>
    <n v="0"/>
    <n v="0"/>
    <n v="1"/>
    <n v="2025"/>
    <x v="0"/>
    <x v="2"/>
    <x v="1"/>
  </r>
  <r>
    <x v="1"/>
    <x v="26"/>
    <x v="1"/>
    <x v="38"/>
    <n v="232"/>
    <n v="66"/>
    <n v="13"/>
    <n v="7"/>
    <n v="50062.28"/>
    <n v="14"/>
    <n v="43665.279999999999"/>
    <n v="12"/>
    <n v="47"/>
    <n v="217"/>
    <n v="2025"/>
    <x v="0"/>
    <x v="2"/>
    <x v="1"/>
  </r>
  <r>
    <x v="1"/>
    <x v="26"/>
    <x v="1"/>
    <x v="65"/>
    <n v="1"/>
    <n v="1"/>
    <n v="0"/>
    <n v="0"/>
    <n v="0"/>
    <n v="0"/>
    <n v="0"/>
    <n v="0"/>
    <n v="0"/>
    <n v="1"/>
    <n v="2025"/>
    <x v="0"/>
    <x v="2"/>
    <x v="1"/>
  </r>
  <r>
    <x v="1"/>
    <x v="26"/>
    <x v="1"/>
    <x v="60"/>
    <n v="11"/>
    <n v="11"/>
    <n v="0"/>
    <n v="0"/>
    <n v="0"/>
    <n v="0"/>
    <n v="0"/>
    <n v="0"/>
    <n v="2"/>
    <n v="11"/>
    <n v="2025"/>
    <x v="0"/>
    <x v="2"/>
    <x v="1"/>
  </r>
  <r>
    <x v="1"/>
    <x v="26"/>
    <x v="1"/>
    <x v="64"/>
    <n v="458"/>
    <n v="255"/>
    <n v="10"/>
    <n v="3"/>
    <n v="9683"/>
    <n v="3"/>
    <n v="2348"/>
    <n v="1"/>
    <n v="65"/>
    <n v="445"/>
    <n v="2025"/>
    <x v="0"/>
    <x v="2"/>
    <x v="1"/>
  </r>
  <r>
    <x v="1"/>
    <x v="26"/>
    <x v="1"/>
    <x v="42"/>
    <n v="149"/>
    <n v="78"/>
    <n v="4"/>
    <n v="5"/>
    <n v="0"/>
    <n v="0"/>
    <n v="0"/>
    <n v="0"/>
    <n v="12"/>
    <n v="145"/>
    <n v="2025"/>
    <x v="0"/>
    <x v="2"/>
    <x v="1"/>
  </r>
  <r>
    <x v="1"/>
    <x v="26"/>
    <x v="1"/>
    <x v="43"/>
    <n v="104"/>
    <n v="59"/>
    <n v="7"/>
    <n v="0"/>
    <n v="3180"/>
    <n v="2"/>
    <n v="3180"/>
    <n v="2"/>
    <n v="72"/>
    <n v="50"/>
    <n v="2025"/>
    <x v="0"/>
    <x v="2"/>
    <x v="1"/>
  </r>
  <r>
    <x v="1"/>
    <x v="26"/>
    <x v="1"/>
    <x v="44"/>
    <n v="30"/>
    <n v="7"/>
    <n v="2"/>
    <n v="0"/>
    <n v="28360"/>
    <n v="5"/>
    <n v="23390"/>
    <n v="4"/>
    <n v="0"/>
    <n v="30"/>
    <n v="2025"/>
    <x v="0"/>
    <x v="2"/>
    <x v="1"/>
  </r>
  <r>
    <x v="1"/>
    <x v="26"/>
    <x v="1"/>
    <x v="45"/>
    <n v="2"/>
    <n v="0"/>
    <n v="1"/>
    <n v="0"/>
    <n v="0"/>
    <n v="0"/>
    <n v="0"/>
    <n v="0"/>
    <n v="0"/>
    <n v="2"/>
    <n v="2025"/>
    <x v="0"/>
    <x v="2"/>
    <x v="1"/>
  </r>
  <r>
    <x v="1"/>
    <x v="27"/>
    <x v="0"/>
    <x v="0"/>
    <n v="267"/>
    <n v="82"/>
    <n v="5"/>
    <n v="0"/>
    <n v="6385"/>
    <n v="2"/>
    <n v="6385"/>
    <n v="2"/>
    <n v="3"/>
    <n v="265"/>
    <n v="2025"/>
    <x v="0"/>
    <x v="2"/>
    <x v="1"/>
  </r>
  <r>
    <x v="1"/>
    <x v="27"/>
    <x v="0"/>
    <x v="1"/>
    <n v="23809"/>
    <n v="16836"/>
    <n v="253"/>
    <n v="234"/>
    <n v="297417"/>
    <n v="78"/>
    <n v="177620"/>
    <n v="54"/>
    <n v="1063"/>
    <n v="23580"/>
    <n v="2025"/>
    <x v="0"/>
    <x v="2"/>
    <x v="1"/>
  </r>
  <r>
    <x v="1"/>
    <x v="27"/>
    <x v="0"/>
    <x v="3"/>
    <n v="1150"/>
    <n v="901"/>
    <n v="11"/>
    <n v="1"/>
    <n v="0"/>
    <n v="0"/>
    <n v="0"/>
    <n v="0"/>
    <n v="17"/>
    <n v="159"/>
    <n v="2025"/>
    <x v="0"/>
    <x v="2"/>
    <x v="1"/>
  </r>
  <r>
    <x v="1"/>
    <x v="27"/>
    <x v="1"/>
    <x v="5"/>
    <n v="6"/>
    <n v="3"/>
    <n v="0"/>
    <n v="0"/>
    <n v="0"/>
    <n v="0"/>
    <n v="0"/>
    <n v="0"/>
    <n v="0"/>
    <n v="6"/>
    <n v="2025"/>
    <x v="0"/>
    <x v="2"/>
    <x v="1"/>
  </r>
  <r>
    <x v="1"/>
    <x v="27"/>
    <x v="1"/>
    <x v="6"/>
    <n v="327"/>
    <n v="303"/>
    <n v="0"/>
    <n v="0"/>
    <n v="0"/>
    <n v="0"/>
    <n v="0"/>
    <n v="0"/>
    <n v="0"/>
    <n v="0"/>
    <n v="2025"/>
    <x v="0"/>
    <x v="2"/>
    <x v="1"/>
  </r>
  <r>
    <x v="1"/>
    <x v="27"/>
    <x v="1"/>
    <x v="7"/>
    <n v="292"/>
    <n v="82"/>
    <n v="38"/>
    <n v="1"/>
    <n v="162399"/>
    <n v="44"/>
    <n v="143652"/>
    <n v="42"/>
    <n v="74"/>
    <n v="285"/>
    <n v="2025"/>
    <x v="0"/>
    <x v="2"/>
    <x v="1"/>
  </r>
  <r>
    <x v="1"/>
    <x v="27"/>
    <x v="1"/>
    <x v="8"/>
    <n v="176"/>
    <n v="153"/>
    <n v="1"/>
    <n v="0"/>
    <n v="0"/>
    <n v="0"/>
    <n v="0"/>
    <n v="0"/>
    <n v="0"/>
    <n v="13"/>
    <n v="2025"/>
    <x v="0"/>
    <x v="2"/>
    <x v="1"/>
  </r>
  <r>
    <x v="1"/>
    <x v="27"/>
    <x v="1"/>
    <x v="9"/>
    <n v="187"/>
    <n v="177"/>
    <n v="0"/>
    <n v="0"/>
    <n v="0"/>
    <n v="0"/>
    <n v="0"/>
    <n v="0"/>
    <n v="0"/>
    <n v="3"/>
    <n v="2025"/>
    <x v="0"/>
    <x v="2"/>
    <x v="1"/>
  </r>
  <r>
    <x v="1"/>
    <x v="27"/>
    <x v="1"/>
    <x v="10"/>
    <n v="18"/>
    <n v="10"/>
    <n v="0"/>
    <n v="0"/>
    <n v="0"/>
    <n v="0"/>
    <n v="0"/>
    <n v="0"/>
    <n v="0"/>
    <n v="3"/>
    <n v="2025"/>
    <x v="0"/>
    <x v="2"/>
    <x v="1"/>
  </r>
  <r>
    <x v="1"/>
    <x v="27"/>
    <x v="1"/>
    <x v="11"/>
    <n v="8"/>
    <n v="8"/>
    <n v="0"/>
    <n v="0"/>
    <n v="0"/>
    <n v="0"/>
    <n v="0"/>
    <n v="0"/>
    <n v="8"/>
    <n v="0"/>
    <n v="2025"/>
    <x v="0"/>
    <x v="2"/>
    <x v="1"/>
  </r>
  <r>
    <x v="1"/>
    <x v="27"/>
    <x v="1"/>
    <x v="61"/>
    <n v="1"/>
    <n v="0"/>
    <n v="0"/>
    <n v="0"/>
    <n v="0"/>
    <n v="0"/>
    <n v="0"/>
    <n v="0"/>
    <n v="0"/>
    <n v="0"/>
    <n v="2025"/>
    <x v="0"/>
    <x v="2"/>
    <x v="1"/>
  </r>
  <r>
    <x v="1"/>
    <x v="27"/>
    <x v="1"/>
    <x v="48"/>
    <n v="1"/>
    <n v="1"/>
    <n v="0"/>
    <n v="0"/>
    <n v="0"/>
    <n v="0"/>
    <n v="0"/>
    <n v="0"/>
    <n v="0"/>
    <n v="1"/>
    <n v="2025"/>
    <x v="0"/>
    <x v="2"/>
    <x v="1"/>
  </r>
  <r>
    <x v="1"/>
    <x v="27"/>
    <x v="1"/>
    <x v="66"/>
    <n v="32"/>
    <n v="14"/>
    <n v="3"/>
    <n v="0"/>
    <n v="17920"/>
    <n v="3"/>
    <n v="17920"/>
    <n v="3"/>
    <n v="1"/>
    <n v="12"/>
    <n v="2025"/>
    <x v="0"/>
    <x v="2"/>
    <x v="1"/>
  </r>
  <r>
    <x v="1"/>
    <x v="27"/>
    <x v="1"/>
    <x v="59"/>
    <n v="4139"/>
    <n v="3819"/>
    <n v="24"/>
    <n v="4"/>
    <n v="33436.449999999997"/>
    <n v="8"/>
    <n v="29636.45"/>
    <n v="7"/>
    <n v="62"/>
    <n v="216"/>
    <n v="2025"/>
    <x v="0"/>
    <x v="2"/>
    <x v="1"/>
  </r>
  <r>
    <x v="1"/>
    <x v="27"/>
    <x v="1"/>
    <x v="15"/>
    <n v="24"/>
    <n v="20"/>
    <n v="2"/>
    <n v="0"/>
    <n v="0"/>
    <n v="0"/>
    <n v="0"/>
    <n v="0"/>
    <n v="1"/>
    <n v="24"/>
    <n v="2025"/>
    <x v="0"/>
    <x v="2"/>
    <x v="1"/>
  </r>
  <r>
    <x v="1"/>
    <x v="27"/>
    <x v="1"/>
    <x v="17"/>
    <n v="298"/>
    <n v="196"/>
    <n v="7"/>
    <n v="1"/>
    <n v="0"/>
    <n v="0"/>
    <n v="0"/>
    <n v="0"/>
    <n v="3"/>
    <n v="295"/>
    <n v="2025"/>
    <x v="0"/>
    <x v="2"/>
    <x v="1"/>
  </r>
  <r>
    <x v="1"/>
    <x v="27"/>
    <x v="1"/>
    <x v="18"/>
    <n v="7"/>
    <n v="7"/>
    <n v="0"/>
    <n v="0"/>
    <n v="0"/>
    <n v="0"/>
    <n v="0"/>
    <n v="0"/>
    <n v="1"/>
    <n v="5"/>
    <n v="2025"/>
    <x v="0"/>
    <x v="2"/>
    <x v="1"/>
  </r>
  <r>
    <x v="1"/>
    <x v="27"/>
    <x v="1"/>
    <x v="19"/>
    <n v="625"/>
    <n v="401"/>
    <n v="25"/>
    <n v="3"/>
    <n v="77252"/>
    <n v="13"/>
    <n v="62230"/>
    <n v="12"/>
    <n v="189"/>
    <n v="338"/>
    <n v="2025"/>
    <x v="0"/>
    <x v="2"/>
    <x v="1"/>
  </r>
  <r>
    <x v="1"/>
    <x v="27"/>
    <x v="1"/>
    <x v="20"/>
    <n v="8"/>
    <n v="6"/>
    <n v="0"/>
    <n v="0"/>
    <n v="0"/>
    <n v="0"/>
    <n v="0"/>
    <n v="0"/>
    <n v="4"/>
    <n v="7"/>
    <n v="2025"/>
    <x v="0"/>
    <x v="2"/>
    <x v="1"/>
  </r>
  <r>
    <x v="1"/>
    <x v="27"/>
    <x v="1"/>
    <x v="22"/>
    <n v="32"/>
    <n v="14"/>
    <n v="3"/>
    <n v="0"/>
    <n v="17920"/>
    <n v="3"/>
    <n v="17920"/>
    <n v="3"/>
    <n v="1"/>
    <n v="12"/>
    <n v="2025"/>
    <x v="0"/>
    <x v="2"/>
    <x v="1"/>
  </r>
  <r>
    <x v="1"/>
    <x v="27"/>
    <x v="1"/>
    <x v="24"/>
    <n v="37"/>
    <n v="26"/>
    <n v="3"/>
    <n v="0"/>
    <n v="2490"/>
    <n v="1"/>
    <n v="0"/>
    <n v="0"/>
    <n v="24"/>
    <n v="25"/>
    <n v="2025"/>
    <x v="0"/>
    <x v="2"/>
    <x v="1"/>
  </r>
  <r>
    <x v="1"/>
    <x v="27"/>
    <x v="1"/>
    <x v="27"/>
    <n v="78"/>
    <n v="36"/>
    <n v="12"/>
    <n v="2"/>
    <n v="40854"/>
    <n v="9"/>
    <n v="32772"/>
    <n v="8"/>
    <n v="33"/>
    <n v="69"/>
    <n v="2025"/>
    <x v="0"/>
    <x v="2"/>
    <x v="1"/>
  </r>
  <r>
    <x v="1"/>
    <x v="27"/>
    <x v="1"/>
    <x v="29"/>
    <n v="726"/>
    <n v="520"/>
    <n v="40"/>
    <n v="4"/>
    <n v="46105"/>
    <n v="8"/>
    <n v="35740"/>
    <n v="7"/>
    <n v="310"/>
    <n v="537"/>
    <n v="2025"/>
    <x v="0"/>
    <x v="2"/>
    <x v="1"/>
  </r>
  <r>
    <x v="1"/>
    <x v="27"/>
    <x v="1"/>
    <x v="30"/>
    <n v="3334"/>
    <n v="2346"/>
    <n v="29"/>
    <n v="14"/>
    <n v="16127"/>
    <n v="6"/>
    <n v="14637"/>
    <n v="5"/>
    <n v="158"/>
    <n v="2513"/>
    <n v="2025"/>
    <x v="0"/>
    <x v="2"/>
    <x v="1"/>
  </r>
  <r>
    <x v="1"/>
    <x v="27"/>
    <x v="1"/>
    <x v="31"/>
    <n v="87"/>
    <n v="55"/>
    <n v="1"/>
    <n v="3"/>
    <n v="7555"/>
    <n v="2"/>
    <n v="5065"/>
    <n v="1"/>
    <n v="15"/>
    <n v="84"/>
    <n v="2025"/>
    <x v="0"/>
    <x v="2"/>
    <x v="1"/>
  </r>
  <r>
    <x v="1"/>
    <x v="27"/>
    <x v="1"/>
    <x v="32"/>
    <n v="3"/>
    <n v="2"/>
    <n v="0"/>
    <n v="0"/>
    <n v="0"/>
    <n v="0"/>
    <n v="0"/>
    <n v="0"/>
    <n v="0"/>
    <n v="3"/>
    <n v="2025"/>
    <x v="0"/>
    <x v="2"/>
    <x v="1"/>
  </r>
  <r>
    <x v="1"/>
    <x v="27"/>
    <x v="1"/>
    <x v="34"/>
    <n v="190"/>
    <n v="92"/>
    <n v="9"/>
    <n v="5"/>
    <n v="19595"/>
    <n v="8"/>
    <n v="19595"/>
    <n v="8"/>
    <n v="48"/>
    <n v="174"/>
    <n v="2025"/>
    <x v="0"/>
    <x v="2"/>
    <x v="1"/>
  </r>
  <r>
    <x v="1"/>
    <x v="27"/>
    <x v="1"/>
    <x v="36"/>
    <n v="2"/>
    <n v="2"/>
    <n v="0"/>
    <n v="0"/>
    <n v="0"/>
    <n v="0"/>
    <n v="0"/>
    <n v="0"/>
    <n v="1"/>
    <n v="1"/>
    <n v="2025"/>
    <x v="0"/>
    <x v="2"/>
    <x v="1"/>
  </r>
  <r>
    <x v="1"/>
    <x v="27"/>
    <x v="1"/>
    <x v="38"/>
    <n v="254"/>
    <n v="82"/>
    <n v="22"/>
    <n v="4"/>
    <n v="51494"/>
    <n v="15"/>
    <n v="43804"/>
    <n v="14"/>
    <n v="45"/>
    <n v="242"/>
    <n v="2025"/>
    <x v="0"/>
    <x v="2"/>
    <x v="1"/>
  </r>
  <r>
    <x v="1"/>
    <x v="27"/>
    <x v="1"/>
    <x v="65"/>
    <n v="1"/>
    <n v="1"/>
    <n v="0"/>
    <n v="1"/>
    <n v="0"/>
    <n v="0"/>
    <n v="0"/>
    <n v="0"/>
    <n v="0"/>
    <n v="1"/>
    <n v="2025"/>
    <x v="0"/>
    <x v="2"/>
    <x v="1"/>
  </r>
  <r>
    <x v="1"/>
    <x v="27"/>
    <x v="1"/>
    <x v="60"/>
    <n v="10"/>
    <n v="10"/>
    <n v="0"/>
    <n v="0"/>
    <n v="0"/>
    <n v="0"/>
    <n v="0"/>
    <n v="0"/>
    <n v="1"/>
    <n v="10"/>
    <n v="2025"/>
    <x v="0"/>
    <x v="2"/>
    <x v="1"/>
  </r>
  <r>
    <x v="1"/>
    <x v="27"/>
    <x v="1"/>
    <x v="39"/>
    <n v="2"/>
    <n v="2"/>
    <n v="0"/>
    <n v="0"/>
    <n v="0"/>
    <n v="0"/>
    <n v="0"/>
    <n v="0"/>
    <n v="0"/>
    <n v="2"/>
    <n v="2025"/>
    <x v="0"/>
    <x v="2"/>
    <x v="1"/>
  </r>
  <r>
    <x v="1"/>
    <x v="27"/>
    <x v="1"/>
    <x v="64"/>
    <n v="439"/>
    <n v="239"/>
    <n v="11"/>
    <n v="3"/>
    <n v="10985"/>
    <n v="3"/>
    <n v="10985"/>
    <n v="3"/>
    <n v="57"/>
    <n v="433"/>
    <n v="2025"/>
    <x v="0"/>
    <x v="2"/>
    <x v="1"/>
  </r>
  <r>
    <x v="1"/>
    <x v="27"/>
    <x v="1"/>
    <x v="42"/>
    <n v="177"/>
    <n v="108"/>
    <n v="2"/>
    <n v="1"/>
    <n v="2490"/>
    <n v="1"/>
    <n v="0"/>
    <n v="0"/>
    <n v="10"/>
    <n v="171"/>
    <n v="2025"/>
    <x v="0"/>
    <x v="2"/>
    <x v="1"/>
  </r>
  <r>
    <x v="1"/>
    <x v="27"/>
    <x v="1"/>
    <x v="43"/>
    <n v="75"/>
    <n v="39"/>
    <n v="3"/>
    <n v="1"/>
    <n v="0"/>
    <n v="0"/>
    <n v="0"/>
    <n v="0"/>
    <n v="56"/>
    <n v="45"/>
    <n v="2025"/>
    <x v="0"/>
    <x v="2"/>
    <x v="1"/>
  </r>
  <r>
    <x v="1"/>
    <x v="27"/>
    <x v="1"/>
    <x v="44"/>
    <n v="20"/>
    <n v="5"/>
    <n v="1"/>
    <n v="0"/>
    <n v="16467"/>
    <n v="6"/>
    <n v="16467"/>
    <n v="6"/>
    <n v="0"/>
    <n v="20"/>
    <n v="2025"/>
    <x v="0"/>
    <x v="2"/>
    <x v="1"/>
  </r>
  <r>
    <x v="1"/>
    <x v="27"/>
    <x v="1"/>
    <x v="45"/>
    <n v="4"/>
    <n v="0"/>
    <n v="0"/>
    <n v="0"/>
    <n v="2490"/>
    <n v="1"/>
    <n v="0"/>
    <n v="0"/>
    <n v="0"/>
    <n v="4"/>
    <n v="2025"/>
    <x v="0"/>
    <x v="2"/>
    <x v="1"/>
  </r>
  <r>
    <x v="1"/>
    <x v="28"/>
    <x v="0"/>
    <x v="0"/>
    <n v="255"/>
    <n v="73"/>
    <n v="2"/>
    <n v="1"/>
    <n v="15704"/>
    <n v="3"/>
    <n v="13787"/>
    <n v="2"/>
    <n v="1"/>
    <n v="252"/>
    <n v="2025"/>
    <x v="0"/>
    <x v="2"/>
    <x v="1"/>
  </r>
  <r>
    <x v="1"/>
    <x v="28"/>
    <x v="0"/>
    <x v="1"/>
    <n v="20532"/>
    <n v="14219"/>
    <n v="196"/>
    <n v="210"/>
    <n v="164179"/>
    <n v="40"/>
    <n v="105507"/>
    <n v="29"/>
    <n v="1126"/>
    <n v="20322"/>
    <n v="2025"/>
    <x v="0"/>
    <x v="2"/>
    <x v="1"/>
  </r>
  <r>
    <x v="1"/>
    <x v="28"/>
    <x v="0"/>
    <x v="3"/>
    <n v="744"/>
    <n v="534"/>
    <n v="13"/>
    <n v="2"/>
    <n v="0"/>
    <n v="0"/>
    <n v="0"/>
    <n v="0"/>
    <n v="20"/>
    <n v="162"/>
    <n v="2025"/>
    <x v="0"/>
    <x v="2"/>
    <x v="1"/>
  </r>
  <r>
    <x v="1"/>
    <x v="28"/>
    <x v="1"/>
    <x v="5"/>
    <n v="1"/>
    <n v="1"/>
    <n v="0"/>
    <n v="0"/>
    <n v="0"/>
    <n v="0"/>
    <n v="0"/>
    <n v="0"/>
    <n v="1"/>
    <n v="0"/>
    <n v="2025"/>
    <x v="0"/>
    <x v="2"/>
    <x v="1"/>
  </r>
  <r>
    <x v="1"/>
    <x v="28"/>
    <x v="1"/>
    <x v="6"/>
    <n v="109"/>
    <n v="89"/>
    <n v="0"/>
    <n v="0"/>
    <n v="0"/>
    <n v="0"/>
    <n v="0"/>
    <n v="0"/>
    <n v="0"/>
    <n v="3"/>
    <n v="2025"/>
    <x v="0"/>
    <x v="2"/>
    <x v="1"/>
  </r>
  <r>
    <x v="1"/>
    <x v="28"/>
    <x v="1"/>
    <x v="7"/>
    <n v="355"/>
    <n v="99"/>
    <n v="33"/>
    <n v="3"/>
    <n v="142493"/>
    <n v="37"/>
    <n v="99205"/>
    <n v="31"/>
    <n v="98"/>
    <n v="338"/>
    <n v="2025"/>
    <x v="0"/>
    <x v="2"/>
    <x v="1"/>
  </r>
  <r>
    <x v="1"/>
    <x v="28"/>
    <x v="1"/>
    <x v="8"/>
    <n v="76"/>
    <n v="60"/>
    <n v="0"/>
    <n v="2"/>
    <n v="5845"/>
    <n v="1"/>
    <n v="0"/>
    <n v="0"/>
    <n v="0"/>
    <n v="25"/>
    <n v="2025"/>
    <x v="0"/>
    <x v="2"/>
    <x v="1"/>
  </r>
  <r>
    <x v="1"/>
    <x v="28"/>
    <x v="1"/>
    <x v="9"/>
    <n v="204"/>
    <n v="198"/>
    <n v="0"/>
    <n v="0"/>
    <n v="0"/>
    <n v="0"/>
    <n v="0"/>
    <n v="0"/>
    <n v="0"/>
    <n v="2"/>
    <n v="2025"/>
    <x v="0"/>
    <x v="2"/>
    <x v="1"/>
  </r>
  <r>
    <x v="1"/>
    <x v="28"/>
    <x v="1"/>
    <x v="10"/>
    <n v="25"/>
    <n v="19"/>
    <n v="0"/>
    <n v="0"/>
    <n v="0"/>
    <n v="0"/>
    <n v="0"/>
    <n v="0"/>
    <n v="0"/>
    <n v="3"/>
    <n v="2025"/>
    <x v="0"/>
    <x v="2"/>
    <x v="1"/>
  </r>
  <r>
    <x v="1"/>
    <x v="28"/>
    <x v="1"/>
    <x v="66"/>
    <n v="23"/>
    <n v="11"/>
    <n v="0"/>
    <n v="0"/>
    <n v="0"/>
    <n v="0"/>
    <n v="0"/>
    <n v="0"/>
    <n v="0"/>
    <n v="7"/>
    <n v="2025"/>
    <x v="0"/>
    <x v="2"/>
    <x v="1"/>
  </r>
  <r>
    <x v="1"/>
    <x v="28"/>
    <x v="1"/>
    <x v="59"/>
    <n v="2563"/>
    <n v="2301"/>
    <n v="21"/>
    <n v="6"/>
    <n v="59468"/>
    <n v="19"/>
    <n v="52998"/>
    <n v="17"/>
    <n v="67"/>
    <n v="196"/>
    <n v="2025"/>
    <x v="0"/>
    <x v="2"/>
    <x v="1"/>
  </r>
  <r>
    <x v="1"/>
    <x v="28"/>
    <x v="1"/>
    <x v="15"/>
    <n v="19"/>
    <n v="19"/>
    <n v="0"/>
    <n v="0"/>
    <n v="0"/>
    <n v="0"/>
    <n v="0"/>
    <n v="0"/>
    <n v="1"/>
    <n v="19"/>
    <n v="2025"/>
    <x v="0"/>
    <x v="2"/>
    <x v="1"/>
  </r>
  <r>
    <x v="1"/>
    <x v="28"/>
    <x v="1"/>
    <x v="17"/>
    <n v="198"/>
    <n v="126"/>
    <n v="1"/>
    <n v="0"/>
    <n v="0"/>
    <n v="0"/>
    <n v="0"/>
    <n v="0"/>
    <n v="1"/>
    <n v="197"/>
    <n v="2025"/>
    <x v="0"/>
    <x v="2"/>
    <x v="1"/>
  </r>
  <r>
    <x v="1"/>
    <x v="28"/>
    <x v="1"/>
    <x v="18"/>
    <n v="13"/>
    <n v="9"/>
    <n v="2"/>
    <n v="0"/>
    <n v="15804"/>
    <n v="4"/>
    <n v="7824"/>
    <n v="3"/>
    <n v="3"/>
    <n v="11"/>
    <n v="2025"/>
    <x v="0"/>
    <x v="2"/>
    <x v="1"/>
  </r>
  <r>
    <x v="1"/>
    <x v="28"/>
    <x v="1"/>
    <x v="19"/>
    <n v="564"/>
    <n v="356"/>
    <n v="27"/>
    <n v="6"/>
    <n v="75552"/>
    <n v="12"/>
    <n v="56640"/>
    <n v="10"/>
    <n v="207"/>
    <n v="385"/>
    <n v="2025"/>
    <x v="0"/>
    <x v="2"/>
    <x v="1"/>
  </r>
  <r>
    <x v="1"/>
    <x v="28"/>
    <x v="1"/>
    <x v="20"/>
    <n v="36"/>
    <n v="29"/>
    <n v="0"/>
    <n v="0"/>
    <n v="0"/>
    <n v="0"/>
    <n v="0"/>
    <n v="0"/>
    <n v="5"/>
    <n v="35"/>
    <n v="2025"/>
    <x v="0"/>
    <x v="2"/>
    <x v="1"/>
  </r>
  <r>
    <x v="1"/>
    <x v="28"/>
    <x v="1"/>
    <x v="22"/>
    <n v="23"/>
    <n v="11"/>
    <n v="0"/>
    <n v="0"/>
    <n v="0"/>
    <n v="0"/>
    <n v="0"/>
    <n v="0"/>
    <n v="0"/>
    <n v="7"/>
    <n v="2025"/>
    <x v="0"/>
    <x v="2"/>
    <x v="1"/>
  </r>
  <r>
    <x v="1"/>
    <x v="28"/>
    <x v="1"/>
    <x v="24"/>
    <n v="29"/>
    <n v="20"/>
    <n v="1"/>
    <n v="0"/>
    <n v="0"/>
    <n v="0"/>
    <n v="0"/>
    <n v="0"/>
    <n v="11"/>
    <n v="24"/>
    <n v="2025"/>
    <x v="0"/>
    <x v="2"/>
    <x v="1"/>
  </r>
  <r>
    <x v="1"/>
    <x v="28"/>
    <x v="1"/>
    <x v="27"/>
    <n v="81"/>
    <n v="41"/>
    <n v="7"/>
    <n v="2"/>
    <n v="16565"/>
    <n v="4"/>
    <n v="12095"/>
    <n v="4"/>
    <n v="40"/>
    <n v="67"/>
    <n v="2025"/>
    <x v="0"/>
    <x v="2"/>
    <x v="1"/>
  </r>
  <r>
    <x v="1"/>
    <x v="28"/>
    <x v="1"/>
    <x v="29"/>
    <n v="751"/>
    <n v="549"/>
    <n v="44"/>
    <n v="8"/>
    <n v="31425"/>
    <n v="11"/>
    <n v="26730"/>
    <n v="10"/>
    <n v="309"/>
    <n v="563"/>
    <n v="2025"/>
    <x v="0"/>
    <x v="2"/>
    <x v="1"/>
  </r>
  <r>
    <x v="1"/>
    <x v="28"/>
    <x v="1"/>
    <x v="30"/>
    <n v="3746"/>
    <n v="2647"/>
    <n v="38"/>
    <n v="20"/>
    <n v="22605.599999999999"/>
    <n v="8"/>
    <n v="16951.3"/>
    <n v="7"/>
    <n v="181"/>
    <n v="3156"/>
    <n v="2025"/>
    <x v="0"/>
    <x v="2"/>
    <x v="1"/>
  </r>
  <r>
    <x v="1"/>
    <x v="28"/>
    <x v="1"/>
    <x v="31"/>
    <n v="94"/>
    <n v="63"/>
    <n v="8"/>
    <n v="4"/>
    <n v="11080"/>
    <n v="3"/>
    <n v="11080"/>
    <n v="3"/>
    <n v="17"/>
    <n v="90"/>
    <n v="2025"/>
    <x v="0"/>
    <x v="2"/>
    <x v="1"/>
  </r>
  <r>
    <x v="1"/>
    <x v="28"/>
    <x v="1"/>
    <x v="32"/>
    <n v="2"/>
    <n v="1"/>
    <n v="0"/>
    <n v="0"/>
    <n v="0"/>
    <n v="0"/>
    <n v="0"/>
    <n v="0"/>
    <n v="0"/>
    <n v="2"/>
    <n v="2025"/>
    <x v="0"/>
    <x v="2"/>
    <x v="1"/>
  </r>
  <r>
    <x v="1"/>
    <x v="28"/>
    <x v="1"/>
    <x v="34"/>
    <n v="184"/>
    <n v="88"/>
    <n v="7"/>
    <n v="3"/>
    <n v="14388"/>
    <n v="3"/>
    <n v="6175"/>
    <n v="2"/>
    <n v="51"/>
    <n v="168"/>
    <n v="2025"/>
    <x v="0"/>
    <x v="2"/>
    <x v="1"/>
  </r>
  <r>
    <x v="1"/>
    <x v="28"/>
    <x v="1"/>
    <x v="38"/>
    <n v="230"/>
    <n v="62"/>
    <n v="20"/>
    <n v="6"/>
    <n v="72156"/>
    <n v="19"/>
    <n v="68176"/>
    <n v="18"/>
    <n v="46"/>
    <n v="221"/>
    <n v="2025"/>
    <x v="0"/>
    <x v="2"/>
    <x v="1"/>
  </r>
  <r>
    <x v="1"/>
    <x v="28"/>
    <x v="1"/>
    <x v="60"/>
    <n v="8"/>
    <n v="8"/>
    <n v="0"/>
    <n v="1"/>
    <n v="0"/>
    <n v="0"/>
    <n v="0"/>
    <n v="0"/>
    <n v="1"/>
    <n v="8"/>
    <n v="2025"/>
    <x v="0"/>
    <x v="2"/>
    <x v="1"/>
  </r>
  <r>
    <x v="1"/>
    <x v="28"/>
    <x v="1"/>
    <x v="64"/>
    <n v="460"/>
    <n v="270"/>
    <n v="12"/>
    <n v="2"/>
    <n v="27169.88"/>
    <n v="9"/>
    <n v="25252.880000000001"/>
    <n v="8"/>
    <n v="58"/>
    <n v="449"/>
    <n v="2025"/>
    <x v="0"/>
    <x v="2"/>
    <x v="1"/>
  </r>
  <r>
    <x v="1"/>
    <x v="28"/>
    <x v="1"/>
    <x v="42"/>
    <n v="235"/>
    <n v="151"/>
    <n v="6"/>
    <n v="4"/>
    <n v="0"/>
    <n v="0"/>
    <n v="0"/>
    <n v="0"/>
    <n v="18"/>
    <n v="232"/>
    <n v="2025"/>
    <x v="0"/>
    <x v="2"/>
    <x v="1"/>
  </r>
  <r>
    <x v="1"/>
    <x v="28"/>
    <x v="1"/>
    <x v="43"/>
    <n v="104"/>
    <n v="60"/>
    <n v="2"/>
    <n v="1"/>
    <n v="2980"/>
    <n v="1"/>
    <n v="1490"/>
    <n v="1"/>
    <n v="88"/>
    <n v="55"/>
    <n v="2025"/>
    <x v="0"/>
    <x v="2"/>
    <x v="1"/>
  </r>
  <r>
    <x v="1"/>
    <x v="28"/>
    <x v="1"/>
    <x v="44"/>
    <n v="22"/>
    <n v="6"/>
    <n v="1"/>
    <n v="0"/>
    <n v="12145"/>
    <n v="3"/>
    <n v="12145"/>
    <n v="3"/>
    <n v="0"/>
    <n v="22"/>
    <n v="2025"/>
    <x v="0"/>
    <x v="2"/>
    <x v="1"/>
  </r>
  <r>
    <x v="1"/>
    <x v="29"/>
    <x v="0"/>
    <x v="0"/>
    <n v="268"/>
    <n v="91"/>
    <n v="4"/>
    <n v="0"/>
    <n v="14465"/>
    <n v="3"/>
    <n v="14465"/>
    <n v="3"/>
    <n v="1"/>
    <n v="268"/>
    <n v="2025"/>
    <x v="0"/>
    <x v="2"/>
    <x v="1"/>
  </r>
  <r>
    <x v="1"/>
    <x v="29"/>
    <x v="0"/>
    <x v="1"/>
    <n v="19432"/>
    <n v="12881"/>
    <n v="194"/>
    <n v="179"/>
    <n v="149208"/>
    <n v="37"/>
    <n v="100943"/>
    <n v="30"/>
    <n v="1059"/>
    <n v="19210"/>
    <n v="2025"/>
    <x v="0"/>
    <x v="2"/>
    <x v="1"/>
  </r>
  <r>
    <x v="1"/>
    <x v="29"/>
    <x v="0"/>
    <x v="3"/>
    <n v="16"/>
    <n v="6"/>
    <n v="0"/>
    <n v="0"/>
    <n v="0"/>
    <n v="0"/>
    <n v="0"/>
    <n v="0"/>
    <n v="0"/>
    <n v="12"/>
    <n v="2025"/>
    <x v="0"/>
    <x v="2"/>
    <x v="1"/>
  </r>
  <r>
    <x v="1"/>
    <x v="29"/>
    <x v="1"/>
    <x v="5"/>
    <n v="4"/>
    <n v="2"/>
    <n v="0"/>
    <n v="0"/>
    <n v="0"/>
    <n v="0"/>
    <n v="0"/>
    <n v="0"/>
    <n v="0"/>
    <n v="4"/>
    <n v="2025"/>
    <x v="0"/>
    <x v="2"/>
    <x v="1"/>
  </r>
  <r>
    <x v="1"/>
    <x v="29"/>
    <x v="1"/>
    <x v="7"/>
    <n v="331"/>
    <n v="72"/>
    <n v="22"/>
    <n v="1"/>
    <n v="110247"/>
    <n v="35"/>
    <n v="87337"/>
    <n v="34"/>
    <n v="81"/>
    <n v="317"/>
    <n v="2025"/>
    <x v="0"/>
    <x v="2"/>
    <x v="1"/>
  </r>
  <r>
    <x v="1"/>
    <x v="29"/>
    <x v="1"/>
    <x v="8"/>
    <n v="32"/>
    <n v="21"/>
    <n v="1"/>
    <n v="2"/>
    <n v="0"/>
    <n v="0"/>
    <n v="0"/>
    <n v="0"/>
    <n v="1"/>
    <n v="32"/>
    <n v="2025"/>
    <x v="0"/>
    <x v="2"/>
    <x v="1"/>
  </r>
  <r>
    <x v="1"/>
    <x v="29"/>
    <x v="1"/>
    <x v="9"/>
    <n v="1"/>
    <n v="0"/>
    <n v="0"/>
    <n v="0"/>
    <n v="0"/>
    <n v="0"/>
    <n v="0"/>
    <n v="0"/>
    <n v="0"/>
    <n v="1"/>
    <n v="2025"/>
    <x v="0"/>
    <x v="2"/>
    <x v="1"/>
  </r>
  <r>
    <x v="1"/>
    <x v="29"/>
    <x v="1"/>
    <x v="10"/>
    <n v="2"/>
    <n v="1"/>
    <n v="0"/>
    <n v="0"/>
    <n v="0"/>
    <n v="0"/>
    <n v="0"/>
    <n v="0"/>
    <n v="0"/>
    <n v="1"/>
    <n v="2025"/>
    <x v="0"/>
    <x v="2"/>
    <x v="1"/>
  </r>
  <r>
    <x v="1"/>
    <x v="29"/>
    <x v="1"/>
    <x v="11"/>
    <n v="1"/>
    <n v="1"/>
    <n v="0"/>
    <n v="0"/>
    <n v="0"/>
    <n v="0"/>
    <n v="0"/>
    <n v="0"/>
    <n v="0"/>
    <n v="1"/>
    <n v="2025"/>
    <x v="0"/>
    <x v="2"/>
    <x v="1"/>
  </r>
  <r>
    <x v="1"/>
    <x v="29"/>
    <x v="1"/>
    <x v="66"/>
    <n v="5"/>
    <n v="2"/>
    <n v="0"/>
    <n v="0"/>
    <n v="2540"/>
    <n v="2"/>
    <n v="2540"/>
    <n v="2"/>
    <n v="1"/>
    <n v="5"/>
    <n v="2025"/>
    <x v="0"/>
    <x v="2"/>
    <x v="1"/>
  </r>
  <r>
    <x v="1"/>
    <x v="29"/>
    <x v="1"/>
    <x v="59"/>
    <n v="161"/>
    <n v="67"/>
    <n v="8"/>
    <n v="4"/>
    <n v="28365"/>
    <n v="8"/>
    <n v="25115"/>
    <n v="8"/>
    <n v="48"/>
    <n v="136"/>
    <n v="2025"/>
    <x v="0"/>
    <x v="2"/>
    <x v="1"/>
  </r>
  <r>
    <x v="1"/>
    <x v="29"/>
    <x v="1"/>
    <x v="15"/>
    <n v="22"/>
    <n v="22"/>
    <n v="0"/>
    <n v="1"/>
    <n v="0"/>
    <n v="0"/>
    <n v="0"/>
    <n v="0"/>
    <n v="0"/>
    <n v="22"/>
    <n v="2025"/>
    <x v="0"/>
    <x v="2"/>
    <x v="1"/>
  </r>
  <r>
    <x v="1"/>
    <x v="29"/>
    <x v="1"/>
    <x v="17"/>
    <n v="248"/>
    <n v="147"/>
    <n v="6"/>
    <n v="0"/>
    <n v="0"/>
    <n v="0"/>
    <n v="0"/>
    <n v="0"/>
    <n v="0"/>
    <n v="248"/>
    <n v="2025"/>
    <x v="0"/>
    <x v="2"/>
    <x v="1"/>
  </r>
  <r>
    <x v="1"/>
    <x v="29"/>
    <x v="1"/>
    <x v="18"/>
    <n v="6"/>
    <n v="6"/>
    <n v="2"/>
    <n v="0"/>
    <n v="21665"/>
    <n v="2"/>
    <n v="21665"/>
    <n v="2"/>
    <n v="1"/>
    <n v="6"/>
    <n v="2025"/>
    <x v="0"/>
    <x v="2"/>
    <x v="1"/>
  </r>
  <r>
    <x v="1"/>
    <x v="29"/>
    <x v="1"/>
    <x v="19"/>
    <n v="435"/>
    <n v="274"/>
    <n v="20"/>
    <n v="7"/>
    <n v="66898.86"/>
    <n v="15"/>
    <n v="49185.86"/>
    <n v="14"/>
    <n v="169"/>
    <n v="337"/>
    <n v="2025"/>
    <x v="0"/>
    <x v="2"/>
    <x v="1"/>
  </r>
  <r>
    <x v="1"/>
    <x v="29"/>
    <x v="1"/>
    <x v="20"/>
    <n v="21"/>
    <n v="18"/>
    <n v="0"/>
    <n v="0"/>
    <n v="0"/>
    <n v="0"/>
    <n v="0"/>
    <n v="0"/>
    <n v="2"/>
    <n v="20"/>
    <n v="2025"/>
    <x v="0"/>
    <x v="2"/>
    <x v="1"/>
  </r>
  <r>
    <x v="1"/>
    <x v="29"/>
    <x v="1"/>
    <x v="22"/>
    <n v="5"/>
    <n v="2"/>
    <n v="0"/>
    <n v="0"/>
    <n v="2540"/>
    <n v="2"/>
    <n v="2540"/>
    <n v="2"/>
    <n v="1"/>
    <n v="5"/>
    <n v="2025"/>
    <x v="0"/>
    <x v="2"/>
    <x v="1"/>
  </r>
  <r>
    <x v="1"/>
    <x v="29"/>
    <x v="1"/>
    <x v="24"/>
    <n v="27"/>
    <n v="16"/>
    <n v="2"/>
    <n v="0"/>
    <n v="2750"/>
    <n v="1"/>
    <n v="2750"/>
    <n v="1"/>
    <n v="21"/>
    <n v="16"/>
    <n v="2025"/>
    <x v="0"/>
    <x v="2"/>
    <x v="1"/>
  </r>
  <r>
    <x v="1"/>
    <x v="29"/>
    <x v="1"/>
    <x v="27"/>
    <n v="92"/>
    <n v="38"/>
    <n v="8"/>
    <n v="3"/>
    <n v="18530"/>
    <n v="6"/>
    <n v="15280"/>
    <n v="6"/>
    <n v="44"/>
    <n v="80"/>
    <n v="2025"/>
    <x v="0"/>
    <x v="2"/>
    <x v="1"/>
  </r>
  <r>
    <x v="1"/>
    <x v="29"/>
    <x v="1"/>
    <x v="29"/>
    <n v="703"/>
    <n v="519"/>
    <n v="28"/>
    <n v="9"/>
    <n v="11900"/>
    <n v="6"/>
    <n v="11900"/>
    <n v="6"/>
    <n v="333"/>
    <n v="512"/>
    <n v="2025"/>
    <x v="0"/>
    <x v="2"/>
    <x v="1"/>
  </r>
  <r>
    <x v="1"/>
    <x v="29"/>
    <x v="1"/>
    <x v="30"/>
    <n v="3032"/>
    <n v="2073"/>
    <n v="39"/>
    <n v="23"/>
    <n v="27637"/>
    <n v="9"/>
    <n v="24387"/>
    <n v="9"/>
    <n v="203"/>
    <n v="2987"/>
    <n v="2025"/>
    <x v="0"/>
    <x v="2"/>
    <x v="1"/>
  </r>
  <r>
    <x v="1"/>
    <x v="29"/>
    <x v="1"/>
    <x v="31"/>
    <n v="79"/>
    <n v="50"/>
    <n v="4"/>
    <n v="1"/>
    <n v="27000"/>
    <n v="1"/>
    <n v="13500"/>
    <n v="1"/>
    <n v="11"/>
    <n v="79"/>
    <n v="2025"/>
    <x v="0"/>
    <x v="2"/>
    <x v="1"/>
  </r>
  <r>
    <x v="1"/>
    <x v="29"/>
    <x v="1"/>
    <x v="32"/>
    <n v="3"/>
    <n v="2"/>
    <n v="0"/>
    <n v="0"/>
    <n v="0"/>
    <n v="0"/>
    <n v="0"/>
    <n v="0"/>
    <n v="0"/>
    <n v="3"/>
    <n v="2025"/>
    <x v="0"/>
    <x v="2"/>
    <x v="1"/>
  </r>
  <r>
    <x v="1"/>
    <x v="29"/>
    <x v="1"/>
    <x v="34"/>
    <n v="183"/>
    <n v="92"/>
    <n v="8"/>
    <n v="4"/>
    <n v="25477"/>
    <n v="4"/>
    <n v="15687"/>
    <n v="4"/>
    <n v="52"/>
    <n v="173"/>
    <n v="2025"/>
    <x v="0"/>
    <x v="2"/>
    <x v="1"/>
  </r>
  <r>
    <x v="1"/>
    <x v="29"/>
    <x v="1"/>
    <x v="35"/>
    <n v="1"/>
    <n v="1"/>
    <n v="0"/>
    <n v="0"/>
    <n v="0"/>
    <n v="0"/>
    <n v="0"/>
    <n v="0"/>
    <n v="0"/>
    <n v="0"/>
    <n v="2025"/>
    <x v="0"/>
    <x v="2"/>
    <x v="1"/>
  </r>
  <r>
    <x v="1"/>
    <x v="29"/>
    <x v="1"/>
    <x v="36"/>
    <n v="1"/>
    <n v="1"/>
    <n v="0"/>
    <n v="0"/>
    <n v="0"/>
    <n v="0"/>
    <n v="0"/>
    <n v="0"/>
    <n v="0"/>
    <n v="1"/>
    <n v="2025"/>
    <x v="0"/>
    <x v="2"/>
    <x v="1"/>
  </r>
  <r>
    <x v="1"/>
    <x v="29"/>
    <x v="1"/>
    <x v="38"/>
    <n v="233"/>
    <n v="73"/>
    <n v="10"/>
    <n v="7"/>
    <n v="59922"/>
    <n v="12"/>
    <n v="45287"/>
    <n v="11"/>
    <n v="50"/>
    <n v="223"/>
    <n v="2025"/>
    <x v="0"/>
    <x v="2"/>
    <x v="1"/>
  </r>
  <r>
    <x v="1"/>
    <x v="29"/>
    <x v="1"/>
    <x v="65"/>
    <n v="1"/>
    <n v="1"/>
    <n v="0"/>
    <n v="0"/>
    <n v="0"/>
    <n v="0"/>
    <n v="0"/>
    <n v="0"/>
    <n v="0"/>
    <n v="1"/>
    <n v="2025"/>
    <x v="0"/>
    <x v="2"/>
    <x v="1"/>
  </r>
  <r>
    <x v="1"/>
    <x v="29"/>
    <x v="1"/>
    <x v="60"/>
    <n v="6"/>
    <n v="6"/>
    <n v="0"/>
    <n v="0"/>
    <n v="0"/>
    <n v="0"/>
    <n v="0"/>
    <n v="0"/>
    <n v="1"/>
    <n v="6"/>
    <n v="2025"/>
    <x v="0"/>
    <x v="2"/>
    <x v="1"/>
  </r>
  <r>
    <x v="1"/>
    <x v="29"/>
    <x v="1"/>
    <x v="64"/>
    <n v="406"/>
    <n v="245"/>
    <n v="13"/>
    <n v="1"/>
    <n v="8860"/>
    <n v="3"/>
    <n v="3885"/>
    <n v="2"/>
    <n v="60"/>
    <n v="398"/>
    <n v="2025"/>
    <x v="0"/>
    <x v="2"/>
    <x v="1"/>
  </r>
  <r>
    <x v="1"/>
    <x v="29"/>
    <x v="1"/>
    <x v="42"/>
    <n v="195"/>
    <n v="119"/>
    <n v="4"/>
    <n v="3"/>
    <n v="5845"/>
    <n v="1"/>
    <n v="0"/>
    <n v="0"/>
    <n v="13"/>
    <n v="189"/>
    <n v="2025"/>
    <x v="0"/>
    <x v="2"/>
    <x v="1"/>
  </r>
  <r>
    <x v="1"/>
    <x v="29"/>
    <x v="1"/>
    <x v="43"/>
    <n v="94"/>
    <n v="51"/>
    <n v="2"/>
    <n v="1"/>
    <n v="2795"/>
    <n v="1"/>
    <n v="2795"/>
    <n v="1"/>
    <n v="79"/>
    <n v="58"/>
    <n v="2025"/>
    <x v="0"/>
    <x v="2"/>
    <x v="1"/>
  </r>
  <r>
    <x v="1"/>
    <x v="29"/>
    <x v="1"/>
    <x v="44"/>
    <n v="10"/>
    <n v="0"/>
    <n v="0"/>
    <n v="0"/>
    <n v="4945"/>
    <n v="1"/>
    <n v="4945"/>
    <n v="1"/>
    <n v="0"/>
    <n v="10"/>
    <n v="2025"/>
    <x v="0"/>
    <x v="2"/>
    <x v="1"/>
  </r>
  <r>
    <x v="1"/>
    <x v="29"/>
    <x v="1"/>
    <x v="45"/>
    <n v="5"/>
    <n v="1"/>
    <n v="0"/>
    <n v="0"/>
    <n v="2750"/>
    <n v="1"/>
    <n v="2750"/>
    <n v="1"/>
    <n v="1"/>
    <n v="5"/>
    <n v="2025"/>
    <x v="0"/>
    <x v="2"/>
    <x v="1"/>
  </r>
  <r>
    <x v="1"/>
    <x v="30"/>
    <x v="0"/>
    <x v="0"/>
    <n v="253"/>
    <n v="79"/>
    <n v="1"/>
    <n v="0"/>
    <n v="3180"/>
    <n v="1"/>
    <n v="3180"/>
    <n v="1"/>
    <n v="1"/>
    <n v="249"/>
    <n v="2025"/>
    <x v="0"/>
    <x v="2"/>
    <x v="1"/>
  </r>
  <r>
    <x v="1"/>
    <x v="30"/>
    <x v="0"/>
    <x v="1"/>
    <n v="15394"/>
    <n v="9914"/>
    <n v="188"/>
    <n v="174"/>
    <n v="154916"/>
    <n v="35"/>
    <n v="81895"/>
    <n v="22"/>
    <n v="963"/>
    <n v="15157"/>
    <n v="2025"/>
    <x v="0"/>
    <x v="2"/>
    <x v="1"/>
  </r>
  <r>
    <x v="1"/>
    <x v="30"/>
    <x v="0"/>
    <x v="3"/>
    <n v="761"/>
    <n v="546"/>
    <n v="16"/>
    <n v="0"/>
    <n v="0"/>
    <n v="0"/>
    <n v="0"/>
    <n v="0"/>
    <n v="18"/>
    <n v="215"/>
    <n v="2025"/>
    <x v="0"/>
    <x v="2"/>
    <x v="1"/>
  </r>
  <r>
    <x v="1"/>
    <x v="30"/>
    <x v="1"/>
    <x v="4"/>
    <n v="1"/>
    <n v="1"/>
    <n v="0"/>
    <n v="0"/>
    <n v="0"/>
    <n v="0"/>
    <n v="0"/>
    <n v="0"/>
    <n v="0"/>
    <n v="0"/>
    <n v="2025"/>
    <x v="0"/>
    <x v="2"/>
    <x v="1"/>
  </r>
  <r>
    <x v="1"/>
    <x v="30"/>
    <x v="1"/>
    <x v="5"/>
    <n v="3"/>
    <n v="3"/>
    <n v="0"/>
    <n v="0"/>
    <n v="0"/>
    <n v="0"/>
    <n v="0"/>
    <n v="0"/>
    <n v="1"/>
    <n v="2"/>
    <n v="2025"/>
    <x v="0"/>
    <x v="2"/>
    <x v="1"/>
  </r>
  <r>
    <x v="1"/>
    <x v="30"/>
    <x v="1"/>
    <x v="6"/>
    <n v="169"/>
    <n v="158"/>
    <n v="0"/>
    <n v="0"/>
    <n v="0"/>
    <n v="0"/>
    <n v="0"/>
    <n v="0"/>
    <n v="0"/>
    <n v="0"/>
    <n v="2025"/>
    <x v="0"/>
    <x v="2"/>
    <x v="1"/>
  </r>
  <r>
    <x v="1"/>
    <x v="30"/>
    <x v="1"/>
    <x v="7"/>
    <n v="294"/>
    <n v="85"/>
    <n v="19"/>
    <n v="3"/>
    <n v="112614.21"/>
    <n v="36"/>
    <n v="110219.21"/>
    <n v="36"/>
    <n v="62"/>
    <n v="289"/>
    <n v="2025"/>
    <x v="0"/>
    <x v="2"/>
    <x v="1"/>
  </r>
  <r>
    <x v="1"/>
    <x v="30"/>
    <x v="1"/>
    <x v="8"/>
    <n v="67"/>
    <n v="53"/>
    <n v="2"/>
    <n v="2"/>
    <n v="0"/>
    <n v="0"/>
    <n v="0"/>
    <n v="0"/>
    <n v="0"/>
    <n v="48"/>
    <n v="2025"/>
    <x v="0"/>
    <x v="2"/>
    <x v="1"/>
  </r>
  <r>
    <x v="1"/>
    <x v="30"/>
    <x v="1"/>
    <x v="9"/>
    <n v="14"/>
    <n v="10"/>
    <n v="0"/>
    <n v="0"/>
    <n v="0"/>
    <n v="0"/>
    <n v="0"/>
    <n v="0"/>
    <n v="0"/>
    <n v="1"/>
    <n v="2025"/>
    <x v="0"/>
    <x v="2"/>
    <x v="1"/>
  </r>
  <r>
    <x v="1"/>
    <x v="30"/>
    <x v="1"/>
    <x v="10"/>
    <n v="6"/>
    <n v="2"/>
    <n v="0"/>
    <n v="0"/>
    <n v="0"/>
    <n v="0"/>
    <n v="0"/>
    <n v="0"/>
    <n v="0"/>
    <n v="1"/>
    <n v="2025"/>
    <x v="0"/>
    <x v="2"/>
    <x v="1"/>
  </r>
  <r>
    <x v="1"/>
    <x v="30"/>
    <x v="1"/>
    <x v="11"/>
    <n v="2"/>
    <n v="2"/>
    <n v="0"/>
    <n v="0"/>
    <n v="0"/>
    <n v="0"/>
    <n v="0"/>
    <n v="0"/>
    <n v="0"/>
    <n v="2"/>
    <n v="2025"/>
    <x v="0"/>
    <x v="2"/>
    <x v="1"/>
  </r>
  <r>
    <x v="1"/>
    <x v="30"/>
    <x v="1"/>
    <x v="66"/>
    <n v="20"/>
    <n v="7"/>
    <n v="0"/>
    <n v="0"/>
    <n v="2490"/>
    <n v="1"/>
    <n v="2490"/>
    <n v="1"/>
    <n v="1"/>
    <n v="8"/>
    <n v="2025"/>
    <x v="0"/>
    <x v="2"/>
    <x v="1"/>
  </r>
  <r>
    <x v="1"/>
    <x v="30"/>
    <x v="1"/>
    <x v="59"/>
    <n v="3043"/>
    <n v="2784"/>
    <n v="18"/>
    <n v="2"/>
    <n v="25190"/>
    <n v="8"/>
    <n v="17900"/>
    <n v="7"/>
    <n v="61"/>
    <n v="177"/>
    <n v="2025"/>
    <x v="0"/>
    <x v="2"/>
    <x v="1"/>
  </r>
  <r>
    <x v="1"/>
    <x v="30"/>
    <x v="1"/>
    <x v="15"/>
    <n v="18"/>
    <n v="18"/>
    <n v="1"/>
    <n v="1"/>
    <n v="0"/>
    <n v="0"/>
    <n v="0"/>
    <n v="0"/>
    <n v="0"/>
    <n v="18"/>
    <n v="2025"/>
    <x v="0"/>
    <x v="2"/>
    <x v="1"/>
  </r>
  <r>
    <x v="1"/>
    <x v="30"/>
    <x v="1"/>
    <x v="17"/>
    <n v="202"/>
    <n v="132"/>
    <n v="5"/>
    <n v="1"/>
    <n v="0"/>
    <n v="0"/>
    <n v="0"/>
    <n v="0"/>
    <n v="0"/>
    <n v="202"/>
    <n v="2025"/>
    <x v="0"/>
    <x v="2"/>
    <x v="1"/>
  </r>
  <r>
    <x v="1"/>
    <x v="30"/>
    <x v="1"/>
    <x v="18"/>
    <n v="2"/>
    <n v="2"/>
    <n v="1"/>
    <n v="0"/>
    <n v="4025"/>
    <n v="1"/>
    <n v="4025"/>
    <n v="1"/>
    <n v="0"/>
    <n v="2"/>
    <n v="2025"/>
    <x v="0"/>
    <x v="2"/>
    <x v="1"/>
  </r>
  <r>
    <x v="1"/>
    <x v="30"/>
    <x v="1"/>
    <x v="19"/>
    <n v="525"/>
    <n v="309"/>
    <n v="27"/>
    <n v="11"/>
    <n v="66409"/>
    <n v="14"/>
    <n v="47152"/>
    <n v="12"/>
    <n v="179"/>
    <n v="362"/>
    <n v="2025"/>
    <x v="0"/>
    <x v="2"/>
    <x v="1"/>
  </r>
  <r>
    <x v="1"/>
    <x v="30"/>
    <x v="1"/>
    <x v="20"/>
    <n v="31"/>
    <n v="28"/>
    <n v="2"/>
    <n v="0"/>
    <n v="0"/>
    <n v="0"/>
    <n v="0"/>
    <n v="0"/>
    <n v="5"/>
    <n v="28"/>
    <n v="2025"/>
    <x v="0"/>
    <x v="2"/>
    <x v="1"/>
  </r>
  <r>
    <x v="1"/>
    <x v="30"/>
    <x v="1"/>
    <x v="22"/>
    <n v="20"/>
    <n v="7"/>
    <n v="0"/>
    <n v="0"/>
    <n v="2490"/>
    <n v="1"/>
    <n v="2490"/>
    <n v="1"/>
    <n v="1"/>
    <n v="8"/>
    <n v="2025"/>
    <x v="0"/>
    <x v="2"/>
    <x v="1"/>
  </r>
  <r>
    <x v="1"/>
    <x v="30"/>
    <x v="1"/>
    <x v="24"/>
    <n v="36"/>
    <n v="17"/>
    <n v="2"/>
    <n v="0"/>
    <n v="4975"/>
    <n v="1"/>
    <n v="4975"/>
    <n v="1"/>
    <n v="30"/>
    <n v="20"/>
    <n v="2025"/>
    <x v="0"/>
    <x v="2"/>
    <x v="1"/>
  </r>
  <r>
    <x v="1"/>
    <x v="30"/>
    <x v="1"/>
    <x v="27"/>
    <n v="133"/>
    <n v="49"/>
    <n v="7"/>
    <n v="1"/>
    <n v="28527"/>
    <n v="8"/>
    <n v="19252"/>
    <n v="7"/>
    <n v="50"/>
    <n v="104"/>
    <n v="2025"/>
    <x v="0"/>
    <x v="2"/>
    <x v="1"/>
  </r>
  <r>
    <x v="1"/>
    <x v="30"/>
    <x v="1"/>
    <x v="29"/>
    <n v="733"/>
    <n v="558"/>
    <n v="25"/>
    <n v="7"/>
    <n v="51335"/>
    <n v="9"/>
    <n v="21835"/>
    <n v="8"/>
    <n v="326"/>
    <n v="529"/>
    <n v="2025"/>
    <x v="0"/>
    <x v="2"/>
    <x v="1"/>
  </r>
  <r>
    <x v="1"/>
    <x v="30"/>
    <x v="1"/>
    <x v="30"/>
    <n v="3616"/>
    <n v="2656"/>
    <n v="50"/>
    <n v="13"/>
    <n v="8955"/>
    <n v="3"/>
    <n v="8955"/>
    <n v="3"/>
    <n v="176"/>
    <n v="3250"/>
    <n v="2025"/>
    <x v="0"/>
    <x v="2"/>
    <x v="1"/>
  </r>
  <r>
    <x v="1"/>
    <x v="30"/>
    <x v="1"/>
    <x v="31"/>
    <n v="72"/>
    <n v="52"/>
    <n v="4"/>
    <n v="0"/>
    <n v="29310"/>
    <n v="2"/>
    <n v="16625"/>
    <n v="2"/>
    <n v="15"/>
    <n v="69"/>
    <n v="2025"/>
    <x v="0"/>
    <x v="2"/>
    <x v="1"/>
  </r>
  <r>
    <x v="1"/>
    <x v="30"/>
    <x v="1"/>
    <x v="32"/>
    <n v="3"/>
    <n v="1"/>
    <n v="0"/>
    <n v="0"/>
    <n v="0"/>
    <n v="0"/>
    <n v="0"/>
    <n v="0"/>
    <n v="2"/>
    <n v="3"/>
    <n v="2025"/>
    <x v="0"/>
    <x v="2"/>
    <x v="1"/>
  </r>
  <r>
    <x v="1"/>
    <x v="30"/>
    <x v="1"/>
    <x v="34"/>
    <n v="157"/>
    <n v="80"/>
    <n v="13"/>
    <n v="1"/>
    <n v="9870"/>
    <n v="2"/>
    <n v="4975"/>
    <n v="1"/>
    <n v="57"/>
    <n v="140"/>
    <n v="2025"/>
    <x v="0"/>
    <x v="2"/>
    <x v="1"/>
  </r>
  <r>
    <x v="1"/>
    <x v="30"/>
    <x v="1"/>
    <x v="35"/>
    <n v="1"/>
    <n v="0"/>
    <n v="0"/>
    <n v="0"/>
    <n v="0"/>
    <n v="0"/>
    <n v="0"/>
    <n v="0"/>
    <n v="0"/>
    <n v="1"/>
    <n v="2025"/>
    <x v="0"/>
    <x v="2"/>
    <x v="1"/>
  </r>
  <r>
    <x v="1"/>
    <x v="30"/>
    <x v="1"/>
    <x v="36"/>
    <n v="1"/>
    <n v="1"/>
    <n v="0"/>
    <n v="0"/>
    <n v="0"/>
    <n v="0"/>
    <n v="0"/>
    <n v="0"/>
    <n v="0"/>
    <n v="1"/>
    <n v="2025"/>
    <x v="0"/>
    <x v="2"/>
    <x v="1"/>
  </r>
  <r>
    <x v="1"/>
    <x v="30"/>
    <x v="1"/>
    <x v="38"/>
    <n v="222"/>
    <n v="53"/>
    <n v="18"/>
    <n v="4"/>
    <n v="56892"/>
    <n v="11"/>
    <n v="56892"/>
    <n v="11"/>
    <n v="42"/>
    <n v="216"/>
    <n v="2025"/>
    <x v="0"/>
    <x v="2"/>
    <x v="1"/>
  </r>
  <r>
    <x v="1"/>
    <x v="30"/>
    <x v="1"/>
    <x v="60"/>
    <n v="6"/>
    <n v="5"/>
    <n v="0"/>
    <n v="0"/>
    <n v="0"/>
    <n v="0"/>
    <n v="0"/>
    <n v="0"/>
    <n v="0"/>
    <n v="6"/>
    <n v="2025"/>
    <x v="0"/>
    <x v="2"/>
    <x v="1"/>
  </r>
  <r>
    <x v="1"/>
    <x v="30"/>
    <x v="1"/>
    <x v="39"/>
    <n v="1"/>
    <n v="0"/>
    <n v="0"/>
    <n v="0"/>
    <n v="0"/>
    <n v="0"/>
    <n v="0"/>
    <n v="0"/>
    <n v="0"/>
    <n v="1"/>
    <n v="2025"/>
    <x v="0"/>
    <x v="2"/>
    <x v="1"/>
  </r>
  <r>
    <x v="1"/>
    <x v="30"/>
    <x v="1"/>
    <x v="64"/>
    <n v="406"/>
    <n v="217"/>
    <n v="9"/>
    <n v="3"/>
    <n v="48440"/>
    <n v="8"/>
    <n v="33885"/>
    <n v="7"/>
    <n v="62"/>
    <n v="400"/>
    <n v="2025"/>
    <x v="0"/>
    <x v="2"/>
    <x v="1"/>
  </r>
  <r>
    <x v="1"/>
    <x v="30"/>
    <x v="1"/>
    <x v="42"/>
    <n v="176"/>
    <n v="122"/>
    <n v="1"/>
    <n v="5"/>
    <n v="1677"/>
    <n v="1"/>
    <n v="0"/>
    <n v="0"/>
    <n v="11"/>
    <n v="173"/>
    <n v="2025"/>
    <x v="0"/>
    <x v="2"/>
    <x v="1"/>
  </r>
  <r>
    <x v="1"/>
    <x v="30"/>
    <x v="1"/>
    <x v="43"/>
    <n v="87"/>
    <n v="47"/>
    <n v="4"/>
    <n v="0"/>
    <n v="0"/>
    <n v="0"/>
    <n v="0"/>
    <n v="0"/>
    <n v="74"/>
    <n v="45"/>
    <n v="2025"/>
    <x v="0"/>
    <x v="2"/>
    <x v="1"/>
  </r>
  <r>
    <x v="1"/>
    <x v="30"/>
    <x v="1"/>
    <x v="44"/>
    <n v="20"/>
    <n v="8"/>
    <n v="1"/>
    <n v="0"/>
    <n v="12082"/>
    <n v="3"/>
    <n v="12082"/>
    <n v="3"/>
    <n v="0"/>
    <n v="20"/>
    <n v="2025"/>
    <x v="0"/>
    <x v="2"/>
    <x v="1"/>
  </r>
  <r>
    <x v="1"/>
    <x v="30"/>
    <x v="1"/>
    <x v="45"/>
    <n v="3"/>
    <n v="1"/>
    <n v="0"/>
    <n v="0"/>
    <n v="0"/>
    <n v="0"/>
    <n v="0"/>
    <n v="0"/>
    <n v="0"/>
    <n v="3"/>
    <n v="2025"/>
    <x v="0"/>
    <x v="2"/>
    <x v="1"/>
  </r>
  <r>
    <x v="1"/>
    <x v="31"/>
    <x v="0"/>
    <x v="0"/>
    <n v="214"/>
    <n v="57"/>
    <n v="7"/>
    <n v="0"/>
    <n v="11335"/>
    <n v="5"/>
    <n v="11335"/>
    <n v="5"/>
    <n v="3"/>
    <n v="213"/>
    <n v="2025"/>
    <x v="0"/>
    <x v="2"/>
    <x v="1"/>
  </r>
  <r>
    <x v="1"/>
    <x v="31"/>
    <x v="0"/>
    <x v="1"/>
    <n v="15685"/>
    <n v="10154"/>
    <n v="183"/>
    <n v="157"/>
    <n v="182433"/>
    <n v="49"/>
    <n v="102038"/>
    <n v="38"/>
    <n v="1115"/>
    <n v="15444"/>
    <n v="2025"/>
    <x v="0"/>
    <x v="2"/>
    <x v="1"/>
  </r>
  <r>
    <x v="1"/>
    <x v="31"/>
    <x v="0"/>
    <x v="3"/>
    <n v="4"/>
    <n v="0"/>
    <n v="0"/>
    <n v="0"/>
    <n v="0"/>
    <n v="0"/>
    <n v="0"/>
    <n v="0"/>
    <n v="0"/>
    <n v="3"/>
    <n v="2025"/>
    <x v="0"/>
    <x v="2"/>
    <x v="1"/>
  </r>
  <r>
    <x v="1"/>
    <x v="31"/>
    <x v="1"/>
    <x v="5"/>
    <n v="1"/>
    <n v="0"/>
    <n v="0"/>
    <n v="0"/>
    <n v="0"/>
    <n v="0"/>
    <n v="0"/>
    <n v="0"/>
    <n v="0"/>
    <n v="1"/>
    <n v="2025"/>
    <x v="0"/>
    <x v="2"/>
    <x v="1"/>
  </r>
  <r>
    <x v="1"/>
    <x v="31"/>
    <x v="1"/>
    <x v="7"/>
    <n v="375"/>
    <n v="92"/>
    <n v="38"/>
    <n v="3"/>
    <n v="134066"/>
    <n v="49"/>
    <n v="124886"/>
    <n v="47"/>
    <n v="118"/>
    <n v="365"/>
    <n v="2025"/>
    <x v="0"/>
    <x v="2"/>
    <x v="1"/>
  </r>
  <r>
    <x v="1"/>
    <x v="31"/>
    <x v="1"/>
    <x v="8"/>
    <n v="30"/>
    <n v="15"/>
    <n v="2"/>
    <n v="6"/>
    <n v="0"/>
    <n v="0"/>
    <n v="0"/>
    <n v="0"/>
    <n v="1"/>
    <n v="30"/>
    <n v="2025"/>
    <x v="0"/>
    <x v="2"/>
    <x v="1"/>
  </r>
  <r>
    <x v="1"/>
    <x v="31"/>
    <x v="1"/>
    <x v="9"/>
    <n v="2"/>
    <n v="2"/>
    <n v="0"/>
    <n v="0"/>
    <n v="0"/>
    <n v="0"/>
    <n v="0"/>
    <n v="0"/>
    <n v="1"/>
    <n v="2"/>
    <n v="2025"/>
    <x v="0"/>
    <x v="2"/>
    <x v="1"/>
  </r>
  <r>
    <x v="1"/>
    <x v="31"/>
    <x v="1"/>
    <x v="10"/>
    <n v="2"/>
    <n v="0"/>
    <n v="0"/>
    <n v="0"/>
    <n v="0"/>
    <n v="0"/>
    <n v="0"/>
    <n v="0"/>
    <n v="0"/>
    <n v="2"/>
    <n v="2025"/>
    <x v="0"/>
    <x v="2"/>
    <x v="1"/>
  </r>
  <r>
    <x v="1"/>
    <x v="31"/>
    <x v="1"/>
    <x v="66"/>
    <n v="12"/>
    <n v="3"/>
    <n v="0"/>
    <n v="0"/>
    <n v="0"/>
    <n v="0"/>
    <n v="0"/>
    <n v="0"/>
    <n v="0"/>
    <n v="12"/>
    <n v="2025"/>
    <x v="0"/>
    <x v="2"/>
    <x v="1"/>
  </r>
  <r>
    <x v="1"/>
    <x v="31"/>
    <x v="1"/>
    <x v="59"/>
    <n v="211"/>
    <n v="93"/>
    <n v="15"/>
    <n v="1"/>
    <n v="14477"/>
    <n v="5"/>
    <n v="14477"/>
    <n v="5"/>
    <n v="71"/>
    <n v="171"/>
    <n v="2025"/>
    <x v="0"/>
    <x v="2"/>
    <x v="1"/>
  </r>
  <r>
    <x v="1"/>
    <x v="31"/>
    <x v="1"/>
    <x v="15"/>
    <n v="21"/>
    <n v="18"/>
    <n v="0"/>
    <n v="0"/>
    <n v="0"/>
    <n v="0"/>
    <n v="0"/>
    <n v="0"/>
    <n v="1"/>
    <n v="21"/>
    <n v="2025"/>
    <x v="0"/>
    <x v="2"/>
    <x v="1"/>
  </r>
  <r>
    <x v="1"/>
    <x v="31"/>
    <x v="1"/>
    <x v="17"/>
    <n v="164"/>
    <n v="91"/>
    <n v="2"/>
    <n v="0"/>
    <n v="0"/>
    <n v="0"/>
    <n v="0"/>
    <n v="0"/>
    <n v="0"/>
    <n v="164"/>
    <n v="2025"/>
    <x v="0"/>
    <x v="2"/>
    <x v="1"/>
  </r>
  <r>
    <x v="1"/>
    <x v="31"/>
    <x v="1"/>
    <x v="18"/>
    <n v="10"/>
    <n v="6"/>
    <n v="0"/>
    <n v="0"/>
    <n v="6695"/>
    <n v="3"/>
    <n v="5005"/>
    <n v="2"/>
    <n v="1"/>
    <n v="10"/>
    <n v="2025"/>
    <x v="0"/>
    <x v="2"/>
    <x v="1"/>
  </r>
  <r>
    <x v="1"/>
    <x v="31"/>
    <x v="1"/>
    <x v="19"/>
    <n v="559"/>
    <n v="309"/>
    <n v="31"/>
    <n v="3"/>
    <n v="97380.3"/>
    <n v="22"/>
    <n v="52130.3"/>
    <n v="18"/>
    <n v="245"/>
    <n v="415"/>
    <n v="2025"/>
    <x v="0"/>
    <x v="2"/>
    <x v="1"/>
  </r>
  <r>
    <x v="1"/>
    <x v="31"/>
    <x v="1"/>
    <x v="20"/>
    <n v="10"/>
    <n v="7"/>
    <n v="0"/>
    <n v="0"/>
    <n v="0"/>
    <n v="0"/>
    <n v="0"/>
    <n v="0"/>
    <n v="3"/>
    <n v="8"/>
    <n v="2025"/>
    <x v="0"/>
    <x v="2"/>
    <x v="1"/>
  </r>
  <r>
    <x v="1"/>
    <x v="31"/>
    <x v="1"/>
    <x v="50"/>
    <n v="1"/>
    <n v="0"/>
    <n v="1"/>
    <n v="0"/>
    <n v="1680"/>
    <n v="1"/>
    <n v="1680"/>
    <n v="1"/>
    <n v="0"/>
    <n v="1"/>
    <n v="2025"/>
    <x v="0"/>
    <x v="2"/>
    <x v="1"/>
  </r>
  <r>
    <x v="1"/>
    <x v="31"/>
    <x v="1"/>
    <x v="22"/>
    <n v="12"/>
    <n v="3"/>
    <n v="0"/>
    <n v="0"/>
    <n v="0"/>
    <n v="0"/>
    <n v="0"/>
    <n v="0"/>
    <n v="0"/>
    <n v="12"/>
    <n v="2025"/>
    <x v="0"/>
    <x v="2"/>
    <x v="1"/>
  </r>
  <r>
    <x v="1"/>
    <x v="31"/>
    <x v="1"/>
    <x v="24"/>
    <n v="33"/>
    <n v="15"/>
    <n v="4"/>
    <n v="0"/>
    <n v="24015"/>
    <n v="3"/>
    <n v="24015"/>
    <n v="3"/>
    <n v="19"/>
    <n v="23"/>
    <n v="2025"/>
    <x v="0"/>
    <x v="2"/>
    <x v="1"/>
  </r>
  <r>
    <x v="1"/>
    <x v="31"/>
    <x v="1"/>
    <x v="27"/>
    <n v="197"/>
    <n v="65"/>
    <n v="14"/>
    <n v="2"/>
    <n v="49489"/>
    <n v="10"/>
    <n v="19419"/>
    <n v="8"/>
    <n v="142"/>
    <n v="102"/>
    <n v="2025"/>
    <x v="0"/>
    <x v="2"/>
    <x v="1"/>
  </r>
  <r>
    <x v="1"/>
    <x v="31"/>
    <x v="1"/>
    <x v="29"/>
    <n v="846"/>
    <n v="627"/>
    <n v="44"/>
    <n v="8"/>
    <n v="17925"/>
    <n v="11"/>
    <n v="16235"/>
    <n v="10"/>
    <n v="361"/>
    <n v="650"/>
    <n v="2025"/>
    <x v="0"/>
    <x v="2"/>
    <x v="1"/>
  </r>
  <r>
    <x v="1"/>
    <x v="31"/>
    <x v="1"/>
    <x v="30"/>
    <n v="3344"/>
    <n v="2484"/>
    <n v="53"/>
    <n v="18"/>
    <n v="26963"/>
    <n v="10"/>
    <n v="25273"/>
    <n v="9"/>
    <n v="179"/>
    <n v="3220"/>
    <n v="2025"/>
    <x v="0"/>
    <x v="2"/>
    <x v="1"/>
  </r>
  <r>
    <x v="1"/>
    <x v="31"/>
    <x v="1"/>
    <x v="31"/>
    <n v="101"/>
    <n v="68"/>
    <n v="7"/>
    <n v="2"/>
    <n v="4167"/>
    <n v="2"/>
    <n v="4167"/>
    <n v="2"/>
    <n v="17"/>
    <n v="94"/>
    <n v="2025"/>
    <x v="0"/>
    <x v="2"/>
    <x v="1"/>
  </r>
  <r>
    <x v="1"/>
    <x v="31"/>
    <x v="1"/>
    <x v="32"/>
    <n v="3"/>
    <n v="2"/>
    <n v="0"/>
    <n v="0"/>
    <n v="4165"/>
    <n v="1"/>
    <n v="4165"/>
    <n v="1"/>
    <n v="2"/>
    <n v="3"/>
    <n v="2025"/>
    <x v="0"/>
    <x v="2"/>
    <x v="1"/>
  </r>
  <r>
    <x v="1"/>
    <x v="31"/>
    <x v="1"/>
    <x v="34"/>
    <n v="169"/>
    <n v="73"/>
    <n v="7"/>
    <n v="3"/>
    <n v="12182"/>
    <n v="5"/>
    <n v="12182"/>
    <n v="5"/>
    <n v="57"/>
    <n v="147"/>
    <n v="2025"/>
    <x v="0"/>
    <x v="2"/>
    <x v="1"/>
  </r>
  <r>
    <x v="1"/>
    <x v="31"/>
    <x v="1"/>
    <x v="35"/>
    <n v="2"/>
    <n v="0"/>
    <n v="0"/>
    <n v="0"/>
    <n v="0"/>
    <n v="0"/>
    <n v="0"/>
    <n v="0"/>
    <n v="0"/>
    <n v="2"/>
    <n v="2025"/>
    <x v="0"/>
    <x v="2"/>
    <x v="1"/>
  </r>
  <r>
    <x v="1"/>
    <x v="31"/>
    <x v="1"/>
    <x v="38"/>
    <n v="242"/>
    <n v="65"/>
    <n v="17"/>
    <n v="5"/>
    <n v="44440"/>
    <n v="14"/>
    <n v="32100"/>
    <n v="12"/>
    <n v="51"/>
    <n v="238"/>
    <n v="2025"/>
    <x v="0"/>
    <x v="2"/>
    <x v="1"/>
  </r>
  <r>
    <x v="1"/>
    <x v="31"/>
    <x v="1"/>
    <x v="60"/>
    <n v="4"/>
    <n v="3"/>
    <n v="0"/>
    <n v="0"/>
    <n v="0"/>
    <n v="0"/>
    <n v="0"/>
    <n v="0"/>
    <n v="1"/>
    <n v="4"/>
    <n v="2025"/>
    <x v="0"/>
    <x v="2"/>
    <x v="1"/>
  </r>
  <r>
    <x v="1"/>
    <x v="31"/>
    <x v="1"/>
    <x v="39"/>
    <n v="1"/>
    <n v="0"/>
    <n v="0"/>
    <n v="0"/>
    <n v="0"/>
    <n v="0"/>
    <n v="0"/>
    <n v="0"/>
    <n v="0"/>
    <n v="1"/>
    <n v="2025"/>
    <x v="0"/>
    <x v="2"/>
    <x v="1"/>
  </r>
  <r>
    <x v="1"/>
    <x v="31"/>
    <x v="1"/>
    <x v="64"/>
    <n v="454"/>
    <n v="258"/>
    <n v="21"/>
    <n v="2"/>
    <n v="28021"/>
    <n v="9"/>
    <n v="25041"/>
    <n v="9"/>
    <n v="80"/>
    <n v="444"/>
    <n v="2025"/>
    <x v="0"/>
    <x v="2"/>
    <x v="1"/>
  </r>
  <r>
    <x v="1"/>
    <x v="31"/>
    <x v="1"/>
    <x v="42"/>
    <n v="197"/>
    <n v="122"/>
    <n v="6"/>
    <n v="7"/>
    <n v="3885"/>
    <n v="2"/>
    <n v="3885"/>
    <n v="2"/>
    <n v="20"/>
    <n v="195"/>
    <n v="2025"/>
    <x v="0"/>
    <x v="2"/>
    <x v="1"/>
  </r>
  <r>
    <x v="1"/>
    <x v="31"/>
    <x v="1"/>
    <x v="43"/>
    <n v="116"/>
    <n v="61"/>
    <n v="0"/>
    <n v="2"/>
    <n v="0"/>
    <n v="0"/>
    <n v="0"/>
    <n v="0"/>
    <n v="96"/>
    <n v="72"/>
    <n v="2025"/>
    <x v="0"/>
    <x v="2"/>
    <x v="1"/>
  </r>
  <r>
    <x v="1"/>
    <x v="31"/>
    <x v="1"/>
    <x v="44"/>
    <n v="20"/>
    <n v="4"/>
    <n v="0"/>
    <n v="0"/>
    <n v="9638"/>
    <n v="5"/>
    <n v="9638"/>
    <n v="5"/>
    <n v="0"/>
    <n v="20"/>
    <n v="2025"/>
    <x v="0"/>
    <x v="2"/>
    <x v="1"/>
  </r>
  <r>
    <x v="1"/>
    <x v="31"/>
    <x v="1"/>
    <x v="45"/>
    <n v="5"/>
    <n v="0"/>
    <n v="0"/>
    <n v="0"/>
    <n v="0"/>
    <n v="0"/>
    <n v="0"/>
    <n v="0"/>
    <n v="0"/>
    <n v="5"/>
    <n v="2025"/>
    <x v="0"/>
    <x v="2"/>
    <x v="1"/>
  </r>
  <r>
    <x v="1"/>
    <x v="32"/>
    <x v="0"/>
    <x v="0"/>
    <n v="209"/>
    <n v="58"/>
    <n v="4"/>
    <n v="1"/>
    <n v="2625"/>
    <n v="1"/>
    <n v="2625"/>
    <n v="1"/>
    <n v="3"/>
    <n v="208"/>
    <n v="2025"/>
    <x v="0"/>
    <x v="2"/>
    <x v="1"/>
  </r>
  <r>
    <x v="1"/>
    <x v="32"/>
    <x v="0"/>
    <x v="1"/>
    <n v="15553"/>
    <n v="9902"/>
    <n v="194"/>
    <n v="178"/>
    <n v="105100"/>
    <n v="32"/>
    <n v="58923"/>
    <n v="23"/>
    <n v="1067"/>
    <n v="15335"/>
    <n v="2025"/>
    <x v="0"/>
    <x v="2"/>
    <x v="1"/>
  </r>
  <r>
    <x v="1"/>
    <x v="32"/>
    <x v="0"/>
    <x v="2"/>
    <n v="1"/>
    <n v="1"/>
    <n v="0"/>
    <n v="0"/>
    <n v="0"/>
    <n v="0"/>
    <n v="0"/>
    <n v="0"/>
    <n v="0"/>
    <n v="1"/>
    <n v="2025"/>
    <x v="0"/>
    <x v="2"/>
    <x v="1"/>
  </r>
  <r>
    <x v="1"/>
    <x v="32"/>
    <x v="0"/>
    <x v="3"/>
    <n v="6"/>
    <n v="5"/>
    <n v="0"/>
    <n v="0"/>
    <n v="0"/>
    <n v="0"/>
    <n v="0"/>
    <n v="0"/>
    <n v="0"/>
    <n v="5"/>
    <n v="2025"/>
    <x v="0"/>
    <x v="2"/>
    <x v="1"/>
  </r>
  <r>
    <x v="1"/>
    <x v="32"/>
    <x v="1"/>
    <x v="5"/>
    <n v="2"/>
    <n v="1"/>
    <n v="0"/>
    <n v="0"/>
    <n v="0"/>
    <n v="0"/>
    <n v="0"/>
    <n v="0"/>
    <n v="0"/>
    <n v="2"/>
    <n v="2025"/>
    <x v="0"/>
    <x v="2"/>
    <x v="1"/>
  </r>
  <r>
    <x v="1"/>
    <x v="32"/>
    <x v="1"/>
    <x v="7"/>
    <n v="306"/>
    <n v="71"/>
    <n v="36"/>
    <n v="1"/>
    <n v="106563"/>
    <n v="32"/>
    <n v="98198"/>
    <n v="31"/>
    <n v="95"/>
    <n v="294"/>
    <n v="2025"/>
    <x v="0"/>
    <x v="2"/>
    <x v="1"/>
  </r>
  <r>
    <x v="1"/>
    <x v="32"/>
    <x v="1"/>
    <x v="8"/>
    <n v="25"/>
    <n v="7"/>
    <n v="2"/>
    <n v="1"/>
    <n v="0"/>
    <n v="0"/>
    <n v="0"/>
    <n v="0"/>
    <n v="1"/>
    <n v="25"/>
    <n v="2025"/>
    <x v="0"/>
    <x v="2"/>
    <x v="1"/>
  </r>
  <r>
    <x v="1"/>
    <x v="32"/>
    <x v="1"/>
    <x v="9"/>
    <n v="1"/>
    <n v="0"/>
    <n v="0"/>
    <n v="0"/>
    <n v="0"/>
    <n v="0"/>
    <n v="0"/>
    <n v="0"/>
    <n v="0"/>
    <n v="1"/>
    <n v="2025"/>
    <x v="0"/>
    <x v="2"/>
    <x v="1"/>
  </r>
  <r>
    <x v="1"/>
    <x v="32"/>
    <x v="1"/>
    <x v="10"/>
    <n v="2"/>
    <n v="2"/>
    <n v="0"/>
    <n v="0"/>
    <n v="0"/>
    <n v="0"/>
    <n v="0"/>
    <n v="0"/>
    <n v="0"/>
    <n v="1"/>
    <n v="2025"/>
    <x v="0"/>
    <x v="2"/>
    <x v="1"/>
  </r>
  <r>
    <x v="1"/>
    <x v="32"/>
    <x v="1"/>
    <x v="48"/>
    <n v="2"/>
    <n v="2"/>
    <n v="0"/>
    <n v="0"/>
    <n v="0"/>
    <n v="0"/>
    <n v="0"/>
    <n v="0"/>
    <n v="1"/>
    <n v="2"/>
    <n v="2025"/>
    <x v="0"/>
    <x v="2"/>
    <x v="1"/>
  </r>
  <r>
    <x v="1"/>
    <x v="32"/>
    <x v="1"/>
    <x v="66"/>
    <n v="6"/>
    <n v="0"/>
    <n v="0"/>
    <n v="0"/>
    <n v="0"/>
    <n v="0"/>
    <n v="0"/>
    <n v="0"/>
    <n v="1"/>
    <n v="5"/>
    <n v="2025"/>
    <x v="0"/>
    <x v="2"/>
    <x v="1"/>
  </r>
  <r>
    <x v="1"/>
    <x v="32"/>
    <x v="1"/>
    <x v="59"/>
    <n v="189"/>
    <n v="90"/>
    <n v="16"/>
    <n v="0"/>
    <n v="16405"/>
    <n v="7"/>
    <n v="16405"/>
    <n v="7"/>
    <n v="68"/>
    <n v="148"/>
    <n v="2025"/>
    <x v="0"/>
    <x v="2"/>
    <x v="1"/>
  </r>
  <r>
    <x v="1"/>
    <x v="32"/>
    <x v="1"/>
    <x v="15"/>
    <n v="16"/>
    <n v="16"/>
    <n v="1"/>
    <n v="0"/>
    <n v="0"/>
    <n v="0"/>
    <n v="0"/>
    <n v="0"/>
    <n v="0"/>
    <n v="16"/>
    <n v="2025"/>
    <x v="0"/>
    <x v="2"/>
    <x v="1"/>
  </r>
  <r>
    <x v="1"/>
    <x v="32"/>
    <x v="1"/>
    <x v="17"/>
    <n v="207"/>
    <n v="130"/>
    <n v="7"/>
    <n v="0"/>
    <n v="0"/>
    <n v="0"/>
    <n v="0"/>
    <n v="0"/>
    <n v="0"/>
    <n v="207"/>
    <n v="2025"/>
    <x v="0"/>
    <x v="2"/>
    <x v="1"/>
  </r>
  <r>
    <x v="1"/>
    <x v="32"/>
    <x v="1"/>
    <x v="18"/>
    <n v="7"/>
    <n v="6"/>
    <n v="1"/>
    <n v="0"/>
    <n v="4645"/>
    <n v="1"/>
    <n v="4645"/>
    <n v="1"/>
    <n v="0"/>
    <n v="7"/>
    <n v="2025"/>
    <x v="0"/>
    <x v="2"/>
    <x v="1"/>
  </r>
  <r>
    <x v="1"/>
    <x v="32"/>
    <x v="1"/>
    <x v="19"/>
    <n v="450"/>
    <n v="281"/>
    <n v="26"/>
    <n v="4"/>
    <n v="27992.78"/>
    <n v="12"/>
    <n v="26075.78"/>
    <n v="11"/>
    <n v="208"/>
    <n v="356"/>
    <n v="2025"/>
    <x v="0"/>
    <x v="2"/>
    <x v="1"/>
  </r>
  <r>
    <x v="1"/>
    <x v="32"/>
    <x v="1"/>
    <x v="20"/>
    <n v="8"/>
    <n v="2"/>
    <n v="0"/>
    <n v="0"/>
    <n v="0"/>
    <n v="0"/>
    <n v="0"/>
    <n v="0"/>
    <n v="3"/>
    <n v="8"/>
    <n v="2025"/>
    <x v="0"/>
    <x v="2"/>
    <x v="1"/>
  </r>
  <r>
    <x v="1"/>
    <x v="32"/>
    <x v="1"/>
    <x v="22"/>
    <n v="6"/>
    <n v="0"/>
    <n v="0"/>
    <n v="0"/>
    <n v="0"/>
    <n v="0"/>
    <n v="0"/>
    <n v="0"/>
    <n v="1"/>
    <n v="5"/>
    <n v="2025"/>
    <x v="0"/>
    <x v="2"/>
    <x v="1"/>
  </r>
  <r>
    <x v="1"/>
    <x v="32"/>
    <x v="1"/>
    <x v="24"/>
    <n v="18"/>
    <n v="7"/>
    <n v="4"/>
    <n v="0"/>
    <n v="3907"/>
    <n v="2"/>
    <n v="3907"/>
    <n v="2"/>
    <n v="13"/>
    <n v="13"/>
    <n v="2025"/>
    <x v="0"/>
    <x v="2"/>
    <x v="1"/>
  </r>
  <r>
    <x v="1"/>
    <x v="32"/>
    <x v="1"/>
    <x v="27"/>
    <n v="109"/>
    <n v="37"/>
    <n v="13"/>
    <n v="1"/>
    <n v="19575.45"/>
    <n v="7"/>
    <n v="19575.45"/>
    <n v="7"/>
    <n v="47"/>
    <n v="98"/>
    <n v="2025"/>
    <x v="0"/>
    <x v="2"/>
    <x v="1"/>
  </r>
  <r>
    <x v="1"/>
    <x v="32"/>
    <x v="1"/>
    <x v="29"/>
    <n v="811"/>
    <n v="610"/>
    <n v="38"/>
    <n v="8"/>
    <n v="38630"/>
    <n v="10"/>
    <n v="30645"/>
    <n v="9"/>
    <n v="356"/>
    <n v="627"/>
    <n v="2025"/>
    <x v="0"/>
    <x v="2"/>
    <x v="1"/>
  </r>
  <r>
    <x v="1"/>
    <x v="32"/>
    <x v="1"/>
    <x v="30"/>
    <n v="3033"/>
    <n v="2117"/>
    <n v="43"/>
    <n v="14"/>
    <n v="34473"/>
    <n v="11"/>
    <n v="29578"/>
    <n v="10"/>
    <n v="171"/>
    <n v="2988"/>
    <n v="2025"/>
    <x v="0"/>
    <x v="2"/>
    <x v="1"/>
  </r>
  <r>
    <x v="1"/>
    <x v="32"/>
    <x v="1"/>
    <x v="31"/>
    <n v="78"/>
    <n v="50"/>
    <n v="1"/>
    <n v="2"/>
    <n v="13270"/>
    <n v="2"/>
    <n v="13270"/>
    <n v="2"/>
    <n v="13"/>
    <n v="77"/>
    <n v="2025"/>
    <x v="0"/>
    <x v="2"/>
    <x v="1"/>
  </r>
  <r>
    <x v="1"/>
    <x v="32"/>
    <x v="1"/>
    <x v="32"/>
    <n v="1"/>
    <n v="1"/>
    <n v="0"/>
    <n v="0"/>
    <n v="0"/>
    <n v="0"/>
    <n v="0"/>
    <n v="0"/>
    <n v="0"/>
    <n v="1"/>
    <n v="2025"/>
    <x v="0"/>
    <x v="2"/>
    <x v="1"/>
  </r>
  <r>
    <x v="1"/>
    <x v="32"/>
    <x v="1"/>
    <x v="34"/>
    <n v="163"/>
    <n v="92"/>
    <n v="7"/>
    <n v="1"/>
    <n v="4790"/>
    <n v="2"/>
    <n v="4790"/>
    <n v="2"/>
    <n v="43"/>
    <n v="149"/>
    <n v="2025"/>
    <x v="0"/>
    <x v="2"/>
    <x v="1"/>
  </r>
  <r>
    <x v="1"/>
    <x v="32"/>
    <x v="1"/>
    <x v="36"/>
    <n v="1"/>
    <n v="1"/>
    <n v="0"/>
    <n v="0"/>
    <n v="0"/>
    <n v="0"/>
    <n v="0"/>
    <n v="0"/>
    <n v="0"/>
    <n v="1"/>
    <n v="2025"/>
    <x v="0"/>
    <x v="2"/>
    <x v="1"/>
  </r>
  <r>
    <x v="1"/>
    <x v="32"/>
    <x v="1"/>
    <x v="38"/>
    <n v="216"/>
    <n v="64"/>
    <n v="7"/>
    <n v="6"/>
    <n v="18625"/>
    <n v="4"/>
    <n v="18625"/>
    <n v="4"/>
    <n v="39"/>
    <n v="211"/>
    <n v="2025"/>
    <x v="0"/>
    <x v="2"/>
    <x v="1"/>
  </r>
  <r>
    <x v="1"/>
    <x v="32"/>
    <x v="1"/>
    <x v="60"/>
    <n v="12"/>
    <n v="11"/>
    <n v="0"/>
    <n v="0"/>
    <n v="0"/>
    <n v="0"/>
    <n v="0"/>
    <n v="0"/>
    <n v="0"/>
    <n v="12"/>
    <n v="2025"/>
    <x v="0"/>
    <x v="2"/>
    <x v="1"/>
  </r>
  <r>
    <x v="1"/>
    <x v="32"/>
    <x v="1"/>
    <x v="64"/>
    <n v="421"/>
    <n v="226"/>
    <n v="16"/>
    <n v="3"/>
    <n v="5324"/>
    <n v="2"/>
    <n v="5324"/>
    <n v="2"/>
    <n v="58"/>
    <n v="413"/>
    <n v="2025"/>
    <x v="0"/>
    <x v="2"/>
    <x v="1"/>
  </r>
  <r>
    <x v="1"/>
    <x v="32"/>
    <x v="1"/>
    <x v="42"/>
    <n v="217"/>
    <n v="160"/>
    <n v="6"/>
    <n v="5"/>
    <n v="4420"/>
    <n v="1"/>
    <n v="4420"/>
    <n v="1"/>
    <n v="12"/>
    <n v="217"/>
    <n v="2025"/>
    <x v="0"/>
    <x v="2"/>
    <x v="1"/>
  </r>
  <r>
    <x v="1"/>
    <x v="32"/>
    <x v="1"/>
    <x v="43"/>
    <n v="88"/>
    <n v="50"/>
    <n v="3"/>
    <n v="0"/>
    <n v="5075"/>
    <n v="1"/>
    <n v="5075"/>
    <n v="1"/>
    <n v="73"/>
    <n v="50"/>
    <n v="2025"/>
    <x v="0"/>
    <x v="2"/>
    <x v="1"/>
  </r>
  <r>
    <x v="1"/>
    <x v="32"/>
    <x v="1"/>
    <x v="44"/>
    <n v="11"/>
    <n v="4"/>
    <n v="0"/>
    <n v="0"/>
    <n v="0"/>
    <n v="0"/>
    <n v="0"/>
    <n v="0"/>
    <n v="1"/>
    <n v="11"/>
    <n v="2025"/>
    <x v="0"/>
    <x v="2"/>
    <x v="1"/>
  </r>
  <r>
    <x v="1"/>
    <x v="32"/>
    <x v="1"/>
    <x v="45"/>
    <n v="1"/>
    <n v="0"/>
    <n v="0"/>
    <n v="0"/>
    <n v="0"/>
    <n v="0"/>
    <n v="0"/>
    <n v="0"/>
    <n v="1"/>
    <n v="1"/>
    <n v="2025"/>
    <x v="0"/>
    <x v="2"/>
    <x v="1"/>
  </r>
  <r>
    <x v="1"/>
    <x v="33"/>
    <x v="0"/>
    <x v="0"/>
    <n v="230"/>
    <n v="65"/>
    <n v="2"/>
    <n v="0"/>
    <n v="4750"/>
    <n v="1"/>
    <n v="2375"/>
    <n v="1"/>
    <n v="5"/>
    <n v="225"/>
    <n v="2025"/>
    <x v="0"/>
    <x v="2"/>
    <x v="1"/>
  </r>
  <r>
    <x v="1"/>
    <x v="33"/>
    <x v="0"/>
    <x v="1"/>
    <n v="15636"/>
    <n v="10129"/>
    <n v="177"/>
    <n v="190"/>
    <n v="129507"/>
    <n v="29"/>
    <n v="81262"/>
    <n v="21"/>
    <n v="933"/>
    <n v="15436"/>
    <n v="2025"/>
    <x v="0"/>
    <x v="2"/>
    <x v="1"/>
  </r>
  <r>
    <x v="1"/>
    <x v="33"/>
    <x v="0"/>
    <x v="3"/>
    <n v="843"/>
    <n v="579"/>
    <n v="18"/>
    <n v="1"/>
    <n v="0"/>
    <n v="0"/>
    <n v="0"/>
    <n v="0"/>
    <n v="23"/>
    <n v="238"/>
    <n v="2025"/>
    <x v="0"/>
    <x v="2"/>
    <x v="1"/>
  </r>
  <r>
    <x v="1"/>
    <x v="33"/>
    <x v="1"/>
    <x v="5"/>
    <n v="6"/>
    <n v="3"/>
    <n v="0"/>
    <n v="0"/>
    <n v="0"/>
    <n v="0"/>
    <n v="0"/>
    <n v="0"/>
    <n v="0"/>
    <n v="6"/>
    <n v="2025"/>
    <x v="0"/>
    <x v="2"/>
    <x v="1"/>
  </r>
  <r>
    <x v="1"/>
    <x v="33"/>
    <x v="1"/>
    <x v="6"/>
    <n v="93"/>
    <n v="79"/>
    <n v="0"/>
    <n v="0"/>
    <n v="0"/>
    <n v="0"/>
    <n v="0"/>
    <n v="0"/>
    <n v="0"/>
    <n v="0"/>
    <n v="2025"/>
    <x v="0"/>
    <x v="2"/>
    <x v="1"/>
  </r>
  <r>
    <x v="1"/>
    <x v="33"/>
    <x v="1"/>
    <x v="7"/>
    <n v="276"/>
    <n v="79"/>
    <n v="22"/>
    <n v="3"/>
    <n v="119767"/>
    <n v="31"/>
    <n v="102357"/>
    <n v="27"/>
    <n v="82"/>
    <n v="268"/>
    <n v="2025"/>
    <x v="0"/>
    <x v="2"/>
    <x v="1"/>
  </r>
  <r>
    <x v="1"/>
    <x v="33"/>
    <x v="1"/>
    <x v="8"/>
    <n v="38"/>
    <n v="25"/>
    <n v="1"/>
    <n v="3"/>
    <n v="0"/>
    <n v="0"/>
    <n v="0"/>
    <n v="0"/>
    <n v="0"/>
    <n v="22"/>
    <n v="2025"/>
    <x v="0"/>
    <x v="2"/>
    <x v="1"/>
  </r>
  <r>
    <x v="1"/>
    <x v="33"/>
    <x v="1"/>
    <x v="9"/>
    <n v="22"/>
    <n v="20"/>
    <n v="0"/>
    <n v="0"/>
    <n v="0"/>
    <n v="0"/>
    <n v="0"/>
    <n v="0"/>
    <n v="0"/>
    <n v="1"/>
    <n v="2025"/>
    <x v="0"/>
    <x v="2"/>
    <x v="1"/>
  </r>
  <r>
    <x v="1"/>
    <x v="33"/>
    <x v="1"/>
    <x v="10"/>
    <n v="3"/>
    <n v="2"/>
    <n v="0"/>
    <n v="0"/>
    <n v="0"/>
    <n v="0"/>
    <n v="0"/>
    <n v="0"/>
    <n v="0"/>
    <n v="1"/>
    <n v="2025"/>
    <x v="0"/>
    <x v="2"/>
    <x v="1"/>
  </r>
  <r>
    <x v="1"/>
    <x v="33"/>
    <x v="1"/>
    <x v="48"/>
    <n v="2"/>
    <n v="2"/>
    <n v="0"/>
    <n v="0"/>
    <n v="0"/>
    <n v="0"/>
    <n v="0"/>
    <n v="0"/>
    <n v="0"/>
    <n v="2"/>
    <n v="2025"/>
    <x v="0"/>
    <x v="2"/>
    <x v="1"/>
  </r>
  <r>
    <x v="1"/>
    <x v="33"/>
    <x v="1"/>
    <x v="66"/>
    <n v="131"/>
    <n v="105"/>
    <n v="1"/>
    <n v="0"/>
    <n v="0"/>
    <n v="0"/>
    <n v="0"/>
    <n v="0"/>
    <n v="0"/>
    <n v="8"/>
    <n v="2025"/>
    <x v="0"/>
    <x v="2"/>
    <x v="1"/>
  </r>
  <r>
    <x v="1"/>
    <x v="33"/>
    <x v="1"/>
    <x v="59"/>
    <n v="2471"/>
    <n v="2219"/>
    <n v="10"/>
    <n v="3"/>
    <n v="13670"/>
    <n v="5"/>
    <n v="13670"/>
    <n v="5"/>
    <n v="60"/>
    <n v="169"/>
    <n v="2025"/>
    <x v="0"/>
    <x v="2"/>
    <x v="1"/>
  </r>
  <r>
    <x v="1"/>
    <x v="33"/>
    <x v="1"/>
    <x v="15"/>
    <n v="14"/>
    <n v="12"/>
    <n v="1"/>
    <n v="1"/>
    <n v="0"/>
    <n v="0"/>
    <n v="0"/>
    <n v="0"/>
    <n v="0"/>
    <n v="14"/>
    <n v="2025"/>
    <x v="0"/>
    <x v="2"/>
    <x v="1"/>
  </r>
  <r>
    <x v="1"/>
    <x v="33"/>
    <x v="1"/>
    <x v="17"/>
    <n v="203"/>
    <n v="107"/>
    <n v="5"/>
    <n v="1"/>
    <n v="0"/>
    <n v="0"/>
    <n v="0"/>
    <n v="0"/>
    <n v="1"/>
    <n v="202"/>
    <n v="2025"/>
    <x v="0"/>
    <x v="2"/>
    <x v="1"/>
  </r>
  <r>
    <x v="1"/>
    <x v="33"/>
    <x v="1"/>
    <x v="18"/>
    <n v="13"/>
    <n v="9"/>
    <n v="1"/>
    <n v="0"/>
    <n v="1680"/>
    <n v="1"/>
    <n v="1680"/>
    <n v="1"/>
    <n v="3"/>
    <n v="13"/>
    <n v="2025"/>
    <x v="0"/>
    <x v="2"/>
    <x v="1"/>
  </r>
  <r>
    <x v="1"/>
    <x v="33"/>
    <x v="1"/>
    <x v="19"/>
    <n v="594"/>
    <n v="394"/>
    <n v="34"/>
    <n v="4"/>
    <n v="101347"/>
    <n v="16"/>
    <n v="81647"/>
    <n v="15"/>
    <n v="205"/>
    <n v="335"/>
    <n v="2025"/>
    <x v="0"/>
    <x v="2"/>
    <x v="1"/>
  </r>
  <r>
    <x v="1"/>
    <x v="33"/>
    <x v="1"/>
    <x v="20"/>
    <n v="17"/>
    <n v="11"/>
    <n v="0"/>
    <n v="0"/>
    <n v="0"/>
    <n v="0"/>
    <n v="0"/>
    <n v="0"/>
    <n v="5"/>
    <n v="14"/>
    <n v="2025"/>
    <x v="0"/>
    <x v="2"/>
    <x v="1"/>
  </r>
  <r>
    <x v="1"/>
    <x v="33"/>
    <x v="1"/>
    <x v="50"/>
    <n v="1"/>
    <n v="1"/>
    <n v="0"/>
    <n v="0"/>
    <n v="0"/>
    <n v="0"/>
    <n v="0"/>
    <n v="0"/>
    <n v="0"/>
    <n v="1"/>
    <n v="2025"/>
    <x v="0"/>
    <x v="2"/>
    <x v="1"/>
  </r>
  <r>
    <x v="1"/>
    <x v="33"/>
    <x v="1"/>
    <x v="22"/>
    <n v="131"/>
    <n v="105"/>
    <n v="1"/>
    <n v="0"/>
    <n v="0"/>
    <n v="0"/>
    <n v="0"/>
    <n v="0"/>
    <n v="0"/>
    <n v="8"/>
    <n v="2025"/>
    <x v="0"/>
    <x v="2"/>
    <x v="1"/>
  </r>
  <r>
    <x v="1"/>
    <x v="33"/>
    <x v="1"/>
    <x v="24"/>
    <n v="30"/>
    <n v="18"/>
    <n v="1"/>
    <n v="0"/>
    <n v="0"/>
    <n v="0"/>
    <n v="0"/>
    <n v="0"/>
    <n v="23"/>
    <n v="16"/>
    <n v="2025"/>
    <x v="0"/>
    <x v="2"/>
    <x v="1"/>
  </r>
  <r>
    <x v="1"/>
    <x v="33"/>
    <x v="1"/>
    <x v="27"/>
    <n v="93"/>
    <n v="40"/>
    <n v="8"/>
    <n v="3"/>
    <n v="35472"/>
    <n v="8"/>
    <n v="35472"/>
    <n v="8"/>
    <n v="31"/>
    <n v="86"/>
    <n v="2025"/>
    <x v="0"/>
    <x v="2"/>
    <x v="1"/>
  </r>
  <r>
    <x v="1"/>
    <x v="33"/>
    <x v="1"/>
    <x v="29"/>
    <n v="715"/>
    <n v="556"/>
    <n v="24"/>
    <n v="4"/>
    <n v="39232"/>
    <n v="8"/>
    <n v="34617"/>
    <n v="6"/>
    <n v="336"/>
    <n v="520"/>
    <n v="2025"/>
    <x v="0"/>
    <x v="2"/>
    <x v="1"/>
  </r>
  <r>
    <x v="1"/>
    <x v="33"/>
    <x v="1"/>
    <x v="30"/>
    <n v="3064"/>
    <n v="2186"/>
    <n v="43"/>
    <n v="21"/>
    <n v="41055"/>
    <n v="8"/>
    <n v="34720"/>
    <n v="7"/>
    <n v="153"/>
    <n v="2698"/>
    <n v="2025"/>
    <x v="0"/>
    <x v="2"/>
    <x v="1"/>
  </r>
  <r>
    <x v="1"/>
    <x v="33"/>
    <x v="1"/>
    <x v="31"/>
    <n v="76"/>
    <n v="53"/>
    <n v="1"/>
    <n v="0"/>
    <n v="4695"/>
    <n v="1"/>
    <n v="4695"/>
    <n v="1"/>
    <n v="15"/>
    <n v="75"/>
    <n v="2025"/>
    <x v="0"/>
    <x v="2"/>
    <x v="1"/>
  </r>
  <r>
    <x v="1"/>
    <x v="33"/>
    <x v="1"/>
    <x v="32"/>
    <n v="1"/>
    <n v="0"/>
    <n v="1"/>
    <n v="0"/>
    <n v="0"/>
    <n v="0"/>
    <n v="0"/>
    <n v="0"/>
    <n v="0"/>
    <n v="1"/>
    <n v="2025"/>
    <x v="0"/>
    <x v="2"/>
    <x v="1"/>
  </r>
  <r>
    <x v="1"/>
    <x v="33"/>
    <x v="1"/>
    <x v="34"/>
    <n v="137"/>
    <n v="71"/>
    <n v="13"/>
    <n v="2"/>
    <n v="26745"/>
    <n v="4"/>
    <n v="22100"/>
    <n v="4"/>
    <n v="44"/>
    <n v="122"/>
    <n v="2025"/>
    <x v="0"/>
    <x v="2"/>
    <x v="1"/>
  </r>
  <r>
    <x v="1"/>
    <x v="33"/>
    <x v="1"/>
    <x v="38"/>
    <n v="218"/>
    <n v="70"/>
    <n v="16"/>
    <n v="7"/>
    <n v="35710"/>
    <n v="8"/>
    <n v="25860"/>
    <n v="7"/>
    <n v="63"/>
    <n v="212"/>
    <n v="2025"/>
    <x v="0"/>
    <x v="2"/>
    <x v="1"/>
  </r>
  <r>
    <x v="1"/>
    <x v="33"/>
    <x v="1"/>
    <x v="60"/>
    <n v="17"/>
    <n v="17"/>
    <n v="0"/>
    <n v="0"/>
    <n v="0"/>
    <n v="0"/>
    <n v="0"/>
    <n v="0"/>
    <n v="0"/>
    <n v="17"/>
    <n v="2025"/>
    <x v="0"/>
    <x v="2"/>
    <x v="1"/>
  </r>
  <r>
    <x v="1"/>
    <x v="33"/>
    <x v="1"/>
    <x v="39"/>
    <n v="1"/>
    <n v="1"/>
    <n v="0"/>
    <n v="0"/>
    <n v="0"/>
    <n v="0"/>
    <n v="0"/>
    <n v="0"/>
    <n v="0"/>
    <n v="1"/>
    <n v="2025"/>
    <x v="0"/>
    <x v="2"/>
    <x v="1"/>
  </r>
  <r>
    <x v="1"/>
    <x v="33"/>
    <x v="1"/>
    <x v="64"/>
    <n v="416"/>
    <n v="218"/>
    <n v="13"/>
    <n v="4"/>
    <n v="6305"/>
    <n v="2"/>
    <n v="6305"/>
    <n v="2"/>
    <n v="59"/>
    <n v="408"/>
    <n v="2025"/>
    <x v="0"/>
    <x v="2"/>
    <x v="1"/>
  </r>
  <r>
    <x v="1"/>
    <x v="33"/>
    <x v="1"/>
    <x v="42"/>
    <n v="247"/>
    <n v="188"/>
    <n v="2"/>
    <n v="3"/>
    <n v="19700"/>
    <n v="1"/>
    <n v="0"/>
    <n v="0"/>
    <n v="17"/>
    <n v="247"/>
    <n v="2025"/>
    <x v="0"/>
    <x v="2"/>
    <x v="1"/>
  </r>
  <r>
    <x v="1"/>
    <x v="33"/>
    <x v="1"/>
    <x v="43"/>
    <n v="69"/>
    <n v="39"/>
    <n v="1"/>
    <n v="0"/>
    <n v="0"/>
    <n v="0"/>
    <n v="0"/>
    <n v="0"/>
    <n v="62"/>
    <n v="34"/>
    <n v="2025"/>
    <x v="0"/>
    <x v="2"/>
    <x v="1"/>
  </r>
  <r>
    <x v="1"/>
    <x v="33"/>
    <x v="1"/>
    <x v="44"/>
    <n v="18"/>
    <n v="4"/>
    <n v="1"/>
    <n v="1"/>
    <n v="9850"/>
    <n v="1"/>
    <n v="9850"/>
    <n v="1"/>
    <n v="0"/>
    <n v="18"/>
    <n v="2025"/>
    <x v="0"/>
    <x v="2"/>
    <x v="1"/>
  </r>
  <r>
    <x v="1"/>
    <x v="33"/>
    <x v="1"/>
    <x v="45"/>
    <n v="3"/>
    <n v="1"/>
    <n v="0"/>
    <n v="0"/>
    <n v="0"/>
    <n v="0"/>
    <n v="0"/>
    <n v="0"/>
    <n v="0"/>
    <n v="3"/>
    <n v="2025"/>
    <x v="0"/>
    <x v="2"/>
    <x v="1"/>
  </r>
  <r>
    <x v="1"/>
    <x v="34"/>
    <x v="0"/>
    <x v="0"/>
    <n v="341"/>
    <n v="150"/>
    <n v="5"/>
    <n v="2"/>
    <n v="6084"/>
    <n v="2"/>
    <n v="6084"/>
    <n v="2"/>
    <n v="10"/>
    <n v="341"/>
    <n v="2025"/>
    <x v="0"/>
    <x v="2"/>
    <x v="1"/>
  </r>
  <r>
    <x v="1"/>
    <x v="34"/>
    <x v="0"/>
    <x v="1"/>
    <n v="14706"/>
    <n v="9413"/>
    <n v="191"/>
    <n v="187"/>
    <n v="150715.57999999999"/>
    <n v="39"/>
    <n v="82419.58"/>
    <n v="28"/>
    <n v="1074"/>
    <n v="14442"/>
    <n v="2025"/>
    <x v="0"/>
    <x v="2"/>
    <x v="1"/>
  </r>
  <r>
    <x v="1"/>
    <x v="34"/>
    <x v="0"/>
    <x v="2"/>
    <n v="3"/>
    <n v="1"/>
    <n v="0"/>
    <n v="0"/>
    <n v="0"/>
    <n v="0"/>
    <n v="0"/>
    <n v="0"/>
    <n v="0"/>
    <n v="3"/>
    <n v="2025"/>
    <x v="0"/>
    <x v="2"/>
    <x v="1"/>
  </r>
  <r>
    <x v="1"/>
    <x v="34"/>
    <x v="0"/>
    <x v="3"/>
    <n v="5"/>
    <n v="0"/>
    <n v="0"/>
    <n v="0"/>
    <n v="0"/>
    <n v="0"/>
    <n v="0"/>
    <n v="0"/>
    <n v="0"/>
    <n v="3"/>
    <n v="2025"/>
    <x v="0"/>
    <x v="2"/>
    <x v="1"/>
  </r>
  <r>
    <x v="1"/>
    <x v="34"/>
    <x v="1"/>
    <x v="5"/>
    <n v="4"/>
    <n v="1"/>
    <n v="0"/>
    <n v="0"/>
    <n v="0"/>
    <n v="0"/>
    <n v="0"/>
    <n v="0"/>
    <n v="0"/>
    <n v="4"/>
    <n v="2025"/>
    <x v="0"/>
    <x v="2"/>
    <x v="1"/>
  </r>
  <r>
    <x v="1"/>
    <x v="34"/>
    <x v="1"/>
    <x v="6"/>
    <n v="3"/>
    <n v="3"/>
    <n v="0"/>
    <n v="0"/>
    <n v="0"/>
    <n v="0"/>
    <n v="0"/>
    <n v="0"/>
    <n v="0"/>
    <n v="0"/>
    <n v="2025"/>
    <x v="0"/>
    <x v="2"/>
    <x v="1"/>
  </r>
  <r>
    <x v="1"/>
    <x v="34"/>
    <x v="1"/>
    <x v="7"/>
    <n v="293"/>
    <n v="72"/>
    <n v="35"/>
    <n v="2"/>
    <n v="143285"/>
    <n v="31"/>
    <n v="107002"/>
    <n v="31"/>
    <n v="68"/>
    <n v="284"/>
    <n v="2025"/>
    <x v="0"/>
    <x v="2"/>
    <x v="1"/>
  </r>
  <r>
    <x v="1"/>
    <x v="34"/>
    <x v="1"/>
    <x v="8"/>
    <n v="12"/>
    <n v="6"/>
    <n v="1"/>
    <n v="3"/>
    <n v="0"/>
    <n v="0"/>
    <n v="0"/>
    <n v="0"/>
    <n v="0"/>
    <n v="12"/>
    <n v="2025"/>
    <x v="0"/>
    <x v="2"/>
    <x v="1"/>
  </r>
  <r>
    <x v="1"/>
    <x v="34"/>
    <x v="1"/>
    <x v="10"/>
    <n v="1"/>
    <n v="0"/>
    <n v="0"/>
    <n v="0"/>
    <n v="0"/>
    <n v="0"/>
    <n v="0"/>
    <n v="0"/>
    <n v="0"/>
    <n v="1"/>
    <n v="2025"/>
    <x v="0"/>
    <x v="2"/>
    <x v="1"/>
  </r>
  <r>
    <x v="1"/>
    <x v="34"/>
    <x v="1"/>
    <x v="66"/>
    <n v="4"/>
    <n v="1"/>
    <n v="0"/>
    <n v="0"/>
    <n v="0"/>
    <n v="0"/>
    <n v="0"/>
    <n v="0"/>
    <n v="0"/>
    <n v="4"/>
    <n v="2025"/>
    <x v="0"/>
    <x v="2"/>
    <x v="1"/>
  </r>
  <r>
    <x v="1"/>
    <x v="34"/>
    <x v="1"/>
    <x v="59"/>
    <n v="189"/>
    <n v="84"/>
    <n v="13"/>
    <n v="6"/>
    <n v="69008.100000000006"/>
    <n v="10"/>
    <n v="37063.1"/>
    <n v="9"/>
    <n v="64"/>
    <n v="152"/>
    <n v="2025"/>
    <x v="0"/>
    <x v="2"/>
    <x v="1"/>
  </r>
  <r>
    <x v="1"/>
    <x v="34"/>
    <x v="1"/>
    <x v="15"/>
    <n v="16"/>
    <n v="16"/>
    <n v="0"/>
    <n v="0"/>
    <n v="0"/>
    <n v="0"/>
    <n v="0"/>
    <n v="0"/>
    <n v="1"/>
    <n v="16"/>
    <n v="2025"/>
    <x v="0"/>
    <x v="2"/>
    <x v="1"/>
  </r>
  <r>
    <x v="1"/>
    <x v="34"/>
    <x v="1"/>
    <x v="17"/>
    <n v="174"/>
    <n v="99"/>
    <n v="3"/>
    <n v="0"/>
    <n v="0"/>
    <n v="0"/>
    <n v="0"/>
    <n v="0"/>
    <n v="0"/>
    <n v="174"/>
    <n v="2025"/>
    <x v="0"/>
    <x v="2"/>
    <x v="1"/>
  </r>
  <r>
    <x v="1"/>
    <x v="34"/>
    <x v="1"/>
    <x v="18"/>
    <n v="5"/>
    <n v="4"/>
    <n v="1"/>
    <n v="0"/>
    <n v="0"/>
    <n v="0"/>
    <n v="0"/>
    <n v="0"/>
    <n v="2"/>
    <n v="4"/>
    <n v="2025"/>
    <x v="0"/>
    <x v="2"/>
    <x v="1"/>
  </r>
  <r>
    <x v="1"/>
    <x v="34"/>
    <x v="1"/>
    <x v="19"/>
    <n v="420"/>
    <n v="226"/>
    <n v="33"/>
    <n v="7"/>
    <n v="71659.899999999994"/>
    <n v="12"/>
    <n v="40119.9"/>
    <n v="12"/>
    <n v="187"/>
    <n v="318"/>
    <n v="2025"/>
    <x v="0"/>
    <x v="2"/>
    <x v="1"/>
  </r>
  <r>
    <x v="1"/>
    <x v="34"/>
    <x v="1"/>
    <x v="20"/>
    <n v="5"/>
    <n v="4"/>
    <n v="0"/>
    <n v="0"/>
    <n v="0"/>
    <n v="0"/>
    <n v="0"/>
    <n v="0"/>
    <n v="0"/>
    <n v="5"/>
    <n v="2025"/>
    <x v="0"/>
    <x v="2"/>
    <x v="1"/>
  </r>
  <r>
    <x v="1"/>
    <x v="34"/>
    <x v="1"/>
    <x v="50"/>
    <n v="1"/>
    <n v="0"/>
    <n v="0"/>
    <n v="0"/>
    <n v="0"/>
    <n v="0"/>
    <n v="0"/>
    <n v="0"/>
    <n v="0"/>
    <n v="1"/>
    <n v="2025"/>
    <x v="0"/>
    <x v="2"/>
    <x v="1"/>
  </r>
  <r>
    <x v="1"/>
    <x v="34"/>
    <x v="1"/>
    <x v="22"/>
    <n v="4"/>
    <n v="1"/>
    <n v="0"/>
    <n v="0"/>
    <n v="0"/>
    <n v="0"/>
    <n v="0"/>
    <n v="0"/>
    <n v="0"/>
    <n v="4"/>
    <n v="2025"/>
    <x v="0"/>
    <x v="2"/>
    <x v="1"/>
  </r>
  <r>
    <x v="1"/>
    <x v="34"/>
    <x v="1"/>
    <x v="24"/>
    <n v="30"/>
    <n v="20"/>
    <n v="3"/>
    <n v="0"/>
    <n v="0"/>
    <n v="0"/>
    <n v="0"/>
    <n v="0"/>
    <n v="22"/>
    <n v="17"/>
    <n v="2025"/>
    <x v="0"/>
    <x v="2"/>
    <x v="1"/>
  </r>
  <r>
    <x v="1"/>
    <x v="34"/>
    <x v="1"/>
    <x v="27"/>
    <n v="106"/>
    <n v="35"/>
    <n v="6"/>
    <n v="0"/>
    <n v="48799.9"/>
    <n v="11"/>
    <n v="29099.9"/>
    <n v="10"/>
    <n v="49"/>
    <n v="91"/>
    <n v="2025"/>
    <x v="0"/>
    <x v="2"/>
    <x v="1"/>
  </r>
  <r>
    <x v="1"/>
    <x v="34"/>
    <x v="1"/>
    <x v="29"/>
    <n v="771"/>
    <n v="572"/>
    <n v="32"/>
    <n v="15"/>
    <n v="114267"/>
    <n v="14"/>
    <n v="55772"/>
    <n v="12"/>
    <n v="346"/>
    <n v="582"/>
    <n v="2025"/>
    <x v="0"/>
    <x v="2"/>
    <x v="1"/>
  </r>
  <r>
    <x v="1"/>
    <x v="34"/>
    <x v="1"/>
    <x v="30"/>
    <n v="2618"/>
    <n v="1788"/>
    <n v="27"/>
    <n v="20"/>
    <n v="42430"/>
    <n v="2"/>
    <n v="11390"/>
    <n v="2"/>
    <n v="158"/>
    <n v="2540"/>
    <n v="2025"/>
    <x v="0"/>
    <x v="2"/>
    <x v="1"/>
  </r>
  <r>
    <x v="1"/>
    <x v="34"/>
    <x v="1"/>
    <x v="31"/>
    <n v="79"/>
    <n v="56"/>
    <n v="3"/>
    <n v="4"/>
    <n v="0"/>
    <n v="0"/>
    <n v="0"/>
    <n v="0"/>
    <n v="13"/>
    <n v="75"/>
    <n v="2025"/>
    <x v="0"/>
    <x v="2"/>
    <x v="1"/>
  </r>
  <r>
    <x v="1"/>
    <x v="34"/>
    <x v="1"/>
    <x v="32"/>
    <n v="4"/>
    <n v="1"/>
    <n v="0"/>
    <n v="0"/>
    <n v="0"/>
    <n v="0"/>
    <n v="0"/>
    <n v="0"/>
    <n v="0"/>
    <n v="4"/>
    <n v="2025"/>
    <x v="0"/>
    <x v="2"/>
    <x v="1"/>
  </r>
  <r>
    <x v="1"/>
    <x v="34"/>
    <x v="1"/>
    <x v="34"/>
    <n v="146"/>
    <n v="72"/>
    <n v="8"/>
    <n v="1"/>
    <n v="7625"/>
    <n v="2"/>
    <n v="6135"/>
    <n v="2"/>
    <n v="51"/>
    <n v="128"/>
    <n v="2025"/>
    <x v="0"/>
    <x v="2"/>
    <x v="1"/>
  </r>
  <r>
    <x v="1"/>
    <x v="34"/>
    <x v="1"/>
    <x v="36"/>
    <n v="1"/>
    <n v="0"/>
    <n v="0"/>
    <n v="0"/>
    <n v="0"/>
    <n v="0"/>
    <n v="0"/>
    <n v="0"/>
    <n v="0"/>
    <n v="1"/>
    <n v="2025"/>
    <x v="0"/>
    <x v="2"/>
    <x v="1"/>
  </r>
  <r>
    <x v="1"/>
    <x v="34"/>
    <x v="1"/>
    <x v="38"/>
    <n v="219"/>
    <n v="65"/>
    <n v="16"/>
    <n v="6"/>
    <n v="52114"/>
    <n v="10"/>
    <n v="18279"/>
    <n v="8"/>
    <n v="44"/>
    <n v="216"/>
    <n v="2025"/>
    <x v="0"/>
    <x v="2"/>
    <x v="1"/>
  </r>
  <r>
    <x v="1"/>
    <x v="34"/>
    <x v="1"/>
    <x v="65"/>
    <n v="1"/>
    <n v="0"/>
    <n v="0"/>
    <n v="0"/>
    <n v="0"/>
    <n v="0"/>
    <n v="0"/>
    <n v="0"/>
    <n v="0"/>
    <n v="1"/>
    <n v="2025"/>
    <x v="0"/>
    <x v="2"/>
    <x v="1"/>
  </r>
  <r>
    <x v="1"/>
    <x v="34"/>
    <x v="1"/>
    <x v="60"/>
    <n v="11"/>
    <n v="8"/>
    <n v="0"/>
    <n v="0"/>
    <n v="0"/>
    <n v="0"/>
    <n v="0"/>
    <n v="0"/>
    <n v="0"/>
    <n v="11"/>
    <n v="2025"/>
    <x v="0"/>
    <x v="2"/>
    <x v="1"/>
  </r>
  <r>
    <x v="1"/>
    <x v="34"/>
    <x v="1"/>
    <x v="39"/>
    <n v="2"/>
    <n v="2"/>
    <n v="0"/>
    <n v="0"/>
    <n v="0"/>
    <n v="0"/>
    <n v="0"/>
    <n v="0"/>
    <n v="0"/>
    <n v="2"/>
    <n v="2025"/>
    <x v="0"/>
    <x v="2"/>
    <x v="1"/>
  </r>
  <r>
    <x v="1"/>
    <x v="34"/>
    <x v="1"/>
    <x v="64"/>
    <n v="359"/>
    <n v="193"/>
    <n v="13"/>
    <n v="2"/>
    <n v="4895"/>
    <n v="1"/>
    <n v="4895"/>
    <n v="1"/>
    <n v="55"/>
    <n v="352"/>
    <n v="2025"/>
    <x v="0"/>
    <x v="2"/>
    <x v="1"/>
  </r>
  <r>
    <x v="1"/>
    <x v="34"/>
    <x v="1"/>
    <x v="42"/>
    <n v="156"/>
    <n v="106"/>
    <n v="4"/>
    <n v="5"/>
    <n v="13500"/>
    <n v="1"/>
    <n v="0"/>
    <n v="0"/>
    <n v="10"/>
    <n v="153"/>
    <n v="2025"/>
    <x v="0"/>
    <x v="2"/>
    <x v="1"/>
  </r>
  <r>
    <x v="1"/>
    <x v="34"/>
    <x v="1"/>
    <x v="43"/>
    <n v="79"/>
    <n v="39"/>
    <n v="2"/>
    <n v="0"/>
    <n v="1680"/>
    <n v="1"/>
    <n v="1680"/>
    <n v="1"/>
    <n v="64"/>
    <n v="47"/>
    <n v="2025"/>
    <x v="0"/>
    <x v="2"/>
    <x v="1"/>
  </r>
  <r>
    <x v="1"/>
    <x v="34"/>
    <x v="1"/>
    <x v="44"/>
    <n v="18"/>
    <n v="3"/>
    <n v="1"/>
    <n v="0"/>
    <n v="3025"/>
    <n v="1"/>
    <n v="3025"/>
    <n v="1"/>
    <n v="0"/>
    <n v="18"/>
    <n v="2025"/>
    <x v="0"/>
    <x v="2"/>
    <x v="1"/>
  </r>
  <r>
    <x v="1"/>
    <x v="34"/>
    <x v="1"/>
    <x v="45"/>
    <n v="3"/>
    <n v="1"/>
    <n v="0"/>
    <n v="0"/>
    <n v="0"/>
    <n v="0"/>
    <n v="0"/>
    <n v="0"/>
    <n v="0"/>
    <n v="3"/>
    <n v="2025"/>
    <x v="0"/>
    <x v="2"/>
    <x v="1"/>
  </r>
  <r>
    <x v="1"/>
    <x v="35"/>
    <x v="0"/>
    <x v="0"/>
    <n v="257"/>
    <n v="72"/>
    <n v="2"/>
    <n v="2"/>
    <n v="3980"/>
    <n v="2"/>
    <n v="3980"/>
    <n v="2"/>
    <n v="3"/>
    <n v="254"/>
    <n v="2025"/>
    <x v="0"/>
    <x v="2"/>
    <x v="1"/>
  </r>
  <r>
    <x v="1"/>
    <x v="35"/>
    <x v="0"/>
    <x v="1"/>
    <n v="15242"/>
    <n v="9697"/>
    <n v="213"/>
    <n v="205"/>
    <n v="150447"/>
    <n v="36"/>
    <n v="108145"/>
    <n v="26"/>
    <n v="1153"/>
    <n v="14932"/>
    <n v="2025"/>
    <x v="0"/>
    <x v="2"/>
    <x v="1"/>
  </r>
  <r>
    <x v="1"/>
    <x v="35"/>
    <x v="0"/>
    <x v="3"/>
    <n v="784"/>
    <n v="543"/>
    <n v="17"/>
    <n v="1"/>
    <n v="0"/>
    <n v="0"/>
    <n v="0"/>
    <n v="0"/>
    <n v="25"/>
    <n v="186"/>
    <n v="2025"/>
    <x v="0"/>
    <x v="2"/>
    <x v="1"/>
  </r>
  <r>
    <x v="1"/>
    <x v="35"/>
    <x v="1"/>
    <x v="5"/>
    <n v="5"/>
    <n v="3"/>
    <n v="0"/>
    <n v="0"/>
    <n v="0"/>
    <n v="0"/>
    <n v="0"/>
    <n v="0"/>
    <n v="0"/>
    <n v="5"/>
    <n v="2025"/>
    <x v="0"/>
    <x v="2"/>
    <x v="1"/>
  </r>
  <r>
    <x v="1"/>
    <x v="35"/>
    <x v="1"/>
    <x v="6"/>
    <n v="205"/>
    <n v="181"/>
    <n v="0"/>
    <n v="0"/>
    <n v="0"/>
    <n v="0"/>
    <n v="0"/>
    <n v="0"/>
    <n v="0"/>
    <n v="0"/>
    <n v="2025"/>
    <x v="0"/>
    <x v="2"/>
    <x v="1"/>
  </r>
  <r>
    <x v="1"/>
    <x v="35"/>
    <x v="1"/>
    <x v="7"/>
    <n v="272"/>
    <n v="70"/>
    <n v="25"/>
    <n v="2"/>
    <n v="107523"/>
    <n v="29"/>
    <n v="101898"/>
    <n v="29"/>
    <n v="78"/>
    <n v="261"/>
    <n v="2025"/>
    <x v="0"/>
    <x v="2"/>
    <x v="1"/>
  </r>
  <r>
    <x v="1"/>
    <x v="35"/>
    <x v="1"/>
    <x v="8"/>
    <n v="42"/>
    <n v="26"/>
    <n v="2"/>
    <n v="3"/>
    <n v="0"/>
    <n v="0"/>
    <n v="0"/>
    <n v="0"/>
    <n v="1"/>
    <n v="27"/>
    <n v="2025"/>
    <x v="0"/>
    <x v="2"/>
    <x v="1"/>
  </r>
  <r>
    <x v="1"/>
    <x v="35"/>
    <x v="1"/>
    <x v="9"/>
    <n v="8"/>
    <n v="7"/>
    <n v="0"/>
    <n v="0"/>
    <n v="0"/>
    <n v="0"/>
    <n v="0"/>
    <n v="0"/>
    <n v="0"/>
    <n v="1"/>
    <n v="2025"/>
    <x v="0"/>
    <x v="2"/>
    <x v="1"/>
  </r>
  <r>
    <x v="1"/>
    <x v="35"/>
    <x v="1"/>
    <x v="10"/>
    <n v="16"/>
    <n v="14"/>
    <n v="0"/>
    <n v="0"/>
    <n v="0"/>
    <n v="0"/>
    <n v="0"/>
    <n v="0"/>
    <n v="0"/>
    <n v="1"/>
    <n v="2025"/>
    <x v="0"/>
    <x v="2"/>
    <x v="1"/>
  </r>
  <r>
    <x v="1"/>
    <x v="35"/>
    <x v="1"/>
    <x v="66"/>
    <n v="61"/>
    <n v="54"/>
    <n v="0"/>
    <n v="0"/>
    <n v="0"/>
    <n v="0"/>
    <n v="0"/>
    <n v="0"/>
    <n v="0"/>
    <n v="6"/>
    <n v="2025"/>
    <x v="0"/>
    <x v="2"/>
    <x v="1"/>
  </r>
  <r>
    <x v="1"/>
    <x v="35"/>
    <x v="1"/>
    <x v="59"/>
    <n v="3565"/>
    <n v="3167"/>
    <n v="12"/>
    <n v="3"/>
    <n v="35450"/>
    <n v="11"/>
    <n v="24165"/>
    <n v="9"/>
    <n v="61"/>
    <n v="175"/>
    <n v="2025"/>
    <x v="0"/>
    <x v="2"/>
    <x v="1"/>
  </r>
  <r>
    <x v="1"/>
    <x v="35"/>
    <x v="1"/>
    <x v="15"/>
    <n v="22"/>
    <n v="21"/>
    <n v="0"/>
    <n v="1"/>
    <n v="0"/>
    <n v="0"/>
    <n v="0"/>
    <n v="0"/>
    <n v="0"/>
    <n v="22"/>
    <n v="2025"/>
    <x v="0"/>
    <x v="2"/>
    <x v="1"/>
  </r>
  <r>
    <x v="1"/>
    <x v="35"/>
    <x v="1"/>
    <x v="17"/>
    <n v="166"/>
    <n v="86"/>
    <n v="3"/>
    <n v="0"/>
    <n v="0"/>
    <n v="0"/>
    <n v="0"/>
    <n v="0"/>
    <n v="1"/>
    <n v="165"/>
    <n v="2025"/>
    <x v="0"/>
    <x v="2"/>
    <x v="1"/>
  </r>
  <r>
    <x v="1"/>
    <x v="35"/>
    <x v="1"/>
    <x v="18"/>
    <n v="6"/>
    <n v="5"/>
    <n v="1"/>
    <n v="1"/>
    <n v="2980"/>
    <n v="2"/>
    <n v="1490"/>
    <n v="1"/>
    <n v="1"/>
    <n v="6"/>
    <n v="2025"/>
    <x v="0"/>
    <x v="2"/>
    <x v="1"/>
  </r>
  <r>
    <x v="1"/>
    <x v="35"/>
    <x v="1"/>
    <x v="19"/>
    <n v="515"/>
    <n v="300"/>
    <n v="26"/>
    <n v="8"/>
    <n v="74873"/>
    <n v="19"/>
    <n v="57988"/>
    <n v="18"/>
    <n v="198"/>
    <n v="310"/>
    <n v="2025"/>
    <x v="0"/>
    <x v="2"/>
    <x v="1"/>
  </r>
  <r>
    <x v="1"/>
    <x v="35"/>
    <x v="1"/>
    <x v="20"/>
    <n v="10"/>
    <n v="4"/>
    <n v="0"/>
    <n v="1"/>
    <n v="0"/>
    <n v="0"/>
    <n v="0"/>
    <n v="0"/>
    <n v="4"/>
    <n v="10"/>
    <n v="2025"/>
    <x v="0"/>
    <x v="2"/>
    <x v="1"/>
  </r>
  <r>
    <x v="1"/>
    <x v="35"/>
    <x v="1"/>
    <x v="22"/>
    <n v="61"/>
    <n v="54"/>
    <n v="0"/>
    <n v="0"/>
    <n v="0"/>
    <n v="0"/>
    <n v="0"/>
    <n v="0"/>
    <n v="0"/>
    <n v="6"/>
    <n v="2025"/>
    <x v="0"/>
    <x v="2"/>
    <x v="1"/>
  </r>
  <r>
    <x v="1"/>
    <x v="35"/>
    <x v="1"/>
    <x v="24"/>
    <n v="16"/>
    <n v="3"/>
    <n v="2"/>
    <n v="0"/>
    <n v="4365"/>
    <n v="2"/>
    <n v="4365"/>
    <n v="2"/>
    <n v="11"/>
    <n v="10"/>
    <n v="2025"/>
    <x v="0"/>
    <x v="2"/>
    <x v="1"/>
  </r>
  <r>
    <x v="1"/>
    <x v="35"/>
    <x v="1"/>
    <x v="27"/>
    <n v="93"/>
    <n v="36"/>
    <n v="9"/>
    <n v="0"/>
    <n v="22502"/>
    <n v="10"/>
    <n v="19567"/>
    <n v="9"/>
    <n v="42"/>
    <n v="82"/>
    <n v="2025"/>
    <x v="0"/>
    <x v="2"/>
    <x v="1"/>
  </r>
  <r>
    <x v="1"/>
    <x v="35"/>
    <x v="1"/>
    <x v="29"/>
    <n v="851"/>
    <n v="657"/>
    <n v="41"/>
    <n v="9"/>
    <n v="24155"/>
    <n v="7"/>
    <n v="17085"/>
    <n v="6"/>
    <n v="387"/>
    <n v="615"/>
    <n v="2025"/>
    <x v="0"/>
    <x v="2"/>
    <x v="1"/>
  </r>
  <r>
    <x v="1"/>
    <x v="35"/>
    <x v="1"/>
    <x v="30"/>
    <n v="2886"/>
    <n v="2023"/>
    <n v="38"/>
    <n v="13"/>
    <n v="27092"/>
    <n v="6"/>
    <n v="13982"/>
    <n v="5"/>
    <n v="147"/>
    <n v="2225"/>
    <n v="2025"/>
    <x v="0"/>
    <x v="2"/>
    <x v="1"/>
  </r>
  <r>
    <x v="1"/>
    <x v="35"/>
    <x v="1"/>
    <x v="31"/>
    <n v="74"/>
    <n v="53"/>
    <n v="1"/>
    <n v="4"/>
    <n v="10500"/>
    <n v="2"/>
    <n v="7250"/>
    <n v="1"/>
    <n v="11"/>
    <n v="72"/>
    <n v="2025"/>
    <x v="0"/>
    <x v="2"/>
    <x v="1"/>
  </r>
  <r>
    <x v="1"/>
    <x v="35"/>
    <x v="1"/>
    <x v="32"/>
    <n v="3"/>
    <n v="3"/>
    <n v="1"/>
    <n v="0"/>
    <n v="0"/>
    <n v="0"/>
    <n v="0"/>
    <n v="0"/>
    <n v="0"/>
    <n v="3"/>
    <n v="2025"/>
    <x v="0"/>
    <x v="2"/>
    <x v="1"/>
  </r>
  <r>
    <x v="1"/>
    <x v="35"/>
    <x v="1"/>
    <x v="34"/>
    <n v="155"/>
    <n v="64"/>
    <n v="9"/>
    <n v="4"/>
    <n v="16825"/>
    <n v="3"/>
    <n v="7940"/>
    <n v="2"/>
    <n v="49"/>
    <n v="138"/>
    <n v="2025"/>
    <x v="0"/>
    <x v="2"/>
    <x v="1"/>
  </r>
  <r>
    <x v="1"/>
    <x v="35"/>
    <x v="1"/>
    <x v="35"/>
    <n v="1"/>
    <n v="1"/>
    <n v="0"/>
    <n v="0"/>
    <n v="0"/>
    <n v="0"/>
    <n v="0"/>
    <n v="0"/>
    <n v="0"/>
    <n v="0"/>
    <n v="2025"/>
    <x v="0"/>
    <x v="2"/>
    <x v="1"/>
  </r>
  <r>
    <x v="1"/>
    <x v="35"/>
    <x v="1"/>
    <x v="38"/>
    <n v="195"/>
    <n v="59"/>
    <n v="21"/>
    <n v="5"/>
    <n v="55915"/>
    <n v="18"/>
    <n v="39355"/>
    <n v="14"/>
    <n v="49"/>
    <n v="184"/>
    <n v="2025"/>
    <x v="0"/>
    <x v="2"/>
    <x v="1"/>
  </r>
  <r>
    <x v="1"/>
    <x v="35"/>
    <x v="1"/>
    <x v="60"/>
    <n v="7"/>
    <n v="6"/>
    <n v="0"/>
    <n v="1"/>
    <n v="0"/>
    <n v="0"/>
    <n v="0"/>
    <n v="0"/>
    <n v="0"/>
    <n v="7"/>
    <n v="2025"/>
    <x v="0"/>
    <x v="2"/>
    <x v="1"/>
  </r>
  <r>
    <x v="1"/>
    <x v="35"/>
    <x v="1"/>
    <x v="64"/>
    <n v="364"/>
    <n v="202"/>
    <n v="5"/>
    <n v="4"/>
    <n v="4750"/>
    <n v="1"/>
    <n v="2375"/>
    <n v="1"/>
    <n v="41"/>
    <n v="355"/>
    <n v="2025"/>
    <x v="0"/>
    <x v="2"/>
    <x v="1"/>
  </r>
  <r>
    <x v="1"/>
    <x v="35"/>
    <x v="1"/>
    <x v="42"/>
    <n v="137"/>
    <n v="91"/>
    <n v="5"/>
    <n v="1"/>
    <n v="1990"/>
    <n v="1"/>
    <n v="1990"/>
    <n v="1"/>
    <n v="7"/>
    <n v="136"/>
    <n v="2025"/>
    <x v="0"/>
    <x v="2"/>
    <x v="1"/>
  </r>
  <r>
    <x v="1"/>
    <x v="35"/>
    <x v="1"/>
    <x v="43"/>
    <n v="109"/>
    <n v="64"/>
    <n v="6"/>
    <n v="0"/>
    <n v="1990"/>
    <n v="1"/>
    <n v="0"/>
    <n v="0"/>
    <n v="82"/>
    <n v="58"/>
    <n v="2025"/>
    <x v="0"/>
    <x v="2"/>
    <x v="1"/>
  </r>
  <r>
    <x v="1"/>
    <x v="35"/>
    <x v="1"/>
    <x v="44"/>
    <n v="27"/>
    <n v="7"/>
    <n v="1"/>
    <n v="0"/>
    <n v="9337"/>
    <n v="3"/>
    <n v="9337"/>
    <n v="3"/>
    <n v="1"/>
    <n v="26"/>
    <n v="2025"/>
    <x v="0"/>
    <x v="2"/>
    <x v="1"/>
  </r>
  <r>
    <x v="1"/>
    <x v="35"/>
    <x v="1"/>
    <x v="45"/>
    <n v="3"/>
    <n v="2"/>
    <n v="1"/>
    <n v="0"/>
    <n v="0"/>
    <n v="0"/>
    <n v="0"/>
    <n v="0"/>
    <n v="0"/>
    <n v="3"/>
    <n v="2025"/>
    <x v="0"/>
    <x v="2"/>
    <x v="1"/>
  </r>
  <r>
    <x v="1"/>
    <x v="36"/>
    <x v="0"/>
    <x v="0"/>
    <n v="251"/>
    <n v="82"/>
    <n v="3"/>
    <n v="1"/>
    <n v="13170"/>
    <n v="1"/>
    <n v="13170"/>
    <n v="1"/>
    <n v="1"/>
    <n v="247"/>
    <n v="2025"/>
    <x v="0"/>
    <x v="2"/>
    <x v="1"/>
  </r>
  <r>
    <x v="1"/>
    <x v="36"/>
    <x v="0"/>
    <x v="1"/>
    <n v="15481"/>
    <n v="9814"/>
    <n v="200"/>
    <n v="215"/>
    <n v="117174"/>
    <n v="37"/>
    <n v="61823"/>
    <n v="23"/>
    <n v="1128"/>
    <n v="15193"/>
    <n v="2025"/>
    <x v="0"/>
    <x v="2"/>
    <x v="1"/>
  </r>
  <r>
    <x v="1"/>
    <x v="36"/>
    <x v="0"/>
    <x v="3"/>
    <n v="1153"/>
    <n v="968"/>
    <n v="19"/>
    <n v="2"/>
    <n v="0"/>
    <n v="0"/>
    <n v="0"/>
    <n v="0"/>
    <n v="17"/>
    <n v="184"/>
    <n v="2025"/>
    <x v="0"/>
    <x v="2"/>
    <x v="1"/>
  </r>
  <r>
    <x v="1"/>
    <x v="36"/>
    <x v="1"/>
    <x v="5"/>
    <n v="1"/>
    <n v="0"/>
    <n v="0"/>
    <n v="0"/>
    <n v="0"/>
    <n v="0"/>
    <n v="0"/>
    <n v="0"/>
    <n v="0"/>
    <n v="1"/>
    <n v="2025"/>
    <x v="0"/>
    <x v="2"/>
    <x v="1"/>
  </r>
  <r>
    <x v="1"/>
    <x v="36"/>
    <x v="1"/>
    <x v="6"/>
    <n v="702"/>
    <n v="684"/>
    <n v="0"/>
    <n v="0"/>
    <n v="0"/>
    <n v="0"/>
    <n v="0"/>
    <n v="0"/>
    <n v="0"/>
    <n v="1"/>
    <n v="2025"/>
    <x v="0"/>
    <x v="2"/>
    <x v="1"/>
  </r>
  <r>
    <x v="1"/>
    <x v="36"/>
    <x v="1"/>
    <x v="7"/>
    <n v="284"/>
    <n v="61"/>
    <n v="29"/>
    <n v="3"/>
    <n v="105036.22"/>
    <n v="36"/>
    <n v="99076.22"/>
    <n v="34"/>
    <n v="77"/>
    <n v="274"/>
    <n v="2025"/>
    <x v="0"/>
    <x v="2"/>
    <x v="1"/>
  </r>
  <r>
    <x v="1"/>
    <x v="36"/>
    <x v="1"/>
    <x v="8"/>
    <n v="20"/>
    <n v="11"/>
    <n v="0"/>
    <n v="1"/>
    <n v="0"/>
    <n v="0"/>
    <n v="0"/>
    <n v="0"/>
    <n v="0"/>
    <n v="19"/>
    <n v="2025"/>
    <x v="0"/>
    <x v="2"/>
    <x v="1"/>
  </r>
  <r>
    <x v="1"/>
    <x v="36"/>
    <x v="1"/>
    <x v="9"/>
    <n v="2"/>
    <n v="1"/>
    <n v="0"/>
    <n v="0"/>
    <n v="0"/>
    <n v="0"/>
    <n v="0"/>
    <n v="0"/>
    <n v="0"/>
    <n v="2"/>
    <n v="2025"/>
    <x v="0"/>
    <x v="2"/>
    <x v="1"/>
  </r>
  <r>
    <x v="1"/>
    <x v="36"/>
    <x v="1"/>
    <x v="10"/>
    <n v="9"/>
    <n v="4"/>
    <n v="0"/>
    <n v="0"/>
    <n v="0"/>
    <n v="0"/>
    <n v="0"/>
    <n v="0"/>
    <n v="1"/>
    <n v="4"/>
    <n v="2025"/>
    <x v="0"/>
    <x v="2"/>
    <x v="1"/>
  </r>
  <r>
    <x v="1"/>
    <x v="36"/>
    <x v="1"/>
    <x v="66"/>
    <n v="20"/>
    <n v="10"/>
    <n v="0"/>
    <n v="0"/>
    <n v="0"/>
    <n v="0"/>
    <n v="0"/>
    <n v="0"/>
    <n v="1"/>
    <n v="12"/>
    <n v="2025"/>
    <x v="0"/>
    <x v="2"/>
    <x v="1"/>
  </r>
  <r>
    <x v="1"/>
    <x v="36"/>
    <x v="1"/>
    <x v="59"/>
    <n v="4355"/>
    <n v="4086"/>
    <n v="13"/>
    <n v="1"/>
    <n v="13889"/>
    <n v="6"/>
    <n v="13889"/>
    <n v="6"/>
    <n v="64"/>
    <n v="191"/>
    <n v="2025"/>
    <x v="0"/>
    <x v="2"/>
    <x v="1"/>
  </r>
  <r>
    <x v="1"/>
    <x v="36"/>
    <x v="1"/>
    <x v="15"/>
    <n v="21"/>
    <n v="20"/>
    <n v="0"/>
    <n v="0"/>
    <n v="0"/>
    <n v="0"/>
    <n v="0"/>
    <n v="0"/>
    <n v="0"/>
    <n v="21"/>
    <n v="2025"/>
    <x v="0"/>
    <x v="2"/>
    <x v="1"/>
  </r>
  <r>
    <x v="1"/>
    <x v="36"/>
    <x v="1"/>
    <x v="17"/>
    <n v="135"/>
    <n v="62"/>
    <n v="3"/>
    <n v="0"/>
    <n v="0"/>
    <n v="0"/>
    <n v="0"/>
    <n v="0"/>
    <n v="1"/>
    <n v="134"/>
    <n v="2025"/>
    <x v="0"/>
    <x v="2"/>
    <x v="1"/>
  </r>
  <r>
    <x v="1"/>
    <x v="36"/>
    <x v="1"/>
    <x v="18"/>
    <n v="8"/>
    <n v="5"/>
    <n v="0"/>
    <n v="0"/>
    <n v="1490"/>
    <n v="1"/>
    <n v="1490"/>
    <n v="1"/>
    <n v="3"/>
    <n v="7"/>
    <n v="2025"/>
    <x v="0"/>
    <x v="2"/>
    <x v="1"/>
  </r>
  <r>
    <x v="1"/>
    <x v="36"/>
    <x v="1"/>
    <x v="19"/>
    <n v="500"/>
    <n v="307"/>
    <n v="28"/>
    <n v="8"/>
    <n v="44870.78"/>
    <n v="18"/>
    <n v="34767.78"/>
    <n v="14"/>
    <n v="198"/>
    <n v="318"/>
    <n v="2025"/>
    <x v="0"/>
    <x v="2"/>
    <x v="1"/>
  </r>
  <r>
    <x v="1"/>
    <x v="36"/>
    <x v="1"/>
    <x v="20"/>
    <n v="8"/>
    <n v="5"/>
    <n v="0"/>
    <n v="0"/>
    <n v="0"/>
    <n v="0"/>
    <n v="0"/>
    <n v="0"/>
    <n v="2"/>
    <n v="6"/>
    <n v="2025"/>
    <x v="0"/>
    <x v="2"/>
    <x v="1"/>
  </r>
  <r>
    <x v="1"/>
    <x v="36"/>
    <x v="1"/>
    <x v="22"/>
    <n v="20"/>
    <n v="10"/>
    <n v="0"/>
    <n v="0"/>
    <n v="0"/>
    <n v="0"/>
    <n v="0"/>
    <n v="0"/>
    <n v="1"/>
    <n v="12"/>
    <n v="2025"/>
    <x v="0"/>
    <x v="2"/>
    <x v="1"/>
  </r>
  <r>
    <x v="1"/>
    <x v="36"/>
    <x v="1"/>
    <x v="24"/>
    <n v="29"/>
    <n v="19"/>
    <n v="4"/>
    <n v="0"/>
    <n v="4550"/>
    <n v="3"/>
    <n v="4550"/>
    <n v="3"/>
    <n v="11"/>
    <n v="23"/>
    <n v="2025"/>
    <x v="0"/>
    <x v="2"/>
    <x v="1"/>
  </r>
  <r>
    <x v="1"/>
    <x v="36"/>
    <x v="1"/>
    <x v="27"/>
    <n v="110"/>
    <n v="38"/>
    <n v="9"/>
    <n v="1"/>
    <n v="13900"/>
    <n v="5"/>
    <n v="11505"/>
    <n v="4"/>
    <n v="41"/>
    <n v="96"/>
    <n v="2025"/>
    <x v="0"/>
    <x v="2"/>
    <x v="1"/>
  </r>
  <r>
    <x v="1"/>
    <x v="36"/>
    <x v="1"/>
    <x v="29"/>
    <n v="819"/>
    <n v="621"/>
    <n v="37"/>
    <n v="10"/>
    <n v="39718.22"/>
    <n v="12"/>
    <n v="27688.22"/>
    <n v="10"/>
    <n v="388"/>
    <n v="572"/>
    <n v="2025"/>
    <x v="0"/>
    <x v="2"/>
    <x v="1"/>
  </r>
  <r>
    <x v="1"/>
    <x v="36"/>
    <x v="1"/>
    <x v="30"/>
    <n v="4040"/>
    <n v="3061"/>
    <n v="37"/>
    <n v="12"/>
    <n v="28455"/>
    <n v="10"/>
    <n v="14019"/>
    <n v="6"/>
    <n v="159"/>
    <n v="3269"/>
    <n v="2025"/>
    <x v="0"/>
    <x v="2"/>
    <x v="1"/>
  </r>
  <r>
    <x v="1"/>
    <x v="36"/>
    <x v="1"/>
    <x v="31"/>
    <n v="97"/>
    <n v="66"/>
    <n v="8"/>
    <n v="3"/>
    <n v="1680"/>
    <n v="1"/>
    <n v="1680"/>
    <n v="1"/>
    <n v="13"/>
    <n v="93"/>
    <n v="2025"/>
    <x v="0"/>
    <x v="2"/>
    <x v="1"/>
  </r>
  <r>
    <x v="1"/>
    <x v="36"/>
    <x v="1"/>
    <x v="32"/>
    <n v="4"/>
    <n v="3"/>
    <n v="0"/>
    <n v="0"/>
    <n v="0"/>
    <n v="0"/>
    <n v="0"/>
    <n v="0"/>
    <n v="0"/>
    <n v="4"/>
    <n v="2025"/>
    <x v="0"/>
    <x v="2"/>
    <x v="1"/>
  </r>
  <r>
    <x v="1"/>
    <x v="36"/>
    <x v="1"/>
    <x v="34"/>
    <n v="156"/>
    <n v="77"/>
    <n v="5"/>
    <n v="2"/>
    <n v="15716"/>
    <n v="4"/>
    <n v="4625"/>
    <n v="2"/>
    <n v="50"/>
    <n v="138"/>
    <n v="2025"/>
    <x v="0"/>
    <x v="2"/>
    <x v="1"/>
  </r>
  <r>
    <x v="1"/>
    <x v="36"/>
    <x v="1"/>
    <x v="36"/>
    <n v="1"/>
    <n v="1"/>
    <n v="0"/>
    <n v="0"/>
    <n v="0"/>
    <n v="0"/>
    <n v="0"/>
    <n v="0"/>
    <n v="0"/>
    <n v="1"/>
    <n v="2025"/>
    <x v="0"/>
    <x v="2"/>
    <x v="1"/>
  </r>
  <r>
    <x v="1"/>
    <x v="36"/>
    <x v="1"/>
    <x v="38"/>
    <n v="201"/>
    <n v="60"/>
    <n v="15"/>
    <n v="1"/>
    <n v="21512"/>
    <n v="8"/>
    <n v="16722"/>
    <n v="7"/>
    <n v="44"/>
    <n v="195"/>
    <n v="2025"/>
    <x v="0"/>
    <x v="2"/>
    <x v="1"/>
  </r>
  <r>
    <x v="1"/>
    <x v="36"/>
    <x v="1"/>
    <x v="65"/>
    <n v="2"/>
    <n v="2"/>
    <n v="1"/>
    <n v="0"/>
    <n v="0"/>
    <n v="0"/>
    <n v="0"/>
    <n v="0"/>
    <n v="0"/>
    <n v="2"/>
    <n v="2025"/>
    <x v="0"/>
    <x v="2"/>
    <x v="1"/>
  </r>
  <r>
    <x v="1"/>
    <x v="36"/>
    <x v="1"/>
    <x v="60"/>
    <n v="5"/>
    <n v="5"/>
    <n v="0"/>
    <n v="0"/>
    <n v="0"/>
    <n v="0"/>
    <n v="0"/>
    <n v="0"/>
    <n v="0"/>
    <n v="5"/>
    <n v="2025"/>
    <x v="0"/>
    <x v="2"/>
    <x v="1"/>
  </r>
  <r>
    <x v="1"/>
    <x v="36"/>
    <x v="1"/>
    <x v="64"/>
    <n v="393"/>
    <n v="215"/>
    <n v="12"/>
    <n v="1"/>
    <n v="11624"/>
    <n v="3"/>
    <n v="9249"/>
    <n v="3"/>
    <n v="60"/>
    <n v="377"/>
    <n v="2025"/>
    <x v="0"/>
    <x v="2"/>
    <x v="1"/>
  </r>
  <r>
    <x v="1"/>
    <x v="36"/>
    <x v="1"/>
    <x v="42"/>
    <n v="171"/>
    <n v="109"/>
    <n v="2"/>
    <n v="3"/>
    <n v="0"/>
    <n v="0"/>
    <n v="0"/>
    <n v="0"/>
    <n v="13"/>
    <n v="168"/>
    <n v="2025"/>
    <x v="0"/>
    <x v="2"/>
    <x v="1"/>
  </r>
  <r>
    <x v="1"/>
    <x v="36"/>
    <x v="1"/>
    <x v="43"/>
    <n v="96"/>
    <n v="51"/>
    <n v="4"/>
    <n v="1"/>
    <n v="0"/>
    <n v="0"/>
    <n v="0"/>
    <n v="0"/>
    <n v="78"/>
    <n v="47"/>
    <n v="2025"/>
    <x v="0"/>
    <x v="2"/>
    <x v="1"/>
  </r>
  <r>
    <x v="1"/>
    <x v="36"/>
    <x v="1"/>
    <x v="44"/>
    <n v="25"/>
    <n v="4"/>
    <n v="2"/>
    <n v="0"/>
    <n v="12430.22"/>
    <n v="4"/>
    <n v="12430.22"/>
    <n v="4"/>
    <n v="0"/>
    <n v="25"/>
    <n v="2025"/>
    <x v="0"/>
    <x v="2"/>
    <x v="1"/>
  </r>
  <r>
    <x v="1"/>
    <x v="36"/>
    <x v="1"/>
    <x v="45"/>
    <n v="1"/>
    <n v="1"/>
    <n v="0"/>
    <n v="0"/>
    <n v="0"/>
    <n v="0"/>
    <n v="0"/>
    <n v="0"/>
    <n v="0"/>
    <n v="1"/>
    <n v="2025"/>
    <x v="0"/>
    <x v="2"/>
    <x v="1"/>
  </r>
  <r>
    <x v="1"/>
    <x v="37"/>
    <x v="0"/>
    <x v="0"/>
    <n v="300"/>
    <n v="79"/>
    <n v="4"/>
    <n v="0"/>
    <n v="4407"/>
    <n v="2"/>
    <n v="4407"/>
    <n v="2"/>
    <n v="2"/>
    <n v="300"/>
    <n v="2025"/>
    <x v="0"/>
    <x v="2"/>
    <x v="1"/>
  </r>
  <r>
    <x v="1"/>
    <x v="37"/>
    <x v="0"/>
    <x v="1"/>
    <n v="15593"/>
    <n v="9750"/>
    <n v="218"/>
    <n v="211"/>
    <n v="103653.7"/>
    <n v="30"/>
    <n v="72315.850000000006"/>
    <n v="24"/>
    <n v="1122"/>
    <n v="15309"/>
    <n v="2025"/>
    <x v="0"/>
    <x v="2"/>
    <x v="1"/>
  </r>
  <r>
    <x v="1"/>
    <x v="37"/>
    <x v="0"/>
    <x v="2"/>
    <n v="2"/>
    <n v="2"/>
    <n v="0"/>
    <n v="0"/>
    <n v="0"/>
    <n v="0"/>
    <n v="0"/>
    <n v="0"/>
    <n v="2"/>
    <n v="1"/>
    <n v="2025"/>
    <x v="0"/>
    <x v="2"/>
    <x v="1"/>
  </r>
  <r>
    <x v="1"/>
    <x v="37"/>
    <x v="0"/>
    <x v="3"/>
    <n v="4"/>
    <n v="4"/>
    <n v="0"/>
    <n v="0"/>
    <n v="0"/>
    <n v="0"/>
    <n v="0"/>
    <n v="0"/>
    <n v="0"/>
    <n v="4"/>
    <n v="2025"/>
    <x v="0"/>
    <x v="2"/>
    <x v="1"/>
  </r>
  <r>
    <x v="1"/>
    <x v="37"/>
    <x v="1"/>
    <x v="6"/>
    <n v="1"/>
    <n v="0"/>
    <n v="0"/>
    <n v="0"/>
    <n v="0"/>
    <n v="0"/>
    <n v="0"/>
    <n v="0"/>
    <n v="0"/>
    <n v="1"/>
    <n v="2025"/>
    <x v="0"/>
    <x v="2"/>
    <x v="1"/>
  </r>
  <r>
    <x v="1"/>
    <x v="37"/>
    <x v="1"/>
    <x v="7"/>
    <n v="299"/>
    <n v="84"/>
    <n v="38"/>
    <n v="2"/>
    <n v="86065"/>
    <n v="22"/>
    <n v="77805"/>
    <n v="22"/>
    <n v="75"/>
    <n v="289"/>
    <n v="2025"/>
    <x v="0"/>
    <x v="2"/>
    <x v="1"/>
  </r>
  <r>
    <x v="1"/>
    <x v="37"/>
    <x v="1"/>
    <x v="8"/>
    <n v="15"/>
    <n v="6"/>
    <n v="0"/>
    <n v="0"/>
    <n v="0"/>
    <n v="0"/>
    <n v="0"/>
    <n v="0"/>
    <n v="0"/>
    <n v="15"/>
    <n v="2025"/>
    <x v="0"/>
    <x v="2"/>
    <x v="1"/>
  </r>
  <r>
    <x v="1"/>
    <x v="37"/>
    <x v="1"/>
    <x v="9"/>
    <n v="2"/>
    <n v="1"/>
    <n v="0"/>
    <n v="0"/>
    <n v="0"/>
    <n v="0"/>
    <n v="0"/>
    <n v="0"/>
    <n v="0"/>
    <n v="2"/>
    <n v="2025"/>
    <x v="0"/>
    <x v="2"/>
    <x v="1"/>
  </r>
  <r>
    <x v="1"/>
    <x v="37"/>
    <x v="1"/>
    <x v="10"/>
    <n v="2"/>
    <n v="2"/>
    <n v="0"/>
    <n v="0"/>
    <n v="0"/>
    <n v="0"/>
    <n v="0"/>
    <n v="0"/>
    <n v="0"/>
    <n v="2"/>
    <n v="2025"/>
    <x v="0"/>
    <x v="2"/>
    <x v="1"/>
  </r>
  <r>
    <x v="1"/>
    <x v="37"/>
    <x v="1"/>
    <x v="66"/>
    <n v="7"/>
    <n v="1"/>
    <n v="2"/>
    <n v="1"/>
    <n v="0"/>
    <n v="0"/>
    <n v="0"/>
    <n v="0"/>
    <n v="2"/>
    <n v="7"/>
    <n v="2025"/>
    <x v="0"/>
    <x v="2"/>
    <x v="1"/>
  </r>
  <r>
    <x v="1"/>
    <x v="37"/>
    <x v="1"/>
    <x v="59"/>
    <n v="196"/>
    <n v="87"/>
    <n v="8"/>
    <n v="1"/>
    <n v="25190.98"/>
    <n v="6"/>
    <n v="19309.490000000002"/>
    <n v="6"/>
    <n v="78"/>
    <n v="152"/>
    <n v="2025"/>
    <x v="0"/>
    <x v="2"/>
    <x v="1"/>
  </r>
  <r>
    <x v="1"/>
    <x v="37"/>
    <x v="1"/>
    <x v="15"/>
    <n v="14"/>
    <n v="11"/>
    <n v="0"/>
    <n v="0"/>
    <n v="0"/>
    <n v="0"/>
    <n v="0"/>
    <n v="0"/>
    <n v="1"/>
    <n v="13"/>
    <n v="2025"/>
    <x v="0"/>
    <x v="2"/>
    <x v="1"/>
  </r>
  <r>
    <x v="1"/>
    <x v="37"/>
    <x v="1"/>
    <x v="17"/>
    <n v="263"/>
    <n v="160"/>
    <n v="4"/>
    <n v="0"/>
    <n v="3360"/>
    <n v="1"/>
    <n v="3360"/>
    <n v="1"/>
    <n v="0"/>
    <n v="263"/>
    <n v="2025"/>
    <x v="0"/>
    <x v="2"/>
    <x v="1"/>
  </r>
  <r>
    <x v="1"/>
    <x v="37"/>
    <x v="1"/>
    <x v="18"/>
    <n v="10"/>
    <n v="6"/>
    <n v="2"/>
    <n v="0"/>
    <n v="1917"/>
    <n v="1"/>
    <n v="1917"/>
    <n v="1"/>
    <n v="2"/>
    <n v="10"/>
    <n v="2025"/>
    <x v="0"/>
    <x v="2"/>
    <x v="1"/>
  </r>
  <r>
    <x v="1"/>
    <x v="37"/>
    <x v="1"/>
    <x v="19"/>
    <n v="500"/>
    <n v="300"/>
    <n v="42"/>
    <n v="6"/>
    <n v="82287"/>
    <n v="21"/>
    <n v="51667"/>
    <n v="17"/>
    <n v="203"/>
    <n v="417"/>
    <n v="2025"/>
    <x v="0"/>
    <x v="2"/>
    <x v="1"/>
  </r>
  <r>
    <x v="1"/>
    <x v="37"/>
    <x v="1"/>
    <x v="20"/>
    <n v="5"/>
    <n v="4"/>
    <n v="0"/>
    <n v="0"/>
    <n v="0"/>
    <n v="0"/>
    <n v="0"/>
    <n v="0"/>
    <n v="1"/>
    <n v="5"/>
    <n v="2025"/>
    <x v="0"/>
    <x v="2"/>
    <x v="1"/>
  </r>
  <r>
    <x v="1"/>
    <x v="37"/>
    <x v="1"/>
    <x v="22"/>
    <n v="7"/>
    <n v="1"/>
    <n v="2"/>
    <n v="1"/>
    <n v="0"/>
    <n v="0"/>
    <n v="0"/>
    <n v="0"/>
    <n v="2"/>
    <n v="7"/>
    <n v="2025"/>
    <x v="0"/>
    <x v="2"/>
    <x v="1"/>
  </r>
  <r>
    <x v="1"/>
    <x v="37"/>
    <x v="1"/>
    <x v="24"/>
    <n v="18"/>
    <n v="13"/>
    <n v="1"/>
    <n v="0"/>
    <n v="2298"/>
    <n v="1"/>
    <n v="2298"/>
    <n v="1"/>
    <n v="5"/>
    <n v="17"/>
    <n v="2025"/>
    <x v="0"/>
    <x v="2"/>
    <x v="1"/>
  </r>
  <r>
    <x v="1"/>
    <x v="37"/>
    <x v="1"/>
    <x v="27"/>
    <n v="107"/>
    <n v="48"/>
    <n v="12"/>
    <n v="0"/>
    <n v="22046"/>
    <n v="6"/>
    <n v="17616"/>
    <n v="6"/>
    <n v="46"/>
    <n v="94"/>
    <n v="2025"/>
    <x v="0"/>
    <x v="2"/>
    <x v="1"/>
  </r>
  <r>
    <x v="1"/>
    <x v="37"/>
    <x v="1"/>
    <x v="29"/>
    <n v="819"/>
    <n v="593"/>
    <n v="41"/>
    <n v="5"/>
    <n v="24685"/>
    <n v="5"/>
    <n v="19665"/>
    <n v="4"/>
    <n v="366"/>
    <n v="608"/>
    <n v="2025"/>
    <x v="0"/>
    <x v="2"/>
    <x v="1"/>
  </r>
  <r>
    <x v="1"/>
    <x v="37"/>
    <x v="1"/>
    <x v="30"/>
    <n v="7255"/>
    <n v="6317"/>
    <n v="51"/>
    <n v="45"/>
    <n v="68410"/>
    <n v="7"/>
    <n v="8920"/>
    <n v="4"/>
    <n v="391"/>
    <n v="7197"/>
    <n v="2025"/>
    <x v="0"/>
    <x v="2"/>
    <x v="1"/>
  </r>
  <r>
    <x v="1"/>
    <x v="37"/>
    <x v="1"/>
    <x v="31"/>
    <n v="112"/>
    <n v="72"/>
    <n v="9"/>
    <n v="2"/>
    <n v="0"/>
    <n v="0"/>
    <n v="0"/>
    <n v="0"/>
    <n v="22"/>
    <n v="110"/>
    <n v="2025"/>
    <x v="0"/>
    <x v="2"/>
    <x v="1"/>
  </r>
  <r>
    <x v="1"/>
    <x v="37"/>
    <x v="1"/>
    <x v="32"/>
    <n v="4"/>
    <n v="2"/>
    <n v="0"/>
    <n v="0"/>
    <n v="0"/>
    <n v="0"/>
    <n v="0"/>
    <n v="0"/>
    <n v="1"/>
    <n v="4"/>
    <n v="2025"/>
    <x v="0"/>
    <x v="2"/>
    <x v="1"/>
  </r>
  <r>
    <x v="1"/>
    <x v="37"/>
    <x v="1"/>
    <x v="34"/>
    <n v="241"/>
    <n v="148"/>
    <n v="12"/>
    <n v="8"/>
    <n v="7230"/>
    <n v="1"/>
    <n v="7230"/>
    <n v="1"/>
    <n v="67"/>
    <n v="223"/>
    <n v="2025"/>
    <x v="0"/>
    <x v="2"/>
    <x v="1"/>
  </r>
  <r>
    <x v="1"/>
    <x v="37"/>
    <x v="1"/>
    <x v="35"/>
    <n v="1"/>
    <n v="1"/>
    <n v="0"/>
    <n v="0"/>
    <n v="0"/>
    <n v="0"/>
    <n v="0"/>
    <n v="0"/>
    <n v="0"/>
    <n v="0"/>
    <n v="2025"/>
    <x v="0"/>
    <x v="2"/>
    <x v="1"/>
  </r>
  <r>
    <x v="1"/>
    <x v="37"/>
    <x v="1"/>
    <x v="38"/>
    <n v="211"/>
    <n v="54"/>
    <n v="18"/>
    <n v="5"/>
    <n v="47060"/>
    <n v="15"/>
    <n v="26245"/>
    <n v="12"/>
    <n v="57"/>
    <n v="202"/>
    <n v="2025"/>
    <x v="0"/>
    <x v="2"/>
    <x v="1"/>
  </r>
  <r>
    <x v="1"/>
    <x v="37"/>
    <x v="1"/>
    <x v="60"/>
    <n v="11"/>
    <n v="8"/>
    <n v="0"/>
    <n v="0"/>
    <n v="0"/>
    <n v="0"/>
    <n v="0"/>
    <n v="0"/>
    <n v="0"/>
    <n v="11"/>
    <n v="2025"/>
    <x v="0"/>
    <x v="2"/>
    <x v="1"/>
  </r>
  <r>
    <x v="1"/>
    <x v="37"/>
    <x v="1"/>
    <x v="64"/>
    <n v="407"/>
    <n v="208"/>
    <n v="11"/>
    <n v="2"/>
    <n v="2490"/>
    <n v="1"/>
    <n v="2490"/>
    <n v="1"/>
    <n v="60"/>
    <n v="399"/>
    <n v="2025"/>
    <x v="0"/>
    <x v="2"/>
    <x v="1"/>
  </r>
  <r>
    <x v="1"/>
    <x v="37"/>
    <x v="1"/>
    <x v="42"/>
    <n v="190"/>
    <n v="125"/>
    <n v="6"/>
    <n v="0"/>
    <n v="2490"/>
    <n v="1"/>
    <n v="0"/>
    <n v="0"/>
    <n v="13"/>
    <n v="185"/>
    <n v="2025"/>
    <x v="0"/>
    <x v="2"/>
    <x v="1"/>
  </r>
  <r>
    <x v="1"/>
    <x v="37"/>
    <x v="1"/>
    <x v="43"/>
    <n v="79"/>
    <n v="44"/>
    <n v="1"/>
    <n v="1"/>
    <n v="0"/>
    <n v="0"/>
    <n v="0"/>
    <n v="0"/>
    <n v="66"/>
    <n v="44"/>
    <n v="2025"/>
    <x v="0"/>
    <x v="2"/>
    <x v="1"/>
  </r>
  <r>
    <x v="1"/>
    <x v="37"/>
    <x v="1"/>
    <x v="44"/>
    <n v="12"/>
    <n v="3"/>
    <n v="0"/>
    <n v="0"/>
    <n v="0"/>
    <n v="0"/>
    <n v="0"/>
    <n v="0"/>
    <n v="0"/>
    <n v="12"/>
    <n v="2025"/>
    <x v="0"/>
    <x v="2"/>
    <x v="1"/>
  </r>
  <r>
    <x v="1"/>
    <x v="37"/>
    <x v="1"/>
    <x v="45"/>
    <n v="2"/>
    <n v="0"/>
    <n v="1"/>
    <n v="0"/>
    <n v="0"/>
    <n v="0"/>
    <n v="0"/>
    <n v="0"/>
    <n v="1"/>
    <n v="2"/>
    <n v="2025"/>
    <x v="0"/>
    <x v="2"/>
    <x v="1"/>
  </r>
  <r>
    <x v="1"/>
    <x v="38"/>
    <x v="0"/>
    <x v="0"/>
    <n v="326"/>
    <n v="122"/>
    <n v="4"/>
    <n v="1"/>
    <n v="2490"/>
    <n v="1"/>
    <n v="2490"/>
    <n v="1"/>
    <n v="5"/>
    <n v="325"/>
    <n v="2025"/>
    <x v="0"/>
    <x v="2"/>
    <x v="1"/>
  </r>
  <r>
    <x v="1"/>
    <x v="38"/>
    <x v="0"/>
    <x v="1"/>
    <n v="16372"/>
    <n v="10341"/>
    <n v="234"/>
    <n v="206"/>
    <n v="141730"/>
    <n v="45"/>
    <n v="94050"/>
    <n v="33"/>
    <n v="1205"/>
    <n v="16049"/>
    <n v="2025"/>
    <x v="0"/>
    <x v="2"/>
    <x v="1"/>
  </r>
  <r>
    <x v="1"/>
    <x v="38"/>
    <x v="0"/>
    <x v="3"/>
    <n v="2"/>
    <n v="1"/>
    <n v="0"/>
    <n v="0"/>
    <n v="0"/>
    <n v="0"/>
    <n v="0"/>
    <n v="0"/>
    <n v="0"/>
    <n v="1"/>
    <n v="2025"/>
    <x v="0"/>
    <x v="2"/>
    <x v="1"/>
  </r>
  <r>
    <x v="1"/>
    <x v="38"/>
    <x v="1"/>
    <x v="5"/>
    <n v="6"/>
    <n v="3"/>
    <n v="0"/>
    <n v="0"/>
    <n v="0"/>
    <n v="0"/>
    <n v="0"/>
    <n v="0"/>
    <n v="0"/>
    <n v="6"/>
    <n v="2025"/>
    <x v="0"/>
    <x v="2"/>
    <x v="1"/>
  </r>
  <r>
    <x v="1"/>
    <x v="38"/>
    <x v="1"/>
    <x v="6"/>
    <n v="1722"/>
    <n v="1722"/>
    <n v="0"/>
    <n v="0"/>
    <n v="0"/>
    <n v="0"/>
    <n v="0"/>
    <n v="0"/>
    <n v="0"/>
    <n v="0"/>
    <n v="2025"/>
    <x v="0"/>
    <x v="2"/>
    <x v="1"/>
  </r>
  <r>
    <x v="1"/>
    <x v="38"/>
    <x v="1"/>
    <x v="7"/>
    <n v="319"/>
    <n v="73"/>
    <n v="26"/>
    <n v="1"/>
    <n v="102008"/>
    <n v="29"/>
    <n v="100018"/>
    <n v="29"/>
    <n v="80"/>
    <n v="301"/>
    <n v="2025"/>
    <x v="0"/>
    <x v="2"/>
    <x v="1"/>
  </r>
  <r>
    <x v="1"/>
    <x v="38"/>
    <x v="1"/>
    <x v="8"/>
    <n v="28"/>
    <n v="16"/>
    <n v="2"/>
    <n v="0"/>
    <n v="0"/>
    <n v="0"/>
    <n v="0"/>
    <n v="0"/>
    <n v="0"/>
    <n v="28"/>
    <n v="2025"/>
    <x v="0"/>
    <x v="2"/>
    <x v="1"/>
  </r>
  <r>
    <x v="1"/>
    <x v="38"/>
    <x v="1"/>
    <x v="9"/>
    <n v="2"/>
    <n v="0"/>
    <n v="0"/>
    <n v="0"/>
    <n v="0"/>
    <n v="0"/>
    <n v="0"/>
    <n v="0"/>
    <n v="0"/>
    <n v="2"/>
    <n v="2025"/>
    <x v="0"/>
    <x v="2"/>
    <x v="1"/>
  </r>
  <r>
    <x v="1"/>
    <x v="38"/>
    <x v="1"/>
    <x v="10"/>
    <n v="2"/>
    <n v="2"/>
    <n v="0"/>
    <n v="0"/>
    <n v="0"/>
    <n v="0"/>
    <n v="0"/>
    <n v="0"/>
    <n v="1"/>
    <n v="2"/>
    <n v="2025"/>
    <x v="0"/>
    <x v="2"/>
    <x v="1"/>
  </r>
  <r>
    <x v="1"/>
    <x v="38"/>
    <x v="1"/>
    <x v="11"/>
    <n v="1"/>
    <n v="1"/>
    <n v="0"/>
    <n v="0"/>
    <n v="0"/>
    <n v="0"/>
    <n v="0"/>
    <n v="0"/>
    <n v="1"/>
    <n v="0"/>
    <n v="2025"/>
    <x v="0"/>
    <x v="2"/>
    <x v="1"/>
  </r>
  <r>
    <x v="1"/>
    <x v="38"/>
    <x v="1"/>
    <x v="66"/>
    <n v="9"/>
    <n v="2"/>
    <n v="1"/>
    <n v="0"/>
    <n v="0"/>
    <n v="0"/>
    <n v="0"/>
    <n v="0"/>
    <n v="1"/>
    <n v="9"/>
    <n v="2025"/>
    <x v="0"/>
    <x v="2"/>
    <x v="1"/>
  </r>
  <r>
    <x v="1"/>
    <x v="38"/>
    <x v="1"/>
    <x v="59"/>
    <n v="206"/>
    <n v="84"/>
    <n v="10"/>
    <n v="2"/>
    <n v="17798"/>
    <n v="6"/>
    <n v="15808"/>
    <n v="6"/>
    <n v="70"/>
    <n v="166"/>
    <n v="2025"/>
    <x v="0"/>
    <x v="2"/>
    <x v="1"/>
  </r>
  <r>
    <x v="1"/>
    <x v="38"/>
    <x v="1"/>
    <x v="15"/>
    <n v="20"/>
    <n v="20"/>
    <n v="0"/>
    <n v="0"/>
    <n v="1050"/>
    <n v="1"/>
    <n v="1050"/>
    <n v="1"/>
    <n v="1"/>
    <n v="20"/>
    <n v="2025"/>
    <x v="0"/>
    <x v="2"/>
    <x v="1"/>
  </r>
  <r>
    <x v="1"/>
    <x v="38"/>
    <x v="1"/>
    <x v="17"/>
    <n v="281"/>
    <n v="161"/>
    <n v="6"/>
    <n v="0"/>
    <n v="0"/>
    <n v="0"/>
    <n v="0"/>
    <n v="0"/>
    <n v="2"/>
    <n v="279"/>
    <n v="2025"/>
    <x v="0"/>
    <x v="2"/>
    <x v="1"/>
  </r>
  <r>
    <x v="1"/>
    <x v="38"/>
    <x v="1"/>
    <x v="18"/>
    <n v="6"/>
    <n v="5"/>
    <n v="1"/>
    <n v="0"/>
    <n v="2298"/>
    <n v="1"/>
    <n v="2298"/>
    <n v="1"/>
    <n v="2"/>
    <n v="5"/>
    <n v="2025"/>
    <x v="0"/>
    <x v="2"/>
    <x v="1"/>
  </r>
  <r>
    <x v="1"/>
    <x v="38"/>
    <x v="1"/>
    <x v="19"/>
    <n v="547"/>
    <n v="329"/>
    <n v="26"/>
    <n v="0"/>
    <n v="167296.43"/>
    <n v="37"/>
    <n v="38176.43"/>
    <n v="15"/>
    <n v="252"/>
    <n v="446"/>
    <n v="2025"/>
    <x v="0"/>
    <x v="2"/>
    <x v="1"/>
  </r>
  <r>
    <x v="1"/>
    <x v="38"/>
    <x v="1"/>
    <x v="20"/>
    <n v="5"/>
    <n v="5"/>
    <n v="1"/>
    <n v="0"/>
    <n v="0"/>
    <n v="0"/>
    <n v="0"/>
    <n v="0"/>
    <n v="0"/>
    <n v="5"/>
    <n v="2025"/>
    <x v="0"/>
    <x v="2"/>
    <x v="1"/>
  </r>
  <r>
    <x v="1"/>
    <x v="38"/>
    <x v="1"/>
    <x v="22"/>
    <n v="9"/>
    <n v="2"/>
    <n v="1"/>
    <n v="0"/>
    <n v="0"/>
    <n v="0"/>
    <n v="0"/>
    <n v="0"/>
    <n v="1"/>
    <n v="9"/>
    <n v="2025"/>
    <x v="0"/>
    <x v="2"/>
    <x v="1"/>
  </r>
  <r>
    <x v="1"/>
    <x v="38"/>
    <x v="1"/>
    <x v="24"/>
    <n v="16"/>
    <n v="13"/>
    <n v="0"/>
    <n v="0"/>
    <n v="0"/>
    <n v="0"/>
    <n v="0"/>
    <n v="0"/>
    <n v="2"/>
    <n v="15"/>
    <n v="2025"/>
    <x v="0"/>
    <x v="2"/>
    <x v="1"/>
  </r>
  <r>
    <x v="1"/>
    <x v="38"/>
    <x v="1"/>
    <x v="27"/>
    <n v="104"/>
    <n v="45"/>
    <n v="7"/>
    <n v="1"/>
    <n v="42440"/>
    <n v="7"/>
    <n v="30990"/>
    <n v="7"/>
    <n v="51"/>
    <n v="79"/>
    <n v="2025"/>
    <x v="0"/>
    <x v="2"/>
    <x v="1"/>
  </r>
  <r>
    <x v="1"/>
    <x v="38"/>
    <x v="1"/>
    <x v="29"/>
    <n v="932"/>
    <n v="725"/>
    <n v="41"/>
    <n v="11"/>
    <n v="14243"/>
    <n v="7"/>
    <n v="12753"/>
    <n v="7"/>
    <n v="474"/>
    <n v="625"/>
    <n v="2025"/>
    <x v="0"/>
    <x v="2"/>
    <x v="1"/>
  </r>
  <r>
    <x v="1"/>
    <x v="38"/>
    <x v="1"/>
    <x v="30"/>
    <n v="11099"/>
    <n v="9994"/>
    <n v="72"/>
    <n v="55"/>
    <n v="18233"/>
    <n v="6"/>
    <n v="12063"/>
    <n v="4"/>
    <n v="638"/>
    <n v="11043"/>
    <n v="2025"/>
    <x v="0"/>
    <x v="2"/>
    <x v="1"/>
  </r>
  <r>
    <x v="1"/>
    <x v="38"/>
    <x v="1"/>
    <x v="31"/>
    <n v="108"/>
    <n v="79"/>
    <n v="6"/>
    <n v="3"/>
    <n v="5755"/>
    <n v="2"/>
    <n v="5755"/>
    <n v="2"/>
    <n v="17"/>
    <n v="108"/>
    <n v="2025"/>
    <x v="0"/>
    <x v="2"/>
    <x v="1"/>
  </r>
  <r>
    <x v="1"/>
    <x v="38"/>
    <x v="1"/>
    <x v="32"/>
    <n v="3"/>
    <n v="1"/>
    <n v="0"/>
    <n v="0"/>
    <n v="0"/>
    <n v="0"/>
    <n v="0"/>
    <n v="0"/>
    <n v="1"/>
    <n v="3"/>
    <n v="2025"/>
    <x v="0"/>
    <x v="2"/>
    <x v="1"/>
  </r>
  <r>
    <x v="1"/>
    <x v="38"/>
    <x v="1"/>
    <x v="34"/>
    <n v="346"/>
    <n v="243"/>
    <n v="10"/>
    <n v="5"/>
    <n v="15430"/>
    <n v="6"/>
    <n v="10950"/>
    <n v="5"/>
    <n v="90"/>
    <n v="330"/>
    <n v="2025"/>
    <x v="0"/>
    <x v="2"/>
    <x v="1"/>
  </r>
  <r>
    <x v="1"/>
    <x v="38"/>
    <x v="1"/>
    <x v="36"/>
    <n v="1"/>
    <n v="1"/>
    <n v="0"/>
    <n v="0"/>
    <n v="0"/>
    <n v="0"/>
    <n v="0"/>
    <n v="0"/>
    <n v="0"/>
    <n v="1"/>
    <n v="2025"/>
    <x v="0"/>
    <x v="2"/>
    <x v="1"/>
  </r>
  <r>
    <x v="1"/>
    <x v="38"/>
    <x v="1"/>
    <x v="38"/>
    <n v="219"/>
    <n v="73"/>
    <n v="8"/>
    <n v="4"/>
    <n v="50145"/>
    <n v="11"/>
    <n v="37575"/>
    <n v="8"/>
    <n v="45"/>
    <n v="215"/>
    <n v="2025"/>
    <x v="0"/>
    <x v="2"/>
    <x v="1"/>
  </r>
  <r>
    <x v="1"/>
    <x v="38"/>
    <x v="1"/>
    <x v="65"/>
    <n v="1"/>
    <n v="1"/>
    <n v="0"/>
    <n v="0"/>
    <n v="0"/>
    <n v="0"/>
    <n v="0"/>
    <n v="0"/>
    <n v="0"/>
    <n v="1"/>
    <n v="2025"/>
    <x v="0"/>
    <x v="2"/>
    <x v="1"/>
  </r>
  <r>
    <x v="1"/>
    <x v="38"/>
    <x v="1"/>
    <x v="60"/>
    <n v="11"/>
    <n v="10"/>
    <n v="0"/>
    <n v="0"/>
    <n v="0"/>
    <n v="0"/>
    <n v="0"/>
    <n v="0"/>
    <n v="0"/>
    <n v="11"/>
    <n v="2025"/>
    <x v="0"/>
    <x v="2"/>
    <x v="1"/>
  </r>
  <r>
    <x v="1"/>
    <x v="38"/>
    <x v="1"/>
    <x v="39"/>
    <n v="3"/>
    <n v="2"/>
    <n v="0"/>
    <n v="0"/>
    <n v="0"/>
    <n v="0"/>
    <n v="0"/>
    <n v="0"/>
    <n v="0"/>
    <n v="3"/>
    <n v="2025"/>
    <x v="0"/>
    <x v="2"/>
    <x v="1"/>
  </r>
  <r>
    <x v="1"/>
    <x v="38"/>
    <x v="1"/>
    <x v="64"/>
    <n v="450"/>
    <n v="264"/>
    <n v="18"/>
    <n v="2"/>
    <n v="22625"/>
    <n v="6"/>
    <n v="22625"/>
    <n v="6"/>
    <n v="65"/>
    <n v="444"/>
    <n v="2025"/>
    <x v="0"/>
    <x v="2"/>
    <x v="1"/>
  </r>
  <r>
    <x v="1"/>
    <x v="38"/>
    <x v="1"/>
    <x v="42"/>
    <n v="194"/>
    <n v="124"/>
    <n v="7"/>
    <n v="3"/>
    <n v="3990"/>
    <n v="1"/>
    <n v="3990"/>
    <n v="1"/>
    <n v="16"/>
    <n v="188"/>
    <n v="2025"/>
    <x v="0"/>
    <x v="2"/>
    <x v="1"/>
  </r>
  <r>
    <x v="1"/>
    <x v="38"/>
    <x v="1"/>
    <x v="43"/>
    <n v="89"/>
    <n v="46"/>
    <n v="2"/>
    <n v="1"/>
    <n v="0"/>
    <n v="0"/>
    <n v="0"/>
    <n v="0"/>
    <n v="66"/>
    <n v="63"/>
    <n v="2025"/>
    <x v="0"/>
    <x v="2"/>
    <x v="1"/>
  </r>
  <r>
    <x v="1"/>
    <x v="38"/>
    <x v="1"/>
    <x v="44"/>
    <n v="24"/>
    <n v="4"/>
    <n v="1"/>
    <n v="0"/>
    <n v="0"/>
    <n v="0"/>
    <n v="0"/>
    <n v="0"/>
    <n v="1"/>
    <n v="24"/>
    <n v="2025"/>
    <x v="0"/>
    <x v="2"/>
    <x v="1"/>
  </r>
  <r>
    <x v="1"/>
    <x v="38"/>
    <x v="1"/>
    <x v="45"/>
    <n v="4"/>
    <n v="0"/>
    <n v="0"/>
    <n v="0"/>
    <n v="0"/>
    <n v="0"/>
    <n v="0"/>
    <n v="0"/>
    <n v="0"/>
    <n v="4"/>
    <n v="2025"/>
    <x v="0"/>
    <x v="2"/>
    <x v="1"/>
  </r>
  <r>
    <x v="1"/>
    <x v="39"/>
    <x v="0"/>
    <x v="0"/>
    <n v="333"/>
    <n v="102"/>
    <n v="1"/>
    <n v="2"/>
    <n v="0"/>
    <n v="0"/>
    <n v="0"/>
    <n v="0"/>
    <n v="3"/>
    <n v="332"/>
    <n v="2025"/>
    <x v="0"/>
    <x v="2"/>
    <x v="1"/>
  </r>
  <r>
    <x v="1"/>
    <x v="39"/>
    <x v="0"/>
    <x v="1"/>
    <n v="15713"/>
    <n v="9937"/>
    <n v="199"/>
    <n v="159"/>
    <n v="95026"/>
    <n v="24"/>
    <n v="48543"/>
    <n v="16"/>
    <n v="1087"/>
    <n v="15439"/>
    <n v="2025"/>
    <x v="0"/>
    <x v="2"/>
    <x v="1"/>
  </r>
  <r>
    <x v="1"/>
    <x v="39"/>
    <x v="0"/>
    <x v="3"/>
    <n v="10"/>
    <n v="7"/>
    <n v="0"/>
    <n v="0"/>
    <n v="0"/>
    <n v="0"/>
    <n v="0"/>
    <n v="0"/>
    <n v="0"/>
    <n v="7"/>
    <n v="2025"/>
    <x v="0"/>
    <x v="2"/>
    <x v="1"/>
  </r>
  <r>
    <x v="1"/>
    <x v="39"/>
    <x v="1"/>
    <x v="5"/>
    <n v="5"/>
    <n v="3"/>
    <n v="0"/>
    <n v="0"/>
    <n v="0"/>
    <n v="0"/>
    <n v="0"/>
    <n v="0"/>
    <n v="0"/>
    <n v="5"/>
    <n v="2025"/>
    <x v="0"/>
    <x v="2"/>
    <x v="1"/>
  </r>
  <r>
    <x v="1"/>
    <x v="39"/>
    <x v="1"/>
    <x v="7"/>
    <n v="282"/>
    <n v="71"/>
    <n v="26"/>
    <n v="1"/>
    <n v="66538"/>
    <n v="22"/>
    <n v="61653"/>
    <n v="20"/>
    <n v="75"/>
    <n v="270"/>
    <n v="2025"/>
    <x v="0"/>
    <x v="2"/>
    <x v="1"/>
  </r>
  <r>
    <x v="1"/>
    <x v="39"/>
    <x v="1"/>
    <x v="8"/>
    <n v="17"/>
    <n v="5"/>
    <n v="1"/>
    <n v="2"/>
    <n v="0"/>
    <n v="0"/>
    <n v="0"/>
    <n v="0"/>
    <n v="0"/>
    <n v="17"/>
    <n v="2025"/>
    <x v="0"/>
    <x v="2"/>
    <x v="1"/>
  </r>
  <r>
    <x v="1"/>
    <x v="39"/>
    <x v="1"/>
    <x v="9"/>
    <n v="2"/>
    <n v="0"/>
    <n v="0"/>
    <n v="0"/>
    <n v="0"/>
    <n v="0"/>
    <n v="0"/>
    <n v="0"/>
    <n v="0"/>
    <n v="2"/>
    <n v="2025"/>
    <x v="0"/>
    <x v="2"/>
    <x v="1"/>
  </r>
  <r>
    <x v="1"/>
    <x v="39"/>
    <x v="1"/>
    <x v="10"/>
    <n v="3"/>
    <n v="1"/>
    <n v="0"/>
    <n v="0"/>
    <n v="0"/>
    <n v="0"/>
    <n v="0"/>
    <n v="0"/>
    <n v="1"/>
    <n v="2"/>
    <n v="2025"/>
    <x v="0"/>
    <x v="2"/>
    <x v="1"/>
  </r>
  <r>
    <x v="1"/>
    <x v="39"/>
    <x v="1"/>
    <x v="66"/>
    <n v="7"/>
    <n v="3"/>
    <n v="0"/>
    <n v="0"/>
    <n v="0"/>
    <n v="0"/>
    <n v="0"/>
    <n v="0"/>
    <n v="0"/>
    <n v="7"/>
    <n v="2025"/>
    <x v="0"/>
    <x v="2"/>
    <x v="1"/>
  </r>
  <r>
    <x v="1"/>
    <x v="39"/>
    <x v="1"/>
    <x v="59"/>
    <n v="220"/>
    <n v="97"/>
    <n v="12"/>
    <n v="1"/>
    <n v="34738.5"/>
    <n v="9"/>
    <n v="27268.5"/>
    <n v="8"/>
    <n v="61"/>
    <n v="183"/>
    <n v="2025"/>
    <x v="0"/>
    <x v="2"/>
    <x v="1"/>
  </r>
  <r>
    <x v="1"/>
    <x v="39"/>
    <x v="1"/>
    <x v="15"/>
    <n v="30"/>
    <n v="29"/>
    <n v="0"/>
    <n v="0"/>
    <n v="0"/>
    <n v="0"/>
    <n v="0"/>
    <n v="0"/>
    <n v="1"/>
    <n v="30"/>
    <n v="2025"/>
    <x v="0"/>
    <x v="2"/>
    <x v="1"/>
  </r>
  <r>
    <x v="1"/>
    <x v="39"/>
    <x v="1"/>
    <x v="17"/>
    <n v="233"/>
    <n v="132"/>
    <n v="4"/>
    <n v="0"/>
    <n v="0"/>
    <n v="0"/>
    <n v="0"/>
    <n v="0"/>
    <n v="0"/>
    <n v="233"/>
    <n v="2025"/>
    <x v="0"/>
    <x v="2"/>
    <x v="1"/>
  </r>
  <r>
    <x v="1"/>
    <x v="39"/>
    <x v="1"/>
    <x v="18"/>
    <n v="2"/>
    <n v="1"/>
    <n v="0"/>
    <n v="0"/>
    <n v="0"/>
    <n v="0"/>
    <n v="0"/>
    <n v="0"/>
    <n v="0"/>
    <n v="2"/>
    <n v="2025"/>
    <x v="0"/>
    <x v="2"/>
    <x v="1"/>
  </r>
  <r>
    <x v="1"/>
    <x v="39"/>
    <x v="1"/>
    <x v="19"/>
    <n v="459"/>
    <n v="266"/>
    <n v="17"/>
    <n v="3"/>
    <n v="24237.5"/>
    <n v="10"/>
    <n v="21889.5"/>
    <n v="9"/>
    <n v="197"/>
    <n v="374"/>
    <n v="2025"/>
    <x v="0"/>
    <x v="2"/>
    <x v="1"/>
  </r>
  <r>
    <x v="1"/>
    <x v="39"/>
    <x v="1"/>
    <x v="20"/>
    <n v="5"/>
    <n v="1"/>
    <n v="0"/>
    <n v="0"/>
    <n v="0"/>
    <n v="0"/>
    <n v="0"/>
    <n v="0"/>
    <n v="0"/>
    <n v="5"/>
    <n v="2025"/>
    <x v="0"/>
    <x v="2"/>
    <x v="1"/>
  </r>
  <r>
    <x v="1"/>
    <x v="39"/>
    <x v="1"/>
    <x v="22"/>
    <n v="7"/>
    <n v="3"/>
    <n v="0"/>
    <n v="0"/>
    <n v="0"/>
    <n v="0"/>
    <n v="0"/>
    <n v="0"/>
    <n v="0"/>
    <n v="7"/>
    <n v="2025"/>
    <x v="0"/>
    <x v="2"/>
    <x v="1"/>
  </r>
  <r>
    <x v="1"/>
    <x v="39"/>
    <x v="1"/>
    <x v="24"/>
    <n v="20"/>
    <n v="17"/>
    <n v="1"/>
    <n v="0"/>
    <n v="3930"/>
    <n v="1"/>
    <n v="3930"/>
    <n v="1"/>
    <n v="4"/>
    <n v="19"/>
    <n v="2025"/>
    <x v="0"/>
    <x v="2"/>
    <x v="1"/>
  </r>
  <r>
    <x v="1"/>
    <x v="39"/>
    <x v="1"/>
    <x v="27"/>
    <n v="100"/>
    <n v="29"/>
    <n v="6"/>
    <n v="0"/>
    <n v="79735"/>
    <n v="5"/>
    <n v="45785"/>
    <n v="5"/>
    <n v="36"/>
    <n v="83"/>
    <n v="2025"/>
    <x v="0"/>
    <x v="2"/>
    <x v="1"/>
  </r>
  <r>
    <x v="1"/>
    <x v="39"/>
    <x v="1"/>
    <x v="29"/>
    <n v="822"/>
    <n v="618"/>
    <n v="37"/>
    <n v="5"/>
    <n v="84730"/>
    <n v="6"/>
    <n v="48385"/>
    <n v="5"/>
    <n v="378"/>
    <n v="596"/>
    <n v="2025"/>
    <x v="0"/>
    <x v="2"/>
    <x v="1"/>
  </r>
  <r>
    <x v="1"/>
    <x v="39"/>
    <x v="1"/>
    <x v="30"/>
    <n v="9414"/>
    <n v="8367"/>
    <n v="60"/>
    <n v="39"/>
    <n v="13530"/>
    <n v="5"/>
    <n v="10780"/>
    <n v="4"/>
    <n v="546"/>
    <n v="9378"/>
    <n v="2025"/>
    <x v="0"/>
    <x v="2"/>
    <x v="1"/>
  </r>
  <r>
    <x v="1"/>
    <x v="39"/>
    <x v="1"/>
    <x v="31"/>
    <n v="96"/>
    <n v="69"/>
    <n v="4"/>
    <n v="6"/>
    <n v="0"/>
    <n v="0"/>
    <n v="0"/>
    <n v="0"/>
    <n v="11"/>
    <n v="95"/>
    <n v="2025"/>
    <x v="0"/>
    <x v="2"/>
    <x v="1"/>
  </r>
  <r>
    <x v="1"/>
    <x v="39"/>
    <x v="1"/>
    <x v="32"/>
    <n v="2"/>
    <n v="1"/>
    <n v="1"/>
    <n v="0"/>
    <n v="0"/>
    <n v="0"/>
    <n v="0"/>
    <n v="0"/>
    <n v="0"/>
    <n v="2"/>
    <n v="2025"/>
    <x v="0"/>
    <x v="2"/>
    <x v="1"/>
  </r>
  <r>
    <x v="1"/>
    <x v="39"/>
    <x v="1"/>
    <x v="34"/>
    <n v="284"/>
    <n v="189"/>
    <n v="6"/>
    <n v="4"/>
    <n v="2623.5"/>
    <n v="1"/>
    <n v="2623.5"/>
    <n v="1"/>
    <n v="78"/>
    <n v="267"/>
    <n v="2025"/>
    <x v="0"/>
    <x v="2"/>
    <x v="1"/>
  </r>
  <r>
    <x v="1"/>
    <x v="39"/>
    <x v="1"/>
    <x v="38"/>
    <n v="181"/>
    <n v="50"/>
    <n v="8"/>
    <n v="5"/>
    <n v="57380"/>
    <n v="6"/>
    <n v="45505"/>
    <n v="4"/>
    <n v="38"/>
    <n v="177"/>
    <n v="2025"/>
    <x v="0"/>
    <x v="2"/>
    <x v="1"/>
  </r>
  <r>
    <x v="1"/>
    <x v="39"/>
    <x v="1"/>
    <x v="60"/>
    <n v="11"/>
    <n v="11"/>
    <n v="0"/>
    <n v="0"/>
    <n v="2375"/>
    <n v="1"/>
    <n v="0"/>
    <n v="0"/>
    <n v="1"/>
    <n v="11"/>
    <n v="2025"/>
    <x v="0"/>
    <x v="2"/>
    <x v="1"/>
  </r>
  <r>
    <x v="1"/>
    <x v="39"/>
    <x v="1"/>
    <x v="64"/>
    <n v="413"/>
    <n v="226"/>
    <n v="14"/>
    <n v="4"/>
    <n v="4505"/>
    <n v="2"/>
    <n v="4505"/>
    <n v="2"/>
    <n v="59"/>
    <n v="402"/>
    <n v="2025"/>
    <x v="0"/>
    <x v="2"/>
    <x v="1"/>
  </r>
  <r>
    <x v="1"/>
    <x v="39"/>
    <x v="1"/>
    <x v="42"/>
    <n v="158"/>
    <n v="90"/>
    <n v="4"/>
    <n v="1"/>
    <n v="0"/>
    <n v="0"/>
    <n v="0"/>
    <n v="0"/>
    <n v="9"/>
    <n v="154"/>
    <n v="2025"/>
    <x v="0"/>
    <x v="2"/>
    <x v="1"/>
  </r>
  <r>
    <x v="1"/>
    <x v="39"/>
    <x v="1"/>
    <x v="43"/>
    <n v="100"/>
    <n v="48"/>
    <n v="5"/>
    <n v="0"/>
    <n v="7690"/>
    <n v="1"/>
    <n v="7690"/>
    <n v="1"/>
    <n v="69"/>
    <n v="66"/>
    <n v="2025"/>
    <x v="0"/>
    <x v="2"/>
    <x v="1"/>
  </r>
  <r>
    <x v="1"/>
    <x v="39"/>
    <x v="1"/>
    <x v="44"/>
    <n v="28"/>
    <n v="7"/>
    <n v="1"/>
    <n v="0"/>
    <n v="2298"/>
    <n v="1"/>
    <n v="2298"/>
    <n v="1"/>
    <n v="0"/>
    <n v="28"/>
    <n v="2025"/>
    <x v="0"/>
    <x v="2"/>
    <x v="1"/>
  </r>
  <r>
    <x v="1"/>
    <x v="39"/>
    <x v="1"/>
    <x v="45"/>
    <n v="5"/>
    <n v="1"/>
    <n v="1"/>
    <n v="0"/>
    <n v="0"/>
    <n v="0"/>
    <n v="0"/>
    <n v="0"/>
    <n v="1"/>
    <n v="5"/>
    <n v="2025"/>
    <x v="0"/>
    <x v="2"/>
    <x v="1"/>
  </r>
  <r>
    <x v="1"/>
    <x v="40"/>
    <x v="0"/>
    <x v="0"/>
    <n v="305"/>
    <n v="88"/>
    <n v="4"/>
    <n v="0"/>
    <n v="8780"/>
    <n v="3"/>
    <n v="8780"/>
    <n v="3"/>
    <n v="4"/>
    <n v="304"/>
    <n v="2025"/>
    <x v="0"/>
    <x v="2"/>
    <x v="1"/>
  </r>
  <r>
    <x v="1"/>
    <x v="40"/>
    <x v="0"/>
    <x v="1"/>
    <n v="15087"/>
    <n v="9491"/>
    <n v="189"/>
    <n v="153"/>
    <n v="90324"/>
    <n v="21"/>
    <n v="42810"/>
    <n v="14"/>
    <n v="894"/>
    <n v="14887"/>
    <n v="2025"/>
    <x v="0"/>
    <x v="2"/>
    <x v="1"/>
  </r>
  <r>
    <x v="1"/>
    <x v="40"/>
    <x v="0"/>
    <x v="3"/>
    <n v="905"/>
    <n v="666"/>
    <n v="15"/>
    <n v="0"/>
    <n v="0"/>
    <n v="0"/>
    <n v="0"/>
    <n v="0"/>
    <n v="24"/>
    <n v="172"/>
    <n v="2025"/>
    <x v="0"/>
    <x v="2"/>
    <x v="1"/>
  </r>
  <r>
    <x v="1"/>
    <x v="40"/>
    <x v="1"/>
    <x v="5"/>
    <n v="2"/>
    <n v="1"/>
    <n v="0"/>
    <n v="0"/>
    <n v="0"/>
    <n v="0"/>
    <n v="0"/>
    <n v="0"/>
    <n v="0"/>
    <n v="2"/>
    <n v="2025"/>
    <x v="0"/>
    <x v="2"/>
    <x v="1"/>
  </r>
  <r>
    <x v="1"/>
    <x v="40"/>
    <x v="1"/>
    <x v="6"/>
    <n v="343"/>
    <n v="294"/>
    <n v="0"/>
    <n v="0"/>
    <n v="0"/>
    <n v="0"/>
    <n v="0"/>
    <n v="0"/>
    <n v="0"/>
    <n v="0"/>
    <n v="2025"/>
    <x v="0"/>
    <x v="2"/>
    <x v="1"/>
  </r>
  <r>
    <x v="1"/>
    <x v="40"/>
    <x v="1"/>
    <x v="7"/>
    <n v="276"/>
    <n v="64"/>
    <n v="27"/>
    <n v="3"/>
    <n v="45121.87"/>
    <n v="17"/>
    <n v="40146.870000000003"/>
    <n v="16"/>
    <n v="82"/>
    <n v="268"/>
    <n v="2025"/>
    <x v="0"/>
    <x v="2"/>
    <x v="1"/>
  </r>
  <r>
    <x v="1"/>
    <x v="40"/>
    <x v="1"/>
    <x v="8"/>
    <n v="21"/>
    <n v="11"/>
    <n v="0"/>
    <n v="1"/>
    <n v="1490"/>
    <n v="1"/>
    <n v="1490"/>
    <n v="1"/>
    <n v="1"/>
    <n v="19"/>
    <n v="2025"/>
    <x v="0"/>
    <x v="2"/>
    <x v="1"/>
  </r>
  <r>
    <x v="1"/>
    <x v="40"/>
    <x v="1"/>
    <x v="9"/>
    <n v="4"/>
    <n v="2"/>
    <n v="0"/>
    <n v="0"/>
    <n v="0"/>
    <n v="0"/>
    <n v="0"/>
    <n v="0"/>
    <n v="1"/>
    <n v="3"/>
    <n v="2025"/>
    <x v="0"/>
    <x v="2"/>
    <x v="1"/>
  </r>
  <r>
    <x v="1"/>
    <x v="40"/>
    <x v="1"/>
    <x v="10"/>
    <n v="9"/>
    <n v="3"/>
    <n v="0"/>
    <n v="0"/>
    <n v="0"/>
    <n v="0"/>
    <n v="0"/>
    <n v="0"/>
    <n v="1"/>
    <n v="2"/>
    <n v="2025"/>
    <x v="0"/>
    <x v="2"/>
    <x v="1"/>
  </r>
  <r>
    <x v="1"/>
    <x v="40"/>
    <x v="1"/>
    <x v="11"/>
    <n v="1"/>
    <n v="1"/>
    <n v="0"/>
    <n v="0"/>
    <n v="0"/>
    <n v="0"/>
    <n v="0"/>
    <n v="0"/>
    <n v="0"/>
    <n v="1"/>
    <n v="2025"/>
    <x v="0"/>
    <x v="2"/>
    <x v="1"/>
  </r>
  <r>
    <x v="1"/>
    <x v="40"/>
    <x v="1"/>
    <x v="48"/>
    <n v="1"/>
    <n v="1"/>
    <n v="0"/>
    <n v="0"/>
    <n v="0"/>
    <n v="0"/>
    <n v="0"/>
    <n v="0"/>
    <n v="0"/>
    <n v="1"/>
    <n v="2025"/>
    <x v="0"/>
    <x v="2"/>
    <x v="1"/>
  </r>
  <r>
    <x v="1"/>
    <x v="40"/>
    <x v="1"/>
    <x v="66"/>
    <n v="11"/>
    <n v="7"/>
    <n v="1"/>
    <n v="0"/>
    <n v="2395"/>
    <n v="1"/>
    <n v="2395"/>
    <n v="1"/>
    <n v="0"/>
    <n v="8"/>
    <n v="2025"/>
    <x v="0"/>
    <x v="2"/>
    <x v="1"/>
  </r>
  <r>
    <x v="1"/>
    <x v="40"/>
    <x v="1"/>
    <x v="59"/>
    <n v="3084"/>
    <n v="2710"/>
    <n v="10"/>
    <n v="0"/>
    <n v="12945"/>
    <n v="5"/>
    <n v="11455"/>
    <n v="4"/>
    <n v="61"/>
    <n v="171"/>
    <n v="2025"/>
    <x v="0"/>
    <x v="2"/>
    <x v="1"/>
  </r>
  <r>
    <x v="1"/>
    <x v="40"/>
    <x v="1"/>
    <x v="15"/>
    <n v="22"/>
    <n v="18"/>
    <n v="0"/>
    <n v="0"/>
    <n v="0"/>
    <n v="0"/>
    <n v="0"/>
    <n v="0"/>
    <n v="0"/>
    <n v="22"/>
    <n v="2025"/>
    <x v="0"/>
    <x v="2"/>
    <x v="1"/>
  </r>
  <r>
    <x v="1"/>
    <x v="40"/>
    <x v="1"/>
    <x v="17"/>
    <n v="250"/>
    <n v="137"/>
    <n v="4"/>
    <n v="0"/>
    <n v="0"/>
    <n v="0"/>
    <n v="0"/>
    <n v="0"/>
    <n v="0"/>
    <n v="250"/>
    <n v="2025"/>
    <x v="0"/>
    <x v="2"/>
    <x v="1"/>
  </r>
  <r>
    <x v="1"/>
    <x v="40"/>
    <x v="1"/>
    <x v="18"/>
    <n v="4"/>
    <n v="2"/>
    <n v="0"/>
    <n v="1"/>
    <n v="0"/>
    <n v="0"/>
    <n v="0"/>
    <n v="0"/>
    <n v="0"/>
    <n v="3"/>
    <n v="2025"/>
    <x v="0"/>
    <x v="2"/>
    <x v="1"/>
  </r>
  <r>
    <x v="1"/>
    <x v="40"/>
    <x v="1"/>
    <x v="19"/>
    <n v="460"/>
    <n v="274"/>
    <n v="23"/>
    <n v="6"/>
    <n v="27205"/>
    <n v="6"/>
    <n v="23140"/>
    <n v="5"/>
    <n v="185"/>
    <n v="329"/>
    <n v="2025"/>
    <x v="0"/>
    <x v="2"/>
    <x v="1"/>
  </r>
  <r>
    <x v="1"/>
    <x v="40"/>
    <x v="1"/>
    <x v="20"/>
    <n v="8"/>
    <n v="6"/>
    <n v="0"/>
    <n v="0"/>
    <n v="0"/>
    <n v="0"/>
    <n v="0"/>
    <n v="0"/>
    <n v="2"/>
    <n v="7"/>
    <n v="2025"/>
    <x v="0"/>
    <x v="2"/>
    <x v="1"/>
  </r>
  <r>
    <x v="1"/>
    <x v="40"/>
    <x v="1"/>
    <x v="21"/>
    <n v="1"/>
    <n v="0"/>
    <n v="0"/>
    <n v="0"/>
    <n v="0"/>
    <n v="0"/>
    <n v="0"/>
    <n v="0"/>
    <n v="0"/>
    <n v="1"/>
    <n v="2025"/>
    <x v="0"/>
    <x v="2"/>
    <x v="1"/>
  </r>
  <r>
    <x v="1"/>
    <x v="40"/>
    <x v="1"/>
    <x v="22"/>
    <n v="11"/>
    <n v="7"/>
    <n v="1"/>
    <n v="0"/>
    <n v="2395"/>
    <n v="1"/>
    <n v="2395"/>
    <n v="1"/>
    <n v="0"/>
    <n v="8"/>
    <n v="2025"/>
    <x v="0"/>
    <x v="2"/>
    <x v="1"/>
  </r>
  <r>
    <x v="1"/>
    <x v="40"/>
    <x v="1"/>
    <x v="24"/>
    <n v="8"/>
    <n v="5"/>
    <n v="1"/>
    <n v="0"/>
    <n v="0"/>
    <n v="0"/>
    <n v="0"/>
    <n v="0"/>
    <n v="2"/>
    <n v="8"/>
    <n v="2025"/>
    <x v="0"/>
    <x v="2"/>
    <x v="1"/>
  </r>
  <r>
    <x v="1"/>
    <x v="40"/>
    <x v="1"/>
    <x v="27"/>
    <n v="84"/>
    <n v="34"/>
    <n v="7"/>
    <n v="0"/>
    <n v="10253.129999999999"/>
    <n v="6"/>
    <n v="10253.129999999999"/>
    <n v="6"/>
    <n v="55"/>
    <n v="59"/>
    <n v="2025"/>
    <x v="0"/>
    <x v="2"/>
    <x v="1"/>
  </r>
  <r>
    <x v="1"/>
    <x v="40"/>
    <x v="1"/>
    <x v="29"/>
    <n v="693"/>
    <n v="503"/>
    <n v="23"/>
    <n v="6"/>
    <n v="11095"/>
    <n v="3"/>
    <n v="9405"/>
    <n v="3"/>
    <n v="279"/>
    <n v="509"/>
    <n v="2025"/>
    <x v="0"/>
    <x v="2"/>
    <x v="1"/>
  </r>
  <r>
    <x v="1"/>
    <x v="40"/>
    <x v="1"/>
    <x v="30"/>
    <n v="5791"/>
    <n v="4839"/>
    <n v="53"/>
    <n v="27"/>
    <n v="67943"/>
    <n v="10"/>
    <n v="23798"/>
    <n v="7"/>
    <n v="363"/>
    <n v="5385"/>
    <n v="2025"/>
    <x v="0"/>
    <x v="2"/>
    <x v="1"/>
  </r>
  <r>
    <x v="1"/>
    <x v="40"/>
    <x v="1"/>
    <x v="31"/>
    <n v="74"/>
    <n v="43"/>
    <n v="1"/>
    <n v="2"/>
    <n v="3395"/>
    <n v="1"/>
    <n v="3395"/>
    <n v="1"/>
    <n v="8"/>
    <n v="70"/>
    <n v="2025"/>
    <x v="0"/>
    <x v="2"/>
    <x v="1"/>
  </r>
  <r>
    <x v="1"/>
    <x v="40"/>
    <x v="1"/>
    <x v="34"/>
    <n v="178"/>
    <n v="104"/>
    <n v="4"/>
    <n v="1"/>
    <n v="1990"/>
    <n v="1"/>
    <n v="1990"/>
    <n v="1"/>
    <n v="49"/>
    <n v="163"/>
    <n v="2025"/>
    <x v="0"/>
    <x v="2"/>
    <x v="1"/>
  </r>
  <r>
    <x v="1"/>
    <x v="40"/>
    <x v="1"/>
    <x v="36"/>
    <n v="1"/>
    <n v="1"/>
    <n v="0"/>
    <n v="0"/>
    <n v="0"/>
    <n v="0"/>
    <n v="0"/>
    <n v="0"/>
    <n v="0"/>
    <n v="1"/>
    <n v="2025"/>
    <x v="0"/>
    <x v="2"/>
    <x v="1"/>
  </r>
  <r>
    <x v="1"/>
    <x v="40"/>
    <x v="1"/>
    <x v="38"/>
    <n v="200"/>
    <n v="50"/>
    <n v="14"/>
    <n v="3"/>
    <n v="17702.09"/>
    <n v="8"/>
    <n v="20077.09"/>
    <n v="9"/>
    <n v="32"/>
    <n v="195"/>
    <n v="2025"/>
    <x v="0"/>
    <x v="2"/>
    <x v="1"/>
  </r>
  <r>
    <x v="1"/>
    <x v="40"/>
    <x v="1"/>
    <x v="65"/>
    <n v="3"/>
    <n v="2"/>
    <n v="0"/>
    <n v="0"/>
    <n v="0"/>
    <n v="0"/>
    <n v="0"/>
    <n v="0"/>
    <n v="0"/>
    <n v="3"/>
    <n v="2025"/>
    <x v="0"/>
    <x v="2"/>
    <x v="1"/>
  </r>
  <r>
    <x v="1"/>
    <x v="40"/>
    <x v="1"/>
    <x v="60"/>
    <n v="18"/>
    <n v="17"/>
    <n v="0"/>
    <n v="0"/>
    <n v="0"/>
    <n v="0"/>
    <n v="0"/>
    <n v="0"/>
    <n v="0"/>
    <n v="18"/>
    <n v="2025"/>
    <x v="0"/>
    <x v="2"/>
    <x v="1"/>
  </r>
  <r>
    <x v="1"/>
    <x v="40"/>
    <x v="1"/>
    <x v="64"/>
    <n v="371"/>
    <n v="192"/>
    <n v="7"/>
    <n v="2"/>
    <n v="5097"/>
    <n v="2"/>
    <n v="5097"/>
    <n v="2"/>
    <n v="62"/>
    <n v="364"/>
    <n v="2025"/>
    <x v="0"/>
    <x v="2"/>
    <x v="1"/>
  </r>
  <r>
    <x v="1"/>
    <x v="40"/>
    <x v="1"/>
    <x v="42"/>
    <n v="149"/>
    <n v="91"/>
    <n v="3"/>
    <n v="2"/>
    <n v="0"/>
    <n v="0"/>
    <n v="0"/>
    <n v="0"/>
    <n v="10"/>
    <n v="146"/>
    <n v="2025"/>
    <x v="0"/>
    <x v="2"/>
    <x v="1"/>
  </r>
  <r>
    <x v="1"/>
    <x v="40"/>
    <x v="1"/>
    <x v="43"/>
    <n v="76"/>
    <n v="40"/>
    <n v="1"/>
    <n v="1"/>
    <n v="0"/>
    <n v="0"/>
    <n v="0"/>
    <n v="0"/>
    <n v="60"/>
    <n v="38"/>
    <n v="2025"/>
    <x v="0"/>
    <x v="2"/>
    <x v="1"/>
  </r>
  <r>
    <x v="1"/>
    <x v="40"/>
    <x v="1"/>
    <x v="44"/>
    <n v="19"/>
    <n v="5"/>
    <n v="1"/>
    <n v="0"/>
    <n v="4277.09"/>
    <n v="2"/>
    <n v="4277.09"/>
    <n v="2"/>
    <n v="0"/>
    <n v="19"/>
    <n v="2025"/>
    <x v="0"/>
    <x v="2"/>
    <x v="1"/>
  </r>
  <r>
    <x v="1"/>
    <x v="40"/>
    <x v="1"/>
    <x v="45"/>
    <n v="2"/>
    <n v="1"/>
    <n v="0"/>
    <n v="0"/>
    <n v="0"/>
    <n v="0"/>
    <n v="0"/>
    <n v="0"/>
    <n v="0"/>
    <n v="2"/>
    <n v="2025"/>
    <x v="0"/>
    <x v="2"/>
    <x v="1"/>
  </r>
  <r>
    <x v="1"/>
    <x v="41"/>
    <x v="0"/>
    <x v="0"/>
    <n v="329"/>
    <n v="109"/>
    <n v="4"/>
    <n v="0"/>
    <n v="8990.19"/>
    <n v="2"/>
    <n v="8990.19"/>
    <n v="2"/>
    <n v="3"/>
    <n v="323"/>
    <n v="2025"/>
    <x v="0"/>
    <x v="2"/>
    <x v="1"/>
  </r>
  <r>
    <x v="1"/>
    <x v="41"/>
    <x v="0"/>
    <x v="1"/>
    <n v="16552"/>
    <n v="10579"/>
    <n v="234"/>
    <n v="197"/>
    <n v="134018.23999999999"/>
    <n v="31"/>
    <n v="92743.24"/>
    <n v="22"/>
    <n v="1007"/>
    <n v="16317"/>
    <n v="2025"/>
    <x v="0"/>
    <x v="2"/>
    <x v="1"/>
  </r>
  <r>
    <x v="1"/>
    <x v="41"/>
    <x v="0"/>
    <x v="3"/>
    <n v="1014"/>
    <n v="783"/>
    <n v="14"/>
    <n v="0"/>
    <n v="0"/>
    <n v="0"/>
    <n v="0"/>
    <n v="0"/>
    <n v="23"/>
    <n v="198"/>
    <n v="2025"/>
    <x v="0"/>
    <x v="2"/>
    <x v="1"/>
  </r>
  <r>
    <x v="1"/>
    <x v="41"/>
    <x v="1"/>
    <x v="6"/>
    <n v="456"/>
    <n v="401"/>
    <n v="0"/>
    <n v="0"/>
    <n v="0"/>
    <n v="0"/>
    <n v="0"/>
    <n v="0"/>
    <n v="0"/>
    <n v="2"/>
    <n v="2025"/>
    <x v="0"/>
    <x v="2"/>
    <x v="1"/>
  </r>
  <r>
    <x v="1"/>
    <x v="41"/>
    <x v="1"/>
    <x v="7"/>
    <n v="330"/>
    <n v="67"/>
    <n v="34"/>
    <n v="2"/>
    <n v="186492"/>
    <n v="36"/>
    <n v="182627"/>
    <n v="35"/>
    <n v="82"/>
    <n v="317"/>
    <n v="2025"/>
    <x v="0"/>
    <x v="2"/>
    <x v="1"/>
  </r>
  <r>
    <x v="1"/>
    <x v="41"/>
    <x v="1"/>
    <x v="8"/>
    <n v="27"/>
    <n v="13"/>
    <n v="0"/>
    <n v="0"/>
    <n v="0"/>
    <n v="0"/>
    <n v="0"/>
    <n v="0"/>
    <n v="0"/>
    <n v="21"/>
    <n v="2025"/>
    <x v="0"/>
    <x v="2"/>
    <x v="1"/>
  </r>
  <r>
    <x v="1"/>
    <x v="41"/>
    <x v="1"/>
    <x v="9"/>
    <n v="9"/>
    <n v="8"/>
    <n v="0"/>
    <n v="0"/>
    <n v="0"/>
    <n v="0"/>
    <n v="0"/>
    <n v="0"/>
    <n v="0"/>
    <n v="1"/>
    <n v="2025"/>
    <x v="0"/>
    <x v="2"/>
    <x v="1"/>
  </r>
  <r>
    <x v="1"/>
    <x v="41"/>
    <x v="1"/>
    <x v="10"/>
    <n v="10"/>
    <n v="7"/>
    <n v="0"/>
    <n v="0"/>
    <n v="0"/>
    <n v="0"/>
    <n v="0"/>
    <n v="0"/>
    <n v="0"/>
    <n v="2"/>
    <n v="2025"/>
    <x v="0"/>
    <x v="2"/>
    <x v="1"/>
  </r>
  <r>
    <x v="1"/>
    <x v="41"/>
    <x v="1"/>
    <x v="66"/>
    <n v="46"/>
    <n v="22"/>
    <n v="1"/>
    <n v="0"/>
    <n v="1990"/>
    <n v="1"/>
    <n v="1990"/>
    <n v="1"/>
    <n v="0"/>
    <n v="18"/>
    <n v="2025"/>
    <x v="0"/>
    <x v="2"/>
    <x v="1"/>
  </r>
  <r>
    <x v="1"/>
    <x v="41"/>
    <x v="1"/>
    <x v="59"/>
    <n v="4408"/>
    <n v="3957"/>
    <n v="14"/>
    <n v="2"/>
    <n v="30310"/>
    <n v="5"/>
    <n v="30310"/>
    <n v="5"/>
    <n v="64"/>
    <n v="198"/>
    <n v="2025"/>
    <x v="0"/>
    <x v="2"/>
    <x v="1"/>
  </r>
  <r>
    <x v="1"/>
    <x v="41"/>
    <x v="1"/>
    <x v="15"/>
    <n v="21"/>
    <n v="19"/>
    <n v="1"/>
    <n v="0"/>
    <n v="0"/>
    <n v="0"/>
    <n v="0"/>
    <n v="0"/>
    <n v="1"/>
    <n v="20"/>
    <n v="2025"/>
    <x v="0"/>
    <x v="2"/>
    <x v="1"/>
  </r>
  <r>
    <x v="1"/>
    <x v="41"/>
    <x v="1"/>
    <x v="17"/>
    <n v="276"/>
    <n v="136"/>
    <n v="3"/>
    <n v="1"/>
    <n v="0"/>
    <n v="0"/>
    <n v="0"/>
    <n v="0"/>
    <n v="1"/>
    <n v="275"/>
    <n v="2025"/>
    <x v="0"/>
    <x v="2"/>
    <x v="1"/>
  </r>
  <r>
    <x v="1"/>
    <x v="41"/>
    <x v="1"/>
    <x v="18"/>
    <n v="12"/>
    <n v="11"/>
    <n v="2"/>
    <n v="0"/>
    <n v="1490"/>
    <n v="1"/>
    <n v="1490"/>
    <n v="1"/>
    <n v="2"/>
    <n v="11"/>
    <n v="2025"/>
    <x v="0"/>
    <x v="2"/>
    <x v="1"/>
  </r>
  <r>
    <x v="1"/>
    <x v="41"/>
    <x v="1"/>
    <x v="19"/>
    <n v="602"/>
    <n v="326"/>
    <n v="46"/>
    <n v="7"/>
    <n v="54632.14"/>
    <n v="13"/>
    <n v="54632.14"/>
    <n v="13"/>
    <n v="242"/>
    <n v="457"/>
    <n v="2025"/>
    <x v="0"/>
    <x v="2"/>
    <x v="1"/>
  </r>
  <r>
    <x v="1"/>
    <x v="41"/>
    <x v="1"/>
    <x v="20"/>
    <n v="5"/>
    <n v="3"/>
    <n v="0"/>
    <n v="0"/>
    <n v="0"/>
    <n v="0"/>
    <n v="0"/>
    <n v="0"/>
    <n v="1"/>
    <n v="5"/>
    <n v="2025"/>
    <x v="0"/>
    <x v="2"/>
    <x v="1"/>
  </r>
  <r>
    <x v="1"/>
    <x v="41"/>
    <x v="1"/>
    <x v="22"/>
    <n v="46"/>
    <n v="22"/>
    <n v="1"/>
    <n v="0"/>
    <n v="1990"/>
    <n v="1"/>
    <n v="1990"/>
    <n v="1"/>
    <n v="0"/>
    <n v="18"/>
    <n v="2025"/>
    <x v="0"/>
    <x v="2"/>
    <x v="1"/>
  </r>
  <r>
    <x v="1"/>
    <x v="41"/>
    <x v="1"/>
    <x v="24"/>
    <n v="14"/>
    <n v="13"/>
    <n v="0"/>
    <n v="0"/>
    <n v="0"/>
    <n v="0"/>
    <n v="0"/>
    <n v="0"/>
    <n v="4"/>
    <n v="11"/>
    <n v="2025"/>
    <x v="0"/>
    <x v="2"/>
    <x v="1"/>
  </r>
  <r>
    <x v="1"/>
    <x v="41"/>
    <x v="1"/>
    <x v="27"/>
    <n v="219"/>
    <n v="71"/>
    <n v="12"/>
    <n v="1"/>
    <n v="52296.800000000003"/>
    <n v="8"/>
    <n v="50616.800000000003"/>
    <n v="7"/>
    <n v="145"/>
    <n v="117"/>
    <n v="2025"/>
    <x v="0"/>
    <x v="2"/>
    <x v="1"/>
  </r>
  <r>
    <x v="1"/>
    <x v="41"/>
    <x v="1"/>
    <x v="29"/>
    <n v="741"/>
    <n v="536"/>
    <n v="31"/>
    <n v="4"/>
    <n v="27070"/>
    <n v="9"/>
    <n v="19775"/>
    <n v="8"/>
    <n v="373"/>
    <n v="510"/>
    <n v="2025"/>
    <x v="0"/>
    <x v="2"/>
    <x v="1"/>
  </r>
  <r>
    <x v="1"/>
    <x v="41"/>
    <x v="1"/>
    <x v="30"/>
    <n v="4624"/>
    <n v="3780"/>
    <n v="50"/>
    <n v="20"/>
    <n v="13800.43"/>
    <n v="5"/>
    <n v="13800.43"/>
    <n v="5"/>
    <n v="271"/>
    <n v="3900"/>
    <n v="2025"/>
    <x v="0"/>
    <x v="2"/>
    <x v="1"/>
  </r>
  <r>
    <x v="1"/>
    <x v="41"/>
    <x v="1"/>
    <x v="31"/>
    <n v="73"/>
    <n v="46"/>
    <n v="4"/>
    <n v="0"/>
    <n v="2395"/>
    <n v="1"/>
    <n v="2395"/>
    <n v="1"/>
    <n v="16"/>
    <n v="65"/>
    <n v="2025"/>
    <x v="0"/>
    <x v="2"/>
    <x v="1"/>
  </r>
  <r>
    <x v="1"/>
    <x v="41"/>
    <x v="1"/>
    <x v="32"/>
    <n v="2"/>
    <n v="1"/>
    <n v="0"/>
    <n v="0"/>
    <n v="0"/>
    <n v="0"/>
    <n v="0"/>
    <n v="0"/>
    <n v="0"/>
    <n v="2"/>
    <n v="2025"/>
    <x v="0"/>
    <x v="2"/>
    <x v="1"/>
  </r>
  <r>
    <x v="1"/>
    <x v="41"/>
    <x v="1"/>
    <x v="34"/>
    <n v="179"/>
    <n v="88"/>
    <n v="6"/>
    <n v="3"/>
    <n v="1663.43"/>
    <n v="1"/>
    <n v="1663.43"/>
    <n v="1"/>
    <n v="46"/>
    <n v="162"/>
    <n v="2025"/>
    <x v="0"/>
    <x v="2"/>
    <x v="1"/>
  </r>
  <r>
    <x v="1"/>
    <x v="41"/>
    <x v="1"/>
    <x v="36"/>
    <n v="1"/>
    <n v="1"/>
    <n v="0"/>
    <n v="0"/>
    <n v="0"/>
    <n v="0"/>
    <n v="0"/>
    <n v="0"/>
    <n v="0"/>
    <n v="1"/>
    <n v="2025"/>
    <x v="0"/>
    <x v="2"/>
    <x v="1"/>
  </r>
  <r>
    <x v="1"/>
    <x v="41"/>
    <x v="1"/>
    <x v="38"/>
    <n v="249"/>
    <n v="60"/>
    <n v="24"/>
    <n v="6"/>
    <n v="34833"/>
    <n v="11"/>
    <n v="34833"/>
    <n v="11"/>
    <n v="59"/>
    <n v="239"/>
    <n v="2025"/>
    <x v="0"/>
    <x v="2"/>
    <x v="1"/>
  </r>
  <r>
    <x v="1"/>
    <x v="41"/>
    <x v="1"/>
    <x v="60"/>
    <n v="32"/>
    <n v="30"/>
    <n v="0"/>
    <n v="0"/>
    <n v="0"/>
    <n v="0"/>
    <n v="0"/>
    <n v="0"/>
    <n v="0"/>
    <n v="32"/>
    <n v="2025"/>
    <x v="0"/>
    <x v="2"/>
    <x v="1"/>
  </r>
  <r>
    <x v="1"/>
    <x v="41"/>
    <x v="1"/>
    <x v="39"/>
    <n v="1"/>
    <n v="0"/>
    <n v="0"/>
    <n v="0"/>
    <n v="0"/>
    <n v="0"/>
    <n v="0"/>
    <n v="0"/>
    <n v="0"/>
    <n v="1"/>
    <n v="2025"/>
    <x v="0"/>
    <x v="2"/>
    <x v="1"/>
  </r>
  <r>
    <x v="1"/>
    <x v="41"/>
    <x v="1"/>
    <x v="64"/>
    <n v="419"/>
    <n v="204"/>
    <n v="11"/>
    <n v="3"/>
    <n v="24369"/>
    <n v="7"/>
    <n v="19702"/>
    <n v="5"/>
    <n v="62"/>
    <n v="408"/>
    <n v="2025"/>
    <x v="0"/>
    <x v="2"/>
    <x v="1"/>
  </r>
  <r>
    <x v="1"/>
    <x v="41"/>
    <x v="1"/>
    <x v="42"/>
    <n v="174"/>
    <n v="118"/>
    <n v="4"/>
    <n v="4"/>
    <n v="8700"/>
    <n v="1"/>
    <n v="0"/>
    <n v="0"/>
    <n v="14"/>
    <n v="171"/>
    <n v="2025"/>
    <x v="0"/>
    <x v="2"/>
    <x v="1"/>
  </r>
  <r>
    <x v="1"/>
    <x v="41"/>
    <x v="1"/>
    <x v="43"/>
    <n v="107"/>
    <n v="57"/>
    <n v="2"/>
    <n v="0"/>
    <n v="2795"/>
    <n v="1"/>
    <n v="2795"/>
    <n v="1"/>
    <n v="85"/>
    <n v="57"/>
    <n v="2025"/>
    <x v="0"/>
    <x v="2"/>
    <x v="1"/>
  </r>
  <r>
    <x v="1"/>
    <x v="41"/>
    <x v="1"/>
    <x v="44"/>
    <n v="18"/>
    <n v="7"/>
    <n v="1"/>
    <n v="0"/>
    <n v="10810"/>
    <n v="2"/>
    <n v="10810"/>
    <n v="2"/>
    <n v="0"/>
    <n v="18"/>
    <n v="2025"/>
    <x v="0"/>
    <x v="2"/>
    <x v="1"/>
  </r>
  <r>
    <x v="1"/>
    <x v="41"/>
    <x v="1"/>
    <x v="45"/>
    <n v="5"/>
    <n v="0"/>
    <n v="0"/>
    <n v="0"/>
    <n v="0"/>
    <n v="0"/>
    <n v="0"/>
    <n v="0"/>
    <n v="0"/>
    <n v="5"/>
    <n v="2025"/>
    <x v="0"/>
    <x v="2"/>
    <x v="1"/>
  </r>
  <r>
    <x v="1"/>
    <x v="42"/>
    <x v="0"/>
    <x v="0"/>
    <n v="338"/>
    <n v="103"/>
    <n v="1"/>
    <n v="1"/>
    <n v="16300"/>
    <n v="3"/>
    <n v="16300"/>
    <n v="3"/>
    <n v="4"/>
    <n v="337"/>
    <n v="2025"/>
    <x v="0"/>
    <x v="2"/>
    <x v="1"/>
  </r>
  <r>
    <x v="1"/>
    <x v="42"/>
    <x v="0"/>
    <x v="1"/>
    <n v="17886"/>
    <n v="11527"/>
    <n v="231"/>
    <n v="215"/>
    <n v="164341"/>
    <n v="41"/>
    <n v="107943"/>
    <n v="28"/>
    <n v="1056"/>
    <n v="17676"/>
    <n v="2025"/>
    <x v="0"/>
    <x v="2"/>
    <x v="1"/>
  </r>
  <r>
    <x v="1"/>
    <x v="42"/>
    <x v="0"/>
    <x v="3"/>
    <n v="7"/>
    <n v="1"/>
    <n v="0"/>
    <n v="0"/>
    <n v="0"/>
    <n v="0"/>
    <n v="0"/>
    <n v="0"/>
    <n v="0"/>
    <n v="2"/>
    <n v="2025"/>
    <x v="0"/>
    <x v="2"/>
    <x v="1"/>
  </r>
  <r>
    <x v="1"/>
    <x v="42"/>
    <x v="1"/>
    <x v="5"/>
    <n v="2"/>
    <n v="1"/>
    <n v="0"/>
    <n v="0"/>
    <n v="0"/>
    <n v="0"/>
    <n v="0"/>
    <n v="0"/>
    <n v="0"/>
    <n v="2"/>
    <n v="2025"/>
    <x v="0"/>
    <x v="2"/>
    <x v="1"/>
  </r>
  <r>
    <x v="1"/>
    <x v="42"/>
    <x v="1"/>
    <x v="6"/>
    <n v="1"/>
    <n v="1"/>
    <n v="0"/>
    <n v="0"/>
    <n v="0"/>
    <n v="0"/>
    <n v="0"/>
    <n v="0"/>
    <n v="0"/>
    <n v="0"/>
    <n v="2025"/>
    <x v="0"/>
    <x v="2"/>
    <x v="1"/>
  </r>
  <r>
    <x v="1"/>
    <x v="42"/>
    <x v="1"/>
    <x v="7"/>
    <n v="281"/>
    <n v="61"/>
    <n v="27"/>
    <n v="6"/>
    <n v="103379.42"/>
    <n v="30"/>
    <n v="87548.42"/>
    <n v="27"/>
    <n v="85"/>
    <n v="267"/>
    <n v="2025"/>
    <x v="0"/>
    <x v="2"/>
    <x v="1"/>
  </r>
  <r>
    <x v="1"/>
    <x v="42"/>
    <x v="1"/>
    <x v="8"/>
    <n v="15"/>
    <n v="8"/>
    <n v="0"/>
    <n v="1"/>
    <n v="0"/>
    <n v="0"/>
    <n v="0"/>
    <n v="0"/>
    <n v="1"/>
    <n v="14"/>
    <n v="2025"/>
    <x v="0"/>
    <x v="2"/>
    <x v="1"/>
  </r>
  <r>
    <x v="1"/>
    <x v="42"/>
    <x v="1"/>
    <x v="10"/>
    <n v="3"/>
    <n v="1"/>
    <n v="0"/>
    <n v="0"/>
    <n v="0"/>
    <n v="0"/>
    <n v="0"/>
    <n v="0"/>
    <n v="2"/>
    <n v="3"/>
    <n v="2025"/>
    <x v="0"/>
    <x v="2"/>
    <x v="1"/>
  </r>
  <r>
    <x v="1"/>
    <x v="42"/>
    <x v="1"/>
    <x v="11"/>
    <n v="1"/>
    <n v="1"/>
    <n v="0"/>
    <n v="0"/>
    <n v="0"/>
    <n v="0"/>
    <n v="0"/>
    <n v="0"/>
    <n v="0"/>
    <n v="1"/>
    <n v="2025"/>
    <x v="0"/>
    <x v="2"/>
    <x v="1"/>
  </r>
  <r>
    <x v="1"/>
    <x v="42"/>
    <x v="1"/>
    <x v="66"/>
    <n v="15"/>
    <n v="3"/>
    <n v="0"/>
    <n v="0"/>
    <n v="5427"/>
    <n v="2"/>
    <n v="5427"/>
    <n v="2"/>
    <n v="2"/>
    <n v="15"/>
    <n v="2025"/>
    <x v="0"/>
    <x v="2"/>
    <x v="1"/>
  </r>
  <r>
    <x v="1"/>
    <x v="42"/>
    <x v="1"/>
    <x v="59"/>
    <n v="220"/>
    <n v="94"/>
    <n v="11"/>
    <n v="1"/>
    <n v="26032"/>
    <n v="6"/>
    <n v="26032"/>
    <n v="6"/>
    <n v="64"/>
    <n v="193"/>
    <n v="2025"/>
    <x v="0"/>
    <x v="2"/>
    <x v="1"/>
  </r>
  <r>
    <x v="1"/>
    <x v="42"/>
    <x v="1"/>
    <x v="15"/>
    <n v="21"/>
    <n v="21"/>
    <n v="0"/>
    <n v="0"/>
    <n v="0"/>
    <n v="0"/>
    <n v="0"/>
    <n v="0"/>
    <n v="0"/>
    <n v="21"/>
    <n v="2025"/>
    <x v="0"/>
    <x v="2"/>
    <x v="1"/>
  </r>
  <r>
    <x v="1"/>
    <x v="42"/>
    <x v="1"/>
    <x v="17"/>
    <n v="273"/>
    <n v="129"/>
    <n v="4"/>
    <n v="0"/>
    <n v="0"/>
    <n v="0"/>
    <n v="0"/>
    <n v="0"/>
    <n v="0"/>
    <n v="273"/>
    <n v="2025"/>
    <x v="0"/>
    <x v="2"/>
    <x v="1"/>
  </r>
  <r>
    <x v="1"/>
    <x v="42"/>
    <x v="1"/>
    <x v="18"/>
    <n v="5"/>
    <n v="4"/>
    <n v="2"/>
    <n v="0"/>
    <n v="3990"/>
    <n v="1"/>
    <n v="0"/>
    <n v="0"/>
    <n v="0"/>
    <n v="5"/>
    <n v="2025"/>
    <x v="0"/>
    <x v="2"/>
    <x v="1"/>
  </r>
  <r>
    <x v="1"/>
    <x v="42"/>
    <x v="1"/>
    <x v="19"/>
    <n v="480"/>
    <n v="262"/>
    <n v="19"/>
    <n v="3"/>
    <n v="44428"/>
    <n v="12"/>
    <n v="38583"/>
    <n v="11"/>
    <n v="196"/>
    <n v="372"/>
    <n v="2025"/>
    <x v="0"/>
    <x v="2"/>
    <x v="1"/>
  </r>
  <r>
    <x v="1"/>
    <x v="42"/>
    <x v="1"/>
    <x v="20"/>
    <n v="1"/>
    <n v="0"/>
    <n v="0"/>
    <n v="0"/>
    <n v="0"/>
    <n v="0"/>
    <n v="0"/>
    <n v="0"/>
    <n v="0"/>
    <n v="1"/>
    <n v="2025"/>
    <x v="0"/>
    <x v="2"/>
    <x v="1"/>
  </r>
  <r>
    <x v="1"/>
    <x v="42"/>
    <x v="1"/>
    <x v="22"/>
    <n v="15"/>
    <n v="3"/>
    <n v="0"/>
    <n v="0"/>
    <n v="5427"/>
    <n v="2"/>
    <n v="5427"/>
    <n v="2"/>
    <n v="2"/>
    <n v="15"/>
    <n v="2025"/>
    <x v="0"/>
    <x v="2"/>
    <x v="1"/>
  </r>
  <r>
    <x v="1"/>
    <x v="42"/>
    <x v="1"/>
    <x v="24"/>
    <n v="22"/>
    <n v="12"/>
    <n v="2"/>
    <n v="0"/>
    <n v="4845"/>
    <n v="1"/>
    <n v="4845"/>
    <n v="1"/>
    <n v="4"/>
    <n v="22"/>
    <n v="2025"/>
    <x v="0"/>
    <x v="2"/>
    <x v="1"/>
  </r>
  <r>
    <x v="1"/>
    <x v="42"/>
    <x v="1"/>
    <x v="27"/>
    <n v="89"/>
    <n v="35"/>
    <n v="6"/>
    <n v="0"/>
    <n v="34251"/>
    <n v="10"/>
    <n v="32761"/>
    <n v="10"/>
    <n v="42"/>
    <n v="79"/>
    <n v="2025"/>
    <x v="0"/>
    <x v="2"/>
    <x v="1"/>
  </r>
  <r>
    <x v="1"/>
    <x v="42"/>
    <x v="1"/>
    <x v="29"/>
    <n v="688"/>
    <n v="511"/>
    <n v="33"/>
    <n v="4"/>
    <n v="23972"/>
    <n v="8"/>
    <n v="18952"/>
    <n v="7"/>
    <n v="322"/>
    <n v="502"/>
    <n v="2025"/>
    <x v="0"/>
    <x v="2"/>
    <x v="1"/>
  </r>
  <r>
    <x v="1"/>
    <x v="42"/>
    <x v="1"/>
    <x v="30"/>
    <n v="6493"/>
    <n v="5466"/>
    <n v="34"/>
    <n v="22"/>
    <n v="23025"/>
    <n v="9"/>
    <n v="10245"/>
    <n v="6"/>
    <n v="399"/>
    <n v="6439"/>
    <n v="2025"/>
    <x v="0"/>
    <x v="2"/>
    <x v="1"/>
  </r>
  <r>
    <x v="1"/>
    <x v="42"/>
    <x v="1"/>
    <x v="31"/>
    <n v="70"/>
    <n v="45"/>
    <n v="4"/>
    <n v="1"/>
    <n v="0"/>
    <n v="0"/>
    <n v="0"/>
    <n v="0"/>
    <n v="11"/>
    <n v="67"/>
    <n v="2025"/>
    <x v="0"/>
    <x v="2"/>
    <x v="1"/>
  </r>
  <r>
    <x v="1"/>
    <x v="42"/>
    <x v="1"/>
    <x v="32"/>
    <n v="4"/>
    <n v="1"/>
    <n v="0"/>
    <n v="0"/>
    <n v="4427"/>
    <n v="2"/>
    <n v="4427"/>
    <n v="2"/>
    <n v="0"/>
    <n v="4"/>
    <n v="2025"/>
    <x v="0"/>
    <x v="2"/>
    <x v="1"/>
  </r>
  <r>
    <x v="1"/>
    <x v="42"/>
    <x v="1"/>
    <x v="34"/>
    <n v="204"/>
    <n v="113"/>
    <n v="11"/>
    <n v="2"/>
    <n v="23760"/>
    <n v="4"/>
    <n v="20965"/>
    <n v="3"/>
    <n v="64"/>
    <n v="191"/>
    <n v="2025"/>
    <x v="0"/>
    <x v="2"/>
    <x v="1"/>
  </r>
  <r>
    <x v="1"/>
    <x v="42"/>
    <x v="1"/>
    <x v="38"/>
    <n v="243"/>
    <n v="58"/>
    <n v="14"/>
    <n v="2"/>
    <n v="63011"/>
    <n v="17"/>
    <n v="51113"/>
    <n v="16"/>
    <n v="59"/>
    <n v="231"/>
    <n v="2025"/>
    <x v="0"/>
    <x v="2"/>
    <x v="1"/>
  </r>
  <r>
    <x v="1"/>
    <x v="42"/>
    <x v="1"/>
    <x v="65"/>
    <n v="1"/>
    <n v="1"/>
    <n v="0"/>
    <n v="0"/>
    <n v="0"/>
    <n v="0"/>
    <n v="0"/>
    <n v="0"/>
    <n v="0"/>
    <n v="1"/>
    <n v="2025"/>
    <x v="0"/>
    <x v="2"/>
    <x v="1"/>
  </r>
  <r>
    <x v="1"/>
    <x v="42"/>
    <x v="1"/>
    <x v="60"/>
    <n v="9"/>
    <n v="8"/>
    <n v="0"/>
    <n v="0"/>
    <n v="0"/>
    <n v="0"/>
    <n v="0"/>
    <n v="0"/>
    <n v="0"/>
    <n v="9"/>
    <n v="2025"/>
    <x v="0"/>
    <x v="2"/>
    <x v="1"/>
  </r>
  <r>
    <x v="1"/>
    <x v="42"/>
    <x v="1"/>
    <x v="39"/>
    <n v="2"/>
    <n v="2"/>
    <n v="0"/>
    <n v="0"/>
    <n v="0"/>
    <n v="0"/>
    <n v="0"/>
    <n v="0"/>
    <n v="1"/>
    <n v="2"/>
    <n v="2025"/>
    <x v="0"/>
    <x v="2"/>
    <x v="1"/>
  </r>
  <r>
    <x v="1"/>
    <x v="42"/>
    <x v="1"/>
    <x v="64"/>
    <n v="396"/>
    <n v="203"/>
    <n v="20"/>
    <n v="2"/>
    <n v="25205"/>
    <n v="5"/>
    <n v="19360"/>
    <n v="5"/>
    <n v="50"/>
    <n v="391"/>
    <n v="2025"/>
    <x v="0"/>
    <x v="2"/>
    <x v="1"/>
  </r>
  <r>
    <x v="1"/>
    <x v="42"/>
    <x v="1"/>
    <x v="42"/>
    <n v="92"/>
    <n v="52"/>
    <n v="4"/>
    <n v="2"/>
    <n v="0"/>
    <n v="0"/>
    <n v="0"/>
    <n v="0"/>
    <n v="9"/>
    <n v="86"/>
    <n v="2025"/>
    <x v="0"/>
    <x v="2"/>
    <x v="1"/>
  </r>
  <r>
    <x v="1"/>
    <x v="42"/>
    <x v="1"/>
    <x v="43"/>
    <n v="99"/>
    <n v="46"/>
    <n v="1"/>
    <n v="2"/>
    <n v="2750"/>
    <n v="1"/>
    <n v="2750"/>
    <n v="1"/>
    <n v="80"/>
    <n v="63"/>
    <n v="2025"/>
    <x v="0"/>
    <x v="2"/>
    <x v="1"/>
  </r>
  <r>
    <x v="1"/>
    <x v="42"/>
    <x v="1"/>
    <x v="44"/>
    <n v="29"/>
    <n v="8"/>
    <n v="0"/>
    <n v="0"/>
    <n v="4788"/>
    <n v="2"/>
    <n v="4788"/>
    <n v="2"/>
    <n v="0"/>
    <n v="29"/>
    <n v="2025"/>
    <x v="0"/>
    <x v="2"/>
    <x v="1"/>
  </r>
  <r>
    <x v="1"/>
    <x v="42"/>
    <x v="1"/>
    <x v="45"/>
    <n v="1"/>
    <n v="0"/>
    <n v="0"/>
    <n v="0"/>
    <n v="0"/>
    <n v="0"/>
    <n v="0"/>
    <n v="0"/>
    <n v="0"/>
    <n v="1"/>
    <n v="2025"/>
    <x v="0"/>
    <x v="2"/>
    <x v="1"/>
  </r>
  <r>
    <x v="1"/>
    <x v="43"/>
    <x v="0"/>
    <x v="0"/>
    <n v="313"/>
    <n v="112"/>
    <n v="5"/>
    <n v="0"/>
    <n v="7330"/>
    <n v="2"/>
    <n v="7330"/>
    <n v="2"/>
    <n v="0"/>
    <n v="311"/>
    <n v="2025"/>
    <x v="0"/>
    <x v="2"/>
    <x v="1"/>
  </r>
  <r>
    <x v="1"/>
    <x v="43"/>
    <x v="0"/>
    <x v="1"/>
    <n v="19644"/>
    <n v="13041"/>
    <n v="284"/>
    <n v="230"/>
    <n v="159705"/>
    <n v="36"/>
    <n v="66150"/>
    <n v="21"/>
    <n v="1204"/>
    <n v="19375"/>
    <n v="2025"/>
    <x v="0"/>
    <x v="2"/>
    <x v="1"/>
  </r>
  <r>
    <x v="1"/>
    <x v="43"/>
    <x v="0"/>
    <x v="3"/>
    <n v="1063"/>
    <n v="797"/>
    <n v="11"/>
    <n v="2"/>
    <n v="0"/>
    <n v="0"/>
    <n v="0"/>
    <n v="0"/>
    <n v="15"/>
    <n v="168"/>
    <n v="2025"/>
    <x v="0"/>
    <x v="2"/>
    <x v="1"/>
  </r>
  <r>
    <x v="1"/>
    <x v="43"/>
    <x v="1"/>
    <x v="46"/>
    <n v="1"/>
    <n v="1"/>
    <n v="0"/>
    <n v="0"/>
    <n v="0"/>
    <n v="0"/>
    <n v="0"/>
    <n v="0"/>
    <n v="0"/>
    <n v="0"/>
    <n v="2025"/>
    <x v="0"/>
    <x v="2"/>
    <x v="1"/>
  </r>
  <r>
    <x v="1"/>
    <x v="43"/>
    <x v="1"/>
    <x v="5"/>
    <n v="1"/>
    <n v="1"/>
    <n v="0"/>
    <n v="0"/>
    <n v="0"/>
    <n v="0"/>
    <n v="0"/>
    <n v="0"/>
    <n v="0"/>
    <n v="1"/>
    <n v="2025"/>
    <x v="0"/>
    <x v="2"/>
    <x v="1"/>
  </r>
  <r>
    <x v="1"/>
    <x v="43"/>
    <x v="1"/>
    <x v="6"/>
    <n v="458"/>
    <n v="365"/>
    <n v="0"/>
    <n v="0"/>
    <n v="0"/>
    <n v="0"/>
    <n v="0"/>
    <n v="0"/>
    <n v="1"/>
    <n v="1"/>
    <n v="2025"/>
    <x v="0"/>
    <x v="2"/>
    <x v="1"/>
  </r>
  <r>
    <x v="1"/>
    <x v="43"/>
    <x v="1"/>
    <x v="7"/>
    <n v="271"/>
    <n v="82"/>
    <n v="22"/>
    <n v="1"/>
    <n v="99433"/>
    <n v="24"/>
    <n v="77998"/>
    <n v="20"/>
    <n v="61"/>
    <n v="259"/>
    <n v="2025"/>
    <x v="0"/>
    <x v="2"/>
    <x v="1"/>
  </r>
  <r>
    <x v="1"/>
    <x v="43"/>
    <x v="1"/>
    <x v="8"/>
    <n v="103"/>
    <n v="87"/>
    <n v="4"/>
    <n v="2"/>
    <n v="0"/>
    <n v="0"/>
    <n v="0"/>
    <n v="0"/>
    <n v="1"/>
    <n v="88"/>
    <n v="2025"/>
    <x v="0"/>
    <x v="2"/>
    <x v="1"/>
  </r>
  <r>
    <x v="1"/>
    <x v="43"/>
    <x v="1"/>
    <x v="9"/>
    <n v="7"/>
    <n v="5"/>
    <n v="0"/>
    <n v="0"/>
    <n v="0"/>
    <n v="0"/>
    <n v="0"/>
    <n v="0"/>
    <n v="0"/>
    <n v="1"/>
    <n v="2025"/>
    <x v="0"/>
    <x v="2"/>
    <x v="1"/>
  </r>
  <r>
    <x v="1"/>
    <x v="43"/>
    <x v="1"/>
    <x v="10"/>
    <n v="7"/>
    <n v="3"/>
    <n v="0"/>
    <n v="0"/>
    <n v="0"/>
    <n v="0"/>
    <n v="0"/>
    <n v="0"/>
    <n v="0"/>
    <n v="0"/>
    <n v="2025"/>
    <x v="0"/>
    <x v="2"/>
    <x v="1"/>
  </r>
  <r>
    <x v="1"/>
    <x v="43"/>
    <x v="1"/>
    <x v="11"/>
    <n v="1"/>
    <n v="1"/>
    <n v="0"/>
    <n v="0"/>
    <n v="0"/>
    <n v="0"/>
    <n v="0"/>
    <n v="0"/>
    <n v="0"/>
    <n v="1"/>
    <n v="2025"/>
    <x v="0"/>
    <x v="2"/>
    <x v="1"/>
  </r>
  <r>
    <x v="1"/>
    <x v="43"/>
    <x v="1"/>
    <x v="66"/>
    <n v="47"/>
    <n v="26"/>
    <n v="0"/>
    <n v="0"/>
    <n v="1490"/>
    <n v="1"/>
    <n v="1490"/>
    <n v="1"/>
    <n v="2"/>
    <n v="15"/>
    <n v="2025"/>
    <x v="0"/>
    <x v="2"/>
    <x v="1"/>
  </r>
  <r>
    <x v="1"/>
    <x v="43"/>
    <x v="1"/>
    <x v="59"/>
    <n v="2867"/>
    <n v="2587"/>
    <n v="9"/>
    <n v="2"/>
    <n v="19796.5"/>
    <n v="7"/>
    <n v="19796.5"/>
    <n v="7"/>
    <n v="61"/>
    <n v="177"/>
    <n v="2025"/>
    <x v="0"/>
    <x v="2"/>
    <x v="1"/>
  </r>
  <r>
    <x v="1"/>
    <x v="43"/>
    <x v="1"/>
    <x v="15"/>
    <n v="24"/>
    <n v="23"/>
    <n v="0"/>
    <n v="0"/>
    <n v="0"/>
    <n v="0"/>
    <n v="0"/>
    <n v="0"/>
    <n v="0"/>
    <n v="24"/>
    <n v="2025"/>
    <x v="0"/>
    <x v="2"/>
    <x v="1"/>
  </r>
  <r>
    <x v="1"/>
    <x v="43"/>
    <x v="1"/>
    <x v="17"/>
    <n v="286"/>
    <n v="148"/>
    <n v="3"/>
    <n v="0"/>
    <n v="0"/>
    <n v="0"/>
    <n v="0"/>
    <n v="0"/>
    <n v="3"/>
    <n v="283"/>
    <n v="2025"/>
    <x v="0"/>
    <x v="2"/>
    <x v="1"/>
  </r>
  <r>
    <x v="1"/>
    <x v="43"/>
    <x v="1"/>
    <x v="18"/>
    <n v="12"/>
    <n v="10"/>
    <n v="1"/>
    <n v="0"/>
    <n v="2395"/>
    <n v="1"/>
    <n v="2395"/>
    <n v="1"/>
    <n v="3"/>
    <n v="11"/>
    <n v="2025"/>
    <x v="0"/>
    <x v="2"/>
    <x v="1"/>
  </r>
  <r>
    <x v="1"/>
    <x v="43"/>
    <x v="1"/>
    <x v="19"/>
    <n v="576"/>
    <n v="359"/>
    <n v="25"/>
    <n v="8"/>
    <n v="33664.339999999997"/>
    <n v="9"/>
    <n v="33664.339999999997"/>
    <n v="9"/>
    <n v="203"/>
    <n v="406"/>
    <n v="2025"/>
    <x v="0"/>
    <x v="2"/>
    <x v="1"/>
  </r>
  <r>
    <x v="1"/>
    <x v="43"/>
    <x v="1"/>
    <x v="20"/>
    <n v="2"/>
    <n v="1"/>
    <n v="0"/>
    <n v="0"/>
    <n v="0"/>
    <n v="0"/>
    <n v="0"/>
    <n v="0"/>
    <n v="0"/>
    <n v="2"/>
    <n v="2025"/>
    <x v="0"/>
    <x v="2"/>
    <x v="1"/>
  </r>
  <r>
    <x v="1"/>
    <x v="43"/>
    <x v="1"/>
    <x v="22"/>
    <n v="47"/>
    <n v="26"/>
    <n v="0"/>
    <n v="0"/>
    <n v="1490"/>
    <n v="1"/>
    <n v="1490"/>
    <n v="1"/>
    <n v="2"/>
    <n v="15"/>
    <n v="2025"/>
    <x v="0"/>
    <x v="2"/>
    <x v="1"/>
  </r>
  <r>
    <x v="1"/>
    <x v="43"/>
    <x v="1"/>
    <x v="24"/>
    <n v="23"/>
    <n v="19"/>
    <n v="2"/>
    <n v="0"/>
    <n v="9780"/>
    <n v="2"/>
    <n v="9780"/>
    <n v="2"/>
    <n v="8"/>
    <n v="22"/>
    <n v="2025"/>
    <x v="0"/>
    <x v="2"/>
    <x v="1"/>
  </r>
  <r>
    <x v="1"/>
    <x v="43"/>
    <x v="1"/>
    <x v="27"/>
    <n v="90"/>
    <n v="33"/>
    <n v="7"/>
    <n v="0"/>
    <n v="26285"/>
    <n v="3"/>
    <n v="26285"/>
    <n v="3"/>
    <n v="35"/>
    <n v="79"/>
    <n v="2025"/>
    <x v="0"/>
    <x v="2"/>
    <x v="1"/>
  </r>
  <r>
    <x v="1"/>
    <x v="43"/>
    <x v="1"/>
    <x v="29"/>
    <n v="801"/>
    <n v="590"/>
    <n v="34"/>
    <n v="11"/>
    <n v="41059.18"/>
    <n v="10"/>
    <n v="38569.18"/>
    <n v="10"/>
    <n v="365"/>
    <n v="578"/>
    <n v="2025"/>
    <x v="0"/>
    <x v="2"/>
    <x v="1"/>
  </r>
  <r>
    <x v="1"/>
    <x v="43"/>
    <x v="1"/>
    <x v="30"/>
    <n v="8529"/>
    <n v="7411"/>
    <n v="47"/>
    <n v="42"/>
    <n v="21426"/>
    <n v="5"/>
    <n v="6926"/>
    <n v="4"/>
    <n v="465"/>
    <n v="8251"/>
    <n v="2025"/>
    <x v="0"/>
    <x v="2"/>
    <x v="1"/>
  </r>
  <r>
    <x v="1"/>
    <x v="43"/>
    <x v="1"/>
    <x v="31"/>
    <n v="70"/>
    <n v="51"/>
    <n v="5"/>
    <n v="0"/>
    <n v="7675"/>
    <n v="2"/>
    <n v="7675"/>
    <n v="2"/>
    <n v="19"/>
    <n v="65"/>
    <n v="2025"/>
    <x v="0"/>
    <x v="2"/>
    <x v="1"/>
  </r>
  <r>
    <x v="1"/>
    <x v="43"/>
    <x v="1"/>
    <x v="32"/>
    <n v="4"/>
    <n v="2"/>
    <n v="0"/>
    <n v="0"/>
    <n v="0"/>
    <n v="0"/>
    <n v="0"/>
    <n v="0"/>
    <n v="1"/>
    <n v="4"/>
    <n v="2025"/>
    <x v="0"/>
    <x v="2"/>
    <x v="1"/>
  </r>
  <r>
    <x v="1"/>
    <x v="43"/>
    <x v="1"/>
    <x v="33"/>
    <n v="1"/>
    <n v="1"/>
    <n v="0"/>
    <n v="0"/>
    <n v="0"/>
    <n v="0"/>
    <n v="0"/>
    <n v="0"/>
    <n v="1"/>
    <n v="0"/>
    <n v="2025"/>
    <x v="0"/>
    <x v="2"/>
    <x v="1"/>
  </r>
  <r>
    <x v="1"/>
    <x v="43"/>
    <x v="1"/>
    <x v="34"/>
    <n v="261"/>
    <n v="160"/>
    <n v="8"/>
    <n v="7"/>
    <n v="3838"/>
    <n v="2"/>
    <n v="3838"/>
    <n v="2"/>
    <n v="75"/>
    <n v="245"/>
    <n v="2025"/>
    <x v="0"/>
    <x v="2"/>
    <x v="1"/>
  </r>
  <r>
    <x v="1"/>
    <x v="43"/>
    <x v="1"/>
    <x v="36"/>
    <n v="1"/>
    <n v="1"/>
    <n v="0"/>
    <n v="0"/>
    <n v="0"/>
    <n v="0"/>
    <n v="0"/>
    <n v="0"/>
    <n v="1"/>
    <n v="0"/>
    <n v="2025"/>
    <x v="0"/>
    <x v="2"/>
    <x v="1"/>
  </r>
  <r>
    <x v="1"/>
    <x v="43"/>
    <x v="1"/>
    <x v="38"/>
    <n v="211"/>
    <n v="49"/>
    <n v="16"/>
    <n v="5"/>
    <n v="22425"/>
    <n v="7"/>
    <n v="15240"/>
    <n v="5"/>
    <n v="48"/>
    <n v="203"/>
    <n v="2025"/>
    <x v="0"/>
    <x v="2"/>
    <x v="1"/>
  </r>
  <r>
    <x v="1"/>
    <x v="43"/>
    <x v="1"/>
    <x v="65"/>
    <n v="1"/>
    <n v="1"/>
    <n v="0"/>
    <n v="0"/>
    <n v="0"/>
    <n v="0"/>
    <n v="0"/>
    <n v="0"/>
    <n v="0"/>
    <n v="1"/>
    <n v="2025"/>
    <x v="0"/>
    <x v="2"/>
    <x v="1"/>
  </r>
  <r>
    <x v="1"/>
    <x v="43"/>
    <x v="1"/>
    <x v="60"/>
    <n v="10"/>
    <n v="10"/>
    <n v="0"/>
    <n v="0"/>
    <n v="0"/>
    <n v="0"/>
    <n v="0"/>
    <n v="0"/>
    <n v="0"/>
    <n v="10"/>
    <n v="2025"/>
    <x v="0"/>
    <x v="2"/>
    <x v="1"/>
  </r>
  <r>
    <x v="1"/>
    <x v="43"/>
    <x v="1"/>
    <x v="51"/>
    <n v="1"/>
    <n v="1"/>
    <n v="0"/>
    <n v="0"/>
    <n v="0"/>
    <n v="0"/>
    <n v="0"/>
    <n v="0"/>
    <n v="1"/>
    <n v="1"/>
    <n v="2025"/>
    <x v="0"/>
    <x v="2"/>
    <x v="1"/>
  </r>
  <r>
    <x v="1"/>
    <x v="43"/>
    <x v="1"/>
    <x v="39"/>
    <n v="1"/>
    <n v="1"/>
    <n v="0"/>
    <n v="0"/>
    <n v="0"/>
    <n v="0"/>
    <n v="0"/>
    <n v="0"/>
    <n v="1"/>
    <n v="1"/>
    <n v="2025"/>
    <x v="0"/>
    <x v="2"/>
    <x v="1"/>
  </r>
  <r>
    <x v="1"/>
    <x v="43"/>
    <x v="1"/>
    <x v="64"/>
    <n v="433"/>
    <n v="229"/>
    <n v="5"/>
    <n v="4"/>
    <n v="1690"/>
    <n v="1"/>
    <n v="1690"/>
    <n v="1"/>
    <n v="58"/>
    <n v="423"/>
    <n v="2025"/>
    <x v="0"/>
    <x v="2"/>
    <x v="1"/>
  </r>
  <r>
    <x v="1"/>
    <x v="43"/>
    <x v="1"/>
    <x v="42"/>
    <n v="143"/>
    <n v="92"/>
    <n v="4"/>
    <n v="3"/>
    <n v="8907"/>
    <n v="2"/>
    <n v="8907"/>
    <n v="2"/>
    <n v="12"/>
    <n v="141"/>
    <n v="2025"/>
    <x v="0"/>
    <x v="2"/>
    <x v="1"/>
  </r>
  <r>
    <x v="1"/>
    <x v="43"/>
    <x v="1"/>
    <x v="43"/>
    <n v="110"/>
    <n v="46"/>
    <n v="4"/>
    <n v="0"/>
    <n v="0"/>
    <n v="0"/>
    <n v="0"/>
    <n v="0"/>
    <n v="80"/>
    <n v="63"/>
    <n v="2025"/>
    <x v="0"/>
    <x v="2"/>
    <x v="1"/>
  </r>
  <r>
    <x v="1"/>
    <x v="43"/>
    <x v="1"/>
    <x v="44"/>
    <n v="38"/>
    <n v="12"/>
    <n v="1"/>
    <n v="0"/>
    <n v="3951.5"/>
    <n v="2"/>
    <n v="3951.5"/>
    <n v="2"/>
    <n v="1"/>
    <n v="38"/>
    <n v="2025"/>
    <x v="0"/>
    <x v="2"/>
    <x v="1"/>
  </r>
  <r>
    <x v="1"/>
    <x v="43"/>
    <x v="1"/>
    <x v="45"/>
    <n v="1"/>
    <n v="0"/>
    <n v="0"/>
    <n v="0"/>
    <n v="0"/>
    <n v="0"/>
    <n v="0"/>
    <n v="0"/>
    <n v="0"/>
    <n v="1"/>
    <n v="2025"/>
    <x v="0"/>
    <x v="2"/>
    <x v="1"/>
  </r>
  <r>
    <x v="1"/>
    <x v="44"/>
    <x v="0"/>
    <x v="0"/>
    <n v="335"/>
    <n v="111"/>
    <n v="8"/>
    <n v="2"/>
    <n v="19130"/>
    <n v="7"/>
    <n v="19130"/>
    <n v="7"/>
    <n v="4"/>
    <n v="332"/>
    <n v="2025"/>
    <x v="0"/>
    <x v="2"/>
    <x v="1"/>
  </r>
  <r>
    <x v="1"/>
    <x v="44"/>
    <x v="0"/>
    <x v="1"/>
    <n v="21731"/>
    <n v="14914"/>
    <n v="299"/>
    <n v="272"/>
    <n v="123199"/>
    <n v="34"/>
    <n v="66377"/>
    <n v="25"/>
    <n v="1217"/>
    <n v="21494"/>
    <n v="2025"/>
    <x v="0"/>
    <x v="2"/>
    <x v="1"/>
  </r>
  <r>
    <x v="1"/>
    <x v="44"/>
    <x v="0"/>
    <x v="3"/>
    <n v="1069"/>
    <n v="877"/>
    <n v="9"/>
    <n v="2"/>
    <n v="0"/>
    <n v="0"/>
    <n v="0"/>
    <n v="0"/>
    <n v="21"/>
    <n v="168"/>
    <n v="2025"/>
    <x v="0"/>
    <x v="2"/>
    <x v="1"/>
  </r>
  <r>
    <x v="1"/>
    <x v="44"/>
    <x v="1"/>
    <x v="46"/>
    <n v="1"/>
    <n v="0"/>
    <n v="0"/>
    <n v="0"/>
    <n v="0"/>
    <n v="0"/>
    <n v="0"/>
    <n v="0"/>
    <n v="0"/>
    <n v="0"/>
    <n v="2025"/>
    <x v="0"/>
    <x v="2"/>
    <x v="1"/>
  </r>
  <r>
    <x v="1"/>
    <x v="44"/>
    <x v="1"/>
    <x v="5"/>
    <n v="6"/>
    <n v="3"/>
    <n v="0"/>
    <n v="0"/>
    <n v="0"/>
    <n v="0"/>
    <n v="0"/>
    <n v="0"/>
    <n v="0"/>
    <n v="6"/>
    <n v="2025"/>
    <x v="0"/>
    <x v="2"/>
    <x v="1"/>
  </r>
  <r>
    <x v="1"/>
    <x v="44"/>
    <x v="1"/>
    <x v="6"/>
    <n v="671"/>
    <n v="600"/>
    <n v="0"/>
    <n v="0"/>
    <n v="0"/>
    <n v="0"/>
    <n v="0"/>
    <n v="0"/>
    <n v="0"/>
    <n v="0"/>
    <n v="2025"/>
    <x v="0"/>
    <x v="2"/>
    <x v="1"/>
  </r>
  <r>
    <x v="1"/>
    <x v="44"/>
    <x v="1"/>
    <x v="7"/>
    <n v="349"/>
    <n v="70"/>
    <n v="35"/>
    <n v="5"/>
    <n v="90106"/>
    <n v="26"/>
    <n v="80041"/>
    <n v="24"/>
    <n v="95"/>
    <n v="335"/>
    <n v="2025"/>
    <x v="0"/>
    <x v="2"/>
    <x v="1"/>
  </r>
  <r>
    <x v="1"/>
    <x v="44"/>
    <x v="1"/>
    <x v="8"/>
    <n v="75"/>
    <n v="57"/>
    <n v="0"/>
    <n v="3"/>
    <n v="0"/>
    <n v="0"/>
    <n v="0"/>
    <n v="0"/>
    <n v="0"/>
    <n v="34"/>
    <n v="2025"/>
    <x v="0"/>
    <x v="2"/>
    <x v="1"/>
  </r>
  <r>
    <x v="1"/>
    <x v="44"/>
    <x v="1"/>
    <x v="9"/>
    <n v="43"/>
    <n v="40"/>
    <n v="0"/>
    <n v="0"/>
    <n v="0"/>
    <n v="0"/>
    <n v="0"/>
    <n v="0"/>
    <n v="0"/>
    <n v="1"/>
    <n v="2025"/>
    <x v="0"/>
    <x v="2"/>
    <x v="1"/>
  </r>
  <r>
    <x v="1"/>
    <x v="44"/>
    <x v="1"/>
    <x v="10"/>
    <n v="10"/>
    <n v="10"/>
    <n v="0"/>
    <n v="0"/>
    <n v="0"/>
    <n v="0"/>
    <n v="0"/>
    <n v="0"/>
    <n v="0"/>
    <n v="4"/>
    <n v="2025"/>
    <x v="0"/>
    <x v="2"/>
    <x v="1"/>
  </r>
  <r>
    <x v="1"/>
    <x v="44"/>
    <x v="1"/>
    <x v="11"/>
    <n v="1"/>
    <n v="1"/>
    <n v="0"/>
    <n v="0"/>
    <n v="0"/>
    <n v="0"/>
    <n v="0"/>
    <n v="0"/>
    <n v="0"/>
    <n v="1"/>
    <n v="2025"/>
    <x v="0"/>
    <x v="2"/>
    <x v="1"/>
  </r>
  <r>
    <x v="1"/>
    <x v="44"/>
    <x v="1"/>
    <x v="66"/>
    <n v="153"/>
    <n v="126"/>
    <n v="2"/>
    <n v="0"/>
    <n v="3980"/>
    <n v="2"/>
    <n v="3980"/>
    <n v="2"/>
    <n v="0"/>
    <n v="15"/>
    <n v="2025"/>
    <x v="0"/>
    <x v="2"/>
    <x v="1"/>
  </r>
  <r>
    <x v="1"/>
    <x v="44"/>
    <x v="1"/>
    <x v="59"/>
    <n v="1580"/>
    <n v="1316"/>
    <n v="9"/>
    <n v="4"/>
    <n v="28450"/>
    <n v="10"/>
    <n v="26773"/>
    <n v="10"/>
    <n v="67"/>
    <n v="183"/>
    <n v="2025"/>
    <x v="0"/>
    <x v="2"/>
    <x v="1"/>
  </r>
  <r>
    <x v="1"/>
    <x v="44"/>
    <x v="1"/>
    <x v="15"/>
    <n v="58"/>
    <n v="54"/>
    <n v="0"/>
    <n v="0"/>
    <n v="0"/>
    <n v="0"/>
    <n v="0"/>
    <n v="0"/>
    <n v="0"/>
    <n v="58"/>
    <n v="2025"/>
    <x v="0"/>
    <x v="2"/>
    <x v="1"/>
  </r>
  <r>
    <x v="1"/>
    <x v="44"/>
    <x v="1"/>
    <x v="17"/>
    <n v="354"/>
    <n v="205"/>
    <n v="6"/>
    <n v="1"/>
    <n v="0"/>
    <n v="0"/>
    <n v="0"/>
    <n v="0"/>
    <n v="0"/>
    <n v="354"/>
    <n v="2025"/>
    <x v="0"/>
    <x v="2"/>
    <x v="1"/>
  </r>
  <r>
    <x v="1"/>
    <x v="44"/>
    <x v="1"/>
    <x v="18"/>
    <n v="6"/>
    <n v="6"/>
    <n v="0"/>
    <n v="0"/>
    <n v="0"/>
    <n v="0"/>
    <n v="0"/>
    <n v="0"/>
    <n v="0"/>
    <n v="6"/>
    <n v="2025"/>
    <x v="0"/>
    <x v="2"/>
    <x v="1"/>
  </r>
  <r>
    <x v="1"/>
    <x v="44"/>
    <x v="1"/>
    <x v="19"/>
    <n v="723"/>
    <n v="465"/>
    <n v="37"/>
    <n v="9"/>
    <n v="20200.14"/>
    <n v="6"/>
    <n v="20200.14"/>
    <n v="6"/>
    <n v="227"/>
    <n v="497"/>
    <n v="2025"/>
    <x v="0"/>
    <x v="2"/>
    <x v="1"/>
  </r>
  <r>
    <x v="1"/>
    <x v="44"/>
    <x v="1"/>
    <x v="20"/>
    <n v="5"/>
    <n v="3"/>
    <n v="0"/>
    <n v="0"/>
    <n v="0"/>
    <n v="0"/>
    <n v="0"/>
    <n v="0"/>
    <n v="1"/>
    <n v="5"/>
    <n v="2025"/>
    <x v="0"/>
    <x v="2"/>
    <x v="1"/>
  </r>
  <r>
    <x v="1"/>
    <x v="44"/>
    <x v="1"/>
    <x v="22"/>
    <n v="153"/>
    <n v="126"/>
    <n v="2"/>
    <n v="0"/>
    <n v="3980"/>
    <n v="2"/>
    <n v="3980"/>
    <n v="2"/>
    <n v="0"/>
    <n v="15"/>
    <n v="2025"/>
    <x v="0"/>
    <x v="2"/>
    <x v="1"/>
  </r>
  <r>
    <x v="1"/>
    <x v="44"/>
    <x v="1"/>
    <x v="24"/>
    <n v="35"/>
    <n v="24"/>
    <n v="4"/>
    <n v="1"/>
    <n v="11301"/>
    <n v="3"/>
    <n v="11301"/>
    <n v="3"/>
    <n v="4"/>
    <n v="35"/>
    <n v="2025"/>
    <x v="0"/>
    <x v="2"/>
    <x v="1"/>
  </r>
  <r>
    <x v="1"/>
    <x v="44"/>
    <x v="1"/>
    <x v="27"/>
    <n v="109"/>
    <n v="35"/>
    <n v="10"/>
    <n v="1"/>
    <n v="10330"/>
    <n v="6"/>
    <n v="10330"/>
    <n v="6"/>
    <n v="37"/>
    <n v="101"/>
    <n v="2025"/>
    <x v="0"/>
    <x v="2"/>
    <x v="1"/>
  </r>
  <r>
    <x v="1"/>
    <x v="44"/>
    <x v="1"/>
    <x v="29"/>
    <n v="754"/>
    <n v="553"/>
    <n v="26"/>
    <n v="8"/>
    <n v="38346"/>
    <n v="10"/>
    <n v="33651"/>
    <n v="9"/>
    <n v="345"/>
    <n v="543"/>
    <n v="2025"/>
    <x v="0"/>
    <x v="2"/>
    <x v="1"/>
  </r>
  <r>
    <x v="1"/>
    <x v="44"/>
    <x v="1"/>
    <x v="30"/>
    <n v="13371"/>
    <n v="12011"/>
    <n v="72"/>
    <n v="60"/>
    <n v="48279"/>
    <n v="9"/>
    <n v="15259"/>
    <n v="7"/>
    <n v="733"/>
    <n v="12939"/>
    <n v="2025"/>
    <x v="0"/>
    <x v="2"/>
    <x v="1"/>
  </r>
  <r>
    <x v="1"/>
    <x v="44"/>
    <x v="1"/>
    <x v="31"/>
    <n v="80"/>
    <n v="56"/>
    <n v="4"/>
    <n v="0"/>
    <n v="0"/>
    <n v="0"/>
    <n v="0"/>
    <n v="0"/>
    <n v="11"/>
    <n v="78"/>
    <n v="2025"/>
    <x v="0"/>
    <x v="2"/>
    <x v="1"/>
  </r>
  <r>
    <x v="1"/>
    <x v="44"/>
    <x v="1"/>
    <x v="32"/>
    <n v="1"/>
    <n v="0"/>
    <n v="0"/>
    <n v="0"/>
    <n v="0"/>
    <n v="0"/>
    <n v="0"/>
    <n v="0"/>
    <n v="0"/>
    <n v="1"/>
    <n v="2025"/>
    <x v="0"/>
    <x v="2"/>
    <x v="1"/>
  </r>
  <r>
    <x v="1"/>
    <x v="44"/>
    <x v="1"/>
    <x v="34"/>
    <n v="361"/>
    <n v="234"/>
    <n v="13"/>
    <n v="8"/>
    <n v="11910"/>
    <n v="5"/>
    <n v="11910"/>
    <n v="5"/>
    <n v="92"/>
    <n v="341"/>
    <n v="2025"/>
    <x v="0"/>
    <x v="2"/>
    <x v="1"/>
  </r>
  <r>
    <x v="1"/>
    <x v="44"/>
    <x v="1"/>
    <x v="38"/>
    <n v="263"/>
    <n v="64"/>
    <n v="19"/>
    <n v="8"/>
    <n v="61945.14"/>
    <n v="13"/>
    <n v="21588.14"/>
    <n v="10"/>
    <n v="49"/>
    <n v="251"/>
    <n v="2025"/>
    <x v="0"/>
    <x v="2"/>
    <x v="1"/>
  </r>
  <r>
    <x v="1"/>
    <x v="44"/>
    <x v="1"/>
    <x v="65"/>
    <n v="3"/>
    <n v="3"/>
    <n v="0"/>
    <n v="0"/>
    <n v="0"/>
    <n v="0"/>
    <n v="0"/>
    <n v="0"/>
    <n v="0"/>
    <n v="3"/>
    <n v="2025"/>
    <x v="0"/>
    <x v="2"/>
    <x v="1"/>
  </r>
  <r>
    <x v="1"/>
    <x v="44"/>
    <x v="1"/>
    <x v="60"/>
    <n v="5"/>
    <n v="4"/>
    <n v="1"/>
    <n v="0"/>
    <n v="0"/>
    <n v="0"/>
    <n v="0"/>
    <n v="0"/>
    <n v="0"/>
    <n v="5"/>
    <n v="2025"/>
    <x v="0"/>
    <x v="2"/>
    <x v="1"/>
  </r>
  <r>
    <x v="1"/>
    <x v="44"/>
    <x v="1"/>
    <x v="39"/>
    <n v="1"/>
    <n v="1"/>
    <n v="0"/>
    <n v="0"/>
    <n v="0"/>
    <n v="0"/>
    <n v="0"/>
    <n v="0"/>
    <n v="1"/>
    <n v="1"/>
    <n v="2025"/>
    <x v="0"/>
    <x v="2"/>
    <x v="1"/>
  </r>
  <r>
    <x v="1"/>
    <x v="44"/>
    <x v="1"/>
    <x v="55"/>
    <n v="1"/>
    <n v="0"/>
    <n v="0"/>
    <n v="0"/>
    <n v="0"/>
    <n v="0"/>
    <n v="0"/>
    <n v="0"/>
    <n v="0"/>
    <n v="0"/>
    <n v="2025"/>
    <x v="0"/>
    <x v="2"/>
    <x v="1"/>
  </r>
  <r>
    <x v="1"/>
    <x v="44"/>
    <x v="1"/>
    <x v="64"/>
    <n v="626"/>
    <n v="423"/>
    <n v="16"/>
    <n v="2"/>
    <n v="12555"/>
    <n v="4"/>
    <n v="12555"/>
    <n v="4"/>
    <n v="71"/>
    <n v="619"/>
    <n v="2025"/>
    <x v="0"/>
    <x v="2"/>
    <x v="1"/>
  </r>
  <r>
    <x v="1"/>
    <x v="44"/>
    <x v="1"/>
    <x v="42"/>
    <n v="161"/>
    <n v="85"/>
    <n v="2"/>
    <n v="3"/>
    <n v="0"/>
    <n v="0"/>
    <n v="0"/>
    <n v="0"/>
    <n v="15"/>
    <n v="157"/>
    <n v="2025"/>
    <x v="0"/>
    <x v="2"/>
    <x v="1"/>
  </r>
  <r>
    <x v="1"/>
    <x v="44"/>
    <x v="1"/>
    <x v="43"/>
    <n v="121"/>
    <n v="63"/>
    <n v="3"/>
    <n v="1"/>
    <n v="0"/>
    <n v="0"/>
    <n v="0"/>
    <n v="0"/>
    <n v="94"/>
    <n v="68"/>
    <n v="2025"/>
    <x v="0"/>
    <x v="2"/>
    <x v="1"/>
  </r>
  <r>
    <x v="1"/>
    <x v="44"/>
    <x v="1"/>
    <x v="44"/>
    <n v="17"/>
    <n v="5"/>
    <n v="0"/>
    <n v="0"/>
    <n v="2395"/>
    <n v="1"/>
    <n v="2395"/>
    <n v="1"/>
    <n v="0"/>
    <n v="17"/>
    <n v="2025"/>
    <x v="0"/>
    <x v="2"/>
    <x v="1"/>
  </r>
  <r>
    <x v="1"/>
    <x v="44"/>
    <x v="1"/>
    <x v="45"/>
    <n v="5"/>
    <n v="1"/>
    <n v="0"/>
    <n v="0"/>
    <n v="0"/>
    <n v="0"/>
    <n v="0"/>
    <n v="0"/>
    <n v="0"/>
    <n v="5"/>
    <n v="2025"/>
    <x v="0"/>
    <x v="2"/>
    <x v="1"/>
  </r>
  <r>
    <x v="1"/>
    <x v="45"/>
    <x v="0"/>
    <x v="0"/>
    <n v="306"/>
    <n v="108"/>
    <n v="4"/>
    <n v="2"/>
    <n v="9920"/>
    <n v="2"/>
    <n v="9920"/>
    <n v="2"/>
    <n v="2"/>
    <n v="302"/>
    <n v="2025"/>
    <x v="0"/>
    <x v="2"/>
    <x v="1"/>
  </r>
  <r>
    <x v="1"/>
    <x v="45"/>
    <x v="0"/>
    <x v="1"/>
    <n v="22528"/>
    <n v="16114"/>
    <n v="274"/>
    <n v="275"/>
    <n v="165482"/>
    <n v="39"/>
    <n v="84048"/>
    <n v="23"/>
    <n v="1278"/>
    <n v="22288"/>
    <n v="2025"/>
    <x v="0"/>
    <x v="2"/>
    <x v="1"/>
  </r>
  <r>
    <x v="1"/>
    <x v="45"/>
    <x v="0"/>
    <x v="3"/>
    <n v="1530"/>
    <n v="1383"/>
    <n v="6"/>
    <n v="1"/>
    <n v="0"/>
    <n v="0"/>
    <n v="0"/>
    <n v="0"/>
    <n v="23"/>
    <n v="181"/>
    <n v="2025"/>
    <x v="0"/>
    <x v="2"/>
    <x v="1"/>
  </r>
  <r>
    <x v="1"/>
    <x v="45"/>
    <x v="1"/>
    <x v="5"/>
    <n v="2"/>
    <n v="2"/>
    <n v="0"/>
    <n v="0"/>
    <n v="0"/>
    <n v="0"/>
    <n v="0"/>
    <n v="0"/>
    <n v="0"/>
    <n v="2"/>
    <n v="2025"/>
    <x v="0"/>
    <x v="2"/>
    <x v="1"/>
  </r>
  <r>
    <x v="1"/>
    <x v="45"/>
    <x v="1"/>
    <x v="6"/>
    <n v="1174"/>
    <n v="1135"/>
    <n v="0"/>
    <n v="0"/>
    <n v="0"/>
    <n v="0"/>
    <n v="0"/>
    <n v="0"/>
    <n v="0"/>
    <n v="1"/>
    <n v="2025"/>
    <x v="0"/>
    <x v="2"/>
    <x v="1"/>
  </r>
  <r>
    <x v="1"/>
    <x v="45"/>
    <x v="1"/>
    <x v="7"/>
    <n v="319"/>
    <n v="57"/>
    <n v="43"/>
    <n v="3"/>
    <n v="130858.57"/>
    <n v="33"/>
    <n v="92090.57"/>
    <n v="28"/>
    <n v="85"/>
    <n v="311"/>
    <n v="2025"/>
    <x v="0"/>
    <x v="2"/>
    <x v="1"/>
  </r>
  <r>
    <x v="1"/>
    <x v="45"/>
    <x v="1"/>
    <x v="8"/>
    <n v="47"/>
    <n v="34"/>
    <n v="2"/>
    <n v="4"/>
    <n v="0"/>
    <n v="0"/>
    <n v="0"/>
    <n v="0"/>
    <n v="0"/>
    <n v="25"/>
    <n v="2025"/>
    <x v="0"/>
    <x v="2"/>
    <x v="1"/>
  </r>
  <r>
    <x v="1"/>
    <x v="45"/>
    <x v="1"/>
    <x v="9"/>
    <n v="67"/>
    <n v="62"/>
    <n v="0"/>
    <n v="0"/>
    <n v="0"/>
    <n v="0"/>
    <n v="0"/>
    <n v="0"/>
    <n v="1"/>
    <n v="2"/>
    <n v="2025"/>
    <x v="0"/>
    <x v="2"/>
    <x v="1"/>
  </r>
  <r>
    <x v="1"/>
    <x v="45"/>
    <x v="1"/>
    <x v="10"/>
    <n v="23"/>
    <n v="14"/>
    <n v="0"/>
    <n v="0"/>
    <n v="0"/>
    <n v="0"/>
    <n v="0"/>
    <n v="0"/>
    <n v="4"/>
    <n v="8"/>
    <n v="2025"/>
    <x v="0"/>
    <x v="2"/>
    <x v="1"/>
  </r>
  <r>
    <x v="1"/>
    <x v="45"/>
    <x v="1"/>
    <x v="66"/>
    <n v="175"/>
    <n v="150"/>
    <n v="1"/>
    <n v="0"/>
    <n v="0"/>
    <n v="0"/>
    <n v="0"/>
    <n v="0"/>
    <n v="0"/>
    <n v="12"/>
    <n v="2025"/>
    <x v="0"/>
    <x v="2"/>
    <x v="1"/>
  </r>
  <r>
    <x v="1"/>
    <x v="45"/>
    <x v="1"/>
    <x v="59"/>
    <n v="1831"/>
    <n v="1547"/>
    <n v="11"/>
    <n v="3"/>
    <n v="24977"/>
    <n v="8"/>
    <n v="24977"/>
    <n v="8"/>
    <n v="77"/>
    <n v="226"/>
    <n v="2025"/>
    <x v="0"/>
    <x v="2"/>
    <x v="1"/>
  </r>
  <r>
    <x v="1"/>
    <x v="45"/>
    <x v="1"/>
    <x v="15"/>
    <n v="42"/>
    <n v="39"/>
    <n v="0"/>
    <n v="0"/>
    <n v="0"/>
    <n v="0"/>
    <n v="0"/>
    <n v="0"/>
    <n v="0"/>
    <n v="42"/>
    <n v="2025"/>
    <x v="0"/>
    <x v="2"/>
    <x v="1"/>
  </r>
  <r>
    <x v="1"/>
    <x v="45"/>
    <x v="1"/>
    <x v="17"/>
    <n v="301"/>
    <n v="177"/>
    <n v="1"/>
    <n v="0"/>
    <n v="0"/>
    <n v="0"/>
    <n v="0"/>
    <n v="0"/>
    <n v="0"/>
    <n v="301"/>
    <n v="2025"/>
    <x v="0"/>
    <x v="2"/>
    <x v="1"/>
  </r>
  <r>
    <x v="1"/>
    <x v="45"/>
    <x v="1"/>
    <x v="18"/>
    <n v="11"/>
    <n v="8"/>
    <n v="1"/>
    <n v="0"/>
    <n v="0"/>
    <n v="0"/>
    <n v="0"/>
    <n v="0"/>
    <n v="0"/>
    <n v="10"/>
    <n v="2025"/>
    <x v="0"/>
    <x v="2"/>
    <x v="1"/>
  </r>
  <r>
    <x v="1"/>
    <x v="45"/>
    <x v="1"/>
    <x v="19"/>
    <n v="789"/>
    <n v="535"/>
    <n v="34"/>
    <n v="4"/>
    <n v="51936.43"/>
    <n v="17"/>
    <n v="44958.43"/>
    <n v="14"/>
    <n v="241"/>
    <n v="500"/>
    <n v="2025"/>
    <x v="0"/>
    <x v="2"/>
    <x v="1"/>
  </r>
  <r>
    <x v="1"/>
    <x v="45"/>
    <x v="1"/>
    <x v="20"/>
    <n v="8"/>
    <n v="3"/>
    <n v="0"/>
    <n v="0"/>
    <n v="0"/>
    <n v="0"/>
    <n v="0"/>
    <n v="0"/>
    <n v="0"/>
    <n v="8"/>
    <n v="2025"/>
    <x v="0"/>
    <x v="2"/>
    <x v="1"/>
  </r>
  <r>
    <x v="1"/>
    <x v="45"/>
    <x v="1"/>
    <x v="22"/>
    <n v="175"/>
    <n v="150"/>
    <n v="1"/>
    <n v="0"/>
    <n v="0"/>
    <n v="0"/>
    <n v="0"/>
    <n v="0"/>
    <n v="0"/>
    <n v="12"/>
    <n v="2025"/>
    <x v="0"/>
    <x v="2"/>
    <x v="1"/>
  </r>
  <r>
    <x v="1"/>
    <x v="45"/>
    <x v="1"/>
    <x v="24"/>
    <n v="24"/>
    <n v="18"/>
    <n v="2"/>
    <n v="0"/>
    <n v="5795"/>
    <n v="1"/>
    <n v="5795"/>
    <n v="1"/>
    <n v="3"/>
    <n v="24"/>
    <n v="2025"/>
    <x v="0"/>
    <x v="2"/>
    <x v="1"/>
  </r>
  <r>
    <x v="1"/>
    <x v="45"/>
    <x v="1"/>
    <x v="27"/>
    <n v="113"/>
    <n v="41"/>
    <n v="8"/>
    <n v="1"/>
    <n v="13565"/>
    <n v="5"/>
    <n v="10815"/>
    <n v="5"/>
    <n v="40"/>
    <n v="102"/>
    <n v="2025"/>
    <x v="0"/>
    <x v="2"/>
    <x v="1"/>
  </r>
  <r>
    <x v="1"/>
    <x v="45"/>
    <x v="1"/>
    <x v="29"/>
    <n v="759"/>
    <n v="565"/>
    <n v="27"/>
    <n v="9"/>
    <n v="33620"/>
    <n v="7"/>
    <n v="12755"/>
    <n v="5"/>
    <n v="335"/>
    <n v="548"/>
    <n v="2025"/>
    <x v="0"/>
    <x v="2"/>
    <x v="1"/>
  </r>
  <r>
    <x v="1"/>
    <x v="45"/>
    <x v="1"/>
    <x v="30"/>
    <n v="14056"/>
    <n v="12727"/>
    <n v="91"/>
    <n v="58"/>
    <n v="41607.129999999997"/>
    <n v="13"/>
    <n v="22627.13"/>
    <n v="10"/>
    <n v="786"/>
    <n v="13617"/>
    <n v="2025"/>
    <x v="0"/>
    <x v="2"/>
    <x v="1"/>
  </r>
  <r>
    <x v="1"/>
    <x v="45"/>
    <x v="1"/>
    <x v="31"/>
    <n v="67"/>
    <n v="50"/>
    <n v="2"/>
    <n v="4"/>
    <n v="0"/>
    <n v="0"/>
    <n v="0"/>
    <n v="0"/>
    <n v="10"/>
    <n v="63"/>
    <n v="2025"/>
    <x v="0"/>
    <x v="2"/>
    <x v="1"/>
  </r>
  <r>
    <x v="1"/>
    <x v="45"/>
    <x v="1"/>
    <x v="32"/>
    <n v="2"/>
    <n v="1"/>
    <n v="0"/>
    <n v="0"/>
    <n v="0"/>
    <n v="0"/>
    <n v="0"/>
    <n v="0"/>
    <n v="0"/>
    <n v="2"/>
    <n v="2025"/>
    <x v="0"/>
    <x v="2"/>
    <x v="1"/>
  </r>
  <r>
    <x v="1"/>
    <x v="45"/>
    <x v="1"/>
    <x v="34"/>
    <n v="376"/>
    <n v="258"/>
    <n v="11"/>
    <n v="3"/>
    <n v="13739"/>
    <n v="4"/>
    <n v="9905"/>
    <n v="3"/>
    <n v="104"/>
    <n v="355"/>
    <n v="2025"/>
    <x v="0"/>
    <x v="2"/>
    <x v="1"/>
  </r>
  <r>
    <x v="1"/>
    <x v="45"/>
    <x v="1"/>
    <x v="38"/>
    <n v="238"/>
    <n v="51"/>
    <n v="20"/>
    <n v="4"/>
    <n v="35913.129999999997"/>
    <n v="11"/>
    <n v="33163.129999999997"/>
    <n v="10"/>
    <n v="50"/>
    <n v="229"/>
    <n v="2025"/>
    <x v="0"/>
    <x v="2"/>
    <x v="1"/>
  </r>
  <r>
    <x v="1"/>
    <x v="45"/>
    <x v="1"/>
    <x v="65"/>
    <n v="3"/>
    <n v="3"/>
    <n v="0"/>
    <n v="0"/>
    <n v="0"/>
    <n v="0"/>
    <n v="0"/>
    <n v="0"/>
    <n v="0"/>
    <n v="3"/>
    <n v="2025"/>
    <x v="0"/>
    <x v="2"/>
    <x v="1"/>
  </r>
  <r>
    <x v="1"/>
    <x v="45"/>
    <x v="1"/>
    <x v="60"/>
    <n v="5"/>
    <n v="4"/>
    <n v="0"/>
    <n v="0"/>
    <n v="0"/>
    <n v="0"/>
    <n v="0"/>
    <n v="0"/>
    <n v="0"/>
    <n v="5"/>
    <n v="2025"/>
    <x v="0"/>
    <x v="2"/>
    <x v="1"/>
  </r>
  <r>
    <x v="1"/>
    <x v="45"/>
    <x v="1"/>
    <x v="64"/>
    <n v="621"/>
    <n v="398"/>
    <n v="15"/>
    <n v="2"/>
    <n v="23255"/>
    <n v="4"/>
    <n v="12435"/>
    <n v="3"/>
    <n v="75"/>
    <n v="612"/>
    <n v="2025"/>
    <x v="0"/>
    <x v="2"/>
    <x v="1"/>
  </r>
  <r>
    <x v="1"/>
    <x v="45"/>
    <x v="1"/>
    <x v="42"/>
    <n v="165"/>
    <n v="92"/>
    <n v="6"/>
    <n v="1"/>
    <n v="21540"/>
    <n v="1"/>
    <n v="10770"/>
    <n v="1"/>
    <n v="8"/>
    <n v="160"/>
    <n v="2025"/>
    <x v="0"/>
    <x v="2"/>
    <x v="1"/>
  </r>
  <r>
    <x v="1"/>
    <x v="45"/>
    <x v="1"/>
    <x v="43"/>
    <n v="120"/>
    <n v="56"/>
    <n v="6"/>
    <n v="2"/>
    <n v="3288"/>
    <n v="2"/>
    <n v="1598"/>
    <n v="1"/>
    <n v="87"/>
    <n v="70"/>
    <n v="2025"/>
    <x v="0"/>
    <x v="2"/>
    <x v="1"/>
  </r>
  <r>
    <x v="1"/>
    <x v="45"/>
    <x v="1"/>
    <x v="44"/>
    <n v="24"/>
    <n v="8"/>
    <n v="2"/>
    <n v="0"/>
    <n v="9285"/>
    <n v="4"/>
    <n v="6660"/>
    <n v="3"/>
    <n v="0"/>
    <n v="24"/>
    <n v="2025"/>
    <x v="0"/>
    <x v="2"/>
    <x v="1"/>
  </r>
  <r>
    <x v="1"/>
    <x v="45"/>
    <x v="1"/>
    <x v="45"/>
    <n v="4"/>
    <n v="1"/>
    <n v="0"/>
    <n v="1"/>
    <n v="0"/>
    <n v="0"/>
    <n v="0"/>
    <n v="0"/>
    <n v="0"/>
    <n v="4"/>
    <n v="2025"/>
    <x v="0"/>
    <x v="2"/>
    <x v="1"/>
  </r>
  <r>
    <x v="1"/>
    <x v="46"/>
    <x v="0"/>
    <x v="0"/>
    <n v="357"/>
    <n v="113"/>
    <n v="3"/>
    <n v="2"/>
    <n v="18318"/>
    <n v="4"/>
    <n v="16328"/>
    <n v="3"/>
    <n v="4"/>
    <n v="355"/>
    <n v="2025"/>
    <x v="1"/>
    <x v="2"/>
    <x v="1"/>
  </r>
  <r>
    <x v="1"/>
    <x v="46"/>
    <x v="0"/>
    <x v="1"/>
    <n v="20612"/>
    <n v="14751"/>
    <n v="254"/>
    <n v="258"/>
    <n v="239066"/>
    <n v="39"/>
    <n v="60599"/>
    <n v="18"/>
    <n v="1170"/>
    <n v="20374"/>
    <n v="2025"/>
    <x v="1"/>
    <x v="2"/>
    <x v="1"/>
  </r>
  <r>
    <x v="1"/>
    <x v="46"/>
    <x v="0"/>
    <x v="2"/>
    <n v="1"/>
    <n v="1"/>
    <n v="0"/>
    <n v="0"/>
    <n v="0"/>
    <n v="0"/>
    <n v="0"/>
    <n v="0"/>
    <n v="0"/>
    <n v="1"/>
    <n v="2025"/>
    <x v="1"/>
    <x v="2"/>
    <x v="1"/>
  </r>
  <r>
    <x v="1"/>
    <x v="46"/>
    <x v="0"/>
    <x v="3"/>
    <n v="6"/>
    <n v="2"/>
    <n v="0"/>
    <n v="0"/>
    <n v="0"/>
    <n v="0"/>
    <n v="0"/>
    <n v="0"/>
    <n v="0"/>
    <n v="3"/>
    <n v="2025"/>
    <x v="1"/>
    <x v="2"/>
    <x v="1"/>
  </r>
  <r>
    <x v="1"/>
    <x v="46"/>
    <x v="1"/>
    <x v="5"/>
    <n v="5"/>
    <n v="3"/>
    <n v="0"/>
    <n v="0"/>
    <n v="0"/>
    <n v="0"/>
    <n v="0"/>
    <n v="0"/>
    <n v="1"/>
    <n v="4"/>
    <n v="2025"/>
    <x v="1"/>
    <x v="2"/>
    <x v="1"/>
  </r>
  <r>
    <x v="1"/>
    <x v="46"/>
    <x v="1"/>
    <x v="6"/>
    <n v="2"/>
    <n v="2"/>
    <n v="0"/>
    <n v="0"/>
    <n v="0"/>
    <n v="0"/>
    <n v="0"/>
    <n v="0"/>
    <n v="0"/>
    <n v="0"/>
    <n v="2025"/>
    <x v="1"/>
    <x v="2"/>
    <x v="1"/>
  </r>
  <r>
    <x v="1"/>
    <x v="46"/>
    <x v="1"/>
    <x v="7"/>
    <n v="341"/>
    <n v="74"/>
    <n v="34"/>
    <n v="2"/>
    <n v="115003.75"/>
    <n v="32"/>
    <n v="102196.75"/>
    <n v="29"/>
    <n v="73"/>
    <n v="332"/>
    <n v="2025"/>
    <x v="1"/>
    <x v="2"/>
    <x v="1"/>
  </r>
  <r>
    <x v="1"/>
    <x v="46"/>
    <x v="1"/>
    <x v="8"/>
    <n v="22"/>
    <n v="12"/>
    <n v="2"/>
    <n v="1"/>
    <n v="0"/>
    <n v="0"/>
    <n v="0"/>
    <n v="0"/>
    <n v="0"/>
    <n v="22"/>
    <n v="2025"/>
    <x v="1"/>
    <x v="2"/>
    <x v="1"/>
  </r>
  <r>
    <x v="1"/>
    <x v="46"/>
    <x v="1"/>
    <x v="9"/>
    <n v="2"/>
    <n v="1"/>
    <n v="0"/>
    <n v="0"/>
    <n v="0"/>
    <n v="0"/>
    <n v="0"/>
    <n v="0"/>
    <n v="1"/>
    <n v="2"/>
    <n v="2025"/>
    <x v="1"/>
    <x v="2"/>
    <x v="1"/>
  </r>
  <r>
    <x v="1"/>
    <x v="46"/>
    <x v="1"/>
    <x v="10"/>
    <n v="6"/>
    <n v="3"/>
    <n v="0"/>
    <n v="0"/>
    <n v="0"/>
    <n v="0"/>
    <n v="0"/>
    <n v="0"/>
    <n v="0"/>
    <n v="6"/>
    <n v="2025"/>
    <x v="1"/>
    <x v="2"/>
    <x v="1"/>
  </r>
  <r>
    <x v="1"/>
    <x v="46"/>
    <x v="1"/>
    <x v="66"/>
    <n v="12"/>
    <n v="2"/>
    <n v="0"/>
    <n v="0"/>
    <n v="1490"/>
    <n v="1"/>
    <n v="1490"/>
    <n v="1"/>
    <n v="2"/>
    <n v="12"/>
    <n v="2025"/>
    <x v="1"/>
    <x v="2"/>
    <x v="1"/>
  </r>
  <r>
    <x v="1"/>
    <x v="46"/>
    <x v="1"/>
    <x v="59"/>
    <n v="236"/>
    <n v="102"/>
    <n v="12"/>
    <n v="4"/>
    <n v="51525"/>
    <n v="12"/>
    <n v="40531"/>
    <n v="11"/>
    <n v="84"/>
    <n v="199"/>
    <n v="2025"/>
    <x v="1"/>
    <x v="2"/>
    <x v="1"/>
  </r>
  <r>
    <x v="1"/>
    <x v="46"/>
    <x v="1"/>
    <x v="15"/>
    <n v="55"/>
    <n v="54"/>
    <n v="0"/>
    <n v="0"/>
    <n v="0"/>
    <n v="0"/>
    <n v="0"/>
    <n v="0"/>
    <n v="0"/>
    <n v="55"/>
    <n v="2025"/>
    <x v="1"/>
    <x v="2"/>
    <x v="1"/>
  </r>
  <r>
    <x v="1"/>
    <x v="46"/>
    <x v="1"/>
    <x v="17"/>
    <n v="299"/>
    <n v="143"/>
    <n v="1"/>
    <n v="0"/>
    <n v="0"/>
    <n v="0"/>
    <n v="0"/>
    <n v="0"/>
    <n v="0"/>
    <n v="299"/>
    <n v="2025"/>
    <x v="1"/>
    <x v="2"/>
    <x v="1"/>
  </r>
  <r>
    <x v="1"/>
    <x v="46"/>
    <x v="1"/>
    <x v="18"/>
    <n v="9"/>
    <n v="6"/>
    <n v="0"/>
    <n v="0"/>
    <n v="0"/>
    <n v="0"/>
    <n v="0"/>
    <n v="0"/>
    <n v="0"/>
    <n v="9"/>
    <n v="2025"/>
    <x v="1"/>
    <x v="2"/>
    <x v="1"/>
  </r>
  <r>
    <x v="1"/>
    <x v="46"/>
    <x v="1"/>
    <x v="19"/>
    <n v="625"/>
    <n v="391"/>
    <n v="30"/>
    <n v="13"/>
    <n v="61862.87"/>
    <n v="17"/>
    <n v="55161"/>
    <n v="14"/>
    <n v="252"/>
    <n v="488"/>
    <n v="2025"/>
    <x v="1"/>
    <x v="2"/>
    <x v="1"/>
  </r>
  <r>
    <x v="1"/>
    <x v="46"/>
    <x v="1"/>
    <x v="20"/>
    <n v="3"/>
    <n v="0"/>
    <n v="1"/>
    <n v="0"/>
    <n v="0"/>
    <n v="0"/>
    <n v="0"/>
    <n v="0"/>
    <n v="0"/>
    <n v="3"/>
    <n v="2025"/>
    <x v="1"/>
    <x v="2"/>
    <x v="1"/>
  </r>
  <r>
    <x v="1"/>
    <x v="46"/>
    <x v="1"/>
    <x v="22"/>
    <n v="12"/>
    <n v="2"/>
    <n v="0"/>
    <n v="0"/>
    <n v="1490"/>
    <n v="1"/>
    <n v="1490"/>
    <n v="1"/>
    <n v="2"/>
    <n v="12"/>
    <n v="2025"/>
    <x v="1"/>
    <x v="2"/>
    <x v="1"/>
  </r>
  <r>
    <x v="1"/>
    <x v="46"/>
    <x v="1"/>
    <x v="24"/>
    <n v="25"/>
    <n v="20"/>
    <n v="1"/>
    <n v="1"/>
    <n v="2490"/>
    <n v="1"/>
    <n v="2490"/>
    <n v="1"/>
    <n v="2"/>
    <n v="23"/>
    <n v="2025"/>
    <x v="1"/>
    <x v="2"/>
    <x v="1"/>
  </r>
  <r>
    <x v="1"/>
    <x v="46"/>
    <x v="1"/>
    <x v="27"/>
    <n v="110"/>
    <n v="43"/>
    <n v="4"/>
    <n v="1"/>
    <n v="23735"/>
    <n v="5"/>
    <n v="23735"/>
    <n v="5"/>
    <n v="41"/>
    <n v="97"/>
    <n v="2025"/>
    <x v="1"/>
    <x v="2"/>
    <x v="1"/>
  </r>
  <r>
    <x v="1"/>
    <x v="46"/>
    <x v="1"/>
    <x v="29"/>
    <n v="761"/>
    <n v="562"/>
    <n v="33"/>
    <n v="14"/>
    <n v="34192.699999999997"/>
    <n v="9"/>
    <n v="16246.7"/>
    <n v="7"/>
    <n v="338"/>
    <n v="563"/>
    <n v="2025"/>
    <x v="1"/>
    <x v="2"/>
    <x v="1"/>
  </r>
  <r>
    <x v="1"/>
    <x v="46"/>
    <x v="1"/>
    <x v="30"/>
    <n v="12667"/>
    <n v="11427"/>
    <n v="79"/>
    <n v="51"/>
    <n v="146315"/>
    <n v="11"/>
    <n v="22365"/>
    <n v="8"/>
    <n v="720"/>
    <n v="12582"/>
    <n v="2025"/>
    <x v="1"/>
    <x v="2"/>
    <x v="1"/>
  </r>
  <r>
    <x v="1"/>
    <x v="46"/>
    <x v="1"/>
    <x v="31"/>
    <n v="67"/>
    <n v="42"/>
    <n v="1"/>
    <n v="1"/>
    <n v="2348"/>
    <n v="1"/>
    <n v="2348"/>
    <n v="1"/>
    <n v="14"/>
    <n v="66"/>
    <n v="2025"/>
    <x v="1"/>
    <x v="2"/>
    <x v="1"/>
  </r>
  <r>
    <x v="1"/>
    <x v="46"/>
    <x v="1"/>
    <x v="32"/>
    <n v="7"/>
    <n v="7"/>
    <n v="0"/>
    <n v="0"/>
    <n v="0"/>
    <n v="0"/>
    <n v="0"/>
    <n v="0"/>
    <n v="2"/>
    <n v="7"/>
    <n v="2025"/>
    <x v="1"/>
    <x v="2"/>
    <x v="1"/>
  </r>
  <r>
    <x v="1"/>
    <x v="46"/>
    <x v="1"/>
    <x v="34"/>
    <n v="381"/>
    <n v="256"/>
    <n v="11"/>
    <n v="4"/>
    <n v="9125"/>
    <n v="3"/>
    <n v="9125"/>
    <n v="3"/>
    <n v="90"/>
    <n v="362"/>
    <n v="2025"/>
    <x v="1"/>
    <x v="2"/>
    <x v="1"/>
  </r>
  <r>
    <x v="1"/>
    <x v="46"/>
    <x v="1"/>
    <x v="35"/>
    <n v="1"/>
    <n v="0"/>
    <n v="0"/>
    <n v="0"/>
    <n v="0"/>
    <n v="0"/>
    <n v="0"/>
    <n v="0"/>
    <n v="0"/>
    <n v="1"/>
    <n v="2025"/>
    <x v="1"/>
    <x v="2"/>
    <x v="1"/>
  </r>
  <r>
    <x v="1"/>
    <x v="46"/>
    <x v="1"/>
    <x v="36"/>
    <n v="1"/>
    <n v="1"/>
    <n v="0"/>
    <n v="0"/>
    <n v="0"/>
    <n v="0"/>
    <n v="0"/>
    <n v="0"/>
    <n v="1"/>
    <n v="0"/>
    <n v="2025"/>
    <x v="1"/>
    <x v="2"/>
    <x v="1"/>
  </r>
  <r>
    <x v="1"/>
    <x v="46"/>
    <x v="1"/>
    <x v="38"/>
    <n v="223"/>
    <n v="46"/>
    <n v="15"/>
    <n v="2"/>
    <n v="57821"/>
    <n v="17"/>
    <n v="37395"/>
    <n v="13"/>
    <n v="46"/>
    <n v="216"/>
    <n v="2025"/>
    <x v="1"/>
    <x v="2"/>
    <x v="1"/>
  </r>
  <r>
    <x v="1"/>
    <x v="46"/>
    <x v="1"/>
    <x v="60"/>
    <n v="10"/>
    <n v="9"/>
    <n v="0"/>
    <n v="0"/>
    <n v="0"/>
    <n v="0"/>
    <n v="0"/>
    <n v="0"/>
    <n v="0"/>
    <n v="10"/>
    <n v="2025"/>
    <x v="1"/>
    <x v="2"/>
    <x v="1"/>
  </r>
  <r>
    <x v="1"/>
    <x v="46"/>
    <x v="1"/>
    <x v="39"/>
    <n v="1"/>
    <n v="1"/>
    <n v="0"/>
    <n v="0"/>
    <n v="0"/>
    <n v="0"/>
    <n v="0"/>
    <n v="0"/>
    <n v="0"/>
    <n v="1"/>
    <n v="2025"/>
    <x v="1"/>
    <x v="2"/>
    <x v="1"/>
  </r>
  <r>
    <x v="1"/>
    <x v="46"/>
    <x v="1"/>
    <x v="64"/>
    <n v="509"/>
    <n v="302"/>
    <n v="17"/>
    <n v="1"/>
    <n v="38420"/>
    <n v="10"/>
    <n v="29535"/>
    <n v="8"/>
    <n v="72"/>
    <n v="506"/>
    <n v="2025"/>
    <x v="1"/>
    <x v="2"/>
    <x v="1"/>
  </r>
  <r>
    <x v="1"/>
    <x v="46"/>
    <x v="1"/>
    <x v="42"/>
    <n v="131"/>
    <n v="60"/>
    <n v="6"/>
    <n v="3"/>
    <n v="2490"/>
    <n v="1"/>
    <n v="0"/>
    <n v="0"/>
    <n v="13"/>
    <n v="130"/>
    <n v="2025"/>
    <x v="1"/>
    <x v="2"/>
    <x v="1"/>
  </r>
  <r>
    <x v="1"/>
    <x v="46"/>
    <x v="1"/>
    <x v="43"/>
    <n v="104"/>
    <n v="46"/>
    <n v="7"/>
    <n v="2"/>
    <n v="4470"/>
    <n v="2"/>
    <n v="2980"/>
    <n v="2"/>
    <n v="88"/>
    <n v="59"/>
    <n v="2025"/>
    <x v="1"/>
    <x v="2"/>
    <x v="1"/>
  </r>
  <r>
    <x v="1"/>
    <x v="46"/>
    <x v="1"/>
    <x v="44"/>
    <n v="23"/>
    <n v="9"/>
    <n v="2"/>
    <n v="0"/>
    <n v="9365"/>
    <n v="4"/>
    <n v="6185"/>
    <n v="3"/>
    <n v="1"/>
    <n v="23"/>
    <n v="2025"/>
    <x v="1"/>
    <x v="2"/>
    <x v="1"/>
  </r>
  <r>
    <x v="1"/>
    <x v="46"/>
    <x v="1"/>
    <x v="45"/>
    <n v="3"/>
    <n v="0"/>
    <n v="0"/>
    <n v="0"/>
    <n v="0"/>
    <n v="0"/>
    <n v="0"/>
    <n v="0"/>
    <n v="0"/>
    <n v="3"/>
    <n v="2025"/>
    <x v="1"/>
    <x v="2"/>
    <x v="1"/>
  </r>
  <r>
    <x v="1"/>
    <x v="47"/>
    <x v="0"/>
    <x v="0"/>
    <n v="329"/>
    <n v="125"/>
    <n v="5"/>
    <n v="1"/>
    <n v="7565"/>
    <n v="2"/>
    <n v="4690"/>
    <n v="1"/>
    <n v="1"/>
    <n v="328"/>
    <n v="2025"/>
    <x v="1"/>
    <x v="2"/>
    <x v="1"/>
  </r>
  <r>
    <x v="1"/>
    <x v="47"/>
    <x v="0"/>
    <x v="1"/>
    <n v="16202"/>
    <n v="11175"/>
    <n v="209"/>
    <n v="226"/>
    <n v="106717"/>
    <n v="26"/>
    <n v="46749"/>
    <n v="16"/>
    <n v="1013"/>
    <n v="16001"/>
    <n v="2025"/>
    <x v="1"/>
    <x v="2"/>
    <x v="1"/>
  </r>
  <r>
    <x v="1"/>
    <x v="47"/>
    <x v="0"/>
    <x v="2"/>
    <n v="4"/>
    <n v="2"/>
    <n v="0"/>
    <n v="0"/>
    <n v="0"/>
    <n v="0"/>
    <n v="0"/>
    <n v="0"/>
    <n v="0"/>
    <n v="3"/>
    <n v="2025"/>
    <x v="1"/>
    <x v="2"/>
    <x v="1"/>
  </r>
  <r>
    <x v="1"/>
    <x v="47"/>
    <x v="0"/>
    <x v="3"/>
    <n v="1143"/>
    <n v="927"/>
    <n v="9"/>
    <n v="3"/>
    <n v="0"/>
    <n v="0"/>
    <n v="0"/>
    <n v="0"/>
    <n v="21"/>
    <n v="197"/>
    <n v="2025"/>
    <x v="1"/>
    <x v="2"/>
    <x v="1"/>
  </r>
  <r>
    <x v="1"/>
    <x v="47"/>
    <x v="1"/>
    <x v="5"/>
    <n v="5"/>
    <n v="3"/>
    <n v="0"/>
    <n v="0"/>
    <n v="0"/>
    <n v="0"/>
    <n v="0"/>
    <n v="0"/>
    <n v="0"/>
    <n v="5"/>
    <n v="2025"/>
    <x v="1"/>
    <x v="2"/>
    <x v="1"/>
  </r>
  <r>
    <x v="1"/>
    <x v="47"/>
    <x v="1"/>
    <x v="6"/>
    <n v="764"/>
    <n v="697"/>
    <n v="0"/>
    <n v="0"/>
    <n v="0"/>
    <n v="0"/>
    <n v="0"/>
    <n v="0"/>
    <n v="0"/>
    <n v="0"/>
    <n v="2025"/>
    <x v="1"/>
    <x v="2"/>
    <x v="1"/>
  </r>
  <r>
    <x v="1"/>
    <x v="47"/>
    <x v="1"/>
    <x v="7"/>
    <n v="328"/>
    <n v="57"/>
    <n v="24"/>
    <n v="2"/>
    <n v="83234"/>
    <n v="29"/>
    <n v="73279"/>
    <n v="26"/>
    <n v="82"/>
    <n v="311"/>
    <n v="2025"/>
    <x v="1"/>
    <x v="2"/>
    <x v="1"/>
  </r>
  <r>
    <x v="1"/>
    <x v="47"/>
    <x v="1"/>
    <x v="8"/>
    <n v="31"/>
    <n v="20"/>
    <n v="2"/>
    <n v="0"/>
    <n v="0"/>
    <n v="0"/>
    <n v="0"/>
    <n v="0"/>
    <n v="2"/>
    <n v="24"/>
    <n v="2025"/>
    <x v="1"/>
    <x v="2"/>
    <x v="1"/>
  </r>
  <r>
    <x v="1"/>
    <x v="47"/>
    <x v="1"/>
    <x v="9"/>
    <n v="3"/>
    <n v="1"/>
    <n v="0"/>
    <n v="0"/>
    <n v="0"/>
    <n v="0"/>
    <n v="0"/>
    <n v="0"/>
    <n v="0"/>
    <n v="3"/>
    <n v="2025"/>
    <x v="1"/>
    <x v="2"/>
    <x v="1"/>
  </r>
  <r>
    <x v="1"/>
    <x v="47"/>
    <x v="1"/>
    <x v="10"/>
    <n v="16"/>
    <n v="7"/>
    <n v="1"/>
    <n v="0"/>
    <n v="0"/>
    <n v="0"/>
    <n v="0"/>
    <n v="0"/>
    <n v="4"/>
    <n v="11"/>
    <n v="2025"/>
    <x v="1"/>
    <x v="2"/>
    <x v="1"/>
  </r>
  <r>
    <x v="1"/>
    <x v="47"/>
    <x v="1"/>
    <x v="11"/>
    <n v="1"/>
    <n v="0"/>
    <n v="0"/>
    <n v="0"/>
    <n v="0"/>
    <n v="0"/>
    <n v="0"/>
    <n v="0"/>
    <n v="0"/>
    <n v="1"/>
    <n v="2025"/>
    <x v="1"/>
    <x v="2"/>
    <x v="1"/>
  </r>
  <r>
    <x v="1"/>
    <x v="47"/>
    <x v="1"/>
    <x v="59"/>
    <n v="1779"/>
    <n v="1588"/>
    <n v="17"/>
    <n v="5"/>
    <n v="21055"/>
    <n v="6"/>
    <n v="21055"/>
    <n v="6"/>
    <n v="81"/>
    <n v="171"/>
    <n v="2025"/>
    <x v="1"/>
    <x v="2"/>
    <x v="1"/>
  </r>
  <r>
    <x v="1"/>
    <x v="47"/>
    <x v="1"/>
    <x v="15"/>
    <n v="35"/>
    <n v="33"/>
    <n v="0"/>
    <n v="0"/>
    <n v="0"/>
    <n v="0"/>
    <n v="0"/>
    <n v="0"/>
    <n v="0"/>
    <n v="35"/>
    <n v="2025"/>
    <x v="1"/>
    <x v="2"/>
    <x v="1"/>
  </r>
  <r>
    <x v="1"/>
    <x v="47"/>
    <x v="1"/>
    <x v="17"/>
    <n v="307"/>
    <n v="158"/>
    <n v="1"/>
    <n v="0"/>
    <n v="0"/>
    <n v="0"/>
    <n v="0"/>
    <n v="0"/>
    <n v="0"/>
    <n v="307"/>
    <n v="2025"/>
    <x v="1"/>
    <x v="2"/>
    <x v="1"/>
  </r>
  <r>
    <x v="1"/>
    <x v="47"/>
    <x v="1"/>
    <x v="18"/>
    <n v="2"/>
    <n v="1"/>
    <n v="0"/>
    <n v="0"/>
    <n v="0"/>
    <n v="0"/>
    <n v="0"/>
    <n v="0"/>
    <n v="0"/>
    <n v="2"/>
    <n v="2025"/>
    <x v="1"/>
    <x v="2"/>
    <x v="1"/>
  </r>
  <r>
    <x v="1"/>
    <x v="47"/>
    <x v="1"/>
    <x v="19"/>
    <n v="669"/>
    <n v="398"/>
    <n v="37"/>
    <n v="8"/>
    <n v="39655.86"/>
    <n v="13"/>
    <n v="33051.86"/>
    <n v="11"/>
    <n v="231"/>
    <n v="429"/>
    <n v="2025"/>
    <x v="1"/>
    <x v="2"/>
    <x v="1"/>
  </r>
  <r>
    <x v="1"/>
    <x v="47"/>
    <x v="1"/>
    <x v="20"/>
    <n v="5"/>
    <n v="4"/>
    <n v="0"/>
    <n v="0"/>
    <n v="0"/>
    <n v="0"/>
    <n v="0"/>
    <n v="0"/>
    <n v="0"/>
    <n v="5"/>
    <n v="2025"/>
    <x v="1"/>
    <x v="2"/>
    <x v="1"/>
  </r>
  <r>
    <x v="1"/>
    <x v="47"/>
    <x v="1"/>
    <x v="22"/>
    <n v="64"/>
    <n v="41"/>
    <n v="0"/>
    <n v="0"/>
    <n v="0"/>
    <n v="0"/>
    <n v="0"/>
    <n v="0"/>
    <n v="0"/>
    <n v="10"/>
    <n v="2025"/>
    <x v="1"/>
    <x v="2"/>
    <x v="1"/>
  </r>
  <r>
    <x v="1"/>
    <x v="47"/>
    <x v="1"/>
    <x v="24"/>
    <n v="18"/>
    <n v="10"/>
    <n v="2"/>
    <n v="0"/>
    <n v="7221.25"/>
    <n v="3"/>
    <n v="4346.25"/>
    <n v="2"/>
    <n v="4"/>
    <n v="16"/>
    <n v="2025"/>
    <x v="1"/>
    <x v="2"/>
    <x v="1"/>
  </r>
  <r>
    <x v="1"/>
    <x v="47"/>
    <x v="1"/>
    <x v="27"/>
    <n v="107"/>
    <n v="45"/>
    <n v="11"/>
    <n v="4"/>
    <n v="17740"/>
    <n v="4"/>
    <n v="17740"/>
    <n v="4"/>
    <n v="27"/>
    <n v="101"/>
    <n v="2025"/>
    <x v="1"/>
    <x v="2"/>
    <x v="1"/>
  </r>
  <r>
    <x v="1"/>
    <x v="47"/>
    <x v="1"/>
    <x v="29"/>
    <n v="730"/>
    <n v="536"/>
    <n v="24"/>
    <n v="12"/>
    <n v="6630.61"/>
    <n v="4"/>
    <n v="1960.61"/>
    <n v="1"/>
    <n v="319"/>
    <n v="545"/>
    <n v="2025"/>
    <x v="1"/>
    <x v="2"/>
    <x v="1"/>
  </r>
  <r>
    <x v="1"/>
    <x v="47"/>
    <x v="1"/>
    <x v="30"/>
    <n v="9283"/>
    <n v="8084"/>
    <n v="60"/>
    <n v="47"/>
    <n v="14450"/>
    <n v="6"/>
    <n v="11700"/>
    <n v="6"/>
    <n v="515"/>
    <n v="8804"/>
    <n v="2025"/>
    <x v="1"/>
    <x v="2"/>
    <x v="1"/>
  </r>
  <r>
    <x v="1"/>
    <x v="47"/>
    <x v="1"/>
    <x v="31"/>
    <n v="78"/>
    <n v="59"/>
    <n v="7"/>
    <n v="2"/>
    <n v="0"/>
    <n v="0"/>
    <n v="0"/>
    <n v="0"/>
    <n v="15"/>
    <n v="72"/>
    <n v="2025"/>
    <x v="1"/>
    <x v="2"/>
    <x v="1"/>
  </r>
  <r>
    <x v="1"/>
    <x v="47"/>
    <x v="1"/>
    <x v="32"/>
    <n v="2"/>
    <n v="1"/>
    <n v="0"/>
    <n v="0"/>
    <n v="0"/>
    <n v="0"/>
    <n v="0"/>
    <n v="0"/>
    <n v="0"/>
    <n v="2"/>
    <n v="2025"/>
    <x v="1"/>
    <x v="2"/>
    <x v="1"/>
  </r>
  <r>
    <x v="1"/>
    <x v="47"/>
    <x v="1"/>
    <x v="34"/>
    <n v="288"/>
    <n v="181"/>
    <n v="9"/>
    <n v="3"/>
    <n v="11680"/>
    <n v="3"/>
    <n v="8930"/>
    <n v="3"/>
    <n v="68"/>
    <n v="273"/>
    <n v="2025"/>
    <x v="1"/>
    <x v="2"/>
    <x v="1"/>
  </r>
  <r>
    <x v="1"/>
    <x v="47"/>
    <x v="1"/>
    <x v="36"/>
    <n v="2"/>
    <n v="0"/>
    <n v="0"/>
    <n v="0"/>
    <n v="0"/>
    <n v="0"/>
    <n v="0"/>
    <n v="0"/>
    <n v="0"/>
    <n v="2"/>
    <n v="2025"/>
    <x v="1"/>
    <x v="2"/>
    <x v="1"/>
  </r>
  <r>
    <x v="1"/>
    <x v="47"/>
    <x v="1"/>
    <x v="38"/>
    <n v="236"/>
    <n v="72"/>
    <n v="21"/>
    <n v="7"/>
    <n v="25743"/>
    <n v="7"/>
    <n v="20478"/>
    <n v="6"/>
    <n v="53"/>
    <n v="226"/>
    <n v="2025"/>
    <x v="1"/>
    <x v="2"/>
    <x v="1"/>
  </r>
  <r>
    <x v="1"/>
    <x v="47"/>
    <x v="1"/>
    <x v="60"/>
    <n v="6"/>
    <n v="6"/>
    <n v="0"/>
    <n v="0"/>
    <n v="0"/>
    <n v="0"/>
    <n v="0"/>
    <n v="0"/>
    <n v="0"/>
    <n v="6"/>
    <n v="2025"/>
    <x v="1"/>
    <x v="2"/>
    <x v="1"/>
  </r>
  <r>
    <x v="1"/>
    <x v="47"/>
    <x v="1"/>
    <x v="39"/>
    <n v="1"/>
    <n v="1"/>
    <n v="0"/>
    <n v="0"/>
    <n v="0"/>
    <n v="0"/>
    <n v="0"/>
    <n v="0"/>
    <n v="0"/>
    <n v="1"/>
    <n v="2025"/>
    <x v="1"/>
    <x v="2"/>
    <x v="1"/>
  </r>
  <r>
    <x v="1"/>
    <x v="47"/>
    <x v="1"/>
    <x v="64"/>
    <n v="447"/>
    <n v="229"/>
    <n v="14"/>
    <n v="0"/>
    <n v="24350"/>
    <n v="6"/>
    <n v="24350"/>
    <n v="6"/>
    <n v="66"/>
    <n v="442"/>
    <n v="2025"/>
    <x v="1"/>
    <x v="2"/>
    <x v="1"/>
  </r>
  <r>
    <x v="1"/>
    <x v="47"/>
    <x v="1"/>
    <x v="42"/>
    <n v="102"/>
    <n v="61"/>
    <n v="0"/>
    <n v="0"/>
    <n v="3850"/>
    <n v="1"/>
    <n v="0"/>
    <n v="0"/>
    <n v="10"/>
    <n v="101"/>
    <n v="2025"/>
    <x v="1"/>
    <x v="2"/>
    <x v="1"/>
  </r>
  <r>
    <x v="1"/>
    <x v="47"/>
    <x v="1"/>
    <x v="43"/>
    <n v="77"/>
    <n v="41"/>
    <n v="5"/>
    <n v="1"/>
    <n v="2515"/>
    <n v="1"/>
    <n v="0"/>
    <n v="0"/>
    <n v="59"/>
    <n v="53"/>
    <n v="2025"/>
    <x v="1"/>
    <x v="2"/>
    <x v="1"/>
  </r>
  <r>
    <x v="1"/>
    <x v="47"/>
    <x v="1"/>
    <x v="44"/>
    <n v="30"/>
    <n v="10"/>
    <n v="1"/>
    <n v="0"/>
    <n v="13591"/>
    <n v="4"/>
    <n v="13591"/>
    <n v="4"/>
    <n v="0"/>
    <n v="30"/>
    <n v="2025"/>
    <x v="1"/>
    <x v="2"/>
    <x v="1"/>
  </r>
  <r>
    <x v="1"/>
    <x v="47"/>
    <x v="1"/>
    <x v="45"/>
    <n v="4"/>
    <n v="1"/>
    <n v="0"/>
    <n v="0"/>
    <n v="2298"/>
    <n v="1"/>
    <n v="2298"/>
    <n v="1"/>
    <n v="0"/>
    <n v="4"/>
    <n v="2025"/>
    <x v="1"/>
    <x v="2"/>
    <x v="1"/>
  </r>
  <r>
    <x v="1"/>
    <x v="48"/>
    <x v="0"/>
    <x v="0"/>
    <n v="339"/>
    <n v="124"/>
    <n v="5"/>
    <n v="2"/>
    <n v="8801.0300000000007"/>
    <n v="3"/>
    <n v="8801.0300000000007"/>
    <n v="3"/>
    <n v="2"/>
    <n v="337"/>
    <n v="2025"/>
    <x v="1"/>
    <x v="2"/>
    <x v="1"/>
  </r>
  <r>
    <x v="1"/>
    <x v="48"/>
    <x v="0"/>
    <x v="1"/>
    <n v="17388"/>
    <n v="12036"/>
    <n v="250"/>
    <n v="240"/>
    <n v="156884"/>
    <n v="42"/>
    <n v="90352"/>
    <n v="28"/>
    <n v="1208"/>
    <n v="17165"/>
    <n v="2025"/>
    <x v="1"/>
    <x v="2"/>
    <x v="1"/>
  </r>
  <r>
    <x v="1"/>
    <x v="48"/>
    <x v="0"/>
    <x v="2"/>
    <n v="1"/>
    <n v="1"/>
    <n v="0"/>
    <n v="0"/>
    <n v="0"/>
    <n v="0"/>
    <n v="0"/>
    <n v="0"/>
    <n v="0"/>
    <n v="0"/>
    <n v="2025"/>
    <x v="1"/>
    <x v="2"/>
    <x v="1"/>
  </r>
  <r>
    <x v="1"/>
    <x v="48"/>
    <x v="0"/>
    <x v="3"/>
    <n v="1377"/>
    <n v="1273"/>
    <n v="5"/>
    <n v="1"/>
    <n v="0"/>
    <n v="0"/>
    <n v="0"/>
    <n v="0"/>
    <n v="9"/>
    <n v="189"/>
    <n v="2025"/>
    <x v="1"/>
    <x v="2"/>
    <x v="1"/>
  </r>
  <r>
    <x v="1"/>
    <x v="48"/>
    <x v="1"/>
    <x v="5"/>
    <n v="2"/>
    <n v="1"/>
    <n v="0"/>
    <n v="0"/>
    <n v="0"/>
    <n v="0"/>
    <n v="0"/>
    <n v="0"/>
    <n v="1"/>
    <n v="1"/>
    <n v="2025"/>
    <x v="1"/>
    <x v="2"/>
    <x v="1"/>
  </r>
  <r>
    <x v="1"/>
    <x v="48"/>
    <x v="1"/>
    <x v="6"/>
    <n v="900"/>
    <n v="864"/>
    <n v="0"/>
    <n v="0"/>
    <n v="0"/>
    <n v="0"/>
    <n v="0"/>
    <n v="0"/>
    <n v="1"/>
    <n v="2"/>
    <n v="2025"/>
    <x v="1"/>
    <x v="2"/>
    <x v="1"/>
  </r>
  <r>
    <x v="1"/>
    <x v="48"/>
    <x v="1"/>
    <x v="7"/>
    <n v="395"/>
    <n v="84"/>
    <n v="38"/>
    <n v="2"/>
    <n v="151798"/>
    <n v="36"/>
    <n v="133028"/>
    <n v="35"/>
    <n v="95"/>
    <n v="381"/>
    <n v="2025"/>
    <x v="1"/>
    <x v="2"/>
    <x v="1"/>
  </r>
  <r>
    <x v="1"/>
    <x v="48"/>
    <x v="1"/>
    <x v="8"/>
    <n v="30"/>
    <n v="8"/>
    <n v="4"/>
    <n v="0"/>
    <n v="2875"/>
    <n v="1"/>
    <n v="2875"/>
    <n v="1"/>
    <n v="1"/>
    <n v="21"/>
    <n v="2025"/>
    <x v="1"/>
    <x v="2"/>
    <x v="1"/>
  </r>
  <r>
    <x v="1"/>
    <x v="48"/>
    <x v="1"/>
    <x v="9"/>
    <n v="59"/>
    <n v="55"/>
    <n v="0"/>
    <n v="0"/>
    <n v="0"/>
    <n v="0"/>
    <n v="0"/>
    <n v="0"/>
    <n v="0"/>
    <n v="1"/>
    <n v="2025"/>
    <x v="1"/>
    <x v="2"/>
    <x v="1"/>
  </r>
  <r>
    <x v="1"/>
    <x v="48"/>
    <x v="1"/>
    <x v="10"/>
    <n v="13"/>
    <n v="11"/>
    <n v="0"/>
    <n v="0"/>
    <n v="0"/>
    <n v="0"/>
    <n v="0"/>
    <n v="0"/>
    <n v="0"/>
    <n v="4"/>
    <n v="2025"/>
    <x v="1"/>
    <x v="2"/>
    <x v="1"/>
  </r>
  <r>
    <x v="1"/>
    <x v="48"/>
    <x v="1"/>
    <x v="59"/>
    <n v="2049"/>
    <n v="1810"/>
    <n v="17"/>
    <n v="5"/>
    <n v="37403.03"/>
    <n v="9"/>
    <n v="35713.03"/>
    <n v="8"/>
    <n v="64"/>
    <n v="185"/>
    <n v="2025"/>
    <x v="1"/>
    <x v="2"/>
    <x v="1"/>
  </r>
  <r>
    <x v="1"/>
    <x v="48"/>
    <x v="1"/>
    <x v="15"/>
    <n v="28"/>
    <n v="27"/>
    <n v="0"/>
    <n v="0"/>
    <n v="0"/>
    <n v="0"/>
    <n v="0"/>
    <n v="0"/>
    <n v="0"/>
    <n v="28"/>
    <n v="2025"/>
    <x v="1"/>
    <x v="2"/>
    <x v="1"/>
  </r>
  <r>
    <x v="1"/>
    <x v="48"/>
    <x v="1"/>
    <x v="17"/>
    <n v="354"/>
    <n v="201"/>
    <n v="5"/>
    <n v="0"/>
    <n v="0"/>
    <n v="0"/>
    <n v="0"/>
    <n v="0"/>
    <n v="1"/>
    <n v="353"/>
    <n v="2025"/>
    <x v="1"/>
    <x v="2"/>
    <x v="1"/>
  </r>
  <r>
    <x v="1"/>
    <x v="48"/>
    <x v="1"/>
    <x v="18"/>
    <n v="8"/>
    <n v="7"/>
    <n v="0"/>
    <n v="0"/>
    <n v="0"/>
    <n v="0"/>
    <n v="0"/>
    <n v="0"/>
    <n v="1"/>
    <n v="6"/>
    <n v="2025"/>
    <x v="1"/>
    <x v="2"/>
    <x v="1"/>
  </r>
  <r>
    <x v="1"/>
    <x v="48"/>
    <x v="1"/>
    <x v="19"/>
    <n v="731"/>
    <n v="475"/>
    <n v="23"/>
    <n v="5"/>
    <n v="46822"/>
    <n v="12"/>
    <n v="30360"/>
    <n v="9"/>
    <n v="219"/>
    <n v="395"/>
    <n v="2025"/>
    <x v="1"/>
    <x v="2"/>
    <x v="1"/>
  </r>
  <r>
    <x v="1"/>
    <x v="48"/>
    <x v="1"/>
    <x v="20"/>
    <n v="7"/>
    <n v="3"/>
    <n v="0"/>
    <n v="0"/>
    <n v="0"/>
    <n v="0"/>
    <n v="0"/>
    <n v="0"/>
    <n v="0"/>
    <n v="7"/>
    <n v="2025"/>
    <x v="1"/>
    <x v="2"/>
    <x v="1"/>
  </r>
  <r>
    <x v="1"/>
    <x v="48"/>
    <x v="1"/>
    <x v="22"/>
    <n v="204"/>
    <n v="179"/>
    <n v="0"/>
    <n v="0"/>
    <n v="0"/>
    <n v="0"/>
    <n v="0"/>
    <n v="0"/>
    <n v="0"/>
    <n v="3"/>
    <n v="2025"/>
    <x v="1"/>
    <x v="2"/>
    <x v="1"/>
  </r>
  <r>
    <x v="1"/>
    <x v="48"/>
    <x v="1"/>
    <x v="24"/>
    <n v="17"/>
    <n v="10"/>
    <n v="1"/>
    <n v="0"/>
    <n v="0"/>
    <n v="0"/>
    <n v="0"/>
    <n v="0"/>
    <n v="1"/>
    <n v="16"/>
    <n v="2025"/>
    <x v="1"/>
    <x v="2"/>
    <x v="1"/>
  </r>
  <r>
    <x v="1"/>
    <x v="48"/>
    <x v="1"/>
    <x v="27"/>
    <n v="237"/>
    <n v="74"/>
    <n v="10"/>
    <n v="0"/>
    <n v="11555.03"/>
    <n v="5"/>
    <n v="9638.0300000000007"/>
    <n v="4"/>
    <n v="50"/>
    <n v="224"/>
    <n v="2025"/>
    <x v="1"/>
    <x v="2"/>
    <x v="1"/>
  </r>
  <r>
    <x v="1"/>
    <x v="48"/>
    <x v="1"/>
    <x v="29"/>
    <n v="763"/>
    <n v="563"/>
    <n v="32"/>
    <n v="7"/>
    <n v="7673"/>
    <n v="4"/>
    <n v="7673"/>
    <n v="4"/>
    <n v="308"/>
    <n v="557"/>
    <n v="2025"/>
    <x v="1"/>
    <x v="2"/>
    <x v="1"/>
  </r>
  <r>
    <x v="1"/>
    <x v="48"/>
    <x v="1"/>
    <x v="30"/>
    <n v="3754"/>
    <n v="2756"/>
    <n v="41"/>
    <n v="21"/>
    <n v="38380.94"/>
    <n v="15"/>
    <n v="35000.94"/>
    <n v="13"/>
    <n v="201"/>
    <n v="3033"/>
    <n v="2025"/>
    <x v="1"/>
    <x v="2"/>
    <x v="1"/>
  </r>
  <r>
    <x v="1"/>
    <x v="48"/>
    <x v="1"/>
    <x v="31"/>
    <n v="95"/>
    <n v="59"/>
    <n v="1"/>
    <n v="0"/>
    <n v="27000"/>
    <n v="1"/>
    <n v="27000"/>
    <n v="1"/>
    <n v="11"/>
    <n v="91"/>
    <n v="2025"/>
    <x v="1"/>
    <x v="2"/>
    <x v="1"/>
  </r>
  <r>
    <x v="1"/>
    <x v="48"/>
    <x v="1"/>
    <x v="32"/>
    <n v="1"/>
    <n v="1"/>
    <n v="0"/>
    <n v="0"/>
    <n v="0"/>
    <n v="0"/>
    <n v="0"/>
    <n v="0"/>
    <n v="1"/>
    <n v="1"/>
    <n v="2025"/>
    <x v="1"/>
    <x v="2"/>
    <x v="1"/>
  </r>
  <r>
    <x v="1"/>
    <x v="48"/>
    <x v="1"/>
    <x v="34"/>
    <n v="222"/>
    <n v="108"/>
    <n v="12"/>
    <n v="2"/>
    <n v="12680"/>
    <n v="5"/>
    <n v="11000"/>
    <n v="4"/>
    <n v="69"/>
    <n v="203"/>
    <n v="2025"/>
    <x v="1"/>
    <x v="2"/>
    <x v="1"/>
  </r>
  <r>
    <x v="1"/>
    <x v="48"/>
    <x v="1"/>
    <x v="38"/>
    <n v="259"/>
    <n v="55"/>
    <n v="21"/>
    <n v="8"/>
    <n v="32335.95"/>
    <n v="12"/>
    <n v="20703.95"/>
    <n v="8"/>
    <n v="57"/>
    <n v="250"/>
    <n v="2025"/>
    <x v="1"/>
    <x v="2"/>
    <x v="1"/>
  </r>
  <r>
    <x v="1"/>
    <x v="48"/>
    <x v="1"/>
    <x v="60"/>
    <n v="4"/>
    <n v="3"/>
    <n v="0"/>
    <n v="0"/>
    <n v="0"/>
    <n v="0"/>
    <n v="0"/>
    <n v="0"/>
    <n v="0"/>
    <n v="4"/>
    <n v="2025"/>
    <x v="1"/>
    <x v="2"/>
    <x v="1"/>
  </r>
  <r>
    <x v="1"/>
    <x v="48"/>
    <x v="1"/>
    <x v="64"/>
    <n v="487"/>
    <n v="241"/>
    <n v="15"/>
    <n v="6"/>
    <n v="7895"/>
    <n v="2"/>
    <n v="7895"/>
    <n v="2"/>
    <n v="72"/>
    <n v="480"/>
    <n v="2025"/>
    <x v="1"/>
    <x v="2"/>
    <x v="1"/>
  </r>
  <r>
    <x v="1"/>
    <x v="48"/>
    <x v="1"/>
    <x v="42"/>
    <n v="169"/>
    <n v="73"/>
    <n v="9"/>
    <n v="4"/>
    <n v="0"/>
    <n v="0"/>
    <n v="0"/>
    <n v="0"/>
    <n v="16"/>
    <n v="162"/>
    <n v="2025"/>
    <x v="1"/>
    <x v="2"/>
    <x v="1"/>
  </r>
  <r>
    <x v="1"/>
    <x v="48"/>
    <x v="1"/>
    <x v="43"/>
    <n v="104"/>
    <n v="48"/>
    <n v="4"/>
    <n v="0"/>
    <n v="1990"/>
    <n v="1"/>
    <n v="1990"/>
    <n v="1"/>
    <n v="72"/>
    <n v="60"/>
    <n v="2025"/>
    <x v="1"/>
    <x v="2"/>
    <x v="1"/>
  </r>
  <r>
    <x v="1"/>
    <x v="48"/>
    <x v="1"/>
    <x v="44"/>
    <n v="25"/>
    <n v="3"/>
    <n v="1"/>
    <n v="0"/>
    <n v="2375"/>
    <n v="1"/>
    <n v="2375"/>
    <n v="1"/>
    <n v="0"/>
    <n v="25"/>
    <n v="2025"/>
    <x v="1"/>
    <x v="2"/>
    <x v="1"/>
  </r>
  <r>
    <x v="1"/>
    <x v="49"/>
    <x v="0"/>
    <x v="0"/>
    <n v="313"/>
    <n v="93"/>
    <n v="8"/>
    <n v="0"/>
    <n v="16950"/>
    <n v="4"/>
    <n v="14960"/>
    <n v="4"/>
    <n v="5"/>
    <n v="305"/>
    <n v="2025"/>
    <x v="1"/>
    <x v="2"/>
    <x v="1"/>
  </r>
  <r>
    <x v="1"/>
    <x v="49"/>
    <x v="0"/>
    <x v="1"/>
    <n v="15358"/>
    <n v="10238"/>
    <n v="319"/>
    <n v="243"/>
    <n v="150896"/>
    <n v="36"/>
    <n v="89568"/>
    <n v="25"/>
    <n v="1175"/>
    <n v="15128"/>
    <n v="2025"/>
    <x v="1"/>
    <x v="2"/>
    <x v="1"/>
  </r>
  <r>
    <x v="1"/>
    <x v="49"/>
    <x v="0"/>
    <x v="3"/>
    <n v="1358"/>
    <n v="1174"/>
    <n v="28"/>
    <n v="0"/>
    <n v="0"/>
    <n v="0"/>
    <n v="0"/>
    <n v="0"/>
    <n v="34"/>
    <n v="385"/>
    <n v="2025"/>
    <x v="1"/>
    <x v="2"/>
    <x v="1"/>
  </r>
  <r>
    <x v="1"/>
    <x v="49"/>
    <x v="1"/>
    <x v="5"/>
    <n v="4"/>
    <n v="4"/>
    <n v="0"/>
    <n v="0"/>
    <n v="0"/>
    <n v="0"/>
    <n v="0"/>
    <n v="0"/>
    <n v="0"/>
    <n v="4"/>
    <n v="2025"/>
    <x v="1"/>
    <x v="2"/>
    <x v="1"/>
  </r>
  <r>
    <x v="1"/>
    <x v="49"/>
    <x v="1"/>
    <x v="6"/>
    <n v="713"/>
    <n v="694"/>
    <n v="0"/>
    <n v="0"/>
    <n v="0"/>
    <n v="0"/>
    <n v="0"/>
    <n v="0"/>
    <n v="0"/>
    <n v="0"/>
    <n v="2025"/>
    <x v="1"/>
    <x v="2"/>
    <x v="1"/>
  </r>
  <r>
    <x v="1"/>
    <x v="49"/>
    <x v="1"/>
    <x v="7"/>
    <n v="491"/>
    <n v="95"/>
    <n v="57"/>
    <n v="6"/>
    <n v="207331"/>
    <n v="46"/>
    <n v="182958"/>
    <n v="41"/>
    <n v="127"/>
    <n v="471"/>
    <n v="2025"/>
    <x v="1"/>
    <x v="2"/>
    <x v="1"/>
  </r>
  <r>
    <x v="1"/>
    <x v="49"/>
    <x v="1"/>
    <x v="8"/>
    <n v="79"/>
    <n v="62"/>
    <n v="0"/>
    <n v="0"/>
    <n v="0"/>
    <n v="0"/>
    <n v="0"/>
    <n v="0"/>
    <n v="0"/>
    <n v="18"/>
    <n v="2025"/>
    <x v="1"/>
    <x v="2"/>
    <x v="1"/>
  </r>
  <r>
    <x v="1"/>
    <x v="49"/>
    <x v="1"/>
    <x v="9"/>
    <n v="129"/>
    <n v="123"/>
    <n v="0"/>
    <n v="0"/>
    <n v="0"/>
    <n v="0"/>
    <n v="0"/>
    <n v="0"/>
    <n v="0"/>
    <n v="3"/>
    <n v="2025"/>
    <x v="1"/>
    <x v="2"/>
    <x v="1"/>
  </r>
  <r>
    <x v="1"/>
    <x v="49"/>
    <x v="1"/>
    <x v="10"/>
    <n v="13"/>
    <n v="10"/>
    <n v="0"/>
    <n v="0"/>
    <n v="0"/>
    <n v="0"/>
    <n v="0"/>
    <n v="0"/>
    <n v="1"/>
    <n v="5"/>
    <n v="2025"/>
    <x v="1"/>
    <x v="2"/>
    <x v="1"/>
  </r>
  <r>
    <x v="1"/>
    <x v="49"/>
    <x v="1"/>
    <x v="11"/>
    <n v="7"/>
    <n v="7"/>
    <n v="0"/>
    <n v="0"/>
    <n v="0"/>
    <n v="0"/>
    <n v="0"/>
    <n v="0"/>
    <n v="7"/>
    <n v="0"/>
    <n v="2025"/>
    <x v="1"/>
    <x v="2"/>
    <x v="1"/>
  </r>
  <r>
    <x v="1"/>
    <x v="49"/>
    <x v="1"/>
    <x v="48"/>
    <n v="1"/>
    <n v="1"/>
    <n v="0"/>
    <n v="0"/>
    <n v="0"/>
    <n v="0"/>
    <n v="0"/>
    <n v="0"/>
    <n v="0"/>
    <n v="1"/>
    <n v="2025"/>
    <x v="1"/>
    <x v="2"/>
    <x v="1"/>
  </r>
  <r>
    <x v="1"/>
    <x v="49"/>
    <x v="1"/>
    <x v="59"/>
    <n v="299"/>
    <n v="138"/>
    <n v="21"/>
    <n v="3"/>
    <n v="46865"/>
    <n v="13"/>
    <n v="39875"/>
    <n v="12"/>
    <n v="87"/>
    <n v="220"/>
    <n v="2025"/>
    <x v="1"/>
    <x v="2"/>
    <x v="1"/>
  </r>
  <r>
    <x v="1"/>
    <x v="49"/>
    <x v="1"/>
    <x v="15"/>
    <n v="34"/>
    <n v="31"/>
    <n v="0"/>
    <n v="0"/>
    <n v="0"/>
    <n v="0"/>
    <n v="0"/>
    <n v="0"/>
    <n v="0"/>
    <n v="34"/>
    <n v="2025"/>
    <x v="1"/>
    <x v="2"/>
    <x v="1"/>
  </r>
  <r>
    <x v="1"/>
    <x v="49"/>
    <x v="1"/>
    <x v="17"/>
    <n v="311"/>
    <n v="176"/>
    <n v="7"/>
    <n v="0"/>
    <n v="0"/>
    <n v="0"/>
    <n v="0"/>
    <n v="0"/>
    <n v="1"/>
    <n v="310"/>
    <n v="2025"/>
    <x v="1"/>
    <x v="2"/>
    <x v="1"/>
  </r>
  <r>
    <x v="1"/>
    <x v="49"/>
    <x v="1"/>
    <x v="18"/>
    <n v="11"/>
    <n v="8"/>
    <n v="2"/>
    <n v="0"/>
    <n v="12510"/>
    <n v="2"/>
    <n v="12510"/>
    <n v="2"/>
    <n v="1"/>
    <n v="11"/>
    <n v="2025"/>
    <x v="1"/>
    <x v="2"/>
    <x v="1"/>
  </r>
  <r>
    <x v="1"/>
    <x v="49"/>
    <x v="1"/>
    <x v="19"/>
    <n v="723"/>
    <n v="413"/>
    <n v="30"/>
    <n v="5"/>
    <n v="63142.43"/>
    <n v="18"/>
    <n v="48535.43"/>
    <n v="15"/>
    <n v="248"/>
    <n v="416"/>
    <n v="2025"/>
    <x v="1"/>
    <x v="2"/>
    <x v="1"/>
  </r>
  <r>
    <x v="1"/>
    <x v="49"/>
    <x v="1"/>
    <x v="20"/>
    <n v="5"/>
    <n v="1"/>
    <n v="0"/>
    <n v="0"/>
    <n v="0"/>
    <n v="0"/>
    <n v="0"/>
    <n v="0"/>
    <n v="1"/>
    <n v="4"/>
    <n v="2025"/>
    <x v="1"/>
    <x v="2"/>
    <x v="1"/>
  </r>
  <r>
    <x v="1"/>
    <x v="49"/>
    <x v="1"/>
    <x v="22"/>
    <n v="269"/>
    <n v="241"/>
    <n v="0"/>
    <n v="0"/>
    <n v="0"/>
    <n v="0"/>
    <n v="0"/>
    <n v="0"/>
    <n v="0"/>
    <n v="10"/>
    <n v="2025"/>
    <x v="1"/>
    <x v="2"/>
    <x v="1"/>
  </r>
  <r>
    <x v="1"/>
    <x v="49"/>
    <x v="1"/>
    <x v="24"/>
    <n v="20"/>
    <n v="13"/>
    <n v="1"/>
    <n v="1"/>
    <n v="5020"/>
    <n v="1"/>
    <n v="5020"/>
    <n v="1"/>
    <n v="7"/>
    <n v="19"/>
    <n v="2025"/>
    <x v="1"/>
    <x v="2"/>
    <x v="1"/>
  </r>
  <r>
    <x v="1"/>
    <x v="49"/>
    <x v="1"/>
    <x v="27"/>
    <n v="141"/>
    <n v="40"/>
    <n v="21"/>
    <n v="2"/>
    <n v="60850"/>
    <n v="14"/>
    <n v="48140"/>
    <n v="11"/>
    <n v="66"/>
    <n v="116"/>
    <n v="2025"/>
    <x v="1"/>
    <x v="2"/>
    <x v="1"/>
  </r>
  <r>
    <x v="1"/>
    <x v="49"/>
    <x v="1"/>
    <x v="29"/>
    <n v="900"/>
    <n v="688"/>
    <n v="53"/>
    <n v="6"/>
    <n v="54770"/>
    <n v="9"/>
    <n v="45430"/>
    <n v="7"/>
    <n v="372"/>
    <n v="685"/>
    <n v="2025"/>
    <x v="1"/>
    <x v="2"/>
    <x v="1"/>
  </r>
  <r>
    <x v="1"/>
    <x v="49"/>
    <x v="1"/>
    <x v="30"/>
    <n v="3670"/>
    <n v="2670"/>
    <n v="32"/>
    <n v="19"/>
    <n v="39851.43"/>
    <n v="12"/>
    <n v="32161.43"/>
    <n v="11"/>
    <n v="164"/>
    <n v="3093"/>
    <n v="2025"/>
    <x v="1"/>
    <x v="2"/>
    <x v="1"/>
  </r>
  <r>
    <x v="1"/>
    <x v="49"/>
    <x v="1"/>
    <x v="31"/>
    <n v="78"/>
    <n v="52"/>
    <n v="3"/>
    <n v="1"/>
    <n v="16545"/>
    <n v="2"/>
    <n v="16545"/>
    <n v="2"/>
    <n v="12"/>
    <n v="77"/>
    <n v="2025"/>
    <x v="1"/>
    <x v="2"/>
    <x v="1"/>
  </r>
  <r>
    <x v="1"/>
    <x v="49"/>
    <x v="1"/>
    <x v="32"/>
    <n v="1"/>
    <n v="0"/>
    <n v="0"/>
    <n v="0"/>
    <n v="0"/>
    <n v="0"/>
    <n v="0"/>
    <n v="0"/>
    <n v="0"/>
    <n v="1"/>
    <n v="2025"/>
    <x v="1"/>
    <x v="2"/>
    <x v="1"/>
  </r>
  <r>
    <x v="1"/>
    <x v="49"/>
    <x v="1"/>
    <x v="34"/>
    <n v="192"/>
    <n v="87"/>
    <n v="13"/>
    <n v="2"/>
    <n v="8192"/>
    <n v="3"/>
    <n v="6515"/>
    <n v="2"/>
    <n v="58"/>
    <n v="173"/>
    <n v="2025"/>
    <x v="1"/>
    <x v="2"/>
    <x v="1"/>
  </r>
  <r>
    <x v="1"/>
    <x v="49"/>
    <x v="1"/>
    <x v="38"/>
    <n v="286"/>
    <n v="62"/>
    <n v="34"/>
    <n v="7"/>
    <n v="73141.570000000007"/>
    <n v="16"/>
    <n v="56591.57"/>
    <n v="14"/>
    <n v="64"/>
    <n v="272"/>
    <n v="2025"/>
    <x v="1"/>
    <x v="2"/>
    <x v="1"/>
  </r>
  <r>
    <x v="1"/>
    <x v="49"/>
    <x v="1"/>
    <x v="65"/>
    <n v="1"/>
    <n v="1"/>
    <n v="0"/>
    <n v="0"/>
    <n v="0"/>
    <n v="0"/>
    <n v="0"/>
    <n v="0"/>
    <n v="0"/>
    <n v="1"/>
    <n v="2025"/>
    <x v="1"/>
    <x v="2"/>
    <x v="1"/>
  </r>
  <r>
    <x v="1"/>
    <x v="49"/>
    <x v="1"/>
    <x v="60"/>
    <n v="4"/>
    <n v="4"/>
    <n v="0"/>
    <n v="0"/>
    <n v="0"/>
    <n v="0"/>
    <n v="0"/>
    <n v="0"/>
    <n v="0"/>
    <n v="4"/>
    <n v="2025"/>
    <x v="1"/>
    <x v="2"/>
    <x v="1"/>
  </r>
  <r>
    <x v="1"/>
    <x v="49"/>
    <x v="1"/>
    <x v="39"/>
    <n v="2"/>
    <n v="2"/>
    <n v="0"/>
    <n v="0"/>
    <n v="0"/>
    <n v="0"/>
    <n v="0"/>
    <n v="0"/>
    <n v="0"/>
    <n v="2"/>
    <n v="2025"/>
    <x v="1"/>
    <x v="2"/>
    <x v="1"/>
  </r>
  <r>
    <x v="1"/>
    <x v="49"/>
    <x v="1"/>
    <x v="64"/>
    <n v="432"/>
    <n v="202"/>
    <n v="17"/>
    <n v="4"/>
    <n v="16170"/>
    <n v="7"/>
    <n v="13775"/>
    <n v="6"/>
    <n v="91"/>
    <n v="422"/>
    <n v="2025"/>
    <x v="1"/>
    <x v="2"/>
    <x v="1"/>
  </r>
  <r>
    <x v="1"/>
    <x v="49"/>
    <x v="1"/>
    <x v="42"/>
    <n v="135"/>
    <n v="54"/>
    <n v="3"/>
    <n v="5"/>
    <n v="2937"/>
    <n v="1"/>
    <n v="2937"/>
    <n v="1"/>
    <n v="16"/>
    <n v="131"/>
    <n v="2025"/>
    <x v="1"/>
    <x v="2"/>
    <x v="1"/>
  </r>
  <r>
    <x v="1"/>
    <x v="49"/>
    <x v="1"/>
    <x v="43"/>
    <n v="132"/>
    <n v="73"/>
    <n v="6"/>
    <n v="1"/>
    <n v="1917"/>
    <n v="1"/>
    <n v="1917"/>
    <n v="1"/>
    <n v="97"/>
    <n v="81"/>
    <n v="2025"/>
    <x v="1"/>
    <x v="2"/>
    <x v="1"/>
  </r>
  <r>
    <x v="1"/>
    <x v="49"/>
    <x v="1"/>
    <x v="44"/>
    <n v="29"/>
    <n v="9"/>
    <n v="3"/>
    <n v="0"/>
    <n v="20453"/>
    <n v="4"/>
    <n v="18855"/>
    <n v="4"/>
    <n v="1"/>
    <n v="29"/>
    <n v="2025"/>
    <x v="1"/>
    <x v="2"/>
    <x v="1"/>
  </r>
  <r>
    <x v="1"/>
    <x v="49"/>
    <x v="1"/>
    <x v="45"/>
    <n v="4"/>
    <n v="0"/>
    <n v="0"/>
    <n v="0"/>
    <n v="0"/>
    <n v="0"/>
    <n v="0"/>
    <n v="0"/>
    <n v="0"/>
    <n v="4"/>
    <n v="2025"/>
    <x v="1"/>
    <x v="2"/>
    <x v="1"/>
  </r>
  <r>
    <x v="1"/>
    <x v="50"/>
    <x v="0"/>
    <x v="0"/>
    <n v="360"/>
    <n v="142"/>
    <n v="8"/>
    <n v="0"/>
    <n v="5670"/>
    <n v="2"/>
    <n v="0"/>
    <n v="0"/>
    <n v="5"/>
    <n v="356"/>
    <n v="2025"/>
    <x v="1"/>
    <x v="2"/>
    <x v="1"/>
  </r>
  <r>
    <x v="1"/>
    <x v="50"/>
    <x v="0"/>
    <x v="1"/>
    <n v="17311"/>
    <n v="11518"/>
    <n v="271"/>
    <n v="248"/>
    <n v="55048"/>
    <n v="17"/>
    <n v="17172"/>
    <n v="5"/>
    <n v="1225"/>
    <n v="17060"/>
    <n v="2025"/>
    <x v="1"/>
    <x v="2"/>
    <x v="1"/>
  </r>
  <r>
    <x v="1"/>
    <x v="50"/>
    <x v="0"/>
    <x v="3"/>
    <n v="1"/>
    <n v="0"/>
    <n v="0"/>
    <n v="0"/>
    <n v="0"/>
    <n v="0"/>
    <n v="0"/>
    <n v="0"/>
    <n v="0"/>
    <n v="1"/>
    <n v="2025"/>
    <x v="1"/>
    <x v="2"/>
    <x v="1"/>
  </r>
  <r>
    <x v="1"/>
    <x v="50"/>
    <x v="1"/>
    <x v="5"/>
    <n v="6"/>
    <n v="3"/>
    <n v="0"/>
    <n v="0"/>
    <n v="0"/>
    <n v="0"/>
    <n v="0"/>
    <n v="0"/>
    <n v="0"/>
    <n v="6"/>
    <n v="2025"/>
    <x v="1"/>
    <x v="2"/>
    <x v="1"/>
  </r>
  <r>
    <x v="1"/>
    <x v="50"/>
    <x v="1"/>
    <x v="7"/>
    <n v="355"/>
    <n v="63"/>
    <n v="25"/>
    <n v="5"/>
    <n v="34327"/>
    <n v="10"/>
    <n v="30027"/>
    <n v="9"/>
    <n v="74"/>
    <n v="347"/>
    <n v="2025"/>
    <x v="1"/>
    <x v="2"/>
    <x v="1"/>
  </r>
  <r>
    <x v="1"/>
    <x v="50"/>
    <x v="1"/>
    <x v="8"/>
    <n v="19"/>
    <n v="6"/>
    <n v="5"/>
    <n v="1"/>
    <n v="0"/>
    <n v="0"/>
    <n v="0"/>
    <n v="0"/>
    <n v="0"/>
    <n v="19"/>
    <n v="2025"/>
    <x v="1"/>
    <x v="2"/>
    <x v="1"/>
  </r>
  <r>
    <x v="1"/>
    <x v="50"/>
    <x v="1"/>
    <x v="9"/>
    <n v="2"/>
    <n v="1"/>
    <n v="0"/>
    <n v="0"/>
    <n v="0"/>
    <n v="0"/>
    <n v="0"/>
    <n v="0"/>
    <n v="0"/>
    <n v="2"/>
    <n v="2025"/>
    <x v="1"/>
    <x v="2"/>
    <x v="1"/>
  </r>
  <r>
    <x v="1"/>
    <x v="50"/>
    <x v="1"/>
    <x v="10"/>
    <n v="5"/>
    <n v="4"/>
    <n v="0"/>
    <n v="0"/>
    <n v="0"/>
    <n v="0"/>
    <n v="0"/>
    <n v="0"/>
    <n v="1"/>
    <n v="5"/>
    <n v="2025"/>
    <x v="1"/>
    <x v="2"/>
    <x v="1"/>
  </r>
  <r>
    <x v="1"/>
    <x v="50"/>
    <x v="1"/>
    <x v="11"/>
    <n v="1"/>
    <n v="1"/>
    <n v="0"/>
    <n v="0"/>
    <n v="0"/>
    <n v="0"/>
    <n v="0"/>
    <n v="0"/>
    <n v="1"/>
    <n v="0"/>
    <n v="2025"/>
    <x v="1"/>
    <x v="2"/>
    <x v="1"/>
  </r>
  <r>
    <x v="1"/>
    <x v="50"/>
    <x v="1"/>
    <x v="59"/>
    <n v="207"/>
    <n v="75"/>
    <n v="21"/>
    <n v="4"/>
    <n v="6915"/>
    <n v="1"/>
    <n v="6915"/>
    <n v="1"/>
    <n v="63"/>
    <n v="177"/>
    <n v="2025"/>
    <x v="1"/>
    <x v="2"/>
    <x v="1"/>
  </r>
  <r>
    <x v="1"/>
    <x v="50"/>
    <x v="1"/>
    <x v="15"/>
    <n v="38"/>
    <n v="36"/>
    <n v="1"/>
    <n v="0"/>
    <n v="0"/>
    <n v="0"/>
    <n v="0"/>
    <n v="0"/>
    <n v="0"/>
    <n v="38"/>
    <n v="2025"/>
    <x v="1"/>
    <x v="2"/>
    <x v="1"/>
  </r>
  <r>
    <x v="1"/>
    <x v="50"/>
    <x v="1"/>
    <x v="17"/>
    <n v="416"/>
    <n v="256"/>
    <n v="11"/>
    <n v="2"/>
    <n v="0"/>
    <n v="0"/>
    <n v="0"/>
    <n v="0"/>
    <n v="1"/>
    <n v="415"/>
    <n v="2025"/>
    <x v="1"/>
    <x v="2"/>
    <x v="1"/>
  </r>
  <r>
    <x v="1"/>
    <x v="50"/>
    <x v="1"/>
    <x v="18"/>
    <n v="11"/>
    <n v="8"/>
    <n v="1"/>
    <n v="0"/>
    <n v="11555"/>
    <n v="2"/>
    <n v="5710"/>
    <n v="1"/>
    <n v="1"/>
    <n v="11"/>
    <n v="2025"/>
    <x v="1"/>
    <x v="2"/>
    <x v="1"/>
  </r>
  <r>
    <x v="1"/>
    <x v="50"/>
    <x v="1"/>
    <x v="19"/>
    <n v="565"/>
    <n v="301"/>
    <n v="38"/>
    <n v="7"/>
    <n v="12280"/>
    <n v="3"/>
    <n v="12280"/>
    <n v="3"/>
    <n v="226"/>
    <n v="422"/>
    <n v="2025"/>
    <x v="1"/>
    <x v="2"/>
    <x v="1"/>
  </r>
  <r>
    <x v="1"/>
    <x v="50"/>
    <x v="1"/>
    <x v="20"/>
    <n v="3"/>
    <n v="2"/>
    <n v="0"/>
    <n v="0"/>
    <n v="0"/>
    <n v="0"/>
    <n v="0"/>
    <n v="0"/>
    <n v="0"/>
    <n v="3"/>
    <n v="2025"/>
    <x v="1"/>
    <x v="2"/>
    <x v="1"/>
  </r>
  <r>
    <x v="1"/>
    <x v="50"/>
    <x v="1"/>
    <x v="22"/>
    <n v="12"/>
    <n v="2"/>
    <n v="0"/>
    <n v="0"/>
    <n v="0"/>
    <n v="0"/>
    <n v="0"/>
    <n v="0"/>
    <n v="0"/>
    <n v="12"/>
    <n v="2025"/>
    <x v="1"/>
    <x v="2"/>
    <x v="1"/>
  </r>
  <r>
    <x v="1"/>
    <x v="50"/>
    <x v="1"/>
    <x v="24"/>
    <n v="19"/>
    <n v="13"/>
    <n v="1"/>
    <n v="0"/>
    <n v="0"/>
    <n v="0"/>
    <n v="0"/>
    <n v="0"/>
    <n v="5"/>
    <n v="17"/>
    <n v="2025"/>
    <x v="1"/>
    <x v="2"/>
    <x v="1"/>
  </r>
  <r>
    <x v="1"/>
    <x v="50"/>
    <x v="1"/>
    <x v="27"/>
    <n v="130"/>
    <n v="36"/>
    <n v="8"/>
    <n v="3"/>
    <n v="11862"/>
    <n v="3"/>
    <n v="11862"/>
    <n v="3"/>
    <n v="52"/>
    <n v="111"/>
    <n v="2025"/>
    <x v="1"/>
    <x v="2"/>
    <x v="1"/>
  </r>
  <r>
    <x v="1"/>
    <x v="50"/>
    <x v="1"/>
    <x v="29"/>
    <n v="758"/>
    <n v="572"/>
    <n v="41"/>
    <n v="9"/>
    <n v="5657"/>
    <n v="2"/>
    <n v="5657"/>
    <n v="2"/>
    <n v="335"/>
    <n v="570"/>
    <n v="2025"/>
    <x v="1"/>
    <x v="2"/>
    <x v="1"/>
  </r>
  <r>
    <x v="1"/>
    <x v="50"/>
    <x v="1"/>
    <x v="30"/>
    <n v="3379"/>
    <n v="2413"/>
    <n v="48"/>
    <n v="23"/>
    <n v="8565"/>
    <n v="4"/>
    <n v="5385"/>
    <n v="2"/>
    <n v="217"/>
    <n v="3309"/>
    <n v="2025"/>
    <x v="1"/>
    <x v="2"/>
    <x v="1"/>
  </r>
  <r>
    <x v="1"/>
    <x v="50"/>
    <x v="1"/>
    <x v="31"/>
    <n v="87"/>
    <n v="61"/>
    <n v="4"/>
    <n v="0"/>
    <n v="0"/>
    <n v="0"/>
    <n v="0"/>
    <n v="0"/>
    <n v="16"/>
    <n v="85"/>
    <n v="2025"/>
    <x v="1"/>
    <x v="2"/>
    <x v="1"/>
  </r>
  <r>
    <x v="1"/>
    <x v="50"/>
    <x v="1"/>
    <x v="32"/>
    <n v="3"/>
    <n v="2"/>
    <n v="0"/>
    <n v="0"/>
    <n v="0"/>
    <n v="0"/>
    <n v="0"/>
    <n v="0"/>
    <n v="0"/>
    <n v="3"/>
    <n v="2025"/>
    <x v="1"/>
    <x v="2"/>
    <x v="1"/>
  </r>
  <r>
    <x v="1"/>
    <x v="50"/>
    <x v="1"/>
    <x v="34"/>
    <n v="217"/>
    <n v="114"/>
    <n v="11"/>
    <n v="3"/>
    <n v="0"/>
    <n v="0"/>
    <n v="0"/>
    <n v="0"/>
    <n v="57"/>
    <n v="200"/>
    <n v="2025"/>
    <x v="1"/>
    <x v="2"/>
    <x v="1"/>
  </r>
  <r>
    <x v="1"/>
    <x v="50"/>
    <x v="1"/>
    <x v="35"/>
    <n v="1"/>
    <n v="0"/>
    <n v="0"/>
    <n v="0"/>
    <n v="0"/>
    <n v="0"/>
    <n v="0"/>
    <n v="0"/>
    <n v="0"/>
    <n v="1"/>
    <n v="2025"/>
    <x v="1"/>
    <x v="2"/>
    <x v="1"/>
  </r>
  <r>
    <x v="1"/>
    <x v="50"/>
    <x v="1"/>
    <x v="36"/>
    <n v="3"/>
    <n v="3"/>
    <n v="0"/>
    <n v="0"/>
    <n v="0"/>
    <n v="0"/>
    <n v="0"/>
    <n v="0"/>
    <n v="1"/>
    <n v="2"/>
    <n v="2025"/>
    <x v="1"/>
    <x v="2"/>
    <x v="1"/>
  </r>
  <r>
    <x v="1"/>
    <x v="50"/>
    <x v="1"/>
    <x v="38"/>
    <n v="248"/>
    <n v="55"/>
    <n v="21"/>
    <n v="8"/>
    <n v="25765"/>
    <n v="7"/>
    <n v="14090"/>
    <n v="4"/>
    <n v="53"/>
    <n v="239"/>
    <n v="2025"/>
    <x v="1"/>
    <x v="2"/>
    <x v="1"/>
  </r>
  <r>
    <x v="1"/>
    <x v="50"/>
    <x v="1"/>
    <x v="65"/>
    <n v="1"/>
    <n v="1"/>
    <n v="0"/>
    <n v="0"/>
    <n v="0"/>
    <n v="0"/>
    <n v="0"/>
    <n v="0"/>
    <n v="0"/>
    <n v="1"/>
    <n v="2025"/>
    <x v="1"/>
    <x v="2"/>
    <x v="1"/>
  </r>
  <r>
    <x v="1"/>
    <x v="50"/>
    <x v="1"/>
    <x v="60"/>
    <n v="9"/>
    <n v="7"/>
    <n v="1"/>
    <n v="0"/>
    <n v="0"/>
    <n v="0"/>
    <n v="0"/>
    <n v="0"/>
    <n v="0"/>
    <n v="9"/>
    <n v="2025"/>
    <x v="1"/>
    <x v="2"/>
    <x v="1"/>
  </r>
  <r>
    <x v="1"/>
    <x v="50"/>
    <x v="1"/>
    <x v="39"/>
    <n v="1"/>
    <n v="0"/>
    <n v="0"/>
    <n v="0"/>
    <n v="0"/>
    <n v="0"/>
    <n v="0"/>
    <n v="0"/>
    <n v="1"/>
    <n v="1"/>
    <n v="2025"/>
    <x v="1"/>
    <x v="2"/>
    <x v="1"/>
  </r>
  <r>
    <x v="1"/>
    <x v="50"/>
    <x v="1"/>
    <x v="64"/>
    <n v="463"/>
    <n v="229"/>
    <n v="17"/>
    <n v="3"/>
    <n v="3395"/>
    <n v="1"/>
    <n v="3395"/>
    <n v="1"/>
    <n v="70"/>
    <n v="457"/>
    <n v="2025"/>
    <x v="1"/>
    <x v="2"/>
    <x v="1"/>
  </r>
  <r>
    <x v="1"/>
    <x v="50"/>
    <x v="1"/>
    <x v="42"/>
    <n v="187"/>
    <n v="100"/>
    <n v="2"/>
    <n v="3"/>
    <n v="0"/>
    <n v="0"/>
    <n v="0"/>
    <n v="0"/>
    <n v="12"/>
    <n v="175"/>
    <n v="2025"/>
    <x v="1"/>
    <x v="2"/>
    <x v="1"/>
  </r>
  <r>
    <x v="1"/>
    <x v="50"/>
    <x v="1"/>
    <x v="43"/>
    <n v="88"/>
    <n v="49"/>
    <n v="4"/>
    <n v="2"/>
    <n v="8405"/>
    <n v="2"/>
    <n v="8405"/>
    <n v="2"/>
    <n v="73"/>
    <n v="49"/>
    <n v="2025"/>
    <x v="1"/>
    <x v="2"/>
    <x v="1"/>
  </r>
  <r>
    <x v="1"/>
    <x v="50"/>
    <x v="1"/>
    <x v="44"/>
    <n v="25"/>
    <n v="6"/>
    <n v="0"/>
    <n v="1"/>
    <n v="0"/>
    <n v="0"/>
    <n v="0"/>
    <n v="0"/>
    <n v="0"/>
    <n v="25"/>
    <n v="2025"/>
    <x v="1"/>
    <x v="2"/>
    <x v="1"/>
  </r>
  <r>
    <x v="1"/>
    <x v="50"/>
    <x v="1"/>
    <x v="45"/>
    <n v="11"/>
    <n v="2"/>
    <n v="0"/>
    <n v="0"/>
    <n v="0"/>
    <n v="0"/>
    <n v="0"/>
    <n v="0"/>
    <n v="1"/>
    <n v="11"/>
    <n v="2025"/>
    <x v="1"/>
    <x v="2"/>
    <x v="1"/>
  </r>
  <r>
    <x v="1"/>
    <x v="51"/>
    <x v="0"/>
    <x v="0"/>
    <n v="704"/>
    <n v="377"/>
    <n v="292"/>
    <n v="13"/>
    <n v="330025"/>
    <n v="89"/>
    <n v="253120"/>
    <n v="74"/>
    <n v="13"/>
    <n v="704"/>
    <n v="2025"/>
    <x v="1"/>
    <x v="2"/>
    <x v="1"/>
  </r>
  <r>
    <x v="1"/>
    <x v="51"/>
    <x v="0"/>
    <x v="1"/>
    <n v="17734"/>
    <n v="11892"/>
    <n v="327"/>
    <n v="264"/>
    <n v="381997.74"/>
    <n v="77"/>
    <n v="209676.74"/>
    <n v="58"/>
    <n v="1201"/>
    <n v="17473"/>
    <n v="2025"/>
    <x v="1"/>
    <x v="2"/>
    <x v="1"/>
  </r>
  <r>
    <x v="1"/>
    <x v="51"/>
    <x v="0"/>
    <x v="2"/>
    <n v="2"/>
    <n v="0"/>
    <n v="0"/>
    <n v="0"/>
    <n v="0"/>
    <n v="0"/>
    <n v="0"/>
    <n v="0"/>
    <n v="1"/>
    <n v="1"/>
    <n v="2025"/>
    <x v="1"/>
    <x v="2"/>
    <x v="1"/>
  </r>
  <r>
    <x v="1"/>
    <x v="51"/>
    <x v="0"/>
    <x v="3"/>
    <n v="3"/>
    <n v="2"/>
    <n v="0"/>
    <n v="0"/>
    <n v="0"/>
    <n v="0"/>
    <n v="0"/>
    <n v="0"/>
    <n v="0"/>
    <n v="2"/>
    <n v="2025"/>
    <x v="1"/>
    <x v="2"/>
    <x v="1"/>
  </r>
  <r>
    <x v="1"/>
    <x v="51"/>
    <x v="1"/>
    <x v="5"/>
    <n v="4"/>
    <n v="4"/>
    <n v="0"/>
    <n v="0"/>
    <n v="0"/>
    <n v="0"/>
    <n v="0"/>
    <n v="0"/>
    <n v="0"/>
    <n v="4"/>
    <n v="2025"/>
    <x v="1"/>
    <x v="2"/>
    <x v="1"/>
  </r>
  <r>
    <x v="1"/>
    <x v="51"/>
    <x v="1"/>
    <x v="7"/>
    <n v="485"/>
    <n v="173"/>
    <n v="110"/>
    <n v="6"/>
    <n v="302495.48"/>
    <n v="98"/>
    <n v="256368.48"/>
    <n v="87"/>
    <n v="157"/>
    <n v="467"/>
    <n v="2025"/>
    <x v="1"/>
    <x v="2"/>
    <x v="1"/>
  </r>
  <r>
    <x v="1"/>
    <x v="51"/>
    <x v="1"/>
    <x v="8"/>
    <n v="17"/>
    <n v="6"/>
    <n v="3"/>
    <n v="1"/>
    <n v="0"/>
    <n v="0"/>
    <n v="0"/>
    <n v="0"/>
    <n v="0"/>
    <n v="17"/>
    <n v="2025"/>
    <x v="1"/>
    <x v="2"/>
    <x v="1"/>
  </r>
  <r>
    <x v="1"/>
    <x v="51"/>
    <x v="1"/>
    <x v="9"/>
    <n v="3"/>
    <n v="0"/>
    <n v="0"/>
    <n v="0"/>
    <n v="0"/>
    <n v="0"/>
    <n v="0"/>
    <n v="0"/>
    <n v="0"/>
    <n v="3"/>
    <n v="2025"/>
    <x v="1"/>
    <x v="2"/>
    <x v="1"/>
  </r>
  <r>
    <x v="1"/>
    <x v="51"/>
    <x v="1"/>
    <x v="10"/>
    <n v="8"/>
    <n v="4"/>
    <n v="1"/>
    <n v="0"/>
    <n v="0"/>
    <n v="0"/>
    <n v="0"/>
    <n v="0"/>
    <n v="5"/>
    <n v="8"/>
    <n v="2025"/>
    <x v="1"/>
    <x v="2"/>
    <x v="1"/>
  </r>
  <r>
    <x v="1"/>
    <x v="51"/>
    <x v="1"/>
    <x v="11"/>
    <n v="4"/>
    <n v="4"/>
    <n v="0"/>
    <n v="0"/>
    <n v="0"/>
    <n v="0"/>
    <n v="0"/>
    <n v="0"/>
    <n v="3"/>
    <n v="1"/>
    <n v="2025"/>
    <x v="1"/>
    <x v="2"/>
    <x v="1"/>
  </r>
  <r>
    <x v="1"/>
    <x v="51"/>
    <x v="1"/>
    <x v="59"/>
    <n v="209"/>
    <n v="97"/>
    <n v="14"/>
    <n v="6"/>
    <n v="47955"/>
    <n v="12"/>
    <n v="40990"/>
    <n v="12"/>
    <n v="68"/>
    <n v="179"/>
    <n v="2025"/>
    <x v="1"/>
    <x v="2"/>
    <x v="1"/>
  </r>
  <r>
    <x v="1"/>
    <x v="51"/>
    <x v="1"/>
    <x v="15"/>
    <n v="27"/>
    <n v="25"/>
    <n v="0"/>
    <n v="0"/>
    <n v="0"/>
    <n v="0"/>
    <n v="0"/>
    <n v="0"/>
    <n v="0"/>
    <n v="27"/>
    <n v="2025"/>
    <x v="1"/>
    <x v="2"/>
    <x v="1"/>
  </r>
  <r>
    <x v="1"/>
    <x v="51"/>
    <x v="1"/>
    <x v="17"/>
    <n v="411"/>
    <n v="249"/>
    <n v="7"/>
    <n v="1"/>
    <n v="0"/>
    <n v="0"/>
    <n v="0"/>
    <n v="0"/>
    <n v="0"/>
    <n v="411"/>
    <n v="2025"/>
    <x v="1"/>
    <x v="2"/>
    <x v="1"/>
  </r>
  <r>
    <x v="1"/>
    <x v="51"/>
    <x v="1"/>
    <x v="18"/>
    <n v="56"/>
    <n v="52"/>
    <n v="28"/>
    <n v="0"/>
    <n v="44615"/>
    <n v="15"/>
    <n v="42325"/>
    <n v="15"/>
    <n v="4"/>
    <n v="55"/>
    <n v="2025"/>
    <x v="1"/>
    <x v="2"/>
    <x v="1"/>
  </r>
  <r>
    <x v="1"/>
    <x v="51"/>
    <x v="1"/>
    <x v="19"/>
    <n v="699"/>
    <n v="424"/>
    <n v="109"/>
    <n v="9"/>
    <n v="165547.74"/>
    <n v="51"/>
    <n v="116637.74"/>
    <n v="39"/>
    <n v="266"/>
    <n v="512"/>
    <n v="2025"/>
    <x v="1"/>
    <x v="2"/>
    <x v="1"/>
  </r>
  <r>
    <x v="1"/>
    <x v="51"/>
    <x v="1"/>
    <x v="20"/>
    <n v="8"/>
    <n v="7"/>
    <n v="0"/>
    <n v="0"/>
    <n v="2875"/>
    <n v="1"/>
    <n v="2875"/>
    <n v="1"/>
    <n v="0"/>
    <n v="8"/>
    <n v="2025"/>
    <x v="1"/>
    <x v="2"/>
    <x v="1"/>
  </r>
  <r>
    <x v="1"/>
    <x v="51"/>
    <x v="1"/>
    <x v="22"/>
    <n v="13"/>
    <n v="6"/>
    <n v="1"/>
    <n v="0"/>
    <n v="4565"/>
    <n v="2"/>
    <n v="4565"/>
    <n v="2"/>
    <n v="1"/>
    <n v="13"/>
    <n v="2025"/>
    <x v="1"/>
    <x v="2"/>
    <x v="1"/>
  </r>
  <r>
    <x v="1"/>
    <x v="51"/>
    <x v="1"/>
    <x v="24"/>
    <n v="20"/>
    <n v="13"/>
    <n v="3"/>
    <n v="1"/>
    <n v="10065"/>
    <n v="3"/>
    <n v="7270"/>
    <n v="3"/>
    <n v="2"/>
    <n v="18"/>
    <n v="2025"/>
    <x v="1"/>
    <x v="2"/>
    <x v="1"/>
  </r>
  <r>
    <x v="1"/>
    <x v="51"/>
    <x v="1"/>
    <x v="27"/>
    <n v="111"/>
    <n v="44"/>
    <n v="13"/>
    <n v="2"/>
    <n v="63842"/>
    <n v="12"/>
    <n v="48801"/>
    <n v="11"/>
    <n v="56"/>
    <n v="85"/>
    <n v="2025"/>
    <x v="1"/>
    <x v="2"/>
    <x v="1"/>
  </r>
  <r>
    <x v="1"/>
    <x v="51"/>
    <x v="1"/>
    <x v="29"/>
    <n v="781"/>
    <n v="581"/>
    <n v="63"/>
    <n v="9"/>
    <n v="64691"/>
    <n v="17"/>
    <n v="53371"/>
    <n v="17"/>
    <n v="351"/>
    <n v="575"/>
    <n v="2025"/>
    <x v="1"/>
    <x v="2"/>
    <x v="1"/>
  </r>
  <r>
    <x v="1"/>
    <x v="51"/>
    <x v="1"/>
    <x v="30"/>
    <n v="5121"/>
    <n v="4045"/>
    <n v="62"/>
    <n v="37"/>
    <n v="45851"/>
    <n v="11"/>
    <n v="36275"/>
    <n v="11"/>
    <n v="308"/>
    <n v="4930"/>
    <n v="2025"/>
    <x v="1"/>
    <x v="2"/>
    <x v="1"/>
  </r>
  <r>
    <x v="1"/>
    <x v="51"/>
    <x v="1"/>
    <x v="31"/>
    <n v="89"/>
    <n v="57"/>
    <n v="11"/>
    <n v="2"/>
    <n v="15998"/>
    <n v="5"/>
    <n v="13203"/>
    <n v="4"/>
    <n v="16"/>
    <n v="88"/>
    <n v="2025"/>
    <x v="1"/>
    <x v="2"/>
    <x v="1"/>
  </r>
  <r>
    <x v="1"/>
    <x v="51"/>
    <x v="1"/>
    <x v="32"/>
    <n v="1"/>
    <n v="0"/>
    <n v="0"/>
    <n v="0"/>
    <n v="0"/>
    <n v="0"/>
    <n v="0"/>
    <n v="0"/>
    <n v="0"/>
    <n v="1"/>
    <n v="2025"/>
    <x v="1"/>
    <x v="2"/>
    <x v="1"/>
  </r>
  <r>
    <x v="1"/>
    <x v="51"/>
    <x v="1"/>
    <x v="34"/>
    <n v="243"/>
    <n v="126"/>
    <n v="7"/>
    <n v="2"/>
    <n v="12165"/>
    <n v="2"/>
    <n v="4980"/>
    <n v="1"/>
    <n v="73"/>
    <n v="227"/>
    <n v="2025"/>
    <x v="1"/>
    <x v="2"/>
    <x v="1"/>
  </r>
  <r>
    <x v="1"/>
    <x v="51"/>
    <x v="1"/>
    <x v="35"/>
    <n v="1"/>
    <n v="0"/>
    <n v="0"/>
    <n v="0"/>
    <n v="0"/>
    <n v="0"/>
    <n v="0"/>
    <n v="0"/>
    <n v="0"/>
    <n v="1"/>
    <n v="2025"/>
    <x v="1"/>
    <x v="2"/>
    <x v="1"/>
  </r>
  <r>
    <x v="1"/>
    <x v="51"/>
    <x v="1"/>
    <x v="36"/>
    <n v="2"/>
    <n v="2"/>
    <n v="0"/>
    <n v="0"/>
    <n v="0"/>
    <n v="0"/>
    <n v="0"/>
    <n v="0"/>
    <n v="0"/>
    <n v="2"/>
    <n v="2025"/>
    <x v="1"/>
    <x v="2"/>
    <x v="1"/>
  </r>
  <r>
    <x v="1"/>
    <x v="51"/>
    <x v="1"/>
    <x v="38"/>
    <n v="328"/>
    <n v="106"/>
    <n v="68"/>
    <n v="13"/>
    <n v="188490"/>
    <n v="48"/>
    <n v="129781"/>
    <n v="38"/>
    <n v="80"/>
    <n v="315"/>
    <n v="2025"/>
    <x v="1"/>
    <x v="2"/>
    <x v="1"/>
  </r>
  <r>
    <x v="1"/>
    <x v="51"/>
    <x v="1"/>
    <x v="65"/>
    <n v="2"/>
    <n v="2"/>
    <n v="0"/>
    <n v="0"/>
    <n v="0"/>
    <n v="0"/>
    <n v="0"/>
    <n v="0"/>
    <n v="0"/>
    <n v="2"/>
    <n v="2025"/>
    <x v="1"/>
    <x v="2"/>
    <x v="1"/>
  </r>
  <r>
    <x v="1"/>
    <x v="51"/>
    <x v="1"/>
    <x v="60"/>
    <n v="4"/>
    <n v="4"/>
    <n v="0"/>
    <n v="1"/>
    <n v="0"/>
    <n v="0"/>
    <n v="0"/>
    <n v="0"/>
    <n v="1"/>
    <n v="4"/>
    <n v="2025"/>
    <x v="1"/>
    <x v="2"/>
    <x v="1"/>
  </r>
  <r>
    <x v="1"/>
    <x v="51"/>
    <x v="1"/>
    <x v="39"/>
    <n v="1"/>
    <n v="1"/>
    <n v="0"/>
    <n v="0"/>
    <n v="0"/>
    <n v="0"/>
    <n v="0"/>
    <n v="0"/>
    <n v="0"/>
    <n v="1"/>
    <n v="2025"/>
    <x v="1"/>
    <x v="2"/>
    <x v="1"/>
  </r>
  <r>
    <x v="1"/>
    <x v="51"/>
    <x v="1"/>
    <x v="64"/>
    <n v="455"/>
    <n v="240"/>
    <n v="25"/>
    <n v="3"/>
    <n v="48882.26"/>
    <n v="12"/>
    <n v="33060.26"/>
    <n v="9"/>
    <n v="61"/>
    <n v="449"/>
    <n v="2025"/>
    <x v="1"/>
    <x v="2"/>
    <x v="1"/>
  </r>
  <r>
    <x v="1"/>
    <x v="51"/>
    <x v="1"/>
    <x v="42"/>
    <n v="148"/>
    <n v="59"/>
    <n v="6"/>
    <n v="3"/>
    <n v="2298"/>
    <n v="1"/>
    <n v="2298"/>
    <n v="1"/>
    <n v="13"/>
    <n v="145"/>
    <n v="2025"/>
    <x v="1"/>
    <x v="2"/>
    <x v="1"/>
  </r>
  <r>
    <x v="1"/>
    <x v="51"/>
    <x v="1"/>
    <x v="43"/>
    <n v="79"/>
    <n v="37"/>
    <n v="0"/>
    <n v="0"/>
    <n v="0"/>
    <n v="0"/>
    <n v="0"/>
    <n v="0"/>
    <n v="63"/>
    <n v="52"/>
    <n v="2025"/>
    <x v="1"/>
    <x v="2"/>
    <x v="1"/>
  </r>
  <r>
    <x v="1"/>
    <x v="51"/>
    <x v="1"/>
    <x v="44"/>
    <n v="34"/>
    <n v="8"/>
    <n v="0"/>
    <n v="0"/>
    <n v="9930"/>
    <n v="4"/>
    <n v="9930"/>
    <n v="4"/>
    <n v="0"/>
    <n v="34"/>
    <n v="2025"/>
    <x v="1"/>
    <x v="2"/>
    <x v="1"/>
  </r>
  <r>
    <x v="1"/>
    <x v="51"/>
    <x v="1"/>
    <x v="45"/>
    <n v="1"/>
    <n v="0"/>
    <n v="0"/>
    <n v="0"/>
    <n v="0"/>
    <n v="0"/>
    <n v="0"/>
    <n v="0"/>
    <n v="0"/>
    <n v="1"/>
    <n v="2025"/>
    <x v="1"/>
    <x v="2"/>
    <x v="1"/>
  </r>
  <r>
    <x v="1"/>
    <x v="52"/>
    <x v="0"/>
    <x v="0"/>
    <n v="375"/>
    <n v="124"/>
    <n v="12"/>
    <n v="3"/>
    <n v="8994.02"/>
    <n v="3"/>
    <n v="8994.02"/>
    <n v="3"/>
    <n v="5"/>
    <n v="375"/>
    <n v="2025"/>
    <x v="1"/>
    <x v="2"/>
    <x v="1"/>
  </r>
  <r>
    <x v="1"/>
    <x v="52"/>
    <x v="0"/>
    <x v="1"/>
    <n v="18658"/>
    <n v="12637"/>
    <n v="355"/>
    <n v="263"/>
    <n v="306934"/>
    <n v="56"/>
    <n v="129026"/>
    <n v="32"/>
    <n v="1285"/>
    <n v="18421"/>
    <n v="2025"/>
    <x v="1"/>
    <x v="2"/>
    <x v="1"/>
  </r>
  <r>
    <x v="1"/>
    <x v="52"/>
    <x v="0"/>
    <x v="3"/>
    <n v="2"/>
    <n v="1"/>
    <n v="0"/>
    <n v="0"/>
    <n v="0"/>
    <n v="0"/>
    <n v="0"/>
    <n v="0"/>
    <n v="0"/>
    <n v="1"/>
    <n v="2025"/>
    <x v="1"/>
    <x v="2"/>
    <x v="1"/>
  </r>
  <r>
    <x v="1"/>
    <x v="52"/>
    <x v="1"/>
    <x v="5"/>
    <n v="6"/>
    <n v="5"/>
    <n v="0"/>
    <n v="1"/>
    <n v="0"/>
    <n v="0"/>
    <n v="0"/>
    <n v="0"/>
    <n v="0"/>
    <n v="6"/>
    <n v="2025"/>
    <x v="1"/>
    <x v="2"/>
    <x v="1"/>
  </r>
  <r>
    <x v="1"/>
    <x v="52"/>
    <x v="1"/>
    <x v="6"/>
    <n v="2"/>
    <n v="2"/>
    <n v="0"/>
    <n v="0"/>
    <n v="0"/>
    <n v="0"/>
    <n v="0"/>
    <n v="0"/>
    <n v="0"/>
    <n v="0"/>
    <n v="2025"/>
    <x v="1"/>
    <x v="2"/>
    <x v="1"/>
  </r>
  <r>
    <x v="1"/>
    <x v="52"/>
    <x v="1"/>
    <x v="7"/>
    <n v="386"/>
    <n v="95"/>
    <n v="41"/>
    <n v="4"/>
    <n v="146191.79999999999"/>
    <n v="40"/>
    <n v="116746.8"/>
    <n v="35"/>
    <n v="92"/>
    <n v="367"/>
    <n v="2025"/>
    <x v="1"/>
    <x v="2"/>
    <x v="1"/>
  </r>
  <r>
    <x v="1"/>
    <x v="52"/>
    <x v="1"/>
    <x v="8"/>
    <n v="23"/>
    <n v="9"/>
    <n v="1"/>
    <n v="2"/>
    <n v="0"/>
    <n v="0"/>
    <n v="0"/>
    <n v="0"/>
    <n v="1"/>
    <n v="21"/>
    <n v="2025"/>
    <x v="1"/>
    <x v="2"/>
    <x v="1"/>
  </r>
  <r>
    <x v="1"/>
    <x v="52"/>
    <x v="1"/>
    <x v="9"/>
    <n v="2"/>
    <n v="2"/>
    <n v="0"/>
    <n v="0"/>
    <n v="0"/>
    <n v="0"/>
    <n v="0"/>
    <n v="0"/>
    <n v="0"/>
    <n v="2"/>
    <n v="2025"/>
    <x v="1"/>
    <x v="2"/>
    <x v="1"/>
  </r>
  <r>
    <x v="1"/>
    <x v="52"/>
    <x v="1"/>
    <x v="10"/>
    <n v="9"/>
    <n v="6"/>
    <n v="0"/>
    <n v="1"/>
    <n v="0"/>
    <n v="0"/>
    <n v="0"/>
    <n v="0"/>
    <n v="0"/>
    <n v="9"/>
    <n v="2025"/>
    <x v="1"/>
    <x v="2"/>
    <x v="1"/>
  </r>
  <r>
    <x v="1"/>
    <x v="52"/>
    <x v="1"/>
    <x v="11"/>
    <n v="3"/>
    <n v="2"/>
    <n v="0"/>
    <n v="0"/>
    <n v="0"/>
    <n v="0"/>
    <n v="0"/>
    <n v="0"/>
    <n v="1"/>
    <n v="2"/>
    <n v="2025"/>
    <x v="1"/>
    <x v="2"/>
    <x v="1"/>
  </r>
  <r>
    <x v="1"/>
    <x v="52"/>
    <x v="1"/>
    <x v="48"/>
    <n v="1"/>
    <n v="0"/>
    <n v="0"/>
    <n v="0"/>
    <n v="0"/>
    <n v="0"/>
    <n v="0"/>
    <n v="0"/>
    <n v="0"/>
    <n v="1"/>
    <n v="2025"/>
    <x v="1"/>
    <x v="2"/>
    <x v="1"/>
  </r>
  <r>
    <x v="1"/>
    <x v="52"/>
    <x v="1"/>
    <x v="59"/>
    <n v="228"/>
    <n v="109"/>
    <n v="17"/>
    <n v="2"/>
    <n v="19957"/>
    <n v="7"/>
    <n v="19957"/>
    <n v="7"/>
    <n v="62"/>
    <n v="189"/>
    <n v="2025"/>
    <x v="1"/>
    <x v="2"/>
    <x v="1"/>
  </r>
  <r>
    <x v="1"/>
    <x v="52"/>
    <x v="1"/>
    <x v="15"/>
    <n v="38"/>
    <n v="32"/>
    <n v="0"/>
    <n v="0"/>
    <n v="0"/>
    <n v="0"/>
    <n v="0"/>
    <n v="0"/>
    <n v="0"/>
    <n v="38"/>
    <n v="2025"/>
    <x v="1"/>
    <x v="2"/>
    <x v="1"/>
  </r>
  <r>
    <x v="1"/>
    <x v="52"/>
    <x v="1"/>
    <x v="17"/>
    <n v="381"/>
    <n v="231"/>
    <n v="1"/>
    <n v="0"/>
    <n v="0"/>
    <n v="0"/>
    <n v="0"/>
    <n v="0"/>
    <n v="1"/>
    <n v="380"/>
    <n v="2025"/>
    <x v="1"/>
    <x v="2"/>
    <x v="1"/>
  </r>
  <r>
    <x v="1"/>
    <x v="52"/>
    <x v="1"/>
    <x v="18"/>
    <n v="1"/>
    <n v="1"/>
    <n v="0"/>
    <n v="0"/>
    <n v="0"/>
    <n v="0"/>
    <n v="0"/>
    <n v="0"/>
    <n v="1"/>
    <n v="0"/>
    <n v="2025"/>
    <x v="1"/>
    <x v="2"/>
    <x v="1"/>
  </r>
  <r>
    <x v="1"/>
    <x v="52"/>
    <x v="1"/>
    <x v="19"/>
    <n v="636"/>
    <n v="392"/>
    <n v="38"/>
    <n v="9"/>
    <n v="63905"/>
    <n v="15"/>
    <n v="48545"/>
    <n v="14"/>
    <n v="263"/>
    <n v="413"/>
    <n v="2025"/>
    <x v="1"/>
    <x v="2"/>
    <x v="1"/>
  </r>
  <r>
    <x v="1"/>
    <x v="52"/>
    <x v="1"/>
    <x v="20"/>
    <n v="29"/>
    <n v="15"/>
    <n v="0"/>
    <n v="0"/>
    <n v="0"/>
    <n v="0"/>
    <n v="0"/>
    <n v="0"/>
    <n v="3"/>
    <n v="29"/>
    <n v="2025"/>
    <x v="1"/>
    <x v="2"/>
    <x v="1"/>
  </r>
  <r>
    <x v="1"/>
    <x v="52"/>
    <x v="1"/>
    <x v="22"/>
    <n v="8"/>
    <n v="1"/>
    <n v="0"/>
    <n v="0"/>
    <n v="0"/>
    <n v="0"/>
    <n v="0"/>
    <n v="0"/>
    <n v="1"/>
    <n v="7"/>
    <n v="2025"/>
    <x v="1"/>
    <x v="2"/>
    <x v="1"/>
  </r>
  <r>
    <x v="1"/>
    <x v="52"/>
    <x v="1"/>
    <x v="24"/>
    <n v="18"/>
    <n v="9"/>
    <n v="2"/>
    <n v="0"/>
    <n v="0"/>
    <n v="0"/>
    <n v="0"/>
    <n v="0"/>
    <n v="3"/>
    <n v="17"/>
    <n v="2025"/>
    <x v="1"/>
    <x v="2"/>
    <x v="1"/>
  </r>
  <r>
    <x v="1"/>
    <x v="52"/>
    <x v="1"/>
    <x v="27"/>
    <n v="123"/>
    <n v="44"/>
    <n v="7"/>
    <n v="3"/>
    <n v="9548"/>
    <n v="3"/>
    <n v="9548"/>
    <n v="3"/>
    <n v="56"/>
    <n v="105"/>
    <n v="2025"/>
    <x v="1"/>
    <x v="2"/>
    <x v="1"/>
  </r>
  <r>
    <x v="1"/>
    <x v="52"/>
    <x v="1"/>
    <x v="29"/>
    <n v="829"/>
    <n v="652"/>
    <n v="53"/>
    <n v="13"/>
    <n v="27347.200000000001"/>
    <n v="7"/>
    <n v="20882.2"/>
    <n v="7"/>
    <n v="366"/>
    <n v="623"/>
    <n v="2025"/>
    <x v="1"/>
    <x v="2"/>
    <x v="1"/>
  </r>
  <r>
    <x v="1"/>
    <x v="52"/>
    <x v="1"/>
    <x v="30"/>
    <n v="5121"/>
    <n v="3866"/>
    <n v="80"/>
    <n v="36"/>
    <n v="21362"/>
    <n v="6"/>
    <n v="8567"/>
    <n v="4"/>
    <n v="297"/>
    <n v="4891"/>
    <n v="2025"/>
    <x v="1"/>
    <x v="2"/>
    <x v="1"/>
  </r>
  <r>
    <x v="1"/>
    <x v="52"/>
    <x v="1"/>
    <x v="31"/>
    <n v="98"/>
    <n v="64"/>
    <n v="3"/>
    <n v="1"/>
    <n v="0"/>
    <n v="0"/>
    <n v="0"/>
    <n v="0"/>
    <n v="18"/>
    <n v="92"/>
    <n v="2025"/>
    <x v="1"/>
    <x v="2"/>
    <x v="1"/>
  </r>
  <r>
    <x v="1"/>
    <x v="52"/>
    <x v="1"/>
    <x v="32"/>
    <n v="2"/>
    <n v="1"/>
    <n v="0"/>
    <n v="0"/>
    <n v="0"/>
    <n v="0"/>
    <n v="0"/>
    <n v="0"/>
    <n v="1"/>
    <n v="2"/>
    <n v="2025"/>
    <x v="1"/>
    <x v="2"/>
    <x v="1"/>
  </r>
  <r>
    <x v="1"/>
    <x v="52"/>
    <x v="1"/>
    <x v="34"/>
    <n v="267"/>
    <n v="134"/>
    <n v="15"/>
    <n v="6"/>
    <n v="17160"/>
    <n v="4"/>
    <n v="15670"/>
    <n v="3"/>
    <n v="63"/>
    <n v="255"/>
    <n v="2025"/>
    <x v="1"/>
    <x v="2"/>
    <x v="1"/>
  </r>
  <r>
    <x v="1"/>
    <x v="52"/>
    <x v="1"/>
    <x v="35"/>
    <n v="1"/>
    <n v="1"/>
    <n v="0"/>
    <n v="0"/>
    <n v="0"/>
    <n v="0"/>
    <n v="0"/>
    <n v="0"/>
    <n v="0"/>
    <n v="0"/>
    <n v="2025"/>
    <x v="1"/>
    <x v="2"/>
    <x v="1"/>
  </r>
  <r>
    <x v="1"/>
    <x v="52"/>
    <x v="1"/>
    <x v="38"/>
    <n v="223"/>
    <n v="53"/>
    <n v="20"/>
    <n v="7"/>
    <n v="33930"/>
    <n v="10"/>
    <n v="10505"/>
    <n v="5"/>
    <n v="49"/>
    <n v="220"/>
    <n v="2025"/>
    <x v="1"/>
    <x v="2"/>
    <x v="1"/>
  </r>
  <r>
    <x v="1"/>
    <x v="52"/>
    <x v="1"/>
    <x v="65"/>
    <n v="2"/>
    <n v="2"/>
    <n v="0"/>
    <n v="0"/>
    <n v="0"/>
    <n v="0"/>
    <n v="0"/>
    <n v="0"/>
    <n v="0"/>
    <n v="2"/>
    <n v="2025"/>
    <x v="1"/>
    <x v="2"/>
    <x v="1"/>
  </r>
  <r>
    <x v="1"/>
    <x v="52"/>
    <x v="1"/>
    <x v="60"/>
    <n v="5"/>
    <n v="5"/>
    <n v="0"/>
    <n v="1"/>
    <n v="0"/>
    <n v="0"/>
    <n v="0"/>
    <n v="0"/>
    <n v="0"/>
    <n v="5"/>
    <n v="2025"/>
    <x v="1"/>
    <x v="2"/>
    <x v="1"/>
  </r>
  <r>
    <x v="1"/>
    <x v="52"/>
    <x v="1"/>
    <x v="39"/>
    <n v="1"/>
    <n v="1"/>
    <n v="0"/>
    <n v="0"/>
    <n v="0"/>
    <n v="0"/>
    <n v="0"/>
    <n v="0"/>
    <n v="1"/>
    <n v="1"/>
    <n v="2025"/>
    <x v="1"/>
    <x v="2"/>
    <x v="1"/>
  </r>
  <r>
    <x v="1"/>
    <x v="52"/>
    <x v="1"/>
    <x v="64"/>
    <n v="458"/>
    <n v="217"/>
    <n v="18"/>
    <n v="0"/>
    <n v="16930"/>
    <n v="4"/>
    <n v="13480"/>
    <n v="3"/>
    <n v="64"/>
    <n v="456"/>
    <n v="2025"/>
    <x v="1"/>
    <x v="2"/>
    <x v="1"/>
  </r>
  <r>
    <x v="1"/>
    <x v="52"/>
    <x v="1"/>
    <x v="42"/>
    <n v="150"/>
    <n v="52"/>
    <n v="3"/>
    <n v="3"/>
    <n v="2490"/>
    <n v="1"/>
    <n v="2490"/>
    <n v="1"/>
    <n v="15"/>
    <n v="149"/>
    <n v="2025"/>
    <x v="1"/>
    <x v="2"/>
    <x v="1"/>
  </r>
  <r>
    <x v="1"/>
    <x v="52"/>
    <x v="1"/>
    <x v="43"/>
    <n v="104"/>
    <n v="54"/>
    <n v="3"/>
    <n v="1"/>
    <n v="0"/>
    <n v="0"/>
    <n v="0"/>
    <n v="0"/>
    <n v="83"/>
    <n v="63"/>
    <n v="2025"/>
    <x v="1"/>
    <x v="2"/>
    <x v="1"/>
  </r>
  <r>
    <x v="1"/>
    <x v="52"/>
    <x v="1"/>
    <x v="44"/>
    <n v="19"/>
    <n v="7"/>
    <n v="2"/>
    <n v="0"/>
    <n v="9375"/>
    <n v="3"/>
    <n v="9375"/>
    <n v="3"/>
    <n v="0"/>
    <n v="19"/>
    <n v="2025"/>
    <x v="1"/>
    <x v="2"/>
    <x v="1"/>
  </r>
  <r>
    <x v="1"/>
    <x v="52"/>
    <x v="1"/>
    <x v="45"/>
    <n v="3"/>
    <n v="1"/>
    <n v="2"/>
    <n v="0"/>
    <n v="2275.5300000000002"/>
    <n v="1"/>
    <n v="2275.5300000000002"/>
    <n v="1"/>
    <n v="0"/>
    <n v="3"/>
    <n v="2025"/>
    <x v="1"/>
    <x v="2"/>
    <x v="1"/>
  </r>
  <r>
    <x v="1"/>
    <x v="53"/>
    <x v="0"/>
    <x v="0"/>
    <n v="473"/>
    <n v="214"/>
    <n v="45"/>
    <n v="4"/>
    <n v="47875"/>
    <n v="13"/>
    <n v="20040"/>
    <n v="8"/>
    <n v="6"/>
    <n v="466"/>
    <n v="2025"/>
    <x v="1"/>
    <x v="2"/>
    <x v="1"/>
  </r>
  <r>
    <x v="1"/>
    <x v="53"/>
    <x v="0"/>
    <x v="1"/>
    <n v="21233"/>
    <n v="14813"/>
    <n v="317"/>
    <n v="319"/>
    <n v="232294"/>
    <n v="57"/>
    <n v="132434"/>
    <n v="39"/>
    <n v="1237"/>
    <n v="20994"/>
    <n v="2025"/>
    <x v="1"/>
    <x v="2"/>
    <x v="1"/>
  </r>
  <r>
    <x v="1"/>
    <x v="53"/>
    <x v="0"/>
    <x v="2"/>
    <n v="1"/>
    <n v="1"/>
    <n v="0"/>
    <n v="0"/>
    <n v="0"/>
    <n v="0"/>
    <n v="0"/>
    <n v="0"/>
    <n v="0"/>
    <n v="1"/>
    <n v="2025"/>
    <x v="1"/>
    <x v="2"/>
    <x v="1"/>
  </r>
  <r>
    <x v="1"/>
    <x v="53"/>
    <x v="0"/>
    <x v="3"/>
    <n v="940"/>
    <n v="758"/>
    <n v="21"/>
    <n v="0"/>
    <n v="0"/>
    <n v="0"/>
    <n v="0"/>
    <n v="0"/>
    <n v="15"/>
    <n v="180"/>
    <n v="2025"/>
    <x v="1"/>
    <x v="2"/>
    <x v="1"/>
  </r>
  <r>
    <x v="1"/>
    <x v="53"/>
    <x v="1"/>
    <x v="4"/>
    <n v="1"/>
    <n v="1"/>
    <n v="0"/>
    <n v="0"/>
    <n v="0"/>
    <n v="0"/>
    <n v="0"/>
    <n v="0"/>
    <n v="0"/>
    <n v="0"/>
    <n v="2025"/>
    <x v="1"/>
    <x v="2"/>
    <x v="1"/>
  </r>
  <r>
    <x v="1"/>
    <x v="53"/>
    <x v="1"/>
    <x v="5"/>
    <n v="7"/>
    <n v="3"/>
    <n v="0"/>
    <n v="0"/>
    <n v="0"/>
    <n v="0"/>
    <n v="0"/>
    <n v="0"/>
    <n v="0"/>
    <n v="7"/>
    <n v="2025"/>
    <x v="1"/>
    <x v="2"/>
    <x v="1"/>
  </r>
  <r>
    <x v="1"/>
    <x v="53"/>
    <x v="1"/>
    <x v="6"/>
    <n v="615"/>
    <n v="557"/>
    <n v="1"/>
    <n v="0"/>
    <n v="0"/>
    <n v="0"/>
    <n v="0"/>
    <n v="0"/>
    <n v="0"/>
    <n v="1"/>
    <n v="2025"/>
    <x v="1"/>
    <x v="2"/>
    <x v="1"/>
  </r>
  <r>
    <x v="1"/>
    <x v="53"/>
    <x v="1"/>
    <x v="7"/>
    <n v="378"/>
    <n v="80"/>
    <n v="49"/>
    <n v="3"/>
    <n v="142992"/>
    <n v="40"/>
    <n v="122550"/>
    <n v="37"/>
    <n v="94"/>
    <n v="365"/>
    <n v="2025"/>
    <x v="1"/>
    <x v="2"/>
    <x v="1"/>
  </r>
  <r>
    <x v="1"/>
    <x v="53"/>
    <x v="1"/>
    <x v="8"/>
    <n v="59"/>
    <n v="46"/>
    <n v="0"/>
    <n v="2"/>
    <n v="0"/>
    <n v="0"/>
    <n v="0"/>
    <n v="0"/>
    <n v="0"/>
    <n v="20"/>
    <n v="2025"/>
    <x v="1"/>
    <x v="2"/>
    <x v="1"/>
  </r>
  <r>
    <x v="1"/>
    <x v="53"/>
    <x v="1"/>
    <x v="9"/>
    <n v="89"/>
    <n v="80"/>
    <n v="0"/>
    <n v="0"/>
    <n v="0"/>
    <n v="0"/>
    <n v="0"/>
    <n v="0"/>
    <n v="0"/>
    <n v="4"/>
    <n v="2025"/>
    <x v="1"/>
    <x v="2"/>
    <x v="1"/>
  </r>
  <r>
    <x v="1"/>
    <x v="53"/>
    <x v="1"/>
    <x v="10"/>
    <n v="20"/>
    <n v="12"/>
    <n v="1"/>
    <n v="0"/>
    <n v="4950"/>
    <n v="1"/>
    <n v="0"/>
    <n v="0"/>
    <n v="1"/>
    <n v="10"/>
    <n v="2025"/>
    <x v="1"/>
    <x v="2"/>
    <x v="1"/>
  </r>
  <r>
    <x v="1"/>
    <x v="53"/>
    <x v="1"/>
    <x v="11"/>
    <n v="1"/>
    <n v="0"/>
    <n v="0"/>
    <n v="0"/>
    <n v="0"/>
    <n v="0"/>
    <n v="0"/>
    <n v="0"/>
    <n v="1"/>
    <n v="0"/>
    <n v="2025"/>
    <x v="1"/>
    <x v="2"/>
    <x v="1"/>
  </r>
  <r>
    <x v="1"/>
    <x v="53"/>
    <x v="1"/>
    <x v="59"/>
    <n v="3037"/>
    <n v="2667"/>
    <n v="17"/>
    <n v="3"/>
    <n v="19163"/>
    <n v="7"/>
    <n v="19163"/>
    <n v="7"/>
    <n v="81"/>
    <n v="208"/>
    <n v="2025"/>
    <x v="1"/>
    <x v="2"/>
    <x v="1"/>
  </r>
  <r>
    <x v="1"/>
    <x v="53"/>
    <x v="1"/>
    <x v="15"/>
    <n v="39"/>
    <n v="38"/>
    <n v="0"/>
    <n v="0"/>
    <n v="0"/>
    <n v="0"/>
    <n v="0"/>
    <n v="0"/>
    <n v="0"/>
    <n v="39"/>
    <n v="2025"/>
    <x v="1"/>
    <x v="2"/>
    <x v="1"/>
  </r>
  <r>
    <x v="1"/>
    <x v="53"/>
    <x v="1"/>
    <x v="17"/>
    <n v="493"/>
    <n v="305"/>
    <n v="4"/>
    <n v="0"/>
    <n v="0"/>
    <n v="0"/>
    <n v="0"/>
    <n v="0"/>
    <n v="1"/>
    <n v="492"/>
    <n v="2025"/>
    <x v="1"/>
    <x v="2"/>
    <x v="1"/>
  </r>
  <r>
    <x v="1"/>
    <x v="53"/>
    <x v="1"/>
    <x v="18"/>
    <n v="8"/>
    <n v="8"/>
    <n v="1"/>
    <n v="0"/>
    <n v="18440"/>
    <n v="2"/>
    <n v="18440"/>
    <n v="2"/>
    <n v="0"/>
    <n v="7"/>
    <n v="2025"/>
    <x v="1"/>
    <x v="2"/>
    <x v="1"/>
  </r>
  <r>
    <x v="1"/>
    <x v="53"/>
    <x v="1"/>
    <x v="19"/>
    <n v="968"/>
    <n v="620"/>
    <n v="42"/>
    <n v="6"/>
    <n v="32191"/>
    <n v="12"/>
    <n v="29316"/>
    <n v="11"/>
    <n v="280"/>
    <n v="504"/>
    <n v="2025"/>
    <x v="1"/>
    <x v="2"/>
    <x v="1"/>
  </r>
  <r>
    <x v="1"/>
    <x v="53"/>
    <x v="1"/>
    <x v="20"/>
    <n v="20"/>
    <n v="6"/>
    <n v="0"/>
    <n v="0"/>
    <n v="0"/>
    <n v="0"/>
    <n v="0"/>
    <n v="0"/>
    <n v="1"/>
    <n v="20"/>
    <n v="2025"/>
    <x v="1"/>
    <x v="2"/>
    <x v="1"/>
  </r>
  <r>
    <x v="1"/>
    <x v="53"/>
    <x v="1"/>
    <x v="22"/>
    <n v="45"/>
    <n v="29"/>
    <n v="1"/>
    <n v="0"/>
    <n v="4950"/>
    <n v="1"/>
    <n v="0"/>
    <n v="0"/>
    <n v="1"/>
    <n v="11"/>
    <n v="2025"/>
    <x v="1"/>
    <x v="2"/>
    <x v="1"/>
  </r>
  <r>
    <x v="1"/>
    <x v="53"/>
    <x v="1"/>
    <x v="24"/>
    <n v="27"/>
    <n v="12"/>
    <n v="2"/>
    <n v="0"/>
    <n v="0"/>
    <n v="0"/>
    <n v="0"/>
    <n v="0"/>
    <n v="1"/>
    <n v="26"/>
    <n v="2025"/>
    <x v="1"/>
    <x v="2"/>
    <x v="1"/>
  </r>
  <r>
    <x v="1"/>
    <x v="53"/>
    <x v="1"/>
    <x v="27"/>
    <n v="165"/>
    <n v="43"/>
    <n v="12"/>
    <n v="2"/>
    <n v="25190"/>
    <n v="9"/>
    <n v="22815"/>
    <n v="9"/>
    <n v="75"/>
    <n v="118"/>
    <n v="2025"/>
    <x v="1"/>
    <x v="2"/>
    <x v="1"/>
  </r>
  <r>
    <x v="1"/>
    <x v="53"/>
    <x v="1"/>
    <x v="29"/>
    <n v="822"/>
    <n v="602"/>
    <n v="48"/>
    <n v="8"/>
    <n v="55930"/>
    <n v="14"/>
    <n v="36480"/>
    <n v="12"/>
    <n v="331"/>
    <n v="621"/>
    <n v="2025"/>
    <x v="1"/>
    <x v="2"/>
    <x v="1"/>
  </r>
  <r>
    <x v="1"/>
    <x v="53"/>
    <x v="1"/>
    <x v="30"/>
    <n v="5266"/>
    <n v="3775"/>
    <n v="78"/>
    <n v="38"/>
    <n v="23683"/>
    <n v="9"/>
    <n v="20433"/>
    <n v="8"/>
    <n v="286"/>
    <n v="4162"/>
    <n v="2025"/>
    <x v="1"/>
    <x v="2"/>
    <x v="1"/>
  </r>
  <r>
    <x v="1"/>
    <x v="53"/>
    <x v="1"/>
    <x v="31"/>
    <n v="73"/>
    <n v="47"/>
    <n v="3"/>
    <n v="2"/>
    <n v="0"/>
    <n v="0"/>
    <n v="0"/>
    <n v="0"/>
    <n v="13"/>
    <n v="66"/>
    <n v="2025"/>
    <x v="1"/>
    <x v="2"/>
    <x v="1"/>
  </r>
  <r>
    <x v="1"/>
    <x v="53"/>
    <x v="1"/>
    <x v="32"/>
    <n v="5"/>
    <n v="4"/>
    <n v="2"/>
    <n v="0"/>
    <n v="0"/>
    <n v="0"/>
    <n v="0"/>
    <n v="0"/>
    <n v="2"/>
    <n v="4"/>
    <n v="2025"/>
    <x v="1"/>
    <x v="2"/>
    <x v="1"/>
  </r>
  <r>
    <x v="1"/>
    <x v="53"/>
    <x v="1"/>
    <x v="34"/>
    <n v="276"/>
    <n v="137"/>
    <n v="15"/>
    <n v="6"/>
    <n v="7673"/>
    <n v="3"/>
    <n v="7673"/>
    <n v="3"/>
    <n v="73"/>
    <n v="253"/>
    <n v="2025"/>
    <x v="1"/>
    <x v="2"/>
    <x v="1"/>
  </r>
  <r>
    <x v="1"/>
    <x v="53"/>
    <x v="1"/>
    <x v="36"/>
    <n v="2"/>
    <n v="2"/>
    <n v="0"/>
    <n v="0"/>
    <n v="0"/>
    <n v="0"/>
    <n v="0"/>
    <n v="0"/>
    <n v="0"/>
    <n v="2"/>
    <n v="2025"/>
    <x v="1"/>
    <x v="2"/>
    <x v="1"/>
  </r>
  <r>
    <x v="1"/>
    <x v="53"/>
    <x v="1"/>
    <x v="38"/>
    <n v="324"/>
    <n v="96"/>
    <n v="38"/>
    <n v="17"/>
    <n v="74085"/>
    <n v="20"/>
    <n v="43705"/>
    <n v="15"/>
    <n v="88"/>
    <n v="298"/>
    <n v="2025"/>
    <x v="1"/>
    <x v="2"/>
    <x v="1"/>
  </r>
  <r>
    <x v="1"/>
    <x v="53"/>
    <x v="1"/>
    <x v="65"/>
    <n v="3"/>
    <n v="3"/>
    <n v="0"/>
    <n v="0"/>
    <n v="0"/>
    <n v="0"/>
    <n v="0"/>
    <n v="0"/>
    <n v="0"/>
    <n v="3"/>
    <n v="2025"/>
    <x v="1"/>
    <x v="2"/>
    <x v="1"/>
  </r>
  <r>
    <x v="1"/>
    <x v="53"/>
    <x v="1"/>
    <x v="60"/>
    <n v="7"/>
    <n v="6"/>
    <n v="0"/>
    <n v="0"/>
    <n v="0"/>
    <n v="0"/>
    <n v="0"/>
    <n v="0"/>
    <n v="0"/>
    <n v="7"/>
    <n v="2025"/>
    <x v="1"/>
    <x v="2"/>
    <x v="1"/>
  </r>
  <r>
    <x v="1"/>
    <x v="53"/>
    <x v="1"/>
    <x v="39"/>
    <n v="1"/>
    <n v="1"/>
    <n v="0"/>
    <n v="0"/>
    <n v="0"/>
    <n v="0"/>
    <n v="0"/>
    <n v="0"/>
    <n v="0"/>
    <n v="1"/>
    <n v="2025"/>
    <x v="1"/>
    <x v="2"/>
    <x v="1"/>
  </r>
  <r>
    <x v="1"/>
    <x v="53"/>
    <x v="1"/>
    <x v="64"/>
    <n v="446"/>
    <n v="230"/>
    <n v="22"/>
    <n v="5"/>
    <n v="26680"/>
    <n v="6"/>
    <n v="11230"/>
    <n v="3"/>
    <n v="75"/>
    <n v="436"/>
    <n v="2025"/>
    <x v="1"/>
    <x v="2"/>
    <x v="1"/>
  </r>
  <r>
    <x v="1"/>
    <x v="53"/>
    <x v="1"/>
    <x v="42"/>
    <n v="164"/>
    <n v="71"/>
    <n v="8"/>
    <n v="9"/>
    <n v="1598"/>
    <n v="1"/>
    <n v="1598"/>
    <n v="1"/>
    <n v="18"/>
    <n v="163"/>
    <n v="2025"/>
    <x v="1"/>
    <x v="2"/>
    <x v="1"/>
  </r>
  <r>
    <x v="1"/>
    <x v="53"/>
    <x v="1"/>
    <x v="43"/>
    <n v="99"/>
    <n v="51"/>
    <n v="4"/>
    <n v="1"/>
    <n v="5913"/>
    <n v="1"/>
    <n v="5913"/>
    <n v="1"/>
    <n v="61"/>
    <n v="59"/>
    <n v="2025"/>
    <x v="1"/>
    <x v="2"/>
    <x v="1"/>
  </r>
  <r>
    <x v="1"/>
    <x v="53"/>
    <x v="1"/>
    <x v="44"/>
    <n v="23"/>
    <n v="2"/>
    <n v="0"/>
    <n v="0"/>
    <n v="4645"/>
    <n v="1"/>
    <n v="4645"/>
    <n v="1"/>
    <n v="0"/>
    <n v="23"/>
    <n v="2025"/>
    <x v="1"/>
    <x v="2"/>
    <x v="1"/>
  </r>
  <r>
    <x v="1"/>
    <x v="53"/>
    <x v="1"/>
    <x v="45"/>
    <n v="1"/>
    <n v="0"/>
    <n v="0"/>
    <n v="0"/>
    <n v="0"/>
    <n v="0"/>
    <n v="0"/>
    <n v="0"/>
    <n v="0"/>
    <n v="1"/>
    <n v="2025"/>
    <x v="1"/>
    <x v="2"/>
    <x v="1"/>
  </r>
  <r>
    <x v="1"/>
    <x v="54"/>
    <x v="0"/>
    <x v="0"/>
    <n v="467"/>
    <n v="201"/>
    <n v="93"/>
    <n v="8"/>
    <n v="92155"/>
    <n v="25"/>
    <n v="61410"/>
    <n v="21"/>
    <n v="12"/>
    <n v="457"/>
    <n v="2025"/>
    <x v="1"/>
    <x v="2"/>
    <x v="1"/>
  </r>
  <r>
    <x v="1"/>
    <x v="54"/>
    <x v="0"/>
    <x v="1"/>
    <n v="19342"/>
    <n v="13391"/>
    <n v="321"/>
    <n v="309"/>
    <n v="187620.13"/>
    <n v="48"/>
    <n v="143065.13"/>
    <n v="37"/>
    <n v="1325"/>
    <n v="19108"/>
    <n v="2025"/>
    <x v="1"/>
    <x v="2"/>
    <x v="1"/>
  </r>
  <r>
    <x v="1"/>
    <x v="54"/>
    <x v="0"/>
    <x v="3"/>
    <n v="927"/>
    <n v="785"/>
    <n v="16"/>
    <n v="1"/>
    <n v="0"/>
    <n v="0"/>
    <n v="0"/>
    <n v="0"/>
    <n v="12"/>
    <n v="184"/>
    <n v="2025"/>
    <x v="1"/>
    <x v="2"/>
    <x v="1"/>
  </r>
  <r>
    <x v="1"/>
    <x v="54"/>
    <x v="1"/>
    <x v="5"/>
    <n v="5"/>
    <n v="2"/>
    <n v="0"/>
    <n v="0"/>
    <n v="0"/>
    <n v="0"/>
    <n v="0"/>
    <n v="0"/>
    <n v="0"/>
    <n v="5"/>
    <n v="2025"/>
    <x v="1"/>
    <x v="2"/>
    <x v="1"/>
  </r>
  <r>
    <x v="1"/>
    <x v="54"/>
    <x v="1"/>
    <x v="6"/>
    <n v="524"/>
    <n v="461"/>
    <n v="0"/>
    <n v="0"/>
    <n v="0"/>
    <n v="0"/>
    <n v="0"/>
    <n v="0"/>
    <n v="0"/>
    <n v="0"/>
    <n v="2025"/>
    <x v="1"/>
    <x v="2"/>
    <x v="1"/>
  </r>
  <r>
    <x v="1"/>
    <x v="54"/>
    <x v="1"/>
    <x v="7"/>
    <n v="359"/>
    <n v="81"/>
    <n v="63"/>
    <n v="2"/>
    <n v="143277.95000000001"/>
    <n v="41"/>
    <n v="140987.95000000001"/>
    <n v="40"/>
    <n v="90"/>
    <n v="348"/>
    <n v="2025"/>
    <x v="1"/>
    <x v="2"/>
    <x v="1"/>
  </r>
  <r>
    <x v="1"/>
    <x v="54"/>
    <x v="1"/>
    <x v="8"/>
    <n v="52"/>
    <n v="37"/>
    <n v="2"/>
    <n v="1"/>
    <n v="1690"/>
    <n v="1"/>
    <n v="1690"/>
    <n v="1"/>
    <n v="1"/>
    <n v="27"/>
    <n v="2025"/>
    <x v="1"/>
    <x v="2"/>
    <x v="1"/>
  </r>
  <r>
    <x v="1"/>
    <x v="54"/>
    <x v="1"/>
    <x v="9"/>
    <n v="93"/>
    <n v="83"/>
    <n v="0"/>
    <n v="0"/>
    <n v="0"/>
    <n v="0"/>
    <n v="0"/>
    <n v="0"/>
    <n v="0"/>
    <n v="4"/>
    <n v="2025"/>
    <x v="1"/>
    <x v="2"/>
    <x v="1"/>
  </r>
  <r>
    <x v="1"/>
    <x v="54"/>
    <x v="1"/>
    <x v="10"/>
    <n v="10"/>
    <n v="6"/>
    <n v="0"/>
    <n v="0"/>
    <n v="0"/>
    <n v="0"/>
    <n v="0"/>
    <n v="0"/>
    <n v="1"/>
    <n v="2"/>
    <n v="2025"/>
    <x v="1"/>
    <x v="2"/>
    <x v="1"/>
  </r>
  <r>
    <x v="1"/>
    <x v="54"/>
    <x v="1"/>
    <x v="11"/>
    <n v="1"/>
    <n v="1"/>
    <n v="0"/>
    <n v="0"/>
    <n v="0"/>
    <n v="0"/>
    <n v="0"/>
    <n v="0"/>
    <n v="1"/>
    <n v="0"/>
    <n v="2025"/>
    <x v="1"/>
    <x v="2"/>
    <x v="1"/>
  </r>
  <r>
    <x v="1"/>
    <x v="54"/>
    <x v="1"/>
    <x v="48"/>
    <n v="1"/>
    <n v="0"/>
    <n v="0"/>
    <n v="0"/>
    <n v="0"/>
    <n v="0"/>
    <n v="0"/>
    <n v="0"/>
    <n v="0"/>
    <n v="1"/>
    <n v="2025"/>
    <x v="1"/>
    <x v="2"/>
    <x v="1"/>
  </r>
  <r>
    <x v="1"/>
    <x v="54"/>
    <x v="1"/>
    <x v="14"/>
    <n v="1"/>
    <n v="1"/>
    <n v="0"/>
    <n v="0"/>
    <n v="0"/>
    <n v="0"/>
    <n v="0"/>
    <n v="0"/>
    <n v="0"/>
    <n v="0"/>
    <n v="2025"/>
    <x v="1"/>
    <x v="2"/>
    <x v="1"/>
  </r>
  <r>
    <x v="1"/>
    <x v="54"/>
    <x v="1"/>
    <x v="59"/>
    <n v="2457"/>
    <n v="1908"/>
    <n v="24"/>
    <n v="1"/>
    <n v="19504"/>
    <n v="8"/>
    <n v="18014"/>
    <n v="7"/>
    <n v="72"/>
    <n v="192"/>
    <n v="2025"/>
    <x v="1"/>
    <x v="2"/>
    <x v="1"/>
  </r>
  <r>
    <x v="1"/>
    <x v="54"/>
    <x v="1"/>
    <x v="15"/>
    <n v="32"/>
    <n v="31"/>
    <n v="0"/>
    <n v="0"/>
    <n v="0"/>
    <n v="0"/>
    <n v="0"/>
    <n v="0"/>
    <n v="0"/>
    <n v="32"/>
    <n v="2025"/>
    <x v="1"/>
    <x v="2"/>
    <x v="1"/>
  </r>
  <r>
    <x v="1"/>
    <x v="54"/>
    <x v="1"/>
    <x v="17"/>
    <n v="439"/>
    <n v="258"/>
    <n v="6"/>
    <n v="0"/>
    <n v="1598"/>
    <n v="1"/>
    <n v="1598"/>
    <n v="1"/>
    <n v="0"/>
    <n v="439"/>
    <n v="2025"/>
    <x v="1"/>
    <x v="2"/>
    <x v="1"/>
  </r>
  <r>
    <x v="1"/>
    <x v="54"/>
    <x v="1"/>
    <x v="18"/>
    <n v="19"/>
    <n v="14"/>
    <n v="2"/>
    <n v="0"/>
    <n v="4315"/>
    <n v="2"/>
    <n v="4315"/>
    <n v="2"/>
    <n v="0"/>
    <n v="19"/>
    <n v="2025"/>
    <x v="1"/>
    <x v="2"/>
    <x v="1"/>
  </r>
  <r>
    <x v="1"/>
    <x v="54"/>
    <x v="1"/>
    <x v="19"/>
    <n v="974"/>
    <n v="626"/>
    <n v="84"/>
    <n v="10"/>
    <n v="121843.18"/>
    <n v="30"/>
    <n v="111208.18"/>
    <n v="28"/>
    <n v="386"/>
    <n v="603"/>
    <n v="2025"/>
    <x v="1"/>
    <x v="2"/>
    <x v="1"/>
  </r>
  <r>
    <x v="1"/>
    <x v="54"/>
    <x v="1"/>
    <x v="20"/>
    <n v="9"/>
    <n v="5"/>
    <n v="0"/>
    <n v="0"/>
    <n v="0"/>
    <n v="0"/>
    <n v="0"/>
    <n v="0"/>
    <n v="1"/>
    <n v="9"/>
    <n v="2025"/>
    <x v="1"/>
    <x v="2"/>
    <x v="1"/>
  </r>
  <r>
    <x v="1"/>
    <x v="54"/>
    <x v="1"/>
    <x v="22"/>
    <n v="65"/>
    <n v="43"/>
    <n v="2"/>
    <n v="0"/>
    <n v="2348"/>
    <n v="1"/>
    <n v="2348"/>
    <n v="1"/>
    <n v="1"/>
    <n v="17"/>
    <n v="2025"/>
    <x v="1"/>
    <x v="2"/>
    <x v="1"/>
  </r>
  <r>
    <x v="1"/>
    <x v="54"/>
    <x v="1"/>
    <x v="24"/>
    <n v="38"/>
    <n v="16"/>
    <n v="0"/>
    <n v="0"/>
    <n v="0"/>
    <n v="0"/>
    <n v="0"/>
    <n v="0"/>
    <n v="9"/>
    <n v="34"/>
    <n v="2025"/>
    <x v="1"/>
    <x v="2"/>
    <x v="1"/>
  </r>
  <r>
    <x v="1"/>
    <x v="54"/>
    <x v="1"/>
    <x v="27"/>
    <n v="302"/>
    <n v="98"/>
    <n v="13"/>
    <n v="1"/>
    <n v="38494"/>
    <n v="10"/>
    <n v="38494"/>
    <n v="10"/>
    <n v="238"/>
    <n v="100"/>
    <n v="2025"/>
    <x v="1"/>
    <x v="2"/>
    <x v="1"/>
  </r>
  <r>
    <x v="1"/>
    <x v="54"/>
    <x v="1"/>
    <x v="29"/>
    <n v="878"/>
    <n v="662"/>
    <n v="43"/>
    <n v="8"/>
    <n v="48513"/>
    <n v="16"/>
    <n v="38023"/>
    <n v="12"/>
    <n v="349"/>
    <n v="637"/>
    <n v="2025"/>
    <x v="1"/>
    <x v="2"/>
    <x v="1"/>
  </r>
  <r>
    <x v="1"/>
    <x v="54"/>
    <x v="1"/>
    <x v="30"/>
    <n v="4972"/>
    <n v="3673"/>
    <n v="63"/>
    <n v="37"/>
    <n v="68797"/>
    <n v="6"/>
    <n v="6157"/>
    <n v="3"/>
    <n v="294"/>
    <n v="4146"/>
    <n v="2025"/>
    <x v="1"/>
    <x v="2"/>
    <x v="1"/>
  </r>
  <r>
    <x v="1"/>
    <x v="54"/>
    <x v="1"/>
    <x v="31"/>
    <n v="82"/>
    <n v="52"/>
    <n v="6"/>
    <n v="0"/>
    <n v="8602"/>
    <n v="3"/>
    <n v="8602"/>
    <n v="3"/>
    <n v="18"/>
    <n v="74"/>
    <n v="2025"/>
    <x v="1"/>
    <x v="2"/>
    <x v="1"/>
  </r>
  <r>
    <x v="1"/>
    <x v="54"/>
    <x v="1"/>
    <x v="32"/>
    <n v="3"/>
    <n v="3"/>
    <n v="0"/>
    <n v="0"/>
    <n v="1468.13"/>
    <n v="1"/>
    <n v="1468.13"/>
    <n v="1"/>
    <n v="0"/>
    <n v="3"/>
    <n v="2025"/>
    <x v="1"/>
    <x v="2"/>
    <x v="1"/>
  </r>
  <r>
    <x v="1"/>
    <x v="54"/>
    <x v="1"/>
    <x v="34"/>
    <n v="248"/>
    <n v="122"/>
    <n v="15"/>
    <n v="4"/>
    <n v="8254"/>
    <n v="4"/>
    <n v="8254"/>
    <n v="4"/>
    <n v="67"/>
    <n v="225"/>
    <n v="2025"/>
    <x v="1"/>
    <x v="2"/>
    <x v="1"/>
  </r>
  <r>
    <x v="1"/>
    <x v="54"/>
    <x v="1"/>
    <x v="36"/>
    <n v="1"/>
    <n v="1"/>
    <n v="0"/>
    <n v="0"/>
    <n v="0"/>
    <n v="0"/>
    <n v="0"/>
    <n v="0"/>
    <n v="0"/>
    <n v="1"/>
    <n v="2025"/>
    <x v="1"/>
    <x v="2"/>
    <x v="1"/>
  </r>
  <r>
    <x v="1"/>
    <x v="54"/>
    <x v="1"/>
    <x v="38"/>
    <n v="295"/>
    <n v="95"/>
    <n v="34"/>
    <n v="8"/>
    <n v="53742"/>
    <n v="16"/>
    <n v="40407"/>
    <n v="13"/>
    <n v="71"/>
    <n v="279"/>
    <n v="2025"/>
    <x v="1"/>
    <x v="2"/>
    <x v="1"/>
  </r>
  <r>
    <x v="1"/>
    <x v="54"/>
    <x v="1"/>
    <x v="60"/>
    <n v="12"/>
    <n v="11"/>
    <n v="0"/>
    <n v="0"/>
    <n v="0"/>
    <n v="0"/>
    <n v="0"/>
    <n v="0"/>
    <n v="0"/>
    <n v="12"/>
    <n v="2025"/>
    <x v="1"/>
    <x v="2"/>
    <x v="1"/>
  </r>
  <r>
    <x v="1"/>
    <x v="54"/>
    <x v="1"/>
    <x v="39"/>
    <n v="1"/>
    <n v="1"/>
    <n v="0"/>
    <n v="0"/>
    <n v="0"/>
    <n v="0"/>
    <n v="0"/>
    <n v="0"/>
    <n v="0"/>
    <n v="1"/>
    <n v="2025"/>
    <x v="1"/>
    <x v="2"/>
    <x v="1"/>
  </r>
  <r>
    <x v="1"/>
    <x v="54"/>
    <x v="1"/>
    <x v="64"/>
    <n v="429"/>
    <n v="216"/>
    <n v="21"/>
    <n v="6"/>
    <n v="23735"/>
    <n v="6"/>
    <n v="23735"/>
    <n v="6"/>
    <n v="77"/>
    <n v="414"/>
    <n v="2025"/>
    <x v="1"/>
    <x v="2"/>
    <x v="1"/>
  </r>
  <r>
    <x v="1"/>
    <x v="54"/>
    <x v="1"/>
    <x v="42"/>
    <n v="108"/>
    <n v="47"/>
    <n v="4"/>
    <n v="1"/>
    <n v="0"/>
    <n v="0"/>
    <n v="0"/>
    <n v="0"/>
    <n v="9"/>
    <n v="107"/>
    <n v="2025"/>
    <x v="1"/>
    <x v="2"/>
    <x v="1"/>
  </r>
  <r>
    <x v="1"/>
    <x v="54"/>
    <x v="1"/>
    <x v="43"/>
    <n v="90"/>
    <n v="48"/>
    <n v="2"/>
    <n v="1"/>
    <n v="0"/>
    <n v="0"/>
    <n v="0"/>
    <n v="0"/>
    <n v="67"/>
    <n v="44"/>
    <n v="2025"/>
    <x v="1"/>
    <x v="2"/>
    <x v="1"/>
  </r>
  <r>
    <x v="1"/>
    <x v="54"/>
    <x v="1"/>
    <x v="44"/>
    <n v="31"/>
    <n v="5"/>
    <n v="1"/>
    <n v="0"/>
    <n v="22430"/>
    <n v="6"/>
    <n v="22430"/>
    <n v="6"/>
    <n v="1"/>
    <n v="31"/>
    <n v="2025"/>
    <x v="1"/>
    <x v="2"/>
    <x v="1"/>
  </r>
  <r>
    <x v="1"/>
    <x v="55"/>
    <x v="0"/>
    <x v="0"/>
    <n v="521"/>
    <n v="228"/>
    <n v="126"/>
    <n v="4"/>
    <n v="132085"/>
    <n v="36"/>
    <n v="89505"/>
    <n v="24"/>
    <n v="18"/>
    <n v="518"/>
    <n v="2025"/>
    <x v="1"/>
    <x v="2"/>
    <x v="1"/>
  </r>
  <r>
    <x v="1"/>
    <x v="55"/>
    <x v="0"/>
    <x v="1"/>
    <n v="19994"/>
    <n v="13816"/>
    <n v="363"/>
    <n v="278"/>
    <n v="211082.78"/>
    <n v="53"/>
    <n v="134473.78"/>
    <n v="43"/>
    <n v="1371"/>
    <n v="19726"/>
    <n v="2025"/>
    <x v="1"/>
    <x v="2"/>
    <x v="1"/>
  </r>
  <r>
    <x v="1"/>
    <x v="55"/>
    <x v="0"/>
    <x v="2"/>
    <n v="1"/>
    <n v="0"/>
    <n v="0"/>
    <n v="0"/>
    <n v="0"/>
    <n v="0"/>
    <n v="0"/>
    <n v="0"/>
    <n v="1"/>
    <n v="0"/>
    <n v="2025"/>
    <x v="1"/>
    <x v="2"/>
    <x v="1"/>
  </r>
  <r>
    <x v="1"/>
    <x v="55"/>
    <x v="0"/>
    <x v="3"/>
    <n v="943"/>
    <n v="855"/>
    <n v="5"/>
    <n v="0"/>
    <n v="0"/>
    <n v="0"/>
    <n v="0"/>
    <n v="0"/>
    <n v="9"/>
    <n v="123"/>
    <n v="2025"/>
    <x v="1"/>
    <x v="2"/>
    <x v="1"/>
  </r>
  <r>
    <x v="1"/>
    <x v="55"/>
    <x v="1"/>
    <x v="46"/>
    <n v="1"/>
    <n v="0"/>
    <n v="0"/>
    <n v="0"/>
    <n v="0"/>
    <n v="0"/>
    <n v="0"/>
    <n v="0"/>
    <n v="0"/>
    <n v="0"/>
    <n v="2025"/>
    <x v="1"/>
    <x v="2"/>
    <x v="1"/>
  </r>
  <r>
    <x v="1"/>
    <x v="55"/>
    <x v="1"/>
    <x v="5"/>
    <n v="4"/>
    <n v="3"/>
    <n v="0"/>
    <n v="0"/>
    <n v="0"/>
    <n v="0"/>
    <n v="0"/>
    <n v="0"/>
    <n v="2"/>
    <n v="2"/>
    <n v="2025"/>
    <x v="1"/>
    <x v="2"/>
    <x v="1"/>
  </r>
  <r>
    <x v="1"/>
    <x v="55"/>
    <x v="1"/>
    <x v="6"/>
    <n v="658"/>
    <n v="606"/>
    <n v="0"/>
    <n v="0"/>
    <n v="0"/>
    <n v="0"/>
    <n v="0"/>
    <n v="0"/>
    <n v="0"/>
    <n v="1"/>
    <n v="2025"/>
    <x v="1"/>
    <x v="2"/>
    <x v="1"/>
  </r>
  <r>
    <x v="1"/>
    <x v="55"/>
    <x v="1"/>
    <x v="7"/>
    <n v="369"/>
    <n v="93"/>
    <n v="75"/>
    <n v="3"/>
    <n v="183820.11"/>
    <n v="49"/>
    <n v="158835.10999999999"/>
    <n v="46"/>
    <n v="112"/>
    <n v="356"/>
    <n v="2025"/>
    <x v="1"/>
    <x v="2"/>
    <x v="1"/>
  </r>
  <r>
    <x v="1"/>
    <x v="55"/>
    <x v="1"/>
    <x v="8"/>
    <n v="34"/>
    <n v="17"/>
    <n v="4"/>
    <n v="3"/>
    <n v="1690"/>
    <n v="1"/>
    <n v="1690"/>
    <n v="1"/>
    <n v="1"/>
    <n v="27"/>
    <n v="2025"/>
    <x v="1"/>
    <x v="2"/>
    <x v="1"/>
  </r>
  <r>
    <x v="1"/>
    <x v="55"/>
    <x v="1"/>
    <x v="9"/>
    <n v="11"/>
    <n v="5"/>
    <n v="0"/>
    <n v="0"/>
    <n v="0"/>
    <n v="0"/>
    <n v="0"/>
    <n v="0"/>
    <n v="1"/>
    <n v="5"/>
    <n v="2025"/>
    <x v="1"/>
    <x v="2"/>
    <x v="1"/>
  </r>
  <r>
    <x v="1"/>
    <x v="55"/>
    <x v="1"/>
    <x v="10"/>
    <n v="17"/>
    <n v="12"/>
    <n v="0"/>
    <n v="0"/>
    <n v="0"/>
    <n v="0"/>
    <n v="0"/>
    <n v="0"/>
    <n v="2"/>
    <n v="5"/>
    <n v="2025"/>
    <x v="1"/>
    <x v="2"/>
    <x v="1"/>
  </r>
  <r>
    <x v="1"/>
    <x v="55"/>
    <x v="1"/>
    <x v="11"/>
    <n v="2"/>
    <n v="2"/>
    <n v="0"/>
    <n v="0"/>
    <n v="0"/>
    <n v="0"/>
    <n v="0"/>
    <n v="0"/>
    <n v="1"/>
    <n v="1"/>
    <n v="2025"/>
    <x v="1"/>
    <x v="2"/>
    <x v="1"/>
  </r>
  <r>
    <x v="1"/>
    <x v="55"/>
    <x v="1"/>
    <x v="59"/>
    <n v="2638"/>
    <n v="2216"/>
    <n v="14"/>
    <n v="2"/>
    <n v="23932.78"/>
    <n v="8"/>
    <n v="16492.78"/>
    <n v="7"/>
    <n v="69"/>
    <n v="189"/>
    <n v="2025"/>
    <x v="1"/>
    <x v="2"/>
    <x v="1"/>
  </r>
  <r>
    <x v="1"/>
    <x v="55"/>
    <x v="1"/>
    <x v="15"/>
    <n v="45"/>
    <n v="43"/>
    <n v="0"/>
    <n v="0"/>
    <n v="0"/>
    <n v="0"/>
    <n v="0"/>
    <n v="0"/>
    <n v="0"/>
    <n v="45"/>
    <n v="2025"/>
    <x v="1"/>
    <x v="2"/>
    <x v="1"/>
  </r>
  <r>
    <x v="1"/>
    <x v="55"/>
    <x v="1"/>
    <x v="17"/>
    <n v="530"/>
    <n v="310"/>
    <n v="12"/>
    <n v="0"/>
    <n v="5845"/>
    <n v="1"/>
    <n v="0"/>
    <n v="0"/>
    <n v="0"/>
    <n v="530"/>
    <n v="2025"/>
    <x v="1"/>
    <x v="2"/>
    <x v="1"/>
  </r>
  <r>
    <x v="1"/>
    <x v="55"/>
    <x v="1"/>
    <x v="18"/>
    <n v="64"/>
    <n v="62"/>
    <n v="5"/>
    <n v="0"/>
    <n v="93485"/>
    <n v="11"/>
    <n v="25940"/>
    <n v="2"/>
    <n v="11"/>
    <n v="61"/>
    <n v="2025"/>
    <x v="1"/>
    <x v="2"/>
    <x v="1"/>
  </r>
  <r>
    <x v="1"/>
    <x v="55"/>
    <x v="1"/>
    <x v="19"/>
    <n v="969"/>
    <n v="649"/>
    <n v="74"/>
    <n v="2"/>
    <n v="71786.78"/>
    <n v="18"/>
    <n v="44376.78"/>
    <n v="14"/>
    <n v="351"/>
    <n v="477"/>
    <n v="2025"/>
    <x v="1"/>
    <x v="2"/>
    <x v="1"/>
  </r>
  <r>
    <x v="1"/>
    <x v="55"/>
    <x v="1"/>
    <x v="20"/>
    <n v="15"/>
    <n v="11"/>
    <n v="1"/>
    <n v="1"/>
    <n v="1917"/>
    <n v="1"/>
    <n v="1917"/>
    <n v="1"/>
    <n v="3"/>
    <n v="14"/>
    <n v="2025"/>
    <x v="1"/>
    <x v="2"/>
    <x v="1"/>
  </r>
  <r>
    <x v="1"/>
    <x v="55"/>
    <x v="1"/>
    <x v="22"/>
    <n v="24"/>
    <n v="16"/>
    <n v="0"/>
    <n v="0"/>
    <n v="0"/>
    <n v="0"/>
    <n v="0"/>
    <n v="0"/>
    <n v="0"/>
    <n v="4"/>
    <n v="2025"/>
    <x v="1"/>
    <x v="2"/>
    <x v="1"/>
  </r>
  <r>
    <x v="1"/>
    <x v="55"/>
    <x v="1"/>
    <x v="24"/>
    <n v="26"/>
    <n v="12"/>
    <n v="1"/>
    <n v="0"/>
    <n v="0"/>
    <n v="0"/>
    <n v="0"/>
    <n v="0"/>
    <n v="8"/>
    <n v="24"/>
    <n v="2025"/>
    <x v="1"/>
    <x v="2"/>
    <x v="1"/>
  </r>
  <r>
    <x v="1"/>
    <x v="55"/>
    <x v="1"/>
    <x v="27"/>
    <n v="101"/>
    <n v="34"/>
    <n v="12"/>
    <n v="1"/>
    <n v="28658"/>
    <n v="9"/>
    <n v="20678"/>
    <n v="8"/>
    <n v="40"/>
    <n v="87"/>
    <n v="2025"/>
    <x v="1"/>
    <x v="2"/>
    <x v="1"/>
  </r>
  <r>
    <x v="1"/>
    <x v="55"/>
    <x v="1"/>
    <x v="29"/>
    <n v="791"/>
    <n v="607"/>
    <n v="42"/>
    <n v="6"/>
    <n v="31960"/>
    <n v="11"/>
    <n v="28970"/>
    <n v="10"/>
    <n v="333"/>
    <n v="577"/>
    <n v="2025"/>
    <x v="1"/>
    <x v="2"/>
    <x v="1"/>
  </r>
  <r>
    <x v="1"/>
    <x v="55"/>
    <x v="1"/>
    <x v="30"/>
    <n v="5791"/>
    <n v="4359"/>
    <n v="76"/>
    <n v="25"/>
    <n v="99133"/>
    <n v="22"/>
    <n v="35708"/>
    <n v="11"/>
    <n v="267"/>
    <n v="4341"/>
    <n v="2025"/>
    <x v="1"/>
    <x v="2"/>
    <x v="1"/>
  </r>
  <r>
    <x v="1"/>
    <x v="55"/>
    <x v="1"/>
    <x v="31"/>
    <n v="92"/>
    <n v="68"/>
    <n v="4"/>
    <n v="2"/>
    <n v="0"/>
    <n v="0"/>
    <n v="0"/>
    <n v="0"/>
    <n v="25"/>
    <n v="84"/>
    <n v="2025"/>
    <x v="1"/>
    <x v="2"/>
    <x v="1"/>
  </r>
  <r>
    <x v="1"/>
    <x v="55"/>
    <x v="1"/>
    <x v="32"/>
    <n v="1"/>
    <n v="1"/>
    <n v="0"/>
    <n v="0"/>
    <n v="0"/>
    <n v="0"/>
    <n v="0"/>
    <n v="0"/>
    <n v="0"/>
    <n v="1"/>
    <n v="2025"/>
    <x v="1"/>
    <x v="2"/>
    <x v="1"/>
  </r>
  <r>
    <x v="1"/>
    <x v="55"/>
    <x v="1"/>
    <x v="34"/>
    <n v="257"/>
    <n v="129"/>
    <n v="23"/>
    <n v="3"/>
    <n v="15304.78"/>
    <n v="5"/>
    <n v="10329.780000000001"/>
    <n v="4"/>
    <n v="70"/>
    <n v="239"/>
    <n v="2025"/>
    <x v="1"/>
    <x v="2"/>
    <x v="1"/>
  </r>
  <r>
    <x v="1"/>
    <x v="55"/>
    <x v="1"/>
    <x v="35"/>
    <n v="2"/>
    <n v="2"/>
    <n v="0"/>
    <n v="0"/>
    <n v="0"/>
    <n v="0"/>
    <n v="0"/>
    <n v="0"/>
    <n v="0"/>
    <n v="0"/>
    <n v="2025"/>
    <x v="1"/>
    <x v="2"/>
    <x v="1"/>
  </r>
  <r>
    <x v="1"/>
    <x v="55"/>
    <x v="1"/>
    <x v="36"/>
    <n v="4"/>
    <n v="4"/>
    <n v="0"/>
    <n v="0"/>
    <n v="0"/>
    <n v="0"/>
    <n v="0"/>
    <n v="0"/>
    <n v="0"/>
    <n v="4"/>
    <n v="2025"/>
    <x v="1"/>
    <x v="2"/>
    <x v="1"/>
  </r>
  <r>
    <x v="1"/>
    <x v="55"/>
    <x v="1"/>
    <x v="38"/>
    <n v="311"/>
    <n v="91"/>
    <n v="24"/>
    <n v="4"/>
    <n v="68919"/>
    <n v="14"/>
    <n v="20039"/>
    <n v="8"/>
    <n v="71"/>
    <n v="298"/>
    <n v="2025"/>
    <x v="1"/>
    <x v="2"/>
    <x v="1"/>
  </r>
  <r>
    <x v="1"/>
    <x v="55"/>
    <x v="1"/>
    <x v="65"/>
    <n v="8"/>
    <n v="8"/>
    <n v="0"/>
    <n v="0"/>
    <n v="0"/>
    <n v="0"/>
    <n v="0"/>
    <n v="0"/>
    <n v="0"/>
    <n v="8"/>
    <n v="2025"/>
    <x v="1"/>
    <x v="2"/>
    <x v="1"/>
  </r>
  <r>
    <x v="1"/>
    <x v="55"/>
    <x v="1"/>
    <x v="60"/>
    <n v="5"/>
    <n v="4"/>
    <n v="0"/>
    <n v="0"/>
    <n v="0"/>
    <n v="0"/>
    <n v="0"/>
    <n v="0"/>
    <n v="0"/>
    <n v="5"/>
    <n v="2025"/>
    <x v="1"/>
    <x v="2"/>
    <x v="1"/>
  </r>
  <r>
    <x v="1"/>
    <x v="55"/>
    <x v="1"/>
    <x v="64"/>
    <n v="464"/>
    <n v="232"/>
    <n v="12"/>
    <n v="2"/>
    <n v="1490"/>
    <n v="1"/>
    <n v="1490"/>
    <n v="1"/>
    <n v="66"/>
    <n v="454"/>
    <n v="2025"/>
    <x v="1"/>
    <x v="2"/>
    <x v="1"/>
  </r>
  <r>
    <x v="1"/>
    <x v="55"/>
    <x v="1"/>
    <x v="42"/>
    <n v="128"/>
    <n v="49"/>
    <n v="8"/>
    <n v="4"/>
    <n v="5000"/>
    <n v="2"/>
    <n v="5000"/>
    <n v="2"/>
    <n v="13"/>
    <n v="127"/>
    <n v="2025"/>
    <x v="1"/>
    <x v="2"/>
    <x v="1"/>
  </r>
  <r>
    <x v="1"/>
    <x v="55"/>
    <x v="1"/>
    <x v="43"/>
    <n v="114"/>
    <n v="72"/>
    <n v="2"/>
    <n v="1"/>
    <n v="0"/>
    <n v="0"/>
    <n v="0"/>
    <n v="0"/>
    <n v="76"/>
    <n v="59"/>
    <n v="2025"/>
    <x v="1"/>
    <x v="2"/>
    <x v="1"/>
  </r>
  <r>
    <x v="1"/>
    <x v="55"/>
    <x v="1"/>
    <x v="44"/>
    <n v="25"/>
    <n v="7"/>
    <n v="0"/>
    <n v="0"/>
    <n v="11550"/>
    <n v="4"/>
    <n v="11550"/>
    <n v="4"/>
    <n v="1"/>
    <n v="25"/>
    <n v="2025"/>
    <x v="1"/>
    <x v="2"/>
    <x v="1"/>
  </r>
  <r>
    <x v="1"/>
    <x v="56"/>
    <x v="0"/>
    <x v="0"/>
    <n v="543"/>
    <n v="278"/>
    <n v="134"/>
    <n v="6"/>
    <n v="80310"/>
    <n v="22"/>
    <n v="43975"/>
    <n v="13"/>
    <n v="21"/>
    <n v="536"/>
    <n v="2025"/>
    <x v="1"/>
    <x v="2"/>
    <x v="1"/>
  </r>
  <r>
    <x v="1"/>
    <x v="56"/>
    <x v="0"/>
    <x v="1"/>
    <n v="21254"/>
    <n v="15038"/>
    <n v="323"/>
    <n v="243"/>
    <n v="403865.66"/>
    <n v="71"/>
    <n v="197179.66"/>
    <n v="54"/>
    <n v="1332"/>
    <n v="20997"/>
    <n v="2025"/>
    <x v="1"/>
    <x v="2"/>
    <x v="1"/>
  </r>
  <r>
    <x v="1"/>
    <x v="56"/>
    <x v="0"/>
    <x v="2"/>
    <n v="3"/>
    <n v="1"/>
    <n v="0"/>
    <n v="0"/>
    <n v="0"/>
    <n v="0"/>
    <n v="0"/>
    <n v="0"/>
    <n v="3"/>
    <n v="0"/>
    <n v="2025"/>
    <x v="1"/>
    <x v="2"/>
    <x v="1"/>
  </r>
  <r>
    <x v="1"/>
    <x v="56"/>
    <x v="0"/>
    <x v="3"/>
    <n v="798"/>
    <n v="656"/>
    <n v="13"/>
    <n v="1"/>
    <n v="0"/>
    <n v="0"/>
    <n v="0"/>
    <n v="0"/>
    <n v="21"/>
    <n v="157"/>
    <n v="2025"/>
    <x v="1"/>
    <x v="2"/>
    <x v="1"/>
  </r>
  <r>
    <x v="1"/>
    <x v="56"/>
    <x v="1"/>
    <x v="5"/>
    <n v="3"/>
    <n v="3"/>
    <n v="0"/>
    <n v="0"/>
    <n v="0"/>
    <n v="0"/>
    <n v="0"/>
    <n v="0"/>
    <n v="0"/>
    <n v="3"/>
    <n v="2025"/>
    <x v="1"/>
    <x v="2"/>
    <x v="1"/>
  </r>
  <r>
    <x v="1"/>
    <x v="56"/>
    <x v="1"/>
    <x v="6"/>
    <n v="565"/>
    <n v="522"/>
    <n v="0"/>
    <n v="0"/>
    <n v="0"/>
    <n v="0"/>
    <n v="0"/>
    <n v="0"/>
    <n v="0"/>
    <n v="0"/>
    <n v="2025"/>
    <x v="1"/>
    <x v="2"/>
    <x v="1"/>
  </r>
  <r>
    <x v="1"/>
    <x v="56"/>
    <x v="1"/>
    <x v="7"/>
    <n v="449"/>
    <n v="133"/>
    <n v="95"/>
    <n v="5"/>
    <n v="252653.83"/>
    <n v="65"/>
    <n v="204521.83"/>
    <n v="56"/>
    <n v="133"/>
    <n v="429"/>
    <n v="2025"/>
    <x v="1"/>
    <x v="2"/>
    <x v="1"/>
  </r>
  <r>
    <x v="1"/>
    <x v="56"/>
    <x v="1"/>
    <x v="8"/>
    <n v="54"/>
    <n v="42"/>
    <n v="2"/>
    <n v="0"/>
    <n v="0"/>
    <n v="0"/>
    <n v="0"/>
    <n v="0"/>
    <n v="1"/>
    <n v="18"/>
    <n v="2025"/>
    <x v="1"/>
    <x v="2"/>
    <x v="1"/>
  </r>
  <r>
    <x v="1"/>
    <x v="56"/>
    <x v="1"/>
    <x v="9"/>
    <n v="89"/>
    <n v="76"/>
    <n v="0"/>
    <n v="0"/>
    <n v="0"/>
    <n v="0"/>
    <n v="0"/>
    <n v="0"/>
    <n v="0"/>
    <n v="4"/>
    <n v="2025"/>
    <x v="1"/>
    <x v="2"/>
    <x v="1"/>
  </r>
  <r>
    <x v="1"/>
    <x v="56"/>
    <x v="1"/>
    <x v="10"/>
    <n v="10"/>
    <n v="7"/>
    <n v="0"/>
    <n v="0"/>
    <n v="0"/>
    <n v="0"/>
    <n v="0"/>
    <n v="0"/>
    <n v="0"/>
    <n v="2"/>
    <n v="2025"/>
    <x v="1"/>
    <x v="2"/>
    <x v="1"/>
  </r>
  <r>
    <x v="1"/>
    <x v="56"/>
    <x v="1"/>
    <x v="11"/>
    <n v="4"/>
    <n v="4"/>
    <n v="0"/>
    <n v="0"/>
    <n v="0"/>
    <n v="0"/>
    <n v="0"/>
    <n v="0"/>
    <n v="1"/>
    <n v="3"/>
    <n v="2025"/>
    <x v="1"/>
    <x v="2"/>
    <x v="1"/>
  </r>
  <r>
    <x v="1"/>
    <x v="56"/>
    <x v="1"/>
    <x v="59"/>
    <n v="3299"/>
    <n v="3053"/>
    <n v="15"/>
    <n v="4"/>
    <n v="45948.87"/>
    <n v="17"/>
    <n v="42768.87"/>
    <n v="15"/>
    <n v="85"/>
    <n v="220"/>
    <n v="2025"/>
    <x v="1"/>
    <x v="2"/>
    <x v="1"/>
  </r>
  <r>
    <x v="1"/>
    <x v="56"/>
    <x v="1"/>
    <x v="15"/>
    <n v="51"/>
    <n v="47"/>
    <n v="1"/>
    <n v="0"/>
    <n v="0"/>
    <n v="0"/>
    <n v="0"/>
    <n v="0"/>
    <n v="1"/>
    <n v="51"/>
    <n v="2025"/>
    <x v="1"/>
    <x v="2"/>
    <x v="1"/>
  </r>
  <r>
    <x v="1"/>
    <x v="56"/>
    <x v="1"/>
    <x v="17"/>
    <n v="415"/>
    <n v="229"/>
    <n v="6"/>
    <n v="0"/>
    <n v="0"/>
    <n v="0"/>
    <n v="0"/>
    <n v="0"/>
    <n v="1"/>
    <n v="414"/>
    <n v="2025"/>
    <x v="1"/>
    <x v="2"/>
    <x v="1"/>
  </r>
  <r>
    <x v="1"/>
    <x v="56"/>
    <x v="1"/>
    <x v="18"/>
    <n v="22"/>
    <n v="19"/>
    <n v="4"/>
    <n v="0"/>
    <n v="5260.66"/>
    <n v="2"/>
    <n v="5260.66"/>
    <n v="2"/>
    <n v="2"/>
    <n v="19"/>
    <n v="2025"/>
    <x v="1"/>
    <x v="2"/>
    <x v="1"/>
  </r>
  <r>
    <x v="1"/>
    <x v="56"/>
    <x v="1"/>
    <x v="19"/>
    <n v="851"/>
    <n v="549"/>
    <n v="84"/>
    <n v="8"/>
    <n v="112408.23"/>
    <n v="36"/>
    <n v="73130.23"/>
    <n v="25"/>
    <n v="282"/>
    <n v="491"/>
    <n v="2025"/>
    <x v="1"/>
    <x v="2"/>
    <x v="1"/>
  </r>
  <r>
    <x v="1"/>
    <x v="56"/>
    <x v="1"/>
    <x v="20"/>
    <n v="17"/>
    <n v="9"/>
    <n v="2"/>
    <n v="0"/>
    <n v="1690"/>
    <n v="1"/>
    <n v="1690"/>
    <n v="1"/>
    <n v="3"/>
    <n v="16"/>
    <n v="2025"/>
    <x v="1"/>
    <x v="2"/>
    <x v="1"/>
  </r>
  <r>
    <x v="1"/>
    <x v="56"/>
    <x v="1"/>
    <x v="22"/>
    <n v="46"/>
    <n v="27"/>
    <n v="3"/>
    <n v="0"/>
    <n v="0"/>
    <n v="0"/>
    <n v="0"/>
    <n v="0"/>
    <n v="0"/>
    <n v="20"/>
    <n v="2025"/>
    <x v="1"/>
    <x v="2"/>
    <x v="1"/>
  </r>
  <r>
    <x v="1"/>
    <x v="56"/>
    <x v="1"/>
    <x v="24"/>
    <n v="16"/>
    <n v="10"/>
    <n v="3"/>
    <n v="1"/>
    <n v="0"/>
    <n v="0"/>
    <n v="0"/>
    <n v="0"/>
    <n v="2"/>
    <n v="16"/>
    <n v="2025"/>
    <x v="1"/>
    <x v="2"/>
    <x v="1"/>
  </r>
  <r>
    <x v="1"/>
    <x v="56"/>
    <x v="1"/>
    <x v="27"/>
    <n v="139"/>
    <n v="62"/>
    <n v="19"/>
    <n v="3"/>
    <n v="39296.449999999997"/>
    <n v="12"/>
    <n v="39296.449999999997"/>
    <n v="12"/>
    <n v="54"/>
    <n v="123"/>
    <n v="2025"/>
    <x v="1"/>
    <x v="2"/>
    <x v="1"/>
  </r>
  <r>
    <x v="1"/>
    <x v="56"/>
    <x v="1"/>
    <x v="29"/>
    <n v="892"/>
    <n v="682"/>
    <n v="59"/>
    <n v="9"/>
    <n v="37416"/>
    <n v="13"/>
    <n v="34821"/>
    <n v="12"/>
    <n v="399"/>
    <n v="653"/>
    <n v="2025"/>
    <x v="1"/>
    <x v="2"/>
    <x v="1"/>
  </r>
  <r>
    <x v="1"/>
    <x v="56"/>
    <x v="1"/>
    <x v="30"/>
    <n v="5943"/>
    <n v="4503"/>
    <n v="86"/>
    <n v="34"/>
    <n v="67308.47"/>
    <n v="21"/>
    <n v="48330.47"/>
    <n v="17"/>
    <n v="314"/>
    <n v="4738"/>
    <n v="2025"/>
    <x v="1"/>
    <x v="2"/>
    <x v="1"/>
  </r>
  <r>
    <x v="1"/>
    <x v="56"/>
    <x v="1"/>
    <x v="31"/>
    <n v="106"/>
    <n v="72"/>
    <n v="5"/>
    <n v="5"/>
    <n v="14665"/>
    <n v="3"/>
    <n v="14665"/>
    <n v="3"/>
    <n v="23"/>
    <n v="102"/>
    <n v="2025"/>
    <x v="1"/>
    <x v="2"/>
    <x v="1"/>
  </r>
  <r>
    <x v="1"/>
    <x v="56"/>
    <x v="1"/>
    <x v="34"/>
    <n v="294"/>
    <n v="143"/>
    <n v="17"/>
    <n v="5"/>
    <n v="7605"/>
    <n v="4"/>
    <n v="7605"/>
    <n v="4"/>
    <n v="71"/>
    <n v="278"/>
    <n v="2025"/>
    <x v="1"/>
    <x v="2"/>
    <x v="1"/>
  </r>
  <r>
    <x v="1"/>
    <x v="56"/>
    <x v="1"/>
    <x v="36"/>
    <n v="1"/>
    <n v="1"/>
    <n v="0"/>
    <n v="0"/>
    <n v="0"/>
    <n v="0"/>
    <n v="0"/>
    <n v="0"/>
    <n v="0"/>
    <n v="1"/>
    <n v="2025"/>
    <x v="1"/>
    <x v="2"/>
    <x v="1"/>
  </r>
  <r>
    <x v="1"/>
    <x v="56"/>
    <x v="1"/>
    <x v="38"/>
    <n v="340"/>
    <n v="96"/>
    <n v="46"/>
    <n v="12"/>
    <n v="108506.53"/>
    <n v="29"/>
    <n v="83888.53"/>
    <n v="23"/>
    <n v="93"/>
    <n v="328"/>
    <n v="2025"/>
    <x v="1"/>
    <x v="2"/>
    <x v="1"/>
  </r>
  <r>
    <x v="1"/>
    <x v="56"/>
    <x v="1"/>
    <x v="65"/>
    <n v="5"/>
    <n v="5"/>
    <n v="0"/>
    <n v="1"/>
    <n v="1990"/>
    <n v="1"/>
    <n v="0"/>
    <n v="0"/>
    <n v="0"/>
    <n v="5"/>
    <n v="2025"/>
    <x v="1"/>
    <x v="2"/>
    <x v="1"/>
  </r>
  <r>
    <x v="1"/>
    <x v="56"/>
    <x v="1"/>
    <x v="60"/>
    <n v="7"/>
    <n v="6"/>
    <n v="0"/>
    <n v="0"/>
    <n v="0"/>
    <n v="0"/>
    <n v="0"/>
    <n v="0"/>
    <n v="0"/>
    <n v="7"/>
    <n v="2025"/>
    <x v="1"/>
    <x v="2"/>
    <x v="1"/>
  </r>
  <r>
    <x v="1"/>
    <x v="56"/>
    <x v="1"/>
    <x v="64"/>
    <n v="478"/>
    <n v="239"/>
    <n v="15"/>
    <n v="5"/>
    <n v="23517"/>
    <n v="3"/>
    <n v="5017"/>
    <n v="2"/>
    <n v="75"/>
    <n v="462"/>
    <n v="2025"/>
    <x v="1"/>
    <x v="2"/>
    <x v="1"/>
  </r>
  <r>
    <x v="1"/>
    <x v="56"/>
    <x v="1"/>
    <x v="42"/>
    <n v="117"/>
    <n v="49"/>
    <n v="8"/>
    <n v="1"/>
    <n v="1598"/>
    <n v="1"/>
    <n v="1598"/>
    <n v="1"/>
    <n v="13"/>
    <n v="114"/>
    <n v="2025"/>
    <x v="1"/>
    <x v="2"/>
    <x v="1"/>
  </r>
  <r>
    <x v="1"/>
    <x v="56"/>
    <x v="1"/>
    <x v="43"/>
    <n v="105"/>
    <n v="59"/>
    <n v="3"/>
    <n v="1"/>
    <n v="0"/>
    <n v="0"/>
    <n v="0"/>
    <n v="0"/>
    <n v="77"/>
    <n v="56"/>
    <n v="2025"/>
    <x v="1"/>
    <x v="2"/>
    <x v="1"/>
  </r>
  <r>
    <x v="1"/>
    <x v="56"/>
    <x v="1"/>
    <x v="44"/>
    <n v="25"/>
    <n v="8"/>
    <n v="1"/>
    <n v="0"/>
    <n v="10893"/>
    <n v="3"/>
    <n v="10893"/>
    <n v="3"/>
    <n v="1"/>
    <n v="25"/>
    <n v="2025"/>
    <x v="1"/>
    <x v="2"/>
    <x v="1"/>
  </r>
  <r>
    <x v="1"/>
    <x v="56"/>
    <x v="1"/>
    <x v="45"/>
    <n v="1"/>
    <n v="0"/>
    <n v="0"/>
    <n v="0"/>
    <n v="0"/>
    <n v="0"/>
    <n v="0"/>
    <n v="0"/>
    <n v="0"/>
    <n v="1"/>
    <n v="2025"/>
    <x v="1"/>
    <x v="2"/>
    <x v="1"/>
  </r>
  <r>
    <x v="1"/>
    <x v="57"/>
    <x v="0"/>
    <x v="0"/>
    <n v="464"/>
    <n v="197"/>
    <n v="68"/>
    <n v="6"/>
    <n v="38474"/>
    <n v="14"/>
    <n v="30089"/>
    <n v="11"/>
    <n v="8"/>
    <n v="456"/>
    <n v="2025"/>
    <x v="1"/>
    <x v="2"/>
    <x v="1"/>
  </r>
  <r>
    <x v="1"/>
    <x v="57"/>
    <x v="0"/>
    <x v="1"/>
    <n v="20499"/>
    <n v="14124"/>
    <n v="323"/>
    <n v="244"/>
    <n v="267086"/>
    <n v="69"/>
    <n v="175773"/>
    <n v="49"/>
    <n v="1324"/>
    <n v="20236"/>
    <n v="2025"/>
    <x v="1"/>
    <x v="2"/>
    <x v="1"/>
  </r>
  <r>
    <x v="1"/>
    <x v="57"/>
    <x v="0"/>
    <x v="2"/>
    <n v="1"/>
    <n v="0"/>
    <n v="0"/>
    <n v="0"/>
    <n v="0"/>
    <n v="0"/>
    <n v="0"/>
    <n v="0"/>
    <n v="1"/>
    <n v="0"/>
    <n v="2025"/>
    <x v="1"/>
    <x v="2"/>
    <x v="1"/>
  </r>
  <r>
    <x v="1"/>
    <x v="57"/>
    <x v="0"/>
    <x v="3"/>
    <n v="1087"/>
    <n v="989"/>
    <n v="15"/>
    <n v="0"/>
    <n v="0"/>
    <n v="0"/>
    <n v="0"/>
    <n v="0"/>
    <n v="16"/>
    <n v="224"/>
    <n v="2025"/>
    <x v="1"/>
    <x v="2"/>
    <x v="1"/>
  </r>
  <r>
    <x v="1"/>
    <x v="57"/>
    <x v="1"/>
    <x v="5"/>
    <n v="4"/>
    <n v="4"/>
    <n v="0"/>
    <n v="0"/>
    <n v="0"/>
    <n v="0"/>
    <n v="0"/>
    <n v="0"/>
    <n v="1"/>
    <n v="3"/>
    <n v="2025"/>
    <x v="1"/>
    <x v="2"/>
    <x v="1"/>
  </r>
  <r>
    <x v="1"/>
    <x v="57"/>
    <x v="1"/>
    <x v="6"/>
    <n v="655"/>
    <n v="637"/>
    <n v="0"/>
    <n v="0"/>
    <n v="0"/>
    <n v="0"/>
    <n v="0"/>
    <n v="0"/>
    <n v="1"/>
    <n v="2"/>
    <n v="2025"/>
    <x v="1"/>
    <x v="2"/>
    <x v="1"/>
  </r>
  <r>
    <x v="1"/>
    <x v="57"/>
    <x v="1"/>
    <x v="7"/>
    <n v="398"/>
    <n v="127"/>
    <n v="62"/>
    <n v="3"/>
    <n v="217680"/>
    <n v="60"/>
    <n v="190755"/>
    <n v="57"/>
    <n v="119"/>
    <n v="384"/>
    <n v="2025"/>
    <x v="1"/>
    <x v="2"/>
    <x v="1"/>
  </r>
  <r>
    <x v="1"/>
    <x v="57"/>
    <x v="1"/>
    <x v="8"/>
    <n v="69"/>
    <n v="55"/>
    <n v="3"/>
    <n v="0"/>
    <n v="0"/>
    <n v="0"/>
    <n v="0"/>
    <n v="0"/>
    <n v="1"/>
    <n v="25"/>
    <n v="2025"/>
    <x v="1"/>
    <x v="2"/>
    <x v="1"/>
  </r>
  <r>
    <x v="1"/>
    <x v="57"/>
    <x v="1"/>
    <x v="9"/>
    <n v="108"/>
    <n v="101"/>
    <n v="1"/>
    <n v="0"/>
    <n v="0"/>
    <n v="0"/>
    <n v="0"/>
    <n v="0"/>
    <n v="0"/>
    <n v="5"/>
    <n v="2025"/>
    <x v="1"/>
    <x v="2"/>
    <x v="1"/>
  </r>
  <r>
    <x v="1"/>
    <x v="57"/>
    <x v="1"/>
    <x v="10"/>
    <n v="11"/>
    <n v="8"/>
    <n v="1"/>
    <n v="0"/>
    <n v="1690"/>
    <n v="1"/>
    <n v="1690"/>
    <n v="1"/>
    <n v="2"/>
    <n v="6"/>
    <n v="2025"/>
    <x v="1"/>
    <x v="2"/>
    <x v="1"/>
  </r>
  <r>
    <x v="1"/>
    <x v="57"/>
    <x v="1"/>
    <x v="11"/>
    <n v="2"/>
    <n v="2"/>
    <n v="0"/>
    <n v="0"/>
    <n v="0"/>
    <n v="0"/>
    <n v="0"/>
    <n v="0"/>
    <n v="1"/>
    <n v="1"/>
    <n v="2025"/>
    <x v="1"/>
    <x v="2"/>
    <x v="1"/>
  </r>
  <r>
    <x v="1"/>
    <x v="57"/>
    <x v="1"/>
    <x v="61"/>
    <n v="7"/>
    <n v="2"/>
    <n v="0"/>
    <n v="0"/>
    <n v="0"/>
    <n v="0"/>
    <n v="0"/>
    <n v="0"/>
    <n v="0"/>
    <n v="7"/>
    <n v="2025"/>
    <x v="1"/>
    <x v="2"/>
    <x v="1"/>
  </r>
  <r>
    <x v="1"/>
    <x v="57"/>
    <x v="1"/>
    <x v="48"/>
    <n v="1"/>
    <n v="1"/>
    <n v="0"/>
    <n v="0"/>
    <n v="0"/>
    <n v="0"/>
    <n v="0"/>
    <n v="0"/>
    <n v="0"/>
    <n v="1"/>
    <n v="2025"/>
    <x v="1"/>
    <x v="2"/>
    <x v="1"/>
  </r>
  <r>
    <x v="1"/>
    <x v="57"/>
    <x v="1"/>
    <x v="14"/>
    <n v="1"/>
    <n v="1"/>
    <n v="0"/>
    <n v="0"/>
    <n v="0"/>
    <n v="0"/>
    <n v="0"/>
    <n v="0"/>
    <n v="0"/>
    <n v="0"/>
    <n v="2025"/>
    <x v="1"/>
    <x v="2"/>
    <x v="1"/>
  </r>
  <r>
    <x v="1"/>
    <x v="57"/>
    <x v="1"/>
    <x v="59"/>
    <n v="1492"/>
    <n v="1339"/>
    <n v="20"/>
    <n v="2"/>
    <n v="33648"/>
    <n v="10"/>
    <n v="26048"/>
    <n v="10"/>
    <n v="85"/>
    <n v="201"/>
    <n v="2025"/>
    <x v="1"/>
    <x v="2"/>
    <x v="1"/>
  </r>
  <r>
    <x v="1"/>
    <x v="57"/>
    <x v="1"/>
    <x v="15"/>
    <n v="46"/>
    <n v="43"/>
    <n v="1"/>
    <n v="1"/>
    <n v="0"/>
    <n v="0"/>
    <n v="0"/>
    <n v="0"/>
    <n v="0"/>
    <n v="46"/>
    <n v="2025"/>
    <x v="1"/>
    <x v="2"/>
    <x v="1"/>
  </r>
  <r>
    <x v="1"/>
    <x v="57"/>
    <x v="1"/>
    <x v="17"/>
    <n v="325"/>
    <n v="173"/>
    <n v="3"/>
    <n v="1"/>
    <n v="5075"/>
    <n v="1"/>
    <n v="0"/>
    <n v="0"/>
    <n v="0"/>
    <n v="325"/>
    <n v="2025"/>
    <x v="1"/>
    <x v="2"/>
    <x v="1"/>
  </r>
  <r>
    <x v="1"/>
    <x v="57"/>
    <x v="1"/>
    <x v="18"/>
    <n v="13"/>
    <n v="12"/>
    <n v="2"/>
    <n v="0"/>
    <n v="2250"/>
    <n v="1"/>
    <n v="2250"/>
    <n v="1"/>
    <n v="0"/>
    <n v="12"/>
    <n v="2025"/>
    <x v="1"/>
    <x v="2"/>
    <x v="1"/>
  </r>
  <r>
    <x v="1"/>
    <x v="57"/>
    <x v="1"/>
    <x v="19"/>
    <n v="914"/>
    <n v="573"/>
    <n v="78"/>
    <n v="13"/>
    <n v="84894"/>
    <n v="31"/>
    <n v="69494"/>
    <n v="26"/>
    <n v="263"/>
    <n v="505"/>
    <n v="2025"/>
    <x v="1"/>
    <x v="2"/>
    <x v="1"/>
  </r>
  <r>
    <x v="1"/>
    <x v="57"/>
    <x v="1"/>
    <x v="20"/>
    <n v="15"/>
    <n v="11"/>
    <n v="0"/>
    <n v="0"/>
    <n v="7450"/>
    <n v="1"/>
    <n v="4470"/>
    <n v="1"/>
    <n v="1"/>
    <n v="15"/>
    <n v="2025"/>
    <x v="1"/>
    <x v="2"/>
    <x v="1"/>
  </r>
  <r>
    <x v="1"/>
    <x v="57"/>
    <x v="1"/>
    <x v="22"/>
    <n v="67"/>
    <n v="56"/>
    <n v="0"/>
    <n v="0"/>
    <n v="0"/>
    <n v="0"/>
    <n v="0"/>
    <n v="0"/>
    <n v="0"/>
    <n v="7"/>
    <n v="2025"/>
    <x v="1"/>
    <x v="2"/>
    <x v="1"/>
  </r>
  <r>
    <x v="1"/>
    <x v="57"/>
    <x v="1"/>
    <x v="24"/>
    <n v="30"/>
    <n v="19"/>
    <n v="6"/>
    <n v="0"/>
    <n v="9130"/>
    <n v="3"/>
    <n v="6030"/>
    <n v="3"/>
    <n v="6"/>
    <n v="28"/>
    <n v="2025"/>
    <x v="1"/>
    <x v="2"/>
    <x v="1"/>
  </r>
  <r>
    <x v="1"/>
    <x v="57"/>
    <x v="1"/>
    <x v="27"/>
    <n v="174"/>
    <n v="65"/>
    <n v="8"/>
    <n v="0"/>
    <n v="25633"/>
    <n v="11"/>
    <n v="25633"/>
    <n v="11"/>
    <n v="78"/>
    <n v="146"/>
    <n v="2025"/>
    <x v="1"/>
    <x v="2"/>
    <x v="1"/>
  </r>
  <r>
    <x v="1"/>
    <x v="57"/>
    <x v="1"/>
    <x v="29"/>
    <n v="926"/>
    <n v="697"/>
    <n v="59"/>
    <n v="11"/>
    <n v="51885"/>
    <n v="15"/>
    <n v="33903"/>
    <n v="12"/>
    <n v="407"/>
    <n v="669"/>
    <n v="2025"/>
    <x v="1"/>
    <x v="2"/>
    <x v="1"/>
  </r>
  <r>
    <x v="1"/>
    <x v="57"/>
    <x v="1"/>
    <x v="30"/>
    <n v="4731"/>
    <n v="3411"/>
    <n v="81"/>
    <n v="38"/>
    <n v="51582"/>
    <n v="15"/>
    <n v="46722"/>
    <n v="13"/>
    <n v="297"/>
    <n v="3969"/>
    <n v="2025"/>
    <x v="1"/>
    <x v="2"/>
    <x v="1"/>
  </r>
  <r>
    <x v="1"/>
    <x v="57"/>
    <x v="1"/>
    <x v="31"/>
    <n v="112"/>
    <n v="80"/>
    <n v="4"/>
    <n v="2"/>
    <n v="7245"/>
    <n v="1"/>
    <n v="7245"/>
    <n v="1"/>
    <n v="17"/>
    <n v="108"/>
    <n v="2025"/>
    <x v="1"/>
    <x v="2"/>
    <x v="1"/>
  </r>
  <r>
    <x v="1"/>
    <x v="57"/>
    <x v="1"/>
    <x v="32"/>
    <n v="2"/>
    <n v="0"/>
    <n v="1"/>
    <n v="0"/>
    <n v="0"/>
    <n v="0"/>
    <n v="0"/>
    <n v="0"/>
    <n v="0"/>
    <n v="2"/>
    <n v="2025"/>
    <x v="1"/>
    <x v="2"/>
    <x v="1"/>
  </r>
  <r>
    <x v="1"/>
    <x v="57"/>
    <x v="1"/>
    <x v="34"/>
    <n v="275"/>
    <n v="145"/>
    <n v="20"/>
    <n v="3"/>
    <n v="14202"/>
    <n v="7"/>
    <n v="11022"/>
    <n v="5"/>
    <n v="82"/>
    <n v="255"/>
    <n v="2025"/>
    <x v="1"/>
    <x v="2"/>
    <x v="1"/>
  </r>
  <r>
    <x v="1"/>
    <x v="57"/>
    <x v="1"/>
    <x v="38"/>
    <n v="314"/>
    <n v="93"/>
    <n v="26"/>
    <n v="8"/>
    <n v="55260"/>
    <n v="19"/>
    <n v="35232"/>
    <n v="15"/>
    <n v="83"/>
    <n v="296"/>
    <n v="2025"/>
    <x v="1"/>
    <x v="2"/>
    <x v="1"/>
  </r>
  <r>
    <x v="1"/>
    <x v="57"/>
    <x v="1"/>
    <x v="67"/>
    <n v="3"/>
    <n v="3"/>
    <n v="0"/>
    <n v="0"/>
    <n v="0"/>
    <n v="0"/>
    <n v="0"/>
    <n v="0"/>
    <n v="0"/>
    <n v="3"/>
    <n v="2025"/>
    <x v="1"/>
    <x v="2"/>
    <x v="1"/>
  </r>
  <r>
    <x v="1"/>
    <x v="57"/>
    <x v="1"/>
    <x v="65"/>
    <n v="3"/>
    <n v="3"/>
    <n v="0"/>
    <n v="0"/>
    <n v="0"/>
    <n v="0"/>
    <n v="0"/>
    <n v="0"/>
    <n v="0"/>
    <n v="3"/>
    <n v="2025"/>
    <x v="1"/>
    <x v="2"/>
    <x v="1"/>
  </r>
  <r>
    <x v="1"/>
    <x v="57"/>
    <x v="1"/>
    <x v="60"/>
    <n v="13"/>
    <n v="13"/>
    <n v="0"/>
    <n v="0"/>
    <n v="0"/>
    <n v="0"/>
    <n v="0"/>
    <n v="0"/>
    <n v="3"/>
    <n v="13"/>
    <n v="2025"/>
    <x v="1"/>
    <x v="2"/>
    <x v="1"/>
  </r>
  <r>
    <x v="1"/>
    <x v="57"/>
    <x v="1"/>
    <x v="64"/>
    <n v="490"/>
    <n v="254"/>
    <n v="20"/>
    <n v="1"/>
    <n v="3407"/>
    <n v="2"/>
    <n v="5097"/>
    <n v="3"/>
    <n v="81"/>
    <n v="481"/>
    <n v="2025"/>
    <x v="1"/>
    <x v="2"/>
    <x v="1"/>
  </r>
  <r>
    <x v="1"/>
    <x v="57"/>
    <x v="1"/>
    <x v="42"/>
    <n v="104"/>
    <n v="40"/>
    <n v="5"/>
    <n v="2"/>
    <n v="6648"/>
    <n v="3"/>
    <n v="5050"/>
    <n v="2"/>
    <n v="18"/>
    <n v="101"/>
    <n v="2025"/>
    <x v="1"/>
    <x v="2"/>
    <x v="1"/>
  </r>
  <r>
    <x v="1"/>
    <x v="57"/>
    <x v="1"/>
    <x v="43"/>
    <n v="100"/>
    <n v="57"/>
    <n v="4"/>
    <n v="1"/>
    <n v="10167"/>
    <n v="4"/>
    <n v="10167"/>
    <n v="4"/>
    <n v="85"/>
    <n v="54"/>
    <n v="2025"/>
    <x v="1"/>
    <x v="2"/>
    <x v="1"/>
  </r>
  <r>
    <x v="1"/>
    <x v="57"/>
    <x v="1"/>
    <x v="44"/>
    <n v="31"/>
    <n v="8"/>
    <n v="4"/>
    <n v="1"/>
    <n v="4740"/>
    <n v="1"/>
    <n v="4740"/>
    <n v="1"/>
    <n v="1"/>
    <n v="31"/>
    <n v="2025"/>
    <x v="1"/>
    <x v="2"/>
    <x v="1"/>
  </r>
  <r>
    <x v="1"/>
    <x v="57"/>
    <x v="1"/>
    <x v="45"/>
    <n v="4"/>
    <n v="1"/>
    <n v="0"/>
    <n v="0"/>
    <n v="0"/>
    <n v="0"/>
    <n v="0"/>
    <n v="0"/>
    <n v="0"/>
    <n v="3"/>
    <n v="2025"/>
    <x v="1"/>
    <x v="2"/>
    <x v="1"/>
  </r>
  <r>
    <x v="1"/>
    <x v="58"/>
    <x v="0"/>
    <x v="0"/>
    <n v="611"/>
    <n v="359"/>
    <n v="192"/>
    <n v="9"/>
    <n v="106677"/>
    <n v="24"/>
    <n v="43190"/>
    <n v="12"/>
    <n v="4"/>
    <n v="611"/>
    <n v="2025"/>
    <x v="1"/>
    <x v="2"/>
    <x v="1"/>
  </r>
  <r>
    <x v="1"/>
    <x v="58"/>
    <x v="0"/>
    <x v="1"/>
    <n v="22544"/>
    <n v="15938"/>
    <n v="309"/>
    <n v="285"/>
    <n v="233868.26"/>
    <n v="63"/>
    <n v="141976.26"/>
    <n v="44"/>
    <n v="1383"/>
    <n v="22280"/>
    <n v="2025"/>
    <x v="1"/>
    <x v="2"/>
    <x v="1"/>
  </r>
  <r>
    <x v="1"/>
    <x v="58"/>
    <x v="0"/>
    <x v="2"/>
    <n v="1"/>
    <n v="0"/>
    <n v="0"/>
    <n v="0"/>
    <n v="0"/>
    <n v="0"/>
    <n v="0"/>
    <n v="0"/>
    <n v="0"/>
    <n v="1"/>
    <n v="2025"/>
    <x v="1"/>
    <x v="2"/>
    <x v="1"/>
  </r>
  <r>
    <x v="1"/>
    <x v="58"/>
    <x v="1"/>
    <x v="6"/>
    <n v="1"/>
    <n v="1"/>
    <n v="0"/>
    <n v="0"/>
    <n v="0"/>
    <n v="0"/>
    <n v="0"/>
    <n v="0"/>
    <n v="1"/>
    <n v="1"/>
    <n v="2025"/>
    <x v="1"/>
    <x v="2"/>
    <x v="1"/>
  </r>
  <r>
    <x v="1"/>
    <x v="58"/>
    <x v="1"/>
    <x v="7"/>
    <n v="410"/>
    <n v="126"/>
    <n v="58"/>
    <n v="2"/>
    <n v="213612.61"/>
    <n v="56"/>
    <n v="173115.61"/>
    <n v="50"/>
    <n v="105"/>
    <n v="396"/>
    <n v="2025"/>
    <x v="1"/>
    <x v="2"/>
    <x v="1"/>
  </r>
  <r>
    <x v="1"/>
    <x v="58"/>
    <x v="1"/>
    <x v="8"/>
    <n v="45"/>
    <n v="23"/>
    <n v="1"/>
    <n v="3"/>
    <n v="0"/>
    <n v="0"/>
    <n v="0"/>
    <n v="0"/>
    <n v="0"/>
    <n v="44"/>
    <n v="2025"/>
    <x v="1"/>
    <x v="2"/>
    <x v="1"/>
  </r>
  <r>
    <x v="1"/>
    <x v="58"/>
    <x v="1"/>
    <x v="9"/>
    <n v="8"/>
    <n v="2"/>
    <n v="0"/>
    <n v="1"/>
    <n v="0"/>
    <n v="0"/>
    <n v="0"/>
    <n v="0"/>
    <n v="1"/>
    <n v="8"/>
    <n v="2025"/>
    <x v="1"/>
    <x v="2"/>
    <x v="1"/>
  </r>
  <r>
    <x v="1"/>
    <x v="58"/>
    <x v="1"/>
    <x v="10"/>
    <n v="2"/>
    <n v="1"/>
    <n v="1"/>
    <n v="0"/>
    <n v="0"/>
    <n v="0"/>
    <n v="0"/>
    <n v="0"/>
    <n v="1"/>
    <n v="2"/>
    <n v="2025"/>
    <x v="1"/>
    <x v="2"/>
    <x v="1"/>
  </r>
  <r>
    <x v="1"/>
    <x v="58"/>
    <x v="1"/>
    <x v="11"/>
    <n v="3"/>
    <n v="2"/>
    <n v="0"/>
    <n v="0"/>
    <n v="0"/>
    <n v="0"/>
    <n v="0"/>
    <n v="0"/>
    <n v="3"/>
    <n v="0"/>
    <n v="2025"/>
    <x v="1"/>
    <x v="2"/>
    <x v="1"/>
  </r>
  <r>
    <x v="1"/>
    <x v="58"/>
    <x v="1"/>
    <x v="61"/>
    <n v="22"/>
    <n v="14"/>
    <n v="0"/>
    <n v="0"/>
    <n v="0"/>
    <n v="0"/>
    <n v="0"/>
    <n v="0"/>
    <n v="0"/>
    <n v="22"/>
    <n v="2025"/>
    <x v="1"/>
    <x v="2"/>
    <x v="1"/>
  </r>
  <r>
    <x v="1"/>
    <x v="58"/>
    <x v="1"/>
    <x v="59"/>
    <n v="184"/>
    <n v="86"/>
    <n v="15"/>
    <n v="3"/>
    <n v="20016"/>
    <n v="8"/>
    <n v="20016"/>
    <n v="8"/>
    <n v="55"/>
    <n v="163"/>
    <n v="2025"/>
    <x v="1"/>
    <x v="2"/>
    <x v="1"/>
  </r>
  <r>
    <x v="1"/>
    <x v="58"/>
    <x v="1"/>
    <x v="15"/>
    <n v="39"/>
    <n v="38"/>
    <n v="0"/>
    <n v="1"/>
    <n v="0"/>
    <n v="0"/>
    <n v="0"/>
    <n v="0"/>
    <n v="1"/>
    <n v="39"/>
    <n v="2025"/>
    <x v="1"/>
    <x v="2"/>
    <x v="1"/>
  </r>
  <r>
    <x v="1"/>
    <x v="58"/>
    <x v="1"/>
    <x v="17"/>
    <n v="253"/>
    <n v="118"/>
    <n v="1"/>
    <n v="0"/>
    <n v="0"/>
    <n v="0"/>
    <n v="0"/>
    <n v="0"/>
    <n v="3"/>
    <n v="250"/>
    <n v="2025"/>
    <x v="1"/>
    <x v="2"/>
    <x v="1"/>
  </r>
  <r>
    <x v="1"/>
    <x v="58"/>
    <x v="1"/>
    <x v="18"/>
    <n v="8"/>
    <n v="8"/>
    <n v="2"/>
    <n v="0"/>
    <n v="0"/>
    <n v="0"/>
    <n v="0"/>
    <n v="0"/>
    <n v="3"/>
    <n v="6"/>
    <n v="2025"/>
    <x v="1"/>
    <x v="2"/>
    <x v="1"/>
  </r>
  <r>
    <x v="1"/>
    <x v="58"/>
    <x v="1"/>
    <x v="19"/>
    <n v="711"/>
    <n v="414"/>
    <n v="65"/>
    <n v="12"/>
    <n v="98655.76"/>
    <n v="32"/>
    <n v="87191.76"/>
    <n v="30"/>
    <n v="307"/>
    <n v="497"/>
    <n v="2025"/>
    <x v="1"/>
    <x v="2"/>
    <x v="1"/>
  </r>
  <r>
    <x v="1"/>
    <x v="58"/>
    <x v="1"/>
    <x v="20"/>
    <n v="8"/>
    <n v="3"/>
    <n v="2"/>
    <n v="0"/>
    <n v="0"/>
    <n v="0"/>
    <n v="0"/>
    <n v="0"/>
    <n v="1"/>
    <n v="8"/>
    <n v="2025"/>
    <x v="1"/>
    <x v="2"/>
    <x v="1"/>
  </r>
  <r>
    <x v="1"/>
    <x v="58"/>
    <x v="1"/>
    <x v="22"/>
    <n v="23"/>
    <n v="8"/>
    <n v="0"/>
    <n v="2"/>
    <n v="0"/>
    <n v="0"/>
    <n v="0"/>
    <n v="0"/>
    <n v="0"/>
    <n v="18"/>
    <n v="2025"/>
    <x v="1"/>
    <x v="2"/>
    <x v="1"/>
  </r>
  <r>
    <x v="1"/>
    <x v="58"/>
    <x v="1"/>
    <x v="24"/>
    <n v="19"/>
    <n v="13"/>
    <n v="3"/>
    <n v="0"/>
    <n v="2795"/>
    <n v="1"/>
    <n v="2795"/>
    <n v="1"/>
    <n v="5"/>
    <n v="17"/>
    <n v="2025"/>
    <x v="1"/>
    <x v="2"/>
    <x v="1"/>
  </r>
  <r>
    <x v="1"/>
    <x v="58"/>
    <x v="1"/>
    <x v="27"/>
    <n v="126"/>
    <n v="49"/>
    <n v="14"/>
    <n v="2"/>
    <n v="36301.550000000003"/>
    <n v="14"/>
    <n v="33201.550000000003"/>
    <n v="13"/>
    <n v="50"/>
    <n v="115"/>
    <n v="2025"/>
    <x v="1"/>
    <x v="2"/>
    <x v="1"/>
  </r>
  <r>
    <x v="1"/>
    <x v="58"/>
    <x v="1"/>
    <x v="29"/>
    <n v="861"/>
    <n v="655"/>
    <n v="45"/>
    <n v="10"/>
    <n v="50082"/>
    <n v="14"/>
    <n v="38415"/>
    <n v="11"/>
    <n v="361"/>
    <n v="660"/>
    <n v="2025"/>
    <x v="1"/>
    <x v="2"/>
    <x v="1"/>
  </r>
  <r>
    <x v="1"/>
    <x v="58"/>
    <x v="1"/>
    <x v="30"/>
    <n v="3763"/>
    <n v="2665"/>
    <n v="83"/>
    <n v="37"/>
    <n v="50625"/>
    <n v="11"/>
    <n v="23640"/>
    <n v="7"/>
    <n v="280"/>
    <n v="3478"/>
    <n v="2025"/>
    <x v="1"/>
    <x v="2"/>
    <x v="1"/>
  </r>
  <r>
    <x v="1"/>
    <x v="58"/>
    <x v="1"/>
    <x v="31"/>
    <n v="84"/>
    <n v="52"/>
    <n v="5"/>
    <n v="4"/>
    <n v="1598"/>
    <n v="1"/>
    <n v="1598"/>
    <n v="1"/>
    <n v="16"/>
    <n v="78"/>
    <n v="2025"/>
    <x v="1"/>
    <x v="2"/>
    <x v="1"/>
  </r>
  <r>
    <x v="1"/>
    <x v="58"/>
    <x v="1"/>
    <x v="32"/>
    <n v="4"/>
    <n v="3"/>
    <n v="0"/>
    <n v="0"/>
    <n v="0"/>
    <n v="0"/>
    <n v="0"/>
    <n v="0"/>
    <n v="1"/>
    <n v="4"/>
    <n v="2025"/>
    <x v="1"/>
    <x v="2"/>
    <x v="1"/>
  </r>
  <r>
    <x v="1"/>
    <x v="58"/>
    <x v="1"/>
    <x v="34"/>
    <n v="280"/>
    <n v="135"/>
    <n v="19"/>
    <n v="7"/>
    <n v="10950"/>
    <n v="4"/>
    <n v="6960"/>
    <n v="3"/>
    <n v="79"/>
    <n v="256"/>
    <n v="2025"/>
    <x v="1"/>
    <x v="2"/>
    <x v="1"/>
  </r>
  <r>
    <x v="1"/>
    <x v="58"/>
    <x v="1"/>
    <x v="36"/>
    <n v="2"/>
    <n v="2"/>
    <n v="0"/>
    <n v="0"/>
    <n v="0"/>
    <n v="0"/>
    <n v="0"/>
    <n v="0"/>
    <n v="2"/>
    <n v="0"/>
    <n v="2025"/>
    <x v="1"/>
    <x v="2"/>
    <x v="1"/>
  </r>
  <r>
    <x v="1"/>
    <x v="58"/>
    <x v="1"/>
    <x v="38"/>
    <n v="322"/>
    <n v="98"/>
    <n v="34"/>
    <n v="8"/>
    <n v="83422.48"/>
    <n v="22"/>
    <n v="62537.48"/>
    <n v="20"/>
    <n v="62"/>
    <n v="313"/>
    <n v="2025"/>
    <x v="1"/>
    <x v="2"/>
    <x v="1"/>
  </r>
  <r>
    <x v="1"/>
    <x v="58"/>
    <x v="1"/>
    <x v="60"/>
    <n v="5"/>
    <n v="5"/>
    <n v="0"/>
    <n v="0"/>
    <n v="0"/>
    <n v="0"/>
    <n v="0"/>
    <n v="0"/>
    <n v="0"/>
    <n v="5"/>
    <n v="2025"/>
    <x v="1"/>
    <x v="2"/>
    <x v="1"/>
  </r>
  <r>
    <x v="1"/>
    <x v="58"/>
    <x v="1"/>
    <x v="64"/>
    <n v="445"/>
    <n v="234"/>
    <n v="18"/>
    <n v="2"/>
    <n v="38025"/>
    <n v="7"/>
    <n v="30042"/>
    <n v="6"/>
    <n v="75"/>
    <n v="436"/>
    <n v="2025"/>
    <x v="1"/>
    <x v="2"/>
    <x v="1"/>
  </r>
  <r>
    <x v="1"/>
    <x v="58"/>
    <x v="1"/>
    <x v="42"/>
    <n v="138"/>
    <n v="57"/>
    <n v="6"/>
    <n v="4"/>
    <n v="0"/>
    <n v="0"/>
    <n v="0"/>
    <n v="0"/>
    <n v="18"/>
    <n v="136"/>
    <n v="2025"/>
    <x v="1"/>
    <x v="2"/>
    <x v="1"/>
  </r>
  <r>
    <x v="1"/>
    <x v="58"/>
    <x v="1"/>
    <x v="43"/>
    <n v="101"/>
    <n v="51"/>
    <n v="6"/>
    <n v="1"/>
    <n v="1990"/>
    <n v="1"/>
    <n v="1990"/>
    <n v="1"/>
    <n v="80"/>
    <n v="62"/>
    <n v="2025"/>
    <x v="1"/>
    <x v="2"/>
    <x v="1"/>
  </r>
  <r>
    <x v="1"/>
    <x v="58"/>
    <x v="1"/>
    <x v="44"/>
    <n v="33"/>
    <n v="13"/>
    <n v="1"/>
    <n v="0"/>
    <n v="12278"/>
    <n v="4"/>
    <n v="12278"/>
    <n v="4"/>
    <n v="1"/>
    <n v="33"/>
    <n v="2025"/>
    <x v="1"/>
    <x v="2"/>
    <x v="1"/>
  </r>
  <r>
    <x v="1"/>
    <x v="58"/>
    <x v="1"/>
    <x v="45"/>
    <n v="2"/>
    <n v="1"/>
    <n v="0"/>
    <n v="0"/>
    <n v="0"/>
    <n v="0"/>
    <n v="0"/>
    <n v="0"/>
    <n v="0"/>
    <n v="2"/>
    <n v="2025"/>
    <x v="1"/>
    <x v="2"/>
    <x v="1"/>
  </r>
  <r>
    <x v="1"/>
    <x v="59"/>
    <x v="0"/>
    <x v="0"/>
    <n v="413"/>
    <n v="171"/>
    <n v="6"/>
    <n v="1"/>
    <n v="4642"/>
    <n v="3"/>
    <n v="4642"/>
    <n v="3"/>
    <n v="2"/>
    <n v="412"/>
    <n v="2025"/>
    <x v="1"/>
    <x v="2"/>
    <x v="1"/>
  </r>
  <r>
    <x v="1"/>
    <x v="59"/>
    <x v="0"/>
    <x v="1"/>
    <n v="24531"/>
    <n v="18463"/>
    <n v="357"/>
    <n v="292"/>
    <n v="259130"/>
    <n v="69"/>
    <n v="160704"/>
    <n v="48"/>
    <n v="1356"/>
    <n v="24257"/>
    <n v="2025"/>
    <x v="1"/>
    <x v="2"/>
    <x v="1"/>
  </r>
  <r>
    <x v="1"/>
    <x v="59"/>
    <x v="0"/>
    <x v="2"/>
    <n v="3"/>
    <n v="3"/>
    <n v="0"/>
    <n v="0"/>
    <n v="0"/>
    <n v="0"/>
    <n v="0"/>
    <n v="0"/>
    <n v="1"/>
    <n v="3"/>
    <n v="2025"/>
    <x v="1"/>
    <x v="2"/>
    <x v="1"/>
  </r>
  <r>
    <x v="1"/>
    <x v="59"/>
    <x v="0"/>
    <x v="3"/>
    <n v="3"/>
    <n v="1"/>
    <n v="0"/>
    <n v="0"/>
    <n v="0"/>
    <n v="0"/>
    <n v="0"/>
    <n v="0"/>
    <n v="0"/>
    <n v="3"/>
    <n v="2025"/>
    <x v="1"/>
    <x v="2"/>
    <x v="1"/>
  </r>
  <r>
    <x v="1"/>
    <x v="59"/>
    <x v="1"/>
    <x v="5"/>
    <n v="4"/>
    <n v="4"/>
    <n v="0"/>
    <n v="0"/>
    <n v="0"/>
    <n v="0"/>
    <n v="0"/>
    <n v="0"/>
    <n v="0"/>
    <n v="4"/>
    <n v="2025"/>
    <x v="1"/>
    <x v="2"/>
    <x v="1"/>
  </r>
  <r>
    <x v="1"/>
    <x v="59"/>
    <x v="1"/>
    <x v="6"/>
    <n v="1"/>
    <n v="1"/>
    <n v="0"/>
    <n v="0"/>
    <n v="0"/>
    <n v="0"/>
    <n v="0"/>
    <n v="0"/>
    <n v="0"/>
    <n v="0"/>
    <n v="2025"/>
    <x v="1"/>
    <x v="2"/>
    <x v="1"/>
  </r>
  <r>
    <x v="1"/>
    <x v="59"/>
    <x v="1"/>
    <x v="7"/>
    <n v="422"/>
    <n v="122"/>
    <n v="51"/>
    <n v="6"/>
    <n v="141631.59"/>
    <n v="45"/>
    <n v="132481.59"/>
    <n v="45"/>
    <n v="114"/>
    <n v="405"/>
    <n v="2025"/>
    <x v="1"/>
    <x v="2"/>
    <x v="1"/>
  </r>
  <r>
    <x v="1"/>
    <x v="59"/>
    <x v="1"/>
    <x v="8"/>
    <n v="28"/>
    <n v="13"/>
    <n v="1"/>
    <n v="2"/>
    <n v="0"/>
    <n v="0"/>
    <n v="0"/>
    <n v="0"/>
    <n v="1"/>
    <n v="27"/>
    <n v="2025"/>
    <x v="1"/>
    <x v="2"/>
    <x v="1"/>
  </r>
  <r>
    <x v="1"/>
    <x v="59"/>
    <x v="1"/>
    <x v="9"/>
    <n v="5"/>
    <n v="1"/>
    <n v="0"/>
    <n v="0"/>
    <n v="0"/>
    <n v="0"/>
    <n v="0"/>
    <n v="0"/>
    <n v="0"/>
    <n v="5"/>
    <n v="2025"/>
    <x v="1"/>
    <x v="2"/>
    <x v="1"/>
  </r>
  <r>
    <x v="1"/>
    <x v="59"/>
    <x v="1"/>
    <x v="10"/>
    <n v="4"/>
    <n v="3"/>
    <n v="1"/>
    <n v="0"/>
    <n v="0"/>
    <n v="0"/>
    <n v="0"/>
    <n v="0"/>
    <n v="1"/>
    <n v="3"/>
    <n v="2025"/>
    <x v="1"/>
    <x v="2"/>
    <x v="1"/>
  </r>
  <r>
    <x v="1"/>
    <x v="59"/>
    <x v="1"/>
    <x v="11"/>
    <n v="3"/>
    <n v="2"/>
    <n v="0"/>
    <n v="0"/>
    <n v="0"/>
    <n v="0"/>
    <n v="0"/>
    <n v="0"/>
    <n v="1"/>
    <n v="2"/>
    <n v="2025"/>
    <x v="1"/>
    <x v="2"/>
    <x v="1"/>
  </r>
  <r>
    <x v="1"/>
    <x v="59"/>
    <x v="1"/>
    <x v="61"/>
    <n v="13"/>
    <n v="8"/>
    <n v="0"/>
    <n v="0"/>
    <n v="0"/>
    <n v="0"/>
    <n v="0"/>
    <n v="0"/>
    <n v="0"/>
    <n v="13"/>
    <n v="2025"/>
    <x v="1"/>
    <x v="2"/>
    <x v="1"/>
  </r>
  <r>
    <x v="1"/>
    <x v="59"/>
    <x v="1"/>
    <x v="59"/>
    <n v="231"/>
    <n v="108"/>
    <n v="23"/>
    <n v="2"/>
    <n v="27736.17"/>
    <n v="9"/>
    <n v="25086.17"/>
    <n v="9"/>
    <n v="85"/>
    <n v="195"/>
    <n v="2025"/>
    <x v="1"/>
    <x v="2"/>
    <x v="1"/>
  </r>
  <r>
    <x v="1"/>
    <x v="59"/>
    <x v="1"/>
    <x v="15"/>
    <n v="59"/>
    <n v="53"/>
    <n v="0"/>
    <n v="0"/>
    <n v="0"/>
    <n v="0"/>
    <n v="0"/>
    <n v="0"/>
    <n v="1"/>
    <n v="59"/>
    <n v="2025"/>
    <x v="1"/>
    <x v="2"/>
    <x v="1"/>
  </r>
  <r>
    <x v="1"/>
    <x v="59"/>
    <x v="1"/>
    <x v="17"/>
    <n v="493"/>
    <n v="237"/>
    <n v="5"/>
    <n v="0"/>
    <n v="0"/>
    <n v="0"/>
    <n v="0"/>
    <n v="0"/>
    <n v="2"/>
    <n v="491"/>
    <n v="2025"/>
    <x v="1"/>
    <x v="2"/>
    <x v="1"/>
  </r>
  <r>
    <x v="1"/>
    <x v="59"/>
    <x v="1"/>
    <x v="18"/>
    <n v="9"/>
    <n v="9"/>
    <n v="2"/>
    <n v="1"/>
    <n v="1472"/>
    <n v="1"/>
    <n v="1472"/>
    <n v="1"/>
    <n v="0"/>
    <n v="8"/>
    <n v="2025"/>
    <x v="1"/>
    <x v="2"/>
    <x v="1"/>
  </r>
  <r>
    <x v="1"/>
    <x v="59"/>
    <x v="1"/>
    <x v="19"/>
    <n v="638"/>
    <n v="352"/>
    <n v="57"/>
    <n v="8"/>
    <n v="109203.57"/>
    <n v="27"/>
    <n v="91378.57"/>
    <n v="25"/>
    <n v="300"/>
    <n v="498"/>
    <n v="2025"/>
    <x v="1"/>
    <x v="2"/>
    <x v="1"/>
  </r>
  <r>
    <x v="1"/>
    <x v="59"/>
    <x v="1"/>
    <x v="20"/>
    <n v="16"/>
    <n v="11"/>
    <n v="0"/>
    <n v="0"/>
    <n v="0"/>
    <n v="0"/>
    <n v="0"/>
    <n v="0"/>
    <n v="2"/>
    <n v="15"/>
    <n v="2025"/>
    <x v="1"/>
    <x v="2"/>
    <x v="1"/>
  </r>
  <r>
    <x v="1"/>
    <x v="59"/>
    <x v="1"/>
    <x v="22"/>
    <n v="15"/>
    <n v="5"/>
    <n v="2"/>
    <n v="0"/>
    <n v="9165"/>
    <n v="3"/>
    <n v="6915"/>
    <n v="2"/>
    <n v="2"/>
    <n v="12"/>
    <n v="2025"/>
    <x v="1"/>
    <x v="2"/>
    <x v="1"/>
  </r>
  <r>
    <x v="1"/>
    <x v="59"/>
    <x v="1"/>
    <x v="24"/>
    <n v="26"/>
    <n v="21"/>
    <n v="4"/>
    <n v="0"/>
    <n v="6280"/>
    <n v="2"/>
    <n v="3885"/>
    <n v="2"/>
    <n v="4"/>
    <n v="25"/>
    <n v="2025"/>
    <x v="1"/>
    <x v="2"/>
    <x v="1"/>
  </r>
  <r>
    <x v="1"/>
    <x v="59"/>
    <x v="1"/>
    <x v="27"/>
    <n v="142"/>
    <n v="51"/>
    <n v="11"/>
    <n v="2"/>
    <n v="33607"/>
    <n v="11"/>
    <n v="24827"/>
    <n v="8"/>
    <n v="58"/>
    <n v="126"/>
    <n v="2025"/>
    <x v="1"/>
    <x v="2"/>
    <x v="1"/>
  </r>
  <r>
    <x v="1"/>
    <x v="59"/>
    <x v="1"/>
    <x v="29"/>
    <n v="979"/>
    <n v="751"/>
    <n v="43"/>
    <n v="11"/>
    <n v="38338"/>
    <n v="15"/>
    <n v="29598"/>
    <n v="13"/>
    <n v="436"/>
    <n v="740"/>
    <n v="2025"/>
    <x v="1"/>
    <x v="2"/>
    <x v="1"/>
  </r>
  <r>
    <x v="1"/>
    <x v="59"/>
    <x v="1"/>
    <x v="30"/>
    <n v="5484"/>
    <n v="3946"/>
    <n v="90"/>
    <n v="52"/>
    <n v="35563.160000000003"/>
    <n v="11"/>
    <n v="33883.160000000003"/>
    <n v="10"/>
    <n v="433"/>
    <n v="5343"/>
    <n v="2025"/>
    <x v="1"/>
    <x v="2"/>
    <x v="1"/>
  </r>
  <r>
    <x v="1"/>
    <x v="59"/>
    <x v="1"/>
    <x v="31"/>
    <n v="65"/>
    <n v="46"/>
    <n v="4"/>
    <n v="0"/>
    <n v="0"/>
    <n v="0"/>
    <n v="0"/>
    <n v="0"/>
    <n v="12"/>
    <n v="63"/>
    <n v="2025"/>
    <x v="1"/>
    <x v="2"/>
    <x v="1"/>
  </r>
  <r>
    <x v="1"/>
    <x v="59"/>
    <x v="1"/>
    <x v="32"/>
    <n v="3"/>
    <n v="2"/>
    <n v="0"/>
    <n v="0"/>
    <n v="0"/>
    <n v="0"/>
    <n v="0"/>
    <n v="0"/>
    <n v="1"/>
    <n v="3"/>
    <n v="2025"/>
    <x v="1"/>
    <x v="2"/>
    <x v="1"/>
  </r>
  <r>
    <x v="1"/>
    <x v="59"/>
    <x v="1"/>
    <x v="34"/>
    <n v="302"/>
    <n v="153"/>
    <n v="14"/>
    <n v="11"/>
    <n v="8400"/>
    <n v="2"/>
    <n v="6910"/>
    <n v="1"/>
    <n v="101"/>
    <n v="276"/>
    <n v="2025"/>
    <x v="1"/>
    <x v="2"/>
    <x v="1"/>
  </r>
  <r>
    <x v="1"/>
    <x v="59"/>
    <x v="1"/>
    <x v="35"/>
    <n v="1"/>
    <n v="0"/>
    <n v="0"/>
    <n v="0"/>
    <n v="0"/>
    <n v="0"/>
    <n v="0"/>
    <n v="0"/>
    <n v="0"/>
    <n v="1"/>
    <n v="2025"/>
    <x v="1"/>
    <x v="2"/>
    <x v="1"/>
  </r>
  <r>
    <x v="1"/>
    <x v="59"/>
    <x v="1"/>
    <x v="38"/>
    <n v="315"/>
    <n v="70"/>
    <n v="29"/>
    <n v="5"/>
    <n v="84963"/>
    <n v="27"/>
    <n v="62970"/>
    <n v="20"/>
    <n v="76"/>
    <n v="302"/>
    <n v="2025"/>
    <x v="1"/>
    <x v="2"/>
    <x v="1"/>
  </r>
  <r>
    <x v="1"/>
    <x v="59"/>
    <x v="1"/>
    <x v="60"/>
    <n v="12"/>
    <n v="11"/>
    <n v="1"/>
    <n v="0"/>
    <n v="0"/>
    <n v="0"/>
    <n v="0"/>
    <n v="0"/>
    <n v="1"/>
    <n v="12"/>
    <n v="2025"/>
    <x v="1"/>
    <x v="2"/>
    <x v="1"/>
  </r>
  <r>
    <x v="1"/>
    <x v="59"/>
    <x v="1"/>
    <x v="64"/>
    <n v="502"/>
    <n v="276"/>
    <n v="27"/>
    <n v="1"/>
    <n v="35170"/>
    <n v="7"/>
    <n v="30245"/>
    <n v="6"/>
    <n v="73"/>
    <n v="494"/>
    <n v="2025"/>
    <x v="1"/>
    <x v="2"/>
    <x v="1"/>
  </r>
  <r>
    <x v="1"/>
    <x v="59"/>
    <x v="1"/>
    <x v="42"/>
    <n v="129"/>
    <n v="58"/>
    <n v="7"/>
    <n v="3"/>
    <n v="0"/>
    <n v="0"/>
    <n v="0"/>
    <n v="0"/>
    <n v="10"/>
    <n v="127"/>
    <n v="2025"/>
    <x v="1"/>
    <x v="2"/>
    <x v="1"/>
  </r>
  <r>
    <x v="1"/>
    <x v="59"/>
    <x v="1"/>
    <x v="43"/>
    <n v="100"/>
    <n v="56"/>
    <n v="4"/>
    <n v="2"/>
    <n v="0"/>
    <n v="0"/>
    <n v="0"/>
    <n v="0"/>
    <n v="76"/>
    <n v="57"/>
    <n v="2025"/>
    <x v="1"/>
    <x v="2"/>
    <x v="1"/>
  </r>
  <r>
    <x v="1"/>
    <x v="59"/>
    <x v="1"/>
    <x v="44"/>
    <n v="33"/>
    <n v="9"/>
    <n v="0"/>
    <n v="0"/>
    <n v="10093"/>
    <n v="3"/>
    <n v="10093"/>
    <n v="3"/>
    <n v="0"/>
    <n v="33"/>
    <n v="2025"/>
    <x v="1"/>
    <x v="2"/>
    <x v="1"/>
  </r>
  <r>
    <x v="1"/>
    <x v="59"/>
    <x v="1"/>
    <x v="45"/>
    <n v="4"/>
    <n v="2"/>
    <n v="0"/>
    <n v="0"/>
    <n v="1490"/>
    <n v="1"/>
    <n v="1490"/>
    <n v="1"/>
    <n v="1"/>
    <n v="4"/>
    <n v="2025"/>
    <x v="1"/>
    <x v="2"/>
    <x v="1"/>
  </r>
  <r>
    <x v="1"/>
    <x v="60"/>
    <x v="0"/>
    <x v="0"/>
    <n v="386"/>
    <n v="162"/>
    <n v="4"/>
    <n v="0"/>
    <n v="37540"/>
    <n v="3"/>
    <n v="37540"/>
    <n v="3"/>
    <n v="3"/>
    <n v="385"/>
    <n v="2025"/>
    <x v="1"/>
    <x v="2"/>
    <x v="1"/>
  </r>
  <r>
    <x v="1"/>
    <x v="60"/>
    <x v="0"/>
    <x v="1"/>
    <n v="25598"/>
    <n v="19157"/>
    <n v="492"/>
    <n v="342"/>
    <n v="445473"/>
    <n v="105"/>
    <n v="291535"/>
    <n v="81"/>
    <n v="1560"/>
    <n v="25296"/>
    <n v="2025"/>
    <x v="1"/>
    <x v="2"/>
    <x v="1"/>
  </r>
  <r>
    <x v="1"/>
    <x v="60"/>
    <x v="0"/>
    <x v="2"/>
    <n v="1"/>
    <n v="0"/>
    <n v="0"/>
    <n v="0"/>
    <n v="0"/>
    <n v="0"/>
    <n v="0"/>
    <n v="0"/>
    <n v="1"/>
    <n v="1"/>
    <n v="2025"/>
    <x v="1"/>
    <x v="2"/>
    <x v="1"/>
  </r>
  <r>
    <x v="1"/>
    <x v="60"/>
    <x v="0"/>
    <x v="3"/>
    <n v="7"/>
    <n v="3"/>
    <n v="0"/>
    <n v="0"/>
    <n v="0"/>
    <n v="0"/>
    <n v="0"/>
    <n v="0"/>
    <n v="1"/>
    <n v="2"/>
    <n v="2025"/>
    <x v="1"/>
    <x v="2"/>
    <x v="1"/>
  </r>
  <r>
    <x v="1"/>
    <x v="60"/>
    <x v="1"/>
    <x v="5"/>
    <n v="2"/>
    <n v="1"/>
    <n v="0"/>
    <n v="0"/>
    <n v="0"/>
    <n v="0"/>
    <n v="0"/>
    <n v="0"/>
    <n v="1"/>
    <n v="2"/>
    <n v="2025"/>
    <x v="1"/>
    <x v="2"/>
    <x v="1"/>
  </r>
  <r>
    <x v="1"/>
    <x v="60"/>
    <x v="1"/>
    <x v="7"/>
    <n v="442"/>
    <n v="124"/>
    <n v="84"/>
    <n v="2"/>
    <n v="221748.6"/>
    <n v="66"/>
    <n v="213061.6"/>
    <n v="66"/>
    <n v="130"/>
    <n v="422"/>
    <n v="2025"/>
    <x v="1"/>
    <x v="2"/>
    <x v="1"/>
  </r>
  <r>
    <x v="1"/>
    <x v="60"/>
    <x v="1"/>
    <x v="8"/>
    <n v="50"/>
    <n v="20"/>
    <n v="2"/>
    <n v="5"/>
    <n v="0"/>
    <n v="0"/>
    <n v="0"/>
    <n v="0"/>
    <n v="1"/>
    <n v="48"/>
    <n v="2025"/>
    <x v="1"/>
    <x v="2"/>
    <x v="1"/>
  </r>
  <r>
    <x v="1"/>
    <x v="60"/>
    <x v="1"/>
    <x v="9"/>
    <n v="13"/>
    <n v="6"/>
    <n v="0"/>
    <n v="0"/>
    <n v="3100"/>
    <n v="1"/>
    <n v="3100"/>
    <n v="1"/>
    <n v="1"/>
    <n v="12"/>
    <n v="2025"/>
    <x v="1"/>
    <x v="2"/>
    <x v="1"/>
  </r>
  <r>
    <x v="1"/>
    <x v="60"/>
    <x v="1"/>
    <x v="10"/>
    <n v="5"/>
    <n v="4"/>
    <n v="0"/>
    <n v="0"/>
    <n v="0"/>
    <n v="0"/>
    <n v="0"/>
    <n v="0"/>
    <n v="0"/>
    <n v="3"/>
    <n v="2025"/>
    <x v="1"/>
    <x v="2"/>
    <x v="1"/>
  </r>
  <r>
    <x v="1"/>
    <x v="60"/>
    <x v="1"/>
    <x v="11"/>
    <n v="4"/>
    <n v="2"/>
    <n v="0"/>
    <n v="0"/>
    <n v="0"/>
    <n v="0"/>
    <n v="0"/>
    <n v="0"/>
    <n v="4"/>
    <n v="0"/>
    <n v="2025"/>
    <x v="1"/>
    <x v="2"/>
    <x v="1"/>
  </r>
  <r>
    <x v="1"/>
    <x v="60"/>
    <x v="1"/>
    <x v="61"/>
    <n v="36"/>
    <n v="29"/>
    <n v="0"/>
    <n v="0"/>
    <n v="0"/>
    <n v="0"/>
    <n v="0"/>
    <n v="0"/>
    <n v="0"/>
    <n v="36"/>
    <n v="2025"/>
    <x v="1"/>
    <x v="2"/>
    <x v="1"/>
  </r>
  <r>
    <x v="1"/>
    <x v="60"/>
    <x v="1"/>
    <x v="59"/>
    <n v="222"/>
    <n v="101"/>
    <n v="29"/>
    <n v="3"/>
    <n v="34137"/>
    <n v="14"/>
    <n v="29442"/>
    <n v="13"/>
    <n v="88"/>
    <n v="179"/>
    <n v="2025"/>
    <x v="1"/>
    <x v="2"/>
    <x v="1"/>
  </r>
  <r>
    <x v="1"/>
    <x v="60"/>
    <x v="1"/>
    <x v="15"/>
    <n v="64"/>
    <n v="59"/>
    <n v="0"/>
    <n v="0"/>
    <n v="0"/>
    <n v="0"/>
    <n v="0"/>
    <n v="0"/>
    <n v="0"/>
    <n v="64"/>
    <n v="2025"/>
    <x v="1"/>
    <x v="2"/>
    <x v="1"/>
  </r>
  <r>
    <x v="1"/>
    <x v="60"/>
    <x v="1"/>
    <x v="17"/>
    <n v="838"/>
    <n v="422"/>
    <n v="8"/>
    <n v="0"/>
    <n v="0"/>
    <n v="0"/>
    <n v="0"/>
    <n v="0"/>
    <n v="1"/>
    <n v="837"/>
    <n v="2025"/>
    <x v="1"/>
    <x v="2"/>
    <x v="1"/>
  </r>
  <r>
    <x v="1"/>
    <x v="60"/>
    <x v="1"/>
    <x v="18"/>
    <n v="10"/>
    <n v="9"/>
    <n v="1"/>
    <n v="0"/>
    <n v="0"/>
    <n v="0"/>
    <n v="0"/>
    <n v="0"/>
    <n v="0"/>
    <n v="9"/>
    <n v="2025"/>
    <x v="1"/>
    <x v="2"/>
    <x v="1"/>
  </r>
  <r>
    <x v="1"/>
    <x v="60"/>
    <x v="1"/>
    <x v="19"/>
    <n v="773"/>
    <n v="474"/>
    <n v="60"/>
    <n v="12"/>
    <n v="120929.89"/>
    <n v="35"/>
    <n v="98092.89"/>
    <n v="34"/>
    <n v="305"/>
    <n v="555"/>
    <n v="2025"/>
    <x v="1"/>
    <x v="2"/>
    <x v="1"/>
  </r>
  <r>
    <x v="1"/>
    <x v="60"/>
    <x v="1"/>
    <x v="20"/>
    <n v="18"/>
    <n v="6"/>
    <n v="0"/>
    <n v="2"/>
    <n v="0"/>
    <n v="0"/>
    <n v="0"/>
    <n v="0"/>
    <n v="2"/>
    <n v="18"/>
    <n v="2025"/>
    <x v="1"/>
    <x v="2"/>
    <x v="1"/>
  </r>
  <r>
    <x v="1"/>
    <x v="60"/>
    <x v="1"/>
    <x v="50"/>
    <n v="1"/>
    <n v="0"/>
    <n v="0"/>
    <n v="0"/>
    <n v="1490"/>
    <n v="1"/>
    <n v="1490"/>
    <n v="1"/>
    <n v="0"/>
    <n v="0"/>
    <n v="2025"/>
    <x v="1"/>
    <x v="2"/>
    <x v="1"/>
  </r>
  <r>
    <x v="1"/>
    <x v="60"/>
    <x v="1"/>
    <x v="22"/>
    <n v="12"/>
    <n v="6"/>
    <n v="2"/>
    <n v="0"/>
    <n v="6443.6"/>
    <n v="2"/>
    <n v="6443.6"/>
    <n v="2"/>
    <n v="2"/>
    <n v="10"/>
    <n v="2025"/>
    <x v="1"/>
    <x v="2"/>
    <x v="1"/>
  </r>
  <r>
    <x v="1"/>
    <x v="60"/>
    <x v="1"/>
    <x v="24"/>
    <n v="27"/>
    <n v="22"/>
    <n v="4"/>
    <n v="0"/>
    <n v="10333"/>
    <n v="4"/>
    <n v="8843"/>
    <n v="4"/>
    <n v="3"/>
    <n v="27"/>
    <n v="2025"/>
    <x v="1"/>
    <x v="2"/>
    <x v="1"/>
  </r>
  <r>
    <x v="1"/>
    <x v="60"/>
    <x v="1"/>
    <x v="27"/>
    <n v="178"/>
    <n v="63"/>
    <n v="18"/>
    <n v="2"/>
    <n v="33006.28"/>
    <n v="11"/>
    <n v="25676.28"/>
    <n v="11"/>
    <n v="66"/>
    <n v="152"/>
    <n v="2025"/>
    <x v="1"/>
    <x v="2"/>
    <x v="1"/>
  </r>
  <r>
    <x v="1"/>
    <x v="60"/>
    <x v="1"/>
    <x v="29"/>
    <n v="911"/>
    <n v="712"/>
    <n v="50"/>
    <n v="10"/>
    <n v="41383"/>
    <n v="12"/>
    <n v="29703"/>
    <n v="11"/>
    <n v="412"/>
    <n v="665"/>
    <n v="2025"/>
    <x v="1"/>
    <x v="2"/>
    <x v="1"/>
  </r>
  <r>
    <x v="1"/>
    <x v="60"/>
    <x v="1"/>
    <x v="30"/>
    <n v="3284"/>
    <n v="2592"/>
    <n v="46"/>
    <n v="14"/>
    <n v="19910"/>
    <n v="9"/>
    <n v="19910"/>
    <n v="9"/>
    <n v="167"/>
    <n v="1707"/>
    <n v="2025"/>
    <x v="1"/>
    <x v="2"/>
    <x v="1"/>
  </r>
  <r>
    <x v="1"/>
    <x v="60"/>
    <x v="1"/>
    <x v="31"/>
    <n v="118"/>
    <n v="94"/>
    <n v="6"/>
    <n v="3"/>
    <n v="7783"/>
    <n v="2"/>
    <n v="3088"/>
    <n v="1"/>
    <n v="19"/>
    <n v="114"/>
    <n v="2025"/>
    <x v="1"/>
    <x v="2"/>
    <x v="1"/>
  </r>
  <r>
    <x v="1"/>
    <x v="60"/>
    <x v="1"/>
    <x v="32"/>
    <n v="1"/>
    <n v="1"/>
    <n v="0"/>
    <n v="0"/>
    <n v="0"/>
    <n v="0"/>
    <n v="0"/>
    <n v="0"/>
    <n v="0"/>
    <n v="1"/>
    <n v="2025"/>
    <x v="1"/>
    <x v="2"/>
    <x v="1"/>
  </r>
  <r>
    <x v="1"/>
    <x v="60"/>
    <x v="1"/>
    <x v="34"/>
    <n v="245"/>
    <n v="111"/>
    <n v="24"/>
    <n v="4"/>
    <n v="13185"/>
    <n v="7"/>
    <n v="13185"/>
    <n v="7"/>
    <n v="83"/>
    <n v="211"/>
    <n v="2025"/>
    <x v="1"/>
    <x v="2"/>
    <x v="1"/>
  </r>
  <r>
    <x v="1"/>
    <x v="60"/>
    <x v="1"/>
    <x v="35"/>
    <n v="1"/>
    <n v="1"/>
    <n v="0"/>
    <n v="0"/>
    <n v="0"/>
    <n v="0"/>
    <n v="0"/>
    <n v="0"/>
    <n v="0"/>
    <n v="1"/>
    <n v="2025"/>
    <x v="1"/>
    <x v="2"/>
    <x v="1"/>
  </r>
  <r>
    <x v="1"/>
    <x v="60"/>
    <x v="1"/>
    <x v="38"/>
    <n v="299"/>
    <n v="72"/>
    <n v="36"/>
    <n v="8"/>
    <n v="84401"/>
    <n v="27"/>
    <n v="75456"/>
    <n v="24"/>
    <n v="69"/>
    <n v="287"/>
    <n v="2025"/>
    <x v="1"/>
    <x v="2"/>
    <x v="1"/>
  </r>
  <r>
    <x v="1"/>
    <x v="60"/>
    <x v="1"/>
    <x v="60"/>
    <n v="5"/>
    <n v="5"/>
    <n v="0"/>
    <n v="0"/>
    <n v="0"/>
    <n v="0"/>
    <n v="0"/>
    <n v="0"/>
    <n v="0"/>
    <n v="5"/>
    <n v="2025"/>
    <x v="1"/>
    <x v="2"/>
    <x v="1"/>
  </r>
  <r>
    <x v="1"/>
    <x v="60"/>
    <x v="1"/>
    <x v="64"/>
    <n v="541"/>
    <n v="319"/>
    <n v="19"/>
    <n v="3"/>
    <n v="43192"/>
    <n v="8"/>
    <n v="43192"/>
    <n v="8"/>
    <n v="73"/>
    <n v="536"/>
    <n v="2025"/>
    <x v="1"/>
    <x v="2"/>
    <x v="1"/>
  </r>
  <r>
    <x v="1"/>
    <x v="60"/>
    <x v="1"/>
    <x v="42"/>
    <n v="133"/>
    <n v="57"/>
    <n v="4"/>
    <n v="3"/>
    <n v="1490"/>
    <n v="1"/>
    <n v="0"/>
    <n v="0"/>
    <n v="16"/>
    <n v="131"/>
    <n v="2025"/>
    <x v="1"/>
    <x v="2"/>
    <x v="1"/>
  </r>
  <r>
    <x v="1"/>
    <x v="60"/>
    <x v="1"/>
    <x v="43"/>
    <n v="121"/>
    <n v="65"/>
    <n v="6"/>
    <n v="1"/>
    <n v="8681"/>
    <n v="3"/>
    <n v="7083"/>
    <n v="3"/>
    <n v="98"/>
    <n v="69"/>
    <n v="2025"/>
    <x v="1"/>
    <x v="2"/>
    <x v="1"/>
  </r>
  <r>
    <x v="1"/>
    <x v="60"/>
    <x v="1"/>
    <x v="44"/>
    <n v="31"/>
    <n v="11"/>
    <n v="3"/>
    <n v="1"/>
    <n v="37360"/>
    <n v="7"/>
    <n v="33060"/>
    <n v="6"/>
    <n v="0"/>
    <n v="31"/>
    <n v="2025"/>
    <x v="1"/>
    <x v="2"/>
    <x v="1"/>
  </r>
  <r>
    <x v="1"/>
    <x v="60"/>
    <x v="1"/>
    <x v="45"/>
    <n v="3"/>
    <n v="1"/>
    <n v="0"/>
    <n v="0"/>
    <n v="0"/>
    <n v="0"/>
    <n v="0"/>
    <n v="0"/>
    <n v="1"/>
    <n v="3"/>
    <n v="2025"/>
    <x v="1"/>
    <x v="2"/>
    <x v="1"/>
  </r>
  <r>
    <x v="1"/>
    <x v="61"/>
    <x v="0"/>
    <x v="0"/>
    <n v="335"/>
    <n v="128"/>
    <n v="9"/>
    <n v="3"/>
    <n v="40079"/>
    <n v="7"/>
    <n v="36594"/>
    <n v="7"/>
    <n v="4"/>
    <n v="319"/>
    <n v="2025"/>
    <x v="1"/>
    <x v="2"/>
    <x v="1"/>
  </r>
  <r>
    <x v="1"/>
    <x v="61"/>
    <x v="0"/>
    <x v="1"/>
    <n v="22110"/>
    <n v="16536"/>
    <n v="671"/>
    <n v="360"/>
    <n v="676670.89"/>
    <n v="156"/>
    <n v="500864.89"/>
    <n v="137"/>
    <n v="1605"/>
    <n v="21811"/>
    <n v="2025"/>
    <x v="1"/>
    <x v="2"/>
    <x v="1"/>
  </r>
  <r>
    <x v="1"/>
    <x v="61"/>
    <x v="0"/>
    <x v="2"/>
    <n v="2"/>
    <n v="1"/>
    <n v="0"/>
    <n v="0"/>
    <n v="0"/>
    <n v="0"/>
    <n v="0"/>
    <n v="0"/>
    <n v="0"/>
    <n v="1"/>
    <n v="2025"/>
    <x v="1"/>
    <x v="2"/>
    <x v="1"/>
  </r>
  <r>
    <x v="1"/>
    <x v="61"/>
    <x v="0"/>
    <x v="3"/>
    <n v="1643"/>
    <n v="1428"/>
    <n v="90"/>
    <n v="0"/>
    <n v="0"/>
    <n v="0"/>
    <n v="0"/>
    <n v="0"/>
    <n v="20"/>
    <n v="481"/>
    <n v="2025"/>
    <x v="1"/>
    <x v="2"/>
    <x v="1"/>
  </r>
  <r>
    <x v="1"/>
    <x v="61"/>
    <x v="1"/>
    <x v="5"/>
    <n v="4"/>
    <n v="3"/>
    <n v="1"/>
    <n v="1"/>
    <n v="0"/>
    <n v="0"/>
    <n v="0"/>
    <n v="0"/>
    <n v="0"/>
    <n v="4"/>
    <n v="2025"/>
    <x v="1"/>
    <x v="2"/>
    <x v="1"/>
  </r>
  <r>
    <x v="1"/>
    <x v="61"/>
    <x v="1"/>
    <x v="6"/>
    <n v="930"/>
    <n v="847"/>
    <n v="0"/>
    <n v="0"/>
    <n v="0"/>
    <n v="0"/>
    <n v="0"/>
    <n v="0"/>
    <n v="0"/>
    <n v="0"/>
    <n v="2025"/>
    <x v="1"/>
    <x v="2"/>
    <x v="1"/>
  </r>
  <r>
    <x v="1"/>
    <x v="61"/>
    <x v="1"/>
    <x v="7"/>
    <n v="619"/>
    <n v="176"/>
    <n v="106"/>
    <n v="1"/>
    <n v="530101.72"/>
    <n v="139"/>
    <n v="501526.72"/>
    <n v="138"/>
    <n v="189"/>
    <n v="601"/>
    <n v="2025"/>
    <x v="1"/>
    <x v="2"/>
    <x v="1"/>
  </r>
  <r>
    <x v="1"/>
    <x v="61"/>
    <x v="1"/>
    <x v="8"/>
    <n v="190"/>
    <n v="159"/>
    <n v="0"/>
    <n v="3"/>
    <n v="0"/>
    <n v="0"/>
    <n v="0"/>
    <n v="0"/>
    <n v="1"/>
    <n v="21"/>
    <n v="2025"/>
    <x v="1"/>
    <x v="2"/>
    <x v="1"/>
  </r>
  <r>
    <x v="1"/>
    <x v="61"/>
    <x v="1"/>
    <x v="9"/>
    <n v="238"/>
    <n v="201"/>
    <n v="0"/>
    <n v="0"/>
    <n v="0"/>
    <n v="0"/>
    <n v="0"/>
    <n v="0"/>
    <n v="1"/>
    <n v="4"/>
    <n v="2025"/>
    <x v="1"/>
    <x v="2"/>
    <x v="1"/>
  </r>
  <r>
    <x v="1"/>
    <x v="61"/>
    <x v="1"/>
    <x v="10"/>
    <n v="10"/>
    <n v="4"/>
    <n v="0"/>
    <n v="0"/>
    <n v="1917"/>
    <n v="1"/>
    <n v="1917"/>
    <n v="1"/>
    <n v="3"/>
    <n v="7"/>
    <n v="2025"/>
    <x v="1"/>
    <x v="2"/>
    <x v="1"/>
  </r>
  <r>
    <x v="1"/>
    <x v="61"/>
    <x v="1"/>
    <x v="11"/>
    <n v="14"/>
    <n v="10"/>
    <n v="0"/>
    <n v="0"/>
    <n v="0"/>
    <n v="0"/>
    <n v="0"/>
    <n v="0"/>
    <n v="14"/>
    <n v="0"/>
    <n v="2025"/>
    <x v="1"/>
    <x v="2"/>
    <x v="1"/>
  </r>
  <r>
    <x v="1"/>
    <x v="61"/>
    <x v="1"/>
    <x v="61"/>
    <n v="22"/>
    <n v="17"/>
    <n v="0"/>
    <n v="0"/>
    <n v="0"/>
    <n v="0"/>
    <n v="0"/>
    <n v="0"/>
    <n v="0"/>
    <n v="22"/>
    <n v="2025"/>
    <x v="1"/>
    <x v="2"/>
    <x v="1"/>
  </r>
  <r>
    <x v="1"/>
    <x v="61"/>
    <x v="1"/>
    <x v="59"/>
    <n v="294"/>
    <n v="139"/>
    <n v="31"/>
    <n v="1"/>
    <n v="78286.02"/>
    <n v="18"/>
    <n v="65981.02"/>
    <n v="17"/>
    <n v="102"/>
    <n v="197"/>
    <n v="2025"/>
    <x v="1"/>
    <x v="2"/>
    <x v="1"/>
  </r>
  <r>
    <x v="1"/>
    <x v="61"/>
    <x v="1"/>
    <x v="15"/>
    <n v="41"/>
    <n v="38"/>
    <n v="0"/>
    <n v="0"/>
    <n v="0"/>
    <n v="0"/>
    <n v="0"/>
    <n v="0"/>
    <n v="0"/>
    <n v="41"/>
    <n v="2025"/>
    <x v="1"/>
    <x v="2"/>
    <x v="1"/>
  </r>
  <r>
    <x v="1"/>
    <x v="61"/>
    <x v="1"/>
    <x v="17"/>
    <n v="791"/>
    <n v="383"/>
    <n v="16"/>
    <n v="1"/>
    <n v="0"/>
    <n v="0"/>
    <n v="0"/>
    <n v="0"/>
    <n v="0"/>
    <n v="791"/>
    <n v="2025"/>
    <x v="1"/>
    <x v="2"/>
    <x v="1"/>
  </r>
  <r>
    <x v="1"/>
    <x v="61"/>
    <x v="1"/>
    <x v="18"/>
    <n v="2"/>
    <n v="2"/>
    <n v="1"/>
    <n v="0"/>
    <n v="0"/>
    <n v="0"/>
    <n v="0"/>
    <n v="0"/>
    <n v="0"/>
    <n v="2"/>
    <n v="2025"/>
    <x v="1"/>
    <x v="2"/>
    <x v="1"/>
  </r>
  <r>
    <x v="1"/>
    <x v="61"/>
    <x v="1"/>
    <x v="19"/>
    <n v="1153"/>
    <n v="725"/>
    <n v="76"/>
    <n v="15"/>
    <n v="197889.11"/>
    <n v="51"/>
    <n v="189994.11"/>
    <n v="46"/>
    <n v="337"/>
    <n v="549"/>
    <n v="2025"/>
    <x v="1"/>
    <x v="2"/>
    <x v="1"/>
  </r>
  <r>
    <x v="1"/>
    <x v="61"/>
    <x v="1"/>
    <x v="20"/>
    <n v="9"/>
    <n v="6"/>
    <n v="0"/>
    <n v="0"/>
    <n v="0"/>
    <n v="0"/>
    <n v="0"/>
    <n v="0"/>
    <n v="0"/>
    <n v="9"/>
    <n v="2025"/>
    <x v="1"/>
    <x v="2"/>
    <x v="1"/>
  </r>
  <r>
    <x v="1"/>
    <x v="61"/>
    <x v="1"/>
    <x v="22"/>
    <n v="89"/>
    <n v="70"/>
    <n v="0"/>
    <n v="0"/>
    <n v="1690"/>
    <n v="1"/>
    <n v="1690"/>
    <n v="1"/>
    <n v="0"/>
    <n v="10"/>
    <n v="2025"/>
    <x v="1"/>
    <x v="2"/>
    <x v="1"/>
  </r>
  <r>
    <x v="1"/>
    <x v="61"/>
    <x v="1"/>
    <x v="24"/>
    <n v="21"/>
    <n v="19"/>
    <n v="2"/>
    <n v="0"/>
    <n v="2795"/>
    <n v="1"/>
    <n v="2795"/>
    <n v="1"/>
    <n v="1"/>
    <n v="20"/>
    <n v="2025"/>
    <x v="1"/>
    <x v="2"/>
    <x v="1"/>
  </r>
  <r>
    <x v="1"/>
    <x v="61"/>
    <x v="1"/>
    <x v="27"/>
    <n v="146"/>
    <n v="52"/>
    <n v="16"/>
    <n v="3"/>
    <n v="76089"/>
    <n v="16"/>
    <n v="63416"/>
    <n v="16"/>
    <n v="54"/>
    <n v="128"/>
    <n v="2025"/>
    <x v="1"/>
    <x v="2"/>
    <x v="1"/>
  </r>
  <r>
    <x v="1"/>
    <x v="61"/>
    <x v="1"/>
    <x v="29"/>
    <n v="903"/>
    <n v="722"/>
    <n v="59"/>
    <n v="11"/>
    <n v="88843.33"/>
    <n v="21"/>
    <n v="77868.33"/>
    <n v="20"/>
    <n v="394"/>
    <n v="627"/>
    <n v="2025"/>
    <x v="1"/>
    <x v="2"/>
    <x v="1"/>
  </r>
  <r>
    <x v="1"/>
    <x v="61"/>
    <x v="1"/>
    <x v="30"/>
    <n v="1275"/>
    <n v="701"/>
    <n v="29"/>
    <n v="12"/>
    <n v="36974.589999999997"/>
    <n v="7"/>
    <n v="30274.59"/>
    <n v="7"/>
    <n v="120"/>
    <n v="1037"/>
    <n v="2025"/>
    <x v="1"/>
    <x v="2"/>
    <x v="1"/>
  </r>
  <r>
    <x v="1"/>
    <x v="61"/>
    <x v="1"/>
    <x v="31"/>
    <n v="78"/>
    <n v="56"/>
    <n v="3"/>
    <n v="3"/>
    <n v="1490"/>
    <n v="1"/>
    <n v="1490"/>
    <n v="1"/>
    <n v="15"/>
    <n v="70"/>
    <n v="2025"/>
    <x v="1"/>
    <x v="2"/>
    <x v="1"/>
  </r>
  <r>
    <x v="1"/>
    <x v="61"/>
    <x v="1"/>
    <x v="32"/>
    <n v="1"/>
    <n v="0"/>
    <n v="0"/>
    <n v="0"/>
    <n v="0"/>
    <n v="0"/>
    <n v="0"/>
    <n v="0"/>
    <n v="1"/>
    <n v="1"/>
    <n v="2025"/>
    <x v="1"/>
    <x v="2"/>
    <x v="1"/>
  </r>
  <r>
    <x v="1"/>
    <x v="61"/>
    <x v="1"/>
    <x v="34"/>
    <n v="283"/>
    <n v="135"/>
    <n v="23"/>
    <n v="5"/>
    <n v="23694.73"/>
    <n v="7"/>
    <n v="23694.73"/>
    <n v="7"/>
    <n v="92"/>
    <n v="245"/>
    <n v="2025"/>
    <x v="1"/>
    <x v="2"/>
    <x v="1"/>
  </r>
  <r>
    <x v="1"/>
    <x v="61"/>
    <x v="1"/>
    <x v="36"/>
    <n v="3"/>
    <n v="2"/>
    <n v="0"/>
    <n v="0"/>
    <n v="0"/>
    <n v="0"/>
    <n v="0"/>
    <n v="0"/>
    <n v="1"/>
    <n v="2"/>
    <n v="2025"/>
    <x v="1"/>
    <x v="2"/>
    <x v="1"/>
  </r>
  <r>
    <x v="1"/>
    <x v="61"/>
    <x v="1"/>
    <x v="38"/>
    <n v="343"/>
    <n v="98"/>
    <n v="58"/>
    <n v="8"/>
    <n v="254499.32"/>
    <n v="39"/>
    <n v="138095.32"/>
    <n v="37"/>
    <n v="81"/>
    <n v="332"/>
    <n v="2025"/>
    <x v="1"/>
    <x v="2"/>
    <x v="1"/>
  </r>
  <r>
    <x v="1"/>
    <x v="61"/>
    <x v="1"/>
    <x v="60"/>
    <n v="3"/>
    <n v="2"/>
    <n v="0"/>
    <n v="0"/>
    <n v="0"/>
    <n v="0"/>
    <n v="0"/>
    <n v="0"/>
    <n v="0"/>
    <n v="3"/>
    <n v="2025"/>
    <x v="1"/>
    <x v="2"/>
    <x v="1"/>
  </r>
  <r>
    <x v="1"/>
    <x v="61"/>
    <x v="1"/>
    <x v="64"/>
    <n v="511"/>
    <n v="296"/>
    <n v="26"/>
    <n v="1"/>
    <n v="45976"/>
    <n v="14"/>
    <n v="44716"/>
    <n v="15"/>
    <n v="86"/>
    <n v="505"/>
    <n v="2025"/>
    <x v="1"/>
    <x v="2"/>
    <x v="1"/>
  </r>
  <r>
    <x v="1"/>
    <x v="61"/>
    <x v="1"/>
    <x v="42"/>
    <n v="83"/>
    <n v="30"/>
    <n v="3"/>
    <n v="0"/>
    <n v="9330"/>
    <n v="3"/>
    <n v="4685"/>
    <n v="2"/>
    <n v="7"/>
    <n v="81"/>
    <n v="2025"/>
    <x v="1"/>
    <x v="2"/>
    <x v="1"/>
  </r>
  <r>
    <x v="1"/>
    <x v="61"/>
    <x v="1"/>
    <x v="43"/>
    <n v="124"/>
    <n v="71"/>
    <n v="8"/>
    <n v="0"/>
    <n v="14183.95"/>
    <n v="3"/>
    <n v="14183.95"/>
    <n v="3"/>
    <n v="100"/>
    <n v="84"/>
    <n v="2025"/>
    <x v="1"/>
    <x v="2"/>
    <x v="1"/>
  </r>
  <r>
    <x v="1"/>
    <x v="61"/>
    <x v="1"/>
    <x v="44"/>
    <n v="41"/>
    <n v="19"/>
    <n v="3"/>
    <n v="0"/>
    <n v="27678"/>
    <n v="7"/>
    <n v="29168"/>
    <n v="8"/>
    <n v="0"/>
    <n v="41"/>
    <n v="2025"/>
    <x v="1"/>
    <x v="2"/>
    <x v="1"/>
  </r>
  <r>
    <x v="1"/>
    <x v="61"/>
    <x v="1"/>
    <x v="45"/>
    <n v="5"/>
    <n v="0"/>
    <n v="0"/>
    <n v="0"/>
    <n v="0"/>
    <n v="0"/>
    <n v="0"/>
    <n v="0"/>
    <n v="1"/>
    <n v="5"/>
    <n v="2025"/>
    <x v="1"/>
    <x v="2"/>
    <x v="1"/>
  </r>
  <r>
    <x v="1"/>
    <x v="62"/>
    <x v="0"/>
    <x v="0"/>
    <n v="304"/>
    <n v="120"/>
    <n v="3"/>
    <n v="2"/>
    <n v="1490"/>
    <n v="1"/>
    <n v="0"/>
    <n v="0"/>
    <n v="4"/>
    <n v="295"/>
    <n v="2025"/>
    <x v="1"/>
    <x v="2"/>
    <x v="1"/>
  </r>
  <r>
    <x v="1"/>
    <x v="62"/>
    <x v="0"/>
    <x v="1"/>
    <n v="22167"/>
    <n v="16696"/>
    <n v="430"/>
    <n v="284"/>
    <n v="151896"/>
    <n v="49"/>
    <n v="68663"/>
    <n v="23"/>
    <n v="1498"/>
    <n v="21858"/>
    <n v="2025"/>
    <x v="1"/>
    <x v="2"/>
    <x v="1"/>
  </r>
  <r>
    <x v="1"/>
    <x v="62"/>
    <x v="0"/>
    <x v="2"/>
    <n v="4"/>
    <n v="4"/>
    <n v="0"/>
    <n v="0"/>
    <n v="0"/>
    <n v="0"/>
    <n v="0"/>
    <n v="0"/>
    <n v="2"/>
    <n v="1"/>
    <n v="2025"/>
    <x v="1"/>
    <x v="2"/>
    <x v="1"/>
  </r>
  <r>
    <x v="1"/>
    <x v="62"/>
    <x v="0"/>
    <x v="3"/>
    <n v="1032"/>
    <n v="880"/>
    <n v="11"/>
    <n v="0"/>
    <n v="0"/>
    <n v="0"/>
    <n v="0"/>
    <n v="0"/>
    <n v="17"/>
    <n v="236"/>
    <n v="2025"/>
    <x v="1"/>
    <x v="2"/>
    <x v="1"/>
  </r>
  <r>
    <x v="1"/>
    <x v="62"/>
    <x v="1"/>
    <x v="5"/>
    <n v="3"/>
    <n v="2"/>
    <n v="0"/>
    <n v="0"/>
    <n v="0"/>
    <n v="0"/>
    <n v="0"/>
    <n v="0"/>
    <n v="1"/>
    <n v="2"/>
    <n v="2025"/>
    <x v="1"/>
    <x v="2"/>
    <x v="1"/>
  </r>
  <r>
    <x v="1"/>
    <x v="62"/>
    <x v="1"/>
    <x v="6"/>
    <n v="784"/>
    <n v="748"/>
    <n v="0"/>
    <n v="0"/>
    <n v="0"/>
    <n v="0"/>
    <n v="0"/>
    <n v="0"/>
    <n v="0"/>
    <n v="0"/>
    <n v="2025"/>
    <x v="1"/>
    <x v="2"/>
    <x v="1"/>
  </r>
  <r>
    <x v="1"/>
    <x v="62"/>
    <x v="1"/>
    <x v="7"/>
    <n v="377"/>
    <n v="92"/>
    <n v="47"/>
    <n v="1"/>
    <n v="59936"/>
    <n v="18"/>
    <n v="33331"/>
    <n v="11"/>
    <n v="109"/>
    <n v="367"/>
    <n v="2025"/>
    <x v="1"/>
    <x v="2"/>
    <x v="1"/>
  </r>
  <r>
    <x v="1"/>
    <x v="62"/>
    <x v="1"/>
    <x v="8"/>
    <n v="54"/>
    <n v="38"/>
    <n v="7"/>
    <n v="1"/>
    <n v="4548"/>
    <n v="2"/>
    <n v="0"/>
    <n v="0"/>
    <n v="1"/>
    <n v="23"/>
    <n v="2025"/>
    <x v="1"/>
    <x v="2"/>
    <x v="1"/>
  </r>
  <r>
    <x v="1"/>
    <x v="62"/>
    <x v="1"/>
    <x v="9"/>
    <n v="26"/>
    <n v="12"/>
    <n v="0"/>
    <n v="0"/>
    <n v="0"/>
    <n v="0"/>
    <n v="0"/>
    <n v="0"/>
    <n v="0"/>
    <n v="6"/>
    <n v="2025"/>
    <x v="1"/>
    <x v="2"/>
    <x v="1"/>
  </r>
  <r>
    <x v="1"/>
    <x v="62"/>
    <x v="1"/>
    <x v="10"/>
    <n v="5"/>
    <n v="4"/>
    <n v="0"/>
    <n v="0"/>
    <n v="0"/>
    <n v="0"/>
    <n v="0"/>
    <n v="0"/>
    <n v="2"/>
    <n v="4"/>
    <n v="2025"/>
    <x v="1"/>
    <x v="2"/>
    <x v="1"/>
  </r>
  <r>
    <x v="1"/>
    <x v="62"/>
    <x v="1"/>
    <x v="11"/>
    <n v="2"/>
    <n v="2"/>
    <n v="0"/>
    <n v="0"/>
    <n v="0"/>
    <n v="0"/>
    <n v="0"/>
    <n v="0"/>
    <n v="2"/>
    <n v="0"/>
    <n v="2025"/>
    <x v="1"/>
    <x v="2"/>
    <x v="1"/>
  </r>
  <r>
    <x v="1"/>
    <x v="62"/>
    <x v="1"/>
    <x v="59"/>
    <n v="456"/>
    <n v="344"/>
    <n v="18"/>
    <n v="7"/>
    <n v="22353"/>
    <n v="6"/>
    <n v="18183"/>
    <n v="5"/>
    <n v="72"/>
    <n v="194"/>
    <n v="2025"/>
    <x v="1"/>
    <x v="2"/>
    <x v="1"/>
  </r>
  <r>
    <x v="1"/>
    <x v="62"/>
    <x v="1"/>
    <x v="15"/>
    <n v="39"/>
    <n v="37"/>
    <n v="0"/>
    <n v="1"/>
    <n v="0"/>
    <n v="0"/>
    <n v="0"/>
    <n v="0"/>
    <n v="0"/>
    <n v="39"/>
    <n v="2025"/>
    <x v="1"/>
    <x v="2"/>
    <x v="1"/>
  </r>
  <r>
    <x v="1"/>
    <x v="62"/>
    <x v="1"/>
    <x v="17"/>
    <n v="949"/>
    <n v="521"/>
    <n v="9"/>
    <n v="0"/>
    <n v="0"/>
    <n v="0"/>
    <n v="0"/>
    <n v="0"/>
    <n v="0"/>
    <n v="949"/>
    <n v="2025"/>
    <x v="1"/>
    <x v="2"/>
    <x v="1"/>
  </r>
  <r>
    <x v="1"/>
    <x v="62"/>
    <x v="1"/>
    <x v="18"/>
    <n v="8"/>
    <n v="8"/>
    <n v="0"/>
    <n v="0"/>
    <n v="0"/>
    <n v="0"/>
    <n v="0"/>
    <n v="0"/>
    <n v="2"/>
    <n v="8"/>
    <n v="2025"/>
    <x v="1"/>
    <x v="2"/>
    <x v="1"/>
  </r>
  <r>
    <x v="1"/>
    <x v="62"/>
    <x v="1"/>
    <x v="19"/>
    <n v="854"/>
    <n v="520"/>
    <n v="45"/>
    <n v="10"/>
    <n v="31378"/>
    <n v="11"/>
    <n v="18158"/>
    <n v="7"/>
    <n v="273"/>
    <n v="464"/>
    <n v="2025"/>
    <x v="1"/>
    <x v="2"/>
    <x v="1"/>
  </r>
  <r>
    <x v="1"/>
    <x v="62"/>
    <x v="1"/>
    <x v="20"/>
    <n v="11"/>
    <n v="8"/>
    <n v="0"/>
    <n v="0"/>
    <n v="3250"/>
    <n v="1"/>
    <n v="0"/>
    <n v="0"/>
    <n v="1"/>
    <n v="10"/>
    <n v="2025"/>
    <x v="1"/>
    <x v="2"/>
    <x v="1"/>
  </r>
  <r>
    <x v="1"/>
    <x v="62"/>
    <x v="1"/>
    <x v="22"/>
    <n v="53"/>
    <n v="40"/>
    <n v="1"/>
    <n v="0"/>
    <n v="0"/>
    <n v="0"/>
    <n v="0"/>
    <n v="0"/>
    <n v="0"/>
    <n v="10"/>
    <n v="2025"/>
    <x v="1"/>
    <x v="2"/>
    <x v="1"/>
  </r>
  <r>
    <x v="1"/>
    <x v="62"/>
    <x v="1"/>
    <x v="24"/>
    <n v="14"/>
    <n v="11"/>
    <n v="1"/>
    <n v="0"/>
    <n v="0"/>
    <n v="0"/>
    <n v="0"/>
    <n v="0"/>
    <n v="1"/>
    <n v="14"/>
    <n v="2025"/>
    <x v="1"/>
    <x v="2"/>
    <x v="1"/>
  </r>
  <r>
    <x v="1"/>
    <x v="62"/>
    <x v="1"/>
    <x v="27"/>
    <n v="85"/>
    <n v="36"/>
    <n v="6"/>
    <n v="2"/>
    <n v="27086"/>
    <n v="7"/>
    <n v="19888"/>
    <n v="5"/>
    <n v="40"/>
    <n v="73"/>
    <n v="2025"/>
    <x v="1"/>
    <x v="2"/>
    <x v="1"/>
  </r>
  <r>
    <x v="1"/>
    <x v="62"/>
    <x v="1"/>
    <x v="29"/>
    <n v="731"/>
    <n v="594"/>
    <n v="41"/>
    <n v="10"/>
    <n v="29112"/>
    <n v="11"/>
    <n v="23726"/>
    <n v="8"/>
    <n v="365"/>
    <n v="486"/>
    <n v="2025"/>
    <x v="1"/>
    <x v="2"/>
    <x v="1"/>
  </r>
  <r>
    <x v="1"/>
    <x v="62"/>
    <x v="1"/>
    <x v="30"/>
    <n v="1103"/>
    <n v="640"/>
    <n v="34"/>
    <n v="2"/>
    <n v="17859"/>
    <n v="7"/>
    <n v="11913"/>
    <n v="4"/>
    <n v="92"/>
    <n v="956"/>
    <n v="2025"/>
    <x v="1"/>
    <x v="2"/>
    <x v="1"/>
  </r>
  <r>
    <x v="1"/>
    <x v="62"/>
    <x v="1"/>
    <x v="31"/>
    <n v="85"/>
    <n v="66"/>
    <n v="5"/>
    <n v="0"/>
    <n v="0"/>
    <n v="0"/>
    <n v="0"/>
    <n v="0"/>
    <n v="18"/>
    <n v="81"/>
    <n v="2025"/>
    <x v="1"/>
    <x v="2"/>
    <x v="1"/>
  </r>
  <r>
    <x v="1"/>
    <x v="62"/>
    <x v="1"/>
    <x v="32"/>
    <n v="5"/>
    <n v="4"/>
    <n v="0"/>
    <n v="0"/>
    <n v="0"/>
    <n v="0"/>
    <n v="0"/>
    <n v="0"/>
    <n v="1"/>
    <n v="5"/>
    <n v="2025"/>
    <x v="1"/>
    <x v="2"/>
    <x v="1"/>
  </r>
  <r>
    <x v="1"/>
    <x v="62"/>
    <x v="1"/>
    <x v="34"/>
    <n v="266"/>
    <n v="136"/>
    <n v="21"/>
    <n v="5"/>
    <n v="5305"/>
    <n v="2"/>
    <n v="0"/>
    <n v="0"/>
    <n v="77"/>
    <n v="244"/>
    <n v="2025"/>
    <x v="1"/>
    <x v="2"/>
    <x v="1"/>
  </r>
  <r>
    <x v="1"/>
    <x v="62"/>
    <x v="1"/>
    <x v="36"/>
    <n v="1"/>
    <n v="1"/>
    <n v="0"/>
    <n v="0"/>
    <n v="0"/>
    <n v="0"/>
    <n v="0"/>
    <n v="0"/>
    <n v="0"/>
    <n v="1"/>
    <n v="2025"/>
    <x v="1"/>
    <x v="2"/>
    <x v="1"/>
  </r>
  <r>
    <x v="1"/>
    <x v="62"/>
    <x v="1"/>
    <x v="38"/>
    <n v="216"/>
    <n v="75"/>
    <n v="18"/>
    <n v="1"/>
    <n v="21283"/>
    <n v="8"/>
    <n v="13063"/>
    <n v="4"/>
    <n v="40"/>
    <n v="210"/>
    <n v="2025"/>
    <x v="1"/>
    <x v="2"/>
    <x v="1"/>
  </r>
  <r>
    <x v="1"/>
    <x v="62"/>
    <x v="1"/>
    <x v="60"/>
    <n v="6"/>
    <n v="5"/>
    <n v="0"/>
    <n v="1"/>
    <n v="0"/>
    <n v="0"/>
    <n v="0"/>
    <n v="0"/>
    <n v="0"/>
    <n v="6"/>
    <n v="2025"/>
    <x v="1"/>
    <x v="2"/>
    <x v="1"/>
  </r>
  <r>
    <x v="1"/>
    <x v="62"/>
    <x v="1"/>
    <x v="64"/>
    <n v="421"/>
    <n v="247"/>
    <n v="15"/>
    <n v="4"/>
    <n v="6157"/>
    <n v="3"/>
    <n v="1917"/>
    <n v="1"/>
    <n v="69"/>
    <n v="408"/>
    <n v="2025"/>
    <x v="1"/>
    <x v="2"/>
    <x v="1"/>
  </r>
  <r>
    <x v="1"/>
    <x v="62"/>
    <x v="1"/>
    <x v="42"/>
    <n v="33"/>
    <n v="20"/>
    <n v="2"/>
    <n v="0"/>
    <n v="0"/>
    <n v="0"/>
    <n v="0"/>
    <n v="0"/>
    <n v="2"/>
    <n v="32"/>
    <n v="2025"/>
    <x v="1"/>
    <x v="2"/>
    <x v="1"/>
  </r>
  <r>
    <x v="1"/>
    <x v="62"/>
    <x v="1"/>
    <x v="43"/>
    <n v="107"/>
    <n v="72"/>
    <n v="1"/>
    <n v="0"/>
    <n v="0"/>
    <n v="0"/>
    <n v="0"/>
    <n v="0"/>
    <n v="89"/>
    <n v="56"/>
    <n v="2025"/>
    <x v="1"/>
    <x v="2"/>
    <x v="1"/>
  </r>
  <r>
    <x v="1"/>
    <x v="62"/>
    <x v="1"/>
    <x v="44"/>
    <n v="20"/>
    <n v="4"/>
    <n v="0"/>
    <n v="0"/>
    <n v="2395"/>
    <n v="1"/>
    <n v="2395"/>
    <n v="1"/>
    <n v="0"/>
    <n v="20"/>
    <n v="2025"/>
    <x v="1"/>
    <x v="2"/>
    <x v="1"/>
  </r>
  <r>
    <x v="1"/>
    <x v="62"/>
    <x v="1"/>
    <x v="45"/>
    <n v="1"/>
    <n v="0"/>
    <n v="0"/>
    <n v="0"/>
    <n v="0"/>
    <n v="0"/>
    <n v="0"/>
    <n v="0"/>
    <n v="0"/>
    <n v="1"/>
    <n v="2025"/>
    <x v="1"/>
    <x v="2"/>
    <x v="1"/>
  </r>
  <r>
    <x v="1"/>
    <x v="63"/>
    <x v="0"/>
    <x v="0"/>
    <n v="214"/>
    <n v="76"/>
    <n v="1"/>
    <n v="0"/>
    <n v="2515"/>
    <n v="1"/>
    <n v="0"/>
    <n v="0"/>
    <n v="3"/>
    <n v="208"/>
    <n v="2025"/>
    <x v="1"/>
    <x v="2"/>
    <x v="1"/>
  </r>
  <r>
    <x v="1"/>
    <x v="63"/>
    <x v="0"/>
    <x v="1"/>
    <n v="17479"/>
    <n v="12635"/>
    <n v="334"/>
    <n v="285"/>
    <n v="161036"/>
    <n v="50"/>
    <n v="56436"/>
    <n v="20"/>
    <n v="1341"/>
    <n v="17172"/>
    <n v="2025"/>
    <x v="1"/>
    <x v="2"/>
    <x v="1"/>
  </r>
  <r>
    <x v="1"/>
    <x v="63"/>
    <x v="0"/>
    <x v="2"/>
    <n v="1"/>
    <n v="1"/>
    <n v="0"/>
    <n v="0"/>
    <n v="0"/>
    <n v="0"/>
    <n v="0"/>
    <n v="0"/>
    <n v="0"/>
    <n v="0"/>
    <n v="2025"/>
    <x v="1"/>
    <x v="2"/>
    <x v="1"/>
  </r>
  <r>
    <x v="1"/>
    <x v="63"/>
    <x v="0"/>
    <x v="3"/>
    <n v="1270"/>
    <n v="1125"/>
    <n v="9"/>
    <n v="1"/>
    <n v="0"/>
    <n v="0"/>
    <n v="0"/>
    <n v="0"/>
    <n v="28"/>
    <n v="385"/>
    <n v="2025"/>
    <x v="1"/>
    <x v="2"/>
    <x v="1"/>
  </r>
  <r>
    <x v="1"/>
    <x v="63"/>
    <x v="1"/>
    <x v="5"/>
    <n v="4"/>
    <n v="3"/>
    <n v="0"/>
    <n v="1"/>
    <n v="0"/>
    <n v="0"/>
    <n v="0"/>
    <n v="0"/>
    <n v="1"/>
    <n v="4"/>
    <n v="2025"/>
    <x v="1"/>
    <x v="2"/>
    <x v="1"/>
  </r>
  <r>
    <x v="1"/>
    <x v="63"/>
    <x v="1"/>
    <x v="6"/>
    <n v="316"/>
    <n v="284"/>
    <n v="0"/>
    <n v="0"/>
    <n v="0"/>
    <n v="0"/>
    <n v="0"/>
    <n v="0"/>
    <n v="0"/>
    <n v="0"/>
    <n v="2025"/>
    <x v="1"/>
    <x v="2"/>
    <x v="1"/>
  </r>
  <r>
    <x v="1"/>
    <x v="63"/>
    <x v="1"/>
    <x v="7"/>
    <n v="309"/>
    <n v="74"/>
    <n v="29"/>
    <n v="5"/>
    <n v="75891"/>
    <n v="23"/>
    <n v="57738"/>
    <n v="16"/>
    <n v="79"/>
    <n v="297"/>
    <n v="2025"/>
    <x v="1"/>
    <x v="2"/>
    <x v="1"/>
  </r>
  <r>
    <x v="1"/>
    <x v="63"/>
    <x v="1"/>
    <x v="8"/>
    <n v="636"/>
    <n v="593"/>
    <n v="1"/>
    <n v="2"/>
    <n v="0"/>
    <n v="0"/>
    <n v="0"/>
    <n v="0"/>
    <n v="1"/>
    <n v="27"/>
    <n v="2025"/>
    <x v="1"/>
    <x v="2"/>
    <x v="1"/>
  </r>
  <r>
    <x v="1"/>
    <x v="63"/>
    <x v="1"/>
    <x v="9"/>
    <n v="148"/>
    <n v="132"/>
    <n v="1"/>
    <n v="1"/>
    <n v="0"/>
    <n v="0"/>
    <n v="0"/>
    <n v="0"/>
    <n v="0"/>
    <n v="2"/>
    <n v="2025"/>
    <x v="1"/>
    <x v="2"/>
    <x v="1"/>
  </r>
  <r>
    <x v="1"/>
    <x v="63"/>
    <x v="1"/>
    <x v="10"/>
    <n v="7"/>
    <n v="3"/>
    <n v="0"/>
    <n v="0"/>
    <n v="0"/>
    <n v="0"/>
    <n v="0"/>
    <n v="0"/>
    <n v="0"/>
    <n v="2"/>
    <n v="2025"/>
    <x v="1"/>
    <x v="2"/>
    <x v="1"/>
  </r>
  <r>
    <x v="1"/>
    <x v="63"/>
    <x v="1"/>
    <x v="11"/>
    <n v="8"/>
    <n v="5"/>
    <n v="0"/>
    <n v="0"/>
    <n v="0"/>
    <n v="0"/>
    <n v="0"/>
    <n v="0"/>
    <n v="7"/>
    <n v="1"/>
    <n v="2025"/>
    <x v="1"/>
    <x v="2"/>
    <x v="1"/>
  </r>
  <r>
    <x v="1"/>
    <x v="63"/>
    <x v="1"/>
    <x v="59"/>
    <n v="231"/>
    <n v="144"/>
    <n v="20"/>
    <n v="0"/>
    <n v="18160"/>
    <n v="4"/>
    <n v="18160"/>
    <n v="4"/>
    <n v="74"/>
    <n v="165"/>
    <n v="2025"/>
    <x v="1"/>
    <x v="2"/>
    <x v="1"/>
  </r>
  <r>
    <x v="1"/>
    <x v="63"/>
    <x v="1"/>
    <x v="15"/>
    <n v="40"/>
    <n v="38"/>
    <n v="0"/>
    <n v="0"/>
    <n v="0"/>
    <n v="0"/>
    <n v="0"/>
    <n v="0"/>
    <n v="0"/>
    <n v="40"/>
    <n v="2025"/>
    <x v="1"/>
    <x v="2"/>
    <x v="1"/>
  </r>
  <r>
    <x v="1"/>
    <x v="63"/>
    <x v="1"/>
    <x v="17"/>
    <n v="595"/>
    <n v="255"/>
    <n v="11"/>
    <n v="2"/>
    <n v="0"/>
    <n v="0"/>
    <n v="0"/>
    <n v="0"/>
    <n v="0"/>
    <n v="595"/>
    <n v="2025"/>
    <x v="1"/>
    <x v="2"/>
    <x v="1"/>
  </r>
  <r>
    <x v="1"/>
    <x v="63"/>
    <x v="1"/>
    <x v="18"/>
    <n v="6"/>
    <n v="5"/>
    <n v="0"/>
    <n v="0"/>
    <n v="4695"/>
    <n v="1"/>
    <n v="4695"/>
    <n v="1"/>
    <n v="1"/>
    <n v="6"/>
    <n v="2025"/>
    <x v="1"/>
    <x v="2"/>
    <x v="1"/>
  </r>
  <r>
    <x v="1"/>
    <x v="63"/>
    <x v="1"/>
    <x v="19"/>
    <n v="1401"/>
    <n v="1067"/>
    <n v="43"/>
    <n v="9"/>
    <n v="39695"/>
    <n v="15"/>
    <n v="30245"/>
    <n v="10"/>
    <n v="252"/>
    <n v="362"/>
    <n v="2025"/>
    <x v="1"/>
    <x v="2"/>
    <x v="1"/>
  </r>
  <r>
    <x v="1"/>
    <x v="63"/>
    <x v="1"/>
    <x v="20"/>
    <n v="4"/>
    <n v="1"/>
    <n v="0"/>
    <n v="0"/>
    <n v="1490"/>
    <n v="1"/>
    <n v="1490"/>
    <n v="1"/>
    <n v="0"/>
    <n v="4"/>
    <n v="2025"/>
    <x v="1"/>
    <x v="2"/>
    <x v="1"/>
  </r>
  <r>
    <x v="1"/>
    <x v="63"/>
    <x v="1"/>
    <x v="22"/>
    <n v="146"/>
    <n v="127"/>
    <n v="1"/>
    <n v="0"/>
    <n v="0"/>
    <n v="0"/>
    <n v="0"/>
    <n v="0"/>
    <n v="0"/>
    <n v="6"/>
    <n v="2025"/>
    <x v="1"/>
    <x v="2"/>
    <x v="1"/>
  </r>
  <r>
    <x v="1"/>
    <x v="63"/>
    <x v="1"/>
    <x v="24"/>
    <n v="13"/>
    <n v="8"/>
    <n v="2"/>
    <n v="1"/>
    <n v="0"/>
    <n v="0"/>
    <n v="0"/>
    <n v="0"/>
    <n v="3"/>
    <n v="12"/>
    <n v="2025"/>
    <x v="1"/>
    <x v="2"/>
    <x v="1"/>
  </r>
  <r>
    <x v="1"/>
    <x v="63"/>
    <x v="1"/>
    <x v="27"/>
    <n v="72"/>
    <n v="33"/>
    <n v="12"/>
    <n v="0"/>
    <n v="12340"/>
    <n v="4"/>
    <n v="12340"/>
    <n v="4"/>
    <n v="45"/>
    <n v="52"/>
    <n v="2025"/>
    <x v="1"/>
    <x v="2"/>
    <x v="1"/>
  </r>
  <r>
    <x v="1"/>
    <x v="63"/>
    <x v="1"/>
    <x v="29"/>
    <n v="600"/>
    <n v="501"/>
    <n v="24"/>
    <n v="3"/>
    <n v="3300"/>
    <n v="2"/>
    <n v="1050"/>
    <n v="1"/>
    <n v="294"/>
    <n v="366"/>
    <n v="2025"/>
    <x v="1"/>
    <x v="2"/>
    <x v="1"/>
  </r>
  <r>
    <x v="1"/>
    <x v="63"/>
    <x v="1"/>
    <x v="30"/>
    <n v="867"/>
    <n v="436"/>
    <n v="23"/>
    <n v="5"/>
    <n v="6829"/>
    <n v="3"/>
    <n v="6829"/>
    <n v="3"/>
    <n v="86"/>
    <n v="701"/>
    <n v="2025"/>
    <x v="1"/>
    <x v="2"/>
    <x v="1"/>
  </r>
  <r>
    <x v="1"/>
    <x v="63"/>
    <x v="1"/>
    <x v="31"/>
    <n v="72"/>
    <n v="51"/>
    <n v="4"/>
    <n v="0"/>
    <n v="5750"/>
    <n v="1"/>
    <n v="5750"/>
    <n v="1"/>
    <n v="17"/>
    <n v="66"/>
    <n v="2025"/>
    <x v="1"/>
    <x v="2"/>
    <x v="1"/>
  </r>
  <r>
    <x v="1"/>
    <x v="63"/>
    <x v="1"/>
    <x v="32"/>
    <n v="1"/>
    <n v="0"/>
    <n v="0"/>
    <n v="0"/>
    <n v="0"/>
    <n v="0"/>
    <n v="0"/>
    <n v="0"/>
    <n v="1"/>
    <n v="1"/>
    <n v="2025"/>
    <x v="1"/>
    <x v="2"/>
    <x v="1"/>
  </r>
  <r>
    <x v="1"/>
    <x v="63"/>
    <x v="1"/>
    <x v="34"/>
    <n v="238"/>
    <n v="117"/>
    <n v="23"/>
    <n v="8"/>
    <n v="10500"/>
    <n v="4"/>
    <n v="10500"/>
    <n v="4"/>
    <n v="64"/>
    <n v="217"/>
    <n v="2025"/>
    <x v="1"/>
    <x v="2"/>
    <x v="1"/>
  </r>
  <r>
    <x v="1"/>
    <x v="63"/>
    <x v="1"/>
    <x v="36"/>
    <n v="3"/>
    <n v="2"/>
    <n v="0"/>
    <n v="0"/>
    <n v="0"/>
    <n v="0"/>
    <n v="0"/>
    <n v="0"/>
    <n v="1"/>
    <n v="2"/>
    <n v="2025"/>
    <x v="1"/>
    <x v="2"/>
    <x v="1"/>
  </r>
  <r>
    <x v="1"/>
    <x v="63"/>
    <x v="1"/>
    <x v="38"/>
    <n v="179"/>
    <n v="57"/>
    <n v="18"/>
    <n v="4"/>
    <n v="17463"/>
    <n v="5"/>
    <n v="9938"/>
    <n v="3"/>
    <n v="48"/>
    <n v="177"/>
    <n v="2025"/>
    <x v="1"/>
    <x v="2"/>
    <x v="1"/>
  </r>
  <r>
    <x v="1"/>
    <x v="63"/>
    <x v="1"/>
    <x v="60"/>
    <n v="10"/>
    <n v="9"/>
    <n v="0"/>
    <n v="0"/>
    <n v="0"/>
    <n v="0"/>
    <n v="0"/>
    <n v="0"/>
    <n v="0"/>
    <n v="10"/>
    <n v="2025"/>
    <x v="1"/>
    <x v="2"/>
    <x v="1"/>
  </r>
  <r>
    <x v="1"/>
    <x v="63"/>
    <x v="1"/>
    <x v="64"/>
    <n v="387"/>
    <n v="238"/>
    <n v="21"/>
    <n v="2"/>
    <n v="12830"/>
    <n v="4"/>
    <n v="7690"/>
    <n v="2"/>
    <n v="69"/>
    <n v="382"/>
    <n v="2025"/>
    <x v="1"/>
    <x v="2"/>
    <x v="1"/>
  </r>
  <r>
    <x v="1"/>
    <x v="63"/>
    <x v="1"/>
    <x v="42"/>
    <n v="51"/>
    <n v="24"/>
    <n v="2"/>
    <n v="0"/>
    <n v="0"/>
    <n v="0"/>
    <n v="0"/>
    <n v="0"/>
    <n v="6"/>
    <n v="44"/>
    <n v="2025"/>
    <x v="1"/>
    <x v="2"/>
    <x v="1"/>
  </r>
  <r>
    <x v="1"/>
    <x v="63"/>
    <x v="1"/>
    <x v="43"/>
    <n v="98"/>
    <n v="60"/>
    <n v="5"/>
    <n v="1"/>
    <n v="8095"/>
    <n v="2"/>
    <n v="8095"/>
    <n v="2"/>
    <n v="85"/>
    <n v="55"/>
    <n v="2025"/>
    <x v="1"/>
    <x v="2"/>
    <x v="1"/>
  </r>
  <r>
    <x v="1"/>
    <x v="63"/>
    <x v="1"/>
    <x v="44"/>
    <n v="24"/>
    <n v="5"/>
    <n v="1"/>
    <n v="0"/>
    <n v="0"/>
    <n v="0"/>
    <n v="0"/>
    <n v="0"/>
    <n v="0"/>
    <n v="24"/>
    <n v="2025"/>
    <x v="1"/>
    <x v="2"/>
    <x v="1"/>
  </r>
  <r>
    <x v="1"/>
    <x v="63"/>
    <x v="1"/>
    <x v="45"/>
    <n v="2"/>
    <n v="0"/>
    <n v="0"/>
    <n v="0"/>
    <n v="0"/>
    <n v="0"/>
    <n v="0"/>
    <n v="0"/>
    <n v="0"/>
    <n v="2"/>
    <n v="2025"/>
    <x v="1"/>
    <x v="2"/>
    <x v="1"/>
  </r>
  <r>
    <x v="1"/>
    <x v="64"/>
    <x v="0"/>
    <x v="0"/>
    <n v="222"/>
    <n v="71"/>
    <n v="4"/>
    <n v="0"/>
    <n v="5278"/>
    <n v="3"/>
    <n v="5278"/>
    <n v="3"/>
    <n v="2"/>
    <n v="222"/>
    <n v="2025"/>
    <x v="1"/>
    <x v="2"/>
    <x v="1"/>
  </r>
  <r>
    <x v="1"/>
    <x v="64"/>
    <x v="0"/>
    <x v="1"/>
    <n v="16650"/>
    <n v="12081"/>
    <n v="278"/>
    <n v="276"/>
    <n v="123329"/>
    <n v="35"/>
    <n v="82436"/>
    <n v="26"/>
    <n v="1285"/>
    <n v="16360"/>
    <n v="2025"/>
    <x v="1"/>
    <x v="2"/>
    <x v="1"/>
  </r>
  <r>
    <x v="1"/>
    <x v="64"/>
    <x v="0"/>
    <x v="2"/>
    <n v="1"/>
    <n v="0"/>
    <n v="0"/>
    <n v="0"/>
    <n v="0"/>
    <n v="0"/>
    <n v="0"/>
    <n v="0"/>
    <n v="0"/>
    <n v="1"/>
    <n v="2025"/>
    <x v="1"/>
    <x v="2"/>
    <x v="1"/>
  </r>
  <r>
    <x v="1"/>
    <x v="64"/>
    <x v="0"/>
    <x v="3"/>
    <n v="1"/>
    <n v="1"/>
    <n v="0"/>
    <n v="0"/>
    <n v="0"/>
    <n v="0"/>
    <n v="0"/>
    <n v="0"/>
    <n v="0"/>
    <n v="1"/>
    <n v="2025"/>
    <x v="1"/>
    <x v="2"/>
    <x v="1"/>
  </r>
  <r>
    <x v="1"/>
    <x v="64"/>
    <x v="1"/>
    <x v="5"/>
    <n v="1"/>
    <n v="1"/>
    <n v="0"/>
    <n v="0"/>
    <n v="0"/>
    <n v="0"/>
    <n v="0"/>
    <n v="0"/>
    <n v="0"/>
    <n v="1"/>
    <n v="2025"/>
    <x v="1"/>
    <x v="2"/>
    <x v="1"/>
  </r>
  <r>
    <x v="1"/>
    <x v="64"/>
    <x v="1"/>
    <x v="7"/>
    <n v="282"/>
    <n v="81"/>
    <n v="33"/>
    <n v="3"/>
    <n v="58444"/>
    <n v="20"/>
    <n v="43516"/>
    <n v="15"/>
    <n v="85"/>
    <n v="272"/>
    <n v="2025"/>
    <x v="1"/>
    <x v="2"/>
    <x v="1"/>
  </r>
  <r>
    <x v="1"/>
    <x v="64"/>
    <x v="1"/>
    <x v="8"/>
    <n v="13"/>
    <n v="6"/>
    <n v="1"/>
    <n v="1"/>
    <n v="0"/>
    <n v="0"/>
    <n v="0"/>
    <n v="0"/>
    <n v="1"/>
    <n v="13"/>
    <n v="2025"/>
    <x v="1"/>
    <x v="2"/>
    <x v="1"/>
  </r>
  <r>
    <x v="1"/>
    <x v="64"/>
    <x v="1"/>
    <x v="9"/>
    <n v="2"/>
    <n v="0"/>
    <n v="1"/>
    <n v="0"/>
    <n v="0"/>
    <n v="0"/>
    <n v="0"/>
    <n v="0"/>
    <n v="1"/>
    <n v="2"/>
    <n v="2025"/>
    <x v="1"/>
    <x v="2"/>
    <x v="1"/>
  </r>
  <r>
    <x v="1"/>
    <x v="64"/>
    <x v="1"/>
    <x v="10"/>
    <n v="1"/>
    <n v="1"/>
    <n v="0"/>
    <n v="0"/>
    <n v="0"/>
    <n v="0"/>
    <n v="0"/>
    <n v="0"/>
    <n v="0"/>
    <n v="1"/>
    <n v="2025"/>
    <x v="1"/>
    <x v="2"/>
    <x v="1"/>
  </r>
  <r>
    <x v="1"/>
    <x v="64"/>
    <x v="1"/>
    <x v="11"/>
    <n v="43"/>
    <n v="43"/>
    <n v="0"/>
    <n v="0"/>
    <n v="0"/>
    <n v="0"/>
    <n v="0"/>
    <n v="0"/>
    <n v="42"/>
    <n v="1"/>
    <n v="2025"/>
    <x v="1"/>
    <x v="2"/>
    <x v="1"/>
  </r>
  <r>
    <x v="1"/>
    <x v="64"/>
    <x v="1"/>
    <x v="59"/>
    <n v="157"/>
    <n v="72"/>
    <n v="14"/>
    <n v="3"/>
    <n v="24645"/>
    <n v="6"/>
    <n v="18310"/>
    <n v="5"/>
    <n v="61"/>
    <n v="127"/>
    <n v="2025"/>
    <x v="1"/>
    <x v="2"/>
    <x v="1"/>
  </r>
  <r>
    <x v="1"/>
    <x v="64"/>
    <x v="1"/>
    <x v="15"/>
    <n v="28"/>
    <n v="27"/>
    <n v="0"/>
    <n v="0"/>
    <n v="0"/>
    <n v="0"/>
    <n v="0"/>
    <n v="0"/>
    <n v="1"/>
    <n v="28"/>
    <n v="2025"/>
    <x v="1"/>
    <x v="2"/>
    <x v="1"/>
  </r>
  <r>
    <x v="1"/>
    <x v="64"/>
    <x v="1"/>
    <x v="17"/>
    <n v="684"/>
    <n v="335"/>
    <n v="9"/>
    <n v="0"/>
    <n v="0"/>
    <n v="0"/>
    <n v="0"/>
    <n v="0"/>
    <n v="0"/>
    <n v="684"/>
    <n v="2025"/>
    <x v="1"/>
    <x v="2"/>
    <x v="1"/>
  </r>
  <r>
    <x v="1"/>
    <x v="64"/>
    <x v="1"/>
    <x v="18"/>
    <n v="4"/>
    <n v="2"/>
    <n v="0"/>
    <n v="0"/>
    <n v="0"/>
    <n v="0"/>
    <n v="0"/>
    <n v="0"/>
    <n v="0"/>
    <n v="4"/>
    <n v="2025"/>
    <x v="1"/>
    <x v="2"/>
    <x v="1"/>
  </r>
  <r>
    <x v="1"/>
    <x v="64"/>
    <x v="1"/>
    <x v="19"/>
    <n v="613"/>
    <n v="367"/>
    <n v="57"/>
    <n v="11"/>
    <n v="39191.760000000002"/>
    <n v="15"/>
    <n v="32256.76"/>
    <n v="14"/>
    <n v="363"/>
    <n v="417"/>
    <n v="2025"/>
    <x v="1"/>
    <x v="2"/>
    <x v="1"/>
  </r>
  <r>
    <x v="1"/>
    <x v="64"/>
    <x v="1"/>
    <x v="20"/>
    <n v="6"/>
    <n v="1"/>
    <n v="0"/>
    <n v="0"/>
    <n v="3250"/>
    <n v="1"/>
    <n v="3250"/>
    <n v="1"/>
    <n v="0"/>
    <n v="6"/>
    <n v="2025"/>
    <x v="1"/>
    <x v="2"/>
    <x v="1"/>
  </r>
  <r>
    <x v="1"/>
    <x v="64"/>
    <x v="1"/>
    <x v="22"/>
    <n v="3"/>
    <n v="1"/>
    <n v="0"/>
    <n v="0"/>
    <n v="0"/>
    <n v="0"/>
    <n v="0"/>
    <n v="0"/>
    <n v="0"/>
    <n v="3"/>
    <n v="2025"/>
    <x v="1"/>
    <x v="2"/>
    <x v="1"/>
  </r>
  <r>
    <x v="1"/>
    <x v="64"/>
    <x v="1"/>
    <x v="24"/>
    <n v="18"/>
    <n v="12"/>
    <n v="3"/>
    <n v="0"/>
    <n v="5660"/>
    <n v="2"/>
    <n v="1490"/>
    <n v="1"/>
    <n v="8"/>
    <n v="14"/>
    <n v="2025"/>
    <x v="1"/>
    <x v="2"/>
    <x v="1"/>
  </r>
  <r>
    <x v="1"/>
    <x v="64"/>
    <x v="1"/>
    <x v="27"/>
    <n v="168"/>
    <n v="78"/>
    <n v="8"/>
    <n v="4"/>
    <n v="35793"/>
    <n v="13"/>
    <n v="22798"/>
    <n v="10"/>
    <n v="113"/>
    <n v="94"/>
    <n v="2025"/>
    <x v="1"/>
    <x v="2"/>
    <x v="1"/>
  </r>
  <r>
    <x v="1"/>
    <x v="64"/>
    <x v="1"/>
    <x v="29"/>
    <n v="494"/>
    <n v="389"/>
    <n v="15"/>
    <n v="13"/>
    <n v="35610"/>
    <n v="6"/>
    <n v="6230"/>
    <n v="3"/>
    <n v="270"/>
    <n v="296"/>
    <n v="2025"/>
    <x v="1"/>
    <x v="2"/>
    <x v="1"/>
  </r>
  <r>
    <x v="1"/>
    <x v="64"/>
    <x v="1"/>
    <x v="30"/>
    <n v="864"/>
    <n v="540"/>
    <n v="23"/>
    <n v="11"/>
    <n v="13592"/>
    <n v="4"/>
    <n v="10597"/>
    <n v="4"/>
    <n v="97"/>
    <n v="732"/>
    <n v="2025"/>
    <x v="1"/>
    <x v="2"/>
    <x v="1"/>
  </r>
  <r>
    <x v="1"/>
    <x v="64"/>
    <x v="1"/>
    <x v="31"/>
    <n v="79"/>
    <n v="62"/>
    <n v="1"/>
    <n v="1"/>
    <n v="1598"/>
    <n v="1"/>
    <n v="1598"/>
    <n v="1"/>
    <n v="10"/>
    <n v="77"/>
    <n v="2025"/>
    <x v="1"/>
    <x v="2"/>
    <x v="1"/>
  </r>
  <r>
    <x v="1"/>
    <x v="64"/>
    <x v="1"/>
    <x v="32"/>
    <n v="1"/>
    <n v="1"/>
    <n v="0"/>
    <n v="0"/>
    <n v="0"/>
    <n v="0"/>
    <n v="0"/>
    <n v="0"/>
    <n v="0"/>
    <n v="1"/>
    <n v="2025"/>
    <x v="1"/>
    <x v="2"/>
    <x v="1"/>
  </r>
  <r>
    <x v="1"/>
    <x v="64"/>
    <x v="1"/>
    <x v="34"/>
    <n v="225"/>
    <n v="118"/>
    <n v="12"/>
    <n v="10"/>
    <n v="10780"/>
    <n v="3"/>
    <n v="8385"/>
    <n v="3"/>
    <n v="93"/>
    <n v="181"/>
    <n v="2025"/>
    <x v="1"/>
    <x v="2"/>
    <x v="1"/>
  </r>
  <r>
    <x v="1"/>
    <x v="64"/>
    <x v="1"/>
    <x v="38"/>
    <n v="201"/>
    <n v="75"/>
    <n v="21"/>
    <n v="6"/>
    <n v="32395.18"/>
    <n v="11"/>
    <n v="22740.18"/>
    <n v="9"/>
    <n v="63"/>
    <n v="189"/>
    <n v="2025"/>
    <x v="1"/>
    <x v="2"/>
    <x v="1"/>
  </r>
  <r>
    <x v="1"/>
    <x v="64"/>
    <x v="1"/>
    <x v="60"/>
    <n v="8"/>
    <n v="7"/>
    <n v="1"/>
    <n v="0"/>
    <n v="0"/>
    <n v="0"/>
    <n v="0"/>
    <n v="0"/>
    <n v="2"/>
    <n v="8"/>
    <n v="2025"/>
    <x v="1"/>
    <x v="2"/>
    <x v="1"/>
  </r>
  <r>
    <x v="1"/>
    <x v="64"/>
    <x v="1"/>
    <x v="64"/>
    <n v="398"/>
    <n v="237"/>
    <n v="19"/>
    <n v="1"/>
    <n v="24642"/>
    <n v="8"/>
    <n v="15107"/>
    <n v="5"/>
    <n v="83"/>
    <n v="391"/>
    <n v="2025"/>
    <x v="1"/>
    <x v="2"/>
    <x v="1"/>
  </r>
  <r>
    <x v="1"/>
    <x v="64"/>
    <x v="1"/>
    <x v="42"/>
    <n v="35"/>
    <n v="14"/>
    <n v="4"/>
    <n v="0"/>
    <n v="5845"/>
    <n v="1"/>
    <n v="0"/>
    <n v="0"/>
    <n v="11"/>
    <n v="30"/>
    <n v="2025"/>
    <x v="1"/>
    <x v="2"/>
    <x v="1"/>
  </r>
  <r>
    <x v="1"/>
    <x v="64"/>
    <x v="1"/>
    <x v="43"/>
    <n v="106"/>
    <n v="64"/>
    <n v="3"/>
    <n v="1"/>
    <n v="4845"/>
    <n v="1"/>
    <n v="4845"/>
    <n v="1"/>
    <n v="88"/>
    <n v="62"/>
    <n v="2025"/>
    <x v="1"/>
    <x v="2"/>
    <x v="1"/>
  </r>
  <r>
    <x v="1"/>
    <x v="64"/>
    <x v="1"/>
    <x v="44"/>
    <n v="20"/>
    <n v="5"/>
    <n v="0"/>
    <n v="0"/>
    <n v="0"/>
    <n v="0"/>
    <n v="0"/>
    <n v="0"/>
    <n v="1"/>
    <n v="20"/>
    <n v="2025"/>
    <x v="1"/>
    <x v="2"/>
    <x v="1"/>
  </r>
  <r>
    <x v="1"/>
    <x v="64"/>
    <x v="1"/>
    <x v="45"/>
    <n v="2"/>
    <n v="1"/>
    <n v="0"/>
    <n v="0"/>
    <n v="0"/>
    <n v="0"/>
    <n v="0"/>
    <n v="0"/>
    <n v="1"/>
    <n v="2"/>
    <n v="2025"/>
    <x v="1"/>
    <x v="2"/>
    <x v="1"/>
  </r>
  <r>
    <x v="1"/>
    <x v="65"/>
    <x v="0"/>
    <x v="0"/>
    <n v="232"/>
    <n v="80"/>
    <n v="2"/>
    <n v="1"/>
    <n v="15360.12"/>
    <n v="4"/>
    <n v="15360.12"/>
    <n v="4"/>
    <n v="2"/>
    <n v="232"/>
    <n v="2025"/>
    <x v="1"/>
    <x v="2"/>
    <x v="1"/>
  </r>
  <r>
    <x v="1"/>
    <x v="65"/>
    <x v="0"/>
    <x v="1"/>
    <n v="16020"/>
    <n v="11832"/>
    <n v="288"/>
    <n v="296"/>
    <n v="139003.65"/>
    <n v="35"/>
    <n v="96221.65"/>
    <n v="28"/>
    <n v="1149"/>
    <n v="15728"/>
    <n v="2025"/>
    <x v="1"/>
    <x v="2"/>
    <x v="1"/>
  </r>
  <r>
    <x v="1"/>
    <x v="65"/>
    <x v="0"/>
    <x v="3"/>
    <n v="1"/>
    <n v="0"/>
    <n v="0"/>
    <n v="0"/>
    <n v="0"/>
    <n v="0"/>
    <n v="0"/>
    <n v="0"/>
    <n v="0"/>
    <n v="0"/>
    <n v="2025"/>
    <x v="1"/>
    <x v="2"/>
    <x v="1"/>
  </r>
  <r>
    <x v="1"/>
    <x v="65"/>
    <x v="1"/>
    <x v="5"/>
    <n v="6"/>
    <n v="4"/>
    <n v="0"/>
    <n v="0"/>
    <n v="0"/>
    <n v="0"/>
    <n v="0"/>
    <n v="0"/>
    <n v="0"/>
    <n v="6"/>
    <n v="2025"/>
    <x v="1"/>
    <x v="2"/>
    <x v="1"/>
  </r>
  <r>
    <x v="1"/>
    <x v="65"/>
    <x v="1"/>
    <x v="7"/>
    <n v="219"/>
    <n v="67"/>
    <n v="35"/>
    <n v="3"/>
    <n v="160919"/>
    <n v="42"/>
    <n v="154689"/>
    <n v="41"/>
    <n v="83"/>
    <n v="211"/>
    <n v="2025"/>
    <x v="1"/>
    <x v="2"/>
    <x v="1"/>
  </r>
  <r>
    <x v="1"/>
    <x v="65"/>
    <x v="1"/>
    <x v="8"/>
    <n v="15"/>
    <n v="7"/>
    <n v="2"/>
    <n v="2"/>
    <n v="0"/>
    <n v="0"/>
    <n v="0"/>
    <n v="0"/>
    <n v="0"/>
    <n v="15"/>
    <n v="2025"/>
    <x v="1"/>
    <x v="2"/>
    <x v="1"/>
  </r>
  <r>
    <x v="1"/>
    <x v="65"/>
    <x v="1"/>
    <x v="9"/>
    <n v="3"/>
    <n v="2"/>
    <n v="1"/>
    <n v="0"/>
    <n v="0"/>
    <n v="0"/>
    <n v="0"/>
    <n v="0"/>
    <n v="2"/>
    <n v="3"/>
    <n v="2025"/>
    <x v="1"/>
    <x v="2"/>
    <x v="1"/>
  </r>
  <r>
    <x v="1"/>
    <x v="65"/>
    <x v="1"/>
    <x v="10"/>
    <n v="1"/>
    <n v="1"/>
    <n v="0"/>
    <n v="0"/>
    <n v="0"/>
    <n v="0"/>
    <n v="0"/>
    <n v="0"/>
    <n v="0"/>
    <n v="1"/>
    <n v="2025"/>
    <x v="1"/>
    <x v="2"/>
    <x v="1"/>
  </r>
  <r>
    <x v="1"/>
    <x v="65"/>
    <x v="1"/>
    <x v="11"/>
    <n v="2"/>
    <n v="2"/>
    <n v="0"/>
    <n v="0"/>
    <n v="0"/>
    <n v="0"/>
    <n v="0"/>
    <n v="0"/>
    <n v="1"/>
    <n v="1"/>
    <n v="2025"/>
    <x v="1"/>
    <x v="2"/>
    <x v="1"/>
  </r>
  <r>
    <x v="1"/>
    <x v="65"/>
    <x v="1"/>
    <x v="59"/>
    <n v="123"/>
    <n v="58"/>
    <n v="12"/>
    <n v="2"/>
    <n v="21097"/>
    <n v="4"/>
    <n v="15107"/>
    <n v="4"/>
    <n v="57"/>
    <n v="99"/>
    <n v="2025"/>
    <x v="1"/>
    <x v="2"/>
    <x v="1"/>
  </r>
  <r>
    <x v="1"/>
    <x v="65"/>
    <x v="1"/>
    <x v="15"/>
    <n v="16"/>
    <n v="15"/>
    <n v="0"/>
    <n v="0"/>
    <n v="0"/>
    <n v="0"/>
    <n v="0"/>
    <n v="0"/>
    <n v="1"/>
    <n v="16"/>
    <n v="2025"/>
    <x v="1"/>
    <x v="2"/>
    <x v="1"/>
  </r>
  <r>
    <x v="1"/>
    <x v="65"/>
    <x v="1"/>
    <x v="17"/>
    <n v="834"/>
    <n v="498"/>
    <n v="10"/>
    <n v="1"/>
    <n v="0"/>
    <n v="0"/>
    <n v="0"/>
    <n v="0"/>
    <n v="0"/>
    <n v="834"/>
    <n v="2025"/>
    <x v="1"/>
    <x v="2"/>
    <x v="1"/>
  </r>
  <r>
    <x v="1"/>
    <x v="65"/>
    <x v="1"/>
    <x v="18"/>
    <n v="7"/>
    <n v="6"/>
    <n v="0"/>
    <n v="1"/>
    <n v="2750"/>
    <n v="1"/>
    <n v="2750"/>
    <n v="1"/>
    <n v="2"/>
    <n v="7"/>
    <n v="2025"/>
    <x v="1"/>
    <x v="2"/>
    <x v="1"/>
  </r>
  <r>
    <x v="1"/>
    <x v="65"/>
    <x v="1"/>
    <x v="19"/>
    <n v="545"/>
    <n v="361"/>
    <n v="41"/>
    <n v="11"/>
    <n v="52435"/>
    <n v="14"/>
    <n v="47950"/>
    <n v="14"/>
    <n v="256"/>
    <n v="342"/>
    <n v="2025"/>
    <x v="1"/>
    <x v="2"/>
    <x v="1"/>
  </r>
  <r>
    <x v="1"/>
    <x v="65"/>
    <x v="1"/>
    <x v="20"/>
    <n v="17"/>
    <n v="13"/>
    <n v="1"/>
    <n v="0"/>
    <n v="0"/>
    <n v="0"/>
    <n v="0"/>
    <n v="0"/>
    <n v="4"/>
    <n v="17"/>
    <n v="2025"/>
    <x v="1"/>
    <x v="2"/>
    <x v="1"/>
  </r>
  <r>
    <x v="1"/>
    <x v="65"/>
    <x v="1"/>
    <x v="22"/>
    <n v="3"/>
    <n v="2"/>
    <n v="0"/>
    <n v="0"/>
    <n v="0"/>
    <n v="0"/>
    <n v="0"/>
    <n v="0"/>
    <n v="1"/>
    <n v="1"/>
    <n v="2025"/>
    <x v="1"/>
    <x v="2"/>
    <x v="1"/>
  </r>
  <r>
    <x v="1"/>
    <x v="65"/>
    <x v="1"/>
    <x v="24"/>
    <n v="12"/>
    <n v="7"/>
    <n v="0"/>
    <n v="0"/>
    <n v="0"/>
    <n v="0"/>
    <n v="0"/>
    <n v="0"/>
    <n v="5"/>
    <n v="7"/>
    <n v="2025"/>
    <x v="1"/>
    <x v="2"/>
    <x v="1"/>
  </r>
  <r>
    <x v="1"/>
    <x v="65"/>
    <x v="1"/>
    <x v="27"/>
    <n v="97"/>
    <n v="55"/>
    <n v="10"/>
    <n v="1"/>
    <n v="26192"/>
    <n v="7"/>
    <n v="20202"/>
    <n v="7"/>
    <n v="39"/>
    <n v="86"/>
    <n v="2025"/>
    <x v="1"/>
    <x v="2"/>
    <x v="1"/>
  </r>
  <r>
    <x v="1"/>
    <x v="65"/>
    <x v="1"/>
    <x v="29"/>
    <n v="516"/>
    <n v="432"/>
    <n v="22"/>
    <n v="4"/>
    <n v="8785"/>
    <n v="2"/>
    <n v="1490"/>
    <n v="1"/>
    <n v="291"/>
    <n v="312"/>
    <n v="2025"/>
    <x v="1"/>
    <x v="2"/>
    <x v="1"/>
  </r>
  <r>
    <x v="1"/>
    <x v="65"/>
    <x v="1"/>
    <x v="30"/>
    <n v="1187"/>
    <n v="854"/>
    <n v="20"/>
    <n v="3"/>
    <n v="23200"/>
    <n v="7"/>
    <n v="12470"/>
    <n v="6"/>
    <n v="78"/>
    <n v="826"/>
    <n v="2025"/>
    <x v="1"/>
    <x v="2"/>
    <x v="1"/>
  </r>
  <r>
    <x v="1"/>
    <x v="65"/>
    <x v="1"/>
    <x v="31"/>
    <n v="120"/>
    <n v="97"/>
    <n v="10"/>
    <n v="6"/>
    <n v="3850"/>
    <n v="1"/>
    <n v="3850"/>
    <n v="1"/>
    <n v="14"/>
    <n v="120"/>
    <n v="2025"/>
    <x v="1"/>
    <x v="2"/>
    <x v="1"/>
  </r>
  <r>
    <x v="1"/>
    <x v="65"/>
    <x v="1"/>
    <x v="32"/>
    <n v="2"/>
    <n v="1"/>
    <n v="1"/>
    <n v="0"/>
    <n v="1967.63"/>
    <n v="1"/>
    <n v="1967.63"/>
    <n v="1"/>
    <n v="2"/>
    <n v="2"/>
    <n v="2025"/>
    <x v="1"/>
    <x v="2"/>
    <x v="1"/>
  </r>
  <r>
    <x v="1"/>
    <x v="65"/>
    <x v="1"/>
    <x v="34"/>
    <n v="169"/>
    <n v="89"/>
    <n v="13"/>
    <n v="5"/>
    <n v="5990"/>
    <n v="1"/>
    <n v="2995"/>
    <n v="1"/>
    <n v="67"/>
    <n v="138"/>
    <n v="2025"/>
    <x v="1"/>
    <x v="2"/>
    <x v="1"/>
  </r>
  <r>
    <x v="1"/>
    <x v="65"/>
    <x v="1"/>
    <x v="38"/>
    <n v="127"/>
    <n v="39"/>
    <n v="10"/>
    <n v="3"/>
    <n v="30569"/>
    <n v="9"/>
    <n v="23089"/>
    <n v="9"/>
    <n v="32"/>
    <n v="121"/>
    <n v="2025"/>
    <x v="1"/>
    <x v="2"/>
    <x v="1"/>
  </r>
  <r>
    <x v="1"/>
    <x v="65"/>
    <x v="1"/>
    <x v="60"/>
    <n v="7"/>
    <n v="7"/>
    <n v="0"/>
    <n v="0"/>
    <n v="0"/>
    <n v="0"/>
    <n v="0"/>
    <n v="0"/>
    <n v="0"/>
    <n v="7"/>
    <n v="2025"/>
    <x v="1"/>
    <x v="2"/>
    <x v="1"/>
  </r>
  <r>
    <x v="1"/>
    <x v="65"/>
    <x v="1"/>
    <x v="64"/>
    <n v="360"/>
    <n v="241"/>
    <n v="15"/>
    <n v="3"/>
    <n v="11319"/>
    <n v="4"/>
    <n v="11319"/>
    <n v="4"/>
    <n v="51"/>
    <n v="355"/>
    <n v="2025"/>
    <x v="1"/>
    <x v="2"/>
    <x v="1"/>
  </r>
  <r>
    <x v="1"/>
    <x v="65"/>
    <x v="1"/>
    <x v="43"/>
    <n v="89"/>
    <n v="53"/>
    <n v="4"/>
    <n v="1"/>
    <n v="2298"/>
    <n v="1"/>
    <n v="2298"/>
    <n v="1"/>
    <n v="62"/>
    <n v="66"/>
    <n v="2025"/>
    <x v="1"/>
    <x v="2"/>
    <x v="1"/>
  </r>
  <r>
    <x v="1"/>
    <x v="65"/>
    <x v="1"/>
    <x v="44"/>
    <n v="22"/>
    <n v="3"/>
    <n v="1"/>
    <n v="0"/>
    <n v="9068"/>
    <n v="3"/>
    <n v="9068"/>
    <n v="3"/>
    <n v="0"/>
    <n v="22"/>
    <n v="2025"/>
    <x v="1"/>
    <x v="2"/>
    <x v="1"/>
  </r>
  <r>
    <x v="1"/>
    <x v="66"/>
    <x v="0"/>
    <x v="0"/>
    <n v="775"/>
    <n v="148"/>
    <n v="4"/>
    <n v="0"/>
    <n v="5445.19"/>
    <n v="1"/>
    <n v="5445.19"/>
    <n v="1"/>
    <n v="9"/>
    <n v="761"/>
    <n v="2024"/>
    <x v="0"/>
    <x v="0"/>
    <x v="1"/>
  </r>
  <r>
    <x v="1"/>
    <x v="66"/>
    <x v="0"/>
    <x v="1"/>
    <n v="14328"/>
    <n v="7545"/>
    <n v="186"/>
    <n v="69"/>
    <n v="248081.7"/>
    <n v="57"/>
    <n v="169976.5"/>
    <n v="47"/>
    <n v="589"/>
    <n v="14294"/>
    <n v="2024"/>
    <x v="0"/>
    <x v="0"/>
    <x v="1"/>
  </r>
  <r>
    <x v="1"/>
    <x v="66"/>
    <x v="0"/>
    <x v="2"/>
    <n v="2546"/>
    <n v="2129"/>
    <n v="10"/>
    <n v="4"/>
    <n v="7445"/>
    <n v="3"/>
    <n v="7445"/>
    <n v="3"/>
    <n v="2546"/>
    <n v="546"/>
    <n v="2024"/>
    <x v="0"/>
    <x v="0"/>
    <x v="1"/>
  </r>
  <r>
    <x v="1"/>
    <x v="66"/>
    <x v="0"/>
    <x v="3"/>
    <n v="11278"/>
    <n v="8239"/>
    <n v="5"/>
    <n v="2"/>
    <n v="0"/>
    <n v="0"/>
    <n v="0"/>
    <n v="0"/>
    <n v="37"/>
    <n v="2535"/>
    <n v="2024"/>
    <x v="0"/>
    <x v="0"/>
    <x v="1"/>
  </r>
  <r>
    <x v="1"/>
    <x v="66"/>
    <x v="1"/>
    <x v="5"/>
    <n v="6"/>
    <n v="4"/>
    <n v="0"/>
    <n v="0"/>
    <n v="0"/>
    <n v="0"/>
    <n v="0"/>
    <n v="0"/>
    <n v="0"/>
    <n v="6"/>
    <n v="2024"/>
    <x v="0"/>
    <x v="0"/>
    <x v="1"/>
  </r>
  <r>
    <x v="1"/>
    <x v="66"/>
    <x v="1"/>
    <x v="6"/>
    <n v="2289"/>
    <n v="1990"/>
    <n v="0"/>
    <n v="0"/>
    <n v="0"/>
    <n v="0"/>
    <n v="0"/>
    <n v="0"/>
    <n v="3"/>
    <n v="9"/>
    <n v="2024"/>
    <x v="0"/>
    <x v="0"/>
    <x v="1"/>
  </r>
  <r>
    <x v="1"/>
    <x v="66"/>
    <x v="1"/>
    <x v="7"/>
    <n v="380"/>
    <n v="145"/>
    <n v="50"/>
    <n v="0"/>
    <n v="224947.48"/>
    <n v="66"/>
    <n v="199395"/>
    <n v="63"/>
    <n v="106"/>
    <n v="355"/>
    <n v="2024"/>
    <x v="0"/>
    <x v="0"/>
    <x v="1"/>
  </r>
  <r>
    <x v="1"/>
    <x v="66"/>
    <x v="1"/>
    <x v="8"/>
    <n v="17"/>
    <n v="5"/>
    <n v="0"/>
    <n v="0"/>
    <n v="0"/>
    <n v="0"/>
    <n v="0"/>
    <n v="0"/>
    <n v="0"/>
    <n v="7"/>
    <n v="2024"/>
    <x v="0"/>
    <x v="0"/>
    <x v="1"/>
  </r>
  <r>
    <x v="1"/>
    <x v="66"/>
    <x v="1"/>
    <x v="9"/>
    <n v="1"/>
    <n v="0"/>
    <n v="0"/>
    <n v="0"/>
    <n v="0"/>
    <n v="0"/>
    <n v="0"/>
    <n v="0"/>
    <n v="0"/>
    <n v="1"/>
    <n v="2024"/>
    <x v="0"/>
    <x v="0"/>
    <x v="1"/>
  </r>
  <r>
    <x v="1"/>
    <x v="66"/>
    <x v="1"/>
    <x v="10"/>
    <n v="513"/>
    <n v="368"/>
    <n v="3"/>
    <n v="4"/>
    <n v="3350"/>
    <n v="1"/>
    <n v="3350"/>
    <n v="1"/>
    <n v="116"/>
    <n v="432"/>
    <n v="2024"/>
    <x v="0"/>
    <x v="0"/>
    <x v="1"/>
  </r>
  <r>
    <x v="1"/>
    <x v="66"/>
    <x v="1"/>
    <x v="11"/>
    <n v="2"/>
    <n v="2"/>
    <n v="0"/>
    <n v="0"/>
    <n v="0"/>
    <n v="0"/>
    <n v="0"/>
    <n v="0"/>
    <n v="1"/>
    <n v="1"/>
    <n v="2024"/>
    <x v="0"/>
    <x v="0"/>
    <x v="1"/>
  </r>
  <r>
    <x v="1"/>
    <x v="66"/>
    <x v="1"/>
    <x v="13"/>
    <n v="14"/>
    <n v="9"/>
    <n v="0"/>
    <n v="0"/>
    <n v="0"/>
    <n v="0"/>
    <n v="0"/>
    <n v="0"/>
    <n v="0"/>
    <n v="14"/>
    <n v="2024"/>
    <x v="0"/>
    <x v="0"/>
    <x v="1"/>
  </r>
  <r>
    <x v="1"/>
    <x v="66"/>
    <x v="1"/>
    <x v="59"/>
    <n v="1791"/>
    <n v="1055"/>
    <n v="5"/>
    <n v="9"/>
    <n v="7342"/>
    <n v="4"/>
    <n v="7342"/>
    <n v="4"/>
    <n v="54"/>
    <n v="321"/>
    <n v="2024"/>
    <x v="0"/>
    <x v="0"/>
    <x v="1"/>
  </r>
  <r>
    <x v="1"/>
    <x v="66"/>
    <x v="1"/>
    <x v="15"/>
    <n v="12"/>
    <n v="10"/>
    <n v="0"/>
    <n v="0"/>
    <n v="0"/>
    <n v="0"/>
    <n v="0"/>
    <n v="0"/>
    <n v="1"/>
    <n v="12"/>
    <n v="2024"/>
    <x v="0"/>
    <x v="0"/>
    <x v="1"/>
  </r>
  <r>
    <x v="1"/>
    <x v="66"/>
    <x v="1"/>
    <x v="17"/>
    <n v="5"/>
    <n v="5"/>
    <n v="0"/>
    <n v="0"/>
    <n v="0"/>
    <n v="0"/>
    <n v="0"/>
    <n v="0"/>
    <n v="1"/>
    <n v="4"/>
    <n v="2024"/>
    <x v="0"/>
    <x v="0"/>
    <x v="1"/>
  </r>
  <r>
    <x v="1"/>
    <x v="66"/>
    <x v="1"/>
    <x v="18"/>
    <n v="12"/>
    <n v="11"/>
    <n v="3"/>
    <n v="0"/>
    <n v="7129.38"/>
    <n v="2"/>
    <n v="7129.38"/>
    <n v="2"/>
    <n v="2"/>
    <n v="11"/>
    <n v="2024"/>
    <x v="0"/>
    <x v="0"/>
    <x v="1"/>
  </r>
  <r>
    <x v="1"/>
    <x v="66"/>
    <x v="1"/>
    <x v="19"/>
    <n v="526"/>
    <n v="257"/>
    <n v="15"/>
    <n v="2"/>
    <n v="56271.21"/>
    <n v="19"/>
    <n v="45823.93"/>
    <n v="18"/>
    <n v="238"/>
    <n v="367"/>
    <n v="2024"/>
    <x v="0"/>
    <x v="0"/>
    <x v="1"/>
  </r>
  <r>
    <x v="1"/>
    <x v="66"/>
    <x v="1"/>
    <x v="20"/>
    <n v="11"/>
    <n v="6"/>
    <n v="0"/>
    <n v="0"/>
    <n v="2447.19"/>
    <n v="1"/>
    <n v="2447.19"/>
    <n v="1"/>
    <n v="1"/>
    <n v="10"/>
    <n v="2024"/>
    <x v="0"/>
    <x v="0"/>
    <x v="1"/>
  </r>
  <r>
    <x v="1"/>
    <x v="66"/>
    <x v="1"/>
    <x v="21"/>
    <n v="5"/>
    <n v="3"/>
    <n v="0"/>
    <n v="1"/>
    <n v="2956.4"/>
    <n v="1"/>
    <n v="1478.2"/>
    <n v="1"/>
    <n v="2"/>
    <n v="5"/>
    <n v="2024"/>
    <x v="0"/>
    <x v="0"/>
    <x v="1"/>
  </r>
  <r>
    <x v="1"/>
    <x v="66"/>
    <x v="1"/>
    <x v="22"/>
    <n v="1"/>
    <n v="0"/>
    <n v="0"/>
    <n v="0"/>
    <n v="0"/>
    <n v="0"/>
    <n v="0"/>
    <n v="0"/>
    <n v="0"/>
    <n v="0"/>
    <n v="2024"/>
    <x v="0"/>
    <x v="0"/>
    <x v="1"/>
  </r>
  <r>
    <x v="1"/>
    <x v="66"/>
    <x v="1"/>
    <x v="24"/>
    <n v="55"/>
    <n v="22"/>
    <n v="6"/>
    <n v="0"/>
    <n v="7919"/>
    <n v="2"/>
    <n v="7919"/>
    <n v="2"/>
    <n v="9"/>
    <n v="49"/>
    <n v="2024"/>
    <x v="0"/>
    <x v="0"/>
    <x v="1"/>
  </r>
  <r>
    <x v="1"/>
    <x v="66"/>
    <x v="1"/>
    <x v="27"/>
    <n v="177"/>
    <n v="63"/>
    <n v="6"/>
    <n v="2"/>
    <n v="25416.38"/>
    <n v="8"/>
    <n v="25416.38"/>
    <n v="8"/>
    <n v="38"/>
    <n v="168"/>
    <n v="2024"/>
    <x v="0"/>
    <x v="0"/>
    <x v="1"/>
  </r>
  <r>
    <x v="1"/>
    <x v="66"/>
    <x v="1"/>
    <x v="29"/>
    <n v="843"/>
    <n v="660"/>
    <n v="104"/>
    <n v="15"/>
    <n v="139827"/>
    <n v="43"/>
    <n v="123958"/>
    <n v="39"/>
    <n v="217"/>
    <n v="771"/>
    <n v="2024"/>
    <x v="0"/>
    <x v="0"/>
    <x v="1"/>
  </r>
  <r>
    <x v="1"/>
    <x v="66"/>
    <x v="1"/>
    <x v="30"/>
    <n v="1615"/>
    <n v="828"/>
    <n v="36"/>
    <n v="12"/>
    <n v="41594.379999999997"/>
    <n v="15"/>
    <n v="35003.379999999997"/>
    <n v="12"/>
    <n v="193"/>
    <n v="1414"/>
    <n v="2024"/>
    <x v="0"/>
    <x v="0"/>
    <x v="1"/>
  </r>
  <r>
    <x v="1"/>
    <x v="66"/>
    <x v="1"/>
    <x v="31"/>
    <n v="93"/>
    <n v="77"/>
    <n v="2"/>
    <n v="0"/>
    <n v="1303"/>
    <n v="1"/>
    <n v="1303"/>
    <n v="1"/>
    <n v="16"/>
    <n v="89"/>
    <n v="2024"/>
    <x v="0"/>
    <x v="0"/>
    <x v="1"/>
  </r>
  <r>
    <x v="1"/>
    <x v="66"/>
    <x v="1"/>
    <x v="32"/>
    <n v="1"/>
    <n v="1"/>
    <n v="0"/>
    <n v="0"/>
    <n v="0"/>
    <n v="0"/>
    <n v="0"/>
    <n v="0"/>
    <n v="1"/>
    <n v="1"/>
    <n v="2024"/>
    <x v="0"/>
    <x v="0"/>
    <x v="1"/>
  </r>
  <r>
    <x v="1"/>
    <x v="66"/>
    <x v="1"/>
    <x v="34"/>
    <n v="116"/>
    <n v="60"/>
    <n v="1"/>
    <n v="4"/>
    <n v="6389.19"/>
    <n v="3"/>
    <n v="6389.19"/>
    <n v="3"/>
    <n v="49"/>
    <n v="92"/>
    <n v="2024"/>
    <x v="0"/>
    <x v="0"/>
    <x v="1"/>
  </r>
  <r>
    <x v="1"/>
    <x v="66"/>
    <x v="1"/>
    <x v="37"/>
    <n v="346"/>
    <n v="184"/>
    <n v="2"/>
    <n v="0"/>
    <n v="16389"/>
    <n v="2"/>
    <n v="8846"/>
    <n v="2"/>
    <n v="33"/>
    <n v="341"/>
    <n v="2024"/>
    <x v="0"/>
    <x v="0"/>
    <x v="1"/>
  </r>
  <r>
    <x v="1"/>
    <x v="66"/>
    <x v="1"/>
    <x v="38"/>
    <n v="313"/>
    <n v="119"/>
    <n v="27"/>
    <n v="3"/>
    <n v="106719.26"/>
    <n v="25"/>
    <n v="83655.56"/>
    <n v="23"/>
    <n v="88"/>
    <n v="292"/>
    <n v="2024"/>
    <x v="0"/>
    <x v="0"/>
    <x v="1"/>
  </r>
  <r>
    <x v="1"/>
    <x v="66"/>
    <x v="1"/>
    <x v="39"/>
    <n v="1"/>
    <n v="1"/>
    <n v="0"/>
    <n v="0"/>
    <n v="0"/>
    <n v="0"/>
    <n v="0"/>
    <n v="0"/>
    <n v="0"/>
    <n v="1"/>
    <n v="2024"/>
    <x v="0"/>
    <x v="0"/>
    <x v="1"/>
  </r>
  <r>
    <x v="1"/>
    <x v="66"/>
    <x v="1"/>
    <x v="40"/>
    <n v="8"/>
    <n v="8"/>
    <n v="1"/>
    <n v="0"/>
    <n v="0"/>
    <n v="0"/>
    <n v="0"/>
    <n v="0"/>
    <n v="2"/>
    <n v="8"/>
    <n v="2024"/>
    <x v="0"/>
    <x v="0"/>
    <x v="1"/>
  </r>
  <r>
    <x v="1"/>
    <x v="66"/>
    <x v="1"/>
    <x v="41"/>
    <n v="7"/>
    <n v="2"/>
    <n v="0"/>
    <n v="0"/>
    <n v="0"/>
    <n v="0"/>
    <n v="0"/>
    <n v="0"/>
    <n v="1"/>
    <n v="6"/>
    <n v="2024"/>
    <x v="0"/>
    <x v="0"/>
    <x v="1"/>
  </r>
  <r>
    <x v="1"/>
    <x v="66"/>
    <x v="1"/>
    <x v="42"/>
    <n v="77"/>
    <n v="42"/>
    <n v="2"/>
    <n v="1"/>
    <n v="1917"/>
    <n v="1"/>
    <n v="1917"/>
    <n v="1"/>
    <n v="9"/>
    <n v="69"/>
    <n v="2024"/>
    <x v="0"/>
    <x v="0"/>
    <x v="1"/>
  </r>
  <r>
    <x v="1"/>
    <x v="66"/>
    <x v="1"/>
    <x v="43"/>
    <n v="101"/>
    <n v="55"/>
    <n v="1"/>
    <n v="0"/>
    <n v="4793"/>
    <n v="2"/>
    <n v="4793"/>
    <n v="2"/>
    <n v="88"/>
    <n v="42"/>
    <n v="2024"/>
    <x v="0"/>
    <x v="0"/>
    <x v="1"/>
  </r>
  <r>
    <x v="1"/>
    <x v="66"/>
    <x v="1"/>
    <x v="44"/>
    <n v="34"/>
    <n v="11"/>
    <n v="1"/>
    <n v="0"/>
    <n v="22665"/>
    <n v="7"/>
    <n v="22665"/>
    <n v="7"/>
    <n v="1"/>
    <n v="34"/>
    <n v="2024"/>
    <x v="0"/>
    <x v="0"/>
    <x v="1"/>
  </r>
  <r>
    <x v="1"/>
    <x v="66"/>
    <x v="1"/>
    <x v="45"/>
    <n v="2"/>
    <n v="1"/>
    <n v="0"/>
    <n v="0"/>
    <n v="0"/>
    <n v="0"/>
    <n v="0"/>
    <n v="0"/>
    <n v="0"/>
    <n v="2"/>
    <n v="2024"/>
    <x v="0"/>
    <x v="0"/>
    <x v="1"/>
  </r>
  <r>
    <x v="1"/>
    <x v="67"/>
    <x v="0"/>
    <x v="0"/>
    <n v="844"/>
    <n v="156"/>
    <n v="8"/>
    <n v="2"/>
    <n v="11142.59"/>
    <n v="3"/>
    <n v="5649.59"/>
    <n v="2"/>
    <n v="14"/>
    <n v="829"/>
    <n v="2024"/>
    <x v="0"/>
    <x v="0"/>
    <x v="1"/>
  </r>
  <r>
    <x v="1"/>
    <x v="67"/>
    <x v="0"/>
    <x v="1"/>
    <n v="17573"/>
    <n v="9526"/>
    <n v="173"/>
    <n v="112"/>
    <n v="189536"/>
    <n v="45"/>
    <n v="129746"/>
    <n v="37"/>
    <n v="697"/>
    <n v="17534"/>
    <n v="2024"/>
    <x v="0"/>
    <x v="0"/>
    <x v="1"/>
  </r>
  <r>
    <x v="1"/>
    <x v="67"/>
    <x v="0"/>
    <x v="2"/>
    <n v="2607"/>
    <n v="2175"/>
    <n v="15"/>
    <n v="2"/>
    <n v="3598"/>
    <n v="3"/>
    <n v="2778"/>
    <n v="2"/>
    <n v="2607"/>
    <n v="472"/>
    <n v="2024"/>
    <x v="0"/>
    <x v="0"/>
    <x v="1"/>
  </r>
  <r>
    <x v="1"/>
    <x v="67"/>
    <x v="0"/>
    <x v="3"/>
    <n v="14923"/>
    <n v="11549"/>
    <n v="3"/>
    <n v="0"/>
    <n v="0"/>
    <n v="0"/>
    <n v="0"/>
    <n v="0"/>
    <n v="44"/>
    <n v="5545"/>
    <n v="2024"/>
    <x v="0"/>
    <x v="0"/>
    <x v="1"/>
  </r>
  <r>
    <x v="1"/>
    <x v="67"/>
    <x v="1"/>
    <x v="5"/>
    <n v="5"/>
    <n v="3"/>
    <n v="0"/>
    <n v="0"/>
    <n v="0"/>
    <n v="0"/>
    <n v="0"/>
    <n v="0"/>
    <n v="0"/>
    <n v="5"/>
    <n v="2024"/>
    <x v="0"/>
    <x v="0"/>
    <x v="1"/>
  </r>
  <r>
    <x v="1"/>
    <x v="67"/>
    <x v="1"/>
    <x v="6"/>
    <n v="630"/>
    <n v="582"/>
    <n v="0"/>
    <n v="0"/>
    <n v="0"/>
    <n v="0"/>
    <n v="0"/>
    <n v="0"/>
    <n v="5"/>
    <n v="4"/>
    <n v="2024"/>
    <x v="0"/>
    <x v="0"/>
    <x v="1"/>
  </r>
  <r>
    <x v="1"/>
    <x v="67"/>
    <x v="1"/>
    <x v="7"/>
    <n v="323"/>
    <n v="121"/>
    <n v="30"/>
    <n v="2"/>
    <n v="120171.09"/>
    <n v="33"/>
    <n v="114653.09"/>
    <n v="32"/>
    <n v="79"/>
    <n v="303"/>
    <n v="2024"/>
    <x v="0"/>
    <x v="0"/>
    <x v="1"/>
  </r>
  <r>
    <x v="1"/>
    <x v="67"/>
    <x v="1"/>
    <x v="8"/>
    <n v="13"/>
    <n v="3"/>
    <n v="0"/>
    <n v="0"/>
    <n v="0"/>
    <n v="0"/>
    <n v="0"/>
    <n v="0"/>
    <n v="0"/>
    <n v="7"/>
    <n v="2024"/>
    <x v="0"/>
    <x v="0"/>
    <x v="1"/>
  </r>
  <r>
    <x v="1"/>
    <x v="67"/>
    <x v="1"/>
    <x v="9"/>
    <n v="4"/>
    <n v="2"/>
    <n v="0"/>
    <n v="0"/>
    <n v="0"/>
    <n v="0"/>
    <n v="0"/>
    <n v="0"/>
    <n v="1"/>
    <n v="4"/>
    <n v="2024"/>
    <x v="0"/>
    <x v="0"/>
    <x v="1"/>
  </r>
  <r>
    <x v="1"/>
    <x v="67"/>
    <x v="1"/>
    <x v="10"/>
    <n v="666"/>
    <n v="495"/>
    <n v="4"/>
    <n v="5"/>
    <n v="0"/>
    <n v="0"/>
    <n v="0"/>
    <n v="0"/>
    <n v="120"/>
    <n v="555"/>
    <n v="2024"/>
    <x v="0"/>
    <x v="0"/>
    <x v="1"/>
  </r>
  <r>
    <x v="1"/>
    <x v="67"/>
    <x v="1"/>
    <x v="11"/>
    <n v="3"/>
    <n v="3"/>
    <n v="0"/>
    <n v="0"/>
    <n v="0"/>
    <n v="0"/>
    <n v="0"/>
    <n v="0"/>
    <n v="0"/>
    <n v="3"/>
    <n v="2024"/>
    <x v="0"/>
    <x v="0"/>
    <x v="1"/>
  </r>
  <r>
    <x v="1"/>
    <x v="67"/>
    <x v="1"/>
    <x v="13"/>
    <n v="16"/>
    <n v="12"/>
    <n v="1"/>
    <n v="0"/>
    <n v="0"/>
    <n v="0"/>
    <n v="0"/>
    <n v="0"/>
    <n v="0"/>
    <n v="16"/>
    <n v="2024"/>
    <x v="0"/>
    <x v="0"/>
    <x v="1"/>
  </r>
  <r>
    <x v="1"/>
    <x v="67"/>
    <x v="1"/>
    <x v="59"/>
    <n v="3070"/>
    <n v="2483"/>
    <n v="13"/>
    <n v="5"/>
    <n v="30645.77"/>
    <n v="6"/>
    <n v="29847.77"/>
    <n v="6"/>
    <n v="69"/>
    <n v="401"/>
    <n v="2024"/>
    <x v="0"/>
    <x v="0"/>
    <x v="1"/>
  </r>
  <r>
    <x v="1"/>
    <x v="67"/>
    <x v="1"/>
    <x v="15"/>
    <n v="4"/>
    <n v="4"/>
    <n v="0"/>
    <n v="0"/>
    <n v="0"/>
    <n v="0"/>
    <n v="0"/>
    <n v="0"/>
    <n v="1"/>
    <n v="4"/>
    <n v="2024"/>
    <x v="0"/>
    <x v="0"/>
    <x v="1"/>
  </r>
  <r>
    <x v="1"/>
    <x v="67"/>
    <x v="1"/>
    <x v="17"/>
    <n v="1"/>
    <n v="1"/>
    <n v="0"/>
    <n v="0"/>
    <n v="0"/>
    <n v="0"/>
    <n v="0"/>
    <n v="0"/>
    <n v="0"/>
    <n v="1"/>
    <n v="2024"/>
    <x v="0"/>
    <x v="0"/>
    <x v="1"/>
  </r>
  <r>
    <x v="1"/>
    <x v="67"/>
    <x v="1"/>
    <x v="18"/>
    <n v="7"/>
    <n v="4"/>
    <n v="2"/>
    <n v="0"/>
    <n v="6577.5"/>
    <n v="2"/>
    <n v="6577.5"/>
    <n v="2"/>
    <n v="0"/>
    <n v="7"/>
    <n v="2024"/>
    <x v="0"/>
    <x v="0"/>
    <x v="1"/>
  </r>
  <r>
    <x v="1"/>
    <x v="67"/>
    <x v="1"/>
    <x v="19"/>
    <n v="606"/>
    <n v="343"/>
    <n v="19"/>
    <n v="6"/>
    <n v="25657"/>
    <n v="12"/>
    <n v="22722"/>
    <n v="11"/>
    <n v="261"/>
    <n v="416"/>
    <n v="2024"/>
    <x v="0"/>
    <x v="0"/>
    <x v="1"/>
  </r>
  <r>
    <x v="1"/>
    <x v="67"/>
    <x v="1"/>
    <x v="20"/>
    <n v="8"/>
    <n v="4"/>
    <n v="1"/>
    <n v="0"/>
    <n v="0"/>
    <n v="0"/>
    <n v="0"/>
    <n v="0"/>
    <n v="2"/>
    <n v="8"/>
    <n v="2024"/>
    <x v="0"/>
    <x v="0"/>
    <x v="1"/>
  </r>
  <r>
    <x v="1"/>
    <x v="67"/>
    <x v="1"/>
    <x v="21"/>
    <n v="3"/>
    <n v="0"/>
    <n v="0"/>
    <n v="0"/>
    <n v="0"/>
    <n v="0"/>
    <n v="0"/>
    <n v="0"/>
    <n v="1"/>
    <n v="3"/>
    <n v="2024"/>
    <x v="0"/>
    <x v="0"/>
    <x v="1"/>
  </r>
  <r>
    <x v="1"/>
    <x v="67"/>
    <x v="1"/>
    <x v="22"/>
    <n v="6"/>
    <n v="4"/>
    <n v="0"/>
    <n v="0"/>
    <n v="0"/>
    <n v="0"/>
    <n v="0"/>
    <n v="0"/>
    <n v="0"/>
    <n v="0"/>
    <n v="2024"/>
    <x v="0"/>
    <x v="0"/>
    <x v="1"/>
  </r>
  <r>
    <x v="1"/>
    <x v="67"/>
    <x v="1"/>
    <x v="24"/>
    <n v="33"/>
    <n v="18"/>
    <n v="4"/>
    <n v="0"/>
    <n v="7910"/>
    <n v="2"/>
    <n v="3980"/>
    <n v="1"/>
    <n v="10"/>
    <n v="26"/>
    <n v="2024"/>
    <x v="0"/>
    <x v="0"/>
    <x v="1"/>
  </r>
  <r>
    <x v="1"/>
    <x v="67"/>
    <x v="1"/>
    <x v="27"/>
    <n v="210"/>
    <n v="93"/>
    <n v="17"/>
    <n v="2"/>
    <n v="11872"/>
    <n v="6"/>
    <n v="9576"/>
    <n v="5"/>
    <n v="44"/>
    <n v="206"/>
    <n v="2024"/>
    <x v="0"/>
    <x v="0"/>
    <x v="1"/>
  </r>
  <r>
    <x v="1"/>
    <x v="67"/>
    <x v="1"/>
    <x v="29"/>
    <n v="815"/>
    <n v="620"/>
    <n v="91"/>
    <n v="10"/>
    <n v="119566.79"/>
    <n v="34"/>
    <n v="85170.29"/>
    <n v="28"/>
    <n v="207"/>
    <n v="738"/>
    <n v="2024"/>
    <x v="0"/>
    <x v="0"/>
    <x v="1"/>
  </r>
  <r>
    <x v="1"/>
    <x v="67"/>
    <x v="1"/>
    <x v="30"/>
    <n v="1918"/>
    <n v="1099"/>
    <n v="41"/>
    <n v="6"/>
    <n v="15583"/>
    <n v="7"/>
    <n v="8850"/>
    <n v="3"/>
    <n v="168"/>
    <n v="1567"/>
    <n v="2024"/>
    <x v="0"/>
    <x v="0"/>
    <x v="1"/>
  </r>
  <r>
    <x v="1"/>
    <x v="67"/>
    <x v="1"/>
    <x v="31"/>
    <n v="114"/>
    <n v="92"/>
    <n v="3"/>
    <n v="3"/>
    <n v="0"/>
    <n v="0"/>
    <n v="0"/>
    <n v="0"/>
    <n v="16"/>
    <n v="109"/>
    <n v="2024"/>
    <x v="0"/>
    <x v="0"/>
    <x v="1"/>
  </r>
  <r>
    <x v="1"/>
    <x v="67"/>
    <x v="1"/>
    <x v="32"/>
    <n v="4"/>
    <n v="2"/>
    <n v="0"/>
    <n v="0"/>
    <n v="0"/>
    <n v="0"/>
    <n v="0"/>
    <n v="0"/>
    <n v="2"/>
    <n v="4"/>
    <n v="2024"/>
    <x v="0"/>
    <x v="0"/>
    <x v="1"/>
  </r>
  <r>
    <x v="1"/>
    <x v="67"/>
    <x v="1"/>
    <x v="33"/>
    <n v="1"/>
    <n v="1"/>
    <n v="0"/>
    <n v="0"/>
    <n v="0"/>
    <n v="0"/>
    <n v="0"/>
    <n v="0"/>
    <n v="0"/>
    <n v="0"/>
    <n v="2024"/>
    <x v="0"/>
    <x v="0"/>
    <x v="1"/>
  </r>
  <r>
    <x v="1"/>
    <x v="67"/>
    <x v="1"/>
    <x v="34"/>
    <n v="106"/>
    <n v="50"/>
    <n v="5"/>
    <n v="0"/>
    <n v="8528.99"/>
    <n v="3"/>
    <n v="5833.99"/>
    <n v="3"/>
    <n v="35"/>
    <n v="83"/>
    <n v="2024"/>
    <x v="0"/>
    <x v="0"/>
    <x v="1"/>
  </r>
  <r>
    <x v="1"/>
    <x v="67"/>
    <x v="1"/>
    <x v="36"/>
    <n v="1"/>
    <n v="1"/>
    <n v="0"/>
    <n v="0"/>
    <n v="0"/>
    <n v="0"/>
    <n v="0"/>
    <n v="0"/>
    <n v="0"/>
    <n v="1"/>
    <n v="2024"/>
    <x v="0"/>
    <x v="0"/>
    <x v="1"/>
  </r>
  <r>
    <x v="1"/>
    <x v="67"/>
    <x v="1"/>
    <x v="37"/>
    <n v="415"/>
    <n v="234"/>
    <n v="2"/>
    <n v="0"/>
    <n v="9373"/>
    <n v="3"/>
    <n v="9373"/>
    <n v="3"/>
    <n v="33"/>
    <n v="410"/>
    <n v="2024"/>
    <x v="0"/>
    <x v="0"/>
    <x v="1"/>
  </r>
  <r>
    <x v="1"/>
    <x v="67"/>
    <x v="1"/>
    <x v="38"/>
    <n v="306"/>
    <n v="124"/>
    <n v="28"/>
    <n v="3"/>
    <n v="51678.18"/>
    <n v="15"/>
    <n v="43130.18"/>
    <n v="14"/>
    <n v="68"/>
    <n v="284"/>
    <n v="2024"/>
    <x v="0"/>
    <x v="0"/>
    <x v="1"/>
  </r>
  <r>
    <x v="1"/>
    <x v="67"/>
    <x v="1"/>
    <x v="40"/>
    <n v="1"/>
    <n v="0"/>
    <n v="0"/>
    <n v="0"/>
    <n v="0"/>
    <n v="0"/>
    <n v="0"/>
    <n v="0"/>
    <n v="0"/>
    <n v="1"/>
    <n v="2024"/>
    <x v="0"/>
    <x v="0"/>
    <x v="1"/>
  </r>
  <r>
    <x v="1"/>
    <x v="67"/>
    <x v="1"/>
    <x v="41"/>
    <n v="5"/>
    <n v="0"/>
    <n v="0"/>
    <n v="0"/>
    <n v="0"/>
    <n v="0"/>
    <n v="0"/>
    <n v="0"/>
    <n v="0"/>
    <n v="5"/>
    <n v="2024"/>
    <x v="0"/>
    <x v="0"/>
    <x v="1"/>
  </r>
  <r>
    <x v="1"/>
    <x v="67"/>
    <x v="1"/>
    <x v="42"/>
    <n v="87"/>
    <n v="45"/>
    <n v="3"/>
    <n v="1"/>
    <n v="0"/>
    <n v="0"/>
    <n v="0"/>
    <n v="0"/>
    <n v="13"/>
    <n v="80"/>
    <n v="2024"/>
    <x v="0"/>
    <x v="0"/>
    <x v="1"/>
  </r>
  <r>
    <x v="1"/>
    <x v="67"/>
    <x v="1"/>
    <x v="43"/>
    <n v="110"/>
    <n v="62"/>
    <n v="7"/>
    <n v="1"/>
    <n v="0"/>
    <n v="0"/>
    <n v="0"/>
    <n v="0"/>
    <n v="93"/>
    <n v="62"/>
    <n v="2024"/>
    <x v="0"/>
    <x v="0"/>
    <x v="1"/>
  </r>
  <r>
    <x v="1"/>
    <x v="67"/>
    <x v="1"/>
    <x v="44"/>
    <n v="20"/>
    <n v="5"/>
    <n v="0"/>
    <n v="0"/>
    <n v="4695"/>
    <n v="1"/>
    <n v="4695"/>
    <n v="1"/>
    <n v="0"/>
    <n v="20"/>
    <n v="2024"/>
    <x v="0"/>
    <x v="0"/>
    <x v="1"/>
  </r>
  <r>
    <x v="1"/>
    <x v="68"/>
    <x v="0"/>
    <x v="0"/>
    <n v="956"/>
    <n v="169"/>
    <n v="6"/>
    <n v="1"/>
    <n v="32434"/>
    <n v="9"/>
    <n v="30936"/>
    <n v="8"/>
    <n v="22"/>
    <n v="937"/>
    <n v="2024"/>
    <x v="0"/>
    <x v="0"/>
    <x v="1"/>
  </r>
  <r>
    <x v="1"/>
    <x v="68"/>
    <x v="0"/>
    <x v="1"/>
    <n v="20653"/>
    <n v="11952"/>
    <n v="240"/>
    <n v="127"/>
    <n v="354291.89"/>
    <n v="72"/>
    <n v="222418.5"/>
    <n v="55"/>
    <n v="858"/>
    <n v="20596"/>
    <n v="2024"/>
    <x v="0"/>
    <x v="0"/>
    <x v="1"/>
  </r>
  <r>
    <x v="1"/>
    <x v="68"/>
    <x v="0"/>
    <x v="2"/>
    <n v="2546"/>
    <n v="2068"/>
    <n v="14"/>
    <n v="7"/>
    <n v="6035"/>
    <n v="3"/>
    <n v="6035"/>
    <n v="3"/>
    <n v="2546"/>
    <n v="525"/>
    <n v="2024"/>
    <x v="0"/>
    <x v="0"/>
    <x v="1"/>
  </r>
  <r>
    <x v="1"/>
    <x v="68"/>
    <x v="0"/>
    <x v="3"/>
    <n v="10098"/>
    <n v="7344"/>
    <n v="11"/>
    <n v="0"/>
    <n v="0"/>
    <n v="0"/>
    <n v="0"/>
    <n v="0"/>
    <n v="35"/>
    <n v="2485"/>
    <n v="2024"/>
    <x v="0"/>
    <x v="0"/>
    <x v="1"/>
  </r>
  <r>
    <x v="1"/>
    <x v="68"/>
    <x v="1"/>
    <x v="5"/>
    <n v="2"/>
    <n v="2"/>
    <n v="0"/>
    <n v="0"/>
    <n v="0"/>
    <n v="0"/>
    <n v="0"/>
    <n v="0"/>
    <n v="0"/>
    <n v="2"/>
    <n v="2024"/>
    <x v="0"/>
    <x v="0"/>
    <x v="1"/>
  </r>
  <r>
    <x v="1"/>
    <x v="68"/>
    <x v="1"/>
    <x v="6"/>
    <n v="1951"/>
    <n v="1778"/>
    <n v="0"/>
    <n v="0"/>
    <n v="0"/>
    <n v="0"/>
    <n v="0"/>
    <n v="0"/>
    <n v="2"/>
    <n v="2"/>
    <n v="2024"/>
    <x v="0"/>
    <x v="0"/>
    <x v="1"/>
  </r>
  <r>
    <x v="1"/>
    <x v="68"/>
    <x v="1"/>
    <x v="7"/>
    <n v="524"/>
    <n v="211"/>
    <n v="55"/>
    <n v="3"/>
    <n v="222935"/>
    <n v="69"/>
    <n v="190813"/>
    <n v="60"/>
    <n v="128"/>
    <n v="507"/>
    <n v="2024"/>
    <x v="0"/>
    <x v="0"/>
    <x v="1"/>
  </r>
  <r>
    <x v="1"/>
    <x v="68"/>
    <x v="1"/>
    <x v="8"/>
    <n v="10"/>
    <n v="2"/>
    <n v="0"/>
    <n v="0"/>
    <n v="0"/>
    <n v="0"/>
    <n v="0"/>
    <n v="0"/>
    <n v="0"/>
    <n v="10"/>
    <n v="2024"/>
    <x v="0"/>
    <x v="0"/>
    <x v="1"/>
  </r>
  <r>
    <x v="1"/>
    <x v="68"/>
    <x v="1"/>
    <x v="10"/>
    <n v="553"/>
    <n v="386"/>
    <n v="5"/>
    <n v="2"/>
    <n v="14469.36"/>
    <n v="3"/>
    <n v="2769.36"/>
    <n v="1"/>
    <n v="84"/>
    <n v="474"/>
    <n v="2024"/>
    <x v="0"/>
    <x v="0"/>
    <x v="1"/>
  </r>
  <r>
    <x v="1"/>
    <x v="68"/>
    <x v="1"/>
    <x v="11"/>
    <n v="5"/>
    <n v="5"/>
    <n v="0"/>
    <n v="0"/>
    <n v="0"/>
    <n v="0"/>
    <n v="0"/>
    <n v="0"/>
    <n v="3"/>
    <n v="2"/>
    <n v="2024"/>
    <x v="0"/>
    <x v="0"/>
    <x v="1"/>
  </r>
  <r>
    <x v="1"/>
    <x v="68"/>
    <x v="1"/>
    <x v="13"/>
    <n v="29"/>
    <n v="21"/>
    <n v="1"/>
    <n v="0"/>
    <n v="0"/>
    <n v="0"/>
    <n v="0"/>
    <n v="0"/>
    <n v="0"/>
    <n v="29"/>
    <n v="2024"/>
    <x v="0"/>
    <x v="0"/>
    <x v="1"/>
  </r>
  <r>
    <x v="1"/>
    <x v="68"/>
    <x v="1"/>
    <x v="59"/>
    <n v="4516"/>
    <n v="3583"/>
    <n v="5"/>
    <n v="0"/>
    <n v="8979.36"/>
    <n v="3"/>
    <n v="6184.36"/>
    <n v="3"/>
    <n v="63"/>
    <n v="438"/>
    <n v="2024"/>
    <x v="0"/>
    <x v="0"/>
    <x v="1"/>
  </r>
  <r>
    <x v="1"/>
    <x v="68"/>
    <x v="1"/>
    <x v="15"/>
    <n v="18"/>
    <n v="17"/>
    <n v="0"/>
    <n v="0"/>
    <n v="0"/>
    <n v="0"/>
    <n v="0"/>
    <n v="0"/>
    <n v="1"/>
    <n v="18"/>
    <n v="2024"/>
    <x v="0"/>
    <x v="0"/>
    <x v="1"/>
  </r>
  <r>
    <x v="1"/>
    <x v="68"/>
    <x v="1"/>
    <x v="16"/>
    <n v="1"/>
    <n v="1"/>
    <n v="0"/>
    <n v="0"/>
    <n v="0"/>
    <n v="0"/>
    <n v="0"/>
    <n v="0"/>
    <n v="0"/>
    <n v="1"/>
    <n v="2024"/>
    <x v="0"/>
    <x v="0"/>
    <x v="1"/>
  </r>
  <r>
    <x v="1"/>
    <x v="68"/>
    <x v="1"/>
    <x v="17"/>
    <n v="5"/>
    <n v="5"/>
    <n v="0"/>
    <n v="0"/>
    <n v="0"/>
    <n v="0"/>
    <n v="0"/>
    <n v="0"/>
    <n v="2"/>
    <n v="3"/>
    <n v="2024"/>
    <x v="0"/>
    <x v="0"/>
    <x v="1"/>
  </r>
  <r>
    <x v="1"/>
    <x v="68"/>
    <x v="1"/>
    <x v="18"/>
    <n v="7"/>
    <n v="7"/>
    <n v="3"/>
    <n v="0"/>
    <n v="4098"/>
    <n v="2"/>
    <n v="1303"/>
    <n v="1"/>
    <n v="1"/>
    <n v="6"/>
    <n v="2024"/>
    <x v="0"/>
    <x v="0"/>
    <x v="1"/>
  </r>
  <r>
    <x v="1"/>
    <x v="68"/>
    <x v="1"/>
    <x v="19"/>
    <n v="689"/>
    <n v="396"/>
    <n v="34"/>
    <n v="4"/>
    <n v="46144.32"/>
    <n v="17"/>
    <n v="46144.32"/>
    <n v="17"/>
    <n v="340"/>
    <n v="456"/>
    <n v="2024"/>
    <x v="0"/>
    <x v="0"/>
    <x v="1"/>
  </r>
  <r>
    <x v="1"/>
    <x v="68"/>
    <x v="1"/>
    <x v="20"/>
    <n v="41"/>
    <n v="21"/>
    <n v="1"/>
    <n v="0"/>
    <n v="0"/>
    <n v="0"/>
    <n v="0"/>
    <n v="0"/>
    <n v="4"/>
    <n v="40"/>
    <n v="2024"/>
    <x v="0"/>
    <x v="0"/>
    <x v="1"/>
  </r>
  <r>
    <x v="1"/>
    <x v="68"/>
    <x v="1"/>
    <x v="21"/>
    <n v="7"/>
    <n v="4"/>
    <n v="0"/>
    <n v="1"/>
    <n v="19948"/>
    <n v="2"/>
    <n v="1498"/>
    <n v="1"/>
    <n v="2"/>
    <n v="7"/>
    <n v="2024"/>
    <x v="0"/>
    <x v="0"/>
    <x v="1"/>
  </r>
  <r>
    <x v="1"/>
    <x v="68"/>
    <x v="1"/>
    <x v="24"/>
    <n v="49"/>
    <n v="21"/>
    <n v="2"/>
    <n v="0"/>
    <n v="3310"/>
    <n v="1"/>
    <n v="3310"/>
    <n v="1"/>
    <n v="8"/>
    <n v="43"/>
    <n v="2024"/>
    <x v="0"/>
    <x v="0"/>
    <x v="1"/>
  </r>
  <r>
    <x v="1"/>
    <x v="68"/>
    <x v="1"/>
    <x v="27"/>
    <n v="88"/>
    <n v="50"/>
    <n v="15"/>
    <n v="2"/>
    <n v="36931.5"/>
    <n v="12"/>
    <n v="29441.5"/>
    <n v="11"/>
    <n v="37"/>
    <n v="78"/>
    <n v="2024"/>
    <x v="0"/>
    <x v="0"/>
    <x v="1"/>
  </r>
  <r>
    <x v="1"/>
    <x v="68"/>
    <x v="1"/>
    <x v="29"/>
    <n v="1026"/>
    <n v="799"/>
    <n v="115"/>
    <n v="7"/>
    <n v="148720.85999999999"/>
    <n v="42"/>
    <n v="134894.85999999999"/>
    <n v="38"/>
    <n v="276"/>
    <n v="915"/>
    <n v="2024"/>
    <x v="0"/>
    <x v="0"/>
    <x v="1"/>
  </r>
  <r>
    <x v="1"/>
    <x v="68"/>
    <x v="1"/>
    <x v="30"/>
    <n v="1871"/>
    <n v="949"/>
    <n v="46"/>
    <n v="19"/>
    <n v="39912"/>
    <n v="14"/>
    <n v="38187"/>
    <n v="14"/>
    <n v="186"/>
    <n v="1649"/>
    <n v="2024"/>
    <x v="0"/>
    <x v="0"/>
    <x v="1"/>
  </r>
  <r>
    <x v="1"/>
    <x v="68"/>
    <x v="1"/>
    <x v="31"/>
    <n v="145"/>
    <n v="114"/>
    <n v="2"/>
    <n v="1"/>
    <n v="4983"/>
    <n v="2"/>
    <n v="1488"/>
    <n v="1"/>
    <n v="21"/>
    <n v="143"/>
    <n v="2024"/>
    <x v="0"/>
    <x v="0"/>
    <x v="1"/>
  </r>
  <r>
    <x v="1"/>
    <x v="68"/>
    <x v="1"/>
    <x v="32"/>
    <n v="2"/>
    <n v="1"/>
    <n v="0"/>
    <n v="0"/>
    <n v="0"/>
    <n v="0"/>
    <n v="0"/>
    <n v="0"/>
    <n v="1"/>
    <n v="1"/>
    <n v="2024"/>
    <x v="0"/>
    <x v="0"/>
    <x v="1"/>
  </r>
  <r>
    <x v="1"/>
    <x v="68"/>
    <x v="1"/>
    <x v="34"/>
    <n v="118"/>
    <n v="52"/>
    <n v="5"/>
    <n v="1"/>
    <n v="8790"/>
    <n v="2"/>
    <n v="0"/>
    <n v="0"/>
    <n v="46"/>
    <n v="99"/>
    <n v="2024"/>
    <x v="0"/>
    <x v="0"/>
    <x v="1"/>
  </r>
  <r>
    <x v="1"/>
    <x v="68"/>
    <x v="1"/>
    <x v="37"/>
    <n v="494"/>
    <n v="288"/>
    <n v="2"/>
    <n v="0"/>
    <n v="21262"/>
    <n v="8"/>
    <n v="21262"/>
    <n v="8"/>
    <n v="60"/>
    <n v="487"/>
    <n v="2024"/>
    <x v="0"/>
    <x v="0"/>
    <x v="1"/>
  </r>
  <r>
    <x v="1"/>
    <x v="68"/>
    <x v="1"/>
    <x v="38"/>
    <n v="341"/>
    <n v="122"/>
    <n v="33"/>
    <n v="1"/>
    <n v="64595"/>
    <n v="16"/>
    <n v="55773"/>
    <n v="13"/>
    <n v="61"/>
    <n v="329"/>
    <n v="2024"/>
    <x v="0"/>
    <x v="0"/>
    <x v="1"/>
  </r>
  <r>
    <x v="1"/>
    <x v="68"/>
    <x v="1"/>
    <x v="40"/>
    <n v="5"/>
    <n v="4"/>
    <n v="0"/>
    <n v="0"/>
    <n v="0"/>
    <n v="0"/>
    <n v="0"/>
    <n v="0"/>
    <n v="1"/>
    <n v="5"/>
    <n v="2024"/>
    <x v="0"/>
    <x v="0"/>
    <x v="1"/>
  </r>
  <r>
    <x v="1"/>
    <x v="68"/>
    <x v="1"/>
    <x v="41"/>
    <n v="7"/>
    <n v="3"/>
    <n v="0"/>
    <n v="0"/>
    <n v="0"/>
    <n v="0"/>
    <n v="0"/>
    <n v="0"/>
    <n v="0"/>
    <n v="7"/>
    <n v="2024"/>
    <x v="0"/>
    <x v="0"/>
    <x v="1"/>
  </r>
  <r>
    <x v="1"/>
    <x v="68"/>
    <x v="1"/>
    <x v="42"/>
    <n v="113"/>
    <n v="54"/>
    <n v="3"/>
    <n v="1"/>
    <n v="4695"/>
    <n v="1"/>
    <n v="0"/>
    <n v="0"/>
    <n v="13"/>
    <n v="105"/>
    <n v="2024"/>
    <x v="0"/>
    <x v="0"/>
    <x v="1"/>
  </r>
  <r>
    <x v="1"/>
    <x v="68"/>
    <x v="1"/>
    <x v="43"/>
    <n v="118"/>
    <n v="63"/>
    <n v="2"/>
    <n v="0"/>
    <n v="3845.5"/>
    <n v="2"/>
    <n v="3845.5"/>
    <n v="2"/>
    <n v="100"/>
    <n v="58"/>
    <n v="2024"/>
    <x v="0"/>
    <x v="0"/>
    <x v="1"/>
  </r>
  <r>
    <x v="1"/>
    <x v="68"/>
    <x v="1"/>
    <x v="44"/>
    <n v="35"/>
    <n v="12"/>
    <n v="2"/>
    <n v="0"/>
    <n v="30405"/>
    <n v="6"/>
    <n v="30405"/>
    <n v="6"/>
    <n v="0"/>
    <n v="35"/>
    <n v="2024"/>
    <x v="0"/>
    <x v="0"/>
    <x v="1"/>
  </r>
  <r>
    <x v="1"/>
    <x v="69"/>
    <x v="0"/>
    <x v="0"/>
    <n v="1129"/>
    <n v="246"/>
    <n v="0"/>
    <n v="0"/>
    <n v="8050"/>
    <n v="2"/>
    <n v="4025"/>
    <n v="1"/>
    <n v="16"/>
    <n v="1105"/>
    <n v="2024"/>
    <x v="0"/>
    <x v="0"/>
    <x v="1"/>
  </r>
  <r>
    <x v="1"/>
    <x v="69"/>
    <x v="0"/>
    <x v="1"/>
    <n v="23498"/>
    <n v="13595"/>
    <n v="218"/>
    <n v="151"/>
    <n v="240230.5"/>
    <n v="46"/>
    <n v="119582.5"/>
    <n v="32"/>
    <n v="1010"/>
    <n v="23420"/>
    <n v="2024"/>
    <x v="0"/>
    <x v="0"/>
    <x v="1"/>
  </r>
  <r>
    <x v="1"/>
    <x v="69"/>
    <x v="0"/>
    <x v="2"/>
    <n v="2430"/>
    <n v="1944"/>
    <n v="9"/>
    <n v="5"/>
    <n v="2237"/>
    <n v="1"/>
    <n v="2237"/>
    <n v="1"/>
    <n v="2430"/>
    <n v="538"/>
    <n v="2024"/>
    <x v="0"/>
    <x v="0"/>
    <x v="1"/>
  </r>
  <r>
    <x v="1"/>
    <x v="69"/>
    <x v="0"/>
    <x v="3"/>
    <n v="15058"/>
    <n v="11195"/>
    <n v="8"/>
    <n v="6"/>
    <n v="0"/>
    <n v="0"/>
    <n v="0"/>
    <n v="0"/>
    <n v="40"/>
    <n v="3035"/>
    <n v="2024"/>
    <x v="0"/>
    <x v="0"/>
    <x v="1"/>
  </r>
  <r>
    <x v="1"/>
    <x v="69"/>
    <x v="1"/>
    <x v="5"/>
    <n v="3"/>
    <n v="1"/>
    <n v="0"/>
    <n v="0"/>
    <n v="0"/>
    <n v="0"/>
    <n v="0"/>
    <n v="0"/>
    <n v="0"/>
    <n v="3"/>
    <n v="2024"/>
    <x v="0"/>
    <x v="0"/>
    <x v="1"/>
  </r>
  <r>
    <x v="1"/>
    <x v="69"/>
    <x v="1"/>
    <x v="6"/>
    <n v="2439"/>
    <n v="2212"/>
    <n v="0"/>
    <n v="0"/>
    <n v="0"/>
    <n v="0"/>
    <n v="0"/>
    <n v="0"/>
    <n v="3"/>
    <n v="6"/>
    <n v="2024"/>
    <x v="0"/>
    <x v="0"/>
    <x v="1"/>
  </r>
  <r>
    <x v="1"/>
    <x v="69"/>
    <x v="1"/>
    <x v="7"/>
    <n v="388"/>
    <n v="141"/>
    <n v="41"/>
    <n v="5"/>
    <n v="130929.28"/>
    <n v="42"/>
    <n v="115445.28"/>
    <n v="37"/>
    <n v="105"/>
    <n v="368"/>
    <n v="2024"/>
    <x v="0"/>
    <x v="0"/>
    <x v="1"/>
  </r>
  <r>
    <x v="1"/>
    <x v="69"/>
    <x v="1"/>
    <x v="8"/>
    <n v="12"/>
    <n v="5"/>
    <n v="0"/>
    <n v="0"/>
    <n v="0"/>
    <n v="0"/>
    <n v="0"/>
    <n v="0"/>
    <n v="0"/>
    <n v="7"/>
    <n v="2024"/>
    <x v="0"/>
    <x v="0"/>
    <x v="1"/>
  </r>
  <r>
    <x v="1"/>
    <x v="69"/>
    <x v="1"/>
    <x v="9"/>
    <n v="2"/>
    <n v="0"/>
    <n v="0"/>
    <n v="0"/>
    <n v="0"/>
    <n v="0"/>
    <n v="0"/>
    <n v="0"/>
    <n v="0"/>
    <n v="2"/>
    <n v="2024"/>
    <x v="0"/>
    <x v="0"/>
    <x v="1"/>
  </r>
  <r>
    <x v="1"/>
    <x v="69"/>
    <x v="1"/>
    <x v="10"/>
    <n v="544"/>
    <n v="409"/>
    <n v="3"/>
    <n v="3"/>
    <n v="7245"/>
    <n v="1"/>
    <n v="7245"/>
    <n v="1"/>
    <n v="120"/>
    <n v="474"/>
    <n v="2024"/>
    <x v="0"/>
    <x v="0"/>
    <x v="1"/>
  </r>
  <r>
    <x v="1"/>
    <x v="69"/>
    <x v="1"/>
    <x v="11"/>
    <n v="3"/>
    <n v="3"/>
    <n v="0"/>
    <n v="0"/>
    <n v="0"/>
    <n v="0"/>
    <n v="0"/>
    <n v="0"/>
    <n v="1"/>
    <n v="2"/>
    <n v="2024"/>
    <x v="0"/>
    <x v="0"/>
    <x v="1"/>
  </r>
  <r>
    <x v="1"/>
    <x v="69"/>
    <x v="1"/>
    <x v="13"/>
    <n v="77"/>
    <n v="62"/>
    <n v="1"/>
    <n v="0"/>
    <n v="0"/>
    <n v="0"/>
    <n v="0"/>
    <n v="0"/>
    <n v="0"/>
    <n v="77"/>
    <n v="2024"/>
    <x v="0"/>
    <x v="0"/>
    <x v="1"/>
  </r>
  <r>
    <x v="1"/>
    <x v="69"/>
    <x v="1"/>
    <x v="59"/>
    <n v="2446"/>
    <n v="1544"/>
    <n v="7"/>
    <n v="4"/>
    <n v="4125"/>
    <n v="2"/>
    <n v="4125"/>
    <n v="2"/>
    <n v="78"/>
    <n v="465"/>
    <n v="2024"/>
    <x v="0"/>
    <x v="0"/>
    <x v="1"/>
  </r>
  <r>
    <x v="1"/>
    <x v="69"/>
    <x v="1"/>
    <x v="15"/>
    <n v="22"/>
    <n v="22"/>
    <n v="0"/>
    <n v="0"/>
    <n v="0"/>
    <n v="0"/>
    <n v="0"/>
    <n v="0"/>
    <n v="0"/>
    <n v="22"/>
    <n v="2024"/>
    <x v="0"/>
    <x v="0"/>
    <x v="1"/>
  </r>
  <r>
    <x v="1"/>
    <x v="69"/>
    <x v="1"/>
    <x v="18"/>
    <n v="5"/>
    <n v="3"/>
    <n v="0"/>
    <n v="0"/>
    <n v="9395"/>
    <n v="1"/>
    <n v="9395"/>
    <n v="1"/>
    <n v="1"/>
    <n v="5"/>
    <n v="2024"/>
    <x v="0"/>
    <x v="0"/>
    <x v="1"/>
  </r>
  <r>
    <x v="1"/>
    <x v="69"/>
    <x v="1"/>
    <x v="19"/>
    <n v="634"/>
    <n v="395"/>
    <n v="17"/>
    <n v="4"/>
    <n v="37044"/>
    <n v="11"/>
    <n v="21416"/>
    <n v="8"/>
    <n v="289"/>
    <n v="441"/>
    <n v="2024"/>
    <x v="0"/>
    <x v="0"/>
    <x v="1"/>
  </r>
  <r>
    <x v="1"/>
    <x v="69"/>
    <x v="1"/>
    <x v="20"/>
    <n v="39"/>
    <n v="31"/>
    <n v="0"/>
    <n v="0"/>
    <n v="0"/>
    <n v="0"/>
    <n v="0"/>
    <n v="0"/>
    <n v="5"/>
    <n v="36"/>
    <n v="2024"/>
    <x v="0"/>
    <x v="0"/>
    <x v="1"/>
  </r>
  <r>
    <x v="1"/>
    <x v="69"/>
    <x v="1"/>
    <x v="21"/>
    <n v="6"/>
    <n v="5"/>
    <n v="0"/>
    <n v="0"/>
    <n v="0"/>
    <n v="0"/>
    <n v="0"/>
    <n v="0"/>
    <n v="1"/>
    <n v="6"/>
    <n v="2024"/>
    <x v="0"/>
    <x v="0"/>
    <x v="1"/>
  </r>
  <r>
    <x v="1"/>
    <x v="69"/>
    <x v="1"/>
    <x v="22"/>
    <n v="13"/>
    <n v="13"/>
    <n v="0"/>
    <n v="0"/>
    <n v="0"/>
    <n v="0"/>
    <n v="0"/>
    <n v="0"/>
    <n v="0"/>
    <n v="0"/>
    <n v="2024"/>
    <x v="0"/>
    <x v="0"/>
    <x v="1"/>
  </r>
  <r>
    <x v="1"/>
    <x v="69"/>
    <x v="1"/>
    <x v="24"/>
    <n v="59"/>
    <n v="24"/>
    <n v="1"/>
    <n v="1"/>
    <n v="1498"/>
    <n v="1"/>
    <n v="1498"/>
    <n v="1"/>
    <n v="9"/>
    <n v="53"/>
    <n v="2024"/>
    <x v="0"/>
    <x v="0"/>
    <x v="1"/>
  </r>
  <r>
    <x v="1"/>
    <x v="69"/>
    <x v="1"/>
    <x v="27"/>
    <n v="102"/>
    <n v="61"/>
    <n v="8"/>
    <n v="4"/>
    <n v="24510.5"/>
    <n v="11"/>
    <n v="21160.5"/>
    <n v="10"/>
    <n v="39"/>
    <n v="92"/>
    <n v="2024"/>
    <x v="0"/>
    <x v="0"/>
    <x v="1"/>
  </r>
  <r>
    <x v="1"/>
    <x v="69"/>
    <x v="1"/>
    <x v="29"/>
    <n v="981"/>
    <n v="764"/>
    <n v="82"/>
    <n v="10"/>
    <n v="65229.98"/>
    <n v="21"/>
    <n v="55399.98"/>
    <n v="19"/>
    <n v="269"/>
    <n v="879"/>
    <n v="2024"/>
    <x v="0"/>
    <x v="0"/>
    <x v="1"/>
  </r>
  <r>
    <x v="1"/>
    <x v="69"/>
    <x v="1"/>
    <x v="30"/>
    <n v="1681"/>
    <n v="905"/>
    <n v="32"/>
    <n v="13"/>
    <n v="14007.88"/>
    <n v="7"/>
    <n v="7635"/>
    <n v="4"/>
    <n v="155"/>
    <n v="1421"/>
    <n v="2024"/>
    <x v="0"/>
    <x v="0"/>
    <x v="1"/>
  </r>
  <r>
    <x v="1"/>
    <x v="69"/>
    <x v="1"/>
    <x v="31"/>
    <n v="149"/>
    <n v="113"/>
    <n v="3"/>
    <n v="4"/>
    <n v="0"/>
    <n v="0"/>
    <n v="0"/>
    <n v="0"/>
    <n v="24"/>
    <n v="147"/>
    <n v="2024"/>
    <x v="0"/>
    <x v="0"/>
    <x v="1"/>
  </r>
  <r>
    <x v="1"/>
    <x v="69"/>
    <x v="1"/>
    <x v="32"/>
    <n v="7"/>
    <n v="4"/>
    <n v="1"/>
    <n v="0"/>
    <n v="0"/>
    <n v="0"/>
    <n v="0"/>
    <n v="0"/>
    <n v="3"/>
    <n v="7"/>
    <n v="2024"/>
    <x v="0"/>
    <x v="0"/>
    <x v="1"/>
  </r>
  <r>
    <x v="1"/>
    <x v="69"/>
    <x v="1"/>
    <x v="34"/>
    <n v="159"/>
    <n v="82"/>
    <n v="6"/>
    <n v="1"/>
    <n v="5355"/>
    <n v="2"/>
    <n v="5355"/>
    <n v="2"/>
    <n v="62"/>
    <n v="126"/>
    <n v="2024"/>
    <x v="0"/>
    <x v="0"/>
    <x v="1"/>
  </r>
  <r>
    <x v="1"/>
    <x v="69"/>
    <x v="1"/>
    <x v="36"/>
    <n v="1"/>
    <n v="0"/>
    <n v="0"/>
    <n v="0"/>
    <n v="0"/>
    <n v="0"/>
    <n v="0"/>
    <n v="0"/>
    <n v="1"/>
    <n v="0"/>
    <n v="2024"/>
    <x v="0"/>
    <x v="0"/>
    <x v="1"/>
  </r>
  <r>
    <x v="1"/>
    <x v="69"/>
    <x v="1"/>
    <x v="37"/>
    <n v="422"/>
    <n v="244"/>
    <n v="1"/>
    <n v="0"/>
    <n v="5781"/>
    <n v="3"/>
    <n v="2980"/>
    <n v="1"/>
    <n v="44"/>
    <n v="413"/>
    <n v="2024"/>
    <x v="0"/>
    <x v="0"/>
    <x v="1"/>
  </r>
  <r>
    <x v="1"/>
    <x v="69"/>
    <x v="1"/>
    <x v="38"/>
    <n v="290"/>
    <n v="107"/>
    <n v="25"/>
    <n v="5"/>
    <n v="46588"/>
    <n v="13"/>
    <n v="37945"/>
    <n v="11"/>
    <n v="72"/>
    <n v="273"/>
    <n v="2024"/>
    <x v="0"/>
    <x v="0"/>
    <x v="1"/>
  </r>
  <r>
    <x v="1"/>
    <x v="69"/>
    <x v="1"/>
    <x v="40"/>
    <n v="2"/>
    <n v="1"/>
    <n v="0"/>
    <n v="0"/>
    <n v="0"/>
    <n v="0"/>
    <n v="0"/>
    <n v="0"/>
    <n v="0"/>
    <n v="2"/>
    <n v="2024"/>
    <x v="0"/>
    <x v="0"/>
    <x v="1"/>
  </r>
  <r>
    <x v="1"/>
    <x v="69"/>
    <x v="1"/>
    <x v="42"/>
    <n v="99"/>
    <n v="51"/>
    <n v="4"/>
    <n v="0"/>
    <n v="2282.88"/>
    <n v="2"/>
    <n v="1497"/>
    <n v="1"/>
    <n v="15"/>
    <n v="97"/>
    <n v="2024"/>
    <x v="0"/>
    <x v="0"/>
    <x v="1"/>
  </r>
  <r>
    <x v="1"/>
    <x v="69"/>
    <x v="1"/>
    <x v="43"/>
    <n v="117"/>
    <n v="57"/>
    <n v="2"/>
    <n v="1"/>
    <n v="0"/>
    <n v="0"/>
    <n v="0"/>
    <n v="0"/>
    <n v="99"/>
    <n v="55"/>
    <n v="2024"/>
    <x v="0"/>
    <x v="0"/>
    <x v="1"/>
  </r>
  <r>
    <x v="1"/>
    <x v="69"/>
    <x v="1"/>
    <x v="44"/>
    <n v="24"/>
    <n v="10"/>
    <n v="0"/>
    <n v="0"/>
    <n v="9868"/>
    <n v="3"/>
    <n v="5373"/>
    <n v="2"/>
    <n v="1"/>
    <n v="24"/>
    <n v="2024"/>
    <x v="0"/>
    <x v="0"/>
    <x v="1"/>
  </r>
  <r>
    <x v="1"/>
    <x v="69"/>
    <x v="1"/>
    <x v="45"/>
    <n v="2"/>
    <n v="1"/>
    <n v="0"/>
    <n v="0"/>
    <n v="0"/>
    <n v="0"/>
    <n v="0"/>
    <n v="0"/>
    <n v="0"/>
    <n v="2"/>
    <n v="2024"/>
    <x v="0"/>
    <x v="0"/>
    <x v="1"/>
  </r>
  <r>
    <x v="1"/>
    <x v="70"/>
    <x v="0"/>
    <x v="0"/>
    <n v="1082"/>
    <n v="178"/>
    <n v="3"/>
    <n v="1"/>
    <n v="4276"/>
    <n v="2"/>
    <n v="4276"/>
    <n v="2"/>
    <n v="19"/>
    <n v="1073"/>
    <n v="2024"/>
    <x v="0"/>
    <x v="0"/>
    <x v="1"/>
  </r>
  <r>
    <x v="1"/>
    <x v="70"/>
    <x v="0"/>
    <x v="1"/>
    <n v="24208"/>
    <n v="13897"/>
    <n v="178"/>
    <n v="162"/>
    <n v="124007"/>
    <n v="34"/>
    <n v="78161"/>
    <n v="24"/>
    <n v="1024"/>
    <n v="24175"/>
    <n v="2024"/>
    <x v="0"/>
    <x v="0"/>
    <x v="1"/>
  </r>
  <r>
    <x v="1"/>
    <x v="70"/>
    <x v="0"/>
    <x v="2"/>
    <n v="2730"/>
    <n v="2216"/>
    <n v="20"/>
    <n v="7"/>
    <n v="9172"/>
    <n v="4"/>
    <n v="9172"/>
    <n v="4"/>
    <n v="2730"/>
    <n v="605"/>
    <n v="2024"/>
    <x v="0"/>
    <x v="0"/>
    <x v="1"/>
  </r>
  <r>
    <x v="1"/>
    <x v="70"/>
    <x v="0"/>
    <x v="3"/>
    <n v="8963"/>
    <n v="6167"/>
    <n v="2"/>
    <n v="4"/>
    <n v="0"/>
    <n v="0"/>
    <n v="0"/>
    <n v="0"/>
    <n v="7"/>
    <n v="333"/>
    <n v="2024"/>
    <x v="0"/>
    <x v="0"/>
    <x v="1"/>
  </r>
  <r>
    <x v="1"/>
    <x v="70"/>
    <x v="1"/>
    <x v="5"/>
    <n v="20"/>
    <n v="16"/>
    <n v="0"/>
    <n v="0"/>
    <n v="0"/>
    <n v="0"/>
    <n v="0"/>
    <n v="0"/>
    <n v="2"/>
    <n v="20"/>
    <n v="2024"/>
    <x v="0"/>
    <x v="0"/>
    <x v="1"/>
  </r>
  <r>
    <x v="1"/>
    <x v="70"/>
    <x v="1"/>
    <x v="6"/>
    <n v="21"/>
    <n v="18"/>
    <n v="0"/>
    <n v="0"/>
    <n v="0"/>
    <n v="0"/>
    <n v="0"/>
    <n v="0"/>
    <n v="12"/>
    <n v="7"/>
    <n v="2024"/>
    <x v="0"/>
    <x v="0"/>
    <x v="1"/>
  </r>
  <r>
    <x v="1"/>
    <x v="70"/>
    <x v="1"/>
    <x v="7"/>
    <n v="381"/>
    <n v="121"/>
    <n v="41"/>
    <n v="5"/>
    <n v="122451.36"/>
    <n v="39"/>
    <n v="117758.36"/>
    <n v="37"/>
    <n v="119"/>
    <n v="366"/>
    <n v="2024"/>
    <x v="0"/>
    <x v="0"/>
    <x v="1"/>
  </r>
  <r>
    <x v="1"/>
    <x v="70"/>
    <x v="1"/>
    <x v="8"/>
    <n v="8"/>
    <n v="1"/>
    <n v="0"/>
    <n v="0"/>
    <n v="0"/>
    <n v="0"/>
    <n v="0"/>
    <n v="0"/>
    <n v="1"/>
    <n v="7"/>
    <n v="2024"/>
    <x v="0"/>
    <x v="0"/>
    <x v="1"/>
  </r>
  <r>
    <x v="1"/>
    <x v="70"/>
    <x v="1"/>
    <x v="9"/>
    <n v="1"/>
    <n v="0"/>
    <n v="0"/>
    <n v="0"/>
    <n v="0"/>
    <n v="0"/>
    <n v="0"/>
    <n v="0"/>
    <n v="0"/>
    <n v="1"/>
    <n v="2024"/>
    <x v="0"/>
    <x v="0"/>
    <x v="1"/>
  </r>
  <r>
    <x v="1"/>
    <x v="70"/>
    <x v="1"/>
    <x v="10"/>
    <n v="787"/>
    <n v="563"/>
    <n v="10"/>
    <n v="8"/>
    <n v="3360"/>
    <n v="2"/>
    <n v="3360"/>
    <n v="2"/>
    <n v="192"/>
    <n v="726"/>
    <n v="2024"/>
    <x v="0"/>
    <x v="0"/>
    <x v="1"/>
  </r>
  <r>
    <x v="1"/>
    <x v="70"/>
    <x v="1"/>
    <x v="11"/>
    <n v="3"/>
    <n v="3"/>
    <n v="0"/>
    <n v="0"/>
    <n v="0"/>
    <n v="0"/>
    <n v="0"/>
    <n v="0"/>
    <n v="1"/>
    <n v="2"/>
    <n v="2024"/>
    <x v="0"/>
    <x v="0"/>
    <x v="1"/>
  </r>
  <r>
    <x v="1"/>
    <x v="70"/>
    <x v="1"/>
    <x v="13"/>
    <n v="103"/>
    <n v="96"/>
    <n v="0"/>
    <n v="0"/>
    <n v="0"/>
    <n v="0"/>
    <n v="0"/>
    <n v="0"/>
    <n v="0"/>
    <n v="103"/>
    <n v="2024"/>
    <x v="0"/>
    <x v="0"/>
    <x v="1"/>
  </r>
  <r>
    <x v="1"/>
    <x v="70"/>
    <x v="1"/>
    <x v="59"/>
    <n v="503"/>
    <n v="228"/>
    <n v="6"/>
    <n v="1"/>
    <n v="19435"/>
    <n v="5"/>
    <n v="19435"/>
    <n v="5"/>
    <n v="94"/>
    <n v="440"/>
    <n v="2024"/>
    <x v="0"/>
    <x v="0"/>
    <x v="1"/>
  </r>
  <r>
    <x v="1"/>
    <x v="70"/>
    <x v="1"/>
    <x v="15"/>
    <n v="18"/>
    <n v="18"/>
    <n v="0"/>
    <n v="0"/>
    <n v="0"/>
    <n v="0"/>
    <n v="0"/>
    <n v="0"/>
    <n v="0"/>
    <n v="18"/>
    <n v="2024"/>
    <x v="0"/>
    <x v="0"/>
    <x v="1"/>
  </r>
  <r>
    <x v="1"/>
    <x v="70"/>
    <x v="1"/>
    <x v="17"/>
    <n v="1"/>
    <n v="1"/>
    <n v="0"/>
    <n v="0"/>
    <n v="0"/>
    <n v="0"/>
    <n v="0"/>
    <n v="0"/>
    <n v="0"/>
    <n v="1"/>
    <n v="2024"/>
    <x v="0"/>
    <x v="0"/>
    <x v="1"/>
  </r>
  <r>
    <x v="1"/>
    <x v="70"/>
    <x v="1"/>
    <x v="18"/>
    <n v="4"/>
    <n v="4"/>
    <n v="0"/>
    <n v="0"/>
    <n v="0"/>
    <n v="0"/>
    <n v="0"/>
    <n v="0"/>
    <n v="1"/>
    <n v="4"/>
    <n v="2024"/>
    <x v="0"/>
    <x v="0"/>
    <x v="1"/>
  </r>
  <r>
    <x v="1"/>
    <x v="70"/>
    <x v="1"/>
    <x v="19"/>
    <n v="1166"/>
    <n v="941"/>
    <n v="39"/>
    <n v="27"/>
    <n v="115591.88"/>
    <n v="25"/>
    <n v="37961.879999999997"/>
    <n v="13"/>
    <n v="370"/>
    <n v="985"/>
    <n v="2024"/>
    <x v="0"/>
    <x v="0"/>
    <x v="1"/>
  </r>
  <r>
    <x v="1"/>
    <x v="70"/>
    <x v="1"/>
    <x v="20"/>
    <n v="64"/>
    <n v="50"/>
    <n v="1"/>
    <n v="0"/>
    <n v="0"/>
    <n v="0"/>
    <n v="0"/>
    <n v="0"/>
    <n v="7"/>
    <n v="63"/>
    <n v="2024"/>
    <x v="0"/>
    <x v="0"/>
    <x v="1"/>
  </r>
  <r>
    <x v="1"/>
    <x v="70"/>
    <x v="1"/>
    <x v="21"/>
    <n v="11"/>
    <n v="7"/>
    <n v="0"/>
    <n v="0"/>
    <n v="0"/>
    <n v="0"/>
    <n v="0"/>
    <n v="0"/>
    <n v="1"/>
    <n v="11"/>
    <n v="2024"/>
    <x v="0"/>
    <x v="0"/>
    <x v="1"/>
  </r>
  <r>
    <x v="1"/>
    <x v="70"/>
    <x v="1"/>
    <x v="22"/>
    <n v="1"/>
    <n v="1"/>
    <n v="0"/>
    <n v="0"/>
    <n v="0"/>
    <n v="0"/>
    <n v="0"/>
    <n v="0"/>
    <n v="0"/>
    <n v="1"/>
    <n v="2024"/>
    <x v="0"/>
    <x v="0"/>
    <x v="1"/>
  </r>
  <r>
    <x v="1"/>
    <x v="70"/>
    <x v="1"/>
    <x v="24"/>
    <n v="47"/>
    <n v="21"/>
    <n v="0"/>
    <n v="1"/>
    <n v="2377"/>
    <n v="1"/>
    <n v="2377"/>
    <n v="1"/>
    <n v="11"/>
    <n v="42"/>
    <n v="2024"/>
    <x v="0"/>
    <x v="0"/>
    <x v="1"/>
  </r>
  <r>
    <x v="1"/>
    <x v="70"/>
    <x v="1"/>
    <x v="25"/>
    <n v="3"/>
    <n v="0"/>
    <n v="0"/>
    <n v="0"/>
    <n v="0"/>
    <n v="0"/>
    <n v="0"/>
    <n v="0"/>
    <n v="1"/>
    <n v="3"/>
    <n v="2024"/>
    <x v="0"/>
    <x v="0"/>
    <x v="1"/>
  </r>
  <r>
    <x v="1"/>
    <x v="70"/>
    <x v="1"/>
    <x v="27"/>
    <n v="100"/>
    <n v="55"/>
    <n v="11"/>
    <n v="3"/>
    <n v="11595"/>
    <n v="3"/>
    <n v="7615"/>
    <n v="3"/>
    <n v="41"/>
    <n v="90"/>
    <n v="2024"/>
    <x v="0"/>
    <x v="0"/>
    <x v="1"/>
  </r>
  <r>
    <x v="1"/>
    <x v="70"/>
    <x v="1"/>
    <x v="29"/>
    <n v="1086"/>
    <n v="856"/>
    <n v="66"/>
    <n v="19"/>
    <n v="67248.5"/>
    <n v="21"/>
    <n v="65568.5"/>
    <n v="20"/>
    <n v="332"/>
    <n v="962"/>
    <n v="2024"/>
    <x v="0"/>
    <x v="0"/>
    <x v="1"/>
  </r>
  <r>
    <x v="1"/>
    <x v="70"/>
    <x v="1"/>
    <x v="30"/>
    <n v="1727"/>
    <n v="969"/>
    <n v="32"/>
    <n v="14"/>
    <n v="15243"/>
    <n v="7"/>
    <n v="15243"/>
    <n v="7"/>
    <n v="186"/>
    <n v="1642"/>
    <n v="2024"/>
    <x v="0"/>
    <x v="0"/>
    <x v="1"/>
  </r>
  <r>
    <x v="1"/>
    <x v="70"/>
    <x v="1"/>
    <x v="31"/>
    <n v="153"/>
    <n v="121"/>
    <n v="4"/>
    <n v="7"/>
    <n v="3400"/>
    <n v="1"/>
    <n v="3400"/>
    <n v="1"/>
    <n v="25"/>
    <n v="149"/>
    <n v="2024"/>
    <x v="0"/>
    <x v="0"/>
    <x v="1"/>
  </r>
  <r>
    <x v="1"/>
    <x v="70"/>
    <x v="1"/>
    <x v="32"/>
    <n v="7"/>
    <n v="5"/>
    <n v="0"/>
    <n v="0"/>
    <n v="0"/>
    <n v="0"/>
    <n v="0"/>
    <n v="0"/>
    <n v="4"/>
    <n v="6"/>
    <n v="2024"/>
    <x v="0"/>
    <x v="0"/>
    <x v="1"/>
  </r>
  <r>
    <x v="1"/>
    <x v="70"/>
    <x v="1"/>
    <x v="34"/>
    <n v="148"/>
    <n v="85"/>
    <n v="7"/>
    <n v="2"/>
    <n v="13813"/>
    <n v="1"/>
    <n v="13813"/>
    <n v="1"/>
    <n v="63"/>
    <n v="121"/>
    <n v="2024"/>
    <x v="0"/>
    <x v="0"/>
    <x v="1"/>
  </r>
  <r>
    <x v="1"/>
    <x v="70"/>
    <x v="1"/>
    <x v="35"/>
    <n v="1"/>
    <n v="1"/>
    <n v="0"/>
    <n v="0"/>
    <n v="0"/>
    <n v="0"/>
    <n v="0"/>
    <n v="0"/>
    <n v="0"/>
    <n v="1"/>
    <n v="2024"/>
    <x v="0"/>
    <x v="0"/>
    <x v="1"/>
  </r>
  <r>
    <x v="1"/>
    <x v="70"/>
    <x v="1"/>
    <x v="37"/>
    <n v="519"/>
    <n v="306"/>
    <n v="5"/>
    <n v="0"/>
    <n v="16782"/>
    <n v="6"/>
    <n v="13987"/>
    <n v="5"/>
    <n v="69"/>
    <n v="516"/>
    <n v="2024"/>
    <x v="0"/>
    <x v="0"/>
    <x v="1"/>
  </r>
  <r>
    <x v="1"/>
    <x v="70"/>
    <x v="1"/>
    <x v="38"/>
    <n v="325"/>
    <n v="125"/>
    <n v="25"/>
    <n v="11"/>
    <n v="25176.05"/>
    <n v="11"/>
    <n v="21326.05"/>
    <n v="9"/>
    <n v="83"/>
    <n v="310"/>
    <n v="2024"/>
    <x v="0"/>
    <x v="0"/>
    <x v="1"/>
  </r>
  <r>
    <x v="1"/>
    <x v="70"/>
    <x v="1"/>
    <x v="40"/>
    <n v="5"/>
    <n v="3"/>
    <n v="0"/>
    <n v="0"/>
    <n v="0"/>
    <n v="0"/>
    <n v="0"/>
    <n v="0"/>
    <n v="1"/>
    <n v="5"/>
    <n v="2024"/>
    <x v="0"/>
    <x v="0"/>
    <x v="1"/>
  </r>
  <r>
    <x v="1"/>
    <x v="70"/>
    <x v="1"/>
    <x v="41"/>
    <n v="4"/>
    <n v="2"/>
    <n v="0"/>
    <n v="0"/>
    <n v="0"/>
    <n v="0"/>
    <n v="0"/>
    <n v="0"/>
    <n v="1"/>
    <n v="3"/>
    <n v="2024"/>
    <x v="0"/>
    <x v="0"/>
    <x v="1"/>
  </r>
  <r>
    <x v="1"/>
    <x v="70"/>
    <x v="1"/>
    <x v="42"/>
    <n v="102"/>
    <n v="44"/>
    <n v="1"/>
    <n v="0"/>
    <n v="0"/>
    <n v="0"/>
    <n v="0"/>
    <n v="0"/>
    <n v="11"/>
    <n v="98"/>
    <n v="2024"/>
    <x v="0"/>
    <x v="0"/>
    <x v="1"/>
  </r>
  <r>
    <x v="1"/>
    <x v="70"/>
    <x v="1"/>
    <x v="43"/>
    <n v="109"/>
    <n v="63"/>
    <n v="3"/>
    <n v="0"/>
    <n v="0"/>
    <n v="0"/>
    <n v="0"/>
    <n v="0"/>
    <n v="84"/>
    <n v="62"/>
    <n v="2024"/>
    <x v="0"/>
    <x v="0"/>
    <x v="1"/>
  </r>
  <r>
    <x v="1"/>
    <x v="70"/>
    <x v="1"/>
    <x v="44"/>
    <n v="25"/>
    <n v="8"/>
    <n v="1"/>
    <n v="0"/>
    <n v="1677"/>
    <n v="1"/>
    <n v="1677"/>
    <n v="1"/>
    <n v="1"/>
    <n v="25"/>
    <n v="2024"/>
    <x v="0"/>
    <x v="0"/>
    <x v="1"/>
  </r>
  <r>
    <x v="1"/>
    <x v="70"/>
    <x v="1"/>
    <x v="45"/>
    <n v="1"/>
    <n v="0"/>
    <n v="0"/>
    <n v="0"/>
    <n v="0"/>
    <n v="0"/>
    <n v="0"/>
    <n v="0"/>
    <n v="0"/>
    <n v="1"/>
    <n v="2024"/>
    <x v="0"/>
    <x v="0"/>
    <x v="1"/>
  </r>
  <r>
    <x v="1"/>
    <x v="71"/>
    <x v="0"/>
    <x v="0"/>
    <n v="1317"/>
    <n v="236"/>
    <n v="2"/>
    <n v="1"/>
    <n v="0"/>
    <n v="0"/>
    <n v="0"/>
    <n v="0"/>
    <n v="20"/>
    <n v="1297"/>
    <n v="2024"/>
    <x v="0"/>
    <x v="0"/>
    <x v="1"/>
  </r>
  <r>
    <x v="1"/>
    <x v="71"/>
    <x v="0"/>
    <x v="1"/>
    <n v="22030"/>
    <n v="13036"/>
    <n v="182"/>
    <n v="109"/>
    <n v="155925.5"/>
    <n v="40"/>
    <n v="103892.5"/>
    <n v="27"/>
    <n v="896"/>
    <n v="21981"/>
    <n v="2024"/>
    <x v="0"/>
    <x v="0"/>
    <x v="1"/>
  </r>
  <r>
    <x v="1"/>
    <x v="71"/>
    <x v="0"/>
    <x v="2"/>
    <n v="2826"/>
    <n v="2261"/>
    <n v="18"/>
    <n v="5"/>
    <n v="50475.02"/>
    <n v="8"/>
    <n v="14620.5"/>
    <n v="6"/>
    <n v="2826"/>
    <n v="614"/>
    <n v="2024"/>
    <x v="0"/>
    <x v="0"/>
    <x v="1"/>
  </r>
  <r>
    <x v="1"/>
    <x v="71"/>
    <x v="0"/>
    <x v="3"/>
    <n v="14558"/>
    <n v="10636"/>
    <n v="4"/>
    <n v="3"/>
    <n v="0"/>
    <n v="0"/>
    <n v="0"/>
    <n v="0"/>
    <n v="28"/>
    <n v="3373"/>
    <n v="2024"/>
    <x v="0"/>
    <x v="0"/>
    <x v="1"/>
  </r>
  <r>
    <x v="1"/>
    <x v="71"/>
    <x v="1"/>
    <x v="4"/>
    <n v="1"/>
    <n v="0"/>
    <n v="0"/>
    <n v="0"/>
    <n v="0"/>
    <n v="0"/>
    <n v="0"/>
    <n v="0"/>
    <n v="0"/>
    <n v="1"/>
    <n v="2024"/>
    <x v="0"/>
    <x v="0"/>
    <x v="1"/>
  </r>
  <r>
    <x v="1"/>
    <x v="71"/>
    <x v="1"/>
    <x v="5"/>
    <n v="6"/>
    <n v="4"/>
    <n v="0"/>
    <n v="0"/>
    <n v="0"/>
    <n v="0"/>
    <n v="0"/>
    <n v="0"/>
    <n v="0"/>
    <n v="6"/>
    <n v="2024"/>
    <x v="0"/>
    <x v="0"/>
    <x v="1"/>
  </r>
  <r>
    <x v="1"/>
    <x v="71"/>
    <x v="1"/>
    <x v="6"/>
    <n v="664"/>
    <n v="566"/>
    <n v="0"/>
    <n v="0"/>
    <n v="0"/>
    <n v="0"/>
    <n v="0"/>
    <n v="0"/>
    <n v="15"/>
    <n v="13"/>
    <n v="2024"/>
    <x v="0"/>
    <x v="0"/>
    <x v="1"/>
  </r>
  <r>
    <x v="1"/>
    <x v="71"/>
    <x v="1"/>
    <x v="7"/>
    <n v="397"/>
    <n v="136"/>
    <n v="32"/>
    <n v="1"/>
    <n v="102765.5"/>
    <n v="35"/>
    <n v="76738.5"/>
    <n v="31"/>
    <n v="103"/>
    <n v="384"/>
    <n v="2024"/>
    <x v="0"/>
    <x v="0"/>
    <x v="1"/>
  </r>
  <r>
    <x v="1"/>
    <x v="71"/>
    <x v="1"/>
    <x v="8"/>
    <n v="10"/>
    <n v="4"/>
    <n v="0"/>
    <n v="0"/>
    <n v="0"/>
    <n v="0"/>
    <n v="0"/>
    <n v="0"/>
    <n v="0"/>
    <n v="4"/>
    <n v="2024"/>
    <x v="0"/>
    <x v="0"/>
    <x v="1"/>
  </r>
  <r>
    <x v="1"/>
    <x v="71"/>
    <x v="1"/>
    <x v="9"/>
    <n v="6"/>
    <n v="3"/>
    <n v="0"/>
    <n v="0"/>
    <n v="0"/>
    <n v="0"/>
    <n v="0"/>
    <n v="0"/>
    <n v="2"/>
    <n v="6"/>
    <n v="2024"/>
    <x v="0"/>
    <x v="0"/>
    <x v="1"/>
  </r>
  <r>
    <x v="1"/>
    <x v="71"/>
    <x v="1"/>
    <x v="10"/>
    <n v="783"/>
    <n v="618"/>
    <n v="2"/>
    <n v="2"/>
    <n v="3538"/>
    <n v="2"/>
    <n v="1303"/>
    <n v="1"/>
    <n v="162"/>
    <n v="678"/>
    <n v="2024"/>
    <x v="0"/>
    <x v="0"/>
    <x v="1"/>
  </r>
  <r>
    <x v="1"/>
    <x v="71"/>
    <x v="1"/>
    <x v="11"/>
    <n v="1"/>
    <n v="1"/>
    <n v="0"/>
    <n v="0"/>
    <n v="0"/>
    <n v="0"/>
    <n v="0"/>
    <n v="0"/>
    <n v="0"/>
    <n v="1"/>
    <n v="2024"/>
    <x v="0"/>
    <x v="0"/>
    <x v="1"/>
  </r>
  <r>
    <x v="1"/>
    <x v="71"/>
    <x v="1"/>
    <x v="13"/>
    <n v="173"/>
    <n v="163"/>
    <n v="1"/>
    <n v="0"/>
    <n v="0"/>
    <n v="0"/>
    <n v="0"/>
    <n v="0"/>
    <n v="0"/>
    <n v="173"/>
    <n v="2024"/>
    <x v="0"/>
    <x v="0"/>
    <x v="1"/>
  </r>
  <r>
    <x v="1"/>
    <x v="71"/>
    <x v="1"/>
    <x v="59"/>
    <n v="903"/>
    <n v="424"/>
    <n v="7"/>
    <n v="3"/>
    <n v="11867.5"/>
    <n v="7"/>
    <n v="8152.5"/>
    <n v="5"/>
    <n v="79"/>
    <n v="393"/>
    <n v="2024"/>
    <x v="0"/>
    <x v="0"/>
    <x v="1"/>
  </r>
  <r>
    <x v="1"/>
    <x v="71"/>
    <x v="1"/>
    <x v="15"/>
    <n v="22"/>
    <n v="21"/>
    <n v="0"/>
    <n v="0"/>
    <n v="0"/>
    <n v="0"/>
    <n v="0"/>
    <n v="0"/>
    <n v="0"/>
    <n v="22"/>
    <n v="2024"/>
    <x v="0"/>
    <x v="0"/>
    <x v="1"/>
  </r>
  <r>
    <x v="1"/>
    <x v="71"/>
    <x v="1"/>
    <x v="16"/>
    <n v="1"/>
    <n v="0"/>
    <n v="0"/>
    <n v="0"/>
    <n v="0"/>
    <n v="0"/>
    <n v="0"/>
    <n v="0"/>
    <n v="0"/>
    <n v="1"/>
    <n v="2024"/>
    <x v="0"/>
    <x v="0"/>
    <x v="1"/>
  </r>
  <r>
    <x v="1"/>
    <x v="71"/>
    <x v="1"/>
    <x v="18"/>
    <n v="3"/>
    <n v="3"/>
    <n v="1"/>
    <n v="0"/>
    <n v="3268"/>
    <n v="1"/>
    <n v="3268"/>
    <n v="1"/>
    <n v="0"/>
    <n v="3"/>
    <n v="2024"/>
    <x v="0"/>
    <x v="0"/>
    <x v="1"/>
  </r>
  <r>
    <x v="1"/>
    <x v="71"/>
    <x v="1"/>
    <x v="19"/>
    <n v="635"/>
    <n v="397"/>
    <n v="19"/>
    <n v="5"/>
    <n v="25442.48"/>
    <n v="12"/>
    <n v="6581"/>
    <n v="5"/>
    <n v="307"/>
    <n v="422"/>
    <n v="2024"/>
    <x v="0"/>
    <x v="0"/>
    <x v="1"/>
  </r>
  <r>
    <x v="1"/>
    <x v="71"/>
    <x v="1"/>
    <x v="20"/>
    <n v="48"/>
    <n v="32"/>
    <n v="1"/>
    <n v="0"/>
    <n v="0"/>
    <n v="0"/>
    <n v="0"/>
    <n v="0"/>
    <n v="4"/>
    <n v="45"/>
    <n v="2024"/>
    <x v="0"/>
    <x v="0"/>
    <x v="1"/>
  </r>
  <r>
    <x v="1"/>
    <x v="71"/>
    <x v="1"/>
    <x v="21"/>
    <n v="3"/>
    <n v="0"/>
    <n v="0"/>
    <n v="0"/>
    <n v="0"/>
    <n v="0"/>
    <n v="0"/>
    <n v="0"/>
    <n v="2"/>
    <n v="3"/>
    <n v="2024"/>
    <x v="0"/>
    <x v="0"/>
    <x v="1"/>
  </r>
  <r>
    <x v="1"/>
    <x v="71"/>
    <x v="1"/>
    <x v="22"/>
    <n v="6"/>
    <n v="5"/>
    <n v="0"/>
    <n v="0"/>
    <n v="0"/>
    <n v="0"/>
    <n v="0"/>
    <n v="0"/>
    <n v="0"/>
    <n v="0"/>
    <n v="2024"/>
    <x v="0"/>
    <x v="0"/>
    <x v="1"/>
  </r>
  <r>
    <x v="1"/>
    <x v="71"/>
    <x v="1"/>
    <x v="24"/>
    <n v="11"/>
    <n v="5"/>
    <n v="0"/>
    <n v="0"/>
    <n v="0"/>
    <n v="0"/>
    <n v="0"/>
    <n v="0"/>
    <n v="3"/>
    <n v="8"/>
    <n v="2024"/>
    <x v="0"/>
    <x v="0"/>
    <x v="1"/>
  </r>
  <r>
    <x v="1"/>
    <x v="71"/>
    <x v="1"/>
    <x v="26"/>
    <n v="1"/>
    <n v="1"/>
    <n v="0"/>
    <n v="0"/>
    <n v="0"/>
    <n v="0"/>
    <n v="0"/>
    <n v="0"/>
    <n v="0"/>
    <n v="1"/>
    <n v="2024"/>
    <x v="0"/>
    <x v="0"/>
    <x v="1"/>
  </r>
  <r>
    <x v="1"/>
    <x v="71"/>
    <x v="1"/>
    <x v="27"/>
    <n v="215"/>
    <n v="80"/>
    <n v="15"/>
    <n v="3"/>
    <n v="46785"/>
    <n v="13"/>
    <n v="39259"/>
    <n v="11"/>
    <n v="69"/>
    <n v="206"/>
    <n v="2024"/>
    <x v="0"/>
    <x v="0"/>
    <x v="1"/>
  </r>
  <r>
    <x v="1"/>
    <x v="71"/>
    <x v="1"/>
    <x v="29"/>
    <n v="980"/>
    <n v="787"/>
    <n v="74"/>
    <n v="14"/>
    <n v="59435.98"/>
    <n v="22"/>
    <n v="39786.5"/>
    <n v="15"/>
    <n v="292"/>
    <n v="872"/>
    <n v="2024"/>
    <x v="0"/>
    <x v="0"/>
    <x v="1"/>
  </r>
  <r>
    <x v="1"/>
    <x v="71"/>
    <x v="1"/>
    <x v="30"/>
    <n v="2022"/>
    <n v="1195"/>
    <n v="33"/>
    <n v="15"/>
    <n v="19737.759999999998"/>
    <n v="8"/>
    <n v="11284.76"/>
    <n v="6"/>
    <n v="238"/>
    <n v="1870"/>
    <n v="2024"/>
    <x v="0"/>
    <x v="0"/>
    <x v="1"/>
  </r>
  <r>
    <x v="1"/>
    <x v="71"/>
    <x v="1"/>
    <x v="31"/>
    <n v="138"/>
    <n v="111"/>
    <n v="3"/>
    <n v="2"/>
    <n v="6125"/>
    <n v="2"/>
    <n v="4645"/>
    <n v="1"/>
    <n v="17"/>
    <n v="137"/>
    <n v="2024"/>
    <x v="0"/>
    <x v="0"/>
    <x v="1"/>
  </r>
  <r>
    <x v="1"/>
    <x v="71"/>
    <x v="1"/>
    <x v="32"/>
    <n v="5"/>
    <n v="3"/>
    <n v="0"/>
    <n v="0"/>
    <n v="0"/>
    <n v="0"/>
    <n v="0"/>
    <n v="0"/>
    <n v="1"/>
    <n v="5"/>
    <n v="2024"/>
    <x v="0"/>
    <x v="0"/>
    <x v="1"/>
  </r>
  <r>
    <x v="1"/>
    <x v="71"/>
    <x v="1"/>
    <x v="34"/>
    <n v="162"/>
    <n v="75"/>
    <n v="5"/>
    <n v="2"/>
    <n v="10417.5"/>
    <n v="4"/>
    <n v="5712.5"/>
    <n v="3"/>
    <n v="55"/>
    <n v="140"/>
    <n v="2024"/>
    <x v="0"/>
    <x v="0"/>
    <x v="1"/>
  </r>
  <r>
    <x v="1"/>
    <x v="71"/>
    <x v="1"/>
    <x v="37"/>
    <n v="481"/>
    <n v="288"/>
    <n v="6"/>
    <n v="0"/>
    <n v="23753"/>
    <n v="5"/>
    <n v="7653"/>
    <n v="4"/>
    <n v="49"/>
    <n v="475"/>
    <n v="2024"/>
    <x v="0"/>
    <x v="0"/>
    <x v="1"/>
  </r>
  <r>
    <x v="1"/>
    <x v="71"/>
    <x v="1"/>
    <x v="38"/>
    <n v="302"/>
    <n v="128"/>
    <n v="21"/>
    <n v="3"/>
    <n v="42229.98"/>
    <n v="15"/>
    <n v="28003.5"/>
    <n v="13"/>
    <n v="92"/>
    <n v="290"/>
    <n v="2024"/>
    <x v="0"/>
    <x v="0"/>
    <x v="1"/>
  </r>
  <r>
    <x v="1"/>
    <x v="71"/>
    <x v="1"/>
    <x v="40"/>
    <n v="3"/>
    <n v="2"/>
    <n v="0"/>
    <n v="0"/>
    <n v="0"/>
    <n v="0"/>
    <n v="0"/>
    <n v="0"/>
    <n v="0"/>
    <n v="3"/>
    <n v="2024"/>
    <x v="0"/>
    <x v="0"/>
    <x v="1"/>
  </r>
  <r>
    <x v="1"/>
    <x v="71"/>
    <x v="1"/>
    <x v="41"/>
    <n v="1"/>
    <n v="0"/>
    <n v="0"/>
    <n v="0"/>
    <n v="0"/>
    <n v="0"/>
    <n v="0"/>
    <n v="0"/>
    <n v="0"/>
    <n v="1"/>
    <n v="2024"/>
    <x v="0"/>
    <x v="0"/>
    <x v="1"/>
  </r>
  <r>
    <x v="1"/>
    <x v="71"/>
    <x v="1"/>
    <x v="42"/>
    <n v="119"/>
    <n v="49"/>
    <n v="5"/>
    <n v="2"/>
    <n v="8728.48"/>
    <n v="3"/>
    <n v="3235"/>
    <n v="1"/>
    <n v="17"/>
    <n v="117"/>
    <n v="2024"/>
    <x v="0"/>
    <x v="0"/>
    <x v="1"/>
  </r>
  <r>
    <x v="1"/>
    <x v="71"/>
    <x v="1"/>
    <x v="43"/>
    <n v="110"/>
    <n v="60"/>
    <n v="3"/>
    <n v="0"/>
    <n v="2597.5"/>
    <n v="1"/>
    <n v="0"/>
    <n v="0"/>
    <n v="95"/>
    <n v="59"/>
    <n v="2024"/>
    <x v="0"/>
    <x v="0"/>
    <x v="1"/>
  </r>
  <r>
    <x v="1"/>
    <x v="71"/>
    <x v="1"/>
    <x v="44"/>
    <n v="36"/>
    <n v="5"/>
    <n v="1"/>
    <n v="0"/>
    <n v="13088"/>
    <n v="3"/>
    <n v="13088"/>
    <n v="3"/>
    <n v="0"/>
    <n v="36"/>
    <n v="2024"/>
    <x v="0"/>
    <x v="0"/>
    <x v="1"/>
  </r>
  <r>
    <x v="1"/>
    <x v="71"/>
    <x v="1"/>
    <x v="45"/>
    <n v="1"/>
    <n v="0"/>
    <n v="0"/>
    <n v="0"/>
    <n v="0"/>
    <n v="0"/>
    <n v="0"/>
    <n v="0"/>
    <n v="0"/>
    <n v="1"/>
    <n v="2024"/>
    <x v="0"/>
    <x v="0"/>
    <x v="1"/>
  </r>
  <r>
    <x v="1"/>
    <x v="72"/>
    <x v="0"/>
    <x v="0"/>
    <n v="1350"/>
    <n v="232"/>
    <n v="2"/>
    <n v="2"/>
    <n v="2000"/>
    <n v="1"/>
    <n v="1000"/>
    <n v="1"/>
    <n v="6"/>
    <n v="1343"/>
    <n v="2024"/>
    <x v="0"/>
    <x v="0"/>
    <x v="1"/>
  </r>
  <r>
    <x v="1"/>
    <x v="72"/>
    <x v="0"/>
    <x v="1"/>
    <n v="19176"/>
    <n v="10895"/>
    <n v="120"/>
    <n v="98"/>
    <n v="139930.5"/>
    <n v="29"/>
    <n v="98500.5"/>
    <n v="23"/>
    <n v="680"/>
    <n v="19142"/>
    <n v="2024"/>
    <x v="0"/>
    <x v="0"/>
    <x v="1"/>
  </r>
  <r>
    <x v="1"/>
    <x v="72"/>
    <x v="0"/>
    <x v="2"/>
    <n v="3253"/>
    <n v="2582"/>
    <n v="20"/>
    <n v="4"/>
    <n v="18882.5"/>
    <n v="5"/>
    <n v="16645.5"/>
    <n v="5"/>
    <n v="3253"/>
    <n v="637"/>
    <n v="2024"/>
    <x v="0"/>
    <x v="0"/>
    <x v="1"/>
  </r>
  <r>
    <x v="1"/>
    <x v="72"/>
    <x v="0"/>
    <x v="3"/>
    <n v="15630"/>
    <n v="11806"/>
    <n v="5"/>
    <n v="2"/>
    <n v="0"/>
    <n v="0"/>
    <n v="0"/>
    <n v="0"/>
    <n v="16"/>
    <n v="1578"/>
    <n v="2024"/>
    <x v="0"/>
    <x v="0"/>
    <x v="1"/>
  </r>
  <r>
    <x v="1"/>
    <x v="72"/>
    <x v="1"/>
    <x v="5"/>
    <n v="1"/>
    <n v="1"/>
    <n v="0"/>
    <n v="0"/>
    <n v="0"/>
    <n v="0"/>
    <n v="0"/>
    <n v="0"/>
    <n v="0"/>
    <n v="1"/>
    <n v="2024"/>
    <x v="0"/>
    <x v="0"/>
    <x v="1"/>
  </r>
  <r>
    <x v="1"/>
    <x v="72"/>
    <x v="1"/>
    <x v="6"/>
    <n v="2058"/>
    <n v="1895"/>
    <n v="0"/>
    <n v="0"/>
    <n v="0"/>
    <n v="0"/>
    <n v="0"/>
    <n v="0"/>
    <n v="9"/>
    <n v="10"/>
    <n v="2024"/>
    <x v="0"/>
    <x v="0"/>
    <x v="1"/>
  </r>
  <r>
    <x v="1"/>
    <x v="72"/>
    <x v="1"/>
    <x v="7"/>
    <n v="291"/>
    <n v="91"/>
    <n v="28"/>
    <n v="3"/>
    <n v="73893.09"/>
    <n v="22"/>
    <n v="62206.09"/>
    <n v="22"/>
    <n v="73"/>
    <n v="283"/>
    <n v="2024"/>
    <x v="0"/>
    <x v="0"/>
    <x v="1"/>
  </r>
  <r>
    <x v="1"/>
    <x v="72"/>
    <x v="1"/>
    <x v="8"/>
    <n v="10"/>
    <n v="1"/>
    <n v="0"/>
    <n v="0"/>
    <n v="3505"/>
    <n v="1"/>
    <n v="0"/>
    <n v="0"/>
    <n v="1"/>
    <n v="6"/>
    <n v="2024"/>
    <x v="0"/>
    <x v="0"/>
    <x v="1"/>
  </r>
  <r>
    <x v="1"/>
    <x v="72"/>
    <x v="1"/>
    <x v="9"/>
    <n v="7"/>
    <n v="4"/>
    <n v="1"/>
    <n v="0"/>
    <n v="0"/>
    <n v="0"/>
    <n v="0"/>
    <n v="0"/>
    <n v="0"/>
    <n v="7"/>
    <n v="2024"/>
    <x v="0"/>
    <x v="0"/>
    <x v="1"/>
  </r>
  <r>
    <x v="1"/>
    <x v="72"/>
    <x v="1"/>
    <x v="10"/>
    <n v="801"/>
    <n v="624"/>
    <n v="5"/>
    <n v="4"/>
    <n v="1887.23"/>
    <n v="1"/>
    <n v="1887.23"/>
    <n v="1"/>
    <n v="153"/>
    <n v="721"/>
    <n v="2024"/>
    <x v="0"/>
    <x v="0"/>
    <x v="1"/>
  </r>
  <r>
    <x v="1"/>
    <x v="72"/>
    <x v="1"/>
    <x v="11"/>
    <n v="2"/>
    <n v="0"/>
    <n v="0"/>
    <n v="0"/>
    <n v="0"/>
    <n v="0"/>
    <n v="0"/>
    <n v="0"/>
    <n v="0"/>
    <n v="2"/>
    <n v="2024"/>
    <x v="0"/>
    <x v="0"/>
    <x v="1"/>
  </r>
  <r>
    <x v="1"/>
    <x v="72"/>
    <x v="1"/>
    <x v="13"/>
    <n v="15"/>
    <n v="9"/>
    <n v="1"/>
    <n v="0"/>
    <n v="0"/>
    <n v="0"/>
    <n v="0"/>
    <n v="0"/>
    <n v="0"/>
    <n v="15"/>
    <n v="2024"/>
    <x v="0"/>
    <x v="0"/>
    <x v="1"/>
  </r>
  <r>
    <x v="1"/>
    <x v="72"/>
    <x v="1"/>
    <x v="59"/>
    <n v="4303"/>
    <n v="3319"/>
    <n v="10"/>
    <n v="4"/>
    <n v="15349.65"/>
    <n v="5"/>
    <n v="13112.65"/>
    <n v="5"/>
    <n v="63"/>
    <n v="390"/>
    <n v="2024"/>
    <x v="0"/>
    <x v="0"/>
    <x v="1"/>
  </r>
  <r>
    <x v="1"/>
    <x v="72"/>
    <x v="1"/>
    <x v="15"/>
    <n v="12"/>
    <n v="11"/>
    <n v="1"/>
    <n v="0"/>
    <n v="0"/>
    <n v="0"/>
    <n v="0"/>
    <n v="0"/>
    <n v="0"/>
    <n v="12"/>
    <n v="2024"/>
    <x v="0"/>
    <x v="0"/>
    <x v="1"/>
  </r>
  <r>
    <x v="1"/>
    <x v="72"/>
    <x v="1"/>
    <x v="17"/>
    <n v="2"/>
    <n v="1"/>
    <n v="0"/>
    <n v="0"/>
    <n v="0"/>
    <n v="0"/>
    <n v="0"/>
    <n v="0"/>
    <n v="0"/>
    <n v="2"/>
    <n v="2024"/>
    <x v="0"/>
    <x v="0"/>
    <x v="1"/>
  </r>
  <r>
    <x v="1"/>
    <x v="72"/>
    <x v="1"/>
    <x v="18"/>
    <n v="8"/>
    <n v="4"/>
    <n v="1"/>
    <n v="0"/>
    <n v="4437.1499999999996"/>
    <n v="1"/>
    <n v="2200.15"/>
    <n v="1"/>
    <n v="0"/>
    <n v="8"/>
    <n v="2024"/>
    <x v="0"/>
    <x v="0"/>
    <x v="1"/>
  </r>
  <r>
    <x v="1"/>
    <x v="72"/>
    <x v="1"/>
    <x v="19"/>
    <n v="593"/>
    <n v="401"/>
    <n v="19"/>
    <n v="8"/>
    <n v="102449.5"/>
    <n v="23"/>
    <n v="46784.5"/>
    <n v="15"/>
    <n v="261"/>
    <n v="435"/>
    <n v="2024"/>
    <x v="0"/>
    <x v="0"/>
    <x v="1"/>
  </r>
  <r>
    <x v="1"/>
    <x v="72"/>
    <x v="1"/>
    <x v="20"/>
    <n v="14"/>
    <n v="9"/>
    <n v="1"/>
    <n v="1"/>
    <n v="1303"/>
    <n v="1"/>
    <n v="0"/>
    <n v="0"/>
    <n v="1"/>
    <n v="14"/>
    <n v="2024"/>
    <x v="0"/>
    <x v="0"/>
    <x v="1"/>
  </r>
  <r>
    <x v="1"/>
    <x v="72"/>
    <x v="1"/>
    <x v="21"/>
    <n v="9"/>
    <n v="7"/>
    <n v="0"/>
    <n v="1"/>
    <n v="4437.1499999999996"/>
    <n v="1"/>
    <n v="2200.15"/>
    <n v="1"/>
    <n v="1"/>
    <n v="9"/>
    <n v="2024"/>
    <x v="0"/>
    <x v="0"/>
    <x v="1"/>
  </r>
  <r>
    <x v="1"/>
    <x v="72"/>
    <x v="1"/>
    <x v="22"/>
    <n v="2"/>
    <n v="1"/>
    <n v="0"/>
    <n v="0"/>
    <n v="0"/>
    <n v="0"/>
    <n v="0"/>
    <n v="0"/>
    <n v="0"/>
    <n v="0"/>
    <n v="2024"/>
    <x v="0"/>
    <x v="0"/>
    <x v="1"/>
  </r>
  <r>
    <x v="1"/>
    <x v="72"/>
    <x v="1"/>
    <x v="24"/>
    <n v="17"/>
    <n v="6"/>
    <n v="0"/>
    <n v="0"/>
    <n v="9905"/>
    <n v="2"/>
    <n v="4952.5"/>
    <n v="2"/>
    <n v="4"/>
    <n v="15"/>
    <n v="2024"/>
    <x v="0"/>
    <x v="0"/>
    <x v="1"/>
  </r>
  <r>
    <x v="1"/>
    <x v="72"/>
    <x v="1"/>
    <x v="25"/>
    <n v="3"/>
    <n v="3"/>
    <n v="0"/>
    <n v="0"/>
    <n v="0"/>
    <n v="0"/>
    <n v="0"/>
    <n v="0"/>
    <n v="1"/>
    <n v="3"/>
    <n v="2024"/>
    <x v="0"/>
    <x v="0"/>
    <x v="1"/>
  </r>
  <r>
    <x v="1"/>
    <x v="72"/>
    <x v="1"/>
    <x v="27"/>
    <n v="66"/>
    <n v="37"/>
    <n v="4"/>
    <n v="1"/>
    <n v="37701.5"/>
    <n v="13"/>
    <n v="33204"/>
    <n v="13"/>
    <n v="35"/>
    <n v="65"/>
    <n v="2024"/>
    <x v="0"/>
    <x v="0"/>
    <x v="1"/>
  </r>
  <r>
    <x v="1"/>
    <x v="72"/>
    <x v="1"/>
    <x v="28"/>
    <n v="1"/>
    <n v="0"/>
    <n v="0"/>
    <n v="0"/>
    <n v="0"/>
    <n v="0"/>
    <n v="0"/>
    <n v="0"/>
    <n v="0"/>
    <n v="1"/>
    <n v="2024"/>
    <x v="0"/>
    <x v="0"/>
    <x v="1"/>
  </r>
  <r>
    <x v="1"/>
    <x v="72"/>
    <x v="1"/>
    <x v="29"/>
    <n v="803"/>
    <n v="657"/>
    <n v="42"/>
    <n v="12"/>
    <n v="25103.119999999999"/>
    <n v="11"/>
    <n v="22903.119999999999"/>
    <n v="11"/>
    <n v="245"/>
    <n v="717"/>
    <n v="2024"/>
    <x v="0"/>
    <x v="0"/>
    <x v="1"/>
  </r>
  <r>
    <x v="1"/>
    <x v="72"/>
    <x v="1"/>
    <x v="30"/>
    <n v="1848"/>
    <n v="1108"/>
    <n v="32"/>
    <n v="13"/>
    <n v="10342.5"/>
    <n v="2"/>
    <n v="5747.5"/>
    <n v="2"/>
    <n v="198"/>
    <n v="1649"/>
    <n v="2024"/>
    <x v="0"/>
    <x v="0"/>
    <x v="1"/>
  </r>
  <r>
    <x v="1"/>
    <x v="72"/>
    <x v="1"/>
    <x v="31"/>
    <n v="137"/>
    <n v="114"/>
    <n v="3"/>
    <n v="2"/>
    <n v="9895.6200000000008"/>
    <n v="3"/>
    <n v="9895.6200000000008"/>
    <n v="3"/>
    <n v="21"/>
    <n v="134"/>
    <n v="2024"/>
    <x v="0"/>
    <x v="0"/>
    <x v="1"/>
  </r>
  <r>
    <x v="1"/>
    <x v="72"/>
    <x v="1"/>
    <x v="32"/>
    <n v="3"/>
    <n v="3"/>
    <n v="1"/>
    <n v="1"/>
    <n v="0"/>
    <n v="0"/>
    <n v="0"/>
    <n v="0"/>
    <n v="1"/>
    <n v="3"/>
    <n v="2024"/>
    <x v="0"/>
    <x v="0"/>
    <x v="1"/>
  </r>
  <r>
    <x v="1"/>
    <x v="72"/>
    <x v="1"/>
    <x v="34"/>
    <n v="147"/>
    <n v="68"/>
    <n v="5"/>
    <n v="5"/>
    <n v="6892.5"/>
    <n v="1"/>
    <n v="2297.5"/>
    <n v="1"/>
    <n v="49"/>
    <n v="119"/>
    <n v="2024"/>
    <x v="0"/>
    <x v="0"/>
    <x v="1"/>
  </r>
  <r>
    <x v="1"/>
    <x v="72"/>
    <x v="1"/>
    <x v="36"/>
    <n v="2"/>
    <n v="1"/>
    <n v="0"/>
    <n v="0"/>
    <n v="0"/>
    <n v="0"/>
    <n v="0"/>
    <n v="0"/>
    <n v="2"/>
    <n v="0"/>
    <n v="2024"/>
    <x v="0"/>
    <x v="0"/>
    <x v="1"/>
  </r>
  <r>
    <x v="1"/>
    <x v="72"/>
    <x v="1"/>
    <x v="37"/>
    <n v="458"/>
    <n v="275"/>
    <n v="3"/>
    <n v="0"/>
    <n v="22010.5"/>
    <n v="9"/>
    <n v="21010.5"/>
    <n v="9"/>
    <n v="36"/>
    <n v="452"/>
    <n v="2024"/>
    <x v="0"/>
    <x v="0"/>
    <x v="1"/>
  </r>
  <r>
    <x v="1"/>
    <x v="72"/>
    <x v="1"/>
    <x v="38"/>
    <n v="279"/>
    <n v="94"/>
    <n v="11"/>
    <n v="4"/>
    <n v="40414.230000000003"/>
    <n v="14"/>
    <n v="28919.73"/>
    <n v="10"/>
    <n v="75"/>
    <n v="269"/>
    <n v="2024"/>
    <x v="0"/>
    <x v="0"/>
    <x v="1"/>
  </r>
  <r>
    <x v="1"/>
    <x v="72"/>
    <x v="1"/>
    <x v="40"/>
    <n v="2"/>
    <n v="1"/>
    <n v="0"/>
    <n v="0"/>
    <n v="0"/>
    <n v="0"/>
    <n v="0"/>
    <n v="0"/>
    <n v="0"/>
    <n v="2"/>
    <n v="2024"/>
    <x v="0"/>
    <x v="0"/>
    <x v="1"/>
  </r>
  <r>
    <x v="1"/>
    <x v="72"/>
    <x v="1"/>
    <x v="41"/>
    <n v="6"/>
    <n v="0"/>
    <n v="0"/>
    <n v="0"/>
    <n v="0"/>
    <n v="0"/>
    <n v="0"/>
    <n v="0"/>
    <n v="0"/>
    <n v="6"/>
    <n v="2024"/>
    <x v="0"/>
    <x v="0"/>
    <x v="1"/>
  </r>
  <r>
    <x v="1"/>
    <x v="72"/>
    <x v="1"/>
    <x v="42"/>
    <n v="83"/>
    <n v="42"/>
    <n v="5"/>
    <n v="1"/>
    <n v="0"/>
    <n v="0"/>
    <n v="0"/>
    <n v="0"/>
    <n v="9"/>
    <n v="78"/>
    <n v="2024"/>
    <x v="0"/>
    <x v="0"/>
    <x v="1"/>
  </r>
  <r>
    <x v="1"/>
    <x v="72"/>
    <x v="1"/>
    <x v="43"/>
    <n v="95"/>
    <n v="52"/>
    <n v="2"/>
    <n v="2"/>
    <n v="0"/>
    <n v="0"/>
    <n v="0"/>
    <n v="0"/>
    <n v="81"/>
    <n v="44"/>
    <n v="2024"/>
    <x v="0"/>
    <x v="0"/>
    <x v="1"/>
  </r>
  <r>
    <x v="1"/>
    <x v="72"/>
    <x v="1"/>
    <x v="44"/>
    <n v="46"/>
    <n v="9"/>
    <n v="0"/>
    <n v="0"/>
    <n v="3170"/>
    <n v="1"/>
    <n v="3170"/>
    <n v="1"/>
    <n v="0"/>
    <n v="46"/>
    <n v="2024"/>
    <x v="0"/>
    <x v="0"/>
    <x v="1"/>
  </r>
  <r>
    <x v="1"/>
    <x v="73"/>
    <x v="0"/>
    <x v="0"/>
    <n v="1704"/>
    <n v="327"/>
    <n v="1"/>
    <n v="1"/>
    <n v="350"/>
    <n v="1"/>
    <n v="350"/>
    <n v="1"/>
    <n v="16"/>
    <n v="1698"/>
    <n v="2024"/>
    <x v="0"/>
    <x v="0"/>
    <x v="1"/>
  </r>
  <r>
    <x v="1"/>
    <x v="73"/>
    <x v="0"/>
    <x v="1"/>
    <n v="18975"/>
    <n v="10446"/>
    <n v="102"/>
    <n v="92"/>
    <n v="113701"/>
    <n v="22"/>
    <n v="48011"/>
    <n v="17"/>
    <n v="702"/>
    <n v="18946"/>
    <n v="2024"/>
    <x v="0"/>
    <x v="0"/>
    <x v="1"/>
  </r>
  <r>
    <x v="1"/>
    <x v="73"/>
    <x v="0"/>
    <x v="2"/>
    <n v="3433"/>
    <n v="2801"/>
    <n v="19"/>
    <n v="6"/>
    <n v="7321"/>
    <n v="4"/>
    <n v="7321"/>
    <n v="4"/>
    <n v="3433"/>
    <n v="662"/>
    <n v="2024"/>
    <x v="0"/>
    <x v="0"/>
    <x v="1"/>
  </r>
  <r>
    <x v="1"/>
    <x v="73"/>
    <x v="0"/>
    <x v="3"/>
    <n v="10095"/>
    <n v="7720"/>
    <n v="1"/>
    <n v="4"/>
    <n v="0"/>
    <n v="0"/>
    <n v="0"/>
    <n v="0"/>
    <n v="8"/>
    <n v="333"/>
    <n v="2024"/>
    <x v="0"/>
    <x v="0"/>
    <x v="1"/>
  </r>
  <r>
    <x v="1"/>
    <x v="73"/>
    <x v="1"/>
    <x v="5"/>
    <n v="2"/>
    <n v="2"/>
    <n v="0"/>
    <n v="0"/>
    <n v="0"/>
    <n v="0"/>
    <n v="0"/>
    <n v="0"/>
    <n v="0"/>
    <n v="2"/>
    <n v="2024"/>
    <x v="0"/>
    <x v="0"/>
    <x v="1"/>
  </r>
  <r>
    <x v="1"/>
    <x v="73"/>
    <x v="1"/>
    <x v="6"/>
    <n v="18"/>
    <n v="12"/>
    <n v="0"/>
    <n v="0"/>
    <n v="0"/>
    <n v="0"/>
    <n v="0"/>
    <n v="0"/>
    <n v="10"/>
    <n v="9"/>
    <n v="2024"/>
    <x v="0"/>
    <x v="0"/>
    <x v="1"/>
  </r>
  <r>
    <x v="1"/>
    <x v="73"/>
    <x v="1"/>
    <x v="7"/>
    <n v="318"/>
    <n v="89"/>
    <n v="23"/>
    <n v="0"/>
    <n v="105467.51"/>
    <n v="32"/>
    <n v="99092.51"/>
    <n v="30"/>
    <n v="89"/>
    <n v="301"/>
    <n v="2024"/>
    <x v="0"/>
    <x v="0"/>
    <x v="1"/>
  </r>
  <r>
    <x v="1"/>
    <x v="73"/>
    <x v="1"/>
    <x v="8"/>
    <n v="8"/>
    <n v="2"/>
    <n v="0"/>
    <n v="0"/>
    <n v="0"/>
    <n v="0"/>
    <n v="0"/>
    <n v="0"/>
    <n v="0"/>
    <n v="8"/>
    <n v="2024"/>
    <x v="0"/>
    <x v="0"/>
    <x v="1"/>
  </r>
  <r>
    <x v="1"/>
    <x v="73"/>
    <x v="1"/>
    <x v="9"/>
    <n v="1"/>
    <n v="0"/>
    <n v="0"/>
    <n v="0"/>
    <n v="0"/>
    <n v="0"/>
    <n v="0"/>
    <n v="0"/>
    <n v="0"/>
    <n v="1"/>
    <n v="2024"/>
    <x v="0"/>
    <x v="0"/>
    <x v="1"/>
  </r>
  <r>
    <x v="1"/>
    <x v="73"/>
    <x v="1"/>
    <x v="10"/>
    <n v="810"/>
    <n v="639"/>
    <n v="6"/>
    <n v="7"/>
    <n v="0"/>
    <n v="0"/>
    <n v="0"/>
    <n v="0"/>
    <n v="194"/>
    <n v="746"/>
    <n v="2024"/>
    <x v="0"/>
    <x v="0"/>
    <x v="1"/>
  </r>
  <r>
    <x v="1"/>
    <x v="73"/>
    <x v="1"/>
    <x v="11"/>
    <n v="2"/>
    <n v="1"/>
    <n v="0"/>
    <n v="0"/>
    <n v="0"/>
    <n v="0"/>
    <n v="0"/>
    <n v="0"/>
    <n v="0"/>
    <n v="2"/>
    <n v="2024"/>
    <x v="0"/>
    <x v="0"/>
    <x v="1"/>
  </r>
  <r>
    <x v="1"/>
    <x v="73"/>
    <x v="1"/>
    <x v="13"/>
    <n v="12"/>
    <n v="7"/>
    <n v="2"/>
    <n v="0"/>
    <n v="0"/>
    <n v="0"/>
    <n v="0"/>
    <n v="0"/>
    <n v="0"/>
    <n v="12"/>
    <n v="2024"/>
    <x v="0"/>
    <x v="0"/>
    <x v="1"/>
  </r>
  <r>
    <x v="1"/>
    <x v="73"/>
    <x v="1"/>
    <x v="59"/>
    <n v="460"/>
    <n v="211"/>
    <n v="6"/>
    <n v="3"/>
    <n v="4526"/>
    <n v="3"/>
    <n v="4526"/>
    <n v="3"/>
    <n v="78"/>
    <n v="415"/>
    <n v="2024"/>
    <x v="0"/>
    <x v="0"/>
    <x v="1"/>
  </r>
  <r>
    <x v="1"/>
    <x v="73"/>
    <x v="1"/>
    <x v="15"/>
    <n v="7"/>
    <n v="7"/>
    <n v="0"/>
    <n v="0"/>
    <n v="0"/>
    <n v="0"/>
    <n v="0"/>
    <n v="0"/>
    <n v="0"/>
    <n v="7"/>
    <n v="2024"/>
    <x v="0"/>
    <x v="0"/>
    <x v="1"/>
  </r>
  <r>
    <x v="1"/>
    <x v="73"/>
    <x v="1"/>
    <x v="17"/>
    <n v="1"/>
    <n v="1"/>
    <n v="0"/>
    <n v="0"/>
    <n v="0"/>
    <n v="0"/>
    <n v="0"/>
    <n v="0"/>
    <n v="1"/>
    <n v="0"/>
    <n v="2024"/>
    <x v="0"/>
    <x v="0"/>
    <x v="1"/>
  </r>
  <r>
    <x v="1"/>
    <x v="73"/>
    <x v="1"/>
    <x v="18"/>
    <n v="3"/>
    <n v="3"/>
    <n v="0"/>
    <n v="0"/>
    <n v="0"/>
    <n v="0"/>
    <n v="0"/>
    <n v="0"/>
    <n v="0"/>
    <n v="3"/>
    <n v="2024"/>
    <x v="0"/>
    <x v="0"/>
    <x v="1"/>
  </r>
  <r>
    <x v="1"/>
    <x v="73"/>
    <x v="1"/>
    <x v="19"/>
    <n v="518"/>
    <n v="325"/>
    <n v="22"/>
    <n v="7"/>
    <n v="30290"/>
    <n v="9"/>
    <n v="20115"/>
    <n v="7"/>
    <n v="250"/>
    <n v="370"/>
    <n v="2024"/>
    <x v="0"/>
    <x v="0"/>
    <x v="1"/>
  </r>
  <r>
    <x v="1"/>
    <x v="73"/>
    <x v="1"/>
    <x v="20"/>
    <n v="23"/>
    <n v="16"/>
    <n v="0"/>
    <n v="0"/>
    <n v="0"/>
    <n v="0"/>
    <n v="0"/>
    <n v="0"/>
    <n v="1"/>
    <n v="22"/>
    <n v="2024"/>
    <x v="0"/>
    <x v="0"/>
    <x v="1"/>
  </r>
  <r>
    <x v="1"/>
    <x v="73"/>
    <x v="1"/>
    <x v="21"/>
    <n v="2"/>
    <n v="1"/>
    <n v="0"/>
    <n v="0"/>
    <n v="0"/>
    <n v="0"/>
    <n v="0"/>
    <n v="0"/>
    <n v="0"/>
    <n v="2"/>
    <n v="2024"/>
    <x v="0"/>
    <x v="0"/>
    <x v="1"/>
  </r>
  <r>
    <x v="1"/>
    <x v="73"/>
    <x v="1"/>
    <x v="24"/>
    <n v="21"/>
    <n v="11"/>
    <n v="0"/>
    <n v="0"/>
    <n v="0"/>
    <n v="0"/>
    <n v="0"/>
    <n v="0"/>
    <n v="6"/>
    <n v="18"/>
    <n v="2024"/>
    <x v="0"/>
    <x v="0"/>
    <x v="1"/>
  </r>
  <r>
    <x v="1"/>
    <x v="73"/>
    <x v="1"/>
    <x v="27"/>
    <n v="121"/>
    <n v="72"/>
    <n v="7"/>
    <n v="0"/>
    <n v="26439"/>
    <n v="9"/>
    <n v="26439"/>
    <n v="9"/>
    <n v="49"/>
    <n v="106"/>
    <n v="2024"/>
    <x v="0"/>
    <x v="0"/>
    <x v="1"/>
  </r>
  <r>
    <x v="1"/>
    <x v="73"/>
    <x v="1"/>
    <x v="28"/>
    <n v="1"/>
    <n v="0"/>
    <n v="0"/>
    <n v="0"/>
    <n v="0"/>
    <n v="0"/>
    <n v="0"/>
    <n v="0"/>
    <n v="0"/>
    <n v="1"/>
    <n v="2024"/>
    <x v="0"/>
    <x v="0"/>
    <x v="1"/>
  </r>
  <r>
    <x v="1"/>
    <x v="73"/>
    <x v="1"/>
    <x v="29"/>
    <n v="902"/>
    <n v="711"/>
    <n v="35"/>
    <n v="15"/>
    <n v="25695"/>
    <n v="9"/>
    <n v="12745"/>
    <n v="8"/>
    <n v="254"/>
    <n v="825"/>
    <n v="2024"/>
    <x v="0"/>
    <x v="0"/>
    <x v="1"/>
  </r>
  <r>
    <x v="1"/>
    <x v="73"/>
    <x v="1"/>
    <x v="30"/>
    <n v="1885"/>
    <n v="1072"/>
    <n v="37"/>
    <n v="16"/>
    <n v="13347.51"/>
    <n v="8"/>
    <n v="13347.51"/>
    <n v="8"/>
    <n v="202"/>
    <n v="1789"/>
    <n v="2024"/>
    <x v="0"/>
    <x v="0"/>
    <x v="1"/>
  </r>
  <r>
    <x v="1"/>
    <x v="73"/>
    <x v="1"/>
    <x v="31"/>
    <n v="126"/>
    <n v="94"/>
    <n v="3"/>
    <n v="4"/>
    <n v="0"/>
    <n v="0"/>
    <n v="0"/>
    <n v="0"/>
    <n v="16"/>
    <n v="121"/>
    <n v="2024"/>
    <x v="0"/>
    <x v="0"/>
    <x v="1"/>
  </r>
  <r>
    <x v="1"/>
    <x v="73"/>
    <x v="1"/>
    <x v="32"/>
    <n v="6"/>
    <n v="2"/>
    <n v="0"/>
    <n v="0"/>
    <n v="4695"/>
    <n v="1"/>
    <n v="4695"/>
    <n v="1"/>
    <n v="1"/>
    <n v="6"/>
    <n v="2024"/>
    <x v="0"/>
    <x v="0"/>
    <x v="1"/>
  </r>
  <r>
    <x v="1"/>
    <x v="73"/>
    <x v="1"/>
    <x v="34"/>
    <n v="157"/>
    <n v="68"/>
    <n v="3"/>
    <n v="3"/>
    <n v="5734"/>
    <n v="3"/>
    <n v="5734"/>
    <n v="3"/>
    <n v="62"/>
    <n v="131"/>
    <n v="2024"/>
    <x v="0"/>
    <x v="0"/>
    <x v="1"/>
  </r>
  <r>
    <x v="1"/>
    <x v="73"/>
    <x v="1"/>
    <x v="36"/>
    <n v="2"/>
    <n v="2"/>
    <n v="0"/>
    <n v="0"/>
    <n v="0"/>
    <n v="0"/>
    <n v="0"/>
    <n v="0"/>
    <n v="2"/>
    <n v="0"/>
    <n v="2024"/>
    <x v="0"/>
    <x v="0"/>
    <x v="1"/>
  </r>
  <r>
    <x v="1"/>
    <x v="73"/>
    <x v="1"/>
    <x v="37"/>
    <n v="423"/>
    <n v="231"/>
    <n v="4"/>
    <n v="0"/>
    <n v="8908"/>
    <n v="4"/>
    <n v="8908"/>
    <n v="4"/>
    <n v="47"/>
    <n v="415"/>
    <n v="2024"/>
    <x v="0"/>
    <x v="0"/>
    <x v="1"/>
  </r>
  <r>
    <x v="1"/>
    <x v="73"/>
    <x v="1"/>
    <x v="38"/>
    <n v="310"/>
    <n v="113"/>
    <n v="18"/>
    <n v="3"/>
    <n v="18277"/>
    <n v="10"/>
    <n v="18277"/>
    <n v="10"/>
    <n v="88"/>
    <n v="298"/>
    <n v="2024"/>
    <x v="0"/>
    <x v="0"/>
    <x v="1"/>
  </r>
  <r>
    <x v="1"/>
    <x v="73"/>
    <x v="1"/>
    <x v="39"/>
    <n v="2"/>
    <n v="0"/>
    <n v="0"/>
    <n v="0"/>
    <n v="0"/>
    <n v="0"/>
    <n v="0"/>
    <n v="0"/>
    <n v="0"/>
    <n v="2"/>
    <n v="2024"/>
    <x v="0"/>
    <x v="0"/>
    <x v="1"/>
  </r>
  <r>
    <x v="1"/>
    <x v="73"/>
    <x v="1"/>
    <x v="40"/>
    <n v="4"/>
    <n v="4"/>
    <n v="0"/>
    <n v="0"/>
    <n v="0"/>
    <n v="0"/>
    <n v="0"/>
    <n v="0"/>
    <n v="0"/>
    <n v="4"/>
    <n v="2024"/>
    <x v="0"/>
    <x v="0"/>
    <x v="1"/>
  </r>
  <r>
    <x v="1"/>
    <x v="73"/>
    <x v="1"/>
    <x v="41"/>
    <n v="8"/>
    <n v="3"/>
    <n v="0"/>
    <n v="0"/>
    <n v="0"/>
    <n v="0"/>
    <n v="0"/>
    <n v="0"/>
    <n v="0"/>
    <n v="8"/>
    <n v="2024"/>
    <x v="0"/>
    <x v="0"/>
    <x v="1"/>
  </r>
  <r>
    <x v="1"/>
    <x v="73"/>
    <x v="1"/>
    <x v="42"/>
    <n v="79"/>
    <n v="45"/>
    <n v="2"/>
    <n v="3"/>
    <n v="0"/>
    <n v="0"/>
    <n v="0"/>
    <n v="0"/>
    <n v="16"/>
    <n v="73"/>
    <n v="2024"/>
    <x v="0"/>
    <x v="0"/>
    <x v="1"/>
  </r>
  <r>
    <x v="1"/>
    <x v="73"/>
    <x v="1"/>
    <x v="43"/>
    <n v="82"/>
    <n v="54"/>
    <n v="3"/>
    <n v="0"/>
    <n v="1917"/>
    <n v="1"/>
    <n v="1917"/>
    <n v="1"/>
    <n v="66"/>
    <n v="36"/>
    <n v="2024"/>
    <x v="0"/>
    <x v="0"/>
    <x v="1"/>
  </r>
  <r>
    <x v="1"/>
    <x v="73"/>
    <x v="1"/>
    <x v="44"/>
    <n v="28"/>
    <n v="5"/>
    <n v="0"/>
    <n v="0"/>
    <n v="11925"/>
    <n v="3"/>
    <n v="11925"/>
    <n v="3"/>
    <n v="0"/>
    <n v="28"/>
    <n v="2024"/>
    <x v="0"/>
    <x v="0"/>
    <x v="1"/>
  </r>
  <r>
    <x v="1"/>
    <x v="73"/>
    <x v="1"/>
    <x v="45"/>
    <n v="2"/>
    <n v="1"/>
    <n v="0"/>
    <n v="0"/>
    <n v="0"/>
    <n v="0"/>
    <n v="0"/>
    <n v="0"/>
    <n v="0"/>
    <n v="2"/>
    <n v="2024"/>
    <x v="0"/>
    <x v="0"/>
    <x v="1"/>
  </r>
  <r>
    <x v="1"/>
    <x v="74"/>
    <x v="0"/>
    <x v="0"/>
    <n v="2148"/>
    <n v="480"/>
    <n v="4"/>
    <n v="1"/>
    <n v="11627.57"/>
    <n v="3"/>
    <n v="11627.57"/>
    <n v="3"/>
    <n v="17"/>
    <n v="2142"/>
    <n v="2024"/>
    <x v="0"/>
    <x v="0"/>
    <x v="1"/>
  </r>
  <r>
    <x v="1"/>
    <x v="74"/>
    <x v="0"/>
    <x v="1"/>
    <n v="20198"/>
    <n v="11521"/>
    <n v="108"/>
    <n v="81"/>
    <n v="109407"/>
    <n v="28"/>
    <n v="74982"/>
    <n v="26"/>
    <n v="767"/>
    <n v="20158"/>
    <n v="2024"/>
    <x v="0"/>
    <x v="0"/>
    <x v="1"/>
  </r>
  <r>
    <x v="1"/>
    <x v="74"/>
    <x v="0"/>
    <x v="2"/>
    <n v="3560"/>
    <n v="2904"/>
    <n v="18"/>
    <n v="3"/>
    <n v="22174"/>
    <n v="6"/>
    <n v="22174"/>
    <n v="6"/>
    <n v="3559"/>
    <n v="754"/>
    <n v="2024"/>
    <x v="0"/>
    <x v="0"/>
    <x v="1"/>
  </r>
  <r>
    <x v="1"/>
    <x v="74"/>
    <x v="0"/>
    <x v="3"/>
    <n v="17163"/>
    <n v="12770"/>
    <n v="2"/>
    <n v="5"/>
    <n v="0"/>
    <n v="0"/>
    <n v="0"/>
    <n v="0"/>
    <n v="8"/>
    <n v="872"/>
    <n v="2024"/>
    <x v="0"/>
    <x v="0"/>
    <x v="1"/>
  </r>
  <r>
    <x v="1"/>
    <x v="74"/>
    <x v="1"/>
    <x v="5"/>
    <n v="3"/>
    <n v="2"/>
    <n v="0"/>
    <n v="0"/>
    <n v="0"/>
    <n v="0"/>
    <n v="0"/>
    <n v="0"/>
    <n v="0"/>
    <n v="3"/>
    <n v="2024"/>
    <x v="0"/>
    <x v="0"/>
    <x v="1"/>
  </r>
  <r>
    <x v="1"/>
    <x v="74"/>
    <x v="1"/>
    <x v="6"/>
    <n v="26"/>
    <n v="20"/>
    <n v="0"/>
    <n v="1"/>
    <n v="0"/>
    <n v="0"/>
    <n v="0"/>
    <n v="0"/>
    <n v="16"/>
    <n v="7"/>
    <n v="2024"/>
    <x v="0"/>
    <x v="0"/>
    <x v="1"/>
  </r>
  <r>
    <x v="1"/>
    <x v="74"/>
    <x v="1"/>
    <x v="7"/>
    <n v="313"/>
    <n v="90"/>
    <n v="22"/>
    <n v="3"/>
    <n v="105644.56"/>
    <n v="36"/>
    <n v="95983.56"/>
    <n v="36"/>
    <n v="88"/>
    <n v="299"/>
    <n v="2024"/>
    <x v="0"/>
    <x v="0"/>
    <x v="1"/>
  </r>
  <r>
    <x v="1"/>
    <x v="74"/>
    <x v="1"/>
    <x v="8"/>
    <n v="8"/>
    <n v="2"/>
    <n v="0"/>
    <n v="0"/>
    <n v="2235"/>
    <n v="1"/>
    <n v="2235"/>
    <n v="1"/>
    <n v="0"/>
    <n v="6"/>
    <n v="2024"/>
    <x v="0"/>
    <x v="0"/>
    <x v="1"/>
  </r>
  <r>
    <x v="1"/>
    <x v="74"/>
    <x v="1"/>
    <x v="9"/>
    <n v="3"/>
    <n v="1"/>
    <n v="0"/>
    <n v="0"/>
    <n v="0"/>
    <n v="0"/>
    <n v="0"/>
    <n v="0"/>
    <n v="0"/>
    <n v="3"/>
    <n v="2024"/>
    <x v="0"/>
    <x v="0"/>
    <x v="1"/>
  </r>
  <r>
    <x v="1"/>
    <x v="74"/>
    <x v="1"/>
    <x v="10"/>
    <n v="599"/>
    <n v="476"/>
    <n v="2"/>
    <n v="5"/>
    <n v="2235"/>
    <n v="1"/>
    <n v="2235"/>
    <n v="1"/>
    <n v="149"/>
    <n v="545"/>
    <n v="2024"/>
    <x v="0"/>
    <x v="0"/>
    <x v="1"/>
  </r>
  <r>
    <x v="1"/>
    <x v="74"/>
    <x v="1"/>
    <x v="11"/>
    <n v="5"/>
    <n v="5"/>
    <n v="0"/>
    <n v="0"/>
    <n v="0"/>
    <n v="0"/>
    <n v="0"/>
    <n v="0"/>
    <n v="4"/>
    <n v="1"/>
    <n v="2024"/>
    <x v="0"/>
    <x v="0"/>
    <x v="1"/>
  </r>
  <r>
    <x v="1"/>
    <x v="74"/>
    <x v="1"/>
    <x v="13"/>
    <n v="11"/>
    <n v="10"/>
    <n v="0"/>
    <n v="0"/>
    <n v="0"/>
    <n v="0"/>
    <n v="0"/>
    <n v="0"/>
    <n v="0"/>
    <n v="11"/>
    <n v="2024"/>
    <x v="0"/>
    <x v="0"/>
    <x v="1"/>
  </r>
  <r>
    <x v="1"/>
    <x v="74"/>
    <x v="1"/>
    <x v="59"/>
    <n v="470"/>
    <n v="207"/>
    <n v="6"/>
    <n v="2"/>
    <n v="14098.81"/>
    <n v="5"/>
    <n v="9108.81"/>
    <n v="5"/>
    <n v="72"/>
    <n v="424"/>
    <n v="2024"/>
    <x v="0"/>
    <x v="0"/>
    <x v="1"/>
  </r>
  <r>
    <x v="1"/>
    <x v="74"/>
    <x v="1"/>
    <x v="15"/>
    <n v="14"/>
    <n v="14"/>
    <n v="0"/>
    <n v="0"/>
    <n v="0"/>
    <n v="0"/>
    <n v="0"/>
    <n v="0"/>
    <n v="0"/>
    <n v="14"/>
    <n v="2024"/>
    <x v="0"/>
    <x v="0"/>
    <x v="1"/>
  </r>
  <r>
    <x v="1"/>
    <x v="74"/>
    <x v="1"/>
    <x v="17"/>
    <n v="4"/>
    <n v="3"/>
    <n v="1"/>
    <n v="0"/>
    <n v="8190"/>
    <n v="1"/>
    <n v="8190"/>
    <n v="1"/>
    <n v="0"/>
    <n v="4"/>
    <n v="2024"/>
    <x v="0"/>
    <x v="0"/>
    <x v="1"/>
  </r>
  <r>
    <x v="1"/>
    <x v="74"/>
    <x v="1"/>
    <x v="18"/>
    <n v="10"/>
    <n v="9"/>
    <n v="0"/>
    <n v="0"/>
    <n v="0"/>
    <n v="0"/>
    <n v="0"/>
    <n v="0"/>
    <n v="4"/>
    <n v="10"/>
    <n v="2024"/>
    <x v="0"/>
    <x v="0"/>
    <x v="1"/>
  </r>
  <r>
    <x v="1"/>
    <x v="74"/>
    <x v="1"/>
    <x v="19"/>
    <n v="573"/>
    <n v="347"/>
    <n v="21"/>
    <n v="3"/>
    <n v="65929.87"/>
    <n v="21"/>
    <n v="60939.87"/>
    <n v="21"/>
    <n v="296"/>
    <n v="408"/>
    <n v="2024"/>
    <x v="0"/>
    <x v="0"/>
    <x v="1"/>
  </r>
  <r>
    <x v="1"/>
    <x v="74"/>
    <x v="1"/>
    <x v="20"/>
    <n v="11"/>
    <n v="8"/>
    <n v="0"/>
    <n v="1"/>
    <n v="0"/>
    <n v="0"/>
    <n v="0"/>
    <n v="0"/>
    <n v="0"/>
    <n v="11"/>
    <n v="2024"/>
    <x v="0"/>
    <x v="0"/>
    <x v="1"/>
  </r>
  <r>
    <x v="1"/>
    <x v="74"/>
    <x v="1"/>
    <x v="21"/>
    <n v="4"/>
    <n v="2"/>
    <n v="0"/>
    <n v="0"/>
    <n v="0"/>
    <n v="0"/>
    <n v="0"/>
    <n v="0"/>
    <n v="1"/>
    <n v="4"/>
    <n v="2024"/>
    <x v="0"/>
    <x v="0"/>
    <x v="1"/>
  </r>
  <r>
    <x v="1"/>
    <x v="74"/>
    <x v="1"/>
    <x v="24"/>
    <n v="21"/>
    <n v="12"/>
    <n v="3"/>
    <n v="0"/>
    <n v="0"/>
    <n v="0"/>
    <n v="0"/>
    <n v="0"/>
    <n v="10"/>
    <n v="16"/>
    <n v="2024"/>
    <x v="0"/>
    <x v="0"/>
    <x v="1"/>
  </r>
  <r>
    <x v="1"/>
    <x v="74"/>
    <x v="1"/>
    <x v="25"/>
    <n v="3"/>
    <n v="3"/>
    <n v="0"/>
    <n v="0"/>
    <n v="0"/>
    <n v="0"/>
    <n v="0"/>
    <n v="0"/>
    <n v="0"/>
    <n v="3"/>
    <n v="2024"/>
    <x v="0"/>
    <x v="0"/>
    <x v="1"/>
  </r>
  <r>
    <x v="1"/>
    <x v="74"/>
    <x v="1"/>
    <x v="27"/>
    <n v="218"/>
    <n v="105"/>
    <n v="10"/>
    <n v="3"/>
    <n v="42521.73"/>
    <n v="15"/>
    <n v="37531.730000000003"/>
    <n v="15"/>
    <n v="71"/>
    <n v="200"/>
    <n v="2024"/>
    <x v="0"/>
    <x v="0"/>
    <x v="1"/>
  </r>
  <r>
    <x v="1"/>
    <x v="74"/>
    <x v="1"/>
    <x v="29"/>
    <n v="961"/>
    <n v="779"/>
    <n v="43"/>
    <n v="10"/>
    <n v="80693"/>
    <n v="16"/>
    <n v="37508"/>
    <n v="14"/>
    <n v="291"/>
    <n v="858"/>
    <n v="2024"/>
    <x v="0"/>
    <x v="0"/>
    <x v="1"/>
  </r>
  <r>
    <x v="1"/>
    <x v="74"/>
    <x v="1"/>
    <x v="30"/>
    <n v="1970"/>
    <n v="1171"/>
    <n v="36"/>
    <n v="15"/>
    <n v="24616.57"/>
    <n v="11"/>
    <n v="16643.57"/>
    <n v="9"/>
    <n v="229"/>
    <n v="1819"/>
    <n v="2024"/>
    <x v="0"/>
    <x v="0"/>
    <x v="1"/>
  </r>
  <r>
    <x v="1"/>
    <x v="74"/>
    <x v="1"/>
    <x v="31"/>
    <n v="129"/>
    <n v="102"/>
    <n v="4"/>
    <n v="1"/>
    <n v="2980"/>
    <n v="1"/>
    <n v="2980"/>
    <n v="1"/>
    <n v="21"/>
    <n v="125"/>
    <n v="2024"/>
    <x v="0"/>
    <x v="0"/>
    <x v="1"/>
  </r>
  <r>
    <x v="1"/>
    <x v="74"/>
    <x v="1"/>
    <x v="32"/>
    <n v="5"/>
    <n v="3"/>
    <n v="0"/>
    <n v="0"/>
    <n v="0"/>
    <n v="0"/>
    <n v="0"/>
    <n v="0"/>
    <n v="4"/>
    <n v="5"/>
    <n v="2024"/>
    <x v="0"/>
    <x v="0"/>
    <x v="1"/>
  </r>
  <r>
    <x v="1"/>
    <x v="74"/>
    <x v="1"/>
    <x v="34"/>
    <n v="257"/>
    <n v="137"/>
    <n v="10"/>
    <n v="2"/>
    <n v="9643"/>
    <n v="6"/>
    <n v="8340"/>
    <n v="5"/>
    <n v="100"/>
    <n v="206"/>
    <n v="2024"/>
    <x v="0"/>
    <x v="0"/>
    <x v="1"/>
  </r>
  <r>
    <x v="1"/>
    <x v="74"/>
    <x v="1"/>
    <x v="35"/>
    <n v="1"/>
    <n v="0"/>
    <n v="0"/>
    <n v="0"/>
    <n v="0"/>
    <n v="0"/>
    <n v="0"/>
    <n v="0"/>
    <n v="0"/>
    <n v="1"/>
    <n v="2024"/>
    <x v="0"/>
    <x v="0"/>
    <x v="1"/>
  </r>
  <r>
    <x v="1"/>
    <x v="74"/>
    <x v="1"/>
    <x v="37"/>
    <n v="419"/>
    <n v="214"/>
    <n v="3"/>
    <n v="0"/>
    <n v="16824.939999999999"/>
    <n v="7"/>
    <n v="15521.94"/>
    <n v="6"/>
    <n v="54"/>
    <n v="412"/>
    <n v="2024"/>
    <x v="0"/>
    <x v="0"/>
    <x v="1"/>
  </r>
  <r>
    <x v="1"/>
    <x v="74"/>
    <x v="1"/>
    <x v="38"/>
    <n v="277"/>
    <n v="100"/>
    <n v="16"/>
    <n v="5"/>
    <n v="48753"/>
    <n v="16"/>
    <n v="35961"/>
    <n v="15"/>
    <n v="70"/>
    <n v="267"/>
    <n v="2024"/>
    <x v="0"/>
    <x v="0"/>
    <x v="1"/>
  </r>
  <r>
    <x v="1"/>
    <x v="74"/>
    <x v="1"/>
    <x v="40"/>
    <n v="2"/>
    <n v="1"/>
    <n v="0"/>
    <n v="0"/>
    <n v="0"/>
    <n v="0"/>
    <n v="0"/>
    <n v="0"/>
    <n v="0"/>
    <n v="2"/>
    <n v="2024"/>
    <x v="0"/>
    <x v="0"/>
    <x v="1"/>
  </r>
  <r>
    <x v="1"/>
    <x v="74"/>
    <x v="1"/>
    <x v="42"/>
    <n v="76"/>
    <n v="40"/>
    <n v="1"/>
    <n v="2"/>
    <n v="798"/>
    <n v="1"/>
    <n v="798"/>
    <n v="1"/>
    <n v="8"/>
    <n v="66"/>
    <n v="2024"/>
    <x v="0"/>
    <x v="0"/>
    <x v="1"/>
  </r>
  <r>
    <x v="1"/>
    <x v="74"/>
    <x v="1"/>
    <x v="43"/>
    <n v="89"/>
    <n v="41"/>
    <n v="2"/>
    <n v="1"/>
    <n v="0"/>
    <n v="0"/>
    <n v="0"/>
    <n v="0"/>
    <n v="69"/>
    <n v="52"/>
    <n v="2024"/>
    <x v="0"/>
    <x v="0"/>
    <x v="1"/>
  </r>
  <r>
    <x v="1"/>
    <x v="74"/>
    <x v="1"/>
    <x v="44"/>
    <n v="31"/>
    <n v="8"/>
    <n v="1"/>
    <n v="0"/>
    <n v="5281"/>
    <n v="2"/>
    <n v="5281"/>
    <n v="2"/>
    <n v="1"/>
    <n v="31"/>
    <n v="2024"/>
    <x v="0"/>
    <x v="0"/>
    <x v="1"/>
  </r>
  <r>
    <x v="1"/>
    <x v="75"/>
    <x v="0"/>
    <x v="0"/>
    <n v="2058"/>
    <n v="561"/>
    <n v="1"/>
    <n v="3"/>
    <n v="4027.5"/>
    <n v="2"/>
    <n v="4027.5"/>
    <n v="2"/>
    <n v="17"/>
    <n v="2045"/>
    <n v="2024"/>
    <x v="0"/>
    <x v="0"/>
    <x v="1"/>
  </r>
  <r>
    <x v="1"/>
    <x v="75"/>
    <x v="0"/>
    <x v="1"/>
    <n v="20105"/>
    <n v="11761"/>
    <n v="109"/>
    <n v="83"/>
    <n v="65826.5"/>
    <n v="19"/>
    <n v="38616.5"/>
    <n v="15"/>
    <n v="691"/>
    <n v="20085"/>
    <n v="2024"/>
    <x v="0"/>
    <x v="0"/>
    <x v="1"/>
  </r>
  <r>
    <x v="1"/>
    <x v="75"/>
    <x v="0"/>
    <x v="2"/>
    <n v="3350"/>
    <n v="2751"/>
    <n v="14"/>
    <n v="5"/>
    <n v="19711"/>
    <n v="8"/>
    <n v="19711"/>
    <n v="8"/>
    <n v="3350"/>
    <n v="689"/>
    <n v="2024"/>
    <x v="0"/>
    <x v="0"/>
    <x v="1"/>
  </r>
  <r>
    <x v="1"/>
    <x v="75"/>
    <x v="0"/>
    <x v="3"/>
    <n v="16121"/>
    <n v="10086"/>
    <n v="5"/>
    <n v="1"/>
    <n v="0"/>
    <n v="0"/>
    <n v="0"/>
    <n v="0"/>
    <n v="18"/>
    <n v="829"/>
    <n v="2024"/>
    <x v="0"/>
    <x v="0"/>
    <x v="1"/>
  </r>
  <r>
    <x v="1"/>
    <x v="75"/>
    <x v="1"/>
    <x v="5"/>
    <n v="1"/>
    <n v="1"/>
    <n v="0"/>
    <n v="0"/>
    <n v="0"/>
    <n v="0"/>
    <n v="0"/>
    <n v="0"/>
    <n v="0"/>
    <n v="1"/>
    <n v="2024"/>
    <x v="0"/>
    <x v="0"/>
    <x v="1"/>
  </r>
  <r>
    <x v="1"/>
    <x v="75"/>
    <x v="1"/>
    <x v="6"/>
    <n v="1667"/>
    <n v="1564"/>
    <n v="0"/>
    <n v="0"/>
    <n v="0"/>
    <n v="0"/>
    <n v="0"/>
    <n v="0"/>
    <n v="4"/>
    <n v="10"/>
    <n v="2024"/>
    <x v="0"/>
    <x v="0"/>
    <x v="1"/>
  </r>
  <r>
    <x v="1"/>
    <x v="75"/>
    <x v="1"/>
    <x v="7"/>
    <n v="293"/>
    <n v="84"/>
    <n v="21"/>
    <n v="1"/>
    <n v="44434.32"/>
    <n v="14"/>
    <n v="42754.32"/>
    <n v="13"/>
    <n v="73"/>
    <n v="280"/>
    <n v="2024"/>
    <x v="0"/>
    <x v="0"/>
    <x v="1"/>
  </r>
  <r>
    <x v="1"/>
    <x v="75"/>
    <x v="1"/>
    <x v="8"/>
    <n v="18"/>
    <n v="4"/>
    <n v="0"/>
    <n v="0"/>
    <n v="0"/>
    <n v="0"/>
    <n v="0"/>
    <n v="0"/>
    <n v="0"/>
    <n v="6"/>
    <n v="2024"/>
    <x v="0"/>
    <x v="0"/>
    <x v="1"/>
  </r>
  <r>
    <x v="1"/>
    <x v="75"/>
    <x v="1"/>
    <x v="9"/>
    <n v="3"/>
    <n v="1"/>
    <n v="0"/>
    <n v="0"/>
    <n v="0"/>
    <n v="0"/>
    <n v="0"/>
    <n v="0"/>
    <n v="0"/>
    <n v="3"/>
    <n v="2024"/>
    <x v="0"/>
    <x v="0"/>
    <x v="1"/>
  </r>
  <r>
    <x v="1"/>
    <x v="75"/>
    <x v="1"/>
    <x v="10"/>
    <n v="355"/>
    <n v="252"/>
    <n v="2"/>
    <n v="1"/>
    <n v="2377"/>
    <n v="1"/>
    <n v="2377"/>
    <n v="1"/>
    <n v="80"/>
    <n v="294"/>
    <n v="2024"/>
    <x v="0"/>
    <x v="0"/>
    <x v="1"/>
  </r>
  <r>
    <x v="1"/>
    <x v="75"/>
    <x v="1"/>
    <x v="11"/>
    <n v="3"/>
    <n v="2"/>
    <n v="0"/>
    <n v="0"/>
    <n v="0"/>
    <n v="0"/>
    <n v="0"/>
    <n v="0"/>
    <n v="2"/>
    <n v="1"/>
    <n v="2024"/>
    <x v="0"/>
    <x v="0"/>
    <x v="1"/>
  </r>
  <r>
    <x v="1"/>
    <x v="75"/>
    <x v="1"/>
    <x v="13"/>
    <n v="16"/>
    <n v="13"/>
    <n v="0"/>
    <n v="0"/>
    <n v="2747.5"/>
    <n v="1"/>
    <n v="2747.5"/>
    <n v="1"/>
    <n v="1"/>
    <n v="16"/>
    <n v="2024"/>
    <x v="0"/>
    <x v="0"/>
    <x v="1"/>
  </r>
  <r>
    <x v="1"/>
    <x v="75"/>
    <x v="1"/>
    <x v="14"/>
    <n v="1"/>
    <n v="1"/>
    <n v="0"/>
    <n v="0"/>
    <n v="0"/>
    <n v="0"/>
    <n v="0"/>
    <n v="0"/>
    <n v="0"/>
    <n v="0"/>
    <n v="2024"/>
    <x v="0"/>
    <x v="0"/>
    <x v="1"/>
  </r>
  <r>
    <x v="1"/>
    <x v="75"/>
    <x v="1"/>
    <x v="59"/>
    <n v="3504"/>
    <n v="2723"/>
    <n v="7"/>
    <n v="8"/>
    <n v="14000"/>
    <n v="4"/>
    <n v="12320"/>
    <n v="3"/>
    <n v="69"/>
    <n v="475"/>
    <n v="2024"/>
    <x v="0"/>
    <x v="0"/>
    <x v="1"/>
  </r>
  <r>
    <x v="1"/>
    <x v="75"/>
    <x v="1"/>
    <x v="15"/>
    <n v="9"/>
    <n v="6"/>
    <n v="0"/>
    <n v="0"/>
    <n v="0"/>
    <n v="0"/>
    <n v="0"/>
    <n v="0"/>
    <n v="0"/>
    <n v="9"/>
    <n v="2024"/>
    <x v="0"/>
    <x v="0"/>
    <x v="1"/>
  </r>
  <r>
    <x v="1"/>
    <x v="75"/>
    <x v="1"/>
    <x v="17"/>
    <n v="1"/>
    <n v="1"/>
    <n v="0"/>
    <n v="0"/>
    <n v="0"/>
    <n v="0"/>
    <n v="0"/>
    <n v="0"/>
    <n v="0"/>
    <n v="1"/>
    <n v="2024"/>
    <x v="0"/>
    <x v="0"/>
    <x v="1"/>
  </r>
  <r>
    <x v="1"/>
    <x v="75"/>
    <x v="1"/>
    <x v="18"/>
    <n v="7"/>
    <n v="6"/>
    <n v="3"/>
    <n v="0"/>
    <n v="0"/>
    <n v="0"/>
    <n v="0"/>
    <n v="0"/>
    <n v="3"/>
    <n v="7"/>
    <n v="2024"/>
    <x v="0"/>
    <x v="0"/>
    <x v="1"/>
  </r>
  <r>
    <x v="1"/>
    <x v="75"/>
    <x v="1"/>
    <x v="19"/>
    <n v="528"/>
    <n v="296"/>
    <n v="14"/>
    <n v="3"/>
    <n v="25992.5"/>
    <n v="9"/>
    <n v="19287.5"/>
    <n v="8"/>
    <n v="246"/>
    <n v="376"/>
    <n v="2024"/>
    <x v="0"/>
    <x v="0"/>
    <x v="1"/>
  </r>
  <r>
    <x v="1"/>
    <x v="75"/>
    <x v="1"/>
    <x v="20"/>
    <n v="12"/>
    <n v="8"/>
    <n v="0"/>
    <n v="1"/>
    <n v="0"/>
    <n v="0"/>
    <n v="0"/>
    <n v="0"/>
    <n v="3"/>
    <n v="10"/>
    <n v="2024"/>
    <x v="0"/>
    <x v="0"/>
    <x v="1"/>
  </r>
  <r>
    <x v="1"/>
    <x v="75"/>
    <x v="1"/>
    <x v="21"/>
    <n v="1"/>
    <n v="1"/>
    <n v="0"/>
    <n v="0"/>
    <n v="0"/>
    <n v="0"/>
    <n v="0"/>
    <n v="0"/>
    <n v="0"/>
    <n v="1"/>
    <n v="2024"/>
    <x v="0"/>
    <x v="0"/>
    <x v="1"/>
  </r>
  <r>
    <x v="1"/>
    <x v="75"/>
    <x v="1"/>
    <x v="22"/>
    <n v="2"/>
    <n v="2"/>
    <n v="0"/>
    <n v="0"/>
    <n v="0"/>
    <n v="0"/>
    <n v="0"/>
    <n v="0"/>
    <n v="0"/>
    <n v="0"/>
    <n v="2024"/>
    <x v="0"/>
    <x v="0"/>
    <x v="1"/>
  </r>
  <r>
    <x v="1"/>
    <x v="75"/>
    <x v="1"/>
    <x v="24"/>
    <n v="15"/>
    <n v="11"/>
    <n v="1"/>
    <n v="0"/>
    <n v="15163"/>
    <n v="3"/>
    <n v="15163"/>
    <n v="3"/>
    <n v="5"/>
    <n v="12"/>
    <n v="2024"/>
    <x v="0"/>
    <x v="0"/>
    <x v="1"/>
  </r>
  <r>
    <x v="1"/>
    <x v="75"/>
    <x v="1"/>
    <x v="25"/>
    <n v="2"/>
    <n v="1"/>
    <n v="0"/>
    <n v="0"/>
    <n v="0"/>
    <n v="0"/>
    <n v="0"/>
    <n v="0"/>
    <n v="0"/>
    <n v="2"/>
    <n v="2024"/>
    <x v="0"/>
    <x v="0"/>
    <x v="1"/>
  </r>
  <r>
    <x v="1"/>
    <x v="75"/>
    <x v="1"/>
    <x v="27"/>
    <n v="244"/>
    <n v="117"/>
    <n v="17"/>
    <n v="4"/>
    <n v="9910"/>
    <n v="5"/>
    <n v="8230"/>
    <n v="4"/>
    <n v="77"/>
    <n v="229"/>
    <n v="2024"/>
    <x v="0"/>
    <x v="0"/>
    <x v="1"/>
  </r>
  <r>
    <x v="1"/>
    <x v="75"/>
    <x v="1"/>
    <x v="28"/>
    <n v="1"/>
    <n v="1"/>
    <n v="0"/>
    <n v="0"/>
    <n v="0"/>
    <n v="0"/>
    <n v="0"/>
    <n v="0"/>
    <n v="0"/>
    <n v="1"/>
    <n v="2024"/>
    <x v="0"/>
    <x v="0"/>
    <x v="1"/>
  </r>
  <r>
    <x v="1"/>
    <x v="75"/>
    <x v="1"/>
    <x v="29"/>
    <n v="934"/>
    <n v="749"/>
    <n v="47"/>
    <n v="20"/>
    <n v="19817"/>
    <n v="9"/>
    <n v="19817"/>
    <n v="9"/>
    <n v="283"/>
    <n v="851"/>
    <n v="2024"/>
    <x v="0"/>
    <x v="0"/>
    <x v="1"/>
  </r>
  <r>
    <x v="1"/>
    <x v="75"/>
    <x v="1"/>
    <x v="30"/>
    <n v="2259"/>
    <n v="1430"/>
    <n v="50"/>
    <n v="24"/>
    <n v="19053"/>
    <n v="5"/>
    <n v="15775"/>
    <n v="3"/>
    <n v="245"/>
    <n v="2011"/>
    <n v="2024"/>
    <x v="0"/>
    <x v="0"/>
    <x v="1"/>
  </r>
  <r>
    <x v="1"/>
    <x v="75"/>
    <x v="1"/>
    <x v="31"/>
    <n v="114"/>
    <n v="93"/>
    <n v="4"/>
    <n v="2"/>
    <n v="0"/>
    <n v="0"/>
    <n v="0"/>
    <n v="0"/>
    <n v="26"/>
    <n v="110"/>
    <n v="2024"/>
    <x v="0"/>
    <x v="0"/>
    <x v="1"/>
  </r>
  <r>
    <x v="1"/>
    <x v="75"/>
    <x v="1"/>
    <x v="32"/>
    <n v="1"/>
    <n v="0"/>
    <n v="0"/>
    <n v="0"/>
    <n v="0"/>
    <n v="0"/>
    <n v="0"/>
    <n v="0"/>
    <n v="1"/>
    <n v="0"/>
    <n v="2024"/>
    <x v="0"/>
    <x v="0"/>
    <x v="1"/>
  </r>
  <r>
    <x v="1"/>
    <x v="75"/>
    <x v="1"/>
    <x v="34"/>
    <n v="284"/>
    <n v="164"/>
    <n v="8"/>
    <n v="3"/>
    <n v="5125"/>
    <n v="2"/>
    <n v="5125"/>
    <n v="2"/>
    <n v="84"/>
    <n v="216"/>
    <n v="2024"/>
    <x v="0"/>
    <x v="0"/>
    <x v="1"/>
  </r>
  <r>
    <x v="1"/>
    <x v="75"/>
    <x v="1"/>
    <x v="36"/>
    <n v="2"/>
    <n v="1"/>
    <n v="0"/>
    <n v="0"/>
    <n v="0"/>
    <n v="0"/>
    <n v="0"/>
    <n v="0"/>
    <n v="1"/>
    <n v="2"/>
    <n v="2024"/>
    <x v="0"/>
    <x v="0"/>
    <x v="1"/>
  </r>
  <r>
    <x v="1"/>
    <x v="75"/>
    <x v="1"/>
    <x v="37"/>
    <n v="431"/>
    <n v="250"/>
    <n v="2"/>
    <n v="0"/>
    <n v="0"/>
    <n v="0"/>
    <n v="0"/>
    <n v="0"/>
    <n v="46"/>
    <n v="429"/>
    <n v="2024"/>
    <x v="0"/>
    <x v="0"/>
    <x v="1"/>
  </r>
  <r>
    <x v="1"/>
    <x v="75"/>
    <x v="1"/>
    <x v="38"/>
    <n v="264"/>
    <n v="113"/>
    <n v="16"/>
    <n v="5"/>
    <n v="15545"/>
    <n v="4"/>
    <n v="15545"/>
    <n v="4"/>
    <n v="78"/>
    <n v="246"/>
    <n v="2024"/>
    <x v="0"/>
    <x v="0"/>
    <x v="1"/>
  </r>
  <r>
    <x v="1"/>
    <x v="75"/>
    <x v="1"/>
    <x v="39"/>
    <n v="1"/>
    <n v="1"/>
    <n v="0"/>
    <n v="0"/>
    <n v="0"/>
    <n v="0"/>
    <n v="0"/>
    <n v="0"/>
    <n v="0"/>
    <n v="1"/>
    <n v="2024"/>
    <x v="0"/>
    <x v="0"/>
    <x v="1"/>
  </r>
  <r>
    <x v="1"/>
    <x v="75"/>
    <x v="1"/>
    <x v="40"/>
    <n v="2"/>
    <n v="1"/>
    <n v="1"/>
    <n v="0"/>
    <n v="0"/>
    <n v="0"/>
    <n v="0"/>
    <n v="0"/>
    <n v="0"/>
    <n v="2"/>
    <n v="2024"/>
    <x v="0"/>
    <x v="0"/>
    <x v="1"/>
  </r>
  <r>
    <x v="1"/>
    <x v="75"/>
    <x v="1"/>
    <x v="42"/>
    <n v="77"/>
    <n v="38"/>
    <n v="1"/>
    <n v="1"/>
    <n v="0"/>
    <n v="0"/>
    <n v="0"/>
    <n v="0"/>
    <n v="12"/>
    <n v="69"/>
    <n v="2024"/>
    <x v="0"/>
    <x v="0"/>
    <x v="1"/>
  </r>
  <r>
    <x v="1"/>
    <x v="75"/>
    <x v="1"/>
    <x v="43"/>
    <n v="80"/>
    <n v="45"/>
    <n v="1"/>
    <n v="0"/>
    <n v="0"/>
    <n v="0"/>
    <n v="0"/>
    <n v="0"/>
    <n v="62"/>
    <n v="41"/>
    <n v="2024"/>
    <x v="0"/>
    <x v="0"/>
    <x v="1"/>
  </r>
  <r>
    <x v="1"/>
    <x v="75"/>
    <x v="1"/>
    <x v="44"/>
    <n v="22"/>
    <n v="6"/>
    <n v="0"/>
    <n v="0"/>
    <n v="0"/>
    <n v="0"/>
    <n v="0"/>
    <n v="0"/>
    <n v="1"/>
    <n v="22"/>
    <n v="2024"/>
    <x v="0"/>
    <x v="0"/>
    <x v="1"/>
  </r>
  <r>
    <x v="1"/>
    <x v="75"/>
    <x v="1"/>
    <x v="45"/>
    <n v="6"/>
    <n v="5"/>
    <n v="0"/>
    <n v="0"/>
    <n v="0"/>
    <n v="0"/>
    <n v="0"/>
    <n v="0"/>
    <n v="0"/>
    <n v="6"/>
    <n v="2024"/>
    <x v="0"/>
    <x v="0"/>
    <x v="1"/>
  </r>
  <r>
    <x v="1"/>
    <x v="76"/>
    <x v="0"/>
    <x v="0"/>
    <n v="1871"/>
    <n v="561"/>
    <n v="1"/>
    <n v="0"/>
    <n v="0"/>
    <n v="0"/>
    <n v="0"/>
    <n v="0"/>
    <n v="29"/>
    <n v="1863"/>
    <n v="2024"/>
    <x v="0"/>
    <x v="0"/>
    <x v="1"/>
  </r>
  <r>
    <x v="1"/>
    <x v="76"/>
    <x v="0"/>
    <x v="1"/>
    <n v="18603"/>
    <n v="11315"/>
    <n v="108"/>
    <n v="94"/>
    <n v="67151.199999999997"/>
    <n v="19"/>
    <n v="42030.2"/>
    <n v="15"/>
    <n v="704"/>
    <n v="18568"/>
    <n v="2024"/>
    <x v="0"/>
    <x v="0"/>
    <x v="1"/>
  </r>
  <r>
    <x v="1"/>
    <x v="76"/>
    <x v="0"/>
    <x v="2"/>
    <n v="3458"/>
    <n v="2834"/>
    <n v="21"/>
    <n v="5"/>
    <n v="7905"/>
    <n v="2"/>
    <n v="7905"/>
    <n v="2"/>
    <n v="3458"/>
    <n v="772"/>
    <n v="2024"/>
    <x v="0"/>
    <x v="0"/>
    <x v="1"/>
  </r>
  <r>
    <x v="1"/>
    <x v="76"/>
    <x v="0"/>
    <x v="3"/>
    <n v="11244"/>
    <n v="7108"/>
    <n v="0"/>
    <n v="1"/>
    <n v="0"/>
    <n v="0"/>
    <n v="0"/>
    <n v="0"/>
    <n v="2"/>
    <n v="204"/>
    <n v="2024"/>
    <x v="0"/>
    <x v="0"/>
    <x v="1"/>
  </r>
  <r>
    <x v="1"/>
    <x v="76"/>
    <x v="1"/>
    <x v="4"/>
    <n v="1"/>
    <n v="1"/>
    <n v="0"/>
    <n v="0"/>
    <n v="0"/>
    <n v="0"/>
    <n v="0"/>
    <n v="0"/>
    <n v="0"/>
    <n v="1"/>
    <n v="2024"/>
    <x v="0"/>
    <x v="0"/>
    <x v="1"/>
  </r>
  <r>
    <x v="1"/>
    <x v="76"/>
    <x v="1"/>
    <x v="5"/>
    <n v="3"/>
    <n v="2"/>
    <n v="0"/>
    <n v="0"/>
    <n v="0"/>
    <n v="0"/>
    <n v="0"/>
    <n v="0"/>
    <n v="0"/>
    <n v="3"/>
    <n v="2024"/>
    <x v="0"/>
    <x v="0"/>
    <x v="1"/>
  </r>
  <r>
    <x v="1"/>
    <x v="76"/>
    <x v="1"/>
    <x v="6"/>
    <n v="23"/>
    <n v="14"/>
    <n v="0"/>
    <n v="0"/>
    <n v="0"/>
    <n v="0"/>
    <n v="0"/>
    <n v="0"/>
    <n v="8"/>
    <n v="5"/>
    <n v="2024"/>
    <x v="0"/>
    <x v="0"/>
    <x v="1"/>
  </r>
  <r>
    <x v="1"/>
    <x v="76"/>
    <x v="1"/>
    <x v="7"/>
    <n v="289"/>
    <n v="75"/>
    <n v="17"/>
    <n v="1"/>
    <n v="44612.800000000003"/>
    <n v="19"/>
    <n v="44612.800000000003"/>
    <n v="19"/>
    <n v="73"/>
    <n v="275"/>
    <n v="2024"/>
    <x v="0"/>
    <x v="0"/>
    <x v="1"/>
  </r>
  <r>
    <x v="1"/>
    <x v="76"/>
    <x v="1"/>
    <x v="8"/>
    <n v="6"/>
    <n v="1"/>
    <n v="0"/>
    <n v="1"/>
    <n v="0"/>
    <n v="0"/>
    <n v="0"/>
    <n v="0"/>
    <n v="0"/>
    <n v="6"/>
    <n v="2024"/>
    <x v="0"/>
    <x v="0"/>
    <x v="1"/>
  </r>
  <r>
    <x v="1"/>
    <x v="76"/>
    <x v="1"/>
    <x v="9"/>
    <n v="7"/>
    <n v="4"/>
    <n v="0"/>
    <n v="0"/>
    <n v="0"/>
    <n v="0"/>
    <n v="0"/>
    <n v="0"/>
    <n v="1"/>
    <n v="7"/>
    <n v="2024"/>
    <x v="0"/>
    <x v="0"/>
    <x v="1"/>
  </r>
  <r>
    <x v="1"/>
    <x v="76"/>
    <x v="1"/>
    <x v="10"/>
    <n v="307"/>
    <n v="221"/>
    <n v="5"/>
    <n v="2"/>
    <n v="1980"/>
    <n v="1"/>
    <n v="1980"/>
    <n v="1"/>
    <n v="82"/>
    <n v="279"/>
    <n v="2024"/>
    <x v="0"/>
    <x v="0"/>
    <x v="1"/>
  </r>
  <r>
    <x v="1"/>
    <x v="76"/>
    <x v="1"/>
    <x v="13"/>
    <n v="16"/>
    <n v="13"/>
    <n v="1"/>
    <n v="0"/>
    <n v="0"/>
    <n v="0"/>
    <n v="0"/>
    <n v="0"/>
    <n v="0"/>
    <n v="16"/>
    <n v="2024"/>
    <x v="0"/>
    <x v="0"/>
    <x v="1"/>
  </r>
  <r>
    <x v="1"/>
    <x v="76"/>
    <x v="1"/>
    <x v="59"/>
    <n v="483"/>
    <n v="215"/>
    <n v="3"/>
    <n v="3"/>
    <n v="9630"/>
    <n v="3"/>
    <n v="4875"/>
    <n v="2"/>
    <n v="71"/>
    <n v="437"/>
    <n v="2024"/>
    <x v="0"/>
    <x v="0"/>
    <x v="1"/>
  </r>
  <r>
    <x v="1"/>
    <x v="76"/>
    <x v="1"/>
    <x v="15"/>
    <n v="11"/>
    <n v="9"/>
    <n v="0"/>
    <n v="0"/>
    <n v="0"/>
    <n v="0"/>
    <n v="0"/>
    <n v="0"/>
    <n v="0"/>
    <n v="11"/>
    <n v="2024"/>
    <x v="0"/>
    <x v="0"/>
    <x v="1"/>
  </r>
  <r>
    <x v="1"/>
    <x v="76"/>
    <x v="1"/>
    <x v="19"/>
    <n v="483"/>
    <n v="257"/>
    <n v="14"/>
    <n v="6"/>
    <n v="21279.5"/>
    <n v="7"/>
    <n v="18283.5"/>
    <n v="7"/>
    <n v="275"/>
    <n v="312"/>
    <n v="2024"/>
    <x v="0"/>
    <x v="0"/>
    <x v="1"/>
  </r>
  <r>
    <x v="1"/>
    <x v="76"/>
    <x v="1"/>
    <x v="20"/>
    <n v="5"/>
    <n v="2"/>
    <n v="0"/>
    <n v="0"/>
    <n v="0"/>
    <n v="0"/>
    <n v="0"/>
    <n v="0"/>
    <n v="0"/>
    <n v="5"/>
    <n v="2024"/>
    <x v="0"/>
    <x v="0"/>
    <x v="1"/>
  </r>
  <r>
    <x v="1"/>
    <x v="76"/>
    <x v="1"/>
    <x v="21"/>
    <n v="5"/>
    <n v="5"/>
    <n v="0"/>
    <n v="0"/>
    <n v="0"/>
    <n v="0"/>
    <n v="0"/>
    <n v="0"/>
    <n v="0"/>
    <n v="5"/>
    <n v="2024"/>
    <x v="0"/>
    <x v="0"/>
    <x v="1"/>
  </r>
  <r>
    <x v="1"/>
    <x v="76"/>
    <x v="1"/>
    <x v="24"/>
    <n v="14"/>
    <n v="8"/>
    <n v="1"/>
    <n v="0"/>
    <n v="0"/>
    <n v="0"/>
    <n v="0"/>
    <n v="0"/>
    <n v="4"/>
    <n v="13"/>
    <n v="2024"/>
    <x v="0"/>
    <x v="0"/>
    <x v="1"/>
  </r>
  <r>
    <x v="1"/>
    <x v="76"/>
    <x v="1"/>
    <x v="27"/>
    <n v="47"/>
    <n v="16"/>
    <n v="3"/>
    <n v="1"/>
    <n v="19815"/>
    <n v="6"/>
    <n v="16819"/>
    <n v="6"/>
    <n v="18"/>
    <n v="45"/>
    <n v="2024"/>
    <x v="0"/>
    <x v="0"/>
    <x v="1"/>
  </r>
  <r>
    <x v="1"/>
    <x v="76"/>
    <x v="1"/>
    <x v="28"/>
    <n v="1"/>
    <n v="0"/>
    <n v="0"/>
    <n v="0"/>
    <n v="0"/>
    <n v="0"/>
    <n v="0"/>
    <n v="0"/>
    <n v="0"/>
    <n v="1"/>
    <n v="2024"/>
    <x v="0"/>
    <x v="0"/>
    <x v="1"/>
  </r>
  <r>
    <x v="1"/>
    <x v="76"/>
    <x v="1"/>
    <x v="29"/>
    <n v="888"/>
    <n v="701"/>
    <n v="32"/>
    <n v="15"/>
    <n v="25428.5"/>
    <n v="11"/>
    <n v="17183.5"/>
    <n v="9"/>
    <n v="255"/>
    <n v="786"/>
    <n v="2024"/>
    <x v="0"/>
    <x v="0"/>
    <x v="1"/>
  </r>
  <r>
    <x v="1"/>
    <x v="76"/>
    <x v="1"/>
    <x v="30"/>
    <n v="2070"/>
    <n v="1188"/>
    <n v="32"/>
    <n v="18"/>
    <n v="9882.5"/>
    <n v="3"/>
    <n v="6886.5"/>
    <n v="3"/>
    <n v="195"/>
    <n v="1912"/>
    <n v="2024"/>
    <x v="0"/>
    <x v="0"/>
    <x v="1"/>
  </r>
  <r>
    <x v="1"/>
    <x v="76"/>
    <x v="1"/>
    <x v="31"/>
    <n v="82"/>
    <n v="62"/>
    <n v="3"/>
    <n v="1"/>
    <n v="4755"/>
    <n v="1"/>
    <n v="0"/>
    <n v="0"/>
    <n v="16"/>
    <n v="80"/>
    <n v="2024"/>
    <x v="0"/>
    <x v="0"/>
    <x v="1"/>
  </r>
  <r>
    <x v="1"/>
    <x v="76"/>
    <x v="1"/>
    <x v="32"/>
    <n v="2"/>
    <n v="1"/>
    <n v="0"/>
    <n v="0"/>
    <n v="0"/>
    <n v="0"/>
    <n v="0"/>
    <n v="0"/>
    <n v="0"/>
    <n v="2"/>
    <n v="2024"/>
    <x v="0"/>
    <x v="0"/>
    <x v="1"/>
  </r>
  <r>
    <x v="1"/>
    <x v="76"/>
    <x v="1"/>
    <x v="34"/>
    <n v="250"/>
    <n v="133"/>
    <n v="10"/>
    <n v="2"/>
    <n v="3975"/>
    <n v="1"/>
    <n v="3975"/>
    <n v="1"/>
    <n v="90"/>
    <n v="206"/>
    <n v="2024"/>
    <x v="0"/>
    <x v="0"/>
    <x v="1"/>
  </r>
  <r>
    <x v="1"/>
    <x v="76"/>
    <x v="1"/>
    <x v="37"/>
    <n v="493"/>
    <n v="290"/>
    <n v="2"/>
    <n v="1"/>
    <n v="3223"/>
    <n v="2"/>
    <n v="3223"/>
    <n v="2"/>
    <n v="59"/>
    <n v="482"/>
    <n v="2024"/>
    <x v="0"/>
    <x v="0"/>
    <x v="1"/>
  </r>
  <r>
    <x v="1"/>
    <x v="76"/>
    <x v="1"/>
    <x v="38"/>
    <n v="232"/>
    <n v="82"/>
    <n v="11"/>
    <n v="4"/>
    <n v="26803.15"/>
    <n v="9"/>
    <n v="23315.15"/>
    <n v="9"/>
    <n v="70"/>
    <n v="215"/>
    <n v="2024"/>
    <x v="0"/>
    <x v="0"/>
    <x v="1"/>
  </r>
  <r>
    <x v="1"/>
    <x v="76"/>
    <x v="1"/>
    <x v="40"/>
    <n v="2"/>
    <n v="2"/>
    <n v="0"/>
    <n v="0"/>
    <n v="0"/>
    <n v="0"/>
    <n v="0"/>
    <n v="0"/>
    <n v="0"/>
    <n v="2"/>
    <n v="2024"/>
    <x v="0"/>
    <x v="0"/>
    <x v="1"/>
  </r>
  <r>
    <x v="1"/>
    <x v="76"/>
    <x v="1"/>
    <x v="42"/>
    <n v="86"/>
    <n v="41"/>
    <n v="0"/>
    <n v="0"/>
    <n v="0"/>
    <n v="0"/>
    <n v="0"/>
    <n v="0"/>
    <n v="14"/>
    <n v="71"/>
    <n v="2024"/>
    <x v="0"/>
    <x v="0"/>
    <x v="1"/>
  </r>
  <r>
    <x v="1"/>
    <x v="76"/>
    <x v="1"/>
    <x v="43"/>
    <n v="96"/>
    <n v="59"/>
    <n v="2"/>
    <n v="1"/>
    <n v="0"/>
    <n v="0"/>
    <n v="0"/>
    <n v="0"/>
    <n v="82"/>
    <n v="46"/>
    <n v="2024"/>
    <x v="0"/>
    <x v="0"/>
    <x v="1"/>
  </r>
  <r>
    <x v="1"/>
    <x v="76"/>
    <x v="1"/>
    <x v="44"/>
    <n v="19"/>
    <n v="8"/>
    <n v="0"/>
    <n v="0"/>
    <n v="1488"/>
    <n v="1"/>
    <n v="1488"/>
    <n v="1"/>
    <n v="0"/>
    <n v="19"/>
    <n v="2024"/>
    <x v="0"/>
    <x v="0"/>
    <x v="1"/>
  </r>
  <r>
    <x v="1"/>
    <x v="76"/>
    <x v="1"/>
    <x v="45"/>
    <n v="6"/>
    <n v="4"/>
    <n v="0"/>
    <n v="0"/>
    <n v="0"/>
    <n v="0"/>
    <n v="0"/>
    <n v="0"/>
    <n v="0"/>
    <n v="6"/>
    <n v="2024"/>
    <x v="0"/>
    <x v="0"/>
    <x v="1"/>
  </r>
  <r>
    <x v="1"/>
    <x v="77"/>
    <x v="0"/>
    <x v="0"/>
    <n v="1704"/>
    <n v="587"/>
    <n v="1"/>
    <n v="2"/>
    <n v="1677"/>
    <n v="1"/>
    <n v="1677"/>
    <n v="1"/>
    <n v="19"/>
    <n v="1692"/>
    <n v="2024"/>
    <x v="0"/>
    <x v="0"/>
    <x v="1"/>
  </r>
  <r>
    <x v="1"/>
    <x v="77"/>
    <x v="0"/>
    <x v="1"/>
    <n v="20299"/>
    <n v="12953"/>
    <n v="118"/>
    <n v="79"/>
    <n v="35109"/>
    <n v="9"/>
    <n v="35109"/>
    <n v="9"/>
    <n v="736"/>
    <n v="20260"/>
    <n v="2024"/>
    <x v="0"/>
    <x v="0"/>
    <x v="1"/>
  </r>
  <r>
    <x v="1"/>
    <x v="77"/>
    <x v="0"/>
    <x v="2"/>
    <n v="3336"/>
    <n v="2723"/>
    <n v="16"/>
    <n v="10"/>
    <n v="53490"/>
    <n v="4"/>
    <n v="38545"/>
    <n v="3"/>
    <n v="3335"/>
    <n v="672"/>
    <n v="2024"/>
    <x v="0"/>
    <x v="0"/>
    <x v="1"/>
  </r>
  <r>
    <x v="1"/>
    <x v="77"/>
    <x v="0"/>
    <x v="3"/>
    <n v="14494"/>
    <n v="10755"/>
    <n v="4"/>
    <n v="1"/>
    <n v="0"/>
    <n v="0"/>
    <n v="0"/>
    <n v="0"/>
    <n v="22"/>
    <n v="1156"/>
    <n v="2024"/>
    <x v="0"/>
    <x v="0"/>
    <x v="1"/>
  </r>
  <r>
    <x v="1"/>
    <x v="77"/>
    <x v="1"/>
    <x v="5"/>
    <n v="4"/>
    <n v="3"/>
    <n v="0"/>
    <n v="0"/>
    <n v="0"/>
    <n v="0"/>
    <n v="0"/>
    <n v="0"/>
    <n v="0"/>
    <n v="4"/>
    <n v="2024"/>
    <x v="0"/>
    <x v="0"/>
    <x v="1"/>
  </r>
  <r>
    <x v="1"/>
    <x v="77"/>
    <x v="1"/>
    <x v="6"/>
    <n v="1918"/>
    <n v="1862"/>
    <n v="0"/>
    <n v="0"/>
    <n v="0"/>
    <n v="0"/>
    <n v="0"/>
    <n v="0"/>
    <n v="9"/>
    <n v="10"/>
    <n v="2024"/>
    <x v="0"/>
    <x v="0"/>
    <x v="1"/>
  </r>
  <r>
    <x v="1"/>
    <x v="77"/>
    <x v="1"/>
    <x v="7"/>
    <n v="305"/>
    <n v="78"/>
    <n v="16"/>
    <n v="0"/>
    <n v="81182.850000000006"/>
    <n v="18"/>
    <n v="76879.850000000006"/>
    <n v="18"/>
    <n v="71"/>
    <n v="297"/>
    <n v="2024"/>
    <x v="0"/>
    <x v="0"/>
    <x v="1"/>
  </r>
  <r>
    <x v="1"/>
    <x v="77"/>
    <x v="1"/>
    <x v="8"/>
    <n v="11"/>
    <n v="3"/>
    <n v="0"/>
    <n v="0"/>
    <n v="0"/>
    <n v="0"/>
    <n v="0"/>
    <n v="0"/>
    <n v="0"/>
    <n v="8"/>
    <n v="2024"/>
    <x v="0"/>
    <x v="0"/>
    <x v="1"/>
  </r>
  <r>
    <x v="1"/>
    <x v="77"/>
    <x v="1"/>
    <x v="9"/>
    <n v="1"/>
    <n v="0"/>
    <n v="0"/>
    <n v="0"/>
    <n v="0"/>
    <n v="0"/>
    <n v="0"/>
    <n v="0"/>
    <n v="0"/>
    <n v="1"/>
    <n v="2024"/>
    <x v="0"/>
    <x v="0"/>
    <x v="1"/>
  </r>
  <r>
    <x v="1"/>
    <x v="77"/>
    <x v="1"/>
    <x v="10"/>
    <n v="444"/>
    <n v="347"/>
    <n v="2"/>
    <n v="6"/>
    <n v="0"/>
    <n v="0"/>
    <n v="0"/>
    <n v="0"/>
    <n v="101"/>
    <n v="392"/>
    <n v="2024"/>
    <x v="0"/>
    <x v="0"/>
    <x v="1"/>
  </r>
  <r>
    <x v="1"/>
    <x v="77"/>
    <x v="1"/>
    <x v="13"/>
    <n v="9"/>
    <n v="4"/>
    <n v="0"/>
    <n v="0"/>
    <n v="0"/>
    <n v="0"/>
    <n v="0"/>
    <n v="0"/>
    <n v="0"/>
    <n v="9"/>
    <n v="2024"/>
    <x v="0"/>
    <x v="0"/>
    <x v="1"/>
  </r>
  <r>
    <x v="1"/>
    <x v="77"/>
    <x v="1"/>
    <x v="59"/>
    <n v="4271"/>
    <n v="3503"/>
    <n v="3"/>
    <n v="8"/>
    <n v="7950"/>
    <n v="3"/>
    <n v="7950"/>
    <n v="3"/>
    <n v="72"/>
    <n v="481"/>
    <n v="2024"/>
    <x v="0"/>
    <x v="0"/>
    <x v="1"/>
  </r>
  <r>
    <x v="1"/>
    <x v="77"/>
    <x v="1"/>
    <x v="15"/>
    <n v="22"/>
    <n v="22"/>
    <n v="0"/>
    <n v="0"/>
    <n v="0"/>
    <n v="0"/>
    <n v="0"/>
    <n v="0"/>
    <n v="0"/>
    <n v="22"/>
    <n v="2024"/>
    <x v="0"/>
    <x v="0"/>
    <x v="1"/>
  </r>
  <r>
    <x v="1"/>
    <x v="77"/>
    <x v="1"/>
    <x v="17"/>
    <n v="1"/>
    <n v="1"/>
    <n v="0"/>
    <n v="0"/>
    <n v="0"/>
    <n v="0"/>
    <n v="0"/>
    <n v="0"/>
    <n v="1"/>
    <n v="0"/>
    <n v="2024"/>
    <x v="0"/>
    <x v="0"/>
    <x v="1"/>
  </r>
  <r>
    <x v="1"/>
    <x v="77"/>
    <x v="1"/>
    <x v="18"/>
    <n v="8"/>
    <n v="4"/>
    <n v="0"/>
    <n v="1"/>
    <n v="0"/>
    <n v="0"/>
    <n v="0"/>
    <n v="0"/>
    <n v="5"/>
    <n v="6"/>
    <n v="2024"/>
    <x v="0"/>
    <x v="0"/>
    <x v="1"/>
  </r>
  <r>
    <x v="1"/>
    <x v="77"/>
    <x v="1"/>
    <x v="19"/>
    <n v="481"/>
    <n v="269"/>
    <n v="11"/>
    <n v="4"/>
    <n v="18543"/>
    <n v="7"/>
    <n v="18543"/>
    <n v="7"/>
    <n v="215"/>
    <n v="327"/>
    <n v="2024"/>
    <x v="0"/>
    <x v="0"/>
    <x v="1"/>
  </r>
  <r>
    <x v="1"/>
    <x v="77"/>
    <x v="1"/>
    <x v="20"/>
    <n v="5"/>
    <n v="3"/>
    <n v="0"/>
    <n v="1"/>
    <n v="0"/>
    <n v="0"/>
    <n v="0"/>
    <n v="0"/>
    <n v="2"/>
    <n v="4"/>
    <n v="2024"/>
    <x v="0"/>
    <x v="0"/>
    <x v="1"/>
  </r>
  <r>
    <x v="1"/>
    <x v="77"/>
    <x v="1"/>
    <x v="21"/>
    <n v="2"/>
    <n v="1"/>
    <n v="0"/>
    <n v="0"/>
    <n v="0"/>
    <n v="0"/>
    <n v="0"/>
    <n v="0"/>
    <n v="0"/>
    <n v="2"/>
    <n v="2024"/>
    <x v="0"/>
    <x v="0"/>
    <x v="1"/>
  </r>
  <r>
    <x v="1"/>
    <x v="77"/>
    <x v="1"/>
    <x v="24"/>
    <n v="14"/>
    <n v="8"/>
    <n v="0"/>
    <n v="0"/>
    <n v="1917"/>
    <n v="1"/>
    <n v="1917"/>
    <n v="1"/>
    <n v="1"/>
    <n v="13"/>
    <n v="2024"/>
    <x v="0"/>
    <x v="0"/>
    <x v="1"/>
  </r>
  <r>
    <x v="1"/>
    <x v="77"/>
    <x v="1"/>
    <x v="25"/>
    <n v="2"/>
    <n v="0"/>
    <n v="0"/>
    <n v="1"/>
    <n v="0"/>
    <n v="0"/>
    <n v="0"/>
    <n v="0"/>
    <n v="0"/>
    <n v="2"/>
    <n v="2024"/>
    <x v="0"/>
    <x v="0"/>
    <x v="1"/>
  </r>
  <r>
    <x v="1"/>
    <x v="77"/>
    <x v="1"/>
    <x v="27"/>
    <n v="44"/>
    <n v="19"/>
    <n v="1"/>
    <n v="1"/>
    <n v="38648"/>
    <n v="4"/>
    <n v="38648"/>
    <n v="4"/>
    <n v="13"/>
    <n v="41"/>
    <n v="2024"/>
    <x v="0"/>
    <x v="0"/>
    <x v="1"/>
  </r>
  <r>
    <x v="1"/>
    <x v="77"/>
    <x v="1"/>
    <x v="28"/>
    <n v="1"/>
    <n v="1"/>
    <n v="0"/>
    <n v="0"/>
    <n v="0"/>
    <n v="0"/>
    <n v="0"/>
    <n v="0"/>
    <n v="0"/>
    <n v="1"/>
    <n v="2024"/>
    <x v="0"/>
    <x v="0"/>
    <x v="1"/>
  </r>
  <r>
    <x v="1"/>
    <x v="77"/>
    <x v="1"/>
    <x v="29"/>
    <n v="839"/>
    <n v="645"/>
    <n v="46"/>
    <n v="10"/>
    <n v="41885.32"/>
    <n v="6"/>
    <n v="41885.32"/>
    <n v="6"/>
    <n v="257"/>
    <n v="743"/>
    <n v="2024"/>
    <x v="0"/>
    <x v="0"/>
    <x v="1"/>
  </r>
  <r>
    <x v="1"/>
    <x v="77"/>
    <x v="1"/>
    <x v="30"/>
    <n v="2095"/>
    <n v="1190"/>
    <n v="38"/>
    <n v="15"/>
    <n v="9264.18"/>
    <n v="4"/>
    <n v="9264.18"/>
    <n v="4"/>
    <n v="178"/>
    <n v="1843"/>
    <n v="2024"/>
    <x v="0"/>
    <x v="0"/>
    <x v="1"/>
  </r>
  <r>
    <x v="1"/>
    <x v="77"/>
    <x v="1"/>
    <x v="31"/>
    <n v="78"/>
    <n v="60"/>
    <n v="3"/>
    <n v="4"/>
    <n v="8148"/>
    <n v="2"/>
    <n v="8148"/>
    <n v="2"/>
    <n v="13"/>
    <n v="76"/>
    <n v="2024"/>
    <x v="0"/>
    <x v="0"/>
    <x v="1"/>
  </r>
  <r>
    <x v="1"/>
    <x v="77"/>
    <x v="1"/>
    <x v="32"/>
    <n v="5"/>
    <n v="3"/>
    <n v="0"/>
    <n v="1"/>
    <n v="0"/>
    <n v="0"/>
    <n v="0"/>
    <n v="0"/>
    <n v="4"/>
    <n v="5"/>
    <n v="2024"/>
    <x v="0"/>
    <x v="0"/>
    <x v="1"/>
  </r>
  <r>
    <x v="1"/>
    <x v="77"/>
    <x v="1"/>
    <x v="34"/>
    <n v="230"/>
    <n v="149"/>
    <n v="3"/>
    <n v="3"/>
    <n v="3495"/>
    <n v="1"/>
    <n v="3495"/>
    <n v="1"/>
    <n v="63"/>
    <n v="174"/>
    <n v="2024"/>
    <x v="0"/>
    <x v="0"/>
    <x v="1"/>
  </r>
  <r>
    <x v="1"/>
    <x v="77"/>
    <x v="1"/>
    <x v="37"/>
    <n v="508"/>
    <n v="273"/>
    <n v="6"/>
    <n v="0"/>
    <n v="5092"/>
    <n v="3"/>
    <n v="5092"/>
    <n v="3"/>
    <n v="57"/>
    <n v="501"/>
    <n v="2024"/>
    <x v="0"/>
    <x v="0"/>
    <x v="1"/>
  </r>
  <r>
    <x v="1"/>
    <x v="77"/>
    <x v="1"/>
    <x v="38"/>
    <n v="248"/>
    <n v="75"/>
    <n v="10"/>
    <n v="4"/>
    <n v="17773.849999999999"/>
    <n v="6"/>
    <n v="17773.849999999999"/>
    <n v="6"/>
    <n v="59"/>
    <n v="238"/>
    <n v="2024"/>
    <x v="0"/>
    <x v="0"/>
    <x v="1"/>
  </r>
  <r>
    <x v="1"/>
    <x v="77"/>
    <x v="1"/>
    <x v="39"/>
    <n v="13"/>
    <n v="12"/>
    <n v="0"/>
    <n v="0"/>
    <n v="0"/>
    <n v="0"/>
    <n v="0"/>
    <n v="0"/>
    <n v="2"/>
    <n v="13"/>
    <n v="2024"/>
    <x v="0"/>
    <x v="0"/>
    <x v="1"/>
  </r>
  <r>
    <x v="1"/>
    <x v="77"/>
    <x v="1"/>
    <x v="40"/>
    <n v="2"/>
    <n v="0"/>
    <n v="0"/>
    <n v="0"/>
    <n v="0"/>
    <n v="0"/>
    <n v="0"/>
    <n v="0"/>
    <n v="1"/>
    <n v="2"/>
    <n v="2024"/>
    <x v="0"/>
    <x v="0"/>
    <x v="1"/>
  </r>
  <r>
    <x v="1"/>
    <x v="77"/>
    <x v="1"/>
    <x v="41"/>
    <n v="1"/>
    <n v="0"/>
    <n v="0"/>
    <n v="0"/>
    <n v="0"/>
    <n v="0"/>
    <n v="0"/>
    <n v="0"/>
    <n v="1"/>
    <n v="1"/>
    <n v="2024"/>
    <x v="0"/>
    <x v="0"/>
    <x v="1"/>
  </r>
  <r>
    <x v="1"/>
    <x v="77"/>
    <x v="1"/>
    <x v="42"/>
    <n v="81"/>
    <n v="41"/>
    <n v="1"/>
    <n v="3"/>
    <n v="0"/>
    <n v="0"/>
    <n v="0"/>
    <n v="0"/>
    <n v="12"/>
    <n v="75"/>
    <n v="2024"/>
    <x v="0"/>
    <x v="0"/>
    <x v="1"/>
  </r>
  <r>
    <x v="1"/>
    <x v="77"/>
    <x v="1"/>
    <x v="43"/>
    <n v="98"/>
    <n v="50"/>
    <n v="3"/>
    <n v="1"/>
    <n v="0"/>
    <n v="0"/>
    <n v="0"/>
    <n v="0"/>
    <n v="75"/>
    <n v="59"/>
    <n v="2024"/>
    <x v="0"/>
    <x v="0"/>
    <x v="1"/>
  </r>
  <r>
    <x v="1"/>
    <x v="77"/>
    <x v="1"/>
    <x v="44"/>
    <n v="27"/>
    <n v="9"/>
    <n v="0"/>
    <n v="1"/>
    <n v="1497"/>
    <n v="1"/>
    <n v="1497"/>
    <n v="1"/>
    <n v="0"/>
    <n v="27"/>
    <n v="2024"/>
    <x v="0"/>
    <x v="0"/>
    <x v="1"/>
  </r>
  <r>
    <x v="1"/>
    <x v="77"/>
    <x v="1"/>
    <x v="45"/>
    <n v="4"/>
    <n v="3"/>
    <n v="0"/>
    <n v="0"/>
    <n v="0"/>
    <n v="0"/>
    <n v="0"/>
    <n v="0"/>
    <n v="0"/>
    <n v="4"/>
    <n v="2024"/>
    <x v="0"/>
    <x v="0"/>
    <x v="1"/>
  </r>
  <r>
    <x v="1"/>
    <x v="78"/>
    <x v="0"/>
    <x v="0"/>
    <n v="1472"/>
    <n v="555"/>
    <n v="2"/>
    <n v="0"/>
    <n v="4705"/>
    <n v="1"/>
    <n v="4705"/>
    <n v="1"/>
    <n v="13"/>
    <n v="1469"/>
    <n v="2024"/>
    <x v="0"/>
    <x v="0"/>
    <x v="1"/>
  </r>
  <r>
    <x v="1"/>
    <x v="78"/>
    <x v="0"/>
    <x v="1"/>
    <n v="18263"/>
    <n v="11750"/>
    <n v="116"/>
    <n v="97"/>
    <n v="39231.5"/>
    <n v="12"/>
    <n v="32036.5"/>
    <n v="10"/>
    <n v="699"/>
    <n v="18234"/>
    <n v="2024"/>
    <x v="0"/>
    <x v="0"/>
    <x v="1"/>
  </r>
  <r>
    <x v="1"/>
    <x v="78"/>
    <x v="0"/>
    <x v="2"/>
    <n v="3071"/>
    <n v="2472"/>
    <n v="12"/>
    <n v="5"/>
    <n v="5675"/>
    <n v="2"/>
    <n v="3450"/>
    <n v="1"/>
    <n v="3071"/>
    <n v="575"/>
    <n v="2024"/>
    <x v="0"/>
    <x v="0"/>
    <x v="1"/>
  </r>
  <r>
    <x v="1"/>
    <x v="78"/>
    <x v="0"/>
    <x v="3"/>
    <n v="8652"/>
    <n v="6035"/>
    <n v="0"/>
    <n v="0"/>
    <n v="0"/>
    <n v="0"/>
    <n v="0"/>
    <n v="0"/>
    <n v="3"/>
    <n v="148"/>
    <n v="2024"/>
    <x v="0"/>
    <x v="0"/>
    <x v="1"/>
  </r>
  <r>
    <x v="1"/>
    <x v="78"/>
    <x v="1"/>
    <x v="5"/>
    <n v="8"/>
    <n v="7"/>
    <n v="1"/>
    <n v="0"/>
    <n v="0"/>
    <n v="0"/>
    <n v="0"/>
    <n v="0"/>
    <n v="0"/>
    <n v="8"/>
    <n v="2024"/>
    <x v="0"/>
    <x v="0"/>
    <x v="1"/>
  </r>
  <r>
    <x v="1"/>
    <x v="78"/>
    <x v="1"/>
    <x v="6"/>
    <n v="20"/>
    <n v="14"/>
    <n v="0"/>
    <n v="0"/>
    <n v="0"/>
    <n v="0"/>
    <n v="0"/>
    <n v="0"/>
    <n v="3"/>
    <n v="2"/>
    <n v="2024"/>
    <x v="0"/>
    <x v="0"/>
    <x v="1"/>
  </r>
  <r>
    <x v="1"/>
    <x v="78"/>
    <x v="1"/>
    <x v="7"/>
    <n v="276"/>
    <n v="65"/>
    <n v="20"/>
    <n v="3"/>
    <n v="42827.5"/>
    <n v="17"/>
    <n v="42827.5"/>
    <n v="17"/>
    <n v="76"/>
    <n v="266"/>
    <n v="2024"/>
    <x v="0"/>
    <x v="0"/>
    <x v="1"/>
  </r>
  <r>
    <x v="1"/>
    <x v="78"/>
    <x v="1"/>
    <x v="8"/>
    <n v="5"/>
    <n v="1"/>
    <n v="0"/>
    <n v="0"/>
    <n v="0"/>
    <n v="0"/>
    <n v="0"/>
    <n v="0"/>
    <n v="0"/>
    <n v="5"/>
    <n v="2024"/>
    <x v="0"/>
    <x v="0"/>
    <x v="1"/>
  </r>
  <r>
    <x v="1"/>
    <x v="78"/>
    <x v="1"/>
    <x v="9"/>
    <n v="3"/>
    <n v="1"/>
    <n v="0"/>
    <n v="0"/>
    <n v="0"/>
    <n v="0"/>
    <n v="0"/>
    <n v="0"/>
    <n v="0"/>
    <n v="3"/>
    <n v="2024"/>
    <x v="0"/>
    <x v="0"/>
    <x v="1"/>
  </r>
  <r>
    <x v="1"/>
    <x v="78"/>
    <x v="1"/>
    <x v="10"/>
    <n v="330"/>
    <n v="235"/>
    <n v="7"/>
    <n v="4"/>
    <n v="2980"/>
    <n v="1"/>
    <n v="2980"/>
    <n v="1"/>
    <n v="80"/>
    <n v="302"/>
    <n v="2024"/>
    <x v="0"/>
    <x v="0"/>
    <x v="1"/>
  </r>
  <r>
    <x v="1"/>
    <x v="78"/>
    <x v="1"/>
    <x v="11"/>
    <n v="1"/>
    <n v="1"/>
    <n v="0"/>
    <n v="0"/>
    <n v="0"/>
    <n v="0"/>
    <n v="0"/>
    <n v="0"/>
    <n v="0"/>
    <n v="1"/>
    <n v="2024"/>
    <x v="0"/>
    <x v="0"/>
    <x v="1"/>
  </r>
  <r>
    <x v="1"/>
    <x v="78"/>
    <x v="1"/>
    <x v="13"/>
    <n v="21"/>
    <n v="10"/>
    <n v="0"/>
    <n v="0"/>
    <n v="0"/>
    <n v="0"/>
    <n v="0"/>
    <n v="0"/>
    <n v="0"/>
    <n v="21"/>
    <n v="2024"/>
    <x v="0"/>
    <x v="0"/>
    <x v="1"/>
  </r>
  <r>
    <x v="1"/>
    <x v="78"/>
    <x v="1"/>
    <x v="59"/>
    <n v="438"/>
    <n v="174"/>
    <n v="8"/>
    <n v="7"/>
    <n v="4724.5"/>
    <n v="2"/>
    <n v="4724.5"/>
    <n v="2"/>
    <n v="60"/>
    <n v="407"/>
    <n v="2024"/>
    <x v="0"/>
    <x v="0"/>
    <x v="1"/>
  </r>
  <r>
    <x v="1"/>
    <x v="78"/>
    <x v="1"/>
    <x v="15"/>
    <n v="21"/>
    <n v="20"/>
    <n v="0"/>
    <n v="0"/>
    <n v="0"/>
    <n v="0"/>
    <n v="0"/>
    <n v="0"/>
    <n v="1"/>
    <n v="21"/>
    <n v="2024"/>
    <x v="0"/>
    <x v="0"/>
    <x v="1"/>
  </r>
  <r>
    <x v="1"/>
    <x v="78"/>
    <x v="1"/>
    <x v="16"/>
    <n v="1"/>
    <n v="0"/>
    <n v="0"/>
    <n v="0"/>
    <n v="0"/>
    <n v="0"/>
    <n v="0"/>
    <n v="0"/>
    <n v="0"/>
    <n v="1"/>
    <n v="2024"/>
    <x v="0"/>
    <x v="0"/>
    <x v="1"/>
  </r>
  <r>
    <x v="1"/>
    <x v="78"/>
    <x v="1"/>
    <x v="17"/>
    <n v="2"/>
    <n v="2"/>
    <n v="0"/>
    <n v="0"/>
    <n v="0"/>
    <n v="0"/>
    <n v="0"/>
    <n v="0"/>
    <n v="2"/>
    <n v="0"/>
    <n v="2024"/>
    <x v="0"/>
    <x v="0"/>
    <x v="1"/>
  </r>
  <r>
    <x v="1"/>
    <x v="78"/>
    <x v="1"/>
    <x v="18"/>
    <n v="4"/>
    <n v="4"/>
    <n v="0"/>
    <n v="0"/>
    <n v="0"/>
    <n v="0"/>
    <n v="0"/>
    <n v="0"/>
    <n v="0"/>
    <n v="2"/>
    <n v="2024"/>
    <x v="0"/>
    <x v="0"/>
    <x v="1"/>
  </r>
  <r>
    <x v="1"/>
    <x v="78"/>
    <x v="1"/>
    <x v="19"/>
    <n v="469"/>
    <n v="233"/>
    <n v="9"/>
    <n v="4"/>
    <n v="12247"/>
    <n v="6"/>
    <n v="6715"/>
    <n v="3"/>
    <n v="232"/>
    <n v="336"/>
    <n v="2024"/>
    <x v="0"/>
    <x v="0"/>
    <x v="1"/>
  </r>
  <r>
    <x v="1"/>
    <x v="78"/>
    <x v="1"/>
    <x v="20"/>
    <n v="10"/>
    <n v="7"/>
    <n v="0"/>
    <n v="0"/>
    <n v="2347.5"/>
    <n v="1"/>
    <n v="2347.5"/>
    <n v="1"/>
    <n v="2"/>
    <n v="10"/>
    <n v="2024"/>
    <x v="0"/>
    <x v="0"/>
    <x v="1"/>
  </r>
  <r>
    <x v="1"/>
    <x v="78"/>
    <x v="1"/>
    <x v="21"/>
    <n v="5"/>
    <n v="3"/>
    <n v="0"/>
    <n v="0"/>
    <n v="0"/>
    <n v="0"/>
    <n v="0"/>
    <n v="0"/>
    <n v="1"/>
    <n v="5"/>
    <n v="2024"/>
    <x v="0"/>
    <x v="0"/>
    <x v="1"/>
  </r>
  <r>
    <x v="1"/>
    <x v="78"/>
    <x v="1"/>
    <x v="24"/>
    <n v="14"/>
    <n v="9"/>
    <n v="1"/>
    <n v="0"/>
    <n v="0"/>
    <n v="0"/>
    <n v="0"/>
    <n v="0"/>
    <n v="5"/>
    <n v="9"/>
    <n v="2024"/>
    <x v="0"/>
    <x v="0"/>
    <x v="1"/>
  </r>
  <r>
    <x v="1"/>
    <x v="78"/>
    <x v="1"/>
    <x v="25"/>
    <n v="1"/>
    <n v="0"/>
    <n v="0"/>
    <n v="0"/>
    <n v="0"/>
    <n v="0"/>
    <n v="0"/>
    <n v="0"/>
    <n v="0"/>
    <n v="1"/>
    <n v="2024"/>
    <x v="0"/>
    <x v="0"/>
    <x v="1"/>
  </r>
  <r>
    <x v="1"/>
    <x v="78"/>
    <x v="1"/>
    <x v="27"/>
    <n v="55"/>
    <n v="31"/>
    <n v="3"/>
    <n v="2"/>
    <n v="39115"/>
    <n v="3"/>
    <n v="5215"/>
    <n v="2"/>
    <n v="29"/>
    <n v="49"/>
    <n v="2024"/>
    <x v="0"/>
    <x v="0"/>
    <x v="1"/>
  </r>
  <r>
    <x v="1"/>
    <x v="78"/>
    <x v="1"/>
    <x v="29"/>
    <n v="847"/>
    <n v="638"/>
    <n v="31"/>
    <n v="9"/>
    <n v="15294"/>
    <n v="5"/>
    <n v="13667"/>
    <n v="5"/>
    <n v="232"/>
    <n v="766"/>
    <n v="2024"/>
    <x v="0"/>
    <x v="0"/>
    <x v="1"/>
  </r>
  <r>
    <x v="1"/>
    <x v="78"/>
    <x v="1"/>
    <x v="30"/>
    <n v="2121"/>
    <n v="1186"/>
    <n v="41"/>
    <n v="21"/>
    <n v="13330"/>
    <n v="6"/>
    <n v="13330"/>
    <n v="6"/>
    <n v="241"/>
    <n v="1974"/>
    <n v="2024"/>
    <x v="0"/>
    <x v="0"/>
    <x v="1"/>
  </r>
  <r>
    <x v="1"/>
    <x v="78"/>
    <x v="1"/>
    <x v="31"/>
    <n v="101"/>
    <n v="74"/>
    <n v="3"/>
    <n v="3"/>
    <n v="0"/>
    <n v="0"/>
    <n v="0"/>
    <n v="0"/>
    <n v="10"/>
    <n v="98"/>
    <n v="2024"/>
    <x v="0"/>
    <x v="0"/>
    <x v="1"/>
  </r>
  <r>
    <x v="1"/>
    <x v="78"/>
    <x v="1"/>
    <x v="32"/>
    <n v="4"/>
    <n v="3"/>
    <n v="0"/>
    <n v="0"/>
    <n v="0"/>
    <n v="0"/>
    <n v="0"/>
    <n v="0"/>
    <n v="1"/>
    <n v="4"/>
    <n v="2024"/>
    <x v="0"/>
    <x v="0"/>
    <x v="1"/>
  </r>
  <r>
    <x v="1"/>
    <x v="78"/>
    <x v="1"/>
    <x v="34"/>
    <n v="190"/>
    <n v="104"/>
    <n v="3"/>
    <n v="2"/>
    <n v="4705"/>
    <n v="1"/>
    <n v="4705"/>
    <n v="1"/>
    <n v="65"/>
    <n v="155"/>
    <n v="2024"/>
    <x v="0"/>
    <x v="0"/>
    <x v="1"/>
  </r>
  <r>
    <x v="1"/>
    <x v="78"/>
    <x v="1"/>
    <x v="37"/>
    <n v="503"/>
    <n v="275"/>
    <n v="4"/>
    <n v="0"/>
    <n v="6864.5"/>
    <n v="3"/>
    <n v="4584.5"/>
    <n v="2"/>
    <n v="68"/>
    <n v="499"/>
    <n v="2024"/>
    <x v="0"/>
    <x v="0"/>
    <x v="1"/>
  </r>
  <r>
    <x v="1"/>
    <x v="78"/>
    <x v="1"/>
    <x v="38"/>
    <n v="273"/>
    <n v="81"/>
    <n v="14"/>
    <n v="8"/>
    <n v="21405"/>
    <n v="7"/>
    <n v="19778"/>
    <n v="6"/>
    <n v="66"/>
    <n v="264"/>
    <n v="2024"/>
    <x v="0"/>
    <x v="0"/>
    <x v="1"/>
  </r>
  <r>
    <x v="1"/>
    <x v="78"/>
    <x v="1"/>
    <x v="39"/>
    <n v="31"/>
    <n v="28"/>
    <n v="1"/>
    <n v="3"/>
    <n v="0"/>
    <n v="0"/>
    <n v="0"/>
    <n v="0"/>
    <n v="5"/>
    <n v="31"/>
    <n v="2024"/>
    <x v="0"/>
    <x v="0"/>
    <x v="1"/>
  </r>
  <r>
    <x v="1"/>
    <x v="78"/>
    <x v="1"/>
    <x v="40"/>
    <n v="2"/>
    <n v="1"/>
    <n v="0"/>
    <n v="0"/>
    <n v="0"/>
    <n v="0"/>
    <n v="0"/>
    <n v="0"/>
    <n v="0"/>
    <n v="2"/>
    <n v="2024"/>
    <x v="0"/>
    <x v="0"/>
    <x v="1"/>
  </r>
  <r>
    <x v="1"/>
    <x v="78"/>
    <x v="1"/>
    <x v="41"/>
    <n v="1"/>
    <n v="0"/>
    <n v="0"/>
    <n v="0"/>
    <n v="0"/>
    <n v="0"/>
    <n v="0"/>
    <n v="0"/>
    <n v="1"/>
    <n v="1"/>
    <n v="2024"/>
    <x v="0"/>
    <x v="0"/>
    <x v="1"/>
  </r>
  <r>
    <x v="1"/>
    <x v="78"/>
    <x v="1"/>
    <x v="42"/>
    <n v="104"/>
    <n v="55"/>
    <n v="6"/>
    <n v="5"/>
    <n v="0"/>
    <n v="0"/>
    <n v="0"/>
    <n v="0"/>
    <n v="18"/>
    <n v="93"/>
    <n v="2024"/>
    <x v="0"/>
    <x v="0"/>
    <x v="1"/>
  </r>
  <r>
    <x v="1"/>
    <x v="78"/>
    <x v="1"/>
    <x v="43"/>
    <n v="107"/>
    <n v="51"/>
    <n v="6"/>
    <n v="1"/>
    <n v="3540"/>
    <n v="2"/>
    <n v="3540"/>
    <n v="2"/>
    <n v="86"/>
    <n v="67"/>
    <n v="2024"/>
    <x v="0"/>
    <x v="0"/>
    <x v="1"/>
  </r>
  <r>
    <x v="1"/>
    <x v="78"/>
    <x v="1"/>
    <x v="44"/>
    <n v="17"/>
    <n v="2"/>
    <n v="1"/>
    <n v="0"/>
    <n v="6350"/>
    <n v="1"/>
    <n v="6350"/>
    <n v="1"/>
    <n v="0"/>
    <n v="17"/>
    <n v="2024"/>
    <x v="0"/>
    <x v="0"/>
    <x v="1"/>
  </r>
  <r>
    <x v="1"/>
    <x v="78"/>
    <x v="1"/>
    <x v="45"/>
    <n v="1"/>
    <n v="1"/>
    <n v="0"/>
    <n v="0"/>
    <n v="0"/>
    <n v="0"/>
    <n v="0"/>
    <n v="0"/>
    <n v="0"/>
    <n v="1"/>
    <n v="2024"/>
    <x v="0"/>
    <x v="0"/>
    <x v="1"/>
  </r>
  <r>
    <x v="1"/>
    <x v="79"/>
    <x v="0"/>
    <x v="0"/>
    <n v="1360"/>
    <n v="566"/>
    <n v="2"/>
    <n v="0"/>
    <n v="1680"/>
    <n v="1"/>
    <n v="1680"/>
    <n v="1"/>
    <n v="23"/>
    <n v="1355"/>
    <n v="2024"/>
    <x v="0"/>
    <x v="0"/>
    <x v="1"/>
  </r>
  <r>
    <x v="1"/>
    <x v="79"/>
    <x v="0"/>
    <x v="1"/>
    <n v="18498"/>
    <n v="12131"/>
    <n v="83"/>
    <n v="86"/>
    <n v="68935"/>
    <n v="14"/>
    <n v="36315"/>
    <n v="9"/>
    <n v="651"/>
    <n v="18470"/>
    <n v="2024"/>
    <x v="0"/>
    <x v="0"/>
    <x v="1"/>
  </r>
  <r>
    <x v="1"/>
    <x v="79"/>
    <x v="0"/>
    <x v="2"/>
    <n v="3112"/>
    <n v="2574"/>
    <n v="19"/>
    <n v="4"/>
    <n v="1480"/>
    <n v="1"/>
    <n v="1480"/>
    <n v="1"/>
    <n v="3112"/>
    <n v="614"/>
    <n v="2024"/>
    <x v="0"/>
    <x v="0"/>
    <x v="1"/>
  </r>
  <r>
    <x v="1"/>
    <x v="79"/>
    <x v="0"/>
    <x v="3"/>
    <n v="9004"/>
    <n v="6916"/>
    <n v="0"/>
    <n v="2"/>
    <n v="0"/>
    <n v="0"/>
    <n v="0"/>
    <n v="0"/>
    <n v="0"/>
    <n v="170"/>
    <n v="2024"/>
    <x v="0"/>
    <x v="0"/>
    <x v="1"/>
  </r>
  <r>
    <x v="1"/>
    <x v="79"/>
    <x v="1"/>
    <x v="5"/>
    <n v="5"/>
    <n v="5"/>
    <n v="0"/>
    <n v="0"/>
    <n v="0"/>
    <n v="0"/>
    <n v="0"/>
    <n v="0"/>
    <n v="0"/>
    <n v="5"/>
    <n v="2024"/>
    <x v="0"/>
    <x v="0"/>
    <x v="1"/>
  </r>
  <r>
    <x v="1"/>
    <x v="79"/>
    <x v="1"/>
    <x v="6"/>
    <n v="17"/>
    <n v="13"/>
    <n v="0"/>
    <n v="0"/>
    <n v="0"/>
    <n v="0"/>
    <n v="0"/>
    <n v="0"/>
    <n v="4"/>
    <n v="1"/>
    <n v="2024"/>
    <x v="0"/>
    <x v="0"/>
    <x v="1"/>
  </r>
  <r>
    <x v="1"/>
    <x v="79"/>
    <x v="1"/>
    <x v="7"/>
    <n v="263"/>
    <n v="58"/>
    <n v="24"/>
    <n v="2"/>
    <n v="66355.42"/>
    <n v="15"/>
    <n v="66355.42"/>
    <n v="15"/>
    <n v="62"/>
    <n v="257"/>
    <n v="2024"/>
    <x v="0"/>
    <x v="0"/>
    <x v="1"/>
  </r>
  <r>
    <x v="1"/>
    <x v="79"/>
    <x v="1"/>
    <x v="8"/>
    <n v="5"/>
    <n v="2"/>
    <n v="0"/>
    <n v="0"/>
    <n v="0"/>
    <n v="0"/>
    <n v="0"/>
    <n v="0"/>
    <n v="0"/>
    <n v="4"/>
    <n v="2024"/>
    <x v="0"/>
    <x v="0"/>
    <x v="1"/>
  </r>
  <r>
    <x v="1"/>
    <x v="79"/>
    <x v="1"/>
    <x v="9"/>
    <n v="3"/>
    <n v="1"/>
    <n v="0"/>
    <n v="0"/>
    <n v="0"/>
    <n v="0"/>
    <n v="0"/>
    <n v="0"/>
    <n v="0"/>
    <n v="3"/>
    <n v="2024"/>
    <x v="0"/>
    <x v="0"/>
    <x v="1"/>
  </r>
  <r>
    <x v="1"/>
    <x v="79"/>
    <x v="1"/>
    <x v="10"/>
    <n v="379"/>
    <n v="305"/>
    <n v="3"/>
    <n v="1"/>
    <n v="15380"/>
    <n v="2"/>
    <n v="8480"/>
    <n v="2"/>
    <n v="77"/>
    <n v="355"/>
    <n v="2024"/>
    <x v="0"/>
    <x v="0"/>
    <x v="1"/>
  </r>
  <r>
    <x v="1"/>
    <x v="79"/>
    <x v="1"/>
    <x v="11"/>
    <n v="1"/>
    <n v="0"/>
    <n v="0"/>
    <n v="0"/>
    <n v="0"/>
    <n v="0"/>
    <n v="0"/>
    <n v="0"/>
    <n v="0"/>
    <n v="1"/>
    <n v="2024"/>
    <x v="0"/>
    <x v="0"/>
    <x v="1"/>
  </r>
  <r>
    <x v="1"/>
    <x v="79"/>
    <x v="1"/>
    <x v="13"/>
    <n v="32"/>
    <n v="23"/>
    <n v="0"/>
    <n v="0"/>
    <n v="0"/>
    <n v="0"/>
    <n v="0"/>
    <n v="0"/>
    <n v="0"/>
    <n v="32"/>
    <n v="2024"/>
    <x v="0"/>
    <x v="0"/>
    <x v="1"/>
  </r>
  <r>
    <x v="1"/>
    <x v="79"/>
    <x v="1"/>
    <x v="59"/>
    <n v="499"/>
    <n v="252"/>
    <n v="7"/>
    <n v="4"/>
    <n v="12656.51"/>
    <n v="3"/>
    <n v="12656.51"/>
    <n v="3"/>
    <n v="48"/>
    <n v="476"/>
    <n v="2024"/>
    <x v="0"/>
    <x v="0"/>
    <x v="1"/>
  </r>
  <r>
    <x v="1"/>
    <x v="79"/>
    <x v="1"/>
    <x v="15"/>
    <n v="9"/>
    <n v="8"/>
    <n v="0"/>
    <n v="0"/>
    <n v="0"/>
    <n v="0"/>
    <n v="0"/>
    <n v="0"/>
    <n v="0"/>
    <n v="9"/>
    <n v="2024"/>
    <x v="0"/>
    <x v="0"/>
    <x v="1"/>
  </r>
  <r>
    <x v="1"/>
    <x v="79"/>
    <x v="1"/>
    <x v="17"/>
    <n v="3"/>
    <n v="2"/>
    <n v="0"/>
    <n v="0"/>
    <n v="0"/>
    <n v="0"/>
    <n v="0"/>
    <n v="0"/>
    <n v="1"/>
    <n v="2"/>
    <n v="2024"/>
    <x v="0"/>
    <x v="0"/>
    <x v="1"/>
  </r>
  <r>
    <x v="1"/>
    <x v="79"/>
    <x v="1"/>
    <x v="18"/>
    <n v="1"/>
    <n v="1"/>
    <n v="0"/>
    <n v="0"/>
    <n v="0"/>
    <n v="0"/>
    <n v="0"/>
    <n v="0"/>
    <n v="0"/>
    <n v="1"/>
    <n v="2024"/>
    <x v="0"/>
    <x v="0"/>
    <x v="1"/>
  </r>
  <r>
    <x v="1"/>
    <x v="79"/>
    <x v="1"/>
    <x v="19"/>
    <n v="427"/>
    <n v="220"/>
    <n v="10"/>
    <n v="6"/>
    <n v="28897"/>
    <n v="8"/>
    <n v="22652"/>
    <n v="7"/>
    <n v="206"/>
    <n v="296"/>
    <n v="2024"/>
    <x v="0"/>
    <x v="0"/>
    <x v="1"/>
  </r>
  <r>
    <x v="1"/>
    <x v="79"/>
    <x v="1"/>
    <x v="20"/>
    <n v="8"/>
    <n v="7"/>
    <n v="0"/>
    <n v="0"/>
    <n v="0"/>
    <n v="0"/>
    <n v="0"/>
    <n v="0"/>
    <n v="0"/>
    <n v="8"/>
    <n v="2024"/>
    <x v="0"/>
    <x v="0"/>
    <x v="1"/>
  </r>
  <r>
    <x v="1"/>
    <x v="79"/>
    <x v="1"/>
    <x v="21"/>
    <n v="2"/>
    <n v="2"/>
    <n v="0"/>
    <n v="0"/>
    <n v="0"/>
    <n v="0"/>
    <n v="0"/>
    <n v="0"/>
    <n v="0"/>
    <n v="2"/>
    <n v="2024"/>
    <x v="0"/>
    <x v="0"/>
    <x v="1"/>
  </r>
  <r>
    <x v="1"/>
    <x v="79"/>
    <x v="1"/>
    <x v="24"/>
    <n v="4"/>
    <n v="3"/>
    <n v="0"/>
    <n v="0"/>
    <n v="0"/>
    <n v="0"/>
    <n v="0"/>
    <n v="0"/>
    <n v="1"/>
    <n v="3"/>
    <n v="2024"/>
    <x v="0"/>
    <x v="0"/>
    <x v="1"/>
  </r>
  <r>
    <x v="1"/>
    <x v="79"/>
    <x v="1"/>
    <x v="27"/>
    <n v="54"/>
    <n v="29"/>
    <n v="3"/>
    <n v="1"/>
    <n v="12772"/>
    <n v="4"/>
    <n v="10535"/>
    <n v="4"/>
    <n v="19"/>
    <n v="50"/>
    <n v="2024"/>
    <x v="0"/>
    <x v="0"/>
    <x v="1"/>
  </r>
  <r>
    <x v="1"/>
    <x v="79"/>
    <x v="1"/>
    <x v="29"/>
    <n v="732"/>
    <n v="538"/>
    <n v="35"/>
    <n v="13"/>
    <n v="19934.03"/>
    <n v="5"/>
    <n v="13034.03"/>
    <n v="5"/>
    <n v="189"/>
    <n v="671"/>
    <n v="2024"/>
    <x v="0"/>
    <x v="0"/>
    <x v="1"/>
  </r>
  <r>
    <x v="1"/>
    <x v="79"/>
    <x v="1"/>
    <x v="30"/>
    <n v="1877"/>
    <n v="1032"/>
    <n v="43"/>
    <n v="11"/>
    <n v="30820"/>
    <n v="11"/>
    <n v="24628"/>
    <n v="9"/>
    <n v="232"/>
    <n v="1742"/>
    <n v="2024"/>
    <x v="0"/>
    <x v="0"/>
    <x v="1"/>
  </r>
  <r>
    <x v="1"/>
    <x v="79"/>
    <x v="1"/>
    <x v="31"/>
    <n v="100"/>
    <n v="70"/>
    <n v="5"/>
    <n v="1"/>
    <n v="11890"/>
    <n v="3"/>
    <n v="7195"/>
    <n v="2"/>
    <n v="16"/>
    <n v="97"/>
    <n v="2024"/>
    <x v="0"/>
    <x v="0"/>
    <x v="1"/>
  </r>
  <r>
    <x v="1"/>
    <x v="79"/>
    <x v="1"/>
    <x v="32"/>
    <n v="1"/>
    <n v="0"/>
    <n v="0"/>
    <n v="0"/>
    <n v="0"/>
    <n v="0"/>
    <n v="0"/>
    <n v="0"/>
    <n v="0"/>
    <n v="1"/>
    <n v="2024"/>
    <x v="0"/>
    <x v="0"/>
    <x v="1"/>
  </r>
  <r>
    <x v="1"/>
    <x v="79"/>
    <x v="1"/>
    <x v="34"/>
    <n v="203"/>
    <n v="122"/>
    <n v="8"/>
    <n v="4"/>
    <n v="1498"/>
    <n v="1"/>
    <n v="1498"/>
    <n v="1"/>
    <n v="84"/>
    <n v="170"/>
    <n v="2024"/>
    <x v="0"/>
    <x v="0"/>
    <x v="1"/>
  </r>
  <r>
    <x v="1"/>
    <x v="79"/>
    <x v="1"/>
    <x v="37"/>
    <n v="450"/>
    <n v="263"/>
    <n v="2"/>
    <n v="0"/>
    <n v="1000"/>
    <n v="1"/>
    <n v="1000"/>
    <n v="1"/>
    <n v="55"/>
    <n v="445"/>
    <n v="2024"/>
    <x v="0"/>
    <x v="0"/>
    <x v="1"/>
  </r>
  <r>
    <x v="1"/>
    <x v="79"/>
    <x v="1"/>
    <x v="38"/>
    <n v="266"/>
    <n v="76"/>
    <n v="15"/>
    <n v="4"/>
    <n v="25053"/>
    <n v="7"/>
    <n v="22816"/>
    <n v="7"/>
    <n v="58"/>
    <n v="256"/>
    <n v="2024"/>
    <x v="0"/>
    <x v="0"/>
    <x v="1"/>
  </r>
  <r>
    <x v="1"/>
    <x v="79"/>
    <x v="1"/>
    <x v="39"/>
    <n v="20"/>
    <n v="18"/>
    <n v="0"/>
    <n v="0"/>
    <n v="0"/>
    <n v="0"/>
    <n v="0"/>
    <n v="0"/>
    <n v="1"/>
    <n v="20"/>
    <n v="2024"/>
    <x v="0"/>
    <x v="0"/>
    <x v="1"/>
  </r>
  <r>
    <x v="1"/>
    <x v="79"/>
    <x v="1"/>
    <x v="40"/>
    <n v="1"/>
    <n v="1"/>
    <n v="0"/>
    <n v="0"/>
    <n v="0"/>
    <n v="0"/>
    <n v="0"/>
    <n v="0"/>
    <n v="0"/>
    <n v="1"/>
    <n v="2024"/>
    <x v="0"/>
    <x v="0"/>
    <x v="1"/>
  </r>
  <r>
    <x v="1"/>
    <x v="79"/>
    <x v="1"/>
    <x v="41"/>
    <n v="8"/>
    <n v="3"/>
    <n v="0"/>
    <n v="0"/>
    <n v="0"/>
    <n v="0"/>
    <n v="0"/>
    <n v="0"/>
    <n v="1"/>
    <n v="7"/>
    <n v="2024"/>
    <x v="0"/>
    <x v="0"/>
    <x v="1"/>
  </r>
  <r>
    <x v="1"/>
    <x v="79"/>
    <x v="1"/>
    <x v="42"/>
    <n v="99"/>
    <n v="55"/>
    <n v="1"/>
    <n v="2"/>
    <n v="1303"/>
    <n v="1"/>
    <n v="0"/>
    <n v="0"/>
    <n v="10"/>
    <n v="94"/>
    <n v="2024"/>
    <x v="0"/>
    <x v="0"/>
    <x v="1"/>
  </r>
  <r>
    <x v="1"/>
    <x v="79"/>
    <x v="1"/>
    <x v="43"/>
    <n v="97"/>
    <n v="43"/>
    <n v="7"/>
    <n v="1"/>
    <n v="3145"/>
    <n v="1"/>
    <n v="3145"/>
    <n v="1"/>
    <n v="78"/>
    <n v="60"/>
    <n v="2024"/>
    <x v="0"/>
    <x v="0"/>
    <x v="1"/>
  </r>
  <r>
    <x v="1"/>
    <x v="79"/>
    <x v="1"/>
    <x v="44"/>
    <n v="24"/>
    <n v="4"/>
    <n v="0"/>
    <n v="0"/>
    <n v="0"/>
    <n v="0"/>
    <n v="0"/>
    <n v="0"/>
    <n v="0"/>
    <n v="24"/>
    <n v="2024"/>
    <x v="0"/>
    <x v="0"/>
    <x v="1"/>
  </r>
  <r>
    <x v="1"/>
    <x v="79"/>
    <x v="1"/>
    <x v="45"/>
    <n v="7"/>
    <n v="5"/>
    <n v="0"/>
    <n v="0"/>
    <n v="0"/>
    <n v="0"/>
    <n v="0"/>
    <n v="0"/>
    <n v="0"/>
    <n v="7"/>
    <n v="2024"/>
    <x v="0"/>
    <x v="0"/>
    <x v="1"/>
  </r>
  <r>
    <x v="1"/>
    <x v="80"/>
    <x v="0"/>
    <x v="0"/>
    <n v="1123"/>
    <n v="643"/>
    <n v="2"/>
    <n v="0"/>
    <n v="1980"/>
    <n v="1"/>
    <n v="1980"/>
    <n v="1"/>
    <n v="17"/>
    <n v="1110"/>
    <n v="2024"/>
    <x v="0"/>
    <x v="0"/>
    <x v="1"/>
  </r>
  <r>
    <x v="1"/>
    <x v="80"/>
    <x v="0"/>
    <x v="1"/>
    <n v="18037"/>
    <n v="12065"/>
    <n v="102"/>
    <n v="84"/>
    <n v="64107"/>
    <n v="12"/>
    <n v="29172"/>
    <n v="9"/>
    <n v="682"/>
    <n v="18002"/>
    <n v="2024"/>
    <x v="0"/>
    <x v="0"/>
    <x v="1"/>
  </r>
  <r>
    <x v="1"/>
    <x v="80"/>
    <x v="0"/>
    <x v="2"/>
    <n v="3124"/>
    <n v="2559"/>
    <n v="14"/>
    <n v="6"/>
    <n v="3500"/>
    <n v="3"/>
    <n v="3500"/>
    <n v="3"/>
    <n v="3124"/>
    <n v="631"/>
    <n v="2024"/>
    <x v="0"/>
    <x v="0"/>
    <x v="1"/>
  </r>
  <r>
    <x v="1"/>
    <x v="80"/>
    <x v="0"/>
    <x v="3"/>
    <n v="20932"/>
    <n v="18292"/>
    <n v="3"/>
    <n v="2"/>
    <n v="0"/>
    <n v="0"/>
    <n v="0"/>
    <n v="0"/>
    <n v="21"/>
    <n v="3251"/>
    <n v="2024"/>
    <x v="0"/>
    <x v="0"/>
    <x v="1"/>
  </r>
  <r>
    <x v="1"/>
    <x v="80"/>
    <x v="1"/>
    <x v="5"/>
    <n v="1"/>
    <n v="0"/>
    <n v="0"/>
    <n v="0"/>
    <n v="0"/>
    <n v="0"/>
    <n v="0"/>
    <n v="0"/>
    <n v="0"/>
    <n v="1"/>
    <n v="2024"/>
    <x v="0"/>
    <x v="0"/>
    <x v="1"/>
  </r>
  <r>
    <x v="1"/>
    <x v="80"/>
    <x v="1"/>
    <x v="6"/>
    <n v="1793"/>
    <n v="1738"/>
    <n v="0"/>
    <n v="0"/>
    <n v="0"/>
    <n v="0"/>
    <n v="0"/>
    <n v="0"/>
    <n v="8"/>
    <n v="4"/>
    <n v="2024"/>
    <x v="0"/>
    <x v="0"/>
    <x v="1"/>
  </r>
  <r>
    <x v="1"/>
    <x v="80"/>
    <x v="1"/>
    <x v="7"/>
    <n v="290"/>
    <n v="65"/>
    <n v="18"/>
    <n v="4"/>
    <n v="36342.5"/>
    <n v="17"/>
    <n v="34105.5"/>
    <n v="17"/>
    <n v="75"/>
    <n v="275"/>
    <n v="2024"/>
    <x v="0"/>
    <x v="0"/>
    <x v="1"/>
  </r>
  <r>
    <x v="1"/>
    <x v="80"/>
    <x v="1"/>
    <x v="8"/>
    <n v="16"/>
    <n v="9"/>
    <n v="1"/>
    <n v="1"/>
    <n v="0"/>
    <n v="0"/>
    <n v="0"/>
    <n v="0"/>
    <n v="0"/>
    <n v="14"/>
    <n v="2024"/>
    <x v="0"/>
    <x v="0"/>
    <x v="1"/>
  </r>
  <r>
    <x v="1"/>
    <x v="80"/>
    <x v="1"/>
    <x v="9"/>
    <n v="2"/>
    <n v="0"/>
    <n v="0"/>
    <n v="0"/>
    <n v="0"/>
    <n v="0"/>
    <n v="0"/>
    <n v="0"/>
    <n v="0"/>
    <n v="2"/>
    <n v="2024"/>
    <x v="0"/>
    <x v="0"/>
    <x v="1"/>
  </r>
  <r>
    <x v="1"/>
    <x v="80"/>
    <x v="1"/>
    <x v="10"/>
    <n v="493"/>
    <n v="386"/>
    <n v="10"/>
    <n v="8"/>
    <n v="14950"/>
    <n v="1"/>
    <n v="0"/>
    <n v="0"/>
    <n v="116"/>
    <n v="415"/>
    <n v="2024"/>
    <x v="0"/>
    <x v="0"/>
    <x v="1"/>
  </r>
  <r>
    <x v="1"/>
    <x v="80"/>
    <x v="1"/>
    <x v="13"/>
    <n v="25"/>
    <n v="19"/>
    <n v="0"/>
    <n v="0"/>
    <n v="0"/>
    <n v="0"/>
    <n v="0"/>
    <n v="0"/>
    <n v="0"/>
    <n v="25"/>
    <n v="2024"/>
    <x v="0"/>
    <x v="0"/>
    <x v="1"/>
  </r>
  <r>
    <x v="1"/>
    <x v="80"/>
    <x v="1"/>
    <x v="59"/>
    <n v="3372"/>
    <n v="2863"/>
    <n v="4"/>
    <n v="6"/>
    <n v="7213"/>
    <n v="4"/>
    <n v="7213"/>
    <n v="4"/>
    <n v="74"/>
    <n v="600"/>
    <n v="2024"/>
    <x v="0"/>
    <x v="0"/>
    <x v="1"/>
  </r>
  <r>
    <x v="1"/>
    <x v="80"/>
    <x v="1"/>
    <x v="15"/>
    <n v="16"/>
    <n v="16"/>
    <n v="0"/>
    <n v="0"/>
    <n v="0"/>
    <n v="0"/>
    <n v="0"/>
    <n v="0"/>
    <n v="0"/>
    <n v="16"/>
    <n v="2024"/>
    <x v="0"/>
    <x v="0"/>
    <x v="1"/>
  </r>
  <r>
    <x v="1"/>
    <x v="80"/>
    <x v="1"/>
    <x v="17"/>
    <n v="5"/>
    <n v="5"/>
    <n v="0"/>
    <n v="0"/>
    <n v="0"/>
    <n v="0"/>
    <n v="0"/>
    <n v="0"/>
    <n v="1"/>
    <n v="4"/>
    <n v="2024"/>
    <x v="0"/>
    <x v="0"/>
    <x v="1"/>
  </r>
  <r>
    <x v="1"/>
    <x v="80"/>
    <x v="1"/>
    <x v="18"/>
    <n v="5"/>
    <n v="2"/>
    <n v="1"/>
    <n v="0"/>
    <n v="0"/>
    <n v="0"/>
    <n v="0"/>
    <n v="0"/>
    <n v="2"/>
    <n v="5"/>
    <n v="2024"/>
    <x v="0"/>
    <x v="0"/>
    <x v="1"/>
  </r>
  <r>
    <x v="1"/>
    <x v="80"/>
    <x v="1"/>
    <x v="19"/>
    <n v="496"/>
    <n v="285"/>
    <n v="9"/>
    <n v="4"/>
    <n v="19812"/>
    <n v="7"/>
    <n v="19812"/>
    <n v="7"/>
    <n v="273"/>
    <n v="291"/>
    <n v="2024"/>
    <x v="0"/>
    <x v="0"/>
    <x v="1"/>
  </r>
  <r>
    <x v="1"/>
    <x v="80"/>
    <x v="1"/>
    <x v="20"/>
    <n v="6"/>
    <n v="3"/>
    <n v="0"/>
    <n v="0"/>
    <n v="0"/>
    <n v="0"/>
    <n v="0"/>
    <n v="0"/>
    <n v="2"/>
    <n v="4"/>
    <n v="2024"/>
    <x v="0"/>
    <x v="0"/>
    <x v="1"/>
  </r>
  <r>
    <x v="1"/>
    <x v="80"/>
    <x v="1"/>
    <x v="21"/>
    <n v="1"/>
    <n v="0"/>
    <n v="0"/>
    <n v="1"/>
    <n v="0"/>
    <n v="0"/>
    <n v="0"/>
    <n v="0"/>
    <n v="0"/>
    <n v="1"/>
    <n v="2024"/>
    <x v="0"/>
    <x v="0"/>
    <x v="1"/>
  </r>
  <r>
    <x v="1"/>
    <x v="80"/>
    <x v="1"/>
    <x v="22"/>
    <n v="4"/>
    <n v="4"/>
    <n v="0"/>
    <n v="0"/>
    <n v="0"/>
    <n v="0"/>
    <n v="0"/>
    <n v="0"/>
    <n v="0"/>
    <n v="0"/>
    <n v="2024"/>
    <x v="0"/>
    <x v="0"/>
    <x v="1"/>
  </r>
  <r>
    <x v="1"/>
    <x v="80"/>
    <x v="1"/>
    <x v="24"/>
    <n v="13"/>
    <n v="9"/>
    <n v="1"/>
    <n v="0"/>
    <n v="0"/>
    <n v="0"/>
    <n v="0"/>
    <n v="0"/>
    <n v="3"/>
    <n v="12"/>
    <n v="2024"/>
    <x v="0"/>
    <x v="0"/>
    <x v="1"/>
  </r>
  <r>
    <x v="1"/>
    <x v="80"/>
    <x v="1"/>
    <x v="25"/>
    <n v="1"/>
    <n v="1"/>
    <n v="0"/>
    <n v="0"/>
    <n v="0"/>
    <n v="0"/>
    <n v="0"/>
    <n v="0"/>
    <n v="0"/>
    <n v="1"/>
    <n v="2024"/>
    <x v="0"/>
    <x v="0"/>
    <x v="1"/>
  </r>
  <r>
    <x v="1"/>
    <x v="80"/>
    <x v="1"/>
    <x v="26"/>
    <n v="1"/>
    <n v="1"/>
    <n v="0"/>
    <n v="0"/>
    <n v="0"/>
    <n v="0"/>
    <n v="0"/>
    <n v="0"/>
    <n v="0"/>
    <n v="1"/>
    <n v="2024"/>
    <x v="0"/>
    <x v="0"/>
    <x v="1"/>
  </r>
  <r>
    <x v="1"/>
    <x v="80"/>
    <x v="1"/>
    <x v="27"/>
    <n v="69"/>
    <n v="30"/>
    <n v="7"/>
    <n v="1"/>
    <n v="12738"/>
    <n v="5"/>
    <n v="12738"/>
    <n v="5"/>
    <n v="24"/>
    <n v="63"/>
    <n v="2024"/>
    <x v="0"/>
    <x v="0"/>
    <x v="1"/>
  </r>
  <r>
    <x v="1"/>
    <x v="80"/>
    <x v="1"/>
    <x v="29"/>
    <n v="876"/>
    <n v="676"/>
    <n v="38"/>
    <n v="13"/>
    <n v="30876"/>
    <n v="5"/>
    <n v="28639"/>
    <n v="5"/>
    <n v="232"/>
    <n v="798"/>
    <n v="2024"/>
    <x v="0"/>
    <x v="0"/>
    <x v="1"/>
  </r>
  <r>
    <x v="1"/>
    <x v="80"/>
    <x v="1"/>
    <x v="30"/>
    <n v="2225"/>
    <n v="1275"/>
    <n v="54"/>
    <n v="22"/>
    <n v="10188.700000000001"/>
    <n v="5"/>
    <n v="10188.700000000001"/>
    <n v="5"/>
    <n v="269"/>
    <n v="1913"/>
    <n v="2024"/>
    <x v="0"/>
    <x v="0"/>
    <x v="1"/>
  </r>
  <r>
    <x v="1"/>
    <x v="80"/>
    <x v="1"/>
    <x v="31"/>
    <n v="92"/>
    <n v="55"/>
    <n v="2"/>
    <n v="1"/>
    <n v="0"/>
    <n v="0"/>
    <n v="0"/>
    <n v="0"/>
    <n v="19"/>
    <n v="89"/>
    <n v="2024"/>
    <x v="0"/>
    <x v="0"/>
    <x v="1"/>
  </r>
  <r>
    <x v="1"/>
    <x v="80"/>
    <x v="1"/>
    <x v="32"/>
    <n v="3"/>
    <n v="2"/>
    <n v="1"/>
    <n v="0"/>
    <n v="0"/>
    <n v="0"/>
    <n v="0"/>
    <n v="0"/>
    <n v="1"/>
    <n v="3"/>
    <n v="2024"/>
    <x v="0"/>
    <x v="0"/>
    <x v="1"/>
  </r>
  <r>
    <x v="1"/>
    <x v="80"/>
    <x v="1"/>
    <x v="34"/>
    <n v="247"/>
    <n v="154"/>
    <n v="7"/>
    <n v="5"/>
    <n v="4976"/>
    <n v="2"/>
    <n v="4976"/>
    <n v="2"/>
    <n v="74"/>
    <n v="186"/>
    <n v="2024"/>
    <x v="0"/>
    <x v="0"/>
    <x v="1"/>
  </r>
  <r>
    <x v="1"/>
    <x v="80"/>
    <x v="1"/>
    <x v="36"/>
    <n v="1"/>
    <n v="1"/>
    <n v="0"/>
    <n v="0"/>
    <n v="0"/>
    <n v="0"/>
    <n v="0"/>
    <n v="0"/>
    <n v="1"/>
    <n v="0"/>
    <n v="2024"/>
    <x v="0"/>
    <x v="0"/>
    <x v="1"/>
  </r>
  <r>
    <x v="1"/>
    <x v="80"/>
    <x v="1"/>
    <x v="37"/>
    <n v="422"/>
    <n v="226"/>
    <n v="5"/>
    <n v="0"/>
    <n v="3735"/>
    <n v="2"/>
    <n v="3735"/>
    <n v="2"/>
    <n v="53"/>
    <n v="419"/>
    <n v="2024"/>
    <x v="0"/>
    <x v="0"/>
    <x v="1"/>
  </r>
  <r>
    <x v="1"/>
    <x v="80"/>
    <x v="1"/>
    <x v="38"/>
    <n v="278"/>
    <n v="95"/>
    <n v="14"/>
    <n v="3"/>
    <n v="38248"/>
    <n v="10"/>
    <n v="28303"/>
    <n v="8"/>
    <n v="81"/>
    <n v="264"/>
    <n v="2024"/>
    <x v="0"/>
    <x v="0"/>
    <x v="1"/>
  </r>
  <r>
    <x v="1"/>
    <x v="80"/>
    <x v="1"/>
    <x v="39"/>
    <n v="33"/>
    <n v="30"/>
    <n v="0"/>
    <n v="0"/>
    <n v="0"/>
    <n v="0"/>
    <n v="0"/>
    <n v="0"/>
    <n v="4"/>
    <n v="33"/>
    <n v="2024"/>
    <x v="0"/>
    <x v="0"/>
    <x v="1"/>
  </r>
  <r>
    <x v="1"/>
    <x v="80"/>
    <x v="1"/>
    <x v="40"/>
    <n v="2"/>
    <n v="0"/>
    <n v="0"/>
    <n v="0"/>
    <n v="0"/>
    <n v="0"/>
    <n v="0"/>
    <n v="0"/>
    <n v="1"/>
    <n v="2"/>
    <n v="2024"/>
    <x v="0"/>
    <x v="0"/>
    <x v="1"/>
  </r>
  <r>
    <x v="1"/>
    <x v="80"/>
    <x v="1"/>
    <x v="41"/>
    <n v="1"/>
    <n v="0"/>
    <n v="0"/>
    <n v="0"/>
    <n v="0"/>
    <n v="0"/>
    <n v="0"/>
    <n v="0"/>
    <n v="0"/>
    <n v="1"/>
    <n v="2024"/>
    <x v="0"/>
    <x v="0"/>
    <x v="1"/>
  </r>
  <r>
    <x v="1"/>
    <x v="80"/>
    <x v="1"/>
    <x v="42"/>
    <n v="97"/>
    <n v="47"/>
    <n v="2"/>
    <n v="0"/>
    <n v="0"/>
    <n v="0"/>
    <n v="0"/>
    <n v="0"/>
    <n v="6"/>
    <n v="93"/>
    <n v="2024"/>
    <x v="0"/>
    <x v="0"/>
    <x v="1"/>
  </r>
  <r>
    <x v="1"/>
    <x v="80"/>
    <x v="1"/>
    <x v="43"/>
    <n v="105"/>
    <n v="49"/>
    <n v="1"/>
    <n v="1"/>
    <n v="2348"/>
    <n v="1"/>
    <n v="2348"/>
    <n v="1"/>
    <n v="86"/>
    <n v="55"/>
    <n v="2024"/>
    <x v="0"/>
    <x v="0"/>
    <x v="1"/>
  </r>
  <r>
    <x v="1"/>
    <x v="80"/>
    <x v="1"/>
    <x v="44"/>
    <n v="16"/>
    <n v="3"/>
    <n v="0"/>
    <n v="0"/>
    <n v="0"/>
    <n v="0"/>
    <n v="0"/>
    <n v="0"/>
    <n v="0"/>
    <n v="16"/>
    <n v="2024"/>
    <x v="0"/>
    <x v="0"/>
    <x v="1"/>
  </r>
  <r>
    <x v="1"/>
    <x v="80"/>
    <x v="1"/>
    <x v="45"/>
    <n v="4"/>
    <n v="2"/>
    <n v="0"/>
    <n v="0"/>
    <n v="0"/>
    <n v="0"/>
    <n v="0"/>
    <n v="0"/>
    <n v="0"/>
    <n v="4"/>
    <n v="2024"/>
    <x v="0"/>
    <x v="0"/>
    <x v="1"/>
  </r>
  <r>
    <x v="1"/>
    <x v="81"/>
    <x v="0"/>
    <x v="0"/>
    <n v="552"/>
    <n v="304"/>
    <n v="2"/>
    <n v="2"/>
    <n v="0"/>
    <n v="0"/>
    <n v="0"/>
    <n v="0"/>
    <n v="15"/>
    <n v="545"/>
    <n v="2024"/>
    <x v="0"/>
    <x v="0"/>
    <x v="1"/>
  </r>
  <r>
    <x v="1"/>
    <x v="81"/>
    <x v="0"/>
    <x v="1"/>
    <n v="14257"/>
    <n v="9316"/>
    <n v="106"/>
    <n v="76"/>
    <n v="31613"/>
    <n v="12"/>
    <n v="21933"/>
    <n v="9"/>
    <n v="599"/>
    <n v="14227"/>
    <n v="2024"/>
    <x v="0"/>
    <x v="0"/>
    <x v="1"/>
  </r>
  <r>
    <x v="1"/>
    <x v="81"/>
    <x v="0"/>
    <x v="2"/>
    <n v="3192"/>
    <n v="2598"/>
    <n v="23"/>
    <n v="6"/>
    <n v="20970"/>
    <n v="5"/>
    <n v="18845"/>
    <n v="5"/>
    <n v="3192"/>
    <n v="622"/>
    <n v="2024"/>
    <x v="0"/>
    <x v="0"/>
    <x v="1"/>
  </r>
  <r>
    <x v="1"/>
    <x v="81"/>
    <x v="0"/>
    <x v="3"/>
    <n v="7922"/>
    <n v="6812"/>
    <n v="1"/>
    <n v="0"/>
    <n v="0"/>
    <n v="0"/>
    <n v="0"/>
    <n v="0"/>
    <n v="0"/>
    <n v="184"/>
    <n v="2024"/>
    <x v="0"/>
    <x v="0"/>
    <x v="1"/>
  </r>
  <r>
    <x v="1"/>
    <x v="81"/>
    <x v="1"/>
    <x v="5"/>
    <n v="1"/>
    <n v="0"/>
    <n v="0"/>
    <n v="0"/>
    <n v="0"/>
    <n v="0"/>
    <n v="0"/>
    <n v="0"/>
    <n v="1"/>
    <n v="1"/>
    <n v="2024"/>
    <x v="0"/>
    <x v="0"/>
    <x v="1"/>
  </r>
  <r>
    <x v="1"/>
    <x v="81"/>
    <x v="1"/>
    <x v="6"/>
    <n v="19"/>
    <n v="15"/>
    <n v="0"/>
    <n v="0"/>
    <n v="0"/>
    <n v="0"/>
    <n v="0"/>
    <n v="0"/>
    <n v="12"/>
    <n v="8"/>
    <n v="2024"/>
    <x v="0"/>
    <x v="0"/>
    <x v="1"/>
  </r>
  <r>
    <x v="1"/>
    <x v="81"/>
    <x v="1"/>
    <x v="7"/>
    <n v="286"/>
    <n v="68"/>
    <n v="24"/>
    <n v="3"/>
    <n v="59207"/>
    <n v="18"/>
    <n v="59207"/>
    <n v="18"/>
    <n v="82"/>
    <n v="269"/>
    <n v="2024"/>
    <x v="0"/>
    <x v="0"/>
    <x v="1"/>
  </r>
  <r>
    <x v="1"/>
    <x v="81"/>
    <x v="1"/>
    <x v="8"/>
    <n v="7"/>
    <n v="2"/>
    <n v="0"/>
    <n v="0"/>
    <n v="0"/>
    <n v="0"/>
    <n v="0"/>
    <n v="0"/>
    <n v="0"/>
    <n v="7"/>
    <n v="2024"/>
    <x v="0"/>
    <x v="0"/>
    <x v="1"/>
  </r>
  <r>
    <x v="1"/>
    <x v="81"/>
    <x v="1"/>
    <x v="9"/>
    <n v="3"/>
    <n v="0"/>
    <n v="0"/>
    <n v="0"/>
    <n v="0"/>
    <n v="0"/>
    <n v="0"/>
    <n v="0"/>
    <n v="0"/>
    <n v="3"/>
    <n v="2024"/>
    <x v="0"/>
    <x v="0"/>
    <x v="1"/>
  </r>
  <r>
    <x v="1"/>
    <x v="81"/>
    <x v="1"/>
    <x v="10"/>
    <n v="393"/>
    <n v="310"/>
    <n v="4"/>
    <n v="0"/>
    <n v="15803"/>
    <n v="2"/>
    <n v="1303"/>
    <n v="1"/>
    <n v="114"/>
    <n v="356"/>
    <n v="2024"/>
    <x v="0"/>
    <x v="0"/>
    <x v="1"/>
  </r>
  <r>
    <x v="1"/>
    <x v="81"/>
    <x v="1"/>
    <x v="11"/>
    <n v="4"/>
    <n v="4"/>
    <n v="0"/>
    <n v="0"/>
    <n v="0"/>
    <n v="0"/>
    <n v="0"/>
    <n v="0"/>
    <n v="3"/>
    <n v="1"/>
    <n v="2024"/>
    <x v="0"/>
    <x v="0"/>
    <x v="1"/>
  </r>
  <r>
    <x v="1"/>
    <x v="81"/>
    <x v="1"/>
    <x v="13"/>
    <n v="24"/>
    <n v="20"/>
    <n v="0"/>
    <n v="0"/>
    <n v="0"/>
    <n v="0"/>
    <n v="0"/>
    <n v="0"/>
    <n v="0"/>
    <n v="24"/>
    <n v="2024"/>
    <x v="0"/>
    <x v="0"/>
    <x v="1"/>
  </r>
  <r>
    <x v="1"/>
    <x v="81"/>
    <x v="1"/>
    <x v="59"/>
    <n v="336"/>
    <n v="127"/>
    <n v="7"/>
    <n v="3"/>
    <n v="12794"/>
    <n v="4"/>
    <n v="5632"/>
    <n v="3"/>
    <n v="63"/>
    <n v="295"/>
    <n v="2024"/>
    <x v="0"/>
    <x v="0"/>
    <x v="1"/>
  </r>
  <r>
    <x v="1"/>
    <x v="81"/>
    <x v="1"/>
    <x v="15"/>
    <n v="10"/>
    <n v="8"/>
    <n v="0"/>
    <n v="0"/>
    <n v="0"/>
    <n v="0"/>
    <n v="0"/>
    <n v="0"/>
    <n v="1"/>
    <n v="10"/>
    <n v="2024"/>
    <x v="0"/>
    <x v="0"/>
    <x v="1"/>
  </r>
  <r>
    <x v="1"/>
    <x v="81"/>
    <x v="1"/>
    <x v="16"/>
    <n v="1"/>
    <n v="1"/>
    <n v="0"/>
    <n v="0"/>
    <n v="0"/>
    <n v="0"/>
    <n v="0"/>
    <n v="0"/>
    <n v="0"/>
    <n v="1"/>
    <n v="2024"/>
    <x v="0"/>
    <x v="0"/>
    <x v="1"/>
  </r>
  <r>
    <x v="1"/>
    <x v="81"/>
    <x v="1"/>
    <x v="18"/>
    <n v="8"/>
    <n v="6"/>
    <n v="1"/>
    <n v="0"/>
    <n v="0"/>
    <n v="0"/>
    <n v="0"/>
    <n v="0"/>
    <n v="1"/>
    <n v="8"/>
    <n v="2024"/>
    <x v="0"/>
    <x v="0"/>
    <x v="1"/>
  </r>
  <r>
    <x v="1"/>
    <x v="81"/>
    <x v="1"/>
    <x v="19"/>
    <n v="461"/>
    <n v="230"/>
    <n v="15"/>
    <n v="4"/>
    <n v="35085"/>
    <n v="6"/>
    <n v="9485"/>
    <n v="4"/>
    <n v="246"/>
    <n v="325"/>
    <n v="2024"/>
    <x v="0"/>
    <x v="0"/>
    <x v="1"/>
  </r>
  <r>
    <x v="1"/>
    <x v="81"/>
    <x v="1"/>
    <x v="20"/>
    <n v="9"/>
    <n v="4"/>
    <n v="0"/>
    <n v="0"/>
    <n v="0"/>
    <n v="0"/>
    <n v="0"/>
    <n v="0"/>
    <n v="4"/>
    <n v="8"/>
    <n v="2024"/>
    <x v="0"/>
    <x v="0"/>
    <x v="1"/>
  </r>
  <r>
    <x v="1"/>
    <x v="81"/>
    <x v="1"/>
    <x v="21"/>
    <n v="4"/>
    <n v="3"/>
    <n v="0"/>
    <n v="0"/>
    <n v="0"/>
    <n v="0"/>
    <n v="0"/>
    <n v="0"/>
    <n v="0"/>
    <n v="4"/>
    <n v="2024"/>
    <x v="0"/>
    <x v="0"/>
    <x v="1"/>
  </r>
  <r>
    <x v="1"/>
    <x v="81"/>
    <x v="1"/>
    <x v="24"/>
    <n v="24"/>
    <n v="12"/>
    <n v="0"/>
    <n v="0"/>
    <n v="3675"/>
    <n v="1"/>
    <n v="3675"/>
    <n v="1"/>
    <n v="5"/>
    <n v="21"/>
    <n v="2024"/>
    <x v="0"/>
    <x v="0"/>
    <x v="1"/>
  </r>
  <r>
    <x v="1"/>
    <x v="81"/>
    <x v="1"/>
    <x v="26"/>
    <n v="3"/>
    <n v="3"/>
    <n v="0"/>
    <n v="0"/>
    <n v="0"/>
    <n v="0"/>
    <n v="0"/>
    <n v="0"/>
    <n v="0"/>
    <n v="3"/>
    <n v="2024"/>
    <x v="0"/>
    <x v="0"/>
    <x v="1"/>
  </r>
  <r>
    <x v="1"/>
    <x v="81"/>
    <x v="1"/>
    <x v="27"/>
    <n v="79"/>
    <n v="32"/>
    <n v="4"/>
    <n v="4"/>
    <n v="34275"/>
    <n v="9"/>
    <n v="26618"/>
    <n v="8"/>
    <n v="28"/>
    <n v="72"/>
    <n v="2024"/>
    <x v="0"/>
    <x v="0"/>
    <x v="1"/>
  </r>
  <r>
    <x v="1"/>
    <x v="81"/>
    <x v="1"/>
    <x v="29"/>
    <n v="800"/>
    <n v="594"/>
    <n v="37"/>
    <n v="13"/>
    <n v="14265"/>
    <n v="7"/>
    <n v="11777"/>
    <n v="6"/>
    <n v="257"/>
    <n v="706"/>
    <n v="2024"/>
    <x v="0"/>
    <x v="0"/>
    <x v="1"/>
  </r>
  <r>
    <x v="1"/>
    <x v="81"/>
    <x v="1"/>
    <x v="30"/>
    <n v="2137"/>
    <n v="1189"/>
    <n v="37"/>
    <n v="11"/>
    <n v="5899"/>
    <n v="3"/>
    <n v="5899"/>
    <n v="3"/>
    <n v="247"/>
    <n v="1958"/>
    <n v="2024"/>
    <x v="0"/>
    <x v="0"/>
    <x v="1"/>
  </r>
  <r>
    <x v="1"/>
    <x v="81"/>
    <x v="1"/>
    <x v="31"/>
    <n v="93"/>
    <n v="65"/>
    <n v="2"/>
    <n v="5"/>
    <n v="15233"/>
    <n v="2"/>
    <n v="1303"/>
    <n v="1"/>
    <n v="11"/>
    <n v="92"/>
    <n v="2024"/>
    <x v="0"/>
    <x v="0"/>
    <x v="1"/>
  </r>
  <r>
    <x v="1"/>
    <x v="81"/>
    <x v="1"/>
    <x v="32"/>
    <n v="4"/>
    <n v="4"/>
    <n v="0"/>
    <n v="0"/>
    <n v="0"/>
    <n v="0"/>
    <n v="0"/>
    <n v="0"/>
    <n v="2"/>
    <n v="3"/>
    <n v="2024"/>
    <x v="0"/>
    <x v="0"/>
    <x v="1"/>
  </r>
  <r>
    <x v="1"/>
    <x v="81"/>
    <x v="1"/>
    <x v="34"/>
    <n v="204"/>
    <n v="128"/>
    <n v="11"/>
    <n v="1"/>
    <n v="2303"/>
    <n v="2"/>
    <n v="2303"/>
    <n v="2"/>
    <n v="76"/>
    <n v="170"/>
    <n v="2024"/>
    <x v="0"/>
    <x v="0"/>
    <x v="1"/>
  </r>
  <r>
    <x v="1"/>
    <x v="81"/>
    <x v="1"/>
    <x v="36"/>
    <n v="1"/>
    <n v="1"/>
    <n v="0"/>
    <n v="0"/>
    <n v="0"/>
    <n v="0"/>
    <n v="0"/>
    <n v="0"/>
    <n v="0"/>
    <n v="1"/>
    <n v="2024"/>
    <x v="0"/>
    <x v="0"/>
    <x v="1"/>
  </r>
  <r>
    <x v="1"/>
    <x v="81"/>
    <x v="1"/>
    <x v="37"/>
    <n v="512"/>
    <n v="287"/>
    <n v="4"/>
    <n v="0"/>
    <n v="1488"/>
    <n v="1"/>
    <n v="1488"/>
    <n v="1"/>
    <n v="53"/>
    <n v="508"/>
    <n v="2024"/>
    <x v="0"/>
    <x v="0"/>
    <x v="1"/>
  </r>
  <r>
    <x v="1"/>
    <x v="81"/>
    <x v="1"/>
    <x v="38"/>
    <n v="273"/>
    <n v="84"/>
    <n v="15"/>
    <n v="7"/>
    <n v="60673"/>
    <n v="14"/>
    <n v="26716"/>
    <n v="11"/>
    <n v="72"/>
    <n v="260"/>
    <n v="2024"/>
    <x v="0"/>
    <x v="0"/>
    <x v="1"/>
  </r>
  <r>
    <x v="1"/>
    <x v="81"/>
    <x v="1"/>
    <x v="39"/>
    <n v="29"/>
    <n v="28"/>
    <n v="0"/>
    <n v="0"/>
    <n v="0"/>
    <n v="0"/>
    <n v="0"/>
    <n v="0"/>
    <n v="1"/>
    <n v="29"/>
    <n v="2024"/>
    <x v="0"/>
    <x v="0"/>
    <x v="1"/>
  </r>
  <r>
    <x v="1"/>
    <x v="81"/>
    <x v="1"/>
    <x v="41"/>
    <n v="4"/>
    <n v="1"/>
    <n v="0"/>
    <n v="0"/>
    <n v="0"/>
    <n v="0"/>
    <n v="0"/>
    <n v="0"/>
    <n v="1"/>
    <n v="4"/>
    <n v="2024"/>
    <x v="0"/>
    <x v="0"/>
    <x v="1"/>
  </r>
  <r>
    <x v="1"/>
    <x v="81"/>
    <x v="1"/>
    <x v="42"/>
    <n v="98"/>
    <n v="49"/>
    <n v="1"/>
    <n v="1"/>
    <n v="7295"/>
    <n v="1"/>
    <n v="7295"/>
    <n v="1"/>
    <n v="12"/>
    <n v="91"/>
    <n v="2024"/>
    <x v="0"/>
    <x v="0"/>
    <x v="1"/>
  </r>
  <r>
    <x v="1"/>
    <x v="81"/>
    <x v="1"/>
    <x v="43"/>
    <n v="112"/>
    <n v="56"/>
    <n v="3"/>
    <n v="0"/>
    <n v="0"/>
    <n v="0"/>
    <n v="0"/>
    <n v="0"/>
    <n v="91"/>
    <n v="66"/>
    <n v="2024"/>
    <x v="0"/>
    <x v="0"/>
    <x v="1"/>
  </r>
  <r>
    <x v="1"/>
    <x v="81"/>
    <x v="1"/>
    <x v="44"/>
    <n v="11"/>
    <n v="3"/>
    <n v="0"/>
    <n v="0"/>
    <n v="0"/>
    <n v="0"/>
    <n v="0"/>
    <n v="0"/>
    <n v="0"/>
    <n v="11"/>
    <n v="2024"/>
    <x v="0"/>
    <x v="0"/>
    <x v="1"/>
  </r>
  <r>
    <x v="1"/>
    <x v="81"/>
    <x v="1"/>
    <x v="45"/>
    <n v="6"/>
    <n v="4"/>
    <n v="0"/>
    <n v="0"/>
    <n v="0"/>
    <n v="0"/>
    <n v="0"/>
    <n v="0"/>
    <n v="0"/>
    <n v="6"/>
    <n v="2024"/>
    <x v="0"/>
    <x v="0"/>
    <x v="1"/>
  </r>
  <r>
    <x v="1"/>
    <x v="82"/>
    <x v="0"/>
    <x v="0"/>
    <n v="418"/>
    <n v="137"/>
    <n v="3"/>
    <n v="1"/>
    <n v="0"/>
    <n v="0"/>
    <n v="0"/>
    <n v="0"/>
    <n v="8"/>
    <n v="408"/>
    <n v="2024"/>
    <x v="0"/>
    <x v="0"/>
    <x v="1"/>
  </r>
  <r>
    <x v="1"/>
    <x v="82"/>
    <x v="0"/>
    <x v="1"/>
    <n v="13379"/>
    <n v="7894"/>
    <n v="99"/>
    <n v="82"/>
    <n v="64822.5"/>
    <n v="17"/>
    <n v="42117.5"/>
    <n v="13"/>
    <n v="597"/>
    <n v="13354"/>
    <n v="2024"/>
    <x v="0"/>
    <x v="0"/>
    <x v="1"/>
  </r>
  <r>
    <x v="1"/>
    <x v="82"/>
    <x v="0"/>
    <x v="2"/>
    <n v="3278"/>
    <n v="2693"/>
    <n v="20"/>
    <n v="4"/>
    <n v="7614"/>
    <n v="3"/>
    <n v="7614"/>
    <n v="3"/>
    <n v="3278"/>
    <n v="662"/>
    <n v="2024"/>
    <x v="0"/>
    <x v="0"/>
    <x v="1"/>
  </r>
  <r>
    <x v="1"/>
    <x v="82"/>
    <x v="0"/>
    <x v="3"/>
    <n v="6031"/>
    <n v="5073"/>
    <n v="9"/>
    <n v="3"/>
    <n v="0"/>
    <n v="0"/>
    <n v="0"/>
    <n v="0"/>
    <n v="16"/>
    <n v="1045"/>
    <n v="2024"/>
    <x v="0"/>
    <x v="0"/>
    <x v="1"/>
  </r>
  <r>
    <x v="1"/>
    <x v="82"/>
    <x v="1"/>
    <x v="5"/>
    <n v="3"/>
    <n v="3"/>
    <n v="0"/>
    <n v="0"/>
    <n v="0"/>
    <n v="0"/>
    <n v="0"/>
    <n v="0"/>
    <n v="1"/>
    <n v="3"/>
    <n v="2024"/>
    <x v="0"/>
    <x v="0"/>
    <x v="1"/>
  </r>
  <r>
    <x v="1"/>
    <x v="82"/>
    <x v="1"/>
    <x v="6"/>
    <n v="98"/>
    <n v="84"/>
    <n v="0"/>
    <n v="0"/>
    <n v="0"/>
    <n v="0"/>
    <n v="0"/>
    <n v="0"/>
    <n v="7"/>
    <n v="5"/>
    <n v="2024"/>
    <x v="0"/>
    <x v="0"/>
    <x v="1"/>
  </r>
  <r>
    <x v="1"/>
    <x v="82"/>
    <x v="1"/>
    <x v="7"/>
    <n v="302"/>
    <n v="54"/>
    <n v="22"/>
    <n v="3"/>
    <n v="46942"/>
    <n v="16"/>
    <n v="45265"/>
    <n v="16"/>
    <n v="64"/>
    <n v="287"/>
    <n v="2024"/>
    <x v="0"/>
    <x v="0"/>
    <x v="1"/>
  </r>
  <r>
    <x v="1"/>
    <x v="82"/>
    <x v="1"/>
    <x v="8"/>
    <n v="9"/>
    <n v="1"/>
    <n v="0"/>
    <n v="0"/>
    <n v="0"/>
    <n v="0"/>
    <n v="0"/>
    <n v="0"/>
    <n v="0"/>
    <n v="7"/>
    <n v="2024"/>
    <x v="0"/>
    <x v="0"/>
    <x v="1"/>
  </r>
  <r>
    <x v="1"/>
    <x v="82"/>
    <x v="1"/>
    <x v="9"/>
    <n v="4"/>
    <n v="1"/>
    <n v="0"/>
    <n v="0"/>
    <n v="0"/>
    <n v="0"/>
    <n v="0"/>
    <n v="0"/>
    <n v="1"/>
    <n v="4"/>
    <n v="2024"/>
    <x v="0"/>
    <x v="0"/>
    <x v="1"/>
  </r>
  <r>
    <x v="1"/>
    <x v="82"/>
    <x v="1"/>
    <x v="10"/>
    <n v="300"/>
    <n v="246"/>
    <n v="4"/>
    <n v="2"/>
    <n v="2125"/>
    <n v="1"/>
    <n v="2125"/>
    <n v="1"/>
    <n v="69"/>
    <n v="239"/>
    <n v="2024"/>
    <x v="0"/>
    <x v="0"/>
    <x v="1"/>
  </r>
  <r>
    <x v="1"/>
    <x v="82"/>
    <x v="1"/>
    <x v="13"/>
    <n v="41"/>
    <n v="31"/>
    <n v="2"/>
    <n v="0"/>
    <n v="0"/>
    <n v="0"/>
    <n v="0"/>
    <n v="0"/>
    <n v="0"/>
    <n v="41"/>
    <n v="2024"/>
    <x v="0"/>
    <x v="0"/>
    <x v="1"/>
  </r>
  <r>
    <x v="1"/>
    <x v="82"/>
    <x v="1"/>
    <x v="59"/>
    <n v="2287"/>
    <n v="1424"/>
    <n v="5"/>
    <n v="4"/>
    <n v="5031"/>
    <n v="2"/>
    <n v="3354"/>
    <n v="2"/>
    <n v="63"/>
    <n v="425"/>
    <n v="2024"/>
    <x v="0"/>
    <x v="0"/>
    <x v="1"/>
  </r>
  <r>
    <x v="1"/>
    <x v="82"/>
    <x v="1"/>
    <x v="15"/>
    <n v="4"/>
    <n v="4"/>
    <n v="0"/>
    <n v="0"/>
    <n v="0"/>
    <n v="0"/>
    <n v="0"/>
    <n v="0"/>
    <n v="0"/>
    <n v="4"/>
    <n v="2024"/>
    <x v="0"/>
    <x v="0"/>
    <x v="1"/>
  </r>
  <r>
    <x v="1"/>
    <x v="82"/>
    <x v="1"/>
    <x v="16"/>
    <n v="9"/>
    <n v="3"/>
    <n v="1"/>
    <n v="0"/>
    <n v="0"/>
    <n v="0"/>
    <n v="0"/>
    <n v="0"/>
    <n v="0"/>
    <n v="9"/>
    <n v="2024"/>
    <x v="0"/>
    <x v="0"/>
    <x v="1"/>
  </r>
  <r>
    <x v="1"/>
    <x v="82"/>
    <x v="1"/>
    <x v="17"/>
    <n v="2"/>
    <n v="2"/>
    <n v="0"/>
    <n v="0"/>
    <n v="0"/>
    <n v="0"/>
    <n v="0"/>
    <n v="0"/>
    <n v="0"/>
    <n v="2"/>
    <n v="2024"/>
    <x v="0"/>
    <x v="0"/>
    <x v="1"/>
  </r>
  <r>
    <x v="1"/>
    <x v="82"/>
    <x v="1"/>
    <x v="18"/>
    <n v="5"/>
    <n v="5"/>
    <n v="0"/>
    <n v="0"/>
    <n v="4695"/>
    <n v="1"/>
    <n v="4695"/>
    <n v="1"/>
    <n v="1"/>
    <n v="5"/>
    <n v="2024"/>
    <x v="0"/>
    <x v="0"/>
    <x v="1"/>
  </r>
  <r>
    <x v="1"/>
    <x v="82"/>
    <x v="1"/>
    <x v="19"/>
    <n v="552"/>
    <n v="282"/>
    <n v="16"/>
    <n v="8"/>
    <n v="25519"/>
    <n v="10"/>
    <n v="23842"/>
    <n v="9"/>
    <n v="236"/>
    <n v="379"/>
    <n v="2024"/>
    <x v="0"/>
    <x v="0"/>
    <x v="1"/>
  </r>
  <r>
    <x v="1"/>
    <x v="82"/>
    <x v="1"/>
    <x v="20"/>
    <n v="9"/>
    <n v="5"/>
    <n v="0"/>
    <n v="0"/>
    <n v="0"/>
    <n v="0"/>
    <n v="0"/>
    <n v="0"/>
    <n v="4"/>
    <n v="9"/>
    <n v="2024"/>
    <x v="0"/>
    <x v="0"/>
    <x v="1"/>
  </r>
  <r>
    <x v="1"/>
    <x v="82"/>
    <x v="1"/>
    <x v="21"/>
    <n v="4"/>
    <n v="2"/>
    <n v="0"/>
    <n v="0"/>
    <n v="0"/>
    <n v="0"/>
    <n v="0"/>
    <n v="0"/>
    <n v="0"/>
    <n v="4"/>
    <n v="2024"/>
    <x v="0"/>
    <x v="0"/>
    <x v="1"/>
  </r>
  <r>
    <x v="1"/>
    <x v="82"/>
    <x v="1"/>
    <x v="22"/>
    <n v="5"/>
    <n v="4"/>
    <n v="0"/>
    <n v="0"/>
    <n v="0"/>
    <n v="0"/>
    <n v="0"/>
    <n v="0"/>
    <n v="0"/>
    <n v="0"/>
    <n v="2024"/>
    <x v="0"/>
    <x v="0"/>
    <x v="1"/>
  </r>
  <r>
    <x v="1"/>
    <x v="82"/>
    <x v="1"/>
    <x v="24"/>
    <n v="21"/>
    <n v="17"/>
    <n v="0"/>
    <n v="0"/>
    <n v="0"/>
    <n v="0"/>
    <n v="0"/>
    <n v="0"/>
    <n v="5"/>
    <n v="17"/>
    <n v="2024"/>
    <x v="0"/>
    <x v="0"/>
    <x v="1"/>
  </r>
  <r>
    <x v="1"/>
    <x v="82"/>
    <x v="1"/>
    <x v="27"/>
    <n v="241"/>
    <n v="81"/>
    <n v="13"/>
    <n v="2"/>
    <n v="31918"/>
    <n v="8"/>
    <n v="20775"/>
    <n v="7"/>
    <n v="65"/>
    <n v="220"/>
    <n v="2024"/>
    <x v="0"/>
    <x v="0"/>
    <x v="1"/>
  </r>
  <r>
    <x v="1"/>
    <x v="82"/>
    <x v="1"/>
    <x v="29"/>
    <n v="793"/>
    <n v="593"/>
    <n v="32"/>
    <n v="11"/>
    <n v="35746"/>
    <n v="9"/>
    <n v="19156"/>
    <n v="8"/>
    <n v="206"/>
    <n v="719"/>
    <n v="2024"/>
    <x v="0"/>
    <x v="0"/>
    <x v="1"/>
  </r>
  <r>
    <x v="1"/>
    <x v="82"/>
    <x v="1"/>
    <x v="30"/>
    <n v="2104"/>
    <n v="1154"/>
    <n v="33"/>
    <n v="21"/>
    <n v="22255"/>
    <n v="7"/>
    <n v="16478"/>
    <n v="6"/>
    <n v="196"/>
    <n v="1772"/>
    <n v="2024"/>
    <x v="0"/>
    <x v="0"/>
    <x v="1"/>
  </r>
  <r>
    <x v="1"/>
    <x v="82"/>
    <x v="1"/>
    <x v="31"/>
    <n v="79"/>
    <n v="53"/>
    <n v="3"/>
    <n v="2"/>
    <n v="0"/>
    <n v="0"/>
    <n v="0"/>
    <n v="0"/>
    <n v="11"/>
    <n v="77"/>
    <n v="2024"/>
    <x v="0"/>
    <x v="0"/>
    <x v="1"/>
  </r>
  <r>
    <x v="1"/>
    <x v="82"/>
    <x v="1"/>
    <x v="32"/>
    <n v="1"/>
    <n v="1"/>
    <n v="0"/>
    <n v="0"/>
    <n v="0"/>
    <n v="0"/>
    <n v="0"/>
    <n v="0"/>
    <n v="0"/>
    <n v="1"/>
    <n v="2024"/>
    <x v="0"/>
    <x v="0"/>
    <x v="1"/>
  </r>
  <r>
    <x v="1"/>
    <x v="82"/>
    <x v="1"/>
    <x v="34"/>
    <n v="112"/>
    <n v="47"/>
    <n v="5"/>
    <n v="4"/>
    <n v="12348"/>
    <n v="2"/>
    <n v="7874"/>
    <n v="2"/>
    <n v="50"/>
    <n v="92"/>
    <n v="2024"/>
    <x v="0"/>
    <x v="0"/>
    <x v="1"/>
  </r>
  <r>
    <x v="1"/>
    <x v="82"/>
    <x v="1"/>
    <x v="37"/>
    <n v="510"/>
    <n v="292"/>
    <n v="7"/>
    <n v="0"/>
    <n v="4380"/>
    <n v="2"/>
    <n v="4380"/>
    <n v="2"/>
    <n v="48"/>
    <n v="507"/>
    <n v="2024"/>
    <x v="0"/>
    <x v="0"/>
    <x v="1"/>
  </r>
  <r>
    <x v="1"/>
    <x v="82"/>
    <x v="1"/>
    <x v="38"/>
    <n v="318"/>
    <n v="106"/>
    <n v="20"/>
    <n v="3"/>
    <n v="44312"/>
    <n v="11"/>
    <n v="28008"/>
    <n v="9"/>
    <n v="82"/>
    <n v="298"/>
    <n v="2024"/>
    <x v="0"/>
    <x v="0"/>
    <x v="1"/>
  </r>
  <r>
    <x v="1"/>
    <x v="82"/>
    <x v="1"/>
    <x v="39"/>
    <n v="36"/>
    <n v="35"/>
    <n v="1"/>
    <n v="2"/>
    <n v="0"/>
    <n v="0"/>
    <n v="0"/>
    <n v="0"/>
    <n v="2"/>
    <n v="36"/>
    <n v="2024"/>
    <x v="0"/>
    <x v="0"/>
    <x v="1"/>
  </r>
  <r>
    <x v="1"/>
    <x v="82"/>
    <x v="1"/>
    <x v="41"/>
    <n v="6"/>
    <n v="1"/>
    <n v="0"/>
    <n v="0"/>
    <n v="0"/>
    <n v="0"/>
    <n v="0"/>
    <n v="0"/>
    <n v="0"/>
    <n v="6"/>
    <n v="2024"/>
    <x v="0"/>
    <x v="0"/>
    <x v="1"/>
  </r>
  <r>
    <x v="1"/>
    <x v="82"/>
    <x v="1"/>
    <x v="42"/>
    <n v="112"/>
    <n v="54"/>
    <n v="2"/>
    <n v="1"/>
    <n v="3083"/>
    <n v="2"/>
    <n v="1780"/>
    <n v="1"/>
    <n v="18"/>
    <n v="105"/>
    <n v="2024"/>
    <x v="0"/>
    <x v="0"/>
    <x v="1"/>
  </r>
  <r>
    <x v="1"/>
    <x v="82"/>
    <x v="1"/>
    <x v="43"/>
    <n v="115"/>
    <n v="54"/>
    <n v="7"/>
    <n v="0"/>
    <n v="0"/>
    <n v="0"/>
    <n v="0"/>
    <n v="0"/>
    <n v="88"/>
    <n v="61"/>
    <n v="2024"/>
    <x v="0"/>
    <x v="0"/>
    <x v="1"/>
  </r>
  <r>
    <x v="1"/>
    <x v="82"/>
    <x v="1"/>
    <x v="44"/>
    <n v="14"/>
    <n v="1"/>
    <n v="0"/>
    <n v="0"/>
    <n v="2980"/>
    <n v="1"/>
    <n v="2980"/>
    <n v="1"/>
    <n v="0"/>
    <n v="14"/>
    <n v="2024"/>
    <x v="0"/>
    <x v="0"/>
    <x v="1"/>
  </r>
  <r>
    <x v="1"/>
    <x v="82"/>
    <x v="1"/>
    <x v="45"/>
    <n v="5"/>
    <n v="5"/>
    <n v="1"/>
    <n v="0"/>
    <n v="0"/>
    <n v="0"/>
    <n v="0"/>
    <n v="0"/>
    <n v="0"/>
    <n v="5"/>
    <n v="2024"/>
    <x v="0"/>
    <x v="0"/>
    <x v="1"/>
  </r>
  <r>
    <x v="1"/>
    <x v="83"/>
    <x v="0"/>
    <x v="0"/>
    <n v="476"/>
    <n v="174"/>
    <n v="9"/>
    <n v="3"/>
    <n v="15978"/>
    <n v="6"/>
    <n v="12564"/>
    <n v="5"/>
    <n v="23"/>
    <n v="462"/>
    <n v="2024"/>
    <x v="0"/>
    <x v="0"/>
    <x v="1"/>
  </r>
  <r>
    <x v="1"/>
    <x v="83"/>
    <x v="0"/>
    <x v="1"/>
    <n v="20320"/>
    <n v="12653"/>
    <n v="215"/>
    <n v="96"/>
    <n v="333091.5"/>
    <n v="78"/>
    <n v="249979.5"/>
    <n v="66"/>
    <n v="851"/>
    <n v="20265"/>
    <n v="2024"/>
    <x v="0"/>
    <x v="0"/>
    <x v="1"/>
  </r>
  <r>
    <x v="1"/>
    <x v="83"/>
    <x v="0"/>
    <x v="2"/>
    <n v="2169"/>
    <n v="1704"/>
    <n v="17"/>
    <n v="4"/>
    <n v="14393.27"/>
    <n v="4"/>
    <n v="14393.27"/>
    <n v="4"/>
    <n v="2169"/>
    <n v="541"/>
    <n v="2024"/>
    <x v="0"/>
    <x v="0"/>
    <x v="1"/>
  </r>
  <r>
    <x v="1"/>
    <x v="83"/>
    <x v="0"/>
    <x v="3"/>
    <n v="1514"/>
    <n v="1001"/>
    <n v="3"/>
    <n v="0"/>
    <n v="0"/>
    <n v="0"/>
    <n v="0"/>
    <n v="0"/>
    <n v="16"/>
    <n v="247"/>
    <n v="2024"/>
    <x v="0"/>
    <x v="0"/>
    <x v="1"/>
  </r>
  <r>
    <x v="1"/>
    <x v="83"/>
    <x v="1"/>
    <x v="5"/>
    <n v="2"/>
    <n v="1"/>
    <n v="0"/>
    <n v="0"/>
    <n v="0"/>
    <n v="0"/>
    <n v="0"/>
    <n v="0"/>
    <n v="0"/>
    <n v="2"/>
    <n v="2024"/>
    <x v="0"/>
    <x v="0"/>
    <x v="1"/>
  </r>
  <r>
    <x v="1"/>
    <x v="83"/>
    <x v="1"/>
    <x v="6"/>
    <n v="196"/>
    <n v="179"/>
    <n v="0"/>
    <n v="0"/>
    <n v="0"/>
    <n v="0"/>
    <n v="0"/>
    <n v="0"/>
    <n v="1"/>
    <n v="1"/>
    <n v="2024"/>
    <x v="0"/>
    <x v="0"/>
    <x v="1"/>
  </r>
  <r>
    <x v="1"/>
    <x v="83"/>
    <x v="1"/>
    <x v="7"/>
    <n v="450"/>
    <n v="140"/>
    <n v="62"/>
    <n v="3"/>
    <n v="307458.15000000002"/>
    <n v="85"/>
    <n v="230455.15"/>
    <n v="79"/>
    <n v="149"/>
    <n v="430"/>
    <n v="2024"/>
    <x v="0"/>
    <x v="0"/>
    <x v="1"/>
  </r>
  <r>
    <x v="1"/>
    <x v="83"/>
    <x v="1"/>
    <x v="8"/>
    <n v="16"/>
    <n v="4"/>
    <n v="1"/>
    <n v="2"/>
    <n v="0"/>
    <n v="0"/>
    <n v="0"/>
    <n v="0"/>
    <n v="0"/>
    <n v="12"/>
    <n v="2024"/>
    <x v="0"/>
    <x v="0"/>
    <x v="1"/>
  </r>
  <r>
    <x v="1"/>
    <x v="83"/>
    <x v="1"/>
    <x v="9"/>
    <n v="4"/>
    <n v="3"/>
    <n v="0"/>
    <n v="0"/>
    <n v="0"/>
    <n v="0"/>
    <n v="0"/>
    <n v="0"/>
    <n v="0"/>
    <n v="4"/>
    <n v="2024"/>
    <x v="0"/>
    <x v="0"/>
    <x v="1"/>
  </r>
  <r>
    <x v="1"/>
    <x v="83"/>
    <x v="1"/>
    <x v="10"/>
    <n v="42"/>
    <n v="21"/>
    <n v="3"/>
    <n v="0"/>
    <n v="3336.79"/>
    <n v="1"/>
    <n v="3336.79"/>
    <n v="1"/>
    <n v="7"/>
    <n v="24"/>
    <n v="2024"/>
    <x v="0"/>
    <x v="0"/>
    <x v="1"/>
  </r>
  <r>
    <x v="1"/>
    <x v="83"/>
    <x v="1"/>
    <x v="11"/>
    <n v="3"/>
    <n v="2"/>
    <n v="0"/>
    <n v="0"/>
    <n v="0"/>
    <n v="0"/>
    <n v="0"/>
    <n v="0"/>
    <n v="1"/>
    <n v="2"/>
    <n v="2024"/>
    <x v="0"/>
    <x v="0"/>
    <x v="1"/>
  </r>
  <r>
    <x v="1"/>
    <x v="83"/>
    <x v="1"/>
    <x v="12"/>
    <n v="1"/>
    <n v="1"/>
    <n v="0"/>
    <n v="0"/>
    <n v="0"/>
    <n v="0"/>
    <n v="0"/>
    <n v="0"/>
    <n v="0"/>
    <n v="0"/>
    <n v="2024"/>
    <x v="0"/>
    <x v="0"/>
    <x v="1"/>
  </r>
  <r>
    <x v="1"/>
    <x v="83"/>
    <x v="1"/>
    <x v="13"/>
    <n v="50"/>
    <n v="41"/>
    <n v="22"/>
    <n v="0"/>
    <n v="13422"/>
    <n v="6"/>
    <n v="8948"/>
    <n v="4"/>
    <n v="1"/>
    <n v="50"/>
    <n v="2024"/>
    <x v="0"/>
    <x v="0"/>
    <x v="1"/>
  </r>
  <r>
    <x v="1"/>
    <x v="83"/>
    <x v="1"/>
    <x v="59"/>
    <n v="2660"/>
    <n v="1805"/>
    <n v="6"/>
    <n v="9"/>
    <n v="33304.15"/>
    <n v="8"/>
    <n v="33304.15"/>
    <n v="8"/>
    <n v="51"/>
    <n v="662"/>
    <n v="2024"/>
    <x v="0"/>
    <x v="0"/>
    <x v="1"/>
  </r>
  <r>
    <x v="1"/>
    <x v="83"/>
    <x v="1"/>
    <x v="15"/>
    <n v="29"/>
    <n v="28"/>
    <n v="0"/>
    <n v="0"/>
    <n v="0"/>
    <n v="0"/>
    <n v="0"/>
    <n v="0"/>
    <n v="0"/>
    <n v="29"/>
    <n v="2024"/>
    <x v="0"/>
    <x v="0"/>
    <x v="1"/>
  </r>
  <r>
    <x v="1"/>
    <x v="83"/>
    <x v="1"/>
    <x v="16"/>
    <n v="37"/>
    <n v="8"/>
    <n v="0"/>
    <n v="0"/>
    <n v="3145"/>
    <n v="1"/>
    <n v="3145"/>
    <n v="1"/>
    <n v="2"/>
    <n v="37"/>
    <n v="2024"/>
    <x v="0"/>
    <x v="0"/>
    <x v="1"/>
  </r>
  <r>
    <x v="1"/>
    <x v="83"/>
    <x v="1"/>
    <x v="17"/>
    <n v="1"/>
    <n v="1"/>
    <n v="0"/>
    <n v="0"/>
    <n v="0"/>
    <n v="0"/>
    <n v="0"/>
    <n v="0"/>
    <n v="0"/>
    <n v="1"/>
    <n v="2024"/>
    <x v="0"/>
    <x v="0"/>
    <x v="1"/>
  </r>
  <r>
    <x v="1"/>
    <x v="83"/>
    <x v="1"/>
    <x v="18"/>
    <n v="7"/>
    <n v="6"/>
    <n v="2"/>
    <n v="1"/>
    <n v="49537"/>
    <n v="3"/>
    <n v="4975"/>
    <n v="2"/>
    <n v="0"/>
    <n v="7"/>
    <n v="2024"/>
    <x v="0"/>
    <x v="0"/>
    <x v="1"/>
  </r>
  <r>
    <x v="1"/>
    <x v="83"/>
    <x v="1"/>
    <x v="19"/>
    <n v="651"/>
    <n v="342"/>
    <n v="25"/>
    <n v="1"/>
    <n v="79575.78"/>
    <n v="19"/>
    <n v="67884.78"/>
    <n v="20"/>
    <n v="284"/>
    <n v="451"/>
    <n v="2024"/>
    <x v="0"/>
    <x v="0"/>
    <x v="1"/>
  </r>
  <r>
    <x v="1"/>
    <x v="83"/>
    <x v="1"/>
    <x v="20"/>
    <n v="68"/>
    <n v="46"/>
    <n v="2"/>
    <n v="0"/>
    <n v="0"/>
    <n v="0"/>
    <n v="0"/>
    <n v="0"/>
    <n v="11"/>
    <n v="67"/>
    <n v="2024"/>
    <x v="0"/>
    <x v="0"/>
    <x v="1"/>
  </r>
  <r>
    <x v="1"/>
    <x v="83"/>
    <x v="1"/>
    <x v="21"/>
    <n v="3"/>
    <n v="1"/>
    <n v="1"/>
    <n v="0"/>
    <n v="1917"/>
    <n v="1"/>
    <n v="1917"/>
    <n v="1"/>
    <n v="1"/>
    <n v="3"/>
    <n v="2024"/>
    <x v="0"/>
    <x v="0"/>
    <x v="1"/>
  </r>
  <r>
    <x v="1"/>
    <x v="83"/>
    <x v="1"/>
    <x v="22"/>
    <n v="6"/>
    <n v="4"/>
    <n v="0"/>
    <n v="0"/>
    <n v="0"/>
    <n v="0"/>
    <n v="0"/>
    <n v="0"/>
    <n v="0"/>
    <n v="2"/>
    <n v="2024"/>
    <x v="0"/>
    <x v="0"/>
    <x v="1"/>
  </r>
  <r>
    <x v="1"/>
    <x v="83"/>
    <x v="1"/>
    <x v="24"/>
    <n v="39"/>
    <n v="18"/>
    <n v="3"/>
    <n v="0"/>
    <n v="6912"/>
    <n v="2"/>
    <n v="6912"/>
    <n v="2"/>
    <n v="5"/>
    <n v="35"/>
    <n v="2024"/>
    <x v="0"/>
    <x v="0"/>
    <x v="1"/>
  </r>
  <r>
    <x v="1"/>
    <x v="83"/>
    <x v="1"/>
    <x v="26"/>
    <n v="2"/>
    <n v="0"/>
    <n v="0"/>
    <n v="0"/>
    <n v="0"/>
    <n v="0"/>
    <n v="0"/>
    <n v="0"/>
    <n v="0"/>
    <n v="2"/>
    <n v="2024"/>
    <x v="0"/>
    <x v="0"/>
    <x v="1"/>
  </r>
  <r>
    <x v="1"/>
    <x v="83"/>
    <x v="1"/>
    <x v="27"/>
    <n v="328"/>
    <n v="131"/>
    <n v="28"/>
    <n v="6"/>
    <n v="60816.35"/>
    <n v="20"/>
    <n v="60816.35"/>
    <n v="20"/>
    <n v="77"/>
    <n v="314"/>
    <n v="2024"/>
    <x v="0"/>
    <x v="0"/>
    <x v="1"/>
  </r>
  <r>
    <x v="1"/>
    <x v="83"/>
    <x v="1"/>
    <x v="29"/>
    <n v="1025"/>
    <n v="783"/>
    <n v="97"/>
    <n v="13"/>
    <n v="108295.5"/>
    <n v="31"/>
    <n v="90705.5"/>
    <n v="29"/>
    <n v="304"/>
    <n v="913"/>
    <n v="2024"/>
    <x v="0"/>
    <x v="0"/>
    <x v="1"/>
  </r>
  <r>
    <x v="1"/>
    <x v="83"/>
    <x v="1"/>
    <x v="30"/>
    <n v="2202"/>
    <n v="1164"/>
    <n v="33"/>
    <n v="21"/>
    <n v="24967.56"/>
    <n v="10"/>
    <n v="23196.400000000001"/>
    <n v="10"/>
    <n v="194"/>
    <n v="1875"/>
    <n v="2024"/>
    <x v="0"/>
    <x v="0"/>
    <x v="1"/>
  </r>
  <r>
    <x v="1"/>
    <x v="83"/>
    <x v="1"/>
    <x v="31"/>
    <n v="84"/>
    <n v="55"/>
    <n v="4"/>
    <n v="1"/>
    <n v="0"/>
    <n v="0"/>
    <n v="0"/>
    <n v="0"/>
    <n v="18"/>
    <n v="81"/>
    <n v="2024"/>
    <x v="0"/>
    <x v="0"/>
    <x v="1"/>
  </r>
  <r>
    <x v="1"/>
    <x v="83"/>
    <x v="1"/>
    <x v="32"/>
    <n v="4"/>
    <n v="2"/>
    <n v="0"/>
    <n v="0"/>
    <n v="0"/>
    <n v="0"/>
    <n v="0"/>
    <n v="0"/>
    <n v="1"/>
    <n v="4"/>
    <n v="2024"/>
    <x v="0"/>
    <x v="0"/>
    <x v="1"/>
  </r>
  <r>
    <x v="1"/>
    <x v="83"/>
    <x v="1"/>
    <x v="34"/>
    <n v="124"/>
    <n v="62"/>
    <n v="6"/>
    <n v="1"/>
    <n v="23094.53"/>
    <n v="5"/>
    <n v="21323.37"/>
    <n v="5"/>
    <n v="53"/>
    <n v="98"/>
    <n v="2024"/>
    <x v="0"/>
    <x v="0"/>
    <x v="1"/>
  </r>
  <r>
    <x v="1"/>
    <x v="83"/>
    <x v="1"/>
    <x v="36"/>
    <n v="2"/>
    <n v="1"/>
    <n v="0"/>
    <n v="0"/>
    <n v="0"/>
    <n v="0"/>
    <n v="0"/>
    <n v="0"/>
    <n v="0"/>
    <n v="2"/>
    <n v="2024"/>
    <x v="0"/>
    <x v="0"/>
    <x v="1"/>
  </r>
  <r>
    <x v="1"/>
    <x v="83"/>
    <x v="1"/>
    <x v="37"/>
    <n v="598"/>
    <n v="350"/>
    <n v="8"/>
    <n v="0"/>
    <n v="14731"/>
    <n v="7"/>
    <n v="12751"/>
    <n v="7"/>
    <n v="73"/>
    <n v="591"/>
    <n v="2024"/>
    <x v="0"/>
    <x v="0"/>
    <x v="1"/>
  </r>
  <r>
    <x v="1"/>
    <x v="83"/>
    <x v="1"/>
    <x v="38"/>
    <n v="382"/>
    <n v="112"/>
    <n v="40"/>
    <n v="7"/>
    <n v="168793.41"/>
    <n v="37"/>
    <n v="114843.91"/>
    <n v="34"/>
    <n v="107"/>
    <n v="361"/>
    <n v="2024"/>
    <x v="0"/>
    <x v="0"/>
    <x v="1"/>
  </r>
  <r>
    <x v="1"/>
    <x v="83"/>
    <x v="1"/>
    <x v="41"/>
    <n v="6"/>
    <n v="1"/>
    <n v="0"/>
    <n v="0"/>
    <n v="0"/>
    <n v="0"/>
    <n v="0"/>
    <n v="0"/>
    <n v="0"/>
    <n v="6"/>
    <n v="2024"/>
    <x v="0"/>
    <x v="0"/>
    <x v="1"/>
  </r>
  <r>
    <x v="1"/>
    <x v="83"/>
    <x v="1"/>
    <x v="42"/>
    <n v="130"/>
    <n v="64"/>
    <n v="5"/>
    <n v="0"/>
    <n v="3980"/>
    <n v="1"/>
    <n v="3980"/>
    <n v="1"/>
    <n v="14"/>
    <n v="124"/>
    <n v="2024"/>
    <x v="0"/>
    <x v="0"/>
    <x v="1"/>
  </r>
  <r>
    <x v="1"/>
    <x v="83"/>
    <x v="1"/>
    <x v="43"/>
    <n v="124"/>
    <n v="56"/>
    <n v="2"/>
    <n v="0"/>
    <n v="991.16"/>
    <n v="1"/>
    <n v="991.16"/>
    <n v="1"/>
    <n v="94"/>
    <n v="58"/>
    <n v="2024"/>
    <x v="0"/>
    <x v="0"/>
    <x v="1"/>
  </r>
  <r>
    <x v="1"/>
    <x v="83"/>
    <x v="1"/>
    <x v="44"/>
    <n v="20"/>
    <n v="6"/>
    <n v="1"/>
    <n v="1"/>
    <n v="6475"/>
    <n v="2"/>
    <n v="6475"/>
    <n v="2"/>
    <n v="0"/>
    <n v="20"/>
    <n v="2024"/>
    <x v="0"/>
    <x v="0"/>
    <x v="1"/>
  </r>
  <r>
    <x v="1"/>
    <x v="83"/>
    <x v="1"/>
    <x v="45"/>
    <n v="8"/>
    <n v="8"/>
    <n v="0"/>
    <n v="0"/>
    <n v="0"/>
    <n v="0"/>
    <n v="0"/>
    <n v="0"/>
    <n v="0"/>
    <n v="8"/>
    <n v="2024"/>
    <x v="0"/>
    <x v="0"/>
    <x v="1"/>
  </r>
  <r>
    <x v="1"/>
    <x v="84"/>
    <x v="0"/>
    <x v="0"/>
    <n v="447"/>
    <n v="149"/>
    <n v="6"/>
    <n v="1"/>
    <n v="11818.58"/>
    <n v="4"/>
    <n v="11818.58"/>
    <n v="4"/>
    <n v="16"/>
    <n v="436"/>
    <n v="2024"/>
    <x v="0"/>
    <x v="0"/>
    <x v="1"/>
  </r>
  <r>
    <x v="1"/>
    <x v="84"/>
    <x v="0"/>
    <x v="1"/>
    <n v="20529"/>
    <n v="12149"/>
    <n v="201"/>
    <n v="103"/>
    <n v="137364.32"/>
    <n v="43"/>
    <n v="91808.320000000007"/>
    <n v="32"/>
    <n v="887"/>
    <n v="20487"/>
    <n v="2024"/>
    <x v="0"/>
    <x v="0"/>
    <x v="1"/>
  </r>
  <r>
    <x v="1"/>
    <x v="84"/>
    <x v="0"/>
    <x v="2"/>
    <n v="2073"/>
    <n v="1625"/>
    <n v="35"/>
    <n v="5"/>
    <n v="35824.5"/>
    <n v="11"/>
    <n v="35824.5"/>
    <n v="11"/>
    <n v="2072"/>
    <n v="565"/>
    <n v="2024"/>
    <x v="0"/>
    <x v="0"/>
    <x v="1"/>
  </r>
  <r>
    <x v="1"/>
    <x v="84"/>
    <x v="0"/>
    <x v="3"/>
    <n v="1620"/>
    <n v="1184"/>
    <n v="4"/>
    <n v="2"/>
    <n v="0"/>
    <n v="0"/>
    <n v="0"/>
    <n v="0"/>
    <n v="20"/>
    <n v="400"/>
    <n v="2024"/>
    <x v="0"/>
    <x v="0"/>
    <x v="1"/>
  </r>
  <r>
    <x v="1"/>
    <x v="84"/>
    <x v="1"/>
    <x v="5"/>
    <n v="7"/>
    <n v="7"/>
    <n v="0"/>
    <n v="0"/>
    <n v="0"/>
    <n v="0"/>
    <n v="0"/>
    <n v="0"/>
    <n v="0"/>
    <n v="7"/>
    <n v="2024"/>
    <x v="0"/>
    <x v="0"/>
    <x v="1"/>
  </r>
  <r>
    <x v="1"/>
    <x v="84"/>
    <x v="1"/>
    <x v="6"/>
    <n v="423"/>
    <n v="400"/>
    <n v="0"/>
    <n v="0"/>
    <n v="0"/>
    <n v="0"/>
    <n v="0"/>
    <n v="0"/>
    <n v="1"/>
    <n v="3"/>
    <n v="2024"/>
    <x v="0"/>
    <x v="0"/>
    <x v="1"/>
  </r>
  <r>
    <x v="1"/>
    <x v="84"/>
    <x v="1"/>
    <x v="7"/>
    <n v="450"/>
    <n v="150"/>
    <n v="60"/>
    <n v="5"/>
    <n v="158130.46"/>
    <n v="51"/>
    <n v="129145.46"/>
    <n v="46"/>
    <n v="133"/>
    <n v="434"/>
    <n v="2024"/>
    <x v="0"/>
    <x v="0"/>
    <x v="1"/>
  </r>
  <r>
    <x v="1"/>
    <x v="84"/>
    <x v="1"/>
    <x v="8"/>
    <n v="17"/>
    <n v="1"/>
    <n v="0"/>
    <n v="0"/>
    <n v="0"/>
    <n v="0"/>
    <n v="0"/>
    <n v="0"/>
    <n v="0"/>
    <n v="12"/>
    <n v="2024"/>
    <x v="0"/>
    <x v="0"/>
    <x v="1"/>
  </r>
  <r>
    <x v="1"/>
    <x v="84"/>
    <x v="1"/>
    <x v="9"/>
    <n v="6"/>
    <n v="2"/>
    <n v="0"/>
    <n v="0"/>
    <n v="0"/>
    <n v="0"/>
    <n v="0"/>
    <n v="0"/>
    <n v="0"/>
    <n v="6"/>
    <n v="2024"/>
    <x v="0"/>
    <x v="0"/>
    <x v="1"/>
  </r>
  <r>
    <x v="1"/>
    <x v="84"/>
    <x v="1"/>
    <x v="10"/>
    <n v="46"/>
    <n v="20"/>
    <n v="1"/>
    <n v="0"/>
    <n v="2995"/>
    <n v="1"/>
    <n v="0"/>
    <n v="0"/>
    <n v="7"/>
    <n v="26"/>
    <n v="2024"/>
    <x v="0"/>
    <x v="0"/>
    <x v="1"/>
  </r>
  <r>
    <x v="1"/>
    <x v="84"/>
    <x v="1"/>
    <x v="11"/>
    <n v="1"/>
    <n v="0"/>
    <n v="0"/>
    <n v="0"/>
    <n v="0"/>
    <n v="0"/>
    <n v="0"/>
    <n v="0"/>
    <n v="0"/>
    <n v="1"/>
    <n v="2024"/>
    <x v="0"/>
    <x v="0"/>
    <x v="1"/>
  </r>
  <r>
    <x v="1"/>
    <x v="84"/>
    <x v="1"/>
    <x v="13"/>
    <n v="36"/>
    <n v="28"/>
    <n v="1"/>
    <n v="0"/>
    <n v="0"/>
    <n v="0"/>
    <n v="0"/>
    <n v="0"/>
    <n v="1"/>
    <n v="36"/>
    <n v="2024"/>
    <x v="0"/>
    <x v="0"/>
    <x v="1"/>
  </r>
  <r>
    <x v="1"/>
    <x v="84"/>
    <x v="1"/>
    <x v="59"/>
    <n v="2517"/>
    <n v="1539"/>
    <n v="15"/>
    <n v="3"/>
    <n v="16940.349999999999"/>
    <n v="6"/>
    <n v="7133.35"/>
    <n v="4"/>
    <n v="58"/>
    <n v="813"/>
    <n v="2024"/>
    <x v="0"/>
    <x v="0"/>
    <x v="1"/>
  </r>
  <r>
    <x v="1"/>
    <x v="84"/>
    <x v="1"/>
    <x v="15"/>
    <n v="10"/>
    <n v="8"/>
    <n v="0"/>
    <n v="0"/>
    <n v="0"/>
    <n v="0"/>
    <n v="0"/>
    <n v="0"/>
    <n v="0"/>
    <n v="10"/>
    <n v="2024"/>
    <x v="0"/>
    <x v="0"/>
    <x v="1"/>
  </r>
  <r>
    <x v="1"/>
    <x v="84"/>
    <x v="1"/>
    <x v="16"/>
    <n v="27"/>
    <n v="8"/>
    <n v="0"/>
    <n v="0"/>
    <n v="0"/>
    <n v="0"/>
    <n v="0"/>
    <n v="0"/>
    <n v="2"/>
    <n v="27"/>
    <n v="2024"/>
    <x v="0"/>
    <x v="0"/>
    <x v="1"/>
  </r>
  <r>
    <x v="1"/>
    <x v="84"/>
    <x v="1"/>
    <x v="18"/>
    <n v="8"/>
    <n v="6"/>
    <n v="2"/>
    <n v="0"/>
    <n v="0"/>
    <n v="0"/>
    <n v="0"/>
    <n v="0"/>
    <n v="0"/>
    <n v="8"/>
    <n v="2024"/>
    <x v="0"/>
    <x v="0"/>
    <x v="1"/>
  </r>
  <r>
    <x v="1"/>
    <x v="84"/>
    <x v="1"/>
    <x v="19"/>
    <n v="665"/>
    <n v="369"/>
    <n v="36"/>
    <n v="5"/>
    <n v="64680.59"/>
    <n v="17"/>
    <n v="28853.59"/>
    <n v="13"/>
    <n v="315"/>
    <n v="483"/>
    <n v="2024"/>
    <x v="0"/>
    <x v="0"/>
    <x v="1"/>
  </r>
  <r>
    <x v="1"/>
    <x v="84"/>
    <x v="1"/>
    <x v="20"/>
    <n v="42"/>
    <n v="27"/>
    <n v="1"/>
    <n v="0"/>
    <n v="2237"/>
    <n v="1"/>
    <n v="0"/>
    <n v="0"/>
    <n v="4"/>
    <n v="41"/>
    <n v="2024"/>
    <x v="0"/>
    <x v="0"/>
    <x v="1"/>
  </r>
  <r>
    <x v="1"/>
    <x v="84"/>
    <x v="1"/>
    <x v="21"/>
    <n v="5"/>
    <n v="2"/>
    <n v="0"/>
    <n v="0"/>
    <n v="0"/>
    <n v="0"/>
    <n v="0"/>
    <n v="0"/>
    <n v="2"/>
    <n v="5"/>
    <n v="2024"/>
    <x v="0"/>
    <x v="0"/>
    <x v="1"/>
  </r>
  <r>
    <x v="1"/>
    <x v="84"/>
    <x v="1"/>
    <x v="22"/>
    <n v="5"/>
    <n v="4"/>
    <n v="1"/>
    <n v="0"/>
    <n v="0"/>
    <n v="0"/>
    <n v="0"/>
    <n v="0"/>
    <n v="0"/>
    <n v="1"/>
    <n v="2024"/>
    <x v="0"/>
    <x v="0"/>
    <x v="1"/>
  </r>
  <r>
    <x v="1"/>
    <x v="84"/>
    <x v="1"/>
    <x v="24"/>
    <n v="51"/>
    <n v="25"/>
    <n v="1"/>
    <n v="0"/>
    <n v="2996"/>
    <n v="2"/>
    <n v="2996"/>
    <n v="2"/>
    <n v="7"/>
    <n v="46"/>
    <n v="2024"/>
    <x v="0"/>
    <x v="0"/>
    <x v="1"/>
  </r>
  <r>
    <x v="1"/>
    <x v="84"/>
    <x v="1"/>
    <x v="25"/>
    <n v="2"/>
    <n v="2"/>
    <n v="0"/>
    <n v="0"/>
    <n v="0"/>
    <n v="0"/>
    <n v="0"/>
    <n v="0"/>
    <n v="0"/>
    <n v="2"/>
    <n v="2024"/>
    <x v="0"/>
    <x v="0"/>
    <x v="1"/>
  </r>
  <r>
    <x v="1"/>
    <x v="84"/>
    <x v="1"/>
    <x v="26"/>
    <n v="2"/>
    <n v="0"/>
    <n v="0"/>
    <n v="0"/>
    <n v="0"/>
    <n v="0"/>
    <n v="0"/>
    <n v="0"/>
    <n v="0"/>
    <n v="2"/>
    <n v="2024"/>
    <x v="0"/>
    <x v="0"/>
    <x v="1"/>
  </r>
  <r>
    <x v="1"/>
    <x v="84"/>
    <x v="1"/>
    <x v="27"/>
    <n v="78"/>
    <n v="34"/>
    <n v="9"/>
    <n v="3"/>
    <n v="21900"/>
    <n v="10"/>
    <n v="14229"/>
    <n v="8"/>
    <n v="34"/>
    <n v="68"/>
    <n v="2024"/>
    <x v="0"/>
    <x v="0"/>
    <x v="1"/>
  </r>
  <r>
    <x v="1"/>
    <x v="84"/>
    <x v="1"/>
    <x v="29"/>
    <n v="970"/>
    <n v="737"/>
    <n v="101"/>
    <n v="12"/>
    <n v="74202.080000000002"/>
    <n v="25"/>
    <n v="65452.58"/>
    <n v="22"/>
    <n v="303"/>
    <n v="876"/>
    <n v="2024"/>
    <x v="0"/>
    <x v="0"/>
    <x v="1"/>
  </r>
  <r>
    <x v="1"/>
    <x v="84"/>
    <x v="1"/>
    <x v="30"/>
    <n v="2259"/>
    <n v="1097"/>
    <n v="57"/>
    <n v="15"/>
    <n v="27206.5"/>
    <n v="12"/>
    <n v="27206.5"/>
    <n v="12"/>
    <n v="234"/>
    <n v="1970"/>
    <n v="2024"/>
    <x v="0"/>
    <x v="0"/>
    <x v="1"/>
  </r>
  <r>
    <x v="1"/>
    <x v="84"/>
    <x v="1"/>
    <x v="31"/>
    <n v="77"/>
    <n v="50"/>
    <n v="2"/>
    <n v="1"/>
    <n v="0"/>
    <n v="0"/>
    <n v="0"/>
    <n v="0"/>
    <n v="13"/>
    <n v="74"/>
    <n v="2024"/>
    <x v="0"/>
    <x v="0"/>
    <x v="1"/>
  </r>
  <r>
    <x v="1"/>
    <x v="84"/>
    <x v="1"/>
    <x v="32"/>
    <n v="6"/>
    <n v="3"/>
    <n v="0"/>
    <n v="0"/>
    <n v="1498"/>
    <n v="1"/>
    <n v="1498"/>
    <n v="1"/>
    <n v="2"/>
    <n v="6"/>
    <n v="2024"/>
    <x v="0"/>
    <x v="0"/>
    <x v="1"/>
  </r>
  <r>
    <x v="1"/>
    <x v="84"/>
    <x v="1"/>
    <x v="34"/>
    <n v="162"/>
    <n v="72"/>
    <n v="9"/>
    <n v="4"/>
    <n v="4898"/>
    <n v="2"/>
    <n v="4898"/>
    <n v="2"/>
    <n v="62"/>
    <n v="141"/>
    <n v="2024"/>
    <x v="0"/>
    <x v="0"/>
    <x v="1"/>
  </r>
  <r>
    <x v="1"/>
    <x v="84"/>
    <x v="1"/>
    <x v="35"/>
    <n v="1"/>
    <n v="0"/>
    <n v="0"/>
    <n v="0"/>
    <n v="0"/>
    <n v="0"/>
    <n v="0"/>
    <n v="0"/>
    <n v="0"/>
    <n v="0"/>
    <n v="2024"/>
    <x v="0"/>
    <x v="0"/>
    <x v="1"/>
  </r>
  <r>
    <x v="1"/>
    <x v="84"/>
    <x v="1"/>
    <x v="36"/>
    <n v="2"/>
    <n v="2"/>
    <n v="0"/>
    <n v="0"/>
    <n v="0"/>
    <n v="0"/>
    <n v="0"/>
    <n v="0"/>
    <n v="1"/>
    <n v="1"/>
    <n v="2024"/>
    <x v="0"/>
    <x v="0"/>
    <x v="1"/>
  </r>
  <r>
    <x v="1"/>
    <x v="84"/>
    <x v="1"/>
    <x v="37"/>
    <n v="586"/>
    <n v="348"/>
    <n v="6"/>
    <n v="0"/>
    <n v="13853"/>
    <n v="5"/>
    <n v="6158"/>
    <n v="4"/>
    <n v="88"/>
    <n v="579"/>
    <n v="2024"/>
    <x v="0"/>
    <x v="0"/>
    <x v="1"/>
  </r>
  <r>
    <x v="1"/>
    <x v="84"/>
    <x v="1"/>
    <x v="38"/>
    <n v="344"/>
    <n v="91"/>
    <n v="32"/>
    <n v="6"/>
    <n v="66981"/>
    <n v="19"/>
    <n v="34791"/>
    <n v="15"/>
    <n v="97"/>
    <n v="326"/>
    <n v="2024"/>
    <x v="0"/>
    <x v="0"/>
    <x v="1"/>
  </r>
  <r>
    <x v="1"/>
    <x v="84"/>
    <x v="1"/>
    <x v="41"/>
    <n v="2"/>
    <n v="0"/>
    <n v="0"/>
    <n v="0"/>
    <n v="0"/>
    <n v="0"/>
    <n v="0"/>
    <n v="0"/>
    <n v="0"/>
    <n v="2"/>
    <n v="2024"/>
    <x v="0"/>
    <x v="0"/>
    <x v="1"/>
  </r>
  <r>
    <x v="1"/>
    <x v="84"/>
    <x v="1"/>
    <x v="42"/>
    <n v="107"/>
    <n v="54"/>
    <n v="4"/>
    <n v="0"/>
    <n v="2237"/>
    <n v="1"/>
    <n v="0"/>
    <n v="0"/>
    <n v="15"/>
    <n v="101"/>
    <n v="2024"/>
    <x v="0"/>
    <x v="0"/>
    <x v="1"/>
  </r>
  <r>
    <x v="1"/>
    <x v="84"/>
    <x v="1"/>
    <x v="43"/>
    <n v="153"/>
    <n v="76"/>
    <n v="4"/>
    <n v="2"/>
    <n v="0"/>
    <n v="0"/>
    <n v="0"/>
    <n v="0"/>
    <n v="94"/>
    <n v="94"/>
    <n v="2024"/>
    <x v="0"/>
    <x v="0"/>
    <x v="1"/>
  </r>
  <r>
    <x v="1"/>
    <x v="84"/>
    <x v="1"/>
    <x v="44"/>
    <n v="15"/>
    <n v="8"/>
    <n v="0"/>
    <n v="0"/>
    <n v="4755"/>
    <n v="1"/>
    <n v="4755"/>
    <n v="1"/>
    <n v="2"/>
    <n v="15"/>
    <n v="2024"/>
    <x v="0"/>
    <x v="0"/>
    <x v="1"/>
  </r>
  <r>
    <x v="1"/>
    <x v="84"/>
    <x v="1"/>
    <x v="45"/>
    <n v="10"/>
    <n v="10"/>
    <n v="0"/>
    <n v="0"/>
    <n v="0"/>
    <n v="0"/>
    <n v="0"/>
    <n v="0"/>
    <n v="1"/>
    <n v="10"/>
    <n v="2024"/>
    <x v="0"/>
    <x v="0"/>
    <x v="1"/>
  </r>
  <r>
    <x v="1"/>
    <x v="0"/>
    <x v="0"/>
    <x v="0"/>
    <n v="433"/>
    <n v="176"/>
    <n v="5"/>
    <n v="0"/>
    <n v="8760.6"/>
    <n v="2"/>
    <n v="8760.6"/>
    <n v="2"/>
    <n v="25"/>
    <n v="420"/>
    <n v="2024"/>
    <x v="0"/>
    <x v="0"/>
    <x v="1"/>
  </r>
  <r>
    <x v="1"/>
    <x v="0"/>
    <x v="0"/>
    <x v="1"/>
    <n v="21028"/>
    <n v="12817"/>
    <n v="196"/>
    <n v="90"/>
    <n v="197336.42"/>
    <n v="52"/>
    <n v="142056.42000000001"/>
    <n v="44"/>
    <n v="947"/>
    <n v="20982"/>
    <n v="2024"/>
    <x v="0"/>
    <x v="0"/>
    <x v="1"/>
  </r>
  <r>
    <x v="1"/>
    <x v="0"/>
    <x v="0"/>
    <x v="2"/>
    <n v="2096"/>
    <n v="1673"/>
    <n v="28"/>
    <n v="4"/>
    <n v="29407"/>
    <n v="9"/>
    <n v="28104"/>
    <n v="8"/>
    <n v="2096"/>
    <n v="567"/>
    <n v="2024"/>
    <x v="0"/>
    <x v="0"/>
    <x v="1"/>
  </r>
  <r>
    <x v="1"/>
    <x v="0"/>
    <x v="0"/>
    <x v="3"/>
    <n v="58"/>
    <n v="31"/>
    <n v="0"/>
    <n v="0"/>
    <n v="0"/>
    <n v="0"/>
    <n v="0"/>
    <n v="0"/>
    <n v="0"/>
    <n v="51"/>
    <n v="2024"/>
    <x v="0"/>
    <x v="0"/>
    <x v="1"/>
  </r>
  <r>
    <x v="1"/>
    <x v="0"/>
    <x v="1"/>
    <x v="5"/>
    <n v="5"/>
    <n v="2"/>
    <n v="1"/>
    <n v="0"/>
    <n v="0"/>
    <n v="0"/>
    <n v="0"/>
    <n v="0"/>
    <n v="0"/>
    <n v="5"/>
    <n v="2024"/>
    <x v="0"/>
    <x v="0"/>
    <x v="1"/>
  </r>
  <r>
    <x v="1"/>
    <x v="0"/>
    <x v="1"/>
    <x v="6"/>
    <n v="5"/>
    <n v="3"/>
    <n v="0"/>
    <n v="0"/>
    <n v="0"/>
    <n v="0"/>
    <n v="0"/>
    <n v="0"/>
    <n v="1"/>
    <n v="1"/>
    <n v="2024"/>
    <x v="0"/>
    <x v="0"/>
    <x v="1"/>
  </r>
  <r>
    <x v="1"/>
    <x v="0"/>
    <x v="1"/>
    <x v="7"/>
    <n v="519"/>
    <n v="137"/>
    <n v="61"/>
    <n v="2"/>
    <n v="192242.57"/>
    <n v="60"/>
    <n v="179512.57"/>
    <n v="58"/>
    <n v="132"/>
    <n v="503"/>
    <n v="2024"/>
    <x v="0"/>
    <x v="0"/>
    <x v="1"/>
  </r>
  <r>
    <x v="1"/>
    <x v="0"/>
    <x v="1"/>
    <x v="8"/>
    <n v="13"/>
    <n v="4"/>
    <n v="0"/>
    <n v="0"/>
    <n v="0"/>
    <n v="0"/>
    <n v="0"/>
    <n v="0"/>
    <n v="1"/>
    <n v="13"/>
    <n v="2024"/>
    <x v="0"/>
    <x v="0"/>
    <x v="1"/>
  </r>
  <r>
    <x v="1"/>
    <x v="0"/>
    <x v="1"/>
    <x v="9"/>
    <n v="6"/>
    <n v="2"/>
    <n v="0"/>
    <n v="0"/>
    <n v="0"/>
    <n v="0"/>
    <n v="0"/>
    <n v="0"/>
    <n v="0"/>
    <n v="6"/>
    <n v="2024"/>
    <x v="0"/>
    <x v="0"/>
    <x v="1"/>
  </r>
  <r>
    <x v="1"/>
    <x v="0"/>
    <x v="1"/>
    <x v="10"/>
    <n v="31"/>
    <n v="14"/>
    <n v="3"/>
    <n v="1"/>
    <n v="0"/>
    <n v="0"/>
    <n v="0"/>
    <n v="0"/>
    <n v="6"/>
    <n v="26"/>
    <n v="2024"/>
    <x v="0"/>
    <x v="0"/>
    <x v="1"/>
  </r>
  <r>
    <x v="1"/>
    <x v="0"/>
    <x v="1"/>
    <x v="11"/>
    <n v="1"/>
    <n v="1"/>
    <n v="0"/>
    <n v="0"/>
    <n v="0"/>
    <n v="0"/>
    <n v="0"/>
    <n v="0"/>
    <n v="1"/>
    <n v="0"/>
    <n v="2024"/>
    <x v="0"/>
    <x v="0"/>
    <x v="1"/>
  </r>
  <r>
    <x v="1"/>
    <x v="0"/>
    <x v="1"/>
    <x v="13"/>
    <n v="53"/>
    <n v="43"/>
    <n v="1"/>
    <n v="0"/>
    <n v="0"/>
    <n v="0"/>
    <n v="0"/>
    <n v="0"/>
    <n v="0"/>
    <n v="53"/>
    <n v="2024"/>
    <x v="0"/>
    <x v="0"/>
    <x v="1"/>
  </r>
  <r>
    <x v="1"/>
    <x v="0"/>
    <x v="1"/>
    <x v="59"/>
    <n v="724"/>
    <n v="250"/>
    <n v="8"/>
    <n v="5"/>
    <n v="5407"/>
    <n v="3"/>
    <n v="5407"/>
    <n v="3"/>
    <n v="61"/>
    <n v="690"/>
    <n v="2024"/>
    <x v="0"/>
    <x v="0"/>
    <x v="1"/>
  </r>
  <r>
    <x v="1"/>
    <x v="0"/>
    <x v="1"/>
    <x v="15"/>
    <n v="15"/>
    <n v="15"/>
    <n v="0"/>
    <n v="1"/>
    <n v="0"/>
    <n v="0"/>
    <n v="0"/>
    <n v="0"/>
    <n v="1"/>
    <n v="15"/>
    <n v="2024"/>
    <x v="0"/>
    <x v="0"/>
    <x v="1"/>
  </r>
  <r>
    <x v="1"/>
    <x v="0"/>
    <x v="1"/>
    <x v="16"/>
    <n v="13"/>
    <n v="3"/>
    <n v="0"/>
    <n v="0"/>
    <n v="0"/>
    <n v="0"/>
    <n v="0"/>
    <n v="0"/>
    <n v="2"/>
    <n v="13"/>
    <n v="2024"/>
    <x v="0"/>
    <x v="0"/>
    <x v="1"/>
  </r>
  <r>
    <x v="1"/>
    <x v="0"/>
    <x v="1"/>
    <x v="17"/>
    <n v="3"/>
    <n v="2"/>
    <n v="0"/>
    <n v="0"/>
    <n v="0"/>
    <n v="0"/>
    <n v="0"/>
    <n v="0"/>
    <n v="0"/>
    <n v="3"/>
    <n v="2024"/>
    <x v="0"/>
    <x v="0"/>
    <x v="1"/>
  </r>
  <r>
    <x v="1"/>
    <x v="0"/>
    <x v="1"/>
    <x v="18"/>
    <n v="11"/>
    <n v="6"/>
    <n v="5"/>
    <n v="1"/>
    <n v="1961.58"/>
    <n v="1"/>
    <n v="1961.58"/>
    <n v="1"/>
    <n v="1"/>
    <n v="11"/>
    <n v="2024"/>
    <x v="0"/>
    <x v="0"/>
    <x v="1"/>
  </r>
  <r>
    <x v="1"/>
    <x v="0"/>
    <x v="1"/>
    <x v="19"/>
    <n v="602"/>
    <n v="329"/>
    <n v="26"/>
    <n v="6"/>
    <n v="76988"/>
    <n v="16"/>
    <n v="62981"/>
    <n v="14"/>
    <n v="298"/>
    <n v="408"/>
    <n v="2024"/>
    <x v="0"/>
    <x v="0"/>
    <x v="1"/>
  </r>
  <r>
    <x v="1"/>
    <x v="0"/>
    <x v="1"/>
    <x v="20"/>
    <n v="61"/>
    <n v="43"/>
    <n v="0"/>
    <n v="1"/>
    <n v="0"/>
    <n v="0"/>
    <n v="0"/>
    <n v="0"/>
    <n v="8"/>
    <n v="60"/>
    <n v="2024"/>
    <x v="0"/>
    <x v="0"/>
    <x v="1"/>
  </r>
  <r>
    <x v="1"/>
    <x v="0"/>
    <x v="1"/>
    <x v="21"/>
    <n v="5"/>
    <n v="2"/>
    <n v="0"/>
    <n v="0"/>
    <n v="0"/>
    <n v="0"/>
    <n v="0"/>
    <n v="0"/>
    <n v="1"/>
    <n v="5"/>
    <n v="2024"/>
    <x v="0"/>
    <x v="0"/>
    <x v="1"/>
  </r>
  <r>
    <x v="1"/>
    <x v="0"/>
    <x v="1"/>
    <x v="24"/>
    <n v="67"/>
    <n v="30"/>
    <n v="3"/>
    <n v="0"/>
    <n v="2791"/>
    <n v="1"/>
    <n v="2791"/>
    <n v="1"/>
    <n v="12"/>
    <n v="62"/>
    <n v="2024"/>
    <x v="0"/>
    <x v="0"/>
    <x v="1"/>
  </r>
  <r>
    <x v="1"/>
    <x v="0"/>
    <x v="1"/>
    <x v="26"/>
    <n v="2"/>
    <n v="0"/>
    <n v="0"/>
    <n v="1"/>
    <n v="0"/>
    <n v="0"/>
    <n v="0"/>
    <n v="0"/>
    <n v="0"/>
    <n v="2"/>
    <n v="2024"/>
    <x v="0"/>
    <x v="0"/>
    <x v="1"/>
  </r>
  <r>
    <x v="1"/>
    <x v="0"/>
    <x v="1"/>
    <x v="27"/>
    <n v="92"/>
    <n v="40"/>
    <n v="10"/>
    <n v="0"/>
    <n v="73642"/>
    <n v="12"/>
    <n v="72339"/>
    <n v="12"/>
    <n v="34"/>
    <n v="86"/>
    <n v="2024"/>
    <x v="0"/>
    <x v="0"/>
    <x v="1"/>
  </r>
  <r>
    <x v="1"/>
    <x v="0"/>
    <x v="1"/>
    <x v="28"/>
    <n v="1"/>
    <n v="0"/>
    <n v="0"/>
    <n v="0"/>
    <n v="0"/>
    <n v="0"/>
    <n v="0"/>
    <n v="0"/>
    <n v="0"/>
    <n v="1"/>
    <n v="2024"/>
    <x v="0"/>
    <x v="0"/>
    <x v="1"/>
  </r>
  <r>
    <x v="1"/>
    <x v="0"/>
    <x v="1"/>
    <x v="29"/>
    <n v="930"/>
    <n v="729"/>
    <n v="77"/>
    <n v="16"/>
    <n v="41607"/>
    <n v="17"/>
    <n v="33272"/>
    <n v="16"/>
    <n v="258"/>
    <n v="832"/>
    <n v="2024"/>
    <x v="0"/>
    <x v="0"/>
    <x v="1"/>
  </r>
  <r>
    <x v="1"/>
    <x v="0"/>
    <x v="1"/>
    <x v="30"/>
    <n v="2278"/>
    <n v="1180"/>
    <n v="48"/>
    <n v="13"/>
    <n v="76038"/>
    <n v="14"/>
    <n v="67929"/>
    <n v="13"/>
    <n v="214"/>
    <n v="2160"/>
    <n v="2024"/>
    <x v="0"/>
    <x v="0"/>
    <x v="1"/>
  </r>
  <r>
    <x v="1"/>
    <x v="0"/>
    <x v="1"/>
    <x v="31"/>
    <n v="85"/>
    <n v="58"/>
    <n v="6"/>
    <n v="3"/>
    <n v="32602.58"/>
    <n v="4"/>
    <n v="12799.58"/>
    <n v="3"/>
    <n v="19"/>
    <n v="84"/>
    <n v="2024"/>
    <x v="0"/>
    <x v="0"/>
    <x v="1"/>
  </r>
  <r>
    <x v="1"/>
    <x v="0"/>
    <x v="1"/>
    <x v="34"/>
    <n v="135"/>
    <n v="54"/>
    <n v="11"/>
    <n v="2"/>
    <n v="10315.93"/>
    <n v="3"/>
    <n v="5662.93"/>
    <n v="2"/>
    <n v="65"/>
    <n v="105"/>
    <n v="2024"/>
    <x v="0"/>
    <x v="0"/>
    <x v="1"/>
  </r>
  <r>
    <x v="1"/>
    <x v="0"/>
    <x v="1"/>
    <x v="37"/>
    <n v="629"/>
    <n v="384"/>
    <n v="7"/>
    <n v="2"/>
    <n v="57366.5"/>
    <n v="12"/>
    <n v="53371.5"/>
    <n v="12"/>
    <n v="69"/>
    <n v="625"/>
    <n v="2024"/>
    <x v="0"/>
    <x v="0"/>
    <x v="1"/>
  </r>
  <r>
    <x v="1"/>
    <x v="0"/>
    <x v="1"/>
    <x v="38"/>
    <n v="358"/>
    <n v="103"/>
    <n v="31"/>
    <n v="4"/>
    <n v="67125.240000000005"/>
    <n v="26"/>
    <n v="46798.239999999998"/>
    <n v="20"/>
    <n v="85"/>
    <n v="341"/>
    <n v="2024"/>
    <x v="0"/>
    <x v="0"/>
    <x v="1"/>
  </r>
  <r>
    <x v="1"/>
    <x v="0"/>
    <x v="1"/>
    <x v="41"/>
    <n v="10"/>
    <n v="3"/>
    <n v="0"/>
    <n v="0"/>
    <n v="0"/>
    <n v="0"/>
    <n v="0"/>
    <n v="0"/>
    <n v="0"/>
    <n v="10"/>
    <n v="2024"/>
    <x v="0"/>
    <x v="0"/>
    <x v="1"/>
  </r>
  <r>
    <x v="1"/>
    <x v="0"/>
    <x v="1"/>
    <x v="42"/>
    <n v="130"/>
    <n v="46"/>
    <n v="3"/>
    <n v="0"/>
    <n v="0"/>
    <n v="0"/>
    <n v="0"/>
    <n v="0"/>
    <n v="19"/>
    <n v="119"/>
    <n v="2024"/>
    <x v="0"/>
    <x v="0"/>
    <x v="1"/>
  </r>
  <r>
    <x v="1"/>
    <x v="0"/>
    <x v="1"/>
    <x v="43"/>
    <n v="144"/>
    <n v="69"/>
    <n v="8"/>
    <n v="0"/>
    <n v="8259"/>
    <n v="2"/>
    <n v="6771"/>
    <n v="2"/>
    <n v="97"/>
    <n v="94"/>
    <n v="2024"/>
    <x v="0"/>
    <x v="0"/>
    <x v="1"/>
  </r>
  <r>
    <x v="1"/>
    <x v="0"/>
    <x v="1"/>
    <x v="44"/>
    <n v="21"/>
    <n v="8"/>
    <n v="0"/>
    <n v="0"/>
    <n v="10968"/>
    <n v="4"/>
    <n v="10968"/>
    <n v="4"/>
    <n v="1"/>
    <n v="21"/>
    <n v="2024"/>
    <x v="0"/>
    <x v="0"/>
    <x v="1"/>
  </r>
  <r>
    <x v="1"/>
    <x v="0"/>
    <x v="1"/>
    <x v="45"/>
    <n v="25"/>
    <n v="17"/>
    <n v="1"/>
    <n v="0"/>
    <n v="0"/>
    <n v="0"/>
    <n v="0"/>
    <n v="0"/>
    <n v="0"/>
    <n v="25"/>
    <n v="2024"/>
    <x v="0"/>
    <x v="0"/>
    <x v="1"/>
  </r>
  <r>
    <x v="1"/>
    <x v="85"/>
    <x v="0"/>
    <x v="0"/>
    <n v="367"/>
    <n v="134"/>
    <n v="1"/>
    <n v="0"/>
    <n v="4863"/>
    <n v="3"/>
    <n v="4863"/>
    <n v="3"/>
    <n v="13"/>
    <n v="342"/>
    <n v="2024"/>
    <x v="1"/>
    <x v="0"/>
    <x v="1"/>
  </r>
  <r>
    <x v="1"/>
    <x v="85"/>
    <x v="0"/>
    <x v="1"/>
    <n v="17846"/>
    <n v="10794"/>
    <n v="223"/>
    <n v="55"/>
    <n v="218547.13"/>
    <n v="70"/>
    <n v="193793.13"/>
    <n v="64"/>
    <n v="777"/>
    <n v="17799"/>
    <n v="2024"/>
    <x v="1"/>
    <x v="0"/>
    <x v="1"/>
  </r>
  <r>
    <x v="1"/>
    <x v="85"/>
    <x v="0"/>
    <x v="2"/>
    <n v="2144"/>
    <n v="1718"/>
    <n v="22"/>
    <n v="5"/>
    <n v="57063"/>
    <n v="10"/>
    <n v="49163"/>
    <n v="10"/>
    <n v="2144"/>
    <n v="582"/>
    <n v="2024"/>
    <x v="1"/>
    <x v="0"/>
    <x v="1"/>
  </r>
  <r>
    <x v="1"/>
    <x v="85"/>
    <x v="0"/>
    <x v="3"/>
    <n v="5613"/>
    <n v="4925"/>
    <n v="5"/>
    <n v="3"/>
    <n v="0"/>
    <n v="0"/>
    <n v="0"/>
    <n v="0"/>
    <n v="28"/>
    <n v="2969"/>
    <n v="2024"/>
    <x v="1"/>
    <x v="0"/>
    <x v="1"/>
  </r>
  <r>
    <x v="1"/>
    <x v="85"/>
    <x v="1"/>
    <x v="6"/>
    <n v="1912"/>
    <n v="1804"/>
    <n v="0"/>
    <n v="0"/>
    <n v="0"/>
    <n v="0"/>
    <n v="0"/>
    <n v="0"/>
    <n v="1"/>
    <n v="4"/>
    <n v="2024"/>
    <x v="1"/>
    <x v="0"/>
    <x v="1"/>
  </r>
  <r>
    <x v="1"/>
    <x v="85"/>
    <x v="1"/>
    <x v="7"/>
    <n v="644"/>
    <n v="182"/>
    <n v="77"/>
    <n v="7"/>
    <n v="364214.74"/>
    <n v="102"/>
    <n v="310289.74"/>
    <n v="94"/>
    <n v="185"/>
    <n v="619"/>
    <n v="2024"/>
    <x v="1"/>
    <x v="0"/>
    <x v="1"/>
  </r>
  <r>
    <x v="1"/>
    <x v="85"/>
    <x v="1"/>
    <x v="8"/>
    <n v="19"/>
    <n v="6"/>
    <n v="0"/>
    <n v="0"/>
    <n v="0"/>
    <n v="0"/>
    <n v="0"/>
    <n v="0"/>
    <n v="0"/>
    <n v="8"/>
    <n v="2024"/>
    <x v="1"/>
    <x v="0"/>
    <x v="1"/>
  </r>
  <r>
    <x v="1"/>
    <x v="85"/>
    <x v="1"/>
    <x v="10"/>
    <n v="35"/>
    <n v="16"/>
    <n v="3"/>
    <n v="0"/>
    <n v="6500"/>
    <n v="1"/>
    <n v="6500"/>
    <n v="1"/>
    <n v="8"/>
    <n v="29"/>
    <n v="2024"/>
    <x v="1"/>
    <x v="0"/>
    <x v="1"/>
  </r>
  <r>
    <x v="1"/>
    <x v="85"/>
    <x v="1"/>
    <x v="11"/>
    <n v="3"/>
    <n v="3"/>
    <n v="0"/>
    <n v="0"/>
    <n v="0"/>
    <n v="0"/>
    <n v="0"/>
    <n v="0"/>
    <n v="2"/>
    <n v="1"/>
    <n v="2024"/>
    <x v="1"/>
    <x v="0"/>
    <x v="1"/>
  </r>
  <r>
    <x v="1"/>
    <x v="85"/>
    <x v="1"/>
    <x v="13"/>
    <n v="53"/>
    <n v="38"/>
    <n v="2"/>
    <n v="0"/>
    <n v="0"/>
    <n v="0"/>
    <n v="0"/>
    <n v="0"/>
    <n v="0"/>
    <n v="53"/>
    <n v="2024"/>
    <x v="1"/>
    <x v="0"/>
    <x v="1"/>
  </r>
  <r>
    <x v="1"/>
    <x v="85"/>
    <x v="1"/>
    <x v="59"/>
    <n v="2788"/>
    <n v="1916"/>
    <n v="18"/>
    <n v="4"/>
    <n v="26282.44"/>
    <n v="10"/>
    <n v="23867.08"/>
    <n v="9"/>
    <n v="85"/>
    <n v="693"/>
    <n v="2024"/>
    <x v="1"/>
    <x v="0"/>
    <x v="1"/>
  </r>
  <r>
    <x v="1"/>
    <x v="85"/>
    <x v="1"/>
    <x v="15"/>
    <n v="12"/>
    <n v="11"/>
    <n v="0"/>
    <n v="0"/>
    <n v="0"/>
    <n v="0"/>
    <n v="0"/>
    <n v="0"/>
    <n v="0"/>
    <n v="12"/>
    <n v="2024"/>
    <x v="1"/>
    <x v="0"/>
    <x v="1"/>
  </r>
  <r>
    <x v="1"/>
    <x v="85"/>
    <x v="1"/>
    <x v="16"/>
    <n v="23"/>
    <n v="7"/>
    <n v="0"/>
    <n v="0"/>
    <n v="0"/>
    <n v="0"/>
    <n v="0"/>
    <n v="0"/>
    <n v="1"/>
    <n v="23"/>
    <n v="2024"/>
    <x v="1"/>
    <x v="0"/>
    <x v="1"/>
  </r>
  <r>
    <x v="1"/>
    <x v="85"/>
    <x v="1"/>
    <x v="17"/>
    <n v="6"/>
    <n v="6"/>
    <n v="0"/>
    <n v="0"/>
    <n v="0"/>
    <n v="0"/>
    <n v="0"/>
    <n v="0"/>
    <n v="3"/>
    <n v="3"/>
    <n v="2024"/>
    <x v="1"/>
    <x v="0"/>
    <x v="1"/>
  </r>
  <r>
    <x v="1"/>
    <x v="85"/>
    <x v="1"/>
    <x v="18"/>
    <n v="8"/>
    <n v="8"/>
    <n v="2"/>
    <n v="1"/>
    <n v="8600"/>
    <n v="2"/>
    <n v="8600"/>
    <n v="2"/>
    <n v="2"/>
    <n v="8"/>
    <n v="2024"/>
    <x v="1"/>
    <x v="0"/>
    <x v="1"/>
  </r>
  <r>
    <x v="1"/>
    <x v="85"/>
    <x v="1"/>
    <x v="19"/>
    <n v="641"/>
    <n v="323"/>
    <n v="29"/>
    <n v="1"/>
    <n v="94050.55"/>
    <n v="22"/>
    <n v="51474.91"/>
    <n v="17"/>
    <n v="329"/>
    <n v="377"/>
    <n v="2024"/>
    <x v="1"/>
    <x v="0"/>
    <x v="1"/>
  </r>
  <r>
    <x v="1"/>
    <x v="85"/>
    <x v="1"/>
    <x v="20"/>
    <n v="44"/>
    <n v="30"/>
    <n v="2"/>
    <n v="0"/>
    <n v="1498"/>
    <n v="1"/>
    <n v="1498"/>
    <n v="1"/>
    <n v="9"/>
    <n v="39"/>
    <n v="2024"/>
    <x v="1"/>
    <x v="0"/>
    <x v="1"/>
  </r>
  <r>
    <x v="1"/>
    <x v="85"/>
    <x v="1"/>
    <x v="21"/>
    <n v="3"/>
    <n v="2"/>
    <n v="0"/>
    <n v="0"/>
    <n v="0"/>
    <n v="0"/>
    <n v="0"/>
    <n v="0"/>
    <n v="0"/>
    <n v="3"/>
    <n v="2024"/>
    <x v="1"/>
    <x v="0"/>
    <x v="1"/>
  </r>
  <r>
    <x v="1"/>
    <x v="85"/>
    <x v="1"/>
    <x v="24"/>
    <n v="38"/>
    <n v="20"/>
    <n v="8"/>
    <n v="0"/>
    <n v="10773"/>
    <n v="5"/>
    <n v="10773"/>
    <n v="5"/>
    <n v="10"/>
    <n v="33"/>
    <n v="2024"/>
    <x v="1"/>
    <x v="0"/>
    <x v="1"/>
  </r>
  <r>
    <x v="1"/>
    <x v="85"/>
    <x v="1"/>
    <x v="27"/>
    <n v="132"/>
    <n v="54"/>
    <n v="16"/>
    <n v="3"/>
    <n v="32727"/>
    <n v="12"/>
    <n v="27652"/>
    <n v="11"/>
    <n v="62"/>
    <n v="118"/>
    <n v="2024"/>
    <x v="1"/>
    <x v="0"/>
    <x v="1"/>
  </r>
  <r>
    <x v="1"/>
    <x v="85"/>
    <x v="1"/>
    <x v="29"/>
    <n v="1056"/>
    <n v="808"/>
    <n v="108"/>
    <n v="17"/>
    <n v="61227"/>
    <n v="24"/>
    <n v="52971"/>
    <n v="21"/>
    <n v="264"/>
    <n v="968"/>
    <n v="2024"/>
    <x v="1"/>
    <x v="0"/>
    <x v="1"/>
  </r>
  <r>
    <x v="1"/>
    <x v="85"/>
    <x v="1"/>
    <x v="30"/>
    <n v="2385"/>
    <n v="1302"/>
    <n v="48"/>
    <n v="20"/>
    <n v="41224.58"/>
    <n v="13"/>
    <n v="31122.58"/>
    <n v="10"/>
    <n v="233"/>
    <n v="2088"/>
    <n v="2024"/>
    <x v="1"/>
    <x v="0"/>
    <x v="1"/>
  </r>
  <r>
    <x v="1"/>
    <x v="85"/>
    <x v="1"/>
    <x v="31"/>
    <n v="82"/>
    <n v="60"/>
    <n v="3"/>
    <n v="3"/>
    <n v="1867"/>
    <n v="1"/>
    <n v="1867"/>
    <n v="1"/>
    <n v="11"/>
    <n v="80"/>
    <n v="2024"/>
    <x v="1"/>
    <x v="0"/>
    <x v="1"/>
  </r>
  <r>
    <x v="1"/>
    <x v="85"/>
    <x v="1"/>
    <x v="32"/>
    <n v="2"/>
    <n v="2"/>
    <n v="0"/>
    <n v="0"/>
    <n v="0"/>
    <n v="0"/>
    <n v="0"/>
    <n v="0"/>
    <n v="1"/>
    <n v="2"/>
    <n v="2024"/>
    <x v="1"/>
    <x v="0"/>
    <x v="1"/>
  </r>
  <r>
    <x v="1"/>
    <x v="85"/>
    <x v="1"/>
    <x v="34"/>
    <n v="141"/>
    <n v="62"/>
    <n v="10"/>
    <n v="2"/>
    <n v="10793"/>
    <n v="3"/>
    <n v="10793"/>
    <n v="3"/>
    <n v="60"/>
    <n v="118"/>
    <n v="2024"/>
    <x v="1"/>
    <x v="0"/>
    <x v="1"/>
  </r>
  <r>
    <x v="1"/>
    <x v="85"/>
    <x v="1"/>
    <x v="36"/>
    <n v="2"/>
    <n v="1"/>
    <n v="0"/>
    <n v="0"/>
    <n v="0"/>
    <n v="0"/>
    <n v="0"/>
    <n v="0"/>
    <n v="0"/>
    <n v="2"/>
    <n v="2024"/>
    <x v="1"/>
    <x v="0"/>
    <x v="1"/>
  </r>
  <r>
    <x v="1"/>
    <x v="85"/>
    <x v="1"/>
    <x v="37"/>
    <n v="541"/>
    <n v="312"/>
    <n v="5"/>
    <n v="0"/>
    <n v="16753.5"/>
    <n v="8"/>
    <n v="12738.5"/>
    <n v="7"/>
    <n v="54"/>
    <n v="535"/>
    <n v="2024"/>
    <x v="1"/>
    <x v="0"/>
    <x v="1"/>
  </r>
  <r>
    <x v="1"/>
    <x v="85"/>
    <x v="1"/>
    <x v="38"/>
    <n v="373"/>
    <n v="87"/>
    <n v="40"/>
    <n v="4"/>
    <n v="82632.639999999999"/>
    <n v="22"/>
    <n v="55968"/>
    <n v="18"/>
    <n v="76"/>
    <n v="358"/>
    <n v="2024"/>
    <x v="1"/>
    <x v="0"/>
    <x v="1"/>
  </r>
  <r>
    <x v="1"/>
    <x v="85"/>
    <x v="1"/>
    <x v="41"/>
    <n v="8"/>
    <n v="3"/>
    <n v="0"/>
    <n v="0"/>
    <n v="0"/>
    <n v="0"/>
    <n v="0"/>
    <n v="0"/>
    <n v="0"/>
    <n v="8"/>
    <n v="2024"/>
    <x v="1"/>
    <x v="0"/>
    <x v="1"/>
  </r>
  <r>
    <x v="1"/>
    <x v="85"/>
    <x v="1"/>
    <x v="42"/>
    <n v="149"/>
    <n v="70"/>
    <n v="3"/>
    <n v="1"/>
    <n v="0"/>
    <n v="0"/>
    <n v="0"/>
    <n v="0"/>
    <n v="28"/>
    <n v="129"/>
    <n v="2024"/>
    <x v="1"/>
    <x v="0"/>
    <x v="1"/>
  </r>
  <r>
    <x v="1"/>
    <x v="85"/>
    <x v="1"/>
    <x v="43"/>
    <n v="180"/>
    <n v="90"/>
    <n v="2"/>
    <n v="1"/>
    <n v="0"/>
    <n v="0"/>
    <n v="0"/>
    <n v="0"/>
    <n v="131"/>
    <n v="101"/>
    <n v="2024"/>
    <x v="1"/>
    <x v="0"/>
    <x v="1"/>
  </r>
  <r>
    <x v="1"/>
    <x v="85"/>
    <x v="1"/>
    <x v="44"/>
    <n v="21"/>
    <n v="8"/>
    <n v="1"/>
    <n v="0"/>
    <n v="9701.01"/>
    <n v="5"/>
    <n v="9701.01"/>
    <n v="5"/>
    <n v="1"/>
    <n v="21"/>
    <n v="2024"/>
    <x v="1"/>
    <x v="0"/>
    <x v="1"/>
  </r>
  <r>
    <x v="1"/>
    <x v="85"/>
    <x v="1"/>
    <x v="45"/>
    <n v="22"/>
    <n v="17"/>
    <n v="2"/>
    <n v="0"/>
    <n v="7767.5"/>
    <n v="2"/>
    <n v="7767.5"/>
    <n v="2"/>
    <n v="1"/>
    <n v="22"/>
    <n v="2024"/>
    <x v="1"/>
    <x v="0"/>
    <x v="1"/>
  </r>
  <r>
    <x v="1"/>
    <x v="86"/>
    <x v="0"/>
    <x v="0"/>
    <n v="308"/>
    <n v="89"/>
    <n v="2"/>
    <n v="1"/>
    <n v="5483"/>
    <n v="3"/>
    <n v="5483"/>
    <n v="3"/>
    <n v="10"/>
    <n v="303"/>
    <n v="2024"/>
    <x v="1"/>
    <x v="0"/>
    <x v="1"/>
  </r>
  <r>
    <x v="1"/>
    <x v="86"/>
    <x v="0"/>
    <x v="1"/>
    <n v="19540"/>
    <n v="11919"/>
    <n v="94"/>
    <n v="71"/>
    <n v="80505"/>
    <n v="19"/>
    <n v="44660"/>
    <n v="12"/>
    <n v="686"/>
    <n v="19508"/>
    <n v="2024"/>
    <x v="1"/>
    <x v="0"/>
    <x v="1"/>
  </r>
  <r>
    <x v="1"/>
    <x v="86"/>
    <x v="0"/>
    <x v="2"/>
    <n v="2275"/>
    <n v="1816"/>
    <n v="13"/>
    <n v="7"/>
    <n v="12565"/>
    <n v="3"/>
    <n v="12565"/>
    <n v="3"/>
    <n v="2275"/>
    <n v="516"/>
    <n v="2024"/>
    <x v="1"/>
    <x v="0"/>
    <x v="1"/>
  </r>
  <r>
    <x v="1"/>
    <x v="86"/>
    <x v="0"/>
    <x v="3"/>
    <n v="2671"/>
    <n v="2411"/>
    <n v="1"/>
    <n v="2"/>
    <n v="0"/>
    <n v="0"/>
    <n v="0"/>
    <n v="0"/>
    <n v="10"/>
    <n v="1707"/>
    <n v="2024"/>
    <x v="1"/>
    <x v="0"/>
    <x v="1"/>
  </r>
  <r>
    <x v="1"/>
    <x v="86"/>
    <x v="1"/>
    <x v="5"/>
    <n v="3"/>
    <n v="3"/>
    <n v="0"/>
    <n v="0"/>
    <n v="0"/>
    <n v="0"/>
    <n v="0"/>
    <n v="0"/>
    <n v="0"/>
    <n v="3"/>
    <n v="2024"/>
    <x v="1"/>
    <x v="0"/>
    <x v="1"/>
  </r>
  <r>
    <x v="1"/>
    <x v="86"/>
    <x v="1"/>
    <x v="6"/>
    <n v="568"/>
    <n v="542"/>
    <n v="0"/>
    <n v="0"/>
    <n v="0"/>
    <n v="0"/>
    <n v="0"/>
    <n v="0"/>
    <n v="0"/>
    <n v="3"/>
    <n v="2024"/>
    <x v="1"/>
    <x v="0"/>
    <x v="1"/>
  </r>
  <r>
    <x v="1"/>
    <x v="86"/>
    <x v="1"/>
    <x v="7"/>
    <n v="383"/>
    <n v="70"/>
    <n v="34"/>
    <n v="2"/>
    <n v="90941"/>
    <n v="25"/>
    <n v="83972"/>
    <n v="23"/>
    <n v="96"/>
    <n v="371"/>
    <n v="2024"/>
    <x v="1"/>
    <x v="0"/>
    <x v="1"/>
  </r>
  <r>
    <x v="1"/>
    <x v="86"/>
    <x v="1"/>
    <x v="8"/>
    <n v="18"/>
    <n v="5"/>
    <n v="0"/>
    <n v="0"/>
    <n v="0"/>
    <n v="0"/>
    <n v="0"/>
    <n v="0"/>
    <n v="0"/>
    <n v="7"/>
    <n v="2024"/>
    <x v="1"/>
    <x v="0"/>
    <x v="1"/>
  </r>
  <r>
    <x v="1"/>
    <x v="86"/>
    <x v="1"/>
    <x v="9"/>
    <n v="5"/>
    <n v="2"/>
    <n v="0"/>
    <n v="0"/>
    <n v="0"/>
    <n v="0"/>
    <n v="0"/>
    <n v="0"/>
    <n v="0"/>
    <n v="5"/>
    <n v="2024"/>
    <x v="1"/>
    <x v="0"/>
    <x v="1"/>
  </r>
  <r>
    <x v="1"/>
    <x v="86"/>
    <x v="1"/>
    <x v="10"/>
    <n v="46"/>
    <n v="27"/>
    <n v="6"/>
    <n v="0"/>
    <n v="5277"/>
    <n v="2"/>
    <n v="3597"/>
    <n v="2"/>
    <n v="13"/>
    <n v="34"/>
    <n v="2024"/>
    <x v="1"/>
    <x v="0"/>
    <x v="1"/>
  </r>
  <r>
    <x v="1"/>
    <x v="86"/>
    <x v="1"/>
    <x v="11"/>
    <n v="1"/>
    <n v="1"/>
    <n v="0"/>
    <n v="0"/>
    <n v="0"/>
    <n v="0"/>
    <n v="0"/>
    <n v="0"/>
    <n v="1"/>
    <n v="0"/>
    <n v="2024"/>
    <x v="1"/>
    <x v="0"/>
    <x v="1"/>
  </r>
  <r>
    <x v="1"/>
    <x v="86"/>
    <x v="1"/>
    <x v="13"/>
    <n v="21"/>
    <n v="14"/>
    <n v="0"/>
    <n v="0"/>
    <n v="0"/>
    <n v="0"/>
    <n v="0"/>
    <n v="0"/>
    <n v="0"/>
    <n v="21"/>
    <n v="2024"/>
    <x v="1"/>
    <x v="0"/>
    <x v="1"/>
  </r>
  <r>
    <x v="1"/>
    <x v="86"/>
    <x v="1"/>
    <x v="59"/>
    <n v="1835"/>
    <n v="1074"/>
    <n v="9"/>
    <n v="4"/>
    <n v="9709"/>
    <n v="3"/>
    <n v="8029"/>
    <n v="3"/>
    <n v="46"/>
    <n v="687"/>
    <n v="2024"/>
    <x v="1"/>
    <x v="0"/>
    <x v="1"/>
  </r>
  <r>
    <x v="1"/>
    <x v="86"/>
    <x v="1"/>
    <x v="15"/>
    <n v="14"/>
    <n v="14"/>
    <n v="0"/>
    <n v="0"/>
    <n v="0"/>
    <n v="0"/>
    <n v="0"/>
    <n v="0"/>
    <n v="0"/>
    <n v="14"/>
    <n v="2024"/>
    <x v="1"/>
    <x v="0"/>
    <x v="1"/>
  </r>
  <r>
    <x v="1"/>
    <x v="86"/>
    <x v="1"/>
    <x v="16"/>
    <n v="24"/>
    <n v="10"/>
    <n v="1"/>
    <n v="1"/>
    <n v="0"/>
    <n v="0"/>
    <n v="0"/>
    <n v="0"/>
    <n v="2"/>
    <n v="24"/>
    <n v="2024"/>
    <x v="1"/>
    <x v="0"/>
    <x v="1"/>
  </r>
  <r>
    <x v="1"/>
    <x v="86"/>
    <x v="1"/>
    <x v="17"/>
    <n v="3"/>
    <n v="3"/>
    <n v="0"/>
    <n v="0"/>
    <n v="0"/>
    <n v="0"/>
    <n v="0"/>
    <n v="0"/>
    <n v="1"/>
    <n v="2"/>
    <n v="2024"/>
    <x v="1"/>
    <x v="0"/>
    <x v="1"/>
  </r>
  <r>
    <x v="1"/>
    <x v="86"/>
    <x v="1"/>
    <x v="18"/>
    <n v="5"/>
    <n v="3"/>
    <n v="2"/>
    <n v="0"/>
    <n v="3354"/>
    <n v="1"/>
    <n v="3354"/>
    <n v="1"/>
    <n v="1"/>
    <n v="5"/>
    <n v="2024"/>
    <x v="1"/>
    <x v="0"/>
    <x v="1"/>
  </r>
  <r>
    <x v="1"/>
    <x v="86"/>
    <x v="1"/>
    <x v="19"/>
    <n v="644"/>
    <n v="324"/>
    <n v="24"/>
    <n v="4"/>
    <n v="27154"/>
    <n v="8"/>
    <n v="18379"/>
    <n v="5"/>
    <n v="309"/>
    <n v="448"/>
    <n v="2024"/>
    <x v="1"/>
    <x v="0"/>
    <x v="1"/>
  </r>
  <r>
    <x v="1"/>
    <x v="86"/>
    <x v="1"/>
    <x v="20"/>
    <n v="98"/>
    <n v="43"/>
    <n v="2"/>
    <n v="1"/>
    <n v="0"/>
    <n v="0"/>
    <n v="0"/>
    <n v="0"/>
    <n v="4"/>
    <n v="96"/>
    <n v="2024"/>
    <x v="1"/>
    <x v="0"/>
    <x v="1"/>
  </r>
  <r>
    <x v="1"/>
    <x v="86"/>
    <x v="1"/>
    <x v="22"/>
    <n v="2"/>
    <n v="2"/>
    <n v="0"/>
    <n v="0"/>
    <n v="0"/>
    <n v="0"/>
    <n v="0"/>
    <n v="0"/>
    <n v="0"/>
    <n v="0"/>
    <n v="2024"/>
    <x v="1"/>
    <x v="0"/>
    <x v="1"/>
  </r>
  <r>
    <x v="1"/>
    <x v="86"/>
    <x v="1"/>
    <x v="24"/>
    <n v="23"/>
    <n v="10"/>
    <n v="2"/>
    <n v="0"/>
    <n v="0"/>
    <n v="0"/>
    <n v="0"/>
    <n v="0"/>
    <n v="4"/>
    <n v="21"/>
    <n v="2024"/>
    <x v="1"/>
    <x v="0"/>
    <x v="1"/>
  </r>
  <r>
    <x v="1"/>
    <x v="86"/>
    <x v="1"/>
    <x v="27"/>
    <n v="70"/>
    <n v="24"/>
    <n v="8"/>
    <n v="1"/>
    <n v="17616"/>
    <n v="7"/>
    <n v="10273"/>
    <n v="5"/>
    <n v="27"/>
    <n v="64"/>
    <n v="2024"/>
    <x v="1"/>
    <x v="0"/>
    <x v="1"/>
  </r>
  <r>
    <x v="1"/>
    <x v="86"/>
    <x v="1"/>
    <x v="29"/>
    <n v="915"/>
    <n v="680"/>
    <n v="47"/>
    <n v="11"/>
    <n v="25380"/>
    <n v="11"/>
    <n v="16410"/>
    <n v="9"/>
    <n v="236"/>
    <n v="825"/>
    <n v="2024"/>
    <x v="1"/>
    <x v="0"/>
    <x v="1"/>
  </r>
  <r>
    <x v="1"/>
    <x v="86"/>
    <x v="1"/>
    <x v="30"/>
    <n v="2183"/>
    <n v="1099"/>
    <n v="33"/>
    <n v="16"/>
    <n v="9144"/>
    <n v="5"/>
    <n v="6161"/>
    <n v="4"/>
    <n v="192"/>
    <n v="1945"/>
    <n v="2024"/>
    <x v="1"/>
    <x v="0"/>
    <x v="1"/>
  </r>
  <r>
    <x v="1"/>
    <x v="86"/>
    <x v="1"/>
    <x v="31"/>
    <n v="76"/>
    <n v="54"/>
    <n v="5"/>
    <n v="3"/>
    <n v="0"/>
    <n v="0"/>
    <n v="0"/>
    <n v="0"/>
    <n v="13"/>
    <n v="74"/>
    <n v="2024"/>
    <x v="1"/>
    <x v="0"/>
    <x v="1"/>
  </r>
  <r>
    <x v="1"/>
    <x v="86"/>
    <x v="1"/>
    <x v="32"/>
    <n v="3"/>
    <n v="2"/>
    <n v="0"/>
    <n v="0"/>
    <n v="0"/>
    <n v="0"/>
    <n v="0"/>
    <n v="0"/>
    <n v="2"/>
    <n v="3"/>
    <n v="2024"/>
    <x v="1"/>
    <x v="0"/>
    <x v="1"/>
  </r>
  <r>
    <x v="1"/>
    <x v="86"/>
    <x v="1"/>
    <x v="33"/>
    <n v="1"/>
    <n v="0"/>
    <n v="0"/>
    <n v="0"/>
    <n v="0"/>
    <n v="0"/>
    <n v="0"/>
    <n v="0"/>
    <n v="0"/>
    <n v="0"/>
    <n v="2024"/>
    <x v="1"/>
    <x v="0"/>
    <x v="1"/>
  </r>
  <r>
    <x v="1"/>
    <x v="86"/>
    <x v="1"/>
    <x v="34"/>
    <n v="113"/>
    <n v="37"/>
    <n v="9"/>
    <n v="1"/>
    <n v="1498"/>
    <n v="1"/>
    <n v="1498"/>
    <n v="1"/>
    <n v="47"/>
    <n v="94"/>
    <n v="2024"/>
    <x v="1"/>
    <x v="0"/>
    <x v="1"/>
  </r>
  <r>
    <x v="1"/>
    <x v="86"/>
    <x v="1"/>
    <x v="36"/>
    <n v="1"/>
    <n v="1"/>
    <n v="0"/>
    <n v="0"/>
    <n v="0"/>
    <n v="0"/>
    <n v="0"/>
    <n v="0"/>
    <n v="1"/>
    <n v="0"/>
    <n v="2024"/>
    <x v="1"/>
    <x v="0"/>
    <x v="1"/>
  </r>
  <r>
    <x v="1"/>
    <x v="86"/>
    <x v="1"/>
    <x v="37"/>
    <n v="479"/>
    <n v="254"/>
    <n v="3"/>
    <n v="0"/>
    <n v="1498"/>
    <n v="1"/>
    <n v="1498"/>
    <n v="1"/>
    <n v="66"/>
    <n v="474"/>
    <n v="2024"/>
    <x v="1"/>
    <x v="0"/>
    <x v="1"/>
  </r>
  <r>
    <x v="1"/>
    <x v="86"/>
    <x v="1"/>
    <x v="38"/>
    <n v="297"/>
    <n v="80"/>
    <n v="15"/>
    <n v="3"/>
    <n v="18929"/>
    <n v="8"/>
    <n v="18929"/>
    <n v="8"/>
    <n v="87"/>
    <n v="281"/>
    <n v="2024"/>
    <x v="1"/>
    <x v="0"/>
    <x v="1"/>
  </r>
  <r>
    <x v="1"/>
    <x v="86"/>
    <x v="1"/>
    <x v="41"/>
    <n v="2"/>
    <n v="0"/>
    <n v="0"/>
    <n v="0"/>
    <n v="0"/>
    <n v="0"/>
    <n v="0"/>
    <n v="0"/>
    <n v="2"/>
    <n v="1"/>
    <n v="2024"/>
    <x v="1"/>
    <x v="0"/>
    <x v="1"/>
  </r>
  <r>
    <x v="1"/>
    <x v="86"/>
    <x v="1"/>
    <x v="43"/>
    <n v="142"/>
    <n v="57"/>
    <n v="4"/>
    <n v="1"/>
    <n v="0"/>
    <n v="0"/>
    <n v="0"/>
    <n v="0"/>
    <n v="89"/>
    <n v="90"/>
    <n v="2024"/>
    <x v="1"/>
    <x v="0"/>
    <x v="1"/>
  </r>
  <r>
    <x v="1"/>
    <x v="86"/>
    <x v="1"/>
    <x v="44"/>
    <n v="9"/>
    <n v="3"/>
    <n v="1"/>
    <n v="0"/>
    <n v="0"/>
    <n v="0"/>
    <n v="0"/>
    <n v="0"/>
    <n v="0"/>
    <n v="9"/>
    <n v="2024"/>
    <x v="1"/>
    <x v="0"/>
    <x v="1"/>
  </r>
  <r>
    <x v="1"/>
    <x v="86"/>
    <x v="1"/>
    <x v="45"/>
    <n v="19"/>
    <n v="11"/>
    <n v="0"/>
    <n v="0"/>
    <n v="0"/>
    <n v="0"/>
    <n v="0"/>
    <n v="0"/>
    <n v="0"/>
    <n v="19"/>
    <n v="2024"/>
    <x v="1"/>
    <x v="0"/>
    <x v="1"/>
  </r>
  <r>
    <x v="1"/>
    <x v="87"/>
    <x v="0"/>
    <x v="0"/>
    <n v="350"/>
    <n v="99"/>
    <n v="2"/>
    <n v="0"/>
    <n v="1498"/>
    <n v="1"/>
    <n v="1498"/>
    <n v="1"/>
    <n v="5"/>
    <n v="348"/>
    <n v="2024"/>
    <x v="1"/>
    <x v="0"/>
    <x v="1"/>
  </r>
  <r>
    <x v="1"/>
    <x v="87"/>
    <x v="0"/>
    <x v="1"/>
    <n v="19476"/>
    <n v="12482"/>
    <n v="161"/>
    <n v="69"/>
    <n v="105549"/>
    <n v="22"/>
    <n v="64980"/>
    <n v="17"/>
    <n v="743"/>
    <n v="19445"/>
    <n v="2024"/>
    <x v="1"/>
    <x v="0"/>
    <x v="1"/>
  </r>
  <r>
    <x v="1"/>
    <x v="87"/>
    <x v="0"/>
    <x v="2"/>
    <n v="2237"/>
    <n v="1730"/>
    <n v="20"/>
    <n v="4"/>
    <n v="11968"/>
    <n v="3"/>
    <n v="11968"/>
    <n v="3"/>
    <n v="2237"/>
    <n v="536"/>
    <n v="2024"/>
    <x v="1"/>
    <x v="0"/>
    <x v="1"/>
  </r>
  <r>
    <x v="1"/>
    <x v="87"/>
    <x v="0"/>
    <x v="3"/>
    <n v="1195"/>
    <n v="889"/>
    <n v="5"/>
    <n v="3"/>
    <n v="0"/>
    <n v="0"/>
    <n v="0"/>
    <n v="0"/>
    <n v="25"/>
    <n v="352"/>
    <n v="2024"/>
    <x v="1"/>
    <x v="0"/>
    <x v="1"/>
  </r>
  <r>
    <x v="1"/>
    <x v="87"/>
    <x v="1"/>
    <x v="5"/>
    <n v="3"/>
    <n v="2"/>
    <n v="0"/>
    <n v="0"/>
    <n v="0"/>
    <n v="0"/>
    <n v="0"/>
    <n v="0"/>
    <n v="1"/>
    <n v="3"/>
    <n v="2024"/>
    <x v="1"/>
    <x v="0"/>
    <x v="1"/>
  </r>
  <r>
    <x v="1"/>
    <x v="87"/>
    <x v="1"/>
    <x v="6"/>
    <n v="101"/>
    <n v="97"/>
    <n v="0"/>
    <n v="0"/>
    <n v="0"/>
    <n v="0"/>
    <n v="0"/>
    <n v="0"/>
    <n v="0"/>
    <n v="0"/>
    <n v="2024"/>
    <x v="1"/>
    <x v="0"/>
    <x v="1"/>
  </r>
  <r>
    <x v="1"/>
    <x v="87"/>
    <x v="1"/>
    <x v="7"/>
    <n v="383"/>
    <n v="61"/>
    <n v="34"/>
    <n v="6"/>
    <n v="46232"/>
    <n v="18"/>
    <n v="36397"/>
    <n v="16"/>
    <n v="96"/>
    <n v="371"/>
    <n v="2024"/>
    <x v="1"/>
    <x v="0"/>
    <x v="1"/>
  </r>
  <r>
    <x v="1"/>
    <x v="87"/>
    <x v="1"/>
    <x v="8"/>
    <n v="15"/>
    <n v="7"/>
    <n v="0"/>
    <n v="0"/>
    <n v="5031"/>
    <n v="1"/>
    <n v="3354"/>
    <n v="1"/>
    <n v="1"/>
    <n v="9"/>
    <n v="2024"/>
    <x v="1"/>
    <x v="0"/>
    <x v="1"/>
  </r>
  <r>
    <x v="1"/>
    <x v="87"/>
    <x v="1"/>
    <x v="9"/>
    <n v="4"/>
    <n v="1"/>
    <n v="0"/>
    <n v="0"/>
    <n v="0"/>
    <n v="0"/>
    <n v="0"/>
    <n v="0"/>
    <n v="0"/>
    <n v="4"/>
    <n v="2024"/>
    <x v="1"/>
    <x v="0"/>
    <x v="1"/>
  </r>
  <r>
    <x v="1"/>
    <x v="87"/>
    <x v="1"/>
    <x v="10"/>
    <n v="44"/>
    <n v="21"/>
    <n v="3"/>
    <n v="1"/>
    <n v="0"/>
    <n v="0"/>
    <n v="0"/>
    <n v="0"/>
    <n v="5"/>
    <n v="33"/>
    <n v="2024"/>
    <x v="1"/>
    <x v="0"/>
    <x v="1"/>
  </r>
  <r>
    <x v="1"/>
    <x v="87"/>
    <x v="1"/>
    <x v="13"/>
    <n v="37"/>
    <n v="25"/>
    <n v="2"/>
    <n v="0"/>
    <n v="0"/>
    <n v="0"/>
    <n v="0"/>
    <n v="0"/>
    <n v="1"/>
    <n v="37"/>
    <n v="2024"/>
    <x v="1"/>
    <x v="0"/>
    <x v="1"/>
  </r>
  <r>
    <x v="1"/>
    <x v="87"/>
    <x v="1"/>
    <x v="59"/>
    <n v="2883"/>
    <n v="2010"/>
    <n v="12"/>
    <n v="4"/>
    <n v="18987"/>
    <n v="7"/>
    <n v="14930"/>
    <n v="5"/>
    <n v="63"/>
    <n v="380"/>
    <n v="2024"/>
    <x v="1"/>
    <x v="0"/>
    <x v="1"/>
  </r>
  <r>
    <x v="1"/>
    <x v="87"/>
    <x v="1"/>
    <x v="15"/>
    <n v="10"/>
    <n v="10"/>
    <n v="0"/>
    <n v="1"/>
    <n v="0"/>
    <n v="0"/>
    <n v="0"/>
    <n v="0"/>
    <n v="0"/>
    <n v="10"/>
    <n v="2024"/>
    <x v="1"/>
    <x v="0"/>
    <x v="1"/>
  </r>
  <r>
    <x v="1"/>
    <x v="87"/>
    <x v="1"/>
    <x v="16"/>
    <n v="18"/>
    <n v="8"/>
    <n v="0"/>
    <n v="0"/>
    <n v="0"/>
    <n v="0"/>
    <n v="0"/>
    <n v="0"/>
    <n v="1"/>
    <n v="18"/>
    <n v="2024"/>
    <x v="1"/>
    <x v="0"/>
    <x v="1"/>
  </r>
  <r>
    <x v="1"/>
    <x v="87"/>
    <x v="1"/>
    <x v="17"/>
    <n v="7"/>
    <n v="5"/>
    <n v="0"/>
    <n v="0"/>
    <n v="0"/>
    <n v="0"/>
    <n v="0"/>
    <n v="0"/>
    <n v="3"/>
    <n v="4"/>
    <n v="2024"/>
    <x v="1"/>
    <x v="0"/>
    <x v="1"/>
  </r>
  <r>
    <x v="1"/>
    <x v="87"/>
    <x v="1"/>
    <x v="18"/>
    <n v="4"/>
    <n v="4"/>
    <n v="1"/>
    <n v="0"/>
    <n v="0"/>
    <n v="0"/>
    <n v="0"/>
    <n v="0"/>
    <n v="1"/>
    <n v="3"/>
    <n v="2024"/>
    <x v="1"/>
    <x v="0"/>
    <x v="1"/>
  </r>
  <r>
    <x v="1"/>
    <x v="87"/>
    <x v="1"/>
    <x v="19"/>
    <n v="610"/>
    <n v="293"/>
    <n v="21"/>
    <n v="10"/>
    <n v="32623"/>
    <n v="15"/>
    <n v="27966"/>
    <n v="13"/>
    <n v="292"/>
    <n v="445"/>
    <n v="2024"/>
    <x v="1"/>
    <x v="0"/>
    <x v="1"/>
  </r>
  <r>
    <x v="1"/>
    <x v="87"/>
    <x v="1"/>
    <x v="20"/>
    <n v="102"/>
    <n v="46"/>
    <n v="1"/>
    <n v="0"/>
    <n v="5062"/>
    <n v="2"/>
    <n v="1917"/>
    <n v="1"/>
    <n v="12"/>
    <n v="98"/>
    <n v="2024"/>
    <x v="1"/>
    <x v="0"/>
    <x v="1"/>
  </r>
  <r>
    <x v="1"/>
    <x v="87"/>
    <x v="1"/>
    <x v="21"/>
    <n v="4"/>
    <n v="2"/>
    <n v="0"/>
    <n v="0"/>
    <n v="0"/>
    <n v="0"/>
    <n v="0"/>
    <n v="0"/>
    <n v="0"/>
    <n v="4"/>
    <n v="2024"/>
    <x v="1"/>
    <x v="0"/>
    <x v="1"/>
  </r>
  <r>
    <x v="1"/>
    <x v="87"/>
    <x v="1"/>
    <x v="24"/>
    <n v="20"/>
    <n v="6"/>
    <n v="0"/>
    <n v="0"/>
    <n v="10941"/>
    <n v="3"/>
    <n v="4657"/>
    <n v="2"/>
    <n v="1"/>
    <n v="19"/>
    <n v="2024"/>
    <x v="1"/>
    <x v="0"/>
    <x v="1"/>
  </r>
  <r>
    <x v="1"/>
    <x v="87"/>
    <x v="1"/>
    <x v="27"/>
    <n v="87"/>
    <n v="26"/>
    <n v="12"/>
    <n v="1"/>
    <n v="45064"/>
    <n v="13"/>
    <n v="38956"/>
    <n v="12"/>
    <n v="36"/>
    <n v="79"/>
    <n v="2024"/>
    <x v="1"/>
    <x v="0"/>
    <x v="1"/>
  </r>
  <r>
    <x v="1"/>
    <x v="87"/>
    <x v="1"/>
    <x v="29"/>
    <n v="913"/>
    <n v="696"/>
    <n v="60"/>
    <n v="14"/>
    <n v="43419"/>
    <n v="12"/>
    <n v="33209"/>
    <n v="9"/>
    <n v="249"/>
    <n v="820"/>
    <n v="2024"/>
    <x v="1"/>
    <x v="0"/>
    <x v="1"/>
  </r>
  <r>
    <x v="1"/>
    <x v="87"/>
    <x v="1"/>
    <x v="30"/>
    <n v="2321"/>
    <n v="1168"/>
    <n v="60"/>
    <n v="23"/>
    <n v="11286"/>
    <n v="7"/>
    <n v="9788"/>
    <n v="6"/>
    <n v="218"/>
    <n v="1940"/>
    <n v="2024"/>
    <x v="1"/>
    <x v="0"/>
    <x v="1"/>
  </r>
  <r>
    <x v="1"/>
    <x v="87"/>
    <x v="1"/>
    <x v="31"/>
    <n v="82"/>
    <n v="54"/>
    <n v="6"/>
    <n v="3"/>
    <n v="8575"/>
    <n v="3"/>
    <n v="6895"/>
    <n v="2"/>
    <n v="14"/>
    <n v="80"/>
    <n v="2024"/>
    <x v="1"/>
    <x v="0"/>
    <x v="1"/>
  </r>
  <r>
    <x v="1"/>
    <x v="87"/>
    <x v="1"/>
    <x v="32"/>
    <n v="3"/>
    <n v="2"/>
    <n v="1"/>
    <n v="0"/>
    <n v="3834"/>
    <n v="1"/>
    <n v="3834"/>
    <n v="1"/>
    <n v="2"/>
    <n v="3"/>
    <n v="2024"/>
    <x v="1"/>
    <x v="0"/>
    <x v="1"/>
  </r>
  <r>
    <x v="1"/>
    <x v="87"/>
    <x v="1"/>
    <x v="34"/>
    <n v="160"/>
    <n v="64"/>
    <n v="6"/>
    <n v="4"/>
    <n v="1498"/>
    <n v="1"/>
    <n v="0"/>
    <n v="0"/>
    <n v="69"/>
    <n v="129"/>
    <n v="2024"/>
    <x v="1"/>
    <x v="0"/>
    <x v="1"/>
  </r>
  <r>
    <x v="1"/>
    <x v="87"/>
    <x v="1"/>
    <x v="36"/>
    <n v="3"/>
    <n v="3"/>
    <n v="0"/>
    <n v="0"/>
    <n v="0"/>
    <n v="0"/>
    <n v="0"/>
    <n v="0"/>
    <n v="1"/>
    <n v="2"/>
    <n v="2024"/>
    <x v="1"/>
    <x v="0"/>
    <x v="1"/>
  </r>
  <r>
    <x v="1"/>
    <x v="87"/>
    <x v="1"/>
    <x v="37"/>
    <n v="520"/>
    <n v="293"/>
    <n v="5"/>
    <n v="0"/>
    <n v="7990"/>
    <n v="4"/>
    <n v="7990"/>
    <n v="4"/>
    <n v="52"/>
    <n v="514"/>
    <n v="2024"/>
    <x v="1"/>
    <x v="0"/>
    <x v="1"/>
  </r>
  <r>
    <x v="1"/>
    <x v="87"/>
    <x v="1"/>
    <x v="38"/>
    <n v="328"/>
    <n v="72"/>
    <n v="25"/>
    <n v="6"/>
    <n v="31471"/>
    <n v="15"/>
    <n v="27596"/>
    <n v="13"/>
    <n v="72"/>
    <n v="314"/>
    <n v="2024"/>
    <x v="1"/>
    <x v="0"/>
    <x v="1"/>
  </r>
  <r>
    <x v="1"/>
    <x v="87"/>
    <x v="1"/>
    <x v="51"/>
    <n v="1"/>
    <n v="0"/>
    <n v="0"/>
    <n v="0"/>
    <n v="0"/>
    <n v="0"/>
    <n v="0"/>
    <n v="0"/>
    <n v="1"/>
    <n v="0"/>
    <n v="2024"/>
    <x v="1"/>
    <x v="0"/>
    <x v="1"/>
  </r>
  <r>
    <x v="1"/>
    <x v="87"/>
    <x v="1"/>
    <x v="40"/>
    <n v="1"/>
    <n v="0"/>
    <n v="0"/>
    <n v="0"/>
    <n v="0"/>
    <n v="0"/>
    <n v="0"/>
    <n v="0"/>
    <n v="0"/>
    <n v="1"/>
    <n v="2024"/>
    <x v="1"/>
    <x v="0"/>
    <x v="1"/>
  </r>
  <r>
    <x v="1"/>
    <x v="87"/>
    <x v="1"/>
    <x v="41"/>
    <n v="3"/>
    <n v="2"/>
    <n v="0"/>
    <n v="0"/>
    <n v="0"/>
    <n v="0"/>
    <n v="0"/>
    <n v="0"/>
    <n v="0"/>
    <n v="3"/>
    <n v="2024"/>
    <x v="1"/>
    <x v="0"/>
    <x v="1"/>
  </r>
  <r>
    <x v="1"/>
    <x v="87"/>
    <x v="1"/>
    <x v="42"/>
    <n v="5"/>
    <n v="2"/>
    <n v="0"/>
    <n v="0"/>
    <n v="0"/>
    <n v="0"/>
    <n v="0"/>
    <n v="0"/>
    <n v="1"/>
    <n v="4"/>
    <n v="2024"/>
    <x v="1"/>
    <x v="0"/>
    <x v="1"/>
  </r>
  <r>
    <x v="1"/>
    <x v="87"/>
    <x v="1"/>
    <x v="43"/>
    <n v="153"/>
    <n v="63"/>
    <n v="5"/>
    <n v="1"/>
    <n v="4645"/>
    <n v="1"/>
    <n v="4645"/>
    <n v="1"/>
    <n v="99"/>
    <n v="93"/>
    <n v="2024"/>
    <x v="1"/>
    <x v="0"/>
    <x v="1"/>
  </r>
  <r>
    <x v="1"/>
    <x v="87"/>
    <x v="1"/>
    <x v="44"/>
    <n v="7"/>
    <n v="1"/>
    <n v="0"/>
    <n v="0"/>
    <n v="1598"/>
    <n v="1"/>
    <n v="1598"/>
    <n v="1"/>
    <n v="0"/>
    <n v="7"/>
    <n v="2024"/>
    <x v="1"/>
    <x v="0"/>
    <x v="1"/>
  </r>
  <r>
    <x v="1"/>
    <x v="87"/>
    <x v="1"/>
    <x v="45"/>
    <n v="46"/>
    <n v="32"/>
    <n v="0"/>
    <n v="0"/>
    <n v="0"/>
    <n v="0"/>
    <n v="0"/>
    <n v="0"/>
    <n v="1"/>
    <n v="46"/>
    <n v="2024"/>
    <x v="1"/>
    <x v="0"/>
    <x v="1"/>
  </r>
  <r>
    <x v="1"/>
    <x v="88"/>
    <x v="0"/>
    <x v="0"/>
    <n v="354"/>
    <n v="123"/>
    <n v="3"/>
    <n v="1"/>
    <n v="10233"/>
    <n v="3"/>
    <n v="10233"/>
    <n v="3"/>
    <n v="13"/>
    <n v="351"/>
    <n v="2024"/>
    <x v="1"/>
    <x v="0"/>
    <x v="1"/>
  </r>
  <r>
    <x v="1"/>
    <x v="88"/>
    <x v="0"/>
    <x v="1"/>
    <n v="20647"/>
    <n v="13019"/>
    <n v="204"/>
    <n v="104"/>
    <n v="289130.11"/>
    <n v="79"/>
    <n v="209390.61"/>
    <n v="68"/>
    <n v="797"/>
    <n v="20616"/>
    <n v="2024"/>
    <x v="1"/>
    <x v="0"/>
    <x v="1"/>
  </r>
  <r>
    <x v="1"/>
    <x v="88"/>
    <x v="0"/>
    <x v="2"/>
    <n v="2514"/>
    <n v="1981"/>
    <n v="19"/>
    <n v="3"/>
    <n v="28375"/>
    <n v="11"/>
    <n v="26877"/>
    <n v="11"/>
    <n v="2514"/>
    <n v="610"/>
    <n v="2024"/>
    <x v="1"/>
    <x v="0"/>
    <x v="1"/>
  </r>
  <r>
    <x v="1"/>
    <x v="88"/>
    <x v="0"/>
    <x v="3"/>
    <n v="19"/>
    <n v="14"/>
    <n v="0"/>
    <n v="0"/>
    <n v="0"/>
    <n v="0"/>
    <n v="0"/>
    <n v="0"/>
    <n v="0"/>
    <n v="16"/>
    <n v="2024"/>
    <x v="1"/>
    <x v="0"/>
    <x v="1"/>
  </r>
  <r>
    <x v="1"/>
    <x v="88"/>
    <x v="1"/>
    <x v="5"/>
    <n v="5"/>
    <n v="2"/>
    <n v="0"/>
    <n v="0"/>
    <n v="0"/>
    <n v="0"/>
    <n v="0"/>
    <n v="0"/>
    <n v="0"/>
    <n v="5"/>
    <n v="2024"/>
    <x v="1"/>
    <x v="0"/>
    <x v="1"/>
  </r>
  <r>
    <x v="1"/>
    <x v="88"/>
    <x v="1"/>
    <x v="6"/>
    <n v="4"/>
    <n v="4"/>
    <n v="0"/>
    <n v="0"/>
    <n v="0"/>
    <n v="0"/>
    <n v="0"/>
    <n v="0"/>
    <n v="0"/>
    <n v="0"/>
    <n v="2024"/>
    <x v="1"/>
    <x v="0"/>
    <x v="1"/>
  </r>
  <r>
    <x v="1"/>
    <x v="88"/>
    <x v="1"/>
    <x v="7"/>
    <n v="438"/>
    <n v="115"/>
    <n v="65"/>
    <n v="4"/>
    <n v="227749.48"/>
    <n v="77"/>
    <n v="200587.48"/>
    <n v="68"/>
    <n v="134"/>
    <n v="420"/>
    <n v="2024"/>
    <x v="1"/>
    <x v="0"/>
    <x v="1"/>
  </r>
  <r>
    <x v="1"/>
    <x v="88"/>
    <x v="1"/>
    <x v="8"/>
    <n v="13"/>
    <n v="2"/>
    <n v="0"/>
    <n v="0"/>
    <n v="0"/>
    <n v="0"/>
    <n v="0"/>
    <n v="0"/>
    <n v="0"/>
    <n v="13"/>
    <n v="2024"/>
    <x v="1"/>
    <x v="0"/>
    <x v="1"/>
  </r>
  <r>
    <x v="1"/>
    <x v="88"/>
    <x v="1"/>
    <x v="9"/>
    <n v="2"/>
    <n v="0"/>
    <n v="0"/>
    <n v="0"/>
    <n v="0"/>
    <n v="0"/>
    <n v="0"/>
    <n v="0"/>
    <n v="0"/>
    <n v="2"/>
    <n v="2024"/>
    <x v="1"/>
    <x v="0"/>
    <x v="1"/>
  </r>
  <r>
    <x v="1"/>
    <x v="88"/>
    <x v="1"/>
    <x v="10"/>
    <n v="18"/>
    <n v="8"/>
    <n v="3"/>
    <n v="0"/>
    <n v="4168"/>
    <n v="2"/>
    <n v="4168"/>
    <n v="2"/>
    <n v="7"/>
    <n v="14"/>
    <n v="2024"/>
    <x v="1"/>
    <x v="0"/>
    <x v="1"/>
  </r>
  <r>
    <x v="1"/>
    <x v="88"/>
    <x v="1"/>
    <x v="13"/>
    <n v="35"/>
    <n v="25"/>
    <n v="1"/>
    <n v="0"/>
    <n v="0"/>
    <n v="0"/>
    <n v="0"/>
    <n v="0"/>
    <n v="0"/>
    <n v="35"/>
    <n v="2024"/>
    <x v="1"/>
    <x v="0"/>
    <x v="1"/>
  </r>
  <r>
    <x v="1"/>
    <x v="88"/>
    <x v="1"/>
    <x v="59"/>
    <n v="454"/>
    <n v="174"/>
    <n v="6"/>
    <n v="6"/>
    <n v="11689.45"/>
    <n v="7"/>
    <n v="9409.4500000000007"/>
    <n v="6"/>
    <n v="57"/>
    <n v="424"/>
    <n v="2024"/>
    <x v="1"/>
    <x v="0"/>
    <x v="1"/>
  </r>
  <r>
    <x v="1"/>
    <x v="88"/>
    <x v="1"/>
    <x v="15"/>
    <n v="13"/>
    <n v="12"/>
    <n v="0"/>
    <n v="0"/>
    <n v="0"/>
    <n v="0"/>
    <n v="0"/>
    <n v="0"/>
    <n v="0"/>
    <n v="13"/>
    <n v="2024"/>
    <x v="1"/>
    <x v="0"/>
    <x v="1"/>
  </r>
  <r>
    <x v="1"/>
    <x v="88"/>
    <x v="1"/>
    <x v="16"/>
    <n v="28"/>
    <n v="11"/>
    <n v="0"/>
    <n v="0"/>
    <n v="0"/>
    <n v="0"/>
    <n v="0"/>
    <n v="0"/>
    <n v="2"/>
    <n v="28"/>
    <n v="2024"/>
    <x v="1"/>
    <x v="0"/>
    <x v="1"/>
  </r>
  <r>
    <x v="1"/>
    <x v="88"/>
    <x v="1"/>
    <x v="17"/>
    <n v="3"/>
    <n v="3"/>
    <n v="0"/>
    <n v="0"/>
    <n v="0"/>
    <n v="0"/>
    <n v="0"/>
    <n v="0"/>
    <n v="1"/>
    <n v="2"/>
    <n v="2024"/>
    <x v="1"/>
    <x v="0"/>
    <x v="1"/>
  </r>
  <r>
    <x v="1"/>
    <x v="88"/>
    <x v="1"/>
    <x v="18"/>
    <n v="8"/>
    <n v="8"/>
    <n v="3"/>
    <n v="0"/>
    <n v="1699.44"/>
    <n v="1"/>
    <n v="1699.44"/>
    <n v="1"/>
    <n v="2"/>
    <n v="8"/>
    <n v="2024"/>
    <x v="1"/>
    <x v="0"/>
    <x v="1"/>
  </r>
  <r>
    <x v="1"/>
    <x v="88"/>
    <x v="1"/>
    <x v="19"/>
    <n v="608"/>
    <n v="293"/>
    <n v="36"/>
    <n v="7"/>
    <n v="78538.87"/>
    <n v="22"/>
    <n v="59638.87"/>
    <n v="21"/>
    <n v="335"/>
    <n v="432"/>
    <n v="2024"/>
    <x v="1"/>
    <x v="0"/>
    <x v="1"/>
  </r>
  <r>
    <x v="1"/>
    <x v="88"/>
    <x v="1"/>
    <x v="20"/>
    <n v="10"/>
    <n v="6"/>
    <n v="1"/>
    <n v="0"/>
    <n v="0"/>
    <n v="0"/>
    <n v="0"/>
    <n v="0"/>
    <n v="1"/>
    <n v="10"/>
    <n v="2024"/>
    <x v="1"/>
    <x v="0"/>
    <x v="1"/>
  </r>
  <r>
    <x v="1"/>
    <x v="88"/>
    <x v="1"/>
    <x v="21"/>
    <n v="5"/>
    <n v="1"/>
    <n v="1"/>
    <n v="0"/>
    <n v="0"/>
    <n v="0"/>
    <n v="0"/>
    <n v="0"/>
    <n v="2"/>
    <n v="5"/>
    <n v="2024"/>
    <x v="1"/>
    <x v="0"/>
    <x v="1"/>
  </r>
  <r>
    <x v="1"/>
    <x v="88"/>
    <x v="1"/>
    <x v="22"/>
    <n v="1"/>
    <n v="1"/>
    <n v="0"/>
    <n v="0"/>
    <n v="0"/>
    <n v="0"/>
    <n v="0"/>
    <n v="0"/>
    <n v="0"/>
    <n v="1"/>
    <n v="2024"/>
    <x v="1"/>
    <x v="0"/>
    <x v="1"/>
  </r>
  <r>
    <x v="1"/>
    <x v="88"/>
    <x v="1"/>
    <x v="24"/>
    <n v="28"/>
    <n v="16"/>
    <n v="6"/>
    <n v="0"/>
    <n v="13225.52"/>
    <n v="5"/>
    <n v="13225.52"/>
    <n v="5"/>
    <n v="7"/>
    <n v="27"/>
    <n v="2024"/>
    <x v="1"/>
    <x v="0"/>
    <x v="1"/>
  </r>
  <r>
    <x v="1"/>
    <x v="88"/>
    <x v="1"/>
    <x v="25"/>
    <n v="1"/>
    <n v="0"/>
    <n v="0"/>
    <n v="0"/>
    <n v="0"/>
    <n v="0"/>
    <n v="0"/>
    <n v="0"/>
    <n v="0"/>
    <n v="1"/>
    <n v="2024"/>
    <x v="1"/>
    <x v="0"/>
    <x v="1"/>
  </r>
  <r>
    <x v="1"/>
    <x v="88"/>
    <x v="1"/>
    <x v="26"/>
    <n v="1"/>
    <n v="0"/>
    <n v="0"/>
    <n v="0"/>
    <n v="0"/>
    <n v="0"/>
    <n v="0"/>
    <n v="0"/>
    <n v="0"/>
    <n v="1"/>
    <n v="2024"/>
    <x v="1"/>
    <x v="0"/>
    <x v="1"/>
  </r>
  <r>
    <x v="1"/>
    <x v="88"/>
    <x v="1"/>
    <x v="27"/>
    <n v="113"/>
    <n v="44"/>
    <n v="20"/>
    <n v="2"/>
    <n v="73863.34"/>
    <n v="19"/>
    <n v="49298.34"/>
    <n v="17"/>
    <n v="42"/>
    <n v="104"/>
    <n v="2024"/>
    <x v="1"/>
    <x v="0"/>
    <x v="1"/>
  </r>
  <r>
    <x v="1"/>
    <x v="88"/>
    <x v="1"/>
    <x v="29"/>
    <n v="914"/>
    <n v="695"/>
    <n v="80"/>
    <n v="11"/>
    <n v="65691"/>
    <n v="24"/>
    <n v="63393.5"/>
    <n v="24"/>
    <n v="261"/>
    <n v="829"/>
    <n v="2024"/>
    <x v="1"/>
    <x v="0"/>
    <x v="1"/>
  </r>
  <r>
    <x v="1"/>
    <x v="88"/>
    <x v="1"/>
    <x v="30"/>
    <n v="9670"/>
    <n v="8282"/>
    <n v="178"/>
    <n v="93"/>
    <n v="95796.44"/>
    <n v="39"/>
    <n v="53994.44"/>
    <n v="25"/>
    <n v="1019"/>
    <n v="9556"/>
    <n v="2024"/>
    <x v="1"/>
    <x v="0"/>
    <x v="1"/>
  </r>
  <r>
    <x v="1"/>
    <x v="88"/>
    <x v="1"/>
    <x v="31"/>
    <n v="102"/>
    <n v="71"/>
    <n v="5"/>
    <n v="4"/>
    <n v="7490"/>
    <n v="2"/>
    <n v="7490"/>
    <n v="2"/>
    <n v="17"/>
    <n v="99"/>
    <n v="2024"/>
    <x v="1"/>
    <x v="0"/>
    <x v="1"/>
  </r>
  <r>
    <x v="1"/>
    <x v="88"/>
    <x v="1"/>
    <x v="32"/>
    <n v="1"/>
    <n v="1"/>
    <n v="0"/>
    <n v="0"/>
    <n v="0"/>
    <n v="0"/>
    <n v="0"/>
    <n v="0"/>
    <n v="0"/>
    <n v="1"/>
    <n v="2024"/>
    <x v="1"/>
    <x v="0"/>
    <x v="1"/>
  </r>
  <r>
    <x v="1"/>
    <x v="88"/>
    <x v="1"/>
    <x v="34"/>
    <n v="312"/>
    <n v="197"/>
    <n v="22"/>
    <n v="6"/>
    <n v="36348.949999999997"/>
    <n v="9"/>
    <n v="17330.95"/>
    <n v="6"/>
    <n v="102"/>
    <n v="284"/>
    <n v="2024"/>
    <x v="1"/>
    <x v="0"/>
    <x v="1"/>
  </r>
  <r>
    <x v="1"/>
    <x v="88"/>
    <x v="1"/>
    <x v="36"/>
    <n v="2"/>
    <n v="2"/>
    <n v="0"/>
    <n v="0"/>
    <n v="0"/>
    <n v="0"/>
    <n v="0"/>
    <n v="0"/>
    <n v="2"/>
    <n v="0"/>
    <n v="2024"/>
    <x v="1"/>
    <x v="0"/>
    <x v="1"/>
  </r>
  <r>
    <x v="1"/>
    <x v="88"/>
    <x v="1"/>
    <x v="37"/>
    <n v="492"/>
    <n v="281"/>
    <n v="5"/>
    <n v="0"/>
    <n v="14109.57"/>
    <n v="6"/>
    <n v="14109.57"/>
    <n v="6"/>
    <n v="63"/>
    <n v="488"/>
    <n v="2024"/>
    <x v="1"/>
    <x v="0"/>
    <x v="1"/>
  </r>
  <r>
    <x v="1"/>
    <x v="88"/>
    <x v="1"/>
    <x v="38"/>
    <n v="376"/>
    <n v="86"/>
    <n v="29"/>
    <n v="8"/>
    <n v="84444.31"/>
    <n v="24"/>
    <n v="68427.81"/>
    <n v="21"/>
    <n v="112"/>
    <n v="357"/>
    <n v="2024"/>
    <x v="1"/>
    <x v="0"/>
    <x v="1"/>
  </r>
  <r>
    <x v="1"/>
    <x v="88"/>
    <x v="1"/>
    <x v="51"/>
    <n v="1"/>
    <n v="1"/>
    <n v="0"/>
    <n v="0"/>
    <n v="0"/>
    <n v="0"/>
    <n v="0"/>
    <n v="0"/>
    <n v="1"/>
    <n v="0"/>
    <n v="2024"/>
    <x v="1"/>
    <x v="0"/>
    <x v="1"/>
  </r>
  <r>
    <x v="1"/>
    <x v="88"/>
    <x v="1"/>
    <x v="40"/>
    <n v="1"/>
    <n v="1"/>
    <n v="0"/>
    <n v="0"/>
    <n v="0"/>
    <n v="0"/>
    <n v="0"/>
    <n v="0"/>
    <n v="0"/>
    <n v="1"/>
    <n v="2024"/>
    <x v="1"/>
    <x v="0"/>
    <x v="1"/>
  </r>
  <r>
    <x v="1"/>
    <x v="88"/>
    <x v="1"/>
    <x v="41"/>
    <n v="3"/>
    <n v="0"/>
    <n v="0"/>
    <n v="0"/>
    <n v="0"/>
    <n v="0"/>
    <n v="0"/>
    <n v="0"/>
    <n v="1"/>
    <n v="2"/>
    <n v="2024"/>
    <x v="1"/>
    <x v="0"/>
    <x v="1"/>
  </r>
  <r>
    <x v="1"/>
    <x v="88"/>
    <x v="1"/>
    <x v="42"/>
    <n v="116"/>
    <n v="47"/>
    <n v="4"/>
    <n v="1"/>
    <n v="9370"/>
    <n v="2"/>
    <n v="5390"/>
    <n v="2"/>
    <n v="18"/>
    <n v="107"/>
    <n v="2024"/>
    <x v="1"/>
    <x v="0"/>
    <x v="1"/>
  </r>
  <r>
    <x v="1"/>
    <x v="88"/>
    <x v="1"/>
    <x v="43"/>
    <n v="120"/>
    <n v="56"/>
    <n v="1"/>
    <n v="1"/>
    <n v="0"/>
    <n v="0"/>
    <n v="0"/>
    <n v="0"/>
    <n v="75"/>
    <n v="71"/>
    <n v="2024"/>
    <x v="1"/>
    <x v="0"/>
    <x v="1"/>
  </r>
  <r>
    <x v="1"/>
    <x v="88"/>
    <x v="1"/>
    <x v="44"/>
    <n v="17"/>
    <n v="5"/>
    <n v="2"/>
    <n v="0"/>
    <n v="15617.5"/>
    <n v="7"/>
    <n v="14129.5"/>
    <n v="7"/>
    <n v="0"/>
    <n v="17"/>
    <n v="2024"/>
    <x v="1"/>
    <x v="0"/>
    <x v="1"/>
  </r>
  <r>
    <x v="1"/>
    <x v="88"/>
    <x v="1"/>
    <x v="45"/>
    <n v="30"/>
    <n v="19"/>
    <n v="3"/>
    <n v="0"/>
    <n v="1680"/>
    <n v="1"/>
    <n v="1680"/>
    <n v="1"/>
    <n v="0"/>
    <n v="30"/>
    <n v="2024"/>
    <x v="1"/>
    <x v="0"/>
    <x v="1"/>
  </r>
  <r>
    <x v="1"/>
    <x v="89"/>
    <x v="0"/>
    <x v="0"/>
    <n v="331"/>
    <n v="105"/>
    <n v="2"/>
    <n v="2"/>
    <n v="12414.67"/>
    <n v="4"/>
    <n v="7714.67"/>
    <n v="3"/>
    <n v="20"/>
    <n v="316"/>
    <n v="2024"/>
    <x v="1"/>
    <x v="0"/>
    <x v="1"/>
  </r>
  <r>
    <x v="1"/>
    <x v="89"/>
    <x v="0"/>
    <x v="1"/>
    <n v="16463"/>
    <n v="9767"/>
    <n v="184"/>
    <n v="101"/>
    <n v="184487.13"/>
    <n v="47"/>
    <n v="108061.13"/>
    <n v="36"/>
    <n v="754"/>
    <n v="16438"/>
    <n v="2024"/>
    <x v="1"/>
    <x v="0"/>
    <x v="1"/>
  </r>
  <r>
    <x v="1"/>
    <x v="89"/>
    <x v="0"/>
    <x v="2"/>
    <n v="2565"/>
    <n v="1992"/>
    <n v="25"/>
    <n v="4"/>
    <n v="37626"/>
    <n v="4"/>
    <n v="37626"/>
    <n v="4"/>
    <n v="2564"/>
    <n v="538"/>
    <n v="2024"/>
    <x v="1"/>
    <x v="0"/>
    <x v="1"/>
  </r>
  <r>
    <x v="1"/>
    <x v="89"/>
    <x v="0"/>
    <x v="3"/>
    <n v="3695"/>
    <n v="3479"/>
    <n v="0"/>
    <n v="0"/>
    <n v="0"/>
    <n v="0"/>
    <n v="0"/>
    <n v="0"/>
    <n v="9"/>
    <n v="2434"/>
    <n v="2024"/>
    <x v="1"/>
    <x v="0"/>
    <x v="1"/>
  </r>
  <r>
    <x v="1"/>
    <x v="89"/>
    <x v="1"/>
    <x v="5"/>
    <n v="3"/>
    <n v="2"/>
    <n v="0"/>
    <n v="0"/>
    <n v="0"/>
    <n v="0"/>
    <n v="0"/>
    <n v="0"/>
    <n v="1"/>
    <n v="3"/>
    <n v="2024"/>
    <x v="1"/>
    <x v="0"/>
    <x v="1"/>
  </r>
  <r>
    <x v="1"/>
    <x v="89"/>
    <x v="1"/>
    <x v="6"/>
    <n v="830"/>
    <n v="802"/>
    <n v="0"/>
    <n v="0"/>
    <n v="0"/>
    <n v="0"/>
    <n v="0"/>
    <n v="0"/>
    <n v="0"/>
    <n v="3"/>
    <n v="2024"/>
    <x v="1"/>
    <x v="0"/>
    <x v="1"/>
  </r>
  <r>
    <x v="1"/>
    <x v="89"/>
    <x v="1"/>
    <x v="7"/>
    <n v="379"/>
    <n v="100"/>
    <n v="45"/>
    <n v="5"/>
    <n v="141137"/>
    <n v="47"/>
    <n v="127100"/>
    <n v="41"/>
    <n v="106"/>
    <n v="362"/>
    <n v="2024"/>
    <x v="1"/>
    <x v="0"/>
    <x v="1"/>
  </r>
  <r>
    <x v="1"/>
    <x v="89"/>
    <x v="1"/>
    <x v="8"/>
    <n v="15"/>
    <n v="2"/>
    <n v="1"/>
    <n v="0"/>
    <n v="3495"/>
    <n v="1"/>
    <n v="0"/>
    <n v="0"/>
    <n v="0"/>
    <n v="11"/>
    <n v="2024"/>
    <x v="1"/>
    <x v="0"/>
    <x v="1"/>
  </r>
  <r>
    <x v="1"/>
    <x v="89"/>
    <x v="1"/>
    <x v="9"/>
    <n v="4"/>
    <n v="1"/>
    <n v="0"/>
    <n v="0"/>
    <n v="0"/>
    <n v="0"/>
    <n v="0"/>
    <n v="0"/>
    <n v="1"/>
    <n v="4"/>
    <n v="2024"/>
    <x v="1"/>
    <x v="0"/>
    <x v="1"/>
  </r>
  <r>
    <x v="1"/>
    <x v="89"/>
    <x v="1"/>
    <x v="10"/>
    <n v="29"/>
    <n v="13"/>
    <n v="2"/>
    <n v="1"/>
    <n v="5037"/>
    <n v="2"/>
    <n v="3357"/>
    <n v="2"/>
    <n v="8"/>
    <n v="19"/>
    <n v="2024"/>
    <x v="1"/>
    <x v="0"/>
    <x v="1"/>
  </r>
  <r>
    <x v="1"/>
    <x v="89"/>
    <x v="1"/>
    <x v="11"/>
    <n v="1"/>
    <n v="1"/>
    <n v="0"/>
    <n v="0"/>
    <n v="0"/>
    <n v="0"/>
    <n v="0"/>
    <n v="0"/>
    <n v="0"/>
    <n v="1"/>
    <n v="2024"/>
    <x v="1"/>
    <x v="0"/>
    <x v="1"/>
  </r>
  <r>
    <x v="1"/>
    <x v="89"/>
    <x v="1"/>
    <x v="13"/>
    <n v="36"/>
    <n v="28"/>
    <n v="2"/>
    <n v="0"/>
    <n v="0"/>
    <n v="0"/>
    <n v="0"/>
    <n v="0"/>
    <n v="0"/>
    <n v="36"/>
    <n v="2024"/>
    <x v="1"/>
    <x v="0"/>
    <x v="1"/>
  </r>
  <r>
    <x v="1"/>
    <x v="89"/>
    <x v="1"/>
    <x v="59"/>
    <n v="2205"/>
    <n v="1535"/>
    <n v="9"/>
    <n v="7"/>
    <n v="41603.03"/>
    <n v="8"/>
    <n v="13832.03"/>
    <n v="5"/>
    <n v="67"/>
    <n v="413"/>
    <n v="2024"/>
    <x v="1"/>
    <x v="0"/>
    <x v="1"/>
  </r>
  <r>
    <x v="1"/>
    <x v="89"/>
    <x v="1"/>
    <x v="15"/>
    <n v="13"/>
    <n v="11"/>
    <n v="0"/>
    <n v="0"/>
    <n v="0"/>
    <n v="0"/>
    <n v="0"/>
    <n v="0"/>
    <n v="1"/>
    <n v="13"/>
    <n v="2024"/>
    <x v="1"/>
    <x v="0"/>
    <x v="1"/>
  </r>
  <r>
    <x v="1"/>
    <x v="89"/>
    <x v="1"/>
    <x v="16"/>
    <n v="32"/>
    <n v="8"/>
    <n v="1"/>
    <n v="0"/>
    <n v="0"/>
    <n v="0"/>
    <n v="0"/>
    <n v="0"/>
    <n v="3"/>
    <n v="32"/>
    <n v="2024"/>
    <x v="1"/>
    <x v="0"/>
    <x v="1"/>
  </r>
  <r>
    <x v="1"/>
    <x v="89"/>
    <x v="1"/>
    <x v="17"/>
    <n v="3"/>
    <n v="2"/>
    <n v="0"/>
    <n v="0"/>
    <n v="0"/>
    <n v="0"/>
    <n v="0"/>
    <n v="0"/>
    <n v="1"/>
    <n v="2"/>
    <n v="2024"/>
    <x v="1"/>
    <x v="0"/>
    <x v="1"/>
  </r>
  <r>
    <x v="1"/>
    <x v="89"/>
    <x v="1"/>
    <x v="18"/>
    <n v="7"/>
    <n v="3"/>
    <n v="0"/>
    <n v="1"/>
    <n v="2237"/>
    <n v="1"/>
    <n v="2237"/>
    <n v="1"/>
    <n v="2"/>
    <n v="7"/>
    <n v="2024"/>
    <x v="1"/>
    <x v="0"/>
    <x v="1"/>
  </r>
  <r>
    <x v="1"/>
    <x v="89"/>
    <x v="1"/>
    <x v="19"/>
    <n v="615"/>
    <n v="314"/>
    <n v="39"/>
    <n v="7"/>
    <n v="64842.92"/>
    <n v="25"/>
    <n v="59249.42"/>
    <n v="23"/>
    <n v="319"/>
    <n v="420"/>
    <n v="2024"/>
    <x v="1"/>
    <x v="0"/>
    <x v="1"/>
  </r>
  <r>
    <x v="1"/>
    <x v="89"/>
    <x v="1"/>
    <x v="20"/>
    <n v="11"/>
    <n v="7"/>
    <n v="1"/>
    <n v="0"/>
    <n v="0"/>
    <n v="0"/>
    <n v="0"/>
    <n v="0"/>
    <n v="3"/>
    <n v="9"/>
    <n v="2024"/>
    <x v="1"/>
    <x v="0"/>
    <x v="1"/>
  </r>
  <r>
    <x v="1"/>
    <x v="89"/>
    <x v="1"/>
    <x v="21"/>
    <n v="4"/>
    <n v="2"/>
    <n v="0"/>
    <n v="0"/>
    <n v="2996"/>
    <n v="1"/>
    <n v="1498"/>
    <n v="1"/>
    <n v="0"/>
    <n v="4"/>
    <n v="2024"/>
    <x v="1"/>
    <x v="0"/>
    <x v="1"/>
  </r>
  <r>
    <x v="1"/>
    <x v="89"/>
    <x v="1"/>
    <x v="22"/>
    <n v="2"/>
    <n v="2"/>
    <n v="0"/>
    <n v="0"/>
    <n v="0"/>
    <n v="0"/>
    <n v="0"/>
    <n v="0"/>
    <n v="0"/>
    <n v="0"/>
    <n v="2024"/>
    <x v="1"/>
    <x v="0"/>
    <x v="1"/>
  </r>
  <r>
    <x v="1"/>
    <x v="89"/>
    <x v="1"/>
    <x v="24"/>
    <n v="27"/>
    <n v="11"/>
    <n v="0"/>
    <n v="0"/>
    <n v="0"/>
    <n v="0"/>
    <n v="0"/>
    <n v="0"/>
    <n v="10"/>
    <n v="21"/>
    <n v="2024"/>
    <x v="1"/>
    <x v="0"/>
    <x v="1"/>
  </r>
  <r>
    <x v="1"/>
    <x v="89"/>
    <x v="1"/>
    <x v="27"/>
    <n v="267"/>
    <n v="90"/>
    <n v="14"/>
    <n v="5"/>
    <n v="42196"/>
    <n v="11"/>
    <n v="30958"/>
    <n v="10"/>
    <n v="59"/>
    <n v="254"/>
    <n v="2024"/>
    <x v="1"/>
    <x v="0"/>
    <x v="1"/>
  </r>
  <r>
    <x v="1"/>
    <x v="89"/>
    <x v="1"/>
    <x v="29"/>
    <n v="946"/>
    <n v="702"/>
    <n v="63"/>
    <n v="13"/>
    <n v="44055.5"/>
    <n v="16"/>
    <n v="40695.5"/>
    <n v="16"/>
    <n v="264"/>
    <n v="854"/>
    <n v="2024"/>
    <x v="1"/>
    <x v="0"/>
    <x v="1"/>
  </r>
  <r>
    <x v="1"/>
    <x v="89"/>
    <x v="1"/>
    <x v="30"/>
    <n v="4411"/>
    <n v="3042"/>
    <n v="128"/>
    <n v="59"/>
    <n v="59577"/>
    <n v="26"/>
    <n v="41852"/>
    <n v="19"/>
    <n v="535"/>
    <n v="3976"/>
    <n v="2024"/>
    <x v="1"/>
    <x v="0"/>
    <x v="1"/>
  </r>
  <r>
    <x v="1"/>
    <x v="89"/>
    <x v="1"/>
    <x v="31"/>
    <n v="91"/>
    <n v="57"/>
    <n v="3"/>
    <n v="2"/>
    <n v="7483"/>
    <n v="2"/>
    <n v="7483"/>
    <n v="2"/>
    <n v="17"/>
    <n v="87"/>
    <n v="2024"/>
    <x v="1"/>
    <x v="0"/>
    <x v="1"/>
  </r>
  <r>
    <x v="1"/>
    <x v="89"/>
    <x v="1"/>
    <x v="32"/>
    <n v="3"/>
    <n v="0"/>
    <n v="0"/>
    <n v="0"/>
    <n v="0"/>
    <n v="0"/>
    <n v="0"/>
    <n v="0"/>
    <n v="1"/>
    <n v="3"/>
    <n v="2024"/>
    <x v="1"/>
    <x v="0"/>
    <x v="1"/>
  </r>
  <r>
    <x v="1"/>
    <x v="89"/>
    <x v="1"/>
    <x v="34"/>
    <n v="209"/>
    <n v="110"/>
    <n v="15"/>
    <n v="6"/>
    <n v="59815"/>
    <n v="10"/>
    <n v="49826"/>
    <n v="7"/>
    <n v="96"/>
    <n v="173"/>
    <n v="2024"/>
    <x v="1"/>
    <x v="0"/>
    <x v="1"/>
  </r>
  <r>
    <x v="1"/>
    <x v="89"/>
    <x v="1"/>
    <x v="35"/>
    <n v="1"/>
    <n v="0"/>
    <n v="0"/>
    <n v="0"/>
    <n v="0"/>
    <n v="0"/>
    <n v="0"/>
    <n v="0"/>
    <n v="0"/>
    <n v="0"/>
    <n v="2024"/>
    <x v="1"/>
    <x v="0"/>
    <x v="1"/>
  </r>
  <r>
    <x v="1"/>
    <x v="89"/>
    <x v="1"/>
    <x v="36"/>
    <n v="2"/>
    <n v="2"/>
    <n v="0"/>
    <n v="0"/>
    <n v="0"/>
    <n v="0"/>
    <n v="0"/>
    <n v="0"/>
    <n v="0"/>
    <n v="2"/>
    <n v="2024"/>
    <x v="1"/>
    <x v="0"/>
    <x v="1"/>
  </r>
  <r>
    <x v="1"/>
    <x v="89"/>
    <x v="1"/>
    <x v="37"/>
    <n v="479"/>
    <n v="240"/>
    <n v="5"/>
    <n v="0"/>
    <n v="15069.03"/>
    <n v="3"/>
    <n v="15069.03"/>
    <n v="3"/>
    <n v="44"/>
    <n v="474"/>
    <n v="2024"/>
    <x v="1"/>
    <x v="0"/>
    <x v="1"/>
  </r>
  <r>
    <x v="1"/>
    <x v="89"/>
    <x v="1"/>
    <x v="38"/>
    <n v="344"/>
    <n v="73"/>
    <n v="32"/>
    <n v="7"/>
    <n v="75074"/>
    <n v="23"/>
    <n v="67196"/>
    <n v="22"/>
    <n v="84"/>
    <n v="328"/>
    <n v="2024"/>
    <x v="1"/>
    <x v="0"/>
    <x v="1"/>
  </r>
  <r>
    <x v="1"/>
    <x v="89"/>
    <x v="1"/>
    <x v="40"/>
    <n v="1"/>
    <n v="1"/>
    <n v="0"/>
    <n v="0"/>
    <n v="0"/>
    <n v="0"/>
    <n v="0"/>
    <n v="0"/>
    <n v="0"/>
    <n v="0"/>
    <n v="2024"/>
    <x v="1"/>
    <x v="0"/>
    <x v="1"/>
  </r>
  <r>
    <x v="1"/>
    <x v="89"/>
    <x v="1"/>
    <x v="41"/>
    <n v="3"/>
    <n v="0"/>
    <n v="0"/>
    <n v="0"/>
    <n v="0"/>
    <n v="0"/>
    <n v="0"/>
    <n v="0"/>
    <n v="1"/>
    <n v="3"/>
    <n v="2024"/>
    <x v="1"/>
    <x v="0"/>
    <x v="1"/>
  </r>
  <r>
    <x v="1"/>
    <x v="89"/>
    <x v="1"/>
    <x v="42"/>
    <n v="122"/>
    <n v="51"/>
    <n v="4"/>
    <n v="4"/>
    <n v="1498"/>
    <n v="1"/>
    <n v="1498"/>
    <n v="1"/>
    <n v="18"/>
    <n v="113"/>
    <n v="2024"/>
    <x v="1"/>
    <x v="0"/>
    <x v="1"/>
  </r>
  <r>
    <x v="1"/>
    <x v="89"/>
    <x v="1"/>
    <x v="43"/>
    <n v="126"/>
    <n v="65"/>
    <n v="3"/>
    <n v="0"/>
    <n v="0"/>
    <n v="0"/>
    <n v="0"/>
    <n v="0"/>
    <n v="80"/>
    <n v="76"/>
    <n v="2024"/>
    <x v="1"/>
    <x v="0"/>
    <x v="1"/>
  </r>
  <r>
    <x v="1"/>
    <x v="89"/>
    <x v="1"/>
    <x v="44"/>
    <n v="14"/>
    <n v="6"/>
    <n v="2"/>
    <n v="0"/>
    <n v="9488"/>
    <n v="3"/>
    <n v="7990"/>
    <n v="3"/>
    <n v="0"/>
    <n v="14"/>
    <n v="2024"/>
    <x v="1"/>
    <x v="0"/>
    <x v="1"/>
  </r>
  <r>
    <x v="1"/>
    <x v="89"/>
    <x v="1"/>
    <x v="45"/>
    <n v="19"/>
    <n v="15"/>
    <n v="0"/>
    <n v="0"/>
    <n v="0"/>
    <n v="0"/>
    <n v="0"/>
    <n v="0"/>
    <n v="0"/>
    <n v="19"/>
    <n v="2024"/>
    <x v="1"/>
    <x v="0"/>
    <x v="1"/>
  </r>
  <r>
    <x v="1"/>
    <x v="90"/>
    <x v="0"/>
    <x v="0"/>
    <n v="318"/>
    <n v="100"/>
    <n v="2"/>
    <n v="1"/>
    <n v="3304"/>
    <n v="1"/>
    <n v="3304"/>
    <n v="1"/>
    <n v="18"/>
    <n v="306"/>
    <n v="2024"/>
    <x v="1"/>
    <x v="0"/>
    <x v="1"/>
  </r>
  <r>
    <x v="1"/>
    <x v="90"/>
    <x v="0"/>
    <x v="1"/>
    <n v="17828"/>
    <n v="10174"/>
    <n v="193"/>
    <n v="97"/>
    <n v="173057"/>
    <n v="62"/>
    <n v="141734"/>
    <n v="54"/>
    <n v="841"/>
    <n v="17800"/>
    <n v="2024"/>
    <x v="1"/>
    <x v="0"/>
    <x v="1"/>
  </r>
  <r>
    <x v="1"/>
    <x v="90"/>
    <x v="0"/>
    <x v="2"/>
    <n v="2961"/>
    <n v="2392"/>
    <n v="18"/>
    <n v="5"/>
    <n v="15475"/>
    <n v="6"/>
    <n v="13795"/>
    <n v="5"/>
    <n v="2960"/>
    <n v="657"/>
    <n v="2024"/>
    <x v="1"/>
    <x v="0"/>
    <x v="1"/>
  </r>
  <r>
    <x v="1"/>
    <x v="90"/>
    <x v="0"/>
    <x v="3"/>
    <n v="2430"/>
    <n v="2235"/>
    <n v="2"/>
    <n v="0"/>
    <n v="0"/>
    <n v="0"/>
    <n v="0"/>
    <n v="0"/>
    <n v="15"/>
    <n v="1592"/>
    <n v="2024"/>
    <x v="1"/>
    <x v="0"/>
    <x v="1"/>
  </r>
  <r>
    <x v="1"/>
    <x v="90"/>
    <x v="1"/>
    <x v="5"/>
    <n v="5"/>
    <n v="4"/>
    <n v="0"/>
    <n v="0"/>
    <n v="0"/>
    <n v="0"/>
    <n v="0"/>
    <n v="0"/>
    <n v="0"/>
    <n v="5"/>
    <n v="2024"/>
    <x v="1"/>
    <x v="0"/>
    <x v="1"/>
  </r>
  <r>
    <x v="1"/>
    <x v="90"/>
    <x v="1"/>
    <x v="6"/>
    <n v="592"/>
    <n v="562"/>
    <n v="0"/>
    <n v="0"/>
    <n v="0"/>
    <n v="0"/>
    <n v="0"/>
    <n v="0"/>
    <n v="2"/>
    <n v="1"/>
    <n v="2024"/>
    <x v="1"/>
    <x v="0"/>
    <x v="1"/>
  </r>
  <r>
    <x v="1"/>
    <x v="90"/>
    <x v="1"/>
    <x v="7"/>
    <n v="440"/>
    <n v="97"/>
    <n v="51"/>
    <n v="3"/>
    <n v="167059.5"/>
    <n v="55"/>
    <n v="137361.5"/>
    <n v="51"/>
    <n v="119"/>
    <n v="422"/>
    <n v="2024"/>
    <x v="1"/>
    <x v="0"/>
    <x v="1"/>
  </r>
  <r>
    <x v="1"/>
    <x v="90"/>
    <x v="1"/>
    <x v="8"/>
    <n v="7"/>
    <n v="1"/>
    <n v="0"/>
    <n v="0"/>
    <n v="0"/>
    <n v="0"/>
    <n v="0"/>
    <n v="0"/>
    <n v="0"/>
    <n v="6"/>
    <n v="2024"/>
    <x v="1"/>
    <x v="0"/>
    <x v="1"/>
  </r>
  <r>
    <x v="1"/>
    <x v="90"/>
    <x v="1"/>
    <x v="9"/>
    <n v="1"/>
    <n v="0"/>
    <n v="0"/>
    <n v="0"/>
    <n v="0"/>
    <n v="0"/>
    <n v="0"/>
    <n v="0"/>
    <n v="0"/>
    <n v="1"/>
    <n v="2024"/>
    <x v="1"/>
    <x v="0"/>
    <x v="1"/>
  </r>
  <r>
    <x v="1"/>
    <x v="90"/>
    <x v="1"/>
    <x v="10"/>
    <n v="23"/>
    <n v="6"/>
    <n v="0"/>
    <n v="1"/>
    <n v="1677"/>
    <n v="1"/>
    <n v="1677"/>
    <n v="1"/>
    <n v="4"/>
    <n v="18"/>
    <n v="2024"/>
    <x v="1"/>
    <x v="0"/>
    <x v="1"/>
  </r>
  <r>
    <x v="1"/>
    <x v="90"/>
    <x v="1"/>
    <x v="11"/>
    <n v="1"/>
    <n v="1"/>
    <n v="0"/>
    <n v="1"/>
    <n v="0"/>
    <n v="0"/>
    <n v="0"/>
    <n v="0"/>
    <n v="0"/>
    <n v="1"/>
    <n v="2024"/>
    <x v="1"/>
    <x v="0"/>
    <x v="1"/>
  </r>
  <r>
    <x v="1"/>
    <x v="90"/>
    <x v="1"/>
    <x v="13"/>
    <n v="63"/>
    <n v="44"/>
    <n v="0"/>
    <n v="0"/>
    <n v="0"/>
    <n v="0"/>
    <n v="0"/>
    <n v="0"/>
    <n v="2"/>
    <n v="63"/>
    <n v="2024"/>
    <x v="1"/>
    <x v="0"/>
    <x v="1"/>
  </r>
  <r>
    <x v="1"/>
    <x v="90"/>
    <x v="1"/>
    <x v="59"/>
    <n v="820"/>
    <n v="380"/>
    <n v="8"/>
    <n v="8"/>
    <n v="25443.040000000001"/>
    <n v="10"/>
    <n v="19390.04"/>
    <n v="9"/>
    <n v="66"/>
    <n v="503"/>
    <n v="2024"/>
    <x v="1"/>
    <x v="0"/>
    <x v="1"/>
  </r>
  <r>
    <x v="1"/>
    <x v="90"/>
    <x v="1"/>
    <x v="15"/>
    <n v="11"/>
    <n v="10"/>
    <n v="0"/>
    <n v="0"/>
    <n v="0"/>
    <n v="0"/>
    <n v="0"/>
    <n v="0"/>
    <n v="1"/>
    <n v="11"/>
    <n v="2024"/>
    <x v="1"/>
    <x v="0"/>
    <x v="1"/>
  </r>
  <r>
    <x v="1"/>
    <x v="90"/>
    <x v="1"/>
    <x v="16"/>
    <n v="26"/>
    <n v="7"/>
    <n v="0"/>
    <n v="0"/>
    <n v="0"/>
    <n v="0"/>
    <n v="0"/>
    <n v="0"/>
    <n v="2"/>
    <n v="26"/>
    <n v="2024"/>
    <x v="1"/>
    <x v="0"/>
    <x v="1"/>
  </r>
  <r>
    <x v="1"/>
    <x v="90"/>
    <x v="1"/>
    <x v="17"/>
    <n v="1"/>
    <n v="1"/>
    <n v="0"/>
    <n v="0"/>
    <n v="0"/>
    <n v="0"/>
    <n v="0"/>
    <n v="0"/>
    <n v="1"/>
    <n v="0"/>
    <n v="2024"/>
    <x v="1"/>
    <x v="0"/>
    <x v="1"/>
  </r>
  <r>
    <x v="1"/>
    <x v="90"/>
    <x v="1"/>
    <x v="18"/>
    <n v="9"/>
    <n v="9"/>
    <n v="4"/>
    <n v="1"/>
    <n v="5777"/>
    <n v="3"/>
    <n v="3540"/>
    <n v="2"/>
    <n v="0"/>
    <n v="9"/>
    <n v="2024"/>
    <x v="1"/>
    <x v="0"/>
    <x v="1"/>
  </r>
  <r>
    <x v="1"/>
    <x v="90"/>
    <x v="1"/>
    <x v="19"/>
    <n v="646"/>
    <n v="320"/>
    <n v="26"/>
    <n v="10"/>
    <n v="37768.42"/>
    <n v="19"/>
    <n v="29378.42"/>
    <n v="15"/>
    <n v="353"/>
    <n v="477"/>
    <n v="2024"/>
    <x v="1"/>
    <x v="0"/>
    <x v="1"/>
  </r>
  <r>
    <x v="1"/>
    <x v="90"/>
    <x v="1"/>
    <x v="20"/>
    <n v="16"/>
    <n v="8"/>
    <n v="3"/>
    <n v="0"/>
    <n v="8049"/>
    <n v="1"/>
    <n v="4024.5"/>
    <n v="1"/>
    <n v="1"/>
    <n v="16"/>
    <n v="2024"/>
    <x v="1"/>
    <x v="0"/>
    <x v="1"/>
  </r>
  <r>
    <x v="1"/>
    <x v="90"/>
    <x v="1"/>
    <x v="21"/>
    <n v="5"/>
    <n v="2"/>
    <n v="0"/>
    <n v="0"/>
    <n v="0"/>
    <n v="0"/>
    <n v="0"/>
    <n v="0"/>
    <n v="0"/>
    <n v="5"/>
    <n v="2024"/>
    <x v="1"/>
    <x v="0"/>
    <x v="1"/>
  </r>
  <r>
    <x v="1"/>
    <x v="90"/>
    <x v="1"/>
    <x v="50"/>
    <n v="1"/>
    <n v="0"/>
    <n v="0"/>
    <n v="0"/>
    <n v="0"/>
    <n v="0"/>
    <n v="0"/>
    <n v="0"/>
    <n v="0"/>
    <n v="0"/>
    <n v="2024"/>
    <x v="1"/>
    <x v="0"/>
    <x v="1"/>
  </r>
  <r>
    <x v="1"/>
    <x v="90"/>
    <x v="1"/>
    <x v="22"/>
    <n v="1"/>
    <n v="1"/>
    <n v="0"/>
    <n v="0"/>
    <n v="0"/>
    <n v="0"/>
    <n v="0"/>
    <n v="0"/>
    <n v="0"/>
    <n v="0"/>
    <n v="2024"/>
    <x v="1"/>
    <x v="0"/>
    <x v="1"/>
  </r>
  <r>
    <x v="1"/>
    <x v="90"/>
    <x v="1"/>
    <x v="24"/>
    <n v="39"/>
    <n v="22"/>
    <n v="1"/>
    <n v="0"/>
    <n v="4975"/>
    <n v="2"/>
    <n v="4975"/>
    <n v="2"/>
    <n v="8"/>
    <n v="34"/>
    <n v="2024"/>
    <x v="1"/>
    <x v="0"/>
    <x v="1"/>
  </r>
  <r>
    <x v="1"/>
    <x v="90"/>
    <x v="1"/>
    <x v="27"/>
    <n v="415"/>
    <n v="176"/>
    <n v="35"/>
    <n v="6"/>
    <n v="38892.04"/>
    <n v="18"/>
    <n v="35948.04"/>
    <n v="17"/>
    <n v="105"/>
    <n v="402"/>
    <n v="2024"/>
    <x v="1"/>
    <x v="0"/>
    <x v="1"/>
  </r>
  <r>
    <x v="1"/>
    <x v="90"/>
    <x v="1"/>
    <x v="28"/>
    <n v="1"/>
    <n v="1"/>
    <n v="0"/>
    <n v="0"/>
    <n v="0"/>
    <n v="0"/>
    <n v="0"/>
    <n v="0"/>
    <n v="0"/>
    <n v="1"/>
    <n v="2024"/>
    <x v="1"/>
    <x v="0"/>
    <x v="1"/>
  </r>
  <r>
    <x v="1"/>
    <x v="90"/>
    <x v="1"/>
    <x v="29"/>
    <n v="963"/>
    <n v="722"/>
    <n v="53"/>
    <n v="12"/>
    <n v="46373"/>
    <n v="20"/>
    <n v="44693"/>
    <n v="19"/>
    <n v="256"/>
    <n v="881"/>
    <n v="2024"/>
    <x v="1"/>
    <x v="0"/>
    <x v="1"/>
  </r>
  <r>
    <x v="1"/>
    <x v="90"/>
    <x v="1"/>
    <x v="30"/>
    <n v="3442"/>
    <n v="2281"/>
    <n v="96"/>
    <n v="41"/>
    <n v="42580.01"/>
    <n v="23"/>
    <n v="30656.5"/>
    <n v="16"/>
    <n v="490"/>
    <n v="3194"/>
    <n v="2024"/>
    <x v="1"/>
    <x v="0"/>
    <x v="1"/>
  </r>
  <r>
    <x v="1"/>
    <x v="90"/>
    <x v="1"/>
    <x v="31"/>
    <n v="100"/>
    <n v="68"/>
    <n v="3"/>
    <n v="3"/>
    <n v="4763"/>
    <n v="3"/>
    <n v="2983"/>
    <n v="2"/>
    <n v="16"/>
    <n v="99"/>
    <n v="2024"/>
    <x v="1"/>
    <x v="0"/>
    <x v="1"/>
  </r>
  <r>
    <x v="1"/>
    <x v="90"/>
    <x v="1"/>
    <x v="32"/>
    <n v="4"/>
    <n v="2"/>
    <n v="1"/>
    <n v="0"/>
    <n v="0"/>
    <n v="0"/>
    <n v="0"/>
    <n v="0"/>
    <n v="2"/>
    <n v="4"/>
    <n v="2024"/>
    <x v="1"/>
    <x v="0"/>
    <x v="1"/>
  </r>
  <r>
    <x v="1"/>
    <x v="90"/>
    <x v="1"/>
    <x v="34"/>
    <n v="235"/>
    <n v="108"/>
    <n v="10"/>
    <n v="4"/>
    <n v="12651"/>
    <n v="5"/>
    <n v="12651"/>
    <n v="5"/>
    <n v="87"/>
    <n v="202"/>
    <n v="2024"/>
    <x v="1"/>
    <x v="0"/>
    <x v="1"/>
  </r>
  <r>
    <x v="1"/>
    <x v="90"/>
    <x v="1"/>
    <x v="36"/>
    <n v="2"/>
    <n v="2"/>
    <n v="0"/>
    <n v="0"/>
    <n v="0"/>
    <n v="0"/>
    <n v="0"/>
    <n v="0"/>
    <n v="0"/>
    <n v="2"/>
    <n v="2024"/>
    <x v="1"/>
    <x v="0"/>
    <x v="1"/>
  </r>
  <r>
    <x v="1"/>
    <x v="90"/>
    <x v="1"/>
    <x v="37"/>
    <n v="596"/>
    <n v="334"/>
    <n v="8"/>
    <n v="0"/>
    <n v="11160.43"/>
    <n v="7"/>
    <n v="9857.43"/>
    <n v="6"/>
    <n v="67"/>
    <n v="587"/>
    <n v="2024"/>
    <x v="1"/>
    <x v="0"/>
    <x v="1"/>
  </r>
  <r>
    <x v="1"/>
    <x v="90"/>
    <x v="1"/>
    <x v="38"/>
    <n v="345"/>
    <n v="85"/>
    <n v="23"/>
    <n v="7"/>
    <n v="56445.04"/>
    <n v="20"/>
    <n v="48712.04"/>
    <n v="18"/>
    <n v="101"/>
    <n v="327"/>
    <n v="2024"/>
    <x v="1"/>
    <x v="0"/>
    <x v="1"/>
  </r>
  <r>
    <x v="1"/>
    <x v="90"/>
    <x v="1"/>
    <x v="40"/>
    <n v="1"/>
    <n v="0"/>
    <n v="0"/>
    <n v="0"/>
    <n v="0"/>
    <n v="0"/>
    <n v="0"/>
    <n v="0"/>
    <n v="0"/>
    <n v="1"/>
    <n v="2024"/>
    <x v="1"/>
    <x v="0"/>
    <x v="1"/>
  </r>
  <r>
    <x v="1"/>
    <x v="90"/>
    <x v="1"/>
    <x v="41"/>
    <n v="2"/>
    <n v="0"/>
    <n v="0"/>
    <n v="0"/>
    <n v="0"/>
    <n v="0"/>
    <n v="0"/>
    <n v="0"/>
    <n v="0"/>
    <n v="2"/>
    <n v="2024"/>
    <x v="1"/>
    <x v="0"/>
    <x v="1"/>
  </r>
  <r>
    <x v="1"/>
    <x v="90"/>
    <x v="1"/>
    <x v="42"/>
    <n v="127"/>
    <n v="57"/>
    <n v="3"/>
    <n v="2"/>
    <n v="0"/>
    <n v="0"/>
    <n v="0"/>
    <n v="0"/>
    <n v="19"/>
    <n v="112"/>
    <n v="2024"/>
    <x v="1"/>
    <x v="0"/>
    <x v="1"/>
  </r>
  <r>
    <x v="1"/>
    <x v="90"/>
    <x v="1"/>
    <x v="43"/>
    <n v="128"/>
    <n v="56"/>
    <n v="3"/>
    <n v="1"/>
    <n v="3834"/>
    <n v="1"/>
    <n v="1917"/>
    <n v="1"/>
    <n v="86"/>
    <n v="76"/>
    <n v="2024"/>
    <x v="1"/>
    <x v="0"/>
    <x v="1"/>
  </r>
  <r>
    <x v="1"/>
    <x v="90"/>
    <x v="1"/>
    <x v="44"/>
    <n v="12"/>
    <n v="3"/>
    <n v="1"/>
    <n v="1"/>
    <n v="4758"/>
    <n v="3"/>
    <n v="4758"/>
    <n v="3"/>
    <n v="0"/>
    <n v="12"/>
    <n v="2024"/>
    <x v="1"/>
    <x v="0"/>
    <x v="1"/>
  </r>
  <r>
    <x v="1"/>
    <x v="90"/>
    <x v="1"/>
    <x v="45"/>
    <n v="22"/>
    <n v="18"/>
    <n v="1"/>
    <n v="0"/>
    <n v="0"/>
    <n v="0"/>
    <n v="0"/>
    <n v="0"/>
    <n v="0"/>
    <n v="22"/>
    <n v="2024"/>
    <x v="1"/>
    <x v="0"/>
    <x v="1"/>
  </r>
  <r>
    <x v="1"/>
    <x v="91"/>
    <x v="0"/>
    <x v="0"/>
    <n v="323"/>
    <n v="68"/>
    <n v="3"/>
    <n v="0"/>
    <n v="0"/>
    <n v="0"/>
    <n v="0"/>
    <n v="0"/>
    <n v="11"/>
    <n v="319"/>
    <n v="2024"/>
    <x v="1"/>
    <x v="0"/>
    <x v="1"/>
  </r>
  <r>
    <x v="1"/>
    <x v="91"/>
    <x v="0"/>
    <x v="1"/>
    <n v="15876"/>
    <n v="8356"/>
    <n v="226"/>
    <n v="106"/>
    <n v="200780.96"/>
    <n v="51"/>
    <n v="151864"/>
    <n v="42"/>
    <n v="790"/>
    <n v="15856"/>
    <n v="2024"/>
    <x v="1"/>
    <x v="0"/>
    <x v="1"/>
  </r>
  <r>
    <x v="1"/>
    <x v="91"/>
    <x v="0"/>
    <x v="2"/>
    <n v="3037"/>
    <n v="2443"/>
    <n v="14"/>
    <n v="6"/>
    <n v="56801.5"/>
    <n v="5"/>
    <n v="43456.5"/>
    <n v="4"/>
    <n v="3037"/>
    <n v="611"/>
    <n v="2024"/>
    <x v="1"/>
    <x v="0"/>
    <x v="1"/>
  </r>
  <r>
    <x v="1"/>
    <x v="91"/>
    <x v="0"/>
    <x v="3"/>
    <n v="34"/>
    <n v="24"/>
    <n v="0"/>
    <n v="0"/>
    <n v="0"/>
    <n v="0"/>
    <n v="0"/>
    <n v="0"/>
    <n v="0"/>
    <n v="33"/>
    <n v="2024"/>
    <x v="1"/>
    <x v="0"/>
    <x v="1"/>
  </r>
  <r>
    <x v="1"/>
    <x v="91"/>
    <x v="1"/>
    <x v="5"/>
    <n v="2"/>
    <n v="2"/>
    <n v="0"/>
    <n v="0"/>
    <n v="0"/>
    <n v="0"/>
    <n v="0"/>
    <n v="0"/>
    <n v="0"/>
    <n v="2"/>
    <n v="2024"/>
    <x v="1"/>
    <x v="0"/>
    <x v="1"/>
  </r>
  <r>
    <x v="1"/>
    <x v="91"/>
    <x v="1"/>
    <x v="6"/>
    <n v="2"/>
    <n v="0"/>
    <n v="0"/>
    <n v="0"/>
    <n v="0"/>
    <n v="0"/>
    <n v="0"/>
    <n v="0"/>
    <n v="0"/>
    <n v="0"/>
    <n v="2024"/>
    <x v="1"/>
    <x v="0"/>
    <x v="1"/>
  </r>
  <r>
    <x v="1"/>
    <x v="91"/>
    <x v="1"/>
    <x v="7"/>
    <n v="421"/>
    <n v="108"/>
    <n v="54"/>
    <n v="1"/>
    <n v="180566.79"/>
    <n v="49"/>
    <n v="138509.79"/>
    <n v="45"/>
    <n v="108"/>
    <n v="412"/>
    <n v="2024"/>
    <x v="1"/>
    <x v="0"/>
    <x v="1"/>
  </r>
  <r>
    <x v="1"/>
    <x v="91"/>
    <x v="1"/>
    <x v="8"/>
    <n v="13"/>
    <n v="1"/>
    <n v="1"/>
    <n v="0"/>
    <n v="0"/>
    <n v="0"/>
    <n v="0"/>
    <n v="0"/>
    <n v="0"/>
    <n v="13"/>
    <n v="2024"/>
    <x v="1"/>
    <x v="0"/>
    <x v="1"/>
  </r>
  <r>
    <x v="1"/>
    <x v="91"/>
    <x v="1"/>
    <x v="9"/>
    <n v="4"/>
    <n v="2"/>
    <n v="0"/>
    <n v="0"/>
    <n v="0"/>
    <n v="0"/>
    <n v="0"/>
    <n v="0"/>
    <n v="0"/>
    <n v="4"/>
    <n v="2024"/>
    <x v="1"/>
    <x v="0"/>
    <x v="1"/>
  </r>
  <r>
    <x v="1"/>
    <x v="91"/>
    <x v="1"/>
    <x v="10"/>
    <n v="20"/>
    <n v="9"/>
    <n v="1"/>
    <n v="1"/>
    <n v="0"/>
    <n v="0"/>
    <n v="0"/>
    <n v="0"/>
    <n v="4"/>
    <n v="17"/>
    <n v="2024"/>
    <x v="1"/>
    <x v="0"/>
    <x v="1"/>
  </r>
  <r>
    <x v="1"/>
    <x v="91"/>
    <x v="1"/>
    <x v="13"/>
    <n v="56"/>
    <n v="33"/>
    <n v="2"/>
    <n v="1"/>
    <n v="0"/>
    <n v="0"/>
    <n v="0"/>
    <n v="0"/>
    <n v="0"/>
    <n v="56"/>
    <n v="2024"/>
    <x v="1"/>
    <x v="0"/>
    <x v="1"/>
  </r>
  <r>
    <x v="1"/>
    <x v="91"/>
    <x v="1"/>
    <x v="59"/>
    <n v="503"/>
    <n v="169"/>
    <n v="14"/>
    <n v="11"/>
    <n v="12171.5"/>
    <n v="5"/>
    <n v="12171.5"/>
    <n v="5"/>
    <n v="67"/>
    <n v="465"/>
    <n v="2024"/>
    <x v="1"/>
    <x v="0"/>
    <x v="1"/>
  </r>
  <r>
    <x v="1"/>
    <x v="91"/>
    <x v="1"/>
    <x v="15"/>
    <n v="8"/>
    <n v="8"/>
    <n v="0"/>
    <n v="0"/>
    <n v="0"/>
    <n v="0"/>
    <n v="0"/>
    <n v="0"/>
    <n v="0"/>
    <n v="8"/>
    <n v="2024"/>
    <x v="1"/>
    <x v="0"/>
    <x v="1"/>
  </r>
  <r>
    <x v="1"/>
    <x v="91"/>
    <x v="1"/>
    <x v="16"/>
    <n v="16"/>
    <n v="2"/>
    <n v="0"/>
    <n v="0"/>
    <n v="0"/>
    <n v="0"/>
    <n v="0"/>
    <n v="0"/>
    <n v="1"/>
    <n v="16"/>
    <n v="2024"/>
    <x v="1"/>
    <x v="0"/>
    <x v="1"/>
  </r>
  <r>
    <x v="1"/>
    <x v="91"/>
    <x v="1"/>
    <x v="17"/>
    <n v="1"/>
    <n v="1"/>
    <n v="0"/>
    <n v="0"/>
    <n v="0"/>
    <n v="0"/>
    <n v="0"/>
    <n v="0"/>
    <n v="0"/>
    <n v="1"/>
    <n v="2024"/>
    <x v="1"/>
    <x v="0"/>
    <x v="1"/>
  </r>
  <r>
    <x v="1"/>
    <x v="91"/>
    <x v="1"/>
    <x v="18"/>
    <n v="7"/>
    <n v="5"/>
    <n v="2"/>
    <n v="0"/>
    <n v="1488"/>
    <n v="1"/>
    <n v="1488"/>
    <n v="1"/>
    <n v="0"/>
    <n v="6"/>
    <n v="2024"/>
    <x v="1"/>
    <x v="0"/>
    <x v="1"/>
  </r>
  <r>
    <x v="1"/>
    <x v="91"/>
    <x v="1"/>
    <x v="19"/>
    <n v="562"/>
    <n v="270"/>
    <n v="23"/>
    <n v="10"/>
    <n v="60195.5"/>
    <n v="12"/>
    <n v="60195.5"/>
    <n v="12"/>
    <n v="284"/>
    <n v="413"/>
    <n v="2024"/>
    <x v="1"/>
    <x v="0"/>
    <x v="1"/>
  </r>
  <r>
    <x v="1"/>
    <x v="91"/>
    <x v="1"/>
    <x v="20"/>
    <n v="13"/>
    <n v="9"/>
    <n v="0"/>
    <n v="0"/>
    <n v="0"/>
    <n v="0"/>
    <n v="0"/>
    <n v="0"/>
    <n v="3"/>
    <n v="12"/>
    <n v="2024"/>
    <x v="1"/>
    <x v="0"/>
    <x v="1"/>
  </r>
  <r>
    <x v="1"/>
    <x v="91"/>
    <x v="1"/>
    <x v="21"/>
    <n v="7"/>
    <n v="4"/>
    <n v="0"/>
    <n v="0"/>
    <n v="0"/>
    <n v="0"/>
    <n v="0"/>
    <n v="0"/>
    <n v="1"/>
    <n v="7"/>
    <n v="2024"/>
    <x v="1"/>
    <x v="0"/>
    <x v="1"/>
  </r>
  <r>
    <x v="1"/>
    <x v="91"/>
    <x v="1"/>
    <x v="24"/>
    <n v="23"/>
    <n v="11"/>
    <n v="1"/>
    <n v="0"/>
    <n v="2488"/>
    <n v="1"/>
    <n v="0"/>
    <n v="0"/>
    <n v="4"/>
    <n v="22"/>
    <n v="2024"/>
    <x v="1"/>
    <x v="0"/>
    <x v="1"/>
  </r>
  <r>
    <x v="1"/>
    <x v="91"/>
    <x v="1"/>
    <x v="27"/>
    <n v="86"/>
    <n v="35"/>
    <n v="11"/>
    <n v="3"/>
    <n v="37860"/>
    <n v="7"/>
    <n v="33460"/>
    <n v="6"/>
    <n v="33"/>
    <n v="75"/>
    <n v="2024"/>
    <x v="1"/>
    <x v="0"/>
    <x v="1"/>
  </r>
  <r>
    <x v="1"/>
    <x v="91"/>
    <x v="1"/>
    <x v="29"/>
    <n v="866"/>
    <n v="612"/>
    <n v="65"/>
    <n v="10"/>
    <n v="74525.95"/>
    <n v="18"/>
    <n v="68153.95"/>
    <n v="16"/>
    <n v="229"/>
    <n v="797"/>
    <n v="2024"/>
    <x v="1"/>
    <x v="0"/>
    <x v="1"/>
  </r>
  <r>
    <x v="1"/>
    <x v="91"/>
    <x v="1"/>
    <x v="30"/>
    <n v="3054"/>
    <n v="1955"/>
    <n v="107"/>
    <n v="43"/>
    <n v="36100.5"/>
    <n v="10"/>
    <n v="36100.5"/>
    <n v="10"/>
    <n v="467"/>
    <n v="2914"/>
    <n v="2024"/>
    <x v="1"/>
    <x v="0"/>
    <x v="1"/>
  </r>
  <r>
    <x v="1"/>
    <x v="91"/>
    <x v="1"/>
    <x v="31"/>
    <n v="92"/>
    <n v="56"/>
    <n v="8"/>
    <n v="0"/>
    <n v="3160.87"/>
    <n v="2"/>
    <n v="3160.87"/>
    <n v="2"/>
    <n v="18"/>
    <n v="89"/>
    <n v="2024"/>
    <x v="1"/>
    <x v="0"/>
    <x v="1"/>
  </r>
  <r>
    <x v="1"/>
    <x v="91"/>
    <x v="1"/>
    <x v="32"/>
    <n v="9"/>
    <n v="2"/>
    <n v="1"/>
    <n v="1"/>
    <n v="0"/>
    <n v="0"/>
    <n v="0"/>
    <n v="0"/>
    <n v="4"/>
    <n v="9"/>
    <n v="2024"/>
    <x v="1"/>
    <x v="0"/>
    <x v="1"/>
  </r>
  <r>
    <x v="1"/>
    <x v="91"/>
    <x v="1"/>
    <x v="34"/>
    <n v="209"/>
    <n v="86"/>
    <n v="17"/>
    <n v="7"/>
    <n v="27632"/>
    <n v="5"/>
    <n v="27632"/>
    <n v="5"/>
    <n v="93"/>
    <n v="177"/>
    <n v="2024"/>
    <x v="1"/>
    <x v="0"/>
    <x v="1"/>
  </r>
  <r>
    <x v="1"/>
    <x v="91"/>
    <x v="1"/>
    <x v="37"/>
    <n v="641"/>
    <n v="364"/>
    <n v="7"/>
    <n v="0"/>
    <n v="6122.5"/>
    <n v="4"/>
    <n v="6122.5"/>
    <n v="4"/>
    <n v="86"/>
    <n v="639"/>
    <n v="2024"/>
    <x v="1"/>
    <x v="0"/>
    <x v="1"/>
  </r>
  <r>
    <x v="1"/>
    <x v="91"/>
    <x v="1"/>
    <x v="38"/>
    <n v="333"/>
    <n v="70"/>
    <n v="22"/>
    <n v="3"/>
    <n v="53072.05"/>
    <n v="14"/>
    <n v="43782.05"/>
    <n v="13"/>
    <n v="89"/>
    <n v="312"/>
    <n v="2024"/>
    <x v="1"/>
    <x v="0"/>
    <x v="1"/>
  </r>
  <r>
    <x v="1"/>
    <x v="91"/>
    <x v="1"/>
    <x v="39"/>
    <n v="1"/>
    <n v="0"/>
    <n v="0"/>
    <n v="0"/>
    <n v="0"/>
    <n v="0"/>
    <n v="0"/>
    <n v="0"/>
    <n v="0"/>
    <n v="1"/>
    <n v="2024"/>
    <x v="1"/>
    <x v="0"/>
    <x v="1"/>
  </r>
  <r>
    <x v="1"/>
    <x v="91"/>
    <x v="1"/>
    <x v="40"/>
    <n v="1"/>
    <n v="0"/>
    <n v="0"/>
    <n v="0"/>
    <n v="0"/>
    <n v="0"/>
    <n v="0"/>
    <n v="0"/>
    <n v="0"/>
    <n v="1"/>
    <n v="2024"/>
    <x v="1"/>
    <x v="0"/>
    <x v="1"/>
  </r>
  <r>
    <x v="1"/>
    <x v="91"/>
    <x v="1"/>
    <x v="41"/>
    <n v="3"/>
    <n v="1"/>
    <n v="0"/>
    <n v="0"/>
    <n v="0"/>
    <n v="0"/>
    <n v="0"/>
    <n v="0"/>
    <n v="1"/>
    <n v="3"/>
    <n v="2024"/>
    <x v="1"/>
    <x v="0"/>
    <x v="1"/>
  </r>
  <r>
    <x v="1"/>
    <x v="91"/>
    <x v="1"/>
    <x v="42"/>
    <n v="142"/>
    <n v="64"/>
    <n v="4"/>
    <n v="1"/>
    <n v="5072.5"/>
    <n v="3"/>
    <n v="2475"/>
    <n v="2"/>
    <n v="19"/>
    <n v="132"/>
    <n v="2024"/>
    <x v="1"/>
    <x v="0"/>
    <x v="1"/>
  </r>
  <r>
    <x v="1"/>
    <x v="91"/>
    <x v="1"/>
    <x v="43"/>
    <n v="131"/>
    <n v="55"/>
    <n v="3"/>
    <n v="3"/>
    <n v="1280"/>
    <n v="1"/>
    <n v="1280"/>
    <n v="1"/>
    <n v="82"/>
    <n v="85"/>
    <n v="2024"/>
    <x v="1"/>
    <x v="0"/>
    <x v="1"/>
  </r>
  <r>
    <x v="1"/>
    <x v="91"/>
    <x v="1"/>
    <x v="44"/>
    <n v="9"/>
    <n v="4"/>
    <n v="0"/>
    <n v="0"/>
    <n v="6946"/>
    <n v="3"/>
    <n v="6946"/>
    <n v="3"/>
    <n v="0"/>
    <n v="9"/>
    <n v="2024"/>
    <x v="1"/>
    <x v="0"/>
    <x v="1"/>
  </r>
  <r>
    <x v="1"/>
    <x v="91"/>
    <x v="1"/>
    <x v="45"/>
    <n v="27"/>
    <n v="20"/>
    <n v="3"/>
    <n v="0"/>
    <n v="0"/>
    <n v="0"/>
    <n v="0"/>
    <n v="0"/>
    <n v="0"/>
    <n v="27"/>
    <n v="2024"/>
    <x v="1"/>
    <x v="0"/>
    <x v="1"/>
  </r>
  <r>
    <x v="1"/>
    <x v="92"/>
    <x v="0"/>
    <x v="0"/>
    <n v="362"/>
    <n v="93"/>
    <n v="1"/>
    <n v="0"/>
    <n v="3220"/>
    <n v="2"/>
    <n v="3220"/>
    <n v="2"/>
    <n v="12"/>
    <n v="353"/>
    <n v="2024"/>
    <x v="1"/>
    <x v="0"/>
    <x v="1"/>
  </r>
  <r>
    <x v="1"/>
    <x v="92"/>
    <x v="0"/>
    <x v="1"/>
    <n v="16698"/>
    <n v="8797"/>
    <n v="229"/>
    <n v="100"/>
    <n v="155721.5"/>
    <n v="48"/>
    <n v="118720.5"/>
    <n v="40"/>
    <n v="803"/>
    <n v="16674"/>
    <n v="2024"/>
    <x v="1"/>
    <x v="0"/>
    <x v="1"/>
  </r>
  <r>
    <x v="1"/>
    <x v="92"/>
    <x v="0"/>
    <x v="2"/>
    <n v="3329"/>
    <n v="2758"/>
    <n v="19"/>
    <n v="7"/>
    <n v="17167.5"/>
    <n v="8"/>
    <n v="17167.5"/>
    <n v="8"/>
    <n v="3328"/>
    <n v="626"/>
    <n v="2024"/>
    <x v="1"/>
    <x v="0"/>
    <x v="1"/>
  </r>
  <r>
    <x v="1"/>
    <x v="92"/>
    <x v="0"/>
    <x v="3"/>
    <n v="2573"/>
    <n v="2373"/>
    <n v="2"/>
    <n v="1"/>
    <n v="0"/>
    <n v="0"/>
    <n v="0"/>
    <n v="0"/>
    <n v="12"/>
    <n v="1968"/>
    <n v="2024"/>
    <x v="1"/>
    <x v="0"/>
    <x v="1"/>
  </r>
  <r>
    <x v="1"/>
    <x v="92"/>
    <x v="1"/>
    <x v="5"/>
    <n v="7"/>
    <n v="6"/>
    <n v="0"/>
    <n v="1"/>
    <n v="0"/>
    <n v="0"/>
    <n v="0"/>
    <n v="0"/>
    <n v="0"/>
    <n v="7"/>
    <n v="2024"/>
    <x v="1"/>
    <x v="0"/>
    <x v="1"/>
  </r>
  <r>
    <x v="1"/>
    <x v="92"/>
    <x v="1"/>
    <x v="6"/>
    <n v="424"/>
    <n v="416"/>
    <n v="0"/>
    <n v="0"/>
    <n v="0"/>
    <n v="0"/>
    <n v="0"/>
    <n v="0"/>
    <n v="2"/>
    <n v="3"/>
    <n v="2024"/>
    <x v="1"/>
    <x v="0"/>
    <x v="1"/>
  </r>
  <r>
    <x v="1"/>
    <x v="92"/>
    <x v="1"/>
    <x v="7"/>
    <n v="440"/>
    <n v="118"/>
    <n v="41"/>
    <n v="6"/>
    <n v="133541.49"/>
    <n v="48"/>
    <n v="120528.49"/>
    <n v="45"/>
    <n v="129"/>
    <n v="420"/>
    <n v="2024"/>
    <x v="1"/>
    <x v="0"/>
    <x v="1"/>
  </r>
  <r>
    <x v="1"/>
    <x v="92"/>
    <x v="1"/>
    <x v="8"/>
    <n v="8"/>
    <n v="3"/>
    <n v="0"/>
    <n v="0"/>
    <n v="0"/>
    <n v="0"/>
    <n v="0"/>
    <n v="0"/>
    <n v="0"/>
    <n v="8"/>
    <n v="2024"/>
    <x v="1"/>
    <x v="0"/>
    <x v="1"/>
  </r>
  <r>
    <x v="1"/>
    <x v="92"/>
    <x v="1"/>
    <x v="9"/>
    <n v="5"/>
    <n v="1"/>
    <n v="0"/>
    <n v="0"/>
    <n v="0"/>
    <n v="0"/>
    <n v="0"/>
    <n v="0"/>
    <n v="1"/>
    <n v="5"/>
    <n v="2024"/>
    <x v="1"/>
    <x v="0"/>
    <x v="1"/>
  </r>
  <r>
    <x v="1"/>
    <x v="92"/>
    <x v="1"/>
    <x v="10"/>
    <n v="22"/>
    <n v="6"/>
    <n v="1"/>
    <n v="0"/>
    <n v="0"/>
    <n v="0"/>
    <n v="0"/>
    <n v="0"/>
    <n v="5"/>
    <n v="15"/>
    <n v="2024"/>
    <x v="1"/>
    <x v="0"/>
    <x v="1"/>
  </r>
  <r>
    <x v="1"/>
    <x v="92"/>
    <x v="1"/>
    <x v="11"/>
    <n v="1"/>
    <n v="1"/>
    <n v="0"/>
    <n v="0"/>
    <n v="0"/>
    <n v="0"/>
    <n v="0"/>
    <n v="0"/>
    <n v="0"/>
    <n v="1"/>
    <n v="2024"/>
    <x v="1"/>
    <x v="0"/>
    <x v="1"/>
  </r>
  <r>
    <x v="1"/>
    <x v="92"/>
    <x v="1"/>
    <x v="13"/>
    <n v="53"/>
    <n v="40"/>
    <n v="1"/>
    <n v="0"/>
    <n v="0"/>
    <n v="0"/>
    <n v="0"/>
    <n v="0"/>
    <n v="0"/>
    <n v="53"/>
    <n v="2024"/>
    <x v="1"/>
    <x v="0"/>
    <x v="1"/>
  </r>
  <r>
    <x v="1"/>
    <x v="92"/>
    <x v="1"/>
    <x v="59"/>
    <n v="1291"/>
    <n v="687"/>
    <n v="17"/>
    <n v="7"/>
    <n v="35734.33"/>
    <n v="12"/>
    <n v="34246.33"/>
    <n v="12"/>
    <n v="62"/>
    <n v="469"/>
    <n v="2024"/>
    <x v="1"/>
    <x v="0"/>
    <x v="1"/>
  </r>
  <r>
    <x v="1"/>
    <x v="92"/>
    <x v="1"/>
    <x v="15"/>
    <n v="11"/>
    <n v="11"/>
    <n v="0"/>
    <n v="0"/>
    <n v="0"/>
    <n v="0"/>
    <n v="0"/>
    <n v="0"/>
    <n v="0"/>
    <n v="11"/>
    <n v="2024"/>
    <x v="1"/>
    <x v="0"/>
    <x v="1"/>
  </r>
  <r>
    <x v="1"/>
    <x v="92"/>
    <x v="1"/>
    <x v="16"/>
    <n v="16"/>
    <n v="4"/>
    <n v="0"/>
    <n v="0"/>
    <n v="0"/>
    <n v="0"/>
    <n v="0"/>
    <n v="0"/>
    <n v="2"/>
    <n v="16"/>
    <n v="2024"/>
    <x v="1"/>
    <x v="0"/>
    <x v="1"/>
  </r>
  <r>
    <x v="1"/>
    <x v="92"/>
    <x v="1"/>
    <x v="17"/>
    <n v="1"/>
    <n v="1"/>
    <n v="0"/>
    <n v="0"/>
    <n v="0"/>
    <n v="0"/>
    <n v="0"/>
    <n v="0"/>
    <n v="1"/>
    <n v="0"/>
    <n v="2024"/>
    <x v="1"/>
    <x v="0"/>
    <x v="1"/>
  </r>
  <r>
    <x v="1"/>
    <x v="92"/>
    <x v="1"/>
    <x v="18"/>
    <n v="5"/>
    <n v="5"/>
    <n v="1"/>
    <n v="0"/>
    <n v="9840"/>
    <n v="2"/>
    <n v="7242.5"/>
    <n v="2"/>
    <n v="0"/>
    <n v="5"/>
    <n v="2024"/>
    <x v="1"/>
    <x v="0"/>
    <x v="1"/>
  </r>
  <r>
    <x v="1"/>
    <x v="92"/>
    <x v="1"/>
    <x v="19"/>
    <n v="536"/>
    <n v="246"/>
    <n v="26"/>
    <n v="6"/>
    <n v="19195"/>
    <n v="9"/>
    <n v="19195"/>
    <n v="9"/>
    <n v="303"/>
    <n v="364"/>
    <n v="2024"/>
    <x v="1"/>
    <x v="0"/>
    <x v="1"/>
  </r>
  <r>
    <x v="1"/>
    <x v="92"/>
    <x v="1"/>
    <x v="20"/>
    <n v="20"/>
    <n v="10"/>
    <n v="0"/>
    <n v="0"/>
    <n v="0"/>
    <n v="0"/>
    <n v="0"/>
    <n v="0"/>
    <n v="4"/>
    <n v="18"/>
    <n v="2024"/>
    <x v="1"/>
    <x v="0"/>
    <x v="1"/>
  </r>
  <r>
    <x v="1"/>
    <x v="92"/>
    <x v="1"/>
    <x v="21"/>
    <n v="4"/>
    <n v="2"/>
    <n v="0"/>
    <n v="0"/>
    <n v="0"/>
    <n v="0"/>
    <n v="0"/>
    <n v="0"/>
    <n v="1"/>
    <n v="4"/>
    <n v="2024"/>
    <x v="1"/>
    <x v="0"/>
    <x v="1"/>
  </r>
  <r>
    <x v="1"/>
    <x v="92"/>
    <x v="1"/>
    <x v="22"/>
    <n v="1"/>
    <n v="1"/>
    <n v="0"/>
    <n v="0"/>
    <n v="0"/>
    <n v="0"/>
    <n v="0"/>
    <n v="0"/>
    <n v="0"/>
    <n v="0"/>
    <n v="2024"/>
    <x v="1"/>
    <x v="0"/>
    <x v="1"/>
  </r>
  <r>
    <x v="1"/>
    <x v="92"/>
    <x v="1"/>
    <x v="24"/>
    <n v="25"/>
    <n v="10"/>
    <n v="3"/>
    <n v="0"/>
    <n v="2583"/>
    <n v="2"/>
    <n v="2583"/>
    <n v="2"/>
    <n v="6"/>
    <n v="22"/>
    <n v="2024"/>
    <x v="1"/>
    <x v="0"/>
    <x v="1"/>
  </r>
  <r>
    <x v="1"/>
    <x v="92"/>
    <x v="1"/>
    <x v="27"/>
    <n v="103"/>
    <n v="48"/>
    <n v="19"/>
    <n v="2"/>
    <n v="31595"/>
    <n v="8"/>
    <n v="30107"/>
    <n v="8"/>
    <n v="50"/>
    <n v="96"/>
    <n v="2024"/>
    <x v="1"/>
    <x v="0"/>
    <x v="1"/>
  </r>
  <r>
    <x v="1"/>
    <x v="92"/>
    <x v="1"/>
    <x v="29"/>
    <n v="799"/>
    <n v="599"/>
    <n v="53"/>
    <n v="14"/>
    <n v="51489.83"/>
    <n v="19"/>
    <n v="45167.33"/>
    <n v="17"/>
    <n v="218"/>
    <n v="721"/>
    <n v="2024"/>
    <x v="1"/>
    <x v="0"/>
    <x v="1"/>
  </r>
  <r>
    <x v="1"/>
    <x v="92"/>
    <x v="1"/>
    <x v="30"/>
    <n v="3314"/>
    <n v="2314"/>
    <n v="132"/>
    <n v="59"/>
    <n v="50433.05"/>
    <n v="24"/>
    <n v="47453.05"/>
    <n v="22"/>
    <n v="500"/>
    <n v="3027"/>
    <n v="2024"/>
    <x v="1"/>
    <x v="0"/>
    <x v="1"/>
  </r>
  <r>
    <x v="1"/>
    <x v="92"/>
    <x v="1"/>
    <x v="31"/>
    <n v="99"/>
    <n v="71"/>
    <n v="2"/>
    <n v="4"/>
    <n v="5991"/>
    <n v="2"/>
    <n v="5991"/>
    <n v="2"/>
    <n v="22"/>
    <n v="96"/>
    <n v="2024"/>
    <x v="1"/>
    <x v="0"/>
    <x v="1"/>
  </r>
  <r>
    <x v="1"/>
    <x v="92"/>
    <x v="1"/>
    <x v="32"/>
    <n v="9"/>
    <n v="3"/>
    <n v="0"/>
    <n v="0"/>
    <n v="0"/>
    <n v="0"/>
    <n v="0"/>
    <n v="0"/>
    <n v="6"/>
    <n v="9"/>
    <n v="2024"/>
    <x v="1"/>
    <x v="0"/>
    <x v="1"/>
  </r>
  <r>
    <x v="1"/>
    <x v="92"/>
    <x v="1"/>
    <x v="33"/>
    <n v="1"/>
    <n v="0"/>
    <n v="0"/>
    <n v="0"/>
    <n v="0"/>
    <n v="0"/>
    <n v="0"/>
    <n v="0"/>
    <n v="0"/>
    <n v="0"/>
    <n v="2024"/>
    <x v="1"/>
    <x v="0"/>
    <x v="1"/>
  </r>
  <r>
    <x v="1"/>
    <x v="92"/>
    <x v="1"/>
    <x v="34"/>
    <n v="193"/>
    <n v="98"/>
    <n v="19"/>
    <n v="7"/>
    <n v="5570.5"/>
    <n v="3"/>
    <n v="5570.5"/>
    <n v="3"/>
    <n v="66"/>
    <n v="170"/>
    <n v="2024"/>
    <x v="1"/>
    <x v="0"/>
    <x v="1"/>
  </r>
  <r>
    <x v="1"/>
    <x v="92"/>
    <x v="1"/>
    <x v="37"/>
    <n v="582"/>
    <n v="348"/>
    <n v="8"/>
    <n v="0"/>
    <n v="7718"/>
    <n v="4"/>
    <n v="7718"/>
    <n v="4"/>
    <n v="67"/>
    <n v="574"/>
    <n v="2024"/>
    <x v="1"/>
    <x v="0"/>
    <x v="1"/>
  </r>
  <r>
    <x v="1"/>
    <x v="92"/>
    <x v="1"/>
    <x v="38"/>
    <n v="366"/>
    <n v="90"/>
    <n v="35"/>
    <n v="5"/>
    <n v="46947.45"/>
    <n v="18"/>
    <n v="36975.449999999997"/>
    <n v="16"/>
    <n v="110"/>
    <n v="349"/>
    <n v="2024"/>
    <x v="1"/>
    <x v="0"/>
    <x v="1"/>
  </r>
  <r>
    <x v="1"/>
    <x v="92"/>
    <x v="1"/>
    <x v="41"/>
    <n v="4"/>
    <n v="1"/>
    <n v="0"/>
    <n v="0"/>
    <n v="0"/>
    <n v="0"/>
    <n v="0"/>
    <n v="0"/>
    <n v="0"/>
    <n v="4"/>
    <n v="2024"/>
    <x v="1"/>
    <x v="0"/>
    <x v="1"/>
  </r>
  <r>
    <x v="1"/>
    <x v="92"/>
    <x v="1"/>
    <x v="42"/>
    <n v="131"/>
    <n v="57"/>
    <n v="4"/>
    <n v="3"/>
    <n v="2237"/>
    <n v="1"/>
    <n v="2237"/>
    <n v="1"/>
    <n v="24"/>
    <n v="118"/>
    <n v="2024"/>
    <x v="1"/>
    <x v="0"/>
    <x v="1"/>
  </r>
  <r>
    <x v="1"/>
    <x v="92"/>
    <x v="1"/>
    <x v="43"/>
    <n v="123"/>
    <n v="47"/>
    <n v="5"/>
    <n v="3"/>
    <n v="1640"/>
    <n v="1"/>
    <n v="820"/>
    <n v="1"/>
    <n v="78"/>
    <n v="79"/>
    <n v="2024"/>
    <x v="1"/>
    <x v="0"/>
    <x v="1"/>
  </r>
  <r>
    <x v="1"/>
    <x v="92"/>
    <x v="1"/>
    <x v="44"/>
    <n v="8"/>
    <n v="5"/>
    <n v="1"/>
    <n v="0"/>
    <n v="4791"/>
    <n v="3"/>
    <n v="4791"/>
    <n v="3"/>
    <n v="0"/>
    <n v="8"/>
    <n v="2024"/>
    <x v="1"/>
    <x v="0"/>
    <x v="1"/>
  </r>
  <r>
    <x v="1"/>
    <x v="92"/>
    <x v="1"/>
    <x v="45"/>
    <n v="19"/>
    <n v="10"/>
    <n v="0"/>
    <n v="0"/>
    <n v="0"/>
    <n v="0"/>
    <n v="0"/>
    <n v="0"/>
    <n v="1"/>
    <n v="19"/>
    <n v="2024"/>
    <x v="1"/>
    <x v="0"/>
    <x v="1"/>
  </r>
  <r>
    <x v="1"/>
    <x v="93"/>
    <x v="0"/>
    <x v="0"/>
    <n v="361"/>
    <n v="96"/>
    <n v="0"/>
    <n v="0"/>
    <n v="2980"/>
    <n v="2"/>
    <n v="2980"/>
    <n v="2"/>
    <n v="13"/>
    <n v="346"/>
    <n v="2024"/>
    <x v="1"/>
    <x v="0"/>
    <x v="1"/>
  </r>
  <r>
    <x v="1"/>
    <x v="93"/>
    <x v="0"/>
    <x v="1"/>
    <n v="20374"/>
    <n v="11570"/>
    <n v="201"/>
    <n v="94"/>
    <n v="141077.73000000001"/>
    <n v="42"/>
    <n v="118705.73"/>
    <n v="36"/>
    <n v="849"/>
    <n v="20334"/>
    <n v="2024"/>
    <x v="1"/>
    <x v="0"/>
    <x v="1"/>
  </r>
  <r>
    <x v="1"/>
    <x v="93"/>
    <x v="0"/>
    <x v="2"/>
    <n v="3213"/>
    <n v="2596"/>
    <n v="23"/>
    <n v="6"/>
    <n v="23670.5"/>
    <n v="7"/>
    <n v="17159.5"/>
    <n v="6"/>
    <n v="3213"/>
    <n v="667"/>
    <n v="2024"/>
    <x v="1"/>
    <x v="0"/>
    <x v="1"/>
  </r>
  <r>
    <x v="1"/>
    <x v="93"/>
    <x v="0"/>
    <x v="3"/>
    <n v="2271"/>
    <n v="2049"/>
    <n v="5"/>
    <n v="0"/>
    <n v="0"/>
    <n v="0"/>
    <n v="0"/>
    <n v="0"/>
    <n v="9"/>
    <n v="861"/>
    <n v="2024"/>
    <x v="1"/>
    <x v="0"/>
    <x v="1"/>
  </r>
  <r>
    <x v="1"/>
    <x v="93"/>
    <x v="1"/>
    <x v="5"/>
    <n v="7"/>
    <n v="5"/>
    <n v="0"/>
    <n v="1"/>
    <n v="0"/>
    <n v="0"/>
    <n v="0"/>
    <n v="0"/>
    <n v="1"/>
    <n v="7"/>
    <n v="2024"/>
    <x v="1"/>
    <x v="0"/>
    <x v="1"/>
  </r>
  <r>
    <x v="1"/>
    <x v="93"/>
    <x v="1"/>
    <x v="6"/>
    <n v="413"/>
    <n v="404"/>
    <n v="0"/>
    <n v="0"/>
    <n v="0"/>
    <n v="0"/>
    <n v="0"/>
    <n v="0"/>
    <n v="0"/>
    <n v="1"/>
    <n v="2024"/>
    <x v="1"/>
    <x v="0"/>
    <x v="1"/>
  </r>
  <r>
    <x v="1"/>
    <x v="93"/>
    <x v="1"/>
    <x v="7"/>
    <n v="472"/>
    <n v="135"/>
    <n v="55"/>
    <n v="5"/>
    <n v="138618.31"/>
    <n v="49"/>
    <n v="127291.81"/>
    <n v="47"/>
    <n v="140"/>
    <n v="442"/>
    <n v="2024"/>
    <x v="1"/>
    <x v="0"/>
    <x v="1"/>
  </r>
  <r>
    <x v="1"/>
    <x v="93"/>
    <x v="1"/>
    <x v="8"/>
    <n v="31"/>
    <n v="26"/>
    <n v="0"/>
    <n v="0"/>
    <n v="0"/>
    <n v="0"/>
    <n v="0"/>
    <n v="0"/>
    <n v="1"/>
    <n v="6"/>
    <n v="2024"/>
    <x v="1"/>
    <x v="0"/>
    <x v="1"/>
  </r>
  <r>
    <x v="1"/>
    <x v="93"/>
    <x v="1"/>
    <x v="9"/>
    <n v="3"/>
    <n v="0"/>
    <n v="0"/>
    <n v="0"/>
    <n v="0"/>
    <n v="0"/>
    <n v="0"/>
    <n v="0"/>
    <n v="1"/>
    <n v="3"/>
    <n v="2024"/>
    <x v="1"/>
    <x v="0"/>
    <x v="1"/>
  </r>
  <r>
    <x v="1"/>
    <x v="93"/>
    <x v="1"/>
    <x v="10"/>
    <n v="81"/>
    <n v="66"/>
    <n v="2"/>
    <n v="0"/>
    <n v="0"/>
    <n v="0"/>
    <n v="0"/>
    <n v="0"/>
    <n v="4"/>
    <n v="18"/>
    <n v="2024"/>
    <x v="1"/>
    <x v="0"/>
    <x v="1"/>
  </r>
  <r>
    <x v="1"/>
    <x v="93"/>
    <x v="1"/>
    <x v="11"/>
    <n v="1"/>
    <n v="1"/>
    <n v="0"/>
    <n v="0"/>
    <n v="0"/>
    <n v="0"/>
    <n v="0"/>
    <n v="0"/>
    <n v="0"/>
    <n v="1"/>
    <n v="2024"/>
    <x v="1"/>
    <x v="0"/>
    <x v="1"/>
  </r>
  <r>
    <x v="1"/>
    <x v="93"/>
    <x v="1"/>
    <x v="13"/>
    <n v="54"/>
    <n v="40"/>
    <n v="2"/>
    <n v="0"/>
    <n v="0"/>
    <n v="0"/>
    <n v="0"/>
    <n v="0"/>
    <n v="1"/>
    <n v="54"/>
    <n v="2024"/>
    <x v="1"/>
    <x v="0"/>
    <x v="1"/>
  </r>
  <r>
    <x v="1"/>
    <x v="93"/>
    <x v="1"/>
    <x v="49"/>
    <n v="2"/>
    <n v="2"/>
    <n v="0"/>
    <n v="0"/>
    <n v="0"/>
    <n v="0"/>
    <n v="0"/>
    <n v="0"/>
    <n v="0"/>
    <n v="0"/>
    <n v="2024"/>
    <x v="1"/>
    <x v="0"/>
    <x v="1"/>
  </r>
  <r>
    <x v="1"/>
    <x v="93"/>
    <x v="1"/>
    <x v="59"/>
    <n v="9755"/>
    <n v="8823"/>
    <n v="14"/>
    <n v="6"/>
    <n v="19640.5"/>
    <n v="7"/>
    <n v="17979.27"/>
    <n v="7"/>
    <n v="65"/>
    <n v="484"/>
    <n v="2024"/>
    <x v="1"/>
    <x v="0"/>
    <x v="1"/>
  </r>
  <r>
    <x v="1"/>
    <x v="93"/>
    <x v="1"/>
    <x v="15"/>
    <n v="15"/>
    <n v="13"/>
    <n v="0"/>
    <n v="0"/>
    <n v="0"/>
    <n v="0"/>
    <n v="0"/>
    <n v="0"/>
    <n v="1"/>
    <n v="15"/>
    <n v="2024"/>
    <x v="1"/>
    <x v="0"/>
    <x v="1"/>
  </r>
  <r>
    <x v="1"/>
    <x v="93"/>
    <x v="1"/>
    <x v="16"/>
    <n v="10"/>
    <n v="4"/>
    <n v="0"/>
    <n v="0"/>
    <n v="0"/>
    <n v="0"/>
    <n v="0"/>
    <n v="0"/>
    <n v="0"/>
    <n v="10"/>
    <n v="2024"/>
    <x v="1"/>
    <x v="0"/>
    <x v="1"/>
  </r>
  <r>
    <x v="1"/>
    <x v="93"/>
    <x v="1"/>
    <x v="17"/>
    <n v="2"/>
    <n v="1"/>
    <n v="0"/>
    <n v="0"/>
    <n v="0"/>
    <n v="0"/>
    <n v="0"/>
    <n v="0"/>
    <n v="0"/>
    <n v="2"/>
    <n v="2024"/>
    <x v="1"/>
    <x v="0"/>
    <x v="1"/>
  </r>
  <r>
    <x v="1"/>
    <x v="93"/>
    <x v="1"/>
    <x v="18"/>
    <n v="9"/>
    <n v="9"/>
    <n v="0"/>
    <n v="0"/>
    <n v="0"/>
    <n v="0"/>
    <n v="0"/>
    <n v="0"/>
    <n v="2"/>
    <n v="4"/>
    <n v="2024"/>
    <x v="1"/>
    <x v="0"/>
    <x v="1"/>
  </r>
  <r>
    <x v="1"/>
    <x v="93"/>
    <x v="1"/>
    <x v="19"/>
    <n v="686"/>
    <n v="401"/>
    <n v="41"/>
    <n v="6"/>
    <n v="110520.21"/>
    <n v="21"/>
    <n v="102987.21"/>
    <n v="18"/>
    <n v="295"/>
    <n v="376"/>
    <n v="2024"/>
    <x v="1"/>
    <x v="0"/>
    <x v="1"/>
  </r>
  <r>
    <x v="1"/>
    <x v="93"/>
    <x v="1"/>
    <x v="20"/>
    <n v="16"/>
    <n v="7"/>
    <n v="0"/>
    <n v="0"/>
    <n v="0"/>
    <n v="0"/>
    <n v="0"/>
    <n v="0"/>
    <n v="4"/>
    <n v="15"/>
    <n v="2024"/>
    <x v="1"/>
    <x v="0"/>
    <x v="1"/>
  </r>
  <r>
    <x v="1"/>
    <x v="93"/>
    <x v="1"/>
    <x v="21"/>
    <n v="6"/>
    <n v="0"/>
    <n v="0"/>
    <n v="0"/>
    <n v="0"/>
    <n v="0"/>
    <n v="0"/>
    <n v="0"/>
    <n v="1"/>
    <n v="6"/>
    <n v="2024"/>
    <x v="1"/>
    <x v="0"/>
    <x v="1"/>
  </r>
  <r>
    <x v="1"/>
    <x v="93"/>
    <x v="1"/>
    <x v="22"/>
    <n v="1"/>
    <n v="0"/>
    <n v="0"/>
    <n v="0"/>
    <n v="0"/>
    <n v="0"/>
    <n v="0"/>
    <n v="0"/>
    <n v="0"/>
    <n v="0"/>
    <n v="2024"/>
    <x v="1"/>
    <x v="0"/>
    <x v="1"/>
  </r>
  <r>
    <x v="1"/>
    <x v="93"/>
    <x v="1"/>
    <x v="24"/>
    <n v="30"/>
    <n v="17"/>
    <n v="4"/>
    <n v="0"/>
    <n v="2980"/>
    <n v="2"/>
    <n v="2980"/>
    <n v="2"/>
    <n v="8"/>
    <n v="23"/>
    <n v="2024"/>
    <x v="1"/>
    <x v="0"/>
    <x v="1"/>
  </r>
  <r>
    <x v="1"/>
    <x v="93"/>
    <x v="1"/>
    <x v="25"/>
    <n v="1"/>
    <n v="1"/>
    <n v="0"/>
    <n v="0"/>
    <n v="0"/>
    <n v="0"/>
    <n v="0"/>
    <n v="0"/>
    <n v="0"/>
    <n v="1"/>
    <n v="2024"/>
    <x v="1"/>
    <x v="0"/>
    <x v="1"/>
  </r>
  <r>
    <x v="1"/>
    <x v="93"/>
    <x v="1"/>
    <x v="27"/>
    <n v="81"/>
    <n v="35"/>
    <n v="11"/>
    <n v="2"/>
    <n v="17631"/>
    <n v="9"/>
    <n v="13123"/>
    <n v="7"/>
    <n v="22"/>
    <n v="76"/>
    <n v="2024"/>
    <x v="1"/>
    <x v="0"/>
    <x v="1"/>
  </r>
  <r>
    <x v="1"/>
    <x v="93"/>
    <x v="1"/>
    <x v="29"/>
    <n v="829"/>
    <n v="626"/>
    <n v="58"/>
    <n v="10"/>
    <n v="39505.06"/>
    <n v="14"/>
    <n v="37843.83"/>
    <n v="14"/>
    <n v="250"/>
    <n v="700"/>
    <n v="2024"/>
    <x v="1"/>
    <x v="0"/>
    <x v="1"/>
  </r>
  <r>
    <x v="1"/>
    <x v="93"/>
    <x v="1"/>
    <x v="30"/>
    <n v="10351"/>
    <n v="9137"/>
    <n v="165"/>
    <n v="61"/>
    <n v="36547"/>
    <n v="21"/>
    <n v="25259"/>
    <n v="15"/>
    <n v="723"/>
    <n v="4024"/>
    <n v="2024"/>
    <x v="1"/>
    <x v="0"/>
    <x v="1"/>
  </r>
  <r>
    <x v="1"/>
    <x v="93"/>
    <x v="1"/>
    <x v="31"/>
    <n v="96"/>
    <n v="73"/>
    <n v="2"/>
    <n v="1"/>
    <n v="1303"/>
    <n v="1"/>
    <n v="1303"/>
    <n v="1"/>
    <n v="20"/>
    <n v="89"/>
    <n v="2024"/>
    <x v="1"/>
    <x v="0"/>
    <x v="1"/>
  </r>
  <r>
    <x v="1"/>
    <x v="93"/>
    <x v="1"/>
    <x v="32"/>
    <n v="3"/>
    <n v="1"/>
    <n v="0"/>
    <n v="0"/>
    <n v="0"/>
    <n v="0"/>
    <n v="0"/>
    <n v="0"/>
    <n v="0"/>
    <n v="3"/>
    <n v="2024"/>
    <x v="1"/>
    <x v="0"/>
    <x v="1"/>
  </r>
  <r>
    <x v="1"/>
    <x v="93"/>
    <x v="1"/>
    <x v="34"/>
    <n v="273"/>
    <n v="150"/>
    <n v="14"/>
    <n v="6"/>
    <n v="9603"/>
    <n v="4"/>
    <n v="6398"/>
    <n v="4"/>
    <n v="107"/>
    <n v="244"/>
    <n v="2024"/>
    <x v="1"/>
    <x v="0"/>
    <x v="1"/>
  </r>
  <r>
    <x v="1"/>
    <x v="93"/>
    <x v="1"/>
    <x v="36"/>
    <n v="2"/>
    <n v="2"/>
    <n v="0"/>
    <n v="0"/>
    <n v="0"/>
    <n v="0"/>
    <n v="0"/>
    <n v="0"/>
    <n v="1"/>
    <n v="1"/>
    <n v="2024"/>
    <x v="1"/>
    <x v="0"/>
    <x v="1"/>
  </r>
  <r>
    <x v="1"/>
    <x v="93"/>
    <x v="1"/>
    <x v="37"/>
    <n v="477"/>
    <n v="251"/>
    <n v="6"/>
    <n v="0"/>
    <n v="15265.5"/>
    <n v="6"/>
    <n v="15265.5"/>
    <n v="6"/>
    <n v="51"/>
    <n v="475"/>
    <n v="2024"/>
    <x v="1"/>
    <x v="0"/>
    <x v="1"/>
  </r>
  <r>
    <x v="1"/>
    <x v="93"/>
    <x v="1"/>
    <x v="38"/>
    <n v="465"/>
    <n v="160"/>
    <n v="22"/>
    <n v="3"/>
    <n v="58573.5"/>
    <n v="19"/>
    <n v="50524.5"/>
    <n v="18"/>
    <n v="113"/>
    <n v="376"/>
    <n v="2024"/>
    <x v="1"/>
    <x v="0"/>
    <x v="1"/>
  </r>
  <r>
    <x v="1"/>
    <x v="93"/>
    <x v="1"/>
    <x v="40"/>
    <n v="5"/>
    <n v="1"/>
    <n v="0"/>
    <n v="0"/>
    <n v="0"/>
    <n v="0"/>
    <n v="0"/>
    <n v="0"/>
    <n v="0"/>
    <n v="5"/>
    <n v="2024"/>
    <x v="1"/>
    <x v="0"/>
    <x v="1"/>
  </r>
  <r>
    <x v="1"/>
    <x v="93"/>
    <x v="1"/>
    <x v="41"/>
    <n v="3"/>
    <n v="1"/>
    <n v="0"/>
    <n v="0"/>
    <n v="0"/>
    <n v="0"/>
    <n v="0"/>
    <n v="0"/>
    <n v="0"/>
    <n v="3"/>
    <n v="2024"/>
    <x v="1"/>
    <x v="0"/>
    <x v="1"/>
  </r>
  <r>
    <x v="1"/>
    <x v="93"/>
    <x v="1"/>
    <x v="42"/>
    <n v="131"/>
    <n v="49"/>
    <n v="5"/>
    <n v="1"/>
    <n v="3468"/>
    <n v="2"/>
    <n v="1488"/>
    <n v="1"/>
    <n v="11"/>
    <n v="124"/>
    <n v="2024"/>
    <x v="1"/>
    <x v="0"/>
    <x v="1"/>
  </r>
  <r>
    <x v="1"/>
    <x v="93"/>
    <x v="1"/>
    <x v="43"/>
    <n v="290"/>
    <n v="205"/>
    <n v="3"/>
    <n v="1"/>
    <n v="5233"/>
    <n v="2"/>
    <n v="5233"/>
    <n v="2"/>
    <n v="86"/>
    <n v="89"/>
    <n v="2024"/>
    <x v="1"/>
    <x v="0"/>
    <x v="1"/>
  </r>
  <r>
    <x v="1"/>
    <x v="93"/>
    <x v="1"/>
    <x v="44"/>
    <n v="13"/>
    <n v="5"/>
    <n v="0"/>
    <n v="0"/>
    <n v="12020"/>
    <n v="5"/>
    <n v="12020"/>
    <n v="5"/>
    <n v="0"/>
    <n v="13"/>
    <n v="2024"/>
    <x v="1"/>
    <x v="0"/>
    <x v="1"/>
  </r>
  <r>
    <x v="1"/>
    <x v="93"/>
    <x v="1"/>
    <x v="45"/>
    <n v="26"/>
    <n v="20"/>
    <n v="0"/>
    <n v="0"/>
    <n v="0"/>
    <n v="0"/>
    <n v="0"/>
    <n v="0"/>
    <n v="0"/>
    <n v="26"/>
    <n v="2024"/>
    <x v="1"/>
    <x v="0"/>
    <x v="1"/>
  </r>
  <r>
    <x v="1"/>
    <x v="94"/>
    <x v="0"/>
    <x v="0"/>
    <n v="352"/>
    <n v="98"/>
    <n v="5"/>
    <n v="1"/>
    <n v="2910"/>
    <n v="2"/>
    <n v="2910"/>
    <n v="2"/>
    <n v="13"/>
    <n v="344"/>
    <n v="2024"/>
    <x v="1"/>
    <x v="0"/>
    <x v="1"/>
  </r>
  <r>
    <x v="1"/>
    <x v="94"/>
    <x v="0"/>
    <x v="1"/>
    <n v="22111"/>
    <n v="13561"/>
    <n v="272"/>
    <n v="121"/>
    <n v="221729.75"/>
    <n v="62"/>
    <n v="159269.75"/>
    <n v="50"/>
    <n v="1132"/>
    <n v="22077"/>
    <n v="2024"/>
    <x v="1"/>
    <x v="0"/>
    <x v="1"/>
  </r>
  <r>
    <x v="1"/>
    <x v="94"/>
    <x v="0"/>
    <x v="2"/>
    <n v="3245"/>
    <n v="2693"/>
    <n v="17"/>
    <n v="7"/>
    <n v="10017"/>
    <n v="3"/>
    <n v="10017"/>
    <n v="3"/>
    <n v="3245"/>
    <n v="723"/>
    <n v="2024"/>
    <x v="1"/>
    <x v="0"/>
    <x v="1"/>
  </r>
  <r>
    <x v="1"/>
    <x v="94"/>
    <x v="0"/>
    <x v="3"/>
    <n v="2412"/>
    <n v="2240"/>
    <n v="1"/>
    <n v="0"/>
    <n v="0"/>
    <n v="0"/>
    <n v="0"/>
    <n v="0"/>
    <n v="6"/>
    <n v="1689"/>
    <n v="2024"/>
    <x v="1"/>
    <x v="0"/>
    <x v="1"/>
  </r>
  <r>
    <x v="1"/>
    <x v="94"/>
    <x v="1"/>
    <x v="5"/>
    <n v="2"/>
    <n v="2"/>
    <n v="0"/>
    <n v="0"/>
    <n v="0"/>
    <n v="0"/>
    <n v="0"/>
    <n v="0"/>
    <n v="0"/>
    <n v="2"/>
    <n v="2024"/>
    <x v="1"/>
    <x v="0"/>
    <x v="1"/>
  </r>
  <r>
    <x v="1"/>
    <x v="94"/>
    <x v="1"/>
    <x v="6"/>
    <n v="560"/>
    <n v="552"/>
    <n v="0"/>
    <n v="0"/>
    <n v="0"/>
    <n v="0"/>
    <n v="0"/>
    <n v="0"/>
    <n v="1"/>
    <n v="3"/>
    <n v="2024"/>
    <x v="1"/>
    <x v="0"/>
    <x v="1"/>
  </r>
  <r>
    <x v="1"/>
    <x v="94"/>
    <x v="1"/>
    <x v="7"/>
    <n v="460"/>
    <n v="131"/>
    <n v="58"/>
    <n v="0"/>
    <n v="194466.16"/>
    <n v="68"/>
    <n v="178660.16"/>
    <n v="64"/>
    <n v="130"/>
    <n v="438"/>
    <n v="2024"/>
    <x v="1"/>
    <x v="0"/>
    <x v="1"/>
  </r>
  <r>
    <x v="1"/>
    <x v="94"/>
    <x v="1"/>
    <x v="8"/>
    <n v="5"/>
    <n v="1"/>
    <n v="0"/>
    <n v="0"/>
    <n v="0"/>
    <n v="0"/>
    <n v="0"/>
    <n v="0"/>
    <n v="0"/>
    <n v="5"/>
    <n v="2024"/>
    <x v="1"/>
    <x v="0"/>
    <x v="1"/>
  </r>
  <r>
    <x v="1"/>
    <x v="94"/>
    <x v="1"/>
    <x v="9"/>
    <n v="6"/>
    <n v="3"/>
    <n v="0"/>
    <n v="0"/>
    <n v="0"/>
    <n v="0"/>
    <n v="0"/>
    <n v="0"/>
    <n v="0"/>
    <n v="6"/>
    <n v="2024"/>
    <x v="1"/>
    <x v="0"/>
    <x v="1"/>
  </r>
  <r>
    <x v="1"/>
    <x v="94"/>
    <x v="1"/>
    <x v="10"/>
    <n v="29"/>
    <n v="12"/>
    <n v="2"/>
    <n v="0"/>
    <n v="0"/>
    <n v="0"/>
    <n v="0"/>
    <n v="0"/>
    <n v="7"/>
    <n v="17"/>
    <n v="2024"/>
    <x v="1"/>
    <x v="0"/>
    <x v="1"/>
  </r>
  <r>
    <x v="1"/>
    <x v="94"/>
    <x v="1"/>
    <x v="11"/>
    <n v="2"/>
    <n v="1"/>
    <n v="0"/>
    <n v="0"/>
    <n v="0"/>
    <n v="0"/>
    <n v="0"/>
    <n v="0"/>
    <n v="2"/>
    <n v="0"/>
    <n v="2024"/>
    <x v="1"/>
    <x v="0"/>
    <x v="1"/>
  </r>
  <r>
    <x v="1"/>
    <x v="94"/>
    <x v="1"/>
    <x v="13"/>
    <n v="33"/>
    <n v="28"/>
    <n v="1"/>
    <n v="0"/>
    <n v="0"/>
    <n v="0"/>
    <n v="0"/>
    <n v="0"/>
    <n v="2"/>
    <n v="33"/>
    <n v="2024"/>
    <x v="1"/>
    <x v="0"/>
    <x v="1"/>
  </r>
  <r>
    <x v="1"/>
    <x v="94"/>
    <x v="1"/>
    <x v="59"/>
    <n v="589"/>
    <n v="222"/>
    <n v="10"/>
    <n v="7"/>
    <n v="31729"/>
    <n v="7"/>
    <n v="12481.5"/>
    <n v="6"/>
    <n v="70"/>
    <n v="464"/>
    <n v="2024"/>
    <x v="1"/>
    <x v="0"/>
    <x v="1"/>
  </r>
  <r>
    <x v="1"/>
    <x v="94"/>
    <x v="1"/>
    <x v="15"/>
    <n v="20"/>
    <n v="20"/>
    <n v="0"/>
    <n v="0"/>
    <n v="0"/>
    <n v="0"/>
    <n v="0"/>
    <n v="0"/>
    <n v="0"/>
    <n v="20"/>
    <n v="2024"/>
    <x v="1"/>
    <x v="0"/>
    <x v="1"/>
  </r>
  <r>
    <x v="1"/>
    <x v="94"/>
    <x v="1"/>
    <x v="16"/>
    <n v="15"/>
    <n v="4"/>
    <n v="2"/>
    <n v="0"/>
    <n v="0"/>
    <n v="0"/>
    <n v="0"/>
    <n v="0"/>
    <n v="3"/>
    <n v="15"/>
    <n v="2024"/>
    <x v="1"/>
    <x v="0"/>
    <x v="1"/>
  </r>
  <r>
    <x v="1"/>
    <x v="94"/>
    <x v="1"/>
    <x v="17"/>
    <n v="4"/>
    <n v="4"/>
    <n v="0"/>
    <n v="0"/>
    <n v="0"/>
    <n v="0"/>
    <n v="0"/>
    <n v="0"/>
    <n v="3"/>
    <n v="1"/>
    <n v="2024"/>
    <x v="1"/>
    <x v="0"/>
    <x v="1"/>
  </r>
  <r>
    <x v="1"/>
    <x v="94"/>
    <x v="1"/>
    <x v="18"/>
    <n v="10"/>
    <n v="8"/>
    <n v="1"/>
    <n v="0"/>
    <n v="0"/>
    <n v="0"/>
    <n v="0"/>
    <n v="0"/>
    <n v="5"/>
    <n v="8"/>
    <n v="2024"/>
    <x v="1"/>
    <x v="0"/>
    <x v="1"/>
  </r>
  <r>
    <x v="1"/>
    <x v="94"/>
    <x v="1"/>
    <x v="19"/>
    <n v="618"/>
    <n v="308"/>
    <n v="42"/>
    <n v="4"/>
    <n v="84309.35"/>
    <n v="25"/>
    <n v="57203.35"/>
    <n v="21"/>
    <n v="371"/>
    <n v="420"/>
    <n v="2024"/>
    <x v="1"/>
    <x v="0"/>
    <x v="1"/>
  </r>
  <r>
    <x v="1"/>
    <x v="94"/>
    <x v="1"/>
    <x v="20"/>
    <n v="14"/>
    <n v="9"/>
    <n v="0"/>
    <n v="0"/>
    <n v="0"/>
    <n v="0"/>
    <n v="0"/>
    <n v="0"/>
    <n v="3"/>
    <n v="13"/>
    <n v="2024"/>
    <x v="1"/>
    <x v="0"/>
    <x v="1"/>
  </r>
  <r>
    <x v="1"/>
    <x v="94"/>
    <x v="1"/>
    <x v="21"/>
    <n v="7"/>
    <n v="7"/>
    <n v="0"/>
    <n v="1"/>
    <n v="0"/>
    <n v="0"/>
    <n v="0"/>
    <n v="0"/>
    <n v="0"/>
    <n v="7"/>
    <n v="2024"/>
    <x v="1"/>
    <x v="0"/>
    <x v="1"/>
  </r>
  <r>
    <x v="1"/>
    <x v="94"/>
    <x v="1"/>
    <x v="24"/>
    <n v="18"/>
    <n v="10"/>
    <n v="2"/>
    <n v="0"/>
    <n v="1677"/>
    <n v="1"/>
    <n v="1677"/>
    <n v="1"/>
    <n v="7"/>
    <n v="15"/>
    <n v="2024"/>
    <x v="1"/>
    <x v="0"/>
    <x v="1"/>
  </r>
  <r>
    <x v="1"/>
    <x v="94"/>
    <x v="1"/>
    <x v="25"/>
    <n v="1"/>
    <n v="1"/>
    <n v="0"/>
    <n v="0"/>
    <n v="0"/>
    <n v="0"/>
    <n v="0"/>
    <n v="0"/>
    <n v="0"/>
    <n v="1"/>
    <n v="2024"/>
    <x v="1"/>
    <x v="0"/>
    <x v="1"/>
  </r>
  <r>
    <x v="1"/>
    <x v="94"/>
    <x v="1"/>
    <x v="27"/>
    <n v="112"/>
    <n v="42"/>
    <n v="15"/>
    <n v="2"/>
    <n v="20047"/>
    <n v="10"/>
    <n v="15002"/>
    <n v="8"/>
    <n v="35"/>
    <n v="100"/>
    <n v="2024"/>
    <x v="1"/>
    <x v="0"/>
    <x v="1"/>
  </r>
  <r>
    <x v="1"/>
    <x v="94"/>
    <x v="1"/>
    <x v="28"/>
    <n v="1"/>
    <n v="1"/>
    <n v="0"/>
    <n v="0"/>
    <n v="0"/>
    <n v="0"/>
    <n v="0"/>
    <n v="0"/>
    <n v="0"/>
    <n v="0"/>
    <n v="2024"/>
    <x v="1"/>
    <x v="0"/>
    <x v="1"/>
  </r>
  <r>
    <x v="1"/>
    <x v="94"/>
    <x v="1"/>
    <x v="29"/>
    <n v="777"/>
    <n v="608"/>
    <n v="50"/>
    <n v="5"/>
    <n v="34260"/>
    <n v="13"/>
    <n v="31957"/>
    <n v="11"/>
    <n v="250"/>
    <n v="660"/>
    <n v="2024"/>
    <x v="1"/>
    <x v="0"/>
    <x v="1"/>
  </r>
  <r>
    <x v="1"/>
    <x v="94"/>
    <x v="1"/>
    <x v="30"/>
    <n v="3077"/>
    <n v="2201"/>
    <n v="105"/>
    <n v="42"/>
    <n v="37966.089999999997"/>
    <n v="21"/>
    <n v="35175.089999999997"/>
    <n v="19"/>
    <n v="496"/>
    <n v="2898"/>
    <n v="2024"/>
    <x v="1"/>
    <x v="0"/>
    <x v="1"/>
  </r>
  <r>
    <x v="1"/>
    <x v="94"/>
    <x v="1"/>
    <x v="31"/>
    <n v="103"/>
    <n v="70"/>
    <n v="3"/>
    <n v="3"/>
    <n v="3078"/>
    <n v="2"/>
    <n v="1775"/>
    <n v="1"/>
    <n v="21"/>
    <n v="96"/>
    <n v="2024"/>
    <x v="1"/>
    <x v="0"/>
    <x v="1"/>
  </r>
  <r>
    <x v="1"/>
    <x v="94"/>
    <x v="1"/>
    <x v="32"/>
    <n v="5"/>
    <n v="5"/>
    <n v="0"/>
    <n v="1"/>
    <n v="9195"/>
    <n v="1"/>
    <n v="0"/>
    <n v="0"/>
    <n v="2"/>
    <n v="5"/>
    <n v="2024"/>
    <x v="1"/>
    <x v="0"/>
    <x v="1"/>
  </r>
  <r>
    <x v="1"/>
    <x v="94"/>
    <x v="1"/>
    <x v="34"/>
    <n v="243"/>
    <n v="123"/>
    <n v="22"/>
    <n v="7"/>
    <n v="8892"/>
    <n v="4"/>
    <n v="5442"/>
    <n v="3"/>
    <n v="94"/>
    <n v="205"/>
    <n v="2024"/>
    <x v="1"/>
    <x v="0"/>
    <x v="1"/>
  </r>
  <r>
    <x v="1"/>
    <x v="94"/>
    <x v="1"/>
    <x v="37"/>
    <n v="499"/>
    <n v="273"/>
    <n v="6"/>
    <n v="0"/>
    <n v="25069.48"/>
    <n v="7"/>
    <n v="21173.98"/>
    <n v="6"/>
    <n v="61"/>
    <n v="492"/>
    <n v="2024"/>
    <x v="1"/>
    <x v="0"/>
    <x v="1"/>
  </r>
  <r>
    <x v="1"/>
    <x v="94"/>
    <x v="1"/>
    <x v="38"/>
    <n v="396"/>
    <n v="90"/>
    <n v="35"/>
    <n v="10"/>
    <n v="55450.59"/>
    <n v="22"/>
    <n v="49342.59"/>
    <n v="21"/>
    <n v="104"/>
    <n v="382"/>
    <n v="2024"/>
    <x v="1"/>
    <x v="0"/>
    <x v="1"/>
  </r>
  <r>
    <x v="1"/>
    <x v="94"/>
    <x v="1"/>
    <x v="40"/>
    <n v="3"/>
    <n v="2"/>
    <n v="2"/>
    <n v="0"/>
    <n v="0"/>
    <n v="0"/>
    <n v="0"/>
    <n v="0"/>
    <n v="0"/>
    <n v="3"/>
    <n v="2024"/>
    <x v="1"/>
    <x v="0"/>
    <x v="1"/>
  </r>
  <r>
    <x v="1"/>
    <x v="94"/>
    <x v="1"/>
    <x v="41"/>
    <n v="3"/>
    <n v="1"/>
    <n v="0"/>
    <n v="0"/>
    <n v="0"/>
    <n v="0"/>
    <n v="0"/>
    <n v="0"/>
    <n v="0"/>
    <n v="3"/>
    <n v="2024"/>
    <x v="1"/>
    <x v="0"/>
    <x v="1"/>
  </r>
  <r>
    <x v="1"/>
    <x v="94"/>
    <x v="1"/>
    <x v="42"/>
    <n v="88"/>
    <n v="47"/>
    <n v="4"/>
    <n v="1"/>
    <n v="0"/>
    <n v="0"/>
    <n v="0"/>
    <n v="0"/>
    <n v="8"/>
    <n v="87"/>
    <n v="2024"/>
    <x v="1"/>
    <x v="0"/>
    <x v="1"/>
  </r>
  <r>
    <x v="1"/>
    <x v="94"/>
    <x v="1"/>
    <x v="43"/>
    <n v="131"/>
    <n v="56"/>
    <n v="4"/>
    <n v="0"/>
    <n v="5609"/>
    <n v="3"/>
    <n v="3692"/>
    <n v="2"/>
    <n v="78"/>
    <n v="90"/>
    <n v="2024"/>
    <x v="1"/>
    <x v="0"/>
    <x v="1"/>
  </r>
  <r>
    <x v="1"/>
    <x v="94"/>
    <x v="1"/>
    <x v="44"/>
    <n v="16"/>
    <n v="5"/>
    <n v="0"/>
    <n v="0"/>
    <n v="14291.19"/>
    <n v="6"/>
    <n v="14291.19"/>
    <n v="6"/>
    <n v="0"/>
    <n v="16"/>
    <n v="2024"/>
    <x v="1"/>
    <x v="0"/>
    <x v="1"/>
  </r>
  <r>
    <x v="1"/>
    <x v="94"/>
    <x v="1"/>
    <x v="45"/>
    <n v="18"/>
    <n v="13"/>
    <n v="0"/>
    <n v="0"/>
    <n v="0"/>
    <n v="0"/>
    <n v="0"/>
    <n v="0"/>
    <n v="0"/>
    <n v="18"/>
    <n v="2024"/>
    <x v="1"/>
    <x v="0"/>
    <x v="1"/>
  </r>
  <r>
    <x v="1"/>
    <x v="95"/>
    <x v="0"/>
    <x v="0"/>
    <n v="446"/>
    <n v="133"/>
    <n v="2"/>
    <n v="0"/>
    <n v="8242.07"/>
    <n v="3"/>
    <n v="8242.07"/>
    <n v="3"/>
    <n v="16"/>
    <n v="424"/>
    <n v="2024"/>
    <x v="1"/>
    <x v="0"/>
    <x v="1"/>
  </r>
  <r>
    <x v="1"/>
    <x v="95"/>
    <x v="0"/>
    <x v="1"/>
    <n v="28822"/>
    <n v="19040"/>
    <n v="361"/>
    <n v="167"/>
    <n v="366245.5"/>
    <n v="97"/>
    <n v="265055"/>
    <n v="80"/>
    <n v="1325"/>
    <n v="28776"/>
    <n v="2024"/>
    <x v="1"/>
    <x v="0"/>
    <x v="1"/>
  </r>
  <r>
    <x v="1"/>
    <x v="95"/>
    <x v="0"/>
    <x v="2"/>
    <n v="2365"/>
    <n v="1931"/>
    <n v="24"/>
    <n v="5"/>
    <n v="21638"/>
    <n v="6"/>
    <n v="16563"/>
    <n v="5"/>
    <n v="2365"/>
    <n v="707"/>
    <n v="2024"/>
    <x v="1"/>
    <x v="0"/>
    <x v="1"/>
  </r>
  <r>
    <x v="1"/>
    <x v="95"/>
    <x v="0"/>
    <x v="3"/>
    <n v="2907"/>
    <n v="1856"/>
    <n v="0"/>
    <n v="0"/>
    <n v="0"/>
    <n v="0"/>
    <n v="0"/>
    <n v="0"/>
    <n v="0"/>
    <n v="15"/>
    <n v="2024"/>
    <x v="1"/>
    <x v="0"/>
    <x v="1"/>
  </r>
  <r>
    <x v="1"/>
    <x v="95"/>
    <x v="1"/>
    <x v="5"/>
    <n v="5"/>
    <n v="3"/>
    <n v="0"/>
    <n v="0"/>
    <n v="0"/>
    <n v="0"/>
    <n v="0"/>
    <n v="0"/>
    <n v="0"/>
    <n v="5"/>
    <n v="2024"/>
    <x v="1"/>
    <x v="0"/>
    <x v="1"/>
  </r>
  <r>
    <x v="1"/>
    <x v="95"/>
    <x v="1"/>
    <x v="6"/>
    <n v="114"/>
    <n v="110"/>
    <n v="0"/>
    <n v="0"/>
    <n v="0"/>
    <n v="0"/>
    <n v="0"/>
    <n v="0"/>
    <n v="0"/>
    <n v="1"/>
    <n v="2024"/>
    <x v="1"/>
    <x v="0"/>
    <x v="1"/>
  </r>
  <r>
    <x v="1"/>
    <x v="95"/>
    <x v="1"/>
    <x v="7"/>
    <n v="580"/>
    <n v="137"/>
    <n v="63"/>
    <n v="2"/>
    <n v="251965.34"/>
    <n v="83"/>
    <n v="231192.34"/>
    <n v="78"/>
    <n v="172"/>
    <n v="557"/>
    <n v="2024"/>
    <x v="1"/>
    <x v="0"/>
    <x v="1"/>
  </r>
  <r>
    <x v="1"/>
    <x v="95"/>
    <x v="1"/>
    <x v="8"/>
    <n v="9"/>
    <n v="3"/>
    <n v="0"/>
    <n v="0"/>
    <n v="0"/>
    <n v="0"/>
    <n v="0"/>
    <n v="0"/>
    <n v="0"/>
    <n v="6"/>
    <n v="2024"/>
    <x v="1"/>
    <x v="0"/>
    <x v="1"/>
  </r>
  <r>
    <x v="1"/>
    <x v="95"/>
    <x v="1"/>
    <x v="9"/>
    <n v="3"/>
    <n v="0"/>
    <n v="0"/>
    <n v="0"/>
    <n v="0"/>
    <n v="0"/>
    <n v="0"/>
    <n v="0"/>
    <n v="0"/>
    <n v="3"/>
    <n v="2024"/>
    <x v="1"/>
    <x v="0"/>
    <x v="1"/>
  </r>
  <r>
    <x v="1"/>
    <x v="95"/>
    <x v="1"/>
    <x v="10"/>
    <n v="50"/>
    <n v="35"/>
    <n v="1"/>
    <n v="0"/>
    <n v="2297.5"/>
    <n v="1"/>
    <n v="2297.5"/>
    <n v="1"/>
    <n v="3"/>
    <n v="16"/>
    <n v="2024"/>
    <x v="1"/>
    <x v="0"/>
    <x v="1"/>
  </r>
  <r>
    <x v="1"/>
    <x v="95"/>
    <x v="1"/>
    <x v="11"/>
    <n v="3"/>
    <n v="3"/>
    <n v="0"/>
    <n v="0"/>
    <n v="0"/>
    <n v="0"/>
    <n v="0"/>
    <n v="0"/>
    <n v="0"/>
    <n v="3"/>
    <n v="2024"/>
    <x v="1"/>
    <x v="0"/>
    <x v="1"/>
  </r>
  <r>
    <x v="1"/>
    <x v="95"/>
    <x v="1"/>
    <x v="13"/>
    <n v="85"/>
    <n v="72"/>
    <n v="5"/>
    <n v="0"/>
    <n v="0"/>
    <n v="0"/>
    <n v="0"/>
    <n v="0"/>
    <n v="2"/>
    <n v="85"/>
    <n v="2024"/>
    <x v="1"/>
    <x v="0"/>
    <x v="1"/>
  </r>
  <r>
    <x v="1"/>
    <x v="95"/>
    <x v="1"/>
    <x v="49"/>
    <n v="1"/>
    <n v="1"/>
    <n v="0"/>
    <n v="0"/>
    <n v="0"/>
    <n v="0"/>
    <n v="0"/>
    <n v="0"/>
    <n v="0"/>
    <n v="0"/>
    <n v="2024"/>
    <x v="1"/>
    <x v="0"/>
    <x v="1"/>
  </r>
  <r>
    <x v="1"/>
    <x v="95"/>
    <x v="1"/>
    <x v="59"/>
    <n v="2003"/>
    <n v="1218"/>
    <n v="8"/>
    <n v="8"/>
    <n v="15443"/>
    <n v="7"/>
    <n v="11648"/>
    <n v="6"/>
    <n v="77"/>
    <n v="537"/>
    <n v="2024"/>
    <x v="1"/>
    <x v="0"/>
    <x v="1"/>
  </r>
  <r>
    <x v="1"/>
    <x v="95"/>
    <x v="1"/>
    <x v="15"/>
    <n v="19"/>
    <n v="19"/>
    <n v="0"/>
    <n v="0"/>
    <n v="0"/>
    <n v="0"/>
    <n v="0"/>
    <n v="0"/>
    <n v="0"/>
    <n v="19"/>
    <n v="2024"/>
    <x v="1"/>
    <x v="0"/>
    <x v="1"/>
  </r>
  <r>
    <x v="1"/>
    <x v="95"/>
    <x v="1"/>
    <x v="16"/>
    <n v="15"/>
    <n v="2"/>
    <n v="0"/>
    <n v="0"/>
    <n v="0"/>
    <n v="0"/>
    <n v="0"/>
    <n v="0"/>
    <n v="1"/>
    <n v="15"/>
    <n v="2024"/>
    <x v="1"/>
    <x v="0"/>
    <x v="1"/>
  </r>
  <r>
    <x v="1"/>
    <x v="95"/>
    <x v="1"/>
    <x v="17"/>
    <n v="3"/>
    <n v="3"/>
    <n v="0"/>
    <n v="0"/>
    <n v="0"/>
    <n v="0"/>
    <n v="0"/>
    <n v="0"/>
    <n v="2"/>
    <n v="1"/>
    <n v="2024"/>
    <x v="1"/>
    <x v="0"/>
    <x v="1"/>
  </r>
  <r>
    <x v="1"/>
    <x v="95"/>
    <x v="1"/>
    <x v="18"/>
    <n v="10"/>
    <n v="10"/>
    <n v="3"/>
    <n v="0"/>
    <n v="5224"/>
    <n v="2"/>
    <n v="5224"/>
    <n v="2"/>
    <n v="2"/>
    <n v="8"/>
    <n v="2024"/>
    <x v="1"/>
    <x v="0"/>
    <x v="1"/>
  </r>
  <r>
    <x v="1"/>
    <x v="95"/>
    <x v="1"/>
    <x v="19"/>
    <n v="665"/>
    <n v="297"/>
    <n v="38"/>
    <n v="6"/>
    <n v="81578.399999999994"/>
    <n v="23"/>
    <n v="46898.75"/>
    <n v="21"/>
    <n v="387"/>
    <n v="459"/>
    <n v="2024"/>
    <x v="1"/>
    <x v="0"/>
    <x v="1"/>
  </r>
  <r>
    <x v="1"/>
    <x v="95"/>
    <x v="1"/>
    <x v="20"/>
    <n v="17"/>
    <n v="11"/>
    <n v="0"/>
    <n v="0"/>
    <n v="0"/>
    <n v="0"/>
    <n v="0"/>
    <n v="0"/>
    <n v="7"/>
    <n v="14"/>
    <n v="2024"/>
    <x v="1"/>
    <x v="0"/>
    <x v="1"/>
  </r>
  <r>
    <x v="1"/>
    <x v="95"/>
    <x v="1"/>
    <x v="21"/>
    <n v="8"/>
    <n v="5"/>
    <n v="1"/>
    <n v="0"/>
    <n v="0"/>
    <n v="0"/>
    <n v="0"/>
    <n v="0"/>
    <n v="3"/>
    <n v="8"/>
    <n v="2024"/>
    <x v="1"/>
    <x v="0"/>
    <x v="1"/>
  </r>
  <r>
    <x v="1"/>
    <x v="95"/>
    <x v="1"/>
    <x v="24"/>
    <n v="21"/>
    <n v="7"/>
    <n v="5"/>
    <n v="0"/>
    <n v="7954"/>
    <n v="3"/>
    <n v="7954"/>
    <n v="3"/>
    <n v="6"/>
    <n v="19"/>
    <n v="2024"/>
    <x v="1"/>
    <x v="0"/>
    <x v="1"/>
  </r>
  <r>
    <x v="1"/>
    <x v="95"/>
    <x v="1"/>
    <x v="25"/>
    <n v="1"/>
    <n v="1"/>
    <n v="0"/>
    <n v="0"/>
    <n v="0"/>
    <n v="0"/>
    <n v="0"/>
    <n v="0"/>
    <n v="0"/>
    <n v="1"/>
    <n v="2024"/>
    <x v="1"/>
    <x v="0"/>
    <x v="1"/>
  </r>
  <r>
    <x v="1"/>
    <x v="95"/>
    <x v="1"/>
    <x v="26"/>
    <n v="1"/>
    <n v="0"/>
    <n v="0"/>
    <n v="0"/>
    <n v="0"/>
    <n v="0"/>
    <n v="0"/>
    <n v="0"/>
    <n v="0"/>
    <n v="1"/>
    <n v="2024"/>
    <x v="1"/>
    <x v="0"/>
    <x v="1"/>
  </r>
  <r>
    <x v="1"/>
    <x v="95"/>
    <x v="1"/>
    <x v="27"/>
    <n v="132"/>
    <n v="60"/>
    <n v="15"/>
    <n v="2"/>
    <n v="90155.63"/>
    <n v="18"/>
    <n v="51969.63"/>
    <n v="16"/>
    <n v="66"/>
    <n v="119"/>
    <n v="2024"/>
    <x v="1"/>
    <x v="0"/>
    <x v="1"/>
  </r>
  <r>
    <x v="1"/>
    <x v="95"/>
    <x v="1"/>
    <x v="28"/>
    <n v="2"/>
    <n v="2"/>
    <n v="0"/>
    <n v="0"/>
    <n v="0"/>
    <n v="0"/>
    <n v="0"/>
    <n v="0"/>
    <n v="0"/>
    <n v="0"/>
    <n v="2024"/>
    <x v="1"/>
    <x v="0"/>
    <x v="1"/>
  </r>
  <r>
    <x v="1"/>
    <x v="95"/>
    <x v="1"/>
    <x v="29"/>
    <n v="721"/>
    <n v="552"/>
    <n v="57"/>
    <n v="9"/>
    <n v="93287.5"/>
    <n v="22"/>
    <n v="49012.5"/>
    <n v="19"/>
    <n v="272"/>
    <n v="603"/>
    <n v="2024"/>
    <x v="1"/>
    <x v="0"/>
    <x v="1"/>
  </r>
  <r>
    <x v="1"/>
    <x v="95"/>
    <x v="1"/>
    <x v="30"/>
    <n v="1850"/>
    <n v="1151"/>
    <n v="44"/>
    <n v="17"/>
    <n v="24179.13"/>
    <n v="11"/>
    <n v="20886.13"/>
    <n v="9"/>
    <n v="333"/>
    <n v="1222"/>
    <n v="2024"/>
    <x v="1"/>
    <x v="0"/>
    <x v="1"/>
  </r>
  <r>
    <x v="1"/>
    <x v="95"/>
    <x v="1"/>
    <x v="31"/>
    <n v="104"/>
    <n v="61"/>
    <n v="4"/>
    <n v="0"/>
    <n v="0"/>
    <n v="0"/>
    <n v="0"/>
    <n v="0"/>
    <n v="20"/>
    <n v="99"/>
    <n v="2024"/>
    <x v="1"/>
    <x v="0"/>
    <x v="1"/>
  </r>
  <r>
    <x v="1"/>
    <x v="95"/>
    <x v="1"/>
    <x v="32"/>
    <n v="6"/>
    <n v="1"/>
    <n v="0"/>
    <n v="0"/>
    <n v="0"/>
    <n v="0"/>
    <n v="0"/>
    <n v="0"/>
    <n v="2"/>
    <n v="5"/>
    <n v="2024"/>
    <x v="1"/>
    <x v="0"/>
    <x v="1"/>
  </r>
  <r>
    <x v="1"/>
    <x v="95"/>
    <x v="1"/>
    <x v="34"/>
    <n v="240"/>
    <n v="105"/>
    <n v="22"/>
    <n v="3"/>
    <n v="11715.5"/>
    <n v="6"/>
    <n v="11715.5"/>
    <n v="6"/>
    <n v="94"/>
    <n v="190"/>
    <n v="2024"/>
    <x v="1"/>
    <x v="0"/>
    <x v="1"/>
  </r>
  <r>
    <x v="1"/>
    <x v="95"/>
    <x v="1"/>
    <x v="36"/>
    <n v="2"/>
    <n v="0"/>
    <n v="0"/>
    <n v="0"/>
    <n v="0"/>
    <n v="0"/>
    <n v="0"/>
    <n v="0"/>
    <n v="2"/>
    <n v="0"/>
    <n v="2024"/>
    <x v="1"/>
    <x v="0"/>
    <x v="1"/>
  </r>
  <r>
    <x v="1"/>
    <x v="95"/>
    <x v="1"/>
    <x v="37"/>
    <n v="626"/>
    <n v="349"/>
    <n v="4"/>
    <n v="0"/>
    <n v="17200.5"/>
    <n v="7"/>
    <n v="13405.5"/>
    <n v="6"/>
    <n v="65"/>
    <n v="620"/>
    <n v="2024"/>
    <x v="1"/>
    <x v="0"/>
    <x v="1"/>
  </r>
  <r>
    <x v="1"/>
    <x v="95"/>
    <x v="1"/>
    <x v="38"/>
    <n v="445"/>
    <n v="131"/>
    <n v="34"/>
    <n v="4"/>
    <n v="95059.87"/>
    <n v="29"/>
    <n v="74824.87"/>
    <n v="26"/>
    <n v="126"/>
    <n v="398"/>
    <n v="2024"/>
    <x v="1"/>
    <x v="0"/>
    <x v="1"/>
  </r>
  <r>
    <x v="1"/>
    <x v="95"/>
    <x v="1"/>
    <x v="40"/>
    <n v="3"/>
    <n v="0"/>
    <n v="0"/>
    <n v="0"/>
    <n v="0"/>
    <n v="0"/>
    <n v="0"/>
    <n v="0"/>
    <n v="0"/>
    <n v="3"/>
    <n v="2024"/>
    <x v="1"/>
    <x v="0"/>
    <x v="1"/>
  </r>
  <r>
    <x v="1"/>
    <x v="95"/>
    <x v="1"/>
    <x v="41"/>
    <n v="6"/>
    <n v="2"/>
    <n v="0"/>
    <n v="0"/>
    <n v="0"/>
    <n v="0"/>
    <n v="0"/>
    <n v="0"/>
    <n v="1"/>
    <n v="5"/>
    <n v="2024"/>
    <x v="1"/>
    <x v="0"/>
    <x v="1"/>
  </r>
  <r>
    <x v="1"/>
    <x v="95"/>
    <x v="1"/>
    <x v="42"/>
    <n v="71"/>
    <n v="40"/>
    <n v="2"/>
    <n v="0"/>
    <n v="0"/>
    <n v="0"/>
    <n v="0"/>
    <n v="0"/>
    <n v="6"/>
    <n v="63"/>
    <n v="2024"/>
    <x v="1"/>
    <x v="0"/>
    <x v="1"/>
  </r>
  <r>
    <x v="1"/>
    <x v="95"/>
    <x v="1"/>
    <x v="43"/>
    <n v="141"/>
    <n v="64"/>
    <n v="2"/>
    <n v="0"/>
    <n v="3222"/>
    <n v="2"/>
    <n v="3222"/>
    <n v="2"/>
    <n v="86"/>
    <n v="81"/>
    <n v="2024"/>
    <x v="1"/>
    <x v="0"/>
    <x v="1"/>
  </r>
  <r>
    <x v="1"/>
    <x v="95"/>
    <x v="1"/>
    <x v="44"/>
    <n v="20"/>
    <n v="9"/>
    <n v="0"/>
    <n v="1"/>
    <n v="9868"/>
    <n v="4"/>
    <n v="9868"/>
    <n v="4"/>
    <n v="0"/>
    <n v="20"/>
    <n v="2024"/>
    <x v="1"/>
    <x v="0"/>
    <x v="1"/>
  </r>
  <r>
    <x v="1"/>
    <x v="95"/>
    <x v="1"/>
    <x v="45"/>
    <n v="7"/>
    <n v="4"/>
    <n v="0"/>
    <n v="0"/>
    <n v="0"/>
    <n v="0"/>
    <n v="0"/>
    <n v="0"/>
    <n v="0"/>
    <n v="7"/>
    <n v="2024"/>
    <x v="1"/>
    <x v="0"/>
    <x v="1"/>
  </r>
  <r>
    <x v="1"/>
    <x v="96"/>
    <x v="0"/>
    <x v="0"/>
    <n v="511"/>
    <n v="180"/>
    <n v="7"/>
    <n v="1"/>
    <n v="16463.59"/>
    <n v="6"/>
    <n v="14786.59"/>
    <n v="6"/>
    <n v="15"/>
    <n v="481"/>
    <n v="2024"/>
    <x v="1"/>
    <x v="0"/>
    <x v="1"/>
  </r>
  <r>
    <x v="1"/>
    <x v="96"/>
    <x v="0"/>
    <x v="1"/>
    <n v="26768"/>
    <n v="16859"/>
    <n v="431"/>
    <n v="106"/>
    <n v="528816.89"/>
    <n v="182"/>
    <n v="468880.64000000001"/>
    <n v="174"/>
    <n v="1378"/>
    <n v="26702"/>
    <n v="2024"/>
    <x v="1"/>
    <x v="0"/>
    <x v="1"/>
  </r>
  <r>
    <x v="1"/>
    <x v="96"/>
    <x v="0"/>
    <x v="2"/>
    <n v="2816"/>
    <n v="2277"/>
    <n v="24"/>
    <n v="9"/>
    <n v="44963"/>
    <n v="15"/>
    <n v="26955"/>
    <n v="12"/>
    <n v="2816"/>
    <n v="919"/>
    <n v="2024"/>
    <x v="1"/>
    <x v="0"/>
    <x v="1"/>
  </r>
  <r>
    <x v="1"/>
    <x v="96"/>
    <x v="0"/>
    <x v="3"/>
    <n v="4173"/>
    <n v="3722"/>
    <n v="7"/>
    <n v="0"/>
    <n v="0"/>
    <n v="0"/>
    <n v="0"/>
    <n v="0"/>
    <n v="12"/>
    <n v="1522"/>
    <n v="2024"/>
    <x v="1"/>
    <x v="0"/>
    <x v="1"/>
  </r>
  <r>
    <x v="1"/>
    <x v="96"/>
    <x v="1"/>
    <x v="5"/>
    <n v="6"/>
    <n v="6"/>
    <n v="0"/>
    <n v="0"/>
    <n v="0"/>
    <n v="0"/>
    <n v="0"/>
    <n v="0"/>
    <n v="0"/>
    <n v="6"/>
    <n v="2024"/>
    <x v="1"/>
    <x v="0"/>
    <x v="1"/>
  </r>
  <r>
    <x v="1"/>
    <x v="96"/>
    <x v="1"/>
    <x v="6"/>
    <n v="954"/>
    <n v="916"/>
    <n v="0"/>
    <n v="0"/>
    <n v="0"/>
    <n v="0"/>
    <n v="0"/>
    <n v="0"/>
    <n v="0"/>
    <n v="1"/>
    <n v="2024"/>
    <x v="1"/>
    <x v="0"/>
    <x v="1"/>
  </r>
  <r>
    <x v="1"/>
    <x v="96"/>
    <x v="1"/>
    <x v="7"/>
    <n v="783"/>
    <n v="242"/>
    <n v="125"/>
    <n v="5"/>
    <n v="587363.51"/>
    <n v="201"/>
    <n v="536835.51"/>
    <n v="192"/>
    <n v="282"/>
    <n v="760"/>
    <n v="2024"/>
    <x v="1"/>
    <x v="0"/>
    <x v="1"/>
  </r>
  <r>
    <x v="1"/>
    <x v="96"/>
    <x v="1"/>
    <x v="8"/>
    <n v="21"/>
    <n v="15"/>
    <n v="0"/>
    <n v="0"/>
    <n v="0"/>
    <n v="0"/>
    <n v="0"/>
    <n v="0"/>
    <n v="1"/>
    <n v="5"/>
    <n v="2024"/>
    <x v="1"/>
    <x v="0"/>
    <x v="1"/>
  </r>
  <r>
    <x v="1"/>
    <x v="96"/>
    <x v="1"/>
    <x v="9"/>
    <n v="3"/>
    <n v="1"/>
    <n v="0"/>
    <n v="0"/>
    <n v="0"/>
    <n v="0"/>
    <n v="0"/>
    <n v="0"/>
    <n v="0"/>
    <n v="3"/>
    <n v="2024"/>
    <x v="1"/>
    <x v="0"/>
    <x v="1"/>
  </r>
  <r>
    <x v="1"/>
    <x v="96"/>
    <x v="1"/>
    <x v="10"/>
    <n v="27"/>
    <n v="20"/>
    <n v="1"/>
    <n v="0"/>
    <n v="0"/>
    <n v="0"/>
    <n v="0"/>
    <n v="0"/>
    <n v="1"/>
    <n v="13"/>
    <n v="2024"/>
    <x v="1"/>
    <x v="0"/>
    <x v="1"/>
  </r>
  <r>
    <x v="1"/>
    <x v="96"/>
    <x v="1"/>
    <x v="11"/>
    <n v="10"/>
    <n v="7"/>
    <n v="0"/>
    <n v="0"/>
    <n v="3360"/>
    <n v="1"/>
    <n v="3360"/>
    <n v="1"/>
    <n v="8"/>
    <n v="2"/>
    <n v="2024"/>
    <x v="1"/>
    <x v="0"/>
    <x v="1"/>
  </r>
  <r>
    <x v="1"/>
    <x v="96"/>
    <x v="1"/>
    <x v="13"/>
    <n v="77"/>
    <n v="68"/>
    <n v="1"/>
    <n v="0"/>
    <n v="0"/>
    <n v="0"/>
    <n v="0"/>
    <n v="0"/>
    <n v="4"/>
    <n v="77"/>
    <n v="2024"/>
    <x v="1"/>
    <x v="0"/>
    <x v="1"/>
  </r>
  <r>
    <x v="1"/>
    <x v="96"/>
    <x v="1"/>
    <x v="59"/>
    <n v="2390"/>
    <n v="1631"/>
    <n v="12"/>
    <n v="6"/>
    <n v="27424.32"/>
    <n v="14"/>
    <n v="22084.32"/>
    <n v="11"/>
    <n v="76"/>
    <n v="560"/>
    <n v="2024"/>
    <x v="1"/>
    <x v="0"/>
    <x v="1"/>
  </r>
  <r>
    <x v="1"/>
    <x v="96"/>
    <x v="1"/>
    <x v="15"/>
    <n v="18"/>
    <n v="18"/>
    <n v="0"/>
    <n v="0"/>
    <n v="0"/>
    <n v="0"/>
    <n v="0"/>
    <n v="0"/>
    <n v="0"/>
    <n v="18"/>
    <n v="2024"/>
    <x v="1"/>
    <x v="0"/>
    <x v="1"/>
  </r>
  <r>
    <x v="1"/>
    <x v="96"/>
    <x v="1"/>
    <x v="16"/>
    <n v="13"/>
    <n v="0"/>
    <n v="0"/>
    <n v="0"/>
    <n v="17353"/>
    <n v="3"/>
    <n v="13269"/>
    <n v="3"/>
    <n v="0"/>
    <n v="13"/>
    <n v="2024"/>
    <x v="1"/>
    <x v="0"/>
    <x v="1"/>
  </r>
  <r>
    <x v="1"/>
    <x v="96"/>
    <x v="1"/>
    <x v="17"/>
    <n v="7"/>
    <n v="6"/>
    <n v="0"/>
    <n v="0"/>
    <n v="0"/>
    <n v="0"/>
    <n v="0"/>
    <n v="0"/>
    <n v="6"/>
    <n v="1"/>
    <n v="2024"/>
    <x v="1"/>
    <x v="0"/>
    <x v="1"/>
  </r>
  <r>
    <x v="1"/>
    <x v="96"/>
    <x v="1"/>
    <x v="18"/>
    <n v="10"/>
    <n v="8"/>
    <n v="2"/>
    <n v="1"/>
    <n v="9028"/>
    <n v="3"/>
    <n v="9028"/>
    <n v="3"/>
    <n v="0"/>
    <n v="8"/>
    <n v="2024"/>
    <x v="1"/>
    <x v="0"/>
    <x v="1"/>
  </r>
  <r>
    <x v="1"/>
    <x v="96"/>
    <x v="1"/>
    <x v="19"/>
    <n v="803"/>
    <n v="416"/>
    <n v="44"/>
    <n v="8"/>
    <n v="101622.97"/>
    <n v="41"/>
    <n v="88833.97"/>
    <n v="36"/>
    <n v="464"/>
    <n v="527"/>
    <n v="2024"/>
    <x v="1"/>
    <x v="0"/>
    <x v="1"/>
  </r>
  <r>
    <x v="1"/>
    <x v="96"/>
    <x v="1"/>
    <x v="20"/>
    <n v="9"/>
    <n v="4"/>
    <n v="0"/>
    <n v="0"/>
    <n v="0"/>
    <n v="0"/>
    <n v="0"/>
    <n v="0"/>
    <n v="5"/>
    <n v="6"/>
    <n v="2024"/>
    <x v="1"/>
    <x v="0"/>
    <x v="1"/>
  </r>
  <r>
    <x v="1"/>
    <x v="96"/>
    <x v="1"/>
    <x v="21"/>
    <n v="5"/>
    <n v="3"/>
    <n v="0"/>
    <n v="0"/>
    <n v="0"/>
    <n v="0"/>
    <n v="0"/>
    <n v="0"/>
    <n v="0"/>
    <n v="5"/>
    <n v="2024"/>
    <x v="1"/>
    <x v="0"/>
    <x v="1"/>
  </r>
  <r>
    <x v="1"/>
    <x v="96"/>
    <x v="1"/>
    <x v="24"/>
    <n v="38"/>
    <n v="27"/>
    <n v="7"/>
    <n v="0"/>
    <n v="12885"/>
    <n v="4"/>
    <n v="12885"/>
    <n v="4"/>
    <n v="8"/>
    <n v="35"/>
    <n v="2024"/>
    <x v="1"/>
    <x v="0"/>
    <x v="1"/>
  </r>
  <r>
    <x v="1"/>
    <x v="96"/>
    <x v="1"/>
    <x v="26"/>
    <n v="1"/>
    <n v="1"/>
    <n v="0"/>
    <n v="0"/>
    <n v="0"/>
    <n v="0"/>
    <n v="0"/>
    <n v="0"/>
    <n v="0"/>
    <n v="1"/>
    <n v="2024"/>
    <x v="1"/>
    <x v="0"/>
    <x v="1"/>
  </r>
  <r>
    <x v="1"/>
    <x v="96"/>
    <x v="1"/>
    <x v="27"/>
    <n v="223"/>
    <n v="98"/>
    <n v="24"/>
    <n v="3"/>
    <n v="63585.63"/>
    <n v="24"/>
    <n v="55916.63"/>
    <n v="22"/>
    <n v="70"/>
    <n v="203"/>
    <n v="2024"/>
    <x v="1"/>
    <x v="0"/>
    <x v="1"/>
  </r>
  <r>
    <x v="1"/>
    <x v="96"/>
    <x v="1"/>
    <x v="28"/>
    <n v="1"/>
    <n v="1"/>
    <n v="0"/>
    <n v="0"/>
    <n v="0"/>
    <n v="0"/>
    <n v="0"/>
    <n v="0"/>
    <n v="0"/>
    <n v="0"/>
    <n v="2024"/>
    <x v="1"/>
    <x v="0"/>
    <x v="1"/>
  </r>
  <r>
    <x v="1"/>
    <x v="96"/>
    <x v="1"/>
    <x v="29"/>
    <n v="730"/>
    <n v="571"/>
    <n v="65"/>
    <n v="7"/>
    <n v="59108"/>
    <n v="17"/>
    <n v="50111"/>
    <n v="15"/>
    <n v="255"/>
    <n v="620"/>
    <n v="2024"/>
    <x v="1"/>
    <x v="0"/>
    <x v="1"/>
  </r>
  <r>
    <x v="1"/>
    <x v="96"/>
    <x v="1"/>
    <x v="30"/>
    <n v="2135"/>
    <n v="1379"/>
    <n v="45"/>
    <n v="17"/>
    <n v="75379.31"/>
    <n v="26"/>
    <n v="73052.31"/>
    <n v="25"/>
    <n v="388"/>
    <n v="1366"/>
    <n v="2024"/>
    <x v="1"/>
    <x v="0"/>
    <x v="1"/>
  </r>
  <r>
    <x v="1"/>
    <x v="96"/>
    <x v="1"/>
    <x v="31"/>
    <n v="93"/>
    <n v="67"/>
    <n v="6"/>
    <n v="2"/>
    <n v="12175"/>
    <n v="4"/>
    <n v="10678"/>
    <n v="4"/>
    <n v="21"/>
    <n v="89"/>
    <n v="2024"/>
    <x v="1"/>
    <x v="0"/>
    <x v="1"/>
  </r>
  <r>
    <x v="1"/>
    <x v="96"/>
    <x v="1"/>
    <x v="32"/>
    <n v="2"/>
    <n v="2"/>
    <n v="0"/>
    <n v="0"/>
    <n v="0"/>
    <n v="0"/>
    <n v="0"/>
    <n v="0"/>
    <n v="1"/>
    <n v="2"/>
    <n v="2024"/>
    <x v="1"/>
    <x v="0"/>
    <x v="1"/>
  </r>
  <r>
    <x v="1"/>
    <x v="96"/>
    <x v="1"/>
    <x v="34"/>
    <n v="274"/>
    <n v="123"/>
    <n v="25"/>
    <n v="1"/>
    <n v="29644.63"/>
    <n v="10"/>
    <n v="29644.63"/>
    <n v="10"/>
    <n v="123"/>
    <n v="233"/>
    <n v="2024"/>
    <x v="1"/>
    <x v="0"/>
    <x v="1"/>
  </r>
  <r>
    <x v="1"/>
    <x v="96"/>
    <x v="1"/>
    <x v="36"/>
    <n v="2"/>
    <n v="2"/>
    <n v="0"/>
    <n v="0"/>
    <n v="0"/>
    <n v="0"/>
    <n v="0"/>
    <n v="0"/>
    <n v="2"/>
    <n v="0"/>
    <n v="2024"/>
    <x v="1"/>
    <x v="0"/>
    <x v="1"/>
  </r>
  <r>
    <x v="1"/>
    <x v="96"/>
    <x v="1"/>
    <x v="37"/>
    <n v="765"/>
    <n v="504"/>
    <n v="6"/>
    <n v="0"/>
    <n v="39043"/>
    <n v="11"/>
    <n v="36813"/>
    <n v="10"/>
    <n v="56"/>
    <n v="764"/>
    <n v="2024"/>
    <x v="1"/>
    <x v="0"/>
    <x v="1"/>
  </r>
  <r>
    <x v="1"/>
    <x v="96"/>
    <x v="1"/>
    <x v="38"/>
    <n v="481"/>
    <n v="172"/>
    <n v="49"/>
    <n v="2"/>
    <n v="113231.55"/>
    <n v="37"/>
    <n v="90365.55"/>
    <n v="35"/>
    <n v="147"/>
    <n v="427"/>
    <n v="2024"/>
    <x v="1"/>
    <x v="0"/>
    <x v="1"/>
  </r>
  <r>
    <x v="1"/>
    <x v="96"/>
    <x v="1"/>
    <x v="40"/>
    <n v="87"/>
    <n v="86"/>
    <n v="0"/>
    <n v="0"/>
    <n v="0"/>
    <n v="0"/>
    <n v="0"/>
    <n v="0"/>
    <n v="1"/>
    <n v="87"/>
    <n v="2024"/>
    <x v="1"/>
    <x v="0"/>
    <x v="1"/>
  </r>
  <r>
    <x v="1"/>
    <x v="96"/>
    <x v="1"/>
    <x v="41"/>
    <n v="7"/>
    <n v="2"/>
    <n v="0"/>
    <n v="0"/>
    <n v="0"/>
    <n v="0"/>
    <n v="0"/>
    <n v="0"/>
    <n v="1"/>
    <n v="7"/>
    <n v="2024"/>
    <x v="1"/>
    <x v="0"/>
    <x v="1"/>
  </r>
  <r>
    <x v="1"/>
    <x v="96"/>
    <x v="1"/>
    <x v="42"/>
    <n v="108"/>
    <n v="50"/>
    <n v="4"/>
    <n v="5"/>
    <n v="0"/>
    <n v="0"/>
    <n v="0"/>
    <n v="0"/>
    <n v="18"/>
    <n v="92"/>
    <n v="2024"/>
    <x v="1"/>
    <x v="0"/>
    <x v="1"/>
  </r>
  <r>
    <x v="1"/>
    <x v="96"/>
    <x v="1"/>
    <x v="43"/>
    <n v="181"/>
    <n v="89"/>
    <n v="8"/>
    <n v="1"/>
    <n v="1775"/>
    <n v="1"/>
    <n v="1775"/>
    <n v="1"/>
    <n v="127"/>
    <n v="95"/>
    <n v="2024"/>
    <x v="1"/>
    <x v="0"/>
    <x v="1"/>
  </r>
  <r>
    <x v="1"/>
    <x v="96"/>
    <x v="1"/>
    <x v="44"/>
    <n v="32"/>
    <n v="10"/>
    <n v="2"/>
    <n v="0"/>
    <n v="39286"/>
    <n v="13"/>
    <n v="35929"/>
    <n v="12"/>
    <n v="1"/>
    <n v="32"/>
    <n v="2024"/>
    <x v="1"/>
    <x v="0"/>
    <x v="1"/>
  </r>
  <r>
    <x v="1"/>
    <x v="96"/>
    <x v="1"/>
    <x v="45"/>
    <n v="3"/>
    <n v="3"/>
    <n v="0"/>
    <n v="0"/>
    <n v="0"/>
    <n v="0"/>
    <n v="0"/>
    <n v="0"/>
    <n v="0"/>
    <n v="3"/>
    <n v="2024"/>
    <x v="1"/>
    <x v="0"/>
    <x v="1"/>
  </r>
  <r>
    <x v="1"/>
    <x v="97"/>
    <x v="0"/>
    <x v="0"/>
    <n v="381"/>
    <n v="113"/>
    <n v="0"/>
    <n v="0"/>
    <n v="2995"/>
    <n v="1"/>
    <n v="0"/>
    <n v="0"/>
    <n v="15"/>
    <n v="361"/>
    <n v="2024"/>
    <x v="1"/>
    <x v="0"/>
    <x v="1"/>
  </r>
  <r>
    <x v="1"/>
    <x v="97"/>
    <x v="0"/>
    <x v="1"/>
    <n v="27844"/>
    <n v="18234"/>
    <n v="236"/>
    <n v="112"/>
    <n v="138923.5"/>
    <n v="29"/>
    <n v="31342"/>
    <n v="14"/>
    <n v="1251"/>
    <n v="27771"/>
    <n v="2024"/>
    <x v="1"/>
    <x v="0"/>
    <x v="1"/>
  </r>
  <r>
    <x v="1"/>
    <x v="97"/>
    <x v="0"/>
    <x v="2"/>
    <n v="2889"/>
    <n v="2432"/>
    <n v="8"/>
    <n v="4"/>
    <n v="9242.5"/>
    <n v="2"/>
    <n v="0"/>
    <n v="0"/>
    <n v="2889"/>
    <n v="830"/>
    <n v="2024"/>
    <x v="1"/>
    <x v="0"/>
    <x v="1"/>
  </r>
  <r>
    <x v="1"/>
    <x v="97"/>
    <x v="0"/>
    <x v="3"/>
    <n v="2739"/>
    <n v="2441"/>
    <n v="1"/>
    <n v="0"/>
    <n v="0"/>
    <n v="0"/>
    <n v="0"/>
    <n v="0"/>
    <n v="6"/>
    <n v="758"/>
    <n v="2024"/>
    <x v="1"/>
    <x v="0"/>
    <x v="1"/>
  </r>
  <r>
    <x v="1"/>
    <x v="97"/>
    <x v="1"/>
    <x v="5"/>
    <n v="5"/>
    <n v="2"/>
    <n v="0"/>
    <n v="0"/>
    <n v="0"/>
    <n v="0"/>
    <n v="0"/>
    <n v="0"/>
    <n v="1"/>
    <n v="5"/>
    <n v="2024"/>
    <x v="1"/>
    <x v="0"/>
    <x v="1"/>
  </r>
  <r>
    <x v="1"/>
    <x v="97"/>
    <x v="1"/>
    <x v="6"/>
    <n v="405"/>
    <n v="387"/>
    <n v="0"/>
    <n v="0"/>
    <n v="0"/>
    <n v="0"/>
    <n v="0"/>
    <n v="0"/>
    <n v="0"/>
    <n v="0"/>
    <n v="2024"/>
    <x v="1"/>
    <x v="0"/>
    <x v="1"/>
  </r>
  <r>
    <x v="1"/>
    <x v="97"/>
    <x v="1"/>
    <x v="7"/>
    <n v="508"/>
    <n v="127"/>
    <n v="52"/>
    <n v="1"/>
    <n v="63209"/>
    <n v="20"/>
    <n v="32457"/>
    <n v="12"/>
    <n v="142"/>
    <n v="485"/>
    <n v="2024"/>
    <x v="1"/>
    <x v="0"/>
    <x v="1"/>
  </r>
  <r>
    <x v="1"/>
    <x v="97"/>
    <x v="1"/>
    <x v="8"/>
    <n v="17"/>
    <n v="11"/>
    <n v="0"/>
    <n v="0"/>
    <n v="0"/>
    <n v="0"/>
    <n v="0"/>
    <n v="0"/>
    <n v="1"/>
    <n v="4"/>
    <n v="2024"/>
    <x v="1"/>
    <x v="0"/>
    <x v="1"/>
  </r>
  <r>
    <x v="1"/>
    <x v="97"/>
    <x v="1"/>
    <x v="9"/>
    <n v="6"/>
    <n v="3"/>
    <n v="0"/>
    <n v="0"/>
    <n v="0"/>
    <n v="0"/>
    <n v="0"/>
    <n v="0"/>
    <n v="0"/>
    <n v="6"/>
    <n v="2024"/>
    <x v="1"/>
    <x v="0"/>
    <x v="1"/>
  </r>
  <r>
    <x v="1"/>
    <x v="97"/>
    <x v="1"/>
    <x v="10"/>
    <n v="31"/>
    <n v="26"/>
    <n v="0"/>
    <n v="0"/>
    <n v="0"/>
    <n v="0"/>
    <n v="0"/>
    <n v="0"/>
    <n v="0"/>
    <n v="6"/>
    <n v="2024"/>
    <x v="1"/>
    <x v="0"/>
    <x v="1"/>
  </r>
  <r>
    <x v="1"/>
    <x v="97"/>
    <x v="1"/>
    <x v="11"/>
    <n v="1"/>
    <n v="1"/>
    <n v="0"/>
    <n v="0"/>
    <n v="0"/>
    <n v="0"/>
    <n v="0"/>
    <n v="0"/>
    <n v="0"/>
    <n v="1"/>
    <n v="2024"/>
    <x v="1"/>
    <x v="0"/>
    <x v="1"/>
  </r>
  <r>
    <x v="1"/>
    <x v="97"/>
    <x v="1"/>
    <x v="59"/>
    <n v="5363"/>
    <n v="4423"/>
    <n v="5"/>
    <n v="10"/>
    <n v="6101"/>
    <n v="2"/>
    <n v="3864"/>
    <n v="2"/>
    <n v="60"/>
    <n v="722"/>
    <n v="2024"/>
    <x v="1"/>
    <x v="0"/>
    <x v="1"/>
  </r>
  <r>
    <x v="1"/>
    <x v="97"/>
    <x v="1"/>
    <x v="15"/>
    <n v="13"/>
    <n v="13"/>
    <n v="0"/>
    <n v="0"/>
    <n v="0"/>
    <n v="0"/>
    <n v="0"/>
    <n v="0"/>
    <n v="0"/>
    <n v="13"/>
    <n v="2024"/>
    <x v="1"/>
    <x v="0"/>
    <x v="1"/>
  </r>
  <r>
    <x v="1"/>
    <x v="97"/>
    <x v="1"/>
    <x v="16"/>
    <n v="7"/>
    <n v="1"/>
    <n v="0"/>
    <n v="0"/>
    <n v="0"/>
    <n v="0"/>
    <n v="0"/>
    <n v="0"/>
    <n v="1"/>
    <n v="7"/>
    <n v="2024"/>
    <x v="1"/>
    <x v="0"/>
    <x v="1"/>
  </r>
  <r>
    <x v="1"/>
    <x v="97"/>
    <x v="1"/>
    <x v="18"/>
    <n v="13"/>
    <n v="10"/>
    <n v="2"/>
    <n v="0"/>
    <n v="0"/>
    <n v="0"/>
    <n v="0"/>
    <n v="0"/>
    <n v="2"/>
    <n v="9"/>
    <n v="2024"/>
    <x v="1"/>
    <x v="0"/>
    <x v="1"/>
  </r>
  <r>
    <x v="1"/>
    <x v="97"/>
    <x v="1"/>
    <x v="19"/>
    <n v="773"/>
    <n v="469"/>
    <n v="22"/>
    <n v="2"/>
    <n v="9907"/>
    <n v="3"/>
    <n v="4675"/>
    <n v="2"/>
    <n v="377"/>
    <n v="457"/>
    <n v="2024"/>
    <x v="1"/>
    <x v="0"/>
    <x v="1"/>
  </r>
  <r>
    <x v="1"/>
    <x v="97"/>
    <x v="1"/>
    <x v="20"/>
    <n v="5"/>
    <n v="2"/>
    <n v="0"/>
    <n v="0"/>
    <n v="0"/>
    <n v="0"/>
    <n v="0"/>
    <n v="0"/>
    <n v="1"/>
    <n v="4"/>
    <n v="2024"/>
    <x v="1"/>
    <x v="0"/>
    <x v="1"/>
  </r>
  <r>
    <x v="1"/>
    <x v="97"/>
    <x v="1"/>
    <x v="21"/>
    <n v="7"/>
    <n v="3"/>
    <n v="0"/>
    <n v="0"/>
    <n v="0"/>
    <n v="0"/>
    <n v="0"/>
    <n v="0"/>
    <n v="1"/>
    <n v="7"/>
    <n v="2024"/>
    <x v="1"/>
    <x v="0"/>
    <x v="1"/>
  </r>
  <r>
    <x v="1"/>
    <x v="97"/>
    <x v="1"/>
    <x v="24"/>
    <n v="16"/>
    <n v="9"/>
    <n v="0"/>
    <n v="0"/>
    <n v="0"/>
    <n v="0"/>
    <n v="0"/>
    <n v="0"/>
    <n v="5"/>
    <n v="11"/>
    <n v="2024"/>
    <x v="1"/>
    <x v="0"/>
    <x v="1"/>
  </r>
  <r>
    <x v="1"/>
    <x v="97"/>
    <x v="1"/>
    <x v="27"/>
    <n v="296"/>
    <n v="130"/>
    <n v="16"/>
    <n v="2"/>
    <n v="12387"/>
    <n v="4"/>
    <n v="7515"/>
    <n v="3"/>
    <n v="88"/>
    <n v="269"/>
    <n v="2024"/>
    <x v="1"/>
    <x v="0"/>
    <x v="1"/>
  </r>
  <r>
    <x v="1"/>
    <x v="97"/>
    <x v="1"/>
    <x v="29"/>
    <n v="528"/>
    <n v="391"/>
    <n v="23"/>
    <n v="1"/>
    <n v="4584.5"/>
    <n v="2"/>
    <n v="2237"/>
    <n v="1"/>
    <n v="203"/>
    <n v="392"/>
    <n v="2024"/>
    <x v="1"/>
    <x v="0"/>
    <x v="1"/>
  </r>
  <r>
    <x v="1"/>
    <x v="97"/>
    <x v="1"/>
    <x v="30"/>
    <n v="4686"/>
    <n v="3922"/>
    <n v="38"/>
    <n v="15"/>
    <n v="10660"/>
    <n v="4"/>
    <n v="4970"/>
    <n v="2"/>
    <n v="272"/>
    <n v="1182"/>
    <n v="2024"/>
    <x v="1"/>
    <x v="0"/>
    <x v="1"/>
  </r>
  <r>
    <x v="1"/>
    <x v="97"/>
    <x v="1"/>
    <x v="31"/>
    <n v="96"/>
    <n v="62"/>
    <n v="4"/>
    <n v="2"/>
    <n v="2187"/>
    <n v="1"/>
    <n v="2187"/>
    <n v="1"/>
    <n v="15"/>
    <n v="90"/>
    <n v="2024"/>
    <x v="1"/>
    <x v="0"/>
    <x v="1"/>
  </r>
  <r>
    <x v="1"/>
    <x v="97"/>
    <x v="1"/>
    <x v="32"/>
    <n v="7"/>
    <n v="3"/>
    <n v="0"/>
    <n v="0"/>
    <n v="0"/>
    <n v="0"/>
    <n v="0"/>
    <n v="0"/>
    <n v="3"/>
    <n v="6"/>
    <n v="2024"/>
    <x v="1"/>
    <x v="0"/>
    <x v="1"/>
  </r>
  <r>
    <x v="1"/>
    <x v="97"/>
    <x v="1"/>
    <x v="34"/>
    <n v="204"/>
    <n v="99"/>
    <n v="15"/>
    <n v="3"/>
    <n v="7815"/>
    <n v="3"/>
    <n v="2488"/>
    <n v="1"/>
    <n v="76"/>
    <n v="172"/>
    <n v="2024"/>
    <x v="1"/>
    <x v="0"/>
    <x v="1"/>
  </r>
  <r>
    <x v="1"/>
    <x v="97"/>
    <x v="1"/>
    <x v="36"/>
    <n v="1"/>
    <n v="1"/>
    <n v="0"/>
    <n v="0"/>
    <n v="0"/>
    <n v="0"/>
    <n v="0"/>
    <n v="0"/>
    <n v="0"/>
    <n v="1"/>
    <n v="2024"/>
    <x v="1"/>
    <x v="0"/>
    <x v="1"/>
  </r>
  <r>
    <x v="1"/>
    <x v="97"/>
    <x v="1"/>
    <x v="37"/>
    <n v="733"/>
    <n v="496"/>
    <n v="3"/>
    <n v="0"/>
    <n v="2438"/>
    <n v="1"/>
    <n v="2438"/>
    <n v="1"/>
    <n v="65"/>
    <n v="726"/>
    <n v="2024"/>
    <x v="1"/>
    <x v="0"/>
    <x v="1"/>
  </r>
  <r>
    <x v="1"/>
    <x v="97"/>
    <x v="1"/>
    <x v="38"/>
    <n v="343"/>
    <n v="144"/>
    <n v="22"/>
    <n v="4"/>
    <n v="27361.5"/>
    <n v="7"/>
    <n v="27361.5"/>
    <n v="7"/>
    <n v="89"/>
    <n v="280"/>
    <n v="2024"/>
    <x v="1"/>
    <x v="0"/>
    <x v="1"/>
  </r>
  <r>
    <x v="1"/>
    <x v="97"/>
    <x v="1"/>
    <x v="40"/>
    <n v="1"/>
    <n v="1"/>
    <n v="0"/>
    <n v="0"/>
    <n v="0"/>
    <n v="0"/>
    <n v="0"/>
    <n v="0"/>
    <n v="0"/>
    <n v="1"/>
    <n v="2024"/>
    <x v="1"/>
    <x v="0"/>
    <x v="1"/>
  </r>
  <r>
    <x v="1"/>
    <x v="97"/>
    <x v="1"/>
    <x v="41"/>
    <n v="7"/>
    <n v="4"/>
    <n v="0"/>
    <n v="0"/>
    <n v="0"/>
    <n v="0"/>
    <n v="0"/>
    <n v="0"/>
    <n v="1"/>
    <n v="7"/>
    <n v="2024"/>
    <x v="1"/>
    <x v="0"/>
    <x v="1"/>
  </r>
  <r>
    <x v="1"/>
    <x v="97"/>
    <x v="1"/>
    <x v="42"/>
    <n v="104"/>
    <n v="42"/>
    <n v="3"/>
    <n v="0"/>
    <n v="2895"/>
    <n v="1"/>
    <n v="0"/>
    <n v="0"/>
    <n v="8"/>
    <n v="86"/>
    <n v="2024"/>
    <x v="1"/>
    <x v="0"/>
    <x v="1"/>
  </r>
  <r>
    <x v="1"/>
    <x v="97"/>
    <x v="1"/>
    <x v="43"/>
    <n v="234"/>
    <n v="153"/>
    <n v="7"/>
    <n v="0"/>
    <n v="2187"/>
    <n v="1"/>
    <n v="2187"/>
    <n v="1"/>
    <n v="103"/>
    <n v="91"/>
    <n v="2024"/>
    <x v="1"/>
    <x v="0"/>
    <x v="1"/>
  </r>
  <r>
    <x v="1"/>
    <x v="97"/>
    <x v="1"/>
    <x v="44"/>
    <n v="5"/>
    <n v="0"/>
    <n v="1"/>
    <n v="0"/>
    <n v="0"/>
    <n v="0"/>
    <n v="0"/>
    <n v="0"/>
    <n v="0"/>
    <n v="5"/>
    <n v="2024"/>
    <x v="1"/>
    <x v="0"/>
    <x v="1"/>
  </r>
  <r>
    <x v="1"/>
    <x v="97"/>
    <x v="1"/>
    <x v="45"/>
    <n v="1"/>
    <n v="0"/>
    <n v="1"/>
    <n v="0"/>
    <n v="2237"/>
    <n v="1"/>
    <n v="0"/>
    <n v="0"/>
    <n v="1"/>
    <n v="1"/>
    <n v="2024"/>
    <x v="1"/>
    <x v="0"/>
    <x v="1"/>
  </r>
  <r>
    <x v="1"/>
    <x v="98"/>
    <x v="0"/>
    <x v="0"/>
    <n v="357"/>
    <n v="96"/>
    <n v="2"/>
    <n v="0"/>
    <n v="0"/>
    <n v="0"/>
    <n v="0"/>
    <n v="0"/>
    <n v="17"/>
    <n v="350"/>
    <n v="2024"/>
    <x v="1"/>
    <x v="0"/>
    <x v="1"/>
  </r>
  <r>
    <x v="1"/>
    <x v="98"/>
    <x v="0"/>
    <x v="1"/>
    <n v="26956"/>
    <n v="17393"/>
    <n v="249"/>
    <n v="102"/>
    <n v="125942.5"/>
    <n v="37"/>
    <n v="72355.5"/>
    <n v="28"/>
    <n v="1155"/>
    <n v="26920"/>
    <n v="2024"/>
    <x v="1"/>
    <x v="0"/>
    <x v="1"/>
  </r>
  <r>
    <x v="1"/>
    <x v="98"/>
    <x v="0"/>
    <x v="2"/>
    <n v="2529"/>
    <n v="2148"/>
    <n v="16"/>
    <n v="6"/>
    <n v="4510"/>
    <n v="1"/>
    <n v="4510"/>
    <n v="1"/>
    <n v="2529"/>
    <n v="711"/>
    <n v="2024"/>
    <x v="1"/>
    <x v="0"/>
    <x v="1"/>
  </r>
  <r>
    <x v="1"/>
    <x v="98"/>
    <x v="0"/>
    <x v="3"/>
    <n v="8"/>
    <n v="8"/>
    <n v="0"/>
    <n v="0"/>
    <n v="0"/>
    <n v="0"/>
    <n v="0"/>
    <n v="0"/>
    <n v="0"/>
    <n v="7"/>
    <n v="2024"/>
    <x v="1"/>
    <x v="0"/>
    <x v="1"/>
  </r>
  <r>
    <x v="1"/>
    <x v="98"/>
    <x v="1"/>
    <x v="5"/>
    <n v="7"/>
    <n v="5"/>
    <n v="0"/>
    <n v="0"/>
    <n v="0"/>
    <n v="0"/>
    <n v="0"/>
    <n v="0"/>
    <n v="1"/>
    <n v="7"/>
    <n v="2024"/>
    <x v="1"/>
    <x v="0"/>
    <x v="1"/>
  </r>
  <r>
    <x v="1"/>
    <x v="98"/>
    <x v="1"/>
    <x v="6"/>
    <n v="3"/>
    <n v="1"/>
    <n v="0"/>
    <n v="0"/>
    <n v="0"/>
    <n v="0"/>
    <n v="0"/>
    <n v="0"/>
    <n v="0"/>
    <n v="0"/>
    <n v="2024"/>
    <x v="1"/>
    <x v="0"/>
    <x v="1"/>
  </r>
  <r>
    <x v="1"/>
    <x v="98"/>
    <x v="1"/>
    <x v="7"/>
    <n v="357"/>
    <n v="84"/>
    <n v="31"/>
    <n v="2"/>
    <n v="69862.5"/>
    <n v="24"/>
    <n v="51900.5"/>
    <n v="20"/>
    <n v="85"/>
    <n v="339"/>
    <n v="2024"/>
    <x v="1"/>
    <x v="0"/>
    <x v="1"/>
  </r>
  <r>
    <x v="1"/>
    <x v="98"/>
    <x v="1"/>
    <x v="8"/>
    <n v="4"/>
    <n v="2"/>
    <n v="0"/>
    <n v="0"/>
    <n v="0"/>
    <n v="0"/>
    <n v="0"/>
    <n v="0"/>
    <n v="0"/>
    <n v="4"/>
    <n v="2024"/>
    <x v="1"/>
    <x v="0"/>
    <x v="1"/>
  </r>
  <r>
    <x v="1"/>
    <x v="98"/>
    <x v="1"/>
    <x v="9"/>
    <n v="4"/>
    <n v="1"/>
    <n v="0"/>
    <n v="0"/>
    <n v="0"/>
    <n v="0"/>
    <n v="0"/>
    <n v="0"/>
    <n v="0"/>
    <n v="4"/>
    <n v="2024"/>
    <x v="1"/>
    <x v="0"/>
    <x v="1"/>
  </r>
  <r>
    <x v="1"/>
    <x v="98"/>
    <x v="1"/>
    <x v="10"/>
    <n v="13"/>
    <n v="7"/>
    <n v="0"/>
    <n v="0"/>
    <n v="0"/>
    <n v="0"/>
    <n v="0"/>
    <n v="0"/>
    <n v="2"/>
    <n v="13"/>
    <n v="2024"/>
    <x v="1"/>
    <x v="0"/>
    <x v="1"/>
  </r>
  <r>
    <x v="1"/>
    <x v="98"/>
    <x v="1"/>
    <x v="11"/>
    <n v="1"/>
    <n v="1"/>
    <n v="0"/>
    <n v="0"/>
    <n v="0"/>
    <n v="0"/>
    <n v="0"/>
    <n v="0"/>
    <n v="1"/>
    <n v="0"/>
    <n v="2024"/>
    <x v="1"/>
    <x v="0"/>
    <x v="1"/>
  </r>
  <r>
    <x v="1"/>
    <x v="98"/>
    <x v="1"/>
    <x v="48"/>
    <n v="1"/>
    <n v="1"/>
    <n v="0"/>
    <n v="0"/>
    <n v="0"/>
    <n v="0"/>
    <n v="0"/>
    <n v="0"/>
    <n v="0"/>
    <n v="1"/>
    <n v="2024"/>
    <x v="1"/>
    <x v="0"/>
    <x v="1"/>
  </r>
  <r>
    <x v="1"/>
    <x v="98"/>
    <x v="1"/>
    <x v="59"/>
    <n v="611"/>
    <n v="202"/>
    <n v="8"/>
    <n v="8"/>
    <n v="2438"/>
    <n v="1"/>
    <n v="2438"/>
    <n v="1"/>
    <n v="57"/>
    <n v="576"/>
    <n v="2024"/>
    <x v="1"/>
    <x v="0"/>
    <x v="1"/>
  </r>
  <r>
    <x v="1"/>
    <x v="98"/>
    <x v="1"/>
    <x v="15"/>
    <n v="8"/>
    <n v="8"/>
    <n v="0"/>
    <n v="0"/>
    <n v="0"/>
    <n v="0"/>
    <n v="0"/>
    <n v="0"/>
    <n v="0"/>
    <n v="8"/>
    <n v="2024"/>
    <x v="1"/>
    <x v="0"/>
    <x v="1"/>
  </r>
  <r>
    <x v="1"/>
    <x v="98"/>
    <x v="1"/>
    <x v="16"/>
    <n v="4"/>
    <n v="0"/>
    <n v="0"/>
    <n v="0"/>
    <n v="0"/>
    <n v="0"/>
    <n v="0"/>
    <n v="0"/>
    <n v="0"/>
    <n v="4"/>
    <n v="2024"/>
    <x v="1"/>
    <x v="0"/>
    <x v="1"/>
  </r>
  <r>
    <x v="1"/>
    <x v="98"/>
    <x v="1"/>
    <x v="18"/>
    <n v="4"/>
    <n v="2"/>
    <n v="0"/>
    <n v="0"/>
    <n v="0"/>
    <n v="0"/>
    <n v="0"/>
    <n v="0"/>
    <n v="0"/>
    <n v="4"/>
    <n v="2024"/>
    <x v="1"/>
    <x v="0"/>
    <x v="1"/>
  </r>
  <r>
    <x v="1"/>
    <x v="98"/>
    <x v="1"/>
    <x v="19"/>
    <n v="703"/>
    <n v="351"/>
    <n v="28"/>
    <n v="9"/>
    <n v="36241.5"/>
    <n v="11"/>
    <n v="23064.5"/>
    <n v="9"/>
    <n v="420"/>
    <n v="455"/>
    <n v="2024"/>
    <x v="1"/>
    <x v="0"/>
    <x v="1"/>
  </r>
  <r>
    <x v="1"/>
    <x v="98"/>
    <x v="1"/>
    <x v="20"/>
    <n v="44"/>
    <n v="22"/>
    <n v="0"/>
    <n v="0"/>
    <n v="0"/>
    <n v="0"/>
    <n v="0"/>
    <n v="0"/>
    <n v="7"/>
    <n v="42"/>
    <n v="2024"/>
    <x v="1"/>
    <x v="0"/>
    <x v="1"/>
  </r>
  <r>
    <x v="1"/>
    <x v="98"/>
    <x v="1"/>
    <x v="21"/>
    <n v="10"/>
    <n v="2"/>
    <n v="0"/>
    <n v="0"/>
    <n v="0"/>
    <n v="0"/>
    <n v="0"/>
    <n v="0"/>
    <n v="2"/>
    <n v="10"/>
    <n v="2024"/>
    <x v="1"/>
    <x v="0"/>
    <x v="1"/>
  </r>
  <r>
    <x v="1"/>
    <x v="98"/>
    <x v="1"/>
    <x v="24"/>
    <n v="17"/>
    <n v="9"/>
    <n v="0"/>
    <n v="1"/>
    <n v="0"/>
    <n v="0"/>
    <n v="0"/>
    <n v="0"/>
    <n v="3"/>
    <n v="14"/>
    <n v="2024"/>
    <x v="1"/>
    <x v="0"/>
    <x v="1"/>
  </r>
  <r>
    <x v="1"/>
    <x v="98"/>
    <x v="1"/>
    <x v="27"/>
    <n v="380"/>
    <n v="192"/>
    <n v="40"/>
    <n v="4"/>
    <n v="33408"/>
    <n v="12"/>
    <n v="26868"/>
    <n v="11"/>
    <n v="118"/>
    <n v="359"/>
    <n v="2024"/>
    <x v="1"/>
    <x v="0"/>
    <x v="1"/>
  </r>
  <r>
    <x v="1"/>
    <x v="98"/>
    <x v="1"/>
    <x v="29"/>
    <n v="432"/>
    <n v="349"/>
    <n v="11"/>
    <n v="10"/>
    <n v="7814"/>
    <n v="3"/>
    <n v="7814"/>
    <n v="3"/>
    <n v="198"/>
    <n v="338"/>
    <n v="2024"/>
    <x v="1"/>
    <x v="0"/>
    <x v="1"/>
  </r>
  <r>
    <x v="1"/>
    <x v="98"/>
    <x v="1"/>
    <x v="30"/>
    <n v="1515"/>
    <n v="840"/>
    <n v="45"/>
    <n v="19"/>
    <n v="26139.5"/>
    <n v="9"/>
    <n v="15904.5"/>
    <n v="7"/>
    <n v="272"/>
    <n v="1354"/>
    <n v="2024"/>
    <x v="1"/>
    <x v="0"/>
    <x v="1"/>
  </r>
  <r>
    <x v="1"/>
    <x v="98"/>
    <x v="1"/>
    <x v="31"/>
    <n v="76"/>
    <n v="55"/>
    <n v="4"/>
    <n v="1"/>
    <n v="0"/>
    <n v="0"/>
    <n v="0"/>
    <n v="0"/>
    <n v="9"/>
    <n v="75"/>
    <n v="2024"/>
    <x v="1"/>
    <x v="0"/>
    <x v="1"/>
  </r>
  <r>
    <x v="1"/>
    <x v="98"/>
    <x v="1"/>
    <x v="32"/>
    <n v="6"/>
    <n v="4"/>
    <n v="0"/>
    <n v="0"/>
    <n v="0"/>
    <n v="0"/>
    <n v="0"/>
    <n v="0"/>
    <n v="2"/>
    <n v="5"/>
    <n v="2024"/>
    <x v="1"/>
    <x v="0"/>
    <x v="1"/>
  </r>
  <r>
    <x v="1"/>
    <x v="98"/>
    <x v="1"/>
    <x v="34"/>
    <n v="193"/>
    <n v="87"/>
    <n v="14"/>
    <n v="4"/>
    <n v="8927"/>
    <n v="2"/>
    <n v="5582"/>
    <n v="2"/>
    <n v="78"/>
    <n v="167"/>
    <n v="2024"/>
    <x v="1"/>
    <x v="0"/>
    <x v="1"/>
  </r>
  <r>
    <x v="1"/>
    <x v="98"/>
    <x v="1"/>
    <x v="37"/>
    <n v="551"/>
    <n v="359"/>
    <n v="3"/>
    <n v="0"/>
    <n v="8613"/>
    <n v="3"/>
    <n v="8613"/>
    <n v="3"/>
    <n v="57"/>
    <n v="546"/>
    <n v="2024"/>
    <x v="1"/>
    <x v="0"/>
    <x v="1"/>
  </r>
  <r>
    <x v="1"/>
    <x v="98"/>
    <x v="1"/>
    <x v="38"/>
    <n v="290"/>
    <n v="100"/>
    <n v="12"/>
    <n v="10"/>
    <n v="33635.5"/>
    <n v="12"/>
    <n v="30440.5"/>
    <n v="11"/>
    <n v="76"/>
    <n v="267"/>
    <n v="2024"/>
    <x v="1"/>
    <x v="0"/>
    <x v="1"/>
  </r>
  <r>
    <x v="1"/>
    <x v="98"/>
    <x v="1"/>
    <x v="40"/>
    <n v="2"/>
    <n v="2"/>
    <n v="0"/>
    <n v="0"/>
    <n v="0"/>
    <n v="0"/>
    <n v="0"/>
    <n v="0"/>
    <n v="0"/>
    <n v="2"/>
    <n v="2024"/>
    <x v="1"/>
    <x v="0"/>
    <x v="1"/>
  </r>
  <r>
    <x v="1"/>
    <x v="98"/>
    <x v="1"/>
    <x v="43"/>
    <n v="129"/>
    <n v="69"/>
    <n v="5"/>
    <n v="1"/>
    <n v="0"/>
    <n v="0"/>
    <n v="0"/>
    <n v="0"/>
    <n v="97"/>
    <n v="75"/>
    <n v="2024"/>
    <x v="1"/>
    <x v="0"/>
    <x v="1"/>
  </r>
  <r>
    <x v="1"/>
    <x v="98"/>
    <x v="1"/>
    <x v="44"/>
    <n v="10"/>
    <n v="2"/>
    <n v="0"/>
    <n v="0"/>
    <n v="3304"/>
    <n v="2"/>
    <n v="3304"/>
    <n v="2"/>
    <n v="0"/>
    <n v="10"/>
    <n v="2024"/>
    <x v="1"/>
    <x v="0"/>
    <x v="1"/>
  </r>
  <r>
    <x v="1"/>
    <x v="99"/>
    <x v="0"/>
    <x v="0"/>
    <n v="324"/>
    <n v="86"/>
    <n v="2"/>
    <n v="3"/>
    <n v="4374"/>
    <n v="2"/>
    <n v="4374"/>
    <n v="2"/>
    <n v="4"/>
    <n v="312"/>
    <n v="2024"/>
    <x v="1"/>
    <x v="0"/>
    <x v="1"/>
  </r>
  <r>
    <x v="1"/>
    <x v="99"/>
    <x v="0"/>
    <x v="1"/>
    <n v="20234"/>
    <n v="12367"/>
    <n v="211"/>
    <n v="86"/>
    <n v="104703.5"/>
    <n v="27"/>
    <n v="65153"/>
    <n v="19"/>
    <n v="1022"/>
    <n v="20204"/>
    <n v="2024"/>
    <x v="1"/>
    <x v="0"/>
    <x v="1"/>
  </r>
  <r>
    <x v="1"/>
    <x v="99"/>
    <x v="0"/>
    <x v="2"/>
    <n v="3412"/>
    <n v="2994"/>
    <n v="18"/>
    <n v="3"/>
    <n v="8736"/>
    <n v="3"/>
    <n v="8736"/>
    <n v="3"/>
    <n v="3411"/>
    <n v="902"/>
    <n v="2024"/>
    <x v="1"/>
    <x v="0"/>
    <x v="1"/>
  </r>
  <r>
    <x v="1"/>
    <x v="99"/>
    <x v="0"/>
    <x v="3"/>
    <n v="1710"/>
    <n v="1494"/>
    <n v="1"/>
    <n v="0"/>
    <n v="0"/>
    <n v="0"/>
    <n v="0"/>
    <n v="0"/>
    <n v="6"/>
    <n v="658"/>
    <n v="2024"/>
    <x v="1"/>
    <x v="0"/>
    <x v="1"/>
  </r>
  <r>
    <x v="1"/>
    <x v="99"/>
    <x v="1"/>
    <x v="5"/>
    <n v="9"/>
    <n v="3"/>
    <n v="1"/>
    <n v="0"/>
    <n v="0"/>
    <n v="0"/>
    <n v="0"/>
    <n v="0"/>
    <n v="2"/>
    <n v="9"/>
    <n v="2024"/>
    <x v="1"/>
    <x v="0"/>
    <x v="1"/>
  </r>
  <r>
    <x v="1"/>
    <x v="99"/>
    <x v="1"/>
    <x v="6"/>
    <n v="499"/>
    <n v="474"/>
    <n v="0"/>
    <n v="0"/>
    <n v="0"/>
    <n v="0"/>
    <n v="0"/>
    <n v="0"/>
    <n v="1"/>
    <n v="1"/>
    <n v="2024"/>
    <x v="1"/>
    <x v="0"/>
    <x v="1"/>
  </r>
  <r>
    <x v="1"/>
    <x v="99"/>
    <x v="1"/>
    <x v="7"/>
    <n v="284"/>
    <n v="64"/>
    <n v="32"/>
    <n v="6"/>
    <n v="58062.5"/>
    <n v="17"/>
    <n v="53417.5"/>
    <n v="17"/>
    <n v="81"/>
    <n v="276"/>
    <n v="2024"/>
    <x v="1"/>
    <x v="0"/>
    <x v="1"/>
  </r>
  <r>
    <x v="1"/>
    <x v="99"/>
    <x v="1"/>
    <x v="8"/>
    <n v="15"/>
    <n v="8"/>
    <n v="0"/>
    <n v="0"/>
    <n v="0"/>
    <n v="0"/>
    <n v="0"/>
    <n v="0"/>
    <n v="0"/>
    <n v="10"/>
    <n v="2024"/>
    <x v="1"/>
    <x v="0"/>
    <x v="1"/>
  </r>
  <r>
    <x v="1"/>
    <x v="99"/>
    <x v="1"/>
    <x v="9"/>
    <n v="3"/>
    <n v="2"/>
    <n v="0"/>
    <n v="1"/>
    <n v="0"/>
    <n v="0"/>
    <n v="0"/>
    <n v="0"/>
    <n v="0"/>
    <n v="3"/>
    <n v="2024"/>
    <x v="1"/>
    <x v="0"/>
    <x v="1"/>
  </r>
  <r>
    <x v="1"/>
    <x v="99"/>
    <x v="1"/>
    <x v="10"/>
    <n v="14"/>
    <n v="10"/>
    <n v="0"/>
    <n v="0"/>
    <n v="0"/>
    <n v="0"/>
    <n v="0"/>
    <n v="0"/>
    <n v="2"/>
    <n v="6"/>
    <n v="2024"/>
    <x v="1"/>
    <x v="0"/>
    <x v="1"/>
  </r>
  <r>
    <x v="1"/>
    <x v="99"/>
    <x v="1"/>
    <x v="11"/>
    <n v="1"/>
    <n v="0"/>
    <n v="0"/>
    <n v="0"/>
    <n v="0"/>
    <n v="0"/>
    <n v="0"/>
    <n v="0"/>
    <n v="0"/>
    <n v="1"/>
    <n v="2024"/>
    <x v="1"/>
    <x v="0"/>
    <x v="1"/>
  </r>
  <r>
    <x v="1"/>
    <x v="99"/>
    <x v="1"/>
    <x v="59"/>
    <n v="1730"/>
    <n v="1166"/>
    <n v="9"/>
    <n v="4"/>
    <n v="22682.5"/>
    <n v="4"/>
    <n v="11092.5"/>
    <n v="3"/>
    <n v="56"/>
    <n v="589"/>
    <n v="2024"/>
    <x v="1"/>
    <x v="0"/>
    <x v="1"/>
  </r>
  <r>
    <x v="1"/>
    <x v="99"/>
    <x v="1"/>
    <x v="15"/>
    <n v="10"/>
    <n v="10"/>
    <n v="0"/>
    <n v="0"/>
    <n v="0"/>
    <n v="0"/>
    <n v="0"/>
    <n v="0"/>
    <n v="0"/>
    <n v="10"/>
    <n v="2024"/>
    <x v="1"/>
    <x v="0"/>
    <x v="1"/>
  </r>
  <r>
    <x v="1"/>
    <x v="99"/>
    <x v="1"/>
    <x v="16"/>
    <n v="5"/>
    <n v="1"/>
    <n v="0"/>
    <n v="0"/>
    <n v="0"/>
    <n v="0"/>
    <n v="0"/>
    <n v="0"/>
    <n v="1"/>
    <n v="5"/>
    <n v="2024"/>
    <x v="1"/>
    <x v="0"/>
    <x v="1"/>
  </r>
  <r>
    <x v="1"/>
    <x v="99"/>
    <x v="1"/>
    <x v="17"/>
    <n v="1"/>
    <n v="1"/>
    <n v="0"/>
    <n v="0"/>
    <n v="0"/>
    <n v="0"/>
    <n v="0"/>
    <n v="0"/>
    <n v="0"/>
    <n v="1"/>
    <n v="2024"/>
    <x v="1"/>
    <x v="0"/>
    <x v="1"/>
  </r>
  <r>
    <x v="1"/>
    <x v="99"/>
    <x v="1"/>
    <x v="18"/>
    <n v="3"/>
    <n v="3"/>
    <n v="0"/>
    <n v="0"/>
    <n v="2438"/>
    <n v="1"/>
    <n v="2438"/>
    <n v="1"/>
    <n v="2"/>
    <n v="1"/>
    <n v="2024"/>
    <x v="1"/>
    <x v="0"/>
    <x v="1"/>
  </r>
  <r>
    <x v="1"/>
    <x v="99"/>
    <x v="1"/>
    <x v="19"/>
    <n v="629"/>
    <n v="374"/>
    <n v="16"/>
    <n v="9"/>
    <n v="35422.5"/>
    <n v="10"/>
    <n v="28777.5"/>
    <n v="9"/>
    <n v="336"/>
    <n v="380"/>
    <n v="2024"/>
    <x v="1"/>
    <x v="0"/>
    <x v="1"/>
  </r>
  <r>
    <x v="1"/>
    <x v="99"/>
    <x v="1"/>
    <x v="20"/>
    <n v="8"/>
    <n v="7"/>
    <n v="0"/>
    <n v="1"/>
    <n v="0"/>
    <n v="0"/>
    <n v="0"/>
    <n v="0"/>
    <n v="2"/>
    <n v="8"/>
    <n v="2024"/>
    <x v="1"/>
    <x v="0"/>
    <x v="1"/>
  </r>
  <r>
    <x v="1"/>
    <x v="99"/>
    <x v="1"/>
    <x v="21"/>
    <n v="11"/>
    <n v="4"/>
    <n v="0"/>
    <n v="1"/>
    <n v="9640"/>
    <n v="1"/>
    <n v="4995"/>
    <n v="1"/>
    <n v="1"/>
    <n v="11"/>
    <n v="2024"/>
    <x v="1"/>
    <x v="0"/>
    <x v="1"/>
  </r>
  <r>
    <x v="1"/>
    <x v="99"/>
    <x v="1"/>
    <x v="24"/>
    <n v="14"/>
    <n v="7"/>
    <n v="1"/>
    <n v="0"/>
    <n v="0"/>
    <n v="0"/>
    <n v="0"/>
    <n v="0"/>
    <n v="7"/>
    <n v="10"/>
    <n v="2024"/>
    <x v="1"/>
    <x v="0"/>
    <x v="1"/>
  </r>
  <r>
    <x v="1"/>
    <x v="99"/>
    <x v="1"/>
    <x v="25"/>
    <n v="3"/>
    <n v="2"/>
    <n v="0"/>
    <n v="1"/>
    <n v="0"/>
    <n v="0"/>
    <n v="0"/>
    <n v="0"/>
    <n v="1"/>
    <n v="3"/>
    <n v="2024"/>
    <x v="1"/>
    <x v="0"/>
    <x v="1"/>
  </r>
  <r>
    <x v="1"/>
    <x v="99"/>
    <x v="1"/>
    <x v="27"/>
    <n v="66"/>
    <n v="30"/>
    <n v="10"/>
    <n v="1"/>
    <n v="27637.5"/>
    <n v="6"/>
    <n v="24187.5"/>
    <n v="6"/>
    <n v="35"/>
    <n v="57"/>
    <n v="2024"/>
    <x v="1"/>
    <x v="0"/>
    <x v="1"/>
  </r>
  <r>
    <x v="1"/>
    <x v="99"/>
    <x v="1"/>
    <x v="29"/>
    <n v="366"/>
    <n v="290"/>
    <n v="15"/>
    <n v="8"/>
    <n v="0"/>
    <n v="0"/>
    <n v="0"/>
    <n v="0"/>
    <n v="159"/>
    <n v="274"/>
    <n v="2024"/>
    <x v="1"/>
    <x v="0"/>
    <x v="1"/>
  </r>
  <r>
    <x v="1"/>
    <x v="99"/>
    <x v="1"/>
    <x v="30"/>
    <n v="4323"/>
    <n v="3688"/>
    <n v="47"/>
    <n v="15"/>
    <n v="9197.5"/>
    <n v="2"/>
    <n v="5747.5"/>
    <n v="2"/>
    <n v="411"/>
    <n v="1260"/>
    <n v="2024"/>
    <x v="1"/>
    <x v="0"/>
    <x v="1"/>
  </r>
  <r>
    <x v="1"/>
    <x v="99"/>
    <x v="1"/>
    <x v="31"/>
    <n v="76"/>
    <n v="56"/>
    <n v="2"/>
    <n v="1"/>
    <n v="0"/>
    <n v="0"/>
    <n v="0"/>
    <n v="0"/>
    <n v="21"/>
    <n v="74"/>
    <n v="2024"/>
    <x v="1"/>
    <x v="0"/>
    <x v="1"/>
  </r>
  <r>
    <x v="1"/>
    <x v="99"/>
    <x v="1"/>
    <x v="32"/>
    <n v="2"/>
    <n v="1"/>
    <n v="0"/>
    <n v="0"/>
    <n v="0"/>
    <n v="0"/>
    <n v="0"/>
    <n v="0"/>
    <n v="0"/>
    <n v="2"/>
    <n v="2024"/>
    <x v="1"/>
    <x v="0"/>
    <x v="1"/>
  </r>
  <r>
    <x v="1"/>
    <x v="99"/>
    <x v="1"/>
    <x v="34"/>
    <n v="193"/>
    <n v="99"/>
    <n v="14"/>
    <n v="4"/>
    <n v="9395"/>
    <n v="1"/>
    <n v="0"/>
    <n v="0"/>
    <n v="86"/>
    <n v="153"/>
    <n v="2024"/>
    <x v="1"/>
    <x v="0"/>
    <x v="1"/>
  </r>
  <r>
    <x v="1"/>
    <x v="99"/>
    <x v="1"/>
    <x v="37"/>
    <n v="513"/>
    <n v="335"/>
    <n v="3"/>
    <n v="0"/>
    <n v="5372"/>
    <n v="2"/>
    <n v="5372"/>
    <n v="2"/>
    <n v="56"/>
    <n v="507"/>
    <n v="2024"/>
    <x v="1"/>
    <x v="0"/>
    <x v="1"/>
  </r>
  <r>
    <x v="1"/>
    <x v="99"/>
    <x v="1"/>
    <x v="38"/>
    <n v="289"/>
    <n v="132"/>
    <n v="15"/>
    <n v="7"/>
    <n v="29333.5"/>
    <n v="8"/>
    <n v="25883.5"/>
    <n v="8"/>
    <n v="84"/>
    <n v="238"/>
    <n v="2024"/>
    <x v="1"/>
    <x v="0"/>
    <x v="1"/>
  </r>
  <r>
    <x v="1"/>
    <x v="99"/>
    <x v="1"/>
    <x v="40"/>
    <n v="1"/>
    <n v="0"/>
    <n v="0"/>
    <n v="0"/>
    <n v="0"/>
    <n v="0"/>
    <n v="0"/>
    <n v="0"/>
    <n v="0"/>
    <n v="1"/>
    <n v="2024"/>
    <x v="1"/>
    <x v="0"/>
    <x v="1"/>
  </r>
  <r>
    <x v="1"/>
    <x v="99"/>
    <x v="1"/>
    <x v="41"/>
    <n v="2"/>
    <n v="1"/>
    <n v="1"/>
    <n v="0"/>
    <n v="0"/>
    <n v="0"/>
    <n v="0"/>
    <n v="0"/>
    <n v="0"/>
    <n v="2"/>
    <n v="2024"/>
    <x v="1"/>
    <x v="0"/>
    <x v="1"/>
  </r>
  <r>
    <x v="1"/>
    <x v="99"/>
    <x v="1"/>
    <x v="43"/>
    <n v="165"/>
    <n v="116"/>
    <n v="3"/>
    <n v="3"/>
    <n v="0"/>
    <n v="0"/>
    <n v="0"/>
    <n v="0"/>
    <n v="78"/>
    <n v="68"/>
    <n v="2024"/>
    <x v="1"/>
    <x v="0"/>
    <x v="1"/>
  </r>
  <r>
    <x v="1"/>
    <x v="99"/>
    <x v="1"/>
    <x v="44"/>
    <n v="3"/>
    <n v="2"/>
    <n v="1"/>
    <n v="0"/>
    <n v="2247.5"/>
    <n v="1"/>
    <n v="2247.5"/>
    <n v="1"/>
    <n v="0"/>
    <n v="3"/>
    <n v="2024"/>
    <x v="1"/>
    <x v="0"/>
    <x v="1"/>
  </r>
  <r>
    <x v="1"/>
    <x v="100"/>
    <x v="0"/>
    <x v="0"/>
    <n v="335"/>
    <n v="100"/>
    <n v="0"/>
    <n v="0"/>
    <n v="3995"/>
    <n v="1"/>
    <n v="3995"/>
    <n v="1"/>
    <n v="13"/>
    <n v="316"/>
    <n v="2024"/>
    <x v="1"/>
    <x v="0"/>
    <x v="1"/>
  </r>
  <r>
    <x v="1"/>
    <x v="100"/>
    <x v="0"/>
    <x v="1"/>
    <n v="20612"/>
    <n v="12896"/>
    <n v="202"/>
    <n v="110"/>
    <n v="77241"/>
    <n v="30"/>
    <n v="69373.5"/>
    <n v="27"/>
    <n v="1032"/>
    <n v="20573"/>
    <n v="2024"/>
    <x v="1"/>
    <x v="0"/>
    <x v="1"/>
  </r>
  <r>
    <x v="1"/>
    <x v="100"/>
    <x v="0"/>
    <x v="2"/>
    <n v="3205"/>
    <n v="2752"/>
    <n v="13"/>
    <n v="4"/>
    <n v="9517"/>
    <n v="3"/>
    <n v="9517"/>
    <n v="3"/>
    <n v="3204"/>
    <n v="1010"/>
    <n v="2024"/>
    <x v="1"/>
    <x v="0"/>
    <x v="1"/>
  </r>
  <r>
    <x v="1"/>
    <x v="100"/>
    <x v="0"/>
    <x v="3"/>
    <n v="3702"/>
    <n v="3325"/>
    <n v="0"/>
    <n v="0"/>
    <n v="0"/>
    <n v="0"/>
    <n v="0"/>
    <n v="0"/>
    <n v="4"/>
    <n v="2097"/>
    <n v="2024"/>
    <x v="1"/>
    <x v="0"/>
    <x v="1"/>
  </r>
  <r>
    <x v="1"/>
    <x v="100"/>
    <x v="1"/>
    <x v="5"/>
    <n v="2"/>
    <n v="1"/>
    <n v="0"/>
    <n v="0"/>
    <n v="0"/>
    <n v="0"/>
    <n v="0"/>
    <n v="0"/>
    <n v="0"/>
    <n v="2"/>
    <n v="2024"/>
    <x v="1"/>
    <x v="0"/>
    <x v="1"/>
  </r>
  <r>
    <x v="1"/>
    <x v="100"/>
    <x v="1"/>
    <x v="6"/>
    <n v="998"/>
    <n v="974"/>
    <n v="0"/>
    <n v="0"/>
    <n v="0"/>
    <n v="0"/>
    <n v="0"/>
    <n v="0"/>
    <n v="0"/>
    <n v="3"/>
    <n v="2024"/>
    <x v="1"/>
    <x v="0"/>
    <x v="1"/>
  </r>
  <r>
    <x v="1"/>
    <x v="100"/>
    <x v="1"/>
    <x v="7"/>
    <n v="277"/>
    <n v="78"/>
    <n v="23"/>
    <n v="4"/>
    <n v="82886.5"/>
    <n v="24"/>
    <n v="58996"/>
    <n v="20"/>
    <n v="66"/>
    <n v="268"/>
    <n v="2024"/>
    <x v="1"/>
    <x v="0"/>
    <x v="1"/>
  </r>
  <r>
    <x v="1"/>
    <x v="100"/>
    <x v="1"/>
    <x v="8"/>
    <n v="7"/>
    <n v="1"/>
    <n v="0"/>
    <n v="0"/>
    <n v="0"/>
    <n v="0"/>
    <n v="0"/>
    <n v="0"/>
    <n v="0"/>
    <n v="2"/>
    <n v="2024"/>
    <x v="1"/>
    <x v="0"/>
    <x v="1"/>
  </r>
  <r>
    <x v="1"/>
    <x v="100"/>
    <x v="1"/>
    <x v="9"/>
    <n v="1"/>
    <n v="1"/>
    <n v="0"/>
    <n v="0"/>
    <n v="0"/>
    <n v="0"/>
    <n v="0"/>
    <n v="0"/>
    <n v="0"/>
    <n v="1"/>
    <n v="2024"/>
    <x v="1"/>
    <x v="0"/>
    <x v="1"/>
  </r>
  <r>
    <x v="1"/>
    <x v="100"/>
    <x v="1"/>
    <x v="10"/>
    <n v="18"/>
    <n v="8"/>
    <n v="1"/>
    <n v="1"/>
    <n v="0"/>
    <n v="0"/>
    <n v="0"/>
    <n v="0"/>
    <n v="5"/>
    <n v="7"/>
    <n v="2024"/>
    <x v="1"/>
    <x v="0"/>
    <x v="1"/>
  </r>
  <r>
    <x v="1"/>
    <x v="100"/>
    <x v="1"/>
    <x v="59"/>
    <n v="1354"/>
    <n v="717"/>
    <n v="7"/>
    <n v="5"/>
    <n v="9957"/>
    <n v="2"/>
    <n v="7469"/>
    <n v="2"/>
    <n v="44"/>
    <n v="713"/>
    <n v="2024"/>
    <x v="1"/>
    <x v="0"/>
    <x v="1"/>
  </r>
  <r>
    <x v="1"/>
    <x v="100"/>
    <x v="1"/>
    <x v="15"/>
    <n v="10"/>
    <n v="8"/>
    <n v="0"/>
    <n v="0"/>
    <n v="0"/>
    <n v="0"/>
    <n v="0"/>
    <n v="0"/>
    <n v="0"/>
    <n v="10"/>
    <n v="2024"/>
    <x v="1"/>
    <x v="0"/>
    <x v="1"/>
  </r>
  <r>
    <x v="1"/>
    <x v="100"/>
    <x v="1"/>
    <x v="16"/>
    <n v="7"/>
    <n v="1"/>
    <n v="0"/>
    <n v="0"/>
    <n v="0"/>
    <n v="0"/>
    <n v="0"/>
    <n v="0"/>
    <n v="0"/>
    <n v="7"/>
    <n v="2024"/>
    <x v="1"/>
    <x v="0"/>
    <x v="1"/>
  </r>
  <r>
    <x v="1"/>
    <x v="100"/>
    <x v="1"/>
    <x v="17"/>
    <n v="1"/>
    <n v="1"/>
    <n v="0"/>
    <n v="0"/>
    <n v="0"/>
    <n v="0"/>
    <n v="0"/>
    <n v="0"/>
    <n v="1"/>
    <n v="0"/>
    <n v="2024"/>
    <x v="1"/>
    <x v="0"/>
    <x v="1"/>
  </r>
  <r>
    <x v="1"/>
    <x v="100"/>
    <x v="1"/>
    <x v="18"/>
    <n v="6"/>
    <n v="6"/>
    <n v="0"/>
    <n v="0"/>
    <n v="12450"/>
    <n v="1"/>
    <n v="12450"/>
    <n v="1"/>
    <n v="0"/>
    <n v="5"/>
    <n v="2024"/>
    <x v="1"/>
    <x v="0"/>
    <x v="1"/>
  </r>
  <r>
    <x v="1"/>
    <x v="100"/>
    <x v="1"/>
    <x v="19"/>
    <n v="535"/>
    <n v="287"/>
    <n v="20"/>
    <n v="6"/>
    <n v="16986"/>
    <n v="5"/>
    <n v="16986"/>
    <n v="5"/>
    <n v="335"/>
    <n v="314"/>
    <n v="2024"/>
    <x v="1"/>
    <x v="0"/>
    <x v="1"/>
  </r>
  <r>
    <x v="1"/>
    <x v="100"/>
    <x v="1"/>
    <x v="20"/>
    <n v="4"/>
    <n v="3"/>
    <n v="0"/>
    <n v="0"/>
    <n v="1677"/>
    <n v="1"/>
    <n v="1677"/>
    <n v="1"/>
    <n v="1"/>
    <n v="3"/>
    <n v="2024"/>
    <x v="1"/>
    <x v="0"/>
    <x v="1"/>
  </r>
  <r>
    <x v="1"/>
    <x v="100"/>
    <x v="1"/>
    <x v="21"/>
    <n v="2"/>
    <n v="1"/>
    <n v="0"/>
    <n v="0"/>
    <n v="2488"/>
    <n v="1"/>
    <n v="2488"/>
    <n v="1"/>
    <n v="1"/>
    <n v="2"/>
    <n v="2024"/>
    <x v="1"/>
    <x v="0"/>
    <x v="1"/>
  </r>
  <r>
    <x v="1"/>
    <x v="100"/>
    <x v="1"/>
    <x v="24"/>
    <n v="11"/>
    <n v="7"/>
    <n v="0"/>
    <n v="0"/>
    <n v="0"/>
    <n v="0"/>
    <n v="0"/>
    <n v="0"/>
    <n v="3"/>
    <n v="9"/>
    <n v="2024"/>
    <x v="1"/>
    <x v="0"/>
    <x v="1"/>
  </r>
  <r>
    <x v="1"/>
    <x v="100"/>
    <x v="1"/>
    <x v="25"/>
    <n v="1"/>
    <n v="0"/>
    <n v="1"/>
    <n v="0"/>
    <n v="0"/>
    <n v="0"/>
    <n v="0"/>
    <n v="0"/>
    <n v="1"/>
    <n v="1"/>
    <n v="2024"/>
    <x v="1"/>
    <x v="0"/>
    <x v="1"/>
  </r>
  <r>
    <x v="1"/>
    <x v="100"/>
    <x v="1"/>
    <x v="27"/>
    <n v="65"/>
    <n v="28"/>
    <n v="17"/>
    <n v="0"/>
    <n v="37939.5"/>
    <n v="12"/>
    <n v="30856.5"/>
    <n v="11"/>
    <n v="29"/>
    <n v="58"/>
    <n v="2024"/>
    <x v="1"/>
    <x v="0"/>
    <x v="1"/>
  </r>
  <r>
    <x v="1"/>
    <x v="100"/>
    <x v="1"/>
    <x v="29"/>
    <n v="381"/>
    <n v="316"/>
    <n v="4"/>
    <n v="5"/>
    <n v="14980"/>
    <n v="4"/>
    <n v="10385"/>
    <n v="3"/>
    <n v="186"/>
    <n v="289"/>
    <n v="2024"/>
    <x v="1"/>
    <x v="0"/>
    <x v="1"/>
  </r>
  <r>
    <x v="1"/>
    <x v="100"/>
    <x v="1"/>
    <x v="30"/>
    <n v="1316"/>
    <n v="887"/>
    <n v="30"/>
    <n v="10"/>
    <n v="12211"/>
    <n v="6"/>
    <n v="12211"/>
    <n v="6"/>
    <n v="361"/>
    <n v="869"/>
    <n v="2024"/>
    <x v="1"/>
    <x v="0"/>
    <x v="1"/>
  </r>
  <r>
    <x v="1"/>
    <x v="100"/>
    <x v="1"/>
    <x v="31"/>
    <n v="88"/>
    <n v="62"/>
    <n v="3"/>
    <n v="1"/>
    <n v="4876"/>
    <n v="1"/>
    <n v="4876"/>
    <n v="1"/>
    <n v="19"/>
    <n v="84"/>
    <n v="2024"/>
    <x v="1"/>
    <x v="0"/>
    <x v="1"/>
  </r>
  <r>
    <x v="1"/>
    <x v="100"/>
    <x v="1"/>
    <x v="32"/>
    <n v="4"/>
    <n v="1"/>
    <n v="1"/>
    <n v="0"/>
    <n v="0"/>
    <n v="0"/>
    <n v="0"/>
    <n v="0"/>
    <n v="3"/>
    <n v="3"/>
    <n v="2024"/>
    <x v="1"/>
    <x v="0"/>
    <x v="1"/>
  </r>
  <r>
    <x v="1"/>
    <x v="100"/>
    <x v="1"/>
    <x v="33"/>
    <n v="1"/>
    <n v="0"/>
    <n v="0"/>
    <n v="0"/>
    <n v="0"/>
    <n v="0"/>
    <n v="0"/>
    <n v="0"/>
    <n v="0"/>
    <n v="0"/>
    <n v="2024"/>
    <x v="1"/>
    <x v="0"/>
    <x v="1"/>
  </r>
  <r>
    <x v="1"/>
    <x v="100"/>
    <x v="1"/>
    <x v="34"/>
    <n v="192"/>
    <n v="105"/>
    <n v="14"/>
    <n v="3"/>
    <n v="15666.77"/>
    <n v="6"/>
    <n v="15666.77"/>
    <n v="6"/>
    <n v="90"/>
    <n v="154"/>
    <n v="2024"/>
    <x v="1"/>
    <x v="0"/>
    <x v="1"/>
  </r>
  <r>
    <x v="1"/>
    <x v="100"/>
    <x v="1"/>
    <x v="36"/>
    <n v="2"/>
    <n v="1"/>
    <n v="0"/>
    <n v="0"/>
    <n v="0"/>
    <n v="0"/>
    <n v="0"/>
    <n v="0"/>
    <n v="2"/>
    <n v="0"/>
    <n v="2024"/>
    <x v="1"/>
    <x v="0"/>
    <x v="1"/>
  </r>
  <r>
    <x v="1"/>
    <x v="100"/>
    <x v="1"/>
    <x v="37"/>
    <n v="414"/>
    <n v="279"/>
    <n v="7"/>
    <n v="0"/>
    <n v="2488"/>
    <n v="1"/>
    <n v="2488"/>
    <n v="1"/>
    <n v="42"/>
    <n v="407"/>
    <n v="2024"/>
    <x v="1"/>
    <x v="0"/>
    <x v="1"/>
  </r>
  <r>
    <x v="1"/>
    <x v="100"/>
    <x v="1"/>
    <x v="38"/>
    <n v="221"/>
    <n v="90"/>
    <n v="13"/>
    <n v="4"/>
    <n v="41208"/>
    <n v="9"/>
    <n v="36422.5"/>
    <n v="8"/>
    <n v="67"/>
    <n v="195"/>
    <n v="2024"/>
    <x v="1"/>
    <x v="0"/>
    <x v="1"/>
  </r>
  <r>
    <x v="1"/>
    <x v="100"/>
    <x v="1"/>
    <x v="51"/>
    <n v="2"/>
    <n v="2"/>
    <n v="0"/>
    <n v="0"/>
    <n v="0"/>
    <n v="0"/>
    <n v="0"/>
    <n v="0"/>
    <n v="0"/>
    <n v="2"/>
    <n v="2024"/>
    <x v="1"/>
    <x v="0"/>
    <x v="1"/>
  </r>
  <r>
    <x v="1"/>
    <x v="100"/>
    <x v="1"/>
    <x v="40"/>
    <n v="3"/>
    <n v="2"/>
    <n v="0"/>
    <n v="0"/>
    <n v="0"/>
    <n v="0"/>
    <n v="0"/>
    <n v="0"/>
    <n v="0"/>
    <n v="3"/>
    <n v="2024"/>
    <x v="1"/>
    <x v="0"/>
    <x v="1"/>
  </r>
  <r>
    <x v="1"/>
    <x v="100"/>
    <x v="1"/>
    <x v="41"/>
    <n v="3"/>
    <n v="1"/>
    <n v="0"/>
    <n v="0"/>
    <n v="0"/>
    <n v="0"/>
    <n v="0"/>
    <n v="0"/>
    <n v="1"/>
    <n v="3"/>
    <n v="2024"/>
    <x v="1"/>
    <x v="0"/>
    <x v="1"/>
  </r>
  <r>
    <x v="1"/>
    <x v="100"/>
    <x v="1"/>
    <x v="43"/>
    <n v="110"/>
    <n v="54"/>
    <n v="5"/>
    <n v="1"/>
    <n v="7667"/>
    <n v="3"/>
    <n v="4872"/>
    <n v="2"/>
    <n v="71"/>
    <n v="73"/>
    <n v="2024"/>
    <x v="1"/>
    <x v="0"/>
    <x v="1"/>
  </r>
  <r>
    <x v="1"/>
    <x v="100"/>
    <x v="1"/>
    <x v="44"/>
    <n v="9"/>
    <n v="3"/>
    <n v="0"/>
    <n v="1"/>
    <n v="0"/>
    <n v="0"/>
    <n v="0"/>
    <n v="0"/>
    <n v="0"/>
    <n v="9"/>
    <n v="2024"/>
    <x v="1"/>
    <x v="0"/>
    <x v="1"/>
  </r>
  <r>
    <x v="1"/>
    <x v="101"/>
    <x v="0"/>
    <x v="0"/>
    <n v="317"/>
    <n v="105"/>
    <n v="1"/>
    <n v="0"/>
    <n v="3304"/>
    <n v="1"/>
    <n v="3304"/>
    <n v="1"/>
    <n v="8"/>
    <n v="305"/>
    <n v="2024"/>
    <x v="1"/>
    <x v="0"/>
    <x v="1"/>
  </r>
  <r>
    <x v="1"/>
    <x v="101"/>
    <x v="0"/>
    <x v="1"/>
    <n v="19766"/>
    <n v="13658"/>
    <n v="207"/>
    <n v="91"/>
    <n v="142503"/>
    <n v="29"/>
    <n v="76683"/>
    <n v="19"/>
    <n v="1121"/>
    <n v="19521"/>
    <n v="2024"/>
    <x v="1"/>
    <x v="0"/>
    <x v="1"/>
  </r>
  <r>
    <x v="1"/>
    <x v="101"/>
    <x v="0"/>
    <x v="2"/>
    <n v="2232"/>
    <n v="2012"/>
    <n v="18"/>
    <n v="6"/>
    <n v="2438"/>
    <n v="1"/>
    <n v="2438"/>
    <n v="1"/>
    <n v="2232"/>
    <n v="742"/>
    <n v="2024"/>
    <x v="1"/>
    <x v="0"/>
    <x v="1"/>
  </r>
  <r>
    <x v="1"/>
    <x v="101"/>
    <x v="0"/>
    <x v="3"/>
    <n v="2239"/>
    <n v="1894"/>
    <n v="0"/>
    <n v="0"/>
    <n v="0"/>
    <n v="0"/>
    <n v="0"/>
    <n v="0"/>
    <n v="2"/>
    <n v="449"/>
    <n v="2024"/>
    <x v="1"/>
    <x v="0"/>
    <x v="1"/>
  </r>
  <r>
    <x v="1"/>
    <x v="101"/>
    <x v="1"/>
    <x v="46"/>
    <n v="1"/>
    <n v="1"/>
    <n v="0"/>
    <n v="0"/>
    <n v="0"/>
    <n v="0"/>
    <n v="0"/>
    <n v="0"/>
    <n v="0"/>
    <n v="0"/>
    <n v="2024"/>
    <x v="1"/>
    <x v="0"/>
    <x v="1"/>
  </r>
  <r>
    <x v="1"/>
    <x v="101"/>
    <x v="1"/>
    <x v="5"/>
    <n v="4"/>
    <n v="2"/>
    <n v="0"/>
    <n v="0"/>
    <n v="0"/>
    <n v="0"/>
    <n v="0"/>
    <n v="0"/>
    <n v="0"/>
    <n v="4"/>
    <n v="2024"/>
    <x v="1"/>
    <x v="0"/>
    <x v="1"/>
  </r>
  <r>
    <x v="1"/>
    <x v="101"/>
    <x v="1"/>
    <x v="6"/>
    <n v="596"/>
    <n v="570"/>
    <n v="0"/>
    <n v="0"/>
    <n v="0"/>
    <n v="0"/>
    <n v="0"/>
    <n v="0"/>
    <n v="0"/>
    <n v="0"/>
    <n v="2024"/>
    <x v="1"/>
    <x v="0"/>
    <x v="1"/>
  </r>
  <r>
    <x v="1"/>
    <x v="101"/>
    <x v="1"/>
    <x v="7"/>
    <n v="272"/>
    <n v="76"/>
    <n v="36"/>
    <n v="3"/>
    <n v="132441"/>
    <n v="33"/>
    <n v="109458.5"/>
    <n v="31"/>
    <n v="102"/>
    <n v="267"/>
    <n v="2024"/>
    <x v="1"/>
    <x v="0"/>
    <x v="1"/>
  </r>
  <r>
    <x v="1"/>
    <x v="101"/>
    <x v="1"/>
    <x v="8"/>
    <n v="58"/>
    <n v="54"/>
    <n v="0"/>
    <n v="0"/>
    <n v="0"/>
    <n v="0"/>
    <n v="0"/>
    <n v="0"/>
    <n v="0"/>
    <n v="3"/>
    <n v="2024"/>
    <x v="1"/>
    <x v="0"/>
    <x v="1"/>
  </r>
  <r>
    <x v="1"/>
    <x v="101"/>
    <x v="1"/>
    <x v="9"/>
    <n v="1"/>
    <n v="0"/>
    <n v="0"/>
    <n v="0"/>
    <n v="0"/>
    <n v="0"/>
    <n v="0"/>
    <n v="0"/>
    <n v="0"/>
    <n v="1"/>
    <n v="2024"/>
    <x v="1"/>
    <x v="0"/>
    <x v="1"/>
  </r>
  <r>
    <x v="1"/>
    <x v="101"/>
    <x v="1"/>
    <x v="10"/>
    <n v="73"/>
    <n v="67"/>
    <n v="0"/>
    <n v="0"/>
    <n v="0"/>
    <n v="0"/>
    <n v="0"/>
    <n v="0"/>
    <n v="2"/>
    <n v="4"/>
    <n v="2024"/>
    <x v="1"/>
    <x v="0"/>
    <x v="1"/>
  </r>
  <r>
    <x v="1"/>
    <x v="101"/>
    <x v="1"/>
    <x v="11"/>
    <n v="9"/>
    <n v="9"/>
    <n v="0"/>
    <n v="0"/>
    <n v="0"/>
    <n v="0"/>
    <n v="0"/>
    <n v="0"/>
    <n v="9"/>
    <n v="0"/>
    <n v="2024"/>
    <x v="1"/>
    <x v="0"/>
    <x v="1"/>
  </r>
  <r>
    <x v="1"/>
    <x v="101"/>
    <x v="1"/>
    <x v="49"/>
    <n v="1"/>
    <n v="1"/>
    <n v="0"/>
    <n v="0"/>
    <n v="0"/>
    <n v="0"/>
    <n v="0"/>
    <n v="0"/>
    <n v="0"/>
    <n v="0"/>
    <n v="2024"/>
    <x v="1"/>
    <x v="0"/>
    <x v="1"/>
  </r>
  <r>
    <x v="1"/>
    <x v="101"/>
    <x v="1"/>
    <x v="59"/>
    <n v="16754"/>
    <n v="12537"/>
    <n v="9"/>
    <n v="3"/>
    <n v="6151"/>
    <n v="2"/>
    <n v="0"/>
    <n v="0"/>
    <n v="61"/>
    <n v="728"/>
    <n v="2024"/>
    <x v="1"/>
    <x v="0"/>
    <x v="1"/>
  </r>
  <r>
    <x v="1"/>
    <x v="101"/>
    <x v="1"/>
    <x v="15"/>
    <n v="11"/>
    <n v="11"/>
    <n v="0"/>
    <n v="0"/>
    <n v="0"/>
    <n v="0"/>
    <n v="0"/>
    <n v="0"/>
    <n v="0"/>
    <n v="11"/>
    <n v="2024"/>
    <x v="1"/>
    <x v="0"/>
    <x v="1"/>
  </r>
  <r>
    <x v="1"/>
    <x v="101"/>
    <x v="1"/>
    <x v="16"/>
    <n v="8"/>
    <n v="3"/>
    <n v="0"/>
    <n v="0"/>
    <n v="0"/>
    <n v="0"/>
    <n v="0"/>
    <n v="0"/>
    <n v="1"/>
    <n v="8"/>
    <n v="2024"/>
    <x v="1"/>
    <x v="0"/>
    <x v="1"/>
  </r>
  <r>
    <x v="1"/>
    <x v="101"/>
    <x v="1"/>
    <x v="17"/>
    <n v="8"/>
    <n v="7"/>
    <n v="0"/>
    <n v="0"/>
    <n v="0"/>
    <n v="0"/>
    <n v="0"/>
    <n v="0"/>
    <n v="6"/>
    <n v="2"/>
    <n v="2024"/>
    <x v="1"/>
    <x v="0"/>
    <x v="1"/>
  </r>
  <r>
    <x v="1"/>
    <x v="101"/>
    <x v="1"/>
    <x v="18"/>
    <n v="6"/>
    <n v="6"/>
    <n v="1"/>
    <n v="0"/>
    <n v="0"/>
    <n v="0"/>
    <n v="0"/>
    <n v="0"/>
    <n v="1"/>
    <n v="4"/>
    <n v="2024"/>
    <x v="1"/>
    <x v="0"/>
    <x v="1"/>
  </r>
  <r>
    <x v="1"/>
    <x v="101"/>
    <x v="1"/>
    <x v="19"/>
    <n v="1263"/>
    <n v="969"/>
    <n v="36"/>
    <n v="6"/>
    <n v="57791"/>
    <n v="14"/>
    <n v="41084"/>
    <n v="11"/>
    <n v="809"/>
    <n v="408"/>
    <n v="2024"/>
    <x v="1"/>
    <x v="0"/>
    <x v="1"/>
  </r>
  <r>
    <x v="1"/>
    <x v="101"/>
    <x v="1"/>
    <x v="20"/>
    <n v="3"/>
    <n v="1"/>
    <n v="0"/>
    <n v="0"/>
    <n v="0"/>
    <n v="0"/>
    <n v="0"/>
    <n v="0"/>
    <n v="1"/>
    <n v="3"/>
    <n v="2024"/>
    <x v="1"/>
    <x v="0"/>
    <x v="1"/>
  </r>
  <r>
    <x v="1"/>
    <x v="101"/>
    <x v="1"/>
    <x v="21"/>
    <n v="4"/>
    <n v="2"/>
    <n v="2"/>
    <n v="1"/>
    <n v="1677"/>
    <n v="1"/>
    <n v="1677"/>
    <n v="1"/>
    <n v="1"/>
    <n v="4"/>
    <n v="2024"/>
    <x v="1"/>
    <x v="0"/>
    <x v="1"/>
  </r>
  <r>
    <x v="1"/>
    <x v="101"/>
    <x v="1"/>
    <x v="22"/>
    <n v="2"/>
    <n v="1"/>
    <n v="0"/>
    <n v="0"/>
    <n v="0"/>
    <n v="0"/>
    <n v="0"/>
    <n v="0"/>
    <n v="0"/>
    <n v="0"/>
    <n v="2024"/>
    <x v="1"/>
    <x v="0"/>
    <x v="1"/>
  </r>
  <r>
    <x v="1"/>
    <x v="101"/>
    <x v="1"/>
    <x v="24"/>
    <n v="10"/>
    <n v="5"/>
    <n v="0"/>
    <n v="0"/>
    <n v="0"/>
    <n v="0"/>
    <n v="0"/>
    <n v="0"/>
    <n v="6"/>
    <n v="4"/>
    <n v="2024"/>
    <x v="1"/>
    <x v="0"/>
    <x v="1"/>
  </r>
  <r>
    <x v="1"/>
    <x v="101"/>
    <x v="1"/>
    <x v="27"/>
    <n v="72"/>
    <n v="30"/>
    <n v="13"/>
    <n v="4"/>
    <n v="32585.5"/>
    <n v="7"/>
    <n v="30288"/>
    <n v="6"/>
    <n v="48"/>
    <n v="61"/>
    <n v="2024"/>
    <x v="1"/>
    <x v="0"/>
    <x v="1"/>
  </r>
  <r>
    <x v="1"/>
    <x v="101"/>
    <x v="1"/>
    <x v="28"/>
    <n v="1"/>
    <n v="0"/>
    <n v="0"/>
    <n v="0"/>
    <n v="0"/>
    <n v="0"/>
    <n v="0"/>
    <n v="0"/>
    <n v="1"/>
    <n v="1"/>
    <n v="2024"/>
    <x v="1"/>
    <x v="0"/>
    <x v="1"/>
  </r>
  <r>
    <x v="1"/>
    <x v="101"/>
    <x v="1"/>
    <x v="29"/>
    <n v="406"/>
    <n v="337"/>
    <n v="12"/>
    <n v="4"/>
    <n v="5077"/>
    <n v="2"/>
    <n v="3400"/>
    <n v="1"/>
    <n v="169"/>
    <n v="274"/>
    <n v="2024"/>
    <x v="1"/>
    <x v="0"/>
    <x v="1"/>
  </r>
  <r>
    <x v="1"/>
    <x v="101"/>
    <x v="1"/>
    <x v="30"/>
    <n v="10231"/>
    <n v="9260"/>
    <n v="27"/>
    <n v="9"/>
    <n v="26540"/>
    <n v="5"/>
    <n v="22066"/>
    <n v="5"/>
    <n v="393"/>
    <n v="707"/>
    <n v="2024"/>
    <x v="1"/>
    <x v="0"/>
    <x v="1"/>
  </r>
  <r>
    <x v="1"/>
    <x v="101"/>
    <x v="1"/>
    <x v="31"/>
    <n v="72"/>
    <n v="44"/>
    <n v="3"/>
    <n v="1"/>
    <n v="4695"/>
    <n v="1"/>
    <n v="4695"/>
    <n v="1"/>
    <n v="15"/>
    <n v="68"/>
    <n v="2024"/>
    <x v="1"/>
    <x v="0"/>
    <x v="1"/>
  </r>
  <r>
    <x v="1"/>
    <x v="101"/>
    <x v="1"/>
    <x v="32"/>
    <n v="5"/>
    <n v="3"/>
    <n v="0"/>
    <n v="0"/>
    <n v="0"/>
    <n v="0"/>
    <n v="0"/>
    <n v="0"/>
    <n v="3"/>
    <n v="5"/>
    <n v="2024"/>
    <x v="1"/>
    <x v="0"/>
    <x v="1"/>
  </r>
  <r>
    <x v="1"/>
    <x v="101"/>
    <x v="1"/>
    <x v="34"/>
    <n v="189"/>
    <n v="98"/>
    <n v="19"/>
    <n v="3"/>
    <n v="14424.5"/>
    <n v="5"/>
    <n v="10774.5"/>
    <n v="4"/>
    <n v="99"/>
    <n v="147"/>
    <n v="2024"/>
    <x v="1"/>
    <x v="0"/>
    <x v="1"/>
  </r>
  <r>
    <x v="1"/>
    <x v="101"/>
    <x v="1"/>
    <x v="37"/>
    <n v="358"/>
    <n v="240"/>
    <n v="4"/>
    <n v="0"/>
    <n v="10237.5"/>
    <n v="3"/>
    <n v="10237.5"/>
    <n v="3"/>
    <n v="49"/>
    <n v="351"/>
    <n v="2024"/>
    <x v="1"/>
    <x v="0"/>
    <x v="1"/>
  </r>
  <r>
    <x v="1"/>
    <x v="101"/>
    <x v="1"/>
    <x v="38"/>
    <n v="290"/>
    <n v="170"/>
    <n v="19"/>
    <n v="7"/>
    <n v="65124.5"/>
    <n v="15"/>
    <n v="44981"/>
    <n v="12"/>
    <n v="84"/>
    <n v="175"/>
    <n v="2024"/>
    <x v="1"/>
    <x v="0"/>
    <x v="1"/>
  </r>
  <r>
    <x v="1"/>
    <x v="101"/>
    <x v="1"/>
    <x v="51"/>
    <n v="1"/>
    <n v="1"/>
    <n v="0"/>
    <n v="0"/>
    <n v="0"/>
    <n v="0"/>
    <n v="0"/>
    <n v="0"/>
    <n v="0"/>
    <n v="0"/>
    <n v="2024"/>
    <x v="1"/>
    <x v="0"/>
    <x v="1"/>
  </r>
  <r>
    <x v="1"/>
    <x v="101"/>
    <x v="1"/>
    <x v="40"/>
    <n v="1"/>
    <n v="1"/>
    <n v="0"/>
    <n v="0"/>
    <n v="0"/>
    <n v="0"/>
    <n v="0"/>
    <n v="0"/>
    <n v="0"/>
    <n v="1"/>
    <n v="2024"/>
    <x v="1"/>
    <x v="0"/>
    <x v="1"/>
  </r>
  <r>
    <x v="1"/>
    <x v="101"/>
    <x v="1"/>
    <x v="43"/>
    <n v="388"/>
    <n v="331"/>
    <n v="5"/>
    <n v="3"/>
    <n v="0"/>
    <n v="0"/>
    <n v="0"/>
    <n v="0"/>
    <n v="71"/>
    <n v="78"/>
    <n v="2024"/>
    <x v="1"/>
    <x v="0"/>
    <x v="1"/>
  </r>
  <r>
    <x v="1"/>
    <x v="101"/>
    <x v="1"/>
    <x v="44"/>
    <n v="7"/>
    <n v="4"/>
    <n v="1"/>
    <n v="0"/>
    <n v="0"/>
    <n v="0"/>
    <n v="0"/>
    <n v="0"/>
    <n v="1"/>
    <n v="7"/>
    <n v="2024"/>
    <x v="1"/>
    <x v="0"/>
    <x v="1"/>
  </r>
  <r>
    <x v="1"/>
    <x v="102"/>
    <x v="0"/>
    <x v="0"/>
    <n v="269"/>
    <n v="86"/>
    <n v="0"/>
    <n v="0"/>
    <n v="19500"/>
    <n v="1"/>
    <n v="19500"/>
    <n v="1"/>
    <n v="16"/>
    <n v="261"/>
    <n v="2024"/>
    <x v="1"/>
    <x v="0"/>
    <x v="1"/>
  </r>
  <r>
    <x v="1"/>
    <x v="102"/>
    <x v="0"/>
    <x v="1"/>
    <n v="13558"/>
    <n v="8665"/>
    <n v="105"/>
    <n v="53"/>
    <n v="56310"/>
    <n v="6"/>
    <n v="46920"/>
    <n v="6"/>
    <n v="682"/>
    <n v="12975"/>
    <n v="2024"/>
    <x v="1"/>
    <x v="0"/>
    <x v="1"/>
  </r>
  <r>
    <x v="1"/>
    <x v="102"/>
    <x v="0"/>
    <x v="2"/>
    <n v="920"/>
    <n v="795"/>
    <n v="11"/>
    <n v="7"/>
    <n v="0"/>
    <n v="0"/>
    <n v="0"/>
    <n v="0"/>
    <n v="920"/>
    <n v="459"/>
    <n v="2024"/>
    <x v="1"/>
    <x v="0"/>
    <x v="1"/>
  </r>
  <r>
    <x v="1"/>
    <x v="102"/>
    <x v="0"/>
    <x v="3"/>
    <n v="1"/>
    <n v="1"/>
    <n v="0"/>
    <n v="0"/>
    <n v="0"/>
    <n v="0"/>
    <n v="0"/>
    <n v="0"/>
    <n v="0"/>
    <n v="1"/>
    <n v="2024"/>
    <x v="1"/>
    <x v="0"/>
    <x v="1"/>
  </r>
  <r>
    <x v="1"/>
    <x v="102"/>
    <x v="1"/>
    <x v="5"/>
    <n v="5"/>
    <n v="5"/>
    <n v="0"/>
    <n v="0"/>
    <n v="0"/>
    <n v="0"/>
    <n v="0"/>
    <n v="0"/>
    <n v="0"/>
    <n v="5"/>
    <n v="2024"/>
    <x v="1"/>
    <x v="0"/>
    <x v="1"/>
  </r>
  <r>
    <x v="1"/>
    <x v="102"/>
    <x v="1"/>
    <x v="6"/>
    <n v="1"/>
    <n v="1"/>
    <n v="0"/>
    <n v="0"/>
    <n v="0"/>
    <n v="0"/>
    <n v="0"/>
    <n v="0"/>
    <n v="1"/>
    <n v="0"/>
    <n v="2024"/>
    <x v="1"/>
    <x v="0"/>
    <x v="1"/>
  </r>
  <r>
    <x v="1"/>
    <x v="102"/>
    <x v="1"/>
    <x v="7"/>
    <n v="148"/>
    <n v="55"/>
    <n v="12"/>
    <n v="1"/>
    <n v="19530"/>
    <n v="5"/>
    <n v="19530"/>
    <n v="5"/>
    <n v="38"/>
    <n v="143"/>
    <n v="2024"/>
    <x v="1"/>
    <x v="0"/>
    <x v="1"/>
  </r>
  <r>
    <x v="1"/>
    <x v="102"/>
    <x v="1"/>
    <x v="8"/>
    <n v="3"/>
    <n v="1"/>
    <n v="0"/>
    <n v="0"/>
    <n v="0"/>
    <n v="0"/>
    <n v="0"/>
    <n v="0"/>
    <n v="0"/>
    <n v="3"/>
    <n v="2024"/>
    <x v="1"/>
    <x v="0"/>
    <x v="1"/>
  </r>
  <r>
    <x v="1"/>
    <x v="102"/>
    <x v="1"/>
    <x v="10"/>
    <n v="14"/>
    <n v="7"/>
    <n v="0"/>
    <n v="0"/>
    <n v="0"/>
    <n v="0"/>
    <n v="0"/>
    <n v="0"/>
    <n v="1"/>
    <n v="14"/>
    <n v="2024"/>
    <x v="1"/>
    <x v="0"/>
    <x v="1"/>
  </r>
  <r>
    <x v="1"/>
    <x v="102"/>
    <x v="1"/>
    <x v="59"/>
    <n v="290"/>
    <n v="117"/>
    <n v="3"/>
    <n v="3"/>
    <n v="4695"/>
    <n v="1"/>
    <n v="4695"/>
    <n v="1"/>
    <n v="21"/>
    <n v="280"/>
    <n v="2024"/>
    <x v="1"/>
    <x v="0"/>
    <x v="1"/>
  </r>
  <r>
    <x v="1"/>
    <x v="102"/>
    <x v="1"/>
    <x v="15"/>
    <n v="9"/>
    <n v="8"/>
    <n v="0"/>
    <n v="0"/>
    <n v="0"/>
    <n v="0"/>
    <n v="0"/>
    <n v="0"/>
    <n v="0"/>
    <n v="9"/>
    <n v="2024"/>
    <x v="1"/>
    <x v="0"/>
    <x v="1"/>
  </r>
  <r>
    <x v="1"/>
    <x v="102"/>
    <x v="1"/>
    <x v="16"/>
    <n v="3"/>
    <n v="1"/>
    <n v="0"/>
    <n v="0"/>
    <n v="0"/>
    <n v="0"/>
    <n v="0"/>
    <n v="0"/>
    <n v="0"/>
    <n v="3"/>
    <n v="2024"/>
    <x v="1"/>
    <x v="0"/>
    <x v="1"/>
  </r>
  <r>
    <x v="1"/>
    <x v="102"/>
    <x v="1"/>
    <x v="17"/>
    <n v="3"/>
    <n v="3"/>
    <n v="0"/>
    <n v="0"/>
    <n v="0"/>
    <n v="0"/>
    <n v="0"/>
    <n v="0"/>
    <n v="0"/>
    <n v="3"/>
    <n v="2024"/>
    <x v="1"/>
    <x v="0"/>
    <x v="1"/>
  </r>
  <r>
    <x v="1"/>
    <x v="102"/>
    <x v="1"/>
    <x v="18"/>
    <n v="2"/>
    <n v="2"/>
    <n v="0"/>
    <n v="0"/>
    <n v="0"/>
    <n v="0"/>
    <n v="0"/>
    <n v="0"/>
    <n v="1"/>
    <n v="2"/>
    <n v="2024"/>
    <x v="1"/>
    <x v="0"/>
    <x v="1"/>
  </r>
  <r>
    <x v="1"/>
    <x v="102"/>
    <x v="1"/>
    <x v="19"/>
    <n v="293"/>
    <n v="189"/>
    <n v="6"/>
    <n v="3"/>
    <n v="17880"/>
    <n v="3"/>
    <n v="17880"/>
    <n v="3"/>
    <n v="185"/>
    <n v="178"/>
    <n v="2024"/>
    <x v="1"/>
    <x v="0"/>
    <x v="1"/>
  </r>
  <r>
    <x v="1"/>
    <x v="102"/>
    <x v="1"/>
    <x v="20"/>
    <n v="1"/>
    <n v="0"/>
    <n v="0"/>
    <n v="0"/>
    <n v="0"/>
    <n v="0"/>
    <n v="0"/>
    <n v="0"/>
    <n v="0"/>
    <n v="1"/>
    <n v="2024"/>
    <x v="1"/>
    <x v="0"/>
    <x v="1"/>
  </r>
  <r>
    <x v="1"/>
    <x v="102"/>
    <x v="1"/>
    <x v="21"/>
    <n v="4"/>
    <n v="1"/>
    <n v="0"/>
    <n v="0"/>
    <n v="0"/>
    <n v="0"/>
    <n v="0"/>
    <n v="0"/>
    <n v="0"/>
    <n v="4"/>
    <n v="2024"/>
    <x v="1"/>
    <x v="0"/>
    <x v="1"/>
  </r>
  <r>
    <x v="1"/>
    <x v="102"/>
    <x v="1"/>
    <x v="24"/>
    <n v="8"/>
    <n v="7"/>
    <n v="0"/>
    <n v="0"/>
    <n v="0"/>
    <n v="0"/>
    <n v="0"/>
    <n v="0"/>
    <n v="5"/>
    <n v="3"/>
    <n v="2024"/>
    <x v="1"/>
    <x v="0"/>
    <x v="1"/>
  </r>
  <r>
    <x v="1"/>
    <x v="102"/>
    <x v="1"/>
    <x v="27"/>
    <n v="44"/>
    <n v="22"/>
    <n v="4"/>
    <n v="2"/>
    <n v="7490"/>
    <n v="2"/>
    <n v="7490"/>
    <n v="2"/>
    <n v="22"/>
    <n v="41"/>
    <n v="2024"/>
    <x v="1"/>
    <x v="0"/>
    <x v="1"/>
  </r>
  <r>
    <x v="1"/>
    <x v="102"/>
    <x v="1"/>
    <x v="29"/>
    <n v="417"/>
    <n v="335"/>
    <n v="12"/>
    <n v="6"/>
    <n v="0"/>
    <n v="0"/>
    <n v="0"/>
    <n v="0"/>
    <n v="194"/>
    <n v="318"/>
    <n v="2024"/>
    <x v="1"/>
    <x v="0"/>
    <x v="1"/>
  </r>
  <r>
    <x v="1"/>
    <x v="102"/>
    <x v="1"/>
    <x v="30"/>
    <n v="798"/>
    <n v="539"/>
    <n v="18"/>
    <n v="5"/>
    <n v="4695"/>
    <n v="1"/>
    <n v="4695"/>
    <n v="1"/>
    <n v="129"/>
    <n v="765"/>
    <n v="2024"/>
    <x v="1"/>
    <x v="0"/>
    <x v="1"/>
  </r>
  <r>
    <x v="1"/>
    <x v="102"/>
    <x v="1"/>
    <x v="31"/>
    <n v="62"/>
    <n v="42"/>
    <n v="3"/>
    <n v="5"/>
    <n v="0"/>
    <n v="0"/>
    <n v="0"/>
    <n v="0"/>
    <n v="9"/>
    <n v="57"/>
    <n v="2024"/>
    <x v="1"/>
    <x v="0"/>
    <x v="1"/>
  </r>
  <r>
    <x v="1"/>
    <x v="102"/>
    <x v="1"/>
    <x v="34"/>
    <n v="85"/>
    <n v="51"/>
    <n v="3"/>
    <n v="1"/>
    <n v="3195"/>
    <n v="1"/>
    <n v="3195"/>
    <n v="1"/>
    <n v="43"/>
    <n v="69"/>
    <n v="2024"/>
    <x v="1"/>
    <x v="0"/>
    <x v="1"/>
  </r>
  <r>
    <x v="1"/>
    <x v="102"/>
    <x v="1"/>
    <x v="36"/>
    <n v="1"/>
    <n v="1"/>
    <n v="0"/>
    <n v="0"/>
    <n v="0"/>
    <n v="0"/>
    <n v="0"/>
    <n v="0"/>
    <n v="1"/>
    <n v="0"/>
    <n v="2024"/>
    <x v="1"/>
    <x v="0"/>
    <x v="1"/>
  </r>
  <r>
    <x v="1"/>
    <x v="102"/>
    <x v="1"/>
    <x v="37"/>
    <n v="308"/>
    <n v="213"/>
    <n v="0"/>
    <n v="0"/>
    <n v="6290"/>
    <n v="2"/>
    <n v="6290"/>
    <n v="2"/>
    <n v="38"/>
    <n v="291"/>
    <n v="2024"/>
    <x v="1"/>
    <x v="0"/>
    <x v="1"/>
  </r>
  <r>
    <x v="1"/>
    <x v="102"/>
    <x v="1"/>
    <x v="38"/>
    <n v="137"/>
    <n v="62"/>
    <n v="7"/>
    <n v="0"/>
    <n v="24275"/>
    <n v="4"/>
    <n v="19580"/>
    <n v="4"/>
    <n v="36"/>
    <n v="127"/>
    <n v="2024"/>
    <x v="1"/>
    <x v="0"/>
    <x v="1"/>
  </r>
  <r>
    <x v="1"/>
    <x v="102"/>
    <x v="1"/>
    <x v="51"/>
    <n v="1"/>
    <n v="1"/>
    <n v="0"/>
    <n v="0"/>
    <n v="0"/>
    <n v="0"/>
    <n v="0"/>
    <n v="0"/>
    <n v="0"/>
    <n v="1"/>
    <n v="2024"/>
    <x v="1"/>
    <x v="0"/>
    <x v="1"/>
  </r>
  <r>
    <x v="1"/>
    <x v="102"/>
    <x v="1"/>
    <x v="43"/>
    <n v="88"/>
    <n v="53"/>
    <n v="3"/>
    <n v="0"/>
    <n v="0"/>
    <n v="0"/>
    <n v="0"/>
    <n v="0"/>
    <n v="54"/>
    <n v="56"/>
    <n v="2024"/>
    <x v="1"/>
    <x v="0"/>
    <x v="1"/>
  </r>
  <r>
    <x v="1"/>
    <x v="102"/>
    <x v="1"/>
    <x v="44"/>
    <n v="7"/>
    <n v="2"/>
    <n v="0"/>
    <n v="0"/>
    <n v="0"/>
    <n v="0"/>
    <n v="0"/>
    <n v="0"/>
    <n v="0"/>
    <n v="7"/>
    <n v="2024"/>
    <x v="1"/>
    <x v="0"/>
    <x v="1"/>
  </r>
  <r>
    <x v="1"/>
    <x v="103"/>
    <x v="0"/>
    <x v="0"/>
    <n v="280"/>
    <n v="86"/>
    <n v="2"/>
    <n v="0"/>
    <n v="5750"/>
    <n v="1"/>
    <n v="5750"/>
    <n v="1"/>
    <n v="10"/>
    <n v="274"/>
    <n v="2024"/>
    <x v="1"/>
    <x v="0"/>
    <x v="1"/>
  </r>
  <r>
    <x v="1"/>
    <x v="103"/>
    <x v="0"/>
    <x v="1"/>
    <n v="14265"/>
    <n v="9393"/>
    <n v="75"/>
    <n v="58"/>
    <n v="32965"/>
    <n v="8"/>
    <n v="6090"/>
    <n v="2"/>
    <n v="621"/>
    <n v="13576"/>
    <n v="2024"/>
    <x v="1"/>
    <x v="0"/>
    <x v="1"/>
  </r>
  <r>
    <x v="1"/>
    <x v="103"/>
    <x v="0"/>
    <x v="2"/>
    <n v="962"/>
    <n v="818"/>
    <n v="15"/>
    <n v="5"/>
    <n v="0"/>
    <n v="0"/>
    <n v="0"/>
    <n v="0"/>
    <n v="962"/>
    <n v="518"/>
    <n v="2024"/>
    <x v="1"/>
    <x v="0"/>
    <x v="1"/>
  </r>
  <r>
    <x v="1"/>
    <x v="103"/>
    <x v="0"/>
    <x v="3"/>
    <n v="1"/>
    <n v="1"/>
    <n v="0"/>
    <n v="0"/>
    <n v="0"/>
    <n v="0"/>
    <n v="0"/>
    <n v="0"/>
    <n v="0"/>
    <n v="1"/>
    <n v="2024"/>
    <x v="1"/>
    <x v="0"/>
    <x v="1"/>
  </r>
  <r>
    <x v="1"/>
    <x v="103"/>
    <x v="1"/>
    <x v="5"/>
    <n v="6"/>
    <n v="3"/>
    <n v="0"/>
    <n v="0"/>
    <n v="0"/>
    <n v="0"/>
    <n v="0"/>
    <n v="0"/>
    <n v="0"/>
    <n v="6"/>
    <n v="2024"/>
    <x v="1"/>
    <x v="0"/>
    <x v="1"/>
  </r>
  <r>
    <x v="1"/>
    <x v="103"/>
    <x v="1"/>
    <x v="6"/>
    <n v="1"/>
    <n v="1"/>
    <n v="0"/>
    <n v="0"/>
    <n v="0"/>
    <n v="0"/>
    <n v="0"/>
    <n v="0"/>
    <n v="0"/>
    <n v="0"/>
    <n v="2024"/>
    <x v="1"/>
    <x v="0"/>
    <x v="1"/>
  </r>
  <r>
    <x v="1"/>
    <x v="103"/>
    <x v="1"/>
    <x v="7"/>
    <n v="135"/>
    <n v="44"/>
    <n v="5"/>
    <n v="0"/>
    <n v="18975"/>
    <n v="4"/>
    <n v="15780"/>
    <n v="4"/>
    <n v="42"/>
    <n v="129"/>
    <n v="2024"/>
    <x v="1"/>
    <x v="0"/>
    <x v="1"/>
  </r>
  <r>
    <x v="1"/>
    <x v="103"/>
    <x v="1"/>
    <x v="8"/>
    <n v="2"/>
    <n v="1"/>
    <n v="0"/>
    <n v="0"/>
    <n v="0"/>
    <n v="0"/>
    <n v="0"/>
    <n v="0"/>
    <n v="0"/>
    <n v="2"/>
    <n v="2024"/>
    <x v="1"/>
    <x v="0"/>
    <x v="1"/>
  </r>
  <r>
    <x v="1"/>
    <x v="103"/>
    <x v="1"/>
    <x v="9"/>
    <n v="3"/>
    <n v="2"/>
    <n v="0"/>
    <n v="0"/>
    <n v="0"/>
    <n v="0"/>
    <n v="0"/>
    <n v="0"/>
    <n v="1"/>
    <n v="3"/>
    <n v="2024"/>
    <x v="1"/>
    <x v="0"/>
    <x v="1"/>
  </r>
  <r>
    <x v="1"/>
    <x v="103"/>
    <x v="1"/>
    <x v="10"/>
    <n v="15"/>
    <n v="7"/>
    <n v="0"/>
    <n v="0"/>
    <n v="0"/>
    <n v="0"/>
    <n v="0"/>
    <n v="0"/>
    <n v="1"/>
    <n v="15"/>
    <n v="2024"/>
    <x v="1"/>
    <x v="0"/>
    <x v="1"/>
  </r>
  <r>
    <x v="1"/>
    <x v="103"/>
    <x v="1"/>
    <x v="59"/>
    <n v="353"/>
    <n v="130"/>
    <n v="1"/>
    <n v="1"/>
    <n v="0"/>
    <n v="0"/>
    <n v="0"/>
    <n v="0"/>
    <n v="23"/>
    <n v="337"/>
    <n v="2024"/>
    <x v="1"/>
    <x v="0"/>
    <x v="1"/>
  </r>
  <r>
    <x v="1"/>
    <x v="103"/>
    <x v="1"/>
    <x v="15"/>
    <n v="5"/>
    <n v="5"/>
    <n v="0"/>
    <n v="0"/>
    <n v="0"/>
    <n v="0"/>
    <n v="0"/>
    <n v="0"/>
    <n v="0"/>
    <n v="5"/>
    <n v="2024"/>
    <x v="1"/>
    <x v="0"/>
    <x v="1"/>
  </r>
  <r>
    <x v="1"/>
    <x v="103"/>
    <x v="1"/>
    <x v="16"/>
    <n v="5"/>
    <n v="4"/>
    <n v="0"/>
    <n v="0"/>
    <n v="0"/>
    <n v="0"/>
    <n v="0"/>
    <n v="0"/>
    <n v="0"/>
    <n v="5"/>
    <n v="2024"/>
    <x v="1"/>
    <x v="0"/>
    <x v="1"/>
  </r>
  <r>
    <x v="1"/>
    <x v="103"/>
    <x v="1"/>
    <x v="18"/>
    <n v="4"/>
    <n v="3"/>
    <n v="1"/>
    <n v="0"/>
    <n v="0"/>
    <n v="0"/>
    <n v="0"/>
    <n v="0"/>
    <n v="2"/>
    <n v="4"/>
    <n v="2024"/>
    <x v="1"/>
    <x v="0"/>
    <x v="1"/>
  </r>
  <r>
    <x v="1"/>
    <x v="103"/>
    <x v="1"/>
    <x v="19"/>
    <n v="303"/>
    <n v="196"/>
    <n v="10"/>
    <n v="3"/>
    <n v="3195"/>
    <n v="1"/>
    <n v="3195"/>
    <n v="1"/>
    <n v="189"/>
    <n v="174"/>
    <n v="2024"/>
    <x v="1"/>
    <x v="0"/>
    <x v="1"/>
  </r>
  <r>
    <x v="1"/>
    <x v="103"/>
    <x v="1"/>
    <x v="20"/>
    <n v="1"/>
    <n v="1"/>
    <n v="0"/>
    <n v="0"/>
    <n v="0"/>
    <n v="0"/>
    <n v="0"/>
    <n v="0"/>
    <n v="0"/>
    <n v="1"/>
    <n v="2024"/>
    <x v="1"/>
    <x v="0"/>
    <x v="1"/>
  </r>
  <r>
    <x v="1"/>
    <x v="103"/>
    <x v="1"/>
    <x v="21"/>
    <n v="5"/>
    <n v="3"/>
    <n v="0"/>
    <n v="0"/>
    <n v="0"/>
    <n v="0"/>
    <n v="0"/>
    <n v="0"/>
    <n v="0"/>
    <n v="5"/>
    <n v="2024"/>
    <x v="1"/>
    <x v="0"/>
    <x v="1"/>
  </r>
  <r>
    <x v="1"/>
    <x v="103"/>
    <x v="1"/>
    <x v="24"/>
    <n v="9"/>
    <n v="4"/>
    <n v="0"/>
    <n v="0"/>
    <n v="0"/>
    <n v="0"/>
    <n v="0"/>
    <n v="0"/>
    <n v="3"/>
    <n v="7"/>
    <n v="2024"/>
    <x v="1"/>
    <x v="0"/>
    <x v="1"/>
  </r>
  <r>
    <x v="1"/>
    <x v="103"/>
    <x v="1"/>
    <x v="25"/>
    <n v="2"/>
    <n v="2"/>
    <n v="0"/>
    <n v="0"/>
    <n v="0"/>
    <n v="0"/>
    <n v="0"/>
    <n v="0"/>
    <n v="0"/>
    <n v="2"/>
    <n v="2024"/>
    <x v="1"/>
    <x v="0"/>
    <x v="1"/>
  </r>
  <r>
    <x v="1"/>
    <x v="103"/>
    <x v="1"/>
    <x v="27"/>
    <n v="28"/>
    <n v="10"/>
    <n v="0"/>
    <n v="0"/>
    <n v="0"/>
    <n v="0"/>
    <n v="0"/>
    <n v="0"/>
    <n v="10"/>
    <n v="24"/>
    <n v="2024"/>
    <x v="1"/>
    <x v="0"/>
    <x v="1"/>
  </r>
  <r>
    <x v="1"/>
    <x v="103"/>
    <x v="1"/>
    <x v="28"/>
    <n v="1"/>
    <n v="0"/>
    <n v="0"/>
    <n v="0"/>
    <n v="0"/>
    <n v="0"/>
    <n v="0"/>
    <n v="0"/>
    <n v="0"/>
    <n v="1"/>
    <n v="2024"/>
    <x v="1"/>
    <x v="0"/>
    <x v="1"/>
  </r>
  <r>
    <x v="1"/>
    <x v="103"/>
    <x v="1"/>
    <x v="29"/>
    <n v="425"/>
    <n v="366"/>
    <n v="3"/>
    <n v="6"/>
    <n v="0"/>
    <n v="0"/>
    <n v="0"/>
    <n v="0"/>
    <n v="189"/>
    <n v="332"/>
    <n v="2024"/>
    <x v="1"/>
    <x v="0"/>
    <x v="1"/>
  </r>
  <r>
    <x v="1"/>
    <x v="103"/>
    <x v="1"/>
    <x v="30"/>
    <n v="614"/>
    <n v="406"/>
    <n v="14"/>
    <n v="7"/>
    <n v="11485"/>
    <n v="3"/>
    <n v="5195"/>
    <n v="1"/>
    <n v="74"/>
    <n v="572"/>
    <n v="2024"/>
    <x v="1"/>
    <x v="0"/>
    <x v="1"/>
  </r>
  <r>
    <x v="1"/>
    <x v="103"/>
    <x v="1"/>
    <x v="31"/>
    <n v="68"/>
    <n v="50"/>
    <n v="4"/>
    <n v="0"/>
    <n v="5500"/>
    <n v="1"/>
    <n v="0"/>
    <n v="0"/>
    <n v="18"/>
    <n v="64"/>
    <n v="2024"/>
    <x v="1"/>
    <x v="0"/>
    <x v="1"/>
  </r>
  <r>
    <x v="1"/>
    <x v="103"/>
    <x v="1"/>
    <x v="32"/>
    <n v="2"/>
    <n v="1"/>
    <n v="0"/>
    <n v="0"/>
    <n v="0"/>
    <n v="0"/>
    <n v="0"/>
    <n v="0"/>
    <n v="1"/>
    <n v="2"/>
    <n v="2024"/>
    <x v="1"/>
    <x v="0"/>
    <x v="1"/>
  </r>
  <r>
    <x v="1"/>
    <x v="103"/>
    <x v="1"/>
    <x v="34"/>
    <n v="76"/>
    <n v="44"/>
    <n v="2"/>
    <n v="1"/>
    <n v="0"/>
    <n v="0"/>
    <n v="0"/>
    <n v="0"/>
    <n v="24"/>
    <n v="67"/>
    <n v="2024"/>
    <x v="1"/>
    <x v="0"/>
    <x v="1"/>
  </r>
  <r>
    <x v="1"/>
    <x v="103"/>
    <x v="1"/>
    <x v="36"/>
    <n v="1"/>
    <n v="0"/>
    <n v="0"/>
    <n v="0"/>
    <n v="0"/>
    <n v="0"/>
    <n v="0"/>
    <n v="0"/>
    <n v="1"/>
    <n v="0"/>
    <n v="2024"/>
    <x v="1"/>
    <x v="0"/>
    <x v="1"/>
  </r>
  <r>
    <x v="1"/>
    <x v="103"/>
    <x v="1"/>
    <x v="37"/>
    <n v="327"/>
    <n v="228"/>
    <n v="6"/>
    <n v="0"/>
    <n v="0"/>
    <n v="0"/>
    <n v="0"/>
    <n v="0"/>
    <n v="44"/>
    <n v="321"/>
    <n v="2024"/>
    <x v="1"/>
    <x v="0"/>
    <x v="1"/>
  </r>
  <r>
    <x v="1"/>
    <x v="103"/>
    <x v="1"/>
    <x v="38"/>
    <n v="117"/>
    <n v="58"/>
    <n v="7"/>
    <n v="3"/>
    <n v="2895"/>
    <n v="1"/>
    <n v="2895"/>
    <n v="1"/>
    <n v="20"/>
    <n v="111"/>
    <n v="2024"/>
    <x v="1"/>
    <x v="0"/>
    <x v="1"/>
  </r>
  <r>
    <x v="1"/>
    <x v="103"/>
    <x v="1"/>
    <x v="51"/>
    <n v="1"/>
    <n v="1"/>
    <n v="0"/>
    <n v="0"/>
    <n v="0"/>
    <n v="0"/>
    <n v="0"/>
    <n v="0"/>
    <n v="0"/>
    <n v="1"/>
    <n v="2024"/>
    <x v="1"/>
    <x v="0"/>
    <x v="1"/>
  </r>
  <r>
    <x v="1"/>
    <x v="103"/>
    <x v="1"/>
    <x v="41"/>
    <n v="1"/>
    <n v="0"/>
    <n v="0"/>
    <n v="0"/>
    <n v="0"/>
    <n v="0"/>
    <n v="0"/>
    <n v="0"/>
    <n v="0"/>
    <n v="1"/>
    <n v="2024"/>
    <x v="1"/>
    <x v="0"/>
    <x v="1"/>
  </r>
  <r>
    <x v="1"/>
    <x v="103"/>
    <x v="1"/>
    <x v="43"/>
    <n v="72"/>
    <n v="44"/>
    <n v="2"/>
    <n v="1"/>
    <n v="0"/>
    <n v="0"/>
    <n v="0"/>
    <n v="0"/>
    <n v="56"/>
    <n v="35"/>
    <n v="2024"/>
    <x v="1"/>
    <x v="0"/>
    <x v="1"/>
  </r>
  <r>
    <x v="1"/>
    <x v="103"/>
    <x v="1"/>
    <x v="44"/>
    <n v="3"/>
    <n v="0"/>
    <n v="0"/>
    <n v="0"/>
    <n v="0"/>
    <n v="0"/>
    <n v="0"/>
    <n v="0"/>
    <n v="0"/>
    <n v="3"/>
    <n v="2024"/>
    <x v="1"/>
    <x v="0"/>
    <x v="1"/>
  </r>
  <r>
    <x v="1"/>
    <x v="104"/>
    <x v="0"/>
    <x v="0"/>
    <n v="312"/>
    <n v="152"/>
    <n v="0"/>
    <n v="0"/>
    <n v="0"/>
    <n v="0"/>
    <n v="0"/>
    <n v="0"/>
    <n v="13"/>
    <n v="305"/>
    <n v="2024"/>
    <x v="1"/>
    <x v="0"/>
    <x v="1"/>
  </r>
  <r>
    <x v="1"/>
    <x v="104"/>
    <x v="0"/>
    <x v="1"/>
    <n v="17053"/>
    <n v="12301"/>
    <n v="87"/>
    <n v="51"/>
    <n v="40500"/>
    <n v="11"/>
    <n v="19930"/>
    <n v="5"/>
    <n v="667"/>
    <n v="16412"/>
    <n v="2024"/>
    <x v="1"/>
    <x v="0"/>
    <x v="1"/>
  </r>
  <r>
    <x v="1"/>
    <x v="104"/>
    <x v="0"/>
    <x v="2"/>
    <n v="1149"/>
    <n v="1032"/>
    <n v="21"/>
    <n v="8"/>
    <n v="0"/>
    <n v="0"/>
    <n v="0"/>
    <n v="0"/>
    <n v="1149"/>
    <n v="624"/>
    <n v="2024"/>
    <x v="1"/>
    <x v="0"/>
    <x v="1"/>
  </r>
  <r>
    <x v="1"/>
    <x v="104"/>
    <x v="0"/>
    <x v="3"/>
    <n v="17"/>
    <n v="8"/>
    <n v="0"/>
    <n v="1"/>
    <n v="0"/>
    <n v="0"/>
    <n v="0"/>
    <n v="0"/>
    <n v="1"/>
    <n v="11"/>
    <n v="2024"/>
    <x v="1"/>
    <x v="0"/>
    <x v="1"/>
  </r>
  <r>
    <x v="1"/>
    <x v="104"/>
    <x v="1"/>
    <x v="5"/>
    <n v="6"/>
    <n v="5"/>
    <n v="0"/>
    <n v="0"/>
    <n v="0"/>
    <n v="0"/>
    <n v="0"/>
    <n v="0"/>
    <n v="0"/>
    <n v="6"/>
    <n v="2024"/>
    <x v="1"/>
    <x v="0"/>
    <x v="1"/>
  </r>
  <r>
    <x v="1"/>
    <x v="104"/>
    <x v="1"/>
    <x v="6"/>
    <n v="6"/>
    <n v="3"/>
    <n v="0"/>
    <n v="0"/>
    <n v="0"/>
    <n v="0"/>
    <n v="0"/>
    <n v="0"/>
    <n v="0"/>
    <n v="1"/>
    <n v="2024"/>
    <x v="1"/>
    <x v="0"/>
    <x v="1"/>
  </r>
  <r>
    <x v="1"/>
    <x v="104"/>
    <x v="1"/>
    <x v="7"/>
    <n v="131"/>
    <n v="53"/>
    <n v="8"/>
    <n v="1"/>
    <n v="17825"/>
    <n v="5"/>
    <n v="14630"/>
    <n v="4"/>
    <n v="42"/>
    <n v="120"/>
    <n v="2024"/>
    <x v="1"/>
    <x v="0"/>
    <x v="1"/>
  </r>
  <r>
    <x v="1"/>
    <x v="104"/>
    <x v="1"/>
    <x v="8"/>
    <n v="3"/>
    <n v="0"/>
    <n v="0"/>
    <n v="0"/>
    <n v="0"/>
    <n v="0"/>
    <n v="0"/>
    <n v="0"/>
    <n v="0"/>
    <n v="3"/>
    <n v="2024"/>
    <x v="1"/>
    <x v="0"/>
    <x v="1"/>
  </r>
  <r>
    <x v="1"/>
    <x v="104"/>
    <x v="1"/>
    <x v="9"/>
    <n v="2"/>
    <n v="2"/>
    <n v="0"/>
    <n v="0"/>
    <n v="0"/>
    <n v="0"/>
    <n v="0"/>
    <n v="0"/>
    <n v="0"/>
    <n v="2"/>
    <n v="2024"/>
    <x v="1"/>
    <x v="0"/>
    <x v="1"/>
  </r>
  <r>
    <x v="1"/>
    <x v="104"/>
    <x v="1"/>
    <x v="10"/>
    <n v="13"/>
    <n v="9"/>
    <n v="0"/>
    <n v="0"/>
    <n v="0"/>
    <n v="0"/>
    <n v="0"/>
    <n v="0"/>
    <n v="1"/>
    <n v="12"/>
    <n v="2024"/>
    <x v="1"/>
    <x v="0"/>
    <x v="1"/>
  </r>
  <r>
    <x v="1"/>
    <x v="104"/>
    <x v="1"/>
    <x v="11"/>
    <n v="2"/>
    <n v="2"/>
    <n v="0"/>
    <n v="0"/>
    <n v="0"/>
    <n v="0"/>
    <n v="0"/>
    <n v="0"/>
    <n v="2"/>
    <n v="0"/>
    <n v="2024"/>
    <x v="1"/>
    <x v="0"/>
    <x v="1"/>
  </r>
  <r>
    <x v="1"/>
    <x v="104"/>
    <x v="1"/>
    <x v="59"/>
    <n v="470"/>
    <n v="178"/>
    <n v="3"/>
    <n v="1"/>
    <n v="0"/>
    <n v="0"/>
    <n v="0"/>
    <n v="0"/>
    <n v="30"/>
    <n v="443"/>
    <n v="2024"/>
    <x v="1"/>
    <x v="0"/>
    <x v="1"/>
  </r>
  <r>
    <x v="1"/>
    <x v="104"/>
    <x v="1"/>
    <x v="15"/>
    <n v="7"/>
    <n v="7"/>
    <n v="0"/>
    <n v="0"/>
    <n v="0"/>
    <n v="0"/>
    <n v="0"/>
    <n v="0"/>
    <n v="1"/>
    <n v="7"/>
    <n v="2024"/>
    <x v="1"/>
    <x v="0"/>
    <x v="1"/>
  </r>
  <r>
    <x v="1"/>
    <x v="104"/>
    <x v="1"/>
    <x v="16"/>
    <n v="3"/>
    <n v="1"/>
    <n v="0"/>
    <n v="0"/>
    <n v="0"/>
    <n v="0"/>
    <n v="0"/>
    <n v="0"/>
    <n v="0"/>
    <n v="3"/>
    <n v="2024"/>
    <x v="1"/>
    <x v="0"/>
    <x v="1"/>
  </r>
  <r>
    <x v="1"/>
    <x v="104"/>
    <x v="1"/>
    <x v="17"/>
    <n v="3"/>
    <n v="3"/>
    <n v="0"/>
    <n v="0"/>
    <n v="0"/>
    <n v="0"/>
    <n v="0"/>
    <n v="0"/>
    <n v="0"/>
    <n v="3"/>
    <n v="2024"/>
    <x v="1"/>
    <x v="0"/>
    <x v="1"/>
  </r>
  <r>
    <x v="1"/>
    <x v="104"/>
    <x v="1"/>
    <x v="18"/>
    <n v="5"/>
    <n v="4"/>
    <n v="0"/>
    <n v="1"/>
    <n v="0"/>
    <n v="0"/>
    <n v="0"/>
    <n v="0"/>
    <n v="1"/>
    <n v="4"/>
    <n v="2024"/>
    <x v="1"/>
    <x v="0"/>
    <x v="1"/>
  </r>
  <r>
    <x v="1"/>
    <x v="104"/>
    <x v="1"/>
    <x v="19"/>
    <n v="300"/>
    <n v="193"/>
    <n v="6"/>
    <n v="4"/>
    <n v="4995"/>
    <n v="1"/>
    <n v="4995"/>
    <n v="1"/>
    <n v="212"/>
    <n v="161"/>
    <n v="2024"/>
    <x v="1"/>
    <x v="0"/>
    <x v="1"/>
  </r>
  <r>
    <x v="1"/>
    <x v="104"/>
    <x v="1"/>
    <x v="20"/>
    <n v="2"/>
    <n v="2"/>
    <n v="0"/>
    <n v="0"/>
    <n v="0"/>
    <n v="0"/>
    <n v="0"/>
    <n v="0"/>
    <n v="1"/>
    <n v="1"/>
    <n v="2024"/>
    <x v="1"/>
    <x v="0"/>
    <x v="1"/>
  </r>
  <r>
    <x v="1"/>
    <x v="104"/>
    <x v="1"/>
    <x v="21"/>
    <n v="1"/>
    <n v="0"/>
    <n v="0"/>
    <n v="0"/>
    <n v="0"/>
    <n v="0"/>
    <n v="0"/>
    <n v="0"/>
    <n v="0"/>
    <n v="1"/>
    <n v="2024"/>
    <x v="1"/>
    <x v="0"/>
    <x v="1"/>
  </r>
  <r>
    <x v="1"/>
    <x v="104"/>
    <x v="1"/>
    <x v="24"/>
    <n v="5"/>
    <n v="4"/>
    <n v="0"/>
    <n v="0"/>
    <n v="0"/>
    <n v="0"/>
    <n v="0"/>
    <n v="0"/>
    <n v="2"/>
    <n v="4"/>
    <n v="2024"/>
    <x v="1"/>
    <x v="0"/>
    <x v="1"/>
  </r>
  <r>
    <x v="1"/>
    <x v="104"/>
    <x v="1"/>
    <x v="27"/>
    <n v="29"/>
    <n v="18"/>
    <n v="2"/>
    <n v="0"/>
    <n v="0"/>
    <n v="0"/>
    <n v="0"/>
    <n v="0"/>
    <n v="15"/>
    <n v="25"/>
    <n v="2024"/>
    <x v="1"/>
    <x v="0"/>
    <x v="1"/>
  </r>
  <r>
    <x v="1"/>
    <x v="104"/>
    <x v="1"/>
    <x v="29"/>
    <n v="468"/>
    <n v="407"/>
    <n v="16"/>
    <n v="5"/>
    <n v="2795"/>
    <n v="1"/>
    <n v="2795"/>
    <n v="1"/>
    <n v="230"/>
    <n v="339"/>
    <n v="2024"/>
    <x v="1"/>
    <x v="0"/>
    <x v="1"/>
  </r>
  <r>
    <x v="1"/>
    <x v="104"/>
    <x v="1"/>
    <x v="30"/>
    <n v="491"/>
    <n v="327"/>
    <n v="15"/>
    <n v="9"/>
    <n v="0"/>
    <n v="0"/>
    <n v="0"/>
    <n v="0"/>
    <n v="49"/>
    <n v="450"/>
    <n v="2024"/>
    <x v="1"/>
    <x v="0"/>
    <x v="1"/>
  </r>
  <r>
    <x v="1"/>
    <x v="104"/>
    <x v="1"/>
    <x v="31"/>
    <n v="53"/>
    <n v="37"/>
    <n v="3"/>
    <n v="1"/>
    <n v="0"/>
    <n v="0"/>
    <n v="0"/>
    <n v="0"/>
    <n v="6"/>
    <n v="53"/>
    <n v="2024"/>
    <x v="1"/>
    <x v="0"/>
    <x v="1"/>
  </r>
  <r>
    <x v="1"/>
    <x v="104"/>
    <x v="1"/>
    <x v="32"/>
    <n v="1"/>
    <n v="1"/>
    <n v="0"/>
    <n v="0"/>
    <n v="0"/>
    <n v="0"/>
    <n v="0"/>
    <n v="0"/>
    <n v="0"/>
    <n v="1"/>
    <n v="2024"/>
    <x v="1"/>
    <x v="0"/>
    <x v="1"/>
  </r>
  <r>
    <x v="1"/>
    <x v="104"/>
    <x v="1"/>
    <x v="34"/>
    <n v="77"/>
    <n v="45"/>
    <n v="4"/>
    <n v="2"/>
    <n v="4995"/>
    <n v="1"/>
    <n v="4995"/>
    <n v="1"/>
    <n v="43"/>
    <n v="58"/>
    <n v="2024"/>
    <x v="1"/>
    <x v="0"/>
    <x v="1"/>
  </r>
  <r>
    <x v="1"/>
    <x v="104"/>
    <x v="1"/>
    <x v="36"/>
    <n v="2"/>
    <n v="1"/>
    <n v="0"/>
    <n v="0"/>
    <n v="0"/>
    <n v="0"/>
    <n v="0"/>
    <n v="0"/>
    <n v="2"/>
    <n v="0"/>
    <n v="2024"/>
    <x v="1"/>
    <x v="0"/>
    <x v="1"/>
  </r>
  <r>
    <x v="1"/>
    <x v="104"/>
    <x v="1"/>
    <x v="37"/>
    <n v="271"/>
    <n v="185"/>
    <n v="1"/>
    <n v="0"/>
    <n v="6290"/>
    <n v="2"/>
    <n v="3495"/>
    <n v="1"/>
    <n v="37"/>
    <n v="264"/>
    <n v="2024"/>
    <x v="1"/>
    <x v="0"/>
    <x v="1"/>
  </r>
  <r>
    <x v="1"/>
    <x v="104"/>
    <x v="1"/>
    <x v="38"/>
    <n v="121"/>
    <n v="56"/>
    <n v="4"/>
    <n v="2"/>
    <n v="8385"/>
    <n v="1"/>
    <n v="8385"/>
    <n v="1"/>
    <n v="24"/>
    <n v="111"/>
    <n v="2024"/>
    <x v="1"/>
    <x v="0"/>
    <x v="1"/>
  </r>
  <r>
    <x v="1"/>
    <x v="104"/>
    <x v="1"/>
    <x v="41"/>
    <n v="2"/>
    <n v="0"/>
    <n v="0"/>
    <n v="0"/>
    <n v="0"/>
    <n v="0"/>
    <n v="0"/>
    <n v="0"/>
    <n v="1"/>
    <n v="2"/>
    <n v="2024"/>
    <x v="1"/>
    <x v="0"/>
    <x v="1"/>
  </r>
  <r>
    <x v="1"/>
    <x v="104"/>
    <x v="1"/>
    <x v="43"/>
    <n v="79"/>
    <n v="46"/>
    <n v="3"/>
    <n v="2"/>
    <n v="2495"/>
    <n v="1"/>
    <n v="0"/>
    <n v="0"/>
    <n v="69"/>
    <n v="41"/>
    <n v="2024"/>
    <x v="1"/>
    <x v="0"/>
    <x v="1"/>
  </r>
  <r>
    <x v="1"/>
    <x v="104"/>
    <x v="1"/>
    <x v="44"/>
    <n v="8"/>
    <n v="4"/>
    <n v="0"/>
    <n v="0"/>
    <n v="0"/>
    <n v="0"/>
    <n v="0"/>
    <n v="0"/>
    <n v="0"/>
    <n v="8"/>
    <n v="2024"/>
    <x v="1"/>
    <x v="0"/>
    <x v="1"/>
  </r>
  <r>
    <x v="0"/>
    <x v="45"/>
    <x v="0"/>
    <x v="0"/>
    <n v="4236"/>
    <n v="2222"/>
    <n v="79"/>
    <n v="15"/>
    <n v="191140.19"/>
    <n v="45"/>
    <n v="174858.19"/>
    <n v="43"/>
    <n v="61"/>
    <n v="4192"/>
    <n v="2025"/>
    <x v="0"/>
    <x v="2"/>
    <x v="0"/>
  </r>
  <r>
    <x v="0"/>
    <x v="45"/>
    <x v="0"/>
    <x v="1"/>
    <n v="300769"/>
    <n v="284019"/>
    <n v="3973"/>
    <n v="3728"/>
    <n v="3449776.52"/>
    <n v="791"/>
    <n v="1921706.67"/>
    <n v="548"/>
    <n v="24913"/>
    <n v="294706"/>
    <n v="2025"/>
    <x v="0"/>
    <x v="2"/>
    <x v="0"/>
  </r>
  <r>
    <x v="0"/>
    <x v="45"/>
    <x v="0"/>
    <x v="2"/>
    <n v="7"/>
    <n v="4"/>
    <n v="0"/>
    <n v="0"/>
    <n v="0"/>
    <n v="0"/>
    <n v="0"/>
    <n v="0"/>
    <n v="2"/>
    <n v="6"/>
    <n v="2025"/>
    <x v="0"/>
    <x v="2"/>
    <x v="0"/>
  </r>
  <r>
    <x v="0"/>
    <x v="45"/>
    <x v="0"/>
    <x v="3"/>
    <n v="12665"/>
    <n v="10574"/>
    <n v="170"/>
    <n v="13"/>
    <n v="0"/>
    <n v="0"/>
    <n v="0"/>
    <n v="0"/>
    <n v="275"/>
    <n v="2509"/>
    <n v="2025"/>
    <x v="0"/>
    <x v="2"/>
    <x v="0"/>
  </r>
  <r>
    <x v="0"/>
    <x v="45"/>
    <x v="1"/>
    <x v="46"/>
    <n v="2"/>
    <n v="1"/>
    <n v="0"/>
    <n v="0"/>
    <n v="0"/>
    <n v="0"/>
    <n v="0"/>
    <n v="0"/>
    <n v="0"/>
    <n v="0"/>
    <n v="2025"/>
    <x v="0"/>
    <x v="2"/>
    <x v="0"/>
  </r>
  <r>
    <x v="0"/>
    <x v="45"/>
    <x v="1"/>
    <x v="4"/>
    <n v="1"/>
    <n v="1"/>
    <n v="0"/>
    <n v="0"/>
    <n v="0"/>
    <n v="0"/>
    <n v="0"/>
    <n v="0"/>
    <n v="0"/>
    <n v="0"/>
    <n v="2025"/>
    <x v="0"/>
    <x v="2"/>
    <x v="0"/>
  </r>
  <r>
    <x v="0"/>
    <x v="45"/>
    <x v="1"/>
    <x v="5"/>
    <n v="72"/>
    <n v="49"/>
    <n v="0"/>
    <n v="0"/>
    <n v="5075"/>
    <n v="1"/>
    <n v="5075"/>
    <n v="1"/>
    <n v="5"/>
    <n v="68"/>
    <n v="2025"/>
    <x v="0"/>
    <x v="2"/>
    <x v="0"/>
  </r>
  <r>
    <x v="0"/>
    <x v="45"/>
    <x v="1"/>
    <x v="6"/>
    <n v="6916"/>
    <n v="6742"/>
    <n v="0"/>
    <n v="0"/>
    <n v="0"/>
    <n v="0"/>
    <n v="0"/>
    <n v="0"/>
    <n v="1"/>
    <n v="11"/>
    <n v="2025"/>
    <x v="0"/>
    <x v="2"/>
    <x v="0"/>
  </r>
  <r>
    <x v="0"/>
    <x v="45"/>
    <x v="1"/>
    <x v="7"/>
    <n v="3828"/>
    <n v="1762"/>
    <n v="547"/>
    <n v="53"/>
    <n v="2465647.73"/>
    <n v="615"/>
    <n v="2158072.73"/>
    <n v="578"/>
    <n v="1380"/>
    <n v="3688"/>
    <n v="2025"/>
    <x v="0"/>
    <x v="2"/>
    <x v="0"/>
  </r>
  <r>
    <x v="0"/>
    <x v="45"/>
    <x v="1"/>
    <x v="8"/>
    <n v="1016"/>
    <n v="766"/>
    <n v="25"/>
    <n v="32"/>
    <n v="7335"/>
    <n v="2"/>
    <n v="1490"/>
    <n v="1"/>
    <n v="8"/>
    <n v="557"/>
    <n v="2025"/>
    <x v="0"/>
    <x v="2"/>
    <x v="0"/>
  </r>
  <r>
    <x v="0"/>
    <x v="45"/>
    <x v="1"/>
    <x v="9"/>
    <n v="694"/>
    <n v="642"/>
    <n v="0"/>
    <n v="0"/>
    <n v="0"/>
    <n v="0"/>
    <n v="0"/>
    <n v="0"/>
    <n v="3"/>
    <n v="32"/>
    <n v="2025"/>
    <x v="0"/>
    <x v="2"/>
    <x v="0"/>
  </r>
  <r>
    <x v="0"/>
    <x v="45"/>
    <x v="1"/>
    <x v="10"/>
    <n v="179"/>
    <n v="119"/>
    <n v="1"/>
    <n v="0"/>
    <n v="0"/>
    <n v="0"/>
    <n v="0"/>
    <n v="0"/>
    <n v="11"/>
    <n v="51"/>
    <n v="2025"/>
    <x v="0"/>
    <x v="2"/>
    <x v="0"/>
  </r>
  <r>
    <x v="0"/>
    <x v="45"/>
    <x v="1"/>
    <x v="11"/>
    <n v="19"/>
    <n v="19"/>
    <n v="0"/>
    <n v="0"/>
    <n v="0"/>
    <n v="0"/>
    <n v="0"/>
    <n v="0"/>
    <n v="10"/>
    <n v="9"/>
    <n v="2025"/>
    <x v="0"/>
    <x v="2"/>
    <x v="0"/>
  </r>
  <r>
    <x v="0"/>
    <x v="45"/>
    <x v="1"/>
    <x v="61"/>
    <n v="1"/>
    <n v="0"/>
    <n v="0"/>
    <n v="0"/>
    <n v="0"/>
    <n v="0"/>
    <n v="0"/>
    <n v="0"/>
    <n v="0"/>
    <n v="0"/>
    <n v="2025"/>
    <x v="0"/>
    <x v="2"/>
    <x v="0"/>
  </r>
  <r>
    <x v="0"/>
    <x v="45"/>
    <x v="1"/>
    <x v="48"/>
    <n v="6"/>
    <n v="6"/>
    <n v="0"/>
    <n v="0"/>
    <n v="0"/>
    <n v="0"/>
    <n v="0"/>
    <n v="0"/>
    <n v="1"/>
    <n v="6"/>
    <n v="2025"/>
    <x v="0"/>
    <x v="2"/>
    <x v="0"/>
  </r>
  <r>
    <x v="0"/>
    <x v="45"/>
    <x v="1"/>
    <x v="66"/>
    <n v="791"/>
    <n v="586"/>
    <n v="11"/>
    <n v="1"/>
    <n v="40222"/>
    <n v="13"/>
    <n v="38232"/>
    <n v="13"/>
    <n v="12"/>
    <n v="163"/>
    <n v="2025"/>
    <x v="0"/>
    <x v="2"/>
    <x v="0"/>
  </r>
  <r>
    <x v="0"/>
    <x v="45"/>
    <x v="1"/>
    <x v="59"/>
    <n v="42034"/>
    <n v="39980"/>
    <n v="252"/>
    <n v="50"/>
    <n v="612750.81000000006"/>
    <n v="157"/>
    <n v="514562.32"/>
    <n v="145"/>
    <n v="1305"/>
    <n v="3259"/>
    <n v="2025"/>
    <x v="0"/>
    <x v="2"/>
    <x v="0"/>
  </r>
  <r>
    <x v="0"/>
    <x v="45"/>
    <x v="1"/>
    <x v="15"/>
    <n v="530"/>
    <n v="512"/>
    <n v="5"/>
    <n v="4"/>
    <n v="1050"/>
    <n v="1"/>
    <n v="1050"/>
    <n v="1"/>
    <n v="7"/>
    <n v="529"/>
    <n v="2025"/>
    <x v="0"/>
    <x v="2"/>
    <x v="0"/>
  </r>
  <r>
    <x v="0"/>
    <x v="45"/>
    <x v="1"/>
    <x v="17"/>
    <n v="4091"/>
    <n v="3196"/>
    <n v="82"/>
    <n v="8"/>
    <n v="3360"/>
    <n v="1"/>
    <n v="3360"/>
    <n v="1"/>
    <n v="14"/>
    <n v="4077"/>
    <n v="2025"/>
    <x v="0"/>
    <x v="2"/>
    <x v="0"/>
  </r>
  <r>
    <x v="0"/>
    <x v="45"/>
    <x v="1"/>
    <x v="18"/>
    <n v="169"/>
    <n v="137"/>
    <n v="19"/>
    <n v="2"/>
    <n v="74799"/>
    <n v="21"/>
    <n v="59649"/>
    <n v="18"/>
    <n v="28"/>
    <n v="150"/>
    <n v="2025"/>
    <x v="0"/>
    <x v="2"/>
    <x v="0"/>
  </r>
  <r>
    <x v="0"/>
    <x v="45"/>
    <x v="1"/>
    <x v="19"/>
    <n v="10991"/>
    <n v="8105"/>
    <n v="581"/>
    <n v="129"/>
    <n v="1394335.6"/>
    <n v="302"/>
    <n v="975380.6"/>
    <n v="252"/>
    <n v="4445"/>
    <n v="7427"/>
    <n v="2025"/>
    <x v="0"/>
    <x v="2"/>
    <x v="0"/>
  </r>
  <r>
    <x v="0"/>
    <x v="45"/>
    <x v="1"/>
    <x v="20"/>
    <n v="241"/>
    <n v="178"/>
    <n v="3"/>
    <n v="1"/>
    <n v="0"/>
    <n v="0"/>
    <n v="0"/>
    <n v="0"/>
    <n v="46"/>
    <n v="224"/>
    <n v="2025"/>
    <x v="0"/>
    <x v="2"/>
    <x v="0"/>
  </r>
  <r>
    <x v="0"/>
    <x v="45"/>
    <x v="1"/>
    <x v="21"/>
    <n v="1"/>
    <n v="0"/>
    <n v="0"/>
    <n v="0"/>
    <n v="0"/>
    <n v="0"/>
    <n v="0"/>
    <n v="0"/>
    <n v="0"/>
    <n v="1"/>
    <n v="2025"/>
    <x v="0"/>
    <x v="2"/>
    <x v="0"/>
  </r>
  <r>
    <x v="0"/>
    <x v="45"/>
    <x v="1"/>
    <x v="50"/>
    <n v="2"/>
    <n v="1"/>
    <n v="1"/>
    <n v="0"/>
    <n v="1680"/>
    <n v="1"/>
    <n v="1680"/>
    <n v="1"/>
    <n v="0"/>
    <n v="2"/>
    <n v="2025"/>
    <x v="0"/>
    <x v="2"/>
    <x v="0"/>
  </r>
  <r>
    <x v="0"/>
    <x v="45"/>
    <x v="1"/>
    <x v="24"/>
    <n v="502"/>
    <n v="329"/>
    <n v="43"/>
    <n v="2"/>
    <n v="99416"/>
    <n v="25"/>
    <n v="84806"/>
    <n v="22"/>
    <n v="256"/>
    <n v="373"/>
    <n v="2025"/>
    <x v="0"/>
    <x v="2"/>
    <x v="0"/>
  </r>
  <r>
    <x v="0"/>
    <x v="45"/>
    <x v="1"/>
    <x v="27"/>
    <n v="2138"/>
    <n v="1094"/>
    <n v="192"/>
    <n v="32"/>
    <n v="715724.28"/>
    <n v="160"/>
    <n v="563012.28"/>
    <n v="151"/>
    <n v="1107"/>
    <n v="1764"/>
    <n v="2025"/>
    <x v="0"/>
    <x v="2"/>
    <x v="0"/>
  </r>
  <r>
    <x v="0"/>
    <x v="45"/>
    <x v="1"/>
    <x v="29"/>
    <n v="17369"/>
    <n v="14758"/>
    <n v="754"/>
    <n v="185"/>
    <n v="866970.4"/>
    <n v="191"/>
    <n v="609725.4"/>
    <n v="169"/>
    <n v="8714"/>
    <n v="12151"/>
    <n v="2025"/>
    <x v="0"/>
    <x v="2"/>
    <x v="0"/>
  </r>
  <r>
    <x v="0"/>
    <x v="45"/>
    <x v="1"/>
    <x v="30"/>
    <n v="110718"/>
    <n v="102537"/>
    <n v="988"/>
    <n v="608"/>
    <n v="699764.16"/>
    <n v="154"/>
    <n v="370973.86"/>
    <n v="123"/>
    <n v="6682"/>
    <n v="103895"/>
    <n v="2025"/>
    <x v="0"/>
    <x v="2"/>
    <x v="0"/>
  </r>
  <r>
    <x v="0"/>
    <x v="45"/>
    <x v="1"/>
    <x v="31"/>
    <n v="1926"/>
    <n v="1465"/>
    <n v="91"/>
    <n v="57"/>
    <n v="187847"/>
    <n v="25"/>
    <n v="151752"/>
    <n v="22"/>
    <n v="331"/>
    <n v="1859"/>
    <n v="2025"/>
    <x v="0"/>
    <x v="2"/>
    <x v="0"/>
  </r>
  <r>
    <x v="0"/>
    <x v="45"/>
    <x v="1"/>
    <x v="32"/>
    <n v="55"/>
    <n v="32"/>
    <n v="3"/>
    <n v="0"/>
    <n v="8592"/>
    <n v="3"/>
    <n v="8592"/>
    <n v="3"/>
    <n v="7"/>
    <n v="55"/>
    <n v="2025"/>
    <x v="0"/>
    <x v="2"/>
    <x v="0"/>
  </r>
  <r>
    <x v="0"/>
    <x v="45"/>
    <x v="1"/>
    <x v="33"/>
    <n v="1"/>
    <n v="1"/>
    <n v="0"/>
    <n v="0"/>
    <n v="0"/>
    <n v="0"/>
    <n v="0"/>
    <n v="0"/>
    <n v="1"/>
    <n v="0"/>
    <n v="2025"/>
    <x v="0"/>
    <x v="2"/>
    <x v="0"/>
  </r>
  <r>
    <x v="0"/>
    <x v="45"/>
    <x v="1"/>
    <x v="34"/>
    <n v="4343"/>
    <n v="2756"/>
    <n v="185"/>
    <n v="78"/>
    <n v="264689.93"/>
    <n v="68"/>
    <n v="204571.93"/>
    <n v="60"/>
    <n v="1351"/>
    <n v="3996"/>
    <n v="2025"/>
    <x v="0"/>
    <x v="2"/>
    <x v="0"/>
  </r>
  <r>
    <x v="0"/>
    <x v="45"/>
    <x v="1"/>
    <x v="35"/>
    <n v="6"/>
    <n v="3"/>
    <n v="0"/>
    <n v="0"/>
    <n v="0"/>
    <n v="0"/>
    <n v="0"/>
    <n v="0"/>
    <n v="0"/>
    <n v="3"/>
    <n v="2025"/>
    <x v="0"/>
    <x v="2"/>
    <x v="0"/>
  </r>
  <r>
    <x v="0"/>
    <x v="45"/>
    <x v="1"/>
    <x v="36"/>
    <n v="17"/>
    <n v="15"/>
    <n v="0"/>
    <n v="0"/>
    <n v="0"/>
    <n v="0"/>
    <n v="0"/>
    <n v="0"/>
    <n v="7"/>
    <n v="10"/>
    <n v="2025"/>
    <x v="0"/>
    <x v="2"/>
    <x v="0"/>
  </r>
  <r>
    <x v="0"/>
    <x v="45"/>
    <x v="1"/>
    <x v="38"/>
    <n v="3283"/>
    <n v="1563"/>
    <n v="303"/>
    <n v="112"/>
    <n v="958011.64"/>
    <n v="221"/>
    <n v="736674.64"/>
    <n v="199"/>
    <n v="921"/>
    <n v="3147"/>
    <n v="2025"/>
    <x v="0"/>
    <x v="2"/>
    <x v="0"/>
  </r>
  <r>
    <x v="0"/>
    <x v="45"/>
    <x v="1"/>
    <x v="65"/>
    <n v="28"/>
    <n v="27"/>
    <n v="1"/>
    <n v="1"/>
    <n v="0"/>
    <n v="0"/>
    <n v="0"/>
    <n v="0"/>
    <n v="0"/>
    <n v="28"/>
    <n v="2025"/>
    <x v="0"/>
    <x v="2"/>
    <x v="0"/>
  </r>
  <r>
    <x v="0"/>
    <x v="45"/>
    <x v="1"/>
    <x v="60"/>
    <n v="213"/>
    <n v="198"/>
    <n v="1"/>
    <n v="3"/>
    <n v="2375"/>
    <n v="1"/>
    <n v="0"/>
    <n v="0"/>
    <n v="8"/>
    <n v="213"/>
    <n v="2025"/>
    <x v="0"/>
    <x v="2"/>
    <x v="0"/>
  </r>
  <r>
    <x v="0"/>
    <x v="45"/>
    <x v="1"/>
    <x v="51"/>
    <n v="1"/>
    <n v="1"/>
    <n v="0"/>
    <n v="0"/>
    <n v="0"/>
    <n v="0"/>
    <n v="0"/>
    <n v="0"/>
    <n v="1"/>
    <n v="1"/>
    <n v="2025"/>
    <x v="0"/>
    <x v="2"/>
    <x v="0"/>
  </r>
  <r>
    <x v="0"/>
    <x v="45"/>
    <x v="1"/>
    <x v="39"/>
    <n v="17"/>
    <n v="14"/>
    <n v="0"/>
    <n v="0"/>
    <n v="0"/>
    <n v="0"/>
    <n v="0"/>
    <n v="0"/>
    <n v="4"/>
    <n v="17"/>
    <n v="2025"/>
    <x v="0"/>
    <x v="2"/>
    <x v="0"/>
  </r>
  <r>
    <x v="0"/>
    <x v="45"/>
    <x v="1"/>
    <x v="55"/>
    <n v="1"/>
    <n v="0"/>
    <n v="0"/>
    <n v="0"/>
    <n v="0"/>
    <n v="0"/>
    <n v="0"/>
    <n v="0"/>
    <n v="0"/>
    <n v="0"/>
    <n v="2025"/>
    <x v="0"/>
    <x v="2"/>
    <x v="0"/>
  </r>
  <r>
    <x v="0"/>
    <x v="45"/>
    <x v="1"/>
    <x v="64"/>
    <n v="7543"/>
    <n v="6749"/>
    <n v="227"/>
    <n v="53"/>
    <n v="301312.88"/>
    <n v="67"/>
    <n v="243398.88"/>
    <n v="60"/>
    <n v="1136"/>
    <n v="7386"/>
    <n v="2025"/>
    <x v="0"/>
    <x v="2"/>
    <x v="0"/>
  </r>
  <r>
    <x v="0"/>
    <x v="45"/>
    <x v="1"/>
    <x v="42"/>
    <n v="3260"/>
    <n v="2243"/>
    <n v="82"/>
    <n v="61"/>
    <n v="99134"/>
    <n v="15"/>
    <n v="33962"/>
    <n v="8"/>
    <n v="232"/>
    <n v="3117"/>
    <n v="2025"/>
    <x v="0"/>
    <x v="2"/>
    <x v="0"/>
  </r>
  <r>
    <x v="0"/>
    <x v="45"/>
    <x v="1"/>
    <x v="43"/>
    <n v="1850"/>
    <n v="1310"/>
    <n v="62"/>
    <n v="18"/>
    <n v="43928"/>
    <n v="11"/>
    <n v="38758"/>
    <n v="9"/>
    <n v="1505"/>
    <n v="1016"/>
    <n v="2025"/>
    <x v="0"/>
    <x v="2"/>
    <x v="0"/>
  </r>
  <r>
    <x v="0"/>
    <x v="45"/>
    <x v="1"/>
    <x v="44"/>
    <n v="395"/>
    <n v="161"/>
    <n v="17"/>
    <n v="1"/>
    <n v="159368.81"/>
    <n v="41"/>
    <n v="151773.81"/>
    <n v="39"/>
    <n v="7"/>
    <n v="395"/>
    <n v="2025"/>
    <x v="0"/>
    <x v="2"/>
    <x v="0"/>
  </r>
  <r>
    <x v="0"/>
    <x v="45"/>
    <x v="1"/>
    <x v="45"/>
    <n v="59"/>
    <n v="12"/>
    <n v="4"/>
    <n v="1"/>
    <n v="5240"/>
    <n v="2"/>
    <n v="2750"/>
    <n v="1"/>
    <n v="4"/>
    <n v="59"/>
    <n v="2025"/>
    <x v="0"/>
    <x v="2"/>
    <x v="0"/>
  </r>
  <r>
    <x v="0"/>
    <x v="105"/>
    <x v="0"/>
    <x v="0"/>
    <n v="2930"/>
    <n v="1650"/>
    <n v="27"/>
    <n v="11"/>
    <n v="53005"/>
    <n v="9"/>
    <n v="53005"/>
    <n v="9"/>
    <n v="31"/>
    <n v="2922"/>
    <n v="2025"/>
    <x v="3"/>
    <x v="2"/>
    <x v="0"/>
  </r>
  <r>
    <x v="0"/>
    <x v="105"/>
    <x v="0"/>
    <x v="1"/>
    <n v="222929"/>
    <n v="214679"/>
    <n v="1498"/>
    <n v="1432"/>
    <n v="1342872"/>
    <n v="158"/>
    <n v="520472"/>
    <n v="93"/>
    <n v="18640"/>
    <n v="217459"/>
    <n v="2025"/>
    <x v="3"/>
    <x v="2"/>
    <x v="0"/>
  </r>
  <r>
    <x v="0"/>
    <x v="105"/>
    <x v="0"/>
    <x v="2"/>
    <n v="1"/>
    <n v="1"/>
    <n v="0"/>
    <n v="0"/>
    <n v="0"/>
    <n v="0"/>
    <n v="0"/>
    <n v="0"/>
    <n v="1"/>
    <n v="0"/>
    <n v="2025"/>
    <x v="3"/>
    <x v="2"/>
    <x v="0"/>
  </r>
  <r>
    <x v="0"/>
    <x v="105"/>
    <x v="0"/>
    <x v="3"/>
    <n v="4356"/>
    <n v="3209"/>
    <n v="15"/>
    <n v="6"/>
    <n v="0"/>
    <n v="0"/>
    <n v="0"/>
    <n v="0"/>
    <n v="85"/>
    <n v="1916"/>
    <n v="2025"/>
    <x v="3"/>
    <x v="2"/>
    <x v="0"/>
  </r>
  <r>
    <x v="0"/>
    <x v="105"/>
    <x v="1"/>
    <x v="5"/>
    <n v="584"/>
    <n v="526"/>
    <n v="1"/>
    <n v="1"/>
    <n v="0"/>
    <n v="0"/>
    <n v="0"/>
    <n v="0"/>
    <n v="12"/>
    <n v="577"/>
    <n v="2025"/>
    <x v="3"/>
    <x v="2"/>
    <x v="0"/>
  </r>
  <r>
    <x v="0"/>
    <x v="105"/>
    <x v="1"/>
    <x v="6"/>
    <n v="333"/>
    <n v="299"/>
    <n v="0"/>
    <n v="0"/>
    <n v="0"/>
    <n v="0"/>
    <n v="0"/>
    <n v="0"/>
    <n v="0"/>
    <n v="2"/>
    <n v="2025"/>
    <x v="3"/>
    <x v="2"/>
    <x v="0"/>
  </r>
  <r>
    <x v="0"/>
    <x v="105"/>
    <x v="1"/>
    <x v="7"/>
    <n v="1816"/>
    <n v="1077"/>
    <n v="164"/>
    <n v="27"/>
    <n v="690800"/>
    <n v="102"/>
    <n v="557030"/>
    <n v="95"/>
    <n v="615"/>
    <n v="1722"/>
    <n v="2025"/>
    <x v="3"/>
    <x v="2"/>
    <x v="0"/>
  </r>
  <r>
    <x v="0"/>
    <x v="105"/>
    <x v="1"/>
    <x v="8"/>
    <n v="490"/>
    <n v="315"/>
    <n v="4"/>
    <n v="5"/>
    <n v="0"/>
    <n v="0"/>
    <n v="0"/>
    <n v="0"/>
    <n v="3"/>
    <n v="406"/>
    <n v="2025"/>
    <x v="3"/>
    <x v="2"/>
    <x v="0"/>
  </r>
  <r>
    <x v="0"/>
    <x v="105"/>
    <x v="1"/>
    <x v="9"/>
    <n v="284"/>
    <n v="175"/>
    <n v="0"/>
    <n v="0"/>
    <n v="0"/>
    <n v="0"/>
    <n v="0"/>
    <n v="0"/>
    <n v="2"/>
    <n v="268"/>
    <n v="2025"/>
    <x v="3"/>
    <x v="2"/>
    <x v="0"/>
  </r>
  <r>
    <x v="0"/>
    <x v="105"/>
    <x v="1"/>
    <x v="10"/>
    <n v="59"/>
    <n v="43"/>
    <n v="1"/>
    <n v="1"/>
    <n v="0"/>
    <n v="0"/>
    <n v="0"/>
    <n v="0"/>
    <n v="6"/>
    <n v="35"/>
    <n v="2025"/>
    <x v="3"/>
    <x v="2"/>
    <x v="0"/>
  </r>
  <r>
    <x v="0"/>
    <x v="105"/>
    <x v="1"/>
    <x v="11"/>
    <n v="6"/>
    <n v="6"/>
    <n v="0"/>
    <n v="0"/>
    <n v="0"/>
    <n v="0"/>
    <n v="0"/>
    <n v="0"/>
    <n v="4"/>
    <n v="2"/>
    <n v="2025"/>
    <x v="3"/>
    <x v="2"/>
    <x v="0"/>
  </r>
  <r>
    <x v="0"/>
    <x v="105"/>
    <x v="1"/>
    <x v="66"/>
    <n v="125"/>
    <n v="50"/>
    <n v="3"/>
    <n v="0"/>
    <n v="5501"/>
    <n v="3"/>
    <n v="5501"/>
    <n v="3"/>
    <n v="3"/>
    <n v="101"/>
    <n v="2025"/>
    <x v="3"/>
    <x v="2"/>
    <x v="0"/>
  </r>
  <r>
    <x v="0"/>
    <x v="105"/>
    <x v="1"/>
    <x v="59"/>
    <n v="6836"/>
    <n v="5945"/>
    <n v="68"/>
    <n v="26"/>
    <n v="138460"/>
    <n v="27"/>
    <n v="120580"/>
    <n v="24"/>
    <n v="713"/>
    <n v="1980"/>
    <n v="2025"/>
    <x v="3"/>
    <x v="2"/>
    <x v="0"/>
  </r>
  <r>
    <x v="0"/>
    <x v="105"/>
    <x v="1"/>
    <x v="15"/>
    <n v="61"/>
    <n v="51"/>
    <n v="0"/>
    <n v="1"/>
    <n v="0"/>
    <n v="0"/>
    <n v="0"/>
    <n v="0"/>
    <n v="1"/>
    <n v="61"/>
    <n v="2025"/>
    <x v="3"/>
    <x v="2"/>
    <x v="0"/>
  </r>
  <r>
    <x v="0"/>
    <x v="105"/>
    <x v="1"/>
    <x v="17"/>
    <n v="3812"/>
    <n v="3085"/>
    <n v="43"/>
    <n v="2"/>
    <n v="0"/>
    <n v="0"/>
    <n v="0"/>
    <n v="0"/>
    <n v="20"/>
    <n v="3792"/>
    <n v="2025"/>
    <x v="3"/>
    <x v="2"/>
    <x v="0"/>
  </r>
  <r>
    <x v="0"/>
    <x v="105"/>
    <x v="1"/>
    <x v="18"/>
    <n v="69"/>
    <n v="58"/>
    <n v="3"/>
    <n v="2"/>
    <n v="12460"/>
    <n v="3"/>
    <n v="12460"/>
    <n v="3"/>
    <n v="10"/>
    <n v="63"/>
    <n v="2025"/>
    <x v="3"/>
    <x v="2"/>
    <x v="0"/>
  </r>
  <r>
    <x v="0"/>
    <x v="105"/>
    <x v="1"/>
    <x v="19"/>
    <n v="6530"/>
    <n v="5057"/>
    <n v="209"/>
    <n v="68"/>
    <n v="410462"/>
    <n v="56"/>
    <n v="285557"/>
    <n v="47"/>
    <n v="2969"/>
    <n v="4476"/>
    <n v="2025"/>
    <x v="3"/>
    <x v="2"/>
    <x v="0"/>
  </r>
  <r>
    <x v="0"/>
    <x v="105"/>
    <x v="1"/>
    <x v="20"/>
    <n v="153"/>
    <n v="106"/>
    <n v="5"/>
    <n v="0"/>
    <n v="7750"/>
    <n v="2"/>
    <n v="4500"/>
    <n v="1"/>
    <n v="19"/>
    <n v="149"/>
    <n v="2025"/>
    <x v="3"/>
    <x v="2"/>
    <x v="0"/>
  </r>
  <r>
    <x v="0"/>
    <x v="105"/>
    <x v="1"/>
    <x v="21"/>
    <n v="1"/>
    <n v="0"/>
    <n v="0"/>
    <n v="0"/>
    <n v="0"/>
    <n v="0"/>
    <n v="0"/>
    <n v="0"/>
    <n v="0"/>
    <n v="1"/>
    <n v="2025"/>
    <x v="3"/>
    <x v="2"/>
    <x v="0"/>
  </r>
  <r>
    <x v="0"/>
    <x v="105"/>
    <x v="1"/>
    <x v="50"/>
    <n v="2"/>
    <n v="2"/>
    <n v="0"/>
    <n v="1"/>
    <n v="6880"/>
    <n v="1"/>
    <n v="6880"/>
    <n v="1"/>
    <n v="0"/>
    <n v="2"/>
    <n v="2025"/>
    <x v="3"/>
    <x v="2"/>
    <x v="0"/>
  </r>
  <r>
    <x v="0"/>
    <x v="105"/>
    <x v="1"/>
    <x v="24"/>
    <n v="259"/>
    <n v="204"/>
    <n v="10"/>
    <n v="2"/>
    <n v="22180"/>
    <n v="5"/>
    <n v="22180"/>
    <n v="5"/>
    <n v="117"/>
    <n v="191"/>
    <n v="2025"/>
    <x v="3"/>
    <x v="2"/>
    <x v="0"/>
  </r>
  <r>
    <x v="0"/>
    <x v="105"/>
    <x v="1"/>
    <x v="27"/>
    <n v="1664"/>
    <n v="1150"/>
    <n v="75"/>
    <n v="18"/>
    <n v="267060"/>
    <n v="49"/>
    <n v="247125"/>
    <n v="47"/>
    <n v="918"/>
    <n v="1254"/>
    <n v="2025"/>
    <x v="3"/>
    <x v="2"/>
    <x v="0"/>
  </r>
  <r>
    <x v="0"/>
    <x v="105"/>
    <x v="1"/>
    <x v="29"/>
    <n v="11717"/>
    <n v="10553"/>
    <n v="320"/>
    <n v="124"/>
    <n v="385116"/>
    <n v="44"/>
    <n v="184351"/>
    <n v="30"/>
    <n v="6545"/>
    <n v="7464"/>
    <n v="2025"/>
    <x v="3"/>
    <x v="2"/>
    <x v="0"/>
  </r>
  <r>
    <x v="0"/>
    <x v="105"/>
    <x v="1"/>
    <x v="30"/>
    <n v="42693"/>
    <n v="38739"/>
    <n v="377"/>
    <n v="283"/>
    <n v="217992"/>
    <n v="32"/>
    <n v="156052"/>
    <n v="27"/>
    <n v="2694"/>
    <n v="40775"/>
    <n v="2025"/>
    <x v="3"/>
    <x v="2"/>
    <x v="0"/>
  </r>
  <r>
    <x v="0"/>
    <x v="105"/>
    <x v="1"/>
    <x v="31"/>
    <n v="1577"/>
    <n v="1337"/>
    <n v="60"/>
    <n v="30"/>
    <n v="52630"/>
    <n v="9"/>
    <n v="47935"/>
    <n v="9"/>
    <n v="226"/>
    <n v="1531"/>
    <n v="2025"/>
    <x v="3"/>
    <x v="2"/>
    <x v="0"/>
  </r>
  <r>
    <x v="0"/>
    <x v="105"/>
    <x v="1"/>
    <x v="32"/>
    <n v="14"/>
    <n v="12"/>
    <n v="0"/>
    <n v="0"/>
    <n v="3995"/>
    <n v="1"/>
    <n v="0"/>
    <n v="0"/>
    <n v="2"/>
    <n v="13"/>
    <n v="2025"/>
    <x v="3"/>
    <x v="2"/>
    <x v="0"/>
  </r>
  <r>
    <x v="0"/>
    <x v="105"/>
    <x v="1"/>
    <x v="34"/>
    <n v="1290"/>
    <n v="860"/>
    <n v="39"/>
    <n v="22"/>
    <n v="42180"/>
    <n v="5"/>
    <n v="25535"/>
    <n v="4"/>
    <n v="521"/>
    <n v="1086"/>
    <n v="2025"/>
    <x v="3"/>
    <x v="2"/>
    <x v="0"/>
  </r>
  <r>
    <x v="0"/>
    <x v="105"/>
    <x v="1"/>
    <x v="35"/>
    <n v="4"/>
    <n v="3"/>
    <n v="0"/>
    <n v="0"/>
    <n v="0"/>
    <n v="0"/>
    <n v="0"/>
    <n v="0"/>
    <n v="0"/>
    <n v="2"/>
    <n v="2025"/>
    <x v="3"/>
    <x v="2"/>
    <x v="0"/>
  </r>
  <r>
    <x v="0"/>
    <x v="105"/>
    <x v="1"/>
    <x v="36"/>
    <n v="12"/>
    <n v="11"/>
    <n v="0"/>
    <n v="0"/>
    <n v="0"/>
    <n v="0"/>
    <n v="0"/>
    <n v="0"/>
    <n v="5"/>
    <n v="7"/>
    <n v="2025"/>
    <x v="3"/>
    <x v="2"/>
    <x v="0"/>
  </r>
  <r>
    <x v="0"/>
    <x v="105"/>
    <x v="1"/>
    <x v="38"/>
    <n v="1861"/>
    <n v="1158"/>
    <n v="76"/>
    <n v="61"/>
    <n v="578890"/>
    <n v="37"/>
    <n v="223324"/>
    <n v="32"/>
    <n v="451"/>
    <n v="1779"/>
    <n v="2025"/>
    <x v="3"/>
    <x v="2"/>
    <x v="0"/>
  </r>
  <r>
    <x v="0"/>
    <x v="105"/>
    <x v="1"/>
    <x v="65"/>
    <n v="14"/>
    <n v="14"/>
    <n v="0"/>
    <n v="0"/>
    <n v="0"/>
    <n v="0"/>
    <n v="0"/>
    <n v="0"/>
    <n v="0"/>
    <n v="14"/>
    <n v="2025"/>
    <x v="3"/>
    <x v="2"/>
    <x v="0"/>
  </r>
  <r>
    <x v="0"/>
    <x v="105"/>
    <x v="1"/>
    <x v="60"/>
    <n v="110"/>
    <n v="100"/>
    <n v="2"/>
    <n v="0"/>
    <n v="0"/>
    <n v="0"/>
    <n v="0"/>
    <n v="0"/>
    <n v="5"/>
    <n v="110"/>
    <n v="2025"/>
    <x v="3"/>
    <x v="2"/>
    <x v="0"/>
  </r>
  <r>
    <x v="0"/>
    <x v="105"/>
    <x v="1"/>
    <x v="39"/>
    <n v="2"/>
    <n v="2"/>
    <n v="1"/>
    <n v="0"/>
    <n v="0"/>
    <n v="0"/>
    <n v="0"/>
    <n v="0"/>
    <n v="1"/>
    <n v="2"/>
    <n v="2025"/>
    <x v="3"/>
    <x v="2"/>
    <x v="0"/>
  </r>
  <r>
    <x v="0"/>
    <x v="105"/>
    <x v="1"/>
    <x v="64"/>
    <n v="6027"/>
    <n v="5619"/>
    <n v="128"/>
    <n v="44"/>
    <n v="70475"/>
    <n v="16"/>
    <n v="62295"/>
    <n v="14"/>
    <n v="759"/>
    <n v="5929"/>
    <n v="2025"/>
    <x v="3"/>
    <x v="2"/>
    <x v="0"/>
  </r>
  <r>
    <x v="0"/>
    <x v="105"/>
    <x v="1"/>
    <x v="42"/>
    <n v="9"/>
    <n v="6"/>
    <n v="0"/>
    <n v="0"/>
    <n v="0"/>
    <n v="0"/>
    <n v="0"/>
    <n v="0"/>
    <n v="1"/>
    <n v="1"/>
    <n v="2025"/>
    <x v="3"/>
    <x v="2"/>
    <x v="0"/>
  </r>
  <r>
    <x v="0"/>
    <x v="105"/>
    <x v="1"/>
    <x v="43"/>
    <n v="1484"/>
    <n v="1180"/>
    <n v="32"/>
    <n v="16"/>
    <n v="15320"/>
    <n v="4"/>
    <n v="15320"/>
    <n v="4"/>
    <n v="1247"/>
    <n v="760"/>
    <n v="2025"/>
    <x v="3"/>
    <x v="2"/>
    <x v="0"/>
  </r>
  <r>
    <x v="0"/>
    <x v="105"/>
    <x v="1"/>
    <x v="44"/>
    <n v="196"/>
    <n v="68"/>
    <n v="0"/>
    <n v="1"/>
    <n v="18275"/>
    <n v="4"/>
    <n v="18275"/>
    <n v="4"/>
    <n v="1"/>
    <n v="195"/>
    <n v="2025"/>
    <x v="3"/>
    <x v="2"/>
    <x v="0"/>
  </r>
  <r>
    <x v="0"/>
    <x v="105"/>
    <x v="1"/>
    <x v="45"/>
    <n v="3"/>
    <n v="0"/>
    <n v="0"/>
    <n v="0"/>
    <n v="0"/>
    <n v="0"/>
    <n v="0"/>
    <n v="0"/>
    <n v="1"/>
    <n v="3"/>
    <n v="2025"/>
    <x v="3"/>
    <x v="2"/>
    <x v="0"/>
  </r>
  <r>
    <x v="0"/>
    <x v="106"/>
    <x v="0"/>
    <x v="0"/>
    <n v="2521"/>
    <n v="1227"/>
    <n v="16"/>
    <n v="6"/>
    <n v="82680"/>
    <n v="15"/>
    <n v="77985"/>
    <n v="15"/>
    <n v="44"/>
    <n v="2502"/>
    <n v="2025"/>
    <x v="4"/>
    <x v="2"/>
    <x v="0"/>
  </r>
  <r>
    <x v="0"/>
    <x v="106"/>
    <x v="0"/>
    <x v="1"/>
    <n v="196765"/>
    <n v="188910"/>
    <n v="1552"/>
    <n v="1096"/>
    <n v="853253"/>
    <n v="152"/>
    <n v="410303"/>
    <n v="98"/>
    <n v="20661"/>
    <n v="189988"/>
    <n v="2025"/>
    <x v="4"/>
    <x v="2"/>
    <x v="0"/>
  </r>
  <r>
    <x v="0"/>
    <x v="106"/>
    <x v="0"/>
    <x v="2"/>
    <n v="6"/>
    <n v="5"/>
    <n v="0"/>
    <n v="0"/>
    <n v="0"/>
    <n v="0"/>
    <n v="0"/>
    <n v="0"/>
    <n v="2"/>
    <n v="4"/>
    <n v="2025"/>
    <x v="4"/>
    <x v="2"/>
    <x v="0"/>
  </r>
  <r>
    <x v="0"/>
    <x v="106"/>
    <x v="0"/>
    <x v="3"/>
    <n v="6882"/>
    <n v="5739"/>
    <n v="35"/>
    <n v="7"/>
    <n v="22245"/>
    <n v="3"/>
    <n v="2995"/>
    <n v="1"/>
    <n v="171"/>
    <n v="3967"/>
    <n v="2025"/>
    <x v="4"/>
    <x v="2"/>
    <x v="0"/>
  </r>
  <r>
    <x v="0"/>
    <x v="106"/>
    <x v="1"/>
    <x v="5"/>
    <n v="398"/>
    <n v="260"/>
    <n v="3"/>
    <n v="1"/>
    <n v="0"/>
    <n v="0"/>
    <n v="0"/>
    <n v="0"/>
    <n v="20"/>
    <n v="383"/>
    <n v="2025"/>
    <x v="4"/>
    <x v="2"/>
    <x v="0"/>
  </r>
  <r>
    <x v="0"/>
    <x v="106"/>
    <x v="1"/>
    <x v="6"/>
    <n v="136"/>
    <n v="117"/>
    <n v="0"/>
    <n v="0"/>
    <n v="0"/>
    <n v="0"/>
    <n v="0"/>
    <n v="0"/>
    <n v="1"/>
    <n v="1"/>
    <n v="2025"/>
    <x v="4"/>
    <x v="2"/>
    <x v="0"/>
  </r>
  <r>
    <x v="0"/>
    <x v="106"/>
    <x v="1"/>
    <x v="7"/>
    <n v="2065"/>
    <n v="1207"/>
    <n v="190"/>
    <n v="31"/>
    <n v="980637.27"/>
    <n v="183"/>
    <n v="897432.27"/>
    <n v="169"/>
    <n v="703"/>
    <n v="1971"/>
    <n v="2025"/>
    <x v="4"/>
    <x v="2"/>
    <x v="0"/>
  </r>
  <r>
    <x v="0"/>
    <x v="106"/>
    <x v="1"/>
    <x v="68"/>
    <n v="1"/>
    <n v="1"/>
    <n v="0"/>
    <n v="0"/>
    <n v="0"/>
    <n v="0"/>
    <n v="0"/>
    <n v="0"/>
    <n v="1"/>
    <n v="0"/>
    <n v="2025"/>
    <x v="4"/>
    <x v="2"/>
    <x v="0"/>
  </r>
  <r>
    <x v="0"/>
    <x v="106"/>
    <x v="1"/>
    <x v="8"/>
    <n v="250"/>
    <n v="170"/>
    <n v="1"/>
    <n v="5"/>
    <n v="4450"/>
    <n v="1"/>
    <n v="0"/>
    <n v="0"/>
    <n v="2"/>
    <n v="246"/>
    <n v="2025"/>
    <x v="4"/>
    <x v="2"/>
    <x v="0"/>
  </r>
  <r>
    <x v="0"/>
    <x v="106"/>
    <x v="1"/>
    <x v="52"/>
    <n v="3"/>
    <n v="1"/>
    <n v="0"/>
    <n v="0"/>
    <n v="0"/>
    <n v="0"/>
    <n v="0"/>
    <n v="0"/>
    <n v="0"/>
    <n v="3"/>
    <n v="2025"/>
    <x v="4"/>
    <x v="2"/>
    <x v="0"/>
  </r>
  <r>
    <x v="0"/>
    <x v="106"/>
    <x v="1"/>
    <x v="10"/>
    <n v="43"/>
    <n v="28"/>
    <n v="3"/>
    <n v="0"/>
    <n v="0"/>
    <n v="0"/>
    <n v="0"/>
    <n v="0"/>
    <n v="0"/>
    <n v="29"/>
    <n v="2025"/>
    <x v="4"/>
    <x v="2"/>
    <x v="0"/>
  </r>
  <r>
    <x v="0"/>
    <x v="106"/>
    <x v="1"/>
    <x v="11"/>
    <n v="10"/>
    <n v="9"/>
    <n v="0"/>
    <n v="0"/>
    <n v="0"/>
    <n v="0"/>
    <n v="0"/>
    <n v="0"/>
    <n v="8"/>
    <n v="2"/>
    <n v="2025"/>
    <x v="4"/>
    <x v="2"/>
    <x v="0"/>
  </r>
  <r>
    <x v="0"/>
    <x v="106"/>
    <x v="1"/>
    <x v="66"/>
    <n v="8"/>
    <n v="3"/>
    <n v="1"/>
    <n v="0"/>
    <n v="0"/>
    <n v="0"/>
    <n v="0"/>
    <n v="0"/>
    <n v="2"/>
    <n v="8"/>
    <n v="2025"/>
    <x v="4"/>
    <x v="2"/>
    <x v="0"/>
  </r>
  <r>
    <x v="0"/>
    <x v="106"/>
    <x v="1"/>
    <x v="59"/>
    <n v="9755"/>
    <n v="8559"/>
    <n v="98"/>
    <n v="38"/>
    <n v="209604.75"/>
    <n v="41"/>
    <n v="174074.75"/>
    <n v="34"/>
    <n v="760"/>
    <n v="4898"/>
    <n v="2025"/>
    <x v="4"/>
    <x v="2"/>
    <x v="0"/>
  </r>
  <r>
    <x v="0"/>
    <x v="106"/>
    <x v="1"/>
    <x v="15"/>
    <n v="12"/>
    <n v="6"/>
    <n v="0"/>
    <n v="0"/>
    <n v="0"/>
    <n v="0"/>
    <n v="0"/>
    <n v="0"/>
    <n v="1"/>
    <n v="12"/>
    <n v="2025"/>
    <x v="4"/>
    <x v="2"/>
    <x v="0"/>
  </r>
  <r>
    <x v="0"/>
    <x v="106"/>
    <x v="1"/>
    <x v="17"/>
    <n v="4740"/>
    <n v="3903"/>
    <n v="23"/>
    <n v="3"/>
    <n v="0"/>
    <n v="0"/>
    <n v="0"/>
    <n v="0"/>
    <n v="50"/>
    <n v="4690"/>
    <n v="2025"/>
    <x v="4"/>
    <x v="2"/>
    <x v="0"/>
  </r>
  <r>
    <x v="0"/>
    <x v="106"/>
    <x v="1"/>
    <x v="18"/>
    <n v="114"/>
    <n v="101"/>
    <n v="12"/>
    <n v="3"/>
    <n v="27465"/>
    <n v="6"/>
    <n v="24815"/>
    <n v="6"/>
    <n v="29"/>
    <n v="99"/>
    <n v="2025"/>
    <x v="4"/>
    <x v="2"/>
    <x v="0"/>
  </r>
  <r>
    <x v="0"/>
    <x v="106"/>
    <x v="1"/>
    <x v="19"/>
    <n v="8040"/>
    <n v="6069"/>
    <n v="259"/>
    <n v="107"/>
    <n v="451159.63"/>
    <n v="94"/>
    <n v="374554.63"/>
    <n v="84"/>
    <n v="2861"/>
    <n v="6145"/>
    <n v="2025"/>
    <x v="4"/>
    <x v="2"/>
    <x v="0"/>
  </r>
  <r>
    <x v="0"/>
    <x v="106"/>
    <x v="1"/>
    <x v="20"/>
    <n v="283"/>
    <n v="198"/>
    <n v="5"/>
    <n v="1"/>
    <n v="10974.33"/>
    <n v="2"/>
    <n v="2924.33"/>
    <n v="1"/>
    <n v="17"/>
    <n v="282"/>
    <n v="2025"/>
    <x v="4"/>
    <x v="2"/>
    <x v="0"/>
  </r>
  <r>
    <x v="0"/>
    <x v="106"/>
    <x v="1"/>
    <x v="50"/>
    <n v="1"/>
    <n v="0"/>
    <n v="0"/>
    <n v="0"/>
    <n v="0"/>
    <n v="0"/>
    <n v="0"/>
    <n v="0"/>
    <n v="0"/>
    <n v="1"/>
    <n v="2025"/>
    <x v="4"/>
    <x v="2"/>
    <x v="0"/>
  </r>
  <r>
    <x v="0"/>
    <x v="106"/>
    <x v="1"/>
    <x v="24"/>
    <n v="177"/>
    <n v="140"/>
    <n v="9"/>
    <n v="1"/>
    <n v="10585"/>
    <n v="3"/>
    <n v="10585"/>
    <n v="3"/>
    <n v="58"/>
    <n v="152"/>
    <n v="2025"/>
    <x v="4"/>
    <x v="2"/>
    <x v="0"/>
  </r>
  <r>
    <x v="0"/>
    <x v="106"/>
    <x v="1"/>
    <x v="27"/>
    <n v="1340"/>
    <n v="930"/>
    <n v="92"/>
    <n v="19"/>
    <n v="339601.05"/>
    <n v="67"/>
    <n v="307426.05"/>
    <n v="64"/>
    <n v="772"/>
    <n v="1005"/>
    <n v="2025"/>
    <x v="4"/>
    <x v="2"/>
    <x v="0"/>
  </r>
  <r>
    <x v="0"/>
    <x v="106"/>
    <x v="1"/>
    <x v="29"/>
    <n v="25052"/>
    <n v="23632"/>
    <n v="518"/>
    <n v="225"/>
    <n v="452726"/>
    <n v="94"/>
    <n v="303526"/>
    <n v="77"/>
    <n v="8556"/>
    <n v="19949"/>
    <n v="2025"/>
    <x v="4"/>
    <x v="2"/>
    <x v="0"/>
  </r>
  <r>
    <x v="0"/>
    <x v="106"/>
    <x v="1"/>
    <x v="30"/>
    <n v="32174"/>
    <n v="27211"/>
    <n v="519"/>
    <n v="245"/>
    <n v="219198.79"/>
    <n v="46"/>
    <n v="131783.79"/>
    <n v="32"/>
    <n v="2455"/>
    <n v="30625"/>
    <n v="2025"/>
    <x v="4"/>
    <x v="2"/>
    <x v="0"/>
  </r>
  <r>
    <x v="0"/>
    <x v="106"/>
    <x v="1"/>
    <x v="31"/>
    <n v="1757"/>
    <n v="1492"/>
    <n v="74"/>
    <n v="41"/>
    <n v="55980"/>
    <n v="10"/>
    <n v="45100"/>
    <n v="8"/>
    <n v="282"/>
    <n v="1703"/>
    <n v="2025"/>
    <x v="4"/>
    <x v="2"/>
    <x v="0"/>
  </r>
  <r>
    <x v="0"/>
    <x v="106"/>
    <x v="1"/>
    <x v="32"/>
    <n v="24"/>
    <n v="19"/>
    <n v="1"/>
    <n v="1"/>
    <n v="2815"/>
    <n v="1"/>
    <n v="2815"/>
    <n v="1"/>
    <n v="9"/>
    <n v="24"/>
    <n v="2025"/>
    <x v="4"/>
    <x v="2"/>
    <x v="0"/>
  </r>
  <r>
    <x v="0"/>
    <x v="106"/>
    <x v="1"/>
    <x v="34"/>
    <n v="513"/>
    <n v="370"/>
    <n v="21"/>
    <n v="9"/>
    <n v="15230"/>
    <n v="5"/>
    <n v="15230"/>
    <n v="5"/>
    <n v="438"/>
    <n v="250"/>
    <n v="2025"/>
    <x v="4"/>
    <x v="2"/>
    <x v="0"/>
  </r>
  <r>
    <x v="0"/>
    <x v="106"/>
    <x v="1"/>
    <x v="35"/>
    <n v="7"/>
    <n v="4"/>
    <n v="0"/>
    <n v="0"/>
    <n v="0"/>
    <n v="0"/>
    <n v="0"/>
    <n v="0"/>
    <n v="0"/>
    <n v="4"/>
    <n v="2025"/>
    <x v="4"/>
    <x v="2"/>
    <x v="0"/>
  </r>
  <r>
    <x v="0"/>
    <x v="106"/>
    <x v="1"/>
    <x v="36"/>
    <n v="5"/>
    <n v="5"/>
    <n v="0"/>
    <n v="0"/>
    <n v="0"/>
    <n v="0"/>
    <n v="0"/>
    <n v="0"/>
    <n v="3"/>
    <n v="2"/>
    <n v="2025"/>
    <x v="4"/>
    <x v="2"/>
    <x v="0"/>
  </r>
  <r>
    <x v="0"/>
    <x v="106"/>
    <x v="1"/>
    <x v="38"/>
    <n v="1847"/>
    <n v="1117"/>
    <n v="102"/>
    <n v="74"/>
    <n v="373018.95"/>
    <n v="61"/>
    <n v="298122.95"/>
    <n v="54"/>
    <n v="484"/>
    <n v="1775"/>
    <n v="2025"/>
    <x v="4"/>
    <x v="2"/>
    <x v="0"/>
  </r>
  <r>
    <x v="0"/>
    <x v="106"/>
    <x v="1"/>
    <x v="65"/>
    <n v="10"/>
    <n v="9"/>
    <n v="0"/>
    <n v="0"/>
    <n v="0"/>
    <n v="0"/>
    <n v="0"/>
    <n v="0"/>
    <n v="0"/>
    <n v="10"/>
    <n v="2025"/>
    <x v="4"/>
    <x v="2"/>
    <x v="0"/>
  </r>
  <r>
    <x v="0"/>
    <x v="106"/>
    <x v="1"/>
    <x v="60"/>
    <n v="67"/>
    <n v="64"/>
    <n v="2"/>
    <n v="0"/>
    <n v="0"/>
    <n v="0"/>
    <n v="0"/>
    <n v="0"/>
    <n v="5"/>
    <n v="67"/>
    <n v="2025"/>
    <x v="4"/>
    <x v="2"/>
    <x v="0"/>
  </r>
  <r>
    <x v="0"/>
    <x v="106"/>
    <x v="1"/>
    <x v="39"/>
    <n v="5"/>
    <n v="4"/>
    <n v="0"/>
    <n v="0"/>
    <n v="0"/>
    <n v="0"/>
    <n v="0"/>
    <n v="0"/>
    <n v="0"/>
    <n v="5"/>
    <n v="2025"/>
    <x v="4"/>
    <x v="2"/>
    <x v="0"/>
  </r>
  <r>
    <x v="0"/>
    <x v="106"/>
    <x v="1"/>
    <x v="64"/>
    <n v="6443"/>
    <n v="6026"/>
    <n v="107"/>
    <n v="29"/>
    <n v="100900"/>
    <n v="19"/>
    <n v="76300"/>
    <n v="16"/>
    <n v="777"/>
    <n v="6324"/>
    <n v="2025"/>
    <x v="4"/>
    <x v="2"/>
    <x v="0"/>
  </r>
  <r>
    <x v="0"/>
    <x v="106"/>
    <x v="1"/>
    <x v="43"/>
    <n v="1483"/>
    <n v="1187"/>
    <n v="40"/>
    <n v="18"/>
    <n v="10450"/>
    <n v="3"/>
    <n v="10450"/>
    <n v="3"/>
    <n v="1279"/>
    <n v="772"/>
    <n v="2025"/>
    <x v="4"/>
    <x v="2"/>
    <x v="0"/>
  </r>
  <r>
    <x v="0"/>
    <x v="106"/>
    <x v="1"/>
    <x v="44"/>
    <n v="333"/>
    <n v="122"/>
    <n v="3"/>
    <n v="1"/>
    <n v="23082"/>
    <n v="9"/>
    <n v="21092"/>
    <n v="8"/>
    <n v="1"/>
    <n v="333"/>
    <n v="2025"/>
    <x v="4"/>
    <x v="2"/>
    <x v="0"/>
  </r>
  <r>
    <x v="0"/>
    <x v="106"/>
    <x v="1"/>
    <x v="45"/>
    <n v="4"/>
    <n v="3"/>
    <n v="0"/>
    <n v="0"/>
    <n v="4645"/>
    <n v="1"/>
    <n v="4645"/>
    <n v="1"/>
    <n v="0"/>
    <n v="4"/>
    <n v="2025"/>
    <x v="4"/>
    <x v="2"/>
    <x v="0"/>
  </r>
  <r>
    <x v="0"/>
    <x v="107"/>
    <x v="0"/>
    <x v="0"/>
    <n v="2452"/>
    <n v="1152"/>
    <n v="11"/>
    <n v="8"/>
    <n v="37597"/>
    <n v="7"/>
    <n v="22257"/>
    <n v="5"/>
    <n v="59"/>
    <n v="2421"/>
    <n v="2025"/>
    <x v="5"/>
    <x v="2"/>
    <x v="0"/>
  </r>
  <r>
    <x v="0"/>
    <x v="107"/>
    <x v="0"/>
    <x v="1"/>
    <n v="236184"/>
    <n v="228650"/>
    <n v="1308"/>
    <n v="1073"/>
    <n v="1271543"/>
    <n v="132"/>
    <n v="534051"/>
    <n v="74"/>
    <n v="21687"/>
    <n v="227585"/>
    <n v="2025"/>
    <x v="5"/>
    <x v="2"/>
    <x v="0"/>
  </r>
  <r>
    <x v="0"/>
    <x v="107"/>
    <x v="0"/>
    <x v="2"/>
    <n v="6"/>
    <n v="6"/>
    <n v="0"/>
    <n v="0"/>
    <n v="0"/>
    <n v="0"/>
    <n v="0"/>
    <n v="0"/>
    <n v="3"/>
    <n v="2"/>
    <n v="2025"/>
    <x v="5"/>
    <x v="2"/>
    <x v="0"/>
  </r>
  <r>
    <x v="0"/>
    <x v="107"/>
    <x v="0"/>
    <x v="3"/>
    <n v="27688"/>
    <n v="24255"/>
    <n v="53"/>
    <n v="27"/>
    <n v="13500"/>
    <n v="1"/>
    <n v="0"/>
    <n v="0"/>
    <n v="414"/>
    <n v="14177"/>
    <n v="2025"/>
    <x v="5"/>
    <x v="2"/>
    <x v="0"/>
  </r>
  <r>
    <x v="0"/>
    <x v="107"/>
    <x v="1"/>
    <x v="46"/>
    <n v="2"/>
    <n v="2"/>
    <n v="0"/>
    <n v="0"/>
    <n v="0"/>
    <n v="0"/>
    <n v="0"/>
    <n v="0"/>
    <n v="0"/>
    <n v="0"/>
    <n v="2025"/>
    <x v="5"/>
    <x v="2"/>
    <x v="0"/>
  </r>
  <r>
    <x v="0"/>
    <x v="107"/>
    <x v="1"/>
    <x v="5"/>
    <n v="404"/>
    <n v="276"/>
    <n v="0"/>
    <n v="0"/>
    <n v="0"/>
    <n v="0"/>
    <n v="0"/>
    <n v="0"/>
    <n v="5"/>
    <n v="404"/>
    <n v="2025"/>
    <x v="5"/>
    <x v="2"/>
    <x v="0"/>
  </r>
  <r>
    <x v="0"/>
    <x v="107"/>
    <x v="1"/>
    <x v="6"/>
    <n v="14286"/>
    <n v="14255"/>
    <n v="0"/>
    <n v="0"/>
    <n v="0"/>
    <n v="0"/>
    <n v="0"/>
    <n v="0"/>
    <n v="0"/>
    <n v="2"/>
    <n v="2025"/>
    <x v="5"/>
    <x v="2"/>
    <x v="0"/>
  </r>
  <r>
    <x v="0"/>
    <x v="107"/>
    <x v="1"/>
    <x v="7"/>
    <n v="1703"/>
    <n v="981"/>
    <n v="151"/>
    <n v="32"/>
    <n v="739163"/>
    <n v="88"/>
    <n v="601088"/>
    <n v="81"/>
    <n v="597"/>
    <n v="1615"/>
    <n v="2025"/>
    <x v="5"/>
    <x v="2"/>
    <x v="0"/>
  </r>
  <r>
    <x v="0"/>
    <x v="107"/>
    <x v="1"/>
    <x v="8"/>
    <n v="150"/>
    <n v="105"/>
    <n v="1"/>
    <n v="0"/>
    <n v="0"/>
    <n v="0"/>
    <n v="0"/>
    <n v="0"/>
    <n v="2"/>
    <n v="127"/>
    <n v="2025"/>
    <x v="5"/>
    <x v="2"/>
    <x v="0"/>
  </r>
  <r>
    <x v="0"/>
    <x v="107"/>
    <x v="1"/>
    <x v="10"/>
    <n v="41"/>
    <n v="22"/>
    <n v="0"/>
    <n v="0"/>
    <n v="0"/>
    <n v="0"/>
    <n v="0"/>
    <n v="0"/>
    <n v="2"/>
    <n v="21"/>
    <n v="2025"/>
    <x v="5"/>
    <x v="2"/>
    <x v="0"/>
  </r>
  <r>
    <x v="0"/>
    <x v="107"/>
    <x v="1"/>
    <x v="11"/>
    <n v="25"/>
    <n v="25"/>
    <n v="0"/>
    <n v="0"/>
    <n v="0"/>
    <n v="0"/>
    <n v="0"/>
    <n v="0"/>
    <n v="21"/>
    <n v="4"/>
    <n v="2025"/>
    <x v="5"/>
    <x v="2"/>
    <x v="0"/>
  </r>
  <r>
    <x v="0"/>
    <x v="107"/>
    <x v="1"/>
    <x v="48"/>
    <n v="1"/>
    <n v="1"/>
    <n v="0"/>
    <n v="0"/>
    <n v="0"/>
    <n v="0"/>
    <n v="0"/>
    <n v="0"/>
    <n v="1"/>
    <n v="1"/>
    <n v="2025"/>
    <x v="5"/>
    <x v="2"/>
    <x v="0"/>
  </r>
  <r>
    <x v="0"/>
    <x v="107"/>
    <x v="1"/>
    <x v="59"/>
    <n v="24117"/>
    <n v="22960"/>
    <n v="76"/>
    <n v="30"/>
    <n v="127830"/>
    <n v="16"/>
    <n v="98395"/>
    <n v="13"/>
    <n v="758"/>
    <n v="2981"/>
    <n v="2025"/>
    <x v="5"/>
    <x v="2"/>
    <x v="0"/>
  </r>
  <r>
    <x v="0"/>
    <x v="107"/>
    <x v="1"/>
    <x v="15"/>
    <n v="8"/>
    <n v="3"/>
    <n v="0"/>
    <n v="0"/>
    <n v="0"/>
    <n v="0"/>
    <n v="0"/>
    <n v="0"/>
    <n v="0"/>
    <n v="8"/>
    <n v="2025"/>
    <x v="5"/>
    <x v="2"/>
    <x v="0"/>
  </r>
  <r>
    <x v="0"/>
    <x v="107"/>
    <x v="1"/>
    <x v="17"/>
    <n v="1939"/>
    <n v="1552"/>
    <n v="11"/>
    <n v="0"/>
    <n v="0"/>
    <n v="0"/>
    <n v="0"/>
    <n v="0"/>
    <n v="16"/>
    <n v="1923"/>
    <n v="2025"/>
    <x v="5"/>
    <x v="2"/>
    <x v="0"/>
  </r>
  <r>
    <x v="0"/>
    <x v="107"/>
    <x v="1"/>
    <x v="18"/>
    <n v="142"/>
    <n v="135"/>
    <n v="5"/>
    <n v="3"/>
    <n v="38635"/>
    <n v="4"/>
    <n v="27045"/>
    <n v="3"/>
    <n v="20"/>
    <n v="131"/>
    <n v="2025"/>
    <x v="5"/>
    <x v="2"/>
    <x v="0"/>
  </r>
  <r>
    <x v="0"/>
    <x v="107"/>
    <x v="1"/>
    <x v="19"/>
    <n v="8839"/>
    <n v="6898"/>
    <n v="225"/>
    <n v="61"/>
    <n v="313978"/>
    <n v="58"/>
    <n v="256333"/>
    <n v="53"/>
    <n v="2702"/>
    <n v="5595"/>
    <n v="2025"/>
    <x v="5"/>
    <x v="2"/>
    <x v="0"/>
  </r>
  <r>
    <x v="0"/>
    <x v="107"/>
    <x v="1"/>
    <x v="20"/>
    <n v="233"/>
    <n v="148"/>
    <n v="3"/>
    <n v="2"/>
    <n v="0"/>
    <n v="0"/>
    <n v="0"/>
    <n v="0"/>
    <n v="28"/>
    <n v="226"/>
    <n v="2025"/>
    <x v="5"/>
    <x v="2"/>
    <x v="0"/>
  </r>
  <r>
    <x v="0"/>
    <x v="107"/>
    <x v="1"/>
    <x v="21"/>
    <n v="1"/>
    <n v="1"/>
    <n v="0"/>
    <n v="0"/>
    <n v="0"/>
    <n v="0"/>
    <n v="0"/>
    <n v="0"/>
    <n v="0"/>
    <n v="1"/>
    <n v="2025"/>
    <x v="5"/>
    <x v="2"/>
    <x v="0"/>
  </r>
  <r>
    <x v="0"/>
    <x v="107"/>
    <x v="1"/>
    <x v="24"/>
    <n v="163"/>
    <n v="134"/>
    <n v="5"/>
    <n v="1"/>
    <n v="32045"/>
    <n v="3"/>
    <n v="32045"/>
    <n v="3"/>
    <n v="36"/>
    <n v="144"/>
    <n v="2025"/>
    <x v="5"/>
    <x v="2"/>
    <x v="0"/>
  </r>
  <r>
    <x v="0"/>
    <x v="107"/>
    <x v="1"/>
    <x v="27"/>
    <n v="1095"/>
    <n v="770"/>
    <n v="52"/>
    <n v="14"/>
    <n v="232719"/>
    <n v="28"/>
    <n v="201329"/>
    <n v="26"/>
    <n v="488"/>
    <n v="892"/>
    <n v="2025"/>
    <x v="5"/>
    <x v="2"/>
    <x v="0"/>
  </r>
  <r>
    <x v="0"/>
    <x v="107"/>
    <x v="1"/>
    <x v="29"/>
    <n v="32746"/>
    <n v="31401"/>
    <n v="417"/>
    <n v="233"/>
    <n v="516167"/>
    <n v="68"/>
    <n v="255117"/>
    <n v="44"/>
    <n v="3792"/>
    <n v="31504"/>
    <n v="2025"/>
    <x v="5"/>
    <x v="2"/>
    <x v="0"/>
  </r>
  <r>
    <x v="0"/>
    <x v="107"/>
    <x v="1"/>
    <x v="30"/>
    <n v="32498"/>
    <n v="27617"/>
    <n v="326"/>
    <n v="207"/>
    <n v="353665"/>
    <n v="32"/>
    <n v="188605"/>
    <n v="19"/>
    <n v="1972"/>
    <n v="30762"/>
    <n v="2025"/>
    <x v="5"/>
    <x v="2"/>
    <x v="0"/>
  </r>
  <r>
    <x v="0"/>
    <x v="107"/>
    <x v="1"/>
    <x v="31"/>
    <n v="1868"/>
    <n v="1551"/>
    <n v="54"/>
    <n v="33"/>
    <n v="124975"/>
    <n v="11"/>
    <n v="109430"/>
    <n v="9"/>
    <n v="240"/>
    <n v="1815"/>
    <n v="2025"/>
    <x v="5"/>
    <x v="2"/>
    <x v="0"/>
  </r>
  <r>
    <x v="0"/>
    <x v="107"/>
    <x v="1"/>
    <x v="32"/>
    <n v="8"/>
    <n v="7"/>
    <n v="0"/>
    <n v="0"/>
    <n v="0"/>
    <n v="0"/>
    <n v="0"/>
    <n v="0"/>
    <n v="1"/>
    <n v="8"/>
    <n v="2025"/>
    <x v="5"/>
    <x v="2"/>
    <x v="0"/>
  </r>
  <r>
    <x v="0"/>
    <x v="107"/>
    <x v="1"/>
    <x v="34"/>
    <n v="612"/>
    <n v="480"/>
    <n v="13"/>
    <n v="7"/>
    <n v="9750"/>
    <n v="2"/>
    <n v="5055"/>
    <n v="2"/>
    <n v="543"/>
    <n v="272"/>
    <n v="2025"/>
    <x v="5"/>
    <x v="2"/>
    <x v="0"/>
  </r>
  <r>
    <x v="0"/>
    <x v="107"/>
    <x v="1"/>
    <x v="35"/>
    <n v="1"/>
    <n v="0"/>
    <n v="0"/>
    <n v="0"/>
    <n v="0"/>
    <n v="0"/>
    <n v="0"/>
    <n v="0"/>
    <n v="0"/>
    <n v="1"/>
    <n v="2025"/>
    <x v="5"/>
    <x v="2"/>
    <x v="0"/>
  </r>
  <r>
    <x v="0"/>
    <x v="107"/>
    <x v="1"/>
    <x v="36"/>
    <n v="13"/>
    <n v="12"/>
    <n v="0"/>
    <n v="1"/>
    <n v="0"/>
    <n v="0"/>
    <n v="0"/>
    <n v="0"/>
    <n v="5"/>
    <n v="8"/>
    <n v="2025"/>
    <x v="5"/>
    <x v="2"/>
    <x v="0"/>
  </r>
  <r>
    <x v="0"/>
    <x v="107"/>
    <x v="1"/>
    <x v="38"/>
    <n v="1742"/>
    <n v="1094"/>
    <n v="89"/>
    <n v="60"/>
    <n v="377673"/>
    <n v="42"/>
    <n v="160498"/>
    <n v="30"/>
    <n v="424"/>
    <n v="1685"/>
    <n v="2025"/>
    <x v="5"/>
    <x v="2"/>
    <x v="0"/>
  </r>
  <r>
    <x v="0"/>
    <x v="107"/>
    <x v="1"/>
    <x v="65"/>
    <n v="2"/>
    <n v="2"/>
    <n v="0"/>
    <n v="0"/>
    <n v="0"/>
    <n v="0"/>
    <n v="0"/>
    <n v="0"/>
    <n v="0"/>
    <n v="2"/>
    <n v="2025"/>
    <x v="5"/>
    <x v="2"/>
    <x v="0"/>
  </r>
  <r>
    <x v="0"/>
    <x v="107"/>
    <x v="1"/>
    <x v="60"/>
    <n v="117"/>
    <n v="110"/>
    <n v="0"/>
    <n v="0"/>
    <n v="0"/>
    <n v="0"/>
    <n v="0"/>
    <n v="0"/>
    <n v="8"/>
    <n v="117"/>
    <n v="2025"/>
    <x v="5"/>
    <x v="2"/>
    <x v="0"/>
  </r>
  <r>
    <x v="0"/>
    <x v="107"/>
    <x v="1"/>
    <x v="39"/>
    <n v="3"/>
    <n v="3"/>
    <n v="0"/>
    <n v="0"/>
    <n v="0"/>
    <n v="0"/>
    <n v="0"/>
    <n v="0"/>
    <n v="0"/>
    <n v="3"/>
    <n v="2025"/>
    <x v="5"/>
    <x v="2"/>
    <x v="0"/>
  </r>
  <r>
    <x v="0"/>
    <x v="107"/>
    <x v="1"/>
    <x v="64"/>
    <n v="5079"/>
    <n v="4684"/>
    <n v="93"/>
    <n v="40"/>
    <n v="49040"/>
    <n v="8"/>
    <n v="37200"/>
    <n v="6"/>
    <n v="704"/>
    <n v="4979"/>
    <n v="2025"/>
    <x v="5"/>
    <x v="2"/>
    <x v="0"/>
  </r>
  <r>
    <x v="0"/>
    <x v="107"/>
    <x v="1"/>
    <x v="43"/>
    <n v="1454"/>
    <n v="1140"/>
    <n v="39"/>
    <n v="8"/>
    <n v="4845"/>
    <n v="1"/>
    <n v="0"/>
    <n v="0"/>
    <n v="1239"/>
    <n v="751"/>
    <n v="2025"/>
    <x v="5"/>
    <x v="2"/>
    <x v="0"/>
  </r>
  <r>
    <x v="0"/>
    <x v="107"/>
    <x v="1"/>
    <x v="44"/>
    <n v="506"/>
    <n v="153"/>
    <n v="0"/>
    <n v="0"/>
    <n v="12935"/>
    <n v="2"/>
    <n v="12935"/>
    <n v="2"/>
    <n v="0"/>
    <n v="506"/>
    <n v="2025"/>
    <x v="5"/>
    <x v="2"/>
    <x v="0"/>
  </r>
  <r>
    <x v="0"/>
    <x v="107"/>
    <x v="1"/>
    <x v="45"/>
    <n v="2"/>
    <n v="2"/>
    <n v="0"/>
    <n v="0"/>
    <n v="0"/>
    <n v="0"/>
    <n v="0"/>
    <n v="0"/>
    <n v="0"/>
    <n v="2"/>
    <n v="2025"/>
    <x v="5"/>
    <x v="2"/>
    <x v="0"/>
  </r>
  <r>
    <x v="0"/>
    <x v="108"/>
    <x v="0"/>
    <x v="0"/>
    <n v="6067"/>
    <n v="2810"/>
    <n v="78"/>
    <n v="28"/>
    <n v="324637.33"/>
    <n v="36"/>
    <n v="294804.46000000002"/>
    <n v="34"/>
    <n v="126"/>
    <n v="5970"/>
    <n v="2025"/>
    <x v="6"/>
    <x v="2"/>
    <x v="0"/>
  </r>
  <r>
    <x v="0"/>
    <x v="108"/>
    <x v="0"/>
    <x v="1"/>
    <n v="580462"/>
    <n v="559444"/>
    <n v="4162"/>
    <n v="3331"/>
    <n v="4128421.45"/>
    <n v="577"/>
    <n v="2425981.4500000002"/>
    <n v="436"/>
    <n v="38080"/>
    <n v="569882"/>
    <n v="2025"/>
    <x v="6"/>
    <x v="2"/>
    <x v="0"/>
  </r>
  <r>
    <x v="0"/>
    <x v="108"/>
    <x v="0"/>
    <x v="2"/>
    <n v="7"/>
    <n v="4"/>
    <n v="0"/>
    <n v="0"/>
    <n v="0"/>
    <n v="0"/>
    <n v="0"/>
    <n v="0"/>
    <n v="3"/>
    <n v="2"/>
    <n v="2025"/>
    <x v="6"/>
    <x v="2"/>
    <x v="0"/>
  </r>
  <r>
    <x v="0"/>
    <x v="108"/>
    <x v="0"/>
    <x v="3"/>
    <n v="26707"/>
    <n v="18879"/>
    <n v="245"/>
    <n v="40"/>
    <n v="21750"/>
    <n v="2"/>
    <n v="0"/>
    <n v="0"/>
    <n v="701"/>
    <n v="10353"/>
    <n v="2025"/>
    <x v="6"/>
    <x v="2"/>
    <x v="0"/>
  </r>
  <r>
    <x v="0"/>
    <x v="108"/>
    <x v="1"/>
    <x v="46"/>
    <n v="8"/>
    <n v="5"/>
    <n v="0"/>
    <n v="0"/>
    <n v="0"/>
    <n v="0"/>
    <n v="0"/>
    <n v="0"/>
    <n v="0"/>
    <n v="0"/>
    <n v="2025"/>
    <x v="6"/>
    <x v="2"/>
    <x v="0"/>
  </r>
  <r>
    <x v="0"/>
    <x v="108"/>
    <x v="1"/>
    <x v="5"/>
    <n v="1181"/>
    <n v="572"/>
    <n v="9"/>
    <n v="5"/>
    <n v="28950"/>
    <n v="4"/>
    <n v="28950"/>
    <n v="4"/>
    <n v="20"/>
    <n v="1180"/>
    <n v="2025"/>
    <x v="6"/>
    <x v="2"/>
    <x v="0"/>
  </r>
  <r>
    <x v="0"/>
    <x v="108"/>
    <x v="1"/>
    <x v="6"/>
    <n v="54302"/>
    <n v="53972"/>
    <n v="0"/>
    <n v="0"/>
    <n v="0"/>
    <n v="0"/>
    <n v="0"/>
    <n v="0"/>
    <n v="0"/>
    <n v="1"/>
    <n v="2025"/>
    <x v="6"/>
    <x v="2"/>
    <x v="0"/>
  </r>
  <r>
    <x v="0"/>
    <x v="108"/>
    <x v="1"/>
    <x v="7"/>
    <n v="4532"/>
    <n v="1872"/>
    <n v="675"/>
    <n v="83"/>
    <n v="4396533.54"/>
    <n v="698"/>
    <n v="3954827.41"/>
    <n v="671"/>
    <n v="1683"/>
    <n v="4396"/>
    <n v="2025"/>
    <x v="6"/>
    <x v="2"/>
    <x v="0"/>
  </r>
  <r>
    <x v="0"/>
    <x v="108"/>
    <x v="1"/>
    <x v="8"/>
    <n v="382"/>
    <n v="221"/>
    <n v="4"/>
    <n v="5"/>
    <n v="6080"/>
    <n v="2"/>
    <n v="3990"/>
    <n v="1"/>
    <n v="6"/>
    <n v="299"/>
    <n v="2025"/>
    <x v="6"/>
    <x v="2"/>
    <x v="0"/>
  </r>
  <r>
    <x v="0"/>
    <x v="108"/>
    <x v="1"/>
    <x v="52"/>
    <n v="1"/>
    <n v="0"/>
    <n v="0"/>
    <n v="0"/>
    <n v="0"/>
    <n v="0"/>
    <n v="0"/>
    <n v="0"/>
    <n v="0"/>
    <n v="1"/>
    <n v="2025"/>
    <x v="6"/>
    <x v="2"/>
    <x v="0"/>
  </r>
  <r>
    <x v="0"/>
    <x v="108"/>
    <x v="1"/>
    <x v="10"/>
    <n v="112"/>
    <n v="40"/>
    <n v="2"/>
    <n v="2"/>
    <n v="6780"/>
    <n v="1"/>
    <n v="0"/>
    <n v="0"/>
    <n v="9"/>
    <n v="45"/>
    <n v="2025"/>
    <x v="6"/>
    <x v="2"/>
    <x v="0"/>
  </r>
  <r>
    <x v="0"/>
    <x v="108"/>
    <x v="1"/>
    <x v="11"/>
    <n v="67"/>
    <n v="66"/>
    <n v="0"/>
    <n v="0"/>
    <n v="0"/>
    <n v="0"/>
    <n v="0"/>
    <n v="0"/>
    <n v="62"/>
    <n v="5"/>
    <n v="2025"/>
    <x v="6"/>
    <x v="2"/>
    <x v="0"/>
  </r>
  <r>
    <x v="0"/>
    <x v="108"/>
    <x v="1"/>
    <x v="61"/>
    <n v="736"/>
    <n v="552"/>
    <n v="33"/>
    <n v="5"/>
    <n v="52530"/>
    <n v="9"/>
    <n v="26520"/>
    <n v="6"/>
    <n v="2"/>
    <n v="736"/>
    <n v="2025"/>
    <x v="6"/>
    <x v="2"/>
    <x v="0"/>
  </r>
  <r>
    <x v="0"/>
    <x v="108"/>
    <x v="1"/>
    <x v="48"/>
    <n v="2"/>
    <n v="2"/>
    <n v="0"/>
    <n v="0"/>
    <n v="0"/>
    <n v="0"/>
    <n v="0"/>
    <n v="0"/>
    <n v="0"/>
    <n v="2"/>
    <n v="2025"/>
    <x v="6"/>
    <x v="2"/>
    <x v="0"/>
  </r>
  <r>
    <x v="0"/>
    <x v="108"/>
    <x v="1"/>
    <x v="66"/>
    <n v="1"/>
    <n v="0"/>
    <n v="0"/>
    <n v="0"/>
    <n v="0"/>
    <n v="0"/>
    <n v="0"/>
    <n v="0"/>
    <n v="0"/>
    <n v="1"/>
    <n v="2025"/>
    <x v="6"/>
    <x v="2"/>
    <x v="0"/>
  </r>
  <r>
    <x v="0"/>
    <x v="108"/>
    <x v="1"/>
    <x v="59"/>
    <n v="50587"/>
    <n v="46265"/>
    <n v="362"/>
    <n v="99"/>
    <n v="1205973.82"/>
    <n v="188"/>
    <n v="1067818.82"/>
    <n v="174"/>
    <n v="2176"/>
    <n v="6453"/>
    <n v="2025"/>
    <x v="6"/>
    <x v="2"/>
    <x v="0"/>
  </r>
  <r>
    <x v="0"/>
    <x v="108"/>
    <x v="1"/>
    <x v="15"/>
    <n v="22"/>
    <n v="12"/>
    <n v="2"/>
    <n v="0"/>
    <n v="0"/>
    <n v="0"/>
    <n v="0"/>
    <n v="0"/>
    <n v="1"/>
    <n v="22"/>
    <n v="2025"/>
    <x v="6"/>
    <x v="2"/>
    <x v="0"/>
  </r>
  <r>
    <x v="0"/>
    <x v="108"/>
    <x v="1"/>
    <x v="17"/>
    <n v="3512"/>
    <n v="2135"/>
    <n v="68"/>
    <n v="9"/>
    <n v="30790"/>
    <n v="5"/>
    <n v="10540"/>
    <n v="3"/>
    <n v="26"/>
    <n v="3486"/>
    <n v="2025"/>
    <x v="6"/>
    <x v="2"/>
    <x v="0"/>
  </r>
  <r>
    <x v="0"/>
    <x v="108"/>
    <x v="1"/>
    <x v="18"/>
    <n v="223"/>
    <n v="196"/>
    <n v="25"/>
    <n v="9"/>
    <n v="86345"/>
    <n v="14"/>
    <n v="80495"/>
    <n v="13"/>
    <n v="30"/>
    <n v="218"/>
    <n v="2025"/>
    <x v="6"/>
    <x v="2"/>
    <x v="0"/>
  </r>
  <r>
    <x v="0"/>
    <x v="108"/>
    <x v="1"/>
    <x v="19"/>
    <n v="30103"/>
    <n v="20516"/>
    <n v="1037"/>
    <n v="278"/>
    <n v="2496452.35"/>
    <n v="388"/>
    <n v="1979825.48"/>
    <n v="345"/>
    <n v="6862"/>
    <n v="19298"/>
    <n v="2025"/>
    <x v="6"/>
    <x v="2"/>
    <x v="0"/>
  </r>
  <r>
    <x v="0"/>
    <x v="108"/>
    <x v="1"/>
    <x v="20"/>
    <n v="518"/>
    <n v="267"/>
    <n v="25"/>
    <n v="8"/>
    <n v="173240.94"/>
    <n v="18"/>
    <n v="131320.94"/>
    <n v="15"/>
    <n v="71"/>
    <n v="499"/>
    <n v="2025"/>
    <x v="6"/>
    <x v="2"/>
    <x v="0"/>
  </r>
  <r>
    <x v="0"/>
    <x v="108"/>
    <x v="1"/>
    <x v="50"/>
    <n v="5"/>
    <n v="1"/>
    <n v="2"/>
    <n v="0"/>
    <n v="2990"/>
    <n v="1"/>
    <n v="0"/>
    <n v="0"/>
    <n v="0"/>
    <n v="5"/>
    <n v="2025"/>
    <x v="6"/>
    <x v="2"/>
    <x v="0"/>
  </r>
  <r>
    <x v="0"/>
    <x v="108"/>
    <x v="1"/>
    <x v="24"/>
    <n v="431"/>
    <n v="326"/>
    <n v="35"/>
    <n v="6"/>
    <n v="96947.44"/>
    <n v="17"/>
    <n v="89977.44"/>
    <n v="15"/>
    <n v="85"/>
    <n v="389"/>
    <n v="2025"/>
    <x v="6"/>
    <x v="2"/>
    <x v="0"/>
  </r>
  <r>
    <x v="0"/>
    <x v="108"/>
    <x v="1"/>
    <x v="27"/>
    <n v="2219"/>
    <n v="1134"/>
    <n v="186"/>
    <n v="33"/>
    <n v="899578.6"/>
    <n v="139"/>
    <n v="785028.6"/>
    <n v="132"/>
    <n v="1117"/>
    <n v="1826"/>
    <n v="2025"/>
    <x v="6"/>
    <x v="2"/>
    <x v="0"/>
  </r>
  <r>
    <x v="0"/>
    <x v="108"/>
    <x v="1"/>
    <x v="29"/>
    <n v="38401"/>
    <n v="34315"/>
    <n v="1004"/>
    <n v="303"/>
    <n v="1031240.43"/>
    <n v="174"/>
    <n v="676895.43"/>
    <n v="137"/>
    <n v="6208"/>
    <n v="36745"/>
    <n v="2025"/>
    <x v="6"/>
    <x v="2"/>
    <x v="0"/>
  </r>
  <r>
    <x v="0"/>
    <x v="108"/>
    <x v="1"/>
    <x v="30"/>
    <n v="102630"/>
    <n v="82968"/>
    <n v="2174"/>
    <n v="724"/>
    <n v="2469726.7999999998"/>
    <n v="401"/>
    <n v="1918091.8"/>
    <n v="344"/>
    <n v="7364"/>
    <n v="100866"/>
    <n v="2025"/>
    <x v="6"/>
    <x v="2"/>
    <x v="0"/>
  </r>
  <r>
    <x v="0"/>
    <x v="108"/>
    <x v="1"/>
    <x v="31"/>
    <n v="3126"/>
    <n v="2181"/>
    <n v="129"/>
    <n v="58"/>
    <n v="159010"/>
    <n v="24"/>
    <n v="100560"/>
    <n v="20"/>
    <n v="428"/>
    <n v="3014"/>
    <n v="2025"/>
    <x v="6"/>
    <x v="2"/>
    <x v="0"/>
  </r>
  <r>
    <x v="0"/>
    <x v="108"/>
    <x v="1"/>
    <x v="32"/>
    <n v="7"/>
    <n v="4"/>
    <n v="1"/>
    <n v="0"/>
    <n v="6940"/>
    <n v="1"/>
    <n v="6940"/>
    <n v="1"/>
    <n v="4"/>
    <n v="7"/>
    <n v="2025"/>
    <x v="6"/>
    <x v="2"/>
    <x v="0"/>
  </r>
  <r>
    <x v="0"/>
    <x v="108"/>
    <x v="1"/>
    <x v="34"/>
    <n v="1032"/>
    <n v="582"/>
    <n v="62"/>
    <n v="6"/>
    <n v="71777.649999999994"/>
    <n v="16"/>
    <n v="57467.65"/>
    <n v="15"/>
    <n v="933"/>
    <n v="498"/>
    <n v="2025"/>
    <x v="6"/>
    <x v="2"/>
    <x v="0"/>
  </r>
  <r>
    <x v="0"/>
    <x v="108"/>
    <x v="1"/>
    <x v="35"/>
    <n v="2"/>
    <n v="0"/>
    <n v="0"/>
    <n v="0"/>
    <n v="0"/>
    <n v="0"/>
    <n v="0"/>
    <n v="0"/>
    <n v="0"/>
    <n v="2"/>
    <n v="2025"/>
    <x v="6"/>
    <x v="2"/>
    <x v="0"/>
  </r>
  <r>
    <x v="0"/>
    <x v="108"/>
    <x v="1"/>
    <x v="36"/>
    <n v="27"/>
    <n v="23"/>
    <n v="0"/>
    <n v="0"/>
    <n v="0"/>
    <n v="0"/>
    <n v="0"/>
    <n v="0"/>
    <n v="5"/>
    <n v="22"/>
    <n v="2025"/>
    <x v="6"/>
    <x v="2"/>
    <x v="0"/>
  </r>
  <r>
    <x v="0"/>
    <x v="108"/>
    <x v="1"/>
    <x v="38"/>
    <n v="3894"/>
    <n v="1754"/>
    <n v="375"/>
    <n v="147"/>
    <n v="1758638.64"/>
    <n v="251"/>
    <n v="1427658.64"/>
    <n v="232"/>
    <n v="1015"/>
    <n v="3787"/>
    <n v="2025"/>
    <x v="6"/>
    <x v="2"/>
    <x v="0"/>
  </r>
  <r>
    <x v="0"/>
    <x v="108"/>
    <x v="1"/>
    <x v="65"/>
    <n v="4"/>
    <n v="4"/>
    <n v="0"/>
    <n v="0"/>
    <n v="0"/>
    <n v="0"/>
    <n v="0"/>
    <n v="0"/>
    <n v="0"/>
    <n v="4"/>
    <n v="2025"/>
    <x v="6"/>
    <x v="2"/>
    <x v="0"/>
  </r>
  <r>
    <x v="0"/>
    <x v="108"/>
    <x v="1"/>
    <x v="60"/>
    <n v="64"/>
    <n v="61"/>
    <n v="0"/>
    <n v="0"/>
    <n v="0"/>
    <n v="0"/>
    <n v="0"/>
    <n v="0"/>
    <n v="1"/>
    <n v="64"/>
    <n v="2025"/>
    <x v="6"/>
    <x v="2"/>
    <x v="0"/>
  </r>
  <r>
    <x v="0"/>
    <x v="108"/>
    <x v="1"/>
    <x v="51"/>
    <n v="1"/>
    <n v="0"/>
    <n v="0"/>
    <n v="0"/>
    <n v="0"/>
    <n v="0"/>
    <n v="0"/>
    <n v="0"/>
    <n v="1"/>
    <n v="0"/>
    <n v="2025"/>
    <x v="6"/>
    <x v="2"/>
    <x v="0"/>
  </r>
  <r>
    <x v="0"/>
    <x v="108"/>
    <x v="1"/>
    <x v="39"/>
    <n v="23"/>
    <n v="20"/>
    <n v="2"/>
    <n v="0"/>
    <n v="0"/>
    <n v="0"/>
    <n v="0"/>
    <n v="0"/>
    <n v="1"/>
    <n v="23"/>
    <n v="2025"/>
    <x v="6"/>
    <x v="2"/>
    <x v="0"/>
  </r>
  <r>
    <x v="0"/>
    <x v="108"/>
    <x v="1"/>
    <x v="64"/>
    <n v="8592"/>
    <n v="7721"/>
    <n v="311"/>
    <n v="51"/>
    <n v="796876.01"/>
    <n v="102"/>
    <n v="645476.01"/>
    <n v="93"/>
    <n v="1289"/>
    <n v="8471"/>
    <n v="2025"/>
    <x v="6"/>
    <x v="2"/>
    <x v="0"/>
  </r>
  <r>
    <x v="0"/>
    <x v="108"/>
    <x v="1"/>
    <x v="42"/>
    <n v="2131"/>
    <n v="941"/>
    <n v="73"/>
    <n v="26"/>
    <n v="49280"/>
    <n v="10"/>
    <n v="35610"/>
    <n v="7"/>
    <n v="220"/>
    <n v="2035"/>
    <n v="2025"/>
    <x v="6"/>
    <x v="2"/>
    <x v="0"/>
  </r>
  <r>
    <x v="0"/>
    <x v="108"/>
    <x v="1"/>
    <x v="43"/>
    <n v="2265"/>
    <n v="1552"/>
    <n v="92"/>
    <n v="35"/>
    <n v="71335"/>
    <n v="11"/>
    <n v="63365"/>
    <n v="11"/>
    <n v="1914"/>
    <n v="1312"/>
    <n v="2025"/>
    <x v="6"/>
    <x v="2"/>
    <x v="0"/>
  </r>
  <r>
    <x v="0"/>
    <x v="108"/>
    <x v="1"/>
    <x v="44"/>
    <n v="959"/>
    <n v="288"/>
    <n v="16"/>
    <n v="1"/>
    <n v="244404.43"/>
    <n v="50"/>
    <n v="242914.43"/>
    <n v="50"/>
    <n v="8"/>
    <n v="959"/>
    <n v="2025"/>
    <x v="6"/>
    <x v="2"/>
    <x v="0"/>
  </r>
  <r>
    <x v="0"/>
    <x v="108"/>
    <x v="1"/>
    <x v="45"/>
    <n v="24"/>
    <n v="6"/>
    <n v="0"/>
    <n v="0"/>
    <n v="3990"/>
    <n v="1"/>
    <n v="0"/>
    <n v="0"/>
    <n v="0"/>
    <n v="24"/>
    <n v="2025"/>
    <x v="6"/>
    <x v="2"/>
    <x v="0"/>
  </r>
  <r>
    <x v="1"/>
    <x v="109"/>
    <x v="0"/>
    <x v="0"/>
    <n v="350"/>
    <n v="65"/>
    <n v="5"/>
    <n v="3"/>
    <n v="48700.480000000003"/>
    <n v="7"/>
    <n v="41710.480000000003"/>
    <n v="7"/>
    <n v="11"/>
    <n v="348"/>
    <n v="2025"/>
    <x v="7"/>
    <x v="2"/>
    <x v="2"/>
  </r>
  <r>
    <x v="1"/>
    <x v="109"/>
    <x v="0"/>
    <x v="1"/>
    <n v="19052"/>
    <n v="9220"/>
    <n v="87"/>
    <n v="91"/>
    <n v="180560"/>
    <n v="21"/>
    <n v="77360"/>
    <n v="17"/>
    <n v="1186"/>
    <n v="18690"/>
    <n v="2025"/>
    <x v="7"/>
    <x v="2"/>
    <x v="2"/>
  </r>
  <r>
    <x v="1"/>
    <x v="109"/>
    <x v="0"/>
    <x v="2"/>
    <n v="1"/>
    <n v="0"/>
    <n v="0"/>
    <n v="0"/>
    <n v="0"/>
    <n v="0"/>
    <n v="0"/>
    <n v="0"/>
    <n v="0"/>
    <n v="1"/>
    <n v="2025"/>
    <x v="7"/>
    <x v="2"/>
    <x v="2"/>
  </r>
  <r>
    <x v="1"/>
    <x v="109"/>
    <x v="0"/>
    <x v="3"/>
    <n v="10"/>
    <n v="5"/>
    <n v="0"/>
    <n v="0"/>
    <n v="0"/>
    <n v="0"/>
    <n v="0"/>
    <n v="0"/>
    <n v="0"/>
    <n v="10"/>
    <n v="2025"/>
    <x v="7"/>
    <x v="2"/>
    <x v="2"/>
  </r>
  <r>
    <x v="1"/>
    <x v="109"/>
    <x v="1"/>
    <x v="5"/>
    <n v="78"/>
    <n v="21"/>
    <n v="1"/>
    <n v="1"/>
    <n v="0"/>
    <n v="0"/>
    <n v="0"/>
    <n v="0"/>
    <n v="1"/>
    <n v="78"/>
    <n v="2025"/>
    <x v="7"/>
    <x v="2"/>
    <x v="2"/>
  </r>
  <r>
    <x v="1"/>
    <x v="109"/>
    <x v="1"/>
    <x v="7"/>
    <n v="378"/>
    <n v="66"/>
    <n v="37"/>
    <n v="1"/>
    <n v="224453.39"/>
    <n v="43"/>
    <n v="204448.39"/>
    <n v="40"/>
    <n v="88"/>
    <n v="366"/>
    <n v="2025"/>
    <x v="7"/>
    <x v="2"/>
    <x v="2"/>
  </r>
  <r>
    <x v="1"/>
    <x v="109"/>
    <x v="1"/>
    <x v="8"/>
    <n v="13"/>
    <n v="5"/>
    <n v="1"/>
    <n v="1"/>
    <n v="0"/>
    <n v="0"/>
    <n v="0"/>
    <n v="0"/>
    <n v="0"/>
    <n v="13"/>
    <n v="2025"/>
    <x v="7"/>
    <x v="2"/>
    <x v="2"/>
  </r>
  <r>
    <x v="1"/>
    <x v="109"/>
    <x v="1"/>
    <x v="11"/>
    <n v="1"/>
    <n v="0"/>
    <n v="0"/>
    <n v="0"/>
    <n v="0"/>
    <n v="0"/>
    <n v="0"/>
    <n v="0"/>
    <n v="1"/>
    <n v="0"/>
    <n v="2025"/>
    <x v="7"/>
    <x v="2"/>
    <x v="2"/>
  </r>
  <r>
    <x v="1"/>
    <x v="109"/>
    <x v="1"/>
    <x v="61"/>
    <n v="39"/>
    <n v="22"/>
    <n v="1"/>
    <n v="0"/>
    <n v="0"/>
    <n v="0"/>
    <n v="0"/>
    <n v="0"/>
    <n v="0"/>
    <n v="39"/>
    <n v="2025"/>
    <x v="7"/>
    <x v="2"/>
    <x v="2"/>
  </r>
  <r>
    <x v="1"/>
    <x v="109"/>
    <x v="1"/>
    <x v="48"/>
    <n v="1"/>
    <n v="1"/>
    <n v="0"/>
    <n v="0"/>
    <n v="0"/>
    <n v="0"/>
    <n v="0"/>
    <n v="0"/>
    <n v="0"/>
    <n v="1"/>
    <n v="2025"/>
    <x v="7"/>
    <x v="2"/>
    <x v="2"/>
  </r>
  <r>
    <x v="1"/>
    <x v="109"/>
    <x v="1"/>
    <x v="59"/>
    <n v="655"/>
    <n v="203"/>
    <n v="17"/>
    <n v="0"/>
    <n v="85931.9"/>
    <n v="12"/>
    <n v="64441.9"/>
    <n v="11"/>
    <n v="115"/>
    <n v="595"/>
    <n v="2025"/>
    <x v="7"/>
    <x v="2"/>
    <x v="2"/>
  </r>
  <r>
    <x v="1"/>
    <x v="109"/>
    <x v="1"/>
    <x v="15"/>
    <n v="2"/>
    <n v="1"/>
    <n v="0"/>
    <n v="0"/>
    <n v="0"/>
    <n v="0"/>
    <n v="0"/>
    <n v="0"/>
    <n v="0"/>
    <n v="2"/>
    <n v="2025"/>
    <x v="7"/>
    <x v="2"/>
    <x v="2"/>
  </r>
  <r>
    <x v="1"/>
    <x v="109"/>
    <x v="1"/>
    <x v="17"/>
    <n v="352"/>
    <n v="92"/>
    <n v="5"/>
    <n v="0"/>
    <n v="8430"/>
    <n v="2"/>
    <n v="8430"/>
    <n v="2"/>
    <n v="3"/>
    <n v="349"/>
    <n v="2025"/>
    <x v="7"/>
    <x v="2"/>
    <x v="2"/>
  </r>
  <r>
    <x v="1"/>
    <x v="109"/>
    <x v="1"/>
    <x v="18"/>
    <n v="11"/>
    <n v="10"/>
    <n v="1"/>
    <n v="0"/>
    <n v="5350"/>
    <n v="1"/>
    <n v="5350"/>
    <n v="1"/>
    <n v="2"/>
    <n v="11"/>
    <n v="2025"/>
    <x v="7"/>
    <x v="2"/>
    <x v="2"/>
  </r>
  <r>
    <x v="1"/>
    <x v="109"/>
    <x v="1"/>
    <x v="19"/>
    <n v="1459"/>
    <n v="582"/>
    <n v="35"/>
    <n v="10"/>
    <n v="141872.44"/>
    <n v="27"/>
    <n v="92877.440000000002"/>
    <n v="20"/>
    <n v="323"/>
    <n v="1349"/>
    <n v="2025"/>
    <x v="7"/>
    <x v="2"/>
    <x v="2"/>
  </r>
  <r>
    <x v="1"/>
    <x v="109"/>
    <x v="1"/>
    <x v="20"/>
    <n v="75"/>
    <n v="35"/>
    <n v="4"/>
    <n v="0"/>
    <n v="27470"/>
    <n v="5"/>
    <n v="27470"/>
    <n v="5"/>
    <n v="7"/>
    <n v="75"/>
    <n v="2025"/>
    <x v="7"/>
    <x v="2"/>
    <x v="2"/>
  </r>
  <r>
    <x v="1"/>
    <x v="109"/>
    <x v="1"/>
    <x v="24"/>
    <n v="5"/>
    <n v="5"/>
    <n v="0"/>
    <n v="0"/>
    <n v="0"/>
    <n v="0"/>
    <n v="0"/>
    <n v="0"/>
    <n v="3"/>
    <n v="4"/>
    <n v="2025"/>
    <x v="7"/>
    <x v="2"/>
    <x v="2"/>
  </r>
  <r>
    <x v="1"/>
    <x v="109"/>
    <x v="1"/>
    <x v="27"/>
    <n v="91"/>
    <n v="27"/>
    <n v="6"/>
    <n v="0"/>
    <n v="77141.899999999994"/>
    <n v="11"/>
    <n v="77141.899999999994"/>
    <n v="11"/>
    <n v="38"/>
    <n v="74"/>
    <n v="2025"/>
    <x v="7"/>
    <x v="2"/>
    <x v="2"/>
  </r>
  <r>
    <x v="1"/>
    <x v="109"/>
    <x v="1"/>
    <x v="29"/>
    <n v="2956"/>
    <n v="2515"/>
    <n v="59"/>
    <n v="17"/>
    <n v="52785.61"/>
    <n v="11"/>
    <n v="35285.61"/>
    <n v="10"/>
    <n v="379"/>
    <n v="2866"/>
    <n v="2025"/>
    <x v="7"/>
    <x v="2"/>
    <x v="2"/>
  </r>
  <r>
    <x v="1"/>
    <x v="109"/>
    <x v="1"/>
    <x v="30"/>
    <n v="5986"/>
    <n v="2273"/>
    <n v="109"/>
    <n v="27"/>
    <n v="144440"/>
    <n v="26"/>
    <n v="119430"/>
    <n v="22"/>
    <n v="405"/>
    <n v="5960"/>
    <n v="2025"/>
    <x v="7"/>
    <x v="2"/>
    <x v="2"/>
  </r>
  <r>
    <x v="1"/>
    <x v="109"/>
    <x v="1"/>
    <x v="31"/>
    <n v="165"/>
    <n v="94"/>
    <n v="6"/>
    <n v="2"/>
    <n v="25250"/>
    <n v="5"/>
    <n v="25250"/>
    <n v="5"/>
    <n v="19"/>
    <n v="162"/>
    <n v="2025"/>
    <x v="7"/>
    <x v="2"/>
    <x v="2"/>
  </r>
  <r>
    <x v="1"/>
    <x v="109"/>
    <x v="1"/>
    <x v="32"/>
    <n v="1"/>
    <n v="0"/>
    <n v="0"/>
    <n v="0"/>
    <n v="0"/>
    <n v="0"/>
    <n v="0"/>
    <n v="0"/>
    <n v="0"/>
    <n v="1"/>
    <n v="2025"/>
    <x v="7"/>
    <x v="2"/>
    <x v="2"/>
  </r>
  <r>
    <x v="1"/>
    <x v="109"/>
    <x v="1"/>
    <x v="34"/>
    <n v="42"/>
    <n v="21"/>
    <n v="4"/>
    <n v="0"/>
    <n v="11205"/>
    <n v="3"/>
    <n v="11205"/>
    <n v="3"/>
    <n v="36"/>
    <n v="18"/>
    <n v="2025"/>
    <x v="7"/>
    <x v="2"/>
    <x v="2"/>
  </r>
  <r>
    <x v="1"/>
    <x v="109"/>
    <x v="1"/>
    <x v="36"/>
    <n v="2"/>
    <n v="1"/>
    <n v="0"/>
    <n v="0"/>
    <n v="0"/>
    <n v="0"/>
    <n v="0"/>
    <n v="0"/>
    <n v="2"/>
    <n v="0"/>
    <n v="2025"/>
    <x v="7"/>
    <x v="2"/>
    <x v="2"/>
  </r>
  <r>
    <x v="1"/>
    <x v="109"/>
    <x v="1"/>
    <x v="38"/>
    <n v="306"/>
    <n v="63"/>
    <n v="16"/>
    <n v="3"/>
    <n v="107709.99"/>
    <n v="17"/>
    <n v="100719.99"/>
    <n v="17"/>
    <n v="68"/>
    <n v="297"/>
    <n v="2025"/>
    <x v="7"/>
    <x v="2"/>
    <x v="2"/>
  </r>
  <r>
    <x v="1"/>
    <x v="109"/>
    <x v="1"/>
    <x v="60"/>
    <n v="5"/>
    <n v="4"/>
    <n v="0"/>
    <n v="0"/>
    <n v="0"/>
    <n v="0"/>
    <n v="0"/>
    <n v="0"/>
    <n v="0"/>
    <n v="5"/>
    <n v="2025"/>
    <x v="7"/>
    <x v="2"/>
    <x v="2"/>
  </r>
  <r>
    <x v="1"/>
    <x v="109"/>
    <x v="1"/>
    <x v="64"/>
    <n v="512"/>
    <n v="236"/>
    <n v="14"/>
    <n v="1"/>
    <n v="40190"/>
    <n v="8"/>
    <n v="19480"/>
    <n v="5"/>
    <n v="72"/>
    <n v="508"/>
    <n v="2025"/>
    <x v="7"/>
    <x v="2"/>
    <x v="2"/>
  </r>
  <r>
    <x v="1"/>
    <x v="109"/>
    <x v="1"/>
    <x v="42"/>
    <n v="124"/>
    <n v="54"/>
    <n v="3"/>
    <n v="3"/>
    <n v="0"/>
    <n v="0"/>
    <n v="0"/>
    <n v="0"/>
    <n v="16"/>
    <n v="123"/>
    <n v="2025"/>
    <x v="7"/>
    <x v="2"/>
    <x v="2"/>
  </r>
  <r>
    <x v="1"/>
    <x v="109"/>
    <x v="1"/>
    <x v="43"/>
    <n v="117"/>
    <n v="41"/>
    <n v="7"/>
    <n v="0"/>
    <n v="11385"/>
    <n v="2"/>
    <n v="11385"/>
    <n v="2"/>
    <n v="95"/>
    <n v="68"/>
    <n v="2025"/>
    <x v="7"/>
    <x v="2"/>
    <x v="2"/>
  </r>
  <r>
    <x v="1"/>
    <x v="109"/>
    <x v="1"/>
    <x v="44"/>
    <n v="49"/>
    <n v="11"/>
    <n v="1"/>
    <n v="0"/>
    <n v="20408.439999999999"/>
    <n v="7"/>
    <n v="15708.44"/>
    <n v="6"/>
    <n v="0"/>
    <n v="49"/>
    <n v="2025"/>
    <x v="7"/>
    <x v="2"/>
    <x v="2"/>
  </r>
  <r>
    <x v="1"/>
    <x v="109"/>
    <x v="1"/>
    <x v="45"/>
    <n v="2"/>
    <n v="0"/>
    <n v="0"/>
    <n v="0"/>
    <n v="0"/>
    <n v="0"/>
    <n v="0"/>
    <n v="0"/>
    <n v="0"/>
    <n v="2"/>
    <n v="2025"/>
    <x v="7"/>
    <x v="2"/>
    <x v="2"/>
  </r>
  <r>
    <x v="1"/>
    <x v="110"/>
    <x v="0"/>
    <x v="0"/>
    <n v="435"/>
    <n v="89"/>
    <n v="4"/>
    <n v="0"/>
    <n v="33240"/>
    <n v="5"/>
    <n v="33240"/>
    <n v="5"/>
    <n v="10"/>
    <n v="434"/>
    <n v="2025"/>
    <x v="7"/>
    <x v="2"/>
    <x v="2"/>
  </r>
  <r>
    <x v="1"/>
    <x v="110"/>
    <x v="0"/>
    <x v="1"/>
    <n v="35109"/>
    <n v="18953"/>
    <n v="176"/>
    <n v="232"/>
    <n v="184612"/>
    <n v="24"/>
    <n v="129680"/>
    <n v="18"/>
    <n v="1633"/>
    <n v="34699"/>
    <n v="2025"/>
    <x v="7"/>
    <x v="2"/>
    <x v="2"/>
  </r>
  <r>
    <x v="1"/>
    <x v="110"/>
    <x v="0"/>
    <x v="3"/>
    <n v="17"/>
    <n v="5"/>
    <n v="0"/>
    <n v="0"/>
    <n v="0"/>
    <n v="0"/>
    <n v="0"/>
    <n v="0"/>
    <n v="0"/>
    <n v="17"/>
    <n v="2025"/>
    <x v="7"/>
    <x v="2"/>
    <x v="2"/>
  </r>
  <r>
    <x v="1"/>
    <x v="110"/>
    <x v="1"/>
    <x v="5"/>
    <n v="87"/>
    <n v="35"/>
    <n v="0"/>
    <n v="0"/>
    <n v="0"/>
    <n v="0"/>
    <n v="0"/>
    <n v="0"/>
    <n v="0"/>
    <n v="87"/>
    <n v="2025"/>
    <x v="7"/>
    <x v="2"/>
    <x v="2"/>
  </r>
  <r>
    <x v="1"/>
    <x v="110"/>
    <x v="1"/>
    <x v="6"/>
    <n v="2"/>
    <n v="2"/>
    <n v="0"/>
    <n v="0"/>
    <n v="0"/>
    <n v="0"/>
    <n v="0"/>
    <n v="0"/>
    <n v="0"/>
    <n v="0"/>
    <n v="2025"/>
    <x v="7"/>
    <x v="2"/>
    <x v="2"/>
  </r>
  <r>
    <x v="1"/>
    <x v="110"/>
    <x v="1"/>
    <x v="7"/>
    <n v="410"/>
    <n v="81"/>
    <n v="34"/>
    <n v="2"/>
    <n v="229098.84"/>
    <n v="44"/>
    <n v="175773.84"/>
    <n v="39"/>
    <n v="115"/>
    <n v="392"/>
    <n v="2025"/>
    <x v="7"/>
    <x v="2"/>
    <x v="2"/>
  </r>
  <r>
    <x v="1"/>
    <x v="110"/>
    <x v="1"/>
    <x v="8"/>
    <n v="16"/>
    <n v="4"/>
    <n v="0"/>
    <n v="0"/>
    <n v="0"/>
    <n v="0"/>
    <n v="0"/>
    <n v="0"/>
    <n v="0"/>
    <n v="16"/>
    <n v="2025"/>
    <x v="7"/>
    <x v="2"/>
    <x v="2"/>
  </r>
  <r>
    <x v="1"/>
    <x v="110"/>
    <x v="1"/>
    <x v="10"/>
    <n v="1"/>
    <n v="1"/>
    <n v="0"/>
    <n v="0"/>
    <n v="0"/>
    <n v="0"/>
    <n v="0"/>
    <n v="0"/>
    <n v="0"/>
    <n v="0"/>
    <n v="2025"/>
    <x v="7"/>
    <x v="2"/>
    <x v="2"/>
  </r>
  <r>
    <x v="1"/>
    <x v="110"/>
    <x v="1"/>
    <x v="11"/>
    <n v="3"/>
    <n v="3"/>
    <n v="0"/>
    <n v="0"/>
    <n v="0"/>
    <n v="0"/>
    <n v="0"/>
    <n v="0"/>
    <n v="1"/>
    <n v="2"/>
    <n v="2025"/>
    <x v="7"/>
    <x v="2"/>
    <x v="2"/>
  </r>
  <r>
    <x v="1"/>
    <x v="110"/>
    <x v="1"/>
    <x v="61"/>
    <n v="26"/>
    <n v="13"/>
    <n v="0"/>
    <n v="0"/>
    <n v="0"/>
    <n v="0"/>
    <n v="0"/>
    <n v="0"/>
    <n v="0"/>
    <n v="26"/>
    <n v="2025"/>
    <x v="7"/>
    <x v="2"/>
    <x v="2"/>
  </r>
  <r>
    <x v="1"/>
    <x v="110"/>
    <x v="1"/>
    <x v="48"/>
    <n v="1"/>
    <n v="1"/>
    <n v="0"/>
    <n v="0"/>
    <n v="0"/>
    <n v="0"/>
    <n v="0"/>
    <n v="0"/>
    <n v="0"/>
    <n v="1"/>
    <n v="2025"/>
    <x v="7"/>
    <x v="2"/>
    <x v="2"/>
  </r>
  <r>
    <x v="1"/>
    <x v="110"/>
    <x v="1"/>
    <x v="59"/>
    <n v="831"/>
    <n v="310"/>
    <n v="8"/>
    <n v="4"/>
    <n v="83770"/>
    <n v="14"/>
    <n v="61040"/>
    <n v="13"/>
    <n v="101"/>
    <n v="783"/>
    <n v="2025"/>
    <x v="7"/>
    <x v="2"/>
    <x v="2"/>
  </r>
  <r>
    <x v="1"/>
    <x v="110"/>
    <x v="1"/>
    <x v="15"/>
    <n v="2"/>
    <n v="1"/>
    <n v="0"/>
    <n v="0"/>
    <n v="0"/>
    <n v="0"/>
    <n v="0"/>
    <n v="0"/>
    <n v="0"/>
    <n v="2"/>
    <n v="2025"/>
    <x v="7"/>
    <x v="2"/>
    <x v="2"/>
  </r>
  <r>
    <x v="1"/>
    <x v="110"/>
    <x v="1"/>
    <x v="17"/>
    <n v="403"/>
    <n v="121"/>
    <n v="5"/>
    <n v="0"/>
    <n v="5400"/>
    <n v="1"/>
    <n v="0"/>
    <n v="0"/>
    <n v="2"/>
    <n v="401"/>
    <n v="2025"/>
    <x v="7"/>
    <x v="2"/>
    <x v="2"/>
  </r>
  <r>
    <x v="1"/>
    <x v="110"/>
    <x v="1"/>
    <x v="18"/>
    <n v="9"/>
    <n v="8"/>
    <n v="2"/>
    <n v="0"/>
    <n v="7400"/>
    <n v="1"/>
    <n v="3700"/>
    <n v="1"/>
    <n v="1"/>
    <n v="9"/>
    <n v="2025"/>
    <x v="7"/>
    <x v="2"/>
    <x v="2"/>
  </r>
  <r>
    <x v="1"/>
    <x v="110"/>
    <x v="1"/>
    <x v="19"/>
    <n v="1696"/>
    <n v="716"/>
    <n v="45"/>
    <n v="15"/>
    <n v="181208.42"/>
    <n v="22"/>
    <n v="86258.42"/>
    <n v="21"/>
    <n v="400"/>
    <n v="1545"/>
    <n v="2025"/>
    <x v="7"/>
    <x v="2"/>
    <x v="2"/>
  </r>
  <r>
    <x v="1"/>
    <x v="110"/>
    <x v="1"/>
    <x v="20"/>
    <n v="37"/>
    <n v="20"/>
    <n v="2"/>
    <n v="0"/>
    <n v="9980"/>
    <n v="1"/>
    <n v="4990"/>
    <n v="1"/>
    <n v="3"/>
    <n v="37"/>
    <n v="2025"/>
    <x v="7"/>
    <x v="2"/>
    <x v="2"/>
  </r>
  <r>
    <x v="1"/>
    <x v="110"/>
    <x v="1"/>
    <x v="50"/>
    <n v="1"/>
    <n v="1"/>
    <n v="0"/>
    <n v="0"/>
    <n v="0"/>
    <n v="0"/>
    <n v="0"/>
    <n v="0"/>
    <n v="0"/>
    <n v="1"/>
    <n v="2025"/>
    <x v="7"/>
    <x v="2"/>
    <x v="2"/>
  </r>
  <r>
    <x v="1"/>
    <x v="110"/>
    <x v="1"/>
    <x v="24"/>
    <n v="17"/>
    <n v="11"/>
    <n v="1"/>
    <n v="0"/>
    <n v="3800"/>
    <n v="1"/>
    <n v="3800"/>
    <n v="1"/>
    <n v="5"/>
    <n v="16"/>
    <n v="2025"/>
    <x v="7"/>
    <x v="2"/>
    <x v="2"/>
  </r>
  <r>
    <x v="1"/>
    <x v="110"/>
    <x v="1"/>
    <x v="27"/>
    <n v="139"/>
    <n v="47"/>
    <n v="5"/>
    <n v="1"/>
    <n v="57635"/>
    <n v="11"/>
    <n v="52645"/>
    <n v="11"/>
    <n v="57"/>
    <n v="120"/>
    <n v="2025"/>
    <x v="7"/>
    <x v="2"/>
    <x v="2"/>
  </r>
  <r>
    <x v="1"/>
    <x v="110"/>
    <x v="1"/>
    <x v="29"/>
    <n v="3243"/>
    <n v="2750"/>
    <n v="57"/>
    <n v="19"/>
    <n v="81450"/>
    <n v="13"/>
    <n v="62520"/>
    <n v="13"/>
    <n v="397"/>
    <n v="3153"/>
    <n v="2025"/>
    <x v="7"/>
    <x v="2"/>
    <x v="2"/>
  </r>
  <r>
    <x v="1"/>
    <x v="110"/>
    <x v="1"/>
    <x v="30"/>
    <n v="7436"/>
    <n v="3357"/>
    <n v="127"/>
    <n v="36"/>
    <n v="117515"/>
    <n v="19"/>
    <n v="66350"/>
    <n v="13"/>
    <n v="469"/>
    <n v="7401"/>
    <n v="2025"/>
    <x v="7"/>
    <x v="2"/>
    <x v="2"/>
  </r>
  <r>
    <x v="1"/>
    <x v="110"/>
    <x v="1"/>
    <x v="31"/>
    <n v="149"/>
    <n v="94"/>
    <n v="5"/>
    <n v="4"/>
    <n v="6930"/>
    <n v="2"/>
    <n v="6930"/>
    <n v="2"/>
    <n v="20"/>
    <n v="145"/>
    <n v="2025"/>
    <x v="7"/>
    <x v="2"/>
    <x v="2"/>
  </r>
  <r>
    <x v="1"/>
    <x v="110"/>
    <x v="1"/>
    <x v="32"/>
    <n v="1"/>
    <n v="0"/>
    <n v="0"/>
    <n v="0"/>
    <n v="0"/>
    <n v="0"/>
    <n v="0"/>
    <n v="0"/>
    <n v="1"/>
    <n v="1"/>
    <n v="2025"/>
    <x v="7"/>
    <x v="2"/>
    <x v="2"/>
  </r>
  <r>
    <x v="1"/>
    <x v="110"/>
    <x v="1"/>
    <x v="34"/>
    <n v="54"/>
    <n v="31"/>
    <n v="1"/>
    <n v="2"/>
    <n v="3700"/>
    <n v="1"/>
    <n v="3700"/>
    <n v="1"/>
    <n v="48"/>
    <n v="23"/>
    <n v="2025"/>
    <x v="7"/>
    <x v="2"/>
    <x v="2"/>
  </r>
  <r>
    <x v="1"/>
    <x v="110"/>
    <x v="1"/>
    <x v="36"/>
    <n v="2"/>
    <n v="2"/>
    <n v="0"/>
    <n v="0"/>
    <n v="0"/>
    <n v="0"/>
    <n v="0"/>
    <n v="0"/>
    <n v="0"/>
    <n v="2"/>
    <n v="2025"/>
    <x v="7"/>
    <x v="2"/>
    <x v="2"/>
  </r>
  <r>
    <x v="1"/>
    <x v="110"/>
    <x v="1"/>
    <x v="38"/>
    <n v="286"/>
    <n v="70"/>
    <n v="18"/>
    <n v="8"/>
    <n v="72876"/>
    <n v="12"/>
    <n v="57776"/>
    <n v="10"/>
    <n v="76"/>
    <n v="275"/>
    <n v="2025"/>
    <x v="7"/>
    <x v="2"/>
    <x v="2"/>
  </r>
  <r>
    <x v="1"/>
    <x v="110"/>
    <x v="1"/>
    <x v="60"/>
    <n v="3"/>
    <n v="3"/>
    <n v="0"/>
    <n v="0"/>
    <n v="0"/>
    <n v="0"/>
    <n v="0"/>
    <n v="0"/>
    <n v="0"/>
    <n v="3"/>
    <n v="2025"/>
    <x v="7"/>
    <x v="2"/>
    <x v="2"/>
  </r>
  <r>
    <x v="1"/>
    <x v="110"/>
    <x v="1"/>
    <x v="39"/>
    <n v="1"/>
    <n v="1"/>
    <n v="0"/>
    <n v="0"/>
    <n v="0"/>
    <n v="0"/>
    <n v="0"/>
    <n v="0"/>
    <n v="1"/>
    <n v="1"/>
    <n v="2025"/>
    <x v="7"/>
    <x v="2"/>
    <x v="2"/>
  </r>
  <r>
    <x v="1"/>
    <x v="110"/>
    <x v="1"/>
    <x v="64"/>
    <n v="533"/>
    <n v="239"/>
    <n v="9"/>
    <n v="4"/>
    <n v="24315"/>
    <n v="5"/>
    <n v="24315"/>
    <n v="5"/>
    <n v="76"/>
    <n v="521"/>
    <n v="2025"/>
    <x v="7"/>
    <x v="2"/>
    <x v="2"/>
  </r>
  <r>
    <x v="1"/>
    <x v="110"/>
    <x v="1"/>
    <x v="42"/>
    <n v="114"/>
    <n v="37"/>
    <n v="5"/>
    <n v="0"/>
    <n v="11530"/>
    <n v="2"/>
    <n v="4990"/>
    <n v="1"/>
    <n v="9"/>
    <n v="114"/>
    <n v="2025"/>
    <x v="7"/>
    <x v="2"/>
    <x v="2"/>
  </r>
  <r>
    <x v="1"/>
    <x v="110"/>
    <x v="1"/>
    <x v="43"/>
    <n v="124"/>
    <n v="54"/>
    <n v="5"/>
    <n v="0"/>
    <n v="18930"/>
    <n v="1"/>
    <n v="18930"/>
    <n v="1"/>
    <n v="98"/>
    <n v="78"/>
    <n v="2025"/>
    <x v="7"/>
    <x v="2"/>
    <x v="2"/>
  </r>
  <r>
    <x v="1"/>
    <x v="110"/>
    <x v="1"/>
    <x v="44"/>
    <n v="58"/>
    <n v="6"/>
    <n v="1"/>
    <n v="0"/>
    <n v="10748.42"/>
    <n v="3"/>
    <n v="10748.42"/>
    <n v="3"/>
    <n v="1"/>
    <n v="58"/>
    <n v="2025"/>
    <x v="7"/>
    <x v="2"/>
    <x v="2"/>
  </r>
  <r>
    <x v="1"/>
    <x v="110"/>
    <x v="1"/>
    <x v="45"/>
    <n v="2"/>
    <n v="0"/>
    <n v="0"/>
    <n v="0"/>
    <n v="0"/>
    <n v="0"/>
    <n v="0"/>
    <n v="0"/>
    <n v="0"/>
    <n v="2"/>
    <n v="2025"/>
    <x v="7"/>
    <x v="2"/>
    <x v="2"/>
  </r>
  <r>
    <x v="1"/>
    <x v="111"/>
    <x v="0"/>
    <x v="0"/>
    <n v="463"/>
    <n v="121"/>
    <n v="2"/>
    <n v="1"/>
    <n v="0"/>
    <n v="0"/>
    <n v="0"/>
    <n v="0"/>
    <n v="4"/>
    <n v="463"/>
    <n v="2025"/>
    <x v="7"/>
    <x v="2"/>
    <x v="2"/>
  </r>
  <r>
    <x v="1"/>
    <x v="111"/>
    <x v="0"/>
    <x v="1"/>
    <n v="36181"/>
    <n v="21076"/>
    <n v="157"/>
    <n v="185"/>
    <n v="142589"/>
    <n v="24"/>
    <n v="87674"/>
    <n v="18"/>
    <n v="1543"/>
    <n v="35791"/>
    <n v="2025"/>
    <x v="7"/>
    <x v="2"/>
    <x v="2"/>
  </r>
  <r>
    <x v="1"/>
    <x v="111"/>
    <x v="0"/>
    <x v="3"/>
    <n v="29"/>
    <n v="13"/>
    <n v="0"/>
    <n v="0"/>
    <n v="0"/>
    <n v="0"/>
    <n v="0"/>
    <n v="0"/>
    <n v="0"/>
    <n v="29"/>
    <n v="2025"/>
    <x v="7"/>
    <x v="2"/>
    <x v="2"/>
  </r>
  <r>
    <x v="1"/>
    <x v="111"/>
    <x v="1"/>
    <x v="5"/>
    <n v="95"/>
    <n v="43"/>
    <n v="1"/>
    <n v="0"/>
    <n v="0"/>
    <n v="0"/>
    <n v="0"/>
    <n v="0"/>
    <n v="4"/>
    <n v="95"/>
    <n v="2025"/>
    <x v="7"/>
    <x v="2"/>
    <x v="2"/>
  </r>
  <r>
    <x v="1"/>
    <x v="111"/>
    <x v="1"/>
    <x v="7"/>
    <n v="472"/>
    <n v="78"/>
    <n v="40"/>
    <n v="2"/>
    <n v="199910"/>
    <n v="38"/>
    <n v="188180"/>
    <n v="38"/>
    <n v="108"/>
    <n v="455"/>
    <n v="2025"/>
    <x v="7"/>
    <x v="2"/>
    <x v="2"/>
  </r>
  <r>
    <x v="1"/>
    <x v="111"/>
    <x v="1"/>
    <x v="8"/>
    <n v="32"/>
    <n v="13"/>
    <n v="0"/>
    <n v="0"/>
    <n v="0"/>
    <n v="0"/>
    <n v="0"/>
    <n v="0"/>
    <n v="1"/>
    <n v="32"/>
    <n v="2025"/>
    <x v="7"/>
    <x v="2"/>
    <x v="2"/>
  </r>
  <r>
    <x v="1"/>
    <x v="111"/>
    <x v="1"/>
    <x v="10"/>
    <n v="1"/>
    <n v="1"/>
    <n v="0"/>
    <n v="0"/>
    <n v="0"/>
    <n v="0"/>
    <n v="0"/>
    <n v="0"/>
    <n v="0"/>
    <n v="1"/>
    <n v="2025"/>
    <x v="7"/>
    <x v="2"/>
    <x v="2"/>
  </r>
  <r>
    <x v="1"/>
    <x v="111"/>
    <x v="1"/>
    <x v="11"/>
    <n v="4"/>
    <n v="3"/>
    <n v="0"/>
    <n v="0"/>
    <n v="0"/>
    <n v="0"/>
    <n v="0"/>
    <n v="0"/>
    <n v="3"/>
    <n v="1"/>
    <n v="2025"/>
    <x v="7"/>
    <x v="2"/>
    <x v="2"/>
  </r>
  <r>
    <x v="1"/>
    <x v="111"/>
    <x v="1"/>
    <x v="61"/>
    <n v="45"/>
    <n v="25"/>
    <n v="0"/>
    <n v="0"/>
    <n v="0"/>
    <n v="0"/>
    <n v="0"/>
    <n v="0"/>
    <n v="0"/>
    <n v="45"/>
    <n v="2025"/>
    <x v="7"/>
    <x v="2"/>
    <x v="2"/>
  </r>
  <r>
    <x v="1"/>
    <x v="111"/>
    <x v="1"/>
    <x v="59"/>
    <n v="1661"/>
    <n v="1138"/>
    <n v="20"/>
    <n v="9"/>
    <n v="70560"/>
    <n v="13"/>
    <n v="70259.94"/>
    <n v="14"/>
    <n v="85"/>
    <n v="1627"/>
    <n v="2025"/>
    <x v="7"/>
    <x v="2"/>
    <x v="2"/>
  </r>
  <r>
    <x v="1"/>
    <x v="111"/>
    <x v="1"/>
    <x v="15"/>
    <n v="1"/>
    <n v="0"/>
    <n v="0"/>
    <n v="0"/>
    <n v="0"/>
    <n v="0"/>
    <n v="0"/>
    <n v="0"/>
    <n v="0"/>
    <n v="1"/>
    <n v="2025"/>
    <x v="7"/>
    <x v="2"/>
    <x v="2"/>
  </r>
  <r>
    <x v="1"/>
    <x v="111"/>
    <x v="1"/>
    <x v="17"/>
    <n v="509"/>
    <n v="194"/>
    <n v="7"/>
    <n v="1"/>
    <n v="26090"/>
    <n v="2"/>
    <n v="11540"/>
    <n v="2"/>
    <n v="4"/>
    <n v="505"/>
    <n v="2025"/>
    <x v="7"/>
    <x v="2"/>
    <x v="2"/>
  </r>
  <r>
    <x v="1"/>
    <x v="111"/>
    <x v="1"/>
    <x v="18"/>
    <n v="10"/>
    <n v="10"/>
    <n v="2"/>
    <n v="1"/>
    <n v="0"/>
    <n v="0"/>
    <n v="0"/>
    <n v="0"/>
    <n v="0"/>
    <n v="10"/>
    <n v="2025"/>
    <x v="7"/>
    <x v="2"/>
    <x v="2"/>
  </r>
  <r>
    <x v="1"/>
    <x v="111"/>
    <x v="1"/>
    <x v="19"/>
    <n v="2570"/>
    <n v="1126"/>
    <n v="53"/>
    <n v="12"/>
    <n v="129265.11"/>
    <n v="25"/>
    <n v="100975.11"/>
    <n v="23"/>
    <n v="405"/>
    <n v="2420"/>
    <n v="2025"/>
    <x v="7"/>
    <x v="2"/>
    <x v="2"/>
  </r>
  <r>
    <x v="1"/>
    <x v="111"/>
    <x v="1"/>
    <x v="20"/>
    <n v="23"/>
    <n v="12"/>
    <n v="0"/>
    <n v="0"/>
    <n v="0"/>
    <n v="0"/>
    <n v="0"/>
    <n v="0"/>
    <n v="2"/>
    <n v="23"/>
    <n v="2025"/>
    <x v="7"/>
    <x v="2"/>
    <x v="2"/>
  </r>
  <r>
    <x v="1"/>
    <x v="111"/>
    <x v="1"/>
    <x v="24"/>
    <n v="21"/>
    <n v="13"/>
    <n v="0"/>
    <n v="0"/>
    <n v="0"/>
    <n v="0"/>
    <n v="0"/>
    <n v="0"/>
    <n v="8"/>
    <n v="17"/>
    <n v="2025"/>
    <x v="7"/>
    <x v="2"/>
    <x v="2"/>
  </r>
  <r>
    <x v="1"/>
    <x v="111"/>
    <x v="1"/>
    <x v="27"/>
    <n v="169"/>
    <n v="48"/>
    <n v="9"/>
    <n v="1"/>
    <n v="38534"/>
    <n v="7"/>
    <n v="23984"/>
    <n v="7"/>
    <n v="65"/>
    <n v="139"/>
    <n v="2025"/>
    <x v="7"/>
    <x v="2"/>
    <x v="2"/>
  </r>
  <r>
    <x v="1"/>
    <x v="111"/>
    <x v="1"/>
    <x v="29"/>
    <n v="2928"/>
    <n v="2435"/>
    <n v="55"/>
    <n v="24"/>
    <n v="101425"/>
    <n v="18"/>
    <n v="69585"/>
    <n v="16"/>
    <n v="382"/>
    <n v="2844"/>
    <n v="2025"/>
    <x v="7"/>
    <x v="2"/>
    <x v="2"/>
  </r>
  <r>
    <x v="1"/>
    <x v="111"/>
    <x v="1"/>
    <x v="30"/>
    <n v="9479"/>
    <n v="4957"/>
    <n v="151"/>
    <n v="53"/>
    <n v="117890"/>
    <n v="23"/>
    <n v="95175"/>
    <n v="21"/>
    <n v="509"/>
    <n v="9434"/>
    <n v="2025"/>
    <x v="7"/>
    <x v="2"/>
    <x v="2"/>
  </r>
  <r>
    <x v="1"/>
    <x v="111"/>
    <x v="1"/>
    <x v="31"/>
    <n v="199"/>
    <n v="124"/>
    <n v="6"/>
    <n v="2"/>
    <n v="0"/>
    <n v="0"/>
    <n v="0"/>
    <n v="0"/>
    <n v="23"/>
    <n v="194"/>
    <n v="2025"/>
    <x v="7"/>
    <x v="2"/>
    <x v="2"/>
  </r>
  <r>
    <x v="1"/>
    <x v="111"/>
    <x v="1"/>
    <x v="34"/>
    <n v="56"/>
    <n v="26"/>
    <n v="3"/>
    <n v="2"/>
    <n v="0"/>
    <n v="0"/>
    <n v="0"/>
    <n v="0"/>
    <n v="50"/>
    <n v="26"/>
    <n v="2025"/>
    <x v="7"/>
    <x v="2"/>
    <x v="2"/>
  </r>
  <r>
    <x v="1"/>
    <x v="111"/>
    <x v="1"/>
    <x v="35"/>
    <n v="1"/>
    <n v="0"/>
    <n v="0"/>
    <n v="0"/>
    <n v="0"/>
    <n v="0"/>
    <n v="0"/>
    <n v="0"/>
    <n v="0"/>
    <n v="1"/>
    <n v="2025"/>
    <x v="7"/>
    <x v="2"/>
    <x v="2"/>
  </r>
  <r>
    <x v="1"/>
    <x v="111"/>
    <x v="1"/>
    <x v="36"/>
    <n v="3"/>
    <n v="3"/>
    <n v="0"/>
    <n v="0"/>
    <n v="0"/>
    <n v="0"/>
    <n v="0"/>
    <n v="0"/>
    <n v="1"/>
    <n v="2"/>
    <n v="2025"/>
    <x v="7"/>
    <x v="2"/>
    <x v="2"/>
  </r>
  <r>
    <x v="1"/>
    <x v="111"/>
    <x v="1"/>
    <x v="38"/>
    <n v="311"/>
    <n v="59"/>
    <n v="28"/>
    <n v="7"/>
    <n v="84187"/>
    <n v="19"/>
    <n v="81307.350000000006"/>
    <n v="18"/>
    <n v="62"/>
    <n v="307"/>
    <n v="2025"/>
    <x v="7"/>
    <x v="2"/>
    <x v="2"/>
  </r>
  <r>
    <x v="1"/>
    <x v="111"/>
    <x v="1"/>
    <x v="60"/>
    <n v="9"/>
    <n v="7"/>
    <n v="0"/>
    <n v="0"/>
    <n v="0"/>
    <n v="0"/>
    <n v="0"/>
    <n v="0"/>
    <n v="0"/>
    <n v="9"/>
    <n v="2025"/>
    <x v="7"/>
    <x v="2"/>
    <x v="2"/>
  </r>
  <r>
    <x v="1"/>
    <x v="111"/>
    <x v="1"/>
    <x v="39"/>
    <n v="1"/>
    <n v="1"/>
    <n v="0"/>
    <n v="0"/>
    <n v="0"/>
    <n v="0"/>
    <n v="0"/>
    <n v="0"/>
    <n v="0"/>
    <n v="1"/>
    <n v="2025"/>
    <x v="7"/>
    <x v="2"/>
    <x v="2"/>
  </r>
  <r>
    <x v="1"/>
    <x v="111"/>
    <x v="1"/>
    <x v="64"/>
    <n v="600"/>
    <n v="293"/>
    <n v="17"/>
    <n v="3"/>
    <n v="35275"/>
    <n v="7"/>
    <n v="31665"/>
    <n v="7"/>
    <n v="85"/>
    <n v="589"/>
    <n v="2025"/>
    <x v="7"/>
    <x v="2"/>
    <x v="2"/>
  </r>
  <r>
    <x v="1"/>
    <x v="111"/>
    <x v="1"/>
    <x v="42"/>
    <n v="118"/>
    <n v="53"/>
    <n v="4"/>
    <n v="0"/>
    <n v="1990"/>
    <n v="1"/>
    <n v="1990"/>
    <n v="1"/>
    <n v="6"/>
    <n v="117"/>
    <n v="2025"/>
    <x v="7"/>
    <x v="2"/>
    <x v="2"/>
  </r>
  <r>
    <x v="1"/>
    <x v="111"/>
    <x v="1"/>
    <x v="43"/>
    <n v="120"/>
    <n v="47"/>
    <n v="5"/>
    <n v="2"/>
    <n v="0"/>
    <n v="0"/>
    <n v="0"/>
    <n v="0"/>
    <n v="95"/>
    <n v="76"/>
    <n v="2025"/>
    <x v="7"/>
    <x v="2"/>
    <x v="2"/>
  </r>
  <r>
    <x v="1"/>
    <x v="111"/>
    <x v="1"/>
    <x v="44"/>
    <n v="44"/>
    <n v="11"/>
    <n v="0"/>
    <n v="0"/>
    <n v="6940"/>
    <n v="1"/>
    <n v="6940"/>
    <n v="1"/>
    <n v="1"/>
    <n v="44"/>
    <n v="2025"/>
    <x v="7"/>
    <x v="2"/>
    <x v="2"/>
  </r>
  <r>
    <x v="1"/>
    <x v="111"/>
    <x v="1"/>
    <x v="45"/>
    <n v="2"/>
    <n v="0"/>
    <n v="0"/>
    <n v="0"/>
    <n v="0"/>
    <n v="0"/>
    <n v="0"/>
    <n v="0"/>
    <n v="0"/>
    <n v="2"/>
    <n v="2025"/>
    <x v="7"/>
    <x v="2"/>
    <x v="2"/>
  </r>
  <r>
    <x v="1"/>
    <x v="112"/>
    <x v="0"/>
    <x v="0"/>
    <n v="589"/>
    <n v="228"/>
    <n v="6"/>
    <n v="2"/>
    <n v="41311.18"/>
    <n v="9"/>
    <n v="37321.18"/>
    <n v="9"/>
    <n v="5"/>
    <n v="586"/>
    <n v="2025"/>
    <x v="7"/>
    <x v="2"/>
    <x v="2"/>
  </r>
  <r>
    <x v="1"/>
    <x v="112"/>
    <x v="0"/>
    <x v="1"/>
    <n v="27545"/>
    <n v="14284"/>
    <n v="165"/>
    <n v="149"/>
    <n v="200040"/>
    <n v="34"/>
    <n v="122600"/>
    <n v="28"/>
    <n v="1593"/>
    <n v="27120"/>
    <n v="2025"/>
    <x v="7"/>
    <x v="2"/>
    <x v="2"/>
  </r>
  <r>
    <x v="1"/>
    <x v="112"/>
    <x v="0"/>
    <x v="3"/>
    <n v="1009"/>
    <n v="715"/>
    <n v="17"/>
    <n v="1"/>
    <n v="0"/>
    <n v="0"/>
    <n v="0"/>
    <n v="0"/>
    <n v="37"/>
    <n v="362"/>
    <n v="2025"/>
    <x v="7"/>
    <x v="2"/>
    <x v="2"/>
  </r>
  <r>
    <x v="1"/>
    <x v="112"/>
    <x v="1"/>
    <x v="46"/>
    <n v="1"/>
    <n v="1"/>
    <n v="0"/>
    <n v="0"/>
    <n v="0"/>
    <n v="0"/>
    <n v="0"/>
    <n v="0"/>
    <n v="0"/>
    <n v="0"/>
    <n v="2025"/>
    <x v="7"/>
    <x v="2"/>
    <x v="2"/>
  </r>
  <r>
    <x v="1"/>
    <x v="112"/>
    <x v="1"/>
    <x v="5"/>
    <n v="67"/>
    <n v="37"/>
    <n v="0"/>
    <n v="0"/>
    <n v="0"/>
    <n v="0"/>
    <n v="0"/>
    <n v="0"/>
    <n v="0"/>
    <n v="67"/>
    <n v="2025"/>
    <x v="7"/>
    <x v="2"/>
    <x v="2"/>
  </r>
  <r>
    <x v="1"/>
    <x v="112"/>
    <x v="1"/>
    <x v="6"/>
    <n v="34"/>
    <n v="28"/>
    <n v="0"/>
    <n v="0"/>
    <n v="0"/>
    <n v="0"/>
    <n v="0"/>
    <n v="0"/>
    <n v="0"/>
    <n v="0"/>
    <n v="2025"/>
    <x v="7"/>
    <x v="2"/>
    <x v="2"/>
  </r>
  <r>
    <x v="1"/>
    <x v="112"/>
    <x v="1"/>
    <x v="7"/>
    <n v="713"/>
    <n v="150"/>
    <n v="60"/>
    <n v="5"/>
    <n v="326543.02"/>
    <n v="81"/>
    <n v="294907.61"/>
    <n v="75"/>
    <n v="177"/>
    <n v="690"/>
    <n v="2025"/>
    <x v="7"/>
    <x v="2"/>
    <x v="2"/>
  </r>
  <r>
    <x v="1"/>
    <x v="112"/>
    <x v="1"/>
    <x v="8"/>
    <n v="18"/>
    <n v="13"/>
    <n v="0"/>
    <n v="0"/>
    <n v="0"/>
    <n v="0"/>
    <n v="0"/>
    <n v="0"/>
    <n v="0"/>
    <n v="15"/>
    <n v="2025"/>
    <x v="7"/>
    <x v="2"/>
    <x v="2"/>
  </r>
  <r>
    <x v="1"/>
    <x v="112"/>
    <x v="1"/>
    <x v="10"/>
    <n v="6"/>
    <n v="2"/>
    <n v="0"/>
    <n v="0"/>
    <n v="0"/>
    <n v="0"/>
    <n v="0"/>
    <n v="0"/>
    <n v="0"/>
    <n v="3"/>
    <n v="2025"/>
    <x v="7"/>
    <x v="2"/>
    <x v="2"/>
  </r>
  <r>
    <x v="1"/>
    <x v="112"/>
    <x v="1"/>
    <x v="11"/>
    <n v="13"/>
    <n v="12"/>
    <n v="0"/>
    <n v="0"/>
    <n v="0"/>
    <n v="0"/>
    <n v="0"/>
    <n v="0"/>
    <n v="10"/>
    <n v="3"/>
    <n v="2025"/>
    <x v="7"/>
    <x v="2"/>
    <x v="2"/>
  </r>
  <r>
    <x v="1"/>
    <x v="112"/>
    <x v="1"/>
    <x v="61"/>
    <n v="158"/>
    <n v="92"/>
    <n v="1"/>
    <n v="0"/>
    <n v="6980"/>
    <n v="2"/>
    <n v="6980"/>
    <n v="2"/>
    <n v="0"/>
    <n v="158"/>
    <n v="2025"/>
    <x v="7"/>
    <x v="2"/>
    <x v="2"/>
  </r>
  <r>
    <x v="1"/>
    <x v="112"/>
    <x v="1"/>
    <x v="48"/>
    <n v="2"/>
    <n v="1"/>
    <n v="0"/>
    <n v="0"/>
    <n v="0"/>
    <n v="0"/>
    <n v="0"/>
    <n v="0"/>
    <n v="0"/>
    <n v="2"/>
    <n v="2025"/>
    <x v="7"/>
    <x v="2"/>
    <x v="2"/>
  </r>
  <r>
    <x v="1"/>
    <x v="112"/>
    <x v="1"/>
    <x v="59"/>
    <n v="1927"/>
    <n v="1490"/>
    <n v="29"/>
    <n v="4"/>
    <n v="83610.009999999995"/>
    <n v="25"/>
    <n v="80130.009999999995"/>
    <n v="25"/>
    <n v="149"/>
    <n v="1442"/>
    <n v="2025"/>
    <x v="7"/>
    <x v="2"/>
    <x v="2"/>
  </r>
  <r>
    <x v="1"/>
    <x v="112"/>
    <x v="1"/>
    <x v="17"/>
    <n v="401"/>
    <n v="197"/>
    <n v="3"/>
    <n v="6"/>
    <n v="1490"/>
    <n v="1"/>
    <n v="1490"/>
    <n v="1"/>
    <n v="12"/>
    <n v="389"/>
    <n v="2025"/>
    <x v="7"/>
    <x v="2"/>
    <x v="2"/>
  </r>
  <r>
    <x v="1"/>
    <x v="112"/>
    <x v="1"/>
    <x v="18"/>
    <n v="68"/>
    <n v="55"/>
    <n v="2"/>
    <n v="15"/>
    <n v="0"/>
    <n v="0"/>
    <n v="0"/>
    <n v="0"/>
    <n v="4"/>
    <n v="67"/>
    <n v="2025"/>
    <x v="7"/>
    <x v="2"/>
    <x v="2"/>
  </r>
  <r>
    <x v="1"/>
    <x v="112"/>
    <x v="1"/>
    <x v="19"/>
    <n v="5282"/>
    <n v="3330"/>
    <n v="59"/>
    <n v="22"/>
    <n v="123862"/>
    <n v="35"/>
    <n v="103422"/>
    <n v="30"/>
    <n v="485"/>
    <n v="4791"/>
    <n v="2025"/>
    <x v="7"/>
    <x v="2"/>
    <x v="2"/>
  </r>
  <r>
    <x v="1"/>
    <x v="112"/>
    <x v="1"/>
    <x v="20"/>
    <n v="57"/>
    <n v="31"/>
    <n v="2"/>
    <n v="1"/>
    <n v="2090"/>
    <n v="1"/>
    <n v="0"/>
    <n v="0"/>
    <n v="6"/>
    <n v="56"/>
    <n v="2025"/>
    <x v="7"/>
    <x v="2"/>
    <x v="2"/>
  </r>
  <r>
    <x v="1"/>
    <x v="112"/>
    <x v="1"/>
    <x v="24"/>
    <n v="22"/>
    <n v="12"/>
    <n v="2"/>
    <n v="0"/>
    <n v="5190"/>
    <n v="2"/>
    <n v="3100"/>
    <n v="1"/>
    <n v="10"/>
    <n v="17"/>
    <n v="2025"/>
    <x v="7"/>
    <x v="2"/>
    <x v="2"/>
  </r>
  <r>
    <x v="1"/>
    <x v="112"/>
    <x v="1"/>
    <x v="27"/>
    <n v="148"/>
    <n v="59"/>
    <n v="15"/>
    <n v="0"/>
    <n v="55320.01"/>
    <n v="13"/>
    <n v="50330.01"/>
    <n v="12"/>
    <n v="87"/>
    <n v="112"/>
    <n v="2025"/>
    <x v="7"/>
    <x v="2"/>
    <x v="2"/>
  </r>
  <r>
    <x v="1"/>
    <x v="112"/>
    <x v="1"/>
    <x v="29"/>
    <n v="2762"/>
    <n v="2265"/>
    <n v="83"/>
    <n v="16"/>
    <n v="154796.18"/>
    <n v="29"/>
    <n v="85336.18"/>
    <n v="21"/>
    <n v="401"/>
    <n v="2668"/>
    <n v="2025"/>
    <x v="7"/>
    <x v="2"/>
    <x v="2"/>
  </r>
  <r>
    <x v="1"/>
    <x v="112"/>
    <x v="1"/>
    <x v="30"/>
    <n v="9242"/>
    <n v="4528"/>
    <n v="135"/>
    <n v="54"/>
    <n v="138780.01"/>
    <n v="29"/>
    <n v="119870.01"/>
    <n v="27"/>
    <n v="531"/>
    <n v="9117"/>
    <n v="2025"/>
    <x v="7"/>
    <x v="2"/>
    <x v="2"/>
  </r>
  <r>
    <x v="1"/>
    <x v="112"/>
    <x v="1"/>
    <x v="31"/>
    <n v="190"/>
    <n v="116"/>
    <n v="7"/>
    <n v="1"/>
    <n v="6270"/>
    <n v="1"/>
    <n v="6270"/>
    <n v="1"/>
    <n v="22"/>
    <n v="187"/>
    <n v="2025"/>
    <x v="7"/>
    <x v="2"/>
    <x v="2"/>
  </r>
  <r>
    <x v="1"/>
    <x v="112"/>
    <x v="1"/>
    <x v="34"/>
    <n v="74"/>
    <n v="44"/>
    <n v="1"/>
    <n v="0"/>
    <n v="0"/>
    <n v="0"/>
    <n v="0"/>
    <n v="0"/>
    <n v="64"/>
    <n v="31"/>
    <n v="2025"/>
    <x v="7"/>
    <x v="2"/>
    <x v="2"/>
  </r>
  <r>
    <x v="1"/>
    <x v="112"/>
    <x v="1"/>
    <x v="36"/>
    <n v="5"/>
    <n v="5"/>
    <n v="0"/>
    <n v="0"/>
    <n v="0"/>
    <n v="0"/>
    <n v="0"/>
    <n v="0"/>
    <n v="4"/>
    <n v="1"/>
    <n v="2025"/>
    <x v="7"/>
    <x v="2"/>
    <x v="2"/>
  </r>
  <r>
    <x v="1"/>
    <x v="112"/>
    <x v="1"/>
    <x v="38"/>
    <n v="399"/>
    <n v="96"/>
    <n v="35"/>
    <n v="9"/>
    <n v="130848.18"/>
    <n v="20"/>
    <n v="65426.18"/>
    <n v="13"/>
    <n v="81"/>
    <n v="387"/>
    <n v="2025"/>
    <x v="7"/>
    <x v="2"/>
    <x v="2"/>
  </r>
  <r>
    <x v="1"/>
    <x v="112"/>
    <x v="1"/>
    <x v="60"/>
    <n v="3"/>
    <n v="2"/>
    <n v="0"/>
    <n v="0"/>
    <n v="0"/>
    <n v="0"/>
    <n v="0"/>
    <n v="0"/>
    <n v="0"/>
    <n v="3"/>
    <n v="2025"/>
    <x v="7"/>
    <x v="2"/>
    <x v="2"/>
  </r>
  <r>
    <x v="1"/>
    <x v="112"/>
    <x v="1"/>
    <x v="64"/>
    <n v="849"/>
    <n v="437"/>
    <n v="24"/>
    <n v="7"/>
    <n v="79809.98"/>
    <n v="16"/>
    <n v="61114.99"/>
    <n v="15"/>
    <n v="124"/>
    <n v="830"/>
    <n v="2025"/>
    <x v="7"/>
    <x v="2"/>
    <x v="2"/>
  </r>
  <r>
    <x v="1"/>
    <x v="112"/>
    <x v="1"/>
    <x v="42"/>
    <n v="249"/>
    <n v="120"/>
    <n v="2"/>
    <n v="4"/>
    <n v="28220"/>
    <n v="2"/>
    <n v="19870"/>
    <n v="1"/>
    <n v="23"/>
    <n v="248"/>
    <n v="2025"/>
    <x v="7"/>
    <x v="2"/>
    <x v="2"/>
  </r>
  <r>
    <x v="1"/>
    <x v="112"/>
    <x v="1"/>
    <x v="43"/>
    <n v="165"/>
    <n v="74"/>
    <n v="5"/>
    <n v="1"/>
    <n v="2875"/>
    <n v="1"/>
    <n v="2875"/>
    <n v="1"/>
    <n v="129"/>
    <n v="103"/>
    <n v="2025"/>
    <x v="7"/>
    <x v="2"/>
    <x v="2"/>
  </r>
  <r>
    <x v="1"/>
    <x v="112"/>
    <x v="1"/>
    <x v="44"/>
    <n v="64"/>
    <n v="20"/>
    <n v="2"/>
    <n v="0"/>
    <n v="17830"/>
    <n v="6"/>
    <n v="17830"/>
    <n v="6"/>
    <n v="0"/>
    <n v="64"/>
    <n v="2025"/>
    <x v="7"/>
    <x v="2"/>
    <x v="2"/>
  </r>
  <r>
    <x v="1"/>
    <x v="112"/>
    <x v="1"/>
    <x v="45"/>
    <n v="3"/>
    <n v="0"/>
    <n v="0"/>
    <n v="0"/>
    <n v="2450"/>
    <n v="1"/>
    <n v="2450"/>
    <n v="1"/>
    <n v="0"/>
    <n v="3"/>
    <n v="2025"/>
    <x v="7"/>
    <x v="2"/>
    <x v="2"/>
  </r>
  <r>
    <x v="1"/>
    <x v="113"/>
    <x v="0"/>
    <x v="0"/>
    <n v="501"/>
    <n v="212"/>
    <n v="3"/>
    <n v="4"/>
    <n v="5980"/>
    <n v="2"/>
    <n v="3990"/>
    <n v="1"/>
    <n v="4"/>
    <n v="495"/>
    <n v="2025"/>
    <x v="7"/>
    <x v="2"/>
    <x v="2"/>
  </r>
  <r>
    <x v="1"/>
    <x v="113"/>
    <x v="0"/>
    <x v="1"/>
    <n v="31836"/>
    <n v="16825"/>
    <n v="177"/>
    <n v="164"/>
    <n v="129382"/>
    <n v="24"/>
    <n v="67522"/>
    <n v="19"/>
    <n v="1739"/>
    <n v="31343"/>
    <n v="2025"/>
    <x v="7"/>
    <x v="2"/>
    <x v="2"/>
  </r>
  <r>
    <x v="1"/>
    <x v="113"/>
    <x v="0"/>
    <x v="3"/>
    <n v="866"/>
    <n v="491"/>
    <n v="11"/>
    <n v="2"/>
    <n v="0"/>
    <n v="0"/>
    <n v="0"/>
    <n v="0"/>
    <n v="40"/>
    <n v="441"/>
    <n v="2025"/>
    <x v="7"/>
    <x v="2"/>
    <x v="2"/>
  </r>
  <r>
    <x v="1"/>
    <x v="113"/>
    <x v="1"/>
    <x v="46"/>
    <n v="1"/>
    <n v="1"/>
    <n v="0"/>
    <n v="0"/>
    <n v="0"/>
    <n v="0"/>
    <n v="0"/>
    <n v="0"/>
    <n v="0"/>
    <n v="0"/>
    <n v="2025"/>
    <x v="7"/>
    <x v="2"/>
    <x v="2"/>
  </r>
  <r>
    <x v="1"/>
    <x v="113"/>
    <x v="1"/>
    <x v="5"/>
    <n v="50"/>
    <n v="16"/>
    <n v="0"/>
    <n v="0"/>
    <n v="0"/>
    <n v="0"/>
    <n v="0"/>
    <n v="0"/>
    <n v="1"/>
    <n v="50"/>
    <n v="2025"/>
    <x v="7"/>
    <x v="2"/>
    <x v="2"/>
  </r>
  <r>
    <x v="1"/>
    <x v="113"/>
    <x v="1"/>
    <x v="6"/>
    <n v="82"/>
    <n v="61"/>
    <n v="0"/>
    <n v="0"/>
    <n v="0"/>
    <n v="0"/>
    <n v="0"/>
    <n v="0"/>
    <n v="0"/>
    <n v="0"/>
    <n v="2025"/>
    <x v="7"/>
    <x v="2"/>
    <x v="2"/>
  </r>
  <r>
    <x v="1"/>
    <x v="113"/>
    <x v="1"/>
    <x v="7"/>
    <n v="524"/>
    <n v="112"/>
    <n v="44"/>
    <n v="5"/>
    <n v="227350"/>
    <n v="46"/>
    <n v="191540"/>
    <n v="41"/>
    <n v="143"/>
    <n v="504"/>
    <n v="2025"/>
    <x v="7"/>
    <x v="2"/>
    <x v="2"/>
  </r>
  <r>
    <x v="1"/>
    <x v="113"/>
    <x v="1"/>
    <x v="8"/>
    <n v="15"/>
    <n v="8"/>
    <n v="0"/>
    <n v="0"/>
    <n v="0"/>
    <n v="0"/>
    <n v="0"/>
    <n v="0"/>
    <n v="0"/>
    <n v="14"/>
    <n v="2025"/>
    <x v="7"/>
    <x v="2"/>
    <x v="2"/>
  </r>
  <r>
    <x v="1"/>
    <x v="113"/>
    <x v="1"/>
    <x v="10"/>
    <n v="9"/>
    <n v="5"/>
    <n v="0"/>
    <n v="0"/>
    <n v="0"/>
    <n v="0"/>
    <n v="0"/>
    <n v="0"/>
    <n v="1"/>
    <n v="4"/>
    <n v="2025"/>
    <x v="7"/>
    <x v="2"/>
    <x v="2"/>
  </r>
  <r>
    <x v="1"/>
    <x v="113"/>
    <x v="1"/>
    <x v="11"/>
    <n v="1"/>
    <n v="1"/>
    <n v="0"/>
    <n v="0"/>
    <n v="0"/>
    <n v="0"/>
    <n v="0"/>
    <n v="0"/>
    <n v="1"/>
    <n v="0"/>
    <n v="2025"/>
    <x v="7"/>
    <x v="2"/>
    <x v="2"/>
  </r>
  <r>
    <x v="1"/>
    <x v="113"/>
    <x v="1"/>
    <x v="61"/>
    <n v="151"/>
    <n v="91"/>
    <n v="7"/>
    <n v="4"/>
    <n v="1990"/>
    <n v="1"/>
    <n v="0"/>
    <n v="0"/>
    <n v="0"/>
    <n v="151"/>
    <n v="2025"/>
    <x v="7"/>
    <x v="2"/>
    <x v="2"/>
  </r>
  <r>
    <x v="1"/>
    <x v="113"/>
    <x v="1"/>
    <x v="48"/>
    <n v="2"/>
    <n v="1"/>
    <n v="0"/>
    <n v="0"/>
    <n v="0"/>
    <n v="0"/>
    <n v="0"/>
    <n v="0"/>
    <n v="0"/>
    <n v="2"/>
    <n v="2025"/>
    <x v="7"/>
    <x v="2"/>
    <x v="2"/>
  </r>
  <r>
    <x v="1"/>
    <x v="113"/>
    <x v="1"/>
    <x v="59"/>
    <n v="971"/>
    <n v="604"/>
    <n v="20"/>
    <n v="3"/>
    <n v="53265"/>
    <n v="10"/>
    <n v="41285"/>
    <n v="8"/>
    <n v="118"/>
    <n v="699"/>
    <n v="2025"/>
    <x v="7"/>
    <x v="2"/>
    <x v="2"/>
  </r>
  <r>
    <x v="1"/>
    <x v="113"/>
    <x v="1"/>
    <x v="15"/>
    <n v="2"/>
    <n v="1"/>
    <n v="0"/>
    <n v="0"/>
    <n v="0"/>
    <n v="0"/>
    <n v="0"/>
    <n v="0"/>
    <n v="0"/>
    <n v="2"/>
    <n v="2025"/>
    <x v="7"/>
    <x v="2"/>
    <x v="2"/>
  </r>
  <r>
    <x v="1"/>
    <x v="113"/>
    <x v="1"/>
    <x v="17"/>
    <n v="414"/>
    <n v="252"/>
    <n v="6"/>
    <n v="21"/>
    <n v="0"/>
    <n v="0"/>
    <n v="0"/>
    <n v="0"/>
    <n v="1"/>
    <n v="413"/>
    <n v="2025"/>
    <x v="7"/>
    <x v="2"/>
    <x v="2"/>
  </r>
  <r>
    <x v="1"/>
    <x v="113"/>
    <x v="1"/>
    <x v="18"/>
    <n v="136"/>
    <n v="133"/>
    <n v="1"/>
    <n v="53"/>
    <n v="0"/>
    <n v="0"/>
    <n v="0"/>
    <n v="0"/>
    <n v="1"/>
    <n v="136"/>
    <n v="2025"/>
    <x v="7"/>
    <x v="2"/>
    <x v="2"/>
  </r>
  <r>
    <x v="1"/>
    <x v="113"/>
    <x v="1"/>
    <x v="19"/>
    <n v="3404"/>
    <n v="2385"/>
    <n v="55"/>
    <n v="14"/>
    <n v="68250"/>
    <n v="18"/>
    <n v="59265"/>
    <n v="17"/>
    <n v="438"/>
    <n v="2977"/>
    <n v="2025"/>
    <x v="7"/>
    <x v="2"/>
    <x v="2"/>
  </r>
  <r>
    <x v="1"/>
    <x v="113"/>
    <x v="1"/>
    <x v="20"/>
    <n v="38"/>
    <n v="22"/>
    <n v="0"/>
    <n v="0"/>
    <n v="990"/>
    <n v="1"/>
    <n v="990"/>
    <n v="1"/>
    <n v="7"/>
    <n v="38"/>
    <n v="2025"/>
    <x v="7"/>
    <x v="2"/>
    <x v="2"/>
  </r>
  <r>
    <x v="1"/>
    <x v="113"/>
    <x v="1"/>
    <x v="24"/>
    <n v="25"/>
    <n v="16"/>
    <n v="2"/>
    <n v="0"/>
    <n v="25100"/>
    <n v="2"/>
    <n v="21300"/>
    <n v="2"/>
    <n v="6"/>
    <n v="23"/>
    <n v="2025"/>
    <x v="7"/>
    <x v="2"/>
    <x v="2"/>
  </r>
  <r>
    <x v="1"/>
    <x v="113"/>
    <x v="1"/>
    <x v="27"/>
    <n v="120"/>
    <n v="58"/>
    <n v="5"/>
    <n v="5"/>
    <n v="46050"/>
    <n v="7"/>
    <n v="32065"/>
    <n v="6"/>
    <n v="60"/>
    <n v="94"/>
    <n v="2025"/>
    <x v="7"/>
    <x v="2"/>
    <x v="2"/>
  </r>
  <r>
    <x v="1"/>
    <x v="113"/>
    <x v="1"/>
    <x v="29"/>
    <n v="3570"/>
    <n v="3039"/>
    <n v="77"/>
    <n v="24"/>
    <n v="128185"/>
    <n v="19"/>
    <n v="50775"/>
    <n v="12"/>
    <n v="463"/>
    <n v="3457"/>
    <n v="2025"/>
    <x v="7"/>
    <x v="2"/>
    <x v="2"/>
  </r>
  <r>
    <x v="1"/>
    <x v="113"/>
    <x v="1"/>
    <x v="30"/>
    <n v="9140"/>
    <n v="4770"/>
    <n v="134"/>
    <n v="55"/>
    <n v="103835"/>
    <n v="24"/>
    <n v="69300"/>
    <n v="17"/>
    <n v="492"/>
    <n v="9010"/>
    <n v="2025"/>
    <x v="7"/>
    <x v="2"/>
    <x v="2"/>
  </r>
  <r>
    <x v="1"/>
    <x v="113"/>
    <x v="1"/>
    <x v="31"/>
    <n v="231"/>
    <n v="122"/>
    <n v="14"/>
    <n v="4"/>
    <n v="52215"/>
    <n v="5"/>
    <n v="33740"/>
    <n v="3"/>
    <n v="22"/>
    <n v="230"/>
    <n v="2025"/>
    <x v="7"/>
    <x v="2"/>
    <x v="2"/>
  </r>
  <r>
    <x v="1"/>
    <x v="113"/>
    <x v="1"/>
    <x v="34"/>
    <n v="59"/>
    <n v="36"/>
    <n v="3"/>
    <n v="1"/>
    <n v="4695"/>
    <n v="1"/>
    <n v="4695"/>
    <n v="1"/>
    <n v="51"/>
    <n v="30"/>
    <n v="2025"/>
    <x v="7"/>
    <x v="2"/>
    <x v="2"/>
  </r>
  <r>
    <x v="1"/>
    <x v="113"/>
    <x v="1"/>
    <x v="36"/>
    <n v="4"/>
    <n v="4"/>
    <n v="0"/>
    <n v="1"/>
    <n v="0"/>
    <n v="0"/>
    <n v="0"/>
    <n v="0"/>
    <n v="1"/>
    <n v="3"/>
    <n v="2025"/>
    <x v="7"/>
    <x v="2"/>
    <x v="2"/>
  </r>
  <r>
    <x v="1"/>
    <x v="113"/>
    <x v="1"/>
    <x v="38"/>
    <n v="313"/>
    <n v="77"/>
    <n v="21"/>
    <n v="7"/>
    <n v="60125.25"/>
    <n v="12"/>
    <n v="30940"/>
    <n v="8"/>
    <n v="55"/>
    <n v="303"/>
    <n v="2025"/>
    <x v="7"/>
    <x v="2"/>
    <x v="2"/>
  </r>
  <r>
    <x v="1"/>
    <x v="113"/>
    <x v="1"/>
    <x v="60"/>
    <n v="6"/>
    <n v="5"/>
    <n v="0"/>
    <n v="0"/>
    <n v="0"/>
    <n v="0"/>
    <n v="0"/>
    <n v="0"/>
    <n v="0"/>
    <n v="6"/>
    <n v="2025"/>
    <x v="7"/>
    <x v="2"/>
    <x v="2"/>
  </r>
  <r>
    <x v="1"/>
    <x v="113"/>
    <x v="1"/>
    <x v="39"/>
    <n v="5"/>
    <n v="2"/>
    <n v="0"/>
    <n v="0"/>
    <n v="3980"/>
    <n v="2"/>
    <n v="0"/>
    <n v="0"/>
    <n v="2"/>
    <n v="5"/>
    <n v="2025"/>
    <x v="7"/>
    <x v="2"/>
    <x v="2"/>
  </r>
  <r>
    <x v="1"/>
    <x v="113"/>
    <x v="1"/>
    <x v="64"/>
    <n v="800"/>
    <n v="426"/>
    <n v="21"/>
    <n v="2"/>
    <n v="24643.51"/>
    <n v="5"/>
    <n v="14373.51"/>
    <n v="3"/>
    <n v="107"/>
    <n v="790"/>
    <n v="2025"/>
    <x v="7"/>
    <x v="2"/>
    <x v="2"/>
  </r>
  <r>
    <x v="1"/>
    <x v="113"/>
    <x v="1"/>
    <x v="42"/>
    <n v="182"/>
    <n v="95"/>
    <n v="2"/>
    <n v="0"/>
    <n v="0"/>
    <n v="0"/>
    <n v="0"/>
    <n v="0"/>
    <n v="12"/>
    <n v="182"/>
    <n v="2025"/>
    <x v="7"/>
    <x v="2"/>
    <x v="2"/>
  </r>
  <r>
    <x v="1"/>
    <x v="113"/>
    <x v="1"/>
    <x v="43"/>
    <n v="142"/>
    <n v="61"/>
    <n v="4"/>
    <n v="1"/>
    <n v="0"/>
    <n v="0"/>
    <n v="0"/>
    <n v="0"/>
    <n v="117"/>
    <n v="83"/>
    <n v="2025"/>
    <x v="7"/>
    <x v="2"/>
    <x v="2"/>
  </r>
  <r>
    <x v="1"/>
    <x v="113"/>
    <x v="1"/>
    <x v="44"/>
    <n v="49"/>
    <n v="11"/>
    <n v="1"/>
    <n v="0"/>
    <n v="24810"/>
    <n v="6"/>
    <n v="24810"/>
    <n v="6"/>
    <n v="2"/>
    <n v="49"/>
    <n v="2025"/>
    <x v="7"/>
    <x v="2"/>
    <x v="2"/>
  </r>
  <r>
    <x v="1"/>
    <x v="113"/>
    <x v="1"/>
    <x v="45"/>
    <n v="4"/>
    <n v="0"/>
    <n v="0"/>
    <n v="0"/>
    <n v="0"/>
    <n v="0"/>
    <n v="0"/>
    <n v="0"/>
    <n v="0"/>
    <n v="4"/>
    <n v="2025"/>
    <x v="7"/>
    <x v="2"/>
    <x v="2"/>
  </r>
  <r>
    <x v="1"/>
    <x v="114"/>
    <x v="0"/>
    <x v="0"/>
    <n v="453"/>
    <n v="147"/>
    <n v="5"/>
    <n v="4"/>
    <n v="0"/>
    <n v="0"/>
    <n v="0"/>
    <n v="0"/>
    <n v="13"/>
    <n v="448"/>
    <n v="2025"/>
    <x v="7"/>
    <x v="2"/>
    <x v="2"/>
  </r>
  <r>
    <x v="1"/>
    <x v="114"/>
    <x v="0"/>
    <x v="1"/>
    <n v="30758"/>
    <n v="16388"/>
    <n v="194"/>
    <n v="151"/>
    <n v="126458"/>
    <n v="25"/>
    <n v="79188"/>
    <n v="22"/>
    <n v="1974"/>
    <n v="30263"/>
    <n v="2025"/>
    <x v="7"/>
    <x v="2"/>
    <x v="2"/>
  </r>
  <r>
    <x v="1"/>
    <x v="114"/>
    <x v="0"/>
    <x v="2"/>
    <n v="1"/>
    <n v="0"/>
    <n v="0"/>
    <n v="0"/>
    <n v="0"/>
    <n v="0"/>
    <n v="0"/>
    <n v="0"/>
    <n v="0"/>
    <n v="1"/>
    <n v="2025"/>
    <x v="7"/>
    <x v="2"/>
    <x v="2"/>
  </r>
  <r>
    <x v="1"/>
    <x v="114"/>
    <x v="0"/>
    <x v="3"/>
    <n v="1247"/>
    <n v="997"/>
    <n v="10"/>
    <n v="2"/>
    <n v="0"/>
    <n v="0"/>
    <n v="0"/>
    <n v="0"/>
    <n v="45"/>
    <n v="317"/>
    <n v="2025"/>
    <x v="7"/>
    <x v="2"/>
    <x v="2"/>
  </r>
  <r>
    <x v="1"/>
    <x v="114"/>
    <x v="1"/>
    <x v="5"/>
    <n v="73"/>
    <n v="27"/>
    <n v="1"/>
    <n v="0"/>
    <n v="0"/>
    <n v="0"/>
    <n v="0"/>
    <n v="0"/>
    <n v="4"/>
    <n v="73"/>
    <n v="2025"/>
    <x v="7"/>
    <x v="2"/>
    <x v="2"/>
  </r>
  <r>
    <x v="1"/>
    <x v="114"/>
    <x v="1"/>
    <x v="6"/>
    <n v="138"/>
    <n v="109"/>
    <n v="1"/>
    <n v="0"/>
    <n v="0"/>
    <n v="0"/>
    <n v="0"/>
    <n v="0"/>
    <n v="0"/>
    <n v="1"/>
    <n v="2025"/>
    <x v="7"/>
    <x v="2"/>
    <x v="2"/>
  </r>
  <r>
    <x v="1"/>
    <x v="114"/>
    <x v="1"/>
    <x v="7"/>
    <n v="457"/>
    <n v="86"/>
    <n v="37"/>
    <n v="5"/>
    <n v="217335"/>
    <n v="36"/>
    <n v="166690"/>
    <n v="31"/>
    <n v="120"/>
    <n v="440"/>
    <n v="2025"/>
    <x v="7"/>
    <x v="2"/>
    <x v="2"/>
  </r>
  <r>
    <x v="1"/>
    <x v="114"/>
    <x v="1"/>
    <x v="8"/>
    <n v="11"/>
    <n v="0"/>
    <n v="0"/>
    <n v="0"/>
    <n v="0"/>
    <n v="0"/>
    <n v="0"/>
    <n v="0"/>
    <n v="0"/>
    <n v="11"/>
    <n v="2025"/>
    <x v="7"/>
    <x v="2"/>
    <x v="2"/>
  </r>
  <r>
    <x v="1"/>
    <x v="114"/>
    <x v="1"/>
    <x v="10"/>
    <n v="4"/>
    <n v="2"/>
    <n v="0"/>
    <n v="0"/>
    <n v="0"/>
    <n v="0"/>
    <n v="0"/>
    <n v="0"/>
    <n v="0"/>
    <n v="1"/>
    <n v="2025"/>
    <x v="7"/>
    <x v="2"/>
    <x v="2"/>
  </r>
  <r>
    <x v="1"/>
    <x v="114"/>
    <x v="1"/>
    <x v="11"/>
    <n v="1"/>
    <n v="1"/>
    <n v="0"/>
    <n v="0"/>
    <n v="0"/>
    <n v="0"/>
    <n v="0"/>
    <n v="0"/>
    <n v="0"/>
    <n v="1"/>
    <n v="2025"/>
    <x v="7"/>
    <x v="2"/>
    <x v="2"/>
  </r>
  <r>
    <x v="1"/>
    <x v="114"/>
    <x v="1"/>
    <x v="61"/>
    <n v="272"/>
    <n v="178"/>
    <n v="11"/>
    <n v="2"/>
    <n v="0"/>
    <n v="0"/>
    <n v="0"/>
    <n v="0"/>
    <n v="0"/>
    <n v="272"/>
    <n v="2025"/>
    <x v="7"/>
    <x v="2"/>
    <x v="2"/>
  </r>
  <r>
    <x v="1"/>
    <x v="114"/>
    <x v="1"/>
    <x v="48"/>
    <n v="1"/>
    <n v="0"/>
    <n v="0"/>
    <n v="0"/>
    <n v="0"/>
    <n v="0"/>
    <n v="0"/>
    <n v="0"/>
    <n v="0"/>
    <n v="1"/>
    <n v="2025"/>
    <x v="7"/>
    <x v="2"/>
    <x v="2"/>
  </r>
  <r>
    <x v="1"/>
    <x v="114"/>
    <x v="1"/>
    <x v="59"/>
    <n v="2311"/>
    <n v="1885"/>
    <n v="18"/>
    <n v="0"/>
    <n v="49235"/>
    <n v="10"/>
    <n v="49235"/>
    <n v="10"/>
    <n v="112"/>
    <n v="556"/>
    <n v="2025"/>
    <x v="7"/>
    <x v="2"/>
    <x v="2"/>
  </r>
  <r>
    <x v="1"/>
    <x v="114"/>
    <x v="1"/>
    <x v="15"/>
    <n v="1"/>
    <n v="0"/>
    <n v="0"/>
    <n v="0"/>
    <n v="0"/>
    <n v="0"/>
    <n v="0"/>
    <n v="0"/>
    <n v="0"/>
    <n v="1"/>
    <n v="2025"/>
    <x v="7"/>
    <x v="2"/>
    <x v="2"/>
  </r>
  <r>
    <x v="1"/>
    <x v="114"/>
    <x v="1"/>
    <x v="17"/>
    <n v="234"/>
    <n v="67"/>
    <n v="1"/>
    <n v="3"/>
    <n v="0"/>
    <n v="0"/>
    <n v="0"/>
    <n v="0"/>
    <n v="0"/>
    <n v="234"/>
    <n v="2025"/>
    <x v="7"/>
    <x v="2"/>
    <x v="2"/>
  </r>
  <r>
    <x v="1"/>
    <x v="114"/>
    <x v="1"/>
    <x v="18"/>
    <n v="11"/>
    <n v="8"/>
    <n v="2"/>
    <n v="0"/>
    <n v="3800"/>
    <n v="1"/>
    <n v="3800"/>
    <n v="1"/>
    <n v="0"/>
    <n v="11"/>
    <n v="2025"/>
    <x v="7"/>
    <x v="2"/>
    <x v="2"/>
  </r>
  <r>
    <x v="1"/>
    <x v="114"/>
    <x v="1"/>
    <x v="19"/>
    <n v="1530"/>
    <n v="669"/>
    <n v="47"/>
    <n v="17"/>
    <n v="85713.46"/>
    <n v="20"/>
    <n v="76688.460000000006"/>
    <n v="19"/>
    <n v="404"/>
    <n v="1273"/>
    <n v="2025"/>
    <x v="7"/>
    <x v="2"/>
    <x v="2"/>
  </r>
  <r>
    <x v="1"/>
    <x v="114"/>
    <x v="1"/>
    <x v="20"/>
    <n v="49"/>
    <n v="28"/>
    <n v="3"/>
    <n v="2"/>
    <n v="9260.5"/>
    <n v="3"/>
    <n v="8850"/>
    <n v="2"/>
    <n v="4"/>
    <n v="49"/>
    <n v="2025"/>
    <x v="7"/>
    <x v="2"/>
    <x v="2"/>
  </r>
  <r>
    <x v="1"/>
    <x v="114"/>
    <x v="1"/>
    <x v="24"/>
    <n v="20"/>
    <n v="12"/>
    <n v="1"/>
    <n v="0"/>
    <n v="0"/>
    <n v="0"/>
    <n v="0"/>
    <n v="0"/>
    <n v="3"/>
    <n v="19"/>
    <n v="2025"/>
    <x v="7"/>
    <x v="2"/>
    <x v="2"/>
  </r>
  <r>
    <x v="1"/>
    <x v="114"/>
    <x v="1"/>
    <x v="27"/>
    <n v="142"/>
    <n v="46"/>
    <n v="10"/>
    <n v="2"/>
    <n v="36735"/>
    <n v="9"/>
    <n v="28575"/>
    <n v="9"/>
    <n v="64"/>
    <n v="111"/>
    <n v="2025"/>
    <x v="7"/>
    <x v="2"/>
    <x v="2"/>
  </r>
  <r>
    <x v="1"/>
    <x v="114"/>
    <x v="1"/>
    <x v="29"/>
    <n v="3201"/>
    <n v="2668"/>
    <n v="66"/>
    <n v="24"/>
    <n v="100255"/>
    <n v="19"/>
    <n v="39235"/>
    <n v="11"/>
    <n v="437"/>
    <n v="3069"/>
    <n v="2025"/>
    <x v="7"/>
    <x v="2"/>
    <x v="2"/>
  </r>
  <r>
    <x v="1"/>
    <x v="114"/>
    <x v="1"/>
    <x v="30"/>
    <n v="11880"/>
    <n v="7142"/>
    <n v="138"/>
    <n v="48"/>
    <n v="149480"/>
    <n v="24"/>
    <n v="114300"/>
    <n v="20"/>
    <n v="518"/>
    <n v="11737"/>
    <n v="2025"/>
    <x v="7"/>
    <x v="2"/>
    <x v="2"/>
  </r>
  <r>
    <x v="1"/>
    <x v="114"/>
    <x v="1"/>
    <x v="31"/>
    <n v="243"/>
    <n v="145"/>
    <n v="9"/>
    <n v="4"/>
    <n v="14180"/>
    <n v="3"/>
    <n v="11830"/>
    <n v="2"/>
    <n v="23"/>
    <n v="238"/>
    <n v="2025"/>
    <x v="7"/>
    <x v="2"/>
    <x v="2"/>
  </r>
  <r>
    <x v="1"/>
    <x v="114"/>
    <x v="1"/>
    <x v="34"/>
    <n v="57"/>
    <n v="35"/>
    <n v="2"/>
    <n v="1"/>
    <n v="0"/>
    <n v="0"/>
    <n v="0"/>
    <n v="0"/>
    <n v="46"/>
    <n v="26"/>
    <n v="2025"/>
    <x v="7"/>
    <x v="2"/>
    <x v="2"/>
  </r>
  <r>
    <x v="1"/>
    <x v="114"/>
    <x v="1"/>
    <x v="38"/>
    <n v="325"/>
    <n v="83"/>
    <n v="25"/>
    <n v="9"/>
    <n v="63310.25"/>
    <n v="16"/>
    <n v="54945"/>
    <n v="15"/>
    <n v="71"/>
    <n v="316"/>
    <n v="2025"/>
    <x v="7"/>
    <x v="2"/>
    <x v="2"/>
  </r>
  <r>
    <x v="1"/>
    <x v="114"/>
    <x v="1"/>
    <x v="60"/>
    <n v="4"/>
    <n v="4"/>
    <n v="0"/>
    <n v="0"/>
    <n v="0"/>
    <n v="0"/>
    <n v="0"/>
    <n v="0"/>
    <n v="0"/>
    <n v="4"/>
    <n v="2025"/>
    <x v="7"/>
    <x v="2"/>
    <x v="2"/>
  </r>
  <r>
    <x v="1"/>
    <x v="114"/>
    <x v="1"/>
    <x v="39"/>
    <n v="5"/>
    <n v="4"/>
    <n v="0"/>
    <n v="0"/>
    <n v="0"/>
    <n v="0"/>
    <n v="0"/>
    <n v="0"/>
    <n v="0"/>
    <n v="5"/>
    <n v="2025"/>
    <x v="7"/>
    <x v="2"/>
    <x v="2"/>
  </r>
  <r>
    <x v="1"/>
    <x v="114"/>
    <x v="1"/>
    <x v="64"/>
    <n v="734"/>
    <n v="358"/>
    <n v="24"/>
    <n v="4"/>
    <n v="24640"/>
    <n v="6"/>
    <n v="24640"/>
    <n v="6"/>
    <n v="116"/>
    <n v="717"/>
    <n v="2025"/>
    <x v="7"/>
    <x v="2"/>
    <x v="2"/>
  </r>
  <r>
    <x v="1"/>
    <x v="114"/>
    <x v="1"/>
    <x v="42"/>
    <n v="176"/>
    <n v="92"/>
    <n v="2"/>
    <n v="0"/>
    <n v="0"/>
    <n v="0"/>
    <n v="0"/>
    <n v="0"/>
    <n v="18"/>
    <n v="176"/>
    <n v="2025"/>
    <x v="7"/>
    <x v="2"/>
    <x v="2"/>
  </r>
  <r>
    <x v="1"/>
    <x v="114"/>
    <x v="1"/>
    <x v="43"/>
    <n v="143"/>
    <n v="69"/>
    <n v="5"/>
    <n v="0"/>
    <n v="2990"/>
    <n v="1"/>
    <n v="2990"/>
    <n v="1"/>
    <n v="111"/>
    <n v="90"/>
    <n v="2025"/>
    <x v="7"/>
    <x v="2"/>
    <x v="2"/>
  </r>
  <r>
    <x v="1"/>
    <x v="114"/>
    <x v="1"/>
    <x v="44"/>
    <n v="58"/>
    <n v="14"/>
    <n v="1"/>
    <n v="0"/>
    <n v="17790"/>
    <n v="5"/>
    <n v="17790"/>
    <n v="5"/>
    <n v="0"/>
    <n v="58"/>
    <n v="2025"/>
    <x v="7"/>
    <x v="2"/>
    <x v="2"/>
  </r>
  <r>
    <x v="1"/>
    <x v="115"/>
    <x v="0"/>
    <x v="0"/>
    <n v="454"/>
    <n v="139"/>
    <n v="4"/>
    <n v="1"/>
    <n v="16830"/>
    <n v="3"/>
    <n v="16830"/>
    <n v="3"/>
    <n v="3"/>
    <n v="452"/>
    <n v="2025"/>
    <x v="7"/>
    <x v="2"/>
    <x v="2"/>
  </r>
  <r>
    <x v="1"/>
    <x v="115"/>
    <x v="0"/>
    <x v="1"/>
    <n v="30933"/>
    <n v="16652"/>
    <n v="196"/>
    <n v="156"/>
    <n v="170335"/>
    <n v="30"/>
    <n v="104110"/>
    <n v="24"/>
    <n v="1697"/>
    <n v="30423"/>
    <n v="2025"/>
    <x v="7"/>
    <x v="2"/>
    <x v="2"/>
  </r>
  <r>
    <x v="1"/>
    <x v="115"/>
    <x v="0"/>
    <x v="2"/>
    <n v="1"/>
    <n v="1"/>
    <n v="0"/>
    <n v="0"/>
    <n v="0"/>
    <n v="0"/>
    <n v="0"/>
    <n v="0"/>
    <n v="0"/>
    <n v="1"/>
    <n v="2025"/>
    <x v="7"/>
    <x v="2"/>
    <x v="2"/>
  </r>
  <r>
    <x v="1"/>
    <x v="115"/>
    <x v="0"/>
    <x v="3"/>
    <n v="40"/>
    <n v="17"/>
    <n v="0"/>
    <n v="0"/>
    <n v="0"/>
    <n v="0"/>
    <n v="0"/>
    <n v="0"/>
    <n v="0"/>
    <n v="33"/>
    <n v="2025"/>
    <x v="7"/>
    <x v="2"/>
    <x v="2"/>
  </r>
  <r>
    <x v="1"/>
    <x v="115"/>
    <x v="1"/>
    <x v="5"/>
    <n v="81"/>
    <n v="33"/>
    <n v="0"/>
    <n v="1"/>
    <n v="0"/>
    <n v="0"/>
    <n v="0"/>
    <n v="0"/>
    <n v="2"/>
    <n v="81"/>
    <n v="2025"/>
    <x v="7"/>
    <x v="2"/>
    <x v="2"/>
  </r>
  <r>
    <x v="1"/>
    <x v="115"/>
    <x v="1"/>
    <x v="7"/>
    <n v="495"/>
    <n v="73"/>
    <n v="50"/>
    <n v="3"/>
    <n v="208847"/>
    <n v="43"/>
    <n v="171457"/>
    <n v="40"/>
    <n v="126"/>
    <n v="482"/>
    <n v="2025"/>
    <x v="7"/>
    <x v="2"/>
    <x v="2"/>
  </r>
  <r>
    <x v="1"/>
    <x v="115"/>
    <x v="1"/>
    <x v="8"/>
    <n v="13"/>
    <n v="1"/>
    <n v="0"/>
    <n v="0"/>
    <n v="0"/>
    <n v="0"/>
    <n v="0"/>
    <n v="0"/>
    <n v="0"/>
    <n v="13"/>
    <n v="2025"/>
    <x v="7"/>
    <x v="2"/>
    <x v="2"/>
  </r>
  <r>
    <x v="1"/>
    <x v="115"/>
    <x v="1"/>
    <x v="10"/>
    <n v="2"/>
    <n v="1"/>
    <n v="0"/>
    <n v="0"/>
    <n v="0"/>
    <n v="0"/>
    <n v="0"/>
    <n v="0"/>
    <n v="0"/>
    <n v="2"/>
    <n v="2025"/>
    <x v="7"/>
    <x v="2"/>
    <x v="2"/>
  </r>
  <r>
    <x v="1"/>
    <x v="115"/>
    <x v="1"/>
    <x v="61"/>
    <n v="425"/>
    <n v="305"/>
    <n v="8"/>
    <n v="1"/>
    <n v="1990"/>
    <n v="1"/>
    <n v="1990"/>
    <n v="1"/>
    <n v="0"/>
    <n v="425"/>
    <n v="2025"/>
    <x v="7"/>
    <x v="2"/>
    <x v="2"/>
  </r>
  <r>
    <x v="1"/>
    <x v="115"/>
    <x v="1"/>
    <x v="48"/>
    <n v="2"/>
    <n v="1"/>
    <n v="0"/>
    <n v="0"/>
    <n v="0"/>
    <n v="0"/>
    <n v="0"/>
    <n v="0"/>
    <n v="0"/>
    <n v="2"/>
    <n v="2025"/>
    <x v="7"/>
    <x v="2"/>
    <x v="2"/>
  </r>
  <r>
    <x v="1"/>
    <x v="115"/>
    <x v="1"/>
    <x v="59"/>
    <n v="614"/>
    <n v="236"/>
    <n v="20"/>
    <n v="4"/>
    <n v="42475"/>
    <n v="9"/>
    <n v="35485"/>
    <n v="8"/>
    <n v="110"/>
    <n v="563"/>
    <n v="2025"/>
    <x v="7"/>
    <x v="2"/>
    <x v="2"/>
  </r>
  <r>
    <x v="1"/>
    <x v="115"/>
    <x v="1"/>
    <x v="15"/>
    <n v="1"/>
    <n v="0"/>
    <n v="0"/>
    <n v="0"/>
    <n v="0"/>
    <n v="0"/>
    <n v="0"/>
    <n v="0"/>
    <n v="0"/>
    <n v="1"/>
    <n v="2025"/>
    <x v="7"/>
    <x v="2"/>
    <x v="2"/>
  </r>
  <r>
    <x v="1"/>
    <x v="115"/>
    <x v="1"/>
    <x v="17"/>
    <n v="240"/>
    <n v="66"/>
    <n v="7"/>
    <n v="0"/>
    <n v="3990"/>
    <n v="1"/>
    <n v="3990"/>
    <n v="1"/>
    <n v="0"/>
    <n v="240"/>
    <n v="2025"/>
    <x v="7"/>
    <x v="2"/>
    <x v="2"/>
  </r>
  <r>
    <x v="1"/>
    <x v="115"/>
    <x v="1"/>
    <x v="18"/>
    <n v="14"/>
    <n v="8"/>
    <n v="1"/>
    <n v="0"/>
    <n v="0"/>
    <n v="0"/>
    <n v="0"/>
    <n v="0"/>
    <n v="0"/>
    <n v="14"/>
    <n v="2025"/>
    <x v="7"/>
    <x v="2"/>
    <x v="2"/>
  </r>
  <r>
    <x v="1"/>
    <x v="115"/>
    <x v="1"/>
    <x v="19"/>
    <n v="1456"/>
    <n v="631"/>
    <n v="61"/>
    <n v="11"/>
    <n v="90600"/>
    <n v="21"/>
    <n v="85610"/>
    <n v="20"/>
    <n v="356"/>
    <n v="1325"/>
    <n v="2025"/>
    <x v="7"/>
    <x v="2"/>
    <x v="2"/>
  </r>
  <r>
    <x v="1"/>
    <x v="115"/>
    <x v="1"/>
    <x v="20"/>
    <n v="45"/>
    <n v="18"/>
    <n v="5"/>
    <n v="0"/>
    <n v="36363.42"/>
    <n v="4"/>
    <n v="11710"/>
    <n v="3"/>
    <n v="8"/>
    <n v="43"/>
    <n v="2025"/>
    <x v="7"/>
    <x v="2"/>
    <x v="2"/>
  </r>
  <r>
    <x v="1"/>
    <x v="115"/>
    <x v="1"/>
    <x v="24"/>
    <n v="12"/>
    <n v="8"/>
    <n v="2"/>
    <n v="0"/>
    <n v="14980"/>
    <n v="1"/>
    <n v="14980"/>
    <n v="1"/>
    <n v="1"/>
    <n v="11"/>
    <n v="2025"/>
    <x v="7"/>
    <x v="2"/>
    <x v="2"/>
  </r>
  <r>
    <x v="1"/>
    <x v="115"/>
    <x v="1"/>
    <x v="27"/>
    <n v="166"/>
    <n v="58"/>
    <n v="11"/>
    <n v="1"/>
    <n v="43075"/>
    <n v="8"/>
    <n v="43075"/>
    <n v="8"/>
    <n v="111"/>
    <n v="94"/>
    <n v="2025"/>
    <x v="7"/>
    <x v="2"/>
    <x v="2"/>
  </r>
  <r>
    <x v="1"/>
    <x v="115"/>
    <x v="1"/>
    <x v="29"/>
    <n v="2594"/>
    <n v="2124"/>
    <n v="46"/>
    <n v="15"/>
    <n v="151225"/>
    <n v="22"/>
    <n v="62415"/>
    <n v="16"/>
    <n v="374"/>
    <n v="2484"/>
    <n v="2025"/>
    <x v="7"/>
    <x v="2"/>
    <x v="2"/>
  </r>
  <r>
    <x v="1"/>
    <x v="115"/>
    <x v="1"/>
    <x v="30"/>
    <n v="9516"/>
    <n v="4786"/>
    <n v="165"/>
    <n v="60"/>
    <n v="144630"/>
    <n v="28"/>
    <n v="81980"/>
    <n v="20"/>
    <n v="508"/>
    <n v="9370"/>
    <n v="2025"/>
    <x v="7"/>
    <x v="2"/>
    <x v="2"/>
  </r>
  <r>
    <x v="1"/>
    <x v="115"/>
    <x v="1"/>
    <x v="31"/>
    <n v="197"/>
    <n v="110"/>
    <n v="12"/>
    <n v="3"/>
    <n v="0"/>
    <n v="0"/>
    <n v="0"/>
    <n v="0"/>
    <n v="30"/>
    <n v="196"/>
    <n v="2025"/>
    <x v="7"/>
    <x v="2"/>
    <x v="2"/>
  </r>
  <r>
    <x v="1"/>
    <x v="115"/>
    <x v="1"/>
    <x v="34"/>
    <n v="55"/>
    <n v="30"/>
    <n v="3"/>
    <n v="0"/>
    <n v="0"/>
    <n v="0"/>
    <n v="0"/>
    <n v="0"/>
    <n v="47"/>
    <n v="23"/>
    <n v="2025"/>
    <x v="7"/>
    <x v="2"/>
    <x v="2"/>
  </r>
  <r>
    <x v="1"/>
    <x v="115"/>
    <x v="1"/>
    <x v="36"/>
    <n v="1"/>
    <n v="1"/>
    <n v="0"/>
    <n v="0"/>
    <n v="0"/>
    <n v="0"/>
    <n v="0"/>
    <n v="0"/>
    <n v="0"/>
    <n v="1"/>
    <n v="2025"/>
    <x v="7"/>
    <x v="2"/>
    <x v="2"/>
  </r>
  <r>
    <x v="1"/>
    <x v="115"/>
    <x v="1"/>
    <x v="38"/>
    <n v="313"/>
    <n v="70"/>
    <n v="16"/>
    <n v="8"/>
    <n v="51425"/>
    <n v="13"/>
    <n v="36205"/>
    <n v="10"/>
    <n v="67"/>
    <n v="303"/>
    <n v="2025"/>
    <x v="7"/>
    <x v="2"/>
    <x v="2"/>
  </r>
  <r>
    <x v="1"/>
    <x v="115"/>
    <x v="1"/>
    <x v="60"/>
    <n v="5"/>
    <n v="4"/>
    <n v="0"/>
    <n v="0"/>
    <n v="0"/>
    <n v="0"/>
    <n v="0"/>
    <n v="0"/>
    <n v="0"/>
    <n v="5"/>
    <n v="2025"/>
    <x v="7"/>
    <x v="2"/>
    <x v="2"/>
  </r>
  <r>
    <x v="1"/>
    <x v="115"/>
    <x v="1"/>
    <x v="39"/>
    <n v="2"/>
    <n v="2"/>
    <n v="0"/>
    <n v="0"/>
    <n v="0"/>
    <n v="0"/>
    <n v="0"/>
    <n v="0"/>
    <n v="1"/>
    <n v="2"/>
    <n v="2025"/>
    <x v="7"/>
    <x v="2"/>
    <x v="2"/>
  </r>
  <r>
    <x v="1"/>
    <x v="115"/>
    <x v="1"/>
    <x v="64"/>
    <n v="751"/>
    <n v="387"/>
    <n v="20"/>
    <n v="3"/>
    <n v="35120"/>
    <n v="6"/>
    <n v="35120"/>
    <n v="6"/>
    <n v="125"/>
    <n v="738"/>
    <n v="2025"/>
    <x v="7"/>
    <x v="2"/>
    <x v="2"/>
  </r>
  <r>
    <x v="1"/>
    <x v="115"/>
    <x v="1"/>
    <x v="42"/>
    <n v="211"/>
    <n v="121"/>
    <n v="5"/>
    <n v="3"/>
    <n v="3940"/>
    <n v="1"/>
    <n v="3940"/>
    <n v="1"/>
    <n v="14"/>
    <n v="211"/>
    <n v="2025"/>
    <x v="7"/>
    <x v="2"/>
    <x v="2"/>
  </r>
  <r>
    <x v="1"/>
    <x v="115"/>
    <x v="1"/>
    <x v="43"/>
    <n v="127"/>
    <n v="56"/>
    <n v="8"/>
    <n v="1"/>
    <n v="0"/>
    <n v="0"/>
    <n v="0"/>
    <n v="0"/>
    <n v="103"/>
    <n v="83"/>
    <n v="2025"/>
    <x v="7"/>
    <x v="2"/>
    <x v="2"/>
  </r>
  <r>
    <x v="1"/>
    <x v="115"/>
    <x v="1"/>
    <x v="44"/>
    <n v="47"/>
    <n v="9"/>
    <n v="2"/>
    <n v="0"/>
    <n v="68.42"/>
    <n v="1"/>
    <n v="68.42"/>
    <n v="1"/>
    <n v="0"/>
    <n v="47"/>
    <n v="2025"/>
    <x v="7"/>
    <x v="2"/>
    <x v="2"/>
  </r>
  <r>
    <x v="1"/>
    <x v="115"/>
    <x v="1"/>
    <x v="45"/>
    <n v="1"/>
    <n v="1"/>
    <n v="0"/>
    <n v="0"/>
    <n v="0"/>
    <n v="0"/>
    <n v="0"/>
    <n v="0"/>
    <n v="0"/>
    <n v="1"/>
    <n v="2025"/>
    <x v="7"/>
    <x v="2"/>
    <x v="2"/>
  </r>
  <r>
    <x v="1"/>
    <x v="116"/>
    <x v="0"/>
    <x v="0"/>
    <n v="418"/>
    <n v="153"/>
    <n v="4"/>
    <n v="3"/>
    <n v="5140"/>
    <n v="2"/>
    <n v="8290"/>
    <n v="3"/>
    <n v="2"/>
    <n v="418"/>
    <n v="2025"/>
    <x v="7"/>
    <x v="2"/>
    <x v="2"/>
  </r>
  <r>
    <x v="1"/>
    <x v="116"/>
    <x v="0"/>
    <x v="1"/>
    <n v="32442"/>
    <n v="18405"/>
    <n v="151"/>
    <n v="168"/>
    <n v="73734"/>
    <n v="17"/>
    <n v="31954"/>
    <n v="10"/>
    <n v="1451"/>
    <n v="32034"/>
    <n v="2025"/>
    <x v="7"/>
    <x v="2"/>
    <x v="2"/>
  </r>
  <r>
    <x v="1"/>
    <x v="116"/>
    <x v="0"/>
    <x v="3"/>
    <n v="1033"/>
    <n v="509"/>
    <n v="13"/>
    <n v="0"/>
    <n v="0"/>
    <n v="0"/>
    <n v="0"/>
    <n v="0"/>
    <n v="46"/>
    <n v="475"/>
    <n v="2025"/>
    <x v="7"/>
    <x v="2"/>
    <x v="2"/>
  </r>
  <r>
    <x v="1"/>
    <x v="116"/>
    <x v="1"/>
    <x v="46"/>
    <n v="1"/>
    <n v="0"/>
    <n v="0"/>
    <n v="0"/>
    <n v="0"/>
    <n v="0"/>
    <n v="0"/>
    <n v="0"/>
    <n v="0"/>
    <n v="0"/>
    <n v="2025"/>
    <x v="7"/>
    <x v="2"/>
    <x v="2"/>
  </r>
  <r>
    <x v="1"/>
    <x v="116"/>
    <x v="1"/>
    <x v="5"/>
    <n v="70"/>
    <n v="26"/>
    <n v="0"/>
    <n v="0"/>
    <n v="0"/>
    <n v="0"/>
    <n v="0"/>
    <n v="0"/>
    <n v="0"/>
    <n v="70"/>
    <n v="2025"/>
    <x v="7"/>
    <x v="2"/>
    <x v="2"/>
  </r>
  <r>
    <x v="1"/>
    <x v="116"/>
    <x v="1"/>
    <x v="6"/>
    <n v="113"/>
    <n v="84"/>
    <n v="0"/>
    <n v="0"/>
    <n v="0"/>
    <n v="0"/>
    <n v="0"/>
    <n v="0"/>
    <n v="0"/>
    <n v="0"/>
    <n v="2025"/>
    <x v="7"/>
    <x v="2"/>
    <x v="2"/>
  </r>
  <r>
    <x v="1"/>
    <x v="116"/>
    <x v="1"/>
    <x v="7"/>
    <n v="437"/>
    <n v="79"/>
    <n v="44"/>
    <n v="2"/>
    <n v="170809"/>
    <n v="36"/>
    <n v="170809"/>
    <n v="36"/>
    <n v="120"/>
    <n v="419"/>
    <n v="2025"/>
    <x v="7"/>
    <x v="2"/>
    <x v="2"/>
  </r>
  <r>
    <x v="1"/>
    <x v="116"/>
    <x v="1"/>
    <x v="8"/>
    <n v="17"/>
    <n v="3"/>
    <n v="2"/>
    <n v="1"/>
    <n v="0"/>
    <n v="0"/>
    <n v="0"/>
    <n v="0"/>
    <n v="0"/>
    <n v="12"/>
    <n v="2025"/>
    <x v="7"/>
    <x v="2"/>
    <x v="2"/>
  </r>
  <r>
    <x v="1"/>
    <x v="116"/>
    <x v="1"/>
    <x v="52"/>
    <n v="1"/>
    <n v="0"/>
    <n v="0"/>
    <n v="0"/>
    <n v="0"/>
    <n v="0"/>
    <n v="0"/>
    <n v="0"/>
    <n v="0"/>
    <n v="1"/>
    <n v="2025"/>
    <x v="7"/>
    <x v="2"/>
    <x v="2"/>
  </r>
  <r>
    <x v="1"/>
    <x v="116"/>
    <x v="1"/>
    <x v="10"/>
    <n v="6"/>
    <n v="2"/>
    <n v="0"/>
    <n v="0"/>
    <n v="0"/>
    <n v="0"/>
    <n v="0"/>
    <n v="0"/>
    <n v="0"/>
    <n v="1"/>
    <n v="2025"/>
    <x v="7"/>
    <x v="2"/>
    <x v="2"/>
  </r>
  <r>
    <x v="1"/>
    <x v="116"/>
    <x v="1"/>
    <x v="61"/>
    <n v="416"/>
    <n v="307"/>
    <n v="4"/>
    <n v="7"/>
    <n v="0"/>
    <n v="0"/>
    <n v="0"/>
    <n v="0"/>
    <n v="0"/>
    <n v="416"/>
    <n v="2025"/>
    <x v="7"/>
    <x v="2"/>
    <x v="2"/>
  </r>
  <r>
    <x v="1"/>
    <x v="116"/>
    <x v="1"/>
    <x v="59"/>
    <n v="904"/>
    <n v="465"/>
    <n v="23"/>
    <n v="4"/>
    <n v="72230"/>
    <n v="11"/>
    <n v="72230"/>
    <n v="11"/>
    <n v="103"/>
    <n v="555"/>
    <n v="2025"/>
    <x v="7"/>
    <x v="2"/>
    <x v="2"/>
  </r>
  <r>
    <x v="1"/>
    <x v="116"/>
    <x v="1"/>
    <x v="17"/>
    <n v="1381"/>
    <n v="1222"/>
    <n v="3"/>
    <n v="6"/>
    <n v="0"/>
    <n v="0"/>
    <n v="0"/>
    <n v="0"/>
    <n v="0"/>
    <n v="1381"/>
    <n v="2025"/>
    <x v="7"/>
    <x v="2"/>
    <x v="2"/>
  </r>
  <r>
    <x v="1"/>
    <x v="116"/>
    <x v="1"/>
    <x v="18"/>
    <n v="1234"/>
    <n v="1233"/>
    <n v="1"/>
    <n v="10"/>
    <n v="6440"/>
    <n v="2"/>
    <n v="6440"/>
    <n v="2"/>
    <n v="0"/>
    <n v="1234"/>
    <n v="2025"/>
    <x v="7"/>
    <x v="2"/>
    <x v="2"/>
  </r>
  <r>
    <x v="1"/>
    <x v="116"/>
    <x v="1"/>
    <x v="19"/>
    <n v="1917"/>
    <n v="935"/>
    <n v="60"/>
    <n v="15"/>
    <n v="125980"/>
    <n v="18"/>
    <n v="93940"/>
    <n v="16"/>
    <n v="359"/>
    <n v="1348"/>
    <n v="2025"/>
    <x v="7"/>
    <x v="2"/>
    <x v="2"/>
  </r>
  <r>
    <x v="1"/>
    <x v="116"/>
    <x v="1"/>
    <x v="20"/>
    <n v="49"/>
    <n v="20"/>
    <n v="9"/>
    <n v="0"/>
    <n v="44843.42"/>
    <n v="8"/>
    <n v="37848.42"/>
    <n v="8"/>
    <n v="10"/>
    <n v="49"/>
    <n v="2025"/>
    <x v="7"/>
    <x v="2"/>
    <x v="2"/>
  </r>
  <r>
    <x v="1"/>
    <x v="116"/>
    <x v="1"/>
    <x v="24"/>
    <n v="18"/>
    <n v="13"/>
    <n v="1"/>
    <n v="0"/>
    <n v="2134"/>
    <n v="2"/>
    <n v="2134"/>
    <n v="2"/>
    <n v="7"/>
    <n v="16"/>
    <n v="2025"/>
    <x v="7"/>
    <x v="2"/>
    <x v="2"/>
  </r>
  <r>
    <x v="1"/>
    <x v="116"/>
    <x v="1"/>
    <x v="27"/>
    <n v="105"/>
    <n v="43"/>
    <n v="13"/>
    <n v="0"/>
    <n v="46318"/>
    <n v="8"/>
    <n v="46318"/>
    <n v="8"/>
    <n v="58"/>
    <n v="72"/>
    <n v="2025"/>
    <x v="7"/>
    <x v="2"/>
    <x v="2"/>
  </r>
  <r>
    <x v="1"/>
    <x v="116"/>
    <x v="1"/>
    <x v="29"/>
    <n v="2341"/>
    <n v="1935"/>
    <n v="43"/>
    <n v="9"/>
    <n v="27650"/>
    <n v="5"/>
    <n v="27650"/>
    <n v="5"/>
    <n v="287"/>
    <n v="2268"/>
    <n v="2025"/>
    <x v="7"/>
    <x v="2"/>
    <x v="2"/>
  </r>
  <r>
    <x v="1"/>
    <x v="116"/>
    <x v="1"/>
    <x v="30"/>
    <n v="9258"/>
    <n v="5160"/>
    <n v="136"/>
    <n v="35"/>
    <n v="100695"/>
    <n v="17"/>
    <n v="81315"/>
    <n v="14"/>
    <n v="440"/>
    <n v="9103"/>
    <n v="2025"/>
    <x v="7"/>
    <x v="2"/>
    <x v="2"/>
  </r>
  <r>
    <x v="1"/>
    <x v="116"/>
    <x v="1"/>
    <x v="31"/>
    <n v="182"/>
    <n v="107"/>
    <n v="11"/>
    <n v="3"/>
    <n v="0"/>
    <n v="0"/>
    <n v="0"/>
    <n v="0"/>
    <n v="27"/>
    <n v="174"/>
    <n v="2025"/>
    <x v="7"/>
    <x v="2"/>
    <x v="2"/>
  </r>
  <r>
    <x v="1"/>
    <x v="116"/>
    <x v="1"/>
    <x v="32"/>
    <n v="1"/>
    <n v="0"/>
    <n v="0"/>
    <n v="0"/>
    <n v="0"/>
    <n v="0"/>
    <n v="0"/>
    <n v="0"/>
    <n v="0"/>
    <n v="1"/>
    <n v="2025"/>
    <x v="7"/>
    <x v="2"/>
    <x v="2"/>
  </r>
  <r>
    <x v="1"/>
    <x v="116"/>
    <x v="1"/>
    <x v="34"/>
    <n v="49"/>
    <n v="18"/>
    <n v="6"/>
    <n v="0"/>
    <n v="10820"/>
    <n v="3"/>
    <n v="10820"/>
    <n v="3"/>
    <n v="37"/>
    <n v="30"/>
    <n v="2025"/>
    <x v="7"/>
    <x v="2"/>
    <x v="2"/>
  </r>
  <r>
    <x v="1"/>
    <x v="116"/>
    <x v="1"/>
    <x v="36"/>
    <n v="15"/>
    <n v="15"/>
    <n v="0"/>
    <n v="0"/>
    <n v="0"/>
    <n v="0"/>
    <n v="0"/>
    <n v="0"/>
    <n v="0"/>
    <n v="15"/>
    <n v="2025"/>
    <x v="7"/>
    <x v="2"/>
    <x v="2"/>
  </r>
  <r>
    <x v="1"/>
    <x v="116"/>
    <x v="1"/>
    <x v="38"/>
    <n v="285"/>
    <n v="58"/>
    <n v="20"/>
    <n v="5"/>
    <n v="128090"/>
    <n v="18"/>
    <n v="93055"/>
    <n v="17"/>
    <n v="49"/>
    <n v="278"/>
    <n v="2025"/>
    <x v="7"/>
    <x v="2"/>
    <x v="2"/>
  </r>
  <r>
    <x v="1"/>
    <x v="116"/>
    <x v="1"/>
    <x v="60"/>
    <n v="6"/>
    <n v="6"/>
    <n v="0"/>
    <n v="0"/>
    <n v="0"/>
    <n v="0"/>
    <n v="0"/>
    <n v="0"/>
    <n v="0"/>
    <n v="6"/>
    <n v="2025"/>
    <x v="7"/>
    <x v="2"/>
    <x v="2"/>
  </r>
  <r>
    <x v="1"/>
    <x v="116"/>
    <x v="1"/>
    <x v="39"/>
    <n v="2"/>
    <n v="2"/>
    <n v="0"/>
    <n v="0"/>
    <n v="0"/>
    <n v="0"/>
    <n v="0"/>
    <n v="0"/>
    <n v="0"/>
    <n v="2"/>
    <n v="2025"/>
    <x v="7"/>
    <x v="2"/>
    <x v="2"/>
  </r>
  <r>
    <x v="1"/>
    <x v="116"/>
    <x v="1"/>
    <x v="64"/>
    <n v="637"/>
    <n v="326"/>
    <n v="27"/>
    <n v="4"/>
    <n v="29978.42"/>
    <n v="5"/>
    <n v="33128.42"/>
    <n v="6"/>
    <n v="95"/>
    <n v="627"/>
    <n v="2025"/>
    <x v="7"/>
    <x v="2"/>
    <x v="2"/>
  </r>
  <r>
    <x v="1"/>
    <x v="116"/>
    <x v="1"/>
    <x v="42"/>
    <n v="159"/>
    <n v="65"/>
    <n v="5"/>
    <n v="3"/>
    <n v="0"/>
    <n v="0"/>
    <n v="0"/>
    <n v="0"/>
    <n v="6"/>
    <n v="158"/>
    <n v="2025"/>
    <x v="7"/>
    <x v="2"/>
    <x v="2"/>
  </r>
  <r>
    <x v="1"/>
    <x v="116"/>
    <x v="1"/>
    <x v="43"/>
    <n v="130"/>
    <n v="58"/>
    <n v="7"/>
    <n v="1"/>
    <n v="6635"/>
    <n v="2"/>
    <n v="6635"/>
    <n v="2"/>
    <n v="104"/>
    <n v="63"/>
    <n v="2025"/>
    <x v="7"/>
    <x v="2"/>
    <x v="2"/>
  </r>
  <r>
    <x v="1"/>
    <x v="116"/>
    <x v="1"/>
    <x v="44"/>
    <n v="46"/>
    <n v="14"/>
    <n v="1"/>
    <n v="0"/>
    <n v="0"/>
    <n v="0"/>
    <n v="0"/>
    <n v="0"/>
    <n v="0"/>
    <n v="46"/>
    <n v="2025"/>
    <x v="7"/>
    <x v="2"/>
    <x v="2"/>
  </r>
  <r>
    <x v="1"/>
    <x v="116"/>
    <x v="1"/>
    <x v="45"/>
    <n v="6"/>
    <n v="1"/>
    <n v="1"/>
    <n v="0"/>
    <n v="990"/>
    <n v="1"/>
    <n v="990"/>
    <n v="1"/>
    <n v="0"/>
    <n v="6"/>
    <n v="2025"/>
    <x v="7"/>
    <x v="2"/>
    <x v="2"/>
  </r>
  <r>
    <x v="1"/>
    <x v="117"/>
    <x v="0"/>
    <x v="0"/>
    <n v="348"/>
    <n v="97"/>
    <n v="5"/>
    <n v="1"/>
    <n v="12922.44"/>
    <n v="3"/>
    <n v="12922.44"/>
    <n v="3"/>
    <n v="2"/>
    <n v="348"/>
    <n v="2025"/>
    <x v="7"/>
    <x v="2"/>
    <x v="2"/>
  </r>
  <r>
    <x v="1"/>
    <x v="117"/>
    <x v="0"/>
    <x v="1"/>
    <n v="32325"/>
    <n v="17782"/>
    <n v="129"/>
    <n v="136"/>
    <n v="78903"/>
    <n v="15"/>
    <n v="43593"/>
    <n v="11"/>
    <n v="1403"/>
    <n v="31925"/>
    <n v="2025"/>
    <x v="7"/>
    <x v="2"/>
    <x v="2"/>
  </r>
  <r>
    <x v="1"/>
    <x v="117"/>
    <x v="0"/>
    <x v="3"/>
    <n v="859"/>
    <n v="443"/>
    <n v="12"/>
    <n v="0"/>
    <n v="0"/>
    <n v="0"/>
    <n v="0"/>
    <n v="0"/>
    <n v="38"/>
    <n v="432"/>
    <n v="2025"/>
    <x v="7"/>
    <x v="2"/>
    <x v="2"/>
  </r>
  <r>
    <x v="1"/>
    <x v="117"/>
    <x v="1"/>
    <x v="5"/>
    <n v="58"/>
    <n v="24"/>
    <n v="1"/>
    <n v="0"/>
    <n v="0"/>
    <n v="0"/>
    <n v="0"/>
    <n v="0"/>
    <n v="1"/>
    <n v="58"/>
    <n v="2025"/>
    <x v="7"/>
    <x v="2"/>
    <x v="2"/>
  </r>
  <r>
    <x v="1"/>
    <x v="117"/>
    <x v="1"/>
    <x v="6"/>
    <n v="215"/>
    <n v="171"/>
    <n v="0"/>
    <n v="0"/>
    <n v="0"/>
    <n v="0"/>
    <n v="0"/>
    <n v="0"/>
    <n v="0"/>
    <n v="0"/>
    <n v="2025"/>
    <x v="7"/>
    <x v="2"/>
    <x v="2"/>
  </r>
  <r>
    <x v="1"/>
    <x v="117"/>
    <x v="1"/>
    <x v="7"/>
    <n v="375"/>
    <n v="72"/>
    <n v="34"/>
    <n v="1"/>
    <n v="143628.44"/>
    <n v="30"/>
    <n v="113718.44"/>
    <n v="28"/>
    <n v="103"/>
    <n v="356"/>
    <n v="2025"/>
    <x v="7"/>
    <x v="2"/>
    <x v="2"/>
  </r>
  <r>
    <x v="1"/>
    <x v="117"/>
    <x v="1"/>
    <x v="8"/>
    <n v="14"/>
    <n v="2"/>
    <n v="0"/>
    <n v="0"/>
    <n v="0"/>
    <n v="0"/>
    <n v="0"/>
    <n v="0"/>
    <n v="0"/>
    <n v="12"/>
    <n v="2025"/>
    <x v="7"/>
    <x v="2"/>
    <x v="2"/>
  </r>
  <r>
    <x v="1"/>
    <x v="117"/>
    <x v="1"/>
    <x v="10"/>
    <n v="6"/>
    <n v="1"/>
    <n v="0"/>
    <n v="0"/>
    <n v="0"/>
    <n v="0"/>
    <n v="0"/>
    <n v="0"/>
    <n v="0"/>
    <n v="1"/>
    <n v="2025"/>
    <x v="7"/>
    <x v="2"/>
    <x v="2"/>
  </r>
  <r>
    <x v="1"/>
    <x v="117"/>
    <x v="1"/>
    <x v="61"/>
    <n v="261"/>
    <n v="189"/>
    <n v="5"/>
    <n v="3"/>
    <n v="10470"/>
    <n v="1"/>
    <n v="0"/>
    <n v="0"/>
    <n v="0"/>
    <n v="261"/>
    <n v="2025"/>
    <x v="7"/>
    <x v="2"/>
    <x v="2"/>
  </r>
  <r>
    <x v="1"/>
    <x v="117"/>
    <x v="1"/>
    <x v="59"/>
    <n v="1424"/>
    <n v="1032"/>
    <n v="26"/>
    <n v="4"/>
    <n v="39162.44"/>
    <n v="8"/>
    <n v="39162.44"/>
    <n v="8"/>
    <n v="107"/>
    <n v="490"/>
    <n v="2025"/>
    <x v="7"/>
    <x v="2"/>
    <x v="2"/>
  </r>
  <r>
    <x v="1"/>
    <x v="117"/>
    <x v="1"/>
    <x v="15"/>
    <n v="1"/>
    <n v="0"/>
    <n v="0"/>
    <n v="0"/>
    <n v="0"/>
    <n v="0"/>
    <n v="0"/>
    <n v="0"/>
    <n v="0"/>
    <n v="1"/>
    <n v="2025"/>
    <x v="7"/>
    <x v="2"/>
    <x v="2"/>
  </r>
  <r>
    <x v="1"/>
    <x v="117"/>
    <x v="1"/>
    <x v="17"/>
    <n v="245"/>
    <n v="62"/>
    <n v="1"/>
    <n v="1"/>
    <n v="0"/>
    <n v="0"/>
    <n v="0"/>
    <n v="0"/>
    <n v="2"/>
    <n v="243"/>
    <n v="2025"/>
    <x v="7"/>
    <x v="2"/>
    <x v="2"/>
  </r>
  <r>
    <x v="1"/>
    <x v="117"/>
    <x v="1"/>
    <x v="18"/>
    <n v="4"/>
    <n v="3"/>
    <n v="1"/>
    <n v="1"/>
    <n v="3800"/>
    <n v="1"/>
    <n v="3800"/>
    <n v="1"/>
    <n v="1"/>
    <n v="4"/>
    <n v="2025"/>
    <x v="7"/>
    <x v="2"/>
    <x v="2"/>
  </r>
  <r>
    <x v="1"/>
    <x v="117"/>
    <x v="1"/>
    <x v="19"/>
    <n v="1518"/>
    <n v="611"/>
    <n v="61"/>
    <n v="11"/>
    <n v="66416.63"/>
    <n v="11"/>
    <n v="47486.63"/>
    <n v="10"/>
    <n v="363"/>
    <n v="1240"/>
    <n v="2025"/>
    <x v="7"/>
    <x v="2"/>
    <x v="2"/>
  </r>
  <r>
    <x v="1"/>
    <x v="117"/>
    <x v="1"/>
    <x v="20"/>
    <n v="24"/>
    <n v="9"/>
    <n v="0"/>
    <n v="0"/>
    <n v="3840.19"/>
    <n v="1"/>
    <n v="3840.19"/>
    <n v="1"/>
    <n v="1"/>
    <n v="24"/>
    <n v="2025"/>
    <x v="7"/>
    <x v="2"/>
    <x v="2"/>
  </r>
  <r>
    <x v="1"/>
    <x v="117"/>
    <x v="1"/>
    <x v="24"/>
    <n v="35"/>
    <n v="27"/>
    <n v="1"/>
    <n v="0"/>
    <n v="5250"/>
    <n v="1"/>
    <n v="5250"/>
    <n v="1"/>
    <n v="5"/>
    <n v="33"/>
    <n v="2025"/>
    <x v="7"/>
    <x v="2"/>
    <x v="2"/>
  </r>
  <r>
    <x v="1"/>
    <x v="117"/>
    <x v="1"/>
    <x v="27"/>
    <n v="165"/>
    <n v="60"/>
    <n v="8"/>
    <n v="1"/>
    <n v="32983"/>
    <n v="6"/>
    <n v="17523"/>
    <n v="4"/>
    <n v="97"/>
    <n v="107"/>
    <n v="2025"/>
    <x v="7"/>
    <x v="2"/>
    <x v="2"/>
  </r>
  <r>
    <x v="1"/>
    <x v="117"/>
    <x v="1"/>
    <x v="29"/>
    <n v="2519"/>
    <n v="2105"/>
    <n v="69"/>
    <n v="21"/>
    <n v="87435.44"/>
    <n v="17"/>
    <n v="64075.44"/>
    <n v="14"/>
    <n v="321"/>
    <n v="2427"/>
    <n v="2025"/>
    <x v="7"/>
    <x v="2"/>
    <x v="2"/>
  </r>
  <r>
    <x v="1"/>
    <x v="117"/>
    <x v="1"/>
    <x v="30"/>
    <n v="8727"/>
    <n v="3705"/>
    <n v="157"/>
    <n v="53"/>
    <n v="83650.19"/>
    <n v="17"/>
    <n v="62690.19"/>
    <n v="16"/>
    <n v="448"/>
    <n v="8651"/>
    <n v="2025"/>
    <x v="7"/>
    <x v="2"/>
    <x v="2"/>
  </r>
  <r>
    <x v="1"/>
    <x v="117"/>
    <x v="1"/>
    <x v="31"/>
    <n v="202"/>
    <n v="134"/>
    <n v="7"/>
    <n v="1"/>
    <n v="0"/>
    <n v="0"/>
    <n v="0"/>
    <n v="0"/>
    <n v="25"/>
    <n v="192"/>
    <n v="2025"/>
    <x v="7"/>
    <x v="2"/>
    <x v="2"/>
  </r>
  <r>
    <x v="1"/>
    <x v="117"/>
    <x v="1"/>
    <x v="32"/>
    <n v="1"/>
    <n v="1"/>
    <n v="0"/>
    <n v="0"/>
    <n v="0"/>
    <n v="0"/>
    <n v="0"/>
    <n v="0"/>
    <n v="1"/>
    <n v="1"/>
    <n v="2025"/>
    <x v="7"/>
    <x v="2"/>
    <x v="2"/>
  </r>
  <r>
    <x v="1"/>
    <x v="117"/>
    <x v="1"/>
    <x v="34"/>
    <n v="48"/>
    <n v="24"/>
    <n v="3"/>
    <n v="0"/>
    <n v="16025"/>
    <n v="3"/>
    <n v="16025"/>
    <n v="3"/>
    <n v="42"/>
    <n v="28"/>
    <n v="2025"/>
    <x v="7"/>
    <x v="2"/>
    <x v="2"/>
  </r>
  <r>
    <x v="1"/>
    <x v="117"/>
    <x v="1"/>
    <x v="38"/>
    <n v="266"/>
    <n v="54"/>
    <n v="19"/>
    <n v="4"/>
    <n v="75120"/>
    <n v="13"/>
    <n v="36700"/>
    <n v="10"/>
    <n v="47"/>
    <n v="257"/>
    <n v="2025"/>
    <x v="7"/>
    <x v="2"/>
    <x v="2"/>
  </r>
  <r>
    <x v="1"/>
    <x v="117"/>
    <x v="1"/>
    <x v="60"/>
    <n v="3"/>
    <n v="3"/>
    <n v="0"/>
    <n v="0"/>
    <n v="0"/>
    <n v="0"/>
    <n v="0"/>
    <n v="0"/>
    <n v="0"/>
    <n v="3"/>
    <n v="2025"/>
    <x v="7"/>
    <x v="2"/>
    <x v="2"/>
  </r>
  <r>
    <x v="1"/>
    <x v="117"/>
    <x v="1"/>
    <x v="39"/>
    <n v="1"/>
    <n v="1"/>
    <n v="0"/>
    <n v="0"/>
    <n v="0"/>
    <n v="0"/>
    <n v="0"/>
    <n v="0"/>
    <n v="1"/>
    <n v="1"/>
    <n v="2025"/>
    <x v="7"/>
    <x v="2"/>
    <x v="2"/>
  </r>
  <r>
    <x v="1"/>
    <x v="117"/>
    <x v="1"/>
    <x v="64"/>
    <n v="580"/>
    <n v="302"/>
    <n v="16"/>
    <n v="3"/>
    <n v="14506.87"/>
    <n v="3"/>
    <n v="11356.87"/>
    <n v="2"/>
    <n v="83"/>
    <n v="568"/>
    <n v="2025"/>
    <x v="7"/>
    <x v="2"/>
    <x v="2"/>
  </r>
  <r>
    <x v="1"/>
    <x v="117"/>
    <x v="1"/>
    <x v="42"/>
    <n v="139"/>
    <n v="59"/>
    <n v="3"/>
    <n v="1"/>
    <n v="0"/>
    <n v="0"/>
    <n v="0"/>
    <n v="0"/>
    <n v="14"/>
    <n v="138"/>
    <n v="2025"/>
    <x v="7"/>
    <x v="2"/>
    <x v="2"/>
  </r>
  <r>
    <x v="1"/>
    <x v="117"/>
    <x v="1"/>
    <x v="43"/>
    <n v="109"/>
    <n v="41"/>
    <n v="2"/>
    <n v="4"/>
    <n v="2650"/>
    <n v="1"/>
    <n v="2650"/>
    <n v="1"/>
    <n v="94"/>
    <n v="67"/>
    <n v="2025"/>
    <x v="7"/>
    <x v="2"/>
    <x v="2"/>
  </r>
  <r>
    <x v="1"/>
    <x v="117"/>
    <x v="1"/>
    <x v="44"/>
    <n v="50"/>
    <n v="5"/>
    <n v="2"/>
    <n v="1"/>
    <n v="8175"/>
    <n v="2"/>
    <n v="8175"/>
    <n v="2"/>
    <n v="0"/>
    <n v="50"/>
    <n v="2025"/>
    <x v="7"/>
    <x v="2"/>
    <x v="2"/>
  </r>
  <r>
    <x v="1"/>
    <x v="117"/>
    <x v="1"/>
    <x v="45"/>
    <n v="4"/>
    <n v="0"/>
    <n v="0"/>
    <n v="1"/>
    <n v="0"/>
    <n v="0"/>
    <n v="0"/>
    <n v="0"/>
    <n v="0"/>
    <n v="4"/>
    <n v="2025"/>
    <x v="7"/>
    <x v="2"/>
    <x v="2"/>
  </r>
  <r>
    <x v="1"/>
    <x v="118"/>
    <x v="0"/>
    <x v="0"/>
    <n v="394"/>
    <n v="97"/>
    <n v="3"/>
    <n v="1"/>
    <n v="0"/>
    <n v="0"/>
    <n v="0"/>
    <n v="0"/>
    <n v="5"/>
    <n v="392"/>
    <n v="2025"/>
    <x v="7"/>
    <x v="2"/>
    <x v="2"/>
  </r>
  <r>
    <x v="1"/>
    <x v="118"/>
    <x v="0"/>
    <x v="1"/>
    <n v="36201"/>
    <n v="19817"/>
    <n v="185"/>
    <n v="180"/>
    <n v="156885"/>
    <n v="31"/>
    <n v="74015"/>
    <n v="20"/>
    <n v="1613"/>
    <n v="35794"/>
    <n v="2025"/>
    <x v="7"/>
    <x v="2"/>
    <x v="2"/>
  </r>
  <r>
    <x v="1"/>
    <x v="118"/>
    <x v="0"/>
    <x v="2"/>
    <n v="3"/>
    <n v="2"/>
    <n v="0"/>
    <n v="0"/>
    <n v="0"/>
    <n v="0"/>
    <n v="0"/>
    <n v="0"/>
    <n v="0"/>
    <n v="3"/>
    <n v="2025"/>
    <x v="7"/>
    <x v="2"/>
    <x v="2"/>
  </r>
  <r>
    <x v="1"/>
    <x v="118"/>
    <x v="0"/>
    <x v="3"/>
    <n v="1449"/>
    <n v="988"/>
    <n v="11"/>
    <n v="1"/>
    <n v="0"/>
    <n v="0"/>
    <n v="0"/>
    <n v="0"/>
    <n v="34"/>
    <n v="365"/>
    <n v="2025"/>
    <x v="7"/>
    <x v="2"/>
    <x v="2"/>
  </r>
  <r>
    <x v="1"/>
    <x v="118"/>
    <x v="1"/>
    <x v="5"/>
    <n v="89"/>
    <n v="36"/>
    <n v="0"/>
    <n v="2"/>
    <n v="0"/>
    <n v="0"/>
    <n v="0"/>
    <n v="0"/>
    <n v="2"/>
    <n v="89"/>
    <n v="2025"/>
    <x v="7"/>
    <x v="2"/>
    <x v="2"/>
  </r>
  <r>
    <x v="1"/>
    <x v="118"/>
    <x v="1"/>
    <x v="6"/>
    <n v="266"/>
    <n v="220"/>
    <n v="0"/>
    <n v="0"/>
    <n v="0"/>
    <n v="0"/>
    <n v="0"/>
    <n v="0"/>
    <n v="0"/>
    <n v="1"/>
    <n v="2025"/>
    <x v="7"/>
    <x v="2"/>
    <x v="2"/>
  </r>
  <r>
    <x v="1"/>
    <x v="118"/>
    <x v="1"/>
    <x v="7"/>
    <n v="373"/>
    <n v="70"/>
    <n v="35"/>
    <n v="6"/>
    <n v="251310.6"/>
    <n v="44"/>
    <n v="201735.6"/>
    <n v="42"/>
    <n v="80"/>
    <n v="367"/>
    <n v="2025"/>
    <x v="7"/>
    <x v="2"/>
    <x v="2"/>
  </r>
  <r>
    <x v="1"/>
    <x v="118"/>
    <x v="1"/>
    <x v="8"/>
    <n v="10"/>
    <n v="5"/>
    <n v="0"/>
    <n v="0"/>
    <n v="0"/>
    <n v="0"/>
    <n v="0"/>
    <n v="0"/>
    <n v="0"/>
    <n v="5"/>
    <n v="2025"/>
    <x v="7"/>
    <x v="2"/>
    <x v="2"/>
  </r>
  <r>
    <x v="1"/>
    <x v="118"/>
    <x v="1"/>
    <x v="10"/>
    <n v="5"/>
    <n v="2"/>
    <n v="0"/>
    <n v="0"/>
    <n v="0"/>
    <n v="0"/>
    <n v="0"/>
    <n v="0"/>
    <n v="0"/>
    <n v="1"/>
    <n v="2025"/>
    <x v="7"/>
    <x v="2"/>
    <x v="2"/>
  </r>
  <r>
    <x v="1"/>
    <x v="118"/>
    <x v="1"/>
    <x v="11"/>
    <n v="1"/>
    <n v="0"/>
    <n v="0"/>
    <n v="0"/>
    <n v="0"/>
    <n v="0"/>
    <n v="0"/>
    <n v="0"/>
    <n v="1"/>
    <n v="0"/>
    <n v="2025"/>
    <x v="7"/>
    <x v="2"/>
    <x v="2"/>
  </r>
  <r>
    <x v="1"/>
    <x v="118"/>
    <x v="1"/>
    <x v="61"/>
    <n v="187"/>
    <n v="130"/>
    <n v="2"/>
    <n v="0"/>
    <n v="7980"/>
    <n v="1"/>
    <n v="3990"/>
    <n v="1"/>
    <n v="0"/>
    <n v="187"/>
    <n v="2025"/>
    <x v="7"/>
    <x v="2"/>
    <x v="2"/>
  </r>
  <r>
    <x v="1"/>
    <x v="118"/>
    <x v="1"/>
    <x v="59"/>
    <n v="6608"/>
    <n v="5948"/>
    <n v="16"/>
    <n v="2"/>
    <n v="51674.39"/>
    <n v="10"/>
    <n v="43354.39"/>
    <n v="9"/>
    <n v="82"/>
    <n v="428"/>
    <n v="2025"/>
    <x v="7"/>
    <x v="2"/>
    <x v="2"/>
  </r>
  <r>
    <x v="1"/>
    <x v="118"/>
    <x v="1"/>
    <x v="15"/>
    <n v="3"/>
    <n v="0"/>
    <n v="0"/>
    <n v="0"/>
    <n v="0"/>
    <n v="0"/>
    <n v="0"/>
    <n v="0"/>
    <n v="0"/>
    <n v="3"/>
    <n v="2025"/>
    <x v="7"/>
    <x v="2"/>
    <x v="2"/>
  </r>
  <r>
    <x v="1"/>
    <x v="118"/>
    <x v="1"/>
    <x v="17"/>
    <n v="286"/>
    <n v="86"/>
    <n v="6"/>
    <n v="1"/>
    <n v="20750"/>
    <n v="2"/>
    <n v="4440"/>
    <n v="1"/>
    <n v="2"/>
    <n v="284"/>
    <n v="2025"/>
    <x v="7"/>
    <x v="2"/>
    <x v="2"/>
  </r>
  <r>
    <x v="1"/>
    <x v="118"/>
    <x v="1"/>
    <x v="18"/>
    <n v="6"/>
    <n v="5"/>
    <n v="1"/>
    <n v="1"/>
    <n v="0"/>
    <n v="0"/>
    <n v="0"/>
    <n v="0"/>
    <n v="1"/>
    <n v="6"/>
    <n v="2025"/>
    <x v="7"/>
    <x v="2"/>
    <x v="2"/>
  </r>
  <r>
    <x v="1"/>
    <x v="118"/>
    <x v="1"/>
    <x v="19"/>
    <n v="1682"/>
    <n v="695"/>
    <n v="40"/>
    <n v="18"/>
    <n v="139120"/>
    <n v="24"/>
    <n v="104080"/>
    <n v="21"/>
    <n v="330"/>
    <n v="1301"/>
    <n v="2025"/>
    <x v="7"/>
    <x v="2"/>
    <x v="2"/>
  </r>
  <r>
    <x v="1"/>
    <x v="118"/>
    <x v="1"/>
    <x v="20"/>
    <n v="22"/>
    <n v="10"/>
    <n v="1"/>
    <n v="1"/>
    <n v="22375"/>
    <n v="4"/>
    <n v="22375"/>
    <n v="4"/>
    <n v="2"/>
    <n v="22"/>
    <n v="2025"/>
    <x v="7"/>
    <x v="2"/>
    <x v="2"/>
  </r>
  <r>
    <x v="1"/>
    <x v="118"/>
    <x v="1"/>
    <x v="24"/>
    <n v="20"/>
    <n v="15"/>
    <n v="4"/>
    <n v="1"/>
    <n v="4930"/>
    <n v="2"/>
    <n v="4930"/>
    <n v="2"/>
    <n v="3"/>
    <n v="20"/>
    <n v="2025"/>
    <x v="7"/>
    <x v="2"/>
    <x v="2"/>
  </r>
  <r>
    <x v="1"/>
    <x v="118"/>
    <x v="1"/>
    <x v="27"/>
    <n v="114"/>
    <n v="35"/>
    <n v="19"/>
    <n v="3"/>
    <n v="50295"/>
    <n v="11"/>
    <n v="36155"/>
    <n v="10"/>
    <n v="43"/>
    <n v="105"/>
    <n v="2025"/>
    <x v="7"/>
    <x v="2"/>
    <x v="2"/>
  </r>
  <r>
    <x v="1"/>
    <x v="118"/>
    <x v="1"/>
    <x v="29"/>
    <n v="2863"/>
    <n v="2413"/>
    <n v="76"/>
    <n v="16"/>
    <n v="122210"/>
    <n v="19"/>
    <n v="44050"/>
    <n v="14"/>
    <n v="336"/>
    <n v="2779"/>
    <n v="2025"/>
    <x v="7"/>
    <x v="2"/>
    <x v="2"/>
  </r>
  <r>
    <x v="1"/>
    <x v="118"/>
    <x v="1"/>
    <x v="30"/>
    <n v="9634"/>
    <n v="4263"/>
    <n v="156"/>
    <n v="42"/>
    <n v="218400"/>
    <n v="29"/>
    <n v="155230"/>
    <n v="25"/>
    <n v="407"/>
    <n v="9540"/>
    <n v="2025"/>
    <x v="7"/>
    <x v="2"/>
    <x v="2"/>
  </r>
  <r>
    <x v="1"/>
    <x v="118"/>
    <x v="1"/>
    <x v="31"/>
    <n v="237"/>
    <n v="147"/>
    <n v="12"/>
    <n v="4"/>
    <n v="2090"/>
    <n v="1"/>
    <n v="2090"/>
    <n v="1"/>
    <n v="30"/>
    <n v="228"/>
    <n v="2025"/>
    <x v="7"/>
    <x v="2"/>
    <x v="2"/>
  </r>
  <r>
    <x v="1"/>
    <x v="118"/>
    <x v="1"/>
    <x v="34"/>
    <n v="49"/>
    <n v="26"/>
    <n v="3"/>
    <n v="1"/>
    <n v="20040"/>
    <n v="2"/>
    <n v="14640"/>
    <n v="2"/>
    <n v="40"/>
    <n v="28"/>
    <n v="2025"/>
    <x v="7"/>
    <x v="2"/>
    <x v="2"/>
  </r>
  <r>
    <x v="1"/>
    <x v="118"/>
    <x v="1"/>
    <x v="38"/>
    <n v="260"/>
    <n v="62"/>
    <n v="20"/>
    <n v="5"/>
    <n v="164690"/>
    <n v="22"/>
    <n v="140615"/>
    <n v="21"/>
    <n v="56"/>
    <n v="254"/>
    <n v="2025"/>
    <x v="7"/>
    <x v="2"/>
    <x v="2"/>
  </r>
  <r>
    <x v="1"/>
    <x v="118"/>
    <x v="1"/>
    <x v="60"/>
    <n v="4"/>
    <n v="4"/>
    <n v="0"/>
    <n v="0"/>
    <n v="0"/>
    <n v="0"/>
    <n v="0"/>
    <n v="0"/>
    <n v="0"/>
    <n v="4"/>
    <n v="2025"/>
    <x v="7"/>
    <x v="2"/>
    <x v="2"/>
  </r>
  <r>
    <x v="1"/>
    <x v="118"/>
    <x v="1"/>
    <x v="39"/>
    <n v="1"/>
    <n v="1"/>
    <n v="0"/>
    <n v="0"/>
    <n v="0"/>
    <n v="0"/>
    <n v="0"/>
    <n v="0"/>
    <n v="0"/>
    <n v="1"/>
    <n v="2025"/>
    <x v="7"/>
    <x v="2"/>
    <x v="2"/>
  </r>
  <r>
    <x v="1"/>
    <x v="118"/>
    <x v="1"/>
    <x v="64"/>
    <n v="594"/>
    <n v="283"/>
    <n v="20"/>
    <n v="3"/>
    <n v="13565"/>
    <n v="3"/>
    <n v="13565"/>
    <n v="3"/>
    <n v="84"/>
    <n v="577"/>
    <n v="2025"/>
    <x v="7"/>
    <x v="2"/>
    <x v="2"/>
  </r>
  <r>
    <x v="1"/>
    <x v="118"/>
    <x v="1"/>
    <x v="42"/>
    <n v="178"/>
    <n v="92"/>
    <n v="10"/>
    <n v="3"/>
    <n v="6480"/>
    <n v="2"/>
    <n v="3490"/>
    <n v="1"/>
    <n v="14"/>
    <n v="177"/>
    <n v="2025"/>
    <x v="7"/>
    <x v="2"/>
    <x v="2"/>
  </r>
  <r>
    <x v="1"/>
    <x v="118"/>
    <x v="1"/>
    <x v="43"/>
    <n v="97"/>
    <n v="36"/>
    <n v="3"/>
    <n v="0"/>
    <n v="21280"/>
    <n v="2"/>
    <n v="12435"/>
    <n v="2"/>
    <n v="75"/>
    <n v="59"/>
    <n v="2025"/>
    <x v="7"/>
    <x v="2"/>
    <x v="2"/>
  </r>
  <r>
    <x v="1"/>
    <x v="118"/>
    <x v="1"/>
    <x v="44"/>
    <n v="52"/>
    <n v="12"/>
    <n v="2"/>
    <n v="1"/>
    <n v="18549.38"/>
    <n v="4"/>
    <n v="14559.38"/>
    <n v="4"/>
    <n v="1"/>
    <n v="52"/>
    <n v="2025"/>
    <x v="7"/>
    <x v="2"/>
    <x v="2"/>
  </r>
  <r>
    <x v="1"/>
    <x v="119"/>
    <x v="0"/>
    <x v="0"/>
    <n v="377"/>
    <n v="92"/>
    <n v="0"/>
    <n v="3"/>
    <n v="9850"/>
    <n v="1"/>
    <n v="9850"/>
    <n v="1"/>
    <n v="3"/>
    <n v="376"/>
    <n v="2025"/>
    <x v="7"/>
    <x v="2"/>
    <x v="2"/>
  </r>
  <r>
    <x v="1"/>
    <x v="119"/>
    <x v="0"/>
    <x v="1"/>
    <n v="33613"/>
    <n v="18414"/>
    <n v="166"/>
    <n v="168"/>
    <n v="107130"/>
    <n v="22"/>
    <n v="56780"/>
    <n v="14"/>
    <n v="1536"/>
    <n v="33217"/>
    <n v="2025"/>
    <x v="7"/>
    <x v="2"/>
    <x v="2"/>
  </r>
  <r>
    <x v="1"/>
    <x v="119"/>
    <x v="0"/>
    <x v="2"/>
    <n v="2"/>
    <n v="0"/>
    <n v="0"/>
    <n v="0"/>
    <n v="0"/>
    <n v="0"/>
    <n v="0"/>
    <n v="0"/>
    <n v="0"/>
    <n v="2"/>
    <n v="2025"/>
    <x v="7"/>
    <x v="2"/>
    <x v="2"/>
  </r>
  <r>
    <x v="1"/>
    <x v="119"/>
    <x v="0"/>
    <x v="3"/>
    <n v="65"/>
    <n v="41"/>
    <n v="0"/>
    <n v="0"/>
    <n v="0"/>
    <n v="0"/>
    <n v="0"/>
    <n v="0"/>
    <n v="0"/>
    <n v="64"/>
    <n v="2025"/>
    <x v="7"/>
    <x v="2"/>
    <x v="2"/>
  </r>
  <r>
    <x v="1"/>
    <x v="119"/>
    <x v="1"/>
    <x v="5"/>
    <n v="70"/>
    <n v="26"/>
    <n v="1"/>
    <n v="1"/>
    <n v="0"/>
    <n v="0"/>
    <n v="0"/>
    <n v="0"/>
    <n v="1"/>
    <n v="70"/>
    <n v="2025"/>
    <x v="7"/>
    <x v="2"/>
    <x v="2"/>
  </r>
  <r>
    <x v="1"/>
    <x v="119"/>
    <x v="1"/>
    <x v="6"/>
    <n v="1"/>
    <n v="1"/>
    <n v="0"/>
    <n v="0"/>
    <n v="0"/>
    <n v="0"/>
    <n v="0"/>
    <n v="0"/>
    <n v="0"/>
    <n v="0"/>
    <n v="2025"/>
    <x v="7"/>
    <x v="2"/>
    <x v="2"/>
  </r>
  <r>
    <x v="1"/>
    <x v="119"/>
    <x v="1"/>
    <x v="7"/>
    <n v="400"/>
    <n v="79"/>
    <n v="32"/>
    <n v="3"/>
    <n v="128469.21"/>
    <n v="29"/>
    <n v="97809.21"/>
    <n v="26"/>
    <n v="96"/>
    <n v="389"/>
    <n v="2025"/>
    <x v="7"/>
    <x v="2"/>
    <x v="2"/>
  </r>
  <r>
    <x v="1"/>
    <x v="119"/>
    <x v="1"/>
    <x v="8"/>
    <n v="38"/>
    <n v="19"/>
    <n v="0"/>
    <n v="0"/>
    <n v="0"/>
    <n v="0"/>
    <n v="0"/>
    <n v="0"/>
    <n v="0"/>
    <n v="38"/>
    <n v="2025"/>
    <x v="7"/>
    <x v="2"/>
    <x v="2"/>
  </r>
  <r>
    <x v="1"/>
    <x v="119"/>
    <x v="1"/>
    <x v="11"/>
    <n v="1"/>
    <n v="1"/>
    <n v="0"/>
    <n v="0"/>
    <n v="0"/>
    <n v="0"/>
    <n v="0"/>
    <n v="0"/>
    <n v="0"/>
    <n v="1"/>
    <n v="2025"/>
    <x v="7"/>
    <x v="2"/>
    <x v="2"/>
  </r>
  <r>
    <x v="1"/>
    <x v="119"/>
    <x v="1"/>
    <x v="61"/>
    <n v="189"/>
    <n v="139"/>
    <n v="4"/>
    <n v="1"/>
    <n v="6990"/>
    <n v="1"/>
    <n v="6990"/>
    <n v="1"/>
    <n v="1"/>
    <n v="189"/>
    <n v="2025"/>
    <x v="7"/>
    <x v="2"/>
    <x v="2"/>
  </r>
  <r>
    <x v="1"/>
    <x v="119"/>
    <x v="1"/>
    <x v="59"/>
    <n v="477"/>
    <n v="194"/>
    <n v="15"/>
    <n v="6"/>
    <n v="32650"/>
    <n v="5"/>
    <n v="24670"/>
    <n v="5"/>
    <n v="96"/>
    <n v="435"/>
    <n v="2025"/>
    <x v="7"/>
    <x v="2"/>
    <x v="2"/>
  </r>
  <r>
    <x v="1"/>
    <x v="119"/>
    <x v="1"/>
    <x v="15"/>
    <n v="2"/>
    <n v="0"/>
    <n v="0"/>
    <n v="0"/>
    <n v="0"/>
    <n v="0"/>
    <n v="0"/>
    <n v="0"/>
    <n v="0"/>
    <n v="2"/>
    <n v="2025"/>
    <x v="7"/>
    <x v="2"/>
    <x v="2"/>
  </r>
  <r>
    <x v="1"/>
    <x v="119"/>
    <x v="1"/>
    <x v="17"/>
    <n v="265"/>
    <n v="97"/>
    <n v="3"/>
    <n v="2"/>
    <n v="0"/>
    <n v="0"/>
    <n v="0"/>
    <n v="0"/>
    <n v="0"/>
    <n v="265"/>
    <n v="2025"/>
    <x v="7"/>
    <x v="2"/>
    <x v="2"/>
  </r>
  <r>
    <x v="1"/>
    <x v="119"/>
    <x v="1"/>
    <x v="18"/>
    <n v="18"/>
    <n v="15"/>
    <n v="3"/>
    <n v="1"/>
    <n v="7295"/>
    <n v="1"/>
    <n v="7295"/>
    <n v="1"/>
    <n v="3"/>
    <n v="18"/>
    <n v="2025"/>
    <x v="7"/>
    <x v="2"/>
    <x v="2"/>
  </r>
  <r>
    <x v="1"/>
    <x v="119"/>
    <x v="1"/>
    <x v="19"/>
    <n v="2320"/>
    <n v="1165"/>
    <n v="55"/>
    <n v="13"/>
    <n v="78774"/>
    <n v="17"/>
    <n v="76274"/>
    <n v="16"/>
    <n v="293"/>
    <n v="2235"/>
    <n v="2025"/>
    <x v="7"/>
    <x v="2"/>
    <x v="2"/>
  </r>
  <r>
    <x v="1"/>
    <x v="119"/>
    <x v="1"/>
    <x v="20"/>
    <n v="30"/>
    <n v="12"/>
    <n v="0"/>
    <n v="0"/>
    <n v="4495"/>
    <n v="1"/>
    <n v="4495"/>
    <n v="1"/>
    <n v="4"/>
    <n v="30"/>
    <n v="2025"/>
    <x v="7"/>
    <x v="2"/>
    <x v="2"/>
  </r>
  <r>
    <x v="1"/>
    <x v="119"/>
    <x v="1"/>
    <x v="24"/>
    <n v="17"/>
    <n v="13"/>
    <n v="2"/>
    <n v="0"/>
    <n v="10930"/>
    <n v="2"/>
    <n v="3940"/>
    <n v="1"/>
    <n v="2"/>
    <n v="17"/>
    <n v="2025"/>
    <x v="7"/>
    <x v="2"/>
    <x v="2"/>
  </r>
  <r>
    <x v="1"/>
    <x v="119"/>
    <x v="1"/>
    <x v="27"/>
    <n v="113"/>
    <n v="39"/>
    <n v="4"/>
    <n v="1"/>
    <n v="8570"/>
    <n v="3"/>
    <n v="4080"/>
    <n v="2"/>
    <n v="44"/>
    <n v="95"/>
    <n v="2025"/>
    <x v="7"/>
    <x v="2"/>
    <x v="2"/>
  </r>
  <r>
    <x v="1"/>
    <x v="119"/>
    <x v="1"/>
    <x v="29"/>
    <n v="2492"/>
    <n v="2037"/>
    <n v="67"/>
    <n v="14"/>
    <n v="45065"/>
    <n v="11"/>
    <n v="37085"/>
    <n v="11"/>
    <n v="367"/>
    <n v="2407"/>
    <n v="2025"/>
    <x v="7"/>
    <x v="2"/>
    <x v="2"/>
  </r>
  <r>
    <x v="1"/>
    <x v="119"/>
    <x v="1"/>
    <x v="30"/>
    <n v="22420"/>
    <n v="13509"/>
    <n v="123"/>
    <n v="45"/>
    <n v="48735"/>
    <n v="10"/>
    <n v="39505"/>
    <n v="8"/>
    <n v="439"/>
    <n v="22389"/>
    <n v="2025"/>
    <x v="7"/>
    <x v="2"/>
    <x v="2"/>
  </r>
  <r>
    <x v="1"/>
    <x v="119"/>
    <x v="1"/>
    <x v="31"/>
    <n v="179"/>
    <n v="110"/>
    <n v="8"/>
    <n v="3"/>
    <n v="7490"/>
    <n v="2"/>
    <n v="3150"/>
    <n v="1"/>
    <n v="24"/>
    <n v="174"/>
    <n v="2025"/>
    <x v="7"/>
    <x v="2"/>
    <x v="2"/>
  </r>
  <r>
    <x v="1"/>
    <x v="119"/>
    <x v="1"/>
    <x v="32"/>
    <n v="1"/>
    <n v="0"/>
    <n v="0"/>
    <n v="0"/>
    <n v="0"/>
    <n v="0"/>
    <n v="0"/>
    <n v="0"/>
    <n v="0"/>
    <n v="1"/>
    <n v="2025"/>
    <x v="7"/>
    <x v="2"/>
    <x v="2"/>
  </r>
  <r>
    <x v="1"/>
    <x v="119"/>
    <x v="1"/>
    <x v="34"/>
    <n v="56"/>
    <n v="22"/>
    <n v="0"/>
    <n v="0"/>
    <n v="0"/>
    <n v="0"/>
    <n v="0"/>
    <n v="0"/>
    <n v="43"/>
    <n v="31"/>
    <n v="2025"/>
    <x v="7"/>
    <x v="2"/>
    <x v="2"/>
  </r>
  <r>
    <x v="1"/>
    <x v="119"/>
    <x v="1"/>
    <x v="36"/>
    <n v="2"/>
    <n v="2"/>
    <n v="0"/>
    <n v="0"/>
    <n v="0"/>
    <n v="0"/>
    <n v="0"/>
    <n v="0"/>
    <n v="0"/>
    <n v="2"/>
    <n v="2025"/>
    <x v="7"/>
    <x v="2"/>
    <x v="2"/>
  </r>
  <r>
    <x v="1"/>
    <x v="119"/>
    <x v="1"/>
    <x v="38"/>
    <n v="272"/>
    <n v="72"/>
    <n v="18"/>
    <n v="6"/>
    <n v="74720"/>
    <n v="13"/>
    <n v="53760"/>
    <n v="11"/>
    <n v="49"/>
    <n v="265"/>
    <n v="2025"/>
    <x v="7"/>
    <x v="2"/>
    <x v="2"/>
  </r>
  <r>
    <x v="1"/>
    <x v="119"/>
    <x v="1"/>
    <x v="60"/>
    <n v="6"/>
    <n v="5"/>
    <n v="0"/>
    <n v="0"/>
    <n v="0"/>
    <n v="0"/>
    <n v="0"/>
    <n v="0"/>
    <n v="0"/>
    <n v="6"/>
    <n v="2025"/>
    <x v="7"/>
    <x v="2"/>
    <x v="2"/>
  </r>
  <r>
    <x v="1"/>
    <x v="119"/>
    <x v="1"/>
    <x v="39"/>
    <n v="1"/>
    <n v="1"/>
    <n v="0"/>
    <n v="0"/>
    <n v="0"/>
    <n v="0"/>
    <n v="0"/>
    <n v="0"/>
    <n v="0"/>
    <n v="1"/>
    <n v="2025"/>
    <x v="7"/>
    <x v="2"/>
    <x v="2"/>
  </r>
  <r>
    <x v="1"/>
    <x v="119"/>
    <x v="1"/>
    <x v="64"/>
    <n v="588"/>
    <n v="299"/>
    <n v="19"/>
    <n v="5"/>
    <n v="33370"/>
    <n v="5"/>
    <n v="18420"/>
    <n v="4"/>
    <n v="87"/>
    <n v="579"/>
    <n v="2025"/>
    <x v="7"/>
    <x v="2"/>
    <x v="2"/>
  </r>
  <r>
    <x v="1"/>
    <x v="119"/>
    <x v="1"/>
    <x v="42"/>
    <n v="146"/>
    <n v="61"/>
    <n v="5"/>
    <n v="1"/>
    <n v="0"/>
    <n v="0"/>
    <n v="0"/>
    <n v="0"/>
    <n v="8"/>
    <n v="144"/>
    <n v="2025"/>
    <x v="7"/>
    <x v="2"/>
    <x v="2"/>
  </r>
  <r>
    <x v="1"/>
    <x v="119"/>
    <x v="1"/>
    <x v="43"/>
    <n v="121"/>
    <n v="48"/>
    <n v="3"/>
    <n v="2"/>
    <n v="6990"/>
    <n v="1"/>
    <n v="6990"/>
    <n v="1"/>
    <n v="98"/>
    <n v="71"/>
    <n v="2025"/>
    <x v="7"/>
    <x v="2"/>
    <x v="2"/>
  </r>
  <r>
    <x v="1"/>
    <x v="119"/>
    <x v="1"/>
    <x v="44"/>
    <n v="47"/>
    <n v="9"/>
    <n v="1"/>
    <n v="0"/>
    <n v="5930"/>
    <n v="2"/>
    <n v="5930"/>
    <n v="2"/>
    <n v="0"/>
    <n v="47"/>
    <n v="2025"/>
    <x v="7"/>
    <x v="2"/>
    <x v="2"/>
  </r>
  <r>
    <x v="1"/>
    <x v="120"/>
    <x v="0"/>
    <x v="0"/>
    <n v="353"/>
    <n v="109"/>
    <n v="7"/>
    <n v="1"/>
    <n v="3750"/>
    <n v="1"/>
    <n v="3750"/>
    <n v="1"/>
    <n v="6"/>
    <n v="353"/>
    <n v="2025"/>
    <x v="7"/>
    <x v="2"/>
    <x v="2"/>
  </r>
  <r>
    <x v="1"/>
    <x v="120"/>
    <x v="0"/>
    <x v="1"/>
    <n v="31310"/>
    <n v="17188"/>
    <n v="169"/>
    <n v="154"/>
    <n v="109850"/>
    <n v="17"/>
    <n v="69170"/>
    <n v="14"/>
    <n v="1578"/>
    <n v="30866"/>
    <n v="2025"/>
    <x v="7"/>
    <x v="2"/>
    <x v="2"/>
  </r>
  <r>
    <x v="1"/>
    <x v="120"/>
    <x v="0"/>
    <x v="3"/>
    <n v="1677"/>
    <n v="892"/>
    <n v="21"/>
    <n v="1"/>
    <n v="0"/>
    <n v="0"/>
    <n v="0"/>
    <n v="0"/>
    <n v="47"/>
    <n v="583"/>
    <n v="2025"/>
    <x v="7"/>
    <x v="2"/>
    <x v="2"/>
  </r>
  <r>
    <x v="1"/>
    <x v="120"/>
    <x v="1"/>
    <x v="46"/>
    <n v="1"/>
    <n v="0"/>
    <n v="0"/>
    <n v="0"/>
    <n v="0"/>
    <n v="0"/>
    <n v="0"/>
    <n v="0"/>
    <n v="0"/>
    <n v="0"/>
    <n v="2025"/>
    <x v="7"/>
    <x v="2"/>
    <x v="2"/>
  </r>
  <r>
    <x v="1"/>
    <x v="120"/>
    <x v="1"/>
    <x v="5"/>
    <n v="76"/>
    <n v="31"/>
    <n v="0"/>
    <n v="0"/>
    <n v="0"/>
    <n v="0"/>
    <n v="0"/>
    <n v="0"/>
    <n v="1"/>
    <n v="76"/>
    <n v="2025"/>
    <x v="7"/>
    <x v="2"/>
    <x v="2"/>
  </r>
  <r>
    <x v="1"/>
    <x v="120"/>
    <x v="1"/>
    <x v="6"/>
    <n v="152"/>
    <n v="121"/>
    <n v="0"/>
    <n v="0"/>
    <n v="0"/>
    <n v="0"/>
    <n v="0"/>
    <n v="0"/>
    <n v="0"/>
    <n v="0"/>
    <n v="2025"/>
    <x v="7"/>
    <x v="2"/>
    <x v="2"/>
  </r>
  <r>
    <x v="1"/>
    <x v="120"/>
    <x v="1"/>
    <x v="7"/>
    <n v="426"/>
    <n v="104"/>
    <n v="37"/>
    <n v="0"/>
    <n v="130105"/>
    <n v="23"/>
    <n v="111365"/>
    <n v="22"/>
    <n v="121"/>
    <n v="407"/>
    <n v="2025"/>
    <x v="7"/>
    <x v="2"/>
    <x v="2"/>
  </r>
  <r>
    <x v="1"/>
    <x v="120"/>
    <x v="1"/>
    <x v="8"/>
    <n v="11"/>
    <n v="4"/>
    <n v="0"/>
    <n v="1"/>
    <n v="0"/>
    <n v="0"/>
    <n v="0"/>
    <n v="0"/>
    <n v="1"/>
    <n v="9"/>
    <n v="2025"/>
    <x v="7"/>
    <x v="2"/>
    <x v="2"/>
  </r>
  <r>
    <x v="1"/>
    <x v="120"/>
    <x v="1"/>
    <x v="69"/>
    <n v="2"/>
    <n v="0"/>
    <n v="0"/>
    <n v="0"/>
    <n v="0"/>
    <n v="0"/>
    <n v="0"/>
    <n v="0"/>
    <n v="0"/>
    <n v="0"/>
    <n v="2025"/>
    <x v="7"/>
    <x v="2"/>
    <x v="2"/>
  </r>
  <r>
    <x v="1"/>
    <x v="120"/>
    <x v="1"/>
    <x v="10"/>
    <n v="6"/>
    <n v="2"/>
    <n v="0"/>
    <n v="0"/>
    <n v="0"/>
    <n v="0"/>
    <n v="0"/>
    <n v="0"/>
    <n v="0"/>
    <n v="1"/>
    <n v="2025"/>
    <x v="7"/>
    <x v="2"/>
    <x v="2"/>
  </r>
  <r>
    <x v="1"/>
    <x v="120"/>
    <x v="1"/>
    <x v="61"/>
    <n v="179"/>
    <n v="119"/>
    <n v="5"/>
    <n v="0"/>
    <n v="14470"/>
    <n v="3"/>
    <n v="14470"/>
    <n v="3"/>
    <n v="0"/>
    <n v="179"/>
    <n v="2025"/>
    <x v="7"/>
    <x v="2"/>
    <x v="2"/>
  </r>
  <r>
    <x v="1"/>
    <x v="120"/>
    <x v="1"/>
    <x v="48"/>
    <n v="2"/>
    <n v="0"/>
    <n v="0"/>
    <n v="0"/>
    <n v="0"/>
    <n v="0"/>
    <n v="0"/>
    <n v="0"/>
    <n v="0"/>
    <n v="2"/>
    <n v="2025"/>
    <x v="7"/>
    <x v="2"/>
    <x v="2"/>
  </r>
  <r>
    <x v="1"/>
    <x v="120"/>
    <x v="1"/>
    <x v="59"/>
    <n v="8066"/>
    <n v="7061"/>
    <n v="15"/>
    <n v="3"/>
    <n v="41545"/>
    <n v="6"/>
    <n v="28755"/>
    <n v="6"/>
    <n v="98"/>
    <n v="373"/>
    <n v="2025"/>
    <x v="7"/>
    <x v="2"/>
    <x v="2"/>
  </r>
  <r>
    <x v="1"/>
    <x v="120"/>
    <x v="1"/>
    <x v="15"/>
    <n v="1"/>
    <n v="0"/>
    <n v="0"/>
    <n v="0"/>
    <n v="0"/>
    <n v="0"/>
    <n v="0"/>
    <n v="0"/>
    <n v="0"/>
    <n v="1"/>
    <n v="2025"/>
    <x v="7"/>
    <x v="2"/>
    <x v="2"/>
  </r>
  <r>
    <x v="1"/>
    <x v="120"/>
    <x v="1"/>
    <x v="17"/>
    <n v="241"/>
    <n v="82"/>
    <n v="5"/>
    <n v="0"/>
    <n v="0"/>
    <n v="0"/>
    <n v="0"/>
    <n v="0"/>
    <n v="0"/>
    <n v="241"/>
    <n v="2025"/>
    <x v="7"/>
    <x v="2"/>
    <x v="2"/>
  </r>
  <r>
    <x v="1"/>
    <x v="120"/>
    <x v="1"/>
    <x v="18"/>
    <n v="9"/>
    <n v="9"/>
    <n v="1"/>
    <n v="0"/>
    <n v="0"/>
    <n v="0"/>
    <n v="0"/>
    <n v="0"/>
    <n v="1"/>
    <n v="9"/>
    <n v="2025"/>
    <x v="7"/>
    <x v="2"/>
    <x v="2"/>
  </r>
  <r>
    <x v="1"/>
    <x v="120"/>
    <x v="1"/>
    <x v="19"/>
    <n v="2078"/>
    <n v="970"/>
    <n v="41"/>
    <n v="16"/>
    <n v="229120"/>
    <n v="19"/>
    <n v="47830"/>
    <n v="9"/>
    <n v="313"/>
    <n v="1569"/>
    <n v="2025"/>
    <x v="7"/>
    <x v="2"/>
    <x v="2"/>
  </r>
  <r>
    <x v="1"/>
    <x v="120"/>
    <x v="1"/>
    <x v="20"/>
    <n v="30"/>
    <n v="12"/>
    <n v="1"/>
    <n v="0"/>
    <n v="0"/>
    <n v="0"/>
    <n v="0"/>
    <n v="0"/>
    <n v="3"/>
    <n v="30"/>
    <n v="2025"/>
    <x v="7"/>
    <x v="2"/>
    <x v="2"/>
  </r>
  <r>
    <x v="1"/>
    <x v="120"/>
    <x v="1"/>
    <x v="24"/>
    <n v="37"/>
    <n v="30"/>
    <n v="5"/>
    <n v="0"/>
    <n v="19600"/>
    <n v="1"/>
    <n v="9800"/>
    <n v="1"/>
    <n v="7"/>
    <n v="33"/>
    <n v="2025"/>
    <x v="7"/>
    <x v="2"/>
    <x v="2"/>
  </r>
  <r>
    <x v="1"/>
    <x v="120"/>
    <x v="1"/>
    <x v="27"/>
    <n v="129"/>
    <n v="44"/>
    <n v="12"/>
    <n v="1"/>
    <n v="2980"/>
    <n v="1"/>
    <n v="2980"/>
    <n v="1"/>
    <n v="56"/>
    <n v="108"/>
    <n v="2025"/>
    <x v="7"/>
    <x v="2"/>
    <x v="2"/>
  </r>
  <r>
    <x v="1"/>
    <x v="120"/>
    <x v="1"/>
    <x v="29"/>
    <n v="2605"/>
    <n v="2153"/>
    <n v="73"/>
    <n v="17"/>
    <n v="63635"/>
    <n v="10"/>
    <n v="31180"/>
    <n v="8"/>
    <n v="344"/>
    <n v="2507"/>
    <n v="2025"/>
    <x v="7"/>
    <x v="2"/>
    <x v="2"/>
  </r>
  <r>
    <x v="1"/>
    <x v="120"/>
    <x v="1"/>
    <x v="30"/>
    <n v="11549"/>
    <n v="5493"/>
    <n v="147"/>
    <n v="45"/>
    <n v="68825"/>
    <n v="12"/>
    <n v="59025"/>
    <n v="12"/>
    <n v="430"/>
    <n v="11440"/>
    <n v="2025"/>
    <x v="7"/>
    <x v="2"/>
    <x v="2"/>
  </r>
  <r>
    <x v="1"/>
    <x v="120"/>
    <x v="1"/>
    <x v="31"/>
    <n v="196"/>
    <n v="121"/>
    <n v="7"/>
    <n v="3"/>
    <n v="27580"/>
    <n v="3"/>
    <n v="17780"/>
    <n v="3"/>
    <n v="22"/>
    <n v="194"/>
    <n v="2025"/>
    <x v="7"/>
    <x v="2"/>
    <x v="2"/>
  </r>
  <r>
    <x v="1"/>
    <x v="120"/>
    <x v="1"/>
    <x v="32"/>
    <n v="1"/>
    <n v="1"/>
    <n v="0"/>
    <n v="0"/>
    <n v="0"/>
    <n v="0"/>
    <n v="0"/>
    <n v="0"/>
    <n v="0"/>
    <n v="1"/>
    <n v="2025"/>
    <x v="7"/>
    <x v="2"/>
    <x v="2"/>
  </r>
  <r>
    <x v="1"/>
    <x v="120"/>
    <x v="1"/>
    <x v="34"/>
    <n v="49"/>
    <n v="20"/>
    <n v="0"/>
    <n v="0"/>
    <n v="0"/>
    <n v="0"/>
    <n v="0"/>
    <n v="0"/>
    <n v="40"/>
    <n v="25"/>
    <n v="2025"/>
    <x v="7"/>
    <x v="2"/>
    <x v="2"/>
  </r>
  <r>
    <x v="1"/>
    <x v="120"/>
    <x v="1"/>
    <x v="36"/>
    <n v="2"/>
    <n v="2"/>
    <n v="0"/>
    <n v="0"/>
    <n v="0"/>
    <n v="0"/>
    <n v="0"/>
    <n v="0"/>
    <n v="1"/>
    <n v="1"/>
    <n v="2025"/>
    <x v="7"/>
    <x v="2"/>
    <x v="2"/>
  </r>
  <r>
    <x v="1"/>
    <x v="120"/>
    <x v="1"/>
    <x v="38"/>
    <n v="298"/>
    <n v="84"/>
    <n v="14"/>
    <n v="5"/>
    <n v="152995"/>
    <n v="21"/>
    <n v="61515"/>
    <n v="12"/>
    <n v="62"/>
    <n v="295"/>
    <n v="2025"/>
    <x v="7"/>
    <x v="2"/>
    <x v="2"/>
  </r>
  <r>
    <x v="1"/>
    <x v="120"/>
    <x v="1"/>
    <x v="60"/>
    <n v="3"/>
    <n v="3"/>
    <n v="0"/>
    <n v="0"/>
    <n v="0"/>
    <n v="0"/>
    <n v="0"/>
    <n v="0"/>
    <n v="0"/>
    <n v="3"/>
    <n v="2025"/>
    <x v="7"/>
    <x v="2"/>
    <x v="2"/>
  </r>
  <r>
    <x v="1"/>
    <x v="120"/>
    <x v="1"/>
    <x v="39"/>
    <n v="3"/>
    <n v="2"/>
    <n v="0"/>
    <n v="0"/>
    <n v="0"/>
    <n v="0"/>
    <n v="0"/>
    <n v="0"/>
    <n v="0"/>
    <n v="3"/>
    <n v="2025"/>
    <x v="7"/>
    <x v="2"/>
    <x v="2"/>
  </r>
  <r>
    <x v="1"/>
    <x v="120"/>
    <x v="1"/>
    <x v="64"/>
    <n v="656"/>
    <n v="355"/>
    <n v="20"/>
    <n v="4"/>
    <n v="12545"/>
    <n v="4"/>
    <n v="12545"/>
    <n v="4"/>
    <n v="103"/>
    <n v="646"/>
    <n v="2025"/>
    <x v="7"/>
    <x v="2"/>
    <x v="2"/>
  </r>
  <r>
    <x v="1"/>
    <x v="120"/>
    <x v="1"/>
    <x v="42"/>
    <n v="200"/>
    <n v="101"/>
    <n v="5"/>
    <n v="5"/>
    <n v="0"/>
    <n v="0"/>
    <n v="0"/>
    <n v="0"/>
    <n v="19"/>
    <n v="187"/>
    <n v="2025"/>
    <x v="7"/>
    <x v="2"/>
    <x v="2"/>
  </r>
  <r>
    <x v="1"/>
    <x v="120"/>
    <x v="1"/>
    <x v="43"/>
    <n v="129"/>
    <n v="54"/>
    <n v="4"/>
    <n v="1"/>
    <n v="0"/>
    <n v="0"/>
    <n v="0"/>
    <n v="0"/>
    <n v="106"/>
    <n v="79"/>
    <n v="2025"/>
    <x v="7"/>
    <x v="2"/>
    <x v="2"/>
  </r>
  <r>
    <x v="1"/>
    <x v="120"/>
    <x v="1"/>
    <x v="44"/>
    <n v="52"/>
    <n v="12"/>
    <n v="0"/>
    <n v="1"/>
    <n v="3980"/>
    <n v="1"/>
    <n v="3980"/>
    <n v="1"/>
    <n v="2"/>
    <n v="52"/>
    <n v="2025"/>
    <x v="7"/>
    <x v="2"/>
    <x v="2"/>
  </r>
  <r>
    <x v="1"/>
    <x v="120"/>
    <x v="1"/>
    <x v="45"/>
    <n v="3"/>
    <n v="2"/>
    <n v="0"/>
    <n v="0"/>
    <n v="0"/>
    <n v="0"/>
    <n v="0"/>
    <n v="0"/>
    <n v="0"/>
    <n v="3"/>
    <n v="2025"/>
    <x v="7"/>
    <x v="2"/>
    <x v="2"/>
  </r>
  <r>
    <x v="1"/>
    <x v="121"/>
    <x v="0"/>
    <x v="0"/>
    <n v="364"/>
    <n v="104"/>
    <n v="5"/>
    <n v="1"/>
    <n v="16470"/>
    <n v="4"/>
    <n v="16470"/>
    <n v="4"/>
    <n v="9"/>
    <n v="358"/>
    <n v="2025"/>
    <x v="7"/>
    <x v="2"/>
    <x v="2"/>
  </r>
  <r>
    <x v="1"/>
    <x v="121"/>
    <x v="0"/>
    <x v="1"/>
    <n v="33346"/>
    <n v="20137"/>
    <n v="160"/>
    <n v="162"/>
    <n v="207110"/>
    <n v="26"/>
    <n v="114250"/>
    <n v="20"/>
    <n v="1595"/>
    <n v="32890"/>
    <n v="2025"/>
    <x v="7"/>
    <x v="2"/>
    <x v="2"/>
  </r>
  <r>
    <x v="1"/>
    <x v="121"/>
    <x v="0"/>
    <x v="2"/>
    <n v="1"/>
    <n v="0"/>
    <n v="0"/>
    <n v="0"/>
    <n v="0"/>
    <n v="0"/>
    <n v="0"/>
    <n v="0"/>
    <n v="0"/>
    <n v="1"/>
    <n v="2025"/>
    <x v="7"/>
    <x v="2"/>
    <x v="2"/>
  </r>
  <r>
    <x v="1"/>
    <x v="121"/>
    <x v="0"/>
    <x v="3"/>
    <n v="1766"/>
    <n v="1143"/>
    <n v="22"/>
    <n v="6"/>
    <n v="0"/>
    <n v="0"/>
    <n v="0"/>
    <n v="0"/>
    <n v="53"/>
    <n v="1114"/>
    <n v="2025"/>
    <x v="7"/>
    <x v="2"/>
    <x v="2"/>
  </r>
  <r>
    <x v="1"/>
    <x v="121"/>
    <x v="1"/>
    <x v="5"/>
    <n v="58"/>
    <n v="26"/>
    <n v="0"/>
    <n v="0"/>
    <n v="0"/>
    <n v="0"/>
    <n v="0"/>
    <n v="0"/>
    <n v="0"/>
    <n v="58"/>
    <n v="2025"/>
    <x v="7"/>
    <x v="2"/>
    <x v="2"/>
  </r>
  <r>
    <x v="1"/>
    <x v="121"/>
    <x v="1"/>
    <x v="6"/>
    <n v="163"/>
    <n v="112"/>
    <n v="0"/>
    <n v="0"/>
    <n v="0"/>
    <n v="0"/>
    <n v="0"/>
    <n v="0"/>
    <n v="0"/>
    <n v="0"/>
    <n v="2025"/>
    <x v="7"/>
    <x v="2"/>
    <x v="2"/>
  </r>
  <r>
    <x v="1"/>
    <x v="121"/>
    <x v="1"/>
    <x v="7"/>
    <n v="389"/>
    <n v="60"/>
    <n v="41"/>
    <n v="2"/>
    <n v="245969.78"/>
    <n v="40"/>
    <n v="230294.78"/>
    <n v="38"/>
    <n v="95"/>
    <n v="381"/>
    <n v="2025"/>
    <x v="7"/>
    <x v="2"/>
    <x v="2"/>
  </r>
  <r>
    <x v="1"/>
    <x v="121"/>
    <x v="1"/>
    <x v="8"/>
    <n v="16"/>
    <n v="8"/>
    <n v="0"/>
    <n v="0"/>
    <n v="0"/>
    <n v="0"/>
    <n v="0"/>
    <n v="0"/>
    <n v="0"/>
    <n v="15"/>
    <n v="2025"/>
    <x v="7"/>
    <x v="2"/>
    <x v="2"/>
  </r>
  <r>
    <x v="1"/>
    <x v="121"/>
    <x v="1"/>
    <x v="10"/>
    <n v="8"/>
    <n v="2"/>
    <n v="0"/>
    <n v="0"/>
    <n v="0"/>
    <n v="0"/>
    <n v="0"/>
    <n v="0"/>
    <n v="0"/>
    <n v="3"/>
    <n v="2025"/>
    <x v="7"/>
    <x v="2"/>
    <x v="2"/>
  </r>
  <r>
    <x v="1"/>
    <x v="121"/>
    <x v="1"/>
    <x v="11"/>
    <n v="1"/>
    <n v="1"/>
    <n v="0"/>
    <n v="0"/>
    <n v="0"/>
    <n v="0"/>
    <n v="0"/>
    <n v="0"/>
    <n v="1"/>
    <n v="0"/>
    <n v="2025"/>
    <x v="7"/>
    <x v="2"/>
    <x v="2"/>
  </r>
  <r>
    <x v="1"/>
    <x v="121"/>
    <x v="1"/>
    <x v="61"/>
    <n v="235"/>
    <n v="157"/>
    <n v="4"/>
    <n v="2"/>
    <n v="11925"/>
    <n v="3"/>
    <n v="8930"/>
    <n v="2"/>
    <n v="0"/>
    <n v="235"/>
    <n v="2025"/>
    <x v="7"/>
    <x v="2"/>
    <x v="2"/>
  </r>
  <r>
    <x v="1"/>
    <x v="121"/>
    <x v="1"/>
    <x v="59"/>
    <n v="5727"/>
    <n v="5051"/>
    <n v="25"/>
    <n v="5"/>
    <n v="115352.12"/>
    <n v="15"/>
    <n v="89162.12"/>
    <n v="12"/>
    <n v="95"/>
    <n v="466"/>
    <n v="2025"/>
    <x v="7"/>
    <x v="2"/>
    <x v="2"/>
  </r>
  <r>
    <x v="1"/>
    <x v="121"/>
    <x v="1"/>
    <x v="15"/>
    <n v="2"/>
    <n v="0"/>
    <n v="0"/>
    <n v="0"/>
    <n v="0"/>
    <n v="0"/>
    <n v="0"/>
    <n v="0"/>
    <n v="1"/>
    <n v="2"/>
    <n v="2025"/>
    <x v="7"/>
    <x v="2"/>
    <x v="2"/>
  </r>
  <r>
    <x v="1"/>
    <x v="121"/>
    <x v="1"/>
    <x v="17"/>
    <n v="271"/>
    <n v="88"/>
    <n v="8"/>
    <n v="0"/>
    <n v="0"/>
    <n v="0"/>
    <n v="0"/>
    <n v="0"/>
    <n v="1"/>
    <n v="270"/>
    <n v="2025"/>
    <x v="7"/>
    <x v="2"/>
    <x v="2"/>
  </r>
  <r>
    <x v="1"/>
    <x v="121"/>
    <x v="1"/>
    <x v="18"/>
    <n v="6"/>
    <n v="4"/>
    <n v="0"/>
    <n v="0"/>
    <n v="0"/>
    <n v="0"/>
    <n v="0"/>
    <n v="0"/>
    <n v="3"/>
    <n v="6"/>
    <n v="2025"/>
    <x v="7"/>
    <x v="2"/>
    <x v="2"/>
  </r>
  <r>
    <x v="1"/>
    <x v="121"/>
    <x v="1"/>
    <x v="19"/>
    <n v="1933"/>
    <n v="941"/>
    <n v="60"/>
    <n v="13"/>
    <n v="131473.76"/>
    <n v="18"/>
    <n v="121333.75999999999"/>
    <n v="17"/>
    <n v="271"/>
    <n v="1642"/>
    <n v="2025"/>
    <x v="7"/>
    <x v="2"/>
    <x v="2"/>
  </r>
  <r>
    <x v="1"/>
    <x v="121"/>
    <x v="1"/>
    <x v="20"/>
    <n v="24"/>
    <n v="11"/>
    <n v="2"/>
    <n v="0"/>
    <n v="4545"/>
    <n v="1"/>
    <n v="4545"/>
    <n v="1"/>
    <n v="3"/>
    <n v="24"/>
    <n v="2025"/>
    <x v="7"/>
    <x v="2"/>
    <x v="2"/>
  </r>
  <r>
    <x v="1"/>
    <x v="121"/>
    <x v="1"/>
    <x v="24"/>
    <n v="22"/>
    <n v="14"/>
    <n v="0"/>
    <n v="1"/>
    <n v="2990"/>
    <n v="1"/>
    <n v="2990"/>
    <n v="1"/>
    <n v="3"/>
    <n v="22"/>
    <n v="2025"/>
    <x v="7"/>
    <x v="2"/>
    <x v="2"/>
  </r>
  <r>
    <x v="1"/>
    <x v="121"/>
    <x v="1"/>
    <x v="27"/>
    <n v="150"/>
    <n v="44"/>
    <n v="9"/>
    <n v="2"/>
    <n v="51752.36"/>
    <n v="6"/>
    <n v="44762.36"/>
    <n v="5"/>
    <n v="55"/>
    <n v="129"/>
    <n v="2025"/>
    <x v="7"/>
    <x v="2"/>
    <x v="2"/>
  </r>
  <r>
    <x v="1"/>
    <x v="121"/>
    <x v="1"/>
    <x v="29"/>
    <n v="2086"/>
    <n v="1621"/>
    <n v="51"/>
    <n v="24"/>
    <n v="91875"/>
    <n v="14"/>
    <n v="81975"/>
    <n v="13"/>
    <n v="324"/>
    <n v="1996"/>
    <n v="2025"/>
    <x v="7"/>
    <x v="2"/>
    <x v="2"/>
  </r>
  <r>
    <x v="1"/>
    <x v="121"/>
    <x v="1"/>
    <x v="30"/>
    <n v="13166"/>
    <n v="7267"/>
    <n v="167"/>
    <n v="40"/>
    <n v="176585"/>
    <n v="27"/>
    <n v="133965"/>
    <n v="22"/>
    <n v="423"/>
    <n v="13099"/>
    <n v="2025"/>
    <x v="7"/>
    <x v="2"/>
    <x v="2"/>
  </r>
  <r>
    <x v="1"/>
    <x v="121"/>
    <x v="1"/>
    <x v="31"/>
    <n v="197"/>
    <n v="112"/>
    <n v="7"/>
    <n v="2"/>
    <n v="5050"/>
    <n v="1"/>
    <n v="5050"/>
    <n v="1"/>
    <n v="21"/>
    <n v="194"/>
    <n v="2025"/>
    <x v="7"/>
    <x v="2"/>
    <x v="2"/>
  </r>
  <r>
    <x v="1"/>
    <x v="121"/>
    <x v="1"/>
    <x v="34"/>
    <n v="37"/>
    <n v="17"/>
    <n v="1"/>
    <n v="0"/>
    <n v="4290"/>
    <n v="1"/>
    <n v="4290"/>
    <n v="1"/>
    <n v="33"/>
    <n v="24"/>
    <n v="2025"/>
    <x v="7"/>
    <x v="2"/>
    <x v="2"/>
  </r>
  <r>
    <x v="1"/>
    <x v="121"/>
    <x v="1"/>
    <x v="36"/>
    <n v="1"/>
    <n v="1"/>
    <n v="0"/>
    <n v="0"/>
    <n v="0"/>
    <n v="0"/>
    <n v="0"/>
    <n v="0"/>
    <n v="0"/>
    <n v="1"/>
    <n v="2025"/>
    <x v="7"/>
    <x v="2"/>
    <x v="2"/>
  </r>
  <r>
    <x v="1"/>
    <x v="121"/>
    <x v="1"/>
    <x v="38"/>
    <n v="283"/>
    <n v="70"/>
    <n v="17"/>
    <n v="4"/>
    <n v="114447.85"/>
    <n v="11"/>
    <n v="99557.85"/>
    <n v="10"/>
    <n v="62"/>
    <n v="272"/>
    <n v="2025"/>
    <x v="7"/>
    <x v="2"/>
    <x v="2"/>
  </r>
  <r>
    <x v="1"/>
    <x v="121"/>
    <x v="1"/>
    <x v="60"/>
    <n v="3"/>
    <n v="3"/>
    <n v="0"/>
    <n v="0"/>
    <n v="0"/>
    <n v="0"/>
    <n v="0"/>
    <n v="0"/>
    <n v="0"/>
    <n v="3"/>
    <n v="2025"/>
    <x v="7"/>
    <x v="2"/>
    <x v="2"/>
  </r>
  <r>
    <x v="1"/>
    <x v="121"/>
    <x v="1"/>
    <x v="39"/>
    <n v="2"/>
    <n v="1"/>
    <n v="0"/>
    <n v="0"/>
    <n v="0"/>
    <n v="0"/>
    <n v="0"/>
    <n v="0"/>
    <n v="0"/>
    <n v="2"/>
    <n v="2025"/>
    <x v="7"/>
    <x v="2"/>
    <x v="2"/>
  </r>
  <r>
    <x v="1"/>
    <x v="121"/>
    <x v="1"/>
    <x v="64"/>
    <n v="681"/>
    <n v="352"/>
    <n v="25"/>
    <n v="4"/>
    <n v="54005"/>
    <n v="8"/>
    <n v="26315"/>
    <n v="5"/>
    <n v="119"/>
    <n v="665"/>
    <n v="2025"/>
    <x v="7"/>
    <x v="2"/>
    <x v="2"/>
  </r>
  <r>
    <x v="1"/>
    <x v="121"/>
    <x v="1"/>
    <x v="42"/>
    <n v="134"/>
    <n v="63"/>
    <n v="3"/>
    <n v="1"/>
    <n v="0"/>
    <n v="0"/>
    <n v="0"/>
    <n v="0"/>
    <n v="11"/>
    <n v="133"/>
    <n v="2025"/>
    <x v="7"/>
    <x v="2"/>
    <x v="2"/>
  </r>
  <r>
    <x v="1"/>
    <x v="121"/>
    <x v="1"/>
    <x v="43"/>
    <n v="124"/>
    <n v="54"/>
    <n v="4"/>
    <n v="3"/>
    <n v="990"/>
    <n v="1"/>
    <n v="0"/>
    <n v="0"/>
    <n v="101"/>
    <n v="75"/>
    <n v="2025"/>
    <x v="7"/>
    <x v="2"/>
    <x v="2"/>
  </r>
  <r>
    <x v="1"/>
    <x v="121"/>
    <x v="1"/>
    <x v="44"/>
    <n v="46"/>
    <n v="9"/>
    <n v="1"/>
    <n v="0"/>
    <n v="5855"/>
    <n v="2"/>
    <n v="4865"/>
    <n v="2"/>
    <n v="0"/>
    <n v="46"/>
    <n v="2025"/>
    <x v="7"/>
    <x v="2"/>
    <x v="2"/>
  </r>
  <r>
    <x v="1"/>
    <x v="121"/>
    <x v="1"/>
    <x v="45"/>
    <n v="8"/>
    <n v="3"/>
    <n v="0"/>
    <n v="0"/>
    <n v="0"/>
    <n v="0"/>
    <n v="0"/>
    <n v="0"/>
    <n v="0"/>
    <n v="8"/>
    <n v="2025"/>
    <x v="7"/>
    <x v="2"/>
    <x v="2"/>
  </r>
  <r>
    <x v="1"/>
    <x v="122"/>
    <x v="0"/>
    <x v="0"/>
    <n v="349"/>
    <n v="99"/>
    <n v="7"/>
    <n v="0"/>
    <n v="10640"/>
    <n v="2"/>
    <n v="10640"/>
    <n v="2"/>
    <n v="1"/>
    <n v="347"/>
    <n v="2025"/>
    <x v="7"/>
    <x v="2"/>
    <x v="2"/>
  </r>
  <r>
    <x v="1"/>
    <x v="122"/>
    <x v="0"/>
    <x v="1"/>
    <n v="29516"/>
    <n v="17496"/>
    <n v="120"/>
    <n v="150"/>
    <n v="137840"/>
    <n v="19"/>
    <n v="71920"/>
    <n v="13"/>
    <n v="1377"/>
    <n v="29116"/>
    <n v="2025"/>
    <x v="7"/>
    <x v="2"/>
    <x v="2"/>
  </r>
  <r>
    <x v="1"/>
    <x v="122"/>
    <x v="0"/>
    <x v="2"/>
    <n v="1"/>
    <n v="0"/>
    <n v="0"/>
    <n v="0"/>
    <n v="0"/>
    <n v="0"/>
    <n v="0"/>
    <n v="0"/>
    <n v="0"/>
    <n v="1"/>
    <n v="2025"/>
    <x v="7"/>
    <x v="2"/>
    <x v="2"/>
  </r>
  <r>
    <x v="1"/>
    <x v="122"/>
    <x v="0"/>
    <x v="3"/>
    <n v="1599"/>
    <n v="1126"/>
    <n v="7"/>
    <n v="2"/>
    <n v="0"/>
    <n v="0"/>
    <n v="0"/>
    <n v="0"/>
    <n v="32"/>
    <n v="616"/>
    <n v="2025"/>
    <x v="7"/>
    <x v="2"/>
    <x v="2"/>
  </r>
  <r>
    <x v="1"/>
    <x v="122"/>
    <x v="1"/>
    <x v="5"/>
    <n v="64"/>
    <n v="26"/>
    <n v="0"/>
    <n v="0"/>
    <n v="0"/>
    <n v="0"/>
    <n v="0"/>
    <n v="0"/>
    <n v="4"/>
    <n v="63"/>
    <n v="2025"/>
    <x v="7"/>
    <x v="2"/>
    <x v="2"/>
  </r>
  <r>
    <x v="1"/>
    <x v="122"/>
    <x v="1"/>
    <x v="6"/>
    <n v="149"/>
    <n v="110"/>
    <n v="0"/>
    <n v="0"/>
    <n v="0"/>
    <n v="0"/>
    <n v="0"/>
    <n v="0"/>
    <n v="0"/>
    <n v="0"/>
    <n v="2025"/>
    <x v="7"/>
    <x v="2"/>
    <x v="2"/>
  </r>
  <r>
    <x v="1"/>
    <x v="122"/>
    <x v="1"/>
    <x v="7"/>
    <n v="452"/>
    <n v="78"/>
    <n v="56"/>
    <n v="2"/>
    <n v="201518.52"/>
    <n v="36"/>
    <n v="163178.51999999999"/>
    <n v="29"/>
    <n v="124"/>
    <n v="441"/>
    <n v="2025"/>
    <x v="7"/>
    <x v="2"/>
    <x v="2"/>
  </r>
  <r>
    <x v="1"/>
    <x v="122"/>
    <x v="1"/>
    <x v="8"/>
    <n v="15"/>
    <n v="6"/>
    <n v="0"/>
    <n v="0"/>
    <n v="0"/>
    <n v="0"/>
    <n v="0"/>
    <n v="0"/>
    <n v="1"/>
    <n v="12"/>
    <n v="2025"/>
    <x v="7"/>
    <x v="2"/>
    <x v="2"/>
  </r>
  <r>
    <x v="1"/>
    <x v="122"/>
    <x v="1"/>
    <x v="52"/>
    <n v="1"/>
    <n v="0"/>
    <n v="0"/>
    <n v="0"/>
    <n v="0"/>
    <n v="0"/>
    <n v="0"/>
    <n v="0"/>
    <n v="0"/>
    <n v="1"/>
    <n v="2025"/>
    <x v="7"/>
    <x v="2"/>
    <x v="2"/>
  </r>
  <r>
    <x v="1"/>
    <x v="122"/>
    <x v="1"/>
    <x v="10"/>
    <n v="6"/>
    <n v="4"/>
    <n v="0"/>
    <n v="0"/>
    <n v="0"/>
    <n v="0"/>
    <n v="0"/>
    <n v="0"/>
    <n v="0"/>
    <n v="5"/>
    <n v="2025"/>
    <x v="7"/>
    <x v="2"/>
    <x v="2"/>
  </r>
  <r>
    <x v="1"/>
    <x v="122"/>
    <x v="1"/>
    <x v="61"/>
    <n v="247"/>
    <n v="157"/>
    <n v="9"/>
    <n v="3"/>
    <n v="21730"/>
    <n v="3"/>
    <n v="13980"/>
    <n v="2"/>
    <n v="1"/>
    <n v="247"/>
    <n v="2025"/>
    <x v="7"/>
    <x v="2"/>
    <x v="2"/>
  </r>
  <r>
    <x v="1"/>
    <x v="122"/>
    <x v="1"/>
    <x v="59"/>
    <n v="3211"/>
    <n v="2738"/>
    <n v="19"/>
    <n v="1"/>
    <n v="64220"/>
    <n v="12"/>
    <n v="60730"/>
    <n v="11"/>
    <n v="107"/>
    <n v="448"/>
    <n v="2025"/>
    <x v="7"/>
    <x v="2"/>
    <x v="2"/>
  </r>
  <r>
    <x v="1"/>
    <x v="122"/>
    <x v="1"/>
    <x v="15"/>
    <n v="2"/>
    <n v="0"/>
    <n v="0"/>
    <n v="0"/>
    <n v="0"/>
    <n v="0"/>
    <n v="0"/>
    <n v="0"/>
    <n v="0"/>
    <n v="2"/>
    <n v="2025"/>
    <x v="7"/>
    <x v="2"/>
    <x v="2"/>
  </r>
  <r>
    <x v="1"/>
    <x v="122"/>
    <x v="1"/>
    <x v="17"/>
    <n v="249"/>
    <n v="92"/>
    <n v="4"/>
    <n v="0"/>
    <n v="0"/>
    <n v="0"/>
    <n v="0"/>
    <n v="0"/>
    <n v="2"/>
    <n v="247"/>
    <n v="2025"/>
    <x v="7"/>
    <x v="2"/>
    <x v="2"/>
  </r>
  <r>
    <x v="1"/>
    <x v="122"/>
    <x v="1"/>
    <x v="18"/>
    <n v="4"/>
    <n v="3"/>
    <n v="0"/>
    <n v="0"/>
    <n v="4990"/>
    <n v="1"/>
    <n v="4990"/>
    <n v="1"/>
    <n v="0"/>
    <n v="4"/>
    <n v="2025"/>
    <x v="7"/>
    <x v="2"/>
    <x v="2"/>
  </r>
  <r>
    <x v="1"/>
    <x v="122"/>
    <x v="1"/>
    <x v="19"/>
    <n v="2594"/>
    <n v="1448"/>
    <n v="57"/>
    <n v="18"/>
    <n v="117386.15"/>
    <n v="26"/>
    <n v="100856.15"/>
    <n v="22"/>
    <n v="339"/>
    <n v="2067"/>
    <n v="2025"/>
    <x v="7"/>
    <x v="2"/>
    <x v="2"/>
  </r>
  <r>
    <x v="1"/>
    <x v="122"/>
    <x v="1"/>
    <x v="20"/>
    <n v="30"/>
    <n v="15"/>
    <n v="5"/>
    <n v="1"/>
    <n v="12497.5"/>
    <n v="3"/>
    <n v="9007.5"/>
    <n v="2"/>
    <n v="4"/>
    <n v="30"/>
    <n v="2025"/>
    <x v="7"/>
    <x v="2"/>
    <x v="2"/>
  </r>
  <r>
    <x v="1"/>
    <x v="122"/>
    <x v="1"/>
    <x v="24"/>
    <n v="24"/>
    <n v="16"/>
    <n v="5"/>
    <n v="1"/>
    <n v="6645"/>
    <n v="2"/>
    <n v="6645"/>
    <n v="2"/>
    <n v="4"/>
    <n v="23"/>
    <n v="2025"/>
    <x v="7"/>
    <x v="2"/>
    <x v="2"/>
  </r>
  <r>
    <x v="1"/>
    <x v="122"/>
    <x v="1"/>
    <x v="27"/>
    <n v="154"/>
    <n v="43"/>
    <n v="13"/>
    <n v="2"/>
    <n v="33485"/>
    <n v="8"/>
    <n v="25505"/>
    <n v="6"/>
    <n v="68"/>
    <n v="129"/>
    <n v="2025"/>
    <x v="7"/>
    <x v="2"/>
    <x v="2"/>
  </r>
  <r>
    <x v="1"/>
    <x v="122"/>
    <x v="1"/>
    <x v="29"/>
    <n v="2407"/>
    <n v="1981"/>
    <n v="72"/>
    <n v="19"/>
    <n v="115155"/>
    <n v="19"/>
    <n v="66490"/>
    <n v="13"/>
    <n v="312"/>
    <n v="2347"/>
    <n v="2025"/>
    <x v="7"/>
    <x v="2"/>
    <x v="2"/>
  </r>
  <r>
    <x v="1"/>
    <x v="122"/>
    <x v="1"/>
    <x v="30"/>
    <n v="13234"/>
    <n v="7210"/>
    <n v="151"/>
    <n v="36"/>
    <n v="115788.2"/>
    <n v="26"/>
    <n v="86708.2"/>
    <n v="21"/>
    <n v="375"/>
    <n v="13171"/>
    <n v="2025"/>
    <x v="7"/>
    <x v="2"/>
    <x v="2"/>
  </r>
  <r>
    <x v="1"/>
    <x v="122"/>
    <x v="1"/>
    <x v="31"/>
    <n v="186"/>
    <n v="114"/>
    <n v="8"/>
    <n v="4"/>
    <n v="8980"/>
    <n v="2"/>
    <n v="3990"/>
    <n v="1"/>
    <n v="21"/>
    <n v="184"/>
    <n v="2025"/>
    <x v="7"/>
    <x v="2"/>
    <x v="2"/>
  </r>
  <r>
    <x v="1"/>
    <x v="122"/>
    <x v="1"/>
    <x v="34"/>
    <n v="44"/>
    <n v="16"/>
    <n v="4"/>
    <n v="0"/>
    <n v="6940"/>
    <n v="3"/>
    <n v="3450"/>
    <n v="2"/>
    <n v="39"/>
    <n v="24"/>
    <n v="2025"/>
    <x v="7"/>
    <x v="2"/>
    <x v="2"/>
  </r>
  <r>
    <x v="1"/>
    <x v="122"/>
    <x v="1"/>
    <x v="38"/>
    <n v="306"/>
    <n v="74"/>
    <n v="17"/>
    <n v="9"/>
    <n v="85895"/>
    <n v="16"/>
    <n v="67195"/>
    <n v="15"/>
    <n v="66"/>
    <n v="296"/>
    <n v="2025"/>
    <x v="7"/>
    <x v="2"/>
    <x v="2"/>
  </r>
  <r>
    <x v="1"/>
    <x v="122"/>
    <x v="1"/>
    <x v="60"/>
    <n v="2"/>
    <n v="2"/>
    <n v="0"/>
    <n v="0"/>
    <n v="0"/>
    <n v="0"/>
    <n v="0"/>
    <n v="0"/>
    <n v="0"/>
    <n v="2"/>
    <n v="2025"/>
    <x v="7"/>
    <x v="2"/>
    <x v="2"/>
  </r>
  <r>
    <x v="1"/>
    <x v="122"/>
    <x v="1"/>
    <x v="39"/>
    <n v="1"/>
    <n v="0"/>
    <n v="0"/>
    <n v="0"/>
    <n v="0"/>
    <n v="0"/>
    <n v="0"/>
    <n v="0"/>
    <n v="0"/>
    <n v="1"/>
    <n v="2025"/>
    <x v="7"/>
    <x v="2"/>
    <x v="2"/>
  </r>
  <r>
    <x v="1"/>
    <x v="122"/>
    <x v="1"/>
    <x v="64"/>
    <n v="676"/>
    <n v="362"/>
    <n v="32"/>
    <n v="3"/>
    <n v="47385"/>
    <n v="7"/>
    <n v="48175"/>
    <n v="8"/>
    <n v="98"/>
    <n v="665"/>
    <n v="2025"/>
    <x v="7"/>
    <x v="2"/>
    <x v="2"/>
  </r>
  <r>
    <x v="1"/>
    <x v="122"/>
    <x v="1"/>
    <x v="42"/>
    <n v="98"/>
    <n v="62"/>
    <n v="1"/>
    <n v="0"/>
    <n v="6990"/>
    <n v="1"/>
    <n v="0"/>
    <n v="0"/>
    <n v="9"/>
    <n v="95"/>
    <n v="2025"/>
    <x v="7"/>
    <x v="2"/>
    <x v="2"/>
  </r>
  <r>
    <x v="1"/>
    <x v="122"/>
    <x v="1"/>
    <x v="43"/>
    <n v="123"/>
    <n v="46"/>
    <n v="4"/>
    <n v="2"/>
    <n v="0"/>
    <n v="0"/>
    <n v="0"/>
    <n v="0"/>
    <n v="98"/>
    <n v="87"/>
    <n v="2025"/>
    <x v="7"/>
    <x v="2"/>
    <x v="2"/>
  </r>
  <r>
    <x v="1"/>
    <x v="122"/>
    <x v="1"/>
    <x v="44"/>
    <n v="58"/>
    <n v="12"/>
    <n v="1"/>
    <n v="0"/>
    <n v="27070"/>
    <n v="7"/>
    <n v="24080"/>
    <n v="6"/>
    <n v="0"/>
    <n v="58"/>
    <n v="2025"/>
    <x v="7"/>
    <x v="2"/>
    <x v="2"/>
  </r>
  <r>
    <x v="1"/>
    <x v="122"/>
    <x v="1"/>
    <x v="45"/>
    <n v="6"/>
    <n v="2"/>
    <n v="0"/>
    <n v="0"/>
    <n v="0"/>
    <n v="0"/>
    <n v="0"/>
    <n v="0"/>
    <n v="0"/>
    <n v="6"/>
    <n v="2025"/>
    <x v="7"/>
    <x v="2"/>
    <x v="2"/>
  </r>
  <r>
    <x v="1"/>
    <x v="123"/>
    <x v="0"/>
    <x v="0"/>
    <n v="313"/>
    <n v="100"/>
    <n v="6"/>
    <n v="2"/>
    <n v="30750"/>
    <n v="2"/>
    <n v="16820"/>
    <n v="2"/>
    <n v="4"/>
    <n v="311"/>
    <n v="2025"/>
    <x v="6"/>
    <x v="2"/>
    <x v="2"/>
  </r>
  <r>
    <x v="1"/>
    <x v="123"/>
    <x v="0"/>
    <x v="1"/>
    <n v="25387"/>
    <n v="13481"/>
    <n v="135"/>
    <n v="133"/>
    <n v="176395"/>
    <n v="31"/>
    <n v="112585"/>
    <n v="25"/>
    <n v="1278"/>
    <n v="25017"/>
    <n v="2025"/>
    <x v="6"/>
    <x v="2"/>
    <x v="2"/>
  </r>
  <r>
    <x v="1"/>
    <x v="123"/>
    <x v="0"/>
    <x v="3"/>
    <n v="1219"/>
    <n v="668"/>
    <n v="11"/>
    <n v="1"/>
    <n v="0"/>
    <n v="0"/>
    <n v="0"/>
    <n v="0"/>
    <n v="21"/>
    <n v="418"/>
    <n v="2025"/>
    <x v="6"/>
    <x v="2"/>
    <x v="2"/>
  </r>
  <r>
    <x v="1"/>
    <x v="123"/>
    <x v="1"/>
    <x v="5"/>
    <n v="59"/>
    <n v="20"/>
    <n v="1"/>
    <n v="0"/>
    <n v="0"/>
    <n v="0"/>
    <n v="0"/>
    <n v="0"/>
    <n v="3"/>
    <n v="57"/>
    <n v="2025"/>
    <x v="6"/>
    <x v="2"/>
    <x v="2"/>
  </r>
  <r>
    <x v="1"/>
    <x v="123"/>
    <x v="1"/>
    <x v="6"/>
    <n v="124"/>
    <n v="100"/>
    <n v="0"/>
    <n v="0"/>
    <n v="0"/>
    <n v="0"/>
    <n v="0"/>
    <n v="0"/>
    <n v="0"/>
    <n v="0"/>
    <n v="2025"/>
    <x v="6"/>
    <x v="2"/>
    <x v="2"/>
  </r>
  <r>
    <x v="1"/>
    <x v="123"/>
    <x v="1"/>
    <x v="7"/>
    <n v="438"/>
    <n v="73"/>
    <n v="39"/>
    <n v="0"/>
    <n v="199845.48"/>
    <n v="43"/>
    <n v="170475.48"/>
    <n v="41"/>
    <n v="102"/>
    <n v="426"/>
    <n v="2025"/>
    <x v="6"/>
    <x v="2"/>
    <x v="2"/>
  </r>
  <r>
    <x v="1"/>
    <x v="123"/>
    <x v="1"/>
    <x v="8"/>
    <n v="11"/>
    <n v="5"/>
    <n v="0"/>
    <n v="1"/>
    <n v="0"/>
    <n v="0"/>
    <n v="0"/>
    <n v="0"/>
    <n v="1"/>
    <n v="8"/>
    <n v="2025"/>
    <x v="6"/>
    <x v="2"/>
    <x v="2"/>
  </r>
  <r>
    <x v="1"/>
    <x v="123"/>
    <x v="1"/>
    <x v="10"/>
    <n v="5"/>
    <n v="3"/>
    <n v="1"/>
    <n v="0"/>
    <n v="0"/>
    <n v="0"/>
    <n v="0"/>
    <n v="0"/>
    <n v="0"/>
    <n v="2"/>
    <n v="2025"/>
    <x v="6"/>
    <x v="2"/>
    <x v="2"/>
  </r>
  <r>
    <x v="1"/>
    <x v="123"/>
    <x v="1"/>
    <x v="61"/>
    <n v="244"/>
    <n v="174"/>
    <n v="14"/>
    <n v="2"/>
    <n v="39800"/>
    <n v="4"/>
    <n v="18380"/>
    <n v="3"/>
    <n v="1"/>
    <n v="244"/>
    <n v="2025"/>
    <x v="6"/>
    <x v="2"/>
    <x v="2"/>
  </r>
  <r>
    <x v="1"/>
    <x v="123"/>
    <x v="1"/>
    <x v="48"/>
    <n v="1"/>
    <n v="0"/>
    <n v="0"/>
    <n v="0"/>
    <n v="0"/>
    <n v="0"/>
    <n v="0"/>
    <n v="0"/>
    <n v="0"/>
    <n v="1"/>
    <n v="2025"/>
    <x v="6"/>
    <x v="2"/>
    <x v="2"/>
  </r>
  <r>
    <x v="1"/>
    <x v="123"/>
    <x v="1"/>
    <x v="59"/>
    <n v="3033"/>
    <n v="2299"/>
    <n v="13"/>
    <n v="2"/>
    <n v="19695"/>
    <n v="7"/>
    <n v="17705"/>
    <n v="7"/>
    <n v="101"/>
    <n v="372"/>
    <n v="2025"/>
    <x v="6"/>
    <x v="2"/>
    <x v="2"/>
  </r>
  <r>
    <x v="1"/>
    <x v="123"/>
    <x v="1"/>
    <x v="15"/>
    <n v="2"/>
    <n v="0"/>
    <n v="0"/>
    <n v="0"/>
    <n v="0"/>
    <n v="0"/>
    <n v="0"/>
    <n v="0"/>
    <n v="0"/>
    <n v="2"/>
    <n v="2025"/>
    <x v="6"/>
    <x v="2"/>
    <x v="2"/>
  </r>
  <r>
    <x v="1"/>
    <x v="123"/>
    <x v="1"/>
    <x v="17"/>
    <n v="280"/>
    <n v="96"/>
    <n v="4"/>
    <n v="0"/>
    <n v="1990"/>
    <n v="1"/>
    <n v="1990"/>
    <n v="1"/>
    <n v="2"/>
    <n v="278"/>
    <n v="2025"/>
    <x v="6"/>
    <x v="2"/>
    <x v="2"/>
  </r>
  <r>
    <x v="1"/>
    <x v="123"/>
    <x v="1"/>
    <x v="18"/>
    <n v="6"/>
    <n v="3"/>
    <n v="0"/>
    <n v="0"/>
    <n v="0"/>
    <n v="0"/>
    <n v="0"/>
    <n v="0"/>
    <n v="1"/>
    <n v="6"/>
    <n v="2025"/>
    <x v="6"/>
    <x v="2"/>
    <x v="2"/>
  </r>
  <r>
    <x v="1"/>
    <x v="123"/>
    <x v="1"/>
    <x v="19"/>
    <n v="2072"/>
    <n v="1040"/>
    <n v="47"/>
    <n v="14"/>
    <n v="107470"/>
    <n v="18"/>
    <n v="88845"/>
    <n v="15"/>
    <n v="325"/>
    <n v="1495"/>
    <n v="2025"/>
    <x v="6"/>
    <x v="2"/>
    <x v="2"/>
  </r>
  <r>
    <x v="1"/>
    <x v="123"/>
    <x v="1"/>
    <x v="20"/>
    <n v="34"/>
    <n v="14"/>
    <n v="1"/>
    <n v="1"/>
    <n v="3745.94"/>
    <n v="1"/>
    <n v="3745.94"/>
    <n v="1"/>
    <n v="3"/>
    <n v="34"/>
    <n v="2025"/>
    <x v="6"/>
    <x v="2"/>
    <x v="2"/>
  </r>
  <r>
    <x v="1"/>
    <x v="123"/>
    <x v="1"/>
    <x v="24"/>
    <n v="24"/>
    <n v="21"/>
    <n v="1"/>
    <n v="0"/>
    <n v="1990"/>
    <n v="1"/>
    <n v="1990"/>
    <n v="1"/>
    <n v="3"/>
    <n v="22"/>
    <n v="2025"/>
    <x v="6"/>
    <x v="2"/>
    <x v="2"/>
  </r>
  <r>
    <x v="1"/>
    <x v="123"/>
    <x v="1"/>
    <x v="27"/>
    <n v="135"/>
    <n v="34"/>
    <n v="6"/>
    <n v="1"/>
    <n v="52785"/>
    <n v="8"/>
    <n v="52785"/>
    <n v="8"/>
    <n v="82"/>
    <n v="80"/>
    <n v="2025"/>
    <x v="6"/>
    <x v="2"/>
    <x v="2"/>
  </r>
  <r>
    <x v="1"/>
    <x v="123"/>
    <x v="1"/>
    <x v="29"/>
    <n v="3387"/>
    <n v="2916"/>
    <n v="65"/>
    <n v="19"/>
    <n v="101318.43"/>
    <n v="18"/>
    <n v="57998.43"/>
    <n v="15"/>
    <n v="341"/>
    <n v="3308"/>
    <n v="2025"/>
    <x v="6"/>
    <x v="2"/>
    <x v="2"/>
  </r>
  <r>
    <x v="1"/>
    <x v="123"/>
    <x v="1"/>
    <x v="30"/>
    <n v="9434"/>
    <n v="4680"/>
    <n v="141"/>
    <n v="48"/>
    <n v="167130"/>
    <n v="32"/>
    <n v="120995"/>
    <n v="25"/>
    <n v="291"/>
    <n v="9380"/>
    <n v="2025"/>
    <x v="6"/>
    <x v="2"/>
    <x v="2"/>
  </r>
  <r>
    <x v="1"/>
    <x v="123"/>
    <x v="1"/>
    <x v="31"/>
    <n v="214"/>
    <n v="115"/>
    <n v="8"/>
    <n v="2"/>
    <n v="3990"/>
    <n v="1"/>
    <n v="3990"/>
    <n v="1"/>
    <n v="22"/>
    <n v="208"/>
    <n v="2025"/>
    <x v="6"/>
    <x v="2"/>
    <x v="2"/>
  </r>
  <r>
    <x v="1"/>
    <x v="123"/>
    <x v="1"/>
    <x v="34"/>
    <n v="49"/>
    <n v="20"/>
    <n v="6"/>
    <n v="0"/>
    <n v="9285"/>
    <n v="3"/>
    <n v="9285"/>
    <n v="3"/>
    <n v="41"/>
    <n v="26"/>
    <n v="2025"/>
    <x v="6"/>
    <x v="2"/>
    <x v="2"/>
  </r>
  <r>
    <x v="1"/>
    <x v="123"/>
    <x v="1"/>
    <x v="35"/>
    <n v="1"/>
    <n v="0"/>
    <n v="0"/>
    <n v="0"/>
    <n v="0"/>
    <n v="0"/>
    <n v="0"/>
    <n v="0"/>
    <n v="0"/>
    <n v="1"/>
    <n v="2025"/>
    <x v="6"/>
    <x v="2"/>
    <x v="2"/>
  </r>
  <r>
    <x v="1"/>
    <x v="123"/>
    <x v="1"/>
    <x v="36"/>
    <n v="3"/>
    <n v="3"/>
    <n v="0"/>
    <n v="0"/>
    <n v="0"/>
    <n v="0"/>
    <n v="0"/>
    <n v="0"/>
    <n v="0"/>
    <n v="3"/>
    <n v="2025"/>
    <x v="6"/>
    <x v="2"/>
    <x v="2"/>
  </r>
  <r>
    <x v="1"/>
    <x v="123"/>
    <x v="1"/>
    <x v="38"/>
    <n v="291"/>
    <n v="80"/>
    <n v="17"/>
    <n v="8"/>
    <n v="115385"/>
    <n v="19"/>
    <n v="76950"/>
    <n v="15"/>
    <n v="60"/>
    <n v="284"/>
    <n v="2025"/>
    <x v="6"/>
    <x v="2"/>
    <x v="2"/>
  </r>
  <r>
    <x v="1"/>
    <x v="123"/>
    <x v="1"/>
    <x v="60"/>
    <n v="3"/>
    <n v="3"/>
    <n v="0"/>
    <n v="0"/>
    <n v="0"/>
    <n v="0"/>
    <n v="0"/>
    <n v="0"/>
    <n v="0"/>
    <n v="3"/>
    <n v="2025"/>
    <x v="6"/>
    <x v="2"/>
    <x v="2"/>
  </r>
  <r>
    <x v="1"/>
    <x v="123"/>
    <x v="1"/>
    <x v="39"/>
    <n v="2"/>
    <n v="2"/>
    <n v="0"/>
    <n v="0"/>
    <n v="0"/>
    <n v="0"/>
    <n v="0"/>
    <n v="0"/>
    <n v="0"/>
    <n v="2"/>
    <n v="2025"/>
    <x v="6"/>
    <x v="2"/>
    <x v="2"/>
  </r>
  <r>
    <x v="1"/>
    <x v="123"/>
    <x v="1"/>
    <x v="64"/>
    <n v="669"/>
    <n v="372"/>
    <n v="26"/>
    <n v="2"/>
    <n v="106665"/>
    <n v="10"/>
    <n v="34715"/>
    <n v="8"/>
    <n v="93"/>
    <n v="661"/>
    <n v="2025"/>
    <x v="6"/>
    <x v="2"/>
    <x v="2"/>
  </r>
  <r>
    <x v="1"/>
    <x v="123"/>
    <x v="1"/>
    <x v="42"/>
    <n v="182"/>
    <n v="80"/>
    <n v="1"/>
    <n v="1"/>
    <n v="6990"/>
    <n v="1"/>
    <n v="6990"/>
    <n v="1"/>
    <n v="16"/>
    <n v="176"/>
    <n v="2025"/>
    <x v="6"/>
    <x v="2"/>
    <x v="2"/>
  </r>
  <r>
    <x v="1"/>
    <x v="123"/>
    <x v="1"/>
    <x v="43"/>
    <n v="113"/>
    <n v="40"/>
    <n v="7"/>
    <n v="0"/>
    <n v="25070"/>
    <n v="3"/>
    <n v="25070"/>
    <n v="3"/>
    <n v="90"/>
    <n v="70"/>
    <n v="2025"/>
    <x v="6"/>
    <x v="2"/>
    <x v="2"/>
  </r>
  <r>
    <x v="1"/>
    <x v="123"/>
    <x v="1"/>
    <x v="44"/>
    <n v="55"/>
    <n v="8"/>
    <n v="2"/>
    <n v="0"/>
    <n v="24804.43"/>
    <n v="5"/>
    <n v="24804.43"/>
    <n v="5"/>
    <n v="0"/>
    <n v="55"/>
    <n v="2025"/>
    <x v="6"/>
    <x v="2"/>
    <x v="2"/>
  </r>
  <r>
    <x v="1"/>
    <x v="123"/>
    <x v="1"/>
    <x v="45"/>
    <n v="1"/>
    <n v="0"/>
    <n v="0"/>
    <n v="0"/>
    <n v="0"/>
    <n v="0"/>
    <n v="0"/>
    <n v="0"/>
    <n v="0"/>
    <n v="1"/>
    <n v="2025"/>
    <x v="6"/>
    <x v="2"/>
    <x v="2"/>
  </r>
  <r>
    <x v="1"/>
    <x v="124"/>
    <x v="0"/>
    <x v="0"/>
    <n v="356"/>
    <n v="104"/>
    <n v="3"/>
    <n v="0"/>
    <n v="19860"/>
    <n v="4"/>
    <n v="14865"/>
    <n v="3"/>
    <n v="5"/>
    <n v="353"/>
    <n v="2025"/>
    <x v="6"/>
    <x v="2"/>
    <x v="2"/>
  </r>
  <r>
    <x v="1"/>
    <x v="124"/>
    <x v="0"/>
    <x v="1"/>
    <n v="48239"/>
    <n v="30734"/>
    <n v="188"/>
    <n v="193"/>
    <n v="158960"/>
    <n v="30"/>
    <n v="99700"/>
    <n v="25"/>
    <n v="1547"/>
    <n v="47863"/>
    <n v="2025"/>
    <x v="6"/>
    <x v="2"/>
    <x v="2"/>
  </r>
  <r>
    <x v="1"/>
    <x v="124"/>
    <x v="0"/>
    <x v="3"/>
    <n v="1196"/>
    <n v="673"/>
    <n v="20"/>
    <n v="0"/>
    <n v="0"/>
    <n v="0"/>
    <n v="0"/>
    <n v="0"/>
    <n v="32"/>
    <n v="512"/>
    <n v="2025"/>
    <x v="6"/>
    <x v="2"/>
    <x v="2"/>
  </r>
  <r>
    <x v="1"/>
    <x v="124"/>
    <x v="1"/>
    <x v="46"/>
    <n v="1"/>
    <n v="1"/>
    <n v="0"/>
    <n v="0"/>
    <n v="0"/>
    <n v="0"/>
    <n v="0"/>
    <n v="0"/>
    <n v="0"/>
    <n v="0"/>
    <n v="2025"/>
    <x v="6"/>
    <x v="2"/>
    <x v="2"/>
  </r>
  <r>
    <x v="1"/>
    <x v="124"/>
    <x v="1"/>
    <x v="5"/>
    <n v="58"/>
    <n v="16"/>
    <n v="0"/>
    <n v="0"/>
    <n v="0"/>
    <n v="0"/>
    <n v="0"/>
    <n v="0"/>
    <n v="0"/>
    <n v="58"/>
    <n v="2025"/>
    <x v="6"/>
    <x v="2"/>
    <x v="2"/>
  </r>
  <r>
    <x v="1"/>
    <x v="124"/>
    <x v="1"/>
    <x v="6"/>
    <n v="199"/>
    <n v="149"/>
    <n v="0"/>
    <n v="0"/>
    <n v="0"/>
    <n v="0"/>
    <n v="0"/>
    <n v="0"/>
    <n v="0"/>
    <n v="0"/>
    <n v="2025"/>
    <x v="6"/>
    <x v="2"/>
    <x v="2"/>
  </r>
  <r>
    <x v="1"/>
    <x v="124"/>
    <x v="1"/>
    <x v="7"/>
    <n v="401"/>
    <n v="73"/>
    <n v="30"/>
    <n v="3"/>
    <n v="203770"/>
    <n v="38"/>
    <n v="177615"/>
    <n v="36"/>
    <n v="100"/>
    <n v="389"/>
    <n v="2025"/>
    <x v="6"/>
    <x v="2"/>
    <x v="2"/>
  </r>
  <r>
    <x v="1"/>
    <x v="124"/>
    <x v="1"/>
    <x v="8"/>
    <n v="17"/>
    <n v="7"/>
    <n v="0"/>
    <n v="1"/>
    <n v="0"/>
    <n v="0"/>
    <n v="0"/>
    <n v="0"/>
    <n v="1"/>
    <n v="16"/>
    <n v="2025"/>
    <x v="6"/>
    <x v="2"/>
    <x v="2"/>
  </r>
  <r>
    <x v="1"/>
    <x v="124"/>
    <x v="1"/>
    <x v="10"/>
    <n v="13"/>
    <n v="3"/>
    <n v="0"/>
    <n v="0"/>
    <n v="0"/>
    <n v="0"/>
    <n v="0"/>
    <n v="0"/>
    <n v="2"/>
    <n v="5"/>
    <n v="2025"/>
    <x v="6"/>
    <x v="2"/>
    <x v="2"/>
  </r>
  <r>
    <x v="1"/>
    <x v="124"/>
    <x v="1"/>
    <x v="11"/>
    <n v="1"/>
    <n v="1"/>
    <n v="0"/>
    <n v="0"/>
    <n v="0"/>
    <n v="0"/>
    <n v="0"/>
    <n v="0"/>
    <n v="1"/>
    <n v="0"/>
    <n v="2025"/>
    <x v="6"/>
    <x v="2"/>
    <x v="2"/>
  </r>
  <r>
    <x v="1"/>
    <x v="124"/>
    <x v="1"/>
    <x v="61"/>
    <n v="111"/>
    <n v="86"/>
    <n v="7"/>
    <n v="0"/>
    <n v="5650"/>
    <n v="2"/>
    <n v="3150"/>
    <n v="1"/>
    <n v="0"/>
    <n v="111"/>
    <n v="2025"/>
    <x v="6"/>
    <x v="2"/>
    <x v="2"/>
  </r>
  <r>
    <x v="1"/>
    <x v="124"/>
    <x v="1"/>
    <x v="59"/>
    <n v="5125"/>
    <n v="4230"/>
    <n v="7"/>
    <n v="0"/>
    <n v="20830"/>
    <n v="5"/>
    <n v="18840"/>
    <n v="5"/>
    <n v="88"/>
    <n v="499"/>
    <n v="2025"/>
    <x v="6"/>
    <x v="2"/>
    <x v="2"/>
  </r>
  <r>
    <x v="1"/>
    <x v="124"/>
    <x v="1"/>
    <x v="15"/>
    <n v="1"/>
    <n v="0"/>
    <n v="0"/>
    <n v="0"/>
    <n v="0"/>
    <n v="0"/>
    <n v="0"/>
    <n v="0"/>
    <n v="0"/>
    <n v="1"/>
    <n v="2025"/>
    <x v="6"/>
    <x v="2"/>
    <x v="2"/>
  </r>
  <r>
    <x v="1"/>
    <x v="124"/>
    <x v="1"/>
    <x v="17"/>
    <n v="180"/>
    <n v="58"/>
    <n v="2"/>
    <n v="0"/>
    <n v="0"/>
    <n v="0"/>
    <n v="0"/>
    <n v="0"/>
    <n v="1"/>
    <n v="179"/>
    <n v="2025"/>
    <x v="6"/>
    <x v="2"/>
    <x v="2"/>
  </r>
  <r>
    <x v="1"/>
    <x v="124"/>
    <x v="1"/>
    <x v="18"/>
    <n v="9"/>
    <n v="8"/>
    <n v="0"/>
    <n v="0"/>
    <n v="6685"/>
    <n v="2"/>
    <n v="6685"/>
    <n v="2"/>
    <n v="2"/>
    <n v="8"/>
    <n v="2025"/>
    <x v="6"/>
    <x v="2"/>
    <x v="2"/>
  </r>
  <r>
    <x v="1"/>
    <x v="124"/>
    <x v="1"/>
    <x v="19"/>
    <n v="1563"/>
    <n v="770"/>
    <n v="36"/>
    <n v="8"/>
    <n v="77507"/>
    <n v="14"/>
    <n v="58782"/>
    <n v="13"/>
    <n v="332"/>
    <n v="1255"/>
    <n v="2025"/>
    <x v="6"/>
    <x v="2"/>
    <x v="2"/>
  </r>
  <r>
    <x v="1"/>
    <x v="124"/>
    <x v="1"/>
    <x v="20"/>
    <n v="31"/>
    <n v="11"/>
    <n v="5"/>
    <n v="1"/>
    <n v="30680"/>
    <n v="3"/>
    <n v="18095"/>
    <n v="2"/>
    <n v="6"/>
    <n v="31"/>
    <n v="2025"/>
    <x v="6"/>
    <x v="2"/>
    <x v="2"/>
  </r>
  <r>
    <x v="1"/>
    <x v="124"/>
    <x v="1"/>
    <x v="50"/>
    <n v="1"/>
    <n v="0"/>
    <n v="1"/>
    <n v="0"/>
    <n v="0"/>
    <n v="0"/>
    <n v="0"/>
    <n v="0"/>
    <n v="0"/>
    <n v="1"/>
    <n v="2025"/>
    <x v="6"/>
    <x v="2"/>
    <x v="2"/>
  </r>
  <r>
    <x v="1"/>
    <x v="124"/>
    <x v="1"/>
    <x v="24"/>
    <n v="14"/>
    <n v="8"/>
    <n v="1"/>
    <n v="0"/>
    <n v="18930"/>
    <n v="1"/>
    <n v="18930"/>
    <n v="1"/>
    <n v="2"/>
    <n v="13"/>
    <n v="2025"/>
    <x v="6"/>
    <x v="2"/>
    <x v="2"/>
  </r>
  <r>
    <x v="1"/>
    <x v="124"/>
    <x v="1"/>
    <x v="27"/>
    <n v="99"/>
    <n v="31"/>
    <n v="13"/>
    <n v="1"/>
    <n v="55820"/>
    <n v="11"/>
    <n v="55820"/>
    <n v="11"/>
    <n v="32"/>
    <n v="88"/>
    <n v="2025"/>
    <x v="6"/>
    <x v="2"/>
    <x v="2"/>
  </r>
  <r>
    <x v="1"/>
    <x v="124"/>
    <x v="1"/>
    <x v="29"/>
    <n v="2333"/>
    <n v="1914"/>
    <n v="69"/>
    <n v="18"/>
    <n v="71315"/>
    <n v="11"/>
    <n v="50335"/>
    <n v="9"/>
    <n v="277"/>
    <n v="2277"/>
    <n v="2025"/>
    <x v="6"/>
    <x v="2"/>
    <x v="2"/>
  </r>
  <r>
    <x v="1"/>
    <x v="124"/>
    <x v="1"/>
    <x v="30"/>
    <n v="10092"/>
    <n v="5487"/>
    <n v="134"/>
    <n v="35"/>
    <n v="93811.27"/>
    <n v="25"/>
    <n v="78196.27"/>
    <n v="23"/>
    <n v="316"/>
    <n v="9853"/>
    <n v="2025"/>
    <x v="6"/>
    <x v="2"/>
    <x v="2"/>
  </r>
  <r>
    <x v="1"/>
    <x v="124"/>
    <x v="1"/>
    <x v="31"/>
    <n v="158"/>
    <n v="94"/>
    <n v="7"/>
    <n v="1"/>
    <n v="3990"/>
    <n v="1"/>
    <n v="0"/>
    <n v="0"/>
    <n v="14"/>
    <n v="153"/>
    <n v="2025"/>
    <x v="6"/>
    <x v="2"/>
    <x v="2"/>
  </r>
  <r>
    <x v="1"/>
    <x v="124"/>
    <x v="1"/>
    <x v="32"/>
    <n v="1"/>
    <n v="0"/>
    <n v="0"/>
    <n v="0"/>
    <n v="0"/>
    <n v="0"/>
    <n v="0"/>
    <n v="0"/>
    <n v="0"/>
    <n v="1"/>
    <n v="2025"/>
    <x v="6"/>
    <x v="2"/>
    <x v="2"/>
  </r>
  <r>
    <x v="1"/>
    <x v="124"/>
    <x v="1"/>
    <x v="34"/>
    <n v="40"/>
    <n v="16"/>
    <n v="1"/>
    <n v="0"/>
    <n v="0"/>
    <n v="0"/>
    <n v="0"/>
    <n v="0"/>
    <n v="36"/>
    <n v="22"/>
    <n v="2025"/>
    <x v="6"/>
    <x v="2"/>
    <x v="2"/>
  </r>
  <r>
    <x v="1"/>
    <x v="124"/>
    <x v="1"/>
    <x v="36"/>
    <n v="1"/>
    <n v="1"/>
    <n v="0"/>
    <n v="0"/>
    <n v="0"/>
    <n v="0"/>
    <n v="0"/>
    <n v="0"/>
    <n v="0"/>
    <n v="1"/>
    <n v="2025"/>
    <x v="6"/>
    <x v="2"/>
    <x v="2"/>
  </r>
  <r>
    <x v="1"/>
    <x v="124"/>
    <x v="1"/>
    <x v="38"/>
    <n v="306"/>
    <n v="75"/>
    <n v="28"/>
    <n v="1"/>
    <n v="98930"/>
    <n v="17"/>
    <n v="88245"/>
    <n v="16"/>
    <n v="65"/>
    <n v="297"/>
    <n v="2025"/>
    <x v="6"/>
    <x v="2"/>
    <x v="2"/>
  </r>
  <r>
    <x v="1"/>
    <x v="124"/>
    <x v="1"/>
    <x v="60"/>
    <n v="1"/>
    <n v="0"/>
    <n v="0"/>
    <n v="0"/>
    <n v="0"/>
    <n v="0"/>
    <n v="0"/>
    <n v="0"/>
    <n v="0"/>
    <n v="1"/>
    <n v="2025"/>
    <x v="6"/>
    <x v="2"/>
    <x v="2"/>
  </r>
  <r>
    <x v="1"/>
    <x v="124"/>
    <x v="1"/>
    <x v="64"/>
    <n v="612"/>
    <n v="303"/>
    <n v="22"/>
    <n v="0"/>
    <n v="53668.73"/>
    <n v="7"/>
    <n v="51678.73"/>
    <n v="7"/>
    <n v="90"/>
    <n v="605"/>
    <n v="2025"/>
    <x v="6"/>
    <x v="2"/>
    <x v="2"/>
  </r>
  <r>
    <x v="1"/>
    <x v="124"/>
    <x v="1"/>
    <x v="42"/>
    <n v="172"/>
    <n v="73"/>
    <n v="5"/>
    <n v="1"/>
    <n v="0"/>
    <n v="0"/>
    <n v="0"/>
    <n v="0"/>
    <n v="13"/>
    <n v="169"/>
    <n v="2025"/>
    <x v="6"/>
    <x v="2"/>
    <x v="2"/>
  </r>
  <r>
    <x v="1"/>
    <x v="124"/>
    <x v="1"/>
    <x v="43"/>
    <n v="111"/>
    <n v="52"/>
    <n v="1"/>
    <n v="1"/>
    <n v="0"/>
    <n v="0"/>
    <n v="0"/>
    <n v="0"/>
    <n v="87"/>
    <n v="65"/>
    <n v="2025"/>
    <x v="6"/>
    <x v="2"/>
    <x v="2"/>
  </r>
  <r>
    <x v="1"/>
    <x v="124"/>
    <x v="1"/>
    <x v="44"/>
    <n v="46"/>
    <n v="4"/>
    <n v="0"/>
    <n v="0"/>
    <n v="12055"/>
    <n v="3"/>
    <n v="12055"/>
    <n v="3"/>
    <n v="0"/>
    <n v="46"/>
    <n v="2025"/>
    <x v="6"/>
    <x v="2"/>
    <x v="2"/>
  </r>
  <r>
    <x v="1"/>
    <x v="124"/>
    <x v="1"/>
    <x v="45"/>
    <n v="3"/>
    <n v="1"/>
    <n v="0"/>
    <n v="0"/>
    <n v="0"/>
    <n v="0"/>
    <n v="0"/>
    <n v="0"/>
    <n v="0"/>
    <n v="3"/>
    <n v="2025"/>
    <x v="6"/>
    <x v="2"/>
    <x v="2"/>
  </r>
  <r>
    <x v="1"/>
    <x v="125"/>
    <x v="0"/>
    <x v="0"/>
    <n v="347"/>
    <n v="117"/>
    <n v="5"/>
    <n v="1"/>
    <n v="35825"/>
    <n v="4"/>
    <n v="35825"/>
    <n v="4"/>
    <n v="7"/>
    <n v="347"/>
    <n v="2025"/>
    <x v="6"/>
    <x v="2"/>
    <x v="2"/>
  </r>
  <r>
    <x v="1"/>
    <x v="125"/>
    <x v="0"/>
    <x v="1"/>
    <n v="31852"/>
    <n v="17860"/>
    <n v="178"/>
    <n v="146"/>
    <n v="155445"/>
    <n v="24"/>
    <n v="123165"/>
    <n v="21"/>
    <n v="1425"/>
    <n v="31460"/>
    <n v="2025"/>
    <x v="6"/>
    <x v="2"/>
    <x v="2"/>
  </r>
  <r>
    <x v="1"/>
    <x v="125"/>
    <x v="0"/>
    <x v="3"/>
    <n v="1338"/>
    <n v="759"/>
    <n v="11"/>
    <n v="1"/>
    <n v="0"/>
    <n v="0"/>
    <n v="0"/>
    <n v="0"/>
    <n v="30"/>
    <n v="571"/>
    <n v="2025"/>
    <x v="6"/>
    <x v="2"/>
    <x v="2"/>
  </r>
  <r>
    <x v="1"/>
    <x v="125"/>
    <x v="1"/>
    <x v="46"/>
    <n v="1"/>
    <n v="1"/>
    <n v="0"/>
    <n v="0"/>
    <n v="0"/>
    <n v="0"/>
    <n v="0"/>
    <n v="0"/>
    <n v="0"/>
    <n v="0"/>
    <n v="2025"/>
    <x v="6"/>
    <x v="2"/>
    <x v="2"/>
  </r>
  <r>
    <x v="1"/>
    <x v="125"/>
    <x v="1"/>
    <x v="5"/>
    <n v="68"/>
    <n v="32"/>
    <n v="0"/>
    <n v="0"/>
    <n v="0"/>
    <n v="0"/>
    <n v="0"/>
    <n v="0"/>
    <n v="2"/>
    <n v="68"/>
    <n v="2025"/>
    <x v="6"/>
    <x v="2"/>
    <x v="2"/>
  </r>
  <r>
    <x v="1"/>
    <x v="125"/>
    <x v="1"/>
    <x v="6"/>
    <n v="235"/>
    <n v="203"/>
    <n v="0"/>
    <n v="0"/>
    <n v="0"/>
    <n v="0"/>
    <n v="0"/>
    <n v="0"/>
    <n v="0"/>
    <n v="0"/>
    <n v="2025"/>
    <x v="6"/>
    <x v="2"/>
    <x v="2"/>
  </r>
  <r>
    <x v="1"/>
    <x v="125"/>
    <x v="1"/>
    <x v="7"/>
    <n v="399"/>
    <n v="70"/>
    <n v="33"/>
    <n v="3"/>
    <n v="168234.09"/>
    <n v="28"/>
    <n v="167730.09"/>
    <n v="27"/>
    <n v="104"/>
    <n v="382"/>
    <n v="2025"/>
    <x v="6"/>
    <x v="2"/>
    <x v="2"/>
  </r>
  <r>
    <x v="1"/>
    <x v="125"/>
    <x v="1"/>
    <x v="8"/>
    <n v="20"/>
    <n v="10"/>
    <n v="1"/>
    <n v="1"/>
    <n v="0"/>
    <n v="0"/>
    <n v="0"/>
    <n v="0"/>
    <n v="0"/>
    <n v="20"/>
    <n v="2025"/>
    <x v="6"/>
    <x v="2"/>
    <x v="2"/>
  </r>
  <r>
    <x v="1"/>
    <x v="125"/>
    <x v="1"/>
    <x v="10"/>
    <n v="9"/>
    <n v="4"/>
    <n v="0"/>
    <n v="0"/>
    <n v="0"/>
    <n v="0"/>
    <n v="0"/>
    <n v="0"/>
    <n v="0"/>
    <n v="2"/>
    <n v="2025"/>
    <x v="6"/>
    <x v="2"/>
    <x v="2"/>
  </r>
  <r>
    <x v="1"/>
    <x v="125"/>
    <x v="1"/>
    <x v="11"/>
    <n v="1"/>
    <n v="1"/>
    <n v="0"/>
    <n v="0"/>
    <n v="0"/>
    <n v="0"/>
    <n v="0"/>
    <n v="0"/>
    <n v="0"/>
    <n v="1"/>
    <n v="2025"/>
    <x v="6"/>
    <x v="2"/>
    <x v="2"/>
  </r>
  <r>
    <x v="1"/>
    <x v="125"/>
    <x v="1"/>
    <x v="61"/>
    <n v="35"/>
    <n v="21"/>
    <n v="3"/>
    <n v="3"/>
    <n v="2090"/>
    <n v="1"/>
    <n v="2090"/>
    <n v="1"/>
    <n v="1"/>
    <n v="35"/>
    <n v="2025"/>
    <x v="6"/>
    <x v="2"/>
    <x v="2"/>
  </r>
  <r>
    <x v="1"/>
    <x v="125"/>
    <x v="1"/>
    <x v="59"/>
    <n v="2854"/>
    <n v="2298"/>
    <n v="16"/>
    <n v="7"/>
    <n v="15450.09"/>
    <n v="4"/>
    <n v="15450.09"/>
    <n v="4"/>
    <n v="96"/>
    <n v="526"/>
    <n v="2025"/>
    <x v="6"/>
    <x v="2"/>
    <x v="2"/>
  </r>
  <r>
    <x v="1"/>
    <x v="125"/>
    <x v="1"/>
    <x v="15"/>
    <n v="2"/>
    <n v="1"/>
    <n v="0"/>
    <n v="0"/>
    <n v="0"/>
    <n v="0"/>
    <n v="0"/>
    <n v="0"/>
    <n v="0"/>
    <n v="2"/>
    <n v="2025"/>
    <x v="6"/>
    <x v="2"/>
    <x v="2"/>
  </r>
  <r>
    <x v="1"/>
    <x v="125"/>
    <x v="1"/>
    <x v="17"/>
    <n v="206"/>
    <n v="58"/>
    <n v="2"/>
    <n v="0"/>
    <n v="0"/>
    <n v="0"/>
    <n v="0"/>
    <n v="0"/>
    <n v="0"/>
    <n v="206"/>
    <n v="2025"/>
    <x v="6"/>
    <x v="2"/>
    <x v="2"/>
  </r>
  <r>
    <x v="1"/>
    <x v="125"/>
    <x v="1"/>
    <x v="18"/>
    <n v="10"/>
    <n v="7"/>
    <n v="1"/>
    <n v="0"/>
    <n v="1990"/>
    <n v="1"/>
    <n v="1990"/>
    <n v="1"/>
    <n v="2"/>
    <n v="10"/>
    <n v="2025"/>
    <x v="6"/>
    <x v="2"/>
    <x v="2"/>
  </r>
  <r>
    <x v="1"/>
    <x v="125"/>
    <x v="1"/>
    <x v="19"/>
    <n v="2028"/>
    <n v="1160"/>
    <n v="51"/>
    <n v="14"/>
    <n v="142339.09"/>
    <n v="22"/>
    <n v="125960.09"/>
    <n v="18"/>
    <n v="293"/>
    <n v="1613"/>
    <n v="2025"/>
    <x v="6"/>
    <x v="2"/>
    <x v="2"/>
  </r>
  <r>
    <x v="1"/>
    <x v="125"/>
    <x v="1"/>
    <x v="20"/>
    <n v="39"/>
    <n v="10"/>
    <n v="2"/>
    <n v="0"/>
    <n v="17500"/>
    <n v="1"/>
    <n v="17500"/>
    <n v="1"/>
    <n v="5"/>
    <n v="37"/>
    <n v="2025"/>
    <x v="6"/>
    <x v="2"/>
    <x v="2"/>
  </r>
  <r>
    <x v="1"/>
    <x v="125"/>
    <x v="1"/>
    <x v="24"/>
    <n v="29"/>
    <n v="17"/>
    <n v="2"/>
    <n v="1"/>
    <n v="17500"/>
    <n v="1"/>
    <n v="17500"/>
    <n v="1"/>
    <n v="4"/>
    <n v="27"/>
    <n v="2025"/>
    <x v="6"/>
    <x v="2"/>
    <x v="2"/>
  </r>
  <r>
    <x v="1"/>
    <x v="125"/>
    <x v="1"/>
    <x v="27"/>
    <n v="121"/>
    <n v="52"/>
    <n v="7"/>
    <n v="2"/>
    <n v="24300"/>
    <n v="4"/>
    <n v="22310"/>
    <n v="4"/>
    <n v="39"/>
    <n v="111"/>
    <n v="2025"/>
    <x v="6"/>
    <x v="2"/>
    <x v="2"/>
  </r>
  <r>
    <x v="1"/>
    <x v="125"/>
    <x v="1"/>
    <x v="29"/>
    <n v="2029"/>
    <n v="1624"/>
    <n v="59"/>
    <n v="13"/>
    <n v="25302"/>
    <n v="8"/>
    <n v="25302"/>
    <n v="8"/>
    <n v="305"/>
    <n v="1959"/>
    <n v="2025"/>
    <x v="6"/>
    <x v="2"/>
    <x v="2"/>
  </r>
  <r>
    <x v="1"/>
    <x v="125"/>
    <x v="1"/>
    <x v="30"/>
    <n v="12964"/>
    <n v="7923"/>
    <n v="144"/>
    <n v="47"/>
    <n v="164860"/>
    <n v="29"/>
    <n v="151235"/>
    <n v="27"/>
    <n v="400"/>
    <n v="12894"/>
    <n v="2025"/>
    <x v="6"/>
    <x v="2"/>
    <x v="2"/>
  </r>
  <r>
    <x v="1"/>
    <x v="125"/>
    <x v="1"/>
    <x v="31"/>
    <n v="145"/>
    <n v="90"/>
    <n v="5"/>
    <n v="3"/>
    <n v="3980"/>
    <n v="2"/>
    <n v="1990"/>
    <n v="1"/>
    <n v="17"/>
    <n v="139"/>
    <n v="2025"/>
    <x v="6"/>
    <x v="2"/>
    <x v="2"/>
  </r>
  <r>
    <x v="1"/>
    <x v="125"/>
    <x v="1"/>
    <x v="32"/>
    <n v="2"/>
    <n v="1"/>
    <n v="0"/>
    <n v="0"/>
    <n v="6940"/>
    <n v="1"/>
    <n v="6940"/>
    <n v="1"/>
    <n v="2"/>
    <n v="2"/>
    <n v="2025"/>
    <x v="6"/>
    <x v="2"/>
    <x v="2"/>
  </r>
  <r>
    <x v="1"/>
    <x v="125"/>
    <x v="1"/>
    <x v="34"/>
    <n v="47"/>
    <n v="24"/>
    <n v="3"/>
    <n v="0"/>
    <n v="2990"/>
    <n v="1"/>
    <n v="2990"/>
    <n v="1"/>
    <n v="38"/>
    <n v="32"/>
    <n v="2025"/>
    <x v="6"/>
    <x v="2"/>
    <x v="2"/>
  </r>
  <r>
    <x v="1"/>
    <x v="125"/>
    <x v="1"/>
    <x v="36"/>
    <n v="2"/>
    <n v="1"/>
    <n v="0"/>
    <n v="0"/>
    <n v="0"/>
    <n v="0"/>
    <n v="0"/>
    <n v="0"/>
    <n v="0"/>
    <n v="2"/>
    <n v="2025"/>
    <x v="6"/>
    <x v="2"/>
    <x v="2"/>
  </r>
  <r>
    <x v="1"/>
    <x v="125"/>
    <x v="1"/>
    <x v="38"/>
    <n v="299"/>
    <n v="75"/>
    <n v="15"/>
    <n v="5"/>
    <n v="98385"/>
    <n v="16"/>
    <n v="88875"/>
    <n v="13"/>
    <n v="64"/>
    <n v="289"/>
    <n v="2025"/>
    <x v="6"/>
    <x v="2"/>
    <x v="2"/>
  </r>
  <r>
    <x v="1"/>
    <x v="125"/>
    <x v="1"/>
    <x v="60"/>
    <n v="1"/>
    <n v="1"/>
    <n v="0"/>
    <n v="0"/>
    <n v="0"/>
    <n v="0"/>
    <n v="0"/>
    <n v="0"/>
    <n v="0"/>
    <n v="1"/>
    <n v="2025"/>
    <x v="6"/>
    <x v="2"/>
    <x v="2"/>
  </r>
  <r>
    <x v="1"/>
    <x v="125"/>
    <x v="1"/>
    <x v="64"/>
    <n v="616"/>
    <n v="302"/>
    <n v="16"/>
    <n v="4"/>
    <n v="32480"/>
    <n v="3"/>
    <n v="25490"/>
    <n v="2"/>
    <n v="75"/>
    <n v="613"/>
    <n v="2025"/>
    <x v="6"/>
    <x v="2"/>
    <x v="2"/>
  </r>
  <r>
    <x v="1"/>
    <x v="125"/>
    <x v="1"/>
    <x v="42"/>
    <n v="161"/>
    <n v="63"/>
    <n v="5"/>
    <n v="3"/>
    <n v="0"/>
    <n v="0"/>
    <n v="0"/>
    <n v="0"/>
    <n v="12"/>
    <n v="157"/>
    <n v="2025"/>
    <x v="6"/>
    <x v="2"/>
    <x v="2"/>
  </r>
  <r>
    <x v="1"/>
    <x v="125"/>
    <x v="1"/>
    <x v="43"/>
    <n v="115"/>
    <n v="53"/>
    <n v="6"/>
    <n v="2"/>
    <n v="3940"/>
    <n v="1"/>
    <n v="3940"/>
    <n v="1"/>
    <n v="94"/>
    <n v="70"/>
    <n v="2025"/>
    <x v="6"/>
    <x v="2"/>
    <x v="2"/>
  </r>
  <r>
    <x v="1"/>
    <x v="125"/>
    <x v="1"/>
    <x v="44"/>
    <n v="46"/>
    <n v="9"/>
    <n v="0"/>
    <n v="0"/>
    <n v="0"/>
    <n v="0"/>
    <n v="0"/>
    <n v="0"/>
    <n v="0"/>
    <n v="46"/>
    <n v="2025"/>
    <x v="6"/>
    <x v="2"/>
    <x v="2"/>
  </r>
  <r>
    <x v="1"/>
    <x v="125"/>
    <x v="1"/>
    <x v="45"/>
    <n v="1"/>
    <n v="0"/>
    <n v="0"/>
    <n v="0"/>
    <n v="0"/>
    <n v="0"/>
    <n v="0"/>
    <n v="0"/>
    <n v="0"/>
    <n v="1"/>
    <n v="2025"/>
    <x v="6"/>
    <x v="2"/>
    <x v="2"/>
  </r>
  <r>
    <x v="1"/>
    <x v="126"/>
    <x v="0"/>
    <x v="0"/>
    <n v="291"/>
    <n v="95"/>
    <n v="4"/>
    <n v="1"/>
    <n v="16540"/>
    <n v="1"/>
    <n v="16540"/>
    <n v="1"/>
    <n v="6"/>
    <n v="290"/>
    <n v="2025"/>
    <x v="6"/>
    <x v="2"/>
    <x v="2"/>
  </r>
  <r>
    <x v="1"/>
    <x v="126"/>
    <x v="0"/>
    <x v="1"/>
    <n v="30779"/>
    <n v="18053"/>
    <n v="173"/>
    <n v="138"/>
    <n v="240297"/>
    <n v="31"/>
    <n v="142352"/>
    <n v="24"/>
    <n v="1492"/>
    <n v="30371"/>
    <n v="2025"/>
    <x v="6"/>
    <x v="2"/>
    <x v="2"/>
  </r>
  <r>
    <x v="1"/>
    <x v="126"/>
    <x v="0"/>
    <x v="3"/>
    <n v="143"/>
    <n v="102"/>
    <n v="0"/>
    <n v="0"/>
    <n v="0"/>
    <n v="0"/>
    <n v="0"/>
    <n v="0"/>
    <n v="5"/>
    <n v="136"/>
    <n v="2025"/>
    <x v="6"/>
    <x v="2"/>
    <x v="2"/>
  </r>
  <r>
    <x v="1"/>
    <x v="126"/>
    <x v="1"/>
    <x v="5"/>
    <n v="59"/>
    <n v="23"/>
    <n v="1"/>
    <n v="0"/>
    <n v="15980"/>
    <n v="1"/>
    <n v="15980"/>
    <n v="1"/>
    <n v="2"/>
    <n v="59"/>
    <n v="2025"/>
    <x v="6"/>
    <x v="2"/>
    <x v="2"/>
  </r>
  <r>
    <x v="1"/>
    <x v="126"/>
    <x v="1"/>
    <x v="7"/>
    <n v="384"/>
    <n v="63"/>
    <n v="36"/>
    <n v="3"/>
    <n v="208518.07"/>
    <n v="36"/>
    <n v="193068.07"/>
    <n v="33"/>
    <n v="110"/>
    <n v="373"/>
    <n v="2025"/>
    <x v="6"/>
    <x v="2"/>
    <x v="2"/>
  </r>
  <r>
    <x v="1"/>
    <x v="126"/>
    <x v="1"/>
    <x v="8"/>
    <n v="8"/>
    <n v="2"/>
    <n v="0"/>
    <n v="0"/>
    <n v="0"/>
    <n v="0"/>
    <n v="0"/>
    <n v="0"/>
    <n v="0"/>
    <n v="8"/>
    <n v="2025"/>
    <x v="6"/>
    <x v="2"/>
    <x v="2"/>
  </r>
  <r>
    <x v="1"/>
    <x v="126"/>
    <x v="1"/>
    <x v="61"/>
    <n v="84"/>
    <n v="63"/>
    <n v="0"/>
    <n v="0"/>
    <n v="0"/>
    <n v="0"/>
    <n v="0"/>
    <n v="0"/>
    <n v="0"/>
    <n v="84"/>
    <n v="2025"/>
    <x v="6"/>
    <x v="2"/>
    <x v="2"/>
  </r>
  <r>
    <x v="1"/>
    <x v="126"/>
    <x v="1"/>
    <x v="59"/>
    <n v="450"/>
    <n v="176"/>
    <n v="22"/>
    <n v="2"/>
    <n v="123185"/>
    <n v="14"/>
    <n v="123185"/>
    <n v="14"/>
    <n v="86"/>
    <n v="400"/>
    <n v="2025"/>
    <x v="6"/>
    <x v="2"/>
    <x v="2"/>
  </r>
  <r>
    <x v="1"/>
    <x v="126"/>
    <x v="1"/>
    <x v="15"/>
    <n v="1"/>
    <n v="0"/>
    <n v="0"/>
    <n v="0"/>
    <n v="0"/>
    <n v="0"/>
    <n v="0"/>
    <n v="0"/>
    <n v="0"/>
    <n v="1"/>
    <n v="2025"/>
    <x v="6"/>
    <x v="2"/>
    <x v="2"/>
  </r>
  <r>
    <x v="1"/>
    <x v="126"/>
    <x v="1"/>
    <x v="17"/>
    <n v="166"/>
    <n v="51"/>
    <n v="0"/>
    <n v="0"/>
    <n v="0"/>
    <n v="0"/>
    <n v="0"/>
    <n v="0"/>
    <n v="0"/>
    <n v="166"/>
    <n v="2025"/>
    <x v="6"/>
    <x v="2"/>
    <x v="2"/>
  </r>
  <r>
    <x v="1"/>
    <x v="126"/>
    <x v="1"/>
    <x v="18"/>
    <n v="18"/>
    <n v="13"/>
    <n v="1"/>
    <n v="0"/>
    <n v="18930"/>
    <n v="1"/>
    <n v="18930"/>
    <n v="1"/>
    <n v="2"/>
    <n v="18"/>
    <n v="2025"/>
    <x v="6"/>
    <x v="2"/>
    <x v="2"/>
  </r>
  <r>
    <x v="1"/>
    <x v="126"/>
    <x v="1"/>
    <x v="19"/>
    <n v="1250"/>
    <n v="599"/>
    <n v="59"/>
    <n v="10"/>
    <n v="160929.67000000001"/>
    <n v="23"/>
    <n v="140219.67000000001"/>
    <n v="21"/>
    <n v="306"/>
    <n v="1112"/>
    <n v="2025"/>
    <x v="6"/>
    <x v="2"/>
    <x v="2"/>
  </r>
  <r>
    <x v="1"/>
    <x v="126"/>
    <x v="1"/>
    <x v="20"/>
    <n v="36"/>
    <n v="14"/>
    <n v="3"/>
    <n v="0"/>
    <n v="36120"/>
    <n v="5"/>
    <n v="28975"/>
    <n v="4"/>
    <n v="4"/>
    <n v="36"/>
    <n v="2025"/>
    <x v="6"/>
    <x v="2"/>
    <x v="2"/>
  </r>
  <r>
    <x v="1"/>
    <x v="126"/>
    <x v="1"/>
    <x v="24"/>
    <n v="20"/>
    <n v="14"/>
    <n v="1"/>
    <n v="1"/>
    <n v="0"/>
    <n v="0"/>
    <n v="0"/>
    <n v="0"/>
    <n v="1"/>
    <n v="20"/>
    <n v="2025"/>
    <x v="6"/>
    <x v="2"/>
    <x v="2"/>
  </r>
  <r>
    <x v="1"/>
    <x v="126"/>
    <x v="1"/>
    <x v="27"/>
    <n v="114"/>
    <n v="41"/>
    <n v="4"/>
    <n v="2"/>
    <n v="88095"/>
    <n v="11"/>
    <n v="88095"/>
    <n v="11"/>
    <n v="45"/>
    <n v="102"/>
    <n v="2025"/>
    <x v="6"/>
    <x v="2"/>
    <x v="2"/>
  </r>
  <r>
    <x v="1"/>
    <x v="126"/>
    <x v="1"/>
    <x v="29"/>
    <n v="2417"/>
    <n v="2007"/>
    <n v="71"/>
    <n v="10"/>
    <n v="55645"/>
    <n v="10"/>
    <n v="39370"/>
    <n v="8"/>
    <n v="329"/>
    <n v="2337"/>
    <n v="2025"/>
    <x v="6"/>
    <x v="2"/>
    <x v="2"/>
  </r>
  <r>
    <x v="1"/>
    <x v="126"/>
    <x v="1"/>
    <x v="30"/>
    <n v="7161"/>
    <n v="3409"/>
    <n v="145"/>
    <n v="35"/>
    <n v="170715"/>
    <n v="29"/>
    <n v="161095"/>
    <n v="26"/>
    <n v="446"/>
    <n v="7103"/>
    <n v="2025"/>
    <x v="6"/>
    <x v="2"/>
    <x v="2"/>
  </r>
  <r>
    <x v="1"/>
    <x v="126"/>
    <x v="1"/>
    <x v="31"/>
    <n v="163"/>
    <n v="88"/>
    <n v="10"/>
    <n v="2"/>
    <n v="11200"/>
    <n v="3"/>
    <n v="11200"/>
    <n v="3"/>
    <n v="9"/>
    <n v="163"/>
    <n v="2025"/>
    <x v="6"/>
    <x v="2"/>
    <x v="2"/>
  </r>
  <r>
    <x v="1"/>
    <x v="126"/>
    <x v="1"/>
    <x v="32"/>
    <n v="1"/>
    <n v="0"/>
    <n v="0"/>
    <n v="0"/>
    <n v="0"/>
    <n v="0"/>
    <n v="0"/>
    <n v="0"/>
    <n v="0"/>
    <n v="1"/>
    <n v="2025"/>
    <x v="6"/>
    <x v="2"/>
    <x v="2"/>
  </r>
  <r>
    <x v="1"/>
    <x v="126"/>
    <x v="1"/>
    <x v="34"/>
    <n v="37"/>
    <n v="20"/>
    <n v="3"/>
    <n v="0"/>
    <n v="2150"/>
    <n v="1"/>
    <n v="2150"/>
    <n v="1"/>
    <n v="34"/>
    <n v="16"/>
    <n v="2025"/>
    <x v="6"/>
    <x v="2"/>
    <x v="2"/>
  </r>
  <r>
    <x v="1"/>
    <x v="126"/>
    <x v="1"/>
    <x v="36"/>
    <n v="1"/>
    <n v="1"/>
    <n v="0"/>
    <n v="0"/>
    <n v="0"/>
    <n v="0"/>
    <n v="0"/>
    <n v="0"/>
    <n v="1"/>
    <n v="0"/>
    <n v="2025"/>
    <x v="6"/>
    <x v="2"/>
    <x v="2"/>
  </r>
  <r>
    <x v="1"/>
    <x v="126"/>
    <x v="1"/>
    <x v="38"/>
    <n v="303"/>
    <n v="76"/>
    <n v="21"/>
    <n v="9"/>
    <n v="141412"/>
    <n v="19"/>
    <n v="119522"/>
    <n v="16"/>
    <n v="64"/>
    <n v="295"/>
    <n v="2025"/>
    <x v="6"/>
    <x v="2"/>
    <x v="2"/>
  </r>
  <r>
    <x v="1"/>
    <x v="126"/>
    <x v="1"/>
    <x v="39"/>
    <n v="4"/>
    <n v="3"/>
    <n v="0"/>
    <n v="0"/>
    <n v="0"/>
    <n v="0"/>
    <n v="0"/>
    <n v="0"/>
    <n v="0"/>
    <n v="4"/>
    <n v="2025"/>
    <x v="6"/>
    <x v="2"/>
    <x v="2"/>
  </r>
  <r>
    <x v="1"/>
    <x v="126"/>
    <x v="1"/>
    <x v="64"/>
    <n v="584"/>
    <n v="307"/>
    <n v="23"/>
    <n v="2"/>
    <n v="36495"/>
    <n v="6"/>
    <n v="35005"/>
    <n v="5"/>
    <n v="74"/>
    <n v="577"/>
    <n v="2025"/>
    <x v="6"/>
    <x v="2"/>
    <x v="2"/>
  </r>
  <r>
    <x v="1"/>
    <x v="126"/>
    <x v="1"/>
    <x v="42"/>
    <n v="184"/>
    <n v="83"/>
    <n v="6"/>
    <n v="4"/>
    <n v="6220"/>
    <n v="1"/>
    <n v="6220"/>
    <n v="1"/>
    <n v="28"/>
    <n v="177"/>
    <n v="2025"/>
    <x v="6"/>
    <x v="2"/>
    <x v="2"/>
  </r>
  <r>
    <x v="1"/>
    <x v="126"/>
    <x v="1"/>
    <x v="43"/>
    <n v="113"/>
    <n v="43"/>
    <n v="5"/>
    <n v="4"/>
    <n v="9210"/>
    <n v="2"/>
    <n v="6220"/>
    <n v="1"/>
    <n v="91"/>
    <n v="71"/>
    <n v="2025"/>
    <x v="6"/>
    <x v="2"/>
    <x v="2"/>
  </r>
  <r>
    <x v="1"/>
    <x v="126"/>
    <x v="1"/>
    <x v="44"/>
    <n v="52"/>
    <n v="12"/>
    <n v="2"/>
    <n v="0"/>
    <n v="11220"/>
    <n v="4"/>
    <n v="11220"/>
    <n v="4"/>
    <n v="0"/>
    <n v="52"/>
    <n v="2025"/>
    <x v="6"/>
    <x v="2"/>
    <x v="2"/>
  </r>
  <r>
    <x v="1"/>
    <x v="127"/>
    <x v="0"/>
    <x v="0"/>
    <n v="327"/>
    <n v="103"/>
    <n v="6"/>
    <n v="0"/>
    <n v="30839.46"/>
    <n v="4"/>
    <n v="30839.46"/>
    <n v="4"/>
    <n v="9"/>
    <n v="319"/>
    <n v="2025"/>
    <x v="6"/>
    <x v="2"/>
    <x v="2"/>
  </r>
  <r>
    <x v="1"/>
    <x v="127"/>
    <x v="0"/>
    <x v="1"/>
    <n v="28380"/>
    <n v="15696"/>
    <n v="184"/>
    <n v="138"/>
    <n v="152674.46"/>
    <n v="15"/>
    <n v="39944.46"/>
    <n v="10"/>
    <n v="1692"/>
    <n v="27863"/>
    <n v="2025"/>
    <x v="6"/>
    <x v="2"/>
    <x v="2"/>
  </r>
  <r>
    <x v="1"/>
    <x v="127"/>
    <x v="0"/>
    <x v="2"/>
    <n v="1"/>
    <n v="0"/>
    <n v="0"/>
    <n v="0"/>
    <n v="0"/>
    <n v="0"/>
    <n v="0"/>
    <n v="0"/>
    <n v="1"/>
    <n v="0"/>
    <n v="2025"/>
    <x v="6"/>
    <x v="2"/>
    <x v="2"/>
  </r>
  <r>
    <x v="1"/>
    <x v="127"/>
    <x v="0"/>
    <x v="3"/>
    <n v="1575"/>
    <n v="962"/>
    <n v="13"/>
    <n v="3"/>
    <n v="0"/>
    <n v="0"/>
    <n v="0"/>
    <n v="0"/>
    <n v="45"/>
    <n v="584"/>
    <n v="2025"/>
    <x v="6"/>
    <x v="2"/>
    <x v="2"/>
  </r>
  <r>
    <x v="1"/>
    <x v="127"/>
    <x v="1"/>
    <x v="46"/>
    <n v="2"/>
    <n v="1"/>
    <n v="0"/>
    <n v="0"/>
    <n v="0"/>
    <n v="0"/>
    <n v="0"/>
    <n v="0"/>
    <n v="0"/>
    <n v="0"/>
    <n v="2025"/>
    <x v="6"/>
    <x v="2"/>
    <x v="2"/>
  </r>
  <r>
    <x v="1"/>
    <x v="127"/>
    <x v="1"/>
    <x v="5"/>
    <n v="54"/>
    <n v="12"/>
    <n v="0"/>
    <n v="0"/>
    <n v="0"/>
    <n v="0"/>
    <n v="0"/>
    <n v="0"/>
    <n v="0"/>
    <n v="54"/>
    <n v="2025"/>
    <x v="6"/>
    <x v="2"/>
    <x v="2"/>
  </r>
  <r>
    <x v="1"/>
    <x v="127"/>
    <x v="1"/>
    <x v="6"/>
    <n v="432"/>
    <n v="22628"/>
    <n v="0"/>
    <n v="0"/>
    <n v="0"/>
    <n v="0"/>
    <n v="0"/>
    <n v="0"/>
    <n v="0"/>
    <n v="0"/>
    <n v="2025"/>
    <x v="6"/>
    <x v="2"/>
    <x v="2"/>
  </r>
  <r>
    <x v="1"/>
    <x v="127"/>
    <x v="1"/>
    <x v="7"/>
    <n v="404"/>
    <n v="73"/>
    <n v="32"/>
    <n v="2"/>
    <n v="183929.46"/>
    <n v="28"/>
    <n v="155084.46"/>
    <n v="27"/>
    <n v="92"/>
    <n v="390"/>
    <n v="2025"/>
    <x v="6"/>
    <x v="2"/>
    <x v="2"/>
  </r>
  <r>
    <x v="1"/>
    <x v="127"/>
    <x v="1"/>
    <x v="8"/>
    <n v="15"/>
    <n v="3"/>
    <n v="0"/>
    <n v="1"/>
    <n v="0"/>
    <n v="0"/>
    <n v="0"/>
    <n v="0"/>
    <n v="0"/>
    <n v="15"/>
    <n v="2025"/>
    <x v="6"/>
    <x v="2"/>
    <x v="2"/>
  </r>
  <r>
    <x v="1"/>
    <x v="127"/>
    <x v="1"/>
    <x v="10"/>
    <n v="12"/>
    <n v="3"/>
    <n v="0"/>
    <n v="0"/>
    <n v="0"/>
    <n v="0"/>
    <n v="0"/>
    <n v="0"/>
    <n v="0"/>
    <n v="1"/>
    <n v="2025"/>
    <x v="6"/>
    <x v="2"/>
    <x v="2"/>
  </r>
  <r>
    <x v="1"/>
    <x v="127"/>
    <x v="1"/>
    <x v="11"/>
    <n v="2"/>
    <n v="1"/>
    <n v="0"/>
    <n v="0"/>
    <n v="0"/>
    <n v="0"/>
    <n v="0"/>
    <n v="0"/>
    <n v="2"/>
    <n v="0"/>
    <n v="2025"/>
    <x v="6"/>
    <x v="2"/>
    <x v="2"/>
  </r>
  <r>
    <x v="1"/>
    <x v="127"/>
    <x v="1"/>
    <x v="61"/>
    <n v="90"/>
    <n v="69"/>
    <n v="3"/>
    <n v="0"/>
    <n v="0"/>
    <n v="0"/>
    <n v="0"/>
    <n v="0"/>
    <n v="0"/>
    <n v="90"/>
    <n v="2025"/>
    <x v="6"/>
    <x v="2"/>
    <x v="2"/>
  </r>
  <r>
    <x v="1"/>
    <x v="127"/>
    <x v="1"/>
    <x v="48"/>
    <n v="1"/>
    <n v="0"/>
    <n v="0"/>
    <n v="0"/>
    <n v="0"/>
    <n v="0"/>
    <n v="0"/>
    <n v="0"/>
    <n v="0"/>
    <n v="1"/>
    <n v="2025"/>
    <x v="6"/>
    <x v="2"/>
    <x v="2"/>
  </r>
  <r>
    <x v="1"/>
    <x v="127"/>
    <x v="1"/>
    <x v="59"/>
    <n v="3692"/>
    <n v="3100"/>
    <n v="17"/>
    <n v="8"/>
    <n v="83645"/>
    <n v="13"/>
    <n v="68765"/>
    <n v="12"/>
    <n v="118"/>
    <n v="460"/>
    <n v="2025"/>
    <x v="6"/>
    <x v="2"/>
    <x v="2"/>
  </r>
  <r>
    <x v="1"/>
    <x v="127"/>
    <x v="1"/>
    <x v="15"/>
    <n v="1"/>
    <n v="0"/>
    <n v="0"/>
    <n v="0"/>
    <n v="0"/>
    <n v="0"/>
    <n v="0"/>
    <n v="0"/>
    <n v="0"/>
    <n v="1"/>
    <n v="2025"/>
    <x v="6"/>
    <x v="2"/>
    <x v="2"/>
  </r>
  <r>
    <x v="1"/>
    <x v="127"/>
    <x v="1"/>
    <x v="17"/>
    <n v="185"/>
    <n v="58"/>
    <n v="3"/>
    <n v="0"/>
    <n v="6990"/>
    <n v="1"/>
    <n v="0"/>
    <n v="0"/>
    <n v="2"/>
    <n v="183"/>
    <n v="2025"/>
    <x v="6"/>
    <x v="2"/>
    <x v="2"/>
  </r>
  <r>
    <x v="1"/>
    <x v="127"/>
    <x v="1"/>
    <x v="18"/>
    <n v="11"/>
    <n v="9"/>
    <n v="4"/>
    <n v="0"/>
    <n v="3990"/>
    <n v="1"/>
    <n v="3990"/>
    <n v="1"/>
    <n v="1"/>
    <n v="11"/>
    <n v="2025"/>
    <x v="6"/>
    <x v="2"/>
    <x v="2"/>
  </r>
  <r>
    <x v="1"/>
    <x v="127"/>
    <x v="1"/>
    <x v="19"/>
    <n v="1396"/>
    <n v="573"/>
    <n v="45"/>
    <n v="17"/>
    <n v="126435"/>
    <n v="18"/>
    <n v="90895"/>
    <n v="16"/>
    <n v="340"/>
    <n v="1190"/>
    <n v="2025"/>
    <x v="6"/>
    <x v="2"/>
    <x v="2"/>
  </r>
  <r>
    <x v="1"/>
    <x v="127"/>
    <x v="1"/>
    <x v="20"/>
    <n v="35"/>
    <n v="22"/>
    <n v="2"/>
    <n v="1"/>
    <n v="0"/>
    <n v="0"/>
    <n v="0"/>
    <n v="0"/>
    <n v="4"/>
    <n v="34"/>
    <n v="2025"/>
    <x v="6"/>
    <x v="2"/>
    <x v="2"/>
  </r>
  <r>
    <x v="1"/>
    <x v="127"/>
    <x v="1"/>
    <x v="24"/>
    <n v="26"/>
    <n v="17"/>
    <n v="2"/>
    <n v="1"/>
    <n v="0"/>
    <n v="0"/>
    <n v="0"/>
    <n v="0"/>
    <n v="3"/>
    <n v="25"/>
    <n v="2025"/>
    <x v="6"/>
    <x v="2"/>
    <x v="2"/>
  </r>
  <r>
    <x v="1"/>
    <x v="127"/>
    <x v="1"/>
    <x v="27"/>
    <n v="129"/>
    <n v="40"/>
    <n v="9"/>
    <n v="1"/>
    <n v="84370"/>
    <n v="7"/>
    <n v="42690"/>
    <n v="6"/>
    <n v="43"/>
    <n v="117"/>
    <n v="2025"/>
    <x v="6"/>
    <x v="2"/>
    <x v="2"/>
  </r>
  <r>
    <x v="1"/>
    <x v="127"/>
    <x v="1"/>
    <x v="29"/>
    <n v="1357"/>
    <n v="1032"/>
    <n v="51"/>
    <n v="10"/>
    <n v="30710"/>
    <n v="8"/>
    <n v="23930"/>
    <n v="7"/>
    <n v="286"/>
    <n v="1290"/>
    <n v="2025"/>
    <x v="6"/>
    <x v="2"/>
    <x v="2"/>
  </r>
  <r>
    <x v="1"/>
    <x v="127"/>
    <x v="1"/>
    <x v="30"/>
    <n v="7672"/>
    <n v="3198"/>
    <n v="126"/>
    <n v="49"/>
    <n v="147280"/>
    <n v="21"/>
    <n v="86615"/>
    <n v="18"/>
    <n v="365"/>
    <n v="7525"/>
    <n v="2025"/>
    <x v="6"/>
    <x v="2"/>
    <x v="2"/>
  </r>
  <r>
    <x v="1"/>
    <x v="127"/>
    <x v="1"/>
    <x v="31"/>
    <n v="150"/>
    <n v="97"/>
    <n v="6"/>
    <n v="1"/>
    <n v="29540"/>
    <n v="2"/>
    <n v="990"/>
    <n v="1"/>
    <n v="16"/>
    <n v="144"/>
    <n v="2025"/>
    <x v="6"/>
    <x v="2"/>
    <x v="2"/>
  </r>
  <r>
    <x v="1"/>
    <x v="127"/>
    <x v="1"/>
    <x v="32"/>
    <n v="1"/>
    <n v="1"/>
    <n v="0"/>
    <n v="0"/>
    <n v="0"/>
    <n v="0"/>
    <n v="0"/>
    <n v="0"/>
    <n v="1"/>
    <n v="1"/>
    <n v="2025"/>
    <x v="6"/>
    <x v="2"/>
    <x v="2"/>
  </r>
  <r>
    <x v="1"/>
    <x v="127"/>
    <x v="1"/>
    <x v="34"/>
    <n v="53"/>
    <n v="19"/>
    <n v="5"/>
    <n v="0"/>
    <n v="4900"/>
    <n v="1"/>
    <n v="4900"/>
    <n v="1"/>
    <n v="50"/>
    <n v="21"/>
    <n v="2025"/>
    <x v="6"/>
    <x v="2"/>
    <x v="2"/>
  </r>
  <r>
    <x v="1"/>
    <x v="127"/>
    <x v="1"/>
    <x v="36"/>
    <n v="2"/>
    <n v="2"/>
    <n v="0"/>
    <n v="0"/>
    <n v="0"/>
    <n v="0"/>
    <n v="0"/>
    <n v="0"/>
    <n v="0"/>
    <n v="2"/>
    <n v="2025"/>
    <x v="6"/>
    <x v="2"/>
    <x v="2"/>
  </r>
  <r>
    <x v="1"/>
    <x v="127"/>
    <x v="1"/>
    <x v="38"/>
    <n v="279"/>
    <n v="57"/>
    <n v="14"/>
    <n v="3"/>
    <n v="121679.46"/>
    <n v="15"/>
    <n v="97164.46"/>
    <n v="12"/>
    <n v="50"/>
    <n v="272"/>
    <n v="2025"/>
    <x v="6"/>
    <x v="2"/>
    <x v="2"/>
  </r>
  <r>
    <x v="1"/>
    <x v="127"/>
    <x v="1"/>
    <x v="39"/>
    <n v="5"/>
    <n v="5"/>
    <n v="0"/>
    <n v="0"/>
    <n v="0"/>
    <n v="0"/>
    <n v="0"/>
    <n v="0"/>
    <n v="0"/>
    <n v="5"/>
    <n v="2025"/>
    <x v="6"/>
    <x v="2"/>
    <x v="2"/>
  </r>
  <r>
    <x v="1"/>
    <x v="127"/>
    <x v="1"/>
    <x v="64"/>
    <n v="648"/>
    <n v="320"/>
    <n v="18"/>
    <n v="4"/>
    <n v="24850"/>
    <n v="5"/>
    <n v="24850"/>
    <n v="5"/>
    <n v="79"/>
    <n v="637"/>
    <n v="2025"/>
    <x v="6"/>
    <x v="2"/>
    <x v="2"/>
  </r>
  <r>
    <x v="1"/>
    <x v="127"/>
    <x v="1"/>
    <x v="42"/>
    <n v="172"/>
    <n v="70"/>
    <n v="7"/>
    <n v="1"/>
    <n v="0"/>
    <n v="0"/>
    <n v="0"/>
    <n v="0"/>
    <n v="14"/>
    <n v="170"/>
    <n v="2025"/>
    <x v="6"/>
    <x v="2"/>
    <x v="2"/>
  </r>
  <r>
    <x v="1"/>
    <x v="127"/>
    <x v="1"/>
    <x v="43"/>
    <n v="113"/>
    <n v="41"/>
    <n v="2"/>
    <n v="0"/>
    <n v="0"/>
    <n v="0"/>
    <n v="0"/>
    <n v="0"/>
    <n v="96"/>
    <n v="65"/>
    <n v="2025"/>
    <x v="6"/>
    <x v="2"/>
    <x v="2"/>
  </r>
  <r>
    <x v="1"/>
    <x v="127"/>
    <x v="1"/>
    <x v="44"/>
    <n v="38"/>
    <n v="8"/>
    <n v="1"/>
    <n v="0"/>
    <n v="11840"/>
    <n v="2"/>
    <n v="11840"/>
    <n v="2"/>
    <n v="1"/>
    <n v="38"/>
    <n v="2025"/>
    <x v="6"/>
    <x v="2"/>
    <x v="2"/>
  </r>
  <r>
    <x v="1"/>
    <x v="127"/>
    <x v="1"/>
    <x v="45"/>
    <n v="1"/>
    <n v="1"/>
    <n v="0"/>
    <n v="0"/>
    <n v="0"/>
    <n v="0"/>
    <n v="0"/>
    <n v="0"/>
    <n v="0"/>
    <n v="1"/>
    <n v="2025"/>
    <x v="6"/>
    <x v="2"/>
    <x v="2"/>
  </r>
  <r>
    <x v="1"/>
    <x v="128"/>
    <x v="0"/>
    <x v="1"/>
    <n v="29581"/>
    <n v="17019"/>
    <n v="189"/>
    <n v="161"/>
    <n v="95990"/>
    <n v="20"/>
    <n v="63650"/>
    <n v="16"/>
    <n v="1779"/>
    <n v="29072"/>
    <n v="2025"/>
    <x v="6"/>
    <x v="2"/>
    <x v="2"/>
  </r>
  <r>
    <x v="1"/>
    <x v="128"/>
    <x v="1"/>
    <x v="30"/>
    <n v="6370"/>
    <n v="2441"/>
    <n v="156"/>
    <n v="48"/>
    <n v="118239.37"/>
    <n v="26"/>
    <n v="96559.37"/>
    <n v="23"/>
    <n v="445"/>
    <n v="6354"/>
    <n v="2025"/>
    <x v="6"/>
    <x v="2"/>
    <x v="2"/>
  </r>
  <r>
    <x v="1"/>
    <x v="128"/>
    <x v="1"/>
    <x v="29"/>
    <n v="1197"/>
    <n v="835"/>
    <n v="52"/>
    <n v="16"/>
    <n v="23850"/>
    <n v="6"/>
    <n v="23850"/>
    <n v="6"/>
    <n v="261"/>
    <n v="1131"/>
    <n v="2025"/>
    <x v="6"/>
    <x v="2"/>
    <x v="2"/>
  </r>
  <r>
    <x v="1"/>
    <x v="128"/>
    <x v="1"/>
    <x v="19"/>
    <n v="1091"/>
    <n v="409"/>
    <n v="53"/>
    <n v="17"/>
    <n v="79445"/>
    <n v="17"/>
    <n v="76455"/>
    <n v="16"/>
    <n v="347"/>
    <n v="1014"/>
    <n v="2025"/>
    <x v="6"/>
    <x v="2"/>
    <x v="2"/>
  </r>
  <r>
    <x v="1"/>
    <x v="128"/>
    <x v="1"/>
    <x v="64"/>
    <n v="664"/>
    <n v="339"/>
    <n v="19"/>
    <n v="3"/>
    <n v="36120"/>
    <n v="6"/>
    <n v="36120"/>
    <n v="6"/>
    <n v="88"/>
    <n v="659"/>
    <n v="2025"/>
    <x v="6"/>
    <x v="2"/>
    <x v="2"/>
  </r>
  <r>
    <x v="1"/>
    <x v="128"/>
    <x v="1"/>
    <x v="59"/>
    <n v="465"/>
    <n v="192"/>
    <n v="17"/>
    <n v="4"/>
    <n v="62297.39"/>
    <n v="11"/>
    <n v="59307.39"/>
    <n v="10"/>
    <n v="106"/>
    <n v="413"/>
    <n v="2025"/>
    <x v="6"/>
    <x v="2"/>
    <x v="2"/>
  </r>
  <r>
    <x v="1"/>
    <x v="128"/>
    <x v="1"/>
    <x v="7"/>
    <n v="458"/>
    <n v="78"/>
    <n v="40"/>
    <n v="5"/>
    <n v="203940.83"/>
    <n v="40"/>
    <n v="185590.83"/>
    <n v="39"/>
    <n v="128"/>
    <n v="437"/>
    <n v="2025"/>
    <x v="6"/>
    <x v="2"/>
    <x v="2"/>
  </r>
  <r>
    <x v="1"/>
    <x v="128"/>
    <x v="0"/>
    <x v="0"/>
    <n v="309"/>
    <n v="82"/>
    <n v="5"/>
    <n v="2"/>
    <n v="19415"/>
    <n v="2"/>
    <n v="19415"/>
    <n v="2"/>
    <n v="6"/>
    <n v="308"/>
    <n v="2025"/>
    <x v="6"/>
    <x v="2"/>
    <x v="2"/>
  </r>
  <r>
    <x v="1"/>
    <x v="128"/>
    <x v="1"/>
    <x v="38"/>
    <n v="303"/>
    <n v="53"/>
    <n v="21"/>
    <n v="10"/>
    <n v="57415"/>
    <n v="10"/>
    <n v="54425"/>
    <n v="9"/>
    <n v="70"/>
    <n v="293"/>
    <n v="2025"/>
    <x v="6"/>
    <x v="2"/>
    <x v="2"/>
  </r>
  <r>
    <x v="1"/>
    <x v="128"/>
    <x v="1"/>
    <x v="17"/>
    <n v="224"/>
    <n v="69"/>
    <n v="3"/>
    <n v="0"/>
    <n v="0"/>
    <n v="0"/>
    <n v="0"/>
    <n v="0"/>
    <n v="4"/>
    <n v="220"/>
    <n v="2025"/>
    <x v="6"/>
    <x v="2"/>
    <x v="2"/>
  </r>
  <r>
    <x v="1"/>
    <x v="128"/>
    <x v="1"/>
    <x v="27"/>
    <n v="178"/>
    <n v="46"/>
    <n v="6"/>
    <n v="2"/>
    <n v="26935"/>
    <n v="6"/>
    <n v="26935"/>
    <n v="6"/>
    <n v="67"/>
    <n v="154"/>
    <n v="2025"/>
    <x v="6"/>
    <x v="2"/>
    <x v="2"/>
  </r>
  <r>
    <x v="1"/>
    <x v="128"/>
    <x v="1"/>
    <x v="42"/>
    <n v="159"/>
    <n v="68"/>
    <n v="9"/>
    <n v="1"/>
    <n v="3990"/>
    <n v="1"/>
    <n v="3990"/>
    <n v="1"/>
    <n v="13"/>
    <n v="154"/>
    <n v="2025"/>
    <x v="6"/>
    <x v="2"/>
    <x v="2"/>
  </r>
  <r>
    <x v="1"/>
    <x v="128"/>
    <x v="1"/>
    <x v="31"/>
    <n v="149"/>
    <n v="86"/>
    <n v="5"/>
    <n v="2"/>
    <n v="0"/>
    <n v="0"/>
    <n v="0"/>
    <n v="0"/>
    <n v="17"/>
    <n v="147"/>
    <n v="2025"/>
    <x v="6"/>
    <x v="2"/>
    <x v="2"/>
  </r>
  <r>
    <x v="1"/>
    <x v="128"/>
    <x v="0"/>
    <x v="3"/>
    <n v="140"/>
    <n v="100"/>
    <n v="1"/>
    <n v="0"/>
    <n v="0"/>
    <n v="0"/>
    <n v="0"/>
    <n v="0"/>
    <n v="3"/>
    <n v="129"/>
    <n v="2025"/>
    <x v="6"/>
    <x v="2"/>
    <x v="2"/>
  </r>
  <r>
    <x v="1"/>
    <x v="128"/>
    <x v="1"/>
    <x v="43"/>
    <n v="137"/>
    <n v="58"/>
    <n v="5"/>
    <n v="2"/>
    <n v="8375"/>
    <n v="1"/>
    <n v="8375"/>
    <n v="1"/>
    <n v="108"/>
    <n v="92"/>
    <n v="2025"/>
    <x v="6"/>
    <x v="2"/>
    <x v="2"/>
  </r>
  <r>
    <x v="1"/>
    <x v="128"/>
    <x v="1"/>
    <x v="61"/>
    <n v="136"/>
    <n v="103"/>
    <n v="3"/>
    <n v="0"/>
    <n v="4990"/>
    <n v="2"/>
    <n v="2900"/>
    <n v="1"/>
    <n v="0"/>
    <n v="136"/>
    <n v="2025"/>
    <x v="6"/>
    <x v="2"/>
    <x v="2"/>
  </r>
  <r>
    <x v="1"/>
    <x v="128"/>
    <x v="1"/>
    <x v="5"/>
    <n v="78"/>
    <n v="24"/>
    <n v="0"/>
    <n v="0"/>
    <n v="0"/>
    <n v="0"/>
    <n v="0"/>
    <n v="0"/>
    <n v="0"/>
    <n v="78"/>
    <n v="2025"/>
    <x v="6"/>
    <x v="2"/>
    <x v="2"/>
  </r>
  <r>
    <x v="1"/>
    <x v="128"/>
    <x v="1"/>
    <x v="6"/>
    <n v="66"/>
    <n v="66"/>
    <n v="0"/>
    <n v="0"/>
    <n v="0"/>
    <n v="0"/>
    <n v="0"/>
    <n v="0"/>
    <n v="0"/>
    <n v="0"/>
    <n v="2025"/>
    <x v="6"/>
    <x v="2"/>
    <x v="2"/>
  </r>
  <r>
    <x v="1"/>
    <x v="128"/>
    <x v="1"/>
    <x v="44"/>
    <n v="46"/>
    <n v="9"/>
    <n v="2"/>
    <n v="0"/>
    <n v="3490"/>
    <n v="1"/>
    <n v="3490"/>
    <n v="1"/>
    <n v="1"/>
    <n v="46"/>
    <n v="2025"/>
    <x v="6"/>
    <x v="2"/>
    <x v="2"/>
  </r>
  <r>
    <x v="1"/>
    <x v="128"/>
    <x v="1"/>
    <x v="34"/>
    <n v="44"/>
    <n v="21"/>
    <n v="3"/>
    <n v="0"/>
    <n v="0"/>
    <n v="0"/>
    <n v="0"/>
    <n v="0"/>
    <n v="41"/>
    <n v="19"/>
    <n v="2025"/>
    <x v="6"/>
    <x v="2"/>
    <x v="2"/>
  </r>
  <r>
    <x v="1"/>
    <x v="128"/>
    <x v="1"/>
    <x v="20"/>
    <n v="26"/>
    <n v="9"/>
    <n v="4"/>
    <n v="1"/>
    <n v="17200"/>
    <n v="1"/>
    <n v="0"/>
    <n v="0"/>
    <n v="4"/>
    <n v="26"/>
    <n v="2025"/>
    <x v="6"/>
    <x v="2"/>
    <x v="2"/>
  </r>
  <r>
    <x v="1"/>
    <x v="128"/>
    <x v="1"/>
    <x v="24"/>
    <n v="25"/>
    <n v="18"/>
    <n v="2"/>
    <n v="0"/>
    <n v="0"/>
    <n v="0"/>
    <n v="0"/>
    <n v="0"/>
    <n v="5"/>
    <n v="24"/>
    <n v="2025"/>
    <x v="6"/>
    <x v="2"/>
    <x v="2"/>
  </r>
  <r>
    <x v="1"/>
    <x v="128"/>
    <x v="1"/>
    <x v="8"/>
    <n v="21"/>
    <n v="5"/>
    <n v="1"/>
    <n v="0"/>
    <n v="0"/>
    <n v="0"/>
    <n v="0"/>
    <n v="0"/>
    <n v="1"/>
    <n v="21"/>
    <n v="2025"/>
    <x v="6"/>
    <x v="2"/>
    <x v="2"/>
  </r>
  <r>
    <x v="1"/>
    <x v="128"/>
    <x v="1"/>
    <x v="18"/>
    <n v="6"/>
    <n v="6"/>
    <n v="1"/>
    <n v="0"/>
    <n v="6490"/>
    <n v="2"/>
    <n v="4440"/>
    <n v="1"/>
    <n v="1"/>
    <n v="6"/>
    <n v="2025"/>
    <x v="6"/>
    <x v="2"/>
    <x v="2"/>
  </r>
  <r>
    <x v="1"/>
    <x v="128"/>
    <x v="1"/>
    <x v="11"/>
    <n v="4"/>
    <n v="3"/>
    <n v="0"/>
    <n v="0"/>
    <n v="0"/>
    <n v="0"/>
    <n v="0"/>
    <n v="0"/>
    <n v="4"/>
    <n v="0"/>
    <n v="2025"/>
    <x v="6"/>
    <x v="2"/>
    <x v="2"/>
  </r>
  <r>
    <x v="1"/>
    <x v="128"/>
    <x v="1"/>
    <x v="60"/>
    <n v="3"/>
    <n v="3"/>
    <n v="0"/>
    <n v="0"/>
    <n v="0"/>
    <n v="0"/>
    <n v="0"/>
    <n v="0"/>
    <n v="0"/>
    <n v="3"/>
    <n v="2025"/>
    <x v="6"/>
    <x v="2"/>
    <x v="2"/>
  </r>
  <r>
    <x v="1"/>
    <x v="128"/>
    <x v="1"/>
    <x v="36"/>
    <n v="2"/>
    <n v="2"/>
    <n v="0"/>
    <n v="0"/>
    <n v="0"/>
    <n v="0"/>
    <n v="0"/>
    <n v="0"/>
    <n v="0"/>
    <n v="2"/>
    <n v="2025"/>
    <x v="6"/>
    <x v="2"/>
    <x v="2"/>
  </r>
  <r>
    <x v="1"/>
    <x v="128"/>
    <x v="1"/>
    <x v="39"/>
    <n v="2"/>
    <n v="2"/>
    <n v="0"/>
    <n v="0"/>
    <n v="0"/>
    <n v="0"/>
    <n v="0"/>
    <n v="0"/>
    <n v="0"/>
    <n v="2"/>
    <n v="2025"/>
    <x v="6"/>
    <x v="2"/>
    <x v="2"/>
  </r>
  <r>
    <x v="1"/>
    <x v="128"/>
    <x v="1"/>
    <x v="45"/>
    <n v="2"/>
    <n v="0"/>
    <n v="0"/>
    <n v="0"/>
    <n v="0"/>
    <n v="0"/>
    <n v="0"/>
    <n v="0"/>
    <n v="0"/>
    <n v="2"/>
    <n v="2025"/>
    <x v="6"/>
    <x v="2"/>
    <x v="2"/>
  </r>
  <r>
    <x v="1"/>
    <x v="128"/>
    <x v="1"/>
    <x v="10"/>
    <n v="1"/>
    <n v="0"/>
    <n v="0"/>
    <n v="0"/>
    <n v="0"/>
    <n v="0"/>
    <n v="0"/>
    <n v="0"/>
    <n v="0"/>
    <n v="1"/>
    <n v="2025"/>
    <x v="6"/>
    <x v="2"/>
    <x v="2"/>
  </r>
  <r>
    <x v="1"/>
    <x v="128"/>
    <x v="1"/>
    <x v="48"/>
    <n v="1"/>
    <n v="1"/>
    <n v="0"/>
    <n v="0"/>
    <n v="0"/>
    <n v="0"/>
    <n v="0"/>
    <n v="0"/>
    <n v="0"/>
    <n v="1"/>
    <n v="2025"/>
    <x v="6"/>
    <x v="2"/>
    <x v="2"/>
  </r>
  <r>
    <x v="1"/>
    <x v="128"/>
    <x v="1"/>
    <x v="15"/>
    <n v="1"/>
    <n v="1"/>
    <n v="0"/>
    <n v="0"/>
    <n v="0"/>
    <n v="0"/>
    <n v="0"/>
    <n v="0"/>
    <n v="0"/>
    <n v="1"/>
    <n v="2025"/>
    <x v="6"/>
    <x v="2"/>
    <x v="2"/>
  </r>
  <r>
    <x v="1"/>
    <x v="128"/>
    <x v="1"/>
    <x v="32"/>
    <n v="1"/>
    <n v="1"/>
    <n v="0"/>
    <n v="0"/>
    <n v="0"/>
    <n v="0"/>
    <n v="0"/>
    <n v="0"/>
    <n v="0"/>
    <n v="1"/>
    <n v="2025"/>
    <x v="6"/>
    <x v="2"/>
    <x v="2"/>
  </r>
  <r>
    <x v="1"/>
    <x v="129"/>
    <x v="0"/>
    <x v="0"/>
    <n v="322"/>
    <n v="78"/>
    <n v="6"/>
    <n v="1"/>
    <n v="4945"/>
    <n v="1"/>
    <n v="4945"/>
    <n v="1"/>
    <n v="5"/>
    <n v="319"/>
    <n v="2025"/>
    <x v="6"/>
    <x v="2"/>
    <x v="2"/>
  </r>
  <r>
    <x v="1"/>
    <x v="129"/>
    <x v="0"/>
    <x v="1"/>
    <n v="24490"/>
    <n v="13207"/>
    <n v="177"/>
    <n v="146"/>
    <n v="81415"/>
    <n v="16"/>
    <n v="42455"/>
    <n v="11"/>
    <n v="1590"/>
    <n v="24004"/>
    <n v="2025"/>
    <x v="6"/>
    <x v="2"/>
    <x v="2"/>
  </r>
  <r>
    <x v="1"/>
    <x v="129"/>
    <x v="0"/>
    <x v="2"/>
    <n v="1"/>
    <n v="0"/>
    <n v="0"/>
    <n v="0"/>
    <n v="0"/>
    <n v="0"/>
    <n v="0"/>
    <n v="0"/>
    <n v="0"/>
    <n v="0"/>
    <n v="2025"/>
    <x v="6"/>
    <x v="2"/>
    <x v="2"/>
  </r>
  <r>
    <x v="1"/>
    <x v="129"/>
    <x v="0"/>
    <x v="3"/>
    <n v="1252"/>
    <n v="636"/>
    <n v="27"/>
    <n v="3"/>
    <n v="0"/>
    <n v="0"/>
    <n v="0"/>
    <n v="0"/>
    <n v="41"/>
    <n v="620"/>
    <n v="2025"/>
    <x v="6"/>
    <x v="2"/>
    <x v="2"/>
  </r>
  <r>
    <x v="1"/>
    <x v="129"/>
    <x v="1"/>
    <x v="5"/>
    <n v="51"/>
    <n v="16"/>
    <n v="0"/>
    <n v="1"/>
    <n v="0"/>
    <n v="0"/>
    <n v="0"/>
    <n v="0"/>
    <n v="1"/>
    <n v="51"/>
    <n v="2025"/>
    <x v="6"/>
    <x v="2"/>
    <x v="2"/>
  </r>
  <r>
    <x v="1"/>
    <x v="129"/>
    <x v="1"/>
    <x v="6"/>
    <n v="161"/>
    <n v="128"/>
    <n v="0"/>
    <n v="0"/>
    <n v="0"/>
    <n v="0"/>
    <n v="0"/>
    <n v="0"/>
    <n v="0"/>
    <n v="0"/>
    <n v="2025"/>
    <x v="6"/>
    <x v="2"/>
    <x v="2"/>
  </r>
  <r>
    <x v="1"/>
    <x v="129"/>
    <x v="1"/>
    <x v="7"/>
    <n v="417"/>
    <n v="68"/>
    <n v="40"/>
    <n v="3"/>
    <n v="159017.82999999999"/>
    <n v="33"/>
    <n v="147617.82999999999"/>
    <n v="31"/>
    <n v="118"/>
    <n v="399"/>
    <n v="2025"/>
    <x v="6"/>
    <x v="2"/>
    <x v="2"/>
  </r>
  <r>
    <x v="1"/>
    <x v="129"/>
    <x v="1"/>
    <x v="8"/>
    <n v="19"/>
    <n v="10"/>
    <n v="0"/>
    <n v="0"/>
    <n v="0"/>
    <n v="0"/>
    <n v="0"/>
    <n v="0"/>
    <n v="0"/>
    <n v="11"/>
    <n v="2025"/>
    <x v="6"/>
    <x v="2"/>
    <x v="2"/>
  </r>
  <r>
    <x v="1"/>
    <x v="129"/>
    <x v="1"/>
    <x v="10"/>
    <n v="7"/>
    <n v="3"/>
    <n v="0"/>
    <n v="0"/>
    <n v="0"/>
    <n v="0"/>
    <n v="0"/>
    <n v="0"/>
    <n v="0"/>
    <n v="2"/>
    <n v="2025"/>
    <x v="6"/>
    <x v="2"/>
    <x v="2"/>
  </r>
  <r>
    <x v="1"/>
    <x v="129"/>
    <x v="1"/>
    <x v="61"/>
    <n v="50"/>
    <n v="35"/>
    <n v="2"/>
    <n v="0"/>
    <n v="0"/>
    <n v="0"/>
    <n v="0"/>
    <n v="0"/>
    <n v="0"/>
    <n v="50"/>
    <n v="2025"/>
    <x v="6"/>
    <x v="2"/>
    <x v="2"/>
  </r>
  <r>
    <x v="1"/>
    <x v="129"/>
    <x v="1"/>
    <x v="48"/>
    <n v="1"/>
    <n v="0"/>
    <n v="0"/>
    <n v="0"/>
    <n v="0"/>
    <n v="0"/>
    <n v="0"/>
    <n v="0"/>
    <n v="0"/>
    <n v="1"/>
    <n v="2025"/>
    <x v="6"/>
    <x v="2"/>
    <x v="2"/>
  </r>
  <r>
    <x v="1"/>
    <x v="129"/>
    <x v="1"/>
    <x v="59"/>
    <n v="1556"/>
    <n v="1178"/>
    <n v="26"/>
    <n v="5"/>
    <n v="71737.83"/>
    <n v="14"/>
    <n v="57982.83"/>
    <n v="13"/>
    <n v="105"/>
    <n v="347"/>
    <n v="2025"/>
    <x v="6"/>
    <x v="2"/>
    <x v="2"/>
  </r>
  <r>
    <x v="1"/>
    <x v="129"/>
    <x v="1"/>
    <x v="15"/>
    <n v="2"/>
    <n v="0"/>
    <n v="0"/>
    <n v="0"/>
    <n v="0"/>
    <n v="0"/>
    <n v="0"/>
    <n v="0"/>
    <n v="0"/>
    <n v="2"/>
    <n v="2025"/>
    <x v="6"/>
    <x v="2"/>
    <x v="2"/>
  </r>
  <r>
    <x v="1"/>
    <x v="129"/>
    <x v="1"/>
    <x v="17"/>
    <n v="224"/>
    <n v="81"/>
    <n v="3"/>
    <n v="0"/>
    <n v="0"/>
    <n v="0"/>
    <n v="0"/>
    <n v="0"/>
    <n v="1"/>
    <n v="223"/>
    <n v="2025"/>
    <x v="6"/>
    <x v="2"/>
    <x v="2"/>
  </r>
  <r>
    <x v="1"/>
    <x v="129"/>
    <x v="1"/>
    <x v="18"/>
    <n v="14"/>
    <n v="11"/>
    <n v="1"/>
    <n v="1"/>
    <n v="0"/>
    <n v="0"/>
    <n v="0"/>
    <n v="0"/>
    <n v="1"/>
    <n v="14"/>
    <n v="2025"/>
    <x v="6"/>
    <x v="2"/>
    <x v="2"/>
  </r>
  <r>
    <x v="1"/>
    <x v="129"/>
    <x v="1"/>
    <x v="19"/>
    <n v="1695"/>
    <n v="904"/>
    <n v="42"/>
    <n v="11"/>
    <n v="56797"/>
    <n v="15"/>
    <n v="49887"/>
    <n v="15"/>
    <n v="311"/>
    <n v="962"/>
    <n v="2025"/>
    <x v="6"/>
    <x v="2"/>
    <x v="2"/>
  </r>
  <r>
    <x v="1"/>
    <x v="129"/>
    <x v="1"/>
    <x v="20"/>
    <n v="26"/>
    <n v="9"/>
    <n v="1"/>
    <n v="0"/>
    <n v="8715"/>
    <n v="2"/>
    <n v="8715"/>
    <n v="2"/>
    <n v="2"/>
    <n v="25"/>
    <n v="2025"/>
    <x v="6"/>
    <x v="2"/>
    <x v="2"/>
  </r>
  <r>
    <x v="1"/>
    <x v="129"/>
    <x v="1"/>
    <x v="24"/>
    <n v="17"/>
    <n v="14"/>
    <n v="1"/>
    <n v="0"/>
    <n v="0"/>
    <n v="0"/>
    <n v="0"/>
    <n v="0"/>
    <n v="0"/>
    <n v="17"/>
    <n v="2025"/>
    <x v="6"/>
    <x v="2"/>
    <x v="2"/>
  </r>
  <r>
    <x v="1"/>
    <x v="129"/>
    <x v="1"/>
    <x v="27"/>
    <n v="174"/>
    <n v="39"/>
    <n v="11"/>
    <n v="2"/>
    <n v="17760"/>
    <n v="5"/>
    <n v="16770"/>
    <n v="5"/>
    <n v="58"/>
    <n v="152"/>
    <n v="2025"/>
    <x v="6"/>
    <x v="2"/>
    <x v="2"/>
  </r>
  <r>
    <x v="1"/>
    <x v="129"/>
    <x v="1"/>
    <x v="29"/>
    <n v="1063"/>
    <n v="711"/>
    <n v="57"/>
    <n v="11"/>
    <n v="29210"/>
    <n v="7"/>
    <n v="22480"/>
    <n v="6"/>
    <n v="238"/>
    <n v="1019"/>
    <n v="2025"/>
    <x v="6"/>
    <x v="2"/>
    <x v="2"/>
  </r>
  <r>
    <x v="1"/>
    <x v="129"/>
    <x v="1"/>
    <x v="30"/>
    <n v="7183"/>
    <n v="3811"/>
    <n v="121"/>
    <n v="28"/>
    <n v="65440"/>
    <n v="15"/>
    <n v="50230"/>
    <n v="12"/>
    <n v="316"/>
    <n v="7117"/>
    <n v="2025"/>
    <x v="6"/>
    <x v="2"/>
    <x v="2"/>
  </r>
  <r>
    <x v="1"/>
    <x v="129"/>
    <x v="1"/>
    <x v="31"/>
    <n v="139"/>
    <n v="66"/>
    <n v="5"/>
    <n v="0"/>
    <n v="4990"/>
    <n v="1"/>
    <n v="4990"/>
    <n v="1"/>
    <n v="13"/>
    <n v="134"/>
    <n v="2025"/>
    <x v="6"/>
    <x v="2"/>
    <x v="2"/>
  </r>
  <r>
    <x v="1"/>
    <x v="129"/>
    <x v="1"/>
    <x v="32"/>
    <n v="1"/>
    <n v="0"/>
    <n v="1"/>
    <n v="0"/>
    <n v="0"/>
    <n v="0"/>
    <n v="0"/>
    <n v="0"/>
    <n v="0"/>
    <n v="1"/>
    <n v="2025"/>
    <x v="6"/>
    <x v="2"/>
    <x v="2"/>
  </r>
  <r>
    <x v="1"/>
    <x v="129"/>
    <x v="1"/>
    <x v="34"/>
    <n v="41"/>
    <n v="17"/>
    <n v="1"/>
    <n v="1"/>
    <n v="0"/>
    <n v="0"/>
    <n v="0"/>
    <n v="0"/>
    <n v="34"/>
    <n v="20"/>
    <n v="2025"/>
    <x v="6"/>
    <x v="2"/>
    <x v="2"/>
  </r>
  <r>
    <x v="1"/>
    <x v="129"/>
    <x v="1"/>
    <x v="38"/>
    <n v="304"/>
    <n v="51"/>
    <n v="24"/>
    <n v="9"/>
    <n v="46720"/>
    <n v="13"/>
    <n v="37945"/>
    <n v="11"/>
    <n v="57"/>
    <n v="296"/>
    <n v="2025"/>
    <x v="6"/>
    <x v="2"/>
    <x v="2"/>
  </r>
  <r>
    <x v="1"/>
    <x v="129"/>
    <x v="1"/>
    <x v="60"/>
    <n v="2"/>
    <n v="2"/>
    <n v="0"/>
    <n v="0"/>
    <n v="0"/>
    <n v="0"/>
    <n v="0"/>
    <n v="0"/>
    <n v="0"/>
    <n v="2"/>
    <n v="2025"/>
    <x v="6"/>
    <x v="2"/>
    <x v="2"/>
  </r>
  <r>
    <x v="1"/>
    <x v="129"/>
    <x v="1"/>
    <x v="39"/>
    <n v="3"/>
    <n v="3"/>
    <n v="0"/>
    <n v="0"/>
    <n v="0"/>
    <n v="0"/>
    <n v="0"/>
    <n v="0"/>
    <n v="0"/>
    <n v="3"/>
    <n v="2025"/>
    <x v="6"/>
    <x v="2"/>
    <x v="2"/>
  </r>
  <r>
    <x v="1"/>
    <x v="129"/>
    <x v="1"/>
    <x v="64"/>
    <n v="625"/>
    <n v="342"/>
    <n v="22"/>
    <n v="3"/>
    <n v="19450"/>
    <n v="5"/>
    <n v="16460"/>
    <n v="4"/>
    <n v="64"/>
    <n v="616"/>
    <n v="2025"/>
    <x v="6"/>
    <x v="2"/>
    <x v="2"/>
  </r>
  <r>
    <x v="1"/>
    <x v="129"/>
    <x v="1"/>
    <x v="42"/>
    <n v="159"/>
    <n v="65"/>
    <n v="5"/>
    <n v="1"/>
    <n v="4990"/>
    <n v="1"/>
    <n v="4990"/>
    <n v="1"/>
    <n v="18"/>
    <n v="155"/>
    <n v="2025"/>
    <x v="6"/>
    <x v="2"/>
    <x v="2"/>
  </r>
  <r>
    <x v="1"/>
    <x v="129"/>
    <x v="1"/>
    <x v="43"/>
    <n v="140"/>
    <n v="52"/>
    <n v="5"/>
    <n v="0"/>
    <n v="2990"/>
    <n v="1"/>
    <n v="2990"/>
    <n v="1"/>
    <n v="118"/>
    <n v="83"/>
    <n v="2025"/>
    <x v="6"/>
    <x v="2"/>
    <x v="2"/>
  </r>
  <r>
    <x v="1"/>
    <x v="129"/>
    <x v="1"/>
    <x v="44"/>
    <n v="39"/>
    <n v="6"/>
    <n v="1"/>
    <n v="0"/>
    <n v="1990"/>
    <n v="1"/>
    <n v="1990"/>
    <n v="1"/>
    <n v="1"/>
    <n v="39"/>
    <n v="2025"/>
    <x v="6"/>
    <x v="2"/>
    <x v="2"/>
  </r>
  <r>
    <x v="1"/>
    <x v="129"/>
    <x v="1"/>
    <x v="45"/>
    <n v="4"/>
    <n v="0"/>
    <n v="0"/>
    <n v="0"/>
    <n v="3990"/>
    <n v="1"/>
    <n v="0"/>
    <n v="0"/>
    <n v="0"/>
    <n v="4"/>
    <n v="2025"/>
    <x v="6"/>
    <x v="2"/>
    <x v="2"/>
  </r>
  <r>
    <x v="1"/>
    <x v="130"/>
    <x v="0"/>
    <x v="0"/>
    <n v="396"/>
    <n v="92"/>
    <n v="1"/>
    <n v="0"/>
    <n v="1490"/>
    <n v="1"/>
    <n v="1490"/>
    <n v="1"/>
    <n v="2"/>
    <n v="394"/>
    <n v="2025"/>
    <x v="6"/>
    <x v="2"/>
    <x v="2"/>
  </r>
  <r>
    <x v="1"/>
    <x v="130"/>
    <x v="0"/>
    <x v="1"/>
    <n v="29125"/>
    <n v="16171"/>
    <n v="140"/>
    <n v="121"/>
    <n v="143580"/>
    <n v="23"/>
    <n v="95700"/>
    <n v="18"/>
    <n v="1606"/>
    <n v="28650"/>
    <n v="2025"/>
    <x v="6"/>
    <x v="2"/>
    <x v="2"/>
  </r>
  <r>
    <x v="1"/>
    <x v="130"/>
    <x v="0"/>
    <x v="3"/>
    <n v="128"/>
    <n v="104"/>
    <n v="0"/>
    <n v="1"/>
    <n v="0"/>
    <n v="0"/>
    <n v="0"/>
    <n v="0"/>
    <n v="3"/>
    <n v="123"/>
    <n v="2025"/>
    <x v="6"/>
    <x v="2"/>
    <x v="2"/>
  </r>
  <r>
    <x v="1"/>
    <x v="130"/>
    <x v="1"/>
    <x v="5"/>
    <n v="46"/>
    <n v="15"/>
    <n v="0"/>
    <n v="0"/>
    <n v="0"/>
    <n v="0"/>
    <n v="0"/>
    <n v="0"/>
    <n v="0"/>
    <n v="46"/>
    <n v="2025"/>
    <x v="6"/>
    <x v="2"/>
    <x v="2"/>
  </r>
  <r>
    <x v="1"/>
    <x v="130"/>
    <x v="1"/>
    <x v="7"/>
    <n v="379"/>
    <n v="53"/>
    <n v="37"/>
    <n v="3"/>
    <n v="155165.32999999999"/>
    <n v="31"/>
    <n v="143605.32999999999"/>
    <n v="30"/>
    <n v="100"/>
    <n v="363"/>
    <n v="2025"/>
    <x v="6"/>
    <x v="2"/>
    <x v="2"/>
  </r>
  <r>
    <x v="1"/>
    <x v="130"/>
    <x v="1"/>
    <x v="8"/>
    <n v="9"/>
    <n v="4"/>
    <n v="0"/>
    <n v="1"/>
    <n v="0"/>
    <n v="0"/>
    <n v="0"/>
    <n v="0"/>
    <n v="0"/>
    <n v="9"/>
    <n v="2025"/>
    <x v="6"/>
    <x v="2"/>
    <x v="2"/>
  </r>
  <r>
    <x v="1"/>
    <x v="130"/>
    <x v="1"/>
    <x v="11"/>
    <n v="1"/>
    <n v="0"/>
    <n v="0"/>
    <n v="0"/>
    <n v="0"/>
    <n v="0"/>
    <n v="0"/>
    <n v="0"/>
    <n v="1"/>
    <n v="0"/>
    <n v="2025"/>
    <x v="6"/>
    <x v="2"/>
    <x v="2"/>
  </r>
  <r>
    <x v="1"/>
    <x v="130"/>
    <x v="1"/>
    <x v="61"/>
    <n v="3"/>
    <n v="1"/>
    <n v="1"/>
    <n v="0"/>
    <n v="0"/>
    <n v="0"/>
    <n v="0"/>
    <n v="0"/>
    <n v="0"/>
    <n v="3"/>
    <n v="2025"/>
    <x v="6"/>
    <x v="2"/>
    <x v="2"/>
  </r>
  <r>
    <x v="1"/>
    <x v="130"/>
    <x v="1"/>
    <x v="48"/>
    <n v="1"/>
    <n v="0"/>
    <n v="0"/>
    <n v="0"/>
    <n v="0"/>
    <n v="0"/>
    <n v="0"/>
    <n v="0"/>
    <n v="0"/>
    <n v="1"/>
    <n v="2025"/>
    <x v="6"/>
    <x v="2"/>
    <x v="2"/>
  </r>
  <r>
    <x v="1"/>
    <x v="130"/>
    <x v="1"/>
    <x v="59"/>
    <n v="379"/>
    <n v="123"/>
    <n v="13"/>
    <n v="4"/>
    <n v="22670"/>
    <n v="5"/>
    <n v="22670"/>
    <n v="5"/>
    <n v="91"/>
    <n v="329"/>
    <n v="2025"/>
    <x v="6"/>
    <x v="2"/>
    <x v="2"/>
  </r>
  <r>
    <x v="1"/>
    <x v="130"/>
    <x v="1"/>
    <x v="17"/>
    <n v="240"/>
    <n v="67"/>
    <n v="3"/>
    <n v="2"/>
    <n v="3875"/>
    <n v="1"/>
    <n v="3875"/>
    <n v="1"/>
    <n v="0"/>
    <n v="240"/>
    <n v="2025"/>
    <x v="6"/>
    <x v="2"/>
    <x v="2"/>
  </r>
  <r>
    <x v="1"/>
    <x v="130"/>
    <x v="1"/>
    <x v="18"/>
    <n v="14"/>
    <n v="13"/>
    <n v="2"/>
    <n v="2"/>
    <n v="1490"/>
    <n v="1"/>
    <n v="1490"/>
    <n v="1"/>
    <n v="0"/>
    <n v="14"/>
    <n v="2025"/>
    <x v="6"/>
    <x v="2"/>
    <x v="2"/>
  </r>
  <r>
    <x v="1"/>
    <x v="130"/>
    <x v="1"/>
    <x v="19"/>
    <n v="1078"/>
    <n v="364"/>
    <n v="42"/>
    <n v="6"/>
    <n v="63800"/>
    <n v="9"/>
    <n v="51365"/>
    <n v="7"/>
    <n v="288"/>
    <n v="998"/>
    <n v="2025"/>
    <x v="6"/>
    <x v="2"/>
    <x v="2"/>
  </r>
  <r>
    <x v="1"/>
    <x v="130"/>
    <x v="1"/>
    <x v="20"/>
    <n v="16"/>
    <n v="1"/>
    <n v="0"/>
    <n v="1"/>
    <n v="6220"/>
    <n v="1"/>
    <n v="6220"/>
    <n v="1"/>
    <n v="2"/>
    <n v="16"/>
    <n v="2025"/>
    <x v="6"/>
    <x v="2"/>
    <x v="2"/>
  </r>
  <r>
    <x v="1"/>
    <x v="130"/>
    <x v="1"/>
    <x v="24"/>
    <n v="11"/>
    <n v="7"/>
    <n v="0"/>
    <n v="0"/>
    <n v="0"/>
    <n v="0"/>
    <n v="0"/>
    <n v="0"/>
    <n v="1"/>
    <n v="9"/>
    <n v="2025"/>
    <x v="6"/>
    <x v="2"/>
    <x v="2"/>
  </r>
  <r>
    <x v="1"/>
    <x v="130"/>
    <x v="1"/>
    <x v="27"/>
    <n v="89"/>
    <n v="25"/>
    <n v="5"/>
    <n v="2"/>
    <n v="30195"/>
    <n v="6"/>
    <n v="26205"/>
    <n v="6"/>
    <n v="37"/>
    <n v="76"/>
    <n v="2025"/>
    <x v="6"/>
    <x v="2"/>
    <x v="2"/>
  </r>
  <r>
    <x v="1"/>
    <x v="130"/>
    <x v="1"/>
    <x v="29"/>
    <n v="1087"/>
    <n v="784"/>
    <n v="36"/>
    <n v="15"/>
    <n v="35885"/>
    <n v="7"/>
    <n v="24905"/>
    <n v="6"/>
    <n v="255"/>
    <n v="1022"/>
    <n v="2025"/>
    <x v="6"/>
    <x v="2"/>
    <x v="2"/>
  </r>
  <r>
    <x v="1"/>
    <x v="130"/>
    <x v="1"/>
    <x v="30"/>
    <n v="5502"/>
    <n v="2138"/>
    <n v="118"/>
    <n v="40"/>
    <n v="74070"/>
    <n v="16"/>
    <n v="55075"/>
    <n v="11"/>
    <n v="404"/>
    <n v="5480"/>
    <n v="2025"/>
    <x v="6"/>
    <x v="2"/>
    <x v="2"/>
  </r>
  <r>
    <x v="1"/>
    <x v="130"/>
    <x v="1"/>
    <x v="31"/>
    <n v="131"/>
    <n v="67"/>
    <n v="9"/>
    <n v="1"/>
    <n v="5400"/>
    <n v="1"/>
    <n v="5400"/>
    <n v="1"/>
    <n v="20"/>
    <n v="127"/>
    <n v="2025"/>
    <x v="6"/>
    <x v="2"/>
    <x v="2"/>
  </r>
  <r>
    <x v="1"/>
    <x v="130"/>
    <x v="1"/>
    <x v="34"/>
    <n v="38"/>
    <n v="23"/>
    <n v="2"/>
    <n v="2"/>
    <n v="0"/>
    <n v="0"/>
    <n v="0"/>
    <n v="0"/>
    <n v="35"/>
    <n v="22"/>
    <n v="2025"/>
    <x v="6"/>
    <x v="2"/>
    <x v="2"/>
  </r>
  <r>
    <x v="1"/>
    <x v="130"/>
    <x v="1"/>
    <x v="38"/>
    <n v="296"/>
    <n v="45"/>
    <n v="15"/>
    <n v="13"/>
    <n v="71410"/>
    <n v="13"/>
    <n v="34720"/>
    <n v="10"/>
    <n v="71"/>
    <n v="290"/>
    <n v="2025"/>
    <x v="6"/>
    <x v="2"/>
    <x v="2"/>
  </r>
  <r>
    <x v="1"/>
    <x v="130"/>
    <x v="1"/>
    <x v="60"/>
    <n v="1"/>
    <n v="1"/>
    <n v="0"/>
    <n v="0"/>
    <n v="0"/>
    <n v="0"/>
    <n v="0"/>
    <n v="0"/>
    <n v="0"/>
    <n v="1"/>
    <n v="2025"/>
    <x v="6"/>
    <x v="2"/>
    <x v="2"/>
  </r>
  <r>
    <x v="1"/>
    <x v="130"/>
    <x v="1"/>
    <x v="39"/>
    <n v="2"/>
    <n v="2"/>
    <n v="1"/>
    <n v="0"/>
    <n v="0"/>
    <n v="0"/>
    <n v="0"/>
    <n v="0"/>
    <n v="0"/>
    <n v="2"/>
    <n v="2025"/>
    <x v="6"/>
    <x v="2"/>
    <x v="2"/>
  </r>
  <r>
    <x v="1"/>
    <x v="130"/>
    <x v="1"/>
    <x v="64"/>
    <n v="581"/>
    <n v="290"/>
    <n v="19"/>
    <n v="0"/>
    <n v="28860"/>
    <n v="6"/>
    <n v="29860"/>
    <n v="6"/>
    <n v="63"/>
    <n v="576"/>
    <n v="2025"/>
    <x v="6"/>
    <x v="2"/>
    <x v="2"/>
  </r>
  <r>
    <x v="1"/>
    <x v="130"/>
    <x v="1"/>
    <x v="42"/>
    <n v="130"/>
    <n v="56"/>
    <n v="4"/>
    <n v="2"/>
    <n v="3990"/>
    <n v="1"/>
    <n v="0"/>
    <n v="0"/>
    <n v="9"/>
    <n v="126"/>
    <n v="2025"/>
    <x v="6"/>
    <x v="2"/>
    <x v="2"/>
  </r>
  <r>
    <x v="1"/>
    <x v="130"/>
    <x v="1"/>
    <x v="43"/>
    <n v="101"/>
    <n v="43"/>
    <n v="2"/>
    <n v="0"/>
    <n v="0"/>
    <n v="0"/>
    <n v="0"/>
    <n v="0"/>
    <n v="83"/>
    <n v="58"/>
    <n v="2025"/>
    <x v="6"/>
    <x v="2"/>
    <x v="2"/>
  </r>
  <r>
    <x v="1"/>
    <x v="130"/>
    <x v="1"/>
    <x v="44"/>
    <n v="47"/>
    <n v="3"/>
    <n v="2"/>
    <n v="0"/>
    <n v="20150"/>
    <n v="5"/>
    <n v="18660"/>
    <n v="5"/>
    <n v="1"/>
    <n v="47"/>
    <n v="2025"/>
    <x v="6"/>
    <x v="2"/>
    <x v="2"/>
  </r>
  <r>
    <x v="1"/>
    <x v="130"/>
    <x v="1"/>
    <x v="45"/>
    <n v="1"/>
    <n v="0"/>
    <n v="0"/>
    <n v="0"/>
    <n v="0"/>
    <n v="0"/>
    <n v="0"/>
    <n v="0"/>
    <n v="0"/>
    <n v="1"/>
    <n v="2025"/>
    <x v="6"/>
    <x v="2"/>
    <x v="2"/>
  </r>
  <r>
    <x v="1"/>
    <x v="131"/>
    <x v="0"/>
    <x v="0"/>
    <n v="443"/>
    <n v="133"/>
    <n v="8"/>
    <n v="2"/>
    <n v="14260"/>
    <n v="3"/>
    <n v="14260"/>
    <n v="3"/>
    <n v="3"/>
    <n v="435"/>
    <n v="2025"/>
    <x v="6"/>
    <x v="2"/>
    <x v="2"/>
  </r>
  <r>
    <x v="1"/>
    <x v="131"/>
    <x v="0"/>
    <x v="1"/>
    <n v="49119"/>
    <n v="27717"/>
    <n v="252"/>
    <n v="318"/>
    <n v="247645"/>
    <n v="39"/>
    <n v="194465"/>
    <n v="35"/>
    <n v="1813"/>
    <n v="48706"/>
    <n v="2025"/>
    <x v="6"/>
    <x v="2"/>
    <x v="2"/>
  </r>
  <r>
    <x v="1"/>
    <x v="131"/>
    <x v="0"/>
    <x v="2"/>
    <n v="1"/>
    <n v="1"/>
    <n v="0"/>
    <n v="0"/>
    <n v="0"/>
    <n v="0"/>
    <n v="0"/>
    <n v="0"/>
    <n v="0"/>
    <n v="0"/>
    <n v="2025"/>
    <x v="6"/>
    <x v="2"/>
    <x v="2"/>
  </r>
  <r>
    <x v="1"/>
    <x v="131"/>
    <x v="0"/>
    <x v="3"/>
    <n v="1272"/>
    <n v="728"/>
    <n v="16"/>
    <n v="2"/>
    <n v="0"/>
    <n v="0"/>
    <n v="0"/>
    <n v="0"/>
    <n v="43"/>
    <n v="526"/>
    <n v="2025"/>
    <x v="6"/>
    <x v="2"/>
    <x v="2"/>
  </r>
  <r>
    <x v="1"/>
    <x v="131"/>
    <x v="1"/>
    <x v="46"/>
    <n v="1"/>
    <n v="0"/>
    <n v="0"/>
    <n v="0"/>
    <n v="0"/>
    <n v="0"/>
    <n v="0"/>
    <n v="0"/>
    <n v="0"/>
    <n v="0"/>
    <n v="2025"/>
    <x v="6"/>
    <x v="2"/>
    <x v="2"/>
  </r>
  <r>
    <x v="1"/>
    <x v="131"/>
    <x v="1"/>
    <x v="5"/>
    <n v="64"/>
    <n v="20"/>
    <n v="0"/>
    <n v="0"/>
    <n v="0"/>
    <n v="0"/>
    <n v="0"/>
    <n v="0"/>
    <n v="0"/>
    <n v="64"/>
    <n v="2025"/>
    <x v="6"/>
    <x v="2"/>
    <x v="2"/>
  </r>
  <r>
    <x v="1"/>
    <x v="131"/>
    <x v="1"/>
    <x v="6"/>
    <n v="316"/>
    <n v="275"/>
    <n v="0"/>
    <n v="0"/>
    <n v="0"/>
    <n v="0"/>
    <n v="0"/>
    <n v="0"/>
    <n v="0"/>
    <n v="0"/>
    <n v="2025"/>
    <x v="6"/>
    <x v="2"/>
    <x v="2"/>
  </r>
  <r>
    <x v="1"/>
    <x v="131"/>
    <x v="1"/>
    <x v="7"/>
    <n v="443"/>
    <n v="65"/>
    <n v="46"/>
    <n v="8"/>
    <n v="215185"/>
    <n v="43"/>
    <n v="177625"/>
    <n v="39"/>
    <n v="112"/>
    <n v="431"/>
    <n v="2025"/>
    <x v="6"/>
    <x v="2"/>
    <x v="2"/>
  </r>
  <r>
    <x v="1"/>
    <x v="131"/>
    <x v="1"/>
    <x v="8"/>
    <n v="26"/>
    <n v="8"/>
    <n v="0"/>
    <n v="1"/>
    <n v="0"/>
    <n v="0"/>
    <n v="0"/>
    <n v="0"/>
    <n v="0"/>
    <n v="26"/>
    <n v="2025"/>
    <x v="6"/>
    <x v="2"/>
    <x v="2"/>
  </r>
  <r>
    <x v="1"/>
    <x v="131"/>
    <x v="1"/>
    <x v="10"/>
    <n v="12"/>
    <n v="1"/>
    <n v="0"/>
    <n v="1"/>
    <n v="0"/>
    <n v="0"/>
    <n v="0"/>
    <n v="0"/>
    <n v="0"/>
    <n v="4"/>
    <n v="2025"/>
    <x v="6"/>
    <x v="2"/>
    <x v="2"/>
  </r>
  <r>
    <x v="1"/>
    <x v="131"/>
    <x v="1"/>
    <x v="11"/>
    <n v="1"/>
    <n v="1"/>
    <n v="0"/>
    <n v="0"/>
    <n v="0"/>
    <n v="0"/>
    <n v="0"/>
    <n v="0"/>
    <n v="1"/>
    <n v="0"/>
    <n v="2025"/>
    <x v="6"/>
    <x v="2"/>
    <x v="2"/>
  </r>
  <r>
    <x v="1"/>
    <x v="131"/>
    <x v="1"/>
    <x v="48"/>
    <n v="1"/>
    <n v="1"/>
    <n v="0"/>
    <n v="0"/>
    <n v="0"/>
    <n v="0"/>
    <n v="0"/>
    <n v="0"/>
    <n v="0"/>
    <n v="1"/>
    <n v="2025"/>
    <x v="6"/>
    <x v="2"/>
    <x v="2"/>
  </r>
  <r>
    <x v="1"/>
    <x v="131"/>
    <x v="1"/>
    <x v="59"/>
    <n v="1994"/>
    <n v="1480"/>
    <n v="23"/>
    <n v="5"/>
    <n v="72800"/>
    <n v="14"/>
    <n v="72800"/>
    <n v="14"/>
    <n v="152"/>
    <n v="461"/>
    <n v="2025"/>
    <x v="6"/>
    <x v="2"/>
    <x v="2"/>
  </r>
  <r>
    <x v="1"/>
    <x v="131"/>
    <x v="1"/>
    <x v="17"/>
    <n v="380"/>
    <n v="140"/>
    <n v="7"/>
    <n v="1"/>
    <n v="0"/>
    <n v="0"/>
    <n v="0"/>
    <n v="0"/>
    <n v="1"/>
    <n v="379"/>
    <n v="2025"/>
    <x v="6"/>
    <x v="2"/>
    <x v="2"/>
  </r>
  <r>
    <x v="1"/>
    <x v="131"/>
    <x v="1"/>
    <x v="18"/>
    <n v="14"/>
    <n v="13"/>
    <n v="2"/>
    <n v="4"/>
    <n v="0"/>
    <n v="0"/>
    <n v="0"/>
    <n v="0"/>
    <n v="2"/>
    <n v="14"/>
    <n v="2025"/>
    <x v="6"/>
    <x v="2"/>
    <x v="2"/>
  </r>
  <r>
    <x v="1"/>
    <x v="131"/>
    <x v="1"/>
    <x v="19"/>
    <n v="1421"/>
    <n v="557"/>
    <n v="65"/>
    <n v="21"/>
    <n v="139375"/>
    <n v="31"/>
    <n v="102225"/>
    <n v="26"/>
    <n v="384"/>
    <n v="1259"/>
    <n v="2025"/>
    <x v="6"/>
    <x v="2"/>
    <x v="2"/>
  </r>
  <r>
    <x v="1"/>
    <x v="131"/>
    <x v="1"/>
    <x v="20"/>
    <n v="20"/>
    <n v="10"/>
    <n v="1"/>
    <n v="0"/>
    <n v="16480"/>
    <n v="2"/>
    <n v="11490"/>
    <n v="2"/>
    <n v="6"/>
    <n v="19"/>
    <n v="2025"/>
    <x v="6"/>
    <x v="2"/>
    <x v="2"/>
  </r>
  <r>
    <x v="1"/>
    <x v="131"/>
    <x v="1"/>
    <x v="50"/>
    <n v="1"/>
    <n v="0"/>
    <n v="0"/>
    <n v="0"/>
    <n v="0"/>
    <n v="0"/>
    <n v="0"/>
    <n v="0"/>
    <n v="0"/>
    <n v="1"/>
    <n v="2025"/>
    <x v="6"/>
    <x v="2"/>
    <x v="2"/>
  </r>
  <r>
    <x v="1"/>
    <x v="131"/>
    <x v="1"/>
    <x v="24"/>
    <n v="17"/>
    <n v="12"/>
    <n v="2"/>
    <n v="0"/>
    <n v="5942.44"/>
    <n v="2"/>
    <n v="5942.44"/>
    <n v="2"/>
    <n v="4"/>
    <n v="15"/>
    <n v="2025"/>
    <x v="6"/>
    <x v="2"/>
    <x v="2"/>
  </r>
  <r>
    <x v="1"/>
    <x v="131"/>
    <x v="1"/>
    <x v="27"/>
    <n v="120"/>
    <n v="36"/>
    <n v="13"/>
    <n v="4"/>
    <n v="80450"/>
    <n v="9"/>
    <n v="70470"/>
    <n v="8"/>
    <n v="50"/>
    <n v="102"/>
    <n v="2025"/>
    <x v="6"/>
    <x v="2"/>
    <x v="2"/>
  </r>
  <r>
    <x v="1"/>
    <x v="131"/>
    <x v="1"/>
    <x v="29"/>
    <n v="1334"/>
    <n v="943"/>
    <n v="50"/>
    <n v="15"/>
    <n v="53190"/>
    <n v="10"/>
    <n v="53190"/>
    <n v="10"/>
    <n v="311"/>
    <n v="1266"/>
    <n v="2025"/>
    <x v="6"/>
    <x v="2"/>
    <x v="2"/>
  </r>
  <r>
    <x v="1"/>
    <x v="131"/>
    <x v="1"/>
    <x v="30"/>
    <n v="5819"/>
    <n v="2285"/>
    <n v="146"/>
    <n v="40"/>
    <n v="152400"/>
    <n v="30"/>
    <n v="128040"/>
    <n v="27"/>
    <n v="504"/>
    <n v="5699"/>
    <n v="2025"/>
    <x v="6"/>
    <x v="2"/>
    <x v="2"/>
  </r>
  <r>
    <x v="1"/>
    <x v="131"/>
    <x v="1"/>
    <x v="31"/>
    <n v="152"/>
    <n v="90"/>
    <n v="5"/>
    <n v="5"/>
    <n v="8980"/>
    <n v="2"/>
    <n v="7990"/>
    <n v="1"/>
    <n v="24"/>
    <n v="145"/>
    <n v="2025"/>
    <x v="6"/>
    <x v="2"/>
    <x v="2"/>
  </r>
  <r>
    <x v="1"/>
    <x v="131"/>
    <x v="1"/>
    <x v="32"/>
    <n v="1"/>
    <n v="1"/>
    <n v="0"/>
    <n v="0"/>
    <n v="0"/>
    <n v="0"/>
    <n v="0"/>
    <n v="0"/>
    <n v="0"/>
    <n v="1"/>
    <n v="2025"/>
    <x v="6"/>
    <x v="2"/>
    <x v="2"/>
  </r>
  <r>
    <x v="1"/>
    <x v="131"/>
    <x v="1"/>
    <x v="34"/>
    <n v="40"/>
    <n v="18"/>
    <n v="6"/>
    <n v="1"/>
    <n v="5400"/>
    <n v="1"/>
    <n v="0"/>
    <n v="0"/>
    <n v="34"/>
    <n v="25"/>
    <n v="2025"/>
    <x v="6"/>
    <x v="2"/>
    <x v="2"/>
  </r>
  <r>
    <x v="1"/>
    <x v="131"/>
    <x v="1"/>
    <x v="36"/>
    <n v="1"/>
    <n v="1"/>
    <n v="0"/>
    <n v="0"/>
    <n v="0"/>
    <n v="0"/>
    <n v="0"/>
    <n v="0"/>
    <n v="0"/>
    <n v="1"/>
    <n v="2025"/>
    <x v="6"/>
    <x v="2"/>
    <x v="2"/>
  </r>
  <r>
    <x v="1"/>
    <x v="131"/>
    <x v="1"/>
    <x v="38"/>
    <n v="375"/>
    <n v="69"/>
    <n v="26"/>
    <n v="9"/>
    <n v="107395"/>
    <n v="18"/>
    <n v="104485"/>
    <n v="18"/>
    <n v="70"/>
    <n v="367"/>
    <n v="2025"/>
    <x v="6"/>
    <x v="2"/>
    <x v="2"/>
  </r>
  <r>
    <x v="1"/>
    <x v="131"/>
    <x v="1"/>
    <x v="60"/>
    <n v="3"/>
    <n v="3"/>
    <n v="0"/>
    <n v="0"/>
    <n v="0"/>
    <n v="0"/>
    <n v="0"/>
    <n v="0"/>
    <n v="1"/>
    <n v="3"/>
    <n v="2025"/>
    <x v="6"/>
    <x v="2"/>
    <x v="2"/>
  </r>
  <r>
    <x v="1"/>
    <x v="131"/>
    <x v="1"/>
    <x v="39"/>
    <n v="2"/>
    <n v="2"/>
    <n v="0"/>
    <n v="0"/>
    <n v="0"/>
    <n v="0"/>
    <n v="0"/>
    <n v="0"/>
    <n v="0"/>
    <n v="2"/>
    <n v="2025"/>
    <x v="6"/>
    <x v="2"/>
    <x v="2"/>
  </r>
  <r>
    <x v="1"/>
    <x v="131"/>
    <x v="1"/>
    <x v="64"/>
    <n v="696"/>
    <n v="333"/>
    <n v="18"/>
    <n v="2"/>
    <n v="79875"/>
    <n v="9"/>
    <n v="69945"/>
    <n v="8"/>
    <n v="71"/>
    <n v="688"/>
    <n v="2025"/>
    <x v="6"/>
    <x v="2"/>
    <x v="2"/>
  </r>
  <r>
    <x v="1"/>
    <x v="131"/>
    <x v="1"/>
    <x v="42"/>
    <n v="143"/>
    <n v="62"/>
    <n v="5"/>
    <n v="1"/>
    <n v="2490"/>
    <n v="1"/>
    <n v="2490"/>
    <n v="1"/>
    <n v="14"/>
    <n v="140"/>
    <n v="2025"/>
    <x v="6"/>
    <x v="2"/>
    <x v="2"/>
  </r>
  <r>
    <x v="1"/>
    <x v="131"/>
    <x v="1"/>
    <x v="43"/>
    <n v="129"/>
    <n v="50"/>
    <n v="1"/>
    <n v="3"/>
    <n v="0"/>
    <n v="0"/>
    <n v="0"/>
    <n v="0"/>
    <n v="108"/>
    <n v="75"/>
    <n v="2025"/>
    <x v="6"/>
    <x v="2"/>
    <x v="2"/>
  </r>
  <r>
    <x v="1"/>
    <x v="131"/>
    <x v="1"/>
    <x v="44"/>
    <n v="61"/>
    <n v="13"/>
    <n v="0"/>
    <n v="0"/>
    <n v="4940"/>
    <n v="1"/>
    <n v="4940"/>
    <n v="1"/>
    <n v="0"/>
    <n v="61"/>
    <n v="2025"/>
    <x v="6"/>
    <x v="2"/>
    <x v="2"/>
  </r>
  <r>
    <x v="1"/>
    <x v="131"/>
    <x v="1"/>
    <x v="45"/>
    <n v="4"/>
    <n v="0"/>
    <n v="0"/>
    <n v="0"/>
    <n v="0"/>
    <n v="0"/>
    <n v="0"/>
    <n v="0"/>
    <n v="0"/>
    <n v="4"/>
    <n v="2025"/>
    <x v="6"/>
    <x v="2"/>
    <x v="2"/>
  </r>
  <r>
    <x v="1"/>
    <x v="132"/>
    <x v="0"/>
    <x v="0"/>
    <n v="450"/>
    <n v="137"/>
    <n v="6"/>
    <n v="2"/>
    <n v="23635"/>
    <n v="3"/>
    <n v="20945"/>
    <n v="3"/>
    <n v="4"/>
    <n v="439"/>
    <n v="2025"/>
    <x v="6"/>
    <x v="2"/>
    <x v="2"/>
  </r>
  <r>
    <x v="1"/>
    <x v="132"/>
    <x v="0"/>
    <x v="1"/>
    <n v="52381"/>
    <n v="31059"/>
    <n v="294"/>
    <n v="345"/>
    <n v="248540"/>
    <n v="42"/>
    <n v="149760"/>
    <n v="30"/>
    <n v="2022"/>
    <n v="51938"/>
    <n v="2025"/>
    <x v="6"/>
    <x v="2"/>
    <x v="2"/>
  </r>
  <r>
    <x v="1"/>
    <x v="132"/>
    <x v="0"/>
    <x v="3"/>
    <n v="1479"/>
    <n v="975"/>
    <n v="17"/>
    <n v="3"/>
    <n v="0"/>
    <n v="0"/>
    <n v="0"/>
    <n v="0"/>
    <n v="51"/>
    <n v="515"/>
    <n v="2025"/>
    <x v="6"/>
    <x v="2"/>
    <x v="2"/>
  </r>
  <r>
    <x v="1"/>
    <x v="132"/>
    <x v="1"/>
    <x v="46"/>
    <n v="1"/>
    <n v="0"/>
    <n v="0"/>
    <n v="0"/>
    <n v="0"/>
    <n v="0"/>
    <n v="0"/>
    <n v="0"/>
    <n v="0"/>
    <n v="0"/>
    <n v="2025"/>
    <x v="6"/>
    <x v="2"/>
    <x v="2"/>
  </r>
  <r>
    <x v="1"/>
    <x v="132"/>
    <x v="1"/>
    <x v="5"/>
    <n v="86"/>
    <n v="25"/>
    <n v="1"/>
    <n v="0"/>
    <n v="0"/>
    <n v="0"/>
    <n v="0"/>
    <n v="0"/>
    <n v="2"/>
    <n v="86"/>
    <n v="2025"/>
    <x v="6"/>
    <x v="2"/>
    <x v="2"/>
  </r>
  <r>
    <x v="1"/>
    <x v="132"/>
    <x v="1"/>
    <x v="6"/>
    <n v="258"/>
    <n v="208"/>
    <n v="0"/>
    <n v="0"/>
    <n v="0"/>
    <n v="0"/>
    <n v="0"/>
    <n v="0"/>
    <n v="0"/>
    <n v="0"/>
    <n v="2025"/>
    <x v="6"/>
    <x v="2"/>
    <x v="2"/>
  </r>
  <r>
    <x v="1"/>
    <x v="132"/>
    <x v="1"/>
    <x v="7"/>
    <n v="513"/>
    <n v="105"/>
    <n v="45"/>
    <n v="11"/>
    <n v="335414.42"/>
    <n v="52"/>
    <n v="305814.42"/>
    <n v="49"/>
    <n v="141"/>
    <n v="490"/>
    <n v="2025"/>
    <x v="6"/>
    <x v="2"/>
    <x v="2"/>
  </r>
  <r>
    <x v="1"/>
    <x v="132"/>
    <x v="1"/>
    <x v="8"/>
    <n v="20"/>
    <n v="10"/>
    <n v="0"/>
    <n v="0"/>
    <n v="0"/>
    <n v="0"/>
    <n v="0"/>
    <n v="0"/>
    <n v="1"/>
    <n v="18"/>
    <n v="2025"/>
    <x v="6"/>
    <x v="2"/>
    <x v="2"/>
  </r>
  <r>
    <x v="1"/>
    <x v="132"/>
    <x v="1"/>
    <x v="10"/>
    <n v="7"/>
    <n v="3"/>
    <n v="0"/>
    <n v="0"/>
    <n v="0"/>
    <n v="0"/>
    <n v="0"/>
    <n v="0"/>
    <n v="0"/>
    <n v="1"/>
    <n v="2025"/>
    <x v="6"/>
    <x v="2"/>
    <x v="2"/>
  </r>
  <r>
    <x v="1"/>
    <x v="132"/>
    <x v="1"/>
    <x v="11"/>
    <n v="1"/>
    <n v="0"/>
    <n v="0"/>
    <n v="0"/>
    <n v="0"/>
    <n v="0"/>
    <n v="0"/>
    <n v="0"/>
    <n v="1"/>
    <n v="0"/>
    <n v="2025"/>
    <x v="6"/>
    <x v="2"/>
    <x v="2"/>
  </r>
  <r>
    <x v="1"/>
    <x v="132"/>
    <x v="1"/>
    <x v="59"/>
    <n v="2814"/>
    <n v="2273"/>
    <n v="28"/>
    <n v="9"/>
    <n v="92394.16"/>
    <n v="15"/>
    <n v="89404.160000000003"/>
    <n v="15"/>
    <n v="150"/>
    <n v="539"/>
    <n v="2025"/>
    <x v="6"/>
    <x v="2"/>
    <x v="2"/>
  </r>
  <r>
    <x v="1"/>
    <x v="132"/>
    <x v="1"/>
    <x v="15"/>
    <n v="2"/>
    <n v="2"/>
    <n v="0"/>
    <n v="0"/>
    <n v="0"/>
    <n v="0"/>
    <n v="0"/>
    <n v="0"/>
    <n v="0"/>
    <n v="2"/>
    <n v="2025"/>
    <x v="6"/>
    <x v="2"/>
    <x v="2"/>
  </r>
  <r>
    <x v="1"/>
    <x v="132"/>
    <x v="1"/>
    <x v="17"/>
    <n v="358"/>
    <n v="117"/>
    <n v="6"/>
    <n v="1"/>
    <n v="0"/>
    <n v="0"/>
    <n v="0"/>
    <n v="0"/>
    <n v="0"/>
    <n v="358"/>
    <n v="2025"/>
    <x v="6"/>
    <x v="2"/>
    <x v="2"/>
  </r>
  <r>
    <x v="1"/>
    <x v="132"/>
    <x v="1"/>
    <x v="18"/>
    <n v="17"/>
    <n v="14"/>
    <n v="3"/>
    <n v="0"/>
    <n v="8710"/>
    <n v="1"/>
    <n v="8710"/>
    <n v="1"/>
    <n v="5"/>
    <n v="17"/>
    <n v="2025"/>
    <x v="6"/>
    <x v="2"/>
    <x v="2"/>
  </r>
  <r>
    <x v="1"/>
    <x v="132"/>
    <x v="1"/>
    <x v="19"/>
    <n v="1710"/>
    <n v="718"/>
    <n v="66"/>
    <n v="24"/>
    <n v="172454.85"/>
    <n v="29"/>
    <n v="140319.85"/>
    <n v="26"/>
    <n v="419"/>
    <n v="1334"/>
    <n v="2025"/>
    <x v="6"/>
    <x v="2"/>
    <x v="2"/>
  </r>
  <r>
    <x v="1"/>
    <x v="132"/>
    <x v="1"/>
    <x v="20"/>
    <n v="17"/>
    <n v="6"/>
    <n v="0"/>
    <n v="0"/>
    <n v="36580"/>
    <n v="2"/>
    <n v="36580"/>
    <n v="2"/>
    <n v="3"/>
    <n v="15"/>
    <n v="2025"/>
    <x v="6"/>
    <x v="2"/>
    <x v="2"/>
  </r>
  <r>
    <x v="1"/>
    <x v="132"/>
    <x v="1"/>
    <x v="24"/>
    <n v="26"/>
    <n v="18"/>
    <n v="4"/>
    <n v="0"/>
    <n v="7240"/>
    <n v="2"/>
    <n v="5260"/>
    <n v="1"/>
    <n v="2"/>
    <n v="23"/>
    <n v="2025"/>
    <x v="6"/>
    <x v="2"/>
    <x v="2"/>
  </r>
  <r>
    <x v="1"/>
    <x v="132"/>
    <x v="1"/>
    <x v="27"/>
    <n v="125"/>
    <n v="45"/>
    <n v="12"/>
    <n v="2"/>
    <n v="82790.47"/>
    <n v="14"/>
    <n v="75800.47"/>
    <n v="13"/>
    <n v="48"/>
    <n v="108"/>
    <n v="2025"/>
    <x v="6"/>
    <x v="2"/>
    <x v="2"/>
  </r>
  <r>
    <x v="1"/>
    <x v="132"/>
    <x v="1"/>
    <x v="29"/>
    <n v="1336"/>
    <n v="992"/>
    <n v="37"/>
    <n v="10"/>
    <n v="48025"/>
    <n v="7"/>
    <n v="36095"/>
    <n v="5"/>
    <n v="302"/>
    <n v="1259"/>
    <n v="2025"/>
    <x v="6"/>
    <x v="2"/>
    <x v="2"/>
  </r>
  <r>
    <x v="1"/>
    <x v="132"/>
    <x v="1"/>
    <x v="30"/>
    <n v="6846"/>
    <n v="3143"/>
    <n v="127"/>
    <n v="41"/>
    <n v="227999.16"/>
    <n v="34"/>
    <n v="203144.16"/>
    <n v="33"/>
    <n v="588"/>
    <n v="6710"/>
    <n v="2025"/>
    <x v="6"/>
    <x v="2"/>
    <x v="2"/>
  </r>
  <r>
    <x v="1"/>
    <x v="132"/>
    <x v="1"/>
    <x v="31"/>
    <n v="171"/>
    <n v="104"/>
    <n v="6"/>
    <n v="3"/>
    <n v="0"/>
    <n v="0"/>
    <n v="0"/>
    <n v="0"/>
    <n v="28"/>
    <n v="161"/>
    <n v="2025"/>
    <x v="6"/>
    <x v="2"/>
    <x v="2"/>
  </r>
  <r>
    <x v="1"/>
    <x v="132"/>
    <x v="1"/>
    <x v="34"/>
    <n v="52"/>
    <n v="18"/>
    <n v="3"/>
    <n v="0"/>
    <n v="0"/>
    <n v="0"/>
    <n v="0"/>
    <n v="0"/>
    <n v="47"/>
    <n v="22"/>
    <n v="2025"/>
    <x v="6"/>
    <x v="2"/>
    <x v="2"/>
  </r>
  <r>
    <x v="1"/>
    <x v="132"/>
    <x v="1"/>
    <x v="38"/>
    <n v="402"/>
    <n v="87"/>
    <n v="33"/>
    <n v="15"/>
    <n v="100160"/>
    <n v="19"/>
    <n v="87220"/>
    <n v="16"/>
    <n v="92"/>
    <n v="396"/>
    <n v="2025"/>
    <x v="6"/>
    <x v="2"/>
    <x v="2"/>
  </r>
  <r>
    <x v="1"/>
    <x v="132"/>
    <x v="1"/>
    <x v="60"/>
    <n v="4"/>
    <n v="4"/>
    <n v="0"/>
    <n v="0"/>
    <n v="0"/>
    <n v="0"/>
    <n v="0"/>
    <n v="0"/>
    <n v="0"/>
    <n v="4"/>
    <n v="2025"/>
    <x v="6"/>
    <x v="2"/>
    <x v="2"/>
  </r>
  <r>
    <x v="1"/>
    <x v="132"/>
    <x v="1"/>
    <x v="39"/>
    <n v="1"/>
    <n v="0"/>
    <n v="1"/>
    <n v="0"/>
    <n v="0"/>
    <n v="0"/>
    <n v="0"/>
    <n v="0"/>
    <n v="0"/>
    <n v="1"/>
    <n v="2025"/>
    <x v="6"/>
    <x v="2"/>
    <x v="2"/>
  </r>
  <r>
    <x v="1"/>
    <x v="132"/>
    <x v="1"/>
    <x v="64"/>
    <n v="761"/>
    <n v="399"/>
    <n v="25"/>
    <n v="5"/>
    <n v="42610"/>
    <n v="6"/>
    <n v="35715"/>
    <n v="6"/>
    <n v="82"/>
    <n v="745"/>
    <n v="2025"/>
    <x v="6"/>
    <x v="2"/>
    <x v="2"/>
  </r>
  <r>
    <x v="1"/>
    <x v="132"/>
    <x v="1"/>
    <x v="42"/>
    <n v="149"/>
    <n v="63"/>
    <n v="3"/>
    <n v="4"/>
    <n v="0"/>
    <n v="0"/>
    <n v="0"/>
    <n v="0"/>
    <n v="11"/>
    <n v="135"/>
    <n v="2025"/>
    <x v="6"/>
    <x v="2"/>
    <x v="2"/>
  </r>
  <r>
    <x v="1"/>
    <x v="132"/>
    <x v="1"/>
    <x v="43"/>
    <n v="145"/>
    <n v="59"/>
    <n v="1"/>
    <n v="1"/>
    <n v="6990"/>
    <n v="1"/>
    <n v="6990"/>
    <n v="1"/>
    <n v="114"/>
    <n v="83"/>
    <n v="2025"/>
    <x v="6"/>
    <x v="2"/>
    <x v="2"/>
  </r>
  <r>
    <x v="1"/>
    <x v="132"/>
    <x v="1"/>
    <x v="44"/>
    <n v="43"/>
    <n v="5"/>
    <n v="0"/>
    <n v="0"/>
    <n v="14625"/>
    <n v="3"/>
    <n v="14625"/>
    <n v="3"/>
    <n v="2"/>
    <n v="43"/>
    <n v="2025"/>
    <x v="6"/>
    <x v="2"/>
    <x v="2"/>
  </r>
  <r>
    <x v="1"/>
    <x v="132"/>
    <x v="1"/>
    <x v="45"/>
    <n v="2"/>
    <n v="2"/>
    <n v="0"/>
    <n v="0"/>
    <n v="0"/>
    <n v="0"/>
    <n v="0"/>
    <n v="0"/>
    <n v="0"/>
    <n v="2"/>
    <n v="2025"/>
    <x v="6"/>
    <x v="2"/>
    <x v="2"/>
  </r>
  <r>
    <x v="1"/>
    <x v="133"/>
    <x v="0"/>
    <x v="0"/>
    <n v="485"/>
    <n v="167"/>
    <n v="3"/>
    <n v="3"/>
    <n v="35730"/>
    <n v="2"/>
    <n v="35730"/>
    <n v="2"/>
    <n v="12"/>
    <n v="472"/>
    <n v="2025"/>
    <x v="6"/>
    <x v="2"/>
    <x v="2"/>
  </r>
  <r>
    <x v="1"/>
    <x v="133"/>
    <x v="0"/>
    <x v="1"/>
    <n v="42655"/>
    <n v="24312"/>
    <n v="294"/>
    <n v="321"/>
    <n v="279886.26"/>
    <n v="48"/>
    <n v="166636.26"/>
    <n v="40"/>
    <n v="1976"/>
    <n v="42189"/>
    <n v="2025"/>
    <x v="6"/>
    <x v="2"/>
    <x v="2"/>
  </r>
  <r>
    <x v="1"/>
    <x v="133"/>
    <x v="0"/>
    <x v="3"/>
    <n v="2399"/>
    <n v="1816"/>
    <n v="23"/>
    <n v="1"/>
    <n v="0"/>
    <n v="0"/>
    <n v="0"/>
    <n v="0"/>
    <n v="47"/>
    <n v="524"/>
    <n v="2025"/>
    <x v="6"/>
    <x v="2"/>
    <x v="2"/>
  </r>
  <r>
    <x v="1"/>
    <x v="133"/>
    <x v="1"/>
    <x v="5"/>
    <n v="134"/>
    <n v="47"/>
    <n v="0"/>
    <n v="0"/>
    <n v="0"/>
    <n v="0"/>
    <n v="0"/>
    <n v="0"/>
    <n v="3"/>
    <n v="134"/>
    <n v="2025"/>
    <x v="6"/>
    <x v="2"/>
    <x v="2"/>
  </r>
  <r>
    <x v="1"/>
    <x v="133"/>
    <x v="1"/>
    <x v="6"/>
    <n v="160"/>
    <n v="125"/>
    <n v="0"/>
    <n v="0"/>
    <n v="0"/>
    <n v="0"/>
    <n v="0"/>
    <n v="0"/>
    <n v="0"/>
    <n v="0"/>
    <n v="2025"/>
    <x v="6"/>
    <x v="2"/>
    <x v="2"/>
  </r>
  <r>
    <x v="1"/>
    <x v="133"/>
    <x v="1"/>
    <x v="7"/>
    <n v="631"/>
    <n v="101"/>
    <n v="64"/>
    <n v="4"/>
    <n v="346576.18"/>
    <n v="67"/>
    <n v="319826.18"/>
    <n v="64"/>
    <n v="172"/>
    <n v="608"/>
    <n v="2025"/>
    <x v="6"/>
    <x v="2"/>
    <x v="2"/>
  </r>
  <r>
    <x v="1"/>
    <x v="133"/>
    <x v="1"/>
    <x v="8"/>
    <n v="22"/>
    <n v="7"/>
    <n v="0"/>
    <n v="0"/>
    <n v="0"/>
    <n v="0"/>
    <n v="0"/>
    <n v="0"/>
    <n v="0"/>
    <n v="18"/>
    <n v="2025"/>
    <x v="6"/>
    <x v="2"/>
    <x v="2"/>
  </r>
  <r>
    <x v="1"/>
    <x v="133"/>
    <x v="1"/>
    <x v="10"/>
    <n v="4"/>
    <n v="3"/>
    <n v="0"/>
    <n v="0"/>
    <n v="0"/>
    <n v="0"/>
    <n v="0"/>
    <n v="0"/>
    <n v="0"/>
    <n v="0"/>
    <n v="2025"/>
    <x v="6"/>
    <x v="2"/>
    <x v="2"/>
  </r>
  <r>
    <x v="1"/>
    <x v="133"/>
    <x v="1"/>
    <x v="11"/>
    <n v="3"/>
    <n v="3"/>
    <n v="0"/>
    <n v="0"/>
    <n v="0"/>
    <n v="0"/>
    <n v="0"/>
    <n v="0"/>
    <n v="3"/>
    <n v="0"/>
    <n v="2025"/>
    <x v="6"/>
    <x v="2"/>
    <x v="2"/>
  </r>
  <r>
    <x v="1"/>
    <x v="133"/>
    <x v="1"/>
    <x v="59"/>
    <n v="5862"/>
    <n v="5159"/>
    <n v="36"/>
    <n v="8"/>
    <n v="150745"/>
    <n v="25"/>
    <n v="129015"/>
    <n v="21"/>
    <n v="182"/>
    <n v="516"/>
    <n v="2025"/>
    <x v="6"/>
    <x v="2"/>
    <x v="2"/>
  </r>
  <r>
    <x v="1"/>
    <x v="133"/>
    <x v="1"/>
    <x v="15"/>
    <n v="1"/>
    <n v="1"/>
    <n v="0"/>
    <n v="0"/>
    <n v="0"/>
    <n v="0"/>
    <n v="0"/>
    <n v="0"/>
    <n v="0"/>
    <n v="1"/>
    <n v="2025"/>
    <x v="6"/>
    <x v="2"/>
    <x v="2"/>
  </r>
  <r>
    <x v="1"/>
    <x v="133"/>
    <x v="1"/>
    <x v="17"/>
    <n v="432"/>
    <n v="152"/>
    <n v="3"/>
    <n v="1"/>
    <n v="0"/>
    <n v="0"/>
    <n v="0"/>
    <n v="0"/>
    <n v="1"/>
    <n v="431"/>
    <n v="2025"/>
    <x v="6"/>
    <x v="2"/>
    <x v="2"/>
  </r>
  <r>
    <x v="1"/>
    <x v="133"/>
    <x v="1"/>
    <x v="18"/>
    <n v="9"/>
    <n v="8"/>
    <n v="1"/>
    <n v="0"/>
    <n v="13390"/>
    <n v="1"/>
    <n v="9590"/>
    <n v="1"/>
    <n v="1"/>
    <n v="9"/>
    <n v="2025"/>
    <x v="6"/>
    <x v="2"/>
    <x v="2"/>
  </r>
  <r>
    <x v="1"/>
    <x v="133"/>
    <x v="1"/>
    <x v="19"/>
    <n v="2593"/>
    <n v="1327"/>
    <n v="87"/>
    <n v="16"/>
    <n v="239440.24"/>
    <n v="43"/>
    <n v="199000.24"/>
    <n v="40"/>
    <n v="442"/>
    <n v="1796"/>
    <n v="2025"/>
    <x v="6"/>
    <x v="2"/>
    <x v="2"/>
  </r>
  <r>
    <x v="1"/>
    <x v="133"/>
    <x v="1"/>
    <x v="20"/>
    <n v="30"/>
    <n v="17"/>
    <n v="1"/>
    <n v="0"/>
    <n v="0"/>
    <n v="0"/>
    <n v="0"/>
    <n v="0"/>
    <n v="5"/>
    <n v="26"/>
    <n v="2025"/>
    <x v="6"/>
    <x v="2"/>
    <x v="2"/>
  </r>
  <r>
    <x v="1"/>
    <x v="133"/>
    <x v="1"/>
    <x v="24"/>
    <n v="37"/>
    <n v="25"/>
    <n v="5"/>
    <n v="0"/>
    <n v="19200"/>
    <n v="4"/>
    <n v="19200"/>
    <n v="4"/>
    <n v="8"/>
    <n v="35"/>
    <n v="2025"/>
    <x v="6"/>
    <x v="2"/>
    <x v="2"/>
  </r>
  <r>
    <x v="1"/>
    <x v="133"/>
    <x v="1"/>
    <x v="27"/>
    <n v="125"/>
    <n v="39"/>
    <n v="12"/>
    <n v="1"/>
    <n v="51635"/>
    <n v="7"/>
    <n v="43695"/>
    <n v="7"/>
    <n v="48"/>
    <n v="109"/>
    <n v="2025"/>
    <x v="6"/>
    <x v="2"/>
    <x v="2"/>
  </r>
  <r>
    <x v="1"/>
    <x v="133"/>
    <x v="1"/>
    <x v="29"/>
    <n v="1034"/>
    <n v="751"/>
    <n v="43"/>
    <n v="9"/>
    <n v="48730"/>
    <n v="10"/>
    <n v="27490"/>
    <n v="8"/>
    <n v="232"/>
    <n v="972"/>
    <n v="2025"/>
    <x v="6"/>
    <x v="2"/>
    <x v="2"/>
  </r>
  <r>
    <x v="1"/>
    <x v="133"/>
    <x v="1"/>
    <x v="30"/>
    <n v="6833"/>
    <n v="3081"/>
    <n v="162"/>
    <n v="46"/>
    <n v="176360"/>
    <n v="25"/>
    <n v="131240"/>
    <n v="21"/>
    <n v="556"/>
    <n v="6539"/>
    <n v="2025"/>
    <x v="6"/>
    <x v="2"/>
    <x v="2"/>
  </r>
  <r>
    <x v="1"/>
    <x v="133"/>
    <x v="1"/>
    <x v="31"/>
    <n v="151"/>
    <n v="88"/>
    <n v="5"/>
    <n v="4"/>
    <n v="10395"/>
    <n v="2"/>
    <n v="10395"/>
    <n v="2"/>
    <n v="22"/>
    <n v="146"/>
    <n v="2025"/>
    <x v="6"/>
    <x v="2"/>
    <x v="2"/>
  </r>
  <r>
    <x v="1"/>
    <x v="133"/>
    <x v="1"/>
    <x v="34"/>
    <n v="67"/>
    <n v="31"/>
    <n v="5"/>
    <n v="1"/>
    <n v="20325"/>
    <n v="4"/>
    <n v="11415"/>
    <n v="4"/>
    <n v="62"/>
    <n v="31"/>
    <n v="2025"/>
    <x v="6"/>
    <x v="2"/>
    <x v="2"/>
  </r>
  <r>
    <x v="1"/>
    <x v="133"/>
    <x v="1"/>
    <x v="36"/>
    <n v="2"/>
    <n v="2"/>
    <n v="0"/>
    <n v="0"/>
    <n v="0"/>
    <n v="0"/>
    <n v="0"/>
    <n v="0"/>
    <n v="0"/>
    <n v="2"/>
    <n v="2025"/>
    <x v="6"/>
    <x v="2"/>
    <x v="2"/>
  </r>
  <r>
    <x v="1"/>
    <x v="133"/>
    <x v="1"/>
    <x v="38"/>
    <n v="442"/>
    <n v="83"/>
    <n v="33"/>
    <n v="10"/>
    <n v="125765"/>
    <n v="18"/>
    <n v="95605"/>
    <n v="19"/>
    <n v="98"/>
    <n v="430"/>
    <n v="2025"/>
    <x v="6"/>
    <x v="2"/>
    <x v="2"/>
  </r>
  <r>
    <x v="1"/>
    <x v="133"/>
    <x v="1"/>
    <x v="60"/>
    <n v="4"/>
    <n v="4"/>
    <n v="0"/>
    <n v="0"/>
    <n v="0"/>
    <n v="0"/>
    <n v="0"/>
    <n v="0"/>
    <n v="0"/>
    <n v="4"/>
    <n v="2025"/>
    <x v="6"/>
    <x v="2"/>
    <x v="2"/>
  </r>
  <r>
    <x v="1"/>
    <x v="133"/>
    <x v="1"/>
    <x v="64"/>
    <n v="849"/>
    <n v="464"/>
    <n v="34"/>
    <n v="4"/>
    <n v="89835"/>
    <n v="14"/>
    <n v="69735"/>
    <n v="11"/>
    <n v="104"/>
    <n v="845"/>
    <n v="2025"/>
    <x v="6"/>
    <x v="2"/>
    <x v="2"/>
  </r>
  <r>
    <x v="1"/>
    <x v="133"/>
    <x v="1"/>
    <x v="42"/>
    <n v="171"/>
    <n v="75"/>
    <n v="5"/>
    <n v="1"/>
    <n v="2690"/>
    <n v="1"/>
    <n v="0"/>
    <n v="0"/>
    <n v="19"/>
    <n v="159"/>
    <n v="2025"/>
    <x v="6"/>
    <x v="2"/>
    <x v="2"/>
  </r>
  <r>
    <x v="1"/>
    <x v="133"/>
    <x v="1"/>
    <x v="43"/>
    <n v="147"/>
    <n v="60"/>
    <n v="11"/>
    <n v="3"/>
    <n v="4800"/>
    <n v="1"/>
    <n v="4800"/>
    <n v="1"/>
    <n v="121"/>
    <n v="80"/>
    <n v="2025"/>
    <x v="6"/>
    <x v="2"/>
    <x v="2"/>
  </r>
  <r>
    <x v="1"/>
    <x v="133"/>
    <x v="1"/>
    <x v="44"/>
    <n v="61"/>
    <n v="16"/>
    <n v="3"/>
    <n v="0"/>
    <n v="13405"/>
    <n v="4"/>
    <n v="13405"/>
    <n v="4"/>
    <n v="1"/>
    <n v="61"/>
    <n v="2025"/>
    <x v="6"/>
    <x v="2"/>
    <x v="2"/>
  </r>
  <r>
    <x v="1"/>
    <x v="133"/>
    <x v="1"/>
    <x v="45"/>
    <n v="2"/>
    <n v="1"/>
    <n v="0"/>
    <n v="0"/>
    <n v="0"/>
    <n v="0"/>
    <n v="0"/>
    <n v="0"/>
    <n v="0"/>
    <n v="2"/>
    <n v="2025"/>
    <x v="6"/>
    <x v="2"/>
    <x v="2"/>
  </r>
  <r>
    <x v="1"/>
    <x v="134"/>
    <x v="0"/>
    <x v="0"/>
    <n v="554"/>
    <n v="192"/>
    <n v="9"/>
    <n v="2"/>
    <n v="60267.87"/>
    <n v="7"/>
    <n v="55040"/>
    <n v="7"/>
    <n v="8"/>
    <n v="549"/>
    <n v="2025"/>
    <x v="6"/>
    <x v="2"/>
    <x v="2"/>
  </r>
  <r>
    <x v="1"/>
    <x v="134"/>
    <x v="0"/>
    <x v="1"/>
    <n v="41896"/>
    <n v="24840"/>
    <n v="309"/>
    <n v="281"/>
    <n v="607121.34"/>
    <n v="86"/>
    <n v="451986.34"/>
    <n v="76"/>
    <n v="2089"/>
    <n v="41435"/>
    <n v="2025"/>
    <x v="6"/>
    <x v="2"/>
    <x v="2"/>
  </r>
  <r>
    <x v="1"/>
    <x v="134"/>
    <x v="0"/>
    <x v="2"/>
    <n v="1"/>
    <n v="0"/>
    <n v="0"/>
    <n v="0"/>
    <n v="0"/>
    <n v="0"/>
    <n v="0"/>
    <n v="0"/>
    <n v="1"/>
    <n v="0"/>
    <n v="2025"/>
    <x v="6"/>
    <x v="2"/>
    <x v="2"/>
  </r>
  <r>
    <x v="1"/>
    <x v="134"/>
    <x v="0"/>
    <x v="3"/>
    <n v="2095"/>
    <n v="1279"/>
    <n v="38"/>
    <n v="3"/>
    <n v="0"/>
    <n v="0"/>
    <n v="0"/>
    <n v="0"/>
    <n v="69"/>
    <n v="789"/>
    <n v="2025"/>
    <x v="6"/>
    <x v="2"/>
    <x v="2"/>
  </r>
  <r>
    <x v="1"/>
    <x v="134"/>
    <x v="1"/>
    <x v="5"/>
    <n v="94"/>
    <n v="35"/>
    <n v="1"/>
    <n v="0"/>
    <n v="9980"/>
    <n v="2"/>
    <n v="9980"/>
    <n v="2"/>
    <n v="0"/>
    <n v="94"/>
    <n v="2025"/>
    <x v="6"/>
    <x v="2"/>
    <x v="2"/>
  </r>
  <r>
    <x v="1"/>
    <x v="134"/>
    <x v="1"/>
    <x v="6"/>
    <n v="135"/>
    <n v="108"/>
    <n v="0"/>
    <n v="0"/>
    <n v="0"/>
    <n v="0"/>
    <n v="0"/>
    <n v="0"/>
    <n v="0"/>
    <n v="0"/>
    <n v="2025"/>
    <x v="6"/>
    <x v="2"/>
    <x v="2"/>
  </r>
  <r>
    <x v="1"/>
    <x v="134"/>
    <x v="1"/>
    <x v="7"/>
    <n v="930"/>
    <n v="168"/>
    <n v="115"/>
    <n v="12"/>
    <n v="1115432.6599999999"/>
    <n v="198"/>
    <n v="1004480.53"/>
    <n v="191"/>
    <n v="266"/>
    <n v="903"/>
    <n v="2025"/>
    <x v="6"/>
    <x v="2"/>
    <x v="2"/>
  </r>
  <r>
    <x v="1"/>
    <x v="134"/>
    <x v="1"/>
    <x v="8"/>
    <n v="9"/>
    <n v="5"/>
    <n v="0"/>
    <n v="0"/>
    <n v="2090"/>
    <n v="1"/>
    <n v="0"/>
    <n v="0"/>
    <n v="0"/>
    <n v="8"/>
    <n v="2025"/>
    <x v="6"/>
    <x v="2"/>
    <x v="2"/>
  </r>
  <r>
    <x v="1"/>
    <x v="134"/>
    <x v="1"/>
    <x v="52"/>
    <n v="1"/>
    <n v="0"/>
    <n v="0"/>
    <n v="0"/>
    <n v="0"/>
    <n v="0"/>
    <n v="0"/>
    <n v="0"/>
    <n v="0"/>
    <n v="1"/>
    <n v="2025"/>
    <x v="6"/>
    <x v="2"/>
    <x v="2"/>
  </r>
  <r>
    <x v="1"/>
    <x v="134"/>
    <x v="1"/>
    <x v="10"/>
    <n v="10"/>
    <n v="1"/>
    <n v="0"/>
    <n v="0"/>
    <n v="0"/>
    <n v="0"/>
    <n v="0"/>
    <n v="0"/>
    <n v="1"/>
    <n v="3"/>
    <n v="2025"/>
    <x v="6"/>
    <x v="2"/>
    <x v="2"/>
  </r>
  <r>
    <x v="1"/>
    <x v="134"/>
    <x v="1"/>
    <x v="11"/>
    <n v="20"/>
    <n v="20"/>
    <n v="0"/>
    <n v="0"/>
    <n v="0"/>
    <n v="0"/>
    <n v="0"/>
    <n v="0"/>
    <n v="19"/>
    <n v="1"/>
    <n v="2025"/>
    <x v="6"/>
    <x v="2"/>
    <x v="2"/>
  </r>
  <r>
    <x v="1"/>
    <x v="134"/>
    <x v="1"/>
    <x v="59"/>
    <n v="2412"/>
    <n v="1924"/>
    <n v="33"/>
    <n v="7"/>
    <n v="240832"/>
    <n v="39"/>
    <n v="203707"/>
    <n v="37"/>
    <n v="182"/>
    <n v="471"/>
    <n v="2025"/>
    <x v="6"/>
    <x v="2"/>
    <x v="2"/>
  </r>
  <r>
    <x v="1"/>
    <x v="134"/>
    <x v="1"/>
    <x v="17"/>
    <n v="287"/>
    <n v="89"/>
    <n v="3"/>
    <n v="1"/>
    <n v="10945"/>
    <n v="2"/>
    <n v="4675"/>
    <n v="1"/>
    <n v="2"/>
    <n v="285"/>
    <n v="2025"/>
    <x v="6"/>
    <x v="2"/>
    <x v="2"/>
  </r>
  <r>
    <x v="1"/>
    <x v="134"/>
    <x v="1"/>
    <x v="18"/>
    <n v="12"/>
    <n v="11"/>
    <n v="1"/>
    <n v="0"/>
    <n v="6990"/>
    <n v="1"/>
    <n v="6990"/>
    <n v="1"/>
    <n v="1"/>
    <n v="12"/>
    <n v="2025"/>
    <x v="6"/>
    <x v="2"/>
    <x v="2"/>
  </r>
  <r>
    <x v="1"/>
    <x v="134"/>
    <x v="1"/>
    <x v="19"/>
    <n v="2354"/>
    <n v="1134"/>
    <n v="93"/>
    <n v="13"/>
    <n v="428205.86"/>
    <n v="75"/>
    <n v="359182.99"/>
    <n v="69"/>
    <n v="530"/>
    <n v="1560"/>
    <n v="2025"/>
    <x v="6"/>
    <x v="2"/>
    <x v="2"/>
  </r>
  <r>
    <x v="1"/>
    <x v="134"/>
    <x v="1"/>
    <x v="20"/>
    <n v="24"/>
    <n v="17"/>
    <n v="0"/>
    <n v="0"/>
    <n v="0"/>
    <n v="0"/>
    <n v="0"/>
    <n v="0"/>
    <n v="3"/>
    <n v="23"/>
    <n v="2025"/>
    <x v="6"/>
    <x v="2"/>
    <x v="2"/>
  </r>
  <r>
    <x v="1"/>
    <x v="134"/>
    <x v="1"/>
    <x v="24"/>
    <n v="28"/>
    <n v="11"/>
    <n v="5"/>
    <n v="0"/>
    <n v="19160"/>
    <n v="4"/>
    <n v="14170"/>
    <n v="3"/>
    <n v="7"/>
    <n v="24"/>
    <n v="2025"/>
    <x v="6"/>
    <x v="2"/>
    <x v="2"/>
  </r>
  <r>
    <x v="1"/>
    <x v="134"/>
    <x v="1"/>
    <x v="27"/>
    <n v="205"/>
    <n v="60"/>
    <n v="18"/>
    <n v="1"/>
    <n v="114600"/>
    <n v="21"/>
    <n v="93560"/>
    <n v="19"/>
    <n v="77"/>
    <n v="175"/>
    <n v="2025"/>
    <x v="6"/>
    <x v="2"/>
    <x v="2"/>
  </r>
  <r>
    <x v="1"/>
    <x v="134"/>
    <x v="1"/>
    <x v="29"/>
    <n v="1291"/>
    <n v="963"/>
    <n v="60"/>
    <n v="15"/>
    <n v="86705"/>
    <n v="18"/>
    <n v="75530"/>
    <n v="14"/>
    <n v="272"/>
    <n v="1214"/>
    <n v="2025"/>
    <x v="6"/>
    <x v="2"/>
    <x v="2"/>
  </r>
  <r>
    <x v="1"/>
    <x v="134"/>
    <x v="1"/>
    <x v="30"/>
    <n v="7050"/>
    <n v="3596"/>
    <n v="180"/>
    <n v="53"/>
    <n v="256695.65"/>
    <n v="55"/>
    <n v="199575.65"/>
    <n v="48"/>
    <n v="747"/>
    <n v="6920"/>
    <n v="2025"/>
    <x v="6"/>
    <x v="2"/>
    <x v="2"/>
  </r>
  <r>
    <x v="1"/>
    <x v="134"/>
    <x v="1"/>
    <x v="31"/>
    <n v="135"/>
    <n v="82"/>
    <n v="6"/>
    <n v="1"/>
    <n v="13670"/>
    <n v="3"/>
    <n v="12680"/>
    <n v="3"/>
    <n v="27"/>
    <n v="124"/>
    <n v="2025"/>
    <x v="6"/>
    <x v="2"/>
    <x v="2"/>
  </r>
  <r>
    <x v="1"/>
    <x v="134"/>
    <x v="1"/>
    <x v="34"/>
    <n v="77"/>
    <n v="29"/>
    <n v="5"/>
    <n v="0"/>
    <n v="4330"/>
    <n v="1"/>
    <n v="4330"/>
    <n v="1"/>
    <n v="71"/>
    <n v="32"/>
    <n v="2025"/>
    <x v="6"/>
    <x v="2"/>
    <x v="2"/>
  </r>
  <r>
    <x v="1"/>
    <x v="134"/>
    <x v="1"/>
    <x v="36"/>
    <n v="3"/>
    <n v="1"/>
    <n v="0"/>
    <n v="0"/>
    <n v="0"/>
    <n v="0"/>
    <n v="0"/>
    <n v="0"/>
    <n v="1"/>
    <n v="2"/>
    <n v="2025"/>
    <x v="6"/>
    <x v="2"/>
    <x v="2"/>
  </r>
  <r>
    <x v="1"/>
    <x v="134"/>
    <x v="1"/>
    <x v="38"/>
    <n v="466"/>
    <n v="108"/>
    <n v="42"/>
    <n v="9"/>
    <n v="304401.18"/>
    <n v="52"/>
    <n v="264566.18"/>
    <n v="48"/>
    <n v="102"/>
    <n v="452"/>
    <n v="2025"/>
    <x v="6"/>
    <x v="2"/>
    <x v="2"/>
  </r>
  <r>
    <x v="1"/>
    <x v="134"/>
    <x v="1"/>
    <x v="60"/>
    <n v="6"/>
    <n v="6"/>
    <n v="0"/>
    <n v="0"/>
    <n v="0"/>
    <n v="0"/>
    <n v="0"/>
    <n v="0"/>
    <n v="0"/>
    <n v="6"/>
    <n v="2025"/>
    <x v="6"/>
    <x v="2"/>
    <x v="2"/>
  </r>
  <r>
    <x v="1"/>
    <x v="134"/>
    <x v="1"/>
    <x v="64"/>
    <n v="940"/>
    <n v="587"/>
    <n v="38"/>
    <n v="4"/>
    <n v="121931.28"/>
    <n v="26"/>
    <n v="115296.28"/>
    <n v="24"/>
    <n v="101"/>
    <n v="933"/>
    <n v="2025"/>
    <x v="6"/>
    <x v="2"/>
    <x v="2"/>
  </r>
  <r>
    <x v="1"/>
    <x v="134"/>
    <x v="1"/>
    <x v="42"/>
    <n v="126"/>
    <n v="42"/>
    <n v="6"/>
    <n v="0"/>
    <n v="10930"/>
    <n v="2"/>
    <n v="10930"/>
    <n v="2"/>
    <n v="12"/>
    <n v="121"/>
    <n v="2025"/>
    <x v="6"/>
    <x v="2"/>
    <x v="2"/>
  </r>
  <r>
    <x v="1"/>
    <x v="134"/>
    <x v="1"/>
    <x v="43"/>
    <n v="168"/>
    <n v="75"/>
    <n v="5"/>
    <n v="2"/>
    <n v="1980"/>
    <n v="1"/>
    <n v="990"/>
    <n v="1"/>
    <n v="143"/>
    <n v="101"/>
    <n v="2025"/>
    <x v="6"/>
    <x v="2"/>
    <x v="2"/>
  </r>
  <r>
    <x v="1"/>
    <x v="134"/>
    <x v="1"/>
    <x v="44"/>
    <n v="74"/>
    <n v="17"/>
    <n v="4"/>
    <n v="0"/>
    <n v="76495"/>
    <n v="15"/>
    <n v="76495"/>
    <n v="15"/>
    <n v="0"/>
    <n v="74"/>
    <n v="2025"/>
    <x v="6"/>
    <x v="2"/>
    <x v="2"/>
  </r>
  <r>
    <x v="1"/>
    <x v="134"/>
    <x v="1"/>
    <x v="45"/>
    <n v="2"/>
    <n v="1"/>
    <n v="0"/>
    <n v="0"/>
    <n v="0"/>
    <n v="0"/>
    <n v="0"/>
    <n v="0"/>
    <n v="0"/>
    <n v="2"/>
    <n v="2025"/>
    <x v="6"/>
    <x v="2"/>
    <x v="2"/>
  </r>
  <r>
    <x v="1"/>
    <x v="135"/>
    <x v="0"/>
    <x v="0"/>
    <n v="520"/>
    <n v="161"/>
    <n v="4"/>
    <n v="3"/>
    <n v="0"/>
    <n v="0"/>
    <n v="0"/>
    <n v="0"/>
    <n v="4"/>
    <n v="520"/>
    <n v="2025"/>
    <x v="6"/>
    <x v="2"/>
    <x v="2"/>
  </r>
  <r>
    <x v="1"/>
    <x v="135"/>
    <x v="0"/>
    <x v="1"/>
    <n v="53825"/>
    <n v="33934"/>
    <n v="383"/>
    <n v="420"/>
    <n v="120615"/>
    <n v="13"/>
    <n v="71860"/>
    <n v="7"/>
    <n v="2461"/>
    <n v="53365"/>
    <n v="2025"/>
    <x v="6"/>
    <x v="2"/>
    <x v="2"/>
  </r>
  <r>
    <x v="1"/>
    <x v="135"/>
    <x v="0"/>
    <x v="2"/>
    <n v="1"/>
    <n v="0"/>
    <n v="0"/>
    <n v="0"/>
    <n v="0"/>
    <n v="0"/>
    <n v="0"/>
    <n v="0"/>
    <n v="0"/>
    <n v="1"/>
    <n v="2025"/>
    <x v="6"/>
    <x v="2"/>
    <x v="2"/>
  </r>
  <r>
    <x v="1"/>
    <x v="135"/>
    <x v="0"/>
    <x v="3"/>
    <n v="743"/>
    <n v="333"/>
    <n v="1"/>
    <n v="0"/>
    <n v="0"/>
    <n v="0"/>
    <n v="0"/>
    <n v="0"/>
    <n v="11"/>
    <n v="436"/>
    <n v="2025"/>
    <x v="6"/>
    <x v="2"/>
    <x v="2"/>
  </r>
  <r>
    <x v="1"/>
    <x v="135"/>
    <x v="1"/>
    <x v="5"/>
    <n v="81"/>
    <n v="25"/>
    <n v="1"/>
    <n v="0"/>
    <n v="2990"/>
    <n v="1"/>
    <n v="2990"/>
    <n v="1"/>
    <n v="2"/>
    <n v="81"/>
    <n v="2025"/>
    <x v="6"/>
    <x v="2"/>
    <x v="2"/>
  </r>
  <r>
    <x v="1"/>
    <x v="135"/>
    <x v="1"/>
    <x v="7"/>
    <n v="501"/>
    <n v="94"/>
    <n v="44"/>
    <n v="10"/>
    <n v="15490"/>
    <n v="3"/>
    <n v="11690"/>
    <n v="2"/>
    <n v="137"/>
    <n v="488"/>
    <n v="2025"/>
    <x v="6"/>
    <x v="2"/>
    <x v="2"/>
  </r>
  <r>
    <x v="1"/>
    <x v="135"/>
    <x v="1"/>
    <x v="8"/>
    <n v="10"/>
    <n v="6"/>
    <n v="0"/>
    <n v="0"/>
    <n v="0"/>
    <n v="0"/>
    <n v="0"/>
    <n v="0"/>
    <n v="0"/>
    <n v="10"/>
    <n v="2025"/>
    <x v="6"/>
    <x v="2"/>
    <x v="2"/>
  </r>
  <r>
    <x v="1"/>
    <x v="135"/>
    <x v="1"/>
    <x v="10"/>
    <n v="2"/>
    <n v="1"/>
    <n v="0"/>
    <n v="0"/>
    <n v="0"/>
    <n v="0"/>
    <n v="0"/>
    <n v="0"/>
    <n v="0"/>
    <n v="2"/>
    <n v="2025"/>
    <x v="6"/>
    <x v="2"/>
    <x v="2"/>
  </r>
  <r>
    <x v="1"/>
    <x v="135"/>
    <x v="1"/>
    <x v="59"/>
    <n v="433"/>
    <n v="197"/>
    <n v="18"/>
    <n v="6"/>
    <n v="13605"/>
    <n v="3"/>
    <n v="8930"/>
    <n v="2"/>
    <n v="119"/>
    <n v="365"/>
    <n v="2025"/>
    <x v="6"/>
    <x v="2"/>
    <x v="2"/>
  </r>
  <r>
    <x v="1"/>
    <x v="135"/>
    <x v="1"/>
    <x v="17"/>
    <n v="296"/>
    <n v="103"/>
    <n v="6"/>
    <n v="1"/>
    <n v="0"/>
    <n v="0"/>
    <n v="0"/>
    <n v="0"/>
    <n v="2"/>
    <n v="294"/>
    <n v="2025"/>
    <x v="6"/>
    <x v="2"/>
    <x v="2"/>
  </r>
  <r>
    <x v="1"/>
    <x v="135"/>
    <x v="1"/>
    <x v="18"/>
    <n v="10"/>
    <n v="7"/>
    <n v="2"/>
    <n v="0"/>
    <n v="0"/>
    <n v="0"/>
    <n v="0"/>
    <n v="0"/>
    <n v="1"/>
    <n v="10"/>
    <n v="2025"/>
    <x v="6"/>
    <x v="2"/>
    <x v="2"/>
  </r>
  <r>
    <x v="1"/>
    <x v="135"/>
    <x v="1"/>
    <x v="19"/>
    <n v="1223"/>
    <n v="525"/>
    <n v="67"/>
    <n v="18"/>
    <n v="25395"/>
    <n v="6"/>
    <n v="17820"/>
    <n v="4"/>
    <n v="433"/>
    <n v="1104"/>
    <n v="2025"/>
    <x v="6"/>
    <x v="2"/>
    <x v="2"/>
  </r>
  <r>
    <x v="1"/>
    <x v="135"/>
    <x v="1"/>
    <x v="20"/>
    <n v="11"/>
    <n v="8"/>
    <n v="0"/>
    <n v="0"/>
    <n v="0"/>
    <n v="0"/>
    <n v="0"/>
    <n v="0"/>
    <n v="3"/>
    <n v="10"/>
    <n v="2025"/>
    <x v="6"/>
    <x v="2"/>
    <x v="2"/>
  </r>
  <r>
    <x v="1"/>
    <x v="135"/>
    <x v="1"/>
    <x v="24"/>
    <n v="36"/>
    <n v="21"/>
    <n v="1"/>
    <n v="0"/>
    <n v="0"/>
    <n v="0"/>
    <n v="0"/>
    <n v="0"/>
    <n v="4"/>
    <n v="33"/>
    <n v="2025"/>
    <x v="6"/>
    <x v="2"/>
    <x v="2"/>
  </r>
  <r>
    <x v="1"/>
    <x v="135"/>
    <x v="1"/>
    <x v="27"/>
    <n v="152"/>
    <n v="45"/>
    <n v="11"/>
    <n v="2"/>
    <n v="0"/>
    <n v="0"/>
    <n v="0"/>
    <n v="0"/>
    <n v="64"/>
    <n v="134"/>
    <n v="2025"/>
    <x v="6"/>
    <x v="2"/>
    <x v="2"/>
  </r>
  <r>
    <x v="1"/>
    <x v="135"/>
    <x v="1"/>
    <x v="29"/>
    <n v="886"/>
    <n v="630"/>
    <n v="44"/>
    <n v="6"/>
    <n v="32220"/>
    <n v="4"/>
    <n v="7990"/>
    <n v="1"/>
    <n v="239"/>
    <n v="814"/>
    <n v="2025"/>
    <x v="6"/>
    <x v="2"/>
    <x v="2"/>
  </r>
  <r>
    <x v="1"/>
    <x v="135"/>
    <x v="1"/>
    <x v="30"/>
    <n v="5218"/>
    <n v="2532"/>
    <n v="127"/>
    <n v="48"/>
    <n v="54200"/>
    <n v="6"/>
    <n v="34025"/>
    <n v="4"/>
    <n v="497"/>
    <n v="5178"/>
    <n v="2025"/>
    <x v="6"/>
    <x v="2"/>
    <x v="2"/>
  </r>
  <r>
    <x v="1"/>
    <x v="135"/>
    <x v="1"/>
    <x v="31"/>
    <n v="117"/>
    <n v="78"/>
    <n v="6"/>
    <n v="4"/>
    <n v="2990"/>
    <n v="1"/>
    <n v="2990"/>
    <n v="1"/>
    <n v="17"/>
    <n v="113"/>
    <n v="2025"/>
    <x v="6"/>
    <x v="2"/>
    <x v="2"/>
  </r>
  <r>
    <x v="1"/>
    <x v="135"/>
    <x v="1"/>
    <x v="32"/>
    <n v="1"/>
    <n v="0"/>
    <n v="0"/>
    <n v="0"/>
    <n v="0"/>
    <n v="0"/>
    <n v="0"/>
    <n v="0"/>
    <n v="0"/>
    <n v="1"/>
    <n v="2025"/>
    <x v="6"/>
    <x v="2"/>
    <x v="2"/>
  </r>
  <r>
    <x v="1"/>
    <x v="135"/>
    <x v="1"/>
    <x v="34"/>
    <n v="51"/>
    <n v="28"/>
    <n v="2"/>
    <n v="0"/>
    <n v="0"/>
    <n v="0"/>
    <n v="0"/>
    <n v="0"/>
    <n v="46"/>
    <n v="28"/>
    <n v="2025"/>
    <x v="6"/>
    <x v="2"/>
    <x v="2"/>
  </r>
  <r>
    <x v="1"/>
    <x v="135"/>
    <x v="1"/>
    <x v="36"/>
    <n v="2"/>
    <n v="2"/>
    <n v="0"/>
    <n v="0"/>
    <n v="0"/>
    <n v="0"/>
    <n v="0"/>
    <n v="0"/>
    <n v="1"/>
    <n v="1"/>
    <n v="2025"/>
    <x v="6"/>
    <x v="2"/>
    <x v="2"/>
  </r>
  <r>
    <x v="1"/>
    <x v="135"/>
    <x v="1"/>
    <x v="38"/>
    <n v="267"/>
    <n v="71"/>
    <n v="18"/>
    <n v="13"/>
    <n v="2900"/>
    <n v="1"/>
    <n v="2900"/>
    <n v="1"/>
    <n v="51"/>
    <n v="257"/>
    <n v="2025"/>
    <x v="6"/>
    <x v="2"/>
    <x v="2"/>
  </r>
  <r>
    <x v="1"/>
    <x v="135"/>
    <x v="1"/>
    <x v="60"/>
    <n v="8"/>
    <n v="6"/>
    <n v="0"/>
    <n v="0"/>
    <n v="0"/>
    <n v="0"/>
    <n v="0"/>
    <n v="0"/>
    <n v="0"/>
    <n v="8"/>
    <n v="2025"/>
    <x v="6"/>
    <x v="2"/>
    <x v="2"/>
  </r>
  <r>
    <x v="1"/>
    <x v="135"/>
    <x v="1"/>
    <x v="64"/>
    <n v="664"/>
    <n v="429"/>
    <n v="24"/>
    <n v="6"/>
    <n v="0"/>
    <n v="0"/>
    <n v="0"/>
    <n v="0"/>
    <n v="66"/>
    <n v="659"/>
    <n v="2025"/>
    <x v="6"/>
    <x v="2"/>
    <x v="2"/>
  </r>
  <r>
    <x v="1"/>
    <x v="135"/>
    <x v="1"/>
    <x v="42"/>
    <n v="144"/>
    <n v="59"/>
    <n v="5"/>
    <n v="3"/>
    <n v="0"/>
    <n v="0"/>
    <n v="0"/>
    <n v="0"/>
    <n v="24"/>
    <n v="137"/>
    <n v="2025"/>
    <x v="6"/>
    <x v="2"/>
    <x v="2"/>
  </r>
  <r>
    <x v="1"/>
    <x v="135"/>
    <x v="1"/>
    <x v="43"/>
    <n v="141"/>
    <n v="70"/>
    <n v="3"/>
    <n v="2"/>
    <n v="0"/>
    <n v="0"/>
    <n v="0"/>
    <n v="0"/>
    <n v="116"/>
    <n v="82"/>
    <n v="2025"/>
    <x v="6"/>
    <x v="2"/>
    <x v="2"/>
  </r>
  <r>
    <x v="1"/>
    <x v="135"/>
    <x v="1"/>
    <x v="44"/>
    <n v="57"/>
    <n v="14"/>
    <n v="0"/>
    <n v="0"/>
    <n v="7990"/>
    <n v="1"/>
    <n v="7990"/>
    <n v="1"/>
    <n v="0"/>
    <n v="57"/>
    <n v="2025"/>
    <x v="6"/>
    <x v="2"/>
    <x v="2"/>
  </r>
  <r>
    <x v="1"/>
    <x v="136"/>
    <x v="0"/>
    <x v="0"/>
    <n v="403"/>
    <n v="150"/>
    <n v="3"/>
    <n v="1"/>
    <n v="0"/>
    <n v="0"/>
    <n v="0"/>
    <n v="0"/>
    <n v="6"/>
    <n v="398"/>
    <n v="2025"/>
    <x v="6"/>
    <x v="2"/>
    <x v="2"/>
  </r>
  <r>
    <x v="1"/>
    <x v="136"/>
    <x v="0"/>
    <x v="1"/>
    <n v="45005"/>
    <n v="29765"/>
    <n v="297"/>
    <n v="250"/>
    <n v="133130"/>
    <n v="13"/>
    <n v="33095"/>
    <n v="5"/>
    <n v="2034"/>
    <n v="44592"/>
    <n v="2025"/>
    <x v="6"/>
    <x v="2"/>
    <x v="2"/>
  </r>
  <r>
    <x v="1"/>
    <x v="136"/>
    <x v="0"/>
    <x v="3"/>
    <n v="1849"/>
    <n v="1134"/>
    <n v="11"/>
    <n v="4"/>
    <n v="0"/>
    <n v="0"/>
    <n v="0"/>
    <n v="0"/>
    <n v="42"/>
    <n v="693"/>
    <n v="2025"/>
    <x v="6"/>
    <x v="2"/>
    <x v="2"/>
  </r>
  <r>
    <x v="1"/>
    <x v="136"/>
    <x v="1"/>
    <x v="46"/>
    <n v="3"/>
    <n v="2"/>
    <n v="0"/>
    <n v="0"/>
    <n v="0"/>
    <n v="0"/>
    <n v="0"/>
    <n v="0"/>
    <n v="0"/>
    <n v="0"/>
    <n v="2025"/>
    <x v="6"/>
    <x v="2"/>
    <x v="2"/>
  </r>
  <r>
    <x v="1"/>
    <x v="136"/>
    <x v="1"/>
    <x v="5"/>
    <n v="72"/>
    <n v="32"/>
    <n v="1"/>
    <n v="1"/>
    <n v="0"/>
    <n v="0"/>
    <n v="0"/>
    <n v="0"/>
    <n v="2"/>
    <n v="72"/>
    <n v="2025"/>
    <x v="6"/>
    <x v="2"/>
    <x v="2"/>
  </r>
  <r>
    <x v="1"/>
    <x v="136"/>
    <x v="1"/>
    <x v="6"/>
    <n v="187"/>
    <n v="154"/>
    <n v="0"/>
    <n v="0"/>
    <n v="0"/>
    <n v="0"/>
    <n v="0"/>
    <n v="0"/>
    <n v="0"/>
    <n v="0"/>
    <n v="2025"/>
    <x v="6"/>
    <x v="2"/>
    <x v="2"/>
  </r>
  <r>
    <x v="1"/>
    <x v="136"/>
    <x v="1"/>
    <x v="7"/>
    <n v="448"/>
    <n v="68"/>
    <n v="44"/>
    <n v="2"/>
    <n v="34250"/>
    <n v="7"/>
    <n v="34250"/>
    <n v="7"/>
    <n v="114"/>
    <n v="437"/>
    <n v="2025"/>
    <x v="6"/>
    <x v="2"/>
    <x v="2"/>
  </r>
  <r>
    <x v="1"/>
    <x v="136"/>
    <x v="1"/>
    <x v="8"/>
    <n v="15"/>
    <n v="6"/>
    <n v="1"/>
    <n v="0"/>
    <n v="0"/>
    <n v="0"/>
    <n v="0"/>
    <n v="0"/>
    <n v="0"/>
    <n v="9"/>
    <n v="2025"/>
    <x v="6"/>
    <x v="2"/>
    <x v="2"/>
  </r>
  <r>
    <x v="1"/>
    <x v="136"/>
    <x v="1"/>
    <x v="10"/>
    <n v="11"/>
    <n v="3"/>
    <n v="0"/>
    <n v="0"/>
    <n v="0"/>
    <n v="0"/>
    <n v="0"/>
    <n v="0"/>
    <n v="2"/>
    <n v="7"/>
    <n v="2025"/>
    <x v="6"/>
    <x v="2"/>
    <x v="2"/>
  </r>
  <r>
    <x v="1"/>
    <x v="136"/>
    <x v="1"/>
    <x v="59"/>
    <n v="4946"/>
    <n v="4452"/>
    <n v="25"/>
    <n v="7"/>
    <n v="12930"/>
    <n v="4"/>
    <n v="12930"/>
    <n v="4"/>
    <n v="115"/>
    <n v="334"/>
    <n v="2025"/>
    <x v="6"/>
    <x v="2"/>
    <x v="2"/>
  </r>
  <r>
    <x v="1"/>
    <x v="136"/>
    <x v="1"/>
    <x v="15"/>
    <n v="1"/>
    <n v="1"/>
    <n v="0"/>
    <n v="0"/>
    <n v="0"/>
    <n v="0"/>
    <n v="0"/>
    <n v="0"/>
    <n v="0"/>
    <n v="1"/>
    <n v="2025"/>
    <x v="6"/>
    <x v="2"/>
    <x v="2"/>
  </r>
  <r>
    <x v="1"/>
    <x v="136"/>
    <x v="1"/>
    <x v="17"/>
    <n v="331"/>
    <n v="137"/>
    <n v="9"/>
    <n v="1"/>
    <n v="6990"/>
    <n v="1"/>
    <n v="0"/>
    <n v="0"/>
    <n v="0"/>
    <n v="331"/>
    <n v="2025"/>
    <x v="6"/>
    <x v="2"/>
    <x v="2"/>
  </r>
  <r>
    <x v="1"/>
    <x v="136"/>
    <x v="1"/>
    <x v="18"/>
    <n v="13"/>
    <n v="11"/>
    <n v="2"/>
    <n v="0"/>
    <n v="0"/>
    <n v="0"/>
    <n v="0"/>
    <n v="0"/>
    <n v="0"/>
    <n v="13"/>
    <n v="2025"/>
    <x v="6"/>
    <x v="2"/>
    <x v="2"/>
  </r>
  <r>
    <x v="1"/>
    <x v="136"/>
    <x v="1"/>
    <x v="19"/>
    <n v="1979"/>
    <n v="1051"/>
    <n v="58"/>
    <n v="20"/>
    <n v="69430"/>
    <n v="6"/>
    <n v="15850"/>
    <n v="3"/>
    <n v="372"/>
    <n v="1302"/>
    <n v="2025"/>
    <x v="6"/>
    <x v="2"/>
    <x v="2"/>
  </r>
  <r>
    <x v="1"/>
    <x v="136"/>
    <x v="1"/>
    <x v="20"/>
    <n v="12"/>
    <n v="8"/>
    <n v="1"/>
    <n v="0"/>
    <n v="0"/>
    <n v="0"/>
    <n v="0"/>
    <n v="0"/>
    <n v="3"/>
    <n v="11"/>
    <n v="2025"/>
    <x v="6"/>
    <x v="2"/>
    <x v="2"/>
  </r>
  <r>
    <x v="1"/>
    <x v="136"/>
    <x v="1"/>
    <x v="24"/>
    <n v="28"/>
    <n v="18"/>
    <n v="2"/>
    <n v="1"/>
    <n v="0"/>
    <n v="0"/>
    <n v="0"/>
    <n v="0"/>
    <n v="7"/>
    <n v="28"/>
    <n v="2025"/>
    <x v="6"/>
    <x v="2"/>
    <x v="2"/>
  </r>
  <r>
    <x v="1"/>
    <x v="136"/>
    <x v="1"/>
    <x v="27"/>
    <n v="72"/>
    <n v="28"/>
    <n v="12"/>
    <n v="1"/>
    <n v="17590"/>
    <n v="3"/>
    <n v="17590"/>
    <n v="3"/>
    <n v="24"/>
    <n v="65"/>
    <n v="2025"/>
    <x v="6"/>
    <x v="2"/>
    <x v="2"/>
  </r>
  <r>
    <x v="1"/>
    <x v="136"/>
    <x v="1"/>
    <x v="29"/>
    <n v="896"/>
    <n v="657"/>
    <n v="44"/>
    <n v="11"/>
    <n v="28070"/>
    <n v="5"/>
    <n v="16480"/>
    <n v="4"/>
    <n v="219"/>
    <n v="836"/>
    <n v="2025"/>
    <x v="6"/>
    <x v="2"/>
    <x v="2"/>
  </r>
  <r>
    <x v="1"/>
    <x v="136"/>
    <x v="1"/>
    <x v="30"/>
    <n v="5518"/>
    <n v="2840"/>
    <n v="123"/>
    <n v="31"/>
    <n v="81680"/>
    <n v="11"/>
    <n v="40250"/>
    <n v="7"/>
    <n v="447"/>
    <n v="5451"/>
    <n v="2025"/>
    <x v="6"/>
    <x v="2"/>
    <x v="2"/>
  </r>
  <r>
    <x v="1"/>
    <x v="136"/>
    <x v="1"/>
    <x v="31"/>
    <n v="112"/>
    <n v="66"/>
    <n v="1"/>
    <n v="3"/>
    <n v="4990"/>
    <n v="1"/>
    <n v="0"/>
    <n v="0"/>
    <n v="10"/>
    <n v="107"/>
    <n v="2025"/>
    <x v="6"/>
    <x v="2"/>
    <x v="2"/>
  </r>
  <r>
    <x v="1"/>
    <x v="136"/>
    <x v="1"/>
    <x v="34"/>
    <n v="44"/>
    <n v="22"/>
    <n v="3"/>
    <n v="0"/>
    <n v="0"/>
    <n v="0"/>
    <n v="0"/>
    <n v="0"/>
    <n v="40"/>
    <n v="25"/>
    <n v="2025"/>
    <x v="6"/>
    <x v="2"/>
    <x v="2"/>
  </r>
  <r>
    <x v="1"/>
    <x v="136"/>
    <x v="1"/>
    <x v="36"/>
    <n v="1"/>
    <n v="1"/>
    <n v="0"/>
    <n v="0"/>
    <n v="0"/>
    <n v="0"/>
    <n v="0"/>
    <n v="0"/>
    <n v="0"/>
    <n v="1"/>
    <n v="2025"/>
    <x v="6"/>
    <x v="2"/>
    <x v="2"/>
  </r>
  <r>
    <x v="1"/>
    <x v="136"/>
    <x v="1"/>
    <x v="38"/>
    <n v="224"/>
    <n v="64"/>
    <n v="16"/>
    <n v="9"/>
    <n v="24240"/>
    <n v="5"/>
    <n v="10450"/>
    <n v="2"/>
    <n v="36"/>
    <n v="218"/>
    <n v="2025"/>
    <x v="6"/>
    <x v="2"/>
    <x v="2"/>
  </r>
  <r>
    <x v="1"/>
    <x v="136"/>
    <x v="1"/>
    <x v="60"/>
    <n v="4"/>
    <n v="4"/>
    <n v="0"/>
    <n v="0"/>
    <n v="0"/>
    <n v="0"/>
    <n v="0"/>
    <n v="0"/>
    <n v="0"/>
    <n v="4"/>
    <n v="2025"/>
    <x v="6"/>
    <x v="2"/>
    <x v="2"/>
  </r>
  <r>
    <x v="1"/>
    <x v="136"/>
    <x v="1"/>
    <x v="64"/>
    <n v="550"/>
    <n v="331"/>
    <n v="15"/>
    <n v="2"/>
    <n v="6650"/>
    <n v="1"/>
    <n v="6650"/>
    <n v="1"/>
    <n v="70"/>
    <n v="540"/>
    <n v="2025"/>
    <x v="6"/>
    <x v="2"/>
    <x v="2"/>
  </r>
  <r>
    <x v="1"/>
    <x v="136"/>
    <x v="1"/>
    <x v="42"/>
    <n v="105"/>
    <n v="41"/>
    <n v="5"/>
    <n v="1"/>
    <n v="0"/>
    <n v="0"/>
    <n v="0"/>
    <n v="0"/>
    <n v="12"/>
    <n v="93"/>
    <n v="2025"/>
    <x v="6"/>
    <x v="2"/>
    <x v="2"/>
  </r>
  <r>
    <x v="1"/>
    <x v="136"/>
    <x v="1"/>
    <x v="43"/>
    <n v="137"/>
    <n v="68"/>
    <n v="7"/>
    <n v="2"/>
    <n v="0"/>
    <n v="0"/>
    <n v="0"/>
    <n v="0"/>
    <n v="113"/>
    <n v="86"/>
    <n v="2025"/>
    <x v="6"/>
    <x v="2"/>
    <x v="2"/>
  </r>
  <r>
    <x v="1"/>
    <x v="136"/>
    <x v="1"/>
    <x v="44"/>
    <n v="52"/>
    <n v="13"/>
    <n v="0"/>
    <n v="0"/>
    <n v="2900"/>
    <n v="1"/>
    <n v="2900"/>
    <n v="1"/>
    <n v="0"/>
    <n v="52"/>
    <n v="2025"/>
    <x v="6"/>
    <x v="2"/>
    <x v="2"/>
  </r>
  <r>
    <x v="1"/>
    <x v="137"/>
    <x v="0"/>
    <x v="0"/>
    <n v="342"/>
    <n v="122"/>
    <n v="2"/>
    <n v="1"/>
    <n v="8845"/>
    <n v="1"/>
    <n v="8845"/>
    <n v="1"/>
    <n v="5"/>
    <n v="333"/>
    <n v="2025"/>
    <x v="6"/>
    <x v="2"/>
    <x v="2"/>
  </r>
  <r>
    <x v="1"/>
    <x v="137"/>
    <x v="0"/>
    <x v="1"/>
    <n v="36219"/>
    <n v="24824"/>
    <n v="185"/>
    <n v="154"/>
    <n v="45900"/>
    <n v="6"/>
    <n v="16330"/>
    <n v="3"/>
    <n v="1593"/>
    <n v="35826"/>
    <n v="2025"/>
    <x v="6"/>
    <x v="2"/>
    <x v="2"/>
  </r>
  <r>
    <x v="1"/>
    <x v="137"/>
    <x v="0"/>
    <x v="2"/>
    <n v="1"/>
    <n v="0"/>
    <n v="0"/>
    <n v="0"/>
    <n v="0"/>
    <n v="0"/>
    <n v="0"/>
    <n v="0"/>
    <n v="1"/>
    <n v="0"/>
    <n v="2025"/>
    <x v="6"/>
    <x v="2"/>
    <x v="2"/>
  </r>
  <r>
    <x v="1"/>
    <x v="137"/>
    <x v="0"/>
    <x v="3"/>
    <n v="2380"/>
    <n v="1562"/>
    <n v="13"/>
    <n v="3"/>
    <n v="0"/>
    <n v="0"/>
    <n v="0"/>
    <n v="0"/>
    <n v="35"/>
    <n v="678"/>
    <n v="2025"/>
    <x v="6"/>
    <x v="2"/>
    <x v="2"/>
  </r>
  <r>
    <x v="1"/>
    <x v="137"/>
    <x v="1"/>
    <x v="5"/>
    <n v="65"/>
    <n v="16"/>
    <n v="2"/>
    <n v="1"/>
    <n v="0"/>
    <n v="0"/>
    <n v="0"/>
    <n v="0"/>
    <n v="1"/>
    <n v="65"/>
    <n v="2025"/>
    <x v="6"/>
    <x v="2"/>
    <x v="2"/>
  </r>
  <r>
    <x v="1"/>
    <x v="137"/>
    <x v="1"/>
    <x v="6"/>
    <n v="146"/>
    <n v="116"/>
    <n v="0"/>
    <n v="0"/>
    <n v="0"/>
    <n v="0"/>
    <n v="0"/>
    <n v="0"/>
    <n v="0"/>
    <n v="0"/>
    <n v="2025"/>
    <x v="6"/>
    <x v="2"/>
    <x v="2"/>
  </r>
  <r>
    <x v="1"/>
    <x v="137"/>
    <x v="1"/>
    <x v="7"/>
    <n v="389"/>
    <n v="61"/>
    <n v="34"/>
    <n v="2"/>
    <n v="45865"/>
    <n v="5"/>
    <n v="45865"/>
    <n v="5"/>
    <n v="113"/>
    <n v="373"/>
    <n v="2025"/>
    <x v="6"/>
    <x v="2"/>
    <x v="2"/>
  </r>
  <r>
    <x v="1"/>
    <x v="137"/>
    <x v="1"/>
    <x v="8"/>
    <n v="22"/>
    <n v="15"/>
    <n v="0"/>
    <n v="0"/>
    <n v="0"/>
    <n v="0"/>
    <n v="0"/>
    <n v="0"/>
    <n v="0"/>
    <n v="8"/>
    <n v="2025"/>
    <x v="6"/>
    <x v="2"/>
    <x v="2"/>
  </r>
  <r>
    <x v="1"/>
    <x v="137"/>
    <x v="1"/>
    <x v="10"/>
    <n v="3"/>
    <n v="2"/>
    <n v="0"/>
    <n v="0"/>
    <n v="0"/>
    <n v="0"/>
    <n v="0"/>
    <n v="0"/>
    <n v="1"/>
    <n v="1"/>
    <n v="2025"/>
    <x v="6"/>
    <x v="2"/>
    <x v="2"/>
  </r>
  <r>
    <x v="1"/>
    <x v="137"/>
    <x v="1"/>
    <x v="11"/>
    <n v="4"/>
    <n v="4"/>
    <n v="0"/>
    <n v="0"/>
    <n v="0"/>
    <n v="0"/>
    <n v="0"/>
    <n v="0"/>
    <n v="3"/>
    <n v="1"/>
    <n v="2025"/>
    <x v="6"/>
    <x v="2"/>
    <x v="2"/>
  </r>
  <r>
    <x v="1"/>
    <x v="137"/>
    <x v="1"/>
    <x v="59"/>
    <n v="3142"/>
    <n v="2672"/>
    <n v="17"/>
    <n v="2"/>
    <n v="28670"/>
    <n v="3"/>
    <n v="28670"/>
    <n v="3"/>
    <n v="82"/>
    <n v="278"/>
    <n v="2025"/>
    <x v="6"/>
    <x v="2"/>
    <x v="2"/>
  </r>
  <r>
    <x v="1"/>
    <x v="137"/>
    <x v="1"/>
    <x v="15"/>
    <n v="2"/>
    <n v="2"/>
    <n v="1"/>
    <n v="0"/>
    <n v="0"/>
    <n v="0"/>
    <n v="0"/>
    <n v="0"/>
    <n v="0"/>
    <n v="2"/>
    <n v="2025"/>
    <x v="6"/>
    <x v="2"/>
    <x v="2"/>
  </r>
  <r>
    <x v="1"/>
    <x v="137"/>
    <x v="1"/>
    <x v="17"/>
    <n v="256"/>
    <n v="95"/>
    <n v="4"/>
    <n v="0"/>
    <n v="0"/>
    <n v="0"/>
    <n v="0"/>
    <n v="0"/>
    <n v="2"/>
    <n v="254"/>
    <n v="2025"/>
    <x v="6"/>
    <x v="2"/>
    <x v="2"/>
  </r>
  <r>
    <x v="1"/>
    <x v="137"/>
    <x v="1"/>
    <x v="18"/>
    <n v="3"/>
    <n v="3"/>
    <n v="0"/>
    <n v="0"/>
    <n v="0"/>
    <n v="0"/>
    <n v="0"/>
    <n v="0"/>
    <n v="1"/>
    <n v="3"/>
    <n v="2025"/>
    <x v="6"/>
    <x v="2"/>
    <x v="2"/>
  </r>
  <r>
    <x v="1"/>
    <x v="137"/>
    <x v="1"/>
    <x v="19"/>
    <n v="2989"/>
    <n v="2268"/>
    <n v="45"/>
    <n v="8"/>
    <n v="34045"/>
    <n v="4"/>
    <n v="29050"/>
    <n v="3"/>
    <n v="272"/>
    <n v="778"/>
    <n v="2025"/>
    <x v="6"/>
    <x v="2"/>
    <x v="2"/>
  </r>
  <r>
    <x v="1"/>
    <x v="137"/>
    <x v="1"/>
    <x v="20"/>
    <n v="5"/>
    <n v="2"/>
    <n v="0"/>
    <n v="0"/>
    <n v="0"/>
    <n v="0"/>
    <n v="0"/>
    <n v="0"/>
    <n v="0"/>
    <n v="5"/>
    <n v="2025"/>
    <x v="6"/>
    <x v="2"/>
    <x v="2"/>
  </r>
  <r>
    <x v="1"/>
    <x v="137"/>
    <x v="1"/>
    <x v="24"/>
    <n v="15"/>
    <n v="10"/>
    <n v="4"/>
    <n v="1"/>
    <n v="0"/>
    <n v="0"/>
    <n v="0"/>
    <n v="0"/>
    <n v="3"/>
    <n v="14"/>
    <n v="2025"/>
    <x v="6"/>
    <x v="2"/>
    <x v="2"/>
  </r>
  <r>
    <x v="1"/>
    <x v="137"/>
    <x v="1"/>
    <x v="27"/>
    <n v="71"/>
    <n v="29"/>
    <n v="5"/>
    <n v="0"/>
    <n v="25745"/>
    <n v="2"/>
    <n v="25745"/>
    <n v="2"/>
    <n v="25"/>
    <n v="57"/>
    <n v="2025"/>
    <x v="6"/>
    <x v="2"/>
    <x v="2"/>
  </r>
  <r>
    <x v="1"/>
    <x v="137"/>
    <x v="1"/>
    <x v="29"/>
    <n v="799"/>
    <n v="608"/>
    <n v="30"/>
    <n v="6"/>
    <n v="13055"/>
    <n v="3"/>
    <n v="1070"/>
    <n v="1"/>
    <n v="183"/>
    <n v="740"/>
    <n v="2025"/>
    <x v="6"/>
    <x v="2"/>
    <x v="2"/>
  </r>
  <r>
    <x v="1"/>
    <x v="137"/>
    <x v="1"/>
    <x v="30"/>
    <n v="5059"/>
    <n v="2474"/>
    <n v="124"/>
    <n v="29"/>
    <n v="43770"/>
    <n v="5"/>
    <n v="10580"/>
    <n v="2"/>
    <n v="434"/>
    <n v="5008"/>
    <n v="2025"/>
    <x v="6"/>
    <x v="2"/>
    <x v="2"/>
  </r>
  <r>
    <x v="1"/>
    <x v="137"/>
    <x v="1"/>
    <x v="31"/>
    <n v="99"/>
    <n v="60"/>
    <n v="3"/>
    <n v="2"/>
    <n v="15645"/>
    <n v="1"/>
    <n v="15645"/>
    <n v="1"/>
    <n v="8"/>
    <n v="98"/>
    <n v="2025"/>
    <x v="6"/>
    <x v="2"/>
    <x v="2"/>
  </r>
  <r>
    <x v="1"/>
    <x v="137"/>
    <x v="1"/>
    <x v="32"/>
    <n v="1"/>
    <n v="0"/>
    <n v="0"/>
    <n v="0"/>
    <n v="0"/>
    <n v="0"/>
    <n v="0"/>
    <n v="0"/>
    <n v="1"/>
    <n v="1"/>
    <n v="2025"/>
    <x v="6"/>
    <x v="2"/>
    <x v="2"/>
  </r>
  <r>
    <x v="1"/>
    <x v="137"/>
    <x v="1"/>
    <x v="34"/>
    <n v="40"/>
    <n v="20"/>
    <n v="3"/>
    <n v="0"/>
    <n v="0"/>
    <n v="0"/>
    <n v="0"/>
    <n v="0"/>
    <n v="31"/>
    <n v="16"/>
    <n v="2025"/>
    <x v="6"/>
    <x v="2"/>
    <x v="2"/>
  </r>
  <r>
    <x v="1"/>
    <x v="137"/>
    <x v="1"/>
    <x v="38"/>
    <n v="187"/>
    <n v="55"/>
    <n v="17"/>
    <n v="3"/>
    <n v="8980"/>
    <n v="2"/>
    <n v="8980"/>
    <n v="2"/>
    <n v="31"/>
    <n v="182"/>
    <n v="2025"/>
    <x v="6"/>
    <x v="2"/>
    <x v="2"/>
  </r>
  <r>
    <x v="1"/>
    <x v="137"/>
    <x v="1"/>
    <x v="60"/>
    <n v="13"/>
    <n v="13"/>
    <n v="0"/>
    <n v="0"/>
    <n v="0"/>
    <n v="0"/>
    <n v="0"/>
    <n v="0"/>
    <n v="0"/>
    <n v="13"/>
    <n v="2025"/>
    <x v="6"/>
    <x v="2"/>
    <x v="2"/>
  </r>
  <r>
    <x v="1"/>
    <x v="137"/>
    <x v="1"/>
    <x v="39"/>
    <n v="1"/>
    <n v="0"/>
    <n v="0"/>
    <n v="0"/>
    <n v="0"/>
    <n v="0"/>
    <n v="0"/>
    <n v="0"/>
    <n v="0"/>
    <n v="1"/>
    <n v="2025"/>
    <x v="6"/>
    <x v="2"/>
    <x v="2"/>
  </r>
  <r>
    <x v="1"/>
    <x v="137"/>
    <x v="1"/>
    <x v="64"/>
    <n v="430"/>
    <n v="233"/>
    <n v="16"/>
    <n v="5"/>
    <n v="9950"/>
    <n v="1"/>
    <n v="9950"/>
    <n v="1"/>
    <n v="53"/>
    <n v="423"/>
    <n v="2025"/>
    <x v="6"/>
    <x v="2"/>
    <x v="2"/>
  </r>
  <r>
    <x v="1"/>
    <x v="137"/>
    <x v="1"/>
    <x v="42"/>
    <n v="109"/>
    <n v="42"/>
    <n v="2"/>
    <n v="2"/>
    <n v="6990"/>
    <n v="1"/>
    <n v="0"/>
    <n v="0"/>
    <n v="8"/>
    <n v="97"/>
    <n v="2025"/>
    <x v="6"/>
    <x v="2"/>
    <x v="2"/>
  </r>
  <r>
    <x v="1"/>
    <x v="137"/>
    <x v="1"/>
    <x v="43"/>
    <n v="109"/>
    <n v="48"/>
    <n v="4"/>
    <n v="2"/>
    <n v="0"/>
    <n v="0"/>
    <n v="0"/>
    <n v="0"/>
    <n v="95"/>
    <n v="62"/>
    <n v="2025"/>
    <x v="6"/>
    <x v="2"/>
    <x v="2"/>
  </r>
  <r>
    <x v="1"/>
    <x v="137"/>
    <x v="1"/>
    <x v="44"/>
    <n v="39"/>
    <n v="10"/>
    <n v="0"/>
    <n v="0"/>
    <n v="0"/>
    <n v="0"/>
    <n v="0"/>
    <n v="0"/>
    <n v="0"/>
    <n v="39"/>
    <n v="2025"/>
    <x v="6"/>
    <x v="2"/>
    <x v="2"/>
  </r>
  <r>
    <x v="1"/>
    <x v="137"/>
    <x v="1"/>
    <x v="45"/>
    <n v="1"/>
    <n v="0"/>
    <n v="0"/>
    <n v="0"/>
    <n v="0"/>
    <n v="0"/>
    <n v="0"/>
    <n v="0"/>
    <n v="0"/>
    <n v="1"/>
    <n v="2025"/>
    <x v="6"/>
    <x v="2"/>
    <x v="2"/>
  </r>
  <r>
    <x v="1"/>
    <x v="138"/>
    <x v="0"/>
    <x v="0"/>
    <n v="318"/>
    <n v="87"/>
    <n v="0"/>
    <n v="1"/>
    <n v="0"/>
    <n v="0"/>
    <n v="0"/>
    <n v="0"/>
    <n v="2"/>
    <n v="311"/>
    <n v="2025"/>
    <x v="6"/>
    <x v="2"/>
    <x v="2"/>
  </r>
  <r>
    <x v="1"/>
    <x v="138"/>
    <x v="0"/>
    <x v="1"/>
    <n v="25833"/>
    <n v="14203"/>
    <n v="194"/>
    <n v="157"/>
    <n v="108185"/>
    <n v="16"/>
    <n v="38410"/>
    <n v="9"/>
    <n v="1556"/>
    <n v="25426"/>
    <n v="2025"/>
    <x v="6"/>
    <x v="2"/>
    <x v="2"/>
  </r>
  <r>
    <x v="1"/>
    <x v="138"/>
    <x v="0"/>
    <x v="3"/>
    <n v="2216"/>
    <n v="1150"/>
    <n v="7"/>
    <n v="1"/>
    <n v="0"/>
    <n v="0"/>
    <n v="0"/>
    <n v="0"/>
    <n v="29"/>
    <n v="541"/>
    <n v="2025"/>
    <x v="6"/>
    <x v="2"/>
    <x v="2"/>
  </r>
  <r>
    <x v="1"/>
    <x v="138"/>
    <x v="1"/>
    <x v="5"/>
    <n v="48"/>
    <n v="11"/>
    <n v="0"/>
    <n v="0"/>
    <n v="0"/>
    <n v="0"/>
    <n v="0"/>
    <n v="0"/>
    <n v="0"/>
    <n v="48"/>
    <n v="2025"/>
    <x v="6"/>
    <x v="2"/>
    <x v="2"/>
  </r>
  <r>
    <x v="1"/>
    <x v="138"/>
    <x v="1"/>
    <x v="6"/>
    <n v="150"/>
    <n v="118"/>
    <n v="0"/>
    <n v="0"/>
    <n v="0"/>
    <n v="0"/>
    <n v="0"/>
    <n v="0"/>
    <n v="0"/>
    <n v="0"/>
    <n v="2025"/>
    <x v="6"/>
    <x v="2"/>
    <x v="2"/>
  </r>
  <r>
    <x v="1"/>
    <x v="138"/>
    <x v="1"/>
    <x v="7"/>
    <n v="301"/>
    <n v="60"/>
    <n v="34"/>
    <n v="3"/>
    <n v="45950"/>
    <n v="11"/>
    <n v="42960"/>
    <n v="10"/>
    <n v="76"/>
    <n v="290"/>
    <n v="2025"/>
    <x v="6"/>
    <x v="2"/>
    <x v="2"/>
  </r>
  <r>
    <x v="1"/>
    <x v="138"/>
    <x v="1"/>
    <x v="8"/>
    <n v="9"/>
    <n v="4"/>
    <n v="0"/>
    <n v="0"/>
    <n v="0"/>
    <n v="0"/>
    <n v="0"/>
    <n v="0"/>
    <n v="0"/>
    <n v="5"/>
    <n v="2025"/>
    <x v="6"/>
    <x v="2"/>
    <x v="2"/>
  </r>
  <r>
    <x v="1"/>
    <x v="138"/>
    <x v="1"/>
    <x v="10"/>
    <n v="4"/>
    <n v="2"/>
    <n v="1"/>
    <n v="0"/>
    <n v="6780"/>
    <n v="1"/>
    <n v="0"/>
    <n v="0"/>
    <n v="1"/>
    <n v="3"/>
    <n v="2025"/>
    <x v="6"/>
    <x v="2"/>
    <x v="2"/>
  </r>
  <r>
    <x v="1"/>
    <x v="138"/>
    <x v="1"/>
    <x v="11"/>
    <n v="1"/>
    <n v="1"/>
    <n v="0"/>
    <n v="0"/>
    <n v="0"/>
    <n v="0"/>
    <n v="0"/>
    <n v="0"/>
    <n v="1"/>
    <n v="0"/>
    <n v="2025"/>
    <x v="6"/>
    <x v="2"/>
    <x v="2"/>
  </r>
  <r>
    <x v="1"/>
    <x v="138"/>
    <x v="1"/>
    <x v="59"/>
    <n v="3065"/>
    <n v="2590"/>
    <n v="18"/>
    <n v="6"/>
    <n v="10885"/>
    <n v="2"/>
    <n v="10885"/>
    <n v="2"/>
    <n v="81"/>
    <n v="301"/>
    <n v="2025"/>
    <x v="6"/>
    <x v="2"/>
    <x v="2"/>
  </r>
  <r>
    <x v="1"/>
    <x v="138"/>
    <x v="1"/>
    <x v="15"/>
    <n v="1"/>
    <n v="1"/>
    <n v="0"/>
    <n v="0"/>
    <n v="0"/>
    <n v="0"/>
    <n v="0"/>
    <n v="0"/>
    <n v="0"/>
    <n v="1"/>
    <n v="2025"/>
    <x v="6"/>
    <x v="2"/>
    <x v="2"/>
  </r>
  <r>
    <x v="1"/>
    <x v="138"/>
    <x v="1"/>
    <x v="17"/>
    <n v="224"/>
    <n v="83"/>
    <n v="2"/>
    <n v="0"/>
    <n v="0"/>
    <n v="0"/>
    <n v="0"/>
    <n v="0"/>
    <n v="0"/>
    <n v="224"/>
    <n v="2025"/>
    <x v="6"/>
    <x v="2"/>
    <x v="2"/>
  </r>
  <r>
    <x v="1"/>
    <x v="138"/>
    <x v="1"/>
    <x v="18"/>
    <n v="14"/>
    <n v="11"/>
    <n v="2"/>
    <n v="0"/>
    <n v="4940"/>
    <n v="1"/>
    <n v="4940"/>
    <n v="1"/>
    <n v="1"/>
    <n v="13"/>
    <n v="2025"/>
    <x v="6"/>
    <x v="2"/>
    <x v="2"/>
  </r>
  <r>
    <x v="1"/>
    <x v="138"/>
    <x v="1"/>
    <x v="19"/>
    <n v="1705"/>
    <n v="767"/>
    <n v="53"/>
    <n v="10"/>
    <n v="27555"/>
    <n v="7"/>
    <n v="20775"/>
    <n v="6"/>
    <n v="305"/>
    <n v="757"/>
    <n v="2025"/>
    <x v="6"/>
    <x v="2"/>
    <x v="2"/>
  </r>
  <r>
    <x v="1"/>
    <x v="138"/>
    <x v="1"/>
    <x v="20"/>
    <n v="9"/>
    <n v="5"/>
    <n v="0"/>
    <n v="0"/>
    <n v="0"/>
    <n v="0"/>
    <n v="0"/>
    <n v="0"/>
    <n v="3"/>
    <n v="8"/>
    <n v="2025"/>
    <x v="6"/>
    <x v="2"/>
    <x v="2"/>
  </r>
  <r>
    <x v="1"/>
    <x v="138"/>
    <x v="1"/>
    <x v="24"/>
    <n v="11"/>
    <n v="8"/>
    <n v="0"/>
    <n v="1"/>
    <n v="0"/>
    <n v="0"/>
    <n v="0"/>
    <n v="0"/>
    <n v="1"/>
    <n v="10"/>
    <n v="2025"/>
    <x v="6"/>
    <x v="2"/>
    <x v="2"/>
  </r>
  <r>
    <x v="1"/>
    <x v="138"/>
    <x v="1"/>
    <x v="27"/>
    <n v="86"/>
    <n v="30"/>
    <n v="8"/>
    <n v="0"/>
    <n v="13355"/>
    <n v="3"/>
    <n v="13355"/>
    <n v="3"/>
    <n v="36"/>
    <n v="72"/>
    <n v="2025"/>
    <x v="6"/>
    <x v="2"/>
    <x v="2"/>
  </r>
  <r>
    <x v="1"/>
    <x v="138"/>
    <x v="1"/>
    <x v="29"/>
    <n v="527"/>
    <n v="384"/>
    <n v="16"/>
    <n v="7"/>
    <n v="10040"/>
    <n v="4"/>
    <n v="10040"/>
    <n v="4"/>
    <n v="159"/>
    <n v="471"/>
    <n v="2025"/>
    <x v="6"/>
    <x v="2"/>
    <x v="2"/>
  </r>
  <r>
    <x v="1"/>
    <x v="138"/>
    <x v="1"/>
    <x v="30"/>
    <n v="4096"/>
    <n v="2006"/>
    <n v="95"/>
    <n v="28"/>
    <n v="38280"/>
    <n v="8"/>
    <n v="30580"/>
    <n v="7"/>
    <n v="382"/>
    <n v="4043"/>
    <n v="2025"/>
    <x v="6"/>
    <x v="2"/>
    <x v="2"/>
  </r>
  <r>
    <x v="1"/>
    <x v="138"/>
    <x v="1"/>
    <x v="31"/>
    <n v="100"/>
    <n v="65"/>
    <n v="7"/>
    <n v="2"/>
    <n v="0"/>
    <n v="0"/>
    <n v="0"/>
    <n v="0"/>
    <n v="18"/>
    <n v="97"/>
    <n v="2025"/>
    <x v="6"/>
    <x v="2"/>
    <x v="2"/>
  </r>
  <r>
    <x v="1"/>
    <x v="138"/>
    <x v="1"/>
    <x v="34"/>
    <n v="45"/>
    <n v="19"/>
    <n v="1"/>
    <n v="0"/>
    <n v="0"/>
    <n v="0"/>
    <n v="0"/>
    <n v="0"/>
    <n v="38"/>
    <n v="23"/>
    <n v="2025"/>
    <x v="6"/>
    <x v="2"/>
    <x v="2"/>
  </r>
  <r>
    <x v="1"/>
    <x v="138"/>
    <x v="1"/>
    <x v="36"/>
    <n v="2"/>
    <n v="2"/>
    <n v="0"/>
    <n v="0"/>
    <n v="0"/>
    <n v="0"/>
    <n v="0"/>
    <n v="0"/>
    <n v="1"/>
    <n v="1"/>
    <n v="2025"/>
    <x v="6"/>
    <x v="2"/>
    <x v="2"/>
  </r>
  <r>
    <x v="1"/>
    <x v="138"/>
    <x v="1"/>
    <x v="38"/>
    <n v="190"/>
    <n v="52"/>
    <n v="14"/>
    <n v="3"/>
    <n v="0"/>
    <n v="0"/>
    <n v="0"/>
    <n v="0"/>
    <n v="38"/>
    <n v="183"/>
    <n v="2025"/>
    <x v="6"/>
    <x v="2"/>
    <x v="2"/>
  </r>
  <r>
    <x v="1"/>
    <x v="138"/>
    <x v="1"/>
    <x v="60"/>
    <n v="3"/>
    <n v="3"/>
    <n v="0"/>
    <n v="0"/>
    <n v="0"/>
    <n v="0"/>
    <n v="0"/>
    <n v="0"/>
    <n v="0"/>
    <n v="3"/>
    <n v="2025"/>
    <x v="6"/>
    <x v="2"/>
    <x v="2"/>
  </r>
  <r>
    <x v="1"/>
    <x v="138"/>
    <x v="1"/>
    <x v="64"/>
    <n v="413"/>
    <n v="228"/>
    <n v="19"/>
    <n v="2"/>
    <n v="7050"/>
    <n v="2"/>
    <n v="3250"/>
    <n v="1"/>
    <n v="66"/>
    <n v="407"/>
    <n v="2025"/>
    <x v="6"/>
    <x v="2"/>
    <x v="2"/>
  </r>
  <r>
    <x v="1"/>
    <x v="138"/>
    <x v="1"/>
    <x v="43"/>
    <n v="109"/>
    <n v="52"/>
    <n v="2"/>
    <n v="2"/>
    <n v="0"/>
    <n v="0"/>
    <n v="0"/>
    <n v="0"/>
    <n v="87"/>
    <n v="69"/>
    <n v="2025"/>
    <x v="6"/>
    <x v="2"/>
    <x v="2"/>
  </r>
  <r>
    <x v="1"/>
    <x v="138"/>
    <x v="1"/>
    <x v="44"/>
    <n v="32"/>
    <n v="7"/>
    <n v="0"/>
    <n v="0"/>
    <n v="2490"/>
    <n v="1"/>
    <n v="2490"/>
    <n v="1"/>
    <n v="0"/>
    <n v="32"/>
    <n v="2025"/>
    <x v="6"/>
    <x v="2"/>
    <x v="2"/>
  </r>
  <r>
    <x v="1"/>
    <x v="139"/>
    <x v="0"/>
    <x v="0"/>
    <n v="366"/>
    <n v="108"/>
    <n v="0"/>
    <n v="1"/>
    <n v="0"/>
    <n v="0"/>
    <n v="0"/>
    <n v="0"/>
    <n v="4"/>
    <n v="358"/>
    <n v="2025"/>
    <x v="6"/>
    <x v="2"/>
    <x v="2"/>
  </r>
  <r>
    <x v="1"/>
    <x v="139"/>
    <x v="0"/>
    <x v="1"/>
    <n v="30449"/>
    <n v="19816"/>
    <n v="176"/>
    <n v="141"/>
    <n v="133239"/>
    <n v="14"/>
    <n v="29304"/>
    <n v="7"/>
    <n v="1476"/>
    <n v="30057"/>
    <n v="2025"/>
    <x v="6"/>
    <x v="2"/>
    <x v="2"/>
  </r>
  <r>
    <x v="1"/>
    <x v="139"/>
    <x v="0"/>
    <x v="2"/>
    <n v="1"/>
    <n v="1"/>
    <n v="0"/>
    <n v="0"/>
    <n v="0"/>
    <n v="0"/>
    <n v="0"/>
    <n v="0"/>
    <n v="1"/>
    <n v="0"/>
    <n v="2025"/>
    <x v="6"/>
    <x v="2"/>
    <x v="2"/>
  </r>
  <r>
    <x v="1"/>
    <x v="139"/>
    <x v="0"/>
    <x v="3"/>
    <n v="1948"/>
    <n v="1051"/>
    <n v="11"/>
    <n v="3"/>
    <n v="0"/>
    <n v="0"/>
    <n v="0"/>
    <n v="0"/>
    <n v="38"/>
    <n v="680"/>
    <n v="2025"/>
    <x v="6"/>
    <x v="2"/>
    <x v="2"/>
  </r>
  <r>
    <x v="1"/>
    <x v="139"/>
    <x v="1"/>
    <x v="5"/>
    <n v="49"/>
    <n v="20"/>
    <n v="0"/>
    <n v="2"/>
    <n v="0"/>
    <n v="0"/>
    <n v="0"/>
    <n v="0"/>
    <n v="0"/>
    <n v="49"/>
    <n v="2025"/>
    <x v="6"/>
    <x v="2"/>
    <x v="2"/>
  </r>
  <r>
    <x v="1"/>
    <x v="139"/>
    <x v="1"/>
    <x v="6"/>
    <n v="55"/>
    <n v="42"/>
    <n v="0"/>
    <n v="0"/>
    <n v="0"/>
    <n v="0"/>
    <n v="0"/>
    <n v="0"/>
    <n v="0"/>
    <n v="0"/>
    <n v="2025"/>
    <x v="6"/>
    <x v="2"/>
    <x v="2"/>
  </r>
  <r>
    <x v="1"/>
    <x v="139"/>
    <x v="1"/>
    <x v="7"/>
    <n v="350"/>
    <n v="86"/>
    <n v="33"/>
    <n v="4"/>
    <n v="74595"/>
    <n v="13"/>
    <n v="67145"/>
    <n v="13"/>
    <n v="105"/>
    <n v="341"/>
    <n v="2025"/>
    <x v="6"/>
    <x v="2"/>
    <x v="2"/>
  </r>
  <r>
    <x v="1"/>
    <x v="139"/>
    <x v="1"/>
    <x v="8"/>
    <n v="19"/>
    <n v="11"/>
    <n v="1"/>
    <n v="0"/>
    <n v="0"/>
    <n v="0"/>
    <n v="0"/>
    <n v="0"/>
    <n v="0"/>
    <n v="5"/>
    <n v="2025"/>
    <x v="6"/>
    <x v="2"/>
    <x v="2"/>
  </r>
  <r>
    <x v="1"/>
    <x v="139"/>
    <x v="1"/>
    <x v="10"/>
    <n v="5"/>
    <n v="2"/>
    <n v="0"/>
    <n v="1"/>
    <n v="0"/>
    <n v="0"/>
    <n v="0"/>
    <n v="0"/>
    <n v="1"/>
    <n v="3"/>
    <n v="2025"/>
    <x v="6"/>
    <x v="2"/>
    <x v="2"/>
  </r>
  <r>
    <x v="1"/>
    <x v="139"/>
    <x v="1"/>
    <x v="11"/>
    <n v="2"/>
    <n v="1"/>
    <n v="0"/>
    <n v="0"/>
    <n v="0"/>
    <n v="0"/>
    <n v="0"/>
    <n v="0"/>
    <n v="2"/>
    <n v="0"/>
    <n v="2025"/>
    <x v="6"/>
    <x v="2"/>
    <x v="2"/>
  </r>
  <r>
    <x v="1"/>
    <x v="139"/>
    <x v="1"/>
    <x v="59"/>
    <n v="1773"/>
    <n v="1368"/>
    <n v="18"/>
    <n v="4"/>
    <n v="0"/>
    <n v="0"/>
    <n v="0"/>
    <n v="0"/>
    <n v="91"/>
    <n v="316"/>
    <n v="2025"/>
    <x v="6"/>
    <x v="2"/>
    <x v="2"/>
  </r>
  <r>
    <x v="1"/>
    <x v="139"/>
    <x v="1"/>
    <x v="15"/>
    <n v="2"/>
    <n v="1"/>
    <n v="0"/>
    <n v="0"/>
    <n v="0"/>
    <n v="0"/>
    <n v="0"/>
    <n v="0"/>
    <n v="0"/>
    <n v="2"/>
    <n v="2025"/>
    <x v="6"/>
    <x v="2"/>
    <x v="2"/>
  </r>
  <r>
    <x v="1"/>
    <x v="139"/>
    <x v="1"/>
    <x v="17"/>
    <n v="215"/>
    <n v="85"/>
    <n v="2"/>
    <n v="0"/>
    <n v="0"/>
    <n v="0"/>
    <n v="0"/>
    <n v="0"/>
    <n v="0"/>
    <n v="215"/>
    <n v="2025"/>
    <x v="6"/>
    <x v="2"/>
    <x v="2"/>
  </r>
  <r>
    <x v="1"/>
    <x v="139"/>
    <x v="1"/>
    <x v="18"/>
    <n v="6"/>
    <n v="4"/>
    <n v="1"/>
    <n v="0"/>
    <n v="0"/>
    <n v="0"/>
    <n v="0"/>
    <n v="0"/>
    <n v="3"/>
    <n v="5"/>
    <n v="2025"/>
    <x v="6"/>
    <x v="2"/>
    <x v="2"/>
  </r>
  <r>
    <x v="1"/>
    <x v="139"/>
    <x v="1"/>
    <x v="19"/>
    <n v="1674"/>
    <n v="692"/>
    <n v="41"/>
    <n v="8"/>
    <n v="57089.29"/>
    <n v="9"/>
    <n v="44849.29"/>
    <n v="8"/>
    <n v="334"/>
    <n v="672"/>
    <n v="2025"/>
    <x v="6"/>
    <x v="2"/>
    <x v="2"/>
  </r>
  <r>
    <x v="1"/>
    <x v="139"/>
    <x v="1"/>
    <x v="20"/>
    <n v="12"/>
    <n v="6"/>
    <n v="1"/>
    <n v="0"/>
    <n v="0"/>
    <n v="0"/>
    <n v="0"/>
    <n v="0"/>
    <n v="0"/>
    <n v="12"/>
    <n v="2025"/>
    <x v="6"/>
    <x v="2"/>
    <x v="2"/>
  </r>
  <r>
    <x v="1"/>
    <x v="139"/>
    <x v="1"/>
    <x v="24"/>
    <n v="20"/>
    <n v="16"/>
    <n v="1"/>
    <n v="0"/>
    <n v="2995"/>
    <n v="1"/>
    <n v="2995"/>
    <n v="1"/>
    <n v="2"/>
    <n v="19"/>
    <n v="2025"/>
    <x v="6"/>
    <x v="2"/>
    <x v="2"/>
  </r>
  <r>
    <x v="1"/>
    <x v="139"/>
    <x v="1"/>
    <x v="27"/>
    <n v="135"/>
    <n v="51"/>
    <n v="7"/>
    <n v="0"/>
    <n v="8392.1299999999992"/>
    <n v="3"/>
    <n v="8392.1299999999992"/>
    <n v="3"/>
    <n v="50"/>
    <n v="115"/>
    <n v="2025"/>
    <x v="6"/>
    <x v="2"/>
    <x v="2"/>
  </r>
  <r>
    <x v="1"/>
    <x v="139"/>
    <x v="1"/>
    <x v="29"/>
    <n v="686"/>
    <n v="524"/>
    <n v="27"/>
    <n v="7"/>
    <n v="23350"/>
    <n v="3"/>
    <n v="16570"/>
    <n v="2"/>
    <n v="160"/>
    <n v="632"/>
    <n v="2025"/>
    <x v="6"/>
    <x v="2"/>
    <x v="2"/>
  </r>
  <r>
    <x v="1"/>
    <x v="139"/>
    <x v="1"/>
    <x v="30"/>
    <n v="3884"/>
    <n v="1824"/>
    <n v="85"/>
    <n v="24"/>
    <n v="46230"/>
    <n v="10"/>
    <n v="42240"/>
    <n v="9"/>
    <n v="382"/>
    <n v="3825"/>
    <n v="2025"/>
    <x v="6"/>
    <x v="2"/>
    <x v="2"/>
  </r>
  <r>
    <x v="1"/>
    <x v="139"/>
    <x v="1"/>
    <x v="31"/>
    <n v="83"/>
    <n v="58"/>
    <n v="4"/>
    <n v="3"/>
    <n v="0"/>
    <n v="0"/>
    <n v="0"/>
    <n v="0"/>
    <n v="17"/>
    <n v="76"/>
    <n v="2025"/>
    <x v="6"/>
    <x v="2"/>
    <x v="2"/>
  </r>
  <r>
    <x v="1"/>
    <x v="139"/>
    <x v="1"/>
    <x v="34"/>
    <n v="61"/>
    <n v="26"/>
    <n v="4"/>
    <n v="0"/>
    <n v="0"/>
    <n v="0"/>
    <n v="0"/>
    <n v="0"/>
    <n v="53"/>
    <n v="27"/>
    <n v="2025"/>
    <x v="6"/>
    <x v="2"/>
    <x v="2"/>
  </r>
  <r>
    <x v="1"/>
    <x v="139"/>
    <x v="1"/>
    <x v="38"/>
    <n v="204"/>
    <n v="65"/>
    <n v="12"/>
    <n v="7"/>
    <n v="15855"/>
    <n v="4"/>
    <n v="15855"/>
    <n v="4"/>
    <n v="37"/>
    <n v="199"/>
    <n v="2025"/>
    <x v="6"/>
    <x v="2"/>
    <x v="2"/>
  </r>
  <r>
    <x v="1"/>
    <x v="139"/>
    <x v="1"/>
    <x v="64"/>
    <n v="437"/>
    <n v="255"/>
    <n v="14"/>
    <n v="3"/>
    <n v="2206"/>
    <n v="3"/>
    <n v="2206"/>
    <n v="3"/>
    <n v="66"/>
    <n v="433"/>
    <n v="2025"/>
    <x v="6"/>
    <x v="2"/>
    <x v="2"/>
  </r>
  <r>
    <x v="1"/>
    <x v="139"/>
    <x v="1"/>
    <x v="43"/>
    <n v="113"/>
    <n v="58"/>
    <n v="6"/>
    <n v="1"/>
    <n v="0"/>
    <n v="0"/>
    <n v="0"/>
    <n v="0"/>
    <n v="90"/>
    <n v="57"/>
    <n v="2025"/>
    <x v="6"/>
    <x v="2"/>
    <x v="2"/>
  </r>
  <r>
    <x v="1"/>
    <x v="139"/>
    <x v="1"/>
    <x v="44"/>
    <n v="47"/>
    <n v="7"/>
    <n v="0"/>
    <n v="0"/>
    <n v="0"/>
    <n v="0"/>
    <n v="0"/>
    <n v="0"/>
    <n v="0"/>
    <n v="47"/>
    <n v="2025"/>
    <x v="6"/>
    <x v="2"/>
    <x v="2"/>
  </r>
  <r>
    <x v="1"/>
    <x v="140"/>
    <x v="0"/>
    <x v="0"/>
    <n v="237"/>
    <n v="41"/>
    <n v="1"/>
    <n v="3"/>
    <n v="2990"/>
    <n v="1"/>
    <n v="0"/>
    <n v="0"/>
    <n v="5"/>
    <n v="235"/>
    <n v="2025"/>
    <x v="6"/>
    <x v="2"/>
    <x v="2"/>
  </r>
  <r>
    <x v="1"/>
    <x v="140"/>
    <x v="0"/>
    <x v="1"/>
    <n v="24455"/>
    <n v="12798"/>
    <n v="163"/>
    <n v="101"/>
    <n v="142390"/>
    <n v="16"/>
    <n v="59380"/>
    <n v="11"/>
    <n v="1462"/>
    <n v="24038"/>
    <n v="2025"/>
    <x v="6"/>
    <x v="2"/>
    <x v="2"/>
  </r>
  <r>
    <x v="1"/>
    <x v="140"/>
    <x v="0"/>
    <x v="2"/>
    <n v="1"/>
    <n v="0"/>
    <n v="0"/>
    <n v="0"/>
    <n v="0"/>
    <n v="0"/>
    <n v="0"/>
    <n v="0"/>
    <n v="0"/>
    <n v="1"/>
    <n v="2025"/>
    <x v="6"/>
    <x v="2"/>
    <x v="2"/>
  </r>
  <r>
    <x v="1"/>
    <x v="140"/>
    <x v="0"/>
    <x v="3"/>
    <n v="1858"/>
    <n v="1175"/>
    <n v="11"/>
    <n v="2"/>
    <n v="0"/>
    <n v="0"/>
    <n v="0"/>
    <n v="0"/>
    <n v="36"/>
    <n v="611"/>
    <n v="2025"/>
    <x v="6"/>
    <x v="2"/>
    <x v="2"/>
  </r>
  <r>
    <x v="1"/>
    <x v="140"/>
    <x v="1"/>
    <x v="5"/>
    <n v="58"/>
    <n v="17"/>
    <n v="0"/>
    <n v="0"/>
    <n v="0"/>
    <n v="0"/>
    <n v="0"/>
    <n v="0"/>
    <n v="0"/>
    <n v="58"/>
    <n v="2025"/>
    <x v="6"/>
    <x v="2"/>
    <x v="2"/>
  </r>
  <r>
    <x v="1"/>
    <x v="140"/>
    <x v="1"/>
    <x v="6"/>
    <n v="157"/>
    <n v="132"/>
    <n v="0"/>
    <n v="0"/>
    <n v="0"/>
    <n v="0"/>
    <n v="0"/>
    <n v="0"/>
    <n v="0"/>
    <n v="0"/>
    <n v="2025"/>
    <x v="6"/>
    <x v="2"/>
    <x v="2"/>
  </r>
  <r>
    <x v="1"/>
    <x v="140"/>
    <x v="1"/>
    <x v="7"/>
    <n v="278"/>
    <n v="44"/>
    <n v="23"/>
    <n v="3"/>
    <n v="66820"/>
    <n v="16"/>
    <n v="61830"/>
    <n v="15"/>
    <n v="67"/>
    <n v="273"/>
    <n v="2025"/>
    <x v="6"/>
    <x v="2"/>
    <x v="2"/>
  </r>
  <r>
    <x v="1"/>
    <x v="140"/>
    <x v="1"/>
    <x v="8"/>
    <n v="16"/>
    <n v="5"/>
    <n v="0"/>
    <n v="0"/>
    <n v="3990"/>
    <n v="1"/>
    <n v="3990"/>
    <n v="1"/>
    <n v="1"/>
    <n v="14"/>
    <n v="2025"/>
    <x v="6"/>
    <x v="2"/>
    <x v="2"/>
  </r>
  <r>
    <x v="1"/>
    <x v="140"/>
    <x v="1"/>
    <x v="10"/>
    <n v="8"/>
    <n v="3"/>
    <n v="0"/>
    <n v="0"/>
    <n v="0"/>
    <n v="0"/>
    <n v="0"/>
    <n v="0"/>
    <n v="0"/>
    <n v="4"/>
    <n v="2025"/>
    <x v="6"/>
    <x v="2"/>
    <x v="2"/>
  </r>
  <r>
    <x v="1"/>
    <x v="140"/>
    <x v="1"/>
    <x v="11"/>
    <n v="1"/>
    <n v="1"/>
    <n v="0"/>
    <n v="0"/>
    <n v="0"/>
    <n v="0"/>
    <n v="0"/>
    <n v="0"/>
    <n v="1"/>
    <n v="0"/>
    <n v="2025"/>
    <x v="6"/>
    <x v="2"/>
    <x v="2"/>
  </r>
  <r>
    <x v="1"/>
    <x v="140"/>
    <x v="1"/>
    <x v="59"/>
    <n v="5070"/>
    <n v="4709"/>
    <n v="8"/>
    <n v="6"/>
    <n v="17345"/>
    <n v="4"/>
    <n v="17345"/>
    <n v="4"/>
    <n v="95"/>
    <n v="250"/>
    <n v="2025"/>
    <x v="6"/>
    <x v="2"/>
    <x v="2"/>
  </r>
  <r>
    <x v="1"/>
    <x v="140"/>
    <x v="1"/>
    <x v="15"/>
    <n v="1"/>
    <n v="0"/>
    <n v="0"/>
    <n v="0"/>
    <n v="0"/>
    <n v="0"/>
    <n v="0"/>
    <n v="0"/>
    <n v="0"/>
    <n v="1"/>
    <n v="2025"/>
    <x v="6"/>
    <x v="2"/>
    <x v="2"/>
  </r>
  <r>
    <x v="1"/>
    <x v="140"/>
    <x v="1"/>
    <x v="17"/>
    <n v="209"/>
    <n v="76"/>
    <n v="1"/>
    <n v="1"/>
    <n v="0"/>
    <n v="0"/>
    <n v="0"/>
    <n v="0"/>
    <n v="0"/>
    <n v="209"/>
    <n v="2025"/>
    <x v="6"/>
    <x v="2"/>
    <x v="2"/>
  </r>
  <r>
    <x v="1"/>
    <x v="140"/>
    <x v="1"/>
    <x v="18"/>
    <n v="9"/>
    <n v="9"/>
    <n v="1"/>
    <n v="0"/>
    <n v="0"/>
    <n v="0"/>
    <n v="0"/>
    <n v="0"/>
    <n v="0"/>
    <n v="9"/>
    <n v="2025"/>
    <x v="6"/>
    <x v="2"/>
    <x v="2"/>
  </r>
  <r>
    <x v="1"/>
    <x v="140"/>
    <x v="1"/>
    <x v="19"/>
    <n v="1099"/>
    <n v="467"/>
    <n v="38"/>
    <n v="15"/>
    <n v="62140"/>
    <n v="10"/>
    <n v="52210"/>
    <n v="9"/>
    <n v="289"/>
    <n v="692"/>
    <n v="2025"/>
    <x v="6"/>
    <x v="2"/>
    <x v="2"/>
  </r>
  <r>
    <x v="1"/>
    <x v="140"/>
    <x v="1"/>
    <x v="20"/>
    <n v="2"/>
    <n v="1"/>
    <n v="0"/>
    <n v="0"/>
    <n v="0"/>
    <n v="0"/>
    <n v="0"/>
    <n v="0"/>
    <n v="1"/>
    <n v="2"/>
    <n v="2025"/>
    <x v="6"/>
    <x v="2"/>
    <x v="2"/>
  </r>
  <r>
    <x v="1"/>
    <x v="140"/>
    <x v="1"/>
    <x v="24"/>
    <n v="8"/>
    <n v="6"/>
    <n v="0"/>
    <n v="0"/>
    <n v="0"/>
    <n v="0"/>
    <n v="0"/>
    <n v="0"/>
    <n v="2"/>
    <n v="6"/>
    <n v="2025"/>
    <x v="6"/>
    <x v="2"/>
    <x v="2"/>
  </r>
  <r>
    <x v="1"/>
    <x v="140"/>
    <x v="1"/>
    <x v="27"/>
    <n v="89"/>
    <n v="38"/>
    <n v="6"/>
    <n v="3"/>
    <n v="12970"/>
    <n v="2"/>
    <n v="8980"/>
    <n v="1"/>
    <n v="49"/>
    <n v="69"/>
    <n v="2025"/>
    <x v="6"/>
    <x v="2"/>
    <x v="2"/>
  </r>
  <r>
    <x v="1"/>
    <x v="140"/>
    <x v="1"/>
    <x v="29"/>
    <n v="1040"/>
    <n v="888"/>
    <n v="22"/>
    <n v="5"/>
    <n v="24800"/>
    <n v="3"/>
    <n v="2050"/>
    <n v="1"/>
    <n v="167"/>
    <n v="981"/>
    <n v="2025"/>
    <x v="6"/>
    <x v="2"/>
    <x v="2"/>
  </r>
  <r>
    <x v="1"/>
    <x v="140"/>
    <x v="1"/>
    <x v="30"/>
    <n v="3859"/>
    <n v="1742"/>
    <n v="89"/>
    <n v="27"/>
    <n v="98046.96"/>
    <n v="17"/>
    <n v="82136.960000000006"/>
    <n v="14"/>
    <n v="346"/>
    <n v="3806"/>
    <n v="2025"/>
    <x v="6"/>
    <x v="2"/>
    <x v="2"/>
  </r>
  <r>
    <x v="1"/>
    <x v="140"/>
    <x v="1"/>
    <x v="31"/>
    <n v="84"/>
    <n v="55"/>
    <n v="4"/>
    <n v="0"/>
    <n v="3990"/>
    <n v="1"/>
    <n v="3990"/>
    <n v="1"/>
    <n v="9"/>
    <n v="78"/>
    <n v="2025"/>
    <x v="6"/>
    <x v="2"/>
    <x v="2"/>
  </r>
  <r>
    <x v="1"/>
    <x v="140"/>
    <x v="1"/>
    <x v="34"/>
    <n v="36"/>
    <n v="25"/>
    <n v="2"/>
    <n v="1"/>
    <n v="0"/>
    <n v="0"/>
    <n v="0"/>
    <n v="0"/>
    <n v="32"/>
    <n v="13"/>
    <n v="2025"/>
    <x v="6"/>
    <x v="2"/>
    <x v="2"/>
  </r>
  <r>
    <x v="1"/>
    <x v="140"/>
    <x v="1"/>
    <x v="38"/>
    <n v="159"/>
    <n v="59"/>
    <n v="10"/>
    <n v="2"/>
    <n v="120010"/>
    <n v="11"/>
    <n v="62630"/>
    <n v="9"/>
    <n v="31"/>
    <n v="155"/>
    <n v="2025"/>
    <x v="6"/>
    <x v="2"/>
    <x v="2"/>
  </r>
  <r>
    <x v="1"/>
    <x v="140"/>
    <x v="1"/>
    <x v="64"/>
    <n v="387"/>
    <n v="235"/>
    <n v="11"/>
    <n v="1"/>
    <n v="7980"/>
    <n v="1"/>
    <n v="7980"/>
    <n v="1"/>
    <n v="56"/>
    <n v="379"/>
    <n v="2025"/>
    <x v="6"/>
    <x v="2"/>
    <x v="2"/>
  </r>
  <r>
    <x v="1"/>
    <x v="140"/>
    <x v="1"/>
    <x v="43"/>
    <n v="111"/>
    <n v="70"/>
    <n v="1"/>
    <n v="2"/>
    <n v="0"/>
    <n v="0"/>
    <n v="0"/>
    <n v="0"/>
    <n v="98"/>
    <n v="63"/>
    <n v="2025"/>
    <x v="6"/>
    <x v="2"/>
    <x v="2"/>
  </r>
  <r>
    <x v="1"/>
    <x v="140"/>
    <x v="1"/>
    <x v="44"/>
    <n v="52"/>
    <n v="4"/>
    <n v="0"/>
    <n v="0"/>
    <n v="7360"/>
    <n v="2"/>
    <n v="7360"/>
    <n v="2"/>
    <n v="1"/>
    <n v="52"/>
    <n v="2025"/>
    <x v="6"/>
    <x v="2"/>
    <x v="2"/>
  </r>
  <r>
    <x v="1"/>
    <x v="141"/>
    <x v="0"/>
    <x v="0"/>
    <n v="281"/>
    <n v="68"/>
    <n v="2"/>
    <n v="0"/>
    <n v="0"/>
    <n v="0"/>
    <n v="0"/>
    <n v="0"/>
    <n v="6"/>
    <n v="277"/>
    <n v="2025"/>
    <x v="6"/>
    <x v="2"/>
    <x v="2"/>
  </r>
  <r>
    <x v="1"/>
    <x v="141"/>
    <x v="0"/>
    <x v="1"/>
    <n v="26894"/>
    <n v="16047"/>
    <n v="152"/>
    <n v="88"/>
    <n v="117132"/>
    <n v="23"/>
    <n v="61122"/>
    <n v="15"/>
    <n v="1365"/>
    <n v="26476"/>
    <n v="2025"/>
    <x v="6"/>
    <x v="2"/>
    <x v="2"/>
  </r>
  <r>
    <x v="1"/>
    <x v="141"/>
    <x v="0"/>
    <x v="2"/>
    <n v="2"/>
    <n v="1"/>
    <n v="0"/>
    <n v="0"/>
    <n v="0"/>
    <n v="0"/>
    <n v="0"/>
    <n v="0"/>
    <n v="2"/>
    <n v="0"/>
    <n v="2025"/>
    <x v="6"/>
    <x v="2"/>
    <x v="2"/>
  </r>
  <r>
    <x v="1"/>
    <x v="141"/>
    <x v="0"/>
    <x v="3"/>
    <n v="488"/>
    <n v="273"/>
    <n v="1"/>
    <n v="0"/>
    <n v="13500"/>
    <n v="1"/>
    <n v="0"/>
    <n v="0"/>
    <n v="7"/>
    <n v="261"/>
    <n v="2025"/>
    <x v="6"/>
    <x v="2"/>
    <x v="2"/>
  </r>
  <r>
    <x v="1"/>
    <x v="141"/>
    <x v="1"/>
    <x v="5"/>
    <n v="34"/>
    <n v="11"/>
    <n v="0"/>
    <n v="0"/>
    <n v="0"/>
    <n v="0"/>
    <n v="0"/>
    <n v="0"/>
    <n v="0"/>
    <n v="34"/>
    <n v="2025"/>
    <x v="6"/>
    <x v="2"/>
    <x v="2"/>
  </r>
  <r>
    <x v="1"/>
    <x v="141"/>
    <x v="1"/>
    <x v="7"/>
    <n v="237"/>
    <n v="53"/>
    <n v="24"/>
    <n v="2"/>
    <n v="85077"/>
    <n v="18"/>
    <n v="85077"/>
    <n v="18"/>
    <n v="83"/>
    <n v="226"/>
    <n v="2025"/>
    <x v="6"/>
    <x v="2"/>
    <x v="2"/>
  </r>
  <r>
    <x v="1"/>
    <x v="141"/>
    <x v="1"/>
    <x v="8"/>
    <n v="11"/>
    <n v="4"/>
    <n v="0"/>
    <n v="0"/>
    <n v="0"/>
    <n v="0"/>
    <n v="0"/>
    <n v="0"/>
    <n v="0"/>
    <n v="11"/>
    <n v="2025"/>
    <x v="6"/>
    <x v="2"/>
    <x v="2"/>
  </r>
  <r>
    <x v="1"/>
    <x v="141"/>
    <x v="1"/>
    <x v="10"/>
    <n v="1"/>
    <n v="0"/>
    <n v="0"/>
    <n v="0"/>
    <n v="0"/>
    <n v="0"/>
    <n v="0"/>
    <n v="0"/>
    <n v="0"/>
    <n v="1"/>
    <n v="2025"/>
    <x v="6"/>
    <x v="2"/>
    <x v="2"/>
  </r>
  <r>
    <x v="1"/>
    <x v="141"/>
    <x v="1"/>
    <x v="11"/>
    <n v="2"/>
    <n v="2"/>
    <n v="0"/>
    <n v="0"/>
    <n v="0"/>
    <n v="0"/>
    <n v="0"/>
    <n v="0"/>
    <n v="2"/>
    <n v="0"/>
    <n v="2025"/>
    <x v="6"/>
    <x v="2"/>
    <x v="2"/>
  </r>
  <r>
    <x v="1"/>
    <x v="141"/>
    <x v="1"/>
    <x v="66"/>
    <n v="1"/>
    <n v="0"/>
    <n v="0"/>
    <n v="0"/>
    <n v="0"/>
    <n v="0"/>
    <n v="0"/>
    <n v="0"/>
    <n v="0"/>
    <n v="1"/>
    <n v="2025"/>
    <x v="6"/>
    <x v="2"/>
    <x v="2"/>
  </r>
  <r>
    <x v="1"/>
    <x v="141"/>
    <x v="1"/>
    <x v="59"/>
    <n v="256"/>
    <n v="115"/>
    <n v="10"/>
    <n v="4"/>
    <n v="19825"/>
    <n v="4"/>
    <n v="15835"/>
    <n v="3"/>
    <n v="74"/>
    <n v="219"/>
    <n v="2025"/>
    <x v="6"/>
    <x v="2"/>
    <x v="2"/>
  </r>
  <r>
    <x v="1"/>
    <x v="141"/>
    <x v="1"/>
    <x v="17"/>
    <n v="199"/>
    <n v="79"/>
    <n v="3"/>
    <n v="0"/>
    <n v="0"/>
    <n v="0"/>
    <n v="0"/>
    <n v="0"/>
    <n v="1"/>
    <n v="198"/>
    <n v="2025"/>
    <x v="6"/>
    <x v="2"/>
    <x v="2"/>
  </r>
  <r>
    <x v="1"/>
    <x v="141"/>
    <x v="1"/>
    <x v="18"/>
    <n v="2"/>
    <n v="2"/>
    <n v="0"/>
    <n v="0"/>
    <n v="0"/>
    <n v="0"/>
    <n v="0"/>
    <n v="0"/>
    <n v="0"/>
    <n v="2"/>
    <n v="2025"/>
    <x v="6"/>
    <x v="2"/>
    <x v="2"/>
  </r>
  <r>
    <x v="1"/>
    <x v="141"/>
    <x v="1"/>
    <x v="19"/>
    <n v="754"/>
    <n v="366"/>
    <n v="32"/>
    <n v="10"/>
    <n v="38860"/>
    <n v="8"/>
    <n v="17960"/>
    <n v="6"/>
    <n v="287"/>
    <n v="670"/>
    <n v="2025"/>
    <x v="6"/>
    <x v="2"/>
    <x v="2"/>
  </r>
  <r>
    <x v="1"/>
    <x v="141"/>
    <x v="1"/>
    <x v="20"/>
    <n v="2"/>
    <n v="2"/>
    <n v="0"/>
    <n v="0"/>
    <n v="0"/>
    <n v="0"/>
    <n v="0"/>
    <n v="0"/>
    <n v="0"/>
    <n v="2"/>
    <n v="2025"/>
    <x v="6"/>
    <x v="2"/>
    <x v="2"/>
  </r>
  <r>
    <x v="1"/>
    <x v="141"/>
    <x v="1"/>
    <x v="24"/>
    <n v="10"/>
    <n v="8"/>
    <n v="0"/>
    <n v="0"/>
    <n v="3990"/>
    <n v="1"/>
    <n v="3990"/>
    <n v="1"/>
    <n v="2"/>
    <n v="8"/>
    <n v="2025"/>
    <x v="6"/>
    <x v="2"/>
    <x v="2"/>
  </r>
  <r>
    <x v="1"/>
    <x v="141"/>
    <x v="1"/>
    <x v="27"/>
    <n v="122"/>
    <n v="59"/>
    <n v="7"/>
    <n v="2"/>
    <n v="18660"/>
    <n v="6"/>
    <n v="10680"/>
    <n v="4"/>
    <n v="45"/>
    <n v="104"/>
    <n v="2025"/>
    <x v="6"/>
    <x v="2"/>
    <x v="2"/>
  </r>
  <r>
    <x v="1"/>
    <x v="141"/>
    <x v="1"/>
    <x v="29"/>
    <n v="1932"/>
    <n v="1791"/>
    <n v="28"/>
    <n v="12"/>
    <n v="24740"/>
    <n v="4"/>
    <n v="24740"/>
    <n v="4"/>
    <n v="221"/>
    <n v="1867"/>
    <n v="2025"/>
    <x v="6"/>
    <x v="2"/>
    <x v="2"/>
  </r>
  <r>
    <x v="1"/>
    <x v="141"/>
    <x v="1"/>
    <x v="30"/>
    <n v="3730"/>
    <n v="2024"/>
    <n v="73"/>
    <n v="17"/>
    <n v="65525"/>
    <n v="11"/>
    <n v="49050"/>
    <n v="7"/>
    <n v="259"/>
    <n v="3704"/>
    <n v="2025"/>
    <x v="6"/>
    <x v="2"/>
    <x v="2"/>
  </r>
  <r>
    <x v="1"/>
    <x v="141"/>
    <x v="1"/>
    <x v="31"/>
    <n v="108"/>
    <n v="81"/>
    <n v="3"/>
    <n v="1"/>
    <n v="0"/>
    <n v="0"/>
    <n v="0"/>
    <n v="0"/>
    <n v="12"/>
    <n v="106"/>
    <n v="2025"/>
    <x v="6"/>
    <x v="2"/>
    <x v="2"/>
  </r>
  <r>
    <x v="1"/>
    <x v="141"/>
    <x v="1"/>
    <x v="34"/>
    <n v="48"/>
    <n v="20"/>
    <n v="1"/>
    <n v="0"/>
    <n v="7080"/>
    <n v="2"/>
    <n v="7080"/>
    <n v="2"/>
    <n v="43"/>
    <n v="27"/>
    <n v="2025"/>
    <x v="6"/>
    <x v="2"/>
    <x v="2"/>
  </r>
  <r>
    <x v="1"/>
    <x v="141"/>
    <x v="1"/>
    <x v="36"/>
    <n v="1"/>
    <n v="1"/>
    <n v="0"/>
    <n v="0"/>
    <n v="0"/>
    <n v="0"/>
    <n v="0"/>
    <n v="0"/>
    <n v="1"/>
    <n v="0"/>
    <n v="2025"/>
    <x v="6"/>
    <x v="2"/>
    <x v="2"/>
  </r>
  <r>
    <x v="1"/>
    <x v="141"/>
    <x v="1"/>
    <x v="38"/>
    <n v="180"/>
    <n v="62"/>
    <n v="9"/>
    <n v="5"/>
    <n v="26785"/>
    <n v="6"/>
    <n v="25040"/>
    <n v="6"/>
    <n v="39"/>
    <n v="173"/>
    <n v="2025"/>
    <x v="6"/>
    <x v="2"/>
    <x v="2"/>
  </r>
  <r>
    <x v="1"/>
    <x v="141"/>
    <x v="1"/>
    <x v="51"/>
    <n v="1"/>
    <n v="0"/>
    <n v="0"/>
    <n v="0"/>
    <n v="0"/>
    <n v="0"/>
    <n v="0"/>
    <n v="0"/>
    <n v="1"/>
    <n v="0"/>
    <n v="2025"/>
    <x v="6"/>
    <x v="2"/>
    <x v="2"/>
  </r>
  <r>
    <x v="1"/>
    <x v="141"/>
    <x v="1"/>
    <x v="39"/>
    <n v="1"/>
    <n v="1"/>
    <n v="0"/>
    <n v="0"/>
    <n v="0"/>
    <n v="0"/>
    <n v="0"/>
    <n v="0"/>
    <n v="1"/>
    <n v="1"/>
    <n v="2025"/>
    <x v="6"/>
    <x v="2"/>
    <x v="2"/>
  </r>
  <r>
    <x v="1"/>
    <x v="141"/>
    <x v="1"/>
    <x v="64"/>
    <n v="375"/>
    <n v="230"/>
    <n v="11"/>
    <n v="3"/>
    <n v="16905"/>
    <n v="3"/>
    <n v="11475"/>
    <n v="3"/>
    <n v="70"/>
    <n v="367"/>
    <n v="2025"/>
    <x v="6"/>
    <x v="2"/>
    <x v="2"/>
  </r>
  <r>
    <x v="1"/>
    <x v="141"/>
    <x v="1"/>
    <x v="43"/>
    <n v="85"/>
    <n v="46"/>
    <n v="3"/>
    <n v="0"/>
    <n v="0"/>
    <n v="0"/>
    <n v="0"/>
    <n v="0"/>
    <n v="69"/>
    <n v="52"/>
    <n v="2025"/>
    <x v="6"/>
    <x v="2"/>
    <x v="2"/>
  </r>
  <r>
    <x v="1"/>
    <x v="141"/>
    <x v="1"/>
    <x v="44"/>
    <n v="47"/>
    <n v="11"/>
    <n v="0"/>
    <n v="0"/>
    <n v="4440"/>
    <n v="1"/>
    <n v="4440"/>
    <n v="1"/>
    <n v="0"/>
    <n v="47"/>
    <n v="2025"/>
    <x v="6"/>
    <x v="2"/>
    <x v="2"/>
  </r>
  <r>
    <x v="1"/>
    <x v="142"/>
    <x v="0"/>
    <x v="0"/>
    <n v="297"/>
    <n v="60"/>
    <n v="2"/>
    <n v="0"/>
    <n v="0"/>
    <n v="0"/>
    <n v="0"/>
    <n v="0"/>
    <n v="4"/>
    <n v="297"/>
    <n v="2025"/>
    <x v="6"/>
    <x v="2"/>
    <x v="2"/>
  </r>
  <r>
    <x v="1"/>
    <x v="142"/>
    <x v="0"/>
    <x v="1"/>
    <n v="26169"/>
    <n v="14828"/>
    <n v="146"/>
    <n v="99"/>
    <n v="150575"/>
    <n v="23"/>
    <n v="95460"/>
    <n v="16"/>
    <n v="1295"/>
    <n v="25791"/>
    <n v="2025"/>
    <x v="6"/>
    <x v="2"/>
    <x v="2"/>
  </r>
  <r>
    <x v="1"/>
    <x v="142"/>
    <x v="0"/>
    <x v="3"/>
    <n v="543"/>
    <n v="315"/>
    <n v="0"/>
    <n v="0"/>
    <n v="0"/>
    <n v="0"/>
    <n v="0"/>
    <n v="0"/>
    <n v="6"/>
    <n v="247"/>
    <n v="2025"/>
    <x v="6"/>
    <x v="2"/>
    <x v="2"/>
  </r>
  <r>
    <x v="1"/>
    <x v="142"/>
    <x v="1"/>
    <x v="5"/>
    <n v="42"/>
    <n v="16"/>
    <n v="1"/>
    <n v="0"/>
    <n v="0"/>
    <n v="0"/>
    <n v="0"/>
    <n v="0"/>
    <n v="1"/>
    <n v="42"/>
    <n v="2025"/>
    <x v="6"/>
    <x v="2"/>
    <x v="2"/>
  </r>
  <r>
    <x v="1"/>
    <x v="142"/>
    <x v="1"/>
    <x v="7"/>
    <n v="229"/>
    <n v="60"/>
    <n v="19"/>
    <n v="1"/>
    <n v="76377.19"/>
    <n v="16"/>
    <n v="67087.19"/>
    <n v="14"/>
    <n v="74"/>
    <n v="219"/>
    <n v="2025"/>
    <x v="6"/>
    <x v="2"/>
    <x v="2"/>
  </r>
  <r>
    <x v="1"/>
    <x v="142"/>
    <x v="1"/>
    <x v="8"/>
    <n v="9"/>
    <n v="4"/>
    <n v="0"/>
    <n v="0"/>
    <n v="0"/>
    <n v="0"/>
    <n v="0"/>
    <n v="0"/>
    <n v="1"/>
    <n v="9"/>
    <n v="2025"/>
    <x v="6"/>
    <x v="2"/>
    <x v="2"/>
  </r>
  <r>
    <x v="1"/>
    <x v="142"/>
    <x v="1"/>
    <x v="11"/>
    <n v="5"/>
    <n v="3"/>
    <n v="0"/>
    <n v="0"/>
    <n v="0"/>
    <n v="0"/>
    <n v="0"/>
    <n v="0"/>
    <n v="5"/>
    <n v="0"/>
    <n v="2025"/>
    <x v="6"/>
    <x v="2"/>
    <x v="2"/>
  </r>
  <r>
    <x v="1"/>
    <x v="142"/>
    <x v="1"/>
    <x v="59"/>
    <n v="225"/>
    <n v="94"/>
    <n v="7"/>
    <n v="4"/>
    <n v="13950"/>
    <n v="2"/>
    <n v="10850"/>
    <n v="2"/>
    <n v="61"/>
    <n v="195"/>
    <n v="2025"/>
    <x v="6"/>
    <x v="2"/>
    <x v="2"/>
  </r>
  <r>
    <x v="1"/>
    <x v="142"/>
    <x v="1"/>
    <x v="15"/>
    <n v="1"/>
    <n v="0"/>
    <n v="0"/>
    <n v="0"/>
    <n v="0"/>
    <n v="0"/>
    <n v="0"/>
    <n v="0"/>
    <n v="0"/>
    <n v="1"/>
    <n v="2025"/>
    <x v="6"/>
    <x v="2"/>
    <x v="2"/>
  </r>
  <r>
    <x v="1"/>
    <x v="142"/>
    <x v="1"/>
    <x v="17"/>
    <n v="234"/>
    <n v="113"/>
    <n v="4"/>
    <n v="0"/>
    <n v="0"/>
    <n v="0"/>
    <n v="0"/>
    <n v="0"/>
    <n v="1"/>
    <n v="233"/>
    <n v="2025"/>
    <x v="6"/>
    <x v="2"/>
    <x v="2"/>
  </r>
  <r>
    <x v="1"/>
    <x v="142"/>
    <x v="1"/>
    <x v="18"/>
    <n v="5"/>
    <n v="5"/>
    <n v="0"/>
    <n v="0"/>
    <n v="0"/>
    <n v="0"/>
    <n v="0"/>
    <n v="0"/>
    <n v="0"/>
    <n v="5"/>
    <n v="2025"/>
    <x v="6"/>
    <x v="2"/>
    <x v="2"/>
  </r>
  <r>
    <x v="1"/>
    <x v="142"/>
    <x v="1"/>
    <x v="19"/>
    <n v="729"/>
    <n v="361"/>
    <n v="46"/>
    <n v="12"/>
    <n v="86545"/>
    <n v="13"/>
    <n v="74810"/>
    <n v="11"/>
    <n v="286"/>
    <n v="628"/>
    <n v="2025"/>
    <x v="6"/>
    <x v="2"/>
    <x v="2"/>
  </r>
  <r>
    <x v="1"/>
    <x v="142"/>
    <x v="1"/>
    <x v="20"/>
    <n v="3"/>
    <n v="2"/>
    <n v="0"/>
    <n v="0"/>
    <n v="0"/>
    <n v="0"/>
    <n v="0"/>
    <n v="0"/>
    <n v="1"/>
    <n v="3"/>
    <n v="2025"/>
    <x v="6"/>
    <x v="2"/>
    <x v="2"/>
  </r>
  <r>
    <x v="1"/>
    <x v="142"/>
    <x v="1"/>
    <x v="24"/>
    <n v="12"/>
    <n v="8"/>
    <n v="0"/>
    <n v="0"/>
    <n v="0"/>
    <n v="0"/>
    <n v="0"/>
    <n v="0"/>
    <n v="4"/>
    <n v="9"/>
    <n v="2025"/>
    <x v="6"/>
    <x v="2"/>
    <x v="2"/>
  </r>
  <r>
    <x v="1"/>
    <x v="142"/>
    <x v="1"/>
    <x v="27"/>
    <n v="223"/>
    <n v="114"/>
    <n v="13"/>
    <n v="3"/>
    <n v="21764"/>
    <n v="4"/>
    <n v="13784"/>
    <n v="3"/>
    <n v="87"/>
    <n v="202"/>
    <n v="2025"/>
    <x v="6"/>
    <x v="2"/>
    <x v="2"/>
  </r>
  <r>
    <x v="1"/>
    <x v="142"/>
    <x v="1"/>
    <x v="29"/>
    <n v="1486"/>
    <n v="1335"/>
    <n v="26"/>
    <n v="9"/>
    <n v="56950"/>
    <n v="7"/>
    <n v="37930"/>
    <n v="5"/>
    <n v="212"/>
    <n v="1429"/>
    <n v="2025"/>
    <x v="6"/>
    <x v="2"/>
    <x v="2"/>
  </r>
  <r>
    <x v="1"/>
    <x v="142"/>
    <x v="1"/>
    <x v="30"/>
    <n v="3104"/>
    <n v="1655"/>
    <n v="76"/>
    <n v="17"/>
    <n v="45960"/>
    <n v="8"/>
    <n v="41265"/>
    <n v="7"/>
    <n v="221"/>
    <n v="3020"/>
    <n v="2025"/>
    <x v="6"/>
    <x v="2"/>
    <x v="2"/>
  </r>
  <r>
    <x v="1"/>
    <x v="142"/>
    <x v="1"/>
    <x v="31"/>
    <n v="90"/>
    <n v="61"/>
    <n v="4"/>
    <n v="3"/>
    <n v="0"/>
    <n v="0"/>
    <n v="0"/>
    <n v="0"/>
    <n v="18"/>
    <n v="85"/>
    <n v="2025"/>
    <x v="6"/>
    <x v="2"/>
    <x v="2"/>
  </r>
  <r>
    <x v="1"/>
    <x v="142"/>
    <x v="1"/>
    <x v="34"/>
    <n v="46"/>
    <n v="23"/>
    <n v="3"/>
    <n v="0"/>
    <n v="0"/>
    <n v="0"/>
    <n v="0"/>
    <n v="0"/>
    <n v="41"/>
    <n v="15"/>
    <n v="2025"/>
    <x v="6"/>
    <x v="2"/>
    <x v="2"/>
  </r>
  <r>
    <x v="1"/>
    <x v="142"/>
    <x v="1"/>
    <x v="38"/>
    <n v="175"/>
    <n v="47"/>
    <n v="11"/>
    <n v="6"/>
    <n v="9440"/>
    <n v="3"/>
    <n v="6340"/>
    <n v="3"/>
    <n v="46"/>
    <n v="168"/>
    <n v="2025"/>
    <x v="6"/>
    <x v="2"/>
    <x v="2"/>
  </r>
  <r>
    <x v="1"/>
    <x v="142"/>
    <x v="1"/>
    <x v="64"/>
    <n v="366"/>
    <n v="224"/>
    <n v="14"/>
    <n v="2"/>
    <n v="15920"/>
    <n v="2"/>
    <n v="15920"/>
    <n v="2"/>
    <n v="50"/>
    <n v="364"/>
    <n v="2025"/>
    <x v="6"/>
    <x v="2"/>
    <x v="2"/>
  </r>
  <r>
    <x v="1"/>
    <x v="142"/>
    <x v="1"/>
    <x v="43"/>
    <n v="105"/>
    <n v="58"/>
    <n v="5"/>
    <n v="1"/>
    <n v="0"/>
    <n v="0"/>
    <n v="0"/>
    <n v="0"/>
    <n v="90"/>
    <n v="63"/>
    <n v="2025"/>
    <x v="6"/>
    <x v="2"/>
    <x v="2"/>
  </r>
  <r>
    <x v="1"/>
    <x v="142"/>
    <x v="1"/>
    <x v="44"/>
    <n v="62"/>
    <n v="5"/>
    <n v="0"/>
    <n v="0"/>
    <n v="0"/>
    <n v="0"/>
    <n v="0"/>
    <n v="0"/>
    <n v="0"/>
    <n v="62"/>
    <n v="2025"/>
    <x v="6"/>
    <x v="2"/>
    <x v="2"/>
  </r>
  <r>
    <x v="1"/>
    <x v="143"/>
    <x v="0"/>
    <x v="0"/>
    <n v="378"/>
    <n v="95"/>
    <n v="2"/>
    <n v="1"/>
    <n v="0"/>
    <n v="0"/>
    <n v="0"/>
    <n v="0"/>
    <n v="2"/>
    <n v="375"/>
    <n v="2025"/>
    <x v="6"/>
    <x v="2"/>
    <x v="2"/>
  </r>
  <r>
    <x v="1"/>
    <x v="143"/>
    <x v="0"/>
    <x v="1"/>
    <n v="44311"/>
    <n v="30679"/>
    <n v="119"/>
    <n v="84"/>
    <n v="170660"/>
    <n v="24"/>
    <n v="94105"/>
    <n v="17"/>
    <n v="1297"/>
    <n v="43950"/>
    <n v="2025"/>
    <x v="6"/>
    <x v="2"/>
    <x v="2"/>
  </r>
  <r>
    <x v="1"/>
    <x v="143"/>
    <x v="0"/>
    <x v="3"/>
    <n v="1932"/>
    <n v="1267"/>
    <n v="12"/>
    <n v="3"/>
    <n v="0"/>
    <n v="0"/>
    <n v="0"/>
    <n v="0"/>
    <n v="38"/>
    <n v="622"/>
    <n v="2025"/>
    <x v="6"/>
    <x v="2"/>
    <x v="2"/>
  </r>
  <r>
    <x v="1"/>
    <x v="143"/>
    <x v="1"/>
    <x v="5"/>
    <n v="39"/>
    <n v="21"/>
    <n v="0"/>
    <n v="0"/>
    <n v="0"/>
    <n v="0"/>
    <n v="0"/>
    <n v="0"/>
    <n v="0"/>
    <n v="39"/>
    <n v="2025"/>
    <x v="6"/>
    <x v="2"/>
    <x v="2"/>
  </r>
  <r>
    <x v="1"/>
    <x v="143"/>
    <x v="1"/>
    <x v="6"/>
    <n v="74"/>
    <n v="57"/>
    <n v="0"/>
    <n v="0"/>
    <n v="0"/>
    <n v="0"/>
    <n v="0"/>
    <n v="0"/>
    <n v="0"/>
    <n v="0"/>
    <n v="2025"/>
    <x v="6"/>
    <x v="2"/>
    <x v="2"/>
  </r>
  <r>
    <x v="1"/>
    <x v="143"/>
    <x v="1"/>
    <x v="7"/>
    <n v="224"/>
    <n v="62"/>
    <n v="21"/>
    <n v="4"/>
    <n v="141200"/>
    <n v="25"/>
    <n v="129525"/>
    <n v="23"/>
    <n v="71"/>
    <n v="214"/>
    <n v="2025"/>
    <x v="6"/>
    <x v="2"/>
    <x v="2"/>
  </r>
  <r>
    <x v="1"/>
    <x v="143"/>
    <x v="1"/>
    <x v="8"/>
    <n v="27"/>
    <n v="16"/>
    <n v="0"/>
    <n v="0"/>
    <n v="0"/>
    <n v="0"/>
    <n v="0"/>
    <n v="0"/>
    <n v="0"/>
    <n v="13"/>
    <n v="2025"/>
    <x v="6"/>
    <x v="2"/>
    <x v="2"/>
  </r>
  <r>
    <x v="1"/>
    <x v="143"/>
    <x v="1"/>
    <x v="10"/>
    <n v="2"/>
    <n v="0"/>
    <n v="0"/>
    <n v="0"/>
    <n v="0"/>
    <n v="0"/>
    <n v="0"/>
    <n v="0"/>
    <n v="1"/>
    <n v="1"/>
    <n v="2025"/>
    <x v="6"/>
    <x v="2"/>
    <x v="2"/>
  </r>
  <r>
    <x v="1"/>
    <x v="143"/>
    <x v="1"/>
    <x v="11"/>
    <n v="3"/>
    <n v="2"/>
    <n v="0"/>
    <n v="0"/>
    <n v="0"/>
    <n v="0"/>
    <n v="0"/>
    <n v="0"/>
    <n v="3"/>
    <n v="0"/>
    <n v="2025"/>
    <x v="6"/>
    <x v="2"/>
    <x v="2"/>
  </r>
  <r>
    <x v="1"/>
    <x v="143"/>
    <x v="1"/>
    <x v="59"/>
    <n v="2837"/>
    <n v="2170"/>
    <n v="10"/>
    <n v="2"/>
    <n v="52560"/>
    <n v="7"/>
    <n v="40570"/>
    <n v="5"/>
    <n v="76"/>
    <n v="272"/>
    <n v="2025"/>
    <x v="6"/>
    <x v="2"/>
    <x v="2"/>
  </r>
  <r>
    <x v="1"/>
    <x v="143"/>
    <x v="1"/>
    <x v="15"/>
    <n v="1"/>
    <n v="0"/>
    <n v="0"/>
    <n v="0"/>
    <n v="0"/>
    <n v="0"/>
    <n v="0"/>
    <n v="0"/>
    <n v="0"/>
    <n v="1"/>
    <n v="2025"/>
    <x v="6"/>
    <x v="2"/>
    <x v="2"/>
  </r>
  <r>
    <x v="1"/>
    <x v="143"/>
    <x v="1"/>
    <x v="17"/>
    <n v="166"/>
    <n v="62"/>
    <n v="0"/>
    <n v="0"/>
    <n v="0"/>
    <n v="0"/>
    <n v="0"/>
    <n v="0"/>
    <n v="1"/>
    <n v="165"/>
    <n v="2025"/>
    <x v="6"/>
    <x v="2"/>
    <x v="2"/>
  </r>
  <r>
    <x v="1"/>
    <x v="143"/>
    <x v="1"/>
    <x v="18"/>
    <n v="5"/>
    <n v="4"/>
    <n v="0"/>
    <n v="1"/>
    <n v="0"/>
    <n v="0"/>
    <n v="0"/>
    <n v="0"/>
    <n v="2"/>
    <n v="4"/>
    <n v="2025"/>
    <x v="6"/>
    <x v="2"/>
    <x v="2"/>
  </r>
  <r>
    <x v="1"/>
    <x v="143"/>
    <x v="1"/>
    <x v="19"/>
    <n v="1797"/>
    <n v="1149"/>
    <n v="36"/>
    <n v="6"/>
    <n v="90965"/>
    <n v="13"/>
    <n v="61515"/>
    <n v="11"/>
    <n v="266"/>
    <n v="605"/>
    <n v="2025"/>
    <x v="6"/>
    <x v="2"/>
    <x v="2"/>
  </r>
  <r>
    <x v="1"/>
    <x v="143"/>
    <x v="1"/>
    <x v="20"/>
    <n v="5"/>
    <n v="5"/>
    <n v="0"/>
    <n v="0"/>
    <n v="0"/>
    <n v="0"/>
    <n v="0"/>
    <n v="0"/>
    <n v="0"/>
    <n v="5"/>
    <n v="2025"/>
    <x v="6"/>
    <x v="2"/>
    <x v="2"/>
  </r>
  <r>
    <x v="1"/>
    <x v="143"/>
    <x v="1"/>
    <x v="50"/>
    <n v="2"/>
    <n v="1"/>
    <n v="1"/>
    <n v="0"/>
    <n v="2990"/>
    <n v="1"/>
    <n v="0"/>
    <n v="0"/>
    <n v="0"/>
    <n v="2"/>
    <n v="2025"/>
    <x v="6"/>
    <x v="2"/>
    <x v="2"/>
  </r>
  <r>
    <x v="1"/>
    <x v="143"/>
    <x v="1"/>
    <x v="24"/>
    <n v="13"/>
    <n v="9"/>
    <n v="1"/>
    <n v="0"/>
    <n v="0"/>
    <n v="0"/>
    <n v="0"/>
    <n v="0"/>
    <n v="7"/>
    <n v="9"/>
    <n v="2025"/>
    <x v="6"/>
    <x v="2"/>
    <x v="2"/>
  </r>
  <r>
    <x v="1"/>
    <x v="143"/>
    <x v="1"/>
    <x v="27"/>
    <n v="78"/>
    <n v="47"/>
    <n v="6"/>
    <n v="1"/>
    <n v="23525"/>
    <n v="4"/>
    <n v="23525"/>
    <n v="4"/>
    <n v="57"/>
    <n v="38"/>
    <n v="2025"/>
    <x v="6"/>
    <x v="2"/>
    <x v="2"/>
  </r>
  <r>
    <x v="1"/>
    <x v="143"/>
    <x v="1"/>
    <x v="29"/>
    <n v="957"/>
    <n v="835"/>
    <n v="23"/>
    <n v="4"/>
    <n v="11285"/>
    <n v="2"/>
    <n v="0"/>
    <n v="0"/>
    <n v="175"/>
    <n v="890"/>
    <n v="2025"/>
    <x v="6"/>
    <x v="2"/>
    <x v="2"/>
  </r>
  <r>
    <x v="1"/>
    <x v="143"/>
    <x v="1"/>
    <x v="30"/>
    <n v="2715"/>
    <n v="1550"/>
    <n v="53"/>
    <n v="8"/>
    <n v="65960"/>
    <n v="8"/>
    <n v="38620"/>
    <n v="6"/>
    <n v="208"/>
    <n v="2510"/>
    <n v="2025"/>
    <x v="6"/>
    <x v="2"/>
    <x v="2"/>
  </r>
  <r>
    <x v="1"/>
    <x v="143"/>
    <x v="1"/>
    <x v="31"/>
    <n v="80"/>
    <n v="49"/>
    <n v="4"/>
    <n v="2"/>
    <n v="8460"/>
    <n v="2"/>
    <n v="8460"/>
    <n v="2"/>
    <n v="13"/>
    <n v="77"/>
    <n v="2025"/>
    <x v="6"/>
    <x v="2"/>
    <x v="2"/>
  </r>
  <r>
    <x v="1"/>
    <x v="143"/>
    <x v="1"/>
    <x v="34"/>
    <n v="43"/>
    <n v="23"/>
    <n v="2"/>
    <n v="0"/>
    <n v="0"/>
    <n v="0"/>
    <n v="0"/>
    <n v="0"/>
    <n v="39"/>
    <n v="16"/>
    <n v="2025"/>
    <x v="6"/>
    <x v="2"/>
    <x v="2"/>
  </r>
  <r>
    <x v="1"/>
    <x v="143"/>
    <x v="1"/>
    <x v="35"/>
    <n v="1"/>
    <n v="0"/>
    <n v="0"/>
    <n v="0"/>
    <n v="0"/>
    <n v="0"/>
    <n v="0"/>
    <n v="0"/>
    <n v="0"/>
    <n v="1"/>
    <n v="2025"/>
    <x v="6"/>
    <x v="2"/>
    <x v="2"/>
  </r>
  <r>
    <x v="1"/>
    <x v="143"/>
    <x v="1"/>
    <x v="36"/>
    <n v="2"/>
    <n v="1"/>
    <n v="0"/>
    <n v="0"/>
    <n v="0"/>
    <n v="0"/>
    <n v="0"/>
    <n v="0"/>
    <n v="0"/>
    <n v="2"/>
    <n v="2025"/>
    <x v="6"/>
    <x v="2"/>
    <x v="2"/>
  </r>
  <r>
    <x v="1"/>
    <x v="143"/>
    <x v="1"/>
    <x v="38"/>
    <n v="165"/>
    <n v="56"/>
    <n v="13"/>
    <n v="4"/>
    <n v="55065"/>
    <n v="11"/>
    <n v="52075"/>
    <n v="10"/>
    <n v="47"/>
    <n v="157"/>
    <n v="2025"/>
    <x v="6"/>
    <x v="2"/>
    <x v="2"/>
  </r>
  <r>
    <x v="1"/>
    <x v="143"/>
    <x v="1"/>
    <x v="60"/>
    <n v="1"/>
    <n v="1"/>
    <n v="0"/>
    <n v="0"/>
    <n v="0"/>
    <n v="0"/>
    <n v="0"/>
    <n v="0"/>
    <n v="0"/>
    <n v="1"/>
    <n v="2025"/>
    <x v="6"/>
    <x v="2"/>
    <x v="2"/>
  </r>
  <r>
    <x v="1"/>
    <x v="143"/>
    <x v="1"/>
    <x v="64"/>
    <n v="361"/>
    <n v="233"/>
    <n v="13"/>
    <n v="1"/>
    <n v="13270"/>
    <n v="2"/>
    <n v="13270"/>
    <n v="2"/>
    <n v="58"/>
    <n v="354"/>
    <n v="2025"/>
    <x v="6"/>
    <x v="2"/>
    <x v="2"/>
  </r>
  <r>
    <x v="1"/>
    <x v="143"/>
    <x v="1"/>
    <x v="43"/>
    <n v="95"/>
    <n v="61"/>
    <n v="2"/>
    <n v="0"/>
    <n v="7980"/>
    <n v="1"/>
    <n v="3990"/>
    <n v="1"/>
    <n v="80"/>
    <n v="54"/>
    <n v="2025"/>
    <x v="6"/>
    <x v="2"/>
    <x v="2"/>
  </r>
  <r>
    <x v="1"/>
    <x v="143"/>
    <x v="1"/>
    <x v="44"/>
    <n v="74"/>
    <n v="21"/>
    <n v="2"/>
    <n v="0"/>
    <n v="11070"/>
    <n v="2"/>
    <n v="11070"/>
    <n v="2"/>
    <n v="0"/>
    <n v="74"/>
    <n v="2025"/>
    <x v="6"/>
    <x v="2"/>
    <x v="2"/>
  </r>
  <r>
    <x v="1"/>
    <x v="144"/>
    <x v="0"/>
    <x v="0"/>
    <n v="314"/>
    <n v="117"/>
    <n v="3"/>
    <n v="1"/>
    <n v="6745"/>
    <n v="2"/>
    <n v="6745"/>
    <n v="2"/>
    <n v="2"/>
    <n v="314"/>
    <n v="2025"/>
    <x v="6"/>
    <x v="2"/>
    <x v="2"/>
  </r>
  <r>
    <x v="1"/>
    <x v="144"/>
    <x v="0"/>
    <x v="1"/>
    <n v="44678"/>
    <n v="30596"/>
    <n v="184"/>
    <n v="91"/>
    <n v="110259.39"/>
    <n v="22"/>
    <n v="80589.39"/>
    <n v="18"/>
    <n v="1606"/>
    <n v="44227"/>
    <n v="2025"/>
    <x v="6"/>
    <x v="2"/>
    <x v="2"/>
  </r>
  <r>
    <x v="1"/>
    <x v="144"/>
    <x v="0"/>
    <x v="2"/>
    <n v="1"/>
    <n v="1"/>
    <n v="0"/>
    <n v="0"/>
    <n v="0"/>
    <n v="0"/>
    <n v="0"/>
    <n v="0"/>
    <n v="1"/>
    <n v="0"/>
    <n v="2025"/>
    <x v="6"/>
    <x v="2"/>
    <x v="2"/>
  </r>
  <r>
    <x v="1"/>
    <x v="144"/>
    <x v="0"/>
    <x v="3"/>
    <n v="1739"/>
    <n v="1139"/>
    <n v="8"/>
    <n v="3"/>
    <n v="0"/>
    <n v="0"/>
    <n v="0"/>
    <n v="0"/>
    <n v="46"/>
    <n v="504"/>
    <n v="2025"/>
    <x v="6"/>
    <x v="2"/>
    <x v="2"/>
  </r>
  <r>
    <x v="1"/>
    <x v="144"/>
    <x v="1"/>
    <x v="5"/>
    <n v="30"/>
    <n v="17"/>
    <n v="0"/>
    <n v="0"/>
    <n v="0"/>
    <n v="0"/>
    <n v="0"/>
    <n v="0"/>
    <n v="1"/>
    <n v="30"/>
    <n v="2025"/>
    <x v="6"/>
    <x v="2"/>
    <x v="2"/>
  </r>
  <r>
    <x v="1"/>
    <x v="144"/>
    <x v="1"/>
    <x v="6"/>
    <n v="142"/>
    <n v="122"/>
    <n v="0"/>
    <n v="0"/>
    <n v="0"/>
    <n v="0"/>
    <n v="0"/>
    <n v="0"/>
    <n v="0"/>
    <n v="0"/>
    <n v="2025"/>
    <x v="6"/>
    <x v="2"/>
    <x v="2"/>
  </r>
  <r>
    <x v="1"/>
    <x v="144"/>
    <x v="1"/>
    <x v="7"/>
    <n v="211"/>
    <n v="66"/>
    <n v="22"/>
    <n v="1"/>
    <n v="152900"/>
    <n v="33"/>
    <n v="141335"/>
    <n v="32"/>
    <n v="70"/>
    <n v="201"/>
    <n v="2025"/>
    <x v="6"/>
    <x v="2"/>
    <x v="2"/>
  </r>
  <r>
    <x v="1"/>
    <x v="144"/>
    <x v="1"/>
    <x v="8"/>
    <n v="21"/>
    <n v="13"/>
    <n v="0"/>
    <n v="0"/>
    <n v="0"/>
    <n v="0"/>
    <n v="0"/>
    <n v="0"/>
    <n v="0"/>
    <n v="10"/>
    <n v="2025"/>
    <x v="6"/>
    <x v="2"/>
    <x v="2"/>
  </r>
  <r>
    <x v="1"/>
    <x v="144"/>
    <x v="1"/>
    <x v="10"/>
    <n v="5"/>
    <n v="1"/>
    <n v="0"/>
    <n v="0"/>
    <n v="0"/>
    <n v="0"/>
    <n v="0"/>
    <n v="0"/>
    <n v="1"/>
    <n v="3"/>
    <n v="2025"/>
    <x v="6"/>
    <x v="2"/>
    <x v="2"/>
  </r>
  <r>
    <x v="1"/>
    <x v="144"/>
    <x v="1"/>
    <x v="11"/>
    <n v="22"/>
    <n v="22"/>
    <n v="0"/>
    <n v="0"/>
    <n v="0"/>
    <n v="0"/>
    <n v="0"/>
    <n v="0"/>
    <n v="22"/>
    <n v="0"/>
    <n v="2025"/>
    <x v="6"/>
    <x v="2"/>
    <x v="2"/>
  </r>
  <r>
    <x v="1"/>
    <x v="144"/>
    <x v="1"/>
    <x v="59"/>
    <n v="3983"/>
    <n v="3632"/>
    <n v="9"/>
    <n v="2"/>
    <n v="38177.35"/>
    <n v="5"/>
    <n v="21227.35"/>
    <n v="4"/>
    <n v="85"/>
    <n v="305"/>
    <n v="2025"/>
    <x v="6"/>
    <x v="2"/>
    <x v="2"/>
  </r>
  <r>
    <x v="1"/>
    <x v="144"/>
    <x v="1"/>
    <x v="15"/>
    <n v="1"/>
    <n v="1"/>
    <n v="1"/>
    <n v="0"/>
    <n v="0"/>
    <n v="0"/>
    <n v="0"/>
    <n v="0"/>
    <n v="1"/>
    <n v="1"/>
    <n v="2025"/>
    <x v="6"/>
    <x v="2"/>
    <x v="2"/>
  </r>
  <r>
    <x v="1"/>
    <x v="144"/>
    <x v="1"/>
    <x v="17"/>
    <n v="76"/>
    <n v="36"/>
    <n v="1"/>
    <n v="0"/>
    <n v="0"/>
    <n v="0"/>
    <n v="0"/>
    <n v="0"/>
    <n v="2"/>
    <n v="74"/>
    <n v="2025"/>
    <x v="6"/>
    <x v="2"/>
    <x v="2"/>
  </r>
  <r>
    <x v="1"/>
    <x v="144"/>
    <x v="1"/>
    <x v="18"/>
    <n v="4"/>
    <n v="4"/>
    <n v="0"/>
    <n v="0"/>
    <n v="6990"/>
    <n v="1"/>
    <n v="6990"/>
    <n v="1"/>
    <n v="1"/>
    <n v="4"/>
    <n v="2025"/>
    <x v="6"/>
    <x v="2"/>
    <x v="2"/>
  </r>
  <r>
    <x v="1"/>
    <x v="144"/>
    <x v="1"/>
    <x v="19"/>
    <n v="1603"/>
    <n v="889"/>
    <n v="62"/>
    <n v="6"/>
    <n v="95462.35"/>
    <n v="13"/>
    <n v="52847.35"/>
    <n v="11"/>
    <n v="470"/>
    <n v="624"/>
    <n v="2025"/>
    <x v="6"/>
    <x v="2"/>
    <x v="2"/>
  </r>
  <r>
    <x v="1"/>
    <x v="144"/>
    <x v="1"/>
    <x v="20"/>
    <n v="27"/>
    <n v="16"/>
    <n v="1"/>
    <n v="0"/>
    <n v="0"/>
    <n v="0"/>
    <n v="0"/>
    <n v="0"/>
    <n v="3"/>
    <n v="27"/>
    <n v="2025"/>
    <x v="6"/>
    <x v="2"/>
    <x v="2"/>
  </r>
  <r>
    <x v="1"/>
    <x v="144"/>
    <x v="1"/>
    <x v="50"/>
    <n v="1"/>
    <n v="0"/>
    <n v="0"/>
    <n v="0"/>
    <n v="0"/>
    <n v="0"/>
    <n v="0"/>
    <n v="0"/>
    <n v="0"/>
    <n v="1"/>
    <n v="2025"/>
    <x v="6"/>
    <x v="2"/>
    <x v="2"/>
  </r>
  <r>
    <x v="1"/>
    <x v="144"/>
    <x v="1"/>
    <x v="24"/>
    <n v="13"/>
    <n v="8"/>
    <n v="2"/>
    <n v="0"/>
    <n v="0"/>
    <n v="0"/>
    <n v="0"/>
    <n v="0"/>
    <n v="6"/>
    <n v="9"/>
    <n v="2025"/>
    <x v="6"/>
    <x v="2"/>
    <x v="2"/>
  </r>
  <r>
    <x v="1"/>
    <x v="144"/>
    <x v="1"/>
    <x v="27"/>
    <n v="136"/>
    <n v="69"/>
    <n v="6"/>
    <n v="0"/>
    <n v="4980"/>
    <n v="2"/>
    <n v="4980"/>
    <n v="2"/>
    <n v="114"/>
    <n v="50"/>
    <n v="2025"/>
    <x v="6"/>
    <x v="2"/>
    <x v="2"/>
  </r>
  <r>
    <x v="1"/>
    <x v="144"/>
    <x v="1"/>
    <x v="29"/>
    <n v="874"/>
    <n v="768"/>
    <n v="22"/>
    <n v="6"/>
    <n v="68885"/>
    <n v="5"/>
    <n v="28155"/>
    <n v="4"/>
    <n v="144"/>
    <n v="825"/>
    <n v="2025"/>
    <x v="6"/>
    <x v="2"/>
    <x v="2"/>
  </r>
  <r>
    <x v="1"/>
    <x v="144"/>
    <x v="1"/>
    <x v="30"/>
    <n v="1712"/>
    <n v="950"/>
    <n v="18"/>
    <n v="13"/>
    <n v="27944.39"/>
    <n v="6"/>
    <n v="23954.39"/>
    <n v="6"/>
    <n v="153"/>
    <n v="1608"/>
    <n v="2025"/>
    <x v="6"/>
    <x v="2"/>
    <x v="2"/>
  </r>
  <r>
    <x v="1"/>
    <x v="144"/>
    <x v="1"/>
    <x v="31"/>
    <n v="82"/>
    <n v="55"/>
    <n v="5"/>
    <n v="1"/>
    <n v="16950"/>
    <n v="1"/>
    <n v="0"/>
    <n v="0"/>
    <n v="10"/>
    <n v="82"/>
    <n v="2025"/>
    <x v="6"/>
    <x v="2"/>
    <x v="2"/>
  </r>
  <r>
    <x v="1"/>
    <x v="144"/>
    <x v="1"/>
    <x v="34"/>
    <n v="55"/>
    <n v="31"/>
    <n v="3"/>
    <n v="0"/>
    <n v="5467.65"/>
    <n v="2"/>
    <n v="5467.65"/>
    <n v="2"/>
    <n v="50"/>
    <n v="21"/>
    <n v="2025"/>
    <x v="6"/>
    <x v="2"/>
    <x v="2"/>
  </r>
  <r>
    <x v="1"/>
    <x v="144"/>
    <x v="1"/>
    <x v="38"/>
    <n v="158"/>
    <n v="64"/>
    <n v="12"/>
    <n v="7"/>
    <n v="25321"/>
    <n v="7"/>
    <n v="20626"/>
    <n v="6"/>
    <n v="34"/>
    <n v="149"/>
    <n v="2025"/>
    <x v="6"/>
    <x v="2"/>
    <x v="2"/>
  </r>
  <r>
    <x v="1"/>
    <x v="144"/>
    <x v="1"/>
    <x v="65"/>
    <n v="1"/>
    <n v="1"/>
    <n v="0"/>
    <n v="0"/>
    <n v="0"/>
    <n v="0"/>
    <n v="0"/>
    <n v="0"/>
    <n v="0"/>
    <n v="1"/>
    <n v="2025"/>
    <x v="6"/>
    <x v="2"/>
    <x v="2"/>
  </r>
  <r>
    <x v="1"/>
    <x v="144"/>
    <x v="1"/>
    <x v="60"/>
    <n v="1"/>
    <n v="1"/>
    <n v="0"/>
    <n v="0"/>
    <n v="0"/>
    <n v="0"/>
    <n v="0"/>
    <n v="0"/>
    <n v="0"/>
    <n v="1"/>
    <n v="2025"/>
    <x v="6"/>
    <x v="2"/>
    <x v="2"/>
  </r>
  <r>
    <x v="1"/>
    <x v="144"/>
    <x v="1"/>
    <x v="64"/>
    <n v="346"/>
    <n v="230"/>
    <n v="14"/>
    <n v="2"/>
    <n v="13055"/>
    <n v="4"/>
    <n v="13055"/>
    <n v="4"/>
    <n v="54"/>
    <n v="339"/>
    <n v="2025"/>
    <x v="6"/>
    <x v="2"/>
    <x v="2"/>
  </r>
  <r>
    <x v="1"/>
    <x v="144"/>
    <x v="1"/>
    <x v="43"/>
    <n v="103"/>
    <n v="63"/>
    <n v="4"/>
    <n v="0"/>
    <n v="0"/>
    <n v="0"/>
    <n v="0"/>
    <n v="0"/>
    <n v="90"/>
    <n v="51"/>
    <n v="2025"/>
    <x v="6"/>
    <x v="2"/>
    <x v="2"/>
  </r>
  <r>
    <x v="1"/>
    <x v="144"/>
    <x v="1"/>
    <x v="44"/>
    <n v="60"/>
    <n v="12"/>
    <n v="0"/>
    <n v="0"/>
    <n v="13140"/>
    <n v="3"/>
    <n v="13140"/>
    <n v="3"/>
    <n v="0"/>
    <n v="60"/>
    <n v="2025"/>
    <x v="6"/>
    <x v="2"/>
    <x v="2"/>
  </r>
  <r>
    <x v="1"/>
    <x v="145"/>
    <x v="0"/>
    <x v="0"/>
    <n v="207"/>
    <n v="69"/>
    <n v="0"/>
    <n v="0"/>
    <n v="0"/>
    <n v="0"/>
    <n v="0"/>
    <n v="0"/>
    <n v="11"/>
    <n v="203"/>
    <n v="2024"/>
    <x v="7"/>
    <x v="0"/>
    <x v="0"/>
  </r>
  <r>
    <x v="1"/>
    <x v="145"/>
    <x v="0"/>
    <x v="1"/>
    <n v="8019"/>
    <n v="4597"/>
    <n v="163"/>
    <n v="119"/>
    <n v="75607"/>
    <n v="15"/>
    <n v="27087"/>
    <n v="7"/>
    <n v="601"/>
    <n v="7990"/>
    <n v="2024"/>
    <x v="7"/>
    <x v="0"/>
    <x v="0"/>
  </r>
  <r>
    <x v="1"/>
    <x v="145"/>
    <x v="0"/>
    <x v="2"/>
    <n v="555"/>
    <n v="462"/>
    <n v="16"/>
    <n v="4"/>
    <n v="4695"/>
    <n v="1"/>
    <n v="4695"/>
    <n v="1"/>
    <n v="555"/>
    <n v="310"/>
    <n v="2024"/>
    <x v="7"/>
    <x v="0"/>
    <x v="0"/>
  </r>
  <r>
    <x v="1"/>
    <x v="145"/>
    <x v="0"/>
    <x v="3"/>
    <n v="108"/>
    <n v="79"/>
    <n v="3"/>
    <n v="3"/>
    <n v="0"/>
    <n v="0"/>
    <n v="0"/>
    <n v="0"/>
    <n v="4"/>
    <n v="81"/>
    <n v="2024"/>
    <x v="7"/>
    <x v="0"/>
    <x v="0"/>
  </r>
  <r>
    <x v="1"/>
    <x v="145"/>
    <x v="1"/>
    <x v="5"/>
    <n v="2"/>
    <n v="1"/>
    <n v="0"/>
    <n v="0"/>
    <n v="0"/>
    <n v="0"/>
    <n v="0"/>
    <n v="0"/>
    <n v="0"/>
    <n v="2"/>
    <n v="2024"/>
    <x v="7"/>
    <x v="0"/>
    <x v="0"/>
  </r>
  <r>
    <x v="1"/>
    <x v="145"/>
    <x v="1"/>
    <x v="7"/>
    <n v="283"/>
    <n v="58"/>
    <n v="11"/>
    <n v="1"/>
    <n v="11860"/>
    <n v="2"/>
    <n v="11860"/>
    <n v="2"/>
    <n v="54"/>
    <n v="275"/>
    <n v="2024"/>
    <x v="7"/>
    <x v="0"/>
    <x v="0"/>
  </r>
  <r>
    <x v="1"/>
    <x v="145"/>
    <x v="1"/>
    <x v="8"/>
    <n v="5"/>
    <n v="0"/>
    <n v="0"/>
    <n v="0"/>
    <n v="0"/>
    <n v="0"/>
    <n v="0"/>
    <n v="0"/>
    <n v="0"/>
    <n v="5"/>
    <n v="2024"/>
    <x v="7"/>
    <x v="0"/>
    <x v="0"/>
  </r>
  <r>
    <x v="1"/>
    <x v="145"/>
    <x v="1"/>
    <x v="9"/>
    <n v="5"/>
    <n v="2"/>
    <n v="0"/>
    <n v="0"/>
    <n v="0"/>
    <n v="0"/>
    <n v="0"/>
    <n v="0"/>
    <n v="0"/>
    <n v="5"/>
    <n v="2024"/>
    <x v="7"/>
    <x v="0"/>
    <x v="0"/>
  </r>
  <r>
    <x v="1"/>
    <x v="145"/>
    <x v="1"/>
    <x v="10"/>
    <n v="8"/>
    <n v="2"/>
    <n v="1"/>
    <n v="0"/>
    <n v="17500"/>
    <n v="1"/>
    <n v="17500"/>
    <n v="1"/>
    <n v="1"/>
    <n v="8"/>
    <n v="2024"/>
    <x v="7"/>
    <x v="0"/>
    <x v="0"/>
  </r>
  <r>
    <x v="1"/>
    <x v="145"/>
    <x v="1"/>
    <x v="11"/>
    <n v="1"/>
    <n v="1"/>
    <n v="0"/>
    <n v="0"/>
    <n v="0"/>
    <n v="0"/>
    <n v="0"/>
    <n v="0"/>
    <n v="0"/>
    <n v="1"/>
    <n v="2024"/>
    <x v="7"/>
    <x v="0"/>
    <x v="0"/>
  </r>
  <r>
    <x v="1"/>
    <x v="145"/>
    <x v="1"/>
    <x v="59"/>
    <n v="254"/>
    <n v="100"/>
    <n v="7"/>
    <n v="2"/>
    <n v="0"/>
    <n v="0"/>
    <n v="0"/>
    <n v="0"/>
    <n v="47"/>
    <n v="228"/>
    <n v="2024"/>
    <x v="7"/>
    <x v="0"/>
    <x v="0"/>
  </r>
  <r>
    <x v="1"/>
    <x v="145"/>
    <x v="1"/>
    <x v="15"/>
    <n v="12"/>
    <n v="12"/>
    <n v="0"/>
    <n v="0"/>
    <n v="0"/>
    <n v="0"/>
    <n v="0"/>
    <n v="0"/>
    <n v="0"/>
    <n v="12"/>
    <n v="2024"/>
    <x v="7"/>
    <x v="0"/>
    <x v="0"/>
  </r>
  <r>
    <x v="1"/>
    <x v="145"/>
    <x v="1"/>
    <x v="17"/>
    <n v="3"/>
    <n v="3"/>
    <n v="0"/>
    <n v="0"/>
    <n v="0"/>
    <n v="0"/>
    <n v="0"/>
    <n v="0"/>
    <n v="0"/>
    <n v="3"/>
    <n v="2024"/>
    <x v="7"/>
    <x v="0"/>
    <x v="0"/>
  </r>
  <r>
    <x v="1"/>
    <x v="145"/>
    <x v="1"/>
    <x v="18"/>
    <n v="3"/>
    <n v="2"/>
    <n v="0"/>
    <n v="0"/>
    <n v="0"/>
    <n v="0"/>
    <n v="0"/>
    <n v="0"/>
    <n v="1"/>
    <n v="3"/>
    <n v="2024"/>
    <x v="7"/>
    <x v="0"/>
    <x v="0"/>
  </r>
  <r>
    <x v="1"/>
    <x v="145"/>
    <x v="1"/>
    <x v="19"/>
    <n v="953"/>
    <n v="464"/>
    <n v="26"/>
    <n v="3"/>
    <n v="24432"/>
    <n v="6"/>
    <n v="24432"/>
    <n v="6"/>
    <n v="229"/>
    <n v="871"/>
    <n v="2024"/>
    <x v="7"/>
    <x v="0"/>
    <x v="0"/>
  </r>
  <r>
    <x v="1"/>
    <x v="145"/>
    <x v="1"/>
    <x v="20"/>
    <n v="11"/>
    <n v="9"/>
    <n v="0"/>
    <n v="0"/>
    <n v="0"/>
    <n v="0"/>
    <n v="0"/>
    <n v="0"/>
    <n v="2"/>
    <n v="9"/>
    <n v="2024"/>
    <x v="7"/>
    <x v="0"/>
    <x v="0"/>
  </r>
  <r>
    <x v="1"/>
    <x v="145"/>
    <x v="1"/>
    <x v="21"/>
    <n v="6"/>
    <n v="4"/>
    <n v="0"/>
    <n v="0"/>
    <n v="0"/>
    <n v="0"/>
    <n v="0"/>
    <n v="0"/>
    <n v="1"/>
    <n v="6"/>
    <n v="2024"/>
    <x v="7"/>
    <x v="0"/>
    <x v="0"/>
  </r>
  <r>
    <x v="1"/>
    <x v="145"/>
    <x v="1"/>
    <x v="22"/>
    <n v="16"/>
    <n v="3"/>
    <n v="1"/>
    <n v="0"/>
    <n v="0"/>
    <n v="0"/>
    <n v="0"/>
    <n v="0"/>
    <n v="1"/>
    <n v="16"/>
    <n v="2024"/>
    <x v="7"/>
    <x v="0"/>
    <x v="0"/>
  </r>
  <r>
    <x v="1"/>
    <x v="145"/>
    <x v="1"/>
    <x v="24"/>
    <n v="27"/>
    <n v="8"/>
    <n v="1"/>
    <n v="0"/>
    <n v="0"/>
    <n v="0"/>
    <n v="0"/>
    <n v="0"/>
    <n v="6"/>
    <n v="24"/>
    <n v="2024"/>
    <x v="7"/>
    <x v="0"/>
    <x v="0"/>
  </r>
  <r>
    <x v="1"/>
    <x v="145"/>
    <x v="1"/>
    <x v="27"/>
    <n v="163"/>
    <n v="75"/>
    <n v="10"/>
    <n v="6"/>
    <n v="38180"/>
    <n v="6"/>
    <n v="35185"/>
    <n v="5"/>
    <n v="38"/>
    <n v="154"/>
    <n v="2024"/>
    <x v="7"/>
    <x v="0"/>
    <x v="0"/>
  </r>
  <r>
    <x v="1"/>
    <x v="145"/>
    <x v="1"/>
    <x v="29"/>
    <n v="1074"/>
    <n v="845"/>
    <n v="24"/>
    <n v="13"/>
    <n v="15045"/>
    <n v="2"/>
    <n v="4095"/>
    <n v="1"/>
    <n v="269"/>
    <n v="949"/>
    <n v="2024"/>
    <x v="7"/>
    <x v="0"/>
    <x v="0"/>
  </r>
  <r>
    <x v="1"/>
    <x v="145"/>
    <x v="1"/>
    <x v="30"/>
    <n v="3297"/>
    <n v="1464"/>
    <n v="50"/>
    <n v="30"/>
    <n v="19180"/>
    <n v="2"/>
    <n v="17500"/>
    <n v="1"/>
    <n v="226"/>
    <n v="3260"/>
    <n v="2024"/>
    <x v="7"/>
    <x v="0"/>
    <x v="0"/>
  </r>
  <r>
    <x v="1"/>
    <x v="145"/>
    <x v="1"/>
    <x v="31"/>
    <n v="127"/>
    <n v="88"/>
    <n v="3"/>
    <n v="2"/>
    <n v="0"/>
    <n v="0"/>
    <n v="0"/>
    <n v="0"/>
    <n v="21"/>
    <n v="124"/>
    <n v="2024"/>
    <x v="7"/>
    <x v="0"/>
    <x v="0"/>
  </r>
  <r>
    <x v="1"/>
    <x v="145"/>
    <x v="1"/>
    <x v="32"/>
    <n v="5"/>
    <n v="2"/>
    <n v="0"/>
    <n v="0"/>
    <n v="0"/>
    <n v="0"/>
    <n v="0"/>
    <n v="0"/>
    <n v="1"/>
    <n v="5"/>
    <n v="2024"/>
    <x v="7"/>
    <x v="0"/>
    <x v="0"/>
  </r>
  <r>
    <x v="1"/>
    <x v="145"/>
    <x v="1"/>
    <x v="34"/>
    <n v="161"/>
    <n v="73"/>
    <n v="2"/>
    <n v="4"/>
    <n v="0"/>
    <n v="0"/>
    <n v="0"/>
    <n v="0"/>
    <n v="35"/>
    <n v="146"/>
    <n v="2024"/>
    <x v="7"/>
    <x v="0"/>
    <x v="0"/>
  </r>
  <r>
    <x v="1"/>
    <x v="145"/>
    <x v="1"/>
    <x v="35"/>
    <n v="1"/>
    <n v="0"/>
    <n v="0"/>
    <n v="0"/>
    <n v="0"/>
    <n v="0"/>
    <n v="0"/>
    <n v="0"/>
    <n v="0"/>
    <n v="1"/>
    <n v="2024"/>
    <x v="7"/>
    <x v="0"/>
    <x v="0"/>
  </r>
  <r>
    <x v="1"/>
    <x v="145"/>
    <x v="1"/>
    <x v="36"/>
    <n v="3"/>
    <n v="3"/>
    <n v="0"/>
    <n v="0"/>
    <n v="0"/>
    <n v="0"/>
    <n v="0"/>
    <n v="0"/>
    <n v="1"/>
    <n v="2"/>
    <n v="2024"/>
    <x v="7"/>
    <x v="0"/>
    <x v="0"/>
  </r>
  <r>
    <x v="1"/>
    <x v="145"/>
    <x v="1"/>
    <x v="38"/>
    <n v="319"/>
    <n v="50"/>
    <n v="10"/>
    <n v="3"/>
    <n v="16800"/>
    <n v="6"/>
    <n v="14810"/>
    <n v="5"/>
    <n v="67"/>
    <n v="308"/>
    <n v="2024"/>
    <x v="7"/>
    <x v="0"/>
    <x v="0"/>
  </r>
  <r>
    <x v="1"/>
    <x v="145"/>
    <x v="1"/>
    <x v="39"/>
    <n v="5"/>
    <n v="5"/>
    <n v="0"/>
    <n v="1"/>
    <n v="0"/>
    <n v="0"/>
    <n v="0"/>
    <n v="0"/>
    <n v="0"/>
    <n v="5"/>
    <n v="2024"/>
    <x v="7"/>
    <x v="0"/>
    <x v="0"/>
  </r>
  <r>
    <x v="1"/>
    <x v="145"/>
    <x v="1"/>
    <x v="41"/>
    <n v="2"/>
    <n v="1"/>
    <n v="0"/>
    <n v="0"/>
    <n v="0"/>
    <n v="0"/>
    <n v="0"/>
    <n v="0"/>
    <n v="0"/>
    <n v="2"/>
    <n v="2024"/>
    <x v="7"/>
    <x v="0"/>
    <x v="0"/>
  </r>
  <r>
    <x v="1"/>
    <x v="145"/>
    <x v="1"/>
    <x v="43"/>
    <n v="84"/>
    <n v="25"/>
    <n v="2"/>
    <n v="2"/>
    <n v="0"/>
    <n v="0"/>
    <n v="0"/>
    <n v="0"/>
    <n v="59"/>
    <n v="56"/>
    <n v="2024"/>
    <x v="7"/>
    <x v="0"/>
    <x v="0"/>
  </r>
  <r>
    <x v="1"/>
    <x v="145"/>
    <x v="1"/>
    <x v="44"/>
    <n v="9"/>
    <n v="0"/>
    <n v="0"/>
    <n v="0"/>
    <n v="0"/>
    <n v="0"/>
    <n v="0"/>
    <n v="0"/>
    <n v="0"/>
    <n v="9"/>
    <n v="2024"/>
    <x v="7"/>
    <x v="0"/>
    <x v="0"/>
  </r>
  <r>
    <x v="1"/>
    <x v="146"/>
    <x v="0"/>
    <x v="0"/>
    <n v="194"/>
    <n v="65"/>
    <n v="3"/>
    <n v="1"/>
    <n v="0"/>
    <n v="0"/>
    <n v="0"/>
    <n v="0"/>
    <n v="15"/>
    <n v="191"/>
    <n v="2024"/>
    <x v="7"/>
    <x v="0"/>
    <x v="0"/>
  </r>
  <r>
    <x v="1"/>
    <x v="146"/>
    <x v="0"/>
    <x v="1"/>
    <n v="7985"/>
    <n v="4686"/>
    <n v="189"/>
    <n v="93"/>
    <n v="183743"/>
    <n v="18"/>
    <n v="87570"/>
    <n v="12"/>
    <n v="556"/>
    <n v="7951"/>
    <n v="2024"/>
    <x v="7"/>
    <x v="0"/>
    <x v="0"/>
  </r>
  <r>
    <x v="1"/>
    <x v="146"/>
    <x v="0"/>
    <x v="2"/>
    <n v="612"/>
    <n v="508"/>
    <n v="8"/>
    <n v="2"/>
    <n v="9950"/>
    <n v="2"/>
    <n v="9950"/>
    <n v="2"/>
    <n v="612"/>
    <n v="327"/>
    <n v="2024"/>
    <x v="7"/>
    <x v="0"/>
    <x v="0"/>
  </r>
  <r>
    <x v="1"/>
    <x v="146"/>
    <x v="0"/>
    <x v="3"/>
    <n v="56"/>
    <n v="38"/>
    <n v="9"/>
    <n v="1"/>
    <n v="0"/>
    <n v="0"/>
    <n v="0"/>
    <n v="0"/>
    <n v="2"/>
    <n v="49"/>
    <n v="2024"/>
    <x v="7"/>
    <x v="0"/>
    <x v="0"/>
  </r>
  <r>
    <x v="1"/>
    <x v="146"/>
    <x v="1"/>
    <x v="5"/>
    <n v="5"/>
    <n v="3"/>
    <n v="0"/>
    <n v="0"/>
    <n v="0"/>
    <n v="0"/>
    <n v="0"/>
    <n v="0"/>
    <n v="0"/>
    <n v="5"/>
    <n v="2024"/>
    <x v="7"/>
    <x v="0"/>
    <x v="0"/>
  </r>
  <r>
    <x v="1"/>
    <x v="146"/>
    <x v="1"/>
    <x v="6"/>
    <n v="1"/>
    <n v="1"/>
    <n v="0"/>
    <n v="0"/>
    <n v="0"/>
    <n v="0"/>
    <n v="0"/>
    <n v="0"/>
    <n v="0"/>
    <n v="0"/>
    <n v="2024"/>
    <x v="7"/>
    <x v="0"/>
    <x v="0"/>
  </r>
  <r>
    <x v="1"/>
    <x v="146"/>
    <x v="1"/>
    <x v="7"/>
    <n v="382"/>
    <n v="68"/>
    <n v="17"/>
    <n v="3"/>
    <n v="96202"/>
    <n v="13"/>
    <n v="84702"/>
    <n v="13"/>
    <n v="78"/>
    <n v="368"/>
    <n v="2024"/>
    <x v="7"/>
    <x v="0"/>
    <x v="0"/>
  </r>
  <r>
    <x v="1"/>
    <x v="146"/>
    <x v="1"/>
    <x v="8"/>
    <n v="2"/>
    <n v="0"/>
    <n v="0"/>
    <n v="0"/>
    <n v="0"/>
    <n v="0"/>
    <n v="0"/>
    <n v="0"/>
    <n v="0"/>
    <n v="2"/>
    <n v="2024"/>
    <x v="7"/>
    <x v="0"/>
    <x v="0"/>
  </r>
  <r>
    <x v="1"/>
    <x v="146"/>
    <x v="1"/>
    <x v="9"/>
    <n v="4"/>
    <n v="0"/>
    <n v="0"/>
    <n v="0"/>
    <n v="0"/>
    <n v="0"/>
    <n v="0"/>
    <n v="0"/>
    <n v="0"/>
    <n v="4"/>
    <n v="2024"/>
    <x v="7"/>
    <x v="0"/>
    <x v="0"/>
  </r>
  <r>
    <x v="1"/>
    <x v="146"/>
    <x v="1"/>
    <x v="10"/>
    <n v="13"/>
    <n v="7"/>
    <n v="3"/>
    <n v="0"/>
    <n v="0"/>
    <n v="0"/>
    <n v="0"/>
    <n v="0"/>
    <n v="5"/>
    <n v="12"/>
    <n v="2024"/>
    <x v="7"/>
    <x v="0"/>
    <x v="0"/>
  </r>
  <r>
    <x v="1"/>
    <x v="146"/>
    <x v="1"/>
    <x v="11"/>
    <n v="1"/>
    <n v="1"/>
    <n v="0"/>
    <n v="0"/>
    <n v="0"/>
    <n v="0"/>
    <n v="0"/>
    <n v="0"/>
    <n v="1"/>
    <n v="0"/>
    <n v="2024"/>
    <x v="7"/>
    <x v="0"/>
    <x v="0"/>
  </r>
  <r>
    <x v="1"/>
    <x v="146"/>
    <x v="1"/>
    <x v="59"/>
    <n v="312"/>
    <n v="136"/>
    <n v="6"/>
    <n v="1"/>
    <n v="1980"/>
    <n v="1"/>
    <n v="1980"/>
    <n v="1"/>
    <n v="72"/>
    <n v="271"/>
    <n v="2024"/>
    <x v="7"/>
    <x v="0"/>
    <x v="0"/>
  </r>
  <r>
    <x v="1"/>
    <x v="146"/>
    <x v="1"/>
    <x v="15"/>
    <n v="12"/>
    <n v="8"/>
    <n v="0"/>
    <n v="0"/>
    <n v="0"/>
    <n v="0"/>
    <n v="0"/>
    <n v="0"/>
    <n v="0"/>
    <n v="12"/>
    <n v="2024"/>
    <x v="7"/>
    <x v="0"/>
    <x v="0"/>
  </r>
  <r>
    <x v="1"/>
    <x v="146"/>
    <x v="1"/>
    <x v="17"/>
    <n v="7"/>
    <n v="6"/>
    <n v="0"/>
    <n v="0"/>
    <n v="0"/>
    <n v="0"/>
    <n v="0"/>
    <n v="0"/>
    <n v="0"/>
    <n v="7"/>
    <n v="2024"/>
    <x v="7"/>
    <x v="0"/>
    <x v="0"/>
  </r>
  <r>
    <x v="1"/>
    <x v="146"/>
    <x v="1"/>
    <x v="18"/>
    <n v="4"/>
    <n v="2"/>
    <n v="0"/>
    <n v="0"/>
    <n v="0"/>
    <n v="0"/>
    <n v="0"/>
    <n v="0"/>
    <n v="1"/>
    <n v="3"/>
    <n v="2024"/>
    <x v="7"/>
    <x v="0"/>
    <x v="0"/>
  </r>
  <r>
    <x v="1"/>
    <x v="146"/>
    <x v="1"/>
    <x v="19"/>
    <n v="989"/>
    <n v="470"/>
    <n v="23"/>
    <n v="7"/>
    <n v="68580"/>
    <n v="10"/>
    <n v="62830"/>
    <n v="10"/>
    <n v="243"/>
    <n v="914"/>
    <n v="2024"/>
    <x v="7"/>
    <x v="0"/>
    <x v="0"/>
  </r>
  <r>
    <x v="1"/>
    <x v="146"/>
    <x v="1"/>
    <x v="20"/>
    <n v="10"/>
    <n v="4"/>
    <n v="0"/>
    <n v="0"/>
    <n v="0"/>
    <n v="0"/>
    <n v="0"/>
    <n v="0"/>
    <n v="2"/>
    <n v="10"/>
    <n v="2024"/>
    <x v="7"/>
    <x v="0"/>
    <x v="0"/>
  </r>
  <r>
    <x v="1"/>
    <x v="146"/>
    <x v="1"/>
    <x v="21"/>
    <n v="4"/>
    <n v="1"/>
    <n v="0"/>
    <n v="0"/>
    <n v="0"/>
    <n v="0"/>
    <n v="0"/>
    <n v="0"/>
    <n v="2"/>
    <n v="4"/>
    <n v="2024"/>
    <x v="7"/>
    <x v="0"/>
    <x v="0"/>
  </r>
  <r>
    <x v="1"/>
    <x v="146"/>
    <x v="1"/>
    <x v="22"/>
    <n v="19"/>
    <n v="6"/>
    <n v="0"/>
    <n v="1"/>
    <n v="0"/>
    <n v="0"/>
    <n v="0"/>
    <n v="0"/>
    <n v="1"/>
    <n v="19"/>
    <n v="2024"/>
    <x v="7"/>
    <x v="0"/>
    <x v="0"/>
  </r>
  <r>
    <x v="1"/>
    <x v="146"/>
    <x v="1"/>
    <x v="24"/>
    <n v="24"/>
    <n v="14"/>
    <n v="1"/>
    <n v="0"/>
    <n v="1980"/>
    <n v="1"/>
    <n v="1980"/>
    <n v="1"/>
    <n v="4"/>
    <n v="22"/>
    <n v="2024"/>
    <x v="7"/>
    <x v="0"/>
    <x v="0"/>
  </r>
  <r>
    <x v="1"/>
    <x v="146"/>
    <x v="1"/>
    <x v="27"/>
    <n v="342"/>
    <n v="128"/>
    <n v="12"/>
    <n v="2"/>
    <n v="75403"/>
    <n v="14"/>
    <n v="71235"/>
    <n v="12"/>
    <n v="55"/>
    <n v="324"/>
    <n v="2024"/>
    <x v="7"/>
    <x v="0"/>
    <x v="0"/>
  </r>
  <r>
    <x v="1"/>
    <x v="146"/>
    <x v="1"/>
    <x v="29"/>
    <n v="976"/>
    <n v="724"/>
    <n v="28"/>
    <n v="12"/>
    <n v="41970"/>
    <n v="5"/>
    <n v="28790"/>
    <n v="4"/>
    <n v="232"/>
    <n v="878"/>
    <n v="2024"/>
    <x v="7"/>
    <x v="0"/>
    <x v="0"/>
  </r>
  <r>
    <x v="1"/>
    <x v="146"/>
    <x v="1"/>
    <x v="30"/>
    <n v="3479"/>
    <n v="1409"/>
    <n v="44"/>
    <n v="20"/>
    <n v="34680"/>
    <n v="3"/>
    <n v="34680"/>
    <n v="3"/>
    <n v="235"/>
    <n v="3441"/>
    <n v="2024"/>
    <x v="7"/>
    <x v="0"/>
    <x v="0"/>
  </r>
  <r>
    <x v="1"/>
    <x v="146"/>
    <x v="1"/>
    <x v="31"/>
    <n v="125"/>
    <n v="89"/>
    <n v="6"/>
    <n v="4"/>
    <n v="9945"/>
    <n v="3"/>
    <n v="9945"/>
    <n v="3"/>
    <n v="15"/>
    <n v="121"/>
    <n v="2024"/>
    <x v="7"/>
    <x v="0"/>
    <x v="0"/>
  </r>
  <r>
    <x v="1"/>
    <x v="146"/>
    <x v="1"/>
    <x v="32"/>
    <n v="4"/>
    <n v="1"/>
    <n v="1"/>
    <n v="0"/>
    <n v="0"/>
    <n v="0"/>
    <n v="0"/>
    <n v="0"/>
    <n v="3"/>
    <n v="4"/>
    <n v="2024"/>
    <x v="7"/>
    <x v="0"/>
    <x v="0"/>
  </r>
  <r>
    <x v="1"/>
    <x v="146"/>
    <x v="1"/>
    <x v="34"/>
    <n v="169"/>
    <n v="70"/>
    <n v="7"/>
    <n v="2"/>
    <n v="21480"/>
    <n v="2"/>
    <n v="21480"/>
    <n v="2"/>
    <n v="56"/>
    <n v="153"/>
    <n v="2024"/>
    <x v="7"/>
    <x v="0"/>
    <x v="0"/>
  </r>
  <r>
    <x v="1"/>
    <x v="146"/>
    <x v="1"/>
    <x v="36"/>
    <n v="3"/>
    <n v="2"/>
    <n v="0"/>
    <n v="0"/>
    <n v="0"/>
    <n v="0"/>
    <n v="0"/>
    <n v="0"/>
    <n v="1"/>
    <n v="3"/>
    <n v="2024"/>
    <x v="7"/>
    <x v="0"/>
    <x v="0"/>
  </r>
  <r>
    <x v="1"/>
    <x v="146"/>
    <x v="1"/>
    <x v="38"/>
    <n v="387"/>
    <n v="61"/>
    <n v="16"/>
    <n v="5"/>
    <n v="12410"/>
    <n v="4"/>
    <n v="12410"/>
    <n v="4"/>
    <n v="61"/>
    <n v="377"/>
    <n v="2024"/>
    <x v="7"/>
    <x v="0"/>
    <x v="0"/>
  </r>
  <r>
    <x v="1"/>
    <x v="146"/>
    <x v="1"/>
    <x v="60"/>
    <n v="2"/>
    <n v="2"/>
    <n v="0"/>
    <n v="0"/>
    <n v="0"/>
    <n v="0"/>
    <n v="0"/>
    <n v="0"/>
    <n v="0"/>
    <n v="2"/>
    <n v="2024"/>
    <x v="7"/>
    <x v="0"/>
    <x v="0"/>
  </r>
  <r>
    <x v="1"/>
    <x v="146"/>
    <x v="1"/>
    <x v="39"/>
    <n v="1"/>
    <n v="1"/>
    <n v="0"/>
    <n v="0"/>
    <n v="0"/>
    <n v="0"/>
    <n v="0"/>
    <n v="0"/>
    <n v="1"/>
    <n v="1"/>
    <n v="2024"/>
    <x v="7"/>
    <x v="0"/>
    <x v="0"/>
  </r>
  <r>
    <x v="1"/>
    <x v="146"/>
    <x v="1"/>
    <x v="41"/>
    <n v="6"/>
    <n v="2"/>
    <n v="0"/>
    <n v="0"/>
    <n v="0"/>
    <n v="0"/>
    <n v="0"/>
    <n v="0"/>
    <n v="0"/>
    <n v="6"/>
    <n v="2024"/>
    <x v="7"/>
    <x v="0"/>
    <x v="0"/>
  </r>
  <r>
    <x v="1"/>
    <x v="146"/>
    <x v="1"/>
    <x v="42"/>
    <n v="4"/>
    <n v="2"/>
    <n v="0"/>
    <n v="0"/>
    <n v="0"/>
    <n v="0"/>
    <n v="0"/>
    <n v="0"/>
    <n v="1"/>
    <n v="3"/>
    <n v="2024"/>
    <x v="7"/>
    <x v="0"/>
    <x v="0"/>
  </r>
  <r>
    <x v="1"/>
    <x v="146"/>
    <x v="1"/>
    <x v="43"/>
    <n v="104"/>
    <n v="47"/>
    <n v="0"/>
    <n v="1"/>
    <n v="0"/>
    <n v="0"/>
    <n v="0"/>
    <n v="0"/>
    <n v="71"/>
    <n v="68"/>
    <n v="2024"/>
    <x v="7"/>
    <x v="0"/>
    <x v="0"/>
  </r>
  <r>
    <x v="1"/>
    <x v="146"/>
    <x v="1"/>
    <x v="44"/>
    <n v="11"/>
    <n v="1"/>
    <n v="0"/>
    <n v="0"/>
    <n v="1990"/>
    <n v="1"/>
    <n v="1990"/>
    <n v="1"/>
    <n v="0"/>
    <n v="11"/>
    <n v="2024"/>
    <x v="7"/>
    <x v="0"/>
    <x v="0"/>
  </r>
  <r>
    <x v="1"/>
    <x v="147"/>
    <x v="0"/>
    <x v="0"/>
    <n v="259"/>
    <n v="87"/>
    <n v="4"/>
    <n v="0"/>
    <n v="4995"/>
    <n v="1"/>
    <n v="4995"/>
    <n v="1"/>
    <n v="23"/>
    <n v="254"/>
    <n v="2024"/>
    <x v="7"/>
    <x v="0"/>
    <x v="0"/>
  </r>
  <r>
    <x v="1"/>
    <x v="147"/>
    <x v="0"/>
    <x v="1"/>
    <n v="7376"/>
    <n v="3884"/>
    <n v="173"/>
    <n v="84"/>
    <n v="89657"/>
    <n v="15"/>
    <n v="43812"/>
    <n v="12"/>
    <n v="497"/>
    <n v="7350"/>
    <n v="2024"/>
    <x v="7"/>
    <x v="0"/>
    <x v="0"/>
  </r>
  <r>
    <x v="1"/>
    <x v="147"/>
    <x v="0"/>
    <x v="2"/>
    <n v="676"/>
    <n v="534"/>
    <n v="11"/>
    <n v="3"/>
    <n v="5917"/>
    <n v="4"/>
    <n v="5917"/>
    <n v="4"/>
    <n v="676"/>
    <n v="354"/>
    <n v="2024"/>
    <x v="7"/>
    <x v="0"/>
    <x v="0"/>
  </r>
  <r>
    <x v="1"/>
    <x v="147"/>
    <x v="0"/>
    <x v="3"/>
    <n v="50"/>
    <n v="31"/>
    <n v="3"/>
    <n v="5"/>
    <n v="0"/>
    <n v="0"/>
    <n v="0"/>
    <n v="0"/>
    <n v="2"/>
    <n v="40"/>
    <n v="2024"/>
    <x v="7"/>
    <x v="0"/>
    <x v="0"/>
  </r>
  <r>
    <x v="1"/>
    <x v="147"/>
    <x v="1"/>
    <x v="5"/>
    <n v="3"/>
    <n v="1"/>
    <n v="0"/>
    <n v="0"/>
    <n v="0"/>
    <n v="0"/>
    <n v="0"/>
    <n v="0"/>
    <n v="0"/>
    <n v="3"/>
    <n v="2024"/>
    <x v="7"/>
    <x v="0"/>
    <x v="0"/>
  </r>
  <r>
    <x v="1"/>
    <x v="147"/>
    <x v="1"/>
    <x v="6"/>
    <n v="2"/>
    <n v="1"/>
    <n v="0"/>
    <n v="0"/>
    <n v="0"/>
    <n v="0"/>
    <n v="0"/>
    <n v="0"/>
    <n v="1"/>
    <n v="1"/>
    <n v="2024"/>
    <x v="7"/>
    <x v="0"/>
    <x v="0"/>
  </r>
  <r>
    <x v="1"/>
    <x v="147"/>
    <x v="1"/>
    <x v="7"/>
    <n v="589"/>
    <n v="75"/>
    <n v="27"/>
    <n v="6"/>
    <n v="85241"/>
    <n v="17"/>
    <n v="81146"/>
    <n v="16"/>
    <n v="104"/>
    <n v="569"/>
    <n v="2024"/>
    <x v="7"/>
    <x v="0"/>
    <x v="0"/>
  </r>
  <r>
    <x v="1"/>
    <x v="147"/>
    <x v="1"/>
    <x v="8"/>
    <n v="1"/>
    <n v="0"/>
    <n v="0"/>
    <n v="0"/>
    <n v="0"/>
    <n v="0"/>
    <n v="0"/>
    <n v="0"/>
    <n v="0"/>
    <n v="1"/>
    <n v="2024"/>
    <x v="7"/>
    <x v="0"/>
    <x v="0"/>
  </r>
  <r>
    <x v="1"/>
    <x v="147"/>
    <x v="1"/>
    <x v="9"/>
    <n v="1"/>
    <n v="0"/>
    <n v="0"/>
    <n v="0"/>
    <n v="0"/>
    <n v="0"/>
    <n v="0"/>
    <n v="0"/>
    <n v="0"/>
    <n v="1"/>
    <n v="2024"/>
    <x v="7"/>
    <x v="0"/>
    <x v="0"/>
  </r>
  <r>
    <x v="1"/>
    <x v="147"/>
    <x v="1"/>
    <x v="10"/>
    <n v="11"/>
    <n v="6"/>
    <n v="0"/>
    <n v="1"/>
    <n v="0"/>
    <n v="0"/>
    <n v="0"/>
    <n v="0"/>
    <n v="2"/>
    <n v="9"/>
    <n v="2024"/>
    <x v="7"/>
    <x v="0"/>
    <x v="0"/>
  </r>
  <r>
    <x v="1"/>
    <x v="147"/>
    <x v="1"/>
    <x v="11"/>
    <n v="2"/>
    <n v="1"/>
    <n v="0"/>
    <n v="0"/>
    <n v="0"/>
    <n v="0"/>
    <n v="0"/>
    <n v="0"/>
    <n v="1"/>
    <n v="1"/>
    <n v="2024"/>
    <x v="7"/>
    <x v="0"/>
    <x v="0"/>
  </r>
  <r>
    <x v="1"/>
    <x v="147"/>
    <x v="1"/>
    <x v="61"/>
    <n v="1"/>
    <n v="0"/>
    <n v="0"/>
    <n v="0"/>
    <n v="0"/>
    <n v="0"/>
    <n v="0"/>
    <n v="0"/>
    <n v="0"/>
    <n v="1"/>
    <n v="2024"/>
    <x v="7"/>
    <x v="0"/>
    <x v="0"/>
  </r>
  <r>
    <x v="1"/>
    <x v="147"/>
    <x v="1"/>
    <x v="59"/>
    <n v="308"/>
    <n v="95"/>
    <n v="10"/>
    <n v="3"/>
    <n v="34530"/>
    <n v="4"/>
    <n v="12780"/>
    <n v="3"/>
    <n v="53"/>
    <n v="266"/>
    <n v="2024"/>
    <x v="7"/>
    <x v="0"/>
    <x v="0"/>
  </r>
  <r>
    <x v="1"/>
    <x v="147"/>
    <x v="1"/>
    <x v="15"/>
    <n v="15"/>
    <n v="14"/>
    <n v="0"/>
    <n v="0"/>
    <n v="0"/>
    <n v="0"/>
    <n v="0"/>
    <n v="0"/>
    <n v="0"/>
    <n v="15"/>
    <n v="2024"/>
    <x v="7"/>
    <x v="0"/>
    <x v="0"/>
  </r>
  <r>
    <x v="1"/>
    <x v="147"/>
    <x v="1"/>
    <x v="17"/>
    <n v="8"/>
    <n v="8"/>
    <n v="0"/>
    <n v="0"/>
    <n v="0"/>
    <n v="0"/>
    <n v="0"/>
    <n v="0"/>
    <n v="1"/>
    <n v="7"/>
    <n v="2024"/>
    <x v="7"/>
    <x v="0"/>
    <x v="0"/>
  </r>
  <r>
    <x v="1"/>
    <x v="147"/>
    <x v="1"/>
    <x v="18"/>
    <n v="11"/>
    <n v="8"/>
    <n v="2"/>
    <n v="0"/>
    <n v="5800"/>
    <n v="1"/>
    <n v="5800"/>
    <n v="1"/>
    <n v="1"/>
    <n v="11"/>
    <n v="2024"/>
    <x v="7"/>
    <x v="0"/>
    <x v="0"/>
  </r>
  <r>
    <x v="1"/>
    <x v="147"/>
    <x v="1"/>
    <x v="19"/>
    <n v="1084"/>
    <n v="497"/>
    <n v="39"/>
    <n v="7"/>
    <n v="153097"/>
    <n v="12"/>
    <n v="94152"/>
    <n v="10"/>
    <n v="286"/>
    <n v="980"/>
    <n v="2024"/>
    <x v="7"/>
    <x v="0"/>
    <x v="0"/>
  </r>
  <r>
    <x v="1"/>
    <x v="147"/>
    <x v="1"/>
    <x v="20"/>
    <n v="8"/>
    <n v="5"/>
    <n v="0"/>
    <n v="0"/>
    <n v="0"/>
    <n v="0"/>
    <n v="0"/>
    <n v="0"/>
    <n v="1"/>
    <n v="8"/>
    <n v="2024"/>
    <x v="7"/>
    <x v="0"/>
    <x v="0"/>
  </r>
  <r>
    <x v="1"/>
    <x v="147"/>
    <x v="1"/>
    <x v="21"/>
    <n v="6"/>
    <n v="1"/>
    <n v="1"/>
    <n v="0"/>
    <n v="2980"/>
    <n v="1"/>
    <n v="2980"/>
    <n v="1"/>
    <n v="2"/>
    <n v="6"/>
    <n v="2024"/>
    <x v="7"/>
    <x v="0"/>
    <x v="0"/>
  </r>
  <r>
    <x v="1"/>
    <x v="147"/>
    <x v="1"/>
    <x v="22"/>
    <n v="21"/>
    <n v="5"/>
    <n v="0"/>
    <n v="0"/>
    <n v="0"/>
    <n v="0"/>
    <n v="0"/>
    <n v="0"/>
    <n v="1"/>
    <n v="21"/>
    <n v="2024"/>
    <x v="7"/>
    <x v="0"/>
    <x v="0"/>
  </r>
  <r>
    <x v="1"/>
    <x v="147"/>
    <x v="1"/>
    <x v="24"/>
    <n v="25"/>
    <n v="12"/>
    <n v="0"/>
    <n v="0"/>
    <n v="0"/>
    <n v="0"/>
    <n v="0"/>
    <n v="0"/>
    <n v="6"/>
    <n v="22"/>
    <n v="2024"/>
    <x v="7"/>
    <x v="0"/>
    <x v="0"/>
  </r>
  <r>
    <x v="1"/>
    <x v="147"/>
    <x v="1"/>
    <x v="27"/>
    <n v="117"/>
    <n v="42"/>
    <n v="6"/>
    <n v="5"/>
    <n v="35705"/>
    <n v="6"/>
    <n v="30715"/>
    <n v="6"/>
    <n v="33"/>
    <n v="108"/>
    <n v="2024"/>
    <x v="7"/>
    <x v="0"/>
    <x v="0"/>
  </r>
  <r>
    <x v="1"/>
    <x v="147"/>
    <x v="1"/>
    <x v="29"/>
    <n v="1201"/>
    <n v="902"/>
    <n v="20"/>
    <n v="11"/>
    <n v="12192"/>
    <n v="3"/>
    <n v="7597"/>
    <n v="2"/>
    <n v="285"/>
    <n v="1063"/>
    <n v="2024"/>
    <x v="7"/>
    <x v="0"/>
    <x v="0"/>
  </r>
  <r>
    <x v="1"/>
    <x v="147"/>
    <x v="1"/>
    <x v="30"/>
    <n v="3585"/>
    <n v="1545"/>
    <n v="34"/>
    <n v="21"/>
    <n v="34598"/>
    <n v="8"/>
    <n v="26248"/>
    <n v="7"/>
    <n v="203"/>
    <n v="3533"/>
    <n v="2024"/>
    <x v="7"/>
    <x v="0"/>
    <x v="0"/>
  </r>
  <r>
    <x v="1"/>
    <x v="147"/>
    <x v="1"/>
    <x v="31"/>
    <n v="152"/>
    <n v="98"/>
    <n v="4"/>
    <n v="2"/>
    <n v="5750"/>
    <n v="1"/>
    <n v="5750"/>
    <n v="1"/>
    <n v="27"/>
    <n v="143"/>
    <n v="2024"/>
    <x v="7"/>
    <x v="0"/>
    <x v="0"/>
  </r>
  <r>
    <x v="1"/>
    <x v="147"/>
    <x v="1"/>
    <x v="32"/>
    <n v="6"/>
    <n v="1"/>
    <n v="0"/>
    <n v="1"/>
    <n v="0"/>
    <n v="0"/>
    <n v="0"/>
    <n v="0"/>
    <n v="2"/>
    <n v="6"/>
    <n v="2024"/>
    <x v="7"/>
    <x v="0"/>
    <x v="0"/>
  </r>
  <r>
    <x v="1"/>
    <x v="147"/>
    <x v="1"/>
    <x v="34"/>
    <n v="142"/>
    <n v="50"/>
    <n v="4"/>
    <n v="2"/>
    <n v="8865"/>
    <n v="3"/>
    <n v="8865"/>
    <n v="3"/>
    <n v="46"/>
    <n v="124"/>
    <n v="2024"/>
    <x v="7"/>
    <x v="0"/>
    <x v="0"/>
  </r>
  <r>
    <x v="1"/>
    <x v="147"/>
    <x v="1"/>
    <x v="35"/>
    <n v="1"/>
    <n v="1"/>
    <n v="0"/>
    <n v="0"/>
    <n v="0"/>
    <n v="0"/>
    <n v="0"/>
    <n v="0"/>
    <n v="0"/>
    <n v="1"/>
    <n v="2024"/>
    <x v="7"/>
    <x v="0"/>
    <x v="0"/>
  </r>
  <r>
    <x v="1"/>
    <x v="147"/>
    <x v="1"/>
    <x v="36"/>
    <n v="4"/>
    <n v="3"/>
    <n v="0"/>
    <n v="0"/>
    <n v="0"/>
    <n v="0"/>
    <n v="0"/>
    <n v="0"/>
    <n v="1"/>
    <n v="3"/>
    <n v="2024"/>
    <x v="7"/>
    <x v="0"/>
    <x v="0"/>
  </r>
  <r>
    <x v="1"/>
    <x v="147"/>
    <x v="1"/>
    <x v="38"/>
    <n v="526"/>
    <n v="65"/>
    <n v="22"/>
    <n v="8"/>
    <n v="56977"/>
    <n v="7"/>
    <n v="24122"/>
    <n v="6"/>
    <n v="113"/>
    <n v="510"/>
    <n v="2024"/>
    <x v="7"/>
    <x v="0"/>
    <x v="0"/>
  </r>
  <r>
    <x v="1"/>
    <x v="147"/>
    <x v="1"/>
    <x v="39"/>
    <n v="2"/>
    <n v="2"/>
    <n v="0"/>
    <n v="0"/>
    <n v="0"/>
    <n v="0"/>
    <n v="0"/>
    <n v="0"/>
    <n v="1"/>
    <n v="2"/>
    <n v="2024"/>
    <x v="7"/>
    <x v="0"/>
    <x v="0"/>
  </r>
  <r>
    <x v="1"/>
    <x v="147"/>
    <x v="1"/>
    <x v="41"/>
    <n v="8"/>
    <n v="1"/>
    <n v="0"/>
    <n v="0"/>
    <n v="0"/>
    <n v="0"/>
    <n v="0"/>
    <n v="0"/>
    <n v="0"/>
    <n v="8"/>
    <n v="2024"/>
    <x v="7"/>
    <x v="0"/>
    <x v="0"/>
  </r>
  <r>
    <x v="1"/>
    <x v="147"/>
    <x v="1"/>
    <x v="42"/>
    <n v="5"/>
    <n v="4"/>
    <n v="1"/>
    <n v="0"/>
    <n v="0"/>
    <n v="0"/>
    <n v="0"/>
    <n v="0"/>
    <n v="0"/>
    <n v="5"/>
    <n v="2024"/>
    <x v="7"/>
    <x v="0"/>
    <x v="0"/>
  </r>
  <r>
    <x v="1"/>
    <x v="147"/>
    <x v="1"/>
    <x v="43"/>
    <n v="119"/>
    <n v="53"/>
    <n v="7"/>
    <n v="2"/>
    <n v="32550"/>
    <n v="1"/>
    <n v="32550"/>
    <n v="1"/>
    <n v="79"/>
    <n v="83"/>
    <n v="2024"/>
    <x v="7"/>
    <x v="0"/>
    <x v="0"/>
  </r>
  <r>
    <x v="1"/>
    <x v="147"/>
    <x v="1"/>
    <x v="44"/>
    <n v="9"/>
    <n v="1"/>
    <n v="0"/>
    <n v="0"/>
    <n v="0"/>
    <n v="0"/>
    <n v="0"/>
    <n v="0"/>
    <n v="0"/>
    <n v="9"/>
    <n v="2024"/>
    <x v="7"/>
    <x v="0"/>
    <x v="0"/>
  </r>
  <r>
    <x v="1"/>
    <x v="148"/>
    <x v="0"/>
    <x v="0"/>
    <n v="342"/>
    <n v="142"/>
    <n v="12"/>
    <n v="0"/>
    <n v="14026.14"/>
    <n v="5"/>
    <n v="12988.14"/>
    <n v="5"/>
    <n v="27"/>
    <n v="335"/>
    <n v="2024"/>
    <x v="7"/>
    <x v="0"/>
    <x v="2"/>
  </r>
  <r>
    <x v="1"/>
    <x v="148"/>
    <x v="0"/>
    <x v="1"/>
    <n v="15478"/>
    <n v="9421"/>
    <n v="671"/>
    <n v="163"/>
    <n v="864490.27"/>
    <n v="185"/>
    <n v="719614.27"/>
    <n v="169"/>
    <n v="1400"/>
    <n v="15424"/>
    <n v="2024"/>
    <x v="7"/>
    <x v="0"/>
    <x v="2"/>
  </r>
  <r>
    <x v="1"/>
    <x v="148"/>
    <x v="0"/>
    <x v="2"/>
    <n v="1985"/>
    <n v="1607"/>
    <n v="42"/>
    <n v="5"/>
    <n v="81461"/>
    <n v="24"/>
    <n v="71501"/>
    <n v="20"/>
    <n v="1985"/>
    <n v="728"/>
    <n v="2024"/>
    <x v="7"/>
    <x v="0"/>
    <x v="2"/>
  </r>
  <r>
    <x v="1"/>
    <x v="148"/>
    <x v="0"/>
    <x v="3"/>
    <n v="1240"/>
    <n v="747"/>
    <n v="43"/>
    <n v="2"/>
    <n v="0"/>
    <n v="0"/>
    <n v="0"/>
    <n v="0"/>
    <n v="37"/>
    <n v="247"/>
    <n v="2024"/>
    <x v="7"/>
    <x v="0"/>
    <x v="2"/>
  </r>
  <r>
    <x v="1"/>
    <x v="148"/>
    <x v="1"/>
    <x v="5"/>
    <n v="10"/>
    <n v="7"/>
    <n v="0"/>
    <n v="0"/>
    <n v="0"/>
    <n v="0"/>
    <n v="0"/>
    <n v="0"/>
    <n v="1"/>
    <n v="10"/>
    <n v="2024"/>
    <x v="7"/>
    <x v="0"/>
    <x v="2"/>
  </r>
  <r>
    <x v="1"/>
    <x v="148"/>
    <x v="1"/>
    <x v="6"/>
    <n v="577"/>
    <n v="357"/>
    <n v="0"/>
    <n v="0"/>
    <n v="0"/>
    <n v="0"/>
    <n v="0"/>
    <n v="0"/>
    <n v="0"/>
    <n v="1"/>
    <n v="2024"/>
    <x v="7"/>
    <x v="0"/>
    <x v="2"/>
  </r>
  <r>
    <x v="1"/>
    <x v="148"/>
    <x v="1"/>
    <x v="7"/>
    <n v="1286"/>
    <n v="440"/>
    <n v="192"/>
    <n v="11"/>
    <n v="1351892.42"/>
    <n v="253"/>
    <n v="1039991.92"/>
    <n v="236"/>
    <n v="355"/>
    <n v="1239"/>
    <n v="2024"/>
    <x v="7"/>
    <x v="0"/>
    <x v="2"/>
  </r>
  <r>
    <x v="1"/>
    <x v="148"/>
    <x v="1"/>
    <x v="8"/>
    <n v="29"/>
    <n v="24"/>
    <n v="0"/>
    <n v="0"/>
    <n v="0"/>
    <n v="0"/>
    <n v="0"/>
    <n v="0"/>
    <n v="0"/>
    <n v="0"/>
    <n v="2024"/>
    <x v="7"/>
    <x v="0"/>
    <x v="2"/>
  </r>
  <r>
    <x v="1"/>
    <x v="148"/>
    <x v="1"/>
    <x v="9"/>
    <n v="1"/>
    <n v="0"/>
    <n v="0"/>
    <n v="0"/>
    <n v="0"/>
    <n v="0"/>
    <n v="0"/>
    <n v="0"/>
    <n v="0"/>
    <n v="1"/>
    <n v="2024"/>
    <x v="7"/>
    <x v="0"/>
    <x v="2"/>
  </r>
  <r>
    <x v="1"/>
    <x v="148"/>
    <x v="1"/>
    <x v="10"/>
    <n v="53"/>
    <n v="31"/>
    <n v="4"/>
    <n v="0"/>
    <n v="0"/>
    <n v="0"/>
    <n v="0"/>
    <n v="0"/>
    <n v="4"/>
    <n v="43"/>
    <n v="2024"/>
    <x v="7"/>
    <x v="0"/>
    <x v="2"/>
  </r>
  <r>
    <x v="1"/>
    <x v="148"/>
    <x v="1"/>
    <x v="11"/>
    <n v="3"/>
    <n v="2"/>
    <n v="0"/>
    <n v="0"/>
    <n v="0"/>
    <n v="0"/>
    <n v="0"/>
    <n v="0"/>
    <n v="2"/>
    <n v="1"/>
    <n v="2024"/>
    <x v="7"/>
    <x v="0"/>
    <x v="2"/>
  </r>
  <r>
    <x v="1"/>
    <x v="148"/>
    <x v="1"/>
    <x v="59"/>
    <n v="8307"/>
    <n v="7521"/>
    <n v="36"/>
    <n v="7"/>
    <n v="115523.2"/>
    <n v="23"/>
    <n v="86973.2"/>
    <n v="20"/>
    <n v="166"/>
    <n v="564"/>
    <n v="2024"/>
    <x v="7"/>
    <x v="0"/>
    <x v="2"/>
  </r>
  <r>
    <x v="1"/>
    <x v="148"/>
    <x v="1"/>
    <x v="15"/>
    <n v="24"/>
    <n v="21"/>
    <n v="0"/>
    <n v="0"/>
    <n v="0"/>
    <n v="0"/>
    <n v="0"/>
    <n v="0"/>
    <n v="0"/>
    <n v="24"/>
    <n v="2024"/>
    <x v="7"/>
    <x v="0"/>
    <x v="2"/>
  </r>
  <r>
    <x v="1"/>
    <x v="148"/>
    <x v="1"/>
    <x v="17"/>
    <n v="7"/>
    <n v="7"/>
    <n v="0"/>
    <n v="0"/>
    <n v="8500"/>
    <n v="2"/>
    <n v="5000"/>
    <n v="2"/>
    <n v="0"/>
    <n v="7"/>
    <n v="2024"/>
    <x v="7"/>
    <x v="0"/>
    <x v="2"/>
  </r>
  <r>
    <x v="1"/>
    <x v="148"/>
    <x v="1"/>
    <x v="18"/>
    <n v="17"/>
    <n v="13"/>
    <n v="3"/>
    <n v="0"/>
    <n v="11105"/>
    <n v="3"/>
    <n v="7605"/>
    <n v="3"/>
    <n v="3"/>
    <n v="17"/>
    <n v="2024"/>
    <x v="7"/>
    <x v="0"/>
    <x v="2"/>
  </r>
  <r>
    <x v="1"/>
    <x v="148"/>
    <x v="1"/>
    <x v="19"/>
    <n v="2413"/>
    <n v="1347"/>
    <n v="174"/>
    <n v="24"/>
    <n v="660694.64"/>
    <n v="120"/>
    <n v="450897.14"/>
    <n v="104"/>
    <n v="725"/>
    <n v="2151"/>
    <n v="2024"/>
    <x v="7"/>
    <x v="0"/>
    <x v="2"/>
  </r>
  <r>
    <x v="1"/>
    <x v="148"/>
    <x v="1"/>
    <x v="20"/>
    <n v="446"/>
    <n v="411"/>
    <n v="3"/>
    <n v="1"/>
    <n v="14685"/>
    <n v="3"/>
    <n v="5865"/>
    <n v="2"/>
    <n v="13"/>
    <n v="444"/>
    <n v="2024"/>
    <x v="7"/>
    <x v="0"/>
    <x v="2"/>
  </r>
  <r>
    <x v="1"/>
    <x v="148"/>
    <x v="1"/>
    <x v="21"/>
    <n v="7"/>
    <n v="4"/>
    <n v="1"/>
    <n v="0"/>
    <n v="0"/>
    <n v="0"/>
    <n v="0"/>
    <n v="0"/>
    <n v="0"/>
    <n v="7"/>
    <n v="2024"/>
    <x v="7"/>
    <x v="0"/>
    <x v="2"/>
  </r>
  <r>
    <x v="1"/>
    <x v="148"/>
    <x v="1"/>
    <x v="50"/>
    <n v="1"/>
    <n v="0"/>
    <n v="0"/>
    <n v="0"/>
    <n v="0"/>
    <n v="0"/>
    <n v="0"/>
    <n v="0"/>
    <n v="0"/>
    <n v="0"/>
    <n v="2024"/>
    <x v="7"/>
    <x v="0"/>
    <x v="2"/>
  </r>
  <r>
    <x v="1"/>
    <x v="148"/>
    <x v="1"/>
    <x v="22"/>
    <n v="45"/>
    <n v="9"/>
    <n v="1"/>
    <n v="1"/>
    <n v="9621.59"/>
    <n v="2"/>
    <n v="5796.59"/>
    <n v="2"/>
    <n v="4"/>
    <n v="37"/>
    <n v="2024"/>
    <x v="7"/>
    <x v="0"/>
    <x v="2"/>
  </r>
  <r>
    <x v="1"/>
    <x v="148"/>
    <x v="1"/>
    <x v="24"/>
    <n v="74"/>
    <n v="42"/>
    <n v="11"/>
    <n v="1"/>
    <n v="69643.06"/>
    <n v="11"/>
    <n v="69643.06"/>
    <n v="11"/>
    <n v="27"/>
    <n v="63"/>
    <n v="2024"/>
    <x v="7"/>
    <x v="0"/>
    <x v="2"/>
  </r>
  <r>
    <x v="1"/>
    <x v="148"/>
    <x v="1"/>
    <x v="27"/>
    <n v="249"/>
    <n v="94"/>
    <n v="33"/>
    <n v="5"/>
    <n v="236869.3"/>
    <n v="40"/>
    <n v="170571.8"/>
    <n v="37"/>
    <n v="88"/>
    <n v="227"/>
    <n v="2024"/>
    <x v="7"/>
    <x v="0"/>
    <x v="2"/>
  </r>
  <r>
    <x v="1"/>
    <x v="148"/>
    <x v="1"/>
    <x v="29"/>
    <n v="2584"/>
    <n v="2021"/>
    <n v="296"/>
    <n v="25"/>
    <n v="520013.11"/>
    <n v="122"/>
    <n v="418580.61"/>
    <n v="108"/>
    <n v="550"/>
    <n v="2408"/>
    <n v="2024"/>
    <x v="7"/>
    <x v="0"/>
    <x v="2"/>
  </r>
  <r>
    <x v="1"/>
    <x v="148"/>
    <x v="1"/>
    <x v="30"/>
    <n v="7796"/>
    <n v="4848"/>
    <n v="100"/>
    <n v="32"/>
    <n v="305185.34999999998"/>
    <n v="54"/>
    <n v="179507.85"/>
    <n v="47"/>
    <n v="1471"/>
    <n v="6434"/>
    <n v="2024"/>
    <x v="7"/>
    <x v="0"/>
    <x v="2"/>
  </r>
  <r>
    <x v="1"/>
    <x v="148"/>
    <x v="1"/>
    <x v="31"/>
    <n v="204"/>
    <n v="137"/>
    <n v="10"/>
    <n v="6"/>
    <n v="16961.88"/>
    <n v="5"/>
    <n v="10961.88"/>
    <n v="3"/>
    <n v="42"/>
    <n v="195"/>
    <n v="2024"/>
    <x v="7"/>
    <x v="0"/>
    <x v="2"/>
  </r>
  <r>
    <x v="1"/>
    <x v="148"/>
    <x v="1"/>
    <x v="32"/>
    <n v="14"/>
    <n v="4"/>
    <n v="1"/>
    <n v="1"/>
    <n v="6950"/>
    <n v="2"/>
    <n v="3450"/>
    <n v="2"/>
    <n v="3"/>
    <n v="13"/>
    <n v="2024"/>
    <x v="7"/>
    <x v="0"/>
    <x v="2"/>
  </r>
  <r>
    <x v="1"/>
    <x v="148"/>
    <x v="1"/>
    <x v="34"/>
    <n v="413"/>
    <n v="172"/>
    <n v="24"/>
    <n v="7"/>
    <n v="48872"/>
    <n v="12"/>
    <n v="38092"/>
    <n v="9"/>
    <n v="139"/>
    <n v="358"/>
    <n v="2024"/>
    <x v="7"/>
    <x v="0"/>
    <x v="2"/>
  </r>
  <r>
    <x v="1"/>
    <x v="148"/>
    <x v="1"/>
    <x v="35"/>
    <n v="1"/>
    <n v="1"/>
    <n v="0"/>
    <n v="0"/>
    <n v="0"/>
    <n v="0"/>
    <n v="0"/>
    <n v="0"/>
    <n v="0"/>
    <n v="1"/>
    <n v="2024"/>
    <x v="7"/>
    <x v="0"/>
    <x v="2"/>
  </r>
  <r>
    <x v="1"/>
    <x v="148"/>
    <x v="1"/>
    <x v="36"/>
    <n v="5"/>
    <n v="4"/>
    <n v="0"/>
    <n v="0"/>
    <n v="5250"/>
    <n v="1"/>
    <n v="1750"/>
    <n v="1"/>
    <n v="1"/>
    <n v="4"/>
    <n v="2024"/>
    <x v="7"/>
    <x v="0"/>
    <x v="2"/>
  </r>
  <r>
    <x v="1"/>
    <x v="148"/>
    <x v="1"/>
    <x v="38"/>
    <n v="794"/>
    <n v="219"/>
    <n v="96"/>
    <n v="14"/>
    <n v="439036.23"/>
    <n v="76"/>
    <n v="296319.73"/>
    <n v="60"/>
    <n v="192"/>
    <n v="753"/>
    <n v="2024"/>
    <x v="7"/>
    <x v="0"/>
    <x v="2"/>
  </r>
  <r>
    <x v="1"/>
    <x v="148"/>
    <x v="1"/>
    <x v="60"/>
    <n v="9"/>
    <n v="3"/>
    <n v="0"/>
    <n v="0"/>
    <n v="0"/>
    <n v="0"/>
    <n v="0"/>
    <n v="0"/>
    <n v="0"/>
    <n v="9"/>
    <n v="2024"/>
    <x v="7"/>
    <x v="0"/>
    <x v="2"/>
  </r>
  <r>
    <x v="1"/>
    <x v="148"/>
    <x v="1"/>
    <x v="39"/>
    <n v="63"/>
    <n v="59"/>
    <n v="1"/>
    <n v="0"/>
    <n v="0"/>
    <n v="0"/>
    <n v="0"/>
    <n v="0"/>
    <n v="3"/>
    <n v="63"/>
    <n v="2024"/>
    <x v="7"/>
    <x v="0"/>
    <x v="2"/>
  </r>
  <r>
    <x v="1"/>
    <x v="148"/>
    <x v="1"/>
    <x v="41"/>
    <n v="6"/>
    <n v="3"/>
    <n v="0"/>
    <n v="0"/>
    <n v="0"/>
    <n v="0"/>
    <n v="0"/>
    <n v="0"/>
    <n v="1"/>
    <n v="6"/>
    <n v="2024"/>
    <x v="7"/>
    <x v="0"/>
    <x v="2"/>
  </r>
  <r>
    <x v="1"/>
    <x v="148"/>
    <x v="1"/>
    <x v="42"/>
    <n v="415"/>
    <n v="289"/>
    <n v="8"/>
    <n v="4"/>
    <n v="18615"/>
    <n v="6"/>
    <n v="13685"/>
    <n v="5"/>
    <n v="32"/>
    <n v="404"/>
    <n v="2024"/>
    <x v="7"/>
    <x v="0"/>
    <x v="2"/>
  </r>
  <r>
    <x v="1"/>
    <x v="148"/>
    <x v="1"/>
    <x v="43"/>
    <n v="182"/>
    <n v="80"/>
    <n v="4"/>
    <n v="0"/>
    <n v="3930"/>
    <n v="1"/>
    <n v="3930"/>
    <n v="1"/>
    <n v="146"/>
    <n v="106"/>
    <n v="2024"/>
    <x v="7"/>
    <x v="0"/>
    <x v="2"/>
  </r>
  <r>
    <x v="1"/>
    <x v="148"/>
    <x v="1"/>
    <x v="44"/>
    <n v="69"/>
    <n v="33"/>
    <n v="12"/>
    <n v="0"/>
    <n v="92551.62"/>
    <n v="22"/>
    <n v="83794.62"/>
    <n v="22"/>
    <n v="0"/>
    <n v="69"/>
    <n v="2024"/>
    <x v="7"/>
    <x v="0"/>
    <x v="2"/>
  </r>
  <r>
    <x v="1"/>
    <x v="149"/>
    <x v="0"/>
    <x v="0"/>
    <n v="389"/>
    <n v="153"/>
    <n v="14"/>
    <n v="1"/>
    <n v="27451"/>
    <n v="6"/>
    <n v="27451"/>
    <n v="6"/>
    <n v="36"/>
    <n v="376"/>
    <n v="2024"/>
    <x v="7"/>
    <x v="0"/>
    <x v="2"/>
  </r>
  <r>
    <x v="1"/>
    <x v="149"/>
    <x v="0"/>
    <x v="1"/>
    <n v="16352"/>
    <n v="10140"/>
    <n v="763"/>
    <n v="205"/>
    <n v="744674"/>
    <n v="194"/>
    <n v="610331"/>
    <n v="174"/>
    <n v="1535"/>
    <n v="16298"/>
    <n v="2024"/>
    <x v="7"/>
    <x v="0"/>
    <x v="2"/>
  </r>
  <r>
    <x v="1"/>
    <x v="149"/>
    <x v="0"/>
    <x v="2"/>
    <n v="1984"/>
    <n v="1657"/>
    <n v="48"/>
    <n v="11"/>
    <n v="69336"/>
    <n v="21"/>
    <n v="61322"/>
    <n v="19"/>
    <n v="1984"/>
    <n v="770"/>
    <n v="2024"/>
    <x v="7"/>
    <x v="0"/>
    <x v="2"/>
  </r>
  <r>
    <x v="1"/>
    <x v="149"/>
    <x v="0"/>
    <x v="3"/>
    <n v="1354"/>
    <n v="946"/>
    <n v="30"/>
    <n v="9"/>
    <n v="0"/>
    <n v="0"/>
    <n v="0"/>
    <n v="0"/>
    <n v="32"/>
    <n v="275"/>
    <n v="2024"/>
    <x v="7"/>
    <x v="0"/>
    <x v="2"/>
  </r>
  <r>
    <x v="1"/>
    <x v="149"/>
    <x v="1"/>
    <x v="5"/>
    <n v="9"/>
    <n v="8"/>
    <n v="0"/>
    <n v="0"/>
    <n v="0"/>
    <n v="0"/>
    <n v="0"/>
    <n v="0"/>
    <n v="0"/>
    <n v="9"/>
    <n v="2024"/>
    <x v="7"/>
    <x v="0"/>
    <x v="2"/>
  </r>
  <r>
    <x v="1"/>
    <x v="149"/>
    <x v="1"/>
    <x v="6"/>
    <n v="499"/>
    <n v="382"/>
    <n v="0"/>
    <n v="0"/>
    <n v="0"/>
    <n v="0"/>
    <n v="0"/>
    <n v="0"/>
    <n v="0"/>
    <n v="1"/>
    <n v="2024"/>
    <x v="7"/>
    <x v="0"/>
    <x v="2"/>
  </r>
  <r>
    <x v="1"/>
    <x v="149"/>
    <x v="1"/>
    <x v="7"/>
    <n v="1355"/>
    <n v="446"/>
    <n v="198"/>
    <n v="13"/>
    <n v="982870.25"/>
    <n v="226"/>
    <n v="882448.25"/>
    <n v="219"/>
    <n v="413"/>
    <n v="1293"/>
    <n v="2024"/>
    <x v="7"/>
    <x v="0"/>
    <x v="2"/>
  </r>
  <r>
    <x v="1"/>
    <x v="149"/>
    <x v="1"/>
    <x v="8"/>
    <n v="34"/>
    <n v="26"/>
    <n v="0"/>
    <n v="0"/>
    <n v="0"/>
    <n v="0"/>
    <n v="0"/>
    <n v="0"/>
    <n v="0"/>
    <n v="4"/>
    <n v="2024"/>
    <x v="7"/>
    <x v="0"/>
    <x v="2"/>
  </r>
  <r>
    <x v="1"/>
    <x v="149"/>
    <x v="1"/>
    <x v="9"/>
    <n v="5"/>
    <n v="2"/>
    <n v="1"/>
    <n v="0"/>
    <n v="1988"/>
    <n v="1"/>
    <n v="1988"/>
    <n v="1"/>
    <n v="0"/>
    <n v="5"/>
    <n v="2024"/>
    <x v="7"/>
    <x v="0"/>
    <x v="2"/>
  </r>
  <r>
    <x v="1"/>
    <x v="149"/>
    <x v="1"/>
    <x v="10"/>
    <n v="50"/>
    <n v="38"/>
    <n v="0"/>
    <n v="2"/>
    <n v="0"/>
    <n v="0"/>
    <n v="0"/>
    <n v="0"/>
    <n v="4"/>
    <n v="44"/>
    <n v="2024"/>
    <x v="7"/>
    <x v="0"/>
    <x v="2"/>
  </r>
  <r>
    <x v="1"/>
    <x v="149"/>
    <x v="1"/>
    <x v="59"/>
    <n v="1386"/>
    <n v="928"/>
    <n v="32"/>
    <n v="12"/>
    <n v="60450"/>
    <n v="14"/>
    <n v="60450"/>
    <n v="14"/>
    <n v="168"/>
    <n v="622"/>
    <n v="2024"/>
    <x v="7"/>
    <x v="0"/>
    <x v="2"/>
  </r>
  <r>
    <x v="1"/>
    <x v="149"/>
    <x v="1"/>
    <x v="15"/>
    <n v="24"/>
    <n v="23"/>
    <n v="0"/>
    <n v="0"/>
    <n v="4940"/>
    <n v="1"/>
    <n v="4940"/>
    <n v="1"/>
    <n v="0"/>
    <n v="24"/>
    <n v="2024"/>
    <x v="7"/>
    <x v="0"/>
    <x v="2"/>
  </r>
  <r>
    <x v="1"/>
    <x v="149"/>
    <x v="1"/>
    <x v="17"/>
    <n v="4"/>
    <n v="3"/>
    <n v="0"/>
    <n v="0"/>
    <n v="0"/>
    <n v="0"/>
    <n v="0"/>
    <n v="0"/>
    <n v="0"/>
    <n v="4"/>
    <n v="2024"/>
    <x v="7"/>
    <x v="0"/>
    <x v="2"/>
  </r>
  <r>
    <x v="1"/>
    <x v="149"/>
    <x v="1"/>
    <x v="18"/>
    <n v="14"/>
    <n v="9"/>
    <n v="2"/>
    <n v="1"/>
    <n v="2375"/>
    <n v="1"/>
    <n v="2375"/>
    <n v="1"/>
    <n v="4"/>
    <n v="13"/>
    <n v="2024"/>
    <x v="7"/>
    <x v="0"/>
    <x v="2"/>
  </r>
  <r>
    <x v="1"/>
    <x v="149"/>
    <x v="1"/>
    <x v="19"/>
    <n v="2370"/>
    <n v="1296"/>
    <n v="165"/>
    <n v="30"/>
    <n v="504586.71"/>
    <n v="93"/>
    <n v="401726.21"/>
    <n v="84"/>
    <n v="790"/>
    <n v="2093"/>
    <n v="2024"/>
    <x v="7"/>
    <x v="0"/>
    <x v="2"/>
  </r>
  <r>
    <x v="1"/>
    <x v="149"/>
    <x v="1"/>
    <x v="20"/>
    <n v="285"/>
    <n v="263"/>
    <n v="7"/>
    <n v="1"/>
    <n v="5580"/>
    <n v="1"/>
    <n v="0"/>
    <n v="0"/>
    <n v="11"/>
    <n v="282"/>
    <n v="2024"/>
    <x v="7"/>
    <x v="0"/>
    <x v="2"/>
  </r>
  <r>
    <x v="1"/>
    <x v="149"/>
    <x v="1"/>
    <x v="21"/>
    <n v="9"/>
    <n v="3"/>
    <n v="0"/>
    <n v="0"/>
    <n v="0"/>
    <n v="0"/>
    <n v="0"/>
    <n v="0"/>
    <n v="4"/>
    <n v="9"/>
    <n v="2024"/>
    <x v="7"/>
    <x v="0"/>
    <x v="2"/>
  </r>
  <r>
    <x v="1"/>
    <x v="149"/>
    <x v="1"/>
    <x v="22"/>
    <n v="53"/>
    <n v="22"/>
    <n v="3"/>
    <n v="1"/>
    <n v="7761.41"/>
    <n v="2"/>
    <n v="7761.41"/>
    <n v="2"/>
    <n v="5"/>
    <n v="50"/>
    <n v="2024"/>
    <x v="7"/>
    <x v="0"/>
    <x v="2"/>
  </r>
  <r>
    <x v="1"/>
    <x v="149"/>
    <x v="1"/>
    <x v="24"/>
    <n v="84"/>
    <n v="41"/>
    <n v="14"/>
    <n v="1"/>
    <n v="35890"/>
    <n v="7"/>
    <n v="35890"/>
    <n v="7"/>
    <n v="14"/>
    <n v="75"/>
    <n v="2024"/>
    <x v="7"/>
    <x v="0"/>
    <x v="2"/>
  </r>
  <r>
    <x v="1"/>
    <x v="149"/>
    <x v="1"/>
    <x v="27"/>
    <n v="325"/>
    <n v="105"/>
    <n v="48"/>
    <n v="9"/>
    <n v="104758.5"/>
    <n v="31"/>
    <n v="98038.5"/>
    <n v="29"/>
    <n v="109"/>
    <n v="296"/>
    <n v="2024"/>
    <x v="7"/>
    <x v="0"/>
    <x v="2"/>
  </r>
  <r>
    <x v="1"/>
    <x v="149"/>
    <x v="1"/>
    <x v="29"/>
    <n v="2410"/>
    <n v="1906"/>
    <n v="236"/>
    <n v="29"/>
    <n v="252212"/>
    <n v="59"/>
    <n v="225171"/>
    <n v="52"/>
    <n v="544"/>
    <n v="2224"/>
    <n v="2024"/>
    <x v="7"/>
    <x v="0"/>
    <x v="2"/>
  </r>
  <r>
    <x v="1"/>
    <x v="149"/>
    <x v="1"/>
    <x v="30"/>
    <n v="7398"/>
    <n v="4351"/>
    <n v="128"/>
    <n v="39"/>
    <n v="112713.5"/>
    <n v="28"/>
    <n v="85918.5"/>
    <n v="23"/>
    <n v="1669"/>
    <n v="5774"/>
    <n v="2024"/>
    <x v="7"/>
    <x v="0"/>
    <x v="2"/>
  </r>
  <r>
    <x v="1"/>
    <x v="149"/>
    <x v="1"/>
    <x v="31"/>
    <n v="230"/>
    <n v="155"/>
    <n v="10"/>
    <n v="5"/>
    <n v="8167"/>
    <n v="3"/>
    <n v="8167"/>
    <n v="3"/>
    <n v="38"/>
    <n v="226"/>
    <n v="2024"/>
    <x v="7"/>
    <x v="0"/>
    <x v="2"/>
  </r>
  <r>
    <x v="1"/>
    <x v="149"/>
    <x v="1"/>
    <x v="32"/>
    <n v="10"/>
    <n v="4"/>
    <n v="1"/>
    <n v="0"/>
    <n v="2445"/>
    <n v="1"/>
    <n v="2445"/>
    <n v="1"/>
    <n v="2"/>
    <n v="10"/>
    <n v="2024"/>
    <x v="7"/>
    <x v="0"/>
    <x v="2"/>
  </r>
  <r>
    <x v="1"/>
    <x v="149"/>
    <x v="1"/>
    <x v="34"/>
    <n v="541"/>
    <n v="254"/>
    <n v="27"/>
    <n v="10"/>
    <n v="54491"/>
    <n v="13"/>
    <n v="50696"/>
    <n v="12"/>
    <n v="195"/>
    <n v="485"/>
    <n v="2024"/>
    <x v="7"/>
    <x v="0"/>
    <x v="2"/>
  </r>
  <r>
    <x v="1"/>
    <x v="149"/>
    <x v="1"/>
    <x v="36"/>
    <n v="3"/>
    <n v="2"/>
    <n v="0"/>
    <n v="0"/>
    <n v="0"/>
    <n v="0"/>
    <n v="0"/>
    <n v="0"/>
    <n v="0"/>
    <n v="3"/>
    <n v="2024"/>
    <x v="7"/>
    <x v="0"/>
    <x v="2"/>
  </r>
  <r>
    <x v="1"/>
    <x v="149"/>
    <x v="1"/>
    <x v="38"/>
    <n v="639"/>
    <n v="194"/>
    <n v="63"/>
    <n v="12"/>
    <n v="218390.85"/>
    <n v="41"/>
    <n v="191515.85"/>
    <n v="37"/>
    <n v="153"/>
    <n v="599"/>
    <n v="2024"/>
    <x v="7"/>
    <x v="0"/>
    <x v="2"/>
  </r>
  <r>
    <x v="1"/>
    <x v="149"/>
    <x v="1"/>
    <x v="60"/>
    <n v="9"/>
    <n v="4"/>
    <n v="0"/>
    <n v="0"/>
    <n v="0"/>
    <n v="0"/>
    <n v="0"/>
    <n v="0"/>
    <n v="0"/>
    <n v="9"/>
    <n v="2024"/>
    <x v="7"/>
    <x v="0"/>
    <x v="2"/>
  </r>
  <r>
    <x v="1"/>
    <x v="149"/>
    <x v="1"/>
    <x v="39"/>
    <n v="57"/>
    <n v="47"/>
    <n v="2"/>
    <n v="0"/>
    <n v="0"/>
    <n v="0"/>
    <n v="0"/>
    <n v="0"/>
    <n v="6"/>
    <n v="57"/>
    <n v="2024"/>
    <x v="7"/>
    <x v="0"/>
    <x v="2"/>
  </r>
  <r>
    <x v="1"/>
    <x v="149"/>
    <x v="1"/>
    <x v="41"/>
    <n v="5"/>
    <n v="0"/>
    <n v="0"/>
    <n v="0"/>
    <n v="0"/>
    <n v="0"/>
    <n v="0"/>
    <n v="0"/>
    <n v="0"/>
    <n v="5"/>
    <n v="2024"/>
    <x v="7"/>
    <x v="0"/>
    <x v="2"/>
  </r>
  <r>
    <x v="1"/>
    <x v="149"/>
    <x v="1"/>
    <x v="42"/>
    <n v="315"/>
    <n v="195"/>
    <n v="7"/>
    <n v="7"/>
    <n v="5093"/>
    <n v="2"/>
    <n v="2298"/>
    <n v="1"/>
    <n v="26"/>
    <n v="311"/>
    <n v="2024"/>
    <x v="7"/>
    <x v="0"/>
    <x v="2"/>
  </r>
  <r>
    <x v="1"/>
    <x v="149"/>
    <x v="1"/>
    <x v="43"/>
    <n v="215"/>
    <n v="112"/>
    <n v="5"/>
    <n v="6"/>
    <n v="7252"/>
    <n v="2"/>
    <n v="7252"/>
    <n v="2"/>
    <n v="166"/>
    <n v="138"/>
    <n v="2024"/>
    <x v="7"/>
    <x v="0"/>
    <x v="2"/>
  </r>
  <r>
    <x v="1"/>
    <x v="149"/>
    <x v="1"/>
    <x v="44"/>
    <n v="55"/>
    <n v="20"/>
    <n v="8"/>
    <n v="0"/>
    <n v="73738.16"/>
    <n v="21"/>
    <n v="70068.160000000003"/>
    <n v="21"/>
    <n v="3"/>
    <n v="55"/>
    <n v="2024"/>
    <x v="7"/>
    <x v="0"/>
    <x v="2"/>
  </r>
  <r>
    <x v="1"/>
    <x v="149"/>
    <x v="1"/>
    <x v="45"/>
    <n v="1"/>
    <n v="1"/>
    <n v="0"/>
    <n v="0"/>
    <n v="0"/>
    <n v="0"/>
    <n v="0"/>
    <n v="0"/>
    <n v="0"/>
    <n v="1"/>
    <n v="2024"/>
    <x v="7"/>
    <x v="0"/>
    <x v="2"/>
  </r>
  <r>
    <x v="1"/>
    <x v="150"/>
    <x v="0"/>
    <x v="0"/>
    <n v="360"/>
    <n v="154"/>
    <n v="12"/>
    <n v="1"/>
    <n v="8775"/>
    <n v="3"/>
    <n v="8775"/>
    <n v="3"/>
    <n v="36"/>
    <n v="347"/>
    <n v="2024"/>
    <x v="7"/>
    <x v="0"/>
    <x v="2"/>
  </r>
  <r>
    <x v="1"/>
    <x v="150"/>
    <x v="0"/>
    <x v="1"/>
    <n v="13859"/>
    <n v="8213"/>
    <n v="377"/>
    <n v="201"/>
    <n v="163193"/>
    <n v="42"/>
    <n v="95946"/>
    <n v="30"/>
    <n v="1182"/>
    <n v="13805"/>
    <n v="2024"/>
    <x v="7"/>
    <x v="0"/>
    <x v="2"/>
  </r>
  <r>
    <x v="1"/>
    <x v="150"/>
    <x v="0"/>
    <x v="2"/>
    <n v="1516"/>
    <n v="1285"/>
    <n v="24"/>
    <n v="7"/>
    <n v="40520"/>
    <n v="3"/>
    <n v="25525"/>
    <n v="2"/>
    <n v="1516"/>
    <n v="563"/>
    <n v="2024"/>
    <x v="7"/>
    <x v="0"/>
    <x v="2"/>
  </r>
  <r>
    <x v="1"/>
    <x v="150"/>
    <x v="0"/>
    <x v="3"/>
    <n v="1921"/>
    <n v="1411"/>
    <n v="27"/>
    <n v="11"/>
    <n v="0"/>
    <n v="0"/>
    <n v="0"/>
    <n v="0"/>
    <n v="59"/>
    <n v="596"/>
    <n v="2024"/>
    <x v="7"/>
    <x v="0"/>
    <x v="2"/>
  </r>
  <r>
    <x v="1"/>
    <x v="150"/>
    <x v="1"/>
    <x v="4"/>
    <n v="1"/>
    <n v="1"/>
    <n v="0"/>
    <n v="0"/>
    <n v="0"/>
    <n v="0"/>
    <n v="0"/>
    <n v="0"/>
    <n v="0"/>
    <n v="0"/>
    <n v="2024"/>
    <x v="7"/>
    <x v="0"/>
    <x v="2"/>
  </r>
  <r>
    <x v="1"/>
    <x v="150"/>
    <x v="1"/>
    <x v="5"/>
    <n v="9"/>
    <n v="6"/>
    <n v="0"/>
    <n v="0"/>
    <n v="0"/>
    <n v="0"/>
    <n v="0"/>
    <n v="0"/>
    <n v="1"/>
    <n v="9"/>
    <n v="2024"/>
    <x v="7"/>
    <x v="0"/>
    <x v="2"/>
  </r>
  <r>
    <x v="1"/>
    <x v="150"/>
    <x v="1"/>
    <x v="6"/>
    <n v="864"/>
    <n v="768"/>
    <n v="0"/>
    <n v="0"/>
    <n v="0"/>
    <n v="0"/>
    <n v="0"/>
    <n v="0"/>
    <n v="0"/>
    <n v="0"/>
    <n v="2024"/>
    <x v="7"/>
    <x v="0"/>
    <x v="2"/>
  </r>
  <r>
    <x v="1"/>
    <x v="150"/>
    <x v="1"/>
    <x v="7"/>
    <n v="730"/>
    <n v="175"/>
    <n v="66"/>
    <n v="3"/>
    <n v="178077.58"/>
    <n v="34"/>
    <n v="130272.58"/>
    <n v="28"/>
    <n v="175"/>
    <n v="701"/>
    <n v="2024"/>
    <x v="7"/>
    <x v="0"/>
    <x v="2"/>
  </r>
  <r>
    <x v="1"/>
    <x v="150"/>
    <x v="1"/>
    <x v="8"/>
    <n v="37"/>
    <n v="28"/>
    <n v="0"/>
    <n v="0"/>
    <n v="0"/>
    <n v="0"/>
    <n v="0"/>
    <n v="0"/>
    <n v="0"/>
    <n v="4"/>
    <n v="2024"/>
    <x v="7"/>
    <x v="0"/>
    <x v="2"/>
  </r>
  <r>
    <x v="1"/>
    <x v="150"/>
    <x v="1"/>
    <x v="9"/>
    <n v="4"/>
    <n v="0"/>
    <n v="1"/>
    <n v="0"/>
    <n v="0"/>
    <n v="0"/>
    <n v="0"/>
    <n v="0"/>
    <n v="0"/>
    <n v="4"/>
    <n v="2024"/>
    <x v="7"/>
    <x v="0"/>
    <x v="2"/>
  </r>
  <r>
    <x v="1"/>
    <x v="150"/>
    <x v="1"/>
    <x v="10"/>
    <n v="51"/>
    <n v="33"/>
    <n v="4"/>
    <n v="1"/>
    <n v="0"/>
    <n v="0"/>
    <n v="0"/>
    <n v="0"/>
    <n v="1"/>
    <n v="38"/>
    <n v="2024"/>
    <x v="7"/>
    <x v="0"/>
    <x v="2"/>
  </r>
  <r>
    <x v="1"/>
    <x v="150"/>
    <x v="1"/>
    <x v="11"/>
    <n v="2"/>
    <n v="1"/>
    <n v="0"/>
    <n v="0"/>
    <n v="0"/>
    <n v="0"/>
    <n v="0"/>
    <n v="0"/>
    <n v="2"/>
    <n v="0"/>
    <n v="2024"/>
    <x v="7"/>
    <x v="0"/>
    <x v="2"/>
  </r>
  <r>
    <x v="1"/>
    <x v="150"/>
    <x v="1"/>
    <x v="14"/>
    <n v="1"/>
    <n v="1"/>
    <n v="0"/>
    <n v="0"/>
    <n v="0"/>
    <n v="0"/>
    <n v="0"/>
    <n v="0"/>
    <n v="0"/>
    <n v="0"/>
    <n v="2024"/>
    <x v="7"/>
    <x v="0"/>
    <x v="2"/>
  </r>
  <r>
    <x v="1"/>
    <x v="150"/>
    <x v="1"/>
    <x v="59"/>
    <n v="1146"/>
    <n v="763"/>
    <n v="27"/>
    <n v="5"/>
    <n v="60083"/>
    <n v="10"/>
    <n v="39373"/>
    <n v="8"/>
    <n v="135"/>
    <n v="522"/>
    <n v="2024"/>
    <x v="7"/>
    <x v="0"/>
    <x v="2"/>
  </r>
  <r>
    <x v="1"/>
    <x v="150"/>
    <x v="1"/>
    <x v="15"/>
    <n v="26"/>
    <n v="22"/>
    <n v="0"/>
    <n v="0"/>
    <n v="0"/>
    <n v="0"/>
    <n v="0"/>
    <n v="0"/>
    <n v="0"/>
    <n v="26"/>
    <n v="2024"/>
    <x v="7"/>
    <x v="0"/>
    <x v="2"/>
  </r>
  <r>
    <x v="1"/>
    <x v="150"/>
    <x v="1"/>
    <x v="17"/>
    <n v="4"/>
    <n v="3"/>
    <n v="0"/>
    <n v="0"/>
    <n v="0"/>
    <n v="0"/>
    <n v="0"/>
    <n v="0"/>
    <n v="0"/>
    <n v="4"/>
    <n v="2024"/>
    <x v="7"/>
    <x v="0"/>
    <x v="2"/>
  </r>
  <r>
    <x v="1"/>
    <x v="150"/>
    <x v="1"/>
    <x v="18"/>
    <n v="11"/>
    <n v="10"/>
    <n v="1"/>
    <n v="0"/>
    <n v="0"/>
    <n v="0"/>
    <n v="0"/>
    <n v="0"/>
    <n v="3"/>
    <n v="9"/>
    <n v="2024"/>
    <x v="7"/>
    <x v="0"/>
    <x v="2"/>
  </r>
  <r>
    <x v="1"/>
    <x v="150"/>
    <x v="1"/>
    <x v="19"/>
    <n v="1969"/>
    <n v="1073"/>
    <n v="90"/>
    <n v="15"/>
    <n v="84809"/>
    <n v="17"/>
    <n v="48232"/>
    <n v="12"/>
    <n v="604"/>
    <n v="1738"/>
    <n v="2024"/>
    <x v="7"/>
    <x v="0"/>
    <x v="2"/>
  </r>
  <r>
    <x v="1"/>
    <x v="150"/>
    <x v="1"/>
    <x v="20"/>
    <n v="130"/>
    <n v="110"/>
    <n v="1"/>
    <n v="0"/>
    <n v="0"/>
    <n v="0"/>
    <n v="0"/>
    <n v="0"/>
    <n v="8"/>
    <n v="128"/>
    <n v="2024"/>
    <x v="7"/>
    <x v="0"/>
    <x v="2"/>
  </r>
  <r>
    <x v="1"/>
    <x v="150"/>
    <x v="1"/>
    <x v="21"/>
    <n v="9"/>
    <n v="6"/>
    <n v="0"/>
    <n v="1"/>
    <n v="0"/>
    <n v="0"/>
    <n v="0"/>
    <n v="0"/>
    <n v="0"/>
    <n v="9"/>
    <n v="2024"/>
    <x v="7"/>
    <x v="0"/>
    <x v="2"/>
  </r>
  <r>
    <x v="1"/>
    <x v="150"/>
    <x v="1"/>
    <x v="22"/>
    <n v="35"/>
    <n v="10"/>
    <n v="2"/>
    <n v="1"/>
    <n v="4990"/>
    <n v="1"/>
    <n v="4990"/>
    <n v="1"/>
    <n v="2"/>
    <n v="31"/>
    <n v="2024"/>
    <x v="7"/>
    <x v="0"/>
    <x v="2"/>
  </r>
  <r>
    <x v="1"/>
    <x v="150"/>
    <x v="1"/>
    <x v="24"/>
    <n v="31"/>
    <n v="18"/>
    <n v="4"/>
    <n v="0"/>
    <n v="2990"/>
    <n v="1"/>
    <n v="2990"/>
    <n v="1"/>
    <n v="4"/>
    <n v="29"/>
    <n v="2024"/>
    <x v="7"/>
    <x v="0"/>
    <x v="2"/>
  </r>
  <r>
    <x v="1"/>
    <x v="150"/>
    <x v="1"/>
    <x v="27"/>
    <n v="133"/>
    <n v="48"/>
    <n v="24"/>
    <n v="1"/>
    <n v="93505"/>
    <n v="15"/>
    <n v="44060"/>
    <n v="10"/>
    <n v="50"/>
    <n v="124"/>
    <n v="2024"/>
    <x v="7"/>
    <x v="0"/>
    <x v="2"/>
  </r>
  <r>
    <x v="1"/>
    <x v="150"/>
    <x v="1"/>
    <x v="29"/>
    <n v="1637"/>
    <n v="1226"/>
    <n v="80"/>
    <n v="16"/>
    <n v="36980"/>
    <n v="7"/>
    <n v="29063"/>
    <n v="7"/>
    <n v="400"/>
    <n v="1488"/>
    <n v="2024"/>
    <x v="7"/>
    <x v="0"/>
    <x v="2"/>
  </r>
  <r>
    <x v="1"/>
    <x v="150"/>
    <x v="1"/>
    <x v="30"/>
    <n v="7209"/>
    <n v="4409"/>
    <n v="108"/>
    <n v="44"/>
    <n v="129915"/>
    <n v="20"/>
    <n v="44323"/>
    <n v="13"/>
    <n v="1494"/>
    <n v="4888"/>
    <n v="2024"/>
    <x v="7"/>
    <x v="0"/>
    <x v="2"/>
  </r>
  <r>
    <x v="1"/>
    <x v="150"/>
    <x v="1"/>
    <x v="31"/>
    <n v="151"/>
    <n v="104"/>
    <n v="7"/>
    <n v="4"/>
    <n v="5980"/>
    <n v="1"/>
    <n v="0"/>
    <n v="0"/>
    <n v="19"/>
    <n v="149"/>
    <n v="2024"/>
    <x v="7"/>
    <x v="0"/>
    <x v="2"/>
  </r>
  <r>
    <x v="1"/>
    <x v="150"/>
    <x v="1"/>
    <x v="32"/>
    <n v="3"/>
    <n v="2"/>
    <n v="1"/>
    <n v="0"/>
    <n v="0"/>
    <n v="0"/>
    <n v="0"/>
    <n v="0"/>
    <n v="1"/>
    <n v="2"/>
    <n v="2024"/>
    <x v="7"/>
    <x v="0"/>
    <x v="2"/>
  </r>
  <r>
    <x v="1"/>
    <x v="150"/>
    <x v="1"/>
    <x v="34"/>
    <n v="397"/>
    <n v="188"/>
    <n v="27"/>
    <n v="5"/>
    <n v="39070"/>
    <n v="7"/>
    <n v="15390"/>
    <n v="5"/>
    <n v="133"/>
    <n v="357"/>
    <n v="2024"/>
    <x v="7"/>
    <x v="0"/>
    <x v="2"/>
  </r>
  <r>
    <x v="1"/>
    <x v="150"/>
    <x v="1"/>
    <x v="36"/>
    <n v="4"/>
    <n v="4"/>
    <n v="0"/>
    <n v="0"/>
    <n v="0"/>
    <n v="0"/>
    <n v="0"/>
    <n v="0"/>
    <n v="1"/>
    <n v="3"/>
    <n v="2024"/>
    <x v="7"/>
    <x v="0"/>
    <x v="2"/>
  </r>
  <r>
    <x v="1"/>
    <x v="150"/>
    <x v="1"/>
    <x v="38"/>
    <n v="437"/>
    <n v="110"/>
    <n v="23"/>
    <n v="7"/>
    <n v="75439"/>
    <n v="13"/>
    <n v="51759"/>
    <n v="11"/>
    <n v="81"/>
    <n v="414"/>
    <n v="2024"/>
    <x v="7"/>
    <x v="0"/>
    <x v="2"/>
  </r>
  <r>
    <x v="1"/>
    <x v="150"/>
    <x v="1"/>
    <x v="60"/>
    <n v="5"/>
    <n v="2"/>
    <n v="0"/>
    <n v="0"/>
    <n v="0"/>
    <n v="0"/>
    <n v="0"/>
    <n v="0"/>
    <n v="0"/>
    <n v="5"/>
    <n v="2024"/>
    <x v="7"/>
    <x v="0"/>
    <x v="2"/>
  </r>
  <r>
    <x v="1"/>
    <x v="150"/>
    <x v="1"/>
    <x v="39"/>
    <n v="15"/>
    <n v="13"/>
    <n v="0"/>
    <n v="0"/>
    <n v="0"/>
    <n v="0"/>
    <n v="0"/>
    <n v="0"/>
    <n v="2"/>
    <n v="15"/>
    <n v="2024"/>
    <x v="7"/>
    <x v="0"/>
    <x v="2"/>
  </r>
  <r>
    <x v="1"/>
    <x v="150"/>
    <x v="1"/>
    <x v="41"/>
    <n v="4"/>
    <n v="2"/>
    <n v="1"/>
    <n v="0"/>
    <n v="0"/>
    <n v="0"/>
    <n v="0"/>
    <n v="0"/>
    <n v="0"/>
    <n v="4"/>
    <n v="2024"/>
    <x v="7"/>
    <x v="0"/>
    <x v="2"/>
  </r>
  <r>
    <x v="1"/>
    <x v="150"/>
    <x v="1"/>
    <x v="42"/>
    <n v="204"/>
    <n v="127"/>
    <n v="3"/>
    <n v="1"/>
    <n v="3960"/>
    <n v="1"/>
    <n v="1980"/>
    <n v="1"/>
    <n v="19"/>
    <n v="201"/>
    <n v="2024"/>
    <x v="7"/>
    <x v="0"/>
    <x v="2"/>
  </r>
  <r>
    <x v="1"/>
    <x v="150"/>
    <x v="1"/>
    <x v="43"/>
    <n v="139"/>
    <n v="70"/>
    <n v="3"/>
    <n v="1"/>
    <n v="0"/>
    <n v="0"/>
    <n v="0"/>
    <n v="0"/>
    <n v="88"/>
    <n v="88"/>
    <n v="2024"/>
    <x v="7"/>
    <x v="0"/>
    <x v="2"/>
  </r>
  <r>
    <x v="1"/>
    <x v="150"/>
    <x v="1"/>
    <x v="44"/>
    <n v="18"/>
    <n v="2"/>
    <n v="1"/>
    <n v="0"/>
    <n v="0"/>
    <n v="0"/>
    <n v="0"/>
    <n v="0"/>
    <n v="0"/>
    <n v="18"/>
    <n v="2024"/>
    <x v="7"/>
    <x v="0"/>
    <x v="2"/>
  </r>
  <r>
    <x v="1"/>
    <x v="151"/>
    <x v="0"/>
    <x v="0"/>
    <n v="277"/>
    <n v="94"/>
    <n v="6"/>
    <n v="2"/>
    <n v="15930"/>
    <n v="2"/>
    <n v="15930"/>
    <n v="2"/>
    <n v="28"/>
    <n v="262"/>
    <n v="2024"/>
    <x v="7"/>
    <x v="0"/>
    <x v="2"/>
  </r>
  <r>
    <x v="1"/>
    <x v="151"/>
    <x v="0"/>
    <x v="1"/>
    <n v="11729"/>
    <n v="6681"/>
    <n v="352"/>
    <n v="165"/>
    <n v="293685.5"/>
    <n v="38"/>
    <n v="139616"/>
    <n v="28"/>
    <n v="968"/>
    <n v="11694"/>
    <n v="2024"/>
    <x v="7"/>
    <x v="0"/>
    <x v="2"/>
  </r>
  <r>
    <x v="1"/>
    <x v="151"/>
    <x v="0"/>
    <x v="2"/>
    <n v="1167"/>
    <n v="963"/>
    <n v="27"/>
    <n v="7"/>
    <n v="62840"/>
    <n v="3"/>
    <n v="58845"/>
    <n v="2"/>
    <n v="1167"/>
    <n v="415"/>
    <n v="2024"/>
    <x v="7"/>
    <x v="0"/>
    <x v="2"/>
  </r>
  <r>
    <x v="1"/>
    <x v="151"/>
    <x v="0"/>
    <x v="3"/>
    <n v="178"/>
    <n v="123"/>
    <n v="10"/>
    <n v="8"/>
    <n v="0"/>
    <n v="0"/>
    <n v="0"/>
    <n v="0"/>
    <n v="2"/>
    <n v="126"/>
    <n v="2024"/>
    <x v="7"/>
    <x v="0"/>
    <x v="2"/>
  </r>
  <r>
    <x v="1"/>
    <x v="151"/>
    <x v="1"/>
    <x v="5"/>
    <n v="4"/>
    <n v="3"/>
    <n v="0"/>
    <n v="0"/>
    <n v="0"/>
    <n v="0"/>
    <n v="0"/>
    <n v="0"/>
    <n v="0"/>
    <n v="4"/>
    <n v="2024"/>
    <x v="7"/>
    <x v="0"/>
    <x v="2"/>
  </r>
  <r>
    <x v="1"/>
    <x v="151"/>
    <x v="1"/>
    <x v="6"/>
    <n v="3"/>
    <n v="1"/>
    <n v="0"/>
    <n v="0"/>
    <n v="0"/>
    <n v="0"/>
    <n v="0"/>
    <n v="0"/>
    <n v="0"/>
    <n v="1"/>
    <n v="2024"/>
    <x v="7"/>
    <x v="0"/>
    <x v="2"/>
  </r>
  <r>
    <x v="1"/>
    <x v="151"/>
    <x v="1"/>
    <x v="7"/>
    <n v="570"/>
    <n v="113"/>
    <n v="46"/>
    <n v="5"/>
    <n v="179309.01"/>
    <n v="29"/>
    <n v="139126.51"/>
    <n v="26"/>
    <n v="144"/>
    <n v="553"/>
    <n v="2024"/>
    <x v="7"/>
    <x v="0"/>
    <x v="2"/>
  </r>
  <r>
    <x v="1"/>
    <x v="151"/>
    <x v="1"/>
    <x v="8"/>
    <n v="4"/>
    <n v="1"/>
    <n v="1"/>
    <n v="0"/>
    <n v="0"/>
    <n v="0"/>
    <n v="0"/>
    <n v="0"/>
    <n v="0"/>
    <n v="4"/>
    <n v="2024"/>
    <x v="7"/>
    <x v="0"/>
    <x v="2"/>
  </r>
  <r>
    <x v="1"/>
    <x v="151"/>
    <x v="1"/>
    <x v="9"/>
    <n v="3"/>
    <n v="1"/>
    <n v="0"/>
    <n v="0"/>
    <n v="0"/>
    <n v="0"/>
    <n v="0"/>
    <n v="0"/>
    <n v="0"/>
    <n v="3"/>
    <n v="2024"/>
    <x v="7"/>
    <x v="0"/>
    <x v="2"/>
  </r>
  <r>
    <x v="1"/>
    <x v="151"/>
    <x v="1"/>
    <x v="10"/>
    <n v="15"/>
    <n v="9"/>
    <n v="1"/>
    <n v="0"/>
    <n v="8267"/>
    <n v="1"/>
    <n v="0"/>
    <n v="0"/>
    <n v="5"/>
    <n v="13"/>
    <n v="2024"/>
    <x v="7"/>
    <x v="0"/>
    <x v="2"/>
  </r>
  <r>
    <x v="1"/>
    <x v="151"/>
    <x v="1"/>
    <x v="11"/>
    <n v="2"/>
    <n v="1"/>
    <n v="0"/>
    <n v="0"/>
    <n v="0"/>
    <n v="0"/>
    <n v="0"/>
    <n v="0"/>
    <n v="0"/>
    <n v="2"/>
    <n v="2024"/>
    <x v="7"/>
    <x v="0"/>
    <x v="2"/>
  </r>
  <r>
    <x v="1"/>
    <x v="151"/>
    <x v="1"/>
    <x v="59"/>
    <n v="461"/>
    <n v="206"/>
    <n v="18"/>
    <n v="8"/>
    <n v="38932"/>
    <n v="7"/>
    <n v="22300"/>
    <n v="5"/>
    <n v="78"/>
    <n v="402"/>
    <n v="2024"/>
    <x v="7"/>
    <x v="0"/>
    <x v="2"/>
  </r>
  <r>
    <x v="1"/>
    <x v="151"/>
    <x v="1"/>
    <x v="15"/>
    <n v="15"/>
    <n v="14"/>
    <n v="0"/>
    <n v="0"/>
    <n v="0"/>
    <n v="0"/>
    <n v="0"/>
    <n v="0"/>
    <n v="0"/>
    <n v="15"/>
    <n v="2024"/>
    <x v="7"/>
    <x v="0"/>
    <x v="2"/>
  </r>
  <r>
    <x v="1"/>
    <x v="151"/>
    <x v="1"/>
    <x v="17"/>
    <n v="2"/>
    <n v="2"/>
    <n v="0"/>
    <n v="0"/>
    <n v="0"/>
    <n v="0"/>
    <n v="0"/>
    <n v="0"/>
    <n v="0"/>
    <n v="2"/>
    <n v="2024"/>
    <x v="7"/>
    <x v="0"/>
    <x v="2"/>
  </r>
  <r>
    <x v="1"/>
    <x v="151"/>
    <x v="1"/>
    <x v="18"/>
    <n v="16"/>
    <n v="12"/>
    <n v="3"/>
    <n v="0"/>
    <n v="4925"/>
    <n v="1"/>
    <n v="4925"/>
    <n v="1"/>
    <n v="3"/>
    <n v="16"/>
    <n v="2024"/>
    <x v="7"/>
    <x v="0"/>
    <x v="2"/>
  </r>
  <r>
    <x v="1"/>
    <x v="151"/>
    <x v="1"/>
    <x v="19"/>
    <n v="1698"/>
    <n v="907"/>
    <n v="77"/>
    <n v="11"/>
    <n v="163951.01"/>
    <n v="18"/>
    <n v="105576.51"/>
    <n v="15"/>
    <n v="479"/>
    <n v="1570"/>
    <n v="2024"/>
    <x v="7"/>
    <x v="0"/>
    <x v="2"/>
  </r>
  <r>
    <x v="1"/>
    <x v="151"/>
    <x v="1"/>
    <x v="20"/>
    <n v="31"/>
    <n v="17"/>
    <n v="0"/>
    <n v="2"/>
    <n v="0"/>
    <n v="0"/>
    <n v="0"/>
    <n v="0"/>
    <n v="0"/>
    <n v="31"/>
    <n v="2024"/>
    <x v="7"/>
    <x v="0"/>
    <x v="2"/>
  </r>
  <r>
    <x v="1"/>
    <x v="151"/>
    <x v="1"/>
    <x v="21"/>
    <n v="4"/>
    <n v="2"/>
    <n v="0"/>
    <n v="0"/>
    <n v="0"/>
    <n v="0"/>
    <n v="0"/>
    <n v="0"/>
    <n v="0"/>
    <n v="4"/>
    <n v="2024"/>
    <x v="7"/>
    <x v="0"/>
    <x v="2"/>
  </r>
  <r>
    <x v="1"/>
    <x v="151"/>
    <x v="1"/>
    <x v="22"/>
    <n v="12"/>
    <n v="2"/>
    <n v="2"/>
    <n v="0"/>
    <n v="0"/>
    <n v="0"/>
    <n v="0"/>
    <n v="0"/>
    <n v="0"/>
    <n v="11"/>
    <n v="2024"/>
    <x v="7"/>
    <x v="0"/>
    <x v="2"/>
  </r>
  <r>
    <x v="1"/>
    <x v="151"/>
    <x v="1"/>
    <x v="24"/>
    <n v="30"/>
    <n v="13"/>
    <n v="3"/>
    <n v="0"/>
    <n v="2750"/>
    <n v="1"/>
    <n v="2750"/>
    <n v="1"/>
    <n v="5"/>
    <n v="28"/>
    <n v="2024"/>
    <x v="7"/>
    <x v="0"/>
    <x v="2"/>
  </r>
  <r>
    <x v="1"/>
    <x v="151"/>
    <x v="1"/>
    <x v="27"/>
    <n v="108"/>
    <n v="45"/>
    <n v="11"/>
    <n v="5"/>
    <n v="51882.01"/>
    <n v="5"/>
    <n v="46082.01"/>
    <n v="5"/>
    <n v="33"/>
    <n v="100"/>
    <n v="2024"/>
    <x v="7"/>
    <x v="0"/>
    <x v="2"/>
  </r>
  <r>
    <x v="1"/>
    <x v="151"/>
    <x v="1"/>
    <x v="29"/>
    <n v="1273"/>
    <n v="932"/>
    <n v="49"/>
    <n v="17"/>
    <n v="56044"/>
    <n v="12"/>
    <n v="41954"/>
    <n v="10"/>
    <n v="302"/>
    <n v="1178"/>
    <n v="2024"/>
    <x v="7"/>
    <x v="0"/>
    <x v="2"/>
  </r>
  <r>
    <x v="1"/>
    <x v="151"/>
    <x v="1"/>
    <x v="30"/>
    <n v="4873"/>
    <n v="2705"/>
    <n v="102"/>
    <n v="37"/>
    <n v="55149.5"/>
    <n v="12"/>
    <n v="28230"/>
    <n v="6"/>
    <n v="1448"/>
    <n v="3756"/>
    <n v="2024"/>
    <x v="7"/>
    <x v="0"/>
    <x v="2"/>
  </r>
  <r>
    <x v="1"/>
    <x v="151"/>
    <x v="1"/>
    <x v="31"/>
    <n v="137"/>
    <n v="96"/>
    <n v="10"/>
    <n v="0"/>
    <n v="1750"/>
    <n v="1"/>
    <n v="1750"/>
    <n v="1"/>
    <n v="22"/>
    <n v="135"/>
    <n v="2024"/>
    <x v="7"/>
    <x v="0"/>
    <x v="2"/>
  </r>
  <r>
    <x v="1"/>
    <x v="151"/>
    <x v="1"/>
    <x v="32"/>
    <n v="5"/>
    <n v="3"/>
    <n v="0"/>
    <n v="0"/>
    <n v="0"/>
    <n v="0"/>
    <n v="0"/>
    <n v="0"/>
    <n v="1"/>
    <n v="5"/>
    <n v="2024"/>
    <x v="7"/>
    <x v="0"/>
    <x v="2"/>
  </r>
  <r>
    <x v="1"/>
    <x v="151"/>
    <x v="1"/>
    <x v="34"/>
    <n v="338"/>
    <n v="154"/>
    <n v="30"/>
    <n v="10"/>
    <n v="18300"/>
    <n v="4"/>
    <n v="10033"/>
    <n v="3"/>
    <n v="114"/>
    <n v="303"/>
    <n v="2024"/>
    <x v="7"/>
    <x v="0"/>
    <x v="2"/>
  </r>
  <r>
    <x v="1"/>
    <x v="151"/>
    <x v="1"/>
    <x v="36"/>
    <n v="1"/>
    <n v="1"/>
    <n v="0"/>
    <n v="0"/>
    <n v="0"/>
    <n v="0"/>
    <n v="0"/>
    <n v="0"/>
    <n v="0"/>
    <n v="1"/>
    <n v="2024"/>
    <x v="7"/>
    <x v="0"/>
    <x v="2"/>
  </r>
  <r>
    <x v="1"/>
    <x v="151"/>
    <x v="1"/>
    <x v="38"/>
    <n v="377"/>
    <n v="86"/>
    <n v="27"/>
    <n v="8"/>
    <n v="42591.5"/>
    <n v="12"/>
    <n v="32459"/>
    <n v="11"/>
    <n v="76"/>
    <n v="362"/>
    <n v="2024"/>
    <x v="7"/>
    <x v="0"/>
    <x v="2"/>
  </r>
  <r>
    <x v="1"/>
    <x v="151"/>
    <x v="1"/>
    <x v="60"/>
    <n v="2"/>
    <n v="1"/>
    <n v="0"/>
    <n v="0"/>
    <n v="0"/>
    <n v="0"/>
    <n v="0"/>
    <n v="0"/>
    <n v="0"/>
    <n v="2"/>
    <n v="2024"/>
    <x v="7"/>
    <x v="0"/>
    <x v="2"/>
  </r>
  <r>
    <x v="1"/>
    <x v="151"/>
    <x v="1"/>
    <x v="39"/>
    <n v="14"/>
    <n v="12"/>
    <n v="0"/>
    <n v="1"/>
    <n v="0"/>
    <n v="0"/>
    <n v="0"/>
    <n v="0"/>
    <n v="1"/>
    <n v="14"/>
    <n v="2024"/>
    <x v="7"/>
    <x v="0"/>
    <x v="2"/>
  </r>
  <r>
    <x v="1"/>
    <x v="151"/>
    <x v="1"/>
    <x v="41"/>
    <n v="7"/>
    <n v="4"/>
    <n v="0"/>
    <n v="0"/>
    <n v="0"/>
    <n v="0"/>
    <n v="0"/>
    <n v="0"/>
    <n v="0"/>
    <n v="7"/>
    <n v="2024"/>
    <x v="7"/>
    <x v="0"/>
    <x v="2"/>
  </r>
  <r>
    <x v="1"/>
    <x v="151"/>
    <x v="1"/>
    <x v="42"/>
    <n v="185"/>
    <n v="85"/>
    <n v="3"/>
    <n v="2"/>
    <n v="2610"/>
    <n v="1"/>
    <n v="2610"/>
    <n v="1"/>
    <n v="13"/>
    <n v="178"/>
    <n v="2024"/>
    <x v="7"/>
    <x v="0"/>
    <x v="2"/>
  </r>
  <r>
    <x v="1"/>
    <x v="151"/>
    <x v="1"/>
    <x v="43"/>
    <n v="106"/>
    <n v="43"/>
    <n v="0"/>
    <n v="0"/>
    <n v="0"/>
    <n v="0"/>
    <n v="0"/>
    <n v="0"/>
    <n v="85"/>
    <n v="66"/>
    <n v="2024"/>
    <x v="7"/>
    <x v="0"/>
    <x v="2"/>
  </r>
  <r>
    <x v="1"/>
    <x v="151"/>
    <x v="1"/>
    <x v="44"/>
    <n v="11"/>
    <n v="2"/>
    <n v="1"/>
    <n v="0"/>
    <n v="0"/>
    <n v="0"/>
    <n v="0"/>
    <n v="0"/>
    <n v="1"/>
    <n v="11"/>
    <n v="2024"/>
    <x v="7"/>
    <x v="0"/>
    <x v="2"/>
  </r>
  <r>
    <x v="1"/>
    <x v="152"/>
    <x v="0"/>
    <x v="0"/>
    <n v="293"/>
    <n v="95"/>
    <n v="4"/>
    <n v="2"/>
    <n v="1990"/>
    <n v="1"/>
    <n v="1990"/>
    <n v="1"/>
    <n v="23"/>
    <n v="286"/>
    <n v="2024"/>
    <x v="7"/>
    <x v="0"/>
    <x v="2"/>
  </r>
  <r>
    <x v="1"/>
    <x v="152"/>
    <x v="0"/>
    <x v="1"/>
    <n v="10926"/>
    <n v="5961"/>
    <n v="269"/>
    <n v="134"/>
    <n v="172687"/>
    <n v="32"/>
    <n v="93559.5"/>
    <n v="22"/>
    <n v="845"/>
    <n v="10887"/>
    <n v="2024"/>
    <x v="7"/>
    <x v="0"/>
    <x v="2"/>
  </r>
  <r>
    <x v="1"/>
    <x v="152"/>
    <x v="0"/>
    <x v="2"/>
    <n v="1100"/>
    <n v="909"/>
    <n v="13"/>
    <n v="4"/>
    <n v="25343"/>
    <n v="9"/>
    <n v="16328"/>
    <n v="7"/>
    <n v="1100"/>
    <n v="417"/>
    <n v="2024"/>
    <x v="7"/>
    <x v="0"/>
    <x v="2"/>
  </r>
  <r>
    <x v="1"/>
    <x v="152"/>
    <x v="0"/>
    <x v="3"/>
    <n v="1917"/>
    <n v="1391"/>
    <n v="13"/>
    <n v="4"/>
    <n v="0"/>
    <n v="0"/>
    <n v="0"/>
    <n v="0"/>
    <n v="58"/>
    <n v="546"/>
    <n v="2024"/>
    <x v="7"/>
    <x v="0"/>
    <x v="2"/>
  </r>
  <r>
    <x v="1"/>
    <x v="152"/>
    <x v="1"/>
    <x v="4"/>
    <n v="1"/>
    <n v="0"/>
    <n v="0"/>
    <n v="0"/>
    <n v="0"/>
    <n v="0"/>
    <n v="0"/>
    <n v="0"/>
    <n v="0"/>
    <n v="0"/>
    <n v="2024"/>
    <x v="7"/>
    <x v="0"/>
    <x v="2"/>
  </r>
  <r>
    <x v="1"/>
    <x v="152"/>
    <x v="1"/>
    <x v="5"/>
    <n v="10"/>
    <n v="7"/>
    <n v="1"/>
    <n v="0"/>
    <n v="0"/>
    <n v="0"/>
    <n v="0"/>
    <n v="0"/>
    <n v="2"/>
    <n v="10"/>
    <n v="2024"/>
    <x v="7"/>
    <x v="0"/>
    <x v="2"/>
  </r>
  <r>
    <x v="1"/>
    <x v="152"/>
    <x v="1"/>
    <x v="6"/>
    <n v="925"/>
    <n v="805"/>
    <n v="0"/>
    <n v="0"/>
    <n v="0"/>
    <n v="0"/>
    <n v="0"/>
    <n v="0"/>
    <n v="0"/>
    <n v="0"/>
    <n v="2024"/>
    <x v="7"/>
    <x v="0"/>
    <x v="2"/>
  </r>
  <r>
    <x v="1"/>
    <x v="152"/>
    <x v="1"/>
    <x v="7"/>
    <n v="512"/>
    <n v="96"/>
    <n v="39"/>
    <n v="6"/>
    <n v="130888.5"/>
    <n v="23"/>
    <n v="117308.5"/>
    <n v="21"/>
    <n v="109"/>
    <n v="500"/>
    <n v="2024"/>
    <x v="7"/>
    <x v="0"/>
    <x v="2"/>
  </r>
  <r>
    <x v="1"/>
    <x v="152"/>
    <x v="1"/>
    <x v="8"/>
    <n v="40"/>
    <n v="32"/>
    <n v="0"/>
    <n v="0"/>
    <n v="0"/>
    <n v="0"/>
    <n v="0"/>
    <n v="0"/>
    <n v="0"/>
    <n v="3"/>
    <n v="2024"/>
    <x v="7"/>
    <x v="0"/>
    <x v="2"/>
  </r>
  <r>
    <x v="1"/>
    <x v="152"/>
    <x v="1"/>
    <x v="9"/>
    <n v="3"/>
    <n v="0"/>
    <n v="0"/>
    <n v="0"/>
    <n v="0"/>
    <n v="0"/>
    <n v="0"/>
    <n v="0"/>
    <n v="0"/>
    <n v="2"/>
    <n v="2024"/>
    <x v="7"/>
    <x v="0"/>
    <x v="2"/>
  </r>
  <r>
    <x v="1"/>
    <x v="152"/>
    <x v="1"/>
    <x v="10"/>
    <n v="40"/>
    <n v="32"/>
    <n v="1"/>
    <n v="0"/>
    <n v="0"/>
    <n v="0"/>
    <n v="0"/>
    <n v="0"/>
    <n v="1"/>
    <n v="9"/>
    <n v="2024"/>
    <x v="7"/>
    <x v="0"/>
    <x v="2"/>
  </r>
  <r>
    <x v="1"/>
    <x v="152"/>
    <x v="1"/>
    <x v="11"/>
    <n v="3"/>
    <n v="2"/>
    <n v="0"/>
    <n v="0"/>
    <n v="0"/>
    <n v="0"/>
    <n v="0"/>
    <n v="0"/>
    <n v="0"/>
    <n v="3"/>
    <n v="2024"/>
    <x v="7"/>
    <x v="0"/>
    <x v="2"/>
  </r>
  <r>
    <x v="1"/>
    <x v="152"/>
    <x v="1"/>
    <x v="59"/>
    <n v="8523"/>
    <n v="8043"/>
    <n v="21"/>
    <n v="7"/>
    <n v="31077"/>
    <n v="8"/>
    <n v="26629.5"/>
    <n v="8"/>
    <n v="86"/>
    <n v="403"/>
    <n v="2024"/>
    <x v="7"/>
    <x v="0"/>
    <x v="2"/>
  </r>
  <r>
    <x v="1"/>
    <x v="152"/>
    <x v="1"/>
    <x v="15"/>
    <n v="23"/>
    <n v="21"/>
    <n v="1"/>
    <n v="1"/>
    <n v="0"/>
    <n v="0"/>
    <n v="0"/>
    <n v="0"/>
    <n v="0"/>
    <n v="23"/>
    <n v="2024"/>
    <x v="7"/>
    <x v="0"/>
    <x v="2"/>
  </r>
  <r>
    <x v="1"/>
    <x v="152"/>
    <x v="1"/>
    <x v="17"/>
    <n v="1"/>
    <n v="1"/>
    <n v="0"/>
    <n v="0"/>
    <n v="0"/>
    <n v="0"/>
    <n v="0"/>
    <n v="0"/>
    <n v="0"/>
    <n v="1"/>
    <n v="2024"/>
    <x v="7"/>
    <x v="0"/>
    <x v="2"/>
  </r>
  <r>
    <x v="1"/>
    <x v="152"/>
    <x v="1"/>
    <x v="18"/>
    <n v="9"/>
    <n v="8"/>
    <n v="0"/>
    <n v="0"/>
    <n v="0"/>
    <n v="0"/>
    <n v="0"/>
    <n v="0"/>
    <n v="1"/>
    <n v="6"/>
    <n v="2024"/>
    <x v="7"/>
    <x v="0"/>
    <x v="2"/>
  </r>
  <r>
    <x v="1"/>
    <x v="152"/>
    <x v="1"/>
    <x v="19"/>
    <n v="1963"/>
    <n v="1189"/>
    <n v="59"/>
    <n v="23"/>
    <n v="121681"/>
    <n v="22"/>
    <n v="86449"/>
    <n v="18"/>
    <n v="443"/>
    <n v="1692"/>
    <n v="2024"/>
    <x v="7"/>
    <x v="0"/>
    <x v="2"/>
  </r>
  <r>
    <x v="1"/>
    <x v="152"/>
    <x v="1"/>
    <x v="20"/>
    <n v="28"/>
    <n v="17"/>
    <n v="1"/>
    <n v="0"/>
    <n v="2457"/>
    <n v="1"/>
    <n v="0"/>
    <n v="0"/>
    <n v="2"/>
    <n v="28"/>
    <n v="2024"/>
    <x v="7"/>
    <x v="0"/>
    <x v="2"/>
  </r>
  <r>
    <x v="1"/>
    <x v="152"/>
    <x v="1"/>
    <x v="21"/>
    <n v="6"/>
    <n v="5"/>
    <n v="1"/>
    <n v="0"/>
    <n v="0"/>
    <n v="0"/>
    <n v="0"/>
    <n v="0"/>
    <n v="1"/>
    <n v="6"/>
    <n v="2024"/>
    <x v="7"/>
    <x v="0"/>
    <x v="2"/>
  </r>
  <r>
    <x v="1"/>
    <x v="152"/>
    <x v="1"/>
    <x v="22"/>
    <n v="22"/>
    <n v="13"/>
    <n v="1"/>
    <n v="0"/>
    <n v="3450"/>
    <n v="1"/>
    <n v="3450"/>
    <n v="1"/>
    <n v="0"/>
    <n v="10"/>
    <n v="2024"/>
    <x v="7"/>
    <x v="0"/>
    <x v="2"/>
  </r>
  <r>
    <x v="1"/>
    <x v="152"/>
    <x v="1"/>
    <x v="24"/>
    <n v="29"/>
    <n v="14"/>
    <n v="1"/>
    <n v="0"/>
    <n v="1980"/>
    <n v="1"/>
    <n v="1980"/>
    <n v="1"/>
    <n v="1"/>
    <n v="26"/>
    <n v="2024"/>
    <x v="7"/>
    <x v="0"/>
    <x v="2"/>
  </r>
  <r>
    <x v="1"/>
    <x v="152"/>
    <x v="1"/>
    <x v="27"/>
    <n v="127"/>
    <n v="46"/>
    <n v="15"/>
    <n v="3"/>
    <n v="45702"/>
    <n v="8"/>
    <n v="37294.5"/>
    <n v="8"/>
    <n v="40"/>
    <n v="124"/>
    <n v="2024"/>
    <x v="7"/>
    <x v="0"/>
    <x v="2"/>
  </r>
  <r>
    <x v="1"/>
    <x v="152"/>
    <x v="1"/>
    <x v="29"/>
    <n v="1219"/>
    <n v="896"/>
    <n v="40"/>
    <n v="15"/>
    <n v="28753"/>
    <n v="9"/>
    <n v="25015"/>
    <n v="7"/>
    <n v="314"/>
    <n v="1057"/>
    <n v="2024"/>
    <x v="7"/>
    <x v="0"/>
    <x v="2"/>
  </r>
  <r>
    <x v="1"/>
    <x v="152"/>
    <x v="1"/>
    <x v="30"/>
    <n v="8308"/>
    <n v="5347"/>
    <n v="122"/>
    <n v="36"/>
    <n v="80134.5"/>
    <n v="17"/>
    <n v="57935"/>
    <n v="10"/>
    <n v="1395"/>
    <n v="5050"/>
    <n v="2024"/>
    <x v="7"/>
    <x v="0"/>
    <x v="2"/>
  </r>
  <r>
    <x v="1"/>
    <x v="152"/>
    <x v="1"/>
    <x v="31"/>
    <n v="151"/>
    <n v="94"/>
    <n v="4"/>
    <n v="0"/>
    <n v="12795"/>
    <n v="2"/>
    <n v="4447.5"/>
    <n v="1"/>
    <n v="20"/>
    <n v="150"/>
    <n v="2024"/>
    <x v="7"/>
    <x v="0"/>
    <x v="2"/>
  </r>
  <r>
    <x v="1"/>
    <x v="152"/>
    <x v="1"/>
    <x v="32"/>
    <n v="6"/>
    <n v="2"/>
    <n v="2"/>
    <n v="0"/>
    <n v="0"/>
    <n v="0"/>
    <n v="0"/>
    <n v="0"/>
    <n v="5"/>
    <n v="6"/>
    <n v="2024"/>
    <x v="7"/>
    <x v="0"/>
    <x v="2"/>
  </r>
  <r>
    <x v="1"/>
    <x v="152"/>
    <x v="1"/>
    <x v="34"/>
    <n v="346"/>
    <n v="134"/>
    <n v="28"/>
    <n v="6"/>
    <n v="20478"/>
    <n v="4"/>
    <n v="20478"/>
    <n v="4"/>
    <n v="113"/>
    <n v="299"/>
    <n v="2024"/>
    <x v="7"/>
    <x v="0"/>
    <x v="2"/>
  </r>
  <r>
    <x v="1"/>
    <x v="152"/>
    <x v="1"/>
    <x v="36"/>
    <n v="1"/>
    <n v="1"/>
    <n v="0"/>
    <n v="0"/>
    <n v="0"/>
    <n v="0"/>
    <n v="0"/>
    <n v="0"/>
    <n v="0"/>
    <n v="1"/>
    <n v="2024"/>
    <x v="7"/>
    <x v="0"/>
    <x v="2"/>
  </r>
  <r>
    <x v="1"/>
    <x v="152"/>
    <x v="1"/>
    <x v="38"/>
    <n v="403"/>
    <n v="103"/>
    <n v="21"/>
    <n v="8"/>
    <n v="68992.5"/>
    <n v="12"/>
    <n v="52697.5"/>
    <n v="10"/>
    <n v="73"/>
    <n v="362"/>
    <n v="2024"/>
    <x v="7"/>
    <x v="0"/>
    <x v="2"/>
  </r>
  <r>
    <x v="1"/>
    <x v="152"/>
    <x v="1"/>
    <x v="60"/>
    <n v="4"/>
    <n v="1"/>
    <n v="0"/>
    <n v="0"/>
    <n v="0"/>
    <n v="0"/>
    <n v="0"/>
    <n v="0"/>
    <n v="0"/>
    <n v="4"/>
    <n v="2024"/>
    <x v="7"/>
    <x v="0"/>
    <x v="2"/>
  </r>
  <r>
    <x v="1"/>
    <x v="152"/>
    <x v="1"/>
    <x v="39"/>
    <n v="18"/>
    <n v="14"/>
    <n v="0"/>
    <n v="0"/>
    <n v="0"/>
    <n v="0"/>
    <n v="0"/>
    <n v="0"/>
    <n v="1"/>
    <n v="18"/>
    <n v="2024"/>
    <x v="7"/>
    <x v="0"/>
    <x v="2"/>
  </r>
  <r>
    <x v="1"/>
    <x v="152"/>
    <x v="1"/>
    <x v="41"/>
    <n v="2"/>
    <n v="1"/>
    <n v="0"/>
    <n v="0"/>
    <n v="0"/>
    <n v="0"/>
    <n v="0"/>
    <n v="0"/>
    <n v="0"/>
    <n v="2"/>
    <n v="2024"/>
    <x v="7"/>
    <x v="0"/>
    <x v="2"/>
  </r>
  <r>
    <x v="1"/>
    <x v="152"/>
    <x v="1"/>
    <x v="42"/>
    <n v="174"/>
    <n v="99"/>
    <n v="3"/>
    <n v="2"/>
    <n v="5700"/>
    <n v="1"/>
    <n v="5700"/>
    <n v="1"/>
    <n v="14"/>
    <n v="164"/>
    <n v="2024"/>
    <x v="7"/>
    <x v="0"/>
    <x v="2"/>
  </r>
  <r>
    <x v="1"/>
    <x v="152"/>
    <x v="1"/>
    <x v="43"/>
    <n v="162"/>
    <n v="95"/>
    <n v="3"/>
    <n v="1"/>
    <n v="0"/>
    <n v="0"/>
    <n v="0"/>
    <n v="0"/>
    <n v="87"/>
    <n v="72"/>
    <n v="2024"/>
    <x v="7"/>
    <x v="0"/>
    <x v="2"/>
  </r>
  <r>
    <x v="1"/>
    <x v="152"/>
    <x v="1"/>
    <x v="44"/>
    <n v="5"/>
    <n v="0"/>
    <n v="0"/>
    <n v="0"/>
    <n v="0"/>
    <n v="0"/>
    <n v="0"/>
    <n v="0"/>
    <n v="0"/>
    <n v="5"/>
    <n v="2024"/>
    <x v="7"/>
    <x v="0"/>
    <x v="2"/>
  </r>
  <r>
    <x v="1"/>
    <x v="153"/>
    <x v="0"/>
    <x v="0"/>
    <n v="305"/>
    <n v="103"/>
    <n v="7"/>
    <n v="1"/>
    <n v="0"/>
    <n v="0"/>
    <n v="0"/>
    <n v="0"/>
    <n v="21"/>
    <n v="300"/>
    <n v="2024"/>
    <x v="7"/>
    <x v="0"/>
    <x v="2"/>
  </r>
  <r>
    <x v="1"/>
    <x v="153"/>
    <x v="0"/>
    <x v="1"/>
    <n v="11476"/>
    <n v="6489"/>
    <n v="263"/>
    <n v="126"/>
    <n v="157130"/>
    <n v="25"/>
    <n v="72015"/>
    <n v="16"/>
    <n v="868"/>
    <n v="11430"/>
    <n v="2024"/>
    <x v="7"/>
    <x v="0"/>
    <x v="2"/>
  </r>
  <r>
    <x v="1"/>
    <x v="153"/>
    <x v="0"/>
    <x v="2"/>
    <n v="1131"/>
    <n v="935"/>
    <n v="17"/>
    <n v="6"/>
    <n v="32296.5"/>
    <n v="8"/>
    <n v="32296.5"/>
    <n v="8"/>
    <n v="1130"/>
    <n v="422"/>
    <n v="2024"/>
    <x v="7"/>
    <x v="0"/>
    <x v="2"/>
  </r>
  <r>
    <x v="1"/>
    <x v="153"/>
    <x v="0"/>
    <x v="3"/>
    <n v="1808"/>
    <n v="1256"/>
    <n v="19"/>
    <n v="11"/>
    <n v="0"/>
    <n v="0"/>
    <n v="0"/>
    <n v="0"/>
    <n v="54"/>
    <n v="314"/>
    <n v="2024"/>
    <x v="7"/>
    <x v="0"/>
    <x v="2"/>
  </r>
  <r>
    <x v="1"/>
    <x v="153"/>
    <x v="1"/>
    <x v="5"/>
    <n v="5"/>
    <n v="3"/>
    <n v="0"/>
    <n v="0"/>
    <n v="0"/>
    <n v="0"/>
    <n v="0"/>
    <n v="0"/>
    <n v="0"/>
    <n v="5"/>
    <n v="2024"/>
    <x v="7"/>
    <x v="0"/>
    <x v="2"/>
  </r>
  <r>
    <x v="1"/>
    <x v="153"/>
    <x v="1"/>
    <x v="6"/>
    <n v="847"/>
    <n v="711"/>
    <n v="0"/>
    <n v="0"/>
    <n v="0"/>
    <n v="0"/>
    <n v="0"/>
    <n v="0"/>
    <n v="0"/>
    <n v="0"/>
    <n v="2024"/>
    <x v="7"/>
    <x v="0"/>
    <x v="2"/>
  </r>
  <r>
    <x v="1"/>
    <x v="153"/>
    <x v="1"/>
    <x v="7"/>
    <n v="540"/>
    <n v="90"/>
    <n v="50"/>
    <n v="4"/>
    <n v="128782.5"/>
    <n v="26"/>
    <n v="89738"/>
    <n v="18"/>
    <n v="107"/>
    <n v="528"/>
    <n v="2024"/>
    <x v="7"/>
    <x v="0"/>
    <x v="2"/>
  </r>
  <r>
    <x v="1"/>
    <x v="153"/>
    <x v="1"/>
    <x v="8"/>
    <n v="21"/>
    <n v="15"/>
    <n v="0"/>
    <n v="0"/>
    <n v="0"/>
    <n v="0"/>
    <n v="0"/>
    <n v="0"/>
    <n v="0"/>
    <n v="3"/>
    <n v="2024"/>
    <x v="7"/>
    <x v="0"/>
    <x v="2"/>
  </r>
  <r>
    <x v="1"/>
    <x v="153"/>
    <x v="1"/>
    <x v="9"/>
    <n v="7"/>
    <n v="4"/>
    <n v="0"/>
    <n v="0"/>
    <n v="0"/>
    <n v="0"/>
    <n v="0"/>
    <n v="0"/>
    <n v="1"/>
    <n v="5"/>
    <n v="2024"/>
    <x v="7"/>
    <x v="0"/>
    <x v="2"/>
  </r>
  <r>
    <x v="1"/>
    <x v="153"/>
    <x v="1"/>
    <x v="10"/>
    <n v="21"/>
    <n v="18"/>
    <n v="1"/>
    <n v="0"/>
    <n v="0"/>
    <n v="0"/>
    <n v="0"/>
    <n v="0"/>
    <n v="1"/>
    <n v="3"/>
    <n v="2024"/>
    <x v="7"/>
    <x v="0"/>
    <x v="2"/>
  </r>
  <r>
    <x v="1"/>
    <x v="153"/>
    <x v="1"/>
    <x v="11"/>
    <n v="1"/>
    <n v="1"/>
    <n v="0"/>
    <n v="0"/>
    <n v="0"/>
    <n v="0"/>
    <n v="0"/>
    <n v="0"/>
    <n v="1"/>
    <n v="0"/>
    <n v="2024"/>
    <x v="7"/>
    <x v="0"/>
    <x v="2"/>
  </r>
  <r>
    <x v="1"/>
    <x v="153"/>
    <x v="1"/>
    <x v="61"/>
    <n v="1"/>
    <n v="1"/>
    <n v="0"/>
    <n v="0"/>
    <n v="0"/>
    <n v="0"/>
    <n v="0"/>
    <n v="0"/>
    <n v="0"/>
    <n v="0"/>
    <n v="2024"/>
    <x v="7"/>
    <x v="0"/>
    <x v="2"/>
  </r>
  <r>
    <x v="1"/>
    <x v="153"/>
    <x v="1"/>
    <x v="59"/>
    <n v="3922"/>
    <n v="3542"/>
    <n v="23"/>
    <n v="6"/>
    <n v="26725"/>
    <n v="4"/>
    <n v="10325"/>
    <n v="3"/>
    <n v="100"/>
    <n v="393"/>
    <n v="2024"/>
    <x v="7"/>
    <x v="0"/>
    <x v="2"/>
  </r>
  <r>
    <x v="1"/>
    <x v="153"/>
    <x v="1"/>
    <x v="15"/>
    <n v="14"/>
    <n v="13"/>
    <n v="1"/>
    <n v="0"/>
    <n v="0"/>
    <n v="0"/>
    <n v="0"/>
    <n v="0"/>
    <n v="0"/>
    <n v="14"/>
    <n v="2024"/>
    <x v="7"/>
    <x v="0"/>
    <x v="2"/>
  </r>
  <r>
    <x v="1"/>
    <x v="153"/>
    <x v="1"/>
    <x v="17"/>
    <n v="8"/>
    <n v="7"/>
    <n v="0"/>
    <n v="0"/>
    <n v="0"/>
    <n v="0"/>
    <n v="0"/>
    <n v="0"/>
    <n v="0"/>
    <n v="8"/>
    <n v="2024"/>
    <x v="7"/>
    <x v="0"/>
    <x v="2"/>
  </r>
  <r>
    <x v="1"/>
    <x v="153"/>
    <x v="1"/>
    <x v="18"/>
    <n v="9"/>
    <n v="8"/>
    <n v="1"/>
    <n v="0"/>
    <n v="0"/>
    <n v="0"/>
    <n v="0"/>
    <n v="0"/>
    <n v="1"/>
    <n v="8"/>
    <n v="2024"/>
    <x v="7"/>
    <x v="0"/>
    <x v="2"/>
  </r>
  <r>
    <x v="1"/>
    <x v="153"/>
    <x v="1"/>
    <x v="19"/>
    <n v="2132"/>
    <n v="1260"/>
    <n v="77"/>
    <n v="22"/>
    <n v="97357"/>
    <n v="18"/>
    <n v="66742"/>
    <n v="13"/>
    <n v="455"/>
    <n v="1888"/>
    <n v="2024"/>
    <x v="7"/>
    <x v="0"/>
    <x v="2"/>
  </r>
  <r>
    <x v="1"/>
    <x v="153"/>
    <x v="1"/>
    <x v="20"/>
    <n v="39"/>
    <n v="20"/>
    <n v="0"/>
    <n v="1"/>
    <n v="0"/>
    <n v="0"/>
    <n v="0"/>
    <n v="0"/>
    <n v="1"/>
    <n v="39"/>
    <n v="2024"/>
    <x v="7"/>
    <x v="0"/>
    <x v="2"/>
  </r>
  <r>
    <x v="1"/>
    <x v="153"/>
    <x v="1"/>
    <x v="21"/>
    <n v="3"/>
    <n v="0"/>
    <n v="0"/>
    <n v="0"/>
    <n v="0"/>
    <n v="0"/>
    <n v="0"/>
    <n v="0"/>
    <n v="0"/>
    <n v="3"/>
    <n v="2024"/>
    <x v="7"/>
    <x v="0"/>
    <x v="2"/>
  </r>
  <r>
    <x v="1"/>
    <x v="153"/>
    <x v="1"/>
    <x v="22"/>
    <n v="28"/>
    <n v="20"/>
    <n v="0"/>
    <n v="0"/>
    <n v="0"/>
    <n v="0"/>
    <n v="0"/>
    <n v="0"/>
    <n v="0"/>
    <n v="10"/>
    <n v="2024"/>
    <x v="7"/>
    <x v="0"/>
    <x v="2"/>
  </r>
  <r>
    <x v="1"/>
    <x v="153"/>
    <x v="1"/>
    <x v="24"/>
    <n v="32"/>
    <n v="15"/>
    <n v="0"/>
    <n v="0"/>
    <n v="0"/>
    <n v="0"/>
    <n v="0"/>
    <n v="0"/>
    <n v="9"/>
    <n v="24"/>
    <n v="2024"/>
    <x v="7"/>
    <x v="0"/>
    <x v="2"/>
  </r>
  <r>
    <x v="1"/>
    <x v="153"/>
    <x v="1"/>
    <x v="27"/>
    <n v="171"/>
    <n v="53"/>
    <n v="16"/>
    <n v="2"/>
    <n v="68590"/>
    <n v="13"/>
    <n v="46390"/>
    <n v="11"/>
    <n v="52"/>
    <n v="163"/>
    <n v="2024"/>
    <x v="7"/>
    <x v="0"/>
    <x v="2"/>
  </r>
  <r>
    <x v="1"/>
    <x v="153"/>
    <x v="1"/>
    <x v="29"/>
    <n v="1415"/>
    <n v="1053"/>
    <n v="45"/>
    <n v="22"/>
    <n v="31600"/>
    <n v="8"/>
    <n v="22400"/>
    <n v="6"/>
    <n v="327"/>
    <n v="1249"/>
    <n v="2024"/>
    <x v="7"/>
    <x v="0"/>
    <x v="2"/>
  </r>
  <r>
    <x v="1"/>
    <x v="153"/>
    <x v="1"/>
    <x v="30"/>
    <n v="8057"/>
    <n v="5133"/>
    <n v="142"/>
    <n v="55"/>
    <n v="79151"/>
    <n v="15"/>
    <n v="60613"/>
    <n v="11"/>
    <n v="1461"/>
    <n v="5255"/>
    <n v="2024"/>
    <x v="7"/>
    <x v="0"/>
    <x v="2"/>
  </r>
  <r>
    <x v="1"/>
    <x v="153"/>
    <x v="1"/>
    <x v="31"/>
    <n v="142"/>
    <n v="91"/>
    <n v="5"/>
    <n v="4"/>
    <n v="0"/>
    <n v="0"/>
    <n v="0"/>
    <n v="0"/>
    <n v="14"/>
    <n v="135"/>
    <n v="2024"/>
    <x v="7"/>
    <x v="0"/>
    <x v="2"/>
  </r>
  <r>
    <x v="1"/>
    <x v="153"/>
    <x v="1"/>
    <x v="32"/>
    <n v="5"/>
    <n v="1"/>
    <n v="0"/>
    <n v="0"/>
    <n v="0"/>
    <n v="0"/>
    <n v="0"/>
    <n v="0"/>
    <n v="3"/>
    <n v="5"/>
    <n v="2024"/>
    <x v="7"/>
    <x v="0"/>
    <x v="2"/>
  </r>
  <r>
    <x v="1"/>
    <x v="153"/>
    <x v="1"/>
    <x v="34"/>
    <n v="328"/>
    <n v="129"/>
    <n v="16"/>
    <n v="5"/>
    <n v="33140"/>
    <n v="6"/>
    <n v="12840"/>
    <n v="4"/>
    <n v="109"/>
    <n v="290"/>
    <n v="2024"/>
    <x v="7"/>
    <x v="0"/>
    <x v="2"/>
  </r>
  <r>
    <x v="1"/>
    <x v="153"/>
    <x v="1"/>
    <x v="36"/>
    <n v="4"/>
    <n v="3"/>
    <n v="0"/>
    <n v="0"/>
    <n v="0"/>
    <n v="0"/>
    <n v="0"/>
    <n v="0"/>
    <n v="1"/>
    <n v="4"/>
    <n v="2024"/>
    <x v="7"/>
    <x v="0"/>
    <x v="2"/>
  </r>
  <r>
    <x v="1"/>
    <x v="153"/>
    <x v="1"/>
    <x v="38"/>
    <n v="423"/>
    <n v="93"/>
    <n v="21"/>
    <n v="6"/>
    <n v="128304.5"/>
    <n v="18"/>
    <n v="98642"/>
    <n v="13"/>
    <n v="82"/>
    <n v="392"/>
    <n v="2024"/>
    <x v="7"/>
    <x v="0"/>
    <x v="2"/>
  </r>
  <r>
    <x v="1"/>
    <x v="153"/>
    <x v="1"/>
    <x v="60"/>
    <n v="4"/>
    <n v="4"/>
    <n v="0"/>
    <n v="0"/>
    <n v="0"/>
    <n v="0"/>
    <n v="0"/>
    <n v="0"/>
    <n v="0"/>
    <n v="4"/>
    <n v="2024"/>
    <x v="7"/>
    <x v="0"/>
    <x v="2"/>
  </r>
  <r>
    <x v="1"/>
    <x v="153"/>
    <x v="1"/>
    <x v="39"/>
    <n v="17"/>
    <n v="12"/>
    <n v="0"/>
    <n v="0"/>
    <n v="0"/>
    <n v="0"/>
    <n v="0"/>
    <n v="0"/>
    <n v="2"/>
    <n v="17"/>
    <n v="2024"/>
    <x v="7"/>
    <x v="0"/>
    <x v="2"/>
  </r>
  <r>
    <x v="1"/>
    <x v="153"/>
    <x v="1"/>
    <x v="41"/>
    <n v="5"/>
    <n v="2"/>
    <n v="0"/>
    <n v="0"/>
    <n v="0"/>
    <n v="0"/>
    <n v="0"/>
    <n v="0"/>
    <n v="1"/>
    <n v="4"/>
    <n v="2024"/>
    <x v="7"/>
    <x v="0"/>
    <x v="2"/>
  </r>
  <r>
    <x v="1"/>
    <x v="153"/>
    <x v="1"/>
    <x v="42"/>
    <n v="167"/>
    <n v="69"/>
    <n v="4"/>
    <n v="2"/>
    <n v="3900"/>
    <n v="1"/>
    <n v="3900"/>
    <n v="1"/>
    <n v="15"/>
    <n v="162"/>
    <n v="2024"/>
    <x v="7"/>
    <x v="0"/>
    <x v="2"/>
  </r>
  <r>
    <x v="1"/>
    <x v="153"/>
    <x v="1"/>
    <x v="43"/>
    <n v="123"/>
    <n v="63"/>
    <n v="7"/>
    <n v="0"/>
    <n v="5400"/>
    <n v="1"/>
    <n v="0"/>
    <n v="0"/>
    <n v="76"/>
    <n v="59"/>
    <n v="2024"/>
    <x v="7"/>
    <x v="0"/>
    <x v="2"/>
  </r>
  <r>
    <x v="1"/>
    <x v="153"/>
    <x v="1"/>
    <x v="44"/>
    <n v="14"/>
    <n v="0"/>
    <n v="0"/>
    <n v="0"/>
    <n v="3900"/>
    <n v="1"/>
    <n v="3900"/>
    <n v="1"/>
    <n v="0"/>
    <n v="14"/>
    <n v="2024"/>
    <x v="7"/>
    <x v="0"/>
    <x v="2"/>
  </r>
  <r>
    <x v="1"/>
    <x v="154"/>
    <x v="0"/>
    <x v="0"/>
    <n v="288"/>
    <n v="107"/>
    <n v="4"/>
    <n v="2"/>
    <n v="0"/>
    <n v="0"/>
    <n v="0"/>
    <n v="0"/>
    <n v="18"/>
    <n v="282"/>
    <n v="2024"/>
    <x v="7"/>
    <x v="0"/>
    <x v="2"/>
  </r>
  <r>
    <x v="1"/>
    <x v="154"/>
    <x v="0"/>
    <x v="1"/>
    <n v="11351"/>
    <n v="6541"/>
    <n v="288"/>
    <n v="140"/>
    <n v="204708"/>
    <n v="34"/>
    <n v="111149.5"/>
    <n v="22"/>
    <n v="841"/>
    <n v="11312"/>
    <n v="2024"/>
    <x v="7"/>
    <x v="0"/>
    <x v="2"/>
  </r>
  <r>
    <x v="1"/>
    <x v="154"/>
    <x v="0"/>
    <x v="2"/>
    <n v="1129"/>
    <n v="916"/>
    <n v="16"/>
    <n v="4"/>
    <n v="14555"/>
    <n v="4"/>
    <n v="9560"/>
    <n v="3"/>
    <n v="1129"/>
    <n v="414"/>
    <n v="2024"/>
    <x v="7"/>
    <x v="0"/>
    <x v="2"/>
  </r>
  <r>
    <x v="1"/>
    <x v="154"/>
    <x v="0"/>
    <x v="3"/>
    <n v="285"/>
    <n v="158"/>
    <n v="11"/>
    <n v="12"/>
    <n v="0"/>
    <n v="0"/>
    <n v="0"/>
    <n v="0"/>
    <n v="8"/>
    <n v="236"/>
    <n v="2024"/>
    <x v="7"/>
    <x v="0"/>
    <x v="2"/>
  </r>
  <r>
    <x v="1"/>
    <x v="154"/>
    <x v="1"/>
    <x v="5"/>
    <n v="4"/>
    <n v="4"/>
    <n v="0"/>
    <n v="1"/>
    <n v="0"/>
    <n v="0"/>
    <n v="0"/>
    <n v="0"/>
    <n v="1"/>
    <n v="4"/>
    <n v="2024"/>
    <x v="7"/>
    <x v="0"/>
    <x v="2"/>
  </r>
  <r>
    <x v="1"/>
    <x v="154"/>
    <x v="1"/>
    <x v="6"/>
    <n v="1"/>
    <n v="0"/>
    <n v="0"/>
    <n v="0"/>
    <n v="0"/>
    <n v="0"/>
    <n v="0"/>
    <n v="0"/>
    <n v="0"/>
    <n v="1"/>
    <n v="2024"/>
    <x v="7"/>
    <x v="0"/>
    <x v="2"/>
  </r>
  <r>
    <x v="1"/>
    <x v="154"/>
    <x v="1"/>
    <x v="7"/>
    <n v="575"/>
    <n v="105"/>
    <n v="40"/>
    <n v="5"/>
    <n v="181364.5"/>
    <n v="33"/>
    <n v="178384.5"/>
    <n v="31"/>
    <n v="124"/>
    <n v="556"/>
    <n v="2024"/>
    <x v="7"/>
    <x v="0"/>
    <x v="2"/>
  </r>
  <r>
    <x v="1"/>
    <x v="154"/>
    <x v="1"/>
    <x v="8"/>
    <n v="3"/>
    <n v="0"/>
    <n v="0"/>
    <n v="0"/>
    <n v="0"/>
    <n v="0"/>
    <n v="0"/>
    <n v="0"/>
    <n v="0"/>
    <n v="3"/>
    <n v="2024"/>
    <x v="7"/>
    <x v="0"/>
    <x v="2"/>
  </r>
  <r>
    <x v="1"/>
    <x v="154"/>
    <x v="1"/>
    <x v="9"/>
    <n v="7"/>
    <n v="1"/>
    <n v="1"/>
    <n v="0"/>
    <n v="0"/>
    <n v="0"/>
    <n v="0"/>
    <n v="0"/>
    <n v="1"/>
    <n v="7"/>
    <n v="2024"/>
    <x v="7"/>
    <x v="0"/>
    <x v="2"/>
  </r>
  <r>
    <x v="1"/>
    <x v="154"/>
    <x v="1"/>
    <x v="10"/>
    <n v="20"/>
    <n v="9"/>
    <n v="2"/>
    <n v="1"/>
    <n v="0"/>
    <n v="0"/>
    <n v="0"/>
    <n v="0"/>
    <n v="2"/>
    <n v="19"/>
    <n v="2024"/>
    <x v="7"/>
    <x v="0"/>
    <x v="2"/>
  </r>
  <r>
    <x v="1"/>
    <x v="154"/>
    <x v="1"/>
    <x v="11"/>
    <n v="3"/>
    <n v="1"/>
    <n v="0"/>
    <n v="0"/>
    <n v="0"/>
    <n v="0"/>
    <n v="0"/>
    <n v="0"/>
    <n v="1"/>
    <n v="2"/>
    <n v="2024"/>
    <x v="7"/>
    <x v="0"/>
    <x v="2"/>
  </r>
  <r>
    <x v="1"/>
    <x v="154"/>
    <x v="1"/>
    <x v="59"/>
    <n v="400"/>
    <n v="147"/>
    <n v="28"/>
    <n v="9"/>
    <n v="31562.5"/>
    <n v="6"/>
    <n v="21315"/>
    <n v="5"/>
    <n v="98"/>
    <n v="353"/>
    <n v="2024"/>
    <x v="7"/>
    <x v="0"/>
    <x v="2"/>
  </r>
  <r>
    <x v="1"/>
    <x v="154"/>
    <x v="1"/>
    <x v="15"/>
    <n v="15"/>
    <n v="15"/>
    <n v="1"/>
    <n v="0"/>
    <n v="0"/>
    <n v="0"/>
    <n v="0"/>
    <n v="0"/>
    <n v="0"/>
    <n v="15"/>
    <n v="2024"/>
    <x v="7"/>
    <x v="0"/>
    <x v="2"/>
  </r>
  <r>
    <x v="1"/>
    <x v="154"/>
    <x v="1"/>
    <x v="17"/>
    <n v="6"/>
    <n v="6"/>
    <n v="0"/>
    <n v="0"/>
    <n v="0"/>
    <n v="0"/>
    <n v="0"/>
    <n v="0"/>
    <n v="0"/>
    <n v="6"/>
    <n v="2024"/>
    <x v="7"/>
    <x v="0"/>
    <x v="2"/>
  </r>
  <r>
    <x v="1"/>
    <x v="154"/>
    <x v="1"/>
    <x v="18"/>
    <n v="5"/>
    <n v="1"/>
    <n v="0"/>
    <n v="1"/>
    <n v="0"/>
    <n v="0"/>
    <n v="0"/>
    <n v="0"/>
    <n v="3"/>
    <n v="5"/>
    <n v="2024"/>
    <x v="7"/>
    <x v="0"/>
    <x v="2"/>
  </r>
  <r>
    <x v="1"/>
    <x v="154"/>
    <x v="1"/>
    <x v="19"/>
    <n v="2288"/>
    <n v="1418"/>
    <n v="108"/>
    <n v="28"/>
    <n v="155721.98000000001"/>
    <n v="25"/>
    <n v="100648.98"/>
    <n v="19"/>
    <n v="486"/>
    <n v="2189"/>
    <n v="2024"/>
    <x v="7"/>
    <x v="0"/>
    <x v="2"/>
  </r>
  <r>
    <x v="1"/>
    <x v="154"/>
    <x v="1"/>
    <x v="20"/>
    <n v="50"/>
    <n v="30"/>
    <n v="1"/>
    <n v="0"/>
    <n v="0"/>
    <n v="0"/>
    <n v="0"/>
    <n v="0"/>
    <n v="3"/>
    <n v="50"/>
    <n v="2024"/>
    <x v="7"/>
    <x v="0"/>
    <x v="2"/>
  </r>
  <r>
    <x v="1"/>
    <x v="154"/>
    <x v="1"/>
    <x v="21"/>
    <n v="4"/>
    <n v="2"/>
    <n v="0"/>
    <n v="0"/>
    <n v="0"/>
    <n v="0"/>
    <n v="0"/>
    <n v="0"/>
    <n v="0"/>
    <n v="4"/>
    <n v="2024"/>
    <x v="7"/>
    <x v="0"/>
    <x v="2"/>
  </r>
  <r>
    <x v="1"/>
    <x v="154"/>
    <x v="1"/>
    <x v="22"/>
    <n v="10"/>
    <n v="4"/>
    <n v="0"/>
    <n v="0"/>
    <n v="0"/>
    <n v="0"/>
    <n v="0"/>
    <n v="0"/>
    <n v="0"/>
    <n v="10"/>
    <n v="2024"/>
    <x v="7"/>
    <x v="0"/>
    <x v="2"/>
  </r>
  <r>
    <x v="1"/>
    <x v="154"/>
    <x v="1"/>
    <x v="24"/>
    <n v="33"/>
    <n v="20"/>
    <n v="3"/>
    <n v="0"/>
    <n v="11005"/>
    <n v="2"/>
    <n v="11005"/>
    <n v="2"/>
    <n v="5"/>
    <n v="29"/>
    <n v="2024"/>
    <x v="7"/>
    <x v="0"/>
    <x v="2"/>
  </r>
  <r>
    <x v="1"/>
    <x v="154"/>
    <x v="1"/>
    <x v="27"/>
    <n v="405"/>
    <n v="118"/>
    <n v="16"/>
    <n v="7"/>
    <n v="69101"/>
    <n v="12"/>
    <n v="61328"/>
    <n v="12"/>
    <n v="98"/>
    <n v="389"/>
    <n v="2024"/>
    <x v="7"/>
    <x v="0"/>
    <x v="2"/>
  </r>
  <r>
    <x v="1"/>
    <x v="154"/>
    <x v="1"/>
    <x v="29"/>
    <n v="1676"/>
    <n v="1287"/>
    <n v="44"/>
    <n v="15"/>
    <n v="64018.5"/>
    <n v="14"/>
    <n v="48733"/>
    <n v="11"/>
    <n v="334"/>
    <n v="1565"/>
    <n v="2024"/>
    <x v="7"/>
    <x v="0"/>
    <x v="2"/>
  </r>
  <r>
    <x v="1"/>
    <x v="154"/>
    <x v="1"/>
    <x v="30"/>
    <n v="5737"/>
    <n v="3175"/>
    <n v="122"/>
    <n v="56"/>
    <n v="60865"/>
    <n v="10"/>
    <n v="21470"/>
    <n v="6"/>
    <n v="1472"/>
    <n v="4656"/>
    <n v="2024"/>
    <x v="7"/>
    <x v="0"/>
    <x v="2"/>
  </r>
  <r>
    <x v="1"/>
    <x v="154"/>
    <x v="1"/>
    <x v="31"/>
    <n v="161"/>
    <n v="103"/>
    <n v="7"/>
    <n v="4"/>
    <n v="2990"/>
    <n v="1"/>
    <n v="0"/>
    <n v="0"/>
    <n v="24"/>
    <n v="157"/>
    <n v="2024"/>
    <x v="7"/>
    <x v="0"/>
    <x v="2"/>
  </r>
  <r>
    <x v="1"/>
    <x v="154"/>
    <x v="1"/>
    <x v="32"/>
    <n v="5"/>
    <n v="3"/>
    <n v="0"/>
    <n v="0"/>
    <n v="0"/>
    <n v="0"/>
    <n v="0"/>
    <n v="0"/>
    <n v="0"/>
    <n v="5"/>
    <n v="2024"/>
    <x v="7"/>
    <x v="0"/>
    <x v="2"/>
  </r>
  <r>
    <x v="1"/>
    <x v="154"/>
    <x v="1"/>
    <x v="34"/>
    <n v="304"/>
    <n v="115"/>
    <n v="20"/>
    <n v="5"/>
    <n v="23457.23"/>
    <n v="7"/>
    <n v="16497.23"/>
    <n v="5"/>
    <n v="97"/>
    <n v="274"/>
    <n v="2024"/>
    <x v="7"/>
    <x v="0"/>
    <x v="2"/>
  </r>
  <r>
    <x v="1"/>
    <x v="154"/>
    <x v="1"/>
    <x v="36"/>
    <n v="3"/>
    <n v="0"/>
    <n v="0"/>
    <n v="0"/>
    <n v="0"/>
    <n v="0"/>
    <n v="0"/>
    <n v="0"/>
    <n v="0"/>
    <n v="3"/>
    <n v="2024"/>
    <x v="7"/>
    <x v="0"/>
    <x v="2"/>
  </r>
  <r>
    <x v="1"/>
    <x v="154"/>
    <x v="1"/>
    <x v="38"/>
    <n v="432"/>
    <n v="85"/>
    <n v="28"/>
    <n v="9"/>
    <n v="52973.98"/>
    <n v="11"/>
    <n v="41577.980000000003"/>
    <n v="8"/>
    <n v="109"/>
    <n v="406"/>
    <n v="2024"/>
    <x v="7"/>
    <x v="0"/>
    <x v="2"/>
  </r>
  <r>
    <x v="1"/>
    <x v="154"/>
    <x v="1"/>
    <x v="60"/>
    <n v="3"/>
    <n v="2"/>
    <n v="0"/>
    <n v="0"/>
    <n v="0"/>
    <n v="0"/>
    <n v="0"/>
    <n v="0"/>
    <n v="0"/>
    <n v="3"/>
    <n v="2024"/>
    <x v="7"/>
    <x v="0"/>
    <x v="2"/>
  </r>
  <r>
    <x v="1"/>
    <x v="154"/>
    <x v="1"/>
    <x v="39"/>
    <n v="20"/>
    <n v="18"/>
    <n v="1"/>
    <n v="0"/>
    <n v="0"/>
    <n v="0"/>
    <n v="0"/>
    <n v="0"/>
    <n v="3"/>
    <n v="20"/>
    <n v="2024"/>
    <x v="7"/>
    <x v="0"/>
    <x v="2"/>
  </r>
  <r>
    <x v="1"/>
    <x v="154"/>
    <x v="1"/>
    <x v="41"/>
    <n v="5"/>
    <n v="2"/>
    <n v="0"/>
    <n v="0"/>
    <n v="0"/>
    <n v="0"/>
    <n v="0"/>
    <n v="0"/>
    <n v="1"/>
    <n v="5"/>
    <n v="2024"/>
    <x v="7"/>
    <x v="0"/>
    <x v="2"/>
  </r>
  <r>
    <x v="1"/>
    <x v="154"/>
    <x v="1"/>
    <x v="42"/>
    <n v="167"/>
    <n v="80"/>
    <n v="3"/>
    <n v="3"/>
    <n v="0"/>
    <n v="0"/>
    <n v="0"/>
    <n v="0"/>
    <n v="14"/>
    <n v="162"/>
    <n v="2024"/>
    <x v="7"/>
    <x v="0"/>
    <x v="2"/>
  </r>
  <r>
    <x v="1"/>
    <x v="154"/>
    <x v="1"/>
    <x v="43"/>
    <n v="110"/>
    <n v="50"/>
    <n v="1"/>
    <n v="1"/>
    <n v="0"/>
    <n v="0"/>
    <n v="0"/>
    <n v="0"/>
    <n v="90"/>
    <n v="60"/>
    <n v="2024"/>
    <x v="7"/>
    <x v="0"/>
    <x v="2"/>
  </r>
  <r>
    <x v="1"/>
    <x v="154"/>
    <x v="1"/>
    <x v="44"/>
    <n v="19"/>
    <n v="6"/>
    <n v="1"/>
    <n v="0"/>
    <n v="7720"/>
    <n v="1"/>
    <n v="7720"/>
    <n v="1"/>
    <n v="0"/>
    <n v="19"/>
    <n v="2024"/>
    <x v="7"/>
    <x v="0"/>
    <x v="2"/>
  </r>
  <r>
    <x v="1"/>
    <x v="154"/>
    <x v="1"/>
    <x v="45"/>
    <n v="1"/>
    <n v="0"/>
    <n v="0"/>
    <n v="0"/>
    <n v="0"/>
    <n v="0"/>
    <n v="0"/>
    <n v="0"/>
    <n v="0"/>
    <n v="1"/>
    <n v="2024"/>
    <x v="7"/>
    <x v="0"/>
    <x v="2"/>
  </r>
  <r>
    <x v="1"/>
    <x v="155"/>
    <x v="0"/>
    <x v="0"/>
    <n v="351"/>
    <n v="113"/>
    <n v="4"/>
    <n v="0"/>
    <n v="9395"/>
    <n v="1"/>
    <n v="3875"/>
    <n v="1"/>
    <n v="15"/>
    <n v="347"/>
    <n v="2024"/>
    <x v="7"/>
    <x v="0"/>
    <x v="2"/>
  </r>
  <r>
    <x v="1"/>
    <x v="155"/>
    <x v="0"/>
    <x v="1"/>
    <n v="12692"/>
    <n v="7114"/>
    <n v="297"/>
    <n v="157"/>
    <n v="220468"/>
    <n v="40"/>
    <n v="87671"/>
    <n v="23"/>
    <n v="847"/>
    <n v="12662"/>
    <n v="2024"/>
    <x v="7"/>
    <x v="0"/>
    <x v="2"/>
  </r>
  <r>
    <x v="1"/>
    <x v="155"/>
    <x v="0"/>
    <x v="2"/>
    <n v="1499"/>
    <n v="1246"/>
    <n v="21"/>
    <n v="8"/>
    <n v="12238"/>
    <n v="4"/>
    <n v="10558"/>
    <n v="4"/>
    <n v="1499"/>
    <n v="515"/>
    <n v="2024"/>
    <x v="7"/>
    <x v="0"/>
    <x v="2"/>
  </r>
  <r>
    <x v="1"/>
    <x v="155"/>
    <x v="0"/>
    <x v="3"/>
    <n v="172"/>
    <n v="103"/>
    <n v="9"/>
    <n v="5"/>
    <n v="0"/>
    <n v="0"/>
    <n v="0"/>
    <n v="0"/>
    <n v="5"/>
    <n v="122"/>
    <n v="2024"/>
    <x v="7"/>
    <x v="0"/>
    <x v="2"/>
  </r>
  <r>
    <x v="1"/>
    <x v="155"/>
    <x v="1"/>
    <x v="5"/>
    <n v="5"/>
    <n v="4"/>
    <n v="0"/>
    <n v="0"/>
    <n v="0"/>
    <n v="0"/>
    <n v="0"/>
    <n v="0"/>
    <n v="0"/>
    <n v="5"/>
    <n v="2024"/>
    <x v="7"/>
    <x v="0"/>
    <x v="2"/>
  </r>
  <r>
    <x v="1"/>
    <x v="155"/>
    <x v="1"/>
    <x v="6"/>
    <n v="3"/>
    <n v="2"/>
    <n v="0"/>
    <n v="0"/>
    <n v="0"/>
    <n v="0"/>
    <n v="0"/>
    <n v="0"/>
    <n v="0"/>
    <n v="0"/>
    <n v="2024"/>
    <x v="7"/>
    <x v="0"/>
    <x v="2"/>
  </r>
  <r>
    <x v="1"/>
    <x v="155"/>
    <x v="1"/>
    <x v="7"/>
    <n v="550"/>
    <n v="107"/>
    <n v="43"/>
    <n v="3"/>
    <n v="168346"/>
    <n v="32"/>
    <n v="124043.5"/>
    <n v="27"/>
    <n v="112"/>
    <n v="534"/>
    <n v="2024"/>
    <x v="7"/>
    <x v="0"/>
    <x v="2"/>
  </r>
  <r>
    <x v="1"/>
    <x v="155"/>
    <x v="1"/>
    <x v="8"/>
    <n v="6"/>
    <n v="2"/>
    <n v="0"/>
    <n v="0"/>
    <n v="0"/>
    <n v="0"/>
    <n v="0"/>
    <n v="0"/>
    <n v="0"/>
    <n v="6"/>
    <n v="2024"/>
    <x v="7"/>
    <x v="0"/>
    <x v="2"/>
  </r>
  <r>
    <x v="1"/>
    <x v="155"/>
    <x v="1"/>
    <x v="9"/>
    <n v="2"/>
    <n v="1"/>
    <n v="0"/>
    <n v="0"/>
    <n v="0"/>
    <n v="0"/>
    <n v="0"/>
    <n v="0"/>
    <n v="0"/>
    <n v="2"/>
    <n v="2024"/>
    <x v="7"/>
    <x v="0"/>
    <x v="2"/>
  </r>
  <r>
    <x v="1"/>
    <x v="155"/>
    <x v="1"/>
    <x v="10"/>
    <n v="23"/>
    <n v="11"/>
    <n v="1"/>
    <n v="1"/>
    <n v="0"/>
    <n v="0"/>
    <n v="0"/>
    <n v="0"/>
    <n v="2"/>
    <n v="22"/>
    <n v="2024"/>
    <x v="7"/>
    <x v="0"/>
    <x v="2"/>
  </r>
  <r>
    <x v="1"/>
    <x v="155"/>
    <x v="1"/>
    <x v="11"/>
    <n v="2"/>
    <n v="2"/>
    <n v="0"/>
    <n v="0"/>
    <n v="0"/>
    <n v="0"/>
    <n v="0"/>
    <n v="0"/>
    <n v="2"/>
    <n v="0"/>
    <n v="2024"/>
    <x v="7"/>
    <x v="0"/>
    <x v="2"/>
  </r>
  <r>
    <x v="1"/>
    <x v="155"/>
    <x v="1"/>
    <x v="59"/>
    <n v="476"/>
    <n v="169"/>
    <n v="29"/>
    <n v="7"/>
    <n v="56330"/>
    <n v="8"/>
    <n v="25850"/>
    <n v="5"/>
    <n v="72"/>
    <n v="422"/>
    <n v="2024"/>
    <x v="7"/>
    <x v="0"/>
    <x v="2"/>
  </r>
  <r>
    <x v="1"/>
    <x v="155"/>
    <x v="1"/>
    <x v="15"/>
    <n v="20"/>
    <n v="15"/>
    <n v="0"/>
    <n v="0"/>
    <n v="0"/>
    <n v="0"/>
    <n v="0"/>
    <n v="0"/>
    <n v="0"/>
    <n v="20"/>
    <n v="2024"/>
    <x v="7"/>
    <x v="0"/>
    <x v="2"/>
  </r>
  <r>
    <x v="1"/>
    <x v="155"/>
    <x v="1"/>
    <x v="17"/>
    <n v="9"/>
    <n v="8"/>
    <n v="1"/>
    <n v="0"/>
    <n v="0"/>
    <n v="0"/>
    <n v="0"/>
    <n v="0"/>
    <n v="0"/>
    <n v="9"/>
    <n v="2024"/>
    <x v="7"/>
    <x v="0"/>
    <x v="2"/>
  </r>
  <r>
    <x v="1"/>
    <x v="155"/>
    <x v="1"/>
    <x v="18"/>
    <n v="10"/>
    <n v="5"/>
    <n v="2"/>
    <n v="0"/>
    <n v="0"/>
    <n v="0"/>
    <n v="0"/>
    <n v="0"/>
    <n v="1"/>
    <n v="10"/>
    <n v="2024"/>
    <x v="7"/>
    <x v="0"/>
    <x v="2"/>
  </r>
  <r>
    <x v="1"/>
    <x v="155"/>
    <x v="1"/>
    <x v="19"/>
    <n v="1914"/>
    <n v="1065"/>
    <n v="66"/>
    <n v="16"/>
    <n v="102430.5"/>
    <n v="18"/>
    <n v="69843"/>
    <n v="14"/>
    <n v="496"/>
    <n v="1774"/>
    <n v="2024"/>
    <x v="7"/>
    <x v="0"/>
    <x v="2"/>
  </r>
  <r>
    <x v="1"/>
    <x v="155"/>
    <x v="1"/>
    <x v="20"/>
    <n v="74"/>
    <n v="45"/>
    <n v="1"/>
    <n v="0"/>
    <n v="7770"/>
    <n v="1"/>
    <n v="0"/>
    <n v="0"/>
    <n v="7"/>
    <n v="73"/>
    <n v="2024"/>
    <x v="7"/>
    <x v="0"/>
    <x v="2"/>
  </r>
  <r>
    <x v="1"/>
    <x v="155"/>
    <x v="1"/>
    <x v="21"/>
    <n v="2"/>
    <n v="2"/>
    <n v="0"/>
    <n v="0"/>
    <n v="0"/>
    <n v="0"/>
    <n v="0"/>
    <n v="0"/>
    <n v="0"/>
    <n v="2"/>
    <n v="2024"/>
    <x v="7"/>
    <x v="0"/>
    <x v="2"/>
  </r>
  <r>
    <x v="1"/>
    <x v="155"/>
    <x v="1"/>
    <x v="22"/>
    <n v="3"/>
    <n v="0"/>
    <n v="0"/>
    <n v="0"/>
    <n v="0"/>
    <n v="0"/>
    <n v="0"/>
    <n v="0"/>
    <n v="0"/>
    <n v="3"/>
    <n v="2024"/>
    <x v="7"/>
    <x v="0"/>
    <x v="2"/>
  </r>
  <r>
    <x v="1"/>
    <x v="155"/>
    <x v="1"/>
    <x v="24"/>
    <n v="19"/>
    <n v="15"/>
    <n v="2"/>
    <n v="0"/>
    <n v="0"/>
    <n v="0"/>
    <n v="0"/>
    <n v="0"/>
    <n v="5"/>
    <n v="17"/>
    <n v="2024"/>
    <x v="7"/>
    <x v="0"/>
    <x v="2"/>
  </r>
  <r>
    <x v="1"/>
    <x v="155"/>
    <x v="1"/>
    <x v="27"/>
    <n v="128"/>
    <n v="40"/>
    <n v="26"/>
    <n v="1"/>
    <n v="67592.5"/>
    <n v="12"/>
    <n v="34757.5"/>
    <n v="9"/>
    <n v="35"/>
    <n v="122"/>
    <n v="2024"/>
    <x v="7"/>
    <x v="0"/>
    <x v="2"/>
  </r>
  <r>
    <x v="1"/>
    <x v="155"/>
    <x v="1"/>
    <x v="29"/>
    <n v="1827"/>
    <n v="1379"/>
    <n v="62"/>
    <n v="21"/>
    <n v="68103"/>
    <n v="10"/>
    <n v="45863"/>
    <n v="7"/>
    <n v="354"/>
    <n v="1714"/>
    <n v="2024"/>
    <x v="7"/>
    <x v="0"/>
    <x v="2"/>
  </r>
  <r>
    <x v="1"/>
    <x v="155"/>
    <x v="1"/>
    <x v="30"/>
    <n v="5402"/>
    <n v="2834"/>
    <n v="119"/>
    <n v="49"/>
    <n v="60270"/>
    <n v="16"/>
    <n v="36490"/>
    <n v="12"/>
    <n v="852"/>
    <n v="4940"/>
    <n v="2024"/>
    <x v="7"/>
    <x v="0"/>
    <x v="2"/>
  </r>
  <r>
    <x v="1"/>
    <x v="155"/>
    <x v="1"/>
    <x v="31"/>
    <n v="155"/>
    <n v="97"/>
    <n v="7"/>
    <n v="2"/>
    <n v="20425"/>
    <n v="2"/>
    <n v="2500"/>
    <n v="1"/>
    <n v="14"/>
    <n v="151"/>
    <n v="2024"/>
    <x v="7"/>
    <x v="0"/>
    <x v="2"/>
  </r>
  <r>
    <x v="1"/>
    <x v="155"/>
    <x v="1"/>
    <x v="32"/>
    <n v="6"/>
    <n v="1"/>
    <n v="0"/>
    <n v="1"/>
    <n v="0"/>
    <n v="0"/>
    <n v="0"/>
    <n v="0"/>
    <n v="2"/>
    <n v="6"/>
    <n v="2024"/>
    <x v="7"/>
    <x v="0"/>
    <x v="2"/>
  </r>
  <r>
    <x v="1"/>
    <x v="155"/>
    <x v="1"/>
    <x v="34"/>
    <n v="340"/>
    <n v="144"/>
    <n v="21"/>
    <n v="8"/>
    <n v="12510"/>
    <n v="3"/>
    <n v="6930"/>
    <n v="2"/>
    <n v="111"/>
    <n v="310"/>
    <n v="2024"/>
    <x v="7"/>
    <x v="0"/>
    <x v="2"/>
  </r>
  <r>
    <x v="1"/>
    <x v="155"/>
    <x v="1"/>
    <x v="35"/>
    <n v="1"/>
    <n v="0"/>
    <n v="0"/>
    <n v="0"/>
    <n v="0"/>
    <n v="0"/>
    <n v="0"/>
    <n v="0"/>
    <n v="0"/>
    <n v="1"/>
    <n v="2024"/>
    <x v="7"/>
    <x v="0"/>
    <x v="2"/>
  </r>
  <r>
    <x v="1"/>
    <x v="155"/>
    <x v="1"/>
    <x v="36"/>
    <n v="5"/>
    <n v="5"/>
    <n v="0"/>
    <n v="0"/>
    <n v="0"/>
    <n v="0"/>
    <n v="0"/>
    <n v="0"/>
    <n v="1"/>
    <n v="4"/>
    <n v="2024"/>
    <x v="7"/>
    <x v="0"/>
    <x v="2"/>
  </r>
  <r>
    <x v="1"/>
    <x v="155"/>
    <x v="1"/>
    <x v="38"/>
    <n v="490"/>
    <n v="90"/>
    <n v="30"/>
    <n v="9"/>
    <n v="76012"/>
    <n v="17"/>
    <n v="62152"/>
    <n v="14"/>
    <n v="102"/>
    <n v="466"/>
    <n v="2024"/>
    <x v="7"/>
    <x v="0"/>
    <x v="2"/>
  </r>
  <r>
    <x v="1"/>
    <x v="155"/>
    <x v="1"/>
    <x v="39"/>
    <n v="22"/>
    <n v="19"/>
    <n v="0"/>
    <n v="0"/>
    <n v="0"/>
    <n v="0"/>
    <n v="0"/>
    <n v="0"/>
    <n v="3"/>
    <n v="22"/>
    <n v="2024"/>
    <x v="7"/>
    <x v="0"/>
    <x v="2"/>
  </r>
  <r>
    <x v="1"/>
    <x v="155"/>
    <x v="1"/>
    <x v="41"/>
    <n v="6"/>
    <n v="2"/>
    <n v="0"/>
    <n v="0"/>
    <n v="0"/>
    <n v="0"/>
    <n v="0"/>
    <n v="0"/>
    <n v="0"/>
    <n v="6"/>
    <n v="2024"/>
    <x v="7"/>
    <x v="0"/>
    <x v="2"/>
  </r>
  <r>
    <x v="1"/>
    <x v="155"/>
    <x v="1"/>
    <x v="42"/>
    <n v="160"/>
    <n v="66"/>
    <n v="3"/>
    <n v="6"/>
    <n v="2500"/>
    <n v="1"/>
    <n v="2500"/>
    <n v="1"/>
    <n v="15"/>
    <n v="157"/>
    <n v="2024"/>
    <x v="7"/>
    <x v="0"/>
    <x v="2"/>
  </r>
  <r>
    <x v="1"/>
    <x v="155"/>
    <x v="1"/>
    <x v="43"/>
    <n v="110"/>
    <n v="44"/>
    <n v="4"/>
    <n v="2"/>
    <n v="8250"/>
    <n v="1"/>
    <n v="0"/>
    <n v="0"/>
    <n v="85"/>
    <n v="65"/>
    <n v="2024"/>
    <x v="7"/>
    <x v="0"/>
    <x v="2"/>
  </r>
  <r>
    <x v="1"/>
    <x v="155"/>
    <x v="1"/>
    <x v="44"/>
    <n v="10"/>
    <n v="1"/>
    <n v="1"/>
    <n v="0"/>
    <n v="0"/>
    <n v="0"/>
    <n v="0"/>
    <n v="0"/>
    <n v="0"/>
    <n v="10"/>
    <n v="2024"/>
    <x v="7"/>
    <x v="0"/>
    <x v="2"/>
  </r>
  <r>
    <x v="1"/>
    <x v="156"/>
    <x v="0"/>
    <x v="0"/>
    <n v="353"/>
    <n v="113"/>
    <n v="9"/>
    <n v="0"/>
    <n v="29499.27"/>
    <n v="8"/>
    <n v="21597.27"/>
    <n v="6"/>
    <n v="18"/>
    <n v="341"/>
    <n v="2024"/>
    <x v="7"/>
    <x v="0"/>
    <x v="2"/>
  </r>
  <r>
    <x v="1"/>
    <x v="156"/>
    <x v="0"/>
    <x v="1"/>
    <n v="16410"/>
    <n v="9447"/>
    <n v="624"/>
    <n v="183"/>
    <n v="713917.02"/>
    <n v="145"/>
    <n v="559153.52"/>
    <n v="130"/>
    <n v="1356"/>
    <n v="16338"/>
    <n v="2024"/>
    <x v="7"/>
    <x v="0"/>
    <x v="2"/>
  </r>
  <r>
    <x v="1"/>
    <x v="156"/>
    <x v="0"/>
    <x v="2"/>
    <n v="1309"/>
    <n v="1089"/>
    <n v="38"/>
    <n v="4"/>
    <n v="103852"/>
    <n v="13"/>
    <n v="69742"/>
    <n v="11"/>
    <n v="1308"/>
    <n v="526"/>
    <n v="2024"/>
    <x v="7"/>
    <x v="0"/>
    <x v="2"/>
  </r>
  <r>
    <x v="1"/>
    <x v="156"/>
    <x v="0"/>
    <x v="3"/>
    <n v="1969"/>
    <n v="1410"/>
    <n v="27"/>
    <n v="10"/>
    <n v="0"/>
    <n v="0"/>
    <n v="0"/>
    <n v="0"/>
    <n v="45"/>
    <n v="744"/>
    <n v="2024"/>
    <x v="7"/>
    <x v="0"/>
    <x v="2"/>
  </r>
  <r>
    <x v="1"/>
    <x v="156"/>
    <x v="1"/>
    <x v="5"/>
    <n v="5"/>
    <n v="2"/>
    <n v="0"/>
    <n v="0"/>
    <n v="0"/>
    <n v="0"/>
    <n v="0"/>
    <n v="0"/>
    <n v="1"/>
    <n v="5"/>
    <n v="2024"/>
    <x v="7"/>
    <x v="0"/>
    <x v="2"/>
  </r>
  <r>
    <x v="1"/>
    <x v="156"/>
    <x v="1"/>
    <x v="6"/>
    <n v="659"/>
    <n v="509"/>
    <n v="0"/>
    <n v="0"/>
    <n v="0"/>
    <n v="0"/>
    <n v="0"/>
    <n v="0"/>
    <n v="0"/>
    <n v="3"/>
    <n v="2024"/>
    <x v="7"/>
    <x v="0"/>
    <x v="2"/>
  </r>
  <r>
    <x v="1"/>
    <x v="156"/>
    <x v="1"/>
    <x v="7"/>
    <n v="907"/>
    <n v="286"/>
    <n v="113"/>
    <n v="5"/>
    <n v="661512.39"/>
    <n v="125"/>
    <n v="550774.39"/>
    <n v="121"/>
    <n v="255"/>
    <n v="873"/>
    <n v="2024"/>
    <x v="7"/>
    <x v="0"/>
    <x v="2"/>
  </r>
  <r>
    <x v="1"/>
    <x v="156"/>
    <x v="1"/>
    <x v="8"/>
    <n v="32"/>
    <n v="26"/>
    <n v="0"/>
    <n v="1"/>
    <n v="0"/>
    <n v="0"/>
    <n v="0"/>
    <n v="0"/>
    <n v="0"/>
    <n v="3"/>
    <n v="2024"/>
    <x v="7"/>
    <x v="0"/>
    <x v="2"/>
  </r>
  <r>
    <x v="1"/>
    <x v="156"/>
    <x v="1"/>
    <x v="9"/>
    <n v="3"/>
    <n v="2"/>
    <n v="0"/>
    <n v="0"/>
    <n v="0"/>
    <n v="0"/>
    <n v="0"/>
    <n v="0"/>
    <n v="0"/>
    <n v="1"/>
    <n v="2024"/>
    <x v="7"/>
    <x v="0"/>
    <x v="2"/>
  </r>
  <r>
    <x v="1"/>
    <x v="156"/>
    <x v="1"/>
    <x v="10"/>
    <n v="35"/>
    <n v="24"/>
    <n v="1"/>
    <n v="0"/>
    <n v="0"/>
    <n v="0"/>
    <n v="0"/>
    <n v="0"/>
    <n v="3"/>
    <n v="20"/>
    <n v="2024"/>
    <x v="7"/>
    <x v="0"/>
    <x v="2"/>
  </r>
  <r>
    <x v="1"/>
    <x v="156"/>
    <x v="1"/>
    <x v="11"/>
    <n v="2"/>
    <n v="1"/>
    <n v="0"/>
    <n v="0"/>
    <n v="0"/>
    <n v="0"/>
    <n v="0"/>
    <n v="0"/>
    <n v="1"/>
    <n v="1"/>
    <n v="2024"/>
    <x v="7"/>
    <x v="0"/>
    <x v="2"/>
  </r>
  <r>
    <x v="1"/>
    <x v="156"/>
    <x v="1"/>
    <x v="59"/>
    <n v="1457"/>
    <n v="981"/>
    <n v="39"/>
    <n v="10"/>
    <n v="107942.01"/>
    <n v="17"/>
    <n v="74342.009999999995"/>
    <n v="15"/>
    <n v="142"/>
    <n v="579"/>
    <n v="2024"/>
    <x v="7"/>
    <x v="0"/>
    <x v="2"/>
  </r>
  <r>
    <x v="1"/>
    <x v="156"/>
    <x v="1"/>
    <x v="15"/>
    <n v="12"/>
    <n v="10"/>
    <n v="0"/>
    <n v="0"/>
    <n v="0"/>
    <n v="0"/>
    <n v="0"/>
    <n v="0"/>
    <n v="0"/>
    <n v="12"/>
    <n v="2024"/>
    <x v="7"/>
    <x v="0"/>
    <x v="2"/>
  </r>
  <r>
    <x v="1"/>
    <x v="156"/>
    <x v="1"/>
    <x v="17"/>
    <n v="3"/>
    <n v="2"/>
    <n v="0"/>
    <n v="0"/>
    <n v="0"/>
    <n v="0"/>
    <n v="0"/>
    <n v="0"/>
    <n v="0"/>
    <n v="3"/>
    <n v="2024"/>
    <x v="7"/>
    <x v="0"/>
    <x v="2"/>
  </r>
  <r>
    <x v="1"/>
    <x v="156"/>
    <x v="1"/>
    <x v="18"/>
    <n v="14"/>
    <n v="10"/>
    <n v="1"/>
    <n v="0"/>
    <n v="8350"/>
    <n v="1"/>
    <n v="8350"/>
    <n v="1"/>
    <n v="2"/>
    <n v="12"/>
    <n v="2024"/>
    <x v="7"/>
    <x v="0"/>
    <x v="2"/>
  </r>
  <r>
    <x v="1"/>
    <x v="156"/>
    <x v="1"/>
    <x v="19"/>
    <n v="2469"/>
    <n v="1427"/>
    <n v="124"/>
    <n v="21"/>
    <n v="359470.45"/>
    <n v="61"/>
    <n v="298858.45"/>
    <n v="55"/>
    <n v="616"/>
    <n v="2168"/>
    <n v="2024"/>
    <x v="7"/>
    <x v="0"/>
    <x v="2"/>
  </r>
  <r>
    <x v="1"/>
    <x v="156"/>
    <x v="1"/>
    <x v="20"/>
    <n v="120"/>
    <n v="81"/>
    <n v="4"/>
    <n v="2"/>
    <n v="0"/>
    <n v="0"/>
    <n v="0"/>
    <n v="0"/>
    <n v="15"/>
    <n v="118"/>
    <n v="2024"/>
    <x v="7"/>
    <x v="0"/>
    <x v="2"/>
  </r>
  <r>
    <x v="1"/>
    <x v="156"/>
    <x v="1"/>
    <x v="21"/>
    <n v="5"/>
    <n v="1"/>
    <n v="1"/>
    <n v="0"/>
    <n v="0"/>
    <n v="0"/>
    <n v="0"/>
    <n v="0"/>
    <n v="1"/>
    <n v="5"/>
    <n v="2024"/>
    <x v="7"/>
    <x v="0"/>
    <x v="2"/>
  </r>
  <r>
    <x v="1"/>
    <x v="156"/>
    <x v="1"/>
    <x v="22"/>
    <n v="24"/>
    <n v="12"/>
    <n v="1"/>
    <n v="0"/>
    <n v="14297.5"/>
    <n v="2"/>
    <n v="14297.5"/>
    <n v="2"/>
    <n v="1"/>
    <n v="13"/>
    <n v="2024"/>
    <x v="7"/>
    <x v="0"/>
    <x v="2"/>
  </r>
  <r>
    <x v="1"/>
    <x v="156"/>
    <x v="1"/>
    <x v="24"/>
    <n v="48"/>
    <n v="25"/>
    <n v="9"/>
    <n v="0"/>
    <n v="87665"/>
    <n v="8"/>
    <n v="75965"/>
    <n v="8"/>
    <n v="7"/>
    <n v="45"/>
    <n v="2024"/>
    <x v="7"/>
    <x v="0"/>
    <x v="2"/>
  </r>
  <r>
    <x v="1"/>
    <x v="156"/>
    <x v="1"/>
    <x v="27"/>
    <n v="186"/>
    <n v="59"/>
    <n v="15"/>
    <n v="6"/>
    <n v="136993"/>
    <n v="22"/>
    <n v="116495"/>
    <n v="21"/>
    <n v="54"/>
    <n v="176"/>
    <n v="2024"/>
    <x v="7"/>
    <x v="0"/>
    <x v="2"/>
  </r>
  <r>
    <x v="1"/>
    <x v="156"/>
    <x v="1"/>
    <x v="29"/>
    <n v="2050"/>
    <n v="1572"/>
    <n v="230"/>
    <n v="13"/>
    <n v="349048.95"/>
    <n v="78"/>
    <n v="292351.95"/>
    <n v="71"/>
    <n v="460"/>
    <n v="1843"/>
    <n v="2024"/>
    <x v="7"/>
    <x v="0"/>
    <x v="2"/>
  </r>
  <r>
    <x v="1"/>
    <x v="156"/>
    <x v="1"/>
    <x v="30"/>
    <n v="7696"/>
    <n v="4542"/>
    <n v="131"/>
    <n v="50"/>
    <n v="223294.5"/>
    <n v="30"/>
    <n v="127625.5"/>
    <n v="25"/>
    <n v="1109"/>
    <n v="5084"/>
    <n v="2024"/>
    <x v="7"/>
    <x v="0"/>
    <x v="2"/>
  </r>
  <r>
    <x v="1"/>
    <x v="156"/>
    <x v="1"/>
    <x v="31"/>
    <n v="190"/>
    <n v="111"/>
    <n v="5"/>
    <n v="0"/>
    <n v="6245.27"/>
    <n v="2"/>
    <n v="6245.27"/>
    <n v="2"/>
    <n v="27"/>
    <n v="184"/>
    <n v="2024"/>
    <x v="7"/>
    <x v="0"/>
    <x v="2"/>
  </r>
  <r>
    <x v="1"/>
    <x v="156"/>
    <x v="1"/>
    <x v="32"/>
    <n v="4"/>
    <n v="2"/>
    <n v="0"/>
    <n v="0"/>
    <n v="0"/>
    <n v="0"/>
    <n v="0"/>
    <n v="0"/>
    <n v="0"/>
    <n v="4"/>
    <n v="2024"/>
    <x v="7"/>
    <x v="0"/>
    <x v="2"/>
  </r>
  <r>
    <x v="1"/>
    <x v="156"/>
    <x v="1"/>
    <x v="34"/>
    <n v="432"/>
    <n v="172"/>
    <n v="30"/>
    <n v="8"/>
    <n v="58837.8"/>
    <n v="10"/>
    <n v="49487.8"/>
    <n v="9"/>
    <n v="126"/>
    <n v="396"/>
    <n v="2024"/>
    <x v="7"/>
    <x v="0"/>
    <x v="2"/>
  </r>
  <r>
    <x v="1"/>
    <x v="156"/>
    <x v="1"/>
    <x v="36"/>
    <n v="3"/>
    <n v="3"/>
    <n v="0"/>
    <n v="0"/>
    <n v="0"/>
    <n v="0"/>
    <n v="0"/>
    <n v="0"/>
    <n v="1"/>
    <n v="2"/>
    <n v="2024"/>
    <x v="7"/>
    <x v="0"/>
    <x v="2"/>
  </r>
  <r>
    <x v="1"/>
    <x v="156"/>
    <x v="1"/>
    <x v="38"/>
    <n v="626"/>
    <n v="162"/>
    <n v="78"/>
    <n v="17"/>
    <n v="379094.77"/>
    <n v="54"/>
    <n v="299829.77"/>
    <n v="49"/>
    <n v="146"/>
    <n v="575"/>
    <n v="2024"/>
    <x v="7"/>
    <x v="0"/>
    <x v="2"/>
  </r>
  <r>
    <x v="1"/>
    <x v="156"/>
    <x v="1"/>
    <x v="60"/>
    <n v="3"/>
    <n v="1"/>
    <n v="0"/>
    <n v="0"/>
    <n v="0"/>
    <n v="0"/>
    <n v="0"/>
    <n v="0"/>
    <n v="0"/>
    <n v="3"/>
    <n v="2024"/>
    <x v="7"/>
    <x v="0"/>
    <x v="2"/>
  </r>
  <r>
    <x v="1"/>
    <x v="156"/>
    <x v="1"/>
    <x v="39"/>
    <n v="19"/>
    <n v="18"/>
    <n v="2"/>
    <n v="1"/>
    <n v="3900"/>
    <n v="1"/>
    <n v="3900"/>
    <n v="1"/>
    <n v="3"/>
    <n v="19"/>
    <n v="2024"/>
    <x v="7"/>
    <x v="0"/>
    <x v="2"/>
  </r>
  <r>
    <x v="1"/>
    <x v="156"/>
    <x v="1"/>
    <x v="41"/>
    <n v="3"/>
    <n v="2"/>
    <n v="0"/>
    <n v="0"/>
    <n v="0"/>
    <n v="0"/>
    <n v="0"/>
    <n v="0"/>
    <n v="0"/>
    <n v="3"/>
    <n v="2024"/>
    <x v="7"/>
    <x v="0"/>
    <x v="2"/>
  </r>
  <r>
    <x v="1"/>
    <x v="156"/>
    <x v="1"/>
    <x v="42"/>
    <n v="231"/>
    <n v="106"/>
    <n v="6"/>
    <n v="6"/>
    <n v="6857"/>
    <n v="2"/>
    <n v="6857"/>
    <n v="2"/>
    <n v="25"/>
    <n v="227"/>
    <n v="2024"/>
    <x v="7"/>
    <x v="0"/>
    <x v="2"/>
  </r>
  <r>
    <x v="1"/>
    <x v="156"/>
    <x v="1"/>
    <x v="43"/>
    <n v="186"/>
    <n v="103"/>
    <n v="3"/>
    <n v="0"/>
    <n v="8660"/>
    <n v="3"/>
    <n v="8660"/>
    <n v="3"/>
    <n v="114"/>
    <n v="101"/>
    <n v="2024"/>
    <x v="7"/>
    <x v="0"/>
    <x v="2"/>
  </r>
  <r>
    <x v="1"/>
    <x v="156"/>
    <x v="1"/>
    <x v="44"/>
    <n v="34"/>
    <n v="13"/>
    <n v="8"/>
    <n v="0"/>
    <n v="60630.5"/>
    <n v="10"/>
    <n v="42608"/>
    <n v="9"/>
    <n v="2"/>
    <n v="34"/>
    <n v="2024"/>
    <x v="7"/>
    <x v="0"/>
    <x v="2"/>
  </r>
  <r>
    <x v="1"/>
    <x v="156"/>
    <x v="1"/>
    <x v="45"/>
    <n v="1"/>
    <n v="1"/>
    <n v="0"/>
    <n v="0"/>
    <n v="0"/>
    <n v="0"/>
    <n v="0"/>
    <n v="0"/>
    <n v="1"/>
    <n v="0"/>
    <n v="2024"/>
    <x v="7"/>
    <x v="0"/>
    <x v="2"/>
  </r>
  <r>
    <x v="1"/>
    <x v="157"/>
    <x v="0"/>
    <x v="0"/>
    <n v="385"/>
    <n v="141"/>
    <n v="9"/>
    <n v="2"/>
    <n v="14564"/>
    <n v="4"/>
    <n v="10487"/>
    <n v="4"/>
    <n v="32"/>
    <n v="377"/>
    <n v="2024"/>
    <x v="7"/>
    <x v="0"/>
    <x v="2"/>
  </r>
  <r>
    <x v="1"/>
    <x v="157"/>
    <x v="0"/>
    <x v="1"/>
    <n v="15357"/>
    <n v="9010"/>
    <n v="505"/>
    <n v="190"/>
    <n v="494102.19"/>
    <n v="110"/>
    <n v="406375.19"/>
    <n v="98"/>
    <n v="1297"/>
    <n v="15301"/>
    <n v="2024"/>
    <x v="7"/>
    <x v="0"/>
    <x v="2"/>
  </r>
  <r>
    <x v="1"/>
    <x v="157"/>
    <x v="0"/>
    <x v="2"/>
    <n v="1436"/>
    <n v="1162"/>
    <n v="36"/>
    <n v="5"/>
    <n v="20818"/>
    <n v="5"/>
    <n v="20818"/>
    <n v="5"/>
    <n v="1436"/>
    <n v="566"/>
    <n v="2024"/>
    <x v="7"/>
    <x v="0"/>
    <x v="2"/>
  </r>
  <r>
    <x v="1"/>
    <x v="157"/>
    <x v="0"/>
    <x v="3"/>
    <n v="1580"/>
    <n v="1072"/>
    <n v="24"/>
    <n v="6"/>
    <n v="0"/>
    <n v="0"/>
    <n v="0"/>
    <n v="0"/>
    <n v="51"/>
    <n v="456"/>
    <n v="2024"/>
    <x v="7"/>
    <x v="0"/>
    <x v="2"/>
  </r>
  <r>
    <x v="1"/>
    <x v="157"/>
    <x v="1"/>
    <x v="5"/>
    <n v="4"/>
    <n v="4"/>
    <n v="0"/>
    <n v="0"/>
    <n v="0"/>
    <n v="0"/>
    <n v="0"/>
    <n v="0"/>
    <n v="0"/>
    <n v="4"/>
    <n v="2024"/>
    <x v="7"/>
    <x v="0"/>
    <x v="2"/>
  </r>
  <r>
    <x v="1"/>
    <x v="157"/>
    <x v="1"/>
    <x v="6"/>
    <n v="590"/>
    <n v="481"/>
    <n v="0"/>
    <n v="0"/>
    <n v="0"/>
    <n v="0"/>
    <n v="0"/>
    <n v="0"/>
    <n v="0"/>
    <n v="2"/>
    <n v="2024"/>
    <x v="7"/>
    <x v="0"/>
    <x v="2"/>
  </r>
  <r>
    <x v="1"/>
    <x v="157"/>
    <x v="1"/>
    <x v="7"/>
    <n v="794"/>
    <n v="209"/>
    <n v="94"/>
    <n v="3"/>
    <n v="426564.5"/>
    <n v="92"/>
    <n v="394864.5"/>
    <n v="89"/>
    <n v="206"/>
    <n v="764"/>
    <n v="2024"/>
    <x v="7"/>
    <x v="0"/>
    <x v="2"/>
  </r>
  <r>
    <x v="1"/>
    <x v="157"/>
    <x v="1"/>
    <x v="8"/>
    <n v="13"/>
    <n v="11"/>
    <n v="0"/>
    <n v="0"/>
    <n v="0"/>
    <n v="0"/>
    <n v="0"/>
    <n v="0"/>
    <n v="0"/>
    <n v="0"/>
    <n v="2024"/>
    <x v="7"/>
    <x v="0"/>
    <x v="2"/>
  </r>
  <r>
    <x v="1"/>
    <x v="157"/>
    <x v="1"/>
    <x v="9"/>
    <n v="5"/>
    <n v="2"/>
    <n v="0"/>
    <n v="0"/>
    <n v="0"/>
    <n v="0"/>
    <n v="0"/>
    <n v="0"/>
    <n v="0"/>
    <n v="4"/>
    <n v="2024"/>
    <x v="7"/>
    <x v="0"/>
    <x v="2"/>
  </r>
  <r>
    <x v="1"/>
    <x v="157"/>
    <x v="1"/>
    <x v="10"/>
    <n v="27"/>
    <n v="17"/>
    <n v="0"/>
    <n v="1"/>
    <n v="0"/>
    <n v="0"/>
    <n v="0"/>
    <n v="0"/>
    <n v="0"/>
    <n v="11"/>
    <n v="2024"/>
    <x v="7"/>
    <x v="0"/>
    <x v="2"/>
  </r>
  <r>
    <x v="1"/>
    <x v="157"/>
    <x v="1"/>
    <x v="11"/>
    <n v="4"/>
    <n v="3"/>
    <n v="0"/>
    <n v="0"/>
    <n v="0"/>
    <n v="0"/>
    <n v="0"/>
    <n v="0"/>
    <n v="3"/>
    <n v="1"/>
    <n v="2024"/>
    <x v="7"/>
    <x v="0"/>
    <x v="2"/>
  </r>
  <r>
    <x v="1"/>
    <x v="157"/>
    <x v="1"/>
    <x v="59"/>
    <n v="2350"/>
    <n v="1862"/>
    <n v="26"/>
    <n v="7"/>
    <n v="105302"/>
    <n v="15"/>
    <n v="77577"/>
    <n v="15"/>
    <n v="128"/>
    <n v="564"/>
    <n v="2024"/>
    <x v="7"/>
    <x v="0"/>
    <x v="2"/>
  </r>
  <r>
    <x v="1"/>
    <x v="157"/>
    <x v="1"/>
    <x v="15"/>
    <n v="14"/>
    <n v="10"/>
    <n v="0"/>
    <n v="1"/>
    <n v="0"/>
    <n v="0"/>
    <n v="0"/>
    <n v="0"/>
    <n v="1"/>
    <n v="14"/>
    <n v="2024"/>
    <x v="7"/>
    <x v="0"/>
    <x v="2"/>
  </r>
  <r>
    <x v="1"/>
    <x v="157"/>
    <x v="1"/>
    <x v="17"/>
    <n v="10"/>
    <n v="8"/>
    <n v="0"/>
    <n v="0"/>
    <n v="1750"/>
    <n v="1"/>
    <n v="1750"/>
    <n v="1"/>
    <n v="0"/>
    <n v="10"/>
    <n v="2024"/>
    <x v="7"/>
    <x v="0"/>
    <x v="2"/>
  </r>
  <r>
    <x v="1"/>
    <x v="157"/>
    <x v="1"/>
    <x v="18"/>
    <n v="13"/>
    <n v="10"/>
    <n v="2"/>
    <n v="0"/>
    <n v="21325"/>
    <n v="3"/>
    <n v="18825"/>
    <n v="3"/>
    <n v="3"/>
    <n v="11"/>
    <n v="2024"/>
    <x v="7"/>
    <x v="0"/>
    <x v="2"/>
  </r>
  <r>
    <x v="1"/>
    <x v="157"/>
    <x v="1"/>
    <x v="19"/>
    <n v="2309"/>
    <n v="1320"/>
    <n v="112"/>
    <n v="28"/>
    <n v="265988.32"/>
    <n v="52"/>
    <n v="208959.32"/>
    <n v="48"/>
    <n v="592"/>
    <n v="2036"/>
    <n v="2024"/>
    <x v="7"/>
    <x v="0"/>
    <x v="2"/>
  </r>
  <r>
    <x v="1"/>
    <x v="157"/>
    <x v="1"/>
    <x v="20"/>
    <n v="130"/>
    <n v="100"/>
    <n v="2"/>
    <n v="4"/>
    <n v="1498"/>
    <n v="1"/>
    <n v="1498"/>
    <n v="1"/>
    <n v="13"/>
    <n v="128"/>
    <n v="2024"/>
    <x v="7"/>
    <x v="0"/>
    <x v="2"/>
  </r>
  <r>
    <x v="1"/>
    <x v="157"/>
    <x v="1"/>
    <x v="21"/>
    <n v="4"/>
    <n v="2"/>
    <n v="0"/>
    <n v="0"/>
    <n v="0"/>
    <n v="0"/>
    <n v="0"/>
    <n v="0"/>
    <n v="0"/>
    <n v="4"/>
    <n v="2024"/>
    <x v="7"/>
    <x v="0"/>
    <x v="2"/>
  </r>
  <r>
    <x v="1"/>
    <x v="157"/>
    <x v="1"/>
    <x v="22"/>
    <n v="11"/>
    <n v="5"/>
    <n v="0"/>
    <n v="0"/>
    <n v="0"/>
    <n v="0"/>
    <n v="0"/>
    <n v="0"/>
    <n v="0"/>
    <n v="3"/>
    <n v="2024"/>
    <x v="7"/>
    <x v="0"/>
    <x v="2"/>
  </r>
  <r>
    <x v="1"/>
    <x v="157"/>
    <x v="1"/>
    <x v="24"/>
    <n v="30"/>
    <n v="19"/>
    <n v="4"/>
    <n v="0"/>
    <n v="15600"/>
    <n v="1"/>
    <n v="15600"/>
    <n v="1"/>
    <n v="6"/>
    <n v="27"/>
    <n v="2024"/>
    <x v="7"/>
    <x v="0"/>
    <x v="2"/>
  </r>
  <r>
    <x v="1"/>
    <x v="157"/>
    <x v="1"/>
    <x v="27"/>
    <n v="213"/>
    <n v="59"/>
    <n v="27"/>
    <n v="3"/>
    <n v="123466.73"/>
    <n v="24"/>
    <n v="117716.73"/>
    <n v="23"/>
    <n v="63"/>
    <n v="205"/>
    <n v="2024"/>
    <x v="7"/>
    <x v="0"/>
    <x v="2"/>
  </r>
  <r>
    <x v="1"/>
    <x v="157"/>
    <x v="1"/>
    <x v="29"/>
    <n v="2006"/>
    <n v="1541"/>
    <n v="138"/>
    <n v="27"/>
    <n v="187650.11"/>
    <n v="50"/>
    <n v="158740.10999999999"/>
    <n v="45"/>
    <n v="403"/>
    <n v="1860"/>
    <n v="2024"/>
    <x v="7"/>
    <x v="0"/>
    <x v="2"/>
  </r>
  <r>
    <x v="1"/>
    <x v="157"/>
    <x v="1"/>
    <x v="30"/>
    <n v="8104"/>
    <n v="4836"/>
    <n v="148"/>
    <n v="58"/>
    <n v="95804.5"/>
    <n v="21"/>
    <n v="91894.5"/>
    <n v="20"/>
    <n v="1074"/>
    <n v="6095"/>
    <n v="2024"/>
    <x v="7"/>
    <x v="0"/>
    <x v="2"/>
  </r>
  <r>
    <x v="1"/>
    <x v="157"/>
    <x v="1"/>
    <x v="31"/>
    <n v="179"/>
    <n v="106"/>
    <n v="7"/>
    <n v="5"/>
    <n v="11672.5"/>
    <n v="3"/>
    <n v="7772.5"/>
    <n v="2"/>
    <n v="28"/>
    <n v="175"/>
    <n v="2024"/>
    <x v="7"/>
    <x v="0"/>
    <x v="2"/>
  </r>
  <r>
    <x v="1"/>
    <x v="157"/>
    <x v="1"/>
    <x v="32"/>
    <n v="3"/>
    <n v="3"/>
    <n v="0"/>
    <n v="0"/>
    <n v="0"/>
    <n v="0"/>
    <n v="0"/>
    <n v="0"/>
    <n v="0"/>
    <n v="3"/>
    <n v="2024"/>
    <x v="7"/>
    <x v="0"/>
    <x v="2"/>
  </r>
  <r>
    <x v="1"/>
    <x v="157"/>
    <x v="1"/>
    <x v="34"/>
    <n v="436"/>
    <n v="179"/>
    <n v="28"/>
    <n v="9"/>
    <n v="29440"/>
    <n v="7"/>
    <n v="24042"/>
    <n v="6"/>
    <n v="132"/>
    <n v="397"/>
    <n v="2024"/>
    <x v="7"/>
    <x v="0"/>
    <x v="2"/>
  </r>
  <r>
    <x v="1"/>
    <x v="157"/>
    <x v="1"/>
    <x v="36"/>
    <n v="3"/>
    <n v="3"/>
    <n v="0"/>
    <n v="0"/>
    <n v="0"/>
    <n v="0"/>
    <n v="0"/>
    <n v="0"/>
    <n v="0"/>
    <n v="3"/>
    <n v="2024"/>
    <x v="7"/>
    <x v="0"/>
    <x v="2"/>
  </r>
  <r>
    <x v="1"/>
    <x v="157"/>
    <x v="1"/>
    <x v="38"/>
    <n v="600"/>
    <n v="152"/>
    <n v="52"/>
    <n v="14"/>
    <n v="163504.5"/>
    <n v="35"/>
    <n v="123734.5"/>
    <n v="30"/>
    <n v="139"/>
    <n v="557"/>
    <n v="2024"/>
    <x v="7"/>
    <x v="0"/>
    <x v="2"/>
  </r>
  <r>
    <x v="1"/>
    <x v="157"/>
    <x v="1"/>
    <x v="60"/>
    <n v="5"/>
    <n v="4"/>
    <n v="0"/>
    <n v="0"/>
    <n v="0"/>
    <n v="0"/>
    <n v="0"/>
    <n v="0"/>
    <n v="1"/>
    <n v="5"/>
    <n v="2024"/>
    <x v="7"/>
    <x v="0"/>
    <x v="2"/>
  </r>
  <r>
    <x v="1"/>
    <x v="157"/>
    <x v="1"/>
    <x v="39"/>
    <n v="1"/>
    <n v="0"/>
    <n v="0"/>
    <n v="0"/>
    <n v="0"/>
    <n v="0"/>
    <n v="0"/>
    <n v="0"/>
    <n v="0"/>
    <n v="1"/>
    <n v="2024"/>
    <x v="7"/>
    <x v="0"/>
    <x v="2"/>
  </r>
  <r>
    <x v="1"/>
    <x v="157"/>
    <x v="1"/>
    <x v="41"/>
    <n v="6"/>
    <n v="1"/>
    <n v="0"/>
    <n v="0"/>
    <n v="0"/>
    <n v="0"/>
    <n v="0"/>
    <n v="0"/>
    <n v="0"/>
    <n v="6"/>
    <n v="2024"/>
    <x v="7"/>
    <x v="0"/>
    <x v="2"/>
  </r>
  <r>
    <x v="1"/>
    <x v="157"/>
    <x v="1"/>
    <x v="42"/>
    <n v="282"/>
    <n v="137"/>
    <n v="7"/>
    <n v="15"/>
    <n v="0"/>
    <n v="0"/>
    <n v="0"/>
    <n v="0"/>
    <n v="26"/>
    <n v="275"/>
    <n v="2024"/>
    <x v="7"/>
    <x v="0"/>
    <x v="2"/>
  </r>
  <r>
    <x v="1"/>
    <x v="157"/>
    <x v="1"/>
    <x v="43"/>
    <n v="151"/>
    <n v="74"/>
    <n v="7"/>
    <n v="1"/>
    <n v="6700"/>
    <n v="1"/>
    <n v="6700"/>
    <n v="1"/>
    <n v="101"/>
    <n v="84"/>
    <n v="2024"/>
    <x v="7"/>
    <x v="0"/>
    <x v="2"/>
  </r>
  <r>
    <x v="1"/>
    <x v="157"/>
    <x v="1"/>
    <x v="44"/>
    <n v="27"/>
    <n v="10"/>
    <n v="1"/>
    <n v="0"/>
    <n v="36874"/>
    <n v="10"/>
    <n v="32974"/>
    <n v="9"/>
    <n v="1"/>
    <n v="27"/>
    <n v="2024"/>
    <x v="7"/>
    <x v="0"/>
    <x v="2"/>
  </r>
  <r>
    <x v="1"/>
    <x v="157"/>
    <x v="1"/>
    <x v="45"/>
    <n v="1"/>
    <n v="1"/>
    <n v="0"/>
    <n v="0"/>
    <n v="0"/>
    <n v="0"/>
    <n v="0"/>
    <n v="0"/>
    <n v="1"/>
    <n v="1"/>
    <n v="2024"/>
    <x v="7"/>
    <x v="0"/>
    <x v="2"/>
  </r>
  <r>
    <x v="1"/>
    <x v="14"/>
    <x v="0"/>
    <x v="0"/>
    <n v="395"/>
    <n v="147"/>
    <n v="14"/>
    <n v="0"/>
    <n v="28180"/>
    <n v="5"/>
    <n v="28180"/>
    <n v="5"/>
    <n v="24"/>
    <n v="388"/>
    <n v="2024"/>
    <x v="7"/>
    <x v="0"/>
    <x v="2"/>
  </r>
  <r>
    <x v="1"/>
    <x v="14"/>
    <x v="0"/>
    <x v="1"/>
    <n v="15952"/>
    <n v="9752"/>
    <n v="675"/>
    <n v="181"/>
    <n v="694825.24"/>
    <n v="150"/>
    <n v="577372.87"/>
    <n v="133"/>
    <n v="1337"/>
    <n v="15892"/>
    <n v="2024"/>
    <x v="7"/>
    <x v="0"/>
    <x v="2"/>
  </r>
  <r>
    <x v="1"/>
    <x v="14"/>
    <x v="0"/>
    <x v="2"/>
    <n v="870"/>
    <n v="696"/>
    <n v="30"/>
    <n v="9"/>
    <n v="16405"/>
    <n v="3"/>
    <n v="15110"/>
    <n v="3"/>
    <n v="870"/>
    <n v="420"/>
    <n v="2024"/>
    <x v="7"/>
    <x v="0"/>
    <x v="2"/>
  </r>
  <r>
    <x v="1"/>
    <x v="14"/>
    <x v="0"/>
    <x v="3"/>
    <n v="1572"/>
    <n v="1189"/>
    <n v="11"/>
    <n v="13"/>
    <n v="0"/>
    <n v="0"/>
    <n v="0"/>
    <n v="0"/>
    <n v="26"/>
    <n v="261"/>
    <n v="2024"/>
    <x v="7"/>
    <x v="0"/>
    <x v="2"/>
  </r>
  <r>
    <x v="1"/>
    <x v="14"/>
    <x v="1"/>
    <x v="5"/>
    <n v="5"/>
    <n v="4"/>
    <n v="0"/>
    <n v="0"/>
    <n v="0"/>
    <n v="0"/>
    <n v="0"/>
    <n v="0"/>
    <n v="0"/>
    <n v="5"/>
    <n v="2024"/>
    <x v="7"/>
    <x v="0"/>
    <x v="2"/>
  </r>
  <r>
    <x v="1"/>
    <x v="14"/>
    <x v="1"/>
    <x v="6"/>
    <n v="381"/>
    <n v="306"/>
    <n v="0"/>
    <n v="0"/>
    <n v="0"/>
    <n v="0"/>
    <n v="0"/>
    <n v="0"/>
    <n v="0"/>
    <n v="0"/>
    <n v="2024"/>
    <x v="7"/>
    <x v="0"/>
    <x v="2"/>
  </r>
  <r>
    <x v="1"/>
    <x v="14"/>
    <x v="1"/>
    <x v="7"/>
    <n v="943"/>
    <n v="273"/>
    <n v="146"/>
    <n v="12"/>
    <n v="529964.89"/>
    <n v="110"/>
    <n v="456693.02"/>
    <n v="104"/>
    <n v="266"/>
    <n v="910"/>
    <n v="2024"/>
    <x v="7"/>
    <x v="0"/>
    <x v="2"/>
  </r>
  <r>
    <x v="1"/>
    <x v="14"/>
    <x v="1"/>
    <x v="8"/>
    <n v="57"/>
    <n v="48"/>
    <n v="0"/>
    <n v="0"/>
    <n v="0"/>
    <n v="0"/>
    <n v="0"/>
    <n v="0"/>
    <n v="0"/>
    <n v="3"/>
    <n v="2024"/>
    <x v="7"/>
    <x v="0"/>
    <x v="2"/>
  </r>
  <r>
    <x v="1"/>
    <x v="14"/>
    <x v="1"/>
    <x v="9"/>
    <n v="5"/>
    <n v="2"/>
    <n v="0"/>
    <n v="0"/>
    <n v="0"/>
    <n v="0"/>
    <n v="0"/>
    <n v="0"/>
    <n v="0"/>
    <n v="3"/>
    <n v="2024"/>
    <x v="7"/>
    <x v="0"/>
    <x v="2"/>
  </r>
  <r>
    <x v="1"/>
    <x v="14"/>
    <x v="1"/>
    <x v="10"/>
    <n v="20"/>
    <n v="14"/>
    <n v="1"/>
    <n v="0"/>
    <n v="0"/>
    <n v="0"/>
    <n v="0"/>
    <n v="0"/>
    <n v="0"/>
    <n v="11"/>
    <n v="2024"/>
    <x v="7"/>
    <x v="0"/>
    <x v="2"/>
  </r>
  <r>
    <x v="1"/>
    <x v="14"/>
    <x v="1"/>
    <x v="11"/>
    <n v="8"/>
    <n v="7"/>
    <n v="0"/>
    <n v="0"/>
    <n v="0"/>
    <n v="0"/>
    <n v="0"/>
    <n v="0"/>
    <n v="5"/>
    <n v="3"/>
    <n v="2024"/>
    <x v="7"/>
    <x v="0"/>
    <x v="2"/>
  </r>
  <r>
    <x v="1"/>
    <x v="14"/>
    <x v="1"/>
    <x v="63"/>
    <n v="1"/>
    <n v="1"/>
    <n v="0"/>
    <n v="0"/>
    <n v="0"/>
    <n v="0"/>
    <n v="0"/>
    <n v="0"/>
    <n v="0"/>
    <n v="0"/>
    <n v="2024"/>
    <x v="7"/>
    <x v="0"/>
    <x v="2"/>
  </r>
  <r>
    <x v="1"/>
    <x v="14"/>
    <x v="1"/>
    <x v="59"/>
    <n v="1875"/>
    <n v="1438"/>
    <n v="26"/>
    <n v="9"/>
    <n v="91881.04"/>
    <n v="11"/>
    <n v="37043.040000000001"/>
    <n v="8"/>
    <n v="128"/>
    <n v="463"/>
    <n v="2024"/>
    <x v="7"/>
    <x v="0"/>
    <x v="2"/>
  </r>
  <r>
    <x v="1"/>
    <x v="14"/>
    <x v="1"/>
    <x v="15"/>
    <n v="16"/>
    <n v="15"/>
    <n v="0"/>
    <n v="1"/>
    <n v="0"/>
    <n v="0"/>
    <n v="0"/>
    <n v="0"/>
    <n v="0"/>
    <n v="16"/>
    <n v="2024"/>
    <x v="7"/>
    <x v="0"/>
    <x v="2"/>
  </r>
  <r>
    <x v="1"/>
    <x v="14"/>
    <x v="1"/>
    <x v="17"/>
    <n v="6"/>
    <n v="6"/>
    <n v="1"/>
    <n v="0"/>
    <n v="7464"/>
    <n v="1"/>
    <n v="2488"/>
    <n v="1"/>
    <n v="0"/>
    <n v="6"/>
    <n v="2024"/>
    <x v="7"/>
    <x v="0"/>
    <x v="2"/>
  </r>
  <r>
    <x v="1"/>
    <x v="14"/>
    <x v="1"/>
    <x v="18"/>
    <n v="19"/>
    <n v="16"/>
    <n v="3"/>
    <n v="0"/>
    <n v="5530"/>
    <n v="1"/>
    <n v="5530"/>
    <n v="1"/>
    <n v="3"/>
    <n v="13"/>
    <n v="2024"/>
    <x v="7"/>
    <x v="0"/>
    <x v="2"/>
  </r>
  <r>
    <x v="1"/>
    <x v="14"/>
    <x v="1"/>
    <x v="19"/>
    <n v="2617"/>
    <n v="1550"/>
    <n v="116"/>
    <n v="22"/>
    <n v="289829.74"/>
    <n v="53"/>
    <n v="205553.87"/>
    <n v="45"/>
    <n v="702"/>
    <n v="2298"/>
    <n v="2024"/>
    <x v="7"/>
    <x v="0"/>
    <x v="2"/>
  </r>
  <r>
    <x v="1"/>
    <x v="14"/>
    <x v="1"/>
    <x v="20"/>
    <n v="119"/>
    <n v="91"/>
    <n v="1"/>
    <n v="0"/>
    <n v="0"/>
    <n v="0"/>
    <n v="0"/>
    <n v="0"/>
    <n v="7"/>
    <n v="114"/>
    <n v="2024"/>
    <x v="7"/>
    <x v="0"/>
    <x v="2"/>
  </r>
  <r>
    <x v="1"/>
    <x v="14"/>
    <x v="1"/>
    <x v="21"/>
    <n v="8"/>
    <n v="3"/>
    <n v="1"/>
    <n v="1"/>
    <n v="0"/>
    <n v="0"/>
    <n v="0"/>
    <n v="0"/>
    <n v="3"/>
    <n v="8"/>
    <n v="2024"/>
    <x v="7"/>
    <x v="0"/>
    <x v="2"/>
  </r>
  <r>
    <x v="1"/>
    <x v="14"/>
    <x v="1"/>
    <x v="22"/>
    <n v="9"/>
    <n v="3"/>
    <n v="1"/>
    <n v="0"/>
    <n v="3416.37"/>
    <n v="1"/>
    <n v="3416.37"/>
    <n v="1"/>
    <n v="0"/>
    <n v="6"/>
    <n v="2024"/>
    <x v="7"/>
    <x v="0"/>
    <x v="2"/>
  </r>
  <r>
    <x v="1"/>
    <x v="14"/>
    <x v="1"/>
    <x v="24"/>
    <n v="37"/>
    <n v="18"/>
    <n v="5"/>
    <n v="1"/>
    <n v="10302.5"/>
    <n v="2"/>
    <n v="10302.5"/>
    <n v="2"/>
    <n v="7"/>
    <n v="34"/>
    <n v="2024"/>
    <x v="7"/>
    <x v="0"/>
    <x v="2"/>
  </r>
  <r>
    <x v="1"/>
    <x v="14"/>
    <x v="1"/>
    <x v="27"/>
    <n v="502"/>
    <n v="149"/>
    <n v="30"/>
    <n v="12"/>
    <n v="181274"/>
    <n v="27"/>
    <n v="127238.5"/>
    <n v="24"/>
    <n v="110"/>
    <n v="473"/>
    <n v="2024"/>
    <x v="7"/>
    <x v="0"/>
    <x v="2"/>
  </r>
  <r>
    <x v="1"/>
    <x v="14"/>
    <x v="1"/>
    <x v="29"/>
    <n v="2167"/>
    <n v="1707"/>
    <n v="125"/>
    <n v="19"/>
    <n v="156693.5"/>
    <n v="35"/>
    <n v="133182"/>
    <n v="29"/>
    <n v="415"/>
    <n v="1987"/>
    <n v="2024"/>
    <x v="7"/>
    <x v="0"/>
    <x v="2"/>
  </r>
  <r>
    <x v="1"/>
    <x v="14"/>
    <x v="1"/>
    <x v="30"/>
    <n v="7245"/>
    <n v="4224"/>
    <n v="139"/>
    <n v="67"/>
    <n v="81169"/>
    <n v="19"/>
    <n v="61031.5"/>
    <n v="16"/>
    <n v="1480"/>
    <n v="5602"/>
    <n v="2024"/>
    <x v="7"/>
    <x v="0"/>
    <x v="2"/>
  </r>
  <r>
    <x v="1"/>
    <x v="14"/>
    <x v="1"/>
    <x v="31"/>
    <n v="200"/>
    <n v="125"/>
    <n v="8"/>
    <n v="1"/>
    <n v="0"/>
    <n v="0"/>
    <n v="0"/>
    <n v="0"/>
    <n v="27"/>
    <n v="196"/>
    <n v="2024"/>
    <x v="7"/>
    <x v="0"/>
    <x v="2"/>
  </r>
  <r>
    <x v="1"/>
    <x v="14"/>
    <x v="1"/>
    <x v="32"/>
    <n v="12"/>
    <n v="5"/>
    <n v="0"/>
    <n v="0"/>
    <n v="0"/>
    <n v="0"/>
    <n v="0"/>
    <n v="0"/>
    <n v="3"/>
    <n v="11"/>
    <n v="2024"/>
    <x v="7"/>
    <x v="0"/>
    <x v="2"/>
  </r>
  <r>
    <x v="1"/>
    <x v="14"/>
    <x v="1"/>
    <x v="34"/>
    <n v="415"/>
    <n v="165"/>
    <n v="21"/>
    <n v="13"/>
    <n v="30542.74"/>
    <n v="9"/>
    <n v="21176.37"/>
    <n v="8"/>
    <n v="129"/>
    <n v="376"/>
    <n v="2024"/>
    <x v="7"/>
    <x v="0"/>
    <x v="2"/>
  </r>
  <r>
    <x v="1"/>
    <x v="14"/>
    <x v="1"/>
    <x v="36"/>
    <n v="8"/>
    <n v="7"/>
    <n v="0"/>
    <n v="0"/>
    <n v="0"/>
    <n v="0"/>
    <n v="0"/>
    <n v="0"/>
    <n v="0"/>
    <n v="8"/>
    <n v="2024"/>
    <x v="7"/>
    <x v="0"/>
    <x v="2"/>
  </r>
  <r>
    <x v="1"/>
    <x v="14"/>
    <x v="1"/>
    <x v="38"/>
    <n v="612"/>
    <n v="159"/>
    <n v="63"/>
    <n v="18"/>
    <n v="136066.56"/>
    <n v="28"/>
    <n v="90122.559999999998"/>
    <n v="23"/>
    <n v="142"/>
    <n v="568"/>
    <n v="2024"/>
    <x v="7"/>
    <x v="0"/>
    <x v="2"/>
  </r>
  <r>
    <x v="1"/>
    <x v="14"/>
    <x v="1"/>
    <x v="60"/>
    <n v="2"/>
    <n v="0"/>
    <n v="0"/>
    <n v="0"/>
    <n v="0"/>
    <n v="0"/>
    <n v="0"/>
    <n v="0"/>
    <n v="0"/>
    <n v="2"/>
    <n v="2024"/>
    <x v="7"/>
    <x v="0"/>
    <x v="2"/>
  </r>
  <r>
    <x v="1"/>
    <x v="14"/>
    <x v="1"/>
    <x v="39"/>
    <n v="2"/>
    <n v="2"/>
    <n v="0"/>
    <n v="0"/>
    <n v="0"/>
    <n v="0"/>
    <n v="0"/>
    <n v="0"/>
    <n v="0"/>
    <n v="2"/>
    <n v="2024"/>
    <x v="7"/>
    <x v="0"/>
    <x v="2"/>
  </r>
  <r>
    <x v="1"/>
    <x v="14"/>
    <x v="1"/>
    <x v="41"/>
    <n v="5"/>
    <n v="1"/>
    <n v="0"/>
    <n v="0"/>
    <n v="0"/>
    <n v="0"/>
    <n v="0"/>
    <n v="0"/>
    <n v="0"/>
    <n v="5"/>
    <n v="2024"/>
    <x v="7"/>
    <x v="0"/>
    <x v="2"/>
  </r>
  <r>
    <x v="1"/>
    <x v="14"/>
    <x v="1"/>
    <x v="42"/>
    <n v="235"/>
    <n v="128"/>
    <n v="8"/>
    <n v="12"/>
    <n v="2300"/>
    <n v="1"/>
    <n v="2300"/>
    <n v="1"/>
    <n v="27"/>
    <n v="232"/>
    <n v="2024"/>
    <x v="7"/>
    <x v="0"/>
    <x v="2"/>
  </r>
  <r>
    <x v="1"/>
    <x v="14"/>
    <x v="1"/>
    <x v="43"/>
    <n v="153"/>
    <n v="69"/>
    <n v="6"/>
    <n v="3"/>
    <n v="8725"/>
    <n v="2"/>
    <n v="8725"/>
    <n v="2"/>
    <n v="110"/>
    <n v="101"/>
    <n v="2024"/>
    <x v="7"/>
    <x v="0"/>
    <x v="2"/>
  </r>
  <r>
    <x v="1"/>
    <x v="14"/>
    <x v="1"/>
    <x v="44"/>
    <n v="39"/>
    <n v="19"/>
    <n v="3"/>
    <n v="0"/>
    <n v="33090"/>
    <n v="9"/>
    <n v="29130"/>
    <n v="8"/>
    <n v="1"/>
    <n v="39"/>
    <n v="2024"/>
    <x v="7"/>
    <x v="0"/>
    <x v="2"/>
  </r>
  <r>
    <x v="1"/>
    <x v="14"/>
    <x v="1"/>
    <x v="45"/>
    <n v="2"/>
    <n v="2"/>
    <n v="0"/>
    <n v="0"/>
    <n v="0"/>
    <n v="0"/>
    <n v="0"/>
    <n v="0"/>
    <n v="0"/>
    <n v="2"/>
    <n v="2024"/>
    <x v="7"/>
    <x v="0"/>
    <x v="2"/>
  </r>
  <r>
    <x v="1"/>
    <x v="158"/>
    <x v="0"/>
    <x v="0"/>
    <n v="341"/>
    <n v="129"/>
    <n v="17"/>
    <n v="1"/>
    <n v="37901"/>
    <n v="8"/>
    <n v="33433"/>
    <n v="6"/>
    <n v="21"/>
    <n v="328"/>
    <n v="2024"/>
    <x v="6"/>
    <x v="0"/>
    <x v="2"/>
  </r>
  <r>
    <x v="1"/>
    <x v="158"/>
    <x v="0"/>
    <x v="1"/>
    <n v="14690"/>
    <n v="9103"/>
    <n v="772"/>
    <n v="172"/>
    <n v="1095368"/>
    <n v="250"/>
    <n v="934815.5"/>
    <n v="229"/>
    <n v="1257"/>
    <n v="14618"/>
    <n v="2024"/>
    <x v="6"/>
    <x v="0"/>
    <x v="2"/>
  </r>
  <r>
    <x v="1"/>
    <x v="158"/>
    <x v="0"/>
    <x v="2"/>
    <n v="803"/>
    <n v="613"/>
    <n v="39"/>
    <n v="11"/>
    <n v="50896"/>
    <n v="14"/>
    <n v="48101"/>
    <n v="13"/>
    <n v="803"/>
    <n v="478"/>
    <n v="2024"/>
    <x v="6"/>
    <x v="0"/>
    <x v="2"/>
  </r>
  <r>
    <x v="1"/>
    <x v="158"/>
    <x v="0"/>
    <x v="3"/>
    <n v="1857"/>
    <n v="1444"/>
    <n v="10"/>
    <n v="2"/>
    <n v="0"/>
    <n v="0"/>
    <n v="0"/>
    <n v="0"/>
    <n v="25"/>
    <n v="353"/>
    <n v="2024"/>
    <x v="6"/>
    <x v="0"/>
    <x v="2"/>
  </r>
  <r>
    <x v="1"/>
    <x v="158"/>
    <x v="1"/>
    <x v="4"/>
    <n v="1"/>
    <n v="1"/>
    <n v="0"/>
    <n v="0"/>
    <n v="0"/>
    <n v="0"/>
    <n v="0"/>
    <n v="0"/>
    <n v="0"/>
    <n v="0"/>
    <n v="2024"/>
    <x v="6"/>
    <x v="0"/>
    <x v="2"/>
  </r>
  <r>
    <x v="1"/>
    <x v="158"/>
    <x v="1"/>
    <x v="5"/>
    <n v="5"/>
    <n v="2"/>
    <n v="0"/>
    <n v="0"/>
    <n v="0"/>
    <n v="0"/>
    <n v="0"/>
    <n v="0"/>
    <n v="0"/>
    <n v="5"/>
    <n v="2024"/>
    <x v="6"/>
    <x v="0"/>
    <x v="2"/>
  </r>
  <r>
    <x v="1"/>
    <x v="158"/>
    <x v="1"/>
    <x v="6"/>
    <n v="495"/>
    <n v="377"/>
    <n v="0"/>
    <n v="0"/>
    <n v="0"/>
    <n v="0"/>
    <n v="0"/>
    <n v="0"/>
    <n v="0"/>
    <n v="0"/>
    <n v="2024"/>
    <x v="6"/>
    <x v="0"/>
    <x v="2"/>
  </r>
  <r>
    <x v="1"/>
    <x v="158"/>
    <x v="1"/>
    <x v="7"/>
    <n v="1323"/>
    <n v="400"/>
    <n v="193"/>
    <n v="16"/>
    <n v="1041103.12"/>
    <n v="250"/>
    <n v="959841.29"/>
    <n v="243"/>
    <n v="359"/>
    <n v="1274"/>
    <n v="2024"/>
    <x v="6"/>
    <x v="0"/>
    <x v="2"/>
  </r>
  <r>
    <x v="1"/>
    <x v="158"/>
    <x v="1"/>
    <x v="8"/>
    <n v="15"/>
    <n v="13"/>
    <n v="0"/>
    <n v="0"/>
    <n v="0"/>
    <n v="0"/>
    <n v="0"/>
    <n v="0"/>
    <n v="0"/>
    <n v="1"/>
    <n v="2024"/>
    <x v="6"/>
    <x v="0"/>
    <x v="2"/>
  </r>
  <r>
    <x v="1"/>
    <x v="158"/>
    <x v="1"/>
    <x v="9"/>
    <n v="7"/>
    <n v="2"/>
    <n v="0"/>
    <n v="0"/>
    <n v="0"/>
    <n v="0"/>
    <n v="0"/>
    <n v="0"/>
    <n v="1"/>
    <n v="7"/>
    <n v="2024"/>
    <x v="6"/>
    <x v="0"/>
    <x v="2"/>
  </r>
  <r>
    <x v="1"/>
    <x v="158"/>
    <x v="1"/>
    <x v="10"/>
    <n v="13"/>
    <n v="6"/>
    <n v="2"/>
    <n v="1"/>
    <n v="0"/>
    <n v="0"/>
    <n v="0"/>
    <n v="0"/>
    <n v="1"/>
    <n v="11"/>
    <n v="2024"/>
    <x v="6"/>
    <x v="0"/>
    <x v="2"/>
  </r>
  <r>
    <x v="1"/>
    <x v="158"/>
    <x v="1"/>
    <x v="11"/>
    <n v="25"/>
    <n v="23"/>
    <n v="0"/>
    <n v="0"/>
    <n v="0"/>
    <n v="0"/>
    <n v="0"/>
    <n v="0"/>
    <n v="24"/>
    <n v="1"/>
    <n v="2024"/>
    <x v="6"/>
    <x v="0"/>
    <x v="2"/>
  </r>
  <r>
    <x v="1"/>
    <x v="158"/>
    <x v="1"/>
    <x v="61"/>
    <n v="13"/>
    <n v="8"/>
    <n v="0"/>
    <n v="0"/>
    <n v="0"/>
    <n v="0"/>
    <n v="0"/>
    <n v="0"/>
    <n v="0"/>
    <n v="13"/>
    <n v="2024"/>
    <x v="6"/>
    <x v="0"/>
    <x v="2"/>
  </r>
  <r>
    <x v="1"/>
    <x v="158"/>
    <x v="1"/>
    <x v="59"/>
    <n v="1788"/>
    <n v="1260"/>
    <n v="42"/>
    <n v="11"/>
    <n v="151790.32"/>
    <n v="24"/>
    <n v="143018.32"/>
    <n v="23"/>
    <n v="145"/>
    <n v="613"/>
    <n v="2024"/>
    <x v="6"/>
    <x v="0"/>
    <x v="2"/>
  </r>
  <r>
    <x v="1"/>
    <x v="158"/>
    <x v="1"/>
    <x v="15"/>
    <n v="12"/>
    <n v="11"/>
    <n v="0"/>
    <n v="0"/>
    <n v="0"/>
    <n v="0"/>
    <n v="0"/>
    <n v="0"/>
    <n v="0"/>
    <n v="12"/>
    <n v="2024"/>
    <x v="6"/>
    <x v="0"/>
    <x v="2"/>
  </r>
  <r>
    <x v="1"/>
    <x v="158"/>
    <x v="1"/>
    <x v="17"/>
    <n v="12"/>
    <n v="9"/>
    <n v="0"/>
    <n v="0"/>
    <n v="0"/>
    <n v="0"/>
    <n v="0"/>
    <n v="0"/>
    <n v="3"/>
    <n v="9"/>
    <n v="2024"/>
    <x v="6"/>
    <x v="0"/>
    <x v="2"/>
  </r>
  <r>
    <x v="1"/>
    <x v="158"/>
    <x v="1"/>
    <x v="18"/>
    <n v="18"/>
    <n v="17"/>
    <n v="6"/>
    <n v="1"/>
    <n v="49053.5"/>
    <n v="6"/>
    <n v="49053.5"/>
    <n v="6"/>
    <n v="4"/>
    <n v="18"/>
    <n v="2024"/>
    <x v="6"/>
    <x v="0"/>
    <x v="2"/>
  </r>
  <r>
    <x v="1"/>
    <x v="158"/>
    <x v="1"/>
    <x v="19"/>
    <n v="2322"/>
    <n v="1264"/>
    <n v="143"/>
    <n v="20"/>
    <n v="447961.35"/>
    <n v="82"/>
    <n v="349022.35"/>
    <n v="79"/>
    <n v="720"/>
    <n v="2096"/>
    <n v="2024"/>
    <x v="6"/>
    <x v="0"/>
    <x v="2"/>
  </r>
  <r>
    <x v="1"/>
    <x v="158"/>
    <x v="1"/>
    <x v="20"/>
    <n v="103"/>
    <n v="82"/>
    <n v="1"/>
    <n v="1"/>
    <n v="0"/>
    <n v="0"/>
    <n v="0"/>
    <n v="0"/>
    <n v="9"/>
    <n v="102"/>
    <n v="2024"/>
    <x v="6"/>
    <x v="0"/>
    <x v="2"/>
  </r>
  <r>
    <x v="1"/>
    <x v="158"/>
    <x v="1"/>
    <x v="21"/>
    <n v="6"/>
    <n v="5"/>
    <n v="1"/>
    <n v="0"/>
    <n v="0"/>
    <n v="0"/>
    <n v="0"/>
    <n v="0"/>
    <n v="1"/>
    <n v="6"/>
    <n v="2024"/>
    <x v="6"/>
    <x v="0"/>
    <x v="2"/>
  </r>
  <r>
    <x v="1"/>
    <x v="158"/>
    <x v="1"/>
    <x v="22"/>
    <n v="6"/>
    <n v="1"/>
    <n v="0"/>
    <n v="0"/>
    <n v="2941.14"/>
    <n v="1"/>
    <n v="2941.14"/>
    <n v="1"/>
    <n v="0"/>
    <n v="6"/>
    <n v="2024"/>
    <x v="6"/>
    <x v="0"/>
    <x v="2"/>
  </r>
  <r>
    <x v="1"/>
    <x v="158"/>
    <x v="1"/>
    <x v="24"/>
    <n v="44"/>
    <n v="29"/>
    <n v="7"/>
    <n v="0"/>
    <n v="15047.5"/>
    <n v="3"/>
    <n v="15047.5"/>
    <n v="3"/>
    <n v="13"/>
    <n v="36"/>
    <n v="2024"/>
    <x v="6"/>
    <x v="0"/>
    <x v="2"/>
  </r>
  <r>
    <x v="1"/>
    <x v="158"/>
    <x v="1"/>
    <x v="27"/>
    <n v="191"/>
    <n v="75"/>
    <n v="33"/>
    <n v="1"/>
    <n v="190955.79"/>
    <n v="31"/>
    <n v="150734.82999999999"/>
    <n v="29"/>
    <n v="65"/>
    <n v="178"/>
    <n v="2024"/>
    <x v="6"/>
    <x v="0"/>
    <x v="2"/>
  </r>
  <r>
    <x v="1"/>
    <x v="158"/>
    <x v="1"/>
    <x v="29"/>
    <n v="2618"/>
    <n v="2154"/>
    <n v="178"/>
    <n v="20"/>
    <n v="219991.5"/>
    <n v="55"/>
    <n v="194787.5"/>
    <n v="49"/>
    <n v="385"/>
    <n v="2469"/>
    <n v="2024"/>
    <x v="6"/>
    <x v="0"/>
    <x v="2"/>
  </r>
  <r>
    <x v="1"/>
    <x v="158"/>
    <x v="1"/>
    <x v="30"/>
    <n v="6983"/>
    <n v="4064"/>
    <n v="158"/>
    <n v="46"/>
    <n v="235926.88"/>
    <n v="45"/>
    <n v="178927.88"/>
    <n v="39"/>
    <n v="1823"/>
    <n v="5360"/>
    <n v="2024"/>
    <x v="6"/>
    <x v="0"/>
    <x v="2"/>
  </r>
  <r>
    <x v="1"/>
    <x v="158"/>
    <x v="1"/>
    <x v="31"/>
    <n v="197"/>
    <n v="121"/>
    <n v="12"/>
    <n v="8"/>
    <n v="10038"/>
    <n v="3"/>
    <n v="10038"/>
    <n v="3"/>
    <n v="21"/>
    <n v="195"/>
    <n v="2024"/>
    <x v="6"/>
    <x v="0"/>
    <x v="2"/>
  </r>
  <r>
    <x v="1"/>
    <x v="158"/>
    <x v="1"/>
    <x v="32"/>
    <n v="7"/>
    <n v="3"/>
    <n v="1"/>
    <n v="0"/>
    <n v="0"/>
    <n v="0"/>
    <n v="0"/>
    <n v="0"/>
    <n v="2"/>
    <n v="7"/>
    <n v="2024"/>
    <x v="6"/>
    <x v="0"/>
    <x v="2"/>
  </r>
  <r>
    <x v="1"/>
    <x v="158"/>
    <x v="1"/>
    <x v="34"/>
    <n v="464"/>
    <n v="183"/>
    <n v="39"/>
    <n v="3"/>
    <n v="70781.320000000007"/>
    <n v="16"/>
    <n v="70781.320000000007"/>
    <n v="16"/>
    <n v="163"/>
    <n v="410"/>
    <n v="2024"/>
    <x v="6"/>
    <x v="0"/>
    <x v="2"/>
  </r>
  <r>
    <x v="1"/>
    <x v="158"/>
    <x v="1"/>
    <x v="35"/>
    <n v="1"/>
    <n v="1"/>
    <n v="0"/>
    <n v="0"/>
    <n v="0"/>
    <n v="0"/>
    <n v="0"/>
    <n v="0"/>
    <n v="0"/>
    <n v="1"/>
    <n v="2024"/>
    <x v="6"/>
    <x v="0"/>
    <x v="2"/>
  </r>
  <r>
    <x v="1"/>
    <x v="158"/>
    <x v="1"/>
    <x v="36"/>
    <n v="2"/>
    <n v="2"/>
    <n v="0"/>
    <n v="0"/>
    <n v="0"/>
    <n v="0"/>
    <n v="0"/>
    <n v="0"/>
    <n v="1"/>
    <n v="1"/>
    <n v="2024"/>
    <x v="6"/>
    <x v="0"/>
    <x v="2"/>
  </r>
  <r>
    <x v="1"/>
    <x v="158"/>
    <x v="1"/>
    <x v="38"/>
    <n v="695"/>
    <n v="192"/>
    <n v="93"/>
    <n v="5"/>
    <n v="390913.49"/>
    <n v="75"/>
    <n v="329306.49"/>
    <n v="66"/>
    <n v="151"/>
    <n v="657"/>
    <n v="2024"/>
    <x v="6"/>
    <x v="0"/>
    <x v="2"/>
  </r>
  <r>
    <x v="1"/>
    <x v="158"/>
    <x v="1"/>
    <x v="39"/>
    <n v="3"/>
    <n v="1"/>
    <n v="0"/>
    <n v="0"/>
    <n v="0"/>
    <n v="0"/>
    <n v="0"/>
    <n v="0"/>
    <n v="1"/>
    <n v="3"/>
    <n v="2024"/>
    <x v="6"/>
    <x v="0"/>
    <x v="2"/>
  </r>
  <r>
    <x v="1"/>
    <x v="158"/>
    <x v="1"/>
    <x v="41"/>
    <n v="5"/>
    <n v="2"/>
    <n v="0"/>
    <n v="0"/>
    <n v="0"/>
    <n v="0"/>
    <n v="0"/>
    <n v="0"/>
    <n v="0"/>
    <n v="5"/>
    <n v="2024"/>
    <x v="6"/>
    <x v="0"/>
    <x v="2"/>
  </r>
  <r>
    <x v="1"/>
    <x v="158"/>
    <x v="1"/>
    <x v="42"/>
    <n v="206"/>
    <n v="102"/>
    <n v="8"/>
    <n v="3"/>
    <n v="9298"/>
    <n v="2"/>
    <n v="9298"/>
    <n v="2"/>
    <n v="19"/>
    <n v="203"/>
    <n v="2024"/>
    <x v="6"/>
    <x v="0"/>
    <x v="2"/>
  </r>
  <r>
    <x v="1"/>
    <x v="158"/>
    <x v="1"/>
    <x v="43"/>
    <n v="169"/>
    <n v="83"/>
    <n v="8"/>
    <n v="2"/>
    <n v="4975"/>
    <n v="1"/>
    <n v="4975"/>
    <n v="1"/>
    <n v="124"/>
    <n v="100"/>
    <n v="2024"/>
    <x v="6"/>
    <x v="0"/>
    <x v="2"/>
  </r>
  <r>
    <x v="1"/>
    <x v="158"/>
    <x v="1"/>
    <x v="44"/>
    <n v="44"/>
    <n v="17"/>
    <n v="6"/>
    <n v="1"/>
    <n v="67245.36"/>
    <n v="21"/>
    <n v="63478.36"/>
    <n v="20"/>
    <n v="1"/>
    <n v="44"/>
    <n v="2024"/>
    <x v="6"/>
    <x v="0"/>
    <x v="2"/>
  </r>
  <r>
    <x v="1"/>
    <x v="158"/>
    <x v="1"/>
    <x v="45"/>
    <n v="3"/>
    <n v="3"/>
    <n v="0"/>
    <n v="0"/>
    <n v="0"/>
    <n v="0"/>
    <n v="0"/>
    <n v="0"/>
    <n v="0"/>
    <n v="3"/>
    <n v="2024"/>
    <x v="6"/>
    <x v="0"/>
    <x v="2"/>
  </r>
  <r>
    <x v="1"/>
    <x v="159"/>
    <x v="0"/>
    <x v="0"/>
    <n v="272"/>
    <n v="83"/>
    <n v="9"/>
    <n v="0"/>
    <n v="5530"/>
    <n v="1"/>
    <n v="5530"/>
    <n v="1"/>
    <n v="17"/>
    <n v="267"/>
    <n v="2024"/>
    <x v="6"/>
    <x v="0"/>
    <x v="2"/>
  </r>
  <r>
    <x v="1"/>
    <x v="159"/>
    <x v="0"/>
    <x v="1"/>
    <n v="14712"/>
    <n v="9030"/>
    <n v="367"/>
    <n v="154"/>
    <n v="206085"/>
    <n v="38"/>
    <n v="101942.5"/>
    <n v="21"/>
    <n v="1071"/>
    <n v="14665"/>
    <n v="2024"/>
    <x v="6"/>
    <x v="0"/>
    <x v="2"/>
  </r>
  <r>
    <x v="1"/>
    <x v="159"/>
    <x v="0"/>
    <x v="2"/>
    <n v="665"/>
    <n v="525"/>
    <n v="41"/>
    <n v="8"/>
    <n v="25695"/>
    <n v="7"/>
    <n v="20330"/>
    <n v="6"/>
    <n v="665"/>
    <n v="402"/>
    <n v="2024"/>
    <x v="6"/>
    <x v="0"/>
    <x v="2"/>
  </r>
  <r>
    <x v="1"/>
    <x v="159"/>
    <x v="0"/>
    <x v="3"/>
    <n v="1697"/>
    <n v="1406"/>
    <n v="10"/>
    <n v="6"/>
    <n v="0"/>
    <n v="0"/>
    <n v="0"/>
    <n v="0"/>
    <n v="23"/>
    <n v="256"/>
    <n v="2024"/>
    <x v="6"/>
    <x v="0"/>
    <x v="2"/>
  </r>
  <r>
    <x v="1"/>
    <x v="159"/>
    <x v="1"/>
    <x v="5"/>
    <n v="11"/>
    <n v="5"/>
    <n v="0"/>
    <n v="0"/>
    <n v="0"/>
    <n v="0"/>
    <n v="0"/>
    <n v="0"/>
    <n v="1"/>
    <n v="11"/>
    <n v="2024"/>
    <x v="6"/>
    <x v="0"/>
    <x v="2"/>
  </r>
  <r>
    <x v="1"/>
    <x v="159"/>
    <x v="1"/>
    <x v="6"/>
    <n v="876"/>
    <n v="805"/>
    <n v="0"/>
    <n v="0"/>
    <n v="0"/>
    <n v="0"/>
    <n v="0"/>
    <n v="0"/>
    <n v="1"/>
    <n v="1"/>
    <n v="2024"/>
    <x v="6"/>
    <x v="0"/>
    <x v="2"/>
  </r>
  <r>
    <x v="1"/>
    <x v="159"/>
    <x v="1"/>
    <x v="7"/>
    <n v="685"/>
    <n v="139"/>
    <n v="54"/>
    <n v="4"/>
    <n v="120218.5"/>
    <n v="21"/>
    <n v="75493.5"/>
    <n v="15"/>
    <n v="153"/>
    <n v="657"/>
    <n v="2024"/>
    <x v="6"/>
    <x v="0"/>
    <x v="2"/>
  </r>
  <r>
    <x v="1"/>
    <x v="159"/>
    <x v="1"/>
    <x v="8"/>
    <n v="18"/>
    <n v="13"/>
    <n v="0"/>
    <n v="0"/>
    <n v="0"/>
    <n v="0"/>
    <n v="0"/>
    <n v="0"/>
    <n v="0"/>
    <n v="5"/>
    <n v="2024"/>
    <x v="6"/>
    <x v="0"/>
    <x v="2"/>
  </r>
  <r>
    <x v="1"/>
    <x v="159"/>
    <x v="1"/>
    <x v="9"/>
    <n v="3"/>
    <n v="1"/>
    <n v="0"/>
    <n v="0"/>
    <n v="0"/>
    <n v="0"/>
    <n v="0"/>
    <n v="0"/>
    <n v="0"/>
    <n v="2"/>
    <n v="2024"/>
    <x v="6"/>
    <x v="0"/>
    <x v="2"/>
  </r>
  <r>
    <x v="1"/>
    <x v="159"/>
    <x v="1"/>
    <x v="52"/>
    <n v="1"/>
    <n v="1"/>
    <n v="0"/>
    <n v="0"/>
    <n v="0"/>
    <n v="0"/>
    <n v="0"/>
    <n v="0"/>
    <n v="0"/>
    <n v="1"/>
    <n v="2024"/>
    <x v="6"/>
    <x v="0"/>
    <x v="2"/>
  </r>
  <r>
    <x v="1"/>
    <x v="159"/>
    <x v="1"/>
    <x v="10"/>
    <n v="42"/>
    <n v="32"/>
    <n v="0"/>
    <n v="1"/>
    <n v="0"/>
    <n v="0"/>
    <n v="0"/>
    <n v="0"/>
    <n v="3"/>
    <n v="17"/>
    <n v="2024"/>
    <x v="6"/>
    <x v="0"/>
    <x v="2"/>
  </r>
  <r>
    <x v="1"/>
    <x v="159"/>
    <x v="1"/>
    <x v="11"/>
    <n v="4"/>
    <n v="4"/>
    <n v="0"/>
    <n v="0"/>
    <n v="0"/>
    <n v="0"/>
    <n v="0"/>
    <n v="0"/>
    <n v="1"/>
    <n v="3"/>
    <n v="2024"/>
    <x v="6"/>
    <x v="0"/>
    <x v="2"/>
  </r>
  <r>
    <x v="1"/>
    <x v="159"/>
    <x v="1"/>
    <x v="61"/>
    <n v="47"/>
    <n v="30"/>
    <n v="1"/>
    <n v="1"/>
    <n v="0"/>
    <n v="0"/>
    <n v="0"/>
    <n v="0"/>
    <n v="0"/>
    <n v="47"/>
    <n v="2024"/>
    <x v="6"/>
    <x v="0"/>
    <x v="2"/>
  </r>
  <r>
    <x v="1"/>
    <x v="159"/>
    <x v="1"/>
    <x v="14"/>
    <n v="2"/>
    <n v="2"/>
    <n v="0"/>
    <n v="0"/>
    <n v="0"/>
    <n v="0"/>
    <n v="0"/>
    <n v="0"/>
    <n v="0"/>
    <n v="0"/>
    <n v="2024"/>
    <x v="6"/>
    <x v="0"/>
    <x v="2"/>
  </r>
  <r>
    <x v="1"/>
    <x v="159"/>
    <x v="1"/>
    <x v="59"/>
    <n v="4136"/>
    <n v="3642"/>
    <n v="34"/>
    <n v="6"/>
    <n v="33955"/>
    <n v="5"/>
    <n v="11352.5"/>
    <n v="3"/>
    <n v="100"/>
    <n v="567"/>
    <n v="2024"/>
    <x v="6"/>
    <x v="0"/>
    <x v="2"/>
  </r>
  <r>
    <x v="1"/>
    <x v="159"/>
    <x v="1"/>
    <x v="15"/>
    <n v="10"/>
    <n v="9"/>
    <n v="0"/>
    <n v="0"/>
    <n v="0"/>
    <n v="0"/>
    <n v="0"/>
    <n v="0"/>
    <n v="0"/>
    <n v="10"/>
    <n v="2024"/>
    <x v="6"/>
    <x v="0"/>
    <x v="2"/>
  </r>
  <r>
    <x v="1"/>
    <x v="159"/>
    <x v="1"/>
    <x v="17"/>
    <n v="11"/>
    <n v="8"/>
    <n v="0"/>
    <n v="0"/>
    <n v="3400"/>
    <n v="1"/>
    <n v="3400"/>
    <n v="1"/>
    <n v="2"/>
    <n v="9"/>
    <n v="2024"/>
    <x v="6"/>
    <x v="0"/>
    <x v="2"/>
  </r>
  <r>
    <x v="1"/>
    <x v="159"/>
    <x v="1"/>
    <x v="18"/>
    <n v="12"/>
    <n v="9"/>
    <n v="4"/>
    <n v="0"/>
    <n v="3400"/>
    <n v="1"/>
    <n v="3400"/>
    <n v="1"/>
    <n v="0"/>
    <n v="11"/>
    <n v="2024"/>
    <x v="6"/>
    <x v="0"/>
    <x v="2"/>
  </r>
  <r>
    <x v="1"/>
    <x v="159"/>
    <x v="1"/>
    <x v="19"/>
    <n v="2253"/>
    <n v="1329"/>
    <n v="94"/>
    <n v="22"/>
    <n v="89505"/>
    <n v="16"/>
    <n v="52852.5"/>
    <n v="12"/>
    <n v="517"/>
    <n v="1888"/>
    <n v="2024"/>
    <x v="6"/>
    <x v="0"/>
    <x v="2"/>
  </r>
  <r>
    <x v="1"/>
    <x v="159"/>
    <x v="1"/>
    <x v="20"/>
    <n v="61"/>
    <n v="51"/>
    <n v="2"/>
    <n v="0"/>
    <n v="0"/>
    <n v="0"/>
    <n v="0"/>
    <n v="0"/>
    <n v="2"/>
    <n v="61"/>
    <n v="2024"/>
    <x v="6"/>
    <x v="0"/>
    <x v="2"/>
  </r>
  <r>
    <x v="1"/>
    <x v="159"/>
    <x v="1"/>
    <x v="21"/>
    <n v="6"/>
    <n v="4"/>
    <n v="1"/>
    <n v="0"/>
    <n v="0"/>
    <n v="0"/>
    <n v="0"/>
    <n v="0"/>
    <n v="2"/>
    <n v="6"/>
    <n v="2024"/>
    <x v="6"/>
    <x v="0"/>
    <x v="2"/>
  </r>
  <r>
    <x v="1"/>
    <x v="159"/>
    <x v="1"/>
    <x v="22"/>
    <n v="21"/>
    <n v="13"/>
    <n v="0"/>
    <n v="0"/>
    <n v="0"/>
    <n v="0"/>
    <n v="0"/>
    <n v="0"/>
    <n v="0"/>
    <n v="7"/>
    <n v="2024"/>
    <x v="6"/>
    <x v="0"/>
    <x v="2"/>
  </r>
  <r>
    <x v="1"/>
    <x v="159"/>
    <x v="1"/>
    <x v="24"/>
    <n v="33"/>
    <n v="24"/>
    <n v="1"/>
    <n v="0"/>
    <n v="0"/>
    <n v="0"/>
    <n v="0"/>
    <n v="0"/>
    <n v="7"/>
    <n v="28"/>
    <n v="2024"/>
    <x v="6"/>
    <x v="0"/>
    <x v="2"/>
  </r>
  <r>
    <x v="1"/>
    <x v="159"/>
    <x v="1"/>
    <x v="27"/>
    <n v="134"/>
    <n v="52"/>
    <n v="17"/>
    <n v="3"/>
    <n v="74670"/>
    <n v="14"/>
    <n v="57780"/>
    <n v="12"/>
    <n v="42"/>
    <n v="130"/>
    <n v="2024"/>
    <x v="6"/>
    <x v="0"/>
    <x v="2"/>
  </r>
  <r>
    <x v="1"/>
    <x v="159"/>
    <x v="1"/>
    <x v="29"/>
    <n v="2244"/>
    <n v="1833"/>
    <n v="63"/>
    <n v="18"/>
    <n v="63467.5"/>
    <n v="7"/>
    <n v="42345"/>
    <n v="4"/>
    <n v="315"/>
    <n v="2030"/>
    <n v="2024"/>
    <x v="6"/>
    <x v="0"/>
    <x v="2"/>
  </r>
  <r>
    <x v="1"/>
    <x v="159"/>
    <x v="1"/>
    <x v="30"/>
    <n v="9469"/>
    <n v="6520"/>
    <n v="136"/>
    <n v="50"/>
    <n v="45463.5"/>
    <n v="12"/>
    <n v="29649"/>
    <n v="9"/>
    <n v="1573"/>
    <n v="5369"/>
    <n v="2024"/>
    <x v="6"/>
    <x v="0"/>
    <x v="2"/>
  </r>
  <r>
    <x v="1"/>
    <x v="159"/>
    <x v="1"/>
    <x v="31"/>
    <n v="177"/>
    <n v="110"/>
    <n v="9"/>
    <n v="2"/>
    <n v="5900"/>
    <n v="2"/>
    <n v="5900"/>
    <n v="2"/>
    <n v="26"/>
    <n v="167"/>
    <n v="2024"/>
    <x v="6"/>
    <x v="0"/>
    <x v="2"/>
  </r>
  <r>
    <x v="1"/>
    <x v="159"/>
    <x v="1"/>
    <x v="32"/>
    <n v="5"/>
    <n v="1"/>
    <n v="1"/>
    <n v="0"/>
    <n v="0"/>
    <n v="0"/>
    <n v="0"/>
    <n v="0"/>
    <n v="2"/>
    <n v="5"/>
    <n v="2024"/>
    <x v="6"/>
    <x v="0"/>
    <x v="2"/>
  </r>
  <r>
    <x v="1"/>
    <x v="159"/>
    <x v="1"/>
    <x v="34"/>
    <n v="426"/>
    <n v="170"/>
    <n v="32"/>
    <n v="11"/>
    <n v="21727"/>
    <n v="4"/>
    <n v="17747"/>
    <n v="3"/>
    <n v="125"/>
    <n v="390"/>
    <n v="2024"/>
    <x v="6"/>
    <x v="0"/>
    <x v="2"/>
  </r>
  <r>
    <x v="1"/>
    <x v="159"/>
    <x v="1"/>
    <x v="35"/>
    <n v="1"/>
    <n v="0"/>
    <n v="1"/>
    <n v="0"/>
    <n v="0"/>
    <n v="0"/>
    <n v="0"/>
    <n v="0"/>
    <n v="0"/>
    <n v="1"/>
    <n v="2024"/>
    <x v="6"/>
    <x v="0"/>
    <x v="2"/>
  </r>
  <r>
    <x v="1"/>
    <x v="159"/>
    <x v="1"/>
    <x v="36"/>
    <n v="1"/>
    <n v="1"/>
    <n v="0"/>
    <n v="0"/>
    <n v="0"/>
    <n v="0"/>
    <n v="0"/>
    <n v="0"/>
    <n v="0"/>
    <n v="1"/>
    <n v="2024"/>
    <x v="6"/>
    <x v="0"/>
    <x v="2"/>
  </r>
  <r>
    <x v="1"/>
    <x v="159"/>
    <x v="1"/>
    <x v="38"/>
    <n v="462"/>
    <n v="113"/>
    <n v="30"/>
    <n v="12"/>
    <n v="56426.5"/>
    <n v="12"/>
    <n v="24270"/>
    <n v="8"/>
    <n v="91"/>
    <n v="421"/>
    <n v="2024"/>
    <x v="6"/>
    <x v="0"/>
    <x v="2"/>
  </r>
  <r>
    <x v="1"/>
    <x v="159"/>
    <x v="1"/>
    <x v="60"/>
    <n v="1"/>
    <n v="1"/>
    <n v="0"/>
    <n v="0"/>
    <n v="0"/>
    <n v="0"/>
    <n v="0"/>
    <n v="0"/>
    <n v="0"/>
    <n v="1"/>
    <n v="2024"/>
    <x v="6"/>
    <x v="0"/>
    <x v="2"/>
  </r>
  <r>
    <x v="1"/>
    <x v="159"/>
    <x v="1"/>
    <x v="39"/>
    <n v="2"/>
    <n v="1"/>
    <n v="0"/>
    <n v="0"/>
    <n v="0"/>
    <n v="0"/>
    <n v="0"/>
    <n v="0"/>
    <n v="1"/>
    <n v="2"/>
    <n v="2024"/>
    <x v="6"/>
    <x v="0"/>
    <x v="2"/>
  </r>
  <r>
    <x v="1"/>
    <x v="159"/>
    <x v="1"/>
    <x v="41"/>
    <n v="2"/>
    <n v="0"/>
    <n v="0"/>
    <n v="0"/>
    <n v="0"/>
    <n v="0"/>
    <n v="0"/>
    <n v="0"/>
    <n v="0"/>
    <n v="2"/>
    <n v="2024"/>
    <x v="6"/>
    <x v="0"/>
    <x v="2"/>
  </r>
  <r>
    <x v="1"/>
    <x v="159"/>
    <x v="1"/>
    <x v="42"/>
    <n v="181"/>
    <n v="87"/>
    <n v="5"/>
    <n v="1"/>
    <n v="3900"/>
    <n v="1"/>
    <n v="0"/>
    <n v="0"/>
    <n v="18"/>
    <n v="170"/>
    <n v="2024"/>
    <x v="6"/>
    <x v="0"/>
    <x v="2"/>
  </r>
  <r>
    <x v="1"/>
    <x v="159"/>
    <x v="1"/>
    <x v="43"/>
    <n v="162"/>
    <n v="91"/>
    <n v="8"/>
    <n v="1"/>
    <n v="11330"/>
    <n v="2"/>
    <n v="11330"/>
    <n v="2"/>
    <n v="96"/>
    <n v="78"/>
    <n v="2024"/>
    <x v="6"/>
    <x v="0"/>
    <x v="2"/>
  </r>
  <r>
    <x v="1"/>
    <x v="159"/>
    <x v="1"/>
    <x v="44"/>
    <n v="16"/>
    <n v="4"/>
    <n v="0"/>
    <n v="0"/>
    <n v="0"/>
    <n v="0"/>
    <n v="0"/>
    <n v="0"/>
    <n v="0"/>
    <n v="16"/>
    <n v="2024"/>
    <x v="6"/>
    <x v="0"/>
    <x v="2"/>
  </r>
  <r>
    <x v="1"/>
    <x v="160"/>
    <x v="0"/>
    <x v="0"/>
    <n v="310"/>
    <n v="104"/>
    <n v="16"/>
    <n v="2"/>
    <n v="0"/>
    <n v="0"/>
    <n v="0"/>
    <n v="0"/>
    <n v="21"/>
    <n v="303"/>
    <n v="2024"/>
    <x v="6"/>
    <x v="0"/>
    <x v="2"/>
  </r>
  <r>
    <x v="1"/>
    <x v="160"/>
    <x v="0"/>
    <x v="1"/>
    <n v="13529"/>
    <n v="8111"/>
    <n v="306"/>
    <n v="162"/>
    <n v="237452"/>
    <n v="36"/>
    <n v="110522"/>
    <n v="24"/>
    <n v="883"/>
    <n v="13493"/>
    <n v="2024"/>
    <x v="6"/>
    <x v="0"/>
    <x v="2"/>
  </r>
  <r>
    <x v="1"/>
    <x v="160"/>
    <x v="0"/>
    <x v="2"/>
    <n v="679"/>
    <n v="538"/>
    <n v="39"/>
    <n v="7"/>
    <n v="27060"/>
    <n v="7"/>
    <n v="20770"/>
    <n v="5"/>
    <n v="678"/>
    <n v="415"/>
    <n v="2024"/>
    <x v="6"/>
    <x v="0"/>
    <x v="2"/>
  </r>
  <r>
    <x v="1"/>
    <x v="160"/>
    <x v="0"/>
    <x v="3"/>
    <n v="221"/>
    <n v="167"/>
    <n v="6"/>
    <n v="4"/>
    <n v="0"/>
    <n v="0"/>
    <n v="0"/>
    <n v="0"/>
    <n v="3"/>
    <n v="186"/>
    <n v="2024"/>
    <x v="6"/>
    <x v="0"/>
    <x v="2"/>
  </r>
  <r>
    <x v="1"/>
    <x v="160"/>
    <x v="1"/>
    <x v="5"/>
    <n v="9"/>
    <n v="5"/>
    <n v="0"/>
    <n v="0"/>
    <n v="0"/>
    <n v="0"/>
    <n v="0"/>
    <n v="0"/>
    <n v="0"/>
    <n v="9"/>
    <n v="2024"/>
    <x v="6"/>
    <x v="0"/>
    <x v="2"/>
  </r>
  <r>
    <x v="1"/>
    <x v="160"/>
    <x v="1"/>
    <x v="6"/>
    <n v="2"/>
    <n v="2"/>
    <n v="0"/>
    <n v="0"/>
    <n v="0"/>
    <n v="0"/>
    <n v="0"/>
    <n v="0"/>
    <n v="0"/>
    <n v="0"/>
    <n v="2024"/>
    <x v="6"/>
    <x v="0"/>
    <x v="2"/>
  </r>
  <r>
    <x v="1"/>
    <x v="160"/>
    <x v="1"/>
    <x v="7"/>
    <n v="632"/>
    <n v="123"/>
    <n v="58"/>
    <n v="4"/>
    <n v="164142"/>
    <n v="24"/>
    <n v="134513"/>
    <n v="21"/>
    <n v="151"/>
    <n v="614"/>
    <n v="2024"/>
    <x v="6"/>
    <x v="0"/>
    <x v="2"/>
  </r>
  <r>
    <x v="1"/>
    <x v="160"/>
    <x v="1"/>
    <x v="8"/>
    <n v="6"/>
    <n v="1"/>
    <n v="0"/>
    <n v="0"/>
    <n v="0"/>
    <n v="0"/>
    <n v="0"/>
    <n v="0"/>
    <n v="0"/>
    <n v="6"/>
    <n v="2024"/>
    <x v="6"/>
    <x v="0"/>
    <x v="2"/>
  </r>
  <r>
    <x v="1"/>
    <x v="160"/>
    <x v="1"/>
    <x v="9"/>
    <n v="4"/>
    <n v="1"/>
    <n v="0"/>
    <n v="0"/>
    <n v="0"/>
    <n v="0"/>
    <n v="0"/>
    <n v="0"/>
    <n v="0"/>
    <n v="4"/>
    <n v="2024"/>
    <x v="6"/>
    <x v="0"/>
    <x v="2"/>
  </r>
  <r>
    <x v="1"/>
    <x v="160"/>
    <x v="1"/>
    <x v="10"/>
    <n v="10"/>
    <n v="4"/>
    <n v="0"/>
    <n v="0"/>
    <n v="0"/>
    <n v="0"/>
    <n v="0"/>
    <n v="0"/>
    <n v="5"/>
    <n v="6"/>
    <n v="2024"/>
    <x v="6"/>
    <x v="0"/>
    <x v="2"/>
  </r>
  <r>
    <x v="1"/>
    <x v="160"/>
    <x v="1"/>
    <x v="11"/>
    <n v="3"/>
    <n v="2"/>
    <n v="0"/>
    <n v="1"/>
    <n v="0"/>
    <n v="0"/>
    <n v="0"/>
    <n v="0"/>
    <n v="1"/>
    <n v="2"/>
    <n v="2024"/>
    <x v="6"/>
    <x v="0"/>
    <x v="2"/>
  </r>
  <r>
    <x v="1"/>
    <x v="160"/>
    <x v="1"/>
    <x v="61"/>
    <n v="98"/>
    <n v="50"/>
    <n v="4"/>
    <n v="1"/>
    <n v="7288"/>
    <n v="2"/>
    <n v="4990"/>
    <n v="1"/>
    <n v="0"/>
    <n v="98"/>
    <n v="2024"/>
    <x v="6"/>
    <x v="0"/>
    <x v="2"/>
  </r>
  <r>
    <x v="1"/>
    <x v="160"/>
    <x v="1"/>
    <x v="59"/>
    <n v="550"/>
    <n v="210"/>
    <n v="14"/>
    <n v="5"/>
    <n v="28547.5"/>
    <n v="6"/>
    <n v="17617.5"/>
    <n v="5"/>
    <n v="84"/>
    <n v="502"/>
    <n v="2024"/>
    <x v="6"/>
    <x v="0"/>
    <x v="2"/>
  </r>
  <r>
    <x v="1"/>
    <x v="160"/>
    <x v="1"/>
    <x v="15"/>
    <n v="13"/>
    <n v="10"/>
    <n v="0"/>
    <n v="0"/>
    <n v="0"/>
    <n v="0"/>
    <n v="0"/>
    <n v="0"/>
    <n v="0"/>
    <n v="13"/>
    <n v="2024"/>
    <x v="6"/>
    <x v="0"/>
    <x v="2"/>
  </r>
  <r>
    <x v="1"/>
    <x v="160"/>
    <x v="1"/>
    <x v="17"/>
    <n v="10"/>
    <n v="10"/>
    <n v="0"/>
    <n v="1"/>
    <n v="0"/>
    <n v="0"/>
    <n v="0"/>
    <n v="0"/>
    <n v="0"/>
    <n v="10"/>
    <n v="2024"/>
    <x v="6"/>
    <x v="0"/>
    <x v="2"/>
  </r>
  <r>
    <x v="1"/>
    <x v="160"/>
    <x v="1"/>
    <x v="18"/>
    <n v="15"/>
    <n v="13"/>
    <n v="1"/>
    <n v="0"/>
    <n v="2990"/>
    <n v="1"/>
    <n v="2990"/>
    <n v="1"/>
    <n v="1"/>
    <n v="15"/>
    <n v="2024"/>
    <x v="6"/>
    <x v="0"/>
    <x v="2"/>
  </r>
  <r>
    <x v="1"/>
    <x v="160"/>
    <x v="1"/>
    <x v="19"/>
    <n v="1371"/>
    <n v="748"/>
    <n v="61"/>
    <n v="20"/>
    <n v="78570.5"/>
    <n v="11"/>
    <n v="66546.5"/>
    <n v="10"/>
    <n v="464"/>
    <n v="1233"/>
    <n v="2024"/>
    <x v="6"/>
    <x v="0"/>
    <x v="2"/>
  </r>
  <r>
    <x v="1"/>
    <x v="160"/>
    <x v="1"/>
    <x v="20"/>
    <n v="92"/>
    <n v="79"/>
    <n v="1"/>
    <n v="1"/>
    <n v="0"/>
    <n v="0"/>
    <n v="0"/>
    <n v="0"/>
    <n v="7"/>
    <n v="91"/>
    <n v="2024"/>
    <x v="6"/>
    <x v="0"/>
    <x v="2"/>
  </r>
  <r>
    <x v="1"/>
    <x v="160"/>
    <x v="1"/>
    <x v="21"/>
    <n v="8"/>
    <n v="4"/>
    <n v="0"/>
    <n v="0"/>
    <n v="1797"/>
    <n v="1"/>
    <n v="1797"/>
    <n v="1"/>
    <n v="2"/>
    <n v="8"/>
    <n v="2024"/>
    <x v="6"/>
    <x v="0"/>
    <x v="2"/>
  </r>
  <r>
    <x v="1"/>
    <x v="160"/>
    <x v="1"/>
    <x v="22"/>
    <n v="8"/>
    <n v="1"/>
    <n v="0"/>
    <n v="0"/>
    <n v="0"/>
    <n v="0"/>
    <n v="0"/>
    <n v="0"/>
    <n v="0"/>
    <n v="7"/>
    <n v="2024"/>
    <x v="6"/>
    <x v="0"/>
    <x v="2"/>
  </r>
  <r>
    <x v="1"/>
    <x v="160"/>
    <x v="1"/>
    <x v="24"/>
    <n v="41"/>
    <n v="22"/>
    <n v="3"/>
    <n v="0"/>
    <n v="5863"/>
    <n v="2"/>
    <n v="5863"/>
    <n v="2"/>
    <n v="8"/>
    <n v="39"/>
    <n v="2024"/>
    <x v="6"/>
    <x v="0"/>
    <x v="2"/>
  </r>
  <r>
    <x v="1"/>
    <x v="160"/>
    <x v="1"/>
    <x v="27"/>
    <n v="221"/>
    <n v="73"/>
    <n v="20"/>
    <n v="3"/>
    <n v="83129"/>
    <n v="16"/>
    <n v="67322"/>
    <n v="14"/>
    <n v="56"/>
    <n v="215"/>
    <n v="2024"/>
    <x v="6"/>
    <x v="0"/>
    <x v="2"/>
  </r>
  <r>
    <x v="1"/>
    <x v="160"/>
    <x v="1"/>
    <x v="29"/>
    <n v="1748"/>
    <n v="1320"/>
    <n v="61"/>
    <n v="19"/>
    <n v="76620"/>
    <n v="8"/>
    <n v="55100"/>
    <n v="7"/>
    <n v="320"/>
    <n v="1637"/>
    <n v="2024"/>
    <x v="6"/>
    <x v="0"/>
    <x v="2"/>
  </r>
  <r>
    <x v="1"/>
    <x v="160"/>
    <x v="1"/>
    <x v="30"/>
    <n v="5648"/>
    <n v="3361"/>
    <n v="108"/>
    <n v="44"/>
    <n v="44791.18"/>
    <n v="12"/>
    <n v="30561.18"/>
    <n v="9"/>
    <n v="1513"/>
    <n v="4492"/>
    <n v="2024"/>
    <x v="6"/>
    <x v="0"/>
    <x v="2"/>
  </r>
  <r>
    <x v="1"/>
    <x v="160"/>
    <x v="1"/>
    <x v="31"/>
    <n v="165"/>
    <n v="112"/>
    <n v="5"/>
    <n v="2"/>
    <n v="2750"/>
    <n v="1"/>
    <n v="2750"/>
    <n v="1"/>
    <n v="22"/>
    <n v="159"/>
    <n v="2024"/>
    <x v="6"/>
    <x v="0"/>
    <x v="2"/>
  </r>
  <r>
    <x v="1"/>
    <x v="160"/>
    <x v="1"/>
    <x v="32"/>
    <n v="7"/>
    <n v="4"/>
    <n v="0"/>
    <n v="0"/>
    <n v="0"/>
    <n v="0"/>
    <n v="0"/>
    <n v="0"/>
    <n v="1"/>
    <n v="7"/>
    <n v="2024"/>
    <x v="6"/>
    <x v="0"/>
    <x v="2"/>
  </r>
  <r>
    <x v="1"/>
    <x v="160"/>
    <x v="1"/>
    <x v="34"/>
    <n v="366"/>
    <n v="143"/>
    <n v="26"/>
    <n v="13"/>
    <n v="26001.5"/>
    <n v="6"/>
    <n v="20061.5"/>
    <n v="6"/>
    <n v="104"/>
    <n v="336"/>
    <n v="2024"/>
    <x v="6"/>
    <x v="0"/>
    <x v="2"/>
  </r>
  <r>
    <x v="1"/>
    <x v="160"/>
    <x v="1"/>
    <x v="36"/>
    <n v="5"/>
    <n v="5"/>
    <n v="0"/>
    <n v="1"/>
    <n v="0"/>
    <n v="0"/>
    <n v="0"/>
    <n v="0"/>
    <n v="0"/>
    <n v="5"/>
    <n v="2024"/>
    <x v="6"/>
    <x v="0"/>
    <x v="2"/>
  </r>
  <r>
    <x v="1"/>
    <x v="160"/>
    <x v="1"/>
    <x v="37"/>
    <n v="606"/>
    <n v="263"/>
    <n v="26"/>
    <n v="0"/>
    <n v="22000"/>
    <n v="4"/>
    <n v="14070"/>
    <n v="3"/>
    <n v="76"/>
    <n v="601"/>
    <n v="2024"/>
    <x v="6"/>
    <x v="0"/>
    <x v="2"/>
  </r>
  <r>
    <x v="1"/>
    <x v="160"/>
    <x v="1"/>
    <x v="38"/>
    <n v="454"/>
    <n v="96"/>
    <n v="25"/>
    <n v="10"/>
    <n v="66743.5"/>
    <n v="14"/>
    <n v="44779.5"/>
    <n v="11"/>
    <n v="92"/>
    <n v="437"/>
    <n v="2024"/>
    <x v="6"/>
    <x v="0"/>
    <x v="2"/>
  </r>
  <r>
    <x v="1"/>
    <x v="160"/>
    <x v="1"/>
    <x v="60"/>
    <n v="1"/>
    <n v="1"/>
    <n v="0"/>
    <n v="0"/>
    <n v="0"/>
    <n v="0"/>
    <n v="0"/>
    <n v="0"/>
    <n v="0"/>
    <n v="1"/>
    <n v="2024"/>
    <x v="6"/>
    <x v="0"/>
    <x v="2"/>
  </r>
  <r>
    <x v="1"/>
    <x v="160"/>
    <x v="1"/>
    <x v="39"/>
    <n v="2"/>
    <n v="0"/>
    <n v="0"/>
    <n v="0"/>
    <n v="0"/>
    <n v="0"/>
    <n v="0"/>
    <n v="0"/>
    <n v="0"/>
    <n v="2"/>
    <n v="2024"/>
    <x v="6"/>
    <x v="0"/>
    <x v="2"/>
  </r>
  <r>
    <x v="1"/>
    <x v="160"/>
    <x v="1"/>
    <x v="41"/>
    <n v="5"/>
    <n v="0"/>
    <n v="0"/>
    <n v="0"/>
    <n v="0"/>
    <n v="0"/>
    <n v="0"/>
    <n v="0"/>
    <n v="1"/>
    <n v="4"/>
    <n v="2024"/>
    <x v="6"/>
    <x v="0"/>
    <x v="2"/>
  </r>
  <r>
    <x v="1"/>
    <x v="160"/>
    <x v="1"/>
    <x v="42"/>
    <n v="185"/>
    <n v="90"/>
    <n v="8"/>
    <n v="7"/>
    <n v="8980"/>
    <n v="2"/>
    <n v="5580"/>
    <n v="1"/>
    <n v="24"/>
    <n v="178"/>
    <n v="2024"/>
    <x v="6"/>
    <x v="0"/>
    <x v="2"/>
  </r>
  <r>
    <x v="1"/>
    <x v="160"/>
    <x v="1"/>
    <x v="43"/>
    <n v="117"/>
    <n v="53"/>
    <n v="3"/>
    <n v="2"/>
    <n v="0"/>
    <n v="0"/>
    <n v="0"/>
    <n v="0"/>
    <n v="85"/>
    <n v="77"/>
    <n v="2024"/>
    <x v="6"/>
    <x v="0"/>
    <x v="2"/>
  </r>
  <r>
    <x v="1"/>
    <x v="160"/>
    <x v="1"/>
    <x v="44"/>
    <n v="14"/>
    <n v="4"/>
    <n v="1"/>
    <n v="0"/>
    <n v="3850"/>
    <n v="1"/>
    <n v="3850"/>
    <n v="1"/>
    <n v="2"/>
    <n v="14"/>
    <n v="2024"/>
    <x v="6"/>
    <x v="0"/>
    <x v="2"/>
  </r>
  <r>
    <x v="1"/>
    <x v="160"/>
    <x v="1"/>
    <x v="45"/>
    <n v="1"/>
    <n v="1"/>
    <n v="0"/>
    <n v="0"/>
    <n v="0"/>
    <n v="0"/>
    <n v="0"/>
    <n v="0"/>
    <n v="0"/>
    <n v="1"/>
    <n v="2024"/>
    <x v="6"/>
    <x v="0"/>
    <x v="2"/>
  </r>
  <r>
    <x v="1"/>
    <x v="161"/>
    <x v="0"/>
    <x v="0"/>
    <n v="309"/>
    <n v="120"/>
    <n v="12"/>
    <n v="1"/>
    <n v="0"/>
    <n v="0"/>
    <n v="0"/>
    <n v="0"/>
    <n v="25"/>
    <n v="295"/>
    <n v="2024"/>
    <x v="6"/>
    <x v="0"/>
    <x v="2"/>
  </r>
  <r>
    <x v="1"/>
    <x v="161"/>
    <x v="0"/>
    <x v="1"/>
    <n v="15873"/>
    <n v="9994"/>
    <n v="361"/>
    <n v="174"/>
    <n v="230666.5"/>
    <n v="35"/>
    <n v="80171"/>
    <n v="14"/>
    <n v="1080"/>
    <n v="15823"/>
    <n v="2024"/>
    <x v="6"/>
    <x v="0"/>
    <x v="2"/>
  </r>
  <r>
    <x v="1"/>
    <x v="161"/>
    <x v="0"/>
    <x v="2"/>
    <n v="695"/>
    <n v="539"/>
    <n v="30"/>
    <n v="11"/>
    <n v="19244.5"/>
    <n v="3"/>
    <n v="11579.5"/>
    <n v="2"/>
    <n v="694"/>
    <n v="429"/>
    <n v="2024"/>
    <x v="6"/>
    <x v="0"/>
    <x v="2"/>
  </r>
  <r>
    <x v="1"/>
    <x v="161"/>
    <x v="0"/>
    <x v="3"/>
    <n v="2102"/>
    <n v="1699"/>
    <n v="14"/>
    <n v="8"/>
    <n v="0"/>
    <n v="0"/>
    <n v="0"/>
    <n v="0"/>
    <n v="36"/>
    <n v="368"/>
    <n v="2024"/>
    <x v="6"/>
    <x v="0"/>
    <x v="2"/>
  </r>
  <r>
    <x v="1"/>
    <x v="161"/>
    <x v="1"/>
    <x v="5"/>
    <n v="6"/>
    <n v="5"/>
    <n v="0"/>
    <n v="0"/>
    <n v="0"/>
    <n v="0"/>
    <n v="0"/>
    <n v="0"/>
    <n v="0"/>
    <n v="6"/>
    <n v="2024"/>
    <x v="6"/>
    <x v="0"/>
    <x v="2"/>
  </r>
  <r>
    <x v="1"/>
    <x v="161"/>
    <x v="1"/>
    <x v="6"/>
    <n v="1091"/>
    <n v="951"/>
    <n v="0"/>
    <n v="0"/>
    <n v="0"/>
    <n v="0"/>
    <n v="0"/>
    <n v="0"/>
    <n v="0"/>
    <n v="2"/>
    <n v="2024"/>
    <x v="6"/>
    <x v="0"/>
    <x v="2"/>
  </r>
  <r>
    <x v="1"/>
    <x v="161"/>
    <x v="1"/>
    <x v="7"/>
    <n v="642"/>
    <n v="120"/>
    <n v="51"/>
    <n v="4"/>
    <n v="143192.57999999999"/>
    <n v="27"/>
    <n v="128830.58"/>
    <n v="23"/>
    <n v="114"/>
    <n v="624"/>
    <n v="2024"/>
    <x v="6"/>
    <x v="0"/>
    <x v="2"/>
  </r>
  <r>
    <x v="1"/>
    <x v="161"/>
    <x v="1"/>
    <x v="8"/>
    <n v="63"/>
    <n v="53"/>
    <n v="0"/>
    <n v="0"/>
    <n v="0"/>
    <n v="0"/>
    <n v="0"/>
    <n v="0"/>
    <n v="0"/>
    <n v="7"/>
    <n v="2024"/>
    <x v="6"/>
    <x v="0"/>
    <x v="2"/>
  </r>
  <r>
    <x v="1"/>
    <x v="161"/>
    <x v="1"/>
    <x v="9"/>
    <n v="12"/>
    <n v="8"/>
    <n v="0"/>
    <n v="0"/>
    <n v="0"/>
    <n v="0"/>
    <n v="0"/>
    <n v="0"/>
    <n v="1"/>
    <n v="2"/>
    <n v="2024"/>
    <x v="6"/>
    <x v="0"/>
    <x v="2"/>
  </r>
  <r>
    <x v="1"/>
    <x v="161"/>
    <x v="1"/>
    <x v="10"/>
    <n v="28"/>
    <n v="24"/>
    <n v="1"/>
    <n v="1"/>
    <n v="0"/>
    <n v="0"/>
    <n v="0"/>
    <n v="0"/>
    <n v="1"/>
    <n v="9"/>
    <n v="2024"/>
    <x v="6"/>
    <x v="0"/>
    <x v="2"/>
  </r>
  <r>
    <x v="1"/>
    <x v="161"/>
    <x v="1"/>
    <x v="11"/>
    <n v="1"/>
    <n v="1"/>
    <n v="0"/>
    <n v="0"/>
    <n v="0"/>
    <n v="0"/>
    <n v="0"/>
    <n v="0"/>
    <n v="1"/>
    <n v="0"/>
    <n v="2024"/>
    <x v="6"/>
    <x v="0"/>
    <x v="2"/>
  </r>
  <r>
    <x v="1"/>
    <x v="161"/>
    <x v="1"/>
    <x v="61"/>
    <n v="98"/>
    <n v="51"/>
    <n v="4"/>
    <n v="1"/>
    <n v="4975"/>
    <n v="1"/>
    <n v="4975"/>
    <n v="1"/>
    <n v="1"/>
    <n v="98"/>
    <n v="2024"/>
    <x v="6"/>
    <x v="0"/>
    <x v="2"/>
  </r>
  <r>
    <x v="1"/>
    <x v="161"/>
    <x v="1"/>
    <x v="59"/>
    <n v="5743"/>
    <n v="5251"/>
    <n v="20"/>
    <n v="5"/>
    <n v="51502"/>
    <n v="6"/>
    <n v="30049.5"/>
    <n v="4"/>
    <n v="111"/>
    <n v="566"/>
    <n v="2024"/>
    <x v="6"/>
    <x v="0"/>
    <x v="2"/>
  </r>
  <r>
    <x v="1"/>
    <x v="161"/>
    <x v="1"/>
    <x v="15"/>
    <n v="22"/>
    <n v="21"/>
    <n v="0"/>
    <n v="0"/>
    <n v="0"/>
    <n v="0"/>
    <n v="0"/>
    <n v="0"/>
    <n v="0"/>
    <n v="22"/>
    <n v="2024"/>
    <x v="6"/>
    <x v="0"/>
    <x v="2"/>
  </r>
  <r>
    <x v="1"/>
    <x v="161"/>
    <x v="1"/>
    <x v="17"/>
    <n v="5"/>
    <n v="5"/>
    <n v="1"/>
    <n v="0"/>
    <n v="0"/>
    <n v="0"/>
    <n v="0"/>
    <n v="0"/>
    <n v="1"/>
    <n v="4"/>
    <n v="2024"/>
    <x v="6"/>
    <x v="0"/>
    <x v="2"/>
  </r>
  <r>
    <x v="1"/>
    <x v="161"/>
    <x v="1"/>
    <x v="18"/>
    <n v="19"/>
    <n v="18"/>
    <n v="2"/>
    <n v="0"/>
    <n v="4950"/>
    <n v="1"/>
    <n v="4950"/>
    <n v="1"/>
    <n v="6"/>
    <n v="12"/>
    <n v="2024"/>
    <x v="6"/>
    <x v="0"/>
    <x v="2"/>
  </r>
  <r>
    <x v="1"/>
    <x v="161"/>
    <x v="1"/>
    <x v="19"/>
    <n v="1652"/>
    <n v="1012"/>
    <n v="63"/>
    <n v="21"/>
    <n v="77735.820000000007"/>
    <n v="16"/>
    <n v="71478.820000000007"/>
    <n v="14"/>
    <n v="513"/>
    <n v="1349"/>
    <n v="2024"/>
    <x v="6"/>
    <x v="0"/>
    <x v="2"/>
  </r>
  <r>
    <x v="1"/>
    <x v="161"/>
    <x v="1"/>
    <x v="20"/>
    <n v="124"/>
    <n v="103"/>
    <n v="2"/>
    <n v="1"/>
    <n v="0"/>
    <n v="0"/>
    <n v="0"/>
    <n v="0"/>
    <n v="7"/>
    <n v="124"/>
    <n v="2024"/>
    <x v="6"/>
    <x v="0"/>
    <x v="2"/>
  </r>
  <r>
    <x v="1"/>
    <x v="161"/>
    <x v="1"/>
    <x v="21"/>
    <n v="6"/>
    <n v="4"/>
    <n v="2"/>
    <n v="0"/>
    <n v="2995"/>
    <n v="1"/>
    <n v="2995"/>
    <n v="1"/>
    <n v="1"/>
    <n v="6"/>
    <n v="2024"/>
    <x v="6"/>
    <x v="0"/>
    <x v="2"/>
  </r>
  <r>
    <x v="1"/>
    <x v="161"/>
    <x v="1"/>
    <x v="22"/>
    <n v="55"/>
    <n v="40"/>
    <n v="0"/>
    <n v="0"/>
    <n v="0"/>
    <n v="0"/>
    <n v="0"/>
    <n v="0"/>
    <n v="0"/>
    <n v="17"/>
    <n v="2024"/>
    <x v="6"/>
    <x v="0"/>
    <x v="2"/>
  </r>
  <r>
    <x v="1"/>
    <x v="161"/>
    <x v="1"/>
    <x v="24"/>
    <n v="35"/>
    <n v="15"/>
    <n v="1"/>
    <n v="2"/>
    <n v="0"/>
    <n v="0"/>
    <n v="0"/>
    <n v="0"/>
    <n v="7"/>
    <n v="32"/>
    <n v="2024"/>
    <x v="6"/>
    <x v="0"/>
    <x v="2"/>
  </r>
  <r>
    <x v="1"/>
    <x v="161"/>
    <x v="1"/>
    <x v="27"/>
    <n v="397"/>
    <n v="145"/>
    <n v="27"/>
    <n v="9"/>
    <n v="61042"/>
    <n v="14"/>
    <n v="51325"/>
    <n v="11"/>
    <n v="90"/>
    <n v="377"/>
    <n v="2024"/>
    <x v="6"/>
    <x v="0"/>
    <x v="2"/>
  </r>
  <r>
    <x v="1"/>
    <x v="161"/>
    <x v="1"/>
    <x v="29"/>
    <n v="1681"/>
    <n v="1269"/>
    <n v="66"/>
    <n v="31"/>
    <n v="38237"/>
    <n v="5"/>
    <n v="35737"/>
    <n v="4"/>
    <n v="351"/>
    <n v="1520"/>
    <n v="2024"/>
    <x v="6"/>
    <x v="0"/>
    <x v="2"/>
  </r>
  <r>
    <x v="1"/>
    <x v="161"/>
    <x v="1"/>
    <x v="30"/>
    <n v="7570"/>
    <n v="5183"/>
    <n v="117"/>
    <n v="55"/>
    <n v="47747.68"/>
    <n v="11"/>
    <n v="34197.68"/>
    <n v="8"/>
    <n v="1516"/>
    <n v="4278"/>
    <n v="2024"/>
    <x v="6"/>
    <x v="0"/>
    <x v="2"/>
  </r>
  <r>
    <x v="1"/>
    <x v="161"/>
    <x v="1"/>
    <x v="31"/>
    <n v="217"/>
    <n v="159"/>
    <n v="9"/>
    <n v="5"/>
    <n v="0"/>
    <n v="0"/>
    <n v="0"/>
    <n v="0"/>
    <n v="23"/>
    <n v="216"/>
    <n v="2024"/>
    <x v="6"/>
    <x v="0"/>
    <x v="2"/>
  </r>
  <r>
    <x v="1"/>
    <x v="161"/>
    <x v="1"/>
    <x v="32"/>
    <n v="5"/>
    <n v="3"/>
    <n v="0"/>
    <n v="0"/>
    <n v="0"/>
    <n v="0"/>
    <n v="0"/>
    <n v="0"/>
    <n v="4"/>
    <n v="5"/>
    <n v="2024"/>
    <x v="6"/>
    <x v="0"/>
    <x v="2"/>
  </r>
  <r>
    <x v="1"/>
    <x v="161"/>
    <x v="1"/>
    <x v="34"/>
    <n v="387"/>
    <n v="161"/>
    <n v="29"/>
    <n v="5"/>
    <n v="47406.5"/>
    <n v="6"/>
    <n v="35984"/>
    <n v="4"/>
    <n v="103"/>
    <n v="351"/>
    <n v="2024"/>
    <x v="6"/>
    <x v="0"/>
    <x v="2"/>
  </r>
  <r>
    <x v="1"/>
    <x v="161"/>
    <x v="1"/>
    <x v="36"/>
    <n v="4"/>
    <n v="4"/>
    <n v="0"/>
    <n v="0"/>
    <n v="0"/>
    <n v="0"/>
    <n v="0"/>
    <n v="0"/>
    <n v="0"/>
    <n v="4"/>
    <n v="2024"/>
    <x v="6"/>
    <x v="0"/>
    <x v="2"/>
  </r>
  <r>
    <x v="1"/>
    <x v="161"/>
    <x v="1"/>
    <x v="37"/>
    <n v="545"/>
    <n v="240"/>
    <n v="17"/>
    <n v="0"/>
    <n v="25811"/>
    <n v="6"/>
    <n v="12840"/>
    <n v="3"/>
    <n v="80"/>
    <n v="534"/>
    <n v="2024"/>
    <x v="6"/>
    <x v="0"/>
    <x v="2"/>
  </r>
  <r>
    <x v="1"/>
    <x v="161"/>
    <x v="1"/>
    <x v="38"/>
    <n v="471"/>
    <n v="124"/>
    <n v="27"/>
    <n v="7"/>
    <n v="65014.5"/>
    <n v="14"/>
    <n v="63451.5"/>
    <n v="11"/>
    <n v="112"/>
    <n v="424"/>
    <n v="2024"/>
    <x v="6"/>
    <x v="0"/>
    <x v="2"/>
  </r>
  <r>
    <x v="1"/>
    <x v="161"/>
    <x v="1"/>
    <x v="60"/>
    <n v="1"/>
    <n v="0"/>
    <n v="0"/>
    <n v="0"/>
    <n v="0"/>
    <n v="0"/>
    <n v="0"/>
    <n v="0"/>
    <n v="0"/>
    <n v="1"/>
    <n v="2024"/>
    <x v="6"/>
    <x v="0"/>
    <x v="2"/>
  </r>
  <r>
    <x v="1"/>
    <x v="161"/>
    <x v="1"/>
    <x v="39"/>
    <n v="1"/>
    <n v="0"/>
    <n v="0"/>
    <n v="0"/>
    <n v="0"/>
    <n v="0"/>
    <n v="0"/>
    <n v="0"/>
    <n v="0"/>
    <n v="1"/>
    <n v="2024"/>
    <x v="6"/>
    <x v="0"/>
    <x v="2"/>
  </r>
  <r>
    <x v="1"/>
    <x v="161"/>
    <x v="1"/>
    <x v="41"/>
    <n v="4"/>
    <n v="1"/>
    <n v="0"/>
    <n v="0"/>
    <n v="0"/>
    <n v="0"/>
    <n v="0"/>
    <n v="0"/>
    <n v="1"/>
    <n v="4"/>
    <n v="2024"/>
    <x v="6"/>
    <x v="0"/>
    <x v="2"/>
  </r>
  <r>
    <x v="1"/>
    <x v="161"/>
    <x v="1"/>
    <x v="42"/>
    <n v="172"/>
    <n v="78"/>
    <n v="9"/>
    <n v="1"/>
    <n v="0"/>
    <n v="0"/>
    <n v="0"/>
    <n v="0"/>
    <n v="20"/>
    <n v="169"/>
    <n v="2024"/>
    <x v="6"/>
    <x v="0"/>
    <x v="2"/>
  </r>
  <r>
    <x v="1"/>
    <x v="161"/>
    <x v="1"/>
    <x v="43"/>
    <n v="145"/>
    <n v="85"/>
    <n v="5"/>
    <n v="1"/>
    <n v="3900"/>
    <n v="1"/>
    <n v="0"/>
    <n v="0"/>
    <n v="104"/>
    <n v="75"/>
    <n v="2024"/>
    <x v="6"/>
    <x v="0"/>
    <x v="2"/>
  </r>
  <r>
    <x v="1"/>
    <x v="161"/>
    <x v="1"/>
    <x v="44"/>
    <n v="13"/>
    <n v="4"/>
    <n v="0"/>
    <n v="0"/>
    <n v="0"/>
    <n v="0"/>
    <n v="0"/>
    <n v="0"/>
    <n v="1"/>
    <n v="13"/>
    <n v="2024"/>
    <x v="6"/>
    <x v="0"/>
    <x v="2"/>
  </r>
  <r>
    <x v="1"/>
    <x v="161"/>
    <x v="1"/>
    <x v="45"/>
    <n v="1"/>
    <n v="0"/>
    <n v="0"/>
    <n v="0"/>
    <n v="0"/>
    <n v="0"/>
    <n v="0"/>
    <n v="0"/>
    <n v="0"/>
    <n v="1"/>
    <n v="2024"/>
    <x v="6"/>
    <x v="0"/>
    <x v="2"/>
  </r>
  <r>
    <x v="1"/>
    <x v="162"/>
    <x v="0"/>
    <x v="0"/>
    <n v="350"/>
    <n v="125"/>
    <n v="18"/>
    <n v="0"/>
    <n v="20932.5"/>
    <n v="3"/>
    <n v="20932.5"/>
    <n v="3"/>
    <n v="30"/>
    <n v="336"/>
    <n v="2024"/>
    <x v="6"/>
    <x v="0"/>
    <x v="2"/>
  </r>
  <r>
    <x v="1"/>
    <x v="162"/>
    <x v="0"/>
    <x v="1"/>
    <n v="12647"/>
    <n v="7115"/>
    <n v="349"/>
    <n v="172"/>
    <n v="240754.93"/>
    <n v="46"/>
    <n v="149809.43"/>
    <n v="32"/>
    <n v="961"/>
    <n v="12618"/>
    <n v="2024"/>
    <x v="6"/>
    <x v="0"/>
    <x v="2"/>
  </r>
  <r>
    <x v="1"/>
    <x v="162"/>
    <x v="0"/>
    <x v="2"/>
    <n v="683"/>
    <n v="533"/>
    <n v="33"/>
    <n v="7"/>
    <n v="35150"/>
    <n v="5"/>
    <n v="35150"/>
    <n v="5"/>
    <n v="683"/>
    <n v="404"/>
    <n v="2024"/>
    <x v="6"/>
    <x v="0"/>
    <x v="2"/>
  </r>
  <r>
    <x v="1"/>
    <x v="162"/>
    <x v="0"/>
    <x v="3"/>
    <n v="257"/>
    <n v="194"/>
    <n v="8"/>
    <n v="7"/>
    <n v="0"/>
    <n v="0"/>
    <n v="0"/>
    <n v="0"/>
    <n v="6"/>
    <n v="215"/>
    <n v="2024"/>
    <x v="6"/>
    <x v="0"/>
    <x v="2"/>
  </r>
  <r>
    <x v="1"/>
    <x v="162"/>
    <x v="1"/>
    <x v="5"/>
    <n v="2"/>
    <n v="1"/>
    <n v="0"/>
    <n v="0"/>
    <n v="0"/>
    <n v="0"/>
    <n v="0"/>
    <n v="0"/>
    <n v="0"/>
    <n v="2"/>
    <n v="2024"/>
    <x v="6"/>
    <x v="0"/>
    <x v="2"/>
  </r>
  <r>
    <x v="1"/>
    <x v="162"/>
    <x v="1"/>
    <x v="7"/>
    <n v="612"/>
    <n v="92"/>
    <n v="67"/>
    <n v="5"/>
    <n v="281577.92"/>
    <n v="49"/>
    <n v="219599.92"/>
    <n v="40"/>
    <n v="171"/>
    <n v="592"/>
    <n v="2024"/>
    <x v="6"/>
    <x v="0"/>
    <x v="2"/>
  </r>
  <r>
    <x v="1"/>
    <x v="162"/>
    <x v="1"/>
    <x v="8"/>
    <n v="12"/>
    <n v="5"/>
    <n v="0"/>
    <n v="0"/>
    <n v="0"/>
    <n v="0"/>
    <n v="0"/>
    <n v="0"/>
    <n v="0"/>
    <n v="12"/>
    <n v="2024"/>
    <x v="6"/>
    <x v="0"/>
    <x v="2"/>
  </r>
  <r>
    <x v="1"/>
    <x v="162"/>
    <x v="1"/>
    <x v="9"/>
    <n v="3"/>
    <n v="0"/>
    <n v="0"/>
    <n v="0"/>
    <n v="0"/>
    <n v="0"/>
    <n v="0"/>
    <n v="0"/>
    <n v="0"/>
    <n v="3"/>
    <n v="2024"/>
    <x v="6"/>
    <x v="0"/>
    <x v="2"/>
  </r>
  <r>
    <x v="1"/>
    <x v="162"/>
    <x v="1"/>
    <x v="10"/>
    <n v="9"/>
    <n v="7"/>
    <n v="1"/>
    <n v="0"/>
    <n v="0"/>
    <n v="0"/>
    <n v="0"/>
    <n v="0"/>
    <n v="3"/>
    <n v="8"/>
    <n v="2024"/>
    <x v="6"/>
    <x v="0"/>
    <x v="2"/>
  </r>
  <r>
    <x v="1"/>
    <x v="162"/>
    <x v="1"/>
    <x v="11"/>
    <n v="2"/>
    <n v="1"/>
    <n v="0"/>
    <n v="0"/>
    <n v="0"/>
    <n v="0"/>
    <n v="0"/>
    <n v="0"/>
    <n v="2"/>
    <n v="0"/>
    <n v="2024"/>
    <x v="6"/>
    <x v="0"/>
    <x v="2"/>
  </r>
  <r>
    <x v="1"/>
    <x v="162"/>
    <x v="1"/>
    <x v="61"/>
    <n v="100"/>
    <n v="52"/>
    <n v="5"/>
    <n v="0"/>
    <n v="0"/>
    <n v="0"/>
    <n v="0"/>
    <n v="0"/>
    <n v="0"/>
    <n v="100"/>
    <n v="2024"/>
    <x v="6"/>
    <x v="0"/>
    <x v="2"/>
  </r>
  <r>
    <x v="1"/>
    <x v="162"/>
    <x v="1"/>
    <x v="48"/>
    <n v="2"/>
    <n v="1"/>
    <n v="0"/>
    <n v="0"/>
    <n v="0"/>
    <n v="0"/>
    <n v="0"/>
    <n v="0"/>
    <n v="0"/>
    <n v="2"/>
    <n v="2024"/>
    <x v="6"/>
    <x v="0"/>
    <x v="2"/>
  </r>
  <r>
    <x v="1"/>
    <x v="162"/>
    <x v="1"/>
    <x v="59"/>
    <n v="453"/>
    <n v="138"/>
    <n v="21"/>
    <n v="10"/>
    <n v="20612.52"/>
    <n v="7"/>
    <n v="20612.52"/>
    <n v="7"/>
    <n v="83"/>
    <n v="412"/>
    <n v="2024"/>
    <x v="6"/>
    <x v="0"/>
    <x v="2"/>
  </r>
  <r>
    <x v="1"/>
    <x v="162"/>
    <x v="1"/>
    <x v="15"/>
    <n v="19"/>
    <n v="17"/>
    <n v="0"/>
    <n v="0"/>
    <n v="0"/>
    <n v="0"/>
    <n v="0"/>
    <n v="0"/>
    <n v="0"/>
    <n v="19"/>
    <n v="2024"/>
    <x v="6"/>
    <x v="0"/>
    <x v="2"/>
  </r>
  <r>
    <x v="1"/>
    <x v="162"/>
    <x v="1"/>
    <x v="17"/>
    <n v="2"/>
    <n v="2"/>
    <n v="0"/>
    <n v="0"/>
    <n v="0"/>
    <n v="0"/>
    <n v="0"/>
    <n v="0"/>
    <n v="0"/>
    <n v="2"/>
    <n v="2024"/>
    <x v="6"/>
    <x v="0"/>
    <x v="2"/>
  </r>
  <r>
    <x v="1"/>
    <x v="162"/>
    <x v="1"/>
    <x v="18"/>
    <n v="6"/>
    <n v="5"/>
    <n v="0"/>
    <n v="0"/>
    <n v="0"/>
    <n v="0"/>
    <n v="0"/>
    <n v="0"/>
    <n v="1"/>
    <n v="5"/>
    <n v="2024"/>
    <x v="6"/>
    <x v="0"/>
    <x v="2"/>
  </r>
  <r>
    <x v="1"/>
    <x v="162"/>
    <x v="1"/>
    <x v="19"/>
    <n v="1252"/>
    <n v="663"/>
    <n v="61"/>
    <n v="17"/>
    <n v="137864.5"/>
    <n v="19"/>
    <n v="79019.5"/>
    <n v="15"/>
    <n v="508"/>
    <n v="1083"/>
    <n v="2024"/>
    <x v="6"/>
    <x v="0"/>
    <x v="2"/>
  </r>
  <r>
    <x v="1"/>
    <x v="162"/>
    <x v="1"/>
    <x v="20"/>
    <n v="4"/>
    <n v="2"/>
    <n v="0"/>
    <n v="1"/>
    <n v="0"/>
    <n v="0"/>
    <n v="0"/>
    <n v="0"/>
    <n v="3"/>
    <n v="2"/>
    <n v="2024"/>
    <x v="6"/>
    <x v="0"/>
    <x v="2"/>
  </r>
  <r>
    <x v="1"/>
    <x v="162"/>
    <x v="1"/>
    <x v="21"/>
    <n v="8"/>
    <n v="4"/>
    <n v="1"/>
    <n v="0"/>
    <n v="3980"/>
    <n v="1"/>
    <n v="3980"/>
    <n v="1"/>
    <n v="1"/>
    <n v="8"/>
    <n v="2024"/>
    <x v="6"/>
    <x v="0"/>
    <x v="2"/>
  </r>
  <r>
    <x v="1"/>
    <x v="162"/>
    <x v="1"/>
    <x v="22"/>
    <n v="18"/>
    <n v="8"/>
    <n v="0"/>
    <n v="0"/>
    <n v="0"/>
    <n v="0"/>
    <n v="0"/>
    <n v="0"/>
    <n v="0"/>
    <n v="18"/>
    <n v="2024"/>
    <x v="6"/>
    <x v="0"/>
    <x v="2"/>
  </r>
  <r>
    <x v="1"/>
    <x v="162"/>
    <x v="1"/>
    <x v="24"/>
    <n v="30"/>
    <n v="17"/>
    <n v="0"/>
    <n v="1"/>
    <n v="0"/>
    <n v="0"/>
    <n v="0"/>
    <n v="0"/>
    <n v="4"/>
    <n v="29"/>
    <n v="2024"/>
    <x v="6"/>
    <x v="0"/>
    <x v="2"/>
  </r>
  <r>
    <x v="1"/>
    <x v="162"/>
    <x v="1"/>
    <x v="27"/>
    <n v="148"/>
    <n v="32"/>
    <n v="20"/>
    <n v="8"/>
    <n v="41594.5"/>
    <n v="13"/>
    <n v="41594.5"/>
    <n v="13"/>
    <n v="41"/>
    <n v="144"/>
    <n v="2024"/>
    <x v="6"/>
    <x v="0"/>
    <x v="2"/>
  </r>
  <r>
    <x v="1"/>
    <x v="162"/>
    <x v="1"/>
    <x v="29"/>
    <n v="1640"/>
    <n v="1218"/>
    <n v="61"/>
    <n v="27"/>
    <n v="52349.56"/>
    <n v="10"/>
    <n v="50869.56"/>
    <n v="9"/>
    <n v="377"/>
    <n v="1517"/>
    <n v="2024"/>
    <x v="6"/>
    <x v="0"/>
    <x v="2"/>
  </r>
  <r>
    <x v="1"/>
    <x v="162"/>
    <x v="1"/>
    <x v="30"/>
    <n v="4598"/>
    <n v="2566"/>
    <n v="112"/>
    <n v="41"/>
    <n v="81344.59"/>
    <n v="18"/>
    <n v="54044.59"/>
    <n v="13"/>
    <n v="1558"/>
    <n v="3340"/>
    <n v="2024"/>
    <x v="6"/>
    <x v="0"/>
    <x v="2"/>
  </r>
  <r>
    <x v="1"/>
    <x v="162"/>
    <x v="1"/>
    <x v="31"/>
    <n v="186"/>
    <n v="120"/>
    <n v="5"/>
    <n v="3"/>
    <n v="7926"/>
    <n v="2"/>
    <n v="4703"/>
    <n v="2"/>
    <n v="21"/>
    <n v="182"/>
    <n v="2024"/>
    <x v="6"/>
    <x v="0"/>
    <x v="2"/>
  </r>
  <r>
    <x v="1"/>
    <x v="162"/>
    <x v="1"/>
    <x v="32"/>
    <n v="3"/>
    <n v="2"/>
    <n v="0"/>
    <n v="0"/>
    <n v="0"/>
    <n v="0"/>
    <n v="0"/>
    <n v="0"/>
    <n v="1"/>
    <n v="3"/>
    <n v="2024"/>
    <x v="6"/>
    <x v="0"/>
    <x v="2"/>
  </r>
  <r>
    <x v="1"/>
    <x v="162"/>
    <x v="1"/>
    <x v="34"/>
    <n v="387"/>
    <n v="148"/>
    <n v="23"/>
    <n v="12"/>
    <n v="46649.78"/>
    <n v="13"/>
    <n v="29034.78"/>
    <n v="9"/>
    <n v="111"/>
    <n v="354"/>
    <n v="2024"/>
    <x v="6"/>
    <x v="0"/>
    <x v="2"/>
  </r>
  <r>
    <x v="1"/>
    <x v="162"/>
    <x v="1"/>
    <x v="37"/>
    <n v="653"/>
    <n v="327"/>
    <n v="29"/>
    <n v="0"/>
    <n v="64840"/>
    <n v="9"/>
    <n v="53977.5"/>
    <n v="6"/>
    <n v="90"/>
    <n v="650"/>
    <n v="2024"/>
    <x v="6"/>
    <x v="0"/>
    <x v="2"/>
  </r>
  <r>
    <x v="1"/>
    <x v="162"/>
    <x v="1"/>
    <x v="38"/>
    <n v="490"/>
    <n v="93"/>
    <n v="35"/>
    <n v="12"/>
    <n v="91392.5"/>
    <n v="18"/>
    <n v="70732.5"/>
    <n v="16"/>
    <n v="110"/>
    <n v="472"/>
    <n v="2024"/>
    <x v="6"/>
    <x v="0"/>
    <x v="2"/>
  </r>
  <r>
    <x v="1"/>
    <x v="162"/>
    <x v="1"/>
    <x v="60"/>
    <n v="1"/>
    <n v="1"/>
    <n v="0"/>
    <n v="0"/>
    <n v="0"/>
    <n v="0"/>
    <n v="0"/>
    <n v="0"/>
    <n v="0"/>
    <n v="1"/>
    <n v="2024"/>
    <x v="6"/>
    <x v="0"/>
    <x v="2"/>
  </r>
  <r>
    <x v="1"/>
    <x v="162"/>
    <x v="1"/>
    <x v="39"/>
    <n v="19"/>
    <n v="7"/>
    <n v="0"/>
    <n v="0"/>
    <n v="0"/>
    <n v="0"/>
    <n v="0"/>
    <n v="0"/>
    <n v="4"/>
    <n v="19"/>
    <n v="2024"/>
    <x v="6"/>
    <x v="0"/>
    <x v="2"/>
  </r>
  <r>
    <x v="1"/>
    <x v="162"/>
    <x v="1"/>
    <x v="41"/>
    <n v="8"/>
    <n v="2"/>
    <n v="0"/>
    <n v="0"/>
    <n v="0"/>
    <n v="0"/>
    <n v="0"/>
    <n v="0"/>
    <n v="1"/>
    <n v="8"/>
    <n v="2024"/>
    <x v="6"/>
    <x v="0"/>
    <x v="2"/>
  </r>
  <r>
    <x v="1"/>
    <x v="162"/>
    <x v="1"/>
    <x v="42"/>
    <n v="1"/>
    <n v="0"/>
    <n v="0"/>
    <n v="0"/>
    <n v="0"/>
    <n v="0"/>
    <n v="0"/>
    <n v="0"/>
    <n v="0"/>
    <n v="1"/>
    <n v="2024"/>
    <x v="6"/>
    <x v="0"/>
    <x v="2"/>
  </r>
  <r>
    <x v="1"/>
    <x v="162"/>
    <x v="1"/>
    <x v="43"/>
    <n v="117"/>
    <n v="55"/>
    <n v="4"/>
    <n v="3"/>
    <n v="1797"/>
    <n v="1"/>
    <n v="1797"/>
    <n v="1"/>
    <n v="99"/>
    <n v="65"/>
    <n v="2024"/>
    <x v="6"/>
    <x v="0"/>
    <x v="2"/>
  </r>
  <r>
    <x v="1"/>
    <x v="162"/>
    <x v="1"/>
    <x v="44"/>
    <n v="15"/>
    <n v="1"/>
    <n v="1"/>
    <n v="0"/>
    <n v="25515"/>
    <n v="2"/>
    <n v="25515"/>
    <n v="2"/>
    <n v="1"/>
    <n v="15"/>
    <n v="2024"/>
    <x v="6"/>
    <x v="0"/>
    <x v="2"/>
  </r>
  <r>
    <x v="1"/>
    <x v="162"/>
    <x v="1"/>
    <x v="45"/>
    <n v="3"/>
    <n v="1"/>
    <n v="0"/>
    <n v="0"/>
    <n v="1980"/>
    <n v="1"/>
    <n v="1980"/>
    <n v="1"/>
    <n v="0"/>
    <n v="3"/>
    <n v="2024"/>
    <x v="6"/>
    <x v="0"/>
    <x v="2"/>
  </r>
  <r>
    <x v="1"/>
    <x v="163"/>
    <x v="0"/>
    <x v="0"/>
    <n v="345"/>
    <n v="123"/>
    <n v="20"/>
    <n v="0"/>
    <n v="10280"/>
    <n v="2"/>
    <n v="10280"/>
    <n v="2"/>
    <n v="29"/>
    <n v="331"/>
    <n v="2024"/>
    <x v="6"/>
    <x v="0"/>
    <x v="2"/>
  </r>
  <r>
    <x v="1"/>
    <x v="163"/>
    <x v="0"/>
    <x v="1"/>
    <n v="12433"/>
    <n v="6981"/>
    <n v="358"/>
    <n v="166"/>
    <n v="308889.5"/>
    <n v="49"/>
    <n v="181612.5"/>
    <n v="35"/>
    <n v="950"/>
    <n v="12416"/>
    <n v="2024"/>
    <x v="6"/>
    <x v="0"/>
    <x v="2"/>
  </r>
  <r>
    <x v="1"/>
    <x v="163"/>
    <x v="0"/>
    <x v="2"/>
    <n v="715"/>
    <n v="541"/>
    <n v="38"/>
    <n v="3"/>
    <n v="58594"/>
    <n v="8"/>
    <n v="28094"/>
    <n v="7"/>
    <n v="715"/>
    <n v="444"/>
    <n v="2024"/>
    <x v="6"/>
    <x v="0"/>
    <x v="2"/>
  </r>
  <r>
    <x v="1"/>
    <x v="163"/>
    <x v="0"/>
    <x v="3"/>
    <n v="1166"/>
    <n v="926"/>
    <n v="9"/>
    <n v="5"/>
    <n v="0"/>
    <n v="0"/>
    <n v="0"/>
    <n v="0"/>
    <n v="13"/>
    <n v="346"/>
    <n v="2024"/>
    <x v="6"/>
    <x v="0"/>
    <x v="2"/>
  </r>
  <r>
    <x v="1"/>
    <x v="163"/>
    <x v="1"/>
    <x v="5"/>
    <n v="7"/>
    <n v="3"/>
    <n v="1"/>
    <n v="0"/>
    <n v="2447.5"/>
    <n v="1"/>
    <n v="2447.5"/>
    <n v="1"/>
    <n v="1"/>
    <n v="7"/>
    <n v="2024"/>
    <x v="6"/>
    <x v="0"/>
    <x v="2"/>
  </r>
  <r>
    <x v="1"/>
    <x v="163"/>
    <x v="1"/>
    <x v="6"/>
    <n v="87"/>
    <n v="85"/>
    <n v="0"/>
    <n v="0"/>
    <n v="0"/>
    <n v="0"/>
    <n v="0"/>
    <n v="0"/>
    <n v="0"/>
    <n v="0"/>
    <n v="2024"/>
    <x v="6"/>
    <x v="0"/>
    <x v="2"/>
  </r>
  <r>
    <x v="1"/>
    <x v="163"/>
    <x v="1"/>
    <x v="7"/>
    <n v="622"/>
    <n v="107"/>
    <n v="64"/>
    <n v="6"/>
    <n v="159817"/>
    <n v="34"/>
    <n v="154077"/>
    <n v="32"/>
    <n v="154"/>
    <n v="611"/>
    <n v="2024"/>
    <x v="6"/>
    <x v="0"/>
    <x v="2"/>
  </r>
  <r>
    <x v="1"/>
    <x v="163"/>
    <x v="1"/>
    <x v="8"/>
    <n v="113"/>
    <n v="104"/>
    <n v="0"/>
    <n v="0"/>
    <n v="0"/>
    <n v="0"/>
    <n v="0"/>
    <n v="0"/>
    <n v="0"/>
    <n v="7"/>
    <n v="2024"/>
    <x v="6"/>
    <x v="0"/>
    <x v="2"/>
  </r>
  <r>
    <x v="1"/>
    <x v="163"/>
    <x v="1"/>
    <x v="9"/>
    <n v="48"/>
    <n v="45"/>
    <n v="1"/>
    <n v="0"/>
    <n v="0"/>
    <n v="0"/>
    <n v="0"/>
    <n v="0"/>
    <n v="0"/>
    <n v="3"/>
    <n v="2024"/>
    <x v="6"/>
    <x v="0"/>
    <x v="2"/>
  </r>
  <r>
    <x v="1"/>
    <x v="163"/>
    <x v="1"/>
    <x v="10"/>
    <n v="17"/>
    <n v="11"/>
    <n v="1"/>
    <n v="1"/>
    <n v="0"/>
    <n v="0"/>
    <n v="0"/>
    <n v="0"/>
    <n v="3"/>
    <n v="11"/>
    <n v="2024"/>
    <x v="6"/>
    <x v="0"/>
    <x v="2"/>
  </r>
  <r>
    <x v="1"/>
    <x v="163"/>
    <x v="1"/>
    <x v="11"/>
    <n v="1"/>
    <n v="1"/>
    <n v="0"/>
    <n v="0"/>
    <n v="0"/>
    <n v="0"/>
    <n v="0"/>
    <n v="0"/>
    <n v="0"/>
    <n v="1"/>
    <n v="2024"/>
    <x v="6"/>
    <x v="0"/>
    <x v="2"/>
  </r>
  <r>
    <x v="1"/>
    <x v="163"/>
    <x v="1"/>
    <x v="61"/>
    <n v="136"/>
    <n v="77"/>
    <n v="4"/>
    <n v="3"/>
    <n v="0"/>
    <n v="0"/>
    <n v="0"/>
    <n v="0"/>
    <n v="2"/>
    <n v="136"/>
    <n v="2024"/>
    <x v="6"/>
    <x v="0"/>
    <x v="2"/>
  </r>
  <r>
    <x v="1"/>
    <x v="163"/>
    <x v="1"/>
    <x v="59"/>
    <n v="2050"/>
    <n v="1656"/>
    <n v="16"/>
    <n v="8"/>
    <n v="37752"/>
    <n v="6"/>
    <n v="37752"/>
    <n v="6"/>
    <n v="71"/>
    <n v="451"/>
    <n v="2024"/>
    <x v="6"/>
    <x v="0"/>
    <x v="2"/>
  </r>
  <r>
    <x v="1"/>
    <x v="163"/>
    <x v="1"/>
    <x v="15"/>
    <n v="11"/>
    <n v="10"/>
    <n v="0"/>
    <n v="0"/>
    <n v="0"/>
    <n v="0"/>
    <n v="0"/>
    <n v="0"/>
    <n v="0"/>
    <n v="11"/>
    <n v="2024"/>
    <x v="6"/>
    <x v="0"/>
    <x v="2"/>
  </r>
  <r>
    <x v="1"/>
    <x v="163"/>
    <x v="1"/>
    <x v="17"/>
    <n v="3"/>
    <n v="3"/>
    <n v="0"/>
    <n v="0"/>
    <n v="0"/>
    <n v="0"/>
    <n v="0"/>
    <n v="0"/>
    <n v="1"/>
    <n v="2"/>
    <n v="2024"/>
    <x v="6"/>
    <x v="0"/>
    <x v="2"/>
  </r>
  <r>
    <x v="1"/>
    <x v="163"/>
    <x v="1"/>
    <x v="18"/>
    <n v="8"/>
    <n v="6"/>
    <n v="2"/>
    <n v="0"/>
    <n v="0"/>
    <n v="0"/>
    <n v="0"/>
    <n v="0"/>
    <n v="0"/>
    <n v="7"/>
    <n v="2024"/>
    <x v="6"/>
    <x v="0"/>
    <x v="2"/>
  </r>
  <r>
    <x v="1"/>
    <x v="163"/>
    <x v="1"/>
    <x v="19"/>
    <n v="1293"/>
    <n v="683"/>
    <n v="76"/>
    <n v="23"/>
    <n v="113267.5"/>
    <n v="20"/>
    <n v="98992.5"/>
    <n v="18"/>
    <n v="493"/>
    <n v="1125"/>
    <n v="2024"/>
    <x v="6"/>
    <x v="0"/>
    <x v="2"/>
  </r>
  <r>
    <x v="1"/>
    <x v="163"/>
    <x v="1"/>
    <x v="20"/>
    <n v="4"/>
    <n v="4"/>
    <n v="0"/>
    <n v="0"/>
    <n v="0"/>
    <n v="0"/>
    <n v="0"/>
    <n v="0"/>
    <n v="1"/>
    <n v="4"/>
    <n v="2024"/>
    <x v="6"/>
    <x v="0"/>
    <x v="2"/>
  </r>
  <r>
    <x v="1"/>
    <x v="163"/>
    <x v="1"/>
    <x v="21"/>
    <n v="8"/>
    <n v="1"/>
    <n v="2"/>
    <n v="0"/>
    <n v="4300"/>
    <n v="1"/>
    <n v="4300"/>
    <n v="1"/>
    <n v="2"/>
    <n v="8"/>
    <n v="2024"/>
    <x v="6"/>
    <x v="0"/>
    <x v="2"/>
  </r>
  <r>
    <x v="1"/>
    <x v="163"/>
    <x v="1"/>
    <x v="22"/>
    <n v="96"/>
    <n v="81"/>
    <n v="2"/>
    <n v="0"/>
    <n v="0"/>
    <n v="0"/>
    <n v="0"/>
    <n v="0"/>
    <n v="2"/>
    <n v="16"/>
    <n v="2024"/>
    <x v="6"/>
    <x v="0"/>
    <x v="2"/>
  </r>
  <r>
    <x v="1"/>
    <x v="163"/>
    <x v="1"/>
    <x v="24"/>
    <n v="34"/>
    <n v="14"/>
    <n v="2"/>
    <n v="1"/>
    <n v="0"/>
    <n v="0"/>
    <n v="0"/>
    <n v="0"/>
    <n v="15"/>
    <n v="28"/>
    <n v="2024"/>
    <x v="6"/>
    <x v="0"/>
    <x v="2"/>
  </r>
  <r>
    <x v="1"/>
    <x v="163"/>
    <x v="1"/>
    <x v="27"/>
    <n v="143"/>
    <n v="34"/>
    <n v="20"/>
    <n v="5"/>
    <n v="141149.5"/>
    <n v="17"/>
    <n v="141149.5"/>
    <n v="17"/>
    <n v="46"/>
    <n v="137"/>
    <n v="2024"/>
    <x v="6"/>
    <x v="0"/>
    <x v="2"/>
  </r>
  <r>
    <x v="1"/>
    <x v="163"/>
    <x v="1"/>
    <x v="29"/>
    <n v="1342"/>
    <n v="967"/>
    <n v="56"/>
    <n v="20"/>
    <n v="28845"/>
    <n v="7"/>
    <n v="26928"/>
    <n v="6"/>
    <n v="293"/>
    <n v="1248"/>
    <n v="2024"/>
    <x v="6"/>
    <x v="0"/>
    <x v="2"/>
  </r>
  <r>
    <x v="1"/>
    <x v="163"/>
    <x v="1"/>
    <x v="30"/>
    <n v="5820"/>
    <n v="3425"/>
    <n v="120"/>
    <n v="50"/>
    <n v="95885"/>
    <n v="19"/>
    <n v="72775"/>
    <n v="14"/>
    <n v="1593"/>
    <n v="3931"/>
    <n v="2024"/>
    <x v="6"/>
    <x v="0"/>
    <x v="2"/>
  </r>
  <r>
    <x v="1"/>
    <x v="163"/>
    <x v="1"/>
    <x v="31"/>
    <n v="171"/>
    <n v="112"/>
    <n v="8"/>
    <n v="4"/>
    <n v="3960"/>
    <n v="1"/>
    <n v="1980"/>
    <n v="1"/>
    <n v="20"/>
    <n v="169"/>
    <n v="2024"/>
    <x v="6"/>
    <x v="0"/>
    <x v="2"/>
  </r>
  <r>
    <x v="1"/>
    <x v="163"/>
    <x v="1"/>
    <x v="32"/>
    <n v="3"/>
    <n v="2"/>
    <n v="1"/>
    <n v="0"/>
    <n v="2447.5"/>
    <n v="1"/>
    <n v="2447.5"/>
    <n v="1"/>
    <n v="3"/>
    <n v="3"/>
    <n v="2024"/>
    <x v="6"/>
    <x v="0"/>
    <x v="2"/>
  </r>
  <r>
    <x v="1"/>
    <x v="163"/>
    <x v="1"/>
    <x v="34"/>
    <n v="360"/>
    <n v="124"/>
    <n v="17"/>
    <n v="7"/>
    <n v="5373"/>
    <n v="2"/>
    <n v="5373"/>
    <n v="2"/>
    <n v="81"/>
    <n v="342"/>
    <n v="2024"/>
    <x v="6"/>
    <x v="0"/>
    <x v="2"/>
  </r>
  <r>
    <x v="1"/>
    <x v="163"/>
    <x v="1"/>
    <x v="36"/>
    <n v="4"/>
    <n v="4"/>
    <n v="0"/>
    <n v="0"/>
    <n v="0"/>
    <n v="0"/>
    <n v="0"/>
    <n v="0"/>
    <n v="0"/>
    <n v="4"/>
    <n v="2024"/>
    <x v="6"/>
    <x v="0"/>
    <x v="2"/>
  </r>
  <r>
    <x v="1"/>
    <x v="163"/>
    <x v="1"/>
    <x v="37"/>
    <n v="612"/>
    <n v="303"/>
    <n v="21"/>
    <n v="0"/>
    <n v="54135"/>
    <n v="10"/>
    <n v="31270"/>
    <n v="7"/>
    <n v="89"/>
    <n v="604"/>
    <n v="2024"/>
    <x v="6"/>
    <x v="0"/>
    <x v="2"/>
  </r>
  <r>
    <x v="1"/>
    <x v="163"/>
    <x v="1"/>
    <x v="38"/>
    <n v="540"/>
    <n v="106"/>
    <n v="36"/>
    <n v="7"/>
    <n v="85796"/>
    <n v="18"/>
    <n v="83816"/>
    <n v="18"/>
    <n v="117"/>
    <n v="511"/>
    <n v="2024"/>
    <x v="6"/>
    <x v="0"/>
    <x v="2"/>
  </r>
  <r>
    <x v="1"/>
    <x v="163"/>
    <x v="1"/>
    <x v="39"/>
    <n v="19"/>
    <n v="8"/>
    <n v="0"/>
    <n v="0"/>
    <n v="0"/>
    <n v="0"/>
    <n v="0"/>
    <n v="0"/>
    <n v="3"/>
    <n v="19"/>
    <n v="2024"/>
    <x v="6"/>
    <x v="0"/>
    <x v="2"/>
  </r>
  <r>
    <x v="1"/>
    <x v="163"/>
    <x v="1"/>
    <x v="41"/>
    <n v="6"/>
    <n v="1"/>
    <n v="0"/>
    <n v="0"/>
    <n v="0"/>
    <n v="0"/>
    <n v="0"/>
    <n v="0"/>
    <n v="0"/>
    <n v="6"/>
    <n v="2024"/>
    <x v="6"/>
    <x v="0"/>
    <x v="2"/>
  </r>
  <r>
    <x v="1"/>
    <x v="163"/>
    <x v="1"/>
    <x v="42"/>
    <n v="5"/>
    <n v="3"/>
    <n v="0"/>
    <n v="0"/>
    <n v="0"/>
    <n v="0"/>
    <n v="0"/>
    <n v="0"/>
    <n v="1"/>
    <n v="1"/>
    <n v="2024"/>
    <x v="6"/>
    <x v="0"/>
    <x v="2"/>
  </r>
  <r>
    <x v="1"/>
    <x v="163"/>
    <x v="1"/>
    <x v="43"/>
    <n v="113"/>
    <n v="44"/>
    <n v="5"/>
    <n v="1"/>
    <n v="5990"/>
    <n v="1"/>
    <n v="5990"/>
    <n v="1"/>
    <n v="85"/>
    <n v="67"/>
    <n v="2024"/>
    <x v="6"/>
    <x v="0"/>
    <x v="2"/>
  </r>
  <r>
    <x v="1"/>
    <x v="163"/>
    <x v="1"/>
    <x v="44"/>
    <n v="15"/>
    <n v="3"/>
    <n v="1"/>
    <n v="0"/>
    <n v="0"/>
    <n v="0"/>
    <n v="0"/>
    <n v="0"/>
    <n v="0"/>
    <n v="15"/>
    <n v="2024"/>
    <x v="6"/>
    <x v="0"/>
    <x v="2"/>
  </r>
  <r>
    <x v="1"/>
    <x v="163"/>
    <x v="1"/>
    <x v="45"/>
    <n v="3"/>
    <n v="1"/>
    <n v="0"/>
    <n v="0"/>
    <n v="0"/>
    <n v="0"/>
    <n v="0"/>
    <n v="0"/>
    <n v="0"/>
    <n v="3"/>
    <n v="2024"/>
    <x v="6"/>
    <x v="0"/>
    <x v="2"/>
  </r>
  <r>
    <x v="1"/>
    <x v="164"/>
    <x v="0"/>
    <x v="0"/>
    <n v="420"/>
    <n v="160"/>
    <n v="33"/>
    <n v="0"/>
    <n v="19088"/>
    <n v="3"/>
    <n v="8100"/>
    <n v="2"/>
    <n v="29"/>
    <n v="411"/>
    <n v="2024"/>
    <x v="6"/>
    <x v="0"/>
    <x v="2"/>
  </r>
  <r>
    <x v="1"/>
    <x v="164"/>
    <x v="0"/>
    <x v="1"/>
    <n v="11905"/>
    <n v="6765"/>
    <n v="300"/>
    <n v="134"/>
    <n v="350477"/>
    <n v="46"/>
    <n v="224934"/>
    <n v="33"/>
    <n v="773"/>
    <n v="11876"/>
    <n v="2024"/>
    <x v="6"/>
    <x v="0"/>
    <x v="2"/>
  </r>
  <r>
    <x v="1"/>
    <x v="164"/>
    <x v="0"/>
    <x v="2"/>
    <n v="660"/>
    <n v="484"/>
    <n v="33"/>
    <n v="2"/>
    <n v="47631"/>
    <n v="7"/>
    <n v="38731"/>
    <n v="6"/>
    <n v="660"/>
    <n v="398"/>
    <n v="2024"/>
    <x v="6"/>
    <x v="0"/>
    <x v="2"/>
  </r>
  <r>
    <x v="1"/>
    <x v="164"/>
    <x v="0"/>
    <x v="3"/>
    <n v="222"/>
    <n v="167"/>
    <n v="4"/>
    <n v="3"/>
    <n v="0"/>
    <n v="0"/>
    <n v="0"/>
    <n v="0"/>
    <n v="4"/>
    <n v="174"/>
    <n v="2024"/>
    <x v="6"/>
    <x v="0"/>
    <x v="2"/>
  </r>
  <r>
    <x v="1"/>
    <x v="164"/>
    <x v="1"/>
    <x v="5"/>
    <n v="6"/>
    <n v="6"/>
    <n v="0"/>
    <n v="0"/>
    <n v="0"/>
    <n v="0"/>
    <n v="0"/>
    <n v="0"/>
    <n v="0"/>
    <n v="6"/>
    <n v="2024"/>
    <x v="6"/>
    <x v="0"/>
    <x v="2"/>
  </r>
  <r>
    <x v="1"/>
    <x v="164"/>
    <x v="1"/>
    <x v="7"/>
    <n v="624"/>
    <n v="112"/>
    <n v="54"/>
    <n v="10"/>
    <n v="391065.74"/>
    <n v="45"/>
    <n v="341195.74"/>
    <n v="39"/>
    <n v="127"/>
    <n v="608"/>
    <n v="2024"/>
    <x v="6"/>
    <x v="0"/>
    <x v="2"/>
  </r>
  <r>
    <x v="1"/>
    <x v="164"/>
    <x v="1"/>
    <x v="8"/>
    <n v="9"/>
    <n v="1"/>
    <n v="0"/>
    <n v="0"/>
    <n v="0"/>
    <n v="0"/>
    <n v="0"/>
    <n v="0"/>
    <n v="0"/>
    <n v="9"/>
    <n v="2024"/>
    <x v="6"/>
    <x v="0"/>
    <x v="2"/>
  </r>
  <r>
    <x v="1"/>
    <x v="164"/>
    <x v="1"/>
    <x v="9"/>
    <n v="12"/>
    <n v="4"/>
    <n v="0"/>
    <n v="0"/>
    <n v="0"/>
    <n v="0"/>
    <n v="0"/>
    <n v="0"/>
    <n v="0"/>
    <n v="12"/>
    <n v="2024"/>
    <x v="6"/>
    <x v="0"/>
    <x v="2"/>
  </r>
  <r>
    <x v="1"/>
    <x v="164"/>
    <x v="1"/>
    <x v="10"/>
    <n v="4"/>
    <n v="4"/>
    <n v="0"/>
    <n v="0"/>
    <n v="0"/>
    <n v="0"/>
    <n v="0"/>
    <n v="0"/>
    <n v="1"/>
    <n v="4"/>
    <n v="2024"/>
    <x v="6"/>
    <x v="0"/>
    <x v="2"/>
  </r>
  <r>
    <x v="1"/>
    <x v="164"/>
    <x v="1"/>
    <x v="11"/>
    <n v="4"/>
    <n v="3"/>
    <n v="0"/>
    <n v="0"/>
    <n v="0"/>
    <n v="0"/>
    <n v="0"/>
    <n v="0"/>
    <n v="2"/>
    <n v="2"/>
    <n v="2024"/>
    <x v="6"/>
    <x v="0"/>
    <x v="2"/>
  </r>
  <r>
    <x v="1"/>
    <x v="164"/>
    <x v="1"/>
    <x v="61"/>
    <n v="73"/>
    <n v="50"/>
    <n v="2"/>
    <n v="0"/>
    <n v="0"/>
    <n v="0"/>
    <n v="0"/>
    <n v="0"/>
    <n v="0"/>
    <n v="73"/>
    <n v="2024"/>
    <x v="6"/>
    <x v="0"/>
    <x v="2"/>
  </r>
  <r>
    <x v="1"/>
    <x v="164"/>
    <x v="1"/>
    <x v="59"/>
    <n v="413"/>
    <n v="141"/>
    <n v="19"/>
    <n v="6"/>
    <n v="41694.26"/>
    <n v="6"/>
    <n v="37819.26"/>
    <n v="5"/>
    <n v="86"/>
    <n v="356"/>
    <n v="2024"/>
    <x v="6"/>
    <x v="0"/>
    <x v="2"/>
  </r>
  <r>
    <x v="1"/>
    <x v="164"/>
    <x v="1"/>
    <x v="15"/>
    <n v="15"/>
    <n v="14"/>
    <n v="0"/>
    <n v="0"/>
    <n v="0"/>
    <n v="0"/>
    <n v="0"/>
    <n v="0"/>
    <n v="0"/>
    <n v="15"/>
    <n v="2024"/>
    <x v="6"/>
    <x v="0"/>
    <x v="2"/>
  </r>
  <r>
    <x v="1"/>
    <x v="164"/>
    <x v="1"/>
    <x v="17"/>
    <n v="3"/>
    <n v="2"/>
    <n v="0"/>
    <n v="0"/>
    <n v="0"/>
    <n v="0"/>
    <n v="0"/>
    <n v="0"/>
    <n v="0"/>
    <n v="3"/>
    <n v="2024"/>
    <x v="6"/>
    <x v="0"/>
    <x v="2"/>
  </r>
  <r>
    <x v="1"/>
    <x v="164"/>
    <x v="1"/>
    <x v="18"/>
    <n v="13"/>
    <n v="8"/>
    <n v="3"/>
    <n v="0"/>
    <n v="5475"/>
    <n v="1"/>
    <n v="5475"/>
    <n v="1"/>
    <n v="0"/>
    <n v="13"/>
    <n v="2024"/>
    <x v="6"/>
    <x v="0"/>
    <x v="2"/>
  </r>
  <r>
    <x v="1"/>
    <x v="164"/>
    <x v="1"/>
    <x v="19"/>
    <n v="1128"/>
    <n v="614"/>
    <n v="52"/>
    <n v="15"/>
    <n v="154198.42000000001"/>
    <n v="22"/>
    <n v="117523.42"/>
    <n v="19"/>
    <n v="485"/>
    <n v="1000"/>
    <n v="2024"/>
    <x v="6"/>
    <x v="0"/>
    <x v="2"/>
  </r>
  <r>
    <x v="1"/>
    <x v="164"/>
    <x v="1"/>
    <x v="20"/>
    <n v="3"/>
    <n v="1"/>
    <n v="0"/>
    <n v="0"/>
    <n v="0"/>
    <n v="0"/>
    <n v="0"/>
    <n v="0"/>
    <n v="2"/>
    <n v="2"/>
    <n v="2024"/>
    <x v="6"/>
    <x v="0"/>
    <x v="2"/>
  </r>
  <r>
    <x v="1"/>
    <x v="164"/>
    <x v="1"/>
    <x v="21"/>
    <n v="11"/>
    <n v="5"/>
    <n v="4"/>
    <n v="0"/>
    <n v="0"/>
    <n v="0"/>
    <n v="0"/>
    <n v="0"/>
    <n v="2"/>
    <n v="11"/>
    <n v="2024"/>
    <x v="6"/>
    <x v="0"/>
    <x v="2"/>
  </r>
  <r>
    <x v="1"/>
    <x v="164"/>
    <x v="1"/>
    <x v="22"/>
    <n v="32"/>
    <n v="13"/>
    <n v="0"/>
    <n v="0"/>
    <n v="0"/>
    <n v="0"/>
    <n v="0"/>
    <n v="0"/>
    <n v="0"/>
    <n v="32"/>
    <n v="2024"/>
    <x v="6"/>
    <x v="0"/>
    <x v="2"/>
  </r>
  <r>
    <x v="1"/>
    <x v="164"/>
    <x v="1"/>
    <x v="24"/>
    <n v="30"/>
    <n v="16"/>
    <n v="2"/>
    <n v="2"/>
    <n v="12750"/>
    <n v="1"/>
    <n v="4250"/>
    <n v="1"/>
    <n v="9"/>
    <n v="27"/>
    <n v="2024"/>
    <x v="6"/>
    <x v="0"/>
    <x v="2"/>
  </r>
  <r>
    <x v="1"/>
    <x v="164"/>
    <x v="1"/>
    <x v="27"/>
    <n v="141"/>
    <n v="31"/>
    <n v="17"/>
    <n v="4"/>
    <n v="129918.18"/>
    <n v="19"/>
    <n v="102028.18"/>
    <n v="18"/>
    <n v="39"/>
    <n v="133"/>
    <n v="2024"/>
    <x v="6"/>
    <x v="0"/>
    <x v="2"/>
  </r>
  <r>
    <x v="1"/>
    <x v="164"/>
    <x v="1"/>
    <x v="29"/>
    <n v="1081"/>
    <n v="723"/>
    <n v="37"/>
    <n v="12"/>
    <n v="73758"/>
    <n v="9"/>
    <n v="47788"/>
    <n v="6"/>
    <n v="255"/>
    <n v="998"/>
    <n v="2024"/>
    <x v="6"/>
    <x v="0"/>
    <x v="2"/>
  </r>
  <r>
    <x v="1"/>
    <x v="164"/>
    <x v="1"/>
    <x v="30"/>
    <n v="5759"/>
    <n v="3261"/>
    <n v="144"/>
    <n v="45"/>
    <n v="181953.24"/>
    <n v="20"/>
    <n v="145378.23999999999"/>
    <n v="16"/>
    <n v="1558"/>
    <n v="4512"/>
    <n v="2024"/>
    <x v="6"/>
    <x v="0"/>
    <x v="2"/>
  </r>
  <r>
    <x v="1"/>
    <x v="164"/>
    <x v="1"/>
    <x v="31"/>
    <n v="149"/>
    <n v="98"/>
    <n v="8"/>
    <n v="6"/>
    <n v="7800"/>
    <n v="1"/>
    <n v="7800"/>
    <n v="1"/>
    <n v="13"/>
    <n v="147"/>
    <n v="2024"/>
    <x v="6"/>
    <x v="0"/>
    <x v="2"/>
  </r>
  <r>
    <x v="1"/>
    <x v="164"/>
    <x v="1"/>
    <x v="32"/>
    <n v="6"/>
    <n v="2"/>
    <n v="2"/>
    <n v="1"/>
    <n v="3850"/>
    <n v="1"/>
    <n v="3850"/>
    <n v="1"/>
    <n v="0"/>
    <n v="6"/>
    <n v="2024"/>
    <x v="6"/>
    <x v="0"/>
    <x v="2"/>
  </r>
  <r>
    <x v="1"/>
    <x v="164"/>
    <x v="1"/>
    <x v="34"/>
    <n v="384"/>
    <n v="140"/>
    <n v="24"/>
    <n v="7"/>
    <n v="38834.26"/>
    <n v="6"/>
    <n v="38834.26"/>
    <n v="6"/>
    <n v="98"/>
    <n v="354"/>
    <n v="2024"/>
    <x v="6"/>
    <x v="0"/>
    <x v="2"/>
  </r>
  <r>
    <x v="1"/>
    <x v="164"/>
    <x v="1"/>
    <x v="37"/>
    <n v="533"/>
    <n v="271"/>
    <n v="20"/>
    <n v="0"/>
    <n v="17751.63"/>
    <n v="2"/>
    <n v="16234.63"/>
    <n v="2"/>
    <n v="82"/>
    <n v="525"/>
    <n v="2024"/>
    <x v="6"/>
    <x v="0"/>
    <x v="2"/>
  </r>
  <r>
    <x v="1"/>
    <x v="164"/>
    <x v="1"/>
    <x v="38"/>
    <n v="592"/>
    <n v="110"/>
    <n v="40"/>
    <n v="12"/>
    <n v="200770.08"/>
    <n v="34"/>
    <n v="132700.07999999999"/>
    <n v="26"/>
    <n v="150"/>
    <n v="562"/>
    <n v="2024"/>
    <x v="6"/>
    <x v="0"/>
    <x v="2"/>
  </r>
  <r>
    <x v="1"/>
    <x v="164"/>
    <x v="1"/>
    <x v="39"/>
    <n v="1"/>
    <n v="1"/>
    <n v="0"/>
    <n v="0"/>
    <n v="0"/>
    <n v="0"/>
    <n v="0"/>
    <n v="0"/>
    <n v="0"/>
    <n v="1"/>
    <n v="2024"/>
    <x v="6"/>
    <x v="0"/>
    <x v="2"/>
  </r>
  <r>
    <x v="1"/>
    <x v="164"/>
    <x v="1"/>
    <x v="41"/>
    <n v="2"/>
    <n v="1"/>
    <n v="0"/>
    <n v="0"/>
    <n v="0"/>
    <n v="0"/>
    <n v="0"/>
    <n v="0"/>
    <n v="0"/>
    <n v="2"/>
    <n v="2024"/>
    <x v="6"/>
    <x v="0"/>
    <x v="2"/>
  </r>
  <r>
    <x v="1"/>
    <x v="164"/>
    <x v="1"/>
    <x v="42"/>
    <n v="2"/>
    <n v="0"/>
    <n v="0"/>
    <n v="0"/>
    <n v="0"/>
    <n v="0"/>
    <n v="0"/>
    <n v="0"/>
    <n v="1"/>
    <n v="1"/>
    <n v="2024"/>
    <x v="6"/>
    <x v="0"/>
    <x v="2"/>
  </r>
  <r>
    <x v="1"/>
    <x v="164"/>
    <x v="1"/>
    <x v="43"/>
    <n v="118"/>
    <n v="50"/>
    <n v="3"/>
    <n v="2"/>
    <n v="24890"/>
    <n v="3"/>
    <n v="16340"/>
    <n v="3"/>
    <n v="88"/>
    <n v="79"/>
    <n v="2024"/>
    <x v="6"/>
    <x v="0"/>
    <x v="2"/>
  </r>
  <r>
    <x v="1"/>
    <x v="164"/>
    <x v="1"/>
    <x v="44"/>
    <n v="16"/>
    <n v="7"/>
    <n v="0"/>
    <n v="0"/>
    <n v="16368"/>
    <n v="1"/>
    <n v="16368"/>
    <n v="1"/>
    <n v="0"/>
    <n v="16"/>
    <n v="2024"/>
    <x v="6"/>
    <x v="0"/>
    <x v="2"/>
  </r>
  <r>
    <x v="1"/>
    <x v="165"/>
    <x v="0"/>
    <x v="0"/>
    <n v="4083"/>
    <n v="3849"/>
    <n v="247"/>
    <n v="16"/>
    <n v="189513"/>
    <n v="54"/>
    <n v="152193"/>
    <n v="48"/>
    <n v="50"/>
    <n v="4066"/>
    <n v="2024"/>
    <x v="6"/>
    <x v="0"/>
    <x v="2"/>
  </r>
  <r>
    <x v="1"/>
    <x v="165"/>
    <x v="0"/>
    <x v="1"/>
    <n v="16923"/>
    <n v="10762"/>
    <n v="845"/>
    <n v="187"/>
    <n v="1401360.84"/>
    <n v="238"/>
    <n v="1124207.3400000001"/>
    <n v="209"/>
    <n v="1249"/>
    <n v="16842"/>
    <n v="2024"/>
    <x v="6"/>
    <x v="0"/>
    <x v="2"/>
  </r>
  <r>
    <x v="1"/>
    <x v="165"/>
    <x v="0"/>
    <x v="2"/>
    <n v="682"/>
    <n v="501"/>
    <n v="49"/>
    <n v="10"/>
    <n v="124136.93"/>
    <n v="23"/>
    <n v="119836.93"/>
    <n v="23"/>
    <n v="682"/>
    <n v="431"/>
    <n v="2024"/>
    <x v="6"/>
    <x v="0"/>
    <x v="2"/>
  </r>
  <r>
    <x v="1"/>
    <x v="165"/>
    <x v="0"/>
    <x v="3"/>
    <n v="2104"/>
    <n v="1586"/>
    <n v="16"/>
    <n v="5"/>
    <n v="0"/>
    <n v="0"/>
    <n v="0"/>
    <n v="0"/>
    <n v="30"/>
    <n v="435"/>
    <n v="2024"/>
    <x v="6"/>
    <x v="0"/>
    <x v="2"/>
  </r>
  <r>
    <x v="1"/>
    <x v="165"/>
    <x v="1"/>
    <x v="5"/>
    <n v="5"/>
    <n v="3"/>
    <n v="0"/>
    <n v="0"/>
    <n v="0"/>
    <n v="0"/>
    <n v="0"/>
    <n v="0"/>
    <n v="1"/>
    <n v="5"/>
    <n v="2024"/>
    <x v="6"/>
    <x v="0"/>
    <x v="2"/>
  </r>
  <r>
    <x v="1"/>
    <x v="165"/>
    <x v="1"/>
    <x v="6"/>
    <n v="585"/>
    <n v="443"/>
    <n v="0"/>
    <n v="0"/>
    <n v="0"/>
    <n v="0"/>
    <n v="0"/>
    <n v="0"/>
    <n v="0"/>
    <n v="2"/>
    <n v="2024"/>
    <x v="6"/>
    <x v="0"/>
    <x v="2"/>
  </r>
  <r>
    <x v="1"/>
    <x v="165"/>
    <x v="1"/>
    <x v="7"/>
    <n v="1159"/>
    <n v="485"/>
    <n v="214"/>
    <n v="13"/>
    <n v="1239881.08"/>
    <n v="240"/>
    <n v="1134636.48"/>
    <n v="229"/>
    <n v="337"/>
    <n v="1119"/>
    <n v="2024"/>
    <x v="6"/>
    <x v="0"/>
    <x v="2"/>
  </r>
  <r>
    <x v="1"/>
    <x v="165"/>
    <x v="1"/>
    <x v="8"/>
    <n v="188"/>
    <n v="166"/>
    <n v="0"/>
    <n v="0"/>
    <n v="0"/>
    <n v="0"/>
    <n v="0"/>
    <n v="0"/>
    <n v="0"/>
    <n v="10"/>
    <n v="2024"/>
    <x v="6"/>
    <x v="0"/>
    <x v="2"/>
  </r>
  <r>
    <x v="1"/>
    <x v="165"/>
    <x v="1"/>
    <x v="9"/>
    <n v="62"/>
    <n v="52"/>
    <n v="1"/>
    <n v="1"/>
    <n v="0"/>
    <n v="0"/>
    <n v="0"/>
    <n v="0"/>
    <n v="0"/>
    <n v="7"/>
    <n v="2024"/>
    <x v="6"/>
    <x v="0"/>
    <x v="2"/>
  </r>
  <r>
    <x v="1"/>
    <x v="165"/>
    <x v="1"/>
    <x v="10"/>
    <n v="12"/>
    <n v="6"/>
    <n v="0"/>
    <n v="1"/>
    <n v="0"/>
    <n v="0"/>
    <n v="0"/>
    <n v="0"/>
    <n v="1"/>
    <n v="8"/>
    <n v="2024"/>
    <x v="6"/>
    <x v="0"/>
    <x v="2"/>
  </r>
  <r>
    <x v="1"/>
    <x v="165"/>
    <x v="1"/>
    <x v="11"/>
    <n v="1"/>
    <n v="1"/>
    <n v="0"/>
    <n v="0"/>
    <n v="0"/>
    <n v="0"/>
    <n v="0"/>
    <n v="0"/>
    <n v="1"/>
    <n v="0"/>
    <n v="2024"/>
    <x v="6"/>
    <x v="0"/>
    <x v="2"/>
  </r>
  <r>
    <x v="1"/>
    <x v="165"/>
    <x v="1"/>
    <x v="61"/>
    <n v="135"/>
    <n v="85"/>
    <n v="2"/>
    <n v="1"/>
    <n v="0"/>
    <n v="0"/>
    <n v="0"/>
    <n v="0"/>
    <n v="2"/>
    <n v="135"/>
    <n v="2024"/>
    <x v="6"/>
    <x v="0"/>
    <x v="2"/>
  </r>
  <r>
    <x v="1"/>
    <x v="165"/>
    <x v="1"/>
    <x v="48"/>
    <n v="4"/>
    <n v="4"/>
    <n v="0"/>
    <n v="0"/>
    <n v="0"/>
    <n v="0"/>
    <n v="0"/>
    <n v="0"/>
    <n v="0"/>
    <n v="4"/>
    <n v="2024"/>
    <x v="6"/>
    <x v="0"/>
    <x v="2"/>
  </r>
  <r>
    <x v="1"/>
    <x v="165"/>
    <x v="1"/>
    <x v="59"/>
    <n v="11210"/>
    <n v="10730"/>
    <n v="38"/>
    <n v="12"/>
    <n v="162913.15"/>
    <n v="21"/>
    <n v="146463.15"/>
    <n v="19"/>
    <n v="144"/>
    <n v="496"/>
    <n v="2024"/>
    <x v="6"/>
    <x v="0"/>
    <x v="2"/>
  </r>
  <r>
    <x v="1"/>
    <x v="165"/>
    <x v="1"/>
    <x v="15"/>
    <n v="24"/>
    <n v="22"/>
    <n v="0"/>
    <n v="0"/>
    <n v="0"/>
    <n v="0"/>
    <n v="0"/>
    <n v="0"/>
    <n v="1"/>
    <n v="24"/>
    <n v="2024"/>
    <x v="6"/>
    <x v="0"/>
    <x v="2"/>
  </r>
  <r>
    <x v="1"/>
    <x v="165"/>
    <x v="1"/>
    <x v="17"/>
    <n v="9"/>
    <n v="9"/>
    <n v="2"/>
    <n v="0"/>
    <n v="1498"/>
    <n v="1"/>
    <n v="1498"/>
    <n v="1"/>
    <n v="0"/>
    <n v="9"/>
    <n v="2024"/>
    <x v="6"/>
    <x v="0"/>
    <x v="2"/>
  </r>
  <r>
    <x v="1"/>
    <x v="165"/>
    <x v="1"/>
    <x v="18"/>
    <n v="60"/>
    <n v="56"/>
    <n v="16"/>
    <n v="2"/>
    <n v="32670"/>
    <n v="9"/>
    <n v="32670"/>
    <n v="9"/>
    <n v="4"/>
    <n v="58"/>
    <n v="2024"/>
    <x v="6"/>
    <x v="0"/>
    <x v="2"/>
  </r>
  <r>
    <x v="1"/>
    <x v="165"/>
    <x v="1"/>
    <x v="19"/>
    <n v="1533"/>
    <n v="905"/>
    <n v="136"/>
    <n v="23"/>
    <n v="365763.09"/>
    <n v="70"/>
    <n v="328754.08"/>
    <n v="67"/>
    <n v="608"/>
    <n v="1298"/>
    <n v="2024"/>
    <x v="6"/>
    <x v="0"/>
    <x v="2"/>
  </r>
  <r>
    <x v="1"/>
    <x v="165"/>
    <x v="1"/>
    <x v="20"/>
    <n v="15"/>
    <n v="6"/>
    <n v="2"/>
    <n v="0"/>
    <n v="0"/>
    <n v="0"/>
    <n v="0"/>
    <n v="0"/>
    <n v="1"/>
    <n v="15"/>
    <n v="2024"/>
    <x v="6"/>
    <x v="0"/>
    <x v="2"/>
  </r>
  <r>
    <x v="1"/>
    <x v="165"/>
    <x v="1"/>
    <x v="21"/>
    <n v="10"/>
    <n v="8"/>
    <n v="1"/>
    <n v="0"/>
    <n v="0"/>
    <n v="0"/>
    <n v="0"/>
    <n v="0"/>
    <n v="1"/>
    <n v="10"/>
    <n v="2024"/>
    <x v="6"/>
    <x v="0"/>
    <x v="2"/>
  </r>
  <r>
    <x v="1"/>
    <x v="165"/>
    <x v="1"/>
    <x v="22"/>
    <n v="61"/>
    <n v="43"/>
    <n v="0"/>
    <n v="1"/>
    <n v="0"/>
    <n v="0"/>
    <n v="0"/>
    <n v="0"/>
    <n v="1"/>
    <n v="21"/>
    <n v="2024"/>
    <x v="6"/>
    <x v="0"/>
    <x v="2"/>
  </r>
  <r>
    <x v="1"/>
    <x v="165"/>
    <x v="1"/>
    <x v="24"/>
    <n v="55"/>
    <n v="38"/>
    <n v="7"/>
    <n v="1"/>
    <n v="17178"/>
    <n v="5"/>
    <n v="17178"/>
    <n v="5"/>
    <n v="13"/>
    <n v="50"/>
    <n v="2024"/>
    <x v="6"/>
    <x v="0"/>
    <x v="2"/>
  </r>
  <r>
    <x v="1"/>
    <x v="165"/>
    <x v="1"/>
    <x v="27"/>
    <n v="213"/>
    <n v="70"/>
    <n v="31"/>
    <n v="5"/>
    <n v="187111.1"/>
    <n v="31"/>
    <n v="167721.1"/>
    <n v="29"/>
    <n v="61"/>
    <n v="203"/>
    <n v="2024"/>
    <x v="6"/>
    <x v="0"/>
    <x v="2"/>
  </r>
  <r>
    <x v="1"/>
    <x v="165"/>
    <x v="1"/>
    <x v="29"/>
    <n v="2592"/>
    <n v="2103"/>
    <n v="460"/>
    <n v="28"/>
    <n v="876586.5"/>
    <n v="182"/>
    <n v="760746.5"/>
    <n v="163"/>
    <n v="454"/>
    <n v="2422"/>
    <n v="2024"/>
    <x v="6"/>
    <x v="0"/>
    <x v="2"/>
  </r>
  <r>
    <x v="1"/>
    <x v="165"/>
    <x v="1"/>
    <x v="30"/>
    <n v="7235"/>
    <n v="4475"/>
    <n v="184"/>
    <n v="57"/>
    <n v="200817.5"/>
    <n v="45"/>
    <n v="161912"/>
    <n v="40"/>
    <n v="1701"/>
    <n v="5476"/>
    <n v="2024"/>
    <x v="6"/>
    <x v="0"/>
    <x v="2"/>
  </r>
  <r>
    <x v="1"/>
    <x v="165"/>
    <x v="1"/>
    <x v="31"/>
    <n v="246"/>
    <n v="159"/>
    <n v="16"/>
    <n v="5"/>
    <n v="51630.5"/>
    <n v="6"/>
    <n v="43100.5"/>
    <n v="6"/>
    <n v="24"/>
    <n v="240"/>
    <n v="2024"/>
    <x v="6"/>
    <x v="0"/>
    <x v="2"/>
  </r>
  <r>
    <x v="1"/>
    <x v="165"/>
    <x v="1"/>
    <x v="32"/>
    <n v="11"/>
    <n v="5"/>
    <n v="2"/>
    <n v="0"/>
    <n v="6700"/>
    <n v="1"/>
    <n v="6700"/>
    <n v="1"/>
    <n v="4"/>
    <n v="11"/>
    <n v="2024"/>
    <x v="6"/>
    <x v="0"/>
    <x v="2"/>
  </r>
  <r>
    <x v="1"/>
    <x v="165"/>
    <x v="1"/>
    <x v="34"/>
    <n v="480"/>
    <n v="198"/>
    <n v="55"/>
    <n v="4"/>
    <n v="62688.639999999999"/>
    <n v="16"/>
    <n v="62688.639999999999"/>
    <n v="16"/>
    <n v="119"/>
    <n v="442"/>
    <n v="2024"/>
    <x v="6"/>
    <x v="0"/>
    <x v="2"/>
  </r>
  <r>
    <x v="1"/>
    <x v="165"/>
    <x v="1"/>
    <x v="36"/>
    <n v="3"/>
    <n v="3"/>
    <n v="0"/>
    <n v="0"/>
    <n v="0"/>
    <n v="0"/>
    <n v="0"/>
    <n v="0"/>
    <n v="0"/>
    <n v="3"/>
    <n v="2024"/>
    <x v="6"/>
    <x v="0"/>
    <x v="2"/>
  </r>
  <r>
    <x v="1"/>
    <x v="165"/>
    <x v="1"/>
    <x v="37"/>
    <n v="556"/>
    <n v="282"/>
    <n v="41"/>
    <n v="0"/>
    <n v="56436"/>
    <n v="13"/>
    <n v="41656"/>
    <n v="10"/>
    <n v="74"/>
    <n v="552"/>
    <n v="2024"/>
    <x v="6"/>
    <x v="0"/>
    <x v="2"/>
  </r>
  <r>
    <x v="1"/>
    <x v="165"/>
    <x v="1"/>
    <x v="38"/>
    <n v="782"/>
    <n v="230"/>
    <n v="131"/>
    <n v="14"/>
    <n v="469641.98"/>
    <n v="72"/>
    <n v="395587.56"/>
    <n v="66"/>
    <n v="191"/>
    <n v="734"/>
    <n v="2024"/>
    <x v="6"/>
    <x v="0"/>
    <x v="2"/>
  </r>
  <r>
    <x v="1"/>
    <x v="165"/>
    <x v="1"/>
    <x v="60"/>
    <n v="1"/>
    <n v="1"/>
    <n v="0"/>
    <n v="0"/>
    <n v="0"/>
    <n v="0"/>
    <n v="0"/>
    <n v="0"/>
    <n v="0"/>
    <n v="1"/>
    <n v="2024"/>
    <x v="6"/>
    <x v="0"/>
    <x v="2"/>
  </r>
  <r>
    <x v="1"/>
    <x v="165"/>
    <x v="1"/>
    <x v="39"/>
    <n v="2"/>
    <n v="2"/>
    <n v="0"/>
    <n v="0"/>
    <n v="0"/>
    <n v="0"/>
    <n v="0"/>
    <n v="0"/>
    <n v="0"/>
    <n v="2"/>
    <n v="2024"/>
    <x v="6"/>
    <x v="0"/>
    <x v="2"/>
  </r>
  <r>
    <x v="1"/>
    <x v="165"/>
    <x v="1"/>
    <x v="42"/>
    <n v="188"/>
    <n v="66"/>
    <n v="5"/>
    <n v="1"/>
    <n v="12634"/>
    <n v="2"/>
    <n v="8734"/>
    <n v="1"/>
    <n v="16"/>
    <n v="179"/>
    <n v="2024"/>
    <x v="6"/>
    <x v="0"/>
    <x v="2"/>
  </r>
  <r>
    <x v="1"/>
    <x v="165"/>
    <x v="1"/>
    <x v="43"/>
    <n v="149"/>
    <n v="67"/>
    <n v="4"/>
    <n v="0"/>
    <n v="4200"/>
    <n v="1"/>
    <n v="4200"/>
    <n v="1"/>
    <n v="114"/>
    <n v="80"/>
    <n v="2024"/>
    <x v="6"/>
    <x v="0"/>
    <x v="2"/>
  </r>
  <r>
    <x v="1"/>
    <x v="165"/>
    <x v="1"/>
    <x v="44"/>
    <n v="57"/>
    <n v="33"/>
    <n v="14"/>
    <n v="0"/>
    <n v="136950.85999999999"/>
    <n v="28"/>
    <n v="128099.86"/>
    <n v="28"/>
    <n v="2"/>
    <n v="57"/>
    <n v="2024"/>
    <x v="6"/>
    <x v="0"/>
    <x v="2"/>
  </r>
  <r>
    <x v="1"/>
    <x v="166"/>
    <x v="0"/>
    <x v="0"/>
    <n v="369"/>
    <n v="156"/>
    <n v="10"/>
    <n v="0"/>
    <n v="13362.5"/>
    <n v="5"/>
    <n v="13362.5"/>
    <n v="5"/>
    <n v="20"/>
    <n v="353"/>
    <n v="2024"/>
    <x v="6"/>
    <x v="0"/>
    <x v="2"/>
  </r>
  <r>
    <x v="1"/>
    <x v="166"/>
    <x v="0"/>
    <x v="1"/>
    <n v="17022"/>
    <n v="10694"/>
    <n v="653"/>
    <n v="196"/>
    <n v="856359.79"/>
    <n v="160"/>
    <n v="647542.37"/>
    <n v="131"/>
    <n v="1171"/>
    <n v="16966"/>
    <n v="2024"/>
    <x v="6"/>
    <x v="0"/>
    <x v="2"/>
  </r>
  <r>
    <x v="1"/>
    <x v="166"/>
    <x v="0"/>
    <x v="2"/>
    <n v="720"/>
    <n v="542"/>
    <n v="36"/>
    <n v="7"/>
    <n v="70308"/>
    <n v="12"/>
    <n v="36358"/>
    <n v="11"/>
    <n v="720"/>
    <n v="438"/>
    <n v="2024"/>
    <x v="6"/>
    <x v="0"/>
    <x v="2"/>
  </r>
  <r>
    <x v="1"/>
    <x v="166"/>
    <x v="0"/>
    <x v="3"/>
    <n v="2038"/>
    <n v="1607"/>
    <n v="13"/>
    <n v="3"/>
    <n v="0"/>
    <n v="0"/>
    <n v="0"/>
    <n v="0"/>
    <n v="13"/>
    <n v="359"/>
    <n v="2024"/>
    <x v="6"/>
    <x v="0"/>
    <x v="2"/>
  </r>
  <r>
    <x v="1"/>
    <x v="166"/>
    <x v="1"/>
    <x v="5"/>
    <n v="9"/>
    <n v="8"/>
    <n v="0"/>
    <n v="0"/>
    <n v="0"/>
    <n v="0"/>
    <n v="0"/>
    <n v="0"/>
    <n v="0"/>
    <n v="9"/>
    <n v="2024"/>
    <x v="6"/>
    <x v="0"/>
    <x v="2"/>
  </r>
  <r>
    <x v="1"/>
    <x v="166"/>
    <x v="1"/>
    <x v="6"/>
    <n v="689"/>
    <n v="556"/>
    <n v="0"/>
    <n v="0"/>
    <n v="0"/>
    <n v="0"/>
    <n v="0"/>
    <n v="0"/>
    <n v="0"/>
    <n v="0"/>
    <n v="2024"/>
    <x v="6"/>
    <x v="0"/>
    <x v="2"/>
  </r>
  <r>
    <x v="1"/>
    <x v="166"/>
    <x v="1"/>
    <x v="7"/>
    <n v="890"/>
    <n v="276"/>
    <n v="139"/>
    <n v="11"/>
    <n v="671644.92"/>
    <n v="125"/>
    <n v="590244.42000000004"/>
    <n v="119"/>
    <n v="263"/>
    <n v="854"/>
    <n v="2024"/>
    <x v="6"/>
    <x v="0"/>
    <x v="2"/>
  </r>
  <r>
    <x v="1"/>
    <x v="166"/>
    <x v="1"/>
    <x v="8"/>
    <n v="165"/>
    <n v="143"/>
    <n v="0"/>
    <n v="0"/>
    <n v="0"/>
    <n v="0"/>
    <n v="0"/>
    <n v="0"/>
    <n v="0"/>
    <n v="2"/>
    <n v="2024"/>
    <x v="6"/>
    <x v="0"/>
    <x v="2"/>
  </r>
  <r>
    <x v="1"/>
    <x v="166"/>
    <x v="1"/>
    <x v="9"/>
    <n v="5"/>
    <n v="3"/>
    <n v="0"/>
    <n v="0"/>
    <n v="0"/>
    <n v="0"/>
    <n v="0"/>
    <n v="0"/>
    <n v="0"/>
    <n v="3"/>
    <n v="2024"/>
    <x v="6"/>
    <x v="0"/>
    <x v="2"/>
  </r>
  <r>
    <x v="1"/>
    <x v="166"/>
    <x v="1"/>
    <x v="10"/>
    <n v="9"/>
    <n v="5"/>
    <n v="0"/>
    <n v="0"/>
    <n v="0"/>
    <n v="0"/>
    <n v="0"/>
    <n v="0"/>
    <n v="0"/>
    <n v="3"/>
    <n v="2024"/>
    <x v="6"/>
    <x v="0"/>
    <x v="2"/>
  </r>
  <r>
    <x v="1"/>
    <x v="166"/>
    <x v="1"/>
    <x v="11"/>
    <n v="4"/>
    <n v="2"/>
    <n v="0"/>
    <n v="0"/>
    <n v="0"/>
    <n v="0"/>
    <n v="0"/>
    <n v="0"/>
    <n v="3"/>
    <n v="1"/>
    <n v="2024"/>
    <x v="6"/>
    <x v="0"/>
    <x v="2"/>
  </r>
  <r>
    <x v="1"/>
    <x v="166"/>
    <x v="1"/>
    <x v="61"/>
    <n v="99"/>
    <n v="67"/>
    <n v="7"/>
    <n v="0"/>
    <n v="0"/>
    <n v="0"/>
    <n v="0"/>
    <n v="0"/>
    <n v="0"/>
    <n v="99"/>
    <n v="2024"/>
    <x v="6"/>
    <x v="0"/>
    <x v="2"/>
  </r>
  <r>
    <x v="1"/>
    <x v="166"/>
    <x v="1"/>
    <x v="48"/>
    <n v="4"/>
    <n v="3"/>
    <n v="0"/>
    <n v="0"/>
    <n v="0"/>
    <n v="0"/>
    <n v="0"/>
    <n v="0"/>
    <n v="0"/>
    <n v="4"/>
    <n v="2024"/>
    <x v="6"/>
    <x v="0"/>
    <x v="2"/>
  </r>
  <r>
    <x v="1"/>
    <x v="166"/>
    <x v="1"/>
    <x v="59"/>
    <n v="1732"/>
    <n v="1323"/>
    <n v="38"/>
    <n v="5"/>
    <n v="86489.5"/>
    <n v="13"/>
    <n v="86489.5"/>
    <n v="13"/>
    <n v="115"/>
    <n v="480"/>
    <n v="2024"/>
    <x v="6"/>
    <x v="0"/>
    <x v="2"/>
  </r>
  <r>
    <x v="1"/>
    <x v="166"/>
    <x v="1"/>
    <x v="15"/>
    <n v="21"/>
    <n v="19"/>
    <n v="0"/>
    <n v="0"/>
    <n v="0"/>
    <n v="0"/>
    <n v="0"/>
    <n v="0"/>
    <n v="2"/>
    <n v="21"/>
    <n v="2024"/>
    <x v="6"/>
    <x v="0"/>
    <x v="2"/>
  </r>
  <r>
    <x v="1"/>
    <x v="166"/>
    <x v="1"/>
    <x v="17"/>
    <n v="13"/>
    <n v="11"/>
    <n v="0"/>
    <n v="0"/>
    <n v="0"/>
    <n v="0"/>
    <n v="0"/>
    <n v="0"/>
    <n v="0"/>
    <n v="13"/>
    <n v="2024"/>
    <x v="6"/>
    <x v="0"/>
    <x v="2"/>
  </r>
  <r>
    <x v="1"/>
    <x v="166"/>
    <x v="1"/>
    <x v="18"/>
    <n v="12"/>
    <n v="11"/>
    <n v="2"/>
    <n v="1"/>
    <n v="2447.5"/>
    <n v="1"/>
    <n v="2447.5"/>
    <n v="1"/>
    <n v="2"/>
    <n v="12"/>
    <n v="2024"/>
    <x v="6"/>
    <x v="0"/>
    <x v="2"/>
  </r>
  <r>
    <x v="1"/>
    <x v="166"/>
    <x v="1"/>
    <x v="19"/>
    <n v="1371"/>
    <n v="787"/>
    <n v="116"/>
    <n v="17"/>
    <n v="256758.24"/>
    <n v="47"/>
    <n v="189544.32000000001"/>
    <n v="39"/>
    <n v="538"/>
    <n v="1132"/>
    <n v="2024"/>
    <x v="6"/>
    <x v="0"/>
    <x v="2"/>
  </r>
  <r>
    <x v="1"/>
    <x v="166"/>
    <x v="1"/>
    <x v="20"/>
    <n v="25"/>
    <n v="11"/>
    <n v="2"/>
    <n v="0"/>
    <n v="5500"/>
    <n v="1"/>
    <n v="2750"/>
    <n v="1"/>
    <n v="5"/>
    <n v="22"/>
    <n v="2024"/>
    <x v="6"/>
    <x v="0"/>
    <x v="2"/>
  </r>
  <r>
    <x v="1"/>
    <x v="166"/>
    <x v="1"/>
    <x v="21"/>
    <n v="6"/>
    <n v="3"/>
    <n v="1"/>
    <n v="0"/>
    <n v="4250"/>
    <n v="1"/>
    <n v="0"/>
    <n v="0"/>
    <n v="3"/>
    <n v="6"/>
    <n v="2024"/>
    <x v="6"/>
    <x v="0"/>
    <x v="2"/>
  </r>
  <r>
    <x v="1"/>
    <x v="166"/>
    <x v="1"/>
    <x v="22"/>
    <n v="17"/>
    <n v="9"/>
    <n v="1"/>
    <n v="0"/>
    <n v="0"/>
    <n v="0"/>
    <n v="0"/>
    <n v="0"/>
    <n v="0"/>
    <n v="16"/>
    <n v="2024"/>
    <x v="6"/>
    <x v="0"/>
    <x v="2"/>
  </r>
  <r>
    <x v="1"/>
    <x v="166"/>
    <x v="1"/>
    <x v="24"/>
    <n v="44"/>
    <n v="25"/>
    <n v="5"/>
    <n v="1"/>
    <n v="11047.5"/>
    <n v="2"/>
    <n v="11047.5"/>
    <n v="2"/>
    <n v="13"/>
    <n v="39"/>
    <n v="2024"/>
    <x v="6"/>
    <x v="0"/>
    <x v="2"/>
  </r>
  <r>
    <x v="1"/>
    <x v="166"/>
    <x v="1"/>
    <x v="27"/>
    <n v="236"/>
    <n v="87"/>
    <n v="22"/>
    <n v="4"/>
    <n v="120362.5"/>
    <n v="21"/>
    <n v="112592.5"/>
    <n v="20"/>
    <n v="81"/>
    <n v="222"/>
    <n v="2024"/>
    <x v="6"/>
    <x v="0"/>
    <x v="2"/>
  </r>
  <r>
    <x v="1"/>
    <x v="166"/>
    <x v="1"/>
    <x v="29"/>
    <n v="1739"/>
    <n v="1358"/>
    <n v="213"/>
    <n v="14"/>
    <n v="286478"/>
    <n v="53"/>
    <n v="234205"/>
    <n v="48"/>
    <n v="378"/>
    <n v="1566"/>
    <n v="2024"/>
    <x v="6"/>
    <x v="0"/>
    <x v="2"/>
  </r>
  <r>
    <x v="1"/>
    <x v="166"/>
    <x v="1"/>
    <x v="30"/>
    <n v="6520"/>
    <n v="4083"/>
    <n v="116"/>
    <n v="38"/>
    <n v="124485"/>
    <n v="23"/>
    <n v="80000"/>
    <n v="19"/>
    <n v="1400"/>
    <n v="4749"/>
    <n v="2024"/>
    <x v="6"/>
    <x v="0"/>
    <x v="2"/>
  </r>
  <r>
    <x v="1"/>
    <x v="166"/>
    <x v="1"/>
    <x v="31"/>
    <n v="230"/>
    <n v="154"/>
    <n v="15"/>
    <n v="3"/>
    <n v="30481.22"/>
    <n v="5"/>
    <n v="26231.22"/>
    <n v="4"/>
    <n v="38"/>
    <n v="223"/>
    <n v="2024"/>
    <x v="6"/>
    <x v="0"/>
    <x v="2"/>
  </r>
  <r>
    <x v="1"/>
    <x v="166"/>
    <x v="1"/>
    <x v="32"/>
    <n v="13"/>
    <n v="10"/>
    <n v="0"/>
    <n v="0"/>
    <n v="0"/>
    <n v="0"/>
    <n v="0"/>
    <n v="0"/>
    <n v="2"/>
    <n v="13"/>
    <n v="2024"/>
    <x v="6"/>
    <x v="0"/>
    <x v="2"/>
  </r>
  <r>
    <x v="1"/>
    <x v="166"/>
    <x v="1"/>
    <x v="34"/>
    <n v="486"/>
    <n v="215"/>
    <n v="43"/>
    <n v="9"/>
    <n v="42501.2"/>
    <n v="10"/>
    <n v="37103.78"/>
    <n v="8"/>
    <n v="123"/>
    <n v="441"/>
    <n v="2024"/>
    <x v="6"/>
    <x v="0"/>
    <x v="2"/>
  </r>
  <r>
    <x v="1"/>
    <x v="166"/>
    <x v="1"/>
    <x v="36"/>
    <n v="8"/>
    <n v="8"/>
    <n v="0"/>
    <n v="0"/>
    <n v="0"/>
    <n v="0"/>
    <n v="0"/>
    <n v="0"/>
    <n v="1"/>
    <n v="7"/>
    <n v="2024"/>
    <x v="6"/>
    <x v="0"/>
    <x v="2"/>
  </r>
  <r>
    <x v="1"/>
    <x v="166"/>
    <x v="1"/>
    <x v="37"/>
    <n v="550"/>
    <n v="288"/>
    <n v="30"/>
    <n v="0"/>
    <n v="37690.410000000003"/>
    <n v="7"/>
    <n v="29590.41"/>
    <n v="7"/>
    <n v="71"/>
    <n v="540"/>
    <n v="2024"/>
    <x v="6"/>
    <x v="0"/>
    <x v="2"/>
  </r>
  <r>
    <x v="1"/>
    <x v="166"/>
    <x v="1"/>
    <x v="38"/>
    <n v="648"/>
    <n v="144"/>
    <n v="76"/>
    <n v="17"/>
    <n v="221894.32"/>
    <n v="36"/>
    <n v="161834.82"/>
    <n v="33"/>
    <n v="160"/>
    <n v="611"/>
    <n v="2024"/>
    <x v="6"/>
    <x v="0"/>
    <x v="2"/>
  </r>
  <r>
    <x v="1"/>
    <x v="166"/>
    <x v="1"/>
    <x v="60"/>
    <n v="3"/>
    <n v="3"/>
    <n v="0"/>
    <n v="0"/>
    <n v="0"/>
    <n v="0"/>
    <n v="0"/>
    <n v="0"/>
    <n v="1"/>
    <n v="3"/>
    <n v="2024"/>
    <x v="6"/>
    <x v="0"/>
    <x v="2"/>
  </r>
  <r>
    <x v="1"/>
    <x v="166"/>
    <x v="1"/>
    <x v="39"/>
    <n v="1"/>
    <n v="1"/>
    <n v="0"/>
    <n v="0"/>
    <n v="0"/>
    <n v="0"/>
    <n v="0"/>
    <n v="0"/>
    <n v="0"/>
    <n v="1"/>
    <n v="2024"/>
    <x v="6"/>
    <x v="0"/>
    <x v="2"/>
  </r>
  <r>
    <x v="1"/>
    <x v="166"/>
    <x v="1"/>
    <x v="41"/>
    <n v="2"/>
    <n v="0"/>
    <n v="0"/>
    <n v="0"/>
    <n v="0"/>
    <n v="0"/>
    <n v="0"/>
    <n v="0"/>
    <n v="1"/>
    <n v="1"/>
    <n v="2024"/>
    <x v="6"/>
    <x v="0"/>
    <x v="2"/>
  </r>
  <r>
    <x v="1"/>
    <x v="166"/>
    <x v="1"/>
    <x v="42"/>
    <n v="201"/>
    <n v="76"/>
    <n v="6"/>
    <n v="2"/>
    <n v="1498"/>
    <n v="1"/>
    <n v="1498"/>
    <n v="1"/>
    <n v="23"/>
    <n v="189"/>
    <n v="2024"/>
    <x v="6"/>
    <x v="0"/>
    <x v="2"/>
  </r>
  <r>
    <x v="1"/>
    <x v="166"/>
    <x v="1"/>
    <x v="43"/>
    <n v="133"/>
    <n v="52"/>
    <n v="6"/>
    <n v="0"/>
    <n v="1990"/>
    <n v="1"/>
    <n v="1990"/>
    <n v="1"/>
    <n v="109"/>
    <n v="80"/>
    <n v="2024"/>
    <x v="6"/>
    <x v="0"/>
    <x v="2"/>
  </r>
  <r>
    <x v="1"/>
    <x v="166"/>
    <x v="1"/>
    <x v="44"/>
    <n v="42"/>
    <n v="17"/>
    <n v="6"/>
    <n v="1"/>
    <n v="57412.08"/>
    <n v="12"/>
    <n v="39266.5"/>
    <n v="9"/>
    <n v="2"/>
    <n v="42"/>
    <n v="2024"/>
    <x v="6"/>
    <x v="0"/>
    <x v="2"/>
  </r>
  <r>
    <x v="1"/>
    <x v="167"/>
    <x v="0"/>
    <x v="0"/>
    <n v="312"/>
    <n v="124"/>
    <n v="5"/>
    <n v="1"/>
    <n v="27877"/>
    <n v="5"/>
    <n v="27877"/>
    <n v="5"/>
    <n v="11"/>
    <n v="306"/>
    <n v="2024"/>
    <x v="6"/>
    <x v="0"/>
    <x v="2"/>
  </r>
  <r>
    <x v="1"/>
    <x v="167"/>
    <x v="0"/>
    <x v="1"/>
    <n v="16940"/>
    <n v="10708"/>
    <n v="789"/>
    <n v="202"/>
    <n v="1340856.8899999999"/>
    <n v="233"/>
    <n v="946528.39"/>
    <n v="195"/>
    <n v="1235"/>
    <n v="16880"/>
    <n v="2024"/>
    <x v="6"/>
    <x v="0"/>
    <x v="2"/>
  </r>
  <r>
    <x v="1"/>
    <x v="167"/>
    <x v="0"/>
    <x v="2"/>
    <n v="759"/>
    <n v="562"/>
    <n v="42"/>
    <n v="9"/>
    <n v="266567"/>
    <n v="13"/>
    <n v="41387"/>
    <n v="9"/>
    <n v="759"/>
    <n v="477"/>
    <n v="2024"/>
    <x v="6"/>
    <x v="0"/>
    <x v="2"/>
  </r>
  <r>
    <x v="1"/>
    <x v="167"/>
    <x v="0"/>
    <x v="3"/>
    <n v="1842"/>
    <n v="1366"/>
    <n v="14"/>
    <n v="1"/>
    <n v="0"/>
    <n v="0"/>
    <n v="0"/>
    <n v="0"/>
    <n v="26"/>
    <n v="256"/>
    <n v="2024"/>
    <x v="6"/>
    <x v="0"/>
    <x v="2"/>
  </r>
  <r>
    <x v="1"/>
    <x v="167"/>
    <x v="1"/>
    <x v="5"/>
    <n v="9"/>
    <n v="6"/>
    <n v="0"/>
    <n v="1"/>
    <n v="0"/>
    <n v="0"/>
    <n v="0"/>
    <n v="0"/>
    <n v="0"/>
    <n v="9"/>
    <n v="2024"/>
    <x v="6"/>
    <x v="0"/>
    <x v="2"/>
  </r>
  <r>
    <x v="1"/>
    <x v="167"/>
    <x v="1"/>
    <x v="6"/>
    <n v="634"/>
    <n v="495"/>
    <n v="0"/>
    <n v="0"/>
    <n v="0"/>
    <n v="0"/>
    <n v="0"/>
    <n v="0"/>
    <n v="0"/>
    <n v="0"/>
    <n v="2024"/>
    <x v="6"/>
    <x v="0"/>
    <x v="2"/>
  </r>
  <r>
    <x v="1"/>
    <x v="167"/>
    <x v="1"/>
    <x v="7"/>
    <n v="1149"/>
    <n v="409"/>
    <n v="202"/>
    <n v="11"/>
    <n v="1034138.86"/>
    <n v="190"/>
    <n v="822748.92"/>
    <n v="175"/>
    <n v="327"/>
    <n v="1106"/>
    <n v="2024"/>
    <x v="6"/>
    <x v="0"/>
    <x v="2"/>
  </r>
  <r>
    <x v="1"/>
    <x v="167"/>
    <x v="1"/>
    <x v="8"/>
    <n v="141"/>
    <n v="126"/>
    <n v="0"/>
    <n v="0"/>
    <n v="0"/>
    <n v="0"/>
    <n v="0"/>
    <n v="0"/>
    <n v="0"/>
    <n v="2"/>
    <n v="2024"/>
    <x v="6"/>
    <x v="0"/>
    <x v="2"/>
  </r>
  <r>
    <x v="1"/>
    <x v="167"/>
    <x v="1"/>
    <x v="9"/>
    <n v="16"/>
    <n v="11"/>
    <n v="0"/>
    <n v="0"/>
    <n v="0"/>
    <n v="0"/>
    <n v="0"/>
    <n v="0"/>
    <n v="0"/>
    <n v="4"/>
    <n v="2024"/>
    <x v="6"/>
    <x v="0"/>
    <x v="2"/>
  </r>
  <r>
    <x v="1"/>
    <x v="167"/>
    <x v="1"/>
    <x v="10"/>
    <n v="14"/>
    <n v="7"/>
    <n v="2"/>
    <n v="0"/>
    <n v="0"/>
    <n v="0"/>
    <n v="0"/>
    <n v="0"/>
    <n v="1"/>
    <n v="8"/>
    <n v="2024"/>
    <x v="6"/>
    <x v="0"/>
    <x v="2"/>
  </r>
  <r>
    <x v="1"/>
    <x v="167"/>
    <x v="1"/>
    <x v="11"/>
    <n v="8"/>
    <n v="4"/>
    <n v="0"/>
    <n v="0"/>
    <n v="0"/>
    <n v="0"/>
    <n v="0"/>
    <n v="0"/>
    <n v="6"/>
    <n v="2"/>
    <n v="2024"/>
    <x v="6"/>
    <x v="0"/>
    <x v="2"/>
  </r>
  <r>
    <x v="1"/>
    <x v="167"/>
    <x v="1"/>
    <x v="61"/>
    <n v="117"/>
    <n v="93"/>
    <n v="3"/>
    <n v="0"/>
    <n v="9675"/>
    <n v="2"/>
    <n v="9675"/>
    <n v="2"/>
    <n v="2"/>
    <n v="117"/>
    <n v="2024"/>
    <x v="6"/>
    <x v="0"/>
    <x v="2"/>
  </r>
  <r>
    <x v="1"/>
    <x v="167"/>
    <x v="1"/>
    <x v="59"/>
    <n v="1883"/>
    <n v="1513"/>
    <n v="32"/>
    <n v="9"/>
    <n v="81669.08"/>
    <n v="16"/>
    <n v="57409.08"/>
    <n v="14"/>
    <n v="140"/>
    <n v="475"/>
    <n v="2024"/>
    <x v="6"/>
    <x v="0"/>
    <x v="2"/>
  </r>
  <r>
    <x v="1"/>
    <x v="167"/>
    <x v="1"/>
    <x v="15"/>
    <n v="26"/>
    <n v="25"/>
    <n v="0"/>
    <n v="0"/>
    <n v="0"/>
    <n v="0"/>
    <n v="0"/>
    <n v="0"/>
    <n v="0"/>
    <n v="26"/>
    <n v="2024"/>
    <x v="6"/>
    <x v="0"/>
    <x v="2"/>
  </r>
  <r>
    <x v="1"/>
    <x v="167"/>
    <x v="1"/>
    <x v="17"/>
    <n v="6"/>
    <n v="5"/>
    <n v="0"/>
    <n v="0"/>
    <n v="8750"/>
    <n v="1"/>
    <n v="8750"/>
    <n v="1"/>
    <n v="1"/>
    <n v="5"/>
    <n v="2024"/>
    <x v="6"/>
    <x v="0"/>
    <x v="2"/>
  </r>
  <r>
    <x v="1"/>
    <x v="167"/>
    <x v="1"/>
    <x v="18"/>
    <n v="24"/>
    <n v="18"/>
    <n v="4"/>
    <n v="0"/>
    <n v="18947"/>
    <n v="3"/>
    <n v="18947"/>
    <n v="3"/>
    <n v="1"/>
    <n v="22"/>
    <n v="2024"/>
    <x v="6"/>
    <x v="0"/>
    <x v="2"/>
  </r>
  <r>
    <x v="1"/>
    <x v="167"/>
    <x v="1"/>
    <x v="19"/>
    <n v="1349"/>
    <n v="750"/>
    <n v="137"/>
    <n v="23"/>
    <n v="540512.05000000005"/>
    <n v="72"/>
    <n v="313193.55"/>
    <n v="62"/>
    <n v="599"/>
    <n v="1112"/>
    <n v="2024"/>
    <x v="6"/>
    <x v="0"/>
    <x v="2"/>
  </r>
  <r>
    <x v="1"/>
    <x v="167"/>
    <x v="1"/>
    <x v="20"/>
    <n v="13"/>
    <n v="9"/>
    <n v="1"/>
    <n v="0"/>
    <n v="0"/>
    <n v="0"/>
    <n v="0"/>
    <n v="0"/>
    <n v="3"/>
    <n v="12"/>
    <n v="2024"/>
    <x v="6"/>
    <x v="0"/>
    <x v="2"/>
  </r>
  <r>
    <x v="1"/>
    <x v="167"/>
    <x v="1"/>
    <x v="21"/>
    <n v="5"/>
    <n v="1"/>
    <n v="0"/>
    <n v="0"/>
    <n v="0"/>
    <n v="0"/>
    <n v="0"/>
    <n v="0"/>
    <n v="1"/>
    <n v="5"/>
    <n v="2024"/>
    <x v="6"/>
    <x v="0"/>
    <x v="2"/>
  </r>
  <r>
    <x v="1"/>
    <x v="167"/>
    <x v="1"/>
    <x v="22"/>
    <n v="52"/>
    <n v="43"/>
    <n v="0"/>
    <n v="0"/>
    <n v="0"/>
    <n v="0"/>
    <n v="0"/>
    <n v="0"/>
    <n v="0"/>
    <n v="12"/>
    <n v="2024"/>
    <x v="6"/>
    <x v="0"/>
    <x v="2"/>
  </r>
  <r>
    <x v="1"/>
    <x v="167"/>
    <x v="1"/>
    <x v="24"/>
    <n v="56"/>
    <n v="37"/>
    <n v="8"/>
    <n v="1"/>
    <n v="8542.5"/>
    <n v="4"/>
    <n v="8542.5"/>
    <n v="4"/>
    <n v="12"/>
    <n v="49"/>
    <n v="2024"/>
    <x v="6"/>
    <x v="0"/>
    <x v="2"/>
  </r>
  <r>
    <x v="1"/>
    <x v="167"/>
    <x v="1"/>
    <x v="27"/>
    <n v="419"/>
    <n v="142"/>
    <n v="45"/>
    <n v="6"/>
    <n v="199470.89"/>
    <n v="34"/>
    <n v="149215.89000000001"/>
    <n v="30"/>
    <n v="106"/>
    <n v="400"/>
    <n v="2024"/>
    <x v="6"/>
    <x v="0"/>
    <x v="2"/>
  </r>
  <r>
    <x v="1"/>
    <x v="167"/>
    <x v="1"/>
    <x v="29"/>
    <n v="1972"/>
    <n v="1508"/>
    <n v="323"/>
    <n v="23"/>
    <n v="329791.08"/>
    <n v="81"/>
    <n v="262016.08"/>
    <n v="74"/>
    <n v="413"/>
    <n v="1795"/>
    <n v="2024"/>
    <x v="6"/>
    <x v="0"/>
    <x v="2"/>
  </r>
  <r>
    <x v="1"/>
    <x v="167"/>
    <x v="1"/>
    <x v="30"/>
    <n v="6572"/>
    <n v="4278"/>
    <n v="144"/>
    <n v="42"/>
    <n v="133453.5"/>
    <n v="26"/>
    <n v="57915.5"/>
    <n v="16"/>
    <n v="1593"/>
    <n v="4475"/>
    <n v="2024"/>
    <x v="6"/>
    <x v="0"/>
    <x v="2"/>
  </r>
  <r>
    <x v="1"/>
    <x v="167"/>
    <x v="1"/>
    <x v="31"/>
    <n v="216"/>
    <n v="150"/>
    <n v="14"/>
    <n v="7"/>
    <n v="36994"/>
    <n v="5"/>
    <n v="14414"/>
    <n v="2"/>
    <n v="32"/>
    <n v="209"/>
    <n v="2024"/>
    <x v="6"/>
    <x v="0"/>
    <x v="2"/>
  </r>
  <r>
    <x v="1"/>
    <x v="167"/>
    <x v="1"/>
    <x v="32"/>
    <n v="9"/>
    <n v="6"/>
    <n v="1"/>
    <n v="2"/>
    <n v="0"/>
    <n v="0"/>
    <n v="0"/>
    <n v="0"/>
    <n v="2"/>
    <n v="8"/>
    <n v="2024"/>
    <x v="6"/>
    <x v="0"/>
    <x v="2"/>
  </r>
  <r>
    <x v="1"/>
    <x v="167"/>
    <x v="1"/>
    <x v="34"/>
    <n v="563"/>
    <n v="213"/>
    <n v="38"/>
    <n v="7"/>
    <n v="61043.58"/>
    <n v="12"/>
    <n v="42853.58"/>
    <n v="10"/>
    <n v="152"/>
    <n v="516"/>
    <n v="2024"/>
    <x v="6"/>
    <x v="0"/>
    <x v="2"/>
  </r>
  <r>
    <x v="1"/>
    <x v="167"/>
    <x v="1"/>
    <x v="35"/>
    <n v="1"/>
    <n v="1"/>
    <n v="0"/>
    <n v="0"/>
    <n v="0"/>
    <n v="0"/>
    <n v="0"/>
    <n v="0"/>
    <n v="0"/>
    <n v="1"/>
    <n v="2024"/>
    <x v="6"/>
    <x v="0"/>
    <x v="2"/>
  </r>
  <r>
    <x v="1"/>
    <x v="167"/>
    <x v="1"/>
    <x v="36"/>
    <n v="6"/>
    <n v="4"/>
    <n v="0"/>
    <n v="0"/>
    <n v="0"/>
    <n v="0"/>
    <n v="0"/>
    <n v="0"/>
    <n v="0"/>
    <n v="6"/>
    <n v="2024"/>
    <x v="6"/>
    <x v="0"/>
    <x v="2"/>
  </r>
  <r>
    <x v="1"/>
    <x v="167"/>
    <x v="1"/>
    <x v="37"/>
    <n v="539"/>
    <n v="288"/>
    <n v="19"/>
    <n v="0"/>
    <n v="48083.94"/>
    <n v="7"/>
    <n v="38243.94"/>
    <n v="6"/>
    <n v="76"/>
    <n v="532"/>
    <n v="2024"/>
    <x v="6"/>
    <x v="0"/>
    <x v="2"/>
  </r>
  <r>
    <x v="1"/>
    <x v="167"/>
    <x v="1"/>
    <x v="38"/>
    <n v="718"/>
    <n v="188"/>
    <n v="107"/>
    <n v="17"/>
    <n v="370113.48"/>
    <n v="61"/>
    <n v="230251.48"/>
    <n v="48"/>
    <n v="166"/>
    <n v="678"/>
    <n v="2024"/>
    <x v="6"/>
    <x v="0"/>
    <x v="2"/>
  </r>
  <r>
    <x v="1"/>
    <x v="167"/>
    <x v="1"/>
    <x v="60"/>
    <n v="8"/>
    <n v="5"/>
    <n v="0"/>
    <n v="0"/>
    <n v="0"/>
    <n v="0"/>
    <n v="0"/>
    <n v="0"/>
    <n v="1"/>
    <n v="8"/>
    <n v="2024"/>
    <x v="6"/>
    <x v="0"/>
    <x v="2"/>
  </r>
  <r>
    <x v="1"/>
    <x v="167"/>
    <x v="1"/>
    <x v="41"/>
    <n v="1"/>
    <n v="0"/>
    <n v="0"/>
    <n v="0"/>
    <n v="0"/>
    <n v="0"/>
    <n v="0"/>
    <n v="0"/>
    <n v="0"/>
    <n v="1"/>
    <n v="2024"/>
    <x v="6"/>
    <x v="0"/>
    <x v="2"/>
  </r>
  <r>
    <x v="1"/>
    <x v="167"/>
    <x v="1"/>
    <x v="42"/>
    <n v="226"/>
    <n v="84"/>
    <n v="6"/>
    <n v="4"/>
    <n v="25945"/>
    <n v="5"/>
    <n v="20365"/>
    <n v="4"/>
    <n v="19"/>
    <n v="209"/>
    <n v="2024"/>
    <x v="6"/>
    <x v="0"/>
    <x v="2"/>
  </r>
  <r>
    <x v="1"/>
    <x v="167"/>
    <x v="1"/>
    <x v="43"/>
    <n v="167"/>
    <n v="84"/>
    <n v="7"/>
    <n v="3"/>
    <n v="3825"/>
    <n v="1"/>
    <n v="3825"/>
    <n v="1"/>
    <n v="126"/>
    <n v="99"/>
    <n v="2024"/>
    <x v="6"/>
    <x v="0"/>
    <x v="2"/>
  </r>
  <r>
    <x v="1"/>
    <x v="167"/>
    <x v="1"/>
    <x v="44"/>
    <n v="47"/>
    <n v="22"/>
    <n v="8"/>
    <n v="0"/>
    <n v="86041.81"/>
    <n v="17"/>
    <n v="66541.81"/>
    <n v="16"/>
    <n v="5"/>
    <n v="47"/>
    <n v="2024"/>
    <x v="6"/>
    <x v="0"/>
    <x v="2"/>
  </r>
  <r>
    <x v="1"/>
    <x v="168"/>
    <x v="0"/>
    <x v="0"/>
    <n v="580"/>
    <n v="166"/>
    <n v="8"/>
    <n v="0"/>
    <n v="44200.18"/>
    <n v="9"/>
    <n v="36670.18"/>
    <n v="8"/>
    <n v="25"/>
    <n v="566"/>
    <n v="2024"/>
    <x v="6"/>
    <x v="0"/>
    <x v="2"/>
  </r>
  <r>
    <x v="1"/>
    <x v="168"/>
    <x v="0"/>
    <x v="1"/>
    <n v="16304"/>
    <n v="11007"/>
    <n v="1148"/>
    <n v="167"/>
    <n v="2085616.12"/>
    <n v="383"/>
    <n v="1756835.12"/>
    <n v="345"/>
    <n v="1190"/>
    <n v="16251"/>
    <n v="2024"/>
    <x v="6"/>
    <x v="0"/>
    <x v="2"/>
  </r>
  <r>
    <x v="1"/>
    <x v="168"/>
    <x v="0"/>
    <x v="2"/>
    <n v="881"/>
    <n v="667"/>
    <n v="58"/>
    <n v="9"/>
    <n v="140874.64000000001"/>
    <n v="30"/>
    <n v="104144.64"/>
    <n v="26"/>
    <n v="880"/>
    <n v="526"/>
    <n v="2024"/>
    <x v="6"/>
    <x v="0"/>
    <x v="2"/>
  </r>
  <r>
    <x v="1"/>
    <x v="168"/>
    <x v="0"/>
    <x v="3"/>
    <n v="1674"/>
    <n v="1318"/>
    <n v="23"/>
    <n v="4"/>
    <n v="0"/>
    <n v="0"/>
    <n v="0"/>
    <n v="0"/>
    <n v="29"/>
    <n v="286"/>
    <n v="2024"/>
    <x v="6"/>
    <x v="0"/>
    <x v="2"/>
  </r>
  <r>
    <x v="1"/>
    <x v="168"/>
    <x v="1"/>
    <x v="5"/>
    <n v="8"/>
    <n v="4"/>
    <n v="0"/>
    <n v="0"/>
    <n v="0"/>
    <n v="0"/>
    <n v="0"/>
    <n v="0"/>
    <n v="1"/>
    <n v="8"/>
    <n v="2024"/>
    <x v="6"/>
    <x v="0"/>
    <x v="2"/>
  </r>
  <r>
    <x v="1"/>
    <x v="168"/>
    <x v="1"/>
    <x v="6"/>
    <n v="352"/>
    <n v="244"/>
    <n v="0"/>
    <n v="0"/>
    <n v="0"/>
    <n v="0"/>
    <n v="0"/>
    <n v="0"/>
    <n v="0"/>
    <n v="2"/>
    <n v="2024"/>
    <x v="6"/>
    <x v="0"/>
    <x v="2"/>
  </r>
  <r>
    <x v="1"/>
    <x v="168"/>
    <x v="1"/>
    <x v="7"/>
    <n v="1716"/>
    <n v="631"/>
    <n v="293"/>
    <n v="12"/>
    <n v="2577274.46"/>
    <n v="425"/>
    <n v="2289785.46"/>
    <n v="410"/>
    <n v="488"/>
    <n v="1666"/>
    <n v="2024"/>
    <x v="6"/>
    <x v="0"/>
    <x v="2"/>
  </r>
  <r>
    <x v="1"/>
    <x v="168"/>
    <x v="1"/>
    <x v="8"/>
    <n v="9"/>
    <n v="4"/>
    <n v="0"/>
    <n v="0"/>
    <n v="0"/>
    <n v="0"/>
    <n v="0"/>
    <n v="0"/>
    <n v="0"/>
    <n v="4"/>
    <n v="2024"/>
    <x v="6"/>
    <x v="0"/>
    <x v="2"/>
  </r>
  <r>
    <x v="1"/>
    <x v="168"/>
    <x v="1"/>
    <x v="9"/>
    <n v="8"/>
    <n v="1"/>
    <n v="0"/>
    <n v="0"/>
    <n v="0"/>
    <n v="0"/>
    <n v="0"/>
    <n v="0"/>
    <n v="1"/>
    <n v="8"/>
    <n v="2024"/>
    <x v="6"/>
    <x v="0"/>
    <x v="2"/>
  </r>
  <r>
    <x v="1"/>
    <x v="168"/>
    <x v="1"/>
    <x v="10"/>
    <n v="7"/>
    <n v="3"/>
    <n v="1"/>
    <n v="0"/>
    <n v="0"/>
    <n v="0"/>
    <n v="0"/>
    <n v="0"/>
    <n v="1"/>
    <n v="5"/>
    <n v="2024"/>
    <x v="6"/>
    <x v="0"/>
    <x v="2"/>
  </r>
  <r>
    <x v="1"/>
    <x v="168"/>
    <x v="1"/>
    <x v="11"/>
    <n v="32"/>
    <n v="27"/>
    <n v="0"/>
    <n v="0"/>
    <n v="1498"/>
    <n v="1"/>
    <n v="1498"/>
    <n v="1"/>
    <n v="28"/>
    <n v="4"/>
    <n v="2024"/>
    <x v="6"/>
    <x v="0"/>
    <x v="2"/>
  </r>
  <r>
    <x v="1"/>
    <x v="168"/>
    <x v="1"/>
    <x v="61"/>
    <n v="206"/>
    <n v="161"/>
    <n v="3"/>
    <n v="1"/>
    <n v="9600.51"/>
    <n v="4"/>
    <n v="7143.51"/>
    <n v="3"/>
    <n v="3"/>
    <n v="206"/>
    <n v="2024"/>
    <x v="6"/>
    <x v="0"/>
    <x v="2"/>
  </r>
  <r>
    <x v="1"/>
    <x v="168"/>
    <x v="1"/>
    <x v="48"/>
    <n v="2"/>
    <n v="1"/>
    <n v="0"/>
    <n v="0"/>
    <n v="0"/>
    <n v="0"/>
    <n v="0"/>
    <n v="0"/>
    <n v="0"/>
    <n v="2"/>
    <n v="2024"/>
    <x v="6"/>
    <x v="0"/>
    <x v="2"/>
  </r>
  <r>
    <x v="1"/>
    <x v="168"/>
    <x v="1"/>
    <x v="59"/>
    <n v="1620"/>
    <n v="1257"/>
    <n v="27"/>
    <n v="6"/>
    <n v="126404.3"/>
    <n v="21"/>
    <n v="116391.3"/>
    <n v="21"/>
    <n v="132"/>
    <n v="445"/>
    <n v="2024"/>
    <x v="6"/>
    <x v="0"/>
    <x v="2"/>
  </r>
  <r>
    <x v="1"/>
    <x v="168"/>
    <x v="1"/>
    <x v="15"/>
    <n v="31"/>
    <n v="30"/>
    <n v="0"/>
    <n v="0"/>
    <n v="0"/>
    <n v="0"/>
    <n v="0"/>
    <n v="0"/>
    <n v="1"/>
    <n v="31"/>
    <n v="2024"/>
    <x v="6"/>
    <x v="0"/>
    <x v="2"/>
  </r>
  <r>
    <x v="1"/>
    <x v="168"/>
    <x v="1"/>
    <x v="17"/>
    <n v="5"/>
    <n v="5"/>
    <n v="1"/>
    <n v="0"/>
    <n v="0"/>
    <n v="0"/>
    <n v="0"/>
    <n v="0"/>
    <n v="1"/>
    <n v="4"/>
    <n v="2024"/>
    <x v="6"/>
    <x v="0"/>
    <x v="2"/>
  </r>
  <r>
    <x v="1"/>
    <x v="168"/>
    <x v="1"/>
    <x v="18"/>
    <n v="15"/>
    <n v="15"/>
    <n v="6"/>
    <n v="0"/>
    <n v="3688"/>
    <n v="1"/>
    <n v="3688"/>
    <n v="1"/>
    <n v="2"/>
    <n v="14"/>
    <n v="2024"/>
    <x v="6"/>
    <x v="0"/>
    <x v="2"/>
  </r>
  <r>
    <x v="1"/>
    <x v="168"/>
    <x v="1"/>
    <x v="19"/>
    <n v="1582"/>
    <n v="874"/>
    <n v="204"/>
    <n v="12"/>
    <n v="737748.22"/>
    <n v="135"/>
    <n v="581455.22"/>
    <n v="120"/>
    <n v="781"/>
    <n v="1278"/>
    <n v="2024"/>
    <x v="6"/>
    <x v="0"/>
    <x v="2"/>
  </r>
  <r>
    <x v="1"/>
    <x v="168"/>
    <x v="1"/>
    <x v="20"/>
    <n v="21"/>
    <n v="11"/>
    <n v="0"/>
    <n v="0"/>
    <n v="6706"/>
    <n v="2"/>
    <n v="1889"/>
    <n v="1"/>
    <n v="4"/>
    <n v="18"/>
    <n v="2024"/>
    <x v="6"/>
    <x v="0"/>
    <x v="2"/>
  </r>
  <r>
    <x v="1"/>
    <x v="168"/>
    <x v="1"/>
    <x v="21"/>
    <n v="11"/>
    <n v="6"/>
    <n v="4"/>
    <n v="0"/>
    <n v="1680"/>
    <n v="1"/>
    <n v="0"/>
    <n v="0"/>
    <n v="4"/>
    <n v="11"/>
    <n v="2024"/>
    <x v="6"/>
    <x v="0"/>
    <x v="2"/>
  </r>
  <r>
    <x v="1"/>
    <x v="168"/>
    <x v="1"/>
    <x v="22"/>
    <n v="9"/>
    <n v="3"/>
    <n v="0"/>
    <n v="0"/>
    <n v="0"/>
    <n v="0"/>
    <n v="0"/>
    <n v="0"/>
    <n v="0"/>
    <n v="5"/>
    <n v="2024"/>
    <x v="6"/>
    <x v="0"/>
    <x v="2"/>
  </r>
  <r>
    <x v="1"/>
    <x v="168"/>
    <x v="1"/>
    <x v="24"/>
    <n v="81"/>
    <n v="56"/>
    <n v="14"/>
    <n v="0"/>
    <n v="57762.7"/>
    <n v="9"/>
    <n v="33812.699999999997"/>
    <n v="8"/>
    <n v="20"/>
    <n v="74"/>
    <n v="2024"/>
    <x v="6"/>
    <x v="0"/>
    <x v="2"/>
  </r>
  <r>
    <x v="1"/>
    <x v="168"/>
    <x v="1"/>
    <x v="27"/>
    <n v="321"/>
    <n v="116"/>
    <n v="49"/>
    <n v="6"/>
    <n v="253930.15"/>
    <n v="54"/>
    <n v="227750.15"/>
    <n v="51"/>
    <n v="95"/>
    <n v="303"/>
    <n v="2024"/>
    <x v="6"/>
    <x v="0"/>
    <x v="2"/>
  </r>
  <r>
    <x v="1"/>
    <x v="168"/>
    <x v="1"/>
    <x v="29"/>
    <n v="1942"/>
    <n v="1574"/>
    <n v="453"/>
    <n v="9"/>
    <n v="652133"/>
    <n v="156"/>
    <n v="518418"/>
    <n v="136"/>
    <n v="423"/>
    <n v="1778"/>
    <n v="2024"/>
    <x v="6"/>
    <x v="0"/>
    <x v="2"/>
  </r>
  <r>
    <x v="1"/>
    <x v="168"/>
    <x v="1"/>
    <x v="30"/>
    <n v="5595"/>
    <n v="3509"/>
    <n v="113"/>
    <n v="45"/>
    <n v="234769.3"/>
    <n v="42"/>
    <n v="179654.3"/>
    <n v="37"/>
    <n v="1542"/>
    <n v="4168"/>
    <n v="2024"/>
    <x v="6"/>
    <x v="0"/>
    <x v="2"/>
  </r>
  <r>
    <x v="1"/>
    <x v="168"/>
    <x v="1"/>
    <x v="31"/>
    <n v="175"/>
    <n v="122"/>
    <n v="10"/>
    <n v="4"/>
    <n v="11662"/>
    <n v="2"/>
    <n v="8264.5"/>
    <n v="2"/>
    <n v="21"/>
    <n v="170"/>
    <n v="2024"/>
    <x v="6"/>
    <x v="0"/>
    <x v="2"/>
  </r>
  <r>
    <x v="1"/>
    <x v="168"/>
    <x v="1"/>
    <x v="32"/>
    <n v="9"/>
    <n v="6"/>
    <n v="1"/>
    <n v="0"/>
    <n v="2750"/>
    <n v="1"/>
    <n v="2750"/>
    <n v="1"/>
    <n v="6"/>
    <n v="9"/>
    <n v="2024"/>
    <x v="6"/>
    <x v="0"/>
    <x v="2"/>
  </r>
  <r>
    <x v="1"/>
    <x v="168"/>
    <x v="1"/>
    <x v="34"/>
    <n v="520"/>
    <n v="217"/>
    <n v="42"/>
    <n v="5"/>
    <n v="80047.16"/>
    <n v="20"/>
    <n v="78367.16"/>
    <n v="19"/>
    <n v="149"/>
    <n v="463"/>
    <n v="2024"/>
    <x v="6"/>
    <x v="0"/>
    <x v="2"/>
  </r>
  <r>
    <x v="1"/>
    <x v="168"/>
    <x v="1"/>
    <x v="36"/>
    <n v="4"/>
    <n v="3"/>
    <n v="0"/>
    <n v="0"/>
    <n v="0"/>
    <n v="0"/>
    <n v="0"/>
    <n v="0"/>
    <n v="2"/>
    <n v="2"/>
    <n v="2024"/>
    <x v="6"/>
    <x v="0"/>
    <x v="2"/>
  </r>
  <r>
    <x v="1"/>
    <x v="168"/>
    <x v="1"/>
    <x v="37"/>
    <n v="579"/>
    <n v="286"/>
    <n v="27"/>
    <n v="0"/>
    <n v="94372.09"/>
    <n v="14"/>
    <n v="68522.09"/>
    <n v="12"/>
    <n v="80"/>
    <n v="569"/>
    <n v="2024"/>
    <x v="6"/>
    <x v="0"/>
    <x v="2"/>
  </r>
  <r>
    <x v="1"/>
    <x v="168"/>
    <x v="1"/>
    <x v="38"/>
    <n v="823"/>
    <n v="276"/>
    <n v="151"/>
    <n v="13"/>
    <n v="611159.63"/>
    <n v="97"/>
    <n v="484611.13"/>
    <n v="88"/>
    <n v="214"/>
    <n v="776"/>
    <n v="2024"/>
    <x v="6"/>
    <x v="0"/>
    <x v="2"/>
  </r>
  <r>
    <x v="1"/>
    <x v="168"/>
    <x v="1"/>
    <x v="60"/>
    <n v="7"/>
    <n v="4"/>
    <n v="0"/>
    <n v="0"/>
    <n v="0"/>
    <n v="0"/>
    <n v="0"/>
    <n v="0"/>
    <n v="0"/>
    <n v="7"/>
    <n v="2024"/>
    <x v="6"/>
    <x v="0"/>
    <x v="2"/>
  </r>
  <r>
    <x v="1"/>
    <x v="168"/>
    <x v="1"/>
    <x v="41"/>
    <n v="8"/>
    <n v="1"/>
    <n v="0"/>
    <n v="0"/>
    <n v="0"/>
    <n v="0"/>
    <n v="0"/>
    <n v="0"/>
    <n v="2"/>
    <n v="8"/>
    <n v="2024"/>
    <x v="6"/>
    <x v="0"/>
    <x v="2"/>
  </r>
  <r>
    <x v="1"/>
    <x v="168"/>
    <x v="1"/>
    <x v="42"/>
    <n v="211"/>
    <n v="102"/>
    <n v="9"/>
    <n v="1"/>
    <n v="13385"/>
    <n v="2"/>
    <n v="13385"/>
    <n v="2"/>
    <n v="23"/>
    <n v="195"/>
    <n v="2024"/>
    <x v="6"/>
    <x v="0"/>
    <x v="2"/>
  </r>
  <r>
    <x v="1"/>
    <x v="168"/>
    <x v="1"/>
    <x v="43"/>
    <n v="203"/>
    <n v="98"/>
    <n v="10"/>
    <n v="2"/>
    <n v="49313"/>
    <n v="5"/>
    <n v="49313"/>
    <n v="5"/>
    <n v="174"/>
    <n v="114"/>
    <n v="2024"/>
    <x v="6"/>
    <x v="0"/>
    <x v="2"/>
  </r>
  <r>
    <x v="1"/>
    <x v="168"/>
    <x v="1"/>
    <x v="44"/>
    <n v="67"/>
    <n v="25"/>
    <n v="13"/>
    <n v="1"/>
    <n v="149541.5"/>
    <n v="26"/>
    <n v="139311.5"/>
    <n v="25"/>
    <n v="3"/>
    <n v="67"/>
    <n v="2024"/>
    <x v="6"/>
    <x v="0"/>
    <x v="2"/>
  </r>
  <r>
    <x v="1"/>
    <x v="169"/>
    <x v="0"/>
    <x v="0"/>
    <n v="759"/>
    <n v="219"/>
    <n v="4"/>
    <n v="3"/>
    <n v="5250"/>
    <n v="1"/>
    <n v="0"/>
    <n v="0"/>
    <n v="32"/>
    <n v="739"/>
    <n v="2024"/>
    <x v="6"/>
    <x v="0"/>
    <x v="2"/>
  </r>
  <r>
    <x v="1"/>
    <x v="169"/>
    <x v="0"/>
    <x v="1"/>
    <n v="13879"/>
    <n v="8991"/>
    <n v="384"/>
    <n v="144"/>
    <n v="300938"/>
    <n v="38"/>
    <n v="92183"/>
    <n v="17"/>
    <n v="940"/>
    <n v="13832"/>
    <n v="2024"/>
    <x v="6"/>
    <x v="0"/>
    <x v="2"/>
  </r>
  <r>
    <x v="1"/>
    <x v="169"/>
    <x v="0"/>
    <x v="2"/>
    <n v="731"/>
    <n v="559"/>
    <n v="39"/>
    <n v="9"/>
    <n v="17998"/>
    <n v="3"/>
    <n v="10375"/>
    <n v="2"/>
    <n v="731"/>
    <n v="473"/>
    <n v="2024"/>
    <x v="6"/>
    <x v="0"/>
    <x v="2"/>
  </r>
  <r>
    <x v="1"/>
    <x v="169"/>
    <x v="0"/>
    <x v="3"/>
    <n v="1171"/>
    <n v="925"/>
    <n v="13"/>
    <n v="5"/>
    <n v="0"/>
    <n v="0"/>
    <n v="0"/>
    <n v="0"/>
    <n v="20"/>
    <n v="216"/>
    <n v="2024"/>
    <x v="6"/>
    <x v="0"/>
    <x v="2"/>
  </r>
  <r>
    <x v="1"/>
    <x v="169"/>
    <x v="1"/>
    <x v="5"/>
    <n v="11"/>
    <n v="9"/>
    <n v="0"/>
    <n v="1"/>
    <n v="0"/>
    <n v="0"/>
    <n v="0"/>
    <n v="0"/>
    <n v="1"/>
    <n v="11"/>
    <n v="2024"/>
    <x v="6"/>
    <x v="0"/>
    <x v="2"/>
  </r>
  <r>
    <x v="1"/>
    <x v="169"/>
    <x v="1"/>
    <x v="6"/>
    <n v="613"/>
    <n v="552"/>
    <n v="0"/>
    <n v="0"/>
    <n v="0"/>
    <n v="0"/>
    <n v="0"/>
    <n v="0"/>
    <n v="0"/>
    <n v="0"/>
    <n v="2024"/>
    <x v="6"/>
    <x v="0"/>
    <x v="2"/>
  </r>
  <r>
    <x v="1"/>
    <x v="169"/>
    <x v="1"/>
    <x v="7"/>
    <n v="835"/>
    <n v="176"/>
    <n v="104"/>
    <n v="12"/>
    <n v="194651"/>
    <n v="30"/>
    <n v="81596"/>
    <n v="18"/>
    <n v="219"/>
    <n v="817"/>
    <n v="2024"/>
    <x v="6"/>
    <x v="0"/>
    <x v="2"/>
  </r>
  <r>
    <x v="1"/>
    <x v="169"/>
    <x v="1"/>
    <x v="8"/>
    <n v="14"/>
    <n v="7"/>
    <n v="0"/>
    <n v="0"/>
    <n v="0"/>
    <n v="0"/>
    <n v="0"/>
    <n v="0"/>
    <n v="0"/>
    <n v="8"/>
    <n v="2024"/>
    <x v="6"/>
    <x v="0"/>
    <x v="2"/>
  </r>
  <r>
    <x v="1"/>
    <x v="169"/>
    <x v="1"/>
    <x v="9"/>
    <n v="9"/>
    <n v="3"/>
    <n v="0"/>
    <n v="0"/>
    <n v="0"/>
    <n v="0"/>
    <n v="0"/>
    <n v="0"/>
    <n v="1"/>
    <n v="9"/>
    <n v="2024"/>
    <x v="6"/>
    <x v="0"/>
    <x v="2"/>
  </r>
  <r>
    <x v="1"/>
    <x v="169"/>
    <x v="1"/>
    <x v="10"/>
    <n v="10"/>
    <n v="9"/>
    <n v="1"/>
    <n v="0"/>
    <n v="0"/>
    <n v="0"/>
    <n v="0"/>
    <n v="0"/>
    <n v="2"/>
    <n v="8"/>
    <n v="2024"/>
    <x v="6"/>
    <x v="0"/>
    <x v="2"/>
  </r>
  <r>
    <x v="1"/>
    <x v="169"/>
    <x v="1"/>
    <x v="61"/>
    <n v="122"/>
    <n v="81"/>
    <n v="3"/>
    <n v="1"/>
    <n v="0"/>
    <n v="0"/>
    <n v="0"/>
    <n v="0"/>
    <n v="6"/>
    <n v="122"/>
    <n v="2024"/>
    <x v="6"/>
    <x v="0"/>
    <x v="2"/>
  </r>
  <r>
    <x v="1"/>
    <x v="169"/>
    <x v="1"/>
    <x v="48"/>
    <n v="2"/>
    <n v="1"/>
    <n v="0"/>
    <n v="0"/>
    <n v="0"/>
    <n v="0"/>
    <n v="0"/>
    <n v="0"/>
    <n v="0"/>
    <n v="2"/>
    <n v="2024"/>
    <x v="6"/>
    <x v="0"/>
    <x v="2"/>
  </r>
  <r>
    <x v="1"/>
    <x v="169"/>
    <x v="1"/>
    <x v="59"/>
    <n v="1029"/>
    <n v="705"/>
    <n v="20"/>
    <n v="9"/>
    <n v="37780"/>
    <n v="6"/>
    <n v="21650"/>
    <n v="3"/>
    <n v="110"/>
    <n v="450"/>
    <n v="2024"/>
    <x v="6"/>
    <x v="0"/>
    <x v="2"/>
  </r>
  <r>
    <x v="1"/>
    <x v="169"/>
    <x v="1"/>
    <x v="15"/>
    <n v="16"/>
    <n v="16"/>
    <n v="0"/>
    <n v="0"/>
    <n v="0"/>
    <n v="0"/>
    <n v="0"/>
    <n v="0"/>
    <n v="1"/>
    <n v="16"/>
    <n v="2024"/>
    <x v="6"/>
    <x v="0"/>
    <x v="2"/>
  </r>
  <r>
    <x v="1"/>
    <x v="169"/>
    <x v="1"/>
    <x v="17"/>
    <n v="1"/>
    <n v="1"/>
    <n v="0"/>
    <n v="0"/>
    <n v="0"/>
    <n v="0"/>
    <n v="0"/>
    <n v="0"/>
    <n v="1"/>
    <n v="0"/>
    <n v="2024"/>
    <x v="6"/>
    <x v="0"/>
    <x v="2"/>
  </r>
  <r>
    <x v="1"/>
    <x v="169"/>
    <x v="1"/>
    <x v="18"/>
    <n v="3"/>
    <n v="3"/>
    <n v="0"/>
    <n v="0"/>
    <n v="0"/>
    <n v="0"/>
    <n v="0"/>
    <n v="0"/>
    <n v="0"/>
    <n v="3"/>
    <n v="2024"/>
    <x v="6"/>
    <x v="0"/>
    <x v="2"/>
  </r>
  <r>
    <x v="1"/>
    <x v="169"/>
    <x v="1"/>
    <x v="19"/>
    <n v="1245"/>
    <n v="679"/>
    <n v="91"/>
    <n v="15"/>
    <n v="124792"/>
    <n v="16"/>
    <n v="27792"/>
    <n v="9"/>
    <n v="537"/>
    <n v="1062"/>
    <n v="2024"/>
    <x v="6"/>
    <x v="0"/>
    <x v="2"/>
  </r>
  <r>
    <x v="1"/>
    <x v="169"/>
    <x v="1"/>
    <x v="20"/>
    <n v="12"/>
    <n v="3"/>
    <n v="0"/>
    <n v="0"/>
    <n v="0"/>
    <n v="0"/>
    <n v="0"/>
    <n v="0"/>
    <n v="5"/>
    <n v="10"/>
    <n v="2024"/>
    <x v="6"/>
    <x v="0"/>
    <x v="2"/>
  </r>
  <r>
    <x v="1"/>
    <x v="169"/>
    <x v="1"/>
    <x v="21"/>
    <n v="5"/>
    <n v="1"/>
    <n v="0"/>
    <n v="0"/>
    <n v="0"/>
    <n v="0"/>
    <n v="0"/>
    <n v="0"/>
    <n v="1"/>
    <n v="5"/>
    <n v="2024"/>
    <x v="6"/>
    <x v="0"/>
    <x v="2"/>
  </r>
  <r>
    <x v="1"/>
    <x v="169"/>
    <x v="1"/>
    <x v="22"/>
    <n v="10"/>
    <n v="3"/>
    <n v="1"/>
    <n v="0"/>
    <n v="0"/>
    <n v="0"/>
    <n v="0"/>
    <n v="0"/>
    <n v="0"/>
    <n v="7"/>
    <n v="2024"/>
    <x v="6"/>
    <x v="0"/>
    <x v="2"/>
  </r>
  <r>
    <x v="1"/>
    <x v="169"/>
    <x v="1"/>
    <x v="24"/>
    <n v="34"/>
    <n v="18"/>
    <n v="4"/>
    <n v="1"/>
    <n v="0"/>
    <n v="0"/>
    <n v="0"/>
    <n v="0"/>
    <n v="8"/>
    <n v="30"/>
    <n v="2024"/>
    <x v="6"/>
    <x v="0"/>
    <x v="2"/>
  </r>
  <r>
    <x v="1"/>
    <x v="169"/>
    <x v="1"/>
    <x v="27"/>
    <n v="402"/>
    <n v="123"/>
    <n v="37"/>
    <n v="11"/>
    <n v="61060"/>
    <n v="8"/>
    <n v="27898"/>
    <n v="4"/>
    <n v="83"/>
    <n v="390"/>
    <n v="2024"/>
    <x v="6"/>
    <x v="0"/>
    <x v="2"/>
  </r>
  <r>
    <x v="1"/>
    <x v="169"/>
    <x v="1"/>
    <x v="29"/>
    <n v="1223"/>
    <n v="920"/>
    <n v="82"/>
    <n v="14"/>
    <n v="38360"/>
    <n v="10"/>
    <n v="27563"/>
    <n v="6"/>
    <n v="301"/>
    <n v="1108"/>
    <n v="2024"/>
    <x v="6"/>
    <x v="0"/>
    <x v="2"/>
  </r>
  <r>
    <x v="1"/>
    <x v="169"/>
    <x v="1"/>
    <x v="30"/>
    <n v="7126"/>
    <n v="4710"/>
    <n v="167"/>
    <n v="56"/>
    <n v="81825"/>
    <n v="12"/>
    <n v="17370"/>
    <n v="6"/>
    <n v="1653"/>
    <n v="5824"/>
    <n v="2024"/>
    <x v="6"/>
    <x v="0"/>
    <x v="2"/>
  </r>
  <r>
    <x v="1"/>
    <x v="169"/>
    <x v="1"/>
    <x v="31"/>
    <n v="174"/>
    <n v="125"/>
    <n v="7"/>
    <n v="3"/>
    <n v="0"/>
    <n v="0"/>
    <n v="0"/>
    <n v="0"/>
    <n v="26"/>
    <n v="169"/>
    <n v="2024"/>
    <x v="6"/>
    <x v="0"/>
    <x v="2"/>
  </r>
  <r>
    <x v="1"/>
    <x v="169"/>
    <x v="1"/>
    <x v="32"/>
    <n v="5"/>
    <n v="2"/>
    <n v="0"/>
    <n v="0"/>
    <n v="0"/>
    <n v="0"/>
    <n v="0"/>
    <n v="0"/>
    <n v="2"/>
    <n v="4"/>
    <n v="2024"/>
    <x v="6"/>
    <x v="0"/>
    <x v="2"/>
  </r>
  <r>
    <x v="1"/>
    <x v="169"/>
    <x v="1"/>
    <x v="34"/>
    <n v="494"/>
    <n v="226"/>
    <n v="42"/>
    <n v="14"/>
    <n v="15120"/>
    <n v="3"/>
    <n v="15120"/>
    <n v="3"/>
    <n v="100"/>
    <n v="466"/>
    <n v="2024"/>
    <x v="6"/>
    <x v="0"/>
    <x v="2"/>
  </r>
  <r>
    <x v="1"/>
    <x v="169"/>
    <x v="1"/>
    <x v="35"/>
    <n v="2"/>
    <n v="2"/>
    <n v="0"/>
    <n v="0"/>
    <n v="0"/>
    <n v="0"/>
    <n v="0"/>
    <n v="0"/>
    <n v="0"/>
    <n v="2"/>
    <n v="2024"/>
    <x v="6"/>
    <x v="0"/>
    <x v="2"/>
  </r>
  <r>
    <x v="1"/>
    <x v="169"/>
    <x v="1"/>
    <x v="36"/>
    <n v="1"/>
    <n v="1"/>
    <n v="0"/>
    <n v="0"/>
    <n v="0"/>
    <n v="0"/>
    <n v="0"/>
    <n v="0"/>
    <n v="0"/>
    <n v="1"/>
    <n v="2024"/>
    <x v="6"/>
    <x v="0"/>
    <x v="2"/>
  </r>
  <r>
    <x v="1"/>
    <x v="169"/>
    <x v="1"/>
    <x v="37"/>
    <n v="462"/>
    <n v="249"/>
    <n v="14"/>
    <n v="0"/>
    <n v="13117"/>
    <n v="3"/>
    <n v="13117"/>
    <n v="3"/>
    <n v="49"/>
    <n v="459"/>
    <n v="2024"/>
    <x v="6"/>
    <x v="0"/>
    <x v="2"/>
  </r>
  <r>
    <x v="1"/>
    <x v="169"/>
    <x v="1"/>
    <x v="38"/>
    <n v="386"/>
    <n v="114"/>
    <n v="33"/>
    <n v="14"/>
    <n v="29084"/>
    <n v="9"/>
    <n v="17689"/>
    <n v="6"/>
    <n v="72"/>
    <n v="374"/>
    <n v="2024"/>
    <x v="6"/>
    <x v="0"/>
    <x v="2"/>
  </r>
  <r>
    <x v="1"/>
    <x v="169"/>
    <x v="1"/>
    <x v="60"/>
    <n v="6"/>
    <n v="1"/>
    <n v="0"/>
    <n v="0"/>
    <n v="0"/>
    <n v="0"/>
    <n v="0"/>
    <n v="0"/>
    <n v="0"/>
    <n v="6"/>
    <n v="2024"/>
    <x v="6"/>
    <x v="0"/>
    <x v="2"/>
  </r>
  <r>
    <x v="1"/>
    <x v="169"/>
    <x v="1"/>
    <x v="41"/>
    <n v="4"/>
    <n v="2"/>
    <n v="0"/>
    <n v="0"/>
    <n v="0"/>
    <n v="0"/>
    <n v="0"/>
    <n v="0"/>
    <n v="1"/>
    <n v="4"/>
    <n v="2024"/>
    <x v="6"/>
    <x v="0"/>
    <x v="2"/>
  </r>
  <r>
    <x v="1"/>
    <x v="169"/>
    <x v="1"/>
    <x v="42"/>
    <n v="211"/>
    <n v="88"/>
    <n v="9"/>
    <n v="3"/>
    <n v="11848"/>
    <n v="2"/>
    <n v="11848"/>
    <n v="2"/>
    <n v="27"/>
    <n v="201"/>
    <n v="2024"/>
    <x v="6"/>
    <x v="0"/>
    <x v="2"/>
  </r>
  <r>
    <x v="1"/>
    <x v="169"/>
    <x v="1"/>
    <x v="43"/>
    <n v="139"/>
    <n v="67"/>
    <n v="5"/>
    <n v="1"/>
    <n v="0"/>
    <n v="0"/>
    <n v="0"/>
    <n v="0"/>
    <n v="112"/>
    <n v="79"/>
    <n v="2024"/>
    <x v="6"/>
    <x v="0"/>
    <x v="2"/>
  </r>
  <r>
    <x v="1"/>
    <x v="169"/>
    <x v="1"/>
    <x v="44"/>
    <n v="18"/>
    <n v="6"/>
    <n v="2"/>
    <n v="0"/>
    <n v="0"/>
    <n v="0"/>
    <n v="0"/>
    <n v="0"/>
    <n v="2"/>
    <n v="18"/>
    <n v="2024"/>
    <x v="6"/>
    <x v="0"/>
    <x v="2"/>
  </r>
  <r>
    <x v="1"/>
    <x v="170"/>
    <x v="0"/>
    <x v="0"/>
    <n v="728"/>
    <n v="148"/>
    <n v="4"/>
    <n v="2"/>
    <n v="0"/>
    <n v="0"/>
    <n v="0"/>
    <n v="0"/>
    <n v="21"/>
    <n v="720"/>
    <n v="2024"/>
    <x v="6"/>
    <x v="0"/>
    <x v="2"/>
  </r>
  <r>
    <x v="1"/>
    <x v="170"/>
    <x v="0"/>
    <x v="1"/>
    <n v="13890"/>
    <n v="8748"/>
    <n v="381"/>
    <n v="142"/>
    <n v="220536"/>
    <n v="34"/>
    <n v="104098"/>
    <n v="16"/>
    <n v="925"/>
    <n v="13852"/>
    <n v="2024"/>
    <x v="6"/>
    <x v="0"/>
    <x v="2"/>
  </r>
  <r>
    <x v="1"/>
    <x v="170"/>
    <x v="0"/>
    <x v="2"/>
    <n v="761"/>
    <n v="594"/>
    <n v="39"/>
    <n v="9"/>
    <n v="46215"/>
    <n v="7"/>
    <n v="13060"/>
    <n v="3"/>
    <n v="760"/>
    <n v="480"/>
    <n v="2024"/>
    <x v="6"/>
    <x v="0"/>
    <x v="2"/>
  </r>
  <r>
    <x v="1"/>
    <x v="170"/>
    <x v="0"/>
    <x v="3"/>
    <n v="205"/>
    <n v="171"/>
    <n v="5"/>
    <n v="4"/>
    <n v="0"/>
    <n v="0"/>
    <n v="0"/>
    <n v="0"/>
    <n v="8"/>
    <n v="168"/>
    <n v="2024"/>
    <x v="6"/>
    <x v="0"/>
    <x v="2"/>
  </r>
  <r>
    <x v="1"/>
    <x v="170"/>
    <x v="1"/>
    <x v="5"/>
    <n v="7"/>
    <n v="4"/>
    <n v="0"/>
    <n v="0"/>
    <n v="0"/>
    <n v="0"/>
    <n v="0"/>
    <n v="0"/>
    <n v="0"/>
    <n v="7"/>
    <n v="2024"/>
    <x v="6"/>
    <x v="0"/>
    <x v="2"/>
  </r>
  <r>
    <x v="1"/>
    <x v="170"/>
    <x v="1"/>
    <x v="6"/>
    <n v="1"/>
    <n v="1"/>
    <n v="0"/>
    <n v="0"/>
    <n v="0"/>
    <n v="0"/>
    <n v="0"/>
    <n v="0"/>
    <n v="0"/>
    <n v="0"/>
    <n v="2024"/>
    <x v="6"/>
    <x v="0"/>
    <x v="2"/>
  </r>
  <r>
    <x v="1"/>
    <x v="170"/>
    <x v="1"/>
    <x v="7"/>
    <n v="766"/>
    <n v="187"/>
    <n v="74"/>
    <n v="7"/>
    <n v="107688.92"/>
    <n v="19"/>
    <n v="67788.92"/>
    <n v="12"/>
    <n v="161"/>
    <n v="747"/>
    <n v="2024"/>
    <x v="6"/>
    <x v="0"/>
    <x v="2"/>
  </r>
  <r>
    <x v="1"/>
    <x v="170"/>
    <x v="1"/>
    <x v="8"/>
    <n v="3"/>
    <n v="1"/>
    <n v="0"/>
    <n v="0"/>
    <n v="0"/>
    <n v="0"/>
    <n v="0"/>
    <n v="0"/>
    <n v="0"/>
    <n v="3"/>
    <n v="2024"/>
    <x v="6"/>
    <x v="0"/>
    <x v="2"/>
  </r>
  <r>
    <x v="1"/>
    <x v="170"/>
    <x v="1"/>
    <x v="9"/>
    <n v="5"/>
    <n v="0"/>
    <n v="0"/>
    <n v="0"/>
    <n v="0"/>
    <n v="0"/>
    <n v="0"/>
    <n v="0"/>
    <n v="0"/>
    <n v="5"/>
    <n v="2024"/>
    <x v="6"/>
    <x v="0"/>
    <x v="2"/>
  </r>
  <r>
    <x v="1"/>
    <x v="170"/>
    <x v="1"/>
    <x v="10"/>
    <n v="9"/>
    <n v="7"/>
    <n v="0"/>
    <n v="1"/>
    <n v="0"/>
    <n v="0"/>
    <n v="0"/>
    <n v="0"/>
    <n v="2"/>
    <n v="9"/>
    <n v="2024"/>
    <x v="6"/>
    <x v="0"/>
    <x v="2"/>
  </r>
  <r>
    <x v="1"/>
    <x v="170"/>
    <x v="1"/>
    <x v="11"/>
    <n v="4"/>
    <n v="1"/>
    <n v="0"/>
    <n v="0"/>
    <n v="0"/>
    <n v="0"/>
    <n v="0"/>
    <n v="0"/>
    <n v="0"/>
    <n v="4"/>
    <n v="2024"/>
    <x v="6"/>
    <x v="0"/>
    <x v="2"/>
  </r>
  <r>
    <x v="1"/>
    <x v="170"/>
    <x v="1"/>
    <x v="61"/>
    <n v="143"/>
    <n v="103"/>
    <n v="0"/>
    <n v="1"/>
    <n v="0"/>
    <n v="0"/>
    <n v="0"/>
    <n v="0"/>
    <n v="2"/>
    <n v="143"/>
    <n v="2024"/>
    <x v="6"/>
    <x v="0"/>
    <x v="2"/>
  </r>
  <r>
    <x v="1"/>
    <x v="170"/>
    <x v="1"/>
    <x v="48"/>
    <n v="1"/>
    <n v="1"/>
    <n v="0"/>
    <n v="0"/>
    <n v="0"/>
    <n v="0"/>
    <n v="0"/>
    <n v="0"/>
    <n v="0"/>
    <n v="1"/>
    <n v="2024"/>
    <x v="6"/>
    <x v="0"/>
    <x v="2"/>
  </r>
  <r>
    <x v="1"/>
    <x v="170"/>
    <x v="1"/>
    <x v="59"/>
    <n v="420"/>
    <n v="169"/>
    <n v="12"/>
    <n v="5"/>
    <n v="14395"/>
    <n v="2"/>
    <n v="10950"/>
    <n v="1"/>
    <n v="74"/>
    <n v="383"/>
    <n v="2024"/>
    <x v="6"/>
    <x v="0"/>
    <x v="2"/>
  </r>
  <r>
    <x v="1"/>
    <x v="170"/>
    <x v="1"/>
    <x v="15"/>
    <n v="16"/>
    <n v="16"/>
    <n v="0"/>
    <n v="0"/>
    <n v="0"/>
    <n v="0"/>
    <n v="0"/>
    <n v="0"/>
    <n v="0"/>
    <n v="16"/>
    <n v="2024"/>
    <x v="6"/>
    <x v="0"/>
    <x v="2"/>
  </r>
  <r>
    <x v="1"/>
    <x v="170"/>
    <x v="1"/>
    <x v="17"/>
    <n v="1"/>
    <n v="1"/>
    <n v="0"/>
    <n v="0"/>
    <n v="0"/>
    <n v="0"/>
    <n v="0"/>
    <n v="0"/>
    <n v="0"/>
    <n v="1"/>
    <n v="2024"/>
    <x v="6"/>
    <x v="0"/>
    <x v="2"/>
  </r>
  <r>
    <x v="1"/>
    <x v="170"/>
    <x v="1"/>
    <x v="18"/>
    <n v="4"/>
    <n v="2"/>
    <n v="0"/>
    <n v="1"/>
    <n v="0"/>
    <n v="0"/>
    <n v="0"/>
    <n v="0"/>
    <n v="1"/>
    <n v="4"/>
    <n v="2024"/>
    <x v="6"/>
    <x v="0"/>
    <x v="2"/>
  </r>
  <r>
    <x v="1"/>
    <x v="170"/>
    <x v="1"/>
    <x v="19"/>
    <n v="1125"/>
    <n v="685"/>
    <n v="73"/>
    <n v="19"/>
    <n v="32875"/>
    <n v="8"/>
    <n v="7230"/>
    <n v="4"/>
    <n v="471"/>
    <n v="964"/>
    <n v="2024"/>
    <x v="6"/>
    <x v="0"/>
    <x v="2"/>
  </r>
  <r>
    <x v="1"/>
    <x v="170"/>
    <x v="1"/>
    <x v="20"/>
    <n v="9"/>
    <n v="5"/>
    <n v="0"/>
    <n v="0"/>
    <n v="0"/>
    <n v="0"/>
    <n v="0"/>
    <n v="0"/>
    <n v="1"/>
    <n v="8"/>
    <n v="2024"/>
    <x v="6"/>
    <x v="0"/>
    <x v="2"/>
  </r>
  <r>
    <x v="1"/>
    <x v="170"/>
    <x v="1"/>
    <x v="21"/>
    <n v="8"/>
    <n v="4"/>
    <n v="3"/>
    <n v="0"/>
    <n v="2457"/>
    <n v="1"/>
    <n v="2457"/>
    <n v="1"/>
    <n v="2"/>
    <n v="8"/>
    <n v="2024"/>
    <x v="6"/>
    <x v="0"/>
    <x v="2"/>
  </r>
  <r>
    <x v="1"/>
    <x v="170"/>
    <x v="1"/>
    <x v="22"/>
    <n v="3"/>
    <n v="0"/>
    <n v="0"/>
    <n v="0"/>
    <n v="0"/>
    <n v="0"/>
    <n v="0"/>
    <n v="0"/>
    <n v="0"/>
    <n v="3"/>
    <n v="2024"/>
    <x v="6"/>
    <x v="0"/>
    <x v="2"/>
  </r>
  <r>
    <x v="1"/>
    <x v="170"/>
    <x v="1"/>
    <x v="24"/>
    <n v="31"/>
    <n v="26"/>
    <n v="6"/>
    <n v="0"/>
    <n v="0"/>
    <n v="0"/>
    <n v="0"/>
    <n v="0"/>
    <n v="4"/>
    <n v="29"/>
    <n v="2024"/>
    <x v="6"/>
    <x v="0"/>
    <x v="2"/>
  </r>
  <r>
    <x v="1"/>
    <x v="170"/>
    <x v="1"/>
    <x v="27"/>
    <n v="162"/>
    <n v="53"/>
    <n v="15"/>
    <n v="3"/>
    <n v="35345"/>
    <n v="9"/>
    <n v="25215"/>
    <n v="5"/>
    <n v="36"/>
    <n v="157"/>
    <n v="2024"/>
    <x v="6"/>
    <x v="0"/>
    <x v="2"/>
  </r>
  <r>
    <x v="1"/>
    <x v="170"/>
    <x v="1"/>
    <x v="29"/>
    <n v="1127"/>
    <n v="867"/>
    <n v="66"/>
    <n v="17"/>
    <n v="39410"/>
    <n v="6"/>
    <n v="7080"/>
    <n v="3"/>
    <n v="306"/>
    <n v="1014"/>
    <n v="2024"/>
    <x v="6"/>
    <x v="0"/>
    <x v="2"/>
  </r>
  <r>
    <x v="1"/>
    <x v="170"/>
    <x v="1"/>
    <x v="30"/>
    <n v="6634"/>
    <n v="4450"/>
    <n v="164"/>
    <n v="64"/>
    <n v="62218"/>
    <n v="9"/>
    <n v="21930"/>
    <n v="4"/>
    <n v="1629"/>
    <n v="5534"/>
    <n v="2024"/>
    <x v="6"/>
    <x v="0"/>
    <x v="2"/>
  </r>
  <r>
    <x v="1"/>
    <x v="170"/>
    <x v="1"/>
    <x v="31"/>
    <n v="185"/>
    <n v="119"/>
    <n v="5"/>
    <n v="2"/>
    <n v="14200"/>
    <n v="3"/>
    <n v="2500"/>
    <n v="1"/>
    <n v="29"/>
    <n v="180"/>
    <n v="2024"/>
    <x v="6"/>
    <x v="0"/>
    <x v="2"/>
  </r>
  <r>
    <x v="1"/>
    <x v="170"/>
    <x v="1"/>
    <x v="32"/>
    <n v="5"/>
    <n v="3"/>
    <n v="0"/>
    <n v="0"/>
    <n v="0"/>
    <n v="0"/>
    <n v="0"/>
    <n v="0"/>
    <n v="1"/>
    <n v="5"/>
    <n v="2024"/>
    <x v="6"/>
    <x v="0"/>
    <x v="2"/>
  </r>
  <r>
    <x v="1"/>
    <x v="170"/>
    <x v="1"/>
    <x v="34"/>
    <n v="423"/>
    <n v="187"/>
    <n v="22"/>
    <n v="8"/>
    <n v="8320"/>
    <n v="1"/>
    <n v="8320"/>
    <n v="1"/>
    <n v="102"/>
    <n v="390"/>
    <n v="2024"/>
    <x v="6"/>
    <x v="0"/>
    <x v="2"/>
  </r>
  <r>
    <x v="1"/>
    <x v="170"/>
    <x v="1"/>
    <x v="36"/>
    <n v="1"/>
    <n v="0"/>
    <n v="0"/>
    <n v="0"/>
    <n v="0"/>
    <n v="0"/>
    <n v="0"/>
    <n v="0"/>
    <n v="0"/>
    <n v="1"/>
    <n v="2024"/>
    <x v="6"/>
    <x v="0"/>
    <x v="2"/>
  </r>
  <r>
    <x v="1"/>
    <x v="170"/>
    <x v="1"/>
    <x v="37"/>
    <n v="416"/>
    <n v="223"/>
    <n v="12"/>
    <n v="0"/>
    <n v="16023"/>
    <n v="3"/>
    <n v="2298"/>
    <n v="1"/>
    <n v="47"/>
    <n v="408"/>
    <n v="2024"/>
    <x v="6"/>
    <x v="0"/>
    <x v="2"/>
  </r>
  <r>
    <x v="1"/>
    <x v="170"/>
    <x v="1"/>
    <x v="38"/>
    <n v="305"/>
    <n v="78"/>
    <n v="28"/>
    <n v="11"/>
    <n v="15845"/>
    <n v="3"/>
    <n v="8370"/>
    <n v="1"/>
    <n v="65"/>
    <n v="295"/>
    <n v="2024"/>
    <x v="6"/>
    <x v="0"/>
    <x v="2"/>
  </r>
  <r>
    <x v="1"/>
    <x v="170"/>
    <x v="1"/>
    <x v="60"/>
    <n v="1"/>
    <n v="0"/>
    <n v="0"/>
    <n v="0"/>
    <n v="0"/>
    <n v="0"/>
    <n v="0"/>
    <n v="0"/>
    <n v="0"/>
    <n v="1"/>
    <n v="2024"/>
    <x v="6"/>
    <x v="0"/>
    <x v="2"/>
  </r>
  <r>
    <x v="1"/>
    <x v="170"/>
    <x v="1"/>
    <x v="51"/>
    <n v="1"/>
    <n v="1"/>
    <n v="0"/>
    <n v="0"/>
    <n v="0"/>
    <n v="0"/>
    <n v="0"/>
    <n v="0"/>
    <n v="1"/>
    <n v="0"/>
    <n v="2024"/>
    <x v="6"/>
    <x v="0"/>
    <x v="2"/>
  </r>
  <r>
    <x v="1"/>
    <x v="170"/>
    <x v="1"/>
    <x v="39"/>
    <n v="1"/>
    <n v="1"/>
    <n v="0"/>
    <n v="0"/>
    <n v="0"/>
    <n v="0"/>
    <n v="0"/>
    <n v="0"/>
    <n v="0"/>
    <n v="1"/>
    <n v="2024"/>
    <x v="6"/>
    <x v="0"/>
    <x v="2"/>
  </r>
  <r>
    <x v="1"/>
    <x v="170"/>
    <x v="1"/>
    <x v="41"/>
    <n v="2"/>
    <n v="1"/>
    <n v="0"/>
    <n v="0"/>
    <n v="0"/>
    <n v="0"/>
    <n v="0"/>
    <n v="0"/>
    <n v="0"/>
    <n v="2"/>
    <n v="2024"/>
    <x v="6"/>
    <x v="0"/>
    <x v="2"/>
  </r>
  <r>
    <x v="1"/>
    <x v="170"/>
    <x v="1"/>
    <x v="42"/>
    <n v="171"/>
    <n v="65"/>
    <n v="7"/>
    <n v="4"/>
    <n v="0"/>
    <n v="0"/>
    <n v="0"/>
    <n v="0"/>
    <n v="17"/>
    <n v="164"/>
    <n v="2024"/>
    <x v="6"/>
    <x v="0"/>
    <x v="2"/>
  </r>
  <r>
    <x v="1"/>
    <x v="170"/>
    <x v="1"/>
    <x v="43"/>
    <n v="112"/>
    <n v="49"/>
    <n v="7"/>
    <n v="2"/>
    <n v="2500"/>
    <n v="1"/>
    <n v="2500"/>
    <n v="1"/>
    <n v="87"/>
    <n v="76"/>
    <n v="2024"/>
    <x v="6"/>
    <x v="0"/>
    <x v="2"/>
  </r>
  <r>
    <x v="1"/>
    <x v="170"/>
    <x v="1"/>
    <x v="44"/>
    <n v="11"/>
    <n v="1"/>
    <n v="1"/>
    <n v="0"/>
    <n v="0"/>
    <n v="0"/>
    <n v="0"/>
    <n v="0"/>
    <n v="0"/>
    <n v="11"/>
    <n v="2024"/>
    <x v="6"/>
    <x v="0"/>
    <x v="2"/>
  </r>
  <r>
    <x v="1"/>
    <x v="171"/>
    <x v="0"/>
    <x v="0"/>
    <n v="1013"/>
    <n v="219"/>
    <n v="7"/>
    <n v="0"/>
    <n v="21528"/>
    <n v="4"/>
    <n v="15538"/>
    <n v="3"/>
    <n v="18"/>
    <n v="1004"/>
    <n v="2024"/>
    <x v="6"/>
    <x v="0"/>
    <x v="2"/>
  </r>
  <r>
    <x v="1"/>
    <x v="171"/>
    <x v="0"/>
    <x v="1"/>
    <n v="12786"/>
    <n v="7944"/>
    <n v="378"/>
    <n v="139"/>
    <n v="323579.86"/>
    <n v="23"/>
    <n v="38224"/>
    <n v="8"/>
    <n v="795"/>
    <n v="12746"/>
    <n v="2024"/>
    <x v="6"/>
    <x v="0"/>
    <x v="2"/>
  </r>
  <r>
    <x v="1"/>
    <x v="171"/>
    <x v="0"/>
    <x v="2"/>
    <n v="684"/>
    <n v="526"/>
    <n v="35"/>
    <n v="6"/>
    <n v="477961"/>
    <n v="9"/>
    <n v="44521"/>
    <n v="8"/>
    <n v="684"/>
    <n v="399"/>
    <n v="2024"/>
    <x v="6"/>
    <x v="0"/>
    <x v="2"/>
  </r>
  <r>
    <x v="1"/>
    <x v="171"/>
    <x v="0"/>
    <x v="3"/>
    <n v="1428"/>
    <n v="1215"/>
    <n v="13"/>
    <n v="2"/>
    <n v="0"/>
    <n v="0"/>
    <n v="0"/>
    <n v="0"/>
    <n v="15"/>
    <n v="202"/>
    <n v="2024"/>
    <x v="6"/>
    <x v="0"/>
    <x v="2"/>
  </r>
  <r>
    <x v="1"/>
    <x v="171"/>
    <x v="1"/>
    <x v="5"/>
    <n v="9"/>
    <n v="6"/>
    <n v="0"/>
    <n v="0"/>
    <n v="0"/>
    <n v="0"/>
    <n v="0"/>
    <n v="0"/>
    <n v="1"/>
    <n v="9"/>
    <n v="2024"/>
    <x v="6"/>
    <x v="0"/>
    <x v="2"/>
  </r>
  <r>
    <x v="1"/>
    <x v="171"/>
    <x v="1"/>
    <x v="6"/>
    <n v="567"/>
    <n v="515"/>
    <n v="0"/>
    <n v="0"/>
    <n v="0"/>
    <n v="0"/>
    <n v="0"/>
    <n v="0"/>
    <n v="0"/>
    <n v="1"/>
    <n v="2024"/>
    <x v="6"/>
    <x v="0"/>
    <x v="2"/>
  </r>
  <r>
    <x v="1"/>
    <x v="171"/>
    <x v="1"/>
    <x v="7"/>
    <n v="665"/>
    <n v="174"/>
    <n v="76"/>
    <n v="3"/>
    <n v="259534.86"/>
    <n v="18"/>
    <n v="68726"/>
    <n v="13"/>
    <n v="167"/>
    <n v="645"/>
    <n v="2024"/>
    <x v="6"/>
    <x v="0"/>
    <x v="2"/>
  </r>
  <r>
    <x v="1"/>
    <x v="171"/>
    <x v="1"/>
    <x v="8"/>
    <n v="6"/>
    <n v="3"/>
    <n v="0"/>
    <n v="0"/>
    <n v="0"/>
    <n v="0"/>
    <n v="0"/>
    <n v="0"/>
    <n v="0"/>
    <n v="4"/>
    <n v="2024"/>
    <x v="6"/>
    <x v="0"/>
    <x v="2"/>
  </r>
  <r>
    <x v="1"/>
    <x v="171"/>
    <x v="1"/>
    <x v="9"/>
    <n v="5"/>
    <n v="0"/>
    <n v="0"/>
    <n v="0"/>
    <n v="0"/>
    <n v="0"/>
    <n v="0"/>
    <n v="0"/>
    <n v="0"/>
    <n v="5"/>
    <n v="2024"/>
    <x v="6"/>
    <x v="0"/>
    <x v="2"/>
  </r>
  <r>
    <x v="1"/>
    <x v="171"/>
    <x v="1"/>
    <x v="10"/>
    <n v="2"/>
    <n v="1"/>
    <n v="1"/>
    <n v="1"/>
    <n v="0"/>
    <n v="0"/>
    <n v="0"/>
    <n v="0"/>
    <n v="1"/>
    <n v="2"/>
    <n v="2024"/>
    <x v="6"/>
    <x v="0"/>
    <x v="2"/>
  </r>
  <r>
    <x v="1"/>
    <x v="171"/>
    <x v="1"/>
    <x v="11"/>
    <n v="2"/>
    <n v="1"/>
    <n v="0"/>
    <n v="0"/>
    <n v="0"/>
    <n v="0"/>
    <n v="0"/>
    <n v="0"/>
    <n v="1"/>
    <n v="1"/>
    <n v="2024"/>
    <x v="6"/>
    <x v="0"/>
    <x v="2"/>
  </r>
  <r>
    <x v="1"/>
    <x v="171"/>
    <x v="1"/>
    <x v="61"/>
    <n v="122"/>
    <n v="95"/>
    <n v="5"/>
    <n v="0"/>
    <n v="1917"/>
    <n v="1"/>
    <n v="1917"/>
    <n v="1"/>
    <n v="0"/>
    <n v="122"/>
    <n v="2024"/>
    <x v="6"/>
    <x v="0"/>
    <x v="2"/>
  </r>
  <r>
    <x v="1"/>
    <x v="171"/>
    <x v="1"/>
    <x v="59"/>
    <n v="1423"/>
    <n v="1114"/>
    <n v="15"/>
    <n v="5"/>
    <n v="23676"/>
    <n v="5"/>
    <n v="15096"/>
    <n v="4"/>
    <n v="83"/>
    <n v="439"/>
    <n v="2024"/>
    <x v="6"/>
    <x v="0"/>
    <x v="2"/>
  </r>
  <r>
    <x v="1"/>
    <x v="171"/>
    <x v="1"/>
    <x v="15"/>
    <n v="19"/>
    <n v="19"/>
    <n v="0"/>
    <n v="1"/>
    <n v="0"/>
    <n v="0"/>
    <n v="0"/>
    <n v="0"/>
    <n v="1"/>
    <n v="19"/>
    <n v="2024"/>
    <x v="6"/>
    <x v="0"/>
    <x v="2"/>
  </r>
  <r>
    <x v="1"/>
    <x v="171"/>
    <x v="1"/>
    <x v="17"/>
    <n v="5"/>
    <n v="5"/>
    <n v="0"/>
    <n v="0"/>
    <n v="0"/>
    <n v="0"/>
    <n v="0"/>
    <n v="0"/>
    <n v="1"/>
    <n v="4"/>
    <n v="2024"/>
    <x v="6"/>
    <x v="0"/>
    <x v="2"/>
  </r>
  <r>
    <x v="1"/>
    <x v="171"/>
    <x v="1"/>
    <x v="18"/>
    <n v="3"/>
    <n v="1"/>
    <n v="1"/>
    <n v="0"/>
    <n v="0"/>
    <n v="0"/>
    <n v="0"/>
    <n v="0"/>
    <n v="0"/>
    <n v="3"/>
    <n v="2024"/>
    <x v="6"/>
    <x v="0"/>
    <x v="2"/>
  </r>
  <r>
    <x v="1"/>
    <x v="171"/>
    <x v="1"/>
    <x v="19"/>
    <n v="978"/>
    <n v="556"/>
    <n v="78"/>
    <n v="14"/>
    <n v="325287"/>
    <n v="10"/>
    <n v="29042"/>
    <n v="7"/>
    <n v="459"/>
    <n v="805"/>
    <n v="2024"/>
    <x v="6"/>
    <x v="0"/>
    <x v="2"/>
  </r>
  <r>
    <x v="1"/>
    <x v="171"/>
    <x v="1"/>
    <x v="20"/>
    <n v="23"/>
    <n v="7"/>
    <n v="0"/>
    <n v="0"/>
    <n v="17500"/>
    <n v="1"/>
    <n v="0"/>
    <n v="0"/>
    <n v="1"/>
    <n v="23"/>
    <n v="2024"/>
    <x v="6"/>
    <x v="0"/>
    <x v="2"/>
  </r>
  <r>
    <x v="1"/>
    <x v="171"/>
    <x v="1"/>
    <x v="21"/>
    <n v="4"/>
    <n v="2"/>
    <n v="0"/>
    <n v="0"/>
    <n v="0"/>
    <n v="0"/>
    <n v="0"/>
    <n v="0"/>
    <n v="0"/>
    <n v="4"/>
    <n v="2024"/>
    <x v="6"/>
    <x v="0"/>
    <x v="2"/>
  </r>
  <r>
    <x v="1"/>
    <x v="171"/>
    <x v="1"/>
    <x v="22"/>
    <n v="5"/>
    <n v="0"/>
    <n v="0"/>
    <n v="0"/>
    <n v="0"/>
    <n v="0"/>
    <n v="0"/>
    <n v="0"/>
    <n v="0"/>
    <n v="5"/>
    <n v="2024"/>
    <x v="6"/>
    <x v="0"/>
    <x v="2"/>
  </r>
  <r>
    <x v="1"/>
    <x v="171"/>
    <x v="1"/>
    <x v="24"/>
    <n v="27"/>
    <n v="22"/>
    <n v="3"/>
    <n v="0"/>
    <n v="21398"/>
    <n v="2"/>
    <n v="21398"/>
    <n v="2"/>
    <n v="5"/>
    <n v="24"/>
    <n v="2024"/>
    <x v="6"/>
    <x v="0"/>
    <x v="2"/>
  </r>
  <r>
    <x v="1"/>
    <x v="171"/>
    <x v="1"/>
    <x v="27"/>
    <n v="149"/>
    <n v="64"/>
    <n v="15"/>
    <n v="5"/>
    <n v="20123"/>
    <n v="4"/>
    <n v="7448"/>
    <n v="2"/>
    <n v="44"/>
    <n v="139"/>
    <n v="2024"/>
    <x v="6"/>
    <x v="0"/>
    <x v="2"/>
  </r>
  <r>
    <x v="1"/>
    <x v="171"/>
    <x v="1"/>
    <x v="29"/>
    <n v="947"/>
    <n v="724"/>
    <n v="69"/>
    <n v="8"/>
    <n v="210419"/>
    <n v="6"/>
    <n v="18856"/>
    <n v="4"/>
    <n v="270"/>
    <n v="829"/>
    <n v="2024"/>
    <x v="6"/>
    <x v="0"/>
    <x v="2"/>
  </r>
  <r>
    <x v="1"/>
    <x v="171"/>
    <x v="1"/>
    <x v="30"/>
    <n v="5161"/>
    <n v="3341"/>
    <n v="133"/>
    <n v="48"/>
    <n v="71047"/>
    <n v="14"/>
    <n v="22954"/>
    <n v="8"/>
    <n v="1371"/>
    <n v="4043"/>
    <n v="2024"/>
    <x v="6"/>
    <x v="0"/>
    <x v="2"/>
  </r>
  <r>
    <x v="1"/>
    <x v="171"/>
    <x v="1"/>
    <x v="31"/>
    <n v="144"/>
    <n v="93"/>
    <n v="5"/>
    <n v="2"/>
    <n v="8750"/>
    <n v="1"/>
    <n v="0"/>
    <n v="0"/>
    <n v="23"/>
    <n v="138"/>
    <n v="2024"/>
    <x v="6"/>
    <x v="0"/>
    <x v="2"/>
  </r>
  <r>
    <x v="1"/>
    <x v="171"/>
    <x v="1"/>
    <x v="32"/>
    <n v="5"/>
    <n v="1"/>
    <n v="0"/>
    <n v="0"/>
    <n v="0"/>
    <n v="0"/>
    <n v="0"/>
    <n v="0"/>
    <n v="2"/>
    <n v="5"/>
    <n v="2024"/>
    <x v="6"/>
    <x v="0"/>
    <x v="2"/>
  </r>
  <r>
    <x v="1"/>
    <x v="171"/>
    <x v="1"/>
    <x v="34"/>
    <n v="399"/>
    <n v="178"/>
    <n v="29"/>
    <n v="2"/>
    <n v="18060"/>
    <n v="4"/>
    <n v="9480"/>
    <n v="3"/>
    <n v="99"/>
    <n v="374"/>
    <n v="2024"/>
    <x v="6"/>
    <x v="0"/>
    <x v="2"/>
  </r>
  <r>
    <x v="1"/>
    <x v="171"/>
    <x v="1"/>
    <x v="36"/>
    <n v="2"/>
    <n v="1"/>
    <n v="0"/>
    <n v="0"/>
    <n v="0"/>
    <n v="0"/>
    <n v="0"/>
    <n v="0"/>
    <n v="1"/>
    <n v="1"/>
    <n v="2024"/>
    <x v="6"/>
    <x v="0"/>
    <x v="2"/>
  </r>
  <r>
    <x v="1"/>
    <x v="171"/>
    <x v="1"/>
    <x v="37"/>
    <n v="338"/>
    <n v="184"/>
    <n v="14"/>
    <n v="0"/>
    <n v="7330"/>
    <n v="3"/>
    <n v="7330"/>
    <n v="3"/>
    <n v="55"/>
    <n v="335"/>
    <n v="2024"/>
    <x v="6"/>
    <x v="0"/>
    <x v="2"/>
  </r>
  <r>
    <x v="1"/>
    <x v="171"/>
    <x v="1"/>
    <x v="38"/>
    <n v="297"/>
    <n v="63"/>
    <n v="30"/>
    <n v="11"/>
    <n v="139299"/>
    <n v="7"/>
    <n v="16769"/>
    <n v="5"/>
    <n v="69"/>
    <n v="284"/>
    <n v="2024"/>
    <x v="6"/>
    <x v="0"/>
    <x v="2"/>
  </r>
  <r>
    <x v="1"/>
    <x v="171"/>
    <x v="1"/>
    <x v="60"/>
    <n v="7"/>
    <n v="5"/>
    <n v="0"/>
    <n v="0"/>
    <n v="0"/>
    <n v="0"/>
    <n v="0"/>
    <n v="0"/>
    <n v="1"/>
    <n v="7"/>
    <n v="2024"/>
    <x v="6"/>
    <x v="0"/>
    <x v="2"/>
  </r>
  <r>
    <x v="1"/>
    <x v="171"/>
    <x v="1"/>
    <x v="41"/>
    <n v="5"/>
    <n v="1"/>
    <n v="0"/>
    <n v="0"/>
    <n v="0"/>
    <n v="0"/>
    <n v="0"/>
    <n v="0"/>
    <n v="0"/>
    <n v="5"/>
    <n v="2024"/>
    <x v="6"/>
    <x v="0"/>
    <x v="2"/>
  </r>
  <r>
    <x v="1"/>
    <x v="171"/>
    <x v="1"/>
    <x v="42"/>
    <n v="169"/>
    <n v="89"/>
    <n v="8"/>
    <n v="4"/>
    <n v="8750"/>
    <n v="1"/>
    <n v="0"/>
    <n v="0"/>
    <n v="21"/>
    <n v="161"/>
    <n v="2024"/>
    <x v="6"/>
    <x v="0"/>
    <x v="2"/>
  </r>
  <r>
    <x v="1"/>
    <x v="171"/>
    <x v="1"/>
    <x v="43"/>
    <n v="135"/>
    <n v="67"/>
    <n v="7"/>
    <n v="3"/>
    <n v="0"/>
    <n v="0"/>
    <n v="0"/>
    <n v="0"/>
    <n v="108"/>
    <n v="83"/>
    <n v="2024"/>
    <x v="6"/>
    <x v="0"/>
    <x v="2"/>
  </r>
  <r>
    <x v="1"/>
    <x v="171"/>
    <x v="1"/>
    <x v="44"/>
    <n v="14"/>
    <n v="3"/>
    <n v="0"/>
    <n v="0"/>
    <n v="0"/>
    <n v="0"/>
    <n v="0"/>
    <n v="0"/>
    <n v="0"/>
    <n v="14"/>
    <n v="2024"/>
    <x v="6"/>
    <x v="0"/>
    <x v="2"/>
  </r>
  <r>
    <x v="1"/>
    <x v="172"/>
    <x v="0"/>
    <x v="0"/>
    <n v="1088"/>
    <n v="157"/>
    <n v="4"/>
    <n v="1"/>
    <n v="7457"/>
    <n v="2"/>
    <n v="7457"/>
    <n v="2"/>
    <n v="17"/>
    <n v="1081"/>
    <n v="2024"/>
    <x v="6"/>
    <x v="0"/>
    <x v="2"/>
  </r>
  <r>
    <x v="1"/>
    <x v="172"/>
    <x v="0"/>
    <x v="1"/>
    <n v="13410"/>
    <n v="8626"/>
    <n v="322"/>
    <n v="161"/>
    <n v="205499"/>
    <n v="30"/>
    <n v="53058"/>
    <n v="14"/>
    <n v="915"/>
    <n v="13376"/>
    <n v="2024"/>
    <x v="6"/>
    <x v="0"/>
    <x v="2"/>
  </r>
  <r>
    <x v="1"/>
    <x v="172"/>
    <x v="0"/>
    <x v="2"/>
    <n v="684"/>
    <n v="530"/>
    <n v="36"/>
    <n v="6"/>
    <n v="34492"/>
    <n v="4"/>
    <n v="34492"/>
    <n v="4"/>
    <n v="684"/>
    <n v="381"/>
    <n v="2024"/>
    <x v="6"/>
    <x v="0"/>
    <x v="2"/>
  </r>
  <r>
    <x v="1"/>
    <x v="172"/>
    <x v="0"/>
    <x v="3"/>
    <n v="109"/>
    <n v="77"/>
    <n v="1"/>
    <n v="0"/>
    <n v="0"/>
    <n v="0"/>
    <n v="0"/>
    <n v="0"/>
    <n v="2"/>
    <n v="90"/>
    <n v="2024"/>
    <x v="6"/>
    <x v="0"/>
    <x v="2"/>
  </r>
  <r>
    <x v="1"/>
    <x v="172"/>
    <x v="1"/>
    <x v="5"/>
    <n v="7"/>
    <n v="5"/>
    <n v="0"/>
    <n v="0"/>
    <n v="0"/>
    <n v="0"/>
    <n v="0"/>
    <n v="0"/>
    <n v="0"/>
    <n v="7"/>
    <n v="2024"/>
    <x v="6"/>
    <x v="0"/>
    <x v="2"/>
  </r>
  <r>
    <x v="1"/>
    <x v="172"/>
    <x v="1"/>
    <x v="6"/>
    <n v="1"/>
    <n v="1"/>
    <n v="0"/>
    <n v="0"/>
    <n v="0"/>
    <n v="0"/>
    <n v="0"/>
    <n v="0"/>
    <n v="0"/>
    <n v="0"/>
    <n v="2024"/>
    <x v="6"/>
    <x v="0"/>
    <x v="2"/>
  </r>
  <r>
    <x v="1"/>
    <x v="172"/>
    <x v="1"/>
    <x v="7"/>
    <n v="536"/>
    <n v="80"/>
    <n v="61"/>
    <n v="2"/>
    <n v="104711"/>
    <n v="24"/>
    <n v="51036"/>
    <n v="15"/>
    <n v="131"/>
    <n v="523"/>
    <n v="2024"/>
    <x v="6"/>
    <x v="0"/>
    <x v="2"/>
  </r>
  <r>
    <x v="1"/>
    <x v="172"/>
    <x v="1"/>
    <x v="8"/>
    <n v="1"/>
    <n v="0"/>
    <n v="0"/>
    <n v="0"/>
    <n v="0"/>
    <n v="0"/>
    <n v="0"/>
    <n v="0"/>
    <n v="0"/>
    <n v="1"/>
    <n v="2024"/>
    <x v="6"/>
    <x v="0"/>
    <x v="2"/>
  </r>
  <r>
    <x v="1"/>
    <x v="172"/>
    <x v="1"/>
    <x v="9"/>
    <n v="2"/>
    <n v="0"/>
    <n v="0"/>
    <n v="0"/>
    <n v="0"/>
    <n v="0"/>
    <n v="0"/>
    <n v="0"/>
    <n v="0"/>
    <n v="2"/>
    <n v="2024"/>
    <x v="6"/>
    <x v="0"/>
    <x v="2"/>
  </r>
  <r>
    <x v="1"/>
    <x v="172"/>
    <x v="1"/>
    <x v="10"/>
    <n v="8"/>
    <n v="5"/>
    <n v="0"/>
    <n v="0"/>
    <n v="0"/>
    <n v="0"/>
    <n v="0"/>
    <n v="0"/>
    <n v="2"/>
    <n v="7"/>
    <n v="2024"/>
    <x v="6"/>
    <x v="0"/>
    <x v="2"/>
  </r>
  <r>
    <x v="1"/>
    <x v="172"/>
    <x v="1"/>
    <x v="61"/>
    <n v="171"/>
    <n v="119"/>
    <n v="5"/>
    <n v="0"/>
    <n v="0"/>
    <n v="0"/>
    <n v="0"/>
    <n v="0"/>
    <n v="0"/>
    <n v="171"/>
    <n v="2024"/>
    <x v="6"/>
    <x v="0"/>
    <x v="2"/>
  </r>
  <r>
    <x v="1"/>
    <x v="172"/>
    <x v="1"/>
    <x v="59"/>
    <n v="371"/>
    <n v="166"/>
    <n v="6"/>
    <n v="7"/>
    <n v="3195"/>
    <n v="1"/>
    <n v="0"/>
    <n v="0"/>
    <n v="56"/>
    <n v="342"/>
    <n v="2024"/>
    <x v="6"/>
    <x v="0"/>
    <x v="2"/>
  </r>
  <r>
    <x v="1"/>
    <x v="172"/>
    <x v="1"/>
    <x v="15"/>
    <n v="15"/>
    <n v="15"/>
    <n v="0"/>
    <n v="0"/>
    <n v="0"/>
    <n v="0"/>
    <n v="0"/>
    <n v="0"/>
    <n v="0"/>
    <n v="15"/>
    <n v="2024"/>
    <x v="6"/>
    <x v="0"/>
    <x v="2"/>
  </r>
  <r>
    <x v="1"/>
    <x v="172"/>
    <x v="1"/>
    <x v="17"/>
    <n v="1"/>
    <n v="1"/>
    <n v="0"/>
    <n v="0"/>
    <n v="0"/>
    <n v="0"/>
    <n v="0"/>
    <n v="0"/>
    <n v="0"/>
    <n v="1"/>
    <n v="2024"/>
    <x v="6"/>
    <x v="0"/>
    <x v="2"/>
  </r>
  <r>
    <x v="1"/>
    <x v="172"/>
    <x v="1"/>
    <x v="18"/>
    <n v="6"/>
    <n v="4"/>
    <n v="0"/>
    <n v="0"/>
    <n v="0"/>
    <n v="0"/>
    <n v="0"/>
    <n v="0"/>
    <n v="0"/>
    <n v="6"/>
    <n v="2024"/>
    <x v="6"/>
    <x v="0"/>
    <x v="2"/>
  </r>
  <r>
    <x v="1"/>
    <x v="172"/>
    <x v="1"/>
    <x v="19"/>
    <n v="905"/>
    <n v="534"/>
    <n v="61"/>
    <n v="20"/>
    <n v="79971"/>
    <n v="10"/>
    <n v="55646"/>
    <n v="7"/>
    <n v="413"/>
    <n v="776"/>
    <n v="2024"/>
    <x v="6"/>
    <x v="0"/>
    <x v="2"/>
  </r>
  <r>
    <x v="1"/>
    <x v="172"/>
    <x v="1"/>
    <x v="20"/>
    <n v="103"/>
    <n v="69"/>
    <n v="1"/>
    <n v="1"/>
    <n v="0"/>
    <n v="0"/>
    <n v="0"/>
    <n v="0"/>
    <n v="7"/>
    <n v="102"/>
    <n v="2024"/>
    <x v="6"/>
    <x v="0"/>
    <x v="2"/>
  </r>
  <r>
    <x v="1"/>
    <x v="172"/>
    <x v="1"/>
    <x v="21"/>
    <n v="5"/>
    <n v="3"/>
    <n v="0"/>
    <n v="0"/>
    <n v="0"/>
    <n v="0"/>
    <n v="0"/>
    <n v="0"/>
    <n v="1"/>
    <n v="5"/>
    <n v="2024"/>
    <x v="6"/>
    <x v="0"/>
    <x v="2"/>
  </r>
  <r>
    <x v="1"/>
    <x v="172"/>
    <x v="1"/>
    <x v="22"/>
    <n v="5"/>
    <n v="2"/>
    <n v="0"/>
    <n v="0"/>
    <n v="0"/>
    <n v="0"/>
    <n v="0"/>
    <n v="0"/>
    <n v="0"/>
    <n v="5"/>
    <n v="2024"/>
    <x v="6"/>
    <x v="0"/>
    <x v="2"/>
  </r>
  <r>
    <x v="1"/>
    <x v="172"/>
    <x v="1"/>
    <x v="24"/>
    <n v="25"/>
    <n v="17"/>
    <n v="1"/>
    <n v="0"/>
    <n v="3195"/>
    <n v="1"/>
    <n v="0"/>
    <n v="0"/>
    <n v="9"/>
    <n v="21"/>
    <n v="2024"/>
    <x v="6"/>
    <x v="0"/>
    <x v="2"/>
  </r>
  <r>
    <x v="1"/>
    <x v="172"/>
    <x v="1"/>
    <x v="27"/>
    <n v="290"/>
    <n v="94"/>
    <n v="23"/>
    <n v="5"/>
    <n v="87150"/>
    <n v="6"/>
    <n v="68050"/>
    <n v="4"/>
    <n v="53"/>
    <n v="278"/>
    <n v="2024"/>
    <x v="6"/>
    <x v="0"/>
    <x v="2"/>
  </r>
  <r>
    <x v="1"/>
    <x v="172"/>
    <x v="1"/>
    <x v="29"/>
    <n v="810"/>
    <n v="600"/>
    <n v="35"/>
    <n v="12"/>
    <n v="30150"/>
    <n v="6"/>
    <n v="6750"/>
    <n v="3"/>
    <n v="237"/>
    <n v="707"/>
    <n v="2024"/>
    <x v="6"/>
    <x v="0"/>
    <x v="2"/>
  </r>
  <r>
    <x v="1"/>
    <x v="172"/>
    <x v="1"/>
    <x v="30"/>
    <n v="3426"/>
    <n v="2125"/>
    <n v="76"/>
    <n v="28"/>
    <n v="29199.99"/>
    <n v="8"/>
    <n v="12509.99"/>
    <n v="5"/>
    <n v="1102"/>
    <n v="2479"/>
    <n v="2024"/>
    <x v="6"/>
    <x v="0"/>
    <x v="2"/>
  </r>
  <r>
    <x v="1"/>
    <x v="172"/>
    <x v="1"/>
    <x v="31"/>
    <n v="130"/>
    <n v="95"/>
    <n v="5"/>
    <n v="2"/>
    <n v="0"/>
    <n v="0"/>
    <n v="0"/>
    <n v="0"/>
    <n v="21"/>
    <n v="128"/>
    <n v="2024"/>
    <x v="6"/>
    <x v="0"/>
    <x v="2"/>
  </r>
  <r>
    <x v="1"/>
    <x v="172"/>
    <x v="1"/>
    <x v="32"/>
    <n v="10"/>
    <n v="6"/>
    <n v="1"/>
    <n v="1"/>
    <n v="0"/>
    <n v="0"/>
    <n v="0"/>
    <n v="0"/>
    <n v="3"/>
    <n v="10"/>
    <n v="2024"/>
    <x v="6"/>
    <x v="0"/>
    <x v="2"/>
  </r>
  <r>
    <x v="1"/>
    <x v="172"/>
    <x v="1"/>
    <x v="34"/>
    <n v="376"/>
    <n v="166"/>
    <n v="19"/>
    <n v="8"/>
    <n v="0"/>
    <n v="0"/>
    <n v="0"/>
    <n v="0"/>
    <n v="85"/>
    <n v="347"/>
    <n v="2024"/>
    <x v="6"/>
    <x v="0"/>
    <x v="2"/>
  </r>
  <r>
    <x v="1"/>
    <x v="172"/>
    <x v="1"/>
    <x v="35"/>
    <n v="1"/>
    <n v="1"/>
    <n v="0"/>
    <n v="0"/>
    <n v="0"/>
    <n v="0"/>
    <n v="0"/>
    <n v="0"/>
    <n v="0"/>
    <n v="0"/>
    <n v="2024"/>
    <x v="6"/>
    <x v="0"/>
    <x v="2"/>
  </r>
  <r>
    <x v="1"/>
    <x v="172"/>
    <x v="1"/>
    <x v="36"/>
    <n v="1"/>
    <n v="1"/>
    <n v="0"/>
    <n v="0"/>
    <n v="0"/>
    <n v="0"/>
    <n v="0"/>
    <n v="0"/>
    <n v="0"/>
    <n v="1"/>
    <n v="2024"/>
    <x v="6"/>
    <x v="0"/>
    <x v="2"/>
  </r>
  <r>
    <x v="1"/>
    <x v="172"/>
    <x v="1"/>
    <x v="37"/>
    <n v="327"/>
    <n v="186"/>
    <n v="7"/>
    <n v="0"/>
    <n v="0"/>
    <n v="0"/>
    <n v="0"/>
    <n v="0"/>
    <n v="38"/>
    <n v="323"/>
    <n v="2024"/>
    <x v="6"/>
    <x v="0"/>
    <x v="2"/>
  </r>
  <r>
    <x v="1"/>
    <x v="172"/>
    <x v="1"/>
    <x v="38"/>
    <n v="271"/>
    <n v="66"/>
    <n v="25"/>
    <n v="9"/>
    <n v="56038"/>
    <n v="8"/>
    <n v="46145"/>
    <n v="5"/>
    <n v="59"/>
    <n v="262"/>
    <n v="2024"/>
    <x v="6"/>
    <x v="0"/>
    <x v="2"/>
  </r>
  <r>
    <x v="1"/>
    <x v="172"/>
    <x v="1"/>
    <x v="41"/>
    <n v="6"/>
    <n v="1"/>
    <n v="1"/>
    <n v="0"/>
    <n v="0"/>
    <n v="0"/>
    <n v="0"/>
    <n v="0"/>
    <n v="1"/>
    <n v="5"/>
    <n v="2024"/>
    <x v="6"/>
    <x v="0"/>
    <x v="2"/>
  </r>
  <r>
    <x v="1"/>
    <x v="172"/>
    <x v="1"/>
    <x v="42"/>
    <n v="556"/>
    <n v="520"/>
    <n v="3"/>
    <n v="3"/>
    <n v="0"/>
    <n v="0"/>
    <n v="0"/>
    <n v="0"/>
    <n v="37"/>
    <n v="536"/>
    <n v="2024"/>
    <x v="6"/>
    <x v="0"/>
    <x v="2"/>
  </r>
  <r>
    <x v="1"/>
    <x v="172"/>
    <x v="1"/>
    <x v="43"/>
    <n v="120"/>
    <n v="56"/>
    <n v="5"/>
    <n v="2"/>
    <n v="0"/>
    <n v="0"/>
    <n v="0"/>
    <n v="0"/>
    <n v="103"/>
    <n v="69"/>
    <n v="2024"/>
    <x v="6"/>
    <x v="0"/>
    <x v="2"/>
  </r>
  <r>
    <x v="1"/>
    <x v="172"/>
    <x v="1"/>
    <x v="44"/>
    <n v="11"/>
    <n v="4"/>
    <n v="1"/>
    <n v="0"/>
    <n v="3500"/>
    <n v="1"/>
    <n v="1750"/>
    <n v="1"/>
    <n v="1"/>
    <n v="11"/>
    <n v="2024"/>
    <x v="6"/>
    <x v="0"/>
    <x v="2"/>
  </r>
  <r>
    <x v="1"/>
    <x v="173"/>
    <x v="0"/>
    <x v="0"/>
    <n v="1163"/>
    <n v="198"/>
    <n v="4"/>
    <n v="0"/>
    <n v="0"/>
    <n v="0"/>
    <n v="0"/>
    <n v="0"/>
    <n v="18"/>
    <n v="1148"/>
    <n v="2024"/>
    <x v="6"/>
    <x v="0"/>
    <x v="2"/>
  </r>
  <r>
    <x v="1"/>
    <x v="173"/>
    <x v="0"/>
    <x v="1"/>
    <n v="15999"/>
    <n v="9554"/>
    <n v="320"/>
    <n v="177"/>
    <n v="145216"/>
    <n v="21"/>
    <n v="57824"/>
    <n v="13"/>
    <n v="983"/>
    <n v="15968"/>
    <n v="2024"/>
    <x v="6"/>
    <x v="0"/>
    <x v="2"/>
  </r>
  <r>
    <x v="1"/>
    <x v="173"/>
    <x v="0"/>
    <x v="2"/>
    <n v="1673"/>
    <n v="1360"/>
    <n v="21"/>
    <n v="6"/>
    <n v="30335"/>
    <n v="5"/>
    <n v="10490"/>
    <n v="2"/>
    <n v="1673"/>
    <n v="601"/>
    <n v="2024"/>
    <x v="6"/>
    <x v="0"/>
    <x v="2"/>
  </r>
  <r>
    <x v="1"/>
    <x v="173"/>
    <x v="0"/>
    <x v="3"/>
    <n v="1704"/>
    <n v="1521"/>
    <n v="8"/>
    <n v="4"/>
    <n v="0"/>
    <n v="0"/>
    <n v="0"/>
    <n v="0"/>
    <n v="14"/>
    <n v="581"/>
    <n v="2024"/>
    <x v="6"/>
    <x v="0"/>
    <x v="2"/>
  </r>
  <r>
    <x v="1"/>
    <x v="173"/>
    <x v="1"/>
    <x v="5"/>
    <n v="3"/>
    <n v="2"/>
    <n v="0"/>
    <n v="0"/>
    <n v="0"/>
    <n v="0"/>
    <n v="0"/>
    <n v="0"/>
    <n v="0"/>
    <n v="3"/>
    <n v="2024"/>
    <x v="6"/>
    <x v="0"/>
    <x v="2"/>
  </r>
  <r>
    <x v="1"/>
    <x v="173"/>
    <x v="1"/>
    <x v="6"/>
    <n v="399"/>
    <n v="371"/>
    <n v="0"/>
    <n v="0"/>
    <n v="0"/>
    <n v="0"/>
    <n v="0"/>
    <n v="0"/>
    <n v="0"/>
    <n v="0"/>
    <n v="2024"/>
    <x v="6"/>
    <x v="0"/>
    <x v="2"/>
  </r>
  <r>
    <x v="1"/>
    <x v="173"/>
    <x v="1"/>
    <x v="7"/>
    <n v="538"/>
    <n v="97"/>
    <n v="51"/>
    <n v="5"/>
    <n v="128421"/>
    <n v="29"/>
    <n v="100036"/>
    <n v="23"/>
    <n v="126"/>
    <n v="527"/>
    <n v="2024"/>
    <x v="6"/>
    <x v="0"/>
    <x v="2"/>
  </r>
  <r>
    <x v="1"/>
    <x v="173"/>
    <x v="1"/>
    <x v="8"/>
    <n v="2"/>
    <n v="1"/>
    <n v="0"/>
    <n v="0"/>
    <n v="0"/>
    <n v="0"/>
    <n v="0"/>
    <n v="0"/>
    <n v="0"/>
    <n v="1"/>
    <n v="2024"/>
    <x v="6"/>
    <x v="0"/>
    <x v="2"/>
  </r>
  <r>
    <x v="1"/>
    <x v="173"/>
    <x v="1"/>
    <x v="9"/>
    <n v="3"/>
    <n v="2"/>
    <n v="0"/>
    <n v="0"/>
    <n v="0"/>
    <n v="0"/>
    <n v="0"/>
    <n v="0"/>
    <n v="0"/>
    <n v="3"/>
    <n v="2024"/>
    <x v="6"/>
    <x v="0"/>
    <x v="2"/>
  </r>
  <r>
    <x v="1"/>
    <x v="173"/>
    <x v="1"/>
    <x v="10"/>
    <n v="17"/>
    <n v="13"/>
    <n v="0"/>
    <n v="2"/>
    <n v="0"/>
    <n v="0"/>
    <n v="0"/>
    <n v="0"/>
    <n v="3"/>
    <n v="15"/>
    <n v="2024"/>
    <x v="6"/>
    <x v="0"/>
    <x v="2"/>
  </r>
  <r>
    <x v="1"/>
    <x v="173"/>
    <x v="1"/>
    <x v="11"/>
    <n v="1"/>
    <n v="1"/>
    <n v="0"/>
    <n v="0"/>
    <n v="0"/>
    <n v="0"/>
    <n v="0"/>
    <n v="0"/>
    <n v="0"/>
    <n v="1"/>
    <n v="2024"/>
    <x v="6"/>
    <x v="0"/>
    <x v="2"/>
  </r>
  <r>
    <x v="1"/>
    <x v="173"/>
    <x v="1"/>
    <x v="61"/>
    <n v="88"/>
    <n v="58"/>
    <n v="1"/>
    <n v="1"/>
    <n v="1990"/>
    <n v="1"/>
    <n v="0"/>
    <n v="0"/>
    <n v="0"/>
    <n v="88"/>
    <n v="2024"/>
    <x v="6"/>
    <x v="0"/>
    <x v="2"/>
  </r>
  <r>
    <x v="1"/>
    <x v="173"/>
    <x v="1"/>
    <x v="59"/>
    <n v="1148"/>
    <n v="841"/>
    <n v="26"/>
    <n v="8"/>
    <n v="20814"/>
    <n v="7"/>
    <n v="18834"/>
    <n v="6"/>
    <n v="81"/>
    <n v="364"/>
    <n v="2024"/>
    <x v="6"/>
    <x v="0"/>
    <x v="2"/>
  </r>
  <r>
    <x v="1"/>
    <x v="173"/>
    <x v="1"/>
    <x v="15"/>
    <n v="18"/>
    <n v="18"/>
    <n v="0"/>
    <n v="0"/>
    <n v="0"/>
    <n v="0"/>
    <n v="0"/>
    <n v="0"/>
    <n v="0"/>
    <n v="18"/>
    <n v="2024"/>
    <x v="6"/>
    <x v="0"/>
    <x v="2"/>
  </r>
  <r>
    <x v="1"/>
    <x v="173"/>
    <x v="1"/>
    <x v="17"/>
    <n v="3"/>
    <n v="3"/>
    <n v="0"/>
    <n v="0"/>
    <n v="0"/>
    <n v="0"/>
    <n v="0"/>
    <n v="0"/>
    <n v="0"/>
    <n v="3"/>
    <n v="2024"/>
    <x v="6"/>
    <x v="0"/>
    <x v="2"/>
  </r>
  <r>
    <x v="1"/>
    <x v="173"/>
    <x v="1"/>
    <x v="18"/>
    <n v="4"/>
    <n v="2"/>
    <n v="0"/>
    <n v="0"/>
    <n v="0"/>
    <n v="0"/>
    <n v="0"/>
    <n v="0"/>
    <n v="1"/>
    <n v="3"/>
    <n v="2024"/>
    <x v="6"/>
    <x v="0"/>
    <x v="2"/>
  </r>
  <r>
    <x v="1"/>
    <x v="173"/>
    <x v="1"/>
    <x v="19"/>
    <n v="741"/>
    <n v="401"/>
    <n v="55"/>
    <n v="9"/>
    <n v="42210"/>
    <n v="13"/>
    <n v="36870"/>
    <n v="10"/>
    <n v="341"/>
    <n v="594"/>
    <n v="2024"/>
    <x v="6"/>
    <x v="0"/>
    <x v="2"/>
  </r>
  <r>
    <x v="1"/>
    <x v="173"/>
    <x v="1"/>
    <x v="20"/>
    <n v="85"/>
    <n v="61"/>
    <n v="1"/>
    <n v="2"/>
    <n v="0"/>
    <n v="0"/>
    <n v="0"/>
    <n v="0"/>
    <n v="3"/>
    <n v="85"/>
    <n v="2024"/>
    <x v="6"/>
    <x v="0"/>
    <x v="2"/>
  </r>
  <r>
    <x v="1"/>
    <x v="173"/>
    <x v="1"/>
    <x v="21"/>
    <n v="7"/>
    <n v="2"/>
    <n v="1"/>
    <n v="0"/>
    <n v="0"/>
    <n v="0"/>
    <n v="0"/>
    <n v="0"/>
    <n v="3"/>
    <n v="7"/>
    <n v="2024"/>
    <x v="6"/>
    <x v="0"/>
    <x v="2"/>
  </r>
  <r>
    <x v="1"/>
    <x v="173"/>
    <x v="1"/>
    <x v="22"/>
    <n v="5"/>
    <n v="2"/>
    <n v="0"/>
    <n v="0"/>
    <n v="0"/>
    <n v="0"/>
    <n v="0"/>
    <n v="0"/>
    <n v="0"/>
    <n v="3"/>
    <n v="2024"/>
    <x v="6"/>
    <x v="0"/>
    <x v="2"/>
  </r>
  <r>
    <x v="1"/>
    <x v="173"/>
    <x v="1"/>
    <x v="24"/>
    <n v="21"/>
    <n v="16"/>
    <n v="0"/>
    <n v="0"/>
    <n v="0"/>
    <n v="0"/>
    <n v="0"/>
    <n v="0"/>
    <n v="4"/>
    <n v="20"/>
    <n v="2024"/>
    <x v="6"/>
    <x v="0"/>
    <x v="2"/>
  </r>
  <r>
    <x v="1"/>
    <x v="173"/>
    <x v="1"/>
    <x v="27"/>
    <n v="113"/>
    <n v="49"/>
    <n v="18"/>
    <n v="5"/>
    <n v="55496"/>
    <n v="11"/>
    <n v="46066"/>
    <n v="10"/>
    <n v="37"/>
    <n v="108"/>
    <n v="2024"/>
    <x v="6"/>
    <x v="0"/>
    <x v="2"/>
  </r>
  <r>
    <x v="1"/>
    <x v="173"/>
    <x v="1"/>
    <x v="29"/>
    <n v="807"/>
    <n v="604"/>
    <n v="37"/>
    <n v="9"/>
    <n v="8605"/>
    <n v="4"/>
    <n v="6925"/>
    <n v="3"/>
    <n v="254"/>
    <n v="686"/>
    <n v="2024"/>
    <x v="6"/>
    <x v="0"/>
    <x v="2"/>
  </r>
  <r>
    <x v="1"/>
    <x v="173"/>
    <x v="1"/>
    <x v="30"/>
    <n v="2273"/>
    <n v="1249"/>
    <n v="59"/>
    <n v="16"/>
    <n v="42715"/>
    <n v="8"/>
    <n v="11672"/>
    <n v="4"/>
    <n v="296"/>
    <n v="1975"/>
    <n v="2024"/>
    <x v="6"/>
    <x v="0"/>
    <x v="2"/>
  </r>
  <r>
    <x v="1"/>
    <x v="173"/>
    <x v="1"/>
    <x v="31"/>
    <n v="148"/>
    <n v="110"/>
    <n v="9"/>
    <n v="1"/>
    <n v="350"/>
    <n v="1"/>
    <n v="350"/>
    <n v="1"/>
    <n v="33"/>
    <n v="141"/>
    <n v="2024"/>
    <x v="6"/>
    <x v="0"/>
    <x v="2"/>
  </r>
  <r>
    <x v="1"/>
    <x v="173"/>
    <x v="1"/>
    <x v="32"/>
    <n v="5"/>
    <n v="3"/>
    <n v="1"/>
    <n v="0"/>
    <n v="0"/>
    <n v="0"/>
    <n v="0"/>
    <n v="0"/>
    <n v="2"/>
    <n v="5"/>
    <n v="2024"/>
    <x v="6"/>
    <x v="0"/>
    <x v="2"/>
  </r>
  <r>
    <x v="1"/>
    <x v="173"/>
    <x v="1"/>
    <x v="34"/>
    <n v="345"/>
    <n v="147"/>
    <n v="24"/>
    <n v="7"/>
    <n v="27095"/>
    <n v="5"/>
    <n v="6270"/>
    <n v="3"/>
    <n v="91"/>
    <n v="311"/>
    <n v="2024"/>
    <x v="6"/>
    <x v="0"/>
    <x v="2"/>
  </r>
  <r>
    <x v="1"/>
    <x v="173"/>
    <x v="1"/>
    <x v="36"/>
    <n v="2"/>
    <n v="0"/>
    <n v="0"/>
    <n v="0"/>
    <n v="0"/>
    <n v="0"/>
    <n v="0"/>
    <n v="0"/>
    <n v="2"/>
    <n v="0"/>
    <n v="2024"/>
    <x v="6"/>
    <x v="0"/>
    <x v="2"/>
  </r>
  <r>
    <x v="1"/>
    <x v="173"/>
    <x v="1"/>
    <x v="37"/>
    <n v="364"/>
    <n v="223"/>
    <n v="11"/>
    <n v="0"/>
    <n v="8416"/>
    <n v="3"/>
    <n v="4436"/>
    <n v="2"/>
    <n v="51"/>
    <n v="362"/>
    <n v="2024"/>
    <x v="6"/>
    <x v="0"/>
    <x v="2"/>
  </r>
  <r>
    <x v="1"/>
    <x v="173"/>
    <x v="1"/>
    <x v="38"/>
    <n v="265"/>
    <n v="66"/>
    <n v="12"/>
    <n v="3"/>
    <n v="40633"/>
    <n v="8"/>
    <n v="35758"/>
    <n v="6"/>
    <n v="66"/>
    <n v="251"/>
    <n v="2024"/>
    <x v="6"/>
    <x v="0"/>
    <x v="2"/>
  </r>
  <r>
    <x v="1"/>
    <x v="173"/>
    <x v="1"/>
    <x v="60"/>
    <n v="3"/>
    <n v="2"/>
    <n v="0"/>
    <n v="0"/>
    <n v="0"/>
    <n v="0"/>
    <n v="0"/>
    <n v="0"/>
    <n v="0"/>
    <n v="3"/>
    <n v="2024"/>
    <x v="6"/>
    <x v="0"/>
    <x v="2"/>
  </r>
  <r>
    <x v="1"/>
    <x v="173"/>
    <x v="1"/>
    <x v="42"/>
    <n v="238"/>
    <n v="182"/>
    <n v="4"/>
    <n v="5"/>
    <n v="1680"/>
    <n v="1"/>
    <n v="0"/>
    <n v="0"/>
    <n v="29"/>
    <n v="225"/>
    <n v="2024"/>
    <x v="6"/>
    <x v="0"/>
    <x v="2"/>
  </r>
  <r>
    <x v="1"/>
    <x v="173"/>
    <x v="1"/>
    <x v="43"/>
    <n v="112"/>
    <n v="55"/>
    <n v="8"/>
    <n v="2"/>
    <n v="0"/>
    <n v="0"/>
    <n v="0"/>
    <n v="0"/>
    <n v="87"/>
    <n v="65"/>
    <n v="2024"/>
    <x v="6"/>
    <x v="0"/>
    <x v="2"/>
  </r>
  <r>
    <x v="1"/>
    <x v="173"/>
    <x v="1"/>
    <x v="44"/>
    <n v="12"/>
    <n v="1"/>
    <n v="0"/>
    <n v="0"/>
    <n v="7700"/>
    <n v="1"/>
    <n v="7700"/>
    <n v="1"/>
    <n v="0"/>
    <n v="12"/>
    <n v="2024"/>
    <x v="6"/>
    <x v="0"/>
    <x v="2"/>
  </r>
  <r>
    <x v="1"/>
    <x v="174"/>
    <x v="0"/>
    <x v="0"/>
    <n v="1218"/>
    <n v="276"/>
    <n v="4"/>
    <n v="1"/>
    <n v="0"/>
    <n v="0"/>
    <n v="0"/>
    <n v="0"/>
    <n v="21"/>
    <n v="1208"/>
    <n v="2024"/>
    <x v="6"/>
    <x v="0"/>
    <x v="2"/>
  </r>
  <r>
    <x v="1"/>
    <x v="174"/>
    <x v="0"/>
    <x v="1"/>
    <n v="16183"/>
    <n v="9940"/>
    <n v="328"/>
    <n v="192"/>
    <n v="184151"/>
    <n v="28"/>
    <n v="112861"/>
    <n v="19"/>
    <n v="1109"/>
    <n v="16152"/>
    <n v="2024"/>
    <x v="6"/>
    <x v="0"/>
    <x v="2"/>
  </r>
  <r>
    <x v="1"/>
    <x v="174"/>
    <x v="0"/>
    <x v="2"/>
    <n v="2758"/>
    <n v="2359"/>
    <n v="28"/>
    <n v="13"/>
    <n v="15982"/>
    <n v="5"/>
    <n v="14302"/>
    <n v="4"/>
    <n v="2758"/>
    <n v="854"/>
    <n v="2024"/>
    <x v="6"/>
    <x v="0"/>
    <x v="2"/>
  </r>
  <r>
    <x v="1"/>
    <x v="174"/>
    <x v="0"/>
    <x v="3"/>
    <n v="1302"/>
    <n v="1135"/>
    <n v="5"/>
    <n v="1"/>
    <n v="0"/>
    <n v="0"/>
    <n v="0"/>
    <n v="0"/>
    <n v="10"/>
    <n v="153"/>
    <n v="2024"/>
    <x v="6"/>
    <x v="0"/>
    <x v="2"/>
  </r>
  <r>
    <x v="1"/>
    <x v="174"/>
    <x v="1"/>
    <x v="5"/>
    <n v="9"/>
    <n v="4"/>
    <n v="0"/>
    <n v="0"/>
    <n v="0"/>
    <n v="0"/>
    <n v="0"/>
    <n v="0"/>
    <n v="0"/>
    <n v="9"/>
    <n v="2024"/>
    <x v="6"/>
    <x v="0"/>
    <x v="2"/>
  </r>
  <r>
    <x v="1"/>
    <x v="174"/>
    <x v="1"/>
    <x v="6"/>
    <n v="94"/>
    <n v="58"/>
    <n v="0"/>
    <n v="0"/>
    <n v="0"/>
    <n v="0"/>
    <n v="0"/>
    <n v="0"/>
    <n v="0"/>
    <n v="0"/>
    <n v="2024"/>
    <x v="6"/>
    <x v="0"/>
    <x v="2"/>
  </r>
  <r>
    <x v="1"/>
    <x v="174"/>
    <x v="1"/>
    <x v="7"/>
    <n v="549"/>
    <n v="138"/>
    <n v="64"/>
    <n v="4"/>
    <n v="151123"/>
    <n v="30"/>
    <n v="131030"/>
    <n v="25"/>
    <n v="152"/>
    <n v="535"/>
    <n v="2024"/>
    <x v="6"/>
    <x v="0"/>
    <x v="2"/>
  </r>
  <r>
    <x v="1"/>
    <x v="174"/>
    <x v="1"/>
    <x v="8"/>
    <n v="6"/>
    <n v="2"/>
    <n v="0"/>
    <n v="0"/>
    <n v="0"/>
    <n v="0"/>
    <n v="0"/>
    <n v="0"/>
    <n v="0"/>
    <n v="4"/>
    <n v="2024"/>
    <x v="6"/>
    <x v="0"/>
    <x v="2"/>
  </r>
  <r>
    <x v="1"/>
    <x v="174"/>
    <x v="1"/>
    <x v="9"/>
    <n v="2"/>
    <n v="1"/>
    <n v="0"/>
    <n v="0"/>
    <n v="0"/>
    <n v="0"/>
    <n v="0"/>
    <n v="0"/>
    <n v="0"/>
    <n v="2"/>
    <n v="2024"/>
    <x v="6"/>
    <x v="0"/>
    <x v="2"/>
  </r>
  <r>
    <x v="1"/>
    <x v="174"/>
    <x v="1"/>
    <x v="10"/>
    <n v="11"/>
    <n v="5"/>
    <n v="1"/>
    <n v="0"/>
    <n v="0"/>
    <n v="0"/>
    <n v="0"/>
    <n v="0"/>
    <n v="2"/>
    <n v="9"/>
    <n v="2024"/>
    <x v="6"/>
    <x v="0"/>
    <x v="2"/>
  </r>
  <r>
    <x v="1"/>
    <x v="174"/>
    <x v="1"/>
    <x v="11"/>
    <n v="1"/>
    <n v="1"/>
    <n v="0"/>
    <n v="0"/>
    <n v="0"/>
    <n v="0"/>
    <n v="0"/>
    <n v="0"/>
    <n v="1"/>
    <n v="0"/>
    <n v="2024"/>
    <x v="6"/>
    <x v="0"/>
    <x v="2"/>
  </r>
  <r>
    <x v="1"/>
    <x v="174"/>
    <x v="1"/>
    <x v="61"/>
    <n v="84"/>
    <n v="54"/>
    <n v="3"/>
    <n v="0"/>
    <n v="3947.13"/>
    <n v="2"/>
    <n v="1957.13"/>
    <n v="1"/>
    <n v="2"/>
    <n v="84"/>
    <n v="2024"/>
    <x v="6"/>
    <x v="0"/>
    <x v="2"/>
  </r>
  <r>
    <x v="1"/>
    <x v="174"/>
    <x v="1"/>
    <x v="59"/>
    <n v="1754"/>
    <n v="1462"/>
    <n v="14"/>
    <n v="5"/>
    <n v="15888"/>
    <n v="5"/>
    <n v="14208"/>
    <n v="4"/>
    <n v="85"/>
    <n v="371"/>
    <n v="2024"/>
    <x v="6"/>
    <x v="0"/>
    <x v="2"/>
  </r>
  <r>
    <x v="1"/>
    <x v="174"/>
    <x v="1"/>
    <x v="15"/>
    <n v="17"/>
    <n v="16"/>
    <n v="0"/>
    <n v="0"/>
    <n v="0"/>
    <n v="0"/>
    <n v="0"/>
    <n v="0"/>
    <n v="0"/>
    <n v="17"/>
    <n v="2024"/>
    <x v="6"/>
    <x v="0"/>
    <x v="2"/>
  </r>
  <r>
    <x v="1"/>
    <x v="174"/>
    <x v="1"/>
    <x v="17"/>
    <n v="2"/>
    <n v="2"/>
    <n v="0"/>
    <n v="0"/>
    <n v="0"/>
    <n v="0"/>
    <n v="0"/>
    <n v="0"/>
    <n v="1"/>
    <n v="1"/>
    <n v="2024"/>
    <x v="6"/>
    <x v="0"/>
    <x v="2"/>
  </r>
  <r>
    <x v="1"/>
    <x v="174"/>
    <x v="1"/>
    <x v="18"/>
    <n v="7"/>
    <n v="5"/>
    <n v="2"/>
    <n v="0"/>
    <n v="3875"/>
    <n v="1"/>
    <n v="3875"/>
    <n v="1"/>
    <n v="0"/>
    <n v="7"/>
    <n v="2024"/>
    <x v="6"/>
    <x v="0"/>
    <x v="2"/>
  </r>
  <r>
    <x v="1"/>
    <x v="174"/>
    <x v="1"/>
    <x v="19"/>
    <n v="747"/>
    <n v="360"/>
    <n v="57"/>
    <n v="14"/>
    <n v="78474"/>
    <n v="12"/>
    <n v="51944"/>
    <n v="7"/>
    <n v="366"/>
    <n v="577"/>
    <n v="2024"/>
    <x v="6"/>
    <x v="0"/>
    <x v="2"/>
  </r>
  <r>
    <x v="1"/>
    <x v="174"/>
    <x v="1"/>
    <x v="20"/>
    <n v="72"/>
    <n v="45"/>
    <n v="4"/>
    <n v="1"/>
    <n v="0"/>
    <n v="0"/>
    <n v="0"/>
    <n v="0"/>
    <n v="7"/>
    <n v="70"/>
    <n v="2024"/>
    <x v="6"/>
    <x v="0"/>
    <x v="2"/>
  </r>
  <r>
    <x v="1"/>
    <x v="174"/>
    <x v="1"/>
    <x v="21"/>
    <n v="4"/>
    <n v="3"/>
    <n v="0"/>
    <n v="0"/>
    <n v="0"/>
    <n v="0"/>
    <n v="0"/>
    <n v="0"/>
    <n v="1"/>
    <n v="4"/>
    <n v="2024"/>
    <x v="6"/>
    <x v="0"/>
    <x v="2"/>
  </r>
  <r>
    <x v="1"/>
    <x v="174"/>
    <x v="1"/>
    <x v="22"/>
    <n v="5"/>
    <n v="0"/>
    <n v="0"/>
    <n v="0"/>
    <n v="0"/>
    <n v="0"/>
    <n v="0"/>
    <n v="0"/>
    <n v="0"/>
    <n v="3"/>
    <n v="2024"/>
    <x v="6"/>
    <x v="0"/>
    <x v="2"/>
  </r>
  <r>
    <x v="1"/>
    <x v="174"/>
    <x v="1"/>
    <x v="24"/>
    <n v="12"/>
    <n v="6"/>
    <n v="1"/>
    <n v="0"/>
    <n v="0"/>
    <n v="0"/>
    <n v="0"/>
    <n v="0"/>
    <n v="4"/>
    <n v="10"/>
    <n v="2024"/>
    <x v="6"/>
    <x v="0"/>
    <x v="2"/>
  </r>
  <r>
    <x v="1"/>
    <x v="174"/>
    <x v="1"/>
    <x v="27"/>
    <n v="126"/>
    <n v="45"/>
    <n v="18"/>
    <n v="5"/>
    <n v="48050"/>
    <n v="7"/>
    <n v="43820"/>
    <n v="5"/>
    <n v="38"/>
    <n v="121"/>
    <n v="2024"/>
    <x v="6"/>
    <x v="0"/>
    <x v="2"/>
  </r>
  <r>
    <x v="1"/>
    <x v="174"/>
    <x v="1"/>
    <x v="29"/>
    <n v="768"/>
    <n v="601"/>
    <n v="38"/>
    <n v="10"/>
    <n v="16852"/>
    <n v="3"/>
    <n v="12952"/>
    <n v="3"/>
    <n v="240"/>
    <n v="651"/>
    <n v="2024"/>
    <x v="6"/>
    <x v="0"/>
    <x v="2"/>
  </r>
  <r>
    <x v="1"/>
    <x v="174"/>
    <x v="1"/>
    <x v="30"/>
    <n v="1900"/>
    <n v="1056"/>
    <n v="40"/>
    <n v="7"/>
    <n v="39537"/>
    <n v="7"/>
    <n v="19775"/>
    <n v="4"/>
    <n v="180"/>
    <n v="1563"/>
    <n v="2024"/>
    <x v="6"/>
    <x v="0"/>
    <x v="2"/>
  </r>
  <r>
    <x v="1"/>
    <x v="174"/>
    <x v="1"/>
    <x v="31"/>
    <n v="132"/>
    <n v="88"/>
    <n v="8"/>
    <n v="1"/>
    <n v="0"/>
    <n v="0"/>
    <n v="0"/>
    <n v="0"/>
    <n v="19"/>
    <n v="129"/>
    <n v="2024"/>
    <x v="6"/>
    <x v="0"/>
    <x v="2"/>
  </r>
  <r>
    <x v="1"/>
    <x v="174"/>
    <x v="1"/>
    <x v="32"/>
    <n v="4"/>
    <n v="2"/>
    <n v="0"/>
    <n v="0"/>
    <n v="0"/>
    <n v="0"/>
    <n v="0"/>
    <n v="0"/>
    <n v="1"/>
    <n v="4"/>
    <n v="2024"/>
    <x v="6"/>
    <x v="0"/>
    <x v="2"/>
  </r>
  <r>
    <x v="1"/>
    <x v="174"/>
    <x v="1"/>
    <x v="34"/>
    <n v="370"/>
    <n v="151"/>
    <n v="27"/>
    <n v="9"/>
    <n v="10040"/>
    <n v="4"/>
    <n v="6160"/>
    <n v="3"/>
    <n v="91"/>
    <n v="337"/>
    <n v="2024"/>
    <x v="6"/>
    <x v="0"/>
    <x v="2"/>
  </r>
  <r>
    <x v="1"/>
    <x v="174"/>
    <x v="1"/>
    <x v="36"/>
    <n v="6"/>
    <n v="6"/>
    <n v="0"/>
    <n v="0"/>
    <n v="3980"/>
    <n v="1"/>
    <n v="3980"/>
    <n v="1"/>
    <n v="0"/>
    <n v="6"/>
    <n v="2024"/>
    <x v="6"/>
    <x v="0"/>
    <x v="2"/>
  </r>
  <r>
    <x v="1"/>
    <x v="174"/>
    <x v="1"/>
    <x v="37"/>
    <n v="357"/>
    <n v="228"/>
    <n v="14"/>
    <n v="0"/>
    <n v="12450"/>
    <n v="2"/>
    <n v="12450"/>
    <n v="2"/>
    <n v="68"/>
    <n v="344"/>
    <n v="2024"/>
    <x v="6"/>
    <x v="0"/>
    <x v="2"/>
  </r>
  <r>
    <x v="1"/>
    <x v="174"/>
    <x v="1"/>
    <x v="38"/>
    <n v="268"/>
    <n v="73"/>
    <n v="21"/>
    <n v="7"/>
    <n v="41322"/>
    <n v="7"/>
    <n v="37962"/>
    <n v="6"/>
    <n v="57"/>
    <n v="261"/>
    <n v="2024"/>
    <x v="6"/>
    <x v="0"/>
    <x v="2"/>
  </r>
  <r>
    <x v="1"/>
    <x v="174"/>
    <x v="1"/>
    <x v="60"/>
    <n v="2"/>
    <n v="1"/>
    <n v="0"/>
    <n v="0"/>
    <n v="0"/>
    <n v="0"/>
    <n v="0"/>
    <n v="0"/>
    <n v="0"/>
    <n v="2"/>
    <n v="2024"/>
    <x v="6"/>
    <x v="0"/>
    <x v="2"/>
  </r>
  <r>
    <x v="1"/>
    <x v="174"/>
    <x v="1"/>
    <x v="41"/>
    <n v="6"/>
    <n v="1"/>
    <n v="0"/>
    <n v="0"/>
    <n v="0"/>
    <n v="0"/>
    <n v="0"/>
    <n v="0"/>
    <n v="1"/>
    <n v="5"/>
    <n v="2024"/>
    <x v="6"/>
    <x v="0"/>
    <x v="2"/>
  </r>
  <r>
    <x v="1"/>
    <x v="174"/>
    <x v="1"/>
    <x v="42"/>
    <n v="224"/>
    <n v="175"/>
    <n v="3"/>
    <n v="2"/>
    <n v="0"/>
    <n v="0"/>
    <n v="0"/>
    <n v="0"/>
    <n v="24"/>
    <n v="211"/>
    <n v="2024"/>
    <x v="6"/>
    <x v="0"/>
    <x v="2"/>
  </r>
  <r>
    <x v="1"/>
    <x v="174"/>
    <x v="1"/>
    <x v="43"/>
    <n v="127"/>
    <n v="65"/>
    <n v="7"/>
    <n v="3"/>
    <n v="11100"/>
    <n v="1"/>
    <n v="11100"/>
    <n v="1"/>
    <n v="114"/>
    <n v="70"/>
    <n v="2024"/>
    <x v="6"/>
    <x v="0"/>
    <x v="2"/>
  </r>
  <r>
    <x v="1"/>
    <x v="174"/>
    <x v="1"/>
    <x v="44"/>
    <n v="10"/>
    <n v="1"/>
    <n v="0"/>
    <n v="0"/>
    <n v="2795"/>
    <n v="1"/>
    <n v="2795"/>
    <n v="1"/>
    <n v="1"/>
    <n v="10"/>
    <n v="2024"/>
    <x v="6"/>
    <x v="0"/>
    <x v="2"/>
  </r>
  <r>
    <x v="1"/>
    <x v="174"/>
    <x v="1"/>
    <x v="45"/>
    <n v="5"/>
    <n v="5"/>
    <n v="0"/>
    <n v="0"/>
    <n v="0"/>
    <n v="0"/>
    <n v="0"/>
    <n v="0"/>
    <n v="0"/>
    <n v="5"/>
    <n v="2024"/>
    <x v="6"/>
    <x v="0"/>
    <x v="2"/>
  </r>
  <r>
    <x v="1"/>
    <x v="175"/>
    <x v="0"/>
    <x v="0"/>
    <n v="1461"/>
    <n v="593"/>
    <n v="42"/>
    <n v="1"/>
    <n v="5951.83"/>
    <n v="2"/>
    <n v="5951.83"/>
    <n v="2"/>
    <n v="15"/>
    <n v="1451"/>
    <n v="2024"/>
    <x v="6"/>
    <x v="0"/>
    <x v="2"/>
  </r>
  <r>
    <x v="1"/>
    <x v="175"/>
    <x v="0"/>
    <x v="1"/>
    <n v="13510"/>
    <n v="8153"/>
    <n v="315"/>
    <n v="168"/>
    <n v="147579"/>
    <n v="31"/>
    <n v="102789"/>
    <n v="22"/>
    <n v="972"/>
    <n v="13483"/>
    <n v="2024"/>
    <x v="6"/>
    <x v="0"/>
    <x v="2"/>
  </r>
  <r>
    <x v="1"/>
    <x v="175"/>
    <x v="0"/>
    <x v="2"/>
    <n v="2561"/>
    <n v="2129"/>
    <n v="26"/>
    <n v="8"/>
    <n v="42300"/>
    <n v="7"/>
    <n v="42300"/>
    <n v="7"/>
    <n v="2559"/>
    <n v="808"/>
    <n v="2024"/>
    <x v="6"/>
    <x v="0"/>
    <x v="2"/>
  </r>
  <r>
    <x v="1"/>
    <x v="175"/>
    <x v="0"/>
    <x v="3"/>
    <n v="1688"/>
    <n v="1429"/>
    <n v="6"/>
    <n v="10"/>
    <n v="0"/>
    <n v="0"/>
    <n v="0"/>
    <n v="0"/>
    <n v="19"/>
    <n v="511"/>
    <n v="2024"/>
    <x v="6"/>
    <x v="0"/>
    <x v="2"/>
  </r>
  <r>
    <x v="1"/>
    <x v="175"/>
    <x v="1"/>
    <x v="5"/>
    <n v="11"/>
    <n v="6"/>
    <n v="2"/>
    <n v="0"/>
    <n v="0"/>
    <n v="0"/>
    <n v="0"/>
    <n v="0"/>
    <n v="0"/>
    <n v="11"/>
    <n v="2024"/>
    <x v="6"/>
    <x v="0"/>
    <x v="2"/>
  </r>
  <r>
    <x v="1"/>
    <x v="175"/>
    <x v="1"/>
    <x v="6"/>
    <n v="281"/>
    <n v="190"/>
    <n v="0"/>
    <n v="0"/>
    <n v="0"/>
    <n v="0"/>
    <n v="0"/>
    <n v="0"/>
    <n v="0"/>
    <n v="0"/>
    <n v="2024"/>
    <x v="6"/>
    <x v="0"/>
    <x v="2"/>
  </r>
  <r>
    <x v="1"/>
    <x v="175"/>
    <x v="1"/>
    <x v="7"/>
    <n v="566"/>
    <n v="132"/>
    <n v="65"/>
    <n v="7"/>
    <n v="183718.77"/>
    <n v="34"/>
    <n v="164683.76999999999"/>
    <n v="31"/>
    <n v="155"/>
    <n v="553"/>
    <n v="2024"/>
    <x v="6"/>
    <x v="0"/>
    <x v="2"/>
  </r>
  <r>
    <x v="1"/>
    <x v="175"/>
    <x v="1"/>
    <x v="8"/>
    <n v="3"/>
    <n v="1"/>
    <n v="0"/>
    <n v="0"/>
    <n v="0"/>
    <n v="0"/>
    <n v="0"/>
    <n v="0"/>
    <n v="0"/>
    <n v="2"/>
    <n v="2024"/>
    <x v="6"/>
    <x v="0"/>
    <x v="2"/>
  </r>
  <r>
    <x v="1"/>
    <x v="175"/>
    <x v="1"/>
    <x v="9"/>
    <n v="1"/>
    <n v="0"/>
    <n v="0"/>
    <n v="0"/>
    <n v="0"/>
    <n v="0"/>
    <n v="0"/>
    <n v="0"/>
    <n v="0"/>
    <n v="1"/>
    <n v="2024"/>
    <x v="6"/>
    <x v="0"/>
    <x v="2"/>
  </r>
  <r>
    <x v="1"/>
    <x v="175"/>
    <x v="1"/>
    <x v="10"/>
    <n v="24"/>
    <n v="15"/>
    <n v="2"/>
    <n v="2"/>
    <n v="3990"/>
    <n v="1"/>
    <n v="3990"/>
    <n v="1"/>
    <n v="2"/>
    <n v="21"/>
    <n v="2024"/>
    <x v="6"/>
    <x v="0"/>
    <x v="2"/>
  </r>
  <r>
    <x v="1"/>
    <x v="175"/>
    <x v="1"/>
    <x v="11"/>
    <n v="3"/>
    <n v="2"/>
    <n v="0"/>
    <n v="0"/>
    <n v="0"/>
    <n v="0"/>
    <n v="0"/>
    <n v="0"/>
    <n v="1"/>
    <n v="2"/>
    <n v="2024"/>
    <x v="6"/>
    <x v="0"/>
    <x v="2"/>
  </r>
  <r>
    <x v="1"/>
    <x v="175"/>
    <x v="1"/>
    <x v="61"/>
    <n v="20"/>
    <n v="18"/>
    <n v="0"/>
    <n v="0"/>
    <n v="0"/>
    <n v="0"/>
    <n v="0"/>
    <n v="0"/>
    <n v="0"/>
    <n v="20"/>
    <n v="2024"/>
    <x v="6"/>
    <x v="0"/>
    <x v="2"/>
  </r>
  <r>
    <x v="1"/>
    <x v="175"/>
    <x v="1"/>
    <x v="59"/>
    <n v="1300"/>
    <n v="1045"/>
    <n v="10"/>
    <n v="5"/>
    <n v="58048"/>
    <n v="6"/>
    <n v="58048"/>
    <n v="6"/>
    <n v="84"/>
    <n v="336"/>
    <n v="2024"/>
    <x v="6"/>
    <x v="0"/>
    <x v="2"/>
  </r>
  <r>
    <x v="1"/>
    <x v="175"/>
    <x v="1"/>
    <x v="15"/>
    <n v="23"/>
    <n v="21"/>
    <n v="0"/>
    <n v="0"/>
    <n v="0"/>
    <n v="0"/>
    <n v="0"/>
    <n v="0"/>
    <n v="0"/>
    <n v="23"/>
    <n v="2024"/>
    <x v="6"/>
    <x v="0"/>
    <x v="2"/>
  </r>
  <r>
    <x v="1"/>
    <x v="175"/>
    <x v="1"/>
    <x v="17"/>
    <n v="6"/>
    <n v="5"/>
    <n v="0"/>
    <n v="0"/>
    <n v="0"/>
    <n v="0"/>
    <n v="0"/>
    <n v="0"/>
    <n v="1"/>
    <n v="5"/>
    <n v="2024"/>
    <x v="6"/>
    <x v="0"/>
    <x v="2"/>
  </r>
  <r>
    <x v="1"/>
    <x v="175"/>
    <x v="1"/>
    <x v="18"/>
    <n v="5"/>
    <n v="4"/>
    <n v="2"/>
    <n v="0"/>
    <n v="0"/>
    <n v="0"/>
    <n v="0"/>
    <n v="0"/>
    <n v="0"/>
    <n v="5"/>
    <n v="2024"/>
    <x v="6"/>
    <x v="0"/>
    <x v="2"/>
  </r>
  <r>
    <x v="1"/>
    <x v="175"/>
    <x v="1"/>
    <x v="19"/>
    <n v="921"/>
    <n v="547"/>
    <n v="57"/>
    <n v="16"/>
    <n v="92833"/>
    <n v="17"/>
    <n v="87843"/>
    <n v="16"/>
    <n v="574"/>
    <n v="572"/>
    <n v="2024"/>
    <x v="6"/>
    <x v="0"/>
    <x v="2"/>
  </r>
  <r>
    <x v="1"/>
    <x v="175"/>
    <x v="1"/>
    <x v="20"/>
    <n v="37"/>
    <n v="26"/>
    <n v="0"/>
    <n v="0"/>
    <n v="0"/>
    <n v="0"/>
    <n v="0"/>
    <n v="0"/>
    <n v="4"/>
    <n v="35"/>
    <n v="2024"/>
    <x v="6"/>
    <x v="0"/>
    <x v="2"/>
  </r>
  <r>
    <x v="1"/>
    <x v="175"/>
    <x v="1"/>
    <x v="21"/>
    <n v="3"/>
    <n v="2"/>
    <n v="0"/>
    <n v="0"/>
    <n v="0"/>
    <n v="0"/>
    <n v="0"/>
    <n v="0"/>
    <n v="0"/>
    <n v="3"/>
    <n v="2024"/>
    <x v="6"/>
    <x v="0"/>
    <x v="2"/>
  </r>
  <r>
    <x v="1"/>
    <x v="175"/>
    <x v="1"/>
    <x v="22"/>
    <n v="2"/>
    <n v="2"/>
    <n v="0"/>
    <n v="0"/>
    <n v="0"/>
    <n v="0"/>
    <n v="0"/>
    <n v="0"/>
    <n v="0"/>
    <n v="2"/>
    <n v="2024"/>
    <x v="6"/>
    <x v="0"/>
    <x v="2"/>
  </r>
  <r>
    <x v="1"/>
    <x v="175"/>
    <x v="1"/>
    <x v="24"/>
    <n v="31"/>
    <n v="21"/>
    <n v="5"/>
    <n v="1"/>
    <n v="0"/>
    <n v="0"/>
    <n v="0"/>
    <n v="0"/>
    <n v="9"/>
    <n v="27"/>
    <n v="2024"/>
    <x v="6"/>
    <x v="0"/>
    <x v="2"/>
  </r>
  <r>
    <x v="1"/>
    <x v="175"/>
    <x v="1"/>
    <x v="27"/>
    <n v="137"/>
    <n v="56"/>
    <n v="21"/>
    <n v="4"/>
    <n v="22688"/>
    <n v="5"/>
    <n v="22688"/>
    <n v="5"/>
    <n v="50"/>
    <n v="126"/>
    <n v="2024"/>
    <x v="6"/>
    <x v="0"/>
    <x v="2"/>
  </r>
  <r>
    <x v="1"/>
    <x v="175"/>
    <x v="1"/>
    <x v="29"/>
    <n v="663"/>
    <n v="503"/>
    <n v="26"/>
    <n v="15"/>
    <n v="12025"/>
    <n v="5"/>
    <n v="5050"/>
    <n v="3"/>
    <n v="240"/>
    <n v="551"/>
    <n v="2024"/>
    <x v="6"/>
    <x v="0"/>
    <x v="2"/>
  </r>
  <r>
    <x v="1"/>
    <x v="175"/>
    <x v="1"/>
    <x v="30"/>
    <n v="1400"/>
    <n v="767"/>
    <n v="34"/>
    <n v="12"/>
    <n v="34795"/>
    <n v="4"/>
    <n v="15720"/>
    <n v="2"/>
    <n v="180"/>
    <n v="1189"/>
    <n v="2024"/>
    <x v="6"/>
    <x v="0"/>
    <x v="2"/>
  </r>
  <r>
    <x v="1"/>
    <x v="175"/>
    <x v="1"/>
    <x v="31"/>
    <n v="137"/>
    <n v="87"/>
    <n v="3"/>
    <n v="8"/>
    <n v="10905"/>
    <n v="1"/>
    <n v="10905"/>
    <n v="1"/>
    <n v="19"/>
    <n v="135"/>
    <n v="2024"/>
    <x v="6"/>
    <x v="0"/>
    <x v="2"/>
  </r>
  <r>
    <x v="1"/>
    <x v="175"/>
    <x v="1"/>
    <x v="32"/>
    <n v="11"/>
    <n v="5"/>
    <n v="1"/>
    <n v="0"/>
    <n v="5475"/>
    <n v="1"/>
    <n v="5475"/>
    <n v="1"/>
    <n v="3"/>
    <n v="11"/>
    <n v="2024"/>
    <x v="6"/>
    <x v="0"/>
    <x v="2"/>
  </r>
  <r>
    <x v="1"/>
    <x v="175"/>
    <x v="1"/>
    <x v="34"/>
    <n v="367"/>
    <n v="166"/>
    <n v="24"/>
    <n v="7"/>
    <n v="24175"/>
    <n v="4"/>
    <n v="24175"/>
    <n v="4"/>
    <n v="123"/>
    <n v="312"/>
    <n v="2024"/>
    <x v="6"/>
    <x v="0"/>
    <x v="2"/>
  </r>
  <r>
    <x v="1"/>
    <x v="175"/>
    <x v="1"/>
    <x v="36"/>
    <n v="5"/>
    <n v="5"/>
    <n v="0"/>
    <n v="0"/>
    <n v="0"/>
    <n v="0"/>
    <n v="0"/>
    <n v="0"/>
    <n v="3"/>
    <n v="2"/>
    <n v="2024"/>
    <x v="6"/>
    <x v="0"/>
    <x v="2"/>
  </r>
  <r>
    <x v="1"/>
    <x v="175"/>
    <x v="1"/>
    <x v="37"/>
    <n v="284"/>
    <n v="166"/>
    <n v="9"/>
    <n v="0"/>
    <n v="16760"/>
    <n v="4"/>
    <n v="16760"/>
    <n v="4"/>
    <n v="48"/>
    <n v="276"/>
    <n v="2024"/>
    <x v="6"/>
    <x v="0"/>
    <x v="2"/>
  </r>
  <r>
    <x v="1"/>
    <x v="175"/>
    <x v="1"/>
    <x v="38"/>
    <n v="279"/>
    <n v="75"/>
    <n v="30"/>
    <n v="7"/>
    <n v="54127"/>
    <n v="12"/>
    <n v="48467"/>
    <n v="11"/>
    <n v="70"/>
    <n v="271"/>
    <n v="2024"/>
    <x v="6"/>
    <x v="0"/>
    <x v="2"/>
  </r>
  <r>
    <x v="1"/>
    <x v="175"/>
    <x v="1"/>
    <x v="41"/>
    <n v="6"/>
    <n v="2"/>
    <n v="0"/>
    <n v="0"/>
    <n v="0"/>
    <n v="0"/>
    <n v="0"/>
    <n v="0"/>
    <n v="1"/>
    <n v="6"/>
    <n v="2024"/>
    <x v="6"/>
    <x v="0"/>
    <x v="2"/>
  </r>
  <r>
    <x v="1"/>
    <x v="175"/>
    <x v="1"/>
    <x v="42"/>
    <n v="61"/>
    <n v="44"/>
    <n v="0"/>
    <n v="2"/>
    <n v="0"/>
    <n v="0"/>
    <n v="0"/>
    <n v="0"/>
    <n v="6"/>
    <n v="53"/>
    <n v="2024"/>
    <x v="6"/>
    <x v="0"/>
    <x v="2"/>
  </r>
  <r>
    <x v="1"/>
    <x v="175"/>
    <x v="1"/>
    <x v="43"/>
    <n v="135"/>
    <n v="78"/>
    <n v="6"/>
    <n v="5"/>
    <n v="3990"/>
    <n v="1"/>
    <n v="3990"/>
    <n v="1"/>
    <n v="117"/>
    <n v="79"/>
    <n v="2024"/>
    <x v="6"/>
    <x v="0"/>
    <x v="2"/>
  </r>
  <r>
    <x v="1"/>
    <x v="175"/>
    <x v="1"/>
    <x v="44"/>
    <n v="10"/>
    <n v="1"/>
    <n v="0"/>
    <n v="0"/>
    <n v="0"/>
    <n v="0"/>
    <n v="0"/>
    <n v="0"/>
    <n v="1"/>
    <n v="10"/>
    <n v="2024"/>
    <x v="6"/>
    <x v="0"/>
    <x v="2"/>
  </r>
  <r>
    <x v="1"/>
    <x v="175"/>
    <x v="1"/>
    <x v="45"/>
    <n v="5"/>
    <n v="3"/>
    <n v="0"/>
    <n v="0"/>
    <n v="0"/>
    <n v="0"/>
    <n v="0"/>
    <n v="0"/>
    <n v="0"/>
    <n v="5"/>
    <n v="2024"/>
    <x v="6"/>
    <x v="0"/>
    <x v="2"/>
  </r>
  <r>
    <x v="1"/>
    <x v="176"/>
    <x v="0"/>
    <x v="0"/>
    <n v="1216"/>
    <n v="551"/>
    <n v="58"/>
    <n v="3"/>
    <n v="21170"/>
    <n v="4"/>
    <n v="6475"/>
    <n v="2"/>
    <n v="22"/>
    <n v="1204"/>
    <n v="2024"/>
    <x v="6"/>
    <x v="0"/>
    <x v="2"/>
  </r>
  <r>
    <x v="1"/>
    <x v="176"/>
    <x v="0"/>
    <x v="1"/>
    <n v="13502"/>
    <n v="8370"/>
    <n v="308"/>
    <n v="153"/>
    <n v="194866"/>
    <n v="41"/>
    <n v="114512"/>
    <n v="30"/>
    <n v="942"/>
    <n v="13465"/>
    <n v="2024"/>
    <x v="6"/>
    <x v="0"/>
    <x v="2"/>
  </r>
  <r>
    <x v="1"/>
    <x v="176"/>
    <x v="0"/>
    <x v="2"/>
    <n v="2834"/>
    <n v="2400"/>
    <n v="26"/>
    <n v="9"/>
    <n v="52088"/>
    <n v="7"/>
    <n v="34200"/>
    <n v="3"/>
    <n v="2834"/>
    <n v="865"/>
    <n v="2024"/>
    <x v="6"/>
    <x v="0"/>
    <x v="2"/>
  </r>
  <r>
    <x v="1"/>
    <x v="176"/>
    <x v="0"/>
    <x v="3"/>
    <n v="21"/>
    <n v="14"/>
    <n v="3"/>
    <n v="0"/>
    <n v="0"/>
    <n v="0"/>
    <n v="0"/>
    <n v="0"/>
    <n v="2"/>
    <n v="19"/>
    <n v="2024"/>
    <x v="6"/>
    <x v="0"/>
    <x v="2"/>
  </r>
  <r>
    <x v="1"/>
    <x v="176"/>
    <x v="1"/>
    <x v="5"/>
    <n v="9"/>
    <n v="6"/>
    <n v="0"/>
    <n v="0"/>
    <n v="0"/>
    <n v="0"/>
    <n v="0"/>
    <n v="0"/>
    <n v="0"/>
    <n v="9"/>
    <n v="2024"/>
    <x v="6"/>
    <x v="0"/>
    <x v="2"/>
  </r>
  <r>
    <x v="1"/>
    <x v="176"/>
    <x v="1"/>
    <x v="6"/>
    <n v="4"/>
    <n v="1"/>
    <n v="0"/>
    <n v="0"/>
    <n v="0"/>
    <n v="0"/>
    <n v="0"/>
    <n v="0"/>
    <n v="0"/>
    <n v="0"/>
    <n v="2024"/>
    <x v="6"/>
    <x v="0"/>
    <x v="2"/>
  </r>
  <r>
    <x v="1"/>
    <x v="176"/>
    <x v="1"/>
    <x v="7"/>
    <n v="400"/>
    <n v="105"/>
    <n v="40"/>
    <n v="4"/>
    <n v="108729"/>
    <n v="27"/>
    <n v="104301"/>
    <n v="25"/>
    <n v="111"/>
    <n v="385"/>
    <n v="2024"/>
    <x v="6"/>
    <x v="0"/>
    <x v="2"/>
  </r>
  <r>
    <x v="1"/>
    <x v="176"/>
    <x v="1"/>
    <x v="8"/>
    <n v="3"/>
    <n v="1"/>
    <n v="0"/>
    <n v="0"/>
    <n v="0"/>
    <n v="0"/>
    <n v="0"/>
    <n v="0"/>
    <n v="0"/>
    <n v="2"/>
    <n v="2024"/>
    <x v="6"/>
    <x v="0"/>
    <x v="2"/>
  </r>
  <r>
    <x v="1"/>
    <x v="176"/>
    <x v="1"/>
    <x v="9"/>
    <n v="2"/>
    <n v="1"/>
    <n v="0"/>
    <n v="0"/>
    <n v="0"/>
    <n v="0"/>
    <n v="0"/>
    <n v="0"/>
    <n v="0"/>
    <n v="2"/>
    <n v="2024"/>
    <x v="6"/>
    <x v="0"/>
    <x v="2"/>
  </r>
  <r>
    <x v="1"/>
    <x v="176"/>
    <x v="1"/>
    <x v="10"/>
    <n v="8"/>
    <n v="6"/>
    <n v="1"/>
    <n v="0"/>
    <n v="0"/>
    <n v="0"/>
    <n v="0"/>
    <n v="0"/>
    <n v="0"/>
    <n v="8"/>
    <n v="2024"/>
    <x v="6"/>
    <x v="0"/>
    <x v="2"/>
  </r>
  <r>
    <x v="1"/>
    <x v="176"/>
    <x v="1"/>
    <x v="11"/>
    <n v="3"/>
    <n v="2"/>
    <n v="0"/>
    <n v="0"/>
    <n v="0"/>
    <n v="0"/>
    <n v="0"/>
    <n v="0"/>
    <n v="1"/>
    <n v="2"/>
    <n v="2024"/>
    <x v="6"/>
    <x v="0"/>
    <x v="2"/>
  </r>
  <r>
    <x v="1"/>
    <x v="176"/>
    <x v="1"/>
    <x v="61"/>
    <n v="3"/>
    <n v="3"/>
    <n v="0"/>
    <n v="0"/>
    <n v="0"/>
    <n v="0"/>
    <n v="0"/>
    <n v="0"/>
    <n v="0"/>
    <n v="3"/>
    <n v="2024"/>
    <x v="6"/>
    <x v="0"/>
    <x v="2"/>
  </r>
  <r>
    <x v="1"/>
    <x v="176"/>
    <x v="1"/>
    <x v="59"/>
    <n v="256"/>
    <n v="97"/>
    <n v="12"/>
    <n v="4"/>
    <n v="1980"/>
    <n v="1"/>
    <n v="1980"/>
    <n v="1"/>
    <n v="56"/>
    <n v="220"/>
    <n v="2024"/>
    <x v="6"/>
    <x v="0"/>
    <x v="2"/>
  </r>
  <r>
    <x v="1"/>
    <x v="176"/>
    <x v="1"/>
    <x v="15"/>
    <n v="22"/>
    <n v="21"/>
    <n v="0"/>
    <n v="0"/>
    <n v="0"/>
    <n v="0"/>
    <n v="0"/>
    <n v="0"/>
    <n v="0"/>
    <n v="22"/>
    <n v="2024"/>
    <x v="6"/>
    <x v="0"/>
    <x v="2"/>
  </r>
  <r>
    <x v="1"/>
    <x v="176"/>
    <x v="1"/>
    <x v="17"/>
    <n v="2"/>
    <n v="2"/>
    <n v="0"/>
    <n v="0"/>
    <n v="0"/>
    <n v="0"/>
    <n v="0"/>
    <n v="0"/>
    <n v="1"/>
    <n v="1"/>
    <n v="2024"/>
    <x v="6"/>
    <x v="0"/>
    <x v="2"/>
  </r>
  <r>
    <x v="1"/>
    <x v="176"/>
    <x v="1"/>
    <x v="18"/>
    <n v="7"/>
    <n v="6"/>
    <n v="1"/>
    <n v="0"/>
    <n v="8200"/>
    <n v="1"/>
    <n v="8200"/>
    <n v="1"/>
    <n v="2"/>
    <n v="7"/>
    <n v="2024"/>
    <x v="6"/>
    <x v="0"/>
    <x v="2"/>
  </r>
  <r>
    <x v="1"/>
    <x v="176"/>
    <x v="1"/>
    <x v="19"/>
    <n v="700"/>
    <n v="370"/>
    <n v="56"/>
    <n v="15"/>
    <n v="83995.38"/>
    <n v="17"/>
    <n v="67369.38"/>
    <n v="14"/>
    <n v="399"/>
    <n v="541"/>
    <n v="2024"/>
    <x v="6"/>
    <x v="0"/>
    <x v="2"/>
  </r>
  <r>
    <x v="1"/>
    <x v="176"/>
    <x v="1"/>
    <x v="20"/>
    <n v="13"/>
    <n v="12"/>
    <n v="0"/>
    <n v="0"/>
    <n v="0"/>
    <n v="0"/>
    <n v="0"/>
    <n v="0"/>
    <n v="3"/>
    <n v="11"/>
    <n v="2024"/>
    <x v="6"/>
    <x v="0"/>
    <x v="2"/>
  </r>
  <r>
    <x v="1"/>
    <x v="176"/>
    <x v="1"/>
    <x v="21"/>
    <n v="2"/>
    <n v="1"/>
    <n v="0"/>
    <n v="0"/>
    <n v="0"/>
    <n v="0"/>
    <n v="0"/>
    <n v="0"/>
    <n v="0"/>
    <n v="2"/>
    <n v="2024"/>
    <x v="6"/>
    <x v="0"/>
    <x v="2"/>
  </r>
  <r>
    <x v="1"/>
    <x v="176"/>
    <x v="1"/>
    <x v="22"/>
    <n v="6"/>
    <n v="2"/>
    <n v="0"/>
    <n v="0"/>
    <n v="0"/>
    <n v="0"/>
    <n v="0"/>
    <n v="0"/>
    <n v="0"/>
    <n v="4"/>
    <n v="2024"/>
    <x v="6"/>
    <x v="0"/>
    <x v="2"/>
  </r>
  <r>
    <x v="1"/>
    <x v="176"/>
    <x v="1"/>
    <x v="24"/>
    <n v="14"/>
    <n v="11"/>
    <n v="0"/>
    <n v="0"/>
    <n v="0"/>
    <n v="0"/>
    <n v="0"/>
    <n v="0"/>
    <n v="5"/>
    <n v="13"/>
    <n v="2024"/>
    <x v="6"/>
    <x v="0"/>
    <x v="2"/>
  </r>
  <r>
    <x v="1"/>
    <x v="176"/>
    <x v="1"/>
    <x v="27"/>
    <n v="160"/>
    <n v="75"/>
    <n v="14"/>
    <n v="1"/>
    <n v="44275"/>
    <n v="11"/>
    <n v="28265"/>
    <n v="10"/>
    <n v="43"/>
    <n v="154"/>
    <n v="2024"/>
    <x v="6"/>
    <x v="0"/>
    <x v="2"/>
  </r>
  <r>
    <x v="1"/>
    <x v="176"/>
    <x v="1"/>
    <x v="29"/>
    <n v="560"/>
    <n v="446"/>
    <n v="13"/>
    <n v="8"/>
    <n v="36128"/>
    <n v="5"/>
    <n v="33680"/>
    <n v="4"/>
    <n v="210"/>
    <n v="445"/>
    <n v="2024"/>
    <x v="6"/>
    <x v="0"/>
    <x v="2"/>
  </r>
  <r>
    <x v="1"/>
    <x v="176"/>
    <x v="1"/>
    <x v="30"/>
    <n v="1385"/>
    <n v="845"/>
    <n v="21"/>
    <n v="10"/>
    <n v="31288"/>
    <n v="5"/>
    <n v="6700"/>
    <n v="3"/>
    <n v="177"/>
    <n v="1209"/>
    <n v="2024"/>
    <x v="6"/>
    <x v="0"/>
    <x v="2"/>
  </r>
  <r>
    <x v="1"/>
    <x v="176"/>
    <x v="1"/>
    <x v="31"/>
    <n v="125"/>
    <n v="83"/>
    <n v="7"/>
    <n v="2"/>
    <n v="2550"/>
    <n v="1"/>
    <n v="2550"/>
    <n v="1"/>
    <n v="24"/>
    <n v="119"/>
    <n v="2024"/>
    <x v="6"/>
    <x v="0"/>
    <x v="2"/>
  </r>
  <r>
    <x v="1"/>
    <x v="176"/>
    <x v="1"/>
    <x v="32"/>
    <n v="6"/>
    <n v="2"/>
    <n v="1"/>
    <n v="0"/>
    <n v="0"/>
    <n v="0"/>
    <n v="0"/>
    <n v="0"/>
    <n v="1"/>
    <n v="6"/>
    <n v="2024"/>
    <x v="6"/>
    <x v="0"/>
    <x v="2"/>
  </r>
  <r>
    <x v="1"/>
    <x v="176"/>
    <x v="1"/>
    <x v="34"/>
    <n v="332"/>
    <n v="142"/>
    <n v="25"/>
    <n v="7"/>
    <n v="21355"/>
    <n v="6"/>
    <n v="18805"/>
    <n v="6"/>
    <n v="84"/>
    <n v="295"/>
    <n v="2024"/>
    <x v="6"/>
    <x v="0"/>
    <x v="2"/>
  </r>
  <r>
    <x v="1"/>
    <x v="176"/>
    <x v="1"/>
    <x v="35"/>
    <n v="1"/>
    <n v="1"/>
    <n v="0"/>
    <n v="0"/>
    <n v="0"/>
    <n v="0"/>
    <n v="0"/>
    <n v="0"/>
    <n v="0"/>
    <n v="0"/>
    <n v="2024"/>
    <x v="6"/>
    <x v="0"/>
    <x v="2"/>
  </r>
  <r>
    <x v="1"/>
    <x v="176"/>
    <x v="1"/>
    <x v="37"/>
    <n v="303"/>
    <n v="170"/>
    <n v="16"/>
    <n v="0"/>
    <n v="34349.620000000003"/>
    <n v="3"/>
    <n v="34349.620000000003"/>
    <n v="3"/>
    <n v="60"/>
    <n v="296"/>
    <n v="2024"/>
    <x v="6"/>
    <x v="0"/>
    <x v="2"/>
  </r>
  <r>
    <x v="1"/>
    <x v="176"/>
    <x v="1"/>
    <x v="38"/>
    <n v="243"/>
    <n v="74"/>
    <n v="17"/>
    <n v="11"/>
    <n v="39578"/>
    <n v="10"/>
    <n v="30182"/>
    <n v="9"/>
    <n v="65"/>
    <n v="224"/>
    <n v="2024"/>
    <x v="6"/>
    <x v="0"/>
    <x v="2"/>
  </r>
  <r>
    <x v="1"/>
    <x v="176"/>
    <x v="1"/>
    <x v="60"/>
    <n v="1"/>
    <n v="1"/>
    <n v="0"/>
    <n v="0"/>
    <n v="0"/>
    <n v="0"/>
    <n v="0"/>
    <n v="0"/>
    <n v="0"/>
    <n v="1"/>
    <n v="2024"/>
    <x v="6"/>
    <x v="0"/>
    <x v="2"/>
  </r>
  <r>
    <x v="1"/>
    <x v="176"/>
    <x v="1"/>
    <x v="41"/>
    <n v="5"/>
    <n v="2"/>
    <n v="0"/>
    <n v="0"/>
    <n v="0"/>
    <n v="0"/>
    <n v="0"/>
    <n v="0"/>
    <n v="1"/>
    <n v="4"/>
    <n v="2024"/>
    <x v="6"/>
    <x v="0"/>
    <x v="2"/>
  </r>
  <r>
    <x v="1"/>
    <x v="176"/>
    <x v="1"/>
    <x v="42"/>
    <n v="7"/>
    <n v="3"/>
    <n v="0"/>
    <n v="0"/>
    <n v="0"/>
    <n v="0"/>
    <n v="0"/>
    <n v="0"/>
    <n v="2"/>
    <n v="3"/>
    <n v="2024"/>
    <x v="6"/>
    <x v="0"/>
    <x v="2"/>
  </r>
  <r>
    <x v="1"/>
    <x v="176"/>
    <x v="1"/>
    <x v="43"/>
    <n v="94"/>
    <n v="54"/>
    <n v="6"/>
    <n v="1"/>
    <n v="5625"/>
    <n v="2"/>
    <n v="5625"/>
    <n v="2"/>
    <n v="77"/>
    <n v="65"/>
    <n v="2024"/>
    <x v="6"/>
    <x v="0"/>
    <x v="2"/>
  </r>
  <r>
    <x v="1"/>
    <x v="176"/>
    <x v="1"/>
    <x v="44"/>
    <n v="12"/>
    <n v="5"/>
    <n v="0"/>
    <n v="1"/>
    <n v="5940"/>
    <n v="3"/>
    <n v="5940"/>
    <n v="3"/>
    <n v="0"/>
    <n v="12"/>
    <n v="2024"/>
    <x v="6"/>
    <x v="0"/>
    <x v="2"/>
  </r>
  <r>
    <x v="1"/>
    <x v="176"/>
    <x v="1"/>
    <x v="45"/>
    <n v="2"/>
    <n v="2"/>
    <n v="0"/>
    <n v="0"/>
    <n v="0"/>
    <n v="0"/>
    <n v="0"/>
    <n v="0"/>
    <n v="0"/>
    <n v="2"/>
    <n v="2024"/>
    <x v="6"/>
    <x v="0"/>
    <x v="2"/>
  </r>
  <r>
    <x v="1"/>
    <x v="177"/>
    <x v="0"/>
    <x v="0"/>
    <n v="1122"/>
    <n v="939"/>
    <n v="94"/>
    <n v="1"/>
    <n v="11630"/>
    <n v="2"/>
    <n v="11630"/>
    <n v="2"/>
    <n v="19"/>
    <n v="1110"/>
    <n v="2024"/>
    <x v="6"/>
    <x v="0"/>
    <x v="2"/>
  </r>
  <r>
    <x v="1"/>
    <x v="177"/>
    <x v="0"/>
    <x v="1"/>
    <n v="13069"/>
    <n v="8476"/>
    <n v="274"/>
    <n v="154"/>
    <n v="265283.83"/>
    <n v="40"/>
    <n v="158048.82999999999"/>
    <n v="33"/>
    <n v="956"/>
    <n v="13027"/>
    <n v="2024"/>
    <x v="6"/>
    <x v="0"/>
    <x v="2"/>
  </r>
  <r>
    <x v="1"/>
    <x v="177"/>
    <x v="0"/>
    <x v="2"/>
    <n v="2824"/>
    <n v="2427"/>
    <n v="18"/>
    <n v="4"/>
    <n v="11175"/>
    <n v="3"/>
    <n v="11175"/>
    <n v="3"/>
    <n v="2824"/>
    <n v="814"/>
    <n v="2024"/>
    <x v="6"/>
    <x v="0"/>
    <x v="2"/>
  </r>
  <r>
    <x v="1"/>
    <x v="177"/>
    <x v="0"/>
    <x v="3"/>
    <n v="990"/>
    <n v="909"/>
    <n v="5"/>
    <n v="3"/>
    <n v="0"/>
    <n v="0"/>
    <n v="0"/>
    <n v="0"/>
    <n v="28"/>
    <n v="383"/>
    <n v="2024"/>
    <x v="6"/>
    <x v="0"/>
    <x v="2"/>
  </r>
  <r>
    <x v="1"/>
    <x v="177"/>
    <x v="1"/>
    <x v="5"/>
    <n v="6"/>
    <n v="4"/>
    <n v="0"/>
    <n v="0"/>
    <n v="0"/>
    <n v="0"/>
    <n v="0"/>
    <n v="0"/>
    <n v="0"/>
    <n v="6"/>
    <n v="2024"/>
    <x v="6"/>
    <x v="0"/>
    <x v="2"/>
  </r>
  <r>
    <x v="1"/>
    <x v="177"/>
    <x v="1"/>
    <x v="6"/>
    <n v="281"/>
    <n v="255"/>
    <n v="0"/>
    <n v="0"/>
    <n v="0"/>
    <n v="0"/>
    <n v="0"/>
    <n v="0"/>
    <n v="0"/>
    <n v="1"/>
    <n v="2024"/>
    <x v="6"/>
    <x v="0"/>
    <x v="2"/>
  </r>
  <r>
    <x v="1"/>
    <x v="177"/>
    <x v="1"/>
    <x v="7"/>
    <n v="349"/>
    <n v="82"/>
    <n v="43"/>
    <n v="7"/>
    <n v="276957.78999999998"/>
    <n v="46"/>
    <n v="248907.79"/>
    <n v="43"/>
    <n v="131"/>
    <n v="335"/>
    <n v="2024"/>
    <x v="6"/>
    <x v="0"/>
    <x v="2"/>
  </r>
  <r>
    <x v="1"/>
    <x v="177"/>
    <x v="1"/>
    <x v="8"/>
    <n v="1"/>
    <n v="1"/>
    <n v="0"/>
    <n v="0"/>
    <n v="0"/>
    <n v="0"/>
    <n v="0"/>
    <n v="0"/>
    <n v="0"/>
    <n v="0"/>
    <n v="2024"/>
    <x v="6"/>
    <x v="0"/>
    <x v="2"/>
  </r>
  <r>
    <x v="1"/>
    <x v="177"/>
    <x v="1"/>
    <x v="9"/>
    <n v="3"/>
    <n v="0"/>
    <n v="0"/>
    <n v="0"/>
    <n v="0"/>
    <n v="0"/>
    <n v="0"/>
    <n v="0"/>
    <n v="0"/>
    <n v="2"/>
    <n v="2024"/>
    <x v="6"/>
    <x v="0"/>
    <x v="2"/>
  </r>
  <r>
    <x v="1"/>
    <x v="177"/>
    <x v="1"/>
    <x v="10"/>
    <n v="11"/>
    <n v="8"/>
    <n v="1"/>
    <n v="0"/>
    <n v="0"/>
    <n v="0"/>
    <n v="0"/>
    <n v="0"/>
    <n v="3"/>
    <n v="8"/>
    <n v="2024"/>
    <x v="6"/>
    <x v="0"/>
    <x v="2"/>
  </r>
  <r>
    <x v="1"/>
    <x v="177"/>
    <x v="1"/>
    <x v="11"/>
    <n v="5"/>
    <n v="5"/>
    <n v="0"/>
    <n v="0"/>
    <n v="0"/>
    <n v="0"/>
    <n v="0"/>
    <n v="0"/>
    <n v="5"/>
    <n v="0"/>
    <n v="2024"/>
    <x v="6"/>
    <x v="0"/>
    <x v="2"/>
  </r>
  <r>
    <x v="1"/>
    <x v="177"/>
    <x v="1"/>
    <x v="61"/>
    <n v="1"/>
    <n v="0"/>
    <n v="0"/>
    <n v="0"/>
    <n v="0"/>
    <n v="0"/>
    <n v="0"/>
    <n v="0"/>
    <n v="0"/>
    <n v="1"/>
    <n v="2024"/>
    <x v="6"/>
    <x v="0"/>
    <x v="2"/>
  </r>
  <r>
    <x v="1"/>
    <x v="177"/>
    <x v="1"/>
    <x v="59"/>
    <n v="826"/>
    <n v="636"/>
    <n v="7"/>
    <n v="12"/>
    <n v="21125"/>
    <n v="5"/>
    <n v="14720"/>
    <n v="4"/>
    <n v="74"/>
    <n v="290"/>
    <n v="2024"/>
    <x v="6"/>
    <x v="0"/>
    <x v="2"/>
  </r>
  <r>
    <x v="1"/>
    <x v="177"/>
    <x v="1"/>
    <x v="15"/>
    <n v="17"/>
    <n v="16"/>
    <n v="0"/>
    <n v="0"/>
    <n v="0"/>
    <n v="0"/>
    <n v="0"/>
    <n v="0"/>
    <n v="0"/>
    <n v="17"/>
    <n v="2024"/>
    <x v="6"/>
    <x v="0"/>
    <x v="2"/>
  </r>
  <r>
    <x v="1"/>
    <x v="177"/>
    <x v="1"/>
    <x v="17"/>
    <n v="4"/>
    <n v="4"/>
    <n v="0"/>
    <n v="0"/>
    <n v="0"/>
    <n v="0"/>
    <n v="0"/>
    <n v="0"/>
    <n v="4"/>
    <n v="0"/>
    <n v="2024"/>
    <x v="6"/>
    <x v="0"/>
    <x v="2"/>
  </r>
  <r>
    <x v="1"/>
    <x v="177"/>
    <x v="1"/>
    <x v="18"/>
    <n v="6"/>
    <n v="4"/>
    <n v="0"/>
    <n v="0"/>
    <n v="0"/>
    <n v="0"/>
    <n v="0"/>
    <n v="0"/>
    <n v="1"/>
    <n v="5"/>
    <n v="2024"/>
    <x v="6"/>
    <x v="0"/>
    <x v="2"/>
  </r>
  <r>
    <x v="1"/>
    <x v="177"/>
    <x v="1"/>
    <x v="19"/>
    <n v="838"/>
    <n v="466"/>
    <n v="63"/>
    <n v="11"/>
    <n v="124208"/>
    <n v="23"/>
    <n v="90098"/>
    <n v="20"/>
    <n v="559"/>
    <n v="585"/>
    <n v="2024"/>
    <x v="6"/>
    <x v="0"/>
    <x v="2"/>
  </r>
  <r>
    <x v="1"/>
    <x v="177"/>
    <x v="1"/>
    <x v="20"/>
    <n v="12"/>
    <n v="10"/>
    <n v="0"/>
    <n v="0"/>
    <n v="0"/>
    <n v="0"/>
    <n v="0"/>
    <n v="0"/>
    <n v="3"/>
    <n v="11"/>
    <n v="2024"/>
    <x v="6"/>
    <x v="0"/>
    <x v="2"/>
  </r>
  <r>
    <x v="1"/>
    <x v="177"/>
    <x v="1"/>
    <x v="21"/>
    <n v="1"/>
    <n v="0"/>
    <n v="0"/>
    <n v="0"/>
    <n v="0"/>
    <n v="0"/>
    <n v="0"/>
    <n v="0"/>
    <n v="0"/>
    <n v="1"/>
    <n v="2024"/>
    <x v="6"/>
    <x v="0"/>
    <x v="2"/>
  </r>
  <r>
    <x v="1"/>
    <x v="177"/>
    <x v="1"/>
    <x v="22"/>
    <n v="4"/>
    <n v="3"/>
    <n v="0"/>
    <n v="0"/>
    <n v="0"/>
    <n v="0"/>
    <n v="0"/>
    <n v="0"/>
    <n v="0"/>
    <n v="0"/>
    <n v="2024"/>
    <x v="6"/>
    <x v="0"/>
    <x v="2"/>
  </r>
  <r>
    <x v="1"/>
    <x v="177"/>
    <x v="1"/>
    <x v="24"/>
    <n v="14"/>
    <n v="8"/>
    <n v="1"/>
    <n v="3"/>
    <n v="6230"/>
    <n v="2"/>
    <n v="6230"/>
    <n v="2"/>
    <n v="5"/>
    <n v="10"/>
    <n v="2024"/>
    <x v="6"/>
    <x v="0"/>
    <x v="2"/>
  </r>
  <r>
    <x v="1"/>
    <x v="177"/>
    <x v="1"/>
    <x v="27"/>
    <n v="294"/>
    <n v="138"/>
    <n v="18"/>
    <n v="4"/>
    <n v="116134"/>
    <n v="18"/>
    <n v="66490"/>
    <n v="14"/>
    <n v="99"/>
    <n v="262"/>
    <n v="2024"/>
    <x v="6"/>
    <x v="0"/>
    <x v="2"/>
  </r>
  <r>
    <x v="1"/>
    <x v="177"/>
    <x v="1"/>
    <x v="29"/>
    <n v="575"/>
    <n v="443"/>
    <n v="16"/>
    <n v="2"/>
    <n v="16950"/>
    <n v="4"/>
    <n v="16950"/>
    <n v="4"/>
    <n v="203"/>
    <n v="469"/>
    <n v="2024"/>
    <x v="6"/>
    <x v="0"/>
    <x v="2"/>
  </r>
  <r>
    <x v="1"/>
    <x v="177"/>
    <x v="1"/>
    <x v="30"/>
    <n v="1281"/>
    <n v="876"/>
    <n v="25"/>
    <n v="6"/>
    <n v="29805"/>
    <n v="6"/>
    <n v="23855"/>
    <n v="5"/>
    <n v="202"/>
    <n v="974"/>
    <n v="2024"/>
    <x v="6"/>
    <x v="0"/>
    <x v="2"/>
  </r>
  <r>
    <x v="1"/>
    <x v="177"/>
    <x v="1"/>
    <x v="31"/>
    <n v="100"/>
    <n v="69"/>
    <n v="2"/>
    <n v="0"/>
    <n v="7960"/>
    <n v="1"/>
    <n v="7960"/>
    <n v="1"/>
    <n v="15"/>
    <n v="92"/>
    <n v="2024"/>
    <x v="6"/>
    <x v="0"/>
    <x v="2"/>
  </r>
  <r>
    <x v="1"/>
    <x v="177"/>
    <x v="1"/>
    <x v="32"/>
    <n v="6"/>
    <n v="4"/>
    <n v="0"/>
    <n v="0"/>
    <n v="0"/>
    <n v="0"/>
    <n v="0"/>
    <n v="0"/>
    <n v="3"/>
    <n v="6"/>
    <n v="2024"/>
    <x v="6"/>
    <x v="0"/>
    <x v="2"/>
  </r>
  <r>
    <x v="1"/>
    <x v="177"/>
    <x v="1"/>
    <x v="34"/>
    <n v="315"/>
    <n v="142"/>
    <n v="21"/>
    <n v="11"/>
    <n v="18340"/>
    <n v="3"/>
    <n v="10180"/>
    <n v="2"/>
    <n v="122"/>
    <n v="258"/>
    <n v="2024"/>
    <x v="6"/>
    <x v="0"/>
    <x v="2"/>
  </r>
  <r>
    <x v="1"/>
    <x v="177"/>
    <x v="1"/>
    <x v="36"/>
    <n v="2"/>
    <n v="1"/>
    <n v="0"/>
    <n v="0"/>
    <n v="0"/>
    <n v="0"/>
    <n v="0"/>
    <n v="0"/>
    <n v="1"/>
    <n v="2"/>
    <n v="2024"/>
    <x v="6"/>
    <x v="0"/>
    <x v="2"/>
  </r>
  <r>
    <x v="1"/>
    <x v="177"/>
    <x v="1"/>
    <x v="37"/>
    <n v="278"/>
    <n v="172"/>
    <n v="17"/>
    <n v="0"/>
    <n v="9603"/>
    <n v="2"/>
    <n v="9603"/>
    <n v="2"/>
    <n v="60"/>
    <n v="270"/>
    <n v="2024"/>
    <x v="6"/>
    <x v="0"/>
    <x v="2"/>
  </r>
  <r>
    <x v="1"/>
    <x v="177"/>
    <x v="1"/>
    <x v="38"/>
    <n v="228"/>
    <n v="77"/>
    <n v="19"/>
    <n v="4"/>
    <n v="74955"/>
    <n v="16"/>
    <n v="52975"/>
    <n v="12"/>
    <n v="72"/>
    <n v="210"/>
    <n v="2024"/>
    <x v="6"/>
    <x v="0"/>
    <x v="2"/>
  </r>
  <r>
    <x v="1"/>
    <x v="177"/>
    <x v="1"/>
    <x v="41"/>
    <n v="5"/>
    <n v="1"/>
    <n v="0"/>
    <n v="0"/>
    <n v="0"/>
    <n v="0"/>
    <n v="0"/>
    <n v="0"/>
    <n v="1"/>
    <n v="5"/>
    <n v="2024"/>
    <x v="6"/>
    <x v="0"/>
    <x v="2"/>
  </r>
  <r>
    <x v="1"/>
    <x v="177"/>
    <x v="1"/>
    <x v="42"/>
    <n v="16"/>
    <n v="12"/>
    <n v="0"/>
    <n v="0"/>
    <n v="0"/>
    <n v="0"/>
    <n v="0"/>
    <n v="0"/>
    <n v="3"/>
    <n v="4"/>
    <n v="2024"/>
    <x v="6"/>
    <x v="0"/>
    <x v="2"/>
  </r>
  <r>
    <x v="1"/>
    <x v="177"/>
    <x v="1"/>
    <x v="43"/>
    <n v="85"/>
    <n v="49"/>
    <n v="4"/>
    <n v="0"/>
    <n v="7388"/>
    <n v="2"/>
    <n v="7388"/>
    <n v="2"/>
    <n v="79"/>
    <n v="44"/>
    <n v="2024"/>
    <x v="6"/>
    <x v="0"/>
    <x v="2"/>
  </r>
  <r>
    <x v="1"/>
    <x v="177"/>
    <x v="1"/>
    <x v="44"/>
    <n v="12"/>
    <n v="2"/>
    <n v="0"/>
    <n v="0"/>
    <n v="4150"/>
    <n v="1"/>
    <n v="4150"/>
    <n v="1"/>
    <n v="1"/>
    <n v="12"/>
    <n v="2024"/>
    <x v="6"/>
    <x v="0"/>
    <x v="2"/>
  </r>
  <r>
    <x v="1"/>
    <x v="178"/>
    <x v="0"/>
    <x v="0"/>
    <n v="249"/>
    <n v="102"/>
    <n v="1"/>
    <n v="0"/>
    <n v="0"/>
    <n v="0"/>
    <n v="0"/>
    <n v="0"/>
    <n v="9"/>
    <n v="246"/>
    <n v="2024"/>
    <x v="6"/>
    <x v="0"/>
    <x v="0"/>
  </r>
  <r>
    <x v="1"/>
    <x v="178"/>
    <x v="0"/>
    <x v="1"/>
    <n v="13844"/>
    <n v="9330"/>
    <n v="208"/>
    <n v="133"/>
    <n v="81035"/>
    <n v="10"/>
    <n v="12145"/>
    <n v="2"/>
    <n v="857"/>
    <n v="13797"/>
    <n v="2024"/>
    <x v="6"/>
    <x v="0"/>
    <x v="0"/>
  </r>
  <r>
    <x v="1"/>
    <x v="178"/>
    <x v="0"/>
    <x v="2"/>
    <n v="3266"/>
    <n v="2863"/>
    <n v="14"/>
    <n v="2"/>
    <n v="0"/>
    <n v="0"/>
    <n v="0"/>
    <n v="0"/>
    <n v="3266"/>
    <n v="881"/>
    <n v="2024"/>
    <x v="6"/>
    <x v="0"/>
    <x v="0"/>
  </r>
  <r>
    <x v="1"/>
    <x v="178"/>
    <x v="0"/>
    <x v="3"/>
    <n v="21"/>
    <n v="17"/>
    <n v="5"/>
    <n v="4"/>
    <n v="0"/>
    <n v="0"/>
    <n v="0"/>
    <n v="0"/>
    <n v="1"/>
    <n v="19"/>
    <n v="2024"/>
    <x v="6"/>
    <x v="0"/>
    <x v="0"/>
  </r>
  <r>
    <x v="1"/>
    <x v="178"/>
    <x v="1"/>
    <x v="5"/>
    <n v="6"/>
    <n v="4"/>
    <n v="0"/>
    <n v="0"/>
    <n v="0"/>
    <n v="0"/>
    <n v="0"/>
    <n v="0"/>
    <n v="0"/>
    <n v="6"/>
    <n v="2024"/>
    <x v="6"/>
    <x v="0"/>
    <x v="0"/>
  </r>
  <r>
    <x v="1"/>
    <x v="178"/>
    <x v="1"/>
    <x v="6"/>
    <n v="5"/>
    <n v="4"/>
    <n v="0"/>
    <n v="0"/>
    <n v="0"/>
    <n v="0"/>
    <n v="0"/>
    <n v="0"/>
    <n v="0"/>
    <n v="0"/>
    <n v="2024"/>
    <x v="6"/>
    <x v="0"/>
    <x v="0"/>
  </r>
  <r>
    <x v="1"/>
    <x v="178"/>
    <x v="1"/>
    <x v="7"/>
    <n v="212"/>
    <n v="58"/>
    <n v="17"/>
    <n v="6"/>
    <n v="7190"/>
    <n v="2"/>
    <n v="0"/>
    <n v="0"/>
    <n v="66"/>
    <n v="198"/>
    <n v="2024"/>
    <x v="6"/>
    <x v="0"/>
    <x v="0"/>
  </r>
  <r>
    <x v="1"/>
    <x v="178"/>
    <x v="1"/>
    <x v="8"/>
    <n v="1"/>
    <n v="0"/>
    <n v="0"/>
    <n v="0"/>
    <n v="0"/>
    <n v="0"/>
    <n v="0"/>
    <n v="0"/>
    <n v="0"/>
    <n v="1"/>
    <n v="2024"/>
    <x v="6"/>
    <x v="0"/>
    <x v="0"/>
  </r>
  <r>
    <x v="1"/>
    <x v="178"/>
    <x v="1"/>
    <x v="9"/>
    <n v="2"/>
    <n v="1"/>
    <n v="0"/>
    <n v="0"/>
    <n v="0"/>
    <n v="0"/>
    <n v="0"/>
    <n v="0"/>
    <n v="0"/>
    <n v="1"/>
    <n v="2024"/>
    <x v="6"/>
    <x v="0"/>
    <x v="0"/>
  </r>
  <r>
    <x v="1"/>
    <x v="178"/>
    <x v="1"/>
    <x v="10"/>
    <n v="9"/>
    <n v="8"/>
    <n v="2"/>
    <n v="0"/>
    <n v="0"/>
    <n v="0"/>
    <n v="0"/>
    <n v="0"/>
    <n v="1"/>
    <n v="9"/>
    <n v="2024"/>
    <x v="6"/>
    <x v="0"/>
    <x v="0"/>
  </r>
  <r>
    <x v="1"/>
    <x v="178"/>
    <x v="1"/>
    <x v="11"/>
    <n v="2"/>
    <n v="2"/>
    <n v="0"/>
    <n v="0"/>
    <n v="0"/>
    <n v="0"/>
    <n v="0"/>
    <n v="0"/>
    <n v="2"/>
    <n v="0"/>
    <n v="2024"/>
    <x v="6"/>
    <x v="0"/>
    <x v="0"/>
  </r>
  <r>
    <x v="1"/>
    <x v="178"/>
    <x v="1"/>
    <x v="59"/>
    <n v="272"/>
    <n v="140"/>
    <n v="6"/>
    <n v="2"/>
    <n v="13500"/>
    <n v="1"/>
    <n v="0"/>
    <n v="0"/>
    <n v="37"/>
    <n v="248"/>
    <n v="2024"/>
    <x v="6"/>
    <x v="0"/>
    <x v="0"/>
  </r>
  <r>
    <x v="1"/>
    <x v="178"/>
    <x v="1"/>
    <x v="15"/>
    <n v="29"/>
    <n v="25"/>
    <n v="2"/>
    <n v="0"/>
    <n v="0"/>
    <n v="0"/>
    <n v="0"/>
    <n v="0"/>
    <n v="0"/>
    <n v="29"/>
    <n v="2024"/>
    <x v="6"/>
    <x v="0"/>
    <x v="0"/>
  </r>
  <r>
    <x v="1"/>
    <x v="178"/>
    <x v="1"/>
    <x v="17"/>
    <n v="2"/>
    <n v="2"/>
    <n v="0"/>
    <n v="0"/>
    <n v="0"/>
    <n v="0"/>
    <n v="0"/>
    <n v="0"/>
    <n v="0"/>
    <n v="2"/>
    <n v="2024"/>
    <x v="6"/>
    <x v="0"/>
    <x v="0"/>
  </r>
  <r>
    <x v="1"/>
    <x v="178"/>
    <x v="1"/>
    <x v="18"/>
    <n v="6"/>
    <n v="6"/>
    <n v="0"/>
    <n v="0"/>
    <n v="0"/>
    <n v="0"/>
    <n v="0"/>
    <n v="0"/>
    <n v="2"/>
    <n v="4"/>
    <n v="2024"/>
    <x v="6"/>
    <x v="0"/>
    <x v="0"/>
  </r>
  <r>
    <x v="1"/>
    <x v="178"/>
    <x v="1"/>
    <x v="19"/>
    <n v="437"/>
    <n v="292"/>
    <n v="13"/>
    <n v="5"/>
    <n v="16995"/>
    <n v="2"/>
    <n v="0"/>
    <n v="0"/>
    <n v="216"/>
    <n v="288"/>
    <n v="2024"/>
    <x v="6"/>
    <x v="0"/>
    <x v="0"/>
  </r>
  <r>
    <x v="1"/>
    <x v="178"/>
    <x v="1"/>
    <x v="20"/>
    <n v="8"/>
    <n v="8"/>
    <n v="0"/>
    <n v="0"/>
    <n v="0"/>
    <n v="0"/>
    <n v="0"/>
    <n v="0"/>
    <n v="2"/>
    <n v="7"/>
    <n v="2024"/>
    <x v="6"/>
    <x v="0"/>
    <x v="0"/>
  </r>
  <r>
    <x v="1"/>
    <x v="178"/>
    <x v="1"/>
    <x v="21"/>
    <n v="4"/>
    <n v="1"/>
    <n v="0"/>
    <n v="0"/>
    <n v="0"/>
    <n v="0"/>
    <n v="0"/>
    <n v="0"/>
    <n v="1"/>
    <n v="4"/>
    <n v="2024"/>
    <x v="6"/>
    <x v="0"/>
    <x v="0"/>
  </r>
  <r>
    <x v="1"/>
    <x v="178"/>
    <x v="1"/>
    <x v="22"/>
    <n v="4"/>
    <n v="4"/>
    <n v="0"/>
    <n v="0"/>
    <n v="0"/>
    <n v="0"/>
    <n v="0"/>
    <n v="0"/>
    <n v="0"/>
    <n v="2"/>
    <n v="2024"/>
    <x v="6"/>
    <x v="0"/>
    <x v="0"/>
  </r>
  <r>
    <x v="1"/>
    <x v="178"/>
    <x v="1"/>
    <x v="24"/>
    <n v="17"/>
    <n v="9"/>
    <n v="0"/>
    <n v="0"/>
    <n v="0"/>
    <n v="0"/>
    <n v="0"/>
    <n v="0"/>
    <n v="6"/>
    <n v="15"/>
    <n v="2024"/>
    <x v="6"/>
    <x v="0"/>
    <x v="0"/>
  </r>
  <r>
    <x v="1"/>
    <x v="178"/>
    <x v="1"/>
    <x v="27"/>
    <n v="53"/>
    <n v="27"/>
    <n v="7"/>
    <n v="2"/>
    <n v="4895"/>
    <n v="1"/>
    <n v="4895"/>
    <n v="1"/>
    <n v="28"/>
    <n v="48"/>
    <n v="2024"/>
    <x v="6"/>
    <x v="0"/>
    <x v="0"/>
  </r>
  <r>
    <x v="1"/>
    <x v="178"/>
    <x v="1"/>
    <x v="29"/>
    <n v="474"/>
    <n v="386"/>
    <n v="11"/>
    <n v="4"/>
    <n v="5750"/>
    <n v="1"/>
    <n v="5750"/>
    <n v="1"/>
    <n v="207"/>
    <n v="357"/>
    <n v="2024"/>
    <x v="6"/>
    <x v="0"/>
    <x v="0"/>
  </r>
  <r>
    <x v="1"/>
    <x v="178"/>
    <x v="1"/>
    <x v="30"/>
    <n v="1209"/>
    <n v="884"/>
    <n v="10"/>
    <n v="9"/>
    <n v="0"/>
    <n v="0"/>
    <n v="0"/>
    <n v="0"/>
    <n v="183"/>
    <n v="980"/>
    <n v="2024"/>
    <x v="6"/>
    <x v="0"/>
    <x v="0"/>
  </r>
  <r>
    <x v="1"/>
    <x v="178"/>
    <x v="1"/>
    <x v="31"/>
    <n v="151"/>
    <n v="108"/>
    <n v="3"/>
    <n v="5"/>
    <n v="0"/>
    <n v="0"/>
    <n v="0"/>
    <n v="0"/>
    <n v="30"/>
    <n v="140"/>
    <n v="2024"/>
    <x v="6"/>
    <x v="0"/>
    <x v="0"/>
  </r>
  <r>
    <x v="1"/>
    <x v="178"/>
    <x v="1"/>
    <x v="32"/>
    <n v="3"/>
    <n v="2"/>
    <n v="0"/>
    <n v="0"/>
    <n v="0"/>
    <n v="0"/>
    <n v="0"/>
    <n v="0"/>
    <n v="1"/>
    <n v="3"/>
    <n v="2024"/>
    <x v="6"/>
    <x v="0"/>
    <x v="0"/>
  </r>
  <r>
    <x v="1"/>
    <x v="178"/>
    <x v="1"/>
    <x v="34"/>
    <n v="140"/>
    <n v="63"/>
    <n v="8"/>
    <n v="1"/>
    <n v="0"/>
    <n v="0"/>
    <n v="0"/>
    <n v="0"/>
    <n v="65"/>
    <n v="105"/>
    <n v="2024"/>
    <x v="6"/>
    <x v="0"/>
    <x v="0"/>
  </r>
  <r>
    <x v="1"/>
    <x v="178"/>
    <x v="1"/>
    <x v="37"/>
    <n v="274"/>
    <n v="183"/>
    <n v="6"/>
    <n v="0"/>
    <n v="7750"/>
    <n v="1"/>
    <n v="0"/>
    <n v="0"/>
    <n v="38"/>
    <n v="268"/>
    <n v="2024"/>
    <x v="6"/>
    <x v="0"/>
    <x v="0"/>
  </r>
  <r>
    <x v="1"/>
    <x v="178"/>
    <x v="1"/>
    <x v="38"/>
    <n v="128"/>
    <n v="53"/>
    <n v="6"/>
    <n v="8"/>
    <n v="10645"/>
    <n v="2"/>
    <n v="10645"/>
    <n v="2"/>
    <n v="29"/>
    <n v="122"/>
    <n v="2024"/>
    <x v="6"/>
    <x v="0"/>
    <x v="0"/>
  </r>
  <r>
    <x v="1"/>
    <x v="178"/>
    <x v="1"/>
    <x v="41"/>
    <n v="10"/>
    <n v="4"/>
    <n v="0"/>
    <n v="0"/>
    <n v="0"/>
    <n v="0"/>
    <n v="0"/>
    <n v="0"/>
    <n v="1"/>
    <n v="10"/>
    <n v="2024"/>
    <x v="6"/>
    <x v="0"/>
    <x v="0"/>
  </r>
  <r>
    <x v="1"/>
    <x v="178"/>
    <x v="1"/>
    <x v="42"/>
    <n v="1"/>
    <n v="0"/>
    <n v="0"/>
    <n v="0"/>
    <n v="0"/>
    <n v="0"/>
    <n v="0"/>
    <n v="0"/>
    <n v="0"/>
    <n v="0"/>
    <n v="2024"/>
    <x v="6"/>
    <x v="0"/>
    <x v="0"/>
  </r>
  <r>
    <x v="1"/>
    <x v="178"/>
    <x v="1"/>
    <x v="43"/>
    <n v="63"/>
    <n v="35"/>
    <n v="0"/>
    <n v="2"/>
    <n v="0"/>
    <n v="0"/>
    <n v="0"/>
    <n v="0"/>
    <n v="53"/>
    <n v="31"/>
    <n v="2024"/>
    <x v="6"/>
    <x v="0"/>
    <x v="0"/>
  </r>
  <r>
    <x v="1"/>
    <x v="178"/>
    <x v="1"/>
    <x v="44"/>
    <n v="24"/>
    <n v="4"/>
    <n v="0"/>
    <n v="0"/>
    <n v="0"/>
    <n v="0"/>
    <n v="0"/>
    <n v="0"/>
    <n v="0"/>
    <n v="24"/>
    <n v="2024"/>
    <x v="6"/>
    <x v="0"/>
    <x v="0"/>
  </r>
  <r>
    <x v="1"/>
    <x v="179"/>
    <x v="0"/>
    <x v="0"/>
    <n v="241"/>
    <n v="112"/>
    <n v="1"/>
    <n v="1"/>
    <n v="2410"/>
    <n v="1"/>
    <n v="2410"/>
    <n v="1"/>
    <n v="17"/>
    <n v="233"/>
    <n v="2024"/>
    <x v="6"/>
    <x v="0"/>
    <x v="0"/>
  </r>
  <r>
    <x v="1"/>
    <x v="179"/>
    <x v="0"/>
    <x v="1"/>
    <n v="14910"/>
    <n v="10742"/>
    <n v="244"/>
    <n v="161"/>
    <n v="174760"/>
    <n v="15"/>
    <n v="54495"/>
    <n v="6"/>
    <n v="1002"/>
    <n v="14855"/>
    <n v="2024"/>
    <x v="6"/>
    <x v="0"/>
    <x v="0"/>
  </r>
  <r>
    <x v="1"/>
    <x v="179"/>
    <x v="0"/>
    <x v="2"/>
    <n v="3086"/>
    <n v="2762"/>
    <n v="13"/>
    <n v="2"/>
    <n v="2410"/>
    <n v="1"/>
    <n v="2410"/>
    <n v="1"/>
    <n v="3086"/>
    <n v="846"/>
    <n v="2024"/>
    <x v="6"/>
    <x v="0"/>
    <x v="0"/>
  </r>
  <r>
    <x v="1"/>
    <x v="179"/>
    <x v="0"/>
    <x v="3"/>
    <n v="667"/>
    <n v="556"/>
    <n v="2"/>
    <n v="1"/>
    <n v="0"/>
    <n v="0"/>
    <n v="0"/>
    <n v="0"/>
    <n v="14"/>
    <n v="237"/>
    <n v="2024"/>
    <x v="6"/>
    <x v="0"/>
    <x v="0"/>
  </r>
  <r>
    <x v="1"/>
    <x v="179"/>
    <x v="1"/>
    <x v="5"/>
    <n v="7"/>
    <n v="6"/>
    <n v="0"/>
    <n v="0"/>
    <n v="0"/>
    <n v="0"/>
    <n v="0"/>
    <n v="0"/>
    <n v="0"/>
    <n v="7"/>
    <n v="2024"/>
    <x v="6"/>
    <x v="0"/>
    <x v="0"/>
  </r>
  <r>
    <x v="1"/>
    <x v="179"/>
    <x v="1"/>
    <x v="6"/>
    <n v="109"/>
    <n v="31"/>
    <n v="0"/>
    <n v="0"/>
    <n v="0"/>
    <n v="0"/>
    <n v="0"/>
    <n v="0"/>
    <n v="0"/>
    <n v="0"/>
    <n v="2024"/>
    <x v="6"/>
    <x v="0"/>
    <x v="0"/>
  </r>
  <r>
    <x v="1"/>
    <x v="179"/>
    <x v="1"/>
    <x v="7"/>
    <n v="197"/>
    <n v="76"/>
    <n v="24"/>
    <n v="2"/>
    <n v="133895"/>
    <n v="10"/>
    <n v="73445"/>
    <n v="8"/>
    <n v="71"/>
    <n v="186"/>
    <n v="2024"/>
    <x v="6"/>
    <x v="0"/>
    <x v="0"/>
  </r>
  <r>
    <x v="1"/>
    <x v="179"/>
    <x v="1"/>
    <x v="10"/>
    <n v="7"/>
    <n v="5"/>
    <n v="1"/>
    <n v="0"/>
    <n v="0"/>
    <n v="0"/>
    <n v="0"/>
    <n v="0"/>
    <n v="0"/>
    <n v="6"/>
    <n v="2024"/>
    <x v="6"/>
    <x v="0"/>
    <x v="0"/>
  </r>
  <r>
    <x v="1"/>
    <x v="179"/>
    <x v="1"/>
    <x v="11"/>
    <n v="1"/>
    <n v="0"/>
    <n v="0"/>
    <n v="0"/>
    <n v="0"/>
    <n v="0"/>
    <n v="0"/>
    <n v="0"/>
    <n v="0"/>
    <n v="1"/>
    <n v="2024"/>
    <x v="6"/>
    <x v="0"/>
    <x v="0"/>
  </r>
  <r>
    <x v="1"/>
    <x v="179"/>
    <x v="1"/>
    <x v="59"/>
    <n v="892"/>
    <n v="751"/>
    <n v="4"/>
    <n v="2"/>
    <n v="4995"/>
    <n v="1"/>
    <n v="4995"/>
    <n v="1"/>
    <n v="56"/>
    <n v="311"/>
    <n v="2024"/>
    <x v="6"/>
    <x v="0"/>
    <x v="0"/>
  </r>
  <r>
    <x v="1"/>
    <x v="179"/>
    <x v="1"/>
    <x v="15"/>
    <n v="29"/>
    <n v="29"/>
    <n v="0"/>
    <n v="0"/>
    <n v="0"/>
    <n v="0"/>
    <n v="0"/>
    <n v="0"/>
    <n v="0"/>
    <n v="29"/>
    <n v="2024"/>
    <x v="6"/>
    <x v="0"/>
    <x v="0"/>
  </r>
  <r>
    <x v="1"/>
    <x v="179"/>
    <x v="1"/>
    <x v="18"/>
    <n v="8"/>
    <n v="4"/>
    <n v="0"/>
    <n v="0"/>
    <n v="0"/>
    <n v="0"/>
    <n v="0"/>
    <n v="0"/>
    <n v="0"/>
    <n v="5"/>
    <n v="2024"/>
    <x v="6"/>
    <x v="0"/>
    <x v="0"/>
  </r>
  <r>
    <x v="1"/>
    <x v="179"/>
    <x v="1"/>
    <x v="19"/>
    <n v="452"/>
    <n v="289"/>
    <n v="24"/>
    <n v="7"/>
    <n v="26905"/>
    <n v="4"/>
    <n v="26905"/>
    <n v="4"/>
    <n v="252"/>
    <n v="293"/>
    <n v="2024"/>
    <x v="6"/>
    <x v="0"/>
    <x v="0"/>
  </r>
  <r>
    <x v="1"/>
    <x v="179"/>
    <x v="1"/>
    <x v="20"/>
    <n v="3"/>
    <n v="3"/>
    <n v="0"/>
    <n v="0"/>
    <n v="0"/>
    <n v="0"/>
    <n v="0"/>
    <n v="0"/>
    <n v="2"/>
    <n v="2"/>
    <n v="2024"/>
    <x v="6"/>
    <x v="0"/>
    <x v="0"/>
  </r>
  <r>
    <x v="1"/>
    <x v="179"/>
    <x v="1"/>
    <x v="21"/>
    <n v="4"/>
    <n v="4"/>
    <n v="0"/>
    <n v="0"/>
    <n v="0"/>
    <n v="0"/>
    <n v="0"/>
    <n v="0"/>
    <n v="1"/>
    <n v="4"/>
    <n v="2024"/>
    <x v="6"/>
    <x v="0"/>
    <x v="0"/>
  </r>
  <r>
    <x v="1"/>
    <x v="179"/>
    <x v="1"/>
    <x v="24"/>
    <n v="22"/>
    <n v="19"/>
    <n v="0"/>
    <n v="0"/>
    <n v="0"/>
    <n v="0"/>
    <n v="0"/>
    <n v="0"/>
    <n v="7"/>
    <n v="18"/>
    <n v="2024"/>
    <x v="6"/>
    <x v="0"/>
    <x v="0"/>
  </r>
  <r>
    <x v="1"/>
    <x v="179"/>
    <x v="1"/>
    <x v="27"/>
    <n v="47"/>
    <n v="27"/>
    <n v="8"/>
    <n v="2"/>
    <n v="7405"/>
    <n v="2"/>
    <n v="7405"/>
    <n v="2"/>
    <n v="18"/>
    <n v="42"/>
    <n v="2024"/>
    <x v="6"/>
    <x v="0"/>
    <x v="0"/>
  </r>
  <r>
    <x v="1"/>
    <x v="179"/>
    <x v="1"/>
    <x v="29"/>
    <n v="512"/>
    <n v="408"/>
    <n v="14"/>
    <n v="3"/>
    <n v="23745"/>
    <n v="2"/>
    <n v="23745"/>
    <n v="2"/>
    <n v="213"/>
    <n v="388"/>
    <n v="2024"/>
    <x v="6"/>
    <x v="0"/>
    <x v="0"/>
  </r>
  <r>
    <x v="1"/>
    <x v="179"/>
    <x v="1"/>
    <x v="30"/>
    <n v="1054"/>
    <n v="779"/>
    <n v="9"/>
    <n v="4"/>
    <n v="0"/>
    <n v="0"/>
    <n v="0"/>
    <n v="0"/>
    <n v="172"/>
    <n v="810"/>
    <n v="2024"/>
    <x v="6"/>
    <x v="0"/>
    <x v="0"/>
  </r>
  <r>
    <x v="1"/>
    <x v="179"/>
    <x v="1"/>
    <x v="31"/>
    <n v="131"/>
    <n v="108"/>
    <n v="5"/>
    <n v="0"/>
    <n v="16840"/>
    <n v="3"/>
    <n v="16840"/>
    <n v="3"/>
    <n v="24"/>
    <n v="128"/>
    <n v="2024"/>
    <x v="6"/>
    <x v="0"/>
    <x v="0"/>
  </r>
  <r>
    <x v="1"/>
    <x v="179"/>
    <x v="1"/>
    <x v="32"/>
    <n v="2"/>
    <n v="1"/>
    <n v="0"/>
    <n v="0"/>
    <n v="0"/>
    <n v="0"/>
    <n v="0"/>
    <n v="0"/>
    <n v="1"/>
    <n v="2"/>
    <n v="2024"/>
    <x v="6"/>
    <x v="0"/>
    <x v="0"/>
  </r>
  <r>
    <x v="1"/>
    <x v="179"/>
    <x v="1"/>
    <x v="34"/>
    <n v="142"/>
    <n v="76"/>
    <n v="15"/>
    <n v="5"/>
    <n v="0"/>
    <n v="0"/>
    <n v="0"/>
    <n v="0"/>
    <n v="69"/>
    <n v="118"/>
    <n v="2024"/>
    <x v="6"/>
    <x v="0"/>
    <x v="0"/>
  </r>
  <r>
    <x v="1"/>
    <x v="179"/>
    <x v="1"/>
    <x v="36"/>
    <n v="1"/>
    <n v="1"/>
    <n v="0"/>
    <n v="0"/>
    <n v="0"/>
    <n v="0"/>
    <n v="0"/>
    <n v="0"/>
    <n v="0"/>
    <n v="1"/>
    <n v="2024"/>
    <x v="6"/>
    <x v="0"/>
    <x v="0"/>
  </r>
  <r>
    <x v="1"/>
    <x v="179"/>
    <x v="1"/>
    <x v="37"/>
    <n v="239"/>
    <n v="159"/>
    <n v="6"/>
    <n v="0"/>
    <n v="0"/>
    <n v="0"/>
    <n v="0"/>
    <n v="0"/>
    <n v="38"/>
    <n v="233"/>
    <n v="2024"/>
    <x v="6"/>
    <x v="0"/>
    <x v="0"/>
  </r>
  <r>
    <x v="1"/>
    <x v="179"/>
    <x v="1"/>
    <x v="38"/>
    <n v="139"/>
    <n v="58"/>
    <n v="7"/>
    <n v="6"/>
    <n v="30700"/>
    <n v="3"/>
    <n v="7250"/>
    <n v="1"/>
    <n v="36"/>
    <n v="125"/>
    <n v="2024"/>
    <x v="6"/>
    <x v="0"/>
    <x v="0"/>
  </r>
  <r>
    <x v="1"/>
    <x v="179"/>
    <x v="1"/>
    <x v="41"/>
    <n v="2"/>
    <n v="0"/>
    <n v="0"/>
    <n v="0"/>
    <n v="0"/>
    <n v="0"/>
    <n v="0"/>
    <n v="0"/>
    <n v="0"/>
    <n v="2"/>
    <n v="2024"/>
    <x v="6"/>
    <x v="0"/>
    <x v="0"/>
  </r>
  <r>
    <x v="1"/>
    <x v="179"/>
    <x v="1"/>
    <x v="42"/>
    <n v="18"/>
    <n v="16"/>
    <n v="0"/>
    <n v="0"/>
    <n v="0"/>
    <n v="0"/>
    <n v="0"/>
    <n v="0"/>
    <n v="3"/>
    <n v="6"/>
    <n v="2024"/>
    <x v="6"/>
    <x v="0"/>
    <x v="0"/>
  </r>
  <r>
    <x v="1"/>
    <x v="179"/>
    <x v="1"/>
    <x v="43"/>
    <n v="79"/>
    <n v="43"/>
    <n v="1"/>
    <n v="1"/>
    <n v="0"/>
    <n v="0"/>
    <n v="0"/>
    <n v="0"/>
    <n v="67"/>
    <n v="44"/>
    <n v="2024"/>
    <x v="6"/>
    <x v="0"/>
    <x v="0"/>
  </r>
  <r>
    <x v="1"/>
    <x v="179"/>
    <x v="1"/>
    <x v="44"/>
    <n v="7"/>
    <n v="4"/>
    <n v="0"/>
    <n v="0"/>
    <n v="0"/>
    <n v="0"/>
    <n v="0"/>
    <n v="0"/>
    <n v="0"/>
    <n v="7"/>
    <n v="2024"/>
    <x v="6"/>
    <x v="0"/>
    <x v="0"/>
  </r>
  <r>
    <x v="0"/>
    <x v="122"/>
    <x v="0"/>
    <x v="0"/>
    <n v="5527"/>
    <n v="2768"/>
    <n v="66"/>
    <n v="34"/>
    <n v="263139.09999999998"/>
    <n v="44"/>
    <n v="244819.1"/>
    <n v="43"/>
    <n v="114"/>
    <n v="5485"/>
    <n v="2025"/>
    <x v="7"/>
    <x v="2"/>
    <x v="0"/>
  </r>
  <r>
    <x v="0"/>
    <x v="122"/>
    <x v="0"/>
    <x v="1"/>
    <n v="357034"/>
    <n v="318493"/>
    <n v="2526"/>
    <n v="2171"/>
    <n v="2541017"/>
    <n v="375"/>
    <n v="1348375"/>
    <n v="280"/>
    <n v="33849"/>
    <n v="346158"/>
    <n v="2025"/>
    <x v="7"/>
    <x v="2"/>
    <x v="0"/>
  </r>
  <r>
    <x v="0"/>
    <x v="122"/>
    <x v="0"/>
    <x v="2"/>
    <n v="11"/>
    <n v="3"/>
    <n v="0"/>
    <n v="0"/>
    <n v="0"/>
    <n v="0"/>
    <n v="0"/>
    <n v="0"/>
    <n v="0"/>
    <n v="11"/>
    <n v="2025"/>
    <x v="7"/>
    <x v="2"/>
    <x v="0"/>
  </r>
  <r>
    <x v="0"/>
    <x v="122"/>
    <x v="0"/>
    <x v="3"/>
    <n v="12727"/>
    <n v="8994"/>
    <n v="131"/>
    <n v="18"/>
    <n v="0"/>
    <n v="0"/>
    <n v="0"/>
    <n v="0"/>
    <n v="430"/>
    <n v="5385"/>
    <n v="2025"/>
    <x v="7"/>
    <x v="2"/>
    <x v="0"/>
  </r>
  <r>
    <x v="0"/>
    <x v="122"/>
    <x v="1"/>
    <x v="46"/>
    <n v="5"/>
    <n v="3"/>
    <n v="0"/>
    <n v="0"/>
    <n v="0"/>
    <n v="0"/>
    <n v="0"/>
    <n v="0"/>
    <n v="0"/>
    <n v="0"/>
    <n v="2025"/>
    <x v="7"/>
    <x v="2"/>
    <x v="0"/>
  </r>
  <r>
    <x v="0"/>
    <x v="122"/>
    <x v="1"/>
    <x v="5"/>
    <n v="1198"/>
    <n v="714"/>
    <n v="9"/>
    <n v="6"/>
    <n v="0"/>
    <n v="0"/>
    <n v="0"/>
    <n v="0"/>
    <n v="25"/>
    <n v="1197"/>
    <n v="2025"/>
    <x v="7"/>
    <x v="2"/>
    <x v="0"/>
  </r>
  <r>
    <x v="0"/>
    <x v="122"/>
    <x v="1"/>
    <x v="6"/>
    <n v="1659"/>
    <n v="1426"/>
    <n v="1"/>
    <n v="0"/>
    <n v="0"/>
    <n v="0"/>
    <n v="0"/>
    <n v="0"/>
    <n v="0"/>
    <n v="2"/>
    <n v="2025"/>
    <x v="7"/>
    <x v="2"/>
    <x v="0"/>
  </r>
  <r>
    <x v="0"/>
    <x v="122"/>
    <x v="1"/>
    <x v="7"/>
    <n v="4604"/>
    <n v="1870"/>
    <n v="579"/>
    <n v="54"/>
    <n v="3407433.8"/>
    <n v="577"/>
    <n v="2902463.39"/>
    <n v="537"/>
    <n v="1517"/>
    <n v="4481"/>
    <n v="2025"/>
    <x v="7"/>
    <x v="2"/>
    <x v="0"/>
  </r>
  <r>
    <x v="0"/>
    <x v="122"/>
    <x v="1"/>
    <x v="8"/>
    <n v="758"/>
    <n v="457"/>
    <n v="5"/>
    <n v="3"/>
    <n v="0"/>
    <n v="0"/>
    <n v="0"/>
    <n v="0"/>
    <n v="7"/>
    <n v="576"/>
    <n v="2025"/>
    <x v="7"/>
    <x v="2"/>
    <x v="0"/>
  </r>
  <r>
    <x v="0"/>
    <x v="122"/>
    <x v="1"/>
    <x v="69"/>
    <n v="2"/>
    <n v="0"/>
    <n v="0"/>
    <n v="0"/>
    <n v="0"/>
    <n v="0"/>
    <n v="0"/>
    <n v="0"/>
    <n v="0"/>
    <n v="0"/>
    <n v="2025"/>
    <x v="7"/>
    <x v="2"/>
    <x v="0"/>
  </r>
  <r>
    <x v="0"/>
    <x v="122"/>
    <x v="1"/>
    <x v="52"/>
    <n v="1"/>
    <n v="0"/>
    <n v="0"/>
    <n v="0"/>
    <n v="0"/>
    <n v="0"/>
    <n v="0"/>
    <n v="0"/>
    <n v="0"/>
    <n v="1"/>
    <n v="2025"/>
    <x v="7"/>
    <x v="2"/>
    <x v="0"/>
  </r>
  <r>
    <x v="0"/>
    <x v="122"/>
    <x v="1"/>
    <x v="10"/>
    <n v="87"/>
    <n v="40"/>
    <n v="0"/>
    <n v="0"/>
    <n v="0"/>
    <n v="0"/>
    <n v="0"/>
    <n v="0"/>
    <n v="3"/>
    <n v="39"/>
    <n v="2025"/>
    <x v="7"/>
    <x v="2"/>
    <x v="0"/>
  </r>
  <r>
    <x v="0"/>
    <x v="122"/>
    <x v="1"/>
    <x v="11"/>
    <n v="28"/>
    <n v="26"/>
    <n v="0"/>
    <n v="0"/>
    <n v="0"/>
    <n v="0"/>
    <n v="0"/>
    <n v="0"/>
    <n v="18"/>
    <n v="10"/>
    <n v="2025"/>
    <x v="7"/>
    <x v="2"/>
    <x v="0"/>
  </r>
  <r>
    <x v="0"/>
    <x v="122"/>
    <x v="1"/>
    <x v="61"/>
    <n v="2641"/>
    <n v="1918"/>
    <n v="60"/>
    <n v="23"/>
    <n v="84525"/>
    <n v="16"/>
    <n v="57330"/>
    <n v="12"/>
    <n v="2"/>
    <n v="2641"/>
    <n v="2025"/>
    <x v="7"/>
    <x v="2"/>
    <x v="0"/>
  </r>
  <r>
    <x v="0"/>
    <x v="122"/>
    <x v="1"/>
    <x v="48"/>
    <n v="8"/>
    <n v="6"/>
    <n v="0"/>
    <n v="0"/>
    <n v="0"/>
    <n v="0"/>
    <n v="0"/>
    <n v="0"/>
    <n v="0"/>
    <n v="8"/>
    <n v="2025"/>
    <x v="7"/>
    <x v="2"/>
    <x v="0"/>
  </r>
  <r>
    <x v="0"/>
    <x v="122"/>
    <x v="1"/>
    <x v="59"/>
    <n v="35766"/>
    <n v="32366"/>
    <n v="294"/>
    <n v="73"/>
    <n v="1061302.8600000001"/>
    <n v="166"/>
    <n v="867222.8"/>
    <n v="153"/>
    <n v="1740"/>
    <n v="8365"/>
    <n v="2025"/>
    <x v="7"/>
    <x v="2"/>
    <x v="0"/>
  </r>
  <r>
    <x v="0"/>
    <x v="122"/>
    <x v="1"/>
    <x v="15"/>
    <n v="20"/>
    <n v="8"/>
    <n v="0"/>
    <n v="0"/>
    <n v="0"/>
    <n v="0"/>
    <n v="0"/>
    <n v="0"/>
    <n v="1"/>
    <n v="20"/>
    <n v="2025"/>
    <x v="7"/>
    <x v="2"/>
    <x v="0"/>
  </r>
  <r>
    <x v="0"/>
    <x v="122"/>
    <x v="1"/>
    <x v="17"/>
    <n v="5368"/>
    <n v="4009"/>
    <n v="60"/>
    <n v="167"/>
    <n v="66150"/>
    <n v="8"/>
    <n v="29890"/>
    <n v="7"/>
    <n v="37"/>
    <n v="5332"/>
    <n v="2025"/>
    <x v="7"/>
    <x v="2"/>
    <x v="0"/>
  </r>
  <r>
    <x v="0"/>
    <x v="122"/>
    <x v="1"/>
    <x v="18"/>
    <n v="2139"/>
    <n v="2109"/>
    <n v="33"/>
    <n v="329"/>
    <n v="39075"/>
    <n v="8"/>
    <n v="35375"/>
    <n v="8"/>
    <n v="27"/>
    <n v="2134"/>
    <n v="2025"/>
    <x v="7"/>
    <x v="2"/>
    <x v="0"/>
  </r>
  <r>
    <x v="0"/>
    <x v="122"/>
    <x v="1"/>
    <x v="19"/>
    <n v="30723"/>
    <n v="21570"/>
    <n v="819"/>
    <n v="251"/>
    <n v="2101743.9700000002"/>
    <n v="327"/>
    <n v="1429233.97"/>
    <n v="286"/>
    <n v="6525"/>
    <n v="25564"/>
    <n v="2025"/>
    <x v="7"/>
    <x v="2"/>
    <x v="0"/>
  </r>
  <r>
    <x v="0"/>
    <x v="122"/>
    <x v="1"/>
    <x v="20"/>
    <n v="886"/>
    <n v="487"/>
    <n v="39"/>
    <n v="8"/>
    <n v="178750.03"/>
    <n v="32"/>
    <n v="136121.10999999999"/>
    <n v="28"/>
    <n v="94"/>
    <n v="880"/>
    <n v="2025"/>
    <x v="7"/>
    <x v="2"/>
    <x v="0"/>
  </r>
  <r>
    <x v="0"/>
    <x v="122"/>
    <x v="1"/>
    <x v="21"/>
    <n v="106"/>
    <n v="68"/>
    <n v="4"/>
    <n v="1"/>
    <n v="19660"/>
    <n v="4"/>
    <n v="10270"/>
    <n v="3"/>
    <n v="14"/>
    <n v="106"/>
    <n v="2025"/>
    <x v="7"/>
    <x v="2"/>
    <x v="0"/>
  </r>
  <r>
    <x v="0"/>
    <x v="122"/>
    <x v="1"/>
    <x v="50"/>
    <n v="1"/>
    <n v="1"/>
    <n v="0"/>
    <n v="0"/>
    <n v="0"/>
    <n v="0"/>
    <n v="0"/>
    <n v="0"/>
    <n v="0"/>
    <n v="1"/>
    <n v="2025"/>
    <x v="7"/>
    <x v="2"/>
    <x v="0"/>
  </r>
  <r>
    <x v="0"/>
    <x v="122"/>
    <x v="1"/>
    <x v="24"/>
    <n v="386"/>
    <n v="277"/>
    <n v="29"/>
    <n v="4"/>
    <n v="152089"/>
    <n v="20"/>
    <n v="80959"/>
    <n v="16"/>
    <n v="94"/>
    <n v="348"/>
    <n v="2025"/>
    <x v="7"/>
    <x v="2"/>
    <x v="0"/>
  </r>
  <r>
    <x v="0"/>
    <x v="122"/>
    <x v="1"/>
    <x v="27"/>
    <n v="2407"/>
    <n v="1236"/>
    <n v="162"/>
    <n v="26"/>
    <n v="749904.27"/>
    <n v="134"/>
    <n v="616634.27"/>
    <n v="123"/>
    <n v="1356"/>
    <n v="1793"/>
    <n v="2025"/>
    <x v="7"/>
    <x v="2"/>
    <x v="0"/>
  </r>
  <r>
    <x v="0"/>
    <x v="122"/>
    <x v="1"/>
    <x v="29"/>
    <n v="67895"/>
    <n v="62686"/>
    <n v="1262"/>
    <n v="469"/>
    <n v="1979963.23"/>
    <n v="284"/>
    <n v="995683.23"/>
    <n v="210"/>
    <n v="9027"/>
    <n v="65628"/>
    <n v="2025"/>
    <x v="7"/>
    <x v="2"/>
    <x v="0"/>
  </r>
  <r>
    <x v="0"/>
    <x v="122"/>
    <x v="1"/>
    <x v="30"/>
    <n v="143469"/>
    <n v="119152"/>
    <n v="2106"/>
    <n v="749"/>
    <n v="2113013.4"/>
    <n v="338"/>
    <n v="1488838.4"/>
    <n v="277"/>
    <n v="7641"/>
    <n v="141412"/>
    <n v="2025"/>
    <x v="7"/>
    <x v="2"/>
    <x v="0"/>
  </r>
  <r>
    <x v="0"/>
    <x v="122"/>
    <x v="1"/>
    <x v="31"/>
    <n v="4163"/>
    <n v="2993"/>
    <n v="167"/>
    <n v="70"/>
    <n v="216714"/>
    <n v="33"/>
    <n v="144859"/>
    <n v="26"/>
    <n v="484"/>
    <n v="4094"/>
    <n v="2025"/>
    <x v="7"/>
    <x v="2"/>
    <x v="0"/>
  </r>
  <r>
    <x v="0"/>
    <x v="122"/>
    <x v="1"/>
    <x v="32"/>
    <n v="7"/>
    <n v="3"/>
    <n v="1"/>
    <n v="0"/>
    <n v="0"/>
    <n v="0"/>
    <n v="0"/>
    <n v="0"/>
    <n v="2"/>
    <n v="7"/>
    <n v="2025"/>
    <x v="7"/>
    <x v="2"/>
    <x v="0"/>
  </r>
  <r>
    <x v="0"/>
    <x v="122"/>
    <x v="1"/>
    <x v="34"/>
    <n v="1152"/>
    <n v="688"/>
    <n v="41"/>
    <n v="8"/>
    <n v="80335"/>
    <n v="18"/>
    <n v="71445"/>
    <n v="17"/>
    <n v="997"/>
    <n v="534"/>
    <n v="2025"/>
    <x v="7"/>
    <x v="2"/>
    <x v="0"/>
  </r>
  <r>
    <x v="0"/>
    <x v="122"/>
    <x v="1"/>
    <x v="35"/>
    <n v="2"/>
    <n v="1"/>
    <n v="0"/>
    <n v="0"/>
    <n v="0"/>
    <n v="0"/>
    <n v="0"/>
    <n v="0"/>
    <n v="0"/>
    <n v="1"/>
    <n v="2025"/>
    <x v="7"/>
    <x v="2"/>
    <x v="0"/>
  </r>
  <r>
    <x v="0"/>
    <x v="122"/>
    <x v="1"/>
    <x v="36"/>
    <n v="42"/>
    <n v="41"/>
    <n v="0"/>
    <n v="1"/>
    <n v="0"/>
    <n v="0"/>
    <n v="0"/>
    <n v="0"/>
    <n v="10"/>
    <n v="32"/>
    <n v="2025"/>
    <x v="7"/>
    <x v="2"/>
    <x v="0"/>
  </r>
  <r>
    <x v="0"/>
    <x v="122"/>
    <x v="1"/>
    <x v="38"/>
    <n v="3885"/>
    <n v="1684"/>
    <n v="294"/>
    <n v="109"/>
    <n v="1568243.52"/>
    <n v="205"/>
    <n v="1093401.3700000001"/>
    <n v="172"/>
    <n v="989"/>
    <n v="3763"/>
    <n v="2025"/>
    <x v="7"/>
    <x v="2"/>
    <x v="0"/>
  </r>
  <r>
    <x v="0"/>
    <x v="122"/>
    <x v="1"/>
    <x v="60"/>
    <n v="101"/>
    <n v="91"/>
    <n v="0"/>
    <n v="0"/>
    <n v="0"/>
    <n v="0"/>
    <n v="0"/>
    <n v="0"/>
    <n v="2"/>
    <n v="101"/>
    <n v="2025"/>
    <x v="7"/>
    <x v="2"/>
    <x v="0"/>
  </r>
  <r>
    <x v="0"/>
    <x v="122"/>
    <x v="1"/>
    <x v="51"/>
    <n v="1"/>
    <n v="1"/>
    <n v="0"/>
    <n v="0"/>
    <n v="0"/>
    <n v="0"/>
    <n v="0"/>
    <n v="0"/>
    <n v="1"/>
    <n v="0"/>
    <n v="2025"/>
    <x v="7"/>
    <x v="2"/>
    <x v="0"/>
  </r>
  <r>
    <x v="0"/>
    <x v="122"/>
    <x v="1"/>
    <x v="39"/>
    <n v="33"/>
    <n v="24"/>
    <n v="0"/>
    <n v="1"/>
    <n v="3980"/>
    <n v="2"/>
    <n v="0"/>
    <n v="0"/>
    <n v="5"/>
    <n v="33"/>
    <n v="2025"/>
    <x v="7"/>
    <x v="2"/>
    <x v="0"/>
  </r>
  <r>
    <x v="0"/>
    <x v="122"/>
    <x v="1"/>
    <x v="64"/>
    <n v="8702"/>
    <n v="7635"/>
    <n v="289"/>
    <n v="59"/>
    <n v="700078.78"/>
    <n v="84"/>
    <n v="468178.79"/>
    <n v="72"/>
    <n v="1649"/>
    <n v="8513"/>
    <n v="2025"/>
    <x v="7"/>
    <x v="2"/>
    <x v="0"/>
  </r>
  <r>
    <x v="0"/>
    <x v="122"/>
    <x v="1"/>
    <x v="42"/>
    <n v="2110"/>
    <n v="1073"/>
    <n v="55"/>
    <n v="24"/>
    <n v="59150"/>
    <n v="9"/>
    <n v="34280"/>
    <n v="5"/>
    <n v="177"/>
    <n v="2084"/>
    <n v="2025"/>
    <x v="7"/>
    <x v="2"/>
    <x v="0"/>
  </r>
  <r>
    <x v="0"/>
    <x v="122"/>
    <x v="1"/>
    <x v="43"/>
    <n v="2507"/>
    <n v="1648"/>
    <n v="89"/>
    <n v="28"/>
    <n v="104885"/>
    <n v="16"/>
    <n v="85505"/>
    <n v="15"/>
    <n v="2017"/>
    <n v="1526"/>
    <n v="2025"/>
    <x v="7"/>
    <x v="2"/>
    <x v="0"/>
  </r>
  <r>
    <x v="0"/>
    <x v="122"/>
    <x v="1"/>
    <x v="44"/>
    <n v="738"/>
    <n v="224"/>
    <n v="14"/>
    <n v="4"/>
    <n v="172849.66"/>
    <n v="46"/>
    <n v="160179.66"/>
    <n v="45"/>
    <n v="9"/>
    <n v="738"/>
    <n v="2025"/>
    <x v="7"/>
    <x v="2"/>
    <x v="0"/>
  </r>
  <r>
    <x v="0"/>
    <x v="122"/>
    <x v="1"/>
    <x v="45"/>
    <n v="47"/>
    <n v="11"/>
    <n v="1"/>
    <n v="1"/>
    <n v="3440"/>
    <n v="2"/>
    <n v="3440"/>
    <n v="2"/>
    <n v="0"/>
    <n v="47"/>
    <n v="2025"/>
    <x v="7"/>
    <x v="2"/>
    <x v="0"/>
  </r>
  <r>
    <x v="0"/>
    <x v="180"/>
    <x v="0"/>
    <x v="0"/>
    <n v="4751"/>
    <n v="2733"/>
    <n v="76"/>
    <n v="21"/>
    <n v="160715"/>
    <n v="43"/>
    <n v="133775"/>
    <n v="41"/>
    <n v="94"/>
    <n v="4722"/>
    <n v="2025"/>
    <x v="8"/>
    <x v="2"/>
    <x v="0"/>
  </r>
  <r>
    <x v="0"/>
    <x v="180"/>
    <x v="0"/>
    <x v="1"/>
    <n v="370007"/>
    <n v="348239"/>
    <n v="2311"/>
    <n v="1116"/>
    <n v="2773361.12"/>
    <n v="318"/>
    <n v="1456348"/>
    <n v="244"/>
    <n v="33938"/>
    <n v="357430"/>
    <n v="2025"/>
    <x v="8"/>
    <x v="2"/>
    <x v="0"/>
  </r>
  <r>
    <x v="0"/>
    <x v="180"/>
    <x v="0"/>
    <x v="2"/>
    <n v="5"/>
    <n v="4"/>
    <n v="0"/>
    <n v="0"/>
    <n v="0"/>
    <n v="0"/>
    <n v="0"/>
    <n v="0"/>
    <n v="1"/>
    <n v="4"/>
    <n v="2025"/>
    <x v="8"/>
    <x v="2"/>
    <x v="0"/>
  </r>
  <r>
    <x v="0"/>
    <x v="180"/>
    <x v="0"/>
    <x v="3"/>
    <n v="9842"/>
    <n v="6874"/>
    <n v="84"/>
    <n v="17"/>
    <n v="0"/>
    <n v="0"/>
    <n v="0"/>
    <n v="0"/>
    <n v="320"/>
    <n v="4957"/>
    <n v="2025"/>
    <x v="8"/>
    <x v="2"/>
    <x v="0"/>
  </r>
  <r>
    <x v="0"/>
    <x v="180"/>
    <x v="1"/>
    <x v="46"/>
    <n v="9"/>
    <n v="6"/>
    <n v="0"/>
    <n v="0"/>
    <n v="0"/>
    <n v="0"/>
    <n v="0"/>
    <n v="0"/>
    <n v="0"/>
    <n v="0"/>
    <n v="2025"/>
    <x v="8"/>
    <x v="2"/>
    <x v="0"/>
  </r>
  <r>
    <x v="0"/>
    <x v="180"/>
    <x v="1"/>
    <x v="5"/>
    <n v="147"/>
    <n v="115"/>
    <n v="0"/>
    <n v="0"/>
    <n v="0"/>
    <n v="0"/>
    <n v="0"/>
    <n v="0"/>
    <n v="2"/>
    <n v="147"/>
    <n v="2025"/>
    <x v="8"/>
    <x v="2"/>
    <x v="0"/>
  </r>
  <r>
    <x v="0"/>
    <x v="180"/>
    <x v="1"/>
    <x v="6"/>
    <n v="1905"/>
    <n v="1610"/>
    <n v="1"/>
    <n v="0"/>
    <n v="0"/>
    <n v="0"/>
    <n v="0"/>
    <n v="0"/>
    <n v="0"/>
    <n v="2"/>
    <n v="2025"/>
    <x v="8"/>
    <x v="2"/>
    <x v="0"/>
  </r>
  <r>
    <x v="0"/>
    <x v="180"/>
    <x v="1"/>
    <x v="7"/>
    <n v="3929"/>
    <n v="1793"/>
    <n v="478"/>
    <n v="42"/>
    <n v="3083885.81"/>
    <n v="465"/>
    <n v="2591793.9300000002"/>
    <n v="442"/>
    <n v="1453"/>
    <n v="3801"/>
    <n v="2025"/>
    <x v="8"/>
    <x v="2"/>
    <x v="0"/>
  </r>
  <r>
    <x v="0"/>
    <x v="180"/>
    <x v="1"/>
    <x v="8"/>
    <n v="3927"/>
    <n v="2924"/>
    <n v="13"/>
    <n v="10"/>
    <n v="15560"/>
    <n v="4"/>
    <n v="13470"/>
    <n v="3"/>
    <n v="18"/>
    <n v="2372"/>
    <n v="2025"/>
    <x v="8"/>
    <x v="2"/>
    <x v="0"/>
  </r>
  <r>
    <x v="0"/>
    <x v="180"/>
    <x v="1"/>
    <x v="52"/>
    <n v="22"/>
    <n v="9"/>
    <n v="0"/>
    <n v="0"/>
    <n v="0"/>
    <n v="0"/>
    <n v="0"/>
    <n v="0"/>
    <n v="4"/>
    <n v="22"/>
    <n v="2025"/>
    <x v="8"/>
    <x v="2"/>
    <x v="0"/>
  </r>
  <r>
    <x v="0"/>
    <x v="180"/>
    <x v="1"/>
    <x v="10"/>
    <n v="65"/>
    <n v="33"/>
    <n v="2"/>
    <n v="2"/>
    <n v="0"/>
    <n v="0"/>
    <n v="0"/>
    <n v="0"/>
    <n v="8"/>
    <n v="33"/>
    <n v="2025"/>
    <x v="8"/>
    <x v="2"/>
    <x v="0"/>
  </r>
  <r>
    <x v="0"/>
    <x v="180"/>
    <x v="1"/>
    <x v="11"/>
    <n v="13"/>
    <n v="13"/>
    <n v="0"/>
    <n v="0"/>
    <n v="0"/>
    <n v="0"/>
    <n v="0"/>
    <n v="0"/>
    <n v="12"/>
    <n v="1"/>
    <n v="2025"/>
    <x v="8"/>
    <x v="2"/>
    <x v="0"/>
  </r>
  <r>
    <x v="0"/>
    <x v="180"/>
    <x v="1"/>
    <x v="61"/>
    <n v="2038"/>
    <n v="1639"/>
    <n v="38"/>
    <n v="18"/>
    <n v="65915"/>
    <n v="14"/>
    <n v="49400"/>
    <n v="11"/>
    <n v="3"/>
    <n v="2038"/>
    <n v="2025"/>
    <x v="8"/>
    <x v="2"/>
    <x v="0"/>
  </r>
  <r>
    <x v="0"/>
    <x v="180"/>
    <x v="1"/>
    <x v="66"/>
    <n v="1"/>
    <n v="1"/>
    <n v="0"/>
    <n v="0"/>
    <n v="0"/>
    <n v="0"/>
    <n v="0"/>
    <n v="0"/>
    <n v="1"/>
    <n v="0"/>
    <n v="2025"/>
    <x v="8"/>
    <x v="2"/>
    <x v="0"/>
  </r>
  <r>
    <x v="0"/>
    <x v="180"/>
    <x v="1"/>
    <x v="59"/>
    <n v="18745"/>
    <n v="16686"/>
    <n v="229"/>
    <n v="65"/>
    <n v="740602.71"/>
    <n v="120"/>
    <n v="661552.71"/>
    <n v="116"/>
    <n v="1208"/>
    <n v="6208"/>
    <n v="2025"/>
    <x v="8"/>
    <x v="2"/>
    <x v="0"/>
  </r>
  <r>
    <x v="0"/>
    <x v="180"/>
    <x v="1"/>
    <x v="15"/>
    <n v="13"/>
    <n v="8"/>
    <n v="0"/>
    <n v="1"/>
    <n v="0"/>
    <n v="0"/>
    <n v="0"/>
    <n v="0"/>
    <n v="0"/>
    <n v="13"/>
    <n v="2025"/>
    <x v="8"/>
    <x v="2"/>
    <x v="0"/>
  </r>
  <r>
    <x v="0"/>
    <x v="180"/>
    <x v="1"/>
    <x v="17"/>
    <n v="2078"/>
    <n v="2015"/>
    <n v="6"/>
    <n v="604"/>
    <n v="0"/>
    <n v="0"/>
    <n v="0"/>
    <n v="0"/>
    <n v="33"/>
    <n v="2045"/>
    <n v="2025"/>
    <x v="8"/>
    <x v="2"/>
    <x v="0"/>
  </r>
  <r>
    <x v="0"/>
    <x v="180"/>
    <x v="1"/>
    <x v="18"/>
    <n v="1908"/>
    <n v="1881"/>
    <n v="28"/>
    <n v="966"/>
    <n v="46340"/>
    <n v="7"/>
    <n v="29390"/>
    <n v="6"/>
    <n v="32"/>
    <n v="1896"/>
    <n v="2025"/>
    <x v="8"/>
    <x v="2"/>
    <x v="0"/>
  </r>
  <r>
    <x v="0"/>
    <x v="180"/>
    <x v="1"/>
    <x v="19"/>
    <n v="28713"/>
    <n v="23048"/>
    <n v="645"/>
    <n v="176"/>
    <n v="1863565.19"/>
    <n v="264"/>
    <n v="1207135.19"/>
    <n v="236"/>
    <n v="5217"/>
    <n v="25258"/>
    <n v="2025"/>
    <x v="8"/>
    <x v="2"/>
    <x v="0"/>
  </r>
  <r>
    <x v="0"/>
    <x v="180"/>
    <x v="1"/>
    <x v="20"/>
    <n v="371"/>
    <n v="189"/>
    <n v="10"/>
    <n v="3"/>
    <n v="53223.41"/>
    <n v="8"/>
    <n v="48233.41"/>
    <n v="8"/>
    <n v="38"/>
    <n v="366"/>
    <n v="2025"/>
    <x v="8"/>
    <x v="2"/>
    <x v="0"/>
  </r>
  <r>
    <x v="0"/>
    <x v="180"/>
    <x v="1"/>
    <x v="21"/>
    <n v="420"/>
    <n v="255"/>
    <n v="63"/>
    <n v="7"/>
    <n v="141510"/>
    <n v="30"/>
    <n v="103375"/>
    <n v="26"/>
    <n v="134"/>
    <n v="417"/>
    <n v="2025"/>
    <x v="8"/>
    <x v="2"/>
    <x v="0"/>
  </r>
  <r>
    <x v="0"/>
    <x v="180"/>
    <x v="1"/>
    <x v="50"/>
    <n v="14"/>
    <n v="4"/>
    <n v="1"/>
    <n v="0"/>
    <n v="30065"/>
    <n v="5"/>
    <n v="30065"/>
    <n v="5"/>
    <n v="0"/>
    <n v="14"/>
    <n v="2025"/>
    <x v="8"/>
    <x v="2"/>
    <x v="0"/>
  </r>
  <r>
    <x v="0"/>
    <x v="180"/>
    <x v="1"/>
    <x v="24"/>
    <n v="278"/>
    <n v="175"/>
    <n v="20"/>
    <n v="2"/>
    <n v="21535"/>
    <n v="4"/>
    <n v="21535"/>
    <n v="4"/>
    <n v="60"/>
    <n v="255"/>
    <n v="2025"/>
    <x v="8"/>
    <x v="2"/>
    <x v="0"/>
  </r>
  <r>
    <x v="0"/>
    <x v="180"/>
    <x v="1"/>
    <x v="27"/>
    <n v="2429"/>
    <n v="1360"/>
    <n v="162"/>
    <n v="30"/>
    <n v="717976.46"/>
    <n v="121"/>
    <n v="671676.46"/>
    <n v="112"/>
    <n v="1448"/>
    <n v="1740"/>
    <n v="2025"/>
    <x v="8"/>
    <x v="2"/>
    <x v="0"/>
  </r>
  <r>
    <x v="0"/>
    <x v="180"/>
    <x v="1"/>
    <x v="29"/>
    <n v="49785"/>
    <n v="46025"/>
    <n v="1327"/>
    <n v="388"/>
    <n v="1305262.24"/>
    <n v="232"/>
    <n v="862422.24"/>
    <n v="202"/>
    <n v="7605"/>
    <n v="47756"/>
    <n v="2025"/>
    <x v="8"/>
    <x v="2"/>
    <x v="0"/>
  </r>
  <r>
    <x v="0"/>
    <x v="180"/>
    <x v="1"/>
    <x v="30"/>
    <n v="117066"/>
    <n v="98544"/>
    <n v="1645"/>
    <n v="559"/>
    <n v="1241731.72"/>
    <n v="210"/>
    <n v="984086.72"/>
    <n v="179"/>
    <n v="5961"/>
    <n v="115476"/>
    <n v="2025"/>
    <x v="8"/>
    <x v="2"/>
    <x v="0"/>
  </r>
  <r>
    <x v="0"/>
    <x v="180"/>
    <x v="1"/>
    <x v="31"/>
    <n v="3620"/>
    <n v="2926"/>
    <n v="149"/>
    <n v="56"/>
    <n v="249792.79"/>
    <n v="30"/>
    <n v="144647.79"/>
    <n v="23"/>
    <n v="430"/>
    <n v="3555"/>
    <n v="2025"/>
    <x v="8"/>
    <x v="2"/>
    <x v="0"/>
  </r>
  <r>
    <x v="0"/>
    <x v="180"/>
    <x v="1"/>
    <x v="32"/>
    <n v="3"/>
    <n v="0"/>
    <n v="0"/>
    <n v="0"/>
    <n v="0"/>
    <n v="0"/>
    <n v="0"/>
    <n v="0"/>
    <n v="1"/>
    <n v="3"/>
    <n v="2025"/>
    <x v="8"/>
    <x v="2"/>
    <x v="0"/>
  </r>
  <r>
    <x v="0"/>
    <x v="180"/>
    <x v="1"/>
    <x v="34"/>
    <n v="1107"/>
    <n v="705"/>
    <n v="39"/>
    <n v="7"/>
    <n v="66385"/>
    <n v="13"/>
    <n v="54995"/>
    <n v="13"/>
    <n v="1013"/>
    <n v="421"/>
    <n v="2025"/>
    <x v="8"/>
    <x v="2"/>
    <x v="0"/>
  </r>
  <r>
    <x v="0"/>
    <x v="180"/>
    <x v="1"/>
    <x v="35"/>
    <n v="5"/>
    <n v="4"/>
    <n v="1"/>
    <n v="0"/>
    <n v="0"/>
    <n v="0"/>
    <n v="0"/>
    <n v="0"/>
    <n v="1"/>
    <n v="1"/>
    <n v="2025"/>
    <x v="8"/>
    <x v="2"/>
    <x v="0"/>
  </r>
  <r>
    <x v="0"/>
    <x v="180"/>
    <x v="1"/>
    <x v="36"/>
    <n v="33"/>
    <n v="28"/>
    <n v="1"/>
    <n v="1"/>
    <n v="0"/>
    <n v="0"/>
    <n v="0"/>
    <n v="0"/>
    <n v="9"/>
    <n v="25"/>
    <n v="2025"/>
    <x v="8"/>
    <x v="2"/>
    <x v="0"/>
  </r>
  <r>
    <x v="0"/>
    <x v="180"/>
    <x v="1"/>
    <x v="38"/>
    <n v="3107"/>
    <n v="1533"/>
    <n v="262"/>
    <n v="106"/>
    <n v="1910312"/>
    <n v="160"/>
    <n v="775902"/>
    <n v="140"/>
    <n v="816"/>
    <n v="3021"/>
    <n v="2025"/>
    <x v="8"/>
    <x v="2"/>
    <x v="0"/>
  </r>
  <r>
    <x v="0"/>
    <x v="180"/>
    <x v="1"/>
    <x v="65"/>
    <n v="5"/>
    <n v="5"/>
    <n v="1"/>
    <n v="0"/>
    <n v="0"/>
    <n v="0"/>
    <n v="0"/>
    <n v="0"/>
    <n v="0"/>
    <n v="5"/>
    <n v="2025"/>
    <x v="8"/>
    <x v="2"/>
    <x v="0"/>
  </r>
  <r>
    <x v="0"/>
    <x v="180"/>
    <x v="1"/>
    <x v="60"/>
    <n v="232"/>
    <n v="213"/>
    <n v="3"/>
    <n v="1"/>
    <n v="0"/>
    <n v="0"/>
    <n v="0"/>
    <n v="0"/>
    <n v="12"/>
    <n v="232"/>
    <n v="2025"/>
    <x v="8"/>
    <x v="2"/>
    <x v="0"/>
  </r>
  <r>
    <x v="0"/>
    <x v="180"/>
    <x v="1"/>
    <x v="39"/>
    <n v="20"/>
    <n v="17"/>
    <n v="1"/>
    <n v="0"/>
    <n v="4645"/>
    <n v="1"/>
    <n v="4645"/>
    <n v="1"/>
    <n v="2"/>
    <n v="20"/>
    <n v="2025"/>
    <x v="8"/>
    <x v="2"/>
    <x v="0"/>
  </r>
  <r>
    <x v="0"/>
    <x v="180"/>
    <x v="1"/>
    <x v="55"/>
    <n v="1"/>
    <n v="1"/>
    <n v="0"/>
    <n v="0"/>
    <n v="0"/>
    <n v="0"/>
    <n v="0"/>
    <n v="0"/>
    <n v="0"/>
    <n v="0"/>
    <n v="2025"/>
    <x v="8"/>
    <x v="2"/>
    <x v="0"/>
  </r>
  <r>
    <x v="0"/>
    <x v="180"/>
    <x v="1"/>
    <x v="64"/>
    <n v="5835"/>
    <n v="5230"/>
    <n v="237"/>
    <n v="51"/>
    <n v="413247"/>
    <n v="59"/>
    <n v="367147"/>
    <n v="56"/>
    <n v="1446"/>
    <n v="5676"/>
    <n v="2025"/>
    <x v="8"/>
    <x v="2"/>
    <x v="0"/>
  </r>
  <r>
    <x v="0"/>
    <x v="180"/>
    <x v="1"/>
    <x v="42"/>
    <n v="675"/>
    <n v="343"/>
    <n v="21"/>
    <n v="10"/>
    <n v="7980"/>
    <n v="2"/>
    <n v="990"/>
    <n v="1"/>
    <n v="46"/>
    <n v="671"/>
    <n v="2025"/>
    <x v="8"/>
    <x v="2"/>
    <x v="0"/>
  </r>
  <r>
    <x v="0"/>
    <x v="180"/>
    <x v="1"/>
    <x v="43"/>
    <n v="2244"/>
    <n v="1524"/>
    <n v="67"/>
    <n v="19"/>
    <n v="66440"/>
    <n v="10"/>
    <n v="66440"/>
    <n v="10"/>
    <n v="1838"/>
    <n v="1349"/>
    <n v="2025"/>
    <x v="8"/>
    <x v="2"/>
    <x v="0"/>
  </r>
  <r>
    <x v="0"/>
    <x v="180"/>
    <x v="1"/>
    <x v="44"/>
    <n v="575"/>
    <n v="203"/>
    <n v="11"/>
    <n v="1"/>
    <n v="176817.48"/>
    <n v="34"/>
    <n v="165182.48000000001"/>
    <n v="34"/>
    <n v="7"/>
    <n v="575"/>
    <n v="2025"/>
    <x v="8"/>
    <x v="2"/>
    <x v="0"/>
  </r>
  <r>
    <x v="0"/>
    <x v="180"/>
    <x v="1"/>
    <x v="45"/>
    <n v="74"/>
    <n v="26"/>
    <n v="2"/>
    <n v="0"/>
    <n v="0"/>
    <n v="0"/>
    <n v="0"/>
    <n v="0"/>
    <n v="6"/>
    <n v="74"/>
    <n v="2025"/>
    <x v="8"/>
    <x v="2"/>
    <x v="0"/>
  </r>
  <r>
    <x v="2"/>
    <x v="181"/>
    <x v="2"/>
    <x v="70"/>
    <m/>
    <m/>
    <m/>
    <m/>
    <m/>
    <m/>
    <m/>
    <m/>
    <m/>
    <m/>
    <m/>
    <x v="12"/>
    <x v="3"/>
    <x v="0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77">
  <r>
    <x v="0"/>
    <x v="0"/>
    <x v="0"/>
    <x v="0"/>
    <x v="0"/>
    <n v="39558"/>
    <n v="35567"/>
    <n v="414"/>
    <n v="276"/>
    <n v="249130"/>
    <n v="50"/>
    <n v="151060"/>
    <n v="34"/>
    <n v="2249"/>
    <n v="39476"/>
    <n v="2023"/>
    <x v="0"/>
    <s v="万相台"/>
    <x v="0"/>
    <x v="0"/>
  </r>
  <r>
    <x v="0"/>
    <x v="0"/>
    <x v="0"/>
    <x v="0"/>
    <x v="1"/>
    <n v="39613"/>
    <n v="33156"/>
    <n v="364"/>
    <n v="383"/>
    <n v="140630"/>
    <n v="27"/>
    <n v="90315"/>
    <n v="19"/>
    <n v="3359"/>
    <n v="39149"/>
    <n v="2023"/>
    <x v="0"/>
    <s v="引力魔方"/>
    <x v="0"/>
    <x v="0"/>
  </r>
  <r>
    <x v="0"/>
    <x v="0"/>
    <x v="0"/>
    <x v="0"/>
    <x v="2"/>
    <n v="42865"/>
    <n v="40666"/>
    <n v="447"/>
    <n v="352"/>
    <n v="399525"/>
    <n v="68"/>
    <n v="183320"/>
    <n v="40"/>
    <n v="4503"/>
    <n v="42168"/>
    <n v="2023"/>
    <x v="0"/>
    <s v="直通车"/>
    <x v="0"/>
    <x v="0"/>
  </r>
  <r>
    <x v="0"/>
    <x v="0"/>
    <x v="1"/>
    <x v="1"/>
    <x v="3"/>
    <n v="2"/>
    <n v="2"/>
    <n v="0"/>
    <n v="1"/>
    <n v="0"/>
    <n v="0"/>
    <n v="0"/>
    <n v="0"/>
    <s v="[NULL]"/>
    <n v="2"/>
    <n v="2023"/>
    <x v="0"/>
    <s v="其他入口榜单"/>
    <x v="0"/>
    <x v="0"/>
  </r>
  <r>
    <x v="0"/>
    <x v="0"/>
    <x v="1"/>
    <x v="2"/>
    <x v="4"/>
    <n v="63"/>
    <n v="52"/>
    <n v="0"/>
    <n v="0"/>
    <n v="0"/>
    <n v="0"/>
    <n v="0"/>
    <n v="0"/>
    <s v="[NULL]"/>
    <n v="18"/>
    <n v="2023"/>
    <x v="0"/>
    <s v="手机浏览器访问天猫"/>
    <x v="0"/>
    <x v="0"/>
  </r>
  <r>
    <x v="0"/>
    <x v="0"/>
    <x v="1"/>
    <x v="2"/>
    <x v="5"/>
    <n v="699"/>
    <n v="542"/>
    <n v="13"/>
    <n v="0"/>
    <n v="11690"/>
    <n v="3"/>
    <n v="6990"/>
    <n v="1"/>
    <s v="[NULL]"/>
    <n v="655"/>
    <n v="2023"/>
    <x v="0"/>
    <s v="手猫免费其他"/>
    <x v="0"/>
    <x v="0"/>
  </r>
  <r>
    <x v="0"/>
    <x v="0"/>
    <x v="1"/>
    <x v="2"/>
    <x v="6"/>
    <n v="568"/>
    <n v="440"/>
    <n v="49"/>
    <n v="0"/>
    <n v="84455"/>
    <n v="8"/>
    <n v="66335"/>
    <n v="7"/>
    <s v="[NULL]"/>
    <n v="568"/>
    <n v="2023"/>
    <x v="0"/>
    <s v="手猫其他店铺"/>
    <x v="0"/>
    <x v="0"/>
  </r>
  <r>
    <x v="0"/>
    <x v="0"/>
    <x v="1"/>
    <x v="2"/>
    <x v="7"/>
    <n v="630"/>
    <n v="461"/>
    <n v="23"/>
    <n v="0"/>
    <n v="13895"/>
    <n v="3"/>
    <n v="10500"/>
    <n v="2"/>
    <s v="[NULL]"/>
    <n v="612"/>
    <n v="2023"/>
    <x v="0"/>
    <s v="手猫商品详情"/>
    <x v="0"/>
    <x v="0"/>
  </r>
  <r>
    <x v="0"/>
    <x v="0"/>
    <x v="1"/>
    <x v="2"/>
    <x v="8"/>
    <n v="948"/>
    <n v="815"/>
    <n v="31"/>
    <n v="0"/>
    <n v="41005"/>
    <n v="5"/>
    <n v="7145"/>
    <n v="2"/>
    <s v="[NULL]"/>
    <n v="713"/>
    <n v="2023"/>
    <x v="0"/>
    <s v="手猫搜索"/>
    <x v="0"/>
    <x v="0"/>
  </r>
  <r>
    <x v="0"/>
    <x v="0"/>
    <x v="1"/>
    <x v="2"/>
    <x v="9"/>
    <n v="12"/>
    <n v="6"/>
    <n v="0"/>
    <n v="0"/>
    <n v="6390"/>
    <n v="1"/>
    <n v="6390"/>
    <n v="1"/>
    <s v="[NULL]"/>
    <n v="10"/>
    <n v="2023"/>
    <x v="0"/>
    <s v="手猫旺信聊天"/>
    <x v="0"/>
    <x v="0"/>
  </r>
  <r>
    <x v="0"/>
    <x v="0"/>
    <x v="1"/>
    <x v="2"/>
    <x v="10"/>
    <n v="2333"/>
    <n v="2005"/>
    <n v="22"/>
    <n v="1"/>
    <n v="9500"/>
    <n v="1"/>
    <n v="9500"/>
    <n v="1"/>
    <s v="[NULL]"/>
    <n v="2333"/>
    <n v="2023"/>
    <x v="0"/>
    <s v="手猫首页"/>
    <x v="0"/>
    <x v="0"/>
  </r>
  <r>
    <x v="0"/>
    <x v="0"/>
    <x v="1"/>
    <x v="3"/>
    <x v="11"/>
    <n v="1488"/>
    <n v="900"/>
    <n v="39"/>
    <n v="31"/>
    <n v="20640"/>
    <n v="4"/>
    <n v="16490"/>
    <n v="3"/>
    <s v="[NULL]"/>
    <n v="1442"/>
    <n v="2023"/>
    <x v="0"/>
    <s v="商品详情页头图推荐"/>
    <x v="0"/>
    <x v="0"/>
  </r>
  <r>
    <x v="0"/>
    <x v="0"/>
    <x v="1"/>
    <x v="3"/>
    <x v="12"/>
    <n v="477"/>
    <n v="396"/>
    <n v="12"/>
    <n v="3"/>
    <n v="12955"/>
    <n v="3"/>
    <n v="12955"/>
    <n v="3"/>
    <s v="[NULL]"/>
    <n v="260"/>
    <n v="2023"/>
    <x v="0"/>
    <s v="店铺超链"/>
    <x v="0"/>
    <x v="0"/>
  </r>
  <r>
    <x v="0"/>
    <x v="0"/>
    <x v="1"/>
    <x v="4"/>
    <x v="13"/>
    <n v="1306"/>
    <n v="885"/>
    <n v="11"/>
    <n v="16"/>
    <n v="24430"/>
    <n v="6"/>
    <n v="17640"/>
    <n v="5"/>
    <s v="[NULL]"/>
    <n v="1168"/>
    <n v="2023"/>
    <x v="0"/>
    <s v="其他猜你喜欢"/>
    <x v="0"/>
    <x v="0"/>
  </r>
  <r>
    <x v="0"/>
    <x v="0"/>
    <x v="1"/>
    <x v="4"/>
    <x v="14"/>
    <n v="100"/>
    <n v="95"/>
    <n v="1"/>
    <n v="3"/>
    <n v="0"/>
    <n v="0"/>
    <n v="0"/>
    <n v="0"/>
    <s v="[NULL]"/>
    <n v="100"/>
    <n v="2023"/>
    <x v="0"/>
    <s v="推荐云主题"/>
    <x v="0"/>
    <x v="0"/>
  </r>
  <r>
    <x v="0"/>
    <x v="0"/>
    <x v="1"/>
    <x v="4"/>
    <x v="15"/>
    <n v="61"/>
    <n v="29"/>
    <n v="3"/>
    <n v="0"/>
    <n v="3795"/>
    <n v="1"/>
    <n v="0"/>
    <n v="0"/>
    <s v="[NULL]"/>
    <n v="61"/>
    <n v="2023"/>
    <x v="0"/>
    <s v="购中推荐"/>
    <x v="0"/>
    <x v="0"/>
  </r>
  <r>
    <x v="0"/>
    <x v="0"/>
    <x v="1"/>
    <x v="4"/>
    <x v="16"/>
    <n v="481"/>
    <n v="289"/>
    <n v="5"/>
    <n v="3"/>
    <n v="14945"/>
    <n v="2"/>
    <n v="14945"/>
    <n v="2"/>
    <s v="[NULL]"/>
    <n v="481"/>
    <n v="2023"/>
    <x v="0"/>
    <s v="购后推荐"/>
    <x v="0"/>
    <x v="0"/>
  </r>
  <r>
    <x v="0"/>
    <x v="0"/>
    <x v="1"/>
    <x v="4"/>
    <x v="17"/>
    <n v="270662"/>
    <n v="263500"/>
    <n v="300"/>
    <n v="299"/>
    <n v="173305"/>
    <n v="16"/>
    <n v="53370"/>
    <n v="9"/>
    <s v="[NULL]"/>
    <n v="270662"/>
    <n v="2023"/>
    <x v="0"/>
    <s v="首页推荐-微详情"/>
    <x v="0"/>
    <x v="0"/>
  </r>
  <r>
    <x v="0"/>
    <x v="0"/>
    <x v="1"/>
    <x v="4"/>
    <x v="18"/>
    <n v="818"/>
    <n v="385"/>
    <n v="0"/>
    <n v="3"/>
    <n v="0"/>
    <n v="0"/>
    <n v="0"/>
    <n v="0"/>
    <s v="[NULL]"/>
    <n v="134"/>
    <n v="2023"/>
    <x v="0"/>
    <s v="首页推荐-直播"/>
    <x v="0"/>
    <x v="0"/>
  </r>
  <r>
    <x v="0"/>
    <x v="0"/>
    <x v="1"/>
    <x v="4"/>
    <x v="19"/>
    <n v="84"/>
    <n v="62"/>
    <n v="0"/>
    <n v="0"/>
    <n v="0"/>
    <n v="0"/>
    <n v="0"/>
    <n v="0"/>
    <s v="[NULL]"/>
    <n v="0"/>
    <n v="2023"/>
    <x v="0"/>
    <s v="首页推荐-短视频"/>
    <x v="0"/>
    <x v="0"/>
  </r>
  <r>
    <x v="0"/>
    <x v="0"/>
    <x v="0"/>
    <x v="5"/>
    <x v="20"/>
    <n v="1"/>
    <n v="1"/>
    <n v="0"/>
    <n v="0"/>
    <n v="0"/>
    <n v="0"/>
    <n v="0"/>
    <n v="0"/>
    <s v="[NULL]"/>
    <n v="1"/>
    <n v="2023"/>
    <x v="0"/>
    <s v="超级短视频"/>
    <x v="0"/>
    <x v="0"/>
  </r>
  <r>
    <x v="0"/>
    <x v="0"/>
    <x v="0"/>
    <x v="6"/>
    <x v="21"/>
    <n v="12614"/>
    <n v="11910"/>
    <n v="230"/>
    <n v="102"/>
    <n v="245210"/>
    <n v="33"/>
    <n v="177965"/>
    <n v="30"/>
    <s v="[NULL]"/>
    <n v="6043"/>
    <n v="2023"/>
    <x v="0"/>
    <s v="品销宝-品牌专区"/>
    <x v="0"/>
    <x v="0"/>
  </r>
  <r>
    <x v="0"/>
    <x v="0"/>
    <x v="0"/>
    <x v="7"/>
    <x v="22"/>
    <n v="3"/>
    <n v="3"/>
    <n v="0"/>
    <n v="0"/>
    <n v="0"/>
    <n v="0"/>
    <n v="0"/>
    <n v="0"/>
    <s v="[NULL]"/>
    <n v="2"/>
    <n v="2023"/>
    <x v="0"/>
    <s v="UD效果投放"/>
    <x v="0"/>
    <x v="0"/>
  </r>
  <r>
    <x v="0"/>
    <x v="0"/>
    <x v="0"/>
    <x v="7"/>
    <x v="23"/>
    <n v="249"/>
    <n v="236"/>
    <n v="0"/>
    <n v="0"/>
    <n v="0"/>
    <n v="0"/>
    <n v="0"/>
    <n v="0"/>
    <s v="[NULL]"/>
    <n v="228"/>
    <n v="2023"/>
    <x v="0"/>
    <s v="流量宝"/>
    <x v="0"/>
    <x v="0"/>
  </r>
  <r>
    <x v="0"/>
    <x v="0"/>
    <x v="0"/>
    <x v="7"/>
    <x v="24"/>
    <n v="4659"/>
    <n v="3703"/>
    <n v="6"/>
    <n v="5"/>
    <n v="84255"/>
    <n v="6"/>
    <n v="70470"/>
    <n v="6"/>
    <s v="[NULL]"/>
    <n v="4452"/>
    <n v="2023"/>
    <x v="0"/>
    <s v="淘宝客"/>
    <x v="0"/>
    <x v="0"/>
  </r>
  <r>
    <x v="0"/>
    <x v="1"/>
    <x v="1"/>
    <x v="8"/>
    <x v="25"/>
    <n v="1430"/>
    <n v="1126"/>
    <n v="15"/>
    <n v="14"/>
    <n v="16359"/>
    <n v="6"/>
    <n v="7518"/>
    <n v="3"/>
    <s v="[NULL]"/>
    <n v="1407"/>
    <n v="2023"/>
    <x v="1"/>
    <s v="主会场"/>
    <x v="0"/>
    <x v="0"/>
  </r>
  <r>
    <x v="0"/>
    <x v="1"/>
    <x v="1"/>
    <x v="8"/>
    <x v="26"/>
    <n v="2"/>
    <n v="2"/>
    <n v="0"/>
    <n v="0"/>
    <n v="0"/>
    <n v="0"/>
    <n v="0"/>
    <n v="0"/>
    <s v="[NULL]"/>
    <n v="2"/>
    <n v="2023"/>
    <x v="1"/>
    <s v="榜单会场"/>
    <x v="0"/>
    <x v="0"/>
  </r>
  <r>
    <x v="0"/>
    <x v="1"/>
    <x v="1"/>
    <x v="9"/>
    <x v="27"/>
    <n v="14"/>
    <n v="7"/>
    <n v="0"/>
    <n v="0"/>
    <n v="0"/>
    <n v="0"/>
    <n v="0"/>
    <n v="0"/>
    <s v="[NULL]"/>
    <n v="14"/>
    <n v="2023"/>
    <x v="1"/>
    <s v="超级惊喜站"/>
    <x v="0"/>
    <x v="0"/>
  </r>
  <r>
    <x v="0"/>
    <x v="1"/>
    <x v="1"/>
    <x v="1"/>
    <x v="3"/>
    <n v="41"/>
    <n v="24"/>
    <n v="2"/>
    <n v="1"/>
    <n v="3718"/>
    <n v="1"/>
    <n v="0"/>
    <n v="0"/>
    <s v="[NULL]"/>
    <n v="41"/>
    <n v="2023"/>
    <x v="1"/>
    <s v="其他入口榜单"/>
    <x v="0"/>
    <x v="0"/>
  </r>
  <r>
    <x v="0"/>
    <x v="1"/>
    <x v="1"/>
    <x v="1"/>
    <x v="28"/>
    <n v="1"/>
    <n v="1"/>
    <n v="0"/>
    <n v="0"/>
    <n v="0"/>
    <n v="0"/>
    <n v="0"/>
    <n v="0"/>
    <s v="[NULL]"/>
    <n v="1"/>
    <n v="2023"/>
    <x v="1"/>
    <s v="商品详情页入口榜单"/>
    <x v="0"/>
    <x v="0"/>
  </r>
  <r>
    <x v="0"/>
    <x v="1"/>
    <x v="1"/>
    <x v="2"/>
    <x v="4"/>
    <n v="80"/>
    <n v="76"/>
    <n v="1"/>
    <n v="1"/>
    <n v="0"/>
    <n v="0"/>
    <n v="0"/>
    <n v="0"/>
    <s v="[NULL]"/>
    <n v="30"/>
    <n v="2023"/>
    <x v="1"/>
    <s v="手机浏览器访问天猫"/>
    <x v="0"/>
    <x v="0"/>
  </r>
  <r>
    <x v="0"/>
    <x v="1"/>
    <x v="1"/>
    <x v="2"/>
    <x v="5"/>
    <n v="747"/>
    <n v="516"/>
    <n v="24"/>
    <n v="0"/>
    <n v="22010"/>
    <n v="4"/>
    <n v="21015"/>
    <n v="4"/>
    <s v="[NULL]"/>
    <n v="706"/>
    <n v="2023"/>
    <x v="1"/>
    <s v="手猫免费其他"/>
    <x v="0"/>
    <x v="0"/>
  </r>
  <r>
    <x v="0"/>
    <x v="1"/>
    <x v="1"/>
    <x v="2"/>
    <x v="6"/>
    <n v="722"/>
    <n v="550"/>
    <n v="91"/>
    <n v="2"/>
    <n v="49993"/>
    <n v="12"/>
    <n v="41245"/>
    <n v="10"/>
    <s v="[NULL]"/>
    <n v="722"/>
    <n v="2023"/>
    <x v="1"/>
    <s v="手猫其他店铺"/>
    <x v="0"/>
    <x v="0"/>
  </r>
  <r>
    <x v="0"/>
    <x v="1"/>
    <x v="1"/>
    <x v="2"/>
    <x v="7"/>
    <n v="863"/>
    <n v="603"/>
    <n v="47"/>
    <n v="0"/>
    <n v="46461"/>
    <n v="11"/>
    <n v="39286"/>
    <n v="8"/>
    <s v="[NULL]"/>
    <n v="845"/>
    <n v="2023"/>
    <x v="1"/>
    <s v="手猫商品详情"/>
    <x v="0"/>
    <x v="0"/>
  </r>
  <r>
    <x v="0"/>
    <x v="1"/>
    <x v="1"/>
    <x v="2"/>
    <x v="8"/>
    <n v="1086"/>
    <n v="924"/>
    <n v="48"/>
    <n v="1"/>
    <n v="30980"/>
    <n v="7"/>
    <n v="25635"/>
    <n v="6"/>
    <s v="[NULL]"/>
    <n v="839"/>
    <n v="2023"/>
    <x v="1"/>
    <s v="手猫搜索"/>
    <x v="0"/>
    <x v="0"/>
  </r>
  <r>
    <x v="0"/>
    <x v="1"/>
    <x v="1"/>
    <x v="2"/>
    <x v="9"/>
    <n v="22"/>
    <n v="10"/>
    <n v="1"/>
    <n v="0"/>
    <n v="6590"/>
    <n v="2"/>
    <n v="6590"/>
    <n v="2"/>
    <s v="[NULL]"/>
    <n v="22"/>
    <n v="2023"/>
    <x v="1"/>
    <s v="手猫旺信聊天"/>
    <x v="0"/>
    <x v="0"/>
  </r>
  <r>
    <x v="0"/>
    <x v="1"/>
    <x v="1"/>
    <x v="2"/>
    <x v="29"/>
    <n v="5"/>
    <n v="0"/>
    <n v="0"/>
    <n v="0"/>
    <n v="0"/>
    <n v="0"/>
    <n v="0"/>
    <n v="0"/>
    <s v="[NULL]"/>
    <n v="5"/>
    <n v="2023"/>
    <x v="1"/>
    <s v="手猫消息中心"/>
    <x v="0"/>
    <x v="0"/>
  </r>
  <r>
    <x v="0"/>
    <x v="1"/>
    <x v="1"/>
    <x v="2"/>
    <x v="10"/>
    <n v="3031"/>
    <n v="2600"/>
    <n v="64"/>
    <n v="0"/>
    <n v="19975"/>
    <n v="8"/>
    <n v="11440"/>
    <n v="3"/>
    <s v="[NULL]"/>
    <n v="3031"/>
    <n v="2023"/>
    <x v="1"/>
    <s v="手猫首页"/>
    <x v="0"/>
    <x v="0"/>
  </r>
  <r>
    <x v="0"/>
    <x v="1"/>
    <x v="1"/>
    <x v="3"/>
    <x v="11"/>
    <n v="2633"/>
    <n v="1509"/>
    <n v="107"/>
    <n v="45"/>
    <n v="77411"/>
    <n v="28"/>
    <n v="26308"/>
    <n v="8"/>
    <s v="[NULL]"/>
    <n v="2548"/>
    <n v="2023"/>
    <x v="1"/>
    <s v="商品详情页头图推荐"/>
    <x v="0"/>
    <x v="0"/>
  </r>
  <r>
    <x v="0"/>
    <x v="1"/>
    <x v="1"/>
    <x v="3"/>
    <x v="12"/>
    <n v="493"/>
    <n v="374"/>
    <n v="18"/>
    <n v="6"/>
    <n v="6850"/>
    <n v="2"/>
    <n v="6850"/>
    <n v="2"/>
    <s v="[NULL]"/>
    <n v="245"/>
    <n v="2023"/>
    <x v="1"/>
    <s v="店铺超链"/>
    <x v="0"/>
    <x v="0"/>
  </r>
  <r>
    <x v="0"/>
    <x v="1"/>
    <x v="0"/>
    <x v="6"/>
    <x v="30"/>
    <n v="20067"/>
    <n v="18200"/>
    <n v="157"/>
    <n v="124"/>
    <n v="71048"/>
    <n v="21"/>
    <n v="46519"/>
    <n v="11"/>
    <s v="[NULL]"/>
    <n v="6142"/>
    <n v="2023"/>
    <x v="1"/>
    <s v="其他猜你喜欢"/>
    <x v="0"/>
    <x v="0"/>
  </r>
  <r>
    <x v="0"/>
    <x v="1"/>
    <x v="1"/>
    <x v="4"/>
    <x v="14"/>
    <n v="127"/>
    <n v="118"/>
    <n v="0"/>
    <n v="0"/>
    <n v="0"/>
    <n v="0"/>
    <n v="0"/>
    <n v="0"/>
    <s v="[NULL]"/>
    <n v="127"/>
    <n v="2023"/>
    <x v="1"/>
    <s v="推荐云主题"/>
    <x v="0"/>
    <x v="0"/>
  </r>
  <r>
    <x v="0"/>
    <x v="1"/>
    <x v="1"/>
    <x v="4"/>
    <x v="15"/>
    <n v="169"/>
    <n v="81"/>
    <n v="3"/>
    <n v="4"/>
    <n v="0"/>
    <n v="0"/>
    <n v="0"/>
    <n v="0"/>
    <s v="[NULL]"/>
    <n v="169"/>
    <n v="2023"/>
    <x v="1"/>
    <s v="购中推荐"/>
    <x v="0"/>
    <x v="0"/>
  </r>
  <r>
    <x v="0"/>
    <x v="1"/>
    <x v="1"/>
    <x v="4"/>
    <x v="16"/>
    <n v="937"/>
    <n v="508"/>
    <n v="13"/>
    <n v="6"/>
    <n v="3922"/>
    <n v="2"/>
    <n v="2125"/>
    <n v="1"/>
    <s v="[NULL]"/>
    <n v="937"/>
    <n v="2023"/>
    <x v="1"/>
    <s v="购后推荐"/>
    <x v="0"/>
    <x v="0"/>
  </r>
  <r>
    <x v="0"/>
    <x v="1"/>
    <x v="1"/>
    <x v="4"/>
    <x v="17"/>
    <n v="103481"/>
    <n v="96748"/>
    <n v="351"/>
    <n v="279"/>
    <n v="106353"/>
    <n v="31"/>
    <n v="42350"/>
    <n v="14"/>
    <s v="[NULL]"/>
    <n v="103481"/>
    <n v="2023"/>
    <x v="1"/>
    <s v="首页推荐-微详情"/>
    <x v="0"/>
    <x v="0"/>
  </r>
  <r>
    <x v="0"/>
    <x v="1"/>
    <x v="1"/>
    <x v="4"/>
    <x v="18"/>
    <n v="416"/>
    <n v="183"/>
    <n v="1"/>
    <n v="1"/>
    <n v="0"/>
    <n v="0"/>
    <n v="0"/>
    <n v="0"/>
    <s v="[NULL]"/>
    <n v="57"/>
    <n v="2023"/>
    <x v="1"/>
    <s v="首页推荐-直播"/>
    <x v="0"/>
    <x v="0"/>
  </r>
  <r>
    <x v="0"/>
    <x v="1"/>
    <x v="1"/>
    <x v="4"/>
    <x v="19"/>
    <n v="200"/>
    <n v="165"/>
    <n v="0"/>
    <n v="0"/>
    <n v="0"/>
    <n v="0"/>
    <n v="0"/>
    <n v="0"/>
    <s v="[NULL]"/>
    <n v="1"/>
    <n v="2023"/>
    <x v="1"/>
    <s v="首页推荐-短视频"/>
    <x v="0"/>
    <x v="0"/>
  </r>
  <r>
    <x v="0"/>
    <x v="1"/>
    <x v="1"/>
    <x v="10"/>
    <x v="31"/>
    <n v="14"/>
    <n v="7"/>
    <n v="0"/>
    <n v="0"/>
    <n v="0"/>
    <n v="0"/>
    <n v="0"/>
    <n v="0"/>
    <n v="0"/>
    <n v="14"/>
    <n v="2023"/>
    <x v="1"/>
    <s v="阿里妈妈超级惊喜站"/>
    <x v="0"/>
    <x v="0"/>
  </r>
  <r>
    <x v="0"/>
    <x v="1"/>
    <x v="0"/>
    <x v="5"/>
    <x v="20"/>
    <n v="3"/>
    <n v="3"/>
    <n v="0"/>
    <n v="0"/>
    <n v="0"/>
    <n v="0"/>
    <n v="0"/>
    <n v="0"/>
    <s v="[NULL]"/>
    <n v="3"/>
    <n v="2023"/>
    <x v="1"/>
    <s v="超级短视频"/>
    <x v="0"/>
    <x v="0"/>
  </r>
  <r>
    <x v="0"/>
    <x v="1"/>
    <x v="0"/>
    <x v="6"/>
    <x v="21"/>
    <n v="13744"/>
    <n v="12783"/>
    <n v="358"/>
    <n v="127"/>
    <n v="309046"/>
    <n v="52"/>
    <n v="243145"/>
    <n v="41"/>
    <s v="[NULL]"/>
    <n v="6770"/>
    <n v="2023"/>
    <x v="1"/>
    <s v="品销宝-品牌专区"/>
    <x v="0"/>
    <x v="0"/>
  </r>
  <r>
    <x v="0"/>
    <x v="1"/>
    <x v="0"/>
    <x v="6"/>
    <x v="32"/>
    <n v="7"/>
    <s v="[NULL]"/>
    <s v="[NULL]"/>
    <s v="[NULL]"/>
    <s v="[NULL]"/>
    <s v="[NULL]"/>
    <s v="[NULL]"/>
    <s v="[NULL]"/>
    <s v="[NULL]"/>
    <s v="[NULL]"/>
    <n v="2023"/>
    <x v="1"/>
    <s v="超级互动城"/>
    <x v="0"/>
    <x v="0"/>
  </r>
  <r>
    <x v="0"/>
    <x v="1"/>
    <x v="0"/>
    <x v="0"/>
    <x v="0"/>
    <n v="59097"/>
    <n v="51838"/>
    <n v="889"/>
    <n v="391"/>
    <n v="636595"/>
    <n v="182"/>
    <n v="379143"/>
    <n v="107"/>
    <n v="3524"/>
    <n v="58958"/>
    <n v="2023"/>
    <x v="1"/>
    <s v="万相台"/>
    <x v="0"/>
    <x v="0"/>
  </r>
  <r>
    <x v="0"/>
    <x v="1"/>
    <x v="0"/>
    <x v="0"/>
    <x v="1"/>
    <n v="140008"/>
    <n v="128876"/>
    <n v="1062"/>
    <n v="646"/>
    <n v="243331"/>
    <n v="88"/>
    <n v="82984"/>
    <n v="34"/>
    <n v="7924"/>
    <n v="138992"/>
    <n v="2023"/>
    <x v="1"/>
    <s v="引力魔方"/>
    <x v="0"/>
    <x v="0"/>
  </r>
  <r>
    <x v="0"/>
    <x v="1"/>
    <x v="0"/>
    <x v="7"/>
    <x v="33"/>
    <n v="9"/>
    <n v="7"/>
    <n v="0"/>
    <n v="0"/>
    <n v="0"/>
    <n v="0"/>
    <n v="0"/>
    <n v="0"/>
    <s v="[NULL]"/>
    <n v="8"/>
    <n v="2023"/>
    <x v="1"/>
    <s v="UD品牌投放"/>
    <x v="0"/>
    <x v="0"/>
  </r>
  <r>
    <x v="0"/>
    <x v="1"/>
    <x v="0"/>
    <x v="7"/>
    <x v="22"/>
    <n v="3"/>
    <n v="2"/>
    <n v="0"/>
    <n v="0"/>
    <n v="0"/>
    <n v="0"/>
    <n v="0"/>
    <n v="0"/>
    <s v="[NULL]"/>
    <n v="3"/>
    <n v="2023"/>
    <x v="1"/>
    <s v="UD效果投放"/>
    <x v="0"/>
    <x v="0"/>
  </r>
  <r>
    <x v="0"/>
    <x v="1"/>
    <x v="0"/>
    <x v="7"/>
    <x v="23"/>
    <n v="339"/>
    <n v="279"/>
    <n v="7"/>
    <n v="1"/>
    <n v="0"/>
    <n v="0"/>
    <n v="0"/>
    <n v="0"/>
    <s v="[NULL]"/>
    <n v="184"/>
    <n v="2023"/>
    <x v="1"/>
    <s v="流量宝"/>
    <x v="0"/>
    <x v="0"/>
  </r>
  <r>
    <x v="0"/>
    <x v="1"/>
    <x v="0"/>
    <x v="7"/>
    <x v="24"/>
    <n v="3563"/>
    <n v="1907"/>
    <n v="16"/>
    <n v="12"/>
    <n v="66722"/>
    <n v="15"/>
    <n v="32481"/>
    <n v="11"/>
    <s v="[NULL]"/>
    <n v="3366"/>
    <n v="2023"/>
    <x v="1"/>
    <s v="淘宝客"/>
    <x v="0"/>
    <x v="0"/>
  </r>
  <r>
    <x v="0"/>
    <x v="1"/>
    <x v="0"/>
    <x v="0"/>
    <x v="2"/>
    <n v="84149"/>
    <n v="80740"/>
    <n v="877"/>
    <n v="566"/>
    <n v="638851"/>
    <n v="143"/>
    <n v="308650"/>
    <n v="89"/>
    <n v="7020"/>
    <n v="82996"/>
    <n v="2023"/>
    <x v="1"/>
    <s v="直通车"/>
    <x v="0"/>
    <x v="0"/>
  </r>
  <r>
    <x v="0"/>
    <x v="2"/>
    <x v="1"/>
    <x v="8"/>
    <x v="25"/>
    <n v="1656"/>
    <n v="1103"/>
    <n v="39"/>
    <n v="20"/>
    <n v="62091"/>
    <n v="17"/>
    <n v="50305"/>
    <n v="14"/>
    <m/>
    <n v="1550"/>
    <n v="2023"/>
    <x v="2"/>
    <s v="主会场"/>
    <x v="0"/>
    <x v="0"/>
  </r>
  <r>
    <x v="0"/>
    <x v="2"/>
    <x v="1"/>
    <x v="8"/>
    <x v="26"/>
    <n v="2"/>
    <n v="0"/>
    <n v="0"/>
    <n v="0"/>
    <n v="0"/>
    <n v="0"/>
    <n v="0"/>
    <n v="0"/>
    <m/>
    <n v="2"/>
    <n v="2023"/>
    <x v="2"/>
    <s v="榜单会场"/>
    <x v="0"/>
    <x v="0"/>
  </r>
  <r>
    <x v="0"/>
    <x v="2"/>
    <x v="1"/>
    <x v="8"/>
    <x v="34"/>
    <n v="5"/>
    <n v="4"/>
    <n v="0"/>
    <n v="1"/>
    <n v="0"/>
    <n v="0"/>
    <n v="0"/>
    <n v="0"/>
    <m/>
    <n v="4"/>
    <n v="2023"/>
    <x v="2"/>
    <s v="热点会场"/>
    <x v="0"/>
    <x v="0"/>
  </r>
  <r>
    <x v="0"/>
    <x v="2"/>
    <x v="1"/>
    <x v="9"/>
    <x v="27"/>
    <n v="51"/>
    <n v="34"/>
    <n v="0"/>
    <n v="0"/>
    <n v="0"/>
    <n v="0"/>
    <n v="0"/>
    <n v="0"/>
    <m/>
    <n v="51"/>
    <n v="2023"/>
    <x v="2"/>
    <s v="超级惊喜站"/>
    <x v="0"/>
    <x v="0"/>
  </r>
  <r>
    <x v="0"/>
    <x v="2"/>
    <x v="1"/>
    <x v="1"/>
    <x v="3"/>
    <n v="199"/>
    <n v="145"/>
    <n v="2"/>
    <n v="1"/>
    <n v="0"/>
    <n v="0"/>
    <n v="0"/>
    <n v="0"/>
    <m/>
    <n v="199"/>
    <n v="2023"/>
    <x v="2"/>
    <s v="其他入口榜单"/>
    <x v="0"/>
    <x v="0"/>
  </r>
  <r>
    <x v="0"/>
    <x v="2"/>
    <x v="1"/>
    <x v="1"/>
    <x v="28"/>
    <n v="1"/>
    <n v="1"/>
    <n v="0"/>
    <n v="0"/>
    <n v="0"/>
    <n v="0"/>
    <n v="0"/>
    <n v="0"/>
    <m/>
    <n v="1"/>
    <n v="2023"/>
    <x v="2"/>
    <s v="商品详情页入口榜单"/>
    <x v="0"/>
    <x v="0"/>
  </r>
  <r>
    <x v="0"/>
    <x v="2"/>
    <x v="1"/>
    <x v="1"/>
    <x v="35"/>
    <n v="1"/>
    <n v="1"/>
    <n v="0"/>
    <n v="0"/>
    <n v="0"/>
    <n v="0"/>
    <n v="0"/>
    <n v="0"/>
    <m/>
    <n v="1"/>
    <n v="2023"/>
    <x v="2"/>
    <s v="搜索入口榜单"/>
    <x v="0"/>
    <x v="0"/>
  </r>
  <r>
    <x v="0"/>
    <x v="2"/>
    <x v="1"/>
    <x v="2"/>
    <x v="4"/>
    <n v="80"/>
    <n v="74"/>
    <n v="0"/>
    <n v="0"/>
    <n v="0"/>
    <n v="0"/>
    <n v="0"/>
    <n v="0"/>
    <m/>
    <n v="29"/>
    <n v="2023"/>
    <x v="2"/>
    <s v="手机浏览器访问天猫"/>
    <x v="0"/>
    <x v="0"/>
  </r>
  <r>
    <x v="0"/>
    <x v="2"/>
    <x v="1"/>
    <x v="2"/>
    <x v="5"/>
    <n v="1086"/>
    <n v="681"/>
    <n v="19"/>
    <n v="0"/>
    <n v="15920"/>
    <n v="5"/>
    <n v="4960"/>
    <n v="2"/>
    <m/>
    <n v="1041"/>
    <n v="2023"/>
    <x v="2"/>
    <s v="手猫免费其他"/>
    <x v="0"/>
    <x v="0"/>
  </r>
  <r>
    <x v="0"/>
    <x v="2"/>
    <x v="1"/>
    <x v="2"/>
    <x v="6"/>
    <n v="783"/>
    <n v="542"/>
    <n v="96"/>
    <n v="0"/>
    <n v="71326"/>
    <n v="22"/>
    <n v="69906"/>
    <n v="22"/>
    <m/>
    <n v="783"/>
    <n v="2023"/>
    <x v="2"/>
    <s v="手猫其他店铺"/>
    <x v="0"/>
    <x v="0"/>
  </r>
  <r>
    <x v="0"/>
    <x v="2"/>
    <x v="1"/>
    <x v="2"/>
    <x v="7"/>
    <n v="979"/>
    <n v="661"/>
    <n v="70"/>
    <n v="1"/>
    <n v="52878"/>
    <n v="14"/>
    <n v="45063"/>
    <n v="14"/>
    <m/>
    <n v="962"/>
    <n v="2023"/>
    <x v="2"/>
    <s v="手猫商品详情"/>
    <x v="0"/>
    <x v="0"/>
  </r>
  <r>
    <x v="0"/>
    <x v="2"/>
    <x v="1"/>
    <x v="2"/>
    <x v="8"/>
    <n v="1158"/>
    <n v="954"/>
    <n v="59"/>
    <n v="0"/>
    <n v="33156.5"/>
    <n v="12"/>
    <n v="27836.5"/>
    <n v="11"/>
    <m/>
    <n v="930"/>
    <n v="2023"/>
    <x v="2"/>
    <s v="手猫搜索"/>
    <x v="0"/>
    <x v="0"/>
  </r>
  <r>
    <x v="0"/>
    <x v="2"/>
    <x v="1"/>
    <x v="2"/>
    <x v="9"/>
    <n v="35"/>
    <n v="15"/>
    <n v="6"/>
    <n v="0"/>
    <n v="37630.5"/>
    <n v="9"/>
    <n v="37630.5"/>
    <n v="9"/>
    <m/>
    <n v="35"/>
    <n v="2023"/>
    <x v="2"/>
    <s v="手猫旺信聊天"/>
    <x v="0"/>
    <x v="0"/>
  </r>
  <r>
    <x v="0"/>
    <x v="2"/>
    <x v="1"/>
    <x v="2"/>
    <x v="29"/>
    <n v="3"/>
    <n v="1"/>
    <n v="0"/>
    <n v="0"/>
    <n v="0"/>
    <n v="0"/>
    <n v="0"/>
    <n v="0"/>
    <m/>
    <n v="3"/>
    <n v="2023"/>
    <x v="2"/>
    <s v="手猫消息中心"/>
    <x v="0"/>
    <x v="0"/>
  </r>
  <r>
    <x v="0"/>
    <x v="2"/>
    <x v="1"/>
    <x v="2"/>
    <x v="10"/>
    <n v="3259"/>
    <n v="2662"/>
    <n v="77"/>
    <n v="0"/>
    <n v="54498"/>
    <n v="15"/>
    <n v="54498"/>
    <n v="15"/>
    <m/>
    <n v="3258"/>
    <n v="2023"/>
    <x v="2"/>
    <s v="手猫首页"/>
    <x v="0"/>
    <x v="0"/>
  </r>
  <r>
    <x v="0"/>
    <x v="2"/>
    <x v="1"/>
    <x v="3"/>
    <x v="11"/>
    <n v="2370"/>
    <n v="1283"/>
    <n v="110"/>
    <n v="47"/>
    <n v="127497.11"/>
    <n v="36"/>
    <n v="107301.11"/>
    <n v="29"/>
    <m/>
    <n v="2273"/>
    <n v="2023"/>
    <x v="2"/>
    <s v="商品详情页头图推荐"/>
    <x v="0"/>
    <x v="0"/>
  </r>
  <r>
    <x v="0"/>
    <x v="2"/>
    <x v="1"/>
    <x v="3"/>
    <x v="12"/>
    <n v="428"/>
    <n v="280"/>
    <n v="22"/>
    <n v="9"/>
    <n v="10981"/>
    <n v="4"/>
    <n v="4265"/>
    <n v="2"/>
    <m/>
    <n v="223"/>
    <n v="2023"/>
    <x v="2"/>
    <s v="店铺超链"/>
    <x v="0"/>
    <x v="0"/>
  </r>
  <r>
    <x v="0"/>
    <x v="2"/>
    <x v="0"/>
    <x v="6"/>
    <x v="30"/>
    <n v="37887"/>
    <n v="34356"/>
    <n v="297"/>
    <n v="189"/>
    <n v="159147.32999999999"/>
    <n v="49"/>
    <n v="115700.33"/>
    <n v="40"/>
    <m/>
    <n v="11029"/>
    <n v="2023"/>
    <x v="2"/>
    <s v="其他猜你喜欢"/>
    <x v="0"/>
    <x v="0"/>
  </r>
  <r>
    <x v="0"/>
    <x v="2"/>
    <x v="1"/>
    <x v="4"/>
    <x v="14"/>
    <n v="32"/>
    <n v="26"/>
    <n v="0"/>
    <n v="0"/>
    <n v="0"/>
    <n v="0"/>
    <n v="0"/>
    <n v="0"/>
    <m/>
    <n v="32"/>
    <n v="2023"/>
    <x v="2"/>
    <s v="推荐云主题"/>
    <x v="0"/>
    <x v="0"/>
  </r>
  <r>
    <x v="0"/>
    <x v="2"/>
    <x v="1"/>
    <x v="4"/>
    <x v="15"/>
    <n v="284"/>
    <n v="166"/>
    <n v="7"/>
    <n v="3"/>
    <n v="5883"/>
    <n v="2"/>
    <n v="3195"/>
    <n v="1"/>
    <m/>
    <n v="222"/>
    <n v="2023"/>
    <x v="2"/>
    <s v="购中推荐"/>
    <x v="0"/>
    <x v="0"/>
  </r>
  <r>
    <x v="0"/>
    <x v="2"/>
    <x v="1"/>
    <x v="4"/>
    <x v="16"/>
    <n v="2137"/>
    <n v="1458"/>
    <n v="27"/>
    <n v="21"/>
    <n v="12525"/>
    <n v="4"/>
    <n v="10030"/>
    <n v="3"/>
    <m/>
    <n v="1602"/>
    <n v="2023"/>
    <x v="2"/>
    <s v="购后推荐"/>
    <x v="0"/>
    <x v="0"/>
  </r>
  <r>
    <x v="0"/>
    <x v="2"/>
    <x v="1"/>
    <x v="4"/>
    <x v="17"/>
    <n v="54549"/>
    <n v="48442"/>
    <n v="292"/>
    <n v="169"/>
    <n v="176345.75"/>
    <n v="48"/>
    <n v="110292.75"/>
    <n v="42"/>
    <m/>
    <n v="54549"/>
    <n v="2023"/>
    <x v="2"/>
    <s v="首页推荐-微详情"/>
    <x v="0"/>
    <x v="0"/>
  </r>
  <r>
    <x v="0"/>
    <x v="2"/>
    <x v="1"/>
    <x v="4"/>
    <x v="18"/>
    <n v="49"/>
    <n v="17"/>
    <n v="0"/>
    <n v="0"/>
    <n v="0"/>
    <n v="0"/>
    <n v="0"/>
    <n v="0"/>
    <m/>
    <n v="4"/>
    <n v="2023"/>
    <x v="2"/>
    <s v="首页推荐-直播"/>
    <x v="0"/>
    <x v="0"/>
  </r>
  <r>
    <x v="0"/>
    <x v="2"/>
    <x v="1"/>
    <x v="4"/>
    <x v="19"/>
    <n v="46"/>
    <n v="28"/>
    <n v="0"/>
    <n v="0"/>
    <n v="0"/>
    <n v="0"/>
    <n v="0"/>
    <n v="0"/>
    <m/>
    <n v="0"/>
    <n v="2023"/>
    <x v="2"/>
    <s v="首页推荐-短视频"/>
    <x v="0"/>
    <x v="0"/>
  </r>
  <r>
    <x v="0"/>
    <x v="2"/>
    <x v="1"/>
    <x v="11"/>
    <x v="36"/>
    <n v="13"/>
    <n v="6"/>
    <n v="0"/>
    <n v="0"/>
    <n v="2656.5"/>
    <n v="1"/>
    <n v="2656.5"/>
    <n v="1"/>
    <m/>
    <n v="13"/>
    <n v="2023"/>
    <x v="2"/>
    <s v="淘特互动游戏"/>
    <x v="0"/>
    <x v="0"/>
  </r>
  <r>
    <x v="0"/>
    <x v="2"/>
    <x v="1"/>
    <x v="11"/>
    <x v="37"/>
    <n v="6"/>
    <n v="5"/>
    <n v="0"/>
    <n v="0"/>
    <n v="0"/>
    <n v="0"/>
    <n v="0"/>
    <n v="0"/>
    <m/>
    <n v="6"/>
    <n v="2023"/>
    <x v="2"/>
    <s v="淘特其他渠道"/>
    <x v="0"/>
    <x v="0"/>
  </r>
  <r>
    <x v="0"/>
    <x v="2"/>
    <x v="1"/>
    <x v="11"/>
    <x v="38"/>
    <n v="7"/>
    <n v="5"/>
    <n v="0"/>
    <n v="0"/>
    <n v="0"/>
    <n v="0"/>
    <n v="0"/>
    <n v="0"/>
    <m/>
    <n v="7"/>
    <n v="2023"/>
    <x v="2"/>
    <s v="淘特推荐"/>
    <x v="0"/>
    <x v="0"/>
  </r>
  <r>
    <x v="0"/>
    <x v="2"/>
    <x v="1"/>
    <x v="11"/>
    <x v="39"/>
    <n v="10"/>
    <n v="10"/>
    <n v="0"/>
    <n v="0"/>
    <n v="0"/>
    <n v="0"/>
    <n v="0"/>
    <n v="0"/>
    <m/>
    <n v="10"/>
    <n v="2023"/>
    <x v="2"/>
    <s v="淘特搜索"/>
    <x v="0"/>
    <x v="0"/>
  </r>
  <r>
    <x v="0"/>
    <x v="2"/>
    <x v="1"/>
    <x v="11"/>
    <x v="40"/>
    <n v="2"/>
    <n v="1"/>
    <n v="0"/>
    <n v="0"/>
    <n v="2656.5"/>
    <n v="1"/>
    <n v="2656.5"/>
    <n v="1"/>
    <m/>
    <n v="2"/>
    <n v="2023"/>
    <x v="2"/>
    <s v="淘特自主访问"/>
    <x v="0"/>
    <x v="0"/>
  </r>
  <r>
    <x v="0"/>
    <x v="2"/>
    <x v="0"/>
    <x v="5"/>
    <x v="41"/>
    <n v="347"/>
    <n v="347"/>
    <n v="0"/>
    <n v="0"/>
    <n v="0"/>
    <n v="0"/>
    <n v="0"/>
    <n v="0"/>
    <m/>
    <n v="347"/>
    <n v="2023"/>
    <x v="2"/>
    <s v="超级直播"/>
    <x v="0"/>
    <x v="0"/>
  </r>
  <r>
    <x v="0"/>
    <x v="2"/>
    <x v="0"/>
    <x v="5"/>
    <x v="20"/>
    <n v="4"/>
    <n v="2"/>
    <n v="0"/>
    <n v="0"/>
    <n v="0"/>
    <n v="0"/>
    <n v="0"/>
    <n v="0"/>
    <m/>
    <n v="4"/>
    <n v="2023"/>
    <x v="2"/>
    <s v="超级短视频"/>
    <x v="0"/>
    <x v="0"/>
  </r>
  <r>
    <x v="0"/>
    <x v="2"/>
    <x v="0"/>
    <x v="6"/>
    <x v="21"/>
    <n v="13116"/>
    <n v="11893"/>
    <n v="362"/>
    <n v="135"/>
    <n v="338258"/>
    <n v="98"/>
    <n v="268787"/>
    <n v="87"/>
    <m/>
    <n v="6400"/>
    <n v="2023"/>
    <x v="2"/>
    <s v="品销宝-品牌专区"/>
    <x v="0"/>
    <x v="0"/>
  </r>
  <r>
    <x v="0"/>
    <x v="2"/>
    <x v="0"/>
    <x v="6"/>
    <x v="32"/>
    <n v="5"/>
    <m/>
    <m/>
    <m/>
    <m/>
    <m/>
    <m/>
    <m/>
    <m/>
    <m/>
    <n v="2023"/>
    <x v="2"/>
    <s v="超级互动城"/>
    <x v="0"/>
    <x v="0"/>
  </r>
  <r>
    <x v="0"/>
    <x v="2"/>
    <x v="0"/>
    <x v="0"/>
    <x v="2"/>
    <n v="93054"/>
    <n v="88255"/>
    <n v="1232"/>
    <n v="624"/>
    <n v="1189194.5"/>
    <n v="308"/>
    <n v="799292.5"/>
    <n v="234"/>
    <m/>
    <n v="91838"/>
    <n v="2023"/>
    <x v="2"/>
    <s v="直通车"/>
    <x v="0"/>
    <x v="0"/>
  </r>
  <r>
    <x v="0"/>
    <x v="2"/>
    <x v="0"/>
    <x v="0"/>
    <x v="0"/>
    <n v="61053"/>
    <n v="51890"/>
    <n v="997"/>
    <n v="368"/>
    <n v="1024551.25"/>
    <n v="285"/>
    <n v="844701.25"/>
    <n v="244"/>
    <m/>
    <n v="60972"/>
    <n v="2023"/>
    <x v="2"/>
    <s v="万相台"/>
    <x v="0"/>
    <x v="0"/>
  </r>
  <r>
    <x v="0"/>
    <x v="2"/>
    <x v="0"/>
    <x v="0"/>
    <x v="1"/>
    <n v="134283"/>
    <n v="118770"/>
    <n v="950"/>
    <n v="663"/>
    <n v="470363.5"/>
    <n v="117"/>
    <n v="271906"/>
    <n v="89"/>
    <m/>
    <n v="134031"/>
    <n v="2023"/>
    <x v="2"/>
    <s v="引力魔方"/>
    <x v="0"/>
    <x v="0"/>
  </r>
  <r>
    <x v="0"/>
    <x v="2"/>
    <x v="0"/>
    <x v="7"/>
    <x v="33"/>
    <n v="3"/>
    <n v="2"/>
    <n v="0"/>
    <n v="0"/>
    <n v="0"/>
    <n v="0"/>
    <n v="0"/>
    <n v="0"/>
    <m/>
    <n v="2"/>
    <n v="2023"/>
    <x v="2"/>
    <s v="UD品牌投放"/>
    <x v="0"/>
    <x v="0"/>
  </r>
  <r>
    <x v="0"/>
    <x v="2"/>
    <x v="0"/>
    <x v="7"/>
    <x v="22"/>
    <n v="2"/>
    <n v="2"/>
    <n v="0"/>
    <n v="0"/>
    <n v="0"/>
    <n v="0"/>
    <n v="0"/>
    <n v="0"/>
    <m/>
    <n v="2"/>
    <n v="2023"/>
    <x v="2"/>
    <s v="UD效果投放"/>
    <x v="0"/>
    <x v="0"/>
  </r>
  <r>
    <x v="0"/>
    <x v="2"/>
    <x v="0"/>
    <x v="7"/>
    <x v="23"/>
    <n v="227"/>
    <n v="159"/>
    <n v="8"/>
    <n v="0"/>
    <n v="0"/>
    <n v="0"/>
    <n v="0"/>
    <n v="0"/>
    <m/>
    <n v="96"/>
    <n v="2023"/>
    <x v="2"/>
    <s v="流量宝"/>
    <x v="0"/>
    <x v="0"/>
  </r>
  <r>
    <x v="0"/>
    <x v="2"/>
    <x v="0"/>
    <x v="7"/>
    <x v="24"/>
    <n v="4751"/>
    <n v="2553"/>
    <n v="64"/>
    <n v="11"/>
    <n v="180142.65"/>
    <n v="51"/>
    <n v="154378.65"/>
    <n v="47"/>
    <m/>
    <n v="4567"/>
    <n v="2023"/>
    <x v="2"/>
    <s v="淘宝客"/>
    <x v="0"/>
    <x v="0"/>
  </r>
  <r>
    <x v="0"/>
    <x v="3"/>
    <x v="1"/>
    <x v="8"/>
    <x v="26"/>
    <n v="1"/>
    <n v="1"/>
    <n v="0"/>
    <n v="0"/>
    <n v="0"/>
    <n v="0"/>
    <n v="0"/>
    <n v="0"/>
    <s v="[NULL]"/>
    <n v="1"/>
    <n v="2024"/>
    <x v="0"/>
    <s v="榜单会场"/>
    <x v="1"/>
    <x v="0"/>
  </r>
  <r>
    <x v="0"/>
    <x v="3"/>
    <x v="1"/>
    <x v="1"/>
    <x v="28"/>
    <n v="4"/>
    <n v="4"/>
    <n v="0"/>
    <n v="0"/>
    <n v="0"/>
    <n v="0"/>
    <n v="0"/>
    <n v="0"/>
    <s v="[NULL]"/>
    <n v="4"/>
    <n v="2024"/>
    <x v="0"/>
    <s v="商品详情页入口榜单"/>
    <x v="1"/>
    <x v="0"/>
  </r>
  <r>
    <x v="0"/>
    <x v="3"/>
    <x v="1"/>
    <x v="1"/>
    <x v="35"/>
    <n v="6"/>
    <n v="6"/>
    <n v="0"/>
    <n v="0"/>
    <n v="0"/>
    <n v="0"/>
    <n v="0"/>
    <n v="0"/>
    <s v="[NULL]"/>
    <n v="6"/>
    <n v="2024"/>
    <x v="0"/>
    <s v="搜索入口榜单"/>
    <x v="1"/>
    <x v="0"/>
  </r>
  <r>
    <x v="0"/>
    <x v="3"/>
    <x v="1"/>
    <x v="2"/>
    <x v="4"/>
    <n v="11"/>
    <n v="10"/>
    <n v="0"/>
    <n v="0"/>
    <n v="0"/>
    <n v="0"/>
    <n v="0"/>
    <n v="0"/>
    <s v="[NULL]"/>
    <n v="2"/>
    <n v="2024"/>
    <x v="0"/>
    <s v="手机浏览器访问天猫"/>
    <x v="1"/>
    <x v="0"/>
  </r>
  <r>
    <x v="0"/>
    <x v="3"/>
    <x v="1"/>
    <x v="2"/>
    <x v="5"/>
    <n v="958"/>
    <n v="715"/>
    <n v="17"/>
    <n v="0"/>
    <n v="43890"/>
    <n v="6"/>
    <n v="43890"/>
    <n v="6"/>
    <s v="[NULL]"/>
    <n v="895"/>
    <n v="2024"/>
    <x v="0"/>
    <s v="手猫免费其他"/>
    <x v="1"/>
    <x v="0"/>
  </r>
  <r>
    <x v="0"/>
    <x v="3"/>
    <x v="1"/>
    <x v="2"/>
    <x v="6"/>
    <n v="61"/>
    <n v="50"/>
    <n v="1"/>
    <n v="0"/>
    <n v="42915"/>
    <n v="2"/>
    <n v="42915"/>
    <n v="2"/>
    <s v="[NULL]"/>
    <n v="61"/>
    <n v="2024"/>
    <x v="0"/>
    <s v="手猫其他店铺"/>
    <x v="1"/>
    <x v="0"/>
  </r>
  <r>
    <x v="0"/>
    <x v="3"/>
    <x v="1"/>
    <x v="2"/>
    <x v="7"/>
    <n v="286"/>
    <n v="193"/>
    <n v="4"/>
    <n v="0"/>
    <n v="15375"/>
    <n v="5"/>
    <n v="12180"/>
    <n v="4"/>
    <s v="[NULL]"/>
    <n v="280"/>
    <n v="2024"/>
    <x v="0"/>
    <s v="手猫商品详情"/>
    <x v="1"/>
    <x v="0"/>
  </r>
  <r>
    <x v="0"/>
    <x v="3"/>
    <x v="1"/>
    <x v="2"/>
    <x v="8"/>
    <n v="748"/>
    <n v="657"/>
    <n v="4"/>
    <n v="0"/>
    <n v="8990"/>
    <n v="3"/>
    <n v="8990"/>
    <n v="3"/>
    <s v="[NULL]"/>
    <n v="570"/>
    <n v="2024"/>
    <x v="0"/>
    <s v="手猫搜索"/>
    <x v="1"/>
    <x v="0"/>
  </r>
  <r>
    <x v="0"/>
    <x v="3"/>
    <x v="1"/>
    <x v="2"/>
    <x v="9"/>
    <n v="13"/>
    <n v="6"/>
    <n v="0"/>
    <n v="0"/>
    <n v="25073.9"/>
    <n v="2"/>
    <n v="25073.9"/>
    <n v="2"/>
    <s v="[NULL]"/>
    <n v="11"/>
    <n v="2024"/>
    <x v="0"/>
    <s v="手猫旺信聊天"/>
    <x v="1"/>
    <x v="0"/>
  </r>
  <r>
    <x v="0"/>
    <x v="3"/>
    <x v="1"/>
    <x v="2"/>
    <x v="10"/>
    <n v="2879"/>
    <n v="2388"/>
    <n v="10"/>
    <n v="0"/>
    <n v="6190"/>
    <n v="2"/>
    <n v="6190"/>
    <n v="2"/>
    <s v="[NULL]"/>
    <n v="2879"/>
    <n v="2024"/>
    <x v="0"/>
    <s v="手猫首页"/>
    <x v="1"/>
    <x v="0"/>
  </r>
  <r>
    <x v="0"/>
    <x v="3"/>
    <x v="1"/>
    <x v="3"/>
    <x v="11"/>
    <n v="803"/>
    <n v="458"/>
    <n v="20"/>
    <n v="15"/>
    <n v="28020"/>
    <n v="6"/>
    <n v="28020"/>
    <n v="6"/>
    <s v="[NULL]"/>
    <n v="730"/>
    <n v="2024"/>
    <x v="0"/>
    <s v="商品详情页头图推荐"/>
    <x v="1"/>
    <x v="0"/>
  </r>
  <r>
    <x v="0"/>
    <x v="3"/>
    <x v="1"/>
    <x v="3"/>
    <x v="12"/>
    <n v="356"/>
    <n v="279"/>
    <n v="11"/>
    <n v="1"/>
    <n v="3450"/>
    <n v="1"/>
    <n v="3450"/>
    <n v="1"/>
    <s v="[NULL]"/>
    <n v="145"/>
    <n v="2024"/>
    <x v="0"/>
    <s v="店铺超链"/>
    <x v="1"/>
    <x v="0"/>
  </r>
  <r>
    <x v="0"/>
    <x v="3"/>
    <x v="1"/>
    <x v="4"/>
    <x v="13"/>
    <n v="1322"/>
    <n v="859"/>
    <n v="25"/>
    <n v="15"/>
    <n v="46015"/>
    <n v="8"/>
    <n v="46015"/>
    <n v="8"/>
    <s v="[NULL]"/>
    <n v="1137"/>
    <n v="2024"/>
    <x v="0"/>
    <s v="其他猜你喜欢"/>
    <x v="1"/>
    <x v="0"/>
  </r>
  <r>
    <x v="0"/>
    <x v="3"/>
    <x v="1"/>
    <x v="4"/>
    <x v="15"/>
    <n v="33"/>
    <n v="20"/>
    <n v="1"/>
    <n v="0"/>
    <n v="0"/>
    <n v="0"/>
    <n v="0"/>
    <n v="0"/>
    <s v="[NULL]"/>
    <n v="33"/>
    <n v="2024"/>
    <x v="0"/>
    <s v="购中推荐"/>
    <x v="1"/>
    <x v="0"/>
  </r>
  <r>
    <x v="0"/>
    <x v="3"/>
    <x v="1"/>
    <x v="4"/>
    <x v="16"/>
    <n v="316"/>
    <n v="206"/>
    <n v="2"/>
    <n v="2"/>
    <n v="0"/>
    <n v="0"/>
    <n v="0"/>
    <n v="0"/>
    <s v="[NULL]"/>
    <n v="313"/>
    <n v="2024"/>
    <x v="0"/>
    <s v="购后推荐"/>
    <x v="1"/>
    <x v="0"/>
  </r>
  <r>
    <x v="0"/>
    <x v="3"/>
    <x v="1"/>
    <x v="4"/>
    <x v="17"/>
    <n v="5414"/>
    <n v="3992"/>
    <n v="88"/>
    <n v="62"/>
    <n v="68660"/>
    <n v="9"/>
    <n v="41170"/>
    <n v="8"/>
    <s v="[NULL]"/>
    <n v="5414"/>
    <n v="2024"/>
    <x v="0"/>
    <s v="首页推荐-微详情"/>
    <x v="1"/>
    <x v="0"/>
  </r>
  <r>
    <x v="0"/>
    <x v="3"/>
    <x v="1"/>
    <x v="4"/>
    <x v="18"/>
    <n v="346"/>
    <n v="268"/>
    <n v="0"/>
    <n v="0"/>
    <n v="3495"/>
    <n v="1"/>
    <n v="0"/>
    <n v="0"/>
    <s v="[NULL]"/>
    <n v="60"/>
    <n v="2024"/>
    <x v="0"/>
    <s v="首页推荐-直播"/>
    <x v="1"/>
    <x v="0"/>
  </r>
  <r>
    <x v="0"/>
    <x v="3"/>
    <x v="1"/>
    <x v="4"/>
    <x v="19"/>
    <n v="36"/>
    <n v="26"/>
    <n v="0"/>
    <n v="0"/>
    <n v="0"/>
    <n v="0"/>
    <n v="0"/>
    <n v="0"/>
    <s v="[NULL]"/>
    <n v="0"/>
    <n v="2024"/>
    <x v="0"/>
    <s v="首页推荐-短视频"/>
    <x v="1"/>
    <x v="0"/>
  </r>
  <r>
    <x v="0"/>
    <x v="3"/>
    <x v="1"/>
    <x v="12"/>
    <x v="42"/>
    <n v="8957"/>
    <n v="8045"/>
    <n v="216"/>
    <n v="110"/>
    <n v="132600"/>
    <n v="21"/>
    <n v="103875"/>
    <n v="19"/>
    <s v="[NULL]"/>
    <n v="7478"/>
    <n v="2024"/>
    <x v="0"/>
    <s v="手淘搜索-商品及其他"/>
    <x v="1"/>
    <x v="0"/>
  </r>
  <r>
    <x v="0"/>
    <x v="3"/>
    <x v="1"/>
    <x v="12"/>
    <x v="43"/>
    <n v="7"/>
    <n v="5"/>
    <n v="0"/>
    <n v="0"/>
    <n v="0"/>
    <n v="0"/>
    <n v="0"/>
    <n v="0"/>
    <s v="[NULL]"/>
    <n v="2"/>
    <n v="2024"/>
    <x v="0"/>
    <s v="手淘搜索-直播"/>
    <x v="1"/>
    <x v="0"/>
  </r>
  <r>
    <x v="0"/>
    <x v="3"/>
    <x v="1"/>
    <x v="12"/>
    <x v="44"/>
    <n v="119"/>
    <n v="79"/>
    <n v="4"/>
    <n v="0"/>
    <n v="4695"/>
    <n v="1"/>
    <n v="0"/>
    <n v="0"/>
    <s v="[NULL]"/>
    <n v="34"/>
    <n v="2024"/>
    <x v="0"/>
    <s v="手淘搜索-短视频"/>
    <x v="1"/>
    <x v="0"/>
  </r>
  <r>
    <x v="0"/>
    <x v="3"/>
    <x v="1"/>
    <x v="11"/>
    <x v="36"/>
    <n v="2"/>
    <n v="1"/>
    <n v="0"/>
    <n v="0"/>
    <n v="0"/>
    <n v="0"/>
    <n v="0"/>
    <n v="0"/>
    <s v="[NULL]"/>
    <n v="2"/>
    <n v="2024"/>
    <x v="0"/>
    <s v="淘特互动游戏"/>
    <x v="1"/>
    <x v="0"/>
  </r>
  <r>
    <x v="0"/>
    <x v="3"/>
    <x v="1"/>
    <x v="11"/>
    <x v="37"/>
    <n v="226"/>
    <n v="219"/>
    <n v="0"/>
    <n v="0"/>
    <n v="0"/>
    <n v="0"/>
    <n v="0"/>
    <n v="0"/>
    <s v="[NULL]"/>
    <n v="225"/>
    <n v="2024"/>
    <x v="0"/>
    <s v="淘特其他渠道"/>
    <x v="1"/>
    <x v="0"/>
  </r>
  <r>
    <x v="0"/>
    <x v="3"/>
    <x v="1"/>
    <x v="11"/>
    <x v="38"/>
    <n v="1"/>
    <n v="0"/>
    <n v="0"/>
    <n v="0"/>
    <n v="0"/>
    <n v="0"/>
    <n v="0"/>
    <n v="0"/>
    <s v="[NULL]"/>
    <n v="1"/>
    <n v="2024"/>
    <x v="0"/>
    <s v="淘特推荐"/>
    <x v="1"/>
    <x v="0"/>
  </r>
  <r>
    <x v="0"/>
    <x v="3"/>
    <x v="1"/>
    <x v="11"/>
    <x v="39"/>
    <n v="10"/>
    <n v="10"/>
    <n v="0"/>
    <n v="0"/>
    <n v="0"/>
    <n v="0"/>
    <n v="0"/>
    <n v="0"/>
    <s v="[NULL]"/>
    <n v="10"/>
    <n v="2024"/>
    <x v="0"/>
    <s v="淘特搜索"/>
    <x v="1"/>
    <x v="0"/>
  </r>
  <r>
    <x v="0"/>
    <x v="3"/>
    <x v="0"/>
    <x v="5"/>
    <x v="20"/>
    <n v="5"/>
    <n v="2"/>
    <n v="0"/>
    <n v="0"/>
    <n v="0"/>
    <n v="0"/>
    <n v="0"/>
    <n v="0"/>
    <s v="[NULL]"/>
    <n v="0"/>
    <n v="2024"/>
    <x v="0"/>
    <s v="超级短视频"/>
    <x v="1"/>
    <x v="0"/>
  </r>
  <r>
    <x v="0"/>
    <x v="3"/>
    <x v="0"/>
    <x v="6"/>
    <x v="45"/>
    <n v="1"/>
    <n v="1"/>
    <n v="0"/>
    <n v="0"/>
    <n v="0"/>
    <n v="0"/>
    <n v="0"/>
    <n v="0"/>
    <s v="[NULL]"/>
    <n v="1"/>
    <n v="2024"/>
    <x v="0"/>
    <s v="品牌定制"/>
    <x v="1"/>
    <x v="0"/>
  </r>
  <r>
    <x v="0"/>
    <x v="3"/>
    <x v="0"/>
    <x v="6"/>
    <x v="30"/>
    <n v="2"/>
    <n v="2"/>
    <n v="0"/>
    <n v="0"/>
    <n v="0"/>
    <n v="0"/>
    <n v="0"/>
    <n v="0"/>
    <s v="[NULL]"/>
    <n v="2"/>
    <n v="2024"/>
    <x v="0"/>
    <s v="品牌特秀"/>
    <x v="1"/>
    <x v="0"/>
  </r>
  <r>
    <x v="0"/>
    <x v="3"/>
    <x v="0"/>
    <x v="6"/>
    <x v="21"/>
    <n v="17556"/>
    <n v="16790"/>
    <n v="289"/>
    <n v="106"/>
    <n v="175080"/>
    <n v="27"/>
    <n v="127385"/>
    <n v="25"/>
    <s v="[NULL]"/>
    <n v="8412"/>
    <n v="2024"/>
    <x v="0"/>
    <s v="品销宝-品牌专区"/>
    <x v="1"/>
    <x v="0"/>
  </r>
  <r>
    <x v="0"/>
    <x v="3"/>
    <x v="0"/>
    <x v="7"/>
    <x v="22"/>
    <n v="1"/>
    <n v="1"/>
    <n v="0"/>
    <n v="0"/>
    <n v="0"/>
    <n v="0"/>
    <n v="0"/>
    <n v="0"/>
    <s v="[NULL]"/>
    <n v="1"/>
    <n v="2024"/>
    <x v="0"/>
    <s v="UD效果投放"/>
    <x v="1"/>
    <x v="0"/>
  </r>
  <r>
    <x v="0"/>
    <x v="3"/>
    <x v="0"/>
    <x v="7"/>
    <x v="23"/>
    <n v="14"/>
    <n v="9"/>
    <n v="0"/>
    <n v="0"/>
    <n v="0"/>
    <n v="0"/>
    <n v="0"/>
    <n v="0"/>
    <s v="[NULL]"/>
    <n v="12"/>
    <n v="2024"/>
    <x v="0"/>
    <s v="流量宝"/>
    <x v="1"/>
    <x v="0"/>
  </r>
  <r>
    <x v="0"/>
    <x v="3"/>
    <x v="0"/>
    <x v="7"/>
    <x v="24"/>
    <n v="2430"/>
    <n v="1284"/>
    <n v="10"/>
    <n v="5"/>
    <n v="37325"/>
    <n v="4"/>
    <n v="37325"/>
    <n v="4"/>
    <s v="[NULL]"/>
    <n v="2280"/>
    <n v="2024"/>
    <x v="0"/>
    <s v="淘宝客"/>
    <x v="1"/>
    <x v="0"/>
  </r>
  <r>
    <x v="0"/>
    <x v="3"/>
    <x v="0"/>
    <x v="0"/>
    <x v="2"/>
    <n v="47841"/>
    <n v="45904"/>
    <n v="545"/>
    <n v="383"/>
    <n v="418145"/>
    <n v="55"/>
    <n v="184575"/>
    <n v="35"/>
    <s v="[NULL]"/>
    <n v="47372"/>
    <n v="2024"/>
    <x v="0"/>
    <s v="直通车"/>
    <x v="1"/>
    <x v="0"/>
  </r>
  <r>
    <x v="0"/>
    <x v="3"/>
    <x v="0"/>
    <x v="0"/>
    <x v="0"/>
    <n v="35881"/>
    <n v="32369"/>
    <n v="395"/>
    <n v="253"/>
    <n v="303205"/>
    <n v="50"/>
    <n v="135310"/>
    <n v="30"/>
    <s v="[NULL]"/>
    <n v="35827"/>
    <n v="2024"/>
    <x v="0"/>
    <s v="万相台"/>
    <x v="1"/>
    <x v="0"/>
  </r>
  <r>
    <x v="0"/>
    <x v="3"/>
    <x v="0"/>
    <x v="0"/>
    <x v="1"/>
    <n v="65010"/>
    <n v="57247"/>
    <n v="379"/>
    <n v="420"/>
    <n v="156030"/>
    <n v="21"/>
    <n v="113635"/>
    <n v="16"/>
    <s v="[NULL]"/>
    <n v="65004"/>
    <n v="2024"/>
    <x v="0"/>
    <s v="引力魔方"/>
    <x v="1"/>
    <x v="0"/>
  </r>
  <r>
    <x v="0"/>
    <x v="4"/>
    <x v="1"/>
    <x v="8"/>
    <x v="25"/>
    <n v="1195"/>
    <n v="573"/>
    <n v="39"/>
    <n v="19"/>
    <n v="24540.5"/>
    <n v="10"/>
    <n v="13088"/>
    <n v="7"/>
    <n v="175"/>
    <n v="1080"/>
    <n v="2024"/>
    <x v="1"/>
    <s v="主会场"/>
    <x v="1"/>
    <x v="0"/>
  </r>
  <r>
    <x v="0"/>
    <x v="4"/>
    <x v="1"/>
    <x v="8"/>
    <x v="26"/>
    <n v="3"/>
    <n v="1"/>
    <n v="0"/>
    <n v="0"/>
    <n v="0"/>
    <n v="0"/>
    <n v="0"/>
    <n v="0"/>
    <n v="0"/>
    <n v="3"/>
    <n v="2024"/>
    <x v="1"/>
    <s v="榜单会场"/>
    <x v="1"/>
    <x v="0"/>
  </r>
  <r>
    <x v="0"/>
    <x v="4"/>
    <x v="1"/>
    <x v="1"/>
    <x v="3"/>
    <n v="1"/>
    <n v="0"/>
    <n v="0"/>
    <n v="0"/>
    <n v="0"/>
    <n v="0"/>
    <n v="0"/>
    <n v="0"/>
    <n v="0"/>
    <n v="1"/>
    <n v="2024"/>
    <x v="1"/>
    <s v="其他入口榜单"/>
    <x v="1"/>
    <x v="0"/>
  </r>
  <r>
    <x v="0"/>
    <x v="4"/>
    <x v="1"/>
    <x v="2"/>
    <x v="4"/>
    <n v="33"/>
    <n v="31"/>
    <n v="0"/>
    <n v="0"/>
    <n v="0"/>
    <n v="0"/>
    <n v="0"/>
    <n v="0"/>
    <n v="15"/>
    <n v="18"/>
    <n v="2024"/>
    <x v="1"/>
    <s v="手机浏览器访问天猫"/>
    <x v="1"/>
    <x v="0"/>
  </r>
  <r>
    <x v="0"/>
    <x v="4"/>
    <x v="1"/>
    <x v="2"/>
    <x v="5"/>
    <n v="1614"/>
    <n v="1169"/>
    <n v="34"/>
    <n v="0"/>
    <n v="142839.19"/>
    <n v="38"/>
    <n v="136746.69"/>
    <n v="37"/>
    <n v="482"/>
    <n v="1550"/>
    <n v="2024"/>
    <x v="1"/>
    <s v="手猫免费其他"/>
    <x v="1"/>
    <x v="0"/>
  </r>
  <r>
    <x v="0"/>
    <x v="4"/>
    <x v="1"/>
    <x v="2"/>
    <x v="6"/>
    <n v="137"/>
    <n v="92"/>
    <n v="5"/>
    <n v="0"/>
    <n v="5602"/>
    <n v="1"/>
    <n v="5602"/>
    <n v="1"/>
    <n v="0"/>
    <n v="137"/>
    <n v="2024"/>
    <x v="1"/>
    <s v="手猫其他店铺"/>
    <x v="1"/>
    <x v="0"/>
  </r>
  <r>
    <x v="0"/>
    <x v="4"/>
    <x v="1"/>
    <x v="2"/>
    <x v="7"/>
    <n v="523"/>
    <n v="286"/>
    <n v="18"/>
    <n v="0"/>
    <n v="62881.03"/>
    <n v="21"/>
    <n v="56755.53"/>
    <n v="19"/>
    <n v="108"/>
    <n v="498"/>
    <n v="2024"/>
    <x v="1"/>
    <s v="手猫商品详情"/>
    <x v="1"/>
    <x v="0"/>
  </r>
  <r>
    <x v="0"/>
    <x v="4"/>
    <x v="1"/>
    <x v="2"/>
    <x v="8"/>
    <n v="1155"/>
    <n v="951"/>
    <n v="16"/>
    <n v="0"/>
    <n v="27901.29"/>
    <n v="12"/>
    <n v="27081.29"/>
    <n v="12"/>
    <n v="553"/>
    <n v="916"/>
    <n v="2024"/>
    <x v="1"/>
    <s v="手猫搜索"/>
    <x v="1"/>
    <x v="0"/>
  </r>
  <r>
    <x v="0"/>
    <x v="4"/>
    <x v="1"/>
    <x v="2"/>
    <x v="9"/>
    <n v="31"/>
    <n v="11"/>
    <n v="0"/>
    <n v="0"/>
    <n v="11980"/>
    <n v="5"/>
    <n v="11980"/>
    <n v="5"/>
    <n v="11"/>
    <n v="26"/>
    <n v="2024"/>
    <x v="1"/>
    <s v="手猫旺信聊天"/>
    <x v="1"/>
    <x v="0"/>
  </r>
  <r>
    <x v="0"/>
    <x v="4"/>
    <x v="1"/>
    <x v="2"/>
    <x v="10"/>
    <n v="6003"/>
    <n v="5194"/>
    <n v="39"/>
    <n v="0"/>
    <n v="77026.17"/>
    <n v="32"/>
    <n v="65938.17"/>
    <n v="29"/>
    <n v="321"/>
    <n v="6003"/>
    <n v="2024"/>
    <x v="1"/>
    <s v="手猫首页"/>
    <x v="1"/>
    <x v="0"/>
  </r>
  <r>
    <x v="0"/>
    <x v="4"/>
    <x v="1"/>
    <x v="3"/>
    <x v="11"/>
    <n v="3047"/>
    <n v="1674"/>
    <n v="235"/>
    <n v="77"/>
    <n v="199499.85"/>
    <n v="64"/>
    <n v="144272.85"/>
    <n v="53"/>
    <n v="1057"/>
    <n v="2768"/>
    <n v="2024"/>
    <x v="1"/>
    <s v="商品详情页头图推荐"/>
    <x v="1"/>
    <x v="0"/>
  </r>
  <r>
    <x v="0"/>
    <x v="4"/>
    <x v="1"/>
    <x v="3"/>
    <x v="12"/>
    <n v="716"/>
    <n v="501"/>
    <n v="48"/>
    <n v="5"/>
    <n v="81575"/>
    <n v="15"/>
    <n v="77925"/>
    <n v="14"/>
    <n v="626"/>
    <n v="324"/>
    <n v="2024"/>
    <x v="1"/>
    <s v="店铺超链"/>
    <x v="1"/>
    <x v="0"/>
  </r>
  <r>
    <x v="0"/>
    <x v="4"/>
    <x v="1"/>
    <x v="4"/>
    <x v="13"/>
    <n v="5079"/>
    <n v="3677"/>
    <n v="222"/>
    <n v="89"/>
    <n v="120995.98"/>
    <n v="44"/>
    <n v="105457.98"/>
    <n v="39"/>
    <n v="2055"/>
    <n v="4055"/>
    <n v="2024"/>
    <x v="1"/>
    <s v="其他猜你喜欢"/>
    <x v="1"/>
    <x v="0"/>
  </r>
  <r>
    <x v="0"/>
    <x v="4"/>
    <x v="1"/>
    <x v="4"/>
    <x v="15"/>
    <n v="85"/>
    <n v="49"/>
    <n v="1"/>
    <n v="1"/>
    <n v="0"/>
    <n v="0"/>
    <n v="0"/>
    <n v="0"/>
    <n v="13"/>
    <n v="67"/>
    <n v="2024"/>
    <x v="1"/>
    <s v="购中推荐"/>
    <x v="1"/>
    <x v="0"/>
  </r>
  <r>
    <x v="0"/>
    <x v="4"/>
    <x v="1"/>
    <x v="4"/>
    <x v="16"/>
    <n v="1620"/>
    <n v="1388"/>
    <n v="8"/>
    <n v="4"/>
    <n v="3845.5"/>
    <n v="2"/>
    <n v="3845.5"/>
    <n v="2"/>
    <n v="964"/>
    <n v="461"/>
    <n v="2024"/>
    <x v="1"/>
    <s v="购后推荐"/>
    <x v="1"/>
    <x v="0"/>
  </r>
  <r>
    <x v="0"/>
    <x v="4"/>
    <x v="1"/>
    <x v="4"/>
    <x v="17"/>
    <n v="35144"/>
    <n v="29431"/>
    <n v="1148"/>
    <n v="496"/>
    <n v="519183.57"/>
    <n v="212"/>
    <n v="395190.06"/>
    <n v="167"/>
    <n v="4628"/>
    <n v="35144"/>
    <n v="2024"/>
    <x v="1"/>
    <s v="首页推荐-微详情"/>
    <x v="1"/>
    <x v="0"/>
  </r>
  <r>
    <x v="0"/>
    <x v="4"/>
    <x v="1"/>
    <x v="4"/>
    <x v="18"/>
    <n v="46044"/>
    <n v="45299"/>
    <n v="5"/>
    <n v="3"/>
    <n v="6088.5"/>
    <n v="3"/>
    <n v="3600.5"/>
    <n v="2"/>
    <n v="25"/>
    <n v="180"/>
    <n v="2024"/>
    <x v="1"/>
    <s v="首页推荐-直播"/>
    <x v="1"/>
    <x v="0"/>
  </r>
  <r>
    <x v="0"/>
    <x v="4"/>
    <x v="1"/>
    <x v="4"/>
    <x v="19"/>
    <n v="811"/>
    <n v="611"/>
    <n v="1"/>
    <n v="0"/>
    <n v="0"/>
    <n v="0"/>
    <n v="0"/>
    <n v="0"/>
    <n v="1"/>
    <n v="5"/>
    <n v="2024"/>
    <x v="1"/>
    <s v="首页推荐-短视频"/>
    <x v="1"/>
    <x v="0"/>
  </r>
  <r>
    <x v="0"/>
    <x v="4"/>
    <x v="1"/>
    <x v="12"/>
    <x v="42"/>
    <n v="15679"/>
    <n v="13440"/>
    <n v="903"/>
    <n v="204"/>
    <n v="751077.01"/>
    <n v="227"/>
    <n v="612320.28"/>
    <n v="203"/>
    <n v="5675"/>
    <n v="13211"/>
    <n v="2024"/>
    <x v="1"/>
    <s v="手淘搜索-商品及其他"/>
    <x v="1"/>
    <x v="0"/>
  </r>
  <r>
    <x v="0"/>
    <x v="4"/>
    <x v="1"/>
    <x v="12"/>
    <x v="43"/>
    <n v="195"/>
    <n v="129"/>
    <n v="9"/>
    <n v="0"/>
    <n v="7171.33"/>
    <n v="2"/>
    <n v="4376.33"/>
    <n v="2"/>
    <n v="15"/>
    <n v="113"/>
    <n v="2024"/>
    <x v="1"/>
    <s v="手淘搜索-直播"/>
    <x v="1"/>
    <x v="0"/>
  </r>
  <r>
    <x v="0"/>
    <x v="4"/>
    <x v="1"/>
    <x v="12"/>
    <x v="44"/>
    <n v="366"/>
    <n v="223"/>
    <n v="8"/>
    <n v="2"/>
    <n v="9765"/>
    <n v="4"/>
    <n v="8085"/>
    <n v="4"/>
    <n v="40"/>
    <n v="86"/>
    <n v="2024"/>
    <x v="1"/>
    <s v="手淘搜索-短视频"/>
    <x v="1"/>
    <x v="0"/>
  </r>
  <r>
    <x v="0"/>
    <x v="4"/>
    <x v="1"/>
    <x v="11"/>
    <x v="37"/>
    <n v="304"/>
    <n v="301"/>
    <n v="0"/>
    <n v="2"/>
    <n v="0"/>
    <n v="0"/>
    <n v="0"/>
    <n v="0"/>
    <n v="6"/>
    <n v="304"/>
    <n v="2024"/>
    <x v="1"/>
    <s v="淘特其他渠道"/>
    <x v="1"/>
    <x v="0"/>
  </r>
  <r>
    <x v="0"/>
    <x v="4"/>
    <x v="1"/>
    <x v="11"/>
    <x v="39"/>
    <n v="12"/>
    <n v="12"/>
    <n v="0"/>
    <n v="0"/>
    <n v="0"/>
    <n v="0"/>
    <n v="0"/>
    <n v="0"/>
    <n v="0"/>
    <n v="12"/>
    <n v="2024"/>
    <x v="1"/>
    <s v="淘特搜索"/>
    <x v="1"/>
    <x v="0"/>
  </r>
  <r>
    <x v="0"/>
    <x v="4"/>
    <x v="1"/>
    <x v="13"/>
    <x v="46"/>
    <n v="1"/>
    <n v="1"/>
    <n v="0"/>
    <n v="0"/>
    <n v="0"/>
    <n v="0"/>
    <n v="0"/>
    <n v="0"/>
    <n v="0"/>
    <n v="0"/>
    <n v="2024"/>
    <x v="1"/>
    <s v="飞猪其他"/>
    <x v="1"/>
    <x v="0"/>
  </r>
  <r>
    <x v="0"/>
    <x v="4"/>
    <x v="0"/>
    <x v="5"/>
    <x v="47"/>
    <n v="10"/>
    <n v="6"/>
    <n v="0"/>
    <n v="0"/>
    <n v="0"/>
    <n v="0"/>
    <n v="0"/>
    <n v="0"/>
    <n v="0"/>
    <n v="0"/>
    <n v="2024"/>
    <x v="1"/>
    <s v="短直联动"/>
    <x v="1"/>
    <x v="0"/>
  </r>
  <r>
    <x v="0"/>
    <x v="4"/>
    <x v="0"/>
    <x v="5"/>
    <x v="41"/>
    <n v="85426"/>
    <n v="78561"/>
    <n v="33"/>
    <n v="15"/>
    <n v="0"/>
    <n v="0"/>
    <n v="0"/>
    <n v="0"/>
    <n v="211"/>
    <n v="29502"/>
    <n v="2024"/>
    <x v="1"/>
    <s v="超级直播"/>
    <x v="1"/>
    <x v="0"/>
  </r>
  <r>
    <x v="0"/>
    <x v="4"/>
    <x v="0"/>
    <x v="5"/>
    <x v="20"/>
    <n v="4"/>
    <n v="2"/>
    <n v="1"/>
    <n v="0"/>
    <n v="0"/>
    <n v="0"/>
    <n v="0"/>
    <n v="0"/>
    <n v="0"/>
    <n v="2"/>
    <n v="2024"/>
    <x v="1"/>
    <s v="超级短视频"/>
    <x v="1"/>
    <x v="0"/>
  </r>
  <r>
    <x v="0"/>
    <x v="4"/>
    <x v="0"/>
    <x v="6"/>
    <x v="48"/>
    <n v="14007"/>
    <n v="12445"/>
    <n v="0"/>
    <n v="0"/>
    <n v="0"/>
    <n v="0"/>
    <n v="0"/>
    <n v="0"/>
    <n v="14007"/>
    <n v="1897"/>
    <n v="2024"/>
    <x v="1"/>
    <s v="Showmax"/>
    <x v="1"/>
    <x v="0"/>
  </r>
  <r>
    <x v="0"/>
    <x v="4"/>
    <x v="0"/>
    <x v="6"/>
    <x v="45"/>
    <n v="5"/>
    <n v="4"/>
    <n v="0"/>
    <n v="0"/>
    <n v="0"/>
    <n v="0"/>
    <n v="0"/>
    <n v="0"/>
    <n v="1"/>
    <n v="1"/>
    <n v="2024"/>
    <x v="1"/>
    <s v="品牌定制"/>
    <x v="1"/>
    <x v="0"/>
  </r>
  <r>
    <x v="0"/>
    <x v="4"/>
    <x v="0"/>
    <x v="6"/>
    <x v="30"/>
    <n v="18966"/>
    <n v="16440"/>
    <n v="0"/>
    <n v="0"/>
    <n v="0"/>
    <n v="0"/>
    <n v="0"/>
    <n v="0"/>
    <n v="18966"/>
    <n v="3767"/>
    <n v="2024"/>
    <x v="1"/>
    <s v="品牌特秀"/>
    <x v="1"/>
    <x v="0"/>
  </r>
  <r>
    <x v="0"/>
    <x v="4"/>
    <x v="0"/>
    <x v="6"/>
    <x v="21"/>
    <n v="20721"/>
    <n v="19122"/>
    <n v="461"/>
    <n v="155"/>
    <n v="529123"/>
    <n v="104"/>
    <n v="352213.5"/>
    <n v="93"/>
    <n v="20721"/>
    <n v="10917"/>
    <n v="2024"/>
    <x v="1"/>
    <s v="品销宝-品牌专区"/>
    <x v="1"/>
    <x v="0"/>
  </r>
  <r>
    <x v="0"/>
    <x v="4"/>
    <x v="0"/>
    <x v="6"/>
    <x v="49"/>
    <n v="4"/>
    <n v="4"/>
    <n v="0"/>
    <n v="0"/>
    <n v="0"/>
    <n v="0"/>
    <n v="0"/>
    <n v="0"/>
    <n v="1"/>
    <n v="0"/>
    <n v="2024"/>
    <x v="1"/>
    <s v="超级全域通"/>
    <x v="1"/>
    <x v="0"/>
  </r>
  <r>
    <x v="0"/>
    <x v="4"/>
    <x v="0"/>
    <x v="7"/>
    <x v="22"/>
    <n v="4"/>
    <n v="2"/>
    <n v="0"/>
    <n v="0"/>
    <n v="0"/>
    <n v="0"/>
    <n v="0"/>
    <n v="0"/>
    <n v="0"/>
    <n v="3"/>
    <n v="2024"/>
    <x v="1"/>
    <s v="UD效果投放"/>
    <x v="1"/>
    <x v="0"/>
  </r>
  <r>
    <x v="0"/>
    <x v="4"/>
    <x v="0"/>
    <x v="7"/>
    <x v="23"/>
    <n v="79"/>
    <n v="48"/>
    <n v="4"/>
    <n v="1"/>
    <n v="0"/>
    <n v="0"/>
    <n v="0"/>
    <n v="0"/>
    <n v="16"/>
    <n v="52"/>
    <n v="2024"/>
    <x v="1"/>
    <s v="流量宝"/>
    <x v="1"/>
    <x v="0"/>
  </r>
  <r>
    <x v="0"/>
    <x v="4"/>
    <x v="0"/>
    <x v="7"/>
    <x v="24"/>
    <n v="4923"/>
    <n v="2691"/>
    <n v="40"/>
    <n v="11"/>
    <n v="154077.32999999999"/>
    <n v="41"/>
    <n v="144705.32999999999"/>
    <n v="40"/>
    <n v="332"/>
    <n v="4588"/>
    <n v="2024"/>
    <x v="1"/>
    <s v="淘宝客"/>
    <x v="1"/>
    <x v="0"/>
  </r>
  <r>
    <x v="0"/>
    <x v="4"/>
    <x v="0"/>
    <x v="0"/>
    <x v="2"/>
    <n v="80160"/>
    <n v="74634"/>
    <n v="1557"/>
    <n v="592"/>
    <n v="1836325.5"/>
    <n v="404"/>
    <n v="1184411.54"/>
    <n v="324"/>
    <n v="7700"/>
    <n v="79386"/>
    <n v="2024"/>
    <x v="1"/>
    <s v="直通车"/>
    <x v="1"/>
    <x v="0"/>
  </r>
  <r>
    <x v="0"/>
    <x v="4"/>
    <x v="0"/>
    <x v="0"/>
    <x v="0"/>
    <n v="52506"/>
    <n v="44246"/>
    <n v="1389"/>
    <n v="463"/>
    <n v="1653072.84"/>
    <n v="459"/>
    <n v="1330716.0900000001"/>
    <n v="399"/>
    <n v="4408"/>
    <n v="51959"/>
    <n v="2024"/>
    <x v="1"/>
    <s v="万相台"/>
    <x v="1"/>
    <x v="0"/>
  </r>
  <r>
    <x v="0"/>
    <x v="4"/>
    <x v="0"/>
    <x v="0"/>
    <x v="1"/>
    <n v="196216"/>
    <n v="181149"/>
    <n v="1411"/>
    <n v="962"/>
    <n v="690561.21"/>
    <n v="201"/>
    <n v="397062.21"/>
    <n v="151"/>
    <n v="7633"/>
    <n v="193738"/>
    <n v="2024"/>
    <x v="1"/>
    <s v="引力魔方"/>
    <x v="1"/>
    <x v="0"/>
  </r>
  <r>
    <x v="0"/>
    <x v="5"/>
    <x v="1"/>
    <x v="8"/>
    <x v="25"/>
    <n v="1679"/>
    <n v="870"/>
    <n v="51"/>
    <n v="23"/>
    <n v="36319.360000000001"/>
    <n v="13"/>
    <n v="20502"/>
    <n v="7"/>
    <n v="248"/>
    <n v="1558"/>
    <n v="2024"/>
    <x v="2"/>
    <s v="主会场"/>
    <x v="1"/>
    <x v="0"/>
  </r>
  <r>
    <x v="0"/>
    <x v="5"/>
    <x v="1"/>
    <x v="8"/>
    <x v="26"/>
    <n v="93"/>
    <n v="83"/>
    <n v="1"/>
    <n v="1"/>
    <n v="0"/>
    <n v="0"/>
    <n v="0"/>
    <n v="0"/>
    <n v="7"/>
    <n v="93"/>
    <n v="2024"/>
    <x v="2"/>
    <s v="榜单会场"/>
    <x v="1"/>
    <x v="0"/>
  </r>
  <r>
    <x v="0"/>
    <x v="5"/>
    <x v="1"/>
    <x v="1"/>
    <x v="3"/>
    <n v="127"/>
    <n v="119"/>
    <n v="2"/>
    <n v="5"/>
    <n v="0"/>
    <n v="0"/>
    <n v="0"/>
    <n v="0"/>
    <n v="13"/>
    <n v="127"/>
    <n v="2024"/>
    <x v="2"/>
    <s v="其他入口榜单"/>
    <x v="1"/>
    <x v="0"/>
  </r>
  <r>
    <x v="0"/>
    <x v="5"/>
    <x v="1"/>
    <x v="1"/>
    <x v="28"/>
    <n v="18"/>
    <n v="18"/>
    <n v="0"/>
    <n v="0"/>
    <n v="0"/>
    <n v="0"/>
    <n v="0"/>
    <n v="0"/>
    <n v="0"/>
    <n v="18"/>
    <n v="2024"/>
    <x v="2"/>
    <s v="商品详情页入口榜单"/>
    <x v="1"/>
    <x v="0"/>
  </r>
  <r>
    <x v="0"/>
    <x v="5"/>
    <x v="1"/>
    <x v="1"/>
    <x v="35"/>
    <n v="17"/>
    <n v="17"/>
    <n v="0"/>
    <n v="0"/>
    <n v="0"/>
    <n v="0"/>
    <n v="0"/>
    <n v="0"/>
    <n v="2"/>
    <n v="17"/>
    <n v="2024"/>
    <x v="2"/>
    <s v="搜索入口榜单"/>
    <x v="1"/>
    <x v="0"/>
  </r>
  <r>
    <x v="0"/>
    <x v="5"/>
    <x v="1"/>
    <x v="2"/>
    <x v="4"/>
    <n v="27"/>
    <n v="24"/>
    <n v="0"/>
    <n v="0"/>
    <n v="0"/>
    <n v="0"/>
    <n v="0"/>
    <n v="0"/>
    <n v="18"/>
    <n v="10"/>
    <n v="2024"/>
    <x v="2"/>
    <s v="手机浏览器访问天猫"/>
    <x v="1"/>
    <x v="0"/>
  </r>
  <r>
    <x v="0"/>
    <x v="5"/>
    <x v="1"/>
    <x v="2"/>
    <x v="5"/>
    <n v="1497"/>
    <n v="1004"/>
    <n v="27"/>
    <n v="2"/>
    <n v="128636.11"/>
    <n v="34"/>
    <n v="98533.11"/>
    <n v="30"/>
    <n v="452"/>
    <n v="1450"/>
    <n v="2024"/>
    <x v="2"/>
    <s v="手猫免费其他"/>
    <x v="1"/>
    <x v="0"/>
  </r>
  <r>
    <x v="0"/>
    <x v="5"/>
    <x v="1"/>
    <x v="2"/>
    <x v="6"/>
    <n v="125"/>
    <n v="82"/>
    <n v="3"/>
    <n v="0"/>
    <n v="18271.5"/>
    <n v="8"/>
    <n v="15703.5"/>
    <n v="7"/>
    <n v="3"/>
    <n v="125"/>
    <n v="2024"/>
    <x v="2"/>
    <s v="手猫其他店铺"/>
    <x v="1"/>
    <x v="0"/>
  </r>
  <r>
    <x v="0"/>
    <x v="5"/>
    <x v="1"/>
    <x v="2"/>
    <x v="7"/>
    <n v="483"/>
    <n v="270"/>
    <n v="16"/>
    <n v="0"/>
    <n v="65791.960000000006"/>
    <n v="21"/>
    <n v="54131.48"/>
    <n v="20"/>
    <n v="104"/>
    <n v="461"/>
    <n v="2024"/>
    <x v="2"/>
    <s v="手猫商品详情"/>
    <x v="1"/>
    <x v="0"/>
  </r>
  <r>
    <x v="0"/>
    <x v="5"/>
    <x v="1"/>
    <x v="2"/>
    <x v="8"/>
    <n v="1370"/>
    <n v="1029"/>
    <n v="19"/>
    <n v="0"/>
    <n v="60105.74"/>
    <n v="25"/>
    <n v="48110.22"/>
    <n v="22"/>
    <n v="514"/>
    <n v="1193"/>
    <n v="2024"/>
    <x v="2"/>
    <s v="手猫搜索"/>
    <x v="1"/>
    <x v="0"/>
  </r>
  <r>
    <x v="0"/>
    <x v="5"/>
    <x v="1"/>
    <x v="2"/>
    <x v="9"/>
    <n v="25"/>
    <n v="11"/>
    <n v="2"/>
    <n v="0"/>
    <n v="22059.439999999999"/>
    <n v="5"/>
    <n v="16943.72"/>
    <n v="5"/>
    <n v="6"/>
    <n v="22"/>
    <n v="2024"/>
    <x v="2"/>
    <s v="手猫旺信聊天"/>
    <x v="1"/>
    <x v="0"/>
  </r>
  <r>
    <x v="0"/>
    <x v="5"/>
    <x v="1"/>
    <x v="2"/>
    <x v="10"/>
    <n v="5514"/>
    <n v="4544"/>
    <n v="38"/>
    <n v="2"/>
    <n v="64629.9"/>
    <n v="23"/>
    <n v="52576.9"/>
    <n v="21"/>
    <n v="303"/>
    <n v="5514"/>
    <n v="2024"/>
    <x v="2"/>
    <s v="手猫首页"/>
    <x v="1"/>
    <x v="0"/>
  </r>
  <r>
    <x v="0"/>
    <x v="5"/>
    <x v="1"/>
    <x v="3"/>
    <x v="11"/>
    <n v="3164"/>
    <n v="1762"/>
    <n v="106"/>
    <n v="50"/>
    <n v="138548.74"/>
    <n v="35"/>
    <n v="98550.58"/>
    <n v="28"/>
    <n v="970"/>
    <n v="2737"/>
    <n v="2024"/>
    <x v="2"/>
    <s v="商品详情页头图推荐"/>
    <x v="1"/>
    <x v="0"/>
  </r>
  <r>
    <x v="0"/>
    <x v="5"/>
    <x v="1"/>
    <x v="3"/>
    <x v="12"/>
    <n v="590"/>
    <n v="406"/>
    <n v="30"/>
    <n v="9"/>
    <n v="62517.9"/>
    <n v="20"/>
    <n v="58519.9"/>
    <n v="19"/>
    <n v="511"/>
    <n v="267"/>
    <n v="2024"/>
    <x v="2"/>
    <s v="店铺超链"/>
    <x v="1"/>
    <x v="0"/>
  </r>
  <r>
    <x v="0"/>
    <x v="5"/>
    <x v="1"/>
    <x v="4"/>
    <x v="13"/>
    <n v="3760"/>
    <n v="2308"/>
    <n v="98"/>
    <n v="47"/>
    <n v="150355.95000000001"/>
    <n v="38"/>
    <n v="134424.95000000001"/>
    <n v="36"/>
    <n v="1333"/>
    <n v="2991"/>
    <n v="2024"/>
    <x v="2"/>
    <s v="其他猜你喜欢"/>
    <x v="1"/>
    <x v="0"/>
  </r>
  <r>
    <x v="0"/>
    <x v="5"/>
    <x v="1"/>
    <x v="4"/>
    <x v="15"/>
    <n v="87"/>
    <n v="40"/>
    <n v="1"/>
    <n v="1"/>
    <n v="0"/>
    <n v="0"/>
    <n v="0"/>
    <n v="0"/>
    <n v="10"/>
    <n v="81"/>
    <n v="2024"/>
    <x v="2"/>
    <s v="购中推荐"/>
    <x v="1"/>
    <x v="0"/>
  </r>
  <r>
    <x v="0"/>
    <x v="5"/>
    <x v="1"/>
    <x v="4"/>
    <x v="16"/>
    <n v="678"/>
    <n v="395"/>
    <n v="10"/>
    <n v="0"/>
    <n v="1303"/>
    <n v="1"/>
    <n v="1303"/>
    <n v="1"/>
    <n v="30"/>
    <n v="644"/>
    <n v="2024"/>
    <x v="2"/>
    <s v="购后推荐"/>
    <x v="1"/>
    <x v="0"/>
  </r>
  <r>
    <x v="0"/>
    <x v="5"/>
    <x v="1"/>
    <x v="4"/>
    <x v="17"/>
    <n v="26106"/>
    <n v="19768"/>
    <n v="704"/>
    <n v="299"/>
    <n v="351211.59"/>
    <n v="135"/>
    <n v="261595.55"/>
    <n v="113"/>
    <n v="2989"/>
    <n v="26106"/>
    <n v="2024"/>
    <x v="2"/>
    <s v="首页推荐-微详情"/>
    <x v="1"/>
    <x v="0"/>
  </r>
  <r>
    <x v="0"/>
    <x v="5"/>
    <x v="1"/>
    <x v="4"/>
    <x v="18"/>
    <n v="2180"/>
    <n v="1344"/>
    <n v="2"/>
    <n v="0"/>
    <n v="2297.5"/>
    <n v="1"/>
    <n v="2297.5"/>
    <n v="1"/>
    <n v="12"/>
    <n v="88"/>
    <n v="2024"/>
    <x v="2"/>
    <s v="首页推荐-直播"/>
    <x v="1"/>
    <x v="0"/>
  </r>
  <r>
    <x v="0"/>
    <x v="5"/>
    <x v="1"/>
    <x v="4"/>
    <x v="19"/>
    <n v="1176"/>
    <n v="785"/>
    <n v="0"/>
    <n v="0"/>
    <n v="0"/>
    <n v="0"/>
    <n v="0"/>
    <n v="0"/>
    <n v="4"/>
    <n v="4"/>
    <n v="2024"/>
    <x v="2"/>
    <s v="首页推荐-短视频"/>
    <x v="1"/>
    <x v="0"/>
  </r>
  <r>
    <x v="0"/>
    <x v="5"/>
    <x v="1"/>
    <x v="12"/>
    <x v="42"/>
    <n v="19056"/>
    <n v="16352"/>
    <n v="1267"/>
    <n v="275"/>
    <n v="1269388.6599999999"/>
    <n v="359"/>
    <n v="998471.18"/>
    <n v="321"/>
    <n v="6025"/>
    <n v="17005"/>
    <n v="2024"/>
    <x v="2"/>
    <s v="手淘搜索-商品及其他"/>
    <x v="1"/>
    <x v="0"/>
  </r>
  <r>
    <x v="0"/>
    <x v="5"/>
    <x v="1"/>
    <x v="12"/>
    <x v="43"/>
    <n v="50"/>
    <n v="25"/>
    <n v="4"/>
    <n v="0"/>
    <n v="2995"/>
    <n v="1"/>
    <n v="0"/>
    <n v="0"/>
    <n v="7"/>
    <n v="37"/>
    <n v="2024"/>
    <x v="2"/>
    <s v="手淘搜索-直播"/>
    <x v="1"/>
    <x v="0"/>
  </r>
  <r>
    <x v="0"/>
    <x v="5"/>
    <x v="1"/>
    <x v="12"/>
    <x v="44"/>
    <n v="495"/>
    <n v="300"/>
    <n v="9"/>
    <n v="3"/>
    <n v="28291"/>
    <n v="7"/>
    <n v="19993"/>
    <n v="6"/>
    <n v="53"/>
    <n v="114"/>
    <n v="2024"/>
    <x v="2"/>
    <s v="手淘搜索-短视频"/>
    <x v="1"/>
    <x v="0"/>
  </r>
  <r>
    <x v="0"/>
    <x v="5"/>
    <x v="1"/>
    <x v="11"/>
    <x v="37"/>
    <n v="306"/>
    <n v="293"/>
    <n v="2"/>
    <n v="3"/>
    <n v="0"/>
    <n v="0"/>
    <n v="0"/>
    <n v="0"/>
    <n v="6"/>
    <n v="306"/>
    <n v="2024"/>
    <x v="2"/>
    <s v="淘特其他渠道"/>
    <x v="1"/>
    <x v="0"/>
  </r>
  <r>
    <x v="0"/>
    <x v="5"/>
    <x v="1"/>
    <x v="11"/>
    <x v="38"/>
    <n v="2"/>
    <n v="1"/>
    <n v="0"/>
    <n v="0"/>
    <n v="0"/>
    <n v="0"/>
    <n v="0"/>
    <n v="0"/>
    <n v="0"/>
    <n v="2"/>
    <n v="2024"/>
    <x v="2"/>
    <s v="淘特推荐"/>
    <x v="1"/>
    <x v="0"/>
  </r>
  <r>
    <x v="0"/>
    <x v="5"/>
    <x v="1"/>
    <x v="11"/>
    <x v="39"/>
    <n v="11"/>
    <n v="9"/>
    <n v="0"/>
    <n v="0"/>
    <n v="0"/>
    <n v="0"/>
    <n v="0"/>
    <n v="0"/>
    <n v="0"/>
    <n v="11"/>
    <n v="2024"/>
    <x v="2"/>
    <s v="淘特搜索"/>
    <x v="1"/>
    <x v="0"/>
  </r>
  <r>
    <x v="0"/>
    <x v="5"/>
    <x v="1"/>
    <x v="11"/>
    <x v="40"/>
    <n v="1"/>
    <n v="1"/>
    <n v="0"/>
    <n v="0"/>
    <n v="0"/>
    <n v="0"/>
    <n v="0"/>
    <n v="0"/>
    <n v="0"/>
    <n v="1"/>
    <n v="2024"/>
    <x v="2"/>
    <s v="淘特自主访问"/>
    <x v="1"/>
    <x v="0"/>
  </r>
  <r>
    <x v="0"/>
    <x v="5"/>
    <x v="0"/>
    <x v="5"/>
    <x v="47"/>
    <n v="3"/>
    <n v="2"/>
    <n v="0"/>
    <n v="0"/>
    <n v="0"/>
    <n v="0"/>
    <n v="0"/>
    <n v="0"/>
    <n v="0"/>
    <n v="0"/>
    <n v="2024"/>
    <x v="2"/>
    <s v="短直联动"/>
    <x v="1"/>
    <x v="0"/>
  </r>
  <r>
    <x v="0"/>
    <x v="5"/>
    <x v="0"/>
    <x v="5"/>
    <x v="41"/>
    <n v="54475"/>
    <n v="46819"/>
    <n v="50"/>
    <n v="18"/>
    <n v="0"/>
    <n v="0"/>
    <n v="0"/>
    <n v="0"/>
    <n v="257"/>
    <n v="21425"/>
    <n v="2024"/>
    <x v="2"/>
    <s v="超级直播"/>
    <x v="1"/>
    <x v="0"/>
  </r>
  <r>
    <x v="0"/>
    <x v="5"/>
    <x v="0"/>
    <x v="5"/>
    <x v="20"/>
    <n v="130669"/>
    <n v="119948"/>
    <n v="24"/>
    <n v="29"/>
    <n v="0"/>
    <n v="0"/>
    <n v="0"/>
    <n v="0"/>
    <n v="104"/>
    <n v="5800"/>
    <n v="2024"/>
    <x v="2"/>
    <s v="超级短视频"/>
    <x v="1"/>
    <x v="0"/>
  </r>
  <r>
    <x v="0"/>
    <x v="5"/>
    <x v="0"/>
    <x v="6"/>
    <x v="48"/>
    <n v="16640"/>
    <n v="14591"/>
    <n v="0"/>
    <n v="0"/>
    <n v="0"/>
    <n v="0"/>
    <n v="0"/>
    <n v="0"/>
    <n v="16640"/>
    <n v="1934"/>
    <n v="2024"/>
    <x v="2"/>
    <s v="Showmax"/>
    <x v="1"/>
    <x v="0"/>
  </r>
  <r>
    <x v="0"/>
    <x v="5"/>
    <x v="0"/>
    <x v="6"/>
    <x v="45"/>
    <n v="3"/>
    <n v="2"/>
    <n v="0"/>
    <n v="0"/>
    <n v="0"/>
    <n v="0"/>
    <n v="0"/>
    <n v="0"/>
    <n v="2"/>
    <n v="0"/>
    <n v="2024"/>
    <x v="2"/>
    <s v="品牌定制"/>
    <x v="1"/>
    <x v="0"/>
  </r>
  <r>
    <x v="0"/>
    <x v="5"/>
    <x v="0"/>
    <x v="6"/>
    <x v="30"/>
    <n v="25126"/>
    <n v="21679"/>
    <n v="0"/>
    <n v="0"/>
    <n v="0"/>
    <n v="0"/>
    <n v="0"/>
    <n v="0"/>
    <n v="25126"/>
    <n v="3764"/>
    <n v="2024"/>
    <x v="2"/>
    <s v="品牌特秀"/>
    <x v="1"/>
    <x v="0"/>
  </r>
  <r>
    <x v="0"/>
    <x v="5"/>
    <x v="0"/>
    <x v="6"/>
    <x v="21"/>
    <n v="15387"/>
    <n v="13992"/>
    <n v="420"/>
    <n v="132"/>
    <n v="414069.29"/>
    <n v="97"/>
    <n v="319104.77"/>
    <n v="90"/>
    <n v="15387"/>
    <n v="7856"/>
    <n v="2024"/>
    <x v="2"/>
    <s v="品销宝-品牌专区"/>
    <x v="1"/>
    <x v="0"/>
  </r>
  <r>
    <x v="0"/>
    <x v="5"/>
    <x v="0"/>
    <x v="6"/>
    <x v="49"/>
    <n v="2"/>
    <n v="1"/>
    <n v="0"/>
    <n v="0"/>
    <n v="0"/>
    <n v="0"/>
    <n v="0"/>
    <n v="0"/>
    <n v="0"/>
    <n v="1"/>
    <n v="2024"/>
    <x v="2"/>
    <s v="超级全域通"/>
    <x v="1"/>
    <x v="0"/>
  </r>
  <r>
    <x v="0"/>
    <x v="5"/>
    <x v="0"/>
    <x v="0"/>
    <x v="2"/>
    <n v="77247"/>
    <n v="71087"/>
    <n v="1473"/>
    <n v="689"/>
    <n v="1990456.1"/>
    <n v="410"/>
    <n v="1260047.51"/>
    <n v="328"/>
    <n v="7236"/>
    <n v="76489"/>
    <n v="2024"/>
    <x v="2"/>
    <s v="直通车"/>
    <x v="1"/>
    <x v="0"/>
  </r>
  <r>
    <x v="0"/>
    <x v="5"/>
    <x v="0"/>
    <x v="0"/>
    <x v="0"/>
    <n v="60709"/>
    <n v="51856"/>
    <n v="1186"/>
    <n v="852"/>
    <n v="1150074.93"/>
    <n v="268"/>
    <n v="653426.93000000005"/>
    <n v="193"/>
    <n v="4590"/>
    <n v="60655"/>
    <n v="2024"/>
    <x v="2"/>
    <s v="万相台"/>
    <x v="1"/>
    <x v="0"/>
  </r>
  <r>
    <x v="0"/>
    <x v="5"/>
    <x v="0"/>
    <x v="0"/>
    <x v="1"/>
    <n v="175024"/>
    <n v="153568"/>
    <n v="768"/>
    <n v="778"/>
    <n v="383367.27"/>
    <n v="78"/>
    <n v="177974.27"/>
    <n v="50"/>
    <n v="5819"/>
    <n v="174917"/>
    <n v="2024"/>
    <x v="2"/>
    <s v="引力魔方"/>
    <x v="1"/>
    <x v="0"/>
  </r>
  <r>
    <x v="0"/>
    <x v="5"/>
    <x v="0"/>
    <x v="7"/>
    <x v="22"/>
    <n v="3"/>
    <n v="3"/>
    <n v="0"/>
    <n v="0"/>
    <n v="0"/>
    <n v="0"/>
    <n v="0"/>
    <n v="0"/>
    <n v="0"/>
    <n v="1"/>
    <n v="2024"/>
    <x v="2"/>
    <s v="UD效果投放"/>
    <x v="1"/>
    <x v="0"/>
  </r>
  <r>
    <x v="0"/>
    <x v="5"/>
    <x v="0"/>
    <x v="7"/>
    <x v="23"/>
    <n v="32"/>
    <n v="20"/>
    <n v="1"/>
    <n v="1"/>
    <n v="0"/>
    <n v="0"/>
    <n v="0"/>
    <n v="0"/>
    <n v="6"/>
    <n v="23"/>
    <n v="2024"/>
    <x v="2"/>
    <s v="流量宝"/>
    <x v="1"/>
    <x v="0"/>
  </r>
  <r>
    <x v="0"/>
    <x v="5"/>
    <x v="0"/>
    <x v="7"/>
    <x v="24"/>
    <n v="11848"/>
    <n v="7267"/>
    <n v="70"/>
    <n v="24"/>
    <n v="136022.03"/>
    <n v="46"/>
    <n v="120522.03"/>
    <n v="41"/>
    <n v="404"/>
    <n v="11602"/>
    <n v="2024"/>
    <x v="2"/>
    <s v="淘宝客"/>
    <x v="1"/>
    <x v="0"/>
  </r>
  <r>
    <x v="0"/>
    <x v="6"/>
    <x v="1"/>
    <x v="1"/>
    <x v="3"/>
    <n v="1"/>
    <n v="1"/>
    <n v="0"/>
    <n v="0"/>
    <n v="0"/>
    <n v="0"/>
    <n v="0"/>
    <n v="0"/>
    <m/>
    <n v="1"/>
    <n v="2024"/>
    <x v="3"/>
    <s v="其他入口榜单"/>
    <x v="1"/>
    <x v="0"/>
  </r>
  <r>
    <x v="0"/>
    <x v="6"/>
    <x v="1"/>
    <x v="1"/>
    <x v="28"/>
    <n v="21"/>
    <n v="21"/>
    <n v="0"/>
    <n v="0"/>
    <n v="0"/>
    <n v="0"/>
    <n v="0"/>
    <n v="0"/>
    <m/>
    <n v="21"/>
    <n v="2024"/>
    <x v="3"/>
    <s v="商品详情页入口榜单"/>
    <x v="1"/>
    <x v="0"/>
  </r>
  <r>
    <x v="0"/>
    <x v="6"/>
    <x v="1"/>
    <x v="1"/>
    <x v="35"/>
    <n v="17"/>
    <n v="17"/>
    <n v="0"/>
    <n v="0"/>
    <n v="0"/>
    <n v="0"/>
    <n v="0"/>
    <n v="0"/>
    <m/>
    <n v="17"/>
    <n v="2024"/>
    <x v="3"/>
    <s v="搜索入口榜单"/>
    <x v="1"/>
    <x v="0"/>
  </r>
  <r>
    <x v="0"/>
    <x v="6"/>
    <x v="1"/>
    <x v="2"/>
    <x v="4"/>
    <n v="15"/>
    <n v="14"/>
    <n v="0"/>
    <n v="0"/>
    <n v="0"/>
    <n v="0"/>
    <n v="0"/>
    <n v="0"/>
    <m/>
    <n v="5"/>
    <n v="2024"/>
    <x v="3"/>
    <s v="手机浏览器访问天猫"/>
    <x v="1"/>
    <x v="0"/>
  </r>
  <r>
    <x v="0"/>
    <x v="6"/>
    <x v="1"/>
    <x v="2"/>
    <x v="5"/>
    <n v="551"/>
    <n v="383"/>
    <n v="4"/>
    <n v="0"/>
    <n v="13065"/>
    <n v="2"/>
    <n v="13065"/>
    <n v="2"/>
    <m/>
    <n v="483"/>
    <n v="2024"/>
    <x v="3"/>
    <s v="手猫免费其他"/>
    <x v="1"/>
    <x v="0"/>
  </r>
  <r>
    <x v="0"/>
    <x v="6"/>
    <x v="1"/>
    <x v="2"/>
    <x v="6"/>
    <n v="80"/>
    <n v="59"/>
    <n v="4"/>
    <n v="0"/>
    <n v="22840"/>
    <n v="3"/>
    <n v="14990"/>
    <n v="3"/>
    <m/>
    <n v="80"/>
    <n v="2024"/>
    <x v="3"/>
    <s v="手猫其他店铺"/>
    <x v="1"/>
    <x v="0"/>
  </r>
  <r>
    <x v="0"/>
    <x v="6"/>
    <x v="1"/>
    <x v="2"/>
    <x v="7"/>
    <n v="190"/>
    <n v="118"/>
    <n v="2"/>
    <n v="0"/>
    <n v="12925"/>
    <n v="2"/>
    <n v="12925"/>
    <n v="2"/>
    <m/>
    <n v="166"/>
    <n v="2024"/>
    <x v="3"/>
    <s v="手猫商品详情"/>
    <x v="1"/>
    <x v="0"/>
  </r>
  <r>
    <x v="0"/>
    <x v="6"/>
    <x v="1"/>
    <x v="2"/>
    <x v="8"/>
    <n v="662"/>
    <n v="566"/>
    <n v="3"/>
    <n v="0"/>
    <n v="25040"/>
    <n v="4"/>
    <n v="25040"/>
    <n v="4"/>
    <m/>
    <n v="514"/>
    <n v="2024"/>
    <x v="3"/>
    <s v="手猫搜索"/>
    <x v="1"/>
    <x v="0"/>
  </r>
  <r>
    <x v="0"/>
    <x v="6"/>
    <x v="1"/>
    <x v="2"/>
    <x v="9"/>
    <n v="13"/>
    <n v="6"/>
    <n v="0"/>
    <n v="0"/>
    <n v="11250"/>
    <n v="2"/>
    <n v="11250"/>
    <n v="2"/>
    <m/>
    <n v="9"/>
    <n v="2024"/>
    <x v="3"/>
    <s v="手猫旺信聊天"/>
    <x v="1"/>
    <x v="0"/>
  </r>
  <r>
    <x v="0"/>
    <x v="6"/>
    <x v="1"/>
    <x v="2"/>
    <x v="29"/>
    <n v="11"/>
    <n v="5"/>
    <n v="0"/>
    <n v="0"/>
    <n v="0"/>
    <n v="0"/>
    <n v="0"/>
    <n v="0"/>
    <m/>
    <n v="11"/>
    <n v="2024"/>
    <x v="3"/>
    <s v="手猫消息中心"/>
    <x v="1"/>
    <x v="0"/>
  </r>
  <r>
    <x v="0"/>
    <x v="6"/>
    <x v="1"/>
    <x v="2"/>
    <x v="10"/>
    <n v="2000"/>
    <n v="1645"/>
    <n v="5"/>
    <n v="0"/>
    <n v="24490"/>
    <n v="3"/>
    <n v="24490"/>
    <n v="3"/>
    <m/>
    <n v="2000"/>
    <n v="2024"/>
    <x v="3"/>
    <s v="手猫首页"/>
    <x v="1"/>
    <x v="0"/>
  </r>
  <r>
    <x v="0"/>
    <x v="6"/>
    <x v="1"/>
    <x v="3"/>
    <x v="11"/>
    <n v="1082"/>
    <n v="565"/>
    <n v="28"/>
    <n v="22"/>
    <n v="15135"/>
    <n v="5"/>
    <n v="12340"/>
    <n v="4"/>
    <m/>
    <n v="967"/>
    <n v="2024"/>
    <x v="3"/>
    <s v="商品详情页头图推荐"/>
    <x v="1"/>
    <x v="0"/>
  </r>
  <r>
    <x v="0"/>
    <x v="6"/>
    <x v="1"/>
    <x v="3"/>
    <x v="12"/>
    <n v="421"/>
    <n v="313"/>
    <n v="7"/>
    <n v="6"/>
    <n v="2995"/>
    <n v="1"/>
    <n v="2995"/>
    <n v="1"/>
    <m/>
    <n v="213"/>
    <n v="2024"/>
    <x v="3"/>
    <s v="店铺超链"/>
    <x v="1"/>
    <x v="0"/>
  </r>
  <r>
    <x v="0"/>
    <x v="6"/>
    <x v="1"/>
    <x v="4"/>
    <x v="13"/>
    <n v="1712"/>
    <n v="906"/>
    <n v="24"/>
    <n v="19"/>
    <n v="35100"/>
    <n v="9"/>
    <n v="29600"/>
    <n v="8"/>
    <m/>
    <n v="1486"/>
    <n v="2024"/>
    <x v="3"/>
    <s v="其他猜你喜欢"/>
    <x v="1"/>
    <x v="0"/>
  </r>
  <r>
    <x v="0"/>
    <x v="6"/>
    <x v="1"/>
    <x v="4"/>
    <x v="15"/>
    <n v="31"/>
    <n v="20"/>
    <n v="0"/>
    <n v="0"/>
    <n v="0"/>
    <n v="0"/>
    <n v="0"/>
    <n v="0"/>
    <m/>
    <n v="18"/>
    <n v="2024"/>
    <x v="3"/>
    <s v="购中推荐"/>
    <x v="1"/>
    <x v="0"/>
  </r>
  <r>
    <x v="0"/>
    <x v="6"/>
    <x v="1"/>
    <x v="4"/>
    <x v="16"/>
    <n v="193"/>
    <n v="121"/>
    <n v="1"/>
    <n v="2"/>
    <n v="0"/>
    <n v="0"/>
    <n v="0"/>
    <n v="0"/>
    <m/>
    <n v="130"/>
    <n v="2024"/>
    <x v="3"/>
    <s v="购后推荐"/>
    <x v="1"/>
    <x v="0"/>
  </r>
  <r>
    <x v="0"/>
    <x v="6"/>
    <x v="1"/>
    <x v="4"/>
    <x v="17"/>
    <n v="3409"/>
    <n v="2190"/>
    <n v="66"/>
    <n v="34"/>
    <n v="22180"/>
    <n v="6"/>
    <n v="22180"/>
    <n v="6"/>
    <m/>
    <n v="3409"/>
    <n v="2024"/>
    <x v="3"/>
    <s v="首页推荐-微详情"/>
    <x v="1"/>
    <x v="0"/>
  </r>
  <r>
    <x v="0"/>
    <x v="6"/>
    <x v="1"/>
    <x v="4"/>
    <x v="18"/>
    <n v="10548"/>
    <n v="10043"/>
    <n v="1"/>
    <n v="0"/>
    <n v="0"/>
    <n v="0"/>
    <n v="0"/>
    <n v="0"/>
    <m/>
    <n v="54"/>
    <n v="2024"/>
    <x v="3"/>
    <s v="首页推荐-直播"/>
    <x v="1"/>
    <x v="0"/>
  </r>
  <r>
    <x v="0"/>
    <x v="6"/>
    <x v="1"/>
    <x v="4"/>
    <x v="19"/>
    <n v="1066"/>
    <n v="840"/>
    <n v="0"/>
    <n v="0"/>
    <n v="0"/>
    <n v="0"/>
    <n v="0"/>
    <n v="0"/>
    <m/>
    <n v="17"/>
    <n v="2024"/>
    <x v="3"/>
    <s v="首页推荐-短视频"/>
    <x v="1"/>
    <x v="0"/>
  </r>
  <r>
    <x v="0"/>
    <x v="6"/>
    <x v="1"/>
    <x v="12"/>
    <x v="42"/>
    <n v="8800"/>
    <n v="7756"/>
    <n v="218"/>
    <n v="104"/>
    <n v="230805"/>
    <n v="48"/>
    <n v="141325"/>
    <n v="38"/>
    <m/>
    <n v="7334"/>
    <n v="2024"/>
    <x v="3"/>
    <s v="手淘搜索-商品及其他"/>
    <x v="1"/>
    <x v="0"/>
  </r>
  <r>
    <x v="0"/>
    <x v="6"/>
    <x v="1"/>
    <x v="12"/>
    <x v="43"/>
    <n v="19"/>
    <n v="16"/>
    <n v="1"/>
    <n v="0"/>
    <n v="4995"/>
    <n v="1"/>
    <n v="4995"/>
    <n v="1"/>
    <m/>
    <n v="11"/>
    <n v="2024"/>
    <x v="3"/>
    <s v="手淘搜索-直播"/>
    <x v="1"/>
    <x v="0"/>
  </r>
  <r>
    <x v="0"/>
    <x v="6"/>
    <x v="1"/>
    <x v="12"/>
    <x v="44"/>
    <n v="148"/>
    <n v="108"/>
    <n v="1"/>
    <n v="0"/>
    <n v="4045"/>
    <n v="1"/>
    <n v="4045"/>
    <n v="1"/>
    <m/>
    <n v="25"/>
    <n v="2024"/>
    <x v="3"/>
    <s v="手淘搜索-短视频"/>
    <x v="1"/>
    <x v="0"/>
  </r>
  <r>
    <x v="0"/>
    <x v="6"/>
    <x v="1"/>
    <x v="11"/>
    <x v="37"/>
    <n v="173"/>
    <n v="162"/>
    <n v="2"/>
    <n v="2"/>
    <n v="0"/>
    <n v="0"/>
    <n v="0"/>
    <n v="0"/>
    <m/>
    <n v="173"/>
    <n v="2024"/>
    <x v="3"/>
    <s v="淘特其他渠道"/>
    <x v="1"/>
    <x v="0"/>
  </r>
  <r>
    <x v="0"/>
    <x v="6"/>
    <x v="1"/>
    <x v="11"/>
    <x v="39"/>
    <n v="7"/>
    <n v="7"/>
    <n v="0"/>
    <n v="0"/>
    <n v="0"/>
    <n v="0"/>
    <n v="0"/>
    <n v="0"/>
    <m/>
    <n v="7"/>
    <n v="2024"/>
    <x v="3"/>
    <s v="淘特搜索"/>
    <x v="1"/>
    <x v="0"/>
  </r>
  <r>
    <x v="0"/>
    <x v="6"/>
    <x v="1"/>
    <x v="11"/>
    <x v="40"/>
    <n v="2"/>
    <n v="1"/>
    <n v="0"/>
    <n v="0"/>
    <n v="0"/>
    <n v="0"/>
    <n v="0"/>
    <n v="0"/>
    <m/>
    <n v="2"/>
    <n v="2024"/>
    <x v="3"/>
    <s v="淘特自主访问"/>
    <x v="1"/>
    <x v="0"/>
  </r>
  <r>
    <x v="0"/>
    <x v="6"/>
    <x v="0"/>
    <x v="5"/>
    <x v="47"/>
    <n v="4735"/>
    <n v="4073"/>
    <n v="7"/>
    <n v="5"/>
    <n v="0"/>
    <n v="0"/>
    <n v="0"/>
    <n v="0"/>
    <m/>
    <n v="876"/>
    <n v="2024"/>
    <x v="3"/>
    <s v="短直联动"/>
    <x v="1"/>
    <x v="0"/>
  </r>
  <r>
    <x v="0"/>
    <x v="6"/>
    <x v="0"/>
    <x v="5"/>
    <x v="41"/>
    <n v="10296"/>
    <n v="8328"/>
    <n v="16"/>
    <n v="4"/>
    <n v="0"/>
    <n v="0"/>
    <n v="0"/>
    <n v="0"/>
    <m/>
    <n v="2600"/>
    <n v="2024"/>
    <x v="3"/>
    <s v="超级直播"/>
    <x v="1"/>
    <x v="0"/>
  </r>
  <r>
    <x v="0"/>
    <x v="6"/>
    <x v="0"/>
    <x v="5"/>
    <x v="20"/>
    <n v="28926"/>
    <n v="26423"/>
    <n v="6"/>
    <n v="13"/>
    <n v="0"/>
    <n v="0"/>
    <n v="0"/>
    <n v="0"/>
    <m/>
    <n v="3152"/>
    <n v="2024"/>
    <x v="3"/>
    <s v="超级短视频"/>
    <x v="1"/>
    <x v="0"/>
  </r>
  <r>
    <x v="0"/>
    <x v="6"/>
    <x v="0"/>
    <x v="6"/>
    <x v="48"/>
    <n v="1"/>
    <n v="1"/>
    <n v="0"/>
    <n v="0"/>
    <n v="0"/>
    <n v="0"/>
    <n v="0"/>
    <n v="0"/>
    <m/>
    <n v="0"/>
    <n v="2024"/>
    <x v="3"/>
    <s v="Showmax"/>
    <x v="1"/>
    <x v="0"/>
  </r>
  <r>
    <x v="0"/>
    <x v="6"/>
    <x v="0"/>
    <x v="6"/>
    <x v="21"/>
    <n v="14356"/>
    <n v="13598"/>
    <n v="254"/>
    <n v="113"/>
    <n v="171965"/>
    <n v="35"/>
    <n v="102770"/>
    <n v="30"/>
    <m/>
    <n v="7172"/>
    <n v="2024"/>
    <x v="3"/>
    <s v="品销宝-品牌专区"/>
    <x v="1"/>
    <x v="0"/>
  </r>
  <r>
    <x v="0"/>
    <x v="6"/>
    <x v="0"/>
    <x v="6"/>
    <x v="49"/>
    <n v="1"/>
    <n v="0"/>
    <n v="0"/>
    <n v="0"/>
    <n v="0"/>
    <n v="0"/>
    <n v="0"/>
    <n v="0"/>
    <m/>
    <n v="1"/>
    <n v="2024"/>
    <x v="3"/>
    <s v="超级全域通"/>
    <x v="1"/>
    <x v="0"/>
  </r>
  <r>
    <x v="0"/>
    <x v="6"/>
    <x v="0"/>
    <x v="0"/>
    <x v="2"/>
    <n v="53224"/>
    <n v="50473"/>
    <n v="680"/>
    <n v="495"/>
    <n v="735845"/>
    <n v="97"/>
    <n v="359470"/>
    <n v="65"/>
    <m/>
    <n v="52685"/>
    <n v="2024"/>
    <x v="3"/>
    <s v="直通车"/>
    <x v="1"/>
    <x v="0"/>
  </r>
  <r>
    <x v="0"/>
    <x v="6"/>
    <x v="0"/>
    <x v="0"/>
    <x v="0"/>
    <n v="41461"/>
    <n v="36642"/>
    <n v="678"/>
    <n v="525"/>
    <n v="802075"/>
    <n v="98"/>
    <n v="272810"/>
    <n v="44"/>
    <m/>
    <n v="41374"/>
    <n v="2024"/>
    <x v="3"/>
    <s v="万相台"/>
    <x v="1"/>
    <x v="0"/>
  </r>
  <r>
    <x v="0"/>
    <x v="6"/>
    <x v="0"/>
    <x v="0"/>
    <x v="1"/>
    <n v="86192"/>
    <n v="77463"/>
    <n v="553"/>
    <n v="638"/>
    <n v="320170"/>
    <n v="43"/>
    <n v="72800"/>
    <n v="14"/>
    <m/>
    <n v="86159"/>
    <n v="2024"/>
    <x v="3"/>
    <s v="引力魔方"/>
    <x v="1"/>
    <x v="0"/>
  </r>
  <r>
    <x v="0"/>
    <x v="6"/>
    <x v="0"/>
    <x v="7"/>
    <x v="22"/>
    <n v="1"/>
    <n v="1"/>
    <n v="0"/>
    <n v="0"/>
    <n v="0"/>
    <n v="0"/>
    <n v="0"/>
    <n v="0"/>
    <m/>
    <n v="0"/>
    <n v="2024"/>
    <x v="3"/>
    <s v="UD效果投放"/>
    <x v="1"/>
    <x v="0"/>
  </r>
  <r>
    <x v="0"/>
    <x v="6"/>
    <x v="0"/>
    <x v="7"/>
    <x v="23"/>
    <n v="12"/>
    <n v="8"/>
    <n v="0"/>
    <n v="0"/>
    <n v="0"/>
    <n v="0"/>
    <n v="0"/>
    <n v="0"/>
    <m/>
    <n v="5"/>
    <n v="2024"/>
    <x v="3"/>
    <s v="流量宝"/>
    <x v="1"/>
    <x v="0"/>
  </r>
  <r>
    <x v="0"/>
    <x v="6"/>
    <x v="0"/>
    <x v="7"/>
    <x v="24"/>
    <n v="3761"/>
    <n v="1950"/>
    <n v="12"/>
    <n v="19"/>
    <n v="71870"/>
    <n v="7"/>
    <n v="53370"/>
    <n v="6"/>
    <m/>
    <n v="3569"/>
    <n v="2024"/>
    <x v="3"/>
    <s v="淘宝客"/>
    <x v="1"/>
    <x v="0"/>
  </r>
  <r>
    <x v="0"/>
    <x v="7"/>
    <x v="1"/>
    <x v="1"/>
    <x v="3"/>
    <n v="134"/>
    <n v="90"/>
    <n v="2"/>
    <n v="4"/>
    <n v="0"/>
    <n v="0"/>
    <n v="0"/>
    <n v="0"/>
    <m/>
    <n v="134"/>
    <n v="2023"/>
    <x v="3"/>
    <s v="其他入口榜单"/>
    <x v="0"/>
    <x v="0"/>
  </r>
  <r>
    <x v="0"/>
    <x v="7"/>
    <x v="1"/>
    <x v="1"/>
    <x v="28"/>
    <n v="2"/>
    <n v="2"/>
    <n v="0"/>
    <n v="0"/>
    <n v="0"/>
    <n v="0"/>
    <n v="0"/>
    <n v="0"/>
    <m/>
    <n v="2"/>
    <n v="2023"/>
    <x v="3"/>
    <s v="商品详情页入口榜单"/>
    <x v="0"/>
    <x v="0"/>
  </r>
  <r>
    <x v="0"/>
    <x v="7"/>
    <x v="1"/>
    <x v="2"/>
    <x v="4"/>
    <n v="88"/>
    <n v="85"/>
    <n v="0"/>
    <n v="0"/>
    <n v="0"/>
    <n v="0"/>
    <n v="0"/>
    <n v="0"/>
    <m/>
    <n v="46"/>
    <n v="2023"/>
    <x v="3"/>
    <s v="手机浏览器访问天猫"/>
    <x v="0"/>
    <x v="0"/>
  </r>
  <r>
    <x v="0"/>
    <x v="7"/>
    <x v="1"/>
    <x v="2"/>
    <x v="5"/>
    <n v="832"/>
    <n v="580"/>
    <n v="14"/>
    <n v="0"/>
    <n v="12039.5"/>
    <n v="5"/>
    <n v="12039.5"/>
    <n v="5"/>
    <m/>
    <n v="794"/>
    <n v="2023"/>
    <x v="3"/>
    <s v="手猫免费其他"/>
    <x v="0"/>
    <x v="0"/>
  </r>
  <r>
    <x v="0"/>
    <x v="7"/>
    <x v="1"/>
    <x v="2"/>
    <x v="6"/>
    <n v="528"/>
    <n v="407"/>
    <n v="53"/>
    <n v="0"/>
    <n v="41382.5"/>
    <n v="8"/>
    <n v="41382.5"/>
    <n v="8"/>
    <m/>
    <n v="528"/>
    <n v="2023"/>
    <x v="3"/>
    <s v="手猫其他店铺"/>
    <x v="0"/>
    <x v="0"/>
  </r>
  <r>
    <x v="0"/>
    <x v="7"/>
    <x v="1"/>
    <x v="2"/>
    <x v="7"/>
    <n v="514"/>
    <n v="372"/>
    <n v="25"/>
    <n v="0"/>
    <n v="14087.5"/>
    <n v="4"/>
    <n v="14087.5"/>
    <n v="4"/>
    <m/>
    <n v="503"/>
    <n v="2023"/>
    <x v="3"/>
    <s v="手猫商品详情"/>
    <x v="0"/>
    <x v="0"/>
  </r>
  <r>
    <x v="0"/>
    <x v="7"/>
    <x v="1"/>
    <x v="2"/>
    <x v="8"/>
    <n v="808"/>
    <n v="695"/>
    <n v="23"/>
    <n v="0"/>
    <n v="21847.5"/>
    <n v="6"/>
    <n v="21847.5"/>
    <n v="6"/>
    <m/>
    <n v="607"/>
    <n v="2023"/>
    <x v="3"/>
    <s v="手猫搜索"/>
    <x v="0"/>
    <x v="0"/>
  </r>
  <r>
    <x v="0"/>
    <x v="7"/>
    <x v="1"/>
    <x v="2"/>
    <x v="9"/>
    <n v="13"/>
    <n v="4"/>
    <n v="2"/>
    <n v="0"/>
    <n v="7700"/>
    <n v="2"/>
    <n v="7700"/>
    <n v="2"/>
    <m/>
    <n v="11"/>
    <n v="2023"/>
    <x v="3"/>
    <s v="手猫旺信聊天"/>
    <x v="0"/>
    <x v="0"/>
  </r>
  <r>
    <x v="0"/>
    <x v="7"/>
    <x v="1"/>
    <x v="2"/>
    <x v="29"/>
    <n v="2"/>
    <n v="1"/>
    <n v="0"/>
    <n v="0"/>
    <n v="0"/>
    <n v="0"/>
    <n v="0"/>
    <n v="0"/>
    <m/>
    <n v="2"/>
    <n v="2023"/>
    <x v="3"/>
    <s v="手猫消息中心"/>
    <x v="0"/>
    <x v="0"/>
  </r>
  <r>
    <x v="0"/>
    <x v="7"/>
    <x v="1"/>
    <x v="2"/>
    <x v="10"/>
    <n v="2708"/>
    <n v="2389"/>
    <n v="57"/>
    <n v="0"/>
    <n v="8725"/>
    <n v="2"/>
    <n v="8725"/>
    <n v="2"/>
    <m/>
    <n v="2708"/>
    <n v="2023"/>
    <x v="3"/>
    <s v="手猫首页"/>
    <x v="0"/>
    <x v="0"/>
  </r>
  <r>
    <x v="0"/>
    <x v="7"/>
    <x v="1"/>
    <x v="3"/>
    <x v="11"/>
    <n v="1197"/>
    <n v="714"/>
    <n v="50"/>
    <n v="27"/>
    <n v="32341.5"/>
    <n v="11"/>
    <n v="32341.5"/>
    <n v="11"/>
    <m/>
    <n v="1130"/>
    <n v="2023"/>
    <x v="3"/>
    <s v="商品详情页头图推荐"/>
    <x v="0"/>
    <x v="0"/>
  </r>
  <r>
    <x v="0"/>
    <x v="7"/>
    <x v="1"/>
    <x v="3"/>
    <x v="12"/>
    <n v="309"/>
    <n v="220"/>
    <n v="9"/>
    <n v="1"/>
    <n v="9287.5"/>
    <n v="2"/>
    <n v="9287.5"/>
    <n v="2"/>
    <m/>
    <n v="132"/>
    <n v="2023"/>
    <x v="3"/>
    <s v="店铺超链"/>
    <x v="0"/>
    <x v="0"/>
  </r>
  <r>
    <x v="0"/>
    <x v="7"/>
    <x v="1"/>
    <x v="4"/>
    <x v="13"/>
    <n v="1040"/>
    <n v="594"/>
    <n v="23"/>
    <n v="11"/>
    <n v="21233"/>
    <n v="6"/>
    <n v="18238"/>
    <n v="5"/>
    <m/>
    <n v="850"/>
    <n v="2023"/>
    <x v="3"/>
    <s v="其他猜你喜欢"/>
    <x v="0"/>
    <x v="0"/>
  </r>
  <r>
    <x v="0"/>
    <x v="7"/>
    <x v="1"/>
    <x v="4"/>
    <x v="14"/>
    <n v="47"/>
    <n v="42"/>
    <n v="0"/>
    <n v="0"/>
    <n v="0"/>
    <n v="0"/>
    <n v="0"/>
    <n v="0"/>
    <m/>
    <n v="47"/>
    <n v="2023"/>
    <x v="3"/>
    <s v="推荐云主题"/>
    <x v="0"/>
    <x v="0"/>
  </r>
  <r>
    <x v="0"/>
    <x v="7"/>
    <x v="1"/>
    <x v="4"/>
    <x v="15"/>
    <n v="103"/>
    <n v="61"/>
    <n v="3"/>
    <n v="0"/>
    <n v="1557"/>
    <n v="1"/>
    <n v="1557"/>
    <n v="1"/>
    <m/>
    <n v="103"/>
    <n v="2023"/>
    <x v="3"/>
    <s v="购中推荐"/>
    <x v="0"/>
    <x v="0"/>
  </r>
  <r>
    <x v="0"/>
    <x v="7"/>
    <x v="1"/>
    <x v="4"/>
    <x v="16"/>
    <n v="659"/>
    <n v="394"/>
    <n v="12"/>
    <n v="4"/>
    <n v="6478"/>
    <n v="3"/>
    <n v="6478"/>
    <n v="3"/>
    <m/>
    <n v="659"/>
    <n v="2023"/>
    <x v="3"/>
    <s v="购后推荐"/>
    <x v="0"/>
    <x v="0"/>
  </r>
  <r>
    <x v="0"/>
    <x v="7"/>
    <x v="1"/>
    <x v="4"/>
    <x v="17"/>
    <n v="46683"/>
    <n v="43617"/>
    <n v="205"/>
    <n v="169"/>
    <n v="86458.5"/>
    <n v="21"/>
    <n v="61568.5"/>
    <n v="18"/>
    <m/>
    <n v="46683"/>
    <n v="2023"/>
    <x v="3"/>
    <s v="首页推荐-微详情"/>
    <x v="0"/>
    <x v="0"/>
  </r>
  <r>
    <x v="0"/>
    <x v="7"/>
    <x v="1"/>
    <x v="4"/>
    <x v="18"/>
    <n v="3"/>
    <n v="1"/>
    <n v="0"/>
    <n v="0"/>
    <n v="0"/>
    <n v="0"/>
    <n v="0"/>
    <n v="0"/>
    <m/>
    <n v="0"/>
    <n v="2023"/>
    <x v="3"/>
    <s v="首页推荐-直播"/>
    <x v="0"/>
    <x v="0"/>
  </r>
  <r>
    <x v="0"/>
    <x v="7"/>
    <x v="1"/>
    <x v="4"/>
    <x v="19"/>
    <n v="54"/>
    <n v="42"/>
    <n v="0"/>
    <n v="0"/>
    <n v="0"/>
    <n v="0"/>
    <n v="0"/>
    <n v="0"/>
    <m/>
    <n v="1"/>
    <n v="2023"/>
    <x v="3"/>
    <s v="首页推荐-短视频"/>
    <x v="0"/>
    <x v="0"/>
  </r>
  <r>
    <x v="0"/>
    <x v="7"/>
    <x v="1"/>
    <x v="11"/>
    <x v="36"/>
    <n v="25"/>
    <n v="20"/>
    <n v="0"/>
    <n v="0"/>
    <n v="0"/>
    <n v="0"/>
    <n v="0"/>
    <n v="0"/>
    <m/>
    <n v="25"/>
    <n v="2023"/>
    <x v="3"/>
    <s v="淘特互动游戏"/>
    <x v="0"/>
    <x v="0"/>
  </r>
  <r>
    <x v="0"/>
    <x v="7"/>
    <x v="1"/>
    <x v="11"/>
    <x v="37"/>
    <n v="4"/>
    <n v="3"/>
    <n v="0"/>
    <n v="0"/>
    <n v="0"/>
    <n v="0"/>
    <n v="0"/>
    <n v="0"/>
    <m/>
    <n v="4"/>
    <n v="2023"/>
    <x v="3"/>
    <s v="淘特其他渠道"/>
    <x v="0"/>
    <x v="0"/>
  </r>
  <r>
    <x v="0"/>
    <x v="7"/>
    <x v="1"/>
    <x v="11"/>
    <x v="38"/>
    <n v="23"/>
    <n v="17"/>
    <n v="0"/>
    <n v="0"/>
    <n v="0"/>
    <n v="0"/>
    <n v="0"/>
    <n v="0"/>
    <m/>
    <n v="23"/>
    <n v="2023"/>
    <x v="3"/>
    <s v="淘特推荐"/>
    <x v="0"/>
    <x v="0"/>
  </r>
  <r>
    <x v="0"/>
    <x v="7"/>
    <x v="1"/>
    <x v="11"/>
    <x v="39"/>
    <n v="22"/>
    <n v="20"/>
    <n v="0"/>
    <n v="0"/>
    <n v="0"/>
    <n v="0"/>
    <n v="0"/>
    <n v="0"/>
    <m/>
    <n v="22"/>
    <n v="2023"/>
    <x v="3"/>
    <s v="淘特搜索"/>
    <x v="0"/>
    <x v="0"/>
  </r>
  <r>
    <x v="0"/>
    <x v="7"/>
    <x v="1"/>
    <x v="11"/>
    <x v="40"/>
    <n v="4"/>
    <n v="3"/>
    <n v="0"/>
    <n v="0"/>
    <n v="0"/>
    <n v="0"/>
    <n v="0"/>
    <n v="0"/>
    <m/>
    <n v="4"/>
    <n v="2023"/>
    <x v="3"/>
    <s v="淘特自主访问"/>
    <x v="0"/>
    <x v="0"/>
  </r>
  <r>
    <x v="0"/>
    <x v="7"/>
    <x v="0"/>
    <x v="6"/>
    <x v="21"/>
    <n v="10861"/>
    <n v="10262"/>
    <n v="199"/>
    <n v="76"/>
    <n v="184851.5"/>
    <n v="36"/>
    <n v="142883"/>
    <n v="31"/>
    <m/>
    <n v="4839"/>
    <n v="2023"/>
    <x v="3"/>
    <s v="品销宝-品牌专区"/>
    <x v="0"/>
    <x v="0"/>
  </r>
  <r>
    <x v="0"/>
    <x v="7"/>
    <x v="0"/>
    <x v="0"/>
    <x v="2"/>
    <n v="43294"/>
    <n v="41686"/>
    <n v="455"/>
    <n v="331"/>
    <n v="231465"/>
    <n v="47"/>
    <n v="94679.5"/>
    <n v="22"/>
    <m/>
    <n v="42608"/>
    <n v="2023"/>
    <x v="3"/>
    <s v="直通车"/>
    <x v="0"/>
    <x v="0"/>
  </r>
  <r>
    <x v="0"/>
    <x v="7"/>
    <x v="0"/>
    <x v="0"/>
    <x v="0"/>
    <n v="37824"/>
    <n v="34052"/>
    <n v="515"/>
    <n v="250"/>
    <n v="467944.18"/>
    <n v="124"/>
    <n v="302105.18"/>
    <n v="95"/>
    <m/>
    <n v="37761"/>
    <n v="2023"/>
    <x v="3"/>
    <s v="万相台"/>
    <x v="0"/>
    <x v="0"/>
  </r>
  <r>
    <x v="0"/>
    <x v="7"/>
    <x v="0"/>
    <x v="0"/>
    <x v="1"/>
    <n v="76820"/>
    <n v="70717"/>
    <n v="426"/>
    <n v="303"/>
    <n v="83487.81"/>
    <n v="31"/>
    <n v="44849.31"/>
    <n v="21"/>
    <m/>
    <n v="76675"/>
    <n v="2023"/>
    <x v="3"/>
    <s v="引力魔方"/>
    <x v="0"/>
    <x v="0"/>
  </r>
  <r>
    <x v="0"/>
    <x v="7"/>
    <x v="0"/>
    <x v="7"/>
    <x v="33"/>
    <n v="1"/>
    <n v="1"/>
    <n v="0"/>
    <n v="0"/>
    <n v="0"/>
    <n v="0"/>
    <n v="0"/>
    <n v="0"/>
    <m/>
    <n v="0"/>
    <n v="2023"/>
    <x v="3"/>
    <s v="UD品牌投放"/>
    <x v="0"/>
    <x v="0"/>
  </r>
  <r>
    <x v="0"/>
    <x v="7"/>
    <x v="0"/>
    <x v="7"/>
    <x v="22"/>
    <n v="1"/>
    <n v="0"/>
    <n v="0"/>
    <n v="0"/>
    <n v="0"/>
    <n v="0"/>
    <n v="0"/>
    <n v="0"/>
    <m/>
    <n v="1"/>
    <n v="2023"/>
    <x v="3"/>
    <s v="UD效果投放"/>
    <x v="0"/>
    <x v="0"/>
  </r>
  <r>
    <x v="0"/>
    <x v="7"/>
    <x v="0"/>
    <x v="7"/>
    <x v="23"/>
    <n v="78"/>
    <n v="73"/>
    <n v="0"/>
    <n v="0"/>
    <n v="0"/>
    <n v="0"/>
    <n v="0"/>
    <n v="0"/>
    <m/>
    <n v="19"/>
    <n v="2023"/>
    <x v="3"/>
    <s v="流量宝"/>
    <x v="0"/>
    <x v="0"/>
  </r>
  <r>
    <x v="0"/>
    <x v="7"/>
    <x v="0"/>
    <x v="7"/>
    <x v="24"/>
    <n v="2911"/>
    <n v="1638"/>
    <n v="14"/>
    <n v="5"/>
    <n v="27028"/>
    <n v="7"/>
    <n v="27028"/>
    <n v="7"/>
    <m/>
    <n v="2737"/>
    <n v="2023"/>
    <x v="3"/>
    <s v="淘宝客"/>
    <x v="0"/>
    <x v="0"/>
  </r>
  <r>
    <x v="0"/>
    <x v="8"/>
    <x v="1"/>
    <x v="1"/>
    <x v="3"/>
    <n v="1"/>
    <n v="1"/>
    <n v="0"/>
    <n v="0"/>
    <n v="0"/>
    <n v="0"/>
    <n v="0"/>
    <n v="0"/>
    <m/>
    <n v="1"/>
    <n v="2024"/>
    <x v="4"/>
    <s v="其他入口榜单"/>
    <x v="1"/>
    <x v="0"/>
  </r>
  <r>
    <x v="0"/>
    <x v="8"/>
    <x v="1"/>
    <x v="2"/>
    <x v="4"/>
    <n v="15"/>
    <n v="14"/>
    <n v="0"/>
    <n v="0"/>
    <n v="0"/>
    <n v="0"/>
    <n v="0"/>
    <n v="0"/>
    <m/>
    <n v="4"/>
    <n v="2024"/>
    <x v="4"/>
    <s v="手机浏览器访问天猫"/>
    <x v="1"/>
    <x v="0"/>
  </r>
  <r>
    <x v="0"/>
    <x v="8"/>
    <x v="1"/>
    <x v="2"/>
    <x v="5"/>
    <n v="440"/>
    <n v="338"/>
    <n v="2"/>
    <n v="0"/>
    <n v="0"/>
    <n v="0"/>
    <n v="0"/>
    <n v="0"/>
    <m/>
    <n v="353"/>
    <n v="2024"/>
    <x v="4"/>
    <s v="手猫免费其他"/>
    <x v="1"/>
    <x v="0"/>
  </r>
  <r>
    <x v="0"/>
    <x v="8"/>
    <x v="1"/>
    <x v="2"/>
    <x v="6"/>
    <n v="341"/>
    <n v="282"/>
    <n v="8"/>
    <n v="0"/>
    <n v="13535"/>
    <n v="4"/>
    <n v="13185"/>
    <n v="3"/>
    <m/>
    <n v="341"/>
    <n v="2024"/>
    <x v="4"/>
    <s v="手猫其他店铺"/>
    <x v="1"/>
    <x v="0"/>
  </r>
  <r>
    <x v="0"/>
    <x v="8"/>
    <x v="1"/>
    <x v="2"/>
    <x v="7"/>
    <n v="172"/>
    <n v="118"/>
    <n v="2"/>
    <n v="0"/>
    <n v="16880"/>
    <n v="4"/>
    <n v="16880"/>
    <n v="4"/>
    <m/>
    <n v="150"/>
    <n v="2024"/>
    <x v="4"/>
    <s v="手猫商品详情"/>
    <x v="1"/>
    <x v="0"/>
  </r>
  <r>
    <x v="0"/>
    <x v="8"/>
    <x v="1"/>
    <x v="2"/>
    <x v="8"/>
    <n v="635"/>
    <n v="568"/>
    <n v="7"/>
    <n v="0"/>
    <n v="18915"/>
    <n v="4"/>
    <n v="18915"/>
    <n v="4"/>
    <m/>
    <n v="462"/>
    <n v="2024"/>
    <x v="4"/>
    <s v="手猫搜索"/>
    <x v="1"/>
    <x v="0"/>
  </r>
  <r>
    <x v="0"/>
    <x v="8"/>
    <x v="1"/>
    <x v="2"/>
    <x v="9"/>
    <n v="8"/>
    <n v="5"/>
    <n v="0"/>
    <n v="0"/>
    <n v="0"/>
    <n v="0"/>
    <n v="0"/>
    <n v="0"/>
    <m/>
    <n v="7"/>
    <n v="2024"/>
    <x v="4"/>
    <s v="手猫旺信聊天"/>
    <x v="1"/>
    <x v="0"/>
  </r>
  <r>
    <x v="0"/>
    <x v="8"/>
    <x v="1"/>
    <x v="2"/>
    <x v="29"/>
    <n v="35"/>
    <n v="18"/>
    <n v="0"/>
    <n v="0"/>
    <n v="0"/>
    <n v="0"/>
    <n v="0"/>
    <n v="0"/>
    <m/>
    <n v="35"/>
    <n v="2024"/>
    <x v="4"/>
    <s v="手猫消息中心"/>
    <x v="1"/>
    <x v="0"/>
  </r>
  <r>
    <x v="0"/>
    <x v="8"/>
    <x v="1"/>
    <x v="2"/>
    <x v="10"/>
    <n v="2299"/>
    <n v="1998"/>
    <n v="2"/>
    <n v="0"/>
    <n v="8690"/>
    <n v="2"/>
    <n v="8690"/>
    <n v="2"/>
    <m/>
    <n v="2299"/>
    <n v="2024"/>
    <x v="4"/>
    <s v="手猫首页"/>
    <x v="1"/>
    <x v="0"/>
  </r>
  <r>
    <x v="0"/>
    <x v="8"/>
    <x v="1"/>
    <x v="3"/>
    <x v="11"/>
    <n v="1158"/>
    <n v="723"/>
    <n v="26"/>
    <n v="26"/>
    <n v="13835"/>
    <n v="2"/>
    <n v="8890"/>
    <n v="2"/>
    <m/>
    <n v="1107"/>
    <n v="2024"/>
    <x v="4"/>
    <s v="商品详情页头图推荐"/>
    <x v="1"/>
    <x v="0"/>
  </r>
  <r>
    <x v="0"/>
    <x v="8"/>
    <x v="1"/>
    <x v="3"/>
    <x v="12"/>
    <n v="444"/>
    <n v="359"/>
    <n v="16"/>
    <n v="6"/>
    <n v="33190"/>
    <n v="3"/>
    <n v="33190"/>
    <n v="3"/>
    <m/>
    <n v="224"/>
    <n v="2024"/>
    <x v="4"/>
    <s v="店铺超链"/>
    <x v="1"/>
    <x v="0"/>
  </r>
  <r>
    <x v="0"/>
    <x v="8"/>
    <x v="1"/>
    <x v="4"/>
    <x v="13"/>
    <n v="1151"/>
    <n v="615"/>
    <n v="17"/>
    <n v="11"/>
    <n v="47200"/>
    <n v="8"/>
    <n v="44005"/>
    <n v="8"/>
    <m/>
    <n v="914"/>
    <n v="2024"/>
    <x v="4"/>
    <s v="其他猜你喜欢"/>
    <x v="1"/>
    <x v="0"/>
  </r>
  <r>
    <x v="0"/>
    <x v="8"/>
    <x v="1"/>
    <x v="4"/>
    <x v="15"/>
    <n v="24"/>
    <n v="14"/>
    <n v="0"/>
    <n v="0"/>
    <n v="0"/>
    <n v="0"/>
    <n v="0"/>
    <n v="0"/>
    <m/>
    <n v="17"/>
    <n v="2024"/>
    <x v="4"/>
    <s v="购中推荐"/>
    <x v="1"/>
    <x v="0"/>
  </r>
  <r>
    <x v="0"/>
    <x v="8"/>
    <x v="1"/>
    <x v="4"/>
    <x v="16"/>
    <n v="133"/>
    <n v="81"/>
    <n v="2"/>
    <n v="1"/>
    <n v="0"/>
    <n v="0"/>
    <n v="0"/>
    <n v="0"/>
    <m/>
    <n v="100"/>
    <n v="2024"/>
    <x v="4"/>
    <s v="购后推荐"/>
    <x v="1"/>
    <x v="0"/>
  </r>
  <r>
    <x v="0"/>
    <x v="8"/>
    <x v="1"/>
    <x v="4"/>
    <x v="17"/>
    <n v="8137"/>
    <n v="6824"/>
    <n v="80"/>
    <n v="62"/>
    <n v="79915"/>
    <n v="9"/>
    <n v="49380"/>
    <n v="7"/>
    <m/>
    <n v="8137"/>
    <n v="2024"/>
    <x v="4"/>
    <s v="首页推荐-微详情"/>
    <x v="1"/>
    <x v="0"/>
  </r>
  <r>
    <x v="0"/>
    <x v="8"/>
    <x v="1"/>
    <x v="4"/>
    <x v="18"/>
    <n v="2464"/>
    <n v="2300"/>
    <n v="3"/>
    <n v="0"/>
    <n v="0"/>
    <n v="0"/>
    <n v="0"/>
    <n v="0"/>
    <m/>
    <n v="43"/>
    <n v="2024"/>
    <x v="4"/>
    <s v="首页推荐-直播"/>
    <x v="1"/>
    <x v="0"/>
  </r>
  <r>
    <x v="0"/>
    <x v="8"/>
    <x v="1"/>
    <x v="4"/>
    <x v="19"/>
    <n v="1371"/>
    <n v="1018"/>
    <n v="4"/>
    <n v="0"/>
    <n v="2795"/>
    <n v="1"/>
    <n v="2795"/>
    <n v="1"/>
    <m/>
    <n v="96"/>
    <n v="2024"/>
    <x v="4"/>
    <s v="首页推荐-短视频"/>
    <x v="1"/>
    <x v="0"/>
  </r>
  <r>
    <x v="0"/>
    <x v="8"/>
    <x v="1"/>
    <x v="12"/>
    <x v="42"/>
    <n v="8325"/>
    <n v="7455"/>
    <n v="208"/>
    <n v="105"/>
    <n v="153570"/>
    <n v="23"/>
    <n v="78890"/>
    <n v="18"/>
    <m/>
    <n v="6812"/>
    <n v="2024"/>
    <x v="4"/>
    <s v="手淘搜索-商品及其他"/>
    <x v="1"/>
    <x v="0"/>
  </r>
  <r>
    <x v="0"/>
    <x v="8"/>
    <x v="1"/>
    <x v="12"/>
    <x v="43"/>
    <n v="16"/>
    <n v="12"/>
    <n v="1"/>
    <n v="0"/>
    <n v="0"/>
    <n v="0"/>
    <n v="0"/>
    <n v="0"/>
    <m/>
    <n v="11"/>
    <n v="2024"/>
    <x v="4"/>
    <s v="手淘搜索-直播"/>
    <x v="1"/>
    <x v="0"/>
  </r>
  <r>
    <x v="0"/>
    <x v="8"/>
    <x v="1"/>
    <x v="12"/>
    <x v="44"/>
    <n v="142"/>
    <n v="120"/>
    <n v="0"/>
    <n v="1"/>
    <n v="0"/>
    <n v="0"/>
    <n v="0"/>
    <n v="0"/>
    <m/>
    <n v="61"/>
    <n v="2024"/>
    <x v="4"/>
    <s v="手淘搜索-短视频"/>
    <x v="1"/>
    <x v="0"/>
  </r>
  <r>
    <x v="0"/>
    <x v="8"/>
    <x v="1"/>
    <x v="11"/>
    <x v="37"/>
    <n v="257"/>
    <n v="248"/>
    <n v="0"/>
    <n v="2"/>
    <n v="0"/>
    <n v="0"/>
    <n v="0"/>
    <n v="0"/>
    <m/>
    <n v="257"/>
    <n v="2024"/>
    <x v="4"/>
    <s v="淘特其他渠道"/>
    <x v="1"/>
    <x v="0"/>
  </r>
  <r>
    <x v="0"/>
    <x v="8"/>
    <x v="1"/>
    <x v="11"/>
    <x v="39"/>
    <n v="7"/>
    <n v="7"/>
    <n v="0"/>
    <n v="0"/>
    <n v="0"/>
    <n v="0"/>
    <n v="0"/>
    <n v="0"/>
    <m/>
    <n v="7"/>
    <n v="2024"/>
    <x v="4"/>
    <s v="淘特搜索"/>
    <x v="1"/>
    <x v="0"/>
  </r>
  <r>
    <x v="0"/>
    <x v="8"/>
    <x v="1"/>
    <x v="11"/>
    <x v="40"/>
    <n v="2"/>
    <n v="2"/>
    <n v="0"/>
    <n v="0"/>
    <n v="0"/>
    <n v="0"/>
    <n v="0"/>
    <n v="0"/>
    <m/>
    <n v="2"/>
    <n v="2024"/>
    <x v="4"/>
    <s v="淘特自主访问"/>
    <x v="1"/>
    <x v="0"/>
  </r>
  <r>
    <x v="0"/>
    <x v="8"/>
    <x v="0"/>
    <x v="5"/>
    <x v="47"/>
    <n v="8027"/>
    <n v="7130"/>
    <n v="4"/>
    <n v="7"/>
    <n v="0"/>
    <n v="0"/>
    <n v="0"/>
    <n v="0"/>
    <m/>
    <n v="900"/>
    <n v="2024"/>
    <x v="4"/>
    <s v="短直联动"/>
    <x v="1"/>
    <x v="0"/>
  </r>
  <r>
    <x v="0"/>
    <x v="8"/>
    <x v="0"/>
    <x v="5"/>
    <x v="41"/>
    <n v="4649"/>
    <n v="3997"/>
    <n v="6"/>
    <n v="2"/>
    <n v="0"/>
    <n v="0"/>
    <n v="0"/>
    <n v="0"/>
    <m/>
    <n v="925"/>
    <n v="2024"/>
    <x v="4"/>
    <s v="超级直播"/>
    <x v="1"/>
    <x v="0"/>
  </r>
  <r>
    <x v="0"/>
    <x v="8"/>
    <x v="0"/>
    <x v="5"/>
    <x v="20"/>
    <n v="7805"/>
    <n v="6693"/>
    <n v="12"/>
    <n v="15"/>
    <n v="0"/>
    <n v="0"/>
    <n v="0"/>
    <n v="0"/>
    <m/>
    <n v="6541"/>
    <n v="2024"/>
    <x v="4"/>
    <s v="超级短视频"/>
    <x v="1"/>
    <x v="0"/>
  </r>
  <r>
    <x v="0"/>
    <x v="8"/>
    <x v="0"/>
    <x v="6"/>
    <x v="45"/>
    <n v="3"/>
    <n v="2"/>
    <n v="0"/>
    <n v="0"/>
    <n v="0"/>
    <n v="0"/>
    <n v="0"/>
    <n v="0"/>
    <m/>
    <n v="2"/>
    <n v="2024"/>
    <x v="4"/>
    <s v="品牌定制"/>
    <x v="1"/>
    <x v="0"/>
  </r>
  <r>
    <x v="0"/>
    <x v="8"/>
    <x v="0"/>
    <x v="6"/>
    <x v="30"/>
    <n v="1"/>
    <n v="1"/>
    <n v="0"/>
    <n v="0"/>
    <n v="0"/>
    <n v="0"/>
    <n v="0"/>
    <n v="0"/>
    <m/>
    <n v="0"/>
    <n v="2024"/>
    <x v="4"/>
    <s v="品牌特秀"/>
    <x v="1"/>
    <x v="0"/>
  </r>
  <r>
    <x v="0"/>
    <x v="8"/>
    <x v="0"/>
    <x v="6"/>
    <x v="21"/>
    <n v="15299"/>
    <n v="14657"/>
    <n v="221"/>
    <n v="91"/>
    <n v="170045"/>
    <n v="38"/>
    <n v="126700"/>
    <n v="33"/>
    <m/>
    <n v="7483"/>
    <n v="2024"/>
    <x v="4"/>
    <s v="品销宝-品牌专区"/>
    <x v="1"/>
    <x v="0"/>
  </r>
  <r>
    <x v="0"/>
    <x v="8"/>
    <x v="0"/>
    <x v="6"/>
    <x v="49"/>
    <n v="2"/>
    <n v="1"/>
    <n v="0"/>
    <n v="0"/>
    <n v="0"/>
    <n v="0"/>
    <n v="0"/>
    <n v="0"/>
    <m/>
    <n v="1"/>
    <n v="2024"/>
    <x v="4"/>
    <s v="超级全域通"/>
    <x v="1"/>
    <x v="0"/>
  </r>
  <r>
    <x v="0"/>
    <x v="8"/>
    <x v="0"/>
    <x v="0"/>
    <x v="2"/>
    <n v="60428"/>
    <n v="58139"/>
    <n v="584"/>
    <n v="484"/>
    <n v="606205"/>
    <n v="75"/>
    <n v="201425"/>
    <n v="38"/>
    <m/>
    <n v="59822"/>
    <n v="2024"/>
    <x v="4"/>
    <s v="直通车"/>
    <x v="1"/>
    <x v="0"/>
  </r>
  <r>
    <x v="0"/>
    <x v="8"/>
    <x v="0"/>
    <x v="0"/>
    <x v="0"/>
    <n v="42954"/>
    <n v="39450"/>
    <n v="667"/>
    <n v="825"/>
    <n v="846300"/>
    <n v="90"/>
    <n v="166680"/>
    <n v="30"/>
    <m/>
    <n v="42881"/>
    <n v="2024"/>
    <x v="4"/>
    <s v="万相台"/>
    <x v="1"/>
    <x v="0"/>
  </r>
  <r>
    <x v="0"/>
    <x v="8"/>
    <x v="0"/>
    <x v="0"/>
    <x v="1"/>
    <n v="68223"/>
    <n v="59594"/>
    <n v="477"/>
    <n v="782"/>
    <n v="210100"/>
    <n v="26"/>
    <n v="37285"/>
    <n v="6"/>
    <m/>
    <n v="68213"/>
    <n v="2024"/>
    <x v="4"/>
    <s v="引力魔方"/>
    <x v="1"/>
    <x v="0"/>
  </r>
  <r>
    <x v="0"/>
    <x v="8"/>
    <x v="0"/>
    <x v="7"/>
    <x v="23"/>
    <n v="11"/>
    <n v="9"/>
    <n v="1"/>
    <n v="0"/>
    <n v="0"/>
    <n v="0"/>
    <n v="0"/>
    <n v="0"/>
    <m/>
    <n v="6"/>
    <n v="2024"/>
    <x v="4"/>
    <s v="流量宝"/>
    <x v="1"/>
    <x v="0"/>
  </r>
  <r>
    <x v="0"/>
    <x v="8"/>
    <x v="0"/>
    <x v="7"/>
    <x v="24"/>
    <n v="3050"/>
    <n v="1884"/>
    <n v="15"/>
    <n v="6"/>
    <n v="55085"/>
    <n v="5"/>
    <n v="22135"/>
    <n v="4"/>
    <m/>
    <n v="2840"/>
    <n v="2024"/>
    <x v="4"/>
    <s v="淘宝客"/>
    <x v="1"/>
    <x v="0"/>
  </r>
  <r>
    <x v="0"/>
    <x v="9"/>
    <x v="1"/>
    <x v="1"/>
    <x v="3"/>
    <n v="78"/>
    <n v="48"/>
    <n v="3"/>
    <n v="2"/>
    <n v="0"/>
    <n v="0"/>
    <n v="0"/>
    <n v="0"/>
    <m/>
    <n v="78"/>
    <n v="2023"/>
    <x v="4"/>
    <s v="其他入口榜单"/>
    <x v="0"/>
    <x v="0"/>
  </r>
  <r>
    <x v="0"/>
    <x v="9"/>
    <x v="1"/>
    <x v="1"/>
    <x v="28"/>
    <n v="6"/>
    <n v="5"/>
    <n v="0"/>
    <n v="0"/>
    <n v="0"/>
    <n v="0"/>
    <n v="0"/>
    <n v="0"/>
    <m/>
    <n v="6"/>
    <n v="2023"/>
    <x v="4"/>
    <s v="商品详情页入口榜单"/>
    <x v="0"/>
    <x v="0"/>
  </r>
  <r>
    <x v="0"/>
    <x v="9"/>
    <x v="1"/>
    <x v="1"/>
    <x v="35"/>
    <n v="2"/>
    <n v="2"/>
    <n v="0"/>
    <n v="0"/>
    <n v="0"/>
    <n v="0"/>
    <n v="0"/>
    <n v="0"/>
    <m/>
    <n v="2"/>
    <n v="2023"/>
    <x v="4"/>
    <s v="搜索入口榜单"/>
    <x v="0"/>
    <x v="0"/>
  </r>
  <r>
    <x v="0"/>
    <x v="9"/>
    <x v="1"/>
    <x v="2"/>
    <x v="4"/>
    <n v="71"/>
    <n v="67"/>
    <n v="0"/>
    <n v="0"/>
    <n v="0"/>
    <n v="0"/>
    <n v="0"/>
    <n v="0"/>
    <m/>
    <n v="16"/>
    <n v="2023"/>
    <x v="4"/>
    <s v="手机浏览器访问天猫"/>
    <x v="0"/>
    <x v="0"/>
  </r>
  <r>
    <x v="0"/>
    <x v="9"/>
    <x v="1"/>
    <x v="2"/>
    <x v="5"/>
    <n v="568"/>
    <n v="361"/>
    <n v="20"/>
    <n v="0"/>
    <n v="8745"/>
    <n v="3"/>
    <n v="8745"/>
    <n v="3"/>
    <m/>
    <n v="514"/>
    <n v="2023"/>
    <x v="4"/>
    <s v="手猫免费其他"/>
    <x v="0"/>
    <x v="0"/>
  </r>
  <r>
    <x v="0"/>
    <x v="9"/>
    <x v="1"/>
    <x v="2"/>
    <x v="6"/>
    <n v="543"/>
    <n v="427"/>
    <n v="41"/>
    <n v="0"/>
    <n v="29947"/>
    <n v="7"/>
    <n v="29947"/>
    <n v="7"/>
    <m/>
    <n v="543"/>
    <n v="2023"/>
    <x v="4"/>
    <s v="手猫其他店铺"/>
    <x v="0"/>
    <x v="0"/>
  </r>
  <r>
    <x v="0"/>
    <x v="9"/>
    <x v="1"/>
    <x v="2"/>
    <x v="7"/>
    <n v="556"/>
    <n v="393"/>
    <n v="34"/>
    <n v="1"/>
    <n v="58409"/>
    <n v="5"/>
    <n v="16509"/>
    <n v="4"/>
    <m/>
    <n v="547"/>
    <n v="2023"/>
    <x v="4"/>
    <s v="手猫商品详情"/>
    <x v="0"/>
    <x v="0"/>
  </r>
  <r>
    <x v="0"/>
    <x v="9"/>
    <x v="1"/>
    <x v="2"/>
    <x v="8"/>
    <n v="848"/>
    <n v="744"/>
    <n v="24"/>
    <n v="1"/>
    <n v="13235"/>
    <n v="4"/>
    <n v="13235"/>
    <n v="4"/>
    <m/>
    <n v="619"/>
    <n v="2023"/>
    <x v="4"/>
    <s v="手猫搜索"/>
    <x v="0"/>
    <x v="0"/>
  </r>
  <r>
    <x v="0"/>
    <x v="9"/>
    <x v="1"/>
    <x v="2"/>
    <x v="9"/>
    <n v="11"/>
    <n v="2"/>
    <n v="0"/>
    <n v="0"/>
    <n v="2125"/>
    <n v="1"/>
    <n v="2125"/>
    <n v="1"/>
    <m/>
    <n v="8"/>
    <n v="2023"/>
    <x v="4"/>
    <s v="手猫旺信聊天"/>
    <x v="0"/>
    <x v="0"/>
  </r>
  <r>
    <x v="0"/>
    <x v="9"/>
    <x v="1"/>
    <x v="2"/>
    <x v="29"/>
    <n v="3"/>
    <n v="0"/>
    <n v="0"/>
    <n v="0"/>
    <n v="0"/>
    <n v="0"/>
    <n v="0"/>
    <n v="0"/>
    <m/>
    <n v="3"/>
    <n v="2023"/>
    <x v="4"/>
    <s v="手猫消息中心"/>
    <x v="0"/>
    <x v="0"/>
  </r>
  <r>
    <x v="0"/>
    <x v="9"/>
    <x v="1"/>
    <x v="2"/>
    <x v="10"/>
    <n v="2367"/>
    <n v="2047"/>
    <n v="46"/>
    <n v="0"/>
    <n v="25824"/>
    <n v="6"/>
    <n v="10874"/>
    <n v="5"/>
    <m/>
    <n v="2367"/>
    <n v="2023"/>
    <x v="4"/>
    <s v="手猫首页"/>
    <x v="0"/>
    <x v="0"/>
  </r>
  <r>
    <x v="0"/>
    <x v="9"/>
    <x v="1"/>
    <x v="3"/>
    <x v="11"/>
    <n v="1111"/>
    <n v="695"/>
    <n v="34"/>
    <n v="19"/>
    <n v="21078"/>
    <n v="5"/>
    <n v="15388"/>
    <n v="3"/>
    <m/>
    <n v="1038"/>
    <n v="2023"/>
    <x v="4"/>
    <s v="商品详情页头图推荐"/>
    <x v="0"/>
    <x v="0"/>
  </r>
  <r>
    <x v="0"/>
    <x v="9"/>
    <x v="1"/>
    <x v="3"/>
    <x v="12"/>
    <n v="326"/>
    <n v="246"/>
    <n v="10"/>
    <n v="2"/>
    <n v="29803"/>
    <n v="4"/>
    <n v="10303"/>
    <n v="3"/>
    <m/>
    <n v="132"/>
    <n v="2023"/>
    <x v="4"/>
    <s v="店铺超链"/>
    <x v="0"/>
    <x v="0"/>
  </r>
  <r>
    <x v="0"/>
    <x v="9"/>
    <x v="1"/>
    <x v="4"/>
    <x v="13"/>
    <n v="1027"/>
    <n v="616"/>
    <n v="28"/>
    <n v="19"/>
    <n v="33473"/>
    <n v="10"/>
    <n v="30985"/>
    <n v="10"/>
    <m/>
    <n v="783"/>
    <n v="2023"/>
    <x v="4"/>
    <s v="其他猜你喜欢"/>
    <x v="0"/>
    <x v="0"/>
  </r>
  <r>
    <x v="0"/>
    <x v="9"/>
    <x v="1"/>
    <x v="4"/>
    <x v="14"/>
    <n v="32"/>
    <n v="29"/>
    <n v="0"/>
    <n v="1"/>
    <n v="0"/>
    <n v="0"/>
    <n v="0"/>
    <n v="0"/>
    <m/>
    <n v="32"/>
    <n v="2023"/>
    <x v="4"/>
    <s v="推荐云主题"/>
    <x v="0"/>
    <x v="0"/>
  </r>
  <r>
    <x v="0"/>
    <x v="9"/>
    <x v="1"/>
    <x v="4"/>
    <x v="15"/>
    <n v="88"/>
    <n v="45"/>
    <n v="3"/>
    <n v="0"/>
    <n v="0"/>
    <n v="0"/>
    <n v="0"/>
    <n v="0"/>
    <m/>
    <n v="88"/>
    <n v="2023"/>
    <x v="4"/>
    <s v="购中推荐"/>
    <x v="0"/>
    <x v="0"/>
  </r>
  <r>
    <x v="0"/>
    <x v="9"/>
    <x v="1"/>
    <x v="4"/>
    <x v="16"/>
    <n v="620"/>
    <n v="401"/>
    <n v="2"/>
    <n v="2"/>
    <n v="2488"/>
    <n v="1"/>
    <n v="2488"/>
    <n v="1"/>
    <m/>
    <n v="620"/>
    <n v="2023"/>
    <x v="4"/>
    <s v="购后推荐"/>
    <x v="0"/>
    <x v="0"/>
  </r>
  <r>
    <x v="0"/>
    <x v="9"/>
    <x v="1"/>
    <x v="4"/>
    <x v="17"/>
    <n v="49757"/>
    <n v="46868"/>
    <n v="193"/>
    <n v="179"/>
    <n v="53800.5"/>
    <n v="9"/>
    <n v="9255.5"/>
    <n v="4"/>
    <m/>
    <n v="49757"/>
    <n v="2023"/>
    <x v="4"/>
    <s v="首页推荐-微详情"/>
    <x v="0"/>
    <x v="0"/>
  </r>
  <r>
    <x v="0"/>
    <x v="9"/>
    <x v="1"/>
    <x v="4"/>
    <x v="18"/>
    <n v="2"/>
    <n v="1"/>
    <n v="0"/>
    <n v="0"/>
    <n v="0"/>
    <n v="0"/>
    <n v="0"/>
    <n v="0"/>
    <m/>
    <n v="0"/>
    <n v="2023"/>
    <x v="4"/>
    <s v="首页推荐-直播"/>
    <x v="0"/>
    <x v="0"/>
  </r>
  <r>
    <x v="0"/>
    <x v="9"/>
    <x v="1"/>
    <x v="4"/>
    <x v="19"/>
    <n v="31"/>
    <n v="24"/>
    <n v="0"/>
    <n v="0"/>
    <n v="0"/>
    <n v="0"/>
    <n v="0"/>
    <n v="0"/>
    <m/>
    <n v="0"/>
    <n v="2023"/>
    <x v="4"/>
    <s v="首页推荐-短视频"/>
    <x v="0"/>
    <x v="0"/>
  </r>
  <r>
    <x v="0"/>
    <x v="9"/>
    <x v="1"/>
    <x v="11"/>
    <x v="36"/>
    <n v="22"/>
    <n v="14"/>
    <n v="0"/>
    <n v="0"/>
    <n v="0"/>
    <n v="0"/>
    <n v="0"/>
    <n v="0"/>
    <m/>
    <n v="22"/>
    <n v="2023"/>
    <x v="4"/>
    <s v="淘特互动游戏"/>
    <x v="0"/>
    <x v="0"/>
  </r>
  <r>
    <x v="0"/>
    <x v="9"/>
    <x v="1"/>
    <x v="11"/>
    <x v="37"/>
    <n v="3"/>
    <n v="2"/>
    <n v="0"/>
    <n v="0"/>
    <n v="0"/>
    <n v="0"/>
    <n v="0"/>
    <n v="0"/>
    <m/>
    <n v="3"/>
    <n v="2023"/>
    <x v="4"/>
    <s v="淘特其他渠道"/>
    <x v="0"/>
    <x v="0"/>
  </r>
  <r>
    <x v="0"/>
    <x v="9"/>
    <x v="1"/>
    <x v="11"/>
    <x v="38"/>
    <n v="21"/>
    <n v="13"/>
    <n v="0"/>
    <n v="0"/>
    <n v="0"/>
    <n v="0"/>
    <n v="0"/>
    <n v="0"/>
    <m/>
    <n v="21"/>
    <n v="2023"/>
    <x v="4"/>
    <s v="淘特推荐"/>
    <x v="0"/>
    <x v="0"/>
  </r>
  <r>
    <x v="0"/>
    <x v="9"/>
    <x v="1"/>
    <x v="11"/>
    <x v="39"/>
    <n v="23"/>
    <n v="23"/>
    <n v="0"/>
    <n v="0"/>
    <n v="0"/>
    <n v="0"/>
    <n v="0"/>
    <n v="0"/>
    <m/>
    <n v="23"/>
    <n v="2023"/>
    <x v="4"/>
    <s v="淘特搜索"/>
    <x v="0"/>
    <x v="0"/>
  </r>
  <r>
    <x v="0"/>
    <x v="9"/>
    <x v="0"/>
    <x v="5"/>
    <x v="20"/>
    <n v="1"/>
    <n v="0"/>
    <n v="0"/>
    <n v="0"/>
    <n v="0"/>
    <n v="0"/>
    <n v="0"/>
    <n v="0"/>
    <m/>
    <n v="1"/>
    <n v="2023"/>
    <x v="4"/>
    <s v="超级短视频"/>
    <x v="0"/>
    <x v="0"/>
  </r>
  <r>
    <x v="0"/>
    <x v="9"/>
    <x v="0"/>
    <x v="6"/>
    <x v="21"/>
    <n v="12956"/>
    <n v="12333"/>
    <n v="206"/>
    <n v="84"/>
    <n v="194399.5"/>
    <n v="38"/>
    <n v="176504.5"/>
    <n v="36"/>
    <m/>
    <n v="6173"/>
    <n v="2023"/>
    <x v="4"/>
    <s v="品销宝-品牌专区"/>
    <x v="0"/>
    <x v="0"/>
  </r>
  <r>
    <x v="0"/>
    <x v="9"/>
    <x v="0"/>
    <x v="6"/>
    <x v="32"/>
    <n v="7"/>
    <m/>
    <m/>
    <m/>
    <m/>
    <m/>
    <m/>
    <m/>
    <m/>
    <m/>
    <n v="2023"/>
    <x v="4"/>
    <s v="超级互动城"/>
    <x v="0"/>
    <x v="0"/>
  </r>
  <r>
    <x v="0"/>
    <x v="9"/>
    <x v="0"/>
    <x v="0"/>
    <x v="2"/>
    <n v="43864"/>
    <n v="42311"/>
    <n v="402"/>
    <n v="346"/>
    <n v="443831"/>
    <n v="72"/>
    <n v="127039"/>
    <n v="39"/>
    <m/>
    <n v="43099"/>
    <n v="2023"/>
    <x v="4"/>
    <s v="直通车"/>
    <x v="0"/>
    <x v="0"/>
  </r>
  <r>
    <x v="0"/>
    <x v="9"/>
    <x v="0"/>
    <x v="0"/>
    <x v="0"/>
    <n v="40080"/>
    <n v="35778"/>
    <n v="368"/>
    <n v="227"/>
    <n v="304674.48"/>
    <n v="70"/>
    <n v="187764.5"/>
    <n v="52"/>
    <m/>
    <n v="40009"/>
    <n v="2023"/>
    <x v="4"/>
    <s v="万相台"/>
    <x v="0"/>
    <x v="0"/>
  </r>
  <r>
    <x v="0"/>
    <x v="9"/>
    <x v="0"/>
    <x v="0"/>
    <x v="1"/>
    <n v="62097"/>
    <n v="55893"/>
    <n v="320"/>
    <n v="290"/>
    <n v="163195"/>
    <n v="17"/>
    <n v="34467.5"/>
    <n v="11"/>
    <m/>
    <n v="61859"/>
    <n v="2023"/>
    <x v="4"/>
    <s v="引力魔方"/>
    <x v="0"/>
    <x v="0"/>
  </r>
  <r>
    <x v="0"/>
    <x v="9"/>
    <x v="0"/>
    <x v="7"/>
    <x v="33"/>
    <n v="1"/>
    <n v="0"/>
    <n v="0"/>
    <n v="0"/>
    <n v="0"/>
    <n v="0"/>
    <n v="0"/>
    <n v="0"/>
    <m/>
    <n v="1"/>
    <n v="2023"/>
    <x v="4"/>
    <s v="UD品牌投放"/>
    <x v="0"/>
    <x v="0"/>
  </r>
  <r>
    <x v="0"/>
    <x v="9"/>
    <x v="0"/>
    <x v="7"/>
    <x v="22"/>
    <n v="1"/>
    <n v="1"/>
    <n v="0"/>
    <n v="0"/>
    <n v="0"/>
    <n v="0"/>
    <n v="0"/>
    <n v="0"/>
    <m/>
    <n v="1"/>
    <n v="2023"/>
    <x v="4"/>
    <s v="UD效果投放"/>
    <x v="0"/>
    <x v="0"/>
  </r>
  <r>
    <x v="0"/>
    <x v="9"/>
    <x v="0"/>
    <x v="7"/>
    <x v="23"/>
    <n v="124"/>
    <n v="118"/>
    <n v="1"/>
    <n v="0"/>
    <n v="0"/>
    <n v="0"/>
    <n v="0"/>
    <n v="0"/>
    <m/>
    <n v="40"/>
    <n v="2023"/>
    <x v="4"/>
    <s v="流量宝"/>
    <x v="0"/>
    <x v="0"/>
  </r>
  <r>
    <x v="0"/>
    <x v="9"/>
    <x v="0"/>
    <x v="7"/>
    <x v="24"/>
    <n v="3352"/>
    <n v="1885"/>
    <n v="12"/>
    <n v="10"/>
    <n v="13439"/>
    <n v="4"/>
    <n v="13439"/>
    <n v="4"/>
    <m/>
    <n v="3143"/>
    <n v="2023"/>
    <x v="4"/>
    <s v="淘宝客"/>
    <x v="0"/>
    <x v="0"/>
  </r>
  <r>
    <x v="0"/>
    <x v="10"/>
    <x v="1"/>
    <x v="2"/>
    <x v="4"/>
    <n v="14"/>
    <n v="13"/>
    <n v="0"/>
    <n v="0"/>
    <n v="0"/>
    <n v="0"/>
    <n v="0"/>
    <n v="0"/>
    <m/>
    <n v="5"/>
    <n v="2024"/>
    <x v="5"/>
    <s v="手机浏览器访问天猫"/>
    <x v="1"/>
    <x v="0"/>
  </r>
  <r>
    <x v="0"/>
    <x v="10"/>
    <x v="1"/>
    <x v="2"/>
    <x v="5"/>
    <n v="405"/>
    <n v="302"/>
    <n v="1"/>
    <n v="0"/>
    <n v="9445"/>
    <n v="2"/>
    <n v="9445"/>
    <n v="2"/>
    <m/>
    <n v="313"/>
    <n v="2024"/>
    <x v="5"/>
    <s v="手猫免费其他"/>
    <x v="1"/>
    <x v="0"/>
  </r>
  <r>
    <x v="0"/>
    <x v="10"/>
    <x v="1"/>
    <x v="2"/>
    <x v="6"/>
    <n v="308"/>
    <n v="249"/>
    <n v="25"/>
    <n v="0"/>
    <n v="28450"/>
    <n v="3"/>
    <n v="28450"/>
    <n v="3"/>
    <m/>
    <n v="308"/>
    <n v="2024"/>
    <x v="5"/>
    <s v="手猫其他店铺"/>
    <x v="1"/>
    <x v="0"/>
  </r>
  <r>
    <x v="0"/>
    <x v="10"/>
    <x v="1"/>
    <x v="2"/>
    <x v="7"/>
    <n v="280"/>
    <n v="177"/>
    <n v="1"/>
    <n v="0"/>
    <n v="0"/>
    <n v="0"/>
    <n v="0"/>
    <n v="0"/>
    <m/>
    <n v="264"/>
    <n v="2024"/>
    <x v="5"/>
    <s v="手猫商品详情"/>
    <x v="1"/>
    <x v="0"/>
  </r>
  <r>
    <x v="0"/>
    <x v="10"/>
    <x v="1"/>
    <x v="2"/>
    <x v="8"/>
    <n v="655"/>
    <n v="574"/>
    <n v="20"/>
    <n v="0"/>
    <n v="8890"/>
    <n v="3"/>
    <n v="8890"/>
    <n v="3"/>
    <m/>
    <n v="503"/>
    <n v="2024"/>
    <x v="5"/>
    <s v="手猫搜索"/>
    <x v="1"/>
    <x v="0"/>
  </r>
  <r>
    <x v="0"/>
    <x v="10"/>
    <x v="1"/>
    <x v="2"/>
    <x v="9"/>
    <n v="8"/>
    <n v="5"/>
    <n v="2"/>
    <n v="0"/>
    <n v="0"/>
    <n v="0"/>
    <n v="0"/>
    <n v="0"/>
    <m/>
    <n v="7"/>
    <n v="2024"/>
    <x v="5"/>
    <s v="手猫旺信聊天"/>
    <x v="1"/>
    <x v="0"/>
  </r>
  <r>
    <x v="0"/>
    <x v="10"/>
    <x v="1"/>
    <x v="2"/>
    <x v="29"/>
    <n v="38"/>
    <n v="25"/>
    <n v="0"/>
    <n v="0"/>
    <n v="0"/>
    <n v="0"/>
    <n v="0"/>
    <n v="0"/>
    <m/>
    <n v="38"/>
    <n v="2024"/>
    <x v="5"/>
    <s v="手猫消息中心"/>
    <x v="1"/>
    <x v="0"/>
  </r>
  <r>
    <x v="0"/>
    <x v="10"/>
    <x v="1"/>
    <x v="2"/>
    <x v="10"/>
    <n v="2910"/>
    <n v="2553"/>
    <n v="20"/>
    <n v="0"/>
    <n v="4100"/>
    <n v="1"/>
    <n v="4100"/>
    <n v="1"/>
    <m/>
    <n v="2910"/>
    <n v="2024"/>
    <x v="5"/>
    <s v="手猫首页"/>
    <x v="1"/>
    <x v="0"/>
  </r>
  <r>
    <x v="0"/>
    <x v="10"/>
    <x v="1"/>
    <x v="3"/>
    <x v="11"/>
    <n v="885"/>
    <n v="526"/>
    <n v="26"/>
    <n v="27"/>
    <n v="12140"/>
    <n v="2"/>
    <n v="12140"/>
    <n v="2"/>
    <m/>
    <n v="862"/>
    <n v="2024"/>
    <x v="5"/>
    <s v="商品详情页头图推荐"/>
    <x v="1"/>
    <x v="0"/>
  </r>
  <r>
    <x v="0"/>
    <x v="10"/>
    <x v="1"/>
    <x v="3"/>
    <x v="12"/>
    <n v="425"/>
    <n v="347"/>
    <n v="14"/>
    <n v="5"/>
    <n v="15495"/>
    <n v="2"/>
    <n v="15495"/>
    <n v="2"/>
    <m/>
    <n v="173"/>
    <n v="2024"/>
    <x v="5"/>
    <s v="店铺超链"/>
    <x v="1"/>
    <x v="0"/>
  </r>
  <r>
    <x v="0"/>
    <x v="10"/>
    <x v="1"/>
    <x v="4"/>
    <x v="13"/>
    <n v="790"/>
    <n v="507"/>
    <n v="15"/>
    <n v="16"/>
    <n v="54300"/>
    <n v="7"/>
    <n v="30350"/>
    <n v="6"/>
    <m/>
    <n v="576"/>
    <n v="2024"/>
    <x v="5"/>
    <s v="其他猜你喜欢"/>
    <x v="1"/>
    <x v="0"/>
  </r>
  <r>
    <x v="0"/>
    <x v="10"/>
    <x v="1"/>
    <x v="4"/>
    <x v="15"/>
    <n v="34"/>
    <n v="27"/>
    <n v="0"/>
    <n v="0"/>
    <n v="0"/>
    <n v="0"/>
    <n v="0"/>
    <n v="0"/>
    <m/>
    <n v="26"/>
    <n v="2024"/>
    <x v="5"/>
    <s v="购中推荐"/>
    <x v="1"/>
    <x v="0"/>
  </r>
  <r>
    <x v="0"/>
    <x v="10"/>
    <x v="1"/>
    <x v="4"/>
    <x v="16"/>
    <n v="210"/>
    <n v="148"/>
    <n v="1"/>
    <n v="1"/>
    <n v="0"/>
    <n v="0"/>
    <n v="0"/>
    <n v="0"/>
    <m/>
    <n v="124"/>
    <n v="2024"/>
    <x v="5"/>
    <s v="购后推荐"/>
    <x v="1"/>
    <x v="0"/>
  </r>
  <r>
    <x v="0"/>
    <x v="10"/>
    <x v="1"/>
    <x v="4"/>
    <x v="17"/>
    <n v="8387"/>
    <n v="6952"/>
    <n v="77"/>
    <n v="70"/>
    <n v="20935"/>
    <n v="4"/>
    <n v="6990"/>
    <n v="2"/>
    <m/>
    <n v="8387"/>
    <n v="2024"/>
    <x v="5"/>
    <s v="首页推荐-微详情"/>
    <x v="1"/>
    <x v="0"/>
  </r>
  <r>
    <x v="0"/>
    <x v="10"/>
    <x v="1"/>
    <x v="4"/>
    <x v="18"/>
    <n v="899"/>
    <n v="768"/>
    <n v="5"/>
    <n v="1"/>
    <n v="0"/>
    <n v="0"/>
    <n v="0"/>
    <n v="0"/>
    <m/>
    <n v="62"/>
    <n v="2024"/>
    <x v="5"/>
    <s v="首页推荐-直播"/>
    <x v="1"/>
    <x v="0"/>
  </r>
  <r>
    <x v="0"/>
    <x v="10"/>
    <x v="1"/>
    <x v="4"/>
    <x v="19"/>
    <n v="1919"/>
    <n v="1495"/>
    <n v="3"/>
    <n v="2"/>
    <n v="0"/>
    <n v="0"/>
    <n v="0"/>
    <n v="0"/>
    <m/>
    <n v="128"/>
    <n v="2024"/>
    <x v="5"/>
    <s v="首页推荐-短视频"/>
    <x v="1"/>
    <x v="0"/>
  </r>
  <r>
    <x v="0"/>
    <x v="10"/>
    <x v="1"/>
    <x v="12"/>
    <x v="42"/>
    <n v="9279"/>
    <n v="8258"/>
    <n v="217"/>
    <n v="77"/>
    <n v="205755"/>
    <n v="30"/>
    <n v="105000"/>
    <n v="24"/>
    <m/>
    <n v="7313"/>
    <n v="2024"/>
    <x v="5"/>
    <s v="手淘搜索-商品及其他"/>
    <x v="1"/>
    <x v="0"/>
  </r>
  <r>
    <x v="0"/>
    <x v="10"/>
    <x v="1"/>
    <x v="12"/>
    <x v="43"/>
    <n v="19"/>
    <n v="10"/>
    <n v="0"/>
    <n v="0"/>
    <n v="0"/>
    <n v="0"/>
    <n v="0"/>
    <n v="0"/>
    <m/>
    <n v="16"/>
    <n v="2024"/>
    <x v="5"/>
    <s v="手淘搜索-直播"/>
    <x v="1"/>
    <x v="0"/>
  </r>
  <r>
    <x v="0"/>
    <x v="10"/>
    <x v="1"/>
    <x v="12"/>
    <x v="44"/>
    <n v="360"/>
    <n v="295"/>
    <n v="0"/>
    <n v="3"/>
    <n v="0"/>
    <n v="0"/>
    <n v="0"/>
    <n v="0"/>
    <m/>
    <n v="324"/>
    <n v="2024"/>
    <x v="5"/>
    <s v="手淘搜索-短视频"/>
    <x v="1"/>
    <x v="0"/>
  </r>
  <r>
    <x v="0"/>
    <x v="10"/>
    <x v="1"/>
    <x v="11"/>
    <x v="37"/>
    <n v="347"/>
    <n v="339"/>
    <n v="2"/>
    <n v="3"/>
    <n v="0"/>
    <n v="0"/>
    <n v="0"/>
    <n v="0"/>
    <m/>
    <n v="347"/>
    <n v="2024"/>
    <x v="5"/>
    <s v="淘特其他渠道"/>
    <x v="1"/>
    <x v="0"/>
  </r>
  <r>
    <x v="0"/>
    <x v="10"/>
    <x v="1"/>
    <x v="11"/>
    <x v="38"/>
    <n v="1"/>
    <n v="1"/>
    <n v="0"/>
    <n v="0"/>
    <n v="0"/>
    <n v="0"/>
    <n v="0"/>
    <n v="0"/>
    <m/>
    <n v="1"/>
    <n v="2024"/>
    <x v="5"/>
    <s v="淘特推荐"/>
    <x v="1"/>
    <x v="0"/>
  </r>
  <r>
    <x v="0"/>
    <x v="10"/>
    <x v="1"/>
    <x v="11"/>
    <x v="39"/>
    <n v="11"/>
    <n v="10"/>
    <n v="0"/>
    <n v="0"/>
    <n v="0"/>
    <n v="0"/>
    <n v="0"/>
    <n v="0"/>
    <m/>
    <n v="11"/>
    <n v="2024"/>
    <x v="5"/>
    <s v="淘特搜索"/>
    <x v="1"/>
    <x v="0"/>
  </r>
  <r>
    <x v="0"/>
    <x v="10"/>
    <x v="1"/>
    <x v="11"/>
    <x v="40"/>
    <n v="2"/>
    <n v="2"/>
    <n v="0"/>
    <n v="0"/>
    <n v="0"/>
    <n v="0"/>
    <n v="0"/>
    <n v="0"/>
    <m/>
    <n v="2"/>
    <n v="2024"/>
    <x v="5"/>
    <s v="淘特自主访问"/>
    <x v="1"/>
    <x v="0"/>
  </r>
  <r>
    <x v="0"/>
    <x v="10"/>
    <x v="0"/>
    <x v="5"/>
    <x v="47"/>
    <n v="8658"/>
    <n v="8383"/>
    <n v="5"/>
    <n v="0"/>
    <n v="0"/>
    <n v="0"/>
    <n v="0"/>
    <n v="0"/>
    <m/>
    <n v="1647"/>
    <n v="2024"/>
    <x v="5"/>
    <s v="短直联动"/>
    <x v="1"/>
    <x v="0"/>
  </r>
  <r>
    <x v="0"/>
    <x v="10"/>
    <x v="0"/>
    <x v="5"/>
    <x v="41"/>
    <n v="4047"/>
    <n v="3815"/>
    <n v="6"/>
    <n v="1"/>
    <n v="0"/>
    <n v="0"/>
    <n v="0"/>
    <n v="0"/>
    <m/>
    <n v="744"/>
    <n v="2024"/>
    <x v="5"/>
    <s v="超级直播"/>
    <x v="1"/>
    <x v="0"/>
  </r>
  <r>
    <x v="0"/>
    <x v="10"/>
    <x v="0"/>
    <x v="5"/>
    <x v="20"/>
    <n v="696"/>
    <n v="613"/>
    <n v="11"/>
    <n v="25"/>
    <n v="0"/>
    <n v="0"/>
    <n v="0"/>
    <n v="0"/>
    <m/>
    <n v="667"/>
    <n v="2024"/>
    <x v="5"/>
    <s v="超级短视频"/>
    <x v="1"/>
    <x v="0"/>
  </r>
  <r>
    <x v="0"/>
    <x v="10"/>
    <x v="0"/>
    <x v="6"/>
    <x v="45"/>
    <n v="1"/>
    <n v="1"/>
    <n v="0"/>
    <n v="0"/>
    <n v="0"/>
    <n v="0"/>
    <n v="0"/>
    <n v="0"/>
    <m/>
    <n v="0"/>
    <n v="2024"/>
    <x v="5"/>
    <s v="品牌定制"/>
    <x v="1"/>
    <x v="0"/>
  </r>
  <r>
    <x v="0"/>
    <x v="10"/>
    <x v="0"/>
    <x v="6"/>
    <x v="21"/>
    <n v="15203"/>
    <n v="14556"/>
    <n v="238"/>
    <n v="78"/>
    <n v="159635"/>
    <n v="36"/>
    <n v="120310"/>
    <n v="30"/>
    <m/>
    <n v="7288"/>
    <n v="2024"/>
    <x v="5"/>
    <s v="品销宝-品牌专区"/>
    <x v="1"/>
    <x v="0"/>
  </r>
  <r>
    <x v="0"/>
    <x v="10"/>
    <x v="0"/>
    <x v="0"/>
    <x v="2"/>
    <n v="78173"/>
    <n v="75821"/>
    <n v="636"/>
    <n v="513"/>
    <n v="823210"/>
    <n v="84"/>
    <n v="147600"/>
    <n v="30"/>
    <m/>
    <n v="77499"/>
    <n v="2024"/>
    <x v="5"/>
    <s v="直通车"/>
    <x v="1"/>
    <x v="0"/>
  </r>
  <r>
    <x v="0"/>
    <x v="10"/>
    <x v="0"/>
    <x v="0"/>
    <x v="0"/>
    <n v="44784"/>
    <n v="39991"/>
    <n v="761"/>
    <n v="831"/>
    <n v="750715"/>
    <n v="79"/>
    <n v="119850"/>
    <n v="24"/>
    <m/>
    <n v="44642"/>
    <n v="2024"/>
    <x v="5"/>
    <s v="万相台"/>
    <x v="1"/>
    <x v="0"/>
  </r>
  <r>
    <x v="0"/>
    <x v="10"/>
    <x v="0"/>
    <x v="0"/>
    <x v="1"/>
    <n v="42217"/>
    <n v="36218"/>
    <n v="473"/>
    <n v="653"/>
    <n v="191615"/>
    <n v="19"/>
    <n v="55385"/>
    <n v="8"/>
    <m/>
    <n v="42206"/>
    <n v="2024"/>
    <x v="5"/>
    <s v="引力魔方"/>
    <x v="1"/>
    <x v="0"/>
  </r>
  <r>
    <x v="0"/>
    <x v="10"/>
    <x v="0"/>
    <x v="7"/>
    <x v="22"/>
    <n v="1"/>
    <n v="1"/>
    <n v="0"/>
    <n v="0"/>
    <n v="0"/>
    <n v="0"/>
    <n v="0"/>
    <n v="0"/>
    <m/>
    <n v="0"/>
    <n v="2024"/>
    <x v="5"/>
    <s v="UD效果投放"/>
    <x v="1"/>
    <x v="0"/>
  </r>
  <r>
    <x v="0"/>
    <x v="10"/>
    <x v="0"/>
    <x v="7"/>
    <x v="23"/>
    <n v="14"/>
    <n v="8"/>
    <n v="0"/>
    <n v="0"/>
    <n v="0"/>
    <n v="0"/>
    <n v="0"/>
    <n v="0"/>
    <m/>
    <n v="12"/>
    <n v="2024"/>
    <x v="5"/>
    <s v="流量宝"/>
    <x v="1"/>
    <x v="0"/>
  </r>
  <r>
    <x v="0"/>
    <x v="10"/>
    <x v="0"/>
    <x v="7"/>
    <x v="24"/>
    <n v="2899"/>
    <n v="1983"/>
    <n v="14"/>
    <n v="18"/>
    <n v="41850"/>
    <n v="13"/>
    <n v="37855"/>
    <n v="12"/>
    <m/>
    <n v="2694"/>
    <n v="2024"/>
    <x v="5"/>
    <s v="淘宝客"/>
    <x v="1"/>
    <x v="0"/>
  </r>
  <r>
    <x v="0"/>
    <x v="11"/>
    <x v="1"/>
    <x v="8"/>
    <x v="25"/>
    <n v="378"/>
    <n v="215"/>
    <n v="8"/>
    <n v="4"/>
    <n v="0"/>
    <n v="0"/>
    <n v="0"/>
    <n v="0"/>
    <m/>
    <n v="371"/>
    <n v="2023"/>
    <x v="5"/>
    <s v="主会场"/>
    <x v="0"/>
    <x v="0"/>
  </r>
  <r>
    <x v="0"/>
    <x v="11"/>
    <x v="1"/>
    <x v="1"/>
    <x v="3"/>
    <n v="39"/>
    <n v="34"/>
    <n v="0"/>
    <n v="1"/>
    <n v="0"/>
    <n v="0"/>
    <n v="0"/>
    <n v="0"/>
    <m/>
    <n v="39"/>
    <n v="2023"/>
    <x v="5"/>
    <s v="其他入口榜单"/>
    <x v="0"/>
    <x v="0"/>
  </r>
  <r>
    <x v="0"/>
    <x v="11"/>
    <x v="1"/>
    <x v="1"/>
    <x v="28"/>
    <n v="8"/>
    <n v="8"/>
    <n v="1"/>
    <n v="0"/>
    <n v="0"/>
    <n v="0"/>
    <n v="0"/>
    <n v="0"/>
    <m/>
    <n v="8"/>
    <n v="2023"/>
    <x v="5"/>
    <s v="商品详情页入口榜单"/>
    <x v="0"/>
    <x v="0"/>
  </r>
  <r>
    <x v="0"/>
    <x v="11"/>
    <x v="1"/>
    <x v="1"/>
    <x v="35"/>
    <n v="1"/>
    <n v="1"/>
    <n v="0"/>
    <n v="0"/>
    <n v="0"/>
    <n v="0"/>
    <n v="0"/>
    <n v="0"/>
    <m/>
    <n v="1"/>
    <n v="2023"/>
    <x v="5"/>
    <s v="搜索入口榜单"/>
    <x v="0"/>
    <x v="0"/>
  </r>
  <r>
    <x v="0"/>
    <x v="11"/>
    <x v="1"/>
    <x v="2"/>
    <x v="4"/>
    <n v="86"/>
    <n v="85"/>
    <n v="0"/>
    <n v="0"/>
    <n v="0"/>
    <n v="0"/>
    <n v="0"/>
    <n v="0"/>
    <m/>
    <n v="18"/>
    <n v="2023"/>
    <x v="5"/>
    <s v="手机浏览器访问天猫"/>
    <x v="0"/>
    <x v="0"/>
  </r>
  <r>
    <x v="0"/>
    <x v="11"/>
    <x v="1"/>
    <x v="2"/>
    <x v="5"/>
    <n v="451"/>
    <n v="348"/>
    <n v="6"/>
    <n v="0"/>
    <n v="0"/>
    <n v="0"/>
    <n v="0"/>
    <n v="0"/>
    <m/>
    <n v="409"/>
    <n v="2023"/>
    <x v="5"/>
    <s v="手猫免费其他"/>
    <x v="0"/>
    <x v="0"/>
  </r>
  <r>
    <x v="0"/>
    <x v="11"/>
    <x v="1"/>
    <x v="2"/>
    <x v="6"/>
    <n v="524"/>
    <n v="416"/>
    <n v="46"/>
    <n v="0"/>
    <n v="29030"/>
    <n v="4"/>
    <n v="24535"/>
    <n v="4"/>
    <m/>
    <n v="524"/>
    <n v="2023"/>
    <x v="5"/>
    <s v="手猫其他店铺"/>
    <x v="0"/>
    <x v="0"/>
  </r>
  <r>
    <x v="0"/>
    <x v="11"/>
    <x v="1"/>
    <x v="2"/>
    <x v="7"/>
    <n v="366"/>
    <n v="260"/>
    <n v="6"/>
    <n v="0"/>
    <n v="0"/>
    <n v="0"/>
    <n v="0"/>
    <n v="0"/>
    <m/>
    <n v="362"/>
    <n v="2023"/>
    <x v="5"/>
    <s v="手猫商品详情"/>
    <x v="0"/>
    <x v="0"/>
  </r>
  <r>
    <x v="0"/>
    <x v="11"/>
    <x v="1"/>
    <x v="2"/>
    <x v="8"/>
    <n v="844"/>
    <n v="758"/>
    <n v="27"/>
    <n v="0"/>
    <n v="12090"/>
    <n v="2"/>
    <n v="12090"/>
    <n v="2"/>
    <m/>
    <n v="596"/>
    <n v="2023"/>
    <x v="5"/>
    <s v="手猫搜索"/>
    <x v="0"/>
    <x v="0"/>
  </r>
  <r>
    <x v="0"/>
    <x v="11"/>
    <x v="1"/>
    <x v="2"/>
    <x v="9"/>
    <n v="14"/>
    <n v="7"/>
    <n v="1"/>
    <n v="0"/>
    <n v="3495"/>
    <n v="1"/>
    <n v="3495"/>
    <n v="1"/>
    <m/>
    <n v="13"/>
    <n v="2023"/>
    <x v="5"/>
    <s v="手猫旺信聊天"/>
    <x v="0"/>
    <x v="0"/>
  </r>
  <r>
    <x v="0"/>
    <x v="11"/>
    <x v="1"/>
    <x v="2"/>
    <x v="10"/>
    <n v="2991"/>
    <n v="2658"/>
    <n v="42"/>
    <n v="0"/>
    <n v="42950"/>
    <n v="2"/>
    <n v="11950"/>
    <n v="1"/>
    <m/>
    <n v="2991"/>
    <n v="2023"/>
    <x v="5"/>
    <s v="手猫首页"/>
    <x v="0"/>
    <x v="0"/>
  </r>
  <r>
    <x v="0"/>
    <x v="11"/>
    <x v="1"/>
    <x v="3"/>
    <x v="11"/>
    <n v="1260"/>
    <n v="797"/>
    <n v="27"/>
    <n v="25"/>
    <n v="8370"/>
    <n v="3"/>
    <n v="7380"/>
    <n v="3"/>
    <m/>
    <n v="1168"/>
    <n v="2023"/>
    <x v="5"/>
    <s v="商品详情页头图推荐"/>
    <x v="0"/>
    <x v="0"/>
  </r>
  <r>
    <x v="0"/>
    <x v="11"/>
    <x v="1"/>
    <x v="3"/>
    <x v="12"/>
    <n v="315"/>
    <n v="231"/>
    <n v="4"/>
    <n v="3"/>
    <n v="0"/>
    <n v="0"/>
    <n v="0"/>
    <n v="0"/>
    <m/>
    <n v="122"/>
    <n v="2023"/>
    <x v="5"/>
    <s v="店铺超链"/>
    <x v="0"/>
    <x v="0"/>
  </r>
  <r>
    <x v="0"/>
    <x v="11"/>
    <x v="1"/>
    <x v="4"/>
    <x v="13"/>
    <n v="1153"/>
    <n v="726"/>
    <n v="21"/>
    <n v="15"/>
    <n v="62559"/>
    <n v="5"/>
    <n v="53888"/>
    <n v="4"/>
    <m/>
    <n v="890"/>
    <n v="2023"/>
    <x v="5"/>
    <s v="其他猜你喜欢"/>
    <x v="0"/>
    <x v="0"/>
  </r>
  <r>
    <x v="0"/>
    <x v="11"/>
    <x v="1"/>
    <x v="4"/>
    <x v="14"/>
    <n v="28"/>
    <n v="25"/>
    <n v="0"/>
    <n v="0"/>
    <n v="0"/>
    <n v="0"/>
    <n v="0"/>
    <n v="0"/>
    <m/>
    <n v="28"/>
    <n v="2023"/>
    <x v="5"/>
    <s v="推荐云主题"/>
    <x v="0"/>
    <x v="0"/>
  </r>
  <r>
    <x v="0"/>
    <x v="11"/>
    <x v="1"/>
    <x v="4"/>
    <x v="15"/>
    <n v="80"/>
    <n v="46"/>
    <n v="0"/>
    <n v="0"/>
    <n v="2100"/>
    <n v="1"/>
    <n v="0"/>
    <n v="0"/>
    <m/>
    <n v="80"/>
    <n v="2023"/>
    <x v="5"/>
    <s v="购中推荐"/>
    <x v="0"/>
    <x v="0"/>
  </r>
  <r>
    <x v="0"/>
    <x v="11"/>
    <x v="1"/>
    <x v="4"/>
    <x v="16"/>
    <n v="606"/>
    <n v="417"/>
    <n v="3"/>
    <n v="2"/>
    <n v="15485"/>
    <n v="3"/>
    <n v="15485"/>
    <n v="3"/>
    <m/>
    <n v="606"/>
    <n v="2023"/>
    <x v="5"/>
    <s v="购后推荐"/>
    <x v="0"/>
    <x v="0"/>
  </r>
  <r>
    <x v="0"/>
    <x v="11"/>
    <x v="1"/>
    <x v="4"/>
    <x v="17"/>
    <n v="79475"/>
    <n v="75819"/>
    <n v="216"/>
    <n v="234"/>
    <n v="174780"/>
    <n v="11"/>
    <n v="28635"/>
    <n v="4"/>
    <m/>
    <n v="79475"/>
    <n v="2023"/>
    <x v="5"/>
    <s v="首页推荐-微详情"/>
    <x v="0"/>
    <x v="0"/>
  </r>
  <r>
    <x v="0"/>
    <x v="11"/>
    <x v="1"/>
    <x v="4"/>
    <x v="18"/>
    <n v="3"/>
    <n v="3"/>
    <n v="0"/>
    <n v="0"/>
    <n v="0"/>
    <n v="0"/>
    <n v="0"/>
    <n v="0"/>
    <m/>
    <n v="0"/>
    <n v="2023"/>
    <x v="5"/>
    <s v="首页推荐-直播"/>
    <x v="0"/>
    <x v="0"/>
  </r>
  <r>
    <x v="0"/>
    <x v="11"/>
    <x v="1"/>
    <x v="4"/>
    <x v="19"/>
    <n v="43"/>
    <n v="26"/>
    <n v="0"/>
    <n v="0"/>
    <n v="0"/>
    <n v="0"/>
    <n v="0"/>
    <n v="0"/>
    <m/>
    <n v="0"/>
    <n v="2023"/>
    <x v="5"/>
    <s v="首页推荐-短视频"/>
    <x v="0"/>
    <x v="0"/>
  </r>
  <r>
    <x v="0"/>
    <x v="11"/>
    <x v="1"/>
    <x v="12"/>
    <x v="42"/>
    <n v="3741"/>
    <n v="3279"/>
    <n v="78"/>
    <n v="42"/>
    <n v="66408"/>
    <n v="12"/>
    <n v="24413"/>
    <n v="10"/>
    <m/>
    <n v="2865"/>
    <n v="2023"/>
    <x v="5"/>
    <s v="手淘搜索-商品及其他"/>
    <x v="0"/>
    <x v="0"/>
  </r>
  <r>
    <x v="0"/>
    <x v="11"/>
    <x v="1"/>
    <x v="12"/>
    <x v="44"/>
    <n v="3"/>
    <n v="3"/>
    <n v="0"/>
    <n v="0"/>
    <n v="0"/>
    <n v="0"/>
    <n v="0"/>
    <n v="0"/>
    <m/>
    <n v="2"/>
    <n v="2023"/>
    <x v="5"/>
    <s v="手淘搜索-短视频"/>
    <x v="0"/>
    <x v="0"/>
  </r>
  <r>
    <x v="0"/>
    <x v="11"/>
    <x v="1"/>
    <x v="11"/>
    <x v="36"/>
    <n v="10"/>
    <n v="6"/>
    <n v="0"/>
    <n v="0"/>
    <n v="0"/>
    <n v="0"/>
    <n v="0"/>
    <n v="0"/>
    <m/>
    <n v="10"/>
    <n v="2023"/>
    <x v="5"/>
    <s v="淘特互动游戏"/>
    <x v="0"/>
    <x v="0"/>
  </r>
  <r>
    <x v="0"/>
    <x v="11"/>
    <x v="1"/>
    <x v="11"/>
    <x v="37"/>
    <n v="4"/>
    <n v="1"/>
    <n v="0"/>
    <n v="0"/>
    <n v="0"/>
    <n v="0"/>
    <n v="0"/>
    <n v="0"/>
    <m/>
    <n v="4"/>
    <n v="2023"/>
    <x v="5"/>
    <s v="淘特其他渠道"/>
    <x v="0"/>
    <x v="0"/>
  </r>
  <r>
    <x v="0"/>
    <x v="11"/>
    <x v="1"/>
    <x v="11"/>
    <x v="38"/>
    <n v="20"/>
    <n v="17"/>
    <n v="0"/>
    <n v="0"/>
    <n v="0"/>
    <n v="0"/>
    <n v="0"/>
    <n v="0"/>
    <m/>
    <n v="20"/>
    <n v="2023"/>
    <x v="5"/>
    <s v="淘特推荐"/>
    <x v="0"/>
    <x v="0"/>
  </r>
  <r>
    <x v="0"/>
    <x v="11"/>
    <x v="1"/>
    <x v="11"/>
    <x v="39"/>
    <n v="38"/>
    <n v="35"/>
    <n v="1"/>
    <n v="0"/>
    <n v="0"/>
    <n v="0"/>
    <n v="0"/>
    <n v="0"/>
    <m/>
    <n v="38"/>
    <n v="2023"/>
    <x v="5"/>
    <s v="淘特搜索"/>
    <x v="0"/>
    <x v="0"/>
  </r>
  <r>
    <x v="0"/>
    <x v="11"/>
    <x v="1"/>
    <x v="11"/>
    <x v="40"/>
    <n v="6"/>
    <n v="5"/>
    <n v="0"/>
    <n v="0"/>
    <n v="0"/>
    <n v="0"/>
    <n v="0"/>
    <n v="0"/>
    <m/>
    <n v="6"/>
    <n v="2023"/>
    <x v="5"/>
    <s v="淘特自主访问"/>
    <x v="0"/>
    <x v="0"/>
  </r>
  <r>
    <x v="0"/>
    <x v="11"/>
    <x v="0"/>
    <x v="5"/>
    <x v="41"/>
    <n v="5986"/>
    <n v="5973"/>
    <n v="0"/>
    <n v="0"/>
    <n v="0"/>
    <n v="0"/>
    <n v="0"/>
    <n v="0"/>
    <m/>
    <n v="5986"/>
    <n v="2023"/>
    <x v="5"/>
    <s v="超级直播"/>
    <x v="0"/>
    <x v="0"/>
  </r>
  <r>
    <x v="0"/>
    <x v="11"/>
    <x v="0"/>
    <x v="6"/>
    <x v="21"/>
    <n v="12617"/>
    <n v="11824"/>
    <n v="186"/>
    <n v="104"/>
    <n v="134148"/>
    <n v="32"/>
    <n v="108048"/>
    <n v="27"/>
    <m/>
    <n v="5982"/>
    <n v="2023"/>
    <x v="5"/>
    <s v="品销宝-品牌专区"/>
    <x v="0"/>
    <x v="0"/>
  </r>
  <r>
    <x v="0"/>
    <x v="11"/>
    <x v="0"/>
    <x v="6"/>
    <x v="32"/>
    <n v="3"/>
    <m/>
    <m/>
    <m/>
    <m/>
    <m/>
    <m/>
    <m/>
    <m/>
    <m/>
    <n v="2023"/>
    <x v="5"/>
    <s v="超级互动城"/>
    <x v="0"/>
    <x v="0"/>
  </r>
  <r>
    <x v="0"/>
    <x v="11"/>
    <x v="0"/>
    <x v="0"/>
    <x v="2"/>
    <n v="35956"/>
    <n v="34177"/>
    <n v="312"/>
    <n v="242"/>
    <n v="353751"/>
    <n v="40"/>
    <n v="77256"/>
    <n v="18"/>
    <m/>
    <n v="35494"/>
    <n v="2023"/>
    <x v="5"/>
    <s v="直通车"/>
    <x v="0"/>
    <x v="0"/>
  </r>
  <r>
    <x v="0"/>
    <x v="11"/>
    <x v="0"/>
    <x v="0"/>
    <x v="0"/>
    <n v="32298"/>
    <n v="28886"/>
    <n v="393"/>
    <n v="251"/>
    <n v="296296"/>
    <n v="52"/>
    <n v="150986"/>
    <n v="36"/>
    <m/>
    <n v="32217"/>
    <n v="2023"/>
    <x v="5"/>
    <s v="万相台"/>
    <x v="0"/>
    <x v="0"/>
  </r>
  <r>
    <x v="0"/>
    <x v="11"/>
    <x v="0"/>
    <x v="0"/>
    <x v="1"/>
    <n v="35120"/>
    <n v="30653"/>
    <n v="332"/>
    <n v="315"/>
    <n v="95125"/>
    <n v="16"/>
    <n v="41610"/>
    <n v="8"/>
    <m/>
    <n v="34923"/>
    <n v="2023"/>
    <x v="5"/>
    <s v="引力魔方"/>
    <x v="0"/>
    <x v="0"/>
  </r>
  <r>
    <x v="0"/>
    <x v="11"/>
    <x v="0"/>
    <x v="7"/>
    <x v="33"/>
    <n v="2"/>
    <n v="2"/>
    <n v="0"/>
    <n v="0"/>
    <n v="0"/>
    <n v="0"/>
    <n v="0"/>
    <n v="0"/>
    <m/>
    <n v="2"/>
    <n v="2023"/>
    <x v="5"/>
    <s v="UD品牌投放"/>
    <x v="0"/>
    <x v="0"/>
  </r>
  <r>
    <x v="0"/>
    <x v="11"/>
    <x v="0"/>
    <x v="7"/>
    <x v="22"/>
    <n v="2"/>
    <n v="2"/>
    <n v="0"/>
    <n v="0"/>
    <n v="0"/>
    <n v="0"/>
    <n v="0"/>
    <n v="0"/>
    <m/>
    <n v="2"/>
    <n v="2023"/>
    <x v="5"/>
    <s v="UD效果投放"/>
    <x v="0"/>
    <x v="0"/>
  </r>
  <r>
    <x v="0"/>
    <x v="11"/>
    <x v="0"/>
    <x v="7"/>
    <x v="23"/>
    <n v="334"/>
    <n v="299"/>
    <n v="4"/>
    <n v="2"/>
    <n v="0"/>
    <n v="0"/>
    <n v="0"/>
    <n v="0"/>
    <m/>
    <n v="107"/>
    <n v="2023"/>
    <x v="5"/>
    <s v="流量宝"/>
    <x v="0"/>
    <x v="0"/>
  </r>
  <r>
    <x v="0"/>
    <x v="11"/>
    <x v="0"/>
    <x v="7"/>
    <x v="24"/>
    <n v="1625"/>
    <n v="1044"/>
    <n v="14"/>
    <n v="3"/>
    <n v="47644"/>
    <n v="6"/>
    <n v="18718"/>
    <n v="5"/>
    <m/>
    <n v="1452"/>
    <n v="2023"/>
    <x v="5"/>
    <s v="淘宝客"/>
    <x v="0"/>
    <x v="0"/>
  </r>
  <r>
    <x v="0"/>
    <x v="12"/>
    <x v="1"/>
    <x v="8"/>
    <x v="25"/>
    <n v="2968"/>
    <n v="1865"/>
    <n v="83"/>
    <n v="42"/>
    <n v="97918"/>
    <n v="18"/>
    <n v="70708"/>
    <n v="13"/>
    <m/>
    <n v="2803"/>
    <n v="2024"/>
    <x v="6"/>
    <s v="主会场"/>
    <x v="1"/>
    <x v="0"/>
  </r>
  <r>
    <x v="0"/>
    <x v="12"/>
    <x v="1"/>
    <x v="8"/>
    <x v="26"/>
    <n v="15"/>
    <n v="11"/>
    <n v="4"/>
    <n v="0"/>
    <n v="0"/>
    <n v="0"/>
    <n v="0"/>
    <n v="0"/>
    <m/>
    <n v="15"/>
    <n v="2024"/>
    <x v="6"/>
    <s v="榜单会场"/>
    <x v="1"/>
    <x v="0"/>
  </r>
  <r>
    <x v="0"/>
    <x v="12"/>
    <x v="1"/>
    <x v="1"/>
    <x v="3"/>
    <n v="48"/>
    <n v="21"/>
    <n v="0"/>
    <n v="0"/>
    <n v="0"/>
    <n v="0"/>
    <n v="0"/>
    <n v="0"/>
    <m/>
    <n v="48"/>
    <n v="2024"/>
    <x v="6"/>
    <s v="其他入口榜单"/>
    <x v="1"/>
    <x v="0"/>
  </r>
  <r>
    <x v="0"/>
    <x v="12"/>
    <x v="1"/>
    <x v="1"/>
    <x v="35"/>
    <n v="2"/>
    <n v="1"/>
    <n v="0"/>
    <n v="0"/>
    <n v="0"/>
    <n v="0"/>
    <n v="0"/>
    <n v="0"/>
    <m/>
    <n v="2"/>
    <n v="2024"/>
    <x v="6"/>
    <s v="搜索入口榜单"/>
    <x v="1"/>
    <x v="0"/>
  </r>
  <r>
    <x v="0"/>
    <x v="12"/>
    <x v="1"/>
    <x v="2"/>
    <x v="4"/>
    <n v="16"/>
    <n v="14"/>
    <n v="0"/>
    <n v="0"/>
    <n v="0"/>
    <n v="0"/>
    <n v="0"/>
    <n v="0"/>
    <m/>
    <n v="7"/>
    <n v="2024"/>
    <x v="6"/>
    <s v="手机浏览器访问天猫"/>
    <x v="1"/>
    <x v="0"/>
  </r>
  <r>
    <x v="0"/>
    <x v="12"/>
    <x v="1"/>
    <x v="2"/>
    <x v="5"/>
    <n v="791"/>
    <n v="491"/>
    <n v="21"/>
    <n v="0"/>
    <n v="50905.65"/>
    <n v="6"/>
    <n v="42805.65"/>
    <n v="6"/>
    <m/>
    <n v="651"/>
    <n v="2024"/>
    <x v="6"/>
    <s v="手猫免费其他"/>
    <x v="1"/>
    <x v="0"/>
  </r>
  <r>
    <x v="0"/>
    <x v="12"/>
    <x v="1"/>
    <x v="2"/>
    <x v="6"/>
    <n v="588"/>
    <n v="395"/>
    <n v="82"/>
    <n v="0"/>
    <n v="128656.97"/>
    <n v="18"/>
    <n v="110204.97"/>
    <n v="18"/>
    <m/>
    <n v="588"/>
    <n v="2024"/>
    <x v="6"/>
    <s v="手猫其他店铺"/>
    <x v="1"/>
    <x v="0"/>
  </r>
  <r>
    <x v="0"/>
    <x v="12"/>
    <x v="1"/>
    <x v="2"/>
    <x v="7"/>
    <n v="692"/>
    <n v="390"/>
    <n v="51"/>
    <n v="0"/>
    <n v="76733.63"/>
    <n v="15"/>
    <n v="53801.63"/>
    <n v="13"/>
    <m/>
    <n v="676"/>
    <n v="2024"/>
    <x v="6"/>
    <s v="手猫商品详情"/>
    <x v="1"/>
    <x v="0"/>
  </r>
  <r>
    <x v="0"/>
    <x v="12"/>
    <x v="1"/>
    <x v="2"/>
    <x v="8"/>
    <n v="1460"/>
    <n v="1134"/>
    <n v="98"/>
    <n v="0"/>
    <n v="179899.22"/>
    <n v="23"/>
    <n v="102566.72"/>
    <n v="19"/>
    <m/>
    <n v="1286"/>
    <n v="2024"/>
    <x v="6"/>
    <s v="手猫搜索"/>
    <x v="1"/>
    <x v="0"/>
  </r>
  <r>
    <x v="0"/>
    <x v="12"/>
    <x v="1"/>
    <x v="2"/>
    <x v="9"/>
    <n v="47"/>
    <n v="13"/>
    <n v="11"/>
    <n v="0"/>
    <n v="48086.8"/>
    <n v="7"/>
    <n v="39336.800000000003"/>
    <n v="6"/>
    <m/>
    <n v="37"/>
    <n v="2024"/>
    <x v="6"/>
    <s v="手猫旺信聊天"/>
    <x v="1"/>
    <x v="0"/>
  </r>
  <r>
    <x v="0"/>
    <x v="12"/>
    <x v="1"/>
    <x v="2"/>
    <x v="29"/>
    <n v="78"/>
    <n v="36"/>
    <n v="0"/>
    <n v="0"/>
    <n v="6757"/>
    <n v="1"/>
    <n v="6757"/>
    <n v="1"/>
    <m/>
    <n v="76"/>
    <n v="2024"/>
    <x v="6"/>
    <s v="手猫消息中心"/>
    <x v="1"/>
    <x v="0"/>
  </r>
  <r>
    <x v="0"/>
    <x v="12"/>
    <x v="1"/>
    <x v="2"/>
    <x v="10"/>
    <n v="4686"/>
    <n v="3802"/>
    <n v="114"/>
    <n v="0"/>
    <n v="201219.77"/>
    <n v="40"/>
    <n v="158925.76999999999"/>
    <n v="31"/>
    <m/>
    <n v="4684"/>
    <n v="2024"/>
    <x v="6"/>
    <s v="手猫首页"/>
    <x v="1"/>
    <x v="0"/>
  </r>
  <r>
    <x v="0"/>
    <x v="12"/>
    <x v="1"/>
    <x v="3"/>
    <x v="11"/>
    <n v="6169"/>
    <n v="3049"/>
    <n v="511"/>
    <n v="164"/>
    <n v="470948.5"/>
    <n v="107"/>
    <n v="398573.58"/>
    <n v="97"/>
    <m/>
    <n v="6055"/>
    <n v="2024"/>
    <x v="6"/>
    <s v="商品详情页头图推荐"/>
    <x v="1"/>
    <x v="0"/>
  </r>
  <r>
    <x v="0"/>
    <x v="12"/>
    <x v="1"/>
    <x v="3"/>
    <x v="12"/>
    <n v="1473"/>
    <n v="888"/>
    <n v="110"/>
    <n v="16"/>
    <n v="201548"/>
    <n v="35"/>
    <n v="159313"/>
    <n v="29"/>
    <m/>
    <n v="720"/>
    <n v="2024"/>
    <x v="6"/>
    <s v="店铺超链"/>
    <x v="1"/>
    <x v="0"/>
  </r>
  <r>
    <x v="0"/>
    <x v="12"/>
    <x v="0"/>
    <x v="6"/>
    <x v="30"/>
    <n v="19471"/>
    <n v="16321"/>
    <n v="169"/>
    <n v="61"/>
    <n v="299655.27"/>
    <n v="45"/>
    <n v="209941.27"/>
    <n v="39"/>
    <m/>
    <n v="3630"/>
    <n v="2024"/>
    <x v="6"/>
    <s v="其他猜你喜欢"/>
    <x v="1"/>
    <x v="0"/>
  </r>
  <r>
    <x v="0"/>
    <x v="12"/>
    <x v="1"/>
    <x v="4"/>
    <x v="15"/>
    <n v="492"/>
    <n v="302"/>
    <n v="15"/>
    <n v="2"/>
    <n v="0"/>
    <n v="0"/>
    <n v="0"/>
    <n v="0"/>
    <m/>
    <n v="272"/>
    <n v="2024"/>
    <x v="6"/>
    <s v="购中推荐"/>
    <x v="1"/>
    <x v="0"/>
  </r>
  <r>
    <x v="0"/>
    <x v="12"/>
    <x v="1"/>
    <x v="4"/>
    <x v="16"/>
    <n v="2269"/>
    <n v="1692"/>
    <n v="22"/>
    <n v="8"/>
    <n v="8680"/>
    <n v="3"/>
    <n v="8680"/>
    <n v="3"/>
    <m/>
    <n v="804"/>
    <n v="2024"/>
    <x v="6"/>
    <s v="购后推荐"/>
    <x v="1"/>
    <x v="0"/>
  </r>
  <r>
    <x v="0"/>
    <x v="12"/>
    <x v="1"/>
    <x v="4"/>
    <x v="17"/>
    <n v="52102"/>
    <n v="42259"/>
    <n v="1780"/>
    <n v="698"/>
    <n v="1492794.09"/>
    <n v="272"/>
    <n v="928673.09"/>
    <n v="209"/>
    <m/>
    <n v="52102"/>
    <n v="2024"/>
    <x v="6"/>
    <s v="首页推荐-微详情"/>
    <x v="1"/>
    <x v="0"/>
  </r>
  <r>
    <x v="0"/>
    <x v="12"/>
    <x v="1"/>
    <x v="4"/>
    <x v="18"/>
    <n v="9038"/>
    <n v="8093"/>
    <n v="24"/>
    <n v="6"/>
    <n v="51106"/>
    <n v="8"/>
    <n v="41061"/>
    <n v="6"/>
    <m/>
    <n v="404"/>
    <n v="2024"/>
    <x v="6"/>
    <s v="首页推荐-直播"/>
    <x v="1"/>
    <x v="0"/>
  </r>
  <r>
    <x v="0"/>
    <x v="12"/>
    <x v="1"/>
    <x v="4"/>
    <x v="19"/>
    <n v="11024"/>
    <n v="7244"/>
    <n v="155"/>
    <n v="49"/>
    <n v="175845.09"/>
    <n v="34"/>
    <n v="121305.09"/>
    <n v="28"/>
    <m/>
    <n v="2697"/>
    <n v="2024"/>
    <x v="6"/>
    <s v="首页推荐-短视频"/>
    <x v="1"/>
    <x v="0"/>
  </r>
  <r>
    <x v="0"/>
    <x v="12"/>
    <x v="1"/>
    <x v="12"/>
    <x v="42"/>
    <n v="27165"/>
    <n v="23044"/>
    <n v="2369"/>
    <n v="340"/>
    <n v="3152239.14"/>
    <n v="624"/>
    <n v="2403459.64"/>
    <n v="543"/>
    <m/>
    <n v="24006"/>
    <n v="2024"/>
    <x v="6"/>
    <s v="手淘搜索-商品及其他"/>
    <x v="1"/>
    <x v="0"/>
  </r>
  <r>
    <x v="0"/>
    <x v="12"/>
    <x v="1"/>
    <x v="12"/>
    <x v="43"/>
    <n v="398"/>
    <n v="291"/>
    <n v="13"/>
    <n v="4"/>
    <n v="22625"/>
    <n v="5"/>
    <n v="15650"/>
    <n v="4"/>
    <m/>
    <n v="167"/>
    <n v="2024"/>
    <x v="6"/>
    <s v="手淘搜索-直播"/>
    <x v="1"/>
    <x v="0"/>
  </r>
  <r>
    <x v="0"/>
    <x v="12"/>
    <x v="1"/>
    <x v="12"/>
    <x v="44"/>
    <n v="2766"/>
    <n v="2529"/>
    <n v="16"/>
    <n v="6"/>
    <n v="28779"/>
    <n v="6"/>
    <n v="23784"/>
    <n v="5"/>
    <m/>
    <n v="2674"/>
    <n v="2024"/>
    <x v="6"/>
    <s v="手淘搜索-短视频"/>
    <x v="1"/>
    <x v="0"/>
  </r>
  <r>
    <x v="0"/>
    <x v="12"/>
    <x v="1"/>
    <x v="11"/>
    <x v="37"/>
    <n v="481"/>
    <n v="465"/>
    <n v="2"/>
    <n v="2"/>
    <n v="0"/>
    <n v="0"/>
    <n v="0"/>
    <n v="0"/>
    <m/>
    <n v="481"/>
    <n v="2024"/>
    <x v="6"/>
    <s v="淘特其他渠道"/>
    <x v="1"/>
    <x v="0"/>
  </r>
  <r>
    <x v="0"/>
    <x v="12"/>
    <x v="1"/>
    <x v="11"/>
    <x v="38"/>
    <n v="2"/>
    <n v="0"/>
    <n v="0"/>
    <n v="0"/>
    <n v="0"/>
    <n v="0"/>
    <n v="0"/>
    <n v="0"/>
    <m/>
    <n v="2"/>
    <n v="2024"/>
    <x v="6"/>
    <s v="淘特推荐"/>
    <x v="1"/>
    <x v="0"/>
  </r>
  <r>
    <x v="0"/>
    <x v="12"/>
    <x v="1"/>
    <x v="11"/>
    <x v="39"/>
    <n v="124"/>
    <n v="120"/>
    <n v="0"/>
    <n v="0"/>
    <n v="0"/>
    <n v="0"/>
    <n v="0"/>
    <n v="0"/>
    <m/>
    <n v="124"/>
    <n v="2024"/>
    <x v="6"/>
    <s v="淘特搜索"/>
    <x v="1"/>
    <x v="0"/>
  </r>
  <r>
    <x v="0"/>
    <x v="12"/>
    <x v="1"/>
    <x v="11"/>
    <x v="40"/>
    <n v="3"/>
    <n v="2"/>
    <n v="0"/>
    <n v="0"/>
    <n v="0"/>
    <n v="0"/>
    <n v="0"/>
    <n v="0"/>
    <m/>
    <n v="3"/>
    <n v="2024"/>
    <x v="6"/>
    <s v="淘特自主访问"/>
    <x v="1"/>
    <x v="0"/>
  </r>
  <r>
    <x v="0"/>
    <x v="12"/>
    <x v="0"/>
    <x v="5"/>
    <x v="47"/>
    <n v="5"/>
    <n v="5"/>
    <n v="0"/>
    <n v="0"/>
    <n v="0"/>
    <n v="0"/>
    <n v="0"/>
    <n v="0"/>
    <m/>
    <n v="0"/>
    <n v="2024"/>
    <x v="6"/>
    <s v="短直联动"/>
    <x v="1"/>
    <x v="0"/>
  </r>
  <r>
    <x v="0"/>
    <x v="12"/>
    <x v="0"/>
    <x v="5"/>
    <x v="41"/>
    <n v="19421"/>
    <n v="17258"/>
    <n v="112"/>
    <n v="15"/>
    <n v="0"/>
    <n v="0"/>
    <n v="0"/>
    <n v="0"/>
    <m/>
    <n v="2954"/>
    <n v="2024"/>
    <x v="6"/>
    <s v="超级直播"/>
    <x v="1"/>
    <x v="0"/>
  </r>
  <r>
    <x v="0"/>
    <x v="12"/>
    <x v="0"/>
    <x v="5"/>
    <x v="20"/>
    <n v="3661"/>
    <n v="3090"/>
    <n v="96"/>
    <n v="87"/>
    <n v="0"/>
    <n v="0"/>
    <n v="0"/>
    <n v="0"/>
    <m/>
    <n v="2846"/>
    <n v="2024"/>
    <x v="6"/>
    <s v="超级短视频"/>
    <x v="1"/>
    <x v="0"/>
  </r>
  <r>
    <x v="0"/>
    <x v="12"/>
    <x v="0"/>
    <x v="6"/>
    <x v="48"/>
    <n v="7400"/>
    <n v="7059"/>
    <n v="0"/>
    <n v="0"/>
    <n v="0"/>
    <n v="0"/>
    <n v="0"/>
    <n v="0"/>
    <m/>
    <n v="1372"/>
    <n v="2024"/>
    <x v="6"/>
    <s v="Showmax"/>
    <x v="1"/>
    <x v="0"/>
  </r>
  <r>
    <x v="0"/>
    <x v="12"/>
    <x v="0"/>
    <x v="6"/>
    <x v="45"/>
    <n v="3"/>
    <n v="2"/>
    <n v="0"/>
    <n v="0"/>
    <n v="0"/>
    <n v="0"/>
    <n v="0"/>
    <n v="0"/>
    <m/>
    <n v="1"/>
    <n v="2024"/>
    <x v="6"/>
    <s v="品牌定制"/>
    <x v="1"/>
    <x v="0"/>
  </r>
  <r>
    <x v="0"/>
    <x v="12"/>
    <x v="0"/>
    <x v="6"/>
    <x v="30"/>
    <n v="10573"/>
    <n v="10004"/>
    <n v="0"/>
    <n v="0"/>
    <n v="0"/>
    <n v="0"/>
    <n v="0"/>
    <n v="0"/>
    <m/>
    <n v="2776"/>
    <n v="2024"/>
    <x v="6"/>
    <s v="品牌特秀"/>
    <x v="1"/>
    <x v="0"/>
  </r>
  <r>
    <x v="0"/>
    <x v="12"/>
    <x v="0"/>
    <x v="6"/>
    <x v="21"/>
    <n v="18002"/>
    <n v="16162"/>
    <n v="775"/>
    <n v="180"/>
    <n v="1617498.07"/>
    <n v="183"/>
    <n v="736447.07"/>
    <n v="152"/>
    <m/>
    <n v="10214"/>
    <n v="2024"/>
    <x v="6"/>
    <s v="品销宝-品牌专区"/>
    <x v="1"/>
    <x v="0"/>
  </r>
  <r>
    <x v="0"/>
    <x v="12"/>
    <x v="0"/>
    <x v="6"/>
    <x v="49"/>
    <n v="6"/>
    <n v="4"/>
    <n v="0"/>
    <n v="0"/>
    <n v="0"/>
    <n v="0"/>
    <n v="0"/>
    <n v="0"/>
    <m/>
    <n v="4"/>
    <n v="2024"/>
    <x v="6"/>
    <s v="超级全域通"/>
    <x v="1"/>
    <x v="0"/>
  </r>
  <r>
    <x v="0"/>
    <x v="12"/>
    <x v="0"/>
    <x v="0"/>
    <x v="2"/>
    <n v="126838"/>
    <n v="120157"/>
    <n v="3575"/>
    <n v="872"/>
    <n v="5029780.68"/>
    <n v="857"/>
    <n v="3366633.32"/>
    <n v="701"/>
    <m/>
    <n v="125947"/>
    <n v="2024"/>
    <x v="6"/>
    <s v="直通车"/>
    <x v="1"/>
    <x v="0"/>
  </r>
  <r>
    <x v="0"/>
    <x v="12"/>
    <x v="0"/>
    <x v="0"/>
    <x v="0"/>
    <n v="72536"/>
    <n v="60060"/>
    <n v="2935"/>
    <n v="1534"/>
    <n v="4774342.37"/>
    <n v="719"/>
    <n v="3298756.37"/>
    <n v="569"/>
    <m/>
    <n v="72406"/>
    <n v="2024"/>
    <x v="6"/>
    <s v="万相台"/>
    <x v="1"/>
    <x v="0"/>
  </r>
  <r>
    <x v="0"/>
    <x v="12"/>
    <x v="0"/>
    <x v="0"/>
    <x v="1"/>
    <n v="81186"/>
    <n v="67971"/>
    <n v="2745"/>
    <n v="1502"/>
    <n v="2035172.2"/>
    <n v="323"/>
    <n v="1142887.78"/>
    <n v="233"/>
    <m/>
    <n v="81164"/>
    <n v="2024"/>
    <x v="6"/>
    <s v="引力魔方"/>
    <x v="1"/>
    <x v="0"/>
  </r>
  <r>
    <x v="0"/>
    <x v="12"/>
    <x v="0"/>
    <x v="7"/>
    <x v="22"/>
    <n v="3"/>
    <n v="2"/>
    <n v="0"/>
    <n v="0"/>
    <n v="0"/>
    <n v="0"/>
    <n v="0"/>
    <n v="0"/>
    <m/>
    <n v="2"/>
    <n v="2024"/>
    <x v="6"/>
    <s v="UD效果投放"/>
    <x v="1"/>
    <x v="0"/>
  </r>
  <r>
    <x v="0"/>
    <x v="12"/>
    <x v="0"/>
    <x v="7"/>
    <x v="23"/>
    <n v="97"/>
    <n v="64"/>
    <n v="2"/>
    <n v="0"/>
    <n v="0"/>
    <n v="0"/>
    <n v="0"/>
    <n v="0"/>
    <m/>
    <n v="75"/>
    <n v="2024"/>
    <x v="6"/>
    <s v="流量宝"/>
    <x v="1"/>
    <x v="0"/>
  </r>
  <r>
    <x v="0"/>
    <x v="12"/>
    <x v="0"/>
    <x v="7"/>
    <x v="24"/>
    <n v="10821"/>
    <n v="9062"/>
    <n v="604"/>
    <n v="36"/>
    <n v="452431.01"/>
    <n v="101"/>
    <n v="357840.01"/>
    <n v="86"/>
    <m/>
    <n v="10529"/>
    <n v="2024"/>
    <x v="6"/>
    <s v="淘宝客"/>
    <x v="1"/>
    <x v="0"/>
  </r>
  <r>
    <x v="0"/>
    <x v="13"/>
    <x v="1"/>
    <x v="8"/>
    <x v="25"/>
    <n v="1940"/>
    <n v="1034"/>
    <n v="60"/>
    <n v="20"/>
    <n v="35635"/>
    <n v="6"/>
    <n v="16465"/>
    <n v="3"/>
    <m/>
    <n v="1885"/>
    <n v="2023"/>
    <x v="6"/>
    <s v="主会场"/>
    <x v="0"/>
    <x v="0"/>
  </r>
  <r>
    <x v="0"/>
    <x v="13"/>
    <x v="1"/>
    <x v="8"/>
    <x v="26"/>
    <n v="144"/>
    <n v="134"/>
    <n v="0"/>
    <n v="0"/>
    <n v="0"/>
    <n v="0"/>
    <n v="0"/>
    <n v="0"/>
    <m/>
    <n v="144"/>
    <n v="2023"/>
    <x v="6"/>
    <s v="榜单会场"/>
    <x v="0"/>
    <x v="0"/>
  </r>
  <r>
    <x v="0"/>
    <x v="13"/>
    <x v="1"/>
    <x v="8"/>
    <x v="34"/>
    <n v="8"/>
    <n v="5"/>
    <n v="0"/>
    <n v="0"/>
    <n v="0"/>
    <n v="0"/>
    <n v="0"/>
    <n v="0"/>
    <m/>
    <n v="8"/>
    <n v="2023"/>
    <x v="6"/>
    <s v="热点会场"/>
    <x v="0"/>
    <x v="0"/>
  </r>
  <r>
    <x v="0"/>
    <x v="13"/>
    <x v="1"/>
    <x v="9"/>
    <x v="27"/>
    <n v="53"/>
    <n v="41"/>
    <n v="0"/>
    <n v="0"/>
    <n v="0"/>
    <n v="0"/>
    <n v="0"/>
    <n v="0"/>
    <m/>
    <n v="53"/>
    <n v="2023"/>
    <x v="6"/>
    <s v="超级惊喜站"/>
    <x v="0"/>
    <x v="0"/>
  </r>
  <r>
    <x v="0"/>
    <x v="13"/>
    <x v="1"/>
    <x v="1"/>
    <x v="3"/>
    <n v="466"/>
    <n v="401"/>
    <n v="6"/>
    <n v="4"/>
    <n v="0"/>
    <n v="0"/>
    <n v="3630"/>
    <n v="1"/>
    <m/>
    <n v="466"/>
    <n v="2023"/>
    <x v="6"/>
    <s v="其他入口榜单"/>
    <x v="0"/>
    <x v="0"/>
  </r>
  <r>
    <x v="0"/>
    <x v="13"/>
    <x v="1"/>
    <x v="1"/>
    <x v="28"/>
    <n v="352"/>
    <n v="333"/>
    <n v="2"/>
    <n v="4"/>
    <n v="23830"/>
    <n v="5"/>
    <n v="15870"/>
    <n v="3"/>
    <m/>
    <n v="352"/>
    <n v="2023"/>
    <x v="6"/>
    <s v="商品详情页入口榜单"/>
    <x v="0"/>
    <x v="0"/>
  </r>
  <r>
    <x v="0"/>
    <x v="13"/>
    <x v="1"/>
    <x v="1"/>
    <x v="35"/>
    <n v="125"/>
    <n v="116"/>
    <n v="2"/>
    <n v="0"/>
    <n v="10950"/>
    <n v="1"/>
    <n v="0"/>
    <n v="0"/>
    <m/>
    <n v="125"/>
    <n v="2023"/>
    <x v="6"/>
    <s v="搜索入口榜单"/>
    <x v="0"/>
    <x v="0"/>
  </r>
  <r>
    <x v="0"/>
    <x v="13"/>
    <x v="1"/>
    <x v="2"/>
    <x v="4"/>
    <n v="65"/>
    <n v="62"/>
    <n v="0"/>
    <n v="0"/>
    <n v="0"/>
    <n v="0"/>
    <n v="0"/>
    <n v="0"/>
    <m/>
    <n v="20"/>
    <n v="2023"/>
    <x v="6"/>
    <s v="手机浏览器访问天猫"/>
    <x v="0"/>
    <x v="0"/>
  </r>
  <r>
    <x v="0"/>
    <x v="13"/>
    <x v="1"/>
    <x v="2"/>
    <x v="5"/>
    <n v="921"/>
    <n v="550"/>
    <n v="57"/>
    <n v="0"/>
    <n v="73178"/>
    <n v="17"/>
    <n v="38395"/>
    <n v="10"/>
    <m/>
    <n v="840"/>
    <n v="2023"/>
    <x v="6"/>
    <s v="手猫免费其他"/>
    <x v="0"/>
    <x v="0"/>
  </r>
  <r>
    <x v="0"/>
    <x v="13"/>
    <x v="1"/>
    <x v="2"/>
    <x v="6"/>
    <n v="1013"/>
    <n v="687"/>
    <n v="110"/>
    <n v="0"/>
    <n v="93917.57"/>
    <n v="19"/>
    <n v="58927.57"/>
    <n v="11"/>
    <m/>
    <n v="1013"/>
    <n v="2023"/>
    <x v="6"/>
    <s v="手猫其他店铺"/>
    <x v="0"/>
    <x v="0"/>
  </r>
  <r>
    <x v="0"/>
    <x v="13"/>
    <x v="1"/>
    <x v="2"/>
    <x v="7"/>
    <n v="1163"/>
    <n v="741"/>
    <n v="52"/>
    <n v="2"/>
    <n v="125354"/>
    <n v="16"/>
    <n v="22638"/>
    <n v="10"/>
    <m/>
    <n v="1151"/>
    <n v="2023"/>
    <x v="6"/>
    <s v="手猫商品详情"/>
    <x v="0"/>
    <x v="0"/>
  </r>
  <r>
    <x v="0"/>
    <x v="13"/>
    <x v="1"/>
    <x v="2"/>
    <x v="8"/>
    <n v="1215"/>
    <n v="933"/>
    <n v="48"/>
    <n v="0"/>
    <n v="72452"/>
    <n v="19"/>
    <n v="37525"/>
    <n v="15"/>
    <m/>
    <n v="986"/>
    <n v="2023"/>
    <x v="6"/>
    <s v="手猫搜索"/>
    <x v="0"/>
    <x v="0"/>
  </r>
  <r>
    <x v="0"/>
    <x v="13"/>
    <x v="1"/>
    <x v="2"/>
    <x v="9"/>
    <n v="44"/>
    <n v="6"/>
    <n v="8"/>
    <n v="0"/>
    <n v="21310"/>
    <n v="5"/>
    <n v="14930"/>
    <n v="4"/>
    <m/>
    <n v="42"/>
    <n v="2023"/>
    <x v="6"/>
    <s v="手猫旺信聊天"/>
    <x v="0"/>
    <x v="0"/>
  </r>
  <r>
    <x v="0"/>
    <x v="13"/>
    <x v="1"/>
    <x v="2"/>
    <x v="10"/>
    <n v="6779"/>
    <n v="5777"/>
    <n v="155"/>
    <n v="1"/>
    <n v="122385"/>
    <n v="26"/>
    <n v="45293"/>
    <n v="16"/>
    <m/>
    <n v="6778"/>
    <n v="2023"/>
    <x v="6"/>
    <s v="手猫首页"/>
    <x v="0"/>
    <x v="0"/>
  </r>
  <r>
    <x v="0"/>
    <x v="13"/>
    <x v="1"/>
    <x v="3"/>
    <x v="11"/>
    <n v="4496"/>
    <n v="2424"/>
    <n v="319"/>
    <n v="116"/>
    <n v="364084"/>
    <n v="85"/>
    <n v="150638"/>
    <n v="44"/>
    <m/>
    <n v="4170"/>
    <n v="2023"/>
    <x v="6"/>
    <s v="商品详情页头图推荐"/>
    <x v="0"/>
    <x v="0"/>
  </r>
  <r>
    <x v="0"/>
    <x v="13"/>
    <x v="1"/>
    <x v="3"/>
    <x v="12"/>
    <n v="2045"/>
    <n v="1662"/>
    <n v="60"/>
    <n v="17"/>
    <n v="26080"/>
    <n v="9"/>
    <n v="20240"/>
    <n v="6"/>
    <m/>
    <n v="552"/>
    <n v="2023"/>
    <x v="6"/>
    <s v="店铺超链"/>
    <x v="0"/>
    <x v="0"/>
  </r>
  <r>
    <x v="0"/>
    <x v="13"/>
    <x v="0"/>
    <x v="6"/>
    <x v="30"/>
    <n v="12525"/>
    <n v="10598"/>
    <n v="177"/>
    <n v="104"/>
    <n v="163011"/>
    <n v="41"/>
    <n v="102982"/>
    <n v="26"/>
    <m/>
    <n v="4410"/>
    <n v="2023"/>
    <x v="6"/>
    <s v="其他猜你喜欢"/>
    <x v="0"/>
    <x v="0"/>
  </r>
  <r>
    <x v="0"/>
    <x v="13"/>
    <x v="1"/>
    <x v="4"/>
    <x v="14"/>
    <n v="19"/>
    <n v="12"/>
    <n v="0"/>
    <n v="1"/>
    <n v="0"/>
    <n v="0"/>
    <n v="0"/>
    <n v="0"/>
    <m/>
    <n v="19"/>
    <n v="2023"/>
    <x v="6"/>
    <s v="推荐云主题"/>
    <x v="0"/>
    <x v="0"/>
  </r>
  <r>
    <x v="0"/>
    <x v="13"/>
    <x v="1"/>
    <x v="4"/>
    <x v="15"/>
    <n v="310"/>
    <n v="148"/>
    <n v="10"/>
    <n v="3"/>
    <n v="10763"/>
    <n v="3"/>
    <n v="8275"/>
    <n v="2"/>
    <m/>
    <n v="256"/>
    <n v="2023"/>
    <x v="6"/>
    <s v="购中推荐"/>
    <x v="0"/>
    <x v="0"/>
  </r>
  <r>
    <x v="0"/>
    <x v="13"/>
    <x v="1"/>
    <x v="4"/>
    <x v="16"/>
    <n v="1525"/>
    <n v="1041"/>
    <n v="19"/>
    <n v="17"/>
    <n v="27240"/>
    <n v="7"/>
    <n v="17000"/>
    <n v="6"/>
    <m/>
    <n v="1140"/>
    <n v="2023"/>
    <x v="6"/>
    <s v="购后推荐"/>
    <x v="0"/>
    <x v="0"/>
  </r>
  <r>
    <x v="0"/>
    <x v="13"/>
    <x v="1"/>
    <x v="4"/>
    <x v="17"/>
    <n v="103157"/>
    <n v="92954"/>
    <n v="766"/>
    <n v="411"/>
    <n v="512400"/>
    <n v="97"/>
    <n v="181555"/>
    <n v="49"/>
    <m/>
    <n v="103157"/>
    <n v="2023"/>
    <x v="6"/>
    <s v="首页推荐-微详情"/>
    <x v="0"/>
    <x v="0"/>
  </r>
  <r>
    <x v="0"/>
    <x v="13"/>
    <x v="1"/>
    <x v="4"/>
    <x v="18"/>
    <n v="13091"/>
    <n v="11849"/>
    <n v="8"/>
    <n v="4"/>
    <n v="7800"/>
    <n v="3"/>
    <n v="4120"/>
    <n v="2"/>
    <m/>
    <n v="290"/>
    <n v="2023"/>
    <x v="6"/>
    <s v="首页推荐-直播"/>
    <x v="0"/>
    <x v="0"/>
  </r>
  <r>
    <x v="0"/>
    <x v="13"/>
    <x v="1"/>
    <x v="4"/>
    <x v="19"/>
    <n v="3923"/>
    <n v="3736"/>
    <n v="0"/>
    <n v="0"/>
    <n v="0"/>
    <n v="0"/>
    <n v="0"/>
    <n v="0"/>
    <m/>
    <n v="6"/>
    <n v="2023"/>
    <x v="6"/>
    <s v="首页推荐-短视频"/>
    <x v="0"/>
    <x v="0"/>
  </r>
  <r>
    <x v="0"/>
    <x v="13"/>
    <x v="1"/>
    <x v="12"/>
    <x v="42"/>
    <n v="18666"/>
    <n v="15511"/>
    <n v="922"/>
    <n v="294"/>
    <n v="909196"/>
    <n v="208"/>
    <n v="601961"/>
    <n v="148"/>
    <m/>
    <n v="16136"/>
    <n v="2023"/>
    <x v="6"/>
    <s v="手淘搜索-商品及其他"/>
    <x v="0"/>
    <x v="0"/>
  </r>
  <r>
    <x v="0"/>
    <x v="13"/>
    <x v="1"/>
    <x v="12"/>
    <x v="43"/>
    <n v="201"/>
    <n v="153"/>
    <n v="0"/>
    <n v="2"/>
    <n v="7250"/>
    <n v="1"/>
    <n v="7250"/>
    <n v="1"/>
    <m/>
    <n v="110"/>
    <n v="2023"/>
    <x v="6"/>
    <s v="手淘搜索-直播"/>
    <x v="0"/>
    <x v="0"/>
  </r>
  <r>
    <x v="0"/>
    <x v="13"/>
    <x v="1"/>
    <x v="12"/>
    <x v="44"/>
    <n v="108"/>
    <n v="47"/>
    <n v="0"/>
    <n v="0"/>
    <n v="1680"/>
    <n v="1"/>
    <n v="0"/>
    <n v="0"/>
    <m/>
    <n v="32"/>
    <n v="2023"/>
    <x v="6"/>
    <s v="手淘搜索-短视频"/>
    <x v="0"/>
    <x v="0"/>
  </r>
  <r>
    <x v="0"/>
    <x v="13"/>
    <x v="1"/>
    <x v="11"/>
    <x v="36"/>
    <n v="14"/>
    <n v="9"/>
    <n v="1"/>
    <n v="0"/>
    <n v="0"/>
    <n v="0"/>
    <n v="0"/>
    <n v="0"/>
    <m/>
    <n v="14"/>
    <n v="2023"/>
    <x v="6"/>
    <s v="淘特互动游戏"/>
    <x v="0"/>
    <x v="0"/>
  </r>
  <r>
    <x v="0"/>
    <x v="13"/>
    <x v="1"/>
    <x v="11"/>
    <x v="37"/>
    <n v="4"/>
    <n v="3"/>
    <n v="0"/>
    <n v="0"/>
    <n v="4695"/>
    <n v="1"/>
    <n v="4695"/>
    <n v="1"/>
    <m/>
    <n v="4"/>
    <n v="2023"/>
    <x v="6"/>
    <s v="淘特其他渠道"/>
    <x v="0"/>
    <x v="0"/>
  </r>
  <r>
    <x v="0"/>
    <x v="13"/>
    <x v="1"/>
    <x v="11"/>
    <x v="38"/>
    <n v="35"/>
    <n v="24"/>
    <n v="1"/>
    <n v="0"/>
    <n v="4695"/>
    <n v="1"/>
    <n v="0"/>
    <n v="0"/>
    <m/>
    <n v="35"/>
    <n v="2023"/>
    <x v="6"/>
    <s v="淘特推荐"/>
    <x v="0"/>
    <x v="0"/>
  </r>
  <r>
    <x v="0"/>
    <x v="13"/>
    <x v="1"/>
    <x v="11"/>
    <x v="39"/>
    <n v="37"/>
    <n v="35"/>
    <n v="1"/>
    <n v="0"/>
    <n v="0"/>
    <n v="0"/>
    <n v="0"/>
    <n v="0"/>
    <m/>
    <n v="37"/>
    <n v="2023"/>
    <x v="6"/>
    <s v="淘特搜索"/>
    <x v="0"/>
    <x v="0"/>
  </r>
  <r>
    <x v="0"/>
    <x v="13"/>
    <x v="1"/>
    <x v="11"/>
    <x v="40"/>
    <n v="5"/>
    <n v="4"/>
    <n v="0"/>
    <n v="0"/>
    <n v="0"/>
    <n v="0"/>
    <n v="0"/>
    <n v="0"/>
    <m/>
    <n v="5"/>
    <n v="2023"/>
    <x v="6"/>
    <s v="淘特自主访问"/>
    <x v="0"/>
    <x v="0"/>
  </r>
  <r>
    <x v="0"/>
    <x v="13"/>
    <x v="1"/>
    <x v="10"/>
    <x v="31"/>
    <n v="53"/>
    <n v="41"/>
    <n v="0"/>
    <n v="0"/>
    <n v="0"/>
    <n v="0"/>
    <n v="0"/>
    <n v="0"/>
    <n v="1"/>
    <m/>
    <n v="2023"/>
    <x v="6"/>
    <s v="阿里妈妈超级惊喜站"/>
    <x v="0"/>
    <x v="0"/>
  </r>
  <r>
    <x v="0"/>
    <x v="13"/>
    <x v="0"/>
    <x v="5"/>
    <x v="41"/>
    <n v="41368"/>
    <n v="39016"/>
    <n v="5"/>
    <n v="4"/>
    <n v="0"/>
    <n v="0"/>
    <n v="0"/>
    <n v="0"/>
    <m/>
    <n v="5941"/>
    <n v="2023"/>
    <x v="6"/>
    <s v="超级直播"/>
    <x v="0"/>
    <x v="0"/>
  </r>
  <r>
    <x v="0"/>
    <x v="13"/>
    <x v="0"/>
    <x v="5"/>
    <x v="20"/>
    <n v="2"/>
    <n v="1"/>
    <n v="0"/>
    <n v="0"/>
    <n v="0"/>
    <n v="0"/>
    <n v="0"/>
    <n v="0"/>
    <m/>
    <n v="1"/>
    <n v="2023"/>
    <x v="6"/>
    <s v="超级短视频"/>
    <x v="0"/>
    <x v="0"/>
  </r>
  <r>
    <x v="0"/>
    <x v="13"/>
    <x v="0"/>
    <x v="6"/>
    <x v="48"/>
    <n v="12907"/>
    <n v="11587"/>
    <n v="0"/>
    <n v="0"/>
    <n v="0"/>
    <n v="0"/>
    <n v="0"/>
    <n v="0"/>
    <m/>
    <n v="2657"/>
    <n v="2023"/>
    <x v="6"/>
    <s v="Showmax"/>
    <x v="0"/>
    <x v="0"/>
  </r>
  <r>
    <x v="0"/>
    <x v="13"/>
    <x v="0"/>
    <x v="6"/>
    <x v="45"/>
    <n v="3"/>
    <n v="2"/>
    <n v="0"/>
    <n v="0"/>
    <n v="0"/>
    <n v="0"/>
    <n v="0"/>
    <n v="0"/>
    <m/>
    <n v="1"/>
    <n v="2023"/>
    <x v="6"/>
    <s v="品牌定制"/>
    <x v="0"/>
    <x v="0"/>
  </r>
  <r>
    <x v="0"/>
    <x v="13"/>
    <x v="0"/>
    <x v="6"/>
    <x v="30"/>
    <n v="21338"/>
    <n v="19336"/>
    <n v="0"/>
    <n v="0"/>
    <n v="0"/>
    <n v="0"/>
    <n v="0"/>
    <n v="0"/>
    <m/>
    <n v="4022"/>
    <n v="2023"/>
    <x v="6"/>
    <s v="品牌特秀"/>
    <x v="0"/>
    <x v="0"/>
  </r>
  <r>
    <x v="0"/>
    <x v="13"/>
    <x v="0"/>
    <x v="6"/>
    <x v="21"/>
    <n v="16207"/>
    <n v="14646"/>
    <n v="500"/>
    <n v="175"/>
    <n v="456415"/>
    <n v="94"/>
    <n v="309871"/>
    <n v="58"/>
    <m/>
    <n v="8039"/>
    <n v="2023"/>
    <x v="6"/>
    <s v="品销宝-品牌专区"/>
    <x v="0"/>
    <x v="0"/>
  </r>
  <r>
    <x v="0"/>
    <x v="13"/>
    <x v="0"/>
    <x v="6"/>
    <x v="32"/>
    <n v="57"/>
    <m/>
    <m/>
    <m/>
    <m/>
    <m/>
    <m/>
    <m/>
    <m/>
    <m/>
    <n v="2023"/>
    <x v="6"/>
    <s v="超级互动城"/>
    <x v="0"/>
    <x v="0"/>
  </r>
  <r>
    <x v="0"/>
    <x v="13"/>
    <x v="0"/>
    <x v="6"/>
    <x v="49"/>
    <n v="6"/>
    <n v="2"/>
    <n v="0"/>
    <n v="0"/>
    <n v="0"/>
    <n v="0"/>
    <n v="0"/>
    <n v="0"/>
    <m/>
    <n v="6"/>
    <n v="2023"/>
    <x v="6"/>
    <s v="超级全域通"/>
    <x v="0"/>
    <x v="0"/>
  </r>
  <r>
    <x v="0"/>
    <x v="13"/>
    <x v="0"/>
    <x v="0"/>
    <x v="0"/>
    <n v="42642"/>
    <n v="33863"/>
    <n v="1327"/>
    <n v="530"/>
    <n v="1932731.3"/>
    <n v="377"/>
    <n v="1052814.6000000001"/>
    <n v="230"/>
    <n v="4306"/>
    <m/>
    <n v="2023"/>
    <x v="6"/>
    <s v="万相台"/>
    <x v="0"/>
    <x v="0"/>
  </r>
  <r>
    <x v="0"/>
    <x v="13"/>
    <x v="0"/>
    <x v="0"/>
    <x v="2"/>
    <n v="80294"/>
    <n v="75267"/>
    <n v="992"/>
    <n v="591"/>
    <n v="1055068"/>
    <n v="164"/>
    <n v="502541"/>
    <n v="115"/>
    <m/>
    <n v="79637"/>
    <n v="2023"/>
    <x v="6"/>
    <s v="直通车"/>
    <x v="0"/>
    <x v="0"/>
  </r>
  <r>
    <x v="0"/>
    <x v="13"/>
    <x v="0"/>
    <x v="0"/>
    <x v="1"/>
    <n v="97855"/>
    <n v="85749"/>
    <n v="2253"/>
    <n v="1341"/>
    <n v="1128552.18"/>
    <n v="224"/>
    <n v="437919.18"/>
    <n v="131"/>
    <n v="11285"/>
    <m/>
    <n v="2023"/>
    <x v="6"/>
    <s v="引力魔方"/>
    <x v="0"/>
    <x v="0"/>
  </r>
  <r>
    <x v="0"/>
    <x v="13"/>
    <x v="0"/>
    <x v="7"/>
    <x v="33"/>
    <n v="2"/>
    <n v="1"/>
    <n v="0"/>
    <n v="0"/>
    <n v="0"/>
    <n v="0"/>
    <n v="0"/>
    <n v="0"/>
    <m/>
    <n v="2"/>
    <n v="2023"/>
    <x v="6"/>
    <s v="UD品牌投放"/>
    <x v="0"/>
    <x v="0"/>
  </r>
  <r>
    <x v="0"/>
    <x v="13"/>
    <x v="0"/>
    <x v="7"/>
    <x v="22"/>
    <n v="6"/>
    <n v="4"/>
    <n v="0"/>
    <n v="0"/>
    <n v="0"/>
    <n v="0"/>
    <n v="0"/>
    <n v="0"/>
    <m/>
    <n v="5"/>
    <n v="2023"/>
    <x v="6"/>
    <s v="UD效果投放"/>
    <x v="0"/>
    <x v="0"/>
  </r>
  <r>
    <x v="0"/>
    <x v="13"/>
    <x v="0"/>
    <x v="7"/>
    <x v="23"/>
    <n v="217"/>
    <n v="162"/>
    <n v="1"/>
    <n v="2"/>
    <n v="0"/>
    <n v="0"/>
    <n v="0"/>
    <n v="0"/>
    <m/>
    <n v="131"/>
    <n v="2023"/>
    <x v="6"/>
    <s v="流量宝"/>
    <x v="0"/>
    <x v="0"/>
  </r>
  <r>
    <x v="0"/>
    <x v="13"/>
    <x v="0"/>
    <x v="7"/>
    <x v="24"/>
    <n v="5240"/>
    <n v="3769"/>
    <n v="59"/>
    <n v="20"/>
    <n v="269792"/>
    <n v="49"/>
    <n v="135121"/>
    <n v="30"/>
    <m/>
    <n v="5016"/>
    <n v="2023"/>
    <x v="6"/>
    <s v="淘宝客"/>
    <x v="0"/>
    <x v="0"/>
  </r>
  <r>
    <x v="0"/>
    <x v="14"/>
    <x v="1"/>
    <x v="8"/>
    <x v="25"/>
    <n v="2312"/>
    <n v="1319"/>
    <n v="52"/>
    <n v="59"/>
    <n v="51535"/>
    <n v="16"/>
    <n v="41830"/>
    <n v="14"/>
    <n v="208"/>
    <n v="2251"/>
    <n v="2024"/>
    <x v="7"/>
    <s v="主会场"/>
    <x v="1"/>
    <x v="0"/>
  </r>
  <r>
    <x v="0"/>
    <x v="14"/>
    <x v="1"/>
    <x v="8"/>
    <x v="26"/>
    <n v="74"/>
    <n v="66"/>
    <n v="4"/>
    <n v="1"/>
    <n v="0"/>
    <n v="0"/>
    <n v="0"/>
    <n v="0"/>
    <n v="16"/>
    <n v="74"/>
    <n v="2024"/>
    <x v="7"/>
    <s v="榜单会场"/>
    <x v="1"/>
    <x v="0"/>
  </r>
  <r>
    <x v="0"/>
    <x v="14"/>
    <x v="1"/>
    <x v="1"/>
    <x v="3"/>
    <n v="283"/>
    <n v="251"/>
    <n v="6"/>
    <n v="3"/>
    <n v="3900"/>
    <n v="1"/>
    <n v="3900"/>
    <n v="1"/>
    <n v="31"/>
    <n v="283"/>
    <n v="2024"/>
    <x v="7"/>
    <s v="其他入口榜单"/>
    <x v="1"/>
    <x v="0"/>
  </r>
  <r>
    <x v="0"/>
    <x v="14"/>
    <x v="1"/>
    <x v="1"/>
    <x v="28"/>
    <n v="29"/>
    <n v="27"/>
    <n v="1"/>
    <n v="0"/>
    <n v="0"/>
    <n v="0"/>
    <n v="0"/>
    <n v="0"/>
    <n v="4"/>
    <n v="29"/>
    <n v="2024"/>
    <x v="7"/>
    <s v="商品详情页入口榜单"/>
    <x v="1"/>
    <x v="0"/>
  </r>
  <r>
    <x v="0"/>
    <x v="14"/>
    <x v="1"/>
    <x v="1"/>
    <x v="35"/>
    <n v="34"/>
    <n v="29"/>
    <n v="1"/>
    <n v="0"/>
    <n v="9500"/>
    <n v="1"/>
    <n v="9500"/>
    <n v="1"/>
    <n v="6"/>
    <n v="34"/>
    <n v="2024"/>
    <x v="7"/>
    <s v="搜索入口榜单"/>
    <x v="1"/>
    <x v="0"/>
  </r>
  <r>
    <x v="0"/>
    <x v="14"/>
    <x v="1"/>
    <x v="3"/>
    <x v="11"/>
    <n v="5118"/>
    <n v="2399"/>
    <n v="316"/>
    <n v="116"/>
    <n v="455339.27"/>
    <n v="95"/>
    <n v="340527.9"/>
    <n v="81"/>
    <n v="1181"/>
    <n v="5018"/>
    <n v="2024"/>
    <x v="7"/>
    <s v="商品详情页头图推荐"/>
    <x v="1"/>
    <x v="0"/>
  </r>
  <r>
    <x v="0"/>
    <x v="14"/>
    <x v="1"/>
    <x v="3"/>
    <x v="12"/>
    <n v="1239"/>
    <n v="746"/>
    <n v="65"/>
    <n v="16"/>
    <n v="80052.240000000005"/>
    <n v="16"/>
    <n v="66950.87"/>
    <n v="13"/>
    <n v="1094"/>
    <n v="574"/>
    <n v="2024"/>
    <x v="7"/>
    <s v="店铺超链"/>
    <x v="1"/>
    <x v="0"/>
  </r>
  <r>
    <x v="0"/>
    <x v="14"/>
    <x v="0"/>
    <x v="6"/>
    <x v="30"/>
    <n v="16490"/>
    <n v="12617"/>
    <n v="185"/>
    <n v="94"/>
    <n v="274152.5"/>
    <n v="43"/>
    <n v="180788"/>
    <n v="33"/>
    <n v="10414"/>
    <n v="6499"/>
    <n v="2024"/>
    <x v="7"/>
    <s v="其他猜你喜欢"/>
    <x v="1"/>
    <x v="0"/>
  </r>
  <r>
    <x v="0"/>
    <x v="14"/>
    <x v="1"/>
    <x v="4"/>
    <x v="15"/>
    <n v="768"/>
    <n v="502"/>
    <n v="12"/>
    <n v="3"/>
    <n v="33890"/>
    <n v="4"/>
    <n v="27640"/>
    <n v="3"/>
    <n v="84"/>
    <n v="525"/>
    <n v="2024"/>
    <x v="7"/>
    <s v="购中推荐"/>
    <x v="1"/>
    <x v="0"/>
  </r>
  <r>
    <x v="0"/>
    <x v="14"/>
    <x v="1"/>
    <x v="4"/>
    <x v="16"/>
    <n v="4691"/>
    <n v="3626"/>
    <n v="31"/>
    <n v="13"/>
    <n v="27632"/>
    <n v="6"/>
    <n v="18227"/>
    <n v="5"/>
    <n v="630"/>
    <n v="2431"/>
    <n v="2024"/>
    <x v="7"/>
    <s v="购后推荐"/>
    <x v="1"/>
    <x v="0"/>
  </r>
  <r>
    <x v="0"/>
    <x v="14"/>
    <x v="1"/>
    <x v="4"/>
    <x v="17"/>
    <n v="79358"/>
    <n v="65490"/>
    <n v="1755"/>
    <n v="760"/>
    <n v="1748349.35"/>
    <n v="279"/>
    <n v="1010904.85"/>
    <n v="220"/>
    <n v="6074"/>
    <n v="79358"/>
    <n v="2024"/>
    <x v="7"/>
    <s v="首页推荐-微详情"/>
    <x v="1"/>
    <x v="0"/>
  </r>
  <r>
    <x v="0"/>
    <x v="14"/>
    <x v="1"/>
    <x v="4"/>
    <x v="18"/>
    <n v="13442"/>
    <n v="12068"/>
    <n v="17"/>
    <n v="2"/>
    <n v="31840"/>
    <n v="5"/>
    <n v="23000"/>
    <n v="4"/>
    <n v="37"/>
    <n v="379"/>
    <n v="2024"/>
    <x v="7"/>
    <s v="首页推荐-直播"/>
    <x v="1"/>
    <x v="0"/>
  </r>
  <r>
    <x v="0"/>
    <x v="14"/>
    <x v="1"/>
    <x v="4"/>
    <x v="19"/>
    <n v="14748"/>
    <n v="9659"/>
    <n v="166"/>
    <n v="44"/>
    <n v="146600.5"/>
    <n v="37"/>
    <n v="102480.5"/>
    <n v="31"/>
    <n v="573"/>
    <n v="3245"/>
    <n v="2024"/>
    <x v="7"/>
    <s v="首页推荐-短视频"/>
    <x v="1"/>
    <x v="0"/>
  </r>
  <r>
    <x v="0"/>
    <x v="14"/>
    <x v="1"/>
    <x v="12"/>
    <x v="42"/>
    <n v="32589"/>
    <n v="27450"/>
    <n v="1695"/>
    <n v="415"/>
    <n v="2305966.67"/>
    <n v="469"/>
    <n v="1705774.17"/>
    <n v="403"/>
    <n v="9133"/>
    <n v="29254"/>
    <n v="2024"/>
    <x v="7"/>
    <s v="手淘搜索-商品及其他"/>
    <x v="1"/>
    <x v="0"/>
  </r>
  <r>
    <x v="0"/>
    <x v="14"/>
    <x v="1"/>
    <x v="12"/>
    <x v="43"/>
    <n v="351"/>
    <n v="245"/>
    <n v="14"/>
    <n v="0"/>
    <n v="25708.73"/>
    <n v="6"/>
    <n v="19585.73"/>
    <n v="5"/>
    <n v="20"/>
    <n v="180"/>
    <n v="2024"/>
    <x v="7"/>
    <s v="手淘搜索-直播"/>
    <x v="1"/>
    <x v="0"/>
  </r>
  <r>
    <x v="0"/>
    <x v="14"/>
    <x v="1"/>
    <x v="12"/>
    <x v="44"/>
    <n v="6038"/>
    <n v="5407"/>
    <n v="52"/>
    <n v="23"/>
    <n v="167005"/>
    <n v="24"/>
    <n v="117535"/>
    <n v="20"/>
    <n v="144"/>
    <n v="5923"/>
    <n v="2024"/>
    <x v="7"/>
    <s v="手淘搜索-短视频"/>
    <x v="1"/>
    <x v="0"/>
  </r>
  <r>
    <x v="0"/>
    <x v="14"/>
    <x v="1"/>
    <x v="11"/>
    <x v="37"/>
    <n v="139"/>
    <n v="124"/>
    <n v="2"/>
    <n v="2"/>
    <n v="0"/>
    <n v="0"/>
    <n v="0"/>
    <n v="0"/>
    <n v="4"/>
    <n v="139"/>
    <n v="2024"/>
    <x v="7"/>
    <s v="淘特其他渠道"/>
    <x v="1"/>
    <x v="0"/>
  </r>
  <r>
    <x v="0"/>
    <x v="14"/>
    <x v="1"/>
    <x v="11"/>
    <x v="38"/>
    <n v="3"/>
    <n v="1"/>
    <n v="0"/>
    <n v="0"/>
    <n v="4940"/>
    <n v="1"/>
    <n v="4940"/>
    <n v="1"/>
    <n v="0"/>
    <n v="3"/>
    <n v="2024"/>
    <x v="7"/>
    <s v="淘特推荐"/>
    <x v="1"/>
    <x v="0"/>
  </r>
  <r>
    <x v="0"/>
    <x v="14"/>
    <x v="1"/>
    <x v="11"/>
    <x v="39"/>
    <n v="463"/>
    <n v="450"/>
    <n v="3"/>
    <n v="4"/>
    <n v="0"/>
    <n v="0"/>
    <n v="0"/>
    <n v="0"/>
    <n v="0"/>
    <n v="463"/>
    <n v="2024"/>
    <x v="7"/>
    <s v="淘特搜索"/>
    <x v="1"/>
    <x v="0"/>
  </r>
  <r>
    <x v="0"/>
    <x v="14"/>
    <x v="1"/>
    <x v="11"/>
    <x v="40"/>
    <n v="4"/>
    <n v="1"/>
    <n v="0"/>
    <n v="0"/>
    <n v="0"/>
    <n v="0"/>
    <n v="0"/>
    <n v="0"/>
    <n v="0"/>
    <n v="4"/>
    <n v="2024"/>
    <x v="7"/>
    <s v="淘特自主访问"/>
    <x v="1"/>
    <x v="0"/>
  </r>
  <r>
    <x v="0"/>
    <x v="14"/>
    <x v="0"/>
    <x v="5"/>
    <x v="47"/>
    <n v="1"/>
    <n v="0"/>
    <n v="0"/>
    <n v="0"/>
    <n v="0"/>
    <n v="0"/>
    <n v="0"/>
    <n v="0"/>
    <n v="0"/>
    <n v="1"/>
    <n v="2024"/>
    <x v="7"/>
    <s v="短直联动"/>
    <x v="1"/>
    <x v="0"/>
  </r>
  <r>
    <x v="0"/>
    <x v="14"/>
    <x v="0"/>
    <x v="5"/>
    <x v="41"/>
    <n v="34711"/>
    <n v="30425"/>
    <n v="145"/>
    <n v="26"/>
    <n v="0"/>
    <n v="0"/>
    <n v="0"/>
    <n v="0"/>
    <n v="392"/>
    <n v="3435"/>
    <n v="2024"/>
    <x v="7"/>
    <s v="超级直播"/>
    <x v="1"/>
    <x v="0"/>
  </r>
  <r>
    <x v="0"/>
    <x v="14"/>
    <x v="0"/>
    <x v="5"/>
    <x v="20"/>
    <n v="3895"/>
    <n v="3009"/>
    <n v="177"/>
    <n v="160"/>
    <n v="0"/>
    <n v="0"/>
    <n v="0"/>
    <n v="0"/>
    <n v="93"/>
    <n v="3338"/>
    <n v="2024"/>
    <x v="7"/>
    <s v="超级短视频"/>
    <x v="1"/>
    <x v="0"/>
  </r>
  <r>
    <x v="0"/>
    <x v="14"/>
    <x v="0"/>
    <x v="6"/>
    <x v="48"/>
    <n v="4013"/>
    <n v="3551"/>
    <n v="0"/>
    <n v="0"/>
    <n v="0"/>
    <n v="0"/>
    <n v="0"/>
    <n v="0"/>
    <n v="4013"/>
    <n v="633"/>
    <n v="2024"/>
    <x v="7"/>
    <s v="Showmax"/>
    <x v="1"/>
    <x v="0"/>
  </r>
  <r>
    <x v="0"/>
    <x v="14"/>
    <x v="0"/>
    <x v="6"/>
    <x v="30"/>
    <n v="3562"/>
    <n v="3085"/>
    <n v="0"/>
    <n v="0"/>
    <n v="0"/>
    <n v="0"/>
    <n v="0"/>
    <n v="0"/>
    <n v="3562"/>
    <n v="890"/>
    <n v="2024"/>
    <x v="7"/>
    <s v="品牌特秀"/>
    <x v="1"/>
    <x v="0"/>
  </r>
  <r>
    <x v="0"/>
    <x v="14"/>
    <x v="0"/>
    <x v="6"/>
    <x v="21"/>
    <n v="17341"/>
    <n v="15708"/>
    <n v="577"/>
    <n v="152"/>
    <n v="738148.5"/>
    <n v="133"/>
    <n v="572094.5"/>
    <n v="113"/>
    <n v="17341"/>
    <n v="9688"/>
    <n v="2024"/>
    <x v="7"/>
    <s v="品销宝-品牌专区"/>
    <x v="1"/>
    <x v="0"/>
  </r>
  <r>
    <x v="0"/>
    <x v="14"/>
    <x v="0"/>
    <x v="6"/>
    <x v="49"/>
    <n v="3"/>
    <n v="1"/>
    <n v="0"/>
    <n v="0"/>
    <n v="0"/>
    <n v="0"/>
    <n v="0"/>
    <n v="0"/>
    <n v="1"/>
    <n v="2"/>
    <n v="2024"/>
    <x v="7"/>
    <s v="超级全域通"/>
    <x v="1"/>
    <x v="0"/>
  </r>
  <r>
    <x v="0"/>
    <x v="14"/>
    <x v="0"/>
    <x v="0"/>
    <x v="2"/>
    <n v="105119"/>
    <n v="97629"/>
    <n v="2438"/>
    <n v="704"/>
    <n v="3361809"/>
    <n v="573"/>
    <n v="2137935.5"/>
    <n v="481"/>
    <n v="8837"/>
    <n v="104265"/>
    <n v="2024"/>
    <x v="7"/>
    <s v="直通车"/>
    <x v="1"/>
    <x v="0"/>
  </r>
  <r>
    <x v="0"/>
    <x v="14"/>
    <x v="0"/>
    <x v="0"/>
    <x v="0"/>
    <n v="69938"/>
    <n v="57342"/>
    <n v="2681"/>
    <n v="1339"/>
    <n v="2623545.27"/>
    <n v="474"/>
    <n v="1615948.27"/>
    <n v="380"/>
    <n v="5511"/>
    <n v="69729"/>
    <n v="2024"/>
    <x v="7"/>
    <s v="万相台"/>
    <x v="1"/>
    <x v="0"/>
  </r>
  <r>
    <x v="0"/>
    <x v="14"/>
    <x v="0"/>
    <x v="0"/>
    <x v="1"/>
    <n v="63841"/>
    <n v="47797"/>
    <n v="1993"/>
    <n v="1143"/>
    <n v="1124445.01"/>
    <n v="234"/>
    <n v="731191.14"/>
    <n v="181"/>
    <n v="7135"/>
    <n v="63815"/>
    <n v="2024"/>
    <x v="7"/>
    <s v="引力魔方"/>
    <x v="1"/>
    <x v="0"/>
  </r>
  <r>
    <x v="0"/>
    <x v="14"/>
    <x v="0"/>
    <x v="7"/>
    <x v="22"/>
    <n v="2"/>
    <n v="2"/>
    <n v="0"/>
    <n v="0"/>
    <n v="0"/>
    <n v="0"/>
    <n v="0"/>
    <n v="0"/>
    <n v="0"/>
    <n v="1"/>
    <n v="2024"/>
    <x v="7"/>
    <s v="UD效果投放"/>
    <x v="1"/>
    <x v="0"/>
  </r>
  <r>
    <x v="0"/>
    <x v="14"/>
    <x v="0"/>
    <x v="7"/>
    <x v="23"/>
    <n v="43"/>
    <n v="23"/>
    <n v="1"/>
    <n v="0"/>
    <n v="0"/>
    <n v="0"/>
    <n v="0"/>
    <n v="0"/>
    <n v="8"/>
    <n v="37"/>
    <n v="2024"/>
    <x v="7"/>
    <s v="流量宝"/>
    <x v="1"/>
    <x v="0"/>
  </r>
  <r>
    <x v="0"/>
    <x v="14"/>
    <x v="0"/>
    <x v="7"/>
    <x v="24"/>
    <n v="4917"/>
    <n v="2843"/>
    <n v="115"/>
    <n v="19"/>
    <n v="164625.41"/>
    <n v="41"/>
    <n v="146088.41"/>
    <n v="39"/>
    <n v="556"/>
    <n v="4720"/>
    <n v="2024"/>
    <x v="7"/>
    <s v="淘宝客"/>
    <x v="1"/>
    <x v="0"/>
  </r>
  <r>
    <x v="0"/>
    <x v="15"/>
    <x v="1"/>
    <x v="8"/>
    <x v="25"/>
    <n v="1908"/>
    <n v="1040"/>
    <n v="46"/>
    <n v="15"/>
    <n v="44162"/>
    <n v="11"/>
    <n v="35765"/>
    <n v="10"/>
    <m/>
    <n v="1800"/>
    <n v="2023"/>
    <x v="7"/>
    <s v="主会场"/>
    <x v="0"/>
    <x v="0"/>
  </r>
  <r>
    <x v="0"/>
    <x v="15"/>
    <x v="1"/>
    <x v="8"/>
    <x v="26"/>
    <n v="48"/>
    <n v="43"/>
    <n v="1"/>
    <n v="1"/>
    <n v="0"/>
    <n v="0"/>
    <n v="0"/>
    <n v="0"/>
    <m/>
    <n v="48"/>
    <n v="2023"/>
    <x v="7"/>
    <s v="榜单会场"/>
    <x v="0"/>
    <x v="0"/>
  </r>
  <r>
    <x v="0"/>
    <x v="15"/>
    <x v="1"/>
    <x v="8"/>
    <x v="34"/>
    <n v="32"/>
    <n v="14"/>
    <n v="0"/>
    <n v="1"/>
    <n v="6660"/>
    <n v="1"/>
    <n v="6660"/>
    <n v="1"/>
    <m/>
    <n v="31"/>
    <n v="2023"/>
    <x v="7"/>
    <s v="热点会场"/>
    <x v="0"/>
    <x v="0"/>
  </r>
  <r>
    <x v="0"/>
    <x v="15"/>
    <x v="1"/>
    <x v="9"/>
    <x v="27"/>
    <n v="73"/>
    <n v="47"/>
    <n v="0"/>
    <n v="0"/>
    <n v="0"/>
    <n v="0"/>
    <n v="0"/>
    <n v="0"/>
    <m/>
    <n v="73"/>
    <n v="2023"/>
    <x v="7"/>
    <s v="超级惊喜站"/>
    <x v="0"/>
    <x v="0"/>
  </r>
  <r>
    <x v="0"/>
    <x v="15"/>
    <x v="1"/>
    <x v="1"/>
    <x v="3"/>
    <n v="559"/>
    <n v="460"/>
    <n v="5"/>
    <n v="5"/>
    <n v="10160"/>
    <n v="2"/>
    <n v="10160"/>
    <n v="2"/>
    <m/>
    <n v="559"/>
    <n v="2023"/>
    <x v="7"/>
    <s v="其他入口榜单"/>
    <x v="0"/>
    <x v="0"/>
  </r>
  <r>
    <x v="0"/>
    <x v="15"/>
    <x v="1"/>
    <x v="1"/>
    <x v="28"/>
    <n v="67"/>
    <n v="62"/>
    <n v="0"/>
    <n v="0"/>
    <n v="0"/>
    <n v="0"/>
    <n v="0"/>
    <n v="0"/>
    <m/>
    <n v="67"/>
    <n v="2023"/>
    <x v="7"/>
    <s v="商品详情页入口榜单"/>
    <x v="0"/>
    <x v="0"/>
  </r>
  <r>
    <x v="0"/>
    <x v="15"/>
    <x v="1"/>
    <x v="1"/>
    <x v="35"/>
    <n v="22"/>
    <n v="20"/>
    <n v="0"/>
    <n v="0"/>
    <n v="0"/>
    <n v="0"/>
    <n v="0"/>
    <n v="0"/>
    <m/>
    <n v="22"/>
    <n v="2023"/>
    <x v="7"/>
    <s v="搜索入口榜单"/>
    <x v="0"/>
    <x v="0"/>
  </r>
  <r>
    <x v="0"/>
    <x v="15"/>
    <x v="1"/>
    <x v="2"/>
    <x v="4"/>
    <n v="102"/>
    <n v="95"/>
    <n v="0"/>
    <n v="0"/>
    <n v="0"/>
    <n v="0"/>
    <n v="0"/>
    <n v="0"/>
    <m/>
    <n v="36"/>
    <n v="2023"/>
    <x v="7"/>
    <s v="手机浏览器访问天猫"/>
    <x v="0"/>
    <x v="0"/>
  </r>
  <r>
    <x v="0"/>
    <x v="15"/>
    <x v="1"/>
    <x v="2"/>
    <x v="5"/>
    <n v="1410"/>
    <n v="868"/>
    <n v="25"/>
    <n v="1"/>
    <n v="195497.5"/>
    <n v="33"/>
    <n v="173238.5"/>
    <n v="29"/>
    <m/>
    <n v="1348"/>
    <n v="2023"/>
    <x v="7"/>
    <s v="手猫免费其他"/>
    <x v="0"/>
    <x v="0"/>
  </r>
  <r>
    <x v="0"/>
    <x v="15"/>
    <x v="1"/>
    <x v="2"/>
    <x v="6"/>
    <n v="948"/>
    <n v="570"/>
    <n v="23"/>
    <n v="0"/>
    <n v="194225.5"/>
    <n v="34"/>
    <n v="167315.5"/>
    <n v="30"/>
    <m/>
    <n v="948"/>
    <n v="2023"/>
    <x v="7"/>
    <s v="手猫其他店铺"/>
    <x v="0"/>
    <x v="0"/>
  </r>
  <r>
    <x v="0"/>
    <x v="15"/>
    <x v="1"/>
    <x v="2"/>
    <x v="7"/>
    <n v="1363"/>
    <n v="839"/>
    <n v="9"/>
    <n v="0"/>
    <n v="174697.5"/>
    <n v="32"/>
    <n v="147242.5"/>
    <n v="29"/>
    <m/>
    <n v="1327"/>
    <n v="2023"/>
    <x v="7"/>
    <s v="手猫商品详情"/>
    <x v="0"/>
    <x v="0"/>
  </r>
  <r>
    <x v="0"/>
    <x v="15"/>
    <x v="1"/>
    <x v="2"/>
    <x v="8"/>
    <n v="2231"/>
    <n v="1782"/>
    <n v="19"/>
    <n v="0"/>
    <n v="112483"/>
    <n v="22"/>
    <n v="95501"/>
    <n v="20"/>
    <m/>
    <n v="1880"/>
    <n v="2023"/>
    <x v="7"/>
    <s v="手猫搜索"/>
    <x v="0"/>
    <x v="0"/>
  </r>
  <r>
    <x v="0"/>
    <x v="15"/>
    <x v="1"/>
    <x v="2"/>
    <x v="9"/>
    <n v="59"/>
    <n v="16"/>
    <n v="2"/>
    <n v="0"/>
    <n v="98868"/>
    <n v="16"/>
    <n v="98868"/>
    <n v="16"/>
    <m/>
    <n v="58"/>
    <n v="2023"/>
    <x v="7"/>
    <s v="手猫旺信聊天"/>
    <x v="0"/>
    <x v="0"/>
  </r>
  <r>
    <x v="0"/>
    <x v="15"/>
    <x v="1"/>
    <x v="2"/>
    <x v="10"/>
    <n v="7467"/>
    <n v="5952"/>
    <n v="13"/>
    <n v="1"/>
    <n v="131579.5"/>
    <n v="22"/>
    <n v="77299.5"/>
    <n v="17"/>
    <m/>
    <n v="7467"/>
    <n v="2023"/>
    <x v="7"/>
    <s v="手猫首页"/>
    <x v="0"/>
    <x v="0"/>
  </r>
  <r>
    <x v="0"/>
    <x v="15"/>
    <x v="1"/>
    <x v="3"/>
    <x v="11"/>
    <n v="4162"/>
    <n v="2172"/>
    <n v="201"/>
    <n v="85"/>
    <n v="246601.94"/>
    <n v="47"/>
    <n v="206196.94"/>
    <n v="39"/>
    <m/>
    <n v="3951"/>
    <n v="2023"/>
    <x v="7"/>
    <s v="商品详情页头图推荐"/>
    <x v="0"/>
    <x v="0"/>
  </r>
  <r>
    <x v="0"/>
    <x v="15"/>
    <x v="1"/>
    <x v="3"/>
    <x v="12"/>
    <n v="835"/>
    <n v="517"/>
    <n v="28"/>
    <n v="12"/>
    <n v="72816.899999999994"/>
    <n v="17"/>
    <n v="63660.4"/>
    <n v="14"/>
    <m/>
    <n v="400"/>
    <n v="2023"/>
    <x v="7"/>
    <s v="店铺超链"/>
    <x v="0"/>
    <x v="0"/>
  </r>
  <r>
    <x v="0"/>
    <x v="15"/>
    <x v="1"/>
    <x v="4"/>
    <x v="13"/>
    <n v="3974"/>
    <n v="2431"/>
    <n v="103"/>
    <n v="51"/>
    <n v="179197.89"/>
    <n v="40"/>
    <n v="118896.89"/>
    <n v="32"/>
    <m/>
    <n v="3039"/>
    <n v="2023"/>
    <x v="7"/>
    <s v="其他猜你喜欢"/>
    <x v="0"/>
    <x v="0"/>
  </r>
  <r>
    <x v="0"/>
    <x v="15"/>
    <x v="1"/>
    <x v="4"/>
    <x v="14"/>
    <n v="40"/>
    <n v="28"/>
    <n v="0"/>
    <n v="1"/>
    <n v="0"/>
    <n v="0"/>
    <n v="0"/>
    <n v="0"/>
    <m/>
    <n v="40"/>
    <n v="2023"/>
    <x v="7"/>
    <s v="推荐云主题"/>
    <x v="0"/>
    <x v="0"/>
  </r>
  <r>
    <x v="0"/>
    <x v="15"/>
    <x v="1"/>
    <x v="4"/>
    <x v="15"/>
    <n v="227"/>
    <n v="86"/>
    <n v="1"/>
    <n v="1"/>
    <n v="0"/>
    <n v="0"/>
    <n v="0"/>
    <n v="0"/>
    <m/>
    <n v="190"/>
    <n v="2023"/>
    <x v="7"/>
    <s v="购中推荐"/>
    <x v="0"/>
    <x v="0"/>
  </r>
  <r>
    <x v="0"/>
    <x v="15"/>
    <x v="1"/>
    <x v="4"/>
    <x v="16"/>
    <n v="978"/>
    <n v="509"/>
    <n v="13"/>
    <n v="6"/>
    <n v="8110"/>
    <n v="2"/>
    <n v="6430"/>
    <n v="1"/>
    <m/>
    <n v="819"/>
    <n v="2023"/>
    <x v="7"/>
    <s v="购后推荐"/>
    <x v="0"/>
    <x v="0"/>
  </r>
  <r>
    <x v="0"/>
    <x v="15"/>
    <x v="1"/>
    <x v="4"/>
    <x v="17"/>
    <n v="101048"/>
    <n v="90817"/>
    <n v="581"/>
    <n v="404"/>
    <n v="370059.5"/>
    <n v="67"/>
    <n v="231411.5"/>
    <n v="51"/>
    <m/>
    <n v="101048"/>
    <n v="2023"/>
    <x v="7"/>
    <s v="首页推荐-微详情"/>
    <x v="0"/>
    <x v="0"/>
  </r>
  <r>
    <x v="0"/>
    <x v="15"/>
    <x v="1"/>
    <x v="4"/>
    <x v="18"/>
    <n v="2589"/>
    <n v="1824"/>
    <n v="7"/>
    <n v="3"/>
    <n v="0"/>
    <n v="0"/>
    <n v="0"/>
    <n v="0"/>
    <m/>
    <n v="157"/>
    <n v="2023"/>
    <x v="7"/>
    <s v="首页推荐-直播"/>
    <x v="0"/>
    <x v="0"/>
  </r>
  <r>
    <x v="0"/>
    <x v="15"/>
    <x v="1"/>
    <x v="4"/>
    <x v="19"/>
    <n v="2832"/>
    <n v="2017"/>
    <n v="0"/>
    <n v="1"/>
    <n v="1988"/>
    <n v="1"/>
    <n v="1988"/>
    <n v="1"/>
    <m/>
    <n v="25"/>
    <n v="2023"/>
    <x v="7"/>
    <s v="首页推荐-短视频"/>
    <x v="0"/>
    <x v="0"/>
  </r>
  <r>
    <x v="0"/>
    <x v="15"/>
    <x v="1"/>
    <x v="12"/>
    <x v="42"/>
    <n v="41070"/>
    <n v="35730"/>
    <n v="1996"/>
    <n v="511"/>
    <n v="2702698.28"/>
    <n v="523"/>
    <n v="1964599.17"/>
    <n v="454"/>
    <m/>
    <n v="39041"/>
    <n v="2023"/>
    <x v="7"/>
    <s v="手淘搜索-商品及其他"/>
    <x v="0"/>
    <x v="0"/>
  </r>
  <r>
    <x v="0"/>
    <x v="15"/>
    <x v="1"/>
    <x v="12"/>
    <x v="43"/>
    <n v="465"/>
    <n v="301"/>
    <n v="5"/>
    <n v="4"/>
    <n v="13555"/>
    <n v="3"/>
    <n v="13555"/>
    <n v="3"/>
    <m/>
    <n v="392"/>
    <n v="2023"/>
    <x v="7"/>
    <s v="手淘搜索-直播"/>
    <x v="0"/>
    <x v="0"/>
  </r>
  <r>
    <x v="0"/>
    <x v="15"/>
    <x v="1"/>
    <x v="12"/>
    <x v="44"/>
    <n v="439"/>
    <n v="190"/>
    <n v="3"/>
    <n v="5"/>
    <n v="7110"/>
    <n v="2"/>
    <n v="7110"/>
    <n v="2"/>
    <m/>
    <n v="109"/>
    <n v="2023"/>
    <x v="7"/>
    <s v="手淘搜索-短视频"/>
    <x v="0"/>
    <x v="0"/>
  </r>
  <r>
    <x v="0"/>
    <x v="15"/>
    <x v="1"/>
    <x v="11"/>
    <x v="36"/>
    <n v="17"/>
    <n v="15"/>
    <n v="0"/>
    <n v="0"/>
    <n v="0"/>
    <n v="0"/>
    <n v="0"/>
    <n v="0"/>
    <m/>
    <n v="17"/>
    <n v="2023"/>
    <x v="7"/>
    <s v="淘特互动游戏"/>
    <x v="0"/>
    <x v="0"/>
  </r>
  <r>
    <x v="0"/>
    <x v="15"/>
    <x v="1"/>
    <x v="11"/>
    <x v="37"/>
    <n v="7"/>
    <n v="6"/>
    <n v="0"/>
    <n v="0"/>
    <n v="0"/>
    <n v="0"/>
    <n v="0"/>
    <n v="0"/>
    <m/>
    <n v="7"/>
    <n v="2023"/>
    <x v="7"/>
    <s v="淘特其他渠道"/>
    <x v="0"/>
    <x v="0"/>
  </r>
  <r>
    <x v="0"/>
    <x v="15"/>
    <x v="1"/>
    <x v="11"/>
    <x v="38"/>
    <n v="25"/>
    <n v="22"/>
    <n v="1"/>
    <n v="0"/>
    <n v="0"/>
    <n v="0"/>
    <n v="0"/>
    <n v="0"/>
    <m/>
    <n v="25"/>
    <n v="2023"/>
    <x v="7"/>
    <s v="淘特推荐"/>
    <x v="0"/>
    <x v="0"/>
  </r>
  <r>
    <x v="0"/>
    <x v="15"/>
    <x v="1"/>
    <x v="11"/>
    <x v="39"/>
    <n v="63"/>
    <n v="58"/>
    <n v="2"/>
    <n v="0"/>
    <n v="3496.5"/>
    <n v="1"/>
    <n v="0"/>
    <n v="0"/>
    <m/>
    <n v="63"/>
    <n v="2023"/>
    <x v="7"/>
    <s v="淘特搜索"/>
    <x v="0"/>
    <x v="0"/>
  </r>
  <r>
    <x v="0"/>
    <x v="15"/>
    <x v="1"/>
    <x v="11"/>
    <x v="40"/>
    <n v="4"/>
    <n v="2"/>
    <n v="0"/>
    <n v="0"/>
    <n v="0"/>
    <n v="0"/>
    <n v="0"/>
    <n v="0"/>
    <m/>
    <n v="4"/>
    <n v="2023"/>
    <x v="7"/>
    <s v="淘特自主访问"/>
    <x v="0"/>
    <x v="0"/>
  </r>
  <r>
    <x v="0"/>
    <x v="15"/>
    <x v="1"/>
    <x v="13"/>
    <x v="46"/>
    <n v="1"/>
    <n v="1"/>
    <n v="0"/>
    <n v="0"/>
    <n v="0"/>
    <n v="0"/>
    <n v="0"/>
    <n v="0"/>
    <m/>
    <n v="1"/>
    <n v="2023"/>
    <x v="7"/>
    <s v="飞猪其他"/>
    <x v="0"/>
    <x v="0"/>
  </r>
  <r>
    <x v="0"/>
    <x v="15"/>
    <x v="0"/>
    <x v="5"/>
    <x v="41"/>
    <n v="15703"/>
    <n v="14525"/>
    <n v="5"/>
    <n v="1"/>
    <n v="0"/>
    <n v="0"/>
    <n v="0"/>
    <n v="0"/>
    <m/>
    <n v="2332"/>
    <n v="2023"/>
    <x v="7"/>
    <s v="超级直播"/>
    <x v="0"/>
    <x v="0"/>
  </r>
  <r>
    <x v="0"/>
    <x v="15"/>
    <x v="0"/>
    <x v="5"/>
    <x v="20"/>
    <n v="7"/>
    <n v="5"/>
    <n v="0"/>
    <n v="0"/>
    <n v="0"/>
    <n v="0"/>
    <n v="0"/>
    <n v="0"/>
    <m/>
    <n v="4"/>
    <n v="2023"/>
    <x v="7"/>
    <s v="超级短视频"/>
    <x v="0"/>
    <x v="0"/>
  </r>
  <r>
    <x v="0"/>
    <x v="15"/>
    <x v="0"/>
    <x v="6"/>
    <x v="48"/>
    <n v="10482"/>
    <n v="9267"/>
    <n v="0"/>
    <n v="0"/>
    <n v="0"/>
    <n v="0"/>
    <n v="0"/>
    <n v="0"/>
    <m/>
    <n v="1909"/>
    <n v="2023"/>
    <x v="7"/>
    <s v="Showmax"/>
    <x v="0"/>
    <x v="0"/>
  </r>
  <r>
    <x v="0"/>
    <x v="15"/>
    <x v="0"/>
    <x v="6"/>
    <x v="30"/>
    <n v="19452"/>
    <n v="17385"/>
    <n v="0"/>
    <n v="0"/>
    <n v="0"/>
    <n v="0"/>
    <n v="0"/>
    <n v="0"/>
    <m/>
    <n v="4018"/>
    <n v="2023"/>
    <x v="7"/>
    <s v="品牌特秀"/>
    <x v="0"/>
    <x v="0"/>
  </r>
  <r>
    <x v="0"/>
    <x v="15"/>
    <x v="0"/>
    <x v="6"/>
    <x v="21"/>
    <n v="17514"/>
    <n v="15517"/>
    <n v="473"/>
    <n v="180"/>
    <n v="607304.43000000005"/>
    <n v="107"/>
    <n v="498119.43"/>
    <n v="97"/>
    <m/>
    <n v="8708"/>
    <n v="2023"/>
    <x v="7"/>
    <s v="品销宝-品牌专区"/>
    <x v="0"/>
    <x v="0"/>
  </r>
  <r>
    <x v="0"/>
    <x v="15"/>
    <x v="0"/>
    <x v="6"/>
    <x v="32"/>
    <n v="206"/>
    <m/>
    <m/>
    <m/>
    <m/>
    <m/>
    <m/>
    <m/>
    <m/>
    <m/>
    <n v="2023"/>
    <x v="7"/>
    <s v="超级互动城"/>
    <x v="0"/>
    <x v="0"/>
  </r>
  <r>
    <x v="0"/>
    <x v="15"/>
    <x v="0"/>
    <x v="6"/>
    <x v="49"/>
    <n v="1"/>
    <n v="0"/>
    <n v="0"/>
    <n v="0"/>
    <n v="0"/>
    <n v="0"/>
    <n v="0"/>
    <n v="0"/>
    <m/>
    <n v="1"/>
    <n v="2023"/>
    <x v="7"/>
    <s v="超级全域通"/>
    <x v="0"/>
    <x v="0"/>
  </r>
  <r>
    <x v="0"/>
    <x v="15"/>
    <x v="0"/>
    <x v="0"/>
    <x v="2"/>
    <n v="84027"/>
    <n v="75957"/>
    <n v="1468"/>
    <n v="595"/>
    <n v="2083394"/>
    <n v="397"/>
    <n v="1490320.5"/>
    <n v="339"/>
    <m/>
    <n v="83387"/>
    <n v="2023"/>
    <x v="7"/>
    <s v="直通车"/>
    <x v="0"/>
    <x v="0"/>
  </r>
  <r>
    <x v="0"/>
    <x v="15"/>
    <x v="0"/>
    <x v="0"/>
    <x v="0"/>
    <n v="41943"/>
    <n v="30598"/>
    <n v="1217"/>
    <n v="438"/>
    <n v="2643593.85"/>
    <n v="387"/>
    <n v="1954797.35"/>
    <n v="346"/>
    <m/>
    <n v="41884"/>
    <n v="2023"/>
    <x v="7"/>
    <s v="万相台"/>
    <x v="0"/>
    <x v="0"/>
  </r>
  <r>
    <x v="0"/>
    <x v="15"/>
    <x v="0"/>
    <x v="0"/>
    <x v="1"/>
    <n v="100810"/>
    <n v="81260"/>
    <n v="1143"/>
    <n v="950"/>
    <n v="771078.29"/>
    <n v="139"/>
    <n v="385321.67"/>
    <n v="93"/>
    <m/>
    <n v="100769"/>
    <n v="2023"/>
    <x v="7"/>
    <s v="引力魔方"/>
    <x v="0"/>
    <x v="0"/>
  </r>
  <r>
    <x v="0"/>
    <x v="15"/>
    <x v="0"/>
    <x v="7"/>
    <x v="22"/>
    <n v="4"/>
    <n v="3"/>
    <n v="0"/>
    <n v="0"/>
    <n v="0"/>
    <n v="0"/>
    <n v="0"/>
    <n v="0"/>
    <m/>
    <n v="2"/>
    <n v="2023"/>
    <x v="7"/>
    <s v="UD效果投放"/>
    <x v="0"/>
    <x v="0"/>
  </r>
  <r>
    <x v="0"/>
    <x v="15"/>
    <x v="0"/>
    <x v="7"/>
    <x v="23"/>
    <n v="167"/>
    <n v="137"/>
    <n v="3"/>
    <n v="4"/>
    <n v="0"/>
    <n v="0"/>
    <n v="0"/>
    <n v="0"/>
    <m/>
    <n v="86"/>
    <n v="2023"/>
    <x v="7"/>
    <s v="流量宝"/>
    <x v="0"/>
    <x v="0"/>
  </r>
  <r>
    <x v="0"/>
    <x v="15"/>
    <x v="0"/>
    <x v="7"/>
    <x v="24"/>
    <n v="12248"/>
    <n v="10583"/>
    <n v="70"/>
    <n v="37"/>
    <n v="194334"/>
    <n v="40"/>
    <n v="180714"/>
    <n v="36"/>
    <m/>
    <n v="12011"/>
    <n v="2023"/>
    <x v="7"/>
    <s v="淘宝客"/>
    <x v="0"/>
    <x v="0"/>
  </r>
  <r>
    <x v="0"/>
    <x v="16"/>
    <x v="1"/>
    <x v="8"/>
    <x v="25"/>
    <n v="1251"/>
    <n v="587"/>
    <n v="59"/>
    <n v="15"/>
    <n v="66229"/>
    <n v="16"/>
    <n v="41925"/>
    <n v="12"/>
    <n v="148"/>
    <n v="1217"/>
    <n v="2024"/>
    <x v="8"/>
    <s v="主会场"/>
    <x v="1"/>
    <x v="0"/>
  </r>
  <r>
    <x v="0"/>
    <x v="16"/>
    <x v="1"/>
    <x v="1"/>
    <x v="3"/>
    <n v="55"/>
    <n v="49"/>
    <n v="4"/>
    <n v="2"/>
    <n v="0"/>
    <n v="0"/>
    <n v="0"/>
    <n v="0"/>
    <n v="6"/>
    <n v="55"/>
    <n v="2024"/>
    <x v="8"/>
    <s v="其他入口榜单"/>
    <x v="1"/>
    <x v="0"/>
  </r>
  <r>
    <x v="0"/>
    <x v="16"/>
    <x v="1"/>
    <x v="1"/>
    <x v="35"/>
    <n v="1"/>
    <n v="1"/>
    <n v="0"/>
    <n v="0"/>
    <n v="0"/>
    <n v="0"/>
    <n v="0"/>
    <n v="0"/>
    <n v="0"/>
    <n v="1"/>
    <n v="2024"/>
    <x v="8"/>
    <s v="搜索入口榜单"/>
    <x v="1"/>
    <x v="0"/>
  </r>
  <r>
    <x v="0"/>
    <x v="16"/>
    <x v="1"/>
    <x v="3"/>
    <x v="11"/>
    <n v="2877"/>
    <n v="1490"/>
    <n v="158"/>
    <n v="69"/>
    <n v="229617.11"/>
    <n v="38"/>
    <n v="155639.60999999999"/>
    <n v="31"/>
    <n v="641"/>
    <n v="2812"/>
    <n v="2024"/>
    <x v="8"/>
    <s v="商品详情页头图推荐"/>
    <x v="1"/>
    <x v="0"/>
  </r>
  <r>
    <x v="0"/>
    <x v="16"/>
    <x v="1"/>
    <x v="3"/>
    <x v="12"/>
    <n v="967"/>
    <n v="621"/>
    <n v="45"/>
    <n v="13"/>
    <n v="86166"/>
    <n v="17"/>
    <n v="86166"/>
    <n v="17"/>
    <n v="846"/>
    <n v="452"/>
    <n v="2024"/>
    <x v="8"/>
    <s v="店铺超链"/>
    <x v="1"/>
    <x v="0"/>
  </r>
  <r>
    <x v="0"/>
    <x v="16"/>
    <x v="1"/>
    <x v="4"/>
    <x v="13"/>
    <n v="5601"/>
    <n v="3701"/>
    <n v="89"/>
    <n v="45"/>
    <n v="142392"/>
    <n v="26"/>
    <n v="98174.5"/>
    <n v="20"/>
    <n v="776"/>
    <n v="3560"/>
    <n v="2024"/>
    <x v="8"/>
    <s v="其他猜你喜欢"/>
    <x v="1"/>
    <x v="0"/>
  </r>
  <r>
    <x v="0"/>
    <x v="16"/>
    <x v="1"/>
    <x v="4"/>
    <x v="15"/>
    <n v="874"/>
    <n v="628"/>
    <n v="6"/>
    <n v="2"/>
    <n v="3400"/>
    <n v="1"/>
    <n v="3400"/>
    <n v="1"/>
    <n v="33"/>
    <n v="323"/>
    <n v="2024"/>
    <x v="8"/>
    <s v="购中推荐"/>
    <x v="1"/>
    <x v="0"/>
  </r>
  <r>
    <x v="0"/>
    <x v="16"/>
    <x v="1"/>
    <x v="4"/>
    <x v="16"/>
    <n v="4962"/>
    <n v="3932"/>
    <n v="21"/>
    <n v="15"/>
    <n v="27500"/>
    <n v="1"/>
    <n v="27500"/>
    <n v="1"/>
    <n v="94"/>
    <n v="1590"/>
    <n v="2024"/>
    <x v="8"/>
    <s v="购后推荐"/>
    <x v="1"/>
    <x v="0"/>
  </r>
  <r>
    <x v="0"/>
    <x v="16"/>
    <x v="1"/>
    <x v="4"/>
    <x v="17"/>
    <n v="54889"/>
    <n v="46562"/>
    <n v="667"/>
    <n v="297"/>
    <n v="763219.28"/>
    <n v="113"/>
    <n v="494882.78"/>
    <n v="90"/>
    <n v="2648"/>
    <n v="54889"/>
    <n v="2024"/>
    <x v="8"/>
    <s v="首页推荐-微详情"/>
    <x v="1"/>
    <x v="0"/>
  </r>
  <r>
    <x v="0"/>
    <x v="16"/>
    <x v="1"/>
    <x v="4"/>
    <x v="18"/>
    <n v="1080"/>
    <n v="564"/>
    <n v="9"/>
    <n v="5"/>
    <n v="21537"/>
    <n v="4"/>
    <n v="10240"/>
    <n v="2"/>
    <n v="23"/>
    <n v="258"/>
    <n v="2024"/>
    <x v="8"/>
    <s v="首页推荐-直播"/>
    <x v="1"/>
    <x v="0"/>
  </r>
  <r>
    <x v="0"/>
    <x v="16"/>
    <x v="1"/>
    <x v="4"/>
    <x v="19"/>
    <n v="34753"/>
    <n v="30497"/>
    <n v="49"/>
    <n v="20"/>
    <n v="66882"/>
    <n v="10"/>
    <n v="47932"/>
    <n v="8"/>
    <n v="187"/>
    <n v="1354"/>
    <n v="2024"/>
    <x v="8"/>
    <s v="首页推荐-短视频"/>
    <x v="1"/>
    <x v="0"/>
  </r>
  <r>
    <x v="0"/>
    <x v="16"/>
    <x v="1"/>
    <x v="12"/>
    <x v="42"/>
    <n v="21303"/>
    <n v="18411"/>
    <n v="727"/>
    <n v="223"/>
    <n v="927238.86"/>
    <n v="167"/>
    <n v="659053.86"/>
    <n v="141"/>
    <n v="7935"/>
    <n v="17802"/>
    <n v="2024"/>
    <x v="8"/>
    <s v="手淘搜索-商品及其他"/>
    <x v="1"/>
    <x v="0"/>
  </r>
  <r>
    <x v="0"/>
    <x v="16"/>
    <x v="1"/>
    <x v="12"/>
    <x v="43"/>
    <n v="56"/>
    <n v="28"/>
    <n v="2"/>
    <n v="0"/>
    <n v="1857"/>
    <n v="1"/>
    <n v="1857"/>
    <n v="1"/>
    <n v="6"/>
    <n v="48"/>
    <n v="2024"/>
    <x v="8"/>
    <s v="手淘搜索-直播"/>
    <x v="1"/>
    <x v="0"/>
  </r>
  <r>
    <x v="0"/>
    <x v="16"/>
    <x v="1"/>
    <x v="12"/>
    <x v="44"/>
    <n v="1848"/>
    <n v="1379"/>
    <n v="45"/>
    <n v="12"/>
    <n v="120085"/>
    <n v="26"/>
    <n v="101575"/>
    <n v="23"/>
    <n v="129"/>
    <n v="1629"/>
    <n v="2024"/>
    <x v="8"/>
    <s v="手淘搜索-短视频"/>
    <x v="1"/>
    <x v="0"/>
  </r>
  <r>
    <x v="0"/>
    <x v="16"/>
    <x v="1"/>
    <x v="11"/>
    <x v="37"/>
    <n v="171"/>
    <n v="156"/>
    <n v="2"/>
    <n v="1"/>
    <n v="0"/>
    <n v="0"/>
    <n v="0"/>
    <n v="0"/>
    <n v="4"/>
    <n v="169"/>
    <n v="2024"/>
    <x v="8"/>
    <s v="淘特其他渠道"/>
    <x v="1"/>
    <x v="0"/>
  </r>
  <r>
    <x v="0"/>
    <x v="16"/>
    <x v="1"/>
    <x v="11"/>
    <x v="39"/>
    <n v="737"/>
    <n v="730"/>
    <n v="3"/>
    <n v="2"/>
    <n v="12200"/>
    <n v="2"/>
    <n v="0"/>
    <n v="0"/>
    <n v="0"/>
    <n v="737"/>
    <n v="2024"/>
    <x v="8"/>
    <s v="淘特搜索"/>
    <x v="1"/>
    <x v="0"/>
  </r>
  <r>
    <x v="0"/>
    <x v="16"/>
    <x v="1"/>
    <x v="11"/>
    <x v="40"/>
    <n v="5"/>
    <n v="5"/>
    <n v="0"/>
    <n v="0"/>
    <n v="0"/>
    <n v="0"/>
    <n v="0"/>
    <n v="0"/>
    <n v="0"/>
    <n v="5"/>
    <n v="2024"/>
    <x v="8"/>
    <s v="淘特自主访问"/>
    <x v="1"/>
    <x v="0"/>
  </r>
  <r>
    <x v="0"/>
    <x v="16"/>
    <x v="0"/>
    <x v="5"/>
    <x v="41"/>
    <n v="5334"/>
    <n v="4569"/>
    <n v="49"/>
    <n v="4"/>
    <n v="0"/>
    <n v="0"/>
    <n v="0"/>
    <n v="0"/>
    <n v="179"/>
    <n v="1804"/>
    <n v="2024"/>
    <x v="8"/>
    <s v="超级直播"/>
    <x v="1"/>
    <x v="0"/>
  </r>
  <r>
    <x v="0"/>
    <x v="16"/>
    <x v="0"/>
    <x v="5"/>
    <x v="20"/>
    <n v="13986"/>
    <n v="12263"/>
    <n v="60"/>
    <n v="166"/>
    <n v="0"/>
    <n v="0"/>
    <n v="0"/>
    <n v="0"/>
    <n v="179"/>
    <n v="10945"/>
    <n v="2024"/>
    <x v="8"/>
    <s v="超级短视频"/>
    <x v="1"/>
    <x v="0"/>
  </r>
  <r>
    <x v="0"/>
    <x v="16"/>
    <x v="0"/>
    <x v="6"/>
    <x v="30"/>
    <n v="1"/>
    <n v="1"/>
    <n v="0"/>
    <n v="0"/>
    <n v="0"/>
    <n v="0"/>
    <n v="0"/>
    <n v="0"/>
    <n v="1"/>
    <n v="0"/>
    <n v="2024"/>
    <x v="8"/>
    <s v="品牌特秀"/>
    <x v="1"/>
    <x v="0"/>
  </r>
  <r>
    <x v="0"/>
    <x v="16"/>
    <x v="0"/>
    <x v="6"/>
    <x v="21"/>
    <n v="19739"/>
    <n v="18328"/>
    <n v="415"/>
    <n v="146"/>
    <n v="763167"/>
    <n v="95"/>
    <n v="500637"/>
    <n v="80"/>
    <n v="19739"/>
    <n v="10281"/>
    <n v="2024"/>
    <x v="8"/>
    <s v="品销宝-品牌专区"/>
    <x v="1"/>
    <x v="0"/>
  </r>
  <r>
    <x v="0"/>
    <x v="16"/>
    <x v="0"/>
    <x v="6"/>
    <x v="49"/>
    <n v="2"/>
    <n v="1"/>
    <n v="0"/>
    <n v="0"/>
    <n v="0"/>
    <n v="0"/>
    <n v="0"/>
    <n v="0"/>
    <n v="0"/>
    <n v="2"/>
    <n v="2024"/>
    <x v="8"/>
    <s v="超级全域通"/>
    <x v="1"/>
    <x v="0"/>
  </r>
  <r>
    <x v="0"/>
    <x v="16"/>
    <x v="0"/>
    <x v="0"/>
    <x v="1"/>
    <n v="51362"/>
    <n v="41323"/>
    <n v="1027"/>
    <n v="742"/>
    <n v="762480.65"/>
    <n v="108"/>
    <n v="413338.65"/>
    <n v="74"/>
    <n v="4861"/>
    <n v="51347"/>
    <n v="2024"/>
    <x v="8"/>
    <s v="引力魔方"/>
    <x v="1"/>
    <x v="0"/>
  </r>
  <r>
    <x v="0"/>
    <x v="16"/>
    <x v="0"/>
    <x v="0"/>
    <x v="2"/>
    <n v="90026"/>
    <n v="84777"/>
    <n v="948"/>
    <n v="576"/>
    <n v="1485254.5"/>
    <n v="163"/>
    <n v="543609.5"/>
    <n v="105"/>
    <n v="7059"/>
    <n v="89290"/>
    <n v="2024"/>
    <x v="8"/>
    <s v="直通车"/>
    <x v="1"/>
    <x v="0"/>
  </r>
  <r>
    <x v="0"/>
    <x v="16"/>
    <x v="0"/>
    <x v="0"/>
    <x v="0"/>
    <n v="65599"/>
    <n v="57843"/>
    <n v="1163"/>
    <n v="889"/>
    <n v="1748936.82"/>
    <n v="231"/>
    <n v="1064223.82"/>
    <n v="173"/>
    <n v="4421"/>
    <n v="65339"/>
    <n v="2024"/>
    <x v="8"/>
    <s v="万相台"/>
    <x v="1"/>
    <x v="0"/>
  </r>
  <r>
    <x v="0"/>
    <x v="16"/>
    <x v="0"/>
    <x v="7"/>
    <x v="22"/>
    <n v="1"/>
    <n v="1"/>
    <n v="0"/>
    <n v="0"/>
    <n v="0"/>
    <n v="0"/>
    <n v="0"/>
    <n v="0"/>
    <n v="0"/>
    <n v="1"/>
    <n v="2024"/>
    <x v="8"/>
    <s v="UD效果投放"/>
    <x v="1"/>
    <x v="0"/>
  </r>
  <r>
    <x v="0"/>
    <x v="16"/>
    <x v="0"/>
    <x v="7"/>
    <x v="23"/>
    <n v="51"/>
    <n v="28"/>
    <n v="0"/>
    <n v="0"/>
    <n v="0"/>
    <n v="0"/>
    <n v="0"/>
    <n v="0"/>
    <n v="11"/>
    <n v="45"/>
    <n v="2024"/>
    <x v="8"/>
    <s v="流量宝"/>
    <x v="1"/>
    <x v="0"/>
  </r>
  <r>
    <x v="0"/>
    <x v="16"/>
    <x v="0"/>
    <x v="7"/>
    <x v="24"/>
    <n v="3493"/>
    <n v="1997"/>
    <n v="62"/>
    <n v="9"/>
    <n v="250576.03"/>
    <n v="44"/>
    <n v="231421.03"/>
    <n v="43"/>
    <n v="245"/>
    <n v="3433"/>
    <n v="2024"/>
    <x v="8"/>
    <s v="淘宝客"/>
    <x v="1"/>
    <x v="0"/>
  </r>
  <r>
    <x v="0"/>
    <x v="17"/>
    <x v="1"/>
    <x v="8"/>
    <x v="25"/>
    <n v="695"/>
    <n v="313"/>
    <n v="33"/>
    <n v="8"/>
    <n v="23470"/>
    <n v="5"/>
    <n v="23470"/>
    <n v="5"/>
    <m/>
    <n v="692"/>
    <n v="2023"/>
    <x v="8"/>
    <s v="主会场"/>
    <x v="0"/>
    <x v="0"/>
  </r>
  <r>
    <x v="0"/>
    <x v="17"/>
    <x v="1"/>
    <x v="8"/>
    <x v="26"/>
    <n v="14"/>
    <n v="13"/>
    <n v="0"/>
    <n v="0"/>
    <n v="0"/>
    <n v="0"/>
    <n v="0"/>
    <n v="0"/>
    <m/>
    <n v="14"/>
    <n v="2023"/>
    <x v="8"/>
    <s v="榜单会场"/>
    <x v="0"/>
    <x v="0"/>
  </r>
  <r>
    <x v="0"/>
    <x v="17"/>
    <x v="1"/>
    <x v="1"/>
    <x v="3"/>
    <n v="31"/>
    <n v="30"/>
    <n v="0"/>
    <n v="0"/>
    <n v="0"/>
    <n v="0"/>
    <n v="0"/>
    <n v="0"/>
    <m/>
    <n v="31"/>
    <n v="2023"/>
    <x v="8"/>
    <s v="其他入口榜单"/>
    <x v="0"/>
    <x v="0"/>
  </r>
  <r>
    <x v="0"/>
    <x v="17"/>
    <x v="1"/>
    <x v="1"/>
    <x v="28"/>
    <n v="47"/>
    <n v="43"/>
    <n v="0"/>
    <n v="0"/>
    <n v="0"/>
    <n v="0"/>
    <n v="0"/>
    <n v="0"/>
    <m/>
    <n v="47"/>
    <n v="2023"/>
    <x v="8"/>
    <s v="商品详情页入口榜单"/>
    <x v="0"/>
    <x v="0"/>
  </r>
  <r>
    <x v="0"/>
    <x v="17"/>
    <x v="1"/>
    <x v="1"/>
    <x v="35"/>
    <n v="27"/>
    <n v="26"/>
    <n v="1"/>
    <n v="0"/>
    <n v="0"/>
    <n v="0"/>
    <n v="0"/>
    <n v="0"/>
    <m/>
    <n v="27"/>
    <n v="2023"/>
    <x v="8"/>
    <s v="搜索入口榜单"/>
    <x v="0"/>
    <x v="0"/>
  </r>
  <r>
    <x v="0"/>
    <x v="17"/>
    <x v="1"/>
    <x v="2"/>
    <x v="4"/>
    <n v="99"/>
    <n v="93"/>
    <n v="0"/>
    <n v="0"/>
    <n v="0"/>
    <n v="0"/>
    <n v="0"/>
    <n v="0"/>
    <m/>
    <n v="26"/>
    <n v="2023"/>
    <x v="8"/>
    <s v="手机浏览器访问天猫"/>
    <x v="0"/>
    <x v="0"/>
  </r>
  <r>
    <x v="0"/>
    <x v="17"/>
    <x v="1"/>
    <x v="2"/>
    <x v="5"/>
    <n v="1410"/>
    <n v="963"/>
    <n v="30"/>
    <n v="0"/>
    <n v="241930"/>
    <n v="35"/>
    <n v="232782"/>
    <n v="34"/>
    <m/>
    <n v="1384"/>
    <n v="2023"/>
    <x v="8"/>
    <s v="手猫免费其他"/>
    <x v="0"/>
    <x v="0"/>
  </r>
  <r>
    <x v="0"/>
    <x v="17"/>
    <x v="1"/>
    <x v="2"/>
    <x v="6"/>
    <n v="207"/>
    <n v="127"/>
    <n v="8"/>
    <n v="1"/>
    <n v="53581"/>
    <n v="10"/>
    <n v="49458"/>
    <n v="9"/>
    <m/>
    <n v="207"/>
    <n v="2023"/>
    <x v="8"/>
    <s v="手猫其他店铺"/>
    <x v="0"/>
    <x v="0"/>
  </r>
  <r>
    <x v="0"/>
    <x v="17"/>
    <x v="1"/>
    <x v="2"/>
    <x v="7"/>
    <n v="950"/>
    <n v="611"/>
    <n v="7"/>
    <n v="0"/>
    <n v="118514"/>
    <n v="22"/>
    <n v="105977.5"/>
    <n v="21"/>
    <m/>
    <n v="916"/>
    <n v="2023"/>
    <x v="8"/>
    <s v="手猫商品详情"/>
    <x v="0"/>
    <x v="0"/>
  </r>
  <r>
    <x v="0"/>
    <x v="17"/>
    <x v="1"/>
    <x v="2"/>
    <x v="8"/>
    <n v="1358"/>
    <n v="1086"/>
    <n v="12"/>
    <n v="1"/>
    <n v="116165"/>
    <n v="17"/>
    <n v="65537"/>
    <n v="15"/>
    <m/>
    <n v="1097"/>
    <n v="2023"/>
    <x v="8"/>
    <s v="手猫搜索"/>
    <x v="0"/>
    <x v="0"/>
  </r>
  <r>
    <x v="0"/>
    <x v="17"/>
    <x v="1"/>
    <x v="2"/>
    <x v="9"/>
    <n v="34"/>
    <n v="14"/>
    <n v="2"/>
    <n v="0"/>
    <n v="30995"/>
    <n v="8"/>
    <n v="27515"/>
    <n v="8"/>
    <m/>
    <n v="33"/>
    <n v="2023"/>
    <x v="8"/>
    <s v="手猫旺信聊天"/>
    <x v="0"/>
    <x v="0"/>
  </r>
  <r>
    <x v="0"/>
    <x v="17"/>
    <x v="1"/>
    <x v="2"/>
    <x v="29"/>
    <n v="2"/>
    <n v="1"/>
    <n v="0"/>
    <n v="0"/>
    <n v="0"/>
    <n v="0"/>
    <n v="0"/>
    <n v="0"/>
    <m/>
    <n v="2"/>
    <n v="2023"/>
    <x v="8"/>
    <s v="手猫消息中心"/>
    <x v="0"/>
    <x v="0"/>
  </r>
  <r>
    <x v="0"/>
    <x v="17"/>
    <x v="1"/>
    <x v="2"/>
    <x v="10"/>
    <n v="6780"/>
    <n v="5743"/>
    <n v="23"/>
    <n v="0"/>
    <n v="70625.5"/>
    <n v="16"/>
    <n v="40216.5"/>
    <n v="15"/>
    <m/>
    <n v="6780"/>
    <n v="2023"/>
    <x v="8"/>
    <s v="手猫首页"/>
    <x v="0"/>
    <x v="0"/>
  </r>
  <r>
    <x v="0"/>
    <x v="17"/>
    <x v="1"/>
    <x v="3"/>
    <x v="11"/>
    <n v="2475"/>
    <n v="1382"/>
    <n v="90"/>
    <n v="44"/>
    <n v="111925"/>
    <n v="22"/>
    <n v="96605"/>
    <n v="19"/>
    <m/>
    <n v="2353"/>
    <n v="2023"/>
    <x v="8"/>
    <s v="商品详情页头图推荐"/>
    <x v="0"/>
    <x v="0"/>
  </r>
  <r>
    <x v="0"/>
    <x v="17"/>
    <x v="1"/>
    <x v="3"/>
    <x v="12"/>
    <n v="799"/>
    <n v="515"/>
    <n v="17"/>
    <n v="10"/>
    <n v="49423"/>
    <n v="6"/>
    <n v="46868"/>
    <n v="6"/>
    <m/>
    <n v="280"/>
    <n v="2023"/>
    <x v="8"/>
    <s v="店铺超链"/>
    <x v="0"/>
    <x v="0"/>
  </r>
  <r>
    <x v="0"/>
    <x v="17"/>
    <x v="1"/>
    <x v="4"/>
    <x v="13"/>
    <n v="4088"/>
    <n v="2738"/>
    <n v="61"/>
    <n v="45"/>
    <n v="248068"/>
    <n v="29"/>
    <n v="172058"/>
    <n v="25"/>
    <m/>
    <n v="2484"/>
    <n v="2023"/>
    <x v="8"/>
    <s v="其他猜你喜欢"/>
    <x v="0"/>
    <x v="0"/>
  </r>
  <r>
    <x v="0"/>
    <x v="17"/>
    <x v="1"/>
    <x v="4"/>
    <x v="14"/>
    <n v="17"/>
    <n v="12"/>
    <n v="0"/>
    <n v="0"/>
    <n v="0"/>
    <n v="0"/>
    <n v="0"/>
    <n v="0"/>
    <m/>
    <n v="17"/>
    <n v="2023"/>
    <x v="8"/>
    <s v="推荐云主题"/>
    <x v="0"/>
    <x v="0"/>
  </r>
  <r>
    <x v="0"/>
    <x v="17"/>
    <x v="1"/>
    <x v="4"/>
    <x v="15"/>
    <n v="156"/>
    <n v="81"/>
    <n v="3"/>
    <n v="0"/>
    <n v="0"/>
    <n v="0"/>
    <n v="0"/>
    <n v="0"/>
    <m/>
    <n v="127"/>
    <n v="2023"/>
    <x v="8"/>
    <s v="购中推荐"/>
    <x v="0"/>
    <x v="0"/>
  </r>
  <r>
    <x v="0"/>
    <x v="17"/>
    <x v="1"/>
    <x v="4"/>
    <x v="16"/>
    <n v="666"/>
    <n v="408"/>
    <n v="8"/>
    <n v="1"/>
    <n v="6340"/>
    <n v="2"/>
    <n v="4660"/>
    <n v="2"/>
    <m/>
    <n v="566"/>
    <n v="2023"/>
    <x v="8"/>
    <s v="购后推荐"/>
    <x v="0"/>
    <x v="0"/>
  </r>
  <r>
    <x v="0"/>
    <x v="17"/>
    <x v="1"/>
    <x v="4"/>
    <x v="17"/>
    <n v="67257"/>
    <n v="60532"/>
    <n v="541"/>
    <n v="320"/>
    <n v="198018"/>
    <n v="36"/>
    <n v="136438"/>
    <n v="29"/>
    <m/>
    <n v="67257"/>
    <n v="2023"/>
    <x v="8"/>
    <s v="首页推荐-微详情"/>
    <x v="0"/>
    <x v="0"/>
  </r>
  <r>
    <x v="0"/>
    <x v="17"/>
    <x v="1"/>
    <x v="4"/>
    <x v="18"/>
    <n v="2863"/>
    <n v="2567"/>
    <n v="2"/>
    <n v="0"/>
    <n v="1680"/>
    <n v="1"/>
    <n v="1680"/>
    <n v="1"/>
    <m/>
    <n v="133"/>
    <n v="2023"/>
    <x v="8"/>
    <s v="首页推荐-直播"/>
    <x v="0"/>
    <x v="0"/>
  </r>
  <r>
    <x v="0"/>
    <x v="17"/>
    <x v="1"/>
    <x v="4"/>
    <x v="19"/>
    <n v="1494"/>
    <n v="943"/>
    <n v="0"/>
    <n v="1"/>
    <n v="0"/>
    <n v="0"/>
    <n v="0"/>
    <n v="0"/>
    <m/>
    <n v="13"/>
    <n v="2023"/>
    <x v="8"/>
    <s v="首页推荐-短视频"/>
    <x v="0"/>
    <x v="0"/>
  </r>
  <r>
    <x v="0"/>
    <x v="17"/>
    <x v="1"/>
    <x v="12"/>
    <x v="42"/>
    <n v="14966"/>
    <n v="12729"/>
    <n v="524"/>
    <n v="187"/>
    <n v="698789"/>
    <n v="110"/>
    <n v="479651.5"/>
    <n v="94"/>
    <m/>
    <n v="13423"/>
    <n v="2023"/>
    <x v="8"/>
    <s v="手淘搜索-商品及其他"/>
    <x v="0"/>
    <x v="0"/>
  </r>
  <r>
    <x v="0"/>
    <x v="17"/>
    <x v="1"/>
    <x v="12"/>
    <x v="43"/>
    <n v="289"/>
    <n v="208"/>
    <n v="6"/>
    <n v="1"/>
    <n v="22796"/>
    <n v="4"/>
    <n v="15836"/>
    <n v="4"/>
    <m/>
    <n v="217"/>
    <n v="2023"/>
    <x v="8"/>
    <s v="手淘搜索-直播"/>
    <x v="0"/>
    <x v="0"/>
  </r>
  <r>
    <x v="0"/>
    <x v="17"/>
    <x v="1"/>
    <x v="12"/>
    <x v="44"/>
    <n v="353"/>
    <n v="194"/>
    <n v="9"/>
    <n v="3"/>
    <n v="10660"/>
    <n v="2"/>
    <n v="10660"/>
    <n v="2"/>
    <m/>
    <n v="87"/>
    <n v="2023"/>
    <x v="8"/>
    <s v="手淘搜索-短视频"/>
    <x v="0"/>
    <x v="0"/>
  </r>
  <r>
    <x v="0"/>
    <x v="17"/>
    <x v="1"/>
    <x v="11"/>
    <x v="36"/>
    <n v="17"/>
    <n v="12"/>
    <n v="1"/>
    <n v="0"/>
    <n v="0"/>
    <n v="0"/>
    <n v="0"/>
    <n v="0"/>
    <m/>
    <n v="17"/>
    <n v="2023"/>
    <x v="8"/>
    <s v="淘特互动游戏"/>
    <x v="0"/>
    <x v="0"/>
  </r>
  <r>
    <x v="0"/>
    <x v="17"/>
    <x v="1"/>
    <x v="11"/>
    <x v="37"/>
    <n v="54"/>
    <n v="48"/>
    <n v="0"/>
    <n v="0"/>
    <n v="0"/>
    <n v="0"/>
    <n v="0"/>
    <n v="0"/>
    <m/>
    <n v="53"/>
    <n v="2023"/>
    <x v="8"/>
    <s v="淘特其他渠道"/>
    <x v="0"/>
    <x v="0"/>
  </r>
  <r>
    <x v="0"/>
    <x v="17"/>
    <x v="1"/>
    <x v="11"/>
    <x v="38"/>
    <n v="57"/>
    <n v="49"/>
    <n v="0"/>
    <n v="0"/>
    <n v="0"/>
    <n v="0"/>
    <n v="0"/>
    <n v="0"/>
    <m/>
    <n v="57"/>
    <n v="2023"/>
    <x v="8"/>
    <s v="淘特推荐"/>
    <x v="0"/>
    <x v="0"/>
  </r>
  <r>
    <x v="0"/>
    <x v="17"/>
    <x v="1"/>
    <x v="11"/>
    <x v="39"/>
    <n v="70"/>
    <n v="61"/>
    <n v="1"/>
    <n v="0"/>
    <n v="0"/>
    <n v="0"/>
    <n v="0"/>
    <n v="0"/>
    <m/>
    <n v="70"/>
    <n v="2023"/>
    <x v="8"/>
    <s v="淘特搜索"/>
    <x v="0"/>
    <x v="0"/>
  </r>
  <r>
    <x v="0"/>
    <x v="17"/>
    <x v="1"/>
    <x v="11"/>
    <x v="40"/>
    <n v="4"/>
    <n v="4"/>
    <n v="0"/>
    <n v="0"/>
    <n v="0"/>
    <n v="0"/>
    <n v="0"/>
    <n v="0"/>
    <m/>
    <n v="4"/>
    <n v="2023"/>
    <x v="8"/>
    <s v="淘特自主访问"/>
    <x v="0"/>
    <x v="0"/>
  </r>
  <r>
    <x v="0"/>
    <x v="17"/>
    <x v="0"/>
    <x v="5"/>
    <x v="41"/>
    <n v="23224"/>
    <n v="19486"/>
    <n v="4"/>
    <n v="6"/>
    <n v="0"/>
    <n v="0"/>
    <n v="0"/>
    <n v="0"/>
    <m/>
    <n v="3328"/>
    <n v="2023"/>
    <x v="8"/>
    <s v="超级直播"/>
    <x v="0"/>
    <x v="0"/>
  </r>
  <r>
    <x v="0"/>
    <x v="17"/>
    <x v="0"/>
    <x v="5"/>
    <x v="20"/>
    <n v="3"/>
    <n v="1"/>
    <n v="0"/>
    <n v="0"/>
    <n v="0"/>
    <n v="0"/>
    <n v="0"/>
    <n v="0"/>
    <m/>
    <n v="0"/>
    <n v="2023"/>
    <x v="8"/>
    <s v="超级短视频"/>
    <x v="0"/>
    <x v="0"/>
  </r>
  <r>
    <x v="0"/>
    <x v="17"/>
    <x v="0"/>
    <x v="6"/>
    <x v="48"/>
    <n v="72141"/>
    <n v="68388"/>
    <n v="0"/>
    <n v="0"/>
    <n v="0"/>
    <n v="0"/>
    <n v="0"/>
    <n v="0"/>
    <m/>
    <n v="10616"/>
    <n v="2023"/>
    <x v="8"/>
    <s v="Showmax"/>
    <x v="0"/>
    <x v="0"/>
  </r>
  <r>
    <x v="0"/>
    <x v="17"/>
    <x v="0"/>
    <x v="6"/>
    <x v="45"/>
    <n v="3"/>
    <n v="2"/>
    <n v="0"/>
    <n v="0"/>
    <n v="0"/>
    <n v="0"/>
    <n v="0"/>
    <n v="0"/>
    <m/>
    <n v="1"/>
    <n v="2023"/>
    <x v="8"/>
    <s v="品牌定制"/>
    <x v="0"/>
    <x v="0"/>
  </r>
  <r>
    <x v="0"/>
    <x v="17"/>
    <x v="0"/>
    <x v="6"/>
    <x v="30"/>
    <n v="1"/>
    <n v="1"/>
    <n v="0"/>
    <n v="0"/>
    <n v="0"/>
    <n v="0"/>
    <n v="0"/>
    <n v="0"/>
    <m/>
    <n v="0"/>
    <n v="2023"/>
    <x v="8"/>
    <s v="品牌特秀"/>
    <x v="0"/>
    <x v="0"/>
  </r>
  <r>
    <x v="0"/>
    <x v="17"/>
    <x v="0"/>
    <x v="6"/>
    <x v="21"/>
    <n v="16272"/>
    <n v="14634"/>
    <n v="418"/>
    <n v="157"/>
    <n v="672882.5"/>
    <n v="89"/>
    <n v="462042.5"/>
    <n v="76"/>
    <m/>
    <n v="8084"/>
    <n v="2023"/>
    <x v="8"/>
    <s v="品销宝-品牌专区"/>
    <x v="0"/>
    <x v="0"/>
  </r>
  <r>
    <x v="0"/>
    <x v="17"/>
    <x v="0"/>
    <x v="6"/>
    <x v="32"/>
    <n v="1"/>
    <m/>
    <m/>
    <m/>
    <m/>
    <m/>
    <m/>
    <m/>
    <m/>
    <m/>
    <n v="2023"/>
    <x v="8"/>
    <s v="超级互动城"/>
    <x v="0"/>
    <x v="0"/>
  </r>
  <r>
    <x v="0"/>
    <x v="17"/>
    <x v="0"/>
    <x v="0"/>
    <x v="2"/>
    <n v="45090"/>
    <n v="40420"/>
    <n v="603"/>
    <n v="381"/>
    <n v="807036.68"/>
    <n v="126"/>
    <n v="477622.18"/>
    <n v="97"/>
    <m/>
    <n v="44684"/>
    <n v="2023"/>
    <x v="8"/>
    <s v="直通车"/>
    <x v="0"/>
    <x v="0"/>
  </r>
  <r>
    <x v="0"/>
    <x v="17"/>
    <x v="0"/>
    <x v="0"/>
    <x v="0"/>
    <n v="34154"/>
    <n v="27691"/>
    <n v="531"/>
    <n v="281"/>
    <n v="1117415.32"/>
    <n v="140"/>
    <n v="780725.32"/>
    <n v="114"/>
    <m/>
    <n v="33947"/>
    <n v="2023"/>
    <x v="8"/>
    <s v="万相台"/>
    <x v="0"/>
    <x v="0"/>
  </r>
  <r>
    <x v="0"/>
    <x v="17"/>
    <x v="0"/>
    <x v="0"/>
    <x v="1"/>
    <n v="62912"/>
    <n v="52332"/>
    <n v="577"/>
    <n v="539"/>
    <n v="353709"/>
    <n v="43"/>
    <n v="128674"/>
    <n v="28"/>
    <m/>
    <n v="62428"/>
    <n v="2023"/>
    <x v="8"/>
    <s v="引力魔方"/>
    <x v="0"/>
    <x v="0"/>
  </r>
  <r>
    <x v="0"/>
    <x v="17"/>
    <x v="0"/>
    <x v="7"/>
    <x v="22"/>
    <n v="21"/>
    <n v="12"/>
    <n v="0"/>
    <n v="0"/>
    <n v="0"/>
    <n v="0"/>
    <n v="0"/>
    <n v="0"/>
    <m/>
    <n v="2"/>
    <n v="2023"/>
    <x v="8"/>
    <s v="UD效果投放"/>
    <x v="0"/>
    <x v="0"/>
  </r>
  <r>
    <x v="0"/>
    <x v="17"/>
    <x v="0"/>
    <x v="7"/>
    <x v="23"/>
    <n v="292"/>
    <n v="198"/>
    <n v="0"/>
    <n v="0"/>
    <n v="0"/>
    <n v="0"/>
    <n v="0"/>
    <n v="0"/>
    <m/>
    <n v="55"/>
    <n v="2023"/>
    <x v="8"/>
    <s v="流量宝"/>
    <x v="0"/>
    <x v="0"/>
  </r>
  <r>
    <x v="0"/>
    <x v="17"/>
    <x v="0"/>
    <x v="7"/>
    <x v="24"/>
    <n v="6974"/>
    <n v="4243"/>
    <n v="27"/>
    <n v="10"/>
    <n v="132357.5"/>
    <n v="19"/>
    <n v="119347.5"/>
    <n v="19"/>
    <m/>
    <n v="4150"/>
    <n v="2023"/>
    <x v="8"/>
    <s v="淘宝客"/>
    <x v="0"/>
    <x v="0"/>
  </r>
  <r>
    <x v="0"/>
    <x v="18"/>
    <x v="1"/>
    <x v="8"/>
    <x v="25"/>
    <n v="1"/>
    <n v="0"/>
    <n v="0"/>
    <n v="0"/>
    <n v="0"/>
    <n v="0"/>
    <n v="0"/>
    <n v="0"/>
    <n v="0"/>
    <n v="0"/>
    <n v="2025"/>
    <x v="9"/>
    <s v="主会场"/>
    <x v="1"/>
    <x v="0"/>
  </r>
  <r>
    <x v="0"/>
    <x v="18"/>
    <x v="1"/>
    <x v="1"/>
    <x v="3"/>
    <n v="336"/>
    <n v="319"/>
    <n v="1"/>
    <n v="3"/>
    <n v="0"/>
    <n v="0"/>
    <n v="0"/>
    <n v="0"/>
    <n v="57"/>
    <n v="335"/>
    <n v="2025"/>
    <x v="9"/>
    <s v="其他入口榜单"/>
    <x v="1"/>
    <x v="0"/>
  </r>
  <r>
    <x v="0"/>
    <x v="18"/>
    <x v="1"/>
    <x v="1"/>
    <x v="28"/>
    <n v="19"/>
    <n v="17"/>
    <n v="1"/>
    <n v="0"/>
    <n v="0"/>
    <n v="0"/>
    <n v="0"/>
    <n v="0"/>
    <n v="3"/>
    <n v="19"/>
    <n v="2025"/>
    <x v="9"/>
    <s v="商品详情页入口榜单"/>
    <x v="1"/>
    <x v="0"/>
  </r>
  <r>
    <x v="0"/>
    <x v="18"/>
    <x v="1"/>
    <x v="1"/>
    <x v="35"/>
    <n v="34"/>
    <n v="33"/>
    <n v="0"/>
    <n v="0"/>
    <n v="0"/>
    <n v="0"/>
    <n v="0"/>
    <n v="0"/>
    <n v="3"/>
    <n v="34"/>
    <n v="2025"/>
    <x v="9"/>
    <s v="搜索入口榜单"/>
    <x v="1"/>
    <x v="0"/>
  </r>
  <r>
    <x v="0"/>
    <x v="18"/>
    <x v="1"/>
    <x v="3"/>
    <x v="11"/>
    <n v="1705"/>
    <n v="860"/>
    <n v="66"/>
    <n v="31"/>
    <n v="73460"/>
    <n v="11"/>
    <n v="52365"/>
    <n v="8"/>
    <n v="407"/>
    <n v="1648"/>
    <n v="2025"/>
    <x v="9"/>
    <s v="商品详情页头图推荐"/>
    <x v="1"/>
    <x v="0"/>
  </r>
  <r>
    <x v="0"/>
    <x v="18"/>
    <x v="1"/>
    <x v="3"/>
    <x v="12"/>
    <n v="821"/>
    <n v="578"/>
    <n v="21"/>
    <n v="5"/>
    <n v="38395"/>
    <n v="6"/>
    <n v="38395"/>
    <n v="6"/>
    <n v="739"/>
    <n v="358"/>
    <n v="2025"/>
    <x v="9"/>
    <s v="店铺超链"/>
    <x v="1"/>
    <x v="0"/>
  </r>
  <r>
    <x v="0"/>
    <x v="18"/>
    <x v="1"/>
    <x v="4"/>
    <x v="13"/>
    <n v="2148"/>
    <n v="1457"/>
    <n v="40"/>
    <n v="18"/>
    <n v="177541.67"/>
    <n v="11"/>
    <n v="88830"/>
    <n v="9"/>
    <n v="500"/>
    <n v="1460"/>
    <n v="2025"/>
    <x v="9"/>
    <s v="其他猜你喜欢"/>
    <x v="1"/>
    <x v="0"/>
  </r>
  <r>
    <x v="0"/>
    <x v="18"/>
    <x v="1"/>
    <x v="4"/>
    <x v="15"/>
    <n v="296"/>
    <n v="204"/>
    <n v="5"/>
    <n v="1"/>
    <n v="0"/>
    <n v="0"/>
    <n v="0"/>
    <n v="0"/>
    <n v="10"/>
    <n v="134"/>
    <n v="2025"/>
    <x v="9"/>
    <s v="购中推荐"/>
    <x v="1"/>
    <x v="0"/>
  </r>
  <r>
    <x v="0"/>
    <x v="18"/>
    <x v="1"/>
    <x v="4"/>
    <x v="16"/>
    <n v="1567"/>
    <n v="1142"/>
    <n v="7"/>
    <n v="3"/>
    <n v="0"/>
    <n v="0"/>
    <n v="0"/>
    <n v="0"/>
    <n v="39"/>
    <n v="602"/>
    <n v="2025"/>
    <x v="9"/>
    <s v="购后推荐"/>
    <x v="1"/>
    <x v="0"/>
  </r>
  <r>
    <x v="0"/>
    <x v="18"/>
    <x v="1"/>
    <x v="4"/>
    <x v="17"/>
    <n v="22539"/>
    <n v="18222"/>
    <n v="247"/>
    <n v="148"/>
    <n v="231291.67"/>
    <n v="24"/>
    <n v="189625"/>
    <n v="22"/>
    <n v="1287"/>
    <n v="22539"/>
    <n v="2025"/>
    <x v="9"/>
    <s v="首页推荐-微详情"/>
    <x v="1"/>
    <x v="0"/>
  </r>
  <r>
    <x v="0"/>
    <x v="18"/>
    <x v="1"/>
    <x v="4"/>
    <x v="18"/>
    <n v="1566"/>
    <n v="1094"/>
    <n v="3"/>
    <n v="4"/>
    <n v="16015"/>
    <n v="1"/>
    <n v="16015"/>
    <n v="1"/>
    <n v="19"/>
    <n v="227"/>
    <n v="2025"/>
    <x v="9"/>
    <s v="首页推荐-直播"/>
    <x v="1"/>
    <x v="0"/>
  </r>
  <r>
    <x v="0"/>
    <x v="18"/>
    <x v="1"/>
    <x v="4"/>
    <x v="19"/>
    <n v="9071"/>
    <n v="7442"/>
    <n v="8"/>
    <n v="3"/>
    <n v="27465"/>
    <n v="3"/>
    <n v="25070"/>
    <n v="3"/>
    <n v="68"/>
    <n v="382"/>
    <n v="2025"/>
    <x v="9"/>
    <s v="首页推荐-短视频"/>
    <x v="1"/>
    <x v="0"/>
  </r>
  <r>
    <x v="0"/>
    <x v="18"/>
    <x v="1"/>
    <x v="12"/>
    <x v="42"/>
    <n v="18196"/>
    <n v="16254"/>
    <n v="502"/>
    <n v="167"/>
    <n v="545561.67000000004"/>
    <n v="84"/>
    <n v="377415"/>
    <n v="72"/>
    <n v="9491"/>
    <n v="12366"/>
    <n v="2025"/>
    <x v="9"/>
    <s v="手淘搜索-商品及其他"/>
    <x v="1"/>
    <x v="0"/>
  </r>
  <r>
    <x v="0"/>
    <x v="18"/>
    <x v="1"/>
    <x v="12"/>
    <x v="43"/>
    <n v="81"/>
    <n v="64"/>
    <n v="1"/>
    <n v="0"/>
    <n v="0"/>
    <n v="0"/>
    <n v="0"/>
    <n v="0"/>
    <n v="5"/>
    <n v="62"/>
    <n v="2025"/>
    <x v="9"/>
    <s v="手淘搜索-直播"/>
    <x v="1"/>
    <x v="0"/>
  </r>
  <r>
    <x v="0"/>
    <x v="18"/>
    <x v="1"/>
    <x v="12"/>
    <x v="44"/>
    <n v="482"/>
    <n v="334"/>
    <n v="17"/>
    <n v="3"/>
    <n v="0"/>
    <n v="0"/>
    <n v="0"/>
    <n v="0"/>
    <n v="61"/>
    <n v="438"/>
    <n v="2025"/>
    <x v="9"/>
    <s v="手淘搜索-短视频"/>
    <x v="1"/>
    <x v="0"/>
  </r>
  <r>
    <x v="0"/>
    <x v="18"/>
    <x v="1"/>
    <x v="11"/>
    <x v="37"/>
    <n v="149"/>
    <n v="133"/>
    <n v="1"/>
    <n v="3"/>
    <n v="0"/>
    <n v="0"/>
    <n v="0"/>
    <n v="0"/>
    <n v="7"/>
    <n v="149"/>
    <n v="2025"/>
    <x v="9"/>
    <s v="淘特其他渠道"/>
    <x v="1"/>
    <x v="0"/>
  </r>
  <r>
    <x v="0"/>
    <x v="18"/>
    <x v="1"/>
    <x v="11"/>
    <x v="38"/>
    <n v="1"/>
    <n v="1"/>
    <n v="0"/>
    <n v="0"/>
    <n v="0"/>
    <n v="0"/>
    <n v="0"/>
    <n v="0"/>
    <n v="0"/>
    <n v="1"/>
    <n v="2025"/>
    <x v="9"/>
    <s v="淘特推荐"/>
    <x v="1"/>
    <x v="0"/>
  </r>
  <r>
    <x v="0"/>
    <x v="18"/>
    <x v="1"/>
    <x v="11"/>
    <x v="39"/>
    <n v="506"/>
    <n v="502"/>
    <n v="2"/>
    <n v="2"/>
    <n v="0"/>
    <n v="0"/>
    <n v="0"/>
    <n v="0"/>
    <n v="1"/>
    <n v="506"/>
    <n v="2025"/>
    <x v="9"/>
    <s v="淘特搜索"/>
    <x v="1"/>
    <x v="0"/>
  </r>
  <r>
    <x v="0"/>
    <x v="18"/>
    <x v="1"/>
    <x v="11"/>
    <x v="40"/>
    <n v="6"/>
    <n v="4"/>
    <n v="0"/>
    <n v="0"/>
    <n v="0"/>
    <n v="0"/>
    <n v="0"/>
    <n v="0"/>
    <n v="0"/>
    <n v="6"/>
    <n v="2025"/>
    <x v="9"/>
    <s v="淘特自主访问"/>
    <x v="1"/>
    <x v="0"/>
  </r>
  <r>
    <x v="0"/>
    <x v="18"/>
    <x v="0"/>
    <x v="5"/>
    <x v="41"/>
    <n v="14654"/>
    <n v="12717"/>
    <n v="117"/>
    <n v="24"/>
    <n v="0"/>
    <n v="0"/>
    <n v="0"/>
    <n v="0"/>
    <n v="544"/>
    <n v="4087"/>
    <n v="2025"/>
    <x v="9"/>
    <s v="超级直播"/>
    <x v="1"/>
    <x v="0"/>
  </r>
  <r>
    <x v="0"/>
    <x v="18"/>
    <x v="0"/>
    <x v="5"/>
    <x v="20"/>
    <n v="1242"/>
    <n v="902"/>
    <n v="3"/>
    <n v="18"/>
    <n v="0"/>
    <n v="0"/>
    <n v="0"/>
    <n v="0"/>
    <n v="7"/>
    <n v="842"/>
    <n v="2025"/>
    <x v="9"/>
    <s v="超级短视频"/>
    <x v="1"/>
    <x v="0"/>
  </r>
  <r>
    <x v="0"/>
    <x v="18"/>
    <x v="0"/>
    <x v="6"/>
    <x v="48"/>
    <n v="1"/>
    <n v="1"/>
    <n v="0"/>
    <n v="0"/>
    <n v="0"/>
    <n v="0"/>
    <n v="0"/>
    <n v="0"/>
    <n v="1"/>
    <n v="0"/>
    <n v="2025"/>
    <x v="9"/>
    <s v="Showmax"/>
    <x v="1"/>
    <x v="0"/>
  </r>
  <r>
    <x v="0"/>
    <x v="18"/>
    <x v="0"/>
    <x v="6"/>
    <x v="21"/>
    <n v="13"/>
    <n v="9"/>
    <n v="0"/>
    <n v="0"/>
    <n v="0"/>
    <n v="0"/>
    <n v="0"/>
    <n v="0"/>
    <n v="13"/>
    <n v="2"/>
    <n v="2025"/>
    <x v="9"/>
    <s v="品销宝-品牌专区"/>
    <x v="1"/>
    <x v="0"/>
  </r>
  <r>
    <x v="0"/>
    <x v="18"/>
    <x v="0"/>
    <x v="0"/>
    <x v="1"/>
    <n v="82727"/>
    <n v="72092"/>
    <n v="717"/>
    <n v="667"/>
    <n v="626024.72"/>
    <n v="56"/>
    <n v="308808.05"/>
    <n v="35"/>
    <n v="4059"/>
    <n v="82716"/>
    <n v="2025"/>
    <x v="9"/>
    <s v="引力魔方"/>
    <x v="1"/>
    <x v="0"/>
  </r>
  <r>
    <x v="0"/>
    <x v="18"/>
    <x v="0"/>
    <x v="0"/>
    <x v="2"/>
    <n v="72257"/>
    <n v="67945"/>
    <n v="733"/>
    <n v="477"/>
    <n v="1421910"/>
    <n v="123"/>
    <n v="463160"/>
    <n v="66"/>
    <n v="6640"/>
    <n v="71362"/>
    <n v="2025"/>
    <x v="9"/>
    <s v="直通车"/>
    <x v="1"/>
    <x v="0"/>
  </r>
  <r>
    <x v="0"/>
    <x v="18"/>
    <x v="0"/>
    <x v="0"/>
    <x v="0"/>
    <n v="94433"/>
    <n v="85373"/>
    <n v="1113"/>
    <n v="1042"/>
    <n v="1243453.05"/>
    <n v="145"/>
    <n v="827323.05"/>
    <n v="107"/>
    <n v="20819"/>
    <n v="86585"/>
    <n v="2025"/>
    <x v="9"/>
    <s v="万相台"/>
    <x v="1"/>
    <x v="0"/>
  </r>
  <r>
    <x v="0"/>
    <x v="18"/>
    <x v="0"/>
    <x v="7"/>
    <x v="23"/>
    <n v="24"/>
    <n v="15"/>
    <n v="1"/>
    <n v="0"/>
    <n v="0"/>
    <n v="0"/>
    <n v="0"/>
    <n v="0"/>
    <n v="5"/>
    <n v="22"/>
    <n v="2025"/>
    <x v="9"/>
    <s v="流量宝"/>
    <x v="1"/>
    <x v="0"/>
  </r>
  <r>
    <x v="0"/>
    <x v="18"/>
    <x v="0"/>
    <x v="7"/>
    <x v="24"/>
    <n v="10273"/>
    <n v="5121"/>
    <n v="24"/>
    <n v="18"/>
    <n v="40860"/>
    <n v="8"/>
    <n v="40860"/>
    <n v="8"/>
    <n v="99"/>
    <n v="10236"/>
    <n v="2025"/>
    <x v="9"/>
    <s v="淘宝客"/>
    <x v="1"/>
    <x v="0"/>
  </r>
  <r>
    <x v="0"/>
    <x v="19"/>
    <x v="1"/>
    <x v="8"/>
    <x v="25"/>
    <n v="2592"/>
    <n v="1554"/>
    <n v="43"/>
    <n v="38"/>
    <n v="20826.5"/>
    <n v="5"/>
    <n v="20826.5"/>
    <n v="5"/>
    <m/>
    <n v="2591"/>
    <n v="2024"/>
    <x v="9"/>
    <s v="主会场"/>
    <x v="0"/>
    <x v="0"/>
  </r>
  <r>
    <x v="0"/>
    <x v="19"/>
    <x v="1"/>
    <x v="2"/>
    <x v="4"/>
    <n v="48"/>
    <n v="46"/>
    <n v="0"/>
    <n v="0"/>
    <n v="0"/>
    <n v="0"/>
    <n v="0"/>
    <n v="0"/>
    <m/>
    <n v="24"/>
    <n v="2024"/>
    <x v="9"/>
    <s v="手机浏览器访问天猫"/>
    <x v="0"/>
    <x v="0"/>
  </r>
  <r>
    <x v="0"/>
    <x v="19"/>
    <x v="1"/>
    <x v="2"/>
    <x v="5"/>
    <n v="1198"/>
    <n v="836"/>
    <n v="17"/>
    <n v="0"/>
    <n v="125730"/>
    <n v="9"/>
    <n v="71845"/>
    <n v="8"/>
    <m/>
    <n v="1133"/>
    <n v="2024"/>
    <x v="9"/>
    <s v="手猫免费其他"/>
    <x v="0"/>
    <x v="0"/>
  </r>
  <r>
    <x v="0"/>
    <x v="19"/>
    <x v="1"/>
    <x v="2"/>
    <x v="6"/>
    <n v="159"/>
    <n v="108"/>
    <n v="5"/>
    <n v="0"/>
    <n v="0"/>
    <n v="0"/>
    <n v="0"/>
    <n v="0"/>
    <m/>
    <n v="159"/>
    <n v="2024"/>
    <x v="9"/>
    <s v="手猫其他店铺"/>
    <x v="0"/>
    <x v="0"/>
  </r>
  <r>
    <x v="0"/>
    <x v="19"/>
    <x v="1"/>
    <x v="2"/>
    <x v="7"/>
    <n v="772"/>
    <n v="495"/>
    <n v="4"/>
    <n v="0"/>
    <n v="52385"/>
    <n v="8"/>
    <n v="44390"/>
    <n v="7"/>
    <m/>
    <n v="756"/>
    <n v="2024"/>
    <x v="9"/>
    <s v="手猫商品详情"/>
    <x v="0"/>
    <x v="0"/>
  </r>
  <r>
    <x v="0"/>
    <x v="19"/>
    <x v="1"/>
    <x v="2"/>
    <x v="8"/>
    <n v="1191"/>
    <n v="991"/>
    <n v="12"/>
    <n v="0"/>
    <n v="83230"/>
    <n v="8"/>
    <n v="52730"/>
    <n v="7"/>
    <m/>
    <n v="952"/>
    <n v="2024"/>
    <x v="9"/>
    <s v="手猫搜索"/>
    <x v="0"/>
    <x v="0"/>
  </r>
  <r>
    <x v="0"/>
    <x v="19"/>
    <x v="1"/>
    <x v="2"/>
    <x v="9"/>
    <n v="13"/>
    <n v="5"/>
    <n v="1"/>
    <n v="0"/>
    <n v="11845"/>
    <n v="2"/>
    <n v="11845"/>
    <n v="2"/>
    <m/>
    <n v="13"/>
    <n v="2024"/>
    <x v="9"/>
    <s v="手猫旺信聊天"/>
    <x v="0"/>
    <x v="0"/>
  </r>
  <r>
    <x v="0"/>
    <x v="19"/>
    <x v="1"/>
    <x v="2"/>
    <x v="10"/>
    <n v="5479"/>
    <n v="4654"/>
    <n v="23"/>
    <n v="1"/>
    <n v="37338"/>
    <n v="8"/>
    <n v="29343"/>
    <n v="7"/>
    <m/>
    <n v="5479"/>
    <n v="2024"/>
    <x v="9"/>
    <s v="手猫首页"/>
    <x v="0"/>
    <x v="0"/>
  </r>
  <r>
    <x v="0"/>
    <x v="19"/>
    <x v="1"/>
    <x v="3"/>
    <x v="11"/>
    <n v="1676"/>
    <n v="936"/>
    <n v="62"/>
    <n v="23"/>
    <n v="104748"/>
    <n v="13"/>
    <n v="60408"/>
    <n v="9"/>
    <m/>
    <n v="1562"/>
    <n v="2024"/>
    <x v="9"/>
    <s v="商品详情页头图推荐"/>
    <x v="0"/>
    <x v="0"/>
  </r>
  <r>
    <x v="0"/>
    <x v="19"/>
    <x v="1"/>
    <x v="3"/>
    <x v="12"/>
    <n v="569"/>
    <n v="409"/>
    <n v="19"/>
    <n v="10"/>
    <n v="22965"/>
    <n v="4"/>
    <n v="12015"/>
    <n v="3"/>
    <m/>
    <n v="248"/>
    <n v="2024"/>
    <x v="9"/>
    <s v="店铺超链"/>
    <x v="0"/>
    <x v="0"/>
  </r>
  <r>
    <x v="0"/>
    <x v="19"/>
    <x v="1"/>
    <x v="4"/>
    <x v="13"/>
    <n v="2821"/>
    <n v="1911"/>
    <n v="47"/>
    <n v="34"/>
    <n v="109238"/>
    <n v="10"/>
    <n v="84791.5"/>
    <n v="9"/>
    <m/>
    <n v="2340"/>
    <n v="2024"/>
    <x v="9"/>
    <s v="其他猜你喜欢"/>
    <x v="0"/>
    <x v="0"/>
  </r>
  <r>
    <x v="0"/>
    <x v="19"/>
    <x v="1"/>
    <x v="4"/>
    <x v="14"/>
    <n v="8"/>
    <n v="4"/>
    <n v="0"/>
    <n v="0"/>
    <n v="0"/>
    <n v="0"/>
    <n v="0"/>
    <n v="0"/>
    <m/>
    <n v="8"/>
    <n v="2024"/>
    <x v="9"/>
    <s v="推荐云主题"/>
    <x v="0"/>
    <x v="0"/>
  </r>
  <r>
    <x v="0"/>
    <x v="19"/>
    <x v="1"/>
    <x v="4"/>
    <x v="15"/>
    <n v="82"/>
    <n v="51"/>
    <n v="0"/>
    <n v="1"/>
    <n v="0"/>
    <n v="0"/>
    <n v="0"/>
    <n v="0"/>
    <m/>
    <n v="82"/>
    <n v="2024"/>
    <x v="9"/>
    <s v="购中推荐"/>
    <x v="0"/>
    <x v="0"/>
  </r>
  <r>
    <x v="0"/>
    <x v="19"/>
    <x v="1"/>
    <x v="4"/>
    <x v="16"/>
    <n v="441"/>
    <n v="306"/>
    <n v="3"/>
    <n v="6"/>
    <n v="0"/>
    <n v="0"/>
    <n v="0"/>
    <n v="0"/>
    <m/>
    <n v="441"/>
    <n v="2024"/>
    <x v="9"/>
    <s v="购后推荐"/>
    <x v="0"/>
    <x v="0"/>
  </r>
  <r>
    <x v="0"/>
    <x v="19"/>
    <x v="1"/>
    <x v="4"/>
    <x v="17"/>
    <n v="55107"/>
    <n v="49925"/>
    <n v="339"/>
    <n v="255"/>
    <n v="264262.07"/>
    <n v="21"/>
    <n v="139087.07"/>
    <n v="16"/>
    <m/>
    <n v="55107"/>
    <n v="2024"/>
    <x v="9"/>
    <s v="首页推荐-微详情"/>
    <x v="0"/>
    <x v="0"/>
  </r>
  <r>
    <x v="0"/>
    <x v="19"/>
    <x v="1"/>
    <x v="4"/>
    <x v="18"/>
    <n v="3"/>
    <n v="1"/>
    <n v="0"/>
    <n v="0"/>
    <n v="0"/>
    <n v="0"/>
    <n v="0"/>
    <n v="0"/>
    <m/>
    <n v="1"/>
    <n v="2024"/>
    <x v="9"/>
    <s v="首页推荐-直播"/>
    <x v="0"/>
    <x v="0"/>
  </r>
  <r>
    <x v="0"/>
    <x v="19"/>
    <x v="1"/>
    <x v="4"/>
    <x v="19"/>
    <n v="285"/>
    <n v="211"/>
    <n v="0"/>
    <n v="0"/>
    <n v="6750"/>
    <n v="1"/>
    <n v="0"/>
    <n v="0"/>
    <m/>
    <n v="5"/>
    <n v="2024"/>
    <x v="9"/>
    <s v="首页推荐-短视频"/>
    <x v="0"/>
    <x v="0"/>
  </r>
  <r>
    <x v="0"/>
    <x v="19"/>
    <x v="1"/>
    <x v="12"/>
    <x v="42"/>
    <n v="11965"/>
    <n v="10415"/>
    <n v="364"/>
    <n v="134"/>
    <n v="313468.65999999997"/>
    <n v="56"/>
    <n v="247053.66"/>
    <n v="49"/>
    <m/>
    <n v="10075"/>
    <n v="2024"/>
    <x v="9"/>
    <s v="手淘搜索-商品及其他"/>
    <x v="0"/>
    <x v="0"/>
  </r>
  <r>
    <x v="0"/>
    <x v="19"/>
    <x v="1"/>
    <x v="12"/>
    <x v="43"/>
    <n v="45"/>
    <n v="32"/>
    <n v="1"/>
    <n v="0"/>
    <n v="0"/>
    <n v="0"/>
    <n v="0"/>
    <n v="0"/>
    <m/>
    <n v="32"/>
    <n v="2024"/>
    <x v="9"/>
    <s v="手淘搜索-直播"/>
    <x v="0"/>
    <x v="0"/>
  </r>
  <r>
    <x v="0"/>
    <x v="19"/>
    <x v="1"/>
    <x v="12"/>
    <x v="44"/>
    <n v="295"/>
    <n v="193"/>
    <n v="0"/>
    <n v="3"/>
    <n v="4445"/>
    <n v="1"/>
    <n v="4445"/>
    <n v="1"/>
    <m/>
    <n v="75"/>
    <n v="2024"/>
    <x v="9"/>
    <s v="手淘搜索-短视频"/>
    <x v="0"/>
    <x v="0"/>
  </r>
  <r>
    <x v="0"/>
    <x v="19"/>
    <x v="1"/>
    <x v="11"/>
    <x v="36"/>
    <n v="7"/>
    <n v="5"/>
    <n v="0"/>
    <n v="0"/>
    <n v="0"/>
    <n v="0"/>
    <n v="0"/>
    <n v="0"/>
    <m/>
    <n v="7"/>
    <n v="2024"/>
    <x v="9"/>
    <s v="淘特互动游戏"/>
    <x v="0"/>
    <x v="0"/>
  </r>
  <r>
    <x v="0"/>
    <x v="19"/>
    <x v="1"/>
    <x v="11"/>
    <x v="37"/>
    <n v="108"/>
    <n v="103"/>
    <n v="0"/>
    <n v="0"/>
    <n v="0"/>
    <n v="0"/>
    <n v="0"/>
    <n v="0"/>
    <m/>
    <n v="104"/>
    <n v="2024"/>
    <x v="9"/>
    <s v="淘特其他渠道"/>
    <x v="0"/>
    <x v="0"/>
  </r>
  <r>
    <x v="0"/>
    <x v="19"/>
    <x v="1"/>
    <x v="11"/>
    <x v="38"/>
    <n v="19"/>
    <n v="16"/>
    <n v="0"/>
    <n v="0"/>
    <n v="0"/>
    <n v="0"/>
    <n v="0"/>
    <n v="0"/>
    <m/>
    <n v="19"/>
    <n v="2024"/>
    <x v="9"/>
    <s v="淘特推荐"/>
    <x v="0"/>
    <x v="0"/>
  </r>
  <r>
    <x v="0"/>
    <x v="19"/>
    <x v="1"/>
    <x v="11"/>
    <x v="39"/>
    <n v="95"/>
    <n v="91"/>
    <n v="0"/>
    <n v="0"/>
    <n v="0"/>
    <n v="0"/>
    <n v="0"/>
    <n v="0"/>
    <m/>
    <n v="95"/>
    <n v="2024"/>
    <x v="9"/>
    <s v="淘特搜索"/>
    <x v="0"/>
    <x v="0"/>
  </r>
  <r>
    <x v="0"/>
    <x v="19"/>
    <x v="1"/>
    <x v="11"/>
    <x v="40"/>
    <n v="4"/>
    <n v="3"/>
    <n v="1"/>
    <n v="0"/>
    <n v="0"/>
    <n v="0"/>
    <n v="0"/>
    <n v="0"/>
    <m/>
    <n v="4"/>
    <n v="2024"/>
    <x v="9"/>
    <s v="淘特自主访问"/>
    <x v="0"/>
    <x v="0"/>
  </r>
  <r>
    <x v="0"/>
    <x v="19"/>
    <x v="0"/>
    <x v="5"/>
    <x v="20"/>
    <n v="18"/>
    <n v="10"/>
    <n v="0"/>
    <n v="0"/>
    <n v="0"/>
    <n v="0"/>
    <n v="0"/>
    <n v="0"/>
    <m/>
    <n v="1"/>
    <n v="2024"/>
    <x v="9"/>
    <s v="超级短视频"/>
    <x v="0"/>
    <x v="0"/>
  </r>
  <r>
    <x v="0"/>
    <x v="19"/>
    <x v="0"/>
    <x v="6"/>
    <x v="48"/>
    <n v="1"/>
    <n v="1"/>
    <n v="0"/>
    <n v="0"/>
    <n v="0"/>
    <n v="0"/>
    <n v="0"/>
    <n v="0"/>
    <m/>
    <n v="0"/>
    <n v="2024"/>
    <x v="9"/>
    <s v="Showmax"/>
    <x v="0"/>
    <x v="0"/>
  </r>
  <r>
    <x v="0"/>
    <x v="19"/>
    <x v="0"/>
    <x v="6"/>
    <x v="45"/>
    <n v="3"/>
    <n v="0"/>
    <n v="0"/>
    <n v="0"/>
    <n v="0"/>
    <n v="0"/>
    <n v="0"/>
    <n v="0"/>
    <m/>
    <n v="3"/>
    <n v="2024"/>
    <x v="9"/>
    <s v="品牌定制"/>
    <x v="0"/>
    <x v="0"/>
  </r>
  <r>
    <x v="0"/>
    <x v="19"/>
    <x v="0"/>
    <x v="6"/>
    <x v="21"/>
    <n v="15643"/>
    <n v="14401"/>
    <n v="329"/>
    <n v="113"/>
    <n v="306711"/>
    <n v="45"/>
    <n v="222541"/>
    <n v="41"/>
    <m/>
    <n v="7664"/>
    <n v="2024"/>
    <x v="9"/>
    <s v="品销宝-品牌专区"/>
    <x v="0"/>
    <x v="0"/>
  </r>
  <r>
    <x v="0"/>
    <x v="19"/>
    <x v="0"/>
    <x v="6"/>
    <x v="50"/>
    <n v="2480"/>
    <n v="2172"/>
    <n v="45"/>
    <n v="19"/>
    <n v="60161.5"/>
    <n v="7"/>
    <n v="32411.5"/>
    <n v="6"/>
    <m/>
    <n v="1278"/>
    <n v="2024"/>
    <x v="9"/>
    <s v="品销宝-明星店铺"/>
    <x v="0"/>
    <x v="0"/>
  </r>
  <r>
    <x v="0"/>
    <x v="19"/>
    <x v="0"/>
    <x v="0"/>
    <x v="2"/>
    <n v="42418"/>
    <n v="38471"/>
    <n v="570"/>
    <n v="300"/>
    <n v="542855"/>
    <n v="80"/>
    <n v="327390"/>
    <n v="64"/>
    <m/>
    <n v="41901"/>
    <n v="2024"/>
    <x v="9"/>
    <s v="直通车"/>
    <x v="0"/>
    <x v="0"/>
  </r>
  <r>
    <x v="0"/>
    <x v="19"/>
    <x v="0"/>
    <x v="0"/>
    <x v="0"/>
    <n v="31738"/>
    <n v="26221"/>
    <n v="557"/>
    <n v="282"/>
    <n v="855965.5"/>
    <n v="113"/>
    <n v="696320.5"/>
    <n v="99"/>
    <m/>
    <n v="31659"/>
    <n v="2024"/>
    <x v="9"/>
    <s v="万相台"/>
    <x v="0"/>
    <x v="0"/>
  </r>
  <r>
    <x v="0"/>
    <x v="19"/>
    <x v="0"/>
    <x v="0"/>
    <x v="1"/>
    <n v="69719"/>
    <n v="61344"/>
    <n v="648"/>
    <n v="570"/>
    <n v="314201.5"/>
    <n v="32"/>
    <n v="143770"/>
    <n v="18"/>
    <m/>
    <n v="69676"/>
    <n v="2024"/>
    <x v="9"/>
    <s v="引力魔方"/>
    <x v="0"/>
    <x v="0"/>
  </r>
  <r>
    <x v="0"/>
    <x v="19"/>
    <x v="0"/>
    <x v="7"/>
    <x v="22"/>
    <n v="4"/>
    <n v="4"/>
    <n v="0"/>
    <n v="0"/>
    <n v="0"/>
    <n v="0"/>
    <n v="0"/>
    <n v="0"/>
    <m/>
    <n v="4"/>
    <n v="2024"/>
    <x v="9"/>
    <s v="UD效果投放"/>
    <x v="0"/>
    <x v="0"/>
  </r>
  <r>
    <x v="0"/>
    <x v="19"/>
    <x v="0"/>
    <x v="7"/>
    <x v="23"/>
    <n v="60"/>
    <n v="51"/>
    <n v="0"/>
    <n v="0"/>
    <n v="0"/>
    <n v="0"/>
    <n v="0"/>
    <n v="0"/>
    <m/>
    <n v="40"/>
    <n v="2024"/>
    <x v="9"/>
    <s v="流量宝"/>
    <x v="0"/>
    <x v="0"/>
  </r>
  <r>
    <x v="0"/>
    <x v="19"/>
    <x v="0"/>
    <x v="7"/>
    <x v="24"/>
    <n v="3667"/>
    <n v="2123"/>
    <n v="9"/>
    <n v="12"/>
    <n v="133108"/>
    <n v="16"/>
    <n v="80396.5"/>
    <n v="13"/>
    <m/>
    <n v="3447"/>
    <n v="2024"/>
    <x v="9"/>
    <s v="淘宝客"/>
    <x v="0"/>
    <x v="0"/>
  </r>
  <r>
    <x v="0"/>
    <x v="20"/>
    <x v="1"/>
    <x v="1"/>
    <x v="3"/>
    <n v="54"/>
    <n v="43"/>
    <n v="0"/>
    <n v="2"/>
    <n v="18500"/>
    <n v="1"/>
    <n v="9250"/>
    <n v="1"/>
    <n v="11"/>
    <n v="54"/>
    <n v="2025"/>
    <x v="10"/>
    <s v="其他入口榜单"/>
    <x v="1"/>
    <x v="0"/>
  </r>
  <r>
    <x v="0"/>
    <x v="20"/>
    <x v="1"/>
    <x v="1"/>
    <x v="28"/>
    <n v="50"/>
    <n v="46"/>
    <n v="0"/>
    <n v="1"/>
    <n v="0"/>
    <n v="0"/>
    <n v="0"/>
    <n v="0"/>
    <n v="12"/>
    <n v="50"/>
    <n v="2025"/>
    <x v="10"/>
    <s v="商品详情页入口榜单"/>
    <x v="1"/>
    <x v="0"/>
  </r>
  <r>
    <x v="0"/>
    <x v="20"/>
    <x v="1"/>
    <x v="1"/>
    <x v="35"/>
    <n v="57"/>
    <n v="55"/>
    <n v="0"/>
    <n v="0"/>
    <n v="0"/>
    <n v="0"/>
    <n v="0"/>
    <n v="0"/>
    <n v="11"/>
    <n v="57"/>
    <n v="2025"/>
    <x v="10"/>
    <s v="搜索入口榜单"/>
    <x v="1"/>
    <x v="0"/>
  </r>
  <r>
    <x v="0"/>
    <x v="20"/>
    <x v="1"/>
    <x v="3"/>
    <x v="11"/>
    <n v="1380"/>
    <n v="782"/>
    <n v="41"/>
    <n v="22"/>
    <n v="150975"/>
    <n v="10"/>
    <n v="47260"/>
    <n v="4"/>
    <n v="367"/>
    <n v="1327"/>
    <n v="2025"/>
    <x v="10"/>
    <s v="商品详情页头图推荐"/>
    <x v="1"/>
    <x v="0"/>
  </r>
  <r>
    <x v="0"/>
    <x v="20"/>
    <x v="1"/>
    <x v="3"/>
    <x v="12"/>
    <n v="595"/>
    <n v="446"/>
    <n v="18"/>
    <n v="4"/>
    <n v="21030"/>
    <n v="4"/>
    <n v="21030"/>
    <n v="4"/>
    <n v="541"/>
    <n v="228"/>
    <n v="2025"/>
    <x v="10"/>
    <s v="店铺超链"/>
    <x v="1"/>
    <x v="0"/>
  </r>
  <r>
    <x v="0"/>
    <x v="20"/>
    <x v="1"/>
    <x v="4"/>
    <x v="13"/>
    <n v="1454"/>
    <n v="985"/>
    <n v="33"/>
    <n v="10"/>
    <n v="48075"/>
    <n v="9"/>
    <n v="48075"/>
    <n v="9"/>
    <n v="462"/>
    <n v="1062"/>
    <n v="2025"/>
    <x v="10"/>
    <s v="其他猜你喜欢"/>
    <x v="1"/>
    <x v="0"/>
  </r>
  <r>
    <x v="0"/>
    <x v="20"/>
    <x v="1"/>
    <x v="4"/>
    <x v="15"/>
    <n v="110"/>
    <n v="72"/>
    <n v="1"/>
    <n v="0"/>
    <n v="0"/>
    <n v="0"/>
    <n v="0"/>
    <n v="0"/>
    <n v="9"/>
    <n v="67"/>
    <n v="2025"/>
    <x v="10"/>
    <s v="购中推荐"/>
    <x v="1"/>
    <x v="0"/>
  </r>
  <r>
    <x v="0"/>
    <x v="20"/>
    <x v="1"/>
    <x v="4"/>
    <x v="16"/>
    <n v="545"/>
    <n v="407"/>
    <n v="9"/>
    <n v="3"/>
    <n v="0"/>
    <n v="0"/>
    <n v="0"/>
    <n v="0"/>
    <n v="18"/>
    <n v="324"/>
    <n v="2025"/>
    <x v="10"/>
    <s v="购后推荐"/>
    <x v="1"/>
    <x v="0"/>
  </r>
  <r>
    <x v="0"/>
    <x v="20"/>
    <x v="1"/>
    <x v="4"/>
    <x v="17"/>
    <n v="10020"/>
    <n v="7735"/>
    <n v="121"/>
    <n v="80"/>
    <n v="189480"/>
    <n v="20"/>
    <n v="86970"/>
    <n v="12"/>
    <n v="656"/>
    <n v="10020"/>
    <n v="2025"/>
    <x v="10"/>
    <s v="首页推荐-微详情"/>
    <x v="1"/>
    <x v="0"/>
  </r>
  <r>
    <x v="0"/>
    <x v="20"/>
    <x v="1"/>
    <x v="4"/>
    <x v="18"/>
    <n v="396"/>
    <n v="260"/>
    <n v="1"/>
    <n v="0"/>
    <n v="13950"/>
    <n v="1"/>
    <n v="0"/>
    <n v="0"/>
    <n v="3"/>
    <n v="33"/>
    <n v="2025"/>
    <x v="10"/>
    <s v="首页推荐-直播"/>
    <x v="1"/>
    <x v="0"/>
  </r>
  <r>
    <x v="0"/>
    <x v="20"/>
    <x v="1"/>
    <x v="4"/>
    <x v="19"/>
    <n v="5275"/>
    <n v="4504"/>
    <n v="9"/>
    <n v="2"/>
    <n v="31545"/>
    <n v="4"/>
    <n v="8350"/>
    <n v="2"/>
    <n v="28"/>
    <n v="211"/>
    <n v="2025"/>
    <x v="10"/>
    <s v="首页推荐-短视频"/>
    <x v="1"/>
    <x v="0"/>
  </r>
  <r>
    <x v="0"/>
    <x v="20"/>
    <x v="1"/>
    <x v="12"/>
    <x v="42"/>
    <n v="14324"/>
    <n v="12819"/>
    <n v="353"/>
    <n v="136"/>
    <n v="405920"/>
    <n v="60"/>
    <n v="295215"/>
    <n v="49"/>
    <n v="7726"/>
    <n v="9385"/>
    <n v="2025"/>
    <x v="10"/>
    <s v="手淘搜索-商品及其他"/>
    <x v="1"/>
    <x v="0"/>
  </r>
  <r>
    <x v="0"/>
    <x v="20"/>
    <x v="1"/>
    <x v="12"/>
    <x v="43"/>
    <n v="7"/>
    <n v="5"/>
    <n v="0"/>
    <n v="0"/>
    <n v="0"/>
    <n v="0"/>
    <n v="0"/>
    <n v="0"/>
    <n v="1"/>
    <n v="6"/>
    <n v="2025"/>
    <x v="10"/>
    <s v="手淘搜索-直播"/>
    <x v="1"/>
    <x v="0"/>
  </r>
  <r>
    <x v="0"/>
    <x v="20"/>
    <x v="1"/>
    <x v="12"/>
    <x v="44"/>
    <n v="279"/>
    <n v="205"/>
    <n v="5"/>
    <n v="1"/>
    <n v="2995"/>
    <n v="1"/>
    <n v="2995"/>
    <n v="1"/>
    <n v="25"/>
    <n v="258"/>
    <n v="2025"/>
    <x v="10"/>
    <s v="手淘搜索-短视频"/>
    <x v="1"/>
    <x v="0"/>
  </r>
  <r>
    <x v="0"/>
    <x v="20"/>
    <x v="1"/>
    <x v="11"/>
    <x v="37"/>
    <n v="162"/>
    <n v="141"/>
    <n v="1"/>
    <n v="1"/>
    <n v="0"/>
    <n v="0"/>
    <n v="0"/>
    <n v="0"/>
    <n v="6"/>
    <n v="161"/>
    <n v="2025"/>
    <x v="10"/>
    <s v="淘特其他渠道"/>
    <x v="1"/>
    <x v="0"/>
  </r>
  <r>
    <x v="0"/>
    <x v="20"/>
    <x v="1"/>
    <x v="11"/>
    <x v="39"/>
    <n v="693"/>
    <n v="685"/>
    <n v="3"/>
    <n v="3"/>
    <n v="4695"/>
    <n v="1"/>
    <n v="0"/>
    <n v="0"/>
    <n v="0"/>
    <n v="693"/>
    <n v="2025"/>
    <x v="10"/>
    <s v="淘特搜索"/>
    <x v="1"/>
    <x v="0"/>
  </r>
  <r>
    <x v="0"/>
    <x v="20"/>
    <x v="1"/>
    <x v="11"/>
    <x v="40"/>
    <n v="7"/>
    <n v="3"/>
    <n v="0"/>
    <n v="0"/>
    <n v="0"/>
    <n v="0"/>
    <n v="0"/>
    <n v="0"/>
    <n v="0"/>
    <n v="7"/>
    <n v="2025"/>
    <x v="10"/>
    <s v="淘特自主访问"/>
    <x v="1"/>
    <x v="0"/>
  </r>
  <r>
    <x v="0"/>
    <x v="20"/>
    <x v="0"/>
    <x v="5"/>
    <x v="41"/>
    <n v="4343"/>
    <n v="3638"/>
    <n v="15"/>
    <n v="3"/>
    <n v="0"/>
    <n v="0"/>
    <n v="0"/>
    <n v="0"/>
    <n v="104"/>
    <n v="928"/>
    <n v="2025"/>
    <x v="10"/>
    <s v="超级直播"/>
    <x v="1"/>
    <x v="0"/>
  </r>
  <r>
    <x v="0"/>
    <x v="20"/>
    <x v="0"/>
    <x v="5"/>
    <x v="20"/>
    <n v="2"/>
    <n v="1"/>
    <n v="0"/>
    <n v="0"/>
    <n v="0"/>
    <n v="0"/>
    <n v="0"/>
    <n v="0"/>
    <n v="0"/>
    <n v="2"/>
    <n v="2025"/>
    <x v="10"/>
    <s v="超级短视频"/>
    <x v="1"/>
    <x v="0"/>
  </r>
  <r>
    <x v="0"/>
    <x v="20"/>
    <x v="0"/>
    <x v="6"/>
    <x v="45"/>
    <n v="2"/>
    <n v="1"/>
    <n v="0"/>
    <n v="0"/>
    <n v="0"/>
    <n v="0"/>
    <n v="0"/>
    <n v="0"/>
    <n v="0"/>
    <n v="2"/>
    <n v="2025"/>
    <x v="10"/>
    <s v="品牌定制"/>
    <x v="1"/>
    <x v="0"/>
  </r>
  <r>
    <x v="0"/>
    <x v="20"/>
    <x v="0"/>
    <x v="6"/>
    <x v="21"/>
    <n v="3"/>
    <n v="3"/>
    <n v="0"/>
    <n v="0"/>
    <n v="0"/>
    <n v="0"/>
    <n v="0"/>
    <n v="0"/>
    <n v="3"/>
    <n v="0"/>
    <n v="2025"/>
    <x v="10"/>
    <s v="品销宝-品牌专区"/>
    <x v="1"/>
    <x v="0"/>
  </r>
  <r>
    <x v="0"/>
    <x v="20"/>
    <x v="0"/>
    <x v="6"/>
    <x v="49"/>
    <n v="1"/>
    <n v="1"/>
    <n v="0"/>
    <n v="0"/>
    <n v="0"/>
    <n v="0"/>
    <n v="0"/>
    <n v="0"/>
    <n v="0"/>
    <n v="1"/>
    <n v="2025"/>
    <x v="10"/>
    <s v="超级全域通"/>
    <x v="1"/>
    <x v="0"/>
  </r>
  <r>
    <x v="0"/>
    <x v="20"/>
    <x v="0"/>
    <x v="0"/>
    <x v="1"/>
    <n v="119972"/>
    <n v="108855"/>
    <n v="667"/>
    <n v="487"/>
    <n v="670625"/>
    <n v="78"/>
    <n v="308785"/>
    <n v="47"/>
    <n v="4209"/>
    <n v="119967"/>
    <n v="2025"/>
    <x v="10"/>
    <s v="引力魔方"/>
    <x v="1"/>
    <x v="0"/>
  </r>
  <r>
    <x v="0"/>
    <x v="20"/>
    <x v="0"/>
    <x v="0"/>
    <x v="2"/>
    <n v="67111"/>
    <n v="63192"/>
    <n v="599"/>
    <n v="358"/>
    <n v="711450"/>
    <n v="74"/>
    <n v="270295"/>
    <n v="41"/>
    <n v="5500"/>
    <n v="66313"/>
    <n v="2025"/>
    <x v="10"/>
    <s v="直通车"/>
    <x v="1"/>
    <x v="0"/>
  </r>
  <r>
    <x v="0"/>
    <x v="20"/>
    <x v="0"/>
    <x v="0"/>
    <x v="0"/>
    <n v="82330"/>
    <n v="73670"/>
    <n v="829"/>
    <n v="696"/>
    <n v="610790"/>
    <n v="88"/>
    <n v="356030"/>
    <n v="56"/>
    <n v="17870"/>
    <n v="75225"/>
    <n v="2025"/>
    <x v="10"/>
    <s v="万相台"/>
    <x v="1"/>
    <x v="0"/>
  </r>
  <r>
    <x v="0"/>
    <x v="20"/>
    <x v="0"/>
    <x v="7"/>
    <x v="22"/>
    <n v="1"/>
    <n v="1"/>
    <n v="0"/>
    <n v="0"/>
    <n v="0"/>
    <n v="0"/>
    <n v="0"/>
    <n v="0"/>
    <n v="0"/>
    <n v="1"/>
    <n v="2025"/>
    <x v="10"/>
    <s v="UD效果投放"/>
    <x v="1"/>
    <x v="0"/>
  </r>
  <r>
    <x v="0"/>
    <x v="20"/>
    <x v="0"/>
    <x v="7"/>
    <x v="23"/>
    <n v="15"/>
    <n v="11"/>
    <n v="0"/>
    <n v="0"/>
    <n v="0"/>
    <n v="0"/>
    <n v="0"/>
    <n v="0"/>
    <n v="5"/>
    <n v="11"/>
    <n v="2025"/>
    <x v="10"/>
    <s v="流量宝"/>
    <x v="1"/>
    <x v="0"/>
  </r>
  <r>
    <x v="0"/>
    <x v="20"/>
    <x v="0"/>
    <x v="7"/>
    <x v="24"/>
    <n v="7995"/>
    <n v="4246"/>
    <n v="18"/>
    <n v="4"/>
    <n v="95550"/>
    <n v="10"/>
    <n v="82600"/>
    <n v="9"/>
    <n v="60"/>
    <n v="7977"/>
    <n v="2025"/>
    <x v="10"/>
    <s v="淘宝客"/>
    <x v="1"/>
    <x v="0"/>
  </r>
  <r>
    <x v="0"/>
    <x v="21"/>
    <x v="1"/>
    <x v="8"/>
    <x v="25"/>
    <n v="24"/>
    <n v="16"/>
    <n v="0"/>
    <n v="0"/>
    <n v="0"/>
    <n v="0"/>
    <n v="0"/>
    <n v="0"/>
    <m/>
    <n v="20"/>
    <n v="2024"/>
    <x v="10"/>
    <s v="主会场"/>
    <x v="0"/>
    <x v="0"/>
  </r>
  <r>
    <x v="0"/>
    <x v="21"/>
    <x v="1"/>
    <x v="8"/>
    <x v="26"/>
    <n v="2"/>
    <n v="2"/>
    <n v="0"/>
    <n v="0"/>
    <n v="0"/>
    <n v="0"/>
    <n v="0"/>
    <n v="0"/>
    <m/>
    <n v="2"/>
    <n v="2024"/>
    <x v="10"/>
    <s v="榜单会场"/>
    <x v="0"/>
    <x v="0"/>
  </r>
  <r>
    <x v="0"/>
    <x v="21"/>
    <x v="1"/>
    <x v="9"/>
    <x v="27"/>
    <n v="38"/>
    <n v="38"/>
    <n v="0"/>
    <n v="0"/>
    <n v="0"/>
    <n v="0"/>
    <n v="0"/>
    <n v="0"/>
    <m/>
    <n v="38"/>
    <n v="2024"/>
    <x v="10"/>
    <s v="超级惊喜站"/>
    <x v="0"/>
    <x v="0"/>
  </r>
  <r>
    <x v="0"/>
    <x v="21"/>
    <x v="1"/>
    <x v="1"/>
    <x v="3"/>
    <n v="1"/>
    <n v="0"/>
    <n v="0"/>
    <n v="0"/>
    <n v="0"/>
    <n v="0"/>
    <n v="0"/>
    <n v="0"/>
    <m/>
    <n v="1"/>
    <n v="2024"/>
    <x v="10"/>
    <s v="其他入口榜单"/>
    <x v="0"/>
    <x v="0"/>
  </r>
  <r>
    <x v="0"/>
    <x v="21"/>
    <x v="1"/>
    <x v="1"/>
    <x v="28"/>
    <n v="6"/>
    <n v="6"/>
    <n v="0"/>
    <n v="0"/>
    <n v="0"/>
    <n v="0"/>
    <n v="0"/>
    <n v="0"/>
    <m/>
    <n v="6"/>
    <n v="2024"/>
    <x v="10"/>
    <s v="商品详情页入口榜单"/>
    <x v="0"/>
    <x v="0"/>
  </r>
  <r>
    <x v="0"/>
    <x v="21"/>
    <x v="1"/>
    <x v="1"/>
    <x v="35"/>
    <n v="3"/>
    <n v="3"/>
    <n v="0"/>
    <n v="0"/>
    <n v="0"/>
    <n v="0"/>
    <n v="0"/>
    <n v="0"/>
    <m/>
    <n v="3"/>
    <n v="2024"/>
    <x v="10"/>
    <s v="搜索入口榜单"/>
    <x v="0"/>
    <x v="0"/>
  </r>
  <r>
    <x v="0"/>
    <x v="21"/>
    <x v="1"/>
    <x v="2"/>
    <x v="4"/>
    <n v="17"/>
    <n v="17"/>
    <n v="0"/>
    <n v="0"/>
    <n v="0"/>
    <n v="0"/>
    <n v="0"/>
    <n v="0"/>
    <m/>
    <n v="5"/>
    <n v="2024"/>
    <x v="10"/>
    <s v="手机浏览器访问天猫"/>
    <x v="0"/>
    <x v="0"/>
  </r>
  <r>
    <x v="0"/>
    <x v="21"/>
    <x v="1"/>
    <x v="2"/>
    <x v="5"/>
    <n v="779"/>
    <n v="571"/>
    <n v="25"/>
    <n v="0"/>
    <n v="50020"/>
    <n v="6"/>
    <n v="40625"/>
    <n v="6"/>
    <m/>
    <n v="733"/>
    <n v="2024"/>
    <x v="10"/>
    <s v="手猫免费其他"/>
    <x v="0"/>
    <x v="0"/>
  </r>
  <r>
    <x v="0"/>
    <x v="21"/>
    <x v="1"/>
    <x v="2"/>
    <x v="6"/>
    <n v="93"/>
    <n v="70"/>
    <n v="5"/>
    <n v="0"/>
    <n v="3795"/>
    <n v="1"/>
    <n v="3795"/>
    <n v="1"/>
    <m/>
    <n v="93"/>
    <n v="2024"/>
    <x v="10"/>
    <s v="手猫其他店铺"/>
    <x v="0"/>
    <x v="0"/>
  </r>
  <r>
    <x v="0"/>
    <x v="21"/>
    <x v="1"/>
    <x v="2"/>
    <x v="7"/>
    <n v="307"/>
    <n v="202"/>
    <n v="4"/>
    <n v="0"/>
    <n v="5450"/>
    <n v="1"/>
    <n v="5450"/>
    <n v="1"/>
    <m/>
    <n v="294"/>
    <n v="2024"/>
    <x v="10"/>
    <s v="手猫商品详情"/>
    <x v="0"/>
    <x v="0"/>
  </r>
  <r>
    <x v="0"/>
    <x v="21"/>
    <x v="1"/>
    <x v="2"/>
    <x v="8"/>
    <n v="747"/>
    <n v="662"/>
    <n v="10"/>
    <n v="0"/>
    <n v="5450"/>
    <n v="1"/>
    <n v="5450"/>
    <n v="1"/>
    <m/>
    <n v="571"/>
    <n v="2024"/>
    <x v="10"/>
    <s v="手猫搜索"/>
    <x v="0"/>
    <x v="0"/>
  </r>
  <r>
    <x v="0"/>
    <x v="21"/>
    <x v="1"/>
    <x v="2"/>
    <x v="9"/>
    <n v="8"/>
    <n v="3"/>
    <n v="1"/>
    <n v="0"/>
    <n v="22585"/>
    <n v="2"/>
    <n v="13190"/>
    <n v="2"/>
    <m/>
    <n v="8"/>
    <n v="2024"/>
    <x v="10"/>
    <s v="手猫旺信聊天"/>
    <x v="0"/>
    <x v="0"/>
  </r>
  <r>
    <x v="0"/>
    <x v="21"/>
    <x v="1"/>
    <x v="2"/>
    <x v="10"/>
    <n v="3028"/>
    <n v="2611"/>
    <n v="10"/>
    <n v="0"/>
    <n v="18495"/>
    <n v="2"/>
    <n v="18495"/>
    <n v="2"/>
    <m/>
    <n v="3028"/>
    <n v="2024"/>
    <x v="10"/>
    <s v="手猫首页"/>
    <x v="0"/>
    <x v="0"/>
  </r>
  <r>
    <x v="0"/>
    <x v="21"/>
    <x v="1"/>
    <x v="3"/>
    <x v="11"/>
    <n v="623"/>
    <n v="356"/>
    <n v="19"/>
    <n v="8"/>
    <n v="12140"/>
    <n v="2"/>
    <n v="12140"/>
    <n v="2"/>
    <m/>
    <n v="581"/>
    <n v="2024"/>
    <x v="10"/>
    <s v="商品详情页头图推荐"/>
    <x v="0"/>
    <x v="0"/>
  </r>
  <r>
    <x v="0"/>
    <x v="21"/>
    <x v="1"/>
    <x v="3"/>
    <x v="12"/>
    <n v="349"/>
    <n v="277"/>
    <n v="3"/>
    <n v="5"/>
    <n v="35495"/>
    <n v="2"/>
    <n v="4995"/>
    <n v="1"/>
    <m/>
    <n v="126"/>
    <n v="2024"/>
    <x v="10"/>
    <s v="店铺超链"/>
    <x v="0"/>
    <x v="0"/>
  </r>
  <r>
    <x v="0"/>
    <x v="21"/>
    <x v="1"/>
    <x v="4"/>
    <x v="13"/>
    <n v="1243"/>
    <n v="838"/>
    <n v="19"/>
    <n v="21"/>
    <n v="44930"/>
    <n v="5"/>
    <n v="11635"/>
    <n v="3"/>
    <m/>
    <n v="990"/>
    <n v="2024"/>
    <x v="10"/>
    <s v="其他猜你喜欢"/>
    <x v="0"/>
    <x v="0"/>
  </r>
  <r>
    <x v="0"/>
    <x v="21"/>
    <x v="1"/>
    <x v="4"/>
    <x v="15"/>
    <n v="36"/>
    <n v="26"/>
    <n v="0"/>
    <n v="1"/>
    <n v="0"/>
    <n v="0"/>
    <n v="0"/>
    <n v="0"/>
    <m/>
    <n v="36"/>
    <n v="2024"/>
    <x v="10"/>
    <s v="购中推荐"/>
    <x v="0"/>
    <x v="0"/>
  </r>
  <r>
    <x v="0"/>
    <x v="21"/>
    <x v="1"/>
    <x v="4"/>
    <x v="16"/>
    <n v="208"/>
    <n v="152"/>
    <n v="2"/>
    <n v="1"/>
    <n v="0"/>
    <n v="0"/>
    <n v="0"/>
    <n v="0"/>
    <m/>
    <n v="207"/>
    <n v="2024"/>
    <x v="10"/>
    <s v="购后推荐"/>
    <x v="0"/>
    <x v="0"/>
  </r>
  <r>
    <x v="0"/>
    <x v="21"/>
    <x v="1"/>
    <x v="4"/>
    <x v="17"/>
    <n v="7790"/>
    <n v="6152"/>
    <n v="60"/>
    <n v="51"/>
    <n v="22140"/>
    <n v="3"/>
    <n v="22140"/>
    <n v="3"/>
    <m/>
    <n v="7790"/>
    <n v="2024"/>
    <x v="10"/>
    <s v="首页推荐-微详情"/>
    <x v="0"/>
    <x v="0"/>
  </r>
  <r>
    <x v="0"/>
    <x v="21"/>
    <x v="1"/>
    <x v="4"/>
    <x v="18"/>
    <n v="54"/>
    <n v="52"/>
    <n v="0"/>
    <n v="0"/>
    <n v="0"/>
    <n v="0"/>
    <n v="0"/>
    <n v="0"/>
    <m/>
    <n v="2"/>
    <n v="2024"/>
    <x v="10"/>
    <s v="首页推荐-直播"/>
    <x v="0"/>
    <x v="0"/>
  </r>
  <r>
    <x v="0"/>
    <x v="21"/>
    <x v="1"/>
    <x v="4"/>
    <x v="19"/>
    <n v="100"/>
    <n v="91"/>
    <n v="0"/>
    <n v="0"/>
    <n v="0"/>
    <n v="0"/>
    <n v="0"/>
    <n v="0"/>
    <m/>
    <n v="0"/>
    <n v="2024"/>
    <x v="10"/>
    <s v="首页推荐-短视频"/>
    <x v="0"/>
    <x v="0"/>
  </r>
  <r>
    <x v="0"/>
    <x v="21"/>
    <x v="1"/>
    <x v="12"/>
    <x v="42"/>
    <n v="8536"/>
    <n v="7590"/>
    <n v="249"/>
    <n v="132"/>
    <n v="216275"/>
    <n v="39"/>
    <n v="130645"/>
    <n v="33"/>
    <m/>
    <n v="7190"/>
    <n v="2024"/>
    <x v="10"/>
    <s v="手淘搜索-商品及其他"/>
    <x v="0"/>
    <x v="0"/>
  </r>
  <r>
    <x v="0"/>
    <x v="21"/>
    <x v="1"/>
    <x v="12"/>
    <x v="43"/>
    <n v="30"/>
    <n v="19"/>
    <n v="1"/>
    <n v="0"/>
    <n v="0"/>
    <n v="0"/>
    <n v="0"/>
    <n v="0"/>
    <m/>
    <n v="26"/>
    <n v="2024"/>
    <x v="10"/>
    <s v="手淘搜索-直播"/>
    <x v="0"/>
    <x v="0"/>
  </r>
  <r>
    <x v="0"/>
    <x v="21"/>
    <x v="1"/>
    <x v="12"/>
    <x v="44"/>
    <n v="187"/>
    <n v="136"/>
    <n v="3"/>
    <n v="1"/>
    <n v="5815"/>
    <n v="2"/>
    <n v="5815"/>
    <n v="2"/>
    <m/>
    <n v="39"/>
    <n v="2024"/>
    <x v="10"/>
    <s v="手淘搜索-短视频"/>
    <x v="0"/>
    <x v="0"/>
  </r>
  <r>
    <x v="0"/>
    <x v="21"/>
    <x v="1"/>
    <x v="11"/>
    <x v="36"/>
    <n v="25"/>
    <n v="14"/>
    <n v="0"/>
    <n v="0"/>
    <n v="0"/>
    <n v="0"/>
    <n v="0"/>
    <n v="0"/>
    <m/>
    <n v="25"/>
    <n v="2024"/>
    <x v="10"/>
    <s v="淘特互动游戏"/>
    <x v="0"/>
    <x v="0"/>
  </r>
  <r>
    <x v="0"/>
    <x v="21"/>
    <x v="1"/>
    <x v="11"/>
    <x v="37"/>
    <n v="231"/>
    <n v="225"/>
    <n v="0"/>
    <n v="1"/>
    <n v="0"/>
    <n v="0"/>
    <n v="0"/>
    <n v="0"/>
    <m/>
    <n v="223"/>
    <n v="2024"/>
    <x v="10"/>
    <s v="淘特其他渠道"/>
    <x v="0"/>
    <x v="0"/>
  </r>
  <r>
    <x v="0"/>
    <x v="21"/>
    <x v="1"/>
    <x v="11"/>
    <x v="38"/>
    <n v="5"/>
    <n v="3"/>
    <n v="0"/>
    <n v="0"/>
    <n v="0"/>
    <n v="0"/>
    <n v="0"/>
    <n v="0"/>
    <m/>
    <n v="5"/>
    <n v="2024"/>
    <x v="10"/>
    <s v="淘特推荐"/>
    <x v="0"/>
    <x v="0"/>
  </r>
  <r>
    <x v="0"/>
    <x v="21"/>
    <x v="1"/>
    <x v="11"/>
    <x v="39"/>
    <n v="36"/>
    <n v="34"/>
    <n v="0"/>
    <n v="0"/>
    <n v="0"/>
    <n v="0"/>
    <n v="0"/>
    <n v="0"/>
    <m/>
    <n v="36"/>
    <n v="2024"/>
    <x v="10"/>
    <s v="淘特搜索"/>
    <x v="0"/>
    <x v="0"/>
  </r>
  <r>
    <x v="0"/>
    <x v="21"/>
    <x v="1"/>
    <x v="11"/>
    <x v="40"/>
    <n v="1"/>
    <n v="1"/>
    <n v="0"/>
    <n v="0"/>
    <n v="0"/>
    <n v="0"/>
    <n v="0"/>
    <n v="0"/>
    <m/>
    <n v="1"/>
    <n v="2024"/>
    <x v="10"/>
    <s v="淘特自主访问"/>
    <x v="0"/>
    <x v="0"/>
  </r>
  <r>
    <x v="0"/>
    <x v="21"/>
    <x v="0"/>
    <x v="5"/>
    <x v="20"/>
    <n v="24"/>
    <n v="11"/>
    <n v="0"/>
    <n v="0"/>
    <n v="0"/>
    <n v="0"/>
    <n v="0"/>
    <n v="0"/>
    <m/>
    <n v="5"/>
    <n v="2024"/>
    <x v="10"/>
    <s v="超级短视频"/>
    <x v="0"/>
    <x v="0"/>
  </r>
  <r>
    <x v="0"/>
    <x v="21"/>
    <x v="0"/>
    <x v="6"/>
    <x v="21"/>
    <n v="15696"/>
    <n v="14940"/>
    <n v="275"/>
    <n v="120"/>
    <n v="273605"/>
    <n v="42"/>
    <n v="200120"/>
    <n v="37"/>
    <m/>
    <n v="7724"/>
    <n v="2024"/>
    <x v="10"/>
    <s v="品销宝-品牌专区"/>
    <x v="0"/>
    <x v="0"/>
  </r>
  <r>
    <x v="0"/>
    <x v="21"/>
    <x v="0"/>
    <x v="6"/>
    <x v="49"/>
    <n v="2"/>
    <n v="1"/>
    <n v="0"/>
    <n v="0"/>
    <n v="0"/>
    <n v="0"/>
    <n v="0"/>
    <n v="0"/>
    <m/>
    <n v="2"/>
    <n v="2024"/>
    <x v="10"/>
    <s v="超级全域通"/>
    <x v="0"/>
    <x v="0"/>
  </r>
  <r>
    <x v="0"/>
    <x v="21"/>
    <x v="0"/>
    <x v="0"/>
    <x v="2"/>
    <n v="34816"/>
    <n v="33084"/>
    <n v="381"/>
    <n v="277"/>
    <n v="430225"/>
    <n v="44"/>
    <n v="171565"/>
    <n v="29"/>
    <m/>
    <n v="34359"/>
    <n v="2024"/>
    <x v="10"/>
    <s v="直通车"/>
    <x v="0"/>
    <x v="0"/>
  </r>
  <r>
    <x v="0"/>
    <x v="21"/>
    <x v="0"/>
    <x v="0"/>
    <x v="0"/>
    <n v="27921"/>
    <n v="24840"/>
    <n v="399"/>
    <n v="238"/>
    <n v="345975"/>
    <n v="45"/>
    <n v="176655"/>
    <n v="33"/>
    <m/>
    <n v="27846"/>
    <n v="2024"/>
    <x v="10"/>
    <s v="万相台"/>
    <x v="0"/>
    <x v="0"/>
  </r>
  <r>
    <x v="0"/>
    <x v="21"/>
    <x v="0"/>
    <x v="0"/>
    <x v="1"/>
    <n v="93901"/>
    <n v="88353"/>
    <n v="260"/>
    <n v="377"/>
    <n v="172365"/>
    <n v="14"/>
    <n v="34380"/>
    <n v="5"/>
    <m/>
    <n v="93891"/>
    <n v="2024"/>
    <x v="10"/>
    <s v="引力魔方"/>
    <x v="0"/>
    <x v="0"/>
  </r>
  <r>
    <x v="0"/>
    <x v="21"/>
    <x v="0"/>
    <x v="7"/>
    <x v="23"/>
    <n v="2"/>
    <n v="1"/>
    <n v="0"/>
    <n v="0"/>
    <n v="0"/>
    <n v="0"/>
    <n v="0"/>
    <n v="0"/>
    <m/>
    <n v="2"/>
    <n v="2024"/>
    <x v="10"/>
    <s v="流量宝"/>
    <x v="0"/>
    <x v="0"/>
  </r>
  <r>
    <x v="0"/>
    <x v="21"/>
    <x v="0"/>
    <x v="7"/>
    <x v="24"/>
    <n v="4764"/>
    <n v="2453"/>
    <n v="6"/>
    <n v="5"/>
    <n v="5450"/>
    <n v="1"/>
    <n v="5450"/>
    <n v="1"/>
    <m/>
    <n v="4561"/>
    <n v="2024"/>
    <x v="10"/>
    <s v="淘宝客"/>
    <x v="0"/>
    <x v="0"/>
  </r>
  <r>
    <x v="0"/>
    <x v="22"/>
    <x v="1"/>
    <x v="1"/>
    <x v="3"/>
    <n v="2"/>
    <n v="2"/>
    <n v="0"/>
    <n v="0"/>
    <n v="0"/>
    <n v="0"/>
    <n v="0"/>
    <n v="0"/>
    <n v="1"/>
    <n v="2"/>
    <n v="2025"/>
    <x v="11"/>
    <s v="其他入口榜单"/>
    <x v="1"/>
    <x v="0"/>
  </r>
  <r>
    <x v="0"/>
    <x v="22"/>
    <x v="1"/>
    <x v="3"/>
    <x v="11"/>
    <n v="1332"/>
    <n v="797"/>
    <n v="50"/>
    <n v="21"/>
    <n v="29985"/>
    <n v="4"/>
    <n v="14785"/>
    <n v="3"/>
    <n v="308"/>
    <n v="1287"/>
    <n v="2025"/>
    <x v="11"/>
    <s v="商品详情页头图推荐"/>
    <x v="1"/>
    <x v="0"/>
  </r>
  <r>
    <x v="0"/>
    <x v="22"/>
    <x v="1"/>
    <x v="3"/>
    <x v="12"/>
    <n v="551"/>
    <n v="430"/>
    <n v="15"/>
    <n v="6"/>
    <n v="9390"/>
    <n v="2"/>
    <n v="9390"/>
    <n v="2"/>
    <n v="490"/>
    <n v="218"/>
    <n v="2025"/>
    <x v="11"/>
    <s v="店铺超链"/>
    <x v="1"/>
    <x v="0"/>
  </r>
  <r>
    <x v="0"/>
    <x v="22"/>
    <x v="1"/>
    <x v="4"/>
    <x v="13"/>
    <n v="2096"/>
    <n v="1559"/>
    <n v="41"/>
    <n v="27"/>
    <n v="101795"/>
    <n v="9"/>
    <n v="80150"/>
    <n v="7"/>
    <n v="575"/>
    <n v="1781"/>
    <n v="2025"/>
    <x v="11"/>
    <s v="其他猜你喜欢"/>
    <x v="1"/>
    <x v="0"/>
  </r>
  <r>
    <x v="0"/>
    <x v="22"/>
    <x v="1"/>
    <x v="4"/>
    <x v="15"/>
    <n v="132"/>
    <n v="101"/>
    <n v="0"/>
    <n v="1"/>
    <n v="0"/>
    <n v="0"/>
    <n v="0"/>
    <n v="0"/>
    <n v="15"/>
    <n v="106"/>
    <n v="2025"/>
    <x v="11"/>
    <s v="购中推荐"/>
    <x v="1"/>
    <x v="0"/>
  </r>
  <r>
    <x v="0"/>
    <x v="22"/>
    <x v="1"/>
    <x v="4"/>
    <x v="16"/>
    <n v="661"/>
    <n v="511"/>
    <n v="1"/>
    <n v="4"/>
    <n v="0"/>
    <n v="0"/>
    <n v="0"/>
    <n v="0"/>
    <n v="28"/>
    <n v="443"/>
    <n v="2025"/>
    <x v="11"/>
    <s v="购后推荐"/>
    <x v="1"/>
    <x v="0"/>
  </r>
  <r>
    <x v="0"/>
    <x v="22"/>
    <x v="1"/>
    <x v="4"/>
    <x v="17"/>
    <n v="15186"/>
    <n v="12738"/>
    <n v="216"/>
    <n v="139"/>
    <n v="109525"/>
    <n v="11"/>
    <n v="53735"/>
    <n v="6"/>
    <n v="1301"/>
    <n v="15186"/>
    <n v="2025"/>
    <x v="11"/>
    <s v="首页推荐-微详情"/>
    <x v="1"/>
    <x v="0"/>
  </r>
  <r>
    <x v="0"/>
    <x v="22"/>
    <x v="1"/>
    <x v="4"/>
    <x v="18"/>
    <n v="593"/>
    <n v="437"/>
    <n v="4"/>
    <n v="0"/>
    <n v="0"/>
    <n v="0"/>
    <n v="0"/>
    <n v="0"/>
    <n v="8"/>
    <n v="61"/>
    <n v="2025"/>
    <x v="11"/>
    <s v="首页推荐-直播"/>
    <x v="1"/>
    <x v="0"/>
  </r>
  <r>
    <x v="0"/>
    <x v="22"/>
    <x v="1"/>
    <x v="4"/>
    <x v="19"/>
    <n v="5448"/>
    <n v="4961"/>
    <n v="6"/>
    <n v="4"/>
    <n v="0"/>
    <n v="0"/>
    <n v="0"/>
    <n v="0"/>
    <n v="24"/>
    <n v="147"/>
    <n v="2025"/>
    <x v="11"/>
    <s v="首页推荐-短视频"/>
    <x v="1"/>
    <x v="0"/>
  </r>
  <r>
    <x v="0"/>
    <x v="22"/>
    <x v="1"/>
    <x v="12"/>
    <x v="42"/>
    <n v="13042"/>
    <n v="11935"/>
    <n v="251"/>
    <n v="137"/>
    <n v="396255"/>
    <n v="46"/>
    <n v="302240"/>
    <n v="36"/>
    <n v="7458"/>
    <n v="7826"/>
    <n v="2025"/>
    <x v="11"/>
    <s v="手淘搜索-商品及其他"/>
    <x v="1"/>
    <x v="0"/>
  </r>
  <r>
    <x v="0"/>
    <x v="22"/>
    <x v="1"/>
    <x v="12"/>
    <x v="43"/>
    <n v="23"/>
    <n v="16"/>
    <n v="1"/>
    <n v="1"/>
    <n v="0"/>
    <n v="0"/>
    <n v="0"/>
    <n v="0"/>
    <n v="4"/>
    <n v="21"/>
    <n v="2025"/>
    <x v="11"/>
    <s v="手淘搜索-直播"/>
    <x v="1"/>
    <x v="0"/>
  </r>
  <r>
    <x v="0"/>
    <x v="22"/>
    <x v="1"/>
    <x v="12"/>
    <x v="44"/>
    <n v="123"/>
    <n v="73"/>
    <n v="2"/>
    <n v="0"/>
    <n v="16085"/>
    <n v="2"/>
    <n v="16085"/>
    <n v="2"/>
    <n v="7"/>
    <n v="119"/>
    <n v="2025"/>
    <x v="11"/>
    <s v="手淘搜索-短视频"/>
    <x v="1"/>
    <x v="0"/>
  </r>
  <r>
    <x v="0"/>
    <x v="22"/>
    <x v="1"/>
    <x v="11"/>
    <x v="37"/>
    <n v="117"/>
    <n v="99"/>
    <n v="0"/>
    <n v="2"/>
    <n v="14500"/>
    <n v="1"/>
    <n v="0"/>
    <n v="0"/>
    <n v="4"/>
    <n v="115"/>
    <n v="2025"/>
    <x v="11"/>
    <s v="淘特其他渠道"/>
    <x v="1"/>
    <x v="0"/>
  </r>
  <r>
    <x v="0"/>
    <x v="22"/>
    <x v="1"/>
    <x v="11"/>
    <x v="39"/>
    <n v="530"/>
    <n v="522"/>
    <n v="0"/>
    <n v="0"/>
    <n v="14500"/>
    <n v="1"/>
    <n v="0"/>
    <n v="0"/>
    <n v="1"/>
    <n v="530"/>
    <n v="2025"/>
    <x v="11"/>
    <s v="淘特搜索"/>
    <x v="1"/>
    <x v="0"/>
  </r>
  <r>
    <x v="0"/>
    <x v="22"/>
    <x v="0"/>
    <x v="5"/>
    <x v="41"/>
    <n v="4959"/>
    <n v="4213"/>
    <n v="29"/>
    <n v="4"/>
    <n v="0"/>
    <n v="0"/>
    <n v="0"/>
    <n v="0"/>
    <n v="107"/>
    <n v="1036"/>
    <n v="2025"/>
    <x v="11"/>
    <s v="超级直播"/>
    <x v="1"/>
    <x v="0"/>
  </r>
  <r>
    <x v="0"/>
    <x v="22"/>
    <x v="0"/>
    <x v="5"/>
    <x v="20"/>
    <n v="2"/>
    <n v="1"/>
    <n v="0"/>
    <n v="0"/>
    <n v="0"/>
    <n v="0"/>
    <n v="0"/>
    <n v="0"/>
    <n v="0"/>
    <n v="2"/>
    <n v="2025"/>
    <x v="11"/>
    <s v="超级短视频"/>
    <x v="1"/>
    <x v="0"/>
  </r>
  <r>
    <x v="0"/>
    <x v="22"/>
    <x v="0"/>
    <x v="6"/>
    <x v="45"/>
    <n v="1"/>
    <n v="1"/>
    <n v="0"/>
    <n v="0"/>
    <n v="0"/>
    <n v="0"/>
    <n v="0"/>
    <n v="0"/>
    <n v="0"/>
    <n v="1"/>
    <n v="2025"/>
    <x v="11"/>
    <s v="品牌定制"/>
    <x v="1"/>
    <x v="0"/>
  </r>
  <r>
    <x v="0"/>
    <x v="22"/>
    <x v="0"/>
    <x v="6"/>
    <x v="21"/>
    <n v="1"/>
    <n v="1"/>
    <n v="0"/>
    <n v="0"/>
    <n v="0"/>
    <n v="0"/>
    <n v="0"/>
    <n v="0"/>
    <n v="1"/>
    <n v="0"/>
    <n v="2025"/>
    <x v="11"/>
    <s v="品销宝-品牌专区"/>
    <x v="1"/>
    <x v="0"/>
  </r>
  <r>
    <x v="0"/>
    <x v="22"/>
    <x v="0"/>
    <x v="6"/>
    <x v="49"/>
    <n v="5"/>
    <n v="3"/>
    <n v="0"/>
    <n v="0"/>
    <n v="0"/>
    <n v="0"/>
    <n v="0"/>
    <n v="0"/>
    <n v="0"/>
    <n v="5"/>
    <n v="2025"/>
    <x v="11"/>
    <s v="超级全域通"/>
    <x v="1"/>
    <x v="0"/>
  </r>
  <r>
    <x v="0"/>
    <x v="22"/>
    <x v="0"/>
    <x v="0"/>
    <x v="1"/>
    <n v="152039"/>
    <n v="136684"/>
    <n v="624"/>
    <n v="640"/>
    <n v="536160"/>
    <n v="50"/>
    <n v="185775"/>
    <n v="20"/>
    <n v="3633"/>
    <n v="152022"/>
    <n v="2025"/>
    <x v="11"/>
    <s v="引力魔方"/>
    <x v="1"/>
    <x v="0"/>
  </r>
  <r>
    <x v="0"/>
    <x v="22"/>
    <x v="0"/>
    <x v="0"/>
    <x v="2"/>
    <n v="67153"/>
    <n v="63677"/>
    <n v="511"/>
    <n v="334"/>
    <n v="844985"/>
    <n v="91"/>
    <n v="196200"/>
    <n v="32"/>
    <n v="4199"/>
    <n v="66511"/>
    <n v="2025"/>
    <x v="11"/>
    <s v="直通车"/>
    <x v="1"/>
    <x v="0"/>
  </r>
  <r>
    <x v="0"/>
    <x v="22"/>
    <x v="0"/>
    <x v="0"/>
    <x v="0"/>
    <n v="95750"/>
    <n v="83784"/>
    <n v="766"/>
    <n v="978"/>
    <n v="819470"/>
    <n v="79"/>
    <n v="250710"/>
    <n v="44"/>
    <n v="18916"/>
    <n v="87556"/>
    <n v="2025"/>
    <x v="11"/>
    <s v="万相台"/>
    <x v="1"/>
    <x v="0"/>
  </r>
  <r>
    <x v="0"/>
    <x v="22"/>
    <x v="0"/>
    <x v="7"/>
    <x v="22"/>
    <n v="2"/>
    <n v="1"/>
    <n v="0"/>
    <n v="0"/>
    <n v="0"/>
    <n v="0"/>
    <n v="0"/>
    <n v="0"/>
    <n v="1"/>
    <n v="1"/>
    <n v="2025"/>
    <x v="11"/>
    <s v="UD效果投放"/>
    <x v="1"/>
    <x v="0"/>
  </r>
  <r>
    <x v="0"/>
    <x v="22"/>
    <x v="0"/>
    <x v="7"/>
    <x v="23"/>
    <n v="20"/>
    <n v="17"/>
    <n v="2"/>
    <n v="1"/>
    <n v="0"/>
    <n v="0"/>
    <n v="0"/>
    <n v="0"/>
    <n v="8"/>
    <n v="16"/>
    <n v="2025"/>
    <x v="11"/>
    <s v="流量宝"/>
    <x v="1"/>
    <x v="0"/>
  </r>
  <r>
    <x v="0"/>
    <x v="22"/>
    <x v="0"/>
    <x v="7"/>
    <x v="24"/>
    <n v="8670"/>
    <n v="5019"/>
    <n v="12"/>
    <n v="11"/>
    <n v="81895"/>
    <n v="4"/>
    <n v="81895"/>
    <n v="4"/>
    <n v="62"/>
    <n v="8640"/>
    <n v="2025"/>
    <x v="11"/>
    <s v="淘宝客"/>
    <x v="1"/>
    <x v="0"/>
  </r>
  <r>
    <x v="0"/>
    <x v="23"/>
    <x v="1"/>
    <x v="8"/>
    <x v="25"/>
    <n v="530"/>
    <n v="359"/>
    <n v="9"/>
    <n v="8"/>
    <n v="29990"/>
    <n v="1"/>
    <n v="14995"/>
    <n v="1"/>
    <m/>
    <n v="529"/>
    <n v="2024"/>
    <x v="11"/>
    <s v="主会场"/>
    <x v="0"/>
    <x v="0"/>
  </r>
  <r>
    <x v="0"/>
    <x v="23"/>
    <x v="1"/>
    <x v="8"/>
    <x v="26"/>
    <n v="23"/>
    <n v="23"/>
    <n v="1"/>
    <n v="0"/>
    <n v="0"/>
    <n v="0"/>
    <n v="0"/>
    <n v="0"/>
    <m/>
    <n v="23"/>
    <n v="2024"/>
    <x v="11"/>
    <s v="榜单会场"/>
    <x v="0"/>
    <x v="0"/>
  </r>
  <r>
    <x v="0"/>
    <x v="23"/>
    <x v="1"/>
    <x v="9"/>
    <x v="27"/>
    <n v="362"/>
    <n v="350"/>
    <n v="1"/>
    <n v="1"/>
    <n v="0"/>
    <n v="0"/>
    <n v="0"/>
    <n v="0"/>
    <m/>
    <n v="362"/>
    <n v="2024"/>
    <x v="11"/>
    <s v="超级惊喜站"/>
    <x v="0"/>
    <x v="0"/>
  </r>
  <r>
    <x v="0"/>
    <x v="23"/>
    <x v="1"/>
    <x v="1"/>
    <x v="3"/>
    <n v="15"/>
    <n v="14"/>
    <n v="0"/>
    <n v="0"/>
    <n v="0"/>
    <n v="0"/>
    <n v="0"/>
    <n v="0"/>
    <m/>
    <n v="15"/>
    <n v="2024"/>
    <x v="11"/>
    <s v="其他入口榜单"/>
    <x v="0"/>
    <x v="0"/>
  </r>
  <r>
    <x v="0"/>
    <x v="23"/>
    <x v="1"/>
    <x v="1"/>
    <x v="28"/>
    <n v="31"/>
    <n v="30"/>
    <n v="0"/>
    <n v="0"/>
    <n v="0"/>
    <n v="0"/>
    <n v="0"/>
    <n v="0"/>
    <m/>
    <n v="31"/>
    <n v="2024"/>
    <x v="11"/>
    <s v="商品详情页入口榜单"/>
    <x v="0"/>
    <x v="0"/>
  </r>
  <r>
    <x v="0"/>
    <x v="23"/>
    <x v="1"/>
    <x v="1"/>
    <x v="35"/>
    <n v="39"/>
    <n v="38"/>
    <n v="0"/>
    <n v="1"/>
    <n v="0"/>
    <n v="0"/>
    <n v="0"/>
    <n v="0"/>
    <m/>
    <n v="39"/>
    <n v="2024"/>
    <x v="11"/>
    <s v="搜索入口榜单"/>
    <x v="0"/>
    <x v="0"/>
  </r>
  <r>
    <x v="0"/>
    <x v="23"/>
    <x v="1"/>
    <x v="2"/>
    <x v="4"/>
    <n v="7"/>
    <n v="7"/>
    <n v="0"/>
    <n v="0"/>
    <n v="0"/>
    <n v="0"/>
    <n v="0"/>
    <n v="0"/>
    <m/>
    <n v="2"/>
    <n v="2024"/>
    <x v="11"/>
    <s v="手机浏览器访问天猫"/>
    <x v="0"/>
    <x v="0"/>
  </r>
  <r>
    <x v="0"/>
    <x v="23"/>
    <x v="1"/>
    <x v="2"/>
    <x v="5"/>
    <n v="952"/>
    <n v="729"/>
    <n v="29"/>
    <n v="0"/>
    <n v="35545"/>
    <n v="7"/>
    <n v="28250"/>
    <n v="6"/>
    <m/>
    <n v="868"/>
    <n v="2024"/>
    <x v="11"/>
    <s v="手猫免费其他"/>
    <x v="0"/>
    <x v="0"/>
  </r>
  <r>
    <x v="0"/>
    <x v="23"/>
    <x v="1"/>
    <x v="2"/>
    <x v="6"/>
    <n v="112"/>
    <n v="88"/>
    <n v="7"/>
    <n v="0"/>
    <n v="6895"/>
    <n v="1"/>
    <n v="6895"/>
    <n v="1"/>
    <m/>
    <n v="112"/>
    <n v="2024"/>
    <x v="11"/>
    <s v="手猫其他店铺"/>
    <x v="0"/>
    <x v="0"/>
  </r>
  <r>
    <x v="0"/>
    <x v="23"/>
    <x v="1"/>
    <x v="2"/>
    <x v="7"/>
    <n v="357"/>
    <n v="233"/>
    <n v="12"/>
    <n v="0"/>
    <n v="9785"/>
    <n v="2"/>
    <n v="6790"/>
    <n v="2"/>
    <m/>
    <n v="344"/>
    <n v="2024"/>
    <x v="11"/>
    <s v="手猫商品详情"/>
    <x v="0"/>
    <x v="0"/>
  </r>
  <r>
    <x v="0"/>
    <x v="23"/>
    <x v="1"/>
    <x v="2"/>
    <x v="8"/>
    <n v="922"/>
    <n v="810"/>
    <n v="16"/>
    <n v="0"/>
    <n v="13955"/>
    <n v="4"/>
    <n v="13955"/>
    <n v="4"/>
    <m/>
    <n v="670"/>
    <n v="2024"/>
    <x v="11"/>
    <s v="手猫搜索"/>
    <x v="0"/>
    <x v="0"/>
  </r>
  <r>
    <x v="0"/>
    <x v="23"/>
    <x v="1"/>
    <x v="2"/>
    <x v="9"/>
    <n v="40"/>
    <n v="22"/>
    <n v="0"/>
    <n v="0"/>
    <n v="15345"/>
    <n v="2"/>
    <n v="15345"/>
    <n v="2"/>
    <m/>
    <n v="39"/>
    <n v="2024"/>
    <x v="11"/>
    <s v="手猫旺信聊天"/>
    <x v="0"/>
    <x v="0"/>
  </r>
  <r>
    <x v="0"/>
    <x v="23"/>
    <x v="1"/>
    <x v="2"/>
    <x v="10"/>
    <n v="3024"/>
    <n v="2567"/>
    <n v="28"/>
    <n v="0"/>
    <n v="22635"/>
    <n v="5"/>
    <n v="22635"/>
    <n v="5"/>
    <m/>
    <n v="3024"/>
    <n v="2024"/>
    <x v="11"/>
    <s v="手猫首页"/>
    <x v="0"/>
    <x v="0"/>
  </r>
  <r>
    <x v="0"/>
    <x v="23"/>
    <x v="1"/>
    <x v="3"/>
    <x v="11"/>
    <n v="596"/>
    <n v="339"/>
    <n v="18"/>
    <n v="7"/>
    <n v="15145"/>
    <n v="2"/>
    <n v="15145"/>
    <n v="2"/>
    <m/>
    <n v="523"/>
    <n v="2024"/>
    <x v="11"/>
    <s v="商品详情页头图推荐"/>
    <x v="0"/>
    <x v="0"/>
  </r>
  <r>
    <x v="0"/>
    <x v="23"/>
    <x v="1"/>
    <x v="3"/>
    <x v="12"/>
    <n v="407"/>
    <n v="328"/>
    <n v="13"/>
    <n v="3"/>
    <n v="14995"/>
    <n v="1"/>
    <n v="14995"/>
    <n v="1"/>
    <m/>
    <n v="171"/>
    <n v="2024"/>
    <x v="11"/>
    <s v="店铺超链"/>
    <x v="0"/>
    <x v="0"/>
  </r>
  <r>
    <x v="0"/>
    <x v="23"/>
    <x v="1"/>
    <x v="4"/>
    <x v="13"/>
    <n v="1218"/>
    <n v="806"/>
    <n v="31"/>
    <n v="18"/>
    <n v="19790"/>
    <n v="3"/>
    <n v="7840"/>
    <n v="2"/>
    <m/>
    <n v="994"/>
    <n v="2024"/>
    <x v="11"/>
    <s v="其他猜你喜欢"/>
    <x v="0"/>
    <x v="0"/>
  </r>
  <r>
    <x v="0"/>
    <x v="23"/>
    <x v="1"/>
    <x v="4"/>
    <x v="15"/>
    <n v="25"/>
    <n v="13"/>
    <n v="0"/>
    <n v="0"/>
    <n v="0"/>
    <n v="0"/>
    <n v="0"/>
    <n v="0"/>
    <m/>
    <n v="25"/>
    <n v="2024"/>
    <x v="11"/>
    <s v="购中推荐"/>
    <x v="0"/>
    <x v="0"/>
  </r>
  <r>
    <x v="0"/>
    <x v="23"/>
    <x v="1"/>
    <x v="4"/>
    <x v="16"/>
    <n v="209"/>
    <n v="153"/>
    <n v="1"/>
    <n v="0"/>
    <n v="0"/>
    <n v="0"/>
    <n v="0"/>
    <n v="0"/>
    <m/>
    <n v="209"/>
    <n v="2024"/>
    <x v="11"/>
    <s v="购后推荐"/>
    <x v="0"/>
    <x v="0"/>
  </r>
  <r>
    <x v="0"/>
    <x v="23"/>
    <x v="1"/>
    <x v="4"/>
    <x v="17"/>
    <n v="4860"/>
    <n v="3578"/>
    <n v="62"/>
    <n v="32"/>
    <n v="77255"/>
    <n v="7"/>
    <n v="77255"/>
    <n v="7"/>
    <m/>
    <n v="4860"/>
    <n v="2024"/>
    <x v="11"/>
    <s v="首页推荐-微详情"/>
    <x v="0"/>
    <x v="0"/>
  </r>
  <r>
    <x v="0"/>
    <x v="23"/>
    <x v="1"/>
    <x v="4"/>
    <x v="18"/>
    <n v="82"/>
    <n v="63"/>
    <n v="0"/>
    <n v="0"/>
    <n v="0"/>
    <n v="0"/>
    <n v="0"/>
    <n v="0"/>
    <m/>
    <n v="13"/>
    <n v="2024"/>
    <x v="11"/>
    <s v="首页推荐-直播"/>
    <x v="0"/>
    <x v="0"/>
  </r>
  <r>
    <x v="0"/>
    <x v="23"/>
    <x v="1"/>
    <x v="4"/>
    <x v="19"/>
    <n v="18"/>
    <n v="10"/>
    <n v="0"/>
    <n v="0"/>
    <n v="0"/>
    <n v="0"/>
    <n v="0"/>
    <n v="0"/>
    <m/>
    <n v="1"/>
    <n v="2024"/>
    <x v="11"/>
    <s v="首页推荐-短视频"/>
    <x v="0"/>
    <x v="0"/>
  </r>
  <r>
    <x v="0"/>
    <x v="23"/>
    <x v="1"/>
    <x v="12"/>
    <x v="42"/>
    <n v="8896"/>
    <n v="8032"/>
    <n v="243"/>
    <n v="121"/>
    <n v="252380"/>
    <n v="34"/>
    <n v="163460"/>
    <n v="25"/>
    <m/>
    <n v="7619"/>
    <n v="2024"/>
    <x v="11"/>
    <s v="手淘搜索-商品及其他"/>
    <x v="0"/>
    <x v="0"/>
  </r>
  <r>
    <x v="0"/>
    <x v="23"/>
    <x v="1"/>
    <x v="12"/>
    <x v="43"/>
    <n v="16"/>
    <n v="12"/>
    <n v="0"/>
    <n v="0"/>
    <n v="0"/>
    <n v="0"/>
    <n v="0"/>
    <n v="0"/>
    <m/>
    <n v="11"/>
    <n v="2024"/>
    <x v="11"/>
    <s v="手淘搜索-直播"/>
    <x v="0"/>
    <x v="0"/>
  </r>
  <r>
    <x v="0"/>
    <x v="23"/>
    <x v="1"/>
    <x v="12"/>
    <x v="44"/>
    <n v="161"/>
    <n v="105"/>
    <n v="2"/>
    <n v="0"/>
    <n v="3395"/>
    <n v="1"/>
    <n v="3395"/>
    <n v="1"/>
    <m/>
    <n v="39"/>
    <n v="2024"/>
    <x v="11"/>
    <s v="手淘搜索-短视频"/>
    <x v="0"/>
    <x v="0"/>
  </r>
  <r>
    <x v="0"/>
    <x v="23"/>
    <x v="1"/>
    <x v="11"/>
    <x v="36"/>
    <n v="9"/>
    <n v="1"/>
    <n v="0"/>
    <n v="0"/>
    <n v="0"/>
    <n v="0"/>
    <n v="0"/>
    <n v="0"/>
    <m/>
    <n v="9"/>
    <n v="2024"/>
    <x v="11"/>
    <s v="淘特互动游戏"/>
    <x v="0"/>
    <x v="0"/>
  </r>
  <r>
    <x v="0"/>
    <x v="23"/>
    <x v="1"/>
    <x v="11"/>
    <x v="37"/>
    <n v="221"/>
    <n v="213"/>
    <n v="0"/>
    <n v="0"/>
    <n v="0"/>
    <n v="0"/>
    <n v="0"/>
    <n v="0"/>
    <m/>
    <n v="220"/>
    <n v="2024"/>
    <x v="11"/>
    <s v="淘特其他渠道"/>
    <x v="0"/>
    <x v="0"/>
  </r>
  <r>
    <x v="0"/>
    <x v="23"/>
    <x v="1"/>
    <x v="11"/>
    <x v="38"/>
    <n v="1"/>
    <n v="0"/>
    <n v="0"/>
    <n v="0"/>
    <n v="0"/>
    <n v="0"/>
    <n v="0"/>
    <n v="0"/>
    <m/>
    <n v="1"/>
    <n v="2024"/>
    <x v="11"/>
    <s v="淘特推荐"/>
    <x v="0"/>
    <x v="0"/>
  </r>
  <r>
    <x v="0"/>
    <x v="23"/>
    <x v="1"/>
    <x v="11"/>
    <x v="39"/>
    <n v="12"/>
    <n v="11"/>
    <n v="0"/>
    <n v="0"/>
    <n v="0"/>
    <n v="0"/>
    <n v="0"/>
    <n v="0"/>
    <m/>
    <n v="12"/>
    <n v="2024"/>
    <x v="11"/>
    <s v="淘特搜索"/>
    <x v="0"/>
    <x v="0"/>
  </r>
  <r>
    <x v="0"/>
    <x v="23"/>
    <x v="1"/>
    <x v="11"/>
    <x v="40"/>
    <n v="1"/>
    <n v="1"/>
    <n v="0"/>
    <n v="0"/>
    <n v="0"/>
    <n v="0"/>
    <n v="0"/>
    <n v="0"/>
    <m/>
    <n v="1"/>
    <n v="2024"/>
    <x v="11"/>
    <s v="淘特自主访问"/>
    <x v="0"/>
    <x v="0"/>
  </r>
  <r>
    <x v="0"/>
    <x v="23"/>
    <x v="0"/>
    <x v="5"/>
    <x v="20"/>
    <n v="3"/>
    <n v="2"/>
    <n v="0"/>
    <n v="0"/>
    <n v="0"/>
    <n v="0"/>
    <n v="0"/>
    <n v="0"/>
    <m/>
    <n v="0"/>
    <n v="2024"/>
    <x v="11"/>
    <s v="超级短视频"/>
    <x v="0"/>
    <x v="0"/>
  </r>
  <r>
    <x v="0"/>
    <x v="23"/>
    <x v="0"/>
    <x v="6"/>
    <x v="45"/>
    <n v="1"/>
    <n v="0"/>
    <n v="0"/>
    <n v="0"/>
    <n v="0"/>
    <n v="0"/>
    <n v="0"/>
    <n v="0"/>
    <m/>
    <n v="1"/>
    <n v="2024"/>
    <x v="11"/>
    <s v="品牌定制"/>
    <x v="0"/>
    <x v="0"/>
  </r>
  <r>
    <x v="0"/>
    <x v="23"/>
    <x v="0"/>
    <x v="6"/>
    <x v="21"/>
    <n v="23671"/>
    <n v="22929"/>
    <n v="338"/>
    <n v="120"/>
    <n v="426485"/>
    <n v="49"/>
    <n v="388805"/>
    <n v="44"/>
    <m/>
    <n v="10583"/>
    <n v="2024"/>
    <x v="11"/>
    <s v="品销宝-品牌专区"/>
    <x v="0"/>
    <x v="0"/>
  </r>
  <r>
    <x v="0"/>
    <x v="23"/>
    <x v="0"/>
    <x v="6"/>
    <x v="49"/>
    <n v="1"/>
    <n v="1"/>
    <n v="0"/>
    <n v="0"/>
    <n v="0"/>
    <n v="0"/>
    <n v="0"/>
    <n v="0"/>
    <m/>
    <n v="1"/>
    <n v="2024"/>
    <x v="11"/>
    <s v="超级全域通"/>
    <x v="0"/>
    <x v="0"/>
  </r>
  <r>
    <x v="0"/>
    <x v="23"/>
    <x v="0"/>
    <x v="0"/>
    <x v="2"/>
    <n v="37039"/>
    <n v="35403"/>
    <n v="397"/>
    <n v="271"/>
    <n v="357810"/>
    <n v="51"/>
    <n v="193400"/>
    <n v="35"/>
    <m/>
    <n v="36646"/>
    <n v="2024"/>
    <x v="11"/>
    <s v="直通车"/>
    <x v="0"/>
    <x v="0"/>
  </r>
  <r>
    <x v="0"/>
    <x v="23"/>
    <x v="0"/>
    <x v="0"/>
    <x v="0"/>
    <n v="28919"/>
    <n v="26127"/>
    <n v="417"/>
    <n v="224"/>
    <n v="316981.67"/>
    <n v="47"/>
    <n v="211656.67"/>
    <n v="35"/>
    <m/>
    <n v="28874"/>
    <n v="2024"/>
    <x v="11"/>
    <s v="万相台"/>
    <x v="0"/>
    <x v="0"/>
  </r>
  <r>
    <x v="0"/>
    <x v="23"/>
    <x v="0"/>
    <x v="0"/>
    <x v="1"/>
    <n v="63609"/>
    <n v="57799"/>
    <n v="322"/>
    <n v="330"/>
    <n v="149750"/>
    <n v="17"/>
    <n v="84270"/>
    <n v="10"/>
    <m/>
    <n v="63593"/>
    <n v="2024"/>
    <x v="11"/>
    <s v="引力魔方"/>
    <x v="0"/>
    <x v="0"/>
  </r>
  <r>
    <x v="0"/>
    <x v="23"/>
    <x v="0"/>
    <x v="7"/>
    <x v="22"/>
    <n v="1"/>
    <n v="1"/>
    <n v="0"/>
    <n v="0"/>
    <n v="0"/>
    <n v="0"/>
    <n v="0"/>
    <n v="0"/>
    <m/>
    <n v="1"/>
    <n v="2024"/>
    <x v="11"/>
    <s v="UD效果投放"/>
    <x v="0"/>
    <x v="0"/>
  </r>
  <r>
    <x v="0"/>
    <x v="23"/>
    <x v="0"/>
    <x v="7"/>
    <x v="23"/>
    <n v="16"/>
    <n v="11"/>
    <n v="0"/>
    <n v="0"/>
    <n v="0"/>
    <n v="0"/>
    <n v="0"/>
    <n v="0"/>
    <m/>
    <n v="13"/>
    <n v="2024"/>
    <x v="11"/>
    <s v="流量宝"/>
    <x v="0"/>
    <x v="0"/>
  </r>
  <r>
    <x v="0"/>
    <x v="23"/>
    <x v="0"/>
    <x v="7"/>
    <x v="24"/>
    <n v="3758"/>
    <n v="1994"/>
    <n v="13"/>
    <n v="6"/>
    <n v="37295"/>
    <n v="9"/>
    <n v="37295"/>
    <n v="9"/>
    <m/>
    <n v="3548"/>
    <n v="2024"/>
    <x v="11"/>
    <s v="淘宝客"/>
    <x v="0"/>
    <x v="0"/>
  </r>
  <r>
    <x v="0"/>
    <x v="24"/>
    <x v="1"/>
    <x v="3"/>
    <x v="11"/>
    <n v="1835"/>
    <n v="1253"/>
    <n v="56"/>
    <n v="25"/>
    <n v="18535"/>
    <n v="5"/>
    <n v="15540"/>
    <n v="4"/>
    <n v="411"/>
    <n v="1778"/>
    <n v="2025"/>
    <x v="0"/>
    <s v="商品详情页头图推荐"/>
    <x v="2"/>
    <x v="0"/>
  </r>
  <r>
    <x v="0"/>
    <x v="24"/>
    <x v="1"/>
    <x v="3"/>
    <x v="12"/>
    <n v="445"/>
    <n v="347"/>
    <n v="9"/>
    <n v="2"/>
    <n v="15385"/>
    <n v="2"/>
    <n v="9390"/>
    <n v="1"/>
    <n v="402"/>
    <n v="169"/>
    <n v="2025"/>
    <x v="0"/>
    <s v="店铺超链"/>
    <x v="2"/>
    <x v="0"/>
  </r>
  <r>
    <x v="0"/>
    <x v="24"/>
    <x v="1"/>
    <x v="4"/>
    <x v="13"/>
    <n v="3365"/>
    <n v="2638"/>
    <n v="32"/>
    <n v="33"/>
    <n v="60720"/>
    <n v="7"/>
    <n v="41525"/>
    <n v="6"/>
    <n v="507"/>
    <n v="2948"/>
    <n v="2025"/>
    <x v="0"/>
    <s v="其他猜你喜欢"/>
    <x v="2"/>
    <x v="0"/>
  </r>
  <r>
    <x v="0"/>
    <x v="24"/>
    <x v="1"/>
    <x v="4"/>
    <x v="15"/>
    <n v="211"/>
    <n v="173"/>
    <n v="1"/>
    <n v="1"/>
    <n v="0"/>
    <n v="0"/>
    <n v="0"/>
    <n v="0"/>
    <n v="10"/>
    <n v="183"/>
    <n v="2025"/>
    <x v="0"/>
    <s v="购中推荐"/>
    <x v="2"/>
    <x v="0"/>
  </r>
  <r>
    <x v="0"/>
    <x v="24"/>
    <x v="1"/>
    <x v="4"/>
    <x v="16"/>
    <n v="1736"/>
    <n v="1550"/>
    <n v="8"/>
    <n v="6"/>
    <n v="0"/>
    <n v="0"/>
    <n v="0"/>
    <n v="0"/>
    <n v="57"/>
    <n v="1440"/>
    <n v="2025"/>
    <x v="0"/>
    <s v="购后推荐"/>
    <x v="2"/>
    <x v="0"/>
  </r>
  <r>
    <x v="0"/>
    <x v="24"/>
    <x v="1"/>
    <x v="4"/>
    <x v="17"/>
    <n v="25649"/>
    <n v="23024"/>
    <n v="254"/>
    <n v="171"/>
    <n v="192535"/>
    <n v="24"/>
    <n v="93065"/>
    <n v="13"/>
    <n v="1484"/>
    <n v="25649"/>
    <n v="2025"/>
    <x v="0"/>
    <s v="首页推荐-微详情"/>
    <x v="2"/>
    <x v="0"/>
  </r>
  <r>
    <x v="0"/>
    <x v="24"/>
    <x v="1"/>
    <x v="4"/>
    <x v="18"/>
    <n v="1841"/>
    <n v="1703"/>
    <n v="2"/>
    <n v="0"/>
    <n v="4695"/>
    <n v="1"/>
    <n v="4695"/>
    <n v="1"/>
    <n v="7"/>
    <n v="97"/>
    <n v="2025"/>
    <x v="0"/>
    <s v="首页推荐-直播"/>
    <x v="2"/>
    <x v="0"/>
  </r>
  <r>
    <x v="0"/>
    <x v="24"/>
    <x v="1"/>
    <x v="4"/>
    <x v="19"/>
    <n v="6246"/>
    <n v="5701"/>
    <n v="4"/>
    <n v="2"/>
    <n v="4895"/>
    <n v="1"/>
    <n v="0"/>
    <n v="0"/>
    <n v="33"/>
    <n v="161"/>
    <n v="2025"/>
    <x v="0"/>
    <s v="首页推荐-短视频"/>
    <x v="2"/>
    <x v="0"/>
  </r>
  <r>
    <x v="0"/>
    <x v="24"/>
    <x v="1"/>
    <x v="12"/>
    <x v="42"/>
    <n v="11522"/>
    <n v="10495"/>
    <n v="244"/>
    <n v="109"/>
    <n v="223842.98"/>
    <n v="32"/>
    <n v="111517.98"/>
    <n v="23"/>
    <n v="6389"/>
    <n v="7119"/>
    <n v="2025"/>
    <x v="0"/>
    <s v="手淘搜索-商品及其他"/>
    <x v="2"/>
    <x v="0"/>
  </r>
  <r>
    <x v="0"/>
    <x v="24"/>
    <x v="1"/>
    <x v="12"/>
    <x v="43"/>
    <n v="30"/>
    <n v="26"/>
    <n v="0"/>
    <n v="0"/>
    <n v="0"/>
    <n v="0"/>
    <n v="0"/>
    <n v="0"/>
    <n v="2"/>
    <n v="14"/>
    <n v="2025"/>
    <x v="0"/>
    <s v="手淘搜索-直播"/>
    <x v="2"/>
    <x v="0"/>
  </r>
  <r>
    <x v="0"/>
    <x v="24"/>
    <x v="1"/>
    <x v="12"/>
    <x v="44"/>
    <n v="85"/>
    <n v="49"/>
    <n v="1"/>
    <n v="1"/>
    <n v="0"/>
    <n v="0"/>
    <n v="0"/>
    <n v="0"/>
    <n v="6"/>
    <n v="84"/>
    <n v="2025"/>
    <x v="0"/>
    <s v="手淘搜索-短视频"/>
    <x v="2"/>
    <x v="0"/>
  </r>
  <r>
    <x v="0"/>
    <x v="24"/>
    <x v="1"/>
    <x v="11"/>
    <x v="37"/>
    <n v="107"/>
    <n v="100"/>
    <n v="0"/>
    <n v="0"/>
    <n v="0"/>
    <n v="0"/>
    <n v="0"/>
    <n v="0"/>
    <n v="3"/>
    <n v="107"/>
    <n v="2025"/>
    <x v="0"/>
    <s v="淘特其他渠道"/>
    <x v="2"/>
    <x v="0"/>
  </r>
  <r>
    <x v="0"/>
    <x v="24"/>
    <x v="1"/>
    <x v="11"/>
    <x v="39"/>
    <n v="386"/>
    <n v="378"/>
    <n v="0"/>
    <n v="1"/>
    <n v="0"/>
    <n v="0"/>
    <n v="0"/>
    <n v="0"/>
    <n v="0"/>
    <n v="386"/>
    <n v="2025"/>
    <x v="0"/>
    <s v="淘特搜索"/>
    <x v="2"/>
    <x v="0"/>
  </r>
  <r>
    <x v="0"/>
    <x v="24"/>
    <x v="1"/>
    <x v="11"/>
    <x v="40"/>
    <n v="3"/>
    <n v="2"/>
    <n v="0"/>
    <n v="1"/>
    <n v="0"/>
    <n v="0"/>
    <n v="0"/>
    <n v="0"/>
    <n v="0"/>
    <n v="3"/>
    <n v="2025"/>
    <x v="0"/>
    <s v="淘特自主访问"/>
    <x v="2"/>
    <x v="0"/>
  </r>
  <r>
    <x v="0"/>
    <x v="24"/>
    <x v="0"/>
    <x v="5"/>
    <x v="41"/>
    <n v="6361"/>
    <n v="5562"/>
    <n v="26"/>
    <n v="5"/>
    <n v="0"/>
    <n v="0"/>
    <n v="0"/>
    <n v="0"/>
    <n v="129"/>
    <n v="1994"/>
    <n v="2025"/>
    <x v="0"/>
    <s v="超级直播"/>
    <x v="2"/>
    <x v="0"/>
  </r>
  <r>
    <x v="0"/>
    <x v="24"/>
    <x v="0"/>
    <x v="5"/>
    <x v="20"/>
    <n v="6"/>
    <n v="6"/>
    <n v="1"/>
    <n v="0"/>
    <n v="0"/>
    <n v="0"/>
    <n v="0"/>
    <n v="0"/>
    <n v="0"/>
    <n v="6"/>
    <n v="2025"/>
    <x v="0"/>
    <s v="超级短视频"/>
    <x v="2"/>
    <x v="0"/>
  </r>
  <r>
    <x v="0"/>
    <x v="24"/>
    <x v="0"/>
    <x v="6"/>
    <x v="45"/>
    <n v="1"/>
    <n v="1"/>
    <n v="0"/>
    <n v="0"/>
    <n v="0"/>
    <n v="0"/>
    <n v="0"/>
    <n v="0"/>
    <n v="0"/>
    <n v="1"/>
    <n v="2025"/>
    <x v="0"/>
    <s v="品牌定制"/>
    <x v="2"/>
    <x v="0"/>
  </r>
  <r>
    <x v="0"/>
    <x v="24"/>
    <x v="0"/>
    <x v="6"/>
    <x v="21"/>
    <n v="2"/>
    <n v="2"/>
    <n v="0"/>
    <n v="0"/>
    <n v="0"/>
    <n v="0"/>
    <n v="0"/>
    <n v="0"/>
    <n v="2"/>
    <n v="0"/>
    <n v="2025"/>
    <x v="0"/>
    <s v="品销宝-品牌专区"/>
    <x v="2"/>
    <x v="0"/>
  </r>
  <r>
    <x v="0"/>
    <x v="24"/>
    <x v="0"/>
    <x v="6"/>
    <x v="49"/>
    <n v="1"/>
    <n v="0"/>
    <n v="0"/>
    <n v="0"/>
    <n v="0"/>
    <n v="0"/>
    <n v="0"/>
    <n v="0"/>
    <n v="0"/>
    <n v="1"/>
    <n v="2025"/>
    <x v="0"/>
    <s v="超级全域通"/>
    <x v="2"/>
    <x v="0"/>
  </r>
  <r>
    <x v="0"/>
    <x v="24"/>
    <x v="0"/>
    <x v="0"/>
    <x v="1"/>
    <n v="147094"/>
    <n v="138420"/>
    <n v="602"/>
    <n v="538"/>
    <n v="294280"/>
    <n v="48"/>
    <n v="114465"/>
    <n v="23"/>
    <n v="3804"/>
    <n v="147085"/>
    <n v="2025"/>
    <x v="0"/>
    <s v="引力魔方"/>
    <x v="2"/>
    <x v="0"/>
  </r>
  <r>
    <x v="0"/>
    <x v="24"/>
    <x v="0"/>
    <x v="0"/>
    <x v="2"/>
    <n v="70348"/>
    <n v="67008"/>
    <n v="535"/>
    <n v="334"/>
    <n v="706095"/>
    <n v="107"/>
    <n v="328210"/>
    <n v="59"/>
    <n v="4310"/>
    <n v="69666"/>
    <n v="2025"/>
    <x v="0"/>
    <s v="直通车"/>
    <x v="2"/>
    <x v="0"/>
  </r>
  <r>
    <x v="0"/>
    <x v="24"/>
    <x v="0"/>
    <x v="0"/>
    <x v="0"/>
    <n v="37920"/>
    <n v="34410"/>
    <n v="784"/>
    <n v="1512"/>
    <n v="343830"/>
    <n v="48"/>
    <n v="174160"/>
    <n v="30"/>
    <n v="14958"/>
    <n v="31000"/>
    <n v="2025"/>
    <x v="0"/>
    <s v="万相台"/>
    <x v="2"/>
    <x v="0"/>
  </r>
  <r>
    <x v="0"/>
    <x v="24"/>
    <x v="0"/>
    <x v="7"/>
    <x v="22"/>
    <n v="1"/>
    <n v="1"/>
    <n v="0"/>
    <n v="0"/>
    <n v="0"/>
    <n v="0"/>
    <n v="0"/>
    <n v="0"/>
    <n v="0"/>
    <n v="1"/>
    <n v="2025"/>
    <x v="0"/>
    <s v="UD效果投放"/>
    <x v="2"/>
    <x v="0"/>
  </r>
  <r>
    <x v="0"/>
    <x v="24"/>
    <x v="0"/>
    <x v="7"/>
    <x v="23"/>
    <n v="12"/>
    <n v="11"/>
    <n v="0"/>
    <n v="0"/>
    <n v="0"/>
    <n v="0"/>
    <n v="0"/>
    <n v="0"/>
    <n v="1"/>
    <n v="10"/>
    <n v="2025"/>
    <x v="0"/>
    <s v="流量宝"/>
    <x v="2"/>
    <x v="0"/>
  </r>
  <r>
    <x v="0"/>
    <x v="24"/>
    <x v="0"/>
    <x v="7"/>
    <x v="24"/>
    <n v="3515"/>
    <n v="2112"/>
    <n v="13"/>
    <n v="9"/>
    <n v="57290"/>
    <n v="7"/>
    <n v="43205"/>
    <n v="6"/>
    <n v="55"/>
    <n v="3482"/>
    <n v="2025"/>
    <x v="0"/>
    <s v="淘宝客"/>
    <x v="2"/>
    <x v="0"/>
  </r>
  <r>
    <x v="0"/>
    <x v="25"/>
    <x v="1"/>
    <x v="8"/>
    <x v="25"/>
    <n v="1985"/>
    <n v="970"/>
    <n v="90"/>
    <n v="47"/>
    <n v="45574"/>
    <n v="17"/>
    <n v="25656"/>
    <n v="11"/>
    <n v="225"/>
    <n v="1943"/>
    <n v="2025"/>
    <x v="1"/>
    <s v="主会场"/>
    <x v="2"/>
    <x v="0"/>
  </r>
  <r>
    <x v="0"/>
    <x v="25"/>
    <x v="1"/>
    <x v="1"/>
    <x v="3"/>
    <n v="9"/>
    <n v="8"/>
    <n v="0"/>
    <n v="0"/>
    <n v="0"/>
    <n v="0"/>
    <n v="0"/>
    <n v="0"/>
    <n v="2"/>
    <n v="9"/>
    <n v="2025"/>
    <x v="1"/>
    <s v="其他入口榜单"/>
    <x v="2"/>
    <x v="0"/>
  </r>
  <r>
    <x v="0"/>
    <x v="25"/>
    <x v="1"/>
    <x v="3"/>
    <x v="11"/>
    <n v="4796"/>
    <n v="2892"/>
    <n v="307"/>
    <n v="111"/>
    <n v="214166.51"/>
    <n v="67"/>
    <n v="157559.51"/>
    <n v="54"/>
    <n v="1115"/>
    <n v="4660"/>
    <n v="2025"/>
    <x v="1"/>
    <s v="商品详情页头图推荐"/>
    <x v="2"/>
    <x v="0"/>
  </r>
  <r>
    <x v="0"/>
    <x v="25"/>
    <x v="1"/>
    <x v="3"/>
    <x v="12"/>
    <n v="761"/>
    <n v="506"/>
    <n v="34"/>
    <n v="4"/>
    <n v="35404"/>
    <n v="11"/>
    <n v="35404"/>
    <n v="11"/>
    <n v="693"/>
    <n v="309"/>
    <n v="2025"/>
    <x v="1"/>
    <s v="店铺超链"/>
    <x v="2"/>
    <x v="0"/>
  </r>
  <r>
    <x v="0"/>
    <x v="25"/>
    <x v="1"/>
    <x v="4"/>
    <x v="13"/>
    <n v="5272"/>
    <n v="3636"/>
    <n v="167"/>
    <n v="73"/>
    <n v="257190.06"/>
    <n v="73"/>
    <n v="140694.06"/>
    <n v="55"/>
    <n v="875"/>
    <n v="4660"/>
    <n v="2025"/>
    <x v="1"/>
    <s v="其他猜你喜欢"/>
    <x v="2"/>
    <x v="0"/>
  </r>
  <r>
    <x v="0"/>
    <x v="25"/>
    <x v="1"/>
    <x v="4"/>
    <x v="15"/>
    <n v="260"/>
    <n v="176"/>
    <n v="3"/>
    <n v="0"/>
    <n v="6881.03"/>
    <n v="3"/>
    <n v="6881.03"/>
    <n v="3"/>
    <n v="12"/>
    <n v="194"/>
    <n v="2025"/>
    <x v="1"/>
    <s v="购中推荐"/>
    <x v="2"/>
    <x v="0"/>
  </r>
  <r>
    <x v="0"/>
    <x v="25"/>
    <x v="1"/>
    <x v="4"/>
    <x v="16"/>
    <n v="1997"/>
    <n v="1525"/>
    <n v="14"/>
    <n v="6"/>
    <n v="14822"/>
    <n v="5"/>
    <n v="14822"/>
    <n v="5"/>
    <n v="65"/>
    <n v="1302"/>
    <n v="2025"/>
    <x v="1"/>
    <s v="购后推荐"/>
    <x v="2"/>
    <x v="0"/>
  </r>
  <r>
    <x v="0"/>
    <x v="25"/>
    <x v="1"/>
    <x v="4"/>
    <x v="17"/>
    <n v="72360"/>
    <n v="65352"/>
    <n v="1025"/>
    <n v="550"/>
    <n v="677951.5"/>
    <n v="144"/>
    <n v="369982.5"/>
    <n v="116"/>
    <n v="4920"/>
    <n v="72360"/>
    <n v="2025"/>
    <x v="1"/>
    <s v="首页推荐-微详情"/>
    <x v="2"/>
    <x v="0"/>
  </r>
  <r>
    <x v="0"/>
    <x v="25"/>
    <x v="1"/>
    <x v="4"/>
    <x v="18"/>
    <n v="6076"/>
    <n v="5612"/>
    <n v="10"/>
    <n v="3"/>
    <n v="4980"/>
    <n v="2"/>
    <n v="4980"/>
    <n v="2"/>
    <n v="29"/>
    <n v="388"/>
    <n v="2025"/>
    <x v="1"/>
    <s v="首页推荐-直播"/>
    <x v="2"/>
    <x v="0"/>
  </r>
  <r>
    <x v="0"/>
    <x v="25"/>
    <x v="1"/>
    <x v="4"/>
    <x v="19"/>
    <n v="8467"/>
    <n v="7235"/>
    <n v="20"/>
    <n v="3"/>
    <n v="25250"/>
    <n v="4"/>
    <n v="16040"/>
    <n v="3"/>
    <n v="65"/>
    <n v="437"/>
    <n v="2025"/>
    <x v="1"/>
    <s v="首页推荐-短视频"/>
    <x v="2"/>
    <x v="0"/>
  </r>
  <r>
    <x v="0"/>
    <x v="25"/>
    <x v="1"/>
    <x v="12"/>
    <x v="42"/>
    <n v="18424"/>
    <n v="15975"/>
    <n v="908"/>
    <n v="216"/>
    <n v="809990.84"/>
    <n v="218"/>
    <n v="576284.84"/>
    <n v="183"/>
    <n v="9304"/>
    <n v="12369"/>
    <n v="2025"/>
    <x v="1"/>
    <s v="手淘搜索-商品及其他"/>
    <x v="2"/>
    <x v="0"/>
  </r>
  <r>
    <x v="0"/>
    <x v="25"/>
    <x v="1"/>
    <x v="12"/>
    <x v="43"/>
    <n v="108"/>
    <n v="75"/>
    <n v="6"/>
    <n v="2"/>
    <n v="9340"/>
    <n v="1"/>
    <n v="9340"/>
    <n v="1"/>
    <n v="10"/>
    <n v="61"/>
    <n v="2025"/>
    <x v="1"/>
    <s v="手淘搜索-直播"/>
    <x v="2"/>
    <x v="0"/>
  </r>
  <r>
    <x v="0"/>
    <x v="25"/>
    <x v="1"/>
    <x v="12"/>
    <x v="44"/>
    <n v="254"/>
    <n v="136"/>
    <n v="10"/>
    <n v="3"/>
    <n v="7298"/>
    <n v="3"/>
    <n v="7298"/>
    <n v="3"/>
    <n v="14"/>
    <n v="247"/>
    <n v="2025"/>
    <x v="1"/>
    <s v="手淘搜索-短视频"/>
    <x v="2"/>
    <x v="0"/>
  </r>
  <r>
    <x v="0"/>
    <x v="25"/>
    <x v="1"/>
    <x v="11"/>
    <x v="37"/>
    <n v="230"/>
    <n v="210"/>
    <n v="1"/>
    <n v="2"/>
    <n v="0"/>
    <n v="0"/>
    <n v="0"/>
    <n v="0"/>
    <n v="7"/>
    <n v="227"/>
    <n v="2025"/>
    <x v="1"/>
    <s v="淘特其他渠道"/>
    <x v="2"/>
    <x v="0"/>
  </r>
  <r>
    <x v="0"/>
    <x v="25"/>
    <x v="1"/>
    <x v="11"/>
    <x v="38"/>
    <n v="1"/>
    <n v="1"/>
    <n v="0"/>
    <n v="0"/>
    <n v="0"/>
    <n v="0"/>
    <n v="0"/>
    <n v="0"/>
    <n v="0"/>
    <n v="1"/>
    <n v="2025"/>
    <x v="1"/>
    <s v="淘特推荐"/>
    <x v="2"/>
    <x v="0"/>
  </r>
  <r>
    <x v="0"/>
    <x v="25"/>
    <x v="1"/>
    <x v="11"/>
    <x v="39"/>
    <n v="930"/>
    <n v="917"/>
    <n v="3"/>
    <n v="2"/>
    <n v="0"/>
    <n v="0"/>
    <n v="0"/>
    <n v="0"/>
    <n v="0"/>
    <n v="930"/>
    <n v="2025"/>
    <x v="1"/>
    <s v="淘特搜索"/>
    <x v="2"/>
    <x v="0"/>
  </r>
  <r>
    <x v="0"/>
    <x v="25"/>
    <x v="1"/>
    <x v="11"/>
    <x v="40"/>
    <n v="2"/>
    <n v="1"/>
    <n v="0"/>
    <n v="0"/>
    <n v="0"/>
    <n v="0"/>
    <n v="0"/>
    <n v="0"/>
    <n v="0"/>
    <n v="2"/>
    <n v="2025"/>
    <x v="1"/>
    <s v="淘特自主访问"/>
    <x v="2"/>
    <x v="0"/>
  </r>
  <r>
    <x v="0"/>
    <x v="25"/>
    <x v="1"/>
    <x v="13"/>
    <x v="46"/>
    <n v="1"/>
    <n v="0"/>
    <n v="0"/>
    <n v="0"/>
    <n v="0"/>
    <n v="0"/>
    <n v="0"/>
    <n v="0"/>
    <n v="0"/>
    <n v="0"/>
    <n v="2025"/>
    <x v="1"/>
    <s v="飞猪其他"/>
    <x v="2"/>
    <x v="0"/>
  </r>
  <r>
    <x v="0"/>
    <x v="25"/>
    <x v="0"/>
    <x v="5"/>
    <x v="41"/>
    <n v="13483"/>
    <n v="12255"/>
    <n v="226"/>
    <n v="8"/>
    <n v="0"/>
    <n v="0"/>
    <n v="0"/>
    <n v="0"/>
    <n v="211"/>
    <n v="3057"/>
    <n v="2025"/>
    <x v="1"/>
    <s v="超级直播"/>
    <x v="2"/>
    <x v="0"/>
  </r>
  <r>
    <x v="0"/>
    <x v="25"/>
    <x v="0"/>
    <x v="5"/>
    <x v="20"/>
    <n v="27"/>
    <n v="16"/>
    <n v="0"/>
    <n v="0"/>
    <n v="0"/>
    <n v="0"/>
    <n v="0"/>
    <n v="0"/>
    <n v="0"/>
    <n v="27"/>
    <n v="2025"/>
    <x v="1"/>
    <s v="超级短视频"/>
    <x v="2"/>
    <x v="0"/>
  </r>
  <r>
    <x v="0"/>
    <x v="25"/>
    <x v="0"/>
    <x v="6"/>
    <x v="45"/>
    <n v="5"/>
    <n v="5"/>
    <n v="0"/>
    <n v="0"/>
    <n v="0"/>
    <n v="0"/>
    <n v="0"/>
    <n v="0"/>
    <n v="1"/>
    <n v="2"/>
    <n v="2025"/>
    <x v="1"/>
    <s v="品牌定制"/>
    <x v="2"/>
    <x v="0"/>
  </r>
  <r>
    <x v="0"/>
    <x v="25"/>
    <x v="0"/>
    <x v="6"/>
    <x v="21"/>
    <n v="2"/>
    <n v="2"/>
    <n v="0"/>
    <n v="0"/>
    <n v="0"/>
    <n v="0"/>
    <n v="0"/>
    <n v="0"/>
    <n v="2"/>
    <n v="0"/>
    <n v="2025"/>
    <x v="1"/>
    <s v="品销宝-品牌专区"/>
    <x v="2"/>
    <x v="0"/>
  </r>
  <r>
    <x v="0"/>
    <x v="25"/>
    <x v="0"/>
    <x v="6"/>
    <x v="49"/>
    <n v="15"/>
    <n v="8"/>
    <n v="0"/>
    <n v="0"/>
    <n v="0"/>
    <n v="0"/>
    <n v="0"/>
    <n v="0"/>
    <n v="2"/>
    <n v="12"/>
    <n v="2025"/>
    <x v="1"/>
    <s v="超级全域通"/>
    <x v="2"/>
    <x v="0"/>
  </r>
  <r>
    <x v="0"/>
    <x v="25"/>
    <x v="0"/>
    <x v="0"/>
    <x v="1"/>
    <n v="176007"/>
    <n v="160627"/>
    <n v="1392"/>
    <n v="910"/>
    <n v="705552.16"/>
    <n v="173"/>
    <n v="363122.16"/>
    <n v="108"/>
    <n v="5748"/>
    <n v="175996"/>
    <n v="2025"/>
    <x v="1"/>
    <s v="引力魔方"/>
    <x v="2"/>
    <x v="0"/>
  </r>
  <r>
    <x v="0"/>
    <x v="25"/>
    <x v="0"/>
    <x v="0"/>
    <x v="2"/>
    <n v="134440"/>
    <n v="127937"/>
    <n v="1429"/>
    <n v="694"/>
    <n v="2152309.5299999998"/>
    <n v="384"/>
    <n v="874638.53"/>
    <n v="208"/>
    <n v="7150"/>
    <n v="133349"/>
    <n v="2025"/>
    <x v="1"/>
    <s v="直通车"/>
    <x v="2"/>
    <x v="0"/>
  </r>
  <r>
    <x v="0"/>
    <x v="25"/>
    <x v="0"/>
    <x v="0"/>
    <x v="0"/>
    <n v="85124"/>
    <n v="74164"/>
    <n v="4079"/>
    <n v="3986"/>
    <n v="2961577.89"/>
    <n v="702"/>
    <n v="1926777.89"/>
    <n v="560"/>
    <n v="19805"/>
    <n v="78205"/>
    <n v="2025"/>
    <x v="1"/>
    <s v="万相台"/>
    <x v="2"/>
    <x v="0"/>
  </r>
  <r>
    <x v="0"/>
    <x v="25"/>
    <x v="0"/>
    <x v="7"/>
    <x v="22"/>
    <n v="4"/>
    <n v="3"/>
    <n v="0"/>
    <n v="0"/>
    <n v="0"/>
    <n v="0"/>
    <n v="0"/>
    <n v="0"/>
    <n v="0"/>
    <n v="1"/>
    <n v="2025"/>
    <x v="1"/>
    <s v="UD效果投放"/>
    <x v="2"/>
    <x v="0"/>
  </r>
  <r>
    <x v="0"/>
    <x v="25"/>
    <x v="0"/>
    <x v="7"/>
    <x v="23"/>
    <n v="70"/>
    <n v="50"/>
    <n v="2"/>
    <n v="0"/>
    <n v="0"/>
    <n v="0"/>
    <n v="0"/>
    <n v="0"/>
    <n v="6"/>
    <n v="64"/>
    <n v="2025"/>
    <x v="1"/>
    <s v="流量宝"/>
    <x v="2"/>
    <x v="0"/>
  </r>
  <r>
    <x v="0"/>
    <x v="25"/>
    <x v="0"/>
    <x v="7"/>
    <x v="24"/>
    <n v="6283"/>
    <n v="3888"/>
    <n v="844"/>
    <n v="68"/>
    <n v="1047088.17"/>
    <n v="249"/>
    <n v="740801.17"/>
    <n v="194"/>
    <n v="133"/>
    <n v="6196"/>
    <n v="2025"/>
    <x v="1"/>
    <s v="淘宝客"/>
    <x v="2"/>
    <x v="0"/>
  </r>
  <r>
    <x v="1"/>
    <x v="26"/>
    <x v="1"/>
    <x v="2"/>
    <x v="5"/>
    <n v="52"/>
    <n v="36"/>
    <n v="1"/>
    <n v="0"/>
    <n v="0"/>
    <n v="0"/>
    <n v="0"/>
    <n v="0"/>
    <n v="13"/>
    <n v="49"/>
    <n v="2024"/>
    <x v="1"/>
    <s v="手猫免费其他"/>
    <x v="1"/>
    <x v="1"/>
  </r>
  <r>
    <x v="1"/>
    <x v="26"/>
    <x v="1"/>
    <x v="2"/>
    <x v="6"/>
    <n v="3"/>
    <n v="1"/>
    <n v="0"/>
    <n v="0"/>
    <n v="0"/>
    <n v="0"/>
    <n v="0"/>
    <n v="0"/>
    <n v="0"/>
    <n v="3"/>
    <n v="2024"/>
    <x v="1"/>
    <s v="手猫其他店铺"/>
    <x v="1"/>
    <x v="1"/>
  </r>
  <r>
    <x v="1"/>
    <x v="26"/>
    <x v="1"/>
    <x v="2"/>
    <x v="7"/>
    <n v="8"/>
    <n v="4"/>
    <n v="0"/>
    <n v="0"/>
    <n v="0"/>
    <n v="0"/>
    <n v="0"/>
    <n v="0"/>
    <n v="1"/>
    <n v="8"/>
    <n v="2024"/>
    <x v="1"/>
    <s v="手猫商品详情"/>
    <x v="1"/>
    <x v="1"/>
  </r>
  <r>
    <x v="1"/>
    <x v="26"/>
    <x v="1"/>
    <x v="2"/>
    <x v="8"/>
    <n v="43"/>
    <n v="35"/>
    <n v="1"/>
    <n v="0"/>
    <n v="0"/>
    <n v="0"/>
    <n v="0"/>
    <n v="0"/>
    <n v="26"/>
    <n v="33"/>
    <n v="2024"/>
    <x v="1"/>
    <s v="手猫搜索"/>
    <x v="1"/>
    <x v="1"/>
  </r>
  <r>
    <x v="1"/>
    <x v="26"/>
    <x v="1"/>
    <x v="2"/>
    <x v="9"/>
    <n v="1"/>
    <n v="1"/>
    <n v="0"/>
    <n v="0"/>
    <n v="3495"/>
    <n v="1"/>
    <n v="3495"/>
    <n v="1"/>
    <n v="0"/>
    <n v="1"/>
    <n v="2024"/>
    <x v="1"/>
    <s v="手猫旺信聊天"/>
    <x v="1"/>
    <x v="1"/>
  </r>
  <r>
    <x v="1"/>
    <x v="26"/>
    <x v="1"/>
    <x v="2"/>
    <x v="10"/>
    <n v="193"/>
    <n v="126"/>
    <n v="0"/>
    <n v="0"/>
    <n v="2795"/>
    <n v="1"/>
    <n v="0"/>
    <n v="0"/>
    <n v="5"/>
    <n v="193"/>
    <n v="2024"/>
    <x v="1"/>
    <s v="手猫首页"/>
    <x v="1"/>
    <x v="1"/>
  </r>
  <r>
    <x v="1"/>
    <x v="26"/>
    <x v="1"/>
    <x v="3"/>
    <x v="11"/>
    <n v="61"/>
    <n v="35"/>
    <n v="4"/>
    <n v="2"/>
    <n v="0"/>
    <n v="0"/>
    <n v="0"/>
    <n v="0"/>
    <n v="28"/>
    <n v="50"/>
    <n v="2024"/>
    <x v="1"/>
    <s v="商品详情页头图推荐"/>
    <x v="1"/>
    <x v="1"/>
  </r>
  <r>
    <x v="1"/>
    <x v="26"/>
    <x v="1"/>
    <x v="3"/>
    <x v="12"/>
    <n v="17"/>
    <n v="10"/>
    <n v="0"/>
    <n v="0"/>
    <n v="4995"/>
    <n v="1"/>
    <n v="4995"/>
    <n v="1"/>
    <n v="16"/>
    <n v="9"/>
    <n v="2024"/>
    <x v="1"/>
    <s v="店铺超链"/>
    <x v="1"/>
    <x v="1"/>
  </r>
  <r>
    <x v="1"/>
    <x v="26"/>
    <x v="1"/>
    <x v="4"/>
    <x v="13"/>
    <n v="81"/>
    <n v="50"/>
    <n v="4"/>
    <n v="0"/>
    <n v="0"/>
    <n v="0"/>
    <n v="0"/>
    <n v="0"/>
    <n v="22"/>
    <n v="66"/>
    <n v="2024"/>
    <x v="1"/>
    <s v="其他猜你喜欢"/>
    <x v="1"/>
    <x v="1"/>
  </r>
  <r>
    <x v="1"/>
    <x v="26"/>
    <x v="1"/>
    <x v="4"/>
    <x v="15"/>
    <n v="3"/>
    <n v="2"/>
    <n v="0"/>
    <n v="1"/>
    <n v="0"/>
    <n v="0"/>
    <n v="0"/>
    <n v="0"/>
    <n v="0"/>
    <n v="3"/>
    <n v="2024"/>
    <x v="1"/>
    <s v="购中推荐"/>
    <x v="1"/>
    <x v="1"/>
  </r>
  <r>
    <x v="1"/>
    <x v="26"/>
    <x v="1"/>
    <x v="4"/>
    <x v="16"/>
    <n v="12"/>
    <n v="7"/>
    <n v="0"/>
    <n v="0"/>
    <n v="0"/>
    <n v="0"/>
    <n v="0"/>
    <n v="0"/>
    <n v="1"/>
    <n v="11"/>
    <n v="2024"/>
    <x v="1"/>
    <s v="购后推荐"/>
    <x v="1"/>
    <x v="1"/>
  </r>
  <r>
    <x v="1"/>
    <x v="26"/>
    <x v="1"/>
    <x v="4"/>
    <x v="17"/>
    <n v="373"/>
    <n v="251"/>
    <n v="11"/>
    <n v="8"/>
    <n v="0"/>
    <n v="0"/>
    <n v="0"/>
    <n v="0"/>
    <n v="26"/>
    <n v="373"/>
    <n v="2024"/>
    <x v="1"/>
    <s v="首页推荐-微详情"/>
    <x v="1"/>
    <x v="1"/>
  </r>
  <r>
    <x v="1"/>
    <x v="26"/>
    <x v="1"/>
    <x v="4"/>
    <x v="18"/>
    <n v="7"/>
    <n v="6"/>
    <n v="0"/>
    <n v="0"/>
    <n v="0"/>
    <n v="0"/>
    <n v="0"/>
    <n v="0"/>
    <n v="0"/>
    <n v="0"/>
    <n v="2024"/>
    <x v="1"/>
    <s v="首页推荐-直播"/>
    <x v="1"/>
    <x v="1"/>
  </r>
  <r>
    <x v="1"/>
    <x v="26"/>
    <x v="1"/>
    <x v="4"/>
    <x v="19"/>
    <n v="19"/>
    <n v="13"/>
    <n v="0"/>
    <n v="0"/>
    <n v="0"/>
    <n v="0"/>
    <n v="0"/>
    <n v="0"/>
    <n v="0"/>
    <n v="0"/>
    <n v="2024"/>
    <x v="1"/>
    <s v="首页推荐-短视频"/>
    <x v="1"/>
    <x v="1"/>
  </r>
  <r>
    <x v="1"/>
    <x v="26"/>
    <x v="1"/>
    <x v="12"/>
    <x v="42"/>
    <n v="461"/>
    <n v="404"/>
    <n v="15"/>
    <n v="5"/>
    <n v="2795"/>
    <n v="1"/>
    <n v="2795"/>
    <n v="1"/>
    <n v="228"/>
    <n v="337"/>
    <n v="2024"/>
    <x v="1"/>
    <s v="手淘搜索-商品及其他"/>
    <x v="1"/>
    <x v="1"/>
  </r>
  <r>
    <x v="1"/>
    <x v="26"/>
    <x v="1"/>
    <x v="12"/>
    <x v="44"/>
    <n v="10"/>
    <n v="4"/>
    <n v="1"/>
    <n v="0"/>
    <n v="0"/>
    <n v="0"/>
    <n v="0"/>
    <n v="0"/>
    <n v="2"/>
    <n v="4"/>
    <n v="2024"/>
    <x v="1"/>
    <s v="手淘搜索-短视频"/>
    <x v="1"/>
    <x v="1"/>
  </r>
  <r>
    <x v="1"/>
    <x v="26"/>
    <x v="1"/>
    <x v="11"/>
    <x v="37"/>
    <n v="7"/>
    <n v="7"/>
    <n v="0"/>
    <n v="0"/>
    <n v="0"/>
    <n v="0"/>
    <n v="0"/>
    <n v="0"/>
    <n v="1"/>
    <n v="7"/>
    <n v="2024"/>
    <x v="1"/>
    <s v="淘特其他渠道"/>
    <x v="1"/>
    <x v="1"/>
  </r>
  <r>
    <x v="1"/>
    <x v="26"/>
    <x v="1"/>
    <x v="11"/>
    <x v="39"/>
    <n v="1"/>
    <n v="1"/>
    <n v="0"/>
    <n v="0"/>
    <n v="0"/>
    <n v="0"/>
    <n v="0"/>
    <n v="0"/>
    <n v="0"/>
    <n v="1"/>
    <n v="2024"/>
    <x v="1"/>
    <s v="淘特搜索"/>
    <x v="1"/>
    <x v="1"/>
  </r>
  <r>
    <x v="1"/>
    <x v="26"/>
    <x v="0"/>
    <x v="5"/>
    <x v="41"/>
    <n v="17"/>
    <n v="8"/>
    <n v="0"/>
    <n v="1"/>
    <n v="0"/>
    <n v="0"/>
    <n v="0"/>
    <n v="0"/>
    <n v="1"/>
    <n v="11"/>
    <n v="2024"/>
    <x v="1"/>
    <s v="超级直播"/>
    <x v="1"/>
    <x v="1"/>
  </r>
  <r>
    <x v="1"/>
    <x v="26"/>
    <x v="0"/>
    <x v="6"/>
    <x v="21"/>
    <n v="1149"/>
    <n v="1032"/>
    <n v="21"/>
    <n v="8"/>
    <n v="0"/>
    <n v="0"/>
    <n v="0"/>
    <n v="0"/>
    <n v="1149"/>
    <n v="624"/>
    <n v="2024"/>
    <x v="1"/>
    <s v="品销宝-品牌专区"/>
    <x v="1"/>
    <x v="1"/>
  </r>
  <r>
    <x v="1"/>
    <x v="26"/>
    <x v="0"/>
    <x v="0"/>
    <x v="2"/>
    <n v="2552"/>
    <n v="2235"/>
    <n v="36"/>
    <n v="12"/>
    <n v="11835"/>
    <n v="4"/>
    <n v="4845"/>
    <n v="2"/>
    <n v="266"/>
    <n v="2526"/>
    <n v="2024"/>
    <x v="1"/>
    <s v="直通车"/>
    <x v="1"/>
    <x v="1"/>
  </r>
  <r>
    <x v="1"/>
    <x v="26"/>
    <x v="0"/>
    <x v="0"/>
    <x v="0"/>
    <n v="1651"/>
    <n v="1058"/>
    <n v="24"/>
    <n v="7"/>
    <n v="15380"/>
    <n v="4"/>
    <n v="7790"/>
    <n v="2"/>
    <n v="104"/>
    <n v="1648"/>
    <n v="2024"/>
    <x v="1"/>
    <s v="万相台"/>
    <x v="1"/>
    <x v="1"/>
  </r>
  <r>
    <x v="1"/>
    <x v="26"/>
    <x v="0"/>
    <x v="0"/>
    <x v="1"/>
    <n v="13181"/>
    <n v="9145"/>
    <n v="30"/>
    <n v="32"/>
    <n v="13285"/>
    <n v="3"/>
    <n v="7295"/>
    <n v="1"/>
    <n v="305"/>
    <n v="12565"/>
    <n v="2024"/>
    <x v="1"/>
    <s v="引力魔方"/>
    <x v="1"/>
    <x v="1"/>
  </r>
  <r>
    <x v="1"/>
    <x v="26"/>
    <x v="0"/>
    <x v="7"/>
    <x v="23"/>
    <n v="2"/>
    <n v="1"/>
    <n v="0"/>
    <n v="0"/>
    <n v="0"/>
    <n v="0"/>
    <n v="0"/>
    <n v="0"/>
    <n v="0"/>
    <n v="2"/>
    <n v="2024"/>
    <x v="1"/>
    <s v="流量宝"/>
    <x v="1"/>
    <x v="1"/>
  </r>
  <r>
    <x v="1"/>
    <x v="26"/>
    <x v="0"/>
    <x v="7"/>
    <x v="24"/>
    <n v="310"/>
    <n v="151"/>
    <n v="0"/>
    <n v="0"/>
    <n v="0"/>
    <n v="0"/>
    <n v="0"/>
    <n v="0"/>
    <n v="13"/>
    <n v="303"/>
    <n v="2024"/>
    <x v="1"/>
    <s v="淘宝客"/>
    <x v="1"/>
    <x v="1"/>
  </r>
  <r>
    <x v="1"/>
    <x v="27"/>
    <x v="1"/>
    <x v="2"/>
    <x v="5"/>
    <n v="69"/>
    <n v="45"/>
    <n v="3"/>
    <n v="0"/>
    <n v="0"/>
    <n v="0"/>
    <n v="0"/>
    <n v="0"/>
    <n v="21"/>
    <n v="65"/>
    <n v="2024"/>
    <x v="1"/>
    <s v="手猫免费其他"/>
    <x v="1"/>
    <x v="1"/>
  </r>
  <r>
    <x v="1"/>
    <x v="27"/>
    <x v="1"/>
    <x v="2"/>
    <x v="6"/>
    <n v="6"/>
    <n v="5"/>
    <n v="0"/>
    <n v="0"/>
    <n v="0"/>
    <n v="0"/>
    <n v="0"/>
    <n v="0"/>
    <n v="0"/>
    <n v="6"/>
    <n v="2024"/>
    <x v="1"/>
    <s v="手猫其他店铺"/>
    <x v="1"/>
    <x v="1"/>
  </r>
  <r>
    <x v="1"/>
    <x v="27"/>
    <x v="1"/>
    <x v="2"/>
    <x v="7"/>
    <n v="16"/>
    <n v="9"/>
    <n v="1"/>
    <n v="0"/>
    <n v="0"/>
    <n v="0"/>
    <n v="0"/>
    <n v="0"/>
    <n v="4"/>
    <n v="15"/>
    <n v="2024"/>
    <x v="1"/>
    <s v="手猫商品详情"/>
    <x v="1"/>
    <x v="1"/>
  </r>
  <r>
    <x v="1"/>
    <x v="27"/>
    <x v="1"/>
    <x v="2"/>
    <x v="8"/>
    <n v="40"/>
    <n v="31"/>
    <n v="0"/>
    <n v="0"/>
    <n v="0"/>
    <n v="0"/>
    <n v="0"/>
    <n v="0"/>
    <n v="23"/>
    <n v="24"/>
    <n v="2024"/>
    <x v="1"/>
    <s v="手猫搜索"/>
    <x v="1"/>
    <x v="1"/>
  </r>
  <r>
    <x v="1"/>
    <x v="27"/>
    <x v="1"/>
    <x v="2"/>
    <x v="10"/>
    <n v="241"/>
    <n v="167"/>
    <n v="3"/>
    <n v="0"/>
    <n v="0"/>
    <n v="0"/>
    <n v="0"/>
    <n v="0"/>
    <n v="7"/>
    <n v="241"/>
    <n v="2024"/>
    <x v="1"/>
    <s v="手猫首页"/>
    <x v="1"/>
    <x v="1"/>
  </r>
  <r>
    <x v="1"/>
    <x v="27"/>
    <x v="1"/>
    <x v="3"/>
    <x v="11"/>
    <n v="68"/>
    <n v="37"/>
    <n v="2"/>
    <n v="1"/>
    <n v="0"/>
    <n v="0"/>
    <n v="0"/>
    <n v="0"/>
    <n v="18"/>
    <n v="62"/>
    <n v="2024"/>
    <x v="1"/>
    <s v="商品详情页头图推荐"/>
    <x v="1"/>
    <x v="1"/>
  </r>
  <r>
    <x v="1"/>
    <x v="27"/>
    <x v="1"/>
    <x v="3"/>
    <x v="12"/>
    <n v="10"/>
    <n v="7"/>
    <n v="0"/>
    <n v="0"/>
    <n v="0"/>
    <n v="0"/>
    <n v="0"/>
    <n v="0"/>
    <n v="7"/>
    <n v="6"/>
    <n v="2024"/>
    <x v="1"/>
    <s v="店铺超链"/>
    <x v="1"/>
    <x v="1"/>
  </r>
  <r>
    <x v="1"/>
    <x v="27"/>
    <x v="1"/>
    <x v="4"/>
    <x v="13"/>
    <n v="94"/>
    <n v="68"/>
    <n v="0"/>
    <n v="0"/>
    <n v="3495"/>
    <n v="1"/>
    <n v="0"/>
    <n v="0"/>
    <n v="14"/>
    <n v="84"/>
    <n v="2024"/>
    <x v="1"/>
    <s v="其他猜你喜欢"/>
    <x v="1"/>
    <x v="1"/>
  </r>
  <r>
    <x v="1"/>
    <x v="27"/>
    <x v="1"/>
    <x v="4"/>
    <x v="16"/>
    <n v="12"/>
    <n v="9"/>
    <n v="0"/>
    <n v="0"/>
    <n v="0"/>
    <n v="0"/>
    <n v="0"/>
    <n v="0"/>
    <n v="0"/>
    <n v="12"/>
    <n v="2024"/>
    <x v="1"/>
    <s v="购后推荐"/>
    <x v="1"/>
    <x v="1"/>
  </r>
  <r>
    <x v="1"/>
    <x v="27"/>
    <x v="1"/>
    <x v="4"/>
    <x v="17"/>
    <n v="479"/>
    <n v="312"/>
    <n v="14"/>
    <n v="7"/>
    <n v="7990"/>
    <n v="2"/>
    <n v="5195"/>
    <n v="1"/>
    <n v="60"/>
    <n v="479"/>
    <n v="2024"/>
    <x v="1"/>
    <s v="首页推荐-微详情"/>
    <x v="1"/>
    <x v="1"/>
  </r>
  <r>
    <x v="1"/>
    <x v="27"/>
    <x v="1"/>
    <x v="4"/>
    <x v="18"/>
    <n v="8"/>
    <n v="4"/>
    <n v="0"/>
    <n v="0"/>
    <n v="0"/>
    <n v="0"/>
    <n v="0"/>
    <n v="0"/>
    <n v="0"/>
    <n v="0"/>
    <n v="2024"/>
    <x v="1"/>
    <s v="首页推荐-直播"/>
    <x v="1"/>
    <x v="1"/>
  </r>
  <r>
    <x v="1"/>
    <x v="27"/>
    <x v="1"/>
    <x v="4"/>
    <x v="19"/>
    <n v="26"/>
    <n v="15"/>
    <n v="0"/>
    <n v="0"/>
    <n v="0"/>
    <n v="0"/>
    <n v="0"/>
    <n v="0"/>
    <n v="0"/>
    <n v="0"/>
    <n v="2024"/>
    <x v="1"/>
    <s v="首页推荐-短视频"/>
    <x v="1"/>
    <x v="1"/>
  </r>
  <r>
    <x v="1"/>
    <x v="27"/>
    <x v="1"/>
    <x v="12"/>
    <x v="42"/>
    <n v="418"/>
    <n v="361"/>
    <n v="2"/>
    <n v="6"/>
    <n v="0"/>
    <n v="0"/>
    <n v="0"/>
    <n v="0"/>
    <n v="186"/>
    <n v="328"/>
    <n v="2024"/>
    <x v="1"/>
    <s v="手淘搜索-商品及其他"/>
    <x v="1"/>
    <x v="1"/>
  </r>
  <r>
    <x v="1"/>
    <x v="27"/>
    <x v="1"/>
    <x v="12"/>
    <x v="44"/>
    <n v="11"/>
    <n v="9"/>
    <n v="1"/>
    <n v="1"/>
    <n v="0"/>
    <n v="0"/>
    <n v="0"/>
    <n v="0"/>
    <n v="5"/>
    <n v="7"/>
    <n v="2024"/>
    <x v="1"/>
    <s v="手淘搜索-短视频"/>
    <x v="1"/>
    <x v="1"/>
  </r>
  <r>
    <x v="1"/>
    <x v="27"/>
    <x v="1"/>
    <x v="11"/>
    <x v="37"/>
    <n v="5"/>
    <n v="5"/>
    <n v="0"/>
    <n v="0"/>
    <n v="0"/>
    <n v="0"/>
    <n v="0"/>
    <n v="0"/>
    <n v="0"/>
    <n v="5"/>
    <n v="2024"/>
    <x v="1"/>
    <s v="淘特其他渠道"/>
    <x v="1"/>
    <x v="1"/>
  </r>
  <r>
    <x v="1"/>
    <x v="27"/>
    <x v="0"/>
    <x v="5"/>
    <x v="41"/>
    <n v="1"/>
    <n v="1"/>
    <n v="0"/>
    <n v="0"/>
    <n v="0"/>
    <n v="0"/>
    <n v="0"/>
    <n v="0"/>
    <n v="0"/>
    <n v="1"/>
    <n v="2024"/>
    <x v="1"/>
    <s v="超级直播"/>
    <x v="1"/>
    <x v="1"/>
  </r>
  <r>
    <x v="1"/>
    <x v="27"/>
    <x v="0"/>
    <x v="6"/>
    <x v="21"/>
    <n v="962"/>
    <n v="818"/>
    <n v="15"/>
    <n v="5"/>
    <n v="0"/>
    <n v="0"/>
    <n v="0"/>
    <n v="0"/>
    <n v="962"/>
    <n v="518"/>
    <n v="2024"/>
    <x v="1"/>
    <s v="品销宝-品牌专区"/>
    <x v="1"/>
    <x v="1"/>
  </r>
  <r>
    <x v="1"/>
    <x v="27"/>
    <x v="0"/>
    <x v="0"/>
    <x v="2"/>
    <n v="2447"/>
    <n v="2168"/>
    <n v="21"/>
    <n v="19"/>
    <n v="5690"/>
    <n v="2"/>
    <n v="2895"/>
    <n v="1"/>
    <n v="245"/>
    <n v="2422"/>
    <n v="2024"/>
    <x v="1"/>
    <s v="直通车"/>
    <x v="1"/>
    <x v="1"/>
  </r>
  <r>
    <x v="1"/>
    <x v="27"/>
    <x v="0"/>
    <x v="0"/>
    <x v="0"/>
    <n v="1482"/>
    <n v="945"/>
    <n v="23"/>
    <n v="4"/>
    <n v="21425"/>
    <n v="5"/>
    <n v="6090"/>
    <n v="2"/>
    <n v="89"/>
    <n v="1479"/>
    <n v="2024"/>
    <x v="1"/>
    <s v="万相台"/>
    <x v="1"/>
    <x v="1"/>
  </r>
  <r>
    <x v="1"/>
    <x v="27"/>
    <x v="0"/>
    <x v="0"/>
    <x v="1"/>
    <n v="10600"/>
    <n v="6397"/>
    <n v="35"/>
    <n v="36"/>
    <n v="8745"/>
    <n v="2"/>
    <n v="0"/>
    <n v="0"/>
    <n v="294"/>
    <n v="9939"/>
    <n v="2024"/>
    <x v="1"/>
    <s v="引力魔方"/>
    <x v="1"/>
    <x v="1"/>
  </r>
  <r>
    <x v="1"/>
    <x v="27"/>
    <x v="0"/>
    <x v="7"/>
    <x v="23"/>
    <n v="4"/>
    <n v="2"/>
    <n v="0"/>
    <n v="0"/>
    <n v="0"/>
    <n v="0"/>
    <n v="0"/>
    <n v="0"/>
    <n v="1"/>
    <n v="4"/>
    <n v="2024"/>
    <x v="1"/>
    <s v="流量宝"/>
    <x v="1"/>
    <x v="1"/>
  </r>
  <r>
    <x v="1"/>
    <x v="27"/>
    <x v="0"/>
    <x v="7"/>
    <x v="24"/>
    <n v="276"/>
    <n v="84"/>
    <n v="2"/>
    <n v="0"/>
    <n v="5750"/>
    <n v="1"/>
    <n v="5750"/>
    <n v="1"/>
    <n v="9"/>
    <n v="270"/>
    <n v="2024"/>
    <x v="1"/>
    <s v="淘宝客"/>
    <x v="1"/>
    <x v="1"/>
  </r>
  <r>
    <x v="1"/>
    <x v="28"/>
    <x v="1"/>
    <x v="2"/>
    <x v="4"/>
    <n v="2"/>
    <n v="2"/>
    <n v="0"/>
    <n v="0"/>
    <n v="0"/>
    <n v="0"/>
    <n v="0"/>
    <n v="0"/>
    <n v="0"/>
    <n v="2"/>
    <n v="2024"/>
    <x v="1"/>
    <s v="手机浏览器访问天猫"/>
    <x v="1"/>
    <x v="1"/>
  </r>
  <r>
    <x v="1"/>
    <x v="28"/>
    <x v="1"/>
    <x v="2"/>
    <x v="5"/>
    <n v="62"/>
    <n v="40"/>
    <n v="0"/>
    <n v="0"/>
    <n v="3495"/>
    <n v="1"/>
    <n v="3495"/>
    <n v="1"/>
    <n v="17"/>
    <n v="54"/>
    <n v="2024"/>
    <x v="1"/>
    <s v="手猫免费其他"/>
    <x v="1"/>
    <x v="1"/>
  </r>
  <r>
    <x v="1"/>
    <x v="28"/>
    <x v="1"/>
    <x v="2"/>
    <x v="6"/>
    <n v="5"/>
    <n v="1"/>
    <n v="0"/>
    <n v="0"/>
    <n v="0"/>
    <n v="0"/>
    <n v="0"/>
    <n v="0"/>
    <n v="0"/>
    <n v="5"/>
    <n v="2024"/>
    <x v="1"/>
    <s v="手猫其他店铺"/>
    <x v="1"/>
    <x v="1"/>
  </r>
  <r>
    <x v="1"/>
    <x v="28"/>
    <x v="1"/>
    <x v="2"/>
    <x v="7"/>
    <n v="15"/>
    <n v="9"/>
    <n v="0"/>
    <n v="0"/>
    <n v="0"/>
    <n v="0"/>
    <n v="0"/>
    <n v="0"/>
    <n v="2"/>
    <n v="12"/>
    <n v="2024"/>
    <x v="1"/>
    <s v="手猫商品详情"/>
    <x v="1"/>
    <x v="1"/>
  </r>
  <r>
    <x v="1"/>
    <x v="28"/>
    <x v="1"/>
    <x v="2"/>
    <x v="8"/>
    <n v="32"/>
    <n v="26"/>
    <n v="0"/>
    <n v="0"/>
    <n v="0"/>
    <n v="0"/>
    <n v="0"/>
    <n v="0"/>
    <n v="19"/>
    <n v="18"/>
    <n v="2024"/>
    <x v="1"/>
    <s v="手猫搜索"/>
    <x v="1"/>
    <x v="1"/>
  </r>
  <r>
    <x v="1"/>
    <x v="28"/>
    <x v="1"/>
    <x v="2"/>
    <x v="9"/>
    <n v="1"/>
    <n v="0"/>
    <n v="0"/>
    <n v="0"/>
    <n v="0"/>
    <n v="0"/>
    <n v="0"/>
    <n v="0"/>
    <n v="0"/>
    <n v="1"/>
    <n v="2024"/>
    <x v="1"/>
    <s v="手猫旺信聊天"/>
    <x v="1"/>
    <x v="1"/>
  </r>
  <r>
    <x v="1"/>
    <x v="28"/>
    <x v="1"/>
    <x v="2"/>
    <x v="10"/>
    <n v="220"/>
    <n v="150"/>
    <n v="0"/>
    <n v="0"/>
    <n v="2795"/>
    <n v="1"/>
    <n v="2795"/>
    <n v="1"/>
    <n v="5"/>
    <n v="220"/>
    <n v="2024"/>
    <x v="1"/>
    <s v="手猫首页"/>
    <x v="1"/>
    <x v="1"/>
  </r>
  <r>
    <x v="1"/>
    <x v="28"/>
    <x v="1"/>
    <x v="3"/>
    <x v="11"/>
    <n v="61"/>
    <n v="32"/>
    <n v="2"/>
    <n v="1"/>
    <n v="3195"/>
    <n v="1"/>
    <n v="3195"/>
    <n v="1"/>
    <n v="22"/>
    <n v="58"/>
    <n v="2024"/>
    <x v="1"/>
    <s v="商品详情页头图推荐"/>
    <x v="1"/>
    <x v="1"/>
  </r>
  <r>
    <x v="1"/>
    <x v="28"/>
    <x v="1"/>
    <x v="3"/>
    <x v="12"/>
    <n v="24"/>
    <n v="19"/>
    <n v="1"/>
    <n v="0"/>
    <n v="0"/>
    <n v="0"/>
    <n v="0"/>
    <n v="0"/>
    <n v="21"/>
    <n v="11"/>
    <n v="2024"/>
    <x v="1"/>
    <s v="店铺超链"/>
    <x v="1"/>
    <x v="1"/>
  </r>
  <r>
    <x v="1"/>
    <x v="28"/>
    <x v="1"/>
    <x v="4"/>
    <x v="13"/>
    <n v="122"/>
    <n v="75"/>
    <n v="6"/>
    <n v="0"/>
    <n v="4695"/>
    <n v="1"/>
    <n v="4695"/>
    <n v="1"/>
    <n v="38"/>
    <n v="105"/>
    <n v="2024"/>
    <x v="1"/>
    <s v="其他猜你喜欢"/>
    <x v="1"/>
    <x v="1"/>
  </r>
  <r>
    <x v="1"/>
    <x v="28"/>
    <x v="1"/>
    <x v="4"/>
    <x v="15"/>
    <n v="1"/>
    <n v="0"/>
    <n v="0"/>
    <n v="0"/>
    <n v="0"/>
    <n v="0"/>
    <n v="0"/>
    <n v="0"/>
    <n v="1"/>
    <n v="1"/>
    <n v="2024"/>
    <x v="1"/>
    <s v="购中推荐"/>
    <x v="1"/>
    <x v="1"/>
  </r>
  <r>
    <x v="1"/>
    <x v="28"/>
    <x v="1"/>
    <x v="4"/>
    <x v="16"/>
    <n v="10"/>
    <n v="6"/>
    <n v="0"/>
    <n v="0"/>
    <n v="0"/>
    <n v="0"/>
    <n v="0"/>
    <n v="0"/>
    <n v="2"/>
    <n v="10"/>
    <n v="2024"/>
    <x v="1"/>
    <s v="购后推荐"/>
    <x v="1"/>
    <x v="1"/>
  </r>
  <r>
    <x v="1"/>
    <x v="28"/>
    <x v="1"/>
    <x v="4"/>
    <x v="17"/>
    <n v="656"/>
    <n v="453"/>
    <n v="12"/>
    <n v="5"/>
    <n v="0"/>
    <n v="0"/>
    <n v="0"/>
    <n v="0"/>
    <n v="90"/>
    <n v="656"/>
    <n v="2024"/>
    <x v="1"/>
    <s v="首页推荐-微详情"/>
    <x v="1"/>
    <x v="1"/>
  </r>
  <r>
    <x v="1"/>
    <x v="28"/>
    <x v="1"/>
    <x v="4"/>
    <x v="18"/>
    <n v="3"/>
    <n v="3"/>
    <n v="0"/>
    <n v="0"/>
    <n v="0"/>
    <n v="0"/>
    <n v="0"/>
    <n v="0"/>
    <n v="0"/>
    <n v="1"/>
    <n v="2024"/>
    <x v="1"/>
    <s v="首页推荐-直播"/>
    <x v="1"/>
    <x v="1"/>
  </r>
  <r>
    <x v="1"/>
    <x v="28"/>
    <x v="1"/>
    <x v="4"/>
    <x v="19"/>
    <n v="19"/>
    <n v="10"/>
    <n v="0"/>
    <n v="0"/>
    <n v="0"/>
    <n v="0"/>
    <n v="0"/>
    <n v="0"/>
    <n v="0"/>
    <n v="0"/>
    <n v="2024"/>
    <x v="1"/>
    <s v="首页推荐-短视频"/>
    <x v="1"/>
    <x v="1"/>
  </r>
  <r>
    <x v="1"/>
    <x v="28"/>
    <x v="1"/>
    <x v="12"/>
    <x v="42"/>
    <n v="411"/>
    <n v="331"/>
    <n v="12"/>
    <n v="6"/>
    <n v="0"/>
    <n v="0"/>
    <n v="0"/>
    <n v="0"/>
    <n v="192"/>
    <n v="317"/>
    <n v="2024"/>
    <x v="1"/>
    <s v="手淘搜索-商品及其他"/>
    <x v="1"/>
    <x v="1"/>
  </r>
  <r>
    <x v="1"/>
    <x v="28"/>
    <x v="1"/>
    <x v="12"/>
    <x v="44"/>
    <n v="10"/>
    <n v="7"/>
    <n v="0"/>
    <n v="0"/>
    <n v="0"/>
    <n v="0"/>
    <n v="0"/>
    <n v="0"/>
    <n v="2"/>
    <n v="2"/>
    <n v="2024"/>
    <x v="1"/>
    <s v="手淘搜索-短视频"/>
    <x v="1"/>
    <x v="1"/>
  </r>
  <r>
    <x v="1"/>
    <x v="28"/>
    <x v="1"/>
    <x v="11"/>
    <x v="37"/>
    <n v="8"/>
    <n v="7"/>
    <n v="0"/>
    <n v="0"/>
    <n v="0"/>
    <n v="0"/>
    <n v="0"/>
    <n v="0"/>
    <n v="0"/>
    <n v="8"/>
    <n v="2024"/>
    <x v="1"/>
    <s v="淘特其他渠道"/>
    <x v="1"/>
    <x v="1"/>
  </r>
  <r>
    <x v="1"/>
    <x v="28"/>
    <x v="1"/>
    <x v="11"/>
    <x v="39"/>
    <n v="1"/>
    <n v="1"/>
    <n v="0"/>
    <n v="0"/>
    <n v="0"/>
    <n v="0"/>
    <n v="0"/>
    <n v="0"/>
    <n v="0"/>
    <n v="1"/>
    <n v="2024"/>
    <x v="1"/>
    <s v="淘特搜索"/>
    <x v="1"/>
    <x v="1"/>
  </r>
  <r>
    <x v="1"/>
    <x v="28"/>
    <x v="0"/>
    <x v="5"/>
    <x v="20"/>
    <n v="1"/>
    <n v="1"/>
    <n v="0"/>
    <n v="0"/>
    <n v="0"/>
    <n v="0"/>
    <n v="0"/>
    <n v="0"/>
    <n v="0"/>
    <n v="1"/>
    <n v="2024"/>
    <x v="1"/>
    <s v="超级短视频"/>
    <x v="1"/>
    <x v="1"/>
  </r>
  <r>
    <x v="1"/>
    <x v="28"/>
    <x v="0"/>
    <x v="6"/>
    <x v="21"/>
    <n v="920"/>
    <n v="795"/>
    <n v="11"/>
    <n v="7"/>
    <n v="0"/>
    <n v="0"/>
    <n v="0"/>
    <n v="0"/>
    <n v="920"/>
    <n v="459"/>
    <n v="2024"/>
    <x v="1"/>
    <s v="品销宝-品牌专区"/>
    <x v="1"/>
    <x v="1"/>
  </r>
  <r>
    <x v="1"/>
    <x v="28"/>
    <x v="0"/>
    <x v="0"/>
    <x v="2"/>
    <n v="2503"/>
    <n v="2115"/>
    <n v="38"/>
    <n v="12"/>
    <n v="22950"/>
    <n v="2"/>
    <n v="22950"/>
    <n v="2"/>
    <n v="247"/>
    <n v="2470"/>
    <n v="2024"/>
    <x v="1"/>
    <s v="直通车"/>
    <x v="1"/>
    <x v="1"/>
  </r>
  <r>
    <x v="1"/>
    <x v="28"/>
    <x v="0"/>
    <x v="0"/>
    <x v="0"/>
    <n v="1599"/>
    <n v="1029"/>
    <n v="30"/>
    <n v="11"/>
    <n v="30165"/>
    <n v="4"/>
    <n v="20775"/>
    <n v="4"/>
    <n v="107"/>
    <n v="1594"/>
    <n v="2024"/>
    <x v="1"/>
    <s v="万相台"/>
    <x v="1"/>
    <x v="1"/>
  </r>
  <r>
    <x v="1"/>
    <x v="28"/>
    <x v="0"/>
    <x v="0"/>
    <x v="1"/>
    <n v="9784"/>
    <n v="5633"/>
    <n v="41"/>
    <n v="31"/>
    <n v="6390"/>
    <n v="1"/>
    <n v="6390"/>
    <n v="1"/>
    <n v="336"/>
    <n v="9235"/>
    <n v="2024"/>
    <x v="1"/>
    <s v="引力魔方"/>
    <x v="1"/>
    <x v="1"/>
  </r>
  <r>
    <x v="1"/>
    <x v="28"/>
    <x v="0"/>
    <x v="7"/>
    <x v="23"/>
    <n v="1"/>
    <n v="0"/>
    <n v="0"/>
    <n v="0"/>
    <n v="0"/>
    <n v="0"/>
    <n v="0"/>
    <n v="0"/>
    <n v="1"/>
    <n v="1"/>
    <n v="2024"/>
    <x v="1"/>
    <s v="流量宝"/>
    <x v="1"/>
    <x v="1"/>
  </r>
  <r>
    <x v="1"/>
    <x v="28"/>
    <x v="0"/>
    <x v="7"/>
    <x v="24"/>
    <n v="268"/>
    <n v="86"/>
    <n v="0"/>
    <n v="0"/>
    <n v="19500"/>
    <n v="1"/>
    <n v="19500"/>
    <n v="1"/>
    <n v="15"/>
    <n v="260"/>
    <n v="2024"/>
    <x v="1"/>
    <s v="淘宝客"/>
    <x v="1"/>
    <x v="1"/>
  </r>
  <r>
    <x v="1"/>
    <x v="29"/>
    <x v="1"/>
    <x v="2"/>
    <x v="4"/>
    <n v="2"/>
    <n v="2"/>
    <n v="0"/>
    <n v="0"/>
    <n v="0"/>
    <n v="0"/>
    <n v="0"/>
    <n v="0"/>
    <n v="2"/>
    <n v="0"/>
    <n v="2024"/>
    <x v="1"/>
    <s v="手机浏览器访问天猫"/>
    <x v="1"/>
    <x v="1"/>
  </r>
  <r>
    <x v="1"/>
    <x v="29"/>
    <x v="1"/>
    <x v="2"/>
    <x v="5"/>
    <n v="81"/>
    <n v="46"/>
    <n v="1"/>
    <n v="0"/>
    <n v="2397.5"/>
    <n v="1"/>
    <n v="2397.5"/>
    <n v="1"/>
    <n v="15"/>
    <n v="78"/>
    <n v="2024"/>
    <x v="1"/>
    <s v="手猫免费其他"/>
    <x v="1"/>
    <x v="1"/>
  </r>
  <r>
    <x v="1"/>
    <x v="29"/>
    <x v="1"/>
    <x v="2"/>
    <x v="6"/>
    <n v="2"/>
    <n v="2"/>
    <n v="0"/>
    <n v="0"/>
    <n v="0"/>
    <n v="0"/>
    <n v="0"/>
    <n v="0"/>
    <n v="0"/>
    <n v="2"/>
    <n v="2024"/>
    <x v="1"/>
    <s v="手猫其他店铺"/>
    <x v="1"/>
    <x v="1"/>
  </r>
  <r>
    <x v="1"/>
    <x v="29"/>
    <x v="1"/>
    <x v="2"/>
    <x v="7"/>
    <n v="19"/>
    <n v="7"/>
    <n v="1"/>
    <n v="0"/>
    <n v="4645"/>
    <n v="1"/>
    <n v="4645"/>
    <n v="1"/>
    <n v="5"/>
    <n v="17"/>
    <n v="2024"/>
    <x v="1"/>
    <s v="手猫商品详情"/>
    <x v="1"/>
    <x v="1"/>
  </r>
  <r>
    <x v="1"/>
    <x v="29"/>
    <x v="1"/>
    <x v="2"/>
    <x v="8"/>
    <n v="45"/>
    <n v="37"/>
    <n v="0"/>
    <n v="0"/>
    <n v="0"/>
    <n v="0"/>
    <n v="0"/>
    <n v="0"/>
    <n v="27"/>
    <n v="35"/>
    <n v="2024"/>
    <x v="1"/>
    <s v="手猫搜索"/>
    <x v="1"/>
    <x v="1"/>
  </r>
  <r>
    <x v="1"/>
    <x v="29"/>
    <x v="1"/>
    <x v="2"/>
    <x v="10"/>
    <n v="256"/>
    <n v="168"/>
    <n v="3"/>
    <n v="0"/>
    <n v="3195"/>
    <n v="1"/>
    <n v="3195"/>
    <n v="1"/>
    <n v="14"/>
    <n v="256"/>
    <n v="2024"/>
    <x v="1"/>
    <s v="手猫首页"/>
    <x v="1"/>
    <x v="1"/>
  </r>
  <r>
    <x v="1"/>
    <x v="29"/>
    <x v="1"/>
    <x v="3"/>
    <x v="11"/>
    <n v="147"/>
    <n v="75"/>
    <n v="17"/>
    <n v="3"/>
    <n v="7674.5"/>
    <n v="3"/>
    <n v="7674.5"/>
    <n v="3"/>
    <n v="61"/>
    <n v="132"/>
    <n v="2024"/>
    <x v="1"/>
    <s v="商品详情页头图推荐"/>
    <x v="1"/>
    <x v="1"/>
  </r>
  <r>
    <x v="1"/>
    <x v="29"/>
    <x v="1"/>
    <x v="3"/>
    <x v="12"/>
    <n v="44"/>
    <n v="24"/>
    <n v="2"/>
    <n v="0"/>
    <n v="6750"/>
    <n v="2"/>
    <n v="3100"/>
    <n v="1"/>
    <n v="39"/>
    <n v="16"/>
    <n v="2024"/>
    <x v="1"/>
    <s v="店铺超链"/>
    <x v="1"/>
    <x v="1"/>
  </r>
  <r>
    <x v="1"/>
    <x v="29"/>
    <x v="1"/>
    <x v="4"/>
    <x v="13"/>
    <n v="208"/>
    <n v="142"/>
    <n v="6"/>
    <n v="5"/>
    <n v="0"/>
    <n v="0"/>
    <n v="0"/>
    <n v="0"/>
    <n v="129"/>
    <n v="125"/>
    <n v="2024"/>
    <x v="1"/>
    <s v="其他猜你喜欢"/>
    <x v="1"/>
    <x v="1"/>
  </r>
  <r>
    <x v="1"/>
    <x v="29"/>
    <x v="1"/>
    <x v="4"/>
    <x v="15"/>
    <n v="2"/>
    <n v="1"/>
    <n v="0"/>
    <n v="0"/>
    <n v="0"/>
    <n v="0"/>
    <n v="0"/>
    <n v="0"/>
    <n v="1"/>
    <n v="1"/>
    <n v="2024"/>
    <x v="1"/>
    <s v="购中推荐"/>
    <x v="1"/>
    <x v="1"/>
  </r>
  <r>
    <x v="1"/>
    <x v="29"/>
    <x v="1"/>
    <x v="4"/>
    <x v="16"/>
    <n v="258"/>
    <n v="251"/>
    <n v="1"/>
    <n v="0"/>
    <n v="0"/>
    <n v="0"/>
    <n v="0"/>
    <n v="0"/>
    <n v="202"/>
    <n v="17"/>
    <n v="2024"/>
    <x v="1"/>
    <s v="购后推荐"/>
    <x v="1"/>
    <x v="1"/>
  </r>
  <r>
    <x v="1"/>
    <x v="29"/>
    <x v="1"/>
    <x v="4"/>
    <x v="17"/>
    <n v="564"/>
    <n v="318"/>
    <n v="20"/>
    <n v="4"/>
    <n v="26540"/>
    <n v="5"/>
    <n v="22066"/>
    <n v="5"/>
    <n v="74"/>
    <n v="564"/>
    <n v="2024"/>
    <x v="1"/>
    <s v="首页推荐-微详情"/>
    <x v="1"/>
    <x v="1"/>
  </r>
  <r>
    <x v="1"/>
    <x v="29"/>
    <x v="1"/>
    <x v="4"/>
    <x v="18"/>
    <n v="9208"/>
    <n v="8563"/>
    <n v="0"/>
    <n v="0"/>
    <n v="0"/>
    <n v="0"/>
    <n v="0"/>
    <n v="0"/>
    <n v="2"/>
    <n v="9"/>
    <n v="2024"/>
    <x v="1"/>
    <s v="首页推荐-直播"/>
    <x v="1"/>
    <x v="1"/>
  </r>
  <r>
    <x v="1"/>
    <x v="29"/>
    <x v="1"/>
    <x v="4"/>
    <x v="19"/>
    <n v="16"/>
    <n v="5"/>
    <n v="0"/>
    <n v="0"/>
    <n v="0"/>
    <n v="0"/>
    <n v="0"/>
    <n v="0"/>
    <n v="0"/>
    <n v="0"/>
    <n v="2024"/>
    <x v="1"/>
    <s v="首页推荐-短视频"/>
    <x v="1"/>
    <x v="1"/>
  </r>
  <r>
    <x v="1"/>
    <x v="29"/>
    <x v="1"/>
    <x v="12"/>
    <x v="42"/>
    <n v="392"/>
    <n v="325"/>
    <n v="12"/>
    <n v="4"/>
    <n v="5077"/>
    <n v="2"/>
    <n v="3400"/>
    <n v="1"/>
    <n v="168"/>
    <n v="274"/>
    <n v="2024"/>
    <x v="1"/>
    <s v="手淘搜索-商品及其他"/>
    <x v="1"/>
    <x v="1"/>
  </r>
  <r>
    <x v="1"/>
    <x v="29"/>
    <x v="1"/>
    <x v="12"/>
    <x v="43"/>
    <n v="10"/>
    <n v="9"/>
    <n v="0"/>
    <n v="0"/>
    <n v="0"/>
    <n v="0"/>
    <n v="0"/>
    <n v="0"/>
    <n v="0"/>
    <n v="1"/>
    <n v="2024"/>
    <x v="1"/>
    <s v="手淘搜索-直播"/>
    <x v="1"/>
    <x v="1"/>
  </r>
  <r>
    <x v="1"/>
    <x v="29"/>
    <x v="1"/>
    <x v="12"/>
    <x v="44"/>
    <n v="9"/>
    <n v="6"/>
    <n v="0"/>
    <n v="0"/>
    <n v="0"/>
    <n v="0"/>
    <n v="0"/>
    <n v="0"/>
    <n v="1"/>
    <n v="0"/>
    <n v="2024"/>
    <x v="1"/>
    <s v="手淘搜索-短视频"/>
    <x v="1"/>
    <x v="1"/>
  </r>
  <r>
    <x v="1"/>
    <x v="29"/>
    <x v="1"/>
    <x v="11"/>
    <x v="37"/>
    <n v="11"/>
    <n v="11"/>
    <n v="0"/>
    <n v="0"/>
    <n v="0"/>
    <n v="0"/>
    <n v="0"/>
    <n v="0"/>
    <n v="0"/>
    <n v="11"/>
    <n v="2024"/>
    <x v="1"/>
    <s v="淘特其他渠道"/>
    <x v="1"/>
    <x v="1"/>
  </r>
  <r>
    <x v="1"/>
    <x v="29"/>
    <x v="1"/>
    <x v="13"/>
    <x v="46"/>
    <n v="1"/>
    <n v="1"/>
    <n v="0"/>
    <n v="0"/>
    <n v="0"/>
    <n v="0"/>
    <n v="0"/>
    <n v="0"/>
    <n v="0"/>
    <n v="0"/>
    <n v="2024"/>
    <x v="1"/>
    <s v="飞猪其他"/>
    <x v="1"/>
    <x v="1"/>
  </r>
  <r>
    <x v="1"/>
    <x v="29"/>
    <x v="0"/>
    <x v="5"/>
    <x v="41"/>
    <n v="2239"/>
    <n v="1894"/>
    <n v="0"/>
    <n v="0"/>
    <n v="0"/>
    <n v="0"/>
    <n v="0"/>
    <n v="0"/>
    <n v="2"/>
    <n v="449"/>
    <n v="2024"/>
    <x v="1"/>
    <s v="超级直播"/>
    <x v="1"/>
    <x v="1"/>
  </r>
  <r>
    <x v="1"/>
    <x v="29"/>
    <x v="0"/>
    <x v="6"/>
    <x v="48"/>
    <n v="642"/>
    <n v="596"/>
    <n v="0"/>
    <n v="0"/>
    <n v="0"/>
    <n v="0"/>
    <n v="0"/>
    <n v="0"/>
    <n v="642"/>
    <n v="87"/>
    <n v="2024"/>
    <x v="1"/>
    <s v="Showmax"/>
    <x v="1"/>
    <x v="1"/>
  </r>
  <r>
    <x v="1"/>
    <x v="29"/>
    <x v="0"/>
    <x v="6"/>
    <x v="30"/>
    <n v="775"/>
    <n v="702"/>
    <n v="0"/>
    <n v="0"/>
    <n v="0"/>
    <n v="0"/>
    <n v="0"/>
    <n v="0"/>
    <n v="775"/>
    <n v="215"/>
    <n v="2024"/>
    <x v="1"/>
    <s v="品牌特秀"/>
    <x v="1"/>
    <x v="1"/>
  </r>
  <r>
    <x v="1"/>
    <x v="29"/>
    <x v="0"/>
    <x v="6"/>
    <x v="21"/>
    <n v="821"/>
    <n v="717"/>
    <n v="18"/>
    <n v="6"/>
    <n v="2438"/>
    <n v="1"/>
    <n v="2438"/>
    <n v="1"/>
    <n v="821"/>
    <n v="442"/>
    <n v="2024"/>
    <x v="1"/>
    <s v="品销宝-品牌专区"/>
    <x v="1"/>
    <x v="1"/>
  </r>
  <r>
    <x v="1"/>
    <x v="29"/>
    <x v="0"/>
    <x v="0"/>
    <x v="2"/>
    <n v="3370"/>
    <n v="2968"/>
    <n v="41"/>
    <n v="20"/>
    <n v="61555"/>
    <n v="11"/>
    <n v="27927"/>
    <n v="6"/>
    <n v="318"/>
    <n v="3343"/>
    <n v="2024"/>
    <x v="1"/>
    <s v="直通车"/>
    <x v="1"/>
    <x v="1"/>
  </r>
  <r>
    <x v="1"/>
    <x v="29"/>
    <x v="0"/>
    <x v="0"/>
    <x v="0"/>
    <n v="1855"/>
    <n v="1126"/>
    <n v="57"/>
    <n v="11"/>
    <n v="47550.5"/>
    <n v="13"/>
    <n v="34510.5"/>
    <n v="10"/>
    <n v="175"/>
    <n v="1853"/>
    <n v="2024"/>
    <x v="1"/>
    <s v="万相台"/>
    <x v="1"/>
    <x v="1"/>
  </r>
  <r>
    <x v="1"/>
    <x v="29"/>
    <x v="0"/>
    <x v="0"/>
    <x v="1"/>
    <n v="15036"/>
    <n v="9744"/>
    <n v="127"/>
    <n v="62"/>
    <n v="58477.5"/>
    <n v="12"/>
    <n v="30580.5"/>
    <n v="8"/>
    <n v="654"/>
    <n v="14820"/>
    <n v="2024"/>
    <x v="1"/>
    <s v="引力魔方"/>
    <x v="1"/>
    <x v="1"/>
  </r>
  <r>
    <x v="1"/>
    <x v="29"/>
    <x v="0"/>
    <x v="7"/>
    <x v="23"/>
    <n v="4"/>
    <n v="2"/>
    <n v="0"/>
    <n v="0"/>
    <n v="0"/>
    <n v="0"/>
    <n v="0"/>
    <n v="0"/>
    <n v="0"/>
    <n v="2"/>
    <n v="2024"/>
    <x v="1"/>
    <s v="流量宝"/>
    <x v="1"/>
    <x v="1"/>
  </r>
  <r>
    <x v="1"/>
    <x v="29"/>
    <x v="0"/>
    <x v="7"/>
    <x v="24"/>
    <n v="313"/>
    <n v="103"/>
    <n v="1"/>
    <n v="0"/>
    <n v="3304"/>
    <n v="1"/>
    <n v="3304"/>
    <n v="1"/>
    <n v="8"/>
    <n v="303"/>
    <n v="2024"/>
    <x v="1"/>
    <s v="淘宝客"/>
    <x v="1"/>
    <x v="1"/>
  </r>
  <r>
    <x v="1"/>
    <x v="30"/>
    <x v="1"/>
    <x v="2"/>
    <x v="5"/>
    <n v="76"/>
    <n v="43"/>
    <n v="4"/>
    <n v="0"/>
    <n v="0"/>
    <n v="0"/>
    <n v="0"/>
    <n v="0"/>
    <n v="17"/>
    <n v="75"/>
    <n v="2024"/>
    <x v="1"/>
    <s v="手猫免费其他"/>
    <x v="1"/>
    <x v="1"/>
  </r>
  <r>
    <x v="1"/>
    <x v="30"/>
    <x v="1"/>
    <x v="2"/>
    <x v="6"/>
    <n v="5"/>
    <n v="4"/>
    <n v="0"/>
    <n v="0"/>
    <n v="0"/>
    <n v="0"/>
    <n v="0"/>
    <n v="0"/>
    <n v="0"/>
    <n v="5"/>
    <n v="2024"/>
    <x v="1"/>
    <s v="手猫其他店铺"/>
    <x v="1"/>
    <x v="1"/>
  </r>
  <r>
    <x v="1"/>
    <x v="30"/>
    <x v="1"/>
    <x v="2"/>
    <x v="7"/>
    <n v="17"/>
    <n v="9"/>
    <n v="1"/>
    <n v="0"/>
    <n v="2488"/>
    <n v="1"/>
    <n v="2488"/>
    <n v="1"/>
    <n v="2"/>
    <n v="17"/>
    <n v="2024"/>
    <x v="1"/>
    <s v="手猫商品详情"/>
    <x v="1"/>
    <x v="1"/>
  </r>
  <r>
    <x v="1"/>
    <x v="30"/>
    <x v="1"/>
    <x v="2"/>
    <x v="8"/>
    <n v="40"/>
    <n v="32"/>
    <n v="1"/>
    <n v="0"/>
    <n v="0"/>
    <n v="0"/>
    <n v="0"/>
    <n v="0"/>
    <n v="24"/>
    <n v="27"/>
    <n v="2024"/>
    <x v="1"/>
    <s v="手猫搜索"/>
    <x v="1"/>
    <x v="1"/>
  </r>
  <r>
    <x v="1"/>
    <x v="30"/>
    <x v="1"/>
    <x v="2"/>
    <x v="9"/>
    <n v="1"/>
    <n v="1"/>
    <n v="0"/>
    <n v="0"/>
    <n v="0"/>
    <n v="0"/>
    <n v="0"/>
    <n v="0"/>
    <n v="0"/>
    <n v="1"/>
    <n v="2024"/>
    <x v="1"/>
    <s v="手猫旺信聊天"/>
    <x v="1"/>
    <x v="1"/>
  </r>
  <r>
    <x v="1"/>
    <x v="30"/>
    <x v="1"/>
    <x v="2"/>
    <x v="10"/>
    <n v="321"/>
    <n v="209"/>
    <n v="1"/>
    <n v="0"/>
    <n v="0"/>
    <n v="0"/>
    <n v="0"/>
    <n v="0"/>
    <n v="9"/>
    <n v="321"/>
    <n v="2024"/>
    <x v="1"/>
    <s v="手猫首页"/>
    <x v="1"/>
    <x v="1"/>
  </r>
  <r>
    <x v="1"/>
    <x v="30"/>
    <x v="1"/>
    <x v="3"/>
    <x v="11"/>
    <n v="156"/>
    <n v="77"/>
    <n v="12"/>
    <n v="3"/>
    <n v="12471.77"/>
    <n v="5"/>
    <n v="12471.77"/>
    <n v="5"/>
    <n v="54"/>
    <n v="142"/>
    <n v="2024"/>
    <x v="1"/>
    <s v="商品详情页头图推荐"/>
    <x v="1"/>
    <x v="1"/>
  </r>
  <r>
    <x v="1"/>
    <x v="30"/>
    <x v="1"/>
    <x v="3"/>
    <x v="12"/>
    <n v="38"/>
    <n v="29"/>
    <n v="2"/>
    <n v="0"/>
    <n v="3195"/>
    <n v="1"/>
    <n v="3195"/>
    <n v="1"/>
    <n v="37"/>
    <n v="13"/>
    <n v="2024"/>
    <x v="1"/>
    <s v="店铺超链"/>
    <x v="1"/>
    <x v="1"/>
  </r>
  <r>
    <x v="1"/>
    <x v="30"/>
    <x v="1"/>
    <x v="4"/>
    <x v="13"/>
    <n v="229"/>
    <n v="146"/>
    <n v="5"/>
    <n v="1"/>
    <n v="5749"/>
    <n v="3"/>
    <n v="5749"/>
    <n v="3"/>
    <n v="121"/>
    <n v="142"/>
    <n v="2024"/>
    <x v="1"/>
    <s v="其他猜你喜欢"/>
    <x v="1"/>
    <x v="1"/>
  </r>
  <r>
    <x v="1"/>
    <x v="30"/>
    <x v="1"/>
    <x v="4"/>
    <x v="15"/>
    <n v="5"/>
    <n v="1"/>
    <n v="0"/>
    <n v="0"/>
    <n v="0"/>
    <n v="0"/>
    <n v="0"/>
    <n v="0"/>
    <n v="1"/>
    <n v="4"/>
    <n v="2024"/>
    <x v="1"/>
    <s v="购中推荐"/>
    <x v="1"/>
    <x v="1"/>
  </r>
  <r>
    <x v="1"/>
    <x v="30"/>
    <x v="1"/>
    <x v="4"/>
    <x v="16"/>
    <n v="176"/>
    <n v="169"/>
    <n v="0"/>
    <n v="0"/>
    <n v="0"/>
    <n v="0"/>
    <n v="0"/>
    <n v="0"/>
    <n v="165"/>
    <n v="16"/>
    <n v="2024"/>
    <x v="1"/>
    <s v="购后推荐"/>
    <x v="1"/>
    <x v="1"/>
  </r>
  <r>
    <x v="1"/>
    <x v="30"/>
    <x v="1"/>
    <x v="4"/>
    <x v="17"/>
    <n v="715"/>
    <n v="404"/>
    <n v="25"/>
    <n v="9"/>
    <n v="8089"/>
    <n v="4"/>
    <n v="8089"/>
    <n v="4"/>
    <n v="74"/>
    <n v="715"/>
    <n v="2024"/>
    <x v="1"/>
    <s v="首页推荐-微详情"/>
    <x v="1"/>
    <x v="1"/>
  </r>
  <r>
    <x v="1"/>
    <x v="30"/>
    <x v="1"/>
    <x v="4"/>
    <x v="18"/>
    <n v="188"/>
    <n v="159"/>
    <n v="0"/>
    <n v="0"/>
    <n v="0"/>
    <n v="0"/>
    <n v="0"/>
    <n v="0"/>
    <n v="2"/>
    <n v="7"/>
    <n v="2024"/>
    <x v="1"/>
    <s v="首页推荐-直播"/>
    <x v="1"/>
    <x v="1"/>
  </r>
  <r>
    <x v="1"/>
    <x v="30"/>
    <x v="1"/>
    <x v="4"/>
    <x v="19"/>
    <n v="34"/>
    <n v="23"/>
    <n v="0"/>
    <n v="0"/>
    <n v="0"/>
    <n v="0"/>
    <n v="0"/>
    <n v="0"/>
    <n v="0"/>
    <n v="0"/>
    <n v="2024"/>
    <x v="1"/>
    <s v="首页推荐-短视频"/>
    <x v="1"/>
    <x v="1"/>
  </r>
  <r>
    <x v="1"/>
    <x v="30"/>
    <x v="1"/>
    <x v="12"/>
    <x v="42"/>
    <n v="378"/>
    <n v="315"/>
    <n v="4"/>
    <n v="5"/>
    <n v="14980"/>
    <n v="4"/>
    <n v="10385"/>
    <n v="3"/>
    <n v="185"/>
    <n v="287"/>
    <n v="2024"/>
    <x v="1"/>
    <s v="手淘搜索-商品及其他"/>
    <x v="1"/>
    <x v="1"/>
  </r>
  <r>
    <x v="1"/>
    <x v="30"/>
    <x v="1"/>
    <x v="12"/>
    <x v="44"/>
    <n v="5"/>
    <n v="2"/>
    <n v="0"/>
    <n v="0"/>
    <n v="0"/>
    <n v="0"/>
    <n v="0"/>
    <n v="0"/>
    <n v="1"/>
    <n v="2"/>
    <n v="2024"/>
    <x v="1"/>
    <s v="手淘搜索-短视频"/>
    <x v="1"/>
    <x v="1"/>
  </r>
  <r>
    <x v="1"/>
    <x v="30"/>
    <x v="1"/>
    <x v="11"/>
    <x v="37"/>
    <n v="10"/>
    <n v="8"/>
    <n v="0"/>
    <n v="0"/>
    <n v="0"/>
    <n v="0"/>
    <n v="0"/>
    <n v="0"/>
    <n v="0"/>
    <n v="10"/>
    <n v="2024"/>
    <x v="1"/>
    <s v="淘特其他渠道"/>
    <x v="1"/>
    <x v="1"/>
  </r>
  <r>
    <x v="1"/>
    <x v="30"/>
    <x v="0"/>
    <x v="5"/>
    <x v="41"/>
    <n v="3702"/>
    <n v="3325"/>
    <n v="0"/>
    <n v="0"/>
    <n v="0"/>
    <n v="0"/>
    <n v="0"/>
    <n v="0"/>
    <n v="4"/>
    <n v="2097"/>
    <n v="2024"/>
    <x v="1"/>
    <s v="超级直播"/>
    <x v="1"/>
    <x v="1"/>
  </r>
  <r>
    <x v="1"/>
    <x v="30"/>
    <x v="0"/>
    <x v="6"/>
    <x v="48"/>
    <n v="1091"/>
    <n v="961"/>
    <n v="0"/>
    <n v="0"/>
    <n v="0"/>
    <n v="0"/>
    <n v="0"/>
    <n v="0"/>
    <n v="1091"/>
    <n v="228"/>
    <n v="2024"/>
    <x v="1"/>
    <s v="Showmax"/>
    <x v="1"/>
    <x v="1"/>
  </r>
  <r>
    <x v="1"/>
    <x v="30"/>
    <x v="0"/>
    <x v="6"/>
    <x v="30"/>
    <n v="1413"/>
    <n v="1204"/>
    <n v="0"/>
    <n v="0"/>
    <n v="0"/>
    <n v="0"/>
    <n v="0"/>
    <n v="0"/>
    <n v="1413"/>
    <n v="397"/>
    <n v="2024"/>
    <x v="1"/>
    <s v="品牌特秀"/>
    <x v="1"/>
    <x v="1"/>
  </r>
  <r>
    <x v="1"/>
    <x v="30"/>
    <x v="0"/>
    <x v="6"/>
    <x v="21"/>
    <n v="715"/>
    <n v="593"/>
    <n v="13"/>
    <n v="4"/>
    <n v="9517"/>
    <n v="3"/>
    <n v="9517"/>
    <n v="3"/>
    <n v="715"/>
    <n v="392"/>
    <n v="2024"/>
    <x v="1"/>
    <s v="品销宝-品牌专区"/>
    <x v="1"/>
    <x v="1"/>
  </r>
  <r>
    <x v="1"/>
    <x v="30"/>
    <x v="0"/>
    <x v="6"/>
    <x v="49"/>
    <n v="1"/>
    <n v="1"/>
    <n v="0"/>
    <n v="0"/>
    <n v="0"/>
    <n v="0"/>
    <n v="0"/>
    <n v="0"/>
    <n v="0"/>
    <n v="0"/>
    <n v="2024"/>
    <x v="1"/>
    <s v="超级全域通"/>
    <x v="1"/>
    <x v="1"/>
  </r>
  <r>
    <x v="1"/>
    <x v="30"/>
    <x v="0"/>
    <x v="0"/>
    <x v="2"/>
    <n v="2684"/>
    <n v="2338"/>
    <n v="35"/>
    <n v="26"/>
    <n v="14168"/>
    <n v="5"/>
    <n v="14168"/>
    <n v="5"/>
    <n v="276"/>
    <n v="2652"/>
    <n v="2024"/>
    <x v="1"/>
    <s v="直通车"/>
    <x v="1"/>
    <x v="1"/>
  </r>
  <r>
    <x v="1"/>
    <x v="30"/>
    <x v="0"/>
    <x v="0"/>
    <x v="0"/>
    <n v="1748"/>
    <n v="956"/>
    <n v="42"/>
    <n v="8"/>
    <n v="46082"/>
    <n v="16"/>
    <n v="42637"/>
    <n v="15"/>
    <n v="132"/>
    <n v="1747"/>
    <n v="2024"/>
    <x v="1"/>
    <s v="万相台"/>
    <x v="1"/>
    <x v="1"/>
  </r>
  <r>
    <x v="1"/>
    <x v="30"/>
    <x v="0"/>
    <x v="0"/>
    <x v="1"/>
    <n v="16651"/>
    <n v="9756"/>
    <n v="136"/>
    <n v="78"/>
    <n v="31076"/>
    <n v="14"/>
    <n v="26653.5"/>
    <n v="12"/>
    <n v="644"/>
    <n v="16644"/>
    <n v="2024"/>
    <x v="1"/>
    <s v="引力魔方"/>
    <x v="1"/>
    <x v="1"/>
  </r>
  <r>
    <x v="1"/>
    <x v="30"/>
    <x v="0"/>
    <x v="7"/>
    <x v="22"/>
    <n v="1"/>
    <n v="1"/>
    <n v="0"/>
    <n v="0"/>
    <n v="0"/>
    <n v="0"/>
    <n v="0"/>
    <n v="0"/>
    <n v="0"/>
    <n v="0"/>
    <n v="2024"/>
    <x v="1"/>
    <s v="UD效果投放"/>
    <x v="1"/>
    <x v="1"/>
  </r>
  <r>
    <x v="1"/>
    <x v="30"/>
    <x v="0"/>
    <x v="7"/>
    <x v="23"/>
    <n v="2"/>
    <n v="1"/>
    <n v="0"/>
    <n v="0"/>
    <n v="0"/>
    <n v="0"/>
    <n v="0"/>
    <n v="0"/>
    <n v="0"/>
    <n v="1"/>
    <n v="2024"/>
    <x v="1"/>
    <s v="流量宝"/>
    <x v="1"/>
    <x v="1"/>
  </r>
  <r>
    <x v="1"/>
    <x v="30"/>
    <x v="0"/>
    <x v="7"/>
    <x v="24"/>
    <n v="332"/>
    <n v="98"/>
    <n v="0"/>
    <n v="0"/>
    <n v="3995"/>
    <n v="1"/>
    <n v="3995"/>
    <n v="1"/>
    <n v="13"/>
    <n v="315"/>
    <n v="2024"/>
    <x v="1"/>
    <s v="淘宝客"/>
    <x v="1"/>
    <x v="1"/>
  </r>
  <r>
    <x v="1"/>
    <x v="31"/>
    <x v="1"/>
    <x v="2"/>
    <x v="5"/>
    <n v="99"/>
    <n v="52"/>
    <n v="1"/>
    <n v="0"/>
    <n v="5372"/>
    <n v="2"/>
    <n v="5372"/>
    <n v="2"/>
    <n v="29"/>
    <n v="93"/>
    <n v="2024"/>
    <x v="1"/>
    <s v="手猫免费其他"/>
    <x v="1"/>
    <x v="1"/>
  </r>
  <r>
    <x v="1"/>
    <x v="31"/>
    <x v="1"/>
    <x v="2"/>
    <x v="6"/>
    <n v="8"/>
    <n v="6"/>
    <n v="0"/>
    <n v="0"/>
    <n v="0"/>
    <n v="0"/>
    <n v="0"/>
    <n v="0"/>
    <n v="0"/>
    <n v="8"/>
    <n v="2024"/>
    <x v="1"/>
    <s v="手猫其他店铺"/>
    <x v="1"/>
    <x v="1"/>
  </r>
  <r>
    <x v="1"/>
    <x v="31"/>
    <x v="1"/>
    <x v="2"/>
    <x v="7"/>
    <n v="30"/>
    <n v="11"/>
    <n v="1"/>
    <n v="0"/>
    <n v="0"/>
    <n v="0"/>
    <n v="0"/>
    <n v="0"/>
    <n v="6"/>
    <n v="29"/>
    <n v="2024"/>
    <x v="1"/>
    <s v="手猫商品详情"/>
    <x v="1"/>
    <x v="1"/>
  </r>
  <r>
    <x v="1"/>
    <x v="31"/>
    <x v="1"/>
    <x v="2"/>
    <x v="8"/>
    <n v="43"/>
    <n v="31"/>
    <n v="0"/>
    <n v="0"/>
    <n v="0"/>
    <n v="0"/>
    <n v="0"/>
    <n v="0"/>
    <n v="20"/>
    <n v="35"/>
    <n v="2024"/>
    <x v="1"/>
    <s v="手猫搜索"/>
    <x v="1"/>
    <x v="1"/>
  </r>
  <r>
    <x v="1"/>
    <x v="31"/>
    <x v="1"/>
    <x v="2"/>
    <x v="9"/>
    <n v="1"/>
    <n v="0"/>
    <n v="0"/>
    <n v="0"/>
    <n v="3745"/>
    <n v="1"/>
    <n v="3745"/>
    <n v="1"/>
    <n v="1"/>
    <n v="1"/>
    <n v="2024"/>
    <x v="1"/>
    <s v="手猫旺信聊天"/>
    <x v="1"/>
    <x v="1"/>
  </r>
  <r>
    <x v="1"/>
    <x v="31"/>
    <x v="1"/>
    <x v="2"/>
    <x v="10"/>
    <n v="396"/>
    <n v="260"/>
    <n v="2"/>
    <n v="0"/>
    <n v="1627"/>
    <n v="1"/>
    <n v="1627"/>
    <n v="1"/>
    <n v="14"/>
    <n v="396"/>
    <n v="2024"/>
    <x v="1"/>
    <s v="手猫首页"/>
    <x v="1"/>
    <x v="1"/>
  </r>
  <r>
    <x v="1"/>
    <x v="31"/>
    <x v="1"/>
    <x v="3"/>
    <x v="11"/>
    <n v="158"/>
    <n v="76"/>
    <n v="10"/>
    <n v="4"/>
    <n v="9395"/>
    <n v="1"/>
    <n v="0"/>
    <n v="0"/>
    <n v="54"/>
    <n v="140"/>
    <n v="2024"/>
    <x v="1"/>
    <s v="商品详情页头图推荐"/>
    <x v="1"/>
    <x v="1"/>
  </r>
  <r>
    <x v="1"/>
    <x v="31"/>
    <x v="1"/>
    <x v="3"/>
    <x v="12"/>
    <n v="40"/>
    <n v="26"/>
    <n v="4"/>
    <n v="0"/>
    <n v="0"/>
    <n v="0"/>
    <n v="0"/>
    <n v="0"/>
    <n v="34"/>
    <n v="16"/>
    <n v="2024"/>
    <x v="1"/>
    <s v="店铺超链"/>
    <x v="1"/>
    <x v="1"/>
  </r>
  <r>
    <x v="1"/>
    <x v="31"/>
    <x v="1"/>
    <x v="4"/>
    <x v="13"/>
    <n v="221"/>
    <n v="134"/>
    <n v="9"/>
    <n v="2"/>
    <n v="0"/>
    <n v="0"/>
    <n v="0"/>
    <n v="0"/>
    <n v="121"/>
    <n v="137"/>
    <n v="2024"/>
    <x v="1"/>
    <s v="其他猜你喜欢"/>
    <x v="1"/>
    <x v="1"/>
  </r>
  <r>
    <x v="1"/>
    <x v="31"/>
    <x v="1"/>
    <x v="4"/>
    <x v="15"/>
    <n v="1"/>
    <n v="0"/>
    <n v="0"/>
    <n v="0"/>
    <n v="0"/>
    <n v="0"/>
    <n v="0"/>
    <n v="0"/>
    <n v="0"/>
    <n v="1"/>
    <n v="2024"/>
    <x v="1"/>
    <s v="购中推荐"/>
    <x v="1"/>
    <x v="1"/>
  </r>
  <r>
    <x v="1"/>
    <x v="31"/>
    <x v="1"/>
    <x v="4"/>
    <x v="16"/>
    <n v="181"/>
    <n v="180"/>
    <n v="0"/>
    <n v="0"/>
    <n v="0"/>
    <n v="0"/>
    <n v="0"/>
    <n v="0"/>
    <n v="163"/>
    <n v="13"/>
    <n v="2024"/>
    <x v="1"/>
    <s v="购后推荐"/>
    <x v="1"/>
    <x v="1"/>
  </r>
  <r>
    <x v="1"/>
    <x v="31"/>
    <x v="1"/>
    <x v="4"/>
    <x v="17"/>
    <n v="1116"/>
    <n v="678"/>
    <n v="38"/>
    <n v="13"/>
    <n v="9197.5"/>
    <n v="2"/>
    <n v="5747.5"/>
    <n v="2"/>
    <n v="128"/>
    <n v="1116"/>
    <n v="2024"/>
    <x v="1"/>
    <s v="首页推荐-微详情"/>
    <x v="1"/>
    <x v="1"/>
  </r>
  <r>
    <x v="1"/>
    <x v="31"/>
    <x v="1"/>
    <x v="4"/>
    <x v="18"/>
    <n v="2796"/>
    <n v="2691"/>
    <n v="0"/>
    <n v="0"/>
    <n v="0"/>
    <n v="0"/>
    <n v="0"/>
    <n v="0"/>
    <n v="1"/>
    <n v="6"/>
    <n v="2024"/>
    <x v="1"/>
    <s v="首页推荐-直播"/>
    <x v="1"/>
    <x v="1"/>
  </r>
  <r>
    <x v="1"/>
    <x v="31"/>
    <x v="1"/>
    <x v="4"/>
    <x v="19"/>
    <n v="33"/>
    <n v="15"/>
    <n v="0"/>
    <n v="0"/>
    <n v="0"/>
    <n v="0"/>
    <n v="0"/>
    <n v="0"/>
    <n v="0"/>
    <n v="0"/>
    <n v="2024"/>
    <x v="1"/>
    <s v="首页推荐-短视频"/>
    <x v="1"/>
    <x v="1"/>
  </r>
  <r>
    <x v="1"/>
    <x v="31"/>
    <x v="1"/>
    <x v="12"/>
    <x v="42"/>
    <n v="363"/>
    <n v="288"/>
    <n v="15"/>
    <n v="8"/>
    <n v="0"/>
    <n v="0"/>
    <n v="0"/>
    <n v="0"/>
    <n v="159"/>
    <n v="274"/>
    <n v="2024"/>
    <x v="1"/>
    <s v="手淘搜索-商品及其他"/>
    <x v="1"/>
    <x v="1"/>
  </r>
  <r>
    <x v="1"/>
    <x v="31"/>
    <x v="1"/>
    <x v="12"/>
    <x v="43"/>
    <n v="2"/>
    <n v="2"/>
    <n v="0"/>
    <n v="0"/>
    <n v="0"/>
    <n v="0"/>
    <n v="0"/>
    <n v="0"/>
    <n v="0"/>
    <n v="0"/>
    <n v="2024"/>
    <x v="1"/>
    <s v="手淘搜索-直播"/>
    <x v="1"/>
    <x v="1"/>
  </r>
  <r>
    <x v="1"/>
    <x v="31"/>
    <x v="1"/>
    <x v="12"/>
    <x v="44"/>
    <n v="2"/>
    <n v="0"/>
    <n v="0"/>
    <n v="0"/>
    <n v="0"/>
    <n v="0"/>
    <n v="0"/>
    <n v="0"/>
    <n v="0"/>
    <n v="0"/>
    <n v="2024"/>
    <x v="1"/>
    <s v="手淘搜索-短视频"/>
    <x v="1"/>
    <x v="1"/>
  </r>
  <r>
    <x v="1"/>
    <x v="31"/>
    <x v="1"/>
    <x v="11"/>
    <x v="37"/>
    <n v="10"/>
    <n v="10"/>
    <n v="0"/>
    <n v="0"/>
    <n v="0"/>
    <n v="0"/>
    <n v="0"/>
    <n v="0"/>
    <n v="0"/>
    <n v="10"/>
    <n v="2024"/>
    <x v="1"/>
    <s v="淘特其他渠道"/>
    <x v="1"/>
    <x v="1"/>
  </r>
  <r>
    <x v="1"/>
    <x v="31"/>
    <x v="0"/>
    <x v="5"/>
    <x v="41"/>
    <n v="1710"/>
    <n v="1494"/>
    <n v="1"/>
    <n v="0"/>
    <n v="0"/>
    <n v="0"/>
    <n v="0"/>
    <n v="0"/>
    <n v="6"/>
    <n v="658"/>
    <n v="2024"/>
    <x v="1"/>
    <s v="超级直播"/>
    <x v="1"/>
    <x v="1"/>
  </r>
  <r>
    <x v="1"/>
    <x v="31"/>
    <x v="0"/>
    <x v="6"/>
    <x v="48"/>
    <n v="1209"/>
    <n v="1091"/>
    <n v="0"/>
    <n v="0"/>
    <n v="0"/>
    <n v="0"/>
    <n v="0"/>
    <n v="0"/>
    <n v="1209"/>
    <n v="202"/>
    <n v="2024"/>
    <x v="1"/>
    <s v="Showmax"/>
    <x v="1"/>
    <x v="1"/>
  </r>
  <r>
    <x v="1"/>
    <x v="31"/>
    <x v="0"/>
    <x v="6"/>
    <x v="45"/>
    <n v="1"/>
    <n v="1"/>
    <n v="0"/>
    <n v="0"/>
    <n v="0"/>
    <n v="0"/>
    <n v="0"/>
    <n v="0"/>
    <n v="0"/>
    <n v="0"/>
    <n v="2024"/>
    <x v="1"/>
    <s v="品牌定制"/>
    <x v="1"/>
    <x v="1"/>
  </r>
  <r>
    <x v="1"/>
    <x v="31"/>
    <x v="0"/>
    <x v="6"/>
    <x v="30"/>
    <n v="1487"/>
    <n v="1287"/>
    <n v="0"/>
    <n v="0"/>
    <n v="0"/>
    <n v="0"/>
    <n v="0"/>
    <n v="0"/>
    <n v="1487"/>
    <n v="334"/>
    <n v="2024"/>
    <x v="1"/>
    <s v="品牌特秀"/>
    <x v="1"/>
    <x v="1"/>
  </r>
  <r>
    <x v="1"/>
    <x v="31"/>
    <x v="0"/>
    <x v="6"/>
    <x v="21"/>
    <n v="729"/>
    <n v="623"/>
    <n v="18"/>
    <n v="3"/>
    <n v="8736"/>
    <n v="3"/>
    <n v="8736"/>
    <n v="3"/>
    <n v="729"/>
    <n v="368"/>
    <n v="2024"/>
    <x v="1"/>
    <s v="品销宝-品牌专区"/>
    <x v="1"/>
    <x v="1"/>
  </r>
  <r>
    <x v="1"/>
    <x v="31"/>
    <x v="0"/>
    <x v="0"/>
    <x v="2"/>
    <n v="2729"/>
    <n v="2371"/>
    <n v="45"/>
    <n v="24"/>
    <n v="33623"/>
    <n v="10"/>
    <n v="24845"/>
    <n v="7"/>
    <n v="270"/>
    <n v="2704"/>
    <n v="2024"/>
    <x v="1"/>
    <s v="直通车"/>
    <x v="1"/>
    <x v="1"/>
  </r>
  <r>
    <x v="1"/>
    <x v="31"/>
    <x v="0"/>
    <x v="0"/>
    <x v="0"/>
    <n v="1818"/>
    <n v="1031"/>
    <n v="52"/>
    <n v="8"/>
    <n v="37735"/>
    <n v="11"/>
    <n v="29057"/>
    <n v="8"/>
    <n v="163"/>
    <n v="1814"/>
    <n v="2024"/>
    <x v="1"/>
    <s v="万相台"/>
    <x v="1"/>
    <x v="1"/>
  </r>
  <r>
    <x v="1"/>
    <x v="31"/>
    <x v="0"/>
    <x v="0"/>
    <x v="1"/>
    <n v="16115"/>
    <n v="9096"/>
    <n v="122"/>
    <n v="55"/>
    <n v="40828.5"/>
    <n v="8"/>
    <n v="16246"/>
    <n v="5"/>
    <n v="608"/>
    <n v="16113"/>
    <n v="2024"/>
    <x v="1"/>
    <s v="引力魔方"/>
    <x v="1"/>
    <x v="1"/>
  </r>
  <r>
    <x v="1"/>
    <x v="31"/>
    <x v="0"/>
    <x v="7"/>
    <x v="23"/>
    <n v="2"/>
    <n v="2"/>
    <n v="0"/>
    <n v="0"/>
    <n v="0"/>
    <n v="0"/>
    <n v="0"/>
    <n v="0"/>
    <n v="0"/>
    <n v="1"/>
    <n v="2024"/>
    <x v="1"/>
    <s v="流量宝"/>
    <x v="1"/>
    <x v="1"/>
  </r>
  <r>
    <x v="1"/>
    <x v="31"/>
    <x v="0"/>
    <x v="7"/>
    <x v="24"/>
    <n v="322"/>
    <n v="84"/>
    <n v="2"/>
    <n v="3"/>
    <n v="4374"/>
    <n v="2"/>
    <n v="4374"/>
    <n v="2"/>
    <n v="4"/>
    <n v="311"/>
    <n v="2024"/>
    <x v="1"/>
    <s v="淘宝客"/>
    <x v="1"/>
    <x v="1"/>
  </r>
  <r>
    <x v="1"/>
    <x v="32"/>
    <x v="1"/>
    <x v="2"/>
    <x v="5"/>
    <n v="86"/>
    <n v="44"/>
    <n v="1"/>
    <n v="0"/>
    <n v="6175"/>
    <n v="2"/>
    <n v="6175"/>
    <n v="2"/>
    <n v="32"/>
    <n v="85"/>
    <n v="2024"/>
    <x v="1"/>
    <s v="手猫免费其他"/>
    <x v="1"/>
    <x v="1"/>
  </r>
  <r>
    <x v="1"/>
    <x v="32"/>
    <x v="1"/>
    <x v="2"/>
    <x v="6"/>
    <n v="9"/>
    <n v="3"/>
    <n v="1"/>
    <n v="0"/>
    <n v="0"/>
    <n v="0"/>
    <n v="0"/>
    <n v="0"/>
    <n v="0"/>
    <n v="9"/>
    <n v="2024"/>
    <x v="1"/>
    <s v="手猫其他店铺"/>
    <x v="1"/>
    <x v="1"/>
  </r>
  <r>
    <x v="1"/>
    <x v="32"/>
    <x v="1"/>
    <x v="2"/>
    <x v="7"/>
    <n v="33"/>
    <n v="11"/>
    <n v="1"/>
    <n v="0"/>
    <n v="2438"/>
    <n v="1"/>
    <n v="2438"/>
    <n v="1"/>
    <n v="5"/>
    <n v="31"/>
    <n v="2024"/>
    <x v="1"/>
    <s v="手猫商品详情"/>
    <x v="1"/>
    <x v="1"/>
  </r>
  <r>
    <x v="1"/>
    <x v="32"/>
    <x v="1"/>
    <x v="2"/>
    <x v="8"/>
    <n v="38"/>
    <n v="24"/>
    <n v="1"/>
    <n v="0"/>
    <n v="0"/>
    <n v="0"/>
    <n v="0"/>
    <n v="0"/>
    <n v="19"/>
    <n v="29"/>
    <n v="2024"/>
    <x v="1"/>
    <s v="手猫搜索"/>
    <x v="1"/>
    <x v="1"/>
  </r>
  <r>
    <x v="1"/>
    <x v="32"/>
    <x v="1"/>
    <x v="2"/>
    <x v="9"/>
    <n v="2"/>
    <n v="0"/>
    <n v="0"/>
    <n v="0"/>
    <n v="0"/>
    <n v="0"/>
    <n v="0"/>
    <n v="0"/>
    <n v="0"/>
    <n v="2"/>
    <n v="2024"/>
    <x v="1"/>
    <s v="手猫旺信聊天"/>
    <x v="1"/>
    <x v="1"/>
  </r>
  <r>
    <x v="1"/>
    <x v="32"/>
    <x v="1"/>
    <x v="2"/>
    <x v="10"/>
    <n v="452"/>
    <n v="300"/>
    <n v="1"/>
    <n v="0"/>
    <n v="2980"/>
    <n v="1"/>
    <n v="2980"/>
    <n v="1"/>
    <n v="19"/>
    <n v="452"/>
    <n v="2024"/>
    <x v="1"/>
    <s v="手猫首页"/>
    <x v="1"/>
    <x v="1"/>
  </r>
  <r>
    <x v="1"/>
    <x v="32"/>
    <x v="1"/>
    <x v="3"/>
    <x v="11"/>
    <n v="168"/>
    <n v="72"/>
    <n v="11"/>
    <n v="4"/>
    <n v="8927"/>
    <n v="2"/>
    <n v="5582"/>
    <n v="2"/>
    <n v="54"/>
    <n v="156"/>
    <n v="2024"/>
    <x v="1"/>
    <s v="商品详情页头图推荐"/>
    <x v="1"/>
    <x v="1"/>
  </r>
  <r>
    <x v="1"/>
    <x v="32"/>
    <x v="1"/>
    <x v="3"/>
    <x v="12"/>
    <n v="31"/>
    <n v="17"/>
    <n v="3"/>
    <n v="0"/>
    <n v="0"/>
    <n v="0"/>
    <n v="0"/>
    <n v="0"/>
    <n v="27"/>
    <n v="14"/>
    <n v="2024"/>
    <x v="1"/>
    <s v="店铺超链"/>
    <x v="1"/>
    <x v="1"/>
  </r>
  <r>
    <x v="1"/>
    <x v="32"/>
    <x v="1"/>
    <x v="4"/>
    <x v="13"/>
    <n v="223"/>
    <n v="127"/>
    <n v="9"/>
    <n v="3"/>
    <n v="10094"/>
    <n v="3"/>
    <n v="6749"/>
    <n v="3"/>
    <n v="119"/>
    <n v="148"/>
    <n v="2024"/>
    <x v="1"/>
    <s v="其他猜你喜欢"/>
    <x v="1"/>
    <x v="1"/>
  </r>
  <r>
    <x v="1"/>
    <x v="32"/>
    <x v="1"/>
    <x v="4"/>
    <x v="15"/>
    <n v="2"/>
    <n v="0"/>
    <n v="0"/>
    <n v="0"/>
    <n v="0"/>
    <n v="0"/>
    <n v="0"/>
    <n v="0"/>
    <n v="0"/>
    <n v="2"/>
    <n v="2024"/>
    <x v="1"/>
    <s v="购中推荐"/>
    <x v="1"/>
    <x v="1"/>
  </r>
  <r>
    <x v="1"/>
    <x v="32"/>
    <x v="1"/>
    <x v="4"/>
    <x v="16"/>
    <n v="63"/>
    <n v="56"/>
    <n v="0"/>
    <n v="1"/>
    <n v="0"/>
    <n v="0"/>
    <n v="0"/>
    <n v="0"/>
    <n v="45"/>
    <n v="20"/>
    <n v="2024"/>
    <x v="1"/>
    <s v="购后推荐"/>
    <x v="1"/>
    <x v="1"/>
  </r>
  <r>
    <x v="1"/>
    <x v="32"/>
    <x v="1"/>
    <x v="4"/>
    <x v="17"/>
    <n v="1191"/>
    <n v="634"/>
    <n v="36"/>
    <n v="15"/>
    <n v="16045.5"/>
    <n v="6"/>
    <n v="9155.5"/>
    <n v="4"/>
    <n v="112"/>
    <n v="1191"/>
    <n v="2024"/>
    <x v="1"/>
    <s v="首页推荐-微详情"/>
    <x v="1"/>
    <x v="1"/>
  </r>
  <r>
    <x v="1"/>
    <x v="32"/>
    <x v="1"/>
    <x v="4"/>
    <x v="18"/>
    <n v="26"/>
    <n v="18"/>
    <n v="0"/>
    <n v="0"/>
    <n v="0"/>
    <n v="0"/>
    <n v="0"/>
    <n v="0"/>
    <n v="0"/>
    <n v="3"/>
    <n v="2024"/>
    <x v="1"/>
    <s v="首页推荐-直播"/>
    <x v="1"/>
    <x v="1"/>
  </r>
  <r>
    <x v="1"/>
    <x v="32"/>
    <x v="1"/>
    <x v="4"/>
    <x v="19"/>
    <n v="32"/>
    <n v="16"/>
    <n v="0"/>
    <n v="0"/>
    <n v="0"/>
    <n v="0"/>
    <n v="0"/>
    <n v="0"/>
    <n v="0"/>
    <n v="0"/>
    <n v="2024"/>
    <x v="1"/>
    <s v="首页推荐-短视频"/>
    <x v="1"/>
    <x v="1"/>
  </r>
  <r>
    <x v="1"/>
    <x v="32"/>
    <x v="1"/>
    <x v="12"/>
    <x v="42"/>
    <n v="422"/>
    <n v="340"/>
    <n v="11"/>
    <n v="10"/>
    <n v="7814"/>
    <n v="3"/>
    <n v="7814"/>
    <n v="3"/>
    <n v="196"/>
    <n v="335"/>
    <n v="2024"/>
    <x v="1"/>
    <s v="手淘搜索-商品及其他"/>
    <x v="1"/>
    <x v="1"/>
  </r>
  <r>
    <x v="1"/>
    <x v="32"/>
    <x v="1"/>
    <x v="12"/>
    <x v="44"/>
    <n v="12"/>
    <n v="11"/>
    <n v="0"/>
    <n v="0"/>
    <n v="0"/>
    <n v="0"/>
    <n v="0"/>
    <n v="0"/>
    <n v="3"/>
    <n v="3"/>
    <n v="2024"/>
    <x v="1"/>
    <s v="手淘搜索-短视频"/>
    <x v="1"/>
    <x v="1"/>
  </r>
  <r>
    <x v="1"/>
    <x v="32"/>
    <x v="1"/>
    <x v="11"/>
    <x v="37"/>
    <n v="7"/>
    <n v="7"/>
    <n v="0"/>
    <n v="0"/>
    <n v="0"/>
    <n v="0"/>
    <n v="0"/>
    <n v="0"/>
    <n v="0"/>
    <n v="7"/>
    <n v="2024"/>
    <x v="1"/>
    <s v="淘特其他渠道"/>
    <x v="1"/>
    <x v="1"/>
  </r>
  <r>
    <x v="1"/>
    <x v="32"/>
    <x v="1"/>
    <x v="11"/>
    <x v="39"/>
    <n v="1"/>
    <n v="1"/>
    <n v="0"/>
    <n v="0"/>
    <n v="0"/>
    <n v="0"/>
    <n v="0"/>
    <n v="0"/>
    <n v="0"/>
    <n v="1"/>
    <n v="2024"/>
    <x v="1"/>
    <s v="淘特搜索"/>
    <x v="1"/>
    <x v="1"/>
  </r>
  <r>
    <x v="1"/>
    <x v="32"/>
    <x v="0"/>
    <x v="5"/>
    <x v="41"/>
    <n v="8"/>
    <n v="8"/>
    <n v="0"/>
    <n v="0"/>
    <n v="0"/>
    <n v="0"/>
    <n v="0"/>
    <n v="0"/>
    <n v="0"/>
    <n v="7"/>
    <n v="2024"/>
    <x v="1"/>
    <s v="超级直播"/>
    <x v="1"/>
    <x v="1"/>
  </r>
  <r>
    <x v="1"/>
    <x v="32"/>
    <x v="0"/>
    <x v="6"/>
    <x v="48"/>
    <n v="522"/>
    <n v="478"/>
    <n v="0"/>
    <n v="0"/>
    <n v="0"/>
    <n v="0"/>
    <n v="0"/>
    <n v="0"/>
    <n v="522"/>
    <n v="46"/>
    <n v="2024"/>
    <x v="1"/>
    <s v="Showmax"/>
    <x v="1"/>
    <x v="1"/>
  </r>
  <r>
    <x v="1"/>
    <x v="32"/>
    <x v="0"/>
    <x v="6"/>
    <x v="30"/>
    <n v="1299"/>
    <n v="1081"/>
    <n v="0"/>
    <n v="0"/>
    <n v="0"/>
    <n v="0"/>
    <n v="0"/>
    <n v="0"/>
    <n v="1299"/>
    <n v="273"/>
    <n v="2024"/>
    <x v="1"/>
    <s v="品牌特秀"/>
    <x v="1"/>
    <x v="1"/>
  </r>
  <r>
    <x v="1"/>
    <x v="32"/>
    <x v="0"/>
    <x v="6"/>
    <x v="21"/>
    <n v="716"/>
    <n v="596"/>
    <n v="16"/>
    <n v="6"/>
    <n v="4510"/>
    <n v="1"/>
    <n v="4510"/>
    <n v="1"/>
    <n v="716"/>
    <n v="393"/>
    <n v="2024"/>
    <x v="1"/>
    <s v="品销宝-品牌专区"/>
    <x v="1"/>
    <x v="1"/>
  </r>
  <r>
    <x v="1"/>
    <x v="32"/>
    <x v="0"/>
    <x v="0"/>
    <x v="2"/>
    <n v="2914"/>
    <n v="2542"/>
    <n v="55"/>
    <n v="25"/>
    <n v="41941"/>
    <n v="10"/>
    <n v="13811"/>
    <n v="6"/>
    <n v="305"/>
    <n v="2880"/>
    <n v="2024"/>
    <x v="1"/>
    <s v="直通车"/>
    <x v="1"/>
    <x v="1"/>
  </r>
  <r>
    <x v="1"/>
    <x v="32"/>
    <x v="0"/>
    <x v="0"/>
    <x v="0"/>
    <n v="2513"/>
    <n v="1235"/>
    <n v="102"/>
    <n v="25"/>
    <n v="58282.5"/>
    <n v="20"/>
    <n v="52192.5"/>
    <n v="19"/>
    <n v="228"/>
    <n v="2512"/>
    <n v="2024"/>
    <x v="1"/>
    <s v="万相台"/>
    <x v="1"/>
    <x v="1"/>
  </r>
  <r>
    <x v="1"/>
    <x v="32"/>
    <x v="0"/>
    <x v="0"/>
    <x v="1"/>
    <n v="22213"/>
    <n v="13817"/>
    <n v="111"/>
    <n v="55"/>
    <n v="50749"/>
    <n v="13"/>
    <n v="28037"/>
    <n v="9"/>
    <n v="640"/>
    <n v="22210"/>
    <n v="2024"/>
    <x v="1"/>
    <s v="引力魔方"/>
    <x v="1"/>
    <x v="1"/>
  </r>
  <r>
    <x v="1"/>
    <x v="32"/>
    <x v="0"/>
    <x v="7"/>
    <x v="23"/>
    <n v="5"/>
    <n v="3"/>
    <n v="0"/>
    <n v="0"/>
    <n v="0"/>
    <n v="0"/>
    <n v="0"/>
    <n v="0"/>
    <n v="3"/>
    <n v="3"/>
    <n v="2024"/>
    <x v="1"/>
    <s v="流量宝"/>
    <x v="1"/>
    <x v="1"/>
  </r>
  <r>
    <x v="1"/>
    <x v="32"/>
    <x v="0"/>
    <x v="7"/>
    <x v="24"/>
    <n v="353"/>
    <n v="93"/>
    <n v="2"/>
    <n v="0"/>
    <n v="0"/>
    <n v="0"/>
    <n v="0"/>
    <n v="0"/>
    <n v="15"/>
    <n v="347"/>
    <n v="2024"/>
    <x v="1"/>
    <s v="淘宝客"/>
    <x v="1"/>
    <x v="1"/>
  </r>
  <r>
    <x v="1"/>
    <x v="33"/>
    <x v="1"/>
    <x v="8"/>
    <x v="25"/>
    <n v="104"/>
    <n v="42"/>
    <n v="3"/>
    <n v="0"/>
    <n v="2895"/>
    <n v="1"/>
    <n v="0"/>
    <n v="0"/>
    <n v="8"/>
    <n v="86"/>
    <n v="2024"/>
    <x v="1"/>
    <s v="主会场"/>
    <x v="1"/>
    <x v="1"/>
  </r>
  <r>
    <x v="1"/>
    <x v="33"/>
    <x v="1"/>
    <x v="2"/>
    <x v="4"/>
    <n v="1"/>
    <n v="1"/>
    <n v="0"/>
    <n v="0"/>
    <n v="0"/>
    <n v="0"/>
    <n v="0"/>
    <n v="0"/>
    <n v="1"/>
    <n v="0"/>
    <n v="2024"/>
    <x v="1"/>
    <s v="手机浏览器访问天猫"/>
    <x v="1"/>
    <x v="1"/>
  </r>
  <r>
    <x v="1"/>
    <x v="33"/>
    <x v="1"/>
    <x v="2"/>
    <x v="5"/>
    <n v="96"/>
    <n v="55"/>
    <n v="2"/>
    <n v="0"/>
    <n v="0"/>
    <n v="0"/>
    <n v="0"/>
    <n v="0"/>
    <n v="30"/>
    <n v="93"/>
    <n v="2024"/>
    <x v="1"/>
    <s v="手猫免费其他"/>
    <x v="1"/>
    <x v="1"/>
  </r>
  <r>
    <x v="1"/>
    <x v="33"/>
    <x v="1"/>
    <x v="2"/>
    <x v="6"/>
    <n v="3"/>
    <n v="0"/>
    <n v="0"/>
    <n v="0"/>
    <n v="0"/>
    <n v="0"/>
    <n v="0"/>
    <n v="0"/>
    <n v="0"/>
    <n v="3"/>
    <n v="2024"/>
    <x v="1"/>
    <s v="手猫其他店铺"/>
    <x v="1"/>
    <x v="1"/>
  </r>
  <r>
    <x v="1"/>
    <x v="33"/>
    <x v="1"/>
    <x v="2"/>
    <x v="7"/>
    <n v="29"/>
    <n v="13"/>
    <n v="1"/>
    <n v="0"/>
    <n v="2438"/>
    <n v="1"/>
    <n v="2438"/>
    <n v="1"/>
    <n v="5"/>
    <n v="28"/>
    <n v="2024"/>
    <x v="1"/>
    <s v="手猫商品详情"/>
    <x v="1"/>
    <x v="1"/>
  </r>
  <r>
    <x v="1"/>
    <x v="33"/>
    <x v="1"/>
    <x v="2"/>
    <x v="8"/>
    <n v="44"/>
    <n v="33"/>
    <n v="0"/>
    <n v="0"/>
    <n v="0"/>
    <n v="0"/>
    <n v="0"/>
    <n v="0"/>
    <n v="23"/>
    <n v="38"/>
    <n v="2024"/>
    <x v="1"/>
    <s v="手猫搜索"/>
    <x v="1"/>
    <x v="1"/>
  </r>
  <r>
    <x v="1"/>
    <x v="33"/>
    <x v="1"/>
    <x v="2"/>
    <x v="9"/>
    <n v="3"/>
    <n v="2"/>
    <n v="0"/>
    <n v="0"/>
    <n v="0"/>
    <n v="0"/>
    <n v="0"/>
    <n v="0"/>
    <n v="1"/>
    <n v="3"/>
    <n v="2024"/>
    <x v="1"/>
    <s v="手猫旺信聊天"/>
    <x v="1"/>
    <x v="1"/>
  </r>
  <r>
    <x v="1"/>
    <x v="33"/>
    <x v="1"/>
    <x v="2"/>
    <x v="10"/>
    <n v="620"/>
    <n v="416"/>
    <n v="2"/>
    <n v="0"/>
    <n v="0"/>
    <n v="0"/>
    <n v="0"/>
    <n v="0"/>
    <n v="18"/>
    <n v="620"/>
    <n v="2024"/>
    <x v="1"/>
    <s v="手猫首页"/>
    <x v="1"/>
    <x v="1"/>
  </r>
  <r>
    <x v="1"/>
    <x v="33"/>
    <x v="1"/>
    <x v="3"/>
    <x v="11"/>
    <n v="174"/>
    <n v="79"/>
    <n v="11"/>
    <n v="2"/>
    <n v="7815"/>
    <n v="3"/>
    <n v="2488"/>
    <n v="1"/>
    <n v="49"/>
    <n v="157"/>
    <n v="2024"/>
    <x v="1"/>
    <s v="商品详情页头图推荐"/>
    <x v="1"/>
    <x v="1"/>
  </r>
  <r>
    <x v="1"/>
    <x v="33"/>
    <x v="1"/>
    <x v="3"/>
    <x v="12"/>
    <n v="31"/>
    <n v="20"/>
    <n v="4"/>
    <n v="1"/>
    <n v="0"/>
    <n v="0"/>
    <n v="0"/>
    <n v="0"/>
    <n v="27"/>
    <n v="15"/>
    <n v="2024"/>
    <x v="1"/>
    <s v="店铺超链"/>
    <x v="1"/>
    <x v="1"/>
  </r>
  <r>
    <x v="1"/>
    <x v="33"/>
    <x v="1"/>
    <x v="4"/>
    <x v="13"/>
    <n v="189"/>
    <n v="114"/>
    <n v="5"/>
    <n v="0"/>
    <n v="2495"/>
    <n v="1"/>
    <n v="0"/>
    <n v="0"/>
    <n v="96"/>
    <n v="131"/>
    <n v="2024"/>
    <x v="1"/>
    <s v="其他猜你喜欢"/>
    <x v="1"/>
    <x v="1"/>
  </r>
  <r>
    <x v="1"/>
    <x v="33"/>
    <x v="1"/>
    <x v="4"/>
    <x v="15"/>
    <n v="6"/>
    <n v="3"/>
    <n v="0"/>
    <n v="0"/>
    <n v="0"/>
    <n v="0"/>
    <n v="0"/>
    <n v="0"/>
    <n v="1"/>
    <n v="5"/>
    <n v="2024"/>
    <x v="1"/>
    <s v="购中推荐"/>
    <x v="1"/>
    <x v="1"/>
  </r>
  <r>
    <x v="1"/>
    <x v="33"/>
    <x v="1"/>
    <x v="4"/>
    <x v="16"/>
    <n v="130"/>
    <n v="119"/>
    <n v="1"/>
    <n v="0"/>
    <n v="0"/>
    <n v="0"/>
    <n v="0"/>
    <n v="0"/>
    <n v="104"/>
    <n v="18"/>
    <n v="2024"/>
    <x v="1"/>
    <s v="购后推荐"/>
    <x v="1"/>
    <x v="1"/>
  </r>
  <r>
    <x v="1"/>
    <x v="33"/>
    <x v="1"/>
    <x v="4"/>
    <x v="17"/>
    <n v="1037"/>
    <n v="506"/>
    <n v="33"/>
    <n v="15"/>
    <n v="8165"/>
    <n v="3"/>
    <n v="4970"/>
    <n v="2"/>
    <n v="73"/>
    <n v="1037"/>
    <n v="2024"/>
    <x v="1"/>
    <s v="首页推荐-微详情"/>
    <x v="1"/>
    <x v="1"/>
  </r>
  <r>
    <x v="1"/>
    <x v="33"/>
    <x v="1"/>
    <x v="4"/>
    <x v="18"/>
    <n v="3318"/>
    <n v="3171"/>
    <n v="0"/>
    <n v="0"/>
    <n v="0"/>
    <n v="0"/>
    <n v="0"/>
    <n v="0"/>
    <n v="1"/>
    <n v="5"/>
    <n v="2024"/>
    <x v="1"/>
    <s v="首页推荐-直播"/>
    <x v="1"/>
    <x v="1"/>
  </r>
  <r>
    <x v="1"/>
    <x v="33"/>
    <x v="1"/>
    <x v="4"/>
    <x v="19"/>
    <n v="30"/>
    <n v="15"/>
    <n v="0"/>
    <n v="0"/>
    <n v="0"/>
    <n v="0"/>
    <n v="0"/>
    <n v="0"/>
    <n v="0"/>
    <n v="0"/>
    <n v="2024"/>
    <x v="1"/>
    <s v="首页推荐-短视频"/>
    <x v="1"/>
    <x v="1"/>
  </r>
  <r>
    <x v="1"/>
    <x v="33"/>
    <x v="1"/>
    <x v="12"/>
    <x v="42"/>
    <n v="520"/>
    <n v="384"/>
    <n v="23"/>
    <n v="1"/>
    <n v="4584.5"/>
    <n v="2"/>
    <n v="2237"/>
    <n v="1"/>
    <n v="202"/>
    <n v="392"/>
    <n v="2024"/>
    <x v="1"/>
    <s v="手淘搜索-商品及其他"/>
    <x v="1"/>
    <x v="1"/>
  </r>
  <r>
    <x v="1"/>
    <x v="33"/>
    <x v="1"/>
    <x v="12"/>
    <x v="43"/>
    <n v="6"/>
    <n v="5"/>
    <n v="0"/>
    <n v="0"/>
    <n v="0"/>
    <n v="0"/>
    <n v="0"/>
    <n v="0"/>
    <n v="1"/>
    <n v="1"/>
    <n v="2024"/>
    <x v="1"/>
    <s v="手淘搜索-直播"/>
    <x v="1"/>
    <x v="1"/>
  </r>
  <r>
    <x v="1"/>
    <x v="33"/>
    <x v="1"/>
    <x v="12"/>
    <x v="44"/>
    <n v="8"/>
    <n v="4"/>
    <n v="0"/>
    <n v="0"/>
    <n v="0"/>
    <n v="0"/>
    <n v="0"/>
    <n v="0"/>
    <n v="0"/>
    <n v="1"/>
    <n v="2024"/>
    <x v="1"/>
    <s v="手淘搜索-短视频"/>
    <x v="1"/>
    <x v="1"/>
  </r>
  <r>
    <x v="1"/>
    <x v="33"/>
    <x v="1"/>
    <x v="11"/>
    <x v="37"/>
    <n v="12"/>
    <n v="12"/>
    <n v="0"/>
    <n v="0"/>
    <n v="0"/>
    <n v="0"/>
    <n v="0"/>
    <n v="0"/>
    <n v="0"/>
    <n v="12"/>
    <n v="2024"/>
    <x v="1"/>
    <s v="淘特其他渠道"/>
    <x v="1"/>
    <x v="1"/>
  </r>
  <r>
    <x v="1"/>
    <x v="33"/>
    <x v="1"/>
    <x v="11"/>
    <x v="39"/>
    <n v="1"/>
    <n v="1"/>
    <n v="0"/>
    <n v="0"/>
    <n v="0"/>
    <n v="0"/>
    <n v="0"/>
    <n v="0"/>
    <n v="0"/>
    <n v="1"/>
    <n v="2024"/>
    <x v="1"/>
    <s v="淘特搜索"/>
    <x v="1"/>
    <x v="1"/>
  </r>
  <r>
    <x v="1"/>
    <x v="33"/>
    <x v="0"/>
    <x v="5"/>
    <x v="41"/>
    <n v="2739"/>
    <n v="2441"/>
    <n v="1"/>
    <n v="0"/>
    <n v="0"/>
    <n v="0"/>
    <n v="0"/>
    <n v="0"/>
    <n v="6"/>
    <n v="758"/>
    <n v="2024"/>
    <x v="1"/>
    <s v="超级直播"/>
    <x v="1"/>
    <x v="1"/>
  </r>
  <r>
    <x v="1"/>
    <x v="33"/>
    <x v="0"/>
    <x v="6"/>
    <x v="48"/>
    <n v="875"/>
    <n v="751"/>
    <n v="0"/>
    <n v="0"/>
    <n v="0"/>
    <n v="0"/>
    <n v="0"/>
    <n v="0"/>
    <n v="875"/>
    <n v="150"/>
    <n v="2024"/>
    <x v="1"/>
    <s v="Showmax"/>
    <x v="1"/>
    <x v="1"/>
  </r>
  <r>
    <x v="1"/>
    <x v="33"/>
    <x v="0"/>
    <x v="6"/>
    <x v="30"/>
    <n v="1323"/>
    <n v="1107"/>
    <n v="0"/>
    <n v="0"/>
    <n v="0"/>
    <n v="0"/>
    <n v="0"/>
    <n v="0"/>
    <n v="1323"/>
    <n v="316"/>
    <n v="2024"/>
    <x v="1"/>
    <s v="品牌特秀"/>
    <x v="1"/>
    <x v="1"/>
  </r>
  <r>
    <x v="1"/>
    <x v="33"/>
    <x v="0"/>
    <x v="6"/>
    <x v="21"/>
    <n v="699"/>
    <n v="579"/>
    <n v="8"/>
    <n v="4"/>
    <n v="9242.5"/>
    <n v="2"/>
    <n v="0"/>
    <n v="0"/>
    <n v="699"/>
    <n v="367"/>
    <n v="2024"/>
    <x v="1"/>
    <s v="品销宝-品牌专区"/>
    <x v="1"/>
    <x v="1"/>
  </r>
  <r>
    <x v="1"/>
    <x v="33"/>
    <x v="0"/>
    <x v="0"/>
    <x v="2"/>
    <n v="4396"/>
    <n v="3823"/>
    <n v="61"/>
    <n v="26"/>
    <n v="89880.5"/>
    <n v="11"/>
    <n v="9456"/>
    <n v="4"/>
    <n v="417"/>
    <n v="4337"/>
    <n v="2024"/>
    <x v="1"/>
    <s v="直通车"/>
    <x v="1"/>
    <x v="1"/>
  </r>
  <r>
    <x v="1"/>
    <x v="33"/>
    <x v="0"/>
    <x v="0"/>
    <x v="0"/>
    <n v="3220"/>
    <n v="1683"/>
    <n v="105"/>
    <n v="22"/>
    <n v="37001"/>
    <n v="13"/>
    <n v="17016"/>
    <n v="8"/>
    <n v="278"/>
    <n v="3214"/>
    <n v="2024"/>
    <x v="1"/>
    <s v="万相台"/>
    <x v="1"/>
    <x v="1"/>
  </r>
  <r>
    <x v="1"/>
    <x v="33"/>
    <x v="0"/>
    <x v="0"/>
    <x v="1"/>
    <n v="21023"/>
    <n v="12954"/>
    <n v="91"/>
    <n v="66"/>
    <n v="18193"/>
    <n v="7"/>
    <n v="8784"/>
    <n v="4"/>
    <n v="577"/>
    <n v="21014"/>
    <n v="2024"/>
    <x v="1"/>
    <s v="引力魔方"/>
    <x v="1"/>
    <x v="1"/>
  </r>
  <r>
    <x v="1"/>
    <x v="33"/>
    <x v="0"/>
    <x v="7"/>
    <x v="23"/>
    <n v="6"/>
    <n v="3"/>
    <n v="0"/>
    <n v="0"/>
    <n v="0"/>
    <n v="0"/>
    <n v="0"/>
    <n v="0"/>
    <n v="0"/>
    <n v="4"/>
    <n v="2024"/>
    <x v="1"/>
    <s v="流量宝"/>
    <x v="1"/>
    <x v="1"/>
  </r>
  <r>
    <x v="1"/>
    <x v="33"/>
    <x v="0"/>
    <x v="7"/>
    <x v="24"/>
    <n v="375"/>
    <n v="110"/>
    <n v="0"/>
    <n v="0"/>
    <n v="2995"/>
    <n v="1"/>
    <n v="0"/>
    <n v="0"/>
    <n v="15"/>
    <n v="357"/>
    <n v="2024"/>
    <x v="1"/>
    <s v="淘宝客"/>
    <x v="1"/>
    <x v="1"/>
  </r>
  <r>
    <x v="1"/>
    <x v="34"/>
    <x v="1"/>
    <x v="8"/>
    <x v="25"/>
    <n v="108"/>
    <n v="50"/>
    <n v="4"/>
    <n v="5"/>
    <n v="0"/>
    <n v="0"/>
    <n v="0"/>
    <n v="0"/>
    <n v="18"/>
    <n v="92"/>
    <n v="2024"/>
    <x v="1"/>
    <s v="主会场"/>
    <x v="1"/>
    <x v="1"/>
  </r>
  <r>
    <x v="1"/>
    <x v="34"/>
    <x v="1"/>
    <x v="2"/>
    <x v="4"/>
    <n v="3"/>
    <n v="2"/>
    <n v="0"/>
    <n v="0"/>
    <n v="0"/>
    <n v="0"/>
    <n v="0"/>
    <n v="0"/>
    <n v="0"/>
    <n v="3"/>
    <n v="2024"/>
    <x v="1"/>
    <s v="手机浏览器访问天猫"/>
    <x v="1"/>
    <x v="1"/>
  </r>
  <r>
    <x v="1"/>
    <x v="34"/>
    <x v="1"/>
    <x v="2"/>
    <x v="5"/>
    <n v="116"/>
    <n v="66"/>
    <n v="5"/>
    <n v="0"/>
    <n v="22116.5"/>
    <n v="5"/>
    <n v="22116.5"/>
    <n v="5"/>
    <n v="35"/>
    <n v="116"/>
    <n v="2024"/>
    <x v="1"/>
    <s v="手猫免费其他"/>
    <x v="1"/>
    <x v="1"/>
  </r>
  <r>
    <x v="1"/>
    <x v="34"/>
    <x v="1"/>
    <x v="2"/>
    <x v="6"/>
    <n v="6"/>
    <n v="4"/>
    <n v="0"/>
    <n v="0"/>
    <n v="0"/>
    <n v="0"/>
    <n v="0"/>
    <n v="0"/>
    <n v="0"/>
    <n v="6"/>
    <n v="2024"/>
    <x v="1"/>
    <s v="手猫其他店铺"/>
    <x v="1"/>
    <x v="1"/>
  </r>
  <r>
    <x v="1"/>
    <x v="34"/>
    <x v="1"/>
    <x v="2"/>
    <x v="7"/>
    <n v="39"/>
    <n v="16"/>
    <n v="0"/>
    <n v="0"/>
    <n v="4324.01"/>
    <n v="2"/>
    <n v="2094.0100000000002"/>
    <n v="1"/>
    <n v="5"/>
    <n v="37"/>
    <n v="2024"/>
    <x v="1"/>
    <s v="手猫商品详情"/>
    <x v="1"/>
    <x v="1"/>
  </r>
  <r>
    <x v="1"/>
    <x v="34"/>
    <x v="1"/>
    <x v="2"/>
    <x v="8"/>
    <n v="49"/>
    <n v="29"/>
    <n v="0"/>
    <n v="0"/>
    <n v="5666"/>
    <n v="2"/>
    <n v="5666"/>
    <n v="2"/>
    <n v="16"/>
    <n v="46"/>
    <n v="2024"/>
    <x v="1"/>
    <s v="手猫搜索"/>
    <x v="1"/>
    <x v="1"/>
  </r>
  <r>
    <x v="1"/>
    <x v="34"/>
    <x v="1"/>
    <x v="2"/>
    <x v="9"/>
    <n v="3"/>
    <n v="0"/>
    <n v="0"/>
    <n v="0"/>
    <n v="1680"/>
    <n v="1"/>
    <n v="1680"/>
    <n v="1"/>
    <n v="2"/>
    <n v="2"/>
    <n v="2024"/>
    <x v="1"/>
    <s v="手猫旺信聊天"/>
    <x v="1"/>
    <x v="1"/>
  </r>
  <r>
    <x v="1"/>
    <x v="34"/>
    <x v="1"/>
    <x v="2"/>
    <x v="10"/>
    <n v="613"/>
    <n v="410"/>
    <n v="1"/>
    <n v="0"/>
    <n v="7350.5"/>
    <n v="3"/>
    <n v="7350.5"/>
    <n v="3"/>
    <n v="13"/>
    <n v="613"/>
    <n v="2024"/>
    <x v="1"/>
    <s v="手猫首页"/>
    <x v="1"/>
    <x v="1"/>
  </r>
  <r>
    <x v="1"/>
    <x v="34"/>
    <x v="1"/>
    <x v="3"/>
    <x v="11"/>
    <n v="232"/>
    <n v="98"/>
    <n v="18"/>
    <n v="1"/>
    <n v="18248.63"/>
    <n v="6"/>
    <n v="18248.63"/>
    <n v="6"/>
    <n v="86"/>
    <n v="207"/>
    <n v="2024"/>
    <x v="1"/>
    <s v="商品详情页头图推荐"/>
    <x v="1"/>
    <x v="1"/>
  </r>
  <r>
    <x v="1"/>
    <x v="34"/>
    <x v="1"/>
    <x v="3"/>
    <x v="12"/>
    <n v="48"/>
    <n v="28"/>
    <n v="7"/>
    <n v="0"/>
    <n v="11396"/>
    <n v="4"/>
    <n v="11396"/>
    <n v="4"/>
    <n v="40"/>
    <n v="29"/>
    <n v="2024"/>
    <x v="1"/>
    <s v="店铺超链"/>
    <x v="1"/>
    <x v="1"/>
  </r>
  <r>
    <x v="1"/>
    <x v="34"/>
    <x v="1"/>
    <x v="4"/>
    <x v="13"/>
    <n v="232"/>
    <n v="145"/>
    <n v="9"/>
    <n v="4"/>
    <n v="25137.54"/>
    <n v="4"/>
    <n v="25137.54"/>
    <n v="4"/>
    <n v="142"/>
    <n v="134"/>
    <n v="2024"/>
    <x v="1"/>
    <s v="其他猜你喜欢"/>
    <x v="1"/>
    <x v="1"/>
  </r>
  <r>
    <x v="1"/>
    <x v="34"/>
    <x v="1"/>
    <x v="4"/>
    <x v="15"/>
    <n v="8"/>
    <n v="3"/>
    <n v="0"/>
    <n v="0"/>
    <n v="0"/>
    <n v="0"/>
    <n v="0"/>
    <n v="0"/>
    <n v="3"/>
    <n v="8"/>
    <n v="2024"/>
    <x v="1"/>
    <s v="购中推荐"/>
    <x v="1"/>
    <x v="1"/>
  </r>
  <r>
    <x v="1"/>
    <x v="34"/>
    <x v="1"/>
    <x v="4"/>
    <x v="16"/>
    <n v="178"/>
    <n v="162"/>
    <n v="1"/>
    <n v="0"/>
    <n v="1498"/>
    <n v="1"/>
    <n v="1498"/>
    <n v="1"/>
    <n v="154"/>
    <n v="28"/>
    <n v="2024"/>
    <x v="1"/>
    <s v="购后推荐"/>
    <x v="1"/>
    <x v="1"/>
  </r>
  <r>
    <x v="1"/>
    <x v="34"/>
    <x v="1"/>
    <x v="4"/>
    <x v="17"/>
    <n v="1209"/>
    <n v="634"/>
    <n v="36"/>
    <n v="11"/>
    <n v="46446.27"/>
    <n v="20"/>
    <n v="44119.27"/>
    <n v="19"/>
    <n v="91"/>
    <n v="1209"/>
    <n v="2024"/>
    <x v="1"/>
    <s v="首页推荐-微详情"/>
    <x v="1"/>
    <x v="1"/>
  </r>
  <r>
    <x v="1"/>
    <x v="34"/>
    <x v="1"/>
    <x v="4"/>
    <x v="18"/>
    <n v="527"/>
    <n v="438"/>
    <n v="0"/>
    <n v="2"/>
    <n v="2297.5"/>
    <n v="1"/>
    <n v="2297.5"/>
    <n v="1"/>
    <n v="2"/>
    <n v="12"/>
    <n v="2024"/>
    <x v="1"/>
    <s v="首页推荐-直播"/>
    <x v="1"/>
    <x v="1"/>
  </r>
  <r>
    <x v="1"/>
    <x v="34"/>
    <x v="1"/>
    <x v="4"/>
    <x v="19"/>
    <n v="28"/>
    <n v="13"/>
    <n v="0"/>
    <n v="0"/>
    <n v="0"/>
    <n v="0"/>
    <n v="0"/>
    <n v="0"/>
    <n v="0"/>
    <n v="0"/>
    <n v="2024"/>
    <x v="1"/>
    <s v="首页推荐-短视频"/>
    <x v="1"/>
    <x v="1"/>
  </r>
  <r>
    <x v="1"/>
    <x v="34"/>
    <x v="1"/>
    <x v="12"/>
    <x v="42"/>
    <n v="728"/>
    <n v="569"/>
    <n v="65"/>
    <n v="7"/>
    <n v="59108"/>
    <n v="17"/>
    <n v="50111"/>
    <n v="15"/>
    <n v="255"/>
    <n v="619"/>
    <n v="2024"/>
    <x v="1"/>
    <s v="手淘搜索-商品及其他"/>
    <x v="1"/>
    <x v="1"/>
  </r>
  <r>
    <x v="1"/>
    <x v="34"/>
    <x v="1"/>
    <x v="12"/>
    <x v="43"/>
    <n v="2"/>
    <n v="2"/>
    <n v="0"/>
    <n v="0"/>
    <n v="0"/>
    <n v="0"/>
    <n v="0"/>
    <n v="0"/>
    <n v="0"/>
    <n v="1"/>
    <n v="2024"/>
    <x v="1"/>
    <s v="手淘搜索-直播"/>
    <x v="1"/>
    <x v="1"/>
  </r>
  <r>
    <x v="1"/>
    <x v="34"/>
    <x v="1"/>
    <x v="12"/>
    <x v="44"/>
    <n v="8"/>
    <n v="4"/>
    <n v="0"/>
    <n v="0"/>
    <n v="0"/>
    <n v="0"/>
    <n v="0"/>
    <n v="0"/>
    <n v="0"/>
    <n v="2"/>
    <n v="2024"/>
    <x v="1"/>
    <s v="手淘搜索-短视频"/>
    <x v="1"/>
    <x v="1"/>
  </r>
  <r>
    <x v="1"/>
    <x v="34"/>
    <x v="1"/>
    <x v="11"/>
    <x v="37"/>
    <n v="18"/>
    <n v="18"/>
    <n v="0"/>
    <n v="0"/>
    <n v="0"/>
    <n v="0"/>
    <n v="0"/>
    <n v="0"/>
    <n v="0"/>
    <n v="18"/>
    <n v="2024"/>
    <x v="1"/>
    <s v="淘特其他渠道"/>
    <x v="1"/>
    <x v="1"/>
  </r>
  <r>
    <x v="1"/>
    <x v="34"/>
    <x v="0"/>
    <x v="5"/>
    <x v="41"/>
    <n v="4173"/>
    <n v="3722"/>
    <n v="7"/>
    <n v="0"/>
    <n v="0"/>
    <n v="0"/>
    <n v="0"/>
    <n v="0"/>
    <n v="12"/>
    <n v="1522"/>
    <n v="2024"/>
    <x v="1"/>
    <s v="超级直播"/>
    <x v="1"/>
    <x v="1"/>
  </r>
  <r>
    <x v="1"/>
    <x v="34"/>
    <x v="0"/>
    <x v="6"/>
    <x v="48"/>
    <n v="974"/>
    <n v="793"/>
    <n v="0"/>
    <n v="0"/>
    <n v="0"/>
    <n v="0"/>
    <n v="0"/>
    <n v="0"/>
    <n v="974"/>
    <n v="201"/>
    <n v="2024"/>
    <x v="1"/>
    <s v="Showmax"/>
    <x v="1"/>
    <x v="1"/>
  </r>
  <r>
    <x v="1"/>
    <x v="34"/>
    <x v="0"/>
    <x v="6"/>
    <x v="30"/>
    <n v="1134"/>
    <n v="920"/>
    <n v="0"/>
    <n v="0"/>
    <n v="0"/>
    <n v="0"/>
    <n v="0"/>
    <n v="0"/>
    <n v="1134"/>
    <n v="296"/>
    <n v="2024"/>
    <x v="1"/>
    <s v="品牌特秀"/>
    <x v="1"/>
    <x v="1"/>
  </r>
  <r>
    <x v="1"/>
    <x v="34"/>
    <x v="0"/>
    <x v="6"/>
    <x v="21"/>
    <n v="736"/>
    <n v="582"/>
    <n v="24"/>
    <n v="9"/>
    <n v="44963"/>
    <n v="15"/>
    <n v="26955"/>
    <n v="12"/>
    <n v="736"/>
    <n v="425"/>
    <n v="2024"/>
    <x v="1"/>
    <s v="品销宝-品牌专区"/>
    <x v="1"/>
    <x v="1"/>
  </r>
  <r>
    <x v="1"/>
    <x v="34"/>
    <x v="0"/>
    <x v="6"/>
    <x v="49"/>
    <n v="1"/>
    <n v="1"/>
    <n v="0"/>
    <n v="0"/>
    <n v="0"/>
    <n v="0"/>
    <n v="0"/>
    <n v="0"/>
    <n v="1"/>
    <n v="0"/>
    <n v="2024"/>
    <x v="1"/>
    <s v="超级全域通"/>
    <x v="1"/>
    <x v="1"/>
  </r>
  <r>
    <x v="1"/>
    <x v="34"/>
    <x v="0"/>
    <x v="0"/>
    <x v="2"/>
    <n v="5151"/>
    <n v="4593"/>
    <n v="190"/>
    <n v="29"/>
    <n v="219192"/>
    <n v="64"/>
    <n v="174381.5"/>
    <n v="59"/>
    <n v="457"/>
    <n v="5090"/>
    <n v="2024"/>
    <x v="1"/>
    <s v="直通车"/>
    <x v="1"/>
    <x v="1"/>
  </r>
  <r>
    <x v="1"/>
    <x v="34"/>
    <x v="0"/>
    <x v="0"/>
    <x v="0"/>
    <n v="4128"/>
    <n v="2329"/>
    <n v="165"/>
    <n v="32"/>
    <n v="274590.65999999997"/>
    <n v="108"/>
    <n v="256611.91"/>
    <n v="104"/>
    <n v="418"/>
    <n v="4123"/>
    <n v="2024"/>
    <x v="1"/>
    <s v="万相台"/>
    <x v="1"/>
    <x v="1"/>
  </r>
  <r>
    <x v="1"/>
    <x v="34"/>
    <x v="0"/>
    <x v="0"/>
    <x v="1"/>
    <n v="18352"/>
    <n v="10185"/>
    <n v="97"/>
    <n v="50"/>
    <n v="70927.7"/>
    <n v="29"/>
    <n v="66760.7"/>
    <n v="27"/>
    <n v="536"/>
    <n v="18348"/>
    <n v="2024"/>
    <x v="1"/>
    <s v="引力魔方"/>
    <x v="1"/>
    <x v="1"/>
  </r>
  <r>
    <x v="1"/>
    <x v="34"/>
    <x v="0"/>
    <x v="7"/>
    <x v="23"/>
    <n v="3"/>
    <n v="2"/>
    <n v="2"/>
    <n v="1"/>
    <n v="0"/>
    <n v="0"/>
    <n v="0"/>
    <n v="0"/>
    <n v="2"/>
    <n v="2"/>
    <n v="2024"/>
    <x v="1"/>
    <s v="流量宝"/>
    <x v="1"/>
    <x v="1"/>
  </r>
  <r>
    <x v="1"/>
    <x v="34"/>
    <x v="0"/>
    <x v="7"/>
    <x v="24"/>
    <n v="508"/>
    <n v="178"/>
    <n v="5"/>
    <n v="0"/>
    <n v="16463.59"/>
    <n v="6"/>
    <n v="14786.59"/>
    <n v="6"/>
    <n v="13"/>
    <n v="479"/>
    <n v="2024"/>
    <x v="1"/>
    <s v="淘宝客"/>
    <x v="1"/>
    <x v="1"/>
  </r>
  <r>
    <x v="1"/>
    <x v="35"/>
    <x v="1"/>
    <x v="8"/>
    <x v="25"/>
    <n v="71"/>
    <n v="40"/>
    <n v="2"/>
    <n v="0"/>
    <n v="0"/>
    <n v="0"/>
    <n v="0"/>
    <n v="0"/>
    <n v="6"/>
    <n v="63"/>
    <n v="2024"/>
    <x v="1"/>
    <s v="主会场"/>
    <x v="1"/>
    <x v="1"/>
  </r>
  <r>
    <x v="1"/>
    <x v="35"/>
    <x v="1"/>
    <x v="2"/>
    <x v="4"/>
    <n v="2"/>
    <n v="2"/>
    <n v="0"/>
    <n v="0"/>
    <n v="0"/>
    <n v="0"/>
    <n v="0"/>
    <n v="0"/>
    <n v="1"/>
    <n v="1"/>
    <n v="2024"/>
    <x v="1"/>
    <s v="手机浏览器访问天猫"/>
    <x v="1"/>
    <x v="1"/>
  </r>
  <r>
    <x v="1"/>
    <x v="35"/>
    <x v="1"/>
    <x v="2"/>
    <x v="5"/>
    <n v="114"/>
    <n v="51"/>
    <n v="1"/>
    <n v="0"/>
    <n v="14399.5"/>
    <n v="5"/>
    <n v="10604.5"/>
    <n v="4"/>
    <n v="30"/>
    <n v="110"/>
    <n v="2024"/>
    <x v="1"/>
    <s v="手猫免费其他"/>
    <x v="1"/>
    <x v="1"/>
  </r>
  <r>
    <x v="1"/>
    <x v="35"/>
    <x v="1"/>
    <x v="2"/>
    <x v="6"/>
    <n v="7"/>
    <n v="3"/>
    <n v="0"/>
    <n v="0"/>
    <n v="0"/>
    <n v="0"/>
    <n v="0"/>
    <n v="0"/>
    <n v="0"/>
    <n v="7"/>
    <n v="2024"/>
    <x v="1"/>
    <s v="手猫其他店铺"/>
    <x v="1"/>
    <x v="1"/>
  </r>
  <r>
    <x v="1"/>
    <x v="35"/>
    <x v="1"/>
    <x v="2"/>
    <x v="7"/>
    <n v="43"/>
    <n v="14"/>
    <n v="1"/>
    <n v="0"/>
    <n v="2297.5"/>
    <n v="1"/>
    <n v="2297.5"/>
    <n v="1"/>
    <n v="8"/>
    <n v="42"/>
    <n v="2024"/>
    <x v="1"/>
    <s v="手猫商品详情"/>
    <x v="1"/>
    <x v="1"/>
  </r>
  <r>
    <x v="1"/>
    <x v="35"/>
    <x v="1"/>
    <x v="2"/>
    <x v="8"/>
    <n v="51"/>
    <n v="34"/>
    <n v="1"/>
    <n v="0"/>
    <n v="0"/>
    <n v="0"/>
    <n v="0"/>
    <n v="0"/>
    <n v="23"/>
    <n v="42"/>
    <n v="2024"/>
    <x v="1"/>
    <s v="手猫搜索"/>
    <x v="1"/>
    <x v="1"/>
  </r>
  <r>
    <x v="1"/>
    <x v="35"/>
    <x v="1"/>
    <x v="2"/>
    <x v="9"/>
    <n v="1"/>
    <n v="0"/>
    <n v="0"/>
    <n v="0"/>
    <n v="0"/>
    <n v="0"/>
    <n v="0"/>
    <n v="0"/>
    <n v="0"/>
    <n v="1"/>
    <n v="2024"/>
    <x v="1"/>
    <s v="手猫旺信聊天"/>
    <x v="1"/>
    <x v="1"/>
  </r>
  <r>
    <x v="1"/>
    <x v="35"/>
    <x v="1"/>
    <x v="2"/>
    <x v="10"/>
    <n v="482"/>
    <n v="266"/>
    <n v="1"/>
    <n v="0"/>
    <n v="6596"/>
    <n v="3"/>
    <n v="2801"/>
    <n v="2"/>
    <n v="21"/>
    <n v="482"/>
    <n v="2024"/>
    <x v="1"/>
    <s v="手猫首页"/>
    <x v="1"/>
    <x v="1"/>
  </r>
  <r>
    <x v="1"/>
    <x v="35"/>
    <x v="1"/>
    <x v="3"/>
    <x v="11"/>
    <n v="206"/>
    <n v="85"/>
    <n v="20"/>
    <n v="3"/>
    <n v="7426.5"/>
    <n v="4"/>
    <n v="7426.5"/>
    <n v="4"/>
    <n v="63"/>
    <n v="176"/>
    <n v="2024"/>
    <x v="1"/>
    <s v="商品详情页头图推荐"/>
    <x v="1"/>
    <x v="1"/>
  </r>
  <r>
    <x v="1"/>
    <x v="35"/>
    <x v="1"/>
    <x v="3"/>
    <x v="12"/>
    <n v="38"/>
    <n v="22"/>
    <n v="2"/>
    <n v="0"/>
    <n v="4289"/>
    <n v="2"/>
    <n v="4289"/>
    <n v="2"/>
    <n v="34"/>
    <n v="16"/>
    <n v="2024"/>
    <x v="1"/>
    <s v="店铺超链"/>
    <x v="1"/>
    <x v="1"/>
  </r>
  <r>
    <x v="1"/>
    <x v="35"/>
    <x v="1"/>
    <x v="4"/>
    <x v="13"/>
    <n v="203"/>
    <n v="122"/>
    <n v="6"/>
    <n v="2"/>
    <n v="6722"/>
    <n v="3"/>
    <n v="6722"/>
    <n v="3"/>
    <n v="102"/>
    <n v="129"/>
    <n v="2024"/>
    <x v="1"/>
    <s v="其他猜你喜欢"/>
    <x v="1"/>
    <x v="1"/>
  </r>
  <r>
    <x v="1"/>
    <x v="35"/>
    <x v="1"/>
    <x v="4"/>
    <x v="15"/>
    <n v="6"/>
    <n v="4"/>
    <n v="0"/>
    <n v="0"/>
    <n v="0"/>
    <n v="0"/>
    <n v="0"/>
    <n v="0"/>
    <n v="0"/>
    <n v="4"/>
    <n v="2024"/>
    <x v="1"/>
    <s v="购中推荐"/>
    <x v="1"/>
    <x v="1"/>
  </r>
  <r>
    <x v="1"/>
    <x v="35"/>
    <x v="1"/>
    <x v="4"/>
    <x v="16"/>
    <n v="162"/>
    <n v="143"/>
    <n v="0"/>
    <n v="0"/>
    <n v="0"/>
    <n v="0"/>
    <n v="0"/>
    <n v="0"/>
    <n v="125"/>
    <n v="24"/>
    <n v="2024"/>
    <x v="1"/>
    <s v="购后推荐"/>
    <x v="1"/>
    <x v="1"/>
  </r>
  <r>
    <x v="1"/>
    <x v="35"/>
    <x v="1"/>
    <x v="4"/>
    <x v="17"/>
    <n v="1071"/>
    <n v="535"/>
    <n v="36"/>
    <n v="15"/>
    <n v="17457.13"/>
    <n v="8"/>
    <n v="14164.13"/>
    <n v="6"/>
    <n v="111"/>
    <n v="1071"/>
    <n v="2024"/>
    <x v="1"/>
    <s v="首页推荐-微详情"/>
    <x v="1"/>
    <x v="1"/>
  </r>
  <r>
    <x v="1"/>
    <x v="35"/>
    <x v="1"/>
    <x v="4"/>
    <x v="18"/>
    <n v="410"/>
    <n v="347"/>
    <n v="2"/>
    <n v="0"/>
    <n v="0"/>
    <n v="0"/>
    <n v="0"/>
    <n v="0"/>
    <n v="0"/>
    <n v="8"/>
    <n v="2024"/>
    <x v="1"/>
    <s v="首页推荐-直播"/>
    <x v="1"/>
    <x v="1"/>
  </r>
  <r>
    <x v="1"/>
    <x v="35"/>
    <x v="1"/>
    <x v="4"/>
    <x v="19"/>
    <n v="27"/>
    <n v="12"/>
    <n v="0"/>
    <n v="0"/>
    <n v="0"/>
    <n v="0"/>
    <n v="0"/>
    <n v="0"/>
    <n v="0"/>
    <n v="0"/>
    <n v="2024"/>
    <x v="1"/>
    <s v="首页推荐-短视频"/>
    <x v="1"/>
    <x v="1"/>
  </r>
  <r>
    <x v="1"/>
    <x v="35"/>
    <x v="1"/>
    <x v="12"/>
    <x v="42"/>
    <n v="712"/>
    <n v="549"/>
    <n v="57"/>
    <n v="9"/>
    <n v="93287.5"/>
    <n v="22"/>
    <n v="49012.5"/>
    <n v="19"/>
    <n v="271"/>
    <n v="603"/>
    <n v="2024"/>
    <x v="1"/>
    <s v="手淘搜索-商品及其他"/>
    <x v="1"/>
    <x v="1"/>
  </r>
  <r>
    <x v="1"/>
    <x v="35"/>
    <x v="1"/>
    <x v="12"/>
    <x v="44"/>
    <n v="17"/>
    <n v="7"/>
    <n v="0"/>
    <n v="0"/>
    <n v="0"/>
    <n v="0"/>
    <n v="0"/>
    <n v="0"/>
    <n v="2"/>
    <n v="2"/>
    <n v="2024"/>
    <x v="1"/>
    <s v="手淘搜索-短视频"/>
    <x v="1"/>
    <x v="1"/>
  </r>
  <r>
    <x v="1"/>
    <x v="35"/>
    <x v="1"/>
    <x v="11"/>
    <x v="37"/>
    <n v="19"/>
    <n v="19"/>
    <n v="0"/>
    <n v="0"/>
    <n v="0"/>
    <n v="0"/>
    <n v="0"/>
    <n v="0"/>
    <n v="0"/>
    <n v="19"/>
    <n v="2024"/>
    <x v="1"/>
    <s v="淘特其他渠道"/>
    <x v="1"/>
    <x v="1"/>
  </r>
  <r>
    <x v="1"/>
    <x v="35"/>
    <x v="1"/>
    <x v="11"/>
    <x v="39"/>
    <n v="1"/>
    <n v="1"/>
    <n v="0"/>
    <n v="0"/>
    <n v="0"/>
    <n v="0"/>
    <n v="0"/>
    <n v="0"/>
    <n v="0"/>
    <n v="1"/>
    <n v="2024"/>
    <x v="1"/>
    <s v="淘特搜索"/>
    <x v="1"/>
    <x v="1"/>
  </r>
  <r>
    <x v="1"/>
    <x v="35"/>
    <x v="0"/>
    <x v="5"/>
    <x v="47"/>
    <n v="1"/>
    <n v="0"/>
    <n v="0"/>
    <n v="0"/>
    <n v="0"/>
    <n v="0"/>
    <n v="0"/>
    <n v="0"/>
    <n v="0"/>
    <n v="0"/>
    <n v="2024"/>
    <x v="1"/>
    <s v="短直联动"/>
    <x v="1"/>
    <x v="1"/>
  </r>
  <r>
    <x v="1"/>
    <x v="35"/>
    <x v="0"/>
    <x v="5"/>
    <x v="41"/>
    <n v="2906"/>
    <n v="1856"/>
    <n v="0"/>
    <n v="0"/>
    <n v="0"/>
    <n v="0"/>
    <n v="0"/>
    <n v="0"/>
    <n v="0"/>
    <n v="15"/>
    <n v="2024"/>
    <x v="1"/>
    <s v="超级直播"/>
    <x v="1"/>
    <x v="1"/>
  </r>
  <r>
    <x v="1"/>
    <x v="35"/>
    <x v="0"/>
    <x v="6"/>
    <x v="48"/>
    <n v="663"/>
    <n v="558"/>
    <n v="0"/>
    <n v="0"/>
    <n v="0"/>
    <n v="0"/>
    <n v="0"/>
    <n v="0"/>
    <n v="663"/>
    <n v="100"/>
    <n v="2024"/>
    <x v="1"/>
    <s v="Showmax"/>
    <x v="1"/>
    <x v="1"/>
  </r>
  <r>
    <x v="1"/>
    <x v="35"/>
    <x v="0"/>
    <x v="6"/>
    <x v="30"/>
    <n v="1015"/>
    <n v="830"/>
    <n v="0"/>
    <n v="0"/>
    <n v="0"/>
    <n v="0"/>
    <n v="0"/>
    <n v="0"/>
    <n v="1015"/>
    <n v="241"/>
    <n v="2024"/>
    <x v="1"/>
    <s v="品牌特秀"/>
    <x v="1"/>
    <x v="1"/>
  </r>
  <r>
    <x v="1"/>
    <x v="35"/>
    <x v="0"/>
    <x v="6"/>
    <x v="21"/>
    <n v="695"/>
    <n v="549"/>
    <n v="24"/>
    <n v="5"/>
    <n v="21638"/>
    <n v="6"/>
    <n v="16563"/>
    <n v="5"/>
    <n v="695"/>
    <n v="367"/>
    <n v="2024"/>
    <x v="1"/>
    <s v="品销宝-品牌专区"/>
    <x v="1"/>
    <x v="1"/>
  </r>
  <r>
    <x v="1"/>
    <x v="35"/>
    <x v="0"/>
    <x v="0"/>
    <x v="2"/>
    <n v="5850"/>
    <n v="5220"/>
    <n v="138"/>
    <n v="45"/>
    <n v="177089.31"/>
    <n v="43"/>
    <n v="105859.81"/>
    <n v="32"/>
    <n v="479"/>
    <n v="5807"/>
    <n v="2024"/>
    <x v="1"/>
    <s v="直通车"/>
    <x v="1"/>
    <x v="1"/>
  </r>
  <r>
    <x v="1"/>
    <x v="35"/>
    <x v="0"/>
    <x v="0"/>
    <x v="0"/>
    <n v="4203"/>
    <n v="2337"/>
    <n v="138"/>
    <n v="32"/>
    <n v="185073.5"/>
    <n v="53"/>
    <n v="158307.5"/>
    <n v="48"/>
    <n v="377"/>
    <n v="4195"/>
    <n v="2024"/>
    <x v="1"/>
    <s v="万相台"/>
    <x v="1"/>
    <x v="1"/>
  </r>
  <r>
    <x v="1"/>
    <x v="35"/>
    <x v="0"/>
    <x v="0"/>
    <x v="1"/>
    <n v="19636"/>
    <n v="11735"/>
    <n v="100"/>
    <n v="94"/>
    <n v="22781.5"/>
    <n v="11"/>
    <n v="19586.5"/>
    <n v="10"/>
    <n v="495"/>
    <n v="19636"/>
    <n v="2024"/>
    <x v="1"/>
    <s v="引力魔方"/>
    <x v="1"/>
    <x v="1"/>
  </r>
  <r>
    <x v="1"/>
    <x v="35"/>
    <x v="0"/>
    <x v="7"/>
    <x v="23"/>
    <n v="1"/>
    <n v="0"/>
    <n v="0"/>
    <n v="0"/>
    <n v="0"/>
    <n v="0"/>
    <n v="0"/>
    <n v="0"/>
    <n v="0"/>
    <n v="1"/>
    <n v="2024"/>
    <x v="1"/>
    <s v="流量宝"/>
    <x v="1"/>
    <x v="1"/>
  </r>
  <r>
    <x v="1"/>
    <x v="35"/>
    <x v="0"/>
    <x v="7"/>
    <x v="24"/>
    <n v="445"/>
    <n v="133"/>
    <n v="2"/>
    <n v="0"/>
    <n v="8242.07"/>
    <n v="3"/>
    <n v="8242.07"/>
    <n v="3"/>
    <n v="16"/>
    <n v="423"/>
    <n v="2024"/>
    <x v="1"/>
    <s v="淘宝客"/>
    <x v="1"/>
    <x v="1"/>
  </r>
  <r>
    <x v="1"/>
    <x v="36"/>
    <x v="1"/>
    <x v="8"/>
    <x v="25"/>
    <n v="88"/>
    <n v="47"/>
    <n v="4"/>
    <n v="1"/>
    <n v="0"/>
    <n v="0"/>
    <n v="0"/>
    <n v="0"/>
    <n v="8"/>
    <n v="87"/>
    <n v="2024"/>
    <x v="1"/>
    <s v="主会场"/>
    <x v="1"/>
    <x v="1"/>
  </r>
  <r>
    <x v="1"/>
    <x v="36"/>
    <x v="1"/>
    <x v="2"/>
    <x v="4"/>
    <n v="2"/>
    <n v="2"/>
    <n v="0"/>
    <n v="0"/>
    <n v="0"/>
    <n v="0"/>
    <n v="0"/>
    <n v="0"/>
    <n v="2"/>
    <n v="0"/>
    <n v="2024"/>
    <x v="1"/>
    <s v="手机浏览器访问天猫"/>
    <x v="1"/>
    <x v="1"/>
  </r>
  <r>
    <x v="1"/>
    <x v="36"/>
    <x v="1"/>
    <x v="2"/>
    <x v="5"/>
    <n v="97"/>
    <n v="43"/>
    <n v="2"/>
    <n v="0"/>
    <n v="19196.09"/>
    <n v="5"/>
    <n v="16898.59"/>
    <n v="5"/>
    <n v="31"/>
    <n v="96"/>
    <n v="2024"/>
    <x v="1"/>
    <s v="手猫免费其他"/>
    <x v="1"/>
    <x v="1"/>
  </r>
  <r>
    <x v="1"/>
    <x v="36"/>
    <x v="1"/>
    <x v="2"/>
    <x v="6"/>
    <n v="6"/>
    <n v="4"/>
    <n v="0"/>
    <n v="0"/>
    <n v="0"/>
    <n v="0"/>
    <n v="0"/>
    <n v="0"/>
    <n v="0"/>
    <n v="6"/>
    <n v="2024"/>
    <x v="1"/>
    <s v="手猫其他店铺"/>
    <x v="1"/>
    <x v="1"/>
  </r>
  <r>
    <x v="1"/>
    <x v="36"/>
    <x v="1"/>
    <x v="2"/>
    <x v="7"/>
    <n v="28"/>
    <n v="10"/>
    <n v="2"/>
    <n v="0"/>
    <n v="15058.52"/>
    <n v="4"/>
    <n v="11163.02"/>
    <n v="3"/>
    <n v="4"/>
    <n v="25"/>
    <n v="2024"/>
    <x v="1"/>
    <s v="手猫商品详情"/>
    <x v="1"/>
    <x v="1"/>
  </r>
  <r>
    <x v="1"/>
    <x v="36"/>
    <x v="1"/>
    <x v="2"/>
    <x v="8"/>
    <n v="57"/>
    <n v="43"/>
    <n v="1"/>
    <n v="0"/>
    <n v="1305"/>
    <n v="1"/>
    <n v="1305"/>
    <n v="1"/>
    <n v="27"/>
    <n v="43"/>
    <n v="2024"/>
    <x v="1"/>
    <s v="手猫搜索"/>
    <x v="1"/>
    <x v="1"/>
  </r>
  <r>
    <x v="1"/>
    <x v="36"/>
    <x v="1"/>
    <x v="2"/>
    <x v="9"/>
    <n v="1"/>
    <n v="0"/>
    <n v="0"/>
    <n v="0"/>
    <n v="0"/>
    <n v="0"/>
    <n v="0"/>
    <n v="0"/>
    <n v="0"/>
    <n v="1"/>
    <n v="2024"/>
    <x v="1"/>
    <s v="手猫旺信聊天"/>
    <x v="1"/>
    <x v="1"/>
  </r>
  <r>
    <x v="1"/>
    <x v="36"/>
    <x v="1"/>
    <x v="2"/>
    <x v="10"/>
    <n v="367"/>
    <n v="192"/>
    <n v="2"/>
    <n v="0"/>
    <n v="6795.48"/>
    <n v="2"/>
    <n v="6795.48"/>
    <n v="2"/>
    <n v="9"/>
    <n v="367"/>
    <n v="2024"/>
    <x v="1"/>
    <s v="手猫首页"/>
    <x v="1"/>
    <x v="1"/>
  </r>
  <r>
    <x v="1"/>
    <x v="36"/>
    <x v="1"/>
    <x v="3"/>
    <x v="11"/>
    <n v="212"/>
    <n v="106"/>
    <n v="21"/>
    <n v="7"/>
    <n v="8892"/>
    <n v="4"/>
    <n v="5442"/>
    <n v="3"/>
    <n v="66"/>
    <n v="194"/>
    <n v="2024"/>
    <x v="1"/>
    <s v="商品详情页头图推荐"/>
    <x v="1"/>
    <x v="1"/>
  </r>
  <r>
    <x v="1"/>
    <x v="36"/>
    <x v="1"/>
    <x v="3"/>
    <x v="12"/>
    <n v="32"/>
    <n v="17"/>
    <n v="1"/>
    <n v="0"/>
    <n v="0"/>
    <n v="0"/>
    <n v="0"/>
    <n v="0"/>
    <n v="29"/>
    <n v="11"/>
    <n v="2024"/>
    <x v="1"/>
    <s v="店铺超链"/>
    <x v="1"/>
    <x v="1"/>
  </r>
  <r>
    <x v="1"/>
    <x v="36"/>
    <x v="1"/>
    <x v="4"/>
    <x v="13"/>
    <n v="337"/>
    <n v="222"/>
    <n v="14"/>
    <n v="5"/>
    <n v="4526"/>
    <n v="3"/>
    <n v="3223"/>
    <n v="2"/>
    <n v="140"/>
    <n v="289"/>
    <n v="2024"/>
    <x v="1"/>
    <s v="其他猜你喜欢"/>
    <x v="1"/>
    <x v="1"/>
  </r>
  <r>
    <x v="1"/>
    <x v="36"/>
    <x v="1"/>
    <x v="4"/>
    <x v="15"/>
    <n v="4"/>
    <n v="3"/>
    <n v="0"/>
    <n v="0"/>
    <n v="0"/>
    <n v="0"/>
    <n v="0"/>
    <n v="0"/>
    <n v="0"/>
    <n v="3"/>
    <n v="2024"/>
    <x v="1"/>
    <s v="购中推荐"/>
    <x v="1"/>
    <x v="1"/>
  </r>
  <r>
    <x v="1"/>
    <x v="36"/>
    <x v="1"/>
    <x v="4"/>
    <x v="16"/>
    <n v="28"/>
    <n v="9"/>
    <n v="0"/>
    <n v="0"/>
    <n v="0"/>
    <n v="0"/>
    <n v="0"/>
    <n v="0"/>
    <n v="1"/>
    <n v="27"/>
    <n v="2024"/>
    <x v="1"/>
    <s v="购后推荐"/>
    <x v="1"/>
    <x v="1"/>
  </r>
  <r>
    <x v="1"/>
    <x v="36"/>
    <x v="1"/>
    <x v="4"/>
    <x v="17"/>
    <n v="2639"/>
    <n v="1931"/>
    <n v="91"/>
    <n v="37"/>
    <n v="33440.089999999997"/>
    <n v="18"/>
    <n v="31952.09"/>
    <n v="17"/>
    <n v="356"/>
    <n v="2639"/>
    <n v="2024"/>
    <x v="1"/>
    <s v="首页推荐-微详情"/>
    <x v="1"/>
    <x v="1"/>
  </r>
  <r>
    <x v="1"/>
    <x v="36"/>
    <x v="1"/>
    <x v="4"/>
    <x v="18"/>
    <n v="108"/>
    <n v="61"/>
    <n v="0"/>
    <n v="0"/>
    <n v="0"/>
    <n v="0"/>
    <n v="0"/>
    <n v="0"/>
    <n v="2"/>
    <n v="7"/>
    <n v="2024"/>
    <x v="1"/>
    <s v="首页推荐-直播"/>
    <x v="1"/>
    <x v="1"/>
  </r>
  <r>
    <x v="1"/>
    <x v="36"/>
    <x v="1"/>
    <x v="4"/>
    <x v="19"/>
    <n v="44"/>
    <n v="19"/>
    <n v="0"/>
    <n v="0"/>
    <n v="0"/>
    <n v="0"/>
    <n v="0"/>
    <n v="0"/>
    <n v="0"/>
    <n v="0"/>
    <n v="2024"/>
    <x v="1"/>
    <s v="首页推荐-短视频"/>
    <x v="1"/>
    <x v="1"/>
  </r>
  <r>
    <x v="1"/>
    <x v="36"/>
    <x v="1"/>
    <x v="12"/>
    <x v="42"/>
    <n v="762"/>
    <n v="601"/>
    <n v="50"/>
    <n v="5"/>
    <n v="34260"/>
    <n v="13"/>
    <n v="31957"/>
    <n v="11"/>
    <n v="249"/>
    <n v="655"/>
    <n v="2024"/>
    <x v="1"/>
    <s v="手淘搜索-商品及其他"/>
    <x v="1"/>
    <x v="1"/>
  </r>
  <r>
    <x v="1"/>
    <x v="36"/>
    <x v="1"/>
    <x v="12"/>
    <x v="43"/>
    <n v="11"/>
    <n v="5"/>
    <n v="0"/>
    <n v="0"/>
    <n v="0"/>
    <n v="0"/>
    <n v="0"/>
    <n v="0"/>
    <n v="0"/>
    <n v="11"/>
    <n v="2024"/>
    <x v="1"/>
    <s v="手淘搜索-直播"/>
    <x v="1"/>
    <x v="1"/>
  </r>
  <r>
    <x v="1"/>
    <x v="36"/>
    <x v="1"/>
    <x v="12"/>
    <x v="44"/>
    <n v="15"/>
    <n v="8"/>
    <n v="0"/>
    <n v="0"/>
    <n v="0"/>
    <n v="0"/>
    <n v="0"/>
    <n v="0"/>
    <n v="1"/>
    <n v="0"/>
    <n v="2024"/>
    <x v="1"/>
    <s v="手淘搜索-短视频"/>
    <x v="1"/>
    <x v="1"/>
  </r>
  <r>
    <x v="1"/>
    <x v="36"/>
    <x v="1"/>
    <x v="11"/>
    <x v="37"/>
    <n v="20"/>
    <n v="20"/>
    <n v="0"/>
    <n v="0"/>
    <n v="0"/>
    <n v="0"/>
    <n v="0"/>
    <n v="0"/>
    <n v="0"/>
    <n v="20"/>
    <n v="2024"/>
    <x v="1"/>
    <s v="淘特其他渠道"/>
    <x v="1"/>
    <x v="1"/>
  </r>
  <r>
    <x v="1"/>
    <x v="36"/>
    <x v="0"/>
    <x v="5"/>
    <x v="41"/>
    <n v="2412"/>
    <n v="2240"/>
    <n v="1"/>
    <n v="0"/>
    <n v="0"/>
    <n v="0"/>
    <n v="0"/>
    <n v="0"/>
    <n v="6"/>
    <n v="1689"/>
    <n v="2024"/>
    <x v="1"/>
    <s v="超级直播"/>
    <x v="1"/>
    <x v="1"/>
  </r>
  <r>
    <x v="1"/>
    <x v="36"/>
    <x v="0"/>
    <x v="6"/>
    <x v="48"/>
    <n v="1197"/>
    <n v="1019"/>
    <n v="0"/>
    <n v="0"/>
    <n v="0"/>
    <n v="0"/>
    <n v="0"/>
    <n v="0"/>
    <n v="1197"/>
    <n v="141"/>
    <n v="2024"/>
    <x v="1"/>
    <s v="Showmax"/>
    <x v="1"/>
    <x v="1"/>
  </r>
  <r>
    <x v="1"/>
    <x v="36"/>
    <x v="0"/>
    <x v="6"/>
    <x v="30"/>
    <n v="1339"/>
    <n v="1083"/>
    <n v="0"/>
    <n v="0"/>
    <n v="0"/>
    <n v="0"/>
    <n v="0"/>
    <n v="0"/>
    <n v="1339"/>
    <n v="212"/>
    <n v="2024"/>
    <x v="1"/>
    <s v="品牌特秀"/>
    <x v="1"/>
    <x v="1"/>
  </r>
  <r>
    <x v="1"/>
    <x v="36"/>
    <x v="0"/>
    <x v="6"/>
    <x v="21"/>
    <n v="737"/>
    <n v="613"/>
    <n v="17"/>
    <n v="7"/>
    <n v="10017"/>
    <n v="3"/>
    <n v="10017"/>
    <n v="3"/>
    <n v="737"/>
    <n v="374"/>
    <n v="2024"/>
    <x v="1"/>
    <s v="品销宝-品牌专区"/>
    <x v="1"/>
    <x v="1"/>
  </r>
  <r>
    <x v="1"/>
    <x v="36"/>
    <x v="0"/>
    <x v="0"/>
    <x v="2"/>
    <n v="4975"/>
    <n v="4388"/>
    <n v="84"/>
    <n v="28"/>
    <n v="101763.5"/>
    <n v="23"/>
    <n v="52546.5"/>
    <n v="15"/>
    <n v="372"/>
    <n v="4946"/>
    <n v="2024"/>
    <x v="1"/>
    <s v="直通车"/>
    <x v="1"/>
    <x v="1"/>
  </r>
  <r>
    <x v="1"/>
    <x v="36"/>
    <x v="0"/>
    <x v="0"/>
    <x v="0"/>
    <n v="3519"/>
    <n v="1832"/>
    <n v="103"/>
    <n v="29"/>
    <n v="94392.45"/>
    <n v="29"/>
    <n v="86070.45"/>
    <n v="27"/>
    <n v="303"/>
    <n v="3514"/>
    <n v="2024"/>
    <x v="1"/>
    <s v="万相台"/>
    <x v="1"/>
    <x v="1"/>
  </r>
  <r>
    <x v="1"/>
    <x v="36"/>
    <x v="0"/>
    <x v="0"/>
    <x v="1"/>
    <n v="14379"/>
    <n v="7532"/>
    <n v="101"/>
    <n v="65"/>
    <n v="33391.800000000003"/>
    <n v="15"/>
    <n v="28470.799999999999"/>
    <n v="13"/>
    <n v="476"/>
    <n v="14379"/>
    <n v="2024"/>
    <x v="1"/>
    <s v="引力魔方"/>
    <x v="1"/>
    <x v="1"/>
  </r>
  <r>
    <x v="1"/>
    <x v="36"/>
    <x v="0"/>
    <x v="7"/>
    <x v="23"/>
    <n v="4"/>
    <n v="4"/>
    <n v="1"/>
    <n v="0"/>
    <n v="0"/>
    <n v="0"/>
    <n v="0"/>
    <n v="0"/>
    <n v="1"/>
    <n v="3"/>
    <n v="2024"/>
    <x v="1"/>
    <s v="流量宝"/>
    <x v="1"/>
    <x v="1"/>
  </r>
  <r>
    <x v="1"/>
    <x v="36"/>
    <x v="0"/>
    <x v="7"/>
    <x v="24"/>
    <n v="348"/>
    <n v="94"/>
    <n v="4"/>
    <n v="1"/>
    <n v="2910"/>
    <n v="2"/>
    <n v="2910"/>
    <n v="2"/>
    <n v="12"/>
    <n v="341"/>
    <n v="2024"/>
    <x v="1"/>
    <s v="淘宝客"/>
    <x v="1"/>
    <x v="1"/>
  </r>
  <r>
    <x v="1"/>
    <x v="37"/>
    <x v="1"/>
    <x v="8"/>
    <x v="25"/>
    <n v="131"/>
    <n v="49"/>
    <n v="5"/>
    <n v="1"/>
    <n v="3468"/>
    <n v="2"/>
    <n v="1488"/>
    <n v="1"/>
    <n v="11"/>
    <n v="124"/>
    <n v="2024"/>
    <x v="1"/>
    <s v="主会场"/>
    <x v="1"/>
    <x v="1"/>
  </r>
  <r>
    <x v="1"/>
    <x v="37"/>
    <x v="1"/>
    <x v="2"/>
    <x v="5"/>
    <n v="95"/>
    <n v="41"/>
    <n v="3"/>
    <n v="0"/>
    <n v="4024.5"/>
    <n v="2"/>
    <n v="4024.5"/>
    <n v="2"/>
    <n v="21"/>
    <n v="95"/>
    <n v="2024"/>
    <x v="1"/>
    <s v="手猫免费其他"/>
    <x v="1"/>
    <x v="1"/>
  </r>
  <r>
    <x v="1"/>
    <x v="37"/>
    <x v="1"/>
    <x v="2"/>
    <x v="6"/>
    <n v="8"/>
    <n v="6"/>
    <n v="1"/>
    <n v="0"/>
    <n v="5602"/>
    <n v="1"/>
    <n v="5602"/>
    <n v="1"/>
    <n v="0"/>
    <n v="8"/>
    <n v="2024"/>
    <x v="1"/>
    <s v="手猫其他店铺"/>
    <x v="1"/>
    <x v="1"/>
  </r>
  <r>
    <x v="1"/>
    <x v="37"/>
    <x v="1"/>
    <x v="2"/>
    <x v="7"/>
    <n v="26"/>
    <n v="5"/>
    <n v="0"/>
    <n v="0"/>
    <n v="0"/>
    <n v="0"/>
    <n v="0"/>
    <n v="0"/>
    <n v="1"/>
    <n v="26"/>
    <n v="2024"/>
    <x v="1"/>
    <s v="手猫商品详情"/>
    <x v="1"/>
    <x v="1"/>
  </r>
  <r>
    <x v="1"/>
    <x v="37"/>
    <x v="1"/>
    <x v="2"/>
    <x v="8"/>
    <n v="63"/>
    <n v="43"/>
    <n v="1"/>
    <n v="0"/>
    <n v="2225"/>
    <n v="1"/>
    <n v="2225"/>
    <n v="1"/>
    <n v="18"/>
    <n v="54"/>
    <n v="2024"/>
    <x v="1"/>
    <s v="手猫搜索"/>
    <x v="1"/>
    <x v="1"/>
  </r>
  <r>
    <x v="1"/>
    <x v="37"/>
    <x v="1"/>
    <x v="2"/>
    <x v="10"/>
    <n v="345"/>
    <n v="177"/>
    <n v="3"/>
    <n v="0"/>
    <n v="5091"/>
    <n v="3"/>
    <n v="5091"/>
    <n v="3"/>
    <n v="21"/>
    <n v="345"/>
    <n v="2024"/>
    <x v="1"/>
    <s v="手猫首页"/>
    <x v="1"/>
    <x v="1"/>
  </r>
  <r>
    <x v="1"/>
    <x v="37"/>
    <x v="1"/>
    <x v="3"/>
    <x v="11"/>
    <n v="244"/>
    <n v="127"/>
    <n v="14"/>
    <n v="6"/>
    <n v="9603"/>
    <n v="4"/>
    <n v="6398"/>
    <n v="4"/>
    <n v="79"/>
    <n v="232"/>
    <n v="2024"/>
    <x v="1"/>
    <s v="商品详情页头图推荐"/>
    <x v="1"/>
    <x v="1"/>
  </r>
  <r>
    <x v="1"/>
    <x v="37"/>
    <x v="1"/>
    <x v="3"/>
    <x v="12"/>
    <n v="32"/>
    <n v="25"/>
    <n v="1"/>
    <n v="0"/>
    <n v="0"/>
    <n v="0"/>
    <n v="0"/>
    <n v="0"/>
    <n v="30"/>
    <n v="13"/>
    <n v="2024"/>
    <x v="1"/>
    <s v="店铺超链"/>
    <x v="1"/>
    <x v="1"/>
  </r>
  <r>
    <x v="1"/>
    <x v="37"/>
    <x v="1"/>
    <x v="4"/>
    <x v="13"/>
    <n v="431"/>
    <n v="330"/>
    <n v="26"/>
    <n v="9"/>
    <n v="4523"/>
    <n v="3"/>
    <n v="4523"/>
    <n v="3"/>
    <n v="153"/>
    <n v="376"/>
    <n v="2024"/>
    <x v="1"/>
    <s v="其他猜你喜欢"/>
    <x v="1"/>
    <x v="1"/>
  </r>
  <r>
    <x v="1"/>
    <x v="37"/>
    <x v="1"/>
    <x v="4"/>
    <x v="15"/>
    <n v="3"/>
    <n v="2"/>
    <n v="0"/>
    <n v="0"/>
    <n v="0"/>
    <n v="0"/>
    <n v="0"/>
    <n v="0"/>
    <n v="0"/>
    <n v="3"/>
    <n v="2024"/>
    <x v="1"/>
    <s v="购中推荐"/>
    <x v="1"/>
    <x v="1"/>
  </r>
  <r>
    <x v="1"/>
    <x v="37"/>
    <x v="1"/>
    <x v="4"/>
    <x v="16"/>
    <n v="48"/>
    <n v="27"/>
    <n v="0"/>
    <n v="2"/>
    <n v="0"/>
    <n v="0"/>
    <n v="0"/>
    <n v="0"/>
    <n v="0"/>
    <n v="32"/>
    <n v="2024"/>
    <x v="1"/>
    <s v="购后推荐"/>
    <x v="1"/>
    <x v="1"/>
  </r>
  <r>
    <x v="1"/>
    <x v="37"/>
    <x v="1"/>
    <x v="4"/>
    <x v="17"/>
    <n v="3677"/>
    <n v="2861"/>
    <n v="143"/>
    <n v="51"/>
    <n v="32142"/>
    <n v="19"/>
    <n v="23342"/>
    <n v="14"/>
    <n v="584"/>
    <n v="3677"/>
    <n v="2024"/>
    <x v="1"/>
    <s v="首页推荐-微详情"/>
    <x v="1"/>
    <x v="1"/>
  </r>
  <r>
    <x v="1"/>
    <x v="37"/>
    <x v="1"/>
    <x v="4"/>
    <x v="18"/>
    <n v="6215"/>
    <n v="5936"/>
    <n v="1"/>
    <n v="0"/>
    <n v="2488"/>
    <n v="1"/>
    <n v="0"/>
    <n v="0"/>
    <n v="2"/>
    <n v="13"/>
    <n v="2024"/>
    <x v="1"/>
    <s v="首页推荐-直播"/>
    <x v="1"/>
    <x v="1"/>
  </r>
  <r>
    <x v="1"/>
    <x v="37"/>
    <x v="1"/>
    <x v="4"/>
    <x v="19"/>
    <n v="83"/>
    <n v="55"/>
    <n v="0"/>
    <n v="0"/>
    <n v="0"/>
    <n v="0"/>
    <n v="0"/>
    <n v="0"/>
    <n v="0"/>
    <n v="1"/>
    <n v="2024"/>
    <x v="1"/>
    <s v="首页推荐-短视频"/>
    <x v="1"/>
    <x v="1"/>
  </r>
  <r>
    <x v="1"/>
    <x v="37"/>
    <x v="1"/>
    <x v="12"/>
    <x v="42"/>
    <n v="801"/>
    <n v="610"/>
    <n v="58"/>
    <n v="10"/>
    <n v="39505.06"/>
    <n v="14"/>
    <n v="37843.83"/>
    <n v="14"/>
    <n v="248"/>
    <n v="694"/>
    <n v="2024"/>
    <x v="1"/>
    <s v="手淘搜索-商品及其他"/>
    <x v="1"/>
    <x v="1"/>
  </r>
  <r>
    <x v="1"/>
    <x v="37"/>
    <x v="1"/>
    <x v="12"/>
    <x v="43"/>
    <n v="21"/>
    <n v="13"/>
    <n v="1"/>
    <n v="0"/>
    <n v="0"/>
    <n v="0"/>
    <n v="0"/>
    <n v="0"/>
    <n v="2"/>
    <n v="11"/>
    <n v="2024"/>
    <x v="1"/>
    <s v="手淘搜索-直播"/>
    <x v="1"/>
    <x v="1"/>
  </r>
  <r>
    <x v="1"/>
    <x v="37"/>
    <x v="1"/>
    <x v="12"/>
    <x v="44"/>
    <n v="26"/>
    <n v="13"/>
    <n v="0"/>
    <n v="0"/>
    <n v="0"/>
    <n v="0"/>
    <n v="0"/>
    <n v="0"/>
    <n v="1"/>
    <n v="3"/>
    <n v="2024"/>
    <x v="1"/>
    <s v="手淘搜索-短视频"/>
    <x v="1"/>
    <x v="1"/>
  </r>
  <r>
    <x v="1"/>
    <x v="37"/>
    <x v="1"/>
    <x v="11"/>
    <x v="37"/>
    <n v="14"/>
    <n v="12"/>
    <n v="0"/>
    <n v="0"/>
    <n v="0"/>
    <n v="0"/>
    <n v="0"/>
    <n v="0"/>
    <n v="1"/>
    <n v="14"/>
    <n v="2024"/>
    <x v="1"/>
    <s v="淘特其他渠道"/>
    <x v="1"/>
    <x v="1"/>
  </r>
  <r>
    <x v="1"/>
    <x v="37"/>
    <x v="1"/>
    <x v="11"/>
    <x v="39"/>
    <n v="1"/>
    <n v="1"/>
    <n v="0"/>
    <n v="0"/>
    <n v="0"/>
    <n v="0"/>
    <n v="0"/>
    <n v="0"/>
    <n v="0"/>
    <n v="1"/>
    <n v="2024"/>
    <x v="1"/>
    <s v="淘特搜索"/>
    <x v="1"/>
    <x v="1"/>
  </r>
  <r>
    <x v="1"/>
    <x v="37"/>
    <x v="0"/>
    <x v="5"/>
    <x v="41"/>
    <n v="2270"/>
    <n v="2049"/>
    <n v="4"/>
    <n v="0"/>
    <n v="0"/>
    <n v="0"/>
    <n v="0"/>
    <n v="0"/>
    <n v="9"/>
    <n v="860"/>
    <n v="2024"/>
    <x v="1"/>
    <s v="超级直播"/>
    <x v="1"/>
    <x v="1"/>
  </r>
  <r>
    <x v="1"/>
    <x v="37"/>
    <x v="0"/>
    <x v="5"/>
    <x v="20"/>
    <n v="1"/>
    <n v="0"/>
    <n v="1"/>
    <n v="0"/>
    <n v="0"/>
    <n v="0"/>
    <n v="0"/>
    <n v="0"/>
    <n v="0"/>
    <n v="1"/>
    <n v="2024"/>
    <x v="1"/>
    <s v="超级短视频"/>
    <x v="1"/>
    <x v="1"/>
  </r>
  <r>
    <x v="1"/>
    <x v="37"/>
    <x v="0"/>
    <x v="6"/>
    <x v="48"/>
    <n v="1235"/>
    <n v="1035"/>
    <n v="0"/>
    <n v="0"/>
    <n v="0"/>
    <n v="0"/>
    <n v="0"/>
    <n v="0"/>
    <n v="1235"/>
    <n v="134"/>
    <n v="2024"/>
    <x v="1"/>
    <s v="Showmax"/>
    <x v="1"/>
    <x v="1"/>
  </r>
  <r>
    <x v="1"/>
    <x v="37"/>
    <x v="0"/>
    <x v="6"/>
    <x v="30"/>
    <n v="1350"/>
    <n v="1054"/>
    <n v="0"/>
    <n v="0"/>
    <n v="0"/>
    <n v="0"/>
    <n v="0"/>
    <n v="0"/>
    <n v="1350"/>
    <n v="193"/>
    <n v="2024"/>
    <x v="1"/>
    <s v="品牌特秀"/>
    <x v="1"/>
    <x v="1"/>
  </r>
  <r>
    <x v="1"/>
    <x v="37"/>
    <x v="0"/>
    <x v="6"/>
    <x v="21"/>
    <n v="647"/>
    <n v="519"/>
    <n v="23"/>
    <n v="6"/>
    <n v="23670.5"/>
    <n v="7"/>
    <n v="17159.5"/>
    <n v="6"/>
    <n v="647"/>
    <n v="341"/>
    <n v="2024"/>
    <x v="1"/>
    <s v="品销宝-品牌专区"/>
    <x v="1"/>
    <x v="1"/>
  </r>
  <r>
    <x v="1"/>
    <x v="37"/>
    <x v="0"/>
    <x v="0"/>
    <x v="2"/>
    <n v="3132"/>
    <n v="2678"/>
    <n v="70"/>
    <n v="29"/>
    <n v="65293.73"/>
    <n v="12"/>
    <n v="59103.73"/>
    <n v="10"/>
    <n v="277"/>
    <n v="3095"/>
    <n v="2024"/>
    <x v="1"/>
    <s v="直通车"/>
    <x v="1"/>
    <x v="1"/>
  </r>
  <r>
    <x v="1"/>
    <x v="37"/>
    <x v="0"/>
    <x v="0"/>
    <x v="0"/>
    <n v="3288"/>
    <n v="1623"/>
    <n v="79"/>
    <n v="20"/>
    <n v="61734"/>
    <n v="24"/>
    <n v="49512"/>
    <n v="22"/>
    <n v="219"/>
    <n v="3285"/>
    <n v="2024"/>
    <x v="1"/>
    <s v="万相台"/>
    <x v="1"/>
    <x v="1"/>
  </r>
  <r>
    <x v="1"/>
    <x v="37"/>
    <x v="0"/>
    <x v="0"/>
    <x v="1"/>
    <n v="14587"/>
    <n v="7394"/>
    <n v="65"/>
    <n v="47"/>
    <n v="22705"/>
    <n v="10"/>
    <n v="16257"/>
    <n v="7"/>
    <n v="372"/>
    <n v="14582"/>
    <n v="2024"/>
    <x v="1"/>
    <s v="引力魔方"/>
    <x v="1"/>
    <x v="1"/>
  </r>
  <r>
    <x v="1"/>
    <x v="37"/>
    <x v="0"/>
    <x v="7"/>
    <x v="23"/>
    <n v="7"/>
    <n v="6"/>
    <n v="0"/>
    <n v="0"/>
    <n v="0"/>
    <n v="0"/>
    <n v="0"/>
    <n v="0"/>
    <n v="1"/>
    <n v="2"/>
    <n v="2024"/>
    <x v="1"/>
    <s v="流量宝"/>
    <x v="1"/>
    <x v="1"/>
  </r>
  <r>
    <x v="1"/>
    <x v="37"/>
    <x v="0"/>
    <x v="7"/>
    <x v="24"/>
    <n v="354"/>
    <n v="90"/>
    <n v="0"/>
    <n v="0"/>
    <n v="2980"/>
    <n v="2"/>
    <n v="2980"/>
    <n v="2"/>
    <n v="12"/>
    <n v="344"/>
    <n v="2024"/>
    <x v="1"/>
    <s v="淘宝客"/>
    <x v="1"/>
    <x v="1"/>
  </r>
  <r>
    <x v="1"/>
    <x v="38"/>
    <x v="1"/>
    <x v="8"/>
    <x v="25"/>
    <n v="131"/>
    <n v="57"/>
    <n v="4"/>
    <n v="3"/>
    <n v="2237"/>
    <n v="1"/>
    <n v="2237"/>
    <n v="1"/>
    <n v="24"/>
    <n v="118"/>
    <n v="2024"/>
    <x v="1"/>
    <s v="主会场"/>
    <x v="1"/>
    <x v="1"/>
  </r>
  <r>
    <x v="1"/>
    <x v="38"/>
    <x v="1"/>
    <x v="2"/>
    <x v="4"/>
    <n v="7"/>
    <n v="7"/>
    <n v="0"/>
    <n v="0"/>
    <n v="0"/>
    <n v="0"/>
    <n v="0"/>
    <n v="0"/>
    <n v="1"/>
    <n v="6"/>
    <n v="2024"/>
    <x v="1"/>
    <s v="手机浏览器访问天猫"/>
    <x v="1"/>
    <x v="1"/>
  </r>
  <r>
    <x v="1"/>
    <x v="38"/>
    <x v="1"/>
    <x v="2"/>
    <x v="5"/>
    <n v="115"/>
    <n v="54"/>
    <n v="3"/>
    <n v="0"/>
    <n v="7718"/>
    <n v="4"/>
    <n v="7718"/>
    <n v="4"/>
    <n v="33"/>
    <n v="107"/>
    <n v="2024"/>
    <x v="1"/>
    <s v="手猫免费其他"/>
    <x v="1"/>
    <x v="1"/>
  </r>
  <r>
    <x v="1"/>
    <x v="38"/>
    <x v="1"/>
    <x v="2"/>
    <x v="6"/>
    <n v="6"/>
    <n v="1"/>
    <n v="1"/>
    <n v="0"/>
    <n v="0"/>
    <n v="0"/>
    <n v="0"/>
    <n v="0"/>
    <n v="0"/>
    <n v="6"/>
    <n v="2024"/>
    <x v="1"/>
    <s v="手猫其他店铺"/>
    <x v="1"/>
    <x v="1"/>
  </r>
  <r>
    <x v="1"/>
    <x v="38"/>
    <x v="1"/>
    <x v="2"/>
    <x v="7"/>
    <n v="41"/>
    <n v="19"/>
    <n v="3"/>
    <n v="0"/>
    <n v="3950"/>
    <n v="2"/>
    <n v="3950"/>
    <n v="2"/>
    <n v="5"/>
    <n v="41"/>
    <n v="2024"/>
    <x v="1"/>
    <s v="手猫商品详情"/>
    <x v="1"/>
    <x v="1"/>
  </r>
  <r>
    <x v="1"/>
    <x v="38"/>
    <x v="1"/>
    <x v="2"/>
    <x v="8"/>
    <n v="58"/>
    <n v="40"/>
    <n v="0"/>
    <n v="0"/>
    <n v="0"/>
    <n v="0"/>
    <n v="0"/>
    <n v="0"/>
    <n v="28"/>
    <n v="50"/>
    <n v="2024"/>
    <x v="1"/>
    <s v="手猫搜索"/>
    <x v="1"/>
    <x v="1"/>
  </r>
  <r>
    <x v="1"/>
    <x v="38"/>
    <x v="1"/>
    <x v="2"/>
    <x v="9"/>
    <n v="4"/>
    <n v="1"/>
    <n v="0"/>
    <n v="0"/>
    <n v="1280"/>
    <n v="1"/>
    <n v="1280"/>
    <n v="1"/>
    <n v="1"/>
    <n v="3"/>
    <n v="2024"/>
    <x v="1"/>
    <s v="手猫旺信聊天"/>
    <x v="1"/>
    <x v="1"/>
  </r>
  <r>
    <x v="1"/>
    <x v="38"/>
    <x v="1"/>
    <x v="2"/>
    <x v="10"/>
    <n v="440"/>
    <n v="260"/>
    <n v="4"/>
    <n v="0"/>
    <n v="4213"/>
    <n v="2"/>
    <n v="4213"/>
    <n v="2"/>
    <n v="19"/>
    <n v="440"/>
    <n v="2024"/>
    <x v="1"/>
    <s v="手猫首页"/>
    <x v="1"/>
    <x v="1"/>
  </r>
  <r>
    <x v="1"/>
    <x v="38"/>
    <x v="1"/>
    <x v="3"/>
    <x v="11"/>
    <n v="172"/>
    <n v="81"/>
    <n v="19"/>
    <n v="7"/>
    <n v="5570.5"/>
    <n v="3"/>
    <n v="5570.5"/>
    <n v="3"/>
    <n v="47"/>
    <n v="164"/>
    <n v="2024"/>
    <x v="1"/>
    <s v="商品详情页头图推荐"/>
    <x v="1"/>
    <x v="1"/>
  </r>
  <r>
    <x v="1"/>
    <x v="38"/>
    <x v="1"/>
    <x v="3"/>
    <x v="12"/>
    <n v="23"/>
    <n v="17"/>
    <n v="0"/>
    <n v="0"/>
    <n v="0"/>
    <n v="0"/>
    <n v="0"/>
    <n v="0"/>
    <n v="20"/>
    <n v="7"/>
    <n v="2024"/>
    <x v="1"/>
    <s v="店铺超链"/>
    <x v="1"/>
    <x v="1"/>
  </r>
  <r>
    <x v="1"/>
    <x v="38"/>
    <x v="1"/>
    <x v="4"/>
    <x v="13"/>
    <n v="299"/>
    <n v="203"/>
    <n v="17"/>
    <n v="8"/>
    <n v="14381"/>
    <n v="5"/>
    <n v="14381"/>
    <n v="5"/>
    <n v="109"/>
    <n v="264"/>
    <n v="2024"/>
    <x v="1"/>
    <s v="其他猜你喜欢"/>
    <x v="1"/>
    <x v="1"/>
  </r>
  <r>
    <x v="1"/>
    <x v="38"/>
    <x v="1"/>
    <x v="4"/>
    <x v="15"/>
    <n v="6"/>
    <n v="2"/>
    <n v="1"/>
    <n v="0"/>
    <n v="0"/>
    <n v="0"/>
    <n v="0"/>
    <n v="0"/>
    <n v="3"/>
    <n v="6"/>
    <n v="2024"/>
    <x v="1"/>
    <s v="购中推荐"/>
    <x v="1"/>
    <x v="1"/>
  </r>
  <r>
    <x v="1"/>
    <x v="38"/>
    <x v="1"/>
    <x v="4"/>
    <x v="16"/>
    <n v="14"/>
    <n v="6"/>
    <n v="2"/>
    <n v="0"/>
    <n v="2347.5"/>
    <n v="1"/>
    <n v="2347.5"/>
    <n v="1"/>
    <n v="1"/>
    <n v="14"/>
    <n v="2024"/>
    <x v="1"/>
    <s v="购后推荐"/>
    <x v="1"/>
    <x v="1"/>
  </r>
  <r>
    <x v="1"/>
    <x v="38"/>
    <x v="1"/>
    <x v="4"/>
    <x v="17"/>
    <n v="2786"/>
    <n v="1977"/>
    <n v="114"/>
    <n v="51"/>
    <n v="33704.550000000003"/>
    <n v="18"/>
    <n v="30724.55"/>
    <n v="16"/>
    <n v="393"/>
    <n v="2786"/>
    <n v="2024"/>
    <x v="1"/>
    <s v="首页推荐-微详情"/>
    <x v="1"/>
    <x v="1"/>
  </r>
  <r>
    <x v="1"/>
    <x v="38"/>
    <x v="1"/>
    <x v="4"/>
    <x v="18"/>
    <n v="159"/>
    <n v="91"/>
    <n v="0"/>
    <n v="0"/>
    <n v="0"/>
    <n v="0"/>
    <n v="0"/>
    <n v="0"/>
    <n v="1"/>
    <n v="9"/>
    <n v="2024"/>
    <x v="1"/>
    <s v="首页推荐-直播"/>
    <x v="1"/>
    <x v="1"/>
  </r>
  <r>
    <x v="1"/>
    <x v="38"/>
    <x v="1"/>
    <x v="4"/>
    <x v="19"/>
    <n v="120"/>
    <n v="80"/>
    <n v="1"/>
    <n v="0"/>
    <n v="0"/>
    <n v="0"/>
    <n v="0"/>
    <n v="0"/>
    <n v="0"/>
    <n v="2"/>
    <n v="2024"/>
    <x v="1"/>
    <s v="首页推荐-短视频"/>
    <x v="1"/>
    <x v="1"/>
  </r>
  <r>
    <x v="1"/>
    <x v="38"/>
    <x v="1"/>
    <x v="12"/>
    <x v="42"/>
    <n v="789"/>
    <n v="592"/>
    <n v="53"/>
    <n v="14"/>
    <n v="49908.5"/>
    <n v="18"/>
    <n v="43586"/>
    <n v="16"/>
    <n v="216"/>
    <n v="715"/>
    <n v="2024"/>
    <x v="1"/>
    <s v="手淘搜索-商品及其他"/>
    <x v="1"/>
    <x v="1"/>
  </r>
  <r>
    <x v="1"/>
    <x v="38"/>
    <x v="1"/>
    <x v="12"/>
    <x v="43"/>
    <n v="12"/>
    <n v="5"/>
    <n v="0"/>
    <n v="0"/>
    <n v="1581.33"/>
    <n v="1"/>
    <n v="1581.33"/>
    <n v="1"/>
    <n v="1"/>
    <n v="11"/>
    <n v="2024"/>
    <x v="1"/>
    <s v="手淘搜索-直播"/>
    <x v="1"/>
    <x v="1"/>
  </r>
  <r>
    <x v="1"/>
    <x v="38"/>
    <x v="1"/>
    <x v="12"/>
    <x v="44"/>
    <n v="14"/>
    <n v="6"/>
    <n v="0"/>
    <n v="1"/>
    <n v="0"/>
    <n v="0"/>
    <n v="0"/>
    <n v="0"/>
    <n v="1"/>
    <n v="2"/>
    <n v="2024"/>
    <x v="1"/>
    <s v="手淘搜索-短视频"/>
    <x v="1"/>
    <x v="1"/>
  </r>
  <r>
    <x v="1"/>
    <x v="38"/>
    <x v="1"/>
    <x v="11"/>
    <x v="37"/>
    <n v="11"/>
    <n v="11"/>
    <n v="0"/>
    <n v="0"/>
    <n v="0"/>
    <n v="0"/>
    <n v="0"/>
    <n v="0"/>
    <n v="0"/>
    <n v="11"/>
    <n v="2024"/>
    <x v="1"/>
    <s v="淘特其他渠道"/>
    <x v="1"/>
    <x v="1"/>
  </r>
  <r>
    <x v="1"/>
    <x v="38"/>
    <x v="0"/>
    <x v="5"/>
    <x v="41"/>
    <n v="2573"/>
    <n v="2373"/>
    <n v="2"/>
    <n v="1"/>
    <n v="0"/>
    <n v="0"/>
    <n v="0"/>
    <n v="0"/>
    <n v="12"/>
    <n v="1968"/>
    <n v="2024"/>
    <x v="1"/>
    <s v="超级直播"/>
    <x v="1"/>
    <x v="1"/>
  </r>
  <r>
    <x v="1"/>
    <x v="38"/>
    <x v="0"/>
    <x v="6"/>
    <x v="48"/>
    <n v="1213"/>
    <n v="1054"/>
    <n v="0"/>
    <n v="0"/>
    <n v="0"/>
    <n v="0"/>
    <n v="0"/>
    <n v="0"/>
    <n v="1213"/>
    <n v="113"/>
    <n v="2024"/>
    <x v="1"/>
    <s v="Showmax"/>
    <x v="1"/>
    <x v="1"/>
  </r>
  <r>
    <x v="1"/>
    <x v="38"/>
    <x v="0"/>
    <x v="6"/>
    <x v="45"/>
    <n v="1"/>
    <n v="1"/>
    <n v="0"/>
    <n v="0"/>
    <n v="0"/>
    <n v="0"/>
    <n v="0"/>
    <n v="0"/>
    <n v="0"/>
    <n v="0"/>
    <n v="2024"/>
    <x v="1"/>
    <s v="品牌定制"/>
    <x v="1"/>
    <x v="1"/>
  </r>
  <r>
    <x v="1"/>
    <x v="38"/>
    <x v="0"/>
    <x v="6"/>
    <x v="30"/>
    <n v="1506"/>
    <n v="1215"/>
    <n v="0"/>
    <n v="0"/>
    <n v="0"/>
    <n v="0"/>
    <n v="0"/>
    <n v="0"/>
    <n v="1506"/>
    <n v="182"/>
    <n v="2024"/>
    <x v="1"/>
    <s v="品牌特秀"/>
    <x v="1"/>
    <x v="1"/>
  </r>
  <r>
    <x v="1"/>
    <x v="38"/>
    <x v="0"/>
    <x v="6"/>
    <x v="21"/>
    <n v="620"/>
    <n v="495"/>
    <n v="19"/>
    <n v="7"/>
    <n v="17167.5"/>
    <n v="8"/>
    <n v="17167.5"/>
    <n v="8"/>
    <n v="620"/>
    <n v="333"/>
    <n v="2024"/>
    <x v="1"/>
    <s v="品销宝-品牌专区"/>
    <x v="1"/>
    <x v="1"/>
  </r>
  <r>
    <x v="1"/>
    <x v="38"/>
    <x v="0"/>
    <x v="0"/>
    <x v="2"/>
    <n v="2807"/>
    <n v="2340"/>
    <n v="77"/>
    <n v="23"/>
    <n v="98732"/>
    <n v="24"/>
    <n v="84937"/>
    <n v="22"/>
    <n v="266"/>
    <n v="2785"/>
    <n v="2024"/>
    <x v="1"/>
    <s v="直通车"/>
    <x v="1"/>
    <x v="1"/>
  </r>
  <r>
    <x v="1"/>
    <x v="38"/>
    <x v="0"/>
    <x v="0"/>
    <x v="0"/>
    <n v="2896"/>
    <n v="1326"/>
    <n v="77"/>
    <n v="25"/>
    <n v="38650"/>
    <n v="19"/>
    <n v="29078"/>
    <n v="15"/>
    <n v="200"/>
    <n v="2896"/>
    <n v="2024"/>
    <x v="1"/>
    <s v="万相台"/>
    <x v="1"/>
    <x v="1"/>
  </r>
  <r>
    <x v="1"/>
    <x v="38"/>
    <x v="0"/>
    <x v="0"/>
    <x v="1"/>
    <n v="11586"/>
    <n v="5235"/>
    <n v="78"/>
    <n v="58"/>
    <n v="27466.5"/>
    <n v="9"/>
    <n v="12107.5"/>
    <n v="7"/>
    <n v="347"/>
    <n v="11584"/>
    <n v="2024"/>
    <x v="1"/>
    <s v="引力魔方"/>
    <x v="1"/>
    <x v="1"/>
  </r>
  <r>
    <x v="1"/>
    <x v="38"/>
    <x v="0"/>
    <x v="7"/>
    <x v="23"/>
    <n v="1"/>
    <n v="1"/>
    <n v="0"/>
    <n v="0"/>
    <n v="0"/>
    <n v="0"/>
    <n v="0"/>
    <n v="0"/>
    <n v="1"/>
    <n v="1"/>
    <n v="2024"/>
    <x v="1"/>
    <s v="流量宝"/>
    <x v="1"/>
    <x v="1"/>
  </r>
  <r>
    <x v="1"/>
    <x v="38"/>
    <x v="0"/>
    <x v="7"/>
    <x v="24"/>
    <n v="361"/>
    <n v="92"/>
    <n v="1"/>
    <n v="0"/>
    <n v="3220"/>
    <n v="2"/>
    <n v="3220"/>
    <n v="2"/>
    <n v="11"/>
    <n v="352"/>
    <n v="2024"/>
    <x v="1"/>
    <s v="淘宝客"/>
    <x v="1"/>
    <x v="1"/>
  </r>
  <r>
    <x v="1"/>
    <x v="39"/>
    <x v="1"/>
    <x v="8"/>
    <x v="25"/>
    <n v="141"/>
    <n v="64"/>
    <n v="4"/>
    <n v="1"/>
    <n v="5072.5"/>
    <n v="3"/>
    <n v="2475"/>
    <n v="2"/>
    <n v="19"/>
    <n v="131"/>
    <n v="2024"/>
    <x v="1"/>
    <s v="主会场"/>
    <x v="1"/>
    <x v="1"/>
  </r>
  <r>
    <x v="1"/>
    <x v="39"/>
    <x v="1"/>
    <x v="8"/>
    <x v="26"/>
    <n v="1"/>
    <n v="0"/>
    <n v="0"/>
    <n v="0"/>
    <n v="0"/>
    <n v="0"/>
    <n v="0"/>
    <n v="0"/>
    <n v="0"/>
    <n v="1"/>
    <n v="2024"/>
    <x v="1"/>
    <s v="榜单会场"/>
    <x v="1"/>
    <x v="1"/>
  </r>
  <r>
    <x v="1"/>
    <x v="39"/>
    <x v="1"/>
    <x v="1"/>
    <x v="3"/>
    <n v="1"/>
    <n v="0"/>
    <n v="0"/>
    <n v="0"/>
    <n v="0"/>
    <n v="0"/>
    <n v="0"/>
    <n v="0"/>
    <n v="0"/>
    <n v="1"/>
    <n v="2024"/>
    <x v="1"/>
    <s v="其他入口榜单"/>
    <x v="1"/>
    <x v="1"/>
  </r>
  <r>
    <x v="1"/>
    <x v="39"/>
    <x v="1"/>
    <x v="2"/>
    <x v="5"/>
    <n v="110"/>
    <n v="48"/>
    <n v="0"/>
    <n v="0"/>
    <n v="4342.5"/>
    <n v="3"/>
    <n v="4342.5"/>
    <n v="3"/>
    <n v="38"/>
    <n v="108"/>
    <n v="2024"/>
    <x v="1"/>
    <s v="手猫免费其他"/>
    <x v="1"/>
    <x v="1"/>
  </r>
  <r>
    <x v="1"/>
    <x v="39"/>
    <x v="1"/>
    <x v="2"/>
    <x v="6"/>
    <n v="7"/>
    <n v="4"/>
    <n v="1"/>
    <n v="0"/>
    <n v="0"/>
    <n v="0"/>
    <n v="0"/>
    <n v="0"/>
    <n v="0"/>
    <n v="7"/>
    <n v="2024"/>
    <x v="1"/>
    <s v="手猫其他店铺"/>
    <x v="1"/>
    <x v="1"/>
  </r>
  <r>
    <x v="1"/>
    <x v="39"/>
    <x v="1"/>
    <x v="2"/>
    <x v="7"/>
    <n v="46"/>
    <n v="15"/>
    <n v="4"/>
    <n v="0"/>
    <n v="0"/>
    <n v="0"/>
    <n v="0"/>
    <n v="0"/>
    <n v="8"/>
    <n v="43"/>
    <n v="2024"/>
    <x v="1"/>
    <s v="手猫商品详情"/>
    <x v="1"/>
    <x v="1"/>
  </r>
  <r>
    <x v="1"/>
    <x v="39"/>
    <x v="1"/>
    <x v="2"/>
    <x v="8"/>
    <n v="69"/>
    <n v="49"/>
    <n v="0"/>
    <n v="0"/>
    <n v="0"/>
    <n v="0"/>
    <n v="0"/>
    <n v="0"/>
    <n v="23"/>
    <n v="63"/>
    <n v="2024"/>
    <x v="1"/>
    <s v="手猫搜索"/>
    <x v="1"/>
    <x v="1"/>
  </r>
  <r>
    <x v="1"/>
    <x v="39"/>
    <x v="1"/>
    <x v="2"/>
    <x v="9"/>
    <n v="5"/>
    <n v="2"/>
    <n v="0"/>
    <n v="0"/>
    <n v="0"/>
    <n v="0"/>
    <n v="0"/>
    <n v="0"/>
    <n v="1"/>
    <n v="5"/>
    <n v="2024"/>
    <x v="1"/>
    <s v="手猫旺信聊天"/>
    <x v="1"/>
    <x v="1"/>
  </r>
  <r>
    <x v="1"/>
    <x v="39"/>
    <x v="1"/>
    <x v="2"/>
    <x v="10"/>
    <n v="511"/>
    <n v="290"/>
    <n v="2"/>
    <n v="0"/>
    <n v="4775"/>
    <n v="3"/>
    <n v="4775"/>
    <n v="3"/>
    <n v="37"/>
    <n v="511"/>
    <n v="2024"/>
    <x v="1"/>
    <s v="手猫首页"/>
    <x v="1"/>
    <x v="1"/>
  </r>
  <r>
    <x v="1"/>
    <x v="39"/>
    <x v="1"/>
    <x v="3"/>
    <x v="11"/>
    <n v="173"/>
    <n v="62"/>
    <n v="16"/>
    <n v="7"/>
    <n v="22662"/>
    <n v="4"/>
    <n v="22662"/>
    <n v="4"/>
    <n v="60"/>
    <n v="163"/>
    <n v="2024"/>
    <x v="1"/>
    <s v="商品详情页头图推荐"/>
    <x v="1"/>
    <x v="1"/>
  </r>
  <r>
    <x v="1"/>
    <x v="39"/>
    <x v="1"/>
    <x v="3"/>
    <x v="12"/>
    <n v="39"/>
    <n v="24"/>
    <n v="1"/>
    <n v="0"/>
    <n v="4970"/>
    <n v="1"/>
    <n v="4970"/>
    <n v="1"/>
    <n v="34"/>
    <n v="16"/>
    <n v="2024"/>
    <x v="1"/>
    <s v="店铺超链"/>
    <x v="1"/>
    <x v="1"/>
  </r>
  <r>
    <x v="1"/>
    <x v="39"/>
    <x v="1"/>
    <x v="4"/>
    <x v="13"/>
    <n v="288"/>
    <n v="184"/>
    <n v="18"/>
    <n v="5"/>
    <n v="6516"/>
    <n v="2"/>
    <n v="6516"/>
    <n v="2"/>
    <n v="100"/>
    <n v="244"/>
    <n v="2024"/>
    <x v="1"/>
    <s v="其他猜你喜欢"/>
    <x v="1"/>
    <x v="1"/>
  </r>
  <r>
    <x v="1"/>
    <x v="39"/>
    <x v="1"/>
    <x v="4"/>
    <x v="15"/>
    <n v="1"/>
    <n v="1"/>
    <n v="0"/>
    <n v="0"/>
    <n v="0"/>
    <n v="0"/>
    <n v="0"/>
    <n v="0"/>
    <n v="0"/>
    <n v="1"/>
    <n v="2024"/>
    <x v="1"/>
    <s v="购中推荐"/>
    <x v="1"/>
    <x v="1"/>
  </r>
  <r>
    <x v="1"/>
    <x v="39"/>
    <x v="1"/>
    <x v="4"/>
    <x v="16"/>
    <n v="17"/>
    <n v="7"/>
    <n v="0"/>
    <n v="0"/>
    <n v="0"/>
    <n v="0"/>
    <n v="0"/>
    <n v="0"/>
    <n v="2"/>
    <n v="17"/>
    <n v="2024"/>
    <x v="1"/>
    <s v="购后推荐"/>
    <x v="1"/>
    <x v="1"/>
  </r>
  <r>
    <x v="1"/>
    <x v="39"/>
    <x v="1"/>
    <x v="4"/>
    <x v="17"/>
    <n v="2707"/>
    <n v="1737"/>
    <n v="90"/>
    <n v="39"/>
    <n v="30887.5"/>
    <n v="9"/>
    <n v="30887.5"/>
    <n v="9"/>
    <n v="375"/>
    <n v="2707"/>
    <n v="2024"/>
    <x v="1"/>
    <s v="首页推荐-微详情"/>
    <x v="1"/>
    <x v="1"/>
  </r>
  <r>
    <x v="1"/>
    <x v="39"/>
    <x v="1"/>
    <x v="4"/>
    <x v="18"/>
    <n v="6"/>
    <n v="2"/>
    <n v="0"/>
    <n v="0"/>
    <n v="0"/>
    <n v="0"/>
    <n v="0"/>
    <n v="0"/>
    <n v="0"/>
    <n v="1"/>
    <n v="2024"/>
    <x v="1"/>
    <s v="首页推荐-直播"/>
    <x v="1"/>
    <x v="1"/>
  </r>
  <r>
    <x v="1"/>
    <x v="39"/>
    <x v="1"/>
    <x v="4"/>
    <x v="19"/>
    <n v="105"/>
    <n v="59"/>
    <n v="0"/>
    <n v="0"/>
    <n v="0"/>
    <n v="0"/>
    <n v="0"/>
    <n v="0"/>
    <n v="0"/>
    <n v="0"/>
    <n v="2024"/>
    <x v="1"/>
    <s v="首页推荐-短视频"/>
    <x v="1"/>
    <x v="1"/>
  </r>
  <r>
    <x v="1"/>
    <x v="39"/>
    <x v="1"/>
    <x v="12"/>
    <x v="42"/>
    <n v="857"/>
    <n v="608"/>
    <n v="65"/>
    <n v="10"/>
    <n v="74525.95"/>
    <n v="18"/>
    <n v="68153.95"/>
    <n v="16"/>
    <n v="227"/>
    <n v="796"/>
    <n v="2024"/>
    <x v="1"/>
    <s v="手淘搜索-商品及其他"/>
    <x v="1"/>
    <x v="1"/>
  </r>
  <r>
    <x v="1"/>
    <x v="39"/>
    <x v="1"/>
    <x v="12"/>
    <x v="44"/>
    <n v="21"/>
    <n v="13"/>
    <n v="1"/>
    <n v="0"/>
    <n v="0"/>
    <n v="0"/>
    <n v="0"/>
    <n v="0"/>
    <n v="3"/>
    <n v="5"/>
    <n v="2024"/>
    <x v="1"/>
    <s v="手淘搜索-短视频"/>
    <x v="1"/>
    <x v="1"/>
  </r>
  <r>
    <x v="1"/>
    <x v="39"/>
    <x v="1"/>
    <x v="11"/>
    <x v="37"/>
    <n v="8"/>
    <n v="8"/>
    <n v="0"/>
    <n v="0"/>
    <n v="0"/>
    <n v="0"/>
    <n v="0"/>
    <n v="0"/>
    <n v="0"/>
    <n v="8"/>
    <n v="2024"/>
    <x v="1"/>
    <s v="淘特其他渠道"/>
    <x v="1"/>
    <x v="1"/>
  </r>
  <r>
    <x v="1"/>
    <x v="39"/>
    <x v="0"/>
    <x v="5"/>
    <x v="41"/>
    <n v="33"/>
    <n v="24"/>
    <n v="0"/>
    <n v="0"/>
    <n v="0"/>
    <n v="0"/>
    <n v="0"/>
    <n v="0"/>
    <n v="0"/>
    <n v="33"/>
    <n v="2024"/>
    <x v="1"/>
    <s v="超级直播"/>
    <x v="1"/>
    <x v="1"/>
  </r>
  <r>
    <x v="1"/>
    <x v="39"/>
    <x v="0"/>
    <x v="5"/>
    <x v="20"/>
    <n v="1"/>
    <n v="0"/>
    <n v="0"/>
    <n v="0"/>
    <n v="0"/>
    <n v="0"/>
    <n v="0"/>
    <n v="0"/>
    <n v="0"/>
    <n v="0"/>
    <n v="2024"/>
    <x v="1"/>
    <s v="超级短视频"/>
    <x v="1"/>
    <x v="1"/>
  </r>
  <r>
    <x v="1"/>
    <x v="39"/>
    <x v="0"/>
    <x v="6"/>
    <x v="48"/>
    <n v="1103"/>
    <n v="908"/>
    <n v="0"/>
    <n v="0"/>
    <n v="0"/>
    <n v="0"/>
    <n v="0"/>
    <n v="0"/>
    <n v="1103"/>
    <n v="105"/>
    <n v="2024"/>
    <x v="1"/>
    <s v="Showmax"/>
    <x v="1"/>
    <x v="1"/>
  </r>
  <r>
    <x v="1"/>
    <x v="39"/>
    <x v="0"/>
    <x v="6"/>
    <x v="30"/>
    <n v="1361"/>
    <n v="1064"/>
    <n v="0"/>
    <n v="0"/>
    <n v="0"/>
    <n v="0"/>
    <n v="0"/>
    <n v="0"/>
    <n v="1361"/>
    <n v="199"/>
    <n v="2024"/>
    <x v="1"/>
    <s v="品牌特秀"/>
    <x v="1"/>
    <x v="1"/>
  </r>
  <r>
    <x v="1"/>
    <x v="39"/>
    <x v="0"/>
    <x v="6"/>
    <x v="21"/>
    <n v="587"/>
    <n v="483"/>
    <n v="14"/>
    <n v="6"/>
    <n v="56801.5"/>
    <n v="5"/>
    <n v="43456.5"/>
    <n v="4"/>
    <n v="587"/>
    <n v="308"/>
    <n v="2024"/>
    <x v="1"/>
    <s v="品销宝-品牌专区"/>
    <x v="1"/>
    <x v="1"/>
  </r>
  <r>
    <x v="1"/>
    <x v="39"/>
    <x v="0"/>
    <x v="0"/>
    <x v="2"/>
    <n v="2676"/>
    <n v="2231"/>
    <n v="69"/>
    <n v="15"/>
    <n v="55766.96"/>
    <n v="17"/>
    <n v="49156"/>
    <n v="15"/>
    <n v="226"/>
    <n v="2655"/>
    <n v="2024"/>
    <x v="1"/>
    <s v="直通车"/>
    <x v="1"/>
    <x v="1"/>
  </r>
  <r>
    <x v="1"/>
    <x v="39"/>
    <x v="0"/>
    <x v="0"/>
    <x v="0"/>
    <n v="3054"/>
    <n v="1355"/>
    <n v="86"/>
    <n v="27"/>
    <n v="119735"/>
    <n v="29"/>
    <n v="98554"/>
    <n v="25"/>
    <n v="258"/>
    <n v="3052"/>
    <n v="2024"/>
    <x v="1"/>
    <s v="万相台"/>
    <x v="1"/>
    <x v="1"/>
  </r>
  <r>
    <x v="1"/>
    <x v="39"/>
    <x v="0"/>
    <x v="0"/>
    <x v="1"/>
    <n v="10734"/>
    <n v="4860"/>
    <n v="78"/>
    <n v="68"/>
    <n v="30227"/>
    <n v="7"/>
    <n v="9102"/>
    <n v="4"/>
    <n v="329"/>
    <n v="10732"/>
    <n v="2024"/>
    <x v="1"/>
    <s v="引力魔方"/>
    <x v="1"/>
    <x v="1"/>
  </r>
  <r>
    <x v="1"/>
    <x v="39"/>
    <x v="0"/>
    <x v="7"/>
    <x v="23"/>
    <n v="3"/>
    <n v="1"/>
    <n v="0"/>
    <n v="0"/>
    <n v="0"/>
    <n v="0"/>
    <n v="0"/>
    <n v="0"/>
    <n v="1"/>
    <n v="2"/>
    <n v="2024"/>
    <x v="1"/>
    <s v="流量宝"/>
    <x v="1"/>
    <x v="1"/>
  </r>
  <r>
    <x v="1"/>
    <x v="39"/>
    <x v="0"/>
    <x v="7"/>
    <x v="24"/>
    <n v="320"/>
    <n v="67"/>
    <n v="3"/>
    <n v="0"/>
    <n v="0"/>
    <n v="0"/>
    <n v="0"/>
    <n v="0"/>
    <n v="10"/>
    <n v="317"/>
    <n v="2024"/>
    <x v="1"/>
    <s v="淘宝客"/>
    <x v="1"/>
    <x v="1"/>
  </r>
  <r>
    <x v="1"/>
    <x v="40"/>
    <x v="1"/>
    <x v="8"/>
    <x v="25"/>
    <n v="127"/>
    <n v="57"/>
    <n v="3"/>
    <n v="2"/>
    <n v="0"/>
    <n v="0"/>
    <n v="0"/>
    <n v="0"/>
    <n v="19"/>
    <n v="112"/>
    <n v="2024"/>
    <x v="1"/>
    <s v="主会场"/>
    <x v="1"/>
    <x v="1"/>
  </r>
  <r>
    <x v="1"/>
    <x v="40"/>
    <x v="1"/>
    <x v="2"/>
    <x v="5"/>
    <n v="98"/>
    <n v="48"/>
    <n v="3"/>
    <n v="0"/>
    <n v="6170"/>
    <n v="4"/>
    <n v="6170"/>
    <n v="4"/>
    <n v="31"/>
    <n v="95"/>
    <n v="2024"/>
    <x v="1"/>
    <s v="手猫免费其他"/>
    <x v="1"/>
    <x v="1"/>
  </r>
  <r>
    <x v="1"/>
    <x v="40"/>
    <x v="1"/>
    <x v="2"/>
    <x v="6"/>
    <n v="6"/>
    <n v="4"/>
    <n v="0"/>
    <n v="0"/>
    <n v="0"/>
    <n v="0"/>
    <n v="0"/>
    <n v="0"/>
    <n v="0"/>
    <n v="6"/>
    <n v="2024"/>
    <x v="1"/>
    <s v="手猫其他店铺"/>
    <x v="1"/>
    <x v="1"/>
  </r>
  <r>
    <x v="1"/>
    <x v="40"/>
    <x v="1"/>
    <x v="2"/>
    <x v="7"/>
    <n v="37"/>
    <n v="17"/>
    <n v="1"/>
    <n v="0"/>
    <n v="0"/>
    <n v="0"/>
    <n v="0"/>
    <n v="0"/>
    <n v="6"/>
    <n v="33"/>
    <n v="2024"/>
    <x v="1"/>
    <s v="手猫商品详情"/>
    <x v="1"/>
    <x v="1"/>
  </r>
  <r>
    <x v="1"/>
    <x v="40"/>
    <x v="1"/>
    <x v="2"/>
    <x v="8"/>
    <n v="59"/>
    <n v="36"/>
    <n v="1"/>
    <n v="0"/>
    <n v="0"/>
    <n v="0"/>
    <n v="0"/>
    <n v="0"/>
    <n v="19"/>
    <n v="49"/>
    <n v="2024"/>
    <x v="1"/>
    <s v="手猫搜索"/>
    <x v="1"/>
    <x v="1"/>
  </r>
  <r>
    <x v="1"/>
    <x v="40"/>
    <x v="1"/>
    <x v="2"/>
    <x v="9"/>
    <n v="3"/>
    <n v="0"/>
    <n v="0"/>
    <n v="0"/>
    <n v="0"/>
    <n v="0"/>
    <n v="0"/>
    <n v="0"/>
    <n v="2"/>
    <n v="2"/>
    <n v="2024"/>
    <x v="1"/>
    <s v="手猫旺信聊天"/>
    <x v="1"/>
    <x v="1"/>
  </r>
  <r>
    <x v="1"/>
    <x v="40"/>
    <x v="1"/>
    <x v="2"/>
    <x v="10"/>
    <n v="473"/>
    <n v="262"/>
    <n v="7"/>
    <n v="0"/>
    <n v="6478.43"/>
    <n v="4"/>
    <n v="5175.43"/>
    <n v="3"/>
    <n v="28"/>
    <n v="473"/>
    <n v="2024"/>
    <x v="1"/>
    <s v="手猫首页"/>
    <x v="1"/>
    <x v="1"/>
  </r>
  <r>
    <x v="1"/>
    <x v="40"/>
    <x v="1"/>
    <x v="3"/>
    <x v="11"/>
    <n v="206"/>
    <n v="89"/>
    <n v="10"/>
    <n v="4"/>
    <n v="12651"/>
    <n v="5"/>
    <n v="12651"/>
    <n v="5"/>
    <n v="62"/>
    <n v="188"/>
    <n v="2024"/>
    <x v="1"/>
    <s v="商品详情页头图推荐"/>
    <x v="1"/>
    <x v="1"/>
  </r>
  <r>
    <x v="1"/>
    <x v="40"/>
    <x v="1"/>
    <x v="3"/>
    <x v="12"/>
    <n v="31"/>
    <n v="20"/>
    <n v="0"/>
    <n v="0"/>
    <n v="0"/>
    <n v="0"/>
    <n v="0"/>
    <n v="0"/>
    <n v="26"/>
    <n v="14"/>
    <n v="2024"/>
    <x v="1"/>
    <s v="店铺超链"/>
    <x v="1"/>
    <x v="1"/>
  </r>
  <r>
    <x v="1"/>
    <x v="40"/>
    <x v="1"/>
    <x v="4"/>
    <x v="13"/>
    <n v="300"/>
    <n v="192"/>
    <n v="11"/>
    <n v="4"/>
    <n v="4843"/>
    <n v="3"/>
    <n v="4843"/>
    <n v="3"/>
    <n v="120"/>
    <n v="249"/>
    <n v="2024"/>
    <x v="1"/>
    <s v="其他猜你喜欢"/>
    <x v="1"/>
    <x v="1"/>
  </r>
  <r>
    <x v="1"/>
    <x v="40"/>
    <x v="1"/>
    <x v="4"/>
    <x v="15"/>
    <n v="4"/>
    <n v="2"/>
    <n v="0"/>
    <n v="0"/>
    <n v="0"/>
    <n v="0"/>
    <n v="0"/>
    <n v="0"/>
    <n v="0"/>
    <n v="3"/>
    <n v="2024"/>
    <x v="1"/>
    <s v="购中推荐"/>
    <x v="1"/>
    <x v="1"/>
  </r>
  <r>
    <x v="1"/>
    <x v="40"/>
    <x v="1"/>
    <x v="4"/>
    <x v="16"/>
    <n v="22"/>
    <n v="9"/>
    <n v="0"/>
    <n v="1"/>
    <n v="0"/>
    <n v="0"/>
    <n v="0"/>
    <n v="0"/>
    <n v="0"/>
    <n v="21"/>
    <n v="2024"/>
    <x v="1"/>
    <s v="购后推荐"/>
    <x v="1"/>
    <x v="1"/>
  </r>
  <r>
    <x v="1"/>
    <x v="40"/>
    <x v="1"/>
    <x v="4"/>
    <x v="17"/>
    <n v="2953"/>
    <n v="1991"/>
    <n v="86"/>
    <n v="37"/>
    <n v="36434.01"/>
    <n v="19"/>
    <n v="24510.5"/>
    <n v="12"/>
    <n v="378"/>
    <n v="2953"/>
    <n v="2024"/>
    <x v="1"/>
    <s v="首页推荐-微详情"/>
    <x v="1"/>
    <x v="1"/>
  </r>
  <r>
    <x v="1"/>
    <x v="40"/>
    <x v="1"/>
    <x v="4"/>
    <x v="18"/>
    <n v="163"/>
    <n v="82"/>
    <n v="1"/>
    <n v="0"/>
    <n v="1303"/>
    <n v="1"/>
    <n v="1303"/>
    <n v="1"/>
    <n v="0"/>
    <n v="14"/>
    <n v="2024"/>
    <x v="1"/>
    <s v="首页推荐-直播"/>
    <x v="1"/>
    <x v="1"/>
  </r>
  <r>
    <x v="1"/>
    <x v="40"/>
    <x v="1"/>
    <x v="4"/>
    <x v="19"/>
    <n v="77"/>
    <n v="38"/>
    <n v="0"/>
    <n v="0"/>
    <n v="0"/>
    <n v="0"/>
    <n v="0"/>
    <n v="0"/>
    <n v="0"/>
    <n v="1"/>
    <n v="2024"/>
    <x v="1"/>
    <s v="首页推荐-短视频"/>
    <x v="1"/>
    <x v="1"/>
  </r>
  <r>
    <x v="1"/>
    <x v="40"/>
    <x v="1"/>
    <x v="12"/>
    <x v="42"/>
    <n v="954"/>
    <n v="717"/>
    <n v="52"/>
    <n v="12"/>
    <n v="46373"/>
    <n v="20"/>
    <n v="44693"/>
    <n v="19"/>
    <n v="254"/>
    <n v="875"/>
    <n v="2024"/>
    <x v="1"/>
    <s v="手淘搜索-商品及其他"/>
    <x v="1"/>
    <x v="1"/>
  </r>
  <r>
    <x v="1"/>
    <x v="40"/>
    <x v="1"/>
    <x v="12"/>
    <x v="43"/>
    <n v="15"/>
    <n v="8"/>
    <n v="2"/>
    <n v="0"/>
    <n v="0"/>
    <n v="0"/>
    <n v="0"/>
    <n v="0"/>
    <n v="2"/>
    <n v="15"/>
    <n v="2024"/>
    <x v="1"/>
    <s v="手淘搜索-直播"/>
    <x v="1"/>
    <x v="1"/>
  </r>
  <r>
    <x v="1"/>
    <x v="40"/>
    <x v="1"/>
    <x v="12"/>
    <x v="44"/>
    <n v="21"/>
    <n v="10"/>
    <n v="0"/>
    <n v="0"/>
    <n v="0"/>
    <n v="0"/>
    <n v="0"/>
    <n v="0"/>
    <n v="1"/>
    <n v="6"/>
    <n v="2024"/>
    <x v="1"/>
    <s v="手淘搜索-短视频"/>
    <x v="1"/>
    <x v="1"/>
  </r>
  <r>
    <x v="1"/>
    <x v="40"/>
    <x v="1"/>
    <x v="11"/>
    <x v="37"/>
    <n v="10"/>
    <n v="9"/>
    <n v="0"/>
    <n v="0"/>
    <n v="0"/>
    <n v="0"/>
    <n v="0"/>
    <n v="0"/>
    <n v="1"/>
    <n v="10"/>
    <n v="2024"/>
    <x v="1"/>
    <s v="淘特其他渠道"/>
    <x v="1"/>
    <x v="1"/>
  </r>
  <r>
    <x v="1"/>
    <x v="40"/>
    <x v="1"/>
    <x v="11"/>
    <x v="39"/>
    <n v="1"/>
    <n v="1"/>
    <n v="0"/>
    <n v="0"/>
    <n v="0"/>
    <n v="0"/>
    <n v="0"/>
    <n v="0"/>
    <n v="0"/>
    <n v="1"/>
    <n v="2024"/>
    <x v="1"/>
    <s v="淘特搜索"/>
    <x v="1"/>
    <x v="1"/>
  </r>
  <r>
    <x v="1"/>
    <x v="40"/>
    <x v="0"/>
    <x v="5"/>
    <x v="41"/>
    <n v="2430"/>
    <n v="2235"/>
    <n v="2"/>
    <n v="0"/>
    <n v="0"/>
    <n v="0"/>
    <n v="0"/>
    <n v="0"/>
    <n v="15"/>
    <n v="1592"/>
    <n v="2024"/>
    <x v="1"/>
    <s v="超级直播"/>
    <x v="1"/>
    <x v="1"/>
  </r>
  <r>
    <x v="1"/>
    <x v="40"/>
    <x v="0"/>
    <x v="6"/>
    <x v="48"/>
    <n v="1069"/>
    <n v="892"/>
    <n v="0"/>
    <n v="0"/>
    <n v="0"/>
    <n v="0"/>
    <n v="0"/>
    <n v="0"/>
    <n v="1069"/>
    <n v="113"/>
    <n v="2024"/>
    <x v="1"/>
    <s v="Showmax"/>
    <x v="1"/>
    <x v="1"/>
  </r>
  <r>
    <x v="1"/>
    <x v="40"/>
    <x v="0"/>
    <x v="6"/>
    <x v="45"/>
    <n v="1"/>
    <n v="1"/>
    <n v="0"/>
    <n v="0"/>
    <n v="0"/>
    <n v="0"/>
    <n v="0"/>
    <n v="0"/>
    <n v="0"/>
    <n v="0"/>
    <n v="2024"/>
    <x v="1"/>
    <s v="品牌定制"/>
    <x v="1"/>
    <x v="1"/>
  </r>
  <r>
    <x v="1"/>
    <x v="40"/>
    <x v="0"/>
    <x v="6"/>
    <x v="30"/>
    <n v="1259"/>
    <n v="969"/>
    <n v="0"/>
    <n v="0"/>
    <n v="0"/>
    <n v="0"/>
    <n v="0"/>
    <n v="0"/>
    <n v="1259"/>
    <n v="198"/>
    <n v="2024"/>
    <x v="1"/>
    <s v="品牌特秀"/>
    <x v="1"/>
    <x v="1"/>
  </r>
  <r>
    <x v="1"/>
    <x v="40"/>
    <x v="0"/>
    <x v="6"/>
    <x v="21"/>
    <n v="652"/>
    <n v="542"/>
    <n v="18"/>
    <n v="5"/>
    <n v="15475"/>
    <n v="6"/>
    <n v="13795"/>
    <n v="5"/>
    <n v="652"/>
    <n v="347"/>
    <n v="2024"/>
    <x v="1"/>
    <s v="品销宝-品牌专区"/>
    <x v="1"/>
    <x v="1"/>
  </r>
  <r>
    <x v="1"/>
    <x v="40"/>
    <x v="0"/>
    <x v="0"/>
    <x v="2"/>
    <n v="2740"/>
    <n v="2346"/>
    <n v="57"/>
    <n v="16"/>
    <n v="82287"/>
    <n v="23"/>
    <n v="59958"/>
    <n v="19"/>
    <n v="248"/>
    <n v="2718"/>
    <n v="2024"/>
    <x v="1"/>
    <s v="直通车"/>
    <x v="1"/>
    <x v="1"/>
  </r>
  <r>
    <x v="1"/>
    <x v="40"/>
    <x v="0"/>
    <x v="0"/>
    <x v="0"/>
    <n v="3253"/>
    <n v="1579"/>
    <n v="75"/>
    <n v="35"/>
    <n v="69361"/>
    <n v="26"/>
    <n v="63877"/>
    <n v="23"/>
    <n v="254"/>
    <n v="3249"/>
    <n v="2024"/>
    <x v="1"/>
    <s v="万相台"/>
    <x v="1"/>
    <x v="1"/>
  </r>
  <r>
    <x v="1"/>
    <x v="40"/>
    <x v="0"/>
    <x v="0"/>
    <x v="1"/>
    <n v="12478"/>
    <n v="6374"/>
    <n v="67"/>
    <n v="46"/>
    <n v="38747"/>
    <n v="17"/>
    <n v="32293"/>
    <n v="15"/>
    <n v="362"/>
    <n v="12476"/>
    <n v="2024"/>
    <x v="1"/>
    <s v="引力魔方"/>
    <x v="1"/>
    <x v="1"/>
  </r>
  <r>
    <x v="1"/>
    <x v="40"/>
    <x v="0"/>
    <x v="7"/>
    <x v="22"/>
    <n v="1"/>
    <n v="1"/>
    <n v="0"/>
    <n v="0"/>
    <n v="0"/>
    <n v="0"/>
    <n v="0"/>
    <n v="0"/>
    <n v="0"/>
    <n v="1"/>
    <n v="2024"/>
    <x v="1"/>
    <s v="UD效果投放"/>
    <x v="1"/>
    <x v="1"/>
  </r>
  <r>
    <x v="1"/>
    <x v="40"/>
    <x v="0"/>
    <x v="7"/>
    <x v="23"/>
    <n v="2"/>
    <n v="0"/>
    <n v="0"/>
    <n v="0"/>
    <n v="0"/>
    <n v="0"/>
    <n v="0"/>
    <n v="0"/>
    <n v="0"/>
    <n v="2"/>
    <n v="2024"/>
    <x v="1"/>
    <s v="流量宝"/>
    <x v="1"/>
    <x v="1"/>
  </r>
  <r>
    <x v="1"/>
    <x v="40"/>
    <x v="0"/>
    <x v="7"/>
    <x v="24"/>
    <n v="315"/>
    <n v="99"/>
    <n v="2"/>
    <n v="1"/>
    <n v="3304"/>
    <n v="1"/>
    <n v="3304"/>
    <n v="1"/>
    <n v="18"/>
    <n v="303"/>
    <n v="2024"/>
    <x v="1"/>
    <s v="淘宝客"/>
    <x v="1"/>
    <x v="1"/>
  </r>
  <r>
    <x v="1"/>
    <x v="41"/>
    <x v="1"/>
    <x v="8"/>
    <x v="25"/>
    <n v="120"/>
    <n v="50"/>
    <n v="4"/>
    <n v="4"/>
    <n v="1498"/>
    <n v="1"/>
    <n v="1498"/>
    <n v="1"/>
    <n v="18"/>
    <n v="111"/>
    <n v="2024"/>
    <x v="1"/>
    <s v="主会场"/>
    <x v="1"/>
    <x v="1"/>
  </r>
  <r>
    <x v="1"/>
    <x v="41"/>
    <x v="1"/>
    <x v="8"/>
    <x v="26"/>
    <n v="2"/>
    <n v="1"/>
    <n v="0"/>
    <n v="0"/>
    <n v="0"/>
    <n v="0"/>
    <n v="0"/>
    <n v="0"/>
    <n v="0"/>
    <n v="2"/>
    <n v="2024"/>
    <x v="1"/>
    <s v="榜单会场"/>
    <x v="1"/>
    <x v="1"/>
  </r>
  <r>
    <x v="1"/>
    <x v="41"/>
    <x v="1"/>
    <x v="2"/>
    <x v="4"/>
    <n v="1"/>
    <n v="1"/>
    <n v="0"/>
    <n v="0"/>
    <n v="0"/>
    <n v="0"/>
    <n v="0"/>
    <n v="0"/>
    <n v="0"/>
    <n v="1"/>
    <n v="2024"/>
    <x v="1"/>
    <s v="手机浏览器访问天猫"/>
    <x v="1"/>
    <x v="1"/>
  </r>
  <r>
    <x v="1"/>
    <x v="41"/>
    <x v="1"/>
    <x v="2"/>
    <x v="5"/>
    <n v="86"/>
    <n v="32"/>
    <n v="3"/>
    <n v="0"/>
    <n v="15069.03"/>
    <n v="3"/>
    <n v="15069.03"/>
    <n v="3"/>
    <n v="21"/>
    <n v="84"/>
    <n v="2024"/>
    <x v="1"/>
    <s v="手猫免费其他"/>
    <x v="1"/>
    <x v="1"/>
  </r>
  <r>
    <x v="1"/>
    <x v="41"/>
    <x v="1"/>
    <x v="2"/>
    <x v="6"/>
    <n v="2"/>
    <n v="0"/>
    <n v="0"/>
    <n v="0"/>
    <n v="0"/>
    <n v="0"/>
    <n v="0"/>
    <n v="0"/>
    <n v="0"/>
    <n v="2"/>
    <n v="2024"/>
    <x v="1"/>
    <s v="手猫其他店铺"/>
    <x v="1"/>
    <x v="1"/>
  </r>
  <r>
    <x v="1"/>
    <x v="41"/>
    <x v="1"/>
    <x v="2"/>
    <x v="7"/>
    <n v="30"/>
    <n v="9"/>
    <n v="0"/>
    <n v="0"/>
    <n v="0"/>
    <n v="0"/>
    <n v="0"/>
    <n v="0"/>
    <n v="3"/>
    <n v="28"/>
    <n v="2024"/>
    <x v="1"/>
    <s v="手猫商品详情"/>
    <x v="1"/>
    <x v="1"/>
  </r>
  <r>
    <x v="1"/>
    <x v="41"/>
    <x v="1"/>
    <x v="2"/>
    <x v="8"/>
    <n v="49"/>
    <n v="28"/>
    <n v="3"/>
    <n v="0"/>
    <n v="3368.03"/>
    <n v="1"/>
    <n v="3368.03"/>
    <n v="1"/>
    <n v="17"/>
    <n v="44"/>
    <n v="2024"/>
    <x v="1"/>
    <s v="手猫搜索"/>
    <x v="1"/>
    <x v="1"/>
  </r>
  <r>
    <x v="1"/>
    <x v="41"/>
    <x v="1"/>
    <x v="2"/>
    <x v="9"/>
    <n v="1"/>
    <n v="1"/>
    <n v="0"/>
    <n v="0"/>
    <n v="0"/>
    <n v="0"/>
    <n v="0"/>
    <n v="0"/>
    <n v="0"/>
    <n v="1"/>
    <n v="2024"/>
    <x v="1"/>
    <s v="手猫旺信聊天"/>
    <x v="1"/>
    <x v="1"/>
  </r>
  <r>
    <x v="1"/>
    <x v="41"/>
    <x v="1"/>
    <x v="2"/>
    <x v="10"/>
    <n v="365"/>
    <n v="185"/>
    <n v="1"/>
    <n v="0"/>
    <n v="0"/>
    <n v="0"/>
    <n v="0"/>
    <n v="0"/>
    <n v="14"/>
    <n v="365"/>
    <n v="2024"/>
    <x v="1"/>
    <s v="手猫首页"/>
    <x v="1"/>
    <x v="1"/>
  </r>
  <r>
    <x v="1"/>
    <x v="41"/>
    <x v="1"/>
    <x v="3"/>
    <x v="11"/>
    <n v="172"/>
    <n v="87"/>
    <n v="11"/>
    <n v="5"/>
    <n v="24628"/>
    <n v="8"/>
    <n v="14639"/>
    <n v="5"/>
    <n v="60"/>
    <n v="150"/>
    <n v="2024"/>
    <x v="1"/>
    <s v="商品详情页头图推荐"/>
    <x v="1"/>
    <x v="1"/>
  </r>
  <r>
    <x v="1"/>
    <x v="41"/>
    <x v="1"/>
    <x v="3"/>
    <x v="12"/>
    <n v="42"/>
    <n v="24"/>
    <n v="4"/>
    <n v="1"/>
    <n v="35187"/>
    <n v="2"/>
    <n v="35187"/>
    <n v="2"/>
    <n v="38"/>
    <n v="25"/>
    <n v="2024"/>
    <x v="1"/>
    <s v="店铺超链"/>
    <x v="1"/>
    <x v="1"/>
  </r>
  <r>
    <x v="1"/>
    <x v="41"/>
    <x v="1"/>
    <x v="4"/>
    <x v="13"/>
    <n v="338"/>
    <n v="240"/>
    <n v="20"/>
    <n v="13"/>
    <n v="8014"/>
    <n v="4"/>
    <n v="6711"/>
    <n v="3"/>
    <n v="112"/>
    <n v="300"/>
    <n v="2024"/>
    <x v="1"/>
    <s v="其他猜你喜欢"/>
    <x v="1"/>
    <x v="1"/>
  </r>
  <r>
    <x v="1"/>
    <x v="41"/>
    <x v="1"/>
    <x v="4"/>
    <x v="15"/>
    <n v="5"/>
    <n v="4"/>
    <n v="0"/>
    <n v="0"/>
    <n v="0"/>
    <n v="0"/>
    <n v="0"/>
    <n v="0"/>
    <n v="0"/>
    <n v="5"/>
    <n v="2024"/>
    <x v="1"/>
    <s v="购中推荐"/>
    <x v="1"/>
    <x v="1"/>
  </r>
  <r>
    <x v="1"/>
    <x v="41"/>
    <x v="1"/>
    <x v="4"/>
    <x v="16"/>
    <n v="25"/>
    <n v="9"/>
    <n v="1"/>
    <n v="0"/>
    <n v="0"/>
    <n v="0"/>
    <n v="0"/>
    <n v="0"/>
    <n v="0"/>
    <n v="25"/>
    <n v="2024"/>
    <x v="1"/>
    <s v="购后推荐"/>
    <x v="1"/>
    <x v="1"/>
  </r>
  <r>
    <x v="1"/>
    <x v="41"/>
    <x v="1"/>
    <x v="4"/>
    <x v="17"/>
    <n v="3712"/>
    <n v="2573"/>
    <n v="110"/>
    <n v="47"/>
    <n v="51563"/>
    <n v="22"/>
    <n v="35141"/>
    <n v="16"/>
    <n v="432"/>
    <n v="3712"/>
    <n v="2024"/>
    <x v="1"/>
    <s v="首页推荐-微详情"/>
    <x v="1"/>
    <x v="1"/>
  </r>
  <r>
    <x v="1"/>
    <x v="41"/>
    <x v="1"/>
    <x v="4"/>
    <x v="18"/>
    <n v="351"/>
    <n v="231"/>
    <n v="0"/>
    <n v="0"/>
    <n v="0"/>
    <n v="0"/>
    <n v="0"/>
    <n v="0"/>
    <n v="0"/>
    <n v="8"/>
    <n v="2024"/>
    <x v="1"/>
    <s v="首页推荐-直播"/>
    <x v="1"/>
    <x v="1"/>
  </r>
  <r>
    <x v="1"/>
    <x v="41"/>
    <x v="1"/>
    <x v="4"/>
    <x v="19"/>
    <n v="85"/>
    <n v="47"/>
    <n v="0"/>
    <n v="0"/>
    <n v="0"/>
    <n v="0"/>
    <n v="0"/>
    <n v="0"/>
    <n v="0"/>
    <n v="1"/>
    <n v="2024"/>
    <x v="1"/>
    <s v="首页推荐-短视频"/>
    <x v="1"/>
    <x v="1"/>
  </r>
  <r>
    <x v="1"/>
    <x v="41"/>
    <x v="1"/>
    <x v="12"/>
    <x v="42"/>
    <n v="931"/>
    <n v="693"/>
    <n v="62"/>
    <n v="13"/>
    <n v="44055.5"/>
    <n v="16"/>
    <n v="40695.5"/>
    <n v="16"/>
    <n v="260"/>
    <n v="848"/>
    <n v="2024"/>
    <x v="1"/>
    <s v="手淘搜索-商品及其他"/>
    <x v="1"/>
    <x v="1"/>
  </r>
  <r>
    <x v="1"/>
    <x v="41"/>
    <x v="1"/>
    <x v="12"/>
    <x v="43"/>
    <n v="14"/>
    <n v="9"/>
    <n v="1"/>
    <n v="0"/>
    <n v="0"/>
    <n v="0"/>
    <n v="0"/>
    <n v="0"/>
    <n v="2"/>
    <n v="8"/>
    <n v="2024"/>
    <x v="1"/>
    <s v="手淘搜索-直播"/>
    <x v="1"/>
    <x v="1"/>
  </r>
  <r>
    <x v="1"/>
    <x v="41"/>
    <x v="1"/>
    <x v="12"/>
    <x v="44"/>
    <n v="17"/>
    <n v="4"/>
    <n v="0"/>
    <n v="0"/>
    <n v="0"/>
    <n v="0"/>
    <n v="0"/>
    <n v="0"/>
    <n v="2"/>
    <n v="7"/>
    <n v="2024"/>
    <x v="1"/>
    <s v="手淘搜索-短视频"/>
    <x v="1"/>
    <x v="1"/>
  </r>
  <r>
    <x v="1"/>
    <x v="41"/>
    <x v="1"/>
    <x v="11"/>
    <x v="37"/>
    <n v="13"/>
    <n v="11"/>
    <n v="0"/>
    <n v="0"/>
    <n v="0"/>
    <n v="0"/>
    <n v="0"/>
    <n v="0"/>
    <n v="1"/>
    <n v="13"/>
    <n v="2024"/>
    <x v="1"/>
    <s v="淘特其他渠道"/>
    <x v="1"/>
    <x v="1"/>
  </r>
  <r>
    <x v="1"/>
    <x v="41"/>
    <x v="0"/>
    <x v="5"/>
    <x v="41"/>
    <n v="3695"/>
    <n v="3479"/>
    <n v="0"/>
    <n v="0"/>
    <n v="0"/>
    <n v="0"/>
    <n v="0"/>
    <n v="0"/>
    <n v="9"/>
    <n v="2434"/>
    <n v="2024"/>
    <x v="1"/>
    <s v="超级直播"/>
    <x v="1"/>
    <x v="1"/>
  </r>
  <r>
    <x v="1"/>
    <x v="41"/>
    <x v="0"/>
    <x v="6"/>
    <x v="48"/>
    <n v="788"/>
    <n v="634"/>
    <n v="0"/>
    <n v="0"/>
    <n v="0"/>
    <n v="0"/>
    <n v="0"/>
    <n v="0"/>
    <n v="788"/>
    <n v="92"/>
    <n v="2024"/>
    <x v="1"/>
    <s v="Showmax"/>
    <x v="1"/>
    <x v="1"/>
  </r>
  <r>
    <x v="1"/>
    <x v="41"/>
    <x v="0"/>
    <x v="6"/>
    <x v="30"/>
    <n v="1173"/>
    <n v="877"/>
    <n v="0"/>
    <n v="0"/>
    <n v="0"/>
    <n v="0"/>
    <n v="0"/>
    <n v="0"/>
    <n v="1173"/>
    <n v="152"/>
    <n v="2024"/>
    <x v="1"/>
    <s v="品牌特秀"/>
    <x v="1"/>
    <x v="1"/>
  </r>
  <r>
    <x v="1"/>
    <x v="41"/>
    <x v="0"/>
    <x v="6"/>
    <x v="21"/>
    <n v="613"/>
    <n v="483"/>
    <n v="25"/>
    <n v="4"/>
    <n v="37626"/>
    <n v="4"/>
    <n v="37626"/>
    <n v="4"/>
    <n v="613"/>
    <n v="298"/>
    <n v="2024"/>
    <x v="1"/>
    <s v="品销宝-品牌专区"/>
    <x v="1"/>
    <x v="1"/>
  </r>
  <r>
    <x v="1"/>
    <x v="41"/>
    <x v="0"/>
    <x v="6"/>
    <x v="49"/>
    <n v="1"/>
    <n v="1"/>
    <n v="0"/>
    <n v="0"/>
    <n v="0"/>
    <n v="0"/>
    <n v="0"/>
    <n v="0"/>
    <n v="0"/>
    <n v="0"/>
    <n v="2024"/>
    <x v="1"/>
    <s v="超级全域通"/>
    <x v="1"/>
    <x v="1"/>
  </r>
  <r>
    <x v="1"/>
    <x v="41"/>
    <x v="0"/>
    <x v="0"/>
    <x v="2"/>
    <n v="2981"/>
    <n v="2588"/>
    <n v="61"/>
    <n v="29"/>
    <n v="75314"/>
    <n v="20"/>
    <n v="45272"/>
    <n v="16"/>
    <n v="225"/>
    <n v="2964"/>
    <n v="2024"/>
    <x v="1"/>
    <s v="直通车"/>
    <x v="1"/>
    <x v="1"/>
  </r>
  <r>
    <x v="1"/>
    <x v="41"/>
    <x v="0"/>
    <x v="0"/>
    <x v="0"/>
    <n v="2925"/>
    <n v="1275"/>
    <n v="71"/>
    <n v="30"/>
    <n v="68167.13"/>
    <n v="20"/>
    <n v="54426.13"/>
    <n v="15"/>
    <n v="229"/>
    <n v="2919"/>
    <n v="2024"/>
    <x v="1"/>
    <s v="万相台"/>
    <x v="1"/>
    <x v="1"/>
  </r>
  <r>
    <x v="1"/>
    <x v="41"/>
    <x v="0"/>
    <x v="0"/>
    <x v="1"/>
    <n v="11123"/>
    <n v="5999"/>
    <n v="61"/>
    <n v="45"/>
    <n v="44181"/>
    <n v="10"/>
    <n v="11538"/>
    <n v="7"/>
    <n v="311"/>
    <n v="11121"/>
    <n v="2024"/>
    <x v="1"/>
    <s v="引力魔方"/>
    <x v="1"/>
    <x v="1"/>
  </r>
  <r>
    <x v="1"/>
    <x v="41"/>
    <x v="0"/>
    <x v="7"/>
    <x v="23"/>
    <n v="5"/>
    <n v="0"/>
    <n v="0"/>
    <n v="0"/>
    <n v="0"/>
    <n v="0"/>
    <n v="0"/>
    <n v="0"/>
    <n v="1"/>
    <n v="5"/>
    <n v="2024"/>
    <x v="1"/>
    <s v="流量宝"/>
    <x v="1"/>
    <x v="1"/>
  </r>
  <r>
    <x v="1"/>
    <x v="41"/>
    <x v="0"/>
    <x v="7"/>
    <x v="24"/>
    <n v="326"/>
    <n v="105"/>
    <n v="2"/>
    <n v="2"/>
    <n v="12414.67"/>
    <n v="4"/>
    <n v="7714.67"/>
    <n v="3"/>
    <n v="19"/>
    <n v="311"/>
    <n v="2024"/>
    <x v="1"/>
    <s v="淘宝客"/>
    <x v="1"/>
    <x v="1"/>
  </r>
  <r>
    <x v="1"/>
    <x v="42"/>
    <x v="1"/>
    <x v="8"/>
    <x v="25"/>
    <n v="116"/>
    <n v="47"/>
    <n v="4"/>
    <n v="1"/>
    <n v="9370"/>
    <n v="2"/>
    <n v="5390"/>
    <n v="2"/>
    <n v="18"/>
    <n v="107"/>
    <n v="2024"/>
    <x v="1"/>
    <s v="主会场"/>
    <x v="1"/>
    <x v="1"/>
  </r>
  <r>
    <x v="1"/>
    <x v="42"/>
    <x v="1"/>
    <x v="2"/>
    <x v="4"/>
    <n v="1"/>
    <n v="1"/>
    <n v="0"/>
    <n v="0"/>
    <n v="0"/>
    <n v="0"/>
    <n v="0"/>
    <n v="0"/>
    <n v="0"/>
    <n v="1"/>
    <n v="2024"/>
    <x v="1"/>
    <s v="手机浏览器访问天猫"/>
    <x v="1"/>
    <x v="1"/>
  </r>
  <r>
    <x v="1"/>
    <x v="42"/>
    <x v="1"/>
    <x v="2"/>
    <x v="5"/>
    <n v="91"/>
    <n v="47"/>
    <n v="2"/>
    <n v="0"/>
    <n v="7830.57"/>
    <n v="3"/>
    <n v="7830.57"/>
    <n v="3"/>
    <n v="27"/>
    <n v="90"/>
    <n v="2024"/>
    <x v="1"/>
    <s v="手猫免费其他"/>
    <x v="1"/>
    <x v="1"/>
  </r>
  <r>
    <x v="1"/>
    <x v="42"/>
    <x v="1"/>
    <x v="2"/>
    <x v="6"/>
    <n v="12"/>
    <n v="2"/>
    <n v="0"/>
    <n v="0"/>
    <n v="0"/>
    <n v="0"/>
    <n v="0"/>
    <n v="0"/>
    <n v="0"/>
    <n v="12"/>
    <n v="2024"/>
    <x v="1"/>
    <s v="手猫其他店铺"/>
    <x v="1"/>
    <x v="1"/>
  </r>
  <r>
    <x v="1"/>
    <x v="42"/>
    <x v="1"/>
    <x v="2"/>
    <x v="7"/>
    <n v="35"/>
    <n v="10"/>
    <n v="0"/>
    <n v="0"/>
    <n v="0"/>
    <n v="0"/>
    <n v="0"/>
    <n v="0"/>
    <n v="4"/>
    <n v="32"/>
    <n v="2024"/>
    <x v="1"/>
    <s v="手猫商品详情"/>
    <x v="1"/>
    <x v="1"/>
  </r>
  <r>
    <x v="1"/>
    <x v="42"/>
    <x v="1"/>
    <x v="2"/>
    <x v="8"/>
    <n v="50"/>
    <n v="30"/>
    <n v="2"/>
    <n v="0"/>
    <n v="7251.76"/>
    <n v="3"/>
    <n v="7251.76"/>
    <n v="3"/>
    <n v="22"/>
    <n v="39"/>
    <n v="2024"/>
    <x v="1"/>
    <s v="手猫搜索"/>
    <x v="1"/>
    <x v="1"/>
  </r>
  <r>
    <x v="1"/>
    <x v="42"/>
    <x v="1"/>
    <x v="2"/>
    <x v="9"/>
    <n v="1"/>
    <n v="0"/>
    <n v="0"/>
    <n v="0"/>
    <n v="0"/>
    <n v="0"/>
    <n v="0"/>
    <n v="0"/>
    <n v="1"/>
    <n v="0"/>
    <n v="2024"/>
    <x v="1"/>
    <s v="手猫旺信聊天"/>
    <x v="1"/>
    <x v="1"/>
  </r>
  <r>
    <x v="1"/>
    <x v="42"/>
    <x v="1"/>
    <x v="2"/>
    <x v="10"/>
    <n v="373"/>
    <n v="210"/>
    <n v="1"/>
    <n v="0"/>
    <n v="6066.76"/>
    <n v="3"/>
    <n v="6066.76"/>
    <n v="3"/>
    <n v="26"/>
    <n v="373"/>
    <n v="2024"/>
    <x v="1"/>
    <s v="手猫首页"/>
    <x v="1"/>
    <x v="1"/>
  </r>
  <r>
    <x v="1"/>
    <x v="42"/>
    <x v="1"/>
    <x v="3"/>
    <x v="11"/>
    <n v="284"/>
    <n v="179"/>
    <n v="19"/>
    <n v="6"/>
    <n v="36348.949999999997"/>
    <n v="9"/>
    <n v="17330.95"/>
    <n v="6"/>
    <n v="74"/>
    <n v="271"/>
    <n v="2024"/>
    <x v="1"/>
    <s v="商品详情页头图推荐"/>
    <x v="1"/>
    <x v="1"/>
  </r>
  <r>
    <x v="1"/>
    <x v="42"/>
    <x v="1"/>
    <x v="3"/>
    <x v="12"/>
    <n v="31"/>
    <n v="19"/>
    <n v="3"/>
    <n v="0"/>
    <n v="0"/>
    <n v="0"/>
    <n v="0"/>
    <n v="0"/>
    <n v="28"/>
    <n v="15"/>
    <n v="2024"/>
    <x v="1"/>
    <s v="店铺超链"/>
    <x v="1"/>
    <x v="1"/>
  </r>
  <r>
    <x v="1"/>
    <x v="42"/>
    <x v="1"/>
    <x v="4"/>
    <x v="13"/>
    <n v="570"/>
    <n v="468"/>
    <n v="22"/>
    <n v="15"/>
    <n v="7288.44"/>
    <n v="4"/>
    <n v="7288.44"/>
    <n v="4"/>
    <n v="182"/>
    <n v="525"/>
    <n v="2024"/>
    <x v="1"/>
    <s v="其他猜你喜欢"/>
    <x v="1"/>
    <x v="1"/>
  </r>
  <r>
    <x v="1"/>
    <x v="42"/>
    <x v="1"/>
    <x v="4"/>
    <x v="15"/>
    <n v="3"/>
    <n v="3"/>
    <n v="0"/>
    <n v="0"/>
    <n v="0"/>
    <n v="0"/>
    <n v="0"/>
    <n v="0"/>
    <n v="1"/>
    <n v="3"/>
    <n v="2024"/>
    <x v="1"/>
    <s v="购中推荐"/>
    <x v="1"/>
    <x v="1"/>
  </r>
  <r>
    <x v="1"/>
    <x v="42"/>
    <x v="1"/>
    <x v="4"/>
    <x v="16"/>
    <n v="23"/>
    <n v="12"/>
    <n v="0"/>
    <n v="0"/>
    <n v="0"/>
    <n v="0"/>
    <n v="0"/>
    <n v="0"/>
    <n v="1"/>
    <n v="23"/>
    <n v="2024"/>
    <x v="1"/>
    <s v="购后推荐"/>
    <x v="1"/>
    <x v="1"/>
  </r>
  <r>
    <x v="1"/>
    <x v="42"/>
    <x v="1"/>
    <x v="4"/>
    <x v="17"/>
    <n v="9128"/>
    <n v="7872"/>
    <n v="160"/>
    <n v="80"/>
    <n v="90207.44"/>
    <n v="36"/>
    <n v="48405.440000000002"/>
    <n v="22"/>
    <n v="844"/>
    <n v="9128"/>
    <n v="2024"/>
    <x v="1"/>
    <s v="首页推荐-微详情"/>
    <x v="1"/>
    <x v="1"/>
  </r>
  <r>
    <x v="1"/>
    <x v="42"/>
    <x v="1"/>
    <x v="4"/>
    <x v="18"/>
    <n v="5"/>
    <n v="2"/>
    <n v="0"/>
    <n v="0"/>
    <n v="0"/>
    <n v="0"/>
    <n v="0"/>
    <n v="0"/>
    <n v="0"/>
    <n v="1"/>
    <n v="2024"/>
    <x v="1"/>
    <s v="首页推荐-直播"/>
    <x v="1"/>
    <x v="1"/>
  </r>
  <r>
    <x v="1"/>
    <x v="42"/>
    <x v="1"/>
    <x v="4"/>
    <x v="19"/>
    <n v="75"/>
    <n v="32"/>
    <n v="0"/>
    <n v="0"/>
    <n v="0"/>
    <n v="0"/>
    <n v="0"/>
    <n v="0"/>
    <n v="0"/>
    <n v="0"/>
    <n v="2024"/>
    <x v="1"/>
    <s v="首页推荐-短视频"/>
    <x v="1"/>
    <x v="1"/>
  </r>
  <r>
    <x v="1"/>
    <x v="42"/>
    <x v="1"/>
    <x v="12"/>
    <x v="42"/>
    <n v="903"/>
    <n v="688"/>
    <n v="80"/>
    <n v="11"/>
    <n v="65691"/>
    <n v="24"/>
    <n v="63393.5"/>
    <n v="24"/>
    <n v="257"/>
    <n v="825"/>
    <n v="2024"/>
    <x v="1"/>
    <s v="手淘搜索-商品及其他"/>
    <x v="1"/>
    <x v="1"/>
  </r>
  <r>
    <x v="1"/>
    <x v="42"/>
    <x v="1"/>
    <x v="12"/>
    <x v="44"/>
    <n v="23"/>
    <n v="13"/>
    <n v="1"/>
    <n v="0"/>
    <n v="4168"/>
    <n v="2"/>
    <n v="4168"/>
    <n v="2"/>
    <n v="4"/>
    <n v="8"/>
    <n v="2024"/>
    <x v="1"/>
    <s v="手淘搜索-短视频"/>
    <x v="1"/>
    <x v="1"/>
  </r>
  <r>
    <x v="1"/>
    <x v="42"/>
    <x v="1"/>
    <x v="11"/>
    <x v="37"/>
    <n v="13"/>
    <n v="12"/>
    <n v="0"/>
    <n v="0"/>
    <n v="0"/>
    <n v="0"/>
    <n v="0"/>
    <n v="0"/>
    <n v="0"/>
    <n v="13"/>
    <n v="2024"/>
    <x v="1"/>
    <s v="淘特其他渠道"/>
    <x v="1"/>
    <x v="1"/>
  </r>
  <r>
    <x v="1"/>
    <x v="42"/>
    <x v="0"/>
    <x v="5"/>
    <x v="41"/>
    <n v="19"/>
    <n v="14"/>
    <n v="0"/>
    <n v="0"/>
    <n v="0"/>
    <n v="0"/>
    <n v="0"/>
    <n v="0"/>
    <n v="0"/>
    <n v="16"/>
    <n v="2024"/>
    <x v="1"/>
    <s v="超级直播"/>
    <x v="1"/>
    <x v="1"/>
  </r>
  <r>
    <x v="1"/>
    <x v="42"/>
    <x v="0"/>
    <x v="6"/>
    <x v="48"/>
    <n v="752"/>
    <n v="590"/>
    <n v="0"/>
    <n v="0"/>
    <n v="0"/>
    <n v="0"/>
    <n v="0"/>
    <n v="0"/>
    <n v="752"/>
    <n v="78"/>
    <n v="2024"/>
    <x v="1"/>
    <s v="Showmax"/>
    <x v="1"/>
    <x v="1"/>
  </r>
  <r>
    <x v="1"/>
    <x v="42"/>
    <x v="0"/>
    <x v="6"/>
    <x v="30"/>
    <n v="1100"/>
    <n v="843"/>
    <n v="0"/>
    <n v="0"/>
    <n v="0"/>
    <n v="0"/>
    <n v="0"/>
    <n v="0"/>
    <n v="1100"/>
    <n v="167"/>
    <n v="2024"/>
    <x v="1"/>
    <s v="品牌特秀"/>
    <x v="1"/>
    <x v="1"/>
  </r>
  <r>
    <x v="1"/>
    <x v="42"/>
    <x v="0"/>
    <x v="6"/>
    <x v="21"/>
    <n v="676"/>
    <n v="556"/>
    <n v="19"/>
    <n v="3"/>
    <n v="28375"/>
    <n v="11"/>
    <n v="26877"/>
    <n v="11"/>
    <n v="676"/>
    <n v="365"/>
    <n v="2024"/>
    <x v="1"/>
    <s v="品销宝-品牌专区"/>
    <x v="1"/>
    <x v="1"/>
  </r>
  <r>
    <x v="1"/>
    <x v="42"/>
    <x v="0"/>
    <x v="0"/>
    <x v="2"/>
    <n v="3031"/>
    <n v="2587"/>
    <n v="79"/>
    <n v="18"/>
    <n v="131982"/>
    <n v="34"/>
    <n v="93446.5"/>
    <n v="30"/>
    <n v="245"/>
    <n v="3004"/>
    <n v="2024"/>
    <x v="1"/>
    <s v="直通车"/>
    <x v="1"/>
    <x v="1"/>
  </r>
  <r>
    <x v="1"/>
    <x v="42"/>
    <x v="0"/>
    <x v="0"/>
    <x v="0"/>
    <n v="2933"/>
    <n v="1316"/>
    <n v="82"/>
    <n v="37"/>
    <n v="110993.47"/>
    <n v="33"/>
    <n v="92704.47"/>
    <n v="31"/>
    <n v="220"/>
    <n v="2927"/>
    <n v="2024"/>
    <x v="1"/>
    <s v="万相台"/>
    <x v="1"/>
    <x v="1"/>
  </r>
  <r>
    <x v="1"/>
    <x v="42"/>
    <x v="0"/>
    <x v="0"/>
    <x v="1"/>
    <n v="15309"/>
    <n v="9251"/>
    <n v="50"/>
    <n v="50"/>
    <n v="56767.71"/>
    <n v="18"/>
    <n v="30498.71"/>
    <n v="11"/>
    <n v="351"/>
    <n v="15307"/>
    <n v="2024"/>
    <x v="1"/>
    <s v="引力魔方"/>
    <x v="1"/>
    <x v="1"/>
  </r>
  <r>
    <x v="1"/>
    <x v="42"/>
    <x v="0"/>
    <x v="7"/>
    <x v="22"/>
    <n v="1"/>
    <n v="0"/>
    <n v="0"/>
    <n v="0"/>
    <n v="0"/>
    <n v="0"/>
    <n v="0"/>
    <n v="0"/>
    <n v="0"/>
    <n v="1"/>
    <n v="2024"/>
    <x v="1"/>
    <s v="UD效果投放"/>
    <x v="1"/>
    <x v="1"/>
  </r>
  <r>
    <x v="1"/>
    <x v="42"/>
    <x v="0"/>
    <x v="7"/>
    <x v="23"/>
    <n v="4"/>
    <n v="4"/>
    <n v="1"/>
    <n v="0"/>
    <n v="0"/>
    <n v="0"/>
    <n v="0"/>
    <n v="0"/>
    <n v="2"/>
    <n v="4"/>
    <n v="2024"/>
    <x v="1"/>
    <s v="流量宝"/>
    <x v="1"/>
    <x v="1"/>
  </r>
  <r>
    <x v="1"/>
    <x v="42"/>
    <x v="0"/>
    <x v="7"/>
    <x v="24"/>
    <n v="349"/>
    <n v="119"/>
    <n v="2"/>
    <n v="1"/>
    <n v="10233"/>
    <n v="3"/>
    <n v="10233"/>
    <n v="3"/>
    <n v="11"/>
    <n v="346"/>
    <n v="2024"/>
    <x v="1"/>
    <s v="淘宝客"/>
    <x v="1"/>
    <x v="1"/>
  </r>
  <r>
    <x v="1"/>
    <x v="43"/>
    <x v="1"/>
    <x v="8"/>
    <x v="25"/>
    <n v="5"/>
    <n v="2"/>
    <n v="0"/>
    <n v="0"/>
    <n v="0"/>
    <n v="0"/>
    <n v="0"/>
    <n v="0"/>
    <n v="1"/>
    <n v="4"/>
    <n v="2024"/>
    <x v="1"/>
    <s v="主会场"/>
    <x v="1"/>
    <x v="1"/>
  </r>
  <r>
    <x v="1"/>
    <x v="43"/>
    <x v="1"/>
    <x v="2"/>
    <x v="4"/>
    <n v="2"/>
    <n v="2"/>
    <n v="0"/>
    <n v="0"/>
    <n v="0"/>
    <n v="0"/>
    <n v="0"/>
    <n v="0"/>
    <n v="2"/>
    <n v="0"/>
    <n v="2024"/>
    <x v="1"/>
    <s v="手机浏览器访问天猫"/>
    <x v="1"/>
    <x v="1"/>
  </r>
  <r>
    <x v="1"/>
    <x v="43"/>
    <x v="1"/>
    <x v="2"/>
    <x v="5"/>
    <n v="84"/>
    <n v="38"/>
    <n v="3"/>
    <n v="0"/>
    <n v="6073"/>
    <n v="3"/>
    <n v="6073"/>
    <n v="3"/>
    <n v="17"/>
    <n v="82"/>
    <n v="2024"/>
    <x v="1"/>
    <s v="手猫免费其他"/>
    <x v="1"/>
    <x v="1"/>
  </r>
  <r>
    <x v="1"/>
    <x v="43"/>
    <x v="1"/>
    <x v="2"/>
    <x v="6"/>
    <n v="4"/>
    <n v="1"/>
    <n v="0"/>
    <n v="0"/>
    <n v="0"/>
    <n v="0"/>
    <n v="0"/>
    <n v="0"/>
    <n v="0"/>
    <n v="4"/>
    <n v="2024"/>
    <x v="1"/>
    <s v="手猫其他店铺"/>
    <x v="1"/>
    <x v="1"/>
  </r>
  <r>
    <x v="1"/>
    <x v="43"/>
    <x v="1"/>
    <x v="2"/>
    <x v="7"/>
    <n v="31"/>
    <n v="12"/>
    <n v="1"/>
    <n v="0"/>
    <n v="1498"/>
    <n v="1"/>
    <n v="1498"/>
    <n v="1"/>
    <n v="6"/>
    <n v="30"/>
    <n v="2024"/>
    <x v="1"/>
    <s v="手猫商品详情"/>
    <x v="1"/>
    <x v="1"/>
  </r>
  <r>
    <x v="1"/>
    <x v="43"/>
    <x v="1"/>
    <x v="2"/>
    <x v="8"/>
    <n v="50"/>
    <n v="28"/>
    <n v="1"/>
    <n v="0"/>
    <n v="0"/>
    <n v="0"/>
    <n v="0"/>
    <n v="0"/>
    <n v="19"/>
    <n v="40"/>
    <n v="2024"/>
    <x v="1"/>
    <s v="手猫搜索"/>
    <x v="1"/>
    <x v="1"/>
  </r>
  <r>
    <x v="1"/>
    <x v="43"/>
    <x v="1"/>
    <x v="2"/>
    <x v="9"/>
    <n v="1"/>
    <n v="0"/>
    <n v="0"/>
    <n v="0"/>
    <n v="1780"/>
    <n v="1"/>
    <n v="1780"/>
    <n v="1"/>
    <n v="1"/>
    <n v="1"/>
    <n v="2024"/>
    <x v="1"/>
    <s v="手猫旺信聊天"/>
    <x v="1"/>
    <x v="1"/>
  </r>
  <r>
    <x v="1"/>
    <x v="43"/>
    <x v="1"/>
    <x v="2"/>
    <x v="10"/>
    <n v="410"/>
    <n v="230"/>
    <n v="2"/>
    <n v="0"/>
    <n v="3697"/>
    <n v="2"/>
    <n v="3697"/>
    <n v="2"/>
    <n v="17"/>
    <n v="410"/>
    <n v="2024"/>
    <x v="1"/>
    <s v="手猫首页"/>
    <x v="1"/>
    <x v="1"/>
  </r>
  <r>
    <x v="1"/>
    <x v="43"/>
    <x v="1"/>
    <x v="3"/>
    <x v="11"/>
    <n v="122"/>
    <n v="43"/>
    <n v="5"/>
    <n v="3"/>
    <n v="1498"/>
    <n v="1"/>
    <n v="0"/>
    <n v="0"/>
    <n v="39"/>
    <n v="109"/>
    <n v="2024"/>
    <x v="1"/>
    <s v="商品详情页头图推荐"/>
    <x v="1"/>
    <x v="1"/>
  </r>
  <r>
    <x v="1"/>
    <x v="43"/>
    <x v="1"/>
    <x v="3"/>
    <x v="12"/>
    <n v="41"/>
    <n v="22"/>
    <n v="1"/>
    <n v="1"/>
    <n v="0"/>
    <n v="0"/>
    <n v="0"/>
    <n v="0"/>
    <n v="31"/>
    <n v="22"/>
    <n v="2024"/>
    <x v="1"/>
    <s v="店铺超链"/>
    <x v="1"/>
    <x v="1"/>
  </r>
  <r>
    <x v="1"/>
    <x v="43"/>
    <x v="1"/>
    <x v="4"/>
    <x v="13"/>
    <n v="153"/>
    <n v="69"/>
    <n v="8"/>
    <n v="2"/>
    <n v="0"/>
    <n v="0"/>
    <n v="0"/>
    <n v="0"/>
    <n v="66"/>
    <n v="110"/>
    <n v="2024"/>
    <x v="1"/>
    <s v="其他猜你喜欢"/>
    <x v="1"/>
    <x v="1"/>
  </r>
  <r>
    <x v="1"/>
    <x v="43"/>
    <x v="1"/>
    <x v="4"/>
    <x v="15"/>
    <n v="2"/>
    <n v="1"/>
    <n v="0"/>
    <n v="0"/>
    <n v="0"/>
    <n v="0"/>
    <n v="0"/>
    <n v="0"/>
    <n v="0"/>
    <n v="2"/>
    <n v="2024"/>
    <x v="1"/>
    <s v="购中推荐"/>
    <x v="1"/>
    <x v="1"/>
  </r>
  <r>
    <x v="1"/>
    <x v="43"/>
    <x v="1"/>
    <x v="4"/>
    <x v="16"/>
    <n v="19"/>
    <n v="11"/>
    <n v="0"/>
    <n v="0"/>
    <n v="0"/>
    <n v="0"/>
    <n v="0"/>
    <n v="0"/>
    <n v="0"/>
    <n v="19"/>
    <n v="2024"/>
    <x v="1"/>
    <s v="购后推荐"/>
    <x v="1"/>
    <x v="1"/>
  </r>
  <r>
    <x v="1"/>
    <x v="43"/>
    <x v="1"/>
    <x v="4"/>
    <x v="17"/>
    <n v="1813"/>
    <n v="878"/>
    <n v="52"/>
    <n v="21"/>
    <n v="11286"/>
    <n v="7"/>
    <n v="9788"/>
    <n v="6"/>
    <n v="151"/>
    <n v="1813"/>
    <n v="2024"/>
    <x v="1"/>
    <s v="首页推荐-微详情"/>
    <x v="1"/>
    <x v="1"/>
  </r>
  <r>
    <x v="1"/>
    <x v="43"/>
    <x v="1"/>
    <x v="4"/>
    <x v="18"/>
    <n v="293"/>
    <n v="186"/>
    <n v="0"/>
    <n v="0"/>
    <n v="0"/>
    <n v="0"/>
    <n v="0"/>
    <n v="0"/>
    <n v="2"/>
    <n v="13"/>
    <n v="2024"/>
    <x v="1"/>
    <s v="首页推荐-直播"/>
    <x v="1"/>
    <x v="1"/>
  </r>
  <r>
    <x v="1"/>
    <x v="43"/>
    <x v="1"/>
    <x v="4"/>
    <x v="19"/>
    <n v="72"/>
    <n v="27"/>
    <n v="0"/>
    <n v="0"/>
    <n v="0"/>
    <n v="0"/>
    <n v="0"/>
    <n v="0"/>
    <n v="0"/>
    <n v="0"/>
    <n v="2024"/>
    <x v="1"/>
    <s v="首页推荐-短视频"/>
    <x v="1"/>
    <x v="1"/>
  </r>
  <r>
    <x v="1"/>
    <x v="43"/>
    <x v="1"/>
    <x v="12"/>
    <x v="42"/>
    <n v="884"/>
    <n v="677"/>
    <n v="60"/>
    <n v="14"/>
    <n v="43419"/>
    <n v="12"/>
    <n v="33209"/>
    <n v="9"/>
    <n v="247"/>
    <n v="812"/>
    <n v="2024"/>
    <x v="1"/>
    <s v="手淘搜索-商品及其他"/>
    <x v="1"/>
    <x v="1"/>
  </r>
  <r>
    <x v="1"/>
    <x v="43"/>
    <x v="1"/>
    <x v="12"/>
    <x v="43"/>
    <n v="12"/>
    <n v="6"/>
    <n v="2"/>
    <n v="0"/>
    <n v="0"/>
    <n v="0"/>
    <n v="0"/>
    <n v="0"/>
    <n v="1"/>
    <n v="9"/>
    <n v="2024"/>
    <x v="1"/>
    <s v="手淘搜索-直播"/>
    <x v="1"/>
    <x v="1"/>
  </r>
  <r>
    <x v="1"/>
    <x v="43"/>
    <x v="1"/>
    <x v="12"/>
    <x v="44"/>
    <n v="40"/>
    <n v="25"/>
    <n v="1"/>
    <n v="0"/>
    <n v="0"/>
    <n v="0"/>
    <n v="0"/>
    <n v="0"/>
    <n v="3"/>
    <n v="8"/>
    <n v="2024"/>
    <x v="1"/>
    <s v="手淘搜索-短视频"/>
    <x v="1"/>
    <x v="1"/>
  </r>
  <r>
    <x v="1"/>
    <x v="43"/>
    <x v="1"/>
    <x v="11"/>
    <x v="37"/>
    <n v="10"/>
    <n v="10"/>
    <n v="0"/>
    <n v="1"/>
    <n v="0"/>
    <n v="0"/>
    <n v="0"/>
    <n v="0"/>
    <n v="0"/>
    <n v="10"/>
    <n v="2024"/>
    <x v="1"/>
    <s v="淘特其他渠道"/>
    <x v="1"/>
    <x v="1"/>
  </r>
  <r>
    <x v="1"/>
    <x v="43"/>
    <x v="0"/>
    <x v="5"/>
    <x v="47"/>
    <n v="1"/>
    <n v="1"/>
    <n v="0"/>
    <n v="0"/>
    <n v="0"/>
    <n v="0"/>
    <n v="0"/>
    <n v="0"/>
    <n v="0"/>
    <n v="0"/>
    <n v="2024"/>
    <x v="1"/>
    <s v="短直联动"/>
    <x v="1"/>
    <x v="1"/>
  </r>
  <r>
    <x v="1"/>
    <x v="43"/>
    <x v="0"/>
    <x v="5"/>
    <x v="41"/>
    <n v="1194"/>
    <n v="888"/>
    <n v="5"/>
    <n v="3"/>
    <n v="0"/>
    <n v="0"/>
    <n v="0"/>
    <n v="0"/>
    <n v="25"/>
    <n v="352"/>
    <n v="2024"/>
    <x v="1"/>
    <s v="超级直播"/>
    <x v="1"/>
    <x v="1"/>
  </r>
  <r>
    <x v="1"/>
    <x v="43"/>
    <x v="0"/>
    <x v="6"/>
    <x v="48"/>
    <n v="775"/>
    <n v="585"/>
    <n v="0"/>
    <n v="0"/>
    <n v="0"/>
    <n v="0"/>
    <n v="0"/>
    <n v="0"/>
    <n v="775"/>
    <n v="76"/>
    <n v="2024"/>
    <x v="1"/>
    <s v="Showmax"/>
    <x v="1"/>
    <x v="1"/>
  </r>
  <r>
    <x v="1"/>
    <x v="43"/>
    <x v="0"/>
    <x v="6"/>
    <x v="30"/>
    <n v="856"/>
    <n v="651"/>
    <n v="0"/>
    <n v="0"/>
    <n v="0"/>
    <n v="0"/>
    <n v="0"/>
    <n v="0"/>
    <n v="856"/>
    <n v="143"/>
    <n v="2024"/>
    <x v="1"/>
    <s v="品牌特秀"/>
    <x v="1"/>
    <x v="1"/>
  </r>
  <r>
    <x v="1"/>
    <x v="43"/>
    <x v="0"/>
    <x v="6"/>
    <x v="21"/>
    <n v="619"/>
    <n v="499"/>
    <n v="20"/>
    <n v="4"/>
    <n v="11968"/>
    <n v="3"/>
    <n v="11968"/>
    <n v="3"/>
    <n v="619"/>
    <n v="318"/>
    <n v="2024"/>
    <x v="1"/>
    <s v="品销宝-品牌专区"/>
    <x v="1"/>
    <x v="1"/>
  </r>
  <r>
    <x v="1"/>
    <x v="43"/>
    <x v="0"/>
    <x v="0"/>
    <x v="2"/>
    <n v="3458"/>
    <n v="3009"/>
    <n v="55"/>
    <n v="20"/>
    <n v="68111"/>
    <n v="8"/>
    <n v="44484"/>
    <n v="7"/>
    <n v="239"/>
    <n v="3433"/>
    <n v="2024"/>
    <x v="1"/>
    <s v="直通车"/>
    <x v="1"/>
    <x v="1"/>
  </r>
  <r>
    <x v="1"/>
    <x v="43"/>
    <x v="0"/>
    <x v="0"/>
    <x v="0"/>
    <n v="2783"/>
    <n v="1257"/>
    <n v="70"/>
    <n v="24"/>
    <n v="34173"/>
    <n v="12"/>
    <n v="18152"/>
    <n v="9"/>
    <n v="237"/>
    <n v="2777"/>
    <n v="2024"/>
    <x v="1"/>
    <s v="万相台"/>
    <x v="1"/>
    <x v="1"/>
  </r>
  <r>
    <x v="1"/>
    <x v="43"/>
    <x v="0"/>
    <x v="0"/>
    <x v="1"/>
    <n v="13746"/>
    <n v="8302"/>
    <n v="47"/>
    <n v="28"/>
    <n v="13327"/>
    <n v="4"/>
    <n v="9052"/>
    <n v="3"/>
    <n v="283"/>
    <n v="13745"/>
    <n v="2024"/>
    <x v="1"/>
    <s v="引力魔方"/>
    <x v="1"/>
    <x v="1"/>
  </r>
  <r>
    <x v="1"/>
    <x v="43"/>
    <x v="0"/>
    <x v="7"/>
    <x v="23"/>
    <n v="4"/>
    <n v="3"/>
    <n v="0"/>
    <n v="0"/>
    <n v="0"/>
    <n v="0"/>
    <n v="0"/>
    <n v="0"/>
    <n v="1"/>
    <n v="4"/>
    <n v="2024"/>
    <x v="1"/>
    <s v="流量宝"/>
    <x v="1"/>
    <x v="1"/>
  </r>
  <r>
    <x v="1"/>
    <x v="43"/>
    <x v="0"/>
    <x v="7"/>
    <x v="24"/>
    <n v="346"/>
    <n v="96"/>
    <n v="2"/>
    <n v="0"/>
    <n v="1498"/>
    <n v="1"/>
    <n v="1498"/>
    <n v="1"/>
    <n v="4"/>
    <n v="344"/>
    <n v="2024"/>
    <x v="1"/>
    <s v="淘宝客"/>
    <x v="1"/>
    <x v="1"/>
  </r>
  <r>
    <x v="1"/>
    <x v="44"/>
    <x v="1"/>
    <x v="2"/>
    <x v="5"/>
    <n v="88"/>
    <n v="42"/>
    <n v="1"/>
    <n v="0"/>
    <n v="0"/>
    <n v="0"/>
    <n v="0"/>
    <n v="0"/>
    <n v="28"/>
    <n v="86"/>
    <n v="2024"/>
    <x v="1"/>
    <s v="手猫免费其他"/>
    <x v="1"/>
    <x v="1"/>
  </r>
  <r>
    <x v="1"/>
    <x v="44"/>
    <x v="1"/>
    <x v="2"/>
    <x v="6"/>
    <n v="15"/>
    <n v="11"/>
    <n v="1"/>
    <n v="0"/>
    <n v="0"/>
    <n v="0"/>
    <n v="0"/>
    <n v="0"/>
    <n v="0"/>
    <n v="15"/>
    <n v="2024"/>
    <x v="1"/>
    <s v="手猫其他店铺"/>
    <x v="1"/>
    <x v="1"/>
  </r>
  <r>
    <x v="1"/>
    <x v="44"/>
    <x v="1"/>
    <x v="2"/>
    <x v="7"/>
    <n v="32"/>
    <n v="8"/>
    <n v="0"/>
    <n v="0"/>
    <n v="1498"/>
    <n v="1"/>
    <n v="1498"/>
    <n v="1"/>
    <n v="9"/>
    <n v="30"/>
    <n v="2024"/>
    <x v="1"/>
    <s v="手猫商品详情"/>
    <x v="1"/>
    <x v="1"/>
  </r>
  <r>
    <x v="1"/>
    <x v="44"/>
    <x v="1"/>
    <x v="2"/>
    <x v="8"/>
    <n v="50"/>
    <n v="28"/>
    <n v="0"/>
    <n v="0"/>
    <n v="1498"/>
    <n v="1"/>
    <n v="1498"/>
    <n v="1"/>
    <n v="23"/>
    <n v="39"/>
    <n v="2024"/>
    <x v="1"/>
    <s v="手猫搜索"/>
    <x v="1"/>
    <x v="1"/>
  </r>
  <r>
    <x v="1"/>
    <x v="44"/>
    <x v="1"/>
    <x v="2"/>
    <x v="9"/>
    <n v="1"/>
    <n v="0"/>
    <n v="0"/>
    <n v="0"/>
    <n v="0"/>
    <n v="0"/>
    <n v="0"/>
    <n v="0"/>
    <n v="0"/>
    <n v="1"/>
    <n v="2024"/>
    <x v="1"/>
    <s v="手猫旺信聊天"/>
    <x v="1"/>
    <x v="1"/>
  </r>
  <r>
    <x v="1"/>
    <x v="44"/>
    <x v="1"/>
    <x v="2"/>
    <x v="10"/>
    <n v="379"/>
    <n v="197"/>
    <n v="2"/>
    <n v="0"/>
    <n v="0"/>
    <n v="0"/>
    <n v="0"/>
    <n v="0"/>
    <n v="26"/>
    <n v="379"/>
    <n v="2024"/>
    <x v="1"/>
    <s v="手猫首页"/>
    <x v="1"/>
    <x v="1"/>
  </r>
  <r>
    <x v="1"/>
    <x v="44"/>
    <x v="1"/>
    <x v="3"/>
    <x v="11"/>
    <n v="93"/>
    <n v="28"/>
    <n v="5"/>
    <n v="1"/>
    <n v="0"/>
    <n v="0"/>
    <n v="0"/>
    <n v="0"/>
    <n v="30"/>
    <n v="84"/>
    <n v="2024"/>
    <x v="1"/>
    <s v="商品详情页头图推荐"/>
    <x v="1"/>
    <x v="1"/>
  </r>
  <r>
    <x v="1"/>
    <x v="44"/>
    <x v="1"/>
    <x v="3"/>
    <x v="12"/>
    <n v="21"/>
    <n v="9"/>
    <n v="4"/>
    <n v="0"/>
    <n v="1498"/>
    <n v="1"/>
    <n v="1498"/>
    <n v="1"/>
    <n v="18"/>
    <n v="11"/>
    <n v="2024"/>
    <x v="1"/>
    <s v="店铺超链"/>
    <x v="1"/>
    <x v="1"/>
  </r>
  <r>
    <x v="1"/>
    <x v="44"/>
    <x v="1"/>
    <x v="4"/>
    <x v="13"/>
    <n v="120"/>
    <n v="64"/>
    <n v="3"/>
    <n v="0"/>
    <n v="3360"/>
    <n v="1"/>
    <n v="1680"/>
    <n v="1"/>
    <n v="47"/>
    <n v="91"/>
    <n v="2024"/>
    <x v="1"/>
    <s v="其他猜你喜欢"/>
    <x v="1"/>
    <x v="1"/>
  </r>
  <r>
    <x v="1"/>
    <x v="44"/>
    <x v="1"/>
    <x v="4"/>
    <x v="15"/>
    <n v="5"/>
    <n v="1"/>
    <n v="0"/>
    <n v="0"/>
    <n v="0"/>
    <n v="0"/>
    <n v="0"/>
    <n v="0"/>
    <n v="0"/>
    <n v="5"/>
    <n v="2024"/>
    <x v="1"/>
    <s v="购中推荐"/>
    <x v="1"/>
    <x v="1"/>
  </r>
  <r>
    <x v="1"/>
    <x v="44"/>
    <x v="1"/>
    <x v="4"/>
    <x v="16"/>
    <n v="15"/>
    <n v="7"/>
    <n v="0"/>
    <n v="0"/>
    <n v="0"/>
    <n v="0"/>
    <n v="0"/>
    <n v="0"/>
    <n v="0"/>
    <n v="14"/>
    <n v="2024"/>
    <x v="1"/>
    <s v="购后推荐"/>
    <x v="1"/>
    <x v="1"/>
  </r>
  <r>
    <x v="1"/>
    <x v="44"/>
    <x v="1"/>
    <x v="4"/>
    <x v="17"/>
    <n v="1840"/>
    <n v="939"/>
    <n v="31"/>
    <n v="16"/>
    <n v="9144"/>
    <n v="5"/>
    <n v="6161"/>
    <n v="4"/>
    <n v="146"/>
    <n v="1840"/>
    <n v="2024"/>
    <x v="1"/>
    <s v="首页推荐-微详情"/>
    <x v="1"/>
    <x v="1"/>
  </r>
  <r>
    <x v="1"/>
    <x v="44"/>
    <x v="1"/>
    <x v="4"/>
    <x v="18"/>
    <n v="148"/>
    <n v="74"/>
    <n v="0"/>
    <n v="0"/>
    <n v="0"/>
    <n v="0"/>
    <n v="0"/>
    <n v="0"/>
    <n v="0"/>
    <n v="11"/>
    <n v="2024"/>
    <x v="1"/>
    <s v="首页推荐-直播"/>
    <x v="1"/>
    <x v="1"/>
  </r>
  <r>
    <x v="1"/>
    <x v="44"/>
    <x v="1"/>
    <x v="4"/>
    <x v="19"/>
    <n v="87"/>
    <n v="24"/>
    <n v="0"/>
    <n v="0"/>
    <n v="0"/>
    <n v="0"/>
    <n v="0"/>
    <n v="0"/>
    <n v="1"/>
    <n v="0"/>
    <n v="2024"/>
    <x v="1"/>
    <s v="首页推荐-短视频"/>
    <x v="1"/>
    <x v="1"/>
  </r>
  <r>
    <x v="1"/>
    <x v="44"/>
    <x v="1"/>
    <x v="12"/>
    <x v="42"/>
    <n v="892"/>
    <n v="668"/>
    <n v="46"/>
    <n v="11"/>
    <n v="25380"/>
    <n v="11"/>
    <n v="16410"/>
    <n v="9"/>
    <n v="234"/>
    <n v="816"/>
    <n v="2024"/>
    <x v="1"/>
    <s v="手淘搜索-商品及其他"/>
    <x v="1"/>
    <x v="1"/>
  </r>
  <r>
    <x v="1"/>
    <x v="44"/>
    <x v="1"/>
    <x v="12"/>
    <x v="43"/>
    <n v="15"/>
    <n v="7"/>
    <n v="1"/>
    <n v="0"/>
    <n v="0"/>
    <n v="0"/>
    <n v="0"/>
    <n v="0"/>
    <n v="2"/>
    <n v="14"/>
    <n v="2024"/>
    <x v="1"/>
    <s v="手淘搜索-直播"/>
    <x v="1"/>
    <x v="1"/>
  </r>
  <r>
    <x v="1"/>
    <x v="44"/>
    <x v="1"/>
    <x v="12"/>
    <x v="44"/>
    <n v="30"/>
    <n v="18"/>
    <n v="2"/>
    <n v="0"/>
    <n v="3360"/>
    <n v="1"/>
    <n v="1680"/>
    <n v="1"/>
    <n v="0"/>
    <n v="8"/>
    <n v="2024"/>
    <x v="1"/>
    <s v="手淘搜索-短视频"/>
    <x v="1"/>
    <x v="1"/>
  </r>
  <r>
    <x v="1"/>
    <x v="44"/>
    <x v="1"/>
    <x v="11"/>
    <x v="37"/>
    <n v="14"/>
    <n v="14"/>
    <n v="0"/>
    <n v="0"/>
    <n v="0"/>
    <n v="0"/>
    <n v="0"/>
    <n v="0"/>
    <n v="0"/>
    <n v="14"/>
    <n v="2024"/>
    <x v="1"/>
    <s v="淘特其他渠道"/>
    <x v="1"/>
    <x v="1"/>
  </r>
  <r>
    <x v="1"/>
    <x v="44"/>
    <x v="0"/>
    <x v="5"/>
    <x v="41"/>
    <n v="2671"/>
    <n v="2411"/>
    <n v="1"/>
    <n v="2"/>
    <n v="0"/>
    <n v="0"/>
    <n v="0"/>
    <n v="0"/>
    <n v="10"/>
    <n v="1707"/>
    <n v="2024"/>
    <x v="1"/>
    <s v="超级直播"/>
    <x v="1"/>
    <x v="1"/>
  </r>
  <r>
    <x v="1"/>
    <x v="44"/>
    <x v="0"/>
    <x v="6"/>
    <x v="48"/>
    <n v="592"/>
    <n v="472"/>
    <n v="0"/>
    <n v="0"/>
    <n v="0"/>
    <n v="0"/>
    <n v="0"/>
    <n v="0"/>
    <n v="592"/>
    <n v="66"/>
    <n v="2024"/>
    <x v="1"/>
    <s v="Showmax"/>
    <x v="1"/>
    <x v="1"/>
  </r>
  <r>
    <x v="1"/>
    <x v="44"/>
    <x v="0"/>
    <x v="6"/>
    <x v="45"/>
    <n v="1"/>
    <n v="0"/>
    <n v="0"/>
    <n v="0"/>
    <n v="0"/>
    <n v="0"/>
    <n v="0"/>
    <n v="0"/>
    <n v="1"/>
    <n v="1"/>
    <n v="2024"/>
    <x v="1"/>
    <s v="品牌定制"/>
    <x v="1"/>
    <x v="1"/>
  </r>
  <r>
    <x v="1"/>
    <x v="44"/>
    <x v="0"/>
    <x v="6"/>
    <x v="30"/>
    <n v="1094"/>
    <n v="858"/>
    <n v="0"/>
    <n v="0"/>
    <n v="0"/>
    <n v="0"/>
    <n v="0"/>
    <n v="0"/>
    <n v="1094"/>
    <n v="145"/>
    <n v="2024"/>
    <x v="1"/>
    <s v="品牌特秀"/>
    <x v="1"/>
    <x v="1"/>
  </r>
  <r>
    <x v="1"/>
    <x v="44"/>
    <x v="0"/>
    <x v="6"/>
    <x v="21"/>
    <n v="603"/>
    <n v="493"/>
    <n v="13"/>
    <n v="7"/>
    <n v="12565"/>
    <n v="3"/>
    <n v="12565"/>
    <n v="3"/>
    <n v="603"/>
    <n v="306"/>
    <n v="2024"/>
    <x v="1"/>
    <s v="品销宝-品牌专区"/>
    <x v="1"/>
    <x v="1"/>
  </r>
  <r>
    <x v="1"/>
    <x v="44"/>
    <x v="0"/>
    <x v="0"/>
    <x v="2"/>
    <n v="3637"/>
    <n v="3163"/>
    <n v="32"/>
    <n v="25"/>
    <n v="22299"/>
    <n v="6"/>
    <n v="7432"/>
    <n v="3"/>
    <n v="276"/>
    <n v="3609"/>
    <n v="2024"/>
    <x v="1"/>
    <s v="直通车"/>
    <x v="1"/>
    <x v="1"/>
  </r>
  <r>
    <x v="1"/>
    <x v="44"/>
    <x v="0"/>
    <x v="0"/>
    <x v="0"/>
    <n v="3212"/>
    <n v="1715"/>
    <n v="40"/>
    <n v="22"/>
    <n v="38531"/>
    <n v="10"/>
    <n v="37228"/>
    <n v="9"/>
    <n v="179"/>
    <n v="3210"/>
    <n v="2024"/>
    <x v="1"/>
    <s v="万相台"/>
    <x v="1"/>
    <x v="1"/>
  </r>
  <r>
    <x v="1"/>
    <x v="44"/>
    <x v="0"/>
    <x v="0"/>
    <x v="1"/>
    <n v="13317"/>
    <n v="7217"/>
    <n v="23"/>
    <n v="27"/>
    <n v="19675"/>
    <n v="3"/>
    <n v="0"/>
    <n v="0"/>
    <n v="237"/>
    <n v="13315"/>
    <n v="2024"/>
    <x v="1"/>
    <s v="引力魔方"/>
    <x v="1"/>
    <x v="1"/>
  </r>
  <r>
    <x v="1"/>
    <x v="44"/>
    <x v="0"/>
    <x v="7"/>
    <x v="22"/>
    <n v="1"/>
    <n v="0"/>
    <n v="0"/>
    <n v="0"/>
    <n v="0"/>
    <n v="0"/>
    <n v="0"/>
    <n v="0"/>
    <n v="0"/>
    <n v="1"/>
    <n v="2024"/>
    <x v="1"/>
    <s v="UD效果投放"/>
    <x v="1"/>
    <x v="1"/>
  </r>
  <r>
    <x v="1"/>
    <x v="44"/>
    <x v="0"/>
    <x v="7"/>
    <x v="23"/>
    <n v="2"/>
    <n v="1"/>
    <n v="0"/>
    <n v="0"/>
    <n v="0"/>
    <n v="0"/>
    <n v="0"/>
    <n v="0"/>
    <n v="0"/>
    <n v="2"/>
    <n v="2024"/>
    <x v="1"/>
    <s v="流量宝"/>
    <x v="1"/>
    <x v="1"/>
  </r>
  <r>
    <x v="1"/>
    <x v="44"/>
    <x v="0"/>
    <x v="7"/>
    <x v="24"/>
    <n v="305"/>
    <n v="88"/>
    <n v="2"/>
    <n v="1"/>
    <n v="5483"/>
    <n v="3"/>
    <n v="5483"/>
    <n v="3"/>
    <n v="10"/>
    <n v="300"/>
    <n v="2024"/>
    <x v="1"/>
    <s v="淘宝客"/>
    <x v="1"/>
    <x v="1"/>
  </r>
  <r>
    <x v="1"/>
    <x v="45"/>
    <x v="1"/>
    <x v="8"/>
    <x v="25"/>
    <n v="149"/>
    <n v="70"/>
    <n v="3"/>
    <n v="1"/>
    <n v="0"/>
    <n v="0"/>
    <n v="0"/>
    <n v="0"/>
    <n v="28"/>
    <n v="129"/>
    <n v="2024"/>
    <x v="1"/>
    <s v="主会场"/>
    <x v="1"/>
    <x v="1"/>
  </r>
  <r>
    <x v="1"/>
    <x v="45"/>
    <x v="1"/>
    <x v="2"/>
    <x v="4"/>
    <n v="4"/>
    <n v="3"/>
    <n v="0"/>
    <n v="0"/>
    <n v="0"/>
    <n v="0"/>
    <n v="0"/>
    <n v="0"/>
    <n v="1"/>
    <n v="3"/>
    <n v="2024"/>
    <x v="1"/>
    <s v="手机浏览器访问天猫"/>
    <x v="1"/>
    <x v="1"/>
  </r>
  <r>
    <x v="1"/>
    <x v="45"/>
    <x v="1"/>
    <x v="2"/>
    <x v="5"/>
    <n v="95"/>
    <n v="36"/>
    <n v="2"/>
    <n v="0"/>
    <n v="6370"/>
    <n v="3"/>
    <n v="6370"/>
    <n v="3"/>
    <n v="31"/>
    <n v="91"/>
    <n v="2024"/>
    <x v="1"/>
    <s v="手猫免费其他"/>
    <x v="1"/>
    <x v="1"/>
  </r>
  <r>
    <x v="1"/>
    <x v="45"/>
    <x v="1"/>
    <x v="2"/>
    <x v="6"/>
    <n v="3"/>
    <n v="1"/>
    <n v="0"/>
    <n v="0"/>
    <n v="0"/>
    <n v="0"/>
    <n v="0"/>
    <n v="0"/>
    <n v="0"/>
    <n v="3"/>
    <n v="2024"/>
    <x v="1"/>
    <s v="手猫其他店铺"/>
    <x v="1"/>
    <x v="1"/>
  </r>
  <r>
    <x v="1"/>
    <x v="45"/>
    <x v="1"/>
    <x v="2"/>
    <x v="7"/>
    <n v="36"/>
    <n v="11"/>
    <n v="1"/>
    <n v="0"/>
    <n v="6936"/>
    <n v="4"/>
    <n v="6936"/>
    <n v="4"/>
    <n v="6"/>
    <n v="33"/>
    <n v="2024"/>
    <x v="1"/>
    <s v="手猫商品详情"/>
    <x v="1"/>
    <x v="1"/>
  </r>
  <r>
    <x v="1"/>
    <x v="45"/>
    <x v="1"/>
    <x v="2"/>
    <x v="8"/>
    <n v="59"/>
    <n v="31"/>
    <n v="1"/>
    <n v="0"/>
    <n v="4387.5"/>
    <n v="2"/>
    <n v="3567.5"/>
    <n v="2"/>
    <n v="16"/>
    <n v="53"/>
    <n v="2024"/>
    <x v="1"/>
    <s v="手猫搜索"/>
    <x v="1"/>
    <x v="1"/>
  </r>
  <r>
    <x v="1"/>
    <x v="45"/>
    <x v="1"/>
    <x v="2"/>
    <x v="10"/>
    <n v="413"/>
    <n v="241"/>
    <n v="1"/>
    <n v="0"/>
    <n v="4693"/>
    <n v="2"/>
    <n v="1498"/>
    <n v="1"/>
    <n v="11"/>
    <n v="413"/>
    <n v="2024"/>
    <x v="1"/>
    <s v="手猫首页"/>
    <x v="1"/>
    <x v="1"/>
  </r>
  <r>
    <x v="1"/>
    <x v="45"/>
    <x v="1"/>
    <x v="3"/>
    <x v="11"/>
    <n v="108"/>
    <n v="39"/>
    <n v="3"/>
    <n v="1"/>
    <n v="1498"/>
    <n v="1"/>
    <n v="1498"/>
    <n v="1"/>
    <n v="29"/>
    <n v="99"/>
    <n v="2024"/>
    <x v="1"/>
    <s v="商品详情页头图推荐"/>
    <x v="1"/>
    <x v="1"/>
  </r>
  <r>
    <x v="1"/>
    <x v="45"/>
    <x v="1"/>
    <x v="3"/>
    <x v="12"/>
    <n v="34"/>
    <n v="23"/>
    <n v="7"/>
    <n v="1"/>
    <n v="9295"/>
    <n v="2"/>
    <n v="9295"/>
    <n v="2"/>
    <n v="31"/>
    <n v="20"/>
    <n v="2024"/>
    <x v="1"/>
    <s v="店铺超链"/>
    <x v="1"/>
    <x v="1"/>
  </r>
  <r>
    <x v="1"/>
    <x v="45"/>
    <x v="1"/>
    <x v="4"/>
    <x v="13"/>
    <n v="186"/>
    <n v="107"/>
    <n v="7"/>
    <n v="1"/>
    <n v="1917"/>
    <n v="1"/>
    <n v="0"/>
    <n v="0"/>
    <n v="66"/>
    <n v="145"/>
    <n v="2024"/>
    <x v="1"/>
    <s v="其他猜你喜欢"/>
    <x v="1"/>
    <x v="1"/>
  </r>
  <r>
    <x v="1"/>
    <x v="45"/>
    <x v="1"/>
    <x v="4"/>
    <x v="15"/>
    <n v="3"/>
    <n v="0"/>
    <n v="0"/>
    <n v="0"/>
    <n v="0"/>
    <n v="0"/>
    <n v="0"/>
    <n v="0"/>
    <n v="1"/>
    <n v="3"/>
    <n v="2024"/>
    <x v="1"/>
    <s v="购中推荐"/>
    <x v="1"/>
    <x v="1"/>
  </r>
  <r>
    <x v="1"/>
    <x v="45"/>
    <x v="1"/>
    <x v="4"/>
    <x v="16"/>
    <n v="7"/>
    <n v="2"/>
    <n v="0"/>
    <n v="0"/>
    <n v="0"/>
    <n v="0"/>
    <n v="0"/>
    <n v="0"/>
    <n v="0"/>
    <n v="7"/>
    <n v="2024"/>
    <x v="1"/>
    <s v="购后推荐"/>
    <x v="1"/>
    <x v="1"/>
  </r>
  <r>
    <x v="1"/>
    <x v="45"/>
    <x v="1"/>
    <x v="4"/>
    <x v="17"/>
    <n v="1939"/>
    <n v="1038"/>
    <n v="42"/>
    <n v="19"/>
    <n v="39307.58"/>
    <n v="12"/>
    <n v="31122.58"/>
    <n v="10"/>
    <n v="168"/>
    <n v="1939"/>
    <n v="2024"/>
    <x v="1"/>
    <s v="首页推荐-微详情"/>
    <x v="1"/>
    <x v="1"/>
  </r>
  <r>
    <x v="1"/>
    <x v="45"/>
    <x v="1"/>
    <x v="4"/>
    <x v="18"/>
    <n v="196"/>
    <n v="118"/>
    <n v="1"/>
    <n v="0"/>
    <n v="0"/>
    <n v="0"/>
    <n v="0"/>
    <n v="0"/>
    <n v="2"/>
    <n v="16"/>
    <n v="2024"/>
    <x v="1"/>
    <s v="首页推荐-直播"/>
    <x v="1"/>
    <x v="1"/>
  </r>
  <r>
    <x v="1"/>
    <x v="45"/>
    <x v="1"/>
    <x v="4"/>
    <x v="19"/>
    <n v="98"/>
    <n v="52"/>
    <n v="0"/>
    <n v="0"/>
    <n v="0"/>
    <n v="0"/>
    <n v="0"/>
    <n v="0"/>
    <n v="0"/>
    <n v="0"/>
    <n v="2024"/>
    <x v="1"/>
    <s v="首页推荐-短视频"/>
    <x v="1"/>
    <x v="1"/>
  </r>
  <r>
    <x v="1"/>
    <x v="45"/>
    <x v="1"/>
    <x v="12"/>
    <x v="42"/>
    <n v="1037"/>
    <n v="796"/>
    <n v="107"/>
    <n v="17"/>
    <n v="58990"/>
    <n v="23"/>
    <n v="50734"/>
    <n v="20"/>
    <n v="260"/>
    <n v="957"/>
    <n v="2024"/>
    <x v="1"/>
    <s v="手淘搜索-商品及其他"/>
    <x v="1"/>
    <x v="1"/>
  </r>
  <r>
    <x v="1"/>
    <x v="45"/>
    <x v="1"/>
    <x v="12"/>
    <x v="43"/>
    <n v="25"/>
    <n v="12"/>
    <n v="2"/>
    <n v="0"/>
    <n v="0"/>
    <n v="0"/>
    <n v="0"/>
    <n v="0"/>
    <n v="3"/>
    <n v="19"/>
    <n v="2024"/>
    <x v="1"/>
    <s v="手淘搜索-直播"/>
    <x v="1"/>
    <x v="1"/>
  </r>
  <r>
    <x v="1"/>
    <x v="45"/>
    <x v="1"/>
    <x v="12"/>
    <x v="44"/>
    <n v="27"/>
    <n v="12"/>
    <n v="0"/>
    <n v="0"/>
    <n v="2237"/>
    <n v="1"/>
    <n v="2237"/>
    <n v="1"/>
    <n v="3"/>
    <n v="6"/>
    <n v="2024"/>
    <x v="1"/>
    <s v="手淘搜索-短视频"/>
    <x v="1"/>
    <x v="1"/>
  </r>
  <r>
    <x v="1"/>
    <x v="45"/>
    <x v="1"/>
    <x v="11"/>
    <x v="37"/>
    <n v="12"/>
    <n v="11"/>
    <n v="0"/>
    <n v="0"/>
    <n v="0"/>
    <n v="0"/>
    <n v="0"/>
    <n v="0"/>
    <n v="0"/>
    <n v="12"/>
    <n v="2024"/>
    <x v="1"/>
    <s v="淘特其他渠道"/>
    <x v="1"/>
    <x v="1"/>
  </r>
  <r>
    <x v="1"/>
    <x v="45"/>
    <x v="0"/>
    <x v="5"/>
    <x v="47"/>
    <n v="1"/>
    <n v="1"/>
    <n v="0"/>
    <n v="0"/>
    <n v="0"/>
    <n v="0"/>
    <n v="0"/>
    <n v="0"/>
    <n v="0"/>
    <n v="0"/>
    <n v="2024"/>
    <x v="1"/>
    <s v="短直联动"/>
    <x v="1"/>
    <x v="1"/>
  </r>
  <r>
    <x v="1"/>
    <x v="45"/>
    <x v="0"/>
    <x v="5"/>
    <x v="41"/>
    <n v="5612"/>
    <n v="4924"/>
    <n v="5"/>
    <n v="3"/>
    <n v="0"/>
    <n v="0"/>
    <n v="0"/>
    <n v="0"/>
    <n v="28"/>
    <n v="2969"/>
    <n v="2024"/>
    <x v="1"/>
    <s v="超级直播"/>
    <x v="1"/>
    <x v="1"/>
  </r>
  <r>
    <x v="1"/>
    <x v="45"/>
    <x v="0"/>
    <x v="6"/>
    <x v="48"/>
    <n v="193"/>
    <n v="158"/>
    <n v="0"/>
    <n v="0"/>
    <n v="0"/>
    <n v="0"/>
    <n v="0"/>
    <n v="0"/>
    <n v="193"/>
    <n v="18"/>
    <n v="2024"/>
    <x v="1"/>
    <s v="Showmax"/>
    <x v="1"/>
    <x v="1"/>
  </r>
  <r>
    <x v="1"/>
    <x v="45"/>
    <x v="0"/>
    <x v="6"/>
    <x v="30"/>
    <n v="1323"/>
    <n v="1059"/>
    <n v="0"/>
    <n v="0"/>
    <n v="0"/>
    <n v="0"/>
    <n v="0"/>
    <n v="0"/>
    <n v="1323"/>
    <n v="237"/>
    <n v="2024"/>
    <x v="1"/>
    <s v="品牌特秀"/>
    <x v="1"/>
    <x v="1"/>
  </r>
  <r>
    <x v="1"/>
    <x v="45"/>
    <x v="0"/>
    <x v="6"/>
    <x v="21"/>
    <n v="639"/>
    <n v="509"/>
    <n v="22"/>
    <n v="5"/>
    <n v="57063"/>
    <n v="10"/>
    <n v="49163"/>
    <n v="10"/>
    <n v="639"/>
    <n v="329"/>
    <n v="2024"/>
    <x v="1"/>
    <s v="品销宝-品牌专区"/>
    <x v="1"/>
    <x v="1"/>
  </r>
  <r>
    <x v="1"/>
    <x v="45"/>
    <x v="0"/>
    <x v="0"/>
    <x v="2"/>
    <n v="3504"/>
    <n v="3028"/>
    <n v="139"/>
    <n v="15"/>
    <n v="135582.5"/>
    <n v="44"/>
    <n v="126837.5"/>
    <n v="42"/>
    <n v="320"/>
    <n v="3464"/>
    <n v="2024"/>
    <x v="1"/>
    <s v="直通车"/>
    <x v="1"/>
    <x v="1"/>
  </r>
  <r>
    <x v="1"/>
    <x v="45"/>
    <x v="0"/>
    <x v="0"/>
    <x v="0"/>
    <n v="3654"/>
    <n v="2103"/>
    <n v="57"/>
    <n v="21"/>
    <n v="80134.63"/>
    <n v="23"/>
    <n v="68755.63"/>
    <n v="21"/>
    <n v="210"/>
    <n v="3650"/>
    <n v="2024"/>
    <x v="1"/>
    <s v="万相台"/>
    <x v="1"/>
    <x v="1"/>
  </r>
  <r>
    <x v="1"/>
    <x v="45"/>
    <x v="0"/>
    <x v="0"/>
    <x v="1"/>
    <n v="11299"/>
    <n v="5817"/>
    <n v="32"/>
    <n v="21"/>
    <n v="21360"/>
    <n v="7"/>
    <n v="16730"/>
    <n v="5"/>
    <n v="257"/>
    <n v="11295"/>
    <n v="2024"/>
    <x v="1"/>
    <s v="引力魔方"/>
    <x v="1"/>
    <x v="1"/>
  </r>
  <r>
    <x v="1"/>
    <x v="45"/>
    <x v="0"/>
    <x v="7"/>
    <x v="23"/>
    <n v="3"/>
    <n v="2"/>
    <n v="0"/>
    <n v="0"/>
    <n v="0"/>
    <n v="0"/>
    <n v="0"/>
    <n v="0"/>
    <n v="0"/>
    <n v="2"/>
    <n v="2024"/>
    <x v="1"/>
    <s v="流量宝"/>
    <x v="1"/>
    <x v="1"/>
  </r>
  <r>
    <x v="1"/>
    <x v="45"/>
    <x v="0"/>
    <x v="7"/>
    <x v="24"/>
    <n v="364"/>
    <n v="132"/>
    <n v="1"/>
    <n v="0"/>
    <n v="4863"/>
    <n v="3"/>
    <n v="4863"/>
    <n v="3"/>
    <n v="13"/>
    <n v="340"/>
    <n v="2024"/>
    <x v="1"/>
    <s v="淘宝客"/>
    <x v="1"/>
    <x v="1"/>
  </r>
  <r>
    <x v="1"/>
    <x v="5"/>
    <x v="1"/>
    <x v="8"/>
    <x v="25"/>
    <n v="130"/>
    <n v="46"/>
    <n v="3"/>
    <n v="0"/>
    <n v="0"/>
    <n v="0"/>
    <n v="0"/>
    <n v="0"/>
    <n v="19"/>
    <n v="119"/>
    <n v="2024"/>
    <x v="2"/>
    <s v="主会场"/>
    <x v="1"/>
    <x v="1"/>
  </r>
  <r>
    <x v="1"/>
    <x v="5"/>
    <x v="1"/>
    <x v="2"/>
    <x v="4"/>
    <n v="2"/>
    <n v="1"/>
    <n v="0"/>
    <n v="0"/>
    <n v="0"/>
    <n v="0"/>
    <n v="0"/>
    <n v="0"/>
    <n v="1"/>
    <n v="1"/>
    <n v="2024"/>
    <x v="2"/>
    <s v="手机浏览器访问天猫"/>
    <x v="1"/>
    <x v="1"/>
  </r>
  <r>
    <x v="1"/>
    <x v="5"/>
    <x v="1"/>
    <x v="2"/>
    <x v="5"/>
    <n v="102"/>
    <n v="54"/>
    <n v="4"/>
    <n v="1"/>
    <n v="35054.5"/>
    <n v="7"/>
    <n v="31059.5"/>
    <n v="6"/>
    <n v="34"/>
    <n v="100"/>
    <n v="2024"/>
    <x v="2"/>
    <s v="手猫免费其他"/>
    <x v="1"/>
    <x v="1"/>
  </r>
  <r>
    <x v="1"/>
    <x v="5"/>
    <x v="1"/>
    <x v="2"/>
    <x v="6"/>
    <n v="5"/>
    <n v="3"/>
    <n v="0"/>
    <n v="0"/>
    <n v="1797"/>
    <n v="1"/>
    <n v="1797"/>
    <n v="1"/>
    <n v="0"/>
    <n v="5"/>
    <n v="2024"/>
    <x v="2"/>
    <s v="手猫其他店铺"/>
    <x v="1"/>
    <x v="1"/>
  </r>
  <r>
    <x v="1"/>
    <x v="5"/>
    <x v="1"/>
    <x v="2"/>
    <x v="7"/>
    <n v="30"/>
    <n v="6"/>
    <n v="1"/>
    <n v="0"/>
    <n v="5475"/>
    <n v="2"/>
    <n v="5475"/>
    <n v="2"/>
    <n v="3"/>
    <n v="26"/>
    <n v="2024"/>
    <x v="2"/>
    <s v="手猫商品详情"/>
    <x v="1"/>
    <x v="1"/>
  </r>
  <r>
    <x v="1"/>
    <x v="5"/>
    <x v="1"/>
    <x v="2"/>
    <x v="8"/>
    <n v="86"/>
    <n v="51"/>
    <n v="0"/>
    <n v="0"/>
    <n v="1498"/>
    <n v="1"/>
    <n v="1498"/>
    <n v="1"/>
    <n v="28"/>
    <n v="81"/>
    <n v="2024"/>
    <x v="2"/>
    <s v="手猫搜索"/>
    <x v="1"/>
    <x v="1"/>
  </r>
  <r>
    <x v="1"/>
    <x v="5"/>
    <x v="1"/>
    <x v="2"/>
    <x v="9"/>
    <n v="1"/>
    <n v="1"/>
    <n v="0"/>
    <n v="0"/>
    <n v="0"/>
    <n v="0"/>
    <n v="0"/>
    <n v="0"/>
    <n v="1"/>
    <n v="0"/>
    <n v="2024"/>
    <x v="2"/>
    <s v="手猫旺信聊天"/>
    <x v="1"/>
    <x v="1"/>
  </r>
  <r>
    <x v="1"/>
    <x v="5"/>
    <x v="1"/>
    <x v="2"/>
    <x v="10"/>
    <n v="486"/>
    <n v="297"/>
    <n v="2"/>
    <n v="1"/>
    <n v="22542.9"/>
    <n v="5"/>
    <n v="18547.900000000001"/>
    <n v="5"/>
    <n v="19"/>
    <n v="486"/>
    <n v="2024"/>
    <x v="2"/>
    <s v="手猫首页"/>
    <x v="1"/>
    <x v="1"/>
  </r>
  <r>
    <x v="1"/>
    <x v="5"/>
    <x v="1"/>
    <x v="3"/>
    <x v="11"/>
    <n v="105"/>
    <n v="34"/>
    <n v="8"/>
    <n v="2"/>
    <n v="9012.93"/>
    <n v="2"/>
    <n v="5662.93"/>
    <n v="2"/>
    <n v="38"/>
    <n v="96"/>
    <n v="2024"/>
    <x v="2"/>
    <s v="商品详情页头图推荐"/>
    <x v="1"/>
    <x v="1"/>
  </r>
  <r>
    <x v="1"/>
    <x v="5"/>
    <x v="1"/>
    <x v="3"/>
    <x v="12"/>
    <n v="33"/>
    <n v="22"/>
    <n v="3"/>
    <n v="0"/>
    <n v="1303"/>
    <n v="1"/>
    <n v="0"/>
    <n v="0"/>
    <n v="29"/>
    <n v="11"/>
    <n v="2024"/>
    <x v="2"/>
    <s v="店铺超链"/>
    <x v="1"/>
    <x v="1"/>
  </r>
  <r>
    <x v="1"/>
    <x v="5"/>
    <x v="1"/>
    <x v="4"/>
    <x v="13"/>
    <n v="164"/>
    <n v="91"/>
    <n v="3"/>
    <n v="0"/>
    <n v="34803"/>
    <n v="2"/>
    <n v="34803"/>
    <n v="2"/>
    <n v="50"/>
    <n v="134"/>
    <n v="2024"/>
    <x v="2"/>
    <s v="其他猜你喜欢"/>
    <x v="1"/>
    <x v="1"/>
  </r>
  <r>
    <x v="1"/>
    <x v="5"/>
    <x v="1"/>
    <x v="4"/>
    <x v="15"/>
    <n v="4"/>
    <n v="2"/>
    <n v="0"/>
    <n v="0"/>
    <n v="0"/>
    <n v="0"/>
    <n v="0"/>
    <n v="0"/>
    <n v="0"/>
    <n v="4"/>
    <n v="2024"/>
    <x v="2"/>
    <s v="购中推荐"/>
    <x v="1"/>
    <x v="1"/>
  </r>
  <r>
    <x v="1"/>
    <x v="5"/>
    <x v="1"/>
    <x v="4"/>
    <x v="16"/>
    <n v="22"/>
    <n v="7"/>
    <n v="1"/>
    <n v="0"/>
    <n v="0"/>
    <n v="0"/>
    <n v="0"/>
    <n v="0"/>
    <n v="4"/>
    <n v="22"/>
    <n v="2024"/>
    <x v="2"/>
    <s v="购后推荐"/>
    <x v="1"/>
    <x v="1"/>
  </r>
  <r>
    <x v="1"/>
    <x v="5"/>
    <x v="1"/>
    <x v="4"/>
    <x v="17"/>
    <n v="2022"/>
    <n v="1043"/>
    <n v="44"/>
    <n v="13"/>
    <n v="42538"/>
    <n v="13"/>
    <n v="34429"/>
    <n v="12"/>
    <n v="164"/>
    <n v="2022"/>
    <n v="2024"/>
    <x v="2"/>
    <s v="首页推荐-微详情"/>
    <x v="1"/>
    <x v="1"/>
  </r>
  <r>
    <x v="1"/>
    <x v="5"/>
    <x v="1"/>
    <x v="4"/>
    <x v="18"/>
    <n v="9"/>
    <n v="3"/>
    <n v="0"/>
    <n v="0"/>
    <n v="0"/>
    <n v="0"/>
    <n v="0"/>
    <n v="0"/>
    <n v="0"/>
    <n v="1"/>
    <n v="2024"/>
    <x v="2"/>
    <s v="首页推荐-直播"/>
    <x v="1"/>
    <x v="1"/>
  </r>
  <r>
    <x v="1"/>
    <x v="5"/>
    <x v="1"/>
    <x v="4"/>
    <x v="19"/>
    <n v="94"/>
    <n v="47"/>
    <n v="0"/>
    <n v="0"/>
    <n v="0"/>
    <n v="0"/>
    <n v="0"/>
    <n v="0"/>
    <n v="0"/>
    <n v="0"/>
    <n v="2024"/>
    <x v="2"/>
    <s v="首页推荐-短视频"/>
    <x v="1"/>
    <x v="1"/>
  </r>
  <r>
    <x v="1"/>
    <x v="5"/>
    <x v="1"/>
    <x v="12"/>
    <x v="42"/>
    <n v="922"/>
    <n v="723"/>
    <n v="77"/>
    <n v="16"/>
    <n v="41607"/>
    <n v="17"/>
    <n v="33272"/>
    <n v="16"/>
    <n v="258"/>
    <n v="831"/>
    <n v="2024"/>
    <x v="2"/>
    <s v="手淘搜索-商品及其他"/>
    <x v="1"/>
    <x v="1"/>
  </r>
  <r>
    <x v="1"/>
    <x v="5"/>
    <x v="1"/>
    <x v="12"/>
    <x v="44"/>
    <n v="23"/>
    <n v="14"/>
    <n v="0"/>
    <n v="0"/>
    <n v="0"/>
    <n v="0"/>
    <n v="0"/>
    <n v="0"/>
    <n v="0"/>
    <n v="3"/>
    <n v="2024"/>
    <x v="2"/>
    <s v="手淘搜索-短视频"/>
    <x v="1"/>
    <x v="1"/>
  </r>
  <r>
    <x v="1"/>
    <x v="5"/>
    <x v="1"/>
    <x v="11"/>
    <x v="37"/>
    <n v="15"/>
    <n v="15"/>
    <n v="0"/>
    <n v="1"/>
    <n v="0"/>
    <n v="0"/>
    <n v="0"/>
    <n v="0"/>
    <n v="1"/>
    <n v="15"/>
    <n v="2024"/>
    <x v="2"/>
    <s v="淘特其他渠道"/>
    <x v="1"/>
    <x v="1"/>
  </r>
  <r>
    <x v="1"/>
    <x v="5"/>
    <x v="0"/>
    <x v="5"/>
    <x v="41"/>
    <n v="57"/>
    <n v="30"/>
    <n v="0"/>
    <n v="0"/>
    <n v="0"/>
    <n v="0"/>
    <n v="0"/>
    <n v="0"/>
    <n v="0"/>
    <n v="50"/>
    <n v="2024"/>
    <x v="2"/>
    <s v="超级直播"/>
    <x v="1"/>
    <x v="1"/>
  </r>
  <r>
    <x v="1"/>
    <x v="5"/>
    <x v="0"/>
    <x v="5"/>
    <x v="20"/>
    <n v="1"/>
    <n v="1"/>
    <n v="0"/>
    <n v="0"/>
    <n v="0"/>
    <n v="0"/>
    <n v="0"/>
    <n v="0"/>
    <n v="0"/>
    <n v="1"/>
    <n v="2024"/>
    <x v="2"/>
    <s v="超级短视频"/>
    <x v="1"/>
    <x v="1"/>
  </r>
  <r>
    <x v="1"/>
    <x v="5"/>
    <x v="0"/>
    <x v="6"/>
    <x v="48"/>
    <n v="253"/>
    <n v="194"/>
    <n v="0"/>
    <n v="0"/>
    <n v="0"/>
    <n v="0"/>
    <n v="0"/>
    <n v="0"/>
    <n v="253"/>
    <n v="33"/>
    <n v="2024"/>
    <x v="2"/>
    <s v="Showmax"/>
    <x v="1"/>
    <x v="1"/>
  </r>
  <r>
    <x v="1"/>
    <x v="5"/>
    <x v="0"/>
    <x v="6"/>
    <x v="30"/>
    <n v="1219"/>
    <n v="976"/>
    <n v="0"/>
    <n v="0"/>
    <n v="0"/>
    <n v="0"/>
    <n v="0"/>
    <n v="0"/>
    <n v="1219"/>
    <n v="184"/>
    <n v="2024"/>
    <x v="2"/>
    <s v="品牌特秀"/>
    <x v="1"/>
    <x v="1"/>
  </r>
  <r>
    <x v="1"/>
    <x v="5"/>
    <x v="0"/>
    <x v="6"/>
    <x v="21"/>
    <n v="634"/>
    <n v="508"/>
    <n v="28"/>
    <n v="4"/>
    <n v="29407"/>
    <n v="9"/>
    <n v="28104"/>
    <n v="8"/>
    <n v="634"/>
    <n v="351"/>
    <n v="2024"/>
    <x v="2"/>
    <s v="品销宝-品牌专区"/>
    <x v="1"/>
    <x v="1"/>
  </r>
  <r>
    <x v="1"/>
    <x v="5"/>
    <x v="0"/>
    <x v="0"/>
    <x v="2"/>
    <n v="4668"/>
    <n v="4138"/>
    <n v="86"/>
    <n v="22"/>
    <n v="115127.99"/>
    <n v="29"/>
    <n v="90042.99"/>
    <n v="24"/>
    <n v="338"/>
    <n v="4630"/>
    <n v="2024"/>
    <x v="2"/>
    <s v="直通车"/>
    <x v="1"/>
    <x v="1"/>
  </r>
  <r>
    <x v="1"/>
    <x v="5"/>
    <x v="0"/>
    <x v="0"/>
    <x v="0"/>
    <n v="4417"/>
    <n v="2520"/>
    <n v="76"/>
    <n v="34"/>
    <n v="65305.93"/>
    <n v="20"/>
    <n v="48355.93"/>
    <n v="19"/>
    <n v="282"/>
    <n v="4414"/>
    <n v="2024"/>
    <x v="2"/>
    <s v="万相台"/>
    <x v="1"/>
    <x v="1"/>
  </r>
  <r>
    <x v="1"/>
    <x v="5"/>
    <x v="0"/>
    <x v="0"/>
    <x v="1"/>
    <n v="12701"/>
    <n v="6348"/>
    <n v="38"/>
    <n v="38"/>
    <n v="20347.5"/>
    <n v="4"/>
    <n v="7102.5"/>
    <n v="2"/>
    <n v="336"/>
    <n v="12696"/>
    <n v="2024"/>
    <x v="2"/>
    <s v="引力魔方"/>
    <x v="1"/>
    <x v="1"/>
  </r>
  <r>
    <x v="1"/>
    <x v="5"/>
    <x v="0"/>
    <x v="7"/>
    <x v="23"/>
    <n v="2"/>
    <n v="2"/>
    <n v="0"/>
    <n v="0"/>
    <n v="0"/>
    <n v="0"/>
    <n v="0"/>
    <n v="0"/>
    <n v="0"/>
    <n v="2"/>
    <n v="2024"/>
    <x v="2"/>
    <s v="流量宝"/>
    <x v="1"/>
    <x v="1"/>
  </r>
  <r>
    <x v="1"/>
    <x v="5"/>
    <x v="0"/>
    <x v="7"/>
    <x v="24"/>
    <n v="431"/>
    <n v="174"/>
    <n v="5"/>
    <n v="0"/>
    <n v="8760.6"/>
    <n v="2"/>
    <n v="8760.6"/>
    <n v="2"/>
    <n v="25"/>
    <n v="418"/>
    <n v="2024"/>
    <x v="2"/>
    <s v="淘宝客"/>
    <x v="1"/>
    <x v="1"/>
  </r>
  <r>
    <x v="1"/>
    <x v="46"/>
    <x v="1"/>
    <x v="8"/>
    <x v="25"/>
    <n v="106"/>
    <n v="54"/>
    <n v="4"/>
    <n v="0"/>
    <n v="2237"/>
    <n v="1"/>
    <n v="0"/>
    <n v="0"/>
    <n v="15"/>
    <n v="100"/>
    <n v="2024"/>
    <x v="2"/>
    <s v="主会场"/>
    <x v="1"/>
    <x v="1"/>
  </r>
  <r>
    <x v="1"/>
    <x v="46"/>
    <x v="1"/>
    <x v="8"/>
    <x v="26"/>
    <n v="1"/>
    <n v="0"/>
    <n v="0"/>
    <n v="0"/>
    <n v="0"/>
    <n v="0"/>
    <n v="0"/>
    <n v="0"/>
    <n v="0"/>
    <n v="1"/>
    <n v="2024"/>
    <x v="2"/>
    <s v="榜单会场"/>
    <x v="1"/>
    <x v="1"/>
  </r>
  <r>
    <x v="1"/>
    <x v="46"/>
    <x v="1"/>
    <x v="2"/>
    <x v="4"/>
    <n v="2"/>
    <n v="2"/>
    <n v="0"/>
    <n v="0"/>
    <n v="0"/>
    <n v="0"/>
    <n v="0"/>
    <n v="0"/>
    <n v="0"/>
    <n v="2"/>
    <n v="2024"/>
    <x v="2"/>
    <s v="手机浏览器访问天猫"/>
    <x v="1"/>
    <x v="1"/>
  </r>
  <r>
    <x v="1"/>
    <x v="46"/>
    <x v="1"/>
    <x v="2"/>
    <x v="5"/>
    <n v="117"/>
    <n v="63"/>
    <n v="3"/>
    <n v="0"/>
    <n v="6233"/>
    <n v="4"/>
    <n v="2498"/>
    <n v="2"/>
    <n v="40"/>
    <n v="113"/>
    <n v="2024"/>
    <x v="2"/>
    <s v="手猫免费其他"/>
    <x v="1"/>
    <x v="1"/>
  </r>
  <r>
    <x v="1"/>
    <x v="46"/>
    <x v="1"/>
    <x v="2"/>
    <x v="6"/>
    <n v="11"/>
    <n v="8"/>
    <n v="0"/>
    <n v="0"/>
    <n v="1680"/>
    <n v="1"/>
    <n v="1680"/>
    <n v="1"/>
    <n v="0"/>
    <n v="11"/>
    <n v="2024"/>
    <x v="2"/>
    <s v="手猫其他店铺"/>
    <x v="1"/>
    <x v="1"/>
  </r>
  <r>
    <x v="1"/>
    <x v="46"/>
    <x v="1"/>
    <x v="2"/>
    <x v="7"/>
    <n v="42"/>
    <n v="19"/>
    <n v="2"/>
    <n v="0"/>
    <n v="5940"/>
    <n v="1"/>
    <n v="1980"/>
    <n v="1"/>
    <n v="7"/>
    <n v="41"/>
    <n v="2024"/>
    <x v="2"/>
    <s v="手猫商品详情"/>
    <x v="1"/>
    <x v="1"/>
  </r>
  <r>
    <x v="1"/>
    <x v="46"/>
    <x v="1"/>
    <x v="2"/>
    <x v="8"/>
    <n v="94"/>
    <n v="66"/>
    <n v="2"/>
    <n v="0"/>
    <n v="0"/>
    <n v="0"/>
    <n v="0"/>
    <n v="0"/>
    <n v="41"/>
    <n v="80"/>
    <n v="2024"/>
    <x v="2"/>
    <s v="手猫搜索"/>
    <x v="1"/>
    <x v="1"/>
  </r>
  <r>
    <x v="1"/>
    <x v="46"/>
    <x v="1"/>
    <x v="2"/>
    <x v="9"/>
    <n v="3"/>
    <n v="1"/>
    <n v="0"/>
    <n v="0"/>
    <n v="0"/>
    <n v="0"/>
    <n v="0"/>
    <n v="0"/>
    <n v="0"/>
    <n v="3"/>
    <n v="2024"/>
    <x v="2"/>
    <s v="手猫旺信聊天"/>
    <x v="1"/>
    <x v="1"/>
  </r>
  <r>
    <x v="1"/>
    <x v="46"/>
    <x v="1"/>
    <x v="2"/>
    <x v="10"/>
    <n v="427"/>
    <n v="243"/>
    <n v="2"/>
    <n v="0"/>
    <n v="7438"/>
    <n v="2"/>
    <n v="3478"/>
    <n v="2"/>
    <n v="27"/>
    <n v="427"/>
    <n v="2024"/>
    <x v="2"/>
    <s v="手猫首页"/>
    <x v="1"/>
    <x v="1"/>
  </r>
  <r>
    <x v="1"/>
    <x v="46"/>
    <x v="1"/>
    <x v="3"/>
    <x v="11"/>
    <n v="136"/>
    <n v="54"/>
    <n v="7"/>
    <n v="3"/>
    <n v="3400"/>
    <n v="1"/>
    <n v="3400"/>
    <n v="1"/>
    <n v="39"/>
    <n v="128"/>
    <n v="2024"/>
    <x v="2"/>
    <s v="商品详情页头图推荐"/>
    <x v="1"/>
    <x v="1"/>
  </r>
  <r>
    <x v="1"/>
    <x v="46"/>
    <x v="1"/>
    <x v="3"/>
    <x v="12"/>
    <n v="28"/>
    <n v="19"/>
    <n v="2"/>
    <n v="1"/>
    <n v="1498"/>
    <n v="1"/>
    <n v="1498"/>
    <n v="1"/>
    <n v="24"/>
    <n v="14"/>
    <n v="2024"/>
    <x v="2"/>
    <s v="店铺超链"/>
    <x v="1"/>
    <x v="1"/>
  </r>
  <r>
    <x v="1"/>
    <x v="46"/>
    <x v="1"/>
    <x v="4"/>
    <x v="13"/>
    <n v="158"/>
    <n v="80"/>
    <n v="7"/>
    <n v="2"/>
    <n v="5112"/>
    <n v="2"/>
    <n v="5112"/>
    <n v="2"/>
    <n v="58"/>
    <n v="122"/>
    <n v="2024"/>
    <x v="2"/>
    <s v="其他猜你喜欢"/>
    <x v="1"/>
    <x v="1"/>
  </r>
  <r>
    <x v="1"/>
    <x v="46"/>
    <x v="1"/>
    <x v="4"/>
    <x v="15"/>
    <n v="3"/>
    <n v="1"/>
    <n v="0"/>
    <n v="0"/>
    <n v="0"/>
    <n v="0"/>
    <n v="0"/>
    <n v="0"/>
    <n v="0"/>
    <n v="3"/>
    <n v="2024"/>
    <x v="2"/>
    <s v="购中推荐"/>
    <x v="1"/>
    <x v="1"/>
  </r>
  <r>
    <x v="1"/>
    <x v="46"/>
    <x v="1"/>
    <x v="4"/>
    <x v="16"/>
    <n v="25"/>
    <n v="9"/>
    <n v="1"/>
    <n v="0"/>
    <n v="0"/>
    <n v="0"/>
    <n v="0"/>
    <n v="0"/>
    <n v="1"/>
    <n v="23"/>
    <n v="2024"/>
    <x v="2"/>
    <s v="购后推荐"/>
    <x v="1"/>
    <x v="1"/>
  </r>
  <r>
    <x v="1"/>
    <x v="46"/>
    <x v="1"/>
    <x v="4"/>
    <x v="17"/>
    <n v="1826"/>
    <n v="858"/>
    <n v="47"/>
    <n v="13"/>
    <n v="19797"/>
    <n v="9"/>
    <n v="19797"/>
    <n v="9"/>
    <n v="175"/>
    <n v="1826"/>
    <n v="2024"/>
    <x v="2"/>
    <s v="首页推荐-微详情"/>
    <x v="1"/>
    <x v="1"/>
  </r>
  <r>
    <x v="1"/>
    <x v="46"/>
    <x v="1"/>
    <x v="4"/>
    <x v="18"/>
    <n v="179"/>
    <n v="111"/>
    <n v="2"/>
    <n v="0"/>
    <n v="2297.5"/>
    <n v="1"/>
    <n v="2297.5"/>
    <n v="1"/>
    <n v="4"/>
    <n v="16"/>
    <n v="2024"/>
    <x v="2"/>
    <s v="首页推荐-直播"/>
    <x v="1"/>
    <x v="1"/>
  </r>
  <r>
    <x v="1"/>
    <x v="46"/>
    <x v="1"/>
    <x v="4"/>
    <x v="19"/>
    <n v="105"/>
    <n v="45"/>
    <n v="0"/>
    <n v="0"/>
    <n v="0"/>
    <n v="0"/>
    <n v="0"/>
    <n v="0"/>
    <n v="0"/>
    <n v="0"/>
    <n v="2024"/>
    <x v="2"/>
    <s v="首页推荐-短视频"/>
    <x v="1"/>
    <x v="1"/>
  </r>
  <r>
    <x v="1"/>
    <x v="46"/>
    <x v="1"/>
    <x v="12"/>
    <x v="42"/>
    <n v="964"/>
    <n v="734"/>
    <n v="99"/>
    <n v="12"/>
    <n v="74202.080000000002"/>
    <n v="25"/>
    <n v="65452.58"/>
    <n v="22"/>
    <n v="298"/>
    <n v="874"/>
    <n v="2024"/>
    <x v="2"/>
    <s v="手淘搜索-商品及其他"/>
    <x v="1"/>
    <x v="1"/>
  </r>
  <r>
    <x v="1"/>
    <x v="46"/>
    <x v="1"/>
    <x v="12"/>
    <x v="43"/>
    <n v="6"/>
    <n v="1"/>
    <n v="2"/>
    <n v="0"/>
    <n v="2995"/>
    <n v="1"/>
    <n v="0"/>
    <n v="0"/>
    <n v="4"/>
    <n v="6"/>
    <n v="2024"/>
    <x v="2"/>
    <s v="手淘搜索-直播"/>
    <x v="1"/>
    <x v="1"/>
  </r>
  <r>
    <x v="1"/>
    <x v="46"/>
    <x v="1"/>
    <x v="12"/>
    <x v="44"/>
    <n v="19"/>
    <n v="11"/>
    <n v="1"/>
    <n v="0"/>
    <n v="0"/>
    <n v="0"/>
    <n v="0"/>
    <n v="0"/>
    <n v="3"/>
    <n v="3"/>
    <n v="2024"/>
    <x v="2"/>
    <s v="手淘搜索-短视频"/>
    <x v="1"/>
    <x v="1"/>
  </r>
  <r>
    <x v="1"/>
    <x v="46"/>
    <x v="1"/>
    <x v="11"/>
    <x v="37"/>
    <n v="10"/>
    <n v="8"/>
    <n v="0"/>
    <n v="0"/>
    <n v="0"/>
    <n v="0"/>
    <n v="0"/>
    <n v="0"/>
    <n v="0"/>
    <n v="10"/>
    <n v="2024"/>
    <x v="2"/>
    <s v="淘特其他渠道"/>
    <x v="1"/>
    <x v="1"/>
  </r>
  <r>
    <x v="1"/>
    <x v="46"/>
    <x v="0"/>
    <x v="5"/>
    <x v="41"/>
    <n v="1620"/>
    <n v="1184"/>
    <n v="4"/>
    <n v="2"/>
    <n v="0"/>
    <n v="0"/>
    <n v="0"/>
    <n v="0"/>
    <n v="20"/>
    <n v="400"/>
    <n v="2024"/>
    <x v="2"/>
    <s v="超级直播"/>
    <x v="1"/>
    <x v="1"/>
  </r>
  <r>
    <x v="1"/>
    <x v="46"/>
    <x v="0"/>
    <x v="6"/>
    <x v="48"/>
    <n v="267"/>
    <n v="200"/>
    <n v="0"/>
    <n v="0"/>
    <n v="0"/>
    <n v="0"/>
    <n v="0"/>
    <n v="0"/>
    <n v="267"/>
    <n v="35"/>
    <n v="2024"/>
    <x v="2"/>
    <s v="Showmax"/>
    <x v="1"/>
    <x v="1"/>
  </r>
  <r>
    <x v="1"/>
    <x v="46"/>
    <x v="0"/>
    <x v="6"/>
    <x v="30"/>
    <n v="1185"/>
    <n v="902"/>
    <n v="0"/>
    <n v="0"/>
    <n v="0"/>
    <n v="0"/>
    <n v="0"/>
    <n v="0"/>
    <n v="1185"/>
    <n v="175"/>
    <n v="2024"/>
    <x v="2"/>
    <s v="品牌特秀"/>
    <x v="1"/>
    <x v="1"/>
  </r>
  <r>
    <x v="1"/>
    <x v="46"/>
    <x v="0"/>
    <x v="6"/>
    <x v="21"/>
    <n v="633"/>
    <n v="532"/>
    <n v="35"/>
    <n v="5"/>
    <n v="35824.5"/>
    <n v="11"/>
    <n v="35824.5"/>
    <n v="11"/>
    <n v="633"/>
    <n v="357"/>
    <n v="2024"/>
    <x v="2"/>
    <s v="品销宝-品牌专区"/>
    <x v="1"/>
    <x v="1"/>
  </r>
  <r>
    <x v="1"/>
    <x v="46"/>
    <x v="0"/>
    <x v="6"/>
    <x v="49"/>
    <n v="1"/>
    <n v="1"/>
    <n v="0"/>
    <n v="0"/>
    <n v="0"/>
    <n v="0"/>
    <n v="0"/>
    <n v="0"/>
    <n v="0"/>
    <n v="0"/>
    <n v="2024"/>
    <x v="2"/>
    <s v="超级全域通"/>
    <x v="1"/>
    <x v="1"/>
  </r>
  <r>
    <x v="1"/>
    <x v="46"/>
    <x v="0"/>
    <x v="0"/>
    <x v="2"/>
    <n v="3817"/>
    <n v="3297"/>
    <n v="93"/>
    <n v="19"/>
    <n v="94865.82"/>
    <n v="25"/>
    <n v="62602.82"/>
    <n v="19"/>
    <n v="302"/>
    <n v="3787"/>
    <n v="2024"/>
    <x v="2"/>
    <s v="直通车"/>
    <x v="1"/>
    <x v="1"/>
  </r>
  <r>
    <x v="1"/>
    <x v="46"/>
    <x v="0"/>
    <x v="0"/>
    <x v="0"/>
    <n v="3574"/>
    <n v="1950"/>
    <n v="74"/>
    <n v="44"/>
    <n v="26574.5"/>
    <n v="12"/>
    <n v="22939.5"/>
    <n v="10"/>
    <n v="223"/>
    <n v="3567"/>
    <n v="2024"/>
    <x v="2"/>
    <s v="万相台"/>
    <x v="1"/>
    <x v="1"/>
  </r>
  <r>
    <x v="1"/>
    <x v="46"/>
    <x v="0"/>
    <x v="0"/>
    <x v="1"/>
    <n v="13825"/>
    <n v="7064"/>
    <n v="38"/>
    <n v="43"/>
    <n v="18221.5"/>
    <n v="7"/>
    <n v="8563.5"/>
    <n v="4"/>
    <n v="378"/>
    <n v="13819"/>
    <n v="2024"/>
    <x v="2"/>
    <s v="引力魔方"/>
    <x v="1"/>
    <x v="1"/>
  </r>
  <r>
    <x v="1"/>
    <x v="46"/>
    <x v="0"/>
    <x v="7"/>
    <x v="23"/>
    <n v="2"/>
    <n v="2"/>
    <n v="0"/>
    <n v="0"/>
    <n v="0"/>
    <n v="0"/>
    <n v="0"/>
    <n v="0"/>
    <n v="0"/>
    <n v="1"/>
    <n v="2024"/>
    <x v="2"/>
    <s v="流量宝"/>
    <x v="1"/>
    <x v="1"/>
  </r>
  <r>
    <x v="1"/>
    <x v="46"/>
    <x v="0"/>
    <x v="7"/>
    <x v="24"/>
    <n v="445"/>
    <n v="147"/>
    <n v="6"/>
    <n v="1"/>
    <n v="11818.58"/>
    <n v="4"/>
    <n v="11818.58"/>
    <n v="4"/>
    <n v="16"/>
    <n v="435"/>
    <n v="2024"/>
    <x v="2"/>
    <s v="淘宝客"/>
    <x v="1"/>
    <x v="1"/>
  </r>
  <r>
    <x v="1"/>
    <x v="47"/>
    <x v="1"/>
    <x v="8"/>
    <x v="25"/>
    <n v="130"/>
    <n v="64"/>
    <n v="5"/>
    <n v="0"/>
    <n v="3980"/>
    <n v="1"/>
    <n v="3980"/>
    <n v="1"/>
    <n v="14"/>
    <n v="124"/>
    <n v="2024"/>
    <x v="2"/>
    <s v="主会场"/>
    <x v="1"/>
    <x v="1"/>
  </r>
  <r>
    <x v="1"/>
    <x v="47"/>
    <x v="1"/>
    <x v="2"/>
    <x v="4"/>
    <n v="2"/>
    <n v="1"/>
    <n v="0"/>
    <n v="0"/>
    <n v="0"/>
    <n v="0"/>
    <n v="0"/>
    <n v="0"/>
    <n v="0"/>
    <n v="2"/>
    <n v="2024"/>
    <x v="2"/>
    <s v="手机浏览器访问天猫"/>
    <x v="1"/>
    <x v="1"/>
  </r>
  <r>
    <x v="1"/>
    <x v="47"/>
    <x v="1"/>
    <x v="2"/>
    <x v="5"/>
    <n v="109"/>
    <n v="48"/>
    <n v="2"/>
    <n v="0"/>
    <n v="11263"/>
    <n v="5"/>
    <n v="9283"/>
    <n v="5"/>
    <n v="40"/>
    <n v="107"/>
    <n v="2024"/>
    <x v="2"/>
    <s v="手猫免费其他"/>
    <x v="1"/>
    <x v="1"/>
  </r>
  <r>
    <x v="1"/>
    <x v="47"/>
    <x v="1"/>
    <x v="2"/>
    <x v="6"/>
    <n v="2"/>
    <n v="1"/>
    <n v="0"/>
    <n v="0"/>
    <n v="1488"/>
    <n v="1"/>
    <n v="1488"/>
    <n v="1"/>
    <n v="0"/>
    <n v="2"/>
    <n v="2024"/>
    <x v="2"/>
    <s v="手猫其他店铺"/>
    <x v="1"/>
    <x v="1"/>
  </r>
  <r>
    <x v="1"/>
    <x v="47"/>
    <x v="1"/>
    <x v="2"/>
    <x v="7"/>
    <n v="29"/>
    <n v="11"/>
    <n v="1"/>
    <n v="0"/>
    <n v="1280"/>
    <n v="1"/>
    <n v="1280"/>
    <n v="1"/>
    <n v="6"/>
    <n v="26"/>
    <n v="2024"/>
    <x v="2"/>
    <s v="手猫商品详情"/>
    <x v="1"/>
    <x v="1"/>
  </r>
  <r>
    <x v="1"/>
    <x v="47"/>
    <x v="1"/>
    <x v="2"/>
    <x v="8"/>
    <n v="73"/>
    <n v="42"/>
    <n v="1"/>
    <n v="0"/>
    <n v="3960"/>
    <n v="1"/>
    <n v="1980"/>
    <n v="1"/>
    <n v="23"/>
    <n v="61"/>
    <n v="2024"/>
    <x v="2"/>
    <s v="手猫搜索"/>
    <x v="1"/>
    <x v="1"/>
  </r>
  <r>
    <x v="1"/>
    <x v="47"/>
    <x v="1"/>
    <x v="2"/>
    <x v="9"/>
    <n v="2"/>
    <n v="0"/>
    <n v="0"/>
    <n v="0"/>
    <n v="0"/>
    <n v="0"/>
    <n v="0"/>
    <n v="0"/>
    <n v="1"/>
    <n v="2"/>
    <n v="2024"/>
    <x v="2"/>
    <s v="手猫旺信聊天"/>
    <x v="1"/>
    <x v="1"/>
  </r>
  <r>
    <x v="1"/>
    <x v="47"/>
    <x v="1"/>
    <x v="2"/>
    <x v="10"/>
    <n v="464"/>
    <n v="275"/>
    <n v="5"/>
    <n v="0"/>
    <n v="4757"/>
    <n v="2"/>
    <n v="4757"/>
    <n v="2"/>
    <n v="20"/>
    <n v="464"/>
    <n v="2024"/>
    <x v="2"/>
    <s v="手猫首页"/>
    <x v="1"/>
    <x v="1"/>
  </r>
  <r>
    <x v="1"/>
    <x v="47"/>
    <x v="1"/>
    <x v="3"/>
    <x v="11"/>
    <n v="94"/>
    <n v="41"/>
    <n v="3"/>
    <n v="1"/>
    <n v="14637.32"/>
    <n v="3"/>
    <n v="12866.16"/>
    <n v="3"/>
    <n v="27"/>
    <n v="87"/>
    <n v="2024"/>
    <x v="2"/>
    <s v="商品详情页头图推荐"/>
    <x v="1"/>
    <x v="1"/>
  </r>
  <r>
    <x v="1"/>
    <x v="47"/>
    <x v="1"/>
    <x v="3"/>
    <x v="12"/>
    <n v="31"/>
    <n v="22"/>
    <n v="3"/>
    <n v="0"/>
    <n v="8457.2099999999991"/>
    <n v="2"/>
    <n v="8457.2099999999991"/>
    <n v="2"/>
    <n v="26"/>
    <n v="11"/>
    <n v="2024"/>
    <x v="2"/>
    <s v="店铺超链"/>
    <x v="1"/>
    <x v="1"/>
  </r>
  <r>
    <x v="1"/>
    <x v="47"/>
    <x v="1"/>
    <x v="4"/>
    <x v="13"/>
    <n v="156"/>
    <n v="80"/>
    <n v="5"/>
    <n v="4"/>
    <n v="1303"/>
    <n v="1"/>
    <n v="1303"/>
    <n v="1"/>
    <n v="48"/>
    <n v="134"/>
    <n v="2024"/>
    <x v="2"/>
    <s v="其他猜你喜欢"/>
    <x v="1"/>
    <x v="1"/>
  </r>
  <r>
    <x v="1"/>
    <x v="47"/>
    <x v="1"/>
    <x v="4"/>
    <x v="15"/>
    <n v="8"/>
    <n v="4"/>
    <n v="0"/>
    <n v="0"/>
    <n v="0"/>
    <n v="0"/>
    <n v="0"/>
    <n v="0"/>
    <n v="0"/>
    <n v="8"/>
    <n v="2024"/>
    <x v="2"/>
    <s v="购中推荐"/>
    <x v="1"/>
    <x v="1"/>
  </r>
  <r>
    <x v="1"/>
    <x v="47"/>
    <x v="1"/>
    <x v="4"/>
    <x v="16"/>
    <n v="23"/>
    <n v="9"/>
    <n v="0"/>
    <n v="0"/>
    <n v="0"/>
    <n v="0"/>
    <n v="0"/>
    <n v="0"/>
    <n v="0"/>
    <n v="20"/>
    <n v="2024"/>
    <x v="2"/>
    <s v="购后推荐"/>
    <x v="1"/>
    <x v="1"/>
  </r>
  <r>
    <x v="1"/>
    <x v="47"/>
    <x v="1"/>
    <x v="4"/>
    <x v="17"/>
    <n v="1723"/>
    <n v="863"/>
    <n v="29"/>
    <n v="18"/>
    <n v="23664.560000000001"/>
    <n v="9"/>
    <n v="21893.4"/>
    <n v="9"/>
    <n v="144"/>
    <n v="1723"/>
    <n v="2024"/>
    <x v="2"/>
    <s v="首页推荐-微详情"/>
    <x v="1"/>
    <x v="1"/>
  </r>
  <r>
    <x v="1"/>
    <x v="47"/>
    <x v="1"/>
    <x v="4"/>
    <x v="18"/>
    <n v="242"/>
    <n v="179"/>
    <n v="0"/>
    <n v="0"/>
    <n v="0"/>
    <n v="0"/>
    <n v="0"/>
    <n v="0"/>
    <n v="3"/>
    <n v="12"/>
    <n v="2024"/>
    <x v="2"/>
    <s v="首页推荐-直播"/>
    <x v="1"/>
    <x v="1"/>
  </r>
  <r>
    <x v="1"/>
    <x v="47"/>
    <x v="1"/>
    <x v="4"/>
    <x v="19"/>
    <n v="86"/>
    <n v="38"/>
    <n v="0"/>
    <n v="0"/>
    <n v="0"/>
    <n v="0"/>
    <n v="0"/>
    <n v="0"/>
    <n v="0"/>
    <n v="0"/>
    <n v="2024"/>
    <x v="2"/>
    <s v="首页推荐-短视频"/>
    <x v="1"/>
    <x v="1"/>
  </r>
  <r>
    <x v="1"/>
    <x v="47"/>
    <x v="1"/>
    <x v="12"/>
    <x v="42"/>
    <n v="1018"/>
    <n v="781"/>
    <n v="97"/>
    <n v="13"/>
    <n v="108295.5"/>
    <n v="31"/>
    <n v="90705.5"/>
    <n v="29"/>
    <n v="301"/>
    <n v="912"/>
    <n v="2024"/>
    <x v="2"/>
    <s v="手淘搜索-商品及其他"/>
    <x v="1"/>
    <x v="1"/>
  </r>
  <r>
    <x v="1"/>
    <x v="47"/>
    <x v="1"/>
    <x v="12"/>
    <x v="43"/>
    <n v="5"/>
    <n v="4"/>
    <n v="1"/>
    <n v="0"/>
    <n v="0"/>
    <n v="0"/>
    <n v="0"/>
    <n v="0"/>
    <n v="0"/>
    <n v="4"/>
    <n v="2024"/>
    <x v="2"/>
    <s v="手淘搜索-直播"/>
    <x v="1"/>
    <x v="1"/>
  </r>
  <r>
    <x v="1"/>
    <x v="47"/>
    <x v="1"/>
    <x v="12"/>
    <x v="44"/>
    <n v="25"/>
    <n v="15"/>
    <n v="0"/>
    <n v="0"/>
    <n v="1498"/>
    <n v="1"/>
    <n v="1498"/>
    <n v="1"/>
    <n v="4"/>
    <n v="7"/>
    <n v="2024"/>
    <x v="2"/>
    <s v="手淘搜索-短视频"/>
    <x v="1"/>
    <x v="1"/>
  </r>
  <r>
    <x v="1"/>
    <x v="47"/>
    <x v="1"/>
    <x v="11"/>
    <x v="37"/>
    <n v="29"/>
    <n v="28"/>
    <n v="0"/>
    <n v="0"/>
    <n v="0"/>
    <n v="0"/>
    <n v="0"/>
    <n v="0"/>
    <n v="0"/>
    <n v="29"/>
    <n v="2024"/>
    <x v="2"/>
    <s v="淘特其他渠道"/>
    <x v="1"/>
    <x v="1"/>
  </r>
  <r>
    <x v="1"/>
    <x v="47"/>
    <x v="1"/>
    <x v="11"/>
    <x v="39"/>
    <n v="1"/>
    <n v="1"/>
    <n v="0"/>
    <n v="0"/>
    <n v="0"/>
    <n v="0"/>
    <n v="0"/>
    <n v="0"/>
    <n v="0"/>
    <n v="1"/>
    <n v="2024"/>
    <x v="2"/>
    <s v="淘特搜索"/>
    <x v="1"/>
    <x v="1"/>
  </r>
  <r>
    <x v="1"/>
    <x v="47"/>
    <x v="0"/>
    <x v="5"/>
    <x v="41"/>
    <n v="1514"/>
    <n v="1001"/>
    <n v="3"/>
    <n v="0"/>
    <n v="0"/>
    <n v="0"/>
    <n v="0"/>
    <n v="0"/>
    <n v="16"/>
    <n v="247"/>
    <n v="2024"/>
    <x v="2"/>
    <s v="超级直播"/>
    <x v="1"/>
    <x v="1"/>
  </r>
  <r>
    <x v="1"/>
    <x v="47"/>
    <x v="0"/>
    <x v="6"/>
    <x v="48"/>
    <n v="414"/>
    <n v="346"/>
    <n v="0"/>
    <n v="0"/>
    <n v="0"/>
    <n v="0"/>
    <n v="0"/>
    <n v="0"/>
    <n v="414"/>
    <n v="41"/>
    <n v="2024"/>
    <x v="2"/>
    <s v="Showmax"/>
    <x v="1"/>
    <x v="1"/>
  </r>
  <r>
    <x v="1"/>
    <x v="47"/>
    <x v="0"/>
    <x v="6"/>
    <x v="30"/>
    <n v="1101"/>
    <n v="837"/>
    <n v="0"/>
    <n v="0"/>
    <n v="0"/>
    <n v="0"/>
    <n v="0"/>
    <n v="0"/>
    <n v="1101"/>
    <n v="140"/>
    <n v="2024"/>
    <x v="2"/>
    <s v="品牌特秀"/>
    <x v="1"/>
    <x v="1"/>
  </r>
  <r>
    <x v="1"/>
    <x v="47"/>
    <x v="0"/>
    <x v="6"/>
    <x v="21"/>
    <n v="659"/>
    <n v="525"/>
    <n v="17"/>
    <n v="4"/>
    <n v="14393.27"/>
    <n v="4"/>
    <n v="14393.27"/>
    <n v="4"/>
    <n v="659"/>
    <n v="360"/>
    <n v="2024"/>
    <x v="2"/>
    <s v="品销宝-品牌专区"/>
    <x v="1"/>
    <x v="1"/>
  </r>
  <r>
    <x v="1"/>
    <x v="47"/>
    <x v="0"/>
    <x v="0"/>
    <x v="2"/>
    <n v="4806"/>
    <n v="4281"/>
    <n v="119"/>
    <n v="36"/>
    <n v="163825"/>
    <n v="46"/>
    <n v="129440"/>
    <n v="39"/>
    <n v="326"/>
    <n v="4764"/>
    <n v="2024"/>
    <x v="2"/>
    <s v="直通车"/>
    <x v="1"/>
    <x v="1"/>
  </r>
  <r>
    <x v="1"/>
    <x v="47"/>
    <x v="0"/>
    <x v="0"/>
    <x v="0"/>
    <n v="3563"/>
    <n v="1998"/>
    <n v="65"/>
    <n v="20"/>
    <n v="128945.5"/>
    <n v="26"/>
    <n v="110163.5"/>
    <n v="24"/>
    <n v="222"/>
    <n v="3555"/>
    <n v="2024"/>
    <x v="2"/>
    <s v="万相台"/>
    <x v="1"/>
    <x v="1"/>
  </r>
  <r>
    <x v="1"/>
    <x v="47"/>
    <x v="0"/>
    <x v="0"/>
    <x v="1"/>
    <n v="12576"/>
    <n v="6538"/>
    <n v="37"/>
    <n v="40"/>
    <n v="45496"/>
    <n v="9"/>
    <n v="15551"/>
    <n v="6"/>
    <n v="309"/>
    <n v="12570"/>
    <n v="2024"/>
    <x v="2"/>
    <s v="引力魔方"/>
    <x v="1"/>
    <x v="1"/>
  </r>
  <r>
    <x v="1"/>
    <x v="47"/>
    <x v="0"/>
    <x v="7"/>
    <x v="23"/>
    <n v="1"/>
    <n v="0"/>
    <n v="0"/>
    <n v="0"/>
    <n v="0"/>
    <n v="0"/>
    <n v="0"/>
    <n v="0"/>
    <n v="1"/>
    <n v="0"/>
    <n v="2024"/>
    <x v="2"/>
    <s v="流量宝"/>
    <x v="1"/>
    <x v="1"/>
  </r>
  <r>
    <x v="1"/>
    <x v="47"/>
    <x v="0"/>
    <x v="7"/>
    <x v="24"/>
    <n v="475"/>
    <n v="174"/>
    <n v="9"/>
    <n v="3"/>
    <n v="15978"/>
    <n v="6"/>
    <n v="12564"/>
    <n v="5"/>
    <n v="22"/>
    <n v="462"/>
    <n v="2024"/>
    <x v="2"/>
    <s v="淘宝客"/>
    <x v="1"/>
    <x v="1"/>
  </r>
  <r>
    <x v="1"/>
    <x v="48"/>
    <x v="1"/>
    <x v="8"/>
    <x v="25"/>
    <n v="99"/>
    <n v="41"/>
    <n v="2"/>
    <n v="1"/>
    <n v="3083"/>
    <n v="2"/>
    <n v="1780"/>
    <n v="1"/>
    <n v="18"/>
    <n v="92"/>
    <n v="2024"/>
    <x v="2"/>
    <s v="主会场"/>
    <x v="1"/>
    <x v="1"/>
  </r>
  <r>
    <x v="1"/>
    <x v="48"/>
    <x v="1"/>
    <x v="8"/>
    <x v="26"/>
    <n v="13"/>
    <n v="13"/>
    <n v="0"/>
    <n v="0"/>
    <n v="0"/>
    <n v="0"/>
    <n v="0"/>
    <n v="0"/>
    <n v="0"/>
    <n v="13"/>
    <n v="2024"/>
    <x v="2"/>
    <s v="榜单会场"/>
    <x v="1"/>
    <x v="1"/>
  </r>
  <r>
    <x v="1"/>
    <x v="48"/>
    <x v="1"/>
    <x v="1"/>
    <x v="3"/>
    <n v="31"/>
    <n v="30"/>
    <n v="1"/>
    <n v="2"/>
    <n v="0"/>
    <n v="0"/>
    <n v="0"/>
    <n v="0"/>
    <n v="1"/>
    <n v="31"/>
    <n v="2024"/>
    <x v="2"/>
    <s v="其他入口榜单"/>
    <x v="1"/>
    <x v="1"/>
  </r>
  <r>
    <x v="1"/>
    <x v="48"/>
    <x v="1"/>
    <x v="1"/>
    <x v="28"/>
    <n v="3"/>
    <n v="3"/>
    <n v="0"/>
    <n v="0"/>
    <n v="0"/>
    <n v="0"/>
    <n v="0"/>
    <n v="0"/>
    <n v="0"/>
    <n v="3"/>
    <n v="2024"/>
    <x v="2"/>
    <s v="商品详情页入口榜单"/>
    <x v="1"/>
    <x v="1"/>
  </r>
  <r>
    <x v="1"/>
    <x v="48"/>
    <x v="1"/>
    <x v="1"/>
    <x v="35"/>
    <n v="2"/>
    <n v="2"/>
    <n v="0"/>
    <n v="0"/>
    <n v="0"/>
    <n v="0"/>
    <n v="0"/>
    <n v="0"/>
    <n v="1"/>
    <n v="2"/>
    <n v="2024"/>
    <x v="2"/>
    <s v="搜索入口榜单"/>
    <x v="1"/>
    <x v="1"/>
  </r>
  <r>
    <x v="1"/>
    <x v="48"/>
    <x v="1"/>
    <x v="2"/>
    <x v="5"/>
    <n v="86"/>
    <n v="42"/>
    <n v="1"/>
    <n v="0"/>
    <n v="0"/>
    <n v="0"/>
    <n v="0"/>
    <n v="0"/>
    <n v="20"/>
    <n v="85"/>
    <n v="2024"/>
    <x v="2"/>
    <s v="手猫免费其他"/>
    <x v="1"/>
    <x v="1"/>
  </r>
  <r>
    <x v="1"/>
    <x v="48"/>
    <x v="1"/>
    <x v="2"/>
    <x v="6"/>
    <n v="1"/>
    <n v="1"/>
    <n v="0"/>
    <n v="0"/>
    <n v="0"/>
    <n v="0"/>
    <n v="0"/>
    <n v="0"/>
    <n v="0"/>
    <n v="1"/>
    <n v="2024"/>
    <x v="2"/>
    <s v="手猫其他店铺"/>
    <x v="1"/>
    <x v="1"/>
  </r>
  <r>
    <x v="1"/>
    <x v="48"/>
    <x v="1"/>
    <x v="2"/>
    <x v="7"/>
    <n v="34"/>
    <n v="13"/>
    <n v="2"/>
    <n v="0"/>
    <n v="2655"/>
    <n v="1"/>
    <n v="2655"/>
    <n v="1"/>
    <n v="7"/>
    <n v="34"/>
    <n v="2024"/>
    <x v="2"/>
    <s v="手猫商品详情"/>
    <x v="1"/>
    <x v="1"/>
  </r>
  <r>
    <x v="1"/>
    <x v="48"/>
    <x v="1"/>
    <x v="2"/>
    <x v="8"/>
    <n v="48"/>
    <n v="29"/>
    <n v="0"/>
    <n v="0"/>
    <n v="0"/>
    <n v="0"/>
    <n v="0"/>
    <n v="0"/>
    <n v="13"/>
    <n v="45"/>
    <n v="2024"/>
    <x v="2"/>
    <s v="手猫搜索"/>
    <x v="1"/>
    <x v="1"/>
  </r>
  <r>
    <x v="1"/>
    <x v="48"/>
    <x v="1"/>
    <x v="2"/>
    <x v="9"/>
    <n v="1"/>
    <n v="0"/>
    <n v="0"/>
    <n v="0"/>
    <n v="0"/>
    <n v="0"/>
    <n v="0"/>
    <n v="0"/>
    <n v="0"/>
    <n v="1"/>
    <n v="2024"/>
    <x v="2"/>
    <s v="手猫旺信聊天"/>
    <x v="1"/>
    <x v="1"/>
  </r>
  <r>
    <x v="1"/>
    <x v="48"/>
    <x v="1"/>
    <x v="2"/>
    <x v="10"/>
    <n v="400"/>
    <n v="234"/>
    <n v="6"/>
    <n v="0"/>
    <n v="1725"/>
    <n v="1"/>
    <n v="1725"/>
    <n v="1"/>
    <n v="21"/>
    <n v="400"/>
    <n v="2024"/>
    <x v="2"/>
    <s v="手猫首页"/>
    <x v="1"/>
    <x v="1"/>
  </r>
  <r>
    <x v="1"/>
    <x v="48"/>
    <x v="1"/>
    <x v="3"/>
    <x v="11"/>
    <n v="88"/>
    <n v="33"/>
    <n v="5"/>
    <n v="1"/>
    <n v="12348"/>
    <n v="2"/>
    <n v="7874"/>
    <n v="2"/>
    <n v="30"/>
    <n v="81"/>
    <n v="2024"/>
    <x v="2"/>
    <s v="商品详情页头图推荐"/>
    <x v="1"/>
    <x v="1"/>
  </r>
  <r>
    <x v="1"/>
    <x v="48"/>
    <x v="1"/>
    <x v="3"/>
    <x v="12"/>
    <n v="24"/>
    <n v="14"/>
    <n v="0"/>
    <n v="3"/>
    <n v="0"/>
    <n v="0"/>
    <n v="0"/>
    <n v="0"/>
    <n v="20"/>
    <n v="11"/>
    <n v="2024"/>
    <x v="2"/>
    <s v="店铺超链"/>
    <x v="1"/>
    <x v="1"/>
  </r>
  <r>
    <x v="1"/>
    <x v="48"/>
    <x v="1"/>
    <x v="4"/>
    <x v="13"/>
    <n v="142"/>
    <n v="84"/>
    <n v="2"/>
    <n v="5"/>
    <n v="4695"/>
    <n v="1"/>
    <n v="4695"/>
    <n v="1"/>
    <n v="51"/>
    <n v="112"/>
    <n v="2024"/>
    <x v="2"/>
    <s v="其他猜你喜欢"/>
    <x v="1"/>
    <x v="1"/>
  </r>
  <r>
    <x v="1"/>
    <x v="48"/>
    <x v="1"/>
    <x v="4"/>
    <x v="15"/>
    <n v="2"/>
    <n v="0"/>
    <n v="0"/>
    <n v="0"/>
    <n v="0"/>
    <n v="0"/>
    <n v="0"/>
    <n v="0"/>
    <n v="0"/>
    <n v="2"/>
    <n v="2024"/>
    <x v="2"/>
    <s v="购中推荐"/>
    <x v="1"/>
    <x v="1"/>
  </r>
  <r>
    <x v="1"/>
    <x v="48"/>
    <x v="1"/>
    <x v="4"/>
    <x v="16"/>
    <n v="18"/>
    <n v="9"/>
    <n v="0"/>
    <n v="0"/>
    <n v="0"/>
    <n v="0"/>
    <n v="0"/>
    <n v="0"/>
    <n v="2"/>
    <n v="17"/>
    <n v="2024"/>
    <x v="2"/>
    <s v="购后推荐"/>
    <x v="1"/>
    <x v="1"/>
  </r>
  <r>
    <x v="1"/>
    <x v="48"/>
    <x v="1"/>
    <x v="4"/>
    <x v="17"/>
    <n v="1643"/>
    <n v="877"/>
    <n v="31"/>
    <n v="16"/>
    <n v="17560"/>
    <n v="6"/>
    <n v="11783"/>
    <n v="5"/>
    <n v="144"/>
    <n v="1643"/>
    <n v="2024"/>
    <x v="2"/>
    <s v="首页推荐-微详情"/>
    <x v="1"/>
    <x v="1"/>
  </r>
  <r>
    <x v="1"/>
    <x v="48"/>
    <x v="1"/>
    <x v="4"/>
    <x v="18"/>
    <n v="221"/>
    <n v="141"/>
    <n v="0"/>
    <n v="0"/>
    <n v="0"/>
    <n v="0"/>
    <n v="0"/>
    <n v="0"/>
    <n v="1"/>
    <n v="14"/>
    <n v="2024"/>
    <x v="2"/>
    <s v="首页推荐-直播"/>
    <x v="1"/>
    <x v="1"/>
  </r>
  <r>
    <x v="1"/>
    <x v="48"/>
    <x v="1"/>
    <x v="4"/>
    <x v="19"/>
    <n v="116"/>
    <n v="52"/>
    <n v="0"/>
    <n v="0"/>
    <n v="0"/>
    <n v="0"/>
    <n v="0"/>
    <n v="0"/>
    <n v="1"/>
    <n v="1"/>
    <n v="2024"/>
    <x v="2"/>
    <s v="首页推荐-短视频"/>
    <x v="1"/>
    <x v="1"/>
  </r>
  <r>
    <x v="1"/>
    <x v="48"/>
    <x v="1"/>
    <x v="12"/>
    <x v="42"/>
    <n v="771"/>
    <n v="583"/>
    <n v="32"/>
    <n v="11"/>
    <n v="33621"/>
    <n v="9"/>
    <n v="17031"/>
    <n v="8"/>
    <n v="201"/>
    <n v="707"/>
    <n v="2024"/>
    <x v="2"/>
    <s v="手淘搜索-商品及其他"/>
    <x v="1"/>
    <x v="1"/>
  </r>
  <r>
    <x v="1"/>
    <x v="48"/>
    <x v="1"/>
    <x v="12"/>
    <x v="43"/>
    <n v="14"/>
    <n v="4"/>
    <n v="0"/>
    <n v="0"/>
    <n v="0"/>
    <n v="0"/>
    <n v="0"/>
    <n v="0"/>
    <n v="1"/>
    <n v="11"/>
    <n v="2024"/>
    <x v="2"/>
    <s v="手淘搜索-直播"/>
    <x v="1"/>
    <x v="1"/>
  </r>
  <r>
    <x v="1"/>
    <x v="48"/>
    <x v="1"/>
    <x v="12"/>
    <x v="44"/>
    <n v="23"/>
    <n v="11"/>
    <n v="0"/>
    <n v="0"/>
    <n v="2125"/>
    <n v="1"/>
    <n v="2125"/>
    <n v="1"/>
    <n v="4"/>
    <n v="7"/>
    <n v="2024"/>
    <x v="2"/>
    <s v="手淘搜索-短视频"/>
    <x v="1"/>
    <x v="1"/>
  </r>
  <r>
    <x v="1"/>
    <x v="48"/>
    <x v="1"/>
    <x v="11"/>
    <x v="37"/>
    <n v="4"/>
    <n v="4"/>
    <n v="0"/>
    <n v="0"/>
    <n v="0"/>
    <n v="0"/>
    <n v="0"/>
    <n v="0"/>
    <n v="0"/>
    <n v="4"/>
    <n v="2024"/>
    <x v="2"/>
    <s v="淘特其他渠道"/>
    <x v="1"/>
    <x v="1"/>
  </r>
  <r>
    <x v="1"/>
    <x v="48"/>
    <x v="0"/>
    <x v="5"/>
    <x v="47"/>
    <n v="1"/>
    <n v="0"/>
    <n v="0"/>
    <n v="0"/>
    <n v="0"/>
    <n v="0"/>
    <n v="0"/>
    <n v="0"/>
    <n v="0"/>
    <n v="0"/>
    <n v="2024"/>
    <x v="2"/>
    <s v="短直联动"/>
    <x v="1"/>
    <x v="1"/>
  </r>
  <r>
    <x v="1"/>
    <x v="48"/>
    <x v="0"/>
    <x v="5"/>
    <x v="41"/>
    <n v="2039"/>
    <n v="1343"/>
    <n v="6"/>
    <n v="3"/>
    <n v="0"/>
    <n v="0"/>
    <n v="0"/>
    <n v="0"/>
    <n v="12"/>
    <n v="612"/>
    <n v="2024"/>
    <x v="2"/>
    <s v="超级直播"/>
    <x v="1"/>
    <x v="1"/>
  </r>
  <r>
    <x v="1"/>
    <x v="48"/>
    <x v="0"/>
    <x v="5"/>
    <x v="20"/>
    <n v="4041"/>
    <n v="3758"/>
    <n v="3"/>
    <n v="0"/>
    <n v="0"/>
    <n v="0"/>
    <n v="0"/>
    <n v="0"/>
    <n v="4"/>
    <n v="435"/>
    <n v="2024"/>
    <x v="2"/>
    <s v="超级短视频"/>
    <x v="1"/>
    <x v="1"/>
  </r>
  <r>
    <x v="1"/>
    <x v="48"/>
    <x v="0"/>
    <x v="6"/>
    <x v="48"/>
    <n v="1184"/>
    <n v="1020"/>
    <n v="0"/>
    <n v="0"/>
    <n v="0"/>
    <n v="0"/>
    <n v="0"/>
    <n v="0"/>
    <n v="1184"/>
    <n v="114"/>
    <n v="2024"/>
    <x v="2"/>
    <s v="Showmax"/>
    <x v="1"/>
    <x v="1"/>
  </r>
  <r>
    <x v="1"/>
    <x v="48"/>
    <x v="0"/>
    <x v="6"/>
    <x v="30"/>
    <n v="1531"/>
    <n v="1205"/>
    <n v="0"/>
    <n v="0"/>
    <n v="0"/>
    <n v="0"/>
    <n v="0"/>
    <n v="0"/>
    <n v="1531"/>
    <n v="226"/>
    <n v="2024"/>
    <x v="2"/>
    <s v="品牌特秀"/>
    <x v="1"/>
    <x v="1"/>
  </r>
  <r>
    <x v="1"/>
    <x v="48"/>
    <x v="0"/>
    <x v="6"/>
    <x v="21"/>
    <n v="580"/>
    <n v="479"/>
    <n v="20"/>
    <n v="4"/>
    <n v="7614"/>
    <n v="3"/>
    <n v="7614"/>
    <n v="3"/>
    <n v="580"/>
    <n v="323"/>
    <n v="2024"/>
    <x v="2"/>
    <s v="品销宝-品牌专区"/>
    <x v="1"/>
    <x v="1"/>
  </r>
  <r>
    <x v="1"/>
    <x v="48"/>
    <x v="0"/>
    <x v="0"/>
    <x v="2"/>
    <n v="2475"/>
    <n v="2093"/>
    <n v="31"/>
    <n v="24"/>
    <n v="26351"/>
    <n v="7"/>
    <n v="12751"/>
    <n v="4"/>
    <n v="202"/>
    <n v="2457"/>
    <n v="2024"/>
    <x v="2"/>
    <s v="直通车"/>
    <x v="1"/>
    <x v="1"/>
  </r>
  <r>
    <x v="1"/>
    <x v="48"/>
    <x v="0"/>
    <x v="0"/>
    <x v="0"/>
    <n v="2679"/>
    <n v="1416"/>
    <n v="37"/>
    <n v="24"/>
    <n v="31511.5"/>
    <n v="9"/>
    <n v="22406.5"/>
    <n v="8"/>
    <n v="157"/>
    <n v="2676"/>
    <n v="2024"/>
    <x v="2"/>
    <s v="万相台"/>
    <x v="1"/>
    <x v="1"/>
  </r>
  <r>
    <x v="1"/>
    <x v="48"/>
    <x v="0"/>
    <x v="0"/>
    <x v="1"/>
    <n v="8598"/>
    <n v="4448"/>
    <n v="33"/>
    <n v="34"/>
    <n v="6960"/>
    <n v="2"/>
    <n v="6960"/>
    <n v="2"/>
    <n v="244"/>
    <n v="8593"/>
    <n v="2024"/>
    <x v="2"/>
    <s v="引力魔方"/>
    <x v="1"/>
    <x v="1"/>
  </r>
  <r>
    <x v="1"/>
    <x v="48"/>
    <x v="0"/>
    <x v="7"/>
    <x v="22"/>
    <n v="1"/>
    <n v="1"/>
    <n v="0"/>
    <n v="0"/>
    <n v="0"/>
    <n v="0"/>
    <n v="0"/>
    <n v="0"/>
    <n v="0"/>
    <n v="0"/>
    <n v="2024"/>
    <x v="2"/>
    <s v="UD效果投放"/>
    <x v="1"/>
    <x v="1"/>
  </r>
  <r>
    <x v="1"/>
    <x v="48"/>
    <x v="0"/>
    <x v="7"/>
    <x v="23"/>
    <n v="1"/>
    <n v="1"/>
    <n v="0"/>
    <n v="0"/>
    <n v="0"/>
    <n v="0"/>
    <n v="0"/>
    <n v="0"/>
    <n v="0"/>
    <n v="0"/>
    <n v="2024"/>
    <x v="2"/>
    <s v="流量宝"/>
    <x v="1"/>
    <x v="1"/>
  </r>
  <r>
    <x v="1"/>
    <x v="48"/>
    <x v="0"/>
    <x v="7"/>
    <x v="24"/>
    <n v="416"/>
    <n v="135"/>
    <n v="3"/>
    <n v="1"/>
    <n v="0"/>
    <n v="0"/>
    <n v="0"/>
    <n v="0"/>
    <n v="8"/>
    <n v="408"/>
    <n v="2024"/>
    <x v="2"/>
    <s v="淘宝客"/>
    <x v="1"/>
    <x v="1"/>
  </r>
  <r>
    <x v="1"/>
    <x v="49"/>
    <x v="1"/>
    <x v="8"/>
    <x v="25"/>
    <n v="79"/>
    <n v="31"/>
    <n v="1"/>
    <n v="1"/>
    <n v="7295"/>
    <n v="1"/>
    <n v="7295"/>
    <n v="1"/>
    <n v="11"/>
    <n v="72"/>
    <n v="2024"/>
    <x v="2"/>
    <s v="主会场"/>
    <x v="1"/>
    <x v="1"/>
  </r>
  <r>
    <x v="1"/>
    <x v="49"/>
    <x v="1"/>
    <x v="8"/>
    <x v="26"/>
    <n v="19"/>
    <n v="18"/>
    <n v="0"/>
    <n v="0"/>
    <n v="0"/>
    <n v="0"/>
    <n v="0"/>
    <n v="0"/>
    <n v="1"/>
    <n v="19"/>
    <n v="2024"/>
    <x v="2"/>
    <s v="榜单会场"/>
    <x v="1"/>
    <x v="1"/>
  </r>
  <r>
    <x v="1"/>
    <x v="49"/>
    <x v="1"/>
    <x v="1"/>
    <x v="3"/>
    <n v="21"/>
    <n v="20"/>
    <n v="0"/>
    <n v="0"/>
    <n v="0"/>
    <n v="0"/>
    <n v="0"/>
    <n v="0"/>
    <n v="1"/>
    <n v="21"/>
    <n v="2024"/>
    <x v="2"/>
    <s v="其他入口榜单"/>
    <x v="1"/>
    <x v="1"/>
  </r>
  <r>
    <x v="1"/>
    <x v="49"/>
    <x v="1"/>
    <x v="1"/>
    <x v="28"/>
    <n v="3"/>
    <n v="3"/>
    <n v="0"/>
    <n v="0"/>
    <n v="0"/>
    <n v="0"/>
    <n v="0"/>
    <n v="0"/>
    <n v="0"/>
    <n v="3"/>
    <n v="2024"/>
    <x v="2"/>
    <s v="商品详情页入口榜单"/>
    <x v="1"/>
    <x v="1"/>
  </r>
  <r>
    <x v="1"/>
    <x v="49"/>
    <x v="1"/>
    <x v="1"/>
    <x v="35"/>
    <n v="5"/>
    <n v="5"/>
    <n v="0"/>
    <n v="0"/>
    <n v="0"/>
    <n v="0"/>
    <n v="0"/>
    <n v="0"/>
    <n v="0"/>
    <n v="5"/>
    <n v="2024"/>
    <x v="2"/>
    <s v="搜索入口榜单"/>
    <x v="1"/>
    <x v="1"/>
  </r>
  <r>
    <x v="1"/>
    <x v="49"/>
    <x v="1"/>
    <x v="2"/>
    <x v="4"/>
    <n v="1"/>
    <n v="1"/>
    <n v="0"/>
    <n v="0"/>
    <n v="0"/>
    <n v="0"/>
    <n v="0"/>
    <n v="0"/>
    <n v="1"/>
    <n v="0"/>
    <n v="2024"/>
    <x v="2"/>
    <s v="手机浏览器访问天猫"/>
    <x v="1"/>
    <x v="1"/>
  </r>
  <r>
    <x v="1"/>
    <x v="49"/>
    <x v="1"/>
    <x v="2"/>
    <x v="5"/>
    <n v="91"/>
    <n v="41"/>
    <n v="2"/>
    <n v="0"/>
    <n v="0"/>
    <n v="0"/>
    <n v="0"/>
    <n v="0"/>
    <n v="22"/>
    <n v="90"/>
    <n v="2024"/>
    <x v="2"/>
    <s v="手猫免费其他"/>
    <x v="1"/>
    <x v="1"/>
  </r>
  <r>
    <x v="1"/>
    <x v="49"/>
    <x v="1"/>
    <x v="2"/>
    <x v="6"/>
    <n v="7"/>
    <n v="5"/>
    <n v="0"/>
    <n v="0"/>
    <n v="0"/>
    <n v="0"/>
    <n v="0"/>
    <n v="0"/>
    <n v="0"/>
    <n v="7"/>
    <n v="2024"/>
    <x v="2"/>
    <s v="手猫其他店铺"/>
    <x v="1"/>
    <x v="1"/>
  </r>
  <r>
    <x v="1"/>
    <x v="49"/>
    <x v="1"/>
    <x v="2"/>
    <x v="7"/>
    <n v="31"/>
    <n v="18"/>
    <n v="1"/>
    <n v="0"/>
    <n v="1488"/>
    <n v="1"/>
    <n v="1488"/>
    <n v="1"/>
    <n v="6"/>
    <n v="30"/>
    <n v="2024"/>
    <x v="2"/>
    <s v="手猫商品详情"/>
    <x v="1"/>
    <x v="1"/>
  </r>
  <r>
    <x v="1"/>
    <x v="49"/>
    <x v="1"/>
    <x v="2"/>
    <x v="8"/>
    <n v="59"/>
    <n v="43"/>
    <n v="0"/>
    <n v="0"/>
    <n v="0"/>
    <n v="0"/>
    <n v="0"/>
    <n v="0"/>
    <n v="19"/>
    <n v="54"/>
    <n v="2024"/>
    <x v="2"/>
    <s v="手猫搜索"/>
    <x v="1"/>
    <x v="1"/>
  </r>
  <r>
    <x v="1"/>
    <x v="49"/>
    <x v="1"/>
    <x v="2"/>
    <x v="9"/>
    <n v="1"/>
    <n v="1"/>
    <n v="0"/>
    <n v="0"/>
    <n v="0"/>
    <n v="0"/>
    <n v="0"/>
    <n v="0"/>
    <n v="0"/>
    <n v="1"/>
    <n v="2024"/>
    <x v="2"/>
    <s v="手猫旺信聊天"/>
    <x v="1"/>
    <x v="1"/>
  </r>
  <r>
    <x v="1"/>
    <x v="49"/>
    <x v="1"/>
    <x v="2"/>
    <x v="10"/>
    <n v="397"/>
    <n v="215"/>
    <n v="1"/>
    <n v="0"/>
    <n v="0"/>
    <n v="0"/>
    <n v="0"/>
    <n v="0"/>
    <n v="20"/>
    <n v="397"/>
    <n v="2024"/>
    <x v="2"/>
    <s v="手猫首页"/>
    <x v="1"/>
    <x v="1"/>
  </r>
  <r>
    <x v="1"/>
    <x v="49"/>
    <x v="1"/>
    <x v="3"/>
    <x v="11"/>
    <n v="187"/>
    <n v="117"/>
    <n v="10"/>
    <n v="1"/>
    <n v="1303"/>
    <n v="1"/>
    <n v="1303"/>
    <n v="1"/>
    <n v="61"/>
    <n v="164"/>
    <n v="2024"/>
    <x v="2"/>
    <s v="商品详情页头图推荐"/>
    <x v="1"/>
    <x v="1"/>
  </r>
  <r>
    <x v="1"/>
    <x v="49"/>
    <x v="1"/>
    <x v="3"/>
    <x v="12"/>
    <n v="20"/>
    <n v="12"/>
    <n v="1"/>
    <n v="0"/>
    <n v="1000"/>
    <n v="1"/>
    <n v="1000"/>
    <n v="1"/>
    <n v="17"/>
    <n v="7"/>
    <n v="2024"/>
    <x v="2"/>
    <s v="店铺超链"/>
    <x v="1"/>
    <x v="1"/>
  </r>
  <r>
    <x v="1"/>
    <x v="49"/>
    <x v="1"/>
    <x v="4"/>
    <x v="13"/>
    <n v="168"/>
    <n v="104"/>
    <n v="3"/>
    <n v="1"/>
    <n v="0"/>
    <n v="0"/>
    <n v="0"/>
    <n v="0"/>
    <n v="75"/>
    <n v="126"/>
    <n v="2024"/>
    <x v="2"/>
    <s v="其他猜你喜欢"/>
    <x v="1"/>
    <x v="1"/>
  </r>
  <r>
    <x v="1"/>
    <x v="49"/>
    <x v="1"/>
    <x v="4"/>
    <x v="15"/>
    <n v="3"/>
    <n v="2"/>
    <n v="1"/>
    <n v="0"/>
    <n v="0"/>
    <n v="0"/>
    <n v="0"/>
    <n v="0"/>
    <n v="0"/>
    <n v="3"/>
    <n v="2024"/>
    <x v="2"/>
    <s v="购中推荐"/>
    <x v="1"/>
    <x v="1"/>
  </r>
  <r>
    <x v="1"/>
    <x v="49"/>
    <x v="1"/>
    <x v="4"/>
    <x v="16"/>
    <n v="14"/>
    <n v="5"/>
    <n v="0"/>
    <n v="0"/>
    <n v="0"/>
    <n v="0"/>
    <n v="0"/>
    <n v="0"/>
    <n v="2"/>
    <n v="14"/>
    <n v="2024"/>
    <x v="2"/>
    <s v="购后推荐"/>
    <x v="1"/>
    <x v="1"/>
  </r>
  <r>
    <x v="1"/>
    <x v="49"/>
    <x v="1"/>
    <x v="4"/>
    <x v="17"/>
    <n v="1836"/>
    <n v="1045"/>
    <n v="34"/>
    <n v="10"/>
    <n v="5899"/>
    <n v="3"/>
    <n v="5899"/>
    <n v="3"/>
    <n v="172"/>
    <n v="1836"/>
    <n v="2024"/>
    <x v="2"/>
    <s v="首页推荐-微详情"/>
    <x v="1"/>
    <x v="1"/>
  </r>
  <r>
    <x v="1"/>
    <x v="49"/>
    <x v="1"/>
    <x v="4"/>
    <x v="18"/>
    <n v="46"/>
    <n v="4"/>
    <n v="0"/>
    <n v="0"/>
    <n v="0"/>
    <n v="0"/>
    <n v="0"/>
    <n v="0"/>
    <n v="0"/>
    <n v="1"/>
    <n v="2024"/>
    <x v="2"/>
    <s v="首页推荐-直播"/>
    <x v="1"/>
    <x v="1"/>
  </r>
  <r>
    <x v="1"/>
    <x v="49"/>
    <x v="1"/>
    <x v="4"/>
    <x v="19"/>
    <n v="125"/>
    <n v="45"/>
    <n v="0"/>
    <n v="0"/>
    <n v="0"/>
    <n v="0"/>
    <n v="0"/>
    <n v="0"/>
    <n v="0"/>
    <n v="0"/>
    <n v="2024"/>
    <x v="2"/>
    <s v="首页推荐-短视频"/>
    <x v="1"/>
    <x v="1"/>
  </r>
  <r>
    <x v="1"/>
    <x v="49"/>
    <x v="1"/>
    <x v="12"/>
    <x v="42"/>
    <n v="789"/>
    <n v="591"/>
    <n v="36"/>
    <n v="13"/>
    <n v="14265"/>
    <n v="7"/>
    <n v="11777"/>
    <n v="6"/>
    <n v="253"/>
    <n v="705"/>
    <n v="2024"/>
    <x v="2"/>
    <s v="手淘搜索-商品及其他"/>
    <x v="1"/>
    <x v="1"/>
  </r>
  <r>
    <x v="1"/>
    <x v="49"/>
    <x v="1"/>
    <x v="12"/>
    <x v="44"/>
    <n v="20"/>
    <n v="8"/>
    <n v="1"/>
    <n v="0"/>
    <n v="0"/>
    <n v="0"/>
    <n v="0"/>
    <n v="0"/>
    <n v="5"/>
    <n v="6"/>
    <n v="2024"/>
    <x v="2"/>
    <s v="手淘搜索-短视频"/>
    <x v="1"/>
    <x v="1"/>
  </r>
  <r>
    <x v="1"/>
    <x v="49"/>
    <x v="1"/>
    <x v="11"/>
    <x v="37"/>
    <n v="10"/>
    <n v="8"/>
    <n v="0"/>
    <n v="0"/>
    <n v="0"/>
    <n v="0"/>
    <n v="0"/>
    <n v="0"/>
    <n v="1"/>
    <n v="10"/>
    <n v="2024"/>
    <x v="2"/>
    <s v="淘特其他渠道"/>
    <x v="1"/>
    <x v="1"/>
  </r>
  <r>
    <x v="1"/>
    <x v="49"/>
    <x v="0"/>
    <x v="5"/>
    <x v="41"/>
    <n v="14"/>
    <n v="10"/>
    <n v="0"/>
    <n v="0"/>
    <n v="0"/>
    <n v="0"/>
    <n v="0"/>
    <n v="0"/>
    <n v="0"/>
    <n v="8"/>
    <n v="2024"/>
    <x v="2"/>
    <s v="超级直播"/>
    <x v="1"/>
    <x v="1"/>
  </r>
  <r>
    <x v="1"/>
    <x v="49"/>
    <x v="0"/>
    <x v="5"/>
    <x v="20"/>
    <n v="7908"/>
    <n v="6802"/>
    <n v="1"/>
    <n v="0"/>
    <n v="0"/>
    <n v="0"/>
    <n v="0"/>
    <n v="0"/>
    <n v="0"/>
    <n v="176"/>
    <n v="2024"/>
    <x v="2"/>
    <s v="超级短视频"/>
    <x v="1"/>
    <x v="1"/>
  </r>
  <r>
    <x v="1"/>
    <x v="49"/>
    <x v="0"/>
    <x v="6"/>
    <x v="48"/>
    <n v="1080"/>
    <n v="894"/>
    <n v="0"/>
    <n v="0"/>
    <n v="0"/>
    <n v="0"/>
    <n v="0"/>
    <n v="0"/>
    <n v="1080"/>
    <n v="92"/>
    <n v="2024"/>
    <x v="2"/>
    <s v="Showmax"/>
    <x v="1"/>
    <x v="1"/>
  </r>
  <r>
    <x v="1"/>
    <x v="49"/>
    <x v="0"/>
    <x v="6"/>
    <x v="30"/>
    <n v="1489"/>
    <n v="1186"/>
    <n v="0"/>
    <n v="0"/>
    <n v="0"/>
    <n v="0"/>
    <n v="0"/>
    <n v="0"/>
    <n v="1489"/>
    <n v="205"/>
    <n v="2024"/>
    <x v="2"/>
    <s v="品牌特秀"/>
    <x v="1"/>
    <x v="1"/>
  </r>
  <r>
    <x v="1"/>
    <x v="49"/>
    <x v="0"/>
    <x v="6"/>
    <x v="21"/>
    <n v="636"/>
    <n v="526"/>
    <n v="23"/>
    <n v="6"/>
    <n v="20970"/>
    <n v="5"/>
    <n v="18845"/>
    <n v="5"/>
    <n v="636"/>
    <n v="326"/>
    <n v="2024"/>
    <x v="2"/>
    <s v="品销宝-品牌专区"/>
    <x v="1"/>
    <x v="1"/>
  </r>
  <r>
    <x v="1"/>
    <x v="49"/>
    <x v="0"/>
    <x v="0"/>
    <x v="2"/>
    <n v="2783"/>
    <n v="2335"/>
    <n v="37"/>
    <n v="24"/>
    <n v="13663"/>
    <n v="5"/>
    <n v="13663"/>
    <n v="5"/>
    <n v="240"/>
    <n v="2756"/>
    <n v="2024"/>
    <x v="2"/>
    <s v="直通车"/>
    <x v="1"/>
    <x v="1"/>
  </r>
  <r>
    <x v="1"/>
    <x v="49"/>
    <x v="0"/>
    <x v="0"/>
    <x v="0"/>
    <n v="2863"/>
    <n v="1773"/>
    <n v="37"/>
    <n v="24"/>
    <n v="14515"/>
    <n v="5"/>
    <n v="6315"/>
    <n v="3"/>
    <n v="152"/>
    <n v="2862"/>
    <n v="2024"/>
    <x v="2"/>
    <s v="万相台"/>
    <x v="1"/>
    <x v="1"/>
  </r>
  <r>
    <x v="1"/>
    <x v="49"/>
    <x v="0"/>
    <x v="0"/>
    <x v="1"/>
    <n v="8904"/>
    <n v="5263"/>
    <n v="35"/>
    <n v="30"/>
    <n v="6300"/>
    <n v="3"/>
    <n v="4820"/>
    <n v="2"/>
    <n v="213"/>
    <n v="8901"/>
    <n v="2024"/>
    <x v="2"/>
    <s v="引力魔方"/>
    <x v="1"/>
    <x v="1"/>
  </r>
  <r>
    <x v="1"/>
    <x v="49"/>
    <x v="0"/>
    <x v="7"/>
    <x v="24"/>
    <n v="552"/>
    <n v="304"/>
    <n v="2"/>
    <n v="2"/>
    <n v="0"/>
    <n v="0"/>
    <n v="0"/>
    <n v="0"/>
    <n v="15"/>
    <n v="545"/>
    <n v="2024"/>
    <x v="2"/>
    <s v="淘宝客"/>
    <x v="1"/>
    <x v="1"/>
  </r>
  <r>
    <x v="1"/>
    <x v="50"/>
    <x v="1"/>
    <x v="8"/>
    <x v="25"/>
    <n v="81"/>
    <n v="31"/>
    <n v="2"/>
    <n v="0"/>
    <n v="0"/>
    <n v="0"/>
    <n v="0"/>
    <n v="0"/>
    <n v="6"/>
    <n v="77"/>
    <n v="2024"/>
    <x v="2"/>
    <s v="主会场"/>
    <x v="1"/>
    <x v="1"/>
  </r>
  <r>
    <x v="1"/>
    <x v="50"/>
    <x v="1"/>
    <x v="8"/>
    <x v="26"/>
    <n v="16"/>
    <n v="16"/>
    <n v="0"/>
    <n v="0"/>
    <n v="0"/>
    <n v="0"/>
    <n v="0"/>
    <n v="0"/>
    <n v="0"/>
    <n v="16"/>
    <n v="2024"/>
    <x v="2"/>
    <s v="榜单会场"/>
    <x v="1"/>
    <x v="1"/>
  </r>
  <r>
    <x v="1"/>
    <x v="50"/>
    <x v="1"/>
    <x v="1"/>
    <x v="3"/>
    <n v="29"/>
    <n v="26"/>
    <n v="0"/>
    <n v="0"/>
    <n v="0"/>
    <n v="0"/>
    <n v="0"/>
    <n v="0"/>
    <n v="4"/>
    <n v="29"/>
    <n v="2024"/>
    <x v="2"/>
    <s v="其他入口榜单"/>
    <x v="1"/>
    <x v="1"/>
  </r>
  <r>
    <x v="1"/>
    <x v="50"/>
    <x v="1"/>
    <x v="1"/>
    <x v="28"/>
    <n v="1"/>
    <n v="1"/>
    <n v="0"/>
    <n v="0"/>
    <n v="0"/>
    <n v="0"/>
    <n v="0"/>
    <n v="0"/>
    <n v="0"/>
    <n v="1"/>
    <n v="2024"/>
    <x v="2"/>
    <s v="商品详情页入口榜单"/>
    <x v="1"/>
    <x v="1"/>
  </r>
  <r>
    <x v="1"/>
    <x v="50"/>
    <x v="1"/>
    <x v="1"/>
    <x v="35"/>
    <n v="3"/>
    <n v="3"/>
    <n v="0"/>
    <n v="0"/>
    <n v="0"/>
    <n v="0"/>
    <n v="0"/>
    <n v="0"/>
    <n v="0"/>
    <n v="3"/>
    <n v="2024"/>
    <x v="2"/>
    <s v="搜索入口榜单"/>
    <x v="1"/>
    <x v="1"/>
  </r>
  <r>
    <x v="1"/>
    <x v="50"/>
    <x v="1"/>
    <x v="2"/>
    <x v="4"/>
    <n v="1"/>
    <n v="1"/>
    <n v="0"/>
    <n v="0"/>
    <n v="0"/>
    <n v="0"/>
    <n v="0"/>
    <n v="0"/>
    <n v="0"/>
    <n v="1"/>
    <n v="2024"/>
    <x v="2"/>
    <s v="手机浏览器访问天猫"/>
    <x v="1"/>
    <x v="1"/>
  </r>
  <r>
    <x v="1"/>
    <x v="50"/>
    <x v="1"/>
    <x v="2"/>
    <x v="5"/>
    <n v="70"/>
    <n v="31"/>
    <n v="0"/>
    <n v="0"/>
    <n v="2237"/>
    <n v="1"/>
    <n v="2237"/>
    <n v="1"/>
    <n v="26"/>
    <n v="66"/>
    <n v="2024"/>
    <x v="2"/>
    <s v="手猫免费其他"/>
    <x v="1"/>
    <x v="1"/>
  </r>
  <r>
    <x v="1"/>
    <x v="50"/>
    <x v="1"/>
    <x v="2"/>
    <x v="6"/>
    <n v="5"/>
    <n v="2"/>
    <n v="0"/>
    <n v="0"/>
    <n v="0"/>
    <n v="0"/>
    <n v="0"/>
    <n v="0"/>
    <n v="0"/>
    <n v="5"/>
    <n v="2024"/>
    <x v="2"/>
    <s v="手猫其他店铺"/>
    <x v="1"/>
    <x v="1"/>
  </r>
  <r>
    <x v="1"/>
    <x v="50"/>
    <x v="1"/>
    <x v="2"/>
    <x v="7"/>
    <n v="28"/>
    <n v="11"/>
    <n v="0"/>
    <n v="0"/>
    <n v="1498"/>
    <n v="1"/>
    <n v="1498"/>
    <n v="1"/>
    <n v="5"/>
    <n v="27"/>
    <n v="2024"/>
    <x v="2"/>
    <s v="手猫商品详情"/>
    <x v="1"/>
    <x v="1"/>
  </r>
  <r>
    <x v="1"/>
    <x v="50"/>
    <x v="1"/>
    <x v="2"/>
    <x v="8"/>
    <n v="65"/>
    <n v="38"/>
    <n v="2"/>
    <n v="0"/>
    <n v="0"/>
    <n v="0"/>
    <n v="0"/>
    <n v="0"/>
    <n v="16"/>
    <n v="58"/>
    <n v="2024"/>
    <x v="2"/>
    <s v="手猫搜索"/>
    <x v="1"/>
    <x v="1"/>
  </r>
  <r>
    <x v="1"/>
    <x v="50"/>
    <x v="1"/>
    <x v="2"/>
    <x v="10"/>
    <n v="311"/>
    <n v="168"/>
    <n v="3"/>
    <n v="0"/>
    <n v="0"/>
    <n v="0"/>
    <n v="0"/>
    <n v="0"/>
    <n v="23"/>
    <n v="311"/>
    <n v="2024"/>
    <x v="2"/>
    <s v="手猫首页"/>
    <x v="1"/>
    <x v="1"/>
  </r>
  <r>
    <x v="1"/>
    <x v="50"/>
    <x v="1"/>
    <x v="3"/>
    <x v="11"/>
    <n v="223"/>
    <n v="139"/>
    <n v="5"/>
    <n v="4"/>
    <n v="4976"/>
    <n v="2"/>
    <n v="4976"/>
    <n v="2"/>
    <n v="55"/>
    <n v="175"/>
    <n v="2024"/>
    <x v="2"/>
    <s v="商品详情页头图推荐"/>
    <x v="1"/>
    <x v="1"/>
  </r>
  <r>
    <x v="1"/>
    <x v="50"/>
    <x v="1"/>
    <x v="3"/>
    <x v="12"/>
    <n v="26"/>
    <n v="17"/>
    <n v="2"/>
    <n v="1"/>
    <n v="0"/>
    <n v="0"/>
    <n v="0"/>
    <n v="0"/>
    <n v="21"/>
    <n v="12"/>
    <n v="2024"/>
    <x v="2"/>
    <s v="店铺超链"/>
    <x v="1"/>
    <x v="1"/>
  </r>
  <r>
    <x v="1"/>
    <x v="50"/>
    <x v="1"/>
    <x v="4"/>
    <x v="13"/>
    <n v="168"/>
    <n v="107"/>
    <n v="9"/>
    <n v="5"/>
    <n v="1980"/>
    <n v="1"/>
    <n v="1980"/>
    <n v="1"/>
    <n v="64"/>
    <n v="127"/>
    <n v="2024"/>
    <x v="2"/>
    <s v="其他猜你喜欢"/>
    <x v="1"/>
    <x v="1"/>
  </r>
  <r>
    <x v="1"/>
    <x v="50"/>
    <x v="1"/>
    <x v="4"/>
    <x v="15"/>
    <n v="4"/>
    <n v="1"/>
    <n v="0"/>
    <n v="0"/>
    <n v="0"/>
    <n v="0"/>
    <n v="0"/>
    <n v="0"/>
    <n v="1"/>
    <n v="4"/>
    <n v="2024"/>
    <x v="2"/>
    <s v="购中推荐"/>
    <x v="1"/>
    <x v="1"/>
  </r>
  <r>
    <x v="1"/>
    <x v="50"/>
    <x v="1"/>
    <x v="4"/>
    <x v="16"/>
    <n v="37"/>
    <n v="18"/>
    <n v="0"/>
    <n v="0"/>
    <n v="0"/>
    <n v="0"/>
    <n v="0"/>
    <n v="0"/>
    <n v="0"/>
    <n v="35"/>
    <n v="2024"/>
    <x v="2"/>
    <s v="购后推荐"/>
    <x v="1"/>
    <x v="1"/>
  </r>
  <r>
    <x v="1"/>
    <x v="50"/>
    <x v="1"/>
    <x v="4"/>
    <x v="17"/>
    <n v="1776"/>
    <n v="1008"/>
    <n v="46"/>
    <n v="19"/>
    <n v="8208.7000000000007"/>
    <n v="4"/>
    <n v="8208.7000000000007"/>
    <n v="4"/>
    <n v="208"/>
    <n v="1776"/>
    <n v="2024"/>
    <x v="2"/>
    <s v="首页推荐-微详情"/>
    <x v="1"/>
    <x v="1"/>
  </r>
  <r>
    <x v="1"/>
    <x v="50"/>
    <x v="1"/>
    <x v="4"/>
    <x v="18"/>
    <n v="225"/>
    <n v="124"/>
    <n v="0"/>
    <n v="0"/>
    <n v="0"/>
    <n v="0"/>
    <n v="0"/>
    <n v="0"/>
    <n v="0"/>
    <n v="4"/>
    <n v="2024"/>
    <x v="2"/>
    <s v="首页推荐-直播"/>
    <x v="1"/>
    <x v="1"/>
  </r>
  <r>
    <x v="1"/>
    <x v="50"/>
    <x v="1"/>
    <x v="4"/>
    <x v="19"/>
    <n v="82"/>
    <n v="41"/>
    <n v="0"/>
    <n v="0"/>
    <n v="0"/>
    <n v="0"/>
    <n v="0"/>
    <n v="0"/>
    <n v="0"/>
    <n v="0"/>
    <n v="2024"/>
    <x v="2"/>
    <s v="首页推荐-短视频"/>
    <x v="1"/>
    <x v="1"/>
  </r>
  <r>
    <x v="1"/>
    <x v="50"/>
    <x v="1"/>
    <x v="12"/>
    <x v="42"/>
    <n v="864"/>
    <n v="672"/>
    <n v="36"/>
    <n v="12"/>
    <n v="26171"/>
    <n v="4"/>
    <n v="23934"/>
    <n v="4"/>
    <n v="230"/>
    <n v="795"/>
    <n v="2024"/>
    <x v="2"/>
    <s v="手淘搜索-商品及其他"/>
    <x v="1"/>
    <x v="1"/>
  </r>
  <r>
    <x v="1"/>
    <x v="50"/>
    <x v="1"/>
    <x v="12"/>
    <x v="43"/>
    <n v="4"/>
    <n v="3"/>
    <n v="1"/>
    <n v="0"/>
    <n v="0"/>
    <n v="0"/>
    <n v="0"/>
    <n v="0"/>
    <n v="1"/>
    <n v="2"/>
    <n v="2024"/>
    <x v="2"/>
    <s v="手淘搜索-直播"/>
    <x v="1"/>
    <x v="1"/>
  </r>
  <r>
    <x v="1"/>
    <x v="50"/>
    <x v="1"/>
    <x v="12"/>
    <x v="44"/>
    <n v="30"/>
    <n v="14"/>
    <n v="2"/>
    <n v="1"/>
    <n v="4705"/>
    <n v="1"/>
    <n v="4705"/>
    <n v="1"/>
    <n v="2"/>
    <n v="7"/>
    <n v="2024"/>
    <x v="2"/>
    <s v="手淘搜索-短视频"/>
    <x v="1"/>
    <x v="1"/>
  </r>
  <r>
    <x v="1"/>
    <x v="50"/>
    <x v="1"/>
    <x v="11"/>
    <x v="37"/>
    <n v="16"/>
    <n v="16"/>
    <n v="0"/>
    <n v="0"/>
    <n v="0"/>
    <n v="0"/>
    <n v="0"/>
    <n v="0"/>
    <n v="0"/>
    <n v="16"/>
    <n v="2024"/>
    <x v="2"/>
    <s v="淘特其他渠道"/>
    <x v="1"/>
    <x v="1"/>
  </r>
  <r>
    <x v="1"/>
    <x v="50"/>
    <x v="1"/>
    <x v="11"/>
    <x v="39"/>
    <n v="1"/>
    <n v="1"/>
    <n v="0"/>
    <n v="0"/>
    <n v="0"/>
    <n v="0"/>
    <n v="0"/>
    <n v="0"/>
    <n v="0"/>
    <n v="1"/>
    <n v="2024"/>
    <x v="2"/>
    <s v="淘特搜索"/>
    <x v="1"/>
    <x v="1"/>
  </r>
  <r>
    <x v="1"/>
    <x v="50"/>
    <x v="0"/>
    <x v="5"/>
    <x v="47"/>
    <n v="1"/>
    <n v="1"/>
    <n v="0"/>
    <n v="0"/>
    <n v="0"/>
    <n v="0"/>
    <n v="0"/>
    <n v="0"/>
    <n v="0"/>
    <n v="0"/>
    <n v="2024"/>
    <x v="2"/>
    <s v="短直联动"/>
    <x v="1"/>
    <x v="1"/>
  </r>
  <r>
    <x v="1"/>
    <x v="50"/>
    <x v="0"/>
    <x v="5"/>
    <x v="41"/>
    <n v="6077"/>
    <n v="5545"/>
    <n v="1"/>
    <n v="1"/>
    <n v="0"/>
    <n v="0"/>
    <n v="0"/>
    <n v="0"/>
    <n v="17"/>
    <n v="1696"/>
    <n v="2024"/>
    <x v="2"/>
    <s v="超级直播"/>
    <x v="1"/>
    <x v="1"/>
  </r>
  <r>
    <x v="1"/>
    <x v="50"/>
    <x v="0"/>
    <x v="5"/>
    <x v="20"/>
    <n v="14956"/>
    <n v="12822"/>
    <n v="2"/>
    <n v="1"/>
    <n v="0"/>
    <n v="0"/>
    <n v="0"/>
    <n v="0"/>
    <n v="4"/>
    <n v="1560"/>
    <n v="2024"/>
    <x v="2"/>
    <s v="超级短视频"/>
    <x v="1"/>
    <x v="1"/>
  </r>
  <r>
    <x v="1"/>
    <x v="50"/>
    <x v="0"/>
    <x v="6"/>
    <x v="48"/>
    <n v="1030"/>
    <n v="881"/>
    <n v="0"/>
    <n v="0"/>
    <n v="0"/>
    <n v="0"/>
    <n v="0"/>
    <n v="0"/>
    <n v="1030"/>
    <n v="83"/>
    <n v="2024"/>
    <x v="2"/>
    <s v="Showmax"/>
    <x v="1"/>
    <x v="1"/>
  </r>
  <r>
    <x v="1"/>
    <x v="50"/>
    <x v="0"/>
    <x v="6"/>
    <x v="30"/>
    <n v="1424"/>
    <n v="1119"/>
    <n v="0"/>
    <n v="0"/>
    <n v="0"/>
    <n v="0"/>
    <n v="0"/>
    <n v="0"/>
    <n v="1424"/>
    <n v="200"/>
    <n v="2024"/>
    <x v="2"/>
    <s v="品牌特秀"/>
    <x v="1"/>
    <x v="1"/>
  </r>
  <r>
    <x v="1"/>
    <x v="50"/>
    <x v="0"/>
    <x v="6"/>
    <x v="21"/>
    <n v="688"/>
    <n v="569"/>
    <n v="14"/>
    <n v="6"/>
    <n v="3500"/>
    <n v="3"/>
    <n v="3500"/>
    <n v="3"/>
    <n v="688"/>
    <n v="351"/>
    <n v="2024"/>
    <x v="2"/>
    <s v="品销宝-品牌专区"/>
    <x v="1"/>
    <x v="1"/>
  </r>
  <r>
    <x v="1"/>
    <x v="50"/>
    <x v="0"/>
    <x v="0"/>
    <x v="2"/>
    <n v="3189"/>
    <n v="2717"/>
    <n v="39"/>
    <n v="23"/>
    <n v="47695"/>
    <n v="8"/>
    <n v="19945"/>
    <n v="6"/>
    <n v="292"/>
    <n v="3165"/>
    <n v="2024"/>
    <x v="2"/>
    <s v="直通车"/>
    <x v="1"/>
    <x v="1"/>
  </r>
  <r>
    <x v="1"/>
    <x v="50"/>
    <x v="0"/>
    <x v="0"/>
    <x v="0"/>
    <n v="2369"/>
    <n v="1388"/>
    <n v="30"/>
    <n v="19"/>
    <n v="16412"/>
    <n v="4"/>
    <n v="9227"/>
    <n v="3"/>
    <n v="128"/>
    <n v="2368"/>
    <n v="2024"/>
    <x v="2"/>
    <s v="万相台"/>
    <x v="1"/>
    <x v="1"/>
  </r>
  <r>
    <x v="1"/>
    <x v="50"/>
    <x v="0"/>
    <x v="0"/>
    <x v="1"/>
    <n v="12763"/>
    <n v="8031"/>
    <n v="35"/>
    <n v="43"/>
    <n v="0"/>
    <n v="0"/>
    <n v="0"/>
    <n v="0"/>
    <n v="270"/>
    <n v="12753"/>
    <n v="2024"/>
    <x v="2"/>
    <s v="引力魔方"/>
    <x v="1"/>
    <x v="1"/>
  </r>
  <r>
    <x v="1"/>
    <x v="50"/>
    <x v="0"/>
    <x v="7"/>
    <x v="23"/>
    <n v="1"/>
    <n v="0"/>
    <n v="0"/>
    <n v="0"/>
    <n v="0"/>
    <n v="0"/>
    <n v="0"/>
    <n v="0"/>
    <n v="0"/>
    <n v="1"/>
    <n v="2024"/>
    <x v="2"/>
    <s v="流量宝"/>
    <x v="1"/>
    <x v="1"/>
  </r>
  <r>
    <x v="1"/>
    <x v="50"/>
    <x v="0"/>
    <x v="7"/>
    <x v="24"/>
    <n v="1122"/>
    <n v="643"/>
    <n v="2"/>
    <n v="0"/>
    <n v="1980"/>
    <n v="1"/>
    <n v="1980"/>
    <n v="1"/>
    <n v="17"/>
    <n v="1109"/>
    <n v="2024"/>
    <x v="2"/>
    <s v="淘宝客"/>
    <x v="1"/>
    <x v="1"/>
  </r>
  <r>
    <x v="1"/>
    <x v="51"/>
    <x v="1"/>
    <x v="8"/>
    <x v="25"/>
    <n v="78"/>
    <n v="34"/>
    <n v="1"/>
    <n v="2"/>
    <n v="1303"/>
    <n v="1"/>
    <n v="0"/>
    <n v="0"/>
    <n v="7"/>
    <n v="73"/>
    <n v="2024"/>
    <x v="2"/>
    <s v="主会场"/>
    <x v="1"/>
    <x v="1"/>
  </r>
  <r>
    <x v="1"/>
    <x v="51"/>
    <x v="1"/>
    <x v="8"/>
    <x v="26"/>
    <n v="21"/>
    <n v="21"/>
    <n v="0"/>
    <n v="0"/>
    <n v="0"/>
    <n v="0"/>
    <n v="0"/>
    <n v="0"/>
    <n v="3"/>
    <n v="21"/>
    <n v="2024"/>
    <x v="2"/>
    <s v="榜单会场"/>
    <x v="1"/>
    <x v="1"/>
  </r>
  <r>
    <x v="1"/>
    <x v="51"/>
    <x v="1"/>
    <x v="1"/>
    <x v="3"/>
    <n v="13"/>
    <n v="11"/>
    <n v="0"/>
    <n v="0"/>
    <n v="0"/>
    <n v="0"/>
    <n v="0"/>
    <n v="0"/>
    <n v="0"/>
    <n v="13"/>
    <n v="2024"/>
    <x v="2"/>
    <s v="其他入口榜单"/>
    <x v="1"/>
    <x v="1"/>
  </r>
  <r>
    <x v="1"/>
    <x v="51"/>
    <x v="1"/>
    <x v="1"/>
    <x v="28"/>
    <n v="3"/>
    <n v="3"/>
    <n v="0"/>
    <n v="0"/>
    <n v="0"/>
    <n v="0"/>
    <n v="0"/>
    <n v="0"/>
    <n v="0"/>
    <n v="3"/>
    <n v="2024"/>
    <x v="2"/>
    <s v="商品详情页入口榜单"/>
    <x v="1"/>
    <x v="1"/>
  </r>
  <r>
    <x v="1"/>
    <x v="51"/>
    <x v="1"/>
    <x v="1"/>
    <x v="35"/>
    <n v="4"/>
    <n v="4"/>
    <n v="0"/>
    <n v="0"/>
    <n v="0"/>
    <n v="0"/>
    <n v="0"/>
    <n v="0"/>
    <n v="1"/>
    <n v="4"/>
    <n v="2024"/>
    <x v="2"/>
    <s v="搜索入口榜单"/>
    <x v="1"/>
    <x v="1"/>
  </r>
  <r>
    <x v="1"/>
    <x v="51"/>
    <x v="1"/>
    <x v="2"/>
    <x v="4"/>
    <n v="1"/>
    <n v="1"/>
    <n v="0"/>
    <n v="0"/>
    <n v="0"/>
    <n v="0"/>
    <n v="0"/>
    <n v="0"/>
    <n v="1"/>
    <n v="0"/>
    <n v="2024"/>
    <x v="2"/>
    <s v="手机浏览器访问天猫"/>
    <x v="1"/>
    <x v="1"/>
  </r>
  <r>
    <x v="1"/>
    <x v="51"/>
    <x v="1"/>
    <x v="2"/>
    <x v="5"/>
    <n v="89"/>
    <n v="48"/>
    <n v="1"/>
    <n v="0"/>
    <n v="0"/>
    <n v="0"/>
    <n v="0"/>
    <n v="0"/>
    <n v="25"/>
    <n v="85"/>
    <n v="2024"/>
    <x v="2"/>
    <s v="手猫免费其他"/>
    <x v="1"/>
    <x v="1"/>
  </r>
  <r>
    <x v="1"/>
    <x v="51"/>
    <x v="1"/>
    <x v="2"/>
    <x v="6"/>
    <n v="8"/>
    <n v="5"/>
    <n v="0"/>
    <n v="0"/>
    <n v="0"/>
    <n v="0"/>
    <n v="0"/>
    <n v="0"/>
    <n v="0"/>
    <n v="8"/>
    <n v="2024"/>
    <x v="2"/>
    <s v="手猫其他店铺"/>
    <x v="1"/>
    <x v="1"/>
  </r>
  <r>
    <x v="1"/>
    <x v="51"/>
    <x v="1"/>
    <x v="2"/>
    <x v="7"/>
    <n v="29"/>
    <n v="9"/>
    <n v="0"/>
    <n v="0"/>
    <n v="0"/>
    <n v="0"/>
    <n v="0"/>
    <n v="0"/>
    <n v="6"/>
    <n v="26"/>
    <n v="2024"/>
    <x v="2"/>
    <s v="手猫商品详情"/>
    <x v="1"/>
    <x v="1"/>
  </r>
  <r>
    <x v="1"/>
    <x v="51"/>
    <x v="1"/>
    <x v="2"/>
    <x v="8"/>
    <n v="63"/>
    <n v="37"/>
    <n v="0"/>
    <n v="0"/>
    <n v="0"/>
    <n v="0"/>
    <n v="0"/>
    <n v="0"/>
    <n v="25"/>
    <n v="51"/>
    <n v="2024"/>
    <x v="2"/>
    <s v="手猫搜索"/>
    <x v="1"/>
    <x v="1"/>
  </r>
  <r>
    <x v="1"/>
    <x v="51"/>
    <x v="1"/>
    <x v="2"/>
    <x v="9"/>
    <n v="1"/>
    <n v="0"/>
    <n v="0"/>
    <n v="0"/>
    <n v="0"/>
    <n v="0"/>
    <n v="0"/>
    <n v="0"/>
    <n v="0"/>
    <n v="1"/>
    <n v="2024"/>
    <x v="2"/>
    <s v="手猫旺信聊天"/>
    <x v="1"/>
    <x v="1"/>
  </r>
  <r>
    <x v="1"/>
    <x v="51"/>
    <x v="1"/>
    <x v="2"/>
    <x v="10"/>
    <n v="332"/>
    <n v="190"/>
    <n v="1"/>
    <n v="0"/>
    <n v="1000"/>
    <n v="1"/>
    <n v="1000"/>
    <n v="1"/>
    <n v="17"/>
    <n v="332"/>
    <n v="2024"/>
    <x v="2"/>
    <s v="手猫首页"/>
    <x v="1"/>
    <x v="1"/>
  </r>
  <r>
    <x v="1"/>
    <x v="51"/>
    <x v="1"/>
    <x v="3"/>
    <x v="11"/>
    <n v="187"/>
    <n v="111"/>
    <n v="8"/>
    <n v="3"/>
    <n v="1498"/>
    <n v="1"/>
    <n v="1498"/>
    <n v="1"/>
    <n v="69"/>
    <n v="161"/>
    <n v="2024"/>
    <x v="2"/>
    <s v="商品详情页头图推荐"/>
    <x v="1"/>
    <x v="1"/>
  </r>
  <r>
    <x v="1"/>
    <x v="51"/>
    <x v="1"/>
    <x v="3"/>
    <x v="12"/>
    <n v="17"/>
    <n v="11"/>
    <n v="0"/>
    <n v="1"/>
    <n v="0"/>
    <n v="0"/>
    <n v="0"/>
    <n v="0"/>
    <n v="16"/>
    <n v="9"/>
    <n v="2024"/>
    <x v="2"/>
    <s v="店铺超链"/>
    <x v="1"/>
    <x v="1"/>
  </r>
  <r>
    <x v="1"/>
    <x v="51"/>
    <x v="1"/>
    <x v="4"/>
    <x v="13"/>
    <n v="177"/>
    <n v="103"/>
    <n v="8"/>
    <n v="1"/>
    <n v="21862"/>
    <n v="5"/>
    <n v="17167"/>
    <n v="4"/>
    <n v="63"/>
    <n v="139"/>
    <n v="2024"/>
    <x v="2"/>
    <s v="其他猜你喜欢"/>
    <x v="1"/>
    <x v="1"/>
  </r>
  <r>
    <x v="1"/>
    <x v="51"/>
    <x v="1"/>
    <x v="4"/>
    <x v="15"/>
    <n v="2"/>
    <n v="1"/>
    <n v="0"/>
    <n v="0"/>
    <n v="0"/>
    <n v="0"/>
    <n v="0"/>
    <n v="0"/>
    <n v="0"/>
    <n v="2"/>
    <n v="2024"/>
    <x v="2"/>
    <s v="购中推荐"/>
    <x v="1"/>
    <x v="1"/>
  </r>
  <r>
    <x v="1"/>
    <x v="51"/>
    <x v="1"/>
    <x v="4"/>
    <x v="16"/>
    <n v="12"/>
    <n v="8"/>
    <n v="0"/>
    <n v="0"/>
    <n v="0"/>
    <n v="0"/>
    <n v="0"/>
    <n v="0"/>
    <n v="1"/>
    <n v="11"/>
    <n v="2024"/>
    <x v="2"/>
    <s v="购后推荐"/>
    <x v="1"/>
    <x v="1"/>
  </r>
  <r>
    <x v="1"/>
    <x v="51"/>
    <x v="1"/>
    <x v="4"/>
    <x v="17"/>
    <n v="1616"/>
    <n v="887"/>
    <n v="35"/>
    <n v="10"/>
    <n v="13653"/>
    <n v="7"/>
    <n v="7461"/>
    <n v="5"/>
    <n v="174"/>
    <n v="1616"/>
    <n v="2024"/>
    <x v="2"/>
    <s v="首页推荐-微详情"/>
    <x v="1"/>
    <x v="1"/>
  </r>
  <r>
    <x v="1"/>
    <x v="51"/>
    <x v="1"/>
    <x v="4"/>
    <x v="18"/>
    <n v="37"/>
    <n v="12"/>
    <n v="0"/>
    <n v="0"/>
    <n v="0"/>
    <n v="0"/>
    <n v="0"/>
    <n v="0"/>
    <n v="0"/>
    <n v="1"/>
    <n v="2024"/>
    <x v="2"/>
    <s v="首页推荐-直播"/>
    <x v="1"/>
    <x v="1"/>
  </r>
  <r>
    <x v="1"/>
    <x v="51"/>
    <x v="1"/>
    <x v="4"/>
    <x v="19"/>
    <n v="76"/>
    <n v="35"/>
    <n v="0"/>
    <n v="0"/>
    <n v="0"/>
    <n v="0"/>
    <n v="0"/>
    <n v="0"/>
    <n v="0"/>
    <n v="0"/>
    <n v="2024"/>
    <x v="2"/>
    <s v="首页推荐-短视频"/>
    <x v="1"/>
    <x v="1"/>
  </r>
  <r>
    <x v="1"/>
    <x v="51"/>
    <x v="1"/>
    <x v="12"/>
    <x v="42"/>
    <n v="725"/>
    <n v="537"/>
    <n v="35"/>
    <n v="13"/>
    <n v="9634.0300000000007"/>
    <n v="5"/>
    <n v="9634.0300000000007"/>
    <n v="5"/>
    <n v="186"/>
    <n v="668"/>
    <n v="2024"/>
    <x v="2"/>
    <s v="手淘搜索-商品及其他"/>
    <x v="1"/>
    <x v="1"/>
  </r>
  <r>
    <x v="1"/>
    <x v="51"/>
    <x v="1"/>
    <x v="12"/>
    <x v="44"/>
    <n v="19"/>
    <n v="7"/>
    <n v="0"/>
    <n v="0"/>
    <n v="13700"/>
    <n v="1"/>
    <n v="6800"/>
    <n v="1"/>
    <n v="3"/>
    <n v="6"/>
    <n v="2024"/>
    <x v="2"/>
    <s v="手淘搜索-短视频"/>
    <x v="1"/>
    <x v="1"/>
  </r>
  <r>
    <x v="1"/>
    <x v="51"/>
    <x v="1"/>
    <x v="11"/>
    <x v="37"/>
    <n v="9"/>
    <n v="8"/>
    <n v="0"/>
    <n v="0"/>
    <n v="0"/>
    <n v="0"/>
    <n v="0"/>
    <n v="0"/>
    <n v="0"/>
    <n v="9"/>
    <n v="2024"/>
    <x v="2"/>
    <s v="淘特其他渠道"/>
    <x v="1"/>
    <x v="1"/>
  </r>
  <r>
    <x v="1"/>
    <x v="51"/>
    <x v="0"/>
    <x v="5"/>
    <x v="41"/>
    <n v="23"/>
    <n v="18"/>
    <n v="0"/>
    <n v="0"/>
    <n v="0"/>
    <n v="0"/>
    <n v="0"/>
    <n v="0"/>
    <n v="0"/>
    <n v="16"/>
    <n v="2024"/>
    <x v="2"/>
    <s v="超级直播"/>
    <x v="1"/>
    <x v="1"/>
  </r>
  <r>
    <x v="1"/>
    <x v="51"/>
    <x v="0"/>
    <x v="5"/>
    <x v="20"/>
    <n v="8981"/>
    <n v="6898"/>
    <n v="0"/>
    <n v="2"/>
    <n v="0"/>
    <n v="0"/>
    <n v="0"/>
    <n v="0"/>
    <n v="0"/>
    <n v="154"/>
    <n v="2024"/>
    <x v="2"/>
    <s v="超级短视频"/>
    <x v="1"/>
    <x v="1"/>
  </r>
  <r>
    <x v="1"/>
    <x v="51"/>
    <x v="0"/>
    <x v="6"/>
    <x v="48"/>
    <n v="1110"/>
    <n v="945"/>
    <n v="0"/>
    <n v="0"/>
    <n v="0"/>
    <n v="0"/>
    <n v="0"/>
    <n v="0"/>
    <n v="1110"/>
    <n v="106"/>
    <n v="2024"/>
    <x v="2"/>
    <s v="Showmax"/>
    <x v="1"/>
    <x v="1"/>
  </r>
  <r>
    <x v="1"/>
    <x v="51"/>
    <x v="0"/>
    <x v="6"/>
    <x v="30"/>
    <n v="1466"/>
    <n v="1200"/>
    <n v="0"/>
    <n v="0"/>
    <n v="0"/>
    <n v="0"/>
    <n v="0"/>
    <n v="0"/>
    <n v="1466"/>
    <n v="215"/>
    <n v="2024"/>
    <x v="2"/>
    <s v="品牌特秀"/>
    <x v="1"/>
    <x v="1"/>
  </r>
  <r>
    <x v="1"/>
    <x v="51"/>
    <x v="0"/>
    <x v="6"/>
    <x v="21"/>
    <n v="548"/>
    <n v="437"/>
    <n v="19"/>
    <n v="4"/>
    <n v="1480"/>
    <n v="1"/>
    <n v="1480"/>
    <n v="1"/>
    <n v="548"/>
    <n v="294"/>
    <n v="2024"/>
    <x v="2"/>
    <s v="品销宝-品牌专区"/>
    <x v="1"/>
    <x v="1"/>
  </r>
  <r>
    <x v="1"/>
    <x v="51"/>
    <x v="0"/>
    <x v="0"/>
    <x v="2"/>
    <n v="2149"/>
    <n v="1735"/>
    <n v="23"/>
    <n v="21"/>
    <n v="54527"/>
    <n v="9"/>
    <n v="31852"/>
    <n v="6"/>
    <n v="236"/>
    <n v="2128"/>
    <n v="2024"/>
    <x v="2"/>
    <s v="直通车"/>
    <x v="1"/>
    <x v="1"/>
  </r>
  <r>
    <x v="1"/>
    <x v="51"/>
    <x v="0"/>
    <x v="0"/>
    <x v="0"/>
    <n v="2915"/>
    <n v="1821"/>
    <n v="37"/>
    <n v="35"/>
    <n v="13105"/>
    <n v="4"/>
    <n v="3160"/>
    <n v="2"/>
    <n v="157"/>
    <n v="2914"/>
    <n v="2024"/>
    <x v="2"/>
    <s v="万相台"/>
    <x v="1"/>
    <x v="1"/>
  </r>
  <r>
    <x v="1"/>
    <x v="51"/>
    <x v="0"/>
    <x v="0"/>
    <x v="1"/>
    <n v="13718"/>
    <n v="8627"/>
    <n v="24"/>
    <n v="33"/>
    <n v="1303"/>
    <n v="1"/>
    <n v="1303"/>
    <n v="1"/>
    <n v="269"/>
    <n v="13710"/>
    <n v="2024"/>
    <x v="2"/>
    <s v="引力魔方"/>
    <x v="1"/>
    <x v="1"/>
  </r>
  <r>
    <x v="1"/>
    <x v="51"/>
    <x v="0"/>
    <x v="7"/>
    <x v="23"/>
    <n v="4"/>
    <n v="2"/>
    <n v="0"/>
    <n v="0"/>
    <n v="0"/>
    <n v="0"/>
    <n v="0"/>
    <n v="0"/>
    <n v="0"/>
    <n v="3"/>
    <n v="2024"/>
    <x v="2"/>
    <s v="流量宝"/>
    <x v="1"/>
    <x v="1"/>
  </r>
  <r>
    <x v="1"/>
    <x v="51"/>
    <x v="0"/>
    <x v="7"/>
    <x v="24"/>
    <n v="1356"/>
    <n v="564"/>
    <n v="2"/>
    <n v="0"/>
    <n v="1680"/>
    <n v="1"/>
    <n v="1680"/>
    <n v="1"/>
    <n v="23"/>
    <n v="1352"/>
    <n v="2024"/>
    <x v="2"/>
    <s v="淘宝客"/>
    <x v="1"/>
    <x v="1"/>
  </r>
  <r>
    <x v="1"/>
    <x v="52"/>
    <x v="1"/>
    <x v="8"/>
    <x v="25"/>
    <n v="93"/>
    <n v="44"/>
    <n v="6"/>
    <n v="4"/>
    <n v="0"/>
    <n v="0"/>
    <n v="0"/>
    <n v="0"/>
    <n v="17"/>
    <n v="82"/>
    <n v="2024"/>
    <x v="2"/>
    <s v="主会场"/>
    <x v="1"/>
    <x v="1"/>
  </r>
  <r>
    <x v="1"/>
    <x v="52"/>
    <x v="1"/>
    <x v="8"/>
    <x v="26"/>
    <n v="11"/>
    <n v="11"/>
    <n v="0"/>
    <n v="1"/>
    <n v="0"/>
    <n v="0"/>
    <n v="0"/>
    <n v="0"/>
    <n v="1"/>
    <n v="11"/>
    <n v="2024"/>
    <x v="2"/>
    <s v="榜单会场"/>
    <x v="1"/>
    <x v="1"/>
  </r>
  <r>
    <x v="1"/>
    <x v="52"/>
    <x v="1"/>
    <x v="1"/>
    <x v="3"/>
    <n v="22"/>
    <n v="19"/>
    <n v="1"/>
    <n v="3"/>
    <n v="0"/>
    <n v="0"/>
    <n v="0"/>
    <n v="0"/>
    <n v="5"/>
    <n v="22"/>
    <n v="2024"/>
    <x v="2"/>
    <s v="其他入口榜单"/>
    <x v="1"/>
    <x v="1"/>
  </r>
  <r>
    <x v="1"/>
    <x v="52"/>
    <x v="1"/>
    <x v="1"/>
    <x v="28"/>
    <n v="6"/>
    <n v="6"/>
    <n v="0"/>
    <n v="0"/>
    <n v="0"/>
    <n v="0"/>
    <n v="0"/>
    <n v="0"/>
    <n v="0"/>
    <n v="6"/>
    <n v="2024"/>
    <x v="2"/>
    <s v="商品详情页入口榜单"/>
    <x v="1"/>
    <x v="1"/>
  </r>
  <r>
    <x v="1"/>
    <x v="52"/>
    <x v="1"/>
    <x v="1"/>
    <x v="35"/>
    <n v="3"/>
    <n v="3"/>
    <n v="0"/>
    <n v="0"/>
    <n v="0"/>
    <n v="0"/>
    <n v="0"/>
    <n v="0"/>
    <n v="0"/>
    <n v="3"/>
    <n v="2024"/>
    <x v="2"/>
    <s v="搜索入口榜单"/>
    <x v="1"/>
    <x v="1"/>
  </r>
  <r>
    <x v="1"/>
    <x v="52"/>
    <x v="1"/>
    <x v="2"/>
    <x v="4"/>
    <n v="1"/>
    <n v="1"/>
    <n v="0"/>
    <n v="0"/>
    <n v="0"/>
    <n v="0"/>
    <n v="0"/>
    <n v="0"/>
    <n v="1"/>
    <n v="0"/>
    <n v="2024"/>
    <x v="2"/>
    <s v="手机浏览器访问天猫"/>
    <x v="1"/>
    <x v="1"/>
  </r>
  <r>
    <x v="1"/>
    <x v="52"/>
    <x v="1"/>
    <x v="2"/>
    <x v="5"/>
    <n v="88"/>
    <n v="44"/>
    <n v="2"/>
    <n v="0"/>
    <n v="2347.5"/>
    <n v="1"/>
    <n v="2347.5"/>
    <n v="1"/>
    <n v="29"/>
    <n v="87"/>
    <n v="2024"/>
    <x v="2"/>
    <s v="手猫免费其他"/>
    <x v="1"/>
    <x v="1"/>
  </r>
  <r>
    <x v="1"/>
    <x v="52"/>
    <x v="1"/>
    <x v="2"/>
    <x v="6"/>
    <n v="8"/>
    <n v="1"/>
    <n v="0"/>
    <n v="0"/>
    <n v="0"/>
    <n v="0"/>
    <n v="0"/>
    <n v="0"/>
    <n v="1"/>
    <n v="8"/>
    <n v="2024"/>
    <x v="2"/>
    <s v="手猫其他店铺"/>
    <x v="1"/>
    <x v="1"/>
  </r>
  <r>
    <x v="1"/>
    <x v="52"/>
    <x v="1"/>
    <x v="2"/>
    <x v="7"/>
    <n v="32"/>
    <n v="8"/>
    <n v="1"/>
    <n v="0"/>
    <n v="2237"/>
    <n v="1"/>
    <n v="2237"/>
    <n v="1"/>
    <n v="3"/>
    <n v="31"/>
    <n v="2024"/>
    <x v="2"/>
    <s v="手猫商品详情"/>
    <x v="1"/>
    <x v="1"/>
  </r>
  <r>
    <x v="1"/>
    <x v="52"/>
    <x v="1"/>
    <x v="2"/>
    <x v="8"/>
    <n v="67"/>
    <n v="40"/>
    <n v="0"/>
    <n v="0"/>
    <n v="4627.5"/>
    <n v="2"/>
    <n v="2347.5"/>
    <n v="1"/>
    <n v="25"/>
    <n v="58"/>
    <n v="2024"/>
    <x v="2"/>
    <s v="手猫搜索"/>
    <x v="1"/>
    <x v="1"/>
  </r>
  <r>
    <x v="1"/>
    <x v="52"/>
    <x v="1"/>
    <x v="2"/>
    <x v="9"/>
    <n v="3"/>
    <n v="1"/>
    <n v="0"/>
    <n v="0"/>
    <n v="0"/>
    <n v="0"/>
    <n v="0"/>
    <n v="0"/>
    <n v="0"/>
    <n v="3"/>
    <n v="2024"/>
    <x v="2"/>
    <s v="手猫旺信聊天"/>
    <x v="1"/>
    <x v="1"/>
  </r>
  <r>
    <x v="1"/>
    <x v="52"/>
    <x v="1"/>
    <x v="2"/>
    <x v="10"/>
    <n v="383"/>
    <n v="207"/>
    <n v="1"/>
    <n v="0"/>
    <n v="0"/>
    <n v="0"/>
    <n v="0"/>
    <n v="0"/>
    <n v="24"/>
    <n v="383"/>
    <n v="2024"/>
    <x v="2"/>
    <s v="手猫首页"/>
    <x v="1"/>
    <x v="1"/>
  </r>
  <r>
    <x v="1"/>
    <x v="52"/>
    <x v="1"/>
    <x v="3"/>
    <x v="11"/>
    <n v="173"/>
    <n v="96"/>
    <n v="3"/>
    <n v="1"/>
    <n v="4705"/>
    <n v="1"/>
    <n v="4705"/>
    <n v="1"/>
    <n v="49"/>
    <n v="147"/>
    <n v="2024"/>
    <x v="2"/>
    <s v="商品详情页头图推荐"/>
    <x v="1"/>
    <x v="1"/>
  </r>
  <r>
    <x v="1"/>
    <x v="52"/>
    <x v="1"/>
    <x v="3"/>
    <x v="12"/>
    <n v="18"/>
    <n v="8"/>
    <n v="0"/>
    <n v="1"/>
    <n v="0"/>
    <n v="0"/>
    <n v="0"/>
    <n v="0"/>
    <n v="16"/>
    <n v="9"/>
    <n v="2024"/>
    <x v="2"/>
    <s v="店铺超链"/>
    <x v="1"/>
    <x v="1"/>
  </r>
  <r>
    <x v="1"/>
    <x v="52"/>
    <x v="1"/>
    <x v="4"/>
    <x v="13"/>
    <n v="163"/>
    <n v="93"/>
    <n v="4"/>
    <n v="3"/>
    <n v="1725"/>
    <n v="1"/>
    <n v="1725"/>
    <n v="1"/>
    <n v="67"/>
    <n v="123"/>
    <n v="2024"/>
    <x v="2"/>
    <s v="其他猜你喜欢"/>
    <x v="1"/>
    <x v="1"/>
  </r>
  <r>
    <x v="1"/>
    <x v="52"/>
    <x v="1"/>
    <x v="4"/>
    <x v="15"/>
    <n v="5"/>
    <n v="1"/>
    <n v="0"/>
    <n v="0"/>
    <n v="0"/>
    <n v="0"/>
    <n v="0"/>
    <n v="0"/>
    <n v="2"/>
    <n v="5"/>
    <n v="2024"/>
    <x v="2"/>
    <s v="购中推荐"/>
    <x v="1"/>
    <x v="1"/>
  </r>
  <r>
    <x v="1"/>
    <x v="52"/>
    <x v="1"/>
    <x v="4"/>
    <x v="16"/>
    <n v="23"/>
    <n v="12"/>
    <n v="0"/>
    <n v="0"/>
    <n v="0"/>
    <n v="0"/>
    <n v="0"/>
    <n v="0"/>
    <n v="0"/>
    <n v="23"/>
    <n v="2024"/>
    <x v="2"/>
    <s v="购后推荐"/>
    <x v="1"/>
    <x v="1"/>
  </r>
  <r>
    <x v="1"/>
    <x v="52"/>
    <x v="1"/>
    <x v="4"/>
    <x v="17"/>
    <n v="1847"/>
    <n v="1051"/>
    <n v="38"/>
    <n v="18"/>
    <n v="11605"/>
    <n v="5"/>
    <n v="11605"/>
    <n v="5"/>
    <n v="173"/>
    <n v="1847"/>
    <n v="2024"/>
    <x v="2"/>
    <s v="首页推荐-微详情"/>
    <x v="1"/>
    <x v="1"/>
  </r>
  <r>
    <x v="1"/>
    <x v="52"/>
    <x v="1"/>
    <x v="4"/>
    <x v="18"/>
    <n v="40"/>
    <n v="6"/>
    <n v="0"/>
    <n v="0"/>
    <n v="0"/>
    <n v="0"/>
    <n v="0"/>
    <n v="0"/>
    <n v="0"/>
    <n v="0"/>
    <n v="2024"/>
    <x v="2"/>
    <s v="首页推荐-直播"/>
    <x v="1"/>
    <x v="1"/>
  </r>
  <r>
    <x v="1"/>
    <x v="52"/>
    <x v="1"/>
    <x v="4"/>
    <x v="19"/>
    <n v="80"/>
    <n v="37"/>
    <n v="0"/>
    <n v="0"/>
    <n v="0"/>
    <n v="0"/>
    <n v="0"/>
    <n v="0"/>
    <n v="0"/>
    <n v="0"/>
    <n v="2024"/>
    <x v="2"/>
    <s v="首页推荐-短视频"/>
    <x v="1"/>
    <x v="1"/>
  </r>
  <r>
    <x v="1"/>
    <x v="52"/>
    <x v="1"/>
    <x v="12"/>
    <x v="42"/>
    <n v="836"/>
    <n v="635"/>
    <n v="31"/>
    <n v="8"/>
    <n v="15294"/>
    <n v="5"/>
    <n v="13667"/>
    <n v="5"/>
    <n v="231"/>
    <n v="762"/>
    <n v="2024"/>
    <x v="2"/>
    <s v="手淘搜索-商品及其他"/>
    <x v="1"/>
    <x v="1"/>
  </r>
  <r>
    <x v="1"/>
    <x v="52"/>
    <x v="1"/>
    <x v="12"/>
    <x v="44"/>
    <n v="31"/>
    <n v="16"/>
    <n v="1"/>
    <n v="1"/>
    <n v="0"/>
    <n v="0"/>
    <n v="0"/>
    <n v="0"/>
    <n v="2"/>
    <n v="8"/>
    <n v="2024"/>
    <x v="2"/>
    <s v="手淘搜索-短视频"/>
    <x v="1"/>
    <x v="1"/>
  </r>
  <r>
    <x v="1"/>
    <x v="52"/>
    <x v="1"/>
    <x v="11"/>
    <x v="37"/>
    <n v="20"/>
    <n v="20"/>
    <n v="0"/>
    <n v="0"/>
    <n v="0"/>
    <n v="0"/>
    <n v="0"/>
    <n v="0"/>
    <n v="1"/>
    <n v="20"/>
    <n v="2024"/>
    <x v="2"/>
    <s v="淘特其他渠道"/>
    <x v="1"/>
    <x v="1"/>
  </r>
  <r>
    <x v="1"/>
    <x v="52"/>
    <x v="1"/>
    <x v="11"/>
    <x v="39"/>
    <n v="1"/>
    <n v="0"/>
    <n v="0"/>
    <n v="0"/>
    <n v="0"/>
    <n v="0"/>
    <n v="0"/>
    <n v="0"/>
    <n v="0"/>
    <n v="1"/>
    <n v="2024"/>
    <x v="2"/>
    <s v="淘特搜索"/>
    <x v="1"/>
    <x v="1"/>
  </r>
  <r>
    <x v="1"/>
    <x v="52"/>
    <x v="0"/>
    <x v="5"/>
    <x v="41"/>
    <n v="5"/>
    <n v="2"/>
    <n v="0"/>
    <n v="0"/>
    <n v="0"/>
    <n v="0"/>
    <n v="0"/>
    <n v="0"/>
    <n v="0"/>
    <n v="3"/>
    <n v="2024"/>
    <x v="2"/>
    <s v="超级直播"/>
    <x v="1"/>
    <x v="1"/>
  </r>
  <r>
    <x v="1"/>
    <x v="52"/>
    <x v="0"/>
    <x v="5"/>
    <x v="20"/>
    <n v="8647"/>
    <n v="6033"/>
    <n v="0"/>
    <n v="0"/>
    <n v="0"/>
    <n v="0"/>
    <n v="0"/>
    <n v="0"/>
    <n v="3"/>
    <n v="145"/>
    <n v="2024"/>
    <x v="2"/>
    <s v="超级短视频"/>
    <x v="1"/>
    <x v="1"/>
  </r>
  <r>
    <x v="1"/>
    <x v="52"/>
    <x v="0"/>
    <x v="6"/>
    <x v="48"/>
    <n v="1044"/>
    <n v="870"/>
    <n v="0"/>
    <n v="0"/>
    <n v="0"/>
    <n v="0"/>
    <n v="0"/>
    <n v="0"/>
    <n v="1044"/>
    <n v="106"/>
    <n v="2024"/>
    <x v="2"/>
    <s v="Showmax"/>
    <x v="1"/>
    <x v="1"/>
  </r>
  <r>
    <x v="1"/>
    <x v="52"/>
    <x v="0"/>
    <x v="6"/>
    <x v="30"/>
    <n v="1515"/>
    <n v="1179"/>
    <n v="0"/>
    <n v="0"/>
    <n v="0"/>
    <n v="0"/>
    <n v="0"/>
    <n v="0"/>
    <n v="1515"/>
    <n v="201"/>
    <n v="2024"/>
    <x v="2"/>
    <s v="品牌特秀"/>
    <x v="1"/>
    <x v="1"/>
  </r>
  <r>
    <x v="1"/>
    <x v="52"/>
    <x v="0"/>
    <x v="6"/>
    <x v="21"/>
    <n v="529"/>
    <n v="431"/>
    <n v="12"/>
    <n v="5"/>
    <n v="5675"/>
    <n v="2"/>
    <n v="3450"/>
    <n v="1"/>
    <n v="529"/>
    <n v="270"/>
    <n v="2024"/>
    <x v="2"/>
    <s v="品销宝-品牌专区"/>
    <x v="1"/>
    <x v="1"/>
  </r>
  <r>
    <x v="1"/>
    <x v="52"/>
    <x v="0"/>
    <x v="0"/>
    <x v="2"/>
    <n v="3150"/>
    <n v="2629"/>
    <n v="47"/>
    <n v="31"/>
    <n v="26912.5"/>
    <n v="8"/>
    <n v="19717.5"/>
    <n v="6"/>
    <n v="285"/>
    <n v="3128"/>
    <n v="2024"/>
    <x v="2"/>
    <s v="直通车"/>
    <x v="1"/>
    <x v="1"/>
  </r>
  <r>
    <x v="1"/>
    <x v="52"/>
    <x v="0"/>
    <x v="0"/>
    <x v="0"/>
    <n v="2833"/>
    <n v="1799"/>
    <n v="34"/>
    <n v="30"/>
    <n v="12319"/>
    <n v="4"/>
    <n v="12319"/>
    <n v="4"/>
    <n v="149"/>
    <n v="2831"/>
    <n v="2024"/>
    <x v="2"/>
    <s v="万相台"/>
    <x v="1"/>
    <x v="1"/>
  </r>
  <r>
    <x v="1"/>
    <x v="52"/>
    <x v="0"/>
    <x v="0"/>
    <x v="1"/>
    <n v="12577"/>
    <n v="7386"/>
    <n v="35"/>
    <n v="37"/>
    <n v="0"/>
    <n v="0"/>
    <n v="0"/>
    <n v="0"/>
    <n v="273"/>
    <n v="12572"/>
    <n v="2024"/>
    <x v="2"/>
    <s v="引力魔方"/>
    <x v="1"/>
    <x v="1"/>
  </r>
  <r>
    <x v="1"/>
    <x v="52"/>
    <x v="0"/>
    <x v="7"/>
    <x v="24"/>
    <n v="1472"/>
    <n v="555"/>
    <n v="2"/>
    <n v="0"/>
    <n v="4705"/>
    <n v="1"/>
    <n v="4705"/>
    <n v="1"/>
    <n v="13"/>
    <n v="1469"/>
    <n v="2024"/>
    <x v="2"/>
    <s v="淘宝客"/>
    <x v="1"/>
    <x v="1"/>
  </r>
  <r>
    <x v="1"/>
    <x v="53"/>
    <x v="1"/>
    <x v="8"/>
    <x v="25"/>
    <n v="77"/>
    <n v="38"/>
    <n v="1"/>
    <n v="3"/>
    <n v="0"/>
    <n v="0"/>
    <n v="0"/>
    <n v="0"/>
    <n v="12"/>
    <n v="71"/>
    <n v="2024"/>
    <x v="2"/>
    <s v="主会场"/>
    <x v="1"/>
    <x v="1"/>
  </r>
  <r>
    <x v="1"/>
    <x v="53"/>
    <x v="1"/>
    <x v="8"/>
    <x v="26"/>
    <n v="4"/>
    <n v="3"/>
    <n v="0"/>
    <n v="0"/>
    <n v="0"/>
    <n v="0"/>
    <n v="0"/>
    <n v="0"/>
    <n v="0"/>
    <n v="4"/>
    <n v="2024"/>
    <x v="2"/>
    <s v="榜单会场"/>
    <x v="1"/>
    <x v="1"/>
  </r>
  <r>
    <x v="1"/>
    <x v="53"/>
    <x v="1"/>
    <x v="1"/>
    <x v="3"/>
    <n v="13"/>
    <n v="12"/>
    <n v="0"/>
    <n v="0"/>
    <n v="0"/>
    <n v="0"/>
    <n v="0"/>
    <n v="0"/>
    <n v="2"/>
    <n v="13"/>
    <n v="2024"/>
    <x v="2"/>
    <s v="其他入口榜单"/>
    <x v="1"/>
    <x v="1"/>
  </r>
  <r>
    <x v="1"/>
    <x v="53"/>
    <x v="1"/>
    <x v="2"/>
    <x v="5"/>
    <n v="72"/>
    <n v="32"/>
    <n v="1"/>
    <n v="0"/>
    <n v="1677"/>
    <n v="1"/>
    <n v="1677"/>
    <n v="1"/>
    <n v="28"/>
    <n v="68"/>
    <n v="2024"/>
    <x v="2"/>
    <s v="手猫免费其他"/>
    <x v="1"/>
    <x v="1"/>
  </r>
  <r>
    <x v="1"/>
    <x v="53"/>
    <x v="1"/>
    <x v="2"/>
    <x v="6"/>
    <n v="6"/>
    <n v="1"/>
    <n v="0"/>
    <n v="0"/>
    <n v="0"/>
    <n v="0"/>
    <n v="0"/>
    <n v="0"/>
    <n v="0"/>
    <n v="6"/>
    <n v="2024"/>
    <x v="2"/>
    <s v="手猫其他店铺"/>
    <x v="1"/>
    <x v="1"/>
  </r>
  <r>
    <x v="1"/>
    <x v="53"/>
    <x v="1"/>
    <x v="2"/>
    <x v="7"/>
    <n v="26"/>
    <n v="12"/>
    <n v="2"/>
    <n v="0"/>
    <n v="0"/>
    <n v="0"/>
    <n v="0"/>
    <n v="0"/>
    <n v="3"/>
    <n v="22"/>
    <n v="2024"/>
    <x v="2"/>
    <s v="手猫商品详情"/>
    <x v="1"/>
    <x v="1"/>
  </r>
  <r>
    <x v="1"/>
    <x v="53"/>
    <x v="1"/>
    <x v="2"/>
    <x v="8"/>
    <n v="70"/>
    <n v="39"/>
    <n v="1"/>
    <n v="0"/>
    <n v="0"/>
    <n v="0"/>
    <n v="0"/>
    <n v="0"/>
    <n v="27"/>
    <n v="61"/>
    <n v="2024"/>
    <x v="2"/>
    <s v="手猫搜索"/>
    <x v="1"/>
    <x v="1"/>
  </r>
  <r>
    <x v="1"/>
    <x v="53"/>
    <x v="1"/>
    <x v="2"/>
    <x v="9"/>
    <n v="3"/>
    <n v="1"/>
    <n v="1"/>
    <n v="0"/>
    <n v="0"/>
    <n v="0"/>
    <n v="0"/>
    <n v="0"/>
    <n v="0"/>
    <n v="3"/>
    <n v="2024"/>
    <x v="2"/>
    <s v="手猫旺信聊天"/>
    <x v="1"/>
    <x v="1"/>
  </r>
  <r>
    <x v="1"/>
    <x v="53"/>
    <x v="1"/>
    <x v="2"/>
    <x v="10"/>
    <n v="406"/>
    <n v="214"/>
    <n v="2"/>
    <n v="0"/>
    <n v="3415"/>
    <n v="2"/>
    <n v="3415"/>
    <n v="2"/>
    <n v="15"/>
    <n v="406"/>
    <n v="2024"/>
    <x v="2"/>
    <s v="手猫首页"/>
    <x v="1"/>
    <x v="1"/>
  </r>
  <r>
    <x v="1"/>
    <x v="53"/>
    <x v="1"/>
    <x v="3"/>
    <x v="11"/>
    <n v="209"/>
    <n v="136"/>
    <n v="1"/>
    <n v="3"/>
    <n v="0"/>
    <n v="0"/>
    <n v="0"/>
    <n v="0"/>
    <n v="42"/>
    <n v="164"/>
    <n v="2024"/>
    <x v="2"/>
    <s v="商品详情页头图推荐"/>
    <x v="1"/>
    <x v="1"/>
  </r>
  <r>
    <x v="1"/>
    <x v="53"/>
    <x v="1"/>
    <x v="3"/>
    <x v="12"/>
    <n v="24"/>
    <n v="15"/>
    <n v="2"/>
    <n v="0"/>
    <n v="3495"/>
    <n v="1"/>
    <n v="3495"/>
    <n v="1"/>
    <n v="21"/>
    <n v="12"/>
    <n v="2024"/>
    <x v="2"/>
    <s v="店铺超链"/>
    <x v="1"/>
    <x v="1"/>
  </r>
  <r>
    <x v="1"/>
    <x v="53"/>
    <x v="1"/>
    <x v="4"/>
    <x v="13"/>
    <n v="151"/>
    <n v="90"/>
    <n v="3"/>
    <n v="2"/>
    <n v="3495"/>
    <n v="1"/>
    <n v="3495"/>
    <n v="1"/>
    <n v="58"/>
    <n v="113"/>
    <n v="2024"/>
    <x v="2"/>
    <s v="其他猜你喜欢"/>
    <x v="1"/>
    <x v="1"/>
  </r>
  <r>
    <x v="1"/>
    <x v="53"/>
    <x v="1"/>
    <x v="4"/>
    <x v="15"/>
    <n v="1"/>
    <n v="0"/>
    <n v="0"/>
    <n v="0"/>
    <n v="0"/>
    <n v="0"/>
    <n v="0"/>
    <n v="0"/>
    <n v="0"/>
    <n v="1"/>
    <n v="2024"/>
    <x v="2"/>
    <s v="购中推荐"/>
    <x v="1"/>
    <x v="1"/>
  </r>
  <r>
    <x v="1"/>
    <x v="53"/>
    <x v="1"/>
    <x v="4"/>
    <x v="16"/>
    <n v="14"/>
    <n v="6"/>
    <n v="0"/>
    <n v="0"/>
    <n v="0"/>
    <n v="0"/>
    <n v="0"/>
    <n v="0"/>
    <n v="0"/>
    <n v="13"/>
    <n v="2024"/>
    <x v="2"/>
    <s v="购后推荐"/>
    <x v="1"/>
    <x v="1"/>
  </r>
  <r>
    <x v="1"/>
    <x v="53"/>
    <x v="1"/>
    <x v="4"/>
    <x v="17"/>
    <n v="1727"/>
    <n v="988"/>
    <n v="35"/>
    <n v="13"/>
    <n v="5769.18"/>
    <n v="3"/>
    <n v="5769.18"/>
    <n v="3"/>
    <n v="122"/>
    <n v="1727"/>
    <n v="2024"/>
    <x v="2"/>
    <s v="首页推荐-微详情"/>
    <x v="1"/>
    <x v="1"/>
  </r>
  <r>
    <x v="1"/>
    <x v="53"/>
    <x v="1"/>
    <x v="4"/>
    <x v="18"/>
    <n v="157"/>
    <n v="80"/>
    <n v="0"/>
    <n v="0"/>
    <n v="0"/>
    <n v="0"/>
    <n v="0"/>
    <n v="0"/>
    <n v="0"/>
    <n v="7"/>
    <n v="2024"/>
    <x v="2"/>
    <s v="首页推荐-直播"/>
    <x v="1"/>
    <x v="1"/>
  </r>
  <r>
    <x v="1"/>
    <x v="53"/>
    <x v="1"/>
    <x v="4"/>
    <x v="19"/>
    <n v="87"/>
    <n v="44"/>
    <n v="0"/>
    <n v="0"/>
    <n v="0"/>
    <n v="0"/>
    <n v="0"/>
    <n v="0"/>
    <n v="0"/>
    <n v="0"/>
    <n v="2024"/>
    <x v="2"/>
    <s v="首页推荐-短视频"/>
    <x v="1"/>
    <x v="1"/>
  </r>
  <r>
    <x v="1"/>
    <x v="53"/>
    <x v="1"/>
    <x v="12"/>
    <x v="42"/>
    <n v="829"/>
    <n v="642"/>
    <n v="46"/>
    <n v="10"/>
    <n v="41885.32"/>
    <n v="6"/>
    <n v="41885.32"/>
    <n v="6"/>
    <n v="257"/>
    <n v="739"/>
    <n v="2024"/>
    <x v="2"/>
    <s v="手淘搜索-商品及其他"/>
    <x v="1"/>
    <x v="1"/>
  </r>
  <r>
    <x v="1"/>
    <x v="53"/>
    <x v="1"/>
    <x v="12"/>
    <x v="43"/>
    <n v="1"/>
    <n v="1"/>
    <n v="0"/>
    <n v="0"/>
    <n v="0"/>
    <n v="0"/>
    <n v="0"/>
    <n v="0"/>
    <n v="0"/>
    <n v="1"/>
    <n v="2024"/>
    <x v="2"/>
    <s v="手淘搜索-直播"/>
    <x v="1"/>
    <x v="1"/>
  </r>
  <r>
    <x v="1"/>
    <x v="53"/>
    <x v="1"/>
    <x v="12"/>
    <x v="44"/>
    <n v="17"/>
    <n v="8"/>
    <n v="0"/>
    <n v="0"/>
    <n v="0"/>
    <n v="0"/>
    <n v="0"/>
    <n v="0"/>
    <n v="0"/>
    <n v="4"/>
    <n v="2024"/>
    <x v="2"/>
    <s v="手淘搜索-短视频"/>
    <x v="1"/>
    <x v="1"/>
  </r>
  <r>
    <x v="1"/>
    <x v="53"/>
    <x v="1"/>
    <x v="11"/>
    <x v="37"/>
    <n v="22"/>
    <n v="22"/>
    <n v="0"/>
    <n v="0"/>
    <n v="0"/>
    <n v="0"/>
    <n v="0"/>
    <n v="0"/>
    <n v="0"/>
    <n v="22"/>
    <n v="2024"/>
    <x v="2"/>
    <s v="淘特其他渠道"/>
    <x v="1"/>
    <x v="1"/>
  </r>
  <r>
    <x v="1"/>
    <x v="53"/>
    <x v="1"/>
    <x v="11"/>
    <x v="39"/>
    <n v="1"/>
    <n v="1"/>
    <n v="0"/>
    <n v="0"/>
    <n v="0"/>
    <n v="0"/>
    <n v="0"/>
    <n v="0"/>
    <n v="0"/>
    <n v="1"/>
    <n v="2024"/>
    <x v="2"/>
    <s v="淘特搜索"/>
    <x v="1"/>
    <x v="1"/>
  </r>
  <r>
    <x v="1"/>
    <x v="53"/>
    <x v="0"/>
    <x v="5"/>
    <x v="47"/>
    <n v="1"/>
    <n v="1"/>
    <n v="0"/>
    <n v="0"/>
    <n v="0"/>
    <n v="0"/>
    <n v="0"/>
    <n v="0"/>
    <n v="0"/>
    <n v="0"/>
    <n v="2024"/>
    <x v="2"/>
    <s v="短直联动"/>
    <x v="1"/>
    <x v="1"/>
  </r>
  <r>
    <x v="1"/>
    <x v="53"/>
    <x v="0"/>
    <x v="5"/>
    <x v="41"/>
    <n v="4866"/>
    <n v="4083"/>
    <n v="3"/>
    <n v="1"/>
    <n v="0"/>
    <n v="0"/>
    <n v="0"/>
    <n v="0"/>
    <n v="21"/>
    <n v="992"/>
    <n v="2024"/>
    <x v="2"/>
    <s v="超级直播"/>
    <x v="1"/>
    <x v="1"/>
  </r>
  <r>
    <x v="1"/>
    <x v="53"/>
    <x v="0"/>
    <x v="5"/>
    <x v="20"/>
    <n v="9669"/>
    <n v="6693"/>
    <n v="1"/>
    <n v="0"/>
    <n v="0"/>
    <n v="0"/>
    <n v="0"/>
    <n v="0"/>
    <n v="1"/>
    <n v="167"/>
    <n v="2024"/>
    <x v="2"/>
    <s v="超级短视频"/>
    <x v="1"/>
    <x v="1"/>
  </r>
  <r>
    <x v="1"/>
    <x v="53"/>
    <x v="0"/>
    <x v="6"/>
    <x v="48"/>
    <n v="1114"/>
    <n v="935"/>
    <n v="0"/>
    <n v="0"/>
    <n v="0"/>
    <n v="0"/>
    <n v="0"/>
    <n v="0"/>
    <n v="1114"/>
    <n v="107"/>
    <n v="2024"/>
    <x v="2"/>
    <s v="Showmax"/>
    <x v="1"/>
    <x v="1"/>
  </r>
  <r>
    <x v="1"/>
    <x v="53"/>
    <x v="0"/>
    <x v="6"/>
    <x v="45"/>
    <n v="1"/>
    <n v="1"/>
    <n v="0"/>
    <n v="0"/>
    <n v="0"/>
    <n v="0"/>
    <n v="0"/>
    <n v="0"/>
    <n v="0"/>
    <n v="0"/>
    <n v="2024"/>
    <x v="2"/>
    <s v="品牌定制"/>
    <x v="1"/>
    <x v="1"/>
  </r>
  <r>
    <x v="1"/>
    <x v="53"/>
    <x v="0"/>
    <x v="6"/>
    <x v="30"/>
    <n v="1546"/>
    <n v="1217"/>
    <n v="0"/>
    <n v="0"/>
    <n v="0"/>
    <n v="0"/>
    <n v="0"/>
    <n v="0"/>
    <n v="1546"/>
    <n v="228"/>
    <n v="2024"/>
    <x v="2"/>
    <s v="品牌特秀"/>
    <x v="1"/>
    <x v="1"/>
  </r>
  <r>
    <x v="1"/>
    <x v="53"/>
    <x v="0"/>
    <x v="6"/>
    <x v="21"/>
    <n v="688"/>
    <n v="576"/>
    <n v="16"/>
    <n v="10"/>
    <n v="53490"/>
    <n v="4"/>
    <n v="38545"/>
    <n v="3"/>
    <n v="688"/>
    <n v="341"/>
    <n v="2024"/>
    <x v="2"/>
    <s v="品销宝-品牌专区"/>
    <x v="1"/>
    <x v="1"/>
  </r>
  <r>
    <x v="1"/>
    <x v="53"/>
    <x v="0"/>
    <x v="0"/>
    <x v="2"/>
    <n v="3402"/>
    <n v="2875"/>
    <n v="43"/>
    <n v="21"/>
    <n v="15849"/>
    <n v="4"/>
    <n v="15849"/>
    <n v="4"/>
    <n v="305"/>
    <n v="3368"/>
    <n v="2024"/>
    <x v="2"/>
    <s v="直通车"/>
    <x v="1"/>
    <x v="1"/>
  </r>
  <r>
    <x v="1"/>
    <x v="53"/>
    <x v="0"/>
    <x v="0"/>
    <x v="0"/>
    <n v="3206"/>
    <n v="2085"/>
    <n v="44"/>
    <n v="30"/>
    <n v="13670"/>
    <n v="4"/>
    <n v="13670"/>
    <n v="4"/>
    <n v="183"/>
    <n v="3204"/>
    <n v="2024"/>
    <x v="2"/>
    <s v="万相台"/>
    <x v="1"/>
    <x v="1"/>
  </r>
  <r>
    <x v="1"/>
    <x v="53"/>
    <x v="0"/>
    <x v="0"/>
    <x v="1"/>
    <n v="14012"/>
    <n v="8061"/>
    <n v="35"/>
    <n v="30"/>
    <n v="12390"/>
    <n v="3"/>
    <n v="12390"/>
    <n v="3"/>
    <n v="253"/>
    <n v="14008"/>
    <n v="2024"/>
    <x v="2"/>
    <s v="引力魔方"/>
    <x v="1"/>
    <x v="1"/>
  </r>
  <r>
    <x v="1"/>
    <x v="53"/>
    <x v="0"/>
    <x v="7"/>
    <x v="24"/>
    <n v="1704"/>
    <n v="587"/>
    <n v="1"/>
    <n v="2"/>
    <n v="1677"/>
    <n v="1"/>
    <n v="1677"/>
    <n v="1"/>
    <n v="19"/>
    <n v="1692"/>
    <n v="2024"/>
    <x v="2"/>
    <s v="淘宝客"/>
    <x v="1"/>
    <x v="1"/>
  </r>
  <r>
    <x v="1"/>
    <x v="54"/>
    <x v="1"/>
    <x v="8"/>
    <x v="25"/>
    <n v="86"/>
    <n v="41"/>
    <n v="0"/>
    <n v="0"/>
    <n v="0"/>
    <n v="0"/>
    <n v="0"/>
    <n v="0"/>
    <n v="14"/>
    <n v="71"/>
    <n v="2024"/>
    <x v="2"/>
    <s v="主会场"/>
    <x v="1"/>
    <x v="1"/>
  </r>
  <r>
    <x v="1"/>
    <x v="54"/>
    <x v="1"/>
    <x v="2"/>
    <x v="5"/>
    <n v="63"/>
    <n v="33"/>
    <n v="1"/>
    <n v="0"/>
    <n v="0"/>
    <n v="0"/>
    <n v="0"/>
    <n v="0"/>
    <n v="12"/>
    <n v="61"/>
    <n v="2024"/>
    <x v="2"/>
    <s v="手猫免费其他"/>
    <x v="1"/>
    <x v="1"/>
  </r>
  <r>
    <x v="1"/>
    <x v="54"/>
    <x v="1"/>
    <x v="2"/>
    <x v="6"/>
    <n v="9"/>
    <n v="7"/>
    <n v="0"/>
    <n v="0"/>
    <n v="0"/>
    <n v="0"/>
    <n v="0"/>
    <n v="0"/>
    <n v="1"/>
    <n v="9"/>
    <n v="2024"/>
    <x v="2"/>
    <s v="手猫其他店铺"/>
    <x v="1"/>
    <x v="1"/>
  </r>
  <r>
    <x v="1"/>
    <x v="54"/>
    <x v="1"/>
    <x v="2"/>
    <x v="7"/>
    <n v="30"/>
    <n v="16"/>
    <n v="1"/>
    <n v="0"/>
    <n v="1725"/>
    <n v="1"/>
    <n v="1725"/>
    <n v="1"/>
    <n v="3"/>
    <n v="28"/>
    <n v="2024"/>
    <x v="2"/>
    <s v="手猫商品详情"/>
    <x v="1"/>
    <x v="1"/>
  </r>
  <r>
    <x v="1"/>
    <x v="54"/>
    <x v="1"/>
    <x v="2"/>
    <x v="8"/>
    <n v="83"/>
    <n v="55"/>
    <n v="0"/>
    <n v="0"/>
    <n v="1498"/>
    <n v="1"/>
    <n v="1498"/>
    <n v="1"/>
    <n v="32"/>
    <n v="66"/>
    <n v="2024"/>
    <x v="2"/>
    <s v="手猫搜索"/>
    <x v="1"/>
    <x v="1"/>
  </r>
  <r>
    <x v="1"/>
    <x v="54"/>
    <x v="1"/>
    <x v="2"/>
    <x v="9"/>
    <n v="1"/>
    <n v="0"/>
    <n v="0"/>
    <n v="0"/>
    <n v="0"/>
    <n v="0"/>
    <n v="0"/>
    <n v="0"/>
    <n v="0"/>
    <n v="1"/>
    <n v="2024"/>
    <x v="2"/>
    <s v="手猫旺信聊天"/>
    <x v="1"/>
    <x v="1"/>
  </r>
  <r>
    <x v="1"/>
    <x v="54"/>
    <x v="1"/>
    <x v="2"/>
    <x v="10"/>
    <n v="364"/>
    <n v="206"/>
    <n v="0"/>
    <n v="1"/>
    <n v="0"/>
    <n v="0"/>
    <n v="0"/>
    <n v="0"/>
    <n v="15"/>
    <n v="364"/>
    <n v="2024"/>
    <x v="2"/>
    <s v="手猫首页"/>
    <x v="1"/>
    <x v="1"/>
  </r>
  <r>
    <x v="1"/>
    <x v="54"/>
    <x v="1"/>
    <x v="3"/>
    <x v="11"/>
    <n v="232"/>
    <n v="122"/>
    <n v="9"/>
    <n v="2"/>
    <n v="3975"/>
    <n v="1"/>
    <n v="3975"/>
    <n v="1"/>
    <n v="74"/>
    <n v="199"/>
    <n v="2024"/>
    <x v="2"/>
    <s v="商品详情页头图推荐"/>
    <x v="1"/>
    <x v="1"/>
  </r>
  <r>
    <x v="1"/>
    <x v="54"/>
    <x v="1"/>
    <x v="3"/>
    <x v="12"/>
    <n v="20"/>
    <n v="12"/>
    <n v="1"/>
    <n v="0"/>
    <n v="0"/>
    <n v="0"/>
    <n v="0"/>
    <n v="0"/>
    <n v="16"/>
    <n v="9"/>
    <n v="2024"/>
    <x v="2"/>
    <s v="店铺超链"/>
    <x v="1"/>
    <x v="1"/>
  </r>
  <r>
    <x v="1"/>
    <x v="54"/>
    <x v="1"/>
    <x v="4"/>
    <x v="13"/>
    <n v="137"/>
    <n v="72"/>
    <n v="2"/>
    <n v="1"/>
    <n v="4494"/>
    <n v="1"/>
    <n v="1498"/>
    <n v="1"/>
    <n v="47"/>
    <n v="108"/>
    <n v="2024"/>
    <x v="2"/>
    <s v="其他猜你喜欢"/>
    <x v="1"/>
    <x v="1"/>
  </r>
  <r>
    <x v="1"/>
    <x v="54"/>
    <x v="1"/>
    <x v="4"/>
    <x v="15"/>
    <n v="1"/>
    <n v="0"/>
    <n v="0"/>
    <n v="0"/>
    <n v="0"/>
    <n v="0"/>
    <n v="0"/>
    <n v="0"/>
    <n v="0"/>
    <n v="1"/>
    <n v="2024"/>
    <x v="2"/>
    <s v="购中推荐"/>
    <x v="1"/>
    <x v="1"/>
  </r>
  <r>
    <x v="1"/>
    <x v="54"/>
    <x v="1"/>
    <x v="4"/>
    <x v="16"/>
    <n v="21"/>
    <n v="12"/>
    <n v="1"/>
    <n v="0"/>
    <n v="0"/>
    <n v="0"/>
    <n v="0"/>
    <n v="0"/>
    <n v="2"/>
    <n v="21"/>
    <n v="2024"/>
    <x v="2"/>
    <s v="购后推荐"/>
    <x v="1"/>
    <x v="1"/>
  </r>
  <r>
    <x v="1"/>
    <x v="54"/>
    <x v="1"/>
    <x v="4"/>
    <x v="17"/>
    <n v="1795"/>
    <n v="1058"/>
    <n v="30"/>
    <n v="17"/>
    <n v="9882.5"/>
    <n v="3"/>
    <n v="6886.5"/>
    <n v="3"/>
    <n v="146"/>
    <n v="1795"/>
    <n v="2024"/>
    <x v="2"/>
    <s v="首页推荐-微详情"/>
    <x v="1"/>
    <x v="1"/>
  </r>
  <r>
    <x v="1"/>
    <x v="54"/>
    <x v="1"/>
    <x v="4"/>
    <x v="18"/>
    <n v="44"/>
    <n v="9"/>
    <n v="0"/>
    <n v="0"/>
    <n v="0"/>
    <n v="0"/>
    <n v="0"/>
    <n v="0"/>
    <n v="0"/>
    <n v="2"/>
    <n v="2024"/>
    <x v="2"/>
    <s v="首页推荐-直播"/>
    <x v="1"/>
    <x v="1"/>
  </r>
  <r>
    <x v="1"/>
    <x v="54"/>
    <x v="1"/>
    <x v="4"/>
    <x v="19"/>
    <n v="100"/>
    <n v="48"/>
    <n v="0"/>
    <n v="0"/>
    <n v="0"/>
    <n v="0"/>
    <n v="0"/>
    <n v="0"/>
    <n v="0"/>
    <n v="1"/>
    <n v="2024"/>
    <x v="2"/>
    <s v="首页推荐-短视频"/>
    <x v="1"/>
    <x v="1"/>
  </r>
  <r>
    <x v="1"/>
    <x v="54"/>
    <x v="1"/>
    <x v="12"/>
    <x v="42"/>
    <n v="872"/>
    <n v="692"/>
    <n v="31"/>
    <n v="15"/>
    <n v="25428.5"/>
    <n v="11"/>
    <n v="17183.5"/>
    <n v="9"/>
    <n v="253"/>
    <n v="784"/>
    <n v="2024"/>
    <x v="2"/>
    <s v="手淘搜索-商品及其他"/>
    <x v="1"/>
    <x v="1"/>
  </r>
  <r>
    <x v="1"/>
    <x v="54"/>
    <x v="1"/>
    <x v="12"/>
    <x v="44"/>
    <n v="23"/>
    <n v="10"/>
    <n v="1"/>
    <n v="0"/>
    <n v="0"/>
    <n v="0"/>
    <n v="0"/>
    <n v="0"/>
    <n v="3"/>
    <n v="4"/>
    <n v="2024"/>
    <x v="2"/>
    <s v="手淘搜索-短视频"/>
    <x v="1"/>
    <x v="1"/>
  </r>
  <r>
    <x v="1"/>
    <x v="54"/>
    <x v="1"/>
    <x v="11"/>
    <x v="37"/>
    <n v="10"/>
    <n v="9"/>
    <n v="0"/>
    <n v="0"/>
    <n v="0"/>
    <n v="0"/>
    <n v="0"/>
    <n v="0"/>
    <n v="0"/>
    <n v="10"/>
    <n v="2024"/>
    <x v="2"/>
    <s v="淘特其他渠道"/>
    <x v="1"/>
    <x v="1"/>
  </r>
  <r>
    <x v="1"/>
    <x v="54"/>
    <x v="1"/>
    <x v="11"/>
    <x v="39"/>
    <n v="1"/>
    <n v="0"/>
    <n v="0"/>
    <n v="0"/>
    <n v="0"/>
    <n v="0"/>
    <n v="0"/>
    <n v="0"/>
    <n v="0"/>
    <n v="1"/>
    <n v="2024"/>
    <x v="2"/>
    <s v="淘特搜索"/>
    <x v="1"/>
    <x v="1"/>
  </r>
  <r>
    <x v="1"/>
    <x v="54"/>
    <x v="0"/>
    <x v="5"/>
    <x v="41"/>
    <n v="16"/>
    <n v="9"/>
    <n v="0"/>
    <n v="0"/>
    <n v="0"/>
    <n v="0"/>
    <n v="0"/>
    <n v="0"/>
    <n v="0"/>
    <n v="11"/>
    <n v="2024"/>
    <x v="2"/>
    <s v="超级直播"/>
    <x v="1"/>
    <x v="1"/>
  </r>
  <r>
    <x v="1"/>
    <x v="54"/>
    <x v="0"/>
    <x v="5"/>
    <x v="20"/>
    <n v="11228"/>
    <n v="7099"/>
    <n v="0"/>
    <n v="1"/>
    <n v="0"/>
    <n v="0"/>
    <n v="0"/>
    <n v="0"/>
    <n v="2"/>
    <n v="193"/>
    <n v="2024"/>
    <x v="2"/>
    <s v="超级短视频"/>
    <x v="1"/>
    <x v="1"/>
  </r>
  <r>
    <x v="1"/>
    <x v="54"/>
    <x v="0"/>
    <x v="6"/>
    <x v="48"/>
    <n v="980"/>
    <n v="799"/>
    <n v="0"/>
    <n v="0"/>
    <n v="0"/>
    <n v="0"/>
    <n v="0"/>
    <n v="0"/>
    <n v="980"/>
    <n v="91"/>
    <n v="2024"/>
    <x v="2"/>
    <s v="Showmax"/>
    <x v="1"/>
    <x v="1"/>
  </r>
  <r>
    <x v="1"/>
    <x v="54"/>
    <x v="0"/>
    <x v="6"/>
    <x v="30"/>
    <n v="1602"/>
    <n v="1267"/>
    <n v="0"/>
    <n v="0"/>
    <n v="0"/>
    <n v="0"/>
    <n v="0"/>
    <n v="0"/>
    <n v="1602"/>
    <n v="256"/>
    <n v="2024"/>
    <x v="2"/>
    <s v="品牌特秀"/>
    <x v="1"/>
    <x v="1"/>
  </r>
  <r>
    <x v="1"/>
    <x v="54"/>
    <x v="0"/>
    <x v="6"/>
    <x v="21"/>
    <n v="898"/>
    <n v="785"/>
    <n v="21"/>
    <n v="5"/>
    <n v="7905"/>
    <n v="2"/>
    <n v="7905"/>
    <n v="2"/>
    <n v="898"/>
    <n v="428"/>
    <n v="2024"/>
    <x v="2"/>
    <s v="品销宝-品牌专区"/>
    <x v="1"/>
    <x v="1"/>
  </r>
  <r>
    <x v="1"/>
    <x v="54"/>
    <x v="0"/>
    <x v="0"/>
    <x v="2"/>
    <n v="2705"/>
    <n v="2241"/>
    <n v="47"/>
    <n v="26"/>
    <n v="17597"/>
    <n v="6"/>
    <n v="9351"/>
    <n v="5"/>
    <n v="239"/>
    <n v="2678"/>
    <n v="2024"/>
    <x v="2"/>
    <s v="直通车"/>
    <x v="1"/>
    <x v="1"/>
  </r>
  <r>
    <x v="1"/>
    <x v="54"/>
    <x v="0"/>
    <x v="0"/>
    <x v="0"/>
    <n v="3032"/>
    <n v="1939"/>
    <n v="33"/>
    <n v="42"/>
    <n v="44141.2"/>
    <n v="11"/>
    <n v="27266.2"/>
    <n v="8"/>
    <n v="181"/>
    <n v="3030"/>
    <n v="2024"/>
    <x v="2"/>
    <s v="万相台"/>
    <x v="1"/>
    <x v="1"/>
  </r>
  <r>
    <x v="1"/>
    <x v="54"/>
    <x v="0"/>
    <x v="0"/>
    <x v="1"/>
    <n v="13177"/>
    <n v="7210"/>
    <n v="32"/>
    <n v="29"/>
    <n v="10665.5"/>
    <n v="3"/>
    <n v="10665.5"/>
    <n v="3"/>
    <n v="293"/>
    <n v="13171"/>
    <n v="2024"/>
    <x v="2"/>
    <s v="引力魔方"/>
    <x v="1"/>
    <x v="1"/>
  </r>
  <r>
    <x v="1"/>
    <x v="54"/>
    <x v="0"/>
    <x v="7"/>
    <x v="24"/>
    <n v="1871"/>
    <n v="561"/>
    <n v="1"/>
    <n v="0"/>
    <n v="0"/>
    <n v="0"/>
    <n v="0"/>
    <n v="0"/>
    <n v="29"/>
    <n v="1863"/>
    <n v="2024"/>
    <x v="2"/>
    <s v="淘宝客"/>
    <x v="1"/>
    <x v="1"/>
  </r>
  <r>
    <x v="1"/>
    <x v="55"/>
    <x v="1"/>
    <x v="8"/>
    <x v="25"/>
    <n v="75"/>
    <n v="38"/>
    <n v="1"/>
    <n v="1"/>
    <n v="0"/>
    <n v="0"/>
    <n v="0"/>
    <n v="0"/>
    <n v="12"/>
    <n v="67"/>
    <n v="2024"/>
    <x v="2"/>
    <s v="主会场"/>
    <x v="1"/>
    <x v="1"/>
  </r>
  <r>
    <x v="1"/>
    <x v="55"/>
    <x v="1"/>
    <x v="8"/>
    <x v="26"/>
    <n v="2"/>
    <n v="0"/>
    <n v="0"/>
    <n v="0"/>
    <n v="0"/>
    <n v="0"/>
    <n v="0"/>
    <n v="0"/>
    <n v="0"/>
    <n v="2"/>
    <n v="2024"/>
    <x v="2"/>
    <s v="榜单会场"/>
    <x v="1"/>
    <x v="1"/>
  </r>
  <r>
    <x v="1"/>
    <x v="55"/>
    <x v="1"/>
    <x v="1"/>
    <x v="28"/>
    <n v="1"/>
    <n v="1"/>
    <n v="0"/>
    <n v="0"/>
    <n v="0"/>
    <n v="0"/>
    <n v="0"/>
    <n v="0"/>
    <n v="0"/>
    <n v="1"/>
    <n v="2024"/>
    <x v="2"/>
    <s v="商品详情页入口榜单"/>
    <x v="1"/>
    <x v="1"/>
  </r>
  <r>
    <x v="1"/>
    <x v="55"/>
    <x v="1"/>
    <x v="2"/>
    <x v="4"/>
    <n v="2"/>
    <n v="1"/>
    <n v="0"/>
    <n v="0"/>
    <n v="0"/>
    <n v="0"/>
    <n v="0"/>
    <n v="0"/>
    <n v="1"/>
    <n v="1"/>
    <n v="2024"/>
    <x v="2"/>
    <s v="手机浏览器访问天猫"/>
    <x v="1"/>
    <x v="1"/>
  </r>
  <r>
    <x v="1"/>
    <x v="55"/>
    <x v="1"/>
    <x v="2"/>
    <x v="5"/>
    <n v="65"/>
    <n v="28"/>
    <n v="1"/>
    <n v="0"/>
    <n v="0"/>
    <n v="0"/>
    <n v="0"/>
    <n v="0"/>
    <n v="17"/>
    <n v="63"/>
    <n v="2024"/>
    <x v="2"/>
    <s v="手猫免费其他"/>
    <x v="1"/>
    <x v="1"/>
  </r>
  <r>
    <x v="1"/>
    <x v="55"/>
    <x v="1"/>
    <x v="2"/>
    <x v="6"/>
    <n v="6"/>
    <n v="2"/>
    <n v="0"/>
    <n v="0"/>
    <n v="0"/>
    <n v="0"/>
    <n v="0"/>
    <n v="0"/>
    <n v="0"/>
    <n v="6"/>
    <n v="2024"/>
    <x v="2"/>
    <s v="手猫其他店铺"/>
    <x v="1"/>
    <x v="1"/>
  </r>
  <r>
    <x v="1"/>
    <x v="55"/>
    <x v="1"/>
    <x v="2"/>
    <x v="7"/>
    <n v="26"/>
    <n v="8"/>
    <n v="0"/>
    <n v="0"/>
    <n v="0"/>
    <n v="0"/>
    <n v="0"/>
    <n v="0"/>
    <n v="3"/>
    <n v="25"/>
    <n v="2024"/>
    <x v="2"/>
    <s v="手猫商品详情"/>
    <x v="1"/>
    <x v="1"/>
  </r>
  <r>
    <x v="1"/>
    <x v="55"/>
    <x v="1"/>
    <x v="2"/>
    <x v="8"/>
    <n v="58"/>
    <n v="35"/>
    <n v="0"/>
    <n v="0"/>
    <n v="0"/>
    <n v="0"/>
    <n v="0"/>
    <n v="0"/>
    <n v="20"/>
    <n v="57"/>
    <n v="2024"/>
    <x v="2"/>
    <s v="手猫搜索"/>
    <x v="1"/>
    <x v="1"/>
  </r>
  <r>
    <x v="1"/>
    <x v="55"/>
    <x v="1"/>
    <x v="2"/>
    <x v="9"/>
    <n v="1"/>
    <n v="0"/>
    <n v="0"/>
    <n v="0"/>
    <n v="0"/>
    <n v="0"/>
    <n v="0"/>
    <n v="0"/>
    <n v="1"/>
    <n v="0"/>
    <n v="2024"/>
    <x v="2"/>
    <s v="手猫旺信聊天"/>
    <x v="1"/>
    <x v="1"/>
  </r>
  <r>
    <x v="1"/>
    <x v="55"/>
    <x v="1"/>
    <x v="2"/>
    <x v="10"/>
    <n v="329"/>
    <n v="190"/>
    <n v="1"/>
    <n v="0"/>
    <n v="0"/>
    <n v="0"/>
    <n v="0"/>
    <n v="0"/>
    <n v="11"/>
    <n v="329"/>
    <n v="2024"/>
    <x v="2"/>
    <s v="手猫首页"/>
    <x v="1"/>
    <x v="1"/>
  </r>
  <r>
    <x v="1"/>
    <x v="55"/>
    <x v="1"/>
    <x v="3"/>
    <x v="11"/>
    <n v="258"/>
    <n v="144"/>
    <n v="6"/>
    <n v="2"/>
    <n v="0"/>
    <n v="0"/>
    <n v="0"/>
    <n v="0"/>
    <n v="59"/>
    <n v="205"/>
    <n v="2024"/>
    <x v="2"/>
    <s v="商品详情页头图推荐"/>
    <x v="1"/>
    <x v="1"/>
  </r>
  <r>
    <x v="1"/>
    <x v="55"/>
    <x v="1"/>
    <x v="3"/>
    <x v="12"/>
    <n v="27"/>
    <n v="21"/>
    <n v="2"/>
    <n v="1"/>
    <n v="5125"/>
    <n v="2"/>
    <n v="5125"/>
    <n v="2"/>
    <n v="25"/>
    <n v="11"/>
    <n v="2024"/>
    <x v="2"/>
    <s v="店铺超链"/>
    <x v="1"/>
    <x v="1"/>
  </r>
  <r>
    <x v="1"/>
    <x v="55"/>
    <x v="1"/>
    <x v="4"/>
    <x v="13"/>
    <n v="186"/>
    <n v="120"/>
    <n v="9"/>
    <n v="1"/>
    <n v="10950"/>
    <n v="1"/>
    <n v="10950"/>
    <n v="1"/>
    <n v="69"/>
    <n v="147"/>
    <n v="2024"/>
    <x v="2"/>
    <s v="其他猜你喜欢"/>
    <x v="1"/>
    <x v="1"/>
  </r>
  <r>
    <x v="1"/>
    <x v="55"/>
    <x v="1"/>
    <x v="4"/>
    <x v="15"/>
    <n v="4"/>
    <n v="1"/>
    <n v="0"/>
    <n v="0"/>
    <n v="0"/>
    <n v="0"/>
    <n v="0"/>
    <n v="0"/>
    <n v="1"/>
    <n v="4"/>
    <n v="2024"/>
    <x v="2"/>
    <s v="购中推荐"/>
    <x v="1"/>
    <x v="1"/>
  </r>
  <r>
    <x v="1"/>
    <x v="55"/>
    <x v="1"/>
    <x v="4"/>
    <x v="16"/>
    <n v="28"/>
    <n v="16"/>
    <n v="0"/>
    <n v="0"/>
    <n v="0"/>
    <n v="0"/>
    <n v="0"/>
    <n v="0"/>
    <n v="1"/>
    <n v="25"/>
    <n v="2024"/>
    <x v="2"/>
    <s v="购后推荐"/>
    <x v="1"/>
    <x v="1"/>
  </r>
  <r>
    <x v="1"/>
    <x v="55"/>
    <x v="1"/>
    <x v="4"/>
    <x v="17"/>
    <n v="1854"/>
    <n v="1190"/>
    <n v="45"/>
    <n v="23"/>
    <n v="8103"/>
    <n v="4"/>
    <n v="4825"/>
    <n v="2"/>
    <n v="176"/>
    <n v="1854"/>
    <n v="2024"/>
    <x v="2"/>
    <s v="首页推荐-微详情"/>
    <x v="1"/>
    <x v="1"/>
  </r>
  <r>
    <x v="1"/>
    <x v="55"/>
    <x v="1"/>
    <x v="4"/>
    <x v="18"/>
    <n v="147"/>
    <n v="83"/>
    <n v="0"/>
    <n v="0"/>
    <n v="0"/>
    <n v="0"/>
    <n v="0"/>
    <n v="0"/>
    <n v="0"/>
    <n v="3"/>
    <n v="2024"/>
    <x v="2"/>
    <s v="首页推荐-直播"/>
    <x v="1"/>
    <x v="1"/>
  </r>
  <r>
    <x v="1"/>
    <x v="55"/>
    <x v="1"/>
    <x v="4"/>
    <x v="19"/>
    <n v="81"/>
    <n v="40"/>
    <n v="0"/>
    <n v="0"/>
    <n v="0"/>
    <n v="0"/>
    <n v="0"/>
    <n v="0"/>
    <n v="0"/>
    <n v="0"/>
    <n v="2024"/>
    <x v="2"/>
    <s v="首页推荐-短视频"/>
    <x v="1"/>
    <x v="1"/>
  </r>
  <r>
    <x v="1"/>
    <x v="55"/>
    <x v="1"/>
    <x v="12"/>
    <x v="42"/>
    <n v="924"/>
    <n v="744"/>
    <n v="47"/>
    <n v="20"/>
    <n v="17440"/>
    <n v="8"/>
    <n v="17440"/>
    <n v="8"/>
    <n v="282"/>
    <n v="848"/>
    <n v="2024"/>
    <x v="2"/>
    <s v="手淘搜索-商品及其他"/>
    <x v="1"/>
    <x v="1"/>
  </r>
  <r>
    <x v="1"/>
    <x v="55"/>
    <x v="1"/>
    <x v="12"/>
    <x v="43"/>
    <n v="2"/>
    <n v="1"/>
    <n v="0"/>
    <n v="0"/>
    <n v="0"/>
    <n v="0"/>
    <n v="0"/>
    <n v="0"/>
    <n v="0"/>
    <n v="1"/>
    <n v="2024"/>
    <x v="2"/>
    <s v="手淘搜索-直播"/>
    <x v="1"/>
    <x v="1"/>
  </r>
  <r>
    <x v="1"/>
    <x v="55"/>
    <x v="1"/>
    <x v="12"/>
    <x v="44"/>
    <n v="23"/>
    <n v="16"/>
    <n v="0"/>
    <n v="0"/>
    <n v="2377"/>
    <n v="1"/>
    <n v="2377"/>
    <n v="1"/>
    <n v="2"/>
    <n v="5"/>
    <n v="2024"/>
    <x v="2"/>
    <s v="手淘搜索-短视频"/>
    <x v="1"/>
    <x v="1"/>
  </r>
  <r>
    <x v="1"/>
    <x v="55"/>
    <x v="1"/>
    <x v="11"/>
    <x v="37"/>
    <n v="8"/>
    <n v="6"/>
    <n v="0"/>
    <n v="0"/>
    <n v="0"/>
    <n v="0"/>
    <n v="0"/>
    <n v="0"/>
    <n v="0"/>
    <n v="8"/>
    <n v="2024"/>
    <x v="2"/>
    <s v="淘特其他渠道"/>
    <x v="1"/>
    <x v="1"/>
  </r>
  <r>
    <x v="1"/>
    <x v="55"/>
    <x v="1"/>
    <x v="11"/>
    <x v="38"/>
    <n v="1"/>
    <n v="0"/>
    <n v="0"/>
    <n v="0"/>
    <n v="0"/>
    <n v="0"/>
    <n v="0"/>
    <n v="0"/>
    <n v="0"/>
    <n v="1"/>
    <n v="2024"/>
    <x v="2"/>
    <s v="淘特推荐"/>
    <x v="1"/>
    <x v="1"/>
  </r>
  <r>
    <x v="1"/>
    <x v="55"/>
    <x v="0"/>
    <x v="5"/>
    <x v="41"/>
    <n v="3830"/>
    <n v="2852"/>
    <n v="5"/>
    <n v="1"/>
    <n v="0"/>
    <n v="0"/>
    <n v="0"/>
    <n v="0"/>
    <n v="15"/>
    <n v="643"/>
    <n v="2024"/>
    <x v="2"/>
    <s v="超级直播"/>
    <x v="1"/>
    <x v="1"/>
  </r>
  <r>
    <x v="1"/>
    <x v="55"/>
    <x v="0"/>
    <x v="5"/>
    <x v="20"/>
    <n v="12343"/>
    <n v="7246"/>
    <n v="0"/>
    <n v="0"/>
    <n v="0"/>
    <n v="0"/>
    <n v="0"/>
    <n v="0"/>
    <n v="3"/>
    <n v="187"/>
    <n v="2024"/>
    <x v="2"/>
    <s v="超级短视频"/>
    <x v="1"/>
    <x v="1"/>
  </r>
  <r>
    <x v="1"/>
    <x v="55"/>
    <x v="0"/>
    <x v="6"/>
    <x v="48"/>
    <n v="1089"/>
    <n v="885"/>
    <n v="0"/>
    <n v="0"/>
    <n v="0"/>
    <n v="0"/>
    <n v="0"/>
    <n v="0"/>
    <n v="1089"/>
    <n v="109"/>
    <n v="2024"/>
    <x v="2"/>
    <s v="Showmax"/>
    <x v="1"/>
    <x v="1"/>
  </r>
  <r>
    <x v="1"/>
    <x v="55"/>
    <x v="0"/>
    <x v="6"/>
    <x v="30"/>
    <n v="1628"/>
    <n v="1336"/>
    <n v="0"/>
    <n v="0"/>
    <n v="0"/>
    <n v="0"/>
    <n v="0"/>
    <n v="0"/>
    <n v="1628"/>
    <n v="239"/>
    <n v="2024"/>
    <x v="2"/>
    <s v="品牌特秀"/>
    <x v="1"/>
    <x v="1"/>
  </r>
  <r>
    <x v="1"/>
    <x v="55"/>
    <x v="0"/>
    <x v="6"/>
    <x v="21"/>
    <n v="647"/>
    <n v="540"/>
    <n v="14"/>
    <n v="5"/>
    <n v="19711"/>
    <n v="8"/>
    <n v="19711"/>
    <n v="8"/>
    <n v="647"/>
    <n v="341"/>
    <n v="2024"/>
    <x v="2"/>
    <s v="品销宝-品牌专区"/>
    <x v="1"/>
    <x v="1"/>
  </r>
  <r>
    <x v="1"/>
    <x v="55"/>
    <x v="0"/>
    <x v="0"/>
    <x v="2"/>
    <n v="2513"/>
    <n v="2115"/>
    <n v="38"/>
    <n v="26"/>
    <n v="26326"/>
    <n v="8"/>
    <n v="16906"/>
    <n v="7"/>
    <n v="237"/>
    <n v="2498"/>
    <n v="2024"/>
    <x v="2"/>
    <s v="直通车"/>
    <x v="1"/>
    <x v="1"/>
  </r>
  <r>
    <x v="1"/>
    <x v="55"/>
    <x v="0"/>
    <x v="0"/>
    <x v="0"/>
    <n v="3513"/>
    <n v="2231"/>
    <n v="46"/>
    <n v="37"/>
    <n v="15133"/>
    <n v="5"/>
    <n v="9183"/>
    <n v="4"/>
    <n v="183"/>
    <n v="3511"/>
    <n v="2024"/>
    <x v="2"/>
    <s v="万相台"/>
    <x v="1"/>
    <x v="1"/>
  </r>
  <r>
    <x v="1"/>
    <x v="55"/>
    <x v="0"/>
    <x v="0"/>
    <x v="1"/>
    <n v="14387"/>
    <n v="7487"/>
    <n v="29"/>
    <n v="22"/>
    <n v="24367.5"/>
    <n v="6"/>
    <n v="12527.5"/>
    <n v="4"/>
    <n v="282"/>
    <n v="14382"/>
    <n v="2024"/>
    <x v="2"/>
    <s v="引力魔方"/>
    <x v="1"/>
    <x v="1"/>
  </r>
  <r>
    <x v="1"/>
    <x v="55"/>
    <x v="0"/>
    <x v="7"/>
    <x v="23"/>
    <n v="4"/>
    <n v="2"/>
    <n v="0"/>
    <n v="0"/>
    <n v="0"/>
    <n v="0"/>
    <n v="0"/>
    <n v="0"/>
    <n v="1"/>
    <n v="3"/>
    <n v="2024"/>
    <x v="2"/>
    <s v="流量宝"/>
    <x v="1"/>
    <x v="1"/>
  </r>
  <r>
    <x v="1"/>
    <x v="55"/>
    <x v="0"/>
    <x v="7"/>
    <x v="24"/>
    <n v="2054"/>
    <n v="559"/>
    <n v="1"/>
    <n v="3"/>
    <n v="4027.5"/>
    <n v="2"/>
    <n v="4027.5"/>
    <n v="2"/>
    <n v="16"/>
    <n v="2042"/>
    <n v="2024"/>
    <x v="2"/>
    <s v="淘宝客"/>
    <x v="1"/>
    <x v="1"/>
  </r>
  <r>
    <x v="1"/>
    <x v="56"/>
    <x v="1"/>
    <x v="8"/>
    <x v="25"/>
    <n v="75"/>
    <n v="39"/>
    <n v="1"/>
    <n v="2"/>
    <n v="798"/>
    <n v="1"/>
    <n v="798"/>
    <n v="1"/>
    <n v="8"/>
    <n v="65"/>
    <n v="2024"/>
    <x v="2"/>
    <s v="主会场"/>
    <x v="1"/>
    <x v="1"/>
  </r>
  <r>
    <x v="1"/>
    <x v="56"/>
    <x v="1"/>
    <x v="8"/>
    <x v="26"/>
    <n v="1"/>
    <n v="1"/>
    <n v="0"/>
    <n v="0"/>
    <n v="0"/>
    <n v="0"/>
    <n v="0"/>
    <n v="0"/>
    <n v="0"/>
    <n v="1"/>
    <n v="2024"/>
    <x v="2"/>
    <s v="榜单会场"/>
    <x v="1"/>
    <x v="1"/>
  </r>
  <r>
    <x v="1"/>
    <x v="56"/>
    <x v="1"/>
    <x v="2"/>
    <x v="4"/>
    <n v="4"/>
    <n v="4"/>
    <n v="0"/>
    <n v="0"/>
    <n v="0"/>
    <n v="0"/>
    <n v="0"/>
    <n v="0"/>
    <n v="4"/>
    <n v="0"/>
    <n v="2024"/>
    <x v="2"/>
    <s v="手机浏览器访问天猫"/>
    <x v="1"/>
    <x v="1"/>
  </r>
  <r>
    <x v="1"/>
    <x v="56"/>
    <x v="1"/>
    <x v="2"/>
    <x v="5"/>
    <n v="73"/>
    <n v="30"/>
    <n v="0"/>
    <n v="0"/>
    <n v="11467.94"/>
    <n v="4"/>
    <n v="11467.94"/>
    <n v="4"/>
    <n v="19"/>
    <n v="72"/>
    <n v="2024"/>
    <x v="2"/>
    <s v="手猫免费其他"/>
    <x v="1"/>
    <x v="1"/>
  </r>
  <r>
    <x v="1"/>
    <x v="56"/>
    <x v="1"/>
    <x v="2"/>
    <x v="6"/>
    <n v="6"/>
    <n v="3"/>
    <n v="0"/>
    <n v="0"/>
    <n v="0"/>
    <n v="0"/>
    <n v="0"/>
    <n v="0"/>
    <n v="0"/>
    <n v="6"/>
    <n v="2024"/>
    <x v="2"/>
    <s v="手猫其他店铺"/>
    <x v="1"/>
    <x v="1"/>
  </r>
  <r>
    <x v="1"/>
    <x v="56"/>
    <x v="1"/>
    <x v="2"/>
    <x v="7"/>
    <n v="23"/>
    <n v="11"/>
    <n v="0"/>
    <n v="0"/>
    <n v="0"/>
    <n v="0"/>
    <n v="0"/>
    <n v="0"/>
    <n v="5"/>
    <n v="22"/>
    <n v="2024"/>
    <x v="2"/>
    <s v="手猫商品详情"/>
    <x v="1"/>
    <x v="1"/>
  </r>
  <r>
    <x v="1"/>
    <x v="56"/>
    <x v="1"/>
    <x v="2"/>
    <x v="8"/>
    <n v="77"/>
    <n v="44"/>
    <n v="2"/>
    <n v="0"/>
    <n v="10397"/>
    <n v="5"/>
    <n v="9094"/>
    <n v="4"/>
    <n v="27"/>
    <n v="67"/>
    <n v="2024"/>
    <x v="2"/>
    <s v="手猫搜索"/>
    <x v="1"/>
    <x v="1"/>
  </r>
  <r>
    <x v="1"/>
    <x v="56"/>
    <x v="1"/>
    <x v="2"/>
    <x v="9"/>
    <n v="2"/>
    <n v="1"/>
    <n v="0"/>
    <n v="0"/>
    <n v="0"/>
    <n v="0"/>
    <n v="0"/>
    <n v="0"/>
    <n v="1"/>
    <n v="1"/>
    <n v="2024"/>
    <x v="2"/>
    <s v="手猫旺信聊天"/>
    <x v="1"/>
    <x v="1"/>
  </r>
  <r>
    <x v="1"/>
    <x v="56"/>
    <x v="1"/>
    <x v="2"/>
    <x v="10"/>
    <n v="301"/>
    <n v="145"/>
    <n v="1"/>
    <n v="0"/>
    <n v="1680"/>
    <n v="1"/>
    <n v="1680"/>
    <n v="1"/>
    <n v="14"/>
    <n v="301"/>
    <n v="2024"/>
    <x v="2"/>
    <s v="手猫首页"/>
    <x v="1"/>
    <x v="1"/>
  </r>
  <r>
    <x v="1"/>
    <x v="56"/>
    <x v="1"/>
    <x v="3"/>
    <x v="11"/>
    <n v="223"/>
    <n v="114"/>
    <n v="8"/>
    <n v="2"/>
    <n v="2801"/>
    <n v="2"/>
    <n v="1498"/>
    <n v="1"/>
    <n v="69"/>
    <n v="189"/>
    <n v="2024"/>
    <x v="2"/>
    <s v="商品详情页头图推荐"/>
    <x v="1"/>
    <x v="1"/>
  </r>
  <r>
    <x v="1"/>
    <x v="56"/>
    <x v="1"/>
    <x v="3"/>
    <x v="12"/>
    <n v="36"/>
    <n v="24"/>
    <n v="2"/>
    <n v="0"/>
    <n v="6842"/>
    <n v="4"/>
    <n v="6842"/>
    <n v="4"/>
    <n v="32"/>
    <n v="17"/>
    <n v="2024"/>
    <x v="2"/>
    <s v="店铺超链"/>
    <x v="1"/>
    <x v="1"/>
  </r>
  <r>
    <x v="1"/>
    <x v="56"/>
    <x v="1"/>
    <x v="4"/>
    <x v="13"/>
    <n v="197"/>
    <n v="109"/>
    <n v="4"/>
    <n v="2"/>
    <n v="2339.5700000000002"/>
    <n v="1"/>
    <n v="2339.5700000000002"/>
    <n v="1"/>
    <n v="70"/>
    <n v="153"/>
    <n v="2024"/>
    <x v="2"/>
    <s v="其他猜你喜欢"/>
    <x v="1"/>
    <x v="1"/>
  </r>
  <r>
    <x v="1"/>
    <x v="56"/>
    <x v="1"/>
    <x v="4"/>
    <x v="15"/>
    <n v="4"/>
    <n v="2"/>
    <n v="0"/>
    <n v="0"/>
    <n v="0"/>
    <n v="0"/>
    <n v="0"/>
    <n v="0"/>
    <n v="0"/>
    <n v="4"/>
    <n v="2024"/>
    <x v="2"/>
    <s v="购中推荐"/>
    <x v="1"/>
    <x v="1"/>
  </r>
  <r>
    <x v="1"/>
    <x v="56"/>
    <x v="1"/>
    <x v="4"/>
    <x v="16"/>
    <n v="42"/>
    <n v="23"/>
    <n v="1"/>
    <n v="0"/>
    <n v="1303"/>
    <n v="1"/>
    <n v="1303"/>
    <n v="1"/>
    <n v="1"/>
    <n v="42"/>
    <n v="2024"/>
    <x v="2"/>
    <s v="购后推荐"/>
    <x v="1"/>
    <x v="1"/>
  </r>
  <r>
    <x v="1"/>
    <x v="56"/>
    <x v="1"/>
    <x v="4"/>
    <x v="17"/>
    <n v="1647"/>
    <n v="1009"/>
    <n v="31"/>
    <n v="13"/>
    <n v="20974"/>
    <n v="9"/>
    <n v="13001"/>
    <n v="7"/>
    <n v="160"/>
    <n v="1647"/>
    <n v="2024"/>
    <x v="2"/>
    <s v="首页推荐-微详情"/>
    <x v="1"/>
    <x v="1"/>
  </r>
  <r>
    <x v="1"/>
    <x v="56"/>
    <x v="1"/>
    <x v="4"/>
    <x v="18"/>
    <n v="55"/>
    <n v="15"/>
    <n v="0"/>
    <n v="0"/>
    <n v="0"/>
    <n v="0"/>
    <n v="0"/>
    <n v="0"/>
    <n v="0"/>
    <n v="0"/>
    <n v="2024"/>
    <x v="2"/>
    <s v="首页推荐-直播"/>
    <x v="1"/>
    <x v="1"/>
  </r>
  <r>
    <x v="1"/>
    <x v="56"/>
    <x v="1"/>
    <x v="4"/>
    <x v="19"/>
    <n v="68"/>
    <n v="30"/>
    <n v="0"/>
    <n v="0"/>
    <n v="0"/>
    <n v="0"/>
    <n v="0"/>
    <n v="0"/>
    <n v="0"/>
    <n v="0"/>
    <n v="2024"/>
    <x v="2"/>
    <s v="首页推荐-短视频"/>
    <x v="1"/>
    <x v="1"/>
  </r>
  <r>
    <x v="1"/>
    <x v="56"/>
    <x v="1"/>
    <x v="12"/>
    <x v="42"/>
    <n v="955"/>
    <n v="774"/>
    <n v="43"/>
    <n v="10"/>
    <n v="78205"/>
    <n v="15"/>
    <n v="35020"/>
    <n v="13"/>
    <n v="291"/>
    <n v="857"/>
    <n v="2024"/>
    <x v="2"/>
    <s v="手淘搜索-商品及其他"/>
    <x v="1"/>
    <x v="1"/>
  </r>
  <r>
    <x v="1"/>
    <x v="56"/>
    <x v="1"/>
    <x v="12"/>
    <x v="44"/>
    <n v="14"/>
    <n v="9"/>
    <n v="0"/>
    <n v="0"/>
    <n v="2488"/>
    <n v="1"/>
    <n v="2488"/>
    <n v="1"/>
    <n v="1"/>
    <n v="5"/>
    <n v="2024"/>
    <x v="2"/>
    <s v="手淘搜索-短视频"/>
    <x v="1"/>
    <x v="1"/>
  </r>
  <r>
    <x v="1"/>
    <x v="56"/>
    <x v="1"/>
    <x v="11"/>
    <x v="37"/>
    <n v="14"/>
    <n v="14"/>
    <n v="0"/>
    <n v="0"/>
    <n v="0"/>
    <n v="0"/>
    <n v="0"/>
    <n v="0"/>
    <n v="0"/>
    <n v="14"/>
    <n v="2024"/>
    <x v="2"/>
    <s v="淘特其他渠道"/>
    <x v="1"/>
    <x v="1"/>
  </r>
  <r>
    <x v="1"/>
    <x v="56"/>
    <x v="0"/>
    <x v="5"/>
    <x v="41"/>
    <n v="12"/>
    <n v="9"/>
    <n v="0"/>
    <n v="0"/>
    <n v="0"/>
    <n v="0"/>
    <n v="0"/>
    <n v="0"/>
    <n v="0"/>
    <n v="5"/>
    <n v="2024"/>
    <x v="2"/>
    <s v="超级直播"/>
    <x v="1"/>
    <x v="1"/>
  </r>
  <r>
    <x v="1"/>
    <x v="56"/>
    <x v="0"/>
    <x v="5"/>
    <x v="20"/>
    <n v="17152"/>
    <n v="12761"/>
    <n v="2"/>
    <n v="5"/>
    <n v="0"/>
    <n v="0"/>
    <n v="0"/>
    <n v="0"/>
    <n v="8"/>
    <n v="867"/>
    <n v="2024"/>
    <x v="2"/>
    <s v="超级短视频"/>
    <x v="1"/>
    <x v="1"/>
  </r>
  <r>
    <x v="1"/>
    <x v="56"/>
    <x v="0"/>
    <x v="6"/>
    <x v="48"/>
    <n v="1117"/>
    <n v="885"/>
    <n v="0"/>
    <n v="0"/>
    <n v="0"/>
    <n v="0"/>
    <n v="0"/>
    <n v="0"/>
    <n v="1117"/>
    <n v="158"/>
    <n v="2024"/>
    <x v="2"/>
    <s v="Showmax"/>
    <x v="1"/>
    <x v="1"/>
  </r>
  <r>
    <x v="1"/>
    <x v="56"/>
    <x v="0"/>
    <x v="6"/>
    <x v="30"/>
    <n v="1816"/>
    <n v="1482"/>
    <n v="0"/>
    <n v="0"/>
    <n v="0"/>
    <n v="0"/>
    <n v="0"/>
    <n v="0"/>
    <n v="1816"/>
    <n v="275"/>
    <n v="2024"/>
    <x v="2"/>
    <s v="品牌特秀"/>
    <x v="1"/>
    <x v="1"/>
  </r>
  <r>
    <x v="1"/>
    <x v="56"/>
    <x v="0"/>
    <x v="6"/>
    <x v="21"/>
    <n v="646"/>
    <n v="551"/>
    <n v="18"/>
    <n v="3"/>
    <n v="22174"/>
    <n v="6"/>
    <n v="22174"/>
    <n v="6"/>
    <n v="646"/>
    <n v="325"/>
    <n v="2024"/>
    <x v="2"/>
    <s v="品销宝-品牌专区"/>
    <x v="1"/>
    <x v="1"/>
  </r>
  <r>
    <x v="1"/>
    <x v="56"/>
    <x v="0"/>
    <x v="6"/>
    <x v="49"/>
    <n v="1"/>
    <n v="0"/>
    <n v="0"/>
    <n v="0"/>
    <n v="0"/>
    <n v="0"/>
    <n v="0"/>
    <n v="0"/>
    <n v="0"/>
    <n v="1"/>
    <n v="2024"/>
    <x v="2"/>
    <s v="超级全域通"/>
    <x v="1"/>
    <x v="1"/>
  </r>
  <r>
    <x v="1"/>
    <x v="56"/>
    <x v="0"/>
    <x v="0"/>
    <x v="2"/>
    <n v="3264"/>
    <n v="2809"/>
    <n v="46"/>
    <n v="25"/>
    <n v="85920"/>
    <n v="19"/>
    <n v="55055"/>
    <n v="17"/>
    <n v="312"/>
    <n v="3228"/>
    <n v="2024"/>
    <x v="2"/>
    <s v="直通车"/>
    <x v="1"/>
    <x v="1"/>
  </r>
  <r>
    <x v="1"/>
    <x v="56"/>
    <x v="0"/>
    <x v="0"/>
    <x v="0"/>
    <n v="3391"/>
    <n v="2044"/>
    <n v="39"/>
    <n v="32"/>
    <n v="16444"/>
    <n v="7"/>
    <n v="16444"/>
    <n v="7"/>
    <n v="185"/>
    <n v="3390"/>
    <n v="2024"/>
    <x v="2"/>
    <s v="万相台"/>
    <x v="1"/>
    <x v="1"/>
  </r>
  <r>
    <x v="1"/>
    <x v="56"/>
    <x v="0"/>
    <x v="0"/>
    <x v="1"/>
    <n v="13874"/>
    <n v="6752"/>
    <n v="27"/>
    <n v="25"/>
    <n v="13190.27"/>
    <n v="6"/>
    <n v="9630.27"/>
    <n v="5"/>
    <n v="277"/>
    <n v="13870"/>
    <n v="2024"/>
    <x v="2"/>
    <s v="引力魔方"/>
    <x v="1"/>
    <x v="1"/>
  </r>
  <r>
    <x v="1"/>
    <x v="56"/>
    <x v="0"/>
    <x v="7"/>
    <x v="23"/>
    <n v="1"/>
    <n v="0"/>
    <n v="0"/>
    <n v="0"/>
    <n v="0"/>
    <n v="0"/>
    <n v="0"/>
    <n v="0"/>
    <n v="0"/>
    <n v="1"/>
    <n v="2024"/>
    <x v="2"/>
    <s v="流量宝"/>
    <x v="1"/>
    <x v="1"/>
  </r>
  <r>
    <x v="1"/>
    <x v="56"/>
    <x v="0"/>
    <x v="7"/>
    <x v="24"/>
    <n v="2147"/>
    <n v="480"/>
    <n v="4"/>
    <n v="1"/>
    <n v="11627.57"/>
    <n v="3"/>
    <n v="11627.57"/>
    <n v="3"/>
    <n v="17"/>
    <n v="2141"/>
    <n v="2024"/>
    <x v="2"/>
    <s v="淘宝客"/>
    <x v="1"/>
    <x v="1"/>
  </r>
  <r>
    <x v="1"/>
    <x v="57"/>
    <x v="1"/>
    <x v="8"/>
    <x v="25"/>
    <n v="79"/>
    <n v="45"/>
    <n v="2"/>
    <n v="3"/>
    <n v="0"/>
    <n v="0"/>
    <n v="0"/>
    <n v="0"/>
    <n v="16"/>
    <n v="73"/>
    <n v="2024"/>
    <x v="2"/>
    <s v="主会场"/>
    <x v="1"/>
    <x v="1"/>
  </r>
  <r>
    <x v="1"/>
    <x v="57"/>
    <x v="1"/>
    <x v="1"/>
    <x v="3"/>
    <n v="2"/>
    <n v="0"/>
    <n v="0"/>
    <n v="0"/>
    <n v="0"/>
    <n v="0"/>
    <n v="0"/>
    <n v="0"/>
    <n v="0"/>
    <n v="2"/>
    <n v="2024"/>
    <x v="2"/>
    <s v="其他入口榜单"/>
    <x v="1"/>
    <x v="1"/>
  </r>
  <r>
    <x v="1"/>
    <x v="57"/>
    <x v="1"/>
    <x v="2"/>
    <x v="4"/>
    <n v="1"/>
    <n v="1"/>
    <n v="0"/>
    <n v="0"/>
    <n v="0"/>
    <n v="0"/>
    <n v="0"/>
    <n v="0"/>
    <n v="1"/>
    <n v="0"/>
    <n v="2024"/>
    <x v="2"/>
    <s v="手机浏览器访问天猫"/>
    <x v="1"/>
    <x v="1"/>
  </r>
  <r>
    <x v="1"/>
    <x v="57"/>
    <x v="1"/>
    <x v="2"/>
    <x v="5"/>
    <n v="76"/>
    <n v="39"/>
    <n v="1"/>
    <n v="0"/>
    <n v="7410"/>
    <n v="3"/>
    <n v="7410"/>
    <n v="3"/>
    <n v="21"/>
    <n v="73"/>
    <n v="2024"/>
    <x v="2"/>
    <s v="手猫免费其他"/>
    <x v="1"/>
    <x v="1"/>
  </r>
  <r>
    <x v="1"/>
    <x v="57"/>
    <x v="1"/>
    <x v="2"/>
    <x v="6"/>
    <n v="11"/>
    <n v="7"/>
    <n v="0"/>
    <n v="0"/>
    <n v="0"/>
    <n v="0"/>
    <n v="0"/>
    <n v="0"/>
    <n v="0"/>
    <n v="11"/>
    <n v="2024"/>
    <x v="2"/>
    <s v="手猫其他店铺"/>
    <x v="1"/>
    <x v="1"/>
  </r>
  <r>
    <x v="1"/>
    <x v="57"/>
    <x v="1"/>
    <x v="2"/>
    <x v="7"/>
    <n v="25"/>
    <n v="8"/>
    <n v="0"/>
    <n v="0"/>
    <n v="1680"/>
    <n v="1"/>
    <n v="1680"/>
    <n v="1"/>
    <n v="6"/>
    <n v="22"/>
    <n v="2024"/>
    <x v="2"/>
    <s v="手猫商品详情"/>
    <x v="1"/>
    <x v="1"/>
  </r>
  <r>
    <x v="1"/>
    <x v="57"/>
    <x v="1"/>
    <x v="2"/>
    <x v="8"/>
    <n v="57"/>
    <n v="40"/>
    <n v="2"/>
    <n v="0"/>
    <n v="3178"/>
    <n v="2"/>
    <n v="3178"/>
    <n v="2"/>
    <n v="19"/>
    <n v="48"/>
    <n v="2024"/>
    <x v="2"/>
    <s v="手猫搜索"/>
    <x v="1"/>
    <x v="1"/>
  </r>
  <r>
    <x v="1"/>
    <x v="57"/>
    <x v="1"/>
    <x v="2"/>
    <x v="9"/>
    <n v="1"/>
    <n v="0"/>
    <n v="0"/>
    <n v="0"/>
    <n v="0"/>
    <n v="0"/>
    <n v="0"/>
    <n v="0"/>
    <n v="0"/>
    <n v="1"/>
    <n v="2024"/>
    <x v="2"/>
    <s v="手猫旺信聊天"/>
    <x v="1"/>
    <x v="1"/>
  </r>
  <r>
    <x v="1"/>
    <x v="57"/>
    <x v="1"/>
    <x v="2"/>
    <x v="10"/>
    <n v="305"/>
    <n v="163"/>
    <n v="1"/>
    <n v="0"/>
    <n v="0"/>
    <n v="0"/>
    <n v="0"/>
    <n v="0"/>
    <n v="11"/>
    <n v="305"/>
    <n v="2024"/>
    <x v="2"/>
    <s v="手猫首页"/>
    <x v="1"/>
    <x v="1"/>
  </r>
  <r>
    <x v="1"/>
    <x v="57"/>
    <x v="1"/>
    <x v="3"/>
    <x v="11"/>
    <n v="137"/>
    <n v="55"/>
    <n v="3"/>
    <n v="3"/>
    <n v="5734"/>
    <n v="3"/>
    <n v="5734"/>
    <n v="3"/>
    <n v="44"/>
    <n v="125"/>
    <n v="2024"/>
    <x v="2"/>
    <s v="商品详情页头图推荐"/>
    <x v="1"/>
    <x v="1"/>
  </r>
  <r>
    <x v="1"/>
    <x v="57"/>
    <x v="1"/>
    <x v="3"/>
    <x v="12"/>
    <n v="20"/>
    <n v="13"/>
    <n v="0"/>
    <n v="0"/>
    <n v="0"/>
    <n v="0"/>
    <n v="0"/>
    <n v="0"/>
    <n v="18"/>
    <n v="6"/>
    <n v="2024"/>
    <x v="2"/>
    <s v="店铺超链"/>
    <x v="1"/>
    <x v="1"/>
  </r>
  <r>
    <x v="1"/>
    <x v="57"/>
    <x v="1"/>
    <x v="4"/>
    <x v="13"/>
    <n v="200"/>
    <n v="113"/>
    <n v="5"/>
    <n v="1"/>
    <n v="5037"/>
    <n v="3"/>
    <n v="5037"/>
    <n v="3"/>
    <n v="75"/>
    <n v="166"/>
    <n v="2024"/>
    <x v="2"/>
    <s v="其他猜你喜欢"/>
    <x v="1"/>
    <x v="1"/>
  </r>
  <r>
    <x v="1"/>
    <x v="57"/>
    <x v="1"/>
    <x v="4"/>
    <x v="15"/>
    <n v="5"/>
    <n v="3"/>
    <n v="0"/>
    <n v="0"/>
    <n v="0"/>
    <n v="0"/>
    <n v="0"/>
    <n v="0"/>
    <n v="0"/>
    <n v="5"/>
    <n v="2024"/>
    <x v="2"/>
    <s v="购中推荐"/>
    <x v="1"/>
    <x v="1"/>
  </r>
  <r>
    <x v="1"/>
    <x v="57"/>
    <x v="1"/>
    <x v="4"/>
    <x v="16"/>
    <n v="33"/>
    <n v="23"/>
    <n v="1"/>
    <n v="0"/>
    <n v="0"/>
    <n v="0"/>
    <n v="0"/>
    <n v="0"/>
    <n v="2"/>
    <n v="32"/>
    <n v="2024"/>
    <x v="2"/>
    <s v="购后推荐"/>
    <x v="1"/>
    <x v="1"/>
  </r>
  <r>
    <x v="1"/>
    <x v="57"/>
    <x v="1"/>
    <x v="4"/>
    <x v="17"/>
    <n v="1615"/>
    <n v="927"/>
    <n v="33"/>
    <n v="15"/>
    <n v="11667.51"/>
    <n v="7"/>
    <n v="11667.51"/>
    <n v="7"/>
    <n v="127"/>
    <n v="1615"/>
    <n v="2024"/>
    <x v="2"/>
    <s v="首页推荐-微详情"/>
    <x v="1"/>
    <x v="1"/>
  </r>
  <r>
    <x v="1"/>
    <x v="57"/>
    <x v="1"/>
    <x v="4"/>
    <x v="18"/>
    <n v="29"/>
    <n v="6"/>
    <n v="0"/>
    <n v="0"/>
    <n v="0"/>
    <n v="0"/>
    <n v="0"/>
    <n v="0"/>
    <n v="0"/>
    <n v="0"/>
    <n v="2024"/>
    <x v="2"/>
    <s v="首页推荐-直播"/>
    <x v="1"/>
    <x v="1"/>
  </r>
  <r>
    <x v="1"/>
    <x v="57"/>
    <x v="1"/>
    <x v="4"/>
    <x v="19"/>
    <n v="45"/>
    <n v="19"/>
    <n v="0"/>
    <n v="0"/>
    <n v="0"/>
    <n v="0"/>
    <n v="0"/>
    <n v="0"/>
    <n v="0"/>
    <n v="0"/>
    <n v="2024"/>
    <x v="2"/>
    <s v="首页推荐-短视频"/>
    <x v="1"/>
    <x v="1"/>
  </r>
  <r>
    <x v="1"/>
    <x v="57"/>
    <x v="1"/>
    <x v="12"/>
    <x v="42"/>
    <n v="889"/>
    <n v="702"/>
    <n v="35"/>
    <n v="15"/>
    <n v="25695"/>
    <n v="9"/>
    <n v="12745"/>
    <n v="8"/>
    <n v="250"/>
    <n v="822"/>
    <n v="2024"/>
    <x v="2"/>
    <s v="手淘搜索-商品及其他"/>
    <x v="1"/>
    <x v="1"/>
  </r>
  <r>
    <x v="1"/>
    <x v="57"/>
    <x v="1"/>
    <x v="12"/>
    <x v="44"/>
    <n v="30"/>
    <n v="18"/>
    <n v="0"/>
    <n v="0"/>
    <n v="0"/>
    <n v="0"/>
    <n v="0"/>
    <n v="0"/>
    <n v="5"/>
    <n v="9"/>
    <n v="2024"/>
    <x v="2"/>
    <s v="手淘搜索-短视频"/>
    <x v="1"/>
    <x v="1"/>
  </r>
  <r>
    <x v="1"/>
    <x v="57"/>
    <x v="1"/>
    <x v="11"/>
    <x v="37"/>
    <n v="7"/>
    <n v="7"/>
    <n v="0"/>
    <n v="0"/>
    <n v="0"/>
    <n v="0"/>
    <n v="0"/>
    <n v="0"/>
    <n v="0"/>
    <n v="7"/>
    <n v="2024"/>
    <x v="2"/>
    <s v="淘特其他渠道"/>
    <x v="1"/>
    <x v="1"/>
  </r>
  <r>
    <x v="1"/>
    <x v="57"/>
    <x v="0"/>
    <x v="5"/>
    <x v="20"/>
    <n v="10095"/>
    <n v="7720"/>
    <n v="1"/>
    <n v="4"/>
    <n v="0"/>
    <n v="0"/>
    <n v="0"/>
    <n v="0"/>
    <n v="8"/>
    <n v="333"/>
    <n v="2024"/>
    <x v="2"/>
    <s v="超级短视频"/>
    <x v="1"/>
    <x v="1"/>
  </r>
  <r>
    <x v="1"/>
    <x v="57"/>
    <x v="0"/>
    <x v="6"/>
    <x v="48"/>
    <n v="1165"/>
    <n v="933"/>
    <n v="0"/>
    <n v="0"/>
    <n v="0"/>
    <n v="0"/>
    <n v="0"/>
    <n v="0"/>
    <n v="1165"/>
    <n v="153"/>
    <n v="2024"/>
    <x v="2"/>
    <s v="Showmax"/>
    <x v="1"/>
    <x v="1"/>
  </r>
  <r>
    <x v="1"/>
    <x v="57"/>
    <x v="0"/>
    <x v="6"/>
    <x v="30"/>
    <n v="1732"/>
    <n v="1395"/>
    <n v="0"/>
    <n v="0"/>
    <n v="0"/>
    <n v="0"/>
    <n v="0"/>
    <n v="0"/>
    <n v="1732"/>
    <n v="230"/>
    <n v="2024"/>
    <x v="2"/>
    <s v="品牌特秀"/>
    <x v="1"/>
    <x v="1"/>
  </r>
  <r>
    <x v="1"/>
    <x v="57"/>
    <x v="0"/>
    <x v="6"/>
    <x v="21"/>
    <n v="561"/>
    <n v="488"/>
    <n v="19"/>
    <n v="6"/>
    <n v="7321"/>
    <n v="4"/>
    <n v="7321"/>
    <n v="4"/>
    <n v="561"/>
    <n v="283"/>
    <n v="2024"/>
    <x v="2"/>
    <s v="品销宝-品牌专区"/>
    <x v="1"/>
    <x v="1"/>
  </r>
  <r>
    <x v="1"/>
    <x v="57"/>
    <x v="0"/>
    <x v="0"/>
    <x v="2"/>
    <n v="2751"/>
    <n v="2362"/>
    <n v="34"/>
    <n v="32"/>
    <n v="73365"/>
    <n v="10"/>
    <n v="24715"/>
    <n v="8"/>
    <n v="239"/>
    <n v="2729"/>
    <n v="2024"/>
    <x v="2"/>
    <s v="直通车"/>
    <x v="1"/>
    <x v="1"/>
  </r>
  <r>
    <x v="1"/>
    <x v="57"/>
    <x v="0"/>
    <x v="0"/>
    <x v="0"/>
    <n v="3317"/>
    <n v="1874"/>
    <n v="49"/>
    <n v="32"/>
    <n v="40336"/>
    <n v="13"/>
    <n v="23296"/>
    <n v="10"/>
    <n v="206"/>
    <n v="3315"/>
    <n v="2024"/>
    <x v="2"/>
    <s v="万相台"/>
    <x v="1"/>
    <x v="1"/>
  </r>
  <r>
    <x v="1"/>
    <x v="57"/>
    <x v="0"/>
    <x v="0"/>
    <x v="1"/>
    <n v="13235"/>
    <n v="6291"/>
    <n v="20"/>
    <n v="28"/>
    <n v="0"/>
    <n v="0"/>
    <n v="0"/>
    <n v="0"/>
    <n v="262"/>
    <n v="13229"/>
    <n v="2024"/>
    <x v="2"/>
    <s v="引力魔方"/>
    <x v="1"/>
    <x v="1"/>
  </r>
  <r>
    <x v="1"/>
    <x v="57"/>
    <x v="0"/>
    <x v="7"/>
    <x v="24"/>
    <n v="1704"/>
    <n v="327"/>
    <n v="1"/>
    <n v="1"/>
    <n v="350"/>
    <n v="1"/>
    <n v="350"/>
    <n v="1"/>
    <n v="16"/>
    <n v="1698"/>
    <n v="2024"/>
    <x v="2"/>
    <s v="淘宝客"/>
    <x v="1"/>
    <x v="1"/>
  </r>
  <r>
    <x v="1"/>
    <x v="58"/>
    <x v="1"/>
    <x v="8"/>
    <x v="25"/>
    <n v="83"/>
    <n v="42"/>
    <n v="5"/>
    <n v="1"/>
    <n v="0"/>
    <n v="0"/>
    <n v="0"/>
    <n v="0"/>
    <n v="9"/>
    <n v="78"/>
    <n v="2024"/>
    <x v="2"/>
    <s v="主会场"/>
    <x v="1"/>
    <x v="1"/>
  </r>
  <r>
    <x v="1"/>
    <x v="58"/>
    <x v="1"/>
    <x v="2"/>
    <x v="4"/>
    <n v="1"/>
    <n v="1"/>
    <n v="0"/>
    <n v="0"/>
    <n v="0"/>
    <n v="0"/>
    <n v="0"/>
    <n v="0"/>
    <n v="1"/>
    <n v="0"/>
    <n v="2024"/>
    <x v="2"/>
    <s v="手机浏览器访问天猫"/>
    <x v="1"/>
    <x v="1"/>
  </r>
  <r>
    <x v="1"/>
    <x v="58"/>
    <x v="1"/>
    <x v="2"/>
    <x v="5"/>
    <n v="79"/>
    <n v="37"/>
    <n v="2"/>
    <n v="0"/>
    <n v="7969"/>
    <n v="2"/>
    <n v="7969"/>
    <n v="2"/>
    <n v="13"/>
    <n v="79"/>
    <n v="2024"/>
    <x v="2"/>
    <s v="手猫免费其他"/>
    <x v="1"/>
    <x v="1"/>
  </r>
  <r>
    <x v="1"/>
    <x v="58"/>
    <x v="1"/>
    <x v="2"/>
    <x v="6"/>
    <n v="5"/>
    <n v="2"/>
    <n v="1"/>
    <n v="0"/>
    <n v="9960.5"/>
    <n v="4"/>
    <n v="8960.5"/>
    <n v="4"/>
    <n v="0"/>
    <n v="5"/>
    <n v="2024"/>
    <x v="2"/>
    <s v="手猫其他店铺"/>
    <x v="1"/>
    <x v="1"/>
  </r>
  <r>
    <x v="1"/>
    <x v="58"/>
    <x v="1"/>
    <x v="2"/>
    <x v="7"/>
    <n v="17"/>
    <n v="10"/>
    <n v="0"/>
    <n v="0"/>
    <n v="0"/>
    <n v="0"/>
    <n v="0"/>
    <n v="0"/>
    <n v="3"/>
    <n v="15"/>
    <n v="2024"/>
    <x v="2"/>
    <s v="手猫商品详情"/>
    <x v="1"/>
    <x v="1"/>
  </r>
  <r>
    <x v="1"/>
    <x v="58"/>
    <x v="1"/>
    <x v="2"/>
    <x v="8"/>
    <n v="56"/>
    <n v="38"/>
    <n v="0"/>
    <n v="0"/>
    <n v="2000"/>
    <n v="1"/>
    <n v="1000"/>
    <n v="1"/>
    <n v="16"/>
    <n v="50"/>
    <n v="2024"/>
    <x v="2"/>
    <s v="手猫搜索"/>
    <x v="1"/>
    <x v="1"/>
  </r>
  <r>
    <x v="1"/>
    <x v="58"/>
    <x v="1"/>
    <x v="2"/>
    <x v="9"/>
    <n v="4"/>
    <n v="0"/>
    <n v="1"/>
    <n v="0"/>
    <n v="10963"/>
    <n v="4"/>
    <n v="9963"/>
    <n v="4"/>
    <n v="0"/>
    <n v="4"/>
    <n v="2024"/>
    <x v="2"/>
    <s v="手猫旺信聊天"/>
    <x v="1"/>
    <x v="1"/>
  </r>
  <r>
    <x v="1"/>
    <x v="58"/>
    <x v="1"/>
    <x v="2"/>
    <x v="10"/>
    <n v="344"/>
    <n v="204"/>
    <n v="1"/>
    <n v="0"/>
    <n v="2778"/>
    <n v="2"/>
    <n v="2778"/>
    <n v="2"/>
    <n v="8"/>
    <n v="344"/>
    <n v="2024"/>
    <x v="2"/>
    <s v="手猫首页"/>
    <x v="1"/>
    <x v="1"/>
  </r>
  <r>
    <x v="1"/>
    <x v="58"/>
    <x v="1"/>
    <x v="3"/>
    <x v="11"/>
    <n v="125"/>
    <n v="51"/>
    <n v="5"/>
    <n v="5"/>
    <n v="6892.5"/>
    <n v="1"/>
    <n v="2297.5"/>
    <n v="1"/>
    <n v="33"/>
    <n v="105"/>
    <n v="2024"/>
    <x v="2"/>
    <s v="商品详情页头图推荐"/>
    <x v="1"/>
    <x v="1"/>
  </r>
  <r>
    <x v="1"/>
    <x v="58"/>
    <x v="1"/>
    <x v="3"/>
    <x v="12"/>
    <n v="23"/>
    <n v="18"/>
    <n v="0"/>
    <n v="0"/>
    <n v="0"/>
    <n v="0"/>
    <n v="0"/>
    <n v="0"/>
    <n v="17"/>
    <n v="14"/>
    <n v="2024"/>
    <x v="2"/>
    <s v="店铺超链"/>
    <x v="1"/>
    <x v="1"/>
  </r>
  <r>
    <x v="1"/>
    <x v="58"/>
    <x v="1"/>
    <x v="4"/>
    <x v="13"/>
    <n v="174"/>
    <n v="101"/>
    <n v="1"/>
    <n v="1"/>
    <n v="0"/>
    <n v="0"/>
    <n v="0"/>
    <n v="0"/>
    <n v="69"/>
    <n v="130"/>
    <n v="2024"/>
    <x v="2"/>
    <s v="其他猜你喜欢"/>
    <x v="1"/>
    <x v="1"/>
  </r>
  <r>
    <x v="1"/>
    <x v="58"/>
    <x v="1"/>
    <x v="4"/>
    <x v="15"/>
    <n v="3"/>
    <n v="1"/>
    <n v="0"/>
    <n v="0"/>
    <n v="0"/>
    <n v="0"/>
    <n v="0"/>
    <n v="0"/>
    <n v="1"/>
    <n v="2"/>
    <n v="2024"/>
    <x v="2"/>
    <s v="购中推荐"/>
    <x v="1"/>
    <x v="1"/>
  </r>
  <r>
    <x v="1"/>
    <x v="58"/>
    <x v="1"/>
    <x v="4"/>
    <x v="16"/>
    <n v="51"/>
    <n v="37"/>
    <n v="1"/>
    <n v="0"/>
    <n v="0"/>
    <n v="0"/>
    <n v="0"/>
    <n v="0"/>
    <n v="0"/>
    <n v="50"/>
    <n v="2024"/>
    <x v="2"/>
    <s v="购后推荐"/>
    <x v="1"/>
    <x v="1"/>
  </r>
  <r>
    <x v="1"/>
    <x v="58"/>
    <x v="1"/>
    <x v="4"/>
    <x v="17"/>
    <n v="1480"/>
    <n v="888"/>
    <n v="30"/>
    <n v="13"/>
    <n v="10342.5"/>
    <n v="2"/>
    <n v="5747.5"/>
    <n v="2"/>
    <n v="128"/>
    <n v="1480"/>
    <n v="2024"/>
    <x v="2"/>
    <s v="首页推荐-微详情"/>
    <x v="1"/>
    <x v="1"/>
  </r>
  <r>
    <x v="1"/>
    <x v="58"/>
    <x v="1"/>
    <x v="4"/>
    <x v="18"/>
    <n v="145"/>
    <n v="76"/>
    <n v="0"/>
    <n v="0"/>
    <n v="0"/>
    <n v="0"/>
    <n v="0"/>
    <n v="0"/>
    <n v="2"/>
    <n v="8"/>
    <n v="2024"/>
    <x v="2"/>
    <s v="首页推荐-直播"/>
    <x v="1"/>
    <x v="1"/>
  </r>
  <r>
    <x v="1"/>
    <x v="58"/>
    <x v="1"/>
    <x v="4"/>
    <x v="19"/>
    <n v="42"/>
    <n v="21"/>
    <n v="0"/>
    <n v="0"/>
    <n v="0"/>
    <n v="0"/>
    <n v="0"/>
    <n v="0"/>
    <n v="0"/>
    <n v="0"/>
    <n v="2024"/>
    <x v="2"/>
    <s v="首页推荐-短视频"/>
    <x v="1"/>
    <x v="1"/>
  </r>
  <r>
    <x v="1"/>
    <x v="58"/>
    <x v="1"/>
    <x v="12"/>
    <x v="42"/>
    <n v="796"/>
    <n v="654"/>
    <n v="42"/>
    <n v="12"/>
    <n v="25103.119999999999"/>
    <n v="11"/>
    <n v="22903.119999999999"/>
    <n v="11"/>
    <n v="244"/>
    <n v="713"/>
    <n v="2024"/>
    <x v="2"/>
    <s v="手淘搜索-商品及其他"/>
    <x v="1"/>
    <x v="1"/>
  </r>
  <r>
    <x v="1"/>
    <x v="58"/>
    <x v="1"/>
    <x v="12"/>
    <x v="43"/>
    <n v="2"/>
    <n v="0"/>
    <n v="0"/>
    <n v="0"/>
    <n v="0"/>
    <n v="0"/>
    <n v="0"/>
    <n v="0"/>
    <n v="0"/>
    <n v="2"/>
    <n v="2024"/>
    <x v="2"/>
    <s v="手淘搜索-直播"/>
    <x v="1"/>
    <x v="1"/>
  </r>
  <r>
    <x v="1"/>
    <x v="58"/>
    <x v="1"/>
    <x v="12"/>
    <x v="44"/>
    <n v="21"/>
    <n v="17"/>
    <n v="0"/>
    <n v="0"/>
    <n v="0"/>
    <n v="0"/>
    <n v="0"/>
    <n v="0"/>
    <n v="1"/>
    <n v="3"/>
    <n v="2024"/>
    <x v="2"/>
    <s v="手淘搜索-短视频"/>
    <x v="1"/>
    <x v="1"/>
  </r>
  <r>
    <x v="1"/>
    <x v="58"/>
    <x v="1"/>
    <x v="11"/>
    <x v="37"/>
    <n v="11"/>
    <n v="10"/>
    <n v="1"/>
    <n v="0"/>
    <n v="0"/>
    <n v="0"/>
    <n v="0"/>
    <n v="0"/>
    <n v="0"/>
    <n v="11"/>
    <n v="2024"/>
    <x v="2"/>
    <s v="淘特其他渠道"/>
    <x v="1"/>
    <x v="1"/>
  </r>
  <r>
    <x v="1"/>
    <x v="58"/>
    <x v="1"/>
    <x v="11"/>
    <x v="39"/>
    <n v="1"/>
    <n v="1"/>
    <n v="0"/>
    <n v="0"/>
    <n v="0"/>
    <n v="0"/>
    <n v="0"/>
    <n v="0"/>
    <n v="0"/>
    <n v="1"/>
    <n v="2024"/>
    <x v="2"/>
    <s v="淘特搜索"/>
    <x v="1"/>
    <x v="1"/>
  </r>
  <r>
    <x v="1"/>
    <x v="58"/>
    <x v="1"/>
    <x v="11"/>
    <x v="40"/>
    <n v="1"/>
    <n v="1"/>
    <n v="0"/>
    <n v="0"/>
    <n v="0"/>
    <n v="0"/>
    <n v="0"/>
    <n v="0"/>
    <n v="0"/>
    <n v="1"/>
    <n v="2024"/>
    <x v="2"/>
    <s v="淘特自主访问"/>
    <x v="1"/>
    <x v="1"/>
  </r>
  <r>
    <x v="1"/>
    <x v="58"/>
    <x v="0"/>
    <x v="5"/>
    <x v="41"/>
    <n v="4925"/>
    <n v="3943"/>
    <n v="5"/>
    <n v="1"/>
    <n v="0"/>
    <n v="0"/>
    <n v="0"/>
    <n v="0"/>
    <n v="7"/>
    <n v="1316"/>
    <n v="2024"/>
    <x v="2"/>
    <s v="超级直播"/>
    <x v="1"/>
    <x v="1"/>
  </r>
  <r>
    <x v="1"/>
    <x v="58"/>
    <x v="0"/>
    <x v="5"/>
    <x v="20"/>
    <n v="10791"/>
    <n v="7910"/>
    <n v="0"/>
    <n v="1"/>
    <n v="0"/>
    <n v="0"/>
    <n v="0"/>
    <n v="0"/>
    <n v="9"/>
    <n v="264"/>
    <n v="2024"/>
    <x v="2"/>
    <s v="超级短视频"/>
    <x v="1"/>
    <x v="1"/>
  </r>
  <r>
    <x v="1"/>
    <x v="58"/>
    <x v="0"/>
    <x v="6"/>
    <x v="48"/>
    <n v="982"/>
    <n v="759"/>
    <n v="0"/>
    <n v="0"/>
    <n v="0"/>
    <n v="0"/>
    <n v="0"/>
    <n v="0"/>
    <n v="982"/>
    <n v="124"/>
    <n v="2024"/>
    <x v="2"/>
    <s v="Showmax"/>
    <x v="1"/>
    <x v="1"/>
  </r>
  <r>
    <x v="1"/>
    <x v="58"/>
    <x v="0"/>
    <x v="6"/>
    <x v="30"/>
    <n v="1711"/>
    <n v="1346"/>
    <n v="0"/>
    <n v="0"/>
    <n v="0"/>
    <n v="0"/>
    <n v="0"/>
    <n v="0"/>
    <n v="1711"/>
    <n v="222"/>
    <n v="2024"/>
    <x v="2"/>
    <s v="品牌特秀"/>
    <x v="1"/>
    <x v="1"/>
  </r>
  <r>
    <x v="1"/>
    <x v="58"/>
    <x v="0"/>
    <x v="6"/>
    <x v="21"/>
    <n v="581"/>
    <n v="492"/>
    <n v="20"/>
    <n v="4"/>
    <n v="18882.5"/>
    <n v="5"/>
    <n v="16645.5"/>
    <n v="5"/>
    <n v="581"/>
    <n v="295"/>
    <n v="2024"/>
    <x v="2"/>
    <s v="品销宝-品牌专区"/>
    <x v="1"/>
    <x v="1"/>
  </r>
  <r>
    <x v="1"/>
    <x v="58"/>
    <x v="0"/>
    <x v="0"/>
    <x v="2"/>
    <n v="3209"/>
    <n v="2779"/>
    <n v="47"/>
    <n v="37"/>
    <n v="80954.5"/>
    <n v="15"/>
    <n v="69404.5"/>
    <n v="14"/>
    <n v="278"/>
    <n v="3184"/>
    <n v="2024"/>
    <x v="2"/>
    <s v="直通车"/>
    <x v="1"/>
    <x v="1"/>
  </r>
  <r>
    <x v="1"/>
    <x v="58"/>
    <x v="0"/>
    <x v="0"/>
    <x v="0"/>
    <n v="3522"/>
    <n v="2139"/>
    <n v="54"/>
    <n v="34"/>
    <n v="51939"/>
    <n v="12"/>
    <n v="30594"/>
    <n v="10"/>
    <n v="163"/>
    <n v="3521"/>
    <n v="2024"/>
    <x v="2"/>
    <s v="万相台"/>
    <x v="1"/>
    <x v="1"/>
  </r>
  <r>
    <x v="1"/>
    <x v="58"/>
    <x v="0"/>
    <x v="0"/>
    <x v="1"/>
    <n v="12771"/>
    <n v="6052"/>
    <n v="20"/>
    <n v="29"/>
    <n v="8535"/>
    <n v="3"/>
    <n v="0"/>
    <n v="0"/>
    <n v="245"/>
    <n v="12760"/>
    <n v="2024"/>
    <x v="2"/>
    <s v="引力魔方"/>
    <x v="1"/>
    <x v="1"/>
  </r>
  <r>
    <x v="1"/>
    <x v="58"/>
    <x v="0"/>
    <x v="7"/>
    <x v="22"/>
    <n v="1"/>
    <n v="1"/>
    <n v="0"/>
    <n v="0"/>
    <n v="0"/>
    <n v="0"/>
    <n v="0"/>
    <n v="0"/>
    <n v="0"/>
    <n v="0"/>
    <n v="2024"/>
    <x v="2"/>
    <s v="UD效果投放"/>
    <x v="1"/>
    <x v="1"/>
  </r>
  <r>
    <x v="1"/>
    <x v="58"/>
    <x v="0"/>
    <x v="7"/>
    <x v="23"/>
    <n v="1"/>
    <n v="1"/>
    <n v="0"/>
    <n v="0"/>
    <n v="0"/>
    <n v="0"/>
    <n v="0"/>
    <n v="0"/>
    <n v="0"/>
    <n v="0"/>
    <n v="2024"/>
    <x v="2"/>
    <s v="流量宝"/>
    <x v="1"/>
    <x v="1"/>
  </r>
  <r>
    <x v="1"/>
    <x v="58"/>
    <x v="0"/>
    <x v="7"/>
    <x v="24"/>
    <n v="1348"/>
    <n v="230"/>
    <n v="2"/>
    <n v="2"/>
    <n v="2000"/>
    <n v="1"/>
    <n v="1000"/>
    <n v="1"/>
    <n v="6"/>
    <n v="1343"/>
    <n v="2024"/>
    <x v="2"/>
    <s v="淘宝客"/>
    <x v="1"/>
    <x v="1"/>
  </r>
  <r>
    <x v="1"/>
    <x v="59"/>
    <x v="1"/>
    <x v="8"/>
    <x v="25"/>
    <n v="119"/>
    <n v="49"/>
    <n v="5"/>
    <n v="2"/>
    <n v="8728.48"/>
    <n v="3"/>
    <n v="3235"/>
    <n v="1"/>
    <n v="16"/>
    <n v="117"/>
    <n v="2024"/>
    <x v="2"/>
    <s v="主会场"/>
    <x v="1"/>
    <x v="1"/>
  </r>
  <r>
    <x v="1"/>
    <x v="59"/>
    <x v="1"/>
    <x v="8"/>
    <x v="26"/>
    <n v="1"/>
    <n v="0"/>
    <n v="1"/>
    <n v="0"/>
    <n v="0"/>
    <n v="0"/>
    <n v="0"/>
    <n v="0"/>
    <n v="1"/>
    <n v="1"/>
    <n v="2024"/>
    <x v="2"/>
    <s v="榜单会场"/>
    <x v="1"/>
    <x v="1"/>
  </r>
  <r>
    <x v="1"/>
    <x v="59"/>
    <x v="1"/>
    <x v="2"/>
    <x v="4"/>
    <n v="1"/>
    <n v="1"/>
    <n v="0"/>
    <n v="0"/>
    <n v="0"/>
    <n v="0"/>
    <n v="0"/>
    <n v="0"/>
    <n v="1"/>
    <n v="0"/>
    <n v="2024"/>
    <x v="2"/>
    <s v="手机浏览器访问天猫"/>
    <x v="1"/>
    <x v="1"/>
  </r>
  <r>
    <x v="1"/>
    <x v="59"/>
    <x v="1"/>
    <x v="2"/>
    <x v="5"/>
    <n v="78"/>
    <n v="50"/>
    <n v="1"/>
    <n v="0"/>
    <n v="16100"/>
    <n v="1"/>
    <n v="0"/>
    <n v="0"/>
    <n v="21"/>
    <n v="77"/>
    <n v="2024"/>
    <x v="2"/>
    <s v="手猫免费其他"/>
    <x v="1"/>
    <x v="1"/>
  </r>
  <r>
    <x v="1"/>
    <x v="59"/>
    <x v="1"/>
    <x v="2"/>
    <x v="6"/>
    <n v="6"/>
    <n v="3"/>
    <n v="1"/>
    <n v="0"/>
    <n v="1498"/>
    <n v="1"/>
    <n v="1498"/>
    <n v="1"/>
    <n v="0"/>
    <n v="6"/>
    <n v="2024"/>
    <x v="2"/>
    <s v="手猫其他店铺"/>
    <x v="1"/>
    <x v="1"/>
  </r>
  <r>
    <x v="1"/>
    <x v="59"/>
    <x v="1"/>
    <x v="2"/>
    <x v="7"/>
    <n v="23"/>
    <n v="11"/>
    <n v="0"/>
    <n v="0"/>
    <n v="1680"/>
    <n v="1"/>
    <n v="1680"/>
    <n v="1"/>
    <n v="0"/>
    <n v="22"/>
    <n v="2024"/>
    <x v="2"/>
    <s v="手猫商品详情"/>
    <x v="1"/>
    <x v="1"/>
  </r>
  <r>
    <x v="1"/>
    <x v="59"/>
    <x v="1"/>
    <x v="2"/>
    <x v="8"/>
    <n v="75"/>
    <n v="48"/>
    <n v="2"/>
    <n v="0"/>
    <n v="4475"/>
    <n v="2"/>
    <n v="4475"/>
    <n v="2"/>
    <n v="20"/>
    <n v="69"/>
    <n v="2024"/>
    <x v="2"/>
    <s v="手猫搜索"/>
    <x v="1"/>
    <x v="1"/>
  </r>
  <r>
    <x v="1"/>
    <x v="59"/>
    <x v="1"/>
    <x v="2"/>
    <x v="10"/>
    <n v="345"/>
    <n v="193"/>
    <n v="3"/>
    <n v="0"/>
    <n v="1680"/>
    <n v="1"/>
    <n v="1680"/>
    <n v="1"/>
    <n v="16"/>
    <n v="345"/>
    <n v="2024"/>
    <x v="2"/>
    <s v="手猫首页"/>
    <x v="1"/>
    <x v="1"/>
  </r>
  <r>
    <x v="1"/>
    <x v="59"/>
    <x v="1"/>
    <x v="3"/>
    <x v="11"/>
    <n v="140"/>
    <n v="61"/>
    <n v="3"/>
    <n v="2"/>
    <n v="6622"/>
    <n v="2"/>
    <n v="1917"/>
    <n v="1"/>
    <n v="34"/>
    <n v="132"/>
    <n v="2024"/>
    <x v="2"/>
    <s v="商品详情页头图推荐"/>
    <x v="1"/>
    <x v="1"/>
  </r>
  <r>
    <x v="1"/>
    <x v="59"/>
    <x v="1"/>
    <x v="3"/>
    <x v="12"/>
    <n v="22"/>
    <n v="14"/>
    <n v="2"/>
    <n v="0"/>
    <n v="3795.5"/>
    <n v="2"/>
    <n v="3795.5"/>
    <n v="2"/>
    <n v="21"/>
    <n v="8"/>
    <n v="2024"/>
    <x v="2"/>
    <s v="店铺超链"/>
    <x v="1"/>
    <x v="1"/>
  </r>
  <r>
    <x v="1"/>
    <x v="59"/>
    <x v="1"/>
    <x v="4"/>
    <x v="13"/>
    <n v="225"/>
    <n v="147"/>
    <n v="0"/>
    <n v="3"/>
    <n v="1000"/>
    <n v="1"/>
    <n v="1000"/>
    <n v="1"/>
    <n v="77"/>
    <n v="182"/>
    <n v="2024"/>
    <x v="2"/>
    <s v="其他猜你喜欢"/>
    <x v="1"/>
    <x v="1"/>
  </r>
  <r>
    <x v="1"/>
    <x v="59"/>
    <x v="1"/>
    <x v="4"/>
    <x v="15"/>
    <n v="9"/>
    <n v="4"/>
    <n v="0"/>
    <n v="0"/>
    <n v="0"/>
    <n v="0"/>
    <n v="0"/>
    <n v="0"/>
    <n v="2"/>
    <n v="8"/>
    <n v="2024"/>
    <x v="2"/>
    <s v="购中推荐"/>
    <x v="1"/>
    <x v="1"/>
  </r>
  <r>
    <x v="1"/>
    <x v="59"/>
    <x v="1"/>
    <x v="4"/>
    <x v="16"/>
    <n v="26"/>
    <n v="14"/>
    <n v="1"/>
    <n v="0"/>
    <n v="0"/>
    <n v="0"/>
    <n v="0"/>
    <n v="0"/>
    <n v="2"/>
    <n v="23"/>
    <n v="2024"/>
    <x v="2"/>
    <s v="购后推荐"/>
    <x v="1"/>
    <x v="1"/>
  </r>
  <r>
    <x v="1"/>
    <x v="59"/>
    <x v="1"/>
    <x v="4"/>
    <x v="17"/>
    <n v="1686"/>
    <n v="997"/>
    <n v="32"/>
    <n v="12"/>
    <n v="18737.759999999998"/>
    <n v="7"/>
    <n v="10284.76"/>
    <n v="5"/>
    <n v="162"/>
    <n v="1686"/>
    <n v="2024"/>
    <x v="2"/>
    <s v="首页推荐-微详情"/>
    <x v="1"/>
    <x v="1"/>
  </r>
  <r>
    <x v="1"/>
    <x v="59"/>
    <x v="1"/>
    <x v="4"/>
    <x v="18"/>
    <n v="110"/>
    <n v="48"/>
    <n v="0"/>
    <n v="0"/>
    <n v="0"/>
    <n v="0"/>
    <n v="0"/>
    <n v="0"/>
    <n v="0"/>
    <n v="4"/>
    <n v="2024"/>
    <x v="2"/>
    <s v="首页推荐-直播"/>
    <x v="1"/>
    <x v="1"/>
  </r>
  <r>
    <x v="1"/>
    <x v="59"/>
    <x v="1"/>
    <x v="4"/>
    <x v="19"/>
    <n v="23"/>
    <n v="10"/>
    <n v="0"/>
    <n v="0"/>
    <n v="0"/>
    <n v="0"/>
    <n v="0"/>
    <n v="0"/>
    <n v="0"/>
    <n v="0"/>
    <n v="2024"/>
    <x v="2"/>
    <s v="首页推荐-短视频"/>
    <x v="1"/>
    <x v="1"/>
  </r>
  <r>
    <x v="1"/>
    <x v="59"/>
    <x v="1"/>
    <x v="12"/>
    <x v="42"/>
    <n v="967"/>
    <n v="780"/>
    <n v="74"/>
    <n v="14"/>
    <n v="59435.98"/>
    <n v="22"/>
    <n v="39786.5"/>
    <n v="15"/>
    <n v="290"/>
    <n v="870"/>
    <n v="2024"/>
    <x v="2"/>
    <s v="手淘搜索-商品及其他"/>
    <x v="1"/>
    <x v="1"/>
  </r>
  <r>
    <x v="1"/>
    <x v="59"/>
    <x v="1"/>
    <x v="12"/>
    <x v="43"/>
    <n v="1"/>
    <n v="0"/>
    <n v="0"/>
    <n v="0"/>
    <n v="0"/>
    <n v="0"/>
    <n v="0"/>
    <n v="0"/>
    <n v="0"/>
    <n v="0"/>
    <n v="2024"/>
    <x v="2"/>
    <s v="手淘搜索-直播"/>
    <x v="1"/>
    <x v="1"/>
  </r>
  <r>
    <x v="1"/>
    <x v="59"/>
    <x v="1"/>
    <x v="12"/>
    <x v="44"/>
    <n v="24"/>
    <n v="13"/>
    <n v="0"/>
    <n v="0"/>
    <n v="0"/>
    <n v="0"/>
    <n v="0"/>
    <n v="0"/>
    <n v="2"/>
    <n v="2"/>
    <n v="2024"/>
    <x v="2"/>
    <s v="手淘搜索-短视频"/>
    <x v="1"/>
    <x v="1"/>
  </r>
  <r>
    <x v="1"/>
    <x v="59"/>
    <x v="1"/>
    <x v="11"/>
    <x v="37"/>
    <n v="22"/>
    <n v="21"/>
    <n v="0"/>
    <n v="0"/>
    <n v="0"/>
    <n v="0"/>
    <n v="0"/>
    <n v="0"/>
    <n v="0"/>
    <n v="22"/>
    <n v="2024"/>
    <x v="2"/>
    <s v="淘特其他渠道"/>
    <x v="1"/>
    <x v="1"/>
  </r>
  <r>
    <x v="1"/>
    <x v="59"/>
    <x v="0"/>
    <x v="5"/>
    <x v="41"/>
    <n v="5459"/>
    <n v="4243"/>
    <n v="2"/>
    <n v="1"/>
    <n v="0"/>
    <n v="0"/>
    <n v="0"/>
    <n v="0"/>
    <n v="18"/>
    <n v="3131"/>
    <n v="2024"/>
    <x v="2"/>
    <s v="超级直播"/>
    <x v="1"/>
    <x v="1"/>
  </r>
  <r>
    <x v="1"/>
    <x v="59"/>
    <x v="0"/>
    <x v="5"/>
    <x v="20"/>
    <n v="9197"/>
    <n v="6451"/>
    <n v="2"/>
    <n v="2"/>
    <n v="0"/>
    <n v="0"/>
    <n v="0"/>
    <n v="0"/>
    <n v="10"/>
    <n v="244"/>
    <n v="2024"/>
    <x v="2"/>
    <s v="超级短视频"/>
    <x v="1"/>
    <x v="1"/>
  </r>
  <r>
    <x v="1"/>
    <x v="59"/>
    <x v="0"/>
    <x v="6"/>
    <x v="48"/>
    <n v="779"/>
    <n v="599"/>
    <n v="0"/>
    <n v="0"/>
    <n v="0"/>
    <n v="0"/>
    <n v="0"/>
    <n v="0"/>
    <n v="779"/>
    <n v="111"/>
    <n v="2024"/>
    <x v="2"/>
    <s v="Showmax"/>
    <x v="1"/>
    <x v="1"/>
  </r>
  <r>
    <x v="1"/>
    <x v="59"/>
    <x v="0"/>
    <x v="6"/>
    <x v="30"/>
    <n v="1491"/>
    <n v="1205"/>
    <n v="0"/>
    <n v="0"/>
    <n v="0"/>
    <n v="0"/>
    <n v="0"/>
    <n v="0"/>
    <n v="1491"/>
    <n v="214"/>
    <n v="2024"/>
    <x v="2"/>
    <s v="品牌特秀"/>
    <x v="1"/>
    <x v="1"/>
  </r>
  <r>
    <x v="1"/>
    <x v="59"/>
    <x v="0"/>
    <x v="6"/>
    <x v="21"/>
    <n v="563"/>
    <n v="462"/>
    <n v="18"/>
    <n v="5"/>
    <n v="50475.02"/>
    <n v="8"/>
    <n v="14620.5"/>
    <n v="6"/>
    <n v="563"/>
    <n v="292"/>
    <n v="2024"/>
    <x v="2"/>
    <s v="品销宝-品牌专区"/>
    <x v="1"/>
    <x v="1"/>
  </r>
  <r>
    <x v="1"/>
    <x v="59"/>
    <x v="0"/>
    <x v="0"/>
    <x v="2"/>
    <n v="3886"/>
    <n v="3387"/>
    <n v="85"/>
    <n v="28"/>
    <n v="67770.5"/>
    <n v="24"/>
    <n v="55627.5"/>
    <n v="20"/>
    <n v="353"/>
    <n v="3847"/>
    <n v="2024"/>
    <x v="2"/>
    <s v="直通车"/>
    <x v="1"/>
    <x v="1"/>
  </r>
  <r>
    <x v="1"/>
    <x v="59"/>
    <x v="0"/>
    <x v="0"/>
    <x v="0"/>
    <n v="5527"/>
    <n v="3423"/>
    <n v="68"/>
    <n v="54"/>
    <n v="59145"/>
    <n v="15"/>
    <n v="16530"/>
    <n v="6"/>
    <n v="285"/>
    <n v="5524"/>
    <n v="2024"/>
    <x v="2"/>
    <s v="万相台"/>
    <x v="1"/>
    <x v="1"/>
  </r>
  <r>
    <x v="1"/>
    <x v="59"/>
    <x v="0"/>
    <x v="0"/>
    <x v="1"/>
    <n v="12953"/>
    <n v="6304"/>
    <n v="32"/>
    <n v="29"/>
    <n v="41337"/>
    <n v="5"/>
    <n v="34652"/>
    <n v="3"/>
    <n v="266"/>
    <n v="12946"/>
    <n v="2024"/>
    <x v="2"/>
    <s v="引力魔方"/>
    <x v="1"/>
    <x v="1"/>
  </r>
  <r>
    <x v="1"/>
    <x v="59"/>
    <x v="0"/>
    <x v="7"/>
    <x v="23"/>
    <n v="4"/>
    <n v="4"/>
    <n v="0"/>
    <n v="0"/>
    <n v="0"/>
    <n v="0"/>
    <n v="0"/>
    <n v="0"/>
    <n v="2"/>
    <n v="3"/>
    <n v="2024"/>
    <x v="2"/>
    <s v="流量宝"/>
    <x v="1"/>
    <x v="1"/>
  </r>
  <r>
    <x v="1"/>
    <x v="59"/>
    <x v="0"/>
    <x v="7"/>
    <x v="24"/>
    <n v="1313"/>
    <n v="232"/>
    <n v="2"/>
    <n v="1"/>
    <n v="0"/>
    <n v="0"/>
    <n v="0"/>
    <n v="0"/>
    <n v="18"/>
    <n v="1294"/>
    <n v="2024"/>
    <x v="2"/>
    <s v="淘宝客"/>
    <x v="1"/>
    <x v="1"/>
  </r>
  <r>
    <x v="1"/>
    <x v="60"/>
    <x v="1"/>
    <x v="8"/>
    <x v="25"/>
    <n v="99"/>
    <n v="44"/>
    <n v="1"/>
    <n v="0"/>
    <n v="0"/>
    <n v="0"/>
    <n v="0"/>
    <n v="0"/>
    <n v="11"/>
    <n v="95"/>
    <n v="2024"/>
    <x v="2"/>
    <s v="主会场"/>
    <x v="1"/>
    <x v="1"/>
  </r>
  <r>
    <x v="1"/>
    <x v="60"/>
    <x v="1"/>
    <x v="8"/>
    <x v="26"/>
    <n v="3"/>
    <n v="0"/>
    <n v="0"/>
    <n v="0"/>
    <n v="0"/>
    <n v="0"/>
    <n v="0"/>
    <n v="0"/>
    <n v="0"/>
    <n v="3"/>
    <n v="2024"/>
    <x v="2"/>
    <s v="榜单会场"/>
    <x v="1"/>
    <x v="1"/>
  </r>
  <r>
    <x v="1"/>
    <x v="60"/>
    <x v="1"/>
    <x v="2"/>
    <x v="4"/>
    <n v="1"/>
    <n v="1"/>
    <n v="0"/>
    <n v="0"/>
    <n v="0"/>
    <n v="0"/>
    <n v="0"/>
    <n v="0"/>
    <n v="1"/>
    <n v="0"/>
    <n v="2024"/>
    <x v="2"/>
    <s v="手机浏览器访问天猫"/>
    <x v="1"/>
    <x v="1"/>
  </r>
  <r>
    <x v="1"/>
    <x v="60"/>
    <x v="1"/>
    <x v="2"/>
    <x v="5"/>
    <n v="106"/>
    <n v="51"/>
    <n v="2"/>
    <n v="0"/>
    <n v="10217.17"/>
    <n v="4"/>
    <n v="7422.17"/>
    <n v="3"/>
    <n v="35"/>
    <n v="101"/>
    <n v="2024"/>
    <x v="2"/>
    <s v="手猫免费其他"/>
    <x v="1"/>
    <x v="1"/>
  </r>
  <r>
    <x v="1"/>
    <x v="60"/>
    <x v="1"/>
    <x v="2"/>
    <x v="6"/>
    <n v="12"/>
    <n v="8"/>
    <n v="0"/>
    <n v="0"/>
    <n v="0"/>
    <n v="0"/>
    <n v="0"/>
    <n v="0"/>
    <n v="1"/>
    <n v="12"/>
    <n v="2024"/>
    <x v="2"/>
    <s v="手猫其他店铺"/>
    <x v="1"/>
    <x v="1"/>
  </r>
  <r>
    <x v="1"/>
    <x v="60"/>
    <x v="1"/>
    <x v="2"/>
    <x v="7"/>
    <n v="32"/>
    <n v="16"/>
    <n v="2"/>
    <n v="0"/>
    <n v="6859"/>
    <n v="3"/>
    <n v="4064"/>
    <n v="2"/>
    <n v="11"/>
    <n v="28"/>
    <n v="2024"/>
    <x v="2"/>
    <s v="手猫商品详情"/>
    <x v="1"/>
    <x v="1"/>
  </r>
  <r>
    <x v="1"/>
    <x v="60"/>
    <x v="1"/>
    <x v="2"/>
    <x v="8"/>
    <n v="96"/>
    <n v="54"/>
    <n v="2"/>
    <n v="0"/>
    <n v="7890"/>
    <n v="3"/>
    <n v="5095"/>
    <n v="2"/>
    <n v="34"/>
    <n v="87"/>
    <n v="2024"/>
    <x v="2"/>
    <s v="手猫搜索"/>
    <x v="1"/>
    <x v="1"/>
  </r>
  <r>
    <x v="1"/>
    <x v="60"/>
    <x v="1"/>
    <x v="2"/>
    <x v="9"/>
    <n v="2"/>
    <n v="2"/>
    <n v="0"/>
    <n v="0"/>
    <n v="0"/>
    <n v="0"/>
    <n v="0"/>
    <n v="0"/>
    <n v="0"/>
    <n v="2"/>
    <n v="2024"/>
    <x v="2"/>
    <s v="手猫旺信聊天"/>
    <x v="1"/>
    <x v="1"/>
  </r>
  <r>
    <x v="1"/>
    <x v="60"/>
    <x v="1"/>
    <x v="2"/>
    <x v="10"/>
    <n v="365"/>
    <n v="220"/>
    <n v="3"/>
    <n v="0"/>
    <n v="4293"/>
    <n v="2"/>
    <n v="1498"/>
    <n v="1"/>
    <n v="19"/>
    <n v="365"/>
    <n v="2024"/>
    <x v="2"/>
    <s v="手猫首页"/>
    <x v="1"/>
    <x v="1"/>
  </r>
  <r>
    <x v="1"/>
    <x v="60"/>
    <x v="1"/>
    <x v="3"/>
    <x v="11"/>
    <n v="114"/>
    <n v="61"/>
    <n v="4"/>
    <n v="2"/>
    <n v="13813"/>
    <n v="1"/>
    <n v="13813"/>
    <n v="1"/>
    <n v="34"/>
    <n v="104"/>
    <n v="2024"/>
    <x v="2"/>
    <s v="商品详情页头图推荐"/>
    <x v="1"/>
    <x v="1"/>
  </r>
  <r>
    <x v="1"/>
    <x v="60"/>
    <x v="1"/>
    <x v="3"/>
    <x v="12"/>
    <n v="35"/>
    <n v="25"/>
    <n v="3"/>
    <n v="0"/>
    <n v="0"/>
    <n v="0"/>
    <n v="0"/>
    <n v="0"/>
    <n v="30"/>
    <n v="17"/>
    <n v="2024"/>
    <x v="2"/>
    <s v="店铺超链"/>
    <x v="1"/>
    <x v="1"/>
  </r>
  <r>
    <x v="1"/>
    <x v="60"/>
    <x v="1"/>
    <x v="4"/>
    <x v="13"/>
    <n v="198"/>
    <n v="108"/>
    <n v="2"/>
    <n v="1"/>
    <n v="1498"/>
    <n v="1"/>
    <n v="1498"/>
    <n v="1"/>
    <n v="56"/>
    <n v="163"/>
    <n v="2024"/>
    <x v="2"/>
    <s v="其他猜你喜欢"/>
    <x v="1"/>
    <x v="1"/>
  </r>
  <r>
    <x v="1"/>
    <x v="60"/>
    <x v="1"/>
    <x v="4"/>
    <x v="15"/>
    <n v="3"/>
    <n v="1"/>
    <n v="0"/>
    <n v="0"/>
    <n v="0"/>
    <n v="0"/>
    <n v="0"/>
    <n v="0"/>
    <n v="0"/>
    <n v="3"/>
    <n v="2024"/>
    <x v="2"/>
    <s v="购中推荐"/>
    <x v="1"/>
    <x v="1"/>
  </r>
  <r>
    <x v="1"/>
    <x v="60"/>
    <x v="1"/>
    <x v="4"/>
    <x v="16"/>
    <n v="33"/>
    <n v="18"/>
    <n v="1"/>
    <n v="0"/>
    <n v="0"/>
    <n v="0"/>
    <n v="0"/>
    <n v="0"/>
    <n v="1"/>
    <n v="32"/>
    <n v="2024"/>
    <x v="2"/>
    <s v="购后推荐"/>
    <x v="1"/>
    <x v="1"/>
  </r>
  <r>
    <x v="1"/>
    <x v="60"/>
    <x v="1"/>
    <x v="4"/>
    <x v="17"/>
    <n v="1466"/>
    <n v="839"/>
    <n v="29"/>
    <n v="13"/>
    <n v="13745"/>
    <n v="6"/>
    <n v="13745"/>
    <n v="6"/>
    <n v="135"/>
    <n v="1466"/>
    <n v="2024"/>
    <x v="2"/>
    <s v="首页推荐-微详情"/>
    <x v="1"/>
    <x v="1"/>
  </r>
  <r>
    <x v="1"/>
    <x v="60"/>
    <x v="1"/>
    <x v="4"/>
    <x v="18"/>
    <n v="41"/>
    <n v="4"/>
    <n v="0"/>
    <n v="0"/>
    <n v="0"/>
    <n v="0"/>
    <n v="0"/>
    <n v="0"/>
    <n v="0"/>
    <n v="0"/>
    <n v="2024"/>
    <x v="2"/>
    <s v="首页推荐-直播"/>
    <x v="1"/>
    <x v="1"/>
  </r>
  <r>
    <x v="1"/>
    <x v="60"/>
    <x v="1"/>
    <x v="4"/>
    <x v="19"/>
    <n v="27"/>
    <n v="16"/>
    <n v="0"/>
    <n v="0"/>
    <n v="0"/>
    <n v="0"/>
    <n v="0"/>
    <n v="0"/>
    <n v="0"/>
    <n v="0"/>
    <n v="2024"/>
    <x v="2"/>
    <s v="首页推荐-短视频"/>
    <x v="1"/>
    <x v="1"/>
  </r>
  <r>
    <x v="1"/>
    <x v="60"/>
    <x v="1"/>
    <x v="12"/>
    <x v="42"/>
    <n v="1069"/>
    <n v="846"/>
    <n v="66"/>
    <n v="19"/>
    <n v="67248.5"/>
    <n v="21"/>
    <n v="65568.5"/>
    <n v="20"/>
    <n v="329"/>
    <n v="958"/>
    <n v="2024"/>
    <x v="2"/>
    <s v="手淘搜索-商品及其他"/>
    <x v="1"/>
    <x v="1"/>
  </r>
  <r>
    <x v="1"/>
    <x v="60"/>
    <x v="1"/>
    <x v="12"/>
    <x v="44"/>
    <n v="36"/>
    <n v="19"/>
    <n v="0"/>
    <n v="0"/>
    <n v="0"/>
    <n v="0"/>
    <n v="0"/>
    <n v="0"/>
    <n v="5"/>
    <n v="9"/>
    <n v="2024"/>
    <x v="2"/>
    <s v="手淘搜索-短视频"/>
    <x v="1"/>
    <x v="1"/>
  </r>
  <r>
    <x v="1"/>
    <x v="60"/>
    <x v="1"/>
    <x v="11"/>
    <x v="37"/>
    <n v="18"/>
    <n v="18"/>
    <n v="0"/>
    <n v="0"/>
    <n v="0"/>
    <n v="0"/>
    <n v="0"/>
    <n v="0"/>
    <n v="0"/>
    <n v="18"/>
    <n v="2024"/>
    <x v="2"/>
    <s v="淘特其他渠道"/>
    <x v="1"/>
    <x v="1"/>
  </r>
  <r>
    <x v="1"/>
    <x v="60"/>
    <x v="0"/>
    <x v="5"/>
    <x v="41"/>
    <n v="41"/>
    <n v="24"/>
    <n v="0"/>
    <n v="0"/>
    <n v="0"/>
    <n v="0"/>
    <n v="0"/>
    <n v="0"/>
    <n v="0"/>
    <n v="34"/>
    <n v="2024"/>
    <x v="2"/>
    <s v="超级直播"/>
    <x v="1"/>
    <x v="1"/>
  </r>
  <r>
    <x v="1"/>
    <x v="60"/>
    <x v="0"/>
    <x v="5"/>
    <x v="20"/>
    <n v="8923"/>
    <n v="6143"/>
    <n v="2"/>
    <n v="4"/>
    <n v="0"/>
    <n v="0"/>
    <n v="0"/>
    <n v="0"/>
    <n v="7"/>
    <n v="299"/>
    <n v="2024"/>
    <x v="2"/>
    <s v="超级短视频"/>
    <x v="1"/>
    <x v="1"/>
  </r>
  <r>
    <x v="1"/>
    <x v="60"/>
    <x v="0"/>
    <x v="6"/>
    <x v="48"/>
    <n v="718"/>
    <n v="570"/>
    <n v="0"/>
    <n v="0"/>
    <n v="0"/>
    <n v="0"/>
    <n v="0"/>
    <n v="0"/>
    <n v="718"/>
    <n v="98"/>
    <n v="2024"/>
    <x v="2"/>
    <s v="Showmax"/>
    <x v="1"/>
    <x v="1"/>
  </r>
  <r>
    <x v="1"/>
    <x v="60"/>
    <x v="0"/>
    <x v="6"/>
    <x v="30"/>
    <n v="1316"/>
    <n v="1063"/>
    <n v="0"/>
    <n v="0"/>
    <n v="0"/>
    <n v="0"/>
    <n v="0"/>
    <n v="0"/>
    <n v="1316"/>
    <n v="154"/>
    <n v="2024"/>
    <x v="2"/>
    <s v="品牌特秀"/>
    <x v="1"/>
    <x v="1"/>
  </r>
  <r>
    <x v="1"/>
    <x v="60"/>
    <x v="0"/>
    <x v="6"/>
    <x v="21"/>
    <n v="706"/>
    <n v="589"/>
    <n v="20"/>
    <n v="7"/>
    <n v="9172"/>
    <n v="4"/>
    <n v="9172"/>
    <n v="4"/>
    <n v="706"/>
    <n v="353"/>
    <n v="2024"/>
    <x v="2"/>
    <s v="品销宝-品牌专区"/>
    <x v="1"/>
    <x v="1"/>
  </r>
  <r>
    <x v="1"/>
    <x v="60"/>
    <x v="0"/>
    <x v="0"/>
    <x v="2"/>
    <n v="4445"/>
    <n v="3893"/>
    <n v="60"/>
    <n v="39"/>
    <n v="55974"/>
    <n v="16"/>
    <n v="46474"/>
    <n v="13"/>
    <n v="371"/>
    <n v="4419"/>
    <n v="2024"/>
    <x v="2"/>
    <s v="直通车"/>
    <x v="1"/>
    <x v="1"/>
  </r>
  <r>
    <x v="1"/>
    <x v="60"/>
    <x v="0"/>
    <x v="0"/>
    <x v="0"/>
    <n v="6357"/>
    <n v="3584"/>
    <n v="84"/>
    <n v="85"/>
    <n v="57310"/>
    <n v="13"/>
    <n v="24142"/>
    <n v="7"/>
    <n v="382"/>
    <n v="6353"/>
    <n v="2024"/>
    <x v="2"/>
    <s v="万相台"/>
    <x v="1"/>
    <x v="1"/>
  </r>
  <r>
    <x v="1"/>
    <x v="60"/>
    <x v="0"/>
    <x v="0"/>
    <x v="1"/>
    <n v="13779"/>
    <n v="6513"/>
    <n v="37"/>
    <n v="42"/>
    <n v="10723"/>
    <n v="5"/>
    <n v="7545"/>
    <n v="4"/>
    <n v="278"/>
    <n v="13774"/>
    <n v="2024"/>
    <x v="2"/>
    <s v="引力魔方"/>
    <x v="1"/>
    <x v="1"/>
  </r>
  <r>
    <x v="1"/>
    <x v="60"/>
    <x v="0"/>
    <x v="7"/>
    <x v="24"/>
    <n v="1082"/>
    <n v="178"/>
    <n v="3"/>
    <n v="1"/>
    <n v="4276"/>
    <n v="2"/>
    <n v="4276"/>
    <n v="2"/>
    <n v="19"/>
    <n v="1073"/>
    <n v="2024"/>
    <x v="2"/>
    <s v="淘宝客"/>
    <x v="1"/>
    <x v="1"/>
  </r>
  <r>
    <x v="1"/>
    <x v="61"/>
    <x v="1"/>
    <x v="8"/>
    <x v="25"/>
    <n v="98"/>
    <n v="51"/>
    <n v="4"/>
    <n v="0"/>
    <n v="2282.88"/>
    <n v="2"/>
    <n v="1497"/>
    <n v="1"/>
    <n v="14"/>
    <n v="96"/>
    <n v="2024"/>
    <x v="2"/>
    <s v="主会场"/>
    <x v="1"/>
    <x v="1"/>
  </r>
  <r>
    <x v="1"/>
    <x v="61"/>
    <x v="1"/>
    <x v="8"/>
    <x v="26"/>
    <n v="1"/>
    <n v="0"/>
    <n v="0"/>
    <n v="0"/>
    <n v="0"/>
    <n v="0"/>
    <n v="0"/>
    <n v="0"/>
    <n v="1"/>
    <n v="1"/>
    <n v="2024"/>
    <x v="2"/>
    <s v="榜单会场"/>
    <x v="1"/>
    <x v="1"/>
  </r>
  <r>
    <x v="1"/>
    <x v="61"/>
    <x v="1"/>
    <x v="2"/>
    <x v="4"/>
    <n v="1"/>
    <n v="1"/>
    <n v="0"/>
    <n v="0"/>
    <n v="0"/>
    <n v="0"/>
    <n v="0"/>
    <n v="0"/>
    <n v="1"/>
    <n v="0"/>
    <n v="2024"/>
    <x v="2"/>
    <s v="手机浏览器访问天猫"/>
    <x v="1"/>
    <x v="1"/>
  </r>
  <r>
    <x v="1"/>
    <x v="61"/>
    <x v="1"/>
    <x v="2"/>
    <x v="5"/>
    <n v="70"/>
    <n v="40"/>
    <n v="1"/>
    <n v="0"/>
    <n v="1498"/>
    <n v="1"/>
    <n v="0"/>
    <n v="0"/>
    <n v="16"/>
    <n v="68"/>
    <n v="2024"/>
    <x v="2"/>
    <s v="手猫免费其他"/>
    <x v="1"/>
    <x v="1"/>
  </r>
  <r>
    <x v="1"/>
    <x v="61"/>
    <x v="1"/>
    <x v="2"/>
    <x v="6"/>
    <n v="4"/>
    <n v="1"/>
    <n v="0"/>
    <n v="0"/>
    <n v="1498"/>
    <n v="1"/>
    <n v="0"/>
    <n v="0"/>
    <n v="0"/>
    <n v="4"/>
    <n v="2024"/>
    <x v="2"/>
    <s v="手猫其他店铺"/>
    <x v="1"/>
    <x v="1"/>
  </r>
  <r>
    <x v="1"/>
    <x v="61"/>
    <x v="1"/>
    <x v="2"/>
    <x v="7"/>
    <n v="18"/>
    <n v="6"/>
    <n v="0"/>
    <n v="0"/>
    <n v="2980"/>
    <n v="1"/>
    <n v="2980"/>
    <n v="1"/>
    <n v="4"/>
    <n v="16"/>
    <n v="2024"/>
    <x v="2"/>
    <s v="手猫商品详情"/>
    <x v="1"/>
    <x v="1"/>
  </r>
  <r>
    <x v="1"/>
    <x v="61"/>
    <x v="1"/>
    <x v="2"/>
    <x v="8"/>
    <n v="75"/>
    <n v="46"/>
    <n v="0"/>
    <n v="0"/>
    <n v="0"/>
    <n v="0"/>
    <n v="0"/>
    <n v="0"/>
    <n v="21"/>
    <n v="66"/>
    <n v="2024"/>
    <x v="2"/>
    <s v="手猫搜索"/>
    <x v="1"/>
    <x v="1"/>
  </r>
  <r>
    <x v="1"/>
    <x v="61"/>
    <x v="1"/>
    <x v="2"/>
    <x v="9"/>
    <n v="2"/>
    <n v="1"/>
    <n v="0"/>
    <n v="0"/>
    <n v="0"/>
    <n v="0"/>
    <n v="0"/>
    <n v="0"/>
    <n v="1"/>
    <n v="2"/>
    <n v="2024"/>
    <x v="2"/>
    <s v="手猫旺信聊天"/>
    <x v="1"/>
    <x v="1"/>
  </r>
  <r>
    <x v="1"/>
    <x v="61"/>
    <x v="1"/>
    <x v="2"/>
    <x v="10"/>
    <n v="300"/>
    <n v="174"/>
    <n v="0"/>
    <n v="0"/>
    <n v="1303"/>
    <n v="1"/>
    <n v="0"/>
    <n v="0"/>
    <n v="11"/>
    <n v="300"/>
    <n v="2024"/>
    <x v="2"/>
    <s v="手猫首页"/>
    <x v="1"/>
    <x v="1"/>
  </r>
  <r>
    <x v="1"/>
    <x v="61"/>
    <x v="1"/>
    <x v="3"/>
    <x v="11"/>
    <n v="134"/>
    <n v="66"/>
    <n v="3"/>
    <n v="1"/>
    <n v="1480"/>
    <n v="1"/>
    <n v="1480"/>
    <n v="1"/>
    <n v="39"/>
    <n v="115"/>
    <n v="2024"/>
    <x v="2"/>
    <s v="商品详情页头图推荐"/>
    <x v="1"/>
    <x v="1"/>
  </r>
  <r>
    <x v="1"/>
    <x v="61"/>
    <x v="1"/>
    <x v="3"/>
    <x v="12"/>
    <n v="28"/>
    <n v="18"/>
    <n v="3"/>
    <n v="0"/>
    <n v="3875"/>
    <n v="1"/>
    <n v="3875"/>
    <n v="1"/>
    <n v="24"/>
    <n v="12"/>
    <n v="2024"/>
    <x v="2"/>
    <s v="店铺超链"/>
    <x v="1"/>
    <x v="1"/>
  </r>
  <r>
    <x v="1"/>
    <x v="61"/>
    <x v="1"/>
    <x v="4"/>
    <x v="13"/>
    <n v="158"/>
    <n v="73"/>
    <n v="4"/>
    <n v="2"/>
    <n v="3350"/>
    <n v="1"/>
    <n v="0"/>
    <n v="0"/>
    <n v="38"/>
    <n v="134"/>
    <n v="2024"/>
    <x v="2"/>
    <s v="其他猜你喜欢"/>
    <x v="1"/>
    <x v="1"/>
  </r>
  <r>
    <x v="1"/>
    <x v="61"/>
    <x v="1"/>
    <x v="4"/>
    <x v="15"/>
    <n v="6"/>
    <n v="4"/>
    <n v="0"/>
    <n v="0"/>
    <n v="0"/>
    <n v="0"/>
    <n v="0"/>
    <n v="0"/>
    <n v="1"/>
    <n v="6"/>
    <n v="2024"/>
    <x v="2"/>
    <s v="购中推荐"/>
    <x v="1"/>
    <x v="1"/>
  </r>
  <r>
    <x v="1"/>
    <x v="61"/>
    <x v="1"/>
    <x v="4"/>
    <x v="16"/>
    <n v="46"/>
    <n v="32"/>
    <n v="1"/>
    <n v="0"/>
    <n v="0"/>
    <n v="0"/>
    <n v="0"/>
    <n v="0"/>
    <n v="2"/>
    <n v="44"/>
    <n v="2024"/>
    <x v="2"/>
    <s v="购后推荐"/>
    <x v="1"/>
    <x v="1"/>
  </r>
  <r>
    <x v="1"/>
    <x v="61"/>
    <x v="1"/>
    <x v="4"/>
    <x v="17"/>
    <n v="1247"/>
    <n v="657"/>
    <n v="27"/>
    <n v="12"/>
    <n v="10657.88"/>
    <n v="6"/>
    <n v="7635"/>
    <n v="4"/>
    <n v="117"/>
    <n v="1247"/>
    <n v="2024"/>
    <x v="2"/>
    <s v="首页推荐-微详情"/>
    <x v="1"/>
    <x v="1"/>
  </r>
  <r>
    <x v="1"/>
    <x v="61"/>
    <x v="1"/>
    <x v="4"/>
    <x v="18"/>
    <n v="211"/>
    <n v="118"/>
    <n v="0"/>
    <n v="0"/>
    <n v="0"/>
    <n v="0"/>
    <n v="0"/>
    <n v="0"/>
    <n v="0"/>
    <n v="11"/>
    <n v="2024"/>
    <x v="2"/>
    <s v="首页推荐-直播"/>
    <x v="1"/>
    <x v="1"/>
  </r>
  <r>
    <x v="1"/>
    <x v="61"/>
    <x v="1"/>
    <x v="4"/>
    <x v="19"/>
    <n v="60"/>
    <n v="37"/>
    <n v="0"/>
    <n v="0"/>
    <n v="0"/>
    <n v="0"/>
    <n v="0"/>
    <n v="0"/>
    <n v="0"/>
    <n v="0"/>
    <n v="2024"/>
    <x v="2"/>
    <s v="首页推荐-短视频"/>
    <x v="1"/>
    <x v="1"/>
  </r>
  <r>
    <x v="1"/>
    <x v="61"/>
    <x v="1"/>
    <x v="12"/>
    <x v="42"/>
    <n v="973"/>
    <n v="757"/>
    <n v="82"/>
    <n v="9"/>
    <n v="65229.98"/>
    <n v="21"/>
    <n v="55399.98"/>
    <n v="19"/>
    <n v="269"/>
    <n v="876"/>
    <n v="2024"/>
    <x v="2"/>
    <s v="手淘搜索-商品及其他"/>
    <x v="1"/>
    <x v="1"/>
  </r>
  <r>
    <x v="1"/>
    <x v="61"/>
    <x v="1"/>
    <x v="12"/>
    <x v="43"/>
    <n v="6"/>
    <n v="5"/>
    <n v="0"/>
    <n v="0"/>
    <n v="0"/>
    <n v="0"/>
    <n v="0"/>
    <n v="0"/>
    <n v="0"/>
    <n v="3"/>
    <n v="2024"/>
    <x v="2"/>
    <s v="手淘搜索-直播"/>
    <x v="1"/>
    <x v="1"/>
  </r>
  <r>
    <x v="1"/>
    <x v="61"/>
    <x v="1"/>
    <x v="12"/>
    <x v="44"/>
    <n v="25"/>
    <n v="14"/>
    <n v="0"/>
    <n v="1"/>
    <n v="0"/>
    <n v="0"/>
    <n v="0"/>
    <n v="0"/>
    <n v="1"/>
    <n v="6"/>
    <n v="2024"/>
    <x v="2"/>
    <s v="手淘搜索-短视频"/>
    <x v="1"/>
    <x v="1"/>
  </r>
  <r>
    <x v="1"/>
    <x v="61"/>
    <x v="1"/>
    <x v="11"/>
    <x v="37"/>
    <n v="21"/>
    <n v="21"/>
    <n v="0"/>
    <n v="0"/>
    <n v="0"/>
    <n v="0"/>
    <n v="0"/>
    <n v="0"/>
    <n v="0"/>
    <n v="21"/>
    <n v="2024"/>
    <x v="2"/>
    <s v="淘特其他渠道"/>
    <x v="1"/>
    <x v="1"/>
  </r>
  <r>
    <x v="1"/>
    <x v="61"/>
    <x v="1"/>
    <x v="11"/>
    <x v="39"/>
    <n v="1"/>
    <n v="1"/>
    <n v="0"/>
    <n v="0"/>
    <n v="0"/>
    <n v="0"/>
    <n v="0"/>
    <n v="0"/>
    <n v="0"/>
    <n v="1"/>
    <n v="2024"/>
    <x v="2"/>
    <s v="淘特搜索"/>
    <x v="1"/>
    <x v="1"/>
  </r>
  <r>
    <x v="1"/>
    <x v="61"/>
    <x v="0"/>
    <x v="5"/>
    <x v="41"/>
    <n v="7274"/>
    <n v="6160"/>
    <n v="7"/>
    <n v="6"/>
    <n v="0"/>
    <n v="0"/>
    <n v="0"/>
    <n v="0"/>
    <n v="33"/>
    <n v="2811"/>
    <n v="2024"/>
    <x v="2"/>
    <s v="超级直播"/>
    <x v="1"/>
    <x v="1"/>
  </r>
  <r>
    <x v="1"/>
    <x v="61"/>
    <x v="0"/>
    <x v="5"/>
    <x v="20"/>
    <n v="7851"/>
    <n v="5061"/>
    <n v="1"/>
    <n v="0"/>
    <n v="0"/>
    <n v="0"/>
    <n v="0"/>
    <n v="0"/>
    <n v="7"/>
    <n v="225"/>
    <n v="2024"/>
    <x v="2"/>
    <s v="超级短视频"/>
    <x v="1"/>
    <x v="1"/>
  </r>
  <r>
    <x v="1"/>
    <x v="61"/>
    <x v="0"/>
    <x v="6"/>
    <x v="48"/>
    <n v="735"/>
    <n v="590"/>
    <n v="0"/>
    <n v="0"/>
    <n v="0"/>
    <n v="0"/>
    <n v="0"/>
    <n v="0"/>
    <n v="735"/>
    <n v="107"/>
    <n v="2024"/>
    <x v="2"/>
    <s v="Showmax"/>
    <x v="1"/>
    <x v="1"/>
  </r>
  <r>
    <x v="1"/>
    <x v="61"/>
    <x v="0"/>
    <x v="6"/>
    <x v="30"/>
    <n v="1152"/>
    <n v="900"/>
    <n v="0"/>
    <n v="0"/>
    <n v="0"/>
    <n v="0"/>
    <n v="0"/>
    <n v="0"/>
    <n v="1152"/>
    <n v="138"/>
    <n v="2024"/>
    <x v="2"/>
    <s v="品牌特秀"/>
    <x v="1"/>
    <x v="1"/>
  </r>
  <r>
    <x v="1"/>
    <x v="61"/>
    <x v="0"/>
    <x v="6"/>
    <x v="21"/>
    <n v="553"/>
    <n v="459"/>
    <n v="9"/>
    <n v="5"/>
    <n v="2237"/>
    <n v="1"/>
    <n v="2237"/>
    <n v="1"/>
    <n v="553"/>
    <n v="295"/>
    <n v="2024"/>
    <x v="2"/>
    <s v="品销宝-品牌专区"/>
    <x v="1"/>
    <x v="1"/>
  </r>
  <r>
    <x v="1"/>
    <x v="61"/>
    <x v="0"/>
    <x v="0"/>
    <x v="2"/>
    <n v="5332"/>
    <n v="4758"/>
    <n v="103"/>
    <n v="38"/>
    <n v="185721.5"/>
    <n v="31"/>
    <n v="97901.5"/>
    <n v="24"/>
    <n v="424"/>
    <n v="5268"/>
    <n v="2024"/>
    <x v="2"/>
    <s v="直通车"/>
    <x v="1"/>
    <x v="1"/>
  </r>
  <r>
    <x v="1"/>
    <x v="61"/>
    <x v="0"/>
    <x v="0"/>
    <x v="0"/>
    <n v="5753"/>
    <n v="2927"/>
    <n v="85"/>
    <n v="73"/>
    <n v="54509"/>
    <n v="15"/>
    <n v="21681"/>
    <n v="8"/>
    <n v="318"/>
    <n v="5750"/>
    <n v="2024"/>
    <x v="2"/>
    <s v="万相台"/>
    <x v="1"/>
    <x v="1"/>
  </r>
  <r>
    <x v="1"/>
    <x v="61"/>
    <x v="0"/>
    <x v="0"/>
    <x v="1"/>
    <n v="12813"/>
    <n v="6002"/>
    <n v="32"/>
    <n v="45"/>
    <n v="0"/>
    <n v="0"/>
    <n v="0"/>
    <n v="0"/>
    <n v="274"/>
    <n v="12801"/>
    <n v="2024"/>
    <x v="2"/>
    <s v="引力魔方"/>
    <x v="1"/>
    <x v="1"/>
  </r>
  <r>
    <x v="1"/>
    <x v="61"/>
    <x v="0"/>
    <x v="7"/>
    <x v="23"/>
    <n v="1"/>
    <n v="0"/>
    <n v="0"/>
    <n v="0"/>
    <n v="0"/>
    <n v="0"/>
    <n v="0"/>
    <n v="0"/>
    <n v="0"/>
    <n v="1"/>
    <n v="2024"/>
    <x v="2"/>
    <s v="流量宝"/>
    <x v="1"/>
    <x v="1"/>
  </r>
  <r>
    <x v="1"/>
    <x v="61"/>
    <x v="0"/>
    <x v="7"/>
    <x v="24"/>
    <n v="1128"/>
    <n v="246"/>
    <n v="0"/>
    <n v="0"/>
    <n v="8050"/>
    <n v="2"/>
    <n v="4025"/>
    <n v="1"/>
    <n v="16"/>
    <n v="1104"/>
    <n v="2024"/>
    <x v="2"/>
    <s v="淘宝客"/>
    <x v="1"/>
    <x v="1"/>
  </r>
  <r>
    <x v="1"/>
    <x v="62"/>
    <x v="1"/>
    <x v="8"/>
    <x v="25"/>
    <n v="113"/>
    <n v="54"/>
    <n v="3"/>
    <n v="1"/>
    <n v="4695"/>
    <n v="1"/>
    <n v="0"/>
    <n v="0"/>
    <n v="13"/>
    <n v="105"/>
    <n v="2024"/>
    <x v="2"/>
    <s v="主会场"/>
    <x v="1"/>
    <x v="1"/>
  </r>
  <r>
    <x v="1"/>
    <x v="62"/>
    <x v="1"/>
    <x v="2"/>
    <x v="4"/>
    <n v="1"/>
    <n v="1"/>
    <n v="0"/>
    <n v="0"/>
    <n v="0"/>
    <n v="0"/>
    <n v="0"/>
    <n v="0"/>
    <n v="0"/>
    <n v="1"/>
    <n v="2024"/>
    <x v="2"/>
    <s v="手机浏览器访问天猫"/>
    <x v="1"/>
    <x v="1"/>
  </r>
  <r>
    <x v="1"/>
    <x v="62"/>
    <x v="1"/>
    <x v="2"/>
    <x v="5"/>
    <n v="92"/>
    <n v="47"/>
    <n v="0"/>
    <n v="0"/>
    <n v="5332"/>
    <n v="3"/>
    <n v="5332"/>
    <n v="3"/>
    <n v="35"/>
    <n v="88"/>
    <n v="2024"/>
    <x v="2"/>
    <s v="手猫免费其他"/>
    <x v="1"/>
    <x v="1"/>
  </r>
  <r>
    <x v="1"/>
    <x v="62"/>
    <x v="1"/>
    <x v="2"/>
    <x v="6"/>
    <n v="7"/>
    <n v="3"/>
    <n v="1"/>
    <n v="0"/>
    <n v="0"/>
    <n v="0"/>
    <n v="0"/>
    <n v="0"/>
    <n v="0"/>
    <n v="7"/>
    <n v="2024"/>
    <x v="2"/>
    <s v="手猫其他店铺"/>
    <x v="1"/>
    <x v="1"/>
  </r>
  <r>
    <x v="1"/>
    <x v="62"/>
    <x v="1"/>
    <x v="2"/>
    <x v="7"/>
    <n v="35"/>
    <n v="18"/>
    <n v="0"/>
    <n v="0"/>
    <n v="9086"/>
    <n v="3"/>
    <n v="9086"/>
    <n v="3"/>
    <n v="5"/>
    <n v="33"/>
    <n v="2024"/>
    <x v="2"/>
    <s v="手猫商品详情"/>
    <x v="1"/>
    <x v="1"/>
  </r>
  <r>
    <x v="1"/>
    <x v="62"/>
    <x v="1"/>
    <x v="2"/>
    <x v="8"/>
    <n v="81"/>
    <n v="54"/>
    <n v="0"/>
    <n v="0"/>
    <n v="12176"/>
    <n v="5"/>
    <n v="12176"/>
    <n v="5"/>
    <n v="27"/>
    <n v="71"/>
    <n v="2024"/>
    <x v="2"/>
    <s v="手猫搜索"/>
    <x v="1"/>
    <x v="1"/>
  </r>
  <r>
    <x v="1"/>
    <x v="62"/>
    <x v="1"/>
    <x v="2"/>
    <x v="9"/>
    <n v="2"/>
    <n v="1"/>
    <n v="0"/>
    <n v="0"/>
    <n v="0"/>
    <n v="0"/>
    <n v="0"/>
    <n v="0"/>
    <n v="1"/>
    <n v="2"/>
    <n v="2024"/>
    <x v="2"/>
    <s v="手猫旺信聊天"/>
    <x v="1"/>
    <x v="1"/>
  </r>
  <r>
    <x v="1"/>
    <x v="62"/>
    <x v="1"/>
    <x v="2"/>
    <x v="10"/>
    <n v="350"/>
    <n v="199"/>
    <n v="1"/>
    <n v="0"/>
    <n v="0"/>
    <n v="0"/>
    <n v="0"/>
    <n v="0"/>
    <n v="10"/>
    <n v="350"/>
    <n v="2024"/>
    <x v="2"/>
    <s v="手猫首页"/>
    <x v="1"/>
    <x v="1"/>
  </r>
  <r>
    <x v="1"/>
    <x v="62"/>
    <x v="1"/>
    <x v="3"/>
    <x v="11"/>
    <n v="99"/>
    <n v="39"/>
    <n v="4"/>
    <n v="1"/>
    <n v="8790"/>
    <n v="2"/>
    <n v="0"/>
    <n v="0"/>
    <n v="27"/>
    <n v="90"/>
    <n v="2024"/>
    <x v="2"/>
    <s v="商品详情页头图推荐"/>
    <x v="1"/>
    <x v="1"/>
  </r>
  <r>
    <x v="1"/>
    <x v="62"/>
    <x v="1"/>
    <x v="3"/>
    <x v="12"/>
    <n v="21"/>
    <n v="14"/>
    <n v="1"/>
    <n v="0"/>
    <n v="0"/>
    <n v="0"/>
    <n v="0"/>
    <n v="0"/>
    <n v="19"/>
    <n v="10"/>
    <n v="2024"/>
    <x v="2"/>
    <s v="店铺超链"/>
    <x v="1"/>
    <x v="1"/>
  </r>
  <r>
    <x v="1"/>
    <x v="62"/>
    <x v="1"/>
    <x v="4"/>
    <x v="13"/>
    <n v="163"/>
    <n v="80"/>
    <n v="11"/>
    <n v="4"/>
    <n v="12277"/>
    <n v="4"/>
    <n v="12277"/>
    <n v="4"/>
    <n v="48"/>
    <n v="139"/>
    <n v="2024"/>
    <x v="2"/>
    <s v="其他猜你喜欢"/>
    <x v="1"/>
    <x v="1"/>
  </r>
  <r>
    <x v="1"/>
    <x v="62"/>
    <x v="1"/>
    <x v="4"/>
    <x v="15"/>
    <n v="7"/>
    <n v="4"/>
    <n v="0"/>
    <n v="1"/>
    <n v="0"/>
    <n v="0"/>
    <n v="0"/>
    <n v="0"/>
    <n v="2"/>
    <n v="6"/>
    <n v="2024"/>
    <x v="2"/>
    <s v="购中推荐"/>
    <x v="1"/>
    <x v="1"/>
  </r>
  <r>
    <x v="1"/>
    <x v="62"/>
    <x v="1"/>
    <x v="4"/>
    <x v="16"/>
    <n v="53"/>
    <n v="35"/>
    <n v="0"/>
    <n v="0"/>
    <n v="0"/>
    <n v="0"/>
    <n v="0"/>
    <n v="0"/>
    <n v="1"/>
    <n v="50"/>
    <n v="2024"/>
    <x v="2"/>
    <s v="购后推荐"/>
    <x v="1"/>
    <x v="1"/>
  </r>
  <r>
    <x v="1"/>
    <x v="62"/>
    <x v="1"/>
    <x v="4"/>
    <x v="17"/>
    <n v="1468"/>
    <n v="738"/>
    <n v="36"/>
    <n v="16"/>
    <n v="27635"/>
    <n v="10"/>
    <n v="25910"/>
    <n v="10"/>
    <n v="135"/>
    <n v="1468"/>
    <n v="2024"/>
    <x v="2"/>
    <s v="首页推荐-微详情"/>
    <x v="1"/>
    <x v="1"/>
  </r>
  <r>
    <x v="1"/>
    <x v="62"/>
    <x v="1"/>
    <x v="4"/>
    <x v="18"/>
    <n v="163"/>
    <n v="69"/>
    <n v="0"/>
    <n v="0"/>
    <n v="0"/>
    <n v="0"/>
    <n v="0"/>
    <n v="0"/>
    <n v="0"/>
    <n v="5"/>
    <n v="2024"/>
    <x v="2"/>
    <s v="首页推荐-直播"/>
    <x v="1"/>
    <x v="1"/>
  </r>
  <r>
    <x v="1"/>
    <x v="62"/>
    <x v="1"/>
    <x v="4"/>
    <x v="19"/>
    <n v="64"/>
    <n v="33"/>
    <n v="0"/>
    <n v="0"/>
    <n v="0"/>
    <n v="0"/>
    <n v="0"/>
    <n v="0"/>
    <n v="2"/>
    <n v="1"/>
    <n v="2024"/>
    <x v="2"/>
    <s v="首页推荐-短视频"/>
    <x v="1"/>
    <x v="1"/>
  </r>
  <r>
    <x v="1"/>
    <x v="62"/>
    <x v="1"/>
    <x v="12"/>
    <x v="42"/>
    <n v="1012"/>
    <n v="792"/>
    <n v="115"/>
    <n v="7"/>
    <n v="148720.85999999999"/>
    <n v="42"/>
    <n v="134894.85999999999"/>
    <n v="38"/>
    <n v="275"/>
    <n v="911"/>
    <n v="2024"/>
    <x v="2"/>
    <s v="手淘搜索-商品及其他"/>
    <x v="1"/>
    <x v="1"/>
  </r>
  <r>
    <x v="1"/>
    <x v="62"/>
    <x v="1"/>
    <x v="12"/>
    <x v="43"/>
    <n v="4"/>
    <n v="2"/>
    <n v="0"/>
    <n v="0"/>
    <n v="0"/>
    <n v="0"/>
    <n v="0"/>
    <n v="0"/>
    <n v="0"/>
    <n v="2"/>
    <n v="2024"/>
    <x v="2"/>
    <s v="手淘搜索-直播"/>
    <x v="1"/>
    <x v="1"/>
  </r>
  <r>
    <x v="1"/>
    <x v="62"/>
    <x v="1"/>
    <x v="12"/>
    <x v="44"/>
    <n v="30"/>
    <n v="16"/>
    <n v="2"/>
    <n v="0"/>
    <n v="0"/>
    <n v="0"/>
    <n v="0"/>
    <n v="0"/>
    <n v="2"/>
    <n v="7"/>
    <n v="2024"/>
    <x v="2"/>
    <s v="手淘搜索-短视频"/>
    <x v="1"/>
    <x v="1"/>
  </r>
  <r>
    <x v="1"/>
    <x v="62"/>
    <x v="1"/>
    <x v="11"/>
    <x v="37"/>
    <n v="18"/>
    <n v="17"/>
    <n v="0"/>
    <n v="0"/>
    <n v="0"/>
    <n v="0"/>
    <n v="0"/>
    <n v="0"/>
    <n v="1"/>
    <n v="18"/>
    <n v="2024"/>
    <x v="2"/>
    <s v="淘特其他渠道"/>
    <x v="1"/>
    <x v="1"/>
  </r>
  <r>
    <x v="1"/>
    <x v="62"/>
    <x v="0"/>
    <x v="5"/>
    <x v="41"/>
    <n v="5221"/>
    <n v="4249"/>
    <n v="9"/>
    <n v="0"/>
    <n v="0"/>
    <n v="0"/>
    <n v="0"/>
    <n v="0"/>
    <n v="31"/>
    <n v="2303"/>
    <n v="2024"/>
    <x v="2"/>
    <s v="超级直播"/>
    <x v="1"/>
    <x v="1"/>
  </r>
  <r>
    <x v="1"/>
    <x v="62"/>
    <x v="0"/>
    <x v="5"/>
    <x v="20"/>
    <n v="4936"/>
    <n v="3122"/>
    <n v="2"/>
    <n v="0"/>
    <n v="0"/>
    <n v="0"/>
    <n v="0"/>
    <n v="0"/>
    <n v="4"/>
    <n v="187"/>
    <n v="2024"/>
    <x v="2"/>
    <s v="超级短视频"/>
    <x v="1"/>
    <x v="1"/>
  </r>
  <r>
    <x v="1"/>
    <x v="62"/>
    <x v="0"/>
    <x v="6"/>
    <x v="48"/>
    <n v="731"/>
    <n v="597"/>
    <n v="0"/>
    <n v="0"/>
    <n v="0"/>
    <n v="0"/>
    <n v="0"/>
    <n v="0"/>
    <n v="731"/>
    <n v="76"/>
    <n v="2024"/>
    <x v="2"/>
    <s v="Showmax"/>
    <x v="1"/>
    <x v="1"/>
  </r>
  <r>
    <x v="1"/>
    <x v="62"/>
    <x v="0"/>
    <x v="6"/>
    <x v="45"/>
    <n v="1"/>
    <n v="1"/>
    <n v="0"/>
    <n v="0"/>
    <n v="0"/>
    <n v="0"/>
    <n v="0"/>
    <n v="0"/>
    <n v="1"/>
    <n v="0"/>
    <n v="2024"/>
    <x v="2"/>
    <s v="品牌定制"/>
    <x v="1"/>
    <x v="1"/>
  </r>
  <r>
    <x v="1"/>
    <x v="62"/>
    <x v="0"/>
    <x v="6"/>
    <x v="30"/>
    <n v="1225"/>
    <n v="979"/>
    <n v="0"/>
    <n v="0"/>
    <n v="0"/>
    <n v="0"/>
    <n v="0"/>
    <n v="0"/>
    <n v="1225"/>
    <n v="158"/>
    <n v="2024"/>
    <x v="2"/>
    <s v="品牌特秀"/>
    <x v="1"/>
    <x v="1"/>
  </r>
  <r>
    <x v="1"/>
    <x v="62"/>
    <x v="0"/>
    <x v="6"/>
    <x v="21"/>
    <n v="601"/>
    <n v="500"/>
    <n v="14"/>
    <n v="7"/>
    <n v="6035"/>
    <n v="3"/>
    <n v="6035"/>
    <n v="3"/>
    <n v="601"/>
    <n v="291"/>
    <n v="2024"/>
    <x v="2"/>
    <s v="品销宝-品牌专区"/>
    <x v="1"/>
    <x v="1"/>
  </r>
  <r>
    <x v="1"/>
    <x v="62"/>
    <x v="0"/>
    <x v="0"/>
    <x v="2"/>
    <n v="4393"/>
    <n v="3832"/>
    <n v="142"/>
    <n v="41"/>
    <n v="258490.89"/>
    <n v="49"/>
    <n v="175867.5"/>
    <n v="40"/>
    <n v="382"/>
    <n v="4350"/>
    <n v="2024"/>
    <x v="2"/>
    <s v="直通车"/>
    <x v="1"/>
    <x v="1"/>
  </r>
  <r>
    <x v="1"/>
    <x v="62"/>
    <x v="0"/>
    <x v="0"/>
    <x v="0"/>
    <n v="4367"/>
    <n v="2347"/>
    <n v="75"/>
    <n v="60"/>
    <n v="97526"/>
    <n v="24"/>
    <n v="48276"/>
    <n v="16"/>
    <n v="236"/>
    <n v="4364"/>
    <n v="2024"/>
    <x v="2"/>
    <s v="万相台"/>
    <x v="1"/>
    <x v="1"/>
  </r>
  <r>
    <x v="1"/>
    <x v="62"/>
    <x v="0"/>
    <x v="0"/>
    <x v="1"/>
    <n v="12288"/>
    <n v="5870"/>
    <n v="25"/>
    <n v="30"/>
    <n v="4695"/>
    <n v="1"/>
    <n v="0"/>
    <n v="0"/>
    <n v="248"/>
    <n v="12276"/>
    <n v="2024"/>
    <x v="2"/>
    <s v="引力魔方"/>
    <x v="1"/>
    <x v="1"/>
  </r>
  <r>
    <x v="1"/>
    <x v="62"/>
    <x v="0"/>
    <x v="7"/>
    <x v="23"/>
    <n v="3"/>
    <n v="1"/>
    <n v="0"/>
    <n v="0"/>
    <n v="0"/>
    <n v="0"/>
    <n v="0"/>
    <n v="0"/>
    <n v="1"/>
    <n v="1"/>
    <n v="2024"/>
    <x v="2"/>
    <s v="流量宝"/>
    <x v="1"/>
    <x v="1"/>
  </r>
  <r>
    <x v="1"/>
    <x v="62"/>
    <x v="0"/>
    <x v="7"/>
    <x v="24"/>
    <n v="953"/>
    <n v="168"/>
    <n v="6"/>
    <n v="1"/>
    <n v="32434"/>
    <n v="9"/>
    <n v="30936"/>
    <n v="8"/>
    <n v="21"/>
    <n v="936"/>
    <n v="2024"/>
    <x v="2"/>
    <s v="淘宝客"/>
    <x v="1"/>
    <x v="1"/>
  </r>
  <r>
    <x v="1"/>
    <x v="63"/>
    <x v="1"/>
    <x v="8"/>
    <x v="25"/>
    <n v="87"/>
    <n v="45"/>
    <n v="3"/>
    <n v="1"/>
    <n v="0"/>
    <n v="0"/>
    <n v="0"/>
    <n v="0"/>
    <n v="13"/>
    <n v="80"/>
    <n v="2024"/>
    <x v="2"/>
    <s v="主会场"/>
    <x v="1"/>
    <x v="1"/>
  </r>
  <r>
    <x v="1"/>
    <x v="63"/>
    <x v="1"/>
    <x v="2"/>
    <x v="5"/>
    <n v="73"/>
    <n v="33"/>
    <n v="0"/>
    <n v="0"/>
    <n v="3425"/>
    <n v="1"/>
    <n v="3425"/>
    <n v="1"/>
    <n v="15"/>
    <n v="71"/>
    <n v="2024"/>
    <x v="2"/>
    <s v="手猫免费其他"/>
    <x v="1"/>
    <x v="1"/>
  </r>
  <r>
    <x v="1"/>
    <x v="63"/>
    <x v="1"/>
    <x v="2"/>
    <x v="6"/>
    <n v="6"/>
    <n v="4"/>
    <n v="0"/>
    <n v="0"/>
    <n v="0"/>
    <n v="0"/>
    <n v="0"/>
    <n v="0"/>
    <n v="0"/>
    <n v="6"/>
    <n v="2024"/>
    <x v="2"/>
    <s v="手猫其他店铺"/>
    <x v="1"/>
    <x v="1"/>
  </r>
  <r>
    <x v="1"/>
    <x v="63"/>
    <x v="1"/>
    <x v="2"/>
    <x v="7"/>
    <n v="20"/>
    <n v="11"/>
    <n v="0"/>
    <n v="0"/>
    <n v="4645"/>
    <n v="1"/>
    <n v="4645"/>
    <n v="1"/>
    <n v="1"/>
    <n v="18"/>
    <n v="2024"/>
    <x v="2"/>
    <s v="手猫商品详情"/>
    <x v="1"/>
    <x v="1"/>
  </r>
  <r>
    <x v="1"/>
    <x v="63"/>
    <x v="1"/>
    <x v="2"/>
    <x v="8"/>
    <n v="60"/>
    <n v="41"/>
    <n v="2"/>
    <n v="0"/>
    <n v="1303"/>
    <n v="1"/>
    <n v="1303"/>
    <n v="1"/>
    <n v="16"/>
    <n v="55"/>
    <n v="2024"/>
    <x v="2"/>
    <s v="手猫搜索"/>
    <x v="1"/>
    <x v="1"/>
  </r>
  <r>
    <x v="1"/>
    <x v="63"/>
    <x v="1"/>
    <x v="2"/>
    <x v="9"/>
    <n v="1"/>
    <n v="1"/>
    <n v="0"/>
    <n v="0"/>
    <n v="0"/>
    <n v="0"/>
    <n v="0"/>
    <n v="0"/>
    <n v="0"/>
    <n v="1"/>
    <n v="2024"/>
    <x v="2"/>
    <s v="手猫旺信聊天"/>
    <x v="1"/>
    <x v="1"/>
  </r>
  <r>
    <x v="1"/>
    <x v="63"/>
    <x v="1"/>
    <x v="2"/>
    <x v="10"/>
    <n v="302"/>
    <n v="166"/>
    <n v="0"/>
    <n v="0"/>
    <n v="0"/>
    <n v="0"/>
    <n v="0"/>
    <n v="0"/>
    <n v="7"/>
    <n v="302"/>
    <n v="2024"/>
    <x v="2"/>
    <s v="手猫首页"/>
    <x v="1"/>
    <x v="1"/>
  </r>
  <r>
    <x v="1"/>
    <x v="63"/>
    <x v="1"/>
    <x v="3"/>
    <x v="11"/>
    <n v="87"/>
    <n v="37"/>
    <n v="3"/>
    <n v="0"/>
    <n v="3138.99"/>
    <n v="2"/>
    <n v="3138.99"/>
    <n v="2"/>
    <n v="18"/>
    <n v="75"/>
    <n v="2024"/>
    <x v="2"/>
    <s v="商品详情页头图推荐"/>
    <x v="1"/>
    <x v="1"/>
  </r>
  <r>
    <x v="1"/>
    <x v="63"/>
    <x v="1"/>
    <x v="3"/>
    <x v="12"/>
    <n v="20"/>
    <n v="14"/>
    <n v="2"/>
    <n v="0"/>
    <n v="5390"/>
    <n v="1"/>
    <n v="2695"/>
    <n v="1"/>
    <n v="17"/>
    <n v="8"/>
    <n v="2024"/>
    <x v="2"/>
    <s v="店铺超链"/>
    <x v="1"/>
    <x v="1"/>
  </r>
  <r>
    <x v="1"/>
    <x v="63"/>
    <x v="1"/>
    <x v="4"/>
    <x v="13"/>
    <n v="189"/>
    <n v="89"/>
    <n v="4"/>
    <n v="2"/>
    <n v="5175"/>
    <n v="2"/>
    <n v="5175"/>
    <n v="2"/>
    <n v="54"/>
    <n v="152"/>
    <n v="2024"/>
    <x v="2"/>
    <s v="其他猜你喜欢"/>
    <x v="1"/>
    <x v="1"/>
  </r>
  <r>
    <x v="1"/>
    <x v="63"/>
    <x v="1"/>
    <x v="4"/>
    <x v="15"/>
    <n v="8"/>
    <n v="4"/>
    <n v="0"/>
    <n v="0"/>
    <n v="0"/>
    <n v="0"/>
    <n v="0"/>
    <n v="0"/>
    <n v="0"/>
    <n v="5"/>
    <n v="2024"/>
    <x v="2"/>
    <s v="购中推荐"/>
    <x v="1"/>
    <x v="1"/>
  </r>
  <r>
    <x v="1"/>
    <x v="63"/>
    <x v="1"/>
    <x v="4"/>
    <x v="16"/>
    <n v="46"/>
    <n v="29"/>
    <n v="0"/>
    <n v="0"/>
    <n v="0"/>
    <n v="0"/>
    <n v="0"/>
    <n v="0"/>
    <n v="1"/>
    <n v="39"/>
    <n v="2024"/>
    <x v="2"/>
    <s v="购后推荐"/>
    <x v="1"/>
    <x v="1"/>
  </r>
  <r>
    <x v="1"/>
    <x v="63"/>
    <x v="1"/>
    <x v="4"/>
    <x v="17"/>
    <n v="1396"/>
    <n v="784"/>
    <n v="38"/>
    <n v="4"/>
    <n v="12088"/>
    <n v="6"/>
    <n v="5355"/>
    <n v="2"/>
    <n v="118"/>
    <n v="1396"/>
    <n v="2024"/>
    <x v="2"/>
    <s v="首页推荐-微详情"/>
    <x v="1"/>
    <x v="1"/>
  </r>
  <r>
    <x v="1"/>
    <x v="63"/>
    <x v="1"/>
    <x v="4"/>
    <x v="18"/>
    <n v="289"/>
    <n v="186"/>
    <n v="0"/>
    <n v="0"/>
    <n v="0"/>
    <n v="0"/>
    <n v="0"/>
    <n v="0"/>
    <n v="1"/>
    <n v="2"/>
    <n v="2024"/>
    <x v="2"/>
    <s v="首页推荐-直播"/>
    <x v="1"/>
    <x v="1"/>
  </r>
  <r>
    <x v="1"/>
    <x v="63"/>
    <x v="1"/>
    <x v="4"/>
    <x v="19"/>
    <n v="50"/>
    <n v="27"/>
    <n v="0"/>
    <n v="0"/>
    <n v="0"/>
    <n v="0"/>
    <n v="0"/>
    <n v="0"/>
    <n v="0"/>
    <n v="1"/>
    <n v="2024"/>
    <x v="2"/>
    <s v="首页推荐-短视频"/>
    <x v="1"/>
    <x v="1"/>
  </r>
  <r>
    <x v="1"/>
    <x v="63"/>
    <x v="1"/>
    <x v="12"/>
    <x v="42"/>
    <n v="808"/>
    <n v="617"/>
    <n v="91"/>
    <n v="10"/>
    <n v="119566.79"/>
    <n v="34"/>
    <n v="85170.29"/>
    <n v="28"/>
    <n v="204"/>
    <n v="736"/>
    <n v="2024"/>
    <x v="2"/>
    <s v="手淘搜索-商品及其他"/>
    <x v="1"/>
    <x v="1"/>
  </r>
  <r>
    <x v="1"/>
    <x v="63"/>
    <x v="1"/>
    <x v="12"/>
    <x v="43"/>
    <n v="4"/>
    <n v="3"/>
    <n v="0"/>
    <n v="0"/>
    <n v="0"/>
    <n v="0"/>
    <n v="0"/>
    <n v="0"/>
    <n v="1"/>
    <n v="4"/>
    <n v="2024"/>
    <x v="2"/>
    <s v="手淘搜索-直播"/>
    <x v="1"/>
    <x v="1"/>
  </r>
  <r>
    <x v="1"/>
    <x v="63"/>
    <x v="1"/>
    <x v="12"/>
    <x v="44"/>
    <n v="16"/>
    <n v="10"/>
    <n v="1"/>
    <n v="0"/>
    <n v="1398"/>
    <n v="1"/>
    <n v="0"/>
    <n v="0"/>
    <n v="3"/>
    <n v="3"/>
    <n v="2024"/>
    <x v="2"/>
    <s v="手淘搜索-短视频"/>
    <x v="1"/>
    <x v="1"/>
  </r>
  <r>
    <x v="1"/>
    <x v="63"/>
    <x v="1"/>
    <x v="11"/>
    <x v="37"/>
    <n v="4"/>
    <n v="4"/>
    <n v="0"/>
    <n v="0"/>
    <n v="0"/>
    <n v="0"/>
    <n v="0"/>
    <n v="0"/>
    <n v="1"/>
    <n v="4"/>
    <n v="2024"/>
    <x v="2"/>
    <s v="淘特其他渠道"/>
    <x v="1"/>
    <x v="1"/>
  </r>
  <r>
    <x v="1"/>
    <x v="63"/>
    <x v="0"/>
    <x v="5"/>
    <x v="41"/>
    <n v="9431"/>
    <n v="7987"/>
    <n v="3"/>
    <n v="0"/>
    <n v="0"/>
    <n v="0"/>
    <n v="0"/>
    <n v="0"/>
    <n v="38"/>
    <n v="5367"/>
    <n v="2024"/>
    <x v="2"/>
    <s v="超级直播"/>
    <x v="1"/>
    <x v="1"/>
  </r>
  <r>
    <x v="1"/>
    <x v="63"/>
    <x v="0"/>
    <x v="5"/>
    <x v="20"/>
    <n v="5593"/>
    <n v="3612"/>
    <n v="0"/>
    <n v="0"/>
    <n v="0"/>
    <n v="0"/>
    <n v="0"/>
    <n v="0"/>
    <n v="6"/>
    <n v="180"/>
    <n v="2024"/>
    <x v="2"/>
    <s v="超级短视频"/>
    <x v="1"/>
    <x v="1"/>
  </r>
  <r>
    <x v="1"/>
    <x v="63"/>
    <x v="0"/>
    <x v="6"/>
    <x v="48"/>
    <n v="1192"/>
    <n v="1011"/>
    <n v="0"/>
    <n v="0"/>
    <n v="0"/>
    <n v="0"/>
    <n v="0"/>
    <n v="0"/>
    <n v="1192"/>
    <n v="116"/>
    <n v="2024"/>
    <x v="2"/>
    <s v="Showmax"/>
    <x v="1"/>
    <x v="1"/>
  </r>
  <r>
    <x v="1"/>
    <x v="63"/>
    <x v="0"/>
    <x v="6"/>
    <x v="30"/>
    <n v="947"/>
    <n v="764"/>
    <n v="0"/>
    <n v="0"/>
    <n v="0"/>
    <n v="0"/>
    <n v="0"/>
    <n v="0"/>
    <n v="947"/>
    <n v="122"/>
    <n v="2024"/>
    <x v="2"/>
    <s v="品牌特秀"/>
    <x v="1"/>
    <x v="1"/>
  </r>
  <r>
    <x v="1"/>
    <x v="63"/>
    <x v="0"/>
    <x v="6"/>
    <x v="21"/>
    <n v="478"/>
    <n v="405"/>
    <n v="15"/>
    <n v="2"/>
    <n v="3598"/>
    <n v="3"/>
    <n v="2778"/>
    <n v="2"/>
    <n v="478"/>
    <n v="236"/>
    <n v="2024"/>
    <x v="2"/>
    <s v="品销宝-品牌专区"/>
    <x v="1"/>
    <x v="1"/>
  </r>
  <r>
    <x v="1"/>
    <x v="63"/>
    <x v="0"/>
    <x v="0"/>
    <x v="2"/>
    <n v="2431"/>
    <n v="2062"/>
    <n v="75"/>
    <n v="24"/>
    <n v="117459"/>
    <n v="23"/>
    <n v="85469"/>
    <n v="19"/>
    <n v="230"/>
    <n v="2399"/>
    <n v="2024"/>
    <x v="2"/>
    <s v="直通车"/>
    <x v="1"/>
    <x v="1"/>
  </r>
  <r>
    <x v="1"/>
    <x v="63"/>
    <x v="0"/>
    <x v="0"/>
    <x v="0"/>
    <n v="4292"/>
    <n v="2161"/>
    <n v="83"/>
    <n v="55"/>
    <n v="66218"/>
    <n v="20"/>
    <n v="39915"/>
    <n v="16"/>
    <n v="256"/>
    <n v="4290"/>
    <n v="2024"/>
    <x v="2"/>
    <s v="万相台"/>
    <x v="1"/>
    <x v="1"/>
  </r>
  <r>
    <x v="1"/>
    <x v="63"/>
    <x v="0"/>
    <x v="0"/>
    <x v="1"/>
    <n v="11160"/>
    <n v="5368"/>
    <n v="19"/>
    <n v="37"/>
    <n v="8636"/>
    <n v="4"/>
    <n v="7139"/>
    <n v="4"/>
    <n v="220"/>
    <n v="11154"/>
    <n v="2024"/>
    <x v="2"/>
    <s v="引力魔方"/>
    <x v="1"/>
    <x v="1"/>
  </r>
  <r>
    <x v="1"/>
    <x v="63"/>
    <x v="0"/>
    <x v="7"/>
    <x v="23"/>
    <n v="3"/>
    <n v="2"/>
    <n v="0"/>
    <n v="1"/>
    <n v="0"/>
    <n v="0"/>
    <n v="0"/>
    <n v="0"/>
    <n v="0"/>
    <n v="3"/>
    <n v="2024"/>
    <x v="2"/>
    <s v="流量宝"/>
    <x v="1"/>
    <x v="1"/>
  </r>
  <r>
    <x v="1"/>
    <x v="63"/>
    <x v="0"/>
    <x v="7"/>
    <x v="24"/>
    <n v="841"/>
    <n v="154"/>
    <n v="8"/>
    <n v="1"/>
    <n v="11142.59"/>
    <n v="3"/>
    <n v="5649.59"/>
    <n v="2"/>
    <n v="14"/>
    <n v="826"/>
    <n v="2024"/>
    <x v="2"/>
    <s v="淘宝客"/>
    <x v="1"/>
    <x v="1"/>
  </r>
  <r>
    <x v="1"/>
    <x v="64"/>
    <x v="1"/>
    <x v="8"/>
    <x v="25"/>
    <n v="77"/>
    <n v="42"/>
    <n v="2"/>
    <n v="1"/>
    <n v="1917"/>
    <n v="1"/>
    <n v="1917"/>
    <n v="1"/>
    <n v="9"/>
    <n v="69"/>
    <n v="2024"/>
    <x v="2"/>
    <s v="主会场"/>
    <x v="1"/>
    <x v="1"/>
  </r>
  <r>
    <x v="1"/>
    <x v="64"/>
    <x v="1"/>
    <x v="1"/>
    <x v="3"/>
    <n v="1"/>
    <n v="1"/>
    <n v="0"/>
    <n v="0"/>
    <n v="0"/>
    <n v="0"/>
    <n v="0"/>
    <n v="0"/>
    <n v="0"/>
    <n v="1"/>
    <n v="2024"/>
    <x v="2"/>
    <s v="其他入口榜单"/>
    <x v="1"/>
    <x v="1"/>
  </r>
  <r>
    <x v="1"/>
    <x v="64"/>
    <x v="1"/>
    <x v="2"/>
    <x v="4"/>
    <n v="1"/>
    <n v="1"/>
    <n v="0"/>
    <n v="0"/>
    <n v="0"/>
    <n v="0"/>
    <n v="0"/>
    <n v="0"/>
    <n v="0"/>
    <n v="1"/>
    <n v="2024"/>
    <x v="2"/>
    <s v="手机浏览器访问天猫"/>
    <x v="1"/>
    <x v="1"/>
  </r>
  <r>
    <x v="1"/>
    <x v="64"/>
    <x v="1"/>
    <x v="2"/>
    <x v="5"/>
    <n v="73"/>
    <n v="33"/>
    <n v="0"/>
    <n v="0"/>
    <n v="0"/>
    <n v="0"/>
    <n v="0"/>
    <n v="0"/>
    <n v="17"/>
    <n v="69"/>
    <n v="2024"/>
    <x v="2"/>
    <s v="手猫免费其他"/>
    <x v="1"/>
    <x v="1"/>
  </r>
  <r>
    <x v="1"/>
    <x v="64"/>
    <x v="1"/>
    <x v="2"/>
    <x v="6"/>
    <n v="4"/>
    <n v="2"/>
    <n v="0"/>
    <n v="0"/>
    <n v="0"/>
    <n v="0"/>
    <n v="0"/>
    <n v="0"/>
    <n v="0"/>
    <n v="4"/>
    <n v="2024"/>
    <x v="2"/>
    <s v="手猫其他店铺"/>
    <x v="1"/>
    <x v="1"/>
  </r>
  <r>
    <x v="1"/>
    <x v="64"/>
    <x v="1"/>
    <x v="2"/>
    <x v="7"/>
    <n v="16"/>
    <n v="6"/>
    <n v="1"/>
    <n v="0"/>
    <n v="11113.96"/>
    <n v="2"/>
    <n v="6208.48"/>
    <n v="2"/>
    <n v="3"/>
    <n v="16"/>
    <n v="2024"/>
    <x v="2"/>
    <s v="手猫商品详情"/>
    <x v="1"/>
    <x v="1"/>
  </r>
  <r>
    <x v="1"/>
    <x v="64"/>
    <x v="1"/>
    <x v="2"/>
    <x v="8"/>
    <n v="63"/>
    <n v="37"/>
    <n v="1"/>
    <n v="0"/>
    <n v="6753.24"/>
    <n v="1"/>
    <n v="4115.72"/>
    <n v="1"/>
    <n v="18"/>
    <n v="54"/>
    <n v="2024"/>
    <x v="2"/>
    <s v="手猫搜索"/>
    <x v="1"/>
    <x v="1"/>
  </r>
  <r>
    <x v="1"/>
    <x v="64"/>
    <x v="1"/>
    <x v="2"/>
    <x v="9"/>
    <n v="1"/>
    <n v="0"/>
    <n v="0"/>
    <n v="0"/>
    <n v="8231.44"/>
    <n v="1"/>
    <n v="4115.72"/>
    <n v="1"/>
    <n v="0"/>
    <n v="1"/>
    <n v="2024"/>
    <x v="2"/>
    <s v="手猫旺信聊天"/>
    <x v="1"/>
    <x v="1"/>
  </r>
  <r>
    <x v="1"/>
    <x v="64"/>
    <x v="1"/>
    <x v="2"/>
    <x v="10"/>
    <n v="223"/>
    <n v="117"/>
    <n v="1"/>
    <n v="0"/>
    <n v="1303"/>
    <n v="1"/>
    <n v="1303"/>
    <n v="1"/>
    <n v="3"/>
    <n v="223"/>
    <n v="2024"/>
    <x v="2"/>
    <s v="手猫首页"/>
    <x v="1"/>
    <x v="1"/>
  </r>
  <r>
    <x v="1"/>
    <x v="64"/>
    <x v="1"/>
    <x v="3"/>
    <x v="11"/>
    <n v="96"/>
    <n v="47"/>
    <n v="1"/>
    <n v="4"/>
    <n v="1497"/>
    <n v="1"/>
    <n v="1497"/>
    <n v="1"/>
    <n v="32"/>
    <n v="83"/>
    <n v="2024"/>
    <x v="2"/>
    <s v="商品详情页头图推荐"/>
    <x v="1"/>
    <x v="1"/>
  </r>
  <r>
    <x v="1"/>
    <x v="64"/>
    <x v="1"/>
    <x v="3"/>
    <x v="12"/>
    <n v="20"/>
    <n v="13"/>
    <n v="0"/>
    <n v="0"/>
    <n v="4892.1899999999996"/>
    <n v="2"/>
    <n v="4892.1899999999996"/>
    <n v="2"/>
    <n v="17"/>
    <n v="9"/>
    <n v="2024"/>
    <x v="2"/>
    <s v="店铺超链"/>
    <x v="1"/>
    <x v="1"/>
  </r>
  <r>
    <x v="1"/>
    <x v="64"/>
    <x v="1"/>
    <x v="4"/>
    <x v="13"/>
    <n v="196"/>
    <n v="97"/>
    <n v="6"/>
    <n v="1"/>
    <n v="13490.38"/>
    <n v="4"/>
    <n v="13490.38"/>
    <n v="4"/>
    <n v="74"/>
    <n v="144"/>
    <n v="2024"/>
    <x v="2"/>
    <s v="其他猜你喜欢"/>
    <x v="1"/>
    <x v="1"/>
  </r>
  <r>
    <x v="1"/>
    <x v="64"/>
    <x v="1"/>
    <x v="4"/>
    <x v="15"/>
    <n v="4"/>
    <n v="2"/>
    <n v="0"/>
    <n v="0"/>
    <n v="0"/>
    <n v="0"/>
    <n v="0"/>
    <n v="0"/>
    <n v="0"/>
    <n v="4"/>
    <n v="2024"/>
    <x v="2"/>
    <s v="购中推荐"/>
    <x v="1"/>
    <x v="1"/>
  </r>
  <r>
    <x v="1"/>
    <x v="64"/>
    <x v="1"/>
    <x v="4"/>
    <x v="16"/>
    <n v="28"/>
    <n v="17"/>
    <n v="0"/>
    <n v="0"/>
    <n v="0"/>
    <n v="0"/>
    <n v="0"/>
    <n v="0"/>
    <n v="1"/>
    <n v="26"/>
    <n v="2024"/>
    <x v="2"/>
    <s v="购后推荐"/>
    <x v="1"/>
    <x v="1"/>
  </r>
  <r>
    <x v="1"/>
    <x v="64"/>
    <x v="1"/>
    <x v="4"/>
    <x v="17"/>
    <n v="1262"/>
    <n v="628"/>
    <n v="30"/>
    <n v="11"/>
    <n v="28104"/>
    <n v="11"/>
    <n v="21513"/>
    <n v="8"/>
    <n v="119"/>
    <n v="1262"/>
    <n v="2024"/>
    <x v="2"/>
    <s v="首页推荐-微详情"/>
    <x v="1"/>
    <x v="1"/>
  </r>
  <r>
    <x v="1"/>
    <x v="64"/>
    <x v="1"/>
    <x v="4"/>
    <x v="18"/>
    <n v="143"/>
    <n v="76"/>
    <n v="0"/>
    <n v="0"/>
    <n v="0"/>
    <n v="0"/>
    <n v="0"/>
    <n v="0"/>
    <n v="1"/>
    <n v="4"/>
    <n v="2024"/>
    <x v="2"/>
    <s v="首页推荐-直播"/>
    <x v="1"/>
    <x v="1"/>
  </r>
  <r>
    <x v="1"/>
    <x v="64"/>
    <x v="1"/>
    <x v="4"/>
    <x v="19"/>
    <n v="29"/>
    <n v="23"/>
    <n v="0"/>
    <n v="0"/>
    <n v="0"/>
    <n v="0"/>
    <n v="0"/>
    <n v="0"/>
    <n v="0"/>
    <n v="0"/>
    <n v="2024"/>
    <x v="2"/>
    <s v="首页推荐-短视频"/>
    <x v="1"/>
    <x v="1"/>
  </r>
  <r>
    <x v="1"/>
    <x v="64"/>
    <x v="1"/>
    <x v="12"/>
    <x v="42"/>
    <n v="836"/>
    <n v="656"/>
    <n v="104"/>
    <n v="15"/>
    <n v="139827"/>
    <n v="43"/>
    <n v="123958"/>
    <n v="39"/>
    <n v="216"/>
    <n v="770"/>
    <n v="2024"/>
    <x v="2"/>
    <s v="手淘搜索-商品及其他"/>
    <x v="1"/>
    <x v="1"/>
  </r>
  <r>
    <x v="1"/>
    <x v="64"/>
    <x v="1"/>
    <x v="12"/>
    <x v="44"/>
    <n v="22"/>
    <n v="12"/>
    <n v="0"/>
    <n v="0"/>
    <n v="0"/>
    <n v="0"/>
    <n v="0"/>
    <n v="0"/>
    <n v="1"/>
    <n v="4"/>
    <n v="2024"/>
    <x v="2"/>
    <s v="手淘搜索-短视频"/>
    <x v="1"/>
    <x v="1"/>
  </r>
  <r>
    <x v="1"/>
    <x v="64"/>
    <x v="1"/>
    <x v="11"/>
    <x v="37"/>
    <n v="12"/>
    <n v="10"/>
    <n v="0"/>
    <n v="0"/>
    <n v="0"/>
    <n v="0"/>
    <n v="0"/>
    <n v="0"/>
    <n v="1"/>
    <n v="12"/>
    <n v="2024"/>
    <x v="2"/>
    <s v="淘特其他渠道"/>
    <x v="1"/>
    <x v="1"/>
  </r>
  <r>
    <x v="1"/>
    <x v="64"/>
    <x v="1"/>
    <x v="11"/>
    <x v="39"/>
    <n v="1"/>
    <n v="1"/>
    <n v="0"/>
    <n v="0"/>
    <n v="0"/>
    <n v="0"/>
    <n v="0"/>
    <n v="0"/>
    <n v="0"/>
    <n v="1"/>
    <n v="2024"/>
    <x v="2"/>
    <s v="淘特搜索"/>
    <x v="1"/>
    <x v="1"/>
  </r>
  <r>
    <x v="1"/>
    <x v="64"/>
    <x v="0"/>
    <x v="5"/>
    <x v="41"/>
    <n v="5851"/>
    <n v="4609"/>
    <n v="3"/>
    <n v="2"/>
    <n v="0"/>
    <n v="0"/>
    <n v="0"/>
    <n v="0"/>
    <n v="31"/>
    <n v="2348"/>
    <n v="2024"/>
    <x v="2"/>
    <s v="超级直播"/>
    <x v="1"/>
    <x v="1"/>
  </r>
  <r>
    <x v="1"/>
    <x v="64"/>
    <x v="0"/>
    <x v="5"/>
    <x v="20"/>
    <n v="5501"/>
    <n v="3657"/>
    <n v="2"/>
    <n v="0"/>
    <n v="0"/>
    <n v="0"/>
    <n v="0"/>
    <n v="0"/>
    <n v="6"/>
    <n v="194"/>
    <n v="2024"/>
    <x v="2"/>
    <s v="超级短视频"/>
    <x v="1"/>
    <x v="1"/>
  </r>
  <r>
    <x v="1"/>
    <x v="64"/>
    <x v="0"/>
    <x v="6"/>
    <x v="48"/>
    <n v="1149"/>
    <n v="959"/>
    <n v="0"/>
    <n v="0"/>
    <n v="0"/>
    <n v="0"/>
    <n v="0"/>
    <n v="0"/>
    <n v="1149"/>
    <n v="143"/>
    <n v="2024"/>
    <x v="2"/>
    <s v="Showmax"/>
    <x v="1"/>
    <x v="1"/>
  </r>
  <r>
    <x v="1"/>
    <x v="64"/>
    <x v="0"/>
    <x v="6"/>
    <x v="30"/>
    <n v="900"/>
    <n v="747"/>
    <n v="0"/>
    <n v="0"/>
    <n v="0"/>
    <n v="0"/>
    <n v="0"/>
    <n v="0"/>
    <n v="900"/>
    <n v="123"/>
    <n v="2024"/>
    <x v="2"/>
    <s v="品牌特秀"/>
    <x v="1"/>
    <x v="1"/>
  </r>
  <r>
    <x v="1"/>
    <x v="64"/>
    <x v="0"/>
    <x v="6"/>
    <x v="21"/>
    <n v="507"/>
    <n v="429"/>
    <n v="10"/>
    <n v="4"/>
    <n v="7445"/>
    <n v="3"/>
    <n v="7445"/>
    <n v="3"/>
    <n v="507"/>
    <n v="280"/>
    <n v="2024"/>
    <x v="2"/>
    <s v="品销宝-品牌专区"/>
    <x v="1"/>
    <x v="1"/>
  </r>
  <r>
    <x v="1"/>
    <x v="64"/>
    <x v="0"/>
    <x v="0"/>
    <x v="2"/>
    <n v="2269"/>
    <n v="1881"/>
    <n v="104"/>
    <n v="17"/>
    <n v="146471.4"/>
    <n v="35"/>
    <n v="101643.2"/>
    <n v="30"/>
    <n v="223"/>
    <n v="2240"/>
    <n v="2024"/>
    <x v="2"/>
    <s v="直通车"/>
    <x v="1"/>
    <x v="1"/>
  </r>
  <r>
    <x v="1"/>
    <x v="64"/>
    <x v="0"/>
    <x v="0"/>
    <x v="0"/>
    <n v="2915"/>
    <n v="1393"/>
    <n v="59"/>
    <n v="31"/>
    <n v="98260.3"/>
    <n v="22"/>
    <n v="64983.3"/>
    <n v="17"/>
    <n v="168"/>
    <n v="2913"/>
    <n v="2024"/>
    <x v="2"/>
    <s v="万相台"/>
    <x v="1"/>
    <x v="1"/>
  </r>
  <r>
    <x v="1"/>
    <x v="64"/>
    <x v="0"/>
    <x v="0"/>
    <x v="1"/>
    <n v="9399"/>
    <n v="4316"/>
    <n v="26"/>
    <n v="21"/>
    <n v="3350"/>
    <n v="1"/>
    <n v="3350"/>
    <n v="1"/>
    <n v="202"/>
    <n v="9396"/>
    <n v="2024"/>
    <x v="2"/>
    <s v="引力魔方"/>
    <x v="1"/>
    <x v="1"/>
  </r>
  <r>
    <x v="1"/>
    <x v="64"/>
    <x v="0"/>
    <x v="7"/>
    <x v="23"/>
    <n v="1"/>
    <n v="1"/>
    <n v="1"/>
    <n v="0"/>
    <n v="0"/>
    <n v="0"/>
    <n v="0"/>
    <n v="0"/>
    <n v="0"/>
    <n v="1"/>
    <n v="2024"/>
    <x v="2"/>
    <s v="流量宝"/>
    <x v="1"/>
    <x v="1"/>
  </r>
  <r>
    <x v="1"/>
    <x v="64"/>
    <x v="0"/>
    <x v="7"/>
    <x v="24"/>
    <n v="774"/>
    <n v="147"/>
    <n v="3"/>
    <n v="0"/>
    <n v="5445.19"/>
    <n v="1"/>
    <n v="5445.19"/>
    <n v="1"/>
    <n v="9"/>
    <n v="760"/>
    <n v="2024"/>
    <x v="2"/>
    <s v="淘宝客"/>
    <x v="1"/>
    <x v="1"/>
  </r>
  <r>
    <x v="1"/>
    <x v="65"/>
    <x v="1"/>
    <x v="3"/>
    <x v="11"/>
    <n v="143"/>
    <n v="73"/>
    <n v="13"/>
    <n v="5"/>
    <n v="5990"/>
    <n v="1"/>
    <n v="2995"/>
    <n v="1"/>
    <n v="39"/>
    <n v="133"/>
    <n v="2025"/>
    <x v="1"/>
    <s v="商品详情页头图推荐"/>
    <x v="2"/>
    <x v="1"/>
  </r>
  <r>
    <x v="1"/>
    <x v="65"/>
    <x v="1"/>
    <x v="3"/>
    <x v="12"/>
    <n v="32"/>
    <n v="17"/>
    <n v="0"/>
    <n v="0"/>
    <n v="0"/>
    <n v="0"/>
    <n v="0"/>
    <n v="0"/>
    <n v="30"/>
    <n v="8"/>
    <n v="2025"/>
    <x v="1"/>
    <s v="店铺超链"/>
    <x v="2"/>
    <x v="1"/>
  </r>
  <r>
    <x v="1"/>
    <x v="65"/>
    <x v="1"/>
    <x v="4"/>
    <x v="13"/>
    <n v="115"/>
    <n v="65"/>
    <n v="4"/>
    <n v="1"/>
    <n v="16862"/>
    <n v="4"/>
    <n v="9382"/>
    <n v="4"/>
    <n v="31"/>
    <n v="77"/>
    <n v="2025"/>
    <x v="1"/>
    <s v="其他猜你喜欢"/>
    <x v="2"/>
    <x v="1"/>
  </r>
  <r>
    <x v="1"/>
    <x v="65"/>
    <x v="1"/>
    <x v="4"/>
    <x v="15"/>
    <n v="9"/>
    <n v="8"/>
    <n v="0"/>
    <n v="0"/>
    <n v="0"/>
    <n v="0"/>
    <n v="0"/>
    <n v="0"/>
    <n v="0"/>
    <n v="2"/>
    <n v="2025"/>
    <x v="1"/>
    <s v="购中推荐"/>
    <x v="2"/>
    <x v="1"/>
  </r>
  <r>
    <x v="1"/>
    <x v="65"/>
    <x v="1"/>
    <x v="4"/>
    <x v="16"/>
    <n v="83"/>
    <n v="64"/>
    <n v="0"/>
    <n v="0"/>
    <n v="0"/>
    <n v="0"/>
    <n v="0"/>
    <n v="0"/>
    <n v="1"/>
    <n v="12"/>
    <n v="2025"/>
    <x v="1"/>
    <s v="购后推荐"/>
    <x v="2"/>
    <x v="1"/>
  </r>
  <r>
    <x v="1"/>
    <x v="65"/>
    <x v="1"/>
    <x v="4"/>
    <x v="17"/>
    <n v="759"/>
    <n v="491"/>
    <n v="13"/>
    <n v="2"/>
    <n v="3088"/>
    <n v="2"/>
    <n v="3088"/>
    <n v="2"/>
    <n v="45"/>
    <n v="759"/>
    <n v="2025"/>
    <x v="1"/>
    <s v="首页推荐-微详情"/>
    <x v="2"/>
    <x v="1"/>
  </r>
  <r>
    <x v="1"/>
    <x v="65"/>
    <x v="1"/>
    <x v="4"/>
    <x v="19"/>
    <n v="591"/>
    <n v="491"/>
    <n v="3"/>
    <n v="0"/>
    <n v="3250"/>
    <n v="1"/>
    <n v="0"/>
    <n v="0"/>
    <n v="4"/>
    <n v="21"/>
    <n v="2025"/>
    <x v="1"/>
    <s v="首页推荐-短视频"/>
    <x v="2"/>
    <x v="1"/>
  </r>
  <r>
    <x v="1"/>
    <x v="65"/>
    <x v="1"/>
    <x v="12"/>
    <x v="42"/>
    <n v="514"/>
    <n v="432"/>
    <n v="22"/>
    <n v="4"/>
    <n v="8785"/>
    <n v="2"/>
    <n v="1490"/>
    <n v="1"/>
    <n v="291"/>
    <n v="309"/>
    <n v="2025"/>
    <x v="1"/>
    <s v="手淘搜索-商品及其他"/>
    <x v="2"/>
    <x v="1"/>
  </r>
  <r>
    <x v="1"/>
    <x v="65"/>
    <x v="1"/>
    <x v="12"/>
    <x v="44"/>
    <n v="5"/>
    <n v="1"/>
    <n v="0"/>
    <n v="0"/>
    <n v="0"/>
    <n v="0"/>
    <n v="0"/>
    <n v="0"/>
    <n v="0"/>
    <n v="5"/>
    <n v="2025"/>
    <x v="1"/>
    <s v="手淘搜索-短视频"/>
    <x v="2"/>
    <x v="1"/>
  </r>
  <r>
    <x v="1"/>
    <x v="65"/>
    <x v="1"/>
    <x v="11"/>
    <x v="37"/>
    <n v="5"/>
    <n v="5"/>
    <n v="0"/>
    <n v="0"/>
    <n v="0"/>
    <n v="0"/>
    <n v="0"/>
    <n v="0"/>
    <n v="1"/>
    <n v="4"/>
    <n v="2025"/>
    <x v="1"/>
    <s v="淘特其他渠道"/>
    <x v="2"/>
    <x v="1"/>
  </r>
  <r>
    <x v="1"/>
    <x v="65"/>
    <x v="1"/>
    <x v="11"/>
    <x v="39"/>
    <n v="16"/>
    <n v="15"/>
    <n v="0"/>
    <n v="0"/>
    <n v="0"/>
    <n v="0"/>
    <n v="0"/>
    <n v="0"/>
    <n v="0"/>
    <n v="16"/>
    <n v="2025"/>
    <x v="1"/>
    <s v="淘特搜索"/>
    <x v="2"/>
    <x v="1"/>
  </r>
  <r>
    <x v="1"/>
    <x v="65"/>
    <x v="0"/>
    <x v="5"/>
    <x v="41"/>
    <n v="1"/>
    <n v="0"/>
    <n v="0"/>
    <n v="0"/>
    <n v="0"/>
    <n v="0"/>
    <n v="0"/>
    <n v="0"/>
    <n v="0"/>
    <n v="0"/>
    <n v="2025"/>
    <x v="1"/>
    <s v="超级直播"/>
    <x v="2"/>
    <x v="1"/>
  </r>
  <r>
    <x v="1"/>
    <x v="65"/>
    <x v="0"/>
    <x v="0"/>
    <x v="1"/>
    <n v="9711"/>
    <n v="6759"/>
    <n v="63"/>
    <n v="53"/>
    <n v="28453.63"/>
    <n v="8"/>
    <n v="24463.63"/>
    <n v="7"/>
    <n v="282"/>
    <n v="9711"/>
    <n v="2025"/>
    <x v="1"/>
    <s v="引力魔方"/>
    <x v="2"/>
    <x v="1"/>
  </r>
  <r>
    <x v="1"/>
    <x v="65"/>
    <x v="0"/>
    <x v="0"/>
    <x v="2"/>
    <n v="2292"/>
    <n v="2063"/>
    <n v="19"/>
    <n v="13"/>
    <n v="16290"/>
    <n v="4"/>
    <n v="1050"/>
    <n v="1"/>
    <n v="137"/>
    <n v="2272"/>
    <n v="2025"/>
    <x v="1"/>
    <s v="直通车"/>
    <x v="2"/>
    <x v="1"/>
  </r>
  <r>
    <x v="1"/>
    <x v="65"/>
    <x v="0"/>
    <x v="0"/>
    <x v="0"/>
    <n v="4539"/>
    <n v="3210"/>
    <n v="214"/>
    <n v="239"/>
    <n v="98545.02"/>
    <n v="25"/>
    <n v="74993.02"/>
    <n v="22"/>
    <n v="747"/>
    <n v="4258"/>
    <n v="2025"/>
    <x v="1"/>
    <s v="万相台"/>
    <x v="2"/>
    <x v="1"/>
  </r>
  <r>
    <x v="1"/>
    <x v="65"/>
    <x v="0"/>
    <x v="7"/>
    <x v="24"/>
    <n v="232"/>
    <n v="80"/>
    <n v="2"/>
    <n v="1"/>
    <n v="15360.12"/>
    <n v="4"/>
    <n v="15360.12"/>
    <n v="4"/>
    <n v="2"/>
    <n v="232"/>
    <n v="2025"/>
    <x v="1"/>
    <s v="淘宝客"/>
    <x v="2"/>
    <x v="1"/>
  </r>
  <r>
    <x v="1"/>
    <x v="66"/>
    <x v="1"/>
    <x v="8"/>
    <x v="25"/>
    <n v="35"/>
    <n v="14"/>
    <n v="4"/>
    <n v="0"/>
    <n v="5845"/>
    <n v="1"/>
    <n v="0"/>
    <n v="0"/>
    <n v="11"/>
    <n v="30"/>
    <n v="2025"/>
    <x v="1"/>
    <s v="主会场"/>
    <x v="2"/>
    <x v="1"/>
  </r>
  <r>
    <x v="1"/>
    <x v="66"/>
    <x v="1"/>
    <x v="3"/>
    <x v="11"/>
    <n v="175"/>
    <n v="88"/>
    <n v="11"/>
    <n v="10"/>
    <n v="10780"/>
    <n v="3"/>
    <n v="8385"/>
    <n v="3"/>
    <n v="45"/>
    <n v="164"/>
    <n v="2025"/>
    <x v="1"/>
    <s v="商品详情页头图推荐"/>
    <x v="2"/>
    <x v="1"/>
  </r>
  <r>
    <x v="1"/>
    <x v="66"/>
    <x v="1"/>
    <x v="3"/>
    <x v="12"/>
    <n v="56"/>
    <n v="32"/>
    <n v="1"/>
    <n v="0"/>
    <n v="0"/>
    <n v="0"/>
    <n v="0"/>
    <n v="0"/>
    <n v="51"/>
    <n v="20"/>
    <n v="2025"/>
    <x v="1"/>
    <s v="店铺超链"/>
    <x v="2"/>
    <x v="1"/>
  </r>
  <r>
    <x v="1"/>
    <x v="66"/>
    <x v="1"/>
    <x v="4"/>
    <x v="13"/>
    <n v="120"/>
    <n v="73"/>
    <n v="4"/>
    <n v="2"/>
    <n v="0"/>
    <n v="0"/>
    <n v="0"/>
    <n v="0"/>
    <n v="48"/>
    <n v="97"/>
    <n v="2025"/>
    <x v="1"/>
    <s v="其他猜你喜欢"/>
    <x v="2"/>
    <x v="1"/>
  </r>
  <r>
    <x v="1"/>
    <x v="66"/>
    <x v="1"/>
    <x v="4"/>
    <x v="15"/>
    <n v="5"/>
    <n v="3"/>
    <n v="0"/>
    <n v="0"/>
    <n v="0"/>
    <n v="0"/>
    <n v="0"/>
    <n v="0"/>
    <n v="0"/>
    <n v="3"/>
    <n v="2025"/>
    <x v="1"/>
    <s v="购中推荐"/>
    <x v="2"/>
    <x v="1"/>
  </r>
  <r>
    <x v="1"/>
    <x v="66"/>
    <x v="1"/>
    <x v="4"/>
    <x v="16"/>
    <n v="23"/>
    <n v="14"/>
    <n v="0"/>
    <n v="1"/>
    <n v="0"/>
    <n v="0"/>
    <n v="0"/>
    <n v="0"/>
    <n v="3"/>
    <n v="12"/>
    <n v="2025"/>
    <x v="1"/>
    <s v="购后推荐"/>
    <x v="2"/>
    <x v="1"/>
  </r>
  <r>
    <x v="1"/>
    <x v="66"/>
    <x v="1"/>
    <x v="4"/>
    <x v="17"/>
    <n v="640"/>
    <n v="368"/>
    <n v="19"/>
    <n v="9"/>
    <n v="13592"/>
    <n v="4"/>
    <n v="10597"/>
    <n v="4"/>
    <n v="49"/>
    <n v="640"/>
    <n v="2025"/>
    <x v="1"/>
    <s v="首页推荐-微详情"/>
    <x v="2"/>
    <x v="1"/>
  </r>
  <r>
    <x v="1"/>
    <x v="66"/>
    <x v="1"/>
    <x v="4"/>
    <x v="19"/>
    <n v="184"/>
    <n v="141"/>
    <n v="2"/>
    <n v="0"/>
    <n v="0"/>
    <n v="0"/>
    <n v="0"/>
    <n v="0"/>
    <n v="2"/>
    <n v="13"/>
    <n v="2025"/>
    <x v="1"/>
    <s v="首页推荐-短视频"/>
    <x v="2"/>
    <x v="1"/>
  </r>
  <r>
    <x v="1"/>
    <x v="66"/>
    <x v="1"/>
    <x v="12"/>
    <x v="42"/>
    <n v="493"/>
    <n v="389"/>
    <n v="15"/>
    <n v="13"/>
    <n v="35610"/>
    <n v="6"/>
    <n v="6230"/>
    <n v="3"/>
    <n v="270"/>
    <n v="295"/>
    <n v="2025"/>
    <x v="1"/>
    <s v="手淘搜索-商品及其他"/>
    <x v="2"/>
    <x v="1"/>
  </r>
  <r>
    <x v="1"/>
    <x v="66"/>
    <x v="1"/>
    <x v="12"/>
    <x v="44"/>
    <n v="2"/>
    <n v="1"/>
    <n v="0"/>
    <n v="0"/>
    <n v="0"/>
    <n v="0"/>
    <n v="0"/>
    <n v="0"/>
    <n v="0"/>
    <n v="2"/>
    <n v="2025"/>
    <x v="1"/>
    <s v="手淘搜索-短视频"/>
    <x v="2"/>
    <x v="1"/>
  </r>
  <r>
    <x v="1"/>
    <x v="66"/>
    <x v="1"/>
    <x v="11"/>
    <x v="37"/>
    <n v="5"/>
    <n v="5"/>
    <n v="0"/>
    <n v="0"/>
    <n v="0"/>
    <n v="0"/>
    <n v="0"/>
    <n v="0"/>
    <n v="1"/>
    <n v="5"/>
    <n v="2025"/>
    <x v="1"/>
    <s v="淘特其他渠道"/>
    <x v="2"/>
    <x v="1"/>
  </r>
  <r>
    <x v="1"/>
    <x v="66"/>
    <x v="1"/>
    <x v="11"/>
    <x v="39"/>
    <n v="28"/>
    <n v="27"/>
    <n v="0"/>
    <n v="0"/>
    <n v="0"/>
    <n v="0"/>
    <n v="0"/>
    <n v="0"/>
    <n v="0"/>
    <n v="28"/>
    <n v="2025"/>
    <x v="1"/>
    <s v="淘特搜索"/>
    <x v="2"/>
    <x v="1"/>
  </r>
  <r>
    <x v="1"/>
    <x v="66"/>
    <x v="0"/>
    <x v="5"/>
    <x v="20"/>
    <n v="1"/>
    <n v="1"/>
    <n v="0"/>
    <n v="0"/>
    <n v="0"/>
    <n v="0"/>
    <n v="0"/>
    <n v="0"/>
    <n v="0"/>
    <n v="1"/>
    <n v="2025"/>
    <x v="1"/>
    <s v="超级短视频"/>
    <x v="2"/>
    <x v="1"/>
  </r>
  <r>
    <x v="1"/>
    <x v="66"/>
    <x v="0"/>
    <x v="6"/>
    <x v="49"/>
    <n v="1"/>
    <n v="0"/>
    <n v="0"/>
    <n v="0"/>
    <n v="0"/>
    <n v="0"/>
    <n v="0"/>
    <n v="0"/>
    <n v="0"/>
    <n v="1"/>
    <n v="2025"/>
    <x v="1"/>
    <s v="超级全域通"/>
    <x v="2"/>
    <x v="1"/>
  </r>
  <r>
    <x v="1"/>
    <x v="66"/>
    <x v="0"/>
    <x v="0"/>
    <x v="1"/>
    <n v="9459"/>
    <n v="6246"/>
    <n v="66"/>
    <n v="44"/>
    <n v="13643"/>
    <n v="5"/>
    <n v="2980"/>
    <n v="1"/>
    <n v="333"/>
    <n v="9457"/>
    <n v="2025"/>
    <x v="1"/>
    <s v="引力魔方"/>
    <x v="2"/>
    <x v="1"/>
  </r>
  <r>
    <x v="1"/>
    <x v="66"/>
    <x v="0"/>
    <x v="0"/>
    <x v="2"/>
    <n v="3402"/>
    <n v="3092"/>
    <n v="43"/>
    <n v="22"/>
    <n v="35580"/>
    <n v="6"/>
    <n v="20685"/>
    <n v="3"/>
    <n v="208"/>
    <n v="3375"/>
    <n v="2025"/>
    <x v="1"/>
    <s v="直通车"/>
    <x v="2"/>
    <x v="1"/>
  </r>
  <r>
    <x v="1"/>
    <x v="66"/>
    <x v="0"/>
    <x v="0"/>
    <x v="0"/>
    <n v="4329"/>
    <n v="2941"/>
    <n v="179"/>
    <n v="216"/>
    <n v="74106"/>
    <n v="24"/>
    <n v="58771"/>
    <n v="22"/>
    <n v="773"/>
    <n v="4056"/>
    <n v="2025"/>
    <x v="1"/>
    <s v="万相台"/>
    <x v="2"/>
    <x v="1"/>
  </r>
  <r>
    <x v="1"/>
    <x v="66"/>
    <x v="0"/>
    <x v="7"/>
    <x v="24"/>
    <n v="222"/>
    <n v="71"/>
    <n v="4"/>
    <n v="0"/>
    <n v="5278"/>
    <n v="3"/>
    <n v="5278"/>
    <n v="3"/>
    <n v="2"/>
    <n v="222"/>
    <n v="2025"/>
    <x v="1"/>
    <s v="淘宝客"/>
    <x v="2"/>
    <x v="1"/>
  </r>
  <r>
    <x v="1"/>
    <x v="67"/>
    <x v="1"/>
    <x v="8"/>
    <x v="25"/>
    <n v="51"/>
    <n v="24"/>
    <n v="2"/>
    <n v="0"/>
    <n v="0"/>
    <n v="0"/>
    <n v="0"/>
    <n v="0"/>
    <n v="6"/>
    <n v="44"/>
    <n v="2025"/>
    <x v="1"/>
    <s v="主会场"/>
    <x v="2"/>
    <x v="1"/>
  </r>
  <r>
    <x v="1"/>
    <x v="67"/>
    <x v="1"/>
    <x v="3"/>
    <x v="11"/>
    <n v="214"/>
    <n v="104"/>
    <n v="20"/>
    <n v="8"/>
    <n v="10500"/>
    <n v="4"/>
    <n v="10500"/>
    <n v="4"/>
    <n v="41"/>
    <n v="209"/>
    <n v="2025"/>
    <x v="1"/>
    <s v="商品详情页头图推荐"/>
    <x v="2"/>
    <x v="1"/>
  </r>
  <r>
    <x v="1"/>
    <x v="67"/>
    <x v="1"/>
    <x v="3"/>
    <x v="12"/>
    <n v="28"/>
    <n v="16"/>
    <n v="3"/>
    <n v="0"/>
    <n v="0"/>
    <n v="0"/>
    <n v="0"/>
    <n v="0"/>
    <n v="25"/>
    <n v="9"/>
    <n v="2025"/>
    <x v="1"/>
    <s v="店铺超链"/>
    <x v="2"/>
    <x v="1"/>
  </r>
  <r>
    <x v="1"/>
    <x v="67"/>
    <x v="1"/>
    <x v="4"/>
    <x v="13"/>
    <n v="106"/>
    <n v="47"/>
    <n v="7"/>
    <n v="1"/>
    <n v="4912"/>
    <n v="2"/>
    <n v="4912"/>
    <n v="2"/>
    <n v="35"/>
    <n v="89"/>
    <n v="2025"/>
    <x v="1"/>
    <s v="其他猜你喜欢"/>
    <x v="2"/>
    <x v="1"/>
  </r>
  <r>
    <x v="1"/>
    <x v="67"/>
    <x v="1"/>
    <x v="4"/>
    <x v="15"/>
    <n v="2"/>
    <n v="2"/>
    <n v="0"/>
    <n v="0"/>
    <n v="0"/>
    <n v="0"/>
    <n v="0"/>
    <n v="0"/>
    <n v="0"/>
    <n v="1"/>
    <n v="2025"/>
    <x v="1"/>
    <s v="购中推荐"/>
    <x v="2"/>
    <x v="1"/>
  </r>
  <r>
    <x v="1"/>
    <x v="67"/>
    <x v="1"/>
    <x v="4"/>
    <x v="16"/>
    <n v="25"/>
    <n v="13"/>
    <n v="0"/>
    <n v="0"/>
    <n v="0"/>
    <n v="0"/>
    <n v="0"/>
    <n v="0"/>
    <n v="0"/>
    <n v="13"/>
    <n v="2025"/>
    <x v="1"/>
    <s v="购后推荐"/>
    <x v="2"/>
    <x v="1"/>
  </r>
  <r>
    <x v="1"/>
    <x v="67"/>
    <x v="1"/>
    <x v="4"/>
    <x v="17"/>
    <n v="576"/>
    <n v="265"/>
    <n v="14"/>
    <n v="4"/>
    <n v="1917"/>
    <n v="1"/>
    <n v="1917"/>
    <n v="1"/>
    <n v="49"/>
    <n v="576"/>
    <n v="2025"/>
    <x v="1"/>
    <s v="首页推荐-微详情"/>
    <x v="2"/>
    <x v="1"/>
  </r>
  <r>
    <x v="1"/>
    <x v="67"/>
    <x v="1"/>
    <x v="4"/>
    <x v="18"/>
    <n v="116"/>
    <n v="72"/>
    <n v="1"/>
    <n v="0"/>
    <n v="0"/>
    <n v="0"/>
    <n v="0"/>
    <n v="0"/>
    <n v="2"/>
    <n v="32"/>
    <n v="2025"/>
    <x v="1"/>
    <s v="首页推荐-直播"/>
    <x v="2"/>
    <x v="1"/>
  </r>
  <r>
    <x v="1"/>
    <x v="67"/>
    <x v="1"/>
    <x v="4"/>
    <x v="19"/>
    <n v="109"/>
    <n v="56"/>
    <n v="1"/>
    <n v="0"/>
    <n v="0"/>
    <n v="0"/>
    <n v="0"/>
    <n v="0"/>
    <n v="1"/>
    <n v="10"/>
    <n v="2025"/>
    <x v="1"/>
    <s v="首页推荐-短视频"/>
    <x v="2"/>
    <x v="1"/>
  </r>
  <r>
    <x v="1"/>
    <x v="67"/>
    <x v="1"/>
    <x v="12"/>
    <x v="42"/>
    <n v="591"/>
    <n v="495"/>
    <n v="23"/>
    <n v="3"/>
    <n v="3300"/>
    <n v="2"/>
    <n v="1050"/>
    <n v="1"/>
    <n v="291"/>
    <n v="359"/>
    <n v="2025"/>
    <x v="1"/>
    <s v="手淘搜索-商品及其他"/>
    <x v="2"/>
    <x v="1"/>
  </r>
  <r>
    <x v="1"/>
    <x v="67"/>
    <x v="1"/>
    <x v="12"/>
    <x v="43"/>
    <n v="10"/>
    <n v="8"/>
    <n v="0"/>
    <n v="0"/>
    <n v="0"/>
    <n v="0"/>
    <n v="0"/>
    <n v="0"/>
    <n v="2"/>
    <n v="7"/>
    <n v="2025"/>
    <x v="1"/>
    <s v="手淘搜索-直播"/>
    <x v="2"/>
    <x v="1"/>
  </r>
  <r>
    <x v="1"/>
    <x v="67"/>
    <x v="1"/>
    <x v="12"/>
    <x v="44"/>
    <n v="4"/>
    <n v="2"/>
    <n v="1"/>
    <n v="0"/>
    <n v="0"/>
    <n v="0"/>
    <n v="0"/>
    <n v="0"/>
    <n v="1"/>
    <n v="4"/>
    <n v="2025"/>
    <x v="1"/>
    <s v="手淘搜索-短视频"/>
    <x v="2"/>
    <x v="1"/>
  </r>
  <r>
    <x v="1"/>
    <x v="67"/>
    <x v="1"/>
    <x v="11"/>
    <x v="37"/>
    <n v="11"/>
    <n v="9"/>
    <n v="0"/>
    <n v="0"/>
    <n v="0"/>
    <n v="0"/>
    <n v="0"/>
    <n v="0"/>
    <n v="0"/>
    <n v="11"/>
    <n v="2025"/>
    <x v="1"/>
    <s v="淘特其他渠道"/>
    <x v="2"/>
    <x v="1"/>
  </r>
  <r>
    <x v="1"/>
    <x v="67"/>
    <x v="1"/>
    <x v="11"/>
    <x v="39"/>
    <n v="38"/>
    <n v="38"/>
    <n v="0"/>
    <n v="0"/>
    <n v="0"/>
    <n v="0"/>
    <n v="0"/>
    <n v="0"/>
    <n v="0"/>
    <n v="38"/>
    <n v="2025"/>
    <x v="1"/>
    <s v="淘特搜索"/>
    <x v="2"/>
    <x v="1"/>
  </r>
  <r>
    <x v="1"/>
    <x v="67"/>
    <x v="0"/>
    <x v="5"/>
    <x v="41"/>
    <n v="1270"/>
    <n v="1125"/>
    <n v="9"/>
    <n v="1"/>
    <n v="0"/>
    <n v="0"/>
    <n v="0"/>
    <n v="0"/>
    <n v="28"/>
    <n v="385"/>
    <n v="2025"/>
    <x v="1"/>
    <s v="超级直播"/>
    <x v="2"/>
    <x v="1"/>
  </r>
  <r>
    <x v="1"/>
    <x v="67"/>
    <x v="0"/>
    <x v="6"/>
    <x v="49"/>
    <n v="1"/>
    <n v="1"/>
    <n v="0"/>
    <n v="0"/>
    <n v="0"/>
    <n v="0"/>
    <n v="0"/>
    <n v="0"/>
    <n v="0"/>
    <n v="0"/>
    <n v="2025"/>
    <x v="1"/>
    <s v="超级全域通"/>
    <x v="2"/>
    <x v="1"/>
  </r>
  <r>
    <x v="1"/>
    <x v="67"/>
    <x v="0"/>
    <x v="0"/>
    <x v="1"/>
    <n v="9503"/>
    <n v="6241"/>
    <n v="68"/>
    <n v="40"/>
    <n v="1490"/>
    <n v="1"/>
    <n v="0"/>
    <n v="0"/>
    <n v="309"/>
    <n v="9502"/>
    <n v="2025"/>
    <x v="1"/>
    <s v="引力魔方"/>
    <x v="2"/>
    <x v="1"/>
  </r>
  <r>
    <x v="1"/>
    <x v="67"/>
    <x v="0"/>
    <x v="0"/>
    <x v="2"/>
    <n v="4163"/>
    <n v="3799"/>
    <n v="40"/>
    <n v="21"/>
    <n v="35807"/>
    <n v="13"/>
    <n v="7690"/>
    <n v="2"/>
    <n v="224"/>
    <n v="4127"/>
    <n v="2025"/>
    <x v="1"/>
    <s v="直通车"/>
    <x v="2"/>
    <x v="1"/>
  </r>
  <r>
    <x v="1"/>
    <x v="67"/>
    <x v="0"/>
    <x v="0"/>
    <x v="0"/>
    <n v="4352"/>
    <n v="2762"/>
    <n v="232"/>
    <n v="226"/>
    <n v="123739"/>
    <n v="36"/>
    <n v="48746"/>
    <n v="18"/>
    <n v="826"/>
    <n v="4077"/>
    <n v="2025"/>
    <x v="1"/>
    <s v="万相台"/>
    <x v="2"/>
    <x v="1"/>
  </r>
  <r>
    <x v="1"/>
    <x v="67"/>
    <x v="0"/>
    <x v="7"/>
    <x v="23"/>
    <n v="1"/>
    <n v="0"/>
    <n v="0"/>
    <n v="0"/>
    <n v="0"/>
    <n v="0"/>
    <n v="0"/>
    <n v="0"/>
    <n v="1"/>
    <n v="1"/>
    <n v="2025"/>
    <x v="1"/>
    <s v="流量宝"/>
    <x v="2"/>
    <x v="1"/>
  </r>
  <r>
    <x v="1"/>
    <x v="67"/>
    <x v="0"/>
    <x v="7"/>
    <x v="24"/>
    <n v="213"/>
    <n v="76"/>
    <n v="1"/>
    <n v="0"/>
    <n v="2515"/>
    <n v="1"/>
    <n v="0"/>
    <n v="0"/>
    <n v="2"/>
    <n v="207"/>
    <n v="2025"/>
    <x v="1"/>
    <s v="淘宝客"/>
    <x v="2"/>
    <x v="1"/>
  </r>
  <r>
    <x v="1"/>
    <x v="68"/>
    <x v="1"/>
    <x v="8"/>
    <x v="25"/>
    <n v="33"/>
    <n v="20"/>
    <n v="2"/>
    <n v="0"/>
    <n v="0"/>
    <n v="0"/>
    <n v="0"/>
    <n v="0"/>
    <n v="2"/>
    <n v="32"/>
    <n v="2025"/>
    <x v="1"/>
    <s v="主会场"/>
    <x v="2"/>
    <x v="1"/>
  </r>
  <r>
    <x v="1"/>
    <x v="68"/>
    <x v="1"/>
    <x v="3"/>
    <x v="11"/>
    <n v="243"/>
    <n v="119"/>
    <n v="20"/>
    <n v="5"/>
    <n v="5305"/>
    <n v="2"/>
    <n v="0"/>
    <n v="0"/>
    <n v="57"/>
    <n v="232"/>
    <n v="2025"/>
    <x v="1"/>
    <s v="商品详情页头图推荐"/>
    <x v="2"/>
    <x v="1"/>
  </r>
  <r>
    <x v="1"/>
    <x v="68"/>
    <x v="1"/>
    <x v="3"/>
    <x v="12"/>
    <n v="25"/>
    <n v="18"/>
    <n v="1"/>
    <n v="0"/>
    <n v="0"/>
    <n v="0"/>
    <n v="0"/>
    <n v="0"/>
    <n v="20"/>
    <n v="13"/>
    <n v="2025"/>
    <x v="1"/>
    <s v="店铺超链"/>
    <x v="2"/>
    <x v="1"/>
  </r>
  <r>
    <x v="1"/>
    <x v="68"/>
    <x v="1"/>
    <x v="4"/>
    <x v="13"/>
    <n v="116"/>
    <n v="64"/>
    <n v="4"/>
    <n v="0"/>
    <n v="2995"/>
    <n v="1"/>
    <n v="2995"/>
    <n v="1"/>
    <n v="19"/>
    <n v="101"/>
    <n v="2025"/>
    <x v="1"/>
    <s v="其他猜你喜欢"/>
    <x v="2"/>
    <x v="1"/>
  </r>
  <r>
    <x v="1"/>
    <x v="68"/>
    <x v="1"/>
    <x v="4"/>
    <x v="15"/>
    <n v="3"/>
    <n v="1"/>
    <n v="0"/>
    <n v="0"/>
    <n v="0"/>
    <n v="0"/>
    <n v="0"/>
    <n v="0"/>
    <n v="1"/>
    <n v="2"/>
    <n v="2025"/>
    <x v="1"/>
    <s v="购中推荐"/>
    <x v="2"/>
    <x v="1"/>
  </r>
  <r>
    <x v="1"/>
    <x v="68"/>
    <x v="1"/>
    <x v="4"/>
    <x v="16"/>
    <n v="38"/>
    <n v="24"/>
    <n v="0"/>
    <n v="0"/>
    <n v="0"/>
    <n v="0"/>
    <n v="0"/>
    <n v="0"/>
    <n v="2"/>
    <n v="11"/>
    <n v="2025"/>
    <x v="1"/>
    <s v="购后推荐"/>
    <x v="2"/>
    <x v="1"/>
  </r>
  <r>
    <x v="1"/>
    <x v="68"/>
    <x v="1"/>
    <x v="4"/>
    <x v="17"/>
    <n v="829"/>
    <n v="468"/>
    <n v="30"/>
    <n v="2"/>
    <n v="14864"/>
    <n v="6"/>
    <n v="8918"/>
    <n v="3"/>
    <n v="67"/>
    <n v="829"/>
    <n v="2025"/>
    <x v="1"/>
    <s v="首页推荐-微详情"/>
    <x v="2"/>
    <x v="1"/>
  </r>
  <r>
    <x v="1"/>
    <x v="68"/>
    <x v="1"/>
    <x v="4"/>
    <x v="18"/>
    <n v="99"/>
    <n v="60"/>
    <n v="0"/>
    <n v="0"/>
    <n v="0"/>
    <n v="0"/>
    <n v="0"/>
    <n v="0"/>
    <n v="3"/>
    <n v="28"/>
    <n v="2025"/>
    <x v="1"/>
    <s v="首页推荐-直播"/>
    <x v="2"/>
    <x v="1"/>
  </r>
  <r>
    <x v="1"/>
    <x v="68"/>
    <x v="1"/>
    <x v="4"/>
    <x v="19"/>
    <n v="173"/>
    <n v="127"/>
    <n v="0"/>
    <n v="0"/>
    <n v="0"/>
    <n v="0"/>
    <n v="0"/>
    <n v="0"/>
    <n v="0"/>
    <n v="13"/>
    <n v="2025"/>
    <x v="1"/>
    <s v="首页推荐-短视频"/>
    <x v="2"/>
    <x v="1"/>
  </r>
  <r>
    <x v="1"/>
    <x v="68"/>
    <x v="1"/>
    <x v="12"/>
    <x v="42"/>
    <n v="721"/>
    <n v="587"/>
    <n v="40"/>
    <n v="10"/>
    <n v="29112"/>
    <n v="11"/>
    <n v="23726"/>
    <n v="8"/>
    <n v="365"/>
    <n v="477"/>
    <n v="2025"/>
    <x v="1"/>
    <s v="手淘搜索-商品及其他"/>
    <x v="2"/>
    <x v="1"/>
  </r>
  <r>
    <x v="1"/>
    <x v="68"/>
    <x v="1"/>
    <x v="12"/>
    <x v="43"/>
    <n v="7"/>
    <n v="6"/>
    <n v="2"/>
    <n v="0"/>
    <n v="0"/>
    <n v="0"/>
    <n v="0"/>
    <n v="0"/>
    <n v="1"/>
    <n v="4"/>
    <n v="2025"/>
    <x v="1"/>
    <s v="手淘搜索-直播"/>
    <x v="2"/>
    <x v="1"/>
  </r>
  <r>
    <x v="1"/>
    <x v="68"/>
    <x v="1"/>
    <x v="12"/>
    <x v="44"/>
    <n v="11"/>
    <n v="7"/>
    <n v="0"/>
    <n v="0"/>
    <n v="0"/>
    <n v="0"/>
    <n v="0"/>
    <n v="0"/>
    <n v="0"/>
    <n v="11"/>
    <n v="2025"/>
    <x v="1"/>
    <s v="手淘搜索-短视频"/>
    <x v="2"/>
    <x v="1"/>
  </r>
  <r>
    <x v="1"/>
    <x v="68"/>
    <x v="1"/>
    <x v="11"/>
    <x v="37"/>
    <n v="5"/>
    <n v="4"/>
    <n v="0"/>
    <n v="0"/>
    <n v="0"/>
    <n v="0"/>
    <n v="0"/>
    <n v="0"/>
    <n v="0"/>
    <n v="5"/>
    <n v="2025"/>
    <x v="1"/>
    <s v="淘特其他渠道"/>
    <x v="2"/>
    <x v="1"/>
  </r>
  <r>
    <x v="1"/>
    <x v="68"/>
    <x v="1"/>
    <x v="11"/>
    <x v="39"/>
    <n v="38"/>
    <n v="37"/>
    <n v="0"/>
    <n v="1"/>
    <n v="0"/>
    <n v="0"/>
    <n v="0"/>
    <n v="0"/>
    <n v="0"/>
    <n v="38"/>
    <n v="2025"/>
    <x v="1"/>
    <s v="淘特搜索"/>
    <x v="2"/>
    <x v="1"/>
  </r>
  <r>
    <x v="1"/>
    <x v="68"/>
    <x v="0"/>
    <x v="5"/>
    <x v="41"/>
    <n v="1032"/>
    <n v="880"/>
    <n v="11"/>
    <n v="0"/>
    <n v="0"/>
    <n v="0"/>
    <n v="0"/>
    <n v="0"/>
    <n v="17"/>
    <n v="236"/>
    <n v="2025"/>
    <x v="1"/>
    <s v="超级直播"/>
    <x v="2"/>
    <x v="1"/>
  </r>
  <r>
    <x v="1"/>
    <x v="68"/>
    <x v="0"/>
    <x v="6"/>
    <x v="45"/>
    <n v="1"/>
    <n v="1"/>
    <n v="0"/>
    <n v="0"/>
    <n v="0"/>
    <n v="0"/>
    <n v="0"/>
    <n v="0"/>
    <n v="0"/>
    <n v="0"/>
    <n v="2025"/>
    <x v="1"/>
    <s v="品牌定制"/>
    <x v="2"/>
    <x v="1"/>
  </r>
  <r>
    <x v="1"/>
    <x v="68"/>
    <x v="0"/>
    <x v="6"/>
    <x v="21"/>
    <n v="2"/>
    <n v="2"/>
    <n v="0"/>
    <n v="0"/>
    <n v="0"/>
    <n v="0"/>
    <n v="0"/>
    <n v="0"/>
    <n v="2"/>
    <n v="0"/>
    <n v="2025"/>
    <x v="1"/>
    <s v="品销宝-品牌专区"/>
    <x v="2"/>
    <x v="1"/>
  </r>
  <r>
    <x v="1"/>
    <x v="68"/>
    <x v="0"/>
    <x v="6"/>
    <x v="49"/>
    <n v="1"/>
    <n v="1"/>
    <n v="0"/>
    <n v="0"/>
    <n v="0"/>
    <n v="0"/>
    <n v="0"/>
    <n v="0"/>
    <n v="0"/>
    <n v="1"/>
    <n v="2025"/>
    <x v="1"/>
    <s v="超级全域通"/>
    <x v="2"/>
    <x v="1"/>
  </r>
  <r>
    <x v="1"/>
    <x v="68"/>
    <x v="0"/>
    <x v="0"/>
    <x v="1"/>
    <n v="12725"/>
    <n v="8901"/>
    <n v="88"/>
    <n v="35"/>
    <n v="27922"/>
    <n v="10"/>
    <n v="16842"/>
    <n v="6"/>
    <n v="368"/>
    <n v="12722"/>
    <n v="2025"/>
    <x v="1"/>
    <s v="引力魔方"/>
    <x v="2"/>
    <x v="1"/>
  </r>
  <r>
    <x v="1"/>
    <x v="68"/>
    <x v="0"/>
    <x v="0"/>
    <x v="2"/>
    <n v="5270"/>
    <n v="4794"/>
    <n v="65"/>
    <n v="28"/>
    <n v="54758"/>
    <n v="14"/>
    <n v="22623"/>
    <n v="6"/>
    <n v="301"/>
    <n v="5221"/>
    <n v="2025"/>
    <x v="1"/>
    <s v="直通车"/>
    <x v="2"/>
    <x v="1"/>
  </r>
  <r>
    <x v="1"/>
    <x v="68"/>
    <x v="0"/>
    <x v="0"/>
    <x v="0"/>
    <n v="4942"/>
    <n v="3255"/>
    <n v="289"/>
    <n v="222"/>
    <n v="73948"/>
    <n v="27"/>
    <n v="31115"/>
    <n v="12"/>
    <n v="849"/>
    <n v="4676"/>
    <n v="2025"/>
    <x v="1"/>
    <s v="万相台"/>
    <x v="2"/>
    <x v="1"/>
  </r>
  <r>
    <x v="1"/>
    <x v="68"/>
    <x v="0"/>
    <x v="7"/>
    <x v="24"/>
    <n v="304"/>
    <n v="120"/>
    <n v="3"/>
    <n v="2"/>
    <n v="1490"/>
    <n v="1"/>
    <n v="0"/>
    <n v="0"/>
    <n v="4"/>
    <n v="295"/>
    <n v="2025"/>
    <x v="1"/>
    <s v="淘宝客"/>
    <x v="2"/>
    <x v="1"/>
  </r>
  <r>
    <x v="1"/>
    <x v="69"/>
    <x v="1"/>
    <x v="8"/>
    <x v="25"/>
    <n v="83"/>
    <n v="30"/>
    <n v="3"/>
    <n v="0"/>
    <n v="9330"/>
    <n v="3"/>
    <n v="4685"/>
    <n v="2"/>
    <n v="7"/>
    <n v="81"/>
    <n v="2025"/>
    <x v="1"/>
    <s v="主会场"/>
    <x v="2"/>
    <x v="1"/>
  </r>
  <r>
    <x v="1"/>
    <x v="69"/>
    <x v="1"/>
    <x v="3"/>
    <x v="11"/>
    <n v="241"/>
    <n v="119"/>
    <n v="21"/>
    <n v="5"/>
    <n v="18227.73"/>
    <n v="6"/>
    <n v="18227.73"/>
    <n v="6"/>
    <n v="51"/>
    <n v="229"/>
    <n v="2025"/>
    <x v="1"/>
    <s v="商品详情页头图推荐"/>
    <x v="2"/>
    <x v="1"/>
  </r>
  <r>
    <x v="1"/>
    <x v="69"/>
    <x v="1"/>
    <x v="3"/>
    <x v="12"/>
    <n v="45"/>
    <n v="17"/>
    <n v="2"/>
    <n v="0"/>
    <n v="5467"/>
    <n v="1"/>
    <n v="5467"/>
    <n v="1"/>
    <n v="42"/>
    <n v="16"/>
    <n v="2025"/>
    <x v="1"/>
    <s v="店铺超链"/>
    <x v="2"/>
    <x v="1"/>
  </r>
  <r>
    <x v="1"/>
    <x v="69"/>
    <x v="1"/>
    <x v="4"/>
    <x v="13"/>
    <n v="183"/>
    <n v="95"/>
    <n v="4"/>
    <n v="4"/>
    <n v="0"/>
    <n v="0"/>
    <n v="0"/>
    <n v="0"/>
    <n v="47"/>
    <n v="154"/>
    <n v="2025"/>
    <x v="1"/>
    <s v="其他猜你喜欢"/>
    <x v="2"/>
    <x v="1"/>
  </r>
  <r>
    <x v="1"/>
    <x v="69"/>
    <x v="1"/>
    <x v="4"/>
    <x v="15"/>
    <n v="6"/>
    <n v="3"/>
    <n v="0"/>
    <n v="0"/>
    <n v="0"/>
    <n v="0"/>
    <n v="0"/>
    <n v="0"/>
    <n v="0"/>
    <n v="5"/>
    <n v="2025"/>
    <x v="1"/>
    <s v="购中推荐"/>
    <x v="2"/>
    <x v="1"/>
  </r>
  <r>
    <x v="1"/>
    <x v="69"/>
    <x v="1"/>
    <x v="4"/>
    <x v="16"/>
    <n v="27"/>
    <n v="11"/>
    <n v="0"/>
    <n v="1"/>
    <n v="0"/>
    <n v="0"/>
    <n v="0"/>
    <n v="0"/>
    <n v="1"/>
    <n v="17"/>
    <n v="2025"/>
    <x v="1"/>
    <s v="购后推荐"/>
    <x v="2"/>
    <x v="1"/>
  </r>
  <r>
    <x v="1"/>
    <x v="69"/>
    <x v="1"/>
    <x v="4"/>
    <x v="17"/>
    <n v="839"/>
    <n v="416"/>
    <n v="24"/>
    <n v="8"/>
    <n v="36974.589999999997"/>
    <n v="7"/>
    <n v="30274.59"/>
    <n v="7"/>
    <n v="68"/>
    <n v="839"/>
    <n v="2025"/>
    <x v="1"/>
    <s v="首页推荐-微详情"/>
    <x v="2"/>
    <x v="1"/>
  </r>
  <r>
    <x v="1"/>
    <x v="69"/>
    <x v="1"/>
    <x v="4"/>
    <x v="18"/>
    <n v="126"/>
    <n v="67"/>
    <n v="1"/>
    <n v="0"/>
    <n v="0"/>
    <n v="0"/>
    <n v="0"/>
    <n v="0"/>
    <n v="5"/>
    <n v="42"/>
    <n v="2025"/>
    <x v="1"/>
    <s v="首页推荐-直播"/>
    <x v="2"/>
    <x v="1"/>
  </r>
  <r>
    <x v="1"/>
    <x v="69"/>
    <x v="1"/>
    <x v="4"/>
    <x v="19"/>
    <n v="153"/>
    <n v="117"/>
    <n v="0"/>
    <n v="0"/>
    <n v="0"/>
    <n v="0"/>
    <n v="0"/>
    <n v="0"/>
    <n v="0"/>
    <n v="6"/>
    <n v="2025"/>
    <x v="1"/>
    <s v="首页推荐-短视频"/>
    <x v="2"/>
    <x v="1"/>
  </r>
  <r>
    <x v="1"/>
    <x v="69"/>
    <x v="1"/>
    <x v="12"/>
    <x v="42"/>
    <n v="899"/>
    <n v="719"/>
    <n v="59"/>
    <n v="10"/>
    <n v="88843.33"/>
    <n v="21"/>
    <n v="77868.33"/>
    <n v="20"/>
    <n v="392"/>
    <n v="624"/>
    <n v="2025"/>
    <x v="1"/>
    <s v="手淘搜索-商品及其他"/>
    <x v="2"/>
    <x v="1"/>
  </r>
  <r>
    <x v="1"/>
    <x v="69"/>
    <x v="1"/>
    <x v="12"/>
    <x v="43"/>
    <n v="6"/>
    <n v="5"/>
    <n v="0"/>
    <n v="1"/>
    <n v="9340"/>
    <n v="1"/>
    <n v="9340"/>
    <n v="1"/>
    <n v="2"/>
    <n v="5"/>
    <n v="2025"/>
    <x v="1"/>
    <s v="手淘搜索-直播"/>
    <x v="2"/>
    <x v="1"/>
  </r>
  <r>
    <x v="1"/>
    <x v="69"/>
    <x v="1"/>
    <x v="12"/>
    <x v="44"/>
    <n v="1"/>
    <n v="0"/>
    <n v="0"/>
    <n v="0"/>
    <n v="0"/>
    <n v="0"/>
    <n v="0"/>
    <n v="0"/>
    <n v="0"/>
    <n v="1"/>
    <n v="2025"/>
    <x v="1"/>
    <s v="手淘搜索-短视频"/>
    <x v="2"/>
    <x v="1"/>
  </r>
  <r>
    <x v="1"/>
    <x v="69"/>
    <x v="1"/>
    <x v="11"/>
    <x v="37"/>
    <n v="3"/>
    <n v="3"/>
    <n v="0"/>
    <n v="0"/>
    <n v="0"/>
    <n v="0"/>
    <n v="0"/>
    <n v="0"/>
    <n v="0"/>
    <n v="3"/>
    <n v="2025"/>
    <x v="1"/>
    <s v="淘特其他渠道"/>
    <x v="2"/>
    <x v="1"/>
  </r>
  <r>
    <x v="1"/>
    <x v="69"/>
    <x v="1"/>
    <x v="11"/>
    <x v="38"/>
    <n v="1"/>
    <n v="1"/>
    <n v="0"/>
    <n v="0"/>
    <n v="0"/>
    <n v="0"/>
    <n v="0"/>
    <n v="0"/>
    <n v="0"/>
    <n v="1"/>
    <n v="2025"/>
    <x v="1"/>
    <s v="淘特推荐"/>
    <x v="2"/>
    <x v="1"/>
  </r>
  <r>
    <x v="1"/>
    <x v="69"/>
    <x v="1"/>
    <x v="11"/>
    <x v="39"/>
    <n v="41"/>
    <n v="38"/>
    <n v="0"/>
    <n v="0"/>
    <n v="0"/>
    <n v="0"/>
    <n v="0"/>
    <n v="0"/>
    <n v="0"/>
    <n v="41"/>
    <n v="2025"/>
    <x v="1"/>
    <s v="淘特搜索"/>
    <x v="2"/>
    <x v="1"/>
  </r>
  <r>
    <x v="1"/>
    <x v="69"/>
    <x v="0"/>
    <x v="5"/>
    <x v="41"/>
    <n v="1642"/>
    <n v="1427"/>
    <n v="90"/>
    <n v="0"/>
    <n v="0"/>
    <n v="0"/>
    <n v="0"/>
    <n v="0"/>
    <n v="20"/>
    <n v="480"/>
    <n v="2025"/>
    <x v="1"/>
    <s v="超级直播"/>
    <x v="2"/>
    <x v="1"/>
  </r>
  <r>
    <x v="1"/>
    <x v="69"/>
    <x v="0"/>
    <x v="5"/>
    <x v="20"/>
    <n v="1"/>
    <n v="1"/>
    <n v="0"/>
    <n v="0"/>
    <n v="0"/>
    <n v="0"/>
    <n v="0"/>
    <n v="0"/>
    <n v="0"/>
    <n v="1"/>
    <n v="2025"/>
    <x v="1"/>
    <s v="超级短视频"/>
    <x v="2"/>
    <x v="1"/>
  </r>
  <r>
    <x v="1"/>
    <x v="69"/>
    <x v="0"/>
    <x v="6"/>
    <x v="45"/>
    <n v="1"/>
    <n v="1"/>
    <n v="0"/>
    <n v="0"/>
    <n v="0"/>
    <n v="0"/>
    <n v="0"/>
    <n v="0"/>
    <n v="0"/>
    <n v="0"/>
    <n v="2025"/>
    <x v="1"/>
    <s v="品牌定制"/>
    <x v="2"/>
    <x v="1"/>
  </r>
  <r>
    <x v="1"/>
    <x v="69"/>
    <x v="0"/>
    <x v="6"/>
    <x v="49"/>
    <n v="1"/>
    <n v="0"/>
    <n v="0"/>
    <n v="0"/>
    <n v="0"/>
    <n v="0"/>
    <n v="0"/>
    <n v="0"/>
    <n v="0"/>
    <n v="1"/>
    <n v="2025"/>
    <x v="1"/>
    <s v="超级全域通"/>
    <x v="2"/>
    <x v="1"/>
  </r>
  <r>
    <x v="1"/>
    <x v="69"/>
    <x v="0"/>
    <x v="0"/>
    <x v="1"/>
    <n v="10561"/>
    <n v="7046"/>
    <n v="90"/>
    <n v="44"/>
    <n v="38809"/>
    <n v="14"/>
    <n v="31632"/>
    <n v="11"/>
    <n v="388"/>
    <n v="10561"/>
    <n v="2025"/>
    <x v="1"/>
    <s v="引力魔方"/>
    <x v="2"/>
    <x v="1"/>
  </r>
  <r>
    <x v="1"/>
    <x v="69"/>
    <x v="0"/>
    <x v="0"/>
    <x v="2"/>
    <n v="6744"/>
    <n v="6195"/>
    <n v="142"/>
    <n v="40"/>
    <n v="225879"/>
    <n v="34"/>
    <n v="113469"/>
    <n v="28"/>
    <n v="337"/>
    <n v="6686"/>
    <n v="2025"/>
    <x v="1"/>
    <s v="直通车"/>
    <x v="2"/>
    <x v="1"/>
  </r>
  <r>
    <x v="1"/>
    <x v="69"/>
    <x v="0"/>
    <x v="0"/>
    <x v="0"/>
    <n v="5648"/>
    <n v="3569"/>
    <n v="461"/>
    <n v="286"/>
    <n v="534075.89"/>
    <n v="119"/>
    <n v="388633.89"/>
    <n v="108"/>
    <n v="919"/>
    <n v="5394"/>
    <n v="2025"/>
    <x v="1"/>
    <s v="万相台"/>
    <x v="2"/>
    <x v="1"/>
  </r>
  <r>
    <x v="1"/>
    <x v="69"/>
    <x v="0"/>
    <x v="7"/>
    <x v="22"/>
    <n v="2"/>
    <n v="2"/>
    <n v="0"/>
    <n v="0"/>
    <n v="0"/>
    <n v="0"/>
    <n v="0"/>
    <n v="0"/>
    <n v="0"/>
    <n v="0"/>
    <n v="2025"/>
    <x v="1"/>
    <s v="UD效果投放"/>
    <x v="2"/>
    <x v="1"/>
  </r>
  <r>
    <x v="1"/>
    <x v="69"/>
    <x v="0"/>
    <x v="7"/>
    <x v="23"/>
    <n v="8"/>
    <n v="4"/>
    <n v="0"/>
    <n v="0"/>
    <n v="0"/>
    <n v="0"/>
    <n v="0"/>
    <n v="0"/>
    <n v="1"/>
    <n v="7"/>
    <n v="2025"/>
    <x v="1"/>
    <s v="流量宝"/>
    <x v="2"/>
    <x v="1"/>
  </r>
  <r>
    <x v="1"/>
    <x v="69"/>
    <x v="0"/>
    <x v="7"/>
    <x v="24"/>
    <n v="325"/>
    <n v="122"/>
    <n v="9"/>
    <n v="3"/>
    <n v="40079"/>
    <n v="7"/>
    <n v="36594"/>
    <n v="7"/>
    <n v="3"/>
    <n v="312"/>
    <n v="2025"/>
    <x v="1"/>
    <s v="淘宝客"/>
    <x v="2"/>
    <x v="1"/>
  </r>
  <r>
    <x v="1"/>
    <x v="70"/>
    <x v="1"/>
    <x v="8"/>
    <x v="25"/>
    <n v="133"/>
    <n v="57"/>
    <n v="4"/>
    <n v="3"/>
    <n v="1490"/>
    <n v="1"/>
    <n v="0"/>
    <n v="0"/>
    <n v="16"/>
    <n v="131"/>
    <n v="2025"/>
    <x v="1"/>
    <s v="主会场"/>
    <x v="2"/>
    <x v="1"/>
  </r>
  <r>
    <x v="1"/>
    <x v="70"/>
    <x v="1"/>
    <x v="3"/>
    <x v="11"/>
    <n v="202"/>
    <n v="88"/>
    <n v="20"/>
    <n v="3"/>
    <n v="7410"/>
    <n v="4"/>
    <n v="7410"/>
    <n v="4"/>
    <n v="39"/>
    <n v="196"/>
    <n v="2025"/>
    <x v="1"/>
    <s v="商品详情页头图推荐"/>
    <x v="2"/>
    <x v="1"/>
  </r>
  <r>
    <x v="1"/>
    <x v="70"/>
    <x v="1"/>
    <x v="3"/>
    <x v="12"/>
    <n v="46"/>
    <n v="23"/>
    <n v="4"/>
    <n v="1"/>
    <n v="5775"/>
    <n v="3"/>
    <n v="5775"/>
    <n v="3"/>
    <n v="44"/>
    <n v="17"/>
    <n v="2025"/>
    <x v="1"/>
    <s v="店铺超链"/>
    <x v="2"/>
    <x v="1"/>
  </r>
  <r>
    <x v="1"/>
    <x v="70"/>
    <x v="1"/>
    <x v="4"/>
    <x v="13"/>
    <n v="208"/>
    <n v="100"/>
    <n v="10"/>
    <n v="4"/>
    <n v="2250"/>
    <n v="1"/>
    <n v="2250"/>
    <n v="1"/>
    <n v="34"/>
    <n v="191"/>
    <n v="2025"/>
    <x v="1"/>
    <s v="其他猜你喜欢"/>
    <x v="2"/>
    <x v="1"/>
  </r>
  <r>
    <x v="1"/>
    <x v="70"/>
    <x v="1"/>
    <x v="4"/>
    <x v="16"/>
    <n v="37"/>
    <n v="17"/>
    <n v="1"/>
    <n v="0"/>
    <n v="3597"/>
    <n v="2"/>
    <n v="3597"/>
    <n v="2"/>
    <n v="1"/>
    <n v="22"/>
    <n v="2025"/>
    <x v="1"/>
    <s v="购后推荐"/>
    <x v="2"/>
    <x v="1"/>
  </r>
  <r>
    <x v="1"/>
    <x v="70"/>
    <x v="1"/>
    <x v="4"/>
    <x v="17"/>
    <n v="1530"/>
    <n v="953"/>
    <n v="36"/>
    <n v="10"/>
    <n v="15743"/>
    <n v="7"/>
    <n v="15743"/>
    <n v="7"/>
    <n v="128"/>
    <n v="1530"/>
    <n v="2025"/>
    <x v="1"/>
    <s v="首页推荐-微详情"/>
    <x v="2"/>
    <x v="1"/>
  </r>
  <r>
    <x v="1"/>
    <x v="70"/>
    <x v="1"/>
    <x v="4"/>
    <x v="19"/>
    <n v="1695"/>
    <n v="1611"/>
    <n v="1"/>
    <n v="0"/>
    <n v="0"/>
    <n v="0"/>
    <n v="0"/>
    <n v="0"/>
    <n v="5"/>
    <n v="18"/>
    <n v="2025"/>
    <x v="1"/>
    <s v="首页推荐-短视频"/>
    <x v="2"/>
    <x v="1"/>
  </r>
  <r>
    <x v="1"/>
    <x v="70"/>
    <x v="1"/>
    <x v="12"/>
    <x v="42"/>
    <n v="909"/>
    <n v="711"/>
    <n v="50"/>
    <n v="10"/>
    <n v="41383"/>
    <n v="12"/>
    <n v="29703"/>
    <n v="11"/>
    <n v="412"/>
    <n v="663"/>
    <n v="2025"/>
    <x v="1"/>
    <s v="手淘搜索-商品及其他"/>
    <x v="2"/>
    <x v="1"/>
  </r>
  <r>
    <x v="1"/>
    <x v="70"/>
    <x v="1"/>
    <x v="12"/>
    <x v="44"/>
    <n v="4"/>
    <n v="2"/>
    <n v="0"/>
    <n v="0"/>
    <n v="0"/>
    <n v="0"/>
    <n v="0"/>
    <n v="0"/>
    <n v="0"/>
    <n v="4"/>
    <n v="2025"/>
    <x v="1"/>
    <s v="手淘搜索-短视频"/>
    <x v="2"/>
    <x v="1"/>
  </r>
  <r>
    <x v="1"/>
    <x v="70"/>
    <x v="1"/>
    <x v="11"/>
    <x v="37"/>
    <n v="16"/>
    <n v="14"/>
    <n v="0"/>
    <n v="0"/>
    <n v="0"/>
    <n v="0"/>
    <n v="0"/>
    <n v="0"/>
    <n v="0"/>
    <n v="16"/>
    <n v="2025"/>
    <x v="1"/>
    <s v="淘特其他渠道"/>
    <x v="2"/>
    <x v="1"/>
  </r>
  <r>
    <x v="1"/>
    <x v="70"/>
    <x v="1"/>
    <x v="11"/>
    <x v="39"/>
    <n v="61"/>
    <n v="57"/>
    <n v="0"/>
    <n v="0"/>
    <n v="0"/>
    <n v="0"/>
    <n v="0"/>
    <n v="0"/>
    <n v="0"/>
    <n v="61"/>
    <n v="2025"/>
    <x v="1"/>
    <s v="淘特搜索"/>
    <x v="2"/>
    <x v="1"/>
  </r>
  <r>
    <x v="1"/>
    <x v="70"/>
    <x v="0"/>
    <x v="5"/>
    <x v="41"/>
    <n v="6"/>
    <n v="3"/>
    <n v="0"/>
    <n v="0"/>
    <n v="0"/>
    <n v="0"/>
    <n v="0"/>
    <n v="0"/>
    <n v="1"/>
    <n v="1"/>
    <n v="2025"/>
    <x v="1"/>
    <s v="超级直播"/>
    <x v="2"/>
    <x v="1"/>
  </r>
  <r>
    <x v="1"/>
    <x v="70"/>
    <x v="0"/>
    <x v="5"/>
    <x v="20"/>
    <n v="1"/>
    <n v="0"/>
    <n v="0"/>
    <n v="0"/>
    <n v="0"/>
    <n v="0"/>
    <n v="0"/>
    <n v="0"/>
    <n v="0"/>
    <n v="1"/>
    <n v="2025"/>
    <x v="1"/>
    <s v="超级短视频"/>
    <x v="2"/>
    <x v="1"/>
  </r>
  <r>
    <x v="1"/>
    <x v="70"/>
    <x v="0"/>
    <x v="6"/>
    <x v="49"/>
    <n v="1"/>
    <n v="0"/>
    <n v="0"/>
    <n v="0"/>
    <n v="0"/>
    <n v="0"/>
    <n v="0"/>
    <n v="0"/>
    <n v="1"/>
    <n v="1"/>
    <n v="2025"/>
    <x v="1"/>
    <s v="超级全域通"/>
    <x v="2"/>
    <x v="1"/>
  </r>
  <r>
    <x v="1"/>
    <x v="70"/>
    <x v="0"/>
    <x v="0"/>
    <x v="1"/>
    <n v="12434"/>
    <n v="8129"/>
    <n v="106"/>
    <n v="48"/>
    <n v="62738"/>
    <n v="19"/>
    <n v="49385"/>
    <n v="15"/>
    <n v="341"/>
    <n v="12434"/>
    <n v="2025"/>
    <x v="1"/>
    <s v="引力魔方"/>
    <x v="2"/>
    <x v="1"/>
  </r>
  <r>
    <x v="1"/>
    <x v="70"/>
    <x v="0"/>
    <x v="0"/>
    <x v="2"/>
    <n v="8053"/>
    <n v="7375"/>
    <n v="143"/>
    <n v="38"/>
    <n v="202933"/>
    <n v="40"/>
    <n v="114618"/>
    <n v="28"/>
    <n v="403"/>
    <n v="7996"/>
    <n v="2025"/>
    <x v="1"/>
    <s v="直通车"/>
    <x v="2"/>
    <x v="1"/>
  </r>
  <r>
    <x v="1"/>
    <x v="70"/>
    <x v="0"/>
    <x v="0"/>
    <x v="0"/>
    <n v="6306"/>
    <n v="4003"/>
    <n v="262"/>
    <n v="265"/>
    <n v="188742"/>
    <n v="50"/>
    <n v="136472"/>
    <n v="42"/>
    <n v="852"/>
    <n v="6045"/>
    <n v="2025"/>
    <x v="1"/>
    <s v="万相台"/>
    <x v="2"/>
    <x v="1"/>
  </r>
  <r>
    <x v="1"/>
    <x v="70"/>
    <x v="0"/>
    <x v="7"/>
    <x v="23"/>
    <n v="6"/>
    <n v="3"/>
    <n v="0"/>
    <n v="0"/>
    <n v="0"/>
    <n v="0"/>
    <n v="0"/>
    <n v="0"/>
    <n v="1"/>
    <n v="6"/>
    <n v="2025"/>
    <x v="1"/>
    <s v="流量宝"/>
    <x v="2"/>
    <x v="1"/>
  </r>
  <r>
    <x v="1"/>
    <x v="70"/>
    <x v="0"/>
    <x v="7"/>
    <x v="24"/>
    <n v="380"/>
    <n v="159"/>
    <n v="4"/>
    <n v="0"/>
    <n v="37540"/>
    <n v="3"/>
    <n v="37540"/>
    <n v="3"/>
    <n v="2"/>
    <n v="379"/>
    <n v="2025"/>
    <x v="1"/>
    <s v="淘宝客"/>
    <x v="2"/>
    <x v="1"/>
  </r>
  <r>
    <x v="1"/>
    <x v="71"/>
    <x v="1"/>
    <x v="8"/>
    <x v="25"/>
    <n v="129"/>
    <n v="58"/>
    <n v="7"/>
    <n v="3"/>
    <n v="0"/>
    <n v="0"/>
    <n v="0"/>
    <n v="0"/>
    <n v="10"/>
    <n v="127"/>
    <n v="2025"/>
    <x v="1"/>
    <s v="主会场"/>
    <x v="2"/>
    <x v="1"/>
  </r>
  <r>
    <x v="1"/>
    <x v="71"/>
    <x v="1"/>
    <x v="3"/>
    <x v="11"/>
    <n v="262"/>
    <n v="131"/>
    <n v="13"/>
    <n v="11"/>
    <n v="8400"/>
    <n v="2"/>
    <n v="6910"/>
    <n v="1"/>
    <n v="61"/>
    <n v="256"/>
    <n v="2025"/>
    <x v="1"/>
    <s v="商品详情页头图推荐"/>
    <x v="2"/>
    <x v="1"/>
  </r>
  <r>
    <x v="1"/>
    <x v="71"/>
    <x v="1"/>
    <x v="3"/>
    <x v="12"/>
    <n v="48"/>
    <n v="27"/>
    <n v="1"/>
    <n v="0"/>
    <n v="0"/>
    <n v="0"/>
    <n v="0"/>
    <n v="0"/>
    <n v="44"/>
    <n v="22"/>
    <n v="2025"/>
    <x v="1"/>
    <s v="店铺超链"/>
    <x v="2"/>
    <x v="1"/>
  </r>
  <r>
    <x v="1"/>
    <x v="71"/>
    <x v="1"/>
    <x v="4"/>
    <x v="13"/>
    <n v="285"/>
    <n v="169"/>
    <n v="7"/>
    <n v="7"/>
    <n v="4648.59"/>
    <n v="2"/>
    <n v="4648.59"/>
    <n v="2"/>
    <n v="53"/>
    <n v="256"/>
    <n v="2025"/>
    <x v="1"/>
    <s v="其他猜你喜欢"/>
    <x v="2"/>
    <x v="1"/>
  </r>
  <r>
    <x v="1"/>
    <x v="71"/>
    <x v="1"/>
    <x v="4"/>
    <x v="15"/>
    <n v="14"/>
    <n v="10"/>
    <n v="0"/>
    <n v="0"/>
    <n v="0"/>
    <n v="0"/>
    <n v="0"/>
    <n v="0"/>
    <n v="0"/>
    <n v="8"/>
    <n v="2025"/>
    <x v="1"/>
    <s v="购中推荐"/>
    <x v="2"/>
    <x v="1"/>
  </r>
  <r>
    <x v="1"/>
    <x v="71"/>
    <x v="1"/>
    <x v="4"/>
    <x v="16"/>
    <n v="58"/>
    <n v="30"/>
    <n v="2"/>
    <n v="1"/>
    <n v="0"/>
    <n v="0"/>
    <n v="0"/>
    <n v="0"/>
    <n v="1"/>
    <n v="26"/>
    <n v="2025"/>
    <x v="1"/>
    <s v="购后推荐"/>
    <x v="2"/>
    <x v="1"/>
  </r>
  <r>
    <x v="1"/>
    <x v="71"/>
    <x v="1"/>
    <x v="4"/>
    <x v="17"/>
    <n v="5140"/>
    <n v="3700"/>
    <n v="83"/>
    <n v="44"/>
    <n v="30914.57"/>
    <n v="9"/>
    <n v="29234.57"/>
    <n v="8"/>
    <n v="377"/>
    <n v="5140"/>
    <n v="2025"/>
    <x v="1"/>
    <s v="首页推荐-微详情"/>
    <x v="2"/>
    <x v="1"/>
  </r>
  <r>
    <x v="1"/>
    <x v="71"/>
    <x v="1"/>
    <x v="4"/>
    <x v="19"/>
    <n v="322"/>
    <n v="221"/>
    <n v="0"/>
    <n v="0"/>
    <n v="4120"/>
    <n v="1"/>
    <n v="4120"/>
    <n v="1"/>
    <n v="3"/>
    <n v="29"/>
    <n v="2025"/>
    <x v="1"/>
    <s v="首页推荐-短视频"/>
    <x v="2"/>
    <x v="1"/>
  </r>
  <r>
    <x v="1"/>
    <x v="71"/>
    <x v="1"/>
    <x v="12"/>
    <x v="42"/>
    <n v="968"/>
    <n v="741"/>
    <n v="43"/>
    <n v="11"/>
    <n v="38338"/>
    <n v="15"/>
    <n v="29598"/>
    <n v="13"/>
    <n v="435"/>
    <n v="729"/>
    <n v="2025"/>
    <x v="1"/>
    <s v="手淘搜索-商品及其他"/>
    <x v="2"/>
    <x v="1"/>
  </r>
  <r>
    <x v="1"/>
    <x v="71"/>
    <x v="1"/>
    <x v="12"/>
    <x v="44"/>
    <n v="17"/>
    <n v="12"/>
    <n v="0"/>
    <n v="0"/>
    <n v="0"/>
    <n v="0"/>
    <n v="0"/>
    <n v="0"/>
    <n v="1"/>
    <n v="16"/>
    <n v="2025"/>
    <x v="1"/>
    <s v="手淘搜索-短视频"/>
    <x v="2"/>
    <x v="1"/>
  </r>
  <r>
    <x v="1"/>
    <x v="71"/>
    <x v="1"/>
    <x v="11"/>
    <x v="37"/>
    <n v="21"/>
    <n v="16"/>
    <n v="0"/>
    <n v="0"/>
    <n v="0"/>
    <n v="0"/>
    <n v="0"/>
    <n v="0"/>
    <n v="1"/>
    <n v="20"/>
    <n v="2025"/>
    <x v="1"/>
    <s v="淘特其他渠道"/>
    <x v="2"/>
    <x v="1"/>
  </r>
  <r>
    <x v="1"/>
    <x v="71"/>
    <x v="1"/>
    <x v="11"/>
    <x v="39"/>
    <n v="51"/>
    <n v="50"/>
    <n v="0"/>
    <n v="0"/>
    <n v="0"/>
    <n v="0"/>
    <n v="0"/>
    <n v="0"/>
    <n v="0"/>
    <n v="51"/>
    <n v="2025"/>
    <x v="1"/>
    <s v="淘特搜索"/>
    <x v="2"/>
    <x v="1"/>
  </r>
  <r>
    <x v="1"/>
    <x v="71"/>
    <x v="1"/>
    <x v="11"/>
    <x v="40"/>
    <n v="1"/>
    <n v="0"/>
    <n v="0"/>
    <n v="0"/>
    <n v="0"/>
    <n v="0"/>
    <n v="0"/>
    <n v="0"/>
    <n v="0"/>
    <n v="1"/>
    <n v="2025"/>
    <x v="1"/>
    <s v="淘特自主访问"/>
    <x v="2"/>
    <x v="1"/>
  </r>
  <r>
    <x v="1"/>
    <x v="71"/>
    <x v="0"/>
    <x v="5"/>
    <x v="41"/>
    <n v="2"/>
    <n v="0"/>
    <n v="0"/>
    <n v="0"/>
    <n v="0"/>
    <n v="0"/>
    <n v="0"/>
    <n v="0"/>
    <n v="0"/>
    <n v="2"/>
    <n v="2025"/>
    <x v="1"/>
    <s v="超级直播"/>
    <x v="2"/>
    <x v="1"/>
  </r>
  <r>
    <x v="1"/>
    <x v="71"/>
    <x v="0"/>
    <x v="5"/>
    <x v="20"/>
    <n v="1"/>
    <n v="1"/>
    <n v="0"/>
    <n v="0"/>
    <n v="0"/>
    <n v="0"/>
    <n v="0"/>
    <n v="0"/>
    <n v="0"/>
    <n v="1"/>
    <n v="2025"/>
    <x v="1"/>
    <s v="超级短视频"/>
    <x v="2"/>
    <x v="1"/>
  </r>
  <r>
    <x v="1"/>
    <x v="71"/>
    <x v="0"/>
    <x v="6"/>
    <x v="45"/>
    <n v="1"/>
    <n v="1"/>
    <n v="0"/>
    <n v="0"/>
    <n v="0"/>
    <n v="0"/>
    <n v="0"/>
    <n v="0"/>
    <n v="1"/>
    <n v="1"/>
    <n v="2025"/>
    <x v="1"/>
    <s v="品牌定制"/>
    <x v="2"/>
    <x v="1"/>
  </r>
  <r>
    <x v="1"/>
    <x v="71"/>
    <x v="0"/>
    <x v="6"/>
    <x v="49"/>
    <n v="2"/>
    <n v="2"/>
    <n v="0"/>
    <n v="0"/>
    <n v="0"/>
    <n v="0"/>
    <n v="0"/>
    <n v="0"/>
    <n v="0"/>
    <n v="2"/>
    <n v="2025"/>
    <x v="1"/>
    <s v="超级全域通"/>
    <x v="2"/>
    <x v="1"/>
  </r>
  <r>
    <x v="1"/>
    <x v="71"/>
    <x v="0"/>
    <x v="0"/>
    <x v="1"/>
    <n v="12167"/>
    <n v="8414"/>
    <n v="61"/>
    <n v="27"/>
    <n v="25460"/>
    <n v="8"/>
    <n v="4970"/>
    <n v="3"/>
    <n v="224"/>
    <n v="12166"/>
    <n v="2025"/>
    <x v="1"/>
    <s v="引力魔方"/>
    <x v="2"/>
    <x v="1"/>
  </r>
  <r>
    <x v="1"/>
    <x v="71"/>
    <x v="0"/>
    <x v="0"/>
    <x v="2"/>
    <n v="7562"/>
    <n v="6904"/>
    <n v="78"/>
    <n v="39"/>
    <n v="108265"/>
    <n v="25"/>
    <n v="61559"/>
    <n v="17"/>
    <n v="370"/>
    <n v="7500"/>
    <n v="2025"/>
    <x v="1"/>
    <s v="直通车"/>
    <x v="2"/>
    <x v="1"/>
  </r>
  <r>
    <x v="1"/>
    <x v="71"/>
    <x v="0"/>
    <x v="0"/>
    <x v="0"/>
    <n v="5747"/>
    <n v="3356"/>
    <n v="234"/>
    <n v="230"/>
    <n v="133815"/>
    <n v="41"/>
    <n v="102585"/>
    <n v="33"/>
    <n v="789"/>
    <n v="5525"/>
    <n v="2025"/>
    <x v="1"/>
    <s v="万相台"/>
    <x v="2"/>
    <x v="1"/>
  </r>
  <r>
    <x v="1"/>
    <x v="71"/>
    <x v="0"/>
    <x v="7"/>
    <x v="23"/>
    <n v="5"/>
    <n v="4"/>
    <n v="1"/>
    <n v="0"/>
    <n v="0"/>
    <n v="0"/>
    <n v="0"/>
    <n v="0"/>
    <n v="0"/>
    <n v="5"/>
    <n v="2025"/>
    <x v="1"/>
    <s v="流量宝"/>
    <x v="2"/>
    <x v="1"/>
  </r>
  <r>
    <x v="1"/>
    <x v="71"/>
    <x v="0"/>
    <x v="7"/>
    <x v="24"/>
    <n v="408"/>
    <n v="167"/>
    <n v="5"/>
    <n v="1"/>
    <n v="4642"/>
    <n v="3"/>
    <n v="4642"/>
    <n v="3"/>
    <n v="2"/>
    <n v="407"/>
    <n v="2025"/>
    <x v="1"/>
    <s v="淘宝客"/>
    <x v="2"/>
    <x v="1"/>
  </r>
  <r>
    <x v="1"/>
    <x v="72"/>
    <x v="1"/>
    <x v="8"/>
    <x v="25"/>
    <n v="138"/>
    <n v="57"/>
    <n v="6"/>
    <n v="4"/>
    <n v="0"/>
    <n v="0"/>
    <n v="0"/>
    <n v="0"/>
    <n v="18"/>
    <n v="136"/>
    <n v="2025"/>
    <x v="1"/>
    <s v="主会场"/>
    <x v="2"/>
    <x v="1"/>
  </r>
  <r>
    <x v="1"/>
    <x v="72"/>
    <x v="1"/>
    <x v="3"/>
    <x v="11"/>
    <n v="256"/>
    <n v="122"/>
    <n v="18"/>
    <n v="7"/>
    <n v="10950"/>
    <n v="4"/>
    <n v="6960"/>
    <n v="3"/>
    <n v="56"/>
    <n v="249"/>
    <n v="2025"/>
    <x v="1"/>
    <s v="商品详情页头图推荐"/>
    <x v="2"/>
    <x v="1"/>
  </r>
  <r>
    <x v="1"/>
    <x v="72"/>
    <x v="1"/>
    <x v="3"/>
    <x v="12"/>
    <n v="27"/>
    <n v="15"/>
    <n v="1"/>
    <n v="0"/>
    <n v="0"/>
    <n v="0"/>
    <n v="0"/>
    <n v="0"/>
    <n v="25"/>
    <n v="7"/>
    <n v="2025"/>
    <x v="1"/>
    <s v="店铺超链"/>
    <x v="2"/>
    <x v="1"/>
  </r>
  <r>
    <x v="1"/>
    <x v="72"/>
    <x v="1"/>
    <x v="4"/>
    <x v="13"/>
    <n v="229"/>
    <n v="129"/>
    <n v="7"/>
    <n v="3"/>
    <n v="16218"/>
    <n v="4"/>
    <n v="13703"/>
    <n v="4"/>
    <n v="44"/>
    <n v="194"/>
    <n v="2025"/>
    <x v="1"/>
    <s v="其他猜你喜欢"/>
    <x v="2"/>
    <x v="1"/>
  </r>
  <r>
    <x v="1"/>
    <x v="72"/>
    <x v="1"/>
    <x v="4"/>
    <x v="15"/>
    <n v="10"/>
    <n v="3"/>
    <n v="1"/>
    <n v="0"/>
    <n v="0"/>
    <n v="0"/>
    <n v="0"/>
    <n v="0"/>
    <n v="1"/>
    <n v="9"/>
    <n v="2025"/>
    <x v="1"/>
    <s v="购中推荐"/>
    <x v="2"/>
    <x v="1"/>
  </r>
  <r>
    <x v="1"/>
    <x v="72"/>
    <x v="1"/>
    <x v="4"/>
    <x v="16"/>
    <n v="96"/>
    <n v="62"/>
    <n v="0"/>
    <n v="0"/>
    <n v="0"/>
    <n v="0"/>
    <n v="0"/>
    <n v="0"/>
    <n v="1"/>
    <n v="38"/>
    <n v="2025"/>
    <x v="1"/>
    <s v="购后推荐"/>
    <x v="2"/>
    <x v="1"/>
  </r>
  <r>
    <x v="1"/>
    <x v="72"/>
    <x v="1"/>
    <x v="4"/>
    <x v="17"/>
    <n v="3272"/>
    <n v="2291"/>
    <n v="75"/>
    <n v="35"/>
    <n v="34407"/>
    <n v="7"/>
    <n v="9937"/>
    <n v="3"/>
    <n v="231"/>
    <n v="3272"/>
    <n v="2025"/>
    <x v="1"/>
    <s v="首页推荐-微详情"/>
    <x v="2"/>
    <x v="1"/>
  </r>
  <r>
    <x v="1"/>
    <x v="72"/>
    <x v="1"/>
    <x v="4"/>
    <x v="19"/>
    <n v="486"/>
    <n v="374"/>
    <n v="0"/>
    <n v="0"/>
    <n v="0"/>
    <n v="0"/>
    <n v="0"/>
    <n v="0"/>
    <n v="5"/>
    <n v="33"/>
    <n v="2025"/>
    <x v="1"/>
    <s v="首页推荐-短视频"/>
    <x v="2"/>
    <x v="1"/>
  </r>
  <r>
    <x v="1"/>
    <x v="72"/>
    <x v="1"/>
    <x v="12"/>
    <x v="42"/>
    <n v="857"/>
    <n v="652"/>
    <n v="45"/>
    <n v="10"/>
    <n v="50082"/>
    <n v="14"/>
    <n v="38415"/>
    <n v="11"/>
    <n v="361"/>
    <n v="656"/>
    <n v="2025"/>
    <x v="1"/>
    <s v="手淘搜索-商品及其他"/>
    <x v="2"/>
    <x v="1"/>
  </r>
  <r>
    <x v="1"/>
    <x v="72"/>
    <x v="1"/>
    <x v="12"/>
    <x v="44"/>
    <n v="10"/>
    <n v="6"/>
    <n v="1"/>
    <n v="0"/>
    <n v="0"/>
    <n v="0"/>
    <n v="0"/>
    <n v="0"/>
    <n v="0"/>
    <n v="9"/>
    <n v="2025"/>
    <x v="1"/>
    <s v="手淘搜索-短视频"/>
    <x v="2"/>
    <x v="1"/>
  </r>
  <r>
    <x v="1"/>
    <x v="72"/>
    <x v="1"/>
    <x v="11"/>
    <x v="37"/>
    <n v="11"/>
    <n v="11"/>
    <n v="0"/>
    <n v="1"/>
    <n v="0"/>
    <n v="0"/>
    <n v="0"/>
    <n v="0"/>
    <n v="1"/>
    <n v="11"/>
    <n v="2025"/>
    <x v="1"/>
    <s v="淘特其他渠道"/>
    <x v="2"/>
    <x v="1"/>
  </r>
  <r>
    <x v="1"/>
    <x v="72"/>
    <x v="1"/>
    <x v="11"/>
    <x v="39"/>
    <n v="38"/>
    <n v="37"/>
    <n v="0"/>
    <n v="0"/>
    <n v="0"/>
    <n v="0"/>
    <n v="0"/>
    <n v="0"/>
    <n v="0"/>
    <n v="38"/>
    <n v="2025"/>
    <x v="1"/>
    <s v="淘特搜索"/>
    <x v="2"/>
    <x v="1"/>
  </r>
  <r>
    <x v="1"/>
    <x v="72"/>
    <x v="0"/>
    <x v="6"/>
    <x v="49"/>
    <n v="1"/>
    <n v="0"/>
    <n v="0"/>
    <n v="0"/>
    <n v="0"/>
    <n v="0"/>
    <n v="0"/>
    <n v="0"/>
    <n v="0"/>
    <n v="1"/>
    <n v="2025"/>
    <x v="1"/>
    <s v="超级全域通"/>
    <x v="2"/>
    <x v="1"/>
  </r>
  <r>
    <x v="1"/>
    <x v="72"/>
    <x v="0"/>
    <x v="0"/>
    <x v="1"/>
    <n v="10834"/>
    <n v="6638"/>
    <n v="73"/>
    <n v="42"/>
    <n v="29183.49"/>
    <n v="11"/>
    <n v="24198.49"/>
    <n v="9"/>
    <n v="310"/>
    <n v="10834"/>
    <n v="2025"/>
    <x v="1"/>
    <s v="引力魔方"/>
    <x v="2"/>
    <x v="1"/>
  </r>
  <r>
    <x v="1"/>
    <x v="72"/>
    <x v="0"/>
    <x v="0"/>
    <x v="2"/>
    <n v="6827"/>
    <n v="6170"/>
    <n v="62"/>
    <n v="21"/>
    <n v="112723"/>
    <n v="25"/>
    <n v="43001"/>
    <n v="11"/>
    <n v="349"/>
    <n v="6772"/>
    <n v="2025"/>
    <x v="1"/>
    <s v="直通车"/>
    <x v="2"/>
    <x v="1"/>
  </r>
  <r>
    <x v="1"/>
    <x v="72"/>
    <x v="0"/>
    <x v="0"/>
    <x v="0"/>
    <n v="5852"/>
    <n v="3333"/>
    <n v="184"/>
    <n v="228"/>
    <n v="96309.77"/>
    <n v="29"/>
    <n v="79124.77"/>
    <n v="26"/>
    <n v="744"/>
    <n v="5626"/>
    <n v="2025"/>
    <x v="1"/>
    <s v="万相台"/>
    <x v="2"/>
    <x v="1"/>
  </r>
  <r>
    <x v="1"/>
    <x v="72"/>
    <x v="0"/>
    <x v="7"/>
    <x v="23"/>
    <n v="4"/>
    <n v="2"/>
    <n v="0"/>
    <n v="0"/>
    <n v="0"/>
    <n v="0"/>
    <n v="0"/>
    <n v="0"/>
    <n v="0"/>
    <n v="4"/>
    <n v="2025"/>
    <x v="1"/>
    <s v="流量宝"/>
    <x v="2"/>
    <x v="1"/>
  </r>
  <r>
    <x v="1"/>
    <x v="72"/>
    <x v="0"/>
    <x v="7"/>
    <x v="24"/>
    <n v="607"/>
    <n v="357"/>
    <n v="192"/>
    <n v="9"/>
    <n v="106677"/>
    <n v="24"/>
    <n v="43190"/>
    <n v="12"/>
    <n v="4"/>
    <n v="607"/>
    <n v="2025"/>
    <x v="1"/>
    <s v="淘宝客"/>
    <x v="2"/>
    <x v="1"/>
  </r>
  <r>
    <x v="1"/>
    <x v="73"/>
    <x v="1"/>
    <x v="8"/>
    <x v="25"/>
    <n v="104"/>
    <n v="40"/>
    <n v="5"/>
    <n v="2"/>
    <n v="6648"/>
    <n v="3"/>
    <n v="5050"/>
    <n v="2"/>
    <n v="18"/>
    <n v="101"/>
    <n v="2025"/>
    <x v="1"/>
    <s v="主会场"/>
    <x v="2"/>
    <x v="1"/>
  </r>
  <r>
    <x v="1"/>
    <x v="73"/>
    <x v="1"/>
    <x v="3"/>
    <x v="11"/>
    <n v="247"/>
    <n v="128"/>
    <n v="15"/>
    <n v="3"/>
    <n v="9110"/>
    <n v="5"/>
    <n v="5930"/>
    <n v="3"/>
    <n v="53"/>
    <n v="240"/>
    <n v="2025"/>
    <x v="1"/>
    <s v="商品详情页头图推荐"/>
    <x v="2"/>
    <x v="1"/>
  </r>
  <r>
    <x v="1"/>
    <x v="73"/>
    <x v="1"/>
    <x v="3"/>
    <x v="12"/>
    <n v="31"/>
    <n v="18"/>
    <n v="5"/>
    <n v="0"/>
    <n v="5092"/>
    <n v="2"/>
    <n v="5092"/>
    <n v="2"/>
    <n v="30"/>
    <n v="15"/>
    <n v="2025"/>
    <x v="1"/>
    <s v="店铺超链"/>
    <x v="2"/>
    <x v="1"/>
  </r>
  <r>
    <x v="1"/>
    <x v="73"/>
    <x v="1"/>
    <x v="4"/>
    <x v="13"/>
    <n v="244"/>
    <n v="130"/>
    <n v="16"/>
    <n v="5"/>
    <n v="9147"/>
    <n v="4"/>
    <n v="9147"/>
    <n v="4"/>
    <n v="51"/>
    <n v="211"/>
    <n v="2025"/>
    <x v="1"/>
    <s v="其他猜你喜欢"/>
    <x v="2"/>
    <x v="1"/>
  </r>
  <r>
    <x v="1"/>
    <x v="73"/>
    <x v="1"/>
    <x v="4"/>
    <x v="15"/>
    <n v="5"/>
    <n v="2"/>
    <n v="0"/>
    <n v="0"/>
    <n v="0"/>
    <n v="0"/>
    <n v="0"/>
    <n v="0"/>
    <n v="0"/>
    <n v="4"/>
    <n v="2025"/>
    <x v="1"/>
    <s v="购中推荐"/>
    <x v="2"/>
    <x v="1"/>
  </r>
  <r>
    <x v="1"/>
    <x v="73"/>
    <x v="1"/>
    <x v="4"/>
    <x v="16"/>
    <n v="52"/>
    <n v="33"/>
    <n v="0"/>
    <n v="0"/>
    <n v="0"/>
    <n v="0"/>
    <n v="0"/>
    <n v="0"/>
    <n v="0"/>
    <n v="44"/>
    <n v="2025"/>
    <x v="1"/>
    <s v="购后推荐"/>
    <x v="2"/>
    <x v="1"/>
  </r>
  <r>
    <x v="1"/>
    <x v="73"/>
    <x v="1"/>
    <x v="4"/>
    <x v="17"/>
    <n v="3720"/>
    <n v="2570"/>
    <n v="67"/>
    <n v="32"/>
    <n v="42435"/>
    <n v="11"/>
    <n v="37575"/>
    <n v="9"/>
    <n v="246"/>
    <n v="3720"/>
    <n v="2025"/>
    <x v="1"/>
    <s v="首页推荐-微详情"/>
    <x v="2"/>
    <x v="1"/>
  </r>
  <r>
    <x v="1"/>
    <x v="73"/>
    <x v="1"/>
    <x v="4"/>
    <x v="18"/>
    <n v="622"/>
    <n v="565"/>
    <n v="1"/>
    <n v="1"/>
    <n v="0"/>
    <n v="0"/>
    <n v="0"/>
    <n v="0"/>
    <n v="4"/>
    <n v="48"/>
    <n v="2025"/>
    <x v="1"/>
    <s v="首页推荐-直播"/>
    <x v="2"/>
    <x v="1"/>
  </r>
  <r>
    <x v="1"/>
    <x v="73"/>
    <x v="1"/>
    <x v="4"/>
    <x v="19"/>
    <n v="260"/>
    <n v="187"/>
    <n v="1"/>
    <n v="0"/>
    <n v="0"/>
    <n v="0"/>
    <n v="0"/>
    <n v="0"/>
    <n v="2"/>
    <n v="21"/>
    <n v="2025"/>
    <x v="1"/>
    <s v="首页推荐-短视频"/>
    <x v="2"/>
    <x v="1"/>
  </r>
  <r>
    <x v="1"/>
    <x v="73"/>
    <x v="1"/>
    <x v="12"/>
    <x v="42"/>
    <n v="913"/>
    <n v="686"/>
    <n v="59"/>
    <n v="11"/>
    <n v="51885"/>
    <n v="15"/>
    <n v="33903"/>
    <n v="12"/>
    <n v="406"/>
    <n v="661"/>
    <n v="2025"/>
    <x v="1"/>
    <s v="手淘搜索-商品及其他"/>
    <x v="2"/>
    <x v="1"/>
  </r>
  <r>
    <x v="1"/>
    <x v="73"/>
    <x v="1"/>
    <x v="12"/>
    <x v="43"/>
    <n v="9"/>
    <n v="6"/>
    <n v="0"/>
    <n v="0"/>
    <n v="0"/>
    <n v="0"/>
    <n v="0"/>
    <n v="0"/>
    <n v="0"/>
    <n v="3"/>
    <n v="2025"/>
    <x v="1"/>
    <s v="手淘搜索-直播"/>
    <x v="2"/>
    <x v="1"/>
  </r>
  <r>
    <x v="1"/>
    <x v="73"/>
    <x v="1"/>
    <x v="12"/>
    <x v="44"/>
    <n v="12"/>
    <n v="8"/>
    <n v="0"/>
    <n v="0"/>
    <n v="0"/>
    <n v="0"/>
    <n v="0"/>
    <n v="0"/>
    <n v="1"/>
    <n v="12"/>
    <n v="2025"/>
    <x v="1"/>
    <s v="手淘搜索-短视频"/>
    <x v="2"/>
    <x v="1"/>
  </r>
  <r>
    <x v="1"/>
    <x v="73"/>
    <x v="1"/>
    <x v="11"/>
    <x v="37"/>
    <n v="12"/>
    <n v="10"/>
    <n v="1"/>
    <n v="1"/>
    <n v="0"/>
    <n v="0"/>
    <n v="0"/>
    <n v="0"/>
    <n v="0"/>
    <n v="12"/>
    <n v="2025"/>
    <x v="1"/>
    <s v="淘特其他渠道"/>
    <x v="2"/>
    <x v="1"/>
  </r>
  <r>
    <x v="1"/>
    <x v="73"/>
    <x v="1"/>
    <x v="11"/>
    <x v="39"/>
    <n v="42"/>
    <n v="41"/>
    <n v="1"/>
    <n v="1"/>
    <n v="0"/>
    <n v="0"/>
    <n v="0"/>
    <n v="0"/>
    <n v="0"/>
    <n v="42"/>
    <n v="2025"/>
    <x v="1"/>
    <s v="淘特搜索"/>
    <x v="2"/>
    <x v="1"/>
  </r>
  <r>
    <x v="1"/>
    <x v="73"/>
    <x v="0"/>
    <x v="5"/>
    <x v="41"/>
    <n v="1084"/>
    <n v="986"/>
    <n v="15"/>
    <n v="0"/>
    <n v="0"/>
    <n v="0"/>
    <n v="0"/>
    <n v="0"/>
    <n v="16"/>
    <n v="221"/>
    <n v="2025"/>
    <x v="1"/>
    <s v="超级直播"/>
    <x v="2"/>
    <x v="1"/>
  </r>
  <r>
    <x v="1"/>
    <x v="73"/>
    <x v="0"/>
    <x v="5"/>
    <x v="20"/>
    <n v="3"/>
    <n v="3"/>
    <n v="0"/>
    <n v="0"/>
    <n v="0"/>
    <n v="0"/>
    <n v="0"/>
    <n v="0"/>
    <n v="0"/>
    <n v="3"/>
    <n v="2025"/>
    <x v="1"/>
    <s v="超级短视频"/>
    <x v="2"/>
    <x v="1"/>
  </r>
  <r>
    <x v="1"/>
    <x v="73"/>
    <x v="0"/>
    <x v="6"/>
    <x v="21"/>
    <n v="1"/>
    <n v="0"/>
    <n v="0"/>
    <n v="0"/>
    <n v="0"/>
    <n v="0"/>
    <n v="0"/>
    <n v="0"/>
    <n v="1"/>
    <n v="0"/>
    <n v="2025"/>
    <x v="1"/>
    <s v="品销宝-品牌专区"/>
    <x v="2"/>
    <x v="1"/>
  </r>
  <r>
    <x v="1"/>
    <x v="73"/>
    <x v="0"/>
    <x v="0"/>
    <x v="1"/>
    <n v="11097"/>
    <n v="6687"/>
    <n v="85"/>
    <n v="43"/>
    <n v="48389"/>
    <n v="16"/>
    <n v="26089"/>
    <n v="10"/>
    <n v="311"/>
    <n v="11097"/>
    <n v="2025"/>
    <x v="1"/>
    <s v="引力魔方"/>
    <x v="2"/>
    <x v="1"/>
  </r>
  <r>
    <x v="1"/>
    <x v="73"/>
    <x v="0"/>
    <x v="0"/>
    <x v="2"/>
    <n v="5748"/>
    <n v="5132"/>
    <n v="67"/>
    <n v="25"/>
    <n v="79469"/>
    <n v="20"/>
    <n v="45394"/>
    <n v="13"/>
    <n v="280"/>
    <n v="5700"/>
    <n v="2025"/>
    <x v="1"/>
    <s v="直通车"/>
    <x v="2"/>
    <x v="1"/>
  </r>
  <r>
    <x v="1"/>
    <x v="73"/>
    <x v="0"/>
    <x v="0"/>
    <x v="0"/>
    <n v="4511"/>
    <n v="2520"/>
    <n v="183"/>
    <n v="182"/>
    <n v="158068"/>
    <n v="40"/>
    <n v="118630"/>
    <n v="32"/>
    <n v="766"/>
    <n v="4275"/>
    <n v="2025"/>
    <x v="1"/>
    <s v="万相台"/>
    <x v="2"/>
    <x v="1"/>
  </r>
  <r>
    <x v="1"/>
    <x v="73"/>
    <x v="0"/>
    <x v="7"/>
    <x v="23"/>
    <n v="6"/>
    <n v="5"/>
    <n v="0"/>
    <n v="0"/>
    <n v="0"/>
    <n v="0"/>
    <n v="0"/>
    <n v="0"/>
    <n v="0"/>
    <n v="6"/>
    <n v="2025"/>
    <x v="1"/>
    <s v="流量宝"/>
    <x v="2"/>
    <x v="1"/>
  </r>
  <r>
    <x v="1"/>
    <x v="73"/>
    <x v="0"/>
    <x v="7"/>
    <x v="24"/>
    <n v="458"/>
    <n v="192"/>
    <n v="68"/>
    <n v="6"/>
    <n v="38474"/>
    <n v="14"/>
    <n v="30089"/>
    <n v="11"/>
    <n v="8"/>
    <n v="450"/>
    <n v="2025"/>
    <x v="1"/>
    <s v="淘宝客"/>
    <x v="2"/>
    <x v="1"/>
  </r>
  <r>
    <x v="1"/>
    <x v="74"/>
    <x v="1"/>
    <x v="8"/>
    <x v="25"/>
    <n v="117"/>
    <n v="49"/>
    <n v="8"/>
    <n v="1"/>
    <n v="1598"/>
    <n v="1"/>
    <n v="1598"/>
    <n v="1"/>
    <n v="13"/>
    <n v="114"/>
    <n v="2025"/>
    <x v="1"/>
    <s v="主会场"/>
    <x v="2"/>
    <x v="1"/>
  </r>
  <r>
    <x v="1"/>
    <x v="74"/>
    <x v="1"/>
    <x v="3"/>
    <x v="11"/>
    <n v="272"/>
    <n v="132"/>
    <n v="17"/>
    <n v="5"/>
    <n v="6115"/>
    <n v="3"/>
    <n v="6115"/>
    <n v="3"/>
    <n v="53"/>
    <n v="268"/>
    <n v="2025"/>
    <x v="1"/>
    <s v="商品详情页头图推荐"/>
    <x v="2"/>
    <x v="1"/>
  </r>
  <r>
    <x v="1"/>
    <x v="74"/>
    <x v="1"/>
    <x v="3"/>
    <x v="12"/>
    <n v="23"/>
    <n v="11"/>
    <n v="0"/>
    <n v="0"/>
    <n v="1490"/>
    <n v="1"/>
    <n v="1490"/>
    <n v="1"/>
    <n v="18"/>
    <n v="10"/>
    <n v="2025"/>
    <x v="1"/>
    <s v="店铺超链"/>
    <x v="2"/>
    <x v="1"/>
  </r>
  <r>
    <x v="1"/>
    <x v="74"/>
    <x v="1"/>
    <x v="4"/>
    <x v="13"/>
    <n v="269"/>
    <n v="153"/>
    <n v="10"/>
    <n v="5"/>
    <n v="23135.47"/>
    <n v="9"/>
    <n v="18895.47"/>
    <n v="8"/>
    <n v="39"/>
    <n v="242"/>
    <n v="2025"/>
    <x v="1"/>
    <s v="其他猜你喜欢"/>
    <x v="2"/>
    <x v="1"/>
  </r>
  <r>
    <x v="1"/>
    <x v="74"/>
    <x v="1"/>
    <x v="4"/>
    <x v="15"/>
    <n v="11"/>
    <n v="7"/>
    <n v="0"/>
    <n v="0"/>
    <n v="0"/>
    <n v="0"/>
    <n v="0"/>
    <n v="0"/>
    <n v="0"/>
    <n v="8"/>
    <n v="2025"/>
    <x v="1"/>
    <s v="购中推荐"/>
    <x v="2"/>
    <x v="1"/>
  </r>
  <r>
    <x v="1"/>
    <x v="74"/>
    <x v="1"/>
    <x v="4"/>
    <x v="16"/>
    <n v="90"/>
    <n v="58"/>
    <n v="1"/>
    <n v="2"/>
    <n v="2750"/>
    <n v="1"/>
    <n v="2750"/>
    <n v="1"/>
    <n v="3"/>
    <n v="53"/>
    <n v="2025"/>
    <x v="1"/>
    <s v="购后推荐"/>
    <x v="2"/>
    <x v="1"/>
  </r>
  <r>
    <x v="1"/>
    <x v="74"/>
    <x v="1"/>
    <x v="4"/>
    <x v="17"/>
    <n v="4465"/>
    <n v="3228"/>
    <n v="72"/>
    <n v="28"/>
    <n v="29381"/>
    <n v="12"/>
    <n v="20603"/>
    <n v="9"/>
    <n v="266"/>
    <n v="4465"/>
    <n v="2025"/>
    <x v="1"/>
    <s v="首页推荐-微详情"/>
    <x v="2"/>
    <x v="1"/>
  </r>
  <r>
    <x v="1"/>
    <x v="74"/>
    <x v="1"/>
    <x v="4"/>
    <x v="18"/>
    <n v="1086"/>
    <n v="994"/>
    <n v="2"/>
    <n v="1"/>
    <n v="0"/>
    <n v="0"/>
    <n v="0"/>
    <n v="0"/>
    <n v="4"/>
    <n v="33"/>
    <n v="2025"/>
    <x v="1"/>
    <s v="首页推荐-直播"/>
    <x v="2"/>
    <x v="1"/>
  </r>
  <r>
    <x v="1"/>
    <x v="74"/>
    <x v="1"/>
    <x v="4"/>
    <x v="19"/>
    <n v="311"/>
    <n v="225"/>
    <n v="1"/>
    <n v="0"/>
    <n v="16390"/>
    <n v="1"/>
    <n v="10430"/>
    <n v="1"/>
    <n v="4"/>
    <n v="36"/>
    <n v="2025"/>
    <x v="1"/>
    <s v="首页推荐-短视频"/>
    <x v="2"/>
    <x v="1"/>
  </r>
  <r>
    <x v="1"/>
    <x v="74"/>
    <x v="1"/>
    <x v="12"/>
    <x v="42"/>
    <n v="870"/>
    <n v="665"/>
    <n v="59"/>
    <n v="9"/>
    <n v="37416"/>
    <n v="13"/>
    <n v="34821"/>
    <n v="12"/>
    <n v="398"/>
    <n v="634"/>
    <n v="2025"/>
    <x v="1"/>
    <s v="手淘搜索-商品及其他"/>
    <x v="2"/>
    <x v="1"/>
  </r>
  <r>
    <x v="1"/>
    <x v="74"/>
    <x v="1"/>
    <x v="12"/>
    <x v="43"/>
    <n v="7"/>
    <n v="5"/>
    <n v="1"/>
    <n v="0"/>
    <n v="0"/>
    <n v="0"/>
    <n v="0"/>
    <n v="0"/>
    <n v="0"/>
    <n v="4"/>
    <n v="2025"/>
    <x v="1"/>
    <s v="手淘搜索-直播"/>
    <x v="2"/>
    <x v="1"/>
  </r>
  <r>
    <x v="1"/>
    <x v="74"/>
    <x v="1"/>
    <x v="12"/>
    <x v="44"/>
    <n v="24"/>
    <n v="14"/>
    <n v="1"/>
    <n v="0"/>
    <n v="0"/>
    <n v="0"/>
    <n v="0"/>
    <n v="0"/>
    <n v="1"/>
    <n v="23"/>
    <n v="2025"/>
    <x v="1"/>
    <s v="手淘搜索-短视频"/>
    <x v="2"/>
    <x v="1"/>
  </r>
  <r>
    <x v="1"/>
    <x v="74"/>
    <x v="1"/>
    <x v="11"/>
    <x v="37"/>
    <n v="13"/>
    <n v="11"/>
    <n v="0"/>
    <n v="0"/>
    <n v="0"/>
    <n v="0"/>
    <n v="0"/>
    <n v="0"/>
    <n v="1"/>
    <n v="13"/>
    <n v="2025"/>
    <x v="1"/>
    <s v="淘特其他渠道"/>
    <x v="2"/>
    <x v="1"/>
  </r>
  <r>
    <x v="1"/>
    <x v="74"/>
    <x v="1"/>
    <x v="11"/>
    <x v="39"/>
    <n v="48"/>
    <n v="46"/>
    <n v="1"/>
    <n v="0"/>
    <n v="0"/>
    <n v="0"/>
    <n v="0"/>
    <n v="0"/>
    <n v="0"/>
    <n v="48"/>
    <n v="2025"/>
    <x v="1"/>
    <s v="淘特搜索"/>
    <x v="2"/>
    <x v="1"/>
  </r>
  <r>
    <x v="1"/>
    <x v="74"/>
    <x v="0"/>
    <x v="5"/>
    <x v="41"/>
    <n v="797"/>
    <n v="655"/>
    <n v="13"/>
    <n v="1"/>
    <n v="0"/>
    <n v="0"/>
    <n v="0"/>
    <n v="0"/>
    <n v="21"/>
    <n v="156"/>
    <n v="2025"/>
    <x v="1"/>
    <s v="超级直播"/>
    <x v="2"/>
    <x v="1"/>
  </r>
  <r>
    <x v="1"/>
    <x v="74"/>
    <x v="0"/>
    <x v="5"/>
    <x v="20"/>
    <n v="1"/>
    <n v="1"/>
    <n v="0"/>
    <n v="0"/>
    <n v="0"/>
    <n v="0"/>
    <n v="0"/>
    <n v="0"/>
    <n v="0"/>
    <n v="1"/>
    <n v="2025"/>
    <x v="1"/>
    <s v="超级短视频"/>
    <x v="2"/>
    <x v="1"/>
  </r>
  <r>
    <x v="1"/>
    <x v="74"/>
    <x v="0"/>
    <x v="6"/>
    <x v="21"/>
    <n v="2"/>
    <n v="0"/>
    <n v="0"/>
    <n v="0"/>
    <n v="0"/>
    <n v="0"/>
    <n v="0"/>
    <n v="0"/>
    <n v="2"/>
    <n v="0"/>
    <n v="2025"/>
    <x v="1"/>
    <s v="品销宝-品牌专区"/>
    <x v="2"/>
    <x v="1"/>
  </r>
  <r>
    <x v="1"/>
    <x v="74"/>
    <x v="0"/>
    <x v="6"/>
    <x v="49"/>
    <n v="1"/>
    <n v="1"/>
    <n v="0"/>
    <n v="0"/>
    <n v="0"/>
    <n v="0"/>
    <n v="0"/>
    <n v="0"/>
    <n v="1"/>
    <n v="0"/>
    <n v="2025"/>
    <x v="1"/>
    <s v="超级全域通"/>
    <x v="2"/>
    <x v="1"/>
  </r>
  <r>
    <x v="1"/>
    <x v="74"/>
    <x v="0"/>
    <x v="0"/>
    <x v="1"/>
    <n v="11308"/>
    <n v="7304"/>
    <n v="55"/>
    <n v="42"/>
    <n v="32207.13"/>
    <n v="7"/>
    <n v="17422.13"/>
    <n v="5"/>
    <n v="272"/>
    <n v="11308"/>
    <n v="2025"/>
    <x v="1"/>
    <s v="引力魔方"/>
    <x v="2"/>
    <x v="1"/>
  </r>
  <r>
    <x v="1"/>
    <x v="74"/>
    <x v="0"/>
    <x v="0"/>
    <x v="2"/>
    <n v="6597"/>
    <n v="5836"/>
    <n v="65"/>
    <n v="29"/>
    <n v="146528.53"/>
    <n v="20"/>
    <n v="44048.53"/>
    <n v="11"/>
    <n v="301"/>
    <n v="6547"/>
    <n v="2025"/>
    <x v="1"/>
    <s v="直通车"/>
    <x v="2"/>
    <x v="1"/>
  </r>
  <r>
    <x v="1"/>
    <x v="74"/>
    <x v="0"/>
    <x v="0"/>
    <x v="0"/>
    <n v="4165"/>
    <n v="2102"/>
    <n v="208"/>
    <n v="177"/>
    <n v="228964"/>
    <n v="47"/>
    <n v="139543"/>
    <n v="41"/>
    <n v="778"/>
    <n v="3945"/>
    <n v="2025"/>
    <x v="1"/>
    <s v="万相台"/>
    <x v="2"/>
    <x v="1"/>
  </r>
  <r>
    <x v="1"/>
    <x v="74"/>
    <x v="0"/>
    <x v="7"/>
    <x v="23"/>
    <n v="5"/>
    <n v="5"/>
    <n v="0"/>
    <n v="0"/>
    <n v="0"/>
    <n v="0"/>
    <n v="0"/>
    <n v="0"/>
    <n v="0"/>
    <n v="3"/>
    <n v="2025"/>
    <x v="1"/>
    <s v="流量宝"/>
    <x v="2"/>
    <x v="1"/>
  </r>
  <r>
    <x v="1"/>
    <x v="74"/>
    <x v="0"/>
    <x v="7"/>
    <x v="24"/>
    <n v="538"/>
    <n v="273"/>
    <n v="134"/>
    <n v="6"/>
    <n v="80310"/>
    <n v="22"/>
    <n v="43975"/>
    <n v="13"/>
    <n v="21"/>
    <n v="533"/>
    <n v="2025"/>
    <x v="1"/>
    <s v="淘宝客"/>
    <x v="2"/>
    <x v="1"/>
  </r>
  <r>
    <x v="1"/>
    <x v="75"/>
    <x v="1"/>
    <x v="8"/>
    <x v="25"/>
    <n v="128"/>
    <n v="49"/>
    <n v="8"/>
    <n v="4"/>
    <n v="5000"/>
    <n v="2"/>
    <n v="5000"/>
    <n v="2"/>
    <n v="13"/>
    <n v="127"/>
    <n v="2025"/>
    <x v="1"/>
    <s v="主会场"/>
    <x v="2"/>
    <x v="1"/>
  </r>
  <r>
    <x v="1"/>
    <x v="75"/>
    <x v="1"/>
    <x v="3"/>
    <x v="11"/>
    <n v="225"/>
    <n v="107"/>
    <n v="22"/>
    <n v="3"/>
    <n v="11716.78"/>
    <n v="4"/>
    <n v="6741.78"/>
    <n v="3"/>
    <n v="42"/>
    <n v="222"/>
    <n v="2025"/>
    <x v="1"/>
    <s v="商品详情页头图推荐"/>
    <x v="2"/>
    <x v="1"/>
  </r>
  <r>
    <x v="1"/>
    <x v="75"/>
    <x v="1"/>
    <x v="3"/>
    <x v="12"/>
    <n v="33"/>
    <n v="22"/>
    <n v="1"/>
    <n v="0"/>
    <n v="3588"/>
    <n v="1"/>
    <n v="3588"/>
    <n v="1"/>
    <n v="28"/>
    <n v="18"/>
    <n v="2025"/>
    <x v="1"/>
    <s v="店铺超链"/>
    <x v="2"/>
    <x v="1"/>
  </r>
  <r>
    <x v="1"/>
    <x v="75"/>
    <x v="1"/>
    <x v="4"/>
    <x v="13"/>
    <n v="335"/>
    <n v="206"/>
    <n v="10"/>
    <n v="2"/>
    <n v="70392"/>
    <n v="15"/>
    <n v="11942"/>
    <n v="5"/>
    <n v="45"/>
    <n v="287"/>
    <n v="2025"/>
    <x v="1"/>
    <s v="其他猜你喜欢"/>
    <x v="2"/>
    <x v="1"/>
  </r>
  <r>
    <x v="1"/>
    <x v="75"/>
    <x v="1"/>
    <x v="4"/>
    <x v="15"/>
    <n v="21"/>
    <n v="13"/>
    <n v="0"/>
    <n v="0"/>
    <n v="2750"/>
    <n v="1"/>
    <n v="2750"/>
    <n v="1"/>
    <n v="0"/>
    <n v="9"/>
    <n v="2025"/>
    <x v="1"/>
    <s v="购中推荐"/>
    <x v="2"/>
    <x v="1"/>
  </r>
  <r>
    <x v="1"/>
    <x v="75"/>
    <x v="1"/>
    <x v="4"/>
    <x v="16"/>
    <n v="191"/>
    <n v="140"/>
    <n v="1"/>
    <n v="0"/>
    <n v="4480"/>
    <n v="1"/>
    <n v="4480"/>
    <n v="1"/>
    <n v="3"/>
    <n v="59"/>
    <n v="2025"/>
    <x v="1"/>
    <s v="购后推荐"/>
    <x v="2"/>
    <x v="1"/>
  </r>
  <r>
    <x v="1"/>
    <x v="75"/>
    <x v="1"/>
    <x v="4"/>
    <x v="17"/>
    <n v="4013"/>
    <n v="2801"/>
    <n v="62"/>
    <n v="22"/>
    <n v="30431"/>
    <n v="9"/>
    <n v="25456"/>
    <n v="8"/>
    <n v="213"/>
    <n v="4013"/>
    <n v="2025"/>
    <x v="1"/>
    <s v="首页推荐-微详情"/>
    <x v="2"/>
    <x v="1"/>
  </r>
  <r>
    <x v="1"/>
    <x v="75"/>
    <x v="1"/>
    <x v="4"/>
    <x v="18"/>
    <n v="1023"/>
    <n v="922"/>
    <n v="1"/>
    <n v="1"/>
    <n v="0"/>
    <n v="0"/>
    <n v="0"/>
    <n v="0"/>
    <n v="2"/>
    <n v="35"/>
    <n v="2025"/>
    <x v="1"/>
    <s v="首页推荐-直播"/>
    <x v="2"/>
    <x v="1"/>
  </r>
  <r>
    <x v="1"/>
    <x v="75"/>
    <x v="1"/>
    <x v="4"/>
    <x v="19"/>
    <n v="845"/>
    <n v="673"/>
    <n v="3"/>
    <n v="0"/>
    <n v="0"/>
    <n v="0"/>
    <n v="0"/>
    <n v="0"/>
    <n v="5"/>
    <n v="42"/>
    <n v="2025"/>
    <x v="1"/>
    <s v="首页推荐-短视频"/>
    <x v="2"/>
    <x v="1"/>
  </r>
  <r>
    <x v="1"/>
    <x v="75"/>
    <x v="1"/>
    <x v="12"/>
    <x v="42"/>
    <n v="774"/>
    <n v="594"/>
    <n v="41"/>
    <n v="5"/>
    <n v="31960"/>
    <n v="11"/>
    <n v="28970"/>
    <n v="10"/>
    <n v="333"/>
    <n v="569"/>
    <n v="2025"/>
    <x v="1"/>
    <s v="手淘搜索-商品及其他"/>
    <x v="2"/>
    <x v="1"/>
  </r>
  <r>
    <x v="1"/>
    <x v="75"/>
    <x v="1"/>
    <x v="12"/>
    <x v="43"/>
    <n v="13"/>
    <n v="11"/>
    <n v="1"/>
    <n v="1"/>
    <n v="0"/>
    <n v="0"/>
    <n v="0"/>
    <n v="0"/>
    <n v="0"/>
    <n v="4"/>
    <n v="2025"/>
    <x v="1"/>
    <s v="手淘搜索-直播"/>
    <x v="2"/>
    <x v="1"/>
  </r>
  <r>
    <x v="1"/>
    <x v="75"/>
    <x v="1"/>
    <x v="12"/>
    <x v="44"/>
    <n v="11"/>
    <n v="6"/>
    <n v="1"/>
    <n v="0"/>
    <n v="0"/>
    <n v="0"/>
    <n v="0"/>
    <n v="0"/>
    <n v="0"/>
    <n v="11"/>
    <n v="2025"/>
    <x v="1"/>
    <s v="手淘搜索-短视频"/>
    <x v="2"/>
    <x v="1"/>
  </r>
  <r>
    <x v="1"/>
    <x v="75"/>
    <x v="1"/>
    <x v="11"/>
    <x v="37"/>
    <n v="5"/>
    <n v="5"/>
    <n v="0"/>
    <n v="0"/>
    <n v="0"/>
    <n v="0"/>
    <n v="0"/>
    <n v="0"/>
    <n v="0"/>
    <n v="5"/>
    <n v="2025"/>
    <x v="1"/>
    <s v="淘特其他渠道"/>
    <x v="2"/>
    <x v="1"/>
  </r>
  <r>
    <x v="1"/>
    <x v="75"/>
    <x v="1"/>
    <x v="11"/>
    <x v="39"/>
    <n v="43"/>
    <n v="41"/>
    <n v="0"/>
    <n v="0"/>
    <n v="0"/>
    <n v="0"/>
    <n v="0"/>
    <n v="0"/>
    <n v="0"/>
    <n v="43"/>
    <n v="2025"/>
    <x v="1"/>
    <s v="淘特搜索"/>
    <x v="2"/>
    <x v="1"/>
  </r>
  <r>
    <x v="1"/>
    <x v="75"/>
    <x v="1"/>
    <x v="13"/>
    <x v="46"/>
    <n v="1"/>
    <n v="0"/>
    <n v="0"/>
    <n v="0"/>
    <n v="0"/>
    <n v="0"/>
    <n v="0"/>
    <n v="0"/>
    <n v="0"/>
    <n v="0"/>
    <n v="2025"/>
    <x v="1"/>
    <s v="飞猪其他"/>
    <x v="2"/>
    <x v="1"/>
  </r>
  <r>
    <x v="1"/>
    <x v="75"/>
    <x v="0"/>
    <x v="5"/>
    <x v="41"/>
    <n v="938"/>
    <n v="854"/>
    <n v="5"/>
    <n v="0"/>
    <n v="0"/>
    <n v="0"/>
    <n v="0"/>
    <n v="0"/>
    <n v="9"/>
    <n v="118"/>
    <n v="2025"/>
    <x v="1"/>
    <s v="超级直播"/>
    <x v="2"/>
    <x v="1"/>
  </r>
  <r>
    <x v="1"/>
    <x v="75"/>
    <x v="0"/>
    <x v="5"/>
    <x v="20"/>
    <n v="5"/>
    <n v="1"/>
    <n v="0"/>
    <n v="0"/>
    <n v="0"/>
    <n v="0"/>
    <n v="0"/>
    <n v="0"/>
    <n v="0"/>
    <n v="5"/>
    <n v="2025"/>
    <x v="1"/>
    <s v="超级短视频"/>
    <x v="2"/>
    <x v="1"/>
  </r>
  <r>
    <x v="1"/>
    <x v="75"/>
    <x v="0"/>
    <x v="6"/>
    <x v="21"/>
    <n v="1"/>
    <n v="0"/>
    <n v="0"/>
    <n v="0"/>
    <n v="0"/>
    <n v="0"/>
    <n v="0"/>
    <n v="0"/>
    <n v="1"/>
    <n v="0"/>
    <n v="2025"/>
    <x v="1"/>
    <s v="品销宝-品牌专区"/>
    <x v="2"/>
    <x v="1"/>
  </r>
  <r>
    <x v="1"/>
    <x v="75"/>
    <x v="0"/>
    <x v="0"/>
    <x v="1"/>
    <n v="9625"/>
    <n v="5828"/>
    <n v="57"/>
    <n v="44"/>
    <n v="26315.78"/>
    <n v="5"/>
    <n v="13647.78"/>
    <n v="3"/>
    <n v="220"/>
    <n v="9625"/>
    <n v="2025"/>
    <x v="1"/>
    <s v="引力魔方"/>
    <x v="2"/>
    <x v="1"/>
  </r>
  <r>
    <x v="1"/>
    <x v="75"/>
    <x v="0"/>
    <x v="0"/>
    <x v="2"/>
    <n v="6356"/>
    <n v="5684"/>
    <n v="70"/>
    <n v="39"/>
    <n v="57461"/>
    <n v="16"/>
    <n v="39130"/>
    <n v="10"/>
    <n v="343"/>
    <n v="6299"/>
    <n v="2025"/>
    <x v="1"/>
    <s v="直通车"/>
    <x v="2"/>
    <x v="1"/>
  </r>
  <r>
    <x v="1"/>
    <x v="75"/>
    <x v="0"/>
    <x v="0"/>
    <x v="0"/>
    <n v="4865"/>
    <n v="2558"/>
    <n v="243"/>
    <n v="203"/>
    <n v="134536"/>
    <n v="35"/>
    <n v="88926"/>
    <n v="33"/>
    <n v="833"/>
    <n v="4642"/>
    <n v="2025"/>
    <x v="1"/>
    <s v="万相台"/>
    <x v="2"/>
    <x v="1"/>
  </r>
  <r>
    <x v="1"/>
    <x v="75"/>
    <x v="0"/>
    <x v="7"/>
    <x v="22"/>
    <n v="1"/>
    <n v="0"/>
    <n v="0"/>
    <n v="0"/>
    <n v="0"/>
    <n v="0"/>
    <n v="0"/>
    <n v="0"/>
    <n v="0"/>
    <n v="1"/>
    <n v="2025"/>
    <x v="1"/>
    <s v="UD效果投放"/>
    <x v="2"/>
    <x v="1"/>
  </r>
  <r>
    <x v="1"/>
    <x v="75"/>
    <x v="0"/>
    <x v="7"/>
    <x v="23"/>
    <n v="2"/>
    <n v="1"/>
    <n v="0"/>
    <n v="0"/>
    <n v="0"/>
    <n v="0"/>
    <n v="0"/>
    <n v="0"/>
    <n v="0"/>
    <n v="2"/>
    <n v="2025"/>
    <x v="1"/>
    <s v="流量宝"/>
    <x v="2"/>
    <x v="1"/>
  </r>
  <r>
    <x v="1"/>
    <x v="75"/>
    <x v="0"/>
    <x v="7"/>
    <x v="24"/>
    <n v="519"/>
    <n v="227"/>
    <n v="126"/>
    <n v="4"/>
    <n v="132085"/>
    <n v="36"/>
    <n v="89505"/>
    <n v="24"/>
    <n v="18"/>
    <n v="516"/>
    <n v="2025"/>
    <x v="1"/>
    <s v="淘宝客"/>
    <x v="2"/>
    <x v="1"/>
  </r>
  <r>
    <x v="1"/>
    <x v="76"/>
    <x v="1"/>
    <x v="8"/>
    <x v="25"/>
    <n v="108"/>
    <n v="47"/>
    <n v="4"/>
    <n v="1"/>
    <n v="0"/>
    <n v="0"/>
    <n v="0"/>
    <n v="0"/>
    <n v="9"/>
    <n v="107"/>
    <n v="2025"/>
    <x v="1"/>
    <s v="主会场"/>
    <x v="2"/>
    <x v="1"/>
  </r>
  <r>
    <x v="1"/>
    <x v="76"/>
    <x v="1"/>
    <x v="1"/>
    <x v="3"/>
    <n v="1"/>
    <n v="1"/>
    <n v="0"/>
    <n v="0"/>
    <n v="0"/>
    <n v="0"/>
    <n v="0"/>
    <n v="0"/>
    <n v="0"/>
    <n v="1"/>
    <n v="2025"/>
    <x v="1"/>
    <s v="其他入口榜单"/>
    <x v="2"/>
    <x v="1"/>
  </r>
  <r>
    <x v="1"/>
    <x v="76"/>
    <x v="1"/>
    <x v="3"/>
    <x v="11"/>
    <n v="223"/>
    <n v="107"/>
    <n v="14"/>
    <n v="4"/>
    <n v="4897"/>
    <n v="3"/>
    <n v="4897"/>
    <n v="3"/>
    <n v="46"/>
    <n v="213"/>
    <n v="2025"/>
    <x v="1"/>
    <s v="商品详情页头图推荐"/>
    <x v="2"/>
    <x v="1"/>
  </r>
  <r>
    <x v="1"/>
    <x v="76"/>
    <x v="1"/>
    <x v="3"/>
    <x v="12"/>
    <n v="26"/>
    <n v="15"/>
    <n v="1"/>
    <n v="0"/>
    <n v="3357"/>
    <n v="1"/>
    <n v="3357"/>
    <n v="1"/>
    <n v="22"/>
    <n v="12"/>
    <n v="2025"/>
    <x v="1"/>
    <s v="店铺超链"/>
    <x v="2"/>
    <x v="1"/>
  </r>
  <r>
    <x v="1"/>
    <x v="76"/>
    <x v="1"/>
    <x v="4"/>
    <x v="13"/>
    <n v="270"/>
    <n v="157"/>
    <n v="9"/>
    <n v="3"/>
    <n v="13607"/>
    <n v="3"/>
    <n v="1917"/>
    <n v="1"/>
    <n v="34"/>
    <n v="236"/>
    <n v="2025"/>
    <x v="1"/>
    <s v="其他猜你喜欢"/>
    <x v="2"/>
    <x v="1"/>
  </r>
  <r>
    <x v="1"/>
    <x v="76"/>
    <x v="1"/>
    <x v="4"/>
    <x v="15"/>
    <n v="9"/>
    <n v="5"/>
    <n v="0"/>
    <n v="0"/>
    <n v="0"/>
    <n v="0"/>
    <n v="0"/>
    <n v="0"/>
    <n v="1"/>
    <n v="7"/>
    <n v="2025"/>
    <x v="1"/>
    <s v="购中推荐"/>
    <x v="2"/>
    <x v="1"/>
  </r>
  <r>
    <x v="1"/>
    <x v="76"/>
    <x v="1"/>
    <x v="4"/>
    <x v="16"/>
    <n v="73"/>
    <n v="40"/>
    <n v="0"/>
    <n v="1"/>
    <n v="0"/>
    <n v="0"/>
    <n v="0"/>
    <n v="0"/>
    <n v="1"/>
    <n v="56"/>
    <n v="2025"/>
    <x v="1"/>
    <s v="购后推荐"/>
    <x v="2"/>
    <x v="1"/>
  </r>
  <r>
    <x v="1"/>
    <x v="76"/>
    <x v="1"/>
    <x v="4"/>
    <x v="17"/>
    <n v="3865"/>
    <n v="2772"/>
    <n v="52"/>
    <n v="33"/>
    <n v="55190"/>
    <n v="3"/>
    <n v="4240"/>
    <n v="2"/>
    <n v="255"/>
    <n v="3865"/>
    <n v="2025"/>
    <x v="1"/>
    <s v="首页推荐-微详情"/>
    <x v="2"/>
    <x v="1"/>
  </r>
  <r>
    <x v="1"/>
    <x v="76"/>
    <x v="1"/>
    <x v="4"/>
    <x v="18"/>
    <n v="799"/>
    <n v="703"/>
    <n v="2"/>
    <n v="0"/>
    <n v="0"/>
    <n v="0"/>
    <n v="0"/>
    <n v="0"/>
    <n v="3"/>
    <n v="37"/>
    <n v="2025"/>
    <x v="1"/>
    <s v="首页推荐-直播"/>
    <x v="2"/>
    <x v="1"/>
  </r>
  <r>
    <x v="1"/>
    <x v="76"/>
    <x v="1"/>
    <x v="4"/>
    <x v="19"/>
    <n v="173"/>
    <n v="71"/>
    <n v="0"/>
    <n v="0"/>
    <n v="0"/>
    <n v="0"/>
    <n v="0"/>
    <n v="0"/>
    <n v="4"/>
    <n v="22"/>
    <n v="2025"/>
    <x v="1"/>
    <s v="首页推荐-短视频"/>
    <x v="2"/>
    <x v="1"/>
  </r>
  <r>
    <x v="1"/>
    <x v="76"/>
    <x v="1"/>
    <x v="12"/>
    <x v="42"/>
    <n v="848"/>
    <n v="644"/>
    <n v="40"/>
    <n v="6"/>
    <n v="48513"/>
    <n v="16"/>
    <n v="38023"/>
    <n v="12"/>
    <n v="346"/>
    <n v="615"/>
    <n v="2025"/>
    <x v="1"/>
    <s v="手淘搜索-商品及其他"/>
    <x v="2"/>
    <x v="1"/>
  </r>
  <r>
    <x v="1"/>
    <x v="76"/>
    <x v="1"/>
    <x v="12"/>
    <x v="43"/>
    <n v="16"/>
    <n v="10"/>
    <n v="1"/>
    <n v="0"/>
    <n v="0"/>
    <n v="0"/>
    <n v="0"/>
    <n v="0"/>
    <n v="1"/>
    <n v="8"/>
    <n v="2025"/>
    <x v="1"/>
    <s v="手淘搜索-直播"/>
    <x v="2"/>
    <x v="1"/>
  </r>
  <r>
    <x v="1"/>
    <x v="76"/>
    <x v="1"/>
    <x v="12"/>
    <x v="44"/>
    <n v="25"/>
    <n v="10"/>
    <n v="3"/>
    <n v="2"/>
    <n v="0"/>
    <n v="0"/>
    <n v="0"/>
    <n v="0"/>
    <n v="2"/>
    <n v="25"/>
    <n v="2025"/>
    <x v="1"/>
    <s v="手淘搜索-短视频"/>
    <x v="2"/>
    <x v="1"/>
  </r>
  <r>
    <x v="1"/>
    <x v="76"/>
    <x v="1"/>
    <x v="11"/>
    <x v="37"/>
    <n v="9"/>
    <n v="8"/>
    <n v="0"/>
    <n v="0"/>
    <n v="0"/>
    <n v="0"/>
    <n v="0"/>
    <n v="0"/>
    <n v="0"/>
    <n v="9"/>
    <n v="2025"/>
    <x v="1"/>
    <s v="淘特其他渠道"/>
    <x v="2"/>
    <x v="1"/>
  </r>
  <r>
    <x v="1"/>
    <x v="76"/>
    <x v="1"/>
    <x v="11"/>
    <x v="39"/>
    <n v="28"/>
    <n v="28"/>
    <n v="0"/>
    <n v="0"/>
    <n v="0"/>
    <n v="0"/>
    <n v="0"/>
    <n v="0"/>
    <n v="0"/>
    <n v="28"/>
    <n v="2025"/>
    <x v="1"/>
    <s v="淘特搜索"/>
    <x v="2"/>
    <x v="1"/>
  </r>
  <r>
    <x v="1"/>
    <x v="76"/>
    <x v="0"/>
    <x v="5"/>
    <x v="41"/>
    <n v="927"/>
    <n v="785"/>
    <n v="16"/>
    <n v="1"/>
    <n v="0"/>
    <n v="0"/>
    <n v="0"/>
    <n v="0"/>
    <n v="12"/>
    <n v="184"/>
    <n v="2025"/>
    <x v="1"/>
    <s v="超级直播"/>
    <x v="2"/>
    <x v="1"/>
  </r>
  <r>
    <x v="1"/>
    <x v="76"/>
    <x v="0"/>
    <x v="0"/>
    <x v="1"/>
    <n v="9383"/>
    <n v="5777"/>
    <n v="57"/>
    <n v="36"/>
    <n v="21563.13"/>
    <n v="8"/>
    <n v="11753.13"/>
    <n v="5"/>
    <n v="228"/>
    <n v="9383"/>
    <n v="2025"/>
    <x v="1"/>
    <s v="引力魔方"/>
    <x v="2"/>
    <x v="1"/>
  </r>
  <r>
    <x v="1"/>
    <x v="76"/>
    <x v="0"/>
    <x v="0"/>
    <x v="2"/>
    <n v="5985"/>
    <n v="5275"/>
    <n v="50"/>
    <n v="30"/>
    <n v="61677"/>
    <n v="11"/>
    <n v="53092"/>
    <n v="8"/>
    <n v="287"/>
    <n v="5940"/>
    <n v="2025"/>
    <x v="1"/>
    <s v="直通车"/>
    <x v="2"/>
    <x v="1"/>
  </r>
  <r>
    <x v="1"/>
    <x v="76"/>
    <x v="0"/>
    <x v="0"/>
    <x v="0"/>
    <n v="4765"/>
    <n v="2553"/>
    <n v="222"/>
    <n v="247"/>
    <n v="106728"/>
    <n v="31"/>
    <n v="80568"/>
    <n v="26"/>
    <n v="826"/>
    <n v="4567"/>
    <n v="2025"/>
    <x v="1"/>
    <s v="万相台"/>
    <x v="2"/>
    <x v="1"/>
  </r>
  <r>
    <x v="1"/>
    <x v="76"/>
    <x v="0"/>
    <x v="7"/>
    <x v="24"/>
    <n v="467"/>
    <n v="201"/>
    <n v="93"/>
    <n v="8"/>
    <n v="92155"/>
    <n v="25"/>
    <n v="61410"/>
    <n v="21"/>
    <n v="12"/>
    <n v="457"/>
    <n v="2025"/>
    <x v="1"/>
    <s v="淘宝客"/>
    <x v="2"/>
    <x v="1"/>
  </r>
  <r>
    <x v="1"/>
    <x v="77"/>
    <x v="1"/>
    <x v="8"/>
    <x v="25"/>
    <n v="164"/>
    <n v="71"/>
    <n v="8"/>
    <n v="9"/>
    <n v="1598"/>
    <n v="1"/>
    <n v="1598"/>
    <n v="1"/>
    <n v="18"/>
    <n v="163"/>
    <n v="2025"/>
    <x v="1"/>
    <s v="主会场"/>
    <x v="2"/>
    <x v="1"/>
  </r>
  <r>
    <x v="1"/>
    <x v="77"/>
    <x v="1"/>
    <x v="1"/>
    <x v="3"/>
    <n v="1"/>
    <n v="1"/>
    <n v="0"/>
    <n v="0"/>
    <n v="0"/>
    <n v="0"/>
    <n v="0"/>
    <n v="0"/>
    <n v="0"/>
    <n v="1"/>
    <n v="2025"/>
    <x v="1"/>
    <s v="其他入口榜单"/>
    <x v="2"/>
    <x v="1"/>
  </r>
  <r>
    <x v="1"/>
    <x v="77"/>
    <x v="1"/>
    <x v="3"/>
    <x v="11"/>
    <n v="254"/>
    <n v="122"/>
    <n v="13"/>
    <n v="6"/>
    <n v="7673"/>
    <n v="3"/>
    <n v="7673"/>
    <n v="3"/>
    <n v="52"/>
    <n v="248"/>
    <n v="2025"/>
    <x v="1"/>
    <s v="商品详情页头图推荐"/>
    <x v="2"/>
    <x v="1"/>
  </r>
  <r>
    <x v="1"/>
    <x v="77"/>
    <x v="1"/>
    <x v="3"/>
    <x v="12"/>
    <n v="24"/>
    <n v="16"/>
    <n v="2"/>
    <n v="0"/>
    <n v="0"/>
    <n v="0"/>
    <n v="0"/>
    <n v="0"/>
    <n v="23"/>
    <n v="6"/>
    <n v="2025"/>
    <x v="1"/>
    <s v="店铺超链"/>
    <x v="2"/>
    <x v="1"/>
  </r>
  <r>
    <x v="1"/>
    <x v="77"/>
    <x v="1"/>
    <x v="4"/>
    <x v="13"/>
    <n v="286"/>
    <n v="161"/>
    <n v="9"/>
    <n v="5"/>
    <n v="4740"/>
    <n v="2"/>
    <n v="1490"/>
    <n v="1"/>
    <n v="33"/>
    <n v="259"/>
    <n v="2025"/>
    <x v="1"/>
    <s v="其他猜你喜欢"/>
    <x v="2"/>
    <x v="1"/>
  </r>
  <r>
    <x v="1"/>
    <x v="77"/>
    <x v="1"/>
    <x v="4"/>
    <x v="15"/>
    <n v="24"/>
    <n v="16"/>
    <n v="0"/>
    <n v="0"/>
    <n v="0"/>
    <n v="0"/>
    <n v="0"/>
    <n v="0"/>
    <n v="1"/>
    <n v="21"/>
    <n v="2025"/>
    <x v="1"/>
    <s v="购中推荐"/>
    <x v="2"/>
    <x v="1"/>
  </r>
  <r>
    <x v="1"/>
    <x v="77"/>
    <x v="1"/>
    <x v="4"/>
    <x v="16"/>
    <n v="118"/>
    <n v="92"/>
    <n v="1"/>
    <n v="0"/>
    <n v="0"/>
    <n v="0"/>
    <n v="0"/>
    <n v="0"/>
    <n v="8"/>
    <n v="100"/>
    <n v="2025"/>
    <x v="1"/>
    <s v="购后推荐"/>
    <x v="2"/>
    <x v="1"/>
  </r>
  <r>
    <x v="1"/>
    <x v="77"/>
    <x v="1"/>
    <x v="4"/>
    <x v="17"/>
    <n v="3806"/>
    <n v="2563"/>
    <n v="67"/>
    <n v="34"/>
    <n v="18943"/>
    <n v="7"/>
    <n v="18943"/>
    <n v="7"/>
    <n v="244"/>
    <n v="3806"/>
    <n v="2025"/>
    <x v="1"/>
    <s v="首页推荐-微详情"/>
    <x v="2"/>
    <x v="1"/>
  </r>
  <r>
    <x v="1"/>
    <x v="77"/>
    <x v="1"/>
    <x v="4"/>
    <x v="18"/>
    <n v="930"/>
    <n v="823"/>
    <n v="1"/>
    <n v="0"/>
    <n v="0"/>
    <n v="0"/>
    <n v="0"/>
    <n v="0"/>
    <n v="0"/>
    <n v="31"/>
    <n v="2025"/>
    <x v="1"/>
    <s v="首页推荐-直播"/>
    <x v="2"/>
    <x v="1"/>
  </r>
  <r>
    <x v="1"/>
    <x v="77"/>
    <x v="1"/>
    <x v="4"/>
    <x v="19"/>
    <n v="286"/>
    <n v="186"/>
    <n v="0"/>
    <n v="0"/>
    <n v="0"/>
    <n v="0"/>
    <n v="0"/>
    <n v="0"/>
    <n v="1"/>
    <n v="13"/>
    <n v="2025"/>
    <x v="1"/>
    <s v="首页推荐-短视频"/>
    <x v="2"/>
    <x v="1"/>
  </r>
  <r>
    <x v="1"/>
    <x v="77"/>
    <x v="1"/>
    <x v="12"/>
    <x v="42"/>
    <n v="810"/>
    <n v="594"/>
    <n v="47"/>
    <n v="8"/>
    <n v="53680"/>
    <n v="13"/>
    <n v="34230"/>
    <n v="11"/>
    <n v="329"/>
    <n v="611"/>
    <n v="2025"/>
    <x v="1"/>
    <s v="手淘搜索-商品及其他"/>
    <x v="2"/>
    <x v="1"/>
  </r>
  <r>
    <x v="1"/>
    <x v="77"/>
    <x v="1"/>
    <x v="12"/>
    <x v="43"/>
    <n v="8"/>
    <n v="3"/>
    <n v="1"/>
    <n v="0"/>
    <n v="0"/>
    <n v="0"/>
    <n v="0"/>
    <n v="0"/>
    <n v="0"/>
    <n v="5"/>
    <n v="2025"/>
    <x v="1"/>
    <s v="手淘搜索-直播"/>
    <x v="2"/>
    <x v="1"/>
  </r>
  <r>
    <x v="1"/>
    <x v="77"/>
    <x v="1"/>
    <x v="12"/>
    <x v="44"/>
    <n v="16"/>
    <n v="6"/>
    <n v="0"/>
    <n v="0"/>
    <n v="2250"/>
    <n v="1"/>
    <n v="2250"/>
    <n v="1"/>
    <n v="2"/>
    <n v="15"/>
    <n v="2025"/>
    <x v="1"/>
    <s v="手淘搜索-短视频"/>
    <x v="2"/>
    <x v="1"/>
  </r>
  <r>
    <x v="1"/>
    <x v="77"/>
    <x v="1"/>
    <x v="11"/>
    <x v="37"/>
    <n v="8"/>
    <n v="8"/>
    <n v="0"/>
    <n v="0"/>
    <n v="0"/>
    <n v="0"/>
    <n v="0"/>
    <n v="0"/>
    <n v="0"/>
    <n v="8"/>
    <n v="2025"/>
    <x v="1"/>
    <s v="淘特其他渠道"/>
    <x v="2"/>
    <x v="1"/>
  </r>
  <r>
    <x v="1"/>
    <x v="77"/>
    <x v="1"/>
    <x v="11"/>
    <x v="39"/>
    <n v="38"/>
    <n v="37"/>
    <n v="0"/>
    <n v="0"/>
    <n v="0"/>
    <n v="0"/>
    <n v="0"/>
    <n v="0"/>
    <n v="0"/>
    <n v="38"/>
    <n v="2025"/>
    <x v="1"/>
    <s v="淘特搜索"/>
    <x v="2"/>
    <x v="1"/>
  </r>
  <r>
    <x v="1"/>
    <x v="77"/>
    <x v="0"/>
    <x v="5"/>
    <x v="41"/>
    <n v="938"/>
    <n v="757"/>
    <n v="21"/>
    <n v="0"/>
    <n v="0"/>
    <n v="0"/>
    <n v="0"/>
    <n v="0"/>
    <n v="15"/>
    <n v="178"/>
    <n v="2025"/>
    <x v="1"/>
    <s v="超级直播"/>
    <x v="2"/>
    <x v="1"/>
  </r>
  <r>
    <x v="1"/>
    <x v="77"/>
    <x v="0"/>
    <x v="5"/>
    <x v="20"/>
    <n v="2"/>
    <n v="1"/>
    <n v="0"/>
    <n v="0"/>
    <n v="0"/>
    <n v="0"/>
    <n v="0"/>
    <n v="0"/>
    <n v="0"/>
    <n v="2"/>
    <n v="2025"/>
    <x v="1"/>
    <s v="超级短视频"/>
    <x v="2"/>
    <x v="1"/>
  </r>
  <r>
    <x v="1"/>
    <x v="77"/>
    <x v="0"/>
    <x v="6"/>
    <x v="45"/>
    <n v="1"/>
    <n v="1"/>
    <n v="0"/>
    <n v="0"/>
    <n v="0"/>
    <n v="0"/>
    <n v="0"/>
    <n v="0"/>
    <n v="0"/>
    <n v="1"/>
    <n v="2025"/>
    <x v="1"/>
    <s v="品牌定制"/>
    <x v="2"/>
    <x v="1"/>
  </r>
  <r>
    <x v="1"/>
    <x v="77"/>
    <x v="0"/>
    <x v="0"/>
    <x v="1"/>
    <n v="9860"/>
    <n v="6046"/>
    <n v="43"/>
    <n v="26"/>
    <n v="24108"/>
    <n v="6"/>
    <n v="11768"/>
    <n v="5"/>
    <n v="203"/>
    <n v="9859"/>
    <n v="2025"/>
    <x v="1"/>
    <s v="引力魔方"/>
    <x v="2"/>
    <x v="1"/>
  </r>
  <r>
    <x v="1"/>
    <x v="77"/>
    <x v="0"/>
    <x v="0"/>
    <x v="2"/>
    <n v="7014"/>
    <n v="6203"/>
    <n v="64"/>
    <n v="37"/>
    <n v="125955"/>
    <n v="23"/>
    <n v="55040"/>
    <n v="12"/>
    <n v="308"/>
    <n v="6962"/>
    <n v="2025"/>
    <x v="1"/>
    <s v="直通车"/>
    <x v="2"/>
    <x v="1"/>
  </r>
  <r>
    <x v="1"/>
    <x v="77"/>
    <x v="0"/>
    <x v="0"/>
    <x v="0"/>
    <n v="5318"/>
    <n v="2851"/>
    <n v="217"/>
    <n v="258"/>
    <n v="86079"/>
    <n v="31"/>
    <n v="69474"/>
    <n v="25"/>
    <n v="747"/>
    <n v="5122"/>
    <n v="2025"/>
    <x v="1"/>
    <s v="万相台"/>
    <x v="2"/>
    <x v="1"/>
  </r>
  <r>
    <x v="1"/>
    <x v="77"/>
    <x v="0"/>
    <x v="7"/>
    <x v="23"/>
    <n v="2"/>
    <n v="2"/>
    <n v="0"/>
    <n v="0"/>
    <n v="0"/>
    <n v="0"/>
    <n v="0"/>
    <n v="0"/>
    <n v="0"/>
    <n v="2"/>
    <n v="2025"/>
    <x v="1"/>
    <s v="流量宝"/>
    <x v="2"/>
    <x v="1"/>
  </r>
  <r>
    <x v="1"/>
    <x v="77"/>
    <x v="0"/>
    <x v="7"/>
    <x v="24"/>
    <n v="471"/>
    <n v="212"/>
    <n v="45"/>
    <n v="4"/>
    <n v="47875"/>
    <n v="13"/>
    <n v="20040"/>
    <n v="8"/>
    <n v="6"/>
    <n v="464"/>
    <n v="2025"/>
    <x v="1"/>
    <s v="淘宝客"/>
    <x v="2"/>
    <x v="1"/>
  </r>
  <r>
    <x v="1"/>
    <x v="78"/>
    <x v="1"/>
    <x v="8"/>
    <x v="25"/>
    <n v="150"/>
    <n v="52"/>
    <n v="3"/>
    <n v="3"/>
    <n v="2490"/>
    <n v="1"/>
    <n v="2490"/>
    <n v="1"/>
    <n v="15"/>
    <n v="149"/>
    <n v="2025"/>
    <x v="1"/>
    <s v="主会场"/>
    <x v="2"/>
    <x v="1"/>
  </r>
  <r>
    <x v="1"/>
    <x v="78"/>
    <x v="1"/>
    <x v="1"/>
    <x v="3"/>
    <n v="1"/>
    <n v="1"/>
    <n v="0"/>
    <n v="0"/>
    <n v="0"/>
    <n v="0"/>
    <n v="0"/>
    <n v="0"/>
    <n v="1"/>
    <n v="1"/>
    <n v="2025"/>
    <x v="1"/>
    <s v="其他入口榜单"/>
    <x v="2"/>
    <x v="1"/>
  </r>
  <r>
    <x v="1"/>
    <x v="78"/>
    <x v="1"/>
    <x v="3"/>
    <x v="11"/>
    <n v="247"/>
    <n v="120"/>
    <n v="15"/>
    <n v="5"/>
    <n v="17160"/>
    <n v="4"/>
    <n v="15670"/>
    <n v="3"/>
    <n v="46"/>
    <n v="242"/>
    <n v="2025"/>
    <x v="1"/>
    <s v="商品详情页头图推荐"/>
    <x v="2"/>
    <x v="1"/>
  </r>
  <r>
    <x v="1"/>
    <x v="78"/>
    <x v="1"/>
    <x v="3"/>
    <x v="12"/>
    <n v="22"/>
    <n v="15"/>
    <n v="0"/>
    <n v="1"/>
    <n v="0"/>
    <n v="0"/>
    <n v="0"/>
    <n v="0"/>
    <n v="19"/>
    <n v="13"/>
    <n v="2025"/>
    <x v="1"/>
    <s v="店铺超链"/>
    <x v="2"/>
    <x v="1"/>
  </r>
  <r>
    <x v="1"/>
    <x v="78"/>
    <x v="1"/>
    <x v="4"/>
    <x v="13"/>
    <n v="282"/>
    <n v="161"/>
    <n v="10"/>
    <n v="3"/>
    <n v="6577"/>
    <n v="3"/>
    <n v="6577"/>
    <n v="3"/>
    <n v="29"/>
    <n v="269"/>
    <n v="2025"/>
    <x v="1"/>
    <s v="其他猜你喜欢"/>
    <x v="2"/>
    <x v="1"/>
  </r>
  <r>
    <x v="1"/>
    <x v="78"/>
    <x v="1"/>
    <x v="4"/>
    <x v="15"/>
    <n v="16"/>
    <n v="12"/>
    <n v="0"/>
    <n v="0"/>
    <n v="0"/>
    <n v="0"/>
    <n v="0"/>
    <n v="0"/>
    <n v="0"/>
    <n v="15"/>
    <n v="2025"/>
    <x v="1"/>
    <s v="购中推荐"/>
    <x v="2"/>
    <x v="1"/>
  </r>
  <r>
    <x v="1"/>
    <x v="78"/>
    <x v="1"/>
    <x v="4"/>
    <x v="16"/>
    <n v="80"/>
    <n v="63"/>
    <n v="4"/>
    <n v="0"/>
    <n v="0"/>
    <n v="0"/>
    <n v="0"/>
    <n v="0"/>
    <n v="3"/>
    <n v="68"/>
    <n v="2025"/>
    <x v="1"/>
    <s v="购后推荐"/>
    <x v="2"/>
    <x v="1"/>
  </r>
  <r>
    <x v="1"/>
    <x v="78"/>
    <x v="1"/>
    <x v="4"/>
    <x v="17"/>
    <n v="4588"/>
    <n v="3472"/>
    <n v="68"/>
    <n v="32"/>
    <n v="16475"/>
    <n v="4"/>
    <n v="3680"/>
    <n v="2"/>
    <n v="264"/>
    <n v="4588"/>
    <n v="2025"/>
    <x v="1"/>
    <s v="首页推荐-微详情"/>
    <x v="2"/>
    <x v="1"/>
  </r>
  <r>
    <x v="1"/>
    <x v="78"/>
    <x v="1"/>
    <x v="4"/>
    <x v="18"/>
    <n v="1"/>
    <n v="0"/>
    <n v="0"/>
    <n v="0"/>
    <n v="0"/>
    <n v="0"/>
    <n v="0"/>
    <n v="0"/>
    <n v="0"/>
    <n v="0"/>
    <n v="2025"/>
    <x v="1"/>
    <s v="首页推荐-直播"/>
    <x v="2"/>
    <x v="1"/>
  </r>
  <r>
    <x v="1"/>
    <x v="78"/>
    <x v="1"/>
    <x v="4"/>
    <x v="19"/>
    <n v="322"/>
    <n v="222"/>
    <n v="1"/>
    <n v="1"/>
    <n v="0"/>
    <n v="0"/>
    <n v="0"/>
    <n v="0"/>
    <n v="5"/>
    <n v="24"/>
    <n v="2025"/>
    <x v="1"/>
    <s v="首页推荐-短视频"/>
    <x v="2"/>
    <x v="1"/>
  </r>
  <r>
    <x v="1"/>
    <x v="78"/>
    <x v="1"/>
    <x v="12"/>
    <x v="42"/>
    <n v="820"/>
    <n v="647"/>
    <n v="53"/>
    <n v="13"/>
    <n v="27347.200000000001"/>
    <n v="7"/>
    <n v="20882.2"/>
    <n v="7"/>
    <n v="365"/>
    <n v="614"/>
    <n v="2025"/>
    <x v="1"/>
    <s v="手淘搜索-商品及其他"/>
    <x v="2"/>
    <x v="1"/>
  </r>
  <r>
    <x v="1"/>
    <x v="78"/>
    <x v="1"/>
    <x v="12"/>
    <x v="44"/>
    <n v="15"/>
    <n v="6"/>
    <n v="0"/>
    <n v="0"/>
    <n v="0"/>
    <n v="0"/>
    <n v="0"/>
    <n v="0"/>
    <n v="2"/>
    <n v="15"/>
    <n v="2025"/>
    <x v="1"/>
    <s v="手淘搜索-短视频"/>
    <x v="2"/>
    <x v="1"/>
  </r>
  <r>
    <x v="1"/>
    <x v="78"/>
    <x v="1"/>
    <x v="11"/>
    <x v="37"/>
    <n v="13"/>
    <n v="9"/>
    <n v="0"/>
    <n v="0"/>
    <n v="0"/>
    <n v="0"/>
    <n v="0"/>
    <n v="0"/>
    <n v="0"/>
    <n v="13"/>
    <n v="2025"/>
    <x v="1"/>
    <s v="淘特其他渠道"/>
    <x v="2"/>
    <x v="1"/>
  </r>
  <r>
    <x v="1"/>
    <x v="78"/>
    <x v="1"/>
    <x v="11"/>
    <x v="39"/>
    <n v="33"/>
    <n v="30"/>
    <n v="0"/>
    <n v="0"/>
    <n v="0"/>
    <n v="0"/>
    <n v="0"/>
    <n v="0"/>
    <n v="0"/>
    <n v="33"/>
    <n v="2025"/>
    <x v="1"/>
    <s v="淘特搜索"/>
    <x v="2"/>
    <x v="1"/>
  </r>
  <r>
    <x v="1"/>
    <x v="78"/>
    <x v="0"/>
    <x v="5"/>
    <x v="41"/>
    <n v="2"/>
    <n v="1"/>
    <n v="0"/>
    <n v="0"/>
    <n v="0"/>
    <n v="0"/>
    <n v="0"/>
    <n v="0"/>
    <n v="0"/>
    <n v="1"/>
    <n v="2025"/>
    <x v="1"/>
    <s v="超级直播"/>
    <x v="2"/>
    <x v="1"/>
  </r>
  <r>
    <x v="1"/>
    <x v="78"/>
    <x v="0"/>
    <x v="0"/>
    <x v="1"/>
    <n v="7334"/>
    <n v="4037"/>
    <n v="36"/>
    <n v="26"/>
    <n v="33330"/>
    <n v="7"/>
    <n v="3980"/>
    <n v="2"/>
    <n v="146"/>
    <n v="7334"/>
    <n v="2025"/>
    <x v="1"/>
    <s v="引力魔方"/>
    <x v="2"/>
    <x v="1"/>
  </r>
  <r>
    <x v="1"/>
    <x v="78"/>
    <x v="0"/>
    <x v="0"/>
    <x v="2"/>
    <n v="6757"/>
    <n v="5915"/>
    <n v="81"/>
    <n v="35"/>
    <n v="160974"/>
    <n v="22"/>
    <n v="62629"/>
    <n v="12"/>
    <n v="305"/>
    <n v="6717"/>
    <n v="2025"/>
    <x v="1"/>
    <s v="直通车"/>
    <x v="2"/>
    <x v="1"/>
  </r>
  <r>
    <x v="1"/>
    <x v="78"/>
    <x v="0"/>
    <x v="0"/>
    <x v="0"/>
    <n v="5454"/>
    <n v="2950"/>
    <n v="241"/>
    <n v="208"/>
    <n v="115505"/>
    <n v="28"/>
    <n v="65292"/>
    <n v="19"/>
    <n v="858"/>
    <n v="5241"/>
    <n v="2025"/>
    <x v="1"/>
    <s v="万相台"/>
    <x v="2"/>
    <x v="1"/>
  </r>
  <r>
    <x v="1"/>
    <x v="78"/>
    <x v="0"/>
    <x v="7"/>
    <x v="24"/>
    <n v="375"/>
    <n v="124"/>
    <n v="12"/>
    <n v="3"/>
    <n v="8994.02"/>
    <n v="3"/>
    <n v="8994.02"/>
    <n v="3"/>
    <n v="5"/>
    <n v="375"/>
    <n v="2025"/>
    <x v="1"/>
    <s v="淘宝客"/>
    <x v="2"/>
    <x v="1"/>
  </r>
  <r>
    <x v="1"/>
    <x v="79"/>
    <x v="1"/>
    <x v="8"/>
    <x v="25"/>
    <n v="148"/>
    <n v="59"/>
    <n v="6"/>
    <n v="3"/>
    <n v="2298"/>
    <n v="1"/>
    <n v="2298"/>
    <n v="1"/>
    <n v="13"/>
    <n v="145"/>
    <n v="2025"/>
    <x v="1"/>
    <s v="主会场"/>
    <x v="2"/>
    <x v="1"/>
  </r>
  <r>
    <x v="1"/>
    <x v="79"/>
    <x v="1"/>
    <x v="1"/>
    <x v="3"/>
    <n v="1"/>
    <n v="1"/>
    <n v="0"/>
    <n v="0"/>
    <n v="0"/>
    <n v="0"/>
    <n v="0"/>
    <n v="0"/>
    <n v="0"/>
    <n v="1"/>
    <n v="2025"/>
    <x v="1"/>
    <s v="其他入口榜单"/>
    <x v="2"/>
    <x v="1"/>
  </r>
  <r>
    <x v="1"/>
    <x v="79"/>
    <x v="1"/>
    <x v="3"/>
    <x v="11"/>
    <n v="228"/>
    <n v="115"/>
    <n v="6"/>
    <n v="2"/>
    <n v="12165"/>
    <n v="2"/>
    <n v="4980"/>
    <n v="1"/>
    <n v="58"/>
    <n v="221"/>
    <n v="2025"/>
    <x v="1"/>
    <s v="商品详情页头图推荐"/>
    <x v="2"/>
    <x v="1"/>
  </r>
  <r>
    <x v="1"/>
    <x v="79"/>
    <x v="1"/>
    <x v="3"/>
    <x v="12"/>
    <n v="17"/>
    <n v="12"/>
    <n v="1"/>
    <n v="0"/>
    <n v="0"/>
    <n v="0"/>
    <n v="0"/>
    <n v="0"/>
    <n v="16"/>
    <n v="7"/>
    <n v="2025"/>
    <x v="1"/>
    <s v="店铺超链"/>
    <x v="2"/>
    <x v="1"/>
  </r>
  <r>
    <x v="1"/>
    <x v="79"/>
    <x v="1"/>
    <x v="4"/>
    <x v="13"/>
    <n v="292"/>
    <n v="165"/>
    <n v="12"/>
    <n v="2"/>
    <n v="17769"/>
    <n v="5"/>
    <n v="13173"/>
    <n v="5"/>
    <n v="40"/>
    <n v="256"/>
    <n v="2025"/>
    <x v="1"/>
    <s v="其他猜你喜欢"/>
    <x v="2"/>
    <x v="1"/>
  </r>
  <r>
    <x v="1"/>
    <x v="79"/>
    <x v="1"/>
    <x v="4"/>
    <x v="15"/>
    <n v="16"/>
    <n v="9"/>
    <n v="0"/>
    <n v="0"/>
    <n v="0"/>
    <n v="0"/>
    <n v="0"/>
    <n v="0"/>
    <n v="1"/>
    <n v="9"/>
    <n v="2025"/>
    <x v="1"/>
    <s v="购中推荐"/>
    <x v="2"/>
    <x v="1"/>
  </r>
  <r>
    <x v="1"/>
    <x v="79"/>
    <x v="1"/>
    <x v="4"/>
    <x v="16"/>
    <n v="112"/>
    <n v="80"/>
    <n v="0"/>
    <n v="0"/>
    <n v="0"/>
    <n v="0"/>
    <n v="0"/>
    <n v="0"/>
    <n v="3"/>
    <n v="56"/>
    <n v="2025"/>
    <x v="1"/>
    <s v="购后推荐"/>
    <x v="2"/>
    <x v="1"/>
  </r>
  <r>
    <x v="1"/>
    <x v="79"/>
    <x v="1"/>
    <x v="4"/>
    <x v="17"/>
    <n v="4645"/>
    <n v="3707"/>
    <n v="50"/>
    <n v="35"/>
    <n v="28082"/>
    <n v="6"/>
    <n v="23102"/>
    <n v="6"/>
    <n v="267"/>
    <n v="4645"/>
    <n v="2025"/>
    <x v="1"/>
    <s v="首页推荐-微详情"/>
    <x v="2"/>
    <x v="1"/>
  </r>
  <r>
    <x v="1"/>
    <x v="79"/>
    <x v="1"/>
    <x v="4"/>
    <x v="18"/>
    <n v="1"/>
    <n v="0"/>
    <n v="0"/>
    <n v="0"/>
    <n v="0"/>
    <n v="0"/>
    <n v="0"/>
    <n v="0"/>
    <n v="0"/>
    <n v="0"/>
    <n v="2025"/>
    <x v="1"/>
    <s v="首页推荐-直播"/>
    <x v="2"/>
    <x v="1"/>
  </r>
  <r>
    <x v="1"/>
    <x v="79"/>
    <x v="1"/>
    <x v="4"/>
    <x v="19"/>
    <n v="470"/>
    <n v="328"/>
    <n v="1"/>
    <n v="0"/>
    <n v="0"/>
    <n v="0"/>
    <n v="0"/>
    <n v="0"/>
    <n v="3"/>
    <n v="31"/>
    <n v="2025"/>
    <x v="1"/>
    <s v="首页推荐-短视频"/>
    <x v="2"/>
    <x v="1"/>
  </r>
  <r>
    <x v="1"/>
    <x v="79"/>
    <x v="1"/>
    <x v="12"/>
    <x v="42"/>
    <n v="773"/>
    <n v="576"/>
    <n v="63"/>
    <n v="8"/>
    <n v="62393"/>
    <n v="16"/>
    <n v="51073"/>
    <n v="16"/>
    <n v="350"/>
    <n v="567"/>
    <n v="2025"/>
    <x v="1"/>
    <s v="手淘搜索-商品及其他"/>
    <x v="2"/>
    <x v="1"/>
  </r>
  <r>
    <x v="1"/>
    <x v="79"/>
    <x v="1"/>
    <x v="12"/>
    <x v="44"/>
    <n v="14"/>
    <n v="7"/>
    <n v="0"/>
    <n v="1"/>
    <n v="2298"/>
    <n v="1"/>
    <n v="2298"/>
    <n v="1"/>
    <n v="1"/>
    <n v="14"/>
    <n v="2025"/>
    <x v="1"/>
    <s v="手淘搜索-短视频"/>
    <x v="2"/>
    <x v="1"/>
  </r>
  <r>
    <x v="1"/>
    <x v="79"/>
    <x v="1"/>
    <x v="11"/>
    <x v="37"/>
    <n v="11"/>
    <n v="9"/>
    <n v="0"/>
    <n v="0"/>
    <n v="0"/>
    <n v="0"/>
    <n v="0"/>
    <n v="0"/>
    <n v="0"/>
    <n v="11"/>
    <n v="2025"/>
    <x v="1"/>
    <s v="淘特其他渠道"/>
    <x v="2"/>
    <x v="1"/>
  </r>
  <r>
    <x v="1"/>
    <x v="79"/>
    <x v="1"/>
    <x v="11"/>
    <x v="39"/>
    <n v="23"/>
    <n v="23"/>
    <n v="0"/>
    <n v="0"/>
    <n v="0"/>
    <n v="0"/>
    <n v="0"/>
    <n v="0"/>
    <n v="0"/>
    <n v="23"/>
    <n v="2025"/>
    <x v="1"/>
    <s v="淘特搜索"/>
    <x v="2"/>
    <x v="1"/>
  </r>
  <r>
    <x v="1"/>
    <x v="79"/>
    <x v="0"/>
    <x v="5"/>
    <x v="41"/>
    <n v="2"/>
    <n v="1"/>
    <n v="0"/>
    <n v="0"/>
    <n v="0"/>
    <n v="0"/>
    <n v="0"/>
    <n v="0"/>
    <n v="0"/>
    <n v="1"/>
    <n v="2025"/>
    <x v="1"/>
    <s v="超级直播"/>
    <x v="2"/>
    <x v="1"/>
  </r>
  <r>
    <x v="1"/>
    <x v="79"/>
    <x v="0"/>
    <x v="5"/>
    <x v="20"/>
    <n v="1"/>
    <n v="1"/>
    <n v="0"/>
    <n v="0"/>
    <n v="0"/>
    <n v="0"/>
    <n v="0"/>
    <n v="0"/>
    <n v="0"/>
    <n v="1"/>
    <n v="2025"/>
    <x v="1"/>
    <s v="超级短视频"/>
    <x v="2"/>
    <x v="1"/>
  </r>
  <r>
    <x v="1"/>
    <x v="79"/>
    <x v="0"/>
    <x v="6"/>
    <x v="21"/>
    <n v="1"/>
    <n v="0"/>
    <n v="0"/>
    <n v="0"/>
    <n v="0"/>
    <n v="0"/>
    <n v="0"/>
    <n v="0"/>
    <n v="1"/>
    <n v="0"/>
    <n v="2025"/>
    <x v="1"/>
    <s v="品销宝-品牌专区"/>
    <x v="2"/>
    <x v="1"/>
  </r>
  <r>
    <x v="1"/>
    <x v="79"/>
    <x v="0"/>
    <x v="6"/>
    <x v="49"/>
    <n v="1"/>
    <n v="0"/>
    <n v="0"/>
    <n v="0"/>
    <n v="0"/>
    <n v="0"/>
    <n v="0"/>
    <n v="0"/>
    <n v="0"/>
    <n v="1"/>
    <n v="2025"/>
    <x v="1"/>
    <s v="超级全域通"/>
    <x v="2"/>
    <x v="1"/>
  </r>
  <r>
    <x v="1"/>
    <x v="79"/>
    <x v="0"/>
    <x v="0"/>
    <x v="1"/>
    <n v="6807"/>
    <n v="3831"/>
    <n v="32"/>
    <n v="23"/>
    <n v="41173"/>
    <n v="4"/>
    <n v="4485"/>
    <n v="2"/>
    <n v="140"/>
    <n v="6807"/>
    <n v="2025"/>
    <x v="1"/>
    <s v="引力魔方"/>
    <x v="2"/>
    <x v="1"/>
  </r>
  <r>
    <x v="1"/>
    <x v="79"/>
    <x v="0"/>
    <x v="0"/>
    <x v="2"/>
    <n v="6185"/>
    <n v="5329"/>
    <n v="68"/>
    <n v="29"/>
    <n v="164948"/>
    <n v="28"/>
    <n v="74118"/>
    <n v="17"/>
    <n v="323"/>
    <n v="6132"/>
    <n v="2025"/>
    <x v="1"/>
    <s v="直通车"/>
    <x v="2"/>
    <x v="1"/>
  </r>
  <r>
    <x v="1"/>
    <x v="79"/>
    <x v="0"/>
    <x v="0"/>
    <x v="0"/>
    <n v="5527"/>
    <n v="2943"/>
    <n v="235"/>
    <n v="219"/>
    <n v="190246.74"/>
    <n v="51"/>
    <n v="140748.74"/>
    <n v="43"/>
    <n v="753"/>
    <n v="5309"/>
    <n v="2025"/>
    <x v="1"/>
    <s v="万相台"/>
    <x v="2"/>
    <x v="1"/>
  </r>
  <r>
    <x v="1"/>
    <x v="79"/>
    <x v="0"/>
    <x v="7"/>
    <x v="23"/>
    <n v="3"/>
    <n v="1"/>
    <n v="0"/>
    <n v="0"/>
    <n v="0"/>
    <n v="0"/>
    <n v="0"/>
    <n v="0"/>
    <n v="0"/>
    <n v="3"/>
    <n v="2025"/>
    <x v="1"/>
    <s v="流量宝"/>
    <x v="2"/>
    <x v="1"/>
  </r>
  <r>
    <x v="1"/>
    <x v="79"/>
    <x v="0"/>
    <x v="7"/>
    <x v="24"/>
    <n v="701"/>
    <n v="376"/>
    <n v="292"/>
    <n v="13"/>
    <n v="330025"/>
    <n v="89"/>
    <n v="253120"/>
    <n v="74"/>
    <n v="13"/>
    <n v="701"/>
    <n v="2025"/>
    <x v="1"/>
    <s v="淘宝客"/>
    <x v="2"/>
    <x v="1"/>
  </r>
  <r>
    <x v="1"/>
    <x v="80"/>
    <x v="1"/>
    <x v="8"/>
    <x v="25"/>
    <n v="187"/>
    <n v="100"/>
    <n v="2"/>
    <n v="3"/>
    <n v="0"/>
    <n v="0"/>
    <n v="0"/>
    <n v="0"/>
    <n v="12"/>
    <n v="175"/>
    <n v="2025"/>
    <x v="1"/>
    <s v="主会场"/>
    <x v="2"/>
    <x v="1"/>
  </r>
  <r>
    <x v="1"/>
    <x v="80"/>
    <x v="1"/>
    <x v="1"/>
    <x v="3"/>
    <n v="1"/>
    <n v="0"/>
    <n v="0"/>
    <n v="0"/>
    <n v="0"/>
    <n v="0"/>
    <n v="0"/>
    <n v="0"/>
    <n v="1"/>
    <n v="1"/>
    <n v="2025"/>
    <x v="1"/>
    <s v="其他入口榜单"/>
    <x v="2"/>
    <x v="1"/>
  </r>
  <r>
    <x v="1"/>
    <x v="80"/>
    <x v="1"/>
    <x v="3"/>
    <x v="11"/>
    <n v="194"/>
    <n v="97"/>
    <n v="10"/>
    <n v="3"/>
    <n v="0"/>
    <n v="0"/>
    <n v="0"/>
    <n v="0"/>
    <n v="34"/>
    <n v="192"/>
    <n v="2025"/>
    <x v="1"/>
    <s v="商品详情页头图推荐"/>
    <x v="2"/>
    <x v="1"/>
  </r>
  <r>
    <x v="1"/>
    <x v="80"/>
    <x v="1"/>
    <x v="3"/>
    <x v="12"/>
    <n v="26"/>
    <n v="19"/>
    <n v="1"/>
    <n v="0"/>
    <n v="0"/>
    <n v="0"/>
    <n v="0"/>
    <n v="0"/>
    <n v="24"/>
    <n v="9"/>
    <n v="2025"/>
    <x v="1"/>
    <s v="店铺超链"/>
    <x v="2"/>
    <x v="1"/>
  </r>
  <r>
    <x v="1"/>
    <x v="80"/>
    <x v="1"/>
    <x v="4"/>
    <x v="13"/>
    <n v="220"/>
    <n v="112"/>
    <n v="8"/>
    <n v="1"/>
    <n v="3395"/>
    <n v="1"/>
    <n v="3395"/>
    <n v="1"/>
    <n v="40"/>
    <n v="205"/>
    <n v="2025"/>
    <x v="1"/>
    <s v="其他猜你喜欢"/>
    <x v="2"/>
    <x v="1"/>
  </r>
  <r>
    <x v="1"/>
    <x v="80"/>
    <x v="1"/>
    <x v="4"/>
    <x v="15"/>
    <n v="16"/>
    <n v="11"/>
    <n v="0"/>
    <n v="0"/>
    <n v="0"/>
    <n v="0"/>
    <n v="0"/>
    <n v="0"/>
    <n v="1"/>
    <n v="14"/>
    <n v="2025"/>
    <x v="1"/>
    <s v="购中推荐"/>
    <x v="2"/>
    <x v="1"/>
  </r>
  <r>
    <x v="1"/>
    <x v="80"/>
    <x v="1"/>
    <x v="4"/>
    <x v="16"/>
    <n v="53"/>
    <n v="43"/>
    <n v="1"/>
    <n v="0"/>
    <n v="0"/>
    <n v="0"/>
    <n v="0"/>
    <n v="0"/>
    <n v="1"/>
    <n v="50"/>
    <n v="2025"/>
    <x v="1"/>
    <s v="购后推荐"/>
    <x v="2"/>
    <x v="1"/>
  </r>
  <r>
    <x v="1"/>
    <x v="80"/>
    <x v="1"/>
    <x v="4"/>
    <x v="17"/>
    <n v="3070"/>
    <n v="2223"/>
    <n v="39"/>
    <n v="21"/>
    <n v="5170"/>
    <n v="3"/>
    <n v="1990"/>
    <n v="1"/>
    <n v="176"/>
    <n v="3070"/>
    <n v="2025"/>
    <x v="1"/>
    <s v="首页推荐-微详情"/>
    <x v="2"/>
    <x v="1"/>
  </r>
  <r>
    <x v="1"/>
    <x v="80"/>
    <x v="1"/>
    <x v="4"/>
    <x v="19"/>
    <n v="112"/>
    <n v="50"/>
    <n v="0"/>
    <n v="1"/>
    <n v="0"/>
    <n v="0"/>
    <n v="0"/>
    <n v="0"/>
    <n v="3"/>
    <n v="14"/>
    <n v="2025"/>
    <x v="1"/>
    <s v="首页推荐-短视频"/>
    <x v="2"/>
    <x v="1"/>
  </r>
  <r>
    <x v="1"/>
    <x v="80"/>
    <x v="1"/>
    <x v="12"/>
    <x v="42"/>
    <n v="755"/>
    <n v="571"/>
    <n v="40"/>
    <n v="9"/>
    <n v="5657"/>
    <n v="2"/>
    <n v="5657"/>
    <n v="2"/>
    <n v="335"/>
    <n v="567"/>
    <n v="2025"/>
    <x v="1"/>
    <s v="手淘搜索-商品及其他"/>
    <x v="2"/>
    <x v="1"/>
  </r>
  <r>
    <x v="1"/>
    <x v="80"/>
    <x v="1"/>
    <x v="12"/>
    <x v="44"/>
    <n v="10"/>
    <n v="4"/>
    <n v="2"/>
    <n v="0"/>
    <n v="0"/>
    <n v="0"/>
    <n v="0"/>
    <n v="0"/>
    <n v="0"/>
    <n v="10"/>
    <n v="2025"/>
    <x v="1"/>
    <s v="手淘搜索-短视频"/>
    <x v="2"/>
    <x v="1"/>
  </r>
  <r>
    <x v="1"/>
    <x v="80"/>
    <x v="1"/>
    <x v="11"/>
    <x v="37"/>
    <n v="10"/>
    <n v="9"/>
    <n v="0"/>
    <n v="0"/>
    <n v="0"/>
    <n v="0"/>
    <n v="0"/>
    <n v="0"/>
    <n v="0"/>
    <n v="10"/>
    <n v="2025"/>
    <x v="1"/>
    <s v="淘特其他渠道"/>
    <x v="2"/>
    <x v="1"/>
  </r>
  <r>
    <x v="1"/>
    <x v="80"/>
    <x v="1"/>
    <x v="11"/>
    <x v="39"/>
    <n v="36"/>
    <n v="34"/>
    <n v="1"/>
    <n v="0"/>
    <n v="0"/>
    <n v="0"/>
    <n v="0"/>
    <n v="0"/>
    <n v="0"/>
    <n v="36"/>
    <n v="2025"/>
    <x v="1"/>
    <s v="淘特搜索"/>
    <x v="2"/>
    <x v="1"/>
  </r>
  <r>
    <x v="1"/>
    <x v="80"/>
    <x v="1"/>
    <x v="11"/>
    <x v="40"/>
    <n v="1"/>
    <n v="1"/>
    <n v="0"/>
    <n v="0"/>
    <n v="0"/>
    <n v="0"/>
    <n v="0"/>
    <n v="0"/>
    <n v="0"/>
    <n v="1"/>
    <n v="2025"/>
    <x v="1"/>
    <s v="淘特自主访问"/>
    <x v="2"/>
    <x v="1"/>
  </r>
  <r>
    <x v="1"/>
    <x v="80"/>
    <x v="0"/>
    <x v="5"/>
    <x v="20"/>
    <n v="1"/>
    <n v="0"/>
    <n v="0"/>
    <n v="0"/>
    <n v="0"/>
    <n v="0"/>
    <n v="0"/>
    <n v="0"/>
    <n v="0"/>
    <n v="1"/>
    <n v="2025"/>
    <x v="1"/>
    <s v="超级短视频"/>
    <x v="2"/>
    <x v="1"/>
  </r>
  <r>
    <x v="1"/>
    <x v="80"/>
    <x v="0"/>
    <x v="0"/>
    <x v="1"/>
    <n v="6612"/>
    <n v="3714"/>
    <n v="35"/>
    <n v="26"/>
    <n v="8791"/>
    <n v="3"/>
    <n v="0"/>
    <n v="0"/>
    <n v="174"/>
    <n v="6612"/>
    <n v="2025"/>
    <x v="1"/>
    <s v="引力魔方"/>
    <x v="2"/>
    <x v="1"/>
  </r>
  <r>
    <x v="1"/>
    <x v="80"/>
    <x v="0"/>
    <x v="0"/>
    <x v="2"/>
    <n v="5891"/>
    <n v="5108"/>
    <n v="34"/>
    <n v="27"/>
    <n v="24423"/>
    <n v="7"/>
    <n v="8095"/>
    <n v="2"/>
    <n v="257"/>
    <n v="5845"/>
    <n v="2025"/>
    <x v="1"/>
    <s v="直通车"/>
    <x v="2"/>
    <x v="1"/>
  </r>
  <r>
    <x v="1"/>
    <x v="80"/>
    <x v="0"/>
    <x v="0"/>
    <x v="0"/>
    <n v="5662"/>
    <n v="2917"/>
    <n v="210"/>
    <n v="199"/>
    <n v="21834"/>
    <n v="7"/>
    <n v="9077"/>
    <n v="3"/>
    <n v="818"/>
    <n v="5450"/>
    <n v="2025"/>
    <x v="1"/>
    <s v="万相台"/>
    <x v="2"/>
    <x v="1"/>
  </r>
  <r>
    <x v="1"/>
    <x v="80"/>
    <x v="0"/>
    <x v="7"/>
    <x v="23"/>
    <n v="2"/>
    <n v="1"/>
    <n v="0"/>
    <n v="0"/>
    <n v="0"/>
    <n v="0"/>
    <n v="0"/>
    <n v="0"/>
    <n v="0"/>
    <n v="2"/>
    <n v="2025"/>
    <x v="1"/>
    <s v="流量宝"/>
    <x v="2"/>
    <x v="1"/>
  </r>
  <r>
    <x v="1"/>
    <x v="80"/>
    <x v="0"/>
    <x v="7"/>
    <x v="24"/>
    <n v="358"/>
    <n v="141"/>
    <n v="8"/>
    <n v="0"/>
    <n v="5670"/>
    <n v="2"/>
    <n v="0"/>
    <n v="0"/>
    <n v="5"/>
    <n v="354"/>
    <n v="2025"/>
    <x v="1"/>
    <s v="淘宝客"/>
    <x v="2"/>
    <x v="1"/>
  </r>
  <r>
    <x v="1"/>
    <x v="81"/>
    <x v="1"/>
    <x v="8"/>
    <x v="25"/>
    <n v="135"/>
    <n v="54"/>
    <n v="3"/>
    <n v="5"/>
    <n v="2937"/>
    <n v="1"/>
    <n v="2937"/>
    <n v="1"/>
    <n v="16"/>
    <n v="131"/>
    <n v="2025"/>
    <x v="1"/>
    <s v="主会场"/>
    <x v="2"/>
    <x v="1"/>
  </r>
  <r>
    <x v="1"/>
    <x v="81"/>
    <x v="1"/>
    <x v="1"/>
    <x v="3"/>
    <n v="2"/>
    <n v="2"/>
    <n v="0"/>
    <n v="0"/>
    <n v="0"/>
    <n v="0"/>
    <n v="0"/>
    <n v="0"/>
    <n v="0"/>
    <n v="2"/>
    <n v="2025"/>
    <x v="1"/>
    <s v="其他入口榜单"/>
    <x v="2"/>
    <x v="1"/>
  </r>
  <r>
    <x v="1"/>
    <x v="81"/>
    <x v="1"/>
    <x v="3"/>
    <x v="11"/>
    <n v="170"/>
    <n v="74"/>
    <n v="10"/>
    <n v="2"/>
    <n v="8192"/>
    <n v="3"/>
    <n v="6515"/>
    <n v="2"/>
    <n v="38"/>
    <n v="160"/>
    <n v="2025"/>
    <x v="1"/>
    <s v="商品详情页头图推荐"/>
    <x v="2"/>
    <x v="1"/>
  </r>
  <r>
    <x v="1"/>
    <x v="81"/>
    <x v="1"/>
    <x v="3"/>
    <x v="12"/>
    <n v="26"/>
    <n v="13"/>
    <n v="3"/>
    <n v="0"/>
    <n v="0"/>
    <n v="0"/>
    <n v="0"/>
    <n v="0"/>
    <n v="22"/>
    <n v="14"/>
    <n v="2025"/>
    <x v="1"/>
    <s v="店铺超链"/>
    <x v="2"/>
    <x v="1"/>
  </r>
  <r>
    <x v="1"/>
    <x v="81"/>
    <x v="1"/>
    <x v="4"/>
    <x v="13"/>
    <n v="224"/>
    <n v="128"/>
    <n v="8"/>
    <n v="2"/>
    <n v="12290"/>
    <n v="2"/>
    <n v="6090"/>
    <n v="2"/>
    <n v="36"/>
    <n v="198"/>
    <n v="2025"/>
    <x v="1"/>
    <s v="其他猜你喜欢"/>
    <x v="2"/>
    <x v="1"/>
  </r>
  <r>
    <x v="1"/>
    <x v="81"/>
    <x v="1"/>
    <x v="4"/>
    <x v="15"/>
    <n v="16"/>
    <n v="11"/>
    <n v="0"/>
    <n v="0"/>
    <n v="0"/>
    <n v="0"/>
    <n v="0"/>
    <n v="0"/>
    <n v="1"/>
    <n v="12"/>
    <n v="2025"/>
    <x v="1"/>
    <s v="购中推荐"/>
    <x v="2"/>
    <x v="1"/>
  </r>
  <r>
    <x v="1"/>
    <x v="81"/>
    <x v="1"/>
    <x v="4"/>
    <x v="16"/>
    <n v="61"/>
    <n v="43"/>
    <n v="0"/>
    <n v="0"/>
    <n v="0"/>
    <n v="0"/>
    <n v="0"/>
    <n v="0"/>
    <n v="0"/>
    <n v="32"/>
    <n v="2025"/>
    <x v="1"/>
    <s v="购后推荐"/>
    <x v="2"/>
    <x v="1"/>
  </r>
  <r>
    <x v="1"/>
    <x v="81"/>
    <x v="1"/>
    <x v="4"/>
    <x v="17"/>
    <n v="2836"/>
    <n v="2049"/>
    <n v="24"/>
    <n v="17"/>
    <n v="22581.43"/>
    <n v="8"/>
    <n v="21091.43"/>
    <n v="7"/>
    <n v="125"/>
    <n v="2836"/>
    <n v="2025"/>
    <x v="1"/>
    <s v="首页推荐-微详情"/>
    <x v="2"/>
    <x v="1"/>
  </r>
  <r>
    <x v="1"/>
    <x v="81"/>
    <x v="1"/>
    <x v="4"/>
    <x v="18"/>
    <n v="441"/>
    <n v="327"/>
    <n v="1"/>
    <n v="0"/>
    <n v="4980"/>
    <n v="2"/>
    <n v="4980"/>
    <n v="2"/>
    <n v="2"/>
    <n v="43"/>
    <n v="2025"/>
    <x v="1"/>
    <s v="首页推荐-直播"/>
    <x v="2"/>
    <x v="1"/>
  </r>
  <r>
    <x v="1"/>
    <x v="81"/>
    <x v="1"/>
    <x v="4"/>
    <x v="19"/>
    <n v="309"/>
    <n v="223"/>
    <n v="1"/>
    <n v="0"/>
    <n v="0"/>
    <n v="0"/>
    <n v="0"/>
    <n v="0"/>
    <n v="3"/>
    <n v="20"/>
    <n v="2025"/>
    <x v="1"/>
    <s v="首页推荐-短视频"/>
    <x v="2"/>
    <x v="1"/>
  </r>
  <r>
    <x v="1"/>
    <x v="81"/>
    <x v="1"/>
    <x v="12"/>
    <x v="42"/>
    <n v="886"/>
    <n v="680"/>
    <n v="53"/>
    <n v="6"/>
    <n v="52020"/>
    <n v="8"/>
    <n v="42680"/>
    <n v="6"/>
    <n v="369"/>
    <n v="673"/>
    <n v="2025"/>
    <x v="1"/>
    <s v="手淘搜索-商品及其他"/>
    <x v="2"/>
    <x v="1"/>
  </r>
  <r>
    <x v="1"/>
    <x v="81"/>
    <x v="1"/>
    <x v="12"/>
    <x v="43"/>
    <n v="8"/>
    <n v="4"/>
    <n v="0"/>
    <n v="0"/>
    <n v="0"/>
    <n v="0"/>
    <n v="0"/>
    <n v="0"/>
    <n v="2"/>
    <n v="6"/>
    <n v="2025"/>
    <x v="1"/>
    <s v="手淘搜索-直播"/>
    <x v="2"/>
    <x v="1"/>
  </r>
  <r>
    <x v="1"/>
    <x v="81"/>
    <x v="1"/>
    <x v="12"/>
    <x v="44"/>
    <n v="15"/>
    <n v="7"/>
    <n v="0"/>
    <n v="0"/>
    <n v="2750"/>
    <n v="1"/>
    <n v="2750"/>
    <n v="1"/>
    <n v="2"/>
    <n v="15"/>
    <n v="2025"/>
    <x v="1"/>
    <s v="手淘搜索-短视频"/>
    <x v="2"/>
    <x v="1"/>
  </r>
  <r>
    <x v="1"/>
    <x v="81"/>
    <x v="1"/>
    <x v="11"/>
    <x v="37"/>
    <n v="11"/>
    <n v="9"/>
    <n v="0"/>
    <n v="0"/>
    <n v="0"/>
    <n v="0"/>
    <n v="0"/>
    <n v="0"/>
    <n v="0"/>
    <n v="11"/>
    <n v="2025"/>
    <x v="1"/>
    <s v="淘特其他渠道"/>
    <x v="2"/>
    <x v="1"/>
  </r>
  <r>
    <x v="1"/>
    <x v="81"/>
    <x v="1"/>
    <x v="11"/>
    <x v="39"/>
    <n v="30"/>
    <n v="29"/>
    <n v="0"/>
    <n v="0"/>
    <n v="0"/>
    <n v="0"/>
    <n v="0"/>
    <n v="0"/>
    <n v="0"/>
    <n v="30"/>
    <n v="2025"/>
    <x v="1"/>
    <s v="淘特搜索"/>
    <x v="2"/>
    <x v="1"/>
  </r>
  <r>
    <x v="1"/>
    <x v="81"/>
    <x v="0"/>
    <x v="5"/>
    <x v="41"/>
    <n v="1357"/>
    <n v="1173"/>
    <n v="28"/>
    <n v="0"/>
    <n v="0"/>
    <n v="0"/>
    <n v="0"/>
    <n v="0"/>
    <n v="34"/>
    <n v="384"/>
    <n v="2025"/>
    <x v="1"/>
    <s v="超级直播"/>
    <x v="2"/>
    <x v="1"/>
  </r>
  <r>
    <x v="1"/>
    <x v="81"/>
    <x v="0"/>
    <x v="5"/>
    <x v="20"/>
    <n v="1"/>
    <n v="1"/>
    <n v="0"/>
    <n v="0"/>
    <n v="0"/>
    <n v="0"/>
    <n v="0"/>
    <n v="0"/>
    <n v="0"/>
    <n v="1"/>
    <n v="2025"/>
    <x v="1"/>
    <s v="超级短视频"/>
    <x v="2"/>
    <x v="1"/>
  </r>
  <r>
    <x v="1"/>
    <x v="81"/>
    <x v="0"/>
    <x v="0"/>
    <x v="1"/>
    <n v="5749"/>
    <n v="3033"/>
    <n v="97"/>
    <n v="49"/>
    <n v="48293"/>
    <n v="11"/>
    <n v="34613"/>
    <n v="8"/>
    <n v="213"/>
    <n v="5749"/>
    <n v="2025"/>
    <x v="1"/>
    <s v="引力魔方"/>
    <x v="2"/>
    <x v="1"/>
  </r>
  <r>
    <x v="1"/>
    <x v="81"/>
    <x v="0"/>
    <x v="0"/>
    <x v="2"/>
    <n v="5665"/>
    <n v="4855"/>
    <n v="38"/>
    <n v="27"/>
    <n v="41905"/>
    <n v="10"/>
    <n v="24080"/>
    <n v="7"/>
    <n v="246"/>
    <n v="5630"/>
    <n v="2025"/>
    <x v="1"/>
    <s v="直通车"/>
    <x v="2"/>
    <x v="1"/>
  </r>
  <r>
    <x v="1"/>
    <x v="81"/>
    <x v="0"/>
    <x v="0"/>
    <x v="0"/>
    <n v="4758"/>
    <n v="2549"/>
    <n v="202"/>
    <n v="176"/>
    <n v="72283"/>
    <n v="22"/>
    <n v="40970"/>
    <n v="16"/>
    <n v="743"/>
    <n v="4549"/>
    <n v="2025"/>
    <x v="1"/>
    <s v="万相台"/>
    <x v="2"/>
    <x v="1"/>
  </r>
  <r>
    <x v="1"/>
    <x v="81"/>
    <x v="0"/>
    <x v="7"/>
    <x v="23"/>
    <n v="3"/>
    <n v="3"/>
    <n v="0"/>
    <n v="0"/>
    <n v="0"/>
    <n v="0"/>
    <n v="0"/>
    <n v="0"/>
    <n v="1"/>
    <n v="2"/>
    <n v="2025"/>
    <x v="1"/>
    <s v="流量宝"/>
    <x v="2"/>
    <x v="1"/>
  </r>
  <r>
    <x v="1"/>
    <x v="81"/>
    <x v="0"/>
    <x v="7"/>
    <x v="24"/>
    <n v="310"/>
    <n v="90"/>
    <n v="8"/>
    <n v="0"/>
    <n v="16950"/>
    <n v="4"/>
    <n v="14960"/>
    <n v="4"/>
    <n v="4"/>
    <n v="303"/>
    <n v="2025"/>
    <x v="1"/>
    <s v="淘宝客"/>
    <x v="2"/>
    <x v="1"/>
  </r>
  <r>
    <x v="1"/>
    <x v="82"/>
    <x v="1"/>
    <x v="8"/>
    <x v="25"/>
    <n v="169"/>
    <n v="73"/>
    <n v="9"/>
    <n v="4"/>
    <n v="0"/>
    <n v="0"/>
    <n v="0"/>
    <n v="0"/>
    <n v="16"/>
    <n v="162"/>
    <n v="2025"/>
    <x v="1"/>
    <s v="主会场"/>
    <x v="2"/>
    <x v="1"/>
  </r>
  <r>
    <x v="1"/>
    <x v="82"/>
    <x v="1"/>
    <x v="3"/>
    <x v="11"/>
    <n v="194"/>
    <n v="91"/>
    <n v="10"/>
    <n v="2"/>
    <n v="12680"/>
    <n v="5"/>
    <n v="11000"/>
    <n v="4"/>
    <n v="44"/>
    <n v="189"/>
    <n v="2025"/>
    <x v="1"/>
    <s v="商品详情页头图推荐"/>
    <x v="2"/>
    <x v="1"/>
  </r>
  <r>
    <x v="1"/>
    <x v="82"/>
    <x v="1"/>
    <x v="3"/>
    <x v="12"/>
    <n v="29"/>
    <n v="18"/>
    <n v="2"/>
    <n v="0"/>
    <n v="0"/>
    <n v="0"/>
    <n v="0"/>
    <n v="0"/>
    <n v="26"/>
    <n v="14"/>
    <n v="2025"/>
    <x v="1"/>
    <s v="店铺超链"/>
    <x v="2"/>
    <x v="1"/>
  </r>
  <r>
    <x v="1"/>
    <x v="82"/>
    <x v="1"/>
    <x v="4"/>
    <x v="13"/>
    <n v="198"/>
    <n v="116"/>
    <n v="5"/>
    <n v="3"/>
    <n v="10317"/>
    <n v="4"/>
    <n v="8627"/>
    <n v="3"/>
    <n v="39"/>
    <n v="157"/>
    <n v="2025"/>
    <x v="1"/>
    <s v="其他猜你喜欢"/>
    <x v="2"/>
    <x v="1"/>
  </r>
  <r>
    <x v="1"/>
    <x v="82"/>
    <x v="1"/>
    <x v="4"/>
    <x v="15"/>
    <n v="21"/>
    <n v="12"/>
    <n v="1"/>
    <n v="0"/>
    <n v="4131.03"/>
    <n v="2"/>
    <n v="4131.03"/>
    <n v="2"/>
    <n v="0"/>
    <n v="12"/>
    <n v="2025"/>
    <x v="1"/>
    <s v="购中推荐"/>
    <x v="2"/>
    <x v="1"/>
  </r>
  <r>
    <x v="1"/>
    <x v="82"/>
    <x v="1"/>
    <x v="4"/>
    <x v="16"/>
    <n v="100"/>
    <n v="74"/>
    <n v="0"/>
    <n v="0"/>
    <n v="0"/>
    <n v="0"/>
    <n v="0"/>
    <n v="0"/>
    <n v="5"/>
    <n v="41"/>
    <n v="2025"/>
    <x v="1"/>
    <s v="购后推荐"/>
    <x v="2"/>
    <x v="1"/>
  </r>
  <r>
    <x v="1"/>
    <x v="82"/>
    <x v="1"/>
    <x v="4"/>
    <x v="17"/>
    <n v="2812"/>
    <n v="1984"/>
    <n v="35"/>
    <n v="18"/>
    <n v="23932.91"/>
    <n v="9"/>
    <n v="22242.91"/>
    <n v="8"/>
    <n v="152"/>
    <n v="2812"/>
    <n v="2025"/>
    <x v="1"/>
    <s v="首页推荐-微详情"/>
    <x v="2"/>
    <x v="1"/>
  </r>
  <r>
    <x v="1"/>
    <x v="82"/>
    <x v="1"/>
    <x v="4"/>
    <x v="18"/>
    <n v="655"/>
    <n v="573"/>
    <n v="0"/>
    <n v="0"/>
    <n v="0"/>
    <n v="0"/>
    <n v="0"/>
    <n v="0"/>
    <n v="5"/>
    <n v="46"/>
    <n v="2025"/>
    <x v="1"/>
    <s v="首页推荐-直播"/>
    <x v="2"/>
    <x v="1"/>
  </r>
  <r>
    <x v="1"/>
    <x v="82"/>
    <x v="1"/>
    <x v="4"/>
    <x v="19"/>
    <n v="308"/>
    <n v="185"/>
    <n v="1"/>
    <n v="0"/>
    <n v="0"/>
    <n v="0"/>
    <n v="0"/>
    <n v="0"/>
    <n v="3"/>
    <n v="25"/>
    <n v="2025"/>
    <x v="1"/>
    <s v="首页推荐-短视频"/>
    <x v="2"/>
    <x v="1"/>
  </r>
  <r>
    <x v="1"/>
    <x v="82"/>
    <x v="1"/>
    <x v="12"/>
    <x v="42"/>
    <n v="752"/>
    <n v="555"/>
    <n v="32"/>
    <n v="7"/>
    <n v="7673"/>
    <n v="4"/>
    <n v="7673"/>
    <n v="4"/>
    <n v="307"/>
    <n v="548"/>
    <n v="2025"/>
    <x v="1"/>
    <s v="手淘搜索-商品及其他"/>
    <x v="2"/>
    <x v="1"/>
  </r>
  <r>
    <x v="1"/>
    <x v="82"/>
    <x v="1"/>
    <x v="12"/>
    <x v="43"/>
    <n v="8"/>
    <n v="4"/>
    <n v="0"/>
    <n v="0"/>
    <n v="0"/>
    <n v="0"/>
    <n v="0"/>
    <n v="0"/>
    <n v="0"/>
    <n v="4"/>
    <n v="2025"/>
    <x v="1"/>
    <s v="手淘搜索-直播"/>
    <x v="2"/>
    <x v="1"/>
  </r>
  <r>
    <x v="1"/>
    <x v="82"/>
    <x v="1"/>
    <x v="12"/>
    <x v="44"/>
    <n v="9"/>
    <n v="7"/>
    <n v="0"/>
    <n v="0"/>
    <n v="0"/>
    <n v="0"/>
    <n v="0"/>
    <n v="0"/>
    <n v="1"/>
    <n v="9"/>
    <n v="2025"/>
    <x v="1"/>
    <s v="手淘搜索-短视频"/>
    <x v="2"/>
    <x v="1"/>
  </r>
  <r>
    <x v="1"/>
    <x v="82"/>
    <x v="1"/>
    <x v="11"/>
    <x v="37"/>
    <n v="5"/>
    <n v="4"/>
    <n v="0"/>
    <n v="0"/>
    <n v="0"/>
    <n v="0"/>
    <n v="0"/>
    <n v="0"/>
    <n v="0"/>
    <n v="5"/>
    <n v="2025"/>
    <x v="1"/>
    <s v="淘特其他渠道"/>
    <x v="2"/>
    <x v="1"/>
  </r>
  <r>
    <x v="1"/>
    <x v="82"/>
    <x v="1"/>
    <x v="11"/>
    <x v="39"/>
    <n v="25"/>
    <n v="25"/>
    <n v="0"/>
    <n v="0"/>
    <n v="0"/>
    <n v="0"/>
    <n v="0"/>
    <n v="0"/>
    <n v="0"/>
    <n v="25"/>
    <n v="2025"/>
    <x v="1"/>
    <s v="淘特搜索"/>
    <x v="2"/>
    <x v="1"/>
  </r>
  <r>
    <x v="1"/>
    <x v="82"/>
    <x v="0"/>
    <x v="5"/>
    <x v="41"/>
    <n v="1377"/>
    <n v="1273"/>
    <n v="5"/>
    <n v="1"/>
    <n v="0"/>
    <n v="0"/>
    <n v="0"/>
    <n v="0"/>
    <n v="9"/>
    <n v="189"/>
    <n v="2025"/>
    <x v="1"/>
    <s v="超级直播"/>
    <x v="2"/>
    <x v="1"/>
  </r>
  <r>
    <x v="1"/>
    <x v="82"/>
    <x v="0"/>
    <x v="6"/>
    <x v="49"/>
    <n v="1"/>
    <n v="1"/>
    <n v="0"/>
    <n v="0"/>
    <n v="0"/>
    <n v="0"/>
    <n v="0"/>
    <n v="0"/>
    <n v="0"/>
    <n v="0"/>
    <n v="2025"/>
    <x v="1"/>
    <s v="超级全域通"/>
    <x v="2"/>
    <x v="1"/>
  </r>
  <r>
    <x v="1"/>
    <x v="82"/>
    <x v="0"/>
    <x v="0"/>
    <x v="1"/>
    <n v="7779"/>
    <n v="4541"/>
    <n v="69"/>
    <n v="35"/>
    <n v="50018"/>
    <n v="10"/>
    <n v="32723"/>
    <n v="8"/>
    <n v="261"/>
    <n v="7776"/>
    <n v="2025"/>
    <x v="1"/>
    <s v="引力魔方"/>
    <x v="2"/>
    <x v="1"/>
  </r>
  <r>
    <x v="1"/>
    <x v="82"/>
    <x v="0"/>
    <x v="0"/>
    <x v="2"/>
    <n v="5655"/>
    <n v="4945"/>
    <n v="39"/>
    <n v="19"/>
    <n v="14415"/>
    <n v="4"/>
    <n v="1690"/>
    <n v="1"/>
    <n v="283"/>
    <n v="5609"/>
    <n v="2025"/>
    <x v="1"/>
    <s v="直通车"/>
    <x v="2"/>
    <x v="1"/>
  </r>
  <r>
    <x v="1"/>
    <x v="82"/>
    <x v="0"/>
    <x v="0"/>
    <x v="0"/>
    <n v="4891"/>
    <n v="2796"/>
    <n v="159"/>
    <n v="190"/>
    <n v="99889"/>
    <n v="31"/>
    <n v="63377"/>
    <n v="22"/>
    <n v="689"/>
    <n v="4708"/>
    <n v="2025"/>
    <x v="1"/>
    <s v="万相台"/>
    <x v="2"/>
    <x v="1"/>
  </r>
  <r>
    <x v="1"/>
    <x v="82"/>
    <x v="0"/>
    <x v="7"/>
    <x v="23"/>
    <n v="3"/>
    <n v="2"/>
    <n v="0"/>
    <n v="0"/>
    <n v="0"/>
    <n v="0"/>
    <n v="0"/>
    <n v="0"/>
    <n v="0"/>
    <n v="3"/>
    <n v="2025"/>
    <x v="1"/>
    <s v="流量宝"/>
    <x v="2"/>
    <x v="1"/>
  </r>
  <r>
    <x v="1"/>
    <x v="82"/>
    <x v="0"/>
    <x v="7"/>
    <x v="24"/>
    <n v="336"/>
    <n v="122"/>
    <n v="5"/>
    <n v="2"/>
    <n v="8801.0300000000007"/>
    <n v="3"/>
    <n v="8801.0300000000007"/>
    <n v="3"/>
    <n v="2"/>
    <n v="334"/>
    <n v="2025"/>
    <x v="1"/>
    <s v="淘宝客"/>
    <x v="2"/>
    <x v="1"/>
  </r>
  <r>
    <x v="1"/>
    <x v="83"/>
    <x v="1"/>
    <x v="8"/>
    <x v="25"/>
    <n v="102"/>
    <n v="61"/>
    <n v="0"/>
    <n v="0"/>
    <n v="3850"/>
    <n v="1"/>
    <n v="0"/>
    <n v="0"/>
    <n v="10"/>
    <n v="101"/>
    <n v="2025"/>
    <x v="1"/>
    <s v="主会场"/>
    <x v="2"/>
    <x v="1"/>
  </r>
  <r>
    <x v="1"/>
    <x v="83"/>
    <x v="1"/>
    <x v="1"/>
    <x v="3"/>
    <n v="1"/>
    <n v="1"/>
    <n v="0"/>
    <n v="0"/>
    <n v="0"/>
    <n v="0"/>
    <n v="0"/>
    <n v="0"/>
    <n v="0"/>
    <n v="1"/>
    <n v="2025"/>
    <x v="1"/>
    <s v="其他入口榜单"/>
    <x v="2"/>
    <x v="1"/>
  </r>
  <r>
    <x v="1"/>
    <x v="83"/>
    <x v="1"/>
    <x v="3"/>
    <x v="11"/>
    <n v="271"/>
    <n v="177"/>
    <n v="8"/>
    <n v="3"/>
    <n v="6990"/>
    <n v="2"/>
    <n v="4240"/>
    <n v="2"/>
    <n v="51"/>
    <n v="265"/>
    <n v="2025"/>
    <x v="1"/>
    <s v="商品详情页头图推荐"/>
    <x v="2"/>
    <x v="1"/>
  </r>
  <r>
    <x v="1"/>
    <x v="83"/>
    <x v="1"/>
    <x v="3"/>
    <x v="12"/>
    <n v="19"/>
    <n v="6"/>
    <n v="1"/>
    <n v="0"/>
    <n v="4690"/>
    <n v="1"/>
    <n v="4690"/>
    <n v="1"/>
    <n v="17"/>
    <n v="10"/>
    <n v="2025"/>
    <x v="1"/>
    <s v="店铺超链"/>
    <x v="2"/>
    <x v="1"/>
  </r>
  <r>
    <x v="1"/>
    <x v="83"/>
    <x v="1"/>
    <x v="4"/>
    <x v="13"/>
    <n v="269"/>
    <n v="174"/>
    <n v="8"/>
    <n v="3"/>
    <n v="6990"/>
    <n v="2"/>
    <n v="4240"/>
    <n v="2"/>
    <n v="34"/>
    <n v="244"/>
    <n v="2025"/>
    <x v="1"/>
    <s v="其他猜你喜欢"/>
    <x v="2"/>
    <x v="1"/>
  </r>
  <r>
    <x v="1"/>
    <x v="83"/>
    <x v="1"/>
    <x v="4"/>
    <x v="15"/>
    <n v="10"/>
    <n v="6"/>
    <n v="0"/>
    <n v="0"/>
    <n v="0"/>
    <n v="0"/>
    <n v="0"/>
    <n v="0"/>
    <n v="0"/>
    <n v="6"/>
    <n v="2025"/>
    <x v="1"/>
    <s v="购中推荐"/>
    <x v="2"/>
    <x v="1"/>
  </r>
  <r>
    <x v="1"/>
    <x v="83"/>
    <x v="1"/>
    <x v="4"/>
    <x v="16"/>
    <n v="113"/>
    <n v="64"/>
    <n v="2"/>
    <n v="0"/>
    <n v="0"/>
    <n v="0"/>
    <n v="0"/>
    <n v="0"/>
    <n v="5"/>
    <n v="58"/>
    <n v="2025"/>
    <x v="1"/>
    <s v="购后推荐"/>
    <x v="2"/>
    <x v="1"/>
  </r>
  <r>
    <x v="1"/>
    <x v="83"/>
    <x v="1"/>
    <x v="4"/>
    <x v="17"/>
    <n v="8540"/>
    <n v="7521"/>
    <n v="50"/>
    <n v="45"/>
    <n v="12960"/>
    <n v="5"/>
    <n v="10210"/>
    <n v="5"/>
    <n v="476"/>
    <n v="8540"/>
    <n v="2025"/>
    <x v="1"/>
    <s v="首页推荐-微详情"/>
    <x v="2"/>
    <x v="1"/>
  </r>
  <r>
    <x v="1"/>
    <x v="83"/>
    <x v="1"/>
    <x v="4"/>
    <x v="18"/>
    <n v="452"/>
    <n v="362"/>
    <n v="0"/>
    <n v="0"/>
    <n v="0"/>
    <n v="0"/>
    <n v="0"/>
    <n v="0"/>
    <n v="0"/>
    <n v="24"/>
    <n v="2025"/>
    <x v="1"/>
    <s v="首页推荐-直播"/>
    <x v="2"/>
    <x v="1"/>
  </r>
  <r>
    <x v="1"/>
    <x v="83"/>
    <x v="1"/>
    <x v="4"/>
    <x v="19"/>
    <n v="268"/>
    <n v="126"/>
    <n v="2"/>
    <n v="0"/>
    <n v="1490"/>
    <n v="1"/>
    <n v="1490"/>
    <n v="1"/>
    <n v="4"/>
    <n v="33"/>
    <n v="2025"/>
    <x v="1"/>
    <s v="首页推荐-短视频"/>
    <x v="2"/>
    <x v="1"/>
  </r>
  <r>
    <x v="1"/>
    <x v="83"/>
    <x v="1"/>
    <x v="12"/>
    <x v="42"/>
    <n v="715"/>
    <n v="527"/>
    <n v="24"/>
    <n v="12"/>
    <n v="6630.61"/>
    <n v="4"/>
    <n v="1960.61"/>
    <n v="1"/>
    <n v="319"/>
    <n v="531"/>
    <n v="2025"/>
    <x v="1"/>
    <s v="手淘搜索-商品及其他"/>
    <x v="2"/>
    <x v="1"/>
  </r>
  <r>
    <x v="1"/>
    <x v="83"/>
    <x v="1"/>
    <x v="12"/>
    <x v="43"/>
    <n v="7"/>
    <n v="5"/>
    <n v="0"/>
    <n v="0"/>
    <n v="0"/>
    <n v="0"/>
    <n v="0"/>
    <n v="0"/>
    <n v="0"/>
    <n v="5"/>
    <n v="2025"/>
    <x v="1"/>
    <s v="手淘搜索-直播"/>
    <x v="2"/>
    <x v="1"/>
  </r>
  <r>
    <x v="1"/>
    <x v="83"/>
    <x v="1"/>
    <x v="12"/>
    <x v="44"/>
    <n v="14"/>
    <n v="7"/>
    <n v="0"/>
    <n v="0"/>
    <n v="0"/>
    <n v="0"/>
    <n v="0"/>
    <n v="0"/>
    <n v="0"/>
    <n v="14"/>
    <n v="2025"/>
    <x v="1"/>
    <s v="手淘搜索-短视频"/>
    <x v="2"/>
    <x v="1"/>
  </r>
  <r>
    <x v="1"/>
    <x v="83"/>
    <x v="1"/>
    <x v="11"/>
    <x v="37"/>
    <n v="7"/>
    <n v="6"/>
    <n v="0"/>
    <n v="0"/>
    <n v="0"/>
    <n v="0"/>
    <n v="0"/>
    <n v="0"/>
    <n v="0"/>
    <n v="7"/>
    <n v="2025"/>
    <x v="1"/>
    <s v="淘特其他渠道"/>
    <x v="2"/>
    <x v="1"/>
  </r>
  <r>
    <x v="1"/>
    <x v="83"/>
    <x v="1"/>
    <x v="11"/>
    <x v="39"/>
    <n v="34"/>
    <n v="33"/>
    <n v="0"/>
    <n v="0"/>
    <n v="0"/>
    <n v="0"/>
    <n v="0"/>
    <n v="0"/>
    <n v="0"/>
    <n v="34"/>
    <n v="2025"/>
    <x v="1"/>
    <s v="淘特搜索"/>
    <x v="2"/>
    <x v="1"/>
  </r>
  <r>
    <x v="1"/>
    <x v="83"/>
    <x v="0"/>
    <x v="5"/>
    <x v="41"/>
    <n v="1139"/>
    <n v="926"/>
    <n v="9"/>
    <n v="3"/>
    <n v="0"/>
    <n v="0"/>
    <n v="0"/>
    <n v="0"/>
    <n v="21"/>
    <n v="193"/>
    <n v="2025"/>
    <x v="1"/>
    <s v="超级直播"/>
    <x v="2"/>
    <x v="1"/>
  </r>
  <r>
    <x v="1"/>
    <x v="83"/>
    <x v="0"/>
    <x v="5"/>
    <x v="20"/>
    <n v="4"/>
    <n v="1"/>
    <n v="0"/>
    <n v="0"/>
    <n v="0"/>
    <n v="0"/>
    <n v="0"/>
    <n v="0"/>
    <n v="0"/>
    <n v="4"/>
    <n v="2025"/>
    <x v="1"/>
    <s v="超级短视频"/>
    <x v="2"/>
    <x v="1"/>
  </r>
  <r>
    <x v="1"/>
    <x v="83"/>
    <x v="0"/>
    <x v="6"/>
    <x v="45"/>
    <n v="1"/>
    <n v="1"/>
    <n v="0"/>
    <n v="0"/>
    <n v="0"/>
    <n v="0"/>
    <n v="0"/>
    <n v="0"/>
    <n v="0"/>
    <n v="0"/>
    <n v="2025"/>
    <x v="1"/>
    <s v="品牌定制"/>
    <x v="2"/>
    <x v="1"/>
  </r>
  <r>
    <x v="1"/>
    <x v="83"/>
    <x v="0"/>
    <x v="6"/>
    <x v="49"/>
    <n v="3"/>
    <n v="1"/>
    <n v="0"/>
    <n v="0"/>
    <n v="0"/>
    <n v="0"/>
    <n v="0"/>
    <n v="0"/>
    <n v="0"/>
    <n v="3"/>
    <n v="2025"/>
    <x v="1"/>
    <s v="超级全域通"/>
    <x v="2"/>
    <x v="1"/>
  </r>
  <r>
    <x v="1"/>
    <x v="83"/>
    <x v="0"/>
    <x v="0"/>
    <x v="1"/>
    <n v="7985"/>
    <n v="4783"/>
    <n v="52"/>
    <n v="44"/>
    <n v="19200"/>
    <n v="5"/>
    <n v="6935"/>
    <n v="2"/>
    <n v="205"/>
    <n v="7985"/>
    <n v="2025"/>
    <x v="1"/>
    <s v="引力魔方"/>
    <x v="2"/>
    <x v="1"/>
  </r>
  <r>
    <x v="1"/>
    <x v="83"/>
    <x v="0"/>
    <x v="0"/>
    <x v="2"/>
    <n v="4868"/>
    <n v="4215"/>
    <n v="42"/>
    <n v="25"/>
    <n v="45287"/>
    <n v="7"/>
    <n v="11337"/>
    <n v="4"/>
    <n v="231"/>
    <n v="4831"/>
    <n v="2025"/>
    <x v="1"/>
    <s v="直通车"/>
    <x v="2"/>
    <x v="1"/>
  </r>
  <r>
    <x v="1"/>
    <x v="83"/>
    <x v="0"/>
    <x v="0"/>
    <x v="0"/>
    <n v="4133"/>
    <n v="2400"/>
    <n v="125"/>
    <n v="158"/>
    <n v="43890.47"/>
    <n v="15"/>
    <n v="30137.47"/>
    <n v="11"/>
    <n v="595"/>
    <n v="3958"/>
    <n v="2025"/>
    <x v="1"/>
    <s v="万相台"/>
    <x v="2"/>
    <x v="1"/>
  </r>
  <r>
    <x v="1"/>
    <x v="83"/>
    <x v="0"/>
    <x v="7"/>
    <x v="23"/>
    <n v="2"/>
    <n v="1"/>
    <n v="0"/>
    <n v="0"/>
    <n v="0"/>
    <n v="0"/>
    <n v="0"/>
    <n v="0"/>
    <n v="0"/>
    <n v="2"/>
    <n v="2025"/>
    <x v="1"/>
    <s v="流量宝"/>
    <x v="2"/>
    <x v="1"/>
  </r>
  <r>
    <x v="1"/>
    <x v="83"/>
    <x v="0"/>
    <x v="7"/>
    <x v="24"/>
    <n v="327"/>
    <n v="124"/>
    <n v="5"/>
    <n v="1"/>
    <n v="7565"/>
    <n v="2"/>
    <n v="4690"/>
    <n v="1"/>
    <n v="1"/>
    <n v="326"/>
    <n v="2025"/>
    <x v="1"/>
    <s v="淘宝客"/>
    <x v="2"/>
    <x v="1"/>
  </r>
  <r>
    <x v="1"/>
    <x v="84"/>
    <x v="1"/>
    <x v="8"/>
    <x v="25"/>
    <n v="131"/>
    <n v="60"/>
    <n v="6"/>
    <n v="3"/>
    <n v="2490"/>
    <n v="1"/>
    <n v="0"/>
    <n v="0"/>
    <n v="13"/>
    <n v="130"/>
    <n v="2025"/>
    <x v="1"/>
    <s v="主会场"/>
    <x v="2"/>
    <x v="1"/>
  </r>
  <r>
    <x v="1"/>
    <x v="84"/>
    <x v="1"/>
    <x v="1"/>
    <x v="3"/>
    <n v="1"/>
    <n v="1"/>
    <n v="0"/>
    <n v="0"/>
    <n v="0"/>
    <n v="0"/>
    <n v="0"/>
    <n v="0"/>
    <n v="0"/>
    <n v="1"/>
    <n v="2025"/>
    <x v="1"/>
    <s v="其他入口榜单"/>
    <x v="2"/>
    <x v="1"/>
  </r>
  <r>
    <x v="1"/>
    <x v="84"/>
    <x v="1"/>
    <x v="3"/>
    <x v="11"/>
    <n v="362"/>
    <n v="246"/>
    <n v="9"/>
    <n v="4"/>
    <n v="3180"/>
    <n v="2"/>
    <n v="3180"/>
    <n v="2"/>
    <n v="70"/>
    <n v="355"/>
    <n v="2025"/>
    <x v="1"/>
    <s v="商品详情页头图推荐"/>
    <x v="2"/>
    <x v="1"/>
  </r>
  <r>
    <x v="1"/>
    <x v="84"/>
    <x v="1"/>
    <x v="3"/>
    <x v="12"/>
    <n v="24"/>
    <n v="12"/>
    <n v="2"/>
    <n v="0"/>
    <n v="5945"/>
    <n v="1"/>
    <n v="5945"/>
    <n v="1"/>
    <n v="22"/>
    <n v="7"/>
    <n v="2025"/>
    <x v="1"/>
    <s v="店铺超链"/>
    <x v="2"/>
    <x v="1"/>
  </r>
  <r>
    <x v="1"/>
    <x v="84"/>
    <x v="1"/>
    <x v="4"/>
    <x v="13"/>
    <n v="371"/>
    <n v="256"/>
    <n v="8"/>
    <n v="5"/>
    <n v="4670"/>
    <n v="3"/>
    <n v="4670"/>
    <n v="3"/>
    <n v="48"/>
    <n v="336"/>
    <n v="2025"/>
    <x v="1"/>
    <s v="其他猜你喜欢"/>
    <x v="2"/>
    <x v="1"/>
  </r>
  <r>
    <x v="1"/>
    <x v="84"/>
    <x v="1"/>
    <x v="4"/>
    <x v="15"/>
    <n v="18"/>
    <n v="8"/>
    <n v="0"/>
    <n v="0"/>
    <n v="0"/>
    <n v="0"/>
    <n v="0"/>
    <n v="0"/>
    <n v="1"/>
    <n v="15"/>
    <n v="2025"/>
    <x v="1"/>
    <s v="购中推荐"/>
    <x v="2"/>
    <x v="1"/>
  </r>
  <r>
    <x v="1"/>
    <x v="84"/>
    <x v="1"/>
    <x v="4"/>
    <x v="16"/>
    <n v="68"/>
    <n v="42"/>
    <n v="0"/>
    <n v="0"/>
    <n v="0"/>
    <n v="0"/>
    <n v="0"/>
    <n v="0"/>
    <n v="3"/>
    <n v="42"/>
    <n v="2025"/>
    <x v="1"/>
    <s v="购后推荐"/>
    <x v="2"/>
    <x v="1"/>
  </r>
  <r>
    <x v="1"/>
    <x v="84"/>
    <x v="1"/>
    <x v="4"/>
    <x v="17"/>
    <n v="12280"/>
    <n v="11172"/>
    <n v="72"/>
    <n v="47"/>
    <n v="141645"/>
    <n v="8"/>
    <n v="17695"/>
    <n v="5"/>
    <n v="674"/>
    <n v="12280"/>
    <n v="2025"/>
    <x v="1"/>
    <s v="首页推荐-微详情"/>
    <x v="2"/>
    <x v="1"/>
  </r>
  <r>
    <x v="1"/>
    <x v="84"/>
    <x v="1"/>
    <x v="4"/>
    <x v="18"/>
    <n v="3"/>
    <n v="1"/>
    <n v="0"/>
    <n v="0"/>
    <n v="0"/>
    <n v="0"/>
    <n v="0"/>
    <n v="0"/>
    <n v="0"/>
    <n v="0"/>
    <n v="2025"/>
    <x v="1"/>
    <s v="首页推荐-直播"/>
    <x v="2"/>
    <x v="1"/>
  </r>
  <r>
    <x v="1"/>
    <x v="84"/>
    <x v="1"/>
    <x v="4"/>
    <x v="19"/>
    <n v="191"/>
    <n v="97"/>
    <n v="1"/>
    <n v="0"/>
    <n v="0"/>
    <n v="0"/>
    <n v="0"/>
    <n v="0"/>
    <n v="2"/>
    <n v="20"/>
    <n v="2025"/>
    <x v="1"/>
    <s v="首页推荐-短视频"/>
    <x v="2"/>
    <x v="1"/>
  </r>
  <r>
    <x v="1"/>
    <x v="84"/>
    <x v="1"/>
    <x v="12"/>
    <x v="42"/>
    <n v="749"/>
    <n v="554"/>
    <n v="32"/>
    <n v="14"/>
    <n v="34192.699999999997"/>
    <n v="9"/>
    <n v="16246.7"/>
    <n v="7"/>
    <n v="338"/>
    <n v="551"/>
    <n v="2025"/>
    <x v="1"/>
    <s v="手淘搜索-商品及其他"/>
    <x v="2"/>
    <x v="1"/>
  </r>
  <r>
    <x v="1"/>
    <x v="84"/>
    <x v="1"/>
    <x v="12"/>
    <x v="44"/>
    <n v="22"/>
    <n v="12"/>
    <n v="1"/>
    <n v="0"/>
    <n v="0"/>
    <n v="0"/>
    <n v="0"/>
    <n v="0"/>
    <n v="0"/>
    <n v="22"/>
    <n v="2025"/>
    <x v="1"/>
    <s v="手淘搜索-短视频"/>
    <x v="2"/>
    <x v="1"/>
  </r>
  <r>
    <x v="1"/>
    <x v="84"/>
    <x v="1"/>
    <x v="11"/>
    <x v="37"/>
    <n v="15"/>
    <n v="14"/>
    <n v="0"/>
    <n v="0"/>
    <n v="0"/>
    <n v="0"/>
    <n v="0"/>
    <n v="0"/>
    <n v="0"/>
    <n v="15"/>
    <n v="2025"/>
    <x v="1"/>
    <s v="淘特其他渠道"/>
    <x v="2"/>
    <x v="1"/>
  </r>
  <r>
    <x v="1"/>
    <x v="84"/>
    <x v="1"/>
    <x v="11"/>
    <x v="39"/>
    <n v="52"/>
    <n v="51"/>
    <n v="0"/>
    <n v="0"/>
    <n v="0"/>
    <n v="0"/>
    <n v="0"/>
    <n v="0"/>
    <n v="0"/>
    <n v="52"/>
    <n v="2025"/>
    <x v="1"/>
    <s v="淘特搜索"/>
    <x v="2"/>
    <x v="1"/>
  </r>
  <r>
    <x v="1"/>
    <x v="84"/>
    <x v="0"/>
    <x v="5"/>
    <x v="41"/>
    <n v="5"/>
    <n v="1"/>
    <n v="0"/>
    <n v="0"/>
    <n v="0"/>
    <n v="0"/>
    <n v="0"/>
    <n v="0"/>
    <n v="0"/>
    <n v="2"/>
    <n v="2025"/>
    <x v="1"/>
    <s v="超级直播"/>
    <x v="2"/>
    <x v="1"/>
  </r>
  <r>
    <x v="1"/>
    <x v="84"/>
    <x v="0"/>
    <x v="5"/>
    <x v="20"/>
    <n v="1"/>
    <n v="1"/>
    <n v="0"/>
    <n v="0"/>
    <n v="0"/>
    <n v="0"/>
    <n v="0"/>
    <n v="0"/>
    <n v="0"/>
    <n v="1"/>
    <n v="2025"/>
    <x v="1"/>
    <s v="超级短视频"/>
    <x v="2"/>
    <x v="1"/>
  </r>
  <r>
    <x v="1"/>
    <x v="84"/>
    <x v="0"/>
    <x v="6"/>
    <x v="49"/>
    <n v="1"/>
    <n v="1"/>
    <n v="0"/>
    <n v="0"/>
    <n v="0"/>
    <n v="0"/>
    <n v="0"/>
    <n v="0"/>
    <n v="0"/>
    <n v="1"/>
    <n v="2025"/>
    <x v="1"/>
    <s v="超级全域通"/>
    <x v="2"/>
    <x v="1"/>
  </r>
  <r>
    <x v="1"/>
    <x v="84"/>
    <x v="0"/>
    <x v="0"/>
    <x v="1"/>
    <n v="10812"/>
    <n v="7107"/>
    <n v="69"/>
    <n v="60"/>
    <n v="9555"/>
    <n v="5"/>
    <n v="5670"/>
    <n v="3"/>
    <n v="275"/>
    <n v="10812"/>
    <n v="2025"/>
    <x v="1"/>
    <s v="引力魔方"/>
    <x v="2"/>
    <x v="1"/>
  </r>
  <r>
    <x v="1"/>
    <x v="84"/>
    <x v="0"/>
    <x v="0"/>
    <x v="2"/>
    <n v="4956"/>
    <n v="4309"/>
    <n v="42"/>
    <n v="24"/>
    <n v="102592"/>
    <n v="11"/>
    <n v="8150"/>
    <n v="3"/>
    <n v="262"/>
    <n v="4909"/>
    <n v="2025"/>
    <x v="1"/>
    <s v="直通车"/>
    <x v="2"/>
    <x v="1"/>
  </r>
  <r>
    <x v="1"/>
    <x v="84"/>
    <x v="0"/>
    <x v="0"/>
    <x v="0"/>
    <n v="5820"/>
    <n v="3599"/>
    <n v="153"/>
    <n v="183"/>
    <n v="132484"/>
    <n v="26"/>
    <n v="49949"/>
    <n v="14"/>
    <n v="645"/>
    <n v="5615"/>
    <n v="2025"/>
    <x v="1"/>
    <s v="万相台"/>
    <x v="2"/>
    <x v="1"/>
  </r>
  <r>
    <x v="1"/>
    <x v="84"/>
    <x v="0"/>
    <x v="7"/>
    <x v="23"/>
    <n v="5"/>
    <n v="4"/>
    <n v="0"/>
    <n v="0"/>
    <n v="0"/>
    <n v="0"/>
    <n v="0"/>
    <n v="0"/>
    <n v="0"/>
    <n v="5"/>
    <n v="2025"/>
    <x v="1"/>
    <s v="流量宝"/>
    <x v="2"/>
    <x v="1"/>
  </r>
  <r>
    <x v="1"/>
    <x v="84"/>
    <x v="0"/>
    <x v="7"/>
    <x v="24"/>
    <n v="352"/>
    <n v="109"/>
    <n v="3"/>
    <n v="2"/>
    <n v="18318"/>
    <n v="4"/>
    <n v="16328"/>
    <n v="3"/>
    <n v="4"/>
    <n v="350"/>
    <n v="2025"/>
    <x v="1"/>
    <s v="淘宝客"/>
    <x v="2"/>
    <x v="1"/>
  </r>
  <r>
    <x v="1"/>
    <x v="85"/>
    <x v="1"/>
    <x v="8"/>
    <x v="25"/>
    <n v="165"/>
    <n v="92"/>
    <n v="6"/>
    <n v="1"/>
    <n v="21540"/>
    <n v="1"/>
    <n v="10770"/>
    <n v="1"/>
    <n v="8"/>
    <n v="160"/>
    <n v="2025"/>
    <x v="2"/>
    <s v="主会场"/>
    <x v="2"/>
    <x v="1"/>
  </r>
  <r>
    <x v="1"/>
    <x v="85"/>
    <x v="1"/>
    <x v="3"/>
    <x v="11"/>
    <n v="348"/>
    <n v="249"/>
    <n v="10"/>
    <n v="3"/>
    <n v="13739"/>
    <n v="4"/>
    <n v="9905"/>
    <n v="3"/>
    <n v="79"/>
    <n v="340"/>
    <n v="2025"/>
    <x v="2"/>
    <s v="商品详情页头图推荐"/>
    <x v="2"/>
    <x v="1"/>
  </r>
  <r>
    <x v="1"/>
    <x v="85"/>
    <x v="1"/>
    <x v="3"/>
    <x v="12"/>
    <n v="30"/>
    <n v="10"/>
    <n v="1"/>
    <n v="0"/>
    <n v="0"/>
    <n v="0"/>
    <n v="0"/>
    <n v="0"/>
    <n v="26"/>
    <n v="17"/>
    <n v="2025"/>
    <x v="2"/>
    <s v="店铺超链"/>
    <x v="2"/>
    <x v="1"/>
  </r>
  <r>
    <x v="1"/>
    <x v="85"/>
    <x v="1"/>
    <x v="4"/>
    <x v="13"/>
    <n v="341"/>
    <n v="236"/>
    <n v="7"/>
    <n v="1"/>
    <n v="5120"/>
    <n v="2"/>
    <n v="5120"/>
    <n v="2"/>
    <n v="44"/>
    <n v="317"/>
    <n v="2025"/>
    <x v="2"/>
    <s v="其他猜你喜欢"/>
    <x v="2"/>
    <x v="1"/>
  </r>
  <r>
    <x v="1"/>
    <x v="85"/>
    <x v="1"/>
    <x v="4"/>
    <x v="15"/>
    <n v="14"/>
    <n v="8"/>
    <n v="1"/>
    <n v="0"/>
    <n v="0"/>
    <n v="0"/>
    <n v="0"/>
    <n v="0"/>
    <n v="0"/>
    <n v="11"/>
    <n v="2025"/>
    <x v="2"/>
    <s v="购中推荐"/>
    <x v="2"/>
    <x v="1"/>
  </r>
  <r>
    <x v="1"/>
    <x v="85"/>
    <x v="1"/>
    <x v="4"/>
    <x v="16"/>
    <n v="60"/>
    <n v="39"/>
    <n v="4"/>
    <n v="0"/>
    <n v="3750"/>
    <n v="1"/>
    <n v="3750"/>
    <n v="1"/>
    <n v="2"/>
    <n v="52"/>
    <n v="2025"/>
    <x v="2"/>
    <s v="购后推荐"/>
    <x v="2"/>
    <x v="1"/>
  </r>
  <r>
    <x v="1"/>
    <x v="85"/>
    <x v="1"/>
    <x v="4"/>
    <x v="17"/>
    <n v="13267"/>
    <n v="12107"/>
    <n v="80"/>
    <n v="57"/>
    <n v="32737.13"/>
    <n v="10"/>
    <n v="13757.13"/>
    <n v="7"/>
    <n v="736"/>
    <n v="13267"/>
    <n v="2025"/>
    <x v="2"/>
    <s v="首页推荐-微详情"/>
    <x v="2"/>
    <x v="1"/>
  </r>
  <r>
    <x v="1"/>
    <x v="85"/>
    <x v="1"/>
    <x v="4"/>
    <x v="18"/>
    <n v="360"/>
    <n v="301"/>
    <n v="2"/>
    <n v="0"/>
    <n v="0"/>
    <n v="0"/>
    <n v="0"/>
    <n v="0"/>
    <n v="7"/>
    <n v="37"/>
    <n v="2025"/>
    <x v="2"/>
    <s v="首页推荐-直播"/>
    <x v="2"/>
    <x v="1"/>
  </r>
  <r>
    <x v="1"/>
    <x v="85"/>
    <x v="1"/>
    <x v="4"/>
    <x v="19"/>
    <n v="147"/>
    <n v="99"/>
    <n v="1"/>
    <n v="0"/>
    <n v="0"/>
    <n v="0"/>
    <n v="0"/>
    <n v="0"/>
    <n v="1"/>
    <n v="12"/>
    <n v="2025"/>
    <x v="2"/>
    <s v="首页推荐-短视频"/>
    <x v="2"/>
    <x v="1"/>
  </r>
  <r>
    <x v="1"/>
    <x v="85"/>
    <x v="1"/>
    <x v="12"/>
    <x v="42"/>
    <n v="750"/>
    <n v="561"/>
    <n v="26"/>
    <n v="9"/>
    <n v="33620"/>
    <n v="7"/>
    <n v="12755"/>
    <n v="5"/>
    <n v="334"/>
    <n v="540"/>
    <n v="2025"/>
    <x v="2"/>
    <s v="手淘搜索-商品及其他"/>
    <x v="2"/>
    <x v="1"/>
  </r>
  <r>
    <x v="1"/>
    <x v="85"/>
    <x v="1"/>
    <x v="12"/>
    <x v="43"/>
    <n v="7"/>
    <n v="3"/>
    <n v="0"/>
    <n v="0"/>
    <n v="0"/>
    <n v="0"/>
    <n v="0"/>
    <n v="0"/>
    <n v="1"/>
    <n v="5"/>
    <n v="2025"/>
    <x v="2"/>
    <s v="手淘搜索-直播"/>
    <x v="2"/>
    <x v="1"/>
  </r>
  <r>
    <x v="1"/>
    <x v="85"/>
    <x v="1"/>
    <x v="12"/>
    <x v="44"/>
    <n v="13"/>
    <n v="3"/>
    <n v="1"/>
    <n v="1"/>
    <n v="0"/>
    <n v="0"/>
    <n v="0"/>
    <n v="0"/>
    <n v="0"/>
    <n v="13"/>
    <n v="2025"/>
    <x v="2"/>
    <s v="手淘搜索-短视频"/>
    <x v="2"/>
    <x v="1"/>
  </r>
  <r>
    <x v="1"/>
    <x v="85"/>
    <x v="1"/>
    <x v="11"/>
    <x v="37"/>
    <n v="14"/>
    <n v="12"/>
    <n v="0"/>
    <n v="0"/>
    <n v="0"/>
    <n v="0"/>
    <n v="0"/>
    <n v="0"/>
    <n v="0"/>
    <n v="14"/>
    <n v="2025"/>
    <x v="2"/>
    <s v="淘特其他渠道"/>
    <x v="2"/>
    <x v="1"/>
  </r>
  <r>
    <x v="1"/>
    <x v="85"/>
    <x v="1"/>
    <x v="11"/>
    <x v="39"/>
    <n v="38"/>
    <n v="37"/>
    <n v="0"/>
    <n v="0"/>
    <n v="0"/>
    <n v="0"/>
    <n v="0"/>
    <n v="0"/>
    <n v="0"/>
    <n v="38"/>
    <n v="2025"/>
    <x v="2"/>
    <s v="淘特搜索"/>
    <x v="2"/>
    <x v="1"/>
  </r>
  <r>
    <x v="1"/>
    <x v="85"/>
    <x v="0"/>
    <x v="5"/>
    <x v="41"/>
    <n v="1529"/>
    <n v="1382"/>
    <n v="6"/>
    <n v="1"/>
    <n v="0"/>
    <n v="0"/>
    <n v="0"/>
    <n v="0"/>
    <n v="23"/>
    <n v="180"/>
    <n v="2025"/>
    <x v="2"/>
    <s v="超级直播"/>
    <x v="2"/>
    <x v="1"/>
  </r>
  <r>
    <x v="1"/>
    <x v="85"/>
    <x v="0"/>
    <x v="5"/>
    <x v="20"/>
    <n v="1"/>
    <n v="1"/>
    <n v="0"/>
    <n v="0"/>
    <n v="0"/>
    <n v="0"/>
    <n v="0"/>
    <n v="0"/>
    <n v="0"/>
    <n v="1"/>
    <n v="2025"/>
    <x v="2"/>
    <s v="超级短视频"/>
    <x v="2"/>
    <x v="1"/>
  </r>
  <r>
    <x v="1"/>
    <x v="85"/>
    <x v="0"/>
    <x v="0"/>
    <x v="1"/>
    <n v="11234"/>
    <n v="7352"/>
    <n v="70"/>
    <n v="69"/>
    <n v="24397"/>
    <n v="7"/>
    <n v="22707"/>
    <n v="6"/>
    <n v="260"/>
    <n v="11233"/>
    <n v="2025"/>
    <x v="2"/>
    <s v="引力魔方"/>
    <x v="2"/>
    <x v="1"/>
  </r>
  <r>
    <x v="1"/>
    <x v="85"/>
    <x v="0"/>
    <x v="0"/>
    <x v="2"/>
    <n v="5498"/>
    <n v="4802"/>
    <n v="29"/>
    <n v="24"/>
    <n v="42608"/>
    <n v="8"/>
    <n v="16223"/>
    <n v="4"/>
    <n v="281"/>
    <n v="5448"/>
    <n v="2025"/>
    <x v="2"/>
    <s v="直通车"/>
    <x v="2"/>
    <x v="1"/>
  </r>
  <r>
    <x v="1"/>
    <x v="85"/>
    <x v="0"/>
    <x v="0"/>
    <x v="0"/>
    <n v="7011"/>
    <n v="4332"/>
    <n v="185"/>
    <n v="188"/>
    <n v="103349.87"/>
    <n v="26"/>
    <n v="49990.87"/>
    <n v="15"/>
    <n v="752"/>
    <n v="6811"/>
    <n v="2025"/>
    <x v="2"/>
    <s v="万相台"/>
    <x v="2"/>
    <x v="1"/>
  </r>
  <r>
    <x v="1"/>
    <x v="85"/>
    <x v="0"/>
    <x v="7"/>
    <x v="23"/>
    <n v="4"/>
    <n v="4"/>
    <n v="0"/>
    <n v="0"/>
    <n v="0"/>
    <n v="0"/>
    <n v="0"/>
    <n v="0"/>
    <n v="0"/>
    <n v="4"/>
    <n v="2025"/>
    <x v="2"/>
    <s v="流量宝"/>
    <x v="2"/>
    <x v="1"/>
  </r>
  <r>
    <x v="1"/>
    <x v="85"/>
    <x v="0"/>
    <x v="7"/>
    <x v="24"/>
    <n v="302"/>
    <n v="104"/>
    <n v="4"/>
    <n v="2"/>
    <n v="9920"/>
    <n v="2"/>
    <n v="9920"/>
    <n v="2"/>
    <n v="2"/>
    <n v="298"/>
    <n v="2025"/>
    <x v="2"/>
    <s v="淘宝客"/>
    <x v="2"/>
    <x v="1"/>
  </r>
  <r>
    <x v="1"/>
    <x v="86"/>
    <x v="1"/>
    <x v="8"/>
    <x v="25"/>
    <n v="161"/>
    <n v="85"/>
    <n v="2"/>
    <n v="3"/>
    <n v="0"/>
    <n v="0"/>
    <n v="0"/>
    <n v="0"/>
    <n v="15"/>
    <n v="157"/>
    <n v="2025"/>
    <x v="2"/>
    <s v="主会场"/>
    <x v="2"/>
    <x v="1"/>
  </r>
  <r>
    <x v="1"/>
    <x v="86"/>
    <x v="1"/>
    <x v="1"/>
    <x v="3"/>
    <n v="1"/>
    <n v="1"/>
    <n v="0"/>
    <n v="0"/>
    <n v="0"/>
    <n v="0"/>
    <n v="0"/>
    <n v="0"/>
    <n v="1"/>
    <n v="1"/>
    <n v="2025"/>
    <x v="2"/>
    <s v="其他入口榜单"/>
    <x v="2"/>
    <x v="1"/>
  </r>
  <r>
    <x v="1"/>
    <x v="86"/>
    <x v="1"/>
    <x v="3"/>
    <x v="11"/>
    <n v="338"/>
    <n v="220"/>
    <n v="13"/>
    <n v="7"/>
    <n v="11910"/>
    <n v="5"/>
    <n v="11910"/>
    <n v="5"/>
    <n v="68"/>
    <n v="332"/>
    <n v="2025"/>
    <x v="2"/>
    <s v="商品详情页头图推荐"/>
    <x v="2"/>
    <x v="1"/>
  </r>
  <r>
    <x v="1"/>
    <x v="86"/>
    <x v="1"/>
    <x v="3"/>
    <x v="12"/>
    <n v="27"/>
    <n v="17"/>
    <n v="0"/>
    <n v="1"/>
    <n v="0"/>
    <n v="0"/>
    <n v="0"/>
    <n v="0"/>
    <n v="26"/>
    <n v="11"/>
    <n v="2025"/>
    <x v="2"/>
    <s v="店铺超链"/>
    <x v="2"/>
    <x v="1"/>
  </r>
  <r>
    <x v="1"/>
    <x v="86"/>
    <x v="1"/>
    <x v="4"/>
    <x v="13"/>
    <n v="335"/>
    <n v="225"/>
    <n v="7"/>
    <n v="5"/>
    <n v="3967"/>
    <n v="2"/>
    <n v="3967"/>
    <n v="2"/>
    <n v="47"/>
    <n v="310"/>
    <n v="2025"/>
    <x v="2"/>
    <s v="其他猜你喜欢"/>
    <x v="2"/>
    <x v="1"/>
  </r>
  <r>
    <x v="1"/>
    <x v="86"/>
    <x v="1"/>
    <x v="4"/>
    <x v="15"/>
    <n v="12"/>
    <n v="10"/>
    <n v="1"/>
    <n v="0"/>
    <n v="0"/>
    <n v="0"/>
    <n v="0"/>
    <n v="0"/>
    <n v="3"/>
    <n v="11"/>
    <n v="2025"/>
    <x v="2"/>
    <s v="购中推荐"/>
    <x v="2"/>
    <x v="1"/>
  </r>
  <r>
    <x v="1"/>
    <x v="86"/>
    <x v="1"/>
    <x v="4"/>
    <x v="16"/>
    <n v="91"/>
    <n v="69"/>
    <n v="1"/>
    <n v="0"/>
    <n v="0"/>
    <n v="0"/>
    <n v="0"/>
    <n v="0"/>
    <n v="5"/>
    <n v="81"/>
    <n v="2025"/>
    <x v="2"/>
    <s v="购后推荐"/>
    <x v="2"/>
    <x v="1"/>
  </r>
  <r>
    <x v="1"/>
    <x v="86"/>
    <x v="1"/>
    <x v="4"/>
    <x v="17"/>
    <n v="12574"/>
    <n v="11372"/>
    <n v="61"/>
    <n v="54"/>
    <n v="42635"/>
    <n v="6"/>
    <n v="9615"/>
    <n v="4"/>
    <n v="676"/>
    <n v="12574"/>
    <n v="2025"/>
    <x v="2"/>
    <s v="首页推荐-微详情"/>
    <x v="2"/>
    <x v="1"/>
  </r>
  <r>
    <x v="1"/>
    <x v="86"/>
    <x v="1"/>
    <x v="4"/>
    <x v="18"/>
    <n v="429"/>
    <n v="357"/>
    <n v="3"/>
    <n v="1"/>
    <n v="0"/>
    <n v="0"/>
    <n v="0"/>
    <n v="0"/>
    <n v="9"/>
    <n v="50"/>
    <n v="2025"/>
    <x v="2"/>
    <s v="首页推荐-直播"/>
    <x v="2"/>
    <x v="1"/>
  </r>
  <r>
    <x v="1"/>
    <x v="86"/>
    <x v="1"/>
    <x v="4"/>
    <x v="19"/>
    <n v="94"/>
    <n v="47"/>
    <n v="1"/>
    <n v="0"/>
    <n v="1677"/>
    <n v="1"/>
    <n v="1677"/>
    <n v="1"/>
    <n v="1"/>
    <n v="11"/>
    <n v="2025"/>
    <x v="2"/>
    <s v="首页推荐-短视频"/>
    <x v="2"/>
    <x v="1"/>
  </r>
  <r>
    <x v="1"/>
    <x v="86"/>
    <x v="1"/>
    <x v="12"/>
    <x v="42"/>
    <n v="734"/>
    <n v="544"/>
    <n v="24"/>
    <n v="8"/>
    <n v="35856"/>
    <n v="9"/>
    <n v="31161"/>
    <n v="8"/>
    <n v="340"/>
    <n v="523"/>
    <n v="2025"/>
    <x v="2"/>
    <s v="手淘搜索-商品及其他"/>
    <x v="2"/>
    <x v="1"/>
  </r>
  <r>
    <x v="1"/>
    <x v="86"/>
    <x v="1"/>
    <x v="12"/>
    <x v="43"/>
    <n v="6"/>
    <n v="2"/>
    <n v="1"/>
    <n v="0"/>
    <n v="0"/>
    <n v="0"/>
    <n v="0"/>
    <n v="0"/>
    <n v="1"/>
    <n v="6"/>
    <n v="2025"/>
    <x v="2"/>
    <s v="手淘搜索-直播"/>
    <x v="2"/>
    <x v="1"/>
  </r>
  <r>
    <x v="1"/>
    <x v="86"/>
    <x v="1"/>
    <x v="12"/>
    <x v="44"/>
    <n v="26"/>
    <n v="12"/>
    <n v="2"/>
    <n v="0"/>
    <n v="2490"/>
    <n v="1"/>
    <n v="2490"/>
    <n v="1"/>
    <n v="4"/>
    <n v="26"/>
    <n v="2025"/>
    <x v="2"/>
    <s v="手淘搜索-短视频"/>
    <x v="2"/>
    <x v="1"/>
  </r>
  <r>
    <x v="1"/>
    <x v="86"/>
    <x v="1"/>
    <x v="11"/>
    <x v="37"/>
    <n v="9"/>
    <n v="6"/>
    <n v="0"/>
    <n v="0"/>
    <n v="0"/>
    <n v="0"/>
    <n v="0"/>
    <n v="0"/>
    <n v="0"/>
    <n v="9"/>
    <n v="2025"/>
    <x v="2"/>
    <s v="淘特其他渠道"/>
    <x v="2"/>
    <x v="1"/>
  </r>
  <r>
    <x v="1"/>
    <x v="86"/>
    <x v="1"/>
    <x v="11"/>
    <x v="39"/>
    <n v="53"/>
    <n v="52"/>
    <n v="0"/>
    <n v="0"/>
    <n v="0"/>
    <n v="0"/>
    <n v="0"/>
    <n v="0"/>
    <n v="0"/>
    <n v="53"/>
    <n v="2025"/>
    <x v="2"/>
    <s v="淘特搜索"/>
    <x v="2"/>
    <x v="1"/>
  </r>
  <r>
    <x v="1"/>
    <x v="86"/>
    <x v="1"/>
    <x v="11"/>
    <x v="40"/>
    <n v="1"/>
    <n v="1"/>
    <n v="0"/>
    <n v="0"/>
    <n v="0"/>
    <n v="0"/>
    <n v="0"/>
    <n v="0"/>
    <n v="0"/>
    <n v="1"/>
    <n v="2025"/>
    <x v="2"/>
    <s v="淘特自主访问"/>
    <x v="2"/>
    <x v="1"/>
  </r>
  <r>
    <x v="1"/>
    <x v="86"/>
    <x v="1"/>
    <x v="13"/>
    <x v="46"/>
    <n v="1"/>
    <n v="0"/>
    <n v="0"/>
    <n v="0"/>
    <n v="0"/>
    <n v="0"/>
    <n v="0"/>
    <n v="0"/>
    <n v="0"/>
    <n v="0"/>
    <n v="2025"/>
    <x v="2"/>
    <s v="飞猪其他"/>
    <x v="2"/>
    <x v="1"/>
  </r>
  <r>
    <x v="1"/>
    <x v="86"/>
    <x v="0"/>
    <x v="5"/>
    <x v="41"/>
    <n v="1066"/>
    <n v="875"/>
    <n v="9"/>
    <n v="2"/>
    <n v="0"/>
    <n v="0"/>
    <n v="0"/>
    <n v="0"/>
    <n v="21"/>
    <n v="165"/>
    <n v="2025"/>
    <x v="2"/>
    <s v="超级直播"/>
    <x v="2"/>
    <x v="1"/>
  </r>
  <r>
    <x v="1"/>
    <x v="86"/>
    <x v="0"/>
    <x v="5"/>
    <x v="20"/>
    <n v="3"/>
    <n v="2"/>
    <n v="0"/>
    <n v="0"/>
    <n v="0"/>
    <n v="0"/>
    <n v="0"/>
    <n v="0"/>
    <n v="0"/>
    <n v="3"/>
    <n v="2025"/>
    <x v="2"/>
    <s v="超级短视频"/>
    <x v="2"/>
    <x v="1"/>
  </r>
  <r>
    <x v="1"/>
    <x v="86"/>
    <x v="0"/>
    <x v="0"/>
    <x v="1"/>
    <n v="12381"/>
    <n v="8013"/>
    <n v="79"/>
    <n v="78"/>
    <n v="10337"/>
    <n v="5"/>
    <n v="10337"/>
    <n v="5"/>
    <n v="249"/>
    <n v="12380"/>
    <n v="2025"/>
    <x v="2"/>
    <s v="引力魔方"/>
    <x v="2"/>
    <x v="1"/>
  </r>
  <r>
    <x v="1"/>
    <x v="86"/>
    <x v="0"/>
    <x v="0"/>
    <x v="2"/>
    <n v="4831"/>
    <n v="4086"/>
    <n v="34"/>
    <n v="32"/>
    <n v="24195"/>
    <n v="6"/>
    <n v="7550"/>
    <n v="4"/>
    <n v="262"/>
    <n v="4784"/>
    <n v="2025"/>
    <x v="2"/>
    <s v="直通车"/>
    <x v="2"/>
    <x v="1"/>
  </r>
  <r>
    <x v="1"/>
    <x v="86"/>
    <x v="0"/>
    <x v="0"/>
    <x v="0"/>
    <n v="5707"/>
    <n v="3143"/>
    <n v="204"/>
    <n v="179"/>
    <n v="94527"/>
    <n v="26"/>
    <n v="54350"/>
    <n v="19"/>
    <n v="731"/>
    <n v="5511"/>
    <n v="2025"/>
    <x v="2"/>
    <s v="万相台"/>
    <x v="2"/>
    <x v="1"/>
  </r>
  <r>
    <x v="1"/>
    <x v="86"/>
    <x v="0"/>
    <x v="7"/>
    <x v="23"/>
    <n v="6"/>
    <n v="5"/>
    <n v="0"/>
    <n v="0"/>
    <n v="0"/>
    <n v="0"/>
    <n v="0"/>
    <n v="0"/>
    <n v="0"/>
    <n v="5"/>
    <n v="2025"/>
    <x v="2"/>
    <s v="流量宝"/>
    <x v="2"/>
    <x v="1"/>
  </r>
  <r>
    <x v="1"/>
    <x v="86"/>
    <x v="0"/>
    <x v="7"/>
    <x v="24"/>
    <n v="330"/>
    <n v="106"/>
    <n v="8"/>
    <n v="2"/>
    <n v="19130"/>
    <n v="7"/>
    <n v="19130"/>
    <n v="7"/>
    <n v="4"/>
    <n v="328"/>
    <n v="2025"/>
    <x v="2"/>
    <s v="淘宝客"/>
    <x v="2"/>
    <x v="1"/>
  </r>
  <r>
    <x v="1"/>
    <x v="87"/>
    <x v="1"/>
    <x v="8"/>
    <x v="25"/>
    <n v="143"/>
    <n v="92"/>
    <n v="4"/>
    <n v="3"/>
    <n v="8907"/>
    <n v="2"/>
    <n v="8907"/>
    <n v="2"/>
    <n v="12"/>
    <n v="141"/>
    <n v="2025"/>
    <x v="2"/>
    <s v="主会场"/>
    <x v="2"/>
    <x v="1"/>
  </r>
  <r>
    <x v="1"/>
    <x v="87"/>
    <x v="1"/>
    <x v="1"/>
    <x v="3"/>
    <n v="1"/>
    <n v="1"/>
    <n v="0"/>
    <n v="0"/>
    <n v="0"/>
    <n v="0"/>
    <n v="0"/>
    <n v="0"/>
    <n v="1"/>
    <n v="1"/>
    <n v="2025"/>
    <x v="2"/>
    <s v="其他入口榜单"/>
    <x v="2"/>
    <x v="1"/>
  </r>
  <r>
    <x v="1"/>
    <x v="87"/>
    <x v="1"/>
    <x v="3"/>
    <x v="11"/>
    <n v="240"/>
    <n v="145"/>
    <n v="7"/>
    <n v="6"/>
    <n v="3838"/>
    <n v="2"/>
    <n v="3838"/>
    <n v="2"/>
    <n v="57"/>
    <n v="237"/>
    <n v="2025"/>
    <x v="2"/>
    <s v="商品详情页头图推荐"/>
    <x v="2"/>
    <x v="1"/>
  </r>
  <r>
    <x v="1"/>
    <x v="87"/>
    <x v="1"/>
    <x v="3"/>
    <x v="12"/>
    <n v="27"/>
    <n v="20"/>
    <n v="1"/>
    <n v="1"/>
    <n v="0"/>
    <n v="0"/>
    <n v="0"/>
    <n v="0"/>
    <n v="23"/>
    <n v="11"/>
    <n v="2025"/>
    <x v="2"/>
    <s v="店铺超链"/>
    <x v="2"/>
    <x v="1"/>
  </r>
  <r>
    <x v="1"/>
    <x v="87"/>
    <x v="1"/>
    <x v="4"/>
    <x v="13"/>
    <n v="277"/>
    <n v="168"/>
    <n v="2"/>
    <n v="0"/>
    <n v="1490"/>
    <n v="1"/>
    <n v="1490"/>
    <n v="1"/>
    <n v="41"/>
    <n v="260"/>
    <n v="2025"/>
    <x v="2"/>
    <s v="其他猜你喜欢"/>
    <x v="2"/>
    <x v="1"/>
  </r>
  <r>
    <x v="1"/>
    <x v="87"/>
    <x v="1"/>
    <x v="4"/>
    <x v="15"/>
    <n v="12"/>
    <n v="6"/>
    <n v="0"/>
    <n v="0"/>
    <n v="0"/>
    <n v="0"/>
    <n v="0"/>
    <n v="0"/>
    <n v="1"/>
    <n v="12"/>
    <n v="2025"/>
    <x v="2"/>
    <s v="购中推荐"/>
    <x v="2"/>
    <x v="1"/>
  </r>
  <r>
    <x v="1"/>
    <x v="87"/>
    <x v="1"/>
    <x v="4"/>
    <x v="16"/>
    <n v="102"/>
    <n v="71"/>
    <n v="0"/>
    <n v="0"/>
    <n v="0"/>
    <n v="0"/>
    <n v="0"/>
    <n v="0"/>
    <n v="1"/>
    <n v="81"/>
    <n v="2025"/>
    <x v="2"/>
    <s v="购后推荐"/>
    <x v="2"/>
    <x v="1"/>
  </r>
  <r>
    <x v="1"/>
    <x v="87"/>
    <x v="1"/>
    <x v="4"/>
    <x v="17"/>
    <n v="7939"/>
    <n v="6995"/>
    <n v="44"/>
    <n v="42"/>
    <n v="21426"/>
    <n v="5"/>
    <n v="6926"/>
    <n v="4"/>
    <n v="427"/>
    <n v="7939"/>
    <n v="2025"/>
    <x v="2"/>
    <s v="首页推荐-微详情"/>
    <x v="2"/>
    <x v="1"/>
  </r>
  <r>
    <x v="1"/>
    <x v="87"/>
    <x v="1"/>
    <x v="4"/>
    <x v="18"/>
    <n v="266"/>
    <n v="196"/>
    <n v="1"/>
    <n v="0"/>
    <n v="0"/>
    <n v="0"/>
    <n v="0"/>
    <n v="0"/>
    <n v="1"/>
    <n v="35"/>
    <n v="2025"/>
    <x v="2"/>
    <s v="首页推荐-直播"/>
    <x v="2"/>
    <x v="1"/>
  </r>
  <r>
    <x v="1"/>
    <x v="87"/>
    <x v="1"/>
    <x v="4"/>
    <x v="19"/>
    <n v="128"/>
    <n v="53"/>
    <n v="1"/>
    <n v="0"/>
    <n v="0"/>
    <n v="0"/>
    <n v="0"/>
    <n v="0"/>
    <n v="2"/>
    <n v="17"/>
    <n v="2025"/>
    <x v="2"/>
    <s v="首页推荐-短视频"/>
    <x v="2"/>
    <x v="1"/>
  </r>
  <r>
    <x v="1"/>
    <x v="87"/>
    <x v="1"/>
    <x v="12"/>
    <x v="42"/>
    <n v="787"/>
    <n v="581"/>
    <n v="34"/>
    <n v="11"/>
    <n v="36079.18"/>
    <n v="9"/>
    <n v="36079.18"/>
    <n v="9"/>
    <n v="365"/>
    <n v="566"/>
    <n v="2025"/>
    <x v="2"/>
    <s v="手淘搜索-商品及其他"/>
    <x v="2"/>
    <x v="1"/>
  </r>
  <r>
    <x v="1"/>
    <x v="87"/>
    <x v="1"/>
    <x v="12"/>
    <x v="43"/>
    <n v="7"/>
    <n v="3"/>
    <n v="0"/>
    <n v="0"/>
    <n v="0"/>
    <n v="0"/>
    <n v="0"/>
    <n v="0"/>
    <n v="0"/>
    <n v="5"/>
    <n v="2025"/>
    <x v="2"/>
    <s v="手淘搜索-直播"/>
    <x v="2"/>
    <x v="1"/>
  </r>
  <r>
    <x v="1"/>
    <x v="87"/>
    <x v="1"/>
    <x v="12"/>
    <x v="44"/>
    <n v="16"/>
    <n v="8"/>
    <n v="0"/>
    <n v="0"/>
    <n v="4980"/>
    <n v="1"/>
    <n v="2490"/>
    <n v="1"/>
    <n v="0"/>
    <n v="16"/>
    <n v="2025"/>
    <x v="2"/>
    <s v="手淘搜索-短视频"/>
    <x v="2"/>
    <x v="1"/>
  </r>
  <r>
    <x v="1"/>
    <x v="87"/>
    <x v="1"/>
    <x v="11"/>
    <x v="37"/>
    <n v="5"/>
    <n v="4"/>
    <n v="0"/>
    <n v="0"/>
    <n v="0"/>
    <n v="0"/>
    <n v="0"/>
    <n v="0"/>
    <n v="0"/>
    <n v="5"/>
    <n v="2025"/>
    <x v="2"/>
    <s v="淘特其他渠道"/>
    <x v="2"/>
    <x v="1"/>
  </r>
  <r>
    <x v="1"/>
    <x v="87"/>
    <x v="1"/>
    <x v="11"/>
    <x v="39"/>
    <n v="22"/>
    <n v="22"/>
    <n v="0"/>
    <n v="0"/>
    <n v="0"/>
    <n v="0"/>
    <n v="0"/>
    <n v="0"/>
    <n v="0"/>
    <n v="22"/>
    <n v="2025"/>
    <x v="2"/>
    <s v="淘特搜索"/>
    <x v="2"/>
    <x v="1"/>
  </r>
  <r>
    <x v="1"/>
    <x v="87"/>
    <x v="1"/>
    <x v="13"/>
    <x v="46"/>
    <n v="1"/>
    <n v="1"/>
    <n v="0"/>
    <n v="0"/>
    <n v="0"/>
    <n v="0"/>
    <n v="0"/>
    <n v="0"/>
    <n v="0"/>
    <n v="0"/>
    <n v="2025"/>
    <x v="2"/>
    <s v="飞猪其他"/>
    <x v="2"/>
    <x v="1"/>
  </r>
  <r>
    <x v="1"/>
    <x v="87"/>
    <x v="0"/>
    <x v="5"/>
    <x v="41"/>
    <n v="1062"/>
    <n v="796"/>
    <n v="11"/>
    <n v="2"/>
    <n v="0"/>
    <n v="0"/>
    <n v="0"/>
    <n v="0"/>
    <n v="15"/>
    <n v="167"/>
    <n v="2025"/>
    <x v="2"/>
    <s v="超级直播"/>
    <x v="2"/>
    <x v="1"/>
  </r>
  <r>
    <x v="1"/>
    <x v="87"/>
    <x v="0"/>
    <x v="5"/>
    <x v="20"/>
    <n v="1"/>
    <n v="1"/>
    <n v="0"/>
    <n v="0"/>
    <n v="0"/>
    <n v="0"/>
    <n v="0"/>
    <n v="0"/>
    <n v="0"/>
    <n v="1"/>
    <n v="2025"/>
    <x v="2"/>
    <s v="超级短视频"/>
    <x v="2"/>
    <x v="1"/>
  </r>
  <r>
    <x v="1"/>
    <x v="87"/>
    <x v="0"/>
    <x v="0"/>
    <x v="1"/>
    <n v="11335"/>
    <n v="6786"/>
    <n v="68"/>
    <n v="64"/>
    <n v="6387"/>
    <n v="4"/>
    <n v="1490"/>
    <n v="1"/>
    <n v="251"/>
    <n v="11335"/>
    <n v="2025"/>
    <x v="2"/>
    <s v="引力魔方"/>
    <x v="2"/>
    <x v="1"/>
  </r>
  <r>
    <x v="1"/>
    <x v="87"/>
    <x v="0"/>
    <x v="0"/>
    <x v="2"/>
    <n v="4635"/>
    <n v="3937"/>
    <n v="35"/>
    <n v="27"/>
    <n v="52205"/>
    <n v="13"/>
    <n v="32660"/>
    <n v="8"/>
    <n v="258"/>
    <n v="4596"/>
    <n v="2025"/>
    <x v="2"/>
    <s v="直通车"/>
    <x v="2"/>
    <x v="1"/>
  </r>
  <r>
    <x v="1"/>
    <x v="87"/>
    <x v="0"/>
    <x v="0"/>
    <x v="0"/>
    <n v="4674"/>
    <n v="2600"/>
    <n v="194"/>
    <n v="154"/>
    <n v="103030"/>
    <n v="20"/>
    <n v="32000"/>
    <n v="12"/>
    <n v="721"/>
    <n v="4433"/>
    <n v="2025"/>
    <x v="2"/>
    <s v="万相台"/>
    <x v="2"/>
    <x v="1"/>
  </r>
  <r>
    <x v="1"/>
    <x v="87"/>
    <x v="0"/>
    <x v="7"/>
    <x v="23"/>
    <n v="1"/>
    <n v="1"/>
    <n v="0"/>
    <n v="0"/>
    <n v="0"/>
    <n v="0"/>
    <n v="0"/>
    <n v="0"/>
    <n v="0"/>
    <n v="1"/>
    <n v="2025"/>
    <x v="2"/>
    <s v="流量宝"/>
    <x v="2"/>
    <x v="1"/>
  </r>
  <r>
    <x v="1"/>
    <x v="87"/>
    <x v="0"/>
    <x v="7"/>
    <x v="24"/>
    <n v="312"/>
    <n v="111"/>
    <n v="5"/>
    <n v="0"/>
    <n v="7330"/>
    <n v="2"/>
    <n v="7330"/>
    <n v="2"/>
    <n v="0"/>
    <n v="310"/>
    <n v="2025"/>
    <x v="2"/>
    <s v="淘宝客"/>
    <x v="2"/>
    <x v="1"/>
  </r>
  <r>
    <x v="1"/>
    <x v="88"/>
    <x v="1"/>
    <x v="8"/>
    <x v="25"/>
    <n v="92"/>
    <n v="52"/>
    <n v="4"/>
    <n v="2"/>
    <n v="0"/>
    <n v="0"/>
    <n v="0"/>
    <n v="0"/>
    <n v="9"/>
    <n v="86"/>
    <n v="2025"/>
    <x v="2"/>
    <s v="主会场"/>
    <x v="2"/>
    <x v="1"/>
  </r>
  <r>
    <x v="1"/>
    <x v="88"/>
    <x v="1"/>
    <x v="1"/>
    <x v="3"/>
    <n v="2"/>
    <n v="2"/>
    <n v="0"/>
    <n v="0"/>
    <n v="0"/>
    <n v="0"/>
    <n v="0"/>
    <n v="0"/>
    <n v="1"/>
    <n v="2"/>
    <n v="2025"/>
    <x v="2"/>
    <s v="其他入口榜单"/>
    <x v="2"/>
    <x v="1"/>
  </r>
  <r>
    <x v="1"/>
    <x v="88"/>
    <x v="1"/>
    <x v="3"/>
    <x v="11"/>
    <n v="182"/>
    <n v="100"/>
    <n v="10"/>
    <n v="2"/>
    <n v="10860"/>
    <n v="3"/>
    <n v="8065"/>
    <n v="2"/>
    <n v="41"/>
    <n v="180"/>
    <n v="2025"/>
    <x v="2"/>
    <s v="商品详情页头图推荐"/>
    <x v="2"/>
    <x v="1"/>
  </r>
  <r>
    <x v="1"/>
    <x v="88"/>
    <x v="1"/>
    <x v="3"/>
    <x v="12"/>
    <n v="25"/>
    <n v="14"/>
    <n v="1"/>
    <n v="0"/>
    <n v="12900"/>
    <n v="1"/>
    <n v="12900"/>
    <n v="1"/>
    <n v="24"/>
    <n v="13"/>
    <n v="2025"/>
    <x v="2"/>
    <s v="店铺超链"/>
    <x v="2"/>
    <x v="1"/>
  </r>
  <r>
    <x v="1"/>
    <x v="88"/>
    <x v="1"/>
    <x v="4"/>
    <x v="13"/>
    <n v="235"/>
    <n v="125"/>
    <n v="5"/>
    <n v="1"/>
    <n v="3990"/>
    <n v="1"/>
    <n v="0"/>
    <n v="0"/>
    <n v="33"/>
    <n v="214"/>
    <n v="2025"/>
    <x v="2"/>
    <s v="其他猜你喜欢"/>
    <x v="2"/>
    <x v="1"/>
  </r>
  <r>
    <x v="1"/>
    <x v="88"/>
    <x v="1"/>
    <x v="4"/>
    <x v="15"/>
    <n v="10"/>
    <n v="6"/>
    <n v="0"/>
    <n v="0"/>
    <n v="0"/>
    <n v="0"/>
    <n v="0"/>
    <n v="0"/>
    <n v="1"/>
    <n v="5"/>
    <n v="2025"/>
    <x v="2"/>
    <s v="购中推荐"/>
    <x v="2"/>
    <x v="1"/>
  </r>
  <r>
    <x v="1"/>
    <x v="88"/>
    <x v="1"/>
    <x v="4"/>
    <x v="16"/>
    <n v="95"/>
    <n v="64"/>
    <n v="0"/>
    <n v="0"/>
    <n v="0"/>
    <n v="0"/>
    <n v="0"/>
    <n v="0"/>
    <n v="2"/>
    <n v="62"/>
    <n v="2025"/>
    <x v="2"/>
    <s v="购后推荐"/>
    <x v="2"/>
    <x v="1"/>
  </r>
  <r>
    <x v="1"/>
    <x v="88"/>
    <x v="1"/>
    <x v="4"/>
    <x v="17"/>
    <n v="6218"/>
    <n v="5300"/>
    <n v="28"/>
    <n v="21"/>
    <n v="19035"/>
    <n v="8"/>
    <n v="10245"/>
    <n v="6"/>
    <n v="362"/>
    <n v="6218"/>
    <n v="2025"/>
    <x v="2"/>
    <s v="首页推荐-微详情"/>
    <x v="2"/>
    <x v="1"/>
  </r>
  <r>
    <x v="1"/>
    <x v="88"/>
    <x v="1"/>
    <x v="4"/>
    <x v="18"/>
    <n v="1"/>
    <n v="0"/>
    <n v="0"/>
    <n v="0"/>
    <n v="0"/>
    <n v="0"/>
    <n v="0"/>
    <n v="0"/>
    <n v="0"/>
    <n v="0"/>
    <n v="2025"/>
    <x v="2"/>
    <s v="首页推荐-直播"/>
    <x v="2"/>
    <x v="1"/>
  </r>
  <r>
    <x v="1"/>
    <x v="88"/>
    <x v="1"/>
    <x v="4"/>
    <x v="19"/>
    <n v="200"/>
    <n v="119"/>
    <n v="3"/>
    <n v="0"/>
    <n v="1917"/>
    <n v="1"/>
    <n v="1917"/>
    <n v="1"/>
    <n v="4"/>
    <n v="17"/>
    <n v="2025"/>
    <x v="2"/>
    <s v="首页推荐-短视频"/>
    <x v="2"/>
    <x v="1"/>
  </r>
  <r>
    <x v="1"/>
    <x v="88"/>
    <x v="1"/>
    <x v="12"/>
    <x v="42"/>
    <n v="678"/>
    <n v="507"/>
    <n v="32"/>
    <n v="4"/>
    <n v="23972"/>
    <n v="8"/>
    <n v="18952"/>
    <n v="7"/>
    <n v="319"/>
    <n v="493"/>
    <n v="2025"/>
    <x v="2"/>
    <s v="手淘搜索-商品及其他"/>
    <x v="2"/>
    <x v="1"/>
  </r>
  <r>
    <x v="1"/>
    <x v="88"/>
    <x v="1"/>
    <x v="12"/>
    <x v="44"/>
    <n v="22"/>
    <n v="10"/>
    <n v="3"/>
    <n v="0"/>
    <n v="1690"/>
    <n v="1"/>
    <n v="1690"/>
    <n v="1"/>
    <n v="4"/>
    <n v="20"/>
    <n v="2025"/>
    <x v="2"/>
    <s v="手淘搜索-短视频"/>
    <x v="2"/>
    <x v="1"/>
  </r>
  <r>
    <x v="1"/>
    <x v="88"/>
    <x v="1"/>
    <x v="11"/>
    <x v="37"/>
    <n v="4"/>
    <n v="4"/>
    <n v="0"/>
    <n v="0"/>
    <n v="0"/>
    <n v="0"/>
    <n v="0"/>
    <n v="0"/>
    <n v="0"/>
    <n v="4"/>
    <n v="2025"/>
    <x v="2"/>
    <s v="淘特其他渠道"/>
    <x v="2"/>
    <x v="1"/>
  </r>
  <r>
    <x v="1"/>
    <x v="88"/>
    <x v="1"/>
    <x v="11"/>
    <x v="39"/>
    <n v="19"/>
    <n v="19"/>
    <n v="0"/>
    <n v="0"/>
    <n v="0"/>
    <n v="0"/>
    <n v="0"/>
    <n v="0"/>
    <n v="0"/>
    <n v="19"/>
    <n v="2025"/>
    <x v="2"/>
    <s v="淘特搜索"/>
    <x v="2"/>
    <x v="1"/>
  </r>
  <r>
    <x v="1"/>
    <x v="88"/>
    <x v="0"/>
    <x v="5"/>
    <x v="41"/>
    <n v="6"/>
    <n v="1"/>
    <n v="0"/>
    <n v="0"/>
    <n v="0"/>
    <n v="0"/>
    <n v="0"/>
    <n v="0"/>
    <n v="0"/>
    <n v="1"/>
    <n v="2025"/>
    <x v="2"/>
    <s v="超级直播"/>
    <x v="2"/>
    <x v="1"/>
  </r>
  <r>
    <x v="1"/>
    <x v="88"/>
    <x v="0"/>
    <x v="5"/>
    <x v="20"/>
    <n v="1"/>
    <n v="0"/>
    <n v="0"/>
    <n v="0"/>
    <n v="0"/>
    <n v="0"/>
    <n v="0"/>
    <n v="0"/>
    <n v="0"/>
    <n v="1"/>
    <n v="2025"/>
    <x v="2"/>
    <s v="超级短视频"/>
    <x v="2"/>
    <x v="1"/>
  </r>
  <r>
    <x v="1"/>
    <x v="88"/>
    <x v="0"/>
    <x v="0"/>
    <x v="1"/>
    <n v="10614"/>
    <n v="6098"/>
    <n v="63"/>
    <n v="60"/>
    <n v="29858"/>
    <n v="9"/>
    <n v="22970"/>
    <n v="6"/>
    <n v="248"/>
    <n v="10614"/>
    <n v="2025"/>
    <x v="2"/>
    <s v="引力魔方"/>
    <x v="2"/>
    <x v="1"/>
  </r>
  <r>
    <x v="1"/>
    <x v="88"/>
    <x v="0"/>
    <x v="0"/>
    <x v="2"/>
    <n v="4219"/>
    <n v="3629"/>
    <n v="34"/>
    <n v="18"/>
    <n v="43088"/>
    <n v="12"/>
    <n v="21313"/>
    <n v="7"/>
    <n v="219"/>
    <n v="4178"/>
    <n v="2025"/>
    <x v="2"/>
    <s v="直通车"/>
    <x v="2"/>
    <x v="1"/>
  </r>
  <r>
    <x v="1"/>
    <x v="88"/>
    <x v="0"/>
    <x v="0"/>
    <x v="0"/>
    <n v="3879"/>
    <n v="1996"/>
    <n v="143"/>
    <n v="139"/>
    <n v="102710"/>
    <n v="23"/>
    <n v="74975"/>
    <n v="18"/>
    <n v="607"/>
    <n v="3696"/>
    <n v="2025"/>
    <x v="2"/>
    <s v="万相台"/>
    <x v="2"/>
    <x v="1"/>
  </r>
  <r>
    <x v="1"/>
    <x v="88"/>
    <x v="0"/>
    <x v="7"/>
    <x v="23"/>
    <n v="1"/>
    <n v="1"/>
    <n v="0"/>
    <n v="0"/>
    <n v="0"/>
    <n v="0"/>
    <n v="0"/>
    <n v="0"/>
    <n v="0"/>
    <n v="1"/>
    <n v="2025"/>
    <x v="2"/>
    <s v="流量宝"/>
    <x v="2"/>
    <x v="1"/>
  </r>
  <r>
    <x v="1"/>
    <x v="88"/>
    <x v="0"/>
    <x v="7"/>
    <x v="24"/>
    <n v="337"/>
    <n v="102"/>
    <n v="1"/>
    <n v="1"/>
    <n v="16300"/>
    <n v="3"/>
    <n v="16300"/>
    <n v="3"/>
    <n v="4"/>
    <n v="336"/>
    <n v="2025"/>
    <x v="2"/>
    <s v="淘宝客"/>
    <x v="2"/>
    <x v="1"/>
  </r>
  <r>
    <x v="1"/>
    <x v="89"/>
    <x v="1"/>
    <x v="8"/>
    <x v="25"/>
    <n v="174"/>
    <n v="118"/>
    <n v="4"/>
    <n v="4"/>
    <n v="8700"/>
    <n v="1"/>
    <n v="0"/>
    <n v="0"/>
    <n v="14"/>
    <n v="171"/>
    <n v="2025"/>
    <x v="2"/>
    <s v="主会场"/>
    <x v="2"/>
    <x v="1"/>
  </r>
  <r>
    <x v="1"/>
    <x v="89"/>
    <x v="1"/>
    <x v="1"/>
    <x v="3"/>
    <n v="1"/>
    <n v="0"/>
    <n v="0"/>
    <n v="0"/>
    <n v="0"/>
    <n v="0"/>
    <n v="0"/>
    <n v="0"/>
    <n v="0"/>
    <n v="1"/>
    <n v="2025"/>
    <x v="2"/>
    <s v="其他入口榜单"/>
    <x v="2"/>
    <x v="1"/>
  </r>
  <r>
    <x v="1"/>
    <x v="89"/>
    <x v="1"/>
    <x v="3"/>
    <x v="11"/>
    <n v="154"/>
    <n v="75"/>
    <n v="6"/>
    <n v="3"/>
    <n v="1663.43"/>
    <n v="1"/>
    <n v="1663.43"/>
    <n v="1"/>
    <n v="22"/>
    <n v="151"/>
    <n v="2025"/>
    <x v="2"/>
    <s v="商品详情页头图推荐"/>
    <x v="2"/>
    <x v="1"/>
  </r>
  <r>
    <x v="1"/>
    <x v="89"/>
    <x v="1"/>
    <x v="3"/>
    <x v="12"/>
    <n v="29"/>
    <n v="16"/>
    <n v="1"/>
    <n v="0"/>
    <n v="0"/>
    <n v="0"/>
    <n v="0"/>
    <n v="0"/>
    <n v="24"/>
    <n v="15"/>
    <n v="2025"/>
    <x v="2"/>
    <s v="店铺超链"/>
    <x v="2"/>
    <x v="1"/>
  </r>
  <r>
    <x v="1"/>
    <x v="89"/>
    <x v="1"/>
    <x v="4"/>
    <x v="13"/>
    <n v="210"/>
    <n v="128"/>
    <n v="7"/>
    <n v="1"/>
    <n v="9646.43"/>
    <n v="3"/>
    <n v="9646.43"/>
    <n v="3"/>
    <n v="26"/>
    <n v="188"/>
    <n v="2025"/>
    <x v="2"/>
    <s v="其他猜你喜欢"/>
    <x v="2"/>
    <x v="1"/>
  </r>
  <r>
    <x v="1"/>
    <x v="89"/>
    <x v="1"/>
    <x v="4"/>
    <x v="15"/>
    <n v="17"/>
    <n v="12"/>
    <n v="0"/>
    <n v="0"/>
    <n v="0"/>
    <n v="0"/>
    <n v="0"/>
    <n v="0"/>
    <n v="3"/>
    <n v="16"/>
    <n v="2025"/>
    <x v="2"/>
    <s v="购中推荐"/>
    <x v="2"/>
    <x v="1"/>
  </r>
  <r>
    <x v="1"/>
    <x v="89"/>
    <x v="1"/>
    <x v="4"/>
    <x v="16"/>
    <n v="89"/>
    <n v="69"/>
    <n v="2"/>
    <n v="0"/>
    <n v="1663.43"/>
    <n v="1"/>
    <n v="1663.43"/>
    <n v="1"/>
    <n v="6"/>
    <n v="82"/>
    <n v="2025"/>
    <x v="2"/>
    <s v="购后推荐"/>
    <x v="2"/>
    <x v="1"/>
  </r>
  <r>
    <x v="1"/>
    <x v="89"/>
    <x v="1"/>
    <x v="4"/>
    <x v="17"/>
    <n v="3632"/>
    <n v="2929"/>
    <n v="43"/>
    <n v="18"/>
    <n v="5644"/>
    <n v="3"/>
    <n v="5644"/>
    <n v="3"/>
    <n v="233"/>
    <n v="3632"/>
    <n v="2025"/>
    <x v="2"/>
    <s v="首页推荐-微详情"/>
    <x v="2"/>
    <x v="1"/>
  </r>
  <r>
    <x v="1"/>
    <x v="89"/>
    <x v="1"/>
    <x v="4"/>
    <x v="18"/>
    <n v="706"/>
    <n v="645"/>
    <n v="1"/>
    <n v="1"/>
    <n v="0"/>
    <n v="0"/>
    <n v="0"/>
    <n v="0"/>
    <n v="1"/>
    <n v="26"/>
    <n v="2025"/>
    <x v="2"/>
    <s v="首页推荐-直播"/>
    <x v="2"/>
    <x v="1"/>
  </r>
  <r>
    <x v="1"/>
    <x v="89"/>
    <x v="1"/>
    <x v="4"/>
    <x v="19"/>
    <n v="71"/>
    <n v="27"/>
    <n v="0"/>
    <n v="0"/>
    <n v="0"/>
    <n v="0"/>
    <n v="0"/>
    <n v="0"/>
    <n v="2"/>
    <n v="10"/>
    <n v="2025"/>
    <x v="2"/>
    <s v="首页推荐-短视频"/>
    <x v="2"/>
    <x v="1"/>
  </r>
  <r>
    <x v="1"/>
    <x v="89"/>
    <x v="1"/>
    <x v="12"/>
    <x v="42"/>
    <n v="727"/>
    <n v="528"/>
    <n v="31"/>
    <n v="4"/>
    <n v="27070"/>
    <n v="9"/>
    <n v="19775"/>
    <n v="8"/>
    <n v="370"/>
    <n v="499"/>
    <n v="2025"/>
    <x v="2"/>
    <s v="手淘搜索-商品及其他"/>
    <x v="2"/>
    <x v="1"/>
  </r>
  <r>
    <x v="1"/>
    <x v="89"/>
    <x v="1"/>
    <x v="12"/>
    <x v="43"/>
    <n v="9"/>
    <n v="6"/>
    <n v="0"/>
    <n v="0"/>
    <n v="0"/>
    <n v="0"/>
    <n v="0"/>
    <n v="0"/>
    <n v="2"/>
    <n v="5"/>
    <n v="2025"/>
    <x v="2"/>
    <s v="手淘搜索-直播"/>
    <x v="2"/>
    <x v="1"/>
  </r>
  <r>
    <x v="1"/>
    <x v="89"/>
    <x v="1"/>
    <x v="12"/>
    <x v="44"/>
    <n v="12"/>
    <n v="5"/>
    <n v="0"/>
    <n v="0"/>
    <n v="0"/>
    <n v="0"/>
    <n v="0"/>
    <n v="0"/>
    <n v="1"/>
    <n v="12"/>
    <n v="2025"/>
    <x v="2"/>
    <s v="手淘搜索-短视频"/>
    <x v="2"/>
    <x v="1"/>
  </r>
  <r>
    <x v="1"/>
    <x v="89"/>
    <x v="1"/>
    <x v="11"/>
    <x v="37"/>
    <n v="7"/>
    <n v="5"/>
    <n v="0"/>
    <n v="0"/>
    <n v="0"/>
    <n v="0"/>
    <n v="0"/>
    <n v="0"/>
    <n v="1"/>
    <n v="6"/>
    <n v="2025"/>
    <x v="2"/>
    <s v="淘特其他渠道"/>
    <x v="2"/>
    <x v="1"/>
  </r>
  <r>
    <x v="1"/>
    <x v="89"/>
    <x v="1"/>
    <x v="11"/>
    <x v="39"/>
    <n v="17"/>
    <n v="17"/>
    <n v="1"/>
    <n v="0"/>
    <n v="0"/>
    <n v="0"/>
    <n v="0"/>
    <n v="0"/>
    <n v="0"/>
    <n v="17"/>
    <n v="2025"/>
    <x v="2"/>
    <s v="淘特搜索"/>
    <x v="2"/>
    <x v="1"/>
  </r>
  <r>
    <x v="1"/>
    <x v="89"/>
    <x v="0"/>
    <x v="5"/>
    <x v="41"/>
    <n v="1012"/>
    <n v="782"/>
    <n v="14"/>
    <n v="0"/>
    <n v="0"/>
    <n v="0"/>
    <n v="0"/>
    <n v="0"/>
    <n v="23"/>
    <n v="196"/>
    <n v="2025"/>
    <x v="2"/>
    <s v="超级直播"/>
    <x v="2"/>
    <x v="1"/>
  </r>
  <r>
    <x v="1"/>
    <x v="89"/>
    <x v="0"/>
    <x v="5"/>
    <x v="20"/>
    <n v="2"/>
    <n v="1"/>
    <n v="0"/>
    <n v="0"/>
    <n v="0"/>
    <n v="0"/>
    <n v="0"/>
    <n v="0"/>
    <n v="0"/>
    <n v="2"/>
    <n v="2025"/>
    <x v="2"/>
    <s v="超级短视频"/>
    <x v="2"/>
    <x v="1"/>
  </r>
  <r>
    <x v="1"/>
    <x v="89"/>
    <x v="0"/>
    <x v="0"/>
    <x v="1"/>
    <n v="9675"/>
    <n v="5412"/>
    <n v="38"/>
    <n v="39"/>
    <n v="19965.2"/>
    <n v="6"/>
    <n v="6285.2"/>
    <n v="3"/>
    <n v="201"/>
    <n v="9675"/>
    <n v="2025"/>
    <x v="2"/>
    <s v="引力魔方"/>
    <x v="2"/>
    <x v="1"/>
  </r>
  <r>
    <x v="1"/>
    <x v="89"/>
    <x v="0"/>
    <x v="0"/>
    <x v="2"/>
    <n v="3923"/>
    <n v="3370"/>
    <n v="48"/>
    <n v="16"/>
    <n v="28472"/>
    <n v="10"/>
    <n v="26792"/>
    <n v="9"/>
    <n v="215"/>
    <n v="3892"/>
    <n v="2025"/>
    <x v="2"/>
    <s v="直通车"/>
    <x v="2"/>
    <x v="1"/>
  </r>
  <r>
    <x v="1"/>
    <x v="89"/>
    <x v="0"/>
    <x v="0"/>
    <x v="0"/>
    <n v="3691"/>
    <n v="1978"/>
    <n v="154"/>
    <n v="149"/>
    <n v="90166.24"/>
    <n v="17"/>
    <n v="64251.24"/>
    <n v="12"/>
    <n v="605"/>
    <n v="3482"/>
    <n v="2025"/>
    <x v="2"/>
    <s v="万相台"/>
    <x v="2"/>
    <x v="1"/>
  </r>
  <r>
    <x v="1"/>
    <x v="89"/>
    <x v="0"/>
    <x v="7"/>
    <x v="23"/>
    <n v="1"/>
    <n v="0"/>
    <n v="0"/>
    <n v="0"/>
    <n v="0"/>
    <n v="0"/>
    <n v="0"/>
    <n v="0"/>
    <n v="0"/>
    <n v="0"/>
    <n v="2025"/>
    <x v="2"/>
    <s v="流量宝"/>
    <x v="2"/>
    <x v="1"/>
  </r>
  <r>
    <x v="1"/>
    <x v="89"/>
    <x v="0"/>
    <x v="7"/>
    <x v="24"/>
    <n v="328"/>
    <n v="109"/>
    <n v="4"/>
    <n v="0"/>
    <n v="8990.19"/>
    <n v="2"/>
    <n v="8990.19"/>
    <n v="2"/>
    <n v="3"/>
    <n v="323"/>
    <n v="2025"/>
    <x v="2"/>
    <s v="淘宝客"/>
    <x v="2"/>
    <x v="1"/>
  </r>
  <r>
    <x v="1"/>
    <x v="90"/>
    <x v="1"/>
    <x v="8"/>
    <x v="25"/>
    <n v="149"/>
    <n v="91"/>
    <n v="3"/>
    <n v="2"/>
    <n v="0"/>
    <n v="0"/>
    <n v="0"/>
    <n v="0"/>
    <n v="10"/>
    <n v="146"/>
    <n v="2025"/>
    <x v="2"/>
    <s v="主会场"/>
    <x v="2"/>
    <x v="1"/>
  </r>
  <r>
    <x v="1"/>
    <x v="90"/>
    <x v="1"/>
    <x v="3"/>
    <x v="11"/>
    <n v="163"/>
    <n v="93"/>
    <n v="3"/>
    <n v="1"/>
    <n v="1990"/>
    <n v="1"/>
    <n v="1990"/>
    <n v="1"/>
    <n v="33"/>
    <n v="158"/>
    <n v="2025"/>
    <x v="2"/>
    <s v="商品详情页头图推荐"/>
    <x v="2"/>
    <x v="1"/>
  </r>
  <r>
    <x v="1"/>
    <x v="90"/>
    <x v="1"/>
    <x v="3"/>
    <x v="12"/>
    <n v="16"/>
    <n v="11"/>
    <n v="1"/>
    <n v="0"/>
    <n v="0"/>
    <n v="0"/>
    <n v="0"/>
    <n v="0"/>
    <n v="16"/>
    <n v="6"/>
    <n v="2025"/>
    <x v="2"/>
    <s v="店铺超链"/>
    <x v="2"/>
    <x v="1"/>
  </r>
  <r>
    <x v="1"/>
    <x v="90"/>
    <x v="1"/>
    <x v="4"/>
    <x v="13"/>
    <n v="233"/>
    <n v="132"/>
    <n v="3"/>
    <n v="1"/>
    <n v="6580"/>
    <n v="3"/>
    <n v="6580"/>
    <n v="3"/>
    <n v="35"/>
    <n v="209"/>
    <n v="2025"/>
    <x v="2"/>
    <s v="其他猜你喜欢"/>
    <x v="2"/>
    <x v="1"/>
  </r>
  <r>
    <x v="1"/>
    <x v="90"/>
    <x v="1"/>
    <x v="4"/>
    <x v="15"/>
    <n v="9"/>
    <n v="4"/>
    <n v="1"/>
    <n v="0"/>
    <n v="0"/>
    <n v="0"/>
    <n v="0"/>
    <n v="0"/>
    <n v="1"/>
    <n v="6"/>
    <n v="2025"/>
    <x v="2"/>
    <s v="购中推荐"/>
    <x v="2"/>
    <x v="1"/>
  </r>
  <r>
    <x v="1"/>
    <x v="90"/>
    <x v="1"/>
    <x v="4"/>
    <x v="16"/>
    <n v="96"/>
    <n v="77"/>
    <n v="0"/>
    <n v="0"/>
    <n v="0"/>
    <n v="0"/>
    <n v="0"/>
    <n v="0"/>
    <n v="5"/>
    <n v="86"/>
    <n v="2025"/>
    <x v="2"/>
    <s v="购后推荐"/>
    <x v="2"/>
    <x v="1"/>
  </r>
  <r>
    <x v="1"/>
    <x v="90"/>
    <x v="1"/>
    <x v="4"/>
    <x v="17"/>
    <n v="5114"/>
    <n v="4311"/>
    <n v="47"/>
    <n v="24"/>
    <n v="61363"/>
    <n v="7"/>
    <n v="17218"/>
    <n v="4"/>
    <n v="320"/>
    <n v="5114"/>
    <n v="2025"/>
    <x v="2"/>
    <s v="首页推荐-微详情"/>
    <x v="2"/>
    <x v="1"/>
  </r>
  <r>
    <x v="1"/>
    <x v="90"/>
    <x v="1"/>
    <x v="4"/>
    <x v="18"/>
    <n v="383"/>
    <n v="330"/>
    <n v="2"/>
    <n v="2"/>
    <n v="0"/>
    <n v="0"/>
    <n v="0"/>
    <n v="0"/>
    <n v="4"/>
    <n v="25"/>
    <n v="2025"/>
    <x v="2"/>
    <s v="首页推荐-直播"/>
    <x v="2"/>
    <x v="1"/>
  </r>
  <r>
    <x v="1"/>
    <x v="90"/>
    <x v="1"/>
    <x v="4"/>
    <x v="19"/>
    <n v="170"/>
    <n v="98"/>
    <n v="0"/>
    <n v="0"/>
    <n v="0"/>
    <n v="0"/>
    <n v="0"/>
    <n v="0"/>
    <n v="2"/>
    <n v="27"/>
    <n v="2025"/>
    <x v="2"/>
    <s v="首页推荐-短视频"/>
    <x v="2"/>
    <x v="1"/>
  </r>
  <r>
    <x v="1"/>
    <x v="90"/>
    <x v="1"/>
    <x v="12"/>
    <x v="42"/>
    <n v="674"/>
    <n v="487"/>
    <n v="21"/>
    <n v="5"/>
    <n v="11095"/>
    <n v="3"/>
    <n v="9405"/>
    <n v="3"/>
    <n v="278"/>
    <n v="493"/>
    <n v="2025"/>
    <x v="2"/>
    <s v="手淘搜索-商品及其他"/>
    <x v="2"/>
    <x v="1"/>
  </r>
  <r>
    <x v="1"/>
    <x v="90"/>
    <x v="1"/>
    <x v="12"/>
    <x v="43"/>
    <n v="13"/>
    <n v="10"/>
    <n v="1"/>
    <n v="0"/>
    <n v="0"/>
    <n v="0"/>
    <n v="0"/>
    <n v="0"/>
    <n v="1"/>
    <n v="9"/>
    <n v="2025"/>
    <x v="2"/>
    <s v="手淘搜索-直播"/>
    <x v="2"/>
    <x v="1"/>
  </r>
  <r>
    <x v="1"/>
    <x v="90"/>
    <x v="1"/>
    <x v="12"/>
    <x v="44"/>
    <n v="16"/>
    <n v="10"/>
    <n v="1"/>
    <n v="1"/>
    <n v="0"/>
    <n v="0"/>
    <n v="0"/>
    <n v="0"/>
    <n v="2"/>
    <n v="15"/>
    <n v="2025"/>
    <x v="2"/>
    <s v="手淘搜索-短视频"/>
    <x v="2"/>
    <x v="1"/>
  </r>
  <r>
    <x v="1"/>
    <x v="90"/>
    <x v="1"/>
    <x v="11"/>
    <x v="37"/>
    <n v="7"/>
    <n v="3"/>
    <n v="0"/>
    <n v="0"/>
    <n v="0"/>
    <n v="0"/>
    <n v="0"/>
    <n v="0"/>
    <n v="0"/>
    <n v="7"/>
    <n v="2025"/>
    <x v="2"/>
    <s v="淘特其他渠道"/>
    <x v="2"/>
    <x v="1"/>
  </r>
  <r>
    <x v="1"/>
    <x v="90"/>
    <x v="1"/>
    <x v="11"/>
    <x v="39"/>
    <n v="19"/>
    <n v="18"/>
    <n v="0"/>
    <n v="0"/>
    <n v="0"/>
    <n v="0"/>
    <n v="0"/>
    <n v="0"/>
    <n v="0"/>
    <n v="19"/>
    <n v="2025"/>
    <x v="2"/>
    <s v="淘特搜索"/>
    <x v="2"/>
    <x v="1"/>
  </r>
  <r>
    <x v="1"/>
    <x v="90"/>
    <x v="0"/>
    <x v="5"/>
    <x v="41"/>
    <n v="905"/>
    <n v="666"/>
    <n v="15"/>
    <n v="0"/>
    <n v="0"/>
    <n v="0"/>
    <n v="0"/>
    <n v="0"/>
    <n v="24"/>
    <n v="172"/>
    <n v="2025"/>
    <x v="2"/>
    <s v="超级直播"/>
    <x v="2"/>
    <x v="1"/>
  </r>
  <r>
    <x v="1"/>
    <x v="90"/>
    <x v="0"/>
    <x v="0"/>
    <x v="1"/>
    <n v="9437"/>
    <n v="5329"/>
    <n v="47"/>
    <n v="26"/>
    <n v="16300"/>
    <n v="5"/>
    <n v="13925"/>
    <n v="4"/>
    <n v="193"/>
    <n v="9437"/>
    <n v="2025"/>
    <x v="2"/>
    <s v="引力魔方"/>
    <x v="2"/>
    <x v="1"/>
  </r>
  <r>
    <x v="1"/>
    <x v="90"/>
    <x v="0"/>
    <x v="0"/>
    <x v="2"/>
    <n v="3256"/>
    <n v="2792"/>
    <n v="38"/>
    <n v="17"/>
    <n v="42509"/>
    <n v="7"/>
    <n v="9380"/>
    <n v="3"/>
    <n v="163"/>
    <n v="3232"/>
    <n v="2025"/>
    <x v="2"/>
    <s v="直通车"/>
    <x v="2"/>
    <x v="1"/>
  </r>
  <r>
    <x v="1"/>
    <x v="90"/>
    <x v="0"/>
    <x v="0"/>
    <x v="0"/>
    <n v="3020"/>
    <n v="1498"/>
    <n v="108"/>
    <n v="112"/>
    <n v="31515"/>
    <n v="9"/>
    <n v="19505"/>
    <n v="7"/>
    <n v="549"/>
    <n v="2837"/>
    <n v="2025"/>
    <x v="2"/>
    <s v="万相台"/>
    <x v="2"/>
    <x v="1"/>
  </r>
  <r>
    <x v="1"/>
    <x v="90"/>
    <x v="0"/>
    <x v="7"/>
    <x v="23"/>
    <n v="2"/>
    <n v="2"/>
    <n v="0"/>
    <n v="0"/>
    <n v="0"/>
    <n v="0"/>
    <n v="0"/>
    <n v="0"/>
    <n v="0"/>
    <n v="2"/>
    <n v="2025"/>
    <x v="2"/>
    <s v="流量宝"/>
    <x v="2"/>
    <x v="1"/>
  </r>
  <r>
    <x v="1"/>
    <x v="90"/>
    <x v="0"/>
    <x v="7"/>
    <x v="24"/>
    <n v="303"/>
    <n v="86"/>
    <n v="4"/>
    <n v="0"/>
    <n v="8780"/>
    <n v="3"/>
    <n v="8780"/>
    <n v="3"/>
    <n v="4"/>
    <n v="302"/>
    <n v="2025"/>
    <x v="2"/>
    <s v="淘宝客"/>
    <x v="2"/>
    <x v="1"/>
  </r>
  <r>
    <x v="1"/>
    <x v="91"/>
    <x v="1"/>
    <x v="8"/>
    <x v="25"/>
    <n v="158"/>
    <n v="90"/>
    <n v="4"/>
    <n v="1"/>
    <n v="0"/>
    <n v="0"/>
    <n v="0"/>
    <n v="0"/>
    <n v="9"/>
    <n v="154"/>
    <n v="2025"/>
    <x v="2"/>
    <s v="主会场"/>
    <x v="2"/>
    <x v="1"/>
  </r>
  <r>
    <x v="1"/>
    <x v="91"/>
    <x v="1"/>
    <x v="3"/>
    <x v="11"/>
    <n v="263"/>
    <n v="174"/>
    <n v="5"/>
    <n v="4"/>
    <n v="0"/>
    <n v="0"/>
    <n v="0"/>
    <n v="0"/>
    <n v="56"/>
    <n v="256"/>
    <n v="2025"/>
    <x v="2"/>
    <s v="商品详情页头图推荐"/>
    <x v="2"/>
    <x v="1"/>
  </r>
  <r>
    <x v="1"/>
    <x v="91"/>
    <x v="1"/>
    <x v="3"/>
    <x v="12"/>
    <n v="23"/>
    <n v="15"/>
    <n v="2"/>
    <n v="0"/>
    <n v="2623.5"/>
    <n v="1"/>
    <n v="2623.5"/>
    <n v="1"/>
    <n v="22"/>
    <n v="13"/>
    <n v="2025"/>
    <x v="2"/>
    <s v="店铺超链"/>
    <x v="2"/>
    <x v="1"/>
  </r>
  <r>
    <x v="1"/>
    <x v="91"/>
    <x v="1"/>
    <x v="4"/>
    <x v="13"/>
    <n v="265"/>
    <n v="177"/>
    <n v="4"/>
    <n v="1"/>
    <n v="3200"/>
    <n v="1"/>
    <n v="3200"/>
    <n v="1"/>
    <n v="32"/>
    <n v="245"/>
    <n v="2025"/>
    <x v="2"/>
    <s v="其他猜你喜欢"/>
    <x v="2"/>
    <x v="1"/>
  </r>
  <r>
    <x v="1"/>
    <x v="91"/>
    <x v="1"/>
    <x v="4"/>
    <x v="15"/>
    <n v="11"/>
    <n v="10"/>
    <n v="0"/>
    <n v="0"/>
    <n v="0"/>
    <n v="0"/>
    <n v="0"/>
    <n v="0"/>
    <n v="0"/>
    <n v="10"/>
    <n v="2025"/>
    <x v="2"/>
    <s v="购中推荐"/>
    <x v="2"/>
    <x v="1"/>
  </r>
  <r>
    <x v="1"/>
    <x v="91"/>
    <x v="1"/>
    <x v="4"/>
    <x v="16"/>
    <n v="127"/>
    <n v="98"/>
    <n v="0"/>
    <n v="0"/>
    <n v="1990"/>
    <n v="1"/>
    <n v="1990"/>
    <n v="1"/>
    <n v="5"/>
    <n v="106"/>
    <n v="2025"/>
    <x v="2"/>
    <s v="购后推荐"/>
    <x v="2"/>
    <x v="1"/>
  </r>
  <r>
    <x v="1"/>
    <x v="91"/>
    <x v="1"/>
    <x v="4"/>
    <x v="17"/>
    <n v="9081"/>
    <n v="8121"/>
    <n v="56"/>
    <n v="38"/>
    <n v="10330"/>
    <n v="4"/>
    <n v="7580"/>
    <n v="3"/>
    <n v="510"/>
    <n v="9081"/>
    <n v="2025"/>
    <x v="2"/>
    <s v="首页推荐-微详情"/>
    <x v="2"/>
    <x v="1"/>
  </r>
  <r>
    <x v="1"/>
    <x v="91"/>
    <x v="1"/>
    <x v="4"/>
    <x v="18"/>
    <n v="1"/>
    <n v="0"/>
    <n v="0"/>
    <n v="0"/>
    <n v="0"/>
    <n v="0"/>
    <n v="0"/>
    <n v="0"/>
    <n v="0"/>
    <n v="0"/>
    <n v="2025"/>
    <x v="2"/>
    <s v="首页推荐-直播"/>
    <x v="2"/>
    <x v="1"/>
  </r>
  <r>
    <x v="1"/>
    <x v="91"/>
    <x v="1"/>
    <x v="4"/>
    <x v="19"/>
    <n v="210"/>
    <n v="108"/>
    <n v="1"/>
    <n v="0"/>
    <n v="0"/>
    <n v="0"/>
    <n v="0"/>
    <n v="0"/>
    <n v="3"/>
    <n v="24"/>
    <n v="2025"/>
    <x v="2"/>
    <s v="首页推荐-短视频"/>
    <x v="2"/>
    <x v="1"/>
  </r>
  <r>
    <x v="1"/>
    <x v="91"/>
    <x v="1"/>
    <x v="12"/>
    <x v="42"/>
    <n v="816"/>
    <n v="613"/>
    <n v="37"/>
    <n v="5"/>
    <n v="84730"/>
    <n v="6"/>
    <n v="48385"/>
    <n v="5"/>
    <n v="376"/>
    <n v="590"/>
    <n v="2025"/>
    <x v="2"/>
    <s v="手淘搜索-商品及其他"/>
    <x v="2"/>
    <x v="1"/>
  </r>
  <r>
    <x v="1"/>
    <x v="91"/>
    <x v="1"/>
    <x v="12"/>
    <x v="44"/>
    <n v="12"/>
    <n v="9"/>
    <n v="0"/>
    <n v="0"/>
    <n v="0"/>
    <n v="0"/>
    <n v="0"/>
    <n v="0"/>
    <n v="2"/>
    <n v="11"/>
    <n v="2025"/>
    <x v="2"/>
    <s v="手淘搜索-短视频"/>
    <x v="2"/>
    <x v="1"/>
  </r>
  <r>
    <x v="1"/>
    <x v="91"/>
    <x v="1"/>
    <x v="11"/>
    <x v="37"/>
    <n v="8"/>
    <n v="7"/>
    <n v="0"/>
    <n v="0"/>
    <n v="0"/>
    <n v="0"/>
    <n v="0"/>
    <n v="0"/>
    <n v="1"/>
    <n v="8"/>
    <n v="2025"/>
    <x v="2"/>
    <s v="淘特其他渠道"/>
    <x v="2"/>
    <x v="1"/>
  </r>
  <r>
    <x v="1"/>
    <x v="91"/>
    <x v="1"/>
    <x v="11"/>
    <x v="39"/>
    <n v="27"/>
    <n v="26"/>
    <n v="0"/>
    <n v="0"/>
    <n v="0"/>
    <n v="0"/>
    <n v="0"/>
    <n v="0"/>
    <n v="0"/>
    <n v="27"/>
    <n v="2025"/>
    <x v="2"/>
    <s v="淘特搜索"/>
    <x v="2"/>
    <x v="1"/>
  </r>
  <r>
    <x v="1"/>
    <x v="91"/>
    <x v="0"/>
    <x v="5"/>
    <x v="41"/>
    <n v="5"/>
    <n v="2"/>
    <n v="0"/>
    <n v="0"/>
    <n v="0"/>
    <n v="0"/>
    <n v="0"/>
    <n v="0"/>
    <n v="0"/>
    <n v="2"/>
    <n v="2025"/>
    <x v="2"/>
    <s v="超级直播"/>
    <x v="2"/>
    <x v="1"/>
  </r>
  <r>
    <x v="1"/>
    <x v="91"/>
    <x v="0"/>
    <x v="5"/>
    <x v="20"/>
    <n v="5"/>
    <n v="5"/>
    <n v="0"/>
    <n v="0"/>
    <n v="0"/>
    <n v="0"/>
    <n v="0"/>
    <n v="0"/>
    <n v="0"/>
    <n v="5"/>
    <n v="2025"/>
    <x v="2"/>
    <s v="超级短视频"/>
    <x v="2"/>
    <x v="1"/>
  </r>
  <r>
    <x v="1"/>
    <x v="91"/>
    <x v="0"/>
    <x v="0"/>
    <x v="1"/>
    <n v="9910"/>
    <n v="5591"/>
    <n v="58"/>
    <n v="40"/>
    <n v="25940"/>
    <n v="9"/>
    <n v="11470"/>
    <n v="5"/>
    <n v="233"/>
    <n v="9910"/>
    <n v="2025"/>
    <x v="2"/>
    <s v="引力魔方"/>
    <x v="2"/>
    <x v="1"/>
  </r>
  <r>
    <x v="1"/>
    <x v="91"/>
    <x v="0"/>
    <x v="0"/>
    <x v="2"/>
    <n v="3404"/>
    <n v="2888"/>
    <n v="32"/>
    <n v="20"/>
    <n v="19968"/>
    <n v="6"/>
    <n v="8835"/>
    <n v="3"/>
    <n v="194"/>
    <n v="3376"/>
    <n v="2025"/>
    <x v="2"/>
    <s v="直通车"/>
    <x v="2"/>
    <x v="1"/>
  </r>
  <r>
    <x v="1"/>
    <x v="91"/>
    <x v="0"/>
    <x v="0"/>
    <x v="0"/>
    <n v="3130"/>
    <n v="1619"/>
    <n v="119"/>
    <n v="104"/>
    <n v="54098"/>
    <n v="11"/>
    <n v="30728"/>
    <n v="9"/>
    <n v="677"/>
    <n v="2878"/>
    <n v="2025"/>
    <x v="2"/>
    <s v="万相台"/>
    <x v="2"/>
    <x v="1"/>
  </r>
  <r>
    <x v="1"/>
    <x v="91"/>
    <x v="0"/>
    <x v="7"/>
    <x v="23"/>
    <n v="3"/>
    <n v="2"/>
    <n v="0"/>
    <n v="0"/>
    <n v="0"/>
    <n v="0"/>
    <n v="0"/>
    <n v="0"/>
    <n v="0"/>
    <n v="3"/>
    <n v="2025"/>
    <x v="2"/>
    <s v="流量宝"/>
    <x v="2"/>
    <x v="1"/>
  </r>
  <r>
    <x v="1"/>
    <x v="91"/>
    <x v="0"/>
    <x v="7"/>
    <x v="24"/>
    <n v="330"/>
    <n v="100"/>
    <n v="1"/>
    <n v="2"/>
    <n v="0"/>
    <n v="0"/>
    <n v="0"/>
    <n v="0"/>
    <n v="3"/>
    <n v="329"/>
    <n v="2025"/>
    <x v="2"/>
    <s v="淘宝客"/>
    <x v="2"/>
    <x v="1"/>
  </r>
  <r>
    <x v="1"/>
    <x v="92"/>
    <x v="1"/>
    <x v="8"/>
    <x v="25"/>
    <n v="194"/>
    <n v="124"/>
    <n v="7"/>
    <n v="3"/>
    <n v="3990"/>
    <n v="1"/>
    <n v="3990"/>
    <n v="1"/>
    <n v="16"/>
    <n v="188"/>
    <n v="2025"/>
    <x v="2"/>
    <s v="主会场"/>
    <x v="2"/>
    <x v="1"/>
  </r>
  <r>
    <x v="1"/>
    <x v="92"/>
    <x v="1"/>
    <x v="1"/>
    <x v="3"/>
    <n v="3"/>
    <n v="2"/>
    <n v="0"/>
    <n v="0"/>
    <n v="0"/>
    <n v="0"/>
    <n v="0"/>
    <n v="0"/>
    <n v="0"/>
    <n v="3"/>
    <n v="2025"/>
    <x v="2"/>
    <s v="其他入口榜单"/>
    <x v="2"/>
    <x v="1"/>
  </r>
  <r>
    <x v="1"/>
    <x v="92"/>
    <x v="1"/>
    <x v="3"/>
    <x v="11"/>
    <n v="322"/>
    <n v="228"/>
    <n v="8"/>
    <n v="4"/>
    <n v="15430"/>
    <n v="6"/>
    <n v="10950"/>
    <n v="5"/>
    <n v="69"/>
    <n v="314"/>
    <n v="2025"/>
    <x v="2"/>
    <s v="商品详情页头图推荐"/>
    <x v="2"/>
    <x v="1"/>
  </r>
  <r>
    <x v="1"/>
    <x v="92"/>
    <x v="1"/>
    <x v="3"/>
    <x v="12"/>
    <n v="30"/>
    <n v="18"/>
    <n v="2"/>
    <n v="1"/>
    <n v="0"/>
    <n v="0"/>
    <n v="0"/>
    <n v="0"/>
    <n v="24"/>
    <n v="18"/>
    <n v="2025"/>
    <x v="2"/>
    <s v="店铺超链"/>
    <x v="2"/>
    <x v="1"/>
  </r>
  <r>
    <x v="1"/>
    <x v="92"/>
    <x v="1"/>
    <x v="4"/>
    <x v="13"/>
    <n v="346"/>
    <n v="241"/>
    <n v="4"/>
    <n v="3"/>
    <n v="1690"/>
    <n v="1"/>
    <n v="0"/>
    <n v="0"/>
    <n v="47"/>
    <n v="329"/>
    <n v="2025"/>
    <x v="2"/>
    <s v="其他猜你喜欢"/>
    <x v="2"/>
    <x v="1"/>
  </r>
  <r>
    <x v="1"/>
    <x v="92"/>
    <x v="1"/>
    <x v="4"/>
    <x v="15"/>
    <n v="21"/>
    <n v="20"/>
    <n v="0"/>
    <n v="0"/>
    <n v="0"/>
    <n v="0"/>
    <n v="0"/>
    <n v="0"/>
    <n v="2"/>
    <n v="21"/>
    <n v="2025"/>
    <x v="2"/>
    <s v="购中推荐"/>
    <x v="2"/>
    <x v="1"/>
  </r>
  <r>
    <x v="1"/>
    <x v="92"/>
    <x v="1"/>
    <x v="4"/>
    <x v="16"/>
    <n v="121"/>
    <n v="98"/>
    <n v="0"/>
    <n v="0"/>
    <n v="0"/>
    <n v="0"/>
    <n v="0"/>
    <n v="0"/>
    <n v="7"/>
    <n v="112"/>
    <n v="2025"/>
    <x v="2"/>
    <s v="购后推荐"/>
    <x v="2"/>
    <x v="1"/>
  </r>
  <r>
    <x v="1"/>
    <x v="92"/>
    <x v="1"/>
    <x v="4"/>
    <x v="17"/>
    <n v="10661"/>
    <n v="9668"/>
    <n v="69"/>
    <n v="53"/>
    <n v="16543"/>
    <n v="5"/>
    <n v="12063"/>
    <n v="4"/>
    <n v="585"/>
    <n v="10661"/>
    <n v="2025"/>
    <x v="2"/>
    <s v="首页推荐-微详情"/>
    <x v="2"/>
    <x v="1"/>
  </r>
  <r>
    <x v="1"/>
    <x v="92"/>
    <x v="1"/>
    <x v="4"/>
    <x v="18"/>
    <n v="1"/>
    <n v="0"/>
    <n v="0"/>
    <n v="0"/>
    <n v="0"/>
    <n v="0"/>
    <n v="0"/>
    <n v="0"/>
    <n v="0"/>
    <n v="0"/>
    <n v="2025"/>
    <x v="2"/>
    <s v="首页推荐-直播"/>
    <x v="2"/>
    <x v="1"/>
  </r>
  <r>
    <x v="1"/>
    <x v="92"/>
    <x v="1"/>
    <x v="4"/>
    <x v="19"/>
    <n v="91"/>
    <n v="47"/>
    <n v="1"/>
    <n v="0"/>
    <n v="0"/>
    <n v="0"/>
    <n v="0"/>
    <n v="0"/>
    <n v="1"/>
    <n v="12"/>
    <n v="2025"/>
    <x v="2"/>
    <s v="首页推荐-短视频"/>
    <x v="2"/>
    <x v="1"/>
  </r>
  <r>
    <x v="1"/>
    <x v="92"/>
    <x v="1"/>
    <x v="12"/>
    <x v="42"/>
    <n v="921"/>
    <n v="721"/>
    <n v="41"/>
    <n v="11"/>
    <n v="14243"/>
    <n v="7"/>
    <n v="12753"/>
    <n v="7"/>
    <n v="473"/>
    <n v="613"/>
    <n v="2025"/>
    <x v="2"/>
    <s v="手淘搜索-商品及其他"/>
    <x v="2"/>
    <x v="1"/>
  </r>
  <r>
    <x v="1"/>
    <x v="92"/>
    <x v="1"/>
    <x v="12"/>
    <x v="44"/>
    <n v="18"/>
    <n v="8"/>
    <n v="1"/>
    <n v="0"/>
    <n v="0"/>
    <n v="0"/>
    <n v="0"/>
    <n v="0"/>
    <n v="2"/>
    <n v="17"/>
    <n v="2025"/>
    <x v="2"/>
    <s v="手淘搜索-短视频"/>
    <x v="2"/>
    <x v="1"/>
  </r>
  <r>
    <x v="1"/>
    <x v="92"/>
    <x v="1"/>
    <x v="11"/>
    <x v="37"/>
    <n v="7"/>
    <n v="7"/>
    <n v="0"/>
    <n v="0"/>
    <n v="0"/>
    <n v="0"/>
    <n v="0"/>
    <n v="0"/>
    <n v="1"/>
    <n v="7"/>
    <n v="2025"/>
    <x v="2"/>
    <s v="淘特其他渠道"/>
    <x v="2"/>
    <x v="1"/>
  </r>
  <r>
    <x v="1"/>
    <x v="92"/>
    <x v="1"/>
    <x v="11"/>
    <x v="38"/>
    <n v="1"/>
    <n v="1"/>
    <n v="0"/>
    <n v="0"/>
    <n v="1050"/>
    <n v="1"/>
    <n v="1050"/>
    <n v="1"/>
    <n v="0"/>
    <n v="1"/>
    <n v="2025"/>
    <x v="2"/>
    <s v="淘特推荐"/>
    <x v="2"/>
    <x v="1"/>
  </r>
  <r>
    <x v="1"/>
    <x v="92"/>
    <x v="1"/>
    <x v="11"/>
    <x v="39"/>
    <n v="18"/>
    <n v="18"/>
    <n v="0"/>
    <n v="0"/>
    <n v="1050"/>
    <n v="1"/>
    <n v="1050"/>
    <n v="1"/>
    <n v="0"/>
    <n v="18"/>
    <n v="2025"/>
    <x v="2"/>
    <s v="淘特搜索"/>
    <x v="2"/>
    <x v="1"/>
  </r>
  <r>
    <x v="1"/>
    <x v="92"/>
    <x v="1"/>
    <x v="11"/>
    <x v="40"/>
    <n v="1"/>
    <n v="1"/>
    <n v="0"/>
    <n v="0"/>
    <n v="1050"/>
    <n v="1"/>
    <n v="1050"/>
    <n v="1"/>
    <n v="0"/>
    <n v="1"/>
    <n v="2025"/>
    <x v="2"/>
    <s v="淘特自主访问"/>
    <x v="2"/>
    <x v="1"/>
  </r>
  <r>
    <x v="1"/>
    <x v="92"/>
    <x v="0"/>
    <x v="5"/>
    <x v="41"/>
    <n v="1"/>
    <n v="0"/>
    <n v="0"/>
    <n v="0"/>
    <n v="0"/>
    <n v="0"/>
    <n v="0"/>
    <n v="0"/>
    <n v="0"/>
    <n v="0"/>
    <n v="2025"/>
    <x v="2"/>
    <s v="超级直播"/>
    <x v="2"/>
    <x v="1"/>
  </r>
  <r>
    <x v="1"/>
    <x v="92"/>
    <x v="0"/>
    <x v="5"/>
    <x v="20"/>
    <n v="1"/>
    <n v="1"/>
    <n v="0"/>
    <n v="0"/>
    <n v="0"/>
    <n v="0"/>
    <n v="0"/>
    <n v="0"/>
    <n v="0"/>
    <n v="1"/>
    <n v="2025"/>
    <x v="2"/>
    <s v="超级短视频"/>
    <x v="2"/>
    <x v="1"/>
  </r>
  <r>
    <x v="1"/>
    <x v="92"/>
    <x v="0"/>
    <x v="0"/>
    <x v="1"/>
    <n v="9949"/>
    <n v="5582"/>
    <n v="47"/>
    <n v="55"/>
    <n v="15255"/>
    <n v="4"/>
    <n v="9490"/>
    <n v="2"/>
    <n v="190"/>
    <n v="9949"/>
    <n v="2025"/>
    <x v="2"/>
    <s v="引力魔方"/>
    <x v="2"/>
    <x v="1"/>
  </r>
  <r>
    <x v="1"/>
    <x v="92"/>
    <x v="0"/>
    <x v="0"/>
    <x v="2"/>
    <n v="3486"/>
    <n v="3011"/>
    <n v="43"/>
    <n v="19"/>
    <n v="36718"/>
    <n v="11"/>
    <n v="9818"/>
    <n v="5"/>
    <n v="212"/>
    <n v="3454"/>
    <n v="2025"/>
    <x v="2"/>
    <s v="直通车"/>
    <x v="2"/>
    <x v="1"/>
  </r>
  <r>
    <x v="1"/>
    <x v="92"/>
    <x v="0"/>
    <x v="0"/>
    <x v="0"/>
    <n v="3684"/>
    <n v="1941"/>
    <n v="155"/>
    <n v="135"/>
    <n v="92747"/>
    <n v="31"/>
    <n v="77732"/>
    <n v="27"/>
    <n v="824"/>
    <n v="3380"/>
    <n v="2025"/>
    <x v="2"/>
    <s v="万相台"/>
    <x v="2"/>
    <x v="1"/>
  </r>
  <r>
    <x v="1"/>
    <x v="92"/>
    <x v="0"/>
    <x v="7"/>
    <x v="23"/>
    <n v="6"/>
    <n v="6"/>
    <n v="0"/>
    <n v="0"/>
    <n v="0"/>
    <n v="0"/>
    <n v="0"/>
    <n v="0"/>
    <n v="1"/>
    <n v="6"/>
    <n v="2025"/>
    <x v="2"/>
    <s v="流量宝"/>
    <x v="2"/>
    <x v="1"/>
  </r>
  <r>
    <x v="1"/>
    <x v="92"/>
    <x v="0"/>
    <x v="7"/>
    <x v="24"/>
    <n v="320"/>
    <n v="116"/>
    <n v="4"/>
    <n v="1"/>
    <n v="2490"/>
    <n v="1"/>
    <n v="2490"/>
    <n v="1"/>
    <n v="4"/>
    <n v="319"/>
    <n v="2025"/>
    <x v="2"/>
    <s v="淘宝客"/>
    <x v="2"/>
    <x v="1"/>
  </r>
  <r>
    <x v="1"/>
    <x v="93"/>
    <x v="1"/>
    <x v="8"/>
    <x v="25"/>
    <n v="190"/>
    <n v="125"/>
    <n v="6"/>
    <n v="0"/>
    <n v="2490"/>
    <n v="1"/>
    <n v="0"/>
    <n v="0"/>
    <n v="13"/>
    <n v="185"/>
    <n v="2025"/>
    <x v="2"/>
    <s v="主会场"/>
    <x v="2"/>
    <x v="1"/>
  </r>
  <r>
    <x v="1"/>
    <x v="93"/>
    <x v="1"/>
    <x v="3"/>
    <x v="11"/>
    <n v="220"/>
    <n v="135"/>
    <n v="8"/>
    <n v="7"/>
    <n v="7230"/>
    <n v="1"/>
    <n v="7230"/>
    <n v="1"/>
    <n v="46"/>
    <n v="210"/>
    <n v="2025"/>
    <x v="2"/>
    <s v="商品详情页头图推荐"/>
    <x v="2"/>
    <x v="1"/>
  </r>
  <r>
    <x v="1"/>
    <x v="93"/>
    <x v="1"/>
    <x v="3"/>
    <x v="12"/>
    <n v="24"/>
    <n v="16"/>
    <n v="4"/>
    <n v="1"/>
    <n v="0"/>
    <n v="0"/>
    <n v="0"/>
    <n v="0"/>
    <n v="22"/>
    <n v="14"/>
    <n v="2025"/>
    <x v="2"/>
    <s v="店铺超链"/>
    <x v="2"/>
    <x v="1"/>
  </r>
  <r>
    <x v="1"/>
    <x v="93"/>
    <x v="1"/>
    <x v="4"/>
    <x v="13"/>
    <n v="247"/>
    <n v="154"/>
    <n v="3"/>
    <n v="7"/>
    <n v="0"/>
    <n v="0"/>
    <n v="0"/>
    <n v="0"/>
    <n v="38"/>
    <n v="211"/>
    <n v="2025"/>
    <x v="2"/>
    <s v="其他猜你喜欢"/>
    <x v="2"/>
    <x v="1"/>
  </r>
  <r>
    <x v="1"/>
    <x v="93"/>
    <x v="1"/>
    <x v="4"/>
    <x v="15"/>
    <n v="16"/>
    <n v="9"/>
    <n v="0"/>
    <n v="0"/>
    <n v="0"/>
    <n v="0"/>
    <n v="0"/>
    <n v="0"/>
    <n v="2"/>
    <n v="11"/>
    <n v="2025"/>
    <x v="2"/>
    <s v="购中推荐"/>
    <x v="2"/>
    <x v="1"/>
  </r>
  <r>
    <x v="1"/>
    <x v="93"/>
    <x v="1"/>
    <x v="4"/>
    <x v="16"/>
    <n v="137"/>
    <n v="100"/>
    <n v="1"/>
    <n v="0"/>
    <n v="0"/>
    <n v="0"/>
    <n v="0"/>
    <n v="0"/>
    <n v="5"/>
    <n v="53"/>
    <n v="2025"/>
    <x v="2"/>
    <s v="购后推荐"/>
    <x v="2"/>
    <x v="1"/>
  </r>
  <r>
    <x v="1"/>
    <x v="93"/>
    <x v="1"/>
    <x v="4"/>
    <x v="17"/>
    <n v="6982"/>
    <n v="6131"/>
    <n v="47"/>
    <n v="38"/>
    <n v="68410"/>
    <n v="7"/>
    <n v="8920"/>
    <n v="4"/>
    <n v="349"/>
    <n v="6982"/>
    <n v="2025"/>
    <x v="2"/>
    <s v="首页推荐-微详情"/>
    <x v="2"/>
    <x v="1"/>
  </r>
  <r>
    <x v="1"/>
    <x v="93"/>
    <x v="1"/>
    <x v="4"/>
    <x v="19"/>
    <n v="352"/>
    <n v="244"/>
    <n v="0"/>
    <n v="0"/>
    <n v="0"/>
    <n v="0"/>
    <n v="0"/>
    <n v="0"/>
    <n v="2"/>
    <n v="21"/>
    <n v="2025"/>
    <x v="2"/>
    <s v="首页推荐-短视频"/>
    <x v="2"/>
    <x v="1"/>
  </r>
  <r>
    <x v="1"/>
    <x v="93"/>
    <x v="1"/>
    <x v="12"/>
    <x v="42"/>
    <n v="810"/>
    <n v="586"/>
    <n v="41"/>
    <n v="5"/>
    <n v="24685"/>
    <n v="5"/>
    <n v="19665"/>
    <n v="4"/>
    <n v="363"/>
    <n v="600"/>
    <n v="2025"/>
    <x v="2"/>
    <s v="手淘搜索-商品及其他"/>
    <x v="2"/>
    <x v="1"/>
  </r>
  <r>
    <x v="1"/>
    <x v="93"/>
    <x v="1"/>
    <x v="12"/>
    <x v="44"/>
    <n v="12"/>
    <n v="9"/>
    <n v="0"/>
    <n v="0"/>
    <n v="0"/>
    <n v="0"/>
    <n v="0"/>
    <n v="0"/>
    <n v="3"/>
    <n v="11"/>
    <n v="2025"/>
    <x v="2"/>
    <s v="手淘搜索-短视频"/>
    <x v="2"/>
    <x v="1"/>
  </r>
  <r>
    <x v="1"/>
    <x v="93"/>
    <x v="1"/>
    <x v="11"/>
    <x v="37"/>
    <n v="4"/>
    <n v="2"/>
    <n v="0"/>
    <n v="0"/>
    <n v="0"/>
    <n v="0"/>
    <n v="0"/>
    <n v="0"/>
    <n v="1"/>
    <n v="3"/>
    <n v="2025"/>
    <x v="2"/>
    <s v="淘特其他渠道"/>
    <x v="2"/>
    <x v="1"/>
  </r>
  <r>
    <x v="1"/>
    <x v="93"/>
    <x v="1"/>
    <x v="11"/>
    <x v="39"/>
    <n v="12"/>
    <n v="10"/>
    <n v="0"/>
    <n v="0"/>
    <n v="0"/>
    <n v="0"/>
    <n v="0"/>
    <n v="0"/>
    <n v="0"/>
    <n v="12"/>
    <n v="2025"/>
    <x v="2"/>
    <s v="淘特搜索"/>
    <x v="2"/>
    <x v="1"/>
  </r>
  <r>
    <x v="1"/>
    <x v="93"/>
    <x v="0"/>
    <x v="5"/>
    <x v="20"/>
    <n v="4"/>
    <n v="4"/>
    <n v="0"/>
    <n v="0"/>
    <n v="0"/>
    <n v="0"/>
    <n v="0"/>
    <n v="0"/>
    <n v="0"/>
    <n v="4"/>
    <n v="2025"/>
    <x v="2"/>
    <s v="超级短视频"/>
    <x v="2"/>
    <x v="1"/>
  </r>
  <r>
    <x v="1"/>
    <x v="93"/>
    <x v="0"/>
    <x v="6"/>
    <x v="21"/>
    <n v="1"/>
    <n v="1"/>
    <n v="0"/>
    <n v="0"/>
    <n v="0"/>
    <n v="0"/>
    <n v="0"/>
    <n v="0"/>
    <n v="1"/>
    <n v="0"/>
    <n v="2025"/>
    <x v="2"/>
    <s v="品销宝-品牌专区"/>
    <x v="2"/>
    <x v="1"/>
  </r>
  <r>
    <x v="1"/>
    <x v="93"/>
    <x v="0"/>
    <x v="6"/>
    <x v="49"/>
    <n v="1"/>
    <n v="1"/>
    <n v="0"/>
    <n v="0"/>
    <n v="0"/>
    <n v="0"/>
    <n v="0"/>
    <n v="0"/>
    <n v="1"/>
    <n v="1"/>
    <n v="2025"/>
    <x v="2"/>
    <s v="超级全域通"/>
    <x v="2"/>
    <x v="1"/>
  </r>
  <r>
    <x v="1"/>
    <x v="93"/>
    <x v="0"/>
    <x v="0"/>
    <x v="1"/>
    <n v="9072"/>
    <n v="4939"/>
    <n v="43"/>
    <n v="50"/>
    <n v="24845"/>
    <n v="5"/>
    <n v="17960"/>
    <n v="4"/>
    <n v="218"/>
    <n v="9072"/>
    <n v="2025"/>
    <x v="2"/>
    <s v="引力魔方"/>
    <x v="2"/>
    <x v="1"/>
  </r>
  <r>
    <x v="1"/>
    <x v="93"/>
    <x v="0"/>
    <x v="0"/>
    <x v="2"/>
    <n v="3392"/>
    <n v="2949"/>
    <n v="42"/>
    <n v="16"/>
    <n v="32199"/>
    <n v="9"/>
    <n v="10219"/>
    <n v="4"/>
    <n v="219"/>
    <n v="3358"/>
    <n v="2025"/>
    <x v="2"/>
    <s v="直通车"/>
    <x v="2"/>
    <x v="1"/>
  </r>
  <r>
    <x v="1"/>
    <x v="93"/>
    <x v="0"/>
    <x v="0"/>
    <x v="0"/>
    <n v="3919"/>
    <n v="2037"/>
    <n v="143"/>
    <n v="149"/>
    <n v="53904.7"/>
    <n v="17"/>
    <n v="51431.85"/>
    <n v="17"/>
    <n v="707"/>
    <n v="3656"/>
    <n v="2025"/>
    <x v="2"/>
    <s v="万相台"/>
    <x v="2"/>
    <x v="1"/>
  </r>
  <r>
    <x v="1"/>
    <x v="93"/>
    <x v="0"/>
    <x v="7"/>
    <x v="23"/>
    <n v="4"/>
    <n v="3"/>
    <n v="0"/>
    <n v="0"/>
    <n v="0"/>
    <n v="0"/>
    <n v="0"/>
    <n v="0"/>
    <n v="0"/>
    <n v="4"/>
    <n v="2025"/>
    <x v="2"/>
    <s v="流量宝"/>
    <x v="2"/>
    <x v="1"/>
  </r>
  <r>
    <x v="1"/>
    <x v="93"/>
    <x v="0"/>
    <x v="7"/>
    <x v="24"/>
    <n v="296"/>
    <n v="76"/>
    <n v="4"/>
    <n v="0"/>
    <n v="4407"/>
    <n v="2"/>
    <n v="4407"/>
    <n v="2"/>
    <n v="2"/>
    <n v="296"/>
    <n v="2025"/>
    <x v="2"/>
    <s v="淘宝客"/>
    <x v="2"/>
    <x v="1"/>
  </r>
  <r>
    <x v="1"/>
    <x v="94"/>
    <x v="1"/>
    <x v="8"/>
    <x v="25"/>
    <n v="171"/>
    <n v="109"/>
    <n v="2"/>
    <n v="3"/>
    <n v="0"/>
    <n v="0"/>
    <n v="0"/>
    <n v="0"/>
    <n v="13"/>
    <n v="168"/>
    <n v="2025"/>
    <x v="2"/>
    <s v="主会场"/>
    <x v="2"/>
    <x v="1"/>
  </r>
  <r>
    <x v="1"/>
    <x v="94"/>
    <x v="1"/>
    <x v="3"/>
    <x v="11"/>
    <n v="131"/>
    <n v="66"/>
    <n v="4"/>
    <n v="2"/>
    <n v="13321"/>
    <n v="3"/>
    <n v="4625"/>
    <n v="2"/>
    <n v="30"/>
    <n v="126"/>
    <n v="2025"/>
    <x v="2"/>
    <s v="商品详情页头图推荐"/>
    <x v="2"/>
    <x v="1"/>
  </r>
  <r>
    <x v="1"/>
    <x v="94"/>
    <x v="1"/>
    <x v="3"/>
    <x v="12"/>
    <n v="27"/>
    <n v="11"/>
    <n v="1"/>
    <n v="0"/>
    <n v="4085"/>
    <n v="2"/>
    <n v="1690"/>
    <n v="1"/>
    <n v="20"/>
    <n v="14"/>
    <n v="2025"/>
    <x v="2"/>
    <s v="店铺超链"/>
    <x v="2"/>
    <x v="1"/>
  </r>
  <r>
    <x v="1"/>
    <x v="94"/>
    <x v="1"/>
    <x v="4"/>
    <x v="13"/>
    <n v="227"/>
    <n v="118"/>
    <n v="5"/>
    <n v="3"/>
    <n v="4740"/>
    <n v="4"/>
    <n v="4670"/>
    <n v="3"/>
    <n v="40"/>
    <n v="176"/>
    <n v="2025"/>
    <x v="2"/>
    <s v="其他猜你喜欢"/>
    <x v="2"/>
    <x v="1"/>
  </r>
  <r>
    <x v="1"/>
    <x v="94"/>
    <x v="1"/>
    <x v="4"/>
    <x v="15"/>
    <n v="10"/>
    <n v="6"/>
    <n v="0"/>
    <n v="0"/>
    <n v="0"/>
    <n v="0"/>
    <n v="0"/>
    <n v="0"/>
    <n v="0"/>
    <n v="3"/>
    <n v="2025"/>
    <x v="2"/>
    <s v="购中推荐"/>
    <x v="2"/>
    <x v="1"/>
  </r>
  <r>
    <x v="1"/>
    <x v="94"/>
    <x v="1"/>
    <x v="4"/>
    <x v="16"/>
    <n v="147"/>
    <n v="118"/>
    <n v="1"/>
    <n v="0"/>
    <n v="0"/>
    <n v="0"/>
    <n v="0"/>
    <n v="0"/>
    <n v="2"/>
    <n v="27"/>
    <n v="2025"/>
    <x v="2"/>
    <s v="购后推荐"/>
    <x v="2"/>
    <x v="1"/>
  </r>
  <r>
    <x v="1"/>
    <x v="94"/>
    <x v="1"/>
    <x v="4"/>
    <x v="17"/>
    <n v="3074"/>
    <n v="2244"/>
    <n v="30"/>
    <n v="9"/>
    <n v="25205"/>
    <n v="7"/>
    <n v="10839"/>
    <n v="4"/>
    <n v="111"/>
    <n v="3074"/>
    <n v="2025"/>
    <x v="2"/>
    <s v="首页推荐-微详情"/>
    <x v="2"/>
    <x v="1"/>
  </r>
  <r>
    <x v="1"/>
    <x v="94"/>
    <x v="1"/>
    <x v="4"/>
    <x v="18"/>
    <n v="689"/>
    <n v="635"/>
    <n v="0"/>
    <n v="0"/>
    <n v="0"/>
    <n v="0"/>
    <n v="0"/>
    <n v="0"/>
    <n v="2"/>
    <n v="27"/>
    <n v="2025"/>
    <x v="2"/>
    <s v="首页推荐-直播"/>
    <x v="2"/>
    <x v="1"/>
  </r>
  <r>
    <x v="1"/>
    <x v="94"/>
    <x v="1"/>
    <x v="4"/>
    <x v="19"/>
    <n v="845"/>
    <n v="698"/>
    <n v="2"/>
    <n v="0"/>
    <n v="8696"/>
    <n v="1"/>
    <n v="0"/>
    <n v="0"/>
    <n v="6"/>
    <n v="36"/>
    <n v="2025"/>
    <x v="2"/>
    <s v="首页推荐-短视频"/>
    <x v="2"/>
    <x v="1"/>
  </r>
  <r>
    <x v="1"/>
    <x v="94"/>
    <x v="1"/>
    <x v="12"/>
    <x v="42"/>
    <n v="802"/>
    <n v="609"/>
    <n v="34"/>
    <n v="9"/>
    <n v="32533.22"/>
    <n v="11"/>
    <n v="27688.22"/>
    <n v="10"/>
    <n v="384"/>
    <n v="560"/>
    <n v="2025"/>
    <x v="2"/>
    <s v="手淘搜索-商品及其他"/>
    <x v="2"/>
    <x v="1"/>
  </r>
  <r>
    <x v="1"/>
    <x v="94"/>
    <x v="1"/>
    <x v="12"/>
    <x v="43"/>
    <n v="15"/>
    <n v="11"/>
    <n v="3"/>
    <n v="1"/>
    <n v="7185"/>
    <n v="1"/>
    <n v="0"/>
    <n v="0"/>
    <n v="3"/>
    <n v="10"/>
    <n v="2025"/>
    <x v="2"/>
    <s v="手淘搜索-直播"/>
    <x v="2"/>
    <x v="1"/>
  </r>
  <r>
    <x v="1"/>
    <x v="94"/>
    <x v="1"/>
    <x v="12"/>
    <x v="44"/>
    <n v="11"/>
    <n v="3"/>
    <n v="1"/>
    <n v="0"/>
    <n v="0"/>
    <n v="0"/>
    <n v="0"/>
    <n v="0"/>
    <n v="1"/>
    <n v="11"/>
    <n v="2025"/>
    <x v="2"/>
    <s v="手淘搜索-短视频"/>
    <x v="2"/>
    <x v="1"/>
  </r>
  <r>
    <x v="1"/>
    <x v="94"/>
    <x v="1"/>
    <x v="11"/>
    <x v="37"/>
    <n v="8"/>
    <n v="7"/>
    <n v="0"/>
    <n v="0"/>
    <n v="0"/>
    <n v="0"/>
    <n v="0"/>
    <n v="0"/>
    <n v="0"/>
    <n v="8"/>
    <n v="2025"/>
    <x v="2"/>
    <s v="淘特其他渠道"/>
    <x v="2"/>
    <x v="1"/>
  </r>
  <r>
    <x v="1"/>
    <x v="94"/>
    <x v="1"/>
    <x v="11"/>
    <x v="39"/>
    <n v="20"/>
    <n v="20"/>
    <n v="0"/>
    <n v="0"/>
    <n v="0"/>
    <n v="0"/>
    <n v="0"/>
    <n v="0"/>
    <n v="0"/>
    <n v="20"/>
    <n v="2025"/>
    <x v="2"/>
    <s v="淘特搜索"/>
    <x v="2"/>
    <x v="1"/>
  </r>
  <r>
    <x v="1"/>
    <x v="94"/>
    <x v="0"/>
    <x v="5"/>
    <x v="41"/>
    <n v="1146"/>
    <n v="965"/>
    <n v="19"/>
    <n v="2"/>
    <n v="0"/>
    <n v="0"/>
    <n v="0"/>
    <n v="0"/>
    <n v="17"/>
    <n v="177"/>
    <n v="2025"/>
    <x v="2"/>
    <s v="超级直播"/>
    <x v="2"/>
    <x v="1"/>
  </r>
  <r>
    <x v="1"/>
    <x v="94"/>
    <x v="0"/>
    <x v="5"/>
    <x v="20"/>
    <n v="7"/>
    <n v="3"/>
    <n v="0"/>
    <n v="0"/>
    <n v="0"/>
    <n v="0"/>
    <n v="0"/>
    <n v="0"/>
    <n v="0"/>
    <n v="7"/>
    <n v="2025"/>
    <x v="2"/>
    <s v="超级短视频"/>
    <x v="2"/>
    <x v="1"/>
  </r>
  <r>
    <x v="1"/>
    <x v="94"/>
    <x v="0"/>
    <x v="0"/>
    <x v="1"/>
    <n v="9003"/>
    <n v="5035"/>
    <n v="65"/>
    <n v="56"/>
    <n v="12365"/>
    <n v="4"/>
    <n v="9430"/>
    <n v="3"/>
    <n v="230"/>
    <n v="9003"/>
    <n v="2025"/>
    <x v="2"/>
    <s v="引力魔方"/>
    <x v="2"/>
    <x v="1"/>
  </r>
  <r>
    <x v="1"/>
    <x v="94"/>
    <x v="0"/>
    <x v="0"/>
    <x v="2"/>
    <n v="3182"/>
    <n v="2771"/>
    <n v="29"/>
    <n v="21"/>
    <n v="48769"/>
    <n v="13"/>
    <n v="9683"/>
    <n v="4"/>
    <n v="223"/>
    <n v="3142"/>
    <n v="2025"/>
    <x v="2"/>
    <s v="直通车"/>
    <x v="2"/>
    <x v="1"/>
  </r>
  <r>
    <x v="1"/>
    <x v="94"/>
    <x v="0"/>
    <x v="0"/>
    <x v="0"/>
    <n v="4030"/>
    <n v="2204"/>
    <n v="116"/>
    <n v="146"/>
    <n v="58435"/>
    <n v="22"/>
    <n v="45105"/>
    <n v="18"/>
    <n v="691"/>
    <n v="3766"/>
    <n v="2025"/>
    <x v="2"/>
    <s v="万相台"/>
    <x v="2"/>
    <x v="1"/>
  </r>
  <r>
    <x v="1"/>
    <x v="94"/>
    <x v="0"/>
    <x v="7"/>
    <x v="22"/>
    <n v="2"/>
    <n v="2"/>
    <n v="0"/>
    <n v="0"/>
    <n v="0"/>
    <n v="0"/>
    <n v="0"/>
    <n v="0"/>
    <n v="0"/>
    <n v="0"/>
    <n v="2025"/>
    <x v="2"/>
    <s v="UD效果投放"/>
    <x v="2"/>
    <x v="1"/>
  </r>
  <r>
    <x v="1"/>
    <x v="94"/>
    <x v="0"/>
    <x v="7"/>
    <x v="23"/>
    <n v="1"/>
    <n v="1"/>
    <n v="0"/>
    <n v="0"/>
    <n v="0"/>
    <n v="0"/>
    <n v="0"/>
    <n v="0"/>
    <n v="0"/>
    <n v="1"/>
    <n v="2025"/>
    <x v="2"/>
    <s v="流量宝"/>
    <x v="2"/>
    <x v="1"/>
  </r>
  <r>
    <x v="1"/>
    <x v="94"/>
    <x v="0"/>
    <x v="7"/>
    <x v="24"/>
    <n v="248"/>
    <n v="79"/>
    <n v="3"/>
    <n v="1"/>
    <n v="13170"/>
    <n v="1"/>
    <n v="13170"/>
    <n v="1"/>
    <n v="1"/>
    <n v="246"/>
    <n v="2025"/>
    <x v="2"/>
    <s v="淘宝客"/>
    <x v="2"/>
    <x v="1"/>
  </r>
  <r>
    <x v="1"/>
    <x v="95"/>
    <x v="1"/>
    <x v="8"/>
    <x v="25"/>
    <n v="137"/>
    <n v="91"/>
    <n v="5"/>
    <n v="1"/>
    <n v="1990"/>
    <n v="1"/>
    <n v="1990"/>
    <n v="1"/>
    <n v="7"/>
    <n v="136"/>
    <n v="2025"/>
    <x v="2"/>
    <s v="主会场"/>
    <x v="2"/>
    <x v="1"/>
  </r>
  <r>
    <x v="1"/>
    <x v="95"/>
    <x v="1"/>
    <x v="3"/>
    <x v="11"/>
    <n v="132"/>
    <n v="49"/>
    <n v="7"/>
    <n v="3"/>
    <n v="16825"/>
    <n v="3"/>
    <n v="7940"/>
    <n v="2"/>
    <n v="26"/>
    <n v="129"/>
    <n v="2025"/>
    <x v="2"/>
    <s v="商品详情页头图推荐"/>
    <x v="2"/>
    <x v="1"/>
  </r>
  <r>
    <x v="1"/>
    <x v="95"/>
    <x v="1"/>
    <x v="3"/>
    <x v="12"/>
    <n v="25"/>
    <n v="15"/>
    <n v="2"/>
    <n v="1"/>
    <n v="0"/>
    <n v="0"/>
    <n v="0"/>
    <n v="0"/>
    <n v="24"/>
    <n v="10"/>
    <n v="2025"/>
    <x v="2"/>
    <s v="店铺超链"/>
    <x v="2"/>
    <x v="1"/>
  </r>
  <r>
    <x v="1"/>
    <x v="95"/>
    <x v="1"/>
    <x v="4"/>
    <x v="13"/>
    <n v="168"/>
    <n v="80"/>
    <n v="8"/>
    <n v="1"/>
    <n v="0"/>
    <n v="0"/>
    <n v="0"/>
    <n v="0"/>
    <n v="34"/>
    <n v="132"/>
    <n v="2025"/>
    <x v="2"/>
    <s v="其他猜你喜欢"/>
    <x v="2"/>
    <x v="1"/>
  </r>
  <r>
    <x v="1"/>
    <x v="95"/>
    <x v="1"/>
    <x v="4"/>
    <x v="15"/>
    <n v="9"/>
    <n v="5"/>
    <n v="1"/>
    <n v="0"/>
    <n v="4750"/>
    <n v="1"/>
    <n v="2375"/>
    <n v="1"/>
    <n v="1"/>
    <n v="6"/>
    <n v="2025"/>
    <x v="2"/>
    <s v="购中推荐"/>
    <x v="2"/>
    <x v="1"/>
  </r>
  <r>
    <x v="1"/>
    <x v="95"/>
    <x v="1"/>
    <x v="4"/>
    <x v="16"/>
    <n v="69"/>
    <n v="43"/>
    <n v="0"/>
    <n v="0"/>
    <n v="0"/>
    <n v="0"/>
    <n v="0"/>
    <n v="0"/>
    <n v="0"/>
    <n v="36"/>
    <n v="2025"/>
    <x v="2"/>
    <s v="购后推荐"/>
    <x v="2"/>
    <x v="1"/>
  </r>
  <r>
    <x v="1"/>
    <x v="95"/>
    <x v="1"/>
    <x v="4"/>
    <x v="17"/>
    <n v="2047"/>
    <n v="1349"/>
    <n v="28"/>
    <n v="12"/>
    <n v="22342"/>
    <n v="5"/>
    <n v="11607"/>
    <n v="4"/>
    <n v="112"/>
    <n v="2047"/>
    <n v="2025"/>
    <x v="2"/>
    <s v="首页推荐-微详情"/>
    <x v="2"/>
    <x v="1"/>
  </r>
  <r>
    <x v="1"/>
    <x v="95"/>
    <x v="1"/>
    <x v="4"/>
    <x v="18"/>
    <n v="553"/>
    <n v="467"/>
    <n v="1"/>
    <n v="0"/>
    <n v="0"/>
    <n v="0"/>
    <n v="0"/>
    <n v="0"/>
    <n v="1"/>
    <n v="28"/>
    <n v="2025"/>
    <x v="2"/>
    <s v="首页推荐-直播"/>
    <x v="2"/>
    <x v="1"/>
  </r>
  <r>
    <x v="1"/>
    <x v="95"/>
    <x v="1"/>
    <x v="4"/>
    <x v="19"/>
    <n v="235"/>
    <n v="173"/>
    <n v="0"/>
    <n v="0"/>
    <n v="0"/>
    <n v="0"/>
    <n v="0"/>
    <n v="0"/>
    <n v="1"/>
    <n v="13"/>
    <n v="2025"/>
    <x v="2"/>
    <s v="首页推荐-短视频"/>
    <x v="2"/>
    <x v="1"/>
  </r>
  <r>
    <x v="1"/>
    <x v="95"/>
    <x v="1"/>
    <x v="12"/>
    <x v="42"/>
    <n v="832"/>
    <n v="646"/>
    <n v="40"/>
    <n v="9"/>
    <n v="24155"/>
    <n v="7"/>
    <n v="17085"/>
    <n v="6"/>
    <n v="387"/>
    <n v="599"/>
    <n v="2025"/>
    <x v="2"/>
    <s v="手淘搜索-商品及其他"/>
    <x v="2"/>
    <x v="1"/>
  </r>
  <r>
    <x v="1"/>
    <x v="95"/>
    <x v="1"/>
    <x v="12"/>
    <x v="43"/>
    <n v="11"/>
    <n v="7"/>
    <n v="1"/>
    <n v="0"/>
    <n v="0"/>
    <n v="0"/>
    <n v="0"/>
    <n v="0"/>
    <n v="0"/>
    <n v="7"/>
    <n v="2025"/>
    <x v="2"/>
    <s v="手淘搜索-直播"/>
    <x v="2"/>
    <x v="1"/>
  </r>
  <r>
    <x v="1"/>
    <x v="95"/>
    <x v="1"/>
    <x v="12"/>
    <x v="44"/>
    <n v="20"/>
    <n v="9"/>
    <n v="0"/>
    <n v="0"/>
    <n v="0"/>
    <n v="0"/>
    <n v="0"/>
    <n v="0"/>
    <n v="0"/>
    <n v="19"/>
    <n v="2025"/>
    <x v="2"/>
    <s v="手淘搜索-短视频"/>
    <x v="2"/>
    <x v="1"/>
  </r>
  <r>
    <x v="1"/>
    <x v="95"/>
    <x v="1"/>
    <x v="11"/>
    <x v="37"/>
    <n v="6"/>
    <n v="6"/>
    <n v="0"/>
    <n v="0"/>
    <n v="0"/>
    <n v="0"/>
    <n v="0"/>
    <n v="0"/>
    <n v="0"/>
    <n v="6"/>
    <n v="2025"/>
    <x v="2"/>
    <s v="淘特其他渠道"/>
    <x v="2"/>
    <x v="1"/>
  </r>
  <r>
    <x v="1"/>
    <x v="95"/>
    <x v="1"/>
    <x v="11"/>
    <x v="39"/>
    <n v="22"/>
    <n v="21"/>
    <n v="0"/>
    <n v="1"/>
    <n v="0"/>
    <n v="0"/>
    <n v="0"/>
    <n v="0"/>
    <n v="0"/>
    <n v="22"/>
    <n v="2025"/>
    <x v="2"/>
    <s v="淘特搜索"/>
    <x v="2"/>
    <x v="1"/>
  </r>
  <r>
    <x v="1"/>
    <x v="95"/>
    <x v="0"/>
    <x v="5"/>
    <x v="41"/>
    <n v="783"/>
    <n v="542"/>
    <n v="17"/>
    <n v="1"/>
    <n v="0"/>
    <n v="0"/>
    <n v="0"/>
    <n v="0"/>
    <n v="25"/>
    <n v="185"/>
    <n v="2025"/>
    <x v="2"/>
    <s v="超级直播"/>
    <x v="2"/>
    <x v="1"/>
  </r>
  <r>
    <x v="1"/>
    <x v="95"/>
    <x v="0"/>
    <x v="5"/>
    <x v="20"/>
    <n v="1"/>
    <n v="1"/>
    <n v="0"/>
    <n v="0"/>
    <n v="0"/>
    <n v="0"/>
    <n v="0"/>
    <n v="0"/>
    <n v="0"/>
    <n v="1"/>
    <n v="2025"/>
    <x v="2"/>
    <s v="超级短视频"/>
    <x v="2"/>
    <x v="1"/>
  </r>
  <r>
    <x v="1"/>
    <x v="95"/>
    <x v="0"/>
    <x v="0"/>
    <x v="1"/>
    <n v="8690"/>
    <n v="4825"/>
    <n v="61"/>
    <n v="52"/>
    <n v="4925"/>
    <n v="2"/>
    <n v="1990"/>
    <n v="1"/>
    <n v="236"/>
    <n v="8690"/>
    <n v="2025"/>
    <x v="2"/>
    <s v="引力魔方"/>
    <x v="2"/>
    <x v="1"/>
  </r>
  <r>
    <x v="1"/>
    <x v="95"/>
    <x v="0"/>
    <x v="0"/>
    <x v="2"/>
    <n v="3171"/>
    <n v="2772"/>
    <n v="38"/>
    <n v="8"/>
    <n v="69007"/>
    <n v="16"/>
    <n v="56210"/>
    <n v="12"/>
    <n v="202"/>
    <n v="3132"/>
    <n v="2025"/>
    <x v="2"/>
    <s v="直通车"/>
    <x v="2"/>
    <x v="1"/>
  </r>
  <r>
    <x v="1"/>
    <x v="95"/>
    <x v="0"/>
    <x v="0"/>
    <x v="0"/>
    <n v="4160"/>
    <n v="2313"/>
    <n v="130"/>
    <n v="150"/>
    <n v="81940"/>
    <n v="21"/>
    <n v="52435"/>
    <n v="15"/>
    <n v="734"/>
    <n v="3879"/>
    <n v="2025"/>
    <x v="2"/>
    <s v="万相台"/>
    <x v="2"/>
    <x v="1"/>
  </r>
  <r>
    <x v="1"/>
    <x v="95"/>
    <x v="0"/>
    <x v="7"/>
    <x v="23"/>
    <n v="3"/>
    <n v="3"/>
    <n v="0"/>
    <n v="0"/>
    <n v="0"/>
    <n v="0"/>
    <n v="0"/>
    <n v="0"/>
    <n v="0"/>
    <n v="2"/>
    <n v="2025"/>
    <x v="2"/>
    <s v="流量宝"/>
    <x v="2"/>
    <x v="1"/>
  </r>
  <r>
    <x v="1"/>
    <x v="95"/>
    <x v="0"/>
    <x v="7"/>
    <x v="24"/>
    <n v="254"/>
    <n v="69"/>
    <n v="2"/>
    <n v="2"/>
    <n v="3980"/>
    <n v="2"/>
    <n v="3980"/>
    <n v="2"/>
    <n v="3"/>
    <n v="252"/>
    <n v="2025"/>
    <x v="2"/>
    <s v="淘宝客"/>
    <x v="2"/>
    <x v="1"/>
  </r>
  <r>
    <x v="1"/>
    <x v="96"/>
    <x v="1"/>
    <x v="8"/>
    <x v="25"/>
    <n v="156"/>
    <n v="106"/>
    <n v="4"/>
    <n v="5"/>
    <n v="13500"/>
    <n v="1"/>
    <n v="0"/>
    <n v="0"/>
    <n v="10"/>
    <n v="153"/>
    <n v="2025"/>
    <x v="2"/>
    <s v="主会场"/>
    <x v="2"/>
    <x v="1"/>
  </r>
  <r>
    <x v="1"/>
    <x v="96"/>
    <x v="1"/>
    <x v="1"/>
    <x v="3"/>
    <n v="2"/>
    <n v="2"/>
    <n v="0"/>
    <n v="0"/>
    <n v="0"/>
    <n v="0"/>
    <n v="0"/>
    <n v="0"/>
    <n v="0"/>
    <n v="2"/>
    <n v="2025"/>
    <x v="2"/>
    <s v="其他入口榜单"/>
    <x v="2"/>
    <x v="1"/>
  </r>
  <r>
    <x v="1"/>
    <x v="96"/>
    <x v="1"/>
    <x v="3"/>
    <x v="11"/>
    <n v="132"/>
    <n v="64"/>
    <n v="6"/>
    <n v="1"/>
    <n v="7625"/>
    <n v="2"/>
    <n v="6135"/>
    <n v="2"/>
    <n v="36"/>
    <n v="121"/>
    <n v="2025"/>
    <x v="2"/>
    <s v="商品详情页头图推荐"/>
    <x v="2"/>
    <x v="1"/>
  </r>
  <r>
    <x v="1"/>
    <x v="96"/>
    <x v="1"/>
    <x v="3"/>
    <x v="12"/>
    <n v="18"/>
    <n v="8"/>
    <n v="3"/>
    <n v="0"/>
    <n v="4645"/>
    <n v="1"/>
    <n v="4645"/>
    <n v="1"/>
    <n v="17"/>
    <n v="9"/>
    <n v="2025"/>
    <x v="2"/>
    <s v="店铺超链"/>
    <x v="2"/>
    <x v="1"/>
  </r>
  <r>
    <x v="1"/>
    <x v="96"/>
    <x v="1"/>
    <x v="4"/>
    <x v="13"/>
    <n v="158"/>
    <n v="88"/>
    <n v="1"/>
    <n v="1"/>
    <n v="0"/>
    <n v="0"/>
    <n v="0"/>
    <n v="0"/>
    <n v="44"/>
    <n v="127"/>
    <n v="2025"/>
    <x v="2"/>
    <s v="其他猜你喜欢"/>
    <x v="2"/>
    <x v="1"/>
  </r>
  <r>
    <x v="1"/>
    <x v="96"/>
    <x v="1"/>
    <x v="4"/>
    <x v="15"/>
    <n v="14"/>
    <n v="9"/>
    <n v="1"/>
    <n v="1"/>
    <n v="0"/>
    <n v="0"/>
    <n v="0"/>
    <n v="0"/>
    <n v="1"/>
    <n v="10"/>
    <n v="2025"/>
    <x v="2"/>
    <s v="购中推荐"/>
    <x v="2"/>
    <x v="1"/>
  </r>
  <r>
    <x v="1"/>
    <x v="96"/>
    <x v="1"/>
    <x v="4"/>
    <x v="16"/>
    <n v="45"/>
    <n v="32"/>
    <n v="0"/>
    <n v="0"/>
    <n v="0"/>
    <n v="0"/>
    <n v="0"/>
    <n v="0"/>
    <n v="2"/>
    <n v="22"/>
    <n v="2025"/>
    <x v="2"/>
    <s v="购后推荐"/>
    <x v="2"/>
    <x v="1"/>
  </r>
  <r>
    <x v="1"/>
    <x v="96"/>
    <x v="1"/>
    <x v="4"/>
    <x v="17"/>
    <n v="2405"/>
    <n v="1650"/>
    <n v="25"/>
    <n v="18"/>
    <n v="42430"/>
    <n v="2"/>
    <n v="11390"/>
    <n v="2"/>
    <n v="108"/>
    <n v="2405"/>
    <n v="2025"/>
    <x v="2"/>
    <s v="首页推荐-微详情"/>
    <x v="2"/>
    <x v="1"/>
  </r>
  <r>
    <x v="1"/>
    <x v="96"/>
    <x v="1"/>
    <x v="4"/>
    <x v="18"/>
    <n v="3"/>
    <n v="2"/>
    <n v="0"/>
    <n v="0"/>
    <n v="0"/>
    <n v="0"/>
    <n v="0"/>
    <n v="0"/>
    <n v="0"/>
    <n v="0"/>
    <n v="2025"/>
    <x v="2"/>
    <s v="首页推荐-直播"/>
    <x v="2"/>
    <x v="1"/>
  </r>
  <r>
    <x v="1"/>
    <x v="96"/>
    <x v="1"/>
    <x v="4"/>
    <x v="19"/>
    <n v="286"/>
    <n v="189"/>
    <n v="0"/>
    <n v="0"/>
    <n v="0"/>
    <n v="0"/>
    <n v="0"/>
    <n v="0"/>
    <n v="3"/>
    <n v="27"/>
    <n v="2025"/>
    <x v="2"/>
    <s v="首页推荐-短视频"/>
    <x v="2"/>
    <x v="1"/>
  </r>
  <r>
    <x v="1"/>
    <x v="96"/>
    <x v="1"/>
    <x v="12"/>
    <x v="42"/>
    <n v="762"/>
    <n v="568"/>
    <n v="32"/>
    <n v="14"/>
    <n v="114267"/>
    <n v="14"/>
    <n v="55772"/>
    <n v="12"/>
    <n v="346"/>
    <n v="572"/>
    <n v="2025"/>
    <x v="2"/>
    <s v="手淘搜索-商品及其他"/>
    <x v="2"/>
    <x v="1"/>
  </r>
  <r>
    <x v="1"/>
    <x v="96"/>
    <x v="1"/>
    <x v="12"/>
    <x v="43"/>
    <n v="1"/>
    <n v="0"/>
    <n v="0"/>
    <n v="0"/>
    <n v="0"/>
    <n v="0"/>
    <n v="0"/>
    <n v="0"/>
    <n v="0"/>
    <n v="1"/>
    <n v="2025"/>
    <x v="2"/>
    <s v="手淘搜索-直播"/>
    <x v="2"/>
    <x v="1"/>
  </r>
  <r>
    <x v="1"/>
    <x v="96"/>
    <x v="1"/>
    <x v="12"/>
    <x v="44"/>
    <n v="17"/>
    <n v="7"/>
    <n v="0"/>
    <n v="1"/>
    <n v="0"/>
    <n v="0"/>
    <n v="0"/>
    <n v="0"/>
    <n v="1"/>
    <n v="17"/>
    <n v="2025"/>
    <x v="2"/>
    <s v="手淘搜索-短视频"/>
    <x v="2"/>
    <x v="1"/>
  </r>
  <r>
    <x v="1"/>
    <x v="96"/>
    <x v="1"/>
    <x v="11"/>
    <x v="37"/>
    <n v="4"/>
    <n v="4"/>
    <n v="0"/>
    <n v="0"/>
    <n v="0"/>
    <n v="0"/>
    <n v="0"/>
    <n v="0"/>
    <n v="1"/>
    <n v="3"/>
    <n v="2025"/>
    <x v="2"/>
    <s v="淘特其他渠道"/>
    <x v="2"/>
    <x v="1"/>
  </r>
  <r>
    <x v="1"/>
    <x v="96"/>
    <x v="1"/>
    <x v="11"/>
    <x v="39"/>
    <n v="15"/>
    <n v="15"/>
    <n v="0"/>
    <n v="0"/>
    <n v="0"/>
    <n v="0"/>
    <n v="0"/>
    <n v="0"/>
    <n v="0"/>
    <n v="15"/>
    <n v="2025"/>
    <x v="2"/>
    <s v="淘特搜索"/>
    <x v="2"/>
    <x v="1"/>
  </r>
  <r>
    <x v="1"/>
    <x v="96"/>
    <x v="0"/>
    <x v="5"/>
    <x v="41"/>
    <n v="3"/>
    <n v="0"/>
    <n v="0"/>
    <n v="0"/>
    <n v="0"/>
    <n v="0"/>
    <n v="0"/>
    <n v="0"/>
    <n v="0"/>
    <n v="1"/>
    <n v="2025"/>
    <x v="2"/>
    <s v="超级直播"/>
    <x v="2"/>
    <x v="1"/>
  </r>
  <r>
    <x v="1"/>
    <x v="96"/>
    <x v="0"/>
    <x v="5"/>
    <x v="20"/>
    <n v="2"/>
    <n v="0"/>
    <n v="0"/>
    <n v="0"/>
    <n v="0"/>
    <n v="0"/>
    <n v="0"/>
    <n v="0"/>
    <n v="0"/>
    <n v="2"/>
    <n v="2025"/>
    <x v="2"/>
    <s v="超级短视频"/>
    <x v="2"/>
    <x v="1"/>
  </r>
  <r>
    <x v="1"/>
    <x v="96"/>
    <x v="0"/>
    <x v="6"/>
    <x v="49"/>
    <n v="3"/>
    <n v="1"/>
    <n v="0"/>
    <n v="0"/>
    <n v="0"/>
    <n v="0"/>
    <n v="0"/>
    <n v="0"/>
    <n v="0"/>
    <n v="3"/>
    <n v="2025"/>
    <x v="2"/>
    <s v="超级全域通"/>
    <x v="2"/>
    <x v="1"/>
  </r>
  <r>
    <x v="1"/>
    <x v="96"/>
    <x v="0"/>
    <x v="0"/>
    <x v="1"/>
    <n v="8416"/>
    <n v="4622"/>
    <n v="42"/>
    <n v="36"/>
    <n v="20043"/>
    <n v="5"/>
    <n v="13033"/>
    <n v="4"/>
    <n v="227"/>
    <n v="8416"/>
    <n v="2025"/>
    <x v="2"/>
    <s v="引力魔方"/>
    <x v="2"/>
    <x v="1"/>
  </r>
  <r>
    <x v="1"/>
    <x v="96"/>
    <x v="0"/>
    <x v="0"/>
    <x v="2"/>
    <n v="3100"/>
    <n v="2741"/>
    <n v="46"/>
    <n v="15"/>
    <n v="66340"/>
    <n v="15"/>
    <n v="29027"/>
    <n v="10"/>
    <n v="191"/>
    <n v="3072"/>
    <n v="2025"/>
    <x v="2"/>
    <s v="直通车"/>
    <x v="2"/>
    <x v="1"/>
  </r>
  <r>
    <x v="1"/>
    <x v="96"/>
    <x v="0"/>
    <x v="0"/>
    <x v="0"/>
    <n v="3928"/>
    <n v="2249"/>
    <n v="112"/>
    <n v="139"/>
    <n v="67420.58"/>
    <n v="21"/>
    <n v="43447.58"/>
    <n v="16"/>
    <n v="675"/>
    <n v="3681"/>
    <n v="2025"/>
    <x v="2"/>
    <s v="万相台"/>
    <x v="2"/>
    <x v="1"/>
  </r>
  <r>
    <x v="1"/>
    <x v="96"/>
    <x v="0"/>
    <x v="7"/>
    <x v="23"/>
    <n v="1"/>
    <n v="0"/>
    <n v="0"/>
    <n v="0"/>
    <n v="0"/>
    <n v="0"/>
    <n v="0"/>
    <n v="0"/>
    <n v="0"/>
    <n v="1"/>
    <n v="2025"/>
    <x v="2"/>
    <s v="流量宝"/>
    <x v="2"/>
    <x v="1"/>
  </r>
  <r>
    <x v="1"/>
    <x v="96"/>
    <x v="0"/>
    <x v="7"/>
    <x v="24"/>
    <n v="340"/>
    <n v="150"/>
    <n v="5"/>
    <n v="2"/>
    <n v="6084"/>
    <n v="2"/>
    <n v="6084"/>
    <n v="2"/>
    <n v="10"/>
    <n v="340"/>
    <n v="2025"/>
    <x v="2"/>
    <s v="淘宝客"/>
    <x v="2"/>
    <x v="1"/>
  </r>
  <r>
    <x v="1"/>
    <x v="97"/>
    <x v="1"/>
    <x v="8"/>
    <x v="25"/>
    <n v="247"/>
    <n v="188"/>
    <n v="2"/>
    <n v="3"/>
    <n v="19700"/>
    <n v="1"/>
    <n v="0"/>
    <n v="0"/>
    <n v="17"/>
    <n v="247"/>
    <n v="2025"/>
    <x v="2"/>
    <s v="主会场"/>
    <x v="2"/>
    <x v="1"/>
  </r>
  <r>
    <x v="1"/>
    <x v="97"/>
    <x v="1"/>
    <x v="1"/>
    <x v="3"/>
    <n v="1"/>
    <n v="1"/>
    <n v="0"/>
    <n v="0"/>
    <n v="0"/>
    <n v="0"/>
    <n v="0"/>
    <n v="0"/>
    <n v="0"/>
    <n v="1"/>
    <n v="2025"/>
    <x v="2"/>
    <s v="其他入口榜单"/>
    <x v="2"/>
    <x v="1"/>
  </r>
  <r>
    <x v="1"/>
    <x v="97"/>
    <x v="1"/>
    <x v="3"/>
    <x v="11"/>
    <n v="115"/>
    <n v="57"/>
    <n v="11"/>
    <n v="1"/>
    <n v="26745"/>
    <n v="4"/>
    <n v="22100"/>
    <n v="4"/>
    <n v="23"/>
    <n v="109"/>
    <n v="2025"/>
    <x v="2"/>
    <s v="商品详情页头图推荐"/>
    <x v="2"/>
    <x v="1"/>
  </r>
  <r>
    <x v="1"/>
    <x v="97"/>
    <x v="1"/>
    <x v="3"/>
    <x v="12"/>
    <n v="24"/>
    <n v="14"/>
    <n v="2"/>
    <n v="1"/>
    <n v="0"/>
    <n v="0"/>
    <n v="0"/>
    <n v="0"/>
    <n v="22"/>
    <n v="13"/>
    <n v="2025"/>
    <x v="2"/>
    <s v="店铺超链"/>
    <x v="2"/>
    <x v="1"/>
  </r>
  <r>
    <x v="1"/>
    <x v="97"/>
    <x v="1"/>
    <x v="4"/>
    <x v="13"/>
    <n v="186"/>
    <n v="91"/>
    <n v="7"/>
    <n v="4"/>
    <n v="17490"/>
    <n v="4"/>
    <n v="11155"/>
    <n v="3"/>
    <n v="32"/>
    <n v="153"/>
    <n v="2025"/>
    <x v="2"/>
    <s v="其他猜你喜欢"/>
    <x v="2"/>
    <x v="1"/>
  </r>
  <r>
    <x v="1"/>
    <x v="97"/>
    <x v="1"/>
    <x v="4"/>
    <x v="15"/>
    <n v="9"/>
    <n v="6"/>
    <n v="0"/>
    <n v="0"/>
    <n v="0"/>
    <n v="0"/>
    <n v="0"/>
    <n v="0"/>
    <n v="0"/>
    <n v="5"/>
    <n v="2025"/>
    <x v="2"/>
    <s v="购中推荐"/>
    <x v="2"/>
    <x v="1"/>
  </r>
  <r>
    <x v="1"/>
    <x v="97"/>
    <x v="1"/>
    <x v="4"/>
    <x v="16"/>
    <n v="62"/>
    <n v="33"/>
    <n v="2"/>
    <n v="1"/>
    <n v="0"/>
    <n v="0"/>
    <n v="0"/>
    <n v="0"/>
    <n v="4"/>
    <n v="34"/>
    <n v="2025"/>
    <x v="2"/>
    <s v="购后推荐"/>
    <x v="2"/>
    <x v="1"/>
  </r>
  <r>
    <x v="1"/>
    <x v="97"/>
    <x v="1"/>
    <x v="4"/>
    <x v="17"/>
    <n v="2519"/>
    <n v="1782"/>
    <n v="32"/>
    <n v="17"/>
    <n v="23565"/>
    <n v="4"/>
    <n v="23565"/>
    <n v="4"/>
    <n v="114"/>
    <n v="2519"/>
    <n v="2025"/>
    <x v="2"/>
    <s v="首页推荐-微详情"/>
    <x v="2"/>
    <x v="1"/>
  </r>
  <r>
    <x v="1"/>
    <x v="97"/>
    <x v="1"/>
    <x v="4"/>
    <x v="18"/>
    <n v="334"/>
    <n v="268"/>
    <n v="3"/>
    <n v="0"/>
    <n v="0"/>
    <n v="0"/>
    <n v="0"/>
    <n v="0"/>
    <n v="1"/>
    <n v="18"/>
    <n v="2025"/>
    <x v="2"/>
    <s v="首页推荐-直播"/>
    <x v="2"/>
    <x v="1"/>
  </r>
  <r>
    <x v="1"/>
    <x v="97"/>
    <x v="1"/>
    <x v="4"/>
    <x v="19"/>
    <n v="315"/>
    <n v="205"/>
    <n v="1"/>
    <n v="0"/>
    <n v="0"/>
    <n v="0"/>
    <n v="0"/>
    <n v="0"/>
    <n v="4"/>
    <n v="31"/>
    <n v="2025"/>
    <x v="2"/>
    <s v="首页推荐-短视频"/>
    <x v="2"/>
    <x v="1"/>
  </r>
  <r>
    <x v="1"/>
    <x v="97"/>
    <x v="1"/>
    <x v="12"/>
    <x v="42"/>
    <n v="694"/>
    <n v="544"/>
    <n v="24"/>
    <n v="4"/>
    <n v="35325"/>
    <n v="6"/>
    <n v="30710"/>
    <n v="4"/>
    <n v="334"/>
    <n v="499"/>
    <n v="2025"/>
    <x v="2"/>
    <s v="手淘搜索-商品及其他"/>
    <x v="2"/>
    <x v="1"/>
  </r>
  <r>
    <x v="1"/>
    <x v="97"/>
    <x v="1"/>
    <x v="12"/>
    <x v="43"/>
    <n v="12"/>
    <n v="5"/>
    <n v="0"/>
    <n v="0"/>
    <n v="0"/>
    <n v="0"/>
    <n v="0"/>
    <n v="0"/>
    <n v="1"/>
    <n v="11"/>
    <n v="2025"/>
    <x v="2"/>
    <s v="手淘搜索-直播"/>
    <x v="2"/>
    <x v="1"/>
  </r>
  <r>
    <x v="1"/>
    <x v="97"/>
    <x v="1"/>
    <x v="12"/>
    <x v="44"/>
    <n v="14"/>
    <n v="9"/>
    <n v="0"/>
    <n v="0"/>
    <n v="3907"/>
    <n v="2"/>
    <n v="3907"/>
    <n v="2"/>
    <n v="2"/>
    <n v="14"/>
    <n v="2025"/>
    <x v="2"/>
    <s v="手淘搜索-短视频"/>
    <x v="2"/>
    <x v="1"/>
  </r>
  <r>
    <x v="1"/>
    <x v="97"/>
    <x v="1"/>
    <x v="11"/>
    <x v="37"/>
    <n v="3"/>
    <n v="3"/>
    <n v="0"/>
    <n v="0"/>
    <n v="0"/>
    <n v="0"/>
    <n v="0"/>
    <n v="0"/>
    <n v="0"/>
    <n v="3"/>
    <n v="2025"/>
    <x v="2"/>
    <s v="淘特其他渠道"/>
    <x v="2"/>
    <x v="1"/>
  </r>
  <r>
    <x v="1"/>
    <x v="97"/>
    <x v="1"/>
    <x v="11"/>
    <x v="39"/>
    <n v="13"/>
    <n v="11"/>
    <n v="1"/>
    <n v="1"/>
    <n v="0"/>
    <n v="0"/>
    <n v="0"/>
    <n v="0"/>
    <n v="0"/>
    <n v="13"/>
    <n v="2025"/>
    <x v="2"/>
    <s v="淘特搜索"/>
    <x v="2"/>
    <x v="1"/>
  </r>
  <r>
    <x v="1"/>
    <x v="97"/>
    <x v="0"/>
    <x v="5"/>
    <x v="41"/>
    <n v="841"/>
    <n v="579"/>
    <n v="18"/>
    <n v="1"/>
    <n v="0"/>
    <n v="0"/>
    <n v="0"/>
    <n v="0"/>
    <n v="23"/>
    <n v="236"/>
    <n v="2025"/>
    <x v="2"/>
    <s v="超级直播"/>
    <x v="2"/>
    <x v="1"/>
  </r>
  <r>
    <x v="1"/>
    <x v="97"/>
    <x v="0"/>
    <x v="5"/>
    <x v="20"/>
    <n v="2"/>
    <n v="0"/>
    <n v="0"/>
    <n v="0"/>
    <n v="0"/>
    <n v="0"/>
    <n v="0"/>
    <n v="0"/>
    <n v="0"/>
    <n v="2"/>
    <n v="2025"/>
    <x v="2"/>
    <s v="超级短视频"/>
    <x v="2"/>
    <x v="1"/>
  </r>
  <r>
    <x v="1"/>
    <x v="97"/>
    <x v="0"/>
    <x v="0"/>
    <x v="1"/>
    <n v="9052"/>
    <n v="5237"/>
    <n v="49"/>
    <n v="36"/>
    <n v="53520"/>
    <n v="8"/>
    <n v="29700"/>
    <n v="4"/>
    <n v="196"/>
    <n v="9052"/>
    <n v="2025"/>
    <x v="2"/>
    <s v="引力魔方"/>
    <x v="2"/>
    <x v="1"/>
  </r>
  <r>
    <x v="1"/>
    <x v="97"/>
    <x v="0"/>
    <x v="0"/>
    <x v="2"/>
    <n v="2925"/>
    <n v="2583"/>
    <n v="20"/>
    <n v="15"/>
    <n v="32412"/>
    <n v="9"/>
    <n v="21587"/>
    <n v="7"/>
    <n v="189"/>
    <n v="2896"/>
    <n v="2025"/>
    <x v="2"/>
    <s v="直通车"/>
    <x v="2"/>
    <x v="1"/>
  </r>
  <r>
    <x v="1"/>
    <x v="97"/>
    <x v="0"/>
    <x v="0"/>
    <x v="0"/>
    <n v="4469"/>
    <n v="2550"/>
    <n v="115"/>
    <n v="142"/>
    <n v="69295"/>
    <n v="15"/>
    <n v="55695"/>
    <n v="13"/>
    <n v="563"/>
    <n v="4290"/>
    <n v="2025"/>
    <x v="2"/>
    <s v="万相台"/>
    <x v="2"/>
    <x v="1"/>
  </r>
  <r>
    <x v="1"/>
    <x v="97"/>
    <x v="0"/>
    <x v="7"/>
    <x v="23"/>
    <n v="5"/>
    <n v="4"/>
    <n v="0"/>
    <n v="0"/>
    <n v="0"/>
    <n v="0"/>
    <n v="0"/>
    <n v="0"/>
    <n v="0"/>
    <n v="5"/>
    <n v="2025"/>
    <x v="2"/>
    <s v="流量宝"/>
    <x v="2"/>
    <x v="1"/>
  </r>
  <r>
    <x v="1"/>
    <x v="97"/>
    <x v="0"/>
    <x v="7"/>
    <x v="24"/>
    <n v="225"/>
    <n v="61"/>
    <n v="2"/>
    <n v="0"/>
    <n v="4750"/>
    <n v="1"/>
    <n v="2375"/>
    <n v="1"/>
    <n v="5"/>
    <n v="220"/>
    <n v="2025"/>
    <x v="2"/>
    <s v="淘宝客"/>
    <x v="2"/>
    <x v="1"/>
  </r>
  <r>
    <x v="1"/>
    <x v="98"/>
    <x v="1"/>
    <x v="8"/>
    <x v="25"/>
    <n v="217"/>
    <n v="160"/>
    <n v="6"/>
    <n v="5"/>
    <n v="4420"/>
    <n v="1"/>
    <n v="4420"/>
    <n v="1"/>
    <n v="12"/>
    <n v="217"/>
    <n v="2025"/>
    <x v="2"/>
    <s v="主会场"/>
    <x v="2"/>
    <x v="1"/>
  </r>
  <r>
    <x v="1"/>
    <x v="98"/>
    <x v="1"/>
    <x v="3"/>
    <x v="11"/>
    <n v="144"/>
    <n v="79"/>
    <n v="6"/>
    <n v="1"/>
    <n v="0"/>
    <n v="0"/>
    <n v="0"/>
    <n v="0"/>
    <n v="27"/>
    <n v="140"/>
    <n v="2025"/>
    <x v="2"/>
    <s v="商品详情页头图推荐"/>
    <x v="2"/>
    <x v="1"/>
  </r>
  <r>
    <x v="1"/>
    <x v="98"/>
    <x v="1"/>
    <x v="3"/>
    <x v="12"/>
    <n v="26"/>
    <n v="15"/>
    <n v="2"/>
    <n v="0"/>
    <n v="4790"/>
    <n v="2"/>
    <n v="4790"/>
    <n v="2"/>
    <n v="19"/>
    <n v="11"/>
    <n v="2025"/>
    <x v="2"/>
    <s v="店铺超链"/>
    <x v="2"/>
    <x v="1"/>
  </r>
  <r>
    <x v="1"/>
    <x v="98"/>
    <x v="1"/>
    <x v="4"/>
    <x v="13"/>
    <n v="165"/>
    <n v="87"/>
    <n v="8"/>
    <n v="3"/>
    <n v="15925"/>
    <n v="4"/>
    <n v="11030"/>
    <n v="3"/>
    <n v="24"/>
    <n v="142"/>
    <n v="2025"/>
    <x v="2"/>
    <s v="其他猜你喜欢"/>
    <x v="2"/>
    <x v="1"/>
  </r>
  <r>
    <x v="1"/>
    <x v="98"/>
    <x v="1"/>
    <x v="4"/>
    <x v="15"/>
    <n v="7"/>
    <n v="3"/>
    <n v="0"/>
    <n v="0"/>
    <n v="0"/>
    <n v="0"/>
    <n v="0"/>
    <n v="0"/>
    <n v="0"/>
    <n v="4"/>
    <n v="2025"/>
    <x v="2"/>
    <s v="购中推荐"/>
    <x v="2"/>
    <x v="1"/>
  </r>
  <r>
    <x v="1"/>
    <x v="98"/>
    <x v="1"/>
    <x v="4"/>
    <x v="16"/>
    <n v="50"/>
    <n v="28"/>
    <n v="0"/>
    <n v="0"/>
    <n v="1490"/>
    <n v="1"/>
    <n v="1490"/>
    <n v="1"/>
    <n v="1"/>
    <n v="31"/>
    <n v="2025"/>
    <x v="2"/>
    <s v="购后推荐"/>
    <x v="2"/>
    <x v="1"/>
  </r>
  <r>
    <x v="1"/>
    <x v="98"/>
    <x v="1"/>
    <x v="4"/>
    <x v="17"/>
    <n v="2843"/>
    <n v="2005"/>
    <n v="35"/>
    <n v="11"/>
    <n v="18548"/>
    <n v="7"/>
    <n v="18548"/>
    <n v="7"/>
    <n v="147"/>
    <n v="2843"/>
    <n v="2025"/>
    <x v="2"/>
    <s v="首页推荐-微详情"/>
    <x v="2"/>
    <x v="1"/>
  </r>
  <r>
    <x v="1"/>
    <x v="98"/>
    <x v="1"/>
    <x v="4"/>
    <x v="18"/>
    <n v="1"/>
    <n v="0"/>
    <n v="0"/>
    <n v="0"/>
    <n v="0"/>
    <n v="0"/>
    <n v="0"/>
    <n v="0"/>
    <n v="0"/>
    <n v="0"/>
    <n v="2025"/>
    <x v="2"/>
    <s v="首页推荐-直播"/>
    <x v="2"/>
    <x v="1"/>
  </r>
  <r>
    <x v="1"/>
    <x v="98"/>
    <x v="1"/>
    <x v="4"/>
    <x v="19"/>
    <n v="195"/>
    <n v="106"/>
    <n v="0"/>
    <n v="0"/>
    <n v="0"/>
    <n v="0"/>
    <n v="0"/>
    <n v="0"/>
    <n v="2"/>
    <n v="15"/>
    <n v="2025"/>
    <x v="2"/>
    <s v="首页推荐-短视频"/>
    <x v="2"/>
    <x v="1"/>
  </r>
  <r>
    <x v="1"/>
    <x v="98"/>
    <x v="1"/>
    <x v="12"/>
    <x v="42"/>
    <n v="800"/>
    <n v="604"/>
    <n v="37"/>
    <n v="8"/>
    <n v="38630"/>
    <n v="10"/>
    <n v="30645"/>
    <n v="9"/>
    <n v="355"/>
    <n v="617"/>
    <n v="2025"/>
    <x v="2"/>
    <s v="手淘搜索-商品及其他"/>
    <x v="2"/>
    <x v="1"/>
  </r>
  <r>
    <x v="1"/>
    <x v="98"/>
    <x v="1"/>
    <x v="12"/>
    <x v="44"/>
    <n v="19"/>
    <n v="8"/>
    <n v="1"/>
    <n v="1"/>
    <n v="0"/>
    <n v="0"/>
    <n v="0"/>
    <n v="0"/>
    <n v="3"/>
    <n v="17"/>
    <n v="2025"/>
    <x v="2"/>
    <s v="手淘搜索-短视频"/>
    <x v="2"/>
    <x v="1"/>
  </r>
  <r>
    <x v="1"/>
    <x v="98"/>
    <x v="1"/>
    <x v="11"/>
    <x v="37"/>
    <n v="2"/>
    <n v="2"/>
    <n v="0"/>
    <n v="0"/>
    <n v="0"/>
    <n v="0"/>
    <n v="0"/>
    <n v="0"/>
    <n v="0"/>
    <n v="2"/>
    <n v="2025"/>
    <x v="2"/>
    <s v="淘特其他渠道"/>
    <x v="2"/>
    <x v="1"/>
  </r>
  <r>
    <x v="1"/>
    <x v="98"/>
    <x v="1"/>
    <x v="11"/>
    <x v="39"/>
    <n v="16"/>
    <n v="16"/>
    <n v="1"/>
    <n v="0"/>
    <n v="0"/>
    <n v="0"/>
    <n v="0"/>
    <n v="0"/>
    <n v="0"/>
    <n v="16"/>
    <n v="2025"/>
    <x v="2"/>
    <s v="淘特搜索"/>
    <x v="2"/>
    <x v="1"/>
  </r>
  <r>
    <x v="1"/>
    <x v="98"/>
    <x v="0"/>
    <x v="5"/>
    <x v="41"/>
    <n v="1"/>
    <n v="1"/>
    <n v="0"/>
    <n v="0"/>
    <n v="0"/>
    <n v="0"/>
    <n v="0"/>
    <n v="0"/>
    <n v="0"/>
    <n v="0"/>
    <n v="2025"/>
    <x v="2"/>
    <s v="超级直播"/>
    <x v="2"/>
    <x v="1"/>
  </r>
  <r>
    <x v="1"/>
    <x v="98"/>
    <x v="0"/>
    <x v="5"/>
    <x v="20"/>
    <n v="5"/>
    <n v="4"/>
    <n v="0"/>
    <n v="0"/>
    <n v="0"/>
    <n v="0"/>
    <n v="0"/>
    <n v="0"/>
    <n v="0"/>
    <n v="5"/>
    <n v="2025"/>
    <x v="2"/>
    <s v="超级短视频"/>
    <x v="2"/>
    <x v="1"/>
  </r>
  <r>
    <x v="1"/>
    <x v="98"/>
    <x v="0"/>
    <x v="6"/>
    <x v="49"/>
    <n v="1"/>
    <n v="1"/>
    <n v="0"/>
    <n v="0"/>
    <n v="0"/>
    <n v="0"/>
    <n v="0"/>
    <n v="0"/>
    <n v="0"/>
    <n v="1"/>
    <n v="2025"/>
    <x v="2"/>
    <s v="超级全域通"/>
    <x v="2"/>
    <x v="1"/>
  </r>
  <r>
    <x v="1"/>
    <x v="98"/>
    <x v="0"/>
    <x v="0"/>
    <x v="1"/>
    <n v="9367"/>
    <n v="5323"/>
    <n v="59"/>
    <n v="40"/>
    <n v="26345"/>
    <n v="8"/>
    <n v="8730"/>
    <n v="4"/>
    <n v="263"/>
    <n v="9367"/>
    <n v="2025"/>
    <x v="2"/>
    <s v="引力魔方"/>
    <x v="2"/>
    <x v="1"/>
  </r>
  <r>
    <x v="1"/>
    <x v="98"/>
    <x v="0"/>
    <x v="0"/>
    <x v="2"/>
    <n v="3217"/>
    <n v="2863"/>
    <n v="38"/>
    <n v="12"/>
    <n v="41998"/>
    <n v="9"/>
    <n v="16843"/>
    <n v="6"/>
    <n v="215"/>
    <n v="3182"/>
    <n v="2025"/>
    <x v="2"/>
    <s v="直通车"/>
    <x v="2"/>
    <x v="1"/>
  </r>
  <r>
    <x v="1"/>
    <x v="98"/>
    <x v="0"/>
    <x v="0"/>
    <x v="0"/>
    <n v="3838"/>
    <n v="1941"/>
    <n v="110"/>
    <n v="133"/>
    <n v="51677"/>
    <n v="22"/>
    <n v="42800"/>
    <n v="18"/>
    <n v="612"/>
    <n v="3648"/>
    <n v="2025"/>
    <x v="2"/>
    <s v="万相台"/>
    <x v="2"/>
    <x v="1"/>
  </r>
  <r>
    <x v="1"/>
    <x v="98"/>
    <x v="0"/>
    <x v="7"/>
    <x v="24"/>
    <n v="209"/>
    <n v="58"/>
    <n v="4"/>
    <n v="1"/>
    <n v="2625"/>
    <n v="1"/>
    <n v="2625"/>
    <n v="1"/>
    <n v="3"/>
    <n v="208"/>
    <n v="2025"/>
    <x v="2"/>
    <s v="淘宝客"/>
    <x v="2"/>
    <x v="1"/>
  </r>
  <r>
    <x v="1"/>
    <x v="99"/>
    <x v="1"/>
    <x v="8"/>
    <x v="25"/>
    <n v="197"/>
    <n v="122"/>
    <n v="6"/>
    <n v="7"/>
    <n v="3885"/>
    <n v="2"/>
    <n v="3885"/>
    <n v="2"/>
    <n v="20"/>
    <n v="195"/>
    <n v="2025"/>
    <x v="2"/>
    <s v="主会场"/>
    <x v="2"/>
    <x v="1"/>
  </r>
  <r>
    <x v="1"/>
    <x v="99"/>
    <x v="1"/>
    <x v="1"/>
    <x v="3"/>
    <n v="1"/>
    <n v="0"/>
    <n v="0"/>
    <n v="0"/>
    <n v="0"/>
    <n v="0"/>
    <n v="0"/>
    <n v="0"/>
    <n v="0"/>
    <n v="1"/>
    <n v="2025"/>
    <x v="2"/>
    <s v="其他入口榜单"/>
    <x v="2"/>
    <x v="1"/>
  </r>
  <r>
    <x v="1"/>
    <x v="99"/>
    <x v="1"/>
    <x v="3"/>
    <x v="11"/>
    <n v="136"/>
    <n v="59"/>
    <n v="7"/>
    <n v="3"/>
    <n v="9692"/>
    <n v="4"/>
    <n v="9692"/>
    <n v="4"/>
    <n v="31"/>
    <n v="132"/>
    <n v="2025"/>
    <x v="2"/>
    <s v="商品详情页头图推荐"/>
    <x v="2"/>
    <x v="1"/>
  </r>
  <r>
    <x v="1"/>
    <x v="99"/>
    <x v="1"/>
    <x v="3"/>
    <x v="12"/>
    <n v="33"/>
    <n v="14"/>
    <n v="0"/>
    <n v="0"/>
    <n v="2490"/>
    <n v="1"/>
    <n v="2490"/>
    <n v="1"/>
    <n v="26"/>
    <n v="15"/>
    <n v="2025"/>
    <x v="2"/>
    <s v="店铺超链"/>
    <x v="2"/>
    <x v="1"/>
  </r>
  <r>
    <x v="1"/>
    <x v="99"/>
    <x v="1"/>
    <x v="4"/>
    <x v="13"/>
    <n v="167"/>
    <n v="99"/>
    <n v="8"/>
    <n v="2"/>
    <n v="8185"/>
    <n v="4"/>
    <n v="6495"/>
    <n v="3"/>
    <n v="32"/>
    <n v="149"/>
    <n v="2025"/>
    <x v="2"/>
    <s v="其他猜你喜欢"/>
    <x v="2"/>
    <x v="1"/>
  </r>
  <r>
    <x v="1"/>
    <x v="99"/>
    <x v="1"/>
    <x v="4"/>
    <x v="15"/>
    <n v="7"/>
    <n v="3"/>
    <n v="0"/>
    <n v="0"/>
    <n v="0"/>
    <n v="0"/>
    <n v="0"/>
    <n v="0"/>
    <n v="0"/>
    <n v="7"/>
    <n v="2025"/>
    <x v="2"/>
    <s v="购中推荐"/>
    <x v="2"/>
    <x v="1"/>
  </r>
  <r>
    <x v="1"/>
    <x v="99"/>
    <x v="1"/>
    <x v="4"/>
    <x v="16"/>
    <n v="41"/>
    <n v="22"/>
    <n v="2"/>
    <n v="0"/>
    <n v="0"/>
    <n v="0"/>
    <n v="0"/>
    <n v="0"/>
    <n v="2"/>
    <n v="30"/>
    <n v="2025"/>
    <x v="2"/>
    <s v="购后推荐"/>
    <x v="2"/>
    <x v="1"/>
  </r>
  <r>
    <x v="1"/>
    <x v="99"/>
    <x v="1"/>
    <x v="4"/>
    <x v="17"/>
    <n v="3068"/>
    <n v="2279"/>
    <n v="42"/>
    <n v="16"/>
    <n v="18778"/>
    <n v="6"/>
    <n v="18778"/>
    <n v="6"/>
    <n v="146"/>
    <n v="3068"/>
    <n v="2025"/>
    <x v="2"/>
    <s v="首页推荐-微详情"/>
    <x v="2"/>
    <x v="1"/>
  </r>
  <r>
    <x v="1"/>
    <x v="99"/>
    <x v="1"/>
    <x v="4"/>
    <x v="19"/>
    <n v="178"/>
    <n v="133"/>
    <n v="1"/>
    <n v="0"/>
    <n v="0"/>
    <n v="0"/>
    <n v="0"/>
    <n v="0"/>
    <n v="1"/>
    <n v="12"/>
    <n v="2025"/>
    <x v="2"/>
    <s v="首页推荐-短视频"/>
    <x v="2"/>
    <x v="1"/>
  </r>
  <r>
    <x v="1"/>
    <x v="99"/>
    <x v="1"/>
    <x v="12"/>
    <x v="42"/>
    <n v="836"/>
    <n v="622"/>
    <n v="44"/>
    <n v="8"/>
    <n v="17925"/>
    <n v="11"/>
    <n v="16235"/>
    <n v="10"/>
    <n v="358"/>
    <n v="640"/>
    <n v="2025"/>
    <x v="2"/>
    <s v="手淘搜索-商品及其他"/>
    <x v="2"/>
    <x v="1"/>
  </r>
  <r>
    <x v="1"/>
    <x v="99"/>
    <x v="1"/>
    <x v="12"/>
    <x v="44"/>
    <n v="22"/>
    <n v="11"/>
    <n v="1"/>
    <n v="0"/>
    <n v="0"/>
    <n v="0"/>
    <n v="0"/>
    <n v="0"/>
    <n v="3"/>
    <n v="22"/>
    <n v="2025"/>
    <x v="2"/>
    <s v="手淘搜索-短视频"/>
    <x v="2"/>
    <x v="1"/>
  </r>
  <r>
    <x v="1"/>
    <x v="99"/>
    <x v="1"/>
    <x v="11"/>
    <x v="37"/>
    <n v="7"/>
    <n v="5"/>
    <n v="0"/>
    <n v="0"/>
    <n v="0"/>
    <n v="0"/>
    <n v="0"/>
    <n v="0"/>
    <n v="1"/>
    <n v="7"/>
    <n v="2025"/>
    <x v="2"/>
    <s v="淘特其他渠道"/>
    <x v="2"/>
    <x v="1"/>
  </r>
  <r>
    <x v="1"/>
    <x v="99"/>
    <x v="1"/>
    <x v="11"/>
    <x v="39"/>
    <n v="18"/>
    <n v="17"/>
    <n v="0"/>
    <n v="0"/>
    <n v="0"/>
    <n v="0"/>
    <n v="0"/>
    <n v="0"/>
    <n v="1"/>
    <n v="18"/>
    <n v="2025"/>
    <x v="2"/>
    <s v="淘特搜索"/>
    <x v="2"/>
    <x v="1"/>
  </r>
  <r>
    <x v="1"/>
    <x v="99"/>
    <x v="0"/>
    <x v="5"/>
    <x v="41"/>
    <n v="1"/>
    <n v="0"/>
    <n v="0"/>
    <n v="0"/>
    <n v="0"/>
    <n v="0"/>
    <n v="0"/>
    <n v="0"/>
    <n v="0"/>
    <n v="0"/>
    <n v="2025"/>
    <x v="2"/>
    <s v="超级直播"/>
    <x v="2"/>
    <x v="1"/>
  </r>
  <r>
    <x v="1"/>
    <x v="99"/>
    <x v="0"/>
    <x v="5"/>
    <x v="20"/>
    <n v="3"/>
    <n v="0"/>
    <n v="0"/>
    <n v="0"/>
    <n v="0"/>
    <n v="0"/>
    <n v="0"/>
    <n v="0"/>
    <n v="0"/>
    <n v="3"/>
    <n v="2025"/>
    <x v="2"/>
    <s v="超级短视频"/>
    <x v="2"/>
    <x v="1"/>
  </r>
  <r>
    <x v="1"/>
    <x v="99"/>
    <x v="0"/>
    <x v="0"/>
    <x v="1"/>
    <n v="9584"/>
    <n v="5714"/>
    <n v="35"/>
    <n v="32"/>
    <n v="9960"/>
    <n v="3"/>
    <n v="3250"/>
    <n v="1"/>
    <n v="271"/>
    <n v="9584"/>
    <n v="2025"/>
    <x v="2"/>
    <s v="引力魔方"/>
    <x v="2"/>
    <x v="1"/>
  </r>
  <r>
    <x v="1"/>
    <x v="99"/>
    <x v="0"/>
    <x v="0"/>
    <x v="2"/>
    <n v="2962"/>
    <n v="2631"/>
    <n v="48"/>
    <n v="18"/>
    <n v="39262"/>
    <n v="11"/>
    <n v="23975"/>
    <n v="8"/>
    <n v="191"/>
    <n v="2936"/>
    <n v="2025"/>
    <x v="2"/>
    <s v="直通车"/>
    <x v="2"/>
    <x v="1"/>
  </r>
  <r>
    <x v="1"/>
    <x v="99"/>
    <x v="0"/>
    <x v="0"/>
    <x v="0"/>
    <n v="3954"/>
    <n v="2048"/>
    <n v="106"/>
    <n v="112"/>
    <n v="138906"/>
    <n v="37"/>
    <n v="80508"/>
    <n v="31"/>
    <n v="667"/>
    <n v="3731"/>
    <n v="2025"/>
    <x v="2"/>
    <s v="万相台"/>
    <x v="2"/>
    <x v="1"/>
  </r>
  <r>
    <x v="1"/>
    <x v="99"/>
    <x v="0"/>
    <x v="7"/>
    <x v="22"/>
    <n v="1"/>
    <n v="1"/>
    <n v="0"/>
    <n v="0"/>
    <n v="0"/>
    <n v="0"/>
    <n v="0"/>
    <n v="0"/>
    <n v="0"/>
    <n v="1"/>
    <n v="2025"/>
    <x v="2"/>
    <s v="UD效果投放"/>
    <x v="2"/>
    <x v="1"/>
  </r>
  <r>
    <x v="1"/>
    <x v="99"/>
    <x v="0"/>
    <x v="7"/>
    <x v="23"/>
    <n v="1"/>
    <n v="1"/>
    <n v="0"/>
    <n v="0"/>
    <n v="0"/>
    <n v="0"/>
    <n v="0"/>
    <n v="0"/>
    <n v="0"/>
    <n v="1"/>
    <n v="2025"/>
    <x v="2"/>
    <s v="流量宝"/>
    <x v="2"/>
    <x v="1"/>
  </r>
  <r>
    <x v="1"/>
    <x v="99"/>
    <x v="0"/>
    <x v="7"/>
    <x v="24"/>
    <n v="212"/>
    <n v="55"/>
    <n v="7"/>
    <n v="0"/>
    <n v="11335"/>
    <n v="5"/>
    <n v="11335"/>
    <n v="5"/>
    <n v="3"/>
    <n v="211"/>
    <n v="2025"/>
    <x v="2"/>
    <s v="淘宝客"/>
    <x v="2"/>
    <x v="1"/>
  </r>
  <r>
    <x v="1"/>
    <x v="100"/>
    <x v="1"/>
    <x v="8"/>
    <x v="25"/>
    <n v="176"/>
    <n v="122"/>
    <n v="1"/>
    <n v="5"/>
    <n v="1677"/>
    <n v="1"/>
    <n v="0"/>
    <n v="0"/>
    <n v="11"/>
    <n v="173"/>
    <n v="2025"/>
    <x v="2"/>
    <s v="主会场"/>
    <x v="2"/>
    <x v="1"/>
  </r>
  <r>
    <x v="1"/>
    <x v="100"/>
    <x v="1"/>
    <x v="1"/>
    <x v="3"/>
    <n v="1"/>
    <n v="0"/>
    <n v="0"/>
    <n v="0"/>
    <n v="0"/>
    <n v="0"/>
    <n v="0"/>
    <n v="0"/>
    <n v="0"/>
    <n v="1"/>
    <n v="2025"/>
    <x v="2"/>
    <s v="其他入口榜单"/>
    <x v="2"/>
    <x v="1"/>
  </r>
  <r>
    <x v="1"/>
    <x v="100"/>
    <x v="1"/>
    <x v="3"/>
    <x v="11"/>
    <n v="135"/>
    <n v="72"/>
    <n v="12"/>
    <n v="1"/>
    <n v="9870"/>
    <n v="2"/>
    <n v="4975"/>
    <n v="1"/>
    <n v="34"/>
    <n v="129"/>
    <n v="2025"/>
    <x v="2"/>
    <s v="商品详情页头图推荐"/>
    <x v="2"/>
    <x v="1"/>
  </r>
  <r>
    <x v="1"/>
    <x v="100"/>
    <x v="1"/>
    <x v="3"/>
    <x v="12"/>
    <n v="28"/>
    <n v="9"/>
    <n v="1"/>
    <n v="0"/>
    <n v="0"/>
    <n v="0"/>
    <n v="0"/>
    <n v="0"/>
    <n v="26"/>
    <n v="14"/>
    <n v="2025"/>
    <x v="2"/>
    <s v="店铺超链"/>
    <x v="2"/>
    <x v="1"/>
  </r>
  <r>
    <x v="1"/>
    <x v="100"/>
    <x v="1"/>
    <x v="4"/>
    <x v="13"/>
    <n v="184"/>
    <n v="113"/>
    <n v="4"/>
    <n v="4"/>
    <n v="0"/>
    <n v="0"/>
    <n v="0"/>
    <n v="0"/>
    <n v="27"/>
    <n v="139"/>
    <n v="2025"/>
    <x v="2"/>
    <s v="其他猜你喜欢"/>
    <x v="2"/>
    <x v="1"/>
  </r>
  <r>
    <x v="1"/>
    <x v="100"/>
    <x v="1"/>
    <x v="4"/>
    <x v="15"/>
    <n v="18"/>
    <n v="9"/>
    <n v="0"/>
    <n v="0"/>
    <n v="0"/>
    <n v="0"/>
    <n v="0"/>
    <n v="0"/>
    <n v="1"/>
    <n v="6"/>
    <n v="2025"/>
    <x v="2"/>
    <s v="购中推荐"/>
    <x v="2"/>
    <x v="1"/>
  </r>
  <r>
    <x v="1"/>
    <x v="100"/>
    <x v="1"/>
    <x v="4"/>
    <x v="16"/>
    <n v="101"/>
    <n v="74"/>
    <n v="1"/>
    <n v="0"/>
    <n v="4975"/>
    <n v="1"/>
    <n v="4975"/>
    <n v="1"/>
    <n v="2"/>
    <n v="36"/>
    <n v="2025"/>
    <x v="2"/>
    <s v="购后推荐"/>
    <x v="2"/>
    <x v="1"/>
  </r>
  <r>
    <x v="1"/>
    <x v="100"/>
    <x v="1"/>
    <x v="4"/>
    <x v="17"/>
    <n v="3095"/>
    <n v="2275"/>
    <n v="43"/>
    <n v="8"/>
    <n v="3980"/>
    <n v="2"/>
    <n v="3980"/>
    <n v="2"/>
    <n v="145"/>
    <n v="3095"/>
    <n v="2025"/>
    <x v="2"/>
    <s v="首页推荐-微详情"/>
    <x v="2"/>
    <x v="1"/>
  </r>
  <r>
    <x v="1"/>
    <x v="100"/>
    <x v="1"/>
    <x v="4"/>
    <x v="18"/>
    <n v="321"/>
    <n v="237"/>
    <n v="3"/>
    <n v="1"/>
    <n v="0"/>
    <n v="0"/>
    <n v="0"/>
    <n v="0"/>
    <n v="3"/>
    <n v="15"/>
    <n v="2025"/>
    <x v="2"/>
    <s v="首页推荐-直播"/>
    <x v="2"/>
    <x v="1"/>
  </r>
  <r>
    <x v="1"/>
    <x v="100"/>
    <x v="1"/>
    <x v="4"/>
    <x v="19"/>
    <n v="466"/>
    <n v="392"/>
    <n v="0"/>
    <n v="0"/>
    <n v="0"/>
    <n v="0"/>
    <n v="0"/>
    <n v="0"/>
    <n v="0"/>
    <n v="24"/>
    <n v="2025"/>
    <x v="2"/>
    <s v="首页推荐-短视频"/>
    <x v="2"/>
    <x v="1"/>
  </r>
  <r>
    <x v="1"/>
    <x v="100"/>
    <x v="1"/>
    <x v="12"/>
    <x v="42"/>
    <n v="718"/>
    <n v="548"/>
    <n v="23"/>
    <n v="7"/>
    <n v="51335"/>
    <n v="9"/>
    <n v="21835"/>
    <n v="8"/>
    <n v="322"/>
    <n v="516"/>
    <n v="2025"/>
    <x v="2"/>
    <s v="手淘搜索-商品及其他"/>
    <x v="2"/>
    <x v="1"/>
  </r>
  <r>
    <x v="1"/>
    <x v="100"/>
    <x v="1"/>
    <x v="12"/>
    <x v="43"/>
    <n v="10"/>
    <n v="8"/>
    <n v="1"/>
    <n v="0"/>
    <n v="0"/>
    <n v="0"/>
    <n v="0"/>
    <n v="0"/>
    <n v="1"/>
    <n v="8"/>
    <n v="2025"/>
    <x v="2"/>
    <s v="手淘搜索-直播"/>
    <x v="2"/>
    <x v="1"/>
  </r>
  <r>
    <x v="1"/>
    <x v="100"/>
    <x v="1"/>
    <x v="12"/>
    <x v="44"/>
    <n v="21"/>
    <n v="11"/>
    <n v="2"/>
    <n v="0"/>
    <n v="0"/>
    <n v="0"/>
    <n v="0"/>
    <n v="0"/>
    <n v="4"/>
    <n v="20"/>
    <n v="2025"/>
    <x v="2"/>
    <s v="手淘搜索-短视频"/>
    <x v="2"/>
    <x v="1"/>
  </r>
  <r>
    <x v="1"/>
    <x v="100"/>
    <x v="1"/>
    <x v="11"/>
    <x v="37"/>
    <n v="6"/>
    <n v="6"/>
    <n v="0"/>
    <n v="0"/>
    <n v="0"/>
    <n v="0"/>
    <n v="0"/>
    <n v="0"/>
    <n v="0"/>
    <n v="6"/>
    <n v="2025"/>
    <x v="2"/>
    <s v="淘特其他渠道"/>
    <x v="2"/>
    <x v="1"/>
  </r>
  <r>
    <x v="1"/>
    <x v="100"/>
    <x v="1"/>
    <x v="11"/>
    <x v="39"/>
    <n v="17"/>
    <n v="17"/>
    <n v="1"/>
    <n v="1"/>
    <n v="0"/>
    <n v="0"/>
    <n v="0"/>
    <n v="0"/>
    <n v="0"/>
    <n v="17"/>
    <n v="2025"/>
    <x v="2"/>
    <s v="淘特搜索"/>
    <x v="2"/>
    <x v="1"/>
  </r>
  <r>
    <x v="1"/>
    <x v="100"/>
    <x v="0"/>
    <x v="5"/>
    <x v="41"/>
    <n v="756"/>
    <n v="544"/>
    <n v="16"/>
    <n v="0"/>
    <n v="0"/>
    <n v="0"/>
    <n v="0"/>
    <n v="0"/>
    <n v="18"/>
    <n v="210"/>
    <n v="2025"/>
    <x v="2"/>
    <s v="超级直播"/>
    <x v="2"/>
    <x v="1"/>
  </r>
  <r>
    <x v="1"/>
    <x v="100"/>
    <x v="0"/>
    <x v="5"/>
    <x v="20"/>
    <n v="5"/>
    <n v="2"/>
    <n v="0"/>
    <n v="0"/>
    <n v="0"/>
    <n v="0"/>
    <n v="0"/>
    <n v="0"/>
    <n v="0"/>
    <n v="5"/>
    <n v="2025"/>
    <x v="2"/>
    <s v="超级短视频"/>
    <x v="2"/>
    <x v="1"/>
  </r>
  <r>
    <x v="1"/>
    <x v="100"/>
    <x v="0"/>
    <x v="0"/>
    <x v="1"/>
    <n v="9328"/>
    <n v="5510"/>
    <n v="38"/>
    <n v="41"/>
    <n v="15770"/>
    <n v="3"/>
    <n v="6385"/>
    <n v="2"/>
    <n v="213"/>
    <n v="9328"/>
    <n v="2025"/>
    <x v="2"/>
    <s v="引力魔方"/>
    <x v="2"/>
    <x v="1"/>
  </r>
  <r>
    <x v="1"/>
    <x v="100"/>
    <x v="0"/>
    <x v="0"/>
    <x v="2"/>
    <n v="2886"/>
    <n v="2561"/>
    <n v="44"/>
    <n v="17"/>
    <n v="28936"/>
    <n v="10"/>
    <n v="23793"/>
    <n v="8"/>
    <n v="193"/>
    <n v="2843"/>
    <n v="2025"/>
    <x v="2"/>
    <s v="直通车"/>
    <x v="2"/>
    <x v="1"/>
  </r>
  <r>
    <x v="1"/>
    <x v="100"/>
    <x v="0"/>
    <x v="0"/>
    <x v="0"/>
    <n v="3916"/>
    <n v="2071"/>
    <n v="114"/>
    <n v="121"/>
    <n v="112700"/>
    <n v="23"/>
    <n v="54207"/>
    <n v="13"/>
    <n v="571"/>
    <n v="3711"/>
    <n v="2025"/>
    <x v="2"/>
    <s v="万相台"/>
    <x v="2"/>
    <x v="1"/>
  </r>
  <r>
    <x v="1"/>
    <x v="100"/>
    <x v="0"/>
    <x v="7"/>
    <x v="23"/>
    <n v="2"/>
    <n v="1"/>
    <n v="0"/>
    <n v="0"/>
    <n v="0"/>
    <n v="0"/>
    <n v="0"/>
    <n v="0"/>
    <n v="0"/>
    <n v="2"/>
    <n v="2025"/>
    <x v="2"/>
    <s v="流量宝"/>
    <x v="2"/>
    <x v="1"/>
  </r>
  <r>
    <x v="1"/>
    <x v="100"/>
    <x v="0"/>
    <x v="7"/>
    <x v="24"/>
    <n v="251"/>
    <n v="78"/>
    <n v="1"/>
    <n v="0"/>
    <n v="3180"/>
    <n v="1"/>
    <n v="3180"/>
    <n v="1"/>
    <n v="1"/>
    <n v="247"/>
    <n v="2025"/>
    <x v="2"/>
    <s v="淘宝客"/>
    <x v="2"/>
    <x v="1"/>
  </r>
  <r>
    <x v="1"/>
    <x v="101"/>
    <x v="1"/>
    <x v="8"/>
    <x v="25"/>
    <n v="195"/>
    <n v="119"/>
    <n v="4"/>
    <n v="3"/>
    <n v="5845"/>
    <n v="1"/>
    <n v="0"/>
    <n v="0"/>
    <n v="13"/>
    <n v="189"/>
    <n v="2025"/>
    <x v="2"/>
    <s v="主会场"/>
    <x v="2"/>
    <x v="1"/>
  </r>
  <r>
    <x v="1"/>
    <x v="101"/>
    <x v="1"/>
    <x v="3"/>
    <x v="11"/>
    <n v="168"/>
    <n v="81"/>
    <n v="6"/>
    <n v="4"/>
    <n v="22987"/>
    <n v="3"/>
    <n v="13197"/>
    <n v="3"/>
    <n v="38"/>
    <n v="161"/>
    <n v="2025"/>
    <x v="2"/>
    <s v="商品详情页头图推荐"/>
    <x v="2"/>
    <x v="1"/>
  </r>
  <r>
    <x v="1"/>
    <x v="101"/>
    <x v="1"/>
    <x v="3"/>
    <x v="12"/>
    <n v="18"/>
    <n v="12"/>
    <n v="2"/>
    <n v="0"/>
    <n v="2490"/>
    <n v="1"/>
    <n v="2490"/>
    <n v="1"/>
    <n v="17"/>
    <n v="14"/>
    <n v="2025"/>
    <x v="2"/>
    <s v="店铺超链"/>
    <x v="2"/>
    <x v="1"/>
  </r>
  <r>
    <x v="1"/>
    <x v="101"/>
    <x v="1"/>
    <x v="4"/>
    <x v="13"/>
    <n v="166"/>
    <n v="87"/>
    <n v="5"/>
    <n v="4"/>
    <n v="9440"/>
    <n v="2"/>
    <n v="6190"/>
    <n v="2"/>
    <n v="32"/>
    <n v="145"/>
    <n v="2025"/>
    <x v="2"/>
    <s v="其他猜你喜欢"/>
    <x v="2"/>
    <x v="1"/>
  </r>
  <r>
    <x v="1"/>
    <x v="101"/>
    <x v="1"/>
    <x v="4"/>
    <x v="15"/>
    <n v="4"/>
    <n v="3"/>
    <n v="0"/>
    <n v="1"/>
    <n v="0"/>
    <n v="0"/>
    <n v="0"/>
    <n v="0"/>
    <n v="1"/>
    <n v="4"/>
    <n v="2025"/>
    <x v="2"/>
    <s v="购中推荐"/>
    <x v="2"/>
    <x v="1"/>
  </r>
  <r>
    <x v="1"/>
    <x v="101"/>
    <x v="1"/>
    <x v="4"/>
    <x v="16"/>
    <n v="37"/>
    <n v="24"/>
    <n v="1"/>
    <n v="1"/>
    <n v="1917"/>
    <n v="1"/>
    <n v="1917"/>
    <n v="1"/>
    <n v="1"/>
    <n v="22"/>
    <n v="2025"/>
    <x v="2"/>
    <s v="购后推荐"/>
    <x v="2"/>
    <x v="1"/>
  </r>
  <r>
    <x v="1"/>
    <x v="101"/>
    <x v="1"/>
    <x v="4"/>
    <x v="17"/>
    <n v="2842"/>
    <n v="1957"/>
    <n v="33"/>
    <n v="18"/>
    <n v="18197"/>
    <n v="7"/>
    <n v="18197"/>
    <n v="7"/>
    <n v="166"/>
    <n v="2842"/>
    <n v="2025"/>
    <x v="2"/>
    <s v="首页推荐-微详情"/>
    <x v="2"/>
    <x v="1"/>
  </r>
  <r>
    <x v="1"/>
    <x v="101"/>
    <x v="1"/>
    <x v="4"/>
    <x v="19"/>
    <n v="198"/>
    <n v="127"/>
    <n v="0"/>
    <n v="0"/>
    <n v="0"/>
    <n v="0"/>
    <n v="0"/>
    <n v="0"/>
    <n v="3"/>
    <n v="30"/>
    <n v="2025"/>
    <x v="2"/>
    <s v="首页推荐-短视频"/>
    <x v="2"/>
    <x v="1"/>
  </r>
  <r>
    <x v="1"/>
    <x v="101"/>
    <x v="1"/>
    <x v="12"/>
    <x v="42"/>
    <n v="696"/>
    <n v="516"/>
    <n v="28"/>
    <n v="9"/>
    <n v="11900"/>
    <n v="6"/>
    <n v="11900"/>
    <n v="6"/>
    <n v="332"/>
    <n v="505"/>
    <n v="2025"/>
    <x v="2"/>
    <s v="手淘搜索-商品及其他"/>
    <x v="2"/>
    <x v="1"/>
  </r>
  <r>
    <x v="1"/>
    <x v="101"/>
    <x v="1"/>
    <x v="12"/>
    <x v="44"/>
    <n v="19"/>
    <n v="9"/>
    <n v="0"/>
    <n v="1"/>
    <n v="2750"/>
    <n v="1"/>
    <n v="2750"/>
    <n v="1"/>
    <n v="1"/>
    <n v="18"/>
    <n v="2025"/>
    <x v="2"/>
    <s v="手淘搜索-短视频"/>
    <x v="2"/>
    <x v="1"/>
  </r>
  <r>
    <x v="1"/>
    <x v="101"/>
    <x v="1"/>
    <x v="11"/>
    <x v="37"/>
    <n v="7"/>
    <n v="7"/>
    <n v="0"/>
    <n v="0"/>
    <n v="0"/>
    <n v="0"/>
    <n v="0"/>
    <n v="0"/>
    <n v="0"/>
    <n v="7"/>
    <n v="2025"/>
    <x v="2"/>
    <s v="淘特其他渠道"/>
    <x v="2"/>
    <x v="1"/>
  </r>
  <r>
    <x v="1"/>
    <x v="101"/>
    <x v="1"/>
    <x v="11"/>
    <x v="39"/>
    <n v="22"/>
    <n v="22"/>
    <n v="0"/>
    <n v="1"/>
    <n v="0"/>
    <n v="0"/>
    <n v="0"/>
    <n v="0"/>
    <n v="0"/>
    <n v="22"/>
    <n v="2025"/>
    <x v="2"/>
    <s v="淘特搜索"/>
    <x v="2"/>
    <x v="1"/>
  </r>
  <r>
    <x v="1"/>
    <x v="101"/>
    <x v="0"/>
    <x v="5"/>
    <x v="41"/>
    <n v="10"/>
    <n v="3"/>
    <n v="0"/>
    <n v="0"/>
    <n v="0"/>
    <n v="0"/>
    <n v="0"/>
    <n v="0"/>
    <n v="0"/>
    <n v="6"/>
    <n v="2025"/>
    <x v="2"/>
    <s v="超级直播"/>
    <x v="2"/>
    <x v="1"/>
  </r>
  <r>
    <x v="1"/>
    <x v="101"/>
    <x v="0"/>
    <x v="5"/>
    <x v="20"/>
    <n v="6"/>
    <n v="3"/>
    <n v="0"/>
    <n v="0"/>
    <n v="0"/>
    <n v="0"/>
    <n v="0"/>
    <n v="0"/>
    <n v="0"/>
    <n v="6"/>
    <n v="2025"/>
    <x v="2"/>
    <s v="超级短视频"/>
    <x v="2"/>
    <x v="1"/>
  </r>
  <r>
    <x v="1"/>
    <x v="101"/>
    <x v="0"/>
    <x v="0"/>
    <x v="1"/>
    <n v="12018"/>
    <n v="7669"/>
    <n v="52"/>
    <n v="35"/>
    <n v="26360"/>
    <n v="5"/>
    <n v="9370"/>
    <n v="3"/>
    <n v="283"/>
    <n v="12017"/>
    <n v="2025"/>
    <x v="2"/>
    <s v="引力魔方"/>
    <x v="2"/>
    <x v="1"/>
  </r>
  <r>
    <x v="1"/>
    <x v="101"/>
    <x v="0"/>
    <x v="0"/>
    <x v="2"/>
    <n v="3241"/>
    <n v="2901"/>
    <n v="36"/>
    <n v="18"/>
    <n v="40795"/>
    <n v="14"/>
    <n v="32518"/>
    <n v="12"/>
    <n v="217"/>
    <n v="3204"/>
    <n v="2025"/>
    <x v="2"/>
    <s v="直通车"/>
    <x v="2"/>
    <x v="1"/>
  </r>
  <r>
    <x v="1"/>
    <x v="101"/>
    <x v="0"/>
    <x v="0"/>
    <x v="0"/>
    <n v="5176"/>
    <n v="2602"/>
    <n v="113"/>
    <n v="130"/>
    <n v="92328"/>
    <n v="21"/>
    <n v="69330"/>
    <n v="18"/>
    <n v="579"/>
    <n v="4979"/>
    <n v="2025"/>
    <x v="2"/>
    <s v="万相台"/>
    <x v="2"/>
    <x v="1"/>
  </r>
  <r>
    <x v="1"/>
    <x v="101"/>
    <x v="0"/>
    <x v="7"/>
    <x v="24"/>
    <n v="268"/>
    <n v="91"/>
    <n v="4"/>
    <n v="0"/>
    <n v="14465"/>
    <n v="3"/>
    <n v="14465"/>
    <n v="3"/>
    <n v="1"/>
    <n v="268"/>
    <n v="2025"/>
    <x v="2"/>
    <s v="淘宝客"/>
    <x v="2"/>
    <x v="1"/>
  </r>
  <r>
    <x v="1"/>
    <x v="102"/>
    <x v="1"/>
    <x v="8"/>
    <x v="25"/>
    <n v="235"/>
    <n v="151"/>
    <n v="6"/>
    <n v="4"/>
    <n v="0"/>
    <n v="0"/>
    <n v="0"/>
    <n v="0"/>
    <n v="18"/>
    <n v="232"/>
    <n v="2025"/>
    <x v="2"/>
    <s v="主会场"/>
    <x v="2"/>
    <x v="1"/>
  </r>
  <r>
    <x v="1"/>
    <x v="102"/>
    <x v="1"/>
    <x v="3"/>
    <x v="11"/>
    <n v="169"/>
    <n v="79"/>
    <n v="7"/>
    <n v="2"/>
    <n v="14388"/>
    <n v="3"/>
    <n v="6175"/>
    <n v="2"/>
    <n v="37"/>
    <n v="161"/>
    <n v="2025"/>
    <x v="2"/>
    <s v="商品详情页头图推荐"/>
    <x v="2"/>
    <x v="1"/>
  </r>
  <r>
    <x v="1"/>
    <x v="102"/>
    <x v="1"/>
    <x v="3"/>
    <x v="12"/>
    <n v="19"/>
    <n v="10"/>
    <n v="0"/>
    <n v="1"/>
    <n v="0"/>
    <n v="0"/>
    <n v="0"/>
    <n v="0"/>
    <n v="17"/>
    <n v="8"/>
    <n v="2025"/>
    <x v="2"/>
    <s v="店铺超链"/>
    <x v="2"/>
    <x v="1"/>
  </r>
  <r>
    <x v="1"/>
    <x v="102"/>
    <x v="1"/>
    <x v="4"/>
    <x v="13"/>
    <n v="218"/>
    <n v="132"/>
    <n v="2"/>
    <n v="3"/>
    <n v="10125"/>
    <n v="3"/>
    <n v="6135"/>
    <n v="2"/>
    <n v="40"/>
    <n v="184"/>
    <n v="2025"/>
    <x v="2"/>
    <s v="其他猜你喜欢"/>
    <x v="2"/>
    <x v="1"/>
  </r>
  <r>
    <x v="1"/>
    <x v="102"/>
    <x v="1"/>
    <x v="4"/>
    <x v="15"/>
    <n v="8"/>
    <n v="5"/>
    <n v="0"/>
    <n v="0"/>
    <n v="0"/>
    <n v="0"/>
    <n v="0"/>
    <n v="0"/>
    <n v="1"/>
    <n v="4"/>
    <n v="2025"/>
    <x v="2"/>
    <s v="购中推荐"/>
    <x v="2"/>
    <x v="1"/>
  </r>
  <r>
    <x v="1"/>
    <x v="102"/>
    <x v="1"/>
    <x v="4"/>
    <x v="16"/>
    <n v="59"/>
    <n v="36"/>
    <n v="0"/>
    <n v="0"/>
    <n v="0"/>
    <n v="0"/>
    <n v="0"/>
    <n v="0"/>
    <n v="3"/>
    <n v="24"/>
    <n v="2025"/>
    <x v="2"/>
    <s v="购后推荐"/>
    <x v="2"/>
    <x v="1"/>
  </r>
  <r>
    <x v="1"/>
    <x v="102"/>
    <x v="1"/>
    <x v="4"/>
    <x v="17"/>
    <n v="2947"/>
    <n v="2008"/>
    <n v="35"/>
    <n v="17"/>
    <n v="12480.6"/>
    <n v="5"/>
    <n v="10816.3"/>
    <n v="5"/>
    <n v="134"/>
    <n v="2947"/>
    <n v="2025"/>
    <x v="2"/>
    <s v="首页推荐-微详情"/>
    <x v="2"/>
    <x v="1"/>
  </r>
  <r>
    <x v="1"/>
    <x v="102"/>
    <x v="1"/>
    <x v="4"/>
    <x v="18"/>
    <n v="553"/>
    <n v="444"/>
    <n v="1"/>
    <n v="0"/>
    <n v="0"/>
    <n v="0"/>
    <n v="0"/>
    <n v="0"/>
    <n v="4"/>
    <n v="40"/>
    <n v="2025"/>
    <x v="2"/>
    <s v="首页推荐-直播"/>
    <x v="2"/>
    <x v="1"/>
  </r>
  <r>
    <x v="1"/>
    <x v="102"/>
    <x v="1"/>
    <x v="4"/>
    <x v="19"/>
    <n v="282"/>
    <n v="182"/>
    <n v="1"/>
    <n v="0"/>
    <n v="0"/>
    <n v="0"/>
    <n v="0"/>
    <n v="0"/>
    <n v="2"/>
    <n v="24"/>
    <n v="2025"/>
    <x v="2"/>
    <s v="首页推荐-短视频"/>
    <x v="2"/>
    <x v="1"/>
  </r>
  <r>
    <x v="1"/>
    <x v="102"/>
    <x v="1"/>
    <x v="12"/>
    <x v="42"/>
    <n v="730"/>
    <n v="535"/>
    <n v="43"/>
    <n v="8"/>
    <n v="31425"/>
    <n v="11"/>
    <n v="26730"/>
    <n v="10"/>
    <n v="306"/>
    <n v="545"/>
    <n v="2025"/>
    <x v="2"/>
    <s v="手淘搜索-商品及其他"/>
    <x v="2"/>
    <x v="1"/>
  </r>
  <r>
    <x v="1"/>
    <x v="102"/>
    <x v="1"/>
    <x v="12"/>
    <x v="43"/>
    <n v="11"/>
    <n v="7"/>
    <n v="0"/>
    <n v="0"/>
    <n v="0"/>
    <n v="0"/>
    <n v="0"/>
    <n v="0"/>
    <n v="1"/>
    <n v="8"/>
    <n v="2025"/>
    <x v="2"/>
    <s v="手淘搜索-直播"/>
    <x v="2"/>
    <x v="1"/>
  </r>
  <r>
    <x v="1"/>
    <x v="102"/>
    <x v="1"/>
    <x v="12"/>
    <x v="44"/>
    <n v="20"/>
    <n v="13"/>
    <n v="1"/>
    <n v="0"/>
    <n v="0"/>
    <n v="0"/>
    <n v="0"/>
    <n v="0"/>
    <n v="2"/>
    <n v="20"/>
    <n v="2025"/>
    <x v="2"/>
    <s v="手淘搜索-短视频"/>
    <x v="2"/>
    <x v="1"/>
  </r>
  <r>
    <x v="1"/>
    <x v="102"/>
    <x v="1"/>
    <x v="11"/>
    <x v="37"/>
    <n v="7"/>
    <n v="7"/>
    <n v="0"/>
    <n v="0"/>
    <n v="0"/>
    <n v="0"/>
    <n v="0"/>
    <n v="0"/>
    <n v="1"/>
    <n v="7"/>
    <n v="2025"/>
    <x v="2"/>
    <s v="淘特其他渠道"/>
    <x v="2"/>
    <x v="1"/>
  </r>
  <r>
    <x v="1"/>
    <x v="102"/>
    <x v="1"/>
    <x v="11"/>
    <x v="39"/>
    <n v="19"/>
    <n v="19"/>
    <n v="0"/>
    <n v="0"/>
    <n v="0"/>
    <n v="0"/>
    <n v="0"/>
    <n v="0"/>
    <n v="0"/>
    <n v="19"/>
    <n v="2025"/>
    <x v="2"/>
    <s v="淘特搜索"/>
    <x v="2"/>
    <x v="1"/>
  </r>
  <r>
    <x v="1"/>
    <x v="102"/>
    <x v="0"/>
    <x v="5"/>
    <x v="41"/>
    <n v="741"/>
    <n v="532"/>
    <n v="13"/>
    <n v="2"/>
    <n v="0"/>
    <n v="0"/>
    <n v="0"/>
    <n v="0"/>
    <n v="20"/>
    <n v="159"/>
    <n v="2025"/>
    <x v="2"/>
    <s v="超级直播"/>
    <x v="2"/>
    <x v="1"/>
  </r>
  <r>
    <x v="1"/>
    <x v="102"/>
    <x v="0"/>
    <x v="5"/>
    <x v="20"/>
    <n v="3"/>
    <n v="2"/>
    <n v="0"/>
    <n v="0"/>
    <n v="0"/>
    <n v="0"/>
    <n v="0"/>
    <n v="0"/>
    <n v="0"/>
    <n v="3"/>
    <n v="2025"/>
    <x v="2"/>
    <s v="超级短视频"/>
    <x v="2"/>
    <x v="1"/>
  </r>
  <r>
    <x v="1"/>
    <x v="102"/>
    <x v="0"/>
    <x v="0"/>
    <x v="1"/>
    <n v="12669"/>
    <n v="8259"/>
    <n v="42"/>
    <n v="53"/>
    <n v="20310"/>
    <n v="6"/>
    <n v="9635"/>
    <n v="3"/>
    <n v="302"/>
    <n v="12669"/>
    <n v="2025"/>
    <x v="2"/>
    <s v="引力魔方"/>
    <x v="2"/>
    <x v="1"/>
  </r>
  <r>
    <x v="1"/>
    <x v="102"/>
    <x v="0"/>
    <x v="0"/>
    <x v="2"/>
    <n v="3572"/>
    <n v="3195"/>
    <n v="42"/>
    <n v="14"/>
    <n v="60808"/>
    <n v="14"/>
    <n v="40588"/>
    <n v="11"/>
    <n v="246"/>
    <n v="3529"/>
    <n v="2025"/>
    <x v="2"/>
    <s v="直通车"/>
    <x v="2"/>
    <x v="1"/>
  </r>
  <r>
    <x v="1"/>
    <x v="102"/>
    <x v="0"/>
    <x v="0"/>
    <x v="0"/>
    <n v="5298"/>
    <n v="3098"/>
    <n v="117"/>
    <n v="148"/>
    <n v="87956"/>
    <n v="21"/>
    <n v="60179"/>
    <n v="16"/>
    <n v="593"/>
    <n v="5125"/>
    <n v="2025"/>
    <x v="2"/>
    <s v="万相台"/>
    <x v="2"/>
    <x v="1"/>
  </r>
  <r>
    <x v="1"/>
    <x v="102"/>
    <x v="0"/>
    <x v="7"/>
    <x v="22"/>
    <n v="1"/>
    <n v="0"/>
    <n v="0"/>
    <n v="0"/>
    <n v="0"/>
    <n v="0"/>
    <n v="0"/>
    <n v="0"/>
    <n v="0"/>
    <n v="1"/>
    <n v="2025"/>
    <x v="2"/>
    <s v="UD效果投放"/>
    <x v="2"/>
    <x v="1"/>
  </r>
  <r>
    <x v="1"/>
    <x v="102"/>
    <x v="0"/>
    <x v="7"/>
    <x v="23"/>
    <n v="1"/>
    <n v="1"/>
    <n v="0"/>
    <n v="0"/>
    <n v="0"/>
    <n v="0"/>
    <n v="0"/>
    <n v="0"/>
    <n v="0"/>
    <n v="1"/>
    <n v="2025"/>
    <x v="2"/>
    <s v="流量宝"/>
    <x v="2"/>
    <x v="1"/>
  </r>
  <r>
    <x v="1"/>
    <x v="102"/>
    <x v="0"/>
    <x v="7"/>
    <x v="24"/>
    <n v="253"/>
    <n v="72"/>
    <n v="2"/>
    <n v="1"/>
    <n v="15704"/>
    <n v="3"/>
    <n v="13787"/>
    <n v="2"/>
    <n v="1"/>
    <n v="250"/>
    <n v="2025"/>
    <x v="2"/>
    <s v="淘宝客"/>
    <x v="2"/>
    <x v="1"/>
  </r>
  <r>
    <x v="1"/>
    <x v="103"/>
    <x v="1"/>
    <x v="8"/>
    <x v="25"/>
    <n v="177"/>
    <n v="108"/>
    <n v="2"/>
    <n v="1"/>
    <n v="2490"/>
    <n v="1"/>
    <n v="0"/>
    <n v="0"/>
    <n v="10"/>
    <n v="171"/>
    <n v="2025"/>
    <x v="2"/>
    <s v="主会场"/>
    <x v="2"/>
    <x v="1"/>
  </r>
  <r>
    <x v="1"/>
    <x v="103"/>
    <x v="1"/>
    <x v="1"/>
    <x v="3"/>
    <n v="2"/>
    <n v="2"/>
    <n v="0"/>
    <n v="0"/>
    <n v="0"/>
    <n v="0"/>
    <n v="0"/>
    <n v="0"/>
    <n v="0"/>
    <n v="2"/>
    <n v="2025"/>
    <x v="2"/>
    <s v="其他入口榜单"/>
    <x v="2"/>
    <x v="1"/>
  </r>
  <r>
    <x v="1"/>
    <x v="103"/>
    <x v="1"/>
    <x v="3"/>
    <x v="11"/>
    <n v="178"/>
    <n v="87"/>
    <n v="9"/>
    <n v="5"/>
    <n v="19595"/>
    <n v="8"/>
    <n v="19595"/>
    <n v="8"/>
    <n v="36"/>
    <n v="168"/>
    <n v="2025"/>
    <x v="2"/>
    <s v="商品详情页头图推荐"/>
    <x v="2"/>
    <x v="1"/>
  </r>
  <r>
    <x v="1"/>
    <x v="103"/>
    <x v="1"/>
    <x v="3"/>
    <x v="12"/>
    <n v="14"/>
    <n v="6"/>
    <n v="0"/>
    <n v="0"/>
    <n v="0"/>
    <n v="0"/>
    <n v="0"/>
    <n v="0"/>
    <n v="14"/>
    <n v="6"/>
    <n v="2025"/>
    <x v="2"/>
    <s v="店铺超链"/>
    <x v="2"/>
    <x v="1"/>
  </r>
  <r>
    <x v="1"/>
    <x v="103"/>
    <x v="1"/>
    <x v="4"/>
    <x v="13"/>
    <n v="184"/>
    <n v="90"/>
    <n v="3"/>
    <n v="1"/>
    <n v="9467"/>
    <n v="2"/>
    <n v="9467"/>
    <n v="2"/>
    <n v="36"/>
    <n v="152"/>
    <n v="2025"/>
    <x v="2"/>
    <s v="其他猜你喜欢"/>
    <x v="2"/>
    <x v="1"/>
  </r>
  <r>
    <x v="1"/>
    <x v="103"/>
    <x v="1"/>
    <x v="4"/>
    <x v="15"/>
    <n v="9"/>
    <n v="5"/>
    <n v="1"/>
    <n v="0"/>
    <n v="0"/>
    <n v="0"/>
    <n v="0"/>
    <n v="0"/>
    <n v="0"/>
    <n v="5"/>
    <n v="2025"/>
    <x v="2"/>
    <s v="购中推荐"/>
    <x v="2"/>
    <x v="1"/>
  </r>
  <r>
    <x v="1"/>
    <x v="103"/>
    <x v="1"/>
    <x v="4"/>
    <x v="16"/>
    <n v="72"/>
    <n v="49"/>
    <n v="1"/>
    <n v="0"/>
    <n v="0"/>
    <n v="0"/>
    <n v="0"/>
    <n v="0"/>
    <n v="0"/>
    <n v="28"/>
    <n v="2025"/>
    <x v="2"/>
    <s v="购后推荐"/>
    <x v="2"/>
    <x v="1"/>
  </r>
  <r>
    <x v="1"/>
    <x v="103"/>
    <x v="1"/>
    <x v="4"/>
    <x v="17"/>
    <n v="2336"/>
    <n v="1531"/>
    <n v="24"/>
    <n v="13"/>
    <n v="6660"/>
    <n v="4"/>
    <n v="5170"/>
    <n v="3"/>
    <n v="121"/>
    <n v="2336"/>
    <n v="2025"/>
    <x v="2"/>
    <s v="首页推荐-微详情"/>
    <x v="2"/>
    <x v="1"/>
  </r>
  <r>
    <x v="1"/>
    <x v="103"/>
    <x v="1"/>
    <x v="4"/>
    <x v="18"/>
    <n v="784"/>
    <n v="683"/>
    <n v="1"/>
    <n v="0"/>
    <n v="0"/>
    <n v="0"/>
    <n v="0"/>
    <n v="0"/>
    <n v="3"/>
    <n v="26"/>
    <n v="2025"/>
    <x v="2"/>
    <s v="首页推荐-直播"/>
    <x v="2"/>
    <x v="1"/>
  </r>
  <r>
    <x v="1"/>
    <x v="103"/>
    <x v="1"/>
    <x v="4"/>
    <x v="19"/>
    <n v="243"/>
    <n v="164"/>
    <n v="0"/>
    <n v="0"/>
    <n v="0"/>
    <n v="0"/>
    <n v="0"/>
    <n v="0"/>
    <n v="2"/>
    <n v="11"/>
    <n v="2025"/>
    <x v="2"/>
    <s v="首页推荐-短视频"/>
    <x v="2"/>
    <x v="1"/>
  </r>
  <r>
    <x v="1"/>
    <x v="103"/>
    <x v="1"/>
    <x v="12"/>
    <x v="42"/>
    <n v="710"/>
    <n v="514"/>
    <n v="39"/>
    <n v="4"/>
    <n v="46105"/>
    <n v="8"/>
    <n v="35740"/>
    <n v="7"/>
    <n v="308"/>
    <n v="524"/>
    <n v="2025"/>
    <x v="2"/>
    <s v="手淘搜索-商品及其他"/>
    <x v="2"/>
    <x v="1"/>
  </r>
  <r>
    <x v="1"/>
    <x v="103"/>
    <x v="1"/>
    <x v="12"/>
    <x v="43"/>
    <n v="8"/>
    <n v="4"/>
    <n v="0"/>
    <n v="0"/>
    <n v="0"/>
    <n v="0"/>
    <n v="0"/>
    <n v="0"/>
    <n v="0"/>
    <n v="5"/>
    <n v="2025"/>
    <x v="2"/>
    <s v="手淘搜索-直播"/>
    <x v="2"/>
    <x v="1"/>
  </r>
  <r>
    <x v="1"/>
    <x v="103"/>
    <x v="1"/>
    <x v="12"/>
    <x v="44"/>
    <n v="15"/>
    <n v="5"/>
    <n v="1"/>
    <n v="0"/>
    <n v="0"/>
    <n v="0"/>
    <n v="0"/>
    <n v="0"/>
    <n v="2"/>
    <n v="13"/>
    <n v="2025"/>
    <x v="2"/>
    <s v="手淘搜索-短视频"/>
    <x v="2"/>
    <x v="1"/>
  </r>
  <r>
    <x v="1"/>
    <x v="103"/>
    <x v="1"/>
    <x v="11"/>
    <x v="37"/>
    <n v="12"/>
    <n v="10"/>
    <n v="2"/>
    <n v="0"/>
    <n v="0"/>
    <n v="0"/>
    <n v="0"/>
    <n v="0"/>
    <n v="1"/>
    <n v="12"/>
    <n v="2025"/>
    <x v="2"/>
    <s v="淘特其他渠道"/>
    <x v="2"/>
    <x v="1"/>
  </r>
  <r>
    <x v="1"/>
    <x v="103"/>
    <x v="1"/>
    <x v="11"/>
    <x v="39"/>
    <n v="18"/>
    <n v="16"/>
    <n v="0"/>
    <n v="0"/>
    <n v="0"/>
    <n v="0"/>
    <n v="0"/>
    <n v="0"/>
    <n v="0"/>
    <n v="18"/>
    <n v="2025"/>
    <x v="2"/>
    <s v="淘特搜索"/>
    <x v="2"/>
    <x v="1"/>
  </r>
  <r>
    <x v="1"/>
    <x v="103"/>
    <x v="0"/>
    <x v="5"/>
    <x v="47"/>
    <n v="1"/>
    <n v="1"/>
    <n v="0"/>
    <n v="0"/>
    <n v="0"/>
    <n v="0"/>
    <n v="0"/>
    <n v="0"/>
    <n v="0"/>
    <n v="0"/>
    <n v="2025"/>
    <x v="2"/>
    <s v="短直联动"/>
    <x v="2"/>
    <x v="1"/>
  </r>
  <r>
    <x v="1"/>
    <x v="103"/>
    <x v="0"/>
    <x v="5"/>
    <x v="41"/>
    <n v="1138"/>
    <n v="891"/>
    <n v="11"/>
    <n v="1"/>
    <n v="0"/>
    <n v="0"/>
    <n v="0"/>
    <n v="0"/>
    <n v="17"/>
    <n v="148"/>
    <n v="2025"/>
    <x v="2"/>
    <s v="超级直播"/>
    <x v="2"/>
    <x v="1"/>
  </r>
  <r>
    <x v="1"/>
    <x v="103"/>
    <x v="0"/>
    <x v="5"/>
    <x v="20"/>
    <n v="11"/>
    <n v="9"/>
    <n v="0"/>
    <n v="0"/>
    <n v="0"/>
    <n v="0"/>
    <n v="0"/>
    <n v="0"/>
    <n v="0"/>
    <n v="11"/>
    <n v="2025"/>
    <x v="2"/>
    <s v="超级短视频"/>
    <x v="2"/>
    <x v="1"/>
  </r>
  <r>
    <x v="1"/>
    <x v="103"/>
    <x v="0"/>
    <x v="0"/>
    <x v="1"/>
    <n v="12145"/>
    <n v="7560"/>
    <n v="38"/>
    <n v="42"/>
    <n v="36925"/>
    <n v="8"/>
    <n v="21545"/>
    <n v="5"/>
    <n v="246"/>
    <n v="12144"/>
    <n v="2025"/>
    <x v="2"/>
    <s v="引力魔方"/>
    <x v="2"/>
    <x v="1"/>
  </r>
  <r>
    <x v="1"/>
    <x v="103"/>
    <x v="0"/>
    <x v="0"/>
    <x v="2"/>
    <n v="4554"/>
    <n v="4156"/>
    <n v="67"/>
    <n v="26"/>
    <n v="192631"/>
    <n v="47"/>
    <n v="103126"/>
    <n v="29"/>
    <n v="240"/>
    <n v="4511"/>
    <n v="2025"/>
    <x v="2"/>
    <s v="直通车"/>
    <x v="2"/>
    <x v="1"/>
  </r>
  <r>
    <x v="1"/>
    <x v="103"/>
    <x v="0"/>
    <x v="0"/>
    <x v="0"/>
    <n v="8071"/>
    <n v="5450"/>
    <n v="153"/>
    <n v="169"/>
    <n v="87221"/>
    <n v="30"/>
    <n v="69819"/>
    <n v="26"/>
    <n v="591"/>
    <n v="7878"/>
    <n v="2025"/>
    <x v="2"/>
    <s v="万相台"/>
    <x v="2"/>
    <x v="1"/>
  </r>
  <r>
    <x v="1"/>
    <x v="103"/>
    <x v="0"/>
    <x v="7"/>
    <x v="22"/>
    <n v="1"/>
    <n v="1"/>
    <n v="0"/>
    <n v="0"/>
    <n v="0"/>
    <n v="0"/>
    <n v="0"/>
    <n v="0"/>
    <n v="0"/>
    <n v="1"/>
    <n v="2025"/>
    <x v="2"/>
    <s v="UD效果投放"/>
    <x v="2"/>
    <x v="1"/>
  </r>
  <r>
    <x v="1"/>
    <x v="103"/>
    <x v="0"/>
    <x v="7"/>
    <x v="24"/>
    <n v="266"/>
    <n v="81"/>
    <n v="5"/>
    <n v="0"/>
    <n v="6385"/>
    <n v="2"/>
    <n v="6385"/>
    <n v="2"/>
    <n v="3"/>
    <n v="264"/>
    <n v="2025"/>
    <x v="2"/>
    <s v="淘宝客"/>
    <x v="2"/>
    <x v="1"/>
  </r>
  <r>
    <x v="1"/>
    <x v="104"/>
    <x v="1"/>
    <x v="8"/>
    <x v="25"/>
    <n v="149"/>
    <n v="78"/>
    <n v="4"/>
    <n v="5"/>
    <n v="0"/>
    <n v="0"/>
    <n v="0"/>
    <n v="0"/>
    <n v="12"/>
    <n v="145"/>
    <n v="2025"/>
    <x v="2"/>
    <s v="主会场"/>
    <x v="2"/>
    <x v="1"/>
  </r>
  <r>
    <x v="1"/>
    <x v="104"/>
    <x v="1"/>
    <x v="3"/>
    <x v="11"/>
    <n v="136"/>
    <n v="64"/>
    <n v="9"/>
    <n v="2"/>
    <n v="9163"/>
    <n v="3"/>
    <n v="9163"/>
    <n v="3"/>
    <n v="32"/>
    <n v="128"/>
    <n v="2025"/>
    <x v="2"/>
    <s v="商品详情页头图推荐"/>
    <x v="2"/>
    <x v="1"/>
  </r>
  <r>
    <x v="1"/>
    <x v="104"/>
    <x v="1"/>
    <x v="3"/>
    <x v="12"/>
    <n v="15"/>
    <n v="11"/>
    <n v="0"/>
    <n v="0"/>
    <n v="0"/>
    <n v="0"/>
    <n v="0"/>
    <n v="0"/>
    <n v="12"/>
    <n v="10"/>
    <n v="2025"/>
    <x v="2"/>
    <s v="店铺超链"/>
    <x v="2"/>
    <x v="1"/>
  </r>
  <r>
    <x v="1"/>
    <x v="104"/>
    <x v="1"/>
    <x v="4"/>
    <x v="13"/>
    <n v="170"/>
    <n v="93"/>
    <n v="3"/>
    <n v="0"/>
    <n v="9920"/>
    <n v="4"/>
    <n v="8430"/>
    <n v="3"/>
    <n v="29"/>
    <n v="143"/>
    <n v="2025"/>
    <x v="2"/>
    <s v="其他猜你喜欢"/>
    <x v="2"/>
    <x v="1"/>
  </r>
  <r>
    <x v="1"/>
    <x v="104"/>
    <x v="1"/>
    <x v="4"/>
    <x v="15"/>
    <n v="9"/>
    <n v="6"/>
    <n v="0"/>
    <n v="0"/>
    <n v="0"/>
    <n v="0"/>
    <n v="0"/>
    <n v="0"/>
    <n v="2"/>
    <n v="4"/>
    <n v="2025"/>
    <x v="2"/>
    <s v="购中推荐"/>
    <x v="2"/>
    <x v="1"/>
  </r>
  <r>
    <x v="1"/>
    <x v="104"/>
    <x v="1"/>
    <x v="4"/>
    <x v="16"/>
    <n v="49"/>
    <n v="28"/>
    <n v="1"/>
    <n v="0"/>
    <n v="0"/>
    <n v="0"/>
    <n v="0"/>
    <n v="0"/>
    <n v="0"/>
    <n v="31"/>
    <n v="2025"/>
    <x v="2"/>
    <s v="购后推荐"/>
    <x v="2"/>
    <x v="1"/>
  </r>
  <r>
    <x v="1"/>
    <x v="104"/>
    <x v="1"/>
    <x v="4"/>
    <x v="17"/>
    <n v="2370"/>
    <n v="1537"/>
    <n v="34"/>
    <n v="18"/>
    <n v="55938"/>
    <n v="11"/>
    <n v="23958"/>
    <n v="7"/>
    <n v="129"/>
    <n v="2370"/>
    <n v="2025"/>
    <x v="2"/>
    <s v="首页推荐-微详情"/>
    <x v="2"/>
    <x v="1"/>
  </r>
  <r>
    <x v="1"/>
    <x v="104"/>
    <x v="1"/>
    <x v="4"/>
    <x v="18"/>
    <n v="739"/>
    <n v="643"/>
    <n v="0"/>
    <n v="0"/>
    <n v="3250"/>
    <n v="1"/>
    <n v="3250"/>
    <n v="1"/>
    <n v="2"/>
    <n v="18"/>
    <n v="2025"/>
    <x v="2"/>
    <s v="首页推荐-直播"/>
    <x v="2"/>
    <x v="1"/>
  </r>
  <r>
    <x v="1"/>
    <x v="104"/>
    <x v="1"/>
    <x v="4"/>
    <x v="19"/>
    <n v="147"/>
    <n v="92"/>
    <n v="0"/>
    <n v="0"/>
    <n v="2990"/>
    <n v="1"/>
    <n v="2990"/>
    <n v="1"/>
    <n v="3"/>
    <n v="15"/>
    <n v="2025"/>
    <x v="2"/>
    <s v="首页推荐-短视频"/>
    <x v="2"/>
    <x v="1"/>
  </r>
  <r>
    <x v="1"/>
    <x v="104"/>
    <x v="1"/>
    <x v="12"/>
    <x v="42"/>
    <n v="679"/>
    <n v="498"/>
    <n v="27"/>
    <n v="8"/>
    <n v="49683"/>
    <n v="16"/>
    <n v="37913"/>
    <n v="13"/>
    <n v="304"/>
    <n v="505"/>
    <n v="2025"/>
    <x v="2"/>
    <s v="手淘搜索-商品及其他"/>
    <x v="2"/>
    <x v="1"/>
  </r>
  <r>
    <x v="1"/>
    <x v="104"/>
    <x v="1"/>
    <x v="12"/>
    <x v="43"/>
    <n v="10"/>
    <n v="7"/>
    <n v="0"/>
    <n v="0"/>
    <n v="0"/>
    <n v="0"/>
    <n v="0"/>
    <n v="0"/>
    <n v="1"/>
    <n v="8"/>
    <n v="2025"/>
    <x v="2"/>
    <s v="手淘搜索-直播"/>
    <x v="2"/>
    <x v="1"/>
  </r>
  <r>
    <x v="1"/>
    <x v="104"/>
    <x v="1"/>
    <x v="12"/>
    <x v="44"/>
    <n v="21"/>
    <n v="14"/>
    <n v="1"/>
    <n v="0"/>
    <n v="0"/>
    <n v="0"/>
    <n v="0"/>
    <n v="0"/>
    <n v="3"/>
    <n v="21"/>
    <n v="2025"/>
    <x v="2"/>
    <s v="手淘搜索-短视频"/>
    <x v="2"/>
    <x v="1"/>
  </r>
  <r>
    <x v="1"/>
    <x v="104"/>
    <x v="1"/>
    <x v="11"/>
    <x v="37"/>
    <n v="3"/>
    <n v="3"/>
    <n v="0"/>
    <n v="0"/>
    <n v="0"/>
    <n v="0"/>
    <n v="0"/>
    <n v="0"/>
    <n v="0"/>
    <n v="3"/>
    <n v="2025"/>
    <x v="2"/>
    <s v="淘特其他渠道"/>
    <x v="2"/>
    <x v="1"/>
  </r>
  <r>
    <x v="1"/>
    <x v="104"/>
    <x v="1"/>
    <x v="11"/>
    <x v="39"/>
    <n v="22"/>
    <n v="21"/>
    <n v="0"/>
    <n v="0"/>
    <n v="0"/>
    <n v="0"/>
    <n v="0"/>
    <n v="0"/>
    <n v="0"/>
    <n v="22"/>
    <n v="2025"/>
    <x v="2"/>
    <s v="淘特搜索"/>
    <x v="2"/>
    <x v="1"/>
  </r>
  <r>
    <x v="1"/>
    <x v="104"/>
    <x v="0"/>
    <x v="5"/>
    <x v="41"/>
    <n v="796"/>
    <n v="558"/>
    <n v="16"/>
    <n v="0"/>
    <n v="0"/>
    <n v="0"/>
    <n v="0"/>
    <n v="0"/>
    <n v="18"/>
    <n v="152"/>
    <n v="2025"/>
    <x v="2"/>
    <s v="超级直播"/>
    <x v="2"/>
    <x v="1"/>
  </r>
  <r>
    <x v="1"/>
    <x v="104"/>
    <x v="0"/>
    <x v="5"/>
    <x v="20"/>
    <n v="2"/>
    <n v="2"/>
    <n v="0"/>
    <n v="0"/>
    <n v="0"/>
    <n v="0"/>
    <n v="0"/>
    <n v="0"/>
    <n v="0"/>
    <n v="2"/>
    <n v="2025"/>
    <x v="2"/>
    <s v="超级短视频"/>
    <x v="2"/>
    <x v="1"/>
  </r>
  <r>
    <x v="1"/>
    <x v="104"/>
    <x v="0"/>
    <x v="0"/>
    <x v="1"/>
    <n v="9761"/>
    <n v="5849"/>
    <n v="45"/>
    <n v="43"/>
    <n v="35210"/>
    <n v="10"/>
    <n v="16790"/>
    <n v="6"/>
    <n v="204"/>
    <n v="9760"/>
    <n v="2025"/>
    <x v="2"/>
    <s v="引力魔方"/>
    <x v="2"/>
    <x v="1"/>
  </r>
  <r>
    <x v="1"/>
    <x v="104"/>
    <x v="0"/>
    <x v="0"/>
    <x v="2"/>
    <n v="4320"/>
    <n v="3888"/>
    <n v="61"/>
    <n v="22"/>
    <n v="121361"/>
    <n v="24"/>
    <n v="55216"/>
    <n v="15"/>
    <n v="223"/>
    <n v="4287"/>
    <n v="2025"/>
    <x v="2"/>
    <s v="直通车"/>
    <x v="2"/>
    <x v="1"/>
  </r>
  <r>
    <x v="1"/>
    <x v="104"/>
    <x v="0"/>
    <x v="0"/>
    <x v="0"/>
    <n v="4668"/>
    <n v="2542"/>
    <n v="99"/>
    <n v="170"/>
    <n v="69310"/>
    <n v="24"/>
    <n v="44665"/>
    <n v="17"/>
    <n v="536"/>
    <n v="4495"/>
    <n v="2025"/>
    <x v="2"/>
    <s v="万相台"/>
    <x v="2"/>
    <x v="1"/>
  </r>
  <r>
    <x v="1"/>
    <x v="104"/>
    <x v="0"/>
    <x v="7"/>
    <x v="22"/>
    <n v="2"/>
    <n v="2"/>
    <n v="0"/>
    <n v="0"/>
    <n v="0"/>
    <n v="0"/>
    <n v="0"/>
    <n v="0"/>
    <n v="0"/>
    <n v="1"/>
    <n v="2025"/>
    <x v="2"/>
    <s v="UD效果投放"/>
    <x v="2"/>
    <x v="1"/>
  </r>
  <r>
    <x v="1"/>
    <x v="104"/>
    <x v="0"/>
    <x v="7"/>
    <x v="23"/>
    <n v="1"/>
    <n v="1"/>
    <n v="0"/>
    <n v="0"/>
    <n v="0"/>
    <n v="0"/>
    <n v="0"/>
    <n v="0"/>
    <n v="0"/>
    <n v="1"/>
    <n v="2025"/>
    <x v="2"/>
    <s v="流量宝"/>
    <x v="2"/>
    <x v="1"/>
  </r>
  <r>
    <x v="1"/>
    <x v="104"/>
    <x v="0"/>
    <x v="7"/>
    <x v="24"/>
    <n v="255"/>
    <n v="79"/>
    <n v="4"/>
    <n v="0"/>
    <n v="3995"/>
    <n v="1"/>
    <n v="3995"/>
    <n v="1"/>
    <n v="0"/>
    <n v="250"/>
    <n v="2025"/>
    <x v="2"/>
    <s v="淘宝客"/>
    <x v="2"/>
    <x v="1"/>
  </r>
  <r>
    <x v="0"/>
    <x v="85"/>
    <x v="1"/>
    <x v="11"/>
    <x v="38"/>
    <n v="1"/>
    <n v="1"/>
    <n v="0"/>
    <n v="0"/>
    <n v="1050"/>
    <n v="1"/>
    <n v="1050"/>
    <n v="1"/>
    <n v="0"/>
    <n v="1"/>
    <n v="2025"/>
    <x v="2"/>
    <s v="淘特推荐"/>
    <x v="2"/>
    <x v="0"/>
  </r>
  <r>
    <x v="0"/>
    <x v="85"/>
    <x v="0"/>
    <x v="7"/>
    <x v="24"/>
    <n v="4184"/>
    <n v="2175"/>
    <n v="79"/>
    <n v="15"/>
    <n v="191140.19"/>
    <n v="45"/>
    <n v="174858.19"/>
    <n v="43"/>
    <n v="59"/>
    <n v="4146"/>
    <n v="2025"/>
    <x v="2"/>
    <s v="淘宝客"/>
    <x v="2"/>
    <x v="0"/>
  </r>
  <r>
    <x v="0"/>
    <x v="85"/>
    <x v="0"/>
    <x v="7"/>
    <x v="23"/>
    <n v="48"/>
    <n v="41"/>
    <n v="0"/>
    <n v="0"/>
    <n v="0"/>
    <n v="0"/>
    <n v="0"/>
    <n v="0"/>
    <n v="2"/>
    <n v="45"/>
    <n v="2025"/>
    <x v="2"/>
    <s v="流量宝"/>
    <x v="2"/>
    <x v="0"/>
  </r>
  <r>
    <x v="0"/>
    <x v="85"/>
    <x v="0"/>
    <x v="7"/>
    <x v="22"/>
    <n v="7"/>
    <n v="6"/>
    <n v="0"/>
    <n v="0"/>
    <n v="0"/>
    <n v="0"/>
    <n v="0"/>
    <n v="0"/>
    <n v="0"/>
    <n v="4"/>
    <n v="2025"/>
    <x v="2"/>
    <s v="UD效果投放"/>
    <x v="2"/>
    <x v="0"/>
  </r>
  <r>
    <x v="0"/>
    <x v="85"/>
    <x v="0"/>
    <x v="0"/>
    <x v="0"/>
    <n v="68431"/>
    <n v="56559"/>
    <n v="2357"/>
    <n v="2568"/>
    <n v="1804036.39"/>
    <n v="434"/>
    <n v="1187219.54"/>
    <n v="339"/>
    <n v="15694"/>
    <n v="62778"/>
    <n v="2025"/>
    <x v="2"/>
    <s v="万相台"/>
    <x v="2"/>
    <x v="0"/>
  </r>
  <r>
    <x v="0"/>
    <x v="85"/>
    <x v="0"/>
    <x v="0"/>
    <x v="2"/>
    <n v="83983"/>
    <n v="78717"/>
    <n v="894"/>
    <n v="454"/>
    <n v="1274266"/>
    <n v="288"/>
    <n v="592451"/>
    <n v="177"/>
    <n v="5267"/>
    <n v="83141"/>
    <n v="2025"/>
    <x v="2"/>
    <s v="直通车"/>
    <x v="2"/>
    <x v="0"/>
  </r>
  <r>
    <x v="0"/>
    <x v="85"/>
    <x v="0"/>
    <x v="0"/>
    <x v="1"/>
    <n v="177613"/>
    <n v="159351"/>
    <n v="1125"/>
    <n v="1037"/>
    <n v="519187.20000000001"/>
    <n v="128"/>
    <n v="271197.2"/>
    <n v="78"/>
    <n v="5386"/>
    <n v="177610"/>
    <n v="2025"/>
    <x v="2"/>
    <s v="引力魔方"/>
    <x v="2"/>
    <x v="0"/>
  </r>
  <r>
    <x v="0"/>
    <x v="85"/>
    <x v="0"/>
    <x v="6"/>
    <x v="49"/>
    <n v="6"/>
    <n v="3"/>
    <n v="0"/>
    <n v="0"/>
    <n v="0"/>
    <n v="0"/>
    <n v="0"/>
    <n v="0"/>
    <n v="1"/>
    <n v="6"/>
    <n v="2025"/>
    <x v="2"/>
    <s v="超级全域通"/>
    <x v="2"/>
    <x v="0"/>
  </r>
  <r>
    <x v="0"/>
    <x v="85"/>
    <x v="0"/>
    <x v="6"/>
    <x v="21"/>
    <n v="1"/>
    <n v="1"/>
    <n v="0"/>
    <n v="0"/>
    <n v="0"/>
    <n v="0"/>
    <n v="0"/>
    <n v="0"/>
    <n v="1"/>
    <n v="0"/>
    <n v="2025"/>
    <x v="2"/>
    <s v="品销宝-品牌专区"/>
    <x v="2"/>
    <x v="0"/>
  </r>
  <r>
    <x v="0"/>
    <x v="85"/>
    <x v="0"/>
    <x v="5"/>
    <x v="20"/>
    <n v="62"/>
    <n v="42"/>
    <n v="0"/>
    <n v="0"/>
    <n v="0"/>
    <n v="0"/>
    <n v="0"/>
    <n v="0"/>
    <n v="0"/>
    <n v="62"/>
    <n v="2025"/>
    <x v="2"/>
    <s v="超级短视频"/>
    <x v="2"/>
    <x v="0"/>
  </r>
  <r>
    <x v="0"/>
    <x v="85"/>
    <x v="0"/>
    <x v="5"/>
    <x v="41"/>
    <n v="12604"/>
    <n v="10531"/>
    <n v="170"/>
    <n v="13"/>
    <n v="0"/>
    <n v="0"/>
    <n v="0"/>
    <n v="0"/>
    <n v="275"/>
    <n v="2448"/>
    <n v="2025"/>
    <x v="2"/>
    <s v="超级直播"/>
    <x v="2"/>
    <x v="0"/>
  </r>
  <r>
    <x v="0"/>
    <x v="85"/>
    <x v="0"/>
    <x v="5"/>
    <x v="47"/>
    <n v="1"/>
    <n v="1"/>
    <n v="0"/>
    <n v="0"/>
    <n v="0"/>
    <n v="0"/>
    <n v="0"/>
    <n v="0"/>
    <n v="0"/>
    <n v="0"/>
    <n v="2025"/>
    <x v="2"/>
    <s v="短直联动"/>
    <x v="2"/>
    <x v="0"/>
  </r>
  <r>
    <x v="0"/>
    <x v="85"/>
    <x v="1"/>
    <x v="13"/>
    <x v="46"/>
    <n v="2"/>
    <n v="1"/>
    <n v="0"/>
    <n v="0"/>
    <n v="0"/>
    <n v="0"/>
    <n v="0"/>
    <n v="0"/>
    <n v="0"/>
    <n v="0"/>
    <n v="2025"/>
    <x v="2"/>
    <s v="飞猪其他"/>
    <x v="2"/>
    <x v="0"/>
  </r>
  <r>
    <x v="0"/>
    <x v="85"/>
    <x v="1"/>
    <x v="11"/>
    <x v="40"/>
    <n v="3"/>
    <n v="3"/>
    <n v="0"/>
    <n v="0"/>
    <n v="1050"/>
    <n v="1"/>
    <n v="1050"/>
    <n v="1"/>
    <n v="0"/>
    <n v="3"/>
    <n v="2025"/>
    <x v="2"/>
    <s v="淘特自主访问"/>
    <x v="2"/>
    <x v="0"/>
  </r>
  <r>
    <x v="0"/>
    <x v="85"/>
    <x v="1"/>
    <x v="11"/>
    <x v="39"/>
    <n v="488"/>
    <n v="484"/>
    <n v="4"/>
    <n v="4"/>
    <n v="1050"/>
    <n v="1"/>
    <n v="1050"/>
    <n v="1"/>
    <n v="1"/>
    <n v="488"/>
    <n v="2025"/>
    <x v="2"/>
    <s v="淘特搜索"/>
    <x v="2"/>
    <x v="0"/>
  </r>
  <r>
    <x v="0"/>
    <x v="85"/>
    <x v="1"/>
    <x v="8"/>
    <x v="25"/>
    <n v="3260"/>
    <n v="2243"/>
    <n v="82"/>
    <n v="61"/>
    <n v="99134"/>
    <n v="15"/>
    <n v="33962"/>
    <n v="8"/>
    <n v="232"/>
    <n v="3117"/>
    <n v="2025"/>
    <x v="2"/>
    <s v="主会场"/>
    <x v="2"/>
    <x v="0"/>
  </r>
  <r>
    <x v="0"/>
    <x v="85"/>
    <x v="1"/>
    <x v="11"/>
    <x v="37"/>
    <n v="141"/>
    <n v="122"/>
    <n v="2"/>
    <n v="0"/>
    <n v="0"/>
    <n v="0"/>
    <n v="0"/>
    <n v="0"/>
    <n v="7"/>
    <n v="139"/>
    <n v="2025"/>
    <x v="2"/>
    <s v="淘特其他渠道"/>
    <x v="2"/>
    <x v="0"/>
  </r>
  <r>
    <x v="0"/>
    <x v="85"/>
    <x v="1"/>
    <x v="12"/>
    <x v="44"/>
    <n v="365"/>
    <n v="198"/>
    <n v="19"/>
    <n v="8"/>
    <n v="15817"/>
    <n v="6"/>
    <n v="13327"/>
    <n v="6"/>
    <n v="45"/>
    <n v="349"/>
    <n v="2025"/>
    <x v="2"/>
    <s v="手淘搜索-短视频"/>
    <x v="2"/>
    <x v="0"/>
  </r>
  <r>
    <x v="0"/>
    <x v="85"/>
    <x v="1"/>
    <x v="12"/>
    <x v="43"/>
    <n v="138"/>
    <n v="87"/>
    <n v="7"/>
    <n v="1"/>
    <n v="7185"/>
    <n v="1"/>
    <n v="0"/>
    <n v="0"/>
    <n v="13"/>
    <n v="104"/>
    <n v="2025"/>
    <x v="2"/>
    <s v="手淘搜索-直播"/>
    <x v="2"/>
    <x v="0"/>
  </r>
  <r>
    <x v="0"/>
    <x v="85"/>
    <x v="1"/>
    <x v="12"/>
    <x v="42"/>
    <n v="17129"/>
    <n v="14568"/>
    <n v="737"/>
    <n v="179"/>
    <n v="848408.4"/>
    <n v="186"/>
    <n v="600838.40000000002"/>
    <n v="165"/>
    <n v="8675"/>
    <n v="11937"/>
    <n v="2025"/>
    <x v="2"/>
    <s v="手淘搜索-商品及其他"/>
    <x v="2"/>
    <x v="0"/>
  </r>
  <r>
    <x v="0"/>
    <x v="85"/>
    <x v="1"/>
    <x v="4"/>
    <x v="19"/>
    <n v="5535"/>
    <n v="4362"/>
    <n v="16"/>
    <n v="1"/>
    <n v="15280"/>
    <n v="4"/>
    <n v="6584"/>
    <n v="3"/>
    <n v="47"/>
    <n v="391"/>
    <n v="2025"/>
    <x v="2"/>
    <s v="首页推荐-短视频"/>
    <x v="2"/>
    <x v="0"/>
  </r>
  <r>
    <x v="0"/>
    <x v="85"/>
    <x v="1"/>
    <x v="4"/>
    <x v="18"/>
    <n v="5801"/>
    <n v="5247"/>
    <n v="18"/>
    <n v="5"/>
    <n v="3250"/>
    <n v="1"/>
    <n v="3250"/>
    <n v="1"/>
    <n v="39"/>
    <n v="357"/>
    <n v="2025"/>
    <x v="2"/>
    <s v="首页推荐-直播"/>
    <x v="2"/>
    <x v="0"/>
  </r>
  <r>
    <x v="0"/>
    <x v="85"/>
    <x v="1"/>
    <x v="4"/>
    <x v="17"/>
    <n v="99707"/>
    <n v="92497"/>
    <n v="845"/>
    <n v="548"/>
    <n v="547831.73"/>
    <n v="114"/>
    <n v="261316.43"/>
    <n v="89"/>
    <n v="5833"/>
    <n v="99707"/>
    <n v="2025"/>
    <x v="2"/>
    <s v="首页推荐-微详情"/>
    <x v="2"/>
    <x v="0"/>
  </r>
  <r>
    <x v="0"/>
    <x v="85"/>
    <x v="1"/>
    <x v="4"/>
    <x v="16"/>
    <n v="1865"/>
    <n v="1403"/>
    <n v="18"/>
    <n v="4"/>
    <n v="15785.43"/>
    <n v="6"/>
    <n v="15785.43"/>
    <n v="6"/>
    <n v="61"/>
    <n v="1169"/>
    <n v="2025"/>
    <x v="2"/>
    <s v="购后推荐"/>
    <x v="2"/>
    <x v="0"/>
  </r>
  <r>
    <x v="0"/>
    <x v="85"/>
    <x v="1"/>
    <x v="4"/>
    <x v="15"/>
    <n v="251"/>
    <n v="167"/>
    <n v="7"/>
    <n v="2"/>
    <n v="4750"/>
    <n v="1"/>
    <n v="2375"/>
    <n v="1"/>
    <n v="21"/>
    <n v="177"/>
    <n v="2025"/>
    <x v="2"/>
    <s v="购中推荐"/>
    <x v="2"/>
    <x v="0"/>
  </r>
  <r>
    <x v="0"/>
    <x v="85"/>
    <x v="1"/>
    <x v="4"/>
    <x v="13"/>
    <n v="4809"/>
    <n v="3245"/>
    <n v="111"/>
    <n v="53"/>
    <n v="144740.43"/>
    <n v="42"/>
    <n v="104840.43"/>
    <n v="35"/>
    <n v="808"/>
    <n v="4205"/>
    <n v="2025"/>
    <x v="2"/>
    <s v="其他猜你喜欢"/>
    <x v="2"/>
    <x v="0"/>
  </r>
  <r>
    <x v="0"/>
    <x v="85"/>
    <x v="1"/>
    <x v="3"/>
    <x v="12"/>
    <n v="542"/>
    <n v="327"/>
    <n v="28"/>
    <n v="7"/>
    <n v="34023.5"/>
    <n v="9"/>
    <n v="31628.5"/>
    <n v="8"/>
    <n v="477"/>
    <n v="270"/>
    <n v="2025"/>
    <x v="2"/>
    <s v="店铺超链"/>
    <x v="2"/>
    <x v="0"/>
  </r>
  <r>
    <x v="0"/>
    <x v="85"/>
    <x v="1"/>
    <x v="3"/>
    <x v="11"/>
    <n v="3905"/>
    <n v="2461"/>
    <n v="162"/>
    <n v="71"/>
    <n v="237001.43"/>
    <n v="61"/>
    <n v="179278.43"/>
    <n v="54"/>
    <n v="921"/>
    <n v="3777"/>
    <n v="2025"/>
    <x v="2"/>
    <s v="商品详情页头图推荐"/>
    <x v="2"/>
    <x v="0"/>
  </r>
  <r>
    <x v="0"/>
    <x v="85"/>
    <x v="1"/>
    <x v="1"/>
    <x v="3"/>
    <n v="17"/>
    <n v="14"/>
    <n v="0"/>
    <n v="0"/>
    <n v="0"/>
    <n v="0"/>
    <n v="0"/>
    <n v="0"/>
    <n v="4"/>
    <n v="17"/>
    <n v="2025"/>
    <x v="2"/>
    <s v="其他入口榜单"/>
    <x v="2"/>
    <x v="0"/>
  </r>
  <r>
    <x v="0"/>
    <x v="105"/>
    <x v="1"/>
    <x v="12"/>
    <x v="44"/>
    <n v="113"/>
    <n v="55"/>
    <n v="5"/>
    <n v="0"/>
    <n v="3850"/>
    <n v="1"/>
    <n v="3850"/>
    <n v="1"/>
    <n v="11"/>
    <n v="105"/>
    <n v="2025"/>
    <x v="3"/>
    <s v="手淘搜索-短视频"/>
    <x v="2"/>
    <x v="0"/>
  </r>
  <r>
    <x v="0"/>
    <x v="105"/>
    <x v="0"/>
    <x v="7"/>
    <x v="24"/>
    <n v="2923"/>
    <n v="1646"/>
    <n v="27"/>
    <n v="11"/>
    <n v="53005"/>
    <n v="9"/>
    <n v="53005"/>
    <n v="9"/>
    <n v="30"/>
    <n v="2916"/>
    <n v="2025"/>
    <x v="3"/>
    <s v="淘宝客"/>
    <x v="2"/>
    <x v="0"/>
  </r>
  <r>
    <x v="0"/>
    <x v="105"/>
    <x v="0"/>
    <x v="7"/>
    <x v="23"/>
    <n v="7"/>
    <n v="4"/>
    <n v="0"/>
    <n v="0"/>
    <n v="0"/>
    <n v="0"/>
    <n v="0"/>
    <n v="0"/>
    <n v="1"/>
    <n v="6"/>
    <n v="2025"/>
    <x v="3"/>
    <s v="流量宝"/>
    <x v="2"/>
    <x v="0"/>
  </r>
  <r>
    <x v="0"/>
    <x v="105"/>
    <x v="0"/>
    <x v="0"/>
    <x v="0"/>
    <n v="17887"/>
    <n v="15457"/>
    <n v="416"/>
    <n v="493"/>
    <n v="220510"/>
    <n v="38"/>
    <n v="197625"/>
    <n v="33"/>
    <n v="11097"/>
    <n v="12625"/>
    <n v="2025"/>
    <x v="3"/>
    <s v="万相台"/>
    <x v="2"/>
    <x v="0"/>
  </r>
  <r>
    <x v="0"/>
    <x v="105"/>
    <x v="0"/>
    <x v="0"/>
    <x v="2"/>
    <n v="53429"/>
    <n v="50746"/>
    <n v="482"/>
    <n v="322"/>
    <n v="478602"/>
    <n v="73"/>
    <n v="177307"/>
    <n v="36"/>
    <n v="3678"/>
    <n v="52829"/>
    <n v="2025"/>
    <x v="3"/>
    <s v="直通车"/>
    <x v="2"/>
    <x v="0"/>
  </r>
  <r>
    <x v="0"/>
    <x v="105"/>
    <x v="0"/>
    <x v="0"/>
    <x v="1"/>
    <n v="161054"/>
    <n v="152446"/>
    <n v="700"/>
    <n v="709"/>
    <n v="647925"/>
    <n v="49"/>
    <n v="149705"/>
    <n v="26"/>
    <n v="4555"/>
    <n v="161045"/>
    <n v="2025"/>
    <x v="3"/>
    <s v="引力魔方"/>
    <x v="2"/>
    <x v="0"/>
  </r>
  <r>
    <x v="0"/>
    <x v="105"/>
    <x v="0"/>
    <x v="6"/>
    <x v="21"/>
    <n v="1"/>
    <n v="1"/>
    <n v="0"/>
    <n v="0"/>
    <n v="0"/>
    <n v="0"/>
    <n v="0"/>
    <n v="0"/>
    <n v="1"/>
    <n v="0"/>
    <n v="2025"/>
    <x v="3"/>
    <s v="品销宝-品牌专区"/>
    <x v="2"/>
    <x v="0"/>
  </r>
  <r>
    <x v="0"/>
    <x v="105"/>
    <x v="0"/>
    <x v="5"/>
    <x v="20"/>
    <n v="1583"/>
    <n v="1110"/>
    <n v="2"/>
    <n v="3"/>
    <n v="0"/>
    <n v="0"/>
    <n v="0"/>
    <n v="0"/>
    <n v="19"/>
    <n v="1193"/>
    <n v="2025"/>
    <x v="3"/>
    <s v="超级短视频"/>
    <x v="2"/>
    <x v="0"/>
  </r>
  <r>
    <x v="0"/>
    <x v="105"/>
    <x v="0"/>
    <x v="5"/>
    <x v="41"/>
    <n v="2800"/>
    <n v="2101"/>
    <n v="13"/>
    <n v="3"/>
    <n v="0"/>
    <n v="0"/>
    <n v="0"/>
    <n v="0"/>
    <n v="67"/>
    <n v="735"/>
    <n v="2025"/>
    <x v="3"/>
    <s v="超级直播"/>
    <x v="2"/>
    <x v="0"/>
  </r>
  <r>
    <x v="0"/>
    <x v="105"/>
    <x v="1"/>
    <x v="11"/>
    <x v="40"/>
    <n v="2"/>
    <n v="1"/>
    <n v="0"/>
    <n v="0"/>
    <n v="0"/>
    <n v="0"/>
    <n v="0"/>
    <n v="0"/>
    <n v="0"/>
    <n v="2"/>
    <n v="2025"/>
    <x v="3"/>
    <s v="淘特自主访问"/>
    <x v="2"/>
    <x v="0"/>
  </r>
  <r>
    <x v="0"/>
    <x v="105"/>
    <x v="1"/>
    <x v="11"/>
    <x v="39"/>
    <n v="46"/>
    <n v="45"/>
    <n v="0"/>
    <n v="1"/>
    <n v="0"/>
    <n v="0"/>
    <n v="0"/>
    <n v="0"/>
    <n v="0"/>
    <n v="46"/>
    <n v="2025"/>
    <x v="3"/>
    <s v="淘特搜索"/>
    <x v="2"/>
    <x v="0"/>
  </r>
  <r>
    <x v="0"/>
    <x v="105"/>
    <x v="1"/>
    <x v="11"/>
    <x v="37"/>
    <n v="21"/>
    <n v="13"/>
    <n v="0"/>
    <n v="0"/>
    <n v="0"/>
    <n v="0"/>
    <n v="0"/>
    <n v="0"/>
    <n v="1"/>
    <n v="21"/>
    <n v="2025"/>
    <x v="3"/>
    <s v="淘特其他渠道"/>
    <x v="2"/>
    <x v="0"/>
  </r>
  <r>
    <x v="0"/>
    <x v="105"/>
    <x v="1"/>
    <x v="8"/>
    <x v="25"/>
    <n v="9"/>
    <n v="6"/>
    <n v="0"/>
    <n v="0"/>
    <n v="0"/>
    <n v="0"/>
    <n v="0"/>
    <n v="0"/>
    <n v="1"/>
    <n v="1"/>
    <n v="2025"/>
    <x v="3"/>
    <s v="主会场"/>
    <x v="2"/>
    <x v="0"/>
  </r>
  <r>
    <x v="0"/>
    <x v="105"/>
    <x v="1"/>
    <x v="12"/>
    <x v="43"/>
    <n v="12"/>
    <n v="9"/>
    <n v="2"/>
    <n v="0"/>
    <n v="0"/>
    <n v="0"/>
    <n v="0"/>
    <n v="0"/>
    <n v="2"/>
    <n v="11"/>
    <n v="2025"/>
    <x v="3"/>
    <s v="手淘搜索-直播"/>
    <x v="2"/>
    <x v="0"/>
  </r>
  <r>
    <x v="0"/>
    <x v="105"/>
    <x v="1"/>
    <x v="12"/>
    <x v="42"/>
    <n v="11664"/>
    <n v="10517"/>
    <n v="316"/>
    <n v="124"/>
    <n v="385116"/>
    <n v="44"/>
    <n v="184351"/>
    <n v="30"/>
    <n v="6538"/>
    <n v="7412"/>
    <n v="2025"/>
    <x v="3"/>
    <s v="手淘搜索-商品及其他"/>
    <x v="2"/>
    <x v="0"/>
  </r>
  <r>
    <x v="0"/>
    <x v="105"/>
    <x v="1"/>
    <x v="4"/>
    <x v="19"/>
    <n v="4650"/>
    <n v="3940"/>
    <n v="1"/>
    <n v="2"/>
    <n v="6500"/>
    <n v="1"/>
    <n v="3250"/>
    <n v="1"/>
    <n v="33"/>
    <n v="238"/>
    <n v="2025"/>
    <x v="3"/>
    <s v="首页推荐-短视频"/>
    <x v="2"/>
    <x v="0"/>
  </r>
  <r>
    <x v="0"/>
    <x v="105"/>
    <x v="1"/>
    <x v="4"/>
    <x v="18"/>
    <n v="543"/>
    <n v="414"/>
    <n v="2"/>
    <n v="5"/>
    <n v="0"/>
    <n v="0"/>
    <n v="0"/>
    <n v="0"/>
    <n v="10"/>
    <n v="142"/>
    <n v="2025"/>
    <x v="3"/>
    <s v="首页推荐-直播"/>
    <x v="2"/>
    <x v="0"/>
  </r>
  <r>
    <x v="0"/>
    <x v="105"/>
    <x v="1"/>
    <x v="4"/>
    <x v="17"/>
    <n v="37675"/>
    <n v="34363"/>
    <n v="311"/>
    <n v="236"/>
    <n v="98467"/>
    <n v="13"/>
    <n v="67967"/>
    <n v="11"/>
    <n v="1944"/>
    <n v="37675"/>
    <n v="2025"/>
    <x v="3"/>
    <s v="首页推荐-微详情"/>
    <x v="2"/>
    <x v="0"/>
  </r>
  <r>
    <x v="0"/>
    <x v="105"/>
    <x v="1"/>
    <x v="4"/>
    <x v="16"/>
    <n v="3179"/>
    <n v="2888"/>
    <n v="8"/>
    <n v="5"/>
    <n v="2815"/>
    <n v="1"/>
    <n v="2815"/>
    <n v="1"/>
    <n v="44"/>
    <n v="771"/>
    <n v="2025"/>
    <x v="3"/>
    <s v="购后推荐"/>
    <x v="2"/>
    <x v="0"/>
  </r>
  <r>
    <x v="0"/>
    <x v="105"/>
    <x v="1"/>
    <x v="4"/>
    <x v="15"/>
    <n v="373"/>
    <n v="315"/>
    <n v="6"/>
    <n v="1"/>
    <n v="0"/>
    <n v="0"/>
    <n v="0"/>
    <n v="0"/>
    <n v="10"/>
    <n v="92"/>
    <n v="2025"/>
    <x v="3"/>
    <s v="购中推荐"/>
    <x v="2"/>
    <x v="0"/>
  </r>
  <r>
    <x v="0"/>
    <x v="105"/>
    <x v="1"/>
    <x v="4"/>
    <x v="13"/>
    <n v="3891"/>
    <n v="2874"/>
    <n v="63"/>
    <n v="45"/>
    <n v="119525"/>
    <n v="19"/>
    <n v="88085"/>
    <n v="16"/>
    <n v="752"/>
    <n v="3317"/>
    <n v="2025"/>
    <x v="3"/>
    <s v="其他猜你喜欢"/>
    <x v="2"/>
    <x v="0"/>
  </r>
  <r>
    <x v="0"/>
    <x v="105"/>
    <x v="1"/>
    <x v="3"/>
    <x v="12"/>
    <n v="319"/>
    <n v="220"/>
    <n v="8"/>
    <n v="3"/>
    <n v="19535"/>
    <n v="2"/>
    <n v="14840"/>
    <n v="2"/>
    <n v="279"/>
    <n v="153"/>
    <n v="2025"/>
    <x v="3"/>
    <s v="店铺超链"/>
    <x v="2"/>
    <x v="0"/>
  </r>
  <r>
    <x v="0"/>
    <x v="105"/>
    <x v="1"/>
    <x v="3"/>
    <x v="11"/>
    <n v="988"/>
    <n v="646"/>
    <n v="31"/>
    <n v="19"/>
    <n v="22645"/>
    <n v="3"/>
    <n v="10695"/>
    <n v="2"/>
    <n v="248"/>
    <n v="939"/>
    <n v="2025"/>
    <x v="3"/>
    <s v="商品详情页头图推荐"/>
    <x v="2"/>
    <x v="0"/>
  </r>
  <r>
    <x v="0"/>
    <x v="105"/>
    <x v="1"/>
    <x v="1"/>
    <x v="3"/>
    <n v="2"/>
    <n v="2"/>
    <n v="1"/>
    <n v="0"/>
    <n v="0"/>
    <n v="0"/>
    <n v="0"/>
    <n v="0"/>
    <n v="1"/>
    <n v="2"/>
    <n v="2025"/>
    <x v="3"/>
    <s v="其他入口榜单"/>
    <x v="2"/>
    <x v="0"/>
  </r>
  <r>
    <x v="0"/>
    <x v="106"/>
    <x v="1"/>
    <x v="11"/>
    <x v="38"/>
    <n v="1"/>
    <n v="1"/>
    <n v="0"/>
    <n v="0"/>
    <n v="0"/>
    <n v="0"/>
    <n v="0"/>
    <n v="0"/>
    <n v="0"/>
    <n v="1"/>
    <n v="2025"/>
    <x v="4"/>
    <s v="淘特推荐"/>
    <x v="2"/>
    <x v="0"/>
  </r>
  <r>
    <x v="0"/>
    <x v="106"/>
    <x v="0"/>
    <x v="7"/>
    <x v="24"/>
    <n v="2502"/>
    <n v="1217"/>
    <n v="15"/>
    <n v="6"/>
    <n v="82680"/>
    <n v="15"/>
    <n v="77985"/>
    <n v="15"/>
    <n v="40"/>
    <n v="2485"/>
    <n v="2025"/>
    <x v="4"/>
    <s v="淘宝客"/>
    <x v="2"/>
    <x v="0"/>
  </r>
  <r>
    <x v="0"/>
    <x v="106"/>
    <x v="0"/>
    <x v="7"/>
    <x v="23"/>
    <n v="18"/>
    <n v="9"/>
    <n v="1"/>
    <n v="0"/>
    <n v="0"/>
    <n v="0"/>
    <n v="0"/>
    <n v="0"/>
    <n v="3"/>
    <n v="16"/>
    <n v="2025"/>
    <x v="4"/>
    <s v="流量宝"/>
    <x v="2"/>
    <x v="0"/>
  </r>
  <r>
    <x v="0"/>
    <x v="106"/>
    <x v="0"/>
    <x v="7"/>
    <x v="22"/>
    <n v="1"/>
    <n v="1"/>
    <n v="0"/>
    <n v="0"/>
    <n v="0"/>
    <n v="0"/>
    <n v="0"/>
    <n v="0"/>
    <n v="1"/>
    <n v="1"/>
    <n v="2025"/>
    <x v="4"/>
    <s v="UD效果投放"/>
    <x v="2"/>
    <x v="0"/>
  </r>
  <r>
    <x v="0"/>
    <x v="106"/>
    <x v="0"/>
    <x v="0"/>
    <x v="0"/>
    <n v="13231"/>
    <n v="12560"/>
    <n v="342"/>
    <n v="95"/>
    <n v="131426.04999999999"/>
    <n v="33"/>
    <n v="83751.05"/>
    <n v="28"/>
    <n v="13209"/>
    <n v="6692"/>
    <n v="2025"/>
    <x v="4"/>
    <s v="万相台"/>
    <x v="2"/>
    <x v="0"/>
  </r>
  <r>
    <x v="0"/>
    <x v="106"/>
    <x v="0"/>
    <x v="0"/>
    <x v="2"/>
    <n v="54176"/>
    <n v="51543"/>
    <n v="574"/>
    <n v="309"/>
    <n v="481620"/>
    <n v="82"/>
    <n v="262520"/>
    <n v="55"/>
    <n v="4109"/>
    <n v="53535"/>
    <n v="2025"/>
    <x v="4"/>
    <s v="直通车"/>
    <x v="2"/>
    <x v="0"/>
  </r>
  <r>
    <x v="0"/>
    <x v="106"/>
    <x v="0"/>
    <x v="0"/>
    <x v="1"/>
    <n v="135826"/>
    <n v="127655"/>
    <n v="688"/>
    <n v="719"/>
    <n v="285587"/>
    <n v="43"/>
    <n v="95327"/>
    <n v="21"/>
    <n v="3987"/>
    <n v="135819"/>
    <n v="2025"/>
    <x v="4"/>
    <s v="引力魔方"/>
    <x v="2"/>
    <x v="0"/>
  </r>
  <r>
    <x v="0"/>
    <x v="106"/>
    <x v="0"/>
    <x v="6"/>
    <x v="49"/>
    <n v="2"/>
    <n v="2"/>
    <n v="0"/>
    <n v="0"/>
    <n v="0"/>
    <n v="0"/>
    <n v="0"/>
    <n v="0"/>
    <n v="0"/>
    <n v="2"/>
    <n v="2025"/>
    <x v="4"/>
    <s v="超级全域通"/>
    <x v="2"/>
    <x v="0"/>
  </r>
  <r>
    <x v="0"/>
    <x v="106"/>
    <x v="0"/>
    <x v="6"/>
    <x v="21"/>
    <n v="2"/>
    <n v="2"/>
    <n v="0"/>
    <n v="0"/>
    <n v="0"/>
    <n v="0"/>
    <n v="0"/>
    <n v="0"/>
    <n v="2"/>
    <n v="0"/>
    <n v="2025"/>
    <x v="4"/>
    <s v="品销宝-品牌专区"/>
    <x v="2"/>
    <x v="0"/>
  </r>
  <r>
    <x v="0"/>
    <x v="106"/>
    <x v="0"/>
    <x v="6"/>
    <x v="45"/>
    <n v="2"/>
    <n v="1"/>
    <n v="0"/>
    <n v="0"/>
    <n v="0"/>
    <n v="0"/>
    <n v="0"/>
    <n v="0"/>
    <n v="0"/>
    <n v="2"/>
    <n v="2025"/>
    <x v="4"/>
    <s v="品牌定制"/>
    <x v="2"/>
    <x v="0"/>
  </r>
  <r>
    <x v="0"/>
    <x v="106"/>
    <x v="0"/>
    <x v="5"/>
    <x v="20"/>
    <n v="3932"/>
    <n v="3406"/>
    <n v="8"/>
    <n v="3"/>
    <n v="22245"/>
    <n v="3"/>
    <n v="2995"/>
    <n v="1"/>
    <n v="89"/>
    <n v="3166"/>
    <n v="2025"/>
    <x v="4"/>
    <s v="超级短视频"/>
    <x v="2"/>
    <x v="0"/>
  </r>
  <r>
    <x v="0"/>
    <x v="106"/>
    <x v="0"/>
    <x v="5"/>
    <x v="41"/>
    <n v="2999"/>
    <n v="2334"/>
    <n v="27"/>
    <n v="4"/>
    <n v="0"/>
    <n v="0"/>
    <n v="0"/>
    <n v="0"/>
    <n v="83"/>
    <n v="813"/>
    <n v="2025"/>
    <x v="4"/>
    <s v="超级直播"/>
    <x v="2"/>
    <x v="0"/>
  </r>
  <r>
    <x v="0"/>
    <x v="106"/>
    <x v="0"/>
    <x v="5"/>
    <x v="47"/>
    <n v="1"/>
    <n v="1"/>
    <n v="0"/>
    <n v="0"/>
    <n v="0"/>
    <n v="0"/>
    <n v="0"/>
    <n v="0"/>
    <n v="0"/>
    <n v="1"/>
    <n v="2025"/>
    <x v="4"/>
    <s v="短直联动"/>
    <x v="2"/>
    <x v="0"/>
  </r>
  <r>
    <x v="0"/>
    <x v="106"/>
    <x v="1"/>
    <x v="11"/>
    <x v="39"/>
    <n v="2"/>
    <n v="2"/>
    <n v="0"/>
    <n v="0"/>
    <n v="0"/>
    <n v="0"/>
    <n v="0"/>
    <n v="0"/>
    <n v="0"/>
    <n v="2"/>
    <n v="2025"/>
    <x v="4"/>
    <s v="淘特搜索"/>
    <x v="2"/>
    <x v="0"/>
  </r>
  <r>
    <x v="0"/>
    <x v="106"/>
    <x v="1"/>
    <x v="1"/>
    <x v="3"/>
    <n v="5"/>
    <n v="4"/>
    <n v="0"/>
    <n v="0"/>
    <n v="0"/>
    <n v="0"/>
    <n v="0"/>
    <n v="0"/>
    <n v="0"/>
    <n v="5"/>
    <n v="2025"/>
    <x v="4"/>
    <s v="其他入口榜单"/>
    <x v="2"/>
    <x v="0"/>
  </r>
  <r>
    <x v="0"/>
    <x v="106"/>
    <x v="1"/>
    <x v="11"/>
    <x v="37"/>
    <n v="9"/>
    <n v="3"/>
    <n v="0"/>
    <n v="0"/>
    <n v="0"/>
    <n v="0"/>
    <n v="0"/>
    <n v="0"/>
    <n v="1"/>
    <n v="9"/>
    <n v="2025"/>
    <x v="4"/>
    <s v="淘特其他渠道"/>
    <x v="2"/>
    <x v="0"/>
  </r>
  <r>
    <x v="0"/>
    <x v="106"/>
    <x v="1"/>
    <x v="12"/>
    <x v="44"/>
    <n v="259"/>
    <n v="182"/>
    <n v="18"/>
    <n v="2"/>
    <n v="5970"/>
    <n v="2"/>
    <n v="3980"/>
    <n v="2"/>
    <n v="59"/>
    <n v="245"/>
    <n v="2025"/>
    <x v="4"/>
    <s v="手淘搜索-短视频"/>
    <x v="2"/>
    <x v="0"/>
  </r>
  <r>
    <x v="0"/>
    <x v="106"/>
    <x v="1"/>
    <x v="12"/>
    <x v="43"/>
    <n v="19"/>
    <n v="11"/>
    <n v="1"/>
    <n v="0"/>
    <n v="2795"/>
    <n v="1"/>
    <n v="2795"/>
    <n v="1"/>
    <n v="5"/>
    <n v="14"/>
    <n v="2025"/>
    <x v="4"/>
    <s v="手淘搜索-直播"/>
    <x v="2"/>
    <x v="0"/>
  </r>
  <r>
    <x v="0"/>
    <x v="106"/>
    <x v="1"/>
    <x v="12"/>
    <x v="42"/>
    <n v="24917"/>
    <n v="23515"/>
    <n v="503"/>
    <n v="223"/>
    <n v="445951"/>
    <n v="92"/>
    <n v="298741"/>
    <n v="75"/>
    <n v="8513"/>
    <n v="19813"/>
    <n v="2025"/>
    <x v="4"/>
    <s v="手淘搜索-商品及其他"/>
    <x v="2"/>
    <x v="0"/>
  </r>
  <r>
    <x v="0"/>
    <x v="106"/>
    <x v="1"/>
    <x v="4"/>
    <x v="19"/>
    <n v="3527"/>
    <n v="2911"/>
    <n v="7"/>
    <n v="4"/>
    <n v="2515"/>
    <n v="1"/>
    <n v="2515"/>
    <n v="1"/>
    <n v="40"/>
    <n v="240"/>
    <n v="2025"/>
    <x v="4"/>
    <s v="首页推荐-短视频"/>
    <x v="2"/>
    <x v="0"/>
  </r>
  <r>
    <x v="0"/>
    <x v="106"/>
    <x v="1"/>
    <x v="4"/>
    <x v="18"/>
    <n v="575"/>
    <n v="421"/>
    <n v="10"/>
    <n v="3"/>
    <n v="0"/>
    <n v="0"/>
    <n v="0"/>
    <n v="0"/>
    <n v="10"/>
    <n v="213"/>
    <n v="2025"/>
    <x v="4"/>
    <s v="首页推荐-直播"/>
    <x v="2"/>
    <x v="0"/>
  </r>
  <r>
    <x v="0"/>
    <x v="106"/>
    <x v="1"/>
    <x v="4"/>
    <x v="17"/>
    <n v="27147"/>
    <n v="22938"/>
    <n v="369"/>
    <n v="187"/>
    <n v="158993.79"/>
    <n v="32"/>
    <n v="85543.79"/>
    <n v="20"/>
    <n v="1468"/>
    <n v="27147"/>
    <n v="2025"/>
    <x v="4"/>
    <s v="首页推荐-微详情"/>
    <x v="2"/>
    <x v="0"/>
  </r>
  <r>
    <x v="0"/>
    <x v="106"/>
    <x v="1"/>
    <x v="4"/>
    <x v="16"/>
    <n v="2143"/>
    <n v="1562"/>
    <n v="52"/>
    <n v="13"/>
    <n v="32398.79"/>
    <n v="6"/>
    <n v="27703.79"/>
    <n v="5"/>
    <n v="97"/>
    <n v="1281"/>
    <n v="2025"/>
    <x v="4"/>
    <s v="购后推荐"/>
    <x v="2"/>
    <x v="0"/>
  </r>
  <r>
    <x v="0"/>
    <x v="106"/>
    <x v="1"/>
    <x v="4"/>
    <x v="15"/>
    <n v="355"/>
    <n v="250"/>
    <n v="14"/>
    <n v="2"/>
    <n v="0"/>
    <n v="0"/>
    <n v="0"/>
    <n v="0"/>
    <n v="34"/>
    <n v="241"/>
    <n v="2025"/>
    <x v="4"/>
    <s v="购中推荐"/>
    <x v="2"/>
    <x v="0"/>
  </r>
  <r>
    <x v="0"/>
    <x v="106"/>
    <x v="1"/>
    <x v="4"/>
    <x v="13"/>
    <n v="4601"/>
    <n v="3026"/>
    <n v="135"/>
    <n v="62"/>
    <n v="78698.789999999994"/>
    <n v="17"/>
    <n v="64733.79"/>
    <n v="15"/>
    <n v="969"/>
    <n v="4282"/>
    <n v="2025"/>
    <x v="4"/>
    <s v="其他猜你喜欢"/>
    <x v="2"/>
    <x v="0"/>
  </r>
  <r>
    <x v="0"/>
    <x v="106"/>
    <x v="1"/>
    <x v="3"/>
    <x v="12"/>
    <n v="512"/>
    <n v="369"/>
    <n v="21"/>
    <n v="9"/>
    <n v="15230"/>
    <n v="5"/>
    <n v="15230"/>
    <n v="5"/>
    <n v="438"/>
    <n v="249"/>
    <n v="2025"/>
    <x v="4"/>
    <s v="店铺超链"/>
    <x v="2"/>
    <x v="0"/>
  </r>
  <r>
    <x v="0"/>
    <x v="106"/>
    <x v="1"/>
    <x v="3"/>
    <x v="11"/>
    <n v="1"/>
    <n v="1"/>
    <n v="0"/>
    <n v="0"/>
    <n v="0"/>
    <n v="0"/>
    <n v="0"/>
    <n v="0"/>
    <n v="0"/>
    <n v="1"/>
    <n v="2025"/>
    <x v="4"/>
    <s v="商品详情页头图推荐"/>
    <x v="2"/>
    <x v="0"/>
  </r>
  <r>
    <x v="0"/>
    <x v="107"/>
    <x v="1"/>
    <x v="11"/>
    <x v="39"/>
    <n v="3"/>
    <n v="3"/>
    <n v="0"/>
    <n v="0"/>
    <n v="0"/>
    <n v="0"/>
    <n v="0"/>
    <n v="0"/>
    <n v="0"/>
    <n v="3"/>
    <n v="2025"/>
    <x v="5"/>
    <s v="淘特搜索"/>
    <x v="2"/>
    <x v="0"/>
  </r>
  <r>
    <x v="0"/>
    <x v="107"/>
    <x v="0"/>
    <x v="7"/>
    <x v="24"/>
    <n v="2436"/>
    <n v="1139"/>
    <n v="11"/>
    <n v="7"/>
    <n v="37597"/>
    <n v="7"/>
    <n v="22257"/>
    <n v="5"/>
    <n v="56"/>
    <n v="2406"/>
    <n v="2025"/>
    <x v="5"/>
    <s v="淘宝客"/>
    <x v="2"/>
    <x v="0"/>
  </r>
  <r>
    <x v="0"/>
    <x v="107"/>
    <x v="0"/>
    <x v="7"/>
    <x v="23"/>
    <n v="15"/>
    <n v="13"/>
    <n v="0"/>
    <n v="1"/>
    <n v="0"/>
    <n v="0"/>
    <n v="0"/>
    <n v="0"/>
    <n v="3"/>
    <n v="14"/>
    <n v="2025"/>
    <x v="5"/>
    <s v="流量宝"/>
    <x v="2"/>
    <x v="0"/>
  </r>
  <r>
    <x v="0"/>
    <x v="107"/>
    <x v="0"/>
    <x v="7"/>
    <x v="22"/>
    <n v="1"/>
    <n v="0"/>
    <n v="0"/>
    <n v="0"/>
    <n v="0"/>
    <n v="0"/>
    <n v="0"/>
    <n v="0"/>
    <n v="0"/>
    <n v="1"/>
    <n v="2025"/>
    <x v="5"/>
    <s v="UD效果投放"/>
    <x v="2"/>
    <x v="0"/>
  </r>
  <r>
    <x v="0"/>
    <x v="107"/>
    <x v="0"/>
    <x v="0"/>
    <x v="0"/>
    <n v="14634"/>
    <n v="13836"/>
    <n v="269"/>
    <n v="101"/>
    <n v="328362"/>
    <n v="42"/>
    <n v="271560"/>
    <n v="35"/>
    <n v="14576"/>
    <n v="6193"/>
    <n v="2025"/>
    <x v="5"/>
    <s v="万相台"/>
    <x v="2"/>
    <x v="0"/>
  </r>
  <r>
    <x v="0"/>
    <x v="107"/>
    <x v="0"/>
    <x v="0"/>
    <x v="2"/>
    <n v="59373"/>
    <n v="56305"/>
    <n v="509"/>
    <n v="344"/>
    <n v="642706"/>
    <n v="67"/>
    <n v="151011"/>
    <n v="31"/>
    <n v="4355"/>
    <n v="58752"/>
    <n v="2025"/>
    <x v="5"/>
    <s v="直通车"/>
    <x v="2"/>
    <x v="0"/>
  </r>
  <r>
    <x v="0"/>
    <x v="107"/>
    <x v="0"/>
    <x v="0"/>
    <x v="1"/>
    <n v="169900"/>
    <n v="161831"/>
    <n v="573"/>
    <n v="663"/>
    <n v="309235"/>
    <n v="28"/>
    <n v="120240"/>
    <n v="13"/>
    <n v="3449"/>
    <n v="169598"/>
    <n v="2025"/>
    <x v="5"/>
    <s v="引力魔方"/>
    <x v="2"/>
    <x v="0"/>
  </r>
  <r>
    <x v="0"/>
    <x v="107"/>
    <x v="0"/>
    <x v="6"/>
    <x v="49"/>
    <n v="2"/>
    <n v="2"/>
    <n v="0"/>
    <n v="0"/>
    <n v="0"/>
    <n v="0"/>
    <n v="0"/>
    <n v="0"/>
    <n v="0"/>
    <n v="1"/>
    <n v="2025"/>
    <x v="5"/>
    <s v="超级全域通"/>
    <x v="2"/>
    <x v="0"/>
  </r>
  <r>
    <x v="0"/>
    <x v="107"/>
    <x v="0"/>
    <x v="6"/>
    <x v="21"/>
    <n v="3"/>
    <n v="3"/>
    <n v="0"/>
    <n v="0"/>
    <n v="0"/>
    <n v="0"/>
    <n v="0"/>
    <n v="0"/>
    <n v="3"/>
    <n v="0"/>
    <n v="2025"/>
    <x v="5"/>
    <s v="品销宝-品牌专区"/>
    <x v="2"/>
    <x v="0"/>
  </r>
  <r>
    <x v="0"/>
    <x v="107"/>
    <x v="0"/>
    <x v="6"/>
    <x v="45"/>
    <n v="1"/>
    <n v="1"/>
    <n v="0"/>
    <n v="0"/>
    <n v="0"/>
    <n v="0"/>
    <n v="0"/>
    <n v="0"/>
    <n v="0"/>
    <n v="1"/>
    <n v="2025"/>
    <x v="5"/>
    <s v="品牌定制"/>
    <x v="2"/>
    <x v="0"/>
  </r>
  <r>
    <x v="0"/>
    <x v="107"/>
    <x v="0"/>
    <x v="5"/>
    <x v="20"/>
    <n v="4513"/>
    <n v="3936"/>
    <n v="5"/>
    <n v="5"/>
    <n v="13500"/>
    <n v="1"/>
    <n v="0"/>
    <n v="0"/>
    <n v="110"/>
    <n v="3169"/>
    <n v="2025"/>
    <x v="5"/>
    <s v="超级短视频"/>
    <x v="2"/>
    <x v="0"/>
  </r>
  <r>
    <x v="0"/>
    <x v="107"/>
    <x v="0"/>
    <x v="5"/>
    <x v="41"/>
    <n v="23315"/>
    <n v="20341"/>
    <n v="48"/>
    <n v="22"/>
    <n v="0"/>
    <n v="0"/>
    <n v="0"/>
    <n v="0"/>
    <n v="304"/>
    <n v="11049"/>
    <n v="2025"/>
    <x v="5"/>
    <s v="超级直播"/>
    <x v="2"/>
    <x v="0"/>
  </r>
  <r>
    <x v="0"/>
    <x v="107"/>
    <x v="0"/>
    <x v="5"/>
    <x v="47"/>
    <n v="18"/>
    <n v="17"/>
    <n v="0"/>
    <n v="0"/>
    <n v="0"/>
    <n v="0"/>
    <n v="0"/>
    <n v="0"/>
    <n v="0"/>
    <n v="0"/>
    <n v="2025"/>
    <x v="5"/>
    <s v="短直联动"/>
    <x v="2"/>
    <x v="0"/>
  </r>
  <r>
    <x v="0"/>
    <x v="107"/>
    <x v="1"/>
    <x v="13"/>
    <x v="46"/>
    <n v="2"/>
    <n v="2"/>
    <n v="0"/>
    <n v="0"/>
    <n v="0"/>
    <n v="0"/>
    <n v="0"/>
    <n v="0"/>
    <n v="0"/>
    <n v="0"/>
    <n v="2025"/>
    <x v="5"/>
    <s v="飞猪其他"/>
    <x v="2"/>
    <x v="0"/>
  </r>
  <r>
    <x v="0"/>
    <x v="107"/>
    <x v="1"/>
    <x v="1"/>
    <x v="3"/>
    <n v="3"/>
    <n v="3"/>
    <n v="0"/>
    <n v="0"/>
    <n v="0"/>
    <n v="0"/>
    <n v="0"/>
    <n v="0"/>
    <n v="0"/>
    <n v="3"/>
    <n v="2025"/>
    <x v="5"/>
    <s v="其他入口榜单"/>
    <x v="2"/>
    <x v="0"/>
  </r>
  <r>
    <x v="0"/>
    <x v="107"/>
    <x v="1"/>
    <x v="11"/>
    <x v="37"/>
    <n v="5"/>
    <n v="0"/>
    <n v="0"/>
    <n v="0"/>
    <n v="0"/>
    <n v="0"/>
    <n v="0"/>
    <n v="0"/>
    <n v="0"/>
    <n v="5"/>
    <n v="2025"/>
    <x v="5"/>
    <s v="淘特其他渠道"/>
    <x v="2"/>
    <x v="0"/>
  </r>
  <r>
    <x v="0"/>
    <x v="107"/>
    <x v="1"/>
    <x v="12"/>
    <x v="44"/>
    <n v="130"/>
    <n v="79"/>
    <n v="4"/>
    <n v="2"/>
    <n v="4695"/>
    <n v="1"/>
    <n v="4695"/>
    <n v="1"/>
    <n v="12"/>
    <n v="126"/>
    <n v="2025"/>
    <x v="5"/>
    <s v="手淘搜索-短视频"/>
    <x v="2"/>
    <x v="0"/>
  </r>
  <r>
    <x v="0"/>
    <x v="107"/>
    <x v="1"/>
    <x v="12"/>
    <x v="43"/>
    <n v="17"/>
    <n v="9"/>
    <n v="2"/>
    <n v="1"/>
    <n v="0"/>
    <n v="0"/>
    <n v="0"/>
    <n v="0"/>
    <n v="1"/>
    <n v="16"/>
    <n v="2025"/>
    <x v="5"/>
    <s v="手淘搜索-直播"/>
    <x v="2"/>
    <x v="0"/>
  </r>
  <r>
    <x v="0"/>
    <x v="107"/>
    <x v="1"/>
    <x v="12"/>
    <x v="42"/>
    <n v="32662"/>
    <n v="31337"/>
    <n v="413"/>
    <n v="231"/>
    <n v="511472"/>
    <n v="67"/>
    <n v="250422"/>
    <n v="43"/>
    <n v="3783"/>
    <n v="31421"/>
    <n v="2025"/>
    <x v="5"/>
    <s v="手淘搜索-商品及其他"/>
    <x v="2"/>
    <x v="0"/>
  </r>
  <r>
    <x v="0"/>
    <x v="107"/>
    <x v="1"/>
    <x v="4"/>
    <x v="19"/>
    <n v="2371"/>
    <n v="1959"/>
    <n v="2"/>
    <n v="2"/>
    <n v="0"/>
    <n v="0"/>
    <n v="0"/>
    <n v="0"/>
    <n v="27"/>
    <n v="156"/>
    <n v="2025"/>
    <x v="5"/>
    <s v="首页推荐-短视频"/>
    <x v="2"/>
    <x v="0"/>
  </r>
  <r>
    <x v="0"/>
    <x v="107"/>
    <x v="1"/>
    <x v="4"/>
    <x v="18"/>
    <n v="915"/>
    <n v="786"/>
    <n v="6"/>
    <n v="1"/>
    <n v="8350"/>
    <n v="1"/>
    <n v="0"/>
    <n v="0"/>
    <n v="17"/>
    <n v="352"/>
    <n v="2025"/>
    <x v="5"/>
    <s v="首页推荐-直播"/>
    <x v="2"/>
    <x v="0"/>
  </r>
  <r>
    <x v="0"/>
    <x v="107"/>
    <x v="1"/>
    <x v="4"/>
    <x v="17"/>
    <n v="26906"/>
    <n v="22683"/>
    <n v="242"/>
    <n v="142"/>
    <n v="285605"/>
    <n v="23"/>
    <n v="138585"/>
    <n v="13"/>
    <n v="1231"/>
    <n v="26906"/>
    <n v="2025"/>
    <x v="5"/>
    <s v="首页推荐-微详情"/>
    <x v="2"/>
    <x v="0"/>
  </r>
  <r>
    <x v="0"/>
    <x v="107"/>
    <x v="1"/>
    <x v="4"/>
    <x v="16"/>
    <n v="2886"/>
    <n v="2311"/>
    <n v="35"/>
    <n v="21"/>
    <n v="24590"/>
    <n v="2"/>
    <n v="24590"/>
    <n v="2"/>
    <n v="116"/>
    <n v="1817"/>
    <n v="2025"/>
    <x v="5"/>
    <s v="购后推荐"/>
    <x v="2"/>
    <x v="0"/>
  </r>
  <r>
    <x v="0"/>
    <x v="107"/>
    <x v="1"/>
    <x v="4"/>
    <x v="15"/>
    <n v="416"/>
    <n v="318"/>
    <n v="5"/>
    <n v="5"/>
    <n v="0"/>
    <n v="0"/>
    <n v="0"/>
    <n v="0"/>
    <n v="16"/>
    <n v="271"/>
    <n v="2025"/>
    <x v="5"/>
    <s v="购中推荐"/>
    <x v="2"/>
    <x v="0"/>
  </r>
  <r>
    <x v="0"/>
    <x v="107"/>
    <x v="1"/>
    <x v="4"/>
    <x v="13"/>
    <n v="3933"/>
    <n v="2615"/>
    <n v="63"/>
    <n v="49"/>
    <n v="74610"/>
    <n v="11"/>
    <n v="47220"/>
    <n v="7"/>
    <n v="702"/>
    <n v="3699"/>
    <n v="2025"/>
    <x v="5"/>
    <s v="其他猜你喜欢"/>
    <x v="2"/>
    <x v="0"/>
  </r>
  <r>
    <x v="0"/>
    <x v="107"/>
    <x v="1"/>
    <x v="3"/>
    <x v="12"/>
    <n v="606"/>
    <n v="475"/>
    <n v="13"/>
    <n v="7"/>
    <n v="9750"/>
    <n v="2"/>
    <n v="5055"/>
    <n v="2"/>
    <n v="543"/>
    <n v="266"/>
    <n v="2025"/>
    <x v="5"/>
    <s v="店铺超链"/>
    <x v="2"/>
    <x v="0"/>
  </r>
  <r>
    <x v="0"/>
    <x v="107"/>
    <x v="1"/>
    <x v="3"/>
    <x v="11"/>
    <n v="6"/>
    <n v="5"/>
    <n v="0"/>
    <n v="0"/>
    <n v="0"/>
    <n v="0"/>
    <n v="0"/>
    <n v="0"/>
    <n v="0"/>
    <n v="6"/>
    <n v="2025"/>
    <x v="5"/>
    <s v="商品详情页头图推荐"/>
    <x v="2"/>
    <x v="0"/>
  </r>
  <r>
    <x v="0"/>
    <x v="108"/>
    <x v="1"/>
    <x v="8"/>
    <x v="25"/>
    <n v="2110"/>
    <n v="923"/>
    <n v="72"/>
    <n v="26"/>
    <n v="49280"/>
    <n v="10"/>
    <n v="35610"/>
    <n v="7"/>
    <n v="216"/>
    <n v="2014"/>
    <n v="2025"/>
    <x v="6"/>
    <s v="主会场"/>
    <x v="2"/>
    <x v="0"/>
  </r>
  <r>
    <x v="0"/>
    <x v="108"/>
    <x v="1"/>
    <x v="8"/>
    <x v="26"/>
    <n v="22"/>
    <n v="18"/>
    <n v="1"/>
    <n v="0"/>
    <n v="0"/>
    <n v="0"/>
    <n v="0"/>
    <n v="0"/>
    <n v="4"/>
    <n v="22"/>
    <n v="2025"/>
    <x v="6"/>
    <s v="榜单会场"/>
    <x v="2"/>
    <x v="0"/>
  </r>
  <r>
    <x v="0"/>
    <x v="108"/>
    <x v="1"/>
    <x v="1"/>
    <x v="3"/>
    <n v="19"/>
    <n v="16"/>
    <n v="1"/>
    <n v="0"/>
    <n v="0"/>
    <n v="0"/>
    <n v="0"/>
    <n v="0"/>
    <n v="1"/>
    <n v="19"/>
    <n v="2025"/>
    <x v="6"/>
    <s v="其他入口榜单"/>
    <x v="2"/>
    <x v="0"/>
  </r>
  <r>
    <x v="0"/>
    <x v="108"/>
    <x v="1"/>
    <x v="1"/>
    <x v="28"/>
    <n v="4"/>
    <n v="4"/>
    <n v="1"/>
    <n v="0"/>
    <n v="0"/>
    <n v="0"/>
    <n v="0"/>
    <n v="0"/>
    <n v="0"/>
    <n v="4"/>
    <n v="2025"/>
    <x v="6"/>
    <s v="商品详情页入口榜单"/>
    <x v="2"/>
    <x v="0"/>
  </r>
  <r>
    <x v="0"/>
    <x v="108"/>
    <x v="1"/>
    <x v="3"/>
    <x v="11"/>
    <n v="1"/>
    <n v="0"/>
    <n v="0"/>
    <n v="0"/>
    <n v="0"/>
    <n v="0"/>
    <n v="0"/>
    <n v="0"/>
    <n v="0"/>
    <n v="1"/>
    <n v="2025"/>
    <x v="6"/>
    <s v="商品详情页头图推荐"/>
    <x v="2"/>
    <x v="0"/>
  </r>
  <r>
    <x v="0"/>
    <x v="108"/>
    <x v="1"/>
    <x v="3"/>
    <x v="12"/>
    <n v="1031"/>
    <n v="582"/>
    <n v="62"/>
    <n v="6"/>
    <n v="71777.649999999994"/>
    <n v="16"/>
    <n v="57467.65"/>
    <n v="15"/>
    <n v="933"/>
    <n v="497"/>
    <n v="2025"/>
    <x v="6"/>
    <s v="店铺超链"/>
    <x v="2"/>
    <x v="0"/>
  </r>
  <r>
    <x v="0"/>
    <x v="108"/>
    <x v="1"/>
    <x v="4"/>
    <x v="13"/>
    <n v="11990"/>
    <n v="6400"/>
    <n v="600"/>
    <n v="217"/>
    <n v="801294.68"/>
    <n v="147"/>
    <n v="638449.68000000005"/>
    <n v="132"/>
    <n v="2281"/>
    <n v="11503"/>
    <n v="2025"/>
    <x v="6"/>
    <s v="其他猜你喜欢"/>
    <x v="2"/>
    <x v="0"/>
  </r>
  <r>
    <x v="0"/>
    <x v="108"/>
    <x v="1"/>
    <x v="4"/>
    <x v="15"/>
    <n v="1764"/>
    <n v="839"/>
    <n v="84"/>
    <n v="18"/>
    <n v="44193.72"/>
    <n v="11"/>
    <n v="44193.72"/>
    <n v="11"/>
    <n v="192"/>
    <n v="1592"/>
    <n v="2025"/>
    <x v="6"/>
    <s v="购中推荐"/>
    <x v="2"/>
    <x v="0"/>
  </r>
  <r>
    <x v="0"/>
    <x v="108"/>
    <x v="1"/>
    <x v="4"/>
    <x v="16"/>
    <n v="9407"/>
    <n v="5551"/>
    <n v="409"/>
    <n v="97"/>
    <n v="416852.19"/>
    <n v="70"/>
    <n v="354857.19"/>
    <n v="62"/>
    <n v="778"/>
    <n v="7885"/>
    <n v="2025"/>
    <x v="6"/>
    <s v="购后推荐"/>
    <x v="2"/>
    <x v="0"/>
  </r>
  <r>
    <x v="0"/>
    <x v="108"/>
    <x v="1"/>
    <x v="4"/>
    <x v="17"/>
    <n v="90921"/>
    <n v="72763"/>
    <n v="1496"/>
    <n v="464"/>
    <n v="1663756.21"/>
    <n v="270"/>
    <n v="1284166.21"/>
    <n v="226"/>
    <n v="4953"/>
    <n v="90921"/>
    <n v="2025"/>
    <x v="6"/>
    <s v="首页推荐-微详情"/>
    <x v="2"/>
    <x v="0"/>
  </r>
  <r>
    <x v="0"/>
    <x v="108"/>
    <x v="1"/>
    <x v="4"/>
    <x v="18"/>
    <n v="2187"/>
    <n v="1568"/>
    <n v="26"/>
    <n v="5"/>
    <n v="48955"/>
    <n v="11"/>
    <n v="36080"/>
    <n v="8"/>
    <n v="101"/>
    <n v="1138"/>
    <n v="2025"/>
    <x v="6"/>
    <s v="首页推荐-直播"/>
    <x v="2"/>
    <x v="0"/>
  </r>
  <r>
    <x v="0"/>
    <x v="108"/>
    <x v="1"/>
    <x v="4"/>
    <x v="19"/>
    <n v="3540"/>
    <n v="2690"/>
    <n v="15"/>
    <n v="1"/>
    <n v="6990"/>
    <n v="1"/>
    <n v="6990"/>
    <n v="1"/>
    <n v="52"/>
    <n v="319"/>
    <n v="2025"/>
    <x v="6"/>
    <s v="首页推荐-短视频"/>
    <x v="2"/>
    <x v="0"/>
  </r>
  <r>
    <x v="0"/>
    <x v="108"/>
    <x v="1"/>
    <x v="12"/>
    <x v="42"/>
    <n v="38158"/>
    <n v="34144"/>
    <n v="993"/>
    <n v="298"/>
    <n v="1024260.43"/>
    <n v="172"/>
    <n v="669915.43000000005"/>
    <n v="135"/>
    <n v="6179"/>
    <n v="36514"/>
    <n v="2025"/>
    <x v="6"/>
    <s v="手淘搜索-商品及其他"/>
    <x v="2"/>
    <x v="0"/>
  </r>
  <r>
    <x v="0"/>
    <x v="108"/>
    <x v="1"/>
    <x v="12"/>
    <x v="43"/>
    <n v="155"/>
    <n v="91"/>
    <n v="6"/>
    <n v="2"/>
    <n v="3490"/>
    <n v="1"/>
    <n v="0"/>
    <n v="0"/>
    <n v="17"/>
    <n v="133"/>
    <n v="2025"/>
    <x v="6"/>
    <s v="手淘搜索-直播"/>
    <x v="2"/>
    <x v="0"/>
  </r>
  <r>
    <x v="0"/>
    <x v="108"/>
    <x v="1"/>
    <x v="12"/>
    <x v="44"/>
    <n v="324"/>
    <n v="174"/>
    <n v="11"/>
    <n v="5"/>
    <n v="14165"/>
    <n v="4"/>
    <n v="14165"/>
    <n v="4"/>
    <n v="25"/>
    <n v="314"/>
    <n v="2025"/>
    <x v="6"/>
    <s v="手淘搜索-短视频"/>
    <x v="2"/>
    <x v="0"/>
  </r>
  <r>
    <x v="0"/>
    <x v="108"/>
    <x v="1"/>
    <x v="11"/>
    <x v="37"/>
    <n v="12"/>
    <n v="4"/>
    <n v="2"/>
    <n v="0"/>
    <n v="0"/>
    <n v="0"/>
    <n v="0"/>
    <n v="0"/>
    <n v="1"/>
    <n v="12"/>
    <n v="2025"/>
    <x v="6"/>
    <s v="淘特其他渠道"/>
    <x v="2"/>
    <x v="0"/>
  </r>
  <r>
    <x v="0"/>
    <x v="108"/>
    <x v="1"/>
    <x v="11"/>
    <x v="38"/>
    <n v="1"/>
    <n v="0"/>
    <n v="0"/>
    <n v="0"/>
    <n v="0"/>
    <n v="0"/>
    <n v="0"/>
    <n v="0"/>
    <n v="0"/>
    <n v="1"/>
    <n v="2025"/>
    <x v="6"/>
    <s v="淘特推荐"/>
    <x v="2"/>
    <x v="0"/>
  </r>
  <r>
    <x v="0"/>
    <x v="108"/>
    <x v="1"/>
    <x v="11"/>
    <x v="39"/>
    <n v="9"/>
    <n v="8"/>
    <n v="0"/>
    <n v="0"/>
    <n v="0"/>
    <n v="0"/>
    <n v="0"/>
    <n v="0"/>
    <n v="0"/>
    <n v="9"/>
    <n v="2025"/>
    <x v="6"/>
    <s v="淘特搜索"/>
    <x v="2"/>
    <x v="0"/>
  </r>
  <r>
    <x v="0"/>
    <x v="108"/>
    <x v="1"/>
    <x v="11"/>
    <x v="40"/>
    <n v="2"/>
    <n v="1"/>
    <n v="1"/>
    <n v="0"/>
    <n v="0"/>
    <n v="0"/>
    <n v="0"/>
    <n v="0"/>
    <n v="0"/>
    <n v="2"/>
    <n v="2025"/>
    <x v="6"/>
    <s v="淘特自主访问"/>
    <x v="2"/>
    <x v="0"/>
  </r>
  <r>
    <x v="0"/>
    <x v="108"/>
    <x v="1"/>
    <x v="13"/>
    <x v="46"/>
    <n v="8"/>
    <n v="5"/>
    <n v="0"/>
    <n v="0"/>
    <n v="0"/>
    <n v="0"/>
    <n v="0"/>
    <n v="0"/>
    <n v="0"/>
    <n v="0"/>
    <n v="2025"/>
    <x v="6"/>
    <s v="飞猪其他"/>
    <x v="2"/>
    <x v="0"/>
  </r>
  <r>
    <x v="0"/>
    <x v="108"/>
    <x v="0"/>
    <x v="5"/>
    <x v="47"/>
    <n v="190"/>
    <n v="164"/>
    <n v="0"/>
    <n v="0"/>
    <n v="0"/>
    <n v="0"/>
    <n v="0"/>
    <n v="0"/>
    <n v="0"/>
    <n v="6"/>
    <n v="2025"/>
    <x v="6"/>
    <s v="短直联动"/>
    <x v="2"/>
    <x v="0"/>
  </r>
  <r>
    <x v="0"/>
    <x v="108"/>
    <x v="0"/>
    <x v="5"/>
    <x v="41"/>
    <n v="18878"/>
    <n v="13088"/>
    <n v="233"/>
    <n v="27"/>
    <n v="0"/>
    <n v="0"/>
    <n v="0"/>
    <n v="0"/>
    <n v="526"/>
    <n v="5071"/>
    <n v="2025"/>
    <x v="6"/>
    <s v="超级直播"/>
    <x v="2"/>
    <x v="0"/>
  </r>
  <r>
    <x v="0"/>
    <x v="108"/>
    <x v="0"/>
    <x v="5"/>
    <x v="20"/>
    <n v="8078"/>
    <n v="5744"/>
    <n v="12"/>
    <n v="13"/>
    <n v="21750"/>
    <n v="2"/>
    <n v="0"/>
    <n v="0"/>
    <n v="176"/>
    <n v="5367"/>
    <n v="2025"/>
    <x v="6"/>
    <s v="超级短视频"/>
    <x v="2"/>
    <x v="0"/>
  </r>
  <r>
    <x v="0"/>
    <x v="108"/>
    <x v="0"/>
    <x v="6"/>
    <x v="45"/>
    <n v="1"/>
    <n v="0"/>
    <n v="0"/>
    <n v="0"/>
    <n v="0"/>
    <n v="0"/>
    <n v="0"/>
    <n v="0"/>
    <n v="0"/>
    <n v="1"/>
    <n v="2025"/>
    <x v="6"/>
    <s v="品牌定制"/>
    <x v="2"/>
    <x v="0"/>
  </r>
  <r>
    <x v="0"/>
    <x v="108"/>
    <x v="0"/>
    <x v="6"/>
    <x v="21"/>
    <n v="2"/>
    <n v="2"/>
    <n v="0"/>
    <n v="0"/>
    <n v="0"/>
    <n v="0"/>
    <n v="0"/>
    <n v="0"/>
    <n v="2"/>
    <n v="0"/>
    <n v="2025"/>
    <x v="6"/>
    <s v="品销宝-品牌专区"/>
    <x v="2"/>
    <x v="0"/>
  </r>
  <r>
    <x v="0"/>
    <x v="108"/>
    <x v="0"/>
    <x v="6"/>
    <x v="49"/>
    <n v="4"/>
    <n v="2"/>
    <n v="0"/>
    <n v="0"/>
    <n v="0"/>
    <n v="0"/>
    <n v="0"/>
    <n v="0"/>
    <n v="1"/>
    <n v="1"/>
    <n v="2025"/>
    <x v="6"/>
    <s v="超级全域通"/>
    <x v="2"/>
    <x v="0"/>
  </r>
  <r>
    <x v="0"/>
    <x v="108"/>
    <x v="0"/>
    <x v="0"/>
    <x v="1"/>
    <n v="446701"/>
    <n v="420983"/>
    <n v="2694"/>
    <n v="2713"/>
    <n v="1654122.15"/>
    <n v="263"/>
    <n v="1189627.1499999999"/>
    <n v="217"/>
    <n v="11512"/>
    <n v="446662"/>
    <n v="2025"/>
    <x v="6"/>
    <s v="引力魔方"/>
    <x v="2"/>
    <x v="0"/>
  </r>
  <r>
    <x v="0"/>
    <x v="108"/>
    <x v="0"/>
    <x v="0"/>
    <x v="2"/>
    <n v="139094"/>
    <n v="129830"/>
    <n v="1171"/>
    <n v="574"/>
    <n v="1954048.3"/>
    <n v="238"/>
    <n v="860398.3"/>
    <n v="152"/>
    <n v="8746"/>
    <n v="137438"/>
    <n v="2025"/>
    <x v="6"/>
    <s v="直通车"/>
    <x v="2"/>
    <x v="0"/>
  </r>
  <r>
    <x v="0"/>
    <x v="108"/>
    <x v="0"/>
    <x v="0"/>
    <x v="0"/>
    <n v="19721"/>
    <n v="18101"/>
    <n v="496"/>
    <n v="140"/>
    <n v="637806"/>
    <n v="102"/>
    <n v="463851"/>
    <n v="91"/>
    <n v="19685"/>
    <n v="9444"/>
    <n v="2025"/>
    <x v="6"/>
    <s v="万相台"/>
    <x v="2"/>
    <x v="0"/>
  </r>
  <r>
    <x v="0"/>
    <x v="108"/>
    <x v="0"/>
    <x v="7"/>
    <x v="22"/>
    <n v="7"/>
    <n v="3"/>
    <n v="0"/>
    <n v="0"/>
    <n v="0"/>
    <n v="0"/>
    <n v="0"/>
    <n v="0"/>
    <n v="3"/>
    <n v="5"/>
    <n v="2025"/>
    <x v="6"/>
    <s v="UD效果投放"/>
    <x v="2"/>
    <x v="0"/>
  </r>
  <r>
    <x v="0"/>
    <x v="108"/>
    <x v="0"/>
    <x v="7"/>
    <x v="23"/>
    <n v="84"/>
    <n v="51"/>
    <n v="3"/>
    <n v="2"/>
    <n v="0"/>
    <n v="0"/>
    <n v="0"/>
    <n v="0"/>
    <n v="10"/>
    <n v="75"/>
    <n v="2025"/>
    <x v="6"/>
    <s v="流量宝"/>
    <x v="2"/>
    <x v="0"/>
  </r>
  <r>
    <x v="0"/>
    <x v="108"/>
    <x v="0"/>
    <x v="7"/>
    <x v="24"/>
    <n v="5984"/>
    <n v="2757"/>
    <n v="75"/>
    <n v="26"/>
    <n v="324637.33"/>
    <n v="36"/>
    <n v="294804.46000000002"/>
    <n v="34"/>
    <n v="113"/>
    <n v="5898"/>
    <n v="2025"/>
    <x v="6"/>
    <s v="淘宝客"/>
    <x v="2"/>
    <x v="0"/>
  </r>
  <r>
    <x v="1"/>
    <x v="109"/>
    <x v="1"/>
    <x v="8"/>
    <x v="25"/>
    <n v="124"/>
    <n v="54"/>
    <n v="3"/>
    <n v="3"/>
    <n v="0"/>
    <n v="0"/>
    <n v="0"/>
    <n v="0"/>
    <n v="16"/>
    <n v="123"/>
    <n v="2025"/>
    <x v="7"/>
    <s v="主会场"/>
    <x v="2"/>
    <x v="2"/>
  </r>
  <r>
    <x v="1"/>
    <x v="109"/>
    <x v="1"/>
    <x v="3"/>
    <x v="12"/>
    <n v="42"/>
    <n v="21"/>
    <n v="4"/>
    <n v="0"/>
    <n v="11205"/>
    <n v="3"/>
    <n v="11205"/>
    <n v="3"/>
    <n v="36"/>
    <n v="18"/>
    <n v="2025"/>
    <x v="7"/>
    <s v="店铺超链"/>
    <x v="2"/>
    <x v="2"/>
  </r>
  <r>
    <x v="1"/>
    <x v="109"/>
    <x v="1"/>
    <x v="4"/>
    <x v="13"/>
    <n v="700"/>
    <n v="263"/>
    <n v="16"/>
    <n v="9"/>
    <n v="27710"/>
    <n v="5"/>
    <n v="23720"/>
    <n v="5"/>
    <n v="97"/>
    <n v="685"/>
    <n v="2025"/>
    <x v="7"/>
    <s v="其他猜你喜欢"/>
    <x v="2"/>
    <x v="2"/>
  </r>
  <r>
    <x v="1"/>
    <x v="109"/>
    <x v="1"/>
    <x v="4"/>
    <x v="15"/>
    <n v="124"/>
    <n v="47"/>
    <n v="6"/>
    <n v="0"/>
    <n v="15710"/>
    <n v="3"/>
    <n v="15710"/>
    <n v="3"/>
    <n v="17"/>
    <n v="118"/>
    <n v="2025"/>
    <x v="7"/>
    <s v="购中推荐"/>
    <x v="2"/>
    <x v="2"/>
  </r>
  <r>
    <x v="1"/>
    <x v="109"/>
    <x v="1"/>
    <x v="4"/>
    <x v="16"/>
    <n v="707"/>
    <n v="269"/>
    <n v="27"/>
    <n v="4"/>
    <n v="36480"/>
    <n v="7"/>
    <n v="24890"/>
    <n v="6"/>
    <n v="47"/>
    <n v="693"/>
    <n v="2025"/>
    <x v="7"/>
    <s v="购后推荐"/>
    <x v="2"/>
    <x v="2"/>
  </r>
  <r>
    <x v="1"/>
    <x v="109"/>
    <x v="1"/>
    <x v="4"/>
    <x v="17"/>
    <n v="5034"/>
    <n v="1813"/>
    <n v="72"/>
    <n v="17"/>
    <n v="99670"/>
    <n v="17"/>
    <n v="82260"/>
    <n v="14"/>
    <n v="263"/>
    <n v="5034"/>
    <n v="2025"/>
    <x v="7"/>
    <s v="首页推荐-微详情"/>
    <x v="2"/>
    <x v="2"/>
  </r>
  <r>
    <x v="1"/>
    <x v="109"/>
    <x v="1"/>
    <x v="4"/>
    <x v="19"/>
    <n v="107"/>
    <n v="47"/>
    <n v="0"/>
    <n v="0"/>
    <n v="0"/>
    <n v="0"/>
    <n v="0"/>
    <n v="0"/>
    <n v="3"/>
    <n v="16"/>
    <n v="2025"/>
    <x v="7"/>
    <s v="首页推荐-短视频"/>
    <x v="2"/>
    <x v="2"/>
  </r>
  <r>
    <x v="1"/>
    <x v="109"/>
    <x v="1"/>
    <x v="12"/>
    <x v="42"/>
    <n v="2943"/>
    <n v="2511"/>
    <n v="59"/>
    <n v="16"/>
    <n v="52785.61"/>
    <n v="11"/>
    <n v="35285.61"/>
    <n v="10"/>
    <n v="379"/>
    <n v="2855"/>
    <n v="2025"/>
    <x v="7"/>
    <s v="手淘搜索-商品及其他"/>
    <x v="2"/>
    <x v="2"/>
  </r>
  <r>
    <x v="1"/>
    <x v="109"/>
    <x v="1"/>
    <x v="12"/>
    <x v="44"/>
    <n v="17"/>
    <n v="4"/>
    <n v="1"/>
    <n v="1"/>
    <n v="0"/>
    <n v="0"/>
    <n v="0"/>
    <n v="0"/>
    <n v="0"/>
    <n v="14"/>
    <n v="2025"/>
    <x v="7"/>
    <s v="手淘搜索-短视频"/>
    <x v="2"/>
    <x v="2"/>
  </r>
  <r>
    <x v="1"/>
    <x v="109"/>
    <x v="1"/>
    <x v="11"/>
    <x v="37"/>
    <n v="1"/>
    <n v="0"/>
    <n v="0"/>
    <n v="0"/>
    <n v="0"/>
    <n v="0"/>
    <n v="0"/>
    <n v="0"/>
    <n v="0"/>
    <n v="1"/>
    <n v="2025"/>
    <x v="7"/>
    <s v="淘特其他渠道"/>
    <x v="2"/>
    <x v="2"/>
  </r>
  <r>
    <x v="1"/>
    <x v="109"/>
    <x v="1"/>
    <x v="11"/>
    <x v="39"/>
    <n v="1"/>
    <n v="1"/>
    <n v="0"/>
    <n v="0"/>
    <n v="0"/>
    <n v="0"/>
    <n v="0"/>
    <n v="0"/>
    <n v="0"/>
    <n v="1"/>
    <n v="2025"/>
    <x v="7"/>
    <s v="淘特搜索"/>
    <x v="2"/>
    <x v="2"/>
  </r>
  <r>
    <x v="1"/>
    <x v="109"/>
    <x v="0"/>
    <x v="5"/>
    <x v="41"/>
    <n v="1"/>
    <n v="1"/>
    <n v="0"/>
    <n v="0"/>
    <n v="0"/>
    <n v="0"/>
    <n v="0"/>
    <n v="0"/>
    <n v="0"/>
    <n v="1"/>
    <n v="2025"/>
    <x v="7"/>
    <s v="超级直播"/>
    <x v="2"/>
    <x v="2"/>
  </r>
  <r>
    <x v="1"/>
    <x v="109"/>
    <x v="0"/>
    <x v="5"/>
    <x v="20"/>
    <n v="9"/>
    <n v="4"/>
    <n v="0"/>
    <n v="0"/>
    <n v="0"/>
    <n v="0"/>
    <n v="0"/>
    <n v="0"/>
    <n v="0"/>
    <n v="9"/>
    <n v="2025"/>
    <x v="7"/>
    <s v="超级短视频"/>
    <x v="2"/>
    <x v="2"/>
  </r>
  <r>
    <x v="1"/>
    <x v="109"/>
    <x v="0"/>
    <x v="6"/>
    <x v="49"/>
    <n v="1"/>
    <n v="0"/>
    <n v="0"/>
    <n v="0"/>
    <n v="0"/>
    <n v="0"/>
    <n v="0"/>
    <n v="0"/>
    <n v="0"/>
    <n v="1"/>
    <n v="2025"/>
    <x v="7"/>
    <s v="超级全域通"/>
    <x v="2"/>
    <x v="2"/>
  </r>
  <r>
    <x v="1"/>
    <x v="109"/>
    <x v="0"/>
    <x v="0"/>
    <x v="0"/>
    <n v="737"/>
    <n v="598"/>
    <n v="20"/>
    <n v="4"/>
    <n v="28710"/>
    <n v="8"/>
    <n v="28710"/>
    <n v="8"/>
    <n v="736"/>
    <n v="399"/>
    <n v="2025"/>
    <x v="7"/>
    <s v="万相台"/>
    <x v="2"/>
    <x v="2"/>
  </r>
  <r>
    <x v="1"/>
    <x v="109"/>
    <x v="0"/>
    <x v="0"/>
    <x v="1"/>
    <n v="15016"/>
    <n v="5934"/>
    <n v="44"/>
    <n v="76"/>
    <n v="48890"/>
    <n v="7"/>
    <n v="35190"/>
    <n v="5"/>
    <n v="242"/>
    <n v="15016"/>
    <n v="2025"/>
    <x v="7"/>
    <s v="引力魔方"/>
    <x v="2"/>
    <x v="2"/>
  </r>
  <r>
    <x v="1"/>
    <x v="109"/>
    <x v="0"/>
    <x v="0"/>
    <x v="2"/>
    <n v="3492"/>
    <n v="2748"/>
    <n v="23"/>
    <n v="11"/>
    <n v="106905"/>
    <n v="7"/>
    <n v="17405"/>
    <n v="5"/>
    <n v="221"/>
    <n v="3455"/>
    <n v="2025"/>
    <x v="7"/>
    <s v="直通车"/>
    <x v="2"/>
    <x v="2"/>
  </r>
  <r>
    <x v="1"/>
    <x v="109"/>
    <x v="0"/>
    <x v="7"/>
    <x v="23"/>
    <n v="2"/>
    <n v="1"/>
    <n v="0"/>
    <n v="0"/>
    <n v="0"/>
    <n v="0"/>
    <n v="0"/>
    <n v="0"/>
    <n v="1"/>
    <n v="1"/>
    <n v="2025"/>
    <x v="7"/>
    <s v="流量宝"/>
    <x v="2"/>
    <x v="2"/>
  </r>
  <r>
    <x v="1"/>
    <x v="109"/>
    <x v="0"/>
    <x v="7"/>
    <x v="24"/>
    <n v="348"/>
    <n v="64"/>
    <n v="5"/>
    <n v="3"/>
    <n v="48700.480000000003"/>
    <n v="7"/>
    <n v="41710.480000000003"/>
    <n v="7"/>
    <n v="10"/>
    <n v="347"/>
    <n v="2025"/>
    <x v="7"/>
    <s v="淘宝客"/>
    <x v="2"/>
    <x v="2"/>
  </r>
  <r>
    <x v="1"/>
    <x v="110"/>
    <x v="1"/>
    <x v="8"/>
    <x v="25"/>
    <n v="113"/>
    <n v="36"/>
    <n v="5"/>
    <n v="0"/>
    <n v="11530"/>
    <n v="2"/>
    <n v="4990"/>
    <n v="1"/>
    <n v="8"/>
    <n v="113"/>
    <n v="2025"/>
    <x v="7"/>
    <s v="主会场"/>
    <x v="2"/>
    <x v="2"/>
  </r>
  <r>
    <x v="1"/>
    <x v="110"/>
    <x v="1"/>
    <x v="8"/>
    <x v="26"/>
    <n v="1"/>
    <n v="1"/>
    <n v="0"/>
    <n v="0"/>
    <n v="0"/>
    <n v="0"/>
    <n v="0"/>
    <n v="0"/>
    <n v="1"/>
    <n v="1"/>
    <n v="2025"/>
    <x v="7"/>
    <s v="榜单会场"/>
    <x v="2"/>
    <x v="2"/>
  </r>
  <r>
    <x v="1"/>
    <x v="110"/>
    <x v="1"/>
    <x v="1"/>
    <x v="3"/>
    <n v="1"/>
    <n v="1"/>
    <n v="0"/>
    <n v="0"/>
    <n v="0"/>
    <n v="0"/>
    <n v="0"/>
    <n v="0"/>
    <n v="1"/>
    <n v="1"/>
    <n v="2025"/>
    <x v="7"/>
    <s v="其他入口榜单"/>
    <x v="2"/>
    <x v="2"/>
  </r>
  <r>
    <x v="1"/>
    <x v="110"/>
    <x v="1"/>
    <x v="3"/>
    <x v="12"/>
    <n v="54"/>
    <n v="31"/>
    <n v="1"/>
    <n v="2"/>
    <n v="3700"/>
    <n v="1"/>
    <n v="3700"/>
    <n v="1"/>
    <n v="48"/>
    <n v="23"/>
    <n v="2025"/>
    <x v="7"/>
    <s v="店铺超链"/>
    <x v="2"/>
    <x v="2"/>
  </r>
  <r>
    <x v="1"/>
    <x v="110"/>
    <x v="1"/>
    <x v="4"/>
    <x v="13"/>
    <n v="859"/>
    <n v="390"/>
    <n v="34"/>
    <n v="13"/>
    <n v="43780"/>
    <n v="6"/>
    <n v="23710"/>
    <n v="4"/>
    <n v="123"/>
    <n v="824"/>
    <n v="2025"/>
    <x v="7"/>
    <s v="其他猜你喜欢"/>
    <x v="2"/>
    <x v="2"/>
  </r>
  <r>
    <x v="1"/>
    <x v="110"/>
    <x v="1"/>
    <x v="4"/>
    <x v="15"/>
    <n v="151"/>
    <n v="71"/>
    <n v="7"/>
    <n v="1"/>
    <n v="0"/>
    <n v="0"/>
    <n v="0"/>
    <n v="0"/>
    <n v="12"/>
    <n v="134"/>
    <n v="2025"/>
    <x v="7"/>
    <s v="购中推荐"/>
    <x v="2"/>
    <x v="2"/>
  </r>
  <r>
    <x v="1"/>
    <x v="110"/>
    <x v="1"/>
    <x v="4"/>
    <x v="16"/>
    <n v="1028"/>
    <n v="506"/>
    <n v="33"/>
    <n v="2"/>
    <n v="14890"/>
    <n v="2"/>
    <n v="9900"/>
    <n v="1"/>
    <n v="61"/>
    <n v="869"/>
    <n v="2025"/>
    <x v="7"/>
    <s v="购后推荐"/>
    <x v="2"/>
    <x v="2"/>
  </r>
  <r>
    <x v="1"/>
    <x v="110"/>
    <x v="1"/>
    <x v="4"/>
    <x v="17"/>
    <n v="6172"/>
    <n v="2709"/>
    <n v="77"/>
    <n v="24"/>
    <n v="96195"/>
    <n v="15"/>
    <n v="48520"/>
    <n v="10"/>
    <n v="301"/>
    <n v="6172"/>
    <n v="2025"/>
    <x v="7"/>
    <s v="首页推荐-微详情"/>
    <x v="2"/>
    <x v="2"/>
  </r>
  <r>
    <x v="1"/>
    <x v="110"/>
    <x v="1"/>
    <x v="4"/>
    <x v="19"/>
    <n v="203"/>
    <n v="121"/>
    <n v="0"/>
    <n v="1"/>
    <n v="0"/>
    <n v="0"/>
    <n v="0"/>
    <n v="0"/>
    <n v="1"/>
    <n v="24"/>
    <n v="2025"/>
    <x v="7"/>
    <s v="首页推荐-短视频"/>
    <x v="2"/>
    <x v="2"/>
  </r>
  <r>
    <x v="1"/>
    <x v="110"/>
    <x v="1"/>
    <x v="12"/>
    <x v="42"/>
    <n v="3230"/>
    <n v="2743"/>
    <n v="56"/>
    <n v="19"/>
    <n v="81450"/>
    <n v="13"/>
    <n v="62520"/>
    <n v="13"/>
    <n v="396"/>
    <n v="3142"/>
    <n v="2025"/>
    <x v="7"/>
    <s v="手淘搜索-商品及其他"/>
    <x v="2"/>
    <x v="2"/>
  </r>
  <r>
    <x v="1"/>
    <x v="110"/>
    <x v="1"/>
    <x v="12"/>
    <x v="44"/>
    <n v="28"/>
    <n v="14"/>
    <n v="2"/>
    <n v="1"/>
    <n v="0"/>
    <n v="0"/>
    <n v="0"/>
    <n v="0"/>
    <n v="1"/>
    <n v="24"/>
    <n v="2025"/>
    <x v="7"/>
    <s v="手淘搜索-短视频"/>
    <x v="2"/>
    <x v="2"/>
  </r>
  <r>
    <x v="1"/>
    <x v="110"/>
    <x v="1"/>
    <x v="11"/>
    <x v="37"/>
    <n v="1"/>
    <n v="0"/>
    <n v="0"/>
    <n v="0"/>
    <n v="0"/>
    <n v="0"/>
    <n v="0"/>
    <n v="0"/>
    <n v="0"/>
    <n v="1"/>
    <n v="2025"/>
    <x v="7"/>
    <s v="淘特其他渠道"/>
    <x v="2"/>
    <x v="2"/>
  </r>
  <r>
    <x v="1"/>
    <x v="110"/>
    <x v="1"/>
    <x v="11"/>
    <x v="39"/>
    <n v="1"/>
    <n v="1"/>
    <n v="0"/>
    <n v="0"/>
    <n v="0"/>
    <n v="0"/>
    <n v="0"/>
    <n v="0"/>
    <n v="0"/>
    <n v="1"/>
    <n v="2025"/>
    <x v="7"/>
    <s v="淘特搜索"/>
    <x v="2"/>
    <x v="2"/>
  </r>
  <r>
    <x v="1"/>
    <x v="110"/>
    <x v="0"/>
    <x v="5"/>
    <x v="20"/>
    <n v="17"/>
    <n v="5"/>
    <n v="0"/>
    <n v="0"/>
    <n v="0"/>
    <n v="0"/>
    <n v="0"/>
    <n v="0"/>
    <n v="0"/>
    <n v="17"/>
    <n v="2025"/>
    <x v="7"/>
    <s v="超级短视频"/>
    <x v="2"/>
    <x v="2"/>
  </r>
  <r>
    <x v="1"/>
    <x v="110"/>
    <x v="0"/>
    <x v="0"/>
    <x v="0"/>
    <n v="751"/>
    <n v="593"/>
    <n v="25"/>
    <n v="7"/>
    <n v="11262"/>
    <n v="4"/>
    <n v="11190"/>
    <n v="3"/>
    <n v="747"/>
    <n v="367"/>
    <n v="2025"/>
    <x v="7"/>
    <s v="万相台"/>
    <x v="2"/>
    <x v="2"/>
  </r>
  <r>
    <x v="1"/>
    <x v="110"/>
    <x v="0"/>
    <x v="0"/>
    <x v="1"/>
    <n v="30164"/>
    <n v="14900"/>
    <n v="121"/>
    <n v="200"/>
    <n v="88255"/>
    <n v="13"/>
    <n v="58825"/>
    <n v="9"/>
    <n v="564"/>
    <n v="30163"/>
    <n v="2025"/>
    <x v="7"/>
    <s v="引力魔方"/>
    <x v="2"/>
    <x v="2"/>
  </r>
  <r>
    <x v="1"/>
    <x v="110"/>
    <x v="0"/>
    <x v="0"/>
    <x v="2"/>
    <n v="4556"/>
    <n v="3600"/>
    <n v="34"/>
    <n v="25"/>
    <n v="85095"/>
    <n v="7"/>
    <n v="59665"/>
    <n v="6"/>
    <n v="340"/>
    <n v="4496"/>
    <n v="2025"/>
    <x v="7"/>
    <s v="直通车"/>
    <x v="2"/>
    <x v="2"/>
  </r>
  <r>
    <x v="1"/>
    <x v="110"/>
    <x v="0"/>
    <x v="7"/>
    <x v="22"/>
    <n v="1"/>
    <n v="1"/>
    <n v="0"/>
    <n v="0"/>
    <n v="0"/>
    <n v="0"/>
    <n v="0"/>
    <n v="0"/>
    <n v="0"/>
    <n v="1"/>
    <n v="2025"/>
    <x v="7"/>
    <s v="UD效果投放"/>
    <x v="2"/>
    <x v="2"/>
  </r>
  <r>
    <x v="1"/>
    <x v="110"/>
    <x v="0"/>
    <x v="7"/>
    <x v="23"/>
    <n v="9"/>
    <n v="4"/>
    <n v="0"/>
    <n v="0"/>
    <n v="0"/>
    <n v="0"/>
    <n v="0"/>
    <n v="0"/>
    <n v="2"/>
    <n v="9"/>
    <n v="2025"/>
    <x v="7"/>
    <s v="流量宝"/>
    <x v="2"/>
    <x v="2"/>
  </r>
  <r>
    <x v="1"/>
    <x v="110"/>
    <x v="0"/>
    <x v="7"/>
    <x v="24"/>
    <n v="425"/>
    <n v="84"/>
    <n v="4"/>
    <n v="0"/>
    <n v="33240"/>
    <n v="5"/>
    <n v="33240"/>
    <n v="5"/>
    <n v="8"/>
    <n v="424"/>
    <n v="2025"/>
    <x v="7"/>
    <s v="淘宝客"/>
    <x v="2"/>
    <x v="2"/>
  </r>
  <r>
    <x v="1"/>
    <x v="111"/>
    <x v="1"/>
    <x v="8"/>
    <x v="25"/>
    <n v="118"/>
    <n v="53"/>
    <n v="4"/>
    <n v="0"/>
    <n v="1990"/>
    <n v="1"/>
    <n v="1990"/>
    <n v="1"/>
    <n v="6"/>
    <n v="117"/>
    <n v="2025"/>
    <x v="7"/>
    <s v="主会场"/>
    <x v="2"/>
    <x v="2"/>
  </r>
  <r>
    <x v="1"/>
    <x v="111"/>
    <x v="1"/>
    <x v="1"/>
    <x v="3"/>
    <n v="1"/>
    <n v="1"/>
    <n v="0"/>
    <n v="0"/>
    <n v="0"/>
    <n v="0"/>
    <n v="0"/>
    <n v="0"/>
    <n v="0"/>
    <n v="1"/>
    <n v="2025"/>
    <x v="7"/>
    <s v="其他入口榜单"/>
    <x v="2"/>
    <x v="2"/>
  </r>
  <r>
    <x v="1"/>
    <x v="111"/>
    <x v="1"/>
    <x v="3"/>
    <x v="12"/>
    <n v="56"/>
    <n v="26"/>
    <n v="3"/>
    <n v="2"/>
    <n v="0"/>
    <n v="0"/>
    <n v="0"/>
    <n v="0"/>
    <n v="50"/>
    <n v="26"/>
    <n v="2025"/>
    <x v="7"/>
    <s v="店铺超链"/>
    <x v="2"/>
    <x v="2"/>
  </r>
  <r>
    <x v="1"/>
    <x v="111"/>
    <x v="1"/>
    <x v="4"/>
    <x v="13"/>
    <n v="949"/>
    <n v="464"/>
    <n v="40"/>
    <n v="8"/>
    <n v="52570"/>
    <n v="8"/>
    <n v="39180"/>
    <n v="8"/>
    <n v="135"/>
    <n v="917"/>
    <n v="2025"/>
    <x v="7"/>
    <s v="其他猜你喜欢"/>
    <x v="2"/>
    <x v="2"/>
  </r>
  <r>
    <x v="1"/>
    <x v="111"/>
    <x v="1"/>
    <x v="4"/>
    <x v="15"/>
    <n v="161"/>
    <n v="64"/>
    <n v="7"/>
    <n v="2"/>
    <n v="5350"/>
    <n v="1"/>
    <n v="5350"/>
    <n v="1"/>
    <n v="16"/>
    <n v="160"/>
    <n v="2025"/>
    <x v="7"/>
    <s v="购中推荐"/>
    <x v="2"/>
    <x v="2"/>
  </r>
  <r>
    <x v="1"/>
    <x v="111"/>
    <x v="1"/>
    <x v="4"/>
    <x v="16"/>
    <n v="1051"/>
    <n v="465"/>
    <n v="32"/>
    <n v="15"/>
    <n v="32730"/>
    <n v="7"/>
    <n v="32730"/>
    <n v="7"/>
    <n v="83"/>
    <n v="1044"/>
    <n v="2025"/>
    <x v="7"/>
    <s v="购后推荐"/>
    <x v="2"/>
    <x v="2"/>
  </r>
  <r>
    <x v="1"/>
    <x v="111"/>
    <x v="1"/>
    <x v="4"/>
    <x v="17"/>
    <n v="7989"/>
    <n v="4135"/>
    <n v="93"/>
    <n v="30"/>
    <n v="82660"/>
    <n v="16"/>
    <n v="59945"/>
    <n v="14"/>
    <n v="305"/>
    <n v="7989"/>
    <n v="2025"/>
    <x v="7"/>
    <s v="首页推荐-微详情"/>
    <x v="2"/>
    <x v="2"/>
  </r>
  <r>
    <x v="1"/>
    <x v="111"/>
    <x v="1"/>
    <x v="4"/>
    <x v="18"/>
    <n v="2"/>
    <n v="0"/>
    <n v="0"/>
    <n v="0"/>
    <n v="0"/>
    <n v="0"/>
    <n v="0"/>
    <n v="0"/>
    <n v="0"/>
    <n v="0"/>
    <n v="2025"/>
    <x v="7"/>
    <s v="首页推荐-直播"/>
    <x v="2"/>
    <x v="2"/>
  </r>
  <r>
    <x v="1"/>
    <x v="111"/>
    <x v="1"/>
    <x v="4"/>
    <x v="19"/>
    <n v="159"/>
    <n v="94"/>
    <n v="0"/>
    <n v="0"/>
    <n v="0"/>
    <n v="0"/>
    <n v="0"/>
    <n v="0"/>
    <n v="0"/>
    <n v="11"/>
    <n v="2025"/>
    <x v="7"/>
    <s v="首页推荐-短视频"/>
    <x v="2"/>
    <x v="2"/>
  </r>
  <r>
    <x v="1"/>
    <x v="111"/>
    <x v="1"/>
    <x v="12"/>
    <x v="42"/>
    <n v="2913"/>
    <n v="2427"/>
    <n v="52"/>
    <n v="24"/>
    <n v="101425"/>
    <n v="18"/>
    <n v="69585"/>
    <n v="16"/>
    <n v="380"/>
    <n v="2830"/>
    <n v="2025"/>
    <x v="7"/>
    <s v="手淘搜索-商品及其他"/>
    <x v="2"/>
    <x v="2"/>
  </r>
  <r>
    <x v="1"/>
    <x v="111"/>
    <x v="1"/>
    <x v="12"/>
    <x v="44"/>
    <n v="28"/>
    <n v="10"/>
    <n v="6"/>
    <n v="0"/>
    <n v="4490"/>
    <n v="1"/>
    <n v="4490"/>
    <n v="1"/>
    <n v="3"/>
    <n v="27"/>
    <n v="2025"/>
    <x v="7"/>
    <s v="手淘搜索-短视频"/>
    <x v="2"/>
    <x v="2"/>
  </r>
  <r>
    <x v="1"/>
    <x v="111"/>
    <x v="1"/>
    <x v="11"/>
    <x v="40"/>
    <n v="1"/>
    <n v="0"/>
    <n v="0"/>
    <n v="0"/>
    <n v="0"/>
    <n v="0"/>
    <n v="0"/>
    <n v="0"/>
    <n v="0"/>
    <n v="1"/>
    <n v="2025"/>
    <x v="7"/>
    <s v="淘特自主访问"/>
    <x v="2"/>
    <x v="2"/>
  </r>
  <r>
    <x v="1"/>
    <x v="111"/>
    <x v="0"/>
    <x v="5"/>
    <x v="41"/>
    <n v="1"/>
    <n v="1"/>
    <n v="0"/>
    <n v="0"/>
    <n v="0"/>
    <n v="0"/>
    <n v="0"/>
    <n v="0"/>
    <n v="0"/>
    <n v="1"/>
    <n v="2025"/>
    <x v="7"/>
    <s v="超级直播"/>
    <x v="2"/>
    <x v="2"/>
  </r>
  <r>
    <x v="1"/>
    <x v="111"/>
    <x v="0"/>
    <x v="5"/>
    <x v="20"/>
    <n v="28"/>
    <n v="12"/>
    <n v="0"/>
    <n v="0"/>
    <n v="0"/>
    <n v="0"/>
    <n v="0"/>
    <n v="0"/>
    <n v="0"/>
    <n v="28"/>
    <n v="2025"/>
    <x v="7"/>
    <s v="超级短视频"/>
    <x v="2"/>
    <x v="2"/>
  </r>
  <r>
    <x v="1"/>
    <x v="111"/>
    <x v="0"/>
    <x v="0"/>
    <x v="0"/>
    <n v="760"/>
    <n v="619"/>
    <n v="25"/>
    <n v="5"/>
    <n v="21699"/>
    <n v="4"/>
    <n v="17449"/>
    <n v="4"/>
    <n v="756"/>
    <n v="405"/>
    <n v="2025"/>
    <x v="7"/>
    <s v="万相台"/>
    <x v="2"/>
    <x v="2"/>
  </r>
  <r>
    <x v="1"/>
    <x v="111"/>
    <x v="0"/>
    <x v="0"/>
    <x v="1"/>
    <n v="31902"/>
    <n v="17626"/>
    <n v="95"/>
    <n v="173"/>
    <n v="54780"/>
    <n v="7"/>
    <n v="22740"/>
    <n v="5"/>
    <n v="521"/>
    <n v="31900"/>
    <n v="2025"/>
    <x v="7"/>
    <s v="引力魔方"/>
    <x v="2"/>
    <x v="2"/>
  </r>
  <r>
    <x v="1"/>
    <x v="111"/>
    <x v="0"/>
    <x v="0"/>
    <x v="2"/>
    <n v="3832"/>
    <n v="2954"/>
    <n v="39"/>
    <n v="8"/>
    <n v="74560"/>
    <n v="14"/>
    <n v="51685"/>
    <n v="10"/>
    <n v="289"/>
    <n v="3777"/>
    <n v="2025"/>
    <x v="7"/>
    <s v="直通车"/>
    <x v="2"/>
    <x v="2"/>
  </r>
  <r>
    <x v="1"/>
    <x v="111"/>
    <x v="0"/>
    <x v="7"/>
    <x v="23"/>
    <n v="1"/>
    <n v="0"/>
    <n v="0"/>
    <n v="0"/>
    <n v="0"/>
    <n v="0"/>
    <n v="0"/>
    <n v="0"/>
    <n v="0"/>
    <n v="1"/>
    <n v="2025"/>
    <x v="7"/>
    <s v="流量宝"/>
    <x v="2"/>
    <x v="2"/>
  </r>
  <r>
    <x v="1"/>
    <x v="111"/>
    <x v="0"/>
    <x v="7"/>
    <x v="24"/>
    <n v="462"/>
    <n v="121"/>
    <n v="2"/>
    <n v="1"/>
    <n v="0"/>
    <n v="0"/>
    <n v="0"/>
    <n v="0"/>
    <n v="4"/>
    <n v="462"/>
    <n v="2025"/>
    <x v="7"/>
    <s v="淘宝客"/>
    <x v="2"/>
    <x v="2"/>
  </r>
  <r>
    <x v="1"/>
    <x v="112"/>
    <x v="1"/>
    <x v="8"/>
    <x v="25"/>
    <n v="248"/>
    <n v="120"/>
    <n v="2"/>
    <n v="4"/>
    <n v="28220"/>
    <n v="2"/>
    <n v="19870"/>
    <n v="1"/>
    <n v="23"/>
    <n v="247"/>
    <n v="2025"/>
    <x v="7"/>
    <s v="主会场"/>
    <x v="2"/>
    <x v="2"/>
  </r>
  <r>
    <x v="1"/>
    <x v="112"/>
    <x v="1"/>
    <x v="8"/>
    <x v="26"/>
    <n v="1"/>
    <n v="0"/>
    <n v="0"/>
    <n v="0"/>
    <n v="0"/>
    <n v="0"/>
    <n v="0"/>
    <n v="0"/>
    <n v="0"/>
    <n v="1"/>
    <n v="2025"/>
    <x v="7"/>
    <s v="榜单会场"/>
    <x v="2"/>
    <x v="2"/>
  </r>
  <r>
    <x v="1"/>
    <x v="112"/>
    <x v="1"/>
    <x v="3"/>
    <x v="12"/>
    <n v="74"/>
    <n v="44"/>
    <n v="1"/>
    <n v="0"/>
    <n v="0"/>
    <n v="0"/>
    <n v="0"/>
    <n v="0"/>
    <n v="64"/>
    <n v="31"/>
    <n v="2025"/>
    <x v="7"/>
    <s v="店铺超链"/>
    <x v="2"/>
    <x v="2"/>
  </r>
  <r>
    <x v="1"/>
    <x v="112"/>
    <x v="1"/>
    <x v="4"/>
    <x v="13"/>
    <n v="885"/>
    <n v="400"/>
    <n v="21"/>
    <n v="13"/>
    <n v="12220"/>
    <n v="3"/>
    <n v="12220"/>
    <n v="3"/>
    <n v="133"/>
    <n v="831"/>
    <n v="2025"/>
    <x v="7"/>
    <s v="其他猜你喜欢"/>
    <x v="2"/>
    <x v="2"/>
  </r>
  <r>
    <x v="1"/>
    <x v="112"/>
    <x v="1"/>
    <x v="4"/>
    <x v="15"/>
    <n v="215"/>
    <n v="109"/>
    <n v="11"/>
    <n v="1"/>
    <n v="10375"/>
    <n v="3"/>
    <n v="10375"/>
    <n v="3"/>
    <n v="18"/>
    <n v="189"/>
    <n v="2025"/>
    <x v="7"/>
    <s v="购中推荐"/>
    <x v="2"/>
    <x v="2"/>
  </r>
  <r>
    <x v="1"/>
    <x v="112"/>
    <x v="1"/>
    <x v="4"/>
    <x v="16"/>
    <n v="989"/>
    <n v="492"/>
    <n v="24"/>
    <n v="6"/>
    <n v="24830"/>
    <n v="5"/>
    <n v="12360"/>
    <n v="3"/>
    <n v="53"/>
    <n v="784"/>
    <n v="2025"/>
    <x v="7"/>
    <s v="购后推荐"/>
    <x v="2"/>
    <x v="2"/>
  </r>
  <r>
    <x v="1"/>
    <x v="112"/>
    <x v="1"/>
    <x v="4"/>
    <x v="17"/>
    <n v="7830"/>
    <n v="3777"/>
    <n v="93"/>
    <n v="37"/>
    <n v="97985.01"/>
    <n v="21"/>
    <n v="91545.01"/>
    <n v="21"/>
    <n v="335"/>
    <n v="7830"/>
    <n v="2025"/>
    <x v="7"/>
    <s v="首页推荐-微详情"/>
    <x v="2"/>
    <x v="2"/>
  </r>
  <r>
    <x v="1"/>
    <x v="112"/>
    <x v="1"/>
    <x v="4"/>
    <x v="18"/>
    <n v="206"/>
    <n v="123"/>
    <n v="0"/>
    <n v="0"/>
    <n v="0"/>
    <n v="0"/>
    <n v="0"/>
    <n v="0"/>
    <n v="5"/>
    <n v="102"/>
    <n v="2025"/>
    <x v="7"/>
    <s v="首页推荐-直播"/>
    <x v="2"/>
    <x v="2"/>
  </r>
  <r>
    <x v="1"/>
    <x v="112"/>
    <x v="1"/>
    <x v="4"/>
    <x v="19"/>
    <n v="312"/>
    <n v="179"/>
    <n v="1"/>
    <n v="1"/>
    <n v="0"/>
    <n v="0"/>
    <n v="0"/>
    <n v="0"/>
    <n v="6"/>
    <n v="53"/>
    <n v="2025"/>
    <x v="7"/>
    <s v="首页推荐-短视频"/>
    <x v="2"/>
    <x v="2"/>
  </r>
  <r>
    <x v="1"/>
    <x v="112"/>
    <x v="1"/>
    <x v="12"/>
    <x v="42"/>
    <n v="2733"/>
    <n v="2246"/>
    <n v="82"/>
    <n v="15"/>
    <n v="154796.18"/>
    <n v="29"/>
    <n v="85336.18"/>
    <n v="21"/>
    <n v="397"/>
    <n v="2641"/>
    <n v="2025"/>
    <x v="7"/>
    <s v="手淘搜索-商品及其他"/>
    <x v="2"/>
    <x v="2"/>
  </r>
  <r>
    <x v="1"/>
    <x v="112"/>
    <x v="1"/>
    <x v="12"/>
    <x v="43"/>
    <n v="26"/>
    <n v="16"/>
    <n v="1"/>
    <n v="0"/>
    <n v="0"/>
    <n v="0"/>
    <n v="0"/>
    <n v="0"/>
    <n v="2"/>
    <n v="24"/>
    <n v="2025"/>
    <x v="7"/>
    <s v="手淘搜索-直播"/>
    <x v="2"/>
    <x v="2"/>
  </r>
  <r>
    <x v="1"/>
    <x v="112"/>
    <x v="1"/>
    <x v="12"/>
    <x v="44"/>
    <n v="21"/>
    <n v="10"/>
    <n v="1"/>
    <n v="1"/>
    <n v="0"/>
    <n v="0"/>
    <n v="0"/>
    <n v="0"/>
    <n v="2"/>
    <n v="19"/>
    <n v="2025"/>
    <x v="7"/>
    <s v="手淘搜索-短视频"/>
    <x v="2"/>
    <x v="2"/>
  </r>
  <r>
    <x v="1"/>
    <x v="112"/>
    <x v="1"/>
    <x v="13"/>
    <x v="46"/>
    <n v="1"/>
    <n v="1"/>
    <n v="0"/>
    <n v="0"/>
    <n v="0"/>
    <n v="0"/>
    <n v="0"/>
    <n v="0"/>
    <n v="0"/>
    <n v="0"/>
    <n v="2025"/>
    <x v="7"/>
    <s v="飞猪其他"/>
    <x v="2"/>
    <x v="2"/>
  </r>
  <r>
    <x v="1"/>
    <x v="112"/>
    <x v="0"/>
    <x v="5"/>
    <x v="47"/>
    <n v="2"/>
    <n v="2"/>
    <n v="0"/>
    <n v="0"/>
    <n v="0"/>
    <n v="0"/>
    <n v="0"/>
    <n v="0"/>
    <n v="0"/>
    <n v="0"/>
    <n v="2025"/>
    <x v="7"/>
    <s v="短直联动"/>
    <x v="2"/>
    <x v="2"/>
  </r>
  <r>
    <x v="1"/>
    <x v="112"/>
    <x v="0"/>
    <x v="5"/>
    <x v="41"/>
    <n v="991"/>
    <n v="702"/>
    <n v="17"/>
    <n v="1"/>
    <n v="0"/>
    <n v="0"/>
    <n v="0"/>
    <n v="0"/>
    <n v="37"/>
    <n v="343"/>
    <n v="2025"/>
    <x v="7"/>
    <s v="超级直播"/>
    <x v="2"/>
    <x v="2"/>
  </r>
  <r>
    <x v="1"/>
    <x v="112"/>
    <x v="0"/>
    <x v="5"/>
    <x v="20"/>
    <n v="20"/>
    <n v="13"/>
    <n v="0"/>
    <n v="0"/>
    <n v="0"/>
    <n v="0"/>
    <n v="0"/>
    <n v="0"/>
    <n v="0"/>
    <n v="20"/>
    <n v="2025"/>
    <x v="7"/>
    <s v="超级短视频"/>
    <x v="2"/>
    <x v="2"/>
  </r>
  <r>
    <x v="1"/>
    <x v="112"/>
    <x v="0"/>
    <x v="0"/>
    <x v="0"/>
    <n v="873"/>
    <n v="688"/>
    <n v="25"/>
    <n v="2"/>
    <n v="60060"/>
    <n v="7"/>
    <n v="33170"/>
    <n v="6"/>
    <n v="868"/>
    <n v="463"/>
    <n v="2025"/>
    <x v="7"/>
    <s v="万相台"/>
    <x v="2"/>
    <x v="2"/>
  </r>
  <r>
    <x v="1"/>
    <x v="112"/>
    <x v="0"/>
    <x v="0"/>
    <x v="1"/>
    <n v="22252"/>
    <n v="9863"/>
    <n v="88"/>
    <n v="128"/>
    <n v="31725"/>
    <n v="8"/>
    <n v="29635"/>
    <n v="7"/>
    <n v="438"/>
    <n v="22251"/>
    <n v="2025"/>
    <x v="7"/>
    <s v="引力魔方"/>
    <x v="2"/>
    <x v="2"/>
  </r>
  <r>
    <x v="1"/>
    <x v="112"/>
    <x v="0"/>
    <x v="0"/>
    <x v="2"/>
    <n v="4756"/>
    <n v="3860"/>
    <n v="57"/>
    <n v="21"/>
    <n v="112750"/>
    <n v="20"/>
    <n v="64290"/>
    <n v="16"/>
    <n v="310"/>
    <n v="4695"/>
    <n v="2025"/>
    <x v="7"/>
    <s v="直通车"/>
    <x v="2"/>
    <x v="2"/>
  </r>
  <r>
    <x v="1"/>
    <x v="112"/>
    <x v="0"/>
    <x v="7"/>
    <x v="22"/>
    <n v="1"/>
    <n v="1"/>
    <n v="0"/>
    <n v="0"/>
    <n v="0"/>
    <n v="0"/>
    <n v="0"/>
    <n v="0"/>
    <n v="0"/>
    <n v="0"/>
    <n v="2025"/>
    <x v="7"/>
    <s v="UD效果投放"/>
    <x v="2"/>
    <x v="2"/>
  </r>
  <r>
    <x v="1"/>
    <x v="112"/>
    <x v="0"/>
    <x v="7"/>
    <x v="23"/>
    <n v="12"/>
    <n v="8"/>
    <n v="0"/>
    <n v="0"/>
    <n v="0"/>
    <n v="0"/>
    <n v="0"/>
    <n v="0"/>
    <n v="1"/>
    <n v="11"/>
    <n v="2025"/>
    <x v="7"/>
    <s v="流量宝"/>
    <x v="2"/>
    <x v="2"/>
  </r>
  <r>
    <x v="1"/>
    <x v="112"/>
    <x v="0"/>
    <x v="7"/>
    <x v="24"/>
    <n v="576"/>
    <n v="219"/>
    <n v="6"/>
    <n v="2"/>
    <n v="41311.18"/>
    <n v="9"/>
    <n v="37321.18"/>
    <n v="9"/>
    <n v="4"/>
    <n v="575"/>
    <n v="2025"/>
    <x v="7"/>
    <s v="淘宝客"/>
    <x v="2"/>
    <x v="2"/>
  </r>
  <r>
    <x v="1"/>
    <x v="113"/>
    <x v="1"/>
    <x v="8"/>
    <x v="25"/>
    <n v="182"/>
    <n v="95"/>
    <n v="2"/>
    <n v="0"/>
    <n v="0"/>
    <n v="0"/>
    <n v="0"/>
    <n v="0"/>
    <n v="12"/>
    <n v="182"/>
    <n v="2025"/>
    <x v="7"/>
    <s v="主会场"/>
    <x v="2"/>
    <x v="2"/>
  </r>
  <r>
    <x v="1"/>
    <x v="113"/>
    <x v="1"/>
    <x v="1"/>
    <x v="3"/>
    <n v="2"/>
    <n v="1"/>
    <n v="0"/>
    <n v="0"/>
    <n v="0"/>
    <n v="0"/>
    <n v="0"/>
    <n v="0"/>
    <n v="1"/>
    <n v="2"/>
    <n v="2025"/>
    <x v="7"/>
    <s v="其他入口榜单"/>
    <x v="2"/>
    <x v="2"/>
  </r>
  <r>
    <x v="1"/>
    <x v="113"/>
    <x v="1"/>
    <x v="1"/>
    <x v="28"/>
    <n v="3"/>
    <n v="1"/>
    <n v="0"/>
    <n v="0"/>
    <n v="3980"/>
    <n v="2"/>
    <n v="0"/>
    <n v="0"/>
    <n v="1"/>
    <n v="3"/>
    <n v="2025"/>
    <x v="7"/>
    <s v="商品详情页入口榜单"/>
    <x v="2"/>
    <x v="2"/>
  </r>
  <r>
    <x v="1"/>
    <x v="113"/>
    <x v="1"/>
    <x v="3"/>
    <x v="11"/>
    <n v="1"/>
    <n v="1"/>
    <n v="0"/>
    <n v="0"/>
    <n v="0"/>
    <n v="0"/>
    <n v="0"/>
    <n v="0"/>
    <n v="0"/>
    <n v="1"/>
    <n v="2025"/>
    <x v="7"/>
    <s v="商品详情页头图推荐"/>
    <x v="2"/>
    <x v="2"/>
  </r>
  <r>
    <x v="1"/>
    <x v="113"/>
    <x v="1"/>
    <x v="3"/>
    <x v="12"/>
    <n v="58"/>
    <n v="35"/>
    <n v="3"/>
    <n v="1"/>
    <n v="4695"/>
    <n v="1"/>
    <n v="4695"/>
    <n v="1"/>
    <n v="51"/>
    <n v="29"/>
    <n v="2025"/>
    <x v="7"/>
    <s v="店铺超链"/>
    <x v="2"/>
    <x v="2"/>
  </r>
  <r>
    <x v="1"/>
    <x v="113"/>
    <x v="1"/>
    <x v="4"/>
    <x v="13"/>
    <n v="911"/>
    <n v="400"/>
    <n v="24"/>
    <n v="12"/>
    <n v="16955"/>
    <n v="4"/>
    <n v="5480"/>
    <n v="2"/>
    <n v="129"/>
    <n v="860"/>
    <n v="2025"/>
    <x v="7"/>
    <s v="其他猜你喜欢"/>
    <x v="2"/>
    <x v="2"/>
  </r>
  <r>
    <x v="1"/>
    <x v="113"/>
    <x v="1"/>
    <x v="4"/>
    <x v="15"/>
    <n v="196"/>
    <n v="111"/>
    <n v="6"/>
    <n v="0"/>
    <n v="0"/>
    <n v="0"/>
    <n v="0"/>
    <n v="0"/>
    <n v="17"/>
    <n v="131"/>
    <n v="2025"/>
    <x v="7"/>
    <s v="购中推荐"/>
    <x v="2"/>
    <x v="2"/>
  </r>
  <r>
    <x v="1"/>
    <x v="113"/>
    <x v="1"/>
    <x v="4"/>
    <x v="16"/>
    <n v="1175"/>
    <n v="726"/>
    <n v="23"/>
    <n v="8"/>
    <n v="6490"/>
    <n v="2"/>
    <n v="6490"/>
    <n v="2"/>
    <n v="45"/>
    <n v="678"/>
    <n v="2025"/>
    <x v="7"/>
    <s v="购后推荐"/>
    <x v="2"/>
    <x v="2"/>
  </r>
  <r>
    <x v="1"/>
    <x v="113"/>
    <x v="1"/>
    <x v="4"/>
    <x v="17"/>
    <n v="7855"/>
    <n v="4124"/>
    <n v="88"/>
    <n v="40"/>
    <n v="95150"/>
    <n v="22"/>
    <n v="65310"/>
    <n v="16"/>
    <n v="314"/>
    <n v="7855"/>
    <n v="2025"/>
    <x v="7"/>
    <s v="首页推荐-微详情"/>
    <x v="2"/>
    <x v="2"/>
  </r>
  <r>
    <x v="1"/>
    <x v="113"/>
    <x v="1"/>
    <x v="4"/>
    <x v="18"/>
    <n v="175"/>
    <n v="82"/>
    <n v="2"/>
    <n v="0"/>
    <n v="0"/>
    <n v="0"/>
    <n v="0"/>
    <n v="0"/>
    <n v="6"/>
    <n v="83"/>
    <n v="2025"/>
    <x v="7"/>
    <s v="首页推荐-直播"/>
    <x v="2"/>
    <x v="2"/>
  </r>
  <r>
    <x v="1"/>
    <x v="113"/>
    <x v="1"/>
    <x v="4"/>
    <x v="19"/>
    <n v="598"/>
    <n v="390"/>
    <n v="1"/>
    <n v="1"/>
    <n v="0"/>
    <n v="0"/>
    <n v="0"/>
    <n v="0"/>
    <n v="11"/>
    <n v="47"/>
    <n v="2025"/>
    <x v="7"/>
    <s v="首页推荐-短视频"/>
    <x v="2"/>
    <x v="2"/>
  </r>
  <r>
    <x v="1"/>
    <x v="113"/>
    <x v="1"/>
    <x v="12"/>
    <x v="42"/>
    <n v="3518"/>
    <n v="3007"/>
    <n v="76"/>
    <n v="24"/>
    <n v="128185"/>
    <n v="19"/>
    <n v="50775"/>
    <n v="12"/>
    <n v="459"/>
    <n v="3408"/>
    <n v="2025"/>
    <x v="7"/>
    <s v="手淘搜索-商品及其他"/>
    <x v="2"/>
    <x v="2"/>
  </r>
  <r>
    <x v="1"/>
    <x v="113"/>
    <x v="1"/>
    <x v="12"/>
    <x v="43"/>
    <n v="37"/>
    <n v="23"/>
    <n v="1"/>
    <n v="0"/>
    <n v="0"/>
    <n v="0"/>
    <n v="0"/>
    <n v="0"/>
    <n v="2"/>
    <n v="35"/>
    <n v="2025"/>
    <x v="7"/>
    <s v="手淘搜索-直播"/>
    <x v="2"/>
    <x v="2"/>
  </r>
  <r>
    <x v="1"/>
    <x v="113"/>
    <x v="1"/>
    <x v="12"/>
    <x v="44"/>
    <n v="40"/>
    <n v="21"/>
    <n v="0"/>
    <n v="0"/>
    <n v="0"/>
    <n v="0"/>
    <n v="0"/>
    <n v="0"/>
    <n v="2"/>
    <n v="36"/>
    <n v="2025"/>
    <x v="7"/>
    <s v="手淘搜索-短视频"/>
    <x v="2"/>
    <x v="2"/>
  </r>
  <r>
    <x v="1"/>
    <x v="113"/>
    <x v="1"/>
    <x v="11"/>
    <x v="37"/>
    <n v="1"/>
    <n v="0"/>
    <n v="0"/>
    <n v="0"/>
    <n v="0"/>
    <n v="0"/>
    <n v="0"/>
    <n v="0"/>
    <n v="0"/>
    <n v="1"/>
    <n v="2025"/>
    <x v="7"/>
    <s v="淘特其他渠道"/>
    <x v="2"/>
    <x v="2"/>
  </r>
  <r>
    <x v="1"/>
    <x v="113"/>
    <x v="1"/>
    <x v="11"/>
    <x v="39"/>
    <n v="1"/>
    <n v="1"/>
    <n v="0"/>
    <n v="0"/>
    <n v="0"/>
    <n v="0"/>
    <n v="0"/>
    <n v="0"/>
    <n v="0"/>
    <n v="1"/>
    <n v="2025"/>
    <x v="7"/>
    <s v="淘特搜索"/>
    <x v="2"/>
    <x v="2"/>
  </r>
  <r>
    <x v="1"/>
    <x v="113"/>
    <x v="1"/>
    <x v="13"/>
    <x v="46"/>
    <n v="1"/>
    <n v="1"/>
    <n v="0"/>
    <n v="0"/>
    <n v="0"/>
    <n v="0"/>
    <n v="0"/>
    <n v="0"/>
    <n v="0"/>
    <n v="0"/>
    <n v="2025"/>
    <x v="7"/>
    <s v="飞猪其他"/>
    <x v="2"/>
    <x v="2"/>
  </r>
  <r>
    <x v="1"/>
    <x v="113"/>
    <x v="0"/>
    <x v="5"/>
    <x v="41"/>
    <n v="829"/>
    <n v="472"/>
    <n v="11"/>
    <n v="2"/>
    <n v="0"/>
    <n v="0"/>
    <n v="0"/>
    <n v="0"/>
    <n v="39"/>
    <n v="404"/>
    <n v="2025"/>
    <x v="7"/>
    <s v="超级直播"/>
    <x v="2"/>
    <x v="2"/>
  </r>
  <r>
    <x v="1"/>
    <x v="113"/>
    <x v="0"/>
    <x v="5"/>
    <x v="20"/>
    <n v="38"/>
    <n v="19"/>
    <n v="0"/>
    <n v="0"/>
    <n v="0"/>
    <n v="0"/>
    <n v="0"/>
    <n v="0"/>
    <n v="1"/>
    <n v="37"/>
    <n v="2025"/>
    <x v="7"/>
    <s v="超级短视频"/>
    <x v="2"/>
    <x v="2"/>
  </r>
  <r>
    <x v="1"/>
    <x v="113"/>
    <x v="0"/>
    <x v="0"/>
    <x v="0"/>
    <n v="907"/>
    <n v="723"/>
    <n v="32"/>
    <n v="8"/>
    <n v="13992"/>
    <n v="6"/>
    <n v="13992"/>
    <n v="6"/>
    <n v="903"/>
    <n v="455"/>
    <n v="2025"/>
    <x v="7"/>
    <s v="万相台"/>
    <x v="2"/>
    <x v="2"/>
  </r>
  <r>
    <x v="1"/>
    <x v="113"/>
    <x v="0"/>
    <x v="0"/>
    <x v="1"/>
    <n v="26413"/>
    <n v="12259"/>
    <n v="95"/>
    <n v="138"/>
    <n v="52515"/>
    <n v="8"/>
    <n v="18500"/>
    <n v="5"/>
    <n v="525"/>
    <n v="26412"/>
    <n v="2025"/>
    <x v="7"/>
    <s v="引力魔方"/>
    <x v="2"/>
    <x v="2"/>
  </r>
  <r>
    <x v="1"/>
    <x v="113"/>
    <x v="0"/>
    <x v="0"/>
    <x v="2"/>
    <n v="4907"/>
    <n v="4015"/>
    <n v="53"/>
    <n v="18"/>
    <n v="66365"/>
    <n v="11"/>
    <n v="35030"/>
    <n v="8"/>
    <n v="341"/>
    <n v="4828"/>
    <n v="2025"/>
    <x v="7"/>
    <s v="直通车"/>
    <x v="2"/>
    <x v="2"/>
  </r>
  <r>
    <x v="1"/>
    <x v="113"/>
    <x v="0"/>
    <x v="7"/>
    <x v="23"/>
    <n v="8"/>
    <n v="4"/>
    <n v="0"/>
    <n v="0"/>
    <n v="0"/>
    <n v="0"/>
    <n v="0"/>
    <n v="0"/>
    <n v="0"/>
    <n v="8"/>
    <n v="2025"/>
    <x v="7"/>
    <s v="流量宝"/>
    <x v="2"/>
    <x v="2"/>
  </r>
  <r>
    <x v="1"/>
    <x v="113"/>
    <x v="0"/>
    <x v="7"/>
    <x v="24"/>
    <n v="494"/>
    <n v="208"/>
    <n v="3"/>
    <n v="4"/>
    <n v="5980"/>
    <n v="2"/>
    <n v="3990"/>
    <n v="1"/>
    <n v="4"/>
    <n v="488"/>
    <n v="2025"/>
    <x v="7"/>
    <s v="淘宝客"/>
    <x v="2"/>
    <x v="2"/>
  </r>
  <r>
    <x v="1"/>
    <x v="114"/>
    <x v="1"/>
    <x v="8"/>
    <x v="25"/>
    <n v="175"/>
    <n v="92"/>
    <n v="2"/>
    <n v="0"/>
    <n v="0"/>
    <n v="0"/>
    <n v="0"/>
    <n v="0"/>
    <n v="18"/>
    <n v="175"/>
    <n v="2025"/>
    <x v="7"/>
    <s v="主会场"/>
    <x v="2"/>
    <x v="2"/>
  </r>
  <r>
    <x v="1"/>
    <x v="114"/>
    <x v="1"/>
    <x v="8"/>
    <x v="26"/>
    <n v="1"/>
    <n v="0"/>
    <n v="0"/>
    <n v="0"/>
    <n v="0"/>
    <n v="0"/>
    <n v="0"/>
    <n v="0"/>
    <n v="0"/>
    <n v="1"/>
    <n v="2025"/>
    <x v="7"/>
    <s v="榜单会场"/>
    <x v="2"/>
    <x v="2"/>
  </r>
  <r>
    <x v="1"/>
    <x v="114"/>
    <x v="1"/>
    <x v="1"/>
    <x v="3"/>
    <n v="5"/>
    <n v="4"/>
    <n v="0"/>
    <n v="0"/>
    <n v="0"/>
    <n v="0"/>
    <n v="0"/>
    <n v="0"/>
    <n v="0"/>
    <n v="5"/>
    <n v="2025"/>
    <x v="7"/>
    <s v="其他入口榜单"/>
    <x v="2"/>
    <x v="2"/>
  </r>
  <r>
    <x v="1"/>
    <x v="114"/>
    <x v="1"/>
    <x v="3"/>
    <x v="12"/>
    <n v="57"/>
    <n v="35"/>
    <n v="2"/>
    <n v="1"/>
    <n v="0"/>
    <n v="0"/>
    <n v="0"/>
    <n v="0"/>
    <n v="46"/>
    <n v="26"/>
    <n v="2025"/>
    <x v="7"/>
    <s v="店铺超链"/>
    <x v="2"/>
    <x v="2"/>
  </r>
  <r>
    <x v="1"/>
    <x v="114"/>
    <x v="1"/>
    <x v="4"/>
    <x v="13"/>
    <n v="911"/>
    <n v="405"/>
    <n v="31"/>
    <n v="12"/>
    <n v="43805"/>
    <n v="9"/>
    <n v="41455"/>
    <n v="8"/>
    <n v="128"/>
    <n v="852"/>
    <n v="2025"/>
    <x v="7"/>
    <s v="其他猜你喜欢"/>
    <x v="2"/>
    <x v="2"/>
  </r>
  <r>
    <x v="1"/>
    <x v="114"/>
    <x v="1"/>
    <x v="4"/>
    <x v="15"/>
    <n v="369"/>
    <n v="252"/>
    <n v="6"/>
    <n v="0"/>
    <n v="7240"/>
    <n v="2"/>
    <n v="3440"/>
    <n v="1"/>
    <n v="9"/>
    <n v="174"/>
    <n v="2025"/>
    <x v="7"/>
    <s v="购中推荐"/>
    <x v="2"/>
    <x v="2"/>
  </r>
  <r>
    <x v="1"/>
    <x v="114"/>
    <x v="1"/>
    <x v="4"/>
    <x v="16"/>
    <n v="2353"/>
    <n v="1853"/>
    <n v="27"/>
    <n v="6"/>
    <n v="32945"/>
    <n v="3"/>
    <n v="11000"/>
    <n v="2"/>
    <n v="62"/>
    <n v="827"/>
    <n v="2025"/>
    <x v="7"/>
    <s v="购后推荐"/>
    <x v="2"/>
    <x v="2"/>
  </r>
  <r>
    <x v="1"/>
    <x v="114"/>
    <x v="1"/>
    <x v="4"/>
    <x v="17"/>
    <n v="10467"/>
    <n v="6356"/>
    <n v="89"/>
    <n v="33"/>
    <n v="104215"/>
    <n v="17"/>
    <n v="97130"/>
    <n v="16"/>
    <n v="333"/>
    <n v="10467"/>
    <n v="2025"/>
    <x v="7"/>
    <s v="首页推荐-微详情"/>
    <x v="2"/>
    <x v="2"/>
  </r>
  <r>
    <x v="1"/>
    <x v="114"/>
    <x v="1"/>
    <x v="4"/>
    <x v="18"/>
    <n v="175"/>
    <n v="101"/>
    <n v="2"/>
    <n v="0"/>
    <n v="0"/>
    <n v="0"/>
    <n v="0"/>
    <n v="0"/>
    <n v="8"/>
    <n v="70"/>
    <n v="2025"/>
    <x v="7"/>
    <s v="首页推荐-直播"/>
    <x v="2"/>
    <x v="2"/>
  </r>
  <r>
    <x v="1"/>
    <x v="114"/>
    <x v="1"/>
    <x v="4"/>
    <x v="19"/>
    <n v="567"/>
    <n v="383"/>
    <n v="1"/>
    <n v="0"/>
    <n v="0"/>
    <n v="0"/>
    <n v="0"/>
    <n v="0"/>
    <n v="4"/>
    <n v="49"/>
    <n v="2025"/>
    <x v="7"/>
    <s v="首页推荐-短视频"/>
    <x v="2"/>
    <x v="2"/>
  </r>
  <r>
    <x v="1"/>
    <x v="114"/>
    <x v="1"/>
    <x v="12"/>
    <x v="42"/>
    <n v="3164"/>
    <n v="2646"/>
    <n v="63"/>
    <n v="24"/>
    <n v="100255"/>
    <n v="19"/>
    <n v="39235"/>
    <n v="11"/>
    <n v="432"/>
    <n v="3033"/>
    <n v="2025"/>
    <x v="7"/>
    <s v="手淘搜索-商品及其他"/>
    <x v="2"/>
    <x v="2"/>
  </r>
  <r>
    <x v="1"/>
    <x v="114"/>
    <x v="1"/>
    <x v="12"/>
    <x v="43"/>
    <n v="26"/>
    <n v="16"/>
    <n v="0"/>
    <n v="0"/>
    <n v="0"/>
    <n v="0"/>
    <n v="0"/>
    <n v="0"/>
    <n v="1"/>
    <n v="23"/>
    <n v="2025"/>
    <x v="7"/>
    <s v="手淘搜索-直播"/>
    <x v="2"/>
    <x v="2"/>
  </r>
  <r>
    <x v="1"/>
    <x v="114"/>
    <x v="1"/>
    <x v="12"/>
    <x v="44"/>
    <n v="33"/>
    <n v="12"/>
    <n v="3"/>
    <n v="0"/>
    <n v="0"/>
    <n v="0"/>
    <n v="0"/>
    <n v="0"/>
    <n v="6"/>
    <n v="32"/>
    <n v="2025"/>
    <x v="7"/>
    <s v="手淘搜索-短视频"/>
    <x v="2"/>
    <x v="2"/>
  </r>
  <r>
    <x v="1"/>
    <x v="114"/>
    <x v="1"/>
    <x v="11"/>
    <x v="37"/>
    <n v="1"/>
    <n v="0"/>
    <n v="0"/>
    <n v="0"/>
    <n v="0"/>
    <n v="0"/>
    <n v="0"/>
    <n v="0"/>
    <n v="0"/>
    <n v="1"/>
    <n v="2025"/>
    <x v="7"/>
    <s v="淘特其他渠道"/>
    <x v="2"/>
    <x v="2"/>
  </r>
  <r>
    <x v="1"/>
    <x v="114"/>
    <x v="0"/>
    <x v="5"/>
    <x v="47"/>
    <n v="9"/>
    <n v="9"/>
    <n v="0"/>
    <n v="0"/>
    <n v="0"/>
    <n v="0"/>
    <n v="0"/>
    <n v="0"/>
    <n v="0"/>
    <n v="1"/>
    <n v="2025"/>
    <x v="7"/>
    <s v="短直联动"/>
    <x v="2"/>
    <x v="2"/>
  </r>
  <r>
    <x v="1"/>
    <x v="114"/>
    <x v="0"/>
    <x v="5"/>
    <x v="41"/>
    <n v="1193"/>
    <n v="960"/>
    <n v="10"/>
    <n v="1"/>
    <n v="0"/>
    <n v="0"/>
    <n v="0"/>
    <n v="0"/>
    <n v="45"/>
    <n v="266"/>
    <n v="2025"/>
    <x v="7"/>
    <s v="超级直播"/>
    <x v="2"/>
    <x v="2"/>
  </r>
  <r>
    <x v="1"/>
    <x v="114"/>
    <x v="0"/>
    <x v="5"/>
    <x v="20"/>
    <n v="52"/>
    <n v="33"/>
    <n v="0"/>
    <n v="1"/>
    <n v="0"/>
    <n v="0"/>
    <n v="0"/>
    <n v="0"/>
    <n v="0"/>
    <n v="51"/>
    <n v="2025"/>
    <x v="7"/>
    <s v="超级短视频"/>
    <x v="2"/>
    <x v="2"/>
  </r>
  <r>
    <x v="1"/>
    <x v="114"/>
    <x v="0"/>
    <x v="6"/>
    <x v="49"/>
    <n v="1"/>
    <n v="0"/>
    <n v="0"/>
    <n v="0"/>
    <n v="0"/>
    <n v="0"/>
    <n v="0"/>
    <n v="0"/>
    <n v="0"/>
    <n v="1"/>
    <n v="2025"/>
    <x v="7"/>
    <s v="超级全域通"/>
    <x v="2"/>
    <x v="2"/>
  </r>
  <r>
    <x v="1"/>
    <x v="114"/>
    <x v="0"/>
    <x v="0"/>
    <x v="0"/>
    <n v="1199"/>
    <n v="1038"/>
    <n v="30"/>
    <n v="7"/>
    <n v="25443"/>
    <n v="8"/>
    <n v="25443"/>
    <n v="8"/>
    <n v="1191"/>
    <n v="725"/>
    <n v="2025"/>
    <x v="7"/>
    <s v="万相台"/>
    <x v="2"/>
    <x v="2"/>
  </r>
  <r>
    <x v="1"/>
    <x v="114"/>
    <x v="0"/>
    <x v="0"/>
    <x v="1"/>
    <n v="24473"/>
    <n v="11043"/>
    <n v="112"/>
    <n v="119"/>
    <n v="40240"/>
    <n v="7"/>
    <n v="18900"/>
    <n v="5"/>
    <n v="449"/>
    <n v="24473"/>
    <n v="2025"/>
    <x v="7"/>
    <s v="引力魔方"/>
    <x v="2"/>
    <x v="2"/>
  </r>
  <r>
    <x v="1"/>
    <x v="114"/>
    <x v="0"/>
    <x v="0"/>
    <x v="2"/>
    <n v="5464"/>
    <n v="4461"/>
    <n v="57"/>
    <n v="25"/>
    <n v="65470"/>
    <n v="11"/>
    <n v="39540"/>
    <n v="10"/>
    <n v="360"/>
    <n v="5400"/>
    <n v="2025"/>
    <x v="7"/>
    <s v="直通车"/>
    <x v="2"/>
    <x v="2"/>
  </r>
  <r>
    <x v="1"/>
    <x v="114"/>
    <x v="0"/>
    <x v="7"/>
    <x v="23"/>
    <n v="14"/>
    <n v="13"/>
    <n v="0"/>
    <n v="0"/>
    <n v="0"/>
    <n v="0"/>
    <n v="0"/>
    <n v="0"/>
    <n v="5"/>
    <n v="13"/>
    <n v="2025"/>
    <x v="7"/>
    <s v="流量宝"/>
    <x v="2"/>
    <x v="2"/>
  </r>
  <r>
    <x v="1"/>
    <x v="114"/>
    <x v="0"/>
    <x v="7"/>
    <x v="24"/>
    <n v="439"/>
    <n v="134"/>
    <n v="5"/>
    <n v="4"/>
    <n v="0"/>
    <n v="0"/>
    <n v="0"/>
    <n v="0"/>
    <n v="8"/>
    <n v="435"/>
    <n v="2025"/>
    <x v="7"/>
    <s v="淘宝客"/>
    <x v="2"/>
    <x v="2"/>
  </r>
  <r>
    <x v="1"/>
    <x v="115"/>
    <x v="1"/>
    <x v="8"/>
    <x v="25"/>
    <n v="211"/>
    <n v="121"/>
    <n v="5"/>
    <n v="3"/>
    <n v="3940"/>
    <n v="1"/>
    <n v="3940"/>
    <n v="1"/>
    <n v="14"/>
    <n v="211"/>
    <n v="2025"/>
    <x v="7"/>
    <s v="主会场"/>
    <x v="2"/>
    <x v="2"/>
  </r>
  <r>
    <x v="1"/>
    <x v="115"/>
    <x v="1"/>
    <x v="1"/>
    <x v="3"/>
    <n v="1"/>
    <n v="1"/>
    <n v="0"/>
    <n v="0"/>
    <n v="0"/>
    <n v="0"/>
    <n v="0"/>
    <n v="0"/>
    <n v="0"/>
    <n v="1"/>
    <n v="2025"/>
    <x v="7"/>
    <s v="其他入口榜单"/>
    <x v="2"/>
    <x v="2"/>
  </r>
  <r>
    <x v="1"/>
    <x v="115"/>
    <x v="1"/>
    <x v="1"/>
    <x v="28"/>
    <n v="1"/>
    <n v="1"/>
    <n v="0"/>
    <n v="0"/>
    <n v="0"/>
    <n v="0"/>
    <n v="0"/>
    <n v="0"/>
    <n v="1"/>
    <n v="1"/>
    <n v="2025"/>
    <x v="7"/>
    <s v="商品详情页入口榜单"/>
    <x v="2"/>
    <x v="2"/>
  </r>
  <r>
    <x v="1"/>
    <x v="115"/>
    <x v="1"/>
    <x v="3"/>
    <x v="12"/>
    <n v="55"/>
    <n v="30"/>
    <n v="3"/>
    <n v="0"/>
    <n v="0"/>
    <n v="0"/>
    <n v="0"/>
    <n v="0"/>
    <n v="47"/>
    <n v="23"/>
    <n v="2025"/>
    <x v="7"/>
    <s v="店铺超链"/>
    <x v="2"/>
    <x v="2"/>
  </r>
  <r>
    <x v="1"/>
    <x v="115"/>
    <x v="1"/>
    <x v="4"/>
    <x v="13"/>
    <n v="976"/>
    <n v="413"/>
    <n v="39"/>
    <n v="16"/>
    <n v="54015"/>
    <n v="12"/>
    <n v="46130"/>
    <n v="11"/>
    <n v="133"/>
    <n v="952"/>
    <n v="2025"/>
    <x v="7"/>
    <s v="其他猜你喜欢"/>
    <x v="2"/>
    <x v="2"/>
  </r>
  <r>
    <x v="1"/>
    <x v="115"/>
    <x v="1"/>
    <x v="4"/>
    <x v="15"/>
    <n v="223"/>
    <n v="124"/>
    <n v="9"/>
    <n v="1"/>
    <n v="12195"/>
    <n v="3"/>
    <n v="12195"/>
    <n v="3"/>
    <n v="10"/>
    <n v="178"/>
    <n v="2025"/>
    <x v="7"/>
    <s v="购中推荐"/>
    <x v="2"/>
    <x v="2"/>
  </r>
  <r>
    <x v="1"/>
    <x v="115"/>
    <x v="1"/>
    <x v="4"/>
    <x v="16"/>
    <n v="1148"/>
    <n v="651"/>
    <n v="41"/>
    <n v="4"/>
    <n v="32685"/>
    <n v="7"/>
    <n v="19920"/>
    <n v="4"/>
    <n v="54"/>
    <n v="832"/>
    <n v="2025"/>
    <x v="7"/>
    <s v="购后推荐"/>
    <x v="2"/>
    <x v="2"/>
  </r>
  <r>
    <x v="1"/>
    <x v="115"/>
    <x v="1"/>
    <x v="4"/>
    <x v="17"/>
    <n v="8122"/>
    <n v="4005"/>
    <n v="94"/>
    <n v="41"/>
    <n v="75090"/>
    <n v="13"/>
    <n v="33090"/>
    <n v="8"/>
    <n v="335"/>
    <n v="8122"/>
    <n v="2025"/>
    <x v="7"/>
    <s v="首页推荐-微详情"/>
    <x v="2"/>
    <x v="2"/>
  </r>
  <r>
    <x v="1"/>
    <x v="115"/>
    <x v="1"/>
    <x v="4"/>
    <x v="18"/>
    <n v="4"/>
    <n v="2"/>
    <n v="0"/>
    <n v="0"/>
    <n v="0"/>
    <n v="0"/>
    <n v="0"/>
    <n v="0"/>
    <n v="0"/>
    <n v="3"/>
    <n v="2025"/>
    <x v="7"/>
    <s v="首页推荐-直播"/>
    <x v="2"/>
    <x v="2"/>
  </r>
  <r>
    <x v="1"/>
    <x v="115"/>
    <x v="1"/>
    <x v="4"/>
    <x v="19"/>
    <n v="318"/>
    <n v="225"/>
    <n v="2"/>
    <n v="1"/>
    <n v="6990"/>
    <n v="1"/>
    <n v="6990"/>
    <n v="1"/>
    <n v="5"/>
    <n v="35"/>
    <n v="2025"/>
    <x v="7"/>
    <s v="首页推荐-短视频"/>
    <x v="2"/>
    <x v="2"/>
  </r>
  <r>
    <x v="1"/>
    <x v="115"/>
    <x v="1"/>
    <x v="12"/>
    <x v="42"/>
    <n v="2572"/>
    <n v="2110"/>
    <n v="45"/>
    <n v="15"/>
    <n v="151225"/>
    <n v="22"/>
    <n v="62415"/>
    <n v="16"/>
    <n v="373"/>
    <n v="2463"/>
    <n v="2025"/>
    <x v="7"/>
    <s v="手淘搜索-商品及其他"/>
    <x v="2"/>
    <x v="2"/>
  </r>
  <r>
    <x v="1"/>
    <x v="115"/>
    <x v="1"/>
    <x v="12"/>
    <x v="44"/>
    <n v="27"/>
    <n v="15"/>
    <n v="1"/>
    <n v="0"/>
    <n v="0"/>
    <n v="0"/>
    <n v="0"/>
    <n v="0"/>
    <n v="2"/>
    <n v="26"/>
    <n v="2025"/>
    <x v="7"/>
    <s v="手淘搜索-短视频"/>
    <x v="2"/>
    <x v="2"/>
  </r>
  <r>
    <x v="1"/>
    <x v="115"/>
    <x v="1"/>
    <x v="11"/>
    <x v="37"/>
    <n v="1"/>
    <n v="0"/>
    <n v="0"/>
    <n v="0"/>
    <n v="0"/>
    <n v="0"/>
    <n v="0"/>
    <n v="0"/>
    <n v="0"/>
    <n v="1"/>
    <n v="2025"/>
    <x v="7"/>
    <s v="淘特其他渠道"/>
    <x v="2"/>
    <x v="2"/>
  </r>
  <r>
    <x v="1"/>
    <x v="115"/>
    <x v="0"/>
    <x v="5"/>
    <x v="41"/>
    <n v="14"/>
    <n v="6"/>
    <n v="0"/>
    <n v="0"/>
    <n v="0"/>
    <n v="0"/>
    <n v="0"/>
    <n v="0"/>
    <n v="0"/>
    <n v="7"/>
    <n v="2025"/>
    <x v="7"/>
    <s v="超级直播"/>
    <x v="2"/>
    <x v="2"/>
  </r>
  <r>
    <x v="1"/>
    <x v="115"/>
    <x v="0"/>
    <x v="5"/>
    <x v="20"/>
    <n v="26"/>
    <n v="11"/>
    <n v="0"/>
    <n v="0"/>
    <n v="0"/>
    <n v="0"/>
    <n v="0"/>
    <n v="0"/>
    <n v="0"/>
    <n v="26"/>
    <n v="2025"/>
    <x v="7"/>
    <s v="超级短视频"/>
    <x v="2"/>
    <x v="2"/>
  </r>
  <r>
    <x v="1"/>
    <x v="115"/>
    <x v="0"/>
    <x v="6"/>
    <x v="49"/>
    <n v="1"/>
    <n v="1"/>
    <n v="0"/>
    <n v="0"/>
    <n v="0"/>
    <n v="0"/>
    <n v="0"/>
    <n v="0"/>
    <n v="0"/>
    <n v="1"/>
    <n v="2025"/>
    <x v="7"/>
    <s v="超级全域通"/>
    <x v="2"/>
    <x v="2"/>
  </r>
  <r>
    <x v="1"/>
    <x v="115"/>
    <x v="0"/>
    <x v="0"/>
    <x v="0"/>
    <n v="987"/>
    <n v="794"/>
    <n v="32"/>
    <n v="7"/>
    <n v="29875"/>
    <n v="6"/>
    <n v="29875"/>
    <n v="6"/>
    <n v="981"/>
    <n v="495"/>
    <n v="2025"/>
    <x v="7"/>
    <s v="万相台"/>
    <x v="2"/>
    <x v="2"/>
  </r>
  <r>
    <x v="1"/>
    <x v="115"/>
    <x v="0"/>
    <x v="0"/>
    <x v="1"/>
    <n v="24787"/>
    <n v="11458"/>
    <n v="116"/>
    <n v="131"/>
    <n v="77235"/>
    <n v="14"/>
    <n v="41460"/>
    <n v="10"/>
    <n v="449"/>
    <n v="24786"/>
    <n v="2025"/>
    <x v="7"/>
    <s v="引力魔方"/>
    <x v="2"/>
    <x v="2"/>
  </r>
  <r>
    <x v="1"/>
    <x v="115"/>
    <x v="0"/>
    <x v="0"/>
    <x v="2"/>
    <n v="5558"/>
    <n v="4558"/>
    <n v="56"/>
    <n v="20"/>
    <n v="71695"/>
    <n v="13"/>
    <n v="41245"/>
    <n v="11"/>
    <n v="289"/>
    <n v="5505"/>
    <n v="2025"/>
    <x v="7"/>
    <s v="直通车"/>
    <x v="2"/>
    <x v="2"/>
  </r>
  <r>
    <x v="1"/>
    <x v="115"/>
    <x v="0"/>
    <x v="7"/>
    <x v="22"/>
    <n v="1"/>
    <n v="0"/>
    <n v="0"/>
    <n v="0"/>
    <n v="0"/>
    <n v="0"/>
    <n v="0"/>
    <n v="0"/>
    <n v="0"/>
    <n v="1"/>
    <n v="2025"/>
    <x v="7"/>
    <s v="UD效果投放"/>
    <x v="2"/>
    <x v="2"/>
  </r>
  <r>
    <x v="1"/>
    <x v="115"/>
    <x v="0"/>
    <x v="7"/>
    <x v="23"/>
    <n v="4"/>
    <n v="3"/>
    <n v="0"/>
    <n v="0"/>
    <n v="0"/>
    <n v="0"/>
    <n v="0"/>
    <n v="0"/>
    <n v="0"/>
    <n v="4"/>
    <n v="2025"/>
    <x v="7"/>
    <s v="流量宝"/>
    <x v="2"/>
    <x v="2"/>
  </r>
  <r>
    <x v="1"/>
    <x v="115"/>
    <x v="0"/>
    <x v="7"/>
    <x v="24"/>
    <n v="449"/>
    <n v="136"/>
    <n v="4"/>
    <n v="1"/>
    <n v="16830"/>
    <n v="3"/>
    <n v="16830"/>
    <n v="3"/>
    <n v="3"/>
    <n v="447"/>
    <n v="2025"/>
    <x v="7"/>
    <s v="淘宝客"/>
    <x v="2"/>
    <x v="2"/>
  </r>
  <r>
    <x v="1"/>
    <x v="116"/>
    <x v="1"/>
    <x v="8"/>
    <x v="25"/>
    <n v="159"/>
    <n v="65"/>
    <n v="5"/>
    <n v="3"/>
    <n v="0"/>
    <n v="0"/>
    <n v="0"/>
    <n v="0"/>
    <n v="6"/>
    <n v="158"/>
    <n v="2025"/>
    <x v="7"/>
    <s v="主会场"/>
    <x v="2"/>
    <x v="2"/>
  </r>
  <r>
    <x v="1"/>
    <x v="116"/>
    <x v="1"/>
    <x v="1"/>
    <x v="3"/>
    <n v="2"/>
    <n v="2"/>
    <n v="0"/>
    <n v="0"/>
    <n v="0"/>
    <n v="0"/>
    <n v="0"/>
    <n v="0"/>
    <n v="0"/>
    <n v="2"/>
    <n v="2025"/>
    <x v="7"/>
    <s v="其他入口榜单"/>
    <x v="2"/>
    <x v="2"/>
  </r>
  <r>
    <x v="1"/>
    <x v="116"/>
    <x v="1"/>
    <x v="3"/>
    <x v="12"/>
    <n v="49"/>
    <n v="18"/>
    <n v="6"/>
    <n v="0"/>
    <n v="10820"/>
    <n v="3"/>
    <n v="10820"/>
    <n v="3"/>
    <n v="37"/>
    <n v="30"/>
    <n v="2025"/>
    <x v="7"/>
    <s v="店铺超链"/>
    <x v="2"/>
    <x v="2"/>
  </r>
  <r>
    <x v="1"/>
    <x v="116"/>
    <x v="1"/>
    <x v="4"/>
    <x v="13"/>
    <n v="868"/>
    <n v="400"/>
    <n v="29"/>
    <n v="6"/>
    <n v="38745"/>
    <n v="5"/>
    <n v="38745"/>
    <n v="5"/>
    <n v="95"/>
    <n v="825"/>
    <n v="2025"/>
    <x v="7"/>
    <s v="其他猜你喜欢"/>
    <x v="2"/>
    <x v="2"/>
  </r>
  <r>
    <x v="1"/>
    <x v="116"/>
    <x v="1"/>
    <x v="4"/>
    <x v="15"/>
    <n v="226"/>
    <n v="150"/>
    <n v="4"/>
    <n v="0"/>
    <n v="0"/>
    <n v="0"/>
    <n v="0"/>
    <n v="0"/>
    <n v="10"/>
    <n v="128"/>
    <n v="2025"/>
    <x v="7"/>
    <s v="购中推荐"/>
    <x v="2"/>
    <x v="2"/>
  </r>
  <r>
    <x v="1"/>
    <x v="116"/>
    <x v="1"/>
    <x v="4"/>
    <x v="16"/>
    <n v="1626"/>
    <n v="1173"/>
    <n v="33"/>
    <n v="8"/>
    <n v="35115"/>
    <n v="6"/>
    <n v="30420"/>
    <n v="6"/>
    <n v="62"/>
    <n v="730"/>
    <n v="2025"/>
    <x v="7"/>
    <s v="购后推荐"/>
    <x v="2"/>
    <x v="2"/>
  </r>
  <r>
    <x v="1"/>
    <x v="116"/>
    <x v="1"/>
    <x v="4"/>
    <x v="17"/>
    <n v="7933"/>
    <n v="4392"/>
    <n v="92"/>
    <n v="24"/>
    <n v="52005"/>
    <n v="11"/>
    <n v="37320"/>
    <n v="8"/>
    <n v="284"/>
    <n v="7933"/>
    <n v="2025"/>
    <x v="7"/>
    <s v="首页推荐-微详情"/>
    <x v="2"/>
    <x v="2"/>
  </r>
  <r>
    <x v="1"/>
    <x v="116"/>
    <x v="1"/>
    <x v="4"/>
    <x v="18"/>
    <n v="193"/>
    <n v="137"/>
    <n v="3"/>
    <n v="0"/>
    <n v="0"/>
    <n v="0"/>
    <n v="0"/>
    <n v="0"/>
    <n v="6"/>
    <n v="73"/>
    <n v="2025"/>
    <x v="7"/>
    <s v="首页推荐-直播"/>
    <x v="2"/>
    <x v="2"/>
  </r>
  <r>
    <x v="1"/>
    <x v="116"/>
    <x v="1"/>
    <x v="4"/>
    <x v="19"/>
    <n v="464"/>
    <n v="318"/>
    <n v="0"/>
    <n v="0"/>
    <n v="0"/>
    <n v="0"/>
    <n v="0"/>
    <n v="0"/>
    <n v="3"/>
    <n v="48"/>
    <n v="2025"/>
    <x v="7"/>
    <s v="首页推荐-短视频"/>
    <x v="2"/>
    <x v="2"/>
  </r>
  <r>
    <x v="1"/>
    <x v="116"/>
    <x v="1"/>
    <x v="12"/>
    <x v="42"/>
    <n v="2315"/>
    <n v="1920"/>
    <n v="41"/>
    <n v="9"/>
    <n v="27650"/>
    <n v="5"/>
    <n v="27650"/>
    <n v="5"/>
    <n v="285"/>
    <n v="2243"/>
    <n v="2025"/>
    <x v="7"/>
    <s v="手淘搜索-商品及其他"/>
    <x v="2"/>
    <x v="2"/>
  </r>
  <r>
    <x v="1"/>
    <x v="116"/>
    <x v="1"/>
    <x v="12"/>
    <x v="43"/>
    <n v="14"/>
    <n v="10"/>
    <n v="0"/>
    <n v="0"/>
    <n v="0"/>
    <n v="0"/>
    <n v="0"/>
    <n v="0"/>
    <n v="1"/>
    <n v="12"/>
    <n v="2025"/>
    <x v="7"/>
    <s v="手淘搜索-直播"/>
    <x v="2"/>
    <x v="2"/>
  </r>
  <r>
    <x v="1"/>
    <x v="116"/>
    <x v="1"/>
    <x v="12"/>
    <x v="44"/>
    <n v="26"/>
    <n v="11"/>
    <n v="2"/>
    <n v="0"/>
    <n v="0"/>
    <n v="0"/>
    <n v="0"/>
    <n v="0"/>
    <n v="1"/>
    <n v="25"/>
    <n v="2025"/>
    <x v="7"/>
    <s v="手淘搜索-短视频"/>
    <x v="2"/>
    <x v="2"/>
  </r>
  <r>
    <x v="1"/>
    <x v="116"/>
    <x v="1"/>
    <x v="13"/>
    <x v="46"/>
    <n v="1"/>
    <n v="0"/>
    <n v="0"/>
    <n v="0"/>
    <n v="0"/>
    <n v="0"/>
    <n v="0"/>
    <n v="0"/>
    <n v="0"/>
    <n v="0"/>
    <n v="2025"/>
    <x v="7"/>
    <s v="飞猪其他"/>
    <x v="2"/>
    <x v="2"/>
  </r>
  <r>
    <x v="1"/>
    <x v="116"/>
    <x v="0"/>
    <x v="5"/>
    <x v="47"/>
    <n v="1"/>
    <n v="1"/>
    <n v="0"/>
    <n v="0"/>
    <n v="0"/>
    <n v="0"/>
    <n v="0"/>
    <n v="0"/>
    <n v="0"/>
    <n v="0"/>
    <n v="2025"/>
    <x v="7"/>
    <s v="短直联动"/>
    <x v="2"/>
    <x v="2"/>
  </r>
  <r>
    <x v="1"/>
    <x v="116"/>
    <x v="0"/>
    <x v="5"/>
    <x v="41"/>
    <n v="1004"/>
    <n v="494"/>
    <n v="13"/>
    <n v="0"/>
    <n v="0"/>
    <n v="0"/>
    <n v="0"/>
    <n v="0"/>
    <n v="46"/>
    <n v="446"/>
    <n v="2025"/>
    <x v="7"/>
    <s v="超级直播"/>
    <x v="2"/>
    <x v="2"/>
  </r>
  <r>
    <x v="1"/>
    <x v="116"/>
    <x v="0"/>
    <x v="5"/>
    <x v="20"/>
    <n v="34"/>
    <n v="17"/>
    <n v="0"/>
    <n v="0"/>
    <n v="0"/>
    <n v="0"/>
    <n v="0"/>
    <n v="0"/>
    <n v="0"/>
    <n v="30"/>
    <n v="2025"/>
    <x v="7"/>
    <s v="超级短视频"/>
    <x v="2"/>
    <x v="2"/>
  </r>
  <r>
    <x v="1"/>
    <x v="116"/>
    <x v="0"/>
    <x v="0"/>
    <x v="0"/>
    <n v="782"/>
    <n v="615"/>
    <n v="19"/>
    <n v="4"/>
    <n v="19994"/>
    <n v="7"/>
    <n v="14014"/>
    <n v="5"/>
    <n v="777"/>
    <n v="397"/>
    <n v="2025"/>
    <x v="7"/>
    <s v="万相台"/>
    <x v="2"/>
    <x v="2"/>
  </r>
  <r>
    <x v="1"/>
    <x v="116"/>
    <x v="0"/>
    <x v="0"/>
    <x v="1"/>
    <n v="26581"/>
    <n v="13402"/>
    <n v="89"/>
    <n v="142"/>
    <n v="36430"/>
    <n v="6"/>
    <n v="14950"/>
    <n v="4"/>
    <n v="387"/>
    <n v="26579"/>
    <n v="2025"/>
    <x v="7"/>
    <s v="引力魔方"/>
    <x v="2"/>
    <x v="2"/>
  </r>
  <r>
    <x v="1"/>
    <x v="116"/>
    <x v="0"/>
    <x v="0"/>
    <x v="2"/>
    <n v="5463"/>
    <n v="4536"/>
    <n v="46"/>
    <n v="25"/>
    <n v="17310"/>
    <n v="4"/>
    <n v="2990"/>
    <n v="1"/>
    <n v="308"/>
    <n v="5408"/>
    <n v="2025"/>
    <x v="7"/>
    <s v="直通车"/>
    <x v="2"/>
    <x v="2"/>
  </r>
  <r>
    <x v="1"/>
    <x v="116"/>
    <x v="0"/>
    <x v="7"/>
    <x v="23"/>
    <n v="2"/>
    <n v="1"/>
    <n v="0"/>
    <n v="0"/>
    <n v="0"/>
    <n v="0"/>
    <n v="0"/>
    <n v="0"/>
    <n v="0"/>
    <n v="2"/>
    <n v="2025"/>
    <x v="7"/>
    <s v="流量宝"/>
    <x v="2"/>
    <x v="2"/>
  </r>
  <r>
    <x v="1"/>
    <x v="116"/>
    <x v="0"/>
    <x v="7"/>
    <x v="24"/>
    <n v="416"/>
    <n v="152"/>
    <n v="4"/>
    <n v="3"/>
    <n v="5140"/>
    <n v="2"/>
    <n v="8290"/>
    <n v="3"/>
    <n v="2"/>
    <n v="416"/>
    <n v="2025"/>
    <x v="7"/>
    <s v="淘宝客"/>
    <x v="2"/>
    <x v="2"/>
  </r>
  <r>
    <x v="1"/>
    <x v="117"/>
    <x v="1"/>
    <x v="8"/>
    <x v="25"/>
    <n v="138"/>
    <n v="59"/>
    <n v="3"/>
    <n v="1"/>
    <n v="0"/>
    <n v="0"/>
    <n v="0"/>
    <n v="0"/>
    <n v="14"/>
    <n v="137"/>
    <n v="2025"/>
    <x v="7"/>
    <s v="主会场"/>
    <x v="2"/>
    <x v="2"/>
  </r>
  <r>
    <x v="1"/>
    <x v="117"/>
    <x v="1"/>
    <x v="8"/>
    <x v="26"/>
    <n v="1"/>
    <n v="0"/>
    <n v="0"/>
    <n v="0"/>
    <n v="0"/>
    <n v="0"/>
    <n v="0"/>
    <n v="0"/>
    <n v="0"/>
    <n v="1"/>
    <n v="2025"/>
    <x v="7"/>
    <s v="榜单会场"/>
    <x v="2"/>
    <x v="2"/>
  </r>
  <r>
    <x v="1"/>
    <x v="117"/>
    <x v="1"/>
    <x v="1"/>
    <x v="3"/>
    <n v="1"/>
    <n v="1"/>
    <n v="0"/>
    <n v="0"/>
    <n v="0"/>
    <n v="0"/>
    <n v="0"/>
    <n v="0"/>
    <n v="1"/>
    <n v="1"/>
    <n v="2025"/>
    <x v="7"/>
    <s v="其他入口榜单"/>
    <x v="2"/>
    <x v="2"/>
  </r>
  <r>
    <x v="1"/>
    <x v="117"/>
    <x v="1"/>
    <x v="3"/>
    <x v="12"/>
    <n v="48"/>
    <n v="24"/>
    <n v="3"/>
    <n v="0"/>
    <n v="16025"/>
    <n v="3"/>
    <n v="16025"/>
    <n v="3"/>
    <n v="42"/>
    <n v="28"/>
    <n v="2025"/>
    <x v="7"/>
    <s v="店铺超链"/>
    <x v="2"/>
    <x v="2"/>
  </r>
  <r>
    <x v="1"/>
    <x v="117"/>
    <x v="1"/>
    <x v="4"/>
    <x v="13"/>
    <n v="867"/>
    <n v="383"/>
    <n v="40"/>
    <n v="9"/>
    <n v="36200"/>
    <n v="6"/>
    <n v="31210"/>
    <n v="6"/>
    <n v="115"/>
    <n v="828"/>
    <n v="2025"/>
    <x v="7"/>
    <s v="其他猜你喜欢"/>
    <x v="2"/>
    <x v="2"/>
  </r>
  <r>
    <x v="1"/>
    <x v="117"/>
    <x v="1"/>
    <x v="4"/>
    <x v="15"/>
    <n v="139"/>
    <n v="47"/>
    <n v="8"/>
    <n v="1"/>
    <n v="3840.19"/>
    <n v="1"/>
    <n v="3840.19"/>
    <n v="1"/>
    <n v="16"/>
    <n v="136"/>
    <n v="2025"/>
    <x v="7"/>
    <s v="购中推荐"/>
    <x v="2"/>
    <x v="2"/>
  </r>
  <r>
    <x v="1"/>
    <x v="117"/>
    <x v="1"/>
    <x v="4"/>
    <x v="16"/>
    <n v="853"/>
    <n v="355"/>
    <n v="24"/>
    <n v="7"/>
    <n v="2650"/>
    <n v="1"/>
    <n v="2650"/>
    <n v="1"/>
    <n v="44"/>
    <n v="822"/>
    <n v="2025"/>
    <x v="7"/>
    <s v="购后推荐"/>
    <x v="2"/>
    <x v="2"/>
  </r>
  <r>
    <x v="1"/>
    <x v="117"/>
    <x v="1"/>
    <x v="4"/>
    <x v="17"/>
    <n v="7436"/>
    <n v="3046"/>
    <n v="102"/>
    <n v="38"/>
    <n v="60590"/>
    <n v="13"/>
    <n v="39630"/>
    <n v="11"/>
    <n v="287"/>
    <n v="7436"/>
    <n v="2025"/>
    <x v="7"/>
    <s v="首页推荐-微详情"/>
    <x v="2"/>
    <x v="2"/>
  </r>
  <r>
    <x v="1"/>
    <x v="117"/>
    <x v="1"/>
    <x v="4"/>
    <x v="18"/>
    <n v="106"/>
    <n v="65"/>
    <n v="1"/>
    <n v="0"/>
    <n v="0"/>
    <n v="0"/>
    <n v="0"/>
    <n v="0"/>
    <n v="4"/>
    <n v="64"/>
    <n v="2025"/>
    <x v="7"/>
    <s v="首页推荐-直播"/>
    <x v="2"/>
    <x v="2"/>
  </r>
  <r>
    <x v="1"/>
    <x v="117"/>
    <x v="1"/>
    <x v="4"/>
    <x v="19"/>
    <n v="241"/>
    <n v="123"/>
    <n v="1"/>
    <n v="0"/>
    <n v="0"/>
    <n v="0"/>
    <n v="0"/>
    <n v="0"/>
    <n v="5"/>
    <n v="27"/>
    <n v="2025"/>
    <x v="7"/>
    <s v="首页推荐-短视频"/>
    <x v="2"/>
    <x v="2"/>
  </r>
  <r>
    <x v="1"/>
    <x v="117"/>
    <x v="1"/>
    <x v="12"/>
    <x v="42"/>
    <n v="2490"/>
    <n v="2092"/>
    <n v="69"/>
    <n v="21"/>
    <n v="87435.44"/>
    <n v="17"/>
    <n v="64075.44"/>
    <n v="14"/>
    <n v="317"/>
    <n v="2401"/>
    <n v="2025"/>
    <x v="7"/>
    <s v="手淘搜索-商品及其他"/>
    <x v="2"/>
    <x v="2"/>
  </r>
  <r>
    <x v="1"/>
    <x v="117"/>
    <x v="1"/>
    <x v="12"/>
    <x v="43"/>
    <n v="9"/>
    <n v="3"/>
    <n v="0"/>
    <n v="0"/>
    <n v="0"/>
    <n v="0"/>
    <n v="0"/>
    <n v="0"/>
    <n v="2"/>
    <n v="7"/>
    <n v="2025"/>
    <x v="7"/>
    <s v="手淘搜索-直播"/>
    <x v="2"/>
    <x v="2"/>
  </r>
  <r>
    <x v="1"/>
    <x v="117"/>
    <x v="1"/>
    <x v="12"/>
    <x v="44"/>
    <n v="38"/>
    <n v="18"/>
    <n v="2"/>
    <n v="0"/>
    <n v="0"/>
    <n v="0"/>
    <n v="0"/>
    <n v="0"/>
    <n v="3"/>
    <n v="35"/>
    <n v="2025"/>
    <x v="7"/>
    <s v="手淘搜索-短视频"/>
    <x v="2"/>
    <x v="2"/>
  </r>
  <r>
    <x v="1"/>
    <x v="117"/>
    <x v="1"/>
    <x v="11"/>
    <x v="37"/>
    <n v="1"/>
    <n v="0"/>
    <n v="0"/>
    <n v="0"/>
    <n v="0"/>
    <n v="0"/>
    <n v="0"/>
    <n v="0"/>
    <n v="0"/>
    <n v="1"/>
    <n v="2025"/>
    <x v="7"/>
    <s v="淘特其他渠道"/>
    <x v="2"/>
    <x v="2"/>
  </r>
  <r>
    <x v="1"/>
    <x v="117"/>
    <x v="0"/>
    <x v="5"/>
    <x v="47"/>
    <n v="5"/>
    <n v="4"/>
    <n v="0"/>
    <n v="0"/>
    <n v="0"/>
    <n v="0"/>
    <n v="0"/>
    <n v="0"/>
    <n v="0"/>
    <n v="0"/>
    <n v="2025"/>
    <x v="7"/>
    <s v="短直联动"/>
    <x v="2"/>
    <x v="2"/>
  </r>
  <r>
    <x v="1"/>
    <x v="117"/>
    <x v="0"/>
    <x v="5"/>
    <x v="41"/>
    <n v="825"/>
    <n v="426"/>
    <n v="12"/>
    <n v="0"/>
    <n v="0"/>
    <n v="0"/>
    <n v="0"/>
    <n v="0"/>
    <n v="38"/>
    <n v="402"/>
    <n v="2025"/>
    <x v="7"/>
    <s v="超级直播"/>
    <x v="2"/>
    <x v="2"/>
  </r>
  <r>
    <x v="1"/>
    <x v="117"/>
    <x v="0"/>
    <x v="5"/>
    <x v="20"/>
    <n v="32"/>
    <n v="16"/>
    <n v="0"/>
    <n v="0"/>
    <n v="0"/>
    <n v="0"/>
    <n v="0"/>
    <n v="0"/>
    <n v="0"/>
    <n v="30"/>
    <n v="2025"/>
    <x v="7"/>
    <s v="超级短视频"/>
    <x v="2"/>
    <x v="2"/>
  </r>
  <r>
    <x v="1"/>
    <x v="117"/>
    <x v="0"/>
    <x v="0"/>
    <x v="0"/>
    <n v="756"/>
    <n v="607"/>
    <n v="22"/>
    <n v="10"/>
    <n v="25358"/>
    <n v="4"/>
    <n v="14378"/>
    <n v="2"/>
    <n v="756"/>
    <n v="386"/>
    <n v="2025"/>
    <x v="7"/>
    <s v="万相台"/>
    <x v="2"/>
    <x v="2"/>
  </r>
  <r>
    <x v="1"/>
    <x v="117"/>
    <x v="0"/>
    <x v="0"/>
    <x v="1"/>
    <n v="26095"/>
    <n v="12360"/>
    <n v="72"/>
    <n v="112"/>
    <n v="23175"/>
    <n v="4"/>
    <n v="10835"/>
    <n v="3"/>
    <n v="368"/>
    <n v="26095"/>
    <n v="2025"/>
    <x v="7"/>
    <s v="引力魔方"/>
    <x v="2"/>
    <x v="2"/>
  </r>
  <r>
    <x v="1"/>
    <x v="117"/>
    <x v="0"/>
    <x v="0"/>
    <x v="2"/>
    <n v="5829"/>
    <n v="4950"/>
    <n v="37"/>
    <n v="14"/>
    <n v="30370"/>
    <n v="7"/>
    <n v="18380"/>
    <n v="6"/>
    <n v="300"/>
    <n v="5764"/>
    <n v="2025"/>
    <x v="7"/>
    <s v="直通车"/>
    <x v="2"/>
    <x v="2"/>
  </r>
  <r>
    <x v="1"/>
    <x v="117"/>
    <x v="0"/>
    <x v="7"/>
    <x v="23"/>
    <n v="3"/>
    <n v="2"/>
    <n v="0"/>
    <n v="0"/>
    <n v="0"/>
    <n v="0"/>
    <n v="0"/>
    <n v="0"/>
    <n v="0"/>
    <n v="3"/>
    <n v="2025"/>
    <x v="7"/>
    <s v="流量宝"/>
    <x v="2"/>
    <x v="2"/>
  </r>
  <r>
    <x v="1"/>
    <x v="117"/>
    <x v="0"/>
    <x v="7"/>
    <x v="24"/>
    <n v="345"/>
    <n v="95"/>
    <n v="5"/>
    <n v="1"/>
    <n v="12922.44"/>
    <n v="3"/>
    <n v="12922.44"/>
    <n v="3"/>
    <n v="2"/>
    <n v="345"/>
    <n v="2025"/>
    <x v="7"/>
    <s v="淘宝客"/>
    <x v="2"/>
    <x v="2"/>
  </r>
  <r>
    <x v="1"/>
    <x v="118"/>
    <x v="1"/>
    <x v="8"/>
    <x v="25"/>
    <n v="178"/>
    <n v="92"/>
    <n v="10"/>
    <n v="3"/>
    <n v="6480"/>
    <n v="2"/>
    <n v="3490"/>
    <n v="1"/>
    <n v="14"/>
    <n v="177"/>
    <n v="2025"/>
    <x v="7"/>
    <s v="主会场"/>
    <x v="2"/>
    <x v="2"/>
  </r>
  <r>
    <x v="1"/>
    <x v="118"/>
    <x v="1"/>
    <x v="1"/>
    <x v="3"/>
    <n v="1"/>
    <n v="1"/>
    <n v="0"/>
    <n v="0"/>
    <n v="0"/>
    <n v="0"/>
    <n v="0"/>
    <n v="0"/>
    <n v="0"/>
    <n v="1"/>
    <n v="2025"/>
    <x v="7"/>
    <s v="其他入口榜单"/>
    <x v="2"/>
    <x v="2"/>
  </r>
  <r>
    <x v="1"/>
    <x v="118"/>
    <x v="1"/>
    <x v="3"/>
    <x v="12"/>
    <n v="49"/>
    <n v="26"/>
    <n v="3"/>
    <n v="1"/>
    <n v="20040"/>
    <n v="2"/>
    <n v="14640"/>
    <n v="2"/>
    <n v="40"/>
    <n v="28"/>
    <n v="2025"/>
    <x v="7"/>
    <s v="店铺超链"/>
    <x v="2"/>
    <x v="2"/>
  </r>
  <r>
    <x v="1"/>
    <x v="118"/>
    <x v="1"/>
    <x v="4"/>
    <x v="13"/>
    <n v="851"/>
    <n v="349"/>
    <n v="29"/>
    <n v="9"/>
    <n v="55690"/>
    <n v="8"/>
    <n v="51700"/>
    <n v="7"/>
    <n v="107"/>
    <n v="812"/>
    <n v="2025"/>
    <x v="7"/>
    <s v="其他猜你喜欢"/>
    <x v="2"/>
    <x v="2"/>
  </r>
  <r>
    <x v="1"/>
    <x v="118"/>
    <x v="1"/>
    <x v="4"/>
    <x v="15"/>
    <n v="149"/>
    <n v="59"/>
    <n v="3"/>
    <n v="4"/>
    <n v="7480"/>
    <n v="2"/>
    <n v="3490"/>
    <n v="1"/>
    <n v="13"/>
    <n v="149"/>
    <n v="2025"/>
    <x v="7"/>
    <s v="购中推荐"/>
    <x v="2"/>
    <x v="2"/>
  </r>
  <r>
    <x v="1"/>
    <x v="118"/>
    <x v="1"/>
    <x v="4"/>
    <x v="16"/>
    <n v="795"/>
    <n v="317"/>
    <n v="22"/>
    <n v="4"/>
    <n v="23850"/>
    <n v="4"/>
    <n v="11480"/>
    <n v="3"/>
    <n v="42"/>
    <n v="791"/>
    <n v="2025"/>
    <x v="7"/>
    <s v="购后推荐"/>
    <x v="2"/>
    <x v="2"/>
  </r>
  <r>
    <x v="1"/>
    <x v="118"/>
    <x v="1"/>
    <x v="4"/>
    <x v="17"/>
    <n v="8319"/>
    <n v="3613"/>
    <n v="113"/>
    <n v="28"/>
    <n v="130740"/>
    <n v="16"/>
    <n v="87920"/>
    <n v="13"/>
    <n v="260"/>
    <n v="8319"/>
    <n v="2025"/>
    <x v="7"/>
    <s v="首页推荐-微详情"/>
    <x v="2"/>
    <x v="2"/>
  </r>
  <r>
    <x v="1"/>
    <x v="118"/>
    <x v="1"/>
    <x v="4"/>
    <x v="18"/>
    <n v="126"/>
    <n v="66"/>
    <n v="2"/>
    <n v="0"/>
    <n v="12060"/>
    <n v="3"/>
    <n v="8070"/>
    <n v="3"/>
    <n v="3"/>
    <n v="64"/>
    <n v="2025"/>
    <x v="7"/>
    <s v="首页推荐-直播"/>
    <x v="2"/>
    <x v="2"/>
  </r>
  <r>
    <x v="1"/>
    <x v="118"/>
    <x v="1"/>
    <x v="4"/>
    <x v="19"/>
    <n v="137"/>
    <n v="55"/>
    <n v="1"/>
    <n v="0"/>
    <n v="0"/>
    <n v="0"/>
    <n v="0"/>
    <n v="0"/>
    <n v="1"/>
    <n v="21"/>
    <n v="2025"/>
    <x v="7"/>
    <s v="首页推荐-短视频"/>
    <x v="2"/>
    <x v="2"/>
  </r>
  <r>
    <x v="1"/>
    <x v="118"/>
    <x v="1"/>
    <x v="12"/>
    <x v="42"/>
    <n v="2836"/>
    <n v="2400"/>
    <n v="75"/>
    <n v="16"/>
    <n v="122210"/>
    <n v="19"/>
    <n v="44050"/>
    <n v="14"/>
    <n v="334"/>
    <n v="2754"/>
    <n v="2025"/>
    <x v="7"/>
    <s v="手淘搜索-商品及其他"/>
    <x v="2"/>
    <x v="2"/>
  </r>
  <r>
    <x v="1"/>
    <x v="118"/>
    <x v="1"/>
    <x v="12"/>
    <x v="43"/>
    <n v="15"/>
    <n v="9"/>
    <n v="0"/>
    <n v="0"/>
    <n v="0"/>
    <n v="0"/>
    <n v="0"/>
    <n v="0"/>
    <n v="2"/>
    <n v="12"/>
    <n v="2025"/>
    <x v="7"/>
    <s v="手淘搜索-直播"/>
    <x v="2"/>
    <x v="2"/>
  </r>
  <r>
    <x v="1"/>
    <x v="118"/>
    <x v="1"/>
    <x v="12"/>
    <x v="44"/>
    <n v="29"/>
    <n v="9"/>
    <n v="3"/>
    <n v="0"/>
    <n v="0"/>
    <n v="0"/>
    <n v="0"/>
    <n v="0"/>
    <n v="0"/>
    <n v="27"/>
    <n v="2025"/>
    <x v="7"/>
    <s v="手淘搜索-短视频"/>
    <x v="2"/>
    <x v="2"/>
  </r>
  <r>
    <x v="1"/>
    <x v="118"/>
    <x v="1"/>
    <x v="11"/>
    <x v="40"/>
    <n v="3"/>
    <n v="0"/>
    <n v="0"/>
    <n v="0"/>
    <n v="0"/>
    <n v="0"/>
    <n v="0"/>
    <n v="0"/>
    <n v="0"/>
    <n v="3"/>
    <n v="2025"/>
    <x v="7"/>
    <s v="淘特自主访问"/>
    <x v="2"/>
    <x v="2"/>
  </r>
  <r>
    <x v="1"/>
    <x v="118"/>
    <x v="0"/>
    <x v="5"/>
    <x v="47"/>
    <n v="9"/>
    <n v="9"/>
    <n v="0"/>
    <n v="0"/>
    <n v="0"/>
    <n v="0"/>
    <n v="0"/>
    <n v="0"/>
    <n v="0"/>
    <n v="0"/>
    <n v="2025"/>
    <x v="7"/>
    <s v="短直联动"/>
    <x v="2"/>
    <x v="2"/>
  </r>
  <r>
    <x v="1"/>
    <x v="118"/>
    <x v="0"/>
    <x v="5"/>
    <x v="41"/>
    <n v="1416"/>
    <n v="973"/>
    <n v="11"/>
    <n v="1"/>
    <n v="0"/>
    <n v="0"/>
    <n v="0"/>
    <n v="0"/>
    <n v="34"/>
    <n v="338"/>
    <n v="2025"/>
    <x v="7"/>
    <s v="超级直播"/>
    <x v="2"/>
    <x v="2"/>
  </r>
  <r>
    <x v="1"/>
    <x v="118"/>
    <x v="0"/>
    <x v="5"/>
    <x v="20"/>
    <n v="28"/>
    <n v="10"/>
    <n v="0"/>
    <n v="0"/>
    <n v="0"/>
    <n v="0"/>
    <n v="0"/>
    <n v="0"/>
    <n v="0"/>
    <n v="27"/>
    <n v="2025"/>
    <x v="7"/>
    <s v="超级短视频"/>
    <x v="2"/>
    <x v="2"/>
  </r>
  <r>
    <x v="1"/>
    <x v="118"/>
    <x v="0"/>
    <x v="6"/>
    <x v="49"/>
    <n v="3"/>
    <n v="2"/>
    <n v="0"/>
    <n v="0"/>
    <n v="0"/>
    <n v="0"/>
    <n v="0"/>
    <n v="0"/>
    <n v="0"/>
    <n v="3"/>
    <n v="2025"/>
    <x v="7"/>
    <s v="超级全域通"/>
    <x v="2"/>
    <x v="2"/>
  </r>
  <r>
    <x v="1"/>
    <x v="118"/>
    <x v="0"/>
    <x v="0"/>
    <x v="0"/>
    <n v="785"/>
    <n v="623"/>
    <n v="32"/>
    <n v="11"/>
    <n v="32565"/>
    <n v="9"/>
    <n v="25475"/>
    <n v="7"/>
    <n v="782"/>
    <n v="408"/>
    <n v="2025"/>
    <x v="7"/>
    <s v="万相台"/>
    <x v="2"/>
    <x v="2"/>
  </r>
  <r>
    <x v="1"/>
    <x v="118"/>
    <x v="0"/>
    <x v="0"/>
    <x v="1"/>
    <n v="29443"/>
    <n v="13938"/>
    <n v="110"/>
    <n v="143"/>
    <n v="58080"/>
    <n v="15"/>
    <n v="32250"/>
    <n v="9"/>
    <n v="530"/>
    <n v="29443"/>
    <n v="2025"/>
    <x v="7"/>
    <s v="引力魔方"/>
    <x v="2"/>
    <x v="2"/>
  </r>
  <r>
    <x v="1"/>
    <x v="118"/>
    <x v="0"/>
    <x v="0"/>
    <x v="2"/>
    <n v="6419"/>
    <n v="5451"/>
    <n v="47"/>
    <n v="28"/>
    <n v="71820"/>
    <n v="9"/>
    <n v="18380"/>
    <n v="5"/>
    <n v="325"/>
    <n v="6353"/>
    <n v="2025"/>
    <x v="7"/>
    <s v="直通车"/>
    <x v="2"/>
    <x v="2"/>
  </r>
  <r>
    <x v="1"/>
    <x v="118"/>
    <x v="0"/>
    <x v="7"/>
    <x v="23"/>
    <n v="4"/>
    <n v="1"/>
    <n v="0"/>
    <n v="1"/>
    <n v="0"/>
    <n v="0"/>
    <n v="0"/>
    <n v="0"/>
    <n v="1"/>
    <n v="3"/>
    <n v="2025"/>
    <x v="7"/>
    <s v="流量宝"/>
    <x v="2"/>
    <x v="2"/>
  </r>
  <r>
    <x v="1"/>
    <x v="118"/>
    <x v="0"/>
    <x v="7"/>
    <x v="24"/>
    <n v="390"/>
    <n v="96"/>
    <n v="3"/>
    <n v="0"/>
    <n v="0"/>
    <n v="0"/>
    <n v="0"/>
    <n v="0"/>
    <n v="4"/>
    <n v="389"/>
    <n v="2025"/>
    <x v="7"/>
    <s v="淘宝客"/>
    <x v="2"/>
    <x v="2"/>
  </r>
  <r>
    <x v="1"/>
    <x v="119"/>
    <x v="1"/>
    <x v="8"/>
    <x v="25"/>
    <n v="145"/>
    <n v="60"/>
    <n v="5"/>
    <n v="1"/>
    <n v="0"/>
    <n v="0"/>
    <n v="0"/>
    <n v="0"/>
    <n v="8"/>
    <n v="143"/>
    <n v="2025"/>
    <x v="7"/>
    <s v="主会场"/>
    <x v="2"/>
    <x v="2"/>
  </r>
  <r>
    <x v="1"/>
    <x v="119"/>
    <x v="1"/>
    <x v="8"/>
    <x v="26"/>
    <n v="1"/>
    <n v="1"/>
    <n v="0"/>
    <n v="0"/>
    <n v="0"/>
    <n v="0"/>
    <n v="0"/>
    <n v="0"/>
    <n v="0"/>
    <n v="1"/>
    <n v="2025"/>
    <x v="7"/>
    <s v="榜单会场"/>
    <x v="2"/>
    <x v="2"/>
  </r>
  <r>
    <x v="1"/>
    <x v="119"/>
    <x v="1"/>
    <x v="1"/>
    <x v="3"/>
    <n v="1"/>
    <n v="1"/>
    <n v="0"/>
    <n v="0"/>
    <n v="0"/>
    <n v="0"/>
    <n v="0"/>
    <n v="0"/>
    <n v="0"/>
    <n v="1"/>
    <n v="2025"/>
    <x v="7"/>
    <s v="其他入口榜单"/>
    <x v="2"/>
    <x v="2"/>
  </r>
  <r>
    <x v="1"/>
    <x v="119"/>
    <x v="1"/>
    <x v="3"/>
    <x v="11"/>
    <n v="1"/>
    <n v="1"/>
    <n v="0"/>
    <n v="0"/>
    <n v="0"/>
    <n v="0"/>
    <n v="0"/>
    <n v="0"/>
    <n v="0"/>
    <n v="1"/>
    <n v="2025"/>
    <x v="7"/>
    <s v="商品详情页头图推荐"/>
    <x v="2"/>
    <x v="2"/>
  </r>
  <r>
    <x v="1"/>
    <x v="119"/>
    <x v="1"/>
    <x v="3"/>
    <x v="12"/>
    <n v="55"/>
    <n v="21"/>
    <n v="0"/>
    <n v="0"/>
    <n v="0"/>
    <n v="0"/>
    <n v="0"/>
    <n v="0"/>
    <n v="43"/>
    <n v="30"/>
    <n v="2025"/>
    <x v="7"/>
    <s v="店铺超链"/>
    <x v="2"/>
    <x v="2"/>
  </r>
  <r>
    <x v="1"/>
    <x v="119"/>
    <x v="1"/>
    <x v="4"/>
    <x v="13"/>
    <n v="826"/>
    <n v="369"/>
    <n v="27"/>
    <n v="11"/>
    <n v="15695"/>
    <n v="3"/>
    <n v="10445"/>
    <n v="2"/>
    <n v="94"/>
    <n v="797"/>
    <n v="2025"/>
    <x v="7"/>
    <s v="其他猜你喜欢"/>
    <x v="2"/>
    <x v="2"/>
  </r>
  <r>
    <x v="1"/>
    <x v="119"/>
    <x v="1"/>
    <x v="4"/>
    <x v="15"/>
    <n v="157"/>
    <n v="73"/>
    <n v="4"/>
    <n v="1"/>
    <n v="0"/>
    <n v="0"/>
    <n v="0"/>
    <n v="0"/>
    <n v="7"/>
    <n v="148"/>
    <n v="2025"/>
    <x v="7"/>
    <s v="购中推荐"/>
    <x v="2"/>
    <x v="2"/>
  </r>
  <r>
    <x v="1"/>
    <x v="119"/>
    <x v="1"/>
    <x v="4"/>
    <x v="16"/>
    <n v="967"/>
    <n v="470"/>
    <n v="24"/>
    <n v="8"/>
    <n v="0"/>
    <n v="0"/>
    <n v="0"/>
    <n v="0"/>
    <n v="54"/>
    <n v="863"/>
    <n v="2025"/>
    <x v="7"/>
    <s v="购后推荐"/>
    <x v="2"/>
    <x v="2"/>
  </r>
  <r>
    <x v="1"/>
    <x v="119"/>
    <x v="1"/>
    <x v="4"/>
    <x v="17"/>
    <n v="21140"/>
    <n v="12853"/>
    <n v="81"/>
    <n v="25"/>
    <n v="36190"/>
    <n v="8"/>
    <n v="32210"/>
    <n v="7"/>
    <n v="292"/>
    <n v="21140"/>
    <n v="2025"/>
    <x v="7"/>
    <s v="首页推荐-微详情"/>
    <x v="2"/>
    <x v="2"/>
  </r>
  <r>
    <x v="1"/>
    <x v="119"/>
    <x v="1"/>
    <x v="4"/>
    <x v="19"/>
    <n v="289"/>
    <n v="185"/>
    <n v="0"/>
    <n v="0"/>
    <n v="0"/>
    <n v="0"/>
    <n v="0"/>
    <n v="0"/>
    <n v="9"/>
    <n v="34"/>
    <n v="2025"/>
    <x v="7"/>
    <s v="首页推荐-短视频"/>
    <x v="2"/>
    <x v="2"/>
  </r>
  <r>
    <x v="1"/>
    <x v="119"/>
    <x v="1"/>
    <x v="12"/>
    <x v="42"/>
    <n v="2476"/>
    <n v="2030"/>
    <n v="66"/>
    <n v="14"/>
    <n v="40575"/>
    <n v="10"/>
    <n v="32595"/>
    <n v="10"/>
    <n v="361"/>
    <n v="2391"/>
    <n v="2025"/>
    <x v="7"/>
    <s v="手淘搜索-商品及其他"/>
    <x v="2"/>
    <x v="2"/>
  </r>
  <r>
    <x v="1"/>
    <x v="119"/>
    <x v="1"/>
    <x v="12"/>
    <x v="44"/>
    <n v="33"/>
    <n v="15"/>
    <n v="2"/>
    <n v="0"/>
    <n v="6840"/>
    <n v="2"/>
    <n v="6840"/>
    <n v="2"/>
    <n v="7"/>
    <n v="31"/>
    <n v="2025"/>
    <x v="7"/>
    <s v="手淘搜索-短视频"/>
    <x v="2"/>
    <x v="2"/>
  </r>
  <r>
    <x v="1"/>
    <x v="119"/>
    <x v="1"/>
    <x v="11"/>
    <x v="37"/>
    <n v="1"/>
    <n v="0"/>
    <n v="0"/>
    <n v="0"/>
    <n v="0"/>
    <n v="0"/>
    <n v="0"/>
    <n v="0"/>
    <n v="0"/>
    <n v="1"/>
    <n v="2025"/>
    <x v="7"/>
    <s v="淘特其他渠道"/>
    <x v="2"/>
    <x v="2"/>
  </r>
  <r>
    <x v="1"/>
    <x v="119"/>
    <x v="1"/>
    <x v="11"/>
    <x v="40"/>
    <n v="1"/>
    <n v="0"/>
    <n v="0"/>
    <n v="0"/>
    <n v="0"/>
    <n v="0"/>
    <n v="0"/>
    <n v="0"/>
    <n v="0"/>
    <n v="1"/>
    <n v="2025"/>
    <x v="7"/>
    <s v="淘特自主访问"/>
    <x v="2"/>
    <x v="2"/>
  </r>
  <r>
    <x v="1"/>
    <x v="119"/>
    <x v="0"/>
    <x v="5"/>
    <x v="41"/>
    <n v="4"/>
    <n v="2"/>
    <n v="0"/>
    <n v="0"/>
    <n v="0"/>
    <n v="0"/>
    <n v="0"/>
    <n v="0"/>
    <n v="0"/>
    <n v="3"/>
    <n v="2025"/>
    <x v="7"/>
    <s v="超级直播"/>
    <x v="2"/>
    <x v="2"/>
  </r>
  <r>
    <x v="1"/>
    <x v="119"/>
    <x v="0"/>
    <x v="5"/>
    <x v="20"/>
    <n v="61"/>
    <n v="39"/>
    <n v="0"/>
    <n v="0"/>
    <n v="0"/>
    <n v="0"/>
    <n v="0"/>
    <n v="0"/>
    <n v="0"/>
    <n v="61"/>
    <n v="2025"/>
    <x v="7"/>
    <s v="超级短视频"/>
    <x v="2"/>
    <x v="2"/>
  </r>
  <r>
    <x v="1"/>
    <x v="119"/>
    <x v="0"/>
    <x v="6"/>
    <x v="49"/>
    <n v="2"/>
    <n v="0"/>
    <n v="0"/>
    <n v="0"/>
    <n v="0"/>
    <n v="0"/>
    <n v="0"/>
    <n v="0"/>
    <n v="0"/>
    <n v="2"/>
    <n v="2025"/>
    <x v="7"/>
    <s v="超级全域通"/>
    <x v="2"/>
    <x v="2"/>
  </r>
  <r>
    <x v="1"/>
    <x v="119"/>
    <x v="0"/>
    <x v="0"/>
    <x v="0"/>
    <n v="764"/>
    <n v="622"/>
    <n v="25"/>
    <n v="5"/>
    <n v="34340"/>
    <n v="8"/>
    <n v="21070"/>
    <n v="6"/>
    <n v="758"/>
    <n v="414"/>
    <n v="2025"/>
    <x v="7"/>
    <s v="万相台"/>
    <x v="2"/>
    <x v="2"/>
  </r>
  <r>
    <x v="1"/>
    <x v="119"/>
    <x v="0"/>
    <x v="0"/>
    <x v="1"/>
    <n v="27214"/>
    <n v="12793"/>
    <n v="102"/>
    <n v="145"/>
    <n v="49250"/>
    <n v="8"/>
    <n v="31110"/>
    <n v="6"/>
    <n v="456"/>
    <n v="27214"/>
    <n v="2025"/>
    <x v="7"/>
    <s v="引力魔方"/>
    <x v="2"/>
    <x v="2"/>
  </r>
  <r>
    <x v="1"/>
    <x v="119"/>
    <x v="0"/>
    <x v="0"/>
    <x v="2"/>
    <n v="6044"/>
    <n v="5182"/>
    <n v="39"/>
    <n v="19"/>
    <n v="27530"/>
    <n v="7"/>
    <n v="8590"/>
    <n v="3"/>
    <n v="349"/>
    <n v="5964"/>
    <n v="2025"/>
    <x v="7"/>
    <s v="直通车"/>
    <x v="2"/>
    <x v="2"/>
  </r>
  <r>
    <x v="1"/>
    <x v="119"/>
    <x v="0"/>
    <x v="7"/>
    <x v="23"/>
    <n v="5"/>
    <n v="3"/>
    <n v="0"/>
    <n v="0"/>
    <n v="0"/>
    <n v="0"/>
    <n v="0"/>
    <n v="0"/>
    <n v="0"/>
    <n v="5"/>
    <n v="2025"/>
    <x v="7"/>
    <s v="流量宝"/>
    <x v="2"/>
    <x v="2"/>
  </r>
  <r>
    <x v="1"/>
    <x v="119"/>
    <x v="0"/>
    <x v="7"/>
    <x v="24"/>
    <n v="372"/>
    <n v="89"/>
    <n v="0"/>
    <n v="3"/>
    <n v="9850"/>
    <n v="1"/>
    <n v="9850"/>
    <n v="1"/>
    <n v="3"/>
    <n v="371"/>
    <n v="2025"/>
    <x v="7"/>
    <s v="淘宝客"/>
    <x v="2"/>
    <x v="2"/>
  </r>
  <r>
    <x v="1"/>
    <x v="120"/>
    <x v="1"/>
    <x v="8"/>
    <x v="25"/>
    <n v="200"/>
    <n v="101"/>
    <n v="5"/>
    <n v="5"/>
    <n v="0"/>
    <n v="0"/>
    <n v="0"/>
    <n v="0"/>
    <n v="19"/>
    <n v="187"/>
    <n v="2025"/>
    <x v="7"/>
    <s v="主会场"/>
    <x v="2"/>
    <x v="2"/>
  </r>
  <r>
    <x v="1"/>
    <x v="120"/>
    <x v="1"/>
    <x v="1"/>
    <x v="3"/>
    <n v="3"/>
    <n v="2"/>
    <n v="0"/>
    <n v="0"/>
    <n v="0"/>
    <n v="0"/>
    <n v="0"/>
    <n v="0"/>
    <n v="0"/>
    <n v="3"/>
    <n v="2025"/>
    <x v="7"/>
    <s v="其他入口榜单"/>
    <x v="2"/>
    <x v="2"/>
  </r>
  <r>
    <x v="1"/>
    <x v="120"/>
    <x v="1"/>
    <x v="3"/>
    <x v="12"/>
    <n v="49"/>
    <n v="20"/>
    <n v="0"/>
    <n v="0"/>
    <n v="0"/>
    <n v="0"/>
    <n v="0"/>
    <n v="0"/>
    <n v="40"/>
    <n v="25"/>
    <n v="2025"/>
    <x v="7"/>
    <s v="店铺超链"/>
    <x v="2"/>
    <x v="2"/>
  </r>
  <r>
    <x v="1"/>
    <x v="120"/>
    <x v="1"/>
    <x v="4"/>
    <x v="13"/>
    <n v="855"/>
    <n v="398"/>
    <n v="34"/>
    <n v="7"/>
    <n v="29785"/>
    <n v="4"/>
    <n v="19985"/>
    <n v="4"/>
    <n v="87"/>
    <n v="823"/>
    <n v="2025"/>
    <x v="7"/>
    <s v="其他猜你喜欢"/>
    <x v="2"/>
    <x v="2"/>
  </r>
  <r>
    <x v="1"/>
    <x v="120"/>
    <x v="1"/>
    <x v="4"/>
    <x v="15"/>
    <n v="184"/>
    <n v="80"/>
    <n v="5"/>
    <n v="3"/>
    <n v="2990"/>
    <n v="1"/>
    <n v="2990"/>
    <n v="1"/>
    <n v="15"/>
    <n v="174"/>
    <n v="2025"/>
    <x v="7"/>
    <s v="购中推荐"/>
    <x v="2"/>
    <x v="2"/>
  </r>
  <r>
    <x v="1"/>
    <x v="120"/>
    <x v="1"/>
    <x v="4"/>
    <x v="16"/>
    <n v="1105"/>
    <n v="557"/>
    <n v="36"/>
    <n v="10"/>
    <n v="21670"/>
    <n v="4"/>
    <n v="21670"/>
    <n v="4"/>
    <n v="58"/>
    <n v="998"/>
    <n v="2025"/>
    <x v="7"/>
    <s v="购后推荐"/>
    <x v="2"/>
    <x v="2"/>
  </r>
  <r>
    <x v="1"/>
    <x v="120"/>
    <x v="1"/>
    <x v="4"/>
    <x v="17"/>
    <n v="10068"/>
    <n v="4683"/>
    <n v="89"/>
    <n v="30"/>
    <n v="21570"/>
    <n v="5"/>
    <n v="21570"/>
    <n v="5"/>
    <n v="275"/>
    <n v="10068"/>
    <n v="2025"/>
    <x v="7"/>
    <s v="首页推荐-微详情"/>
    <x v="2"/>
    <x v="2"/>
  </r>
  <r>
    <x v="1"/>
    <x v="120"/>
    <x v="1"/>
    <x v="4"/>
    <x v="18"/>
    <n v="144"/>
    <n v="86"/>
    <n v="1"/>
    <n v="1"/>
    <n v="9800"/>
    <n v="1"/>
    <n v="9800"/>
    <n v="1"/>
    <n v="6"/>
    <n v="57"/>
    <n v="2025"/>
    <x v="7"/>
    <s v="首页推荐-直播"/>
    <x v="2"/>
    <x v="2"/>
  </r>
  <r>
    <x v="1"/>
    <x v="120"/>
    <x v="1"/>
    <x v="4"/>
    <x v="19"/>
    <n v="210"/>
    <n v="117"/>
    <n v="1"/>
    <n v="0"/>
    <n v="0"/>
    <n v="0"/>
    <n v="0"/>
    <n v="0"/>
    <n v="3"/>
    <n v="20"/>
    <n v="2025"/>
    <x v="7"/>
    <s v="首页推荐-短视频"/>
    <x v="2"/>
    <x v="2"/>
  </r>
  <r>
    <x v="1"/>
    <x v="120"/>
    <x v="1"/>
    <x v="12"/>
    <x v="42"/>
    <n v="2577"/>
    <n v="2138"/>
    <n v="73"/>
    <n v="17"/>
    <n v="63635"/>
    <n v="10"/>
    <n v="31180"/>
    <n v="8"/>
    <n v="340"/>
    <n v="2480"/>
    <n v="2025"/>
    <x v="7"/>
    <s v="手淘搜索-商品及其他"/>
    <x v="2"/>
    <x v="2"/>
  </r>
  <r>
    <x v="1"/>
    <x v="120"/>
    <x v="1"/>
    <x v="12"/>
    <x v="43"/>
    <n v="16"/>
    <n v="10"/>
    <n v="1"/>
    <n v="0"/>
    <n v="9800"/>
    <n v="1"/>
    <n v="9800"/>
    <n v="1"/>
    <n v="4"/>
    <n v="14"/>
    <n v="2025"/>
    <x v="7"/>
    <s v="手淘搜索-直播"/>
    <x v="2"/>
    <x v="2"/>
  </r>
  <r>
    <x v="1"/>
    <x v="120"/>
    <x v="1"/>
    <x v="12"/>
    <x v="44"/>
    <n v="29"/>
    <n v="11"/>
    <n v="0"/>
    <n v="0"/>
    <n v="0"/>
    <n v="0"/>
    <n v="0"/>
    <n v="0"/>
    <n v="3"/>
    <n v="29"/>
    <n v="2025"/>
    <x v="7"/>
    <s v="手淘搜索-短视频"/>
    <x v="2"/>
    <x v="2"/>
  </r>
  <r>
    <x v="1"/>
    <x v="120"/>
    <x v="1"/>
    <x v="11"/>
    <x v="37"/>
    <n v="1"/>
    <n v="0"/>
    <n v="0"/>
    <n v="0"/>
    <n v="0"/>
    <n v="0"/>
    <n v="0"/>
    <n v="0"/>
    <n v="0"/>
    <n v="1"/>
    <n v="2025"/>
    <x v="7"/>
    <s v="淘特其他渠道"/>
    <x v="2"/>
    <x v="2"/>
  </r>
  <r>
    <x v="1"/>
    <x v="120"/>
    <x v="1"/>
    <x v="13"/>
    <x v="46"/>
    <n v="1"/>
    <n v="0"/>
    <n v="0"/>
    <n v="0"/>
    <n v="0"/>
    <n v="0"/>
    <n v="0"/>
    <n v="0"/>
    <n v="0"/>
    <n v="0"/>
    <n v="2025"/>
    <x v="7"/>
    <s v="飞猪其他"/>
    <x v="2"/>
    <x v="2"/>
  </r>
  <r>
    <x v="1"/>
    <x v="120"/>
    <x v="0"/>
    <x v="5"/>
    <x v="47"/>
    <n v="12"/>
    <n v="8"/>
    <n v="0"/>
    <n v="0"/>
    <n v="0"/>
    <n v="0"/>
    <n v="0"/>
    <n v="0"/>
    <n v="0"/>
    <n v="0"/>
    <n v="2025"/>
    <x v="7"/>
    <s v="短直联动"/>
    <x v="2"/>
    <x v="2"/>
  </r>
  <r>
    <x v="1"/>
    <x v="120"/>
    <x v="0"/>
    <x v="5"/>
    <x v="41"/>
    <n v="1584"/>
    <n v="821"/>
    <n v="21"/>
    <n v="1"/>
    <n v="0"/>
    <n v="0"/>
    <n v="0"/>
    <n v="0"/>
    <n v="44"/>
    <n v="507"/>
    <n v="2025"/>
    <x v="7"/>
    <s v="超级直播"/>
    <x v="2"/>
    <x v="2"/>
  </r>
  <r>
    <x v="1"/>
    <x v="120"/>
    <x v="0"/>
    <x v="5"/>
    <x v="20"/>
    <n v="87"/>
    <n v="64"/>
    <n v="0"/>
    <n v="0"/>
    <n v="0"/>
    <n v="0"/>
    <n v="0"/>
    <n v="0"/>
    <n v="3"/>
    <n v="76"/>
    <n v="2025"/>
    <x v="7"/>
    <s v="超级短视频"/>
    <x v="2"/>
    <x v="2"/>
  </r>
  <r>
    <x v="1"/>
    <x v="120"/>
    <x v="0"/>
    <x v="0"/>
    <x v="0"/>
    <n v="838"/>
    <n v="651"/>
    <n v="31"/>
    <n v="6"/>
    <n v="32280"/>
    <n v="4"/>
    <n v="22480"/>
    <n v="4"/>
    <n v="830"/>
    <n v="432"/>
    <n v="2025"/>
    <x v="7"/>
    <s v="万相台"/>
    <x v="2"/>
    <x v="2"/>
  </r>
  <r>
    <x v="1"/>
    <x v="120"/>
    <x v="0"/>
    <x v="0"/>
    <x v="1"/>
    <n v="24950"/>
    <n v="11658"/>
    <n v="87"/>
    <n v="123"/>
    <n v="50850"/>
    <n v="6"/>
    <n v="25470"/>
    <n v="4"/>
    <n v="423"/>
    <n v="24948"/>
    <n v="2025"/>
    <x v="7"/>
    <s v="引力魔方"/>
    <x v="2"/>
    <x v="2"/>
  </r>
  <r>
    <x v="1"/>
    <x v="120"/>
    <x v="0"/>
    <x v="0"/>
    <x v="2"/>
    <n v="5908"/>
    <n v="5050"/>
    <n v="55"/>
    <n v="25"/>
    <n v="46320"/>
    <n v="8"/>
    <n v="31020"/>
    <n v="7"/>
    <n v="343"/>
    <n v="5830"/>
    <n v="2025"/>
    <x v="7"/>
    <s v="直通车"/>
    <x v="2"/>
    <x v="2"/>
  </r>
  <r>
    <x v="1"/>
    <x v="120"/>
    <x v="0"/>
    <x v="7"/>
    <x v="23"/>
    <n v="4"/>
    <n v="2"/>
    <n v="0"/>
    <n v="0"/>
    <n v="0"/>
    <n v="0"/>
    <n v="0"/>
    <n v="0"/>
    <n v="1"/>
    <n v="4"/>
    <n v="2025"/>
    <x v="7"/>
    <s v="流量宝"/>
    <x v="2"/>
    <x v="2"/>
  </r>
  <r>
    <x v="1"/>
    <x v="120"/>
    <x v="0"/>
    <x v="7"/>
    <x v="24"/>
    <n v="349"/>
    <n v="107"/>
    <n v="7"/>
    <n v="1"/>
    <n v="3750"/>
    <n v="1"/>
    <n v="3750"/>
    <n v="1"/>
    <n v="5"/>
    <n v="349"/>
    <n v="2025"/>
    <x v="7"/>
    <s v="淘宝客"/>
    <x v="2"/>
    <x v="2"/>
  </r>
  <r>
    <x v="1"/>
    <x v="121"/>
    <x v="1"/>
    <x v="8"/>
    <x v="25"/>
    <n v="134"/>
    <n v="63"/>
    <n v="3"/>
    <n v="1"/>
    <n v="0"/>
    <n v="0"/>
    <n v="0"/>
    <n v="0"/>
    <n v="11"/>
    <n v="133"/>
    <n v="2025"/>
    <x v="7"/>
    <s v="主会场"/>
    <x v="2"/>
    <x v="2"/>
  </r>
  <r>
    <x v="1"/>
    <x v="121"/>
    <x v="1"/>
    <x v="1"/>
    <x v="3"/>
    <n v="2"/>
    <n v="1"/>
    <n v="0"/>
    <n v="0"/>
    <n v="0"/>
    <n v="0"/>
    <n v="0"/>
    <n v="0"/>
    <n v="0"/>
    <n v="2"/>
    <n v="2025"/>
    <x v="7"/>
    <s v="其他入口榜单"/>
    <x v="2"/>
    <x v="2"/>
  </r>
  <r>
    <x v="1"/>
    <x v="121"/>
    <x v="1"/>
    <x v="3"/>
    <x v="12"/>
    <n v="37"/>
    <n v="17"/>
    <n v="1"/>
    <n v="0"/>
    <n v="4290"/>
    <n v="1"/>
    <n v="4290"/>
    <n v="1"/>
    <n v="33"/>
    <n v="24"/>
    <n v="2025"/>
    <x v="7"/>
    <s v="店铺超链"/>
    <x v="2"/>
    <x v="2"/>
  </r>
  <r>
    <x v="1"/>
    <x v="121"/>
    <x v="1"/>
    <x v="4"/>
    <x v="13"/>
    <n v="842"/>
    <n v="358"/>
    <n v="38"/>
    <n v="9"/>
    <n v="13000"/>
    <n v="2"/>
    <n v="13000"/>
    <n v="2"/>
    <n v="105"/>
    <n v="818"/>
    <n v="2025"/>
    <x v="7"/>
    <s v="其他猜你喜欢"/>
    <x v="2"/>
    <x v="2"/>
  </r>
  <r>
    <x v="1"/>
    <x v="121"/>
    <x v="1"/>
    <x v="4"/>
    <x v="15"/>
    <n v="142"/>
    <n v="64"/>
    <n v="6"/>
    <n v="0"/>
    <n v="11670"/>
    <n v="3"/>
    <n v="11670"/>
    <n v="3"/>
    <n v="15"/>
    <n v="136"/>
    <n v="2025"/>
    <x v="7"/>
    <s v="购中推荐"/>
    <x v="2"/>
    <x v="2"/>
  </r>
  <r>
    <x v="1"/>
    <x v="121"/>
    <x v="1"/>
    <x v="4"/>
    <x v="16"/>
    <n v="856"/>
    <n v="354"/>
    <n v="35"/>
    <n v="6"/>
    <n v="25370"/>
    <n v="4"/>
    <n v="14930"/>
    <n v="2"/>
    <n v="56"/>
    <n v="826"/>
    <n v="2025"/>
    <x v="7"/>
    <s v="购后推荐"/>
    <x v="2"/>
    <x v="2"/>
  </r>
  <r>
    <x v="1"/>
    <x v="121"/>
    <x v="1"/>
    <x v="4"/>
    <x v="17"/>
    <n v="11873"/>
    <n v="6622"/>
    <n v="103"/>
    <n v="27"/>
    <n v="139545"/>
    <n v="20"/>
    <n v="107365"/>
    <n v="17"/>
    <n v="258"/>
    <n v="11873"/>
    <n v="2025"/>
    <x v="7"/>
    <s v="首页推荐-微详情"/>
    <x v="2"/>
    <x v="2"/>
  </r>
  <r>
    <x v="1"/>
    <x v="121"/>
    <x v="1"/>
    <x v="4"/>
    <x v="18"/>
    <n v="123"/>
    <n v="62"/>
    <n v="3"/>
    <n v="0"/>
    <n v="0"/>
    <n v="0"/>
    <n v="0"/>
    <n v="0"/>
    <n v="9"/>
    <n v="69"/>
    <n v="2025"/>
    <x v="7"/>
    <s v="首页推荐-直播"/>
    <x v="2"/>
    <x v="2"/>
  </r>
  <r>
    <x v="1"/>
    <x v="121"/>
    <x v="1"/>
    <x v="4"/>
    <x v="19"/>
    <n v="159"/>
    <n v="96"/>
    <n v="1"/>
    <n v="0"/>
    <n v="3490"/>
    <n v="1"/>
    <n v="3490"/>
    <n v="1"/>
    <n v="3"/>
    <n v="22"/>
    <n v="2025"/>
    <x v="7"/>
    <s v="首页推荐-短视频"/>
    <x v="2"/>
    <x v="2"/>
  </r>
  <r>
    <x v="1"/>
    <x v="121"/>
    <x v="1"/>
    <x v="12"/>
    <x v="42"/>
    <n v="2046"/>
    <n v="1597"/>
    <n v="50"/>
    <n v="24"/>
    <n v="91875"/>
    <n v="14"/>
    <n v="81975"/>
    <n v="13"/>
    <n v="322"/>
    <n v="1956"/>
    <n v="2025"/>
    <x v="7"/>
    <s v="手淘搜索-商品及其他"/>
    <x v="2"/>
    <x v="2"/>
  </r>
  <r>
    <x v="1"/>
    <x v="121"/>
    <x v="1"/>
    <x v="12"/>
    <x v="43"/>
    <n v="17"/>
    <n v="8"/>
    <n v="0"/>
    <n v="0"/>
    <n v="0"/>
    <n v="0"/>
    <n v="0"/>
    <n v="0"/>
    <n v="2"/>
    <n v="17"/>
    <n v="2025"/>
    <x v="7"/>
    <s v="手淘搜索-直播"/>
    <x v="2"/>
    <x v="2"/>
  </r>
  <r>
    <x v="1"/>
    <x v="121"/>
    <x v="1"/>
    <x v="12"/>
    <x v="44"/>
    <n v="34"/>
    <n v="19"/>
    <n v="1"/>
    <n v="0"/>
    <n v="0"/>
    <n v="0"/>
    <n v="0"/>
    <n v="0"/>
    <n v="0"/>
    <n v="34"/>
    <n v="2025"/>
    <x v="7"/>
    <s v="手淘搜索-短视频"/>
    <x v="2"/>
    <x v="2"/>
  </r>
  <r>
    <x v="1"/>
    <x v="121"/>
    <x v="1"/>
    <x v="11"/>
    <x v="37"/>
    <n v="1"/>
    <n v="0"/>
    <n v="0"/>
    <n v="0"/>
    <n v="0"/>
    <n v="0"/>
    <n v="0"/>
    <n v="0"/>
    <n v="1"/>
    <n v="1"/>
    <n v="2025"/>
    <x v="7"/>
    <s v="淘特其他渠道"/>
    <x v="2"/>
    <x v="2"/>
  </r>
  <r>
    <x v="1"/>
    <x v="121"/>
    <x v="1"/>
    <x v="11"/>
    <x v="40"/>
    <n v="1"/>
    <n v="0"/>
    <n v="0"/>
    <n v="0"/>
    <n v="0"/>
    <n v="0"/>
    <n v="0"/>
    <n v="0"/>
    <n v="0"/>
    <n v="1"/>
    <n v="2025"/>
    <x v="7"/>
    <s v="淘特自主访问"/>
    <x v="2"/>
    <x v="2"/>
  </r>
  <r>
    <x v="1"/>
    <x v="121"/>
    <x v="0"/>
    <x v="5"/>
    <x v="47"/>
    <n v="9"/>
    <n v="7"/>
    <n v="0"/>
    <n v="0"/>
    <n v="0"/>
    <n v="0"/>
    <n v="0"/>
    <n v="0"/>
    <n v="0"/>
    <n v="0"/>
    <n v="2025"/>
    <x v="7"/>
    <s v="短直联动"/>
    <x v="2"/>
    <x v="2"/>
  </r>
  <r>
    <x v="1"/>
    <x v="121"/>
    <x v="0"/>
    <x v="5"/>
    <x v="41"/>
    <n v="1614"/>
    <n v="1021"/>
    <n v="21"/>
    <n v="5"/>
    <n v="0"/>
    <n v="0"/>
    <n v="0"/>
    <n v="0"/>
    <n v="48"/>
    <n v="977"/>
    <n v="2025"/>
    <x v="7"/>
    <s v="超级直播"/>
    <x v="2"/>
    <x v="2"/>
  </r>
  <r>
    <x v="1"/>
    <x v="121"/>
    <x v="0"/>
    <x v="5"/>
    <x v="20"/>
    <n v="152"/>
    <n v="118"/>
    <n v="1"/>
    <n v="1"/>
    <n v="0"/>
    <n v="0"/>
    <n v="0"/>
    <n v="0"/>
    <n v="5"/>
    <n v="139"/>
    <n v="2025"/>
    <x v="7"/>
    <s v="超级短视频"/>
    <x v="2"/>
    <x v="2"/>
  </r>
  <r>
    <x v="1"/>
    <x v="121"/>
    <x v="0"/>
    <x v="6"/>
    <x v="45"/>
    <n v="1"/>
    <n v="0"/>
    <n v="0"/>
    <n v="0"/>
    <n v="0"/>
    <n v="0"/>
    <n v="0"/>
    <n v="0"/>
    <n v="0"/>
    <n v="1"/>
    <n v="2025"/>
    <x v="7"/>
    <s v="品牌定制"/>
    <x v="2"/>
    <x v="2"/>
  </r>
  <r>
    <x v="1"/>
    <x v="121"/>
    <x v="0"/>
    <x v="0"/>
    <x v="0"/>
    <n v="914"/>
    <n v="758"/>
    <n v="25"/>
    <n v="10"/>
    <n v="53865"/>
    <n v="8"/>
    <n v="36975"/>
    <n v="7"/>
    <n v="913"/>
    <n v="477"/>
    <n v="2025"/>
    <x v="7"/>
    <s v="万相台"/>
    <x v="2"/>
    <x v="2"/>
  </r>
  <r>
    <x v="1"/>
    <x v="121"/>
    <x v="0"/>
    <x v="0"/>
    <x v="1"/>
    <n v="26112"/>
    <n v="13815"/>
    <n v="81"/>
    <n v="128"/>
    <n v="20965"/>
    <n v="7"/>
    <n v="17715"/>
    <n v="6"/>
    <n v="333"/>
    <n v="26111"/>
    <n v="2025"/>
    <x v="7"/>
    <s v="引力魔方"/>
    <x v="2"/>
    <x v="2"/>
  </r>
  <r>
    <x v="1"/>
    <x v="121"/>
    <x v="0"/>
    <x v="0"/>
    <x v="2"/>
    <n v="6721"/>
    <n v="5746"/>
    <n v="56"/>
    <n v="24"/>
    <n v="142130"/>
    <n v="12"/>
    <n v="69410"/>
    <n v="8"/>
    <n v="368"/>
    <n v="6663"/>
    <n v="2025"/>
    <x v="7"/>
    <s v="直通车"/>
    <x v="2"/>
    <x v="2"/>
  </r>
  <r>
    <x v="1"/>
    <x v="121"/>
    <x v="0"/>
    <x v="7"/>
    <x v="23"/>
    <n v="3"/>
    <n v="3"/>
    <n v="0"/>
    <n v="0"/>
    <n v="0"/>
    <n v="0"/>
    <n v="0"/>
    <n v="0"/>
    <n v="0"/>
    <n v="2"/>
    <n v="2025"/>
    <x v="7"/>
    <s v="流量宝"/>
    <x v="2"/>
    <x v="2"/>
  </r>
  <r>
    <x v="1"/>
    <x v="121"/>
    <x v="0"/>
    <x v="7"/>
    <x v="24"/>
    <n v="361"/>
    <n v="101"/>
    <n v="5"/>
    <n v="1"/>
    <n v="16470"/>
    <n v="4"/>
    <n v="16470"/>
    <n v="4"/>
    <n v="9"/>
    <n v="356"/>
    <n v="2025"/>
    <x v="7"/>
    <s v="淘宝客"/>
    <x v="2"/>
    <x v="2"/>
  </r>
  <r>
    <x v="1"/>
    <x v="122"/>
    <x v="1"/>
    <x v="8"/>
    <x v="25"/>
    <n v="98"/>
    <n v="62"/>
    <n v="1"/>
    <n v="0"/>
    <n v="6990"/>
    <n v="1"/>
    <n v="0"/>
    <n v="0"/>
    <n v="9"/>
    <n v="95"/>
    <n v="2025"/>
    <x v="7"/>
    <s v="主会场"/>
    <x v="2"/>
    <x v="2"/>
  </r>
  <r>
    <x v="1"/>
    <x v="122"/>
    <x v="1"/>
    <x v="1"/>
    <x v="3"/>
    <n v="1"/>
    <n v="0"/>
    <n v="0"/>
    <n v="0"/>
    <n v="0"/>
    <n v="0"/>
    <n v="0"/>
    <n v="0"/>
    <n v="0"/>
    <n v="1"/>
    <n v="2025"/>
    <x v="7"/>
    <s v="其他入口榜单"/>
    <x v="2"/>
    <x v="2"/>
  </r>
  <r>
    <x v="1"/>
    <x v="122"/>
    <x v="1"/>
    <x v="3"/>
    <x v="12"/>
    <n v="44"/>
    <n v="16"/>
    <n v="4"/>
    <n v="0"/>
    <n v="6940"/>
    <n v="3"/>
    <n v="3450"/>
    <n v="2"/>
    <n v="39"/>
    <n v="24"/>
    <n v="2025"/>
    <x v="7"/>
    <s v="店铺超链"/>
    <x v="2"/>
    <x v="2"/>
  </r>
  <r>
    <x v="1"/>
    <x v="122"/>
    <x v="1"/>
    <x v="4"/>
    <x v="13"/>
    <n v="814"/>
    <n v="356"/>
    <n v="21"/>
    <n v="6"/>
    <n v="32715"/>
    <n v="5"/>
    <n v="17215"/>
    <n v="4"/>
    <n v="69"/>
    <n v="780"/>
    <n v="2025"/>
    <x v="7"/>
    <s v="其他猜你喜欢"/>
    <x v="2"/>
    <x v="2"/>
  </r>
  <r>
    <x v="1"/>
    <x v="122"/>
    <x v="1"/>
    <x v="4"/>
    <x v="15"/>
    <n v="189"/>
    <n v="87"/>
    <n v="7"/>
    <n v="0"/>
    <n v="10182.049999999999"/>
    <n v="2"/>
    <n v="10182.049999999999"/>
    <n v="2"/>
    <n v="16"/>
    <n v="156"/>
    <n v="2025"/>
    <x v="7"/>
    <s v="购中推荐"/>
    <x v="2"/>
    <x v="2"/>
  </r>
  <r>
    <x v="1"/>
    <x v="122"/>
    <x v="1"/>
    <x v="4"/>
    <x v="16"/>
    <n v="1035"/>
    <n v="562"/>
    <n v="23"/>
    <n v="10"/>
    <n v="12865"/>
    <n v="4"/>
    <n v="12865"/>
    <n v="4"/>
    <n v="38"/>
    <n v="831"/>
    <n v="2025"/>
    <x v="7"/>
    <s v="购后推荐"/>
    <x v="2"/>
    <x v="2"/>
  </r>
  <r>
    <x v="1"/>
    <x v="122"/>
    <x v="1"/>
    <x v="4"/>
    <x v="17"/>
    <n v="12022"/>
    <n v="6561"/>
    <n v="110"/>
    <n v="20"/>
    <n v="67016.149999999994"/>
    <n v="16"/>
    <n v="55426.15"/>
    <n v="13"/>
    <n v="257"/>
    <n v="12022"/>
    <n v="2025"/>
    <x v="7"/>
    <s v="首页推荐-微详情"/>
    <x v="2"/>
    <x v="2"/>
  </r>
  <r>
    <x v="1"/>
    <x v="122"/>
    <x v="1"/>
    <x v="4"/>
    <x v="18"/>
    <n v="131"/>
    <n v="71"/>
    <n v="2"/>
    <n v="2"/>
    <n v="1990"/>
    <n v="1"/>
    <n v="0"/>
    <n v="0"/>
    <n v="10"/>
    <n v="79"/>
    <n v="2025"/>
    <x v="7"/>
    <s v="首页推荐-直播"/>
    <x v="2"/>
    <x v="2"/>
  </r>
  <r>
    <x v="1"/>
    <x v="122"/>
    <x v="1"/>
    <x v="4"/>
    <x v="19"/>
    <n v="470"/>
    <n v="324"/>
    <n v="0"/>
    <n v="0"/>
    <n v="0"/>
    <n v="0"/>
    <n v="0"/>
    <n v="0"/>
    <n v="3"/>
    <n v="34"/>
    <n v="2025"/>
    <x v="7"/>
    <s v="首页推荐-短视频"/>
    <x v="2"/>
    <x v="2"/>
  </r>
  <r>
    <x v="1"/>
    <x v="122"/>
    <x v="1"/>
    <x v="12"/>
    <x v="42"/>
    <n v="2382"/>
    <n v="1962"/>
    <n v="70"/>
    <n v="19"/>
    <n v="115155"/>
    <n v="19"/>
    <n v="66490"/>
    <n v="13"/>
    <n v="308"/>
    <n v="2322"/>
    <n v="2025"/>
    <x v="7"/>
    <s v="手淘搜索-商品及其他"/>
    <x v="2"/>
    <x v="2"/>
  </r>
  <r>
    <x v="1"/>
    <x v="122"/>
    <x v="1"/>
    <x v="12"/>
    <x v="43"/>
    <n v="11"/>
    <n v="7"/>
    <n v="0"/>
    <n v="0"/>
    <n v="0"/>
    <n v="0"/>
    <n v="0"/>
    <n v="0"/>
    <n v="2"/>
    <n v="10"/>
    <n v="2025"/>
    <x v="7"/>
    <s v="手淘搜索-直播"/>
    <x v="2"/>
    <x v="2"/>
  </r>
  <r>
    <x v="1"/>
    <x v="122"/>
    <x v="1"/>
    <x v="12"/>
    <x v="44"/>
    <n v="35"/>
    <n v="19"/>
    <n v="4"/>
    <n v="0"/>
    <n v="0"/>
    <n v="0"/>
    <n v="0"/>
    <n v="0"/>
    <n v="3"/>
    <n v="35"/>
    <n v="2025"/>
    <x v="7"/>
    <s v="手淘搜索-短视频"/>
    <x v="2"/>
    <x v="2"/>
  </r>
  <r>
    <x v="1"/>
    <x v="122"/>
    <x v="1"/>
    <x v="11"/>
    <x v="39"/>
    <n v="1"/>
    <n v="0"/>
    <n v="0"/>
    <n v="0"/>
    <n v="0"/>
    <n v="0"/>
    <n v="0"/>
    <n v="0"/>
    <n v="0"/>
    <n v="1"/>
    <n v="2025"/>
    <x v="7"/>
    <s v="淘特搜索"/>
    <x v="2"/>
    <x v="2"/>
  </r>
  <r>
    <x v="1"/>
    <x v="122"/>
    <x v="1"/>
    <x v="11"/>
    <x v="40"/>
    <n v="1"/>
    <n v="0"/>
    <n v="0"/>
    <n v="0"/>
    <n v="0"/>
    <n v="0"/>
    <n v="0"/>
    <n v="0"/>
    <n v="0"/>
    <n v="1"/>
    <n v="2025"/>
    <x v="7"/>
    <s v="淘特自主访问"/>
    <x v="2"/>
    <x v="2"/>
  </r>
  <r>
    <x v="1"/>
    <x v="122"/>
    <x v="0"/>
    <x v="5"/>
    <x v="47"/>
    <n v="11"/>
    <n v="10"/>
    <n v="0"/>
    <n v="0"/>
    <n v="0"/>
    <n v="0"/>
    <n v="0"/>
    <n v="0"/>
    <n v="0"/>
    <n v="0"/>
    <n v="2025"/>
    <x v="7"/>
    <s v="短直联动"/>
    <x v="2"/>
    <x v="2"/>
  </r>
  <r>
    <x v="1"/>
    <x v="122"/>
    <x v="0"/>
    <x v="5"/>
    <x v="41"/>
    <n v="1450"/>
    <n v="1002"/>
    <n v="7"/>
    <n v="2"/>
    <n v="0"/>
    <n v="0"/>
    <n v="0"/>
    <n v="0"/>
    <n v="28"/>
    <n v="475"/>
    <n v="2025"/>
    <x v="7"/>
    <s v="超级直播"/>
    <x v="2"/>
    <x v="2"/>
  </r>
  <r>
    <x v="1"/>
    <x v="122"/>
    <x v="0"/>
    <x v="5"/>
    <x v="20"/>
    <n v="152"/>
    <n v="121"/>
    <n v="0"/>
    <n v="0"/>
    <n v="0"/>
    <n v="0"/>
    <n v="0"/>
    <n v="0"/>
    <n v="4"/>
    <n v="145"/>
    <n v="2025"/>
    <x v="7"/>
    <s v="超级短视频"/>
    <x v="2"/>
    <x v="2"/>
  </r>
  <r>
    <x v="1"/>
    <x v="122"/>
    <x v="0"/>
    <x v="6"/>
    <x v="49"/>
    <n v="1"/>
    <n v="0"/>
    <n v="0"/>
    <n v="0"/>
    <n v="0"/>
    <n v="0"/>
    <n v="0"/>
    <n v="0"/>
    <n v="0"/>
    <n v="1"/>
    <n v="2025"/>
    <x v="7"/>
    <s v="超级全域通"/>
    <x v="2"/>
    <x v="2"/>
  </r>
  <r>
    <x v="1"/>
    <x v="122"/>
    <x v="0"/>
    <x v="0"/>
    <x v="0"/>
    <n v="847"/>
    <n v="677"/>
    <n v="33"/>
    <n v="9"/>
    <n v="30210"/>
    <n v="6"/>
    <n v="28720"/>
    <n v="5"/>
    <n v="843"/>
    <n v="462"/>
    <n v="2025"/>
    <x v="7"/>
    <s v="万相台"/>
    <x v="2"/>
    <x v="2"/>
  </r>
  <r>
    <x v="1"/>
    <x v="122"/>
    <x v="0"/>
    <x v="0"/>
    <x v="1"/>
    <n v="23064"/>
    <n v="11759"/>
    <n v="57"/>
    <n v="120"/>
    <n v="19870"/>
    <n v="4"/>
    <n v="6430"/>
    <n v="2"/>
    <n v="279"/>
    <n v="23063"/>
    <n v="2025"/>
    <x v="7"/>
    <s v="引力魔方"/>
    <x v="2"/>
    <x v="2"/>
  </r>
  <r>
    <x v="1"/>
    <x v="122"/>
    <x v="0"/>
    <x v="0"/>
    <x v="2"/>
    <n v="5984"/>
    <n v="5203"/>
    <n v="38"/>
    <n v="23"/>
    <n v="95700"/>
    <n v="10"/>
    <n v="44710"/>
    <n v="7"/>
    <n v="278"/>
    <n v="5935"/>
    <n v="2025"/>
    <x v="7"/>
    <s v="直通车"/>
    <x v="2"/>
    <x v="2"/>
  </r>
  <r>
    <x v="1"/>
    <x v="122"/>
    <x v="0"/>
    <x v="7"/>
    <x v="23"/>
    <n v="4"/>
    <n v="2"/>
    <n v="0"/>
    <n v="0"/>
    <n v="0"/>
    <n v="0"/>
    <n v="0"/>
    <n v="0"/>
    <n v="0"/>
    <n v="4"/>
    <n v="2025"/>
    <x v="7"/>
    <s v="流量宝"/>
    <x v="2"/>
    <x v="2"/>
  </r>
  <r>
    <x v="1"/>
    <x v="122"/>
    <x v="0"/>
    <x v="7"/>
    <x v="24"/>
    <n v="345"/>
    <n v="97"/>
    <n v="7"/>
    <n v="0"/>
    <n v="10640"/>
    <n v="2"/>
    <n v="10640"/>
    <n v="2"/>
    <n v="1"/>
    <n v="343"/>
    <n v="2025"/>
    <x v="7"/>
    <s v="淘宝客"/>
    <x v="2"/>
    <x v="2"/>
  </r>
  <r>
    <x v="1"/>
    <x v="123"/>
    <x v="1"/>
    <x v="8"/>
    <x v="25"/>
    <n v="180"/>
    <n v="78"/>
    <n v="1"/>
    <n v="1"/>
    <n v="6990"/>
    <n v="1"/>
    <n v="6990"/>
    <n v="1"/>
    <n v="16"/>
    <n v="174"/>
    <n v="2025"/>
    <x v="6"/>
    <s v="主会场"/>
    <x v="2"/>
    <x v="2"/>
  </r>
  <r>
    <x v="1"/>
    <x v="123"/>
    <x v="1"/>
    <x v="8"/>
    <x v="26"/>
    <n v="2"/>
    <n v="2"/>
    <n v="0"/>
    <n v="0"/>
    <n v="0"/>
    <n v="0"/>
    <n v="0"/>
    <n v="0"/>
    <n v="0"/>
    <n v="2"/>
    <n v="2025"/>
    <x v="6"/>
    <s v="榜单会场"/>
    <x v="2"/>
    <x v="2"/>
  </r>
  <r>
    <x v="1"/>
    <x v="123"/>
    <x v="1"/>
    <x v="1"/>
    <x v="3"/>
    <n v="1"/>
    <n v="1"/>
    <n v="0"/>
    <n v="0"/>
    <n v="0"/>
    <n v="0"/>
    <n v="0"/>
    <n v="0"/>
    <n v="0"/>
    <n v="1"/>
    <n v="2025"/>
    <x v="6"/>
    <s v="其他入口榜单"/>
    <x v="2"/>
    <x v="2"/>
  </r>
  <r>
    <x v="1"/>
    <x v="123"/>
    <x v="1"/>
    <x v="1"/>
    <x v="28"/>
    <n v="1"/>
    <n v="1"/>
    <n v="0"/>
    <n v="0"/>
    <n v="0"/>
    <n v="0"/>
    <n v="0"/>
    <n v="0"/>
    <n v="0"/>
    <n v="1"/>
    <n v="2025"/>
    <x v="6"/>
    <s v="商品详情页入口榜单"/>
    <x v="2"/>
    <x v="2"/>
  </r>
  <r>
    <x v="1"/>
    <x v="123"/>
    <x v="1"/>
    <x v="3"/>
    <x v="11"/>
    <n v="1"/>
    <n v="0"/>
    <n v="0"/>
    <n v="0"/>
    <n v="0"/>
    <n v="0"/>
    <n v="0"/>
    <n v="0"/>
    <n v="0"/>
    <n v="1"/>
    <n v="2025"/>
    <x v="6"/>
    <s v="商品详情页头图推荐"/>
    <x v="2"/>
    <x v="2"/>
  </r>
  <r>
    <x v="1"/>
    <x v="123"/>
    <x v="1"/>
    <x v="3"/>
    <x v="12"/>
    <n v="48"/>
    <n v="20"/>
    <n v="6"/>
    <n v="0"/>
    <n v="9285"/>
    <n v="3"/>
    <n v="9285"/>
    <n v="3"/>
    <n v="41"/>
    <n v="25"/>
    <n v="2025"/>
    <x v="6"/>
    <s v="店铺超链"/>
    <x v="2"/>
    <x v="2"/>
  </r>
  <r>
    <x v="1"/>
    <x v="123"/>
    <x v="1"/>
    <x v="4"/>
    <x v="13"/>
    <n v="736"/>
    <n v="306"/>
    <n v="29"/>
    <n v="11"/>
    <n v="53370"/>
    <n v="10"/>
    <n v="31380"/>
    <n v="8"/>
    <n v="50"/>
    <n v="715"/>
    <n v="2025"/>
    <x v="6"/>
    <s v="其他猜你喜欢"/>
    <x v="2"/>
    <x v="2"/>
  </r>
  <r>
    <x v="1"/>
    <x v="123"/>
    <x v="1"/>
    <x v="4"/>
    <x v="15"/>
    <n v="153"/>
    <n v="57"/>
    <n v="4"/>
    <n v="1"/>
    <n v="3800"/>
    <n v="1"/>
    <n v="3800"/>
    <n v="1"/>
    <n v="6"/>
    <n v="147"/>
    <n v="2025"/>
    <x v="6"/>
    <s v="购中推荐"/>
    <x v="2"/>
    <x v="2"/>
  </r>
  <r>
    <x v="1"/>
    <x v="123"/>
    <x v="1"/>
    <x v="4"/>
    <x v="16"/>
    <n v="903"/>
    <n v="440"/>
    <n v="39"/>
    <n v="8"/>
    <n v="45515"/>
    <n v="9"/>
    <n v="40515"/>
    <n v="8"/>
    <n v="47"/>
    <n v="861"/>
    <n v="2025"/>
    <x v="6"/>
    <s v="购后推荐"/>
    <x v="2"/>
    <x v="2"/>
  </r>
  <r>
    <x v="1"/>
    <x v="123"/>
    <x v="1"/>
    <x v="4"/>
    <x v="17"/>
    <n v="8224"/>
    <n v="4022"/>
    <n v="89"/>
    <n v="31"/>
    <n v="100645"/>
    <n v="21"/>
    <n v="78010"/>
    <n v="16"/>
    <n v="188"/>
    <n v="8224"/>
    <n v="2025"/>
    <x v="6"/>
    <s v="首页推荐-微详情"/>
    <x v="2"/>
    <x v="2"/>
  </r>
  <r>
    <x v="1"/>
    <x v="123"/>
    <x v="1"/>
    <x v="4"/>
    <x v="18"/>
    <n v="117"/>
    <n v="73"/>
    <n v="2"/>
    <n v="1"/>
    <n v="0"/>
    <n v="0"/>
    <n v="0"/>
    <n v="0"/>
    <n v="6"/>
    <n v="67"/>
    <n v="2025"/>
    <x v="6"/>
    <s v="首页推荐-直播"/>
    <x v="2"/>
    <x v="2"/>
  </r>
  <r>
    <x v="1"/>
    <x v="123"/>
    <x v="1"/>
    <x v="4"/>
    <x v="19"/>
    <n v="181"/>
    <n v="116"/>
    <n v="2"/>
    <n v="0"/>
    <n v="0"/>
    <n v="0"/>
    <n v="0"/>
    <n v="0"/>
    <n v="4"/>
    <n v="25"/>
    <n v="2025"/>
    <x v="6"/>
    <s v="首页推荐-短视频"/>
    <x v="2"/>
    <x v="2"/>
  </r>
  <r>
    <x v="1"/>
    <x v="123"/>
    <x v="1"/>
    <x v="12"/>
    <x v="42"/>
    <n v="3364"/>
    <n v="2906"/>
    <n v="65"/>
    <n v="19"/>
    <n v="101318.43"/>
    <n v="18"/>
    <n v="57998.43"/>
    <n v="15"/>
    <n v="339"/>
    <n v="3287"/>
    <n v="2025"/>
    <x v="6"/>
    <s v="手淘搜索-商品及其他"/>
    <x v="2"/>
    <x v="2"/>
  </r>
  <r>
    <x v="1"/>
    <x v="123"/>
    <x v="1"/>
    <x v="12"/>
    <x v="43"/>
    <n v="8"/>
    <n v="5"/>
    <n v="0"/>
    <n v="0"/>
    <n v="0"/>
    <n v="0"/>
    <n v="0"/>
    <n v="0"/>
    <n v="1"/>
    <n v="6"/>
    <n v="2025"/>
    <x v="6"/>
    <s v="手淘搜索-直播"/>
    <x v="2"/>
    <x v="2"/>
  </r>
  <r>
    <x v="1"/>
    <x v="123"/>
    <x v="1"/>
    <x v="12"/>
    <x v="44"/>
    <n v="26"/>
    <n v="13"/>
    <n v="0"/>
    <n v="0"/>
    <n v="0"/>
    <n v="0"/>
    <n v="0"/>
    <n v="0"/>
    <n v="1"/>
    <n v="26"/>
    <n v="2025"/>
    <x v="6"/>
    <s v="手淘搜索-短视频"/>
    <x v="2"/>
    <x v="2"/>
  </r>
  <r>
    <x v="1"/>
    <x v="123"/>
    <x v="1"/>
    <x v="11"/>
    <x v="37"/>
    <n v="1"/>
    <n v="0"/>
    <n v="0"/>
    <n v="0"/>
    <n v="0"/>
    <n v="0"/>
    <n v="0"/>
    <n v="0"/>
    <n v="0"/>
    <n v="1"/>
    <n v="2025"/>
    <x v="6"/>
    <s v="淘特其他渠道"/>
    <x v="2"/>
    <x v="2"/>
  </r>
  <r>
    <x v="1"/>
    <x v="123"/>
    <x v="1"/>
    <x v="11"/>
    <x v="39"/>
    <n v="1"/>
    <n v="0"/>
    <n v="0"/>
    <n v="0"/>
    <n v="0"/>
    <n v="0"/>
    <n v="0"/>
    <n v="0"/>
    <n v="0"/>
    <n v="1"/>
    <n v="2025"/>
    <x v="6"/>
    <s v="淘特搜索"/>
    <x v="2"/>
    <x v="2"/>
  </r>
  <r>
    <x v="1"/>
    <x v="123"/>
    <x v="0"/>
    <x v="5"/>
    <x v="47"/>
    <n v="7"/>
    <n v="4"/>
    <n v="0"/>
    <n v="0"/>
    <n v="0"/>
    <n v="0"/>
    <n v="0"/>
    <n v="0"/>
    <n v="0"/>
    <n v="0"/>
    <n v="2025"/>
    <x v="6"/>
    <s v="短直联动"/>
    <x v="2"/>
    <x v="2"/>
  </r>
  <r>
    <x v="1"/>
    <x v="123"/>
    <x v="0"/>
    <x v="5"/>
    <x v="41"/>
    <n v="1087"/>
    <n v="557"/>
    <n v="11"/>
    <n v="1"/>
    <n v="0"/>
    <n v="0"/>
    <n v="0"/>
    <n v="0"/>
    <n v="16"/>
    <n v="295"/>
    <n v="2025"/>
    <x v="6"/>
    <s v="超级直播"/>
    <x v="2"/>
    <x v="2"/>
  </r>
  <r>
    <x v="1"/>
    <x v="123"/>
    <x v="0"/>
    <x v="5"/>
    <x v="20"/>
    <n v="130"/>
    <n v="108"/>
    <n v="0"/>
    <n v="0"/>
    <n v="0"/>
    <n v="0"/>
    <n v="0"/>
    <n v="0"/>
    <n v="5"/>
    <n v="123"/>
    <n v="2025"/>
    <x v="6"/>
    <s v="超级短视频"/>
    <x v="2"/>
    <x v="2"/>
  </r>
  <r>
    <x v="1"/>
    <x v="123"/>
    <x v="0"/>
    <x v="0"/>
    <x v="0"/>
    <n v="771"/>
    <n v="616"/>
    <n v="27"/>
    <n v="4"/>
    <n v="54840"/>
    <n v="7"/>
    <n v="50850"/>
    <n v="7"/>
    <n v="769"/>
    <n v="412"/>
    <n v="2025"/>
    <x v="6"/>
    <s v="万相台"/>
    <x v="2"/>
    <x v="2"/>
  </r>
  <r>
    <x v="1"/>
    <x v="123"/>
    <x v="0"/>
    <x v="0"/>
    <x v="1"/>
    <n v="19360"/>
    <n v="8240"/>
    <n v="72"/>
    <n v="101"/>
    <n v="60470"/>
    <n v="10"/>
    <n v="22100"/>
    <n v="6"/>
    <n v="255"/>
    <n v="19356"/>
    <n v="2025"/>
    <x v="6"/>
    <s v="引力魔方"/>
    <x v="2"/>
    <x v="2"/>
  </r>
  <r>
    <x v="1"/>
    <x v="123"/>
    <x v="0"/>
    <x v="0"/>
    <x v="2"/>
    <n v="5582"/>
    <n v="4788"/>
    <n v="40"/>
    <n v="30"/>
    <n v="70865"/>
    <n v="17"/>
    <n v="49415"/>
    <n v="15"/>
    <n v="279"/>
    <n v="5533"/>
    <n v="2025"/>
    <x v="6"/>
    <s v="直通车"/>
    <x v="2"/>
    <x v="2"/>
  </r>
  <r>
    <x v="1"/>
    <x v="123"/>
    <x v="0"/>
    <x v="7"/>
    <x v="23"/>
    <n v="5"/>
    <n v="4"/>
    <n v="0"/>
    <n v="0"/>
    <n v="0"/>
    <n v="0"/>
    <n v="0"/>
    <n v="0"/>
    <n v="1"/>
    <n v="4"/>
    <n v="2025"/>
    <x v="6"/>
    <s v="流量宝"/>
    <x v="2"/>
    <x v="2"/>
  </r>
  <r>
    <x v="1"/>
    <x v="123"/>
    <x v="0"/>
    <x v="7"/>
    <x v="24"/>
    <n v="308"/>
    <n v="96"/>
    <n v="6"/>
    <n v="2"/>
    <n v="30750"/>
    <n v="2"/>
    <n v="16820"/>
    <n v="2"/>
    <n v="3"/>
    <n v="307"/>
    <n v="2025"/>
    <x v="6"/>
    <s v="淘宝客"/>
    <x v="2"/>
    <x v="2"/>
  </r>
  <r>
    <x v="1"/>
    <x v="124"/>
    <x v="1"/>
    <x v="8"/>
    <x v="25"/>
    <n v="169"/>
    <n v="71"/>
    <n v="5"/>
    <n v="1"/>
    <n v="0"/>
    <n v="0"/>
    <n v="0"/>
    <n v="0"/>
    <n v="12"/>
    <n v="166"/>
    <n v="2025"/>
    <x v="6"/>
    <s v="主会场"/>
    <x v="2"/>
    <x v="2"/>
  </r>
  <r>
    <x v="1"/>
    <x v="124"/>
    <x v="1"/>
    <x v="8"/>
    <x v="26"/>
    <n v="3"/>
    <n v="2"/>
    <n v="0"/>
    <n v="0"/>
    <n v="0"/>
    <n v="0"/>
    <n v="0"/>
    <n v="0"/>
    <n v="1"/>
    <n v="3"/>
    <n v="2025"/>
    <x v="6"/>
    <s v="榜单会场"/>
    <x v="2"/>
    <x v="2"/>
  </r>
  <r>
    <x v="1"/>
    <x v="124"/>
    <x v="1"/>
    <x v="3"/>
    <x v="12"/>
    <n v="40"/>
    <n v="16"/>
    <n v="1"/>
    <n v="0"/>
    <n v="0"/>
    <n v="0"/>
    <n v="0"/>
    <n v="0"/>
    <n v="36"/>
    <n v="22"/>
    <n v="2025"/>
    <x v="6"/>
    <s v="店铺超链"/>
    <x v="2"/>
    <x v="2"/>
  </r>
  <r>
    <x v="1"/>
    <x v="124"/>
    <x v="1"/>
    <x v="4"/>
    <x v="13"/>
    <n v="991"/>
    <n v="496"/>
    <n v="41"/>
    <n v="9"/>
    <n v="36136.269999999997"/>
    <n v="11"/>
    <n v="29406.27"/>
    <n v="11"/>
    <n v="109"/>
    <n v="946"/>
    <n v="2025"/>
    <x v="6"/>
    <s v="其他猜你喜欢"/>
    <x v="2"/>
    <x v="2"/>
  </r>
  <r>
    <x v="1"/>
    <x v="124"/>
    <x v="1"/>
    <x v="4"/>
    <x v="15"/>
    <n v="114"/>
    <n v="49"/>
    <n v="3"/>
    <n v="0"/>
    <n v="0"/>
    <n v="0"/>
    <n v="0"/>
    <n v="0"/>
    <n v="8"/>
    <n v="109"/>
    <n v="2025"/>
    <x v="6"/>
    <s v="购中推荐"/>
    <x v="2"/>
    <x v="2"/>
  </r>
  <r>
    <x v="1"/>
    <x v="124"/>
    <x v="1"/>
    <x v="4"/>
    <x v="16"/>
    <n v="735"/>
    <n v="313"/>
    <n v="26"/>
    <n v="6"/>
    <n v="16940"/>
    <n v="4"/>
    <n v="14850"/>
    <n v="4"/>
    <n v="34"/>
    <n v="690"/>
    <n v="2025"/>
    <x v="6"/>
    <s v="购后推荐"/>
    <x v="2"/>
    <x v="2"/>
  </r>
  <r>
    <x v="1"/>
    <x v="124"/>
    <x v="1"/>
    <x v="4"/>
    <x v="17"/>
    <n v="8634"/>
    <n v="4644"/>
    <n v="87"/>
    <n v="20"/>
    <n v="66450"/>
    <n v="17"/>
    <n v="57720"/>
    <n v="16"/>
    <n v="175"/>
    <n v="8634"/>
    <n v="2025"/>
    <x v="6"/>
    <s v="首页推荐-微详情"/>
    <x v="2"/>
    <x v="2"/>
  </r>
  <r>
    <x v="1"/>
    <x v="124"/>
    <x v="1"/>
    <x v="4"/>
    <x v="18"/>
    <n v="298"/>
    <n v="220"/>
    <n v="0"/>
    <n v="1"/>
    <n v="4895"/>
    <n v="1"/>
    <n v="0"/>
    <n v="0"/>
    <n v="3"/>
    <n v="81"/>
    <n v="2025"/>
    <x v="6"/>
    <s v="首页推荐-直播"/>
    <x v="2"/>
    <x v="2"/>
  </r>
  <r>
    <x v="1"/>
    <x v="124"/>
    <x v="1"/>
    <x v="4"/>
    <x v="19"/>
    <n v="97"/>
    <n v="53"/>
    <n v="0"/>
    <n v="0"/>
    <n v="0"/>
    <n v="0"/>
    <n v="0"/>
    <n v="0"/>
    <n v="1"/>
    <n v="14"/>
    <n v="2025"/>
    <x v="6"/>
    <s v="首页推荐-短视频"/>
    <x v="2"/>
    <x v="2"/>
  </r>
  <r>
    <x v="1"/>
    <x v="124"/>
    <x v="1"/>
    <x v="12"/>
    <x v="42"/>
    <n v="2300"/>
    <n v="1890"/>
    <n v="68"/>
    <n v="18"/>
    <n v="67325"/>
    <n v="10"/>
    <n v="46345"/>
    <n v="8"/>
    <n v="276"/>
    <n v="2246"/>
    <n v="2025"/>
    <x v="6"/>
    <s v="手淘搜索-商品及其他"/>
    <x v="2"/>
    <x v="2"/>
  </r>
  <r>
    <x v="1"/>
    <x v="124"/>
    <x v="1"/>
    <x v="12"/>
    <x v="43"/>
    <n v="22"/>
    <n v="17"/>
    <n v="1"/>
    <n v="0"/>
    <n v="3490"/>
    <n v="1"/>
    <n v="0"/>
    <n v="0"/>
    <n v="2"/>
    <n v="20"/>
    <n v="2025"/>
    <x v="6"/>
    <s v="手淘搜索-直播"/>
    <x v="2"/>
    <x v="2"/>
  </r>
  <r>
    <x v="1"/>
    <x v="124"/>
    <x v="1"/>
    <x v="12"/>
    <x v="44"/>
    <n v="29"/>
    <n v="14"/>
    <n v="0"/>
    <n v="0"/>
    <n v="3990"/>
    <n v="1"/>
    <n v="3990"/>
    <n v="1"/>
    <n v="0"/>
    <n v="29"/>
    <n v="2025"/>
    <x v="6"/>
    <s v="手淘搜索-短视频"/>
    <x v="2"/>
    <x v="2"/>
  </r>
  <r>
    <x v="1"/>
    <x v="124"/>
    <x v="1"/>
    <x v="11"/>
    <x v="37"/>
    <n v="1"/>
    <n v="0"/>
    <n v="0"/>
    <n v="0"/>
    <n v="0"/>
    <n v="0"/>
    <n v="0"/>
    <n v="0"/>
    <n v="0"/>
    <n v="1"/>
    <n v="2025"/>
    <x v="6"/>
    <s v="淘特其他渠道"/>
    <x v="2"/>
    <x v="2"/>
  </r>
  <r>
    <x v="1"/>
    <x v="124"/>
    <x v="1"/>
    <x v="13"/>
    <x v="46"/>
    <n v="1"/>
    <n v="1"/>
    <n v="0"/>
    <n v="0"/>
    <n v="0"/>
    <n v="0"/>
    <n v="0"/>
    <n v="0"/>
    <n v="0"/>
    <n v="0"/>
    <n v="2025"/>
    <x v="6"/>
    <s v="飞猪其他"/>
    <x v="2"/>
    <x v="2"/>
  </r>
  <r>
    <x v="1"/>
    <x v="124"/>
    <x v="0"/>
    <x v="5"/>
    <x v="47"/>
    <n v="4"/>
    <n v="2"/>
    <n v="0"/>
    <n v="0"/>
    <n v="0"/>
    <n v="0"/>
    <n v="0"/>
    <n v="0"/>
    <n v="0"/>
    <n v="0"/>
    <n v="2025"/>
    <x v="6"/>
    <s v="短直联动"/>
    <x v="2"/>
    <x v="2"/>
  </r>
  <r>
    <x v="1"/>
    <x v="124"/>
    <x v="0"/>
    <x v="5"/>
    <x v="41"/>
    <n v="1036"/>
    <n v="549"/>
    <n v="19"/>
    <n v="0"/>
    <n v="0"/>
    <n v="0"/>
    <n v="0"/>
    <n v="0"/>
    <n v="30"/>
    <n v="359"/>
    <n v="2025"/>
    <x v="6"/>
    <s v="超级直播"/>
    <x v="2"/>
    <x v="2"/>
  </r>
  <r>
    <x v="1"/>
    <x v="124"/>
    <x v="0"/>
    <x v="5"/>
    <x v="20"/>
    <n v="157"/>
    <n v="122"/>
    <n v="1"/>
    <n v="0"/>
    <n v="0"/>
    <n v="0"/>
    <n v="0"/>
    <n v="0"/>
    <n v="2"/>
    <n v="154"/>
    <n v="2025"/>
    <x v="6"/>
    <s v="超级短视频"/>
    <x v="2"/>
    <x v="2"/>
  </r>
  <r>
    <x v="1"/>
    <x v="124"/>
    <x v="0"/>
    <x v="0"/>
    <x v="0"/>
    <n v="835"/>
    <n v="686"/>
    <n v="19"/>
    <n v="5"/>
    <n v="30585"/>
    <n v="6"/>
    <n v="30585"/>
    <n v="6"/>
    <n v="832"/>
    <n v="472"/>
    <n v="2025"/>
    <x v="6"/>
    <s v="万相台"/>
    <x v="2"/>
    <x v="2"/>
  </r>
  <r>
    <x v="1"/>
    <x v="124"/>
    <x v="0"/>
    <x v="0"/>
    <x v="1"/>
    <n v="42231"/>
    <n v="25428"/>
    <n v="123"/>
    <n v="182"/>
    <n v="45320"/>
    <n v="13"/>
    <n v="39740"/>
    <n v="12"/>
    <n v="445"/>
    <n v="42230"/>
    <n v="2025"/>
    <x v="6"/>
    <s v="引力魔方"/>
    <x v="2"/>
    <x v="2"/>
  </r>
  <r>
    <x v="1"/>
    <x v="124"/>
    <x v="0"/>
    <x v="0"/>
    <x v="2"/>
    <n v="5656"/>
    <n v="4856"/>
    <n v="49"/>
    <n v="7"/>
    <n v="94215"/>
    <n v="14"/>
    <n v="37045"/>
    <n v="10"/>
    <n v="295"/>
    <n v="5606"/>
    <n v="2025"/>
    <x v="6"/>
    <s v="直通车"/>
    <x v="2"/>
    <x v="2"/>
  </r>
  <r>
    <x v="1"/>
    <x v="124"/>
    <x v="0"/>
    <x v="7"/>
    <x v="23"/>
    <n v="7"/>
    <n v="4"/>
    <n v="0"/>
    <n v="0"/>
    <n v="0"/>
    <n v="0"/>
    <n v="0"/>
    <n v="0"/>
    <n v="0"/>
    <n v="6"/>
    <n v="2025"/>
    <x v="6"/>
    <s v="流量宝"/>
    <x v="2"/>
    <x v="2"/>
  </r>
  <r>
    <x v="1"/>
    <x v="124"/>
    <x v="0"/>
    <x v="7"/>
    <x v="24"/>
    <n v="349"/>
    <n v="100"/>
    <n v="3"/>
    <n v="0"/>
    <n v="19860"/>
    <n v="4"/>
    <n v="14865"/>
    <n v="3"/>
    <n v="5"/>
    <n v="347"/>
    <n v="2025"/>
    <x v="6"/>
    <s v="淘宝客"/>
    <x v="2"/>
    <x v="2"/>
  </r>
  <r>
    <x v="1"/>
    <x v="125"/>
    <x v="1"/>
    <x v="8"/>
    <x v="25"/>
    <n v="160"/>
    <n v="63"/>
    <n v="5"/>
    <n v="3"/>
    <n v="0"/>
    <n v="0"/>
    <n v="0"/>
    <n v="0"/>
    <n v="12"/>
    <n v="156"/>
    <n v="2025"/>
    <x v="6"/>
    <s v="主会场"/>
    <x v="2"/>
    <x v="2"/>
  </r>
  <r>
    <x v="1"/>
    <x v="125"/>
    <x v="1"/>
    <x v="8"/>
    <x v="26"/>
    <n v="1"/>
    <n v="0"/>
    <n v="0"/>
    <n v="0"/>
    <n v="0"/>
    <n v="0"/>
    <n v="0"/>
    <n v="0"/>
    <n v="0"/>
    <n v="1"/>
    <n v="2025"/>
    <x v="6"/>
    <s v="榜单会场"/>
    <x v="2"/>
    <x v="2"/>
  </r>
  <r>
    <x v="1"/>
    <x v="125"/>
    <x v="1"/>
    <x v="3"/>
    <x v="12"/>
    <n v="47"/>
    <n v="24"/>
    <n v="3"/>
    <n v="0"/>
    <n v="2990"/>
    <n v="1"/>
    <n v="2990"/>
    <n v="1"/>
    <n v="38"/>
    <n v="32"/>
    <n v="2025"/>
    <x v="6"/>
    <s v="店铺超链"/>
    <x v="2"/>
    <x v="2"/>
  </r>
  <r>
    <x v="1"/>
    <x v="125"/>
    <x v="1"/>
    <x v="4"/>
    <x v="13"/>
    <n v="879"/>
    <n v="391"/>
    <n v="32"/>
    <n v="7"/>
    <n v="70455"/>
    <n v="16"/>
    <n v="61475"/>
    <n v="15"/>
    <n v="90"/>
    <n v="835"/>
    <n v="2025"/>
    <x v="6"/>
    <s v="其他猜你喜欢"/>
    <x v="2"/>
    <x v="2"/>
  </r>
  <r>
    <x v="1"/>
    <x v="125"/>
    <x v="1"/>
    <x v="4"/>
    <x v="15"/>
    <n v="165"/>
    <n v="75"/>
    <n v="8"/>
    <n v="1"/>
    <n v="7980"/>
    <n v="2"/>
    <n v="7980"/>
    <n v="2"/>
    <n v="13"/>
    <n v="141"/>
    <n v="2025"/>
    <x v="6"/>
    <s v="购中推荐"/>
    <x v="2"/>
    <x v="2"/>
  </r>
  <r>
    <x v="1"/>
    <x v="125"/>
    <x v="1"/>
    <x v="4"/>
    <x v="16"/>
    <n v="978"/>
    <n v="541"/>
    <n v="32"/>
    <n v="6"/>
    <n v="23270"/>
    <n v="2"/>
    <n v="23270"/>
    <n v="2"/>
    <n v="48"/>
    <n v="733"/>
    <n v="2025"/>
    <x v="6"/>
    <s v="购后推荐"/>
    <x v="2"/>
    <x v="2"/>
  </r>
  <r>
    <x v="1"/>
    <x v="125"/>
    <x v="1"/>
    <x v="4"/>
    <x v="17"/>
    <n v="11746"/>
    <n v="7279"/>
    <n v="95"/>
    <n v="34"/>
    <n v="121455"/>
    <n v="18"/>
    <n v="116810"/>
    <n v="17"/>
    <n v="259"/>
    <n v="11746"/>
    <n v="2025"/>
    <x v="6"/>
    <s v="首页推荐-微详情"/>
    <x v="2"/>
    <x v="2"/>
  </r>
  <r>
    <x v="1"/>
    <x v="125"/>
    <x v="1"/>
    <x v="4"/>
    <x v="18"/>
    <n v="132"/>
    <n v="90"/>
    <n v="0"/>
    <n v="0"/>
    <n v="0"/>
    <n v="0"/>
    <n v="0"/>
    <n v="0"/>
    <n v="6"/>
    <n v="86"/>
    <n v="2025"/>
    <x v="6"/>
    <s v="首页推荐-直播"/>
    <x v="2"/>
    <x v="2"/>
  </r>
  <r>
    <x v="1"/>
    <x v="125"/>
    <x v="1"/>
    <x v="4"/>
    <x v="19"/>
    <n v="416"/>
    <n v="299"/>
    <n v="1"/>
    <n v="0"/>
    <n v="0"/>
    <n v="0"/>
    <n v="0"/>
    <n v="0"/>
    <n v="7"/>
    <n v="41"/>
    <n v="2025"/>
    <x v="6"/>
    <s v="首页推荐-短视频"/>
    <x v="2"/>
    <x v="2"/>
  </r>
  <r>
    <x v="1"/>
    <x v="125"/>
    <x v="1"/>
    <x v="12"/>
    <x v="42"/>
    <n v="2004"/>
    <n v="1611"/>
    <n v="57"/>
    <n v="13"/>
    <n v="25302"/>
    <n v="8"/>
    <n v="25302"/>
    <n v="8"/>
    <n v="302"/>
    <n v="1936"/>
    <n v="2025"/>
    <x v="6"/>
    <s v="手淘搜索-商品及其他"/>
    <x v="2"/>
    <x v="2"/>
  </r>
  <r>
    <x v="1"/>
    <x v="125"/>
    <x v="1"/>
    <x v="12"/>
    <x v="43"/>
    <n v="22"/>
    <n v="11"/>
    <n v="1"/>
    <n v="0"/>
    <n v="0"/>
    <n v="0"/>
    <n v="0"/>
    <n v="0"/>
    <n v="4"/>
    <n v="18"/>
    <n v="2025"/>
    <x v="6"/>
    <s v="手淘搜索-直播"/>
    <x v="2"/>
    <x v="2"/>
  </r>
  <r>
    <x v="1"/>
    <x v="125"/>
    <x v="1"/>
    <x v="12"/>
    <x v="44"/>
    <n v="25"/>
    <n v="11"/>
    <n v="3"/>
    <n v="1"/>
    <n v="0"/>
    <n v="0"/>
    <n v="0"/>
    <n v="0"/>
    <n v="2"/>
    <n v="25"/>
    <n v="2025"/>
    <x v="6"/>
    <s v="手淘搜索-短视频"/>
    <x v="2"/>
    <x v="2"/>
  </r>
  <r>
    <x v="1"/>
    <x v="125"/>
    <x v="1"/>
    <x v="11"/>
    <x v="37"/>
    <n v="1"/>
    <n v="0"/>
    <n v="0"/>
    <n v="0"/>
    <n v="0"/>
    <n v="0"/>
    <n v="0"/>
    <n v="0"/>
    <n v="0"/>
    <n v="1"/>
    <n v="2025"/>
    <x v="6"/>
    <s v="淘特其他渠道"/>
    <x v="2"/>
    <x v="2"/>
  </r>
  <r>
    <x v="1"/>
    <x v="125"/>
    <x v="1"/>
    <x v="11"/>
    <x v="39"/>
    <n v="1"/>
    <n v="1"/>
    <n v="0"/>
    <n v="0"/>
    <n v="0"/>
    <n v="0"/>
    <n v="0"/>
    <n v="0"/>
    <n v="0"/>
    <n v="1"/>
    <n v="2025"/>
    <x v="6"/>
    <s v="淘特搜索"/>
    <x v="2"/>
    <x v="2"/>
  </r>
  <r>
    <x v="1"/>
    <x v="125"/>
    <x v="1"/>
    <x v="13"/>
    <x v="46"/>
    <n v="1"/>
    <n v="1"/>
    <n v="0"/>
    <n v="0"/>
    <n v="0"/>
    <n v="0"/>
    <n v="0"/>
    <n v="0"/>
    <n v="0"/>
    <n v="0"/>
    <n v="2025"/>
    <x v="6"/>
    <s v="飞猪其他"/>
    <x v="2"/>
    <x v="2"/>
  </r>
  <r>
    <x v="1"/>
    <x v="125"/>
    <x v="0"/>
    <x v="5"/>
    <x v="47"/>
    <n v="13"/>
    <n v="10"/>
    <n v="0"/>
    <n v="0"/>
    <n v="0"/>
    <n v="0"/>
    <n v="0"/>
    <n v="0"/>
    <n v="0"/>
    <n v="0"/>
    <n v="2025"/>
    <x v="6"/>
    <s v="短直联动"/>
    <x v="2"/>
    <x v="2"/>
  </r>
  <r>
    <x v="1"/>
    <x v="125"/>
    <x v="0"/>
    <x v="5"/>
    <x v="41"/>
    <n v="1159"/>
    <n v="600"/>
    <n v="11"/>
    <n v="1"/>
    <n v="0"/>
    <n v="0"/>
    <n v="0"/>
    <n v="0"/>
    <n v="25"/>
    <n v="404"/>
    <n v="2025"/>
    <x v="6"/>
    <s v="超级直播"/>
    <x v="2"/>
    <x v="2"/>
  </r>
  <r>
    <x v="1"/>
    <x v="125"/>
    <x v="0"/>
    <x v="5"/>
    <x v="20"/>
    <n v="176"/>
    <n v="153"/>
    <n v="0"/>
    <n v="0"/>
    <n v="0"/>
    <n v="0"/>
    <n v="0"/>
    <n v="0"/>
    <n v="5"/>
    <n v="168"/>
    <n v="2025"/>
    <x v="6"/>
    <s v="超级短视频"/>
    <x v="2"/>
    <x v="2"/>
  </r>
  <r>
    <x v="1"/>
    <x v="125"/>
    <x v="0"/>
    <x v="0"/>
    <x v="0"/>
    <n v="783"/>
    <n v="643"/>
    <n v="37"/>
    <n v="8"/>
    <n v="11880"/>
    <n v="3"/>
    <n v="11880"/>
    <n v="3"/>
    <n v="776"/>
    <n v="418"/>
    <n v="2025"/>
    <x v="6"/>
    <s v="万相台"/>
    <x v="2"/>
    <x v="2"/>
  </r>
  <r>
    <x v="1"/>
    <x v="125"/>
    <x v="0"/>
    <x v="0"/>
    <x v="1"/>
    <n v="26065"/>
    <n v="12759"/>
    <n v="100"/>
    <n v="117"/>
    <n v="88475"/>
    <n v="12"/>
    <n v="59995"/>
    <n v="9"/>
    <n v="387"/>
    <n v="26063"/>
    <n v="2025"/>
    <x v="6"/>
    <s v="引力魔方"/>
    <x v="2"/>
    <x v="2"/>
  </r>
  <r>
    <x v="1"/>
    <x v="125"/>
    <x v="0"/>
    <x v="0"/>
    <x v="2"/>
    <n v="5403"/>
    <n v="4632"/>
    <n v="45"/>
    <n v="23"/>
    <n v="60080"/>
    <n v="10"/>
    <n v="56280"/>
    <n v="10"/>
    <n v="287"/>
    <n v="5352"/>
    <n v="2025"/>
    <x v="6"/>
    <s v="直通车"/>
    <x v="2"/>
    <x v="2"/>
  </r>
  <r>
    <x v="1"/>
    <x v="125"/>
    <x v="0"/>
    <x v="7"/>
    <x v="23"/>
    <n v="6"/>
    <n v="4"/>
    <n v="0"/>
    <n v="0"/>
    <n v="0"/>
    <n v="0"/>
    <n v="0"/>
    <n v="0"/>
    <n v="0"/>
    <n v="6"/>
    <n v="2025"/>
    <x v="6"/>
    <s v="流量宝"/>
    <x v="2"/>
    <x v="2"/>
  </r>
  <r>
    <x v="1"/>
    <x v="125"/>
    <x v="0"/>
    <x v="7"/>
    <x v="24"/>
    <n v="341"/>
    <n v="113"/>
    <n v="5"/>
    <n v="1"/>
    <n v="35825"/>
    <n v="4"/>
    <n v="35825"/>
    <n v="4"/>
    <n v="7"/>
    <n v="341"/>
    <n v="2025"/>
    <x v="6"/>
    <s v="淘宝客"/>
    <x v="2"/>
    <x v="2"/>
  </r>
  <r>
    <x v="1"/>
    <x v="126"/>
    <x v="1"/>
    <x v="8"/>
    <x v="25"/>
    <n v="180"/>
    <n v="80"/>
    <n v="6"/>
    <n v="4"/>
    <n v="6220"/>
    <n v="1"/>
    <n v="6220"/>
    <n v="1"/>
    <n v="27"/>
    <n v="173"/>
    <n v="2025"/>
    <x v="6"/>
    <s v="主会场"/>
    <x v="2"/>
    <x v="2"/>
  </r>
  <r>
    <x v="1"/>
    <x v="126"/>
    <x v="1"/>
    <x v="8"/>
    <x v="26"/>
    <n v="4"/>
    <n v="3"/>
    <n v="0"/>
    <n v="0"/>
    <n v="0"/>
    <n v="0"/>
    <n v="0"/>
    <n v="0"/>
    <n v="1"/>
    <n v="4"/>
    <n v="2025"/>
    <x v="6"/>
    <s v="榜单会场"/>
    <x v="2"/>
    <x v="2"/>
  </r>
  <r>
    <x v="1"/>
    <x v="126"/>
    <x v="1"/>
    <x v="1"/>
    <x v="3"/>
    <n v="4"/>
    <n v="3"/>
    <n v="0"/>
    <n v="0"/>
    <n v="0"/>
    <n v="0"/>
    <n v="0"/>
    <n v="0"/>
    <n v="0"/>
    <n v="4"/>
    <n v="2025"/>
    <x v="6"/>
    <s v="其他入口榜单"/>
    <x v="2"/>
    <x v="2"/>
  </r>
  <r>
    <x v="1"/>
    <x v="126"/>
    <x v="1"/>
    <x v="3"/>
    <x v="12"/>
    <n v="37"/>
    <n v="20"/>
    <n v="3"/>
    <n v="0"/>
    <n v="2150"/>
    <n v="1"/>
    <n v="2150"/>
    <n v="1"/>
    <n v="34"/>
    <n v="16"/>
    <n v="2025"/>
    <x v="6"/>
    <s v="店铺超链"/>
    <x v="2"/>
    <x v="2"/>
  </r>
  <r>
    <x v="1"/>
    <x v="126"/>
    <x v="1"/>
    <x v="4"/>
    <x v="13"/>
    <n v="679"/>
    <n v="266"/>
    <n v="40"/>
    <n v="8"/>
    <n v="38385"/>
    <n v="8"/>
    <n v="38385"/>
    <n v="8"/>
    <n v="114"/>
    <n v="657"/>
    <n v="2025"/>
    <x v="6"/>
    <s v="其他猜你喜欢"/>
    <x v="2"/>
    <x v="2"/>
  </r>
  <r>
    <x v="1"/>
    <x v="126"/>
    <x v="1"/>
    <x v="4"/>
    <x v="15"/>
    <n v="122"/>
    <n v="47"/>
    <n v="8"/>
    <n v="1"/>
    <n v="0"/>
    <n v="0"/>
    <n v="0"/>
    <n v="0"/>
    <n v="12"/>
    <n v="122"/>
    <n v="2025"/>
    <x v="6"/>
    <s v="购中推荐"/>
    <x v="2"/>
    <x v="2"/>
  </r>
  <r>
    <x v="1"/>
    <x v="126"/>
    <x v="1"/>
    <x v="4"/>
    <x v="16"/>
    <n v="620"/>
    <n v="232"/>
    <n v="28"/>
    <n v="5"/>
    <n v="32640"/>
    <n v="5"/>
    <n v="29490"/>
    <n v="4"/>
    <n v="55"/>
    <n v="620"/>
    <n v="2025"/>
    <x v="6"/>
    <s v="购后推荐"/>
    <x v="2"/>
    <x v="2"/>
  </r>
  <r>
    <x v="1"/>
    <x v="126"/>
    <x v="1"/>
    <x v="4"/>
    <x v="17"/>
    <n v="6235"/>
    <n v="2944"/>
    <n v="91"/>
    <n v="24"/>
    <n v="135810"/>
    <n v="21"/>
    <n v="126190"/>
    <n v="18"/>
    <n v="288"/>
    <n v="6235"/>
    <n v="2025"/>
    <x v="6"/>
    <s v="首页推荐-微详情"/>
    <x v="2"/>
    <x v="2"/>
  </r>
  <r>
    <x v="1"/>
    <x v="126"/>
    <x v="1"/>
    <x v="4"/>
    <x v="18"/>
    <n v="2"/>
    <n v="1"/>
    <n v="0"/>
    <n v="0"/>
    <n v="0"/>
    <n v="0"/>
    <n v="0"/>
    <n v="0"/>
    <n v="0"/>
    <n v="0"/>
    <n v="2025"/>
    <x v="6"/>
    <s v="首页推荐-直播"/>
    <x v="2"/>
    <x v="2"/>
  </r>
  <r>
    <x v="1"/>
    <x v="126"/>
    <x v="1"/>
    <x v="4"/>
    <x v="19"/>
    <n v="60"/>
    <n v="45"/>
    <n v="0"/>
    <n v="1"/>
    <n v="0"/>
    <n v="0"/>
    <n v="0"/>
    <n v="0"/>
    <n v="0"/>
    <n v="5"/>
    <n v="2025"/>
    <x v="6"/>
    <s v="首页推荐-短视频"/>
    <x v="2"/>
    <x v="2"/>
  </r>
  <r>
    <x v="1"/>
    <x v="126"/>
    <x v="1"/>
    <x v="12"/>
    <x v="42"/>
    <n v="2405"/>
    <n v="1997"/>
    <n v="69"/>
    <n v="10"/>
    <n v="55645"/>
    <n v="10"/>
    <n v="39370"/>
    <n v="8"/>
    <n v="328"/>
    <n v="2325"/>
    <n v="2025"/>
    <x v="6"/>
    <s v="手淘搜索-商品及其他"/>
    <x v="2"/>
    <x v="2"/>
  </r>
  <r>
    <x v="1"/>
    <x v="126"/>
    <x v="1"/>
    <x v="12"/>
    <x v="44"/>
    <n v="20"/>
    <n v="13"/>
    <n v="2"/>
    <n v="0"/>
    <n v="0"/>
    <n v="0"/>
    <n v="0"/>
    <n v="0"/>
    <n v="1"/>
    <n v="20"/>
    <n v="2025"/>
    <x v="6"/>
    <s v="手淘搜索-短视频"/>
    <x v="2"/>
    <x v="2"/>
  </r>
  <r>
    <x v="1"/>
    <x v="126"/>
    <x v="1"/>
    <x v="11"/>
    <x v="37"/>
    <n v="1"/>
    <n v="0"/>
    <n v="0"/>
    <n v="0"/>
    <n v="0"/>
    <n v="0"/>
    <n v="0"/>
    <n v="0"/>
    <n v="0"/>
    <n v="1"/>
    <n v="2025"/>
    <x v="6"/>
    <s v="淘特其他渠道"/>
    <x v="2"/>
    <x v="2"/>
  </r>
  <r>
    <x v="1"/>
    <x v="126"/>
    <x v="0"/>
    <x v="5"/>
    <x v="47"/>
    <n v="1"/>
    <n v="0"/>
    <n v="0"/>
    <n v="0"/>
    <n v="0"/>
    <n v="0"/>
    <n v="0"/>
    <n v="0"/>
    <n v="0"/>
    <n v="1"/>
    <n v="2025"/>
    <x v="6"/>
    <s v="短直联动"/>
    <x v="2"/>
    <x v="2"/>
  </r>
  <r>
    <x v="1"/>
    <x v="126"/>
    <x v="0"/>
    <x v="5"/>
    <x v="41"/>
    <n v="9"/>
    <n v="0"/>
    <n v="0"/>
    <n v="0"/>
    <n v="0"/>
    <n v="0"/>
    <n v="0"/>
    <n v="0"/>
    <n v="0"/>
    <n v="4"/>
    <n v="2025"/>
    <x v="6"/>
    <s v="超级直播"/>
    <x v="2"/>
    <x v="2"/>
  </r>
  <r>
    <x v="1"/>
    <x v="126"/>
    <x v="0"/>
    <x v="5"/>
    <x v="20"/>
    <n v="133"/>
    <n v="102"/>
    <n v="0"/>
    <n v="0"/>
    <n v="0"/>
    <n v="0"/>
    <n v="0"/>
    <n v="0"/>
    <n v="5"/>
    <n v="131"/>
    <n v="2025"/>
    <x v="6"/>
    <s v="超级短视频"/>
    <x v="2"/>
    <x v="2"/>
  </r>
  <r>
    <x v="1"/>
    <x v="126"/>
    <x v="0"/>
    <x v="0"/>
    <x v="0"/>
    <n v="768"/>
    <n v="643"/>
    <n v="18"/>
    <n v="6"/>
    <n v="46882"/>
    <n v="8"/>
    <n v="43082"/>
    <n v="8"/>
    <n v="767"/>
    <n v="391"/>
    <n v="2025"/>
    <x v="6"/>
    <s v="万相台"/>
    <x v="2"/>
    <x v="2"/>
  </r>
  <r>
    <x v="1"/>
    <x v="126"/>
    <x v="0"/>
    <x v="0"/>
    <x v="1"/>
    <n v="24522"/>
    <n v="12591"/>
    <n v="99"/>
    <n v="107"/>
    <n v="52225"/>
    <n v="8"/>
    <n v="19980"/>
    <n v="6"/>
    <n v="409"/>
    <n v="24522"/>
    <n v="2025"/>
    <x v="6"/>
    <s v="引力魔方"/>
    <x v="2"/>
    <x v="2"/>
  </r>
  <r>
    <x v="1"/>
    <x v="126"/>
    <x v="0"/>
    <x v="0"/>
    <x v="2"/>
    <n v="5860"/>
    <n v="4976"/>
    <n v="62"/>
    <n v="25"/>
    <n v="144180"/>
    <n v="16"/>
    <n v="82280"/>
    <n v="11"/>
    <n v="330"/>
    <n v="5796"/>
    <n v="2025"/>
    <x v="6"/>
    <s v="直通车"/>
    <x v="2"/>
    <x v="2"/>
  </r>
  <r>
    <x v="1"/>
    <x v="126"/>
    <x v="0"/>
    <x v="7"/>
    <x v="22"/>
    <n v="1"/>
    <n v="1"/>
    <n v="0"/>
    <n v="0"/>
    <n v="0"/>
    <n v="0"/>
    <n v="0"/>
    <n v="0"/>
    <n v="0"/>
    <n v="1"/>
    <n v="2025"/>
    <x v="6"/>
    <s v="UD效果投放"/>
    <x v="2"/>
    <x v="2"/>
  </r>
  <r>
    <x v="1"/>
    <x v="126"/>
    <x v="0"/>
    <x v="7"/>
    <x v="23"/>
    <n v="2"/>
    <n v="1"/>
    <n v="0"/>
    <n v="0"/>
    <n v="0"/>
    <n v="0"/>
    <n v="0"/>
    <n v="0"/>
    <n v="0"/>
    <n v="1"/>
    <n v="2025"/>
    <x v="6"/>
    <s v="流量宝"/>
    <x v="2"/>
    <x v="2"/>
  </r>
  <r>
    <x v="1"/>
    <x v="126"/>
    <x v="0"/>
    <x v="7"/>
    <x v="24"/>
    <n v="288"/>
    <n v="93"/>
    <n v="4"/>
    <n v="1"/>
    <n v="16540"/>
    <n v="1"/>
    <n v="16540"/>
    <n v="1"/>
    <n v="6"/>
    <n v="288"/>
    <n v="2025"/>
    <x v="6"/>
    <s v="淘宝客"/>
    <x v="2"/>
    <x v="2"/>
  </r>
  <r>
    <x v="1"/>
    <x v="127"/>
    <x v="1"/>
    <x v="8"/>
    <x v="25"/>
    <n v="168"/>
    <n v="66"/>
    <n v="7"/>
    <n v="1"/>
    <n v="0"/>
    <n v="0"/>
    <n v="0"/>
    <n v="0"/>
    <n v="14"/>
    <n v="166"/>
    <n v="2025"/>
    <x v="6"/>
    <s v="主会场"/>
    <x v="2"/>
    <x v="2"/>
  </r>
  <r>
    <x v="1"/>
    <x v="127"/>
    <x v="1"/>
    <x v="8"/>
    <x v="26"/>
    <n v="4"/>
    <n v="4"/>
    <n v="0"/>
    <n v="0"/>
    <n v="0"/>
    <n v="0"/>
    <n v="0"/>
    <n v="0"/>
    <n v="0"/>
    <n v="4"/>
    <n v="2025"/>
    <x v="6"/>
    <s v="榜单会场"/>
    <x v="2"/>
    <x v="2"/>
  </r>
  <r>
    <x v="1"/>
    <x v="127"/>
    <x v="1"/>
    <x v="1"/>
    <x v="3"/>
    <n v="3"/>
    <n v="3"/>
    <n v="0"/>
    <n v="0"/>
    <n v="0"/>
    <n v="0"/>
    <n v="0"/>
    <n v="0"/>
    <n v="0"/>
    <n v="3"/>
    <n v="2025"/>
    <x v="6"/>
    <s v="其他入口榜单"/>
    <x v="2"/>
    <x v="2"/>
  </r>
  <r>
    <x v="1"/>
    <x v="127"/>
    <x v="1"/>
    <x v="1"/>
    <x v="28"/>
    <n v="2"/>
    <n v="2"/>
    <n v="0"/>
    <n v="0"/>
    <n v="0"/>
    <n v="0"/>
    <n v="0"/>
    <n v="0"/>
    <n v="0"/>
    <n v="2"/>
    <n v="2025"/>
    <x v="6"/>
    <s v="商品详情页入口榜单"/>
    <x v="2"/>
    <x v="2"/>
  </r>
  <r>
    <x v="1"/>
    <x v="127"/>
    <x v="1"/>
    <x v="3"/>
    <x v="12"/>
    <n v="53"/>
    <n v="19"/>
    <n v="5"/>
    <n v="0"/>
    <n v="4900"/>
    <n v="1"/>
    <n v="4900"/>
    <n v="1"/>
    <n v="50"/>
    <n v="21"/>
    <n v="2025"/>
    <x v="6"/>
    <s v="店铺超链"/>
    <x v="2"/>
    <x v="2"/>
  </r>
  <r>
    <x v="1"/>
    <x v="127"/>
    <x v="1"/>
    <x v="4"/>
    <x v="13"/>
    <n v="699"/>
    <n v="283"/>
    <n v="25"/>
    <n v="9"/>
    <n v="73580"/>
    <n v="10"/>
    <n v="38600"/>
    <n v="8"/>
    <n v="93"/>
    <n v="665"/>
    <n v="2025"/>
    <x v="6"/>
    <s v="其他猜你喜欢"/>
    <x v="2"/>
    <x v="2"/>
  </r>
  <r>
    <x v="1"/>
    <x v="127"/>
    <x v="1"/>
    <x v="4"/>
    <x v="15"/>
    <n v="98"/>
    <n v="38"/>
    <n v="4"/>
    <n v="0"/>
    <n v="3980"/>
    <n v="1"/>
    <n v="3980"/>
    <n v="1"/>
    <n v="2"/>
    <n v="82"/>
    <n v="2025"/>
    <x v="6"/>
    <s v="购中推荐"/>
    <x v="2"/>
    <x v="2"/>
  </r>
  <r>
    <x v="1"/>
    <x v="127"/>
    <x v="1"/>
    <x v="4"/>
    <x v="16"/>
    <n v="783"/>
    <n v="300"/>
    <n v="13"/>
    <n v="11"/>
    <n v="22270"/>
    <n v="4"/>
    <n v="12370"/>
    <n v="3"/>
    <n v="34"/>
    <n v="671"/>
    <n v="2025"/>
    <x v="6"/>
    <s v="购后推荐"/>
    <x v="2"/>
    <x v="2"/>
  </r>
  <r>
    <x v="1"/>
    <x v="127"/>
    <x v="1"/>
    <x v="4"/>
    <x v="17"/>
    <n v="6618"/>
    <n v="2654"/>
    <n v="101"/>
    <n v="32"/>
    <n v="109815"/>
    <n v="14"/>
    <n v="52300"/>
    <n v="11"/>
    <n v="241"/>
    <n v="6618"/>
    <n v="2025"/>
    <x v="6"/>
    <s v="首页推荐-微详情"/>
    <x v="2"/>
    <x v="2"/>
  </r>
  <r>
    <x v="1"/>
    <x v="127"/>
    <x v="1"/>
    <x v="4"/>
    <x v="18"/>
    <n v="251"/>
    <n v="174"/>
    <n v="5"/>
    <n v="0"/>
    <n v="0"/>
    <n v="0"/>
    <n v="0"/>
    <n v="0"/>
    <n v="14"/>
    <n v="118"/>
    <n v="2025"/>
    <x v="6"/>
    <s v="首页推荐-直播"/>
    <x v="2"/>
    <x v="2"/>
  </r>
  <r>
    <x v="1"/>
    <x v="127"/>
    <x v="1"/>
    <x v="4"/>
    <x v="19"/>
    <n v="257"/>
    <n v="149"/>
    <n v="1"/>
    <n v="0"/>
    <n v="0"/>
    <n v="0"/>
    <n v="0"/>
    <n v="0"/>
    <n v="0"/>
    <n v="23"/>
    <n v="2025"/>
    <x v="6"/>
    <s v="首页推荐-短视频"/>
    <x v="2"/>
    <x v="2"/>
  </r>
  <r>
    <x v="1"/>
    <x v="127"/>
    <x v="1"/>
    <x v="12"/>
    <x v="42"/>
    <n v="1332"/>
    <n v="1020"/>
    <n v="51"/>
    <n v="10"/>
    <n v="30710"/>
    <n v="8"/>
    <n v="23930"/>
    <n v="7"/>
    <n v="282"/>
    <n v="1267"/>
    <n v="2025"/>
    <x v="6"/>
    <s v="手淘搜索-商品及其他"/>
    <x v="2"/>
    <x v="2"/>
  </r>
  <r>
    <x v="1"/>
    <x v="127"/>
    <x v="1"/>
    <x v="12"/>
    <x v="43"/>
    <n v="15"/>
    <n v="10"/>
    <n v="0"/>
    <n v="0"/>
    <n v="0"/>
    <n v="0"/>
    <n v="0"/>
    <n v="0"/>
    <n v="1"/>
    <n v="12"/>
    <n v="2025"/>
    <x v="6"/>
    <s v="手淘搜索-直播"/>
    <x v="2"/>
    <x v="2"/>
  </r>
  <r>
    <x v="1"/>
    <x v="127"/>
    <x v="1"/>
    <x v="12"/>
    <x v="44"/>
    <n v="23"/>
    <n v="10"/>
    <n v="0"/>
    <n v="0"/>
    <n v="0"/>
    <n v="0"/>
    <n v="0"/>
    <n v="0"/>
    <n v="3"/>
    <n v="23"/>
    <n v="2025"/>
    <x v="6"/>
    <s v="手淘搜索-短视频"/>
    <x v="2"/>
    <x v="2"/>
  </r>
  <r>
    <x v="1"/>
    <x v="127"/>
    <x v="1"/>
    <x v="11"/>
    <x v="40"/>
    <n v="1"/>
    <n v="0"/>
    <n v="0"/>
    <n v="0"/>
    <n v="0"/>
    <n v="0"/>
    <n v="0"/>
    <n v="0"/>
    <n v="0"/>
    <n v="1"/>
    <n v="2025"/>
    <x v="6"/>
    <s v="淘特自主访问"/>
    <x v="2"/>
    <x v="2"/>
  </r>
  <r>
    <x v="1"/>
    <x v="127"/>
    <x v="1"/>
    <x v="13"/>
    <x v="46"/>
    <n v="2"/>
    <n v="1"/>
    <n v="0"/>
    <n v="0"/>
    <n v="0"/>
    <n v="0"/>
    <n v="0"/>
    <n v="0"/>
    <n v="0"/>
    <n v="0"/>
    <n v="2025"/>
    <x v="6"/>
    <s v="飞猪其他"/>
    <x v="2"/>
    <x v="2"/>
  </r>
  <r>
    <x v="1"/>
    <x v="127"/>
    <x v="0"/>
    <x v="5"/>
    <x v="47"/>
    <n v="11"/>
    <n v="10"/>
    <n v="0"/>
    <n v="0"/>
    <n v="0"/>
    <n v="0"/>
    <n v="0"/>
    <n v="0"/>
    <n v="0"/>
    <n v="0"/>
    <n v="2025"/>
    <x v="6"/>
    <s v="短直联动"/>
    <x v="2"/>
    <x v="2"/>
  </r>
  <r>
    <x v="1"/>
    <x v="127"/>
    <x v="0"/>
    <x v="5"/>
    <x v="41"/>
    <n v="1433"/>
    <n v="847"/>
    <n v="13"/>
    <n v="3"/>
    <n v="0"/>
    <n v="0"/>
    <n v="0"/>
    <n v="0"/>
    <n v="42"/>
    <n v="448"/>
    <n v="2025"/>
    <x v="6"/>
    <s v="超级直播"/>
    <x v="2"/>
    <x v="2"/>
  </r>
  <r>
    <x v="1"/>
    <x v="127"/>
    <x v="0"/>
    <x v="5"/>
    <x v="20"/>
    <n v="139"/>
    <n v="110"/>
    <n v="0"/>
    <n v="0"/>
    <n v="0"/>
    <n v="0"/>
    <n v="0"/>
    <n v="0"/>
    <n v="3"/>
    <n v="136"/>
    <n v="2025"/>
    <x v="6"/>
    <s v="超级短视频"/>
    <x v="2"/>
    <x v="2"/>
  </r>
  <r>
    <x v="1"/>
    <x v="127"/>
    <x v="0"/>
    <x v="6"/>
    <x v="21"/>
    <n v="1"/>
    <n v="0"/>
    <n v="0"/>
    <n v="0"/>
    <n v="0"/>
    <n v="0"/>
    <n v="0"/>
    <n v="0"/>
    <n v="1"/>
    <n v="0"/>
    <n v="2025"/>
    <x v="6"/>
    <s v="品销宝-品牌专区"/>
    <x v="2"/>
    <x v="2"/>
  </r>
  <r>
    <x v="1"/>
    <x v="127"/>
    <x v="0"/>
    <x v="0"/>
    <x v="0"/>
    <n v="961"/>
    <n v="788"/>
    <n v="29"/>
    <n v="11"/>
    <n v="2780"/>
    <n v="3"/>
    <n v="2780"/>
    <n v="3"/>
    <n v="957"/>
    <n v="484"/>
    <n v="2025"/>
    <x v="6"/>
    <s v="万相台"/>
    <x v="2"/>
    <x v="2"/>
  </r>
  <r>
    <x v="1"/>
    <x v="127"/>
    <x v="0"/>
    <x v="0"/>
    <x v="1"/>
    <n v="21010"/>
    <n v="9273"/>
    <n v="89"/>
    <n v="102"/>
    <n v="13965"/>
    <n v="2"/>
    <n v="8215"/>
    <n v="1"/>
    <n v="354"/>
    <n v="21009"/>
    <n v="2025"/>
    <x v="6"/>
    <s v="引力魔方"/>
    <x v="2"/>
    <x v="2"/>
  </r>
  <r>
    <x v="1"/>
    <x v="127"/>
    <x v="0"/>
    <x v="0"/>
    <x v="2"/>
    <n v="6821"/>
    <n v="5784"/>
    <n v="68"/>
    <n v="25"/>
    <n v="135929.46"/>
    <n v="10"/>
    <n v="28949.46"/>
    <n v="6"/>
    <n v="396"/>
    <n v="6744"/>
    <n v="2025"/>
    <x v="6"/>
    <s v="直通车"/>
    <x v="2"/>
    <x v="2"/>
  </r>
  <r>
    <x v="1"/>
    <x v="127"/>
    <x v="0"/>
    <x v="7"/>
    <x v="23"/>
    <n v="7"/>
    <n v="5"/>
    <n v="0"/>
    <n v="0"/>
    <n v="0"/>
    <n v="0"/>
    <n v="0"/>
    <n v="0"/>
    <n v="0"/>
    <n v="6"/>
    <n v="2025"/>
    <x v="6"/>
    <s v="流量宝"/>
    <x v="2"/>
    <x v="2"/>
  </r>
  <r>
    <x v="1"/>
    <x v="127"/>
    <x v="0"/>
    <x v="7"/>
    <x v="24"/>
    <n v="320"/>
    <n v="98"/>
    <n v="6"/>
    <n v="0"/>
    <n v="30839.46"/>
    <n v="4"/>
    <n v="30839.46"/>
    <n v="4"/>
    <n v="9"/>
    <n v="313"/>
    <n v="2025"/>
    <x v="6"/>
    <s v="淘宝客"/>
    <x v="2"/>
    <x v="2"/>
  </r>
  <r>
    <x v="1"/>
    <x v="128"/>
    <x v="1"/>
    <x v="8"/>
    <x v="25"/>
    <n v="158"/>
    <n v="67"/>
    <n v="9"/>
    <n v="1"/>
    <n v="3990"/>
    <n v="1"/>
    <n v="3990"/>
    <n v="1"/>
    <n v="13"/>
    <n v="153"/>
    <n v="2025"/>
    <x v="6"/>
    <s v="主会场"/>
    <x v="2"/>
    <x v="2"/>
  </r>
  <r>
    <x v="1"/>
    <x v="128"/>
    <x v="1"/>
    <x v="8"/>
    <x v="26"/>
    <n v="1"/>
    <n v="1"/>
    <n v="0"/>
    <n v="0"/>
    <n v="0"/>
    <n v="0"/>
    <n v="0"/>
    <n v="0"/>
    <n v="0"/>
    <n v="1"/>
    <n v="2025"/>
    <x v="6"/>
    <s v="榜单会场"/>
    <x v="2"/>
    <x v="2"/>
  </r>
  <r>
    <x v="1"/>
    <x v="128"/>
    <x v="1"/>
    <x v="1"/>
    <x v="3"/>
    <n v="2"/>
    <n v="2"/>
    <n v="0"/>
    <n v="0"/>
    <n v="0"/>
    <n v="0"/>
    <n v="0"/>
    <n v="0"/>
    <n v="0"/>
    <n v="2"/>
    <n v="2025"/>
    <x v="6"/>
    <s v="其他入口榜单"/>
    <x v="2"/>
    <x v="2"/>
  </r>
  <r>
    <x v="1"/>
    <x v="128"/>
    <x v="1"/>
    <x v="3"/>
    <x v="12"/>
    <n v="44"/>
    <n v="21"/>
    <n v="3"/>
    <n v="0"/>
    <n v="0"/>
    <n v="0"/>
    <n v="0"/>
    <n v="0"/>
    <n v="41"/>
    <n v="19"/>
    <n v="2025"/>
    <x v="6"/>
    <s v="店铺超链"/>
    <x v="2"/>
    <x v="2"/>
  </r>
  <r>
    <x v="1"/>
    <x v="128"/>
    <x v="1"/>
    <x v="4"/>
    <x v="13"/>
    <n v="750"/>
    <n v="254"/>
    <n v="34"/>
    <n v="16"/>
    <n v="40120"/>
    <n v="9"/>
    <n v="40120"/>
    <n v="9"/>
    <n v="113"/>
    <n v="736"/>
    <n v="2025"/>
    <x v="6"/>
    <s v="其他猜你喜欢"/>
    <x v="2"/>
    <x v="2"/>
  </r>
  <r>
    <x v="1"/>
    <x v="128"/>
    <x v="1"/>
    <x v="4"/>
    <x v="15"/>
    <n v="128"/>
    <n v="33"/>
    <n v="0"/>
    <n v="0"/>
    <n v="3650"/>
    <n v="1"/>
    <n v="3650"/>
    <n v="1"/>
    <n v="10"/>
    <n v="128"/>
    <n v="2025"/>
    <x v="6"/>
    <s v="购中推荐"/>
    <x v="2"/>
    <x v="2"/>
  </r>
  <r>
    <x v="1"/>
    <x v="128"/>
    <x v="1"/>
    <x v="4"/>
    <x v="16"/>
    <n v="810"/>
    <n v="245"/>
    <n v="37"/>
    <n v="5"/>
    <n v="11905"/>
    <n v="3"/>
    <n v="11905"/>
    <n v="3"/>
    <n v="40"/>
    <n v="809"/>
    <n v="2025"/>
    <x v="6"/>
    <s v="购后推荐"/>
    <x v="2"/>
    <x v="2"/>
  </r>
  <r>
    <x v="1"/>
    <x v="128"/>
    <x v="1"/>
    <x v="4"/>
    <x v="17"/>
    <n v="5368"/>
    <n v="2026"/>
    <n v="97"/>
    <n v="32"/>
    <n v="88674.37"/>
    <n v="20"/>
    <n v="66994.37"/>
    <n v="17"/>
    <n v="311"/>
    <n v="5368"/>
    <n v="2025"/>
    <x v="6"/>
    <s v="首页推荐-微详情"/>
    <x v="2"/>
    <x v="2"/>
  </r>
  <r>
    <x v="1"/>
    <x v="128"/>
    <x v="1"/>
    <x v="4"/>
    <x v="19"/>
    <n v="28"/>
    <n v="9"/>
    <n v="2"/>
    <n v="0"/>
    <n v="0"/>
    <n v="0"/>
    <n v="0"/>
    <n v="0"/>
    <n v="2"/>
    <n v="6"/>
    <n v="2025"/>
    <x v="6"/>
    <s v="首页推荐-短视频"/>
    <x v="2"/>
    <x v="2"/>
  </r>
  <r>
    <x v="1"/>
    <x v="128"/>
    <x v="1"/>
    <x v="12"/>
    <x v="42"/>
    <n v="1181"/>
    <n v="828"/>
    <n v="51"/>
    <n v="15"/>
    <n v="20860"/>
    <n v="5"/>
    <n v="20860"/>
    <n v="5"/>
    <n v="261"/>
    <n v="1115"/>
    <n v="2025"/>
    <x v="6"/>
    <s v="手淘搜索-商品及其他"/>
    <x v="2"/>
    <x v="2"/>
  </r>
  <r>
    <x v="1"/>
    <x v="128"/>
    <x v="1"/>
    <x v="12"/>
    <x v="44"/>
    <n v="25"/>
    <n v="12"/>
    <n v="1"/>
    <n v="1"/>
    <n v="2990"/>
    <n v="1"/>
    <n v="2990"/>
    <n v="1"/>
    <n v="0"/>
    <n v="25"/>
    <n v="2025"/>
    <x v="6"/>
    <s v="手淘搜索-短视频"/>
    <x v="2"/>
    <x v="2"/>
  </r>
  <r>
    <x v="1"/>
    <x v="128"/>
    <x v="1"/>
    <x v="11"/>
    <x v="37"/>
    <n v="1"/>
    <n v="1"/>
    <n v="0"/>
    <n v="0"/>
    <n v="0"/>
    <n v="0"/>
    <n v="0"/>
    <n v="0"/>
    <n v="0"/>
    <n v="1"/>
    <n v="2025"/>
    <x v="6"/>
    <s v="淘特其他渠道"/>
    <x v="2"/>
    <x v="2"/>
  </r>
  <r>
    <x v="1"/>
    <x v="128"/>
    <x v="0"/>
    <x v="5"/>
    <x v="41"/>
    <n v="8"/>
    <n v="0"/>
    <n v="0"/>
    <n v="0"/>
    <n v="0"/>
    <n v="0"/>
    <n v="0"/>
    <n v="0"/>
    <n v="0"/>
    <n v="5"/>
    <n v="2025"/>
    <x v="6"/>
    <s v="超级直播"/>
    <x v="2"/>
    <x v="2"/>
  </r>
  <r>
    <x v="1"/>
    <x v="128"/>
    <x v="0"/>
    <x v="5"/>
    <x v="20"/>
    <n v="132"/>
    <n v="100"/>
    <n v="1"/>
    <n v="0"/>
    <n v="0"/>
    <n v="0"/>
    <n v="0"/>
    <n v="0"/>
    <n v="3"/>
    <n v="124"/>
    <n v="2025"/>
    <x v="6"/>
    <s v="超级短视频"/>
    <x v="2"/>
    <x v="2"/>
  </r>
  <r>
    <x v="1"/>
    <x v="128"/>
    <x v="0"/>
    <x v="0"/>
    <x v="0"/>
    <n v="993"/>
    <n v="843"/>
    <n v="24"/>
    <n v="6"/>
    <n v="9620"/>
    <n v="4"/>
    <n v="9620"/>
    <n v="4"/>
    <n v="992"/>
    <n v="524"/>
    <n v="2025"/>
    <x v="6"/>
    <s v="万相台"/>
    <x v="2"/>
    <x v="2"/>
  </r>
  <r>
    <x v="1"/>
    <x v="128"/>
    <x v="0"/>
    <x v="0"/>
    <x v="1"/>
    <n v="23144"/>
    <n v="11309"/>
    <n v="117"/>
    <n v="142"/>
    <n v="57825"/>
    <n v="9"/>
    <n v="25485"/>
    <n v="5"/>
    <n v="433"/>
    <n v="23144"/>
    <n v="2025"/>
    <x v="6"/>
    <s v="引力魔方"/>
    <x v="2"/>
    <x v="2"/>
  </r>
  <r>
    <x v="1"/>
    <x v="128"/>
    <x v="0"/>
    <x v="0"/>
    <x v="2"/>
    <n v="5802"/>
    <n v="5009"/>
    <n v="51"/>
    <n v="16"/>
    <n v="32535"/>
    <n v="8"/>
    <n v="32535"/>
    <n v="8"/>
    <n v="377"/>
    <n v="5720"/>
    <n v="2025"/>
    <x v="6"/>
    <s v="直通车"/>
    <x v="2"/>
    <x v="2"/>
  </r>
  <r>
    <x v="1"/>
    <x v="128"/>
    <x v="0"/>
    <x v="7"/>
    <x v="22"/>
    <n v="1"/>
    <n v="1"/>
    <n v="0"/>
    <n v="0"/>
    <n v="0"/>
    <n v="0"/>
    <n v="0"/>
    <n v="0"/>
    <n v="0"/>
    <n v="1"/>
    <n v="2025"/>
    <x v="6"/>
    <s v="UD效果投放"/>
    <x v="2"/>
    <x v="2"/>
  </r>
  <r>
    <x v="1"/>
    <x v="128"/>
    <x v="0"/>
    <x v="7"/>
    <x v="23"/>
    <n v="1"/>
    <n v="0"/>
    <n v="0"/>
    <n v="0"/>
    <n v="0"/>
    <n v="0"/>
    <n v="0"/>
    <n v="0"/>
    <n v="0"/>
    <n v="1"/>
    <n v="2025"/>
    <x v="6"/>
    <s v="流量宝"/>
    <x v="2"/>
    <x v="2"/>
  </r>
  <r>
    <x v="1"/>
    <x v="128"/>
    <x v="0"/>
    <x v="7"/>
    <x v="24"/>
    <n v="307"/>
    <n v="81"/>
    <n v="5"/>
    <n v="2"/>
    <n v="19415"/>
    <n v="2"/>
    <n v="19415"/>
    <n v="2"/>
    <n v="6"/>
    <n v="306"/>
    <n v="2025"/>
    <x v="6"/>
    <s v="淘宝客"/>
    <x v="2"/>
    <x v="2"/>
  </r>
  <r>
    <x v="1"/>
    <x v="129"/>
    <x v="1"/>
    <x v="8"/>
    <x v="25"/>
    <n v="156"/>
    <n v="62"/>
    <n v="5"/>
    <n v="1"/>
    <n v="4990"/>
    <n v="1"/>
    <n v="4990"/>
    <n v="1"/>
    <n v="18"/>
    <n v="152"/>
    <n v="2025"/>
    <x v="6"/>
    <s v="主会场"/>
    <x v="2"/>
    <x v="2"/>
  </r>
  <r>
    <x v="1"/>
    <x v="129"/>
    <x v="1"/>
    <x v="8"/>
    <x v="26"/>
    <n v="3"/>
    <n v="3"/>
    <n v="0"/>
    <n v="0"/>
    <n v="0"/>
    <n v="0"/>
    <n v="0"/>
    <n v="0"/>
    <n v="0"/>
    <n v="3"/>
    <n v="2025"/>
    <x v="6"/>
    <s v="榜单会场"/>
    <x v="2"/>
    <x v="2"/>
  </r>
  <r>
    <x v="1"/>
    <x v="129"/>
    <x v="1"/>
    <x v="1"/>
    <x v="3"/>
    <n v="3"/>
    <n v="3"/>
    <n v="0"/>
    <n v="0"/>
    <n v="0"/>
    <n v="0"/>
    <n v="0"/>
    <n v="0"/>
    <n v="0"/>
    <n v="3"/>
    <n v="2025"/>
    <x v="6"/>
    <s v="其他入口榜单"/>
    <x v="2"/>
    <x v="2"/>
  </r>
  <r>
    <x v="1"/>
    <x v="129"/>
    <x v="1"/>
    <x v="3"/>
    <x v="12"/>
    <n v="41"/>
    <n v="17"/>
    <n v="1"/>
    <n v="1"/>
    <n v="0"/>
    <n v="0"/>
    <n v="0"/>
    <n v="0"/>
    <n v="34"/>
    <n v="20"/>
    <n v="2025"/>
    <x v="6"/>
    <s v="店铺超链"/>
    <x v="2"/>
    <x v="2"/>
  </r>
  <r>
    <x v="1"/>
    <x v="129"/>
    <x v="1"/>
    <x v="4"/>
    <x v="13"/>
    <n v="612"/>
    <n v="201"/>
    <n v="30"/>
    <n v="5"/>
    <n v="26290"/>
    <n v="6"/>
    <n v="22300"/>
    <n v="5"/>
    <n v="90"/>
    <n v="584"/>
    <n v="2025"/>
    <x v="6"/>
    <s v="其他猜你喜欢"/>
    <x v="2"/>
    <x v="2"/>
  </r>
  <r>
    <x v="1"/>
    <x v="129"/>
    <x v="1"/>
    <x v="4"/>
    <x v="15"/>
    <n v="94"/>
    <n v="19"/>
    <n v="6"/>
    <n v="3"/>
    <n v="0"/>
    <n v="0"/>
    <n v="0"/>
    <n v="0"/>
    <n v="3"/>
    <n v="92"/>
    <n v="2025"/>
    <x v="6"/>
    <s v="购中推荐"/>
    <x v="2"/>
    <x v="2"/>
  </r>
  <r>
    <x v="1"/>
    <x v="129"/>
    <x v="1"/>
    <x v="4"/>
    <x v="16"/>
    <n v="541"/>
    <n v="148"/>
    <n v="21"/>
    <n v="3"/>
    <n v="9480"/>
    <n v="2"/>
    <n v="4990"/>
    <n v="1"/>
    <n v="36"/>
    <n v="507"/>
    <n v="2025"/>
    <x v="6"/>
    <s v="购后推荐"/>
    <x v="2"/>
    <x v="2"/>
  </r>
  <r>
    <x v="1"/>
    <x v="129"/>
    <x v="1"/>
    <x v="4"/>
    <x v="17"/>
    <n v="6348"/>
    <n v="3471"/>
    <n v="72"/>
    <n v="18"/>
    <n v="42130"/>
    <n v="10"/>
    <n v="30910"/>
    <n v="8"/>
    <n v="193"/>
    <n v="6348"/>
    <n v="2025"/>
    <x v="6"/>
    <s v="首页推荐-微详情"/>
    <x v="2"/>
    <x v="2"/>
  </r>
  <r>
    <x v="1"/>
    <x v="129"/>
    <x v="1"/>
    <x v="4"/>
    <x v="18"/>
    <n v="150"/>
    <n v="88"/>
    <n v="4"/>
    <n v="0"/>
    <n v="0"/>
    <n v="0"/>
    <n v="0"/>
    <n v="0"/>
    <n v="12"/>
    <n v="95"/>
    <n v="2025"/>
    <x v="6"/>
    <s v="首页推荐-直播"/>
    <x v="2"/>
    <x v="2"/>
  </r>
  <r>
    <x v="1"/>
    <x v="129"/>
    <x v="1"/>
    <x v="4"/>
    <x v="19"/>
    <n v="123"/>
    <n v="68"/>
    <n v="0"/>
    <n v="0"/>
    <n v="0"/>
    <n v="0"/>
    <n v="0"/>
    <n v="0"/>
    <n v="3"/>
    <n v="17"/>
    <n v="2025"/>
    <x v="6"/>
    <s v="首页推荐-短视频"/>
    <x v="2"/>
    <x v="2"/>
  </r>
  <r>
    <x v="1"/>
    <x v="129"/>
    <x v="1"/>
    <x v="12"/>
    <x v="42"/>
    <n v="1035"/>
    <n v="697"/>
    <n v="55"/>
    <n v="10"/>
    <n v="29210"/>
    <n v="7"/>
    <n v="22480"/>
    <n v="6"/>
    <n v="236"/>
    <n v="992"/>
    <n v="2025"/>
    <x v="6"/>
    <s v="手淘搜索-商品及其他"/>
    <x v="2"/>
    <x v="2"/>
  </r>
  <r>
    <x v="1"/>
    <x v="129"/>
    <x v="1"/>
    <x v="12"/>
    <x v="43"/>
    <n v="13"/>
    <n v="7"/>
    <n v="1"/>
    <n v="1"/>
    <n v="0"/>
    <n v="0"/>
    <n v="0"/>
    <n v="0"/>
    <n v="1"/>
    <n v="11"/>
    <n v="2025"/>
    <x v="6"/>
    <s v="手淘搜索-直播"/>
    <x v="2"/>
    <x v="2"/>
  </r>
  <r>
    <x v="1"/>
    <x v="129"/>
    <x v="1"/>
    <x v="12"/>
    <x v="44"/>
    <n v="30"/>
    <n v="11"/>
    <n v="1"/>
    <n v="0"/>
    <n v="0"/>
    <n v="0"/>
    <n v="0"/>
    <n v="0"/>
    <n v="3"/>
    <n v="30"/>
    <n v="2025"/>
    <x v="6"/>
    <s v="手淘搜索-短视频"/>
    <x v="2"/>
    <x v="2"/>
  </r>
  <r>
    <x v="1"/>
    <x v="129"/>
    <x v="1"/>
    <x v="11"/>
    <x v="37"/>
    <n v="2"/>
    <n v="0"/>
    <n v="0"/>
    <n v="0"/>
    <n v="0"/>
    <n v="0"/>
    <n v="0"/>
    <n v="0"/>
    <n v="0"/>
    <n v="2"/>
    <n v="2025"/>
    <x v="6"/>
    <s v="淘特其他渠道"/>
    <x v="2"/>
    <x v="2"/>
  </r>
  <r>
    <x v="1"/>
    <x v="129"/>
    <x v="0"/>
    <x v="5"/>
    <x v="47"/>
    <n v="4"/>
    <n v="4"/>
    <n v="0"/>
    <n v="0"/>
    <n v="0"/>
    <n v="0"/>
    <n v="0"/>
    <n v="0"/>
    <n v="0"/>
    <n v="0"/>
    <n v="2025"/>
    <x v="6"/>
    <s v="短直联动"/>
    <x v="2"/>
    <x v="2"/>
  </r>
  <r>
    <x v="1"/>
    <x v="129"/>
    <x v="0"/>
    <x v="5"/>
    <x v="41"/>
    <n v="1118"/>
    <n v="515"/>
    <n v="26"/>
    <n v="3"/>
    <n v="0"/>
    <n v="0"/>
    <n v="0"/>
    <n v="0"/>
    <n v="38"/>
    <n v="490"/>
    <n v="2025"/>
    <x v="6"/>
    <s v="超级直播"/>
    <x v="2"/>
    <x v="2"/>
  </r>
  <r>
    <x v="1"/>
    <x v="129"/>
    <x v="0"/>
    <x v="5"/>
    <x v="20"/>
    <n v="135"/>
    <n v="120"/>
    <n v="1"/>
    <n v="0"/>
    <n v="0"/>
    <n v="0"/>
    <n v="0"/>
    <n v="0"/>
    <n v="3"/>
    <n v="132"/>
    <n v="2025"/>
    <x v="6"/>
    <s v="超级短视频"/>
    <x v="2"/>
    <x v="2"/>
  </r>
  <r>
    <x v="1"/>
    <x v="129"/>
    <x v="0"/>
    <x v="6"/>
    <x v="49"/>
    <n v="1"/>
    <n v="0"/>
    <n v="0"/>
    <n v="0"/>
    <n v="0"/>
    <n v="0"/>
    <n v="0"/>
    <n v="0"/>
    <n v="0"/>
    <n v="0"/>
    <n v="2025"/>
    <x v="6"/>
    <s v="超级全域通"/>
    <x v="2"/>
    <x v="2"/>
  </r>
  <r>
    <x v="1"/>
    <x v="129"/>
    <x v="0"/>
    <x v="0"/>
    <x v="0"/>
    <n v="973"/>
    <n v="801"/>
    <n v="17"/>
    <n v="5"/>
    <n v="6730"/>
    <n v="1"/>
    <n v="0"/>
    <n v="0"/>
    <n v="972"/>
    <n v="501"/>
    <n v="2025"/>
    <x v="6"/>
    <s v="万相台"/>
    <x v="2"/>
    <x v="2"/>
  </r>
  <r>
    <x v="1"/>
    <x v="129"/>
    <x v="0"/>
    <x v="0"/>
    <x v="1"/>
    <n v="19124"/>
    <n v="8627"/>
    <n v="113"/>
    <n v="119"/>
    <n v="29910"/>
    <n v="9"/>
    <n v="28420"/>
    <n v="8"/>
    <n v="331"/>
    <n v="19122"/>
    <n v="2025"/>
    <x v="6"/>
    <s v="引力魔方"/>
    <x v="2"/>
    <x v="2"/>
  </r>
  <r>
    <x v="1"/>
    <x v="129"/>
    <x v="0"/>
    <x v="0"/>
    <x v="2"/>
    <n v="4714"/>
    <n v="3875"/>
    <n v="49"/>
    <n v="22"/>
    <n v="44775"/>
    <n v="6"/>
    <n v="14035"/>
    <n v="3"/>
    <n v="316"/>
    <n v="4659"/>
    <n v="2025"/>
    <x v="6"/>
    <s v="直通车"/>
    <x v="2"/>
    <x v="2"/>
  </r>
  <r>
    <x v="1"/>
    <x v="129"/>
    <x v="0"/>
    <x v="7"/>
    <x v="23"/>
    <n v="2"/>
    <n v="1"/>
    <n v="0"/>
    <n v="0"/>
    <n v="0"/>
    <n v="0"/>
    <n v="0"/>
    <n v="0"/>
    <n v="1"/>
    <n v="1"/>
    <n v="2025"/>
    <x v="6"/>
    <s v="流量宝"/>
    <x v="2"/>
    <x v="2"/>
  </r>
  <r>
    <x v="1"/>
    <x v="129"/>
    <x v="0"/>
    <x v="7"/>
    <x v="24"/>
    <n v="320"/>
    <n v="77"/>
    <n v="6"/>
    <n v="1"/>
    <n v="4945"/>
    <n v="1"/>
    <n v="4945"/>
    <n v="1"/>
    <n v="4"/>
    <n v="318"/>
    <n v="2025"/>
    <x v="6"/>
    <s v="淘宝客"/>
    <x v="2"/>
    <x v="2"/>
  </r>
  <r>
    <x v="1"/>
    <x v="130"/>
    <x v="1"/>
    <x v="8"/>
    <x v="25"/>
    <n v="128"/>
    <n v="54"/>
    <n v="4"/>
    <n v="2"/>
    <n v="3990"/>
    <n v="1"/>
    <n v="0"/>
    <n v="0"/>
    <n v="8"/>
    <n v="124"/>
    <n v="2025"/>
    <x v="6"/>
    <s v="主会场"/>
    <x v="2"/>
    <x v="2"/>
  </r>
  <r>
    <x v="1"/>
    <x v="130"/>
    <x v="1"/>
    <x v="8"/>
    <x v="26"/>
    <n v="2"/>
    <n v="2"/>
    <n v="0"/>
    <n v="0"/>
    <n v="0"/>
    <n v="0"/>
    <n v="0"/>
    <n v="0"/>
    <n v="1"/>
    <n v="2"/>
    <n v="2025"/>
    <x v="6"/>
    <s v="榜单会场"/>
    <x v="2"/>
    <x v="2"/>
  </r>
  <r>
    <x v="1"/>
    <x v="130"/>
    <x v="1"/>
    <x v="1"/>
    <x v="3"/>
    <n v="1"/>
    <n v="1"/>
    <n v="0"/>
    <n v="0"/>
    <n v="0"/>
    <n v="0"/>
    <n v="0"/>
    <n v="0"/>
    <n v="0"/>
    <n v="1"/>
    <n v="2025"/>
    <x v="6"/>
    <s v="其他入口榜单"/>
    <x v="2"/>
    <x v="2"/>
  </r>
  <r>
    <x v="1"/>
    <x v="130"/>
    <x v="1"/>
    <x v="1"/>
    <x v="28"/>
    <n v="1"/>
    <n v="1"/>
    <n v="1"/>
    <n v="0"/>
    <n v="0"/>
    <n v="0"/>
    <n v="0"/>
    <n v="0"/>
    <n v="0"/>
    <n v="1"/>
    <n v="2025"/>
    <x v="6"/>
    <s v="商品详情页入口榜单"/>
    <x v="2"/>
    <x v="2"/>
  </r>
  <r>
    <x v="1"/>
    <x v="130"/>
    <x v="1"/>
    <x v="3"/>
    <x v="12"/>
    <n v="38"/>
    <n v="23"/>
    <n v="2"/>
    <n v="2"/>
    <n v="0"/>
    <n v="0"/>
    <n v="0"/>
    <n v="0"/>
    <n v="35"/>
    <n v="22"/>
    <n v="2025"/>
    <x v="6"/>
    <s v="店铺超链"/>
    <x v="2"/>
    <x v="2"/>
  </r>
  <r>
    <x v="1"/>
    <x v="130"/>
    <x v="1"/>
    <x v="4"/>
    <x v="13"/>
    <n v="639"/>
    <n v="209"/>
    <n v="22"/>
    <n v="14"/>
    <n v="19230"/>
    <n v="4"/>
    <n v="19230"/>
    <n v="4"/>
    <n v="103"/>
    <n v="620"/>
    <n v="2025"/>
    <x v="6"/>
    <s v="其他猜你喜欢"/>
    <x v="2"/>
    <x v="2"/>
  </r>
  <r>
    <x v="1"/>
    <x v="130"/>
    <x v="1"/>
    <x v="4"/>
    <x v="15"/>
    <n v="91"/>
    <n v="20"/>
    <n v="5"/>
    <n v="0"/>
    <n v="0"/>
    <n v="0"/>
    <n v="0"/>
    <n v="0"/>
    <n v="7"/>
    <n v="83"/>
    <n v="2025"/>
    <x v="6"/>
    <s v="购中推荐"/>
    <x v="2"/>
    <x v="2"/>
  </r>
  <r>
    <x v="1"/>
    <x v="130"/>
    <x v="1"/>
    <x v="4"/>
    <x v="16"/>
    <n v="625"/>
    <n v="197"/>
    <n v="28"/>
    <n v="7"/>
    <n v="7665"/>
    <n v="2"/>
    <n v="2990"/>
    <n v="1"/>
    <n v="47"/>
    <n v="574"/>
    <n v="2025"/>
    <x v="6"/>
    <s v="购后推荐"/>
    <x v="2"/>
    <x v="2"/>
  </r>
  <r>
    <x v="1"/>
    <x v="130"/>
    <x v="1"/>
    <x v="4"/>
    <x v="17"/>
    <n v="4719"/>
    <n v="1840"/>
    <n v="79"/>
    <n v="26"/>
    <n v="52575"/>
    <n v="11"/>
    <n v="38255"/>
    <n v="7"/>
    <n v="265"/>
    <n v="4719"/>
    <n v="2025"/>
    <x v="6"/>
    <s v="首页推荐-微详情"/>
    <x v="2"/>
    <x v="2"/>
  </r>
  <r>
    <x v="1"/>
    <x v="130"/>
    <x v="1"/>
    <x v="4"/>
    <x v="18"/>
    <n v="3"/>
    <n v="2"/>
    <n v="0"/>
    <n v="0"/>
    <n v="0"/>
    <n v="0"/>
    <n v="0"/>
    <n v="0"/>
    <n v="0"/>
    <n v="1"/>
    <n v="2025"/>
    <x v="6"/>
    <s v="首页推荐-直播"/>
    <x v="2"/>
    <x v="2"/>
  </r>
  <r>
    <x v="1"/>
    <x v="130"/>
    <x v="1"/>
    <x v="4"/>
    <x v="19"/>
    <n v="212"/>
    <n v="117"/>
    <n v="1"/>
    <n v="0"/>
    <n v="0"/>
    <n v="0"/>
    <n v="0"/>
    <n v="0"/>
    <n v="6"/>
    <n v="25"/>
    <n v="2025"/>
    <x v="6"/>
    <s v="首页推荐-短视频"/>
    <x v="2"/>
    <x v="2"/>
  </r>
  <r>
    <x v="1"/>
    <x v="130"/>
    <x v="1"/>
    <x v="12"/>
    <x v="42"/>
    <n v="1073"/>
    <n v="778"/>
    <n v="35"/>
    <n v="15"/>
    <n v="35885"/>
    <n v="7"/>
    <n v="24905"/>
    <n v="6"/>
    <n v="251"/>
    <n v="1009"/>
    <n v="2025"/>
    <x v="6"/>
    <s v="手淘搜索-商品及其他"/>
    <x v="2"/>
    <x v="2"/>
  </r>
  <r>
    <x v="1"/>
    <x v="130"/>
    <x v="1"/>
    <x v="12"/>
    <x v="44"/>
    <n v="30"/>
    <n v="14"/>
    <n v="2"/>
    <n v="0"/>
    <n v="0"/>
    <n v="0"/>
    <n v="0"/>
    <n v="0"/>
    <n v="7"/>
    <n v="28"/>
    <n v="2025"/>
    <x v="6"/>
    <s v="手淘搜索-短视频"/>
    <x v="2"/>
    <x v="2"/>
  </r>
  <r>
    <x v="1"/>
    <x v="130"/>
    <x v="0"/>
    <x v="5"/>
    <x v="41"/>
    <n v="4"/>
    <n v="0"/>
    <n v="0"/>
    <n v="0"/>
    <n v="0"/>
    <n v="0"/>
    <n v="0"/>
    <n v="0"/>
    <n v="0"/>
    <n v="2"/>
    <n v="2025"/>
    <x v="6"/>
    <s v="超级直播"/>
    <x v="2"/>
    <x v="2"/>
  </r>
  <r>
    <x v="1"/>
    <x v="130"/>
    <x v="0"/>
    <x v="5"/>
    <x v="20"/>
    <n v="124"/>
    <n v="104"/>
    <n v="0"/>
    <n v="1"/>
    <n v="0"/>
    <n v="0"/>
    <n v="0"/>
    <n v="0"/>
    <n v="3"/>
    <n v="121"/>
    <n v="2025"/>
    <x v="6"/>
    <s v="超级短视频"/>
    <x v="2"/>
    <x v="2"/>
  </r>
  <r>
    <x v="1"/>
    <x v="130"/>
    <x v="0"/>
    <x v="0"/>
    <x v="0"/>
    <n v="868"/>
    <n v="712"/>
    <n v="10"/>
    <n v="6"/>
    <n v="4740"/>
    <n v="2"/>
    <n v="4740"/>
    <n v="2"/>
    <n v="868"/>
    <n v="431"/>
    <n v="2025"/>
    <x v="6"/>
    <s v="万相台"/>
    <x v="2"/>
    <x v="2"/>
  </r>
  <r>
    <x v="1"/>
    <x v="130"/>
    <x v="0"/>
    <x v="0"/>
    <x v="1"/>
    <n v="21858"/>
    <n v="9857"/>
    <n v="77"/>
    <n v="90"/>
    <n v="63030"/>
    <n v="9"/>
    <n v="49295"/>
    <n v="7"/>
    <n v="373"/>
    <n v="21858"/>
    <n v="2025"/>
    <x v="6"/>
    <s v="引力魔方"/>
    <x v="2"/>
    <x v="2"/>
  </r>
  <r>
    <x v="1"/>
    <x v="130"/>
    <x v="0"/>
    <x v="0"/>
    <x v="2"/>
    <n v="6757"/>
    <n v="5746"/>
    <n v="58"/>
    <n v="25"/>
    <n v="81790"/>
    <n v="14"/>
    <n v="47645"/>
    <n v="11"/>
    <n v="386"/>
    <n v="6685"/>
    <n v="2025"/>
    <x v="6"/>
    <s v="直通车"/>
    <x v="2"/>
    <x v="2"/>
  </r>
  <r>
    <x v="1"/>
    <x v="130"/>
    <x v="0"/>
    <x v="7"/>
    <x v="23"/>
    <n v="1"/>
    <n v="1"/>
    <n v="0"/>
    <n v="0"/>
    <n v="0"/>
    <n v="0"/>
    <n v="0"/>
    <n v="0"/>
    <n v="0"/>
    <n v="1"/>
    <n v="2025"/>
    <x v="6"/>
    <s v="流量宝"/>
    <x v="2"/>
    <x v="2"/>
  </r>
  <r>
    <x v="1"/>
    <x v="130"/>
    <x v="0"/>
    <x v="7"/>
    <x v="24"/>
    <n v="395"/>
    <n v="91"/>
    <n v="1"/>
    <n v="0"/>
    <n v="1490"/>
    <n v="1"/>
    <n v="1490"/>
    <n v="1"/>
    <n v="2"/>
    <n v="393"/>
    <n v="2025"/>
    <x v="6"/>
    <s v="淘宝客"/>
    <x v="2"/>
    <x v="2"/>
  </r>
  <r>
    <x v="1"/>
    <x v="131"/>
    <x v="1"/>
    <x v="8"/>
    <x v="25"/>
    <n v="141"/>
    <n v="61"/>
    <n v="4"/>
    <n v="1"/>
    <n v="2490"/>
    <n v="1"/>
    <n v="2490"/>
    <n v="1"/>
    <n v="13"/>
    <n v="138"/>
    <n v="2025"/>
    <x v="6"/>
    <s v="主会场"/>
    <x v="2"/>
    <x v="2"/>
  </r>
  <r>
    <x v="1"/>
    <x v="131"/>
    <x v="1"/>
    <x v="8"/>
    <x v="26"/>
    <n v="2"/>
    <n v="1"/>
    <n v="1"/>
    <n v="0"/>
    <n v="0"/>
    <n v="0"/>
    <n v="0"/>
    <n v="0"/>
    <n v="1"/>
    <n v="2"/>
    <n v="2025"/>
    <x v="6"/>
    <s v="榜单会场"/>
    <x v="2"/>
    <x v="2"/>
  </r>
  <r>
    <x v="1"/>
    <x v="131"/>
    <x v="1"/>
    <x v="1"/>
    <x v="3"/>
    <n v="2"/>
    <n v="2"/>
    <n v="0"/>
    <n v="0"/>
    <n v="0"/>
    <n v="0"/>
    <n v="0"/>
    <n v="0"/>
    <n v="0"/>
    <n v="2"/>
    <n v="2025"/>
    <x v="6"/>
    <s v="其他入口榜单"/>
    <x v="2"/>
    <x v="2"/>
  </r>
  <r>
    <x v="1"/>
    <x v="131"/>
    <x v="1"/>
    <x v="3"/>
    <x v="12"/>
    <n v="40"/>
    <n v="18"/>
    <n v="6"/>
    <n v="1"/>
    <n v="5400"/>
    <n v="1"/>
    <n v="0"/>
    <n v="0"/>
    <n v="34"/>
    <n v="25"/>
    <n v="2025"/>
    <x v="6"/>
    <s v="店铺超链"/>
    <x v="2"/>
    <x v="2"/>
  </r>
  <r>
    <x v="1"/>
    <x v="131"/>
    <x v="1"/>
    <x v="4"/>
    <x v="13"/>
    <n v="802"/>
    <n v="276"/>
    <n v="30"/>
    <n v="14"/>
    <n v="36080"/>
    <n v="9"/>
    <n v="36080"/>
    <n v="9"/>
    <n v="127"/>
    <n v="766"/>
    <n v="2025"/>
    <x v="6"/>
    <s v="其他猜你喜欢"/>
    <x v="2"/>
    <x v="2"/>
  </r>
  <r>
    <x v="1"/>
    <x v="131"/>
    <x v="1"/>
    <x v="4"/>
    <x v="15"/>
    <n v="115"/>
    <n v="46"/>
    <n v="3"/>
    <n v="1"/>
    <n v="8140"/>
    <n v="1"/>
    <n v="8140"/>
    <n v="1"/>
    <n v="7"/>
    <n v="108"/>
    <n v="2025"/>
    <x v="6"/>
    <s v="购中推荐"/>
    <x v="2"/>
    <x v="2"/>
  </r>
  <r>
    <x v="1"/>
    <x v="131"/>
    <x v="1"/>
    <x v="4"/>
    <x v="16"/>
    <n v="826"/>
    <n v="291"/>
    <n v="34"/>
    <n v="6"/>
    <n v="38070"/>
    <n v="8"/>
    <n v="38070"/>
    <n v="8"/>
    <n v="54"/>
    <n v="775"/>
    <n v="2025"/>
    <x v="6"/>
    <s v="购后推荐"/>
    <x v="2"/>
    <x v="2"/>
  </r>
  <r>
    <x v="1"/>
    <x v="131"/>
    <x v="1"/>
    <x v="4"/>
    <x v="17"/>
    <n v="4589"/>
    <n v="1746"/>
    <n v="99"/>
    <n v="21"/>
    <n v="89170"/>
    <n v="16"/>
    <n v="64810"/>
    <n v="13"/>
    <n v="332"/>
    <n v="4589"/>
    <n v="2025"/>
    <x v="6"/>
    <s v="首页推荐-微详情"/>
    <x v="2"/>
    <x v="2"/>
  </r>
  <r>
    <x v="1"/>
    <x v="131"/>
    <x v="1"/>
    <x v="4"/>
    <x v="18"/>
    <n v="120"/>
    <n v="70"/>
    <n v="1"/>
    <n v="0"/>
    <n v="3850"/>
    <n v="1"/>
    <n v="3850"/>
    <n v="1"/>
    <n v="4"/>
    <n v="63"/>
    <n v="2025"/>
    <x v="6"/>
    <s v="首页推荐-直播"/>
    <x v="2"/>
    <x v="2"/>
  </r>
  <r>
    <x v="1"/>
    <x v="131"/>
    <x v="1"/>
    <x v="4"/>
    <x v="19"/>
    <n v="132"/>
    <n v="95"/>
    <n v="1"/>
    <n v="0"/>
    <n v="0"/>
    <n v="0"/>
    <n v="0"/>
    <n v="0"/>
    <n v="3"/>
    <n v="12"/>
    <n v="2025"/>
    <x v="6"/>
    <s v="首页推荐-短视频"/>
    <x v="2"/>
    <x v="2"/>
  </r>
  <r>
    <x v="1"/>
    <x v="131"/>
    <x v="1"/>
    <x v="12"/>
    <x v="42"/>
    <n v="1309"/>
    <n v="929"/>
    <n v="50"/>
    <n v="14"/>
    <n v="53190"/>
    <n v="10"/>
    <n v="53190"/>
    <n v="10"/>
    <n v="309"/>
    <n v="1242"/>
    <n v="2025"/>
    <x v="6"/>
    <s v="手淘搜索-商品及其他"/>
    <x v="2"/>
    <x v="2"/>
  </r>
  <r>
    <x v="1"/>
    <x v="131"/>
    <x v="1"/>
    <x v="12"/>
    <x v="43"/>
    <n v="8"/>
    <n v="4"/>
    <n v="0"/>
    <n v="0"/>
    <n v="0"/>
    <n v="0"/>
    <n v="0"/>
    <n v="0"/>
    <n v="0"/>
    <n v="6"/>
    <n v="2025"/>
    <x v="6"/>
    <s v="手淘搜索-直播"/>
    <x v="2"/>
    <x v="2"/>
  </r>
  <r>
    <x v="1"/>
    <x v="131"/>
    <x v="1"/>
    <x v="12"/>
    <x v="44"/>
    <n v="25"/>
    <n v="14"/>
    <n v="1"/>
    <n v="1"/>
    <n v="2490"/>
    <n v="1"/>
    <n v="2490"/>
    <n v="1"/>
    <n v="3"/>
    <n v="24"/>
    <n v="2025"/>
    <x v="6"/>
    <s v="手淘搜索-短视频"/>
    <x v="2"/>
    <x v="2"/>
  </r>
  <r>
    <x v="1"/>
    <x v="131"/>
    <x v="1"/>
    <x v="13"/>
    <x v="46"/>
    <n v="1"/>
    <n v="0"/>
    <n v="0"/>
    <n v="0"/>
    <n v="0"/>
    <n v="0"/>
    <n v="0"/>
    <n v="0"/>
    <n v="0"/>
    <n v="0"/>
    <n v="2025"/>
    <x v="6"/>
    <s v="飞猪其他"/>
    <x v="2"/>
    <x v="2"/>
  </r>
  <r>
    <x v="1"/>
    <x v="131"/>
    <x v="0"/>
    <x v="5"/>
    <x v="47"/>
    <n v="15"/>
    <n v="14"/>
    <n v="0"/>
    <n v="0"/>
    <n v="0"/>
    <n v="0"/>
    <n v="0"/>
    <n v="0"/>
    <n v="0"/>
    <n v="0"/>
    <n v="2025"/>
    <x v="6"/>
    <s v="短直联动"/>
    <x v="2"/>
    <x v="2"/>
  </r>
  <r>
    <x v="1"/>
    <x v="131"/>
    <x v="0"/>
    <x v="5"/>
    <x v="41"/>
    <n v="1151"/>
    <n v="634"/>
    <n v="16"/>
    <n v="2"/>
    <n v="0"/>
    <n v="0"/>
    <n v="0"/>
    <n v="0"/>
    <n v="38"/>
    <n v="421"/>
    <n v="2025"/>
    <x v="6"/>
    <s v="超级直播"/>
    <x v="2"/>
    <x v="2"/>
  </r>
  <r>
    <x v="1"/>
    <x v="131"/>
    <x v="0"/>
    <x v="5"/>
    <x v="20"/>
    <n v="115"/>
    <n v="85"/>
    <n v="0"/>
    <n v="0"/>
    <n v="0"/>
    <n v="0"/>
    <n v="0"/>
    <n v="0"/>
    <n v="5"/>
    <n v="105"/>
    <n v="2025"/>
    <x v="6"/>
    <s v="超级短视频"/>
    <x v="2"/>
    <x v="2"/>
  </r>
  <r>
    <x v="1"/>
    <x v="131"/>
    <x v="0"/>
    <x v="6"/>
    <x v="49"/>
    <n v="1"/>
    <n v="1"/>
    <n v="0"/>
    <n v="0"/>
    <n v="0"/>
    <n v="0"/>
    <n v="0"/>
    <n v="0"/>
    <n v="0"/>
    <n v="0"/>
    <n v="2025"/>
    <x v="6"/>
    <s v="超级全域通"/>
    <x v="2"/>
    <x v="2"/>
  </r>
  <r>
    <x v="1"/>
    <x v="131"/>
    <x v="0"/>
    <x v="0"/>
    <x v="0"/>
    <n v="737"/>
    <n v="601"/>
    <n v="16"/>
    <n v="3"/>
    <n v="14195"/>
    <n v="4"/>
    <n v="14195"/>
    <n v="4"/>
    <n v="737"/>
    <n v="369"/>
    <n v="2025"/>
    <x v="6"/>
    <s v="万相台"/>
    <x v="2"/>
    <x v="2"/>
  </r>
  <r>
    <x v="1"/>
    <x v="131"/>
    <x v="0"/>
    <x v="0"/>
    <x v="1"/>
    <n v="41150"/>
    <n v="20678"/>
    <n v="172"/>
    <n v="283"/>
    <n v="67805"/>
    <n v="13"/>
    <n v="56965"/>
    <n v="12"/>
    <n v="674"/>
    <n v="41149"/>
    <n v="2025"/>
    <x v="6"/>
    <s v="引力魔方"/>
    <x v="2"/>
    <x v="2"/>
  </r>
  <r>
    <x v="1"/>
    <x v="131"/>
    <x v="0"/>
    <x v="0"/>
    <x v="2"/>
    <n v="7743"/>
    <n v="6620"/>
    <n v="68"/>
    <n v="34"/>
    <n v="165645"/>
    <n v="22"/>
    <n v="123305"/>
    <n v="19"/>
    <n v="420"/>
    <n v="7675"/>
    <n v="2025"/>
    <x v="6"/>
    <s v="直通车"/>
    <x v="2"/>
    <x v="2"/>
  </r>
  <r>
    <x v="1"/>
    <x v="131"/>
    <x v="0"/>
    <x v="7"/>
    <x v="23"/>
    <n v="4"/>
    <n v="2"/>
    <n v="0"/>
    <n v="0"/>
    <n v="0"/>
    <n v="0"/>
    <n v="0"/>
    <n v="0"/>
    <n v="0"/>
    <n v="3"/>
    <n v="2025"/>
    <x v="6"/>
    <s v="流量宝"/>
    <x v="2"/>
    <x v="2"/>
  </r>
  <r>
    <x v="1"/>
    <x v="131"/>
    <x v="0"/>
    <x v="7"/>
    <x v="24"/>
    <n v="439"/>
    <n v="131"/>
    <n v="8"/>
    <n v="2"/>
    <n v="14260"/>
    <n v="3"/>
    <n v="14260"/>
    <n v="3"/>
    <n v="3"/>
    <n v="432"/>
    <n v="2025"/>
    <x v="6"/>
    <s v="淘宝客"/>
    <x v="2"/>
    <x v="2"/>
  </r>
  <r>
    <x v="1"/>
    <x v="132"/>
    <x v="1"/>
    <x v="8"/>
    <x v="25"/>
    <n v="149"/>
    <n v="63"/>
    <n v="3"/>
    <n v="4"/>
    <n v="0"/>
    <n v="0"/>
    <n v="0"/>
    <n v="0"/>
    <n v="11"/>
    <n v="135"/>
    <n v="2025"/>
    <x v="6"/>
    <s v="主会场"/>
    <x v="2"/>
    <x v="2"/>
  </r>
  <r>
    <x v="1"/>
    <x v="132"/>
    <x v="1"/>
    <x v="1"/>
    <x v="3"/>
    <n v="1"/>
    <n v="0"/>
    <n v="1"/>
    <n v="0"/>
    <n v="0"/>
    <n v="0"/>
    <n v="0"/>
    <n v="0"/>
    <n v="0"/>
    <n v="1"/>
    <n v="2025"/>
    <x v="6"/>
    <s v="其他入口榜单"/>
    <x v="2"/>
    <x v="2"/>
  </r>
  <r>
    <x v="1"/>
    <x v="132"/>
    <x v="1"/>
    <x v="3"/>
    <x v="12"/>
    <n v="52"/>
    <n v="18"/>
    <n v="3"/>
    <n v="0"/>
    <n v="0"/>
    <n v="0"/>
    <n v="0"/>
    <n v="0"/>
    <n v="47"/>
    <n v="22"/>
    <n v="2025"/>
    <x v="6"/>
    <s v="店铺超链"/>
    <x v="2"/>
    <x v="2"/>
  </r>
  <r>
    <x v="1"/>
    <x v="132"/>
    <x v="1"/>
    <x v="4"/>
    <x v="13"/>
    <n v="904"/>
    <n v="337"/>
    <n v="40"/>
    <n v="15"/>
    <n v="61160.44"/>
    <n v="7"/>
    <n v="61160.44"/>
    <n v="7"/>
    <n v="162"/>
    <n v="867"/>
    <n v="2025"/>
    <x v="6"/>
    <s v="其他猜你喜欢"/>
    <x v="2"/>
    <x v="2"/>
  </r>
  <r>
    <x v="1"/>
    <x v="132"/>
    <x v="1"/>
    <x v="4"/>
    <x v="15"/>
    <n v="94"/>
    <n v="25"/>
    <n v="7"/>
    <n v="2"/>
    <n v="973.72"/>
    <n v="1"/>
    <n v="973.72"/>
    <n v="1"/>
    <n v="12"/>
    <n v="93"/>
    <n v="2025"/>
    <x v="6"/>
    <s v="购中推荐"/>
    <x v="2"/>
    <x v="2"/>
  </r>
  <r>
    <x v="1"/>
    <x v="132"/>
    <x v="1"/>
    <x v="4"/>
    <x v="16"/>
    <n v="661"/>
    <n v="214"/>
    <n v="16"/>
    <n v="7"/>
    <n v="43790"/>
    <n v="6"/>
    <n v="36800"/>
    <n v="5"/>
    <n v="62"/>
    <n v="654"/>
    <n v="2025"/>
    <x v="6"/>
    <s v="购后推荐"/>
    <x v="2"/>
    <x v="2"/>
  </r>
  <r>
    <x v="1"/>
    <x v="132"/>
    <x v="1"/>
    <x v="4"/>
    <x v="17"/>
    <n v="5621"/>
    <n v="2546"/>
    <n v="80"/>
    <n v="19"/>
    <n v="167815"/>
    <n v="25"/>
    <n v="149950"/>
    <n v="25"/>
    <n v="387"/>
    <n v="5621"/>
    <n v="2025"/>
    <x v="6"/>
    <s v="首页推荐-微详情"/>
    <x v="2"/>
    <x v="2"/>
  </r>
  <r>
    <x v="1"/>
    <x v="132"/>
    <x v="1"/>
    <x v="4"/>
    <x v="18"/>
    <n v="171"/>
    <n v="102"/>
    <n v="2"/>
    <n v="1"/>
    <n v="6680"/>
    <n v="1"/>
    <n v="6680"/>
    <n v="1"/>
    <n v="2"/>
    <n v="84"/>
    <n v="2025"/>
    <x v="6"/>
    <s v="首页推荐-直播"/>
    <x v="2"/>
    <x v="2"/>
  </r>
  <r>
    <x v="1"/>
    <x v="132"/>
    <x v="1"/>
    <x v="4"/>
    <x v="19"/>
    <n v="86"/>
    <n v="52"/>
    <n v="0"/>
    <n v="0"/>
    <n v="0"/>
    <n v="0"/>
    <n v="0"/>
    <n v="0"/>
    <n v="1"/>
    <n v="7"/>
    <n v="2025"/>
    <x v="6"/>
    <s v="首页推荐-短视频"/>
    <x v="2"/>
    <x v="2"/>
  </r>
  <r>
    <x v="1"/>
    <x v="132"/>
    <x v="1"/>
    <x v="12"/>
    <x v="42"/>
    <n v="1322"/>
    <n v="984"/>
    <n v="37"/>
    <n v="10"/>
    <n v="48025"/>
    <n v="7"/>
    <n v="36095"/>
    <n v="5"/>
    <n v="302"/>
    <n v="1246"/>
    <n v="2025"/>
    <x v="6"/>
    <s v="手淘搜索-商品及其他"/>
    <x v="2"/>
    <x v="2"/>
  </r>
  <r>
    <x v="1"/>
    <x v="132"/>
    <x v="1"/>
    <x v="12"/>
    <x v="43"/>
    <n v="5"/>
    <n v="2"/>
    <n v="0"/>
    <n v="0"/>
    <n v="0"/>
    <n v="0"/>
    <n v="0"/>
    <n v="0"/>
    <n v="0"/>
    <n v="5"/>
    <n v="2025"/>
    <x v="6"/>
    <s v="手淘搜索-直播"/>
    <x v="2"/>
    <x v="2"/>
  </r>
  <r>
    <x v="1"/>
    <x v="132"/>
    <x v="1"/>
    <x v="12"/>
    <x v="44"/>
    <n v="14"/>
    <n v="8"/>
    <n v="0"/>
    <n v="0"/>
    <n v="0"/>
    <n v="0"/>
    <n v="0"/>
    <n v="0"/>
    <n v="0"/>
    <n v="12"/>
    <n v="2025"/>
    <x v="6"/>
    <s v="手淘搜索-短视频"/>
    <x v="2"/>
    <x v="2"/>
  </r>
  <r>
    <x v="1"/>
    <x v="132"/>
    <x v="1"/>
    <x v="11"/>
    <x v="39"/>
    <n v="2"/>
    <n v="2"/>
    <n v="0"/>
    <n v="0"/>
    <n v="0"/>
    <n v="0"/>
    <n v="0"/>
    <n v="0"/>
    <n v="0"/>
    <n v="2"/>
    <n v="2025"/>
    <x v="6"/>
    <s v="淘特搜索"/>
    <x v="2"/>
    <x v="2"/>
  </r>
  <r>
    <x v="1"/>
    <x v="132"/>
    <x v="1"/>
    <x v="13"/>
    <x v="46"/>
    <n v="1"/>
    <n v="0"/>
    <n v="0"/>
    <n v="0"/>
    <n v="0"/>
    <n v="0"/>
    <n v="0"/>
    <n v="0"/>
    <n v="0"/>
    <n v="0"/>
    <n v="2025"/>
    <x v="6"/>
    <s v="飞猪其他"/>
    <x v="2"/>
    <x v="2"/>
  </r>
  <r>
    <x v="1"/>
    <x v="132"/>
    <x v="0"/>
    <x v="5"/>
    <x v="47"/>
    <n v="16"/>
    <n v="12"/>
    <n v="0"/>
    <n v="0"/>
    <n v="0"/>
    <n v="0"/>
    <n v="0"/>
    <n v="0"/>
    <n v="0"/>
    <n v="0"/>
    <n v="2025"/>
    <x v="6"/>
    <s v="短直联动"/>
    <x v="2"/>
    <x v="2"/>
  </r>
  <r>
    <x v="1"/>
    <x v="132"/>
    <x v="0"/>
    <x v="5"/>
    <x v="41"/>
    <n v="1354"/>
    <n v="861"/>
    <n v="16"/>
    <n v="2"/>
    <n v="0"/>
    <n v="0"/>
    <n v="0"/>
    <n v="0"/>
    <n v="46"/>
    <n v="404"/>
    <n v="2025"/>
    <x v="6"/>
    <s v="超级直播"/>
    <x v="2"/>
    <x v="2"/>
  </r>
  <r>
    <x v="1"/>
    <x v="132"/>
    <x v="0"/>
    <x v="5"/>
    <x v="20"/>
    <n v="115"/>
    <n v="105"/>
    <n v="1"/>
    <n v="1"/>
    <n v="0"/>
    <n v="0"/>
    <n v="0"/>
    <n v="0"/>
    <n v="5"/>
    <n v="111"/>
    <n v="2025"/>
    <x v="6"/>
    <s v="超级短视频"/>
    <x v="2"/>
    <x v="2"/>
  </r>
  <r>
    <x v="1"/>
    <x v="132"/>
    <x v="0"/>
    <x v="0"/>
    <x v="0"/>
    <n v="726"/>
    <n v="600"/>
    <n v="19"/>
    <n v="3"/>
    <n v="23495"/>
    <n v="5"/>
    <n v="18910"/>
    <n v="3"/>
    <n v="723"/>
    <n v="345"/>
    <n v="2025"/>
    <x v="6"/>
    <s v="万相台"/>
    <x v="2"/>
    <x v="2"/>
  </r>
  <r>
    <x v="1"/>
    <x v="132"/>
    <x v="0"/>
    <x v="0"/>
    <x v="1"/>
    <n v="44963"/>
    <n v="24434"/>
    <n v="211"/>
    <n v="312"/>
    <n v="81645"/>
    <n v="15"/>
    <n v="72425"/>
    <n v="13"/>
    <n v="896"/>
    <n v="44962"/>
    <n v="2025"/>
    <x v="6"/>
    <s v="引力魔方"/>
    <x v="2"/>
    <x v="2"/>
  </r>
  <r>
    <x v="1"/>
    <x v="132"/>
    <x v="0"/>
    <x v="0"/>
    <x v="2"/>
    <n v="7168"/>
    <n v="6216"/>
    <n v="65"/>
    <n v="31"/>
    <n v="156910"/>
    <n v="23"/>
    <n v="71935"/>
    <n v="15"/>
    <n v="425"/>
    <n v="7080"/>
    <n v="2025"/>
    <x v="6"/>
    <s v="直通车"/>
    <x v="2"/>
    <x v="2"/>
  </r>
  <r>
    <x v="1"/>
    <x v="132"/>
    <x v="0"/>
    <x v="7"/>
    <x v="23"/>
    <n v="5"/>
    <n v="2"/>
    <n v="0"/>
    <n v="0"/>
    <n v="0"/>
    <n v="0"/>
    <n v="0"/>
    <n v="0"/>
    <n v="0"/>
    <n v="5"/>
    <n v="2025"/>
    <x v="6"/>
    <s v="流量宝"/>
    <x v="2"/>
    <x v="2"/>
  </r>
  <r>
    <x v="1"/>
    <x v="132"/>
    <x v="0"/>
    <x v="7"/>
    <x v="24"/>
    <n v="445"/>
    <n v="135"/>
    <n v="6"/>
    <n v="2"/>
    <n v="23635"/>
    <n v="3"/>
    <n v="20945"/>
    <n v="3"/>
    <n v="4"/>
    <n v="434"/>
    <n v="2025"/>
    <x v="6"/>
    <s v="淘宝客"/>
    <x v="2"/>
    <x v="2"/>
  </r>
  <r>
    <x v="1"/>
    <x v="133"/>
    <x v="1"/>
    <x v="8"/>
    <x v="25"/>
    <n v="171"/>
    <n v="75"/>
    <n v="5"/>
    <n v="1"/>
    <n v="2690"/>
    <n v="1"/>
    <n v="0"/>
    <n v="0"/>
    <n v="19"/>
    <n v="159"/>
    <n v="2025"/>
    <x v="6"/>
    <s v="主会场"/>
    <x v="2"/>
    <x v="2"/>
  </r>
  <r>
    <x v="1"/>
    <x v="133"/>
    <x v="1"/>
    <x v="3"/>
    <x v="12"/>
    <n v="67"/>
    <n v="31"/>
    <n v="5"/>
    <n v="1"/>
    <n v="20325"/>
    <n v="4"/>
    <n v="11415"/>
    <n v="4"/>
    <n v="62"/>
    <n v="31"/>
    <n v="2025"/>
    <x v="6"/>
    <s v="店铺超链"/>
    <x v="2"/>
    <x v="2"/>
  </r>
  <r>
    <x v="1"/>
    <x v="133"/>
    <x v="1"/>
    <x v="4"/>
    <x v="13"/>
    <n v="830"/>
    <n v="328"/>
    <n v="31"/>
    <n v="14"/>
    <n v="50453.58"/>
    <n v="8"/>
    <n v="41273.58"/>
    <n v="7"/>
    <n v="144"/>
    <n v="784"/>
    <n v="2025"/>
    <x v="6"/>
    <s v="其他猜你喜欢"/>
    <x v="2"/>
    <x v="2"/>
  </r>
  <r>
    <x v="1"/>
    <x v="133"/>
    <x v="1"/>
    <x v="4"/>
    <x v="15"/>
    <n v="164"/>
    <n v="73"/>
    <n v="7"/>
    <n v="0"/>
    <n v="4440"/>
    <n v="1"/>
    <n v="4440"/>
    <n v="1"/>
    <n v="17"/>
    <n v="138"/>
    <n v="2025"/>
    <x v="6"/>
    <s v="购中推荐"/>
    <x v="2"/>
    <x v="2"/>
  </r>
  <r>
    <x v="1"/>
    <x v="133"/>
    <x v="1"/>
    <x v="4"/>
    <x v="16"/>
    <n v="824"/>
    <n v="361"/>
    <n v="36"/>
    <n v="5"/>
    <n v="12890"/>
    <n v="2"/>
    <n v="12890"/>
    <n v="2"/>
    <n v="73"/>
    <n v="712"/>
    <n v="2025"/>
    <x v="6"/>
    <s v="购后推荐"/>
    <x v="2"/>
    <x v="2"/>
  </r>
  <r>
    <x v="1"/>
    <x v="133"/>
    <x v="1"/>
    <x v="4"/>
    <x v="17"/>
    <n v="5474"/>
    <n v="2299"/>
    <n v="102"/>
    <n v="28"/>
    <n v="136281.42000000001"/>
    <n v="20"/>
    <n v="100341.42"/>
    <n v="17"/>
    <n v="344"/>
    <n v="5474"/>
    <n v="2025"/>
    <x v="6"/>
    <s v="首页推荐-微详情"/>
    <x v="2"/>
    <x v="2"/>
  </r>
  <r>
    <x v="1"/>
    <x v="133"/>
    <x v="1"/>
    <x v="4"/>
    <x v="18"/>
    <n v="295"/>
    <n v="209"/>
    <n v="0"/>
    <n v="0"/>
    <n v="0"/>
    <n v="0"/>
    <n v="0"/>
    <n v="0"/>
    <n v="5"/>
    <n v="90"/>
    <n v="2025"/>
    <x v="6"/>
    <s v="首页推荐-直播"/>
    <x v="2"/>
    <x v="2"/>
  </r>
  <r>
    <x v="1"/>
    <x v="133"/>
    <x v="1"/>
    <x v="4"/>
    <x v="19"/>
    <n v="305"/>
    <n v="219"/>
    <n v="0"/>
    <n v="0"/>
    <n v="0"/>
    <n v="0"/>
    <n v="0"/>
    <n v="0"/>
    <n v="3"/>
    <n v="19"/>
    <n v="2025"/>
    <x v="6"/>
    <s v="首页推荐-短视频"/>
    <x v="2"/>
    <x v="2"/>
  </r>
  <r>
    <x v="1"/>
    <x v="133"/>
    <x v="1"/>
    <x v="12"/>
    <x v="42"/>
    <n v="1021"/>
    <n v="746"/>
    <n v="43"/>
    <n v="9"/>
    <n v="48730"/>
    <n v="10"/>
    <n v="27490"/>
    <n v="8"/>
    <n v="232"/>
    <n v="961"/>
    <n v="2025"/>
    <x v="6"/>
    <s v="手淘搜索-商品及其他"/>
    <x v="2"/>
    <x v="2"/>
  </r>
  <r>
    <x v="1"/>
    <x v="133"/>
    <x v="1"/>
    <x v="12"/>
    <x v="43"/>
    <n v="9"/>
    <n v="3"/>
    <n v="0"/>
    <n v="0"/>
    <n v="0"/>
    <n v="0"/>
    <n v="0"/>
    <n v="0"/>
    <n v="0"/>
    <n v="7"/>
    <n v="2025"/>
    <x v="6"/>
    <s v="手淘搜索-直播"/>
    <x v="2"/>
    <x v="2"/>
  </r>
  <r>
    <x v="1"/>
    <x v="133"/>
    <x v="1"/>
    <x v="12"/>
    <x v="44"/>
    <n v="10"/>
    <n v="3"/>
    <n v="0"/>
    <n v="0"/>
    <n v="0"/>
    <n v="0"/>
    <n v="0"/>
    <n v="0"/>
    <n v="0"/>
    <n v="9"/>
    <n v="2025"/>
    <x v="6"/>
    <s v="手淘搜索-短视频"/>
    <x v="2"/>
    <x v="2"/>
  </r>
  <r>
    <x v="1"/>
    <x v="133"/>
    <x v="1"/>
    <x v="11"/>
    <x v="39"/>
    <n v="1"/>
    <n v="1"/>
    <n v="0"/>
    <n v="0"/>
    <n v="0"/>
    <n v="0"/>
    <n v="0"/>
    <n v="0"/>
    <n v="0"/>
    <n v="1"/>
    <n v="2025"/>
    <x v="6"/>
    <s v="淘特搜索"/>
    <x v="2"/>
    <x v="2"/>
  </r>
  <r>
    <x v="1"/>
    <x v="133"/>
    <x v="0"/>
    <x v="5"/>
    <x v="47"/>
    <n v="24"/>
    <n v="23"/>
    <n v="0"/>
    <n v="0"/>
    <n v="0"/>
    <n v="0"/>
    <n v="0"/>
    <n v="0"/>
    <n v="0"/>
    <n v="0"/>
    <n v="2025"/>
    <x v="6"/>
    <s v="短直联动"/>
    <x v="2"/>
    <x v="2"/>
  </r>
  <r>
    <x v="1"/>
    <x v="133"/>
    <x v="0"/>
    <x v="5"/>
    <x v="41"/>
    <n v="2136"/>
    <n v="1660"/>
    <n v="23"/>
    <n v="1"/>
    <n v="0"/>
    <n v="0"/>
    <n v="0"/>
    <n v="0"/>
    <n v="42"/>
    <n v="368"/>
    <n v="2025"/>
    <x v="6"/>
    <s v="超级直播"/>
    <x v="2"/>
    <x v="2"/>
  </r>
  <r>
    <x v="1"/>
    <x v="133"/>
    <x v="0"/>
    <x v="5"/>
    <x v="20"/>
    <n v="255"/>
    <n v="144"/>
    <n v="0"/>
    <n v="0"/>
    <n v="0"/>
    <n v="0"/>
    <n v="0"/>
    <n v="0"/>
    <n v="5"/>
    <n v="156"/>
    <n v="2025"/>
    <x v="6"/>
    <s v="超级短视频"/>
    <x v="2"/>
    <x v="2"/>
  </r>
  <r>
    <x v="1"/>
    <x v="133"/>
    <x v="0"/>
    <x v="0"/>
    <x v="0"/>
    <n v="790"/>
    <n v="616"/>
    <n v="34"/>
    <n v="6"/>
    <n v="91330"/>
    <n v="14"/>
    <n v="43680"/>
    <n v="11"/>
    <n v="788"/>
    <n v="373"/>
    <n v="2025"/>
    <x v="6"/>
    <s v="万相台"/>
    <x v="2"/>
    <x v="2"/>
  </r>
  <r>
    <x v="1"/>
    <x v="133"/>
    <x v="0"/>
    <x v="0"/>
    <x v="1"/>
    <n v="35091"/>
    <n v="17603"/>
    <n v="202"/>
    <n v="288"/>
    <n v="102916.42"/>
    <n v="24"/>
    <n v="77286.42"/>
    <n v="20"/>
    <n v="809"/>
    <n v="35087"/>
    <n v="2025"/>
    <x v="6"/>
    <s v="引力魔方"/>
    <x v="2"/>
    <x v="2"/>
  </r>
  <r>
    <x v="1"/>
    <x v="133"/>
    <x v="0"/>
    <x v="0"/>
    <x v="2"/>
    <n v="7189"/>
    <n v="6246"/>
    <n v="65"/>
    <n v="29"/>
    <n v="115779.84"/>
    <n v="14"/>
    <n v="49639.839999999997"/>
    <n v="12"/>
    <n v="403"/>
    <n v="7109"/>
    <n v="2025"/>
    <x v="6"/>
    <s v="直通车"/>
    <x v="2"/>
    <x v="2"/>
  </r>
  <r>
    <x v="1"/>
    <x v="133"/>
    <x v="0"/>
    <x v="7"/>
    <x v="23"/>
    <n v="7"/>
    <n v="4"/>
    <n v="1"/>
    <n v="1"/>
    <n v="0"/>
    <n v="0"/>
    <n v="0"/>
    <n v="0"/>
    <n v="3"/>
    <n v="6"/>
    <n v="2025"/>
    <x v="6"/>
    <s v="流量宝"/>
    <x v="2"/>
    <x v="2"/>
  </r>
  <r>
    <x v="1"/>
    <x v="133"/>
    <x v="0"/>
    <x v="7"/>
    <x v="24"/>
    <n v="478"/>
    <n v="163"/>
    <n v="2"/>
    <n v="2"/>
    <n v="35730"/>
    <n v="2"/>
    <n v="35730"/>
    <n v="2"/>
    <n v="9"/>
    <n v="466"/>
    <n v="2025"/>
    <x v="6"/>
    <s v="淘宝客"/>
    <x v="2"/>
    <x v="2"/>
  </r>
  <r>
    <x v="1"/>
    <x v="134"/>
    <x v="1"/>
    <x v="8"/>
    <x v="25"/>
    <n v="126"/>
    <n v="42"/>
    <n v="6"/>
    <n v="0"/>
    <n v="10930"/>
    <n v="2"/>
    <n v="10930"/>
    <n v="2"/>
    <n v="12"/>
    <n v="121"/>
    <n v="2025"/>
    <x v="6"/>
    <s v="主会场"/>
    <x v="2"/>
    <x v="2"/>
  </r>
  <r>
    <x v="1"/>
    <x v="134"/>
    <x v="1"/>
    <x v="3"/>
    <x v="12"/>
    <n v="77"/>
    <n v="29"/>
    <n v="5"/>
    <n v="0"/>
    <n v="4330"/>
    <n v="1"/>
    <n v="4330"/>
    <n v="1"/>
    <n v="71"/>
    <n v="32"/>
    <n v="2025"/>
    <x v="6"/>
    <s v="店铺超链"/>
    <x v="2"/>
    <x v="2"/>
  </r>
  <r>
    <x v="1"/>
    <x v="134"/>
    <x v="1"/>
    <x v="4"/>
    <x v="13"/>
    <n v="853"/>
    <n v="331"/>
    <n v="41"/>
    <n v="13"/>
    <n v="91085"/>
    <n v="18"/>
    <n v="53145"/>
    <n v="14"/>
    <n v="167"/>
    <n v="810"/>
    <n v="2025"/>
    <x v="6"/>
    <s v="其他猜你喜欢"/>
    <x v="2"/>
    <x v="2"/>
  </r>
  <r>
    <x v="1"/>
    <x v="134"/>
    <x v="1"/>
    <x v="4"/>
    <x v="15"/>
    <n v="151"/>
    <n v="53"/>
    <n v="9"/>
    <n v="2"/>
    <n v="1990"/>
    <n v="1"/>
    <n v="1990"/>
    <n v="1"/>
    <n v="18"/>
    <n v="151"/>
    <n v="2025"/>
    <x v="6"/>
    <s v="购中推荐"/>
    <x v="2"/>
    <x v="2"/>
  </r>
  <r>
    <x v="1"/>
    <x v="134"/>
    <x v="1"/>
    <x v="4"/>
    <x v="16"/>
    <n v="515"/>
    <n v="160"/>
    <n v="24"/>
    <n v="6"/>
    <n v="49675"/>
    <n v="10"/>
    <n v="42475"/>
    <n v="9"/>
    <n v="47"/>
    <n v="513"/>
    <n v="2025"/>
    <x v="6"/>
    <s v="购后推荐"/>
    <x v="2"/>
    <x v="2"/>
  </r>
  <r>
    <x v="1"/>
    <x v="134"/>
    <x v="1"/>
    <x v="4"/>
    <x v="17"/>
    <n v="5910"/>
    <n v="3007"/>
    <n v="118"/>
    <n v="35"/>
    <n v="128800.65"/>
    <n v="31"/>
    <n v="114830.65"/>
    <n v="28"/>
    <n v="541"/>
    <n v="5910"/>
    <n v="2025"/>
    <x v="6"/>
    <s v="首页推荐-微详情"/>
    <x v="2"/>
    <x v="2"/>
  </r>
  <r>
    <x v="1"/>
    <x v="134"/>
    <x v="1"/>
    <x v="4"/>
    <x v="18"/>
    <n v="220"/>
    <n v="146"/>
    <n v="2"/>
    <n v="0"/>
    <n v="16570"/>
    <n v="4"/>
    <n v="16570"/>
    <n v="4"/>
    <n v="10"/>
    <n v="139"/>
    <n v="2025"/>
    <x v="6"/>
    <s v="首页推荐-直播"/>
    <x v="2"/>
    <x v="2"/>
  </r>
  <r>
    <x v="1"/>
    <x v="134"/>
    <x v="1"/>
    <x v="4"/>
    <x v="19"/>
    <n v="65"/>
    <n v="41"/>
    <n v="0"/>
    <n v="0"/>
    <n v="0"/>
    <n v="0"/>
    <n v="0"/>
    <n v="0"/>
    <n v="0"/>
    <n v="10"/>
    <n v="2025"/>
    <x v="6"/>
    <s v="首页推荐-短视频"/>
    <x v="2"/>
    <x v="2"/>
  </r>
  <r>
    <x v="1"/>
    <x v="134"/>
    <x v="1"/>
    <x v="12"/>
    <x v="42"/>
    <n v="1271"/>
    <n v="951"/>
    <n v="58"/>
    <n v="14"/>
    <n v="86705"/>
    <n v="18"/>
    <n v="75530"/>
    <n v="14"/>
    <n v="270"/>
    <n v="1195"/>
    <n v="2025"/>
    <x v="6"/>
    <s v="手淘搜索-商品及其他"/>
    <x v="2"/>
    <x v="2"/>
  </r>
  <r>
    <x v="1"/>
    <x v="134"/>
    <x v="1"/>
    <x v="12"/>
    <x v="43"/>
    <n v="19"/>
    <n v="11"/>
    <n v="2"/>
    <n v="1"/>
    <n v="0"/>
    <n v="0"/>
    <n v="0"/>
    <n v="0"/>
    <n v="2"/>
    <n v="18"/>
    <n v="2025"/>
    <x v="6"/>
    <s v="手淘搜索-直播"/>
    <x v="2"/>
    <x v="2"/>
  </r>
  <r>
    <x v="1"/>
    <x v="134"/>
    <x v="1"/>
    <x v="12"/>
    <x v="44"/>
    <n v="12"/>
    <n v="9"/>
    <n v="0"/>
    <n v="1"/>
    <n v="4695"/>
    <n v="1"/>
    <n v="4695"/>
    <n v="1"/>
    <n v="0"/>
    <n v="12"/>
    <n v="2025"/>
    <x v="6"/>
    <s v="手淘搜索-短视频"/>
    <x v="2"/>
    <x v="2"/>
  </r>
  <r>
    <x v="1"/>
    <x v="134"/>
    <x v="0"/>
    <x v="5"/>
    <x v="47"/>
    <n v="18"/>
    <n v="13"/>
    <n v="0"/>
    <n v="0"/>
    <n v="0"/>
    <n v="0"/>
    <n v="0"/>
    <n v="0"/>
    <n v="0"/>
    <n v="0"/>
    <n v="2025"/>
    <x v="6"/>
    <s v="短直联动"/>
    <x v="2"/>
    <x v="2"/>
  </r>
  <r>
    <x v="1"/>
    <x v="134"/>
    <x v="0"/>
    <x v="5"/>
    <x v="41"/>
    <n v="1617"/>
    <n v="998"/>
    <n v="37"/>
    <n v="1"/>
    <n v="0"/>
    <n v="0"/>
    <n v="0"/>
    <n v="0"/>
    <n v="63"/>
    <n v="482"/>
    <n v="2025"/>
    <x v="6"/>
    <s v="超级直播"/>
    <x v="2"/>
    <x v="2"/>
  </r>
  <r>
    <x v="1"/>
    <x v="134"/>
    <x v="0"/>
    <x v="5"/>
    <x v="20"/>
    <n v="474"/>
    <n v="278"/>
    <n v="1"/>
    <n v="2"/>
    <n v="0"/>
    <n v="0"/>
    <n v="0"/>
    <n v="0"/>
    <n v="6"/>
    <n v="308"/>
    <n v="2025"/>
    <x v="6"/>
    <s v="超级短视频"/>
    <x v="2"/>
    <x v="2"/>
  </r>
  <r>
    <x v="1"/>
    <x v="134"/>
    <x v="0"/>
    <x v="6"/>
    <x v="21"/>
    <n v="1"/>
    <n v="0"/>
    <n v="0"/>
    <n v="0"/>
    <n v="0"/>
    <n v="0"/>
    <n v="0"/>
    <n v="0"/>
    <n v="1"/>
    <n v="0"/>
    <n v="2025"/>
    <x v="6"/>
    <s v="品销宝-品牌专区"/>
    <x v="2"/>
    <x v="2"/>
  </r>
  <r>
    <x v="1"/>
    <x v="134"/>
    <x v="0"/>
    <x v="0"/>
    <x v="0"/>
    <n v="850"/>
    <n v="689"/>
    <n v="37"/>
    <n v="10"/>
    <n v="134060"/>
    <n v="15"/>
    <n v="81330"/>
    <n v="13"/>
    <n v="850"/>
    <n v="431"/>
    <n v="2025"/>
    <x v="6"/>
    <s v="万相台"/>
    <x v="2"/>
    <x v="2"/>
  </r>
  <r>
    <x v="1"/>
    <x v="134"/>
    <x v="0"/>
    <x v="0"/>
    <x v="1"/>
    <n v="34925"/>
    <n v="18729"/>
    <n v="234"/>
    <n v="246"/>
    <n v="396936.34"/>
    <n v="62"/>
    <n v="343866.34"/>
    <n v="58"/>
    <n v="887"/>
    <n v="34921"/>
    <n v="2025"/>
    <x v="6"/>
    <s v="引力魔方"/>
    <x v="2"/>
    <x v="2"/>
  </r>
  <r>
    <x v="1"/>
    <x v="134"/>
    <x v="0"/>
    <x v="0"/>
    <x v="2"/>
    <n v="6569"/>
    <n v="5594"/>
    <n v="46"/>
    <n v="27"/>
    <n v="104355"/>
    <n v="13"/>
    <n v="55020"/>
    <n v="9"/>
    <n v="389"/>
    <n v="6486"/>
    <n v="2025"/>
    <x v="6"/>
    <s v="直通车"/>
    <x v="2"/>
    <x v="2"/>
  </r>
  <r>
    <x v="1"/>
    <x v="134"/>
    <x v="0"/>
    <x v="7"/>
    <x v="23"/>
    <n v="9"/>
    <n v="3"/>
    <n v="1"/>
    <n v="0"/>
    <n v="0"/>
    <n v="0"/>
    <n v="0"/>
    <n v="0"/>
    <n v="2"/>
    <n v="9"/>
    <n v="2025"/>
    <x v="6"/>
    <s v="流量宝"/>
    <x v="2"/>
    <x v="2"/>
  </r>
  <r>
    <x v="1"/>
    <x v="134"/>
    <x v="0"/>
    <x v="7"/>
    <x v="24"/>
    <n v="545"/>
    <n v="189"/>
    <n v="8"/>
    <n v="2"/>
    <n v="60267.87"/>
    <n v="7"/>
    <n v="55040"/>
    <n v="7"/>
    <n v="6"/>
    <n v="540"/>
    <n v="2025"/>
    <x v="6"/>
    <s v="淘宝客"/>
    <x v="2"/>
    <x v="2"/>
  </r>
  <r>
    <x v="1"/>
    <x v="135"/>
    <x v="1"/>
    <x v="8"/>
    <x v="25"/>
    <n v="144"/>
    <n v="59"/>
    <n v="5"/>
    <n v="3"/>
    <n v="0"/>
    <n v="0"/>
    <n v="0"/>
    <n v="0"/>
    <n v="24"/>
    <n v="137"/>
    <n v="2025"/>
    <x v="6"/>
    <s v="主会场"/>
    <x v="2"/>
    <x v="2"/>
  </r>
  <r>
    <x v="1"/>
    <x v="135"/>
    <x v="1"/>
    <x v="3"/>
    <x v="12"/>
    <n v="51"/>
    <n v="28"/>
    <n v="2"/>
    <n v="0"/>
    <n v="0"/>
    <n v="0"/>
    <n v="0"/>
    <n v="0"/>
    <n v="46"/>
    <n v="28"/>
    <n v="2025"/>
    <x v="6"/>
    <s v="店铺超链"/>
    <x v="2"/>
    <x v="2"/>
  </r>
  <r>
    <x v="1"/>
    <x v="135"/>
    <x v="1"/>
    <x v="4"/>
    <x v="13"/>
    <n v="821"/>
    <n v="365"/>
    <n v="36"/>
    <n v="21"/>
    <n v="24405"/>
    <n v="3"/>
    <n v="19730"/>
    <n v="2"/>
    <n v="161"/>
    <n v="794"/>
    <n v="2025"/>
    <x v="6"/>
    <s v="其他猜你喜欢"/>
    <x v="2"/>
    <x v="2"/>
  </r>
  <r>
    <x v="1"/>
    <x v="135"/>
    <x v="1"/>
    <x v="4"/>
    <x v="15"/>
    <n v="110"/>
    <n v="50"/>
    <n v="4"/>
    <n v="1"/>
    <n v="0"/>
    <n v="0"/>
    <n v="0"/>
    <n v="0"/>
    <n v="14"/>
    <n v="88"/>
    <n v="2025"/>
    <x v="6"/>
    <s v="购中推荐"/>
    <x v="2"/>
    <x v="2"/>
  </r>
  <r>
    <x v="1"/>
    <x v="135"/>
    <x v="1"/>
    <x v="4"/>
    <x v="16"/>
    <n v="398"/>
    <n v="187"/>
    <n v="9"/>
    <n v="2"/>
    <n v="5400"/>
    <n v="1"/>
    <n v="5400"/>
    <n v="1"/>
    <n v="30"/>
    <n v="328"/>
    <n v="2025"/>
    <x v="6"/>
    <s v="购后推荐"/>
    <x v="2"/>
    <x v="2"/>
  </r>
  <r>
    <x v="1"/>
    <x v="135"/>
    <x v="1"/>
    <x v="4"/>
    <x v="17"/>
    <n v="4374"/>
    <n v="2107"/>
    <n v="88"/>
    <n v="26"/>
    <n v="40135"/>
    <n v="3"/>
    <n v="24635"/>
    <n v="2"/>
    <n v="312"/>
    <n v="4374"/>
    <n v="2025"/>
    <x v="6"/>
    <s v="首页推荐-微详情"/>
    <x v="2"/>
    <x v="2"/>
  </r>
  <r>
    <x v="1"/>
    <x v="135"/>
    <x v="1"/>
    <x v="4"/>
    <x v="19"/>
    <n v="136"/>
    <n v="102"/>
    <n v="2"/>
    <n v="0"/>
    <n v="0"/>
    <n v="0"/>
    <n v="0"/>
    <n v="0"/>
    <n v="0"/>
    <n v="11"/>
    <n v="2025"/>
    <x v="6"/>
    <s v="首页推荐-短视频"/>
    <x v="2"/>
    <x v="2"/>
  </r>
  <r>
    <x v="1"/>
    <x v="135"/>
    <x v="1"/>
    <x v="12"/>
    <x v="42"/>
    <n v="879"/>
    <n v="626"/>
    <n v="44"/>
    <n v="6"/>
    <n v="32220"/>
    <n v="4"/>
    <n v="7990"/>
    <n v="1"/>
    <n v="239"/>
    <n v="808"/>
    <n v="2025"/>
    <x v="6"/>
    <s v="手淘搜索-商品及其他"/>
    <x v="2"/>
    <x v="2"/>
  </r>
  <r>
    <x v="1"/>
    <x v="135"/>
    <x v="1"/>
    <x v="12"/>
    <x v="44"/>
    <n v="10"/>
    <n v="6"/>
    <n v="0"/>
    <n v="0"/>
    <n v="0"/>
    <n v="0"/>
    <n v="0"/>
    <n v="0"/>
    <n v="0"/>
    <n v="9"/>
    <n v="2025"/>
    <x v="6"/>
    <s v="手淘搜索-短视频"/>
    <x v="2"/>
    <x v="2"/>
  </r>
  <r>
    <x v="1"/>
    <x v="135"/>
    <x v="0"/>
    <x v="5"/>
    <x v="41"/>
    <n v="7"/>
    <n v="2"/>
    <n v="0"/>
    <n v="0"/>
    <n v="0"/>
    <n v="0"/>
    <n v="0"/>
    <n v="0"/>
    <n v="0"/>
    <n v="4"/>
    <n v="2025"/>
    <x v="6"/>
    <s v="超级直播"/>
    <x v="2"/>
    <x v="2"/>
  </r>
  <r>
    <x v="1"/>
    <x v="135"/>
    <x v="0"/>
    <x v="5"/>
    <x v="20"/>
    <n v="736"/>
    <n v="331"/>
    <n v="1"/>
    <n v="0"/>
    <n v="0"/>
    <n v="0"/>
    <n v="0"/>
    <n v="0"/>
    <n v="11"/>
    <n v="432"/>
    <n v="2025"/>
    <x v="6"/>
    <s v="超级短视频"/>
    <x v="2"/>
    <x v="2"/>
  </r>
  <r>
    <x v="1"/>
    <x v="135"/>
    <x v="0"/>
    <x v="6"/>
    <x v="49"/>
    <n v="1"/>
    <n v="0"/>
    <n v="0"/>
    <n v="0"/>
    <n v="0"/>
    <n v="0"/>
    <n v="0"/>
    <n v="0"/>
    <n v="0"/>
    <n v="1"/>
    <n v="2025"/>
    <x v="6"/>
    <s v="超级全域通"/>
    <x v="2"/>
    <x v="2"/>
  </r>
  <r>
    <x v="1"/>
    <x v="135"/>
    <x v="0"/>
    <x v="0"/>
    <x v="0"/>
    <n v="814"/>
    <n v="673"/>
    <n v="27"/>
    <n v="6"/>
    <n v="21770"/>
    <n v="4"/>
    <n v="21770"/>
    <n v="4"/>
    <n v="813"/>
    <n v="400"/>
    <n v="2025"/>
    <x v="6"/>
    <s v="万相台"/>
    <x v="2"/>
    <x v="2"/>
  </r>
  <r>
    <x v="1"/>
    <x v="135"/>
    <x v="0"/>
    <x v="0"/>
    <x v="1"/>
    <n v="46227"/>
    <n v="27200"/>
    <n v="309"/>
    <n v="389"/>
    <n v="34350"/>
    <n v="2"/>
    <n v="34350"/>
    <n v="2"/>
    <n v="1255"/>
    <n v="46227"/>
    <n v="2025"/>
    <x v="6"/>
    <s v="引力魔方"/>
    <x v="2"/>
    <x v="2"/>
  </r>
  <r>
    <x v="1"/>
    <x v="135"/>
    <x v="0"/>
    <x v="0"/>
    <x v="2"/>
    <n v="7373"/>
    <n v="6339"/>
    <n v="51"/>
    <n v="29"/>
    <n v="64495"/>
    <n v="7"/>
    <n v="15740"/>
    <n v="1"/>
    <n v="438"/>
    <n v="7275"/>
    <n v="2025"/>
    <x v="6"/>
    <s v="直通车"/>
    <x v="2"/>
    <x v="2"/>
  </r>
  <r>
    <x v="1"/>
    <x v="135"/>
    <x v="0"/>
    <x v="7"/>
    <x v="22"/>
    <n v="1"/>
    <n v="0"/>
    <n v="0"/>
    <n v="0"/>
    <n v="0"/>
    <n v="0"/>
    <n v="0"/>
    <n v="0"/>
    <n v="1"/>
    <n v="1"/>
    <n v="2025"/>
    <x v="6"/>
    <s v="UD效果投放"/>
    <x v="2"/>
    <x v="2"/>
  </r>
  <r>
    <x v="1"/>
    <x v="135"/>
    <x v="0"/>
    <x v="7"/>
    <x v="23"/>
    <n v="5"/>
    <n v="4"/>
    <n v="0"/>
    <n v="0"/>
    <n v="0"/>
    <n v="0"/>
    <n v="0"/>
    <n v="0"/>
    <n v="0"/>
    <n v="5"/>
    <n v="2025"/>
    <x v="6"/>
    <s v="流量宝"/>
    <x v="2"/>
    <x v="2"/>
  </r>
  <r>
    <x v="1"/>
    <x v="135"/>
    <x v="0"/>
    <x v="7"/>
    <x v="24"/>
    <n v="514"/>
    <n v="157"/>
    <n v="4"/>
    <n v="3"/>
    <n v="0"/>
    <n v="0"/>
    <n v="0"/>
    <n v="0"/>
    <n v="3"/>
    <n v="514"/>
    <n v="2025"/>
    <x v="6"/>
    <s v="淘宝客"/>
    <x v="2"/>
    <x v="2"/>
  </r>
  <r>
    <x v="1"/>
    <x v="136"/>
    <x v="1"/>
    <x v="8"/>
    <x v="25"/>
    <n v="105"/>
    <n v="41"/>
    <n v="5"/>
    <n v="1"/>
    <n v="0"/>
    <n v="0"/>
    <n v="0"/>
    <n v="0"/>
    <n v="12"/>
    <n v="93"/>
    <n v="2025"/>
    <x v="6"/>
    <s v="主会场"/>
    <x v="2"/>
    <x v="2"/>
  </r>
  <r>
    <x v="1"/>
    <x v="136"/>
    <x v="1"/>
    <x v="3"/>
    <x v="12"/>
    <n v="44"/>
    <n v="22"/>
    <n v="3"/>
    <n v="0"/>
    <n v="0"/>
    <n v="0"/>
    <n v="0"/>
    <n v="0"/>
    <n v="40"/>
    <n v="25"/>
    <n v="2025"/>
    <x v="6"/>
    <s v="店铺超链"/>
    <x v="2"/>
    <x v="2"/>
  </r>
  <r>
    <x v="1"/>
    <x v="136"/>
    <x v="1"/>
    <x v="4"/>
    <x v="13"/>
    <n v="676"/>
    <n v="317"/>
    <n v="36"/>
    <n v="11"/>
    <n v="31900"/>
    <n v="6"/>
    <n v="27910"/>
    <n v="5"/>
    <n v="138"/>
    <n v="653"/>
    <n v="2025"/>
    <x v="6"/>
    <s v="其他猜你喜欢"/>
    <x v="2"/>
    <x v="2"/>
  </r>
  <r>
    <x v="1"/>
    <x v="136"/>
    <x v="1"/>
    <x v="4"/>
    <x v="15"/>
    <n v="118"/>
    <n v="45"/>
    <n v="2"/>
    <n v="1"/>
    <n v="0"/>
    <n v="0"/>
    <n v="0"/>
    <n v="0"/>
    <n v="14"/>
    <n v="118"/>
    <n v="2025"/>
    <x v="6"/>
    <s v="购中推荐"/>
    <x v="2"/>
    <x v="2"/>
  </r>
  <r>
    <x v="1"/>
    <x v="136"/>
    <x v="1"/>
    <x v="4"/>
    <x v="16"/>
    <n v="339"/>
    <n v="145"/>
    <n v="15"/>
    <n v="1"/>
    <n v="0"/>
    <n v="0"/>
    <n v="0"/>
    <n v="0"/>
    <n v="41"/>
    <n v="337"/>
    <n v="2025"/>
    <x v="6"/>
    <s v="购后推荐"/>
    <x v="2"/>
    <x v="2"/>
  </r>
  <r>
    <x v="1"/>
    <x v="136"/>
    <x v="1"/>
    <x v="4"/>
    <x v="17"/>
    <n v="4637"/>
    <n v="2395"/>
    <n v="81"/>
    <n v="20"/>
    <n v="67400"/>
    <n v="9"/>
    <n v="25970"/>
    <n v="5"/>
    <n v="272"/>
    <n v="4637"/>
    <n v="2025"/>
    <x v="6"/>
    <s v="首页推荐-微详情"/>
    <x v="2"/>
    <x v="2"/>
  </r>
  <r>
    <x v="1"/>
    <x v="136"/>
    <x v="1"/>
    <x v="4"/>
    <x v="18"/>
    <n v="89"/>
    <n v="37"/>
    <n v="2"/>
    <n v="0"/>
    <n v="0"/>
    <n v="0"/>
    <n v="0"/>
    <n v="0"/>
    <n v="6"/>
    <n v="45"/>
    <n v="2025"/>
    <x v="6"/>
    <s v="首页推荐-直播"/>
    <x v="2"/>
    <x v="2"/>
  </r>
  <r>
    <x v="1"/>
    <x v="136"/>
    <x v="1"/>
    <x v="4"/>
    <x v="19"/>
    <n v="25"/>
    <n v="7"/>
    <n v="2"/>
    <n v="0"/>
    <n v="0"/>
    <n v="0"/>
    <n v="0"/>
    <n v="0"/>
    <n v="1"/>
    <n v="7"/>
    <n v="2025"/>
    <x v="6"/>
    <s v="首页推荐-短视频"/>
    <x v="2"/>
    <x v="2"/>
  </r>
  <r>
    <x v="1"/>
    <x v="136"/>
    <x v="1"/>
    <x v="12"/>
    <x v="42"/>
    <n v="878"/>
    <n v="647"/>
    <n v="43"/>
    <n v="11"/>
    <n v="28070"/>
    <n v="5"/>
    <n v="16480"/>
    <n v="4"/>
    <n v="216"/>
    <n v="818"/>
    <n v="2025"/>
    <x v="6"/>
    <s v="手淘搜索-商品及其他"/>
    <x v="2"/>
    <x v="2"/>
  </r>
  <r>
    <x v="1"/>
    <x v="136"/>
    <x v="1"/>
    <x v="12"/>
    <x v="43"/>
    <n v="13"/>
    <n v="9"/>
    <n v="1"/>
    <n v="0"/>
    <n v="0"/>
    <n v="0"/>
    <n v="0"/>
    <n v="0"/>
    <n v="2"/>
    <n v="13"/>
    <n v="2025"/>
    <x v="6"/>
    <s v="手淘搜索-直播"/>
    <x v="2"/>
    <x v="2"/>
  </r>
  <r>
    <x v="1"/>
    <x v="136"/>
    <x v="1"/>
    <x v="12"/>
    <x v="44"/>
    <n v="13"/>
    <n v="8"/>
    <n v="0"/>
    <n v="0"/>
    <n v="0"/>
    <n v="0"/>
    <n v="0"/>
    <n v="0"/>
    <n v="1"/>
    <n v="13"/>
    <n v="2025"/>
    <x v="6"/>
    <s v="手淘搜索-短视频"/>
    <x v="2"/>
    <x v="2"/>
  </r>
  <r>
    <x v="1"/>
    <x v="136"/>
    <x v="1"/>
    <x v="11"/>
    <x v="39"/>
    <n v="1"/>
    <n v="1"/>
    <n v="0"/>
    <n v="0"/>
    <n v="0"/>
    <n v="0"/>
    <n v="0"/>
    <n v="0"/>
    <n v="0"/>
    <n v="1"/>
    <n v="2025"/>
    <x v="6"/>
    <s v="淘特搜索"/>
    <x v="2"/>
    <x v="2"/>
  </r>
  <r>
    <x v="1"/>
    <x v="136"/>
    <x v="1"/>
    <x v="13"/>
    <x v="46"/>
    <n v="3"/>
    <n v="2"/>
    <n v="0"/>
    <n v="0"/>
    <n v="0"/>
    <n v="0"/>
    <n v="0"/>
    <n v="0"/>
    <n v="0"/>
    <n v="0"/>
    <n v="2025"/>
    <x v="6"/>
    <s v="飞猪其他"/>
    <x v="2"/>
    <x v="2"/>
  </r>
  <r>
    <x v="1"/>
    <x v="136"/>
    <x v="0"/>
    <x v="5"/>
    <x v="47"/>
    <n v="21"/>
    <n v="18"/>
    <n v="0"/>
    <n v="0"/>
    <n v="0"/>
    <n v="0"/>
    <n v="0"/>
    <n v="0"/>
    <n v="0"/>
    <n v="0"/>
    <n v="2025"/>
    <x v="6"/>
    <s v="短直联动"/>
    <x v="2"/>
    <x v="2"/>
  </r>
  <r>
    <x v="1"/>
    <x v="136"/>
    <x v="0"/>
    <x v="5"/>
    <x v="41"/>
    <n v="1148"/>
    <n v="766"/>
    <n v="11"/>
    <n v="4"/>
    <n v="0"/>
    <n v="0"/>
    <n v="0"/>
    <n v="0"/>
    <n v="32"/>
    <n v="261"/>
    <n v="2025"/>
    <x v="6"/>
    <s v="超级直播"/>
    <x v="2"/>
    <x v="2"/>
  </r>
  <r>
    <x v="1"/>
    <x v="136"/>
    <x v="0"/>
    <x v="5"/>
    <x v="20"/>
    <n v="703"/>
    <n v="366"/>
    <n v="0"/>
    <n v="0"/>
    <n v="0"/>
    <n v="0"/>
    <n v="0"/>
    <n v="0"/>
    <n v="10"/>
    <n v="435"/>
    <n v="2025"/>
    <x v="6"/>
    <s v="超级短视频"/>
    <x v="2"/>
    <x v="2"/>
  </r>
  <r>
    <x v="1"/>
    <x v="136"/>
    <x v="0"/>
    <x v="0"/>
    <x v="0"/>
    <n v="672"/>
    <n v="569"/>
    <n v="14"/>
    <n v="3"/>
    <n v="6650"/>
    <n v="1"/>
    <n v="6650"/>
    <n v="1"/>
    <n v="669"/>
    <n v="306"/>
    <n v="2025"/>
    <x v="6"/>
    <s v="万相台"/>
    <x v="2"/>
    <x v="2"/>
  </r>
  <r>
    <x v="1"/>
    <x v="136"/>
    <x v="0"/>
    <x v="0"/>
    <x v="1"/>
    <n v="38001"/>
    <n v="23445"/>
    <n v="239"/>
    <n v="220"/>
    <n v="30410"/>
    <n v="5"/>
    <n v="22070"/>
    <n v="3"/>
    <n v="1036"/>
    <n v="37996"/>
    <n v="2025"/>
    <x v="6"/>
    <s v="引力魔方"/>
    <x v="2"/>
    <x v="2"/>
  </r>
  <r>
    <x v="1"/>
    <x v="136"/>
    <x v="0"/>
    <x v="0"/>
    <x v="2"/>
    <n v="6776"/>
    <n v="5976"/>
    <n v="44"/>
    <n v="28"/>
    <n v="96070"/>
    <n v="7"/>
    <n v="4375"/>
    <n v="1"/>
    <n v="354"/>
    <n v="6697"/>
    <n v="2025"/>
    <x v="6"/>
    <s v="直通车"/>
    <x v="2"/>
    <x v="2"/>
  </r>
  <r>
    <x v="1"/>
    <x v="136"/>
    <x v="0"/>
    <x v="7"/>
    <x v="23"/>
    <n v="3"/>
    <n v="1"/>
    <n v="0"/>
    <n v="0"/>
    <n v="0"/>
    <n v="0"/>
    <n v="0"/>
    <n v="0"/>
    <n v="0"/>
    <n v="2"/>
    <n v="2025"/>
    <x v="6"/>
    <s v="流量宝"/>
    <x v="2"/>
    <x v="2"/>
  </r>
  <r>
    <x v="1"/>
    <x v="136"/>
    <x v="0"/>
    <x v="7"/>
    <x v="24"/>
    <n v="401"/>
    <n v="149"/>
    <n v="3"/>
    <n v="1"/>
    <n v="0"/>
    <n v="0"/>
    <n v="0"/>
    <n v="0"/>
    <n v="6"/>
    <n v="397"/>
    <n v="2025"/>
    <x v="6"/>
    <s v="淘宝客"/>
    <x v="2"/>
    <x v="2"/>
  </r>
  <r>
    <x v="1"/>
    <x v="137"/>
    <x v="1"/>
    <x v="8"/>
    <x v="25"/>
    <n v="109"/>
    <n v="42"/>
    <n v="2"/>
    <n v="2"/>
    <n v="6990"/>
    <n v="1"/>
    <n v="0"/>
    <n v="0"/>
    <n v="8"/>
    <n v="97"/>
    <n v="2025"/>
    <x v="6"/>
    <s v="主会场"/>
    <x v="2"/>
    <x v="2"/>
  </r>
  <r>
    <x v="1"/>
    <x v="137"/>
    <x v="1"/>
    <x v="1"/>
    <x v="3"/>
    <n v="1"/>
    <n v="0"/>
    <n v="0"/>
    <n v="0"/>
    <n v="0"/>
    <n v="0"/>
    <n v="0"/>
    <n v="0"/>
    <n v="0"/>
    <n v="1"/>
    <n v="2025"/>
    <x v="6"/>
    <s v="其他入口榜单"/>
    <x v="2"/>
    <x v="2"/>
  </r>
  <r>
    <x v="1"/>
    <x v="137"/>
    <x v="1"/>
    <x v="3"/>
    <x v="12"/>
    <n v="40"/>
    <n v="20"/>
    <n v="3"/>
    <n v="0"/>
    <n v="0"/>
    <n v="0"/>
    <n v="0"/>
    <n v="0"/>
    <n v="31"/>
    <n v="16"/>
    <n v="2025"/>
    <x v="6"/>
    <s v="店铺超链"/>
    <x v="2"/>
    <x v="2"/>
  </r>
  <r>
    <x v="1"/>
    <x v="137"/>
    <x v="1"/>
    <x v="4"/>
    <x v="13"/>
    <n v="520"/>
    <n v="245"/>
    <n v="31"/>
    <n v="8"/>
    <n v="0"/>
    <n v="0"/>
    <n v="0"/>
    <n v="0"/>
    <n v="103"/>
    <n v="508"/>
    <n v="2025"/>
    <x v="6"/>
    <s v="其他猜你喜欢"/>
    <x v="2"/>
    <x v="2"/>
  </r>
  <r>
    <x v="1"/>
    <x v="137"/>
    <x v="1"/>
    <x v="4"/>
    <x v="15"/>
    <n v="80"/>
    <n v="24"/>
    <n v="3"/>
    <n v="0"/>
    <n v="0"/>
    <n v="0"/>
    <n v="0"/>
    <n v="0"/>
    <n v="10"/>
    <n v="79"/>
    <n v="2025"/>
    <x v="6"/>
    <s v="购中推荐"/>
    <x v="2"/>
    <x v="2"/>
  </r>
  <r>
    <x v="1"/>
    <x v="137"/>
    <x v="1"/>
    <x v="4"/>
    <x v="16"/>
    <n v="290"/>
    <n v="106"/>
    <n v="15"/>
    <n v="4"/>
    <n v="18500"/>
    <n v="1"/>
    <n v="0"/>
    <n v="0"/>
    <n v="25"/>
    <n v="288"/>
    <n v="2025"/>
    <x v="6"/>
    <s v="购后推荐"/>
    <x v="2"/>
    <x v="2"/>
  </r>
  <r>
    <x v="1"/>
    <x v="137"/>
    <x v="1"/>
    <x v="4"/>
    <x v="17"/>
    <n v="4383"/>
    <n v="2100"/>
    <n v="87"/>
    <n v="18"/>
    <n v="25270"/>
    <n v="4"/>
    <n v="10580"/>
    <n v="2"/>
    <n v="313"/>
    <n v="4383"/>
    <n v="2025"/>
    <x v="6"/>
    <s v="首页推荐-微详情"/>
    <x v="2"/>
    <x v="2"/>
  </r>
  <r>
    <x v="1"/>
    <x v="137"/>
    <x v="1"/>
    <x v="4"/>
    <x v="18"/>
    <n v="121"/>
    <n v="81"/>
    <n v="3"/>
    <n v="0"/>
    <n v="0"/>
    <n v="0"/>
    <n v="0"/>
    <n v="0"/>
    <n v="8"/>
    <n v="78"/>
    <n v="2025"/>
    <x v="6"/>
    <s v="首页推荐-直播"/>
    <x v="2"/>
    <x v="2"/>
  </r>
  <r>
    <x v="1"/>
    <x v="137"/>
    <x v="1"/>
    <x v="4"/>
    <x v="19"/>
    <n v="22"/>
    <n v="4"/>
    <n v="0"/>
    <n v="0"/>
    <n v="0"/>
    <n v="0"/>
    <n v="0"/>
    <n v="0"/>
    <n v="2"/>
    <n v="8"/>
    <n v="2025"/>
    <x v="6"/>
    <s v="首页推荐-短视频"/>
    <x v="2"/>
    <x v="2"/>
  </r>
  <r>
    <x v="1"/>
    <x v="137"/>
    <x v="1"/>
    <x v="12"/>
    <x v="42"/>
    <n v="790"/>
    <n v="602"/>
    <n v="30"/>
    <n v="6"/>
    <n v="13055"/>
    <n v="3"/>
    <n v="1070"/>
    <n v="1"/>
    <n v="183"/>
    <n v="732"/>
    <n v="2025"/>
    <x v="6"/>
    <s v="手淘搜索-商品及其他"/>
    <x v="2"/>
    <x v="2"/>
  </r>
  <r>
    <x v="1"/>
    <x v="137"/>
    <x v="1"/>
    <x v="12"/>
    <x v="43"/>
    <n v="2"/>
    <n v="0"/>
    <n v="0"/>
    <n v="0"/>
    <n v="0"/>
    <n v="0"/>
    <n v="0"/>
    <n v="0"/>
    <n v="0"/>
    <n v="2"/>
    <n v="2025"/>
    <x v="6"/>
    <s v="手淘搜索-直播"/>
    <x v="2"/>
    <x v="2"/>
  </r>
  <r>
    <x v="1"/>
    <x v="137"/>
    <x v="1"/>
    <x v="12"/>
    <x v="44"/>
    <n v="10"/>
    <n v="6"/>
    <n v="0"/>
    <n v="0"/>
    <n v="0"/>
    <n v="0"/>
    <n v="0"/>
    <n v="0"/>
    <n v="0"/>
    <n v="9"/>
    <n v="2025"/>
    <x v="6"/>
    <s v="手淘搜索-短视频"/>
    <x v="2"/>
    <x v="2"/>
  </r>
  <r>
    <x v="1"/>
    <x v="137"/>
    <x v="1"/>
    <x v="11"/>
    <x v="37"/>
    <n v="1"/>
    <n v="1"/>
    <n v="1"/>
    <n v="0"/>
    <n v="0"/>
    <n v="0"/>
    <n v="0"/>
    <n v="0"/>
    <n v="0"/>
    <n v="1"/>
    <n v="2025"/>
    <x v="6"/>
    <s v="淘特其他渠道"/>
    <x v="2"/>
    <x v="2"/>
  </r>
  <r>
    <x v="1"/>
    <x v="137"/>
    <x v="1"/>
    <x v="11"/>
    <x v="39"/>
    <n v="1"/>
    <n v="1"/>
    <n v="0"/>
    <n v="0"/>
    <n v="0"/>
    <n v="0"/>
    <n v="0"/>
    <n v="0"/>
    <n v="0"/>
    <n v="1"/>
    <n v="2025"/>
    <x v="6"/>
    <s v="淘特搜索"/>
    <x v="2"/>
    <x v="2"/>
  </r>
  <r>
    <x v="1"/>
    <x v="137"/>
    <x v="0"/>
    <x v="5"/>
    <x v="47"/>
    <n v="13"/>
    <n v="12"/>
    <n v="0"/>
    <n v="0"/>
    <n v="0"/>
    <n v="0"/>
    <n v="0"/>
    <n v="0"/>
    <n v="0"/>
    <n v="0"/>
    <n v="2025"/>
    <x v="6"/>
    <s v="短直联动"/>
    <x v="2"/>
    <x v="2"/>
  </r>
  <r>
    <x v="1"/>
    <x v="137"/>
    <x v="0"/>
    <x v="5"/>
    <x v="41"/>
    <n v="1454"/>
    <n v="1059"/>
    <n v="13"/>
    <n v="3"/>
    <n v="0"/>
    <n v="0"/>
    <n v="0"/>
    <n v="0"/>
    <n v="22"/>
    <n v="232"/>
    <n v="2025"/>
    <x v="6"/>
    <s v="超级直播"/>
    <x v="2"/>
    <x v="2"/>
  </r>
  <r>
    <x v="1"/>
    <x v="137"/>
    <x v="0"/>
    <x v="5"/>
    <x v="20"/>
    <n v="920"/>
    <n v="494"/>
    <n v="0"/>
    <n v="0"/>
    <n v="0"/>
    <n v="0"/>
    <n v="0"/>
    <n v="0"/>
    <n v="13"/>
    <n v="447"/>
    <n v="2025"/>
    <x v="6"/>
    <s v="超级短视频"/>
    <x v="2"/>
    <x v="2"/>
  </r>
  <r>
    <x v="1"/>
    <x v="137"/>
    <x v="0"/>
    <x v="6"/>
    <x v="21"/>
    <n v="1"/>
    <n v="0"/>
    <n v="0"/>
    <n v="0"/>
    <n v="0"/>
    <n v="0"/>
    <n v="0"/>
    <n v="0"/>
    <n v="1"/>
    <n v="0"/>
    <n v="2025"/>
    <x v="6"/>
    <s v="品销宝-品牌专区"/>
    <x v="2"/>
    <x v="2"/>
  </r>
  <r>
    <x v="1"/>
    <x v="137"/>
    <x v="0"/>
    <x v="0"/>
    <x v="0"/>
    <n v="668"/>
    <n v="544"/>
    <n v="13"/>
    <n v="1"/>
    <n v="0"/>
    <n v="0"/>
    <n v="0"/>
    <n v="0"/>
    <n v="666"/>
    <n v="290"/>
    <n v="2025"/>
    <x v="6"/>
    <s v="万相台"/>
    <x v="2"/>
    <x v="2"/>
  </r>
  <r>
    <x v="1"/>
    <x v="137"/>
    <x v="0"/>
    <x v="0"/>
    <x v="1"/>
    <n v="30528"/>
    <n v="19842"/>
    <n v="135"/>
    <n v="131"/>
    <n v="30560"/>
    <n v="4"/>
    <n v="7980"/>
    <n v="2"/>
    <n v="663"/>
    <n v="30524"/>
    <n v="2025"/>
    <x v="6"/>
    <s v="引力魔方"/>
    <x v="2"/>
    <x v="2"/>
  </r>
  <r>
    <x v="1"/>
    <x v="137"/>
    <x v="0"/>
    <x v="0"/>
    <x v="2"/>
    <n v="5341"/>
    <n v="4574"/>
    <n v="39"/>
    <n v="22"/>
    <n v="15340"/>
    <n v="2"/>
    <n v="8350"/>
    <n v="1"/>
    <n v="289"/>
    <n v="5298"/>
    <n v="2025"/>
    <x v="6"/>
    <s v="直通车"/>
    <x v="2"/>
    <x v="2"/>
  </r>
  <r>
    <x v="1"/>
    <x v="137"/>
    <x v="0"/>
    <x v="7"/>
    <x v="23"/>
    <n v="2"/>
    <n v="1"/>
    <n v="1"/>
    <n v="0"/>
    <n v="0"/>
    <n v="0"/>
    <n v="0"/>
    <n v="0"/>
    <n v="0"/>
    <n v="2"/>
    <n v="2025"/>
    <x v="6"/>
    <s v="流量宝"/>
    <x v="2"/>
    <x v="2"/>
  </r>
  <r>
    <x v="1"/>
    <x v="137"/>
    <x v="0"/>
    <x v="7"/>
    <x v="24"/>
    <n v="340"/>
    <n v="121"/>
    <n v="1"/>
    <n v="1"/>
    <n v="8845"/>
    <n v="1"/>
    <n v="8845"/>
    <n v="1"/>
    <n v="5"/>
    <n v="331"/>
    <n v="2025"/>
    <x v="6"/>
    <s v="淘宝客"/>
    <x v="2"/>
    <x v="2"/>
  </r>
  <r>
    <x v="1"/>
    <x v="138"/>
    <x v="1"/>
    <x v="3"/>
    <x v="12"/>
    <n v="45"/>
    <n v="19"/>
    <n v="1"/>
    <n v="0"/>
    <n v="0"/>
    <n v="0"/>
    <n v="0"/>
    <n v="0"/>
    <n v="38"/>
    <n v="23"/>
    <n v="2025"/>
    <x v="6"/>
    <s v="店铺超链"/>
    <x v="2"/>
    <x v="2"/>
  </r>
  <r>
    <x v="1"/>
    <x v="138"/>
    <x v="1"/>
    <x v="4"/>
    <x v="13"/>
    <n v="510"/>
    <n v="234"/>
    <n v="32"/>
    <n v="9"/>
    <n v="10050"/>
    <n v="3"/>
    <n v="10050"/>
    <n v="3"/>
    <n v="103"/>
    <n v="484"/>
    <n v="2025"/>
    <x v="6"/>
    <s v="其他猜你喜欢"/>
    <x v="2"/>
    <x v="2"/>
  </r>
  <r>
    <x v="1"/>
    <x v="138"/>
    <x v="1"/>
    <x v="4"/>
    <x v="15"/>
    <n v="50"/>
    <n v="15"/>
    <n v="3"/>
    <n v="1"/>
    <n v="0"/>
    <n v="0"/>
    <n v="0"/>
    <n v="0"/>
    <n v="8"/>
    <n v="50"/>
    <n v="2025"/>
    <x v="6"/>
    <s v="购中推荐"/>
    <x v="2"/>
    <x v="2"/>
  </r>
  <r>
    <x v="1"/>
    <x v="138"/>
    <x v="1"/>
    <x v="4"/>
    <x v="16"/>
    <n v="270"/>
    <n v="113"/>
    <n v="14"/>
    <n v="3"/>
    <n v="8550"/>
    <n v="2"/>
    <n v="8550"/>
    <n v="2"/>
    <n v="23"/>
    <n v="254"/>
    <n v="2025"/>
    <x v="6"/>
    <s v="购后推荐"/>
    <x v="2"/>
    <x v="2"/>
  </r>
  <r>
    <x v="1"/>
    <x v="138"/>
    <x v="1"/>
    <x v="4"/>
    <x v="17"/>
    <n v="3505"/>
    <n v="1708"/>
    <n v="50"/>
    <n v="16"/>
    <n v="18440"/>
    <n v="3"/>
    <n v="10740"/>
    <n v="2"/>
    <n v="250"/>
    <n v="3505"/>
    <n v="2025"/>
    <x v="6"/>
    <s v="首页推荐-微详情"/>
    <x v="2"/>
    <x v="2"/>
  </r>
  <r>
    <x v="1"/>
    <x v="138"/>
    <x v="1"/>
    <x v="4"/>
    <x v="18"/>
    <n v="82"/>
    <n v="43"/>
    <n v="2"/>
    <n v="1"/>
    <n v="4990"/>
    <n v="1"/>
    <n v="4990"/>
    <n v="1"/>
    <n v="9"/>
    <n v="49"/>
    <n v="2025"/>
    <x v="6"/>
    <s v="首页推荐-直播"/>
    <x v="2"/>
    <x v="2"/>
  </r>
  <r>
    <x v="1"/>
    <x v="138"/>
    <x v="1"/>
    <x v="4"/>
    <x v="19"/>
    <n v="122"/>
    <n v="79"/>
    <n v="2"/>
    <n v="0"/>
    <n v="6990"/>
    <n v="1"/>
    <n v="6990"/>
    <n v="1"/>
    <n v="2"/>
    <n v="10"/>
    <n v="2025"/>
    <x v="6"/>
    <s v="首页推荐-短视频"/>
    <x v="2"/>
    <x v="2"/>
  </r>
  <r>
    <x v="1"/>
    <x v="138"/>
    <x v="1"/>
    <x v="12"/>
    <x v="42"/>
    <n v="519"/>
    <n v="377"/>
    <n v="16"/>
    <n v="6"/>
    <n v="10040"/>
    <n v="4"/>
    <n v="10040"/>
    <n v="4"/>
    <n v="156"/>
    <n v="465"/>
    <n v="2025"/>
    <x v="6"/>
    <s v="手淘搜索-商品及其他"/>
    <x v="2"/>
    <x v="2"/>
  </r>
  <r>
    <x v="1"/>
    <x v="138"/>
    <x v="1"/>
    <x v="12"/>
    <x v="43"/>
    <n v="4"/>
    <n v="3"/>
    <n v="0"/>
    <n v="0"/>
    <n v="0"/>
    <n v="0"/>
    <n v="0"/>
    <n v="0"/>
    <n v="1"/>
    <n v="3"/>
    <n v="2025"/>
    <x v="6"/>
    <s v="手淘搜索-直播"/>
    <x v="2"/>
    <x v="2"/>
  </r>
  <r>
    <x v="1"/>
    <x v="138"/>
    <x v="1"/>
    <x v="12"/>
    <x v="44"/>
    <n v="7"/>
    <n v="5"/>
    <n v="0"/>
    <n v="1"/>
    <n v="0"/>
    <n v="0"/>
    <n v="0"/>
    <n v="0"/>
    <n v="2"/>
    <n v="6"/>
    <n v="2025"/>
    <x v="6"/>
    <s v="手淘搜索-短视频"/>
    <x v="2"/>
    <x v="2"/>
  </r>
  <r>
    <x v="1"/>
    <x v="138"/>
    <x v="1"/>
    <x v="11"/>
    <x v="37"/>
    <n v="1"/>
    <n v="1"/>
    <n v="0"/>
    <n v="0"/>
    <n v="0"/>
    <n v="0"/>
    <n v="0"/>
    <n v="0"/>
    <n v="0"/>
    <n v="1"/>
    <n v="2025"/>
    <x v="6"/>
    <s v="淘特其他渠道"/>
    <x v="2"/>
    <x v="2"/>
  </r>
  <r>
    <x v="1"/>
    <x v="138"/>
    <x v="0"/>
    <x v="5"/>
    <x v="47"/>
    <n v="19"/>
    <n v="17"/>
    <n v="0"/>
    <n v="0"/>
    <n v="0"/>
    <n v="0"/>
    <n v="0"/>
    <n v="0"/>
    <n v="0"/>
    <n v="0"/>
    <n v="2025"/>
    <x v="6"/>
    <s v="短直联动"/>
    <x v="2"/>
    <x v="2"/>
  </r>
  <r>
    <x v="1"/>
    <x v="138"/>
    <x v="0"/>
    <x v="5"/>
    <x v="41"/>
    <n v="1305"/>
    <n v="748"/>
    <n v="7"/>
    <n v="1"/>
    <n v="0"/>
    <n v="0"/>
    <n v="0"/>
    <n v="0"/>
    <n v="27"/>
    <n v="258"/>
    <n v="2025"/>
    <x v="6"/>
    <s v="超级直播"/>
    <x v="2"/>
    <x v="2"/>
  </r>
  <r>
    <x v="1"/>
    <x v="138"/>
    <x v="0"/>
    <x v="5"/>
    <x v="20"/>
    <n v="916"/>
    <n v="399"/>
    <n v="0"/>
    <n v="0"/>
    <n v="0"/>
    <n v="0"/>
    <n v="0"/>
    <n v="0"/>
    <n v="2"/>
    <n v="285"/>
    <n v="2025"/>
    <x v="6"/>
    <s v="超级短视频"/>
    <x v="2"/>
    <x v="2"/>
  </r>
  <r>
    <x v="1"/>
    <x v="138"/>
    <x v="0"/>
    <x v="0"/>
    <x v="0"/>
    <n v="635"/>
    <n v="550"/>
    <n v="7"/>
    <n v="3"/>
    <n v="2990"/>
    <n v="1"/>
    <n v="2990"/>
    <n v="1"/>
    <n v="633"/>
    <n v="276"/>
    <n v="2025"/>
    <x v="6"/>
    <s v="万相台"/>
    <x v="2"/>
    <x v="2"/>
  </r>
  <r>
    <x v="1"/>
    <x v="138"/>
    <x v="0"/>
    <x v="0"/>
    <x v="1"/>
    <n v="20443"/>
    <n v="9404"/>
    <n v="156"/>
    <n v="132"/>
    <n v="33715"/>
    <n v="8"/>
    <n v="30725"/>
    <n v="7"/>
    <n v="627"/>
    <n v="20436"/>
    <n v="2025"/>
    <x v="6"/>
    <s v="引力魔方"/>
    <x v="2"/>
    <x v="2"/>
  </r>
  <r>
    <x v="1"/>
    <x v="138"/>
    <x v="0"/>
    <x v="0"/>
    <x v="2"/>
    <n v="5007"/>
    <n v="4351"/>
    <n v="32"/>
    <n v="23"/>
    <n v="71480"/>
    <n v="7"/>
    <n v="4695"/>
    <n v="1"/>
    <n v="314"/>
    <n v="4940"/>
    <n v="2025"/>
    <x v="6"/>
    <s v="直通车"/>
    <x v="2"/>
    <x v="2"/>
  </r>
  <r>
    <x v="1"/>
    <x v="138"/>
    <x v="0"/>
    <x v="7"/>
    <x v="23"/>
    <n v="3"/>
    <n v="3"/>
    <n v="0"/>
    <n v="1"/>
    <n v="0"/>
    <n v="0"/>
    <n v="0"/>
    <n v="0"/>
    <n v="1"/>
    <n v="3"/>
    <n v="2025"/>
    <x v="6"/>
    <s v="流量宝"/>
    <x v="2"/>
    <x v="2"/>
  </r>
  <r>
    <x v="1"/>
    <x v="138"/>
    <x v="0"/>
    <x v="7"/>
    <x v="24"/>
    <n v="315"/>
    <n v="84"/>
    <n v="0"/>
    <n v="0"/>
    <n v="0"/>
    <n v="0"/>
    <n v="0"/>
    <n v="0"/>
    <n v="1"/>
    <n v="308"/>
    <n v="2025"/>
    <x v="6"/>
    <s v="淘宝客"/>
    <x v="2"/>
    <x v="2"/>
  </r>
  <r>
    <x v="1"/>
    <x v="139"/>
    <x v="1"/>
    <x v="3"/>
    <x v="12"/>
    <n v="61"/>
    <n v="26"/>
    <n v="4"/>
    <n v="0"/>
    <n v="0"/>
    <n v="0"/>
    <n v="0"/>
    <n v="0"/>
    <n v="53"/>
    <n v="27"/>
    <n v="2025"/>
    <x v="6"/>
    <s v="店铺超链"/>
    <x v="2"/>
    <x v="2"/>
  </r>
  <r>
    <x v="1"/>
    <x v="139"/>
    <x v="1"/>
    <x v="4"/>
    <x v="13"/>
    <n v="471"/>
    <n v="209"/>
    <n v="26"/>
    <n v="4"/>
    <n v="17850"/>
    <n v="3"/>
    <n v="17850"/>
    <n v="3"/>
    <n v="92"/>
    <n v="449"/>
    <n v="2025"/>
    <x v="6"/>
    <s v="其他猜你喜欢"/>
    <x v="2"/>
    <x v="2"/>
  </r>
  <r>
    <x v="1"/>
    <x v="139"/>
    <x v="1"/>
    <x v="4"/>
    <x v="15"/>
    <n v="57"/>
    <n v="19"/>
    <n v="2"/>
    <n v="0"/>
    <n v="9240"/>
    <n v="2"/>
    <n v="9240"/>
    <n v="2"/>
    <n v="11"/>
    <n v="56"/>
    <n v="2025"/>
    <x v="6"/>
    <s v="购中推荐"/>
    <x v="2"/>
    <x v="2"/>
  </r>
  <r>
    <x v="1"/>
    <x v="139"/>
    <x v="1"/>
    <x v="4"/>
    <x v="16"/>
    <n v="307"/>
    <n v="127"/>
    <n v="12"/>
    <n v="3"/>
    <n v="0"/>
    <n v="0"/>
    <n v="0"/>
    <n v="0"/>
    <n v="30"/>
    <n v="303"/>
    <n v="2025"/>
    <x v="6"/>
    <s v="购后推荐"/>
    <x v="2"/>
    <x v="2"/>
  </r>
  <r>
    <x v="1"/>
    <x v="139"/>
    <x v="1"/>
    <x v="4"/>
    <x v="17"/>
    <n v="3193"/>
    <n v="1461"/>
    <n v="50"/>
    <n v="16"/>
    <n v="15150"/>
    <n v="4"/>
    <n v="15150"/>
    <n v="4"/>
    <n v="256"/>
    <n v="3193"/>
    <n v="2025"/>
    <x v="6"/>
    <s v="首页推荐-微详情"/>
    <x v="2"/>
    <x v="2"/>
  </r>
  <r>
    <x v="1"/>
    <x v="139"/>
    <x v="1"/>
    <x v="4"/>
    <x v="18"/>
    <n v="132"/>
    <n v="88"/>
    <n v="3"/>
    <n v="1"/>
    <n v="3990"/>
    <n v="1"/>
    <n v="0"/>
    <n v="0"/>
    <n v="10"/>
    <n v="93"/>
    <n v="2025"/>
    <x v="6"/>
    <s v="首页推荐-直播"/>
    <x v="2"/>
    <x v="2"/>
  </r>
  <r>
    <x v="1"/>
    <x v="139"/>
    <x v="1"/>
    <x v="4"/>
    <x v="19"/>
    <n v="22"/>
    <n v="9"/>
    <n v="1"/>
    <n v="0"/>
    <n v="0"/>
    <n v="0"/>
    <n v="0"/>
    <n v="0"/>
    <n v="0"/>
    <n v="9"/>
    <n v="2025"/>
    <x v="6"/>
    <s v="首页推荐-短视频"/>
    <x v="2"/>
    <x v="2"/>
  </r>
  <r>
    <x v="1"/>
    <x v="139"/>
    <x v="1"/>
    <x v="12"/>
    <x v="42"/>
    <n v="680"/>
    <n v="522"/>
    <n v="27"/>
    <n v="7"/>
    <n v="23350"/>
    <n v="3"/>
    <n v="16570"/>
    <n v="2"/>
    <n v="159"/>
    <n v="627"/>
    <n v="2025"/>
    <x v="6"/>
    <s v="手淘搜索-商品及其他"/>
    <x v="2"/>
    <x v="2"/>
  </r>
  <r>
    <x v="1"/>
    <x v="139"/>
    <x v="1"/>
    <x v="12"/>
    <x v="43"/>
    <n v="7"/>
    <n v="3"/>
    <n v="0"/>
    <n v="0"/>
    <n v="0"/>
    <n v="0"/>
    <n v="0"/>
    <n v="0"/>
    <n v="1"/>
    <n v="5"/>
    <n v="2025"/>
    <x v="6"/>
    <s v="手淘搜索-直播"/>
    <x v="2"/>
    <x v="2"/>
  </r>
  <r>
    <x v="1"/>
    <x v="139"/>
    <x v="1"/>
    <x v="12"/>
    <x v="44"/>
    <n v="2"/>
    <n v="1"/>
    <n v="0"/>
    <n v="0"/>
    <n v="0"/>
    <n v="0"/>
    <n v="0"/>
    <n v="0"/>
    <n v="0"/>
    <n v="2"/>
    <n v="2025"/>
    <x v="6"/>
    <s v="手淘搜索-短视频"/>
    <x v="2"/>
    <x v="2"/>
  </r>
  <r>
    <x v="1"/>
    <x v="139"/>
    <x v="1"/>
    <x v="11"/>
    <x v="38"/>
    <n v="1"/>
    <n v="0"/>
    <n v="0"/>
    <n v="0"/>
    <n v="0"/>
    <n v="0"/>
    <n v="0"/>
    <n v="0"/>
    <n v="0"/>
    <n v="1"/>
    <n v="2025"/>
    <x v="6"/>
    <s v="淘特推荐"/>
    <x v="2"/>
    <x v="2"/>
  </r>
  <r>
    <x v="1"/>
    <x v="139"/>
    <x v="1"/>
    <x v="11"/>
    <x v="39"/>
    <n v="1"/>
    <n v="1"/>
    <n v="0"/>
    <n v="0"/>
    <n v="0"/>
    <n v="0"/>
    <n v="0"/>
    <n v="0"/>
    <n v="0"/>
    <n v="1"/>
    <n v="2025"/>
    <x v="6"/>
    <s v="淘特搜索"/>
    <x v="2"/>
    <x v="2"/>
  </r>
  <r>
    <x v="1"/>
    <x v="139"/>
    <x v="0"/>
    <x v="5"/>
    <x v="47"/>
    <n v="7"/>
    <n v="5"/>
    <n v="0"/>
    <n v="0"/>
    <n v="0"/>
    <n v="0"/>
    <n v="0"/>
    <n v="0"/>
    <n v="0"/>
    <n v="2"/>
    <n v="2025"/>
    <x v="6"/>
    <s v="短直联动"/>
    <x v="2"/>
    <x v="2"/>
  </r>
  <r>
    <x v="1"/>
    <x v="139"/>
    <x v="0"/>
    <x v="5"/>
    <x v="41"/>
    <n v="1444"/>
    <n v="746"/>
    <n v="9"/>
    <n v="3"/>
    <n v="0"/>
    <n v="0"/>
    <n v="0"/>
    <n v="0"/>
    <n v="30"/>
    <n v="465"/>
    <n v="2025"/>
    <x v="6"/>
    <s v="超级直播"/>
    <x v="2"/>
    <x v="2"/>
  </r>
  <r>
    <x v="1"/>
    <x v="139"/>
    <x v="0"/>
    <x v="5"/>
    <x v="20"/>
    <n v="515"/>
    <n v="311"/>
    <n v="2"/>
    <n v="0"/>
    <n v="0"/>
    <n v="0"/>
    <n v="0"/>
    <n v="0"/>
    <n v="8"/>
    <n v="216"/>
    <n v="2025"/>
    <x v="6"/>
    <s v="超级短视频"/>
    <x v="2"/>
    <x v="2"/>
  </r>
  <r>
    <x v="1"/>
    <x v="139"/>
    <x v="0"/>
    <x v="6"/>
    <x v="49"/>
    <n v="1"/>
    <n v="1"/>
    <n v="0"/>
    <n v="0"/>
    <n v="0"/>
    <n v="0"/>
    <n v="0"/>
    <n v="0"/>
    <n v="1"/>
    <n v="0"/>
    <n v="2025"/>
    <x v="6"/>
    <s v="超级全域通"/>
    <x v="2"/>
    <x v="2"/>
  </r>
  <r>
    <x v="1"/>
    <x v="139"/>
    <x v="0"/>
    <x v="0"/>
    <x v="0"/>
    <n v="615"/>
    <n v="518"/>
    <n v="15"/>
    <n v="4"/>
    <n v="9960"/>
    <n v="4"/>
    <n v="5970"/>
    <n v="3"/>
    <n v="614"/>
    <n v="283"/>
    <n v="2025"/>
    <x v="6"/>
    <s v="万相台"/>
    <x v="2"/>
    <x v="2"/>
  </r>
  <r>
    <x v="1"/>
    <x v="139"/>
    <x v="0"/>
    <x v="0"/>
    <x v="1"/>
    <n v="24863"/>
    <n v="14850"/>
    <n v="118"/>
    <n v="113"/>
    <n v="32940"/>
    <n v="3"/>
    <n v="5440"/>
    <n v="2"/>
    <n v="511"/>
    <n v="24854"/>
    <n v="2025"/>
    <x v="6"/>
    <s v="引力魔方"/>
    <x v="2"/>
    <x v="2"/>
  </r>
  <r>
    <x v="1"/>
    <x v="139"/>
    <x v="0"/>
    <x v="0"/>
    <x v="2"/>
    <n v="5240"/>
    <n v="4561"/>
    <n v="44"/>
    <n v="28"/>
    <n v="90339"/>
    <n v="7"/>
    <n v="17894"/>
    <n v="2"/>
    <n v="368"/>
    <n v="5164"/>
    <n v="2025"/>
    <x v="6"/>
    <s v="直通车"/>
    <x v="2"/>
    <x v="2"/>
  </r>
  <r>
    <x v="1"/>
    <x v="139"/>
    <x v="0"/>
    <x v="7"/>
    <x v="22"/>
    <n v="1"/>
    <n v="0"/>
    <n v="0"/>
    <n v="0"/>
    <n v="0"/>
    <n v="0"/>
    <n v="0"/>
    <n v="0"/>
    <n v="1"/>
    <n v="0"/>
    <n v="2025"/>
    <x v="6"/>
    <s v="UD效果投放"/>
    <x v="2"/>
    <x v="2"/>
  </r>
  <r>
    <x v="1"/>
    <x v="139"/>
    <x v="0"/>
    <x v="7"/>
    <x v="23"/>
    <n v="2"/>
    <n v="2"/>
    <n v="0"/>
    <n v="0"/>
    <n v="0"/>
    <n v="0"/>
    <n v="0"/>
    <n v="0"/>
    <n v="0"/>
    <n v="2"/>
    <n v="2025"/>
    <x v="6"/>
    <s v="流量宝"/>
    <x v="2"/>
    <x v="2"/>
  </r>
  <r>
    <x v="1"/>
    <x v="139"/>
    <x v="0"/>
    <x v="7"/>
    <x v="24"/>
    <n v="363"/>
    <n v="106"/>
    <n v="0"/>
    <n v="1"/>
    <n v="0"/>
    <n v="0"/>
    <n v="0"/>
    <n v="0"/>
    <n v="3"/>
    <n v="356"/>
    <n v="2025"/>
    <x v="6"/>
    <s v="淘宝客"/>
    <x v="2"/>
    <x v="2"/>
  </r>
  <r>
    <x v="1"/>
    <x v="140"/>
    <x v="1"/>
    <x v="3"/>
    <x v="12"/>
    <n v="36"/>
    <n v="25"/>
    <n v="2"/>
    <n v="1"/>
    <n v="0"/>
    <n v="0"/>
    <n v="0"/>
    <n v="0"/>
    <n v="32"/>
    <n v="13"/>
    <n v="2025"/>
    <x v="6"/>
    <s v="店铺超链"/>
    <x v="2"/>
    <x v="2"/>
  </r>
  <r>
    <x v="1"/>
    <x v="140"/>
    <x v="1"/>
    <x v="4"/>
    <x v="13"/>
    <n v="378"/>
    <n v="159"/>
    <n v="21"/>
    <n v="13"/>
    <n v="38840"/>
    <n v="5"/>
    <n v="31900"/>
    <n v="5"/>
    <n v="73"/>
    <n v="365"/>
    <n v="2025"/>
    <x v="6"/>
    <s v="其他猜你喜欢"/>
    <x v="2"/>
    <x v="2"/>
  </r>
  <r>
    <x v="1"/>
    <x v="140"/>
    <x v="1"/>
    <x v="4"/>
    <x v="15"/>
    <n v="53"/>
    <n v="24"/>
    <n v="2"/>
    <n v="2"/>
    <n v="0"/>
    <n v="0"/>
    <n v="0"/>
    <n v="0"/>
    <n v="5"/>
    <n v="53"/>
    <n v="2025"/>
    <x v="6"/>
    <s v="购中推荐"/>
    <x v="2"/>
    <x v="2"/>
  </r>
  <r>
    <x v="1"/>
    <x v="140"/>
    <x v="1"/>
    <x v="4"/>
    <x v="16"/>
    <n v="289"/>
    <n v="126"/>
    <n v="9"/>
    <n v="1"/>
    <n v="15110"/>
    <n v="3"/>
    <n v="15110"/>
    <n v="3"/>
    <n v="24"/>
    <n v="286"/>
    <n v="2025"/>
    <x v="6"/>
    <s v="购后推荐"/>
    <x v="2"/>
    <x v="2"/>
  </r>
  <r>
    <x v="1"/>
    <x v="140"/>
    <x v="1"/>
    <x v="4"/>
    <x v="17"/>
    <n v="3294"/>
    <n v="1444"/>
    <n v="65"/>
    <n v="17"/>
    <n v="59026.96"/>
    <n v="12"/>
    <n v="54046.96"/>
    <n v="10"/>
    <n v="255"/>
    <n v="3294"/>
    <n v="2025"/>
    <x v="6"/>
    <s v="首页推荐-微详情"/>
    <x v="2"/>
    <x v="2"/>
  </r>
  <r>
    <x v="1"/>
    <x v="140"/>
    <x v="1"/>
    <x v="4"/>
    <x v="18"/>
    <n v="102"/>
    <n v="68"/>
    <n v="0"/>
    <n v="0"/>
    <n v="3990"/>
    <n v="1"/>
    <n v="0"/>
    <n v="0"/>
    <n v="3"/>
    <n v="62"/>
    <n v="2025"/>
    <x v="6"/>
    <s v="首页推荐-直播"/>
    <x v="2"/>
    <x v="2"/>
  </r>
  <r>
    <x v="1"/>
    <x v="140"/>
    <x v="1"/>
    <x v="4"/>
    <x v="19"/>
    <n v="31"/>
    <n v="14"/>
    <n v="0"/>
    <n v="0"/>
    <n v="0"/>
    <n v="0"/>
    <n v="0"/>
    <n v="0"/>
    <n v="2"/>
    <n v="4"/>
    <n v="2025"/>
    <x v="6"/>
    <s v="首页推荐-短视频"/>
    <x v="2"/>
    <x v="2"/>
  </r>
  <r>
    <x v="1"/>
    <x v="140"/>
    <x v="1"/>
    <x v="12"/>
    <x v="42"/>
    <n v="1034"/>
    <n v="886"/>
    <n v="22"/>
    <n v="5"/>
    <n v="24800"/>
    <n v="3"/>
    <n v="2050"/>
    <n v="1"/>
    <n v="167"/>
    <n v="976"/>
    <n v="2025"/>
    <x v="6"/>
    <s v="手淘搜索-商品及其他"/>
    <x v="2"/>
    <x v="2"/>
  </r>
  <r>
    <x v="1"/>
    <x v="140"/>
    <x v="1"/>
    <x v="12"/>
    <x v="43"/>
    <n v="3"/>
    <n v="2"/>
    <n v="0"/>
    <n v="0"/>
    <n v="0"/>
    <n v="0"/>
    <n v="0"/>
    <n v="0"/>
    <n v="0"/>
    <n v="2"/>
    <n v="2025"/>
    <x v="6"/>
    <s v="手淘搜索-直播"/>
    <x v="2"/>
    <x v="2"/>
  </r>
  <r>
    <x v="1"/>
    <x v="140"/>
    <x v="1"/>
    <x v="12"/>
    <x v="44"/>
    <n v="3"/>
    <n v="0"/>
    <n v="0"/>
    <n v="0"/>
    <n v="0"/>
    <n v="0"/>
    <n v="0"/>
    <n v="0"/>
    <n v="0"/>
    <n v="3"/>
    <n v="2025"/>
    <x v="6"/>
    <s v="手淘搜索-短视频"/>
    <x v="2"/>
    <x v="2"/>
  </r>
  <r>
    <x v="1"/>
    <x v="140"/>
    <x v="1"/>
    <x v="11"/>
    <x v="37"/>
    <n v="1"/>
    <n v="0"/>
    <n v="0"/>
    <n v="0"/>
    <n v="0"/>
    <n v="0"/>
    <n v="0"/>
    <n v="0"/>
    <n v="0"/>
    <n v="1"/>
    <n v="2025"/>
    <x v="6"/>
    <s v="淘特其他渠道"/>
    <x v="2"/>
    <x v="2"/>
  </r>
  <r>
    <x v="1"/>
    <x v="140"/>
    <x v="1"/>
    <x v="11"/>
    <x v="38"/>
    <n v="1"/>
    <n v="0"/>
    <n v="0"/>
    <n v="0"/>
    <n v="0"/>
    <n v="0"/>
    <n v="0"/>
    <n v="0"/>
    <n v="0"/>
    <n v="1"/>
    <n v="2025"/>
    <x v="6"/>
    <s v="淘特推荐"/>
    <x v="2"/>
    <x v="2"/>
  </r>
  <r>
    <x v="1"/>
    <x v="140"/>
    <x v="0"/>
    <x v="5"/>
    <x v="47"/>
    <n v="16"/>
    <n v="15"/>
    <n v="0"/>
    <n v="0"/>
    <n v="0"/>
    <n v="0"/>
    <n v="0"/>
    <n v="0"/>
    <n v="0"/>
    <n v="0"/>
    <n v="2025"/>
    <x v="6"/>
    <s v="短直联动"/>
    <x v="2"/>
    <x v="2"/>
  </r>
  <r>
    <x v="1"/>
    <x v="140"/>
    <x v="0"/>
    <x v="5"/>
    <x v="41"/>
    <n v="1313"/>
    <n v="839"/>
    <n v="11"/>
    <n v="0"/>
    <n v="0"/>
    <n v="0"/>
    <n v="0"/>
    <n v="0"/>
    <n v="28"/>
    <n v="362"/>
    <n v="2025"/>
    <x v="6"/>
    <s v="超级直播"/>
    <x v="2"/>
    <x v="2"/>
  </r>
  <r>
    <x v="1"/>
    <x v="140"/>
    <x v="0"/>
    <x v="5"/>
    <x v="20"/>
    <n v="546"/>
    <n v="327"/>
    <n v="0"/>
    <n v="2"/>
    <n v="0"/>
    <n v="0"/>
    <n v="0"/>
    <n v="0"/>
    <n v="8"/>
    <n v="253"/>
    <n v="2025"/>
    <x v="6"/>
    <s v="超级短视频"/>
    <x v="2"/>
    <x v="2"/>
  </r>
  <r>
    <x v="1"/>
    <x v="140"/>
    <x v="0"/>
    <x v="6"/>
    <x v="45"/>
    <n v="1"/>
    <n v="0"/>
    <n v="0"/>
    <n v="0"/>
    <n v="0"/>
    <n v="0"/>
    <n v="0"/>
    <n v="0"/>
    <n v="0"/>
    <n v="1"/>
    <n v="2025"/>
    <x v="6"/>
    <s v="品牌定制"/>
    <x v="2"/>
    <x v="2"/>
  </r>
  <r>
    <x v="1"/>
    <x v="140"/>
    <x v="0"/>
    <x v="0"/>
    <x v="0"/>
    <n v="635"/>
    <n v="554"/>
    <n v="12"/>
    <n v="3"/>
    <n v="4695"/>
    <n v="1"/>
    <n v="4695"/>
    <n v="1"/>
    <n v="634"/>
    <n v="262"/>
    <n v="2025"/>
    <x v="6"/>
    <s v="万相台"/>
    <x v="2"/>
    <x v="2"/>
  </r>
  <r>
    <x v="1"/>
    <x v="140"/>
    <x v="0"/>
    <x v="0"/>
    <x v="1"/>
    <n v="18556"/>
    <n v="7429"/>
    <n v="114"/>
    <n v="83"/>
    <n v="50705"/>
    <n v="9"/>
    <n v="50705"/>
    <n v="9"/>
    <n v="518"/>
    <n v="18554"/>
    <n v="2025"/>
    <x v="6"/>
    <s v="引力魔方"/>
    <x v="2"/>
    <x v="2"/>
  </r>
  <r>
    <x v="1"/>
    <x v="140"/>
    <x v="0"/>
    <x v="0"/>
    <x v="2"/>
    <n v="5578"/>
    <n v="4972"/>
    <n v="39"/>
    <n v="15"/>
    <n v="86990"/>
    <n v="6"/>
    <n v="3980"/>
    <n v="1"/>
    <n v="333"/>
    <n v="5511"/>
    <n v="2025"/>
    <x v="6"/>
    <s v="直通车"/>
    <x v="2"/>
    <x v="2"/>
  </r>
  <r>
    <x v="1"/>
    <x v="140"/>
    <x v="0"/>
    <x v="7"/>
    <x v="23"/>
    <n v="3"/>
    <n v="0"/>
    <n v="0"/>
    <n v="0"/>
    <n v="0"/>
    <n v="0"/>
    <n v="0"/>
    <n v="0"/>
    <n v="0"/>
    <n v="3"/>
    <n v="2025"/>
    <x v="6"/>
    <s v="流量宝"/>
    <x v="2"/>
    <x v="2"/>
  </r>
  <r>
    <x v="1"/>
    <x v="140"/>
    <x v="0"/>
    <x v="7"/>
    <x v="24"/>
    <n v="234"/>
    <n v="41"/>
    <n v="1"/>
    <n v="3"/>
    <n v="2990"/>
    <n v="1"/>
    <n v="0"/>
    <n v="0"/>
    <n v="5"/>
    <n v="232"/>
    <n v="2025"/>
    <x v="6"/>
    <s v="淘宝客"/>
    <x v="2"/>
    <x v="2"/>
  </r>
  <r>
    <x v="1"/>
    <x v="141"/>
    <x v="1"/>
    <x v="1"/>
    <x v="3"/>
    <n v="1"/>
    <n v="1"/>
    <n v="0"/>
    <n v="0"/>
    <n v="0"/>
    <n v="0"/>
    <n v="0"/>
    <n v="0"/>
    <n v="1"/>
    <n v="1"/>
    <n v="2025"/>
    <x v="6"/>
    <s v="其他入口榜单"/>
    <x v="2"/>
    <x v="2"/>
  </r>
  <r>
    <x v="1"/>
    <x v="141"/>
    <x v="1"/>
    <x v="3"/>
    <x v="12"/>
    <n v="48"/>
    <n v="20"/>
    <n v="1"/>
    <n v="0"/>
    <n v="7080"/>
    <n v="2"/>
    <n v="7080"/>
    <n v="2"/>
    <n v="43"/>
    <n v="27"/>
    <n v="2025"/>
    <x v="6"/>
    <s v="店铺超链"/>
    <x v="2"/>
    <x v="2"/>
  </r>
  <r>
    <x v="1"/>
    <x v="141"/>
    <x v="1"/>
    <x v="4"/>
    <x v="13"/>
    <n v="364"/>
    <n v="134"/>
    <n v="15"/>
    <n v="2"/>
    <n v="2090"/>
    <n v="1"/>
    <n v="2090"/>
    <n v="1"/>
    <n v="72"/>
    <n v="341"/>
    <n v="2025"/>
    <x v="6"/>
    <s v="其他猜你喜欢"/>
    <x v="2"/>
    <x v="2"/>
  </r>
  <r>
    <x v="1"/>
    <x v="141"/>
    <x v="1"/>
    <x v="4"/>
    <x v="15"/>
    <n v="42"/>
    <n v="15"/>
    <n v="1"/>
    <n v="0"/>
    <n v="0"/>
    <n v="0"/>
    <n v="0"/>
    <n v="0"/>
    <n v="4"/>
    <n v="35"/>
    <n v="2025"/>
    <x v="6"/>
    <s v="购中推荐"/>
    <x v="2"/>
    <x v="2"/>
  </r>
  <r>
    <x v="1"/>
    <x v="141"/>
    <x v="1"/>
    <x v="4"/>
    <x v="16"/>
    <n v="337"/>
    <n v="202"/>
    <n v="11"/>
    <n v="2"/>
    <n v="43510"/>
    <n v="5"/>
    <n v="43510"/>
    <n v="5"/>
    <n v="15"/>
    <n v="246"/>
    <n v="2025"/>
    <x v="6"/>
    <s v="购后推荐"/>
    <x v="2"/>
    <x v="2"/>
  </r>
  <r>
    <x v="1"/>
    <x v="141"/>
    <x v="1"/>
    <x v="4"/>
    <x v="17"/>
    <n v="3290"/>
    <n v="1803"/>
    <n v="52"/>
    <n v="13"/>
    <n v="46165"/>
    <n v="7"/>
    <n v="29690"/>
    <n v="3"/>
    <n v="177"/>
    <n v="3290"/>
    <n v="2025"/>
    <x v="6"/>
    <s v="首页推荐-微详情"/>
    <x v="2"/>
    <x v="2"/>
  </r>
  <r>
    <x v="1"/>
    <x v="141"/>
    <x v="1"/>
    <x v="4"/>
    <x v="19"/>
    <n v="158"/>
    <n v="129"/>
    <n v="0"/>
    <n v="0"/>
    <n v="0"/>
    <n v="0"/>
    <n v="0"/>
    <n v="0"/>
    <n v="2"/>
    <n v="14"/>
    <n v="2025"/>
    <x v="6"/>
    <s v="首页推荐-短视频"/>
    <x v="2"/>
    <x v="2"/>
  </r>
  <r>
    <x v="1"/>
    <x v="141"/>
    <x v="1"/>
    <x v="12"/>
    <x v="42"/>
    <n v="1931"/>
    <n v="1790"/>
    <n v="28"/>
    <n v="12"/>
    <n v="24740"/>
    <n v="4"/>
    <n v="24740"/>
    <n v="4"/>
    <n v="221"/>
    <n v="1866"/>
    <n v="2025"/>
    <x v="6"/>
    <s v="手淘搜索-商品及其他"/>
    <x v="2"/>
    <x v="2"/>
  </r>
  <r>
    <x v="1"/>
    <x v="141"/>
    <x v="1"/>
    <x v="12"/>
    <x v="44"/>
    <n v="2"/>
    <n v="2"/>
    <n v="0"/>
    <n v="0"/>
    <n v="0"/>
    <n v="0"/>
    <n v="0"/>
    <n v="0"/>
    <n v="0"/>
    <n v="2"/>
    <n v="2025"/>
    <x v="6"/>
    <s v="手淘搜索-短视频"/>
    <x v="2"/>
    <x v="2"/>
  </r>
  <r>
    <x v="1"/>
    <x v="141"/>
    <x v="0"/>
    <x v="5"/>
    <x v="41"/>
    <n v="2"/>
    <n v="0"/>
    <n v="0"/>
    <n v="0"/>
    <n v="0"/>
    <n v="0"/>
    <n v="0"/>
    <n v="0"/>
    <n v="0"/>
    <n v="2"/>
    <n v="2025"/>
    <x v="6"/>
    <s v="超级直播"/>
    <x v="2"/>
    <x v="2"/>
  </r>
  <r>
    <x v="1"/>
    <x v="141"/>
    <x v="0"/>
    <x v="5"/>
    <x v="20"/>
    <n v="486"/>
    <n v="273"/>
    <n v="1"/>
    <n v="0"/>
    <n v="13500"/>
    <n v="1"/>
    <n v="0"/>
    <n v="0"/>
    <n v="7"/>
    <n v="259"/>
    <n v="2025"/>
    <x v="6"/>
    <s v="超级短视频"/>
    <x v="2"/>
    <x v="2"/>
  </r>
  <r>
    <x v="1"/>
    <x v="141"/>
    <x v="0"/>
    <x v="6"/>
    <x v="21"/>
    <n v="2"/>
    <n v="1"/>
    <n v="0"/>
    <n v="0"/>
    <n v="0"/>
    <n v="0"/>
    <n v="0"/>
    <n v="0"/>
    <n v="2"/>
    <n v="0"/>
    <n v="2025"/>
    <x v="6"/>
    <s v="品销宝-品牌专区"/>
    <x v="2"/>
    <x v="2"/>
  </r>
  <r>
    <x v="1"/>
    <x v="141"/>
    <x v="0"/>
    <x v="0"/>
    <x v="0"/>
    <n v="632"/>
    <n v="540"/>
    <n v="9"/>
    <n v="5"/>
    <n v="29297"/>
    <n v="5"/>
    <n v="25497"/>
    <n v="4"/>
    <n v="631"/>
    <n v="271"/>
    <n v="2025"/>
    <x v="6"/>
    <s v="万相台"/>
    <x v="2"/>
    <x v="2"/>
  </r>
  <r>
    <x v="1"/>
    <x v="141"/>
    <x v="0"/>
    <x v="0"/>
    <x v="1"/>
    <n v="21465"/>
    <n v="11113"/>
    <n v="112"/>
    <n v="69"/>
    <n v="29060"/>
    <n v="10"/>
    <n v="22080"/>
    <n v="8"/>
    <n v="428"/>
    <n v="21464"/>
    <n v="2025"/>
    <x v="6"/>
    <s v="引力魔方"/>
    <x v="2"/>
    <x v="2"/>
  </r>
  <r>
    <x v="1"/>
    <x v="141"/>
    <x v="0"/>
    <x v="0"/>
    <x v="2"/>
    <n v="5012"/>
    <n v="4488"/>
    <n v="35"/>
    <n v="14"/>
    <n v="60865"/>
    <n v="9"/>
    <n v="15635"/>
    <n v="4"/>
    <n v="324"/>
    <n v="4939"/>
    <n v="2025"/>
    <x v="6"/>
    <s v="直通车"/>
    <x v="2"/>
    <x v="2"/>
  </r>
  <r>
    <x v="1"/>
    <x v="141"/>
    <x v="0"/>
    <x v="7"/>
    <x v="23"/>
    <n v="3"/>
    <n v="2"/>
    <n v="0"/>
    <n v="0"/>
    <n v="0"/>
    <n v="0"/>
    <n v="0"/>
    <n v="0"/>
    <n v="1"/>
    <n v="2"/>
    <n v="2025"/>
    <x v="6"/>
    <s v="流量宝"/>
    <x v="2"/>
    <x v="2"/>
  </r>
  <r>
    <x v="1"/>
    <x v="141"/>
    <x v="0"/>
    <x v="7"/>
    <x v="24"/>
    <n v="278"/>
    <n v="66"/>
    <n v="2"/>
    <n v="0"/>
    <n v="0"/>
    <n v="0"/>
    <n v="0"/>
    <n v="0"/>
    <n v="5"/>
    <n v="275"/>
    <n v="2025"/>
    <x v="6"/>
    <s v="淘宝客"/>
    <x v="2"/>
    <x v="2"/>
  </r>
  <r>
    <x v="1"/>
    <x v="142"/>
    <x v="1"/>
    <x v="3"/>
    <x v="12"/>
    <n v="46"/>
    <n v="23"/>
    <n v="3"/>
    <n v="0"/>
    <n v="0"/>
    <n v="0"/>
    <n v="0"/>
    <n v="0"/>
    <n v="41"/>
    <n v="15"/>
    <n v="2025"/>
    <x v="6"/>
    <s v="店铺超链"/>
    <x v="2"/>
    <x v="2"/>
  </r>
  <r>
    <x v="1"/>
    <x v="142"/>
    <x v="1"/>
    <x v="4"/>
    <x v="13"/>
    <n v="283"/>
    <n v="105"/>
    <n v="18"/>
    <n v="1"/>
    <n v="14785"/>
    <n v="3"/>
    <n v="14785"/>
    <n v="3"/>
    <n v="64"/>
    <n v="266"/>
    <n v="2025"/>
    <x v="6"/>
    <s v="其他猜你喜欢"/>
    <x v="2"/>
    <x v="2"/>
  </r>
  <r>
    <x v="1"/>
    <x v="142"/>
    <x v="1"/>
    <x v="4"/>
    <x v="15"/>
    <n v="35"/>
    <n v="19"/>
    <n v="1"/>
    <n v="0"/>
    <n v="0"/>
    <n v="0"/>
    <n v="0"/>
    <n v="0"/>
    <n v="7"/>
    <n v="31"/>
    <n v="2025"/>
    <x v="6"/>
    <s v="购中推荐"/>
    <x v="2"/>
    <x v="2"/>
  </r>
  <r>
    <x v="1"/>
    <x v="142"/>
    <x v="1"/>
    <x v="4"/>
    <x v="16"/>
    <n v="230"/>
    <n v="132"/>
    <n v="12"/>
    <n v="4"/>
    <n v="11672.19"/>
    <n v="3"/>
    <n v="11672.19"/>
    <n v="3"/>
    <n v="20"/>
    <n v="205"/>
    <n v="2025"/>
    <x v="6"/>
    <s v="购后推荐"/>
    <x v="2"/>
    <x v="2"/>
  </r>
  <r>
    <x v="1"/>
    <x v="142"/>
    <x v="1"/>
    <x v="4"/>
    <x v="17"/>
    <n v="2680"/>
    <n v="1412"/>
    <n v="54"/>
    <n v="13"/>
    <n v="34287.81"/>
    <n v="6"/>
    <n v="29592.81"/>
    <n v="5"/>
    <n v="141"/>
    <n v="2680"/>
    <n v="2025"/>
    <x v="6"/>
    <s v="首页推荐-微详情"/>
    <x v="2"/>
    <x v="2"/>
  </r>
  <r>
    <x v="1"/>
    <x v="142"/>
    <x v="1"/>
    <x v="4"/>
    <x v="19"/>
    <n v="127"/>
    <n v="105"/>
    <n v="0"/>
    <n v="0"/>
    <n v="0"/>
    <n v="0"/>
    <n v="0"/>
    <n v="0"/>
    <n v="0"/>
    <n v="5"/>
    <n v="2025"/>
    <x v="6"/>
    <s v="首页推荐-短视频"/>
    <x v="2"/>
    <x v="2"/>
  </r>
  <r>
    <x v="1"/>
    <x v="142"/>
    <x v="1"/>
    <x v="12"/>
    <x v="42"/>
    <n v="1483"/>
    <n v="1334"/>
    <n v="26"/>
    <n v="9"/>
    <n v="56950"/>
    <n v="7"/>
    <n v="37930"/>
    <n v="5"/>
    <n v="212"/>
    <n v="1426"/>
    <n v="2025"/>
    <x v="6"/>
    <s v="手淘搜索-商品及其他"/>
    <x v="2"/>
    <x v="2"/>
  </r>
  <r>
    <x v="1"/>
    <x v="142"/>
    <x v="1"/>
    <x v="12"/>
    <x v="44"/>
    <n v="4"/>
    <n v="1"/>
    <n v="0"/>
    <n v="0"/>
    <n v="0"/>
    <n v="0"/>
    <n v="0"/>
    <n v="0"/>
    <n v="0"/>
    <n v="4"/>
    <n v="2025"/>
    <x v="6"/>
    <s v="手淘搜索-短视频"/>
    <x v="2"/>
    <x v="2"/>
  </r>
  <r>
    <x v="1"/>
    <x v="142"/>
    <x v="1"/>
    <x v="11"/>
    <x v="37"/>
    <n v="1"/>
    <n v="0"/>
    <n v="0"/>
    <n v="0"/>
    <n v="0"/>
    <n v="0"/>
    <n v="0"/>
    <n v="0"/>
    <n v="0"/>
    <n v="1"/>
    <n v="2025"/>
    <x v="6"/>
    <s v="淘特其他渠道"/>
    <x v="2"/>
    <x v="2"/>
  </r>
  <r>
    <x v="1"/>
    <x v="142"/>
    <x v="0"/>
    <x v="5"/>
    <x v="41"/>
    <n v="7"/>
    <n v="3"/>
    <n v="0"/>
    <n v="0"/>
    <n v="0"/>
    <n v="0"/>
    <n v="0"/>
    <n v="0"/>
    <n v="0"/>
    <n v="3"/>
    <n v="2025"/>
    <x v="6"/>
    <s v="超级直播"/>
    <x v="2"/>
    <x v="2"/>
  </r>
  <r>
    <x v="1"/>
    <x v="142"/>
    <x v="0"/>
    <x v="5"/>
    <x v="20"/>
    <n v="536"/>
    <n v="312"/>
    <n v="0"/>
    <n v="0"/>
    <n v="0"/>
    <n v="0"/>
    <n v="0"/>
    <n v="0"/>
    <n v="6"/>
    <n v="244"/>
    <n v="2025"/>
    <x v="6"/>
    <s v="超级短视频"/>
    <x v="2"/>
    <x v="2"/>
  </r>
  <r>
    <x v="1"/>
    <x v="142"/>
    <x v="0"/>
    <x v="0"/>
    <x v="0"/>
    <n v="646"/>
    <n v="575"/>
    <n v="18"/>
    <n v="5"/>
    <n v="16885"/>
    <n v="3"/>
    <n v="16885"/>
    <n v="3"/>
    <n v="645"/>
    <n v="313"/>
    <n v="2025"/>
    <x v="6"/>
    <s v="万相台"/>
    <x v="2"/>
    <x v="2"/>
  </r>
  <r>
    <x v="1"/>
    <x v="142"/>
    <x v="0"/>
    <x v="0"/>
    <x v="1"/>
    <n v="21477"/>
    <n v="10555"/>
    <n v="103"/>
    <n v="83"/>
    <n v="67705"/>
    <n v="13"/>
    <n v="49530"/>
    <n v="10"/>
    <n v="405"/>
    <n v="21477"/>
    <n v="2025"/>
    <x v="6"/>
    <s v="引力魔方"/>
    <x v="2"/>
    <x v="2"/>
  </r>
  <r>
    <x v="1"/>
    <x v="142"/>
    <x v="0"/>
    <x v="0"/>
    <x v="2"/>
    <n v="4295"/>
    <n v="3798"/>
    <n v="27"/>
    <n v="12"/>
    <n v="65985"/>
    <n v="7"/>
    <n v="29045"/>
    <n v="3"/>
    <n v="265"/>
    <n v="4232"/>
    <n v="2025"/>
    <x v="6"/>
    <s v="直通车"/>
    <x v="2"/>
    <x v="2"/>
  </r>
  <r>
    <x v="1"/>
    <x v="142"/>
    <x v="0"/>
    <x v="7"/>
    <x v="22"/>
    <n v="1"/>
    <n v="1"/>
    <n v="0"/>
    <n v="0"/>
    <n v="0"/>
    <n v="0"/>
    <n v="0"/>
    <n v="0"/>
    <n v="0"/>
    <n v="1"/>
    <n v="2025"/>
    <x v="6"/>
    <s v="UD效果投放"/>
    <x v="2"/>
    <x v="2"/>
  </r>
  <r>
    <x v="1"/>
    <x v="142"/>
    <x v="0"/>
    <x v="7"/>
    <x v="23"/>
    <n v="3"/>
    <n v="2"/>
    <n v="0"/>
    <n v="0"/>
    <n v="0"/>
    <n v="0"/>
    <n v="0"/>
    <n v="0"/>
    <n v="0"/>
    <n v="3"/>
    <n v="2025"/>
    <x v="6"/>
    <s v="流量宝"/>
    <x v="2"/>
    <x v="2"/>
  </r>
  <r>
    <x v="1"/>
    <x v="142"/>
    <x v="0"/>
    <x v="7"/>
    <x v="24"/>
    <n v="293"/>
    <n v="57"/>
    <n v="2"/>
    <n v="0"/>
    <n v="0"/>
    <n v="0"/>
    <n v="0"/>
    <n v="0"/>
    <n v="4"/>
    <n v="293"/>
    <n v="2025"/>
    <x v="6"/>
    <s v="淘宝客"/>
    <x v="2"/>
    <x v="2"/>
  </r>
  <r>
    <x v="1"/>
    <x v="143"/>
    <x v="1"/>
    <x v="3"/>
    <x v="12"/>
    <n v="43"/>
    <n v="23"/>
    <n v="2"/>
    <n v="0"/>
    <n v="0"/>
    <n v="0"/>
    <n v="0"/>
    <n v="0"/>
    <n v="39"/>
    <n v="16"/>
    <n v="2025"/>
    <x v="6"/>
    <s v="店铺超链"/>
    <x v="2"/>
    <x v="2"/>
  </r>
  <r>
    <x v="1"/>
    <x v="143"/>
    <x v="1"/>
    <x v="4"/>
    <x v="13"/>
    <n v="321"/>
    <n v="163"/>
    <n v="10"/>
    <n v="2"/>
    <n v="39890"/>
    <n v="4"/>
    <n v="21940"/>
    <n v="3"/>
    <n v="82"/>
    <n v="293"/>
    <n v="2025"/>
    <x v="6"/>
    <s v="其他猜你喜欢"/>
    <x v="2"/>
    <x v="2"/>
  </r>
  <r>
    <x v="1"/>
    <x v="143"/>
    <x v="1"/>
    <x v="4"/>
    <x v="15"/>
    <n v="24"/>
    <n v="7"/>
    <n v="4"/>
    <n v="0"/>
    <n v="0"/>
    <n v="0"/>
    <n v="0"/>
    <n v="0"/>
    <n v="4"/>
    <n v="24"/>
    <n v="2025"/>
    <x v="6"/>
    <s v="购中推荐"/>
    <x v="2"/>
    <x v="2"/>
  </r>
  <r>
    <x v="1"/>
    <x v="143"/>
    <x v="1"/>
    <x v="4"/>
    <x v="16"/>
    <n v="176"/>
    <n v="90"/>
    <n v="10"/>
    <n v="2"/>
    <n v="0"/>
    <n v="0"/>
    <n v="0"/>
    <n v="0"/>
    <n v="21"/>
    <n v="170"/>
    <n v="2025"/>
    <x v="6"/>
    <s v="购后推荐"/>
    <x v="2"/>
    <x v="2"/>
  </r>
  <r>
    <x v="1"/>
    <x v="143"/>
    <x v="1"/>
    <x v="4"/>
    <x v="17"/>
    <n v="2131"/>
    <n v="1151"/>
    <n v="32"/>
    <n v="5"/>
    <n v="22080"/>
    <n v="3"/>
    <n v="12690"/>
    <n v="2"/>
    <n v="105"/>
    <n v="2131"/>
    <n v="2025"/>
    <x v="6"/>
    <s v="首页推荐-微详情"/>
    <x v="2"/>
    <x v="2"/>
  </r>
  <r>
    <x v="1"/>
    <x v="143"/>
    <x v="1"/>
    <x v="4"/>
    <x v="18"/>
    <n v="83"/>
    <n v="65"/>
    <n v="1"/>
    <n v="0"/>
    <n v="3990"/>
    <n v="1"/>
    <n v="3990"/>
    <n v="1"/>
    <n v="4"/>
    <n v="39"/>
    <n v="2025"/>
    <x v="6"/>
    <s v="首页推荐-直播"/>
    <x v="2"/>
    <x v="2"/>
  </r>
  <r>
    <x v="1"/>
    <x v="143"/>
    <x v="1"/>
    <x v="4"/>
    <x v="19"/>
    <n v="165"/>
    <n v="149"/>
    <n v="0"/>
    <n v="0"/>
    <n v="0"/>
    <n v="0"/>
    <n v="0"/>
    <n v="0"/>
    <n v="2"/>
    <n v="6"/>
    <n v="2025"/>
    <x v="6"/>
    <s v="首页推荐-短视频"/>
    <x v="2"/>
    <x v="2"/>
  </r>
  <r>
    <x v="1"/>
    <x v="143"/>
    <x v="1"/>
    <x v="12"/>
    <x v="42"/>
    <n v="955"/>
    <n v="834"/>
    <n v="23"/>
    <n v="4"/>
    <n v="11285"/>
    <n v="2"/>
    <n v="0"/>
    <n v="0"/>
    <n v="173"/>
    <n v="889"/>
    <n v="2025"/>
    <x v="6"/>
    <s v="手淘搜索-商品及其他"/>
    <x v="2"/>
    <x v="2"/>
  </r>
  <r>
    <x v="1"/>
    <x v="143"/>
    <x v="1"/>
    <x v="12"/>
    <x v="43"/>
    <n v="3"/>
    <n v="2"/>
    <n v="0"/>
    <n v="0"/>
    <n v="0"/>
    <n v="0"/>
    <n v="0"/>
    <n v="0"/>
    <n v="2"/>
    <n v="2"/>
    <n v="2025"/>
    <x v="6"/>
    <s v="手淘搜索-直播"/>
    <x v="2"/>
    <x v="2"/>
  </r>
  <r>
    <x v="1"/>
    <x v="143"/>
    <x v="1"/>
    <x v="11"/>
    <x v="37"/>
    <n v="1"/>
    <n v="0"/>
    <n v="0"/>
    <n v="0"/>
    <n v="0"/>
    <n v="0"/>
    <n v="0"/>
    <n v="0"/>
    <n v="0"/>
    <n v="1"/>
    <n v="2025"/>
    <x v="6"/>
    <s v="淘特其他渠道"/>
    <x v="2"/>
    <x v="2"/>
  </r>
  <r>
    <x v="1"/>
    <x v="143"/>
    <x v="0"/>
    <x v="5"/>
    <x v="47"/>
    <n v="2"/>
    <n v="2"/>
    <n v="0"/>
    <n v="0"/>
    <n v="0"/>
    <n v="0"/>
    <n v="0"/>
    <n v="0"/>
    <n v="0"/>
    <n v="1"/>
    <n v="2025"/>
    <x v="6"/>
    <s v="短直联动"/>
    <x v="2"/>
    <x v="2"/>
  </r>
  <r>
    <x v="1"/>
    <x v="143"/>
    <x v="0"/>
    <x v="5"/>
    <x v="41"/>
    <n v="1385"/>
    <n v="928"/>
    <n v="12"/>
    <n v="1"/>
    <n v="0"/>
    <n v="0"/>
    <n v="0"/>
    <n v="0"/>
    <n v="29"/>
    <n v="379"/>
    <n v="2025"/>
    <x v="6"/>
    <s v="超级直播"/>
    <x v="2"/>
    <x v="2"/>
  </r>
  <r>
    <x v="1"/>
    <x v="143"/>
    <x v="0"/>
    <x v="5"/>
    <x v="20"/>
    <n v="556"/>
    <n v="343"/>
    <n v="0"/>
    <n v="2"/>
    <n v="0"/>
    <n v="0"/>
    <n v="0"/>
    <n v="0"/>
    <n v="9"/>
    <n v="243"/>
    <n v="2025"/>
    <x v="6"/>
    <s v="超级短视频"/>
    <x v="2"/>
    <x v="2"/>
  </r>
  <r>
    <x v="1"/>
    <x v="143"/>
    <x v="0"/>
    <x v="0"/>
    <x v="0"/>
    <n v="602"/>
    <n v="524"/>
    <n v="15"/>
    <n v="5"/>
    <n v="22850"/>
    <n v="2"/>
    <n v="2900"/>
    <n v="1"/>
    <n v="601"/>
    <n v="276"/>
    <n v="2025"/>
    <x v="6"/>
    <s v="万相台"/>
    <x v="2"/>
    <x v="2"/>
  </r>
  <r>
    <x v="1"/>
    <x v="143"/>
    <x v="0"/>
    <x v="0"/>
    <x v="1"/>
    <n v="39818"/>
    <n v="26592"/>
    <n v="82"/>
    <n v="68"/>
    <n v="111785"/>
    <n v="19"/>
    <n v="72025"/>
    <n v="15"/>
    <n v="503"/>
    <n v="39799"/>
    <n v="2025"/>
    <x v="6"/>
    <s v="引力魔方"/>
    <x v="2"/>
    <x v="2"/>
  </r>
  <r>
    <x v="1"/>
    <x v="143"/>
    <x v="0"/>
    <x v="0"/>
    <x v="2"/>
    <n v="4166"/>
    <n v="3699"/>
    <n v="25"/>
    <n v="11"/>
    <n v="36025"/>
    <n v="3"/>
    <n v="19180"/>
    <n v="1"/>
    <n v="207"/>
    <n v="4128"/>
    <n v="2025"/>
    <x v="6"/>
    <s v="直通车"/>
    <x v="2"/>
    <x v="2"/>
  </r>
  <r>
    <x v="1"/>
    <x v="143"/>
    <x v="0"/>
    <x v="7"/>
    <x v="22"/>
    <n v="1"/>
    <n v="0"/>
    <n v="0"/>
    <n v="0"/>
    <n v="0"/>
    <n v="0"/>
    <n v="0"/>
    <n v="0"/>
    <n v="1"/>
    <n v="0"/>
    <n v="2025"/>
    <x v="6"/>
    <s v="UD效果投放"/>
    <x v="2"/>
    <x v="2"/>
  </r>
  <r>
    <x v="1"/>
    <x v="143"/>
    <x v="0"/>
    <x v="7"/>
    <x v="23"/>
    <n v="1"/>
    <n v="1"/>
    <n v="0"/>
    <n v="0"/>
    <n v="0"/>
    <n v="0"/>
    <n v="0"/>
    <n v="0"/>
    <n v="0"/>
    <n v="0"/>
    <n v="2025"/>
    <x v="6"/>
    <s v="流量宝"/>
    <x v="2"/>
    <x v="2"/>
  </r>
  <r>
    <x v="1"/>
    <x v="143"/>
    <x v="0"/>
    <x v="7"/>
    <x v="24"/>
    <n v="376"/>
    <n v="94"/>
    <n v="2"/>
    <n v="1"/>
    <n v="0"/>
    <n v="0"/>
    <n v="0"/>
    <n v="0"/>
    <n v="1"/>
    <n v="375"/>
    <n v="2025"/>
    <x v="6"/>
    <s v="淘宝客"/>
    <x v="2"/>
    <x v="2"/>
  </r>
  <r>
    <x v="1"/>
    <x v="144"/>
    <x v="1"/>
    <x v="3"/>
    <x v="12"/>
    <n v="55"/>
    <n v="31"/>
    <n v="3"/>
    <n v="0"/>
    <n v="5467.65"/>
    <n v="2"/>
    <n v="5467.65"/>
    <n v="2"/>
    <n v="50"/>
    <n v="21"/>
    <n v="2025"/>
    <x v="6"/>
    <s v="店铺超链"/>
    <x v="2"/>
    <x v="2"/>
  </r>
  <r>
    <x v="1"/>
    <x v="144"/>
    <x v="1"/>
    <x v="4"/>
    <x v="13"/>
    <n v="338"/>
    <n v="175"/>
    <n v="9"/>
    <n v="8"/>
    <n v="7644.39"/>
    <n v="3"/>
    <n v="7644.39"/>
    <n v="3"/>
    <n v="85"/>
    <n v="312"/>
    <n v="2025"/>
    <x v="6"/>
    <s v="其他猜你喜欢"/>
    <x v="2"/>
    <x v="2"/>
  </r>
  <r>
    <x v="1"/>
    <x v="144"/>
    <x v="1"/>
    <x v="4"/>
    <x v="15"/>
    <n v="18"/>
    <n v="10"/>
    <n v="1"/>
    <n v="2"/>
    <n v="0"/>
    <n v="0"/>
    <n v="0"/>
    <n v="0"/>
    <n v="4"/>
    <n v="18"/>
    <n v="2025"/>
    <x v="6"/>
    <s v="购中推荐"/>
    <x v="2"/>
    <x v="2"/>
  </r>
  <r>
    <x v="1"/>
    <x v="144"/>
    <x v="1"/>
    <x v="4"/>
    <x v="16"/>
    <n v="107"/>
    <n v="50"/>
    <n v="0"/>
    <n v="1"/>
    <n v="0"/>
    <n v="0"/>
    <n v="0"/>
    <n v="0"/>
    <n v="9"/>
    <n v="105"/>
    <n v="2025"/>
    <x v="6"/>
    <s v="购后推荐"/>
    <x v="2"/>
    <x v="2"/>
  </r>
  <r>
    <x v="1"/>
    <x v="144"/>
    <x v="1"/>
    <x v="4"/>
    <x v="17"/>
    <n v="1267"/>
    <n v="682"/>
    <n v="8"/>
    <n v="4"/>
    <n v="20300"/>
    <n v="3"/>
    <n v="16310"/>
    <n v="3"/>
    <n v="58"/>
    <n v="1267"/>
    <n v="2025"/>
    <x v="6"/>
    <s v="首页推荐-微详情"/>
    <x v="2"/>
    <x v="2"/>
  </r>
  <r>
    <x v="1"/>
    <x v="144"/>
    <x v="1"/>
    <x v="4"/>
    <x v="18"/>
    <n v="54"/>
    <n v="32"/>
    <n v="0"/>
    <n v="0"/>
    <n v="0"/>
    <n v="0"/>
    <n v="0"/>
    <n v="0"/>
    <n v="1"/>
    <n v="7"/>
    <n v="2025"/>
    <x v="6"/>
    <s v="首页推荐-直播"/>
    <x v="2"/>
    <x v="2"/>
  </r>
  <r>
    <x v="1"/>
    <x v="144"/>
    <x v="1"/>
    <x v="4"/>
    <x v="19"/>
    <n v="44"/>
    <n v="38"/>
    <n v="0"/>
    <n v="0"/>
    <n v="0"/>
    <n v="0"/>
    <n v="0"/>
    <n v="0"/>
    <n v="2"/>
    <n v="4"/>
    <n v="2025"/>
    <x v="6"/>
    <s v="首页推荐-短视频"/>
    <x v="2"/>
    <x v="2"/>
  </r>
  <r>
    <x v="1"/>
    <x v="144"/>
    <x v="1"/>
    <x v="12"/>
    <x v="42"/>
    <n v="868"/>
    <n v="764"/>
    <n v="21"/>
    <n v="6"/>
    <n v="68885"/>
    <n v="5"/>
    <n v="28155"/>
    <n v="4"/>
    <n v="142"/>
    <n v="819"/>
    <n v="2025"/>
    <x v="6"/>
    <s v="手淘搜索-商品及其他"/>
    <x v="2"/>
    <x v="2"/>
  </r>
  <r>
    <x v="1"/>
    <x v="144"/>
    <x v="1"/>
    <x v="12"/>
    <x v="43"/>
    <n v="3"/>
    <n v="2"/>
    <n v="0"/>
    <n v="0"/>
    <n v="0"/>
    <n v="0"/>
    <n v="0"/>
    <n v="0"/>
    <n v="0"/>
    <n v="3"/>
    <n v="2025"/>
    <x v="6"/>
    <s v="手淘搜索-直播"/>
    <x v="2"/>
    <x v="2"/>
  </r>
  <r>
    <x v="1"/>
    <x v="144"/>
    <x v="1"/>
    <x v="12"/>
    <x v="44"/>
    <n v="6"/>
    <n v="4"/>
    <n v="1"/>
    <n v="0"/>
    <n v="0"/>
    <n v="0"/>
    <n v="0"/>
    <n v="0"/>
    <n v="2"/>
    <n v="6"/>
    <n v="2025"/>
    <x v="6"/>
    <s v="手淘搜索-短视频"/>
    <x v="2"/>
    <x v="2"/>
  </r>
  <r>
    <x v="1"/>
    <x v="144"/>
    <x v="1"/>
    <x v="11"/>
    <x v="37"/>
    <n v="1"/>
    <n v="1"/>
    <n v="1"/>
    <n v="0"/>
    <n v="0"/>
    <n v="0"/>
    <n v="0"/>
    <n v="0"/>
    <n v="1"/>
    <n v="1"/>
    <n v="2025"/>
    <x v="6"/>
    <s v="淘特其他渠道"/>
    <x v="2"/>
    <x v="2"/>
  </r>
  <r>
    <x v="1"/>
    <x v="144"/>
    <x v="1"/>
    <x v="11"/>
    <x v="40"/>
    <n v="1"/>
    <n v="1"/>
    <n v="1"/>
    <n v="0"/>
    <n v="0"/>
    <n v="0"/>
    <n v="0"/>
    <n v="0"/>
    <n v="0"/>
    <n v="1"/>
    <n v="2025"/>
    <x v="6"/>
    <s v="淘特自主访问"/>
    <x v="2"/>
    <x v="2"/>
  </r>
  <r>
    <x v="1"/>
    <x v="144"/>
    <x v="0"/>
    <x v="5"/>
    <x v="47"/>
    <n v="2"/>
    <n v="2"/>
    <n v="0"/>
    <n v="0"/>
    <n v="0"/>
    <n v="0"/>
    <n v="0"/>
    <n v="0"/>
    <n v="0"/>
    <n v="0"/>
    <n v="2025"/>
    <x v="6"/>
    <s v="短直联动"/>
    <x v="2"/>
    <x v="2"/>
  </r>
  <r>
    <x v="1"/>
    <x v="144"/>
    <x v="0"/>
    <x v="5"/>
    <x v="41"/>
    <n v="1356"/>
    <n v="896"/>
    <n v="7"/>
    <n v="2"/>
    <n v="0"/>
    <n v="0"/>
    <n v="0"/>
    <n v="0"/>
    <n v="33"/>
    <n v="280"/>
    <n v="2025"/>
    <x v="6"/>
    <s v="超级直播"/>
    <x v="2"/>
    <x v="2"/>
  </r>
  <r>
    <x v="1"/>
    <x v="144"/>
    <x v="0"/>
    <x v="5"/>
    <x v="20"/>
    <n v="393"/>
    <n v="247"/>
    <n v="1"/>
    <n v="1"/>
    <n v="0"/>
    <n v="0"/>
    <n v="0"/>
    <n v="0"/>
    <n v="13"/>
    <n v="225"/>
    <n v="2025"/>
    <x v="6"/>
    <s v="超级短视频"/>
    <x v="2"/>
    <x v="2"/>
  </r>
  <r>
    <x v="1"/>
    <x v="144"/>
    <x v="0"/>
    <x v="6"/>
    <x v="21"/>
    <n v="1"/>
    <n v="1"/>
    <n v="0"/>
    <n v="0"/>
    <n v="0"/>
    <n v="0"/>
    <n v="0"/>
    <n v="0"/>
    <n v="1"/>
    <n v="0"/>
    <n v="2025"/>
    <x v="6"/>
    <s v="品销宝-品牌专区"/>
    <x v="2"/>
    <x v="2"/>
  </r>
  <r>
    <x v="1"/>
    <x v="144"/>
    <x v="0"/>
    <x v="0"/>
    <x v="0"/>
    <n v="717"/>
    <n v="621"/>
    <n v="11"/>
    <n v="3"/>
    <n v="16755"/>
    <n v="2"/>
    <n v="9975"/>
    <n v="2"/>
    <n v="717"/>
    <n v="304"/>
    <n v="2025"/>
    <x v="6"/>
    <s v="万相台"/>
    <x v="2"/>
    <x v="2"/>
  </r>
  <r>
    <x v="1"/>
    <x v="144"/>
    <x v="0"/>
    <x v="0"/>
    <x v="1"/>
    <n v="38271"/>
    <n v="24717"/>
    <n v="140"/>
    <n v="74"/>
    <n v="58314.39"/>
    <n v="14"/>
    <n v="51874.39"/>
    <n v="12"/>
    <n v="606"/>
    <n v="38262"/>
    <n v="2025"/>
    <x v="6"/>
    <s v="引力魔方"/>
    <x v="2"/>
    <x v="2"/>
  </r>
  <r>
    <x v="1"/>
    <x v="144"/>
    <x v="0"/>
    <x v="0"/>
    <x v="2"/>
    <n v="6065"/>
    <n v="5486"/>
    <n v="34"/>
    <n v="14"/>
    <n v="35190"/>
    <n v="6"/>
    <n v="18740"/>
    <n v="4"/>
    <n v="309"/>
    <n v="6006"/>
    <n v="2025"/>
    <x v="6"/>
    <s v="直通车"/>
    <x v="2"/>
    <x v="2"/>
  </r>
  <r>
    <x v="1"/>
    <x v="144"/>
    <x v="0"/>
    <x v="7"/>
    <x v="22"/>
    <n v="1"/>
    <n v="0"/>
    <n v="0"/>
    <n v="0"/>
    <n v="0"/>
    <n v="0"/>
    <n v="0"/>
    <n v="0"/>
    <n v="0"/>
    <n v="1"/>
    <n v="2025"/>
    <x v="6"/>
    <s v="UD效果投放"/>
    <x v="2"/>
    <x v="2"/>
  </r>
  <r>
    <x v="1"/>
    <x v="144"/>
    <x v="0"/>
    <x v="7"/>
    <x v="24"/>
    <n v="313"/>
    <n v="117"/>
    <n v="3"/>
    <n v="1"/>
    <n v="6745"/>
    <n v="2"/>
    <n v="6745"/>
    <n v="2"/>
    <n v="2"/>
    <n v="313"/>
    <n v="2025"/>
    <x v="6"/>
    <s v="淘宝客"/>
    <x v="2"/>
    <x v="2"/>
  </r>
  <r>
    <x v="1"/>
    <x v="145"/>
    <x v="1"/>
    <x v="1"/>
    <x v="3"/>
    <n v="5"/>
    <n v="5"/>
    <n v="0"/>
    <n v="1"/>
    <n v="0"/>
    <n v="0"/>
    <n v="0"/>
    <n v="0"/>
    <n v="0"/>
    <n v="5"/>
    <n v="2024"/>
    <x v="7"/>
    <s v="其他入口榜单"/>
    <x v="1"/>
    <x v="0"/>
  </r>
  <r>
    <x v="1"/>
    <x v="145"/>
    <x v="1"/>
    <x v="3"/>
    <x v="11"/>
    <n v="134"/>
    <n v="56"/>
    <n v="2"/>
    <n v="3"/>
    <n v="0"/>
    <n v="0"/>
    <n v="0"/>
    <n v="0"/>
    <n v="16"/>
    <n v="132"/>
    <n v="2024"/>
    <x v="7"/>
    <s v="商品详情页头图推荐"/>
    <x v="1"/>
    <x v="0"/>
  </r>
  <r>
    <x v="1"/>
    <x v="145"/>
    <x v="1"/>
    <x v="3"/>
    <x v="12"/>
    <n v="28"/>
    <n v="18"/>
    <n v="0"/>
    <n v="1"/>
    <n v="0"/>
    <n v="0"/>
    <n v="0"/>
    <n v="0"/>
    <n v="20"/>
    <n v="14"/>
    <n v="2024"/>
    <x v="7"/>
    <s v="店铺超链"/>
    <x v="1"/>
    <x v="0"/>
  </r>
  <r>
    <x v="1"/>
    <x v="145"/>
    <x v="1"/>
    <x v="4"/>
    <x v="13"/>
    <n v="258"/>
    <n v="125"/>
    <n v="2"/>
    <n v="3"/>
    <n v="0"/>
    <n v="0"/>
    <n v="0"/>
    <n v="0"/>
    <n v="30"/>
    <n v="234"/>
    <n v="2024"/>
    <x v="7"/>
    <s v="其他猜你喜欢"/>
    <x v="1"/>
    <x v="0"/>
  </r>
  <r>
    <x v="1"/>
    <x v="145"/>
    <x v="1"/>
    <x v="4"/>
    <x v="15"/>
    <n v="11"/>
    <n v="7"/>
    <n v="0"/>
    <n v="0"/>
    <n v="0"/>
    <n v="0"/>
    <n v="0"/>
    <n v="0"/>
    <n v="2"/>
    <n v="11"/>
    <n v="2024"/>
    <x v="7"/>
    <s v="购中推荐"/>
    <x v="1"/>
    <x v="0"/>
  </r>
  <r>
    <x v="1"/>
    <x v="145"/>
    <x v="1"/>
    <x v="4"/>
    <x v="16"/>
    <n v="79"/>
    <n v="47"/>
    <n v="1"/>
    <n v="0"/>
    <n v="0"/>
    <n v="0"/>
    <n v="0"/>
    <n v="0"/>
    <n v="6"/>
    <n v="75"/>
    <n v="2024"/>
    <x v="7"/>
    <s v="购后推荐"/>
    <x v="1"/>
    <x v="0"/>
  </r>
  <r>
    <x v="1"/>
    <x v="145"/>
    <x v="1"/>
    <x v="4"/>
    <x v="17"/>
    <n v="2996"/>
    <n v="1299"/>
    <n v="46"/>
    <n v="28"/>
    <n v="17500"/>
    <n v="1"/>
    <n v="17500"/>
    <n v="1"/>
    <n v="179"/>
    <n v="2996"/>
    <n v="2024"/>
    <x v="7"/>
    <s v="首页推荐-微详情"/>
    <x v="1"/>
    <x v="0"/>
  </r>
  <r>
    <x v="1"/>
    <x v="145"/>
    <x v="1"/>
    <x v="4"/>
    <x v="18"/>
    <n v="1"/>
    <n v="0"/>
    <n v="0"/>
    <n v="0"/>
    <n v="0"/>
    <n v="0"/>
    <n v="0"/>
    <n v="0"/>
    <n v="0"/>
    <n v="0"/>
    <n v="2024"/>
    <x v="7"/>
    <s v="首页推荐-直播"/>
    <x v="1"/>
    <x v="0"/>
  </r>
  <r>
    <x v="1"/>
    <x v="145"/>
    <x v="1"/>
    <x v="4"/>
    <x v="19"/>
    <n v="474"/>
    <n v="200"/>
    <n v="3"/>
    <n v="3"/>
    <n v="1680"/>
    <n v="1"/>
    <n v="0"/>
    <n v="0"/>
    <n v="14"/>
    <n v="111"/>
    <n v="2024"/>
    <x v="7"/>
    <s v="首页推荐-短视频"/>
    <x v="1"/>
    <x v="0"/>
  </r>
  <r>
    <x v="1"/>
    <x v="145"/>
    <x v="1"/>
    <x v="12"/>
    <x v="42"/>
    <n v="961"/>
    <n v="743"/>
    <n v="23"/>
    <n v="13"/>
    <n v="15045"/>
    <n v="2"/>
    <n v="4095"/>
    <n v="1"/>
    <n v="267"/>
    <n v="836"/>
    <n v="2024"/>
    <x v="7"/>
    <s v="手淘搜索-商品及其他"/>
    <x v="1"/>
    <x v="0"/>
  </r>
  <r>
    <x v="1"/>
    <x v="145"/>
    <x v="1"/>
    <x v="12"/>
    <x v="44"/>
    <n v="140"/>
    <n v="118"/>
    <n v="1"/>
    <n v="0"/>
    <n v="0"/>
    <n v="0"/>
    <n v="0"/>
    <n v="0"/>
    <n v="2"/>
    <n v="137"/>
    <n v="2024"/>
    <x v="7"/>
    <s v="手淘搜索-短视频"/>
    <x v="1"/>
    <x v="0"/>
  </r>
  <r>
    <x v="1"/>
    <x v="145"/>
    <x v="1"/>
    <x v="11"/>
    <x v="37"/>
    <n v="2"/>
    <n v="2"/>
    <n v="0"/>
    <n v="0"/>
    <n v="0"/>
    <n v="0"/>
    <n v="0"/>
    <n v="0"/>
    <n v="0"/>
    <n v="2"/>
    <n v="2024"/>
    <x v="7"/>
    <s v="淘特其他渠道"/>
    <x v="1"/>
    <x v="0"/>
  </r>
  <r>
    <x v="1"/>
    <x v="145"/>
    <x v="1"/>
    <x v="11"/>
    <x v="39"/>
    <n v="12"/>
    <n v="12"/>
    <n v="0"/>
    <n v="0"/>
    <n v="0"/>
    <n v="0"/>
    <n v="0"/>
    <n v="0"/>
    <n v="0"/>
    <n v="12"/>
    <n v="2024"/>
    <x v="7"/>
    <s v="淘特搜索"/>
    <x v="1"/>
    <x v="0"/>
  </r>
  <r>
    <x v="1"/>
    <x v="145"/>
    <x v="0"/>
    <x v="5"/>
    <x v="20"/>
    <n v="108"/>
    <n v="79"/>
    <n v="3"/>
    <n v="3"/>
    <n v="0"/>
    <n v="0"/>
    <n v="0"/>
    <n v="0"/>
    <n v="4"/>
    <n v="81"/>
    <n v="2024"/>
    <x v="7"/>
    <s v="超级短视频"/>
    <x v="1"/>
    <x v="0"/>
  </r>
  <r>
    <x v="1"/>
    <x v="145"/>
    <x v="0"/>
    <x v="6"/>
    <x v="21"/>
    <n v="555"/>
    <n v="462"/>
    <n v="16"/>
    <n v="4"/>
    <n v="4695"/>
    <n v="1"/>
    <n v="4695"/>
    <n v="1"/>
    <n v="555"/>
    <n v="310"/>
    <n v="2024"/>
    <x v="7"/>
    <s v="品销宝-品牌专区"/>
    <x v="1"/>
    <x v="0"/>
  </r>
  <r>
    <x v="1"/>
    <x v="145"/>
    <x v="0"/>
    <x v="0"/>
    <x v="2"/>
    <n v="2847"/>
    <n v="2352"/>
    <n v="33"/>
    <n v="32"/>
    <n v="31570"/>
    <n v="5"/>
    <n v="10060"/>
    <n v="2"/>
    <n v="270"/>
    <n v="2829"/>
    <n v="2024"/>
    <x v="7"/>
    <s v="直通车"/>
    <x v="1"/>
    <x v="0"/>
  </r>
  <r>
    <x v="1"/>
    <x v="145"/>
    <x v="0"/>
    <x v="0"/>
    <x v="0"/>
    <n v="2386"/>
    <n v="1187"/>
    <n v="97"/>
    <n v="48"/>
    <n v="30890"/>
    <n v="6"/>
    <n v="8855"/>
    <n v="2"/>
    <n v="137"/>
    <n v="2373"/>
    <n v="2024"/>
    <x v="7"/>
    <s v="万相台"/>
    <x v="1"/>
    <x v="0"/>
  </r>
  <r>
    <x v="1"/>
    <x v="145"/>
    <x v="0"/>
    <x v="0"/>
    <x v="1"/>
    <n v="3295"/>
    <n v="1144"/>
    <n v="38"/>
    <n v="41"/>
    <n v="13147"/>
    <n v="4"/>
    <n v="8172"/>
    <n v="3"/>
    <n v="199"/>
    <n v="3293"/>
    <n v="2024"/>
    <x v="7"/>
    <s v="引力魔方"/>
    <x v="1"/>
    <x v="0"/>
  </r>
  <r>
    <x v="1"/>
    <x v="145"/>
    <x v="0"/>
    <x v="7"/>
    <x v="24"/>
    <n v="207"/>
    <n v="69"/>
    <n v="0"/>
    <n v="0"/>
    <n v="0"/>
    <n v="0"/>
    <n v="0"/>
    <n v="0"/>
    <n v="11"/>
    <n v="203"/>
    <n v="2024"/>
    <x v="7"/>
    <s v="淘宝客"/>
    <x v="1"/>
    <x v="0"/>
  </r>
  <r>
    <x v="1"/>
    <x v="146"/>
    <x v="1"/>
    <x v="8"/>
    <x v="25"/>
    <n v="3"/>
    <n v="2"/>
    <n v="0"/>
    <n v="0"/>
    <n v="0"/>
    <n v="0"/>
    <n v="0"/>
    <n v="0"/>
    <n v="0"/>
    <n v="2"/>
    <n v="2024"/>
    <x v="7"/>
    <s v="主会场"/>
    <x v="1"/>
    <x v="0"/>
  </r>
  <r>
    <x v="1"/>
    <x v="146"/>
    <x v="1"/>
    <x v="8"/>
    <x v="26"/>
    <n v="1"/>
    <n v="0"/>
    <n v="0"/>
    <n v="0"/>
    <n v="0"/>
    <n v="0"/>
    <n v="0"/>
    <n v="0"/>
    <n v="1"/>
    <n v="1"/>
    <n v="2024"/>
    <x v="7"/>
    <s v="榜单会场"/>
    <x v="1"/>
    <x v="0"/>
  </r>
  <r>
    <x v="1"/>
    <x v="146"/>
    <x v="1"/>
    <x v="1"/>
    <x v="35"/>
    <n v="1"/>
    <n v="1"/>
    <n v="0"/>
    <n v="0"/>
    <n v="0"/>
    <n v="0"/>
    <n v="0"/>
    <n v="0"/>
    <n v="1"/>
    <n v="1"/>
    <n v="2024"/>
    <x v="7"/>
    <s v="搜索入口榜单"/>
    <x v="1"/>
    <x v="0"/>
  </r>
  <r>
    <x v="1"/>
    <x v="146"/>
    <x v="1"/>
    <x v="3"/>
    <x v="11"/>
    <n v="141"/>
    <n v="53"/>
    <n v="5"/>
    <n v="2"/>
    <n v="21480"/>
    <n v="2"/>
    <n v="21480"/>
    <n v="2"/>
    <n v="30"/>
    <n v="140"/>
    <n v="2024"/>
    <x v="7"/>
    <s v="商品详情页头图推荐"/>
    <x v="1"/>
    <x v="0"/>
  </r>
  <r>
    <x v="1"/>
    <x v="146"/>
    <x v="1"/>
    <x v="3"/>
    <x v="12"/>
    <n v="30"/>
    <n v="17"/>
    <n v="2"/>
    <n v="0"/>
    <n v="0"/>
    <n v="0"/>
    <n v="0"/>
    <n v="0"/>
    <n v="26"/>
    <n v="14"/>
    <n v="2024"/>
    <x v="7"/>
    <s v="店铺超链"/>
    <x v="1"/>
    <x v="0"/>
  </r>
  <r>
    <x v="1"/>
    <x v="146"/>
    <x v="1"/>
    <x v="4"/>
    <x v="13"/>
    <n v="303"/>
    <n v="126"/>
    <n v="3"/>
    <n v="2"/>
    <n v="19500"/>
    <n v="1"/>
    <n v="19500"/>
    <n v="1"/>
    <n v="38"/>
    <n v="273"/>
    <n v="2024"/>
    <x v="7"/>
    <s v="其他猜你喜欢"/>
    <x v="1"/>
    <x v="0"/>
  </r>
  <r>
    <x v="1"/>
    <x v="146"/>
    <x v="1"/>
    <x v="4"/>
    <x v="15"/>
    <n v="11"/>
    <n v="3"/>
    <n v="1"/>
    <n v="0"/>
    <n v="0"/>
    <n v="0"/>
    <n v="0"/>
    <n v="0"/>
    <n v="1"/>
    <n v="11"/>
    <n v="2024"/>
    <x v="7"/>
    <s v="购中推荐"/>
    <x v="1"/>
    <x v="0"/>
  </r>
  <r>
    <x v="1"/>
    <x v="146"/>
    <x v="1"/>
    <x v="4"/>
    <x v="16"/>
    <n v="86"/>
    <n v="40"/>
    <n v="1"/>
    <n v="0"/>
    <n v="0"/>
    <n v="0"/>
    <n v="0"/>
    <n v="0"/>
    <n v="4"/>
    <n v="78"/>
    <n v="2024"/>
    <x v="7"/>
    <s v="购后推荐"/>
    <x v="1"/>
    <x v="0"/>
  </r>
  <r>
    <x v="1"/>
    <x v="146"/>
    <x v="1"/>
    <x v="4"/>
    <x v="17"/>
    <n v="3141"/>
    <n v="1247"/>
    <n v="38"/>
    <n v="18"/>
    <n v="34680"/>
    <n v="3"/>
    <n v="34680"/>
    <n v="3"/>
    <n v="182"/>
    <n v="3141"/>
    <n v="2024"/>
    <x v="7"/>
    <s v="首页推荐-微详情"/>
    <x v="1"/>
    <x v="0"/>
  </r>
  <r>
    <x v="1"/>
    <x v="146"/>
    <x v="1"/>
    <x v="4"/>
    <x v="19"/>
    <n v="527"/>
    <n v="199"/>
    <n v="3"/>
    <n v="2"/>
    <n v="0"/>
    <n v="0"/>
    <n v="0"/>
    <n v="0"/>
    <n v="14"/>
    <n v="122"/>
    <n v="2024"/>
    <x v="7"/>
    <s v="首页推荐-短视频"/>
    <x v="1"/>
    <x v="0"/>
  </r>
  <r>
    <x v="1"/>
    <x v="146"/>
    <x v="1"/>
    <x v="12"/>
    <x v="42"/>
    <n v="896"/>
    <n v="656"/>
    <n v="28"/>
    <n v="11"/>
    <n v="41970"/>
    <n v="5"/>
    <n v="28790"/>
    <n v="4"/>
    <n v="231"/>
    <n v="799"/>
    <n v="2024"/>
    <x v="7"/>
    <s v="手淘搜索-商品及其他"/>
    <x v="1"/>
    <x v="0"/>
  </r>
  <r>
    <x v="1"/>
    <x v="146"/>
    <x v="1"/>
    <x v="12"/>
    <x v="44"/>
    <n v="100"/>
    <n v="77"/>
    <n v="1"/>
    <n v="2"/>
    <n v="30730"/>
    <n v="2"/>
    <n v="19230"/>
    <n v="2"/>
    <n v="2"/>
    <n v="99"/>
    <n v="2024"/>
    <x v="7"/>
    <s v="手淘搜索-短视频"/>
    <x v="1"/>
    <x v="0"/>
  </r>
  <r>
    <x v="1"/>
    <x v="146"/>
    <x v="1"/>
    <x v="11"/>
    <x v="37"/>
    <n v="6"/>
    <n v="3"/>
    <n v="0"/>
    <n v="0"/>
    <n v="0"/>
    <n v="0"/>
    <n v="0"/>
    <n v="0"/>
    <n v="0"/>
    <n v="6"/>
    <n v="2024"/>
    <x v="7"/>
    <s v="淘特其他渠道"/>
    <x v="1"/>
    <x v="0"/>
  </r>
  <r>
    <x v="1"/>
    <x v="146"/>
    <x v="1"/>
    <x v="11"/>
    <x v="39"/>
    <n v="8"/>
    <n v="6"/>
    <n v="0"/>
    <n v="0"/>
    <n v="0"/>
    <n v="0"/>
    <n v="0"/>
    <n v="0"/>
    <n v="0"/>
    <n v="8"/>
    <n v="2024"/>
    <x v="7"/>
    <s v="淘特搜索"/>
    <x v="1"/>
    <x v="0"/>
  </r>
  <r>
    <x v="1"/>
    <x v="146"/>
    <x v="0"/>
    <x v="5"/>
    <x v="41"/>
    <n v="2"/>
    <n v="1"/>
    <n v="0"/>
    <n v="0"/>
    <n v="0"/>
    <n v="0"/>
    <n v="0"/>
    <n v="0"/>
    <n v="0"/>
    <n v="1"/>
    <n v="2024"/>
    <x v="7"/>
    <s v="超级直播"/>
    <x v="1"/>
    <x v="0"/>
  </r>
  <r>
    <x v="1"/>
    <x v="146"/>
    <x v="0"/>
    <x v="5"/>
    <x v="20"/>
    <n v="54"/>
    <n v="37"/>
    <n v="9"/>
    <n v="1"/>
    <n v="0"/>
    <n v="0"/>
    <n v="0"/>
    <n v="0"/>
    <n v="2"/>
    <n v="48"/>
    <n v="2024"/>
    <x v="7"/>
    <s v="超级短视频"/>
    <x v="1"/>
    <x v="0"/>
  </r>
  <r>
    <x v="1"/>
    <x v="146"/>
    <x v="0"/>
    <x v="6"/>
    <x v="48"/>
    <n v="1"/>
    <n v="0"/>
    <n v="0"/>
    <n v="0"/>
    <n v="0"/>
    <n v="0"/>
    <n v="0"/>
    <n v="0"/>
    <n v="1"/>
    <n v="0"/>
    <n v="2024"/>
    <x v="7"/>
    <s v="Showmax"/>
    <x v="1"/>
    <x v="0"/>
  </r>
  <r>
    <x v="1"/>
    <x v="146"/>
    <x v="0"/>
    <x v="6"/>
    <x v="30"/>
    <n v="1"/>
    <n v="1"/>
    <n v="0"/>
    <n v="0"/>
    <n v="0"/>
    <n v="0"/>
    <n v="0"/>
    <n v="0"/>
    <n v="1"/>
    <n v="0"/>
    <n v="2024"/>
    <x v="7"/>
    <s v="品牌特秀"/>
    <x v="1"/>
    <x v="0"/>
  </r>
  <r>
    <x v="1"/>
    <x v="146"/>
    <x v="0"/>
    <x v="6"/>
    <x v="21"/>
    <n v="610"/>
    <n v="507"/>
    <n v="8"/>
    <n v="2"/>
    <n v="9950"/>
    <n v="2"/>
    <n v="9950"/>
    <n v="2"/>
    <n v="610"/>
    <n v="327"/>
    <n v="2024"/>
    <x v="7"/>
    <s v="品销宝-品牌专区"/>
    <x v="1"/>
    <x v="0"/>
  </r>
  <r>
    <x v="1"/>
    <x v="146"/>
    <x v="0"/>
    <x v="0"/>
    <x v="2"/>
    <n v="2678"/>
    <n v="2212"/>
    <n v="34"/>
    <n v="11"/>
    <n v="61810"/>
    <n v="7"/>
    <n v="36545"/>
    <n v="5"/>
    <n v="225"/>
    <n v="2656"/>
    <n v="2024"/>
    <x v="7"/>
    <s v="直通车"/>
    <x v="1"/>
    <x v="0"/>
  </r>
  <r>
    <x v="1"/>
    <x v="146"/>
    <x v="0"/>
    <x v="0"/>
    <x v="0"/>
    <n v="2492"/>
    <n v="1340"/>
    <n v="103"/>
    <n v="65"/>
    <n v="110658"/>
    <n v="10"/>
    <n v="51700"/>
    <n v="7"/>
    <n v="153"/>
    <n v="2481"/>
    <n v="2024"/>
    <x v="7"/>
    <s v="万相台"/>
    <x v="1"/>
    <x v="0"/>
  </r>
  <r>
    <x v="1"/>
    <x v="146"/>
    <x v="0"/>
    <x v="0"/>
    <x v="1"/>
    <n v="3267"/>
    <n v="1204"/>
    <n v="58"/>
    <n v="19"/>
    <n v="24093"/>
    <n v="4"/>
    <n v="9655"/>
    <n v="2"/>
    <n v="188"/>
    <n v="3265"/>
    <n v="2024"/>
    <x v="7"/>
    <s v="引力魔方"/>
    <x v="1"/>
    <x v="0"/>
  </r>
  <r>
    <x v="1"/>
    <x v="146"/>
    <x v="0"/>
    <x v="7"/>
    <x v="23"/>
    <n v="3"/>
    <n v="2"/>
    <n v="0"/>
    <n v="0"/>
    <n v="0"/>
    <n v="0"/>
    <n v="0"/>
    <n v="0"/>
    <n v="0"/>
    <n v="3"/>
    <n v="2024"/>
    <x v="7"/>
    <s v="流量宝"/>
    <x v="1"/>
    <x v="0"/>
  </r>
  <r>
    <x v="1"/>
    <x v="146"/>
    <x v="0"/>
    <x v="7"/>
    <x v="24"/>
    <n v="191"/>
    <n v="63"/>
    <n v="3"/>
    <n v="1"/>
    <n v="0"/>
    <n v="0"/>
    <n v="0"/>
    <n v="0"/>
    <n v="15"/>
    <n v="188"/>
    <n v="2024"/>
    <x v="7"/>
    <s v="淘宝客"/>
    <x v="1"/>
    <x v="0"/>
  </r>
  <r>
    <x v="1"/>
    <x v="147"/>
    <x v="1"/>
    <x v="8"/>
    <x v="25"/>
    <n v="3"/>
    <n v="3"/>
    <n v="0"/>
    <n v="0"/>
    <n v="0"/>
    <n v="0"/>
    <n v="0"/>
    <n v="0"/>
    <n v="0"/>
    <n v="3"/>
    <n v="2024"/>
    <x v="7"/>
    <s v="主会场"/>
    <x v="1"/>
    <x v="0"/>
  </r>
  <r>
    <x v="1"/>
    <x v="147"/>
    <x v="1"/>
    <x v="8"/>
    <x v="26"/>
    <n v="2"/>
    <n v="1"/>
    <n v="1"/>
    <n v="0"/>
    <n v="0"/>
    <n v="0"/>
    <n v="0"/>
    <n v="0"/>
    <n v="0"/>
    <n v="2"/>
    <n v="2024"/>
    <x v="7"/>
    <s v="榜单会场"/>
    <x v="1"/>
    <x v="0"/>
  </r>
  <r>
    <x v="1"/>
    <x v="147"/>
    <x v="1"/>
    <x v="1"/>
    <x v="35"/>
    <n v="2"/>
    <n v="2"/>
    <n v="0"/>
    <n v="0"/>
    <n v="0"/>
    <n v="0"/>
    <n v="0"/>
    <n v="0"/>
    <n v="1"/>
    <n v="2"/>
    <n v="2024"/>
    <x v="7"/>
    <s v="搜索入口榜单"/>
    <x v="1"/>
    <x v="0"/>
  </r>
  <r>
    <x v="1"/>
    <x v="147"/>
    <x v="1"/>
    <x v="3"/>
    <x v="11"/>
    <n v="115"/>
    <n v="39"/>
    <n v="3"/>
    <n v="2"/>
    <n v="8865"/>
    <n v="3"/>
    <n v="8865"/>
    <n v="3"/>
    <n v="22"/>
    <n v="113"/>
    <n v="2024"/>
    <x v="7"/>
    <s v="商品详情页头图推荐"/>
    <x v="1"/>
    <x v="0"/>
  </r>
  <r>
    <x v="1"/>
    <x v="147"/>
    <x v="1"/>
    <x v="3"/>
    <x v="12"/>
    <n v="27"/>
    <n v="11"/>
    <n v="1"/>
    <n v="0"/>
    <n v="0"/>
    <n v="0"/>
    <n v="0"/>
    <n v="0"/>
    <n v="24"/>
    <n v="11"/>
    <n v="2024"/>
    <x v="7"/>
    <s v="店铺超链"/>
    <x v="1"/>
    <x v="0"/>
  </r>
  <r>
    <x v="1"/>
    <x v="147"/>
    <x v="1"/>
    <x v="4"/>
    <x v="13"/>
    <n v="281"/>
    <n v="122"/>
    <n v="1"/>
    <n v="3"/>
    <n v="10738"/>
    <n v="2"/>
    <n v="10738"/>
    <n v="2"/>
    <n v="49"/>
    <n v="234"/>
    <n v="2024"/>
    <x v="7"/>
    <s v="其他猜你喜欢"/>
    <x v="1"/>
    <x v="0"/>
  </r>
  <r>
    <x v="1"/>
    <x v="147"/>
    <x v="1"/>
    <x v="4"/>
    <x v="15"/>
    <n v="19"/>
    <n v="9"/>
    <n v="0"/>
    <n v="0"/>
    <n v="0"/>
    <n v="0"/>
    <n v="0"/>
    <n v="0"/>
    <n v="1"/>
    <n v="17"/>
    <n v="2024"/>
    <x v="7"/>
    <s v="购中推荐"/>
    <x v="1"/>
    <x v="0"/>
  </r>
  <r>
    <x v="1"/>
    <x v="147"/>
    <x v="1"/>
    <x v="4"/>
    <x v="16"/>
    <n v="106"/>
    <n v="61"/>
    <n v="1"/>
    <n v="0"/>
    <n v="0"/>
    <n v="0"/>
    <n v="0"/>
    <n v="0"/>
    <n v="5"/>
    <n v="93"/>
    <n v="2024"/>
    <x v="7"/>
    <s v="购后推荐"/>
    <x v="1"/>
    <x v="0"/>
  </r>
  <r>
    <x v="1"/>
    <x v="147"/>
    <x v="1"/>
    <x v="4"/>
    <x v="17"/>
    <n v="3255"/>
    <n v="1369"/>
    <n v="32"/>
    <n v="20"/>
    <n v="32110"/>
    <n v="7"/>
    <n v="23760"/>
    <n v="6"/>
    <n v="136"/>
    <n v="3255"/>
    <n v="2024"/>
    <x v="7"/>
    <s v="首页推荐-微详情"/>
    <x v="1"/>
    <x v="0"/>
  </r>
  <r>
    <x v="1"/>
    <x v="147"/>
    <x v="1"/>
    <x v="4"/>
    <x v="18"/>
    <n v="6"/>
    <n v="3"/>
    <n v="0"/>
    <n v="0"/>
    <n v="0"/>
    <n v="0"/>
    <n v="0"/>
    <n v="0"/>
    <n v="0"/>
    <n v="0"/>
    <n v="2024"/>
    <x v="7"/>
    <s v="首页推荐-直播"/>
    <x v="1"/>
    <x v="0"/>
  </r>
  <r>
    <x v="1"/>
    <x v="147"/>
    <x v="1"/>
    <x v="4"/>
    <x v="19"/>
    <n v="454"/>
    <n v="153"/>
    <n v="2"/>
    <n v="0"/>
    <n v="0"/>
    <n v="0"/>
    <n v="0"/>
    <n v="0"/>
    <n v="18"/>
    <n v="100"/>
    <n v="2024"/>
    <x v="7"/>
    <s v="首页推荐-短视频"/>
    <x v="1"/>
    <x v="0"/>
  </r>
  <r>
    <x v="1"/>
    <x v="147"/>
    <x v="1"/>
    <x v="12"/>
    <x v="42"/>
    <n v="1031"/>
    <n v="752"/>
    <n v="19"/>
    <n v="11"/>
    <n v="12192"/>
    <n v="3"/>
    <n v="7597"/>
    <n v="2"/>
    <n v="283"/>
    <n v="895"/>
    <n v="2024"/>
    <x v="7"/>
    <s v="手淘搜索-商品及其他"/>
    <x v="1"/>
    <x v="0"/>
  </r>
  <r>
    <x v="1"/>
    <x v="147"/>
    <x v="1"/>
    <x v="12"/>
    <x v="43"/>
    <n v="1"/>
    <n v="0"/>
    <n v="0"/>
    <n v="0"/>
    <n v="0"/>
    <n v="0"/>
    <n v="0"/>
    <n v="0"/>
    <n v="0"/>
    <n v="0"/>
    <n v="2024"/>
    <x v="7"/>
    <s v="手淘搜索-直播"/>
    <x v="1"/>
    <x v="0"/>
  </r>
  <r>
    <x v="1"/>
    <x v="147"/>
    <x v="1"/>
    <x v="12"/>
    <x v="44"/>
    <n v="198"/>
    <n v="166"/>
    <n v="1"/>
    <n v="0"/>
    <n v="5800"/>
    <n v="1"/>
    <n v="5800"/>
    <n v="1"/>
    <n v="4"/>
    <n v="191"/>
    <n v="2024"/>
    <x v="7"/>
    <s v="手淘搜索-短视频"/>
    <x v="1"/>
    <x v="0"/>
  </r>
  <r>
    <x v="1"/>
    <x v="147"/>
    <x v="1"/>
    <x v="11"/>
    <x v="37"/>
    <n v="4"/>
    <n v="3"/>
    <n v="0"/>
    <n v="0"/>
    <n v="0"/>
    <n v="0"/>
    <n v="0"/>
    <n v="0"/>
    <n v="0"/>
    <n v="4"/>
    <n v="2024"/>
    <x v="7"/>
    <s v="淘特其他渠道"/>
    <x v="1"/>
    <x v="0"/>
  </r>
  <r>
    <x v="1"/>
    <x v="147"/>
    <x v="1"/>
    <x v="11"/>
    <x v="39"/>
    <n v="13"/>
    <n v="13"/>
    <n v="0"/>
    <n v="0"/>
    <n v="0"/>
    <n v="0"/>
    <n v="0"/>
    <n v="0"/>
    <n v="0"/>
    <n v="13"/>
    <n v="2024"/>
    <x v="7"/>
    <s v="淘特搜索"/>
    <x v="1"/>
    <x v="0"/>
  </r>
  <r>
    <x v="1"/>
    <x v="147"/>
    <x v="0"/>
    <x v="5"/>
    <x v="41"/>
    <n v="5"/>
    <n v="1"/>
    <n v="0"/>
    <n v="0"/>
    <n v="0"/>
    <n v="0"/>
    <n v="0"/>
    <n v="0"/>
    <n v="0"/>
    <n v="2"/>
    <n v="2024"/>
    <x v="7"/>
    <s v="超级直播"/>
    <x v="1"/>
    <x v="0"/>
  </r>
  <r>
    <x v="1"/>
    <x v="147"/>
    <x v="0"/>
    <x v="5"/>
    <x v="20"/>
    <n v="45"/>
    <n v="30"/>
    <n v="3"/>
    <n v="5"/>
    <n v="0"/>
    <n v="0"/>
    <n v="0"/>
    <n v="0"/>
    <n v="2"/>
    <n v="38"/>
    <n v="2024"/>
    <x v="7"/>
    <s v="超级短视频"/>
    <x v="1"/>
    <x v="0"/>
  </r>
  <r>
    <x v="1"/>
    <x v="147"/>
    <x v="0"/>
    <x v="6"/>
    <x v="48"/>
    <n v="4"/>
    <n v="3"/>
    <n v="0"/>
    <n v="0"/>
    <n v="0"/>
    <n v="0"/>
    <n v="0"/>
    <n v="0"/>
    <n v="4"/>
    <n v="1"/>
    <n v="2024"/>
    <x v="7"/>
    <s v="Showmax"/>
    <x v="1"/>
    <x v="0"/>
  </r>
  <r>
    <x v="1"/>
    <x v="147"/>
    <x v="0"/>
    <x v="6"/>
    <x v="30"/>
    <n v="7"/>
    <n v="2"/>
    <n v="0"/>
    <n v="0"/>
    <n v="0"/>
    <n v="0"/>
    <n v="0"/>
    <n v="0"/>
    <n v="7"/>
    <n v="0"/>
    <n v="2024"/>
    <x v="7"/>
    <s v="品牌特秀"/>
    <x v="1"/>
    <x v="0"/>
  </r>
  <r>
    <x v="1"/>
    <x v="147"/>
    <x v="0"/>
    <x v="6"/>
    <x v="21"/>
    <n v="665"/>
    <n v="529"/>
    <n v="11"/>
    <n v="3"/>
    <n v="5917"/>
    <n v="4"/>
    <n v="5917"/>
    <n v="4"/>
    <n v="665"/>
    <n v="353"/>
    <n v="2024"/>
    <x v="7"/>
    <s v="品销宝-品牌专区"/>
    <x v="1"/>
    <x v="0"/>
  </r>
  <r>
    <x v="1"/>
    <x v="147"/>
    <x v="0"/>
    <x v="0"/>
    <x v="2"/>
    <n v="2505"/>
    <n v="2026"/>
    <n v="31"/>
    <n v="11"/>
    <n v="48637"/>
    <n v="7"/>
    <n v="24292"/>
    <n v="5"/>
    <n v="220"/>
    <n v="2487"/>
    <n v="2024"/>
    <x v="7"/>
    <s v="直通车"/>
    <x v="1"/>
    <x v="0"/>
  </r>
  <r>
    <x v="1"/>
    <x v="147"/>
    <x v="0"/>
    <x v="0"/>
    <x v="0"/>
    <n v="2589"/>
    <n v="1164"/>
    <n v="110"/>
    <n v="54"/>
    <n v="15850"/>
    <n v="5"/>
    <n v="15850"/>
    <n v="5"/>
    <n v="150"/>
    <n v="2581"/>
    <n v="2024"/>
    <x v="7"/>
    <s v="万相台"/>
    <x v="1"/>
    <x v="0"/>
  </r>
  <r>
    <x v="1"/>
    <x v="147"/>
    <x v="0"/>
    <x v="0"/>
    <x v="1"/>
    <n v="2847"/>
    <n v="765"/>
    <n v="37"/>
    <n v="23"/>
    <n v="25170"/>
    <n v="3"/>
    <n v="3670"/>
    <n v="2"/>
    <n v="136"/>
    <n v="2845"/>
    <n v="2024"/>
    <x v="7"/>
    <s v="引力魔方"/>
    <x v="1"/>
    <x v="0"/>
  </r>
  <r>
    <x v="1"/>
    <x v="147"/>
    <x v="0"/>
    <x v="7"/>
    <x v="24"/>
    <n v="259"/>
    <n v="87"/>
    <n v="4"/>
    <n v="0"/>
    <n v="4995"/>
    <n v="1"/>
    <n v="4995"/>
    <n v="1"/>
    <n v="23"/>
    <n v="254"/>
    <n v="2024"/>
    <x v="7"/>
    <s v="淘宝客"/>
    <x v="1"/>
    <x v="0"/>
  </r>
  <r>
    <x v="1"/>
    <x v="148"/>
    <x v="1"/>
    <x v="8"/>
    <x v="25"/>
    <n v="404"/>
    <n v="280"/>
    <n v="8"/>
    <n v="4"/>
    <n v="18615"/>
    <n v="6"/>
    <n v="13685"/>
    <n v="5"/>
    <n v="31"/>
    <n v="393"/>
    <n v="2024"/>
    <x v="7"/>
    <s v="主会场"/>
    <x v="1"/>
    <x v="2"/>
  </r>
  <r>
    <x v="1"/>
    <x v="148"/>
    <x v="1"/>
    <x v="8"/>
    <x v="26"/>
    <n v="11"/>
    <n v="9"/>
    <n v="0"/>
    <n v="0"/>
    <n v="0"/>
    <n v="0"/>
    <n v="0"/>
    <n v="0"/>
    <n v="1"/>
    <n v="11"/>
    <n v="2024"/>
    <x v="7"/>
    <s v="榜单会场"/>
    <x v="1"/>
    <x v="2"/>
  </r>
  <r>
    <x v="1"/>
    <x v="148"/>
    <x v="1"/>
    <x v="1"/>
    <x v="3"/>
    <n v="62"/>
    <n v="58"/>
    <n v="1"/>
    <n v="0"/>
    <n v="0"/>
    <n v="0"/>
    <n v="0"/>
    <n v="0"/>
    <n v="3"/>
    <n v="62"/>
    <n v="2024"/>
    <x v="7"/>
    <s v="其他入口榜单"/>
    <x v="1"/>
    <x v="2"/>
  </r>
  <r>
    <x v="1"/>
    <x v="148"/>
    <x v="1"/>
    <x v="1"/>
    <x v="35"/>
    <n v="1"/>
    <n v="1"/>
    <n v="0"/>
    <n v="0"/>
    <n v="0"/>
    <n v="0"/>
    <n v="0"/>
    <n v="0"/>
    <n v="0"/>
    <n v="1"/>
    <n v="2024"/>
    <x v="7"/>
    <s v="搜索入口榜单"/>
    <x v="1"/>
    <x v="2"/>
  </r>
  <r>
    <x v="1"/>
    <x v="148"/>
    <x v="1"/>
    <x v="3"/>
    <x v="11"/>
    <n v="338"/>
    <n v="131"/>
    <n v="16"/>
    <n v="6"/>
    <n v="38537"/>
    <n v="8"/>
    <n v="27757"/>
    <n v="5"/>
    <n v="67"/>
    <n v="326"/>
    <n v="2024"/>
    <x v="7"/>
    <s v="商品详情页头图推荐"/>
    <x v="1"/>
    <x v="2"/>
  </r>
  <r>
    <x v="1"/>
    <x v="148"/>
    <x v="1"/>
    <x v="3"/>
    <x v="12"/>
    <n v="81"/>
    <n v="44"/>
    <n v="8"/>
    <n v="1"/>
    <n v="10335"/>
    <n v="4"/>
    <n v="10335"/>
    <n v="4"/>
    <n v="75"/>
    <n v="34"/>
    <n v="2024"/>
    <x v="7"/>
    <s v="店铺超链"/>
    <x v="1"/>
    <x v="2"/>
  </r>
  <r>
    <x v="1"/>
    <x v="148"/>
    <x v="0"/>
    <x v="6"/>
    <x v="30"/>
    <n v="1385"/>
    <n v="1079"/>
    <n v="10"/>
    <n v="3"/>
    <n v="40640"/>
    <n v="7"/>
    <n v="34240"/>
    <n v="7"/>
    <n v="1120"/>
    <n v="290"/>
    <n v="2024"/>
    <x v="7"/>
    <s v="其他猜你喜欢"/>
    <x v="1"/>
    <x v="2"/>
  </r>
  <r>
    <x v="1"/>
    <x v="148"/>
    <x v="1"/>
    <x v="4"/>
    <x v="15"/>
    <n v="37"/>
    <n v="17"/>
    <n v="0"/>
    <n v="0"/>
    <n v="0"/>
    <n v="0"/>
    <n v="0"/>
    <n v="0"/>
    <n v="5"/>
    <n v="31"/>
    <n v="2024"/>
    <x v="7"/>
    <s v="购中推荐"/>
    <x v="1"/>
    <x v="2"/>
  </r>
  <r>
    <x v="1"/>
    <x v="148"/>
    <x v="1"/>
    <x v="4"/>
    <x v="16"/>
    <n v="174"/>
    <n v="110"/>
    <n v="0"/>
    <n v="2"/>
    <n v="13125"/>
    <n v="2"/>
    <n v="9300"/>
    <n v="2"/>
    <n v="45"/>
    <n v="86"/>
    <n v="2024"/>
    <x v="7"/>
    <s v="购后推荐"/>
    <x v="1"/>
    <x v="2"/>
  </r>
  <r>
    <x v="1"/>
    <x v="148"/>
    <x v="1"/>
    <x v="4"/>
    <x v="17"/>
    <n v="6066"/>
    <n v="3531"/>
    <n v="86"/>
    <n v="27"/>
    <n v="240445.35"/>
    <n v="44"/>
    <n v="127742.85"/>
    <n v="37"/>
    <n v="273"/>
    <n v="6066"/>
    <n v="2024"/>
    <x v="7"/>
    <s v="首页推荐-微详情"/>
    <x v="1"/>
    <x v="2"/>
  </r>
  <r>
    <x v="1"/>
    <x v="148"/>
    <x v="1"/>
    <x v="4"/>
    <x v="18"/>
    <n v="318"/>
    <n v="168"/>
    <n v="4"/>
    <n v="0"/>
    <n v="20275"/>
    <n v="3"/>
    <n v="17525"/>
    <n v="3"/>
    <n v="7"/>
    <n v="52"/>
    <n v="2024"/>
    <x v="7"/>
    <s v="首页推荐-直播"/>
    <x v="1"/>
    <x v="2"/>
  </r>
  <r>
    <x v="1"/>
    <x v="148"/>
    <x v="1"/>
    <x v="4"/>
    <x v="19"/>
    <n v="784"/>
    <n v="352"/>
    <n v="8"/>
    <n v="1"/>
    <n v="5188"/>
    <n v="3"/>
    <n v="5188"/>
    <n v="3"/>
    <n v="34"/>
    <n v="179"/>
    <n v="2024"/>
    <x v="7"/>
    <s v="首页推荐-短视频"/>
    <x v="1"/>
    <x v="2"/>
  </r>
  <r>
    <x v="1"/>
    <x v="148"/>
    <x v="1"/>
    <x v="12"/>
    <x v="42"/>
    <n v="2296"/>
    <n v="1761"/>
    <n v="292"/>
    <n v="24"/>
    <n v="500748.11"/>
    <n v="119"/>
    <n v="403140.61"/>
    <n v="105"/>
    <n v="538"/>
    <n v="2124"/>
    <n v="2024"/>
    <x v="7"/>
    <s v="手淘搜索-商品及其他"/>
    <x v="1"/>
    <x v="2"/>
  </r>
  <r>
    <x v="1"/>
    <x v="148"/>
    <x v="1"/>
    <x v="12"/>
    <x v="43"/>
    <n v="36"/>
    <n v="15"/>
    <n v="3"/>
    <n v="0"/>
    <n v="13646.73"/>
    <n v="3"/>
    <n v="9821.73"/>
    <n v="3"/>
    <n v="2"/>
    <n v="26"/>
    <n v="2024"/>
    <x v="7"/>
    <s v="手淘搜索-直播"/>
    <x v="1"/>
    <x v="2"/>
  </r>
  <r>
    <x v="1"/>
    <x v="148"/>
    <x v="1"/>
    <x v="12"/>
    <x v="44"/>
    <n v="316"/>
    <n v="277"/>
    <n v="6"/>
    <n v="2"/>
    <n v="12190"/>
    <n v="2"/>
    <n v="12190"/>
    <n v="2"/>
    <n v="11"/>
    <n v="315"/>
    <n v="2024"/>
    <x v="7"/>
    <s v="手淘搜索-短视频"/>
    <x v="1"/>
    <x v="2"/>
  </r>
  <r>
    <x v="1"/>
    <x v="148"/>
    <x v="1"/>
    <x v="11"/>
    <x v="37"/>
    <n v="8"/>
    <n v="7"/>
    <n v="0"/>
    <n v="0"/>
    <n v="0"/>
    <n v="0"/>
    <n v="0"/>
    <n v="0"/>
    <n v="0"/>
    <n v="8"/>
    <n v="2024"/>
    <x v="7"/>
    <s v="淘特其他渠道"/>
    <x v="1"/>
    <x v="2"/>
  </r>
  <r>
    <x v="1"/>
    <x v="148"/>
    <x v="1"/>
    <x v="11"/>
    <x v="39"/>
    <n v="22"/>
    <n v="20"/>
    <n v="0"/>
    <n v="0"/>
    <n v="0"/>
    <n v="0"/>
    <n v="0"/>
    <n v="0"/>
    <n v="0"/>
    <n v="22"/>
    <n v="2024"/>
    <x v="7"/>
    <s v="淘特搜索"/>
    <x v="1"/>
    <x v="2"/>
  </r>
  <r>
    <x v="1"/>
    <x v="148"/>
    <x v="0"/>
    <x v="5"/>
    <x v="41"/>
    <n v="1143"/>
    <n v="687"/>
    <n v="29"/>
    <n v="1"/>
    <n v="0"/>
    <n v="0"/>
    <n v="0"/>
    <n v="0"/>
    <n v="35"/>
    <n v="181"/>
    <n v="2024"/>
    <x v="7"/>
    <s v="超级直播"/>
    <x v="1"/>
    <x v="2"/>
  </r>
  <r>
    <x v="1"/>
    <x v="148"/>
    <x v="0"/>
    <x v="5"/>
    <x v="20"/>
    <n v="98"/>
    <n v="60"/>
    <n v="14"/>
    <n v="1"/>
    <n v="0"/>
    <n v="0"/>
    <n v="0"/>
    <n v="0"/>
    <n v="2"/>
    <n v="67"/>
    <n v="2024"/>
    <x v="7"/>
    <s v="超级短视频"/>
    <x v="1"/>
    <x v="2"/>
  </r>
  <r>
    <x v="1"/>
    <x v="148"/>
    <x v="0"/>
    <x v="6"/>
    <x v="48"/>
    <n v="531"/>
    <n v="443"/>
    <n v="0"/>
    <n v="0"/>
    <n v="0"/>
    <n v="0"/>
    <n v="0"/>
    <n v="0"/>
    <n v="531"/>
    <n v="83"/>
    <n v="2024"/>
    <x v="7"/>
    <s v="Showmax"/>
    <x v="1"/>
    <x v="2"/>
  </r>
  <r>
    <x v="1"/>
    <x v="148"/>
    <x v="0"/>
    <x v="6"/>
    <x v="30"/>
    <n v="605"/>
    <n v="506"/>
    <n v="0"/>
    <n v="0"/>
    <n v="0"/>
    <n v="0"/>
    <n v="0"/>
    <n v="0"/>
    <n v="605"/>
    <n v="152"/>
    <n v="2024"/>
    <x v="7"/>
    <s v="品牌特秀"/>
    <x v="1"/>
    <x v="2"/>
  </r>
  <r>
    <x v="1"/>
    <x v="148"/>
    <x v="0"/>
    <x v="6"/>
    <x v="21"/>
    <n v="853"/>
    <n v="658"/>
    <n v="42"/>
    <n v="5"/>
    <n v="81461"/>
    <n v="24"/>
    <n v="71501"/>
    <n v="20"/>
    <n v="853"/>
    <n v="494"/>
    <n v="2024"/>
    <x v="7"/>
    <s v="品销宝-品牌专区"/>
    <x v="1"/>
    <x v="2"/>
  </r>
  <r>
    <x v="1"/>
    <x v="148"/>
    <x v="0"/>
    <x v="0"/>
    <x v="2"/>
    <n v="5125"/>
    <n v="4398"/>
    <n v="283"/>
    <n v="31"/>
    <n v="434241"/>
    <n v="94"/>
    <n v="357703"/>
    <n v="87"/>
    <n v="422"/>
    <n v="5087"/>
    <n v="2024"/>
    <x v="7"/>
    <s v="直通车"/>
    <x v="1"/>
    <x v="2"/>
  </r>
  <r>
    <x v="1"/>
    <x v="148"/>
    <x v="0"/>
    <x v="0"/>
    <x v="0"/>
    <n v="4159"/>
    <n v="1963"/>
    <n v="261"/>
    <n v="64"/>
    <n v="299521.67"/>
    <n v="67"/>
    <n v="274068.67"/>
    <n v="63"/>
    <n v="391"/>
    <n v="4142"/>
    <n v="2024"/>
    <x v="7"/>
    <s v="万相台"/>
    <x v="1"/>
    <x v="2"/>
  </r>
  <r>
    <x v="1"/>
    <x v="148"/>
    <x v="0"/>
    <x v="0"/>
    <x v="1"/>
    <n v="7258"/>
    <n v="3293"/>
    <n v="153"/>
    <n v="71"/>
    <n v="156167.76999999999"/>
    <n v="33"/>
    <n v="113282.77"/>
    <n v="27"/>
    <n v="615"/>
    <n v="7258"/>
    <n v="2024"/>
    <x v="7"/>
    <s v="引力魔方"/>
    <x v="1"/>
    <x v="2"/>
  </r>
  <r>
    <x v="1"/>
    <x v="148"/>
    <x v="0"/>
    <x v="7"/>
    <x v="23"/>
    <n v="1"/>
    <n v="0"/>
    <n v="0"/>
    <n v="0"/>
    <n v="0"/>
    <n v="0"/>
    <n v="0"/>
    <n v="0"/>
    <n v="0"/>
    <n v="1"/>
    <n v="2024"/>
    <x v="7"/>
    <s v="流量宝"/>
    <x v="1"/>
    <x v="2"/>
  </r>
  <r>
    <x v="1"/>
    <x v="148"/>
    <x v="0"/>
    <x v="7"/>
    <x v="24"/>
    <n v="341"/>
    <n v="142"/>
    <n v="12"/>
    <n v="0"/>
    <n v="14026.14"/>
    <n v="5"/>
    <n v="12988.14"/>
    <n v="5"/>
    <n v="27"/>
    <n v="334"/>
    <n v="2024"/>
    <x v="7"/>
    <s v="淘宝客"/>
    <x v="1"/>
    <x v="2"/>
  </r>
  <r>
    <x v="1"/>
    <x v="149"/>
    <x v="1"/>
    <x v="8"/>
    <x v="25"/>
    <n v="292"/>
    <n v="173"/>
    <n v="6"/>
    <n v="6"/>
    <n v="5093"/>
    <n v="2"/>
    <n v="2298"/>
    <n v="1"/>
    <n v="22"/>
    <n v="288"/>
    <n v="2024"/>
    <x v="7"/>
    <s v="主会场"/>
    <x v="1"/>
    <x v="2"/>
  </r>
  <r>
    <x v="1"/>
    <x v="149"/>
    <x v="1"/>
    <x v="8"/>
    <x v="26"/>
    <n v="23"/>
    <n v="22"/>
    <n v="1"/>
    <n v="1"/>
    <n v="0"/>
    <n v="0"/>
    <n v="0"/>
    <n v="0"/>
    <n v="4"/>
    <n v="23"/>
    <n v="2024"/>
    <x v="7"/>
    <s v="榜单会场"/>
    <x v="1"/>
    <x v="2"/>
  </r>
  <r>
    <x v="1"/>
    <x v="149"/>
    <x v="1"/>
    <x v="1"/>
    <x v="3"/>
    <n v="49"/>
    <n v="42"/>
    <n v="1"/>
    <n v="0"/>
    <n v="0"/>
    <n v="0"/>
    <n v="0"/>
    <n v="0"/>
    <n v="6"/>
    <n v="49"/>
    <n v="2024"/>
    <x v="7"/>
    <s v="其他入口榜单"/>
    <x v="1"/>
    <x v="2"/>
  </r>
  <r>
    <x v="1"/>
    <x v="149"/>
    <x v="1"/>
    <x v="1"/>
    <x v="28"/>
    <n v="3"/>
    <n v="2"/>
    <n v="0"/>
    <n v="0"/>
    <n v="0"/>
    <n v="0"/>
    <n v="0"/>
    <n v="0"/>
    <n v="0"/>
    <n v="3"/>
    <n v="2024"/>
    <x v="7"/>
    <s v="商品详情页入口榜单"/>
    <x v="1"/>
    <x v="2"/>
  </r>
  <r>
    <x v="1"/>
    <x v="149"/>
    <x v="1"/>
    <x v="1"/>
    <x v="35"/>
    <n v="5"/>
    <n v="3"/>
    <n v="1"/>
    <n v="0"/>
    <n v="0"/>
    <n v="0"/>
    <n v="0"/>
    <n v="0"/>
    <n v="0"/>
    <n v="5"/>
    <n v="2024"/>
    <x v="7"/>
    <s v="搜索入口榜单"/>
    <x v="1"/>
    <x v="2"/>
  </r>
  <r>
    <x v="1"/>
    <x v="149"/>
    <x v="1"/>
    <x v="3"/>
    <x v="11"/>
    <n v="444"/>
    <n v="196"/>
    <n v="20"/>
    <n v="9"/>
    <n v="35354"/>
    <n v="9"/>
    <n v="35354"/>
    <n v="9"/>
    <n v="107"/>
    <n v="435"/>
    <n v="2024"/>
    <x v="7"/>
    <s v="商品详情页头图推荐"/>
    <x v="1"/>
    <x v="2"/>
  </r>
  <r>
    <x v="1"/>
    <x v="149"/>
    <x v="1"/>
    <x v="3"/>
    <x v="12"/>
    <n v="109"/>
    <n v="65"/>
    <n v="7"/>
    <n v="1"/>
    <n v="19137"/>
    <n v="4"/>
    <n v="15342"/>
    <n v="3"/>
    <n v="95"/>
    <n v="55"/>
    <n v="2024"/>
    <x v="7"/>
    <s v="店铺超链"/>
    <x v="1"/>
    <x v="2"/>
  </r>
  <r>
    <x v="1"/>
    <x v="149"/>
    <x v="0"/>
    <x v="6"/>
    <x v="30"/>
    <n v="1571"/>
    <n v="1190"/>
    <n v="8"/>
    <n v="5"/>
    <n v="7955"/>
    <n v="2"/>
    <n v="7955"/>
    <n v="2"/>
    <n v="1280"/>
    <n v="336"/>
    <n v="2024"/>
    <x v="7"/>
    <s v="其他猜你喜欢"/>
    <x v="1"/>
    <x v="2"/>
  </r>
  <r>
    <x v="1"/>
    <x v="149"/>
    <x v="1"/>
    <x v="4"/>
    <x v="15"/>
    <n v="32"/>
    <n v="13"/>
    <n v="0"/>
    <n v="0"/>
    <n v="0"/>
    <n v="0"/>
    <n v="0"/>
    <n v="0"/>
    <n v="6"/>
    <n v="20"/>
    <n v="2024"/>
    <x v="7"/>
    <s v="购中推荐"/>
    <x v="1"/>
    <x v="2"/>
  </r>
  <r>
    <x v="1"/>
    <x v="149"/>
    <x v="1"/>
    <x v="4"/>
    <x v="16"/>
    <n v="156"/>
    <n v="93"/>
    <n v="3"/>
    <n v="1"/>
    <n v="0"/>
    <n v="0"/>
    <n v="0"/>
    <n v="0"/>
    <n v="42"/>
    <n v="91"/>
    <n v="2024"/>
    <x v="7"/>
    <s v="购后推荐"/>
    <x v="1"/>
    <x v="2"/>
  </r>
  <r>
    <x v="1"/>
    <x v="149"/>
    <x v="1"/>
    <x v="4"/>
    <x v="17"/>
    <n v="5375"/>
    <n v="2819"/>
    <n v="116"/>
    <n v="32"/>
    <n v="98668.5"/>
    <n v="25"/>
    <n v="77963.5"/>
    <n v="21"/>
    <n v="318"/>
    <n v="5375"/>
    <n v="2024"/>
    <x v="7"/>
    <s v="首页推荐-微详情"/>
    <x v="1"/>
    <x v="2"/>
  </r>
  <r>
    <x v="1"/>
    <x v="149"/>
    <x v="1"/>
    <x v="4"/>
    <x v="18"/>
    <n v="450"/>
    <n v="276"/>
    <n v="3"/>
    <n v="1"/>
    <n v="11565"/>
    <n v="2"/>
    <n v="5475"/>
    <n v="1"/>
    <n v="7"/>
    <n v="56"/>
    <n v="2024"/>
    <x v="7"/>
    <s v="首页推荐-直播"/>
    <x v="1"/>
    <x v="2"/>
  </r>
  <r>
    <x v="1"/>
    <x v="149"/>
    <x v="1"/>
    <x v="4"/>
    <x v="19"/>
    <n v="863"/>
    <n v="389"/>
    <n v="9"/>
    <n v="5"/>
    <n v="19292.5"/>
    <n v="5"/>
    <n v="19292.5"/>
    <n v="5"/>
    <n v="33"/>
    <n v="201"/>
    <n v="2024"/>
    <x v="7"/>
    <s v="首页推荐-短视频"/>
    <x v="1"/>
    <x v="2"/>
  </r>
  <r>
    <x v="1"/>
    <x v="149"/>
    <x v="1"/>
    <x v="12"/>
    <x v="42"/>
    <n v="2109"/>
    <n v="1642"/>
    <n v="233"/>
    <n v="27"/>
    <n v="244939"/>
    <n v="57"/>
    <n v="220196"/>
    <n v="51"/>
    <n v="530"/>
    <n v="1933"/>
    <n v="2024"/>
    <x v="7"/>
    <s v="手淘搜索-商品及其他"/>
    <x v="1"/>
    <x v="2"/>
  </r>
  <r>
    <x v="1"/>
    <x v="149"/>
    <x v="1"/>
    <x v="12"/>
    <x v="43"/>
    <n v="41"/>
    <n v="23"/>
    <n v="1"/>
    <n v="0"/>
    <n v="2298"/>
    <n v="1"/>
    <n v="0"/>
    <n v="0"/>
    <n v="3"/>
    <n v="30"/>
    <n v="2024"/>
    <x v="7"/>
    <s v="手淘搜索-直播"/>
    <x v="1"/>
    <x v="2"/>
  </r>
  <r>
    <x v="1"/>
    <x v="149"/>
    <x v="1"/>
    <x v="12"/>
    <x v="44"/>
    <n v="331"/>
    <n v="276"/>
    <n v="4"/>
    <n v="3"/>
    <n v="13325"/>
    <n v="3"/>
    <n v="8335"/>
    <n v="2"/>
    <n v="17"/>
    <n v="326"/>
    <n v="2024"/>
    <x v="7"/>
    <s v="手淘搜索-短视频"/>
    <x v="1"/>
    <x v="2"/>
  </r>
  <r>
    <x v="1"/>
    <x v="149"/>
    <x v="1"/>
    <x v="11"/>
    <x v="37"/>
    <n v="6"/>
    <n v="6"/>
    <n v="0"/>
    <n v="0"/>
    <n v="0"/>
    <n v="0"/>
    <n v="0"/>
    <n v="0"/>
    <n v="0"/>
    <n v="6"/>
    <n v="2024"/>
    <x v="7"/>
    <s v="淘特其他渠道"/>
    <x v="1"/>
    <x v="2"/>
  </r>
  <r>
    <x v="1"/>
    <x v="149"/>
    <x v="1"/>
    <x v="11"/>
    <x v="38"/>
    <n v="1"/>
    <n v="0"/>
    <n v="0"/>
    <n v="0"/>
    <n v="4940"/>
    <n v="1"/>
    <n v="4940"/>
    <n v="1"/>
    <n v="0"/>
    <n v="1"/>
    <n v="2024"/>
    <x v="7"/>
    <s v="淘特推荐"/>
    <x v="1"/>
    <x v="2"/>
  </r>
  <r>
    <x v="1"/>
    <x v="149"/>
    <x v="1"/>
    <x v="11"/>
    <x v="39"/>
    <n v="20"/>
    <n v="20"/>
    <n v="0"/>
    <n v="0"/>
    <n v="0"/>
    <n v="0"/>
    <n v="0"/>
    <n v="0"/>
    <n v="0"/>
    <n v="20"/>
    <n v="2024"/>
    <x v="7"/>
    <s v="淘特搜索"/>
    <x v="1"/>
    <x v="2"/>
  </r>
  <r>
    <x v="1"/>
    <x v="149"/>
    <x v="0"/>
    <x v="5"/>
    <x v="41"/>
    <n v="1237"/>
    <n v="869"/>
    <n v="18"/>
    <n v="2"/>
    <n v="0"/>
    <n v="0"/>
    <n v="0"/>
    <n v="0"/>
    <n v="31"/>
    <n v="181"/>
    <n v="2024"/>
    <x v="7"/>
    <s v="超级直播"/>
    <x v="1"/>
    <x v="2"/>
  </r>
  <r>
    <x v="1"/>
    <x v="149"/>
    <x v="0"/>
    <x v="5"/>
    <x v="20"/>
    <n v="118"/>
    <n v="77"/>
    <n v="12"/>
    <n v="7"/>
    <n v="0"/>
    <n v="0"/>
    <n v="0"/>
    <n v="0"/>
    <n v="1"/>
    <n v="94"/>
    <n v="2024"/>
    <x v="7"/>
    <s v="超级短视频"/>
    <x v="1"/>
    <x v="2"/>
  </r>
  <r>
    <x v="1"/>
    <x v="149"/>
    <x v="0"/>
    <x v="6"/>
    <x v="48"/>
    <n v="524"/>
    <n v="443"/>
    <n v="0"/>
    <n v="0"/>
    <n v="0"/>
    <n v="0"/>
    <n v="0"/>
    <n v="0"/>
    <n v="524"/>
    <n v="99"/>
    <n v="2024"/>
    <x v="7"/>
    <s v="Showmax"/>
    <x v="1"/>
    <x v="2"/>
  </r>
  <r>
    <x v="1"/>
    <x v="149"/>
    <x v="0"/>
    <x v="6"/>
    <x v="30"/>
    <n v="580"/>
    <n v="492"/>
    <n v="0"/>
    <n v="0"/>
    <n v="0"/>
    <n v="0"/>
    <n v="0"/>
    <n v="0"/>
    <n v="580"/>
    <n v="167"/>
    <n v="2024"/>
    <x v="7"/>
    <s v="品牌特秀"/>
    <x v="1"/>
    <x v="2"/>
  </r>
  <r>
    <x v="1"/>
    <x v="149"/>
    <x v="0"/>
    <x v="6"/>
    <x v="21"/>
    <n v="884"/>
    <n v="725"/>
    <n v="48"/>
    <n v="11"/>
    <n v="69336"/>
    <n v="21"/>
    <n v="61322"/>
    <n v="19"/>
    <n v="884"/>
    <n v="504"/>
    <n v="2024"/>
    <x v="7"/>
    <s v="品销宝-品牌专区"/>
    <x v="1"/>
    <x v="2"/>
  </r>
  <r>
    <x v="1"/>
    <x v="149"/>
    <x v="0"/>
    <x v="6"/>
    <x v="49"/>
    <n v="1"/>
    <n v="0"/>
    <n v="0"/>
    <n v="0"/>
    <n v="0"/>
    <n v="0"/>
    <n v="0"/>
    <n v="0"/>
    <n v="1"/>
    <n v="0"/>
    <n v="2024"/>
    <x v="7"/>
    <s v="超级全域通"/>
    <x v="1"/>
    <x v="2"/>
  </r>
  <r>
    <x v="1"/>
    <x v="149"/>
    <x v="0"/>
    <x v="0"/>
    <x v="2"/>
    <n v="5171"/>
    <n v="4430"/>
    <n v="353"/>
    <n v="27"/>
    <n v="412025"/>
    <n v="107"/>
    <n v="322272"/>
    <n v="95"/>
    <n v="480"/>
    <n v="5129"/>
    <n v="2024"/>
    <x v="7"/>
    <s v="直通车"/>
    <x v="1"/>
    <x v="2"/>
  </r>
  <r>
    <x v="1"/>
    <x v="149"/>
    <x v="0"/>
    <x v="0"/>
    <x v="0"/>
    <n v="4505"/>
    <n v="2169"/>
    <n v="254"/>
    <n v="83"/>
    <n v="250177"/>
    <n v="66"/>
    <n v="231810"/>
    <n v="64"/>
    <n v="418"/>
    <n v="4495"/>
    <n v="2024"/>
    <x v="7"/>
    <s v="万相台"/>
    <x v="1"/>
    <x v="2"/>
  </r>
  <r>
    <x v="1"/>
    <x v="149"/>
    <x v="0"/>
    <x v="0"/>
    <x v="1"/>
    <n v="7859"/>
    <n v="3825"/>
    <n v="180"/>
    <n v="100"/>
    <n v="108433"/>
    <n v="29"/>
    <n v="82210"/>
    <n v="23"/>
    <n v="669"/>
    <n v="7854"/>
    <n v="2024"/>
    <x v="7"/>
    <s v="引力魔方"/>
    <x v="1"/>
    <x v="2"/>
  </r>
  <r>
    <x v="1"/>
    <x v="149"/>
    <x v="0"/>
    <x v="7"/>
    <x v="22"/>
    <n v="1"/>
    <n v="1"/>
    <n v="0"/>
    <n v="0"/>
    <n v="0"/>
    <n v="0"/>
    <n v="0"/>
    <n v="0"/>
    <n v="0"/>
    <n v="1"/>
    <n v="2024"/>
    <x v="7"/>
    <s v="UD效果投放"/>
    <x v="1"/>
    <x v="2"/>
  </r>
  <r>
    <x v="1"/>
    <x v="149"/>
    <x v="0"/>
    <x v="7"/>
    <x v="23"/>
    <n v="3"/>
    <n v="2"/>
    <n v="0"/>
    <n v="0"/>
    <n v="0"/>
    <n v="0"/>
    <n v="0"/>
    <n v="0"/>
    <n v="0"/>
    <n v="3"/>
    <n v="2024"/>
    <x v="7"/>
    <s v="流量宝"/>
    <x v="1"/>
    <x v="2"/>
  </r>
  <r>
    <x v="1"/>
    <x v="149"/>
    <x v="0"/>
    <x v="7"/>
    <x v="24"/>
    <n v="385"/>
    <n v="150"/>
    <n v="14"/>
    <n v="1"/>
    <n v="27451"/>
    <n v="6"/>
    <n v="27451"/>
    <n v="6"/>
    <n v="36"/>
    <n v="372"/>
    <n v="2024"/>
    <x v="7"/>
    <s v="淘宝客"/>
    <x v="1"/>
    <x v="2"/>
  </r>
  <r>
    <x v="1"/>
    <x v="150"/>
    <x v="1"/>
    <x v="8"/>
    <x v="25"/>
    <n v="197"/>
    <n v="121"/>
    <n v="3"/>
    <n v="1"/>
    <n v="3960"/>
    <n v="1"/>
    <n v="1980"/>
    <n v="1"/>
    <n v="16"/>
    <n v="194"/>
    <n v="2024"/>
    <x v="7"/>
    <s v="主会场"/>
    <x v="1"/>
    <x v="2"/>
  </r>
  <r>
    <x v="1"/>
    <x v="150"/>
    <x v="1"/>
    <x v="8"/>
    <x v="26"/>
    <n v="7"/>
    <n v="6"/>
    <n v="0"/>
    <n v="0"/>
    <n v="0"/>
    <n v="0"/>
    <n v="0"/>
    <n v="0"/>
    <n v="3"/>
    <n v="7"/>
    <n v="2024"/>
    <x v="7"/>
    <s v="榜单会场"/>
    <x v="1"/>
    <x v="2"/>
  </r>
  <r>
    <x v="1"/>
    <x v="150"/>
    <x v="1"/>
    <x v="1"/>
    <x v="3"/>
    <n v="14"/>
    <n v="12"/>
    <n v="0"/>
    <n v="0"/>
    <n v="0"/>
    <n v="0"/>
    <n v="0"/>
    <n v="0"/>
    <n v="2"/>
    <n v="14"/>
    <n v="2024"/>
    <x v="7"/>
    <s v="其他入口榜单"/>
    <x v="1"/>
    <x v="2"/>
  </r>
  <r>
    <x v="1"/>
    <x v="150"/>
    <x v="1"/>
    <x v="1"/>
    <x v="28"/>
    <n v="1"/>
    <n v="1"/>
    <n v="0"/>
    <n v="0"/>
    <n v="0"/>
    <n v="0"/>
    <n v="0"/>
    <n v="0"/>
    <n v="0"/>
    <n v="1"/>
    <n v="2024"/>
    <x v="7"/>
    <s v="商品详情页入口榜单"/>
    <x v="1"/>
    <x v="2"/>
  </r>
  <r>
    <x v="1"/>
    <x v="150"/>
    <x v="1"/>
    <x v="3"/>
    <x v="11"/>
    <n v="337"/>
    <n v="153"/>
    <n v="23"/>
    <n v="5"/>
    <n v="39070"/>
    <n v="7"/>
    <n v="15390"/>
    <n v="5"/>
    <n v="74"/>
    <n v="330"/>
    <n v="2024"/>
    <x v="7"/>
    <s v="商品详情页头图推荐"/>
    <x v="1"/>
    <x v="2"/>
  </r>
  <r>
    <x v="1"/>
    <x v="150"/>
    <x v="1"/>
    <x v="3"/>
    <x v="12"/>
    <n v="74"/>
    <n v="40"/>
    <n v="5"/>
    <n v="1"/>
    <n v="0"/>
    <n v="0"/>
    <n v="0"/>
    <n v="0"/>
    <n v="65"/>
    <n v="34"/>
    <n v="2024"/>
    <x v="7"/>
    <s v="店铺超链"/>
    <x v="1"/>
    <x v="2"/>
  </r>
  <r>
    <x v="1"/>
    <x v="150"/>
    <x v="0"/>
    <x v="6"/>
    <x v="30"/>
    <n v="1318"/>
    <n v="1020"/>
    <n v="12"/>
    <n v="4"/>
    <n v="23498"/>
    <n v="5"/>
    <n v="17518"/>
    <n v="5"/>
    <n v="1102"/>
    <n v="261"/>
    <n v="2024"/>
    <x v="7"/>
    <s v="其他猜你喜欢"/>
    <x v="1"/>
    <x v="2"/>
  </r>
  <r>
    <x v="1"/>
    <x v="150"/>
    <x v="1"/>
    <x v="4"/>
    <x v="15"/>
    <n v="39"/>
    <n v="19"/>
    <n v="0"/>
    <n v="0"/>
    <n v="0"/>
    <n v="0"/>
    <n v="0"/>
    <n v="0"/>
    <n v="9"/>
    <n v="26"/>
    <n v="2024"/>
    <x v="7"/>
    <s v="购中推荐"/>
    <x v="1"/>
    <x v="2"/>
  </r>
  <r>
    <x v="1"/>
    <x v="150"/>
    <x v="1"/>
    <x v="4"/>
    <x v="16"/>
    <n v="149"/>
    <n v="97"/>
    <n v="0"/>
    <n v="1"/>
    <n v="0"/>
    <n v="0"/>
    <n v="0"/>
    <n v="0"/>
    <n v="41"/>
    <n v="79"/>
    <n v="2024"/>
    <x v="7"/>
    <s v="购后推荐"/>
    <x v="1"/>
    <x v="2"/>
  </r>
  <r>
    <x v="1"/>
    <x v="150"/>
    <x v="1"/>
    <x v="4"/>
    <x v="17"/>
    <n v="4592"/>
    <n v="2299"/>
    <n v="92"/>
    <n v="36"/>
    <n v="115387"/>
    <n v="16"/>
    <n v="29795"/>
    <n v="9"/>
    <n v="314"/>
    <n v="4592"/>
    <n v="2024"/>
    <x v="7"/>
    <s v="首页推荐-微详情"/>
    <x v="1"/>
    <x v="2"/>
  </r>
  <r>
    <x v="1"/>
    <x v="150"/>
    <x v="1"/>
    <x v="4"/>
    <x v="18"/>
    <n v="1274"/>
    <n v="1017"/>
    <n v="0"/>
    <n v="0"/>
    <n v="0"/>
    <n v="0"/>
    <n v="0"/>
    <n v="0"/>
    <n v="4"/>
    <n v="24"/>
    <n v="2024"/>
    <x v="7"/>
    <s v="首页推荐-直播"/>
    <x v="1"/>
    <x v="2"/>
  </r>
  <r>
    <x v="1"/>
    <x v="150"/>
    <x v="1"/>
    <x v="4"/>
    <x v="19"/>
    <n v="796"/>
    <n v="362"/>
    <n v="12"/>
    <n v="4"/>
    <n v="12950"/>
    <n v="3"/>
    <n v="6970"/>
    <n v="3"/>
    <n v="37"/>
    <n v="188"/>
    <n v="2024"/>
    <x v="7"/>
    <s v="首页推荐-短视频"/>
    <x v="1"/>
    <x v="2"/>
  </r>
  <r>
    <x v="1"/>
    <x v="150"/>
    <x v="1"/>
    <x v="12"/>
    <x v="42"/>
    <n v="1399"/>
    <n v="1026"/>
    <n v="75"/>
    <n v="14"/>
    <n v="36980"/>
    <n v="7"/>
    <n v="29063"/>
    <n v="7"/>
    <n v="384"/>
    <n v="1265"/>
    <n v="2024"/>
    <x v="7"/>
    <s v="手淘搜索-商品及其他"/>
    <x v="1"/>
    <x v="2"/>
  </r>
  <r>
    <x v="1"/>
    <x v="150"/>
    <x v="1"/>
    <x v="12"/>
    <x v="43"/>
    <n v="53"/>
    <n v="29"/>
    <n v="3"/>
    <n v="0"/>
    <n v="0"/>
    <n v="0"/>
    <n v="0"/>
    <n v="0"/>
    <n v="8"/>
    <n v="39"/>
    <n v="2024"/>
    <x v="7"/>
    <s v="手淘搜索-直播"/>
    <x v="1"/>
    <x v="2"/>
  </r>
  <r>
    <x v="1"/>
    <x v="150"/>
    <x v="1"/>
    <x v="12"/>
    <x v="44"/>
    <n v="240"/>
    <n v="196"/>
    <n v="6"/>
    <n v="2"/>
    <n v="1680"/>
    <n v="1"/>
    <n v="1680"/>
    <n v="1"/>
    <n v="11"/>
    <n v="237"/>
    <n v="2024"/>
    <x v="7"/>
    <s v="手淘搜索-短视频"/>
    <x v="1"/>
    <x v="2"/>
  </r>
  <r>
    <x v="1"/>
    <x v="150"/>
    <x v="1"/>
    <x v="11"/>
    <x v="37"/>
    <n v="7"/>
    <n v="5"/>
    <n v="0"/>
    <n v="0"/>
    <n v="0"/>
    <n v="0"/>
    <n v="0"/>
    <n v="0"/>
    <n v="0"/>
    <n v="7"/>
    <n v="2024"/>
    <x v="7"/>
    <s v="淘特其他渠道"/>
    <x v="1"/>
    <x v="2"/>
  </r>
  <r>
    <x v="1"/>
    <x v="150"/>
    <x v="1"/>
    <x v="11"/>
    <x v="39"/>
    <n v="23"/>
    <n v="21"/>
    <n v="0"/>
    <n v="0"/>
    <n v="0"/>
    <n v="0"/>
    <n v="0"/>
    <n v="0"/>
    <n v="0"/>
    <n v="23"/>
    <n v="2024"/>
    <x v="7"/>
    <s v="淘特搜索"/>
    <x v="1"/>
    <x v="2"/>
  </r>
  <r>
    <x v="1"/>
    <x v="150"/>
    <x v="0"/>
    <x v="5"/>
    <x v="41"/>
    <n v="1755"/>
    <n v="1294"/>
    <n v="19"/>
    <n v="8"/>
    <n v="0"/>
    <n v="0"/>
    <n v="0"/>
    <n v="0"/>
    <n v="54"/>
    <n v="471"/>
    <n v="2024"/>
    <x v="7"/>
    <s v="超级直播"/>
    <x v="1"/>
    <x v="2"/>
  </r>
  <r>
    <x v="1"/>
    <x v="150"/>
    <x v="0"/>
    <x v="5"/>
    <x v="20"/>
    <n v="166"/>
    <n v="117"/>
    <n v="8"/>
    <n v="3"/>
    <n v="0"/>
    <n v="0"/>
    <n v="0"/>
    <n v="0"/>
    <n v="5"/>
    <n v="125"/>
    <n v="2024"/>
    <x v="7"/>
    <s v="超级短视频"/>
    <x v="1"/>
    <x v="2"/>
  </r>
  <r>
    <x v="1"/>
    <x v="150"/>
    <x v="0"/>
    <x v="6"/>
    <x v="48"/>
    <n v="454"/>
    <n v="387"/>
    <n v="0"/>
    <n v="0"/>
    <n v="0"/>
    <n v="0"/>
    <n v="0"/>
    <n v="0"/>
    <n v="454"/>
    <n v="73"/>
    <n v="2024"/>
    <x v="7"/>
    <s v="Showmax"/>
    <x v="1"/>
    <x v="2"/>
  </r>
  <r>
    <x v="1"/>
    <x v="150"/>
    <x v="0"/>
    <x v="6"/>
    <x v="30"/>
    <n v="429"/>
    <n v="368"/>
    <n v="0"/>
    <n v="0"/>
    <n v="0"/>
    <n v="0"/>
    <n v="0"/>
    <n v="0"/>
    <n v="429"/>
    <n v="114"/>
    <n v="2024"/>
    <x v="7"/>
    <s v="品牌特秀"/>
    <x v="1"/>
    <x v="2"/>
  </r>
  <r>
    <x v="1"/>
    <x v="150"/>
    <x v="0"/>
    <x v="6"/>
    <x v="21"/>
    <n v="636"/>
    <n v="531"/>
    <n v="24"/>
    <n v="7"/>
    <n v="40520"/>
    <n v="3"/>
    <n v="25525"/>
    <n v="2"/>
    <n v="636"/>
    <n v="377"/>
    <n v="2024"/>
    <x v="7"/>
    <s v="品销宝-品牌专区"/>
    <x v="1"/>
    <x v="2"/>
  </r>
  <r>
    <x v="1"/>
    <x v="150"/>
    <x v="0"/>
    <x v="0"/>
    <x v="2"/>
    <n v="4799"/>
    <n v="4009"/>
    <n v="87"/>
    <n v="38"/>
    <n v="36568"/>
    <n v="12"/>
    <n v="16921"/>
    <n v="7"/>
    <n v="397"/>
    <n v="4750"/>
    <n v="2024"/>
    <x v="7"/>
    <s v="直通车"/>
    <x v="1"/>
    <x v="2"/>
  </r>
  <r>
    <x v="1"/>
    <x v="150"/>
    <x v="0"/>
    <x v="0"/>
    <x v="0"/>
    <n v="3640"/>
    <n v="1612"/>
    <n v="166"/>
    <n v="97"/>
    <n v="107397"/>
    <n v="24"/>
    <n v="67262"/>
    <n v="18"/>
    <n v="313"/>
    <n v="3634"/>
    <n v="2024"/>
    <x v="7"/>
    <s v="万相台"/>
    <x v="1"/>
    <x v="2"/>
  </r>
  <r>
    <x v="1"/>
    <x v="150"/>
    <x v="0"/>
    <x v="0"/>
    <x v="1"/>
    <n v="6453"/>
    <n v="2811"/>
    <n v="139"/>
    <n v="72"/>
    <n v="39163"/>
    <n v="10"/>
    <n v="24918"/>
    <n v="8"/>
    <n v="498"/>
    <n v="6449"/>
    <n v="2024"/>
    <x v="7"/>
    <s v="引力魔方"/>
    <x v="1"/>
    <x v="2"/>
  </r>
  <r>
    <x v="1"/>
    <x v="150"/>
    <x v="0"/>
    <x v="7"/>
    <x v="23"/>
    <n v="3"/>
    <n v="2"/>
    <n v="1"/>
    <n v="0"/>
    <n v="0"/>
    <n v="0"/>
    <n v="0"/>
    <n v="0"/>
    <n v="2"/>
    <n v="2"/>
    <n v="2024"/>
    <x v="7"/>
    <s v="流量宝"/>
    <x v="1"/>
    <x v="2"/>
  </r>
  <r>
    <x v="1"/>
    <x v="150"/>
    <x v="0"/>
    <x v="7"/>
    <x v="24"/>
    <n v="357"/>
    <n v="152"/>
    <n v="11"/>
    <n v="1"/>
    <n v="8775"/>
    <n v="3"/>
    <n v="8775"/>
    <n v="3"/>
    <n v="34"/>
    <n v="345"/>
    <n v="2024"/>
    <x v="7"/>
    <s v="淘宝客"/>
    <x v="1"/>
    <x v="2"/>
  </r>
  <r>
    <x v="1"/>
    <x v="151"/>
    <x v="1"/>
    <x v="8"/>
    <x v="25"/>
    <n v="178"/>
    <n v="79"/>
    <n v="3"/>
    <n v="2"/>
    <n v="2610"/>
    <n v="1"/>
    <n v="2610"/>
    <n v="1"/>
    <n v="12"/>
    <n v="171"/>
    <n v="2024"/>
    <x v="7"/>
    <s v="主会场"/>
    <x v="1"/>
    <x v="2"/>
  </r>
  <r>
    <x v="1"/>
    <x v="151"/>
    <x v="1"/>
    <x v="8"/>
    <x v="26"/>
    <n v="7"/>
    <n v="6"/>
    <n v="0"/>
    <n v="0"/>
    <n v="0"/>
    <n v="0"/>
    <n v="0"/>
    <n v="0"/>
    <n v="1"/>
    <n v="7"/>
    <n v="2024"/>
    <x v="7"/>
    <s v="榜单会场"/>
    <x v="1"/>
    <x v="2"/>
  </r>
  <r>
    <x v="1"/>
    <x v="151"/>
    <x v="1"/>
    <x v="1"/>
    <x v="3"/>
    <n v="14"/>
    <n v="12"/>
    <n v="0"/>
    <n v="1"/>
    <n v="0"/>
    <n v="0"/>
    <n v="0"/>
    <n v="0"/>
    <n v="1"/>
    <n v="14"/>
    <n v="2024"/>
    <x v="7"/>
    <s v="其他入口榜单"/>
    <x v="1"/>
    <x v="2"/>
  </r>
  <r>
    <x v="1"/>
    <x v="151"/>
    <x v="1"/>
    <x v="3"/>
    <x v="11"/>
    <n v="290"/>
    <n v="121"/>
    <n v="29"/>
    <n v="9"/>
    <n v="18300"/>
    <n v="4"/>
    <n v="10033"/>
    <n v="3"/>
    <n v="66"/>
    <n v="285"/>
    <n v="2024"/>
    <x v="7"/>
    <s v="商品详情页头图推荐"/>
    <x v="1"/>
    <x v="2"/>
  </r>
  <r>
    <x v="1"/>
    <x v="151"/>
    <x v="1"/>
    <x v="3"/>
    <x v="12"/>
    <n v="53"/>
    <n v="37"/>
    <n v="1"/>
    <n v="1"/>
    <n v="0"/>
    <n v="0"/>
    <n v="0"/>
    <n v="0"/>
    <n v="49"/>
    <n v="19"/>
    <n v="2024"/>
    <x v="7"/>
    <s v="店铺超链"/>
    <x v="1"/>
    <x v="2"/>
  </r>
  <r>
    <x v="1"/>
    <x v="151"/>
    <x v="0"/>
    <x v="6"/>
    <x v="30"/>
    <n v="1278"/>
    <n v="991"/>
    <n v="6"/>
    <n v="0"/>
    <n v="15014.5"/>
    <n v="3"/>
    <n v="0"/>
    <n v="0"/>
    <n v="1115"/>
    <n v="189"/>
    <n v="2024"/>
    <x v="7"/>
    <s v="其他猜你喜欢"/>
    <x v="1"/>
    <x v="2"/>
  </r>
  <r>
    <x v="1"/>
    <x v="151"/>
    <x v="1"/>
    <x v="4"/>
    <x v="15"/>
    <n v="25"/>
    <n v="12"/>
    <n v="1"/>
    <n v="0"/>
    <n v="0"/>
    <n v="0"/>
    <n v="0"/>
    <n v="0"/>
    <n v="2"/>
    <n v="21"/>
    <n v="2024"/>
    <x v="7"/>
    <s v="购中推荐"/>
    <x v="1"/>
    <x v="2"/>
  </r>
  <r>
    <x v="1"/>
    <x v="151"/>
    <x v="1"/>
    <x v="4"/>
    <x v="16"/>
    <n v="84"/>
    <n v="49"/>
    <n v="2"/>
    <n v="0"/>
    <n v="0"/>
    <n v="0"/>
    <n v="0"/>
    <n v="0"/>
    <n v="19"/>
    <n v="57"/>
    <n v="2024"/>
    <x v="7"/>
    <s v="购后推荐"/>
    <x v="1"/>
    <x v="2"/>
  </r>
  <r>
    <x v="1"/>
    <x v="151"/>
    <x v="1"/>
    <x v="4"/>
    <x v="17"/>
    <n v="3542"/>
    <n v="1650"/>
    <n v="89"/>
    <n v="35"/>
    <n v="38145"/>
    <n v="8"/>
    <n v="26240"/>
    <n v="5"/>
    <n v="295"/>
    <n v="3542"/>
    <n v="2024"/>
    <x v="7"/>
    <s v="首页推荐-微详情"/>
    <x v="1"/>
    <x v="2"/>
  </r>
  <r>
    <x v="1"/>
    <x v="151"/>
    <x v="1"/>
    <x v="4"/>
    <x v="18"/>
    <n v="20"/>
    <n v="14"/>
    <n v="0"/>
    <n v="0"/>
    <n v="0"/>
    <n v="0"/>
    <n v="0"/>
    <n v="0"/>
    <n v="0"/>
    <n v="0"/>
    <n v="2024"/>
    <x v="7"/>
    <s v="首页推荐-直播"/>
    <x v="1"/>
    <x v="2"/>
  </r>
  <r>
    <x v="1"/>
    <x v="151"/>
    <x v="1"/>
    <x v="4"/>
    <x v="19"/>
    <n v="641"/>
    <n v="282"/>
    <n v="12"/>
    <n v="3"/>
    <n v="1990"/>
    <n v="1"/>
    <n v="1990"/>
    <n v="1"/>
    <n v="29"/>
    <n v="153"/>
    <n v="2024"/>
    <x v="7"/>
    <s v="首页推荐-短视频"/>
    <x v="1"/>
    <x v="2"/>
  </r>
  <r>
    <x v="1"/>
    <x v="151"/>
    <x v="1"/>
    <x v="12"/>
    <x v="42"/>
    <n v="1180"/>
    <n v="846"/>
    <n v="45"/>
    <n v="15"/>
    <n v="44514"/>
    <n v="9"/>
    <n v="36224"/>
    <n v="8"/>
    <n v="298"/>
    <n v="1085"/>
    <n v="2024"/>
    <x v="7"/>
    <s v="手淘搜索-商品及其他"/>
    <x v="1"/>
    <x v="2"/>
  </r>
  <r>
    <x v="1"/>
    <x v="151"/>
    <x v="1"/>
    <x v="12"/>
    <x v="44"/>
    <n v="114"/>
    <n v="95"/>
    <n v="4"/>
    <n v="4"/>
    <n v="11530"/>
    <n v="3"/>
    <n v="5730"/>
    <n v="2"/>
    <n v="4"/>
    <n v="114"/>
    <n v="2024"/>
    <x v="7"/>
    <s v="手淘搜索-短视频"/>
    <x v="1"/>
    <x v="2"/>
  </r>
  <r>
    <x v="1"/>
    <x v="151"/>
    <x v="1"/>
    <x v="11"/>
    <x v="37"/>
    <n v="3"/>
    <n v="2"/>
    <n v="0"/>
    <n v="0"/>
    <n v="0"/>
    <n v="0"/>
    <n v="0"/>
    <n v="0"/>
    <n v="0"/>
    <n v="3"/>
    <n v="2024"/>
    <x v="7"/>
    <s v="淘特其他渠道"/>
    <x v="1"/>
    <x v="2"/>
  </r>
  <r>
    <x v="1"/>
    <x v="151"/>
    <x v="1"/>
    <x v="11"/>
    <x v="39"/>
    <n v="14"/>
    <n v="14"/>
    <n v="0"/>
    <n v="0"/>
    <n v="0"/>
    <n v="0"/>
    <n v="0"/>
    <n v="0"/>
    <n v="0"/>
    <n v="14"/>
    <n v="2024"/>
    <x v="7"/>
    <s v="淘特搜索"/>
    <x v="1"/>
    <x v="2"/>
  </r>
  <r>
    <x v="1"/>
    <x v="151"/>
    <x v="0"/>
    <x v="5"/>
    <x v="41"/>
    <n v="11"/>
    <n v="8"/>
    <n v="0"/>
    <n v="0"/>
    <n v="0"/>
    <n v="0"/>
    <n v="0"/>
    <n v="0"/>
    <n v="0"/>
    <n v="1"/>
    <n v="2024"/>
    <x v="7"/>
    <s v="超级直播"/>
    <x v="1"/>
    <x v="2"/>
  </r>
  <r>
    <x v="1"/>
    <x v="151"/>
    <x v="0"/>
    <x v="5"/>
    <x v="20"/>
    <n v="167"/>
    <n v="115"/>
    <n v="10"/>
    <n v="8"/>
    <n v="0"/>
    <n v="0"/>
    <n v="0"/>
    <n v="0"/>
    <n v="2"/>
    <n v="125"/>
    <n v="2024"/>
    <x v="7"/>
    <s v="超级短视频"/>
    <x v="1"/>
    <x v="2"/>
  </r>
  <r>
    <x v="1"/>
    <x v="151"/>
    <x v="0"/>
    <x v="6"/>
    <x v="48"/>
    <n v="351"/>
    <n v="309"/>
    <n v="0"/>
    <n v="0"/>
    <n v="0"/>
    <n v="0"/>
    <n v="0"/>
    <n v="0"/>
    <n v="351"/>
    <n v="32"/>
    <n v="2024"/>
    <x v="7"/>
    <s v="Showmax"/>
    <x v="1"/>
    <x v="2"/>
  </r>
  <r>
    <x v="1"/>
    <x v="151"/>
    <x v="0"/>
    <x v="6"/>
    <x v="30"/>
    <n v="230"/>
    <n v="199"/>
    <n v="0"/>
    <n v="0"/>
    <n v="0"/>
    <n v="0"/>
    <n v="0"/>
    <n v="0"/>
    <n v="230"/>
    <n v="45"/>
    <n v="2024"/>
    <x v="7"/>
    <s v="品牌特秀"/>
    <x v="1"/>
    <x v="2"/>
  </r>
  <r>
    <x v="1"/>
    <x v="151"/>
    <x v="0"/>
    <x v="6"/>
    <x v="21"/>
    <n v="587"/>
    <n v="456"/>
    <n v="27"/>
    <n v="7"/>
    <n v="62840"/>
    <n v="3"/>
    <n v="58845"/>
    <n v="2"/>
    <n v="587"/>
    <n v="338"/>
    <n v="2024"/>
    <x v="7"/>
    <s v="品销宝-品牌专区"/>
    <x v="1"/>
    <x v="2"/>
  </r>
  <r>
    <x v="1"/>
    <x v="151"/>
    <x v="0"/>
    <x v="0"/>
    <x v="2"/>
    <n v="3715"/>
    <n v="3043"/>
    <n v="84"/>
    <n v="25"/>
    <n v="198402.5"/>
    <n v="15"/>
    <n v="88127.5"/>
    <n v="13"/>
    <n v="337"/>
    <n v="3685"/>
    <n v="2024"/>
    <x v="7"/>
    <s v="直通车"/>
    <x v="1"/>
    <x v="2"/>
  </r>
  <r>
    <x v="1"/>
    <x v="151"/>
    <x v="0"/>
    <x v="0"/>
    <x v="0"/>
    <n v="3155"/>
    <n v="1453"/>
    <n v="145"/>
    <n v="75"/>
    <n v="51958"/>
    <n v="12"/>
    <n v="37260.5"/>
    <n v="9"/>
    <n v="214"/>
    <n v="3149"/>
    <n v="2024"/>
    <x v="7"/>
    <s v="万相台"/>
    <x v="1"/>
    <x v="2"/>
  </r>
  <r>
    <x v="1"/>
    <x v="151"/>
    <x v="0"/>
    <x v="0"/>
    <x v="1"/>
    <n v="5699"/>
    <n v="2378"/>
    <n v="136"/>
    <n v="69"/>
    <n v="60390"/>
    <n v="14"/>
    <n v="31293"/>
    <n v="9"/>
    <n v="434"/>
    <n v="5699"/>
    <n v="2024"/>
    <x v="7"/>
    <s v="引力魔方"/>
    <x v="1"/>
    <x v="2"/>
  </r>
  <r>
    <x v="1"/>
    <x v="151"/>
    <x v="0"/>
    <x v="7"/>
    <x v="23"/>
    <n v="2"/>
    <n v="1"/>
    <n v="0"/>
    <n v="0"/>
    <n v="0"/>
    <n v="0"/>
    <n v="0"/>
    <n v="0"/>
    <n v="1"/>
    <n v="1"/>
    <n v="2024"/>
    <x v="7"/>
    <s v="流量宝"/>
    <x v="1"/>
    <x v="2"/>
  </r>
  <r>
    <x v="1"/>
    <x v="151"/>
    <x v="0"/>
    <x v="7"/>
    <x v="24"/>
    <n v="275"/>
    <n v="93"/>
    <n v="6"/>
    <n v="2"/>
    <n v="15930"/>
    <n v="2"/>
    <n v="15930"/>
    <n v="2"/>
    <n v="27"/>
    <n v="261"/>
    <n v="2024"/>
    <x v="7"/>
    <s v="淘宝客"/>
    <x v="1"/>
    <x v="2"/>
  </r>
  <r>
    <x v="1"/>
    <x v="152"/>
    <x v="1"/>
    <x v="8"/>
    <x v="25"/>
    <n v="167"/>
    <n v="93"/>
    <n v="3"/>
    <n v="2"/>
    <n v="5700"/>
    <n v="1"/>
    <n v="5700"/>
    <n v="1"/>
    <n v="14"/>
    <n v="157"/>
    <n v="2024"/>
    <x v="7"/>
    <s v="主会场"/>
    <x v="1"/>
    <x v="2"/>
  </r>
  <r>
    <x v="1"/>
    <x v="152"/>
    <x v="1"/>
    <x v="8"/>
    <x v="26"/>
    <n v="7"/>
    <n v="6"/>
    <n v="0"/>
    <n v="0"/>
    <n v="0"/>
    <n v="0"/>
    <n v="0"/>
    <n v="0"/>
    <n v="0"/>
    <n v="7"/>
    <n v="2024"/>
    <x v="7"/>
    <s v="榜单会场"/>
    <x v="1"/>
    <x v="2"/>
  </r>
  <r>
    <x v="1"/>
    <x v="152"/>
    <x v="1"/>
    <x v="1"/>
    <x v="3"/>
    <n v="18"/>
    <n v="14"/>
    <n v="0"/>
    <n v="0"/>
    <n v="0"/>
    <n v="0"/>
    <n v="0"/>
    <n v="0"/>
    <n v="1"/>
    <n v="18"/>
    <n v="2024"/>
    <x v="7"/>
    <s v="其他入口榜单"/>
    <x v="1"/>
    <x v="2"/>
  </r>
  <r>
    <x v="1"/>
    <x v="152"/>
    <x v="1"/>
    <x v="3"/>
    <x v="11"/>
    <n v="296"/>
    <n v="109"/>
    <n v="26"/>
    <n v="6"/>
    <n v="20478"/>
    <n v="4"/>
    <n v="20478"/>
    <n v="4"/>
    <n v="62"/>
    <n v="280"/>
    <n v="2024"/>
    <x v="7"/>
    <s v="商品详情页头图推荐"/>
    <x v="1"/>
    <x v="2"/>
  </r>
  <r>
    <x v="1"/>
    <x v="152"/>
    <x v="1"/>
    <x v="3"/>
    <x v="12"/>
    <n v="59"/>
    <n v="25"/>
    <n v="3"/>
    <n v="0"/>
    <n v="0"/>
    <n v="0"/>
    <n v="0"/>
    <n v="0"/>
    <n v="55"/>
    <n v="22"/>
    <n v="2024"/>
    <x v="7"/>
    <s v="店铺超链"/>
    <x v="1"/>
    <x v="2"/>
  </r>
  <r>
    <x v="1"/>
    <x v="152"/>
    <x v="0"/>
    <x v="6"/>
    <x v="30"/>
    <n v="1142"/>
    <n v="837"/>
    <n v="12"/>
    <n v="1"/>
    <n v="1680"/>
    <n v="1"/>
    <n v="1680"/>
    <n v="1"/>
    <n v="925"/>
    <n v="236"/>
    <n v="2024"/>
    <x v="7"/>
    <s v="其他猜你喜欢"/>
    <x v="1"/>
    <x v="2"/>
  </r>
  <r>
    <x v="1"/>
    <x v="152"/>
    <x v="1"/>
    <x v="4"/>
    <x v="15"/>
    <n v="31"/>
    <n v="18"/>
    <n v="0"/>
    <n v="1"/>
    <n v="0"/>
    <n v="0"/>
    <n v="0"/>
    <n v="0"/>
    <n v="6"/>
    <n v="20"/>
    <n v="2024"/>
    <x v="7"/>
    <s v="购中推荐"/>
    <x v="1"/>
    <x v="2"/>
  </r>
  <r>
    <x v="1"/>
    <x v="152"/>
    <x v="1"/>
    <x v="4"/>
    <x v="16"/>
    <n v="216"/>
    <n v="168"/>
    <n v="2"/>
    <n v="0"/>
    <n v="1480"/>
    <n v="1"/>
    <n v="1480"/>
    <n v="1"/>
    <n v="111"/>
    <n v="80"/>
    <n v="2024"/>
    <x v="7"/>
    <s v="购后推荐"/>
    <x v="1"/>
    <x v="2"/>
  </r>
  <r>
    <x v="1"/>
    <x v="152"/>
    <x v="1"/>
    <x v="4"/>
    <x v="17"/>
    <n v="4763"/>
    <n v="2393"/>
    <n v="108"/>
    <n v="34"/>
    <n v="67074.5"/>
    <n v="14"/>
    <n v="44875"/>
    <n v="7"/>
    <n v="326"/>
    <n v="4763"/>
    <n v="2024"/>
    <x v="7"/>
    <s v="首页推荐-微详情"/>
    <x v="1"/>
    <x v="2"/>
  </r>
  <r>
    <x v="1"/>
    <x v="152"/>
    <x v="1"/>
    <x v="4"/>
    <x v="18"/>
    <n v="2302"/>
    <n v="1979"/>
    <n v="3"/>
    <n v="0"/>
    <n v="0"/>
    <n v="0"/>
    <n v="0"/>
    <n v="0"/>
    <n v="3"/>
    <n v="41"/>
    <n v="2024"/>
    <x v="7"/>
    <s v="首页推荐-直播"/>
    <x v="1"/>
    <x v="2"/>
  </r>
  <r>
    <x v="1"/>
    <x v="152"/>
    <x v="1"/>
    <x v="4"/>
    <x v="19"/>
    <n v="769"/>
    <n v="325"/>
    <n v="9"/>
    <n v="1"/>
    <n v="14640"/>
    <n v="3"/>
    <n v="12890"/>
    <n v="2"/>
    <n v="33"/>
    <n v="190"/>
    <n v="2024"/>
    <x v="7"/>
    <s v="首页推荐-短视频"/>
    <x v="1"/>
    <x v="2"/>
  </r>
  <r>
    <x v="1"/>
    <x v="152"/>
    <x v="1"/>
    <x v="12"/>
    <x v="42"/>
    <n v="1127"/>
    <n v="815"/>
    <n v="40"/>
    <n v="15"/>
    <n v="28753"/>
    <n v="9"/>
    <n v="25015"/>
    <n v="7"/>
    <n v="312"/>
    <n v="999"/>
    <n v="2024"/>
    <x v="7"/>
    <s v="手淘搜索-商品及其他"/>
    <x v="1"/>
    <x v="2"/>
  </r>
  <r>
    <x v="1"/>
    <x v="152"/>
    <x v="1"/>
    <x v="12"/>
    <x v="43"/>
    <n v="49"/>
    <n v="45"/>
    <n v="1"/>
    <n v="0"/>
    <n v="1797"/>
    <n v="1"/>
    <n v="1797"/>
    <n v="1"/>
    <n v="1"/>
    <n v="15"/>
    <n v="2024"/>
    <x v="7"/>
    <s v="手淘搜索-直播"/>
    <x v="1"/>
    <x v="2"/>
  </r>
  <r>
    <x v="1"/>
    <x v="152"/>
    <x v="1"/>
    <x v="12"/>
    <x v="44"/>
    <n v="70"/>
    <n v="50"/>
    <n v="0"/>
    <n v="0"/>
    <n v="0"/>
    <n v="0"/>
    <n v="0"/>
    <n v="0"/>
    <n v="1"/>
    <n v="66"/>
    <n v="2024"/>
    <x v="7"/>
    <s v="手淘搜索-短视频"/>
    <x v="1"/>
    <x v="2"/>
  </r>
  <r>
    <x v="1"/>
    <x v="152"/>
    <x v="1"/>
    <x v="11"/>
    <x v="37"/>
    <n v="9"/>
    <n v="8"/>
    <n v="1"/>
    <n v="1"/>
    <n v="0"/>
    <n v="0"/>
    <n v="0"/>
    <n v="0"/>
    <n v="0"/>
    <n v="9"/>
    <n v="2024"/>
    <x v="7"/>
    <s v="淘特其他渠道"/>
    <x v="1"/>
    <x v="2"/>
  </r>
  <r>
    <x v="1"/>
    <x v="152"/>
    <x v="1"/>
    <x v="11"/>
    <x v="38"/>
    <n v="1"/>
    <n v="0"/>
    <n v="0"/>
    <n v="0"/>
    <n v="0"/>
    <n v="0"/>
    <n v="0"/>
    <n v="0"/>
    <n v="0"/>
    <n v="1"/>
    <n v="2024"/>
    <x v="7"/>
    <s v="淘特推荐"/>
    <x v="1"/>
    <x v="2"/>
  </r>
  <r>
    <x v="1"/>
    <x v="152"/>
    <x v="1"/>
    <x v="11"/>
    <x v="39"/>
    <n v="20"/>
    <n v="19"/>
    <n v="1"/>
    <n v="1"/>
    <n v="0"/>
    <n v="0"/>
    <n v="0"/>
    <n v="0"/>
    <n v="0"/>
    <n v="20"/>
    <n v="2024"/>
    <x v="7"/>
    <s v="淘特搜索"/>
    <x v="1"/>
    <x v="2"/>
  </r>
  <r>
    <x v="1"/>
    <x v="152"/>
    <x v="1"/>
    <x v="11"/>
    <x v="40"/>
    <n v="1"/>
    <n v="0"/>
    <n v="0"/>
    <n v="0"/>
    <n v="0"/>
    <n v="0"/>
    <n v="0"/>
    <n v="0"/>
    <n v="0"/>
    <n v="1"/>
    <n v="2024"/>
    <x v="7"/>
    <s v="淘特自主访问"/>
    <x v="1"/>
    <x v="2"/>
  </r>
  <r>
    <x v="1"/>
    <x v="152"/>
    <x v="0"/>
    <x v="5"/>
    <x v="41"/>
    <n v="1767"/>
    <n v="1297"/>
    <n v="12"/>
    <n v="0"/>
    <n v="0"/>
    <n v="0"/>
    <n v="0"/>
    <n v="0"/>
    <n v="58"/>
    <n v="424"/>
    <n v="2024"/>
    <x v="7"/>
    <s v="超级直播"/>
    <x v="1"/>
    <x v="2"/>
  </r>
  <r>
    <x v="1"/>
    <x v="152"/>
    <x v="0"/>
    <x v="5"/>
    <x v="20"/>
    <n v="151"/>
    <n v="94"/>
    <n v="1"/>
    <n v="4"/>
    <n v="0"/>
    <n v="0"/>
    <n v="0"/>
    <n v="0"/>
    <n v="0"/>
    <n v="123"/>
    <n v="2024"/>
    <x v="7"/>
    <s v="超级短视频"/>
    <x v="1"/>
    <x v="2"/>
  </r>
  <r>
    <x v="1"/>
    <x v="152"/>
    <x v="0"/>
    <x v="6"/>
    <x v="48"/>
    <n v="265"/>
    <n v="234"/>
    <n v="0"/>
    <n v="0"/>
    <n v="0"/>
    <n v="0"/>
    <n v="0"/>
    <n v="0"/>
    <n v="265"/>
    <n v="34"/>
    <n v="2024"/>
    <x v="7"/>
    <s v="Showmax"/>
    <x v="1"/>
    <x v="2"/>
  </r>
  <r>
    <x v="1"/>
    <x v="152"/>
    <x v="0"/>
    <x v="6"/>
    <x v="30"/>
    <n v="256"/>
    <n v="208"/>
    <n v="0"/>
    <n v="0"/>
    <n v="0"/>
    <n v="0"/>
    <n v="0"/>
    <n v="0"/>
    <n v="256"/>
    <n v="63"/>
    <n v="2024"/>
    <x v="7"/>
    <s v="品牌特秀"/>
    <x v="1"/>
    <x v="2"/>
  </r>
  <r>
    <x v="1"/>
    <x v="152"/>
    <x v="0"/>
    <x v="6"/>
    <x v="21"/>
    <n v="580"/>
    <n v="468"/>
    <n v="13"/>
    <n v="4"/>
    <n v="25343"/>
    <n v="9"/>
    <n v="16328"/>
    <n v="7"/>
    <n v="580"/>
    <n v="321"/>
    <n v="2024"/>
    <x v="7"/>
    <s v="品销宝-品牌专区"/>
    <x v="1"/>
    <x v="2"/>
  </r>
  <r>
    <x v="1"/>
    <x v="152"/>
    <x v="0"/>
    <x v="0"/>
    <x v="2"/>
    <n v="3440"/>
    <n v="2801"/>
    <n v="49"/>
    <n v="22"/>
    <n v="63194.5"/>
    <n v="11"/>
    <n v="36447"/>
    <n v="8"/>
    <n v="307"/>
    <n v="3405"/>
    <n v="2024"/>
    <x v="7"/>
    <s v="直通车"/>
    <x v="1"/>
    <x v="2"/>
  </r>
  <r>
    <x v="1"/>
    <x v="152"/>
    <x v="0"/>
    <x v="0"/>
    <x v="0"/>
    <n v="3085"/>
    <n v="1310"/>
    <n v="126"/>
    <n v="49"/>
    <n v="55592.89"/>
    <n v="12"/>
    <n v="34522.89"/>
    <n v="9"/>
    <n v="198"/>
    <n v="3082"/>
    <n v="2024"/>
    <x v="7"/>
    <s v="万相台"/>
    <x v="1"/>
    <x v="2"/>
  </r>
  <r>
    <x v="1"/>
    <x v="152"/>
    <x v="0"/>
    <x v="0"/>
    <x v="1"/>
    <n v="5206"/>
    <n v="1988"/>
    <n v="111"/>
    <n v="68"/>
    <n v="71642.5"/>
    <n v="14"/>
    <n v="40332.5"/>
    <n v="10"/>
    <n v="364"/>
    <n v="5205"/>
    <n v="2024"/>
    <x v="7"/>
    <s v="引力魔方"/>
    <x v="1"/>
    <x v="2"/>
  </r>
  <r>
    <x v="1"/>
    <x v="152"/>
    <x v="0"/>
    <x v="7"/>
    <x v="23"/>
    <n v="2"/>
    <n v="0"/>
    <n v="0"/>
    <n v="0"/>
    <n v="0"/>
    <n v="0"/>
    <n v="0"/>
    <n v="0"/>
    <n v="1"/>
    <n v="1"/>
    <n v="2024"/>
    <x v="7"/>
    <s v="流量宝"/>
    <x v="1"/>
    <x v="2"/>
  </r>
  <r>
    <x v="1"/>
    <x v="152"/>
    <x v="0"/>
    <x v="7"/>
    <x v="24"/>
    <n v="291"/>
    <n v="95"/>
    <n v="4"/>
    <n v="2"/>
    <n v="1990"/>
    <n v="1"/>
    <n v="1990"/>
    <n v="1"/>
    <n v="22"/>
    <n v="285"/>
    <n v="2024"/>
    <x v="7"/>
    <s v="淘宝客"/>
    <x v="1"/>
    <x v="2"/>
  </r>
  <r>
    <x v="1"/>
    <x v="153"/>
    <x v="1"/>
    <x v="8"/>
    <x v="25"/>
    <n v="162"/>
    <n v="65"/>
    <n v="3"/>
    <n v="2"/>
    <n v="3900"/>
    <n v="1"/>
    <n v="3900"/>
    <n v="1"/>
    <n v="13"/>
    <n v="157"/>
    <n v="2024"/>
    <x v="7"/>
    <s v="主会场"/>
    <x v="1"/>
    <x v="2"/>
  </r>
  <r>
    <x v="1"/>
    <x v="153"/>
    <x v="1"/>
    <x v="8"/>
    <x v="26"/>
    <n v="5"/>
    <n v="4"/>
    <n v="1"/>
    <n v="0"/>
    <n v="0"/>
    <n v="0"/>
    <n v="0"/>
    <n v="0"/>
    <n v="2"/>
    <n v="5"/>
    <n v="2024"/>
    <x v="7"/>
    <s v="榜单会场"/>
    <x v="1"/>
    <x v="2"/>
  </r>
  <r>
    <x v="1"/>
    <x v="153"/>
    <x v="1"/>
    <x v="1"/>
    <x v="3"/>
    <n v="16"/>
    <n v="11"/>
    <n v="0"/>
    <n v="0"/>
    <n v="0"/>
    <n v="0"/>
    <n v="0"/>
    <n v="0"/>
    <n v="2"/>
    <n v="16"/>
    <n v="2024"/>
    <x v="7"/>
    <s v="其他入口榜单"/>
    <x v="1"/>
    <x v="2"/>
  </r>
  <r>
    <x v="1"/>
    <x v="153"/>
    <x v="1"/>
    <x v="1"/>
    <x v="35"/>
    <n v="1"/>
    <n v="1"/>
    <n v="0"/>
    <n v="0"/>
    <n v="0"/>
    <n v="0"/>
    <n v="0"/>
    <n v="0"/>
    <n v="0"/>
    <n v="1"/>
    <n v="2024"/>
    <x v="7"/>
    <s v="搜索入口榜单"/>
    <x v="1"/>
    <x v="2"/>
  </r>
  <r>
    <x v="1"/>
    <x v="153"/>
    <x v="1"/>
    <x v="3"/>
    <x v="11"/>
    <n v="274"/>
    <n v="105"/>
    <n v="14"/>
    <n v="5"/>
    <n v="33140"/>
    <n v="6"/>
    <n v="12840"/>
    <n v="4"/>
    <n v="59"/>
    <n v="265"/>
    <n v="2024"/>
    <x v="7"/>
    <s v="商品详情页头图推荐"/>
    <x v="1"/>
    <x v="2"/>
  </r>
  <r>
    <x v="1"/>
    <x v="153"/>
    <x v="1"/>
    <x v="3"/>
    <x v="12"/>
    <n v="60"/>
    <n v="28"/>
    <n v="2"/>
    <n v="0"/>
    <n v="0"/>
    <n v="0"/>
    <n v="0"/>
    <n v="0"/>
    <n v="52"/>
    <n v="29"/>
    <n v="2024"/>
    <x v="7"/>
    <s v="店铺超链"/>
    <x v="1"/>
    <x v="2"/>
  </r>
  <r>
    <x v="1"/>
    <x v="153"/>
    <x v="0"/>
    <x v="6"/>
    <x v="30"/>
    <n v="1202"/>
    <n v="919"/>
    <n v="12"/>
    <n v="3"/>
    <n v="5530"/>
    <n v="2"/>
    <n v="5530"/>
    <n v="2"/>
    <n v="1015"/>
    <n v="185"/>
    <n v="2024"/>
    <x v="7"/>
    <s v="其他猜你喜欢"/>
    <x v="1"/>
    <x v="2"/>
  </r>
  <r>
    <x v="1"/>
    <x v="153"/>
    <x v="1"/>
    <x v="4"/>
    <x v="15"/>
    <n v="31"/>
    <n v="18"/>
    <n v="0"/>
    <n v="1"/>
    <n v="0"/>
    <n v="0"/>
    <n v="0"/>
    <n v="0"/>
    <n v="7"/>
    <n v="21"/>
    <n v="2024"/>
    <x v="7"/>
    <s v="购中推荐"/>
    <x v="1"/>
    <x v="2"/>
  </r>
  <r>
    <x v="1"/>
    <x v="153"/>
    <x v="1"/>
    <x v="4"/>
    <x v="16"/>
    <n v="183"/>
    <n v="128"/>
    <n v="1"/>
    <n v="0"/>
    <n v="0"/>
    <n v="0"/>
    <n v="0"/>
    <n v="0"/>
    <n v="60"/>
    <n v="63"/>
    <n v="2024"/>
    <x v="7"/>
    <s v="购后推荐"/>
    <x v="1"/>
    <x v="2"/>
  </r>
  <r>
    <x v="1"/>
    <x v="153"/>
    <x v="1"/>
    <x v="4"/>
    <x v="17"/>
    <n v="5017"/>
    <n v="2587"/>
    <n v="124"/>
    <n v="51"/>
    <n v="68271"/>
    <n v="12"/>
    <n v="49733"/>
    <n v="8"/>
    <n v="354"/>
    <n v="5017"/>
    <n v="2024"/>
    <x v="7"/>
    <s v="首页推荐-微详情"/>
    <x v="1"/>
    <x v="2"/>
  </r>
  <r>
    <x v="1"/>
    <x v="153"/>
    <x v="1"/>
    <x v="4"/>
    <x v="18"/>
    <n v="1782"/>
    <n v="1528"/>
    <n v="5"/>
    <n v="0"/>
    <n v="0"/>
    <n v="0"/>
    <n v="0"/>
    <n v="0"/>
    <n v="1"/>
    <n v="40"/>
    <n v="2024"/>
    <x v="7"/>
    <s v="首页推荐-直播"/>
    <x v="1"/>
    <x v="2"/>
  </r>
  <r>
    <x v="1"/>
    <x v="153"/>
    <x v="1"/>
    <x v="4"/>
    <x v="19"/>
    <n v="730"/>
    <n v="307"/>
    <n v="14"/>
    <n v="0"/>
    <n v="11650"/>
    <n v="2"/>
    <n v="11650"/>
    <n v="2"/>
    <n v="37"/>
    <n v="175"/>
    <n v="2024"/>
    <x v="7"/>
    <s v="首页推荐-短视频"/>
    <x v="1"/>
    <x v="2"/>
  </r>
  <r>
    <x v="1"/>
    <x v="153"/>
    <x v="1"/>
    <x v="12"/>
    <x v="42"/>
    <n v="1223"/>
    <n v="875"/>
    <n v="43"/>
    <n v="22"/>
    <n v="31600"/>
    <n v="8"/>
    <n v="22400"/>
    <n v="6"/>
    <n v="323"/>
    <n v="1115"/>
    <n v="2024"/>
    <x v="7"/>
    <s v="手淘搜索-商品及其他"/>
    <x v="1"/>
    <x v="2"/>
  </r>
  <r>
    <x v="1"/>
    <x v="153"/>
    <x v="1"/>
    <x v="12"/>
    <x v="43"/>
    <n v="70"/>
    <n v="64"/>
    <n v="1"/>
    <n v="0"/>
    <n v="0"/>
    <n v="0"/>
    <n v="0"/>
    <n v="0"/>
    <n v="1"/>
    <n v="13"/>
    <n v="2024"/>
    <x v="7"/>
    <s v="手淘搜索-直播"/>
    <x v="1"/>
    <x v="2"/>
  </r>
  <r>
    <x v="1"/>
    <x v="153"/>
    <x v="1"/>
    <x v="12"/>
    <x v="44"/>
    <n v="153"/>
    <n v="132"/>
    <n v="2"/>
    <n v="0"/>
    <n v="5750"/>
    <n v="1"/>
    <n v="0"/>
    <n v="0"/>
    <n v="4"/>
    <n v="149"/>
    <n v="2024"/>
    <x v="7"/>
    <s v="手淘搜索-短视频"/>
    <x v="1"/>
    <x v="2"/>
  </r>
  <r>
    <x v="1"/>
    <x v="153"/>
    <x v="1"/>
    <x v="11"/>
    <x v="37"/>
    <n v="3"/>
    <n v="3"/>
    <n v="0"/>
    <n v="0"/>
    <n v="0"/>
    <n v="0"/>
    <n v="0"/>
    <n v="0"/>
    <n v="0"/>
    <n v="3"/>
    <n v="2024"/>
    <x v="7"/>
    <s v="淘特其他渠道"/>
    <x v="1"/>
    <x v="2"/>
  </r>
  <r>
    <x v="1"/>
    <x v="153"/>
    <x v="1"/>
    <x v="11"/>
    <x v="39"/>
    <n v="12"/>
    <n v="12"/>
    <n v="1"/>
    <n v="0"/>
    <n v="0"/>
    <n v="0"/>
    <n v="0"/>
    <n v="0"/>
    <n v="0"/>
    <n v="12"/>
    <n v="2024"/>
    <x v="7"/>
    <s v="淘特搜索"/>
    <x v="1"/>
    <x v="2"/>
  </r>
  <r>
    <x v="1"/>
    <x v="153"/>
    <x v="1"/>
    <x v="11"/>
    <x v="40"/>
    <n v="1"/>
    <n v="0"/>
    <n v="0"/>
    <n v="0"/>
    <n v="0"/>
    <n v="0"/>
    <n v="0"/>
    <n v="0"/>
    <n v="0"/>
    <n v="1"/>
    <n v="2024"/>
    <x v="7"/>
    <s v="淘特自主访问"/>
    <x v="1"/>
    <x v="2"/>
  </r>
  <r>
    <x v="1"/>
    <x v="153"/>
    <x v="0"/>
    <x v="5"/>
    <x v="41"/>
    <n v="1700"/>
    <n v="1197"/>
    <n v="16"/>
    <n v="4"/>
    <n v="0"/>
    <n v="0"/>
    <n v="0"/>
    <n v="0"/>
    <n v="52"/>
    <n v="221"/>
    <n v="2024"/>
    <x v="7"/>
    <s v="超级直播"/>
    <x v="1"/>
    <x v="2"/>
  </r>
  <r>
    <x v="1"/>
    <x v="153"/>
    <x v="0"/>
    <x v="5"/>
    <x v="20"/>
    <n v="108"/>
    <n v="59"/>
    <n v="3"/>
    <n v="7"/>
    <n v="0"/>
    <n v="0"/>
    <n v="0"/>
    <n v="0"/>
    <n v="2"/>
    <n v="93"/>
    <n v="2024"/>
    <x v="7"/>
    <s v="超级短视频"/>
    <x v="1"/>
    <x v="2"/>
  </r>
  <r>
    <x v="1"/>
    <x v="153"/>
    <x v="0"/>
    <x v="6"/>
    <x v="48"/>
    <n v="336"/>
    <n v="288"/>
    <n v="0"/>
    <n v="0"/>
    <n v="0"/>
    <n v="0"/>
    <n v="0"/>
    <n v="0"/>
    <n v="336"/>
    <n v="47"/>
    <n v="2024"/>
    <x v="7"/>
    <s v="Showmax"/>
    <x v="1"/>
    <x v="2"/>
  </r>
  <r>
    <x v="1"/>
    <x v="153"/>
    <x v="0"/>
    <x v="6"/>
    <x v="30"/>
    <n v="233"/>
    <n v="205"/>
    <n v="0"/>
    <n v="0"/>
    <n v="0"/>
    <n v="0"/>
    <n v="0"/>
    <n v="0"/>
    <n v="233"/>
    <n v="40"/>
    <n v="2024"/>
    <x v="7"/>
    <s v="品牌特秀"/>
    <x v="1"/>
    <x v="2"/>
  </r>
  <r>
    <x v="1"/>
    <x v="153"/>
    <x v="0"/>
    <x v="6"/>
    <x v="21"/>
    <n v="562"/>
    <n v="443"/>
    <n v="17"/>
    <n v="6"/>
    <n v="32296.5"/>
    <n v="8"/>
    <n v="32296.5"/>
    <n v="8"/>
    <n v="562"/>
    <n v="334"/>
    <n v="2024"/>
    <x v="7"/>
    <s v="品销宝-品牌专区"/>
    <x v="1"/>
    <x v="2"/>
  </r>
  <r>
    <x v="1"/>
    <x v="153"/>
    <x v="0"/>
    <x v="6"/>
    <x v="49"/>
    <n v="1"/>
    <n v="0"/>
    <n v="0"/>
    <n v="0"/>
    <n v="0"/>
    <n v="0"/>
    <n v="0"/>
    <n v="0"/>
    <n v="0"/>
    <n v="1"/>
    <n v="2024"/>
    <x v="7"/>
    <s v="超级全域通"/>
    <x v="1"/>
    <x v="2"/>
  </r>
  <r>
    <x v="1"/>
    <x v="153"/>
    <x v="0"/>
    <x v="0"/>
    <x v="2"/>
    <n v="3487"/>
    <n v="2880"/>
    <n v="52"/>
    <n v="15"/>
    <n v="45330"/>
    <n v="7"/>
    <n v="29970"/>
    <n v="6"/>
    <n v="299"/>
    <n v="3455"/>
    <n v="2024"/>
    <x v="7"/>
    <s v="直通车"/>
    <x v="1"/>
    <x v="2"/>
  </r>
  <r>
    <x v="1"/>
    <x v="153"/>
    <x v="0"/>
    <x v="0"/>
    <x v="0"/>
    <n v="3343"/>
    <n v="1786"/>
    <n v="105"/>
    <n v="43"/>
    <n v="76945"/>
    <n v="11"/>
    <n v="23970"/>
    <n v="5"/>
    <n v="180"/>
    <n v="3327"/>
    <n v="2024"/>
    <x v="7"/>
    <s v="万相台"/>
    <x v="1"/>
    <x v="2"/>
  </r>
  <r>
    <x v="1"/>
    <x v="153"/>
    <x v="0"/>
    <x v="0"/>
    <x v="1"/>
    <n v="5301"/>
    <n v="1943"/>
    <n v="114"/>
    <n v="69"/>
    <n v="44555"/>
    <n v="9"/>
    <n v="21975"/>
    <n v="6"/>
    <n v="397"/>
    <n v="5301"/>
    <n v="2024"/>
    <x v="7"/>
    <s v="引力魔方"/>
    <x v="1"/>
    <x v="2"/>
  </r>
  <r>
    <x v="1"/>
    <x v="153"/>
    <x v="0"/>
    <x v="7"/>
    <x v="22"/>
    <n v="1"/>
    <n v="1"/>
    <n v="0"/>
    <n v="0"/>
    <n v="0"/>
    <n v="0"/>
    <n v="0"/>
    <n v="0"/>
    <n v="0"/>
    <n v="0"/>
    <n v="2024"/>
    <x v="7"/>
    <s v="UD效果投放"/>
    <x v="1"/>
    <x v="2"/>
  </r>
  <r>
    <x v="1"/>
    <x v="153"/>
    <x v="0"/>
    <x v="7"/>
    <x v="23"/>
    <n v="2"/>
    <n v="1"/>
    <n v="0"/>
    <n v="0"/>
    <n v="0"/>
    <n v="0"/>
    <n v="0"/>
    <n v="0"/>
    <n v="1"/>
    <n v="2"/>
    <n v="2024"/>
    <x v="7"/>
    <s v="流量宝"/>
    <x v="1"/>
    <x v="2"/>
  </r>
  <r>
    <x v="1"/>
    <x v="153"/>
    <x v="0"/>
    <x v="7"/>
    <x v="24"/>
    <n v="302"/>
    <n v="101"/>
    <n v="7"/>
    <n v="1"/>
    <n v="0"/>
    <n v="0"/>
    <n v="0"/>
    <n v="0"/>
    <n v="20"/>
    <n v="298"/>
    <n v="2024"/>
    <x v="7"/>
    <s v="淘宝客"/>
    <x v="1"/>
    <x v="2"/>
  </r>
  <r>
    <x v="1"/>
    <x v="154"/>
    <x v="1"/>
    <x v="8"/>
    <x v="25"/>
    <n v="161"/>
    <n v="74"/>
    <n v="2"/>
    <n v="3"/>
    <n v="0"/>
    <n v="0"/>
    <n v="0"/>
    <n v="0"/>
    <n v="12"/>
    <n v="156"/>
    <n v="2024"/>
    <x v="7"/>
    <s v="主会场"/>
    <x v="1"/>
    <x v="2"/>
  </r>
  <r>
    <x v="1"/>
    <x v="154"/>
    <x v="1"/>
    <x v="8"/>
    <x v="26"/>
    <n v="6"/>
    <n v="6"/>
    <n v="1"/>
    <n v="0"/>
    <n v="0"/>
    <n v="0"/>
    <n v="0"/>
    <n v="0"/>
    <n v="2"/>
    <n v="6"/>
    <n v="2024"/>
    <x v="7"/>
    <s v="榜单会场"/>
    <x v="1"/>
    <x v="2"/>
  </r>
  <r>
    <x v="1"/>
    <x v="154"/>
    <x v="1"/>
    <x v="1"/>
    <x v="3"/>
    <n v="20"/>
    <n v="18"/>
    <n v="1"/>
    <n v="0"/>
    <n v="0"/>
    <n v="0"/>
    <n v="0"/>
    <n v="0"/>
    <n v="3"/>
    <n v="20"/>
    <n v="2024"/>
    <x v="7"/>
    <s v="其他入口榜单"/>
    <x v="1"/>
    <x v="2"/>
  </r>
  <r>
    <x v="1"/>
    <x v="154"/>
    <x v="1"/>
    <x v="3"/>
    <x v="11"/>
    <n v="254"/>
    <n v="90"/>
    <n v="17"/>
    <n v="5"/>
    <n v="21467.23"/>
    <n v="6"/>
    <n v="16497.23"/>
    <n v="5"/>
    <n v="52"/>
    <n v="252"/>
    <n v="2024"/>
    <x v="7"/>
    <s v="商品详情页头图推荐"/>
    <x v="1"/>
    <x v="2"/>
  </r>
  <r>
    <x v="1"/>
    <x v="154"/>
    <x v="1"/>
    <x v="3"/>
    <x v="12"/>
    <n v="58"/>
    <n v="28"/>
    <n v="3"/>
    <n v="0"/>
    <n v="1990"/>
    <n v="1"/>
    <n v="0"/>
    <n v="0"/>
    <n v="48"/>
    <n v="26"/>
    <n v="2024"/>
    <x v="7"/>
    <s v="店铺超链"/>
    <x v="1"/>
    <x v="2"/>
  </r>
  <r>
    <x v="1"/>
    <x v="154"/>
    <x v="0"/>
    <x v="6"/>
    <x v="30"/>
    <n v="1214"/>
    <n v="927"/>
    <n v="8"/>
    <n v="1"/>
    <n v="5800"/>
    <n v="1"/>
    <n v="0"/>
    <n v="0"/>
    <n v="999"/>
    <n v="238"/>
    <n v="2024"/>
    <x v="7"/>
    <s v="其他猜你喜欢"/>
    <x v="1"/>
    <x v="2"/>
  </r>
  <r>
    <x v="1"/>
    <x v="154"/>
    <x v="1"/>
    <x v="4"/>
    <x v="15"/>
    <n v="25"/>
    <n v="10"/>
    <n v="0"/>
    <n v="0"/>
    <n v="0"/>
    <n v="0"/>
    <n v="0"/>
    <n v="0"/>
    <n v="6"/>
    <n v="20"/>
    <n v="2024"/>
    <x v="7"/>
    <s v="购中推荐"/>
    <x v="1"/>
    <x v="2"/>
  </r>
  <r>
    <x v="1"/>
    <x v="154"/>
    <x v="1"/>
    <x v="4"/>
    <x v="16"/>
    <n v="142"/>
    <n v="104"/>
    <n v="1"/>
    <n v="0"/>
    <n v="0"/>
    <n v="0"/>
    <n v="0"/>
    <n v="0"/>
    <n v="84"/>
    <n v="55"/>
    <n v="2024"/>
    <x v="7"/>
    <s v="购后推荐"/>
    <x v="1"/>
    <x v="2"/>
  </r>
  <r>
    <x v="1"/>
    <x v="154"/>
    <x v="1"/>
    <x v="4"/>
    <x v="17"/>
    <n v="4420"/>
    <n v="2145"/>
    <n v="115"/>
    <n v="55"/>
    <n v="55065"/>
    <n v="9"/>
    <n v="21470"/>
    <n v="6"/>
    <n v="383"/>
    <n v="4420"/>
    <n v="2024"/>
    <x v="7"/>
    <s v="首页推荐-微详情"/>
    <x v="1"/>
    <x v="2"/>
  </r>
  <r>
    <x v="1"/>
    <x v="154"/>
    <x v="1"/>
    <x v="4"/>
    <x v="18"/>
    <n v="3"/>
    <n v="0"/>
    <n v="0"/>
    <n v="0"/>
    <n v="0"/>
    <n v="0"/>
    <n v="0"/>
    <n v="0"/>
    <n v="0"/>
    <n v="1"/>
    <n v="2024"/>
    <x v="7"/>
    <s v="首页推荐-直播"/>
    <x v="1"/>
    <x v="2"/>
  </r>
  <r>
    <x v="1"/>
    <x v="154"/>
    <x v="1"/>
    <x v="4"/>
    <x v="19"/>
    <n v="780"/>
    <n v="358"/>
    <n v="7"/>
    <n v="2"/>
    <n v="2500"/>
    <n v="1"/>
    <n v="2500"/>
    <n v="1"/>
    <n v="14"/>
    <n v="176"/>
    <n v="2024"/>
    <x v="7"/>
    <s v="首页推荐-短视频"/>
    <x v="1"/>
    <x v="2"/>
  </r>
  <r>
    <x v="1"/>
    <x v="154"/>
    <x v="1"/>
    <x v="12"/>
    <x v="42"/>
    <n v="1262"/>
    <n v="885"/>
    <n v="42"/>
    <n v="14"/>
    <n v="51273.5"/>
    <n v="14"/>
    <n v="35988"/>
    <n v="11"/>
    <n v="326"/>
    <n v="1153"/>
    <n v="2024"/>
    <x v="7"/>
    <s v="手淘搜索-商品及其他"/>
    <x v="1"/>
    <x v="2"/>
  </r>
  <r>
    <x v="1"/>
    <x v="154"/>
    <x v="1"/>
    <x v="12"/>
    <x v="44"/>
    <n v="434"/>
    <n v="411"/>
    <n v="4"/>
    <n v="1"/>
    <n v="23905"/>
    <n v="3"/>
    <n v="23905"/>
    <n v="3"/>
    <n v="8"/>
    <n v="430"/>
    <n v="2024"/>
    <x v="7"/>
    <s v="手淘搜索-短视频"/>
    <x v="1"/>
    <x v="2"/>
  </r>
  <r>
    <x v="1"/>
    <x v="154"/>
    <x v="1"/>
    <x v="11"/>
    <x v="37"/>
    <n v="5"/>
    <n v="5"/>
    <n v="1"/>
    <n v="0"/>
    <n v="0"/>
    <n v="0"/>
    <n v="0"/>
    <n v="0"/>
    <n v="0"/>
    <n v="5"/>
    <n v="2024"/>
    <x v="7"/>
    <s v="淘特其他渠道"/>
    <x v="1"/>
    <x v="2"/>
  </r>
  <r>
    <x v="1"/>
    <x v="154"/>
    <x v="1"/>
    <x v="11"/>
    <x v="39"/>
    <n v="14"/>
    <n v="14"/>
    <n v="1"/>
    <n v="0"/>
    <n v="0"/>
    <n v="0"/>
    <n v="0"/>
    <n v="0"/>
    <n v="0"/>
    <n v="14"/>
    <n v="2024"/>
    <x v="7"/>
    <s v="淘特搜索"/>
    <x v="1"/>
    <x v="2"/>
  </r>
  <r>
    <x v="1"/>
    <x v="154"/>
    <x v="0"/>
    <x v="5"/>
    <x v="41"/>
    <n v="1"/>
    <n v="0"/>
    <n v="0"/>
    <n v="0"/>
    <n v="0"/>
    <n v="0"/>
    <n v="0"/>
    <n v="0"/>
    <n v="0"/>
    <n v="0"/>
    <n v="2024"/>
    <x v="7"/>
    <s v="超级直播"/>
    <x v="1"/>
    <x v="2"/>
  </r>
  <r>
    <x v="1"/>
    <x v="154"/>
    <x v="0"/>
    <x v="5"/>
    <x v="20"/>
    <n v="284"/>
    <n v="158"/>
    <n v="11"/>
    <n v="12"/>
    <n v="0"/>
    <n v="0"/>
    <n v="0"/>
    <n v="0"/>
    <n v="8"/>
    <n v="236"/>
    <n v="2024"/>
    <x v="7"/>
    <s v="超级短视频"/>
    <x v="1"/>
    <x v="2"/>
  </r>
  <r>
    <x v="1"/>
    <x v="154"/>
    <x v="0"/>
    <x v="6"/>
    <x v="48"/>
    <n v="358"/>
    <n v="305"/>
    <n v="0"/>
    <n v="0"/>
    <n v="0"/>
    <n v="0"/>
    <n v="0"/>
    <n v="0"/>
    <n v="358"/>
    <n v="53"/>
    <n v="2024"/>
    <x v="7"/>
    <s v="Showmax"/>
    <x v="1"/>
    <x v="2"/>
  </r>
  <r>
    <x v="1"/>
    <x v="154"/>
    <x v="0"/>
    <x v="6"/>
    <x v="30"/>
    <n v="166"/>
    <n v="128"/>
    <n v="0"/>
    <n v="0"/>
    <n v="0"/>
    <n v="0"/>
    <n v="0"/>
    <n v="0"/>
    <n v="166"/>
    <n v="39"/>
    <n v="2024"/>
    <x v="7"/>
    <s v="品牌特秀"/>
    <x v="1"/>
    <x v="2"/>
  </r>
  <r>
    <x v="1"/>
    <x v="154"/>
    <x v="0"/>
    <x v="6"/>
    <x v="21"/>
    <n v="605"/>
    <n v="483"/>
    <n v="16"/>
    <n v="4"/>
    <n v="14555"/>
    <n v="4"/>
    <n v="9560"/>
    <n v="3"/>
    <n v="605"/>
    <n v="322"/>
    <n v="2024"/>
    <x v="7"/>
    <s v="品销宝-品牌专区"/>
    <x v="1"/>
    <x v="2"/>
  </r>
  <r>
    <x v="1"/>
    <x v="154"/>
    <x v="0"/>
    <x v="0"/>
    <x v="2"/>
    <n v="4074"/>
    <n v="3381"/>
    <n v="48"/>
    <n v="27"/>
    <n v="78859"/>
    <n v="9"/>
    <n v="27346"/>
    <n v="5"/>
    <n v="320"/>
    <n v="4038"/>
    <n v="2024"/>
    <x v="7"/>
    <s v="直通车"/>
    <x v="1"/>
    <x v="2"/>
  </r>
  <r>
    <x v="1"/>
    <x v="154"/>
    <x v="0"/>
    <x v="0"/>
    <x v="0"/>
    <n v="3851"/>
    <n v="1857"/>
    <n v="146"/>
    <n v="72"/>
    <n v="123594"/>
    <n v="22"/>
    <n v="91906"/>
    <n v="18"/>
    <n v="244"/>
    <n v="3847"/>
    <n v="2024"/>
    <x v="7"/>
    <s v="万相台"/>
    <x v="1"/>
    <x v="2"/>
  </r>
  <r>
    <x v="1"/>
    <x v="154"/>
    <x v="0"/>
    <x v="0"/>
    <x v="1"/>
    <n v="4222"/>
    <n v="1430"/>
    <n v="109"/>
    <n v="48"/>
    <n v="15555"/>
    <n v="6"/>
    <n v="5197.5"/>
    <n v="2"/>
    <n v="289"/>
    <n v="4221"/>
    <n v="2024"/>
    <x v="7"/>
    <s v="引力魔方"/>
    <x v="1"/>
    <x v="2"/>
  </r>
  <r>
    <x v="1"/>
    <x v="154"/>
    <x v="0"/>
    <x v="7"/>
    <x v="23"/>
    <n v="1"/>
    <n v="0"/>
    <n v="0"/>
    <n v="0"/>
    <n v="0"/>
    <n v="0"/>
    <n v="0"/>
    <n v="0"/>
    <n v="0"/>
    <n v="1"/>
    <n v="2024"/>
    <x v="7"/>
    <s v="流量宝"/>
    <x v="1"/>
    <x v="2"/>
  </r>
  <r>
    <x v="1"/>
    <x v="154"/>
    <x v="0"/>
    <x v="7"/>
    <x v="24"/>
    <n v="287"/>
    <n v="107"/>
    <n v="4"/>
    <n v="2"/>
    <n v="0"/>
    <n v="0"/>
    <n v="0"/>
    <n v="0"/>
    <n v="18"/>
    <n v="281"/>
    <n v="2024"/>
    <x v="7"/>
    <s v="淘宝客"/>
    <x v="1"/>
    <x v="2"/>
  </r>
  <r>
    <x v="1"/>
    <x v="155"/>
    <x v="1"/>
    <x v="8"/>
    <x v="25"/>
    <n v="158"/>
    <n v="65"/>
    <n v="3"/>
    <n v="6"/>
    <n v="2500"/>
    <n v="1"/>
    <n v="2500"/>
    <n v="1"/>
    <n v="14"/>
    <n v="155"/>
    <n v="2024"/>
    <x v="7"/>
    <s v="主会场"/>
    <x v="1"/>
    <x v="2"/>
  </r>
  <r>
    <x v="1"/>
    <x v="155"/>
    <x v="1"/>
    <x v="8"/>
    <x v="26"/>
    <n v="2"/>
    <n v="1"/>
    <n v="0"/>
    <n v="0"/>
    <n v="0"/>
    <n v="0"/>
    <n v="0"/>
    <n v="0"/>
    <n v="1"/>
    <n v="2"/>
    <n v="2024"/>
    <x v="7"/>
    <s v="榜单会场"/>
    <x v="1"/>
    <x v="2"/>
  </r>
  <r>
    <x v="1"/>
    <x v="155"/>
    <x v="1"/>
    <x v="1"/>
    <x v="3"/>
    <n v="20"/>
    <n v="17"/>
    <n v="0"/>
    <n v="0"/>
    <n v="0"/>
    <n v="0"/>
    <n v="0"/>
    <n v="0"/>
    <n v="3"/>
    <n v="20"/>
    <n v="2024"/>
    <x v="7"/>
    <s v="其他入口榜单"/>
    <x v="1"/>
    <x v="2"/>
  </r>
  <r>
    <x v="1"/>
    <x v="155"/>
    <x v="1"/>
    <x v="1"/>
    <x v="35"/>
    <n v="2"/>
    <n v="2"/>
    <n v="0"/>
    <n v="0"/>
    <n v="0"/>
    <n v="0"/>
    <n v="0"/>
    <n v="0"/>
    <n v="0"/>
    <n v="2"/>
    <n v="2024"/>
    <x v="7"/>
    <s v="搜索入口榜单"/>
    <x v="1"/>
    <x v="2"/>
  </r>
  <r>
    <x v="1"/>
    <x v="155"/>
    <x v="1"/>
    <x v="3"/>
    <x v="11"/>
    <n v="288"/>
    <n v="121"/>
    <n v="17"/>
    <n v="7"/>
    <n v="12510"/>
    <n v="3"/>
    <n v="6930"/>
    <n v="2"/>
    <n v="63"/>
    <n v="283"/>
    <n v="2024"/>
    <x v="7"/>
    <s v="商品详情页头图推荐"/>
    <x v="1"/>
    <x v="2"/>
  </r>
  <r>
    <x v="1"/>
    <x v="155"/>
    <x v="1"/>
    <x v="3"/>
    <x v="12"/>
    <n v="58"/>
    <n v="25"/>
    <n v="4"/>
    <n v="1"/>
    <n v="0"/>
    <n v="0"/>
    <n v="0"/>
    <n v="0"/>
    <n v="50"/>
    <n v="31"/>
    <n v="2024"/>
    <x v="7"/>
    <s v="店铺超链"/>
    <x v="1"/>
    <x v="2"/>
  </r>
  <r>
    <x v="1"/>
    <x v="155"/>
    <x v="0"/>
    <x v="6"/>
    <x v="30"/>
    <n v="628"/>
    <n v="407"/>
    <n v="5"/>
    <n v="5"/>
    <n v="0"/>
    <n v="0"/>
    <n v="0"/>
    <n v="0"/>
    <n v="443"/>
    <n v="204"/>
    <n v="2024"/>
    <x v="7"/>
    <s v="其他猜你喜欢"/>
    <x v="1"/>
    <x v="2"/>
  </r>
  <r>
    <x v="1"/>
    <x v="155"/>
    <x v="1"/>
    <x v="4"/>
    <x v="15"/>
    <n v="25"/>
    <n v="11"/>
    <n v="1"/>
    <n v="0"/>
    <n v="1700"/>
    <n v="1"/>
    <n v="1700"/>
    <n v="1"/>
    <n v="5"/>
    <n v="17"/>
    <n v="2024"/>
    <x v="7"/>
    <s v="购中推荐"/>
    <x v="1"/>
    <x v="2"/>
  </r>
  <r>
    <x v="1"/>
    <x v="155"/>
    <x v="1"/>
    <x v="4"/>
    <x v="16"/>
    <n v="69"/>
    <n v="38"/>
    <n v="1"/>
    <n v="1"/>
    <n v="5580"/>
    <n v="1"/>
    <n v="0"/>
    <n v="0"/>
    <n v="14"/>
    <n v="43"/>
    <n v="2024"/>
    <x v="7"/>
    <s v="购后推荐"/>
    <x v="1"/>
    <x v="2"/>
  </r>
  <r>
    <x v="1"/>
    <x v="155"/>
    <x v="1"/>
    <x v="4"/>
    <x v="17"/>
    <n v="4749"/>
    <n v="2376"/>
    <n v="112"/>
    <n v="42"/>
    <n v="60270"/>
    <n v="16"/>
    <n v="36490"/>
    <n v="12"/>
    <n v="375"/>
    <n v="4749"/>
    <n v="2024"/>
    <x v="7"/>
    <s v="首页推荐-微详情"/>
    <x v="1"/>
    <x v="2"/>
  </r>
  <r>
    <x v="1"/>
    <x v="155"/>
    <x v="1"/>
    <x v="4"/>
    <x v="18"/>
    <n v="12"/>
    <n v="7"/>
    <n v="0"/>
    <n v="0"/>
    <n v="0"/>
    <n v="0"/>
    <n v="0"/>
    <n v="0"/>
    <n v="0"/>
    <n v="0"/>
    <n v="2024"/>
    <x v="7"/>
    <s v="首页推荐-直播"/>
    <x v="1"/>
    <x v="2"/>
  </r>
  <r>
    <x v="1"/>
    <x v="155"/>
    <x v="1"/>
    <x v="4"/>
    <x v="19"/>
    <n v="847"/>
    <n v="407"/>
    <n v="8"/>
    <n v="3"/>
    <n v="6920"/>
    <n v="2"/>
    <n v="6920"/>
    <n v="2"/>
    <n v="32"/>
    <n v="197"/>
    <n v="2024"/>
    <x v="7"/>
    <s v="首页推荐-短视频"/>
    <x v="1"/>
    <x v="2"/>
  </r>
  <r>
    <x v="1"/>
    <x v="155"/>
    <x v="1"/>
    <x v="12"/>
    <x v="42"/>
    <n v="1477"/>
    <n v="1054"/>
    <n v="60"/>
    <n v="20"/>
    <n v="68103"/>
    <n v="10"/>
    <n v="45863"/>
    <n v="7"/>
    <n v="350"/>
    <n v="1365"/>
    <n v="2024"/>
    <x v="7"/>
    <s v="手淘搜索-商品及其他"/>
    <x v="1"/>
    <x v="2"/>
  </r>
  <r>
    <x v="1"/>
    <x v="155"/>
    <x v="1"/>
    <x v="12"/>
    <x v="44"/>
    <n v="382"/>
    <n v="340"/>
    <n v="3"/>
    <n v="1"/>
    <n v="7960"/>
    <n v="1"/>
    <n v="7960"/>
    <n v="1"/>
    <n v="5"/>
    <n v="371"/>
    <n v="2024"/>
    <x v="7"/>
    <s v="手淘搜索-短视频"/>
    <x v="1"/>
    <x v="2"/>
  </r>
  <r>
    <x v="1"/>
    <x v="155"/>
    <x v="1"/>
    <x v="11"/>
    <x v="37"/>
    <n v="6"/>
    <n v="4"/>
    <n v="0"/>
    <n v="0"/>
    <n v="0"/>
    <n v="0"/>
    <n v="0"/>
    <n v="0"/>
    <n v="0"/>
    <n v="6"/>
    <n v="2024"/>
    <x v="7"/>
    <s v="淘特其他渠道"/>
    <x v="1"/>
    <x v="2"/>
  </r>
  <r>
    <x v="1"/>
    <x v="155"/>
    <x v="1"/>
    <x v="11"/>
    <x v="39"/>
    <n v="16"/>
    <n v="14"/>
    <n v="0"/>
    <n v="0"/>
    <n v="0"/>
    <n v="0"/>
    <n v="0"/>
    <n v="0"/>
    <n v="0"/>
    <n v="16"/>
    <n v="2024"/>
    <x v="7"/>
    <s v="淘特搜索"/>
    <x v="1"/>
    <x v="2"/>
  </r>
  <r>
    <x v="1"/>
    <x v="155"/>
    <x v="1"/>
    <x v="11"/>
    <x v="40"/>
    <n v="1"/>
    <n v="0"/>
    <n v="0"/>
    <n v="0"/>
    <n v="0"/>
    <n v="0"/>
    <n v="0"/>
    <n v="0"/>
    <n v="0"/>
    <n v="1"/>
    <n v="2024"/>
    <x v="7"/>
    <s v="淘特自主访问"/>
    <x v="1"/>
    <x v="2"/>
  </r>
  <r>
    <x v="1"/>
    <x v="155"/>
    <x v="0"/>
    <x v="5"/>
    <x v="41"/>
    <n v="11"/>
    <n v="2"/>
    <n v="0"/>
    <n v="0"/>
    <n v="0"/>
    <n v="0"/>
    <n v="0"/>
    <n v="0"/>
    <n v="0"/>
    <n v="2"/>
    <n v="2024"/>
    <x v="7"/>
    <s v="超级直播"/>
    <x v="1"/>
    <x v="2"/>
  </r>
  <r>
    <x v="1"/>
    <x v="155"/>
    <x v="0"/>
    <x v="5"/>
    <x v="20"/>
    <n v="161"/>
    <n v="101"/>
    <n v="9"/>
    <n v="5"/>
    <n v="0"/>
    <n v="0"/>
    <n v="0"/>
    <n v="0"/>
    <n v="5"/>
    <n v="120"/>
    <n v="2024"/>
    <x v="7"/>
    <s v="超级短视频"/>
    <x v="1"/>
    <x v="2"/>
  </r>
  <r>
    <x v="1"/>
    <x v="155"/>
    <x v="0"/>
    <x v="6"/>
    <x v="48"/>
    <n v="602"/>
    <n v="524"/>
    <n v="0"/>
    <n v="0"/>
    <n v="0"/>
    <n v="0"/>
    <n v="0"/>
    <n v="0"/>
    <n v="602"/>
    <n v="104"/>
    <n v="2024"/>
    <x v="7"/>
    <s v="Showmax"/>
    <x v="1"/>
    <x v="2"/>
  </r>
  <r>
    <x v="1"/>
    <x v="155"/>
    <x v="0"/>
    <x v="6"/>
    <x v="30"/>
    <n v="291"/>
    <n v="239"/>
    <n v="0"/>
    <n v="0"/>
    <n v="0"/>
    <n v="0"/>
    <n v="0"/>
    <n v="0"/>
    <n v="291"/>
    <n v="68"/>
    <n v="2024"/>
    <x v="7"/>
    <s v="品牌特秀"/>
    <x v="1"/>
    <x v="2"/>
  </r>
  <r>
    <x v="1"/>
    <x v="155"/>
    <x v="0"/>
    <x v="6"/>
    <x v="21"/>
    <n v="608"/>
    <n v="484"/>
    <n v="21"/>
    <n v="8"/>
    <n v="12238"/>
    <n v="4"/>
    <n v="10558"/>
    <n v="4"/>
    <n v="608"/>
    <n v="344"/>
    <n v="2024"/>
    <x v="7"/>
    <s v="品销宝-品牌专区"/>
    <x v="1"/>
    <x v="2"/>
  </r>
  <r>
    <x v="1"/>
    <x v="155"/>
    <x v="0"/>
    <x v="0"/>
    <x v="2"/>
    <n v="3424"/>
    <n v="2717"/>
    <n v="70"/>
    <n v="20"/>
    <n v="76317"/>
    <n v="10"/>
    <n v="6480"/>
    <n v="2"/>
    <n v="249"/>
    <n v="3403"/>
    <n v="2024"/>
    <x v="7"/>
    <s v="直通车"/>
    <x v="1"/>
    <x v="2"/>
  </r>
  <r>
    <x v="1"/>
    <x v="155"/>
    <x v="0"/>
    <x v="0"/>
    <x v="0"/>
    <n v="4316"/>
    <n v="2321"/>
    <n v="147"/>
    <n v="69"/>
    <n v="103511"/>
    <n v="21"/>
    <n v="49226"/>
    <n v="13"/>
    <n v="208"/>
    <n v="4310"/>
    <n v="2024"/>
    <x v="7"/>
    <s v="万相台"/>
    <x v="1"/>
    <x v="2"/>
  </r>
  <r>
    <x v="1"/>
    <x v="155"/>
    <x v="0"/>
    <x v="0"/>
    <x v="1"/>
    <n v="5744"/>
    <n v="2209"/>
    <n v="87"/>
    <n v="72"/>
    <n v="43630"/>
    <n v="10"/>
    <n v="31965"/>
    <n v="8"/>
    <n v="405"/>
    <n v="5741"/>
    <n v="2024"/>
    <x v="7"/>
    <s v="引力魔方"/>
    <x v="1"/>
    <x v="2"/>
  </r>
  <r>
    <x v="1"/>
    <x v="155"/>
    <x v="0"/>
    <x v="7"/>
    <x v="23"/>
    <n v="1"/>
    <n v="1"/>
    <n v="0"/>
    <n v="0"/>
    <n v="0"/>
    <n v="0"/>
    <n v="0"/>
    <n v="0"/>
    <n v="0"/>
    <n v="1"/>
    <n v="2024"/>
    <x v="7"/>
    <s v="流量宝"/>
    <x v="1"/>
    <x v="2"/>
  </r>
  <r>
    <x v="1"/>
    <x v="155"/>
    <x v="0"/>
    <x v="7"/>
    <x v="24"/>
    <n v="350"/>
    <n v="112"/>
    <n v="4"/>
    <n v="0"/>
    <n v="9395"/>
    <n v="1"/>
    <n v="3875"/>
    <n v="1"/>
    <n v="15"/>
    <n v="346"/>
    <n v="2024"/>
    <x v="7"/>
    <s v="淘宝客"/>
    <x v="1"/>
    <x v="2"/>
  </r>
  <r>
    <x v="1"/>
    <x v="156"/>
    <x v="1"/>
    <x v="8"/>
    <x v="25"/>
    <n v="226"/>
    <n v="101"/>
    <n v="6"/>
    <n v="6"/>
    <n v="6857"/>
    <n v="2"/>
    <n v="6857"/>
    <n v="2"/>
    <n v="23"/>
    <n v="222"/>
    <n v="2024"/>
    <x v="7"/>
    <s v="主会场"/>
    <x v="1"/>
    <x v="2"/>
  </r>
  <r>
    <x v="1"/>
    <x v="156"/>
    <x v="1"/>
    <x v="8"/>
    <x v="26"/>
    <n v="5"/>
    <n v="5"/>
    <n v="0"/>
    <n v="0"/>
    <n v="0"/>
    <n v="0"/>
    <n v="0"/>
    <n v="0"/>
    <n v="2"/>
    <n v="5"/>
    <n v="2024"/>
    <x v="7"/>
    <s v="榜单会场"/>
    <x v="1"/>
    <x v="2"/>
  </r>
  <r>
    <x v="1"/>
    <x v="156"/>
    <x v="1"/>
    <x v="1"/>
    <x v="3"/>
    <n v="18"/>
    <n v="17"/>
    <n v="2"/>
    <n v="1"/>
    <n v="3900"/>
    <n v="1"/>
    <n v="3900"/>
    <n v="1"/>
    <n v="3"/>
    <n v="18"/>
    <n v="2024"/>
    <x v="7"/>
    <s v="其他入口榜单"/>
    <x v="1"/>
    <x v="2"/>
  </r>
  <r>
    <x v="1"/>
    <x v="156"/>
    <x v="1"/>
    <x v="1"/>
    <x v="35"/>
    <n v="1"/>
    <n v="1"/>
    <n v="0"/>
    <n v="0"/>
    <n v="0"/>
    <n v="0"/>
    <n v="0"/>
    <n v="0"/>
    <n v="0"/>
    <n v="1"/>
    <n v="2024"/>
    <x v="7"/>
    <s v="搜索入口榜单"/>
    <x v="1"/>
    <x v="2"/>
  </r>
  <r>
    <x v="1"/>
    <x v="156"/>
    <x v="1"/>
    <x v="3"/>
    <x v="11"/>
    <n v="378"/>
    <n v="146"/>
    <n v="23"/>
    <n v="7"/>
    <n v="54390.3"/>
    <n v="9"/>
    <n v="45040.3"/>
    <n v="8"/>
    <n v="81"/>
    <n v="367"/>
    <n v="2024"/>
    <x v="7"/>
    <s v="商品详情页头图推荐"/>
    <x v="1"/>
    <x v="2"/>
  </r>
  <r>
    <x v="1"/>
    <x v="156"/>
    <x v="1"/>
    <x v="3"/>
    <x v="12"/>
    <n v="61"/>
    <n v="30"/>
    <n v="7"/>
    <n v="1"/>
    <n v="4447.5"/>
    <n v="1"/>
    <n v="4447.5"/>
    <n v="1"/>
    <n v="51"/>
    <n v="32"/>
    <n v="2024"/>
    <x v="7"/>
    <s v="店铺超链"/>
    <x v="1"/>
    <x v="2"/>
  </r>
  <r>
    <x v="1"/>
    <x v="156"/>
    <x v="0"/>
    <x v="6"/>
    <x v="30"/>
    <n v="969"/>
    <n v="694"/>
    <n v="13"/>
    <n v="4"/>
    <n v="5827"/>
    <n v="2"/>
    <n v="5827"/>
    <n v="2"/>
    <n v="732"/>
    <n v="255"/>
    <n v="2024"/>
    <x v="7"/>
    <s v="其他猜你喜欢"/>
    <x v="1"/>
    <x v="2"/>
  </r>
  <r>
    <x v="1"/>
    <x v="156"/>
    <x v="1"/>
    <x v="4"/>
    <x v="15"/>
    <n v="25"/>
    <n v="15"/>
    <n v="0"/>
    <n v="0"/>
    <n v="0"/>
    <n v="0"/>
    <n v="0"/>
    <n v="0"/>
    <n v="1"/>
    <n v="17"/>
    <n v="2024"/>
    <x v="7"/>
    <s v="购中推荐"/>
    <x v="1"/>
    <x v="2"/>
  </r>
  <r>
    <x v="1"/>
    <x v="156"/>
    <x v="1"/>
    <x v="4"/>
    <x v="16"/>
    <n v="104"/>
    <n v="48"/>
    <n v="4"/>
    <n v="1"/>
    <n v="0"/>
    <n v="0"/>
    <n v="0"/>
    <n v="0"/>
    <n v="9"/>
    <n v="68"/>
    <n v="2024"/>
    <x v="7"/>
    <s v="购后推荐"/>
    <x v="1"/>
    <x v="2"/>
  </r>
  <r>
    <x v="1"/>
    <x v="156"/>
    <x v="1"/>
    <x v="4"/>
    <x v="17"/>
    <n v="4769"/>
    <n v="2187"/>
    <n v="116"/>
    <n v="45"/>
    <n v="206367.5"/>
    <n v="27"/>
    <n v="121798.5"/>
    <n v="23"/>
    <n v="351"/>
    <n v="4769"/>
    <n v="2024"/>
    <x v="7"/>
    <s v="首页推荐-微详情"/>
    <x v="1"/>
    <x v="2"/>
  </r>
  <r>
    <x v="1"/>
    <x v="156"/>
    <x v="1"/>
    <x v="4"/>
    <x v="18"/>
    <n v="1971"/>
    <n v="1630"/>
    <n v="1"/>
    <n v="0"/>
    <n v="0"/>
    <n v="0"/>
    <n v="0"/>
    <n v="0"/>
    <n v="0"/>
    <n v="49"/>
    <n v="2024"/>
    <x v="7"/>
    <s v="首页推荐-直播"/>
    <x v="1"/>
    <x v="2"/>
  </r>
  <r>
    <x v="1"/>
    <x v="156"/>
    <x v="1"/>
    <x v="4"/>
    <x v="19"/>
    <n v="839"/>
    <n v="321"/>
    <n v="8"/>
    <n v="1"/>
    <n v="15000"/>
    <n v="2"/>
    <n v="3900"/>
    <n v="1"/>
    <n v="29"/>
    <n v="195"/>
    <n v="2024"/>
    <x v="7"/>
    <s v="首页推荐-短视频"/>
    <x v="1"/>
    <x v="2"/>
  </r>
  <r>
    <x v="1"/>
    <x v="156"/>
    <x v="1"/>
    <x v="12"/>
    <x v="42"/>
    <n v="1852"/>
    <n v="1398"/>
    <n v="229"/>
    <n v="13"/>
    <n v="347058.95"/>
    <n v="77"/>
    <n v="290361.95"/>
    <n v="70"/>
    <n v="447"/>
    <n v="1677"/>
    <n v="2024"/>
    <x v="7"/>
    <s v="手淘搜索-商品及其他"/>
    <x v="1"/>
    <x v="2"/>
  </r>
  <r>
    <x v="1"/>
    <x v="156"/>
    <x v="1"/>
    <x v="12"/>
    <x v="43"/>
    <n v="36"/>
    <n v="26"/>
    <n v="2"/>
    <n v="0"/>
    <n v="0"/>
    <n v="0"/>
    <n v="0"/>
    <n v="0"/>
    <n v="1"/>
    <n v="17"/>
    <n v="2024"/>
    <x v="7"/>
    <s v="手淘搜索-直播"/>
    <x v="1"/>
    <x v="2"/>
  </r>
  <r>
    <x v="1"/>
    <x v="156"/>
    <x v="1"/>
    <x v="12"/>
    <x v="44"/>
    <n v="213"/>
    <n v="173"/>
    <n v="3"/>
    <n v="1"/>
    <n v="20060"/>
    <n v="3"/>
    <n v="16130"/>
    <n v="3"/>
    <n v="15"/>
    <n v="190"/>
    <n v="2024"/>
    <x v="7"/>
    <s v="手淘搜索-短视频"/>
    <x v="1"/>
    <x v="2"/>
  </r>
  <r>
    <x v="1"/>
    <x v="156"/>
    <x v="1"/>
    <x v="11"/>
    <x v="37"/>
    <n v="4"/>
    <n v="3"/>
    <n v="0"/>
    <n v="0"/>
    <n v="0"/>
    <n v="0"/>
    <n v="0"/>
    <n v="0"/>
    <n v="0"/>
    <n v="4"/>
    <n v="2024"/>
    <x v="7"/>
    <s v="淘特其他渠道"/>
    <x v="1"/>
    <x v="2"/>
  </r>
  <r>
    <x v="1"/>
    <x v="156"/>
    <x v="1"/>
    <x v="11"/>
    <x v="39"/>
    <n v="11"/>
    <n v="10"/>
    <n v="0"/>
    <n v="0"/>
    <n v="0"/>
    <n v="0"/>
    <n v="0"/>
    <n v="0"/>
    <n v="0"/>
    <n v="11"/>
    <n v="2024"/>
    <x v="7"/>
    <s v="淘特搜索"/>
    <x v="1"/>
    <x v="2"/>
  </r>
  <r>
    <x v="1"/>
    <x v="156"/>
    <x v="0"/>
    <x v="5"/>
    <x v="41"/>
    <n v="1526"/>
    <n v="1072"/>
    <n v="16"/>
    <n v="2"/>
    <n v="0"/>
    <n v="0"/>
    <n v="0"/>
    <n v="0"/>
    <n v="38"/>
    <n v="362"/>
    <n v="2024"/>
    <x v="7"/>
    <s v="超级直播"/>
    <x v="1"/>
    <x v="2"/>
  </r>
  <r>
    <x v="1"/>
    <x v="156"/>
    <x v="0"/>
    <x v="5"/>
    <x v="20"/>
    <n v="444"/>
    <n v="338"/>
    <n v="11"/>
    <n v="8"/>
    <n v="0"/>
    <n v="0"/>
    <n v="0"/>
    <n v="0"/>
    <n v="7"/>
    <n v="382"/>
    <n v="2024"/>
    <x v="7"/>
    <s v="超级短视频"/>
    <x v="1"/>
    <x v="2"/>
  </r>
  <r>
    <x v="1"/>
    <x v="156"/>
    <x v="0"/>
    <x v="6"/>
    <x v="48"/>
    <n v="283"/>
    <n v="248"/>
    <n v="0"/>
    <n v="0"/>
    <n v="0"/>
    <n v="0"/>
    <n v="0"/>
    <n v="0"/>
    <n v="283"/>
    <n v="44"/>
    <n v="2024"/>
    <x v="7"/>
    <s v="Showmax"/>
    <x v="1"/>
    <x v="2"/>
  </r>
  <r>
    <x v="1"/>
    <x v="156"/>
    <x v="0"/>
    <x v="6"/>
    <x v="30"/>
    <n v="322"/>
    <n v="275"/>
    <n v="0"/>
    <n v="0"/>
    <n v="0"/>
    <n v="0"/>
    <n v="0"/>
    <n v="0"/>
    <n v="322"/>
    <n v="78"/>
    <n v="2024"/>
    <x v="7"/>
    <s v="品牌特秀"/>
    <x v="1"/>
    <x v="2"/>
  </r>
  <r>
    <x v="1"/>
    <x v="156"/>
    <x v="0"/>
    <x v="6"/>
    <x v="21"/>
    <n v="703"/>
    <n v="565"/>
    <n v="38"/>
    <n v="4"/>
    <n v="103852"/>
    <n v="13"/>
    <n v="69742"/>
    <n v="11"/>
    <n v="703"/>
    <n v="403"/>
    <n v="2024"/>
    <x v="7"/>
    <s v="品销宝-品牌专区"/>
    <x v="1"/>
    <x v="2"/>
  </r>
  <r>
    <x v="1"/>
    <x v="156"/>
    <x v="0"/>
    <x v="6"/>
    <x v="49"/>
    <n v="1"/>
    <n v="1"/>
    <n v="0"/>
    <n v="0"/>
    <n v="0"/>
    <n v="0"/>
    <n v="0"/>
    <n v="0"/>
    <n v="0"/>
    <n v="1"/>
    <n v="2024"/>
    <x v="7"/>
    <s v="超级全域通"/>
    <x v="1"/>
    <x v="2"/>
  </r>
  <r>
    <x v="1"/>
    <x v="156"/>
    <x v="0"/>
    <x v="0"/>
    <x v="2"/>
    <n v="4695"/>
    <n v="3937"/>
    <n v="241"/>
    <n v="34"/>
    <n v="353181"/>
    <n v="72"/>
    <n v="302443"/>
    <n v="68"/>
    <n v="405"/>
    <n v="4641"/>
    <n v="2024"/>
    <x v="7"/>
    <s v="直通车"/>
    <x v="1"/>
    <x v="2"/>
  </r>
  <r>
    <x v="1"/>
    <x v="156"/>
    <x v="0"/>
    <x v="0"/>
    <x v="0"/>
    <n v="5211"/>
    <n v="2679"/>
    <n v="239"/>
    <n v="79"/>
    <n v="291769.52"/>
    <n v="58"/>
    <n v="190734.02"/>
    <n v="48"/>
    <n v="376"/>
    <n v="5197"/>
    <n v="2024"/>
    <x v="7"/>
    <s v="万相台"/>
    <x v="1"/>
    <x v="2"/>
  </r>
  <r>
    <x v="1"/>
    <x v="156"/>
    <x v="0"/>
    <x v="0"/>
    <x v="1"/>
    <n v="7619"/>
    <n v="3055"/>
    <n v="156"/>
    <n v="79"/>
    <n v="83054"/>
    <n v="20"/>
    <n v="80064"/>
    <n v="19"/>
    <n v="605"/>
    <n v="7614"/>
    <n v="2024"/>
    <x v="7"/>
    <s v="引力魔方"/>
    <x v="1"/>
    <x v="2"/>
  </r>
  <r>
    <x v="1"/>
    <x v="156"/>
    <x v="0"/>
    <x v="7"/>
    <x v="23"/>
    <n v="1"/>
    <n v="0"/>
    <n v="0"/>
    <n v="0"/>
    <n v="0"/>
    <n v="0"/>
    <n v="0"/>
    <n v="0"/>
    <n v="0"/>
    <n v="1"/>
    <n v="2024"/>
    <x v="7"/>
    <s v="流量宝"/>
    <x v="1"/>
    <x v="2"/>
  </r>
  <r>
    <x v="1"/>
    <x v="156"/>
    <x v="0"/>
    <x v="7"/>
    <x v="24"/>
    <n v="352"/>
    <n v="113"/>
    <n v="9"/>
    <n v="0"/>
    <n v="29499.27"/>
    <n v="8"/>
    <n v="21597.27"/>
    <n v="6"/>
    <n v="18"/>
    <n v="340"/>
    <n v="2024"/>
    <x v="7"/>
    <s v="淘宝客"/>
    <x v="1"/>
    <x v="2"/>
  </r>
  <r>
    <x v="1"/>
    <x v="157"/>
    <x v="1"/>
    <x v="8"/>
    <x v="25"/>
    <n v="282"/>
    <n v="137"/>
    <n v="7"/>
    <n v="15"/>
    <n v="0"/>
    <n v="0"/>
    <n v="0"/>
    <n v="0"/>
    <n v="26"/>
    <n v="275"/>
    <n v="2024"/>
    <x v="7"/>
    <s v="主会场"/>
    <x v="1"/>
    <x v="2"/>
  </r>
  <r>
    <x v="1"/>
    <x v="157"/>
    <x v="1"/>
    <x v="1"/>
    <x v="3"/>
    <n v="1"/>
    <n v="0"/>
    <n v="0"/>
    <n v="0"/>
    <n v="0"/>
    <n v="0"/>
    <n v="0"/>
    <n v="0"/>
    <n v="0"/>
    <n v="1"/>
    <n v="2024"/>
    <x v="7"/>
    <s v="其他入口榜单"/>
    <x v="1"/>
    <x v="2"/>
  </r>
  <r>
    <x v="1"/>
    <x v="157"/>
    <x v="1"/>
    <x v="3"/>
    <x v="11"/>
    <n v="377"/>
    <n v="149"/>
    <n v="26"/>
    <n v="8"/>
    <n v="25540"/>
    <n v="6"/>
    <n v="24042"/>
    <n v="6"/>
    <n v="75"/>
    <n v="367"/>
    <n v="2024"/>
    <x v="7"/>
    <s v="商品详情页头图推荐"/>
    <x v="1"/>
    <x v="2"/>
  </r>
  <r>
    <x v="1"/>
    <x v="157"/>
    <x v="1"/>
    <x v="3"/>
    <x v="12"/>
    <n v="72"/>
    <n v="35"/>
    <n v="2"/>
    <n v="1"/>
    <n v="3900"/>
    <n v="1"/>
    <n v="0"/>
    <n v="0"/>
    <n v="62"/>
    <n v="32"/>
    <n v="2024"/>
    <x v="7"/>
    <s v="店铺超链"/>
    <x v="1"/>
    <x v="2"/>
  </r>
  <r>
    <x v="1"/>
    <x v="157"/>
    <x v="0"/>
    <x v="6"/>
    <x v="30"/>
    <n v="801"/>
    <n v="571"/>
    <n v="10"/>
    <n v="3"/>
    <n v="25975"/>
    <n v="4"/>
    <n v="25975"/>
    <n v="4"/>
    <n v="598"/>
    <n v="217"/>
    <n v="2024"/>
    <x v="7"/>
    <s v="其他猜你喜欢"/>
    <x v="1"/>
    <x v="2"/>
  </r>
  <r>
    <x v="1"/>
    <x v="157"/>
    <x v="1"/>
    <x v="4"/>
    <x v="15"/>
    <n v="23"/>
    <n v="13"/>
    <n v="1"/>
    <n v="1"/>
    <n v="0"/>
    <n v="0"/>
    <n v="0"/>
    <n v="0"/>
    <n v="3"/>
    <n v="18"/>
    <n v="2024"/>
    <x v="7"/>
    <s v="购中推荐"/>
    <x v="1"/>
    <x v="2"/>
  </r>
  <r>
    <x v="1"/>
    <x v="157"/>
    <x v="1"/>
    <x v="4"/>
    <x v="16"/>
    <n v="113"/>
    <n v="67"/>
    <n v="1"/>
    <n v="0"/>
    <n v="0"/>
    <n v="0"/>
    <n v="0"/>
    <n v="0"/>
    <n v="22"/>
    <n v="60"/>
    <n v="2024"/>
    <x v="7"/>
    <s v="购后推荐"/>
    <x v="1"/>
    <x v="2"/>
  </r>
  <r>
    <x v="1"/>
    <x v="157"/>
    <x v="1"/>
    <x v="4"/>
    <x v="17"/>
    <n v="5838"/>
    <n v="3021"/>
    <n v="132"/>
    <n v="53"/>
    <n v="75629.5"/>
    <n v="18"/>
    <n v="71719.5"/>
    <n v="17"/>
    <n v="423"/>
    <n v="5838"/>
    <n v="2024"/>
    <x v="7"/>
    <s v="首页推荐-微详情"/>
    <x v="1"/>
    <x v="2"/>
  </r>
  <r>
    <x v="1"/>
    <x v="157"/>
    <x v="1"/>
    <x v="4"/>
    <x v="18"/>
    <n v="1472"/>
    <n v="1194"/>
    <n v="0"/>
    <n v="1"/>
    <n v="0"/>
    <n v="0"/>
    <n v="0"/>
    <n v="0"/>
    <n v="3"/>
    <n v="46"/>
    <n v="2024"/>
    <x v="7"/>
    <s v="首页推荐-直播"/>
    <x v="1"/>
    <x v="2"/>
  </r>
  <r>
    <x v="1"/>
    <x v="157"/>
    <x v="1"/>
    <x v="4"/>
    <x v="19"/>
    <n v="1075"/>
    <n v="519"/>
    <n v="22"/>
    <n v="3"/>
    <n v="3450"/>
    <n v="1"/>
    <n v="3450"/>
    <n v="1"/>
    <n v="45"/>
    <n v="257"/>
    <n v="2024"/>
    <x v="7"/>
    <s v="首页推荐-短视频"/>
    <x v="1"/>
    <x v="2"/>
  </r>
  <r>
    <x v="1"/>
    <x v="157"/>
    <x v="1"/>
    <x v="12"/>
    <x v="42"/>
    <n v="1678"/>
    <n v="1236"/>
    <n v="136"/>
    <n v="27"/>
    <n v="187650.11"/>
    <n v="50"/>
    <n v="158740.10999999999"/>
    <n v="45"/>
    <n v="393"/>
    <n v="1551"/>
    <n v="2024"/>
    <x v="7"/>
    <s v="手淘搜索-商品及其他"/>
    <x v="1"/>
    <x v="2"/>
  </r>
  <r>
    <x v="1"/>
    <x v="157"/>
    <x v="1"/>
    <x v="12"/>
    <x v="43"/>
    <n v="35"/>
    <n v="25"/>
    <n v="1"/>
    <n v="0"/>
    <n v="0"/>
    <n v="0"/>
    <n v="0"/>
    <n v="0"/>
    <n v="3"/>
    <n v="18"/>
    <n v="2024"/>
    <x v="7"/>
    <s v="手淘搜索-直播"/>
    <x v="1"/>
    <x v="2"/>
  </r>
  <r>
    <x v="1"/>
    <x v="157"/>
    <x v="1"/>
    <x v="12"/>
    <x v="44"/>
    <n v="335"/>
    <n v="306"/>
    <n v="3"/>
    <n v="0"/>
    <n v="0"/>
    <n v="0"/>
    <n v="0"/>
    <n v="0"/>
    <n v="7"/>
    <n v="319"/>
    <n v="2024"/>
    <x v="7"/>
    <s v="手淘搜索-短视频"/>
    <x v="1"/>
    <x v="2"/>
  </r>
  <r>
    <x v="1"/>
    <x v="157"/>
    <x v="1"/>
    <x v="11"/>
    <x v="37"/>
    <n v="6"/>
    <n v="2"/>
    <n v="0"/>
    <n v="0"/>
    <n v="0"/>
    <n v="0"/>
    <n v="0"/>
    <n v="0"/>
    <n v="1"/>
    <n v="6"/>
    <n v="2024"/>
    <x v="7"/>
    <s v="淘特其他渠道"/>
    <x v="1"/>
    <x v="2"/>
  </r>
  <r>
    <x v="1"/>
    <x v="157"/>
    <x v="1"/>
    <x v="11"/>
    <x v="39"/>
    <n v="11"/>
    <n v="10"/>
    <n v="0"/>
    <n v="1"/>
    <n v="0"/>
    <n v="0"/>
    <n v="0"/>
    <n v="0"/>
    <n v="0"/>
    <n v="11"/>
    <n v="2024"/>
    <x v="7"/>
    <s v="淘特搜索"/>
    <x v="1"/>
    <x v="2"/>
  </r>
  <r>
    <x v="1"/>
    <x v="157"/>
    <x v="1"/>
    <x v="11"/>
    <x v="40"/>
    <n v="1"/>
    <n v="0"/>
    <n v="0"/>
    <n v="0"/>
    <n v="0"/>
    <n v="0"/>
    <n v="0"/>
    <n v="0"/>
    <n v="0"/>
    <n v="1"/>
    <n v="2024"/>
    <x v="7"/>
    <s v="淘特自主访问"/>
    <x v="1"/>
    <x v="2"/>
  </r>
  <r>
    <x v="1"/>
    <x v="157"/>
    <x v="0"/>
    <x v="5"/>
    <x v="47"/>
    <n v="1"/>
    <n v="0"/>
    <n v="0"/>
    <n v="0"/>
    <n v="0"/>
    <n v="0"/>
    <n v="0"/>
    <n v="0"/>
    <n v="0"/>
    <n v="1"/>
    <n v="2024"/>
    <x v="7"/>
    <s v="短直联动"/>
    <x v="1"/>
    <x v="2"/>
  </r>
  <r>
    <x v="1"/>
    <x v="157"/>
    <x v="0"/>
    <x v="5"/>
    <x v="41"/>
    <n v="1441"/>
    <n v="983"/>
    <n v="21"/>
    <n v="2"/>
    <n v="0"/>
    <n v="0"/>
    <n v="0"/>
    <n v="0"/>
    <n v="48"/>
    <n v="348"/>
    <n v="2024"/>
    <x v="7"/>
    <s v="超级直播"/>
    <x v="1"/>
    <x v="2"/>
  </r>
  <r>
    <x v="1"/>
    <x v="157"/>
    <x v="0"/>
    <x v="5"/>
    <x v="20"/>
    <n v="139"/>
    <n v="89"/>
    <n v="3"/>
    <n v="4"/>
    <n v="0"/>
    <n v="0"/>
    <n v="0"/>
    <n v="0"/>
    <n v="3"/>
    <n v="108"/>
    <n v="2024"/>
    <x v="7"/>
    <s v="超级短视频"/>
    <x v="1"/>
    <x v="2"/>
  </r>
  <r>
    <x v="1"/>
    <x v="157"/>
    <x v="0"/>
    <x v="6"/>
    <x v="48"/>
    <n v="370"/>
    <n v="314"/>
    <n v="0"/>
    <n v="0"/>
    <n v="0"/>
    <n v="0"/>
    <n v="0"/>
    <n v="0"/>
    <n v="370"/>
    <n v="60"/>
    <n v="2024"/>
    <x v="7"/>
    <s v="Showmax"/>
    <x v="1"/>
    <x v="2"/>
  </r>
  <r>
    <x v="1"/>
    <x v="157"/>
    <x v="0"/>
    <x v="6"/>
    <x v="30"/>
    <n v="382"/>
    <n v="315"/>
    <n v="0"/>
    <n v="0"/>
    <n v="0"/>
    <n v="0"/>
    <n v="0"/>
    <n v="0"/>
    <n v="382"/>
    <n v="95"/>
    <n v="2024"/>
    <x v="7"/>
    <s v="品牌特秀"/>
    <x v="1"/>
    <x v="2"/>
  </r>
  <r>
    <x v="1"/>
    <x v="157"/>
    <x v="0"/>
    <x v="6"/>
    <x v="21"/>
    <n v="684"/>
    <n v="533"/>
    <n v="36"/>
    <n v="5"/>
    <n v="20818"/>
    <n v="5"/>
    <n v="20818"/>
    <n v="5"/>
    <n v="684"/>
    <n v="411"/>
    <n v="2024"/>
    <x v="7"/>
    <s v="品销宝-品牌专区"/>
    <x v="1"/>
    <x v="2"/>
  </r>
  <r>
    <x v="1"/>
    <x v="157"/>
    <x v="0"/>
    <x v="0"/>
    <x v="2"/>
    <n v="4386"/>
    <n v="3697"/>
    <n v="168"/>
    <n v="22"/>
    <n v="213483"/>
    <n v="49"/>
    <n v="180678"/>
    <n v="45"/>
    <n v="322"/>
    <n v="4334"/>
    <n v="2024"/>
    <x v="7"/>
    <s v="直通车"/>
    <x v="1"/>
    <x v="2"/>
  </r>
  <r>
    <x v="1"/>
    <x v="157"/>
    <x v="0"/>
    <x v="0"/>
    <x v="0"/>
    <n v="4815"/>
    <n v="2519"/>
    <n v="197"/>
    <n v="82"/>
    <n v="160815.19"/>
    <n v="40"/>
    <n v="139060.19"/>
    <n v="37"/>
    <n v="378"/>
    <n v="4808"/>
    <n v="2024"/>
    <x v="7"/>
    <s v="万相台"/>
    <x v="1"/>
    <x v="2"/>
  </r>
  <r>
    <x v="1"/>
    <x v="157"/>
    <x v="0"/>
    <x v="0"/>
    <x v="1"/>
    <n v="7247"/>
    <n v="3063"/>
    <n v="154"/>
    <n v="92"/>
    <n v="121792"/>
    <n v="22"/>
    <n v="88625"/>
    <n v="17"/>
    <n v="626"/>
    <n v="7247"/>
    <n v="2024"/>
    <x v="7"/>
    <s v="引力魔方"/>
    <x v="1"/>
    <x v="2"/>
  </r>
  <r>
    <x v="1"/>
    <x v="157"/>
    <x v="0"/>
    <x v="7"/>
    <x v="23"/>
    <n v="5"/>
    <n v="2"/>
    <n v="0"/>
    <n v="0"/>
    <n v="0"/>
    <n v="0"/>
    <n v="0"/>
    <n v="0"/>
    <n v="1"/>
    <n v="5"/>
    <n v="2024"/>
    <x v="7"/>
    <s v="流量宝"/>
    <x v="1"/>
    <x v="2"/>
  </r>
  <r>
    <x v="1"/>
    <x v="157"/>
    <x v="0"/>
    <x v="7"/>
    <x v="24"/>
    <n v="381"/>
    <n v="139"/>
    <n v="9"/>
    <n v="2"/>
    <n v="14564"/>
    <n v="4"/>
    <n v="10487"/>
    <n v="4"/>
    <n v="31"/>
    <n v="373"/>
    <n v="2024"/>
    <x v="7"/>
    <s v="淘宝客"/>
    <x v="1"/>
    <x v="2"/>
  </r>
  <r>
    <x v="1"/>
    <x v="14"/>
    <x v="1"/>
    <x v="8"/>
    <x v="25"/>
    <n v="235"/>
    <n v="128"/>
    <n v="8"/>
    <n v="12"/>
    <n v="2300"/>
    <n v="1"/>
    <n v="2300"/>
    <n v="1"/>
    <n v="27"/>
    <n v="232"/>
    <n v="2024"/>
    <x v="7"/>
    <s v="主会场"/>
    <x v="1"/>
    <x v="2"/>
  </r>
  <r>
    <x v="1"/>
    <x v="14"/>
    <x v="1"/>
    <x v="1"/>
    <x v="3"/>
    <n v="2"/>
    <n v="2"/>
    <n v="0"/>
    <n v="0"/>
    <n v="0"/>
    <n v="0"/>
    <n v="0"/>
    <n v="0"/>
    <n v="0"/>
    <n v="2"/>
    <n v="2024"/>
    <x v="7"/>
    <s v="其他入口榜单"/>
    <x v="1"/>
    <x v="2"/>
  </r>
  <r>
    <x v="1"/>
    <x v="14"/>
    <x v="1"/>
    <x v="3"/>
    <x v="11"/>
    <n v="355"/>
    <n v="134"/>
    <n v="19"/>
    <n v="11"/>
    <n v="30542.74"/>
    <n v="9"/>
    <n v="21176.37"/>
    <n v="8"/>
    <n v="68"/>
    <n v="348"/>
    <n v="2024"/>
    <x v="7"/>
    <s v="商品详情页头图推荐"/>
    <x v="1"/>
    <x v="2"/>
  </r>
  <r>
    <x v="1"/>
    <x v="14"/>
    <x v="1"/>
    <x v="3"/>
    <x v="12"/>
    <n v="68"/>
    <n v="33"/>
    <n v="3"/>
    <n v="2"/>
    <n v="6832.74"/>
    <n v="1"/>
    <n v="3416.37"/>
    <n v="1"/>
    <n v="62"/>
    <n v="33"/>
    <n v="2024"/>
    <x v="7"/>
    <s v="店铺超链"/>
    <x v="1"/>
    <x v="2"/>
  </r>
  <r>
    <x v="1"/>
    <x v="14"/>
    <x v="0"/>
    <x v="6"/>
    <x v="30"/>
    <n v="1259"/>
    <n v="943"/>
    <n v="14"/>
    <n v="4"/>
    <n v="20200"/>
    <n v="5"/>
    <n v="10510"/>
    <n v="3"/>
    <n v="982"/>
    <n v="292"/>
    <n v="2024"/>
    <x v="7"/>
    <s v="其他猜你喜欢"/>
    <x v="1"/>
    <x v="2"/>
  </r>
  <r>
    <x v="1"/>
    <x v="14"/>
    <x v="1"/>
    <x v="4"/>
    <x v="15"/>
    <n v="29"/>
    <n v="17"/>
    <n v="1"/>
    <n v="0"/>
    <n v="0"/>
    <n v="0"/>
    <n v="0"/>
    <n v="0"/>
    <n v="2"/>
    <n v="21"/>
    <n v="2024"/>
    <x v="7"/>
    <s v="购中推荐"/>
    <x v="1"/>
    <x v="2"/>
  </r>
  <r>
    <x v="1"/>
    <x v="14"/>
    <x v="1"/>
    <x v="4"/>
    <x v="16"/>
    <n v="189"/>
    <n v="131"/>
    <n v="2"/>
    <n v="0"/>
    <n v="2457"/>
    <n v="1"/>
    <n v="2457"/>
    <n v="1"/>
    <n v="78"/>
    <n v="69"/>
    <n v="2024"/>
    <x v="7"/>
    <s v="购后推荐"/>
    <x v="1"/>
    <x v="2"/>
  </r>
  <r>
    <x v="1"/>
    <x v="14"/>
    <x v="1"/>
    <x v="4"/>
    <x v="17"/>
    <n v="5279"/>
    <n v="2730"/>
    <n v="122"/>
    <n v="64"/>
    <n v="58512"/>
    <n v="13"/>
    <n v="48064.5"/>
    <n v="12"/>
    <n v="401"/>
    <n v="5279"/>
    <n v="2024"/>
    <x v="7"/>
    <s v="首页推荐-微详情"/>
    <x v="1"/>
    <x v="2"/>
  </r>
  <r>
    <x v="1"/>
    <x v="14"/>
    <x v="1"/>
    <x v="4"/>
    <x v="18"/>
    <n v="683"/>
    <n v="451"/>
    <n v="1"/>
    <n v="0"/>
    <n v="0"/>
    <n v="0"/>
    <n v="0"/>
    <n v="0"/>
    <n v="4"/>
    <n v="47"/>
    <n v="2024"/>
    <x v="7"/>
    <s v="首页推荐-直播"/>
    <x v="1"/>
    <x v="2"/>
  </r>
  <r>
    <x v="1"/>
    <x v="14"/>
    <x v="1"/>
    <x v="4"/>
    <x v="19"/>
    <n v="886"/>
    <n v="381"/>
    <n v="11"/>
    <n v="1"/>
    <n v="6240"/>
    <n v="2"/>
    <n v="1990"/>
    <n v="1"/>
    <n v="33"/>
    <n v="211"/>
    <n v="2024"/>
    <x v="7"/>
    <s v="首页推荐-短视频"/>
    <x v="1"/>
    <x v="2"/>
  </r>
  <r>
    <x v="1"/>
    <x v="14"/>
    <x v="1"/>
    <x v="12"/>
    <x v="42"/>
    <n v="1675"/>
    <n v="1244"/>
    <n v="122"/>
    <n v="19"/>
    <n v="156693.5"/>
    <n v="35"/>
    <n v="133182"/>
    <n v="29"/>
    <n v="412"/>
    <n v="1503"/>
    <n v="2024"/>
    <x v="7"/>
    <s v="手淘搜索-商品及其他"/>
    <x v="1"/>
    <x v="2"/>
  </r>
  <r>
    <x v="1"/>
    <x v="14"/>
    <x v="1"/>
    <x v="12"/>
    <x v="43"/>
    <n v="19"/>
    <n v="8"/>
    <n v="1"/>
    <n v="0"/>
    <n v="7967"/>
    <n v="1"/>
    <n v="7967"/>
    <n v="1"/>
    <n v="1"/>
    <n v="12"/>
    <n v="2024"/>
    <x v="7"/>
    <s v="手淘搜索-直播"/>
    <x v="1"/>
    <x v="2"/>
  </r>
  <r>
    <x v="1"/>
    <x v="14"/>
    <x v="1"/>
    <x v="12"/>
    <x v="44"/>
    <n v="496"/>
    <n v="465"/>
    <n v="2"/>
    <n v="1"/>
    <n v="0"/>
    <n v="0"/>
    <n v="0"/>
    <n v="0"/>
    <n v="2"/>
    <n v="489"/>
    <n v="2024"/>
    <x v="7"/>
    <s v="手淘搜索-短视频"/>
    <x v="1"/>
    <x v="2"/>
  </r>
  <r>
    <x v="1"/>
    <x v="14"/>
    <x v="1"/>
    <x v="11"/>
    <x v="37"/>
    <n v="4"/>
    <n v="4"/>
    <n v="0"/>
    <n v="1"/>
    <n v="0"/>
    <n v="0"/>
    <n v="0"/>
    <n v="0"/>
    <n v="0"/>
    <n v="4"/>
    <n v="2024"/>
    <x v="7"/>
    <s v="淘特其他渠道"/>
    <x v="1"/>
    <x v="2"/>
  </r>
  <r>
    <x v="1"/>
    <x v="14"/>
    <x v="1"/>
    <x v="11"/>
    <x v="39"/>
    <n v="15"/>
    <n v="15"/>
    <n v="0"/>
    <n v="1"/>
    <n v="0"/>
    <n v="0"/>
    <n v="0"/>
    <n v="0"/>
    <n v="0"/>
    <n v="15"/>
    <n v="2024"/>
    <x v="7"/>
    <s v="淘特搜索"/>
    <x v="1"/>
    <x v="2"/>
  </r>
  <r>
    <x v="1"/>
    <x v="14"/>
    <x v="1"/>
    <x v="11"/>
    <x v="40"/>
    <n v="1"/>
    <n v="0"/>
    <n v="0"/>
    <n v="0"/>
    <n v="0"/>
    <n v="0"/>
    <n v="0"/>
    <n v="0"/>
    <n v="0"/>
    <n v="1"/>
    <n v="2024"/>
    <x v="7"/>
    <s v="淘特自主访问"/>
    <x v="1"/>
    <x v="2"/>
  </r>
  <r>
    <x v="1"/>
    <x v="14"/>
    <x v="0"/>
    <x v="5"/>
    <x v="41"/>
    <n v="1404"/>
    <n v="1069"/>
    <n v="7"/>
    <n v="7"/>
    <n v="0"/>
    <n v="0"/>
    <n v="0"/>
    <n v="0"/>
    <n v="26"/>
    <n v="118"/>
    <n v="2024"/>
    <x v="7"/>
    <s v="超级直播"/>
    <x v="1"/>
    <x v="2"/>
  </r>
  <r>
    <x v="1"/>
    <x v="14"/>
    <x v="0"/>
    <x v="5"/>
    <x v="20"/>
    <n v="168"/>
    <n v="120"/>
    <n v="4"/>
    <n v="6"/>
    <n v="0"/>
    <n v="0"/>
    <n v="0"/>
    <n v="0"/>
    <n v="0"/>
    <n v="143"/>
    <n v="2024"/>
    <x v="7"/>
    <s v="超级短视频"/>
    <x v="1"/>
    <x v="2"/>
  </r>
  <r>
    <x v="1"/>
    <x v="14"/>
    <x v="0"/>
    <x v="6"/>
    <x v="48"/>
    <n v="73"/>
    <n v="60"/>
    <n v="0"/>
    <n v="0"/>
    <n v="0"/>
    <n v="0"/>
    <n v="0"/>
    <n v="0"/>
    <n v="73"/>
    <n v="9"/>
    <n v="2024"/>
    <x v="7"/>
    <s v="Showmax"/>
    <x v="1"/>
    <x v="2"/>
  </r>
  <r>
    <x v="1"/>
    <x v="14"/>
    <x v="0"/>
    <x v="6"/>
    <x v="30"/>
    <n v="173"/>
    <n v="152"/>
    <n v="0"/>
    <n v="0"/>
    <n v="0"/>
    <n v="0"/>
    <n v="0"/>
    <n v="0"/>
    <n v="173"/>
    <n v="40"/>
    <n v="2024"/>
    <x v="7"/>
    <s v="品牌特秀"/>
    <x v="1"/>
    <x v="2"/>
  </r>
  <r>
    <x v="1"/>
    <x v="14"/>
    <x v="0"/>
    <x v="6"/>
    <x v="21"/>
    <n v="625"/>
    <n v="485"/>
    <n v="30"/>
    <n v="9"/>
    <n v="16405"/>
    <n v="3"/>
    <n v="15110"/>
    <n v="3"/>
    <n v="625"/>
    <n v="372"/>
    <n v="2024"/>
    <x v="7"/>
    <s v="品销宝-品牌专区"/>
    <x v="1"/>
    <x v="2"/>
  </r>
  <r>
    <x v="1"/>
    <x v="14"/>
    <x v="0"/>
    <x v="0"/>
    <x v="2"/>
    <n v="5283"/>
    <n v="4581"/>
    <n v="329"/>
    <n v="31"/>
    <n v="408379.5"/>
    <n v="89"/>
    <n v="361029.5"/>
    <n v="83"/>
    <n v="445"/>
    <n v="5226"/>
    <n v="2024"/>
    <x v="7"/>
    <s v="直通车"/>
    <x v="1"/>
    <x v="2"/>
  </r>
  <r>
    <x v="1"/>
    <x v="14"/>
    <x v="0"/>
    <x v="0"/>
    <x v="0"/>
    <n v="4894"/>
    <n v="2460"/>
    <n v="219"/>
    <n v="73"/>
    <n v="240303"/>
    <n v="49"/>
    <n v="188085"/>
    <n v="41"/>
    <n v="350"/>
    <n v="4891"/>
    <n v="2024"/>
    <x v="7"/>
    <s v="万相台"/>
    <x v="1"/>
    <x v="2"/>
  </r>
  <r>
    <x v="1"/>
    <x v="14"/>
    <x v="0"/>
    <x v="0"/>
    <x v="1"/>
    <n v="6933"/>
    <n v="3053"/>
    <n v="154"/>
    <n v="84"/>
    <n v="76180.740000000005"/>
    <n v="19"/>
    <n v="51896.37"/>
    <n v="15"/>
    <n v="566"/>
    <n v="6931"/>
    <n v="2024"/>
    <x v="7"/>
    <s v="引力魔方"/>
    <x v="1"/>
    <x v="2"/>
  </r>
  <r>
    <x v="1"/>
    <x v="14"/>
    <x v="0"/>
    <x v="7"/>
    <x v="23"/>
    <n v="3"/>
    <n v="1"/>
    <n v="0"/>
    <n v="0"/>
    <n v="0"/>
    <n v="0"/>
    <n v="0"/>
    <n v="0"/>
    <n v="1"/>
    <n v="3"/>
    <n v="2024"/>
    <x v="7"/>
    <s v="流量宝"/>
    <x v="1"/>
    <x v="2"/>
  </r>
  <r>
    <x v="1"/>
    <x v="14"/>
    <x v="0"/>
    <x v="7"/>
    <x v="24"/>
    <n v="392"/>
    <n v="146"/>
    <n v="14"/>
    <n v="0"/>
    <n v="28180"/>
    <n v="5"/>
    <n v="28180"/>
    <n v="5"/>
    <n v="23"/>
    <n v="385"/>
    <n v="2024"/>
    <x v="7"/>
    <s v="淘宝客"/>
    <x v="1"/>
    <x v="2"/>
  </r>
  <r>
    <x v="1"/>
    <x v="158"/>
    <x v="1"/>
    <x v="8"/>
    <x v="25"/>
    <n v="203"/>
    <n v="100"/>
    <n v="7"/>
    <n v="3"/>
    <n v="9298"/>
    <n v="2"/>
    <n v="9298"/>
    <n v="2"/>
    <n v="19"/>
    <n v="200"/>
    <n v="2024"/>
    <x v="6"/>
    <s v="主会场"/>
    <x v="1"/>
    <x v="2"/>
  </r>
  <r>
    <x v="1"/>
    <x v="158"/>
    <x v="1"/>
    <x v="8"/>
    <x v="26"/>
    <n v="3"/>
    <n v="2"/>
    <n v="1"/>
    <n v="0"/>
    <n v="0"/>
    <n v="0"/>
    <n v="0"/>
    <n v="0"/>
    <n v="0"/>
    <n v="3"/>
    <n v="2024"/>
    <x v="6"/>
    <s v="榜单会场"/>
    <x v="1"/>
    <x v="2"/>
  </r>
  <r>
    <x v="1"/>
    <x v="158"/>
    <x v="1"/>
    <x v="1"/>
    <x v="3"/>
    <n v="2"/>
    <n v="1"/>
    <n v="0"/>
    <n v="0"/>
    <n v="0"/>
    <n v="0"/>
    <n v="0"/>
    <n v="0"/>
    <n v="1"/>
    <n v="2"/>
    <n v="2024"/>
    <x v="6"/>
    <s v="其他入口榜单"/>
    <x v="1"/>
    <x v="2"/>
  </r>
  <r>
    <x v="1"/>
    <x v="158"/>
    <x v="1"/>
    <x v="1"/>
    <x v="35"/>
    <n v="1"/>
    <n v="0"/>
    <n v="0"/>
    <n v="0"/>
    <n v="0"/>
    <n v="0"/>
    <n v="0"/>
    <n v="0"/>
    <n v="0"/>
    <n v="1"/>
    <n v="2024"/>
    <x v="6"/>
    <s v="搜索入口榜单"/>
    <x v="1"/>
    <x v="2"/>
  </r>
  <r>
    <x v="1"/>
    <x v="158"/>
    <x v="1"/>
    <x v="3"/>
    <x v="11"/>
    <n v="379"/>
    <n v="138"/>
    <n v="32"/>
    <n v="3"/>
    <n v="51977.32"/>
    <n v="11"/>
    <n v="51977.32"/>
    <n v="11"/>
    <n v="83"/>
    <n v="361"/>
    <n v="2024"/>
    <x v="6"/>
    <s v="商品详情页头图推荐"/>
    <x v="1"/>
    <x v="2"/>
  </r>
  <r>
    <x v="1"/>
    <x v="158"/>
    <x v="1"/>
    <x v="3"/>
    <x v="12"/>
    <n v="102"/>
    <n v="56"/>
    <n v="9"/>
    <n v="1"/>
    <n v="24604"/>
    <n v="6"/>
    <n v="24604"/>
    <n v="6"/>
    <n v="87"/>
    <n v="59"/>
    <n v="2024"/>
    <x v="6"/>
    <s v="店铺超链"/>
    <x v="1"/>
    <x v="2"/>
  </r>
  <r>
    <x v="1"/>
    <x v="158"/>
    <x v="0"/>
    <x v="6"/>
    <x v="30"/>
    <n v="1529"/>
    <n v="1208"/>
    <n v="8"/>
    <n v="0"/>
    <n v="37896"/>
    <n v="7"/>
    <n v="29112"/>
    <n v="7"/>
    <n v="1305"/>
    <n v="241"/>
    <n v="2024"/>
    <x v="6"/>
    <s v="其他猜你喜欢"/>
    <x v="1"/>
    <x v="2"/>
  </r>
  <r>
    <x v="1"/>
    <x v="158"/>
    <x v="1"/>
    <x v="4"/>
    <x v="15"/>
    <n v="40"/>
    <n v="19"/>
    <n v="2"/>
    <n v="0"/>
    <n v="0"/>
    <n v="0"/>
    <n v="0"/>
    <n v="0"/>
    <n v="10"/>
    <n v="27"/>
    <n v="2024"/>
    <x v="6"/>
    <s v="购中推荐"/>
    <x v="1"/>
    <x v="2"/>
  </r>
  <r>
    <x v="1"/>
    <x v="158"/>
    <x v="1"/>
    <x v="4"/>
    <x v="16"/>
    <n v="122"/>
    <n v="85"/>
    <n v="0"/>
    <n v="0"/>
    <n v="0"/>
    <n v="0"/>
    <n v="0"/>
    <n v="0"/>
    <n v="61"/>
    <n v="42"/>
    <n v="2024"/>
    <x v="6"/>
    <s v="购后推荐"/>
    <x v="1"/>
    <x v="2"/>
  </r>
  <r>
    <x v="1"/>
    <x v="158"/>
    <x v="1"/>
    <x v="4"/>
    <x v="17"/>
    <n v="5100"/>
    <n v="2595"/>
    <n v="146"/>
    <n v="46"/>
    <n v="204884.88"/>
    <n v="37"/>
    <n v="147885.88"/>
    <n v="31"/>
    <n v="428"/>
    <n v="5100"/>
    <n v="2024"/>
    <x v="6"/>
    <s v="首页推荐-微详情"/>
    <x v="1"/>
    <x v="2"/>
  </r>
  <r>
    <x v="1"/>
    <x v="158"/>
    <x v="1"/>
    <x v="4"/>
    <x v="18"/>
    <n v="369"/>
    <n v="202"/>
    <n v="0"/>
    <n v="0"/>
    <n v="8734"/>
    <n v="1"/>
    <n v="8734"/>
    <n v="1"/>
    <n v="0"/>
    <n v="45"/>
    <n v="2024"/>
    <x v="6"/>
    <s v="首页推荐-直播"/>
    <x v="1"/>
    <x v="2"/>
  </r>
  <r>
    <x v="1"/>
    <x v="158"/>
    <x v="1"/>
    <x v="4"/>
    <x v="19"/>
    <n v="910"/>
    <n v="389"/>
    <n v="16"/>
    <n v="1"/>
    <n v="20701.09"/>
    <n v="6"/>
    <n v="20701.09"/>
    <n v="6"/>
    <n v="37"/>
    <n v="225"/>
    <n v="2024"/>
    <x v="6"/>
    <s v="首页推荐-短视频"/>
    <x v="1"/>
    <x v="2"/>
  </r>
  <r>
    <x v="1"/>
    <x v="158"/>
    <x v="1"/>
    <x v="12"/>
    <x v="42"/>
    <n v="1928"/>
    <n v="1502"/>
    <n v="174"/>
    <n v="20"/>
    <n v="214241.5"/>
    <n v="53"/>
    <n v="189037.5"/>
    <n v="47"/>
    <n v="380"/>
    <n v="1790"/>
    <n v="2024"/>
    <x v="6"/>
    <s v="手淘搜索-商品及其他"/>
    <x v="1"/>
    <x v="2"/>
  </r>
  <r>
    <x v="1"/>
    <x v="158"/>
    <x v="1"/>
    <x v="12"/>
    <x v="43"/>
    <n v="39"/>
    <n v="17"/>
    <n v="4"/>
    <n v="1"/>
    <n v="6350"/>
    <n v="2"/>
    <n v="6350"/>
    <n v="2"/>
    <n v="3"/>
    <n v="28"/>
    <n v="2024"/>
    <x v="6"/>
    <s v="手淘搜索-直播"/>
    <x v="1"/>
    <x v="2"/>
  </r>
  <r>
    <x v="1"/>
    <x v="158"/>
    <x v="1"/>
    <x v="12"/>
    <x v="44"/>
    <n v="700"/>
    <n v="653"/>
    <n v="3"/>
    <n v="0"/>
    <n v="2300"/>
    <n v="1"/>
    <n v="2300"/>
    <n v="1"/>
    <n v="4"/>
    <n v="691"/>
    <n v="2024"/>
    <x v="6"/>
    <s v="手淘搜索-短视频"/>
    <x v="1"/>
    <x v="2"/>
  </r>
  <r>
    <x v="1"/>
    <x v="158"/>
    <x v="1"/>
    <x v="11"/>
    <x v="37"/>
    <n v="4"/>
    <n v="3"/>
    <n v="0"/>
    <n v="0"/>
    <n v="0"/>
    <n v="0"/>
    <n v="0"/>
    <n v="0"/>
    <n v="0"/>
    <n v="4"/>
    <n v="2024"/>
    <x v="6"/>
    <s v="淘特其他渠道"/>
    <x v="1"/>
    <x v="2"/>
  </r>
  <r>
    <x v="1"/>
    <x v="158"/>
    <x v="1"/>
    <x v="11"/>
    <x v="39"/>
    <n v="11"/>
    <n v="11"/>
    <n v="0"/>
    <n v="0"/>
    <n v="0"/>
    <n v="0"/>
    <n v="0"/>
    <n v="0"/>
    <n v="0"/>
    <n v="11"/>
    <n v="2024"/>
    <x v="6"/>
    <s v="淘特搜索"/>
    <x v="1"/>
    <x v="2"/>
  </r>
  <r>
    <x v="1"/>
    <x v="158"/>
    <x v="0"/>
    <x v="5"/>
    <x v="47"/>
    <n v="1"/>
    <n v="1"/>
    <n v="0"/>
    <n v="0"/>
    <n v="0"/>
    <n v="0"/>
    <n v="0"/>
    <n v="0"/>
    <n v="0"/>
    <n v="0"/>
    <n v="2024"/>
    <x v="6"/>
    <s v="短直联动"/>
    <x v="1"/>
    <x v="2"/>
  </r>
  <r>
    <x v="1"/>
    <x v="158"/>
    <x v="0"/>
    <x v="5"/>
    <x v="41"/>
    <n v="1654"/>
    <n v="1280"/>
    <n v="8"/>
    <n v="0"/>
    <n v="0"/>
    <n v="0"/>
    <n v="0"/>
    <n v="0"/>
    <n v="23"/>
    <n v="210"/>
    <n v="2024"/>
    <x v="6"/>
    <s v="超级直播"/>
    <x v="1"/>
    <x v="2"/>
  </r>
  <r>
    <x v="1"/>
    <x v="158"/>
    <x v="0"/>
    <x v="5"/>
    <x v="20"/>
    <n v="203"/>
    <n v="164"/>
    <n v="2"/>
    <n v="2"/>
    <n v="0"/>
    <n v="0"/>
    <n v="0"/>
    <n v="0"/>
    <n v="2"/>
    <n v="143"/>
    <n v="2024"/>
    <x v="6"/>
    <s v="超级短视频"/>
    <x v="1"/>
    <x v="2"/>
  </r>
  <r>
    <x v="1"/>
    <x v="158"/>
    <x v="0"/>
    <x v="6"/>
    <x v="21"/>
    <n v="803"/>
    <n v="613"/>
    <n v="39"/>
    <n v="11"/>
    <n v="50896"/>
    <n v="14"/>
    <n v="48101"/>
    <n v="13"/>
    <n v="803"/>
    <n v="478"/>
    <n v="2024"/>
    <x v="6"/>
    <s v="品销宝-品牌专区"/>
    <x v="1"/>
    <x v="2"/>
  </r>
  <r>
    <x v="1"/>
    <x v="158"/>
    <x v="0"/>
    <x v="0"/>
    <x v="2"/>
    <n v="5926"/>
    <n v="5068"/>
    <n v="391"/>
    <n v="43"/>
    <n v="496476.5"/>
    <n v="128"/>
    <n v="397017"/>
    <n v="114"/>
    <n v="462"/>
    <n v="5865"/>
    <n v="2024"/>
    <x v="6"/>
    <s v="直通车"/>
    <x v="1"/>
    <x v="2"/>
  </r>
  <r>
    <x v="1"/>
    <x v="158"/>
    <x v="0"/>
    <x v="0"/>
    <x v="0"/>
    <n v="4314"/>
    <n v="1981"/>
    <n v="269"/>
    <n v="62"/>
    <n v="556602.5"/>
    <n v="115"/>
    <n v="510869.5"/>
    <n v="109"/>
    <n v="378"/>
    <n v="4306"/>
    <n v="2024"/>
    <x v="6"/>
    <s v="万相台"/>
    <x v="1"/>
    <x v="2"/>
  </r>
  <r>
    <x v="1"/>
    <x v="158"/>
    <x v="0"/>
    <x v="0"/>
    <x v="1"/>
    <n v="5547"/>
    <n v="2308"/>
    <n v="139"/>
    <n v="74"/>
    <n v="103499.29"/>
    <n v="25"/>
    <n v="80639.289999999994"/>
    <n v="23"/>
    <n v="437"/>
    <n v="5543"/>
    <n v="2024"/>
    <x v="6"/>
    <s v="引力魔方"/>
    <x v="1"/>
    <x v="2"/>
  </r>
  <r>
    <x v="1"/>
    <x v="158"/>
    <x v="0"/>
    <x v="7"/>
    <x v="23"/>
    <n v="2"/>
    <n v="2"/>
    <n v="0"/>
    <n v="0"/>
    <n v="0"/>
    <n v="0"/>
    <n v="0"/>
    <n v="0"/>
    <n v="0"/>
    <n v="2"/>
    <n v="2024"/>
    <x v="6"/>
    <s v="流量宝"/>
    <x v="1"/>
    <x v="2"/>
  </r>
  <r>
    <x v="1"/>
    <x v="158"/>
    <x v="0"/>
    <x v="7"/>
    <x v="24"/>
    <n v="339"/>
    <n v="127"/>
    <n v="17"/>
    <n v="1"/>
    <n v="37901"/>
    <n v="8"/>
    <n v="33433"/>
    <n v="6"/>
    <n v="21"/>
    <n v="326"/>
    <n v="2024"/>
    <x v="6"/>
    <s v="淘宝客"/>
    <x v="1"/>
    <x v="2"/>
  </r>
  <r>
    <x v="1"/>
    <x v="159"/>
    <x v="1"/>
    <x v="8"/>
    <x v="25"/>
    <n v="180"/>
    <n v="87"/>
    <n v="5"/>
    <n v="1"/>
    <n v="3900"/>
    <n v="1"/>
    <n v="0"/>
    <n v="0"/>
    <n v="18"/>
    <n v="169"/>
    <n v="2024"/>
    <x v="6"/>
    <s v="主会场"/>
    <x v="1"/>
    <x v="2"/>
  </r>
  <r>
    <x v="1"/>
    <x v="159"/>
    <x v="1"/>
    <x v="8"/>
    <x v="26"/>
    <n v="1"/>
    <n v="0"/>
    <n v="0"/>
    <n v="0"/>
    <n v="0"/>
    <n v="0"/>
    <n v="0"/>
    <n v="0"/>
    <n v="0"/>
    <n v="1"/>
    <n v="2024"/>
    <x v="6"/>
    <s v="榜单会场"/>
    <x v="1"/>
    <x v="2"/>
  </r>
  <r>
    <x v="1"/>
    <x v="159"/>
    <x v="1"/>
    <x v="1"/>
    <x v="3"/>
    <n v="2"/>
    <n v="1"/>
    <n v="0"/>
    <n v="0"/>
    <n v="0"/>
    <n v="0"/>
    <n v="0"/>
    <n v="0"/>
    <n v="1"/>
    <n v="2"/>
    <n v="2024"/>
    <x v="6"/>
    <s v="其他入口榜单"/>
    <x v="1"/>
    <x v="2"/>
  </r>
  <r>
    <x v="1"/>
    <x v="159"/>
    <x v="1"/>
    <x v="3"/>
    <x v="11"/>
    <n v="364"/>
    <n v="138"/>
    <n v="24"/>
    <n v="9"/>
    <n v="17747"/>
    <n v="3"/>
    <n v="17747"/>
    <n v="3"/>
    <n v="66"/>
    <n v="355"/>
    <n v="2024"/>
    <x v="6"/>
    <s v="商品详情页头图推荐"/>
    <x v="1"/>
    <x v="2"/>
  </r>
  <r>
    <x v="1"/>
    <x v="159"/>
    <x v="1"/>
    <x v="3"/>
    <x v="12"/>
    <n v="77"/>
    <n v="38"/>
    <n v="8"/>
    <n v="2"/>
    <n v="3980"/>
    <n v="1"/>
    <n v="0"/>
    <n v="0"/>
    <n v="63"/>
    <n v="41"/>
    <n v="2024"/>
    <x v="6"/>
    <s v="店铺超链"/>
    <x v="1"/>
    <x v="2"/>
  </r>
  <r>
    <x v="1"/>
    <x v="159"/>
    <x v="0"/>
    <x v="6"/>
    <x v="30"/>
    <n v="1374"/>
    <n v="1081"/>
    <n v="6"/>
    <n v="2"/>
    <n v="0"/>
    <n v="0"/>
    <n v="0"/>
    <n v="0"/>
    <n v="1145"/>
    <n v="245"/>
    <n v="2024"/>
    <x v="6"/>
    <s v="其他猜你喜欢"/>
    <x v="1"/>
    <x v="2"/>
  </r>
  <r>
    <x v="1"/>
    <x v="159"/>
    <x v="1"/>
    <x v="4"/>
    <x v="15"/>
    <n v="39"/>
    <n v="22"/>
    <n v="0"/>
    <n v="0"/>
    <n v="0"/>
    <n v="0"/>
    <n v="0"/>
    <n v="0"/>
    <n v="12"/>
    <n v="22"/>
    <n v="2024"/>
    <x v="6"/>
    <s v="购中推荐"/>
    <x v="1"/>
    <x v="2"/>
  </r>
  <r>
    <x v="1"/>
    <x v="159"/>
    <x v="1"/>
    <x v="4"/>
    <x v="16"/>
    <n v="186"/>
    <n v="130"/>
    <n v="2"/>
    <n v="1"/>
    <n v="0"/>
    <n v="0"/>
    <n v="0"/>
    <n v="0"/>
    <n v="68"/>
    <n v="61"/>
    <n v="2024"/>
    <x v="6"/>
    <s v="购后推荐"/>
    <x v="1"/>
    <x v="2"/>
  </r>
  <r>
    <x v="1"/>
    <x v="159"/>
    <x v="1"/>
    <x v="4"/>
    <x v="17"/>
    <n v="5071"/>
    <n v="2636"/>
    <n v="122"/>
    <n v="45"/>
    <n v="45463.5"/>
    <n v="12"/>
    <n v="29649"/>
    <n v="9"/>
    <n v="334"/>
    <n v="5071"/>
    <n v="2024"/>
    <x v="6"/>
    <s v="首页推荐-微详情"/>
    <x v="1"/>
    <x v="2"/>
  </r>
  <r>
    <x v="1"/>
    <x v="159"/>
    <x v="1"/>
    <x v="4"/>
    <x v="18"/>
    <n v="2973"/>
    <n v="2700"/>
    <n v="2"/>
    <n v="0"/>
    <n v="0"/>
    <n v="0"/>
    <n v="0"/>
    <n v="0"/>
    <n v="5"/>
    <n v="50"/>
    <n v="2024"/>
    <x v="6"/>
    <s v="首页推荐-直播"/>
    <x v="1"/>
    <x v="2"/>
  </r>
  <r>
    <x v="1"/>
    <x v="159"/>
    <x v="1"/>
    <x v="4"/>
    <x v="19"/>
    <n v="885"/>
    <n v="391"/>
    <n v="10"/>
    <n v="5"/>
    <n v="9705"/>
    <n v="3"/>
    <n v="9705"/>
    <n v="3"/>
    <n v="24"/>
    <n v="226"/>
    <n v="2024"/>
    <x v="6"/>
    <s v="首页推荐-短视频"/>
    <x v="1"/>
    <x v="2"/>
  </r>
  <r>
    <x v="1"/>
    <x v="159"/>
    <x v="1"/>
    <x v="12"/>
    <x v="42"/>
    <n v="1482"/>
    <n v="1107"/>
    <n v="59"/>
    <n v="15"/>
    <n v="63467.5"/>
    <n v="7"/>
    <n v="42345"/>
    <n v="4"/>
    <n v="307"/>
    <n v="1363"/>
    <n v="2024"/>
    <x v="6"/>
    <s v="手淘搜索-商品及其他"/>
    <x v="1"/>
    <x v="2"/>
  </r>
  <r>
    <x v="1"/>
    <x v="159"/>
    <x v="1"/>
    <x v="12"/>
    <x v="43"/>
    <n v="113"/>
    <n v="101"/>
    <n v="2"/>
    <n v="0"/>
    <n v="0"/>
    <n v="0"/>
    <n v="0"/>
    <n v="0"/>
    <n v="4"/>
    <n v="18"/>
    <n v="2024"/>
    <x v="6"/>
    <s v="手淘搜索-直播"/>
    <x v="1"/>
    <x v="2"/>
  </r>
  <r>
    <x v="1"/>
    <x v="159"/>
    <x v="1"/>
    <x v="12"/>
    <x v="44"/>
    <n v="693"/>
    <n v="652"/>
    <n v="2"/>
    <n v="3"/>
    <n v="0"/>
    <n v="0"/>
    <n v="0"/>
    <n v="0"/>
    <n v="5"/>
    <n v="674"/>
    <n v="2024"/>
    <x v="6"/>
    <s v="手淘搜索-短视频"/>
    <x v="1"/>
    <x v="2"/>
  </r>
  <r>
    <x v="1"/>
    <x v="159"/>
    <x v="1"/>
    <x v="11"/>
    <x v="37"/>
    <n v="1"/>
    <n v="1"/>
    <n v="0"/>
    <n v="0"/>
    <n v="0"/>
    <n v="0"/>
    <n v="0"/>
    <n v="0"/>
    <n v="0"/>
    <n v="1"/>
    <n v="2024"/>
    <x v="6"/>
    <s v="淘特其他渠道"/>
    <x v="1"/>
    <x v="2"/>
  </r>
  <r>
    <x v="1"/>
    <x v="159"/>
    <x v="1"/>
    <x v="11"/>
    <x v="39"/>
    <n v="9"/>
    <n v="8"/>
    <n v="0"/>
    <n v="0"/>
    <n v="0"/>
    <n v="0"/>
    <n v="0"/>
    <n v="0"/>
    <n v="0"/>
    <n v="9"/>
    <n v="2024"/>
    <x v="6"/>
    <s v="淘特搜索"/>
    <x v="1"/>
    <x v="2"/>
  </r>
  <r>
    <x v="1"/>
    <x v="159"/>
    <x v="1"/>
    <x v="11"/>
    <x v="40"/>
    <n v="1"/>
    <n v="1"/>
    <n v="0"/>
    <n v="0"/>
    <n v="0"/>
    <n v="0"/>
    <n v="0"/>
    <n v="0"/>
    <n v="0"/>
    <n v="1"/>
    <n v="2024"/>
    <x v="6"/>
    <s v="淘特自主访问"/>
    <x v="1"/>
    <x v="2"/>
  </r>
  <r>
    <x v="1"/>
    <x v="159"/>
    <x v="0"/>
    <x v="5"/>
    <x v="47"/>
    <n v="1"/>
    <n v="1"/>
    <n v="0"/>
    <n v="0"/>
    <n v="0"/>
    <n v="0"/>
    <n v="0"/>
    <n v="0"/>
    <n v="0"/>
    <n v="0"/>
    <n v="2024"/>
    <x v="6"/>
    <s v="短直联动"/>
    <x v="1"/>
    <x v="2"/>
  </r>
  <r>
    <x v="1"/>
    <x v="159"/>
    <x v="0"/>
    <x v="5"/>
    <x v="41"/>
    <n v="1434"/>
    <n v="1234"/>
    <n v="6"/>
    <n v="1"/>
    <n v="0"/>
    <n v="0"/>
    <n v="0"/>
    <n v="0"/>
    <n v="19"/>
    <n v="74"/>
    <n v="2024"/>
    <x v="6"/>
    <s v="超级直播"/>
    <x v="1"/>
    <x v="2"/>
  </r>
  <r>
    <x v="1"/>
    <x v="159"/>
    <x v="0"/>
    <x v="5"/>
    <x v="20"/>
    <n v="263"/>
    <n v="172"/>
    <n v="4"/>
    <n v="5"/>
    <n v="0"/>
    <n v="0"/>
    <n v="0"/>
    <n v="0"/>
    <n v="4"/>
    <n v="182"/>
    <n v="2024"/>
    <x v="6"/>
    <s v="超级短视频"/>
    <x v="1"/>
    <x v="2"/>
  </r>
  <r>
    <x v="1"/>
    <x v="159"/>
    <x v="0"/>
    <x v="6"/>
    <x v="30"/>
    <n v="2"/>
    <n v="2"/>
    <n v="0"/>
    <n v="0"/>
    <n v="0"/>
    <n v="0"/>
    <n v="0"/>
    <n v="0"/>
    <n v="2"/>
    <n v="0"/>
    <n v="2024"/>
    <x v="6"/>
    <s v="品牌特秀"/>
    <x v="1"/>
    <x v="2"/>
  </r>
  <r>
    <x v="1"/>
    <x v="159"/>
    <x v="0"/>
    <x v="6"/>
    <x v="21"/>
    <n v="663"/>
    <n v="523"/>
    <n v="41"/>
    <n v="8"/>
    <n v="25695"/>
    <n v="7"/>
    <n v="20330"/>
    <n v="6"/>
    <n v="663"/>
    <n v="402"/>
    <n v="2024"/>
    <x v="6"/>
    <s v="品销宝-品牌专区"/>
    <x v="1"/>
    <x v="2"/>
  </r>
  <r>
    <x v="1"/>
    <x v="159"/>
    <x v="0"/>
    <x v="0"/>
    <x v="2"/>
    <n v="5483"/>
    <n v="4578"/>
    <n v="96"/>
    <n v="39"/>
    <n v="40707.5"/>
    <n v="6"/>
    <n v="11500"/>
    <n v="2"/>
    <n v="369"/>
    <n v="5444"/>
    <n v="2024"/>
    <x v="6"/>
    <s v="直通车"/>
    <x v="1"/>
    <x v="2"/>
  </r>
  <r>
    <x v="1"/>
    <x v="159"/>
    <x v="0"/>
    <x v="0"/>
    <x v="0"/>
    <n v="4107"/>
    <n v="1973"/>
    <n v="170"/>
    <n v="69"/>
    <n v="133972.5"/>
    <n v="24"/>
    <n v="77337.5"/>
    <n v="15"/>
    <n v="258"/>
    <n v="4098"/>
    <n v="2024"/>
    <x v="6"/>
    <s v="万相台"/>
    <x v="1"/>
    <x v="2"/>
  </r>
  <r>
    <x v="1"/>
    <x v="159"/>
    <x v="0"/>
    <x v="0"/>
    <x v="1"/>
    <n v="6045"/>
    <n v="2694"/>
    <n v="113"/>
    <n v="53"/>
    <n v="50730"/>
    <n v="10"/>
    <n v="24757.5"/>
    <n v="6"/>
    <n v="457"/>
    <n v="6043"/>
    <n v="2024"/>
    <x v="6"/>
    <s v="引力魔方"/>
    <x v="1"/>
    <x v="2"/>
  </r>
  <r>
    <x v="1"/>
    <x v="159"/>
    <x v="0"/>
    <x v="7"/>
    <x v="22"/>
    <n v="1"/>
    <n v="1"/>
    <n v="0"/>
    <n v="0"/>
    <n v="0"/>
    <n v="0"/>
    <n v="0"/>
    <n v="0"/>
    <n v="0"/>
    <n v="0"/>
    <n v="2024"/>
    <x v="6"/>
    <s v="UD效果投放"/>
    <x v="1"/>
    <x v="2"/>
  </r>
  <r>
    <x v="1"/>
    <x v="159"/>
    <x v="0"/>
    <x v="7"/>
    <x v="23"/>
    <n v="2"/>
    <n v="0"/>
    <n v="0"/>
    <n v="0"/>
    <n v="0"/>
    <n v="0"/>
    <n v="0"/>
    <n v="0"/>
    <n v="0"/>
    <n v="2"/>
    <n v="2024"/>
    <x v="6"/>
    <s v="流量宝"/>
    <x v="1"/>
    <x v="2"/>
  </r>
  <r>
    <x v="1"/>
    <x v="159"/>
    <x v="0"/>
    <x v="7"/>
    <x v="24"/>
    <n v="269"/>
    <n v="82"/>
    <n v="9"/>
    <n v="0"/>
    <n v="5530"/>
    <n v="1"/>
    <n v="5530"/>
    <n v="1"/>
    <n v="17"/>
    <n v="265"/>
    <n v="2024"/>
    <x v="6"/>
    <s v="淘宝客"/>
    <x v="1"/>
    <x v="2"/>
  </r>
  <r>
    <x v="1"/>
    <x v="160"/>
    <x v="1"/>
    <x v="8"/>
    <x v="25"/>
    <n v="184"/>
    <n v="89"/>
    <n v="8"/>
    <n v="7"/>
    <n v="8980"/>
    <n v="2"/>
    <n v="5580"/>
    <n v="1"/>
    <n v="23"/>
    <n v="177"/>
    <n v="2024"/>
    <x v="6"/>
    <s v="主会场"/>
    <x v="1"/>
    <x v="2"/>
  </r>
  <r>
    <x v="1"/>
    <x v="160"/>
    <x v="1"/>
    <x v="8"/>
    <x v="26"/>
    <n v="1"/>
    <n v="1"/>
    <n v="0"/>
    <n v="0"/>
    <n v="0"/>
    <n v="0"/>
    <n v="0"/>
    <n v="0"/>
    <n v="1"/>
    <n v="1"/>
    <n v="2024"/>
    <x v="6"/>
    <s v="榜单会场"/>
    <x v="1"/>
    <x v="2"/>
  </r>
  <r>
    <x v="1"/>
    <x v="160"/>
    <x v="1"/>
    <x v="1"/>
    <x v="3"/>
    <n v="2"/>
    <n v="0"/>
    <n v="0"/>
    <n v="0"/>
    <n v="0"/>
    <n v="0"/>
    <n v="0"/>
    <n v="0"/>
    <n v="0"/>
    <n v="2"/>
    <n v="2024"/>
    <x v="6"/>
    <s v="其他入口榜单"/>
    <x v="1"/>
    <x v="2"/>
  </r>
  <r>
    <x v="1"/>
    <x v="160"/>
    <x v="1"/>
    <x v="2"/>
    <x v="4"/>
    <n v="1"/>
    <n v="0"/>
    <n v="0"/>
    <n v="0"/>
    <n v="0"/>
    <n v="0"/>
    <n v="0"/>
    <n v="0"/>
    <n v="1"/>
    <n v="0"/>
    <n v="2024"/>
    <x v="6"/>
    <s v="手机浏览器访问天猫"/>
    <x v="1"/>
    <x v="2"/>
  </r>
  <r>
    <x v="1"/>
    <x v="160"/>
    <x v="1"/>
    <x v="2"/>
    <x v="5"/>
    <n v="65"/>
    <n v="23"/>
    <n v="1"/>
    <n v="0"/>
    <n v="5580"/>
    <n v="1"/>
    <n v="5580"/>
    <n v="1"/>
    <n v="25"/>
    <n v="54"/>
    <n v="2024"/>
    <x v="6"/>
    <s v="手猫免费其他"/>
    <x v="1"/>
    <x v="2"/>
  </r>
  <r>
    <x v="1"/>
    <x v="160"/>
    <x v="1"/>
    <x v="2"/>
    <x v="6"/>
    <n v="34"/>
    <n v="13"/>
    <n v="6"/>
    <n v="0"/>
    <n v="11880"/>
    <n v="1"/>
    <n v="5940"/>
    <n v="1"/>
    <n v="0"/>
    <n v="34"/>
    <n v="2024"/>
    <x v="6"/>
    <s v="手猫其他店铺"/>
    <x v="1"/>
    <x v="2"/>
  </r>
  <r>
    <x v="1"/>
    <x v="160"/>
    <x v="1"/>
    <x v="2"/>
    <x v="7"/>
    <n v="53"/>
    <n v="17"/>
    <n v="5"/>
    <n v="0"/>
    <n v="0"/>
    <n v="0"/>
    <n v="0"/>
    <n v="0"/>
    <n v="10"/>
    <n v="52"/>
    <n v="2024"/>
    <x v="6"/>
    <s v="手猫商品详情"/>
    <x v="1"/>
    <x v="2"/>
  </r>
  <r>
    <x v="1"/>
    <x v="160"/>
    <x v="1"/>
    <x v="2"/>
    <x v="8"/>
    <n v="102"/>
    <n v="51"/>
    <n v="9"/>
    <n v="0"/>
    <n v="17460"/>
    <n v="2"/>
    <n v="11520"/>
    <n v="2"/>
    <n v="30"/>
    <n v="92"/>
    <n v="2024"/>
    <x v="6"/>
    <s v="手猫搜索"/>
    <x v="1"/>
    <x v="2"/>
  </r>
  <r>
    <x v="1"/>
    <x v="160"/>
    <x v="1"/>
    <x v="2"/>
    <x v="9"/>
    <n v="6"/>
    <n v="0"/>
    <n v="0"/>
    <n v="0"/>
    <n v="0"/>
    <n v="0"/>
    <n v="0"/>
    <n v="0"/>
    <n v="0"/>
    <n v="6"/>
    <n v="2024"/>
    <x v="6"/>
    <s v="手猫旺信聊天"/>
    <x v="1"/>
    <x v="2"/>
  </r>
  <r>
    <x v="1"/>
    <x v="160"/>
    <x v="1"/>
    <x v="2"/>
    <x v="29"/>
    <n v="4"/>
    <n v="2"/>
    <n v="0"/>
    <n v="0"/>
    <n v="0"/>
    <n v="0"/>
    <n v="0"/>
    <n v="0"/>
    <n v="0"/>
    <n v="4"/>
    <n v="2024"/>
    <x v="6"/>
    <s v="手猫消息中心"/>
    <x v="1"/>
    <x v="2"/>
  </r>
  <r>
    <x v="1"/>
    <x v="160"/>
    <x v="1"/>
    <x v="2"/>
    <x v="10"/>
    <n v="466"/>
    <n v="194"/>
    <n v="11"/>
    <n v="0"/>
    <n v="4540"/>
    <n v="2"/>
    <n v="2550"/>
    <n v="1"/>
    <n v="27"/>
    <n v="466"/>
    <n v="2024"/>
    <x v="6"/>
    <s v="手猫首页"/>
    <x v="1"/>
    <x v="2"/>
  </r>
  <r>
    <x v="1"/>
    <x v="160"/>
    <x v="1"/>
    <x v="3"/>
    <x v="11"/>
    <n v="322"/>
    <n v="121"/>
    <n v="26"/>
    <n v="13"/>
    <n v="22367.5"/>
    <n v="5"/>
    <n v="16427.5"/>
    <n v="5"/>
    <n v="63"/>
    <n v="318"/>
    <n v="2024"/>
    <x v="6"/>
    <s v="商品详情页头图推荐"/>
    <x v="1"/>
    <x v="2"/>
  </r>
  <r>
    <x v="1"/>
    <x v="160"/>
    <x v="1"/>
    <x v="3"/>
    <x v="12"/>
    <n v="46"/>
    <n v="23"/>
    <n v="0"/>
    <n v="0"/>
    <n v="3634"/>
    <n v="1"/>
    <n v="3634"/>
    <n v="1"/>
    <n v="42"/>
    <n v="19"/>
    <n v="2024"/>
    <x v="6"/>
    <s v="店铺超链"/>
    <x v="1"/>
    <x v="2"/>
  </r>
  <r>
    <x v="1"/>
    <x v="160"/>
    <x v="0"/>
    <x v="6"/>
    <x v="30"/>
    <n v="1294"/>
    <n v="993"/>
    <n v="5"/>
    <n v="1"/>
    <n v="2990"/>
    <n v="1"/>
    <n v="2990"/>
    <n v="1"/>
    <n v="1082"/>
    <n v="235"/>
    <n v="2024"/>
    <x v="6"/>
    <s v="其他猜你喜欢"/>
    <x v="1"/>
    <x v="2"/>
  </r>
  <r>
    <x v="1"/>
    <x v="160"/>
    <x v="1"/>
    <x v="4"/>
    <x v="15"/>
    <n v="25"/>
    <n v="18"/>
    <n v="1"/>
    <n v="0"/>
    <n v="0"/>
    <n v="0"/>
    <n v="0"/>
    <n v="0"/>
    <n v="11"/>
    <n v="14"/>
    <n v="2024"/>
    <x v="6"/>
    <s v="购中推荐"/>
    <x v="1"/>
    <x v="2"/>
  </r>
  <r>
    <x v="1"/>
    <x v="160"/>
    <x v="1"/>
    <x v="4"/>
    <x v="16"/>
    <n v="123"/>
    <n v="89"/>
    <n v="0"/>
    <n v="0"/>
    <n v="0"/>
    <n v="0"/>
    <n v="0"/>
    <n v="0"/>
    <n v="71"/>
    <n v="41"/>
    <n v="2024"/>
    <x v="6"/>
    <s v="购后推荐"/>
    <x v="1"/>
    <x v="2"/>
  </r>
  <r>
    <x v="1"/>
    <x v="160"/>
    <x v="1"/>
    <x v="4"/>
    <x v="17"/>
    <n v="4257"/>
    <n v="2276"/>
    <n v="99"/>
    <n v="43"/>
    <n v="41801.18"/>
    <n v="11"/>
    <n v="27571.18"/>
    <n v="8"/>
    <n v="342"/>
    <n v="4257"/>
    <n v="2024"/>
    <x v="6"/>
    <s v="首页推荐-微详情"/>
    <x v="1"/>
    <x v="2"/>
  </r>
  <r>
    <x v="1"/>
    <x v="160"/>
    <x v="1"/>
    <x v="4"/>
    <x v="18"/>
    <n v="18"/>
    <n v="8"/>
    <n v="0"/>
    <n v="0"/>
    <n v="0"/>
    <n v="0"/>
    <n v="0"/>
    <n v="0"/>
    <n v="0"/>
    <n v="0"/>
    <n v="2024"/>
    <x v="6"/>
    <s v="首页推荐-直播"/>
    <x v="1"/>
    <x v="2"/>
  </r>
  <r>
    <x v="1"/>
    <x v="160"/>
    <x v="1"/>
    <x v="4"/>
    <x v="19"/>
    <n v="804"/>
    <n v="418"/>
    <n v="11"/>
    <n v="1"/>
    <n v="10530"/>
    <n v="2"/>
    <n v="6230"/>
    <n v="2"/>
    <n v="23"/>
    <n v="190"/>
    <n v="2024"/>
    <x v="6"/>
    <s v="首页推荐-短视频"/>
    <x v="1"/>
    <x v="2"/>
  </r>
  <r>
    <x v="1"/>
    <x v="160"/>
    <x v="1"/>
    <x v="12"/>
    <x v="42"/>
    <n v="1514"/>
    <n v="1098"/>
    <n v="59"/>
    <n v="18"/>
    <n v="76620"/>
    <n v="8"/>
    <n v="55100"/>
    <n v="7"/>
    <n v="318"/>
    <n v="1402"/>
    <n v="2024"/>
    <x v="6"/>
    <s v="手淘搜索-商品及其他"/>
    <x v="1"/>
    <x v="2"/>
  </r>
  <r>
    <x v="1"/>
    <x v="160"/>
    <x v="1"/>
    <x v="12"/>
    <x v="43"/>
    <n v="1"/>
    <n v="0"/>
    <n v="0"/>
    <n v="0"/>
    <n v="0"/>
    <n v="0"/>
    <n v="0"/>
    <n v="0"/>
    <n v="0"/>
    <n v="1"/>
    <n v="2024"/>
    <x v="6"/>
    <s v="手淘搜索-直播"/>
    <x v="1"/>
    <x v="2"/>
  </r>
  <r>
    <x v="1"/>
    <x v="160"/>
    <x v="1"/>
    <x v="12"/>
    <x v="44"/>
    <n v="266"/>
    <n v="245"/>
    <n v="3"/>
    <n v="1"/>
    <n v="0"/>
    <n v="0"/>
    <n v="0"/>
    <n v="0"/>
    <n v="6"/>
    <n v="254"/>
    <n v="2024"/>
    <x v="6"/>
    <s v="手淘搜索-短视频"/>
    <x v="1"/>
    <x v="2"/>
  </r>
  <r>
    <x v="1"/>
    <x v="160"/>
    <x v="1"/>
    <x v="11"/>
    <x v="37"/>
    <n v="4"/>
    <n v="4"/>
    <n v="0"/>
    <n v="0"/>
    <n v="0"/>
    <n v="0"/>
    <n v="0"/>
    <n v="0"/>
    <n v="0"/>
    <n v="4"/>
    <n v="2024"/>
    <x v="6"/>
    <s v="淘特其他渠道"/>
    <x v="1"/>
    <x v="2"/>
  </r>
  <r>
    <x v="1"/>
    <x v="160"/>
    <x v="1"/>
    <x v="11"/>
    <x v="39"/>
    <n v="11"/>
    <n v="8"/>
    <n v="0"/>
    <n v="0"/>
    <n v="0"/>
    <n v="0"/>
    <n v="0"/>
    <n v="0"/>
    <n v="0"/>
    <n v="11"/>
    <n v="2024"/>
    <x v="6"/>
    <s v="淘特搜索"/>
    <x v="1"/>
    <x v="2"/>
  </r>
  <r>
    <x v="1"/>
    <x v="160"/>
    <x v="0"/>
    <x v="5"/>
    <x v="41"/>
    <n v="7"/>
    <n v="5"/>
    <n v="0"/>
    <n v="0"/>
    <n v="0"/>
    <n v="0"/>
    <n v="0"/>
    <n v="0"/>
    <n v="0"/>
    <n v="1"/>
    <n v="2024"/>
    <x v="6"/>
    <s v="超级直播"/>
    <x v="1"/>
    <x v="2"/>
  </r>
  <r>
    <x v="1"/>
    <x v="160"/>
    <x v="0"/>
    <x v="5"/>
    <x v="20"/>
    <n v="214"/>
    <n v="162"/>
    <n v="6"/>
    <n v="4"/>
    <n v="0"/>
    <n v="0"/>
    <n v="0"/>
    <n v="0"/>
    <n v="3"/>
    <n v="185"/>
    <n v="2024"/>
    <x v="6"/>
    <s v="超级短视频"/>
    <x v="1"/>
    <x v="2"/>
  </r>
  <r>
    <x v="1"/>
    <x v="160"/>
    <x v="0"/>
    <x v="6"/>
    <x v="21"/>
    <n v="678"/>
    <n v="537"/>
    <n v="39"/>
    <n v="7"/>
    <n v="27060"/>
    <n v="7"/>
    <n v="20770"/>
    <n v="5"/>
    <n v="678"/>
    <n v="414"/>
    <n v="2024"/>
    <x v="6"/>
    <s v="品销宝-品牌专区"/>
    <x v="1"/>
    <x v="2"/>
  </r>
  <r>
    <x v="1"/>
    <x v="160"/>
    <x v="0"/>
    <x v="6"/>
    <x v="32"/>
    <n v="1"/>
    <n v="1"/>
    <n v="0"/>
    <n v="0"/>
    <n v="0"/>
    <n v="0"/>
    <n v="0"/>
    <n v="0"/>
    <n v="0"/>
    <n v="1"/>
    <n v="2024"/>
    <x v="6"/>
    <s v="超级互动城"/>
    <x v="1"/>
    <x v="2"/>
  </r>
  <r>
    <x v="1"/>
    <x v="160"/>
    <x v="0"/>
    <x v="6"/>
    <x v="49"/>
    <n v="1"/>
    <n v="0"/>
    <n v="0"/>
    <n v="0"/>
    <n v="0"/>
    <n v="0"/>
    <n v="0"/>
    <n v="0"/>
    <n v="1"/>
    <n v="0"/>
    <n v="2024"/>
    <x v="6"/>
    <s v="超级全域通"/>
    <x v="1"/>
    <x v="2"/>
  </r>
  <r>
    <x v="1"/>
    <x v="160"/>
    <x v="0"/>
    <x v="0"/>
    <x v="2"/>
    <n v="5012"/>
    <n v="4173"/>
    <n v="78"/>
    <n v="41"/>
    <n v="108794"/>
    <n v="13"/>
    <n v="22577"/>
    <n v="6"/>
    <n v="310"/>
    <n v="4982"/>
    <n v="2024"/>
    <x v="6"/>
    <s v="直通车"/>
    <x v="1"/>
    <x v="2"/>
  </r>
  <r>
    <x v="1"/>
    <x v="160"/>
    <x v="0"/>
    <x v="0"/>
    <x v="0"/>
    <n v="3882"/>
    <n v="1942"/>
    <n v="129"/>
    <n v="66"/>
    <n v="106370.5"/>
    <n v="18"/>
    <n v="66847.5"/>
    <n v="12"/>
    <n v="200"/>
    <n v="3879"/>
    <n v="2024"/>
    <x v="6"/>
    <s v="万相台"/>
    <x v="1"/>
    <x v="2"/>
  </r>
  <r>
    <x v="1"/>
    <x v="160"/>
    <x v="0"/>
    <x v="0"/>
    <x v="1"/>
    <n v="5480"/>
    <n v="2155"/>
    <n v="117"/>
    <n v="60"/>
    <n v="45567.5"/>
    <n v="9"/>
    <n v="27037.5"/>
    <n v="7"/>
    <n v="391"/>
    <n v="5475"/>
    <n v="2024"/>
    <x v="6"/>
    <s v="引力魔方"/>
    <x v="1"/>
    <x v="2"/>
  </r>
  <r>
    <x v="1"/>
    <x v="160"/>
    <x v="0"/>
    <x v="7"/>
    <x v="23"/>
    <n v="3"/>
    <n v="3"/>
    <n v="0"/>
    <n v="0"/>
    <n v="0"/>
    <n v="0"/>
    <n v="0"/>
    <n v="0"/>
    <n v="1"/>
    <n v="3"/>
    <n v="2024"/>
    <x v="6"/>
    <s v="流量宝"/>
    <x v="1"/>
    <x v="2"/>
  </r>
  <r>
    <x v="1"/>
    <x v="160"/>
    <x v="0"/>
    <x v="7"/>
    <x v="24"/>
    <n v="307"/>
    <n v="101"/>
    <n v="16"/>
    <n v="2"/>
    <n v="0"/>
    <n v="0"/>
    <n v="0"/>
    <n v="0"/>
    <n v="20"/>
    <n v="300"/>
    <n v="2024"/>
    <x v="6"/>
    <s v="淘宝客"/>
    <x v="1"/>
    <x v="2"/>
  </r>
  <r>
    <x v="1"/>
    <x v="161"/>
    <x v="1"/>
    <x v="8"/>
    <x v="25"/>
    <n v="172"/>
    <n v="78"/>
    <n v="9"/>
    <n v="1"/>
    <n v="0"/>
    <n v="0"/>
    <n v="0"/>
    <n v="0"/>
    <n v="20"/>
    <n v="169"/>
    <n v="2024"/>
    <x v="6"/>
    <s v="主会场"/>
    <x v="1"/>
    <x v="2"/>
  </r>
  <r>
    <x v="1"/>
    <x v="161"/>
    <x v="1"/>
    <x v="1"/>
    <x v="3"/>
    <n v="1"/>
    <n v="0"/>
    <n v="0"/>
    <n v="0"/>
    <n v="0"/>
    <n v="0"/>
    <n v="0"/>
    <n v="0"/>
    <n v="0"/>
    <n v="1"/>
    <n v="2024"/>
    <x v="6"/>
    <s v="其他入口榜单"/>
    <x v="1"/>
    <x v="2"/>
  </r>
  <r>
    <x v="1"/>
    <x v="161"/>
    <x v="1"/>
    <x v="2"/>
    <x v="4"/>
    <n v="3"/>
    <n v="3"/>
    <n v="0"/>
    <n v="0"/>
    <n v="0"/>
    <n v="0"/>
    <n v="0"/>
    <n v="0"/>
    <n v="3"/>
    <n v="0"/>
    <n v="2024"/>
    <x v="6"/>
    <s v="手机浏览器访问天猫"/>
    <x v="1"/>
    <x v="2"/>
  </r>
  <r>
    <x v="1"/>
    <x v="161"/>
    <x v="1"/>
    <x v="2"/>
    <x v="5"/>
    <n v="41"/>
    <n v="14"/>
    <n v="0"/>
    <n v="0"/>
    <n v="8365"/>
    <n v="1"/>
    <n v="8365"/>
    <n v="1"/>
    <n v="13"/>
    <n v="35"/>
    <n v="2024"/>
    <x v="6"/>
    <s v="手猫免费其他"/>
    <x v="1"/>
    <x v="2"/>
  </r>
  <r>
    <x v="1"/>
    <x v="161"/>
    <x v="1"/>
    <x v="2"/>
    <x v="6"/>
    <n v="35"/>
    <n v="19"/>
    <n v="4"/>
    <n v="0"/>
    <n v="0"/>
    <n v="0"/>
    <n v="0"/>
    <n v="0"/>
    <n v="0"/>
    <n v="35"/>
    <n v="2024"/>
    <x v="6"/>
    <s v="手猫其他店铺"/>
    <x v="1"/>
    <x v="2"/>
  </r>
  <r>
    <x v="1"/>
    <x v="161"/>
    <x v="1"/>
    <x v="2"/>
    <x v="7"/>
    <n v="49"/>
    <n v="12"/>
    <n v="4"/>
    <n v="0"/>
    <n v="4867"/>
    <n v="1"/>
    <n v="0"/>
    <n v="0"/>
    <n v="8"/>
    <n v="47"/>
    <n v="2024"/>
    <x v="6"/>
    <s v="手猫商品详情"/>
    <x v="1"/>
    <x v="2"/>
  </r>
  <r>
    <x v="1"/>
    <x v="161"/>
    <x v="1"/>
    <x v="2"/>
    <x v="8"/>
    <n v="92"/>
    <n v="48"/>
    <n v="0"/>
    <n v="0"/>
    <n v="8365"/>
    <n v="1"/>
    <n v="8365"/>
    <n v="1"/>
    <n v="28"/>
    <n v="86"/>
    <n v="2024"/>
    <x v="6"/>
    <s v="手猫搜索"/>
    <x v="1"/>
    <x v="2"/>
  </r>
  <r>
    <x v="1"/>
    <x v="161"/>
    <x v="1"/>
    <x v="2"/>
    <x v="9"/>
    <n v="5"/>
    <n v="2"/>
    <n v="2"/>
    <n v="0"/>
    <n v="0"/>
    <n v="0"/>
    <n v="0"/>
    <n v="0"/>
    <n v="4"/>
    <n v="4"/>
    <n v="2024"/>
    <x v="6"/>
    <s v="手猫旺信聊天"/>
    <x v="1"/>
    <x v="2"/>
  </r>
  <r>
    <x v="1"/>
    <x v="161"/>
    <x v="1"/>
    <x v="2"/>
    <x v="29"/>
    <n v="3"/>
    <n v="1"/>
    <n v="0"/>
    <n v="0"/>
    <n v="0"/>
    <n v="0"/>
    <n v="0"/>
    <n v="0"/>
    <n v="0"/>
    <n v="2"/>
    <n v="2024"/>
    <x v="6"/>
    <s v="手猫消息中心"/>
    <x v="1"/>
    <x v="2"/>
  </r>
  <r>
    <x v="1"/>
    <x v="161"/>
    <x v="1"/>
    <x v="2"/>
    <x v="10"/>
    <n v="405"/>
    <n v="164"/>
    <n v="8"/>
    <n v="0"/>
    <n v="12579"/>
    <n v="4"/>
    <n v="4475"/>
    <n v="2"/>
    <n v="36"/>
    <n v="405"/>
    <n v="2024"/>
    <x v="6"/>
    <s v="手猫首页"/>
    <x v="1"/>
    <x v="2"/>
  </r>
  <r>
    <x v="1"/>
    <x v="161"/>
    <x v="1"/>
    <x v="3"/>
    <x v="11"/>
    <n v="330"/>
    <n v="132"/>
    <n v="24"/>
    <n v="5"/>
    <n v="26456.5"/>
    <n v="5"/>
    <n v="15034"/>
    <n v="3"/>
    <n v="54"/>
    <n v="321"/>
    <n v="2024"/>
    <x v="6"/>
    <s v="商品详情页头图推荐"/>
    <x v="1"/>
    <x v="2"/>
  </r>
  <r>
    <x v="1"/>
    <x v="161"/>
    <x v="1"/>
    <x v="3"/>
    <x v="12"/>
    <n v="64"/>
    <n v="31"/>
    <n v="6"/>
    <n v="0"/>
    <n v="20950"/>
    <n v="1"/>
    <n v="20950"/>
    <n v="1"/>
    <n v="52"/>
    <n v="34"/>
    <n v="2024"/>
    <x v="6"/>
    <s v="店铺超链"/>
    <x v="1"/>
    <x v="2"/>
  </r>
  <r>
    <x v="1"/>
    <x v="161"/>
    <x v="0"/>
    <x v="6"/>
    <x v="30"/>
    <n v="1342"/>
    <n v="1008"/>
    <n v="7"/>
    <n v="4"/>
    <n v="7250"/>
    <n v="2"/>
    <n v="7250"/>
    <n v="2"/>
    <n v="1110"/>
    <n v="250"/>
    <n v="2024"/>
    <x v="6"/>
    <s v="其他猜你喜欢"/>
    <x v="1"/>
    <x v="2"/>
  </r>
  <r>
    <x v="1"/>
    <x v="161"/>
    <x v="1"/>
    <x v="4"/>
    <x v="15"/>
    <n v="32"/>
    <n v="19"/>
    <n v="1"/>
    <n v="0"/>
    <n v="0"/>
    <n v="0"/>
    <n v="0"/>
    <n v="0"/>
    <n v="8"/>
    <n v="18"/>
    <n v="2024"/>
    <x v="6"/>
    <s v="购中推荐"/>
    <x v="1"/>
    <x v="2"/>
  </r>
  <r>
    <x v="1"/>
    <x v="161"/>
    <x v="1"/>
    <x v="4"/>
    <x v="16"/>
    <n v="146"/>
    <n v="109"/>
    <n v="0"/>
    <n v="0"/>
    <n v="1700"/>
    <n v="1"/>
    <n v="1700"/>
    <n v="1"/>
    <n v="65"/>
    <n v="60"/>
    <n v="2024"/>
    <x v="6"/>
    <s v="购后推荐"/>
    <x v="1"/>
    <x v="2"/>
  </r>
  <r>
    <x v="1"/>
    <x v="161"/>
    <x v="1"/>
    <x v="4"/>
    <x v="17"/>
    <n v="3975"/>
    <n v="2068"/>
    <n v="106"/>
    <n v="49"/>
    <n v="29117.68"/>
    <n v="8"/>
    <n v="15567.68"/>
    <n v="5"/>
    <n v="311"/>
    <n v="3975"/>
    <n v="2024"/>
    <x v="6"/>
    <s v="首页推荐-微详情"/>
    <x v="1"/>
    <x v="2"/>
  </r>
  <r>
    <x v="1"/>
    <x v="161"/>
    <x v="1"/>
    <x v="4"/>
    <x v="18"/>
    <n v="2213"/>
    <n v="2025"/>
    <n v="3"/>
    <n v="3"/>
    <n v="0"/>
    <n v="0"/>
    <n v="0"/>
    <n v="0"/>
    <n v="7"/>
    <n v="48"/>
    <n v="2024"/>
    <x v="6"/>
    <s v="首页推荐-直播"/>
    <x v="1"/>
    <x v="2"/>
  </r>
  <r>
    <x v="1"/>
    <x v="161"/>
    <x v="1"/>
    <x v="4"/>
    <x v="19"/>
    <n v="676"/>
    <n v="307"/>
    <n v="12"/>
    <n v="3"/>
    <n v="11660"/>
    <n v="2"/>
    <n v="11660"/>
    <n v="2"/>
    <n v="32"/>
    <n v="175"/>
    <n v="2024"/>
    <x v="6"/>
    <s v="首页推荐-短视频"/>
    <x v="1"/>
    <x v="2"/>
  </r>
  <r>
    <x v="1"/>
    <x v="161"/>
    <x v="1"/>
    <x v="12"/>
    <x v="42"/>
    <n v="1547"/>
    <n v="1148"/>
    <n v="66"/>
    <n v="31"/>
    <n v="38237"/>
    <n v="5"/>
    <n v="35737"/>
    <n v="4"/>
    <n v="348"/>
    <n v="1417"/>
    <n v="2024"/>
    <x v="6"/>
    <s v="手淘搜索-商品及其他"/>
    <x v="1"/>
    <x v="2"/>
  </r>
  <r>
    <x v="1"/>
    <x v="161"/>
    <x v="1"/>
    <x v="12"/>
    <x v="43"/>
    <n v="39"/>
    <n v="33"/>
    <n v="0"/>
    <n v="1"/>
    <n v="0"/>
    <n v="0"/>
    <n v="0"/>
    <n v="0"/>
    <n v="2"/>
    <n v="10"/>
    <n v="2024"/>
    <x v="6"/>
    <s v="手淘搜索-直播"/>
    <x v="1"/>
    <x v="2"/>
  </r>
  <r>
    <x v="1"/>
    <x v="161"/>
    <x v="1"/>
    <x v="12"/>
    <x v="44"/>
    <n v="119"/>
    <n v="100"/>
    <n v="1"/>
    <n v="1"/>
    <n v="0"/>
    <n v="0"/>
    <n v="0"/>
    <n v="0"/>
    <n v="2"/>
    <n v="114"/>
    <n v="2024"/>
    <x v="6"/>
    <s v="手淘搜索-短视频"/>
    <x v="1"/>
    <x v="2"/>
  </r>
  <r>
    <x v="1"/>
    <x v="161"/>
    <x v="1"/>
    <x v="11"/>
    <x v="37"/>
    <n v="4"/>
    <n v="3"/>
    <n v="0"/>
    <n v="0"/>
    <n v="0"/>
    <n v="0"/>
    <n v="0"/>
    <n v="0"/>
    <n v="0"/>
    <n v="4"/>
    <n v="2024"/>
    <x v="6"/>
    <s v="淘特其他渠道"/>
    <x v="1"/>
    <x v="2"/>
  </r>
  <r>
    <x v="1"/>
    <x v="161"/>
    <x v="1"/>
    <x v="11"/>
    <x v="39"/>
    <n v="20"/>
    <n v="20"/>
    <n v="0"/>
    <n v="0"/>
    <n v="0"/>
    <n v="0"/>
    <n v="0"/>
    <n v="0"/>
    <n v="0"/>
    <n v="20"/>
    <n v="2024"/>
    <x v="6"/>
    <s v="淘特搜索"/>
    <x v="1"/>
    <x v="2"/>
  </r>
  <r>
    <x v="1"/>
    <x v="161"/>
    <x v="0"/>
    <x v="5"/>
    <x v="41"/>
    <n v="1914"/>
    <n v="1563"/>
    <n v="8"/>
    <n v="3"/>
    <n v="0"/>
    <n v="0"/>
    <n v="0"/>
    <n v="0"/>
    <n v="34"/>
    <n v="223"/>
    <n v="2024"/>
    <x v="6"/>
    <s v="超级直播"/>
    <x v="1"/>
    <x v="2"/>
  </r>
  <r>
    <x v="1"/>
    <x v="161"/>
    <x v="0"/>
    <x v="5"/>
    <x v="20"/>
    <n v="188"/>
    <n v="136"/>
    <n v="6"/>
    <n v="5"/>
    <n v="0"/>
    <n v="0"/>
    <n v="0"/>
    <n v="0"/>
    <n v="2"/>
    <n v="145"/>
    <n v="2024"/>
    <x v="6"/>
    <s v="超级短视频"/>
    <x v="1"/>
    <x v="2"/>
  </r>
  <r>
    <x v="1"/>
    <x v="161"/>
    <x v="0"/>
    <x v="6"/>
    <x v="45"/>
    <n v="1"/>
    <n v="0"/>
    <n v="0"/>
    <n v="0"/>
    <n v="0"/>
    <n v="0"/>
    <n v="0"/>
    <n v="0"/>
    <n v="1"/>
    <n v="0"/>
    <n v="2024"/>
    <x v="6"/>
    <s v="品牌定制"/>
    <x v="1"/>
    <x v="2"/>
  </r>
  <r>
    <x v="1"/>
    <x v="161"/>
    <x v="0"/>
    <x v="6"/>
    <x v="21"/>
    <n v="693"/>
    <n v="539"/>
    <n v="30"/>
    <n v="11"/>
    <n v="19244.5"/>
    <n v="3"/>
    <n v="11579.5"/>
    <n v="2"/>
    <n v="693"/>
    <n v="428"/>
    <n v="2024"/>
    <x v="6"/>
    <s v="品销宝-品牌专区"/>
    <x v="1"/>
    <x v="2"/>
  </r>
  <r>
    <x v="1"/>
    <x v="161"/>
    <x v="0"/>
    <x v="6"/>
    <x v="49"/>
    <n v="1"/>
    <n v="0"/>
    <n v="0"/>
    <n v="0"/>
    <n v="0"/>
    <n v="0"/>
    <n v="0"/>
    <n v="0"/>
    <n v="0"/>
    <n v="1"/>
    <n v="2024"/>
    <x v="6"/>
    <s v="超级全域通"/>
    <x v="1"/>
    <x v="2"/>
  </r>
  <r>
    <x v="1"/>
    <x v="161"/>
    <x v="0"/>
    <x v="0"/>
    <x v="2"/>
    <n v="6108"/>
    <n v="5310"/>
    <n v="76"/>
    <n v="43"/>
    <n v="77885"/>
    <n v="10"/>
    <n v="28237"/>
    <n v="4"/>
    <n v="397"/>
    <n v="6060"/>
    <n v="2024"/>
    <x v="6"/>
    <s v="直通车"/>
    <x v="1"/>
    <x v="2"/>
  </r>
  <r>
    <x v="1"/>
    <x v="161"/>
    <x v="0"/>
    <x v="0"/>
    <x v="0"/>
    <n v="4603"/>
    <n v="2435"/>
    <n v="147"/>
    <n v="63"/>
    <n v="112689"/>
    <n v="16"/>
    <n v="37104"/>
    <n v="6"/>
    <n v="217"/>
    <n v="4599"/>
    <n v="2024"/>
    <x v="6"/>
    <s v="万相台"/>
    <x v="1"/>
    <x v="2"/>
  </r>
  <r>
    <x v="1"/>
    <x v="161"/>
    <x v="0"/>
    <x v="0"/>
    <x v="1"/>
    <n v="6044"/>
    <n v="2427"/>
    <n v="154"/>
    <n v="73"/>
    <n v="40092.5"/>
    <n v="9"/>
    <n v="14830"/>
    <n v="4"/>
    <n v="477"/>
    <n v="6043"/>
    <n v="2024"/>
    <x v="6"/>
    <s v="引力魔方"/>
    <x v="1"/>
    <x v="2"/>
  </r>
  <r>
    <x v="1"/>
    <x v="161"/>
    <x v="0"/>
    <x v="7"/>
    <x v="23"/>
    <n v="1"/>
    <n v="1"/>
    <n v="0"/>
    <n v="0"/>
    <n v="0"/>
    <n v="0"/>
    <n v="0"/>
    <n v="0"/>
    <n v="1"/>
    <n v="1"/>
    <n v="2024"/>
    <x v="6"/>
    <s v="流量宝"/>
    <x v="1"/>
    <x v="2"/>
  </r>
  <r>
    <x v="1"/>
    <x v="161"/>
    <x v="0"/>
    <x v="7"/>
    <x v="24"/>
    <n v="308"/>
    <n v="119"/>
    <n v="12"/>
    <n v="1"/>
    <n v="0"/>
    <n v="0"/>
    <n v="0"/>
    <n v="0"/>
    <n v="24"/>
    <n v="294"/>
    <n v="2024"/>
    <x v="6"/>
    <s v="淘宝客"/>
    <x v="1"/>
    <x v="2"/>
  </r>
  <r>
    <x v="1"/>
    <x v="162"/>
    <x v="1"/>
    <x v="8"/>
    <x v="25"/>
    <n v="1"/>
    <n v="0"/>
    <n v="0"/>
    <n v="0"/>
    <n v="0"/>
    <n v="0"/>
    <n v="0"/>
    <n v="0"/>
    <n v="0"/>
    <n v="1"/>
    <n v="2024"/>
    <x v="6"/>
    <s v="主会场"/>
    <x v="1"/>
    <x v="2"/>
  </r>
  <r>
    <x v="1"/>
    <x v="162"/>
    <x v="1"/>
    <x v="1"/>
    <x v="3"/>
    <n v="19"/>
    <n v="7"/>
    <n v="0"/>
    <n v="0"/>
    <n v="0"/>
    <n v="0"/>
    <n v="0"/>
    <n v="0"/>
    <n v="4"/>
    <n v="19"/>
    <n v="2024"/>
    <x v="6"/>
    <s v="其他入口榜单"/>
    <x v="1"/>
    <x v="2"/>
  </r>
  <r>
    <x v="1"/>
    <x v="162"/>
    <x v="1"/>
    <x v="2"/>
    <x v="5"/>
    <n v="64"/>
    <n v="20"/>
    <n v="4"/>
    <n v="0"/>
    <n v="10500"/>
    <n v="1"/>
    <n v="10500"/>
    <n v="1"/>
    <n v="18"/>
    <n v="58"/>
    <n v="2024"/>
    <x v="6"/>
    <s v="手猫免费其他"/>
    <x v="1"/>
    <x v="2"/>
  </r>
  <r>
    <x v="1"/>
    <x v="162"/>
    <x v="1"/>
    <x v="2"/>
    <x v="6"/>
    <n v="41"/>
    <n v="13"/>
    <n v="7"/>
    <n v="0"/>
    <n v="0"/>
    <n v="0"/>
    <n v="0"/>
    <n v="0"/>
    <n v="0"/>
    <n v="41"/>
    <n v="2024"/>
    <x v="6"/>
    <s v="手猫其他店铺"/>
    <x v="1"/>
    <x v="2"/>
  </r>
  <r>
    <x v="1"/>
    <x v="162"/>
    <x v="1"/>
    <x v="2"/>
    <x v="7"/>
    <n v="67"/>
    <n v="28"/>
    <n v="6"/>
    <n v="0"/>
    <n v="0"/>
    <n v="0"/>
    <n v="0"/>
    <n v="0"/>
    <n v="11"/>
    <n v="66"/>
    <n v="2024"/>
    <x v="6"/>
    <s v="手猫商品详情"/>
    <x v="1"/>
    <x v="2"/>
  </r>
  <r>
    <x v="1"/>
    <x v="162"/>
    <x v="1"/>
    <x v="2"/>
    <x v="8"/>
    <n v="114"/>
    <n v="62"/>
    <n v="5"/>
    <n v="0"/>
    <n v="7377.5"/>
    <n v="2"/>
    <n v="3980"/>
    <n v="1"/>
    <n v="31"/>
    <n v="108"/>
    <n v="2024"/>
    <x v="6"/>
    <s v="手猫搜索"/>
    <x v="1"/>
    <x v="2"/>
  </r>
  <r>
    <x v="1"/>
    <x v="162"/>
    <x v="1"/>
    <x v="2"/>
    <x v="9"/>
    <n v="3"/>
    <n v="0"/>
    <n v="0"/>
    <n v="0"/>
    <n v="27950"/>
    <n v="2"/>
    <n v="27950"/>
    <n v="2"/>
    <n v="1"/>
    <n v="3"/>
    <n v="2024"/>
    <x v="6"/>
    <s v="手猫旺信聊天"/>
    <x v="1"/>
    <x v="2"/>
  </r>
  <r>
    <x v="1"/>
    <x v="162"/>
    <x v="1"/>
    <x v="2"/>
    <x v="29"/>
    <n v="10"/>
    <n v="2"/>
    <n v="0"/>
    <n v="0"/>
    <n v="0"/>
    <n v="0"/>
    <n v="0"/>
    <n v="0"/>
    <n v="2"/>
    <n v="10"/>
    <n v="2024"/>
    <x v="6"/>
    <s v="手猫消息中心"/>
    <x v="1"/>
    <x v="2"/>
  </r>
  <r>
    <x v="1"/>
    <x v="162"/>
    <x v="1"/>
    <x v="2"/>
    <x v="10"/>
    <n v="478"/>
    <n v="231"/>
    <n v="13"/>
    <n v="0"/>
    <n v="19012.5"/>
    <n v="4"/>
    <n v="11547.5"/>
    <n v="2"/>
    <n v="37"/>
    <n v="478"/>
    <n v="2024"/>
    <x v="6"/>
    <s v="手猫首页"/>
    <x v="1"/>
    <x v="2"/>
  </r>
  <r>
    <x v="1"/>
    <x v="162"/>
    <x v="1"/>
    <x v="3"/>
    <x v="11"/>
    <n v="328"/>
    <n v="118"/>
    <n v="22"/>
    <n v="11"/>
    <n v="33123.56"/>
    <n v="11"/>
    <n v="26063.56"/>
    <n v="9"/>
    <n v="53"/>
    <n v="321"/>
    <n v="2024"/>
    <x v="6"/>
    <s v="商品详情页头图推荐"/>
    <x v="1"/>
    <x v="2"/>
  </r>
  <r>
    <x v="1"/>
    <x v="162"/>
    <x v="1"/>
    <x v="3"/>
    <x v="12"/>
    <n v="70"/>
    <n v="33"/>
    <n v="1"/>
    <n v="1"/>
    <n v="15493.78"/>
    <n v="3"/>
    <n v="4938.78"/>
    <n v="1"/>
    <n v="60"/>
    <n v="39"/>
    <n v="2024"/>
    <x v="6"/>
    <s v="店铺超链"/>
    <x v="1"/>
    <x v="2"/>
  </r>
  <r>
    <x v="1"/>
    <x v="162"/>
    <x v="0"/>
    <x v="6"/>
    <x v="30"/>
    <n v="1411"/>
    <n v="1090"/>
    <n v="6"/>
    <n v="6"/>
    <n v="13520"/>
    <n v="3"/>
    <n v="5855"/>
    <n v="2"/>
    <n v="1223"/>
    <n v="207"/>
    <n v="2024"/>
    <x v="6"/>
    <s v="其他猜你喜欢"/>
    <x v="1"/>
    <x v="2"/>
  </r>
  <r>
    <x v="1"/>
    <x v="162"/>
    <x v="1"/>
    <x v="4"/>
    <x v="15"/>
    <n v="30"/>
    <n v="14"/>
    <n v="1"/>
    <n v="0"/>
    <n v="0"/>
    <n v="0"/>
    <n v="0"/>
    <n v="0"/>
    <n v="9"/>
    <n v="21"/>
    <n v="2024"/>
    <x v="6"/>
    <s v="购中推荐"/>
    <x v="1"/>
    <x v="2"/>
  </r>
  <r>
    <x v="1"/>
    <x v="162"/>
    <x v="1"/>
    <x v="4"/>
    <x v="16"/>
    <n v="121"/>
    <n v="83"/>
    <n v="1"/>
    <n v="0"/>
    <n v="0"/>
    <n v="0"/>
    <n v="0"/>
    <n v="0"/>
    <n v="50"/>
    <n v="62"/>
    <n v="2024"/>
    <x v="6"/>
    <s v="购后推荐"/>
    <x v="1"/>
    <x v="2"/>
  </r>
  <r>
    <x v="1"/>
    <x v="162"/>
    <x v="1"/>
    <x v="4"/>
    <x v="17"/>
    <n v="3098"/>
    <n v="1387"/>
    <n v="104"/>
    <n v="33"/>
    <n v="69804.59"/>
    <n v="16"/>
    <n v="50169.59"/>
    <n v="12"/>
    <n v="268"/>
    <n v="3098"/>
    <n v="2024"/>
    <x v="6"/>
    <s v="首页推荐-微详情"/>
    <x v="1"/>
    <x v="2"/>
  </r>
  <r>
    <x v="1"/>
    <x v="162"/>
    <x v="1"/>
    <x v="4"/>
    <x v="18"/>
    <n v="4"/>
    <n v="1"/>
    <n v="0"/>
    <n v="0"/>
    <n v="0"/>
    <n v="0"/>
    <n v="0"/>
    <n v="0"/>
    <n v="0"/>
    <n v="0"/>
    <n v="2024"/>
    <x v="6"/>
    <s v="首页推荐-直播"/>
    <x v="1"/>
    <x v="2"/>
  </r>
  <r>
    <x v="1"/>
    <x v="162"/>
    <x v="1"/>
    <x v="4"/>
    <x v="19"/>
    <n v="617"/>
    <n v="254"/>
    <n v="9"/>
    <n v="3"/>
    <n v="2550"/>
    <n v="1"/>
    <n v="2550"/>
    <n v="1"/>
    <n v="18"/>
    <n v="165"/>
    <n v="2024"/>
    <x v="6"/>
    <s v="首页推荐-短视频"/>
    <x v="1"/>
    <x v="2"/>
  </r>
  <r>
    <x v="1"/>
    <x v="162"/>
    <x v="1"/>
    <x v="12"/>
    <x v="42"/>
    <n v="1519"/>
    <n v="1104"/>
    <n v="61"/>
    <n v="26"/>
    <n v="52349.56"/>
    <n v="10"/>
    <n v="50869.56"/>
    <n v="9"/>
    <n v="373"/>
    <n v="1398"/>
    <n v="2024"/>
    <x v="6"/>
    <s v="手淘搜索-商品及其他"/>
    <x v="1"/>
    <x v="2"/>
  </r>
  <r>
    <x v="1"/>
    <x v="162"/>
    <x v="1"/>
    <x v="12"/>
    <x v="44"/>
    <n v="145"/>
    <n v="123"/>
    <n v="1"/>
    <n v="1"/>
    <n v="0"/>
    <n v="0"/>
    <n v="0"/>
    <n v="0"/>
    <n v="5"/>
    <n v="139"/>
    <n v="2024"/>
    <x v="6"/>
    <s v="手淘搜索-短视频"/>
    <x v="1"/>
    <x v="2"/>
  </r>
  <r>
    <x v="1"/>
    <x v="162"/>
    <x v="1"/>
    <x v="11"/>
    <x v="37"/>
    <n v="7"/>
    <n v="7"/>
    <n v="0"/>
    <n v="0"/>
    <n v="0"/>
    <n v="0"/>
    <n v="0"/>
    <n v="0"/>
    <n v="0"/>
    <n v="7"/>
    <n v="2024"/>
    <x v="6"/>
    <s v="淘特其他渠道"/>
    <x v="1"/>
    <x v="2"/>
  </r>
  <r>
    <x v="1"/>
    <x v="162"/>
    <x v="1"/>
    <x v="11"/>
    <x v="38"/>
    <n v="1"/>
    <n v="0"/>
    <n v="0"/>
    <n v="0"/>
    <n v="0"/>
    <n v="0"/>
    <n v="0"/>
    <n v="0"/>
    <n v="0"/>
    <n v="1"/>
    <n v="2024"/>
    <x v="6"/>
    <s v="淘特推荐"/>
    <x v="1"/>
    <x v="2"/>
  </r>
  <r>
    <x v="1"/>
    <x v="162"/>
    <x v="1"/>
    <x v="11"/>
    <x v="39"/>
    <n v="17"/>
    <n v="16"/>
    <n v="0"/>
    <n v="0"/>
    <n v="0"/>
    <n v="0"/>
    <n v="0"/>
    <n v="0"/>
    <n v="0"/>
    <n v="17"/>
    <n v="2024"/>
    <x v="6"/>
    <s v="淘特搜索"/>
    <x v="1"/>
    <x v="2"/>
  </r>
  <r>
    <x v="1"/>
    <x v="162"/>
    <x v="0"/>
    <x v="5"/>
    <x v="41"/>
    <n v="1"/>
    <n v="0"/>
    <n v="0"/>
    <n v="0"/>
    <n v="0"/>
    <n v="0"/>
    <n v="0"/>
    <n v="0"/>
    <n v="0"/>
    <n v="0"/>
    <n v="2024"/>
    <x v="6"/>
    <s v="超级直播"/>
    <x v="1"/>
    <x v="2"/>
  </r>
  <r>
    <x v="1"/>
    <x v="162"/>
    <x v="0"/>
    <x v="5"/>
    <x v="20"/>
    <n v="256"/>
    <n v="194"/>
    <n v="8"/>
    <n v="7"/>
    <n v="0"/>
    <n v="0"/>
    <n v="0"/>
    <n v="0"/>
    <n v="6"/>
    <n v="215"/>
    <n v="2024"/>
    <x v="6"/>
    <s v="超级短视频"/>
    <x v="1"/>
    <x v="2"/>
  </r>
  <r>
    <x v="1"/>
    <x v="162"/>
    <x v="0"/>
    <x v="6"/>
    <x v="30"/>
    <n v="1"/>
    <n v="0"/>
    <n v="0"/>
    <n v="0"/>
    <n v="0"/>
    <n v="0"/>
    <n v="0"/>
    <n v="0"/>
    <n v="1"/>
    <n v="0"/>
    <n v="2024"/>
    <x v="6"/>
    <s v="品牌特秀"/>
    <x v="1"/>
    <x v="2"/>
  </r>
  <r>
    <x v="1"/>
    <x v="162"/>
    <x v="0"/>
    <x v="6"/>
    <x v="21"/>
    <n v="682"/>
    <n v="533"/>
    <n v="33"/>
    <n v="7"/>
    <n v="35150"/>
    <n v="5"/>
    <n v="35150"/>
    <n v="5"/>
    <n v="682"/>
    <n v="404"/>
    <n v="2024"/>
    <x v="6"/>
    <s v="品销宝-品牌专区"/>
    <x v="1"/>
    <x v="2"/>
  </r>
  <r>
    <x v="1"/>
    <x v="162"/>
    <x v="0"/>
    <x v="0"/>
    <x v="2"/>
    <n v="3489"/>
    <n v="2827"/>
    <n v="58"/>
    <n v="28"/>
    <n v="18448"/>
    <n v="6"/>
    <n v="16460"/>
    <n v="5"/>
    <n v="256"/>
    <n v="3463"/>
    <n v="2024"/>
    <x v="6"/>
    <s v="直通车"/>
    <x v="1"/>
    <x v="2"/>
  </r>
  <r>
    <x v="1"/>
    <x v="162"/>
    <x v="0"/>
    <x v="0"/>
    <x v="0"/>
    <n v="4283"/>
    <n v="2197"/>
    <n v="154"/>
    <n v="81"/>
    <n v="173305.14"/>
    <n v="27"/>
    <n v="92587.64"/>
    <n v="16"/>
    <n v="236"/>
    <n v="4281"/>
    <n v="2024"/>
    <x v="6"/>
    <s v="万相台"/>
    <x v="1"/>
    <x v="2"/>
  </r>
  <r>
    <x v="1"/>
    <x v="162"/>
    <x v="0"/>
    <x v="0"/>
    <x v="1"/>
    <n v="5739"/>
    <n v="2224"/>
    <n v="156"/>
    <n v="67"/>
    <n v="62724.35"/>
    <n v="17"/>
    <n v="54484.35"/>
    <n v="15"/>
    <n v="485"/>
    <n v="5737"/>
    <n v="2024"/>
    <x v="6"/>
    <s v="引力魔方"/>
    <x v="1"/>
    <x v="2"/>
  </r>
  <r>
    <x v="1"/>
    <x v="162"/>
    <x v="0"/>
    <x v="7"/>
    <x v="23"/>
    <n v="3"/>
    <n v="3"/>
    <n v="0"/>
    <n v="0"/>
    <n v="0"/>
    <n v="0"/>
    <n v="0"/>
    <n v="0"/>
    <n v="1"/>
    <n v="2"/>
    <n v="2024"/>
    <x v="6"/>
    <s v="流量宝"/>
    <x v="1"/>
    <x v="2"/>
  </r>
  <r>
    <x v="1"/>
    <x v="162"/>
    <x v="0"/>
    <x v="7"/>
    <x v="24"/>
    <n v="347"/>
    <n v="122"/>
    <n v="18"/>
    <n v="0"/>
    <n v="20932.5"/>
    <n v="3"/>
    <n v="20932.5"/>
    <n v="3"/>
    <n v="29"/>
    <n v="334"/>
    <n v="2024"/>
    <x v="6"/>
    <s v="淘宝客"/>
    <x v="1"/>
    <x v="2"/>
  </r>
  <r>
    <x v="1"/>
    <x v="163"/>
    <x v="1"/>
    <x v="8"/>
    <x v="25"/>
    <n v="4"/>
    <n v="2"/>
    <n v="0"/>
    <n v="0"/>
    <n v="0"/>
    <n v="0"/>
    <n v="0"/>
    <n v="0"/>
    <n v="1"/>
    <n v="0"/>
    <n v="2024"/>
    <x v="6"/>
    <s v="主会场"/>
    <x v="1"/>
    <x v="2"/>
  </r>
  <r>
    <x v="1"/>
    <x v="163"/>
    <x v="1"/>
    <x v="8"/>
    <x v="26"/>
    <n v="1"/>
    <n v="1"/>
    <n v="0"/>
    <n v="0"/>
    <n v="0"/>
    <n v="0"/>
    <n v="0"/>
    <n v="0"/>
    <n v="0"/>
    <n v="1"/>
    <n v="2024"/>
    <x v="6"/>
    <s v="榜单会场"/>
    <x v="1"/>
    <x v="2"/>
  </r>
  <r>
    <x v="1"/>
    <x v="163"/>
    <x v="1"/>
    <x v="1"/>
    <x v="3"/>
    <n v="19"/>
    <n v="8"/>
    <n v="0"/>
    <n v="0"/>
    <n v="0"/>
    <n v="0"/>
    <n v="0"/>
    <n v="0"/>
    <n v="3"/>
    <n v="19"/>
    <n v="2024"/>
    <x v="6"/>
    <s v="其他入口榜单"/>
    <x v="1"/>
    <x v="2"/>
  </r>
  <r>
    <x v="1"/>
    <x v="163"/>
    <x v="1"/>
    <x v="2"/>
    <x v="4"/>
    <n v="1"/>
    <n v="1"/>
    <n v="0"/>
    <n v="0"/>
    <n v="0"/>
    <n v="0"/>
    <n v="0"/>
    <n v="0"/>
    <n v="1"/>
    <n v="0"/>
    <n v="2024"/>
    <x v="6"/>
    <s v="手机浏览器访问天猫"/>
    <x v="1"/>
    <x v="2"/>
  </r>
  <r>
    <x v="1"/>
    <x v="163"/>
    <x v="1"/>
    <x v="2"/>
    <x v="5"/>
    <n v="57"/>
    <n v="21"/>
    <n v="1"/>
    <n v="0"/>
    <n v="0"/>
    <n v="0"/>
    <n v="0"/>
    <n v="0"/>
    <n v="20"/>
    <n v="50"/>
    <n v="2024"/>
    <x v="6"/>
    <s v="手猫免费其他"/>
    <x v="1"/>
    <x v="2"/>
  </r>
  <r>
    <x v="1"/>
    <x v="163"/>
    <x v="1"/>
    <x v="2"/>
    <x v="6"/>
    <n v="45"/>
    <n v="18"/>
    <n v="4"/>
    <n v="0"/>
    <n v="2895"/>
    <n v="1"/>
    <n v="0"/>
    <n v="0"/>
    <n v="1"/>
    <n v="45"/>
    <n v="2024"/>
    <x v="6"/>
    <s v="手猫其他店铺"/>
    <x v="1"/>
    <x v="2"/>
  </r>
  <r>
    <x v="1"/>
    <x v="163"/>
    <x v="1"/>
    <x v="2"/>
    <x v="7"/>
    <n v="52"/>
    <n v="16"/>
    <n v="5"/>
    <n v="0"/>
    <n v="2550"/>
    <n v="1"/>
    <n v="2550"/>
    <n v="1"/>
    <n v="10"/>
    <n v="50"/>
    <n v="2024"/>
    <x v="6"/>
    <s v="手猫商品详情"/>
    <x v="1"/>
    <x v="2"/>
  </r>
  <r>
    <x v="1"/>
    <x v="163"/>
    <x v="1"/>
    <x v="2"/>
    <x v="8"/>
    <n v="100"/>
    <n v="58"/>
    <n v="2"/>
    <n v="0"/>
    <n v="25295"/>
    <n v="3"/>
    <n v="10300"/>
    <n v="2"/>
    <n v="28"/>
    <n v="91"/>
    <n v="2024"/>
    <x v="6"/>
    <s v="手猫搜索"/>
    <x v="1"/>
    <x v="2"/>
  </r>
  <r>
    <x v="1"/>
    <x v="163"/>
    <x v="1"/>
    <x v="2"/>
    <x v="9"/>
    <n v="5"/>
    <n v="0"/>
    <n v="1"/>
    <n v="0"/>
    <n v="0"/>
    <n v="0"/>
    <n v="0"/>
    <n v="0"/>
    <n v="2"/>
    <n v="5"/>
    <n v="2024"/>
    <x v="6"/>
    <s v="手猫旺信聊天"/>
    <x v="1"/>
    <x v="2"/>
  </r>
  <r>
    <x v="1"/>
    <x v="163"/>
    <x v="1"/>
    <x v="2"/>
    <x v="29"/>
    <n v="3"/>
    <n v="2"/>
    <n v="0"/>
    <n v="0"/>
    <n v="0"/>
    <n v="0"/>
    <n v="0"/>
    <n v="0"/>
    <n v="1"/>
    <n v="3"/>
    <n v="2024"/>
    <x v="6"/>
    <s v="手猫消息中心"/>
    <x v="1"/>
    <x v="2"/>
  </r>
  <r>
    <x v="1"/>
    <x v="163"/>
    <x v="1"/>
    <x v="2"/>
    <x v="10"/>
    <n v="460"/>
    <n v="218"/>
    <n v="11"/>
    <n v="0"/>
    <n v="28495"/>
    <n v="7"/>
    <n v="23520"/>
    <n v="6"/>
    <n v="39"/>
    <n v="458"/>
    <n v="2024"/>
    <x v="6"/>
    <s v="手猫首页"/>
    <x v="1"/>
    <x v="2"/>
  </r>
  <r>
    <x v="1"/>
    <x v="163"/>
    <x v="1"/>
    <x v="3"/>
    <x v="11"/>
    <n v="320"/>
    <n v="99"/>
    <n v="12"/>
    <n v="6"/>
    <n v="5373"/>
    <n v="2"/>
    <n v="5373"/>
    <n v="2"/>
    <n v="45"/>
    <n v="314"/>
    <n v="2024"/>
    <x v="6"/>
    <s v="商品详情页头图推荐"/>
    <x v="1"/>
    <x v="2"/>
  </r>
  <r>
    <x v="1"/>
    <x v="163"/>
    <x v="1"/>
    <x v="3"/>
    <x v="12"/>
    <n v="52"/>
    <n v="28"/>
    <n v="5"/>
    <n v="1"/>
    <n v="0"/>
    <n v="0"/>
    <n v="0"/>
    <n v="0"/>
    <n v="41"/>
    <n v="32"/>
    <n v="2024"/>
    <x v="6"/>
    <s v="店铺超链"/>
    <x v="1"/>
    <x v="2"/>
  </r>
  <r>
    <x v="1"/>
    <x v="163"/>
    <x v="0"/>
    <x v="6"/>
    <x v="30"/>
    <n v="1451"/>
    <n v="1090"/>
    <n v="12"/>
    <n v="3"/>
    <n v="7965"/>
    <n v="2"/>
    <n v="4975"/>
    <n v="1"/>
    <n v="1223"/>
    <n v="204"/>
    <n v="2024"/>
    <x v="6"/>
    <s v="其他猜你喜欢"/>
    <x v="1"/>
    <x v="2"/>
  </r>
  <r>
    <x v="1"/>
    <x v="163"/>
    <x v="1"/>
    <x v="4"/>
    <x v="15"/>
    <n v="48"/>
    <n v="29"/>
    <n v="3"/>
    <n v="0"/>
    <n v="0"/>
    <n v="0"/>
    <n v="0"/>
    <n v="0"/>
    <n v="8"/>
    <n v="21"/>
    <n v="2024"/>
    <x v="6"/>
    <s v="购中推荐"/>
    <x v="1"/>
    <x v="2"/>
  </r>
  <r>
    <x v="1"/>
    <x v="163"/>
    <x v="1"/>
    <x v="4"/>
    <x v="16"/>
    <n v="208"/>
    <n v="154"/>
    <n v="2"/>
    <n v="1"/>
    <n v="0"/>
    <n v="0"/>
    <n v="0"/>
    <n v="0"/>
    <n v="63"/>
    <n v="60"/>
    <n v="2024"/>
    <x v="6"/>
    <s v="购后推荐"/>
    <x v="1"/>
    <x v="2"/>
  </r>
  <r>
    <x v="1"/>
    <x v="163"/>
    <x v="1"/>
    <x v="4"/>
    <x v="17"/>
    <n v="3706"/>
    <n v="1718"/>
    <n v="103"/>
    <n v="46"/>
    <n v="87920"/>
    <n v="17"/>
    <n v="67800"/>
    <n v="13"/>
    <n v="287"/>
    <n v="3706"/>
    <n v="2024"/>
    <x v="6"/>
    <s v="首页推荐-微详情"/>
    <x v="1"/>
    <x v="2"/>
  </r>
  <r>
    <x v="1"/>
    <x v="163"/>
    <x v="1"/>
    <x v="4"/>
    <x v="18"/>
    <n v="532"/>
    <n v="463"/>
    <n v="1"/>
    <n v="0"/>
    <n v="0"/>
    <n v="0"/>
    <n v="0"/>
    <n v="0"/>
    <n v="0"/>
    <n v="9"/>
    <n v="2024"/>
    <x v="6"/>
    <s v="首页推荐-直播"/>
    <x v="1"/>
    <x v="2"/>
  </r>
  <r>
    <x v="1"/>
    <x v="163"/>
    <x v="1"/>
    <x v="4"/>
    <x v="19"/>
    <n v="757"/>
    <n v="312"/>
    <n v="8"/>
    <n v="3"/>
    <n v="6473"/>
    <n v="2"/>
    <n v="6473"/>
    <n v="2"/>
    <n v="26"/>
    <n v="192"/>
    <n v="2024"/>
    <x v="6"/>
    <s v="首页推荐-短视频"/>
    <x v="1"/>
    <x v="2"/>
  </r>
  <r>
    <x v="1"/>
    <x v="163"/>
    <x v="1"/>
    <x v="12"/>
    <x v="42"/>
    <n v="1268"/>
    <n v="897"/>
    <n v="53"/>
    <n v="20"/>
    <n v="28845"/>
    <n v="7"/>
    <n v="26928"/>
    <n v="6"/>
    <n v="292"/>
    <n v="1174"/>
    <n v="2024"/>
    <x v="6"/>
    <s v="手淘搜索-商品及其他"/>
    <x v="1"/>
    <x v="2"/>
  </r>
  <r>
    <x v="1"/>
    <x v="163"/>
    <x v="1"/>
    <x v="12"/>
    <x v="43"/>
    <n v="7"/>
    <n v="3"/>
    <n v="1"/>
    <n v="0"/>
    <n v="0"/>
    <n v="0"/>
    <n v="0"/>
    <n v="0"/>
    <n v="1"/>
    <n v="5"/>
    <n v="2024"/>
    <x v="6"/>
    <s v="手淘搜索-直播"/>
    <x v="1"/>
    <x v="2"/>
  </r>
  <r>
    <x v="1"/>
    <x v="163"/>
    <x v="1"/>
    <x v="12"/>
    <x v="44"/>
    <n v="89"/>
    <n v="81"/>
    <n v="2"/>
    <n v="0"/>
    <n v="0"/>
    <n v="0"/>
    <n v="0"/>
    <n v="0"/>
    <n v="0"/>
    <n v="85"/>
    <n v="2024"/>
    <x v="6"/>
    <s v="手淘搜索-短视频"/>
    <x v="1"/>
    <x v="2"/>
  </r>
  <r>
    <x v="1"/>
    <x v="163"/>
    <x v="1"/>
    <x v="11"/>
    <x v="37"/>
    <n v="1"/>
    <n v="0"/>
    <n v="0"/>
    <n v="0"/>
    <n v="0"/>
    <n v="0"/>
    <n v="0"/>
    <n v="0"/>
    <n v="0"/>
    <n v="1"/>
    <n v="2024"/>
    <x v="6"/>
    <s v="淘特其他渠道"/>
    <x v="1"/>
    <x v="2"/>
  </r>
  <r>
    <x v="1"/>
    <x v="163"/>
    <x v="1"/>
    <x v="11"/>
    <x v="39"/>
    <n v="10"/>
    <n v="9"/>
    <n v="0"/>
    <n v="0"/>
    <n v="0"/>
    <n v="0"/>
    <n v="0"/>
    <n v="0"/>
    <n v="0"/>
    <n v="10"/>
    <n v="2024"/>
    <x v="6"/>
    <s v="淘特搜索"/>
    <x v="1"/>
    <x v="2"/>
  </r>
  <r>
    <x v="1"/>
    <x v="163"/>
    <x v="1"/>
    <x v="11"/>
    <x v="40"/>
    <n v="1"/>
    <n v="1"/>
    <n v="0"/>
    <n v="0"/>
    <n v="0"/>
    <n v="0"/>
    <n v="0"/>
    <n v="0"/>
    <n v="0"/>
    <n v="1"/>
    <n v="2024"/>
    <x v="6"/>
    <s v="淘特自主访问"/>
    <x v="1"/>
    <x v="2"/>
  </r>
  <r>
    <x v="1"/>
    <x v="163"/>
    <x v="0"/>
    <x v="5"/>
    <x v="41"/>
    <n v="887"/>
    <n v="720"/>
    <n v="2"/>
    <n v="2"/>
    <n v="0"/>
    <n v="0"/>
    <n v="0"/>
    <n v="0"/>
    <n v="11"/>
    <n v="117"/>
    <n v="2024"/>
    <x v="6"/>
    <s v="超级直播"/>
    <x v="1"/>
    <x v="2"/>
  </r>
  <r>
    <x v="1"/>
    <x v="163"/>
    <x v="0"/>
    <x v="5"/>
    <x v="20"/>
    <n v="282"/>
    <n v="207"/>
    <n v="7"/>
    <n v="3"/>
    <n v="0"/>
    <n v="0"/>
    <n v="0"/>
    <n v="0"/>
    <n v="2"/>
    <n v="230"/>
    <n v="2024"/>
    <x v="6"/>
    <s v="超级短视频"/>
    <x v="1"/>
    <x v="2"/>
  </r>
  <r>
    <x v="1"/>
    <x v="163"/>
    <x v="0"/>
    <x v="6"/>
    <x v="30"/>
    <n v="1"/>
    <n v="0"/>
    <n v="0"/>
    <n v="0"/>
    <n v="0"/>
    <n v="0"/>
    <n v="0"/>
    <n v="0"/>
    <n v="1"/>
    <n v="0"/>
    <n v="2024"/>
    <x v="6"/>
    <s v="品牌特秀"/>
    <x v="1"/>
    <x v="2"/>
  </r>
  <r>
    <x v="1"/>
    <x v="163"/>
    <x v="0"/>
    <x v="6"/>
    <x v="21"/>
    <n v="715"/>
    <n v="541"/>
    <n v="38"/>
    <n v="3"/>
    <n v="58594"/>
    <n v="8"/>
    <n v="28094"/>
    <n v="7"/>
    <n v="715"/>
    <n v="444"/>
    <n v="2024"/>
    <x v="6"/>
    <s v="品销宝-品牌专区"/>
    <x v="1"/>
    <x v="2"/>
  </r>
  <r>
    <x v="1"/>
    <x v="163"/>
    <x v="0"/>
    <x v="0"/>
    <x v="2"/>
    <n v="3429"/>
    <n v="2806"/>
    <n v="62"/>
    <n v="25"/>
    <n v="80734.5"/>
    <n v="11"/>
    <n v="40244.5"/>
    <n v="7"/>
    <n v="265"/>
    <n v="3416"/>
    <n v="2024"/>
    <x v="6"/>
    <s v="直通车"/>
    <x v="1"/>
    <x v="2"/>
  </r>
  <r>
    <x v="1"/>
    <x v="163"/>
    <x v="0"/>
    <x v="0"/>
    <x v="0"/>
    <n v="4494"/>
    <n v="2341"/>
    <n v="179"/>
    <n v="77"/>
    <n v="205651"/>
    <n v="32"/>
    <n v="122761"/>
    <n v="23"/>
    <n v="284"/>
    <n v="4489"/>
    <n v="2024"/>
    <x v="6"/>
    <s v="万相台"/>
    <x v="1"/>
    <x v="2"/>
  </r>
  <r>
    <x v="1"/>
    <x v="163"/>
    <x v="0"/>
    <x v="0"/>
    <x v="1"/>
    <n v="5427"/>
    <n v="1975"/>
    <n v="142"/>
    <n v="69"/>
    <n v="44644"/>
    <n v="11"/>
    <n v="40747"/>
    <n v="10"/>
    <n v="418"/>
    <n v="5426"/>
    <n v="2024"/>
    <x v="6"/>
    <s v="引力魔方"/>
    <x v="1"/>
    <x v="2"/>
  </r>
  <r>
    <x v="1"/>
    <x v="163"/>
    <x v="0"/>
    <x v="7"/>
    <x v="23"/>
    <n v="7"/>
    <n v="4"/>
    <n v="0"/>
    <n v="0"/>
    <n v="0"/>
    <n v="0"/>
    <n v="0"/>
    <n v="0"/>
    <n v="2"/>
    <n v="5"/>
    <n v="2024"/>
    <x v="6"/>
    <s v="流量宝"/>
    <x v="1"/>
    <x v="2"/>
  </r>
  <r>
    <x v="1"/>
    <x v="163"/>
    <x v="0"/>
    <x v="7"/>
    <x v="24"/>
    <n v="338"/>
    <n v="119"/>
    <n v="20"/>
    <n v="0"/>
    <n v="10280"/>
    <n v="2"/>
    <n v="10280"/>
    <n v="2"/>
    <n v="27"/>
    <n v="326"/>
    <n v="2024"/>
    <x v="6"/>
    <s v="淘宝客"/>
    <x v="1"/>
    <x v="2"/>
  </r>
  <r>
    <x v="1"/>
    <x v="164"/>
    <x v="1"/>
    <x v="8"/>
    <x v="25"/>
    <n v="2"/>
    <n v="0"/>
    <n v="0"/>
    <n v="0"/>
    <n v="0"/>
    <n v="0"/>
    <n v="0"/>
    <n v="0"/>
    <n v="1"/>
    <n v="1"/>
    <n v="2024"/>
    <x v="6"/>
    <s v="主会场"/>
    <x v="1"/>
    <x v="2"/>
  </r>
  <r>
    <x v="1"/>
    <x v="164"/>
    <x v="1"/>
    <x v="1"/>
    <x v="3"/>
    <n v="1"/>
    <n v="1"/>
    <n v="0"/>
    <n v="0"/>
    <n v="0"/>
    <n v="0"/>
    <n v="0"/>
    <n v="0"/>
    <n v="0"/>
    <n v="1"/>
    <n v="2024"/>
    <x v="6"/>
    <s v="其他入口榜单"/>
    <x v="1"/>
    <x v="2"/>
  </r>
  <r>
    <x v="1"/>
    <x v="164"/>
    <x v="1"/>
    <x v="2"/>
    <x v="5"/>
    <n v="58"/>
    <n v="21"/>
    <n v="0"/>
    <n v="0"/>
    <n v="0"/>
    <n v="0"/>
    <n v="0"/>
    <n v="0"/>
    <n v="15"/>
    <n v="52"/>
    <n v="2024"/>
    <x v="6"/>
    <s v="手猫免费其他"/>
    <x v="1"/>
    <x v="2"/>
  </r>
  <r>
    <x v="1"/>
    <x v="164"/>
    <x v="1"/>
    <x v="2"/>
    <x v="6"/>
    <n v="38"/>
    <n v="11"/>
    <n v="5"/>
    <n v="0"/>
    <n v="5367"/>
    <n v="1"/>
    <n v="3850"/>
    <n v="1"/>
    <n v="0"/>
    <n v="38"/>
    <n v="2024"/>
    <x v="6"/>
    <s v="手猫其他店铺"/>
    <x v="1"/>
    <x v="2"/>
  </r>
  <r>
    <x v="1"/>
    <x v="164"/>
    <x v="1"/>
    <x v="2"/>
    <x v="7"/>
    <n v="36"/>
    <n v="14"/>
    <n v="5"/>
    <n v="0"/>
    <n v="12384.63"/>
    <n v="1"/>
    <n v="12384.63"/>
    <n v="1"/>
    <n v="5"/>
    <n v="35"/>
    <n v="2024"/>
    <x v="6"/>
    <s v="手猫商品详情"/>
    <x v="1"/>
    <x v="2"/>
  </r>
  <r>
    <x v="1"/>
    <x v="164"/>
    <x v="1"/>
    <x v="2"/>
    <x v="8"/>
    <n v="89"/>
    <n v="49"/>
    <n v="2"/>
    <n v="0"/>
    <n v="2550"/>
    <n v="1"/>
    <n v="3850"/>
    <n v="1"/>
    <n v="27"/>
    <n v="76"/>
    <n v="2024"/>
    <x v="6"/>
    <s v="手猫搜索"/>
    <x v="1"/>
    <x v="2"/>
  </r>
  <r>
    <x v="1"/>
    <x v="164"/>
    <x v="1"/>
    <x v="2"/>
    <x v="9"/>
    <n v="9"/>
    <n v="2"/>
    <n v="2"/>
    <n v="0"/>
    <n v="4436.8"/>
    <n v="1"/>
    <n v="4436.8"/>
    <n v="1"/>
    <n v="7"/>
    <n v="7"/>
    <n v="2024"/>
    <x v="6"/>
    <s v="手猫旺信聊天"/>
    <x v="1"/>
    <x v="2"/>
  </r>
  <r>
    <x v="1"/>
    <x v="164"/>
    <x v="1"/>
    <x v="2"/>
    <x v="29"/>
    <n v="6"/>
    <n v="4"/>
    <n v="0"/>
    <n v="0"/>
    <n v="0"/>
    <n v="0"/>
    <n v="0"/>
    <n v="0"/>
    <n v="0"/>
    <n v="6"/>
    <n v="2024"/>
    <x v="6"/>
    <s v="手猫消息中心"/>
    <x v="1"/>
    <x v="2"/>
  </r>
  <r>
    <x v="1"/>
    <x v="164"/>
    <x v="1"/>
    <x v="2"/>
    <x v="10"/>
    <n v="399"/>
    <n v="193"/>
    <n v="11"/>
    <n v="0"/>
    <n v="7947.83"/>
    <n v="1"/>
    <n v="7947.83"/>
    <n v="1"/>
    <n v="38"/>
    <n v="399"/>
    <n v="2024"/>
    <x v="6"/>
    <s v="手猫首页"/>
    <x v="1"/>
    <x v="2"/>
  </r>
  <r>
    <x v="1"/>
    <x v="164"/>
    <x v="1"/>
    <x v="3"/>
    <x v="11"/>
    <n v="343"/>
    <n v="115"/>
    <n v="21"/>
    <n v="6"/>
    <n v="31034.26"/>
    <n v="5"/>
    <n v="31034.26"/>
    <n v="5"/>
    <n v="55"/>
    <n v="338"/>
    <n v="2024"/>
    <x v="6"/>
    <s v="商品详情页头图推荐"/>
    <x v="1"/>
    <x v="2"/>
  </r>
  <r>
    <x v="1"/>
    <x v="164"/>
    <x v="1"/>
    <x v="3"/>
    <x v="12"/>
    <n v="50"/>
    <n v="28"/>
    <n v="3"/>
    <n v="1"/>
    <n v="7800"/>
    <n v="1"/>
    <n v="7800"/>
    <n v="1"/>
    <n v="45"/>
    <n v="23"/>
    <n v="2024"/>
    <x v="6"/>
    <s v="店铺超链"/>
    <x v="1"/>
    <x v="2"/>
  </r>
  <r>
    <x v="1"/>
    <x v="164"/>
    <x v="0"/>
    <x v="6"/>
    <x v="30"/>
    <n v="1408"/>
    <n v="1040"/>
    <n v="4"/>
    <n v="5"/>
    <n v="63000"/>
    <n v="1"/>
    <n v="63000"/>
    <n v="1"/>
    <n v="1165"/>
    <n v="254"/>
    <n v="2024"/>
    <x v="6"/>
    <s v="其他猜你喜欢"/>
    <x v="1"/>
    <x v="2"/>
  </r>
  <r>
    <x v="1"/>
    <x v="164"/>
    <x v="1"/>
    <x v="4"/>
    <x v="15"/>
    <n v="26"/>
    <n v="20"/>
    <n v="2"/>
    <n v="0"/>
    <n v="0"/>
    <n v="0"/>
    <n v="0"/>
    <n v="0"/>
    <n v="15"/>
    <n v="9"/>
    <n v="2024"/>
    <x v="6"/>
    <s v="购中推荐"/>
    <x v="1"/>
    <x v="2"/>
  </r>
  <r>
    <x v="1"/>
    <x v="164"/>
    <x v="1"/>
    <x v="4"/>
    <x v="16"/>
    <n v="187"/>
    <n v="129"/>
    <n v="3"/>
    <n v="2"/>
    <n v="0"/>
    <n v="0"/>
    <n v="0"/>
    <n v="0"/>
    <n v="95"/>
    <n v="66"/>
    <n v="2024"/>
    <x v="6"/>
    <s v="购后推荐"/>
    <x v="1"/>
    <x v="2"/>
  </r>
  <r>
    <x v="1"/>
    <x v="164"/>
    <x v="1"/>
    <x v="4"/>
    <x v="17"/>
    <n v="4259"/>
    <n v="2107"/>
    <n v="133"/>
    <n v="39"/>
    <n v="104969.24"/>
    <n v="17"/>
    <n v="73594.240000000005"/>
    <n v="14"/>
    <n v="278"/>
    <n v="4259"/>
    <n v="2024"/>
    <x v="6"/>
    <s v="首页推荐-微详情"/>
    <x v="1"/>
    <x v="2"/>
  </r>
  <r>
    <x v="1"/>
    <x v="164"/>
    <x v="1"/>
    <x v="4"/>
    <x v="18"/>
    <n v="12"/>
    <n v="2"/>
    <n v="0"/>
    <n v="0"/>
    <n v="0"/>
    <n v="0"/>
    <n v="0"/>
    <n v="0"/>
    <n v="0"/>
    <n v="0"/>
    <n v="2024"/>
    <x v="6"/>
    <s v="首页推荐-直播"/>
    <x v="1"/>
    <x v="2"/>
  </r>
  <r>
    <x v="1"/>
    <x v="164"/>
    <x v="1"/>
    <x v="4"/>
    <x v="19"/>
    <n v="716"/>
    <n v="315"/>
    <n v="13"/>
    <n v="1"/>
    <n v="18924"/>
    <n v="3"/>
    <n v="13724"/>
    <n v="2"/>
    <n v="21"/>
    <n v="183"/>
    <n v="2024"/>
    <x v="6"/>
    <s v="首页推荐-短视频"/>
    <x v="1"/>
    <x v="2"/>
  </r>
  <r>
    <x v="1"/>
    <x v="164"/>
    <x v="1"/>
    <x v="12"/>
    <x v="42"/>
    <n v="1064"/>
    <n v="710"/>
    <n v="37"/>
    <n v="12"/>
    <n v="73758"/>
    <n v="9"/>
    <n v="47788"/>
    <n v="6"/>
    <n v="254"/>
    <n v="983"/>
    <n v="2024"/>
    <x v="6"/>
    <s v="手淘搜索-商品及其他"/>
    <x v="1"/>
    <x v="2"/>
  </r>
  <r>
    <x v="1"/>
    <x v="164"/>
    <x v="1"/>
    <x v="12"/>
    <x v="44"/>
    <n v="31"/>
    <n v="19"/>
    <n v="1"/>
    <n v="0"/>
    <n v="0"/>
    <n v="0"/>
    <n v="0"/>
    <n v="0"/>
    <n v="1"/>
    <n v="28"/>
    <n v="2024"/>
    <x v="6"/>
    <s v="手淘搜索-短视频"/>
    <x v="1"/>
    <x v="2"/>
  </r>
  <r>
    <x v="1"/>
    <x v="164"/>
    <x v="1"/>
    <x v="11"/>
    <x v="37"/>
    <n v="5"/>
    <n v="5"/>
    <n v="0"/>
    <n v="0"/>
    <n v="0"/>
    <n v="0"/>
    <n v="0"/>
    <n v="0"/>
    <n v="0"/>
    <n v="5"/>
    <n v="2024"/>
    <x v="6"/>
    <s v="淘特其他渠道"/>
    <x v="1"/>
    <x v="2"/>
  </r>
  <r>
    <x v="1"/>
    <x v="164"/>
    <x v="1"/>
    <x v="11"/>
    <x v="39"/>
    <n v="12"/>
    <n v="11"/>
    <n v="0"/>
    <n v="0"/>
    <n v="0"/>
    <n v="0"/>
    <n v="0"/>
    <n v="0"/>
    <n v="0"/>
    <n v="12"/>
    <n v="2024"/>
    <x v="6"/>
    <s v="淘特搜索"/>
    <x v="1"/>
    <x v="2"/>
  </r>
  <r>
    <x v="1"/>
    <x v="164"/>
    <x v="0"/>
    <x v="5"/>
    <x v="41"/>
    <n v="4"/>
    <n v="1"/>
    <n v="0"/>
    <n v="0"/>
    <n v="0"/>
    <n v="0"/>
    <n v="0"/>
    <n v="0"/>
    <n v="0"/>
    <n v="1"/>
    <n v="2024"/>
    <x v="6"/>
    <s v="超级直播"/>
    <x v="1"/>
    <x v="2"/>
  </r>
  <r>
    <x v="1"/>
    <x v="164"/>
    <x v="0"/>
    <x v="5"/>
    <x v="20"/>
    <n v="218"/>
    <n v="166"/>
    <n v="4"/>
    <n v="3"/>
    <n v="0"/>
    <n v="0"/>
    <n v="0"/>
    <n v="0"/>
    <n v="4"/>
    <n v="173"/>
    <n v="2024"/>
    <x v="6"/>
    <s v="超级短视频"/>
    <x v="1"/>
    <x v="2"/>
  </r>
  <r>
    <x v="1"/>
    <x v="164"/>
    <x v="0"/>
    <x v="6"/>
    <x v="30"/>
    <n v="1"/>
    <n v="0"/>
    <n v="0"/>
    <n v="0"/>
    <n v="0"/>
    <n v="0"/>
    <n v="0"/>
    <n v="0"/>
    <n v="1"/>
    <n v="0"/>
    <n v="2024"/>
    <x v="6"/>
    <s v="品牌特秀"/>
    <x v="1"/>
    <x v="2"/>
  </r>
  <r>
    <x v="1"/>
    <x v="164"/>
    <x v="0"/>
    <x v="6"/>
    <x v="21"/>
    <n v="659"/>
    <n v="484"/>
    <n v="33"/>
    <n v="2"/>
    <n v="47631"/>
    <n v="7"/>
    <n v="38731"/>
    <n v="6"/>
    <n v="659"/>
    <n v="398"/>
    <n v="2024"/>
    <x v="6"/>
    <s v="品销宝-品牌专区"/>
    <x v="1"/>
    <x v="2"/>
  </r>
  <r>
    <x v="1"/>
    <x v="164"/>
    <x v="0"/>
    <x v="0"/>
    <x v="2"/>
    <n v="2853"/>
    <n v="2376"/>
    <n v="49"/>
    <n v="16"/>
    <n v="39882"/>
    <n v="7"/>
    <n v="27432"/>
    <n v="5"/>
    <n v="196"/>
    <n v="2833"/>
    <n v="2024"/>
    <x v="6"/>
    <s v="直通车"/>
    <x v="1"/>
    <x v="2"/>
  </r>
  <r>
    <x v="1"/>
    <x v="164"/>
    <x v="0"/>
    <x v="0"/>
    <x v="0"/>
    <n v="4613"/>
    <n v="2603"/>
    <n v="134"/>
    <n v="54"/>
    <n v="204838"/>
    <n v="29"/>
    <n v="127215"/>
    <n v="21"/>
    <n v="212"/>
    <n v="4605"/>
    <n v="2024"/>
    <x v="6"/>
    <s v="万相台"/>
    <x v="1"/>
    <x v="2"/>
  </r>
  <r>
    <x v="1"/>
    <x v="164"/>
    <x v="0"/>
    <x v="0"/>
    <x v="1"/>
    <n v="5220"/>
    <n v="1907"/>
    <n v="131"/>
    <n v="70"/>
    <n v="120587"/>
    <n v="14"/>
    <n v="83137"/>
    <n v="10"/>
    <n v="374"/>
    <n v="5218"/>
    <n v="2024"/>
    <x v="6"/>
    <s v="引力魔方"/>
    <x v="1"/>
    <x v="2"/>
  </r>
  <r>
    <x v="1"/>
    <x v="164"/>
    <x v="0"/>
    <x v="7"/>
    <x v="23"/>
    <n v="5"/>
    <n v="1"/>
    <n v="0"/>
    <n v="0"/>
    <n v="0"/>
    <n v="0"/>
    <n v="0"/>
    <n v="0"/>
    <n v="2"/>
    <n v="4"/>
    <n v="2024"/>
    <x v="6"/>
    <s v="流量宝"/>
    <x v="1"/>
    <x v="2"/>
  </r>
  <r>
    <x v="1"/>
    <x v="164"/>
    <x v="0"/>
    <x v="7"/>
    <x v="24"/>
    <n v="415"/>
    <n v="159"/>
    <n v="33"/>
    <n v="0"/>
    <n v="19088"/>
    <n v="3"/>
    <n v="8100"/>
    <n v="2"/>
    <n v="27"/>
    <n v="407"/>
    <n v="2024"/>
    <x v="6"/>
    <s v="淘宝客"/>
    <x v="1"/>
    <x v="2"/>
  </r>
  <r>
    <x v="1"/>
    <x v="165"/>
    <x v="1"/>
    <x v="8"/>
    <x v="25"/>
    <n v="185"/>
    <n v="64"/>
    <n v="5"/>
    <n v="1"/>
    <n v="12634"/>
    <n v="2"/>
    <n v="8734"/>
    <n v="1"/>
    <n v="15"/>
    <n v="176"/>
    <n v="2024"/>
    <x v="6"/>
    <s v="主会场"/>
    <x v="1"/>
    <x v="2"/>
  </r>
  <r>
    <x v="1"/>
    <x v="165"/>
    <x v="1"/>
    <x v="8"/>
    <x v="26"/>
    <n v="3"/>
    <n v="2"/>
    <n v="0"/>
    <n v="0"/>
    <n v="0"/>
    <n v="0"/>
    <n v="0"/>
    <n v="0"/>
    <n v="1"/>
    <n v="3"/>
    <n v="2024"/>
    <x v="6"/>
    <s v="榜单会场"/>
    <x v="1"/>
    <x v="2"/>
  </r>
  <r>
    <x v="1"/>
    <x v="165"/>
    <x v="1"/>
    <x v="1"/>
    <x v="3"/>
    <n v="1"/>
    <n v="1"/>
    <n v="0"/>
    <n v="0"/>
    <n v="0"/>
    <n v="0"/>
    <n v="0"/>
    <n v="0"/>
    <n v="0"/>
    <n v="1"/>
    <n v="2024"/>
    <x v="6"/>
    <s v="其他入口榜单"/>
    <x v="1"/>
    <x v="2"/>
  </r>
  <r>
    <x v="1"/>
    <x v="165"/>
    <x v="1"/>
    <x v="1"/>
    <x v="35"/>
    <n v="1"/>
    <n v="1"/>
    <n v="0"/>
    <n v="0"/>
    <n v="0"/>
    <n v="0"/>
    <n v="0"/>
    <n v="0"/>
    <n v="0"/>
    <n v="1"/>
    <n v="2024"/>
    <x v="6"/>
    <s v="搜索入口榜单"/>
    <x v="1"/>
    <x v="2"/>
  </r>
  <r>
    <x v="1"/>
    <x v="165"/>
    <x v="1"/>
    <x v="2"/>
    <x v="4"/>
    <n v="1"/>
    <n v="0"/>
    <n v="0"/>
    <n v="0"/>
    <n v="0"/>
    <n v="0"/>
    <n v="0"/>
    <n v="0"/>
    <n v="1"/>
    <n v="0"/>
    <n v="2024"/>
    <x v="6"/>
    <s v="手机浏览器访问天猫"/>
    <x v="1"/>
    <x v="2"/>
  </r>
  <r>
    <x v="1"/>
    <x v="165"/>
    <x v="1"/>
    <x v="2"/>
    <x v="5"/>
    <n v="63"/>
    <n v="16"/>
    <n v="1"/>
    <n v="0"/>
    <n v="0"/>
    <n v="0"/>
    <n v="0"/>
    <n v="0"/>
    <n v="14"/>
    <n v="56"/>
    <n v="2024"/>
    <x v="6"/>
    <s v="手猫免费其他"/>
    <x v="1"/>
    <x v="2"/>
  </r>
  <r>
    <x v="1"/>
    <x v="165"/>
    <x v="1"/>
    <x v="2"/>
    <x v="6"/>
    <n v="45"/>
    <n v="18"/>
    <n v="5"/>
    <n v="0"/>
    <n v="7823"/>
    <n v="2"/>
    <n v="7823"/>
    <n v="2"/>
    <n v="0"/>
    <n v="45"/>
    <n v="2024"/>
    <x v="6"/>
    <s v="手猫其他店铺"/>
    <x v="1"/>
    <x v="2"/>
  </r>
  <r>
    <x v="1"/>
    <x v="165"/>
    <x v="1"/>
    <x v="2"/>
    <x v="7"/>
    <n v="64"/>
    <n v="27"/>
    <n v="6"/>
    <n v="0"/>
    <n v="17608"/>
    <n v="5"/>
    <n v="12618"/>
    <n v="4"/>
    <n v="14"/>
    <n v="63"/>
    <n v="2024"/>
    <x v="6"/>
    <s v="手猫商品详情"/>
    <x v="1"/>
    <x v="2"/>
  </r>
  <r>
    <x v="1"/>
    <x v="165"/>
    <x v="1"/>
    <x v="2"/>
    <x v="8"/>
    <n v="135"/>
    <n v="90"/>
    <n v="23"/>
    <n v="0"/>
    <n v="23075"/>
    <n v="4"/>
    <n v="19225"/>
    <n v="3"/>
    <n v="33"/>
    <n v="128"/>
    <n v="2024"/>
    <x v="6"/>
    <s v="手猫搜索"/>
    <x v="1"/>
    <x v="2"/>
  </r>
  <r>
    <x v="1"/>
    <x v="165"/>
    <x v="1"/>
    <x v="2"/>
    <x v="9"/>
    <n v="6"/>
    <n v="0"/>
    <n v="2"/>
    <n v="0"/>
    <n v="0"/>
    <n v="0"/>
    <n v="0"/>
    <n v="0"/>
    <n v="1"/>
    <n v="6"/>
    <n v="2024"/>
    <x v="6"/>
    <s v="手猫旺信聊天"/>
    <x v="1"/>
    <x v="2"/>
  </r>
  <r>
    <x v="1"/>
    <x v="165"/>
    <x v="1"/>
    <x v="2"/>
    <x v="29"/>
    <n v="5"/>
    <n v="2"/>
    <n v="0"/>
    <n v="0"/>
    <n v="0"/>
    <n v="0"/>
    <n v="0"/>
    <n v="0"/>
    <n v="0"/>
    <n v="5"/>
    <n v="2024"/>
    <x v="6"/>
    <s v="手猫消息中心"/>
    <x v="1"/>
    <x v="2"/>
  </r>
  <r>
    <x v="1"/>
    <x v="165"/>
    <x v="1"/>
    <x v="2"/>
    <x v="10"/>
    <n v="363"/>
    <n v="164"/>
    <n v="10"/>
    <n v="0"/>
    <n v="11103"/>
    <n v="3"/>
    <n v="5163"/>
    <n v="2"/>
    <n v="26"/>
    <n v="363"/>
    <n v="2024"/>
    <x v="6"/>
    <s v="手猫首页"/>
    <x v="1"/>
    <x v="2"/>
  </r>
  <r>
    <x v="1"/>
    <x v="165"/>
    <x v="1"/>
    <x v="3"/>
    <x v="11"/>
    <n v="416"/>
    <n v="166"/>
    <n v="46"/>
    <n v="3"/>
    <n v="44250"/>
    <n v="12"/>
    <n v="44250"/>
    <n v="12"/>
    <n v="63"/>
    <n v="407"/>
    <n v="2024"/>
    <x v="6"/>
    <s v="商品详情页头图推荐"/>
    <x v="1"/>
    <x v="2"/>
  </r>
  <r>
    <x v="1"/>
    <x v="165"/>
    <x v="1"/>
    <x v="3"/>
    <x v="12"/>
    <n v="73"/>
    <n v="35"/>
    <n v="9"/>
    <n v="1"/>
    <n v="18438.64"/>
    <n v="4"/>
    <n v="18438.64"/>
    <n v="4"/>
    <n v="60"/>
    <n v="37"/>
    <n v="2024"/>
    <x v="6"/>
    <s v="店铺超链"/>
    <x v="1"/>
    <x v="2"/>
  </r>
  <r>
    <x v="1"/>
    <x v="165"/>
    <x v="0"/>
    <x v="6"/>
    <x v="30"/>
    <n v="1481"/>
    <n v="1130"/>
    <n v="22"/>
    <n v="5"/>
    <n v="20566"/>
    <n v="5"/>
    <n v="20566"/>
    <n v="5"/>
    <n v="1206"/>
    <n v="296"/>
    <n v="2024"/>
    <x v="6"/>
    <s v="其他猜你喜欢"/>
    <x v="1"/>
    <x v="2"/>
  </r>
  <r>
    <x v="1"/>
    <x v="165"/>
    <x v="1"/>
    <x v="4"/>
    <x v="15"/>
    <n v="35"/>
    <n v="26"/>
    <n v="0"/>
    <n v="0"/>
    <n v="0"/>
    <n v="0"/>
    <n v="0"/>
    <n v="0"/>
    <n v="9"/>
    <n v="17"/>
    <n v="2024"/>
    <x v="6"/>
    <s v="购中推荐"/>
    <x v="1"/>
    <x v="2"/>
  </r>
  <r>
    <x v="1"/>
    <x v="165"/>
    <x v="1"/>
    <x v="4"/>
    <x v="16"/>
    <n v="209"/>
    <n v="155"/>
    <n v="2"/>
    <n v="1"/>
    <n v="0"/>
    <n v="0"/>
    <n v="0"/>
    <n v="0"/>
    <n v="69"/>
    <n v="89"/>
    <n v="2024"/>
    <x v="6"/>
    <s v="购后推荐"/>
    <x v="1"/>
    <x v="2"/>
  </r>
  <r>
    <x v="1"/>
    <x v="165"/>
    <x v="1"/>
    <x v="4"/>
    <x v="17"/>
    <n v="5143"/>
    <n v="2855"/>
    <n v="158"/>
    <n v="52"/>
    <n v="171517.5"/>
    <n v="39"/>
    <n v="132612"/>
    <n v="34"/>
    <n v="400"/>
    <n v="5143"/>
    <n v="2024"/>
    <x v="6"/>
    <s v="首页推荐-微详情"/>
    <x v="1"/>
    <x v="2"/>
  </r>
  <r>
    <x v="1"/>
    <x v="165"/>
    <x v="1"/>
    <x v="4"/>
    <x v="18"/>
    <n v="572"/>
    <n v="362"/>
    <n v="3"/>
    <n v="0"/>
    <n v="0"/>
    <n v="0"/>
    <n v="0"/>
    <n v="0"/>
    <n v="2"/>
    <n v="37"/>
    <n v="2024"/>
    <x v="6"/>
    <s v="首页推荐-直播"/>
    <x v="1"/>
    <x v="2"/>
  </r>
  <r>
    <x v="1"/>
    <x v="165"/>
    <x v="1"/>
    <x v="4"/>
    <x v="19"/>
    <n v="912"/>
    <n v="490"/>
    <n v="14"/>
    <n v="4"/>
    <n v="23682"/>
    <n v="5"/>
    <n v="23682"/>
    <n v="5"/>
    <n v="31"/>
    <n v="221"/>
    <n v="2024"/>
    <x v="6"/>
    <s v="首页推荐-短视频"/>
    <x v="1"/>
    <x v="2"/>
  </r>
  <r>
    <x v="1"/>
    <x v="165"/>
    <x v="1"/>
    <x v="12"/>
    <x v="42"/>
    <n v="2371"/>
    <n v="1890"/>
    <n v="460"/>
    <n v="27"/>
    <n v="869611.5"/>
    <n v="181"/>
    <n v="760746.5"/>
    <n v="163"/>
    <n v="452"/>
    <n v="2232"/>
    <n v="2024"/>
    <x v="6"/>
    <s v="手淘搜索-商品及其他"/>
    <x v="1"/>
    <x v="2"/>
  </r>
  <r>
    <x v="1"/>
    <x v="165"/>
    <x v="1"/>
    <x v="12"/>
    <x v="43"/>
    <n v="33"/>
    <n v="26"/>
    <n v="0"/>
    <n v="1"/>
    <n v="6975"/>
    <n v="1"/>
    <n v="0"/>
    <n v="0"/>
    <n v="2"/>
    <n v="13"/>
    <n v="2024"/>
    <x v="6"/>
    <s v="手淘搜索-直播"/>
    <x v="1"/>
    <x v="2"/>
  </r>
  <r>
    <x v="1"/>
    <x v="165"/>
    <x v="1"/>
    <x v="12"/>
    <x v="44"/>
    <n v="214"/>
    <n v="200"/>
    <n v="2"/>
    <n v="0"/>
    <n v="0"/>
    <n v="0"/>
    <n v="0"/>
    <n v="0"/>
    <n v="1"/>
    <n v="201"/>
    <n v="2024"/>
    <x v="6"/>
    <s v="手淘搜索-短视频"/>
    <x v="1"/>
    <x v="2"/>
  </r>
  <r>
    <x v="1"/>
    <x v="165"/>
    <x v="1"/>
    <x v="11"/>
    <x v="37"/>
    <n v="7"/>
    <n v="6"/>
    <n v="0"/>
    <n v="0"/>
    <n v="0"/>
    <n v="0"/>
    <n v="0"/>
    <n v="0"/>
    <n v="1"/>
    <n v="7"/>
    <n v="2024"/>
    <x v="6"/>
    <s v="淘特其他渠道"/>
    <x v="1"/>
    <x v="2"/>
  </r>
  <r>
    <x v="1"/>
    <x v="165"/>
    <x v="1"/>
    <x v="11"/>
    <x v="39"/>
    <n v="23"/>
    <n v="22"/>
    <n v="0"/>
    <n v="0"/>
    <n v="0"/>
    <n v="0"/>
    <n v="0"/>
    <n v="0"/>
    <n v="0"/>
    <n v="23"/>
    <n v="2024"/>
    <x v="6"/>
    <s v="淘特搜索"/>
    <x v="1"/>
    <x v="2"/>
  </r>
  <r>
    <x v="1"/>
    <x v="165"/>
    <x v="0"/>
    <x v="5"/>
    <x v="47"/>
    <n v="1"/>
    <n v="1"/>
    <n v="0"/>
    <n v="0"/>
    <n v="0"/>
    <n v="0"/>
    <n v="0"/>
    <n v="0"/>
    <n v="0"/>
    <n v="0"/>
    <n v="2024"/>
    <x v="6"/>
    <s v="短直联动"/>
    <x v="1"/>
    <x v="2"/>
  </r>
  <r>
    <x v="1"/>
    <x v="165"/>
    <x v="0"/>
    <x v="5"/>
    <x v="41"/>
    <n v="1804"/>
    <n v="1347"/>
    <n v="8"/>
    <n v="0"/>
    <n v="0"/>
    <n v="0"/>
    <n v="0"/>
    <n v="0"/>
    <n v="26"/>
    <n v="189"/>
    <n v="2024"/>
    <x v="6"/>
    <s v="超级直播"/>
    <x v="1"/>
    <x v="2"/>
  </r>
  <r>
    <x v="1"/>
    <x v="165"/>
    <x v="0"/>
    <x v="5"/>
    <x v="20"/>
    <n v="300"/>
    <n v="238"/>
    <n v="8"/>
    <n v="5"/>
    <n v="0"/>
    <n v="0"/>
    <n v="0"/>
    <n v="0"/>
    <n v="4"/>
    <n v="246"/>
    <n v="2024"/>
    <x v="6"/>
    <s v="超级短视频"/>
    <x v="1"/>
    <x v="2"/>
  </r>
  <r>
    <x v="1"/>
    <x v="165"/>
    <x v="0"/>
    <x v="6"/>
    <x v="21"/>
    <n v="682"/>
    <n v="501"/>
    <n v="49"/>
    <n v="10"/>
    <n v="124136.93"/>
    <n v="23"/>
    <n v="119836.93"/>
    <n v="23"/>
    <n v="682"/>
    <n v="431"/>
    <n v="2024"/>
    <x v="6"/>
    <s v="品销宝-品牌专区"/>
    <x v="1"/>
    <x v="2"/>
  </r>
  <r>
    <x v="1"/>
    <x v="165"/>
    <x v="0"/>
    <x v="0"/>
    <x v="2"/>
    <n v="5876"/>
    <n v="5091"/>
    <n v="399"/>
    <n v="37"/>
    <n v="784555.5"/>
    <n v="141"/>
    <n v="622081"/>
    <n v="124"/>
    <n v="399"/>
    <n v="5808"/>
    <n v="2024"/>
    <x v="6"/>
    <s v="直通车"/>
    <x v="1"/>
    <x v="2"/>
  </r>
  <r>
    <x v="1"/>
    <x v="165"/>
    <x v="0"/>
    <x v="0"/>
    <x v="0"/>
    <n v="5416"/>
    <n v="2999"/>
    <n v="315"/>
    <n v="82"/>
    <n v="552961.5"/>
    <n v="89"/>
    <n v="467427.5"/>
    <n v="79"/>
    <n v="360"/>
    <n v="5403"/>
    <n v="2024"/>
    <x v="6"/>
    <s v="万相台"/>
    <x v="1"/>
    <x v="2"/>
  </r>
  <r>
    <x v="1"/>
    <x v="165"/>
    <x v="0"/>
    <x v="0"/>
    <x v="1"/>
    <n v="6650"/>
    <n v="2887"/>
    <n v="167"/>
    <n v="73"/>
    <n v="97797.34"/>
    <n v="15"/>
    <n v="63302.34"/>
    <n v="12"/>
    <n v="514"/>
    <n v="6649"/>
    <n v="2024"/>
    <x v="6"/>
    <s v="引力魔方"/>
    <x v="1"/>
    <x v="2"/>
  </r>
  <r>
    <x v="1"/>
    <x v="165"/>
    <x v="0"/>
    <x v="7"/>
    <x v="23"/>
    <n v="4"/>
    <n v="3"/>
    <n v="0"/>
    <n v="0"/>
    <n v="0"/>
    <n v="0"/>
    <n v="0"/>
    <n v="0"/>
    <n v="1"/>
    <n v="3"/>
    <n v="2024"/>
    <x v="6"/>
    <s v="流量宝"/>
    <x v="1"/>
    <x v="2"/>
  </r>
  <r>
    <x v="1"/>
    <x v="165"/>
    <x v="0"/>
    <x v="7"/>
    <x v="24"/>
    <n v="4079"/>
    <n v="3846"/>
    <n v="247"/>
    <n v="16"/>
    <n v="189513"/>
    <n v="54"/>
    <n v="152193"/>
    <n v="48"/>
    <n v="49"/>
    <n v="4063"/>
    <n v="2024"/>
    <x v="6"/>
    <s v="淘宝客"/>
    <x v="1"/>
    <x v="2"/>
  </r>
  <r>
    <x v="1"/>
    <x v="166"/>
    <x v="1"/>
    <x v="8"/>
    <x v="25"/>
    <n v="200"/>
    <n v="75"/>
    <n v="6"/>
    <n v="2"/>
    <n v="1498"/>
    <n v="1"/>
    <n v="1498"/>
    <n v="1"/>
    <n v="22"/>
    <n v="188"/>
    <n v="2024"/>
    <x v="6"/>
    <s v="主会场"/>
    <x v="1"/>
    <x v="2"/>
  </r>
  <r>
    <x v="1"/>
    <x v="166"/>
    <x v="1"/>
    <x v="8"/>
    <x v="26"/>
    <n v="1"/>
    <n v="1"/>
    <n v="0"/>
    <n v="0"/>
    <n v="0"/>
    <n v="0"/>
    <n v="0"/>
    <n v="0"/>
    <n v="1"/>
    <n v="1"/>
    <n v="2024"/>
    <x v="6"/>
    <s v="榜单会场"/>
    <x v="1"/>
    <x v="2"/>
  </r>
  <r>
    <x v="1"/>
    <x v="166"/>
    <x v="1"/>
    <x v="1"/>
    <x v="3"/>
    <n v="1"/>
    <n v="1"/>
    <n v="0"/>
    <n v="0"/>
    <n v="0"/>
    <n v="0"/>
    <n v="0"/>
    <n v="0"/>
    <n v="0"/>
    <n v="1"/>
    <n v="2024"/>
    <x v="6"/>
    <s v="其他入口榜单"/>
    <x v="1"/>
    <x v="2"/>
  </r>
  <r>
    <x v="1"/>
    <x v="166"/>
    <x v="1"/>
    <x v="2"/>
    <x v="5"/>
    <n v="65"/>
    <n v="26"/>
    <n v="4"/>
    <n v="0"/>
    <n v="24967"/>
    <n v="3"/>
    <n v="16867"/>
    <n v="3"/>
    <n v="17"/>
    <n v="57"/>
    <n v="2024"/>
    <x v="6"/>
    <s v="手猫免费其他"/>
    <x v="1"/>
    <x v="2"/>
  </r>
  <r>
    <x v="1"/>
    <x v="166"/>
    <x v="1"/>
    <x v="2"/>
    <x v="6"/>
    <n v="39"/>
    <n v="17"/>
    <n v="10"/>
    <n v="0"/>
    <n v="16703.41"/>
    <n v="3"/>
    <n v="8603.41"/>
    <n v="3"/>
    <n v="1"/>
    <n v="39"/>
    <n v="2024"/>
    <x v="6"/>
    <s v="手猫其他店铺"/>
    <x v="1"/>
    <x v="2"/>
  </r>
  <r>
    <x v="1"/>
    <x v="166"/>
    <x v="1"/>
    <x v="2"/>
    <x v="7"/>
    <n v="59"/>
    <n v="26"/>
    <n v="4"/>
    <n v="0"/>
    <n v="14450"/>
    <n v="2"/>
    <n v="6350"/>
    <n v="2"/>
    <n v="12"/>
    <n v="55"/>
    <n v="2024"/>
    <x v="6"/>
    <s v="手猫商品详情"/>
    <x v="1"/>
    <x v="2"/>
  </r>
  <r>
    <x v="1"/>
    <x v="166"/>
    <x v="1"/>
    <x v="2"/>
    <x v="8"/>
    <n v="117"/>
    <n v="74"/>
    <n v="12"/>
    <n v="0"/>
    <n v="16022.22"/>
    <n v="2"/>
    <n v="7922.22"/>
    <n v="2"/>
    <n v="34"/>
    <n v="108"/>
    <n v="2024"/>
    <x v="6"/>
    <s v="手猫搜索"/>
    <x v="1"/>
    <x v="2"/>
  </r>
  <r>
    <x v="1"/>
    <x v="166"/>
    <x v="1"/>
    <x v="2"/>
    <x v="9"/>
    <n v="5"/>
    <n v="1"/>
    <n v="1"/>
    <n v="0"/>
    <n v="1980"/>
    <n v="1"/>
    <n v="1980"/>
    <n v="1"/>
    <n v="2"/>
    <n v="5"/>
    <n v="2024"/>
    <x v="6"/>
    <s v="手猫旺信聊天"/>
    <x v="1"/>
    <x v="2"/>
  </r>
  <r>
    <x v="1"/>
    <x v="166"/>
    <x v="1"/>
    <x v="2"/>
    <x v="29"/>
    <n v="5"/>
    <n v="1"/>
    <n v="0"/>
    <n v="0"/>
    <n v="0"/>
    <n v="0"/>
    <n v="0"/>
    <n v="0"/>
    <n v="0"/>
    <n v="4"/>
    <n v="2024"/>
    <x v="6"/>
    <s v="手猫消息中心"/>
    <x v="1"/>
    <x v="2"/>
  </r>
  <r>
    <x v="1"/>
    <x v="166"/>
    <x v="1"/>
    <x v="2"/>
    <x v="10"/>
    <n v="358"/>
    <n v="167"/>
    <n v="8"/>
    <n v="0"/>
    <n v="7970"/>
    <n v="2"/>
    <n v="7970"/>
    <n v="2"/>
    <n v="14"/>
    <n v="358"/>
    <n v="2024"/>
    <x v="6"/>
    <s v="手猫首页"/>
    <x v="1"/>
    <x v="2"/>
  </r>
  <r>
    <x v="1"/>
    <x v="166"/>
    <x v="1"/>
    <x v="3"/>
    <x v="11"/>
    <n v="425"/>
    <n v="181"/>
    <n v="33"/>
    <n v="9"/>
    <n v="42501.2"/>
    <n v="10"/>
    <n v="37103.78"/>
    <n v="8"/>
    <n v="59"/>
    <n v="415"/>
    <n v="2024"/>
    <x v="6"/>
    <s v="商品详情页头图推荐"/>
    <x v="1"/>
    <x v="2"/>
  </r>
  <r>
    <x v="1"/>
    <x v="166"/>
    <x v="1"/>
    <x v="3"/>
    <x v="12"/>
    <n v="83"/>
    <n v="43"/>
    <n v="10"/>
    <n v="0"/>
    <n v="0"/>
    <n v="0"/>
    <n v="0"/>
    <n v="0"/>
    <n v="75"/>
    <n v="34"/>
    <n v="2024"/>
    <x v="6"/>
    <s v="店铺超链"/>
    <x v="1"/>
    <x v="2"/>
  </r>
  <r>
    <x v="1"/>
    <x v="166"/>
    <x v="0"/>
    <x v="6"/>
    <x v="30"/>
    <n v="1221"/>
    <n v="916"/>
    <n v="6"/>
    <n v="2"/>
    <n v="10295"/>
    <n v="2"/>
    <n v="1980"/>
    <n v="1"/>
    <n v="1026"/>
    <n v="197"/>
    <n v="2024"/>
    <x v="6"/>
    <s v="其他猜你喜欢"/>
    <x v="1"/>
    <x v="2"/>
  </r>
  <r>
    <x v="1"/>
    <x v="166"/>
    <x v="1"/>
    <x v="4"/>
    <x v="15"/>
    <n v="30"/>
    <n v="18"/>
    <n v="1"/>
    <n v="0"/>
    <n v="0"/>
    <n v="0"/>
    <n v="0"/>
    <n v="0"/>
    <n v="2"/>
    <n v="15"/>
    <n v="2024"/>
    <x v="6"/>
    <s v="购中推荐"/>
    <x v="1"/>
    <x v="2"/>
  </r>
  <r>
    <x v="1"/>
    <x v="166"/>
    <x v="1"/>
    <x v="4"/>
    <x v="16"/>
    <n v="170"/>
    <n v="128"/>
    <n v="1"/>
    <n v="2"/>
    <n v="6980"/>
    <n v="2"/>
    <n v="6980"/>
    <n v="2"/>
    <n v="63"/>
    <n v="38"/>
    <n v="2024"/>
    <x v="6"/>
    <s v="购后推荐"/>
    <x v="1"/>
    <x v="2"/>
  </r>
  <r>
    <x v="1"/>
    <x v="166"/>
    <x v="1"/>
    <x v="4"/>
    <x v="17"/>
    <n v="4560"/>
    <n v="2505"/>
    <n v="103"/>
    <n v="34"/>
    <n v="76130"/>
    <n v="16"/>
    <n v="65150"/>
    <n v="14"/>
    <n v="291"/>
    <n v="4560"/>
    <n v="2024"/>
    <x v="6"/>
    <s v="首页推荐-微详情"/>
    <x v="1"/>
    <x v="2"/>
  </r>
  <r>
    <x v="1"/>
    <x v="166"/>
    <x v="1"/>
    <x v="4"/>
    <x v="18"/>
    <n v="706"/>
    <n v="556"/>
    <n v="4"/>
    <n v="0"/>
    <n v="2900"/>
    <n v="1"/>
    <n v="2900"/>
    <n v="1"/>
    <n v="2"/>
    <n v="26"/>
    <n v="2024"/>
    <x v="6"/>
    <s v="首页推荐-直播"/>
    <x v="1"/>
    <x v="2"/>
  </r>
  <r>
    <x v="1"/>
    <x v="166"/>
    <x v="1"/>
    <x v="4"/>
    <x v="19"/>
    <n v="792"/>
    <n v="402"/>
    <n v="6"/>
    <n v="3"/>
    <n v="28180"/>
    <n v="2"/>
    <n v="2990"/>
    <n v="1"/>
    <n v="30"/>
    <n v="186"/>
    <n v="2024"/>
    <x v="6"/>
    <s v="首页推荐-短视频"/>
    <x v="1"/>
    <x v="2"/>
  </r>
  <r>
    <x v="1"/>
    <x v="166"/>
    <x v="1"/>
    <x v="12"/>
    <x v="42"/>
    <n v="1692"/>
    <n v="1316"/>
    <n v="213"/>
    <n v="14"/>
    <n v="286478"/>
    <n v="53"/>
    <n v="234205"/>
    <n v="48"/>
    <n v="375"/>
    <n v="1551"/>
    <n v="2024"/>
    <x v="6"/>
    <s v="手淘搜索-商品及其他"/>
    <x v="1"/>
    <x v="2"/>
  </r>
  <r>
    <x v="1"/>
    <x v="166"/>
    <x v="1"/>
    <x v="12"/>
    <x v="43"/>
    <n v="47"/>
    <n v="41"/>
    <n v="1"/>
    <n v="0"/>
    <n v="0"/>
    <n v="0"/>
    <n v="0"/>
    <n v="0"/>
    <n v="2"/>
    <n v="13"/>
    <n v="2024"/>
    <x v="6"/>
    <s v="手淘搜索-直播"/>
    <x v="1"/>
    <x v="2"/>
  </r>
  <r>
    <x v="1"/>
    <x v="166"/>
    <x v="1"/>
    <x v="12"/>
    <x v="44"/>
    <n v="24"/>
    <n v="13"/>
    <n v="0"/>
    <n v="0"/>
    <n v="0"/>
    <n v="0"/>
    <n v="0"/>
    <n v="0"/>
    <n v="1"/>
    <n v="23"/>
    <n v="2024"/>
    <x v="6"/>
    <s v="手淘搜索-短视频"/>
    <x v="1"/>
    <x v="2"/>
  </r>
  <r>
    <x v="1"/>
    <x v="166"/>
    <x v="1"/>
    <x v="11"/>
    <x v="37"/>
    <n v="21"/>
    <n v="19"/>
    <n v="0"/>
    <n v="0"/>
    <n v="0"/>
    <n v="0"/>
    <n v="0"/>
    <n v="0"/>
    <n v="2"/>
    <n v="21"/>
    <n v="2024"/>
    <x v="6"/>
    <s v="淘特其他渠道"/>
    <x v="1"/>
    <x v="2"/>
  </r>
  <r>
    <x v="1"/>
    <x v="166"/>
    <x v="1"/>
    <x v="11"/>
    <x v="39"/>
    <n v="1"/>
    <n v="1"/>
    <n v="0"/>
    <n v="0"/>
    <n v="0"/>
    <n v="0"/>
    <n v="0"/>
    <n v="0"/>
    <n v="0"/>
    <n v="1"/>
    <n v="2024"/>
    <x v="6"/>
    <s v="淘特搜索"/>
    <x v="1"/>
    <x v="2"/>
  </r>
  <r>
    <x v="1"/>
    <x v="166"/>
    <x v="0"/>
    <x v="5"/>
    <x v="41"/>
    <n v="1826"/>
    <n v="1412"/>
    <n v="13"/>
    <n v="0"/>
    <n v="0"/>
    <n v="0"/>
    <n v="0"/>
    <n v="0"/>
    <n v="13"/>
    <n v="155"/>
    <n v="2024"/>
    <x v="6"/>
    <s v="超级直播"/>
    <x v="1"/>
    <x v="2"/>
  </r>
  <r>
    <x v="1"/>
    <x v="166"/>
    <x v="0"/>
    <x v="5"/>
    <x v="20"/>
    <n v="212"/>
    <n v="195"/>
    <n v="0"/>
    <n v="3"/>
    <n v="0"/>
    <n v="0"/>
    <n v="0"/>
    <n v="0"/>
    <n v="0"/>
    <n v="204"/>
    <n v="2024"/>
    <x v="6"/>
    <s v="超级短视频"/>
    <x v="1"/>
    <x v="2"/>
  </r>
  <r>
    <x v="1"/>
    <x v="166"/>
    <x v="0"/>
    <x v="6"/>
    <x v="21"/>
    <n v="720"/>
    <n v="542"/>
    <n v="36"/>
    <n v="7"/>
    <n v="70308"/>
    <n v="12"/>
    <n v="36358"/>
    <n v="11"/>
    <n v="720"/>
    <n v="438"/>
    <n v="2024"/>
    <x v="6"/>
    <s v="品销宝-品牌专区"/>
    <x v="1"/>
    <x v="2"/>
  </r>
  <r>
    <x v="1"/>
    <x v="166"/>
    <x v="0"/>
    <x v="0"/>
    <x v="2"/>
    <n v="5743"/>
    <n v="5035"/>
    <n v="264"/>
    <n v="39"/>
    <n v="460300.5"/>
    <n v="80"/>
    <n v="363315.5"/>
    <n v="70"/>
    <n v="394"/>
    <n v="5699"/>
    <n v="2024"/>
    <x v="6"/>
    <s v="直通车"/>
    <x v="1"/>
    <x v="2"/>
  </r>
  <r>
    <x v="1"/>
    <x v="166"/>
    <x v="0"/>
    <x v="0"/>
    <x v="0"/>
    <n v="6052"/>
    <n v="3257"/>
    <n v="254"/>
    <n v="85"/>
    <n v="318159.37"/>
    <n v="63"/>
    <n v="250904.37"/>
    <n v="54"/>
    <n v="326"/>
    <n v="6045"/>
    <n v="2024"/>
    <x v="6"/>
    <s v="万相台"/>
    <x v="1"/>
    <x v="2"/>
  </r>
  <r>
    <x v="1"/>
    <x v="166"/>
    <x v="0"/>
    <x v="0"/>
    <x v="1"/>
    <n v="6410"/>
    <n v="2674"/>
    <n v="160"/>
    <n v="82"/>
    <n v="108339.92"/>
    <n v="26"/>
    <n v="63762.5"/>
    <n v="16"/>
    <n v="474"/>
    <n v="6404"/>
    <n v="2024"/>
    <x v="6"/>
    <s v="引力魔方"/>
    <x v="1"/>
    <x v="2"/>
  </r>
  <r>
    <x v="1"/>
    <x v="166"/>
    <x v="0"/>
    <x v="7"/>
    <x v="23"/>
    <n v="5"/>
    <n v="2"/>
    <n v="0"/>
    <n v="0"/>
    <n v="0"/>
    <n v="0"/>
    <n v="0"/>
    <n v="0"/>
    <n v="2"/>
    <n v="3"/>
    <n v="2024"/>
    <x v="6"/>
    <s v="流量宝"/>
    <x v="1"/>
    <x v="2"/>
  </r>
  <r>
    <x v="1"/>
    <x v="166"/>
    <x v="0"/>
    <x v="7"/>
    <x v="24"/>
    <n v="364"/>
    <n v="154"/>
    <n v="10"/>
    <n v="0"/>
    <n v="13362.5"/>
    <n v="5"/>
    <n v="13362.5"/>
    <n v="5"/>
    <n v="18"/>
    <n v="350"/>
    <n v="2024"/>
    <x v="6"/>
    <s v="淘宝客"/>
    <x v="1"/>
    <x v="2"/>
  </r>
  <r>
    <x v="1"/>
    <x v="167"/>
    <x v="1"/>
    <x v="8"/>
    <x v="25"/>
    <n v="225"/>
    <n v="83"/>
    <n v="6"/>
    <n v="4"/>
    <n v="25945"/>
    <n v="5"/>
    <n v="20365"/>
    <n v="4"/>
    <n v="19"/>
    <n v="208"/>
    <n v="2024"/>
    <x v="6"/>
    <s v="主会场"/>
    <x v="1"/>
    <x v="2"/>
  </r>
  <r>
    <x v="1"/>
    <x v="167"/>
    <x v="1"/>
    <x v="8"/>
    <x v="26"/>
    <n v="1"/>
    <n v="1"/>
    <n v="0"/>
    <n v="0"/>
    <n v="0"/>
    <n v="0"/>
    <n v="0"/>
    <n v="0"/>
    <n v="0"/>
    <n v="1"/>
    <n v="2024"/>
    <x v="6"/>
    <s v="榜单会场"/>
    <x v="1"/>
    <x v="2"/>
  </r>
  <r>
    <x v="1"/>
    <x v="167"/>
    <x v="1"/>
    <x v="2"/>
    <x v="4"/>
    <n v="2"/>
    <n v="2"/>
    <n v="0"/>
    <n v="0"/>
    <n v="0"/>
    <n v="0"/>
    <n v="0"/>
    <n v="0"/>
    <n v="1"/>
    <n v="1"/>
    <n v="2024"/>
    <x v="6"/>
    <s v="手机浏览器访问天猫"/>
    <x v="1"/>
    <x v="2"/>
  </r>
  <r>
    <x v="1"/>
    <x v="167"/>
    <x v="1"/>
    <x v="2"/>
    <x v="5"/>
    <n v="54"/>
    <n v="25"/>
    <n v="0"/>
    <n v="0"/>
    <n v="0"/>
    <n v="0"/>
    <n v="0"/>
    <n v="0"/>
    <n v="12"/>
    <n v="46"/>
    <n v="2024"/>
    <x v="6"/>
    <s v="手猫免费其他"/>
    <x v="1"/>
    <x v="2"/>
  </r>
  <r>
    <x v="1"/>
    <x v="167"/>
    <x v="1"/>
    <x v="2"/>
    <x v="6"/>
    <n v="34"/>
    <n v="17"/>
    <n v="4"/>
    <n v="0"/>
    <n v="5663.94"/>
    <n v="2"/>
    <n v="5663.94"/>
    <n v="2"/>
    <n v="2"/>
    <n v="34"/>
    <n v="2024"/>
    <x v="6"/>
    <s v="手猫其他店铺"/>
    <x v="1"/>
    <x v="2"/>
  </r>
  <r>
    <x v="1"/>
    <x v="167"/>
    <x v="1"/>
    <x v="2"/>
    <x v="7"/>
    <n v="58"/>
    <n v="23"/>
    <n v="2"/>
    <n v="0"/>
    <n v="0"/>
    <n v="0"/>
    <n v="0"/>
    <n v="0"/>
    <n v="11"/>
    <n v="56"/>
    <n v="2024"/>
    <x v="6"/>
    <s v="手猫商品详情"/>
    <x v="1"/>
    <x v="2"/>
  </r>
  <r>
    <x v="1"/>
    <x v="167"/>
    <x v="1"/>
    <x v="2"/>
    <x v="8"/>
    <n v="104"/>
    <n v="72"/>
    <n v="6"/>
    <n v="0"/>
    <n v="7470"/>
    <n v="1"/>
    <n v="7470"/>
    <n v="1"/>
    <n v="36"/>
    <n v="94"/>
    <n v="2024"/>
    <x v="6"/>
    <s v="手猫搜索"/>
    <x v="1"/>
    <x v="2"/>
  </r>
  <r>
    <x v="1"/>
    <x v="167"/>
    <x v="1"/>
    <x v="2"/>
    <x v="9"/>
    <n v="7"/>
    <n v="2"/>
    <n v="1"/>
    <n v="0"/>
    <n v="2990"/>
    <n v="1"/>
    <n v="2990"/>
    <n v="1"/>
    <n v="4"/>
    <n v="6"/>
    <n v="2024"/>
    <x v="6"/>
    <s v="手猫旺信聊天"/>
    <x v="1"/>
    <x v="2"/>
  </r>
  <r>
    <x v="1"/>
    <x v="167"/>
    <x v="1"/>
    <x v="2"/>
    <x v="29"/>
    <n v="6"/>
    <n v="1"/>
    <n v="0"/>
    <n v="0"/>
    <n v="0"/>
    <n v="0"/>
    <n v="0"/>
    <n v="0"/>
    <n v="1"/>
    <n v="6"/>
    <n v="2024"/>
    <x v="6"/>
    <s v="手猫消息中心"/>
    <x v="1"/>
    <x v="2"/>
  </r>
  <r>
    <x v="1"/>
    <x v="167"/>
    <x v="1"/>
    <x v="2"/>
    <x v="10"/>
    <n v="382"/>
    <n v="188"/>
    <n v="8"/>
    <n v="0"/>
    <n v="31960"/>
    <n v="4"/>
    <n v="22120"/>
    <n v="3"/>
    <n v="27"/>
    <n v="382"/>
    <n v="2024"/>
    <x v="6"/>
    <s v="手猫首页"/>
    <x v="1"/>
    <x v="2"/>
  </r>
  <r>
    <x v="1"/>
    <x v="167"/>
    <x v="1"/>
    <x v="3"/>
    <x v="11"/>
    <n v="482"/>
    <n v="175"/>
    <n v="32"/>
    <n v="6"/>
    <n v="46058"/>
    <n v="10"/>
    <n v="41068"/>
    <n v="9"/>
    <n v="72"/>
    <n v="472"/>
    <n v="2024"/>
    <x v="6"/>
    <s v="商品详情页头图推荐"/>
    <x v="1"/>
    <x v="2"/>
  </r>
  <r>
    <x v="1"/>
    <x v="167"/>
    <x v="1"/>
    <x v="3"/>
    <x v="12"/>
    <n v="95"/>
    <n v="43"/>
    <n v="6"/>
    <n v="1"/>
    <n v="14985.58"/>
    <n v="2"/>
    <n v="1785.58"/>
    <n v="1"/>
    <n v="87"/>
    <n v="46"/>
    <n v="2024"/>
    <x v="6"/>
    <s v="店铺超链"/>
    <x v="1"/>
    <x v="2"/>
  </r>
  <r>
    <x v="1"/>
    <x v="167"/>
    <x v="0"/>
    <x v="6"/>
    <x v="30"/>
    <n v="1365"/>
    <n v="1015"/>
    <n v="12"/>
    <n v="5"/>
    <n v="33237.5"/>
    <n v="4"/>
    <n v="12937.5"/>
    <n v="3"/>
    <n v="1163"/>
    <n v="200"/>
    <n v="2024"/>
    <x v="6"/>
    <s v="其他猜你喜欢"/>
    <x v="1"/>
    <x v="2"/>
  </r>
  <r>
    <x v="1"/>
    <x v="167"/>
    <x v="1"/>
    <x v="4"/>
    <x v="15"/>
    <n v="39"/>
    <n v="27"/>
    <n v="0"/>
    <n v="0"/>
    <n v="0"/>
    <n v="0"/>
    <n v="0"/>
    <n v="0"/>
    <n v="8"/>
    <n v="12"/>
    <n v="2024"/>
    <x v="6"/>
    <s v="购中推荐"/>
    <x v="1"/>
    <x v="2"/>
  </r>
  <r>
    <x v="1"/>
    <x v="167"/>
    <x v="1"/>
    <x v="4"/>
    <x v="16"/>
    <n v="228"/>
    <n v="178"/>
    <n v="2"/>
    <n v="0"/>
    <n v="0"/>
    <n v="0"/>
    <n v="0"/>
    <n v="0"/>
    <n v="91"/>
    <n v="45"/>
    <n v="2024"/>
    <x v="6"/>
    <s v="购后推荐"/>
    <x v="1"/>
    <x v="2"/>
  </r>
  <r>
    <x v="1"/>
    <x v="167"/>
    <x v="1"/>
    <x v="4"/>
    <x v="17"/>
    <n v="4258"/>
    <n v="2382"/>
    <n v="129"/>
    <n v="35"/>
    <n v="84594"/>
    <n v="19"/>
    <n v="43301"/>
    <n v="12"/>
    <n v="311"/>
    <n v="4258"/>
    <n v="2024"/>
    <x v="6"/>
    <s v="首页推荐-微详情"/>
    <x v="1"/>
    <x v="2"/>
  </r>
  <r>
    <x v="1"/>
    <x v="167"/>
    <x v="1"/>
    <x v="4"/>
    <x v="18"/>
    <n v="885"/>
    <n v="754"/>
    <n v="0"/>
    <n v="1"/>
    <n v="8365"/>
    <n v="1"/>
    <n v="0"/>
    <n v="0"/>
    <n v="5"/>
    <n v="42"/>
    <n v="2024"/>
    <x v="6"/>
    <s v="首页推荐-直播"/>
    <x v="1"/>
    <x v="2"/>
  </r>
  <r>
    <x v="1"/>
    <x v="167"/>
    <x v="1"/>
    <x v="4"/>
    <x v="19"/>
    <n v="737"/>
    <n v="352"/>
    <n v="8"/>
    <n v="2"/>
    <n v="14695"/>
    <n v="4"/>
    <n v="4125"/>
    <n v="2"/>
    <n v="34"/>
    <n v="195"/>
    <n v="2024"/>
    <x v="6"/>
    <s v="首页推荐-短视频"/>
    <x v="1"/>
    <x v="2"/>
  </r>
  <r>
    <x v="1"/>
    <x v="167"/>
    <x v="1"/>
    <x v="12"/>
    <x v="42"/>
    <n v="1935"/>
    <n v="1479"/>
    <n v="322"/>
    <n v="23"/>
    <n v="329791.08"/>
    <n v="81"/>
    <n v="262016.08"/>
    <n v="74"/>
    <n v="410"/>
    <n v="1780"/>
    <n v="2024"/>
    <x v="6"/>
    <s v="手淘搜索-商品及其他"/>
    <x v="1"/>
    <x v="2"/>
  </r>
  <r>
    <x v="1"/>
    <x v="167"/>
    <x v="1"/>
    <x v="12"/>
    <x v="43"/>
    <n v="45"/>
    <n v="30"/>
    <n v="1"/>
    <n v="0"/>
    <n v="1677"/>
    <n v="1"/>
    <n v="1677"/>
    <n v="1"/>
    <n v="3"/>
    <n v="17"/>
    <n v="2024"/>
    <x v="6"/>
    <s v="手淘搜索-直播"/>
    <x v="1"/>
    <x v="2"/>
  </r>
  <r>
    <x v="1"/>
    <x v="167"/>
    <x v="1"/>
    <x v="12"/>
    <x v="44"/>
    <n v="25"/>
    <n v="11"/>
    <n v="0"/>
    <n v="0"/>
    <n v="1980"/>
    <n v="1"/>
    <n v="1980"/>
    <n v="1"/>
    <n v="0"/>
    <n v="25"/>
    <n v="2024"/>
    <x v="6"/>
    <s v="手淘搜索-短视频"/>
    <x v="1"/>
    <x v="2"/>
  </r>
  <r>
    <x v="1"/>
    <x v="167"/>
    <x v="1"/>
    <x v="11"/>
    <x v="37"/>
    <n v="26"/>
    <n v="25"/>
    <n v="0"/>
    <n v="0"/>
    <n v="0"/>
    <n v="0"/>
    <n v="0"/>
    <n v="0"/>
    <n v="0"/>
    <n v="26"/>
    <n v="2024"/>
    <x v="6"/>
    <s v="淘特其他渠道"/>
    <x v="1"/>
    <x v="2"/>
  </r>
  <r>
    <x v="1"/>
    <x v="167"/>
    <x v="1"/>
    <x v="11"/>
    <x v="39"/>
    <n v="1"/>
    <n v="1"/>
    <n v="0"/>
    <n v="0"/>
    <n v="0"/>
    <n v="0"/>
    <n v="0"/>
    <n v="0"/>
    <n v="0"/>
    <n v="1"/>
    <n v="2024"/>
    <x v="6"/>
    <s v="淘特搜索"/>
    <x v="1"/>
    <x v="2"/>
  </r>
  <r>
    <x v="1"/>
    <x v="167"/>
    <x v="0"/>
    <x v="5"/>
    <x v="41"/>
    <n v="1687"/>
    <n v="1246"/>
    <n v="9"/>
    <n v="0"/>
    <n v="0"/>
    <n v="0"/>
    <n v="0"/>
    <n v="0"/>
    <n v="23"/>
    <n v="143"/>
    <n v="2024"/>
    <x v="6"/>
    <s v="超级直播"/>
    <x v="1"/>
    <x v="2"/>
  </r>
  <r>
    <x v="1"/>
    <x v="167"/>
    <x v="0"/>
    <x v="5"/>
    <x v="20"/>
    <n v="156"/>
    <n v="121"/>
    <n v="5"/>
    <n v="1"/>
    <n v="0"/>
    <n v="0"/>
    <n v="0"/>
    <n v="0"/>
    <n v="3"/>
    <n v="113"/>
    <n v="2024"/>
    <x v="6"/>
    <s v="超级短视频"/>
    <x v="1"/>
    <x v="2"/>
  </r>
  <r>
    <x v="1"/>
    <x v="167"/>
    <x v="0"/>
    <x v="6"/>
    <x v="30"/>
    <n v="2"/>
    <n v="1"/>
    <n v="0"/>
    <n v="0"/>
    <n v="0"/>
    <n v="0"/>
    <n v="0"/>
    <n v="0"/>
    <n v="2"/>
    <n v="1"/>
    <n v="2024"/>
    <x v="6"/>
    <s v="品牌特秀"/>
    <x v="1"/>
    <x v="2"/>
  </r>
  <r>
    <x v="1"/>
    <x v="167"/>
    <x v="0"/>
    <x v="6"/>
    <x v="21"/>
    <n v="757"/>
    <n v="561"/>
    <n v="42"/>
    <n v="9"/>
    <n v="266567"/>
    <n v="13"/>
    <n v="41387"/>
    <n v="9"/>
    <n v="757"/>
    <n v="476"/>
    <n v="2024"/>
    <x v="6"/>
    <s v="品销宝-品牌专区"/>
    <x v="1"/>
    <x v="2"/>
  </r>
  <r>
    <x v="1"/>
    <x v="167"/>
    <x v="0"/>
    <x v="0"/>
    <x v="2"/>
    <n v="6241"/>
    <n v="5435"/>
    <n v="367"/>
    <n v="37"/>
    <n v="741374"/>
    <n v="126"/>
    <n v="551646"/>
    <n v="110"/>
    <n v="410"/>
    <n v="6194"/>
    <n v="2024"/>
    <x v="6"/>
    <s v="直通车"/>
    <x v="1"/>
    <x v="2"/>
  </r>
  <r>
    <x v="1"/>
    <x v="167"/>
    <x v="0"/>
    <x v="0"/>
    <x v="0"/>
    <n v="5547"/>
    <n v="2934"/>
    <n v="292"/>
    <n v="78"/>
    <n v="490247.39"/>
    <n v="92"/>
    <n v="327301.89"/>
    <n v="74"/>
    <n v="363"/>
    <n v="5536"/>
    <n v="2024"/>
    <x v="6"/>
    <s v="万相台"/>
    <x v="1"/>
    <x v="2"/>
  </r>
  <r>
    <x v="1"/>
    <x v="167"/>
    <x v="0"/>
    <x v="0"/>
    <x v="1"/>
    <n v="6404"/>
    <n v="2636"/>
    <n v="160"/>
    <n v="94"/>
    <n v="175057.5"/>
    <n v="25"/>
    <n v="90837.5"/>
    <n v="19"/>
    <n v="482"/>
    <n v="6399"/>
    <n v="2024"/>
    <x v="6"/>
    <s v="引力魔方"/>
    <x v="1"/>
    <x v="2"/>
  </r>
  <r>
    <x v="1"/>
    <x v="167"/>
    <x v="0"/>
    <x v="7"/>
    <x v="23"/>
    <n v="3"/>
    <n v="1"/>
    <n v="0"/>
    <n v="0"/>
    <n v="0"/>
    <n v="0"/>
    <n v="0"/>
    <n v="0"/>
    <n v="1"/>
    <n v="3"/>
    <n v="2024"/>
    <x v="6"/>
    <s v="流量宝"/>
    <x v="1"/>
    <x v="2"/>
  </r>
  <r>
    <x v="1"/>
    <x v="167"/>
    <x v="0"/>
    <x v="7"/>
    <x v="24"/>
    <n v="309"/>
    <n v="123"/>
    <n v="5"/>
    <n v="1"/>
    <n v="27877"/>
    <n v="5"/>
    <n v="27877"/>
    <n v="5"/>
    <n v="10"/>
    <n v="303"/>
    <n v="2024"/>
    <x v="6"/>
    <s v="淘宝客"/>
    <x v="1"/>
    <x v="2"/>
  </r>
  <r>
    <x v="1"/>
    <x v="168"/>
    <x v="1"/>
    <x v="8"/>
    <x v="25"/>
    <n v="207"/>
    <n v="99"/>
    <n v="6"/>
    <n v="1"/>
    <n v="13385"/>
    <n v="2"/>
    <n v="13385"/>
    <n v="2"/>
    <n v="23"/>
    <n v="191"/>
    <n v="2024"/>
    <x v="6"/>
    <s v="主会场"/>
    <x v="1"/>
    <x v="2"/>
  </r>
  <r>
    <x v="1"/>
    <x v="168"/>
    <x v="1"/>
    <x v="8"/>
    <x v="26"/>
    <n v="4"/>
    <n v="3"/>
    <n v="3"/>
    <n v="0"/>
    <n v="0"/>
    <n v="0"/>
    <n v="0"/>
    <n v="0"/>
    <n v="0"/>
    <n v="4"/>
    <n v="2024"/>
    <x v="6"/>
    <s v="榜单会场"/>
    <x v="1"/>
    <x v="2"/>
  </r>
  <r>
    <x v="1"/>
    <x v="168"/>
    <x v="1"/>
    <x v="2"/>
    <x v="4"/>
    <n v="2"/>
    <n v="2"/>
    <n v="0"/>
    <n v="0"/>
    <n v="0"/>
    <n v="0"/>
    <n v="0"/>
    <n v="0"/>
    <n v="2"/>
    <n v="1"/>
    <n v="2024"/>
    <x v="6"/>
    <s v="手机浏览器访问天猫"/>
    <x v="1"/>
    <x v="2"/>
  </r>
  <r>
    <x v="1"/>
    <x v="168"/>
    <x v="1"/>
    <x v="2"/>
    <x v="5"/>
    <n v="58"/>
    <n v="25"/>
    <n v="1"/>
    <n v="0"/>
    <n v="1493.65"/>
    <n v="1"/>
    <n v="1493.65"/>
    <n v="1"/>
    <n v="17"/>
    <n v="50"/>
    <n v="2024"/>
    <x v="6"/>
    <s v="手猫免费其他"/>
    <x v="1"/>
    <x v="2"/>
  </r>
  <r>
    <x v="1"/>
    <x v="168"/>
    <x v="1"/>
    <x v="2"/>
    <x v="6"/>
    <n v="50"/>
    <n v="19"/>
    <n v="7"/>
    <n v="0"/>
    <n v="18735"/>
    <n v="3"/>
    <n v="18735"/>
    <n v="3"/>
    <n v="0"/>
    <n v="50"/>
    <n v="2024"/>
    <x v="6"/>
    <s v="手猫其他店铺"/>
    <x v="1"/>
    <x v="2"/>
  </r>
  <r>
    <x v="1"/>
    <x v="168"/>
    <x v="1"/>
    <x v="2"/>
    <x v="7"/>
    <n v="72"/>
    <n v="17"/>
    <n v="3"/>
    <n v="0"/>
    <n v="4300"/>
    <n v="1"/>
    <n v="4300"/>
    <n v="1"/>
    <n v="11"/>
    <n v="69"/>
    <n v="2024"/>
    <x v="6"/>
    <s v="手猫商品详情"/>
    <x v="1"/>
    <x v="2"/>
  </r>
  <r>
    <x v="1"/>
    <x v="168"/>
    <x v="1"/>
    <x v="2"/>
    <x v="8"/>
    <n v="116"/>
    <n v="66"/>
    <n v="9"/>
    <n v="0"/>
    <n v="36917.5"/>
    <n v="4"/>
    <n v="11067.5"/>
    <n v="2"/>
    <n v="35"/>
    <n v="107"/>
    <n v="2024"/>
    <x v="6"/>
    <s v="手猫搜索"/>
    <x v="1"/>
    <x v="2"/>
  </r>
  <r>
    <x v="1"/>
    <x v="168"/>
    <x v="1"/>
    <x v="2"/>
    <x v="9"/>
    <n v="4"/>
    <n v="1"/>
    <n v="0"/>
    <n v="0"/>
    <n v="0"/>
    <n v="0"/>
    <n v="0"/>
    <n v="0"/>
    <n v="1"/>
    <n v="4"/>
    <n v="2024"/>
    <x v="6"/>
    <s v="手猫旺信聊天"/>
    <x v="1"/>
    <x v="2"/>
  </r>
  <r>
    <x v="1"/>
    <x v="168"/>
    <x v="1"/>
    <x v="2"/>
    <x v="29"/>
    <n v="6"/>
    <n v="1"/>
    <n v="0"/>
    <n v="0"/>
    <n v="6757"/>
    <n v="1"/>
    <n v="6757"/>
    <n v="1"/>
    <n v="0"/>
    <n v="6"/>
    <n v="2024"/>
    <x v="6"/>
    <s v="手猫消息中心"/>
    <x v="1"/>
    <x v="2"/>
  </r>
  <r>
    <x v="1"/>
    <x v="168"/>
    <x v="1"/>
    <x v="2"/>
    <x v="10"/>
    <n v="399"/>
    <n v="183"/>
    <n v="10"/>
    <n v="0"/>
    <n v="38116.44"/>
    <n v="8"/>
    <n v="38116.44"/>
    <n v="8"/>
    <n v="30"/>
    <n v="399"/>
    <n v="2024"/>
    <x v="6"/>
    <s v="手猫首页"/>
    <x v="1"/>
    <x v="2"/>
  </r>
  <r>
    <x v="1"/>
    <x v="168"/>
    <x v="1"/>
    <x v="3"/>
    <x v="11"/>
    <n v="420"/>
    <n v="165"/>
    <n v="29"/>
    <n v="5"/>
    <n v="53110.16"/>
    <n v="13"/>
    <n v="53110.16"/>
    <n v="13"/>
    <n v="52"/>
    <n v="406"/>
    <n v="2024"/>
    <x v="6"/>
    <s v="商品详情页头图推荐"/>
    <x v="1"/>
    <x v="2"/>
  </r>
  <r>
    <x v="1"/>
    <x v="168"/>
    <x v="1"/>
    <x v="3"/>
    <x v="12"/>
    <n v="113"/>
    <n v="58"/>
    <n v="13"/>
    <n v="0"/>
    <n v="26937"/>
    <n v="7"/>
    <n v="25257"/>
    <n v="6"/>
    <n v="100"/>
    <n v="64"/>
    <n v="2024"/>
    <x v="6"/>
    <s v="店铺超链"/>
    <x v="1"/>
    <x v="2"/>
  </r>
  <r>
    <x v="1"/>
    <x v="168"/>
    <x v="0"/>
    <x v="6"/>
    <x v="30"/>
    <n v="1353"/>
    <n v="1019"/>
    <n v="11"/>
    <n v="2"/>
    <n v="26742.77"/>
    <n v="8"/>
    <n v="26742.77"/>
    <n v="8"/>
    <n v="1193"/>
    <n v="179"/>
    <n v="2024"/>
    <x v="6"/>
    <s v="其他猜你喜欢"/>
    <x v="1"/>
    <x v="2"/>
  </r>
  <r>
    <x v="1"/>
    <x v="168"/>
    <x v="1"/>
    <x v="4"/>
    <x v="15"/>
    <n v="26"/>
    <n v="14"/>
    <n v="1"/>
    <n v="0"/>
    <n v="0"/>
    <n v="0"/>
    <n v="0"/>
    <n v="0"/>
    <n v="13"/>
    <n v="11"/>
    <n v="2024"/>
    <x v="6"/>
    <s v="购中推荐"/>
    <x v="1"/>
    <x v="2"/>
  </r>
  <r>
    <x v="1"/>
    <x v="168"/>
    <x v="1"/>
    <x v="4"/>
    <x v="16"/>
    <n v="76"/>
    <n v="41"/>
    <n v="0"/>
    <n v="0"/>
    <n v="0"/>
    <n v="0"/>
    <n v="0"/>
    <n v="0"/>
    <n v="32"/>
    <n v="31"/>
    <n v="2024"/>
    <x v="6"/>
    <s v="购后推荐"/>
    <x v="1"/>
    <x v="2"/>
  </r>
  <r>
    <x v="1"/>
    <x v="168"/>
    <x v="1"/>
    <x v="4"/>
    <x v="17"/>
    <n v="3986"/>
    <n v="2299"/>
    <n v="102"/>
    <n v="44"/>
    <n v="197379.53"/>
    <n v="34"/>
    <n v="142264.53"/>
    <n v="29"/>
    <n v="302"/>
    <n v="3986"/>
    <n v="2024"/>
    <x v="6"/>
    <s v="首页推荐-微详情"/>
    <x v="1"/>
    <x v="2"/>
  </r>
  <r>
    <x v="1"/>
    <x v="168"/>
    <x v="1"/>
    <x v="4"/>
    <x v="18"/>
    <n v="268"/>
    <n v="164"/>
    <n v="2"/>
    <n v="0"/>
    <n v="16537"/>
    <n v="2"/>
    <n v="16537"/>
    <n v="2"/>
    <n v="4"/>
    <n v="35"/>
    <n v="2024"/>
    <x v="6"/>
    <s v="首页推荐-直播"/>
    <x v="1"/>
    <x v="2"/>
  </r>
  <r>
    <x v="1"/>
    <x v="168"/>
    <x v="1"/>
    <x v="4"/>
    <x v="19"/>
    <n v="706"/>
    <n v="361"/>
    <n v="5"/>
    <n v="3"/>
    <n v="20245"/>
    <n v="4"/>
    <n v="10965"/>
    <n v="2"/>
    <n v="14"/>
    <n v="166"/>
    <n v="2024"/>
    <x v="6"/>
    <s v="首页推荐-短视频"/>
    <x v="1"/>
    <x v="2"/>
  </r>
  <r>
    <x v="1"/>
    <x v="168"/>
    <x v="1"/>
    <x v="12"/>
    <x v="42"/>
    <n v="1921"/>
    <n v="1558"/>
    <n v="452"/>
    <n v="9"/>
    <n v="638554"/>
    <n v="155"/>
    <n v="509834"/>
    <n v="136"/>
    <n v="418"/>
    <n v="1762"/>
    <n v="2024"/>
    <x v="6"/>
    <s v="手淘搜索-商品及其他"/>
    <x v="1"/>
    <x v="2"/>
  </r>
  <r>
    <x v="1"/>
    <x v="168"/>
    <x v="1"/>
    <x v="12"/>
    <x v="43"/>
    <n v="27"/>
    <n v="16"/>
    <n v="2"/>
    <n v="0"/>
    <n v="0"/>
    <n v="0"/>
    <n v="0"/>
    <n v="0"/>
    <n v="4"/>
    <n v="22"/>
    <n v="2024"/>
    <x v="6"/>
    <s v="手淘搜索-直播"/>
    <x v="1"/>
    <x v="2"/>
  </r>
  <r>
    <x v="1"/>
    <x v="168"/>
    <x v="1"/>
    <x v="12"/>
    <x v="44"/>
    <n v="17"/>
    <n v="12"/>
    <n v="1"/>
    <n v="0"/>
    <n v="15559"/>
    <n v="2"/>
    <n v="10564"/>
    <n v="1"/>
    <n v="1"/>
    <n v="16"/>
    <n v="2024"/>
    <x v="6"/>
    <s v="手淘搜索-短视频"/>
    <x v="1"/>
    <x v="2"/>
  </r>
  <r>
    <x v="1"/>
    <x v="168"/>
    <x v="1"/>
    <x v="11"/>
    <x v="37"/>
    <n v="30"/>
    <n v="29"/>
    <n v="0"/>
    <n v="0"/>
    <n v="0"/>
    <n v="0"/>
    <n v="0"/>
    <n v="0"/>
    <n v="1"/>
    <n v="30"/>
    <n v="2024"/>
    <x v="6"/>
    <s v="淘特其他渠道"/>
    <x v="1"/>
    <x v="2"/>
  </r>
  <r>
    <x v="1"/>
    <x v="168"/>
    <x v="1"/>
    <x v="11"/>
    <x v="39"/>
    <n v="1"/>
    <n v="1"/>
    <n v="0"/>
    <n v="0"/>
    <n v="0"/>
    <n v="0"/>
    <n v="0"/>
    <n v="0"/>
    <n v="0"/>
    <n v="1"/>
    <n v="2024"/>
    <x v="6"/>
    <s v="淘特搜索"/>
    <x v="1"/>
    <x v="2"/>
  </r>
  <r>
    <x v="1"/>
    <x v="168"/>
    <x v="0"/>
    <x v="5"/>
    <x v="41"/>
    <n v="1569"/>
    <n v="1238"/>
    <n v="20"/>
    <n v="2"/>
    <n v="0"/>
    <n v="0"/>
    <n v="0"/>
    <n v="0"/>
    <n v="26"/>
    <n v="200"/>
    <n v="2024"/>
    <x v="6"/>
    <s v="超级直播"/>
    <x v="1"/>
    <x v="2"/>
  </r>
  <r>
    <x v="1"/>
    <x v="168"/>
    <x v="0"/>
    <x v="5"/>
    <x v="20"/>
    <n v="105"/>
    <n v="80"/>
    <n v="3"/>
    <n v="2"/>
    <n v="0"/>
    <n v="0"/>
    <n v="0"/>
    <n v="0"/>
    <n v="3"/>
    <n v="86"/>
    <n v="2024"/>
    <x v="6"/>
    <s v="超级短视频"/>
    <x v="1"/>
    <x v="2"/>
  </r>
  <r>
    <x v="1"/>
    <x v="168"/>
    <x v="0"/>
    <x v="6"/>
    <x v="30"/>
    <n v="1"/>
    <n v="1"/>
    <n v="0"/>
    <n v="0"/>
    <n v="0"/>
    <n v="0"/>
    <n v="0"/>
    <n v="0"/>
    <n v="1"/>
    <n v="0"/>
    <n v="2024"/>
    <x v="6"/>
    <s v="品牌特秀"/>
    <x v="1"/>
    <x v="2"/>
  </r>
  <r>
    <x v="1"/>
    <x v="168"/>
    <x v="0"/>
    <x v="6"/>
    <x v="21"/>
    <n v="879"/>
    <n v="665"/>
    <n v="58"/>
    <n v="9"/>
    <n v="140874.64000000001"/>
    <n v="30"/>
    <n v="104144.64"/>
    <n v="26"/>
    <n v="879"/>
    <n v="525"/>
    <n v="2024"/>
    <x v="6"/>
    <s v="品销宝-品牌专区"/>
    <x v="1"/>
    <x v="2"/>
  </r>
  <r>
    <x v="1"/>
    <x v="168"/>
    <x v="0"/>
    <x v="6"/>
    <x v="49"/>
    <n v="1"/>
    <n v="1"/>
    <n v="0"/>
    <n v="0"/>
    <n v="0"/>
    <n v="0"/>
    <n v="0"/>
    <n v="0"/>
    <n v="0"/>
    <n v="1"/>
    <n v="2024"/>
    <x v="6"/>
    <s v="超级全域通"/>
    <x v="1"/>
    <x v="2"/>
  </r>
  <r>
    <x v="1"/>
    <x v="168"/>
    <x v="0"/>
    <x v="0"/>
    <x v="2"/>
    <n v="7518"/>
    <n v="6722"/>
    <n v="783"/>
    <n v="42"/>
    <n v="1163534.32"/>
    <n v="238"/>
    <n v="988810.32"/>
    <n v="216"/>
    <n v="516"/>
    <n v="7471"/>
    <n v="2024"/>
    <x v="6"/>
    <s v="直通车"/>
    <x v="1"/>
    <x v="2"/>
  </r>
  <r>
    <x v="1"/>
    <x v="168"/>
    <x v="0"/>
    <x v="0"/>
    <x v="0"/>
    <n v="4476"/>
    <n v="2120"/>
    <n v="272"/>
    <n v="66"/>
    <n v="798145.38"/>
    <n v="130"/>
    <n v="678035.38"/>
    <n v="115"/>
    <n v="325"/>
    <n v="4470"/>
    <n v="2024"/>
    <x v="6"/>
    <s v="万相台"/>
    <x v="1"/>
    <x v="2"/>
  </r>
  <r>
    <x v="1"/>
    <x v="168"/>
    <x v="0"/>
    <x v="0"/>
    <x v="1"/>
    <n v="5274"/>
    <n v="2389"/>
    <n v="120"/>
    <n v="63"/>
    <n v="195093.06"/>
    <n v="33"/>
    <n v="139686.06"/>
    <n v="28"/>
    <n v="373"/>
    <n v="5268"/>
    <n v="2024"/>
    <x v="6"/>
    <s v="引力魔方"/>
    <x v="1"/>
    <x v="2"/>
  </r>
  <r>
    <x v="1"/>
    <x v="168"/>
    <x v="0"/>
    <x v="7"/>
    <x v="23"/>
    <n v="4"/>
    <n v="1"/>
    <n v="0"/>
    <n v="0"/>
    <n v="0"/>
    <n v="0"/>
    <n v="0"/>
    <n v="0"/>
    <n v="1"/>
    <n v="3"/>
    <n v="2024"/>
    <x v="6"/>
    <s v="流量宝"/>
    <x v="1"/>
    <x v="2"/>
  </r>
  <r>
    <x v="1"/>
    <x v="168"/>
    <x v="0"/>
    <x v="7"/>
    <x v="24"/>
    <n v="576"/>
    <n v="165"/>
    <n v="8"/>
    <n v="0"/>
    <n v="44200.18"/>
    <n v="9"/>
    <n v="36670.18"/>
    <n v="8"/>
    <n v="24"/>
    <n v="563"/>
    <n v="2024"/>
    <x v="6"/>
    <s v="淘宝客"/>
    <x v="1"/>
    <x v="2"/>
  </r>
  <r>
    <x v="1"/>
    <x v="169"/>
    <x v="1"/>
    <x v="8"/>
    <x v="25"/>
    <n v="211"/>
    <n v="88"/>
    <n v="9"/>
    <n v="3"/>
    <n v="11848"/>
    <n v="2"/>
    <n v="11848"/>
    <n v="2"/>
    <n v="27"/>
    <n v="201"/>
    <n v="2024"/>
    <x v="6"/>
    <s v="主会场"/>
    <x v="1"/>
    <x v="2"/>
  </r>
  <r>
    <x v="1"/>
    <x v="169"/>
    <x v="1"/>
    <x v="2"/>
    <x v="4"/>
    <n v="3"/>
    <n v="3"/>
    <n v="0"/>
    <n v="0"/>
    <n v="0"/>
    <n v="0"/>
    <n v="0"/>
    <n v="0"/>
    <n v="1"/>
    <n v="2"/>
    <n v="2024"/>
    <x v="6"/>
    <s v="手机浏览器访问天猫"/>
    <x v="1"/>
    <x v="2"/>
  </r>
  <r>
    <x v="1"/>
    <x v="169"/>
    <x v="1"/>
    <x v="2"/>
    <x v="5"/>
    <n v="39"/>
    <n v="20"/>
    <n v="1"/>
    <n v="0"/>
    <n v="0"/>
    <n v="0"/>
    <n v="0"/>
    <n v="0"/>
    <n v="12"/>
    <n v="33"/>
    <n v="2024"/>
    <x v="6"/>
    <s v="手猫免费其他"/>
    <x v="1"/>
    <x v="2"/>
  </r>
  <r>
    <x v="1"/>
    <x v="169"/>
    <x v="1"/>
    <x v="2"/>
    <x v="6"/>
    <n v="35"/>
    <n v="14"/>
    <n v="4"/>
    <n v="0"/>
    <n v="1700"/>
    <n v="1"/>
    <n v="1700"/>
    <n v="1"/>
    <n v="0"/>
    <n v="35"/>
    <n v="2024"/>
    <x v="6"/>
    <s v="手猫其他店铺"/>
    <x v="1"/>
    <x v="2"/>
  </r>
  <r>
    <x v="1"/>
    <x v="169"/>
    <x v="1"/>
    <x v="2"/>
    <x v="7"/>
    <n v="51"/>
    <n v="24"/>
    <n v="5"/>
    <n v="0"/>
    <n v="0"/>
    <n v="0"/>
    <n v="0"/>
    <n v="0"/>
    <n v="3"/>
    <n v="51"/>
    <n v="2024"/>
    <x v="6"/>
    <s v="手猫商品详情"/>
    <x v="1"/>
    <x v="2"/>
  </r>
  <r>
    <x v="1"/>
    <x v="169"/>
    <x v="1"/>
    <x v="2"/>
    <x v="8"/>
    <n v="71"/>
    <n v="39"/>
    <n v="4"/>
    <n v="0"/>
    <n v="2817"/>
    <n v="1"/>
    <n v="2817"/>
    <n v="1"/>
    <n v="28"/>
    <n v="68"/>
    <n v="2024"/>
    <x v="6"/>
    <s v="手猫搜索"/>
    <x v="1"/>
    <x v="2"/>
  </r>
  <r>
    <x v="1"/>
    <x v="169"/>
    <x v="1"/>
    <x v="2"/>
    <x v="9"/>
    <n v="5"/>
    <n v="0"/>
    <n v="0"/>
    <n v="0"/>
    <n v="0"/>
    <n v="0"/>
    <n v="0"/>
    <n v="0"/>
    <n v="2"/>
    <n v="4"/>
    <n v="2024"/>
    <x v="6"/>
    <s v="手猫旺信聊天"/>
    <x v="1"/>
    <x v="2"/>
  </r>
  <r>
    <x v="1"/>
    <x v="169"/>
    <x v="1"/>
    <x v="2"/>
    <x v="29"/>
    <n v="1"/>
    <n v="0"/>
    <n v="0"/>
    <n v="0"/>
    <n v="0"/>
    <n v="0"/>
    <n v="0"/>
    <n v="0"/>
    <n v="0"/>
    <n v="1"/>
    <n v="2024"/>
    <x v="6"/>
    <s v="手猫消息中心"/>
    <x v="1"/>
    <x v="2"/>
  </r>
  <r>
    <x v="1"/>
    <x v="169"/>
    <x v="1"/>
    <x v="2"/>
    <x v="10"/>
    <n v="347"/>
    <n v="184"/>
    <n v="3"/>
    <n v="0"/>
    <n v="8600"/>
    <n v="1"/>
    <n v="8600"/>
    <n v="1"/>
    <n v="13"/>
    <n v="347"/>
    <n v="2024"/>
    <x v="6"/>
    <s v="手猫首页"/>
    <x v="1"/>
    <x v="2"/>
  </r>
  <r>
    <x v="1"/>
    <x v="169"/>
    <x v="1"/>
    <x v="3"/>
    <x v="11"/>
    <n v="445"/>
    <n v="202"/>
    <n v="35"/>
    <n v="14"/>
    <n v="15120"/>
    <n v="3"/>
    <n v="15120"/>
    <n v="3"/>
    <n v="50"/>
    <n v="440"/>
    <n v="2024"/>
    <x v="6"/>
    <s v="商品详情页头图推荐"/>
    <x v="1"/>
    <x v="2"/>
  </r>
  <r>
    <x v="1"/>
    <x v="169"/>
    <x v="1"/>
    <x v="3"/>
    <x v="12"/>
    <n v="62"/>
    <n v="30"/>
    <n v="7"/>
    <n v="0"/>
    <n v="0"/>
    <n v="0"/>
    <n v="0"/>
    <n v="0"/>
    <n v="54"/>
    <n v="32"/>
    <n v="2024"/>
    <x v="6"/>
    <s v="店铺超链"/>
    <x v="1"/>
    <x v="2"/>
  </r>
  <r>
    <x v="1"/>
    <x v="169"/>
    <x v="0"/>
    <x v="6"/>
    <x v="30"/>
    <n v="1306"/>
    <n v="993"/>
    <n v="7"/>
    <n v="4"/>
    <n v="28500"/>
    <n v="1"/>
    <n v="0"/>
    <n v="0"/>
    <n v="1118"/>
    <n v="196"/>
    <n v="2024"/>
    <x v="6"/>
    <s v="其他猜你喜欢"/>
    <x v="1"/>
    <x v="2"/>
  </r>
  <r>
    <x v="1"/>
    <x v="169"/>
    <x v="1"/>
    <x v="4"/>
    <x v="15"/>
    <n v="31"/>
    <n v="12"/>
    <n v="1"/>
    <n v="1"/>
    <n v="0"/>
    <n v="0"/>
    <n v="0"/>
    <n v="0"/>
    <n v="8"/>
    <n v="21"/>
    <n v="2024"/>
    <x v="6"/>
    <s v="购中推荐"/>
    <x v="1"/>
    <x v="2"/>
  </r>
  <r>
    <x v="1"/>
    <x v="169"/>
    <x v="1"/>
    <x v="4"/>
    <x v="16"/>
    <n v="98"/>
    <n v="74"/>
    <n v="1"/>
    <n v="0"/>
    <n v="0"/>
    <n v="0"/>
    <n v="0"/>
    <n v="0"/>
    <n v="66"/>
    <n v="24"/>
    <n v="2024"/>
    <x v="6"/>
    <s v="购后推荐"/>
    <x v="1"/>
    <x v="2"/>
  </r>
  <r>
    <x v="1"/>
    <x v="169"/>
    <x v="1"/>
    <x v="4"/>
    <x v="17"/>
    <n v="5637"/>
    <n v="3575"/>
    <n v="156"/>
    <n v="49"/>
    <n v="51335"/>
    <n v="10"/>
    <n v="15380"/>
    <n v="5"/>
    <n v="449"/>
    <n v="5637"/>
    <n v="2024"/>
    <x v="6"/>
    <s v="首页推荐-微详情"/>
    <x v="1"/>
    <x v="2"/>
  </r>
  <r>
    <x v="1"/>
    <x v="169"/>
    <x v="1"/>
    <x v="4"/>
    <x v="18"/>
    <n v="196"/>
    <n v="112"/>
    <n v="1"/>
    <n v="0"/>
    <n v="1990"/>
    <n v="1"/>
    <n v="1990"/>
    <n v="1"/>
    <n v="1"/>
    <n v="26"/>
    <n v="2024"/>
    <x v="6"/>
    <s v="首页推荐-直播"/>
    <x v="1"/>
    <x v="2"/>
  </r>
  <r>
    <x v="1"/>
    <x v="169"/>
    <x v="1"/>
    <x v="4"/>
    <x v="19"/>
    <n v="971"/>
    <n v="551"/>
    <n v="7"/>
    <n v="6"/>
    <n v="0"/>
    <n v="0"/>
    <n v="0"/>
    <n v="0"/>
    <n v="35"/>
    <n v="228"/>
    <n v="2024"/>
    <x v="6"/>
    <s v="首页推荐-短视频"/>
    <x v="1"/>
    <x v="2"/>
  </r>
  <r>
    <x v="1"/>
    <x v="169"/>
    <x v="1"/>
    <x v="12"/>
    <x v="42"/>
    <n v="1206"/>
    <n v="910"/>
    <n v="81"/>
    <n v="14"/>
    <n v="38360"/>
    <n v="10"/>
    <n v="27563"/>
    <n v="6"/>
    <n v="299"/>
    <n v="1095"/>
    <n v="2024"/>
    <x v="6"/>
    <s v="手淘搜索-商品及其他"/>
    <x v="1"/>
    <x v="2"/>
  </r>
  <r>
    <x v="1"/>
    <x v="169"/>
    <x v="1"/>
    <x v="12"/>
    <x v="43"/>
    <n v="19"/>
    <n v="8"/>
    <n v="1"/>
    <n v="0"/>
    <n v="0"/>
    <n v="0"/>
    <n v="0"/>
    <n v="0"/>
    <n v="3"/>
    <n v="13"/>
    <n v="2024"/>
    <x v="6"/>
    <s v="手淘搜索-直播"/>
    <x v="1"/>
    <x v="2"/>
  </r>
  <r>
    <x v="1"/>
    <x v="169"/>
    <x v="1"/>
    <x v="12"/>
    <x v="44"/>
    <n v="13"/>
    <n v="8"/>
    <n v="0"/>
    <n v="0"/>
    <n v="0"/>
    <n v="0"/>
    <n v="0"/>
    <n v="0"/>
    <n v="0"/>
    <n v="13"/>
    <n v="2024"/>
    <x v="6"/>
    <s v="手淘搜索-短视频"/>
    <x v="1"/>
    <x v="2"/>
  </r>
  <r>
    <x v="1"/>
    <x v="169"/>
    <x v="1"/>
    <x v="11"/>
    <x v="37"/>
    <n v="16"/>
    <n v="16"/>
    <n v="0"/>
    <n v="0"/>
    <n v="0"/>
    <n v="0"/>
    <n v="0"/>
    <n v="0"/>
    <n v="1"/>
    <n v="16"/>
    <n v="2024"/>
    <x v="6"/>
    <s v="淘特其他渠道"/>
    <x v="1"/>
    <x v="2"/>
  </r>
  <r>
    <x v="1"/>
    <x v="169"/>
    <x v="0"/>
    <x v="5"/>
    <x v="41"/>
    <n v="1125"/>
    <n v="886"/>
    <n v="12"/>
    <n v="3"/>
    <n v="0"/>
    <n v="0"/>
    <n v="0"/>
    <n v="0"/>
    <n v="19"/>
    <n v="178"/>
    <n v="2024"/>
    <x v="6"/>
    <s v="超级直播"/>
    <x v="1"/>
    <x v="2"/>
  </r>
  <r>
    <x v="1"/>
    <x v="169"/>
    <x v="0"/>
    <x v="5"/>
    <x v="20"/>
    <n v="46"/>
    <n v="39"/>
    <n v="1"/>
    <n v="2"/>
    <n v="0"/>
    <n v="0"/>
    <n v="0"/>
    <n v="0"/>
    <n v="1"/>
    <n v="38"/>
    <n v="2024"/>
    <x v="6"/>
    <s v="超级短视频"/>
    <x v="1"/>
    <x v="2"/>
  </r>
  <r>
    <x v="1"/>
    <x v="169"/>
    <x v="0"/>
    <x v="6"/>
    <x v="30"/>
    <n v="1"/>
    <n v="1"/>
    <n v="0"/>
    <n v="0"/>
    <n v="0"/>
    <n v="0"/>
    <n v="0"/>
    <n v="0"/>
    <n v="1"/>
    <n v="0"/>
    <n v="2024"/>
    <x v="6"/>
    <s v="品牌特秀"/>
    <x v="1"/>
    <x v="2"/>
  </r>
  <r>
    <x v="1"/>
    <x v="169"/>
    <x v="0"/>
    <x v="6"/>
    <x v="21"/>
    <n v="730"/>
    <n v="558"/>
    <n v="39"/>
    <n v="9"/>
    <n v="17998"/>
    <n v="3"/>
    <n v="10375"/>
    <n v="2"/>
    <n v="730"/>
    <n v="473"/>
    <n v="2024"/>
    <x v="6"/>
    <s v="品销宝-品牌专区"/>
    <x v="1"/>
    <x v="2"/>
  </r>
  <r>
    <x v="1"/>
    <x v="169"/>
    <x v="0"/>
    <x v="0"/>
    <x v="2"/>
    <n v="5335"/>
    <n v="4645"/>
    <n v="137"/>
    <n v="30"/>
    <n v="53253"/>
    <n v="7"/>
    <n v="11528"/>
    <n v="2"/>
    <n v="390"/>
    <n v="5302"/>
    <n v="2024"/>
    <x v="6"/>
    <s v="直通车"/>
    <x v="1"/>
    <x v="2"/>
  </r>
  <r>
    <x v="1"/>
    <x v="169"/>
    <x v="0"/>
    <x v="0"/>
    <x v="0"/>
    <n v="3274"/>
    <n v="1579"/>
    <n v="128"/>
    <n v="56"/>
    <n v="146005"/>
    <n v="20"/>
    <n v="51355"/>
    <n v="10"/>
    <n v="204"/>
    <n v="3267"/>
    <n v="2024"/>
    <x v="6"/>
    <s v="万相台"/>
    <x v="1"/>
    <x v="2"/>
  </r>
  <r>
    <x v="1"/>
    <x v="169"/>
    <x v="0"/>
    <x v="0"/>
    <x v="1"/>
    <n v="6089"/>
    <n v="2937"/>
    <n v="134"/>
    <n v="66"/>
    <n v="112585"/>
    <n v="14"/>
    <n v="33280"/>
    <n v="6"/>
    <n v="375"/>
    <n v="6077"/>
    <n v="2024"/>
    <x v="6"/>
    <s v="引力魔方"/>
    <x v="1"/>
    <x v="2"/>
  </r>
  <r>
    <x v="1"/>
    <x v="169"/>
    <x v="0"/>
    <x v="7"/>
    <x v="23"/>
    <n v="11"/>
    <n v="8"/>
    <n v="1"/>
    <n v="0"/>
    <n v="0"/>
    <n v="0"/>
    <n v="0"/>
    <n v="0"/>
    <n v="4"/>
    <n v="8"/>
    <n v="2024"/>
    <x v="6"/>
    <s v="流量宝"/>
    <x v="1"/>
    <x v="2"/>
  </r>
  <r>
    <x v="1"/>
    <x v="169"/>
    <x v="0"/>
    <x v="7"/>
    <x v="24"/>
    <n v="748"/>
    <n v="211"/>
    <n v="3"/>
    <n v="3"/>
    <n v="5250"/>
    <n v="1"/>
    <n v="0"/>
    <n v="0"/>
    <n v="28"/>
    <n v="731"/>
    <n v="2024"/>
    <x v="6"/>
    <s v="淘宝客"/>
    <x v="1"/>
    <x v="2"/>
  </r>
  <r>
    <x v="1"/>
    <x v="170"/>
    <x v="1"/>
    <x v="8"/>
    <x v="25"/>
    <n v="171"/>
    <n v="65"/>
    <n v="7"/>
    <n v="4"/>
    <n v="0"/>
    <n v="0"/>
    <n v="0"/>
    <n v="0"/>
    <n v="17"/>
    <n v="164"/>
    <n v="2024"/>
    <x v="6"/>
    <s v="主会场"/>
    <x v="1"/>
    <x v="2"/>
  </r>
  <r>
    <x v="1"/>
    <x v="170"/>
    <x v="1"/>
    <x v="1"/>
    <x v="3"/>
    <n v="1"/>
    <n v="1"/>
    <n v="0"/>
    <n v="0"/>
    <n v="0"/>
    <n v="0"/>
    <n v="0"/>
    <n v="0"/>
    <n v="0"/>
    <n v="1"/>
    <n v="2024"/>
    <x v="6"/>
    <s v="其他入口榜单"/>
    <x v="1"/>
    <x v="2"/>
  </r>
  <r>
    <x v="1"/>
    <x v="170"/>
    <x v="1"/>
    <x v="2"/>
    <x v="5"/>
    <n v="31"/>
    <n v="14"/>
    <n v="0"/>
    <n v="0"/>
    <n v="0"/>
    <n v="0"/>
    <n v="0"/>
    <n v="0"/>
    <n v="14"/>
    <n v="23"/>
    <n v="2024"/>
    <x v="6"/>
    <s v="手猫免费其他"/>
    <x v="1"/>
    <x v="2"/>
  </r>
  <r>
    <x v="1"/>
    <x v="170"/>
    <x v="1"/>
    <x v="2"/>
    <x v="6"/>
    <n v="33"/>
    <n v="15"/>
    <n v="2"/>
    <n v="0"/>
    <n v="0"/>
    <n v="0"/>
    <n v="0"/>
    <n v="0"/>
    <n v="0"/>
    <n v="33"/>
    <n v="2024"/>
    <x v="6"/>
    <s v="手猫其他店铺"/>
    <x v="1"/>
    <x v="2"/>
  </r>
  <r>
    <x v="1"/>
    <x v="170"/>
    <x v="1"/>
    <x v="2"/>
    <x v="7"/>
    <n v="47"/>
    <n v="17"/>
    <n v="2"/>
    <n v="0"/>
    <n v="7273"/>
    <n v="2"/>
    <n v="2298"/>
    <n v="1"/>
    <n v="4"/>
    <n v="46"/>
    <n v="2024"/>
    <x v="6"/>
    <s v="手猫商品详情"/>
    <x v="1"/>
    <x v="2"/>
  </r>
  <r>
    <x v="1"/>
    <x v="170"/>
    <x v="1"/>
    <x v="2"/>
    <x v="8"/>
    <n v="56"/>
    <n v="31"/>
    <n v="3"/>
    <n v="0"/>
    <n v="8750"/>
    <n v="1"/>
    <n v="0"/>
    <n v="0"/>
    <n v="23"/>
    <n v="48"/>
    <n v="2024"/>
    <x v="6"/>
    <s v="手猫搜索"/>
    <x v="1"/>
    <x v="2"/>
  </r>
  <r>
    <x v="1"/>
    <x v="170"/>
    <x v="1"/>
    <x v="2"/>
    <x v="9"/>
    <n v="1"/>
    <n v="0"/>
    <n v="0"/>
    <n v="0"/>
    <n v="8750"/>
    <n v="1"/>
    <n v="0"/>
    <n v="0"/>
    <n v="0"/>
    <n v="1"/>
    <n v="2024"/>
    <x v="6"/>
    <s v="手猫旺信聊天"/>
    <x v="1"/>
    <x v="2"/>
  </r>
  <r>
    <x v="1"/>
    <x v="170"/>
    <x v="1"/>
    <x v="2"/>
    <x v="29"/>
    <n v="1"/>
    <n v="0"/>
    <n v="0"/>
    <n v="0"/>
    <n v="0"/>
    <n v="0"/>
    <n v="0"/>
    <n v="0"/>
    <n v="0"/>
    <n v="1"/>
    <n v="2024"/>
    <x v="6"/>
    <s v="手猫消息中心"/>
    <x v="1"/>
    <x v="2"/>
  </r>
  <r>
    <x v="1"/>
    <x v="170"/>
    <x v="1"/>
    <x v="2"/>
    <x v="10"/>
    <n v="318"/>
    <n v="166"/>
    <n v="5"/>
    <n v="0"/>
    <n v="0"/>
    <n v="0"/>
    <n v="0"/>
    <n v="0"/>
    <n v="12"/>
    <n v="318"/>
    <n v="2024"/>
    <x v="6"/>
    <s v="手猫首页"/>
    <x v="1"/>
    <x v="2"/>
  </r>
  <r>
    <x v="1"/>
    <x v="170"/>
    <x v="1"/>
    <x v="3"/>
    <x v="11"/>
    <n v="371"/>
    <n v="164"/>
    <n v="19"/>
    <n v="7"/>
    <n v="8320"/>
    <n v="1"/>
    <n v="8320"/>
    <n v="1"/>
    <n v="48"/>
    <n v="367"/>
    <n v="2024"/>
    <x v="6"/>
    <s v="商品详情页头图推荐"/>
    <x v="1"/>
    <x v="2"/>
  </r>
  <r>
    <x v="1"/>
    <x v="170"/>
    <x v="1"/>
    <x v="3"/>
    <x v="12"/>
    <n v="61"/>
    <n v="26"/>
    <n v="3"/>
    <n v="1"/>
    <n v="0"/>
    <n v="0"/>
    <n v="0"/>
    <n v="0"/>
    <n v="57"/>
    <n v="25"/>
    <n v="2024"/>
    <x v="6"/>
    <s v="店铺超链"/>
    <x v="1"/>
    <x v="2"/>
  </r>
  <r>
    <x v="1"/>
    <x v="170"/>
    <x v="0"/>
    <x v="6"/>
    <x v="30"/>
    <n v="1262"/>
    <n v="979"/>
    <n v="9"/>
    <n v="4"/>
    <n v="8700"/>
    <n v="1"/>
    <n v="8700"/>
    <n v="1"/>
    <n v="1082"/>
    <n v="189"/>
    <n v="2024"/>
    <x v="6"/>
    <s v="其他猜你喜欢"/>
    <x v="1"/>
    <x v="2"/>
  </r>
  <r>
    <x v="1"/>
    <x v="170"/>
    <x v="1"/>
    <x v="4"/>
    <x v="15"/>
    <n v="16"/>
    <n v="9"/>
    <n v="0"/>
    <n v="0"/>
    <n v="0"/>
    <n v="0"/>
    <n v="0"/>
    <n v="0"/>
    <n v="5"/>
    <n v="10"/>
    <n v="2024"/>
    <x v="6"/>
    <s v="购中推荐"/>
    <x v="1"/>
    <x v="2"/>
  </r>
  <r>
    <x v="1"/>
    <x v="170"/>
    <x v="1"/>
    <x v="4"/>
    <x v="16"/>
    <n v="94"/>
    <n v="71"/>
    <n v="1"/>
    <n v="0"/>
    <n v="0"/>
    <n v="0"/>
    <n v="0"/>
    <n v="0"/>
    <n v="55"/>
    <n v="33"/>
    <n v="2024"/>
    <x v="6"/>
    <s v="购后推荐"/>
    <x v="1"/>
    <x v="2"/>
  </r>
  <r>
    <x v="1"/>
    <x v="170"/>
    <x v="1"/>
    <x v="4"/>
    <x v="17"/>
    <n v="5368"/>
    <n v="3434"/>
    <n v="154"/>
    <n v="59"/>
    <n v="53518"/>
    <n v="8"/>
    <n v="13230"/>
    <n v="3"/>
    <n v="467"/>
    <n v="5368"/>
    <n v="2024"/>
    <x v="6"/>
    <s v="首页推荐-微详情"/>
    <x v="1"/>
    <x v="2"/>
  </r>
  <r>
    <x v="1"/>
    <x v="170"/>
    <x v="1"/>
    <x v="4"/>
    <x v="18"/>
    <n v="2"/>
    <n v="0"/>
    <n v="0"/>
    <n v="0"/>
    <n v="0"/>
    <n v="0"/>
    <n v="0"/>
    <n v="0"/>
    <n v="0"/>
    <n v="0"/>
    <n v="2024"/>
    <x v="6"/>
    <s v="首页推荐-直播"/>
    <x v="1"/>
    <x v="2"/>
  </r>
  <r>
    <x v="1"/>
    <x v="170"/>
    <x v="1"/>
    <x v="4"/>
    <x v="19"/>
    <n v="919"/>
    <n v="543"/>
    <n v="12"/>
    <n v="4"/>
    <n v="8500"/>
    <n v="1"/>
    <n v="8500"/>
    <n v="1"/>
    <n v="40"/>
    <n v="234"/>
    <n v="2024"/>
    <x v="6"/>
    <s v="首页推荐-短视频"/>
    <x v="1"/>
    <x v="2"/>
  </r>
  <r>
    <x v="1"/>
    <x v="170"/>
    <x v="1"/>
    <x v="12"/>
    <x v="42"/>
    <n v="1123"/>
    <n v="864"/>
    <n v="65"/>
    <n v="17"/>
    <n v="39410"/>
    <n v="6"/>
    <n v="7080"/>
    <n v="3"/>
    <n v="306"/>
    <n v="1010"/>
    <n v="2024"/>
    <x v="6"/>
    <s v="手淘搜索-商品及其他"/>
    <x v="1"/>
    <x v="2"/>
  </r>
  <r>
    <x v="1"/>
    <x v="170"/>
    <x v="1"/>
    <x v="12"/>
    <x v="44"/>
    <n v="10"/>
    <n v="5"/>
    <n v="1"/>
    <n v="0"/>
    <n v="0"/>
    <n v="0"/>
    <n v="0"/>
    <n v="0"/>
    <n v="0"/>
    <n v="10"/>
    <n v="2024"/>
    <x v="6"/>
    <s v="手淘搜索-短视频"/>
    <x v="1"/>
    <x v="2"/>
  </r>
  <r>
    <x v="1"/>
    <x v="170"/>
    <x v="1"/>
    <x v="11"/>
    <x v="37"/>
    <n v="16"/>
    <n v="16"/>
    <n v="0"/>
    <n v="0"/>
    <n v="0"/>
    <n v="0"/>
    <n v="0"/>
    <n v="0"/>
    <n v="0"/>
    <n v="16"/>
    <n v="2024"/>
    <x v="6"/>
    <s v="淘特其他渠道"/>
    <x v="1"/>
    <x v="2"/>
  </r>
  <r>
    <x v="1"/>
    <x v="170"/>
    <x v="0"/>
    <x v="5"/>
    <x v="41"/>
    <n v="3"/>
    <n v="1"/>
    <n v="0"/>
    <n v="0"/>
    <n v="0"/>
    <n v="0"/>
    <n v="0"/>
    <n v="0"/>
    <n v="0"/>
    <n v="1"/>
    <n v="2024"/>
    <x v="6"/>
    <s v="超级直播"/>
    <x v="1"/>
    <x v="2"/>
  </r>
  <r>
    <x v="1"/>
    <x v="170"/>
    <x v="0"/>
    <x v="5"/>
    <x v="20"/>
    <n v="202"/>
    <n v="170"/>
    <n v="5"/>
    <n v="4"/>
    <n v="0"/>
    <n v="0"/>
    <n v="0"/>
    <n v="0"/>
    <n v="8"/>
    <n v="167"/>
    <n v="2024"/>
    <x v="6"/>
    <s v="超级短视频"/>
    <x v="1"/>
    <x v="2"/>
  </r>
  <r>
    <x v="1"/>
    <x v="170"/>
    <x v="0"/>
    <x v="6"/>
    <x v="21"/>
    <n v="760"/>
    <n v="593"/>
    <n v="39"/>
    <n v="9"/>
    <n v="46215"/>
    <n v="7"/>
    <n v="13060"/>
    <n v="3"/>
    <n v="760"/>
    <n v="479"/>
    <n v="2024"/>
    <x v="6"/>
    <s v="品销宝-品牌专区"/>
    <x v="1"/>
    <x v="2"/>
  </r>
  <r>
    <x v="1"/>
    <x v="170"/>
    <x v="0"/>
    <x v="6"/>
    <x v="49"/>
    <n v="1"/>
    <n v="1"/>
    <n v="0"/>
    <n v="0"/>
    <n v="0"/>
    <n v="0"/>
    <n v="0"/>
    <n v="0"/>
    <n v="0"/>
    <n v="1"/>
    <n v="2024"/>
    <x v="6"/>
    <s v="超级全域通"/>
    <x v="1"/>
    <x v="2"/>
  </r>
  <r>
    <x v="1"/>
    <x v="170"/>
    <x v="0"/>
    <x v="0"/>
    <x v="2"/>
    <n v="5122"/>
    <n v="4468"/>
    <n v="137"/>
    <n v="32"/>
    <n v="121843"/>
    <n v="13"/>
    <n v="46865"/>
    <n v="5"/>
    <n v="345"/>
    <n v="5093"/>
    <n v="2024"/>
    <x v="6"/>
    <s v="直通车"/>
    <x v="1"/>
    <x v="2"/>
  </r>
  <r>
    <x v="1"/>
    <x v="170"/>
    <x v="0"/>
    <x v="0"/>
    <x v="0"/>
    <n v="3898"/>
    <n v="1909"/>
    <n v="114"/>
    <n v="48"/>
    <n v="74225"/>
    <n v="16"/>
    <n v="45840"/>
    <n v="9"/>
    <n v="190"/>
    <n v="3889"/>
    <n v="2024"/>
    <x v="6"/>
    <s v="万相台"/>
    <x v="1"/>
    <x v="2"/>
  </r>
  <r>
    <x v="1"/>
    <x v="170"/>
    <x v="0"/>
    <x v="0"/>
    <x v="1"/>
    <n v="5758"/>
    <n v="2566"/>
    <n v="152"/>
    <n v="64"/>
    <n v="55575"/>
    <n v="11"/>
    <n v="19688"/>
    <n v="4"/>
    <n v="411"/>
    <n v="5756"/>
    <n v="2024"/>
    <x v="6"/>
    <s v="引力魔方"/>
    <x v="1"/>
    <x v="2"/>
  </r>
  <r>
    <x v="1"/>
    <x v="170"/>
    <x v="0"/>
    <x v="7"/>
    <x v="23"/>
    <n v="9"/>
    <n v="4"/>
    <n v="0"/>
    <n v="0"/>
    <n v="0"/>
    <n v="0"/>
    <n v="0"/>
    <n v="0"/>
    <n v="2"/>
    <n v="7"/>
    <n v="2024"/>
    <x v="6"/>
    <s v="流量宝"/>
    <x v="1"/>
    <x v="2"/>
  </r>
  <r>
    <x v="1"/>
    <x v="170"/>
    <x v="0"/>
    <x v="7"/>
    <x v="24"/>
    <n v="719"/>
    <n v="144"/>
    <n v="4"/>
    <n v="2"/>
    <n v="0"/>
    <n v="0"/>
    <n v="0"/>
    <n v="0"/>
    <n v="19"/>
    <n v="713"/>
    <n v="2024"/>
    <x v="6"/>
    <s v="淘宝客"/>
    <x v="1"/>
    <x v="2"/>
  </r>
  <r>
    <x v="1"/>
    <x v="171"/>
    <x v="1"/>
    <x v="8"/>
    <x v="25"/>
    <n v="169"/>
    <n v="89"/>
    <n v="8"/>
    <n v="4"/>
    <n v="8750"/>
    <n v="1"/>
    <n v="0"/>
    <n v="0"/>
    <n v="21"/>
    <n v="161"/>
    <n v="2024"/>
    <x v="6"/>
    <s v="主会场"/>
    <x v="1"/>
    <x v="2"/>
  </r>
  <r>
    <x v="1"/>
    <x v="171"/>
    <x v="1"/>
    <x v="2"/>
    <x v="5"/>
    <n v="30"/>
    <n v="12"/>
    <n v="0"/>
    <n v="0"/>
    <n v="0"/>
    <n v="0"/>
    <n v="0"/>
    <n v="0"/>
    <n v="19"/>
    <n v="21"/>
    <n v="2024"/>
    <x v="6"/>
    <s v="手猫免费其他"/>
    <x v="1"/>
    <x v="2"/>
  </r>
  <r>
    <x v="1"/>
    <x v="171"/>
    <x v="1"/>
    <x v="2"/>
    <x v="6"/>
    <n v="39"/>
    <n v="18"/>
    <n v="5"/>
    <n v="0"/>
    <n v="0"/>
    <n v="0"/>
    <n v="0"/>
    <n v="0"/>
    <n v="1"/>
    <n v="39"/>
    <n v="2024"/>
    <x v="6"/>
    <s v="手猫其他店铺"/>
    <x v="1"/>
    <x v="2"/>
  </r>
  <r>
    <x v="1"/>
    <x v="171"/>
    <x v="1"/>
    <x v="2"/>
    <x v="7"/>
    <n v="38"/>
    <n v="13"/>
    <n v="3"/>
    <n v="0"/>
    <n v="0"/>
    <n v="0"/>
    <n v="0"/>
    <n v="0"/>
    <n v="9"/>
    <n v="38"/>
    <n v="2024"/>
    <x v="6"/>
    <s v="手猫商品详情"/>
    <x v="1"/>
    <x v="2"/>
  </r>
  <r>
    <x v="1"/>
    <x v="171"/>
    <x v="1"/>
    <x v="2"/>
    <x v="8"/>
    <n v="55"/>
    <n v="35"/>
    <n v="8"/>
    <n v="0"/>
    <n v="1650"/>
    <n v="1"/>
    <n v="1650"/>
    <n v="1"/>
    <n v="25"/>
    <n v="49"/>
    <n v="2024"/>
    <x v="6"/>
    <s v="手猫搜索"/>
    <x v="1"/>
    <x v="2"/>
  </r>
  <r>
    <x v="1"/>
    <x v="171"/>
    <x v="1"/>
    <x v="2"/>
    <x v="9"/>
    <n v="2"/>
    <n v="0"/>
    <n v="1"/>
    <n v="0"/>
    <n v="0"/>
    <n v="0"/>
    <n v="0"/>
    <n v="0"/>
    <n v="0"/>
    <n v="2"/>
    <n v="2024"/>
    <x v="6"/>
    <s v="手猫旺信聊天"/>
    <x v="1"/>
    <x v="2"/>
  </r>
  <r>
    <x v="1"/>
    <x v="171"/>
    <x v="1"/>
    <x v="2"/>
    <x v="29"/>
    <n v="6"/>
    <n v="1"/>
    <n v="0"/>
    <n v="0"/>
    <n v="0"/>
    <n v="0"/>
    <n v="0"/>
    <n v="0"/>
    <n v="0"/>
    <n v="6"/>
    <n v="2024"/>
    <x v="6"/>
    <s v="手猫消息中心"/>
    <x v="1"/>
    <x v="2"/>
  </r>
  <r>
    <x v="1"/>
    <x v="171"/>
    <x v="1"/>
    <x v="2"/>
    <x v="10"/>
    <n v="253"/>
    <n v="133"/>
    <n v="2"/>
    <n v="0"/>
    <n v="5680"/>
    <n v="2"/>
    <n v="5680"/>
    <n v="2"/>
    <n v="14"/>
    <n v="253"/>
    <n v="2024"/>
    <x v="6"/>
    <s v="手猫首页"/>
    <x v="1"/>
    <x v="2"/>
  </r>
  <r>
    <x v="1"/>
    <x v="171"/>
    <x v="1"/>
    <x v="3"/>
    <x v="11"/>
    <n v="351"/>
    <n v="154"/>
    <n v="25"/>
    <n v="2"/>
    <n v="18060"/>
    <n v="4"/>
    <n v="9480"/>
    <n v="3"/>
    <n v="52"/>
    <n v="348"/>
    <n v="2024"/>
    <x v="6"/>
    <s v="商品详情页头图推荐"/>
    <x v="1"/>
    <x v="2"/>
  </r>
  <r>
    <x v="1"/>
    <x v="171"/>
    <x v="1"/>
    <x v="3"/>
    <x v="12"/>
    <n v="60"/>
    <n v="26"/>
    <n v="4"/>
    <n v="0"/>
    <n v="0"/>
    <n v="0"/>
    <n v="0"/>
    <n v="0"/>
    <n v="53"/>
    <n v="32"/>
    <n v="2024"/>
    <x v="6"/>
    <s v="店铺超链"/>
    <x v="1"/>
    <x v="2"/>
  </r>
  <r>
    <x v="1"/>
    <x v="171"/>
    <x v="0"/>
    <x v="6"/>
    <x v="30"/>
    <n v="1178"/>
    <n v="916"/>
    <n v="7"/>
    <n v="3"/>
    <n v="2500"/>
    <n v="1"/>
    <n v="2500"/>
    <n v="1"/>
    <n v="1018"/>
    <n v="161"/>
    <n v="2024"/>
    <x v="6"/>
    <s v="其他猜你喜欢"/>
    <x v="1"/>
    <x v="2"/>
  </r>
  <r>
    <x v="1"/>
    <x v="171"/>
    <x v="1"/>
    <x v="4"/>
    <x v="15"/>
    <n v="24"/>
    <n v="17"/>
    <n v="1"/>
    <n v="1"/>
    <n v="0"/>
    <n v="0"/>
    <n v="0"/>
    <n v="0"/>
    <n v="9"/>
    <n v="14"/>
    <n v="2024"/>
    <x v="6"/>
    <s v="购中推荐"/>
    <x v="1"/>
    <x v="2"/>
  </r>
  <r>
    <x v="1"/>
    <x v="171"/>
    <x v="1"/>
    <x v="4"/>
    <x v="16"/>
    <n v="89"/>
    <n v="71"/>
    <n v="3"/>
    <n v="0"/>
    <n v="0"/>
    <n v="0"/>
    <n v="0"/>
    <n v="0"/>
    <n v="60"/>
    <n v="20"/>
    <n v="2024"/>
    <x v="6"/>
    <s v="购后推荐"/>
    <x v="1"/>
    <x v="2"/>
  </r>
  <r>
    <x v="1"/>
    <x v="171"/>
    <x v="1"/>
    <x v="4"/>
    <x v="17"/>
    <n v="3875"/>
    <n v="2326"/>
    <n v="120"/>
    <n v="43"/>
    <n v="68547"/>
    <n v="13"/>
    <n v="20454"/>
    <n v="7"/>
    <n v="260"/>
    <n v="3875"/>
    <n v="2024"/>
    <x v="6"/>
    <s v="首页推荐-微详情"/>
    <x v="1"/>
    <x v="2"/>
  </r>
  <r>
    <x v="1"/>
    <x v="171"/>
    <x v="1"/>
    <x v="4"/>
    <x v="18"/>
    <n v="94"/>
    <n v="48"/>
    <n v="2"/>
    <n v="1"/>
    <n v="0"/>
    <n v="0"/>
    <n v="0"/>
    <n v="0"/>
    <n v="1"/>
    <n v="13"/>
    <n v="2024"/>
    <x v="6"/>
    <s v="首页推荐-直播"/>
    <x v="1"/>
    <x v="2"/>
  </r>
  <r>
    <x v="1"/>
    <x v="171"/>
    <x v="1"/>
    <x v="4"/>
    <x v="19"/>
    <n v="614"/>
    <n v="333"/>
    <n v="7"/>
    <n v="4"/>
    <n v="0"/>
    <n v="0"/>
    <n v="0"/>
    <n v="0"/>
    <n v="31"/>
    <n v="168"/>
    <n v="2024"/>
    <x v="6"/>
    <s v="首页推荐-短视频"/>
    <x v="1"/>
    <x v="2"/>
  </r>
  <r>
    <x v="1"/>
    <x v="171"/>
    <x v="1"/>
    <x v="12"/>
    <x v="42"/>
    <n v="939"/>
    <n v="719"/>
    <n v="69"/>
    <n v="8"/>
    <n v="202796"/>
    <n v="5"/>
    <n v="11233"/>
    <n v="3"/>
    <n v="270"/>
    <n v="821"/>
    <n v="2024"/>
    <x v="6"/>
    <s v="手淘搜索-商品及其他"/>
    <x v="1"/>
    <x v="2"/>
  </r>
  <r>
    <x v="1"/>
    <x v="171"/>
    <x v="1"/>
    <x v="12"/>
    <x v="43"/>
    <n v="13"/>
    <n v="7"/>
    <n v="0"/>
    <n v="1"/>
    <n v="7623"/>
    <n v="1"/>
    <n v="7623"/>
    <n v="1"/>
    <n v="0"/>
    <n v="13"/>
    <n v="2024"/>
    <x v="6"/>
    <s v="手淘搜索-直播"/>
    <x v="1"/>
    <x v="2"/>
  </r>
  <r>
    <x v="1"/>
    <x v="171"/>
    <x v="1"/>
    <x v="12"/>
    <x v="44"/>
    <n v="4"/>
    <n v="4"/>
    <n v="0"/>
    <n v="0"/>
    <n v="0"/>
    <n v="0"/>
    <n v="0"/>
    <n v="0"/>
    <n v="0"/>
    <n v="3"/>
    <n v="2024"/>
    <x v="6"/>
    <s v="手淘搜索-短视频"/>
    <x v="1"/>
    <x v="2"/>
  </r>
  <r>
    <x v="1"/>
    <x v="171"/>
    <x v="1"/>
    <x v="11"/>
    <x v="37"/>
    <n v="18"/>
    <n v="18"/>
    <n v="0"/>
    <n v="1"/>
    <n v="0"/>
    <n v="0"/>
    <n v="0"/>
    <n v="0"/>
    <n v="1"/>
    <n v="18"/>
    <n v="2024"/>
    <x v="6"/>
    <s v="淘特其他渠道"/>
    <x v="1"/>
    <x v="2"/>
  </r>
  <r>
    <x v="1"/>
    <x v="171"/>
    <x v="1"/>
    <x v="11"/>
    <x v="39"/>
    <n v="2"/>
    <n v="2"/>
    <n v="0"/>
    <n v="0"/>
    <n v="0"/>
    <n v="0"/>
    <n v="0"/>
    <n v="0"/>
    <n v="0"/>
    <n v="2"/>
    <n v="2024"/>
    <x v="6"/>
    <s v="淘特搜索"/>
    <x v="1"/>
    <x v="2"/>
  </r>
  <r>
    <x v="1"/>
    <x v="171"/>
    <x v="0"/>
    <x v="5"/>
    <x v="41"/>
    <n v="1331"/>
    <n v="1136"/>
    <n v="11"/>
    <n v="1"/>
    <n v="0"/>
    <n v="0"/>
    <n v="0"/>
    <n v="0"/>
    <n v="13"/>
    <n v="125"/>
    <n v="2024"/>
    <x v="6"/>
    <s v="超级直播"/>
    <x v="1"/>
    <x v="2"/>
  </r>
  <r>
    <x v="1"/>
    <x v="171"/>
    <x v="0"/>
    <x v="5"/>
    <x v="20"/>
    <n v="97"/>
    <n v="79"/>
    <n v="2"/>
    <n v="1"/>
    <n v="0"/>
    <n v="0"/>
    <n v="0"/>
    <n v="0"/>
    <n v="2"/>
    <n v="77"/>
    <n v="2024"/>
    <x v="6"/>
    <s v="超级短视频"/>
    <x v="1"/>
    <x v="2"/>
  </r>
  <r>
    <x v="1"/>
    <x v="171"/>
    <x v="0"/>
    <x v="6"/>
    <x v="48"/>
    <n v="2"/>
    <n v="2"/>
    <n v="0"/>
    <n v="0"/>
    <n v="0"/>
    <n v="0"/>
    <n v="0"/>
    <n v="0"/>
    <n v="2"/>
    <n v="1"/>
    <n v="2024"/>
    <x v="6"/>
    <s v="Showmax"/>
    <x v="1"/>
    <x v="2"/>
  </r>
  <r>
    <x v="1"/>
    <x v="171"/>
    <x v="0"/>
    <x v="6"/>
    <x v="30"/>
    <n v="1"/>
    <n v="1"/>
    <n v="0"/>
    <n v="0"/>
    <n v="0"/>
    <n v="0"/>
    <n v="0"/>
    <n v="0"/>
    <n v="1"/>
    <n v="0"/>
    <n v="2024"/>
    <x v="6"/>
    <s v="品牌特秀"/>
    <x v="1"/>
    <x v="2"/>
  </r>
  <r>
    <x v="1"/>
    <x v="171"/>
    <x v="0"/>
    <x v="6"/>
    <x v="21"/>
    <n v="681"/>
    <n v="523"/>
    <n v="35"/>
    <n v="6"/>
    <n v="477961"/>
    <n v="9"/>
    <n v="44521"/>
    <n v="8"/>
    <n v="681"/>
    <n v="398"/>
    <n v="2024"/>
    <x v="6"/>
    <s v="品销宝-品牌专区"/>
    <x v="1"/>
    <x v="2"/>
  </r>
  <r>
    <x v="1"/>
    <x v="171"/>
    <x v="0"/>
    <x v="0"/>
    <x v="2"/>
    <n v="4112"/>
    <n v="3597"/>
    <n v="141"/>
    <n v="22"/>
    <n v="240633.86"/>
    <n v="10"/>
    <n v="23496"/>
    <n v="4"/>
    <n v="294"/>
    <n v="4079"/>
    <n v="2024"/>
    <x v="6"/>
    <s v="直通车"/>
    <x v="1"/>
    <x v="2"/>
  </r>
  <r>
    <x v="1"/>
    <x v="171"/>
    <x v="0"/>
    <x v="0"/>
    <x v="0"/>
    <n v="3342"/>
    <n v="1703"/>
    <n v="111"/>
    <n v="54"/>
    <n v="52498"/>
    <n v="9"/>
    <n v="19703"/>
    <n v="5"/>
    <n v="128"/>
    <n v="3336"/>
    <n v="2024"/>
    <x v="6"/>
    <s v="万相台"/>
    <x v="1"/>
    <x v="2"/>
  </r>
  <r>
    <x v="1"/>
    <x v="171"/>
    <x v="0"/>
    <x v="0"/>
    <x v="1"/>
    <n v="6083"/>
    <n v="2787"/>
    <n v="141"/>
    <n v="68"/>
    <n v="44403"/>
    <n v="7"/>
    <n v="8980"/>
    <n v="2"/>
    <n v="384"/>
    <n v="6079"/>
    <n v="2024"/>
    <x v="6"/>
    <s v="引力魔方"/>
    <x v="1"/>
    <x v="2"/>
  </r>
  <r>
    <x v="1"/>
    <x v="171"/>
    <x v="0"/>
    <x v="7"/>
    <x v="23"/>
    <n v="4"/>
    <n v="3"/>
    <n v="0"/>
    <n v="0"/>
    <n v="0"/>
    <n v="0"/>
    <n v="0"/>
    <n v="0"/>
    <n v="1"/>
    <n v="4"/>
    <n v="2024"/>
    <x v="6"/>
    <s v="流量宝"/>
    <x v="1"/>
    <x v="2"/>
  </r>
  <r>
    <x v="1"/>
    <x v="171"/>
    <x v="0"/>
    <x v="7"/>
    <x v="24"/>
    <n v="1009"/>
    <n v="216"/>
    <n v="7"/>
    <n v="0"/>
    <n v="21528"/>
    <n v="4"/>
    <n v="15538"/>
    <n v="3"/>
    <n v="17"/>
    <n v="1000"/>
    <n v="2024"/>
    <x v="6"/>
    <s v="淘宝客"/>
    <x v="1"/>
    <x v="2"/>
  </r>
  <r>
    <x v="1"/>
    <x v="172"/>
    <x v="1"/>
    <x v="8"/>
    <x v="25"/>
    <n v="556"/>
    <n v="520"/>
    <n v="3"/>
    <n v="3"/>
    <n v="0"/>
    <n v="0"/>
    <n v="0"/>
    <n v="0"/>
    <n v="37"/>
    <n v="536"/>
    <n v="2024"/>
    <x v="6"/>
    <s v="主会场"/>
    <x v="1"/>
    <x v="2"/>
  </r>
  <r>
    <x v="1"/>
    <x v="172"/>
    <x v="1"/>
    <x v="2"/>
    <x v="5"/>
    <n v="33"/>
    <n v="19"/>
    <n v="1"/>
    <n v="0"/>
    <n v="0"/>
    <n v="0"/>
    <n v="0"/>
    <n v="0"/>
    <n v="11"/>
    <n v="30"/>
    <n v="2024"/>
    <x v="6"/>
    <s v="手猫免费其他"/>
    <x v="1"/>
    <x v="2"/>
  </r>
  <r>
    <x v="1"/>
    <x v="172"/>
    <x v="1"/>
    <x v="2"/>
    <x v="6"/>
    <n v="25"/>
    <n v="11"/>
    <n v="2"/>
    <n v="0"/>
    <n v="0"/>
    <n v="0"/>
    <n v="0"/>
    <n v="0"/>
    <n v="0"/>
    <n v="25"/>
    <n v="2024"/>
    <x v="6"/>
    <s v="手猫其他店铺"/>
    <x v="1"/>
    <x v="2"/>
  </r>
  <r>
    <x v="1"/>
    <x v="172"/>
    <x v="1"/>
    <x v="2"/>
    <x v="7"/>
    <n v="23"/>
    <n v="12"/>
    <n v="0"/>
    <n v="0"/>
    <n v="0"/>
    <n v="0"/>
    <n v="0"/>
    <n v="0"/>
    <n v="2"/>
    <n v="23"/>
    <n v="2024"/>
    <x v="6"/>
    <s v="手猫商品详情"/>
    <x v="1"/>
    <x v="2"/>
  </r>
  <r>
    <x v="1"/>
    <x v="172"/>
    <x v="1"/>
    <x v="2"/>
    <x v="8"/>
    <n v="45"/>
    <n v="31"/>
    <n v="1"/>
    <n v="0"/>
    <n v="0"/>
    <n v="0"/>
    <n v="0"/>
    <n v="0"/>
    <n v="17"/>
    <n v="39"/>
    <n v="2024"/>
    <x v="6"/>
    <s v="手猫搜索"/>
    <x v="1"/>
    <x v="2"/>
  </r>
  <r>
    <x v="1"/>
    <x v="172"/>
    <x v="1"/>
    <x v="2"/>
    <x v="9"/>
    <n v="2"/>
    <n v="1"/>
    <n v="1"/>
    <n v="0"/>
    <n v="0"/>
    <n v="0"/>
    <n v="0"/>
    <n v="0"/>
    <n v="1"/>
    <n v="1"/>
    <n v="2024"/>
    <x v="6"/>
    <s v="手猫旺信聊天"/>
    <x v="1"/>
    <x v="2"/>
  </r>
  <r>
    <x v="1"/>
    <x v="172"/>
    <x v="1"/>
    <x v="2"/>
    <x v="29"/>
    <n v="6"/>
    <n v="1"/>
    <n v="0"/>
    <n v="0"/>
    <n v="0"/>
    <n v="0"/>
    <n v="0"/>
    <n v="0"/>
    <n v="1"/>
    <n v="6"/>
    <n v="2024"/>
    <x v="6"/>
    <s v="手猫消息中心"/>
    <x v="1"/>
    <x v="2"/>
  </r>
  <r>
    <x v="1"/>
    <x v="172"/>
    <x v="1"/>
    <x v="2"/>
    <x v="10"/>
    <n v="244"/>
    <n v="133"/>
    <n v="2"/>
    <n v="0"/>
    <n v="0"/>
    <n v="0"/>
    <n v="0"/>
    <n v="0"/>
    <n v="12"/>
    <n v="244"/>
    <n v="2024"/>
    <x v="6"/>
    <s v="手猫首页"/>
    <x v="1"/>
    <x v="2"/>
  </r>
  <r>
    <x v="1"/>
    <x v="172"/>
    <x v="1"/>
    <x v="3"/>
    <x v="11"/>
    <n v="323"/>
    <n v="136"/>
    <n v="16"/>
    <n v="7"/>
    <n v="0"/>
    <n v="0"/>
    <n v="0"/>
    <n v="0"/>
    <n v="37"/>
    <n v="317"/>
    <n v="2024"/>
    <x v="6"/>
    <s v="商品详情页头图推荐"/>
    <x v="1"/>
    <x v="2"/>
  </r>
  <r>
    <x v="1"/>
    <x v="172"/>
    <x v="1"/>
    <x v="3"/>
    <x v="12"/>
    <n v="59"/>
    <n v="31"/>
    <n v="3"/>
    <n v="1"/>
    <n v="0"/>
    <n v="0"/>
    <n v="0"/>
    <n v="0"/>
    <n v="52"/>
    <n v="32"/>
    <n v="2024"/>
    <x v="6"/>
    <s v="店铺超链"/>
    <x v="1"/>
    <x v="2"/>
  </r>
  <r>
    <x v="1"/>
    <x v="172"/>
    <x v="0"/>
    <x v="6"/>
    <x v="30"/>
    <n v="1009"/>
    <n v="800"/>
    <n v="6"/>
    <n v="3"/>
    <n v="9200"/>
    <n v="1"/>
    <n v="0"/>
    <n v="0"/>
    <n v="890"/>
    <n v="137"/>
    <n v="2024"/>
    <x v="6"/>
    <s v="其他猜你喜欢"/>
    <x v="1"/>
    <x v="2"/>
  </r>
  <r>
    <x v="1"/>
    <x v="172"/>
    <x v="1"/>
    <x v="4"/>
    <x v="15"/>
    <n v="16"/>
    <n v="8"/>
    <n v="0"/>
    <n v="0"/>
    <n v="0"/>
    <n v="0"/>
    <n v="0"/>
    <n v="0"/>
    <n v="9"/>
    <n v="7"/>
    <n v="2024"/>
    <x v="6"/>
    <s v="购中推荐"/>
    <x v="1"/>
    <x v="2"/>
  </r>
  <r>
    <x v="1"/>
    <x v="172"/>
    <x v="1"/>
    <x v="4"/>
    <x v="16"/>
    <n v="91"/>
    <n v="66"/>
    <n v="1"/>
    <n v="0"/>
    <n v="0"/>
    <n v="0"/>
    <n v="0"/>
    <n v="0"/>
    <n v="59"/>
    <n v="22"/>
    <n v="2024"/>
    <x v="6"/>
    <s v="购后推荐"/>
    <x v="1"/>
    <x v="2"/>
  </r>
  <r>
    <x v="1"/>
    <x v="172"/>
    <x v="1"/>
    <x v="4"/>
    <x v="17"/>
    <n v="2352"/>
    <n v="1261"/>
    <n v="71"/>
    <n v="25"/>
    <n v="19999.990000000002"/>
    <n v="7"/>
    <n v="12509.99"/>
    <n v="5"/>
    <n v="137"/>
    <n v="2352"/>
    <n v="2024"/>
    <x v="6"/>
    <s v="首页推荐-微详情"/>
    <x v="1"/>
    <x v="2"/>
  </r>
  <r>
    <x v="1"/>
    <x v="172"/>
    <x v="1"/>
    <x v="4"/>
    <x v="18"/>
    <n v="2"/>
    <n v="1"/>
    <n v="0"/>
    <n v="0"/>
    <n v="0"/>
    <n v="0"/>
    <n v="0"/>
    <n v="0"/>
    <n v="0"/>
    <n v="0"/>
    <n v="2024"/>
    <x v="6"/>
    <s v="首页推荐-直播"/>
    <x v="1"/>
    <x v="2"/>
  </r>
  <r>
    <x v="1"/>
    <x v="172"/>
    <x v="1"/>
    <x v="4"/>
    <x v="19"/>
    <n v="387"/>
    <n v="197"/>
    <n v="2"/>
    <n v="1"/>
    <n v="0"/>
    <n v="0"/>
    <n v="0"/>
    <n v="0"/>
    <n v="11"/>
    <n v="87"/>
    <n v="2024"/>
    <x v="6"/>
    <s v="首页推荐-短视频"/>
    <x v="1"/>
    <x v="2"/>
  </r>
  <r>
    <x v="1"/>
    <x v="172"/>
    <x v="1"/>
    <x v="12"/>
    <x v="42"/>
    <n v="805"/>
    <n v="597"/>
    <n v="35"/>
    <n v="12"/>
    <n v="30150"/>
    <n v="6"/>
    <n v="6750"/>
    <n v="3"/>
    <n v="236"/>
    <n v="703"/>
    <n v="2024"/>
    <x v="6"/>
    <s v="手淘搜索-商品及其他"/>
    <x v="1"/>
    <x v="2"/>
  </r>
  <r>
    <x v="1"/>
    <x v="172"/>
    <x v="1"/>
    <x v="12"/>
    <x v="44"/>
    <n v="9"/>
    <n v="5"/>
    <n v="0"/>
    <n v="0"/>
    <n v="0"/>
    <n v="0"/>
    <n v="0"/>
    <n v="0"/>
    <n v="1"/>
    <n v="8"/>
    <n v="2024"/>
    <x v="6"/>
    <s v="手淘搜索-短视频"/>
    <x v="1"/>
    <x v="2"/>
  </r>
  <r>
    <x v="1"/>
    <x v="172"/>
    <x v="1"/>
    <x v="11"/>
    <x v="37"/>
    <n v="15"/>
    <n v="15"/>
    <n v="0"/>
    <n v="0"/>
    <n v="0"/>
    <n v="0"/>
    <n v="0"/>
    <n v="0"/>
    <n v="0"/>
    <n v="15"/>
    <n v="2024"/>
    <x v="6"/>
    <s v="淘特其他渠道"/>
    <x v="1"/>
    <x v="2"/>
  </r>
  <r>
    <x v="1"/>
    <x v="172"/>
    <x v="0"/>
    <x v="5"/>
    <x v="41"/>
    <n v="6"/>
    <n v="2"/>
    <n v="0"/>
    <n v="0"/>
    <n v="0"/>
    <n v="0"/>
    <n v="0"/>
    <n v="0"/>
    <n v="0"/>
    <n v="3"/>
    <n v="2024"/>
    <x v="6"/>
    <s v="超级直播"/>
    <x v="1"/>
    <x v="2"/>
  </r>
  <r>
    <x v="1"/>
    <x v="172"/>
    <x v="0"/>
    <x v="5"/>
    <x v="20"/>
    <n v="103"/>
    <n v="75"/>
    <n v="1"/>
    <n v="0"/>
    <n v="0"/>
    <n v="0"/>
    <n v="0"/>
    <n v="0"/>
    <n v="2"/>
    <n v="87"/>
    <n v="2024"/>
    <x v="6"/>
    <s v="超级短视频"/>
    <x v="1"/>
    <x v="2"/>
  </r>
  <r>
    <x v="1"/>
    <x v="172"/>
    <x v="0"/>
    <x v="6"/>
    <x v="48"/>
    <n v="4"/>
    <n v="1"/>
    <n v="0"/>
    <n v="0"/>
    <n v="0"/>
    <n v="0"/>
    <n v="0"/>
    <n v="0"/>
    <n v="4"/>
    <n v="1"/>
    <n v="2024"/>
    <x v="6"/>
    <s v="Showmax"/>
    <x v="1"/>
    <x v="2"/>
  </r>
  <r>
    <x v="1"/>
    <x v="172"/>
    <x v="0"/>
    <x v="6"/>
    <x v="30"/>
    <n v="2"/>
    <n v="2"/>
    <n v="0"/>
    <n v="0"/>
    <n v="0"/>
    <n v="0"/>
    <n v="0"/>
    <n v="0"/>
    <n v="2"/>
    <n v="0"/>
    <n v="2024"/>
    <x v="6"/>
    <s v="品牌特秀"/>
    <x v="1"/>
    <x v="2"/>
  </r>
  <r>
    <x v="1"/>
    <x v="172"/>
    <x v="0"/>
    <x v="6"/>
    <x v="21"/>
    <n v="678"/>
    <n v="527"/>
    <n v="36"/>
    <n v="6"/>
    <n v="34492"/>
    <n v="4"/>
    <n v="34492"/>
    <n v="4"/>
    <n v="678"/>
    <n v="380"/>
    <n v="2024"/>
    <x v="6"/>
    <s v="品销宝-品牌专区"/>
    <x v="1"/>
    <x v="2"/>
  </r>
  <r>
    <x v="1"/>
    <x v="172"/>
    <x v="0"/>
    <x v="0"/>
    <x v="2"/>
    <n v="4277"/>
    <n v="3759"/>
    <n v="59"/>
    <n v="29"/>
    <n v="40290"/>
    <n v="4"/>
    <n v="7495"/>
    <n v="2"/>
    <n v="307"/>
    <n v="4245"/>
    <n v="2024"/>
    <x v="6"/>
    <s v="直通车"/>
    <x v="1"/>
    <x v="2"/>
  </r>
  <r>
    <x v="1"/>
    <x v="172"/>
    <x v="0"/>
    <x v="0"/>
    <x v="0"/>
    <n v="3793"/>
    <n v="2163"/>
    <n v="131"/>
    <n v="62"/>
    <n v="112329"/>
    <n v="19"/>
    <n v="19721"/>
    <n v="7"/>
    <n v="181"/>
    <n v="3791"/>
    <n v="2024"/>
    <x v="6"/>
    <s v="万相台"/>
    <x v="1"/>
    <x v="2"/>
  </r>
  <r>
    <x v="1"/>
    <x v="172"/>
    <x v="0"/>
    <x v="0"/>
    <x v="1"/>
    <n v="6126"/>
    <n v="2909"/>
    <n v="155"/>
    <n v="78"/>
    <n v="52880"/>
    <n v="7"/>
    <n v="25842"/>
    <n v="5"/>
    <n v="443"/>
    <n v="6124"/>
    <n v="2024"/>
    <x v="6"/>
    <s v="引力魔方"/>
    <x v="1"/>
    <x v="2"/>
  </r>
  <r>
    <x v="1"/>
    <x v="172"/>
    <x v="0"/>
    <x v="7"/>
    <x v="22"/>
    <n v="1"/>
    <n v="1"/>
    <n v="0"/>
    <n v="0"/>
    <n v="0"/>
    <n v="0"/>
    <n v="0"/>
    <n v="0"/>
    <n v="0"/>
    <n v="1"/>
    <n v="2024"/>
    <x v="6"/>
    <s v="UD效果投放"/>
    <x v="1"/>
    <x v="2"/>
  </r>
  <r>
    <x v="1"/>
    <x v="172"/>
    <x v="0"/>
    <x v="7"/>
    <x v="23"/>
    <n v="6"/>
    <n v="6"/>
    <n v="0"/>
    <n v="0"/>
    <n v="0"/>
    <n v="0"/>
    <n v="0"/>
    <n v="0"/>
    <n v="1"/>
    <n v="5"/>
    <n v="2024"/>
    <x v="6"/>
    <s v="流量宝"/>
    <x v="1"/>
    <x v="2"/>
  </r>
  <r>
    <x v="1"/>
    <x v="172"/>
    <x v="0"/>
    <x v="7"/>
    <x v="24"/>
    <n v="1081"/>
    <n v="150"/>
    <n v="4"/>
    <n v="1"/>
    <n v="7457"/>
    <n v="2"/>
    <n v="7457"/>
    <n v="2"/>
    <n v="16"/>
    <n v="1075"/>
    <n v="2024"/>
    <x v="6"/>
    <s v="淘宝客"/>
    <x v="1"/>
    <x v="2"/>
  </r>
  <r>
    <x v="1"/>
    <x v="173"/>
    <x v="1"/>
    <x v="8"/>
    <x v="25"/>
    <n v="238"/>
    <n v="182"/>
    <n v="4"/>
    <n v="5"/>
    <n v="1680"/>
    <n v="1"/>
    <n v="0"/>
    <n v="0"/>
    <n v="29"/>
    <n v="225"/>
    <n v="2024"/>
    <x v="6"/>
    <s v="主会场"/>
    <x v="1"/>
    <x v="2"/>
  </r>
  <r>
    <x v="1"/>
    <x v="173"/>
    <x v="1"/>
    <x v="2"/>
    <x v="5"/>
    <n v="32"/>
    <n v="16"/>
    <n v="2"/>
    <n v="0"/>
    <n v="0"/>
    <n v="0"/>
    <n v="0"/>
    <n v="0"/>
    <n v="11"/>
    <n v="30"/>
    <n v="2024"/>
    <x v="6"/>
    <s v="手猫免费其他"/>
    <x v="1"/>
    <x v="2"/>
  </r>
  <r>
    <x v="1"/>
    <x v="173"/>
    <x v="1"/>
    <x v="2"/>
    <x v="6"/>
    <n v="26"/>
    <n v="8"/>
    <n v="4"/>
    <n v="0"/>
    <n v="0"/>
    <n v="0"/>
    <n v="0"/>
    <n v="0"/>
    <n v="1"/>
    <n v="26"/>
    <n v="2024"/>
    <x v="6"/>
    <s v="手猫其他店铺"/>
    <x v="1"/>
    <x v="2"/>
  </r>
  <r>
    <x v="1"/>
    <x v="173"/>
    <x v="1"/>
    <x v="2"/>
    <x v="7"/>
    <n v="37"/>
    <n v="16"/>
    <n v="2"/>
    <n v="0"/>
    <n v="1988"/>
    <n v="1"/>
    <n v="1988"/>
    <n v="1"/>
    <n v="5"/>
    <n v="36"/>
    <n v="2024"/>
    <x v="6"/>
    <s v="手猫商品详情"/>
    <x v="1"/>
    <x v="2"/>
  </r>
  <r>
    <x v="1"/>
    <x v="173"/>
    <x v="1"/>
    <x v="2"/>
    <x v="8"/>
    <n v="57"/>
    <n v="42"/>
    <n v="2"/>
    <n v="0"/>
    <n v="0"/>
    <n v="0"/>
    <n v="0"/>
    <n v="0"/>
    <n v="24"/>
    <n v="54"/>
    <n v="2024"/>
    <x v="6"/>
    <s v="手猫搜索"/>
    <x v="1"/>
    <x v="2"/>
  </r>
  <r>
    <x v="1"/>
    <x v="173"/>
    <x v="1"/>
    <x v="2"/>
    <x v="9"/>
    <n v="1"/>
    <n v="1"/>
    <n v="0"/>
    <n v="0"/>
    <n v="0"/>
    <n v="0"/>
    <n v="0"/>
    <n v="0"/>
    <n v="0"/>
    <n v="1"/>
    <n v="2024"/>
    <x v="6"/>
    <s v="手猫旺信聊天"/>
    <x v="1"/>
    <x v="2"/>
  </r>
  <r>
    <x v="1"/>
    <x v="173"/>
    <x v="1"/>
    <x v="2"/>
    <x v="29"/>
    <n v="5"/>
    <n v="2"/>
    <n v="0"/>
    <n v="0"/>
    <n v="0"/>
    <n v="0"/>
    <n v="0"/>
    <n v="0"/>
    <n v="0"/>
    <n v="5"/>
    <n v="2024"/>
    <x v="6"/>
    <s v="手猫消息中心"/>
    <x v="1"/>
    <x v="2"/>
  </r>
  <r>
    <x v="1"/>
    <x v="173"/>
    <x v="1"/>
    <x v="2"/>
    <x v="10"/>
    <n v="256"/>
    <n v="154"/>
    <n v="3"/>
    <n v="0"/>
    <n v="8416"/>
    <n v="3"/>
    <n v="4436"/>
    <n v="2"/>
    <n v="17"/>
    <n v="256"/>
    <n v="2024"/>
    <x v="6"/>
    <s v="手猫首页"/>
    <x v="1"/>
    <x v="2"/>
  </r>
  <r>
    <x v="1"/>
    <x v="173"/>
    <x v="1"/>
    <x v="3"/>
    <x v="11"/>
    <n v="293"/>
    <n v="118"/>
    <n v="20"/>
    <n v="6"/>
    <n v="27095"/>
    <n v="5"/>
    <n v="6270"/>
    <n v="3"/>
    <n v="43"/>
    <n v="289"/>
    <n v="2024"/>
    <x v="6"/>
    <s v="商品详情页头图推荐"/>
    <x v="1"/>
    <x v="2"/>
  </r>
  <r>
    <x v="1"/>
    <x v="173"/>
    <x v="1"/>
    <x v="3"/>
    <x v="12"/>
    <n v="64"/>
    <n v="31"/>
    <n v="4"/>
    <n v="1"/>
    <n v="0"/>
    <n v="0"/>
    <n v="0"/>
    <n v="0"/>
    <n v="54"/>
    <n v="26"/>
    <n v="2024"/>
    <x v="6"/>
    <s v="店铺超链"/>
    <x v="1"/>
    <x v="2"/>
  </r>
  <r>
    <x v="1"/>
    <x v="173"/>
    <x v="1"/>
    <x v="4"/>
    <x v="13"/>
    <n v="295"/>
    <n v="177"/>
    <n v="6"/>
    <n v="5"/>
    <n v="2448"/>
    <n v="1"/>
    <n v="2448"/>
    <n v="1"/>
    <n v="196"/>
    <n v="106"/>
    <n v="2024"/>
    <x v="6"/>
    <s v="其他猜你喜欢"/>
    <x v="1"/>
    <x v="2"/>
  </r>
  <r>
    <x v="1"/>
    <x v="173"/>
    <x v="1"/>
    <x v="4"/>
    <x v="15"/>
    <n v="4"/>
    <n v="2"/>
    <n v="0"/>
    <n v="0"/>
    <n v="0"/>
    <n v="0"/>
    <n v="0"/>
    <n v="0"/>
    <n v="0"/>
    <n v="3"/>
    <n v="2024"/>
    <x v="6"/>
    <s v="购中推荐"/>
    <x v="1"/>
    <x v="2"/>
  </r>
  <r>
    <x v="1"/>
    <x v="173"/>
    <x v="1"/>
    <x v="4"/>
    <x v="16"/>
    <n v="22"/>
    <n v="8"/>
    <n v="0"/>
    <n v="0"/>
    <n v="0"/>
    <n v="0"/>
    <n v="0"/>
    <n v="0"/>
    <n v="3"/>
    <n v="11"/>
    <n v="2024"/>
    <x v="6"/>
    <s v="购后推荐"/>
    <x v="1"/>
    <x v="2"/>
  </r>
  <r>
    <x v="1"/>
    <x v="173"/>
    <x v="1"/>
    <x v="4"/>
    <x v="17"/>
    <n v="1848"/>
    <n v="996"/>
    <n v="49"/>
    <n v="10"/>
    <n v="40267"/>
    <n v="7"/>
    <n v="9224"/>
    <n v="3"/>
    <n v="93"/>
    <n v="1848"/>
    <n v="2024"/>
    <x v="6"/>
    <s v="首页推荐-微详情"/>
    <x v="1"/>
    <x v="2"/>
  </r>
  <r>
    <x v="1"/>
    <x v="173"/>
    <x v="1"/>
    <x v="4"/>
    <x v="18"/>
    <n v="140"/>
    <n v="60"/>
    <n v="2"/>
    <n v="1"/>
    <n v="0"/>
    <n v="0"/>
    <n v="0"/>
    <n v="0"/>
    <n v="0"/>
    <n v="33"/>
    <n v="2024"/>
    <x v="6"/>
    <s v="首页推荐-直播"/>
    <x v="1"/>
    <x v="2"/>
  </r>
  <r>
    <x v="1"/>
    <x v="173"/>
    <x v="1"/>
    <x v="4"/>
    <x v="19"/>
    <n v="285"/>
    <n v="117"/>
    <n v="8"/>
    <n v="0"/>
    <n v="0"/>
    <n v="0"/>
    <n v="0"/>
    <n v="0"/>
    <n v="8"/>
    <n v="61"/>
    <n v="2024"/>
    <x v="6"/>
    <s v="首页推荐-短视频"/>
    <x v="1"/>
    <x v="2"/>
  </r>
  <r>
    <x v="1"/>
    <x v="173"/>
    <x v="1"/>
    <x v="12"/>
    <x v="42"/>
    <n v="798"/>
    <n v="598"/>
    <n v="37"/>
    <n v="9"/>
    <n v="8605"/>
    <n v="4"/>
    <n v="6925"/>
    <n v="3"/>
    <n v="251"/>
    <n v="679"/>
    <n v="2024"/>
    <x v="6"/>
    <s v="手淘搜索-商品及其他"/>
    <x v="1"/>
    <x v="2"/>
  </r>
  <r>
    <x v="1"/>
    <x v="173"/>
    <x v="1"/>
    <x v="12"/>
    <x v="43"/>
    <n v="8"/>
    <n v="3"/>
    <n v="0"/>
    <n v="0"/>
    <n v="0"/>
    <n v="0"/>
    <n v="0"/>
    <n v="0"/>
    <n v="3"/>
    <n v="6"/>
    <n v="2024"/>
    <x v="6"/>
    <s v="手淘搜索-直播"/>
    <x v="1"/>
    <x v="2"/>
  </r>
  <r>
    <x v="1"/>
    <x v="173"/>
    <x v="1"/>
    <x v="12"/>
    <x v="44"/>
    <n v="8"/>
    <n v="7"/>
    <n v="0"/>
    <n v="0"/>
    <n v="0"/>
    <n v="0"/>
    <n v="0"/>
    <n v="0"/>
    <n v="1"/>
    <n v="7"/>
    <n v="2024"/>
    <x v="6"/>
    <s v="手淘搜索-短视频"/>
    <x v="1"/>
    <x v="2"/>
  </r>
  <r>
    <x v="1"/>
    <x v="173"/>
    <x v="1"/>
    <x v="11"/>
    <x v="37"/>
    <n v="17"/>
    <n v="17"/>
    <n v="0"/>
    <n v="0"/>
    <n v="0"/>
    <n v="0"/>
    <n v="0"/>
    <n v="0"/>
    <n v="0"/>
    <n v="17"/>
    <n v="2024"/>
    <x v="6"/>
    <s v="淘特其他渠道"/>
    <x v="1"/>
    <x v="2"/>
  </r>
  <r>
    <x v="1"/>
    <x v="173"/>
    <x v="1"/>
    <x v="11"/>
    <x v="39"/>
    <n v="1"/>
    <n v="1"/>
    <n v="0"/>
    <n v="0"/>
    <n v="0"/>
    <n v="0"/>
    <n v="0"/>
    <n v="0"/>
    <n v="0"/>
    <n v="1"/>
    <n v="2024"/>
    <x v="6"/>
    <s v="淘特搜索"/>
    <x v="1"/>
    <x v="2"/>
  </r>
  <r>
    <x v="1"/>
    <x v="173"/>
    <x v="0"/>
    <x v="5"/>
    <x v="41"/>
    <n v="1340"/>
    <n v="1226"/>
    <n v="6"/>
    <n v="0"/>
    <n v="0"/>
    <n v="0"/>
    <n v="0"/>
    <n v="0"/>
    <n v="9"/>
    <n v="376"/>
    <n v="2024"/>
    <x v="6"/>
    <s v="超级直播"/>
    <x v="1"/>
    <x v="2"/>
  </r>
  <r>
    <x v="1"/>
    <x v="173"/>
    <x v="0"/>
    <x v="5"/>
    <x v="20"/>
    <n v="365"/>
    <n v="295"/>
    <n v="2"/>
    <n v="4"/>
    <n v="0"/>
    <n v="0"/>
    <n v="0"/>
    <n v="0"/>
    <n v="5"/>
    <n v="205"/>
    <n v="2024"/>
    <x v="6"/>
    <s v="超级短视频"/>
    <x v="1"/>
    <x v="2"/>
  </r>
  <r>
    <x v="1"/>
    <x v="173"/>
    <x v="0"/>
    <x v="6"/>
    <x v="48"/>
    <n v="294"/>
    <n v="245"/>
    <n v="0"/>
    <n v="0"/>
    <n v="0"/>
    <n v="0"/>
    <n v="0"/>
    <n v="0"/>
    <n v="294"/>
    <n v="50"/>
    <n v="2024"/>
    <x v="6"/>
    <s v="Showmax"/>
    <x v="1"/>
    <x v="2"/>
  </r>
  <r>
    <x v="1"/>
    <x v="173"/>
    <x v="0"/>
    <x v="6"/>
    <x v="30"/>
    <n v="631"/>
    <n v="515"/>
    <n v="0"/>
    <n v="0"/>
    <n v="0"/>
    <n v="0"/>
    <n v="0"/>
    <n v="0"/>
    <n v="631"/>
    <n v="153"/>
    <n v="2024"/>
    <x v="6"/>
    <s v="品牌特秀"/>
    <x v="1"/>
    <x v="2"/>
  </r>
  <r>
    <x v="1"/>
    <x v="173"/>
    <x v="0"/>
    <x v="6"/>
    <x v="21"/>
    <n v="755"/>
    <n v="602"/>
    <n v="21"/>
    <n v="6"/>
    <n v="30335"/>
    <n v="5"/>
    <n v="10490"/>
    <n v="2"/>
    <n v="755"/>
    <n v="402"/>
    <n v="2024"/>
    <x v="6"/>
    <s v="品销宝-品牌专区"/>
    <x v="1"/>
    <x v="2"/>
  </r>
  <r>
    <x v="1"/>
    <x v="173"/>
    <x v="0"/>
    <x v="0"/>
    <x v="2"/>
    <n v="4198"/>
    <n v="3680"/>
    <n v="59"/>
    <n v="34"/>
    <n v="18567"/>
    <n v="3"/>
    <n v="5272"/>
    <n v="1"/>
    <n v="303"/>
    <n v="4169"/>
    <n v="2024"/>
    <x v="6"/>
    <s v="直通车"/>
    <x v="1"/>
    <x v="2"/>
  </r>
  <r>
    <x v="1"/>
    <x v="173"/>
    <x v="0"/>
    <x v="0"/>
    <x v="0"/>
    <n v="5569"/>
    <n v="2729"/>
    <n v="106"/>
    <n v="55"/>
    <n v="65893"/>
    <n v="11"/>
    <n v="25176"/>
    <n v="7"/>
    <n v="127"/>
    <n v="5567"/>
    <n v="2024"/>
    <x v="6"/>
    <s v="万相台"/>
    <x v="1"/>
    <x v="2"/>
  </r>
  <r>
    <x v="1"/>
    <x v="173"/>
    <x v="0"/>
    <x v="0"/>
    <x v="1"/>
    <n v="7471"/>
    <n v="3489"/>
    <n v="175"/>
    <n v="93"/>
    <n v="82226"/>
    <n v="11"/>
    <n v="40246"/>
    <n v="8"/>
    <n v="570"/>
    <n v="7469"/>
    <n v="2024"/>
    <x v="6"/>
    <s v="引力魔方"/>
    <x v="1"/>
    <x v="2"/>
  </r>
  <r>
    <x v="1"/>
    <x v="173"/>
    <x v="0"/>
    <x v="7"/>
    <x v="23"/>
    <n v="4"/>
    <n v="1"/>
    <n v="1"/>
    <n v="0"/>
    <n v="0"/>
    <n v="0"/>
    <n v="0"/>
    <n v="0"/>
    <n v="1"/>
    <n v="4"/>
    <n v="2024"/>
    <x v="6"/>
    <s v="流量宝"/>
    <x v="1"/>
    <x v="2"/>
  </r>
  <r>
    <x v="1"/>
    <x v="173"/>
    <x v="0"/>
    <x v="7"/>
    <x v="24"/>
    <n v="1159"/>
    <n v="197"/>
    <n v="3"/>
    <n v="0"/>
    <n v="0"/>
    <n v="0"/>
    <n v="0"/>
    <n v="0"/>
    <n v="17"/>
    <n v="1144"/>
    <n v="2024"/>
    <x v="6"/>
    <s v="淘宝客"/>
    <x v="1"/>
    <x v="2"/>
  </r>
  <r>
    <x v="1"/>
    <x v="174"/>
    <x v="1"/>
    <x v="8"/>
    <x v="25"/>
    <n v="224"/>
    <n v="175"/>
    <n v="3"/>
    <n v="2"/>
    <n v="0"/>
    <n v="0"/>
    <n v="0"/>
    <n v="0"/>
    <n v="24"/>
    <n v="211"/>
    <n v="2024"/>
    <x v="6"/>
    <s v="主会场"/>
    <x v="1"/>
    <x v="2"/>
  </r>
  <r>
    <x v="1"/>
    <x v="174"/>
    <x v="1"/>
    <x v="2"/>
    <x v="4"/>
    <n v="1"/>
    <n v="1"/>
    <n v="0"/>
    <n v="0"/>
    <n v="0"/>
    <n v="0"/>
    <n v="0"/>
    <n v="0"/>
    <n v="1"/>
    <n v="0"/>
    <n v="2024"/>
    <x v="6"/>
    <s v="手机浏览器访问天猫"/>
    <x v="1"/>
    <x v="2"/>
  </r>
  <r>
    <x v="1"/>
    <x v="174"/>
    <x v="1"/>
    <x v="2"/>
    <x v="5"/>
    <n v="38"/>
    <n v="19"/>
    <n v="1"/>
    <n v="0"/>
    <n v="0"/>
    <n v="0"/>
    <n v="0"/>
    <n v="0"/>
    <n v="18"/>
    <n v="30"/>
    <n v="2024"/>
    <x v="6"/>
    <s v="手猫免费其他"/>
    <x v="1"/>
    <x v="2"/>
  </r>
  <r>
    <x v="1"/>
    <x v="174"/>
    <x v="1"/>
    <x v="2"/>
    <x v="6"/>
    <n v="24"/>
    <n v="16"/>
    <n v="5"/>
    <n v="0"/>
    <n v="9950"/>
    <n v="1"/>
    <n v="9950"/>
    <n v="1"/>
    <n v="1"/>
    <n v="24"/>
    <n v="2024"/>
    <x v="6"/>
    <s v="手猫其他店铺"/>
    <x v="1"/>
    <x v="2"/>
  </r>
  <r>
    <x v="1"/>
    <x v="174"/>
    <x v="1"/>
    <x v="2"/>
    <x v="7"/>
    <n v="26"/>
    <n v="14"/>
    <n v="1"/>
    <n v="0"/>
    <n v="0"/>
    <n v="0"/>
    <n v="0"/>
    <n v="0"/>
    <n v="8"/>
    <n v="25"/>
    <n v="2024"/>
    <x v="6"/>
    <s v="手猫商品详情"/>
    <x v="1"/>
    <x v="2"/>
  </r>
  <r>
    <x v="1"/>
    <x v="174"/>
    <x v="1"/>
    <x v="2"/>
    <x v="8"/>
    <n v="60"/>
    <n v="46"/>
    <n v="3"/>
    <n v="0"/>
    <n v="2500"/>
    <n v="1"/>
    <n v="2500"/>
    <n v="1"/>
    <n v="35"/>
    <n v="46"/>
    <n v="2024"/>
    <x v="6"/>
    <s v="手猫搜索"/>
    <x v="1"/>
    <x v="2"/>
  </r>
  <r>
    <x v="1"/>
    <x v="174"/>
    <x v="1"/>
    <x v="2"/>
    <x v="9"/>
    <n v="2"/>
    <n v="2"/>
    <n v="0"/>
    <n v="0"/>
    <n v="0"/>
    <n v="0"/>
    <n v="0"/>
    <n v="0"/>
    <n v="1"/>
    <n v="1"/>
    <n v="2024"/>
    <x v="6"/>
    <s v="手猫旺信聊天"/>
    <x v="1"/>
    <x v="2"/>
  </r>
  <r>
    <x v="1"/>
    <x v="174"/>
    <x v="1"/>
    <x v="2"/>
    <x v="29"/>
    <n v="1"/>
    <n v="1"/>
    <n v="0"/>
    <n v="0"/>
    <n v="0"/>
    <n v="0"/>
    <n v="0"/>
    <n v="0"/>
    <n v="0"/>
    <n v="1"/>
    <n v="2024"/>
    <x v="6"/>
    <s v="手猫消息中心"/>
    <x v="1"/>
    <x v="2"/>
  </r>
  <r>
    <x v="1"/>
    <x v="174"/>
    <x v="1"/>
    <x v="2"/>
    <x v="10"/>
    <n v="260"/>
    <n v="163"/>
    <n v="6"/>
    <n v="0"/>
    <n v="9950"/>
    <n v="1"/>
    <n v="9950"/>
    <n v="1"/>
    <n v="16"/>
    <n v="260"/>
    <n v="2024"/>
    <x v="6"/>
    <s v="手猫首页"/>
    <x v="1"/>
    <x v="2"/>
  </r>
  <r>
    <x v="1"/>
    <x v="174"/>
    <x v="1"/>
    <x v="3"/>
    <x v="11"/>
    <n v="312"/>
    <n v="119"/>
    <n v="21"/>
    <n v="8"/>
    <n v="3960"/>
    <n v="2"/>
    <n v="3960"/>
    <n v="2"/>
    <n v="37"/>
    <n v="308"/>
    <n v="2024"/>
    <x v="6"/>
    <s v="商品详情页头图推荐"/>
    <x v="1"/>
    <x v="2"/>
  </r>
  <r>
    <x v="1"/>
    <x v="174"/>
    <x v="1"/>
    <x v="3"/>
    <x v="12"/>
    <n v="64"/>
    <n v="35"/>
    <n v="6"/>
    <n v="1"/>
    <n v="6080"/>
    <n v="2"/>
    <n v="2200"/>
    <n v="1"/>
    <n v="56"/>
    <n v="31"/>
    <n v="2024"/>
    <x v="6"/>
    <s v="店铺超链"/>
    <x v="1"/>
    <x v="2"/>
  </r>
  <r>
    <x v="1"/>
    <x v="174"/>
    <x v="1"/>
    <x v="4"/>
    <x v="13"/>
    <n v="194"/>
    <n v="99"/>
    <n v="5"/>
    <n v="0"/>
    <n v="3875"/>
    <n v="1"/>
    <n v="3875"/>
    <n v="1"/>
    <n v="97"/>
    <n v="112"/>
    <n v="2024"/>
    <x v="6"/>
    <s v="其他猜你喜欢"/>
    <x v="1"/>
    <x v="2"/>
  </r>
  <r>
    <x v="1"/>
    <x v="174"/>
    <x v="1"/>
    <x v="4"/>
    <x v="15"/>
    <n v="16"/>
    <n v="9"/>
    <n v="0"/>
    <n v="0"/>
    <n v="0"/>
    <n v="0"/>
    <n v="0"/>
    <n v="0"/>
    <n v="3"/>
    <n v="8"/>
    <n v="2024"/>
    <x v="6"/>
    <s v="购中推荐"/>
    <x v="1"/>
    <x v="2"/>
  </r>
  <r>
    <x v="1"/>
    <x v="174"/>
    <x v="1"/>
    <x v="4"/>
    <x v="16"/>
    <n v="38"/>
    <n v="20"/>
    <n v="1"/>
    <n v="0"/>
    <n v="0"/>
    <n v="0"/>
    <n v="0"/>
    <n v="0"/>
    <n v="3"/>
    <n v="14"/>
    <n v="2024"/>
    <x v="6"/>
    <s v="购后推荐"/>
    <x v="1"/>
    <x v="2"/>
  </r>
  <r>
    <x v="1"/>
    <x v="174"/>
    <x v="1"/>
    <x v="4"/>
    <x v="17"/>
    <n v="1430"/>
    <n v="765"/>
    <n v="29"/>
    <n v="7"/>
    <n v="24762"/>
    <n v="5"/>
    <n v="5000"/>
    <n v="2"/>
    <n v="64"/>
    <n v="1430"/>
    <n v="2024"/>
    <x v="6"/>
    <s v="首页推荐-微详情"/>
    <x v="1"/>
    <x v="2"/>
  </r>
  <r>
    <x v="1"/>
    <x v="174"/>
    <x v="1"/>
    <x v="4"/>
    <x v="18"/>
    <n v="251"/>
    <n v="148"/>
    <n v="3"/>
    <n v="0"/>
    <n v="10900"/>
    <n v="1"/>
    <n v="10900"/>
    <n v="1"/>
    <n v="6"/>
    <n v="28"/>
    <n v="2024"/>
    <x v="6"/>
    <s v="首页推荐-直播"/>
    <x v="1"/>
    <x v="2"/>
  </r>
  <r>
    <x v="1"/>
    <x v="174"/>
    <x v="1"/>
    <x v="4"/>
    <x v="19"/>
    <n v="227"/>
    <n v="106"/>
    <n v="3"/>
    <n v="0"/>
    <n v="0"/>
    <n v="0"/>
    <n v="0"/>
    <n v="0"/>
    <n v="8"/>
    <n v="43"/>
    <n v="2024"/>
    <x v="6"/>
    <s v="首页推荐-短视频"/>
    <x v="1"/>
    <x v="2"/>
  </r>
  <r>
    <x v="1"/>
    <x v="174"/>
    <x v="1"/>
    <x v="12"/>
    <x v="42"/>
    <n v="760"/>
    <n v="596"/>
    <n v="37"/>
    <n v="10"/>
    <n v="16852"/>
    <n v="3"/>
    <n v="12952"/>
    <n v="3"/>
    <n v="239"/>
    <n v="645"/>
    <n v="2024"/>
    <x v="6"/>
    <s v="手淘搜索-商品及其他"/>
    <x v="1"/>
    <x v="2"/>
  </r>
  <r>
    <x v="1"/>
    <x v="174"/>
    <x v="1"/>
    <x v="12"/>
    <x v="43"/>
    <n v="2"/>
    <n v="0"/>
    <n v="1"/>
    <n v="0"/>
    <n v="0"/>
    <n v="0"/>
    <n v="0"/>
    <n v="0"/>
    <n v="1"/>
    <n v="2"/>
    <n v="2024"/>
    <x v="6"/>
    <s v="手淘搜索-直播"/>
    <x v="1"/>
    <x v="2"/>
  </r>
  <r>
    <x v="1"/>
    <x v="174"/>
    <x v="1"/>
    <x v="12"/>
    <x v="44"/>
    <n v="10"/>
    <n v="9"/>
    <n v="0"/>
    <n v="0"/>
    <n v="0"/>
    <n v="0"/>
    <n v="0"/>
    <n v="0"/>
    <n v="0"/>
    <n v="7"/>
    <n v="2024"/>
    <x v="6"/>
    <s v="手淘搜索-短视频"/>
    <x v="1"/>
    <x v="2"/>
  </r>
  <r>
    <x v="1"/>
    <x v="174"/>
    <x v="1"/>
    <x v="11"/>
    <x v="37"/>
    <n v="17"/>
    <n v="16"/>
    <n v="0"/>
    <n v="0"/>
    <n v="0"/>
    <n v="0"/>
    <n v="0"/>
    <n v="0"/>
    <n v="0"/>
    <n v="17"/>
    <n v="2024"/>
    <x v="6"/>
    <s v="淘特其他渠道"/>
    <x v="1"/>
    <x v="2"/>
  </r>
  <r>
    <x v="1"/>
    <x v="174"/>
    <x v="0"/>
    <x v="5"/>
    <x v="47"/>
    <n v="2"/>
    <n v="2"/>
    <n v="0"/>
    <n v="0"/>
    <n v="0"/>
    <n v="0"/>
    <n v="0"/>
    <n v="0"/>
    <n v="0"/>
    <n v="0"/>
    <n v="2024"/>
    <x v="6"/>
    <s v="短直联动"/>
    <x v="1"/>
    <x v="2"/>
  </r>
  <r>
    <x v="1"/>
    <x v="174"/>
    <x v="0"/>
    <x v="5"/>
    <x v="41"/>
    <n v="1142"/>
    <n v="1000"/>
    <n v="3"/>
    <n v="0"/>
    <n v="0"/>
    <n v="0"/>
    <n v="0"/>
    <n v="0"/>
    <n v="7"/>
    <n v="77"/>
    <n v="2024"/>
    <x v="6"/>
    <s v="超级直播"/>
    <x v="1"/>
    <x v="2"/>
  </r>
  <r>
    <x v="1"/>
    <x v="174"/>
    <x v="0"/>
    <x v="5"/>
    <x v="20"/>
    <n v="158"/>
    <n v="133"/>
    <n v="2"/>
    <n v="1"/>
    <n v="0"/>
    <n v="0"/>
    <n v="0"/>
    <n v="0"/>
    <n v="3"/>
    <n v="76"/>
    <n v="2024"/>
    <x v="6"/>
    <s v="超级短视频"/>
    <x v="1"/>
    <x v="2"/>
  </r>
  <r>
    <x v="1"/>
    <x v="174"/>
    <x v="0"/>
    <x v="6"/>
    <x v="48"/>
    <n v="831"/>
    <n v="702"/>
    <n v="0"/>
    <n v="0"/>
    <n v="0"/>
    <n v="0"/>
    <n v="0"/>
    <n v="0"/>
    <n v="831"/>
    <n v="154"/>
    <n v="2024"/>
    <x v="6"/>
    <s v="Showmax"/>
    <x v="1"/>
    <x v="2"/>
  </r>
  <r>
    <x v="1"/>
    <x v="174"/>
    <x v="0"/>
    <x v="6"/>
    <x v="30"/>
    <n v="1191"/>
    <n v="1048"/>
    <n v="0"/>
    <n v="0"/>
    <n v="0"/>
    <n v="0"/>
    <n v="0"/>
    <n v="0"/>
    <n v="1191"/>
    <n v="299"/>
    <n v="2024"/>
    <x v="6"/>
    <s v="品牌特秀"/>
    <x v="1"/>
    <x v="2"/>
  </r>
  <r>
    <x v="1"/>
    <x v="174"/>
    <x v="0"/>
    <x v="6"/>
    <x v="21"/>
    <n v="743"/>
    <n v="611"/>
    <n v="28"/>
    <n v="13"/>
    <n v="15982"/>
    <n v="5"/>
    <n v="14302"/>
    <n v="4"/>
    <n v="743"/>
    <n v="404"/>
    <n v="2024"/>
    <x v="6"/>
    <s v="品销宝-品牌专区"/>
    <x v="1"/>
    <x v="2"/>
  </r>
  <r>
    <x v="1"/>
    <x v="174"/>
    <x v="0"/>
    <x v="0"/>
    <x v="2"/>
    <n v="4141"/>
    <n v="3648"/>
    <n v="58"/>
    <n v="27"/>
    <n v="22155"/>
    <n v="3"/>
    <n v="4975"/>
    <n v="1"/>
    <n v="300"/>
    <n v="4117"/>
    <n v="2024"/>
    <x v="6"/>
    <s v="直通车"/>
    <x v="1"/>
    <x v="2"/>
  </r>
  <r>
    <x v="1"/>
    <x v="174"/>
    <x v="0"/>
    <x v="0"/>
    <x v="0"/>
    <n v="5409"/>
    <n v="2719"/>
    <n v="118"/>
    <n v="69"/>
    <n v="90384"/>
    <n v="15"/>
    <n v="75304"/>
    <n v="11"/>
    <n v="184"/>
    <n v="5404"/>
    <n v="2024"/>
    <x v="6"/>
    <s v="万相台"/>
    <x v="1"/>
    <x v="2"/>
  </r>
  <r>
    <x v="1"/>
    <x v="174"/>
    <x v="0"/>
    <x v="0"/>
    <x v="1"/>
    <n v="7756"/>
    <n v="3860"/>
    <n v="182"/>
    <n v="100"/>
    <n v="100837"/>
    <n v="15"/>
    <n v="57407"/>
    <n v="11"/>
    <n v="655"/>
    <n v="7752"/>
    <n v="2024"/>
    <x v="6"/>
    <s v="引力魔方"/>
    <x v="1"/>
    <x v="2"/>
  </r>
  <r>
    <x v="1"/>
    <x v="174"/>
    <x v="0"/>
    <x v="7"/>
    <x v="23"/>
    <n v="3"/>
    <n v="1"/>
    <n v="0"/>
    <n v="0"/>
    <n v="0"/>
    <n v="0"/>
    <n v="0"/>
    <n v="0"/>
    <n v="1"/>
    <n v="3"/>
    <n v="2024"/>
    <x v="6"/>
    <s v="流量宝"/>
    <x v="1"/>
    <x v="2"/>
  </r>
  <r>
    <x v="1"/>
    <x v="174"/>
    <x v="0"/>
    <x v="7"/>
    <x v="24"/>
    <n v="1215"/>
    <n v="275"/>
    <n v="4"/>
    <n v="1"/>
    <n v="0"/>
    <n v="0"/>
    <n v="0"/>
    <n v="0"/>
    <n v="20"/>
    <n v="1205"/>
    <n v="2024"/>
    <x v="6"/>
    <s v="淘宝客"/>
    <x v="1"/>
    <x v="2"/>
  </r>
  <r>
    <x v="1"/>
    <x v="175"/>
    <x v="1"/>
    <x v="8"/>
    <x v="25"/>
    <n v="61"/>
    <n v="44"/>
    <n v="0"/>
    <n v="2"/>
    <n v="0"/>
    <n v="0"/>
    <n v="0"/>
    <n v="0"/>
    <n v="6"/>
    <n v="53"/>
    <n v="2024"/>
    <x v="6"/>
    <s v="主会场"/>
    <x v="1"/>
    <x v="2"/>
  </r>
  <r>
    <x v="1"/>
    <x v="175"/>
    <x v="1"/>
    <x v="2"/>
    <x v="4"/>
    <n v="1"/>
    <n v="0"/>
    <n v="0"/>
    <n v="0"/>
    <n v="0"/>
    <n v="0"/>
    <n v="0"/>
    <n v="0"/>
    <n v="0"/>
    <n v="1"/>
    <n v="2024"/>
    <x v="6"/>
    <s v="手机浏览器访问天猫"/>
    <x v="1"/>
    <x v="2"/>
  </r>
  <r>
    <x v="1"/>
    <x v="175"/>
    <x v="1"/>
    <x v="2"/>
    <x v="5"/>
    <n v="33"/>
    <n v="19"/>
    <n v="0"/>
    <n v="0"/>
    <n v="0"/>
    <n v="0"/>
    <n v="0"/>
    <n v="0"/>
    <n v="14"/>
    <n v="25"/>
    <n v="2024"/>
    <x v="6"/>
    <s v="手猫免费其他"/>
    <x v="1"/>
    <x v="2"/>
  </r>
  <r>
    <x v="1"/>
    <x v="175"/>
    <x v="1"/>
    <x v="2"/>
    <x v="6"/>
    <n v="30"/>
    <n v="15"/>
    <n v="5"/>
    <n v="0"/>
    <n v="15060"/>
    <n v="3"/>
    <n v="15060"/>
    <n v="3"/>
    <n v="0"/>
    <n v="30"/>
    <n v="2024"/>
    <x v="6"/>
    <s v="手猫其他店铺"/>
    <x v="1"/>
    <x v="2"/>
  </r>
  <r>
    <x v="1"/>
    <x v="175"/>
    <x v="1"/>
    <x v="2"/>
    <x v="7"/>
    <n v="30"/>
    <n v="14"/>
    <n v="0"/>
    <n v="0"/>
    <n v="3690"/>
    <n v="2"/>
    <n v="3690"/>
    <n v="2"/>
    <n v="8"/>
    <n v="29"/>
    <n v="2024"/>
    <x v="6"/>
    <s v="手猫商品详情"/>
    <x v="1"/>
    <x v="2"/>
  </r>
  <r>
    <x v="1"/>
    <x v="175"/>
    <x v="1"/>
    <x v="2"/>
    <x v="8"/>
    <n v="47"/>
    <n v="26"/>
    <n v="2"/>
    <n v="0"/>
    <n v="5700"/>
    <n v="1"/>
    <n v="5700"/>
    <n v="1"/>
    <n v="20"/>
    <n v="36"/>
    <n v="2024"/>
    <x v="6"/>
    <s v="手猫搜索"/>
    <x v="1"/>
    <x v="2"/>
  </r>
  <r>
    <x v="1"/>
    <x v="175"/>
    <x v="1"/>
    <x v="2"/>
    <x v="9"/>
    <n v="2"/>
    <n v="0"/>
    <n v="0"/>
    <n v="0"/>
    <n v="0"/>
    <n v="0"/>
    <n v="0"/>
    <n v="0"/>
    <n v="1"/>
    <n v="2"/>
    <n v="2024"/>
    <x v="6"/>
    <s v="手猫旺信聊天"/>
    <x v="1"/>
    <x v="2"/>
  </r>
  <r>
    <x v="1"/>
    <x v="175"/>
    <x v="1"/>
    <x v="2"/>
    <x v="29"/>
    <n v="1"/>
    <n v="1"/>
    <n v="0"/>
    <n v="0"/>
    <n v="0"/>
    <n v="0"/>
    <n v="0"/>
    <n v="0"/>
    <n v="0"/>
    <n v="1"/>
    <n v="2024"/>
    <x v="6"/>
    <s v="手猫消息中心"/>
    <x v="1"/>
    <x v="2"/>
  </r>
  <r>
    <x v="1"/>
    <x v="175"/>
    <x v="1"/>
    <x v="2"/>
    <x v="10"/>
    <n v="201"/>
    <n v="112"/>
    <n v="4"/>
    <n v="0"/>
    <n v="3400"/>
    <n v="1"/>
    <n v="3400"/>
    <n v="1"/>
    <n v="18"/>
    <n v="201"/>
    <n v="2024"/>
    <x v="6"/>
    <s v="手猫首页"/>
    <x v="1"/>
    <x v="2"/>
  </r>
  <r>
    <x v="1"/>
    <x v="175"/>
    <x v="1"/>
    <x v="3"/>
    <x v="11"/>
    <n v="294"/>
    <n v="127"/>
    <n v="18"/>
    <n v="7"/>
    <n v="4800"/>
    <n v="2"/>
    <n v="4800"/>
    <n v="2"/>
    <n v="46"/>
    <n v="284"/>
    <n v="2024"/>
    <x v="6"/>
    <s v="商品详情页头图推荐"/>
    <x v="1"/>
    <x v="2"/>
  </r>
  <r>
    <x v="1"/>
    <x v="175"/>
    <x v="1"/>
    <x v="3"/>
    <x v="12"/>
    <n v="82"/>
    <n v="41"/>
    <n v="6"/>
    <n v="0"/>
    <n v="19375"/>
    <n v="2"/>
    <n v="19375"/>
    <n v="2"/>
    <n v="78"/>
    <n v="32"/>
    <n v="2024"/>
    <x v="6"/>
    <s v="店铺超链"/>
    <x v="1"/>
    <x v="2"/>
  </r>
  <r>
    <x v="1"/>
    <x v="175"/>
    <x v="1"/>
    <x v="4"/>
    <x v="13"/>
    <n v="199"/>
    <n v="103"/>
    <n v="5"/>
    <n v="2"/>
    <n v="8815"/>
    <n v="1"/>
    <n v="8815"/>
    <n v="1"/>
    <n v="98"/>
    <n v="108"/>
    <n v="2024"/>
    <x v="6"/>
    <s v="其他猜你喜欢"/>
    <x v="1"/>
    <x v="2"/>
  </r>
  <r>
    <x v="1"/>
    <x v="175"/>
    <x v="1"/>
    <x v="4"/>
    <x v="15"/>
    <n v="6"/>
    <n v="4"/>
    <n v="0"/>
    <n v="0"/>
    <n v="0"/>
    <n v="0"/>
    <n v="0"/>
    <n v="0"/>
    <n v="1"/>
    <n v="4"/>
    <n v="2024"/>
    <x v="6"/>
    <s v="购中推荐"/>
    <x v="1"/>
    <x v="2"/>
  </r>
  <r>
    <x v="1"/>
    <x v="175"/>
    <x v="1"/>
    <x v="4"/>
    <x v="16"/>
    <n v="17"/>
    <n v="8"/>
    <n v="1"/>
    <n v="0"/>
    <n v="0"/>
    <n v="0"/>
    <n v="0"/>
    <n v="0"/>
    <n v="1"/>
    <n v="12"/>
    <n v="2024"/>
    <x v="6"/>
    <s v="购后推荐"/>
    <x v="1"/>
    <x v="2"/>
  </r>
  <r>
    <x v="1"/>
    <x v="175"/>
    <x v="1"/>
    <x v="4"/>
    <x v="17"/>
    <n v="1055"/>
    <n v="560"/>
    <n v="24"/>
    <n v="10"/>
    <n v="24300"/>
    <n v="3"/>
    <n v="6905"/>
    <n v="1"/>
    <n v="71"/>
    <n v="1055"/>
    <n v="2024"/>
    <x v="6"/>
    <s v="首页推荐-微详情"/>
    <x v="1"/>
    <x v="2"/>
  </r>
  <r>
    <x v="1"/>
    <x v="175"/>
    <x v="1"/>
    <x v="4"/>
    <x v="18"/>
    <n v="158"/>
    <n v="90"/>
    <n v="3"/>
    <n v="0"/>
    <n v="1680"/>
    <n v="1"/>
    <n v="0"/>
    <n v="0"/>
    <n v="5"/>
    <n v="45"/>
    <n v="2024"/>
    <x v="6"/>
    <s v="首页推荐-直播"/>
    <x v="1"/>
    <x v="2"/>
  </r>
  <r>
    <x v="1"/>
    <x v="175"/>
    <x v="1"/>
    <x v="4"/>
    <x v="19"/>
    <n v="167"/>
    <n v="83"/>
    <n v="1"/>
    <n v="1"/>
    <n v="0"/>
    <n v="0"/>
    <n v="0"/>
    <n v="0"/>
    <n v="7"/>
    <n v="37"/>
    <n v="2024"/>
    <x v="6"/>
    <s v="首页推荐-短视频"/>
    <x v="1"/>
    <x v="2"/>
  </r>
  <r>
    <x v="1"/>
    <x v="175"/>
    <x v="1"/>
    <x v="12"/>
    <x v="42"/>
    <n v="657"/>
    <n v="497"/>
    <n v="26"/>
    <n v="15"/>
    <n v="12025"/>
    <n v="5"/>
    <n v="5050"/>
    <n v="3"/>
    <n v="240"/>
    <n v="545"/>
    <n v="2024"/>
    <x v="6"/>
    <s v="手淘搜索-商品及其他"/>
    <x v="1"/>
    <x v="2"/>
  </r>
  <r>
    <x v="1"/>
    <x v="175"/>
    <x v="1"/>
    <x v="12"/>
    <x v="43"/>
    <n v="4"/>
    <n v="2"/>
    <n v="0"/>
    <n v="0"/>
    <n v="0"/>
    <n v="0"/>
    <n v="0"/>
    <n v="0"/>
    <n v="0"/>
    <n v="4"/>
    <n v="2024"/>
    <x v="6"/>
    <s v="手淘搜索-直播"/>
    <x v="1"/>
    <x v="2"/>
  </r>
  <r>
    <x v="1"/>
    <x v="175"/>
    <x v="1"/>
    <x v="12"/>
    <x v="44"/>
    <n v="6"/>
    <n v="5"/>
    <n v="0"/>
    <n v="0"/>
    <n v="0"/>
    <n v="0"/>
    <n v="0"/>
    <n v="0"/>
    <n v="0"/>
    <n v="6"/>
    <n v="2024"/>
    <x v="6"/>
    <s v="手淘搜索-短视频"/>
    <x v="1"/>
    <x v="2"/>
  </r>
  <r>
    <x v="1"/>
    <x v="175"/>
    <x v="1"/>
    <x v="11"/>
    <x v="37"/>
    <n v="23"/>
    <n v="21"/>
    <n v="0"/>
    <n v="0"/>
    <n v="0"/>
    <n v="0"/>
    <n v="0"/>
    <n v="0"/>
    <n v="0"/>
    <n v="23"/>
    <n v="2024"/>
    <x v="6"/>
    <s v="淘特其他渠道"/>
    <x v="1"/>
    <x v="2"/>
  </r>
  <r>
    <x v="1"/>
    <x v="175"/>
    <x v="0"/>
    <x v="5"/>
    <x v="41"/>
    <n v="1300"/>
    <n v="1117"/>
    <n v="3"/>
    <n v="2"/>
    <n v="0"/>
    <n v="0"/>
    <n v="0"/>
    <n v="0"/>
    <n v="19"/>
    <n v="310"/>
    <n v="2024"/>
    <x v="6"/>
    <s v="超级直播"/>
    <x v="1"/>
    <x v="2"/>
  </r>
  <r>
    <x v="1"/>
    <x v="175"/>
    <x v="0"/>
    <x v="5"/>
    <x v="20"/>
    <n v="388"/>
    <n v="312"/>
    <n v="3"/>
    <n v="8"/>
    <n v="0"/>
    <n v="0"/>
    <n v="0"/>
    <n v="0"/>
    <n v="0"/>
    <n v="201"/>
    <n v="2024"/>
    <x v="6"/>
    <s v="超级短视频"/>
    <x v="1"/>
    <x v="2"/>
  </r>
  <r>
    <x v="1"/>
    <x v="175"/>
    <x v="0"/>
    <x v="6"/>
    <x v="48"/>
    <n v="776"/>
    <n v="651"/>
    <n v="0"/>
    <n v="0"/>
    <n v="0"/>
    <n v="0"/>
    <n v="0"/>
    <n v="0"/>
    <n v="776"/>
    <n v="148"/>
    <n v="2024"/>
    <x v="6"/>
    <s v="Showmax"/>
    <x v="1"/>
    <x v="2"/>
  </r>
  <r>
    <x v="1"/>
    <x v="175"/>
    <x v="0"/>
    <x v="6"/>
    <x v="45"/>
    <n v="1"/>
    <n v="1"/>
    <n v="0"/>
    <n v="0"/>
    <n v="0"/>
    <n v="0"/>
    <n v="0"/>
    <n v="0"/>
    <n v="0"/>
    <n v="0"/>
    <n v="2024"/>
    <x v="6"/>
    <s v="品牌定制"/>
    <x v="1"/>
    <x v="2"/>
  </r>
  <r>
    <x v="1"/>
    <x v="175"/>
    <x v="0"/>
    <x v="6"/>
    <x v="30"/>
    <n v="1103"/>
    <n v="941"/>
    <n v="0"/>
    <n v="0"/>
    <n v="0"/>
    <n v="0"/>
    <n v="0"/>
    <n v="0"/>
    <n v="1103"/>
    <n v="274"/>
    <n v="2024"/>
    <x v="6"/>
    <s v="品牌特秀"/>
    <x v="1"/>
    <x v="2"/>
  </r>
  <r>
    <x v="1"/>
    <x v="175"/>
    <x v="0"/>
    <x v="6"/>
    <x v="21"/>
    <n v="690"/>
    <n v="539"/>
    <n v="26"/>
    <n v="8"/>
    <n v="42300"/>
    <n v="7"/>
    <n v="42300"/>
    <n v="7"/>
    <n v="690"/>
    <n v="388"/>
    <n v="2024"/>
    <x v="6"/>
    <s v="品销宝-品牌专区"/>
    <x v="1"/>
    <x v="2"/>
  </r>
  <r>
    <x v="1"/>
    <x v="175"/>
    <x v="0"/>
    <x v="6"/>
    <x v="49"/>
    <n v="1"/>
    <n v="1"/>
    <n v="0"/>
    <n v="0"/>
    <n v="0"/>
    <n v="0"/>
    <n v="0"/>
    <n v="0"/>
    <n v="0"/>
    <n v="1"/>
    <n v="2024"/>
    <x v="6"/>
    <s v="超级全域通"/>
    <x v="1"/>
    <x v="2"/>
  </r>
  <r>
    <x v="1"/>
    <x v="175"/>
    <x v="0"/>
    <x v="0"/>
    <x v="2"/>
    <n v="3990"/>
    <n v="3511"/>
    <n v="42"/>
    <n v="26"/>
    <n v="31795"/>
    <n v="6"/>
    <n v="29350"/>
    <n v="5"/>
    <n v="265"/>
    <n v="3970"/>
    <n v="2024"/>
    <x v="6"/>
    <s v="直通车"/>
    <x v="1"/>
    <x v="2"/>
  </r>
  <r>
    <x v="1"/>
    <x v="175"/>
    <x v="0"/>
    <x v="0"/>
    <x v="0"/>
    <n v="4471"/>
    <n v="2248"/>
    <n v="106"/>
    <n v="71"/>
    <n v="91830"/>
    <n v="14"/>
    <n v="72312"/>
    <n v="11"/>
    <n v="179"/>
    <n v="4466"/>
    <n v="2024"/>
    <x v="6"/>
    <s v="万相台"/>
    <x v="1"/>
    <x v="2"/>
  </r>
  <r>
    <x v="1"/>
    <x v="175"/>
    <x v="0"/>
    <x v="0"/>
    <x v="1"/>
    <n v="6022"/>
    <n v="2664"/>
    <n v="181"/>
    <n v="75"/>
    <n v="51209"/>
    <n v="15"/>
    <n v="28382"/>
    <n v="10"/>
    <n v="562"/>
    <n v="6019"/>
    <n v="2024"/>
    <x v="6"/>
    <s v="引力魔方"/>
    <x v="1"/>
    <x v="2"/>
  </r>
  <r>
    <x v="1"/>
    <x v="175"/>
    <x v="0"/>
    <x v="7"/>
    <x v="23"/>
    <n v="7"/>
    <n v="4"/>
    <n v="0"/>
    <n v="0"/>
    <n v="0"/>
    <n v="0"/>
    <n v="0"/>
    <n v="0"/>
    <n v="1"/>
    <n v="6"/>
    <n v="2024"/>
    <x v="6"/>
    <s v="流量宝"/>
    <x v="1"/>
    <x v="2"/>
  </r>
  <r>
    <x v="1"/>
    <x v="175"/>
    <x v="0"/>
    <x v="7"/>
    <x v="24"/>
    <n v="1454"/>
    <n v="589"/>
    <n v="42"/>
    <n v="1"/>
    <n v="5951.83"/>
    <n v="2"/>
    <n v="5951.83"/>
    <n v="2"/>
    <n v="14"/>
    <n v="1445"/>
    <n v="2024"/>
    <x v="6"/>
    <s v="淘宝客"/>
    <x v="1"/>
    <x v="2"/>
  </r>
  <r>
    <x v="1"/>
    <x v="176"/>
    <x v="1"/>
    <x v="8"/>
    <x v="25"/>
    <n v="7"/>
    <n v="3"/>
    <n v="0"/>
    <n v="0"/>
    <n v="0"/>
    <n v="0"/>
    <n v="0"/>
    <n v="0"/>
    <n v="2"/>
    <n v="3"/>
    <n v="2024"/>
    <x v="6"/>
    <s v="主会场"/>
    <x v="1"/>
    <x v="2"/>
  </r>
  <r>
    <x v="1"/>
    <x v="176"/>
    <x v="1"/>
    <x v="2"/>
    <x v="5"/>
    <n v="33"/>
    <n v="19"/>
    <n v="0"/>
    <n v="0"/>
    <n v="0"/>
    <n v="0"/>
    <n v="0"/>
    <n v="0"/>
    <n v="17"/>
    <n v="27"/>
    <n v="2024"/>
    <x v="6"/>
    <s v="手猫免费其他"/>
    <x v="1"/>
    <x v="2"/>
  </r>
  <r>
    <x v="1"/>
    <x v="176"/>
    <x v="1"/>
    <x v="2"/>
    <x v="6"/>
    <n v="31"/>
    <n v="15"/>
    <n v="8"/>
    <n v="0"/>
    <n v="30899.62"/>
    <n v="3"/>
    <n v="30899.62"/>
    <n v="3"/>
    <n v="0"/>
    <n v="31"/>
    <n v="2024"/>
    <x v="6"/>
    <s v="手猫其他店铺"/>
    <x v="1"/>
    <x v="2"/>
  </r>
  <r>
    <x v="1"/>
    <x v="176"/>
    <x v="1"/>
    <x v="2"/>
    <x v="7"/>
    <n v="32"/>
    <n v="8"/>
    <n v="4"/>
    <n v="0"/>
    <n v="0"/>
    <n v="0"/>
    <n v="0"/>
    <n v="0"/>
    <n v="2"/>
    <n v="31"/>
    <n v="2024"/>
    <x v="6"/>
    <s v="手猫商品详情"/>
    <x v="1"/>
    <x v="2"/>
  </r>
  <r>
    <x v="1"/>
    <x v="176"/>
    <x v="1"/>
    <x v="2"/>
    <x v="8"/>
    <n v="47"/>
    <n v="36"/>
    <n v="0"/>
    <n v="0"/>
    <n v="0"/>
    <n v="0"/>
    <n v="0"/>
    <n v="0"/>
    <n v="27"/>
    <n v="37"/>
    <n v="2024"/>
    <x v="6"/>
    <s v="手猫搜索"/>
    <x v="1"/>
    <x v="2"/>
  </r>
  <r>
    <x v="1"/>
    <x v="176"/>
    <x v="1"/>
    <x v="2"/>
    <x v="9"/>
    <n v="1"/>
    <n v="0"/>
    <n v="0"/>
    <n v="0"/>
    <n v="0"/>
    <n v="0"/>
    <n v="0"/>
    <n v="0"/>
    <n v="1"/>
    <n v="0"/>
    <n v="2024"/>
    <x v="6"/>
    <s v="手猫旺信聊天"/>
    <x v="1"/>
    <x v="2"/>
  </r>
  <r>
    <x v="1"/>
    <x v="176"/>
    <x v="1"/>
    <x v="2"/>
    <x v="29"/>
    <n v="1"/>
    <n v="0"/>
    <n v="0"/>
    <n v="0"/>
    <n v="0"/>
    <n v="0"/>
    <n v="0"/>
    <n v="0"/>
    <n v="1"/>
    <n v="1"/>
    <n v="2024"/>
    <x v="6"/>
    <s v="手猫消息中心"/>
    <x v="1"/>
    <x v="2"/>
  </r>
  <r>
    <x v="1"/>
    <x v="176"/>
    <x v="1"/>
    <x v="2"/>
    <x v="10"/>
    <n v="218"/>
    <n v="114"/>
    <n v="5"/>
    <n v="0"/>
    <n v="3450"/>
    <n v="1"/>
    <n v="3450"/>
    <n v="1"/>
    <n v="23"/>
    <n v="218"/>
    <n v="2024"/>
    <x v="6"/>
    <s v="手猫首页"/>
    <x v="1"/>
    <x v="2"/>
  </r>
  <r>
    <x v="1"/>
    <x v="176"/>
    <x v="1"/>
    <x v="3"/>
    <x v="11"/>
    <n v="282"/>
    <n v="116"/>
    <n v="21"/>
    <n v="5"/>
    <n v="9455"/>
    <n v="3"/>
    <n v="9455"/>
    <n v="3"/>
    <n v="34"/>
    <n v="276"/>
    <n v="2024"/>
    <x v="6"/>
    <s v="商品详情页头图推荐"/>
    <x v="1"/>
    <x v="2"/>
  </r>
  <r>
    <x v="1"/>
    <x v="176"/>
    <x v="1"/>
    <x v="3"/>
    <x v="12"/>
    <n v="57"/>
    <n v="27"/>
    <n v="4"/>
    <n v="2"/>
    <n v="11900"/>
    <n v="3"/>
    <n v="9350"/>
    <n v="3"/>
    <n v="52"/>
    <n v="24"/>
    <n v="2024"/>
    <x v="6"/>
    <s v="店铺超链"/>
    <x v="1"/>
    <x v="2"/>
  </r>
  <r>
    <x v="1"/>
    <x v="176"/>
    <x v="1"/>
    <x v="4"/>
    <x v="13"/>
    <n v="206"/>
    <n v="121"/>
    <n v="3"/>
    <n v="1"/>
    <n v="5000"/>
    <n v="2"/>
    <n v="5000"/>
    <n v="2"/>
    <n v="111"/>
    <n v="113"/>
    <n v="2024"/>
    <x v="6"/>
    <s v="其他猜你喜欢"/>
    <x v="1"/>
    <x v="2"/>
  </r>
  <r>
    <x v="1"/>
    <x v="176"/>
    <x v="1"/>
    <x v="4"/>
    <x v="15"/>
    <n v="7"/>
    <n v="2"/>
    <n v="0"/>
    <n v="0"/>
    <n v="0"/>
    <n v="0"/>
    <n v="0"/>
    <n v="0"/>
    <n v="2"/>
    <n v="6"/>
    <n v="2024"/>
    <x v="6"/>
    <s v="购中推荐"/>
    <x v="1"/>
    <x v="2"/>
  </r>
  <r>
    <x v="1"/>
    <x v="176"/>
    <x v="1"/>
    <x v="4"/>
    <x v="16"/>
    <n v="12"/>
    <n v="5"/>
    <n v="0"/>
    <n v="0"/>
    <n v="0"/>
    <n v="0"/>
    <n v="0"/>
    <n v="0"/>
    <n v="1"/>
    <n v="9"/>
    <n v="2024"/>
    <x v="6"/>
    <s v="购后推荐"/>
    <x v="1"/>
    <x v="2"/>
  </r>
  <r>
    <x v="1"/>
    <x v="176"/>
    <x v="1"/>
    <x v="4"/>
    <x v="17"/>
    <n v="1097"/>
    <n v="664"/>
    <n v="19"/>
    <n v="10"/>
    <n v="26288"/>
    <n v="3"/>
    <n v="1700"/>
    <n v="1"/>
    <n v="59"/>
    <n v="1097"/>
    <n v="2024"/>
    <x v="6"/>
    <s v="首页推荐-微详情"/>
    <x v="1"/>
    <x v="2"/>
  </r>
  <r>
    <x v="1"/>
    <x v="176"/>
    <x v="1"/>
    <x v="4"/>
    <x v="18"/>
    <n v="5"/>
    <n v="2"/>
    <n v="0"/>
    <n v="0"/>
    <n v="0"/>
    <n v="0"/>
    <n v="0"/>
    <n v="0"/>
    <n v="0"/>
    <n v="0"/>
    <n v="2024"/>
    <x v="6"/>
    <s v="首页推荐-直播"/>
    <x v="1"/>
    <x v="2"/>
  </r>
  <r>
    <x v="1"/>
    <x v="176"/>
    <x v="1"/>
    <x v="4"/>
    <x v="19"/>
    <n v="221"/>
    <n v="121"/>
    <n v="1"/>
    <n v="0"/>
    <n v="0"/>
    <n v="0"/>
    <n v="0"/>
    <n v="0"/>
    <n v="7"/>
    <n v="23"/>
    <n v="2024"/>
    <x v="6"/>
    <s v="首页推荐-短视频"/>
    <x v="1"/>
    <x v="2"/>
  </r>
  <r>
    <x v="1"/>
    <x v="176"/>
    <x v="1"/>
    <x v="12"/>
    <x v="42"/>
    <n v="546"/>
    <n v="436"/>
    <n v="13"/>
    <n v="8"/>
    <n v="36128"/>
    <n v="5"/>
    <n v="33680"/>
    <n v="4"/>
    <n v="210"/>
    <n v="431"/>
    <n v="2024"/>
    <x v="6"/>
    <s v="手淘搜索-商品及其他"/>
    <x v="1"/>
    <x v="2"/>
  </r>
  <r>
    <x v="1"/>
    <x v="176"/>
    <x v="1"/>
    <x v="12"/>
    <x v="44"/>
    <n v="16"/>
    <n v="11"/>
    <n v="0"/>
    <n v="0"/>
    <n v="0"/>
    <n v="0"/>
    <n v="0"/>
    <n v="0"/>
    <n v="0"/>
    <n v="15"/>
    <n v="2024"/>
    <x v="6"/>
    <s v="手淘搜索-短视频"/>
    <x v="1"/>
    <x v="2"/>
  </r>
  <r>
    <x v="1"/>
    <x v="176"/>
    <x v="1"/>
    <x v="11"/>
    <x v="37"/>
    <n v="22"/>
    <n v="21"/>
    <n v="0"/>
    <n v="0"/>
    <n v="0"/>
    <n v="0"/>
    <n v="0"/>
    <n v="0"/>
    <n v="0"/>
    <n v="22"/>
    <n v="2024"/>
    <x v="6"/>
    <s v="淘特其他渠道"/>
    <x v="1"/>
    <x v="2"/>
  </r>
  <r>
    <x v="1"/>
    <x v="176"/>
    <x v="0"/>
    <x v="5"/>
    <x v="41"/>
    <n v="4"/>
    <n v="0"/>
    <n v="0"/>
    <n v="0"/>
    <n v="0"/>
    <n v="0"/>
    <n v="0"/>
    <n v="0"/>
    <n v="0"/>
    <n v="2"/>
    <n v="2024"/>
    <x v="6"/>
    <s v="超级直播"/>
    <x v="1"/>
    <x v="2"/>
  </r>
  <r>
    <x v="1"/>
    <x v="176"/>
    <x v="0"/>
    <x v="5"/>
    <x v="20"/>
    <n v="17"/>
    <n v="14"/>
    <n v="3"/>
    <n v="0"/>
    <n v="0"/>
    <n v="0"/>
    <n v="0"/>
    <n v="0"/>
    <n v="2"/>
    <n v="17"/>
    <n v="2024"/>
    <x v="6"/>
    <s v="超级短视频"/>
    <x v="1"/>
    <x v="2"/>
  </r>
  <r>
    <x v="1"/>
    <x v="176"/>
    <x v="0"/>
    <x v="6"/>
    <x v="48"/>
    <n v="927"/>
    <n v="775"/>
    <n v="0"/>
    <n v="0"/>
    <n v="0"/>
    <n v="0"/>
    <n v="0"/>
    <n v="0"/>
    <n v="927"/>
    <n v="167"/>
    <n v="2024"/>
    <x v="6"/>
    <s v="Showmax"/>
    <x v="1"/>
    <x v="2"/>
  </r>
  <r>
    <x v="1"/>
    <x v="176"/>
    <x v="0"/>
    <x v="6"/>
    <x v="30"/>
    <n v="1227"/>
    <n v="1048"/>
    <n v="0"/>
    <n v="0"/>
    <n v="0"/>
    <n v="0"/>
    <n v="0"/>
    <n v="0"/>
    <n v="1227"/>
    <n v="317"/>
    <n v="2024"/>
    <x v="6"/>
    <s v="品牌特秀"/>
    <x v="1"/>
    <x v="2"/>
  </r>
  <r>
    <x v="1"/>
    <x v="176"/>
    <x v="0"/>
    <x v="6"/>
    <x v="21"/>
    <n v="684"/>
    <n v="581"/>
    <n v="26"/>
    <n v="9"/>
    <n v="52088"/>
    <n v="7"/>
    <n v="34200"/>
    <n v="3"/>
    <n v="684"/>
    <n v="383"/>
    <n v="2024"/>
    <x v="6"/>
    <s v="品销宝-品牌专区"/>
    <x v="1"/>
    <x v="2"/>
  </r>
  <r>
    <x v="1"/>
    <x v="176"/>
    <x v="0"/>
    <x v="0"/>
    <x v="2"/>
    <n v="3993"/>
    <n v="3544"/>
    <n v="59"/>
    <n v="31"/>
    <n v="14357"/>
    <n v="3"/>
    <n v="6057"/>
    <n v="2"/>
    <n v="278"/>
    <n v="3960"/>
    <n v="2024"/>
    <x v="6"/>
    <s v="直通车"/>
    <x v="1"/>
    <x v="2"/>
  </r>
  <r>
    <x v="1"/>
    <x v="176"/>
    <x v="0"/>
    <x v="0"/>
    <x v="0"/>
    <n v="4625"/>
    <n v="2384"/>
    <n v="68"/>
    <n v="35"/>
    <n v="104058"/>
    <n v="22"/>
    <n v="62164"/>
    <n v="17"/>
    <n v="156"/>
    <n v="4622"/>
    <n v="2024"/>
    <x v="6"/>
    <s v="万相台"/>
    <x v="1"/>
    <x v="2"/>
  </r>
  <r>
    <x v="1"/>
    <x v="176"/>
    <x v="0"/>
    <x v="0"/>
    <x v="1"/>
    <n v="5814"/>
    <n v="2759"/>
    <n v="203"/>
    <n v="95"/>
    <n v="98941"/>
    <n v="25"/>
    <n v="65433"/>
    <n v="19"/>
    <n v="532"/>
    <n v="5810"/>
    <n v="2024"/>
    <x v="6"/>
    <s v="引力魔方"/>
    <x v="1"/>
    <x v="2"/>
  </r>
  <r>
    <x v="1"/>
    <x v="176"/>
    <x v="0"/>
    <x v="7"/>
    <x v="22"/>
    <n v="1"/>
    <n v="0"/>
    <n v="0"/>
    <n v="0"/>
    <n v="0"/>
    <n v="0"/>
    <n v="0"/>
    <n v="0"/>
    <n v="1"/>
    <n v="1"/>
    <n v="2024"/>
    <x v="6"/>
    <s v="UD效果投放"/>
    <x v="1"/>
    <x v="2"/>
  </r>
  <r>
    <x v="1"/>
    <x v="176"/>
    <x v="0"/>
    <x v="7"/>
    <x v="23"/>
    <n v="3"/>
    <n v="3"/>
    <n v="0"/>
    <n v="0"/>
    <n v="0"/>
    <n v="0"/>
    <n v="0"/>
    <n v="0"/>
    <n v="2"/>
    <n v="1"/>
    <n v="2024"/>
    <x v="6"/>
    <s v="流量宝"/>
    <x v="1"/>
    <x v="2"/>
  </r>
  <r>
    <x v="1"/>
    <x v="176"/>
    <x v="0"/>
    <x v="7"/>
    <x v="24"/>
    <n v="1212"/>
    <n v="548"/>
    <n v="58"/>
    <n v="3"/>
    <n v="21170"/>
    <n v="4"/>
    <n v="6475"/>
    <n v="2"/>
    <n v="19"/>
    <n v="1202"/>
    <n v="2024"/>
    <x v="6"/>
    <s v="淘宝客"/>
    <x v="1"/>
    <x v="2"/>
  </r>
  <r>
    <x v="1"/>
    <x v="177"/>
    <x v="1"/>
    <x v="8"/>
    <x v="25"/>
    <n v="16"/>
    <n v="12"/>
    <n v="0"/>
    <n v="0"/>
    <n v="0"/>
    <n v="0"/>
    <n v="0"/>
    <n v="0"/>
    <n v="3"/>
    <n v="4"/>
    <n v="2024"/>
    <x v="6"/>
    <s v="主会场"/>
    <x v="1"/>
    <x v="2"/>
  </r>
  <r>
    <x v="1"/>
    <x v="177"/>
    <x v="1"/>
    <x v="2"/>
    <x v="4"/>
    <n v="2"/>
    <n v="2"/>
    <n v="0"/>
    <n v="0"/>
    <n v="0"/>
    <n v="0"/>
    <n v="0"/>
    <n v="0"/>
    <n v="0"/>
    <n v="2"/>
    <n v="2024"/>
    <x v="6"/>
    <s v="手机浏览器访问天猫"/>
    <x v="1"/>
    <x v="2"/>
  </r>
  <r>
    <x v="1"/>
    <x v="177"/>
    <x v="1"/>
    <x v="2"/>
    <x v="5"/>
    <n v="28"/>
    <n v="12"/>
    <n v="1"/>
    <n v="0"/>
    <n v="0"/>
    <n v="0"/>
    <n v="0"/>
    <n v="0"/>
    <n v="14"/>
    <n v="17"/>
    <n v="2024"/>
    <x v="6"/>
    <s v="手猫免费其他"/>
    <x v="1"/>
    <x v="2"/>
  </r>
  <r>
    <x v="1"/>
    <x v="177"/>
    <x v="1"/>
    <x v="2"/>
    <x v="6"/>
    <n v="28"/>
    <n v="11"/>
    <n v="5"/>
    <n v="0"/>
    <n v="1980"/>
    <n v="1"/>
    <n v="1980"/>
    <n v="1"/>
    <n v="1"/>
    <n v="28"/>
    <n v="2024"/>
    <x v="6"/>
    <s v="手猫其他店铺"/>
    <x v="1"/>
    <x v="2"/>
  </r>
  <r>
    <x v="1"/>
    <x v="177"/>
    <x v="1"/>
    <x v="2"/>
    <x v="7"/>
    <n v="21"/>
    <n v="8"/>
    <n v="1"/>
    <n v="0"/>
    <n v="7623"/>
    <n v="1"/>
    <n v="7623"/>
    <n v="1"/>
    <n v="10"/>
    <n v="19"/>
    <n v="2024"/>
    <x v="6"/>
    <s v="手猫商品详情"/>
    <x v="1"/>
    <x v="2"/>
  </r>
  <r>
    <x v="1"/>
    <x v="177"/>
    <x v="1"/>
    <x v="2"/>
    <x v="8"/>
    <n v="45"/>
    <n v="33"/>
    <n v="5"/>
    <n v="0"/>
    <n v="0"/>
    <n v="0"/>
    <n v="0"/>
    <n v="0"/>
    <n v="23"/>
    <n v="38"/>
    <n v="2024"/>
    <x v="6"/>
    <s v="手猫搜索"/>
    <x v="1"/>
    <x v="2"/>
  </r>
  <r>
    <x v="1"/>
    <x v="177"/>
    <x v="1"/>
    <x v="2"/>
    <x v="9"/>
    <n v="5"/>
    <n v="1"/>
    <n v="1"/>
    <n v="0"/>
    <n v="1980"/>
    <n v="1"/>
    <n v="1980"/>
    <n v="1"/>
    <n v="3"/>
    <n v="3"/>
    <n v="2024"/>
    <x v="6"/>
    <s v="手猫旺信聊天"/>
    <x v="1"/>
    <x v="2"/>
  </r>
  <r>
    <x v="1"/>
    <x v="177"/>
    <x v="1"/>
    <x v="2"/>
    <x v="29"/>
    <n v="2"/>
    <n v="1"/>
    <n v="0"/>
    <n v="0"/>
    <n v="0"/>
    <n v="0"/>
    <n v="0"/>
    <n v="0"/>
    <n v="0"/>
    <n v="2"/>
    <n v="2024"/>
    <x v="6"/>
    <s v="手猫消息中心"/>
    <x v="1"/>
    <x v="2"/>
  </r>
  <r>
    <x v="1"/>
    <x v="177"/>
    <x v="1"/>
    <x v="2"/>
    <x v="10"/>
    <n v="204"/>
    <n v="125"/>
    <n v="6"/>
    <n v="0"/>
    <n v="0"/>
    <n v="0"/>
    <n v="0"/>
    <n v="0"/>
    <n v="15"/>
    <n v="204"/>
    <n v="2024"/>
    <x v="6"/>
    <s v="手猫首页"/>
    <x v="1"/>
    <x v="2"/>
  </r>
  <r>
    <x v="1"/>
    <x v="177"/>
    <x v="1"/>
    <x v="3"/>
    <x v="11"/>
    <n v="239"/>
    <n v="104"/>
    <n v="17"/>
    <n v="11"/>
    <n v="10140"/>
    <n v="2"/>
    <n v="1980"/>
    <n v="1"/>
    <n v="46"/>
    <n v="232"/>
    <n v="2024"/>
    <x v="6"/>
    <s v="商品详情页头图推荐"/>
    <x v="1"/>
    <x v="2"/>
  </r>
  <r>
    <x v="1"/>
    <x v="177"/>
    <x v="1"/>
    <x v="3"/>
    <x v="12"/>
    <n v="84"/>
    <n v="39"/>
    <n v="4"/>
    <n v="0"/>
    <n v="8200"/>
    <n v="1"/>
    <n v="8200"/>
    <n v="1"/>
    <n v="80"/>
    <n v="28"/>
    <n v="2024"/>
    <x v="6"/>
    <s v="店铺超链"/>
    <x v="1"/>
    <x v="2"/>
  </r>
  <r>
    <x v="1"/>
    <x v="177"/>
    <x v="1"/>
    <x v="4"/>
    <x v="13"/>
    <n v="222"/>
    <n v="147"/>
    <n v="10"/>
    <n v="1"/>
    <n v="3960"/>
    <n v="1"/>
    <n v="0"/>
    <n v="0"/>
    <n v="142"/>
    <n v="98"/>
    <n v="2024"/>
    <x v="6"/>
    <s v="其他猜你喜欢"/>
    <x v="1"/>
    <x v="2"/>
  </r>
  <r>
    <x v="1"/>
    <x v="177"/>
    <x v="1"/>
    <x v="4"/>
    <x v="15"/>
    <n v="4"/>
    <n v="1"/>
    <n v="1"/>
    <n v="0"/>
    <n v="0"/>
    <n v="0"/>
    <n v="0"/>
    <n v="0"/>
    <n v="0"/>
    <n v="3"/>
    <n v="2024"/>
    <x v="6"/>
    <s v="购中推荐"/>
    <x v="1"/>
    <x v="2"/>
  </r>
  <r>
    <x v="1"/>
    <x v="177"/>
    <x v="1"/>
    <x v="4"/>
    <x v="16"/>
    <n v="10"/>
    <n v="8"/>
    <n v="0"/>
    <n v="0"/>
    <n v="0"/>
    <n v="0"/>
    <n v="0"/>
    <n v="0"/>
    <n v="0"/>
    <n v="10"/>
    <n v="2024"/>
    <x v="6"/>
    <s v="购后推荐"/>
    <x v="1"/>
    <x v="2"/>
  </r>
  <r>
    <x v="1"/>
    <x v="177"/>
    <x v="1"/>
    <x v="4"/>
    <x v="17"/>
    <n v="866"/>
    <n v="595"/>
    <n v="13"/>
    <n v="5"/>
    <n v="25845"/>
    <n v="5"/>
    <n v="23855"/>
    <n v="5"/>
    <n v="53"/>
    <n v="866"/>
    <n v="2024"/>
    <x v="6"/>
    <s v="首页推荐-微详情"/>
    <x v="1"/>
    <x v="2"/>
  </r>
  <r>
    <x v="1"/>
    <x v="177"/>
    <x v="1"/>
    <x v="4"/>
    <x v="18"/>
    <n v="105"/>
    <n v="65"/>
    <n v="0"/>
    <n v="0"/>
    <n v="0"/>
    <n v="0"/>
    <n v="0"/>
    <n v="0"/>
    <n v="2"/>
    <n v="7"/>
    <n v="2024"/>
    <x v="6"/>
    <s v="首页推荐-直播"/>
    <x v="1"/>
    <x v="2"/>
  </r>
  <r>
    <x v="1"/>
    <x v="177"/>
    <x v="1"/>
    <x v="4"/>
    <x v="19"/>
    <n v="185"/>
    <n v="116"/>
    <n v="1"/>
    <n v="0"/>
    <n v="0"/>
    <n v="0"/>
    <n v="0"/>
    <n v="0"/>
    <n v="9"/>
    <n v="29"/>
    <n v="2024"/>
    <x v="6"/>
    <s v="首页推荐-短视频"/>
    <x v="1"/>
    <x v="2"/>
  </r>
  <r>
    <x v="1"/>
    <x v="177"/>
    <x v="1"/>
    <x v="12"/>
    <x v="42"/>
    <n v="532"/>
    <n v="404"/>
    <n v="15"/>
    <n v="2"/>
    <n v="12005"/>
    <n v="3"/>
    <n v="12005"/>
    <n v="3"/>
    <n v="203"/>
    <n v="426"/>
    <n v="2024"/>
    <x v="6"/>
    <s v="手淘搜索-商品及其他"/>
    <x v="1"/>
    <x v="2"/>
  </r>
  <r>
    <x v="1"/>
    <x v="177"/>
    <x v="1"/>
    <x v="12"/>
    <x v="43"/>
    <n v="3"/>
    <n v="3"/>
    <n v="1"/>
    <n v="0"/>
    <n v="0"/>
    <n v="0"/>
    <n v="0"/>
    <n v="0"/>
    <n v="0"/>
    <n v="3"/>
    <n v="2024"/>
    <x v="6"/>
    <s v="手淘搜索-直播"/>
    <x v="1"/>
    <x v="2"/>
  </r>
  <r>
    <x v="1"/>
    <x v="177"/>
    <x v="1"/>
    <x v="12"/>
    <x v="44"/>
    <n v="44"/>
    <n v="38"/>
    <n v="0"/>
    <n v="0"/>
    <n v="4945"/>
    <n v="1"/>
    <n v="4945"/>
    <n v="1"/>
    <n v="0"/>
    <n v="43"/>
    <n v="2024"/>
    <x v="6"/>
    <s v="手淘搜索-短视频"/>
    <x v="1"/>
    <x v="2"/>
  </r>
  <r>
    <x v="1"/>
    <x v="177"/>
    <x v="1"/>
    <x v="11"/>
    <x v="37"/>
    <n v="16"/>
    <n v="15"/>
    <n v="0"/>
    <n v="0"/>
    <n v="0"/>
    <n v="0"/>
    <n v="0"/>
    <n v="0"/>
    <n v="0"/>
    <n v="16"/>
    <n v="2024"/>
    <x v="6"/>
    <s v="淘特其他渠道"/>
    <x v="1"/>
    <x v="2"/>
  </r>
  <r>
    <x v="1"/>
    <x v="177"/>
    <x v="1"/>
    <x v="11"/>
    <x v="39"/>
    <n v="1"/>
    <n v="1"/>
    <n v="0"/>
    <n v="0"/>
    <n v="0"/>
    <n v="0"/>
    <n v="0"/>
    <n v="0"/>
    <n v="0"/>
    <n v="1"/>
    <n v="2024"/>
    <x v="6"/>
    <s v="淘特搜索"/>
    <x v="1"/>
    <x v="2"/>
  </r>
  <r>
    <x v="1"/>
    <x v="177"/>
    <x v="0"/>
    <x v="5"/>
    <x v="41"/>
    <n v="972"/>
    <n v="896"/>
    <n v="2"/>
    <n v="1"/>
    <n v="0"/>
    <n v="0"/>
    <n v="0"/>
    <n v="0"/>
    <n v="27"/>
    <n v="367"/>
    <n v="2024"/>
    <x v="6"/>
    <s v="超级直播"/>
    <x v="1"/>
    <x v="2"/>
  </r>
  <r>
    <x v="1"/>
    <x v="177"/>
    <x v="0"/>
    <x v="5"/>
    <x v="20"/>
    <n v="18"/>
    <n v="13"/>
    <n v="3"/>
    <n v="2"/>
    <n v="0"/>
    <n v="0"/>
    <n v="0"/>
    <n v="0"/>
    <n v="1"/>
    <n v="16"/>
    <n v="2024"/>
    <x v="6"/>
    <s v="超级短视频"/>
    <x v="1"/>
    <x v="2"/>
  </r>
  <r>
    <x v="1"/>
    <x v="177"/>
    <x v="0"/>
    <x v="6"/>
    <x v="48"/>
    <n v="888"/>
    <n v="764"/>
    <n v="0"/>
    <n v="0"/>
    <n v="0"/>
    <n v="0"/>
    <n v="0"/>
    <n v="0"/>
    <n v="888"/>
    <n v="134"/>
    <n v="2024"/>
    <x v="6"/>
    <s v="Showmax"/>
    <x v="1"/>
    <x v="2"/>
  </r>
  <r>
    <x v="1"/>
    <x v="177"/>
    <x v="0"/>
    <x v="6"/>
    <x v="30"/>
    <n v="1300"/>
    <n v="1135"/>
    <n v="0"/>
    <n v="0"/>
    <n v="0"/>
    <n v="0"/>
    <n v="0"/>
    <n v="0"/>
    <n v="1300"/>
    <n v="324"/>
    <n v="2024"/>
    <x v="6"/>
    <s v="品牌特秀"/>
    <x v="1"/>
    <x v="2"/>
  </r>
  <r>
    <x v="1"/>
    <x v="177"/>
    <x v="0"/>
    <x v="6"/>
    <x v="21"/>
    <n v="641"/>
    <n v="529"/>
    <n v="18"/>
    <n v="4"/>
    <n v="11175"/>
    <n v="3"/>
    <n v="11175"/>
    <n v="3"/>
    <n v="641"/>
    <n v="359"/>
    <n v="2024"/>
    <x v="6"/>
    <s v="品销宝-品牌专区"/>
    <x v="1"/>
    <x v="2"/>
  </r>
  <r>
    <x v="1"/>
    <x v="177"/>
    <x v="0"/>
    <x v="6"/>
    <x v="49"/>
    <n v="1"/>
    <n v="1"/>
    <n v="0"/>
    <n v="0"/>
    <n v="0"/>
    <n v="0"/>
    <n v="0"/>
    <n v="0"/>
    <n v="1"/>
    <n v="0"/>
    <n v="2024"/>
    <x v="6"/>
    <s v="超级全域通"/>
    <x v="1"/>
    <x v="2"/>
  </r>
  <r>
    <x v="1"/>
    <x v="177"/>
    <x v="0"/>
    <x v="0"/>
    <x v="2"/>
    <n v="4076"/>
    <n v="3616"/>
    <n v="48"/>
    <n v="29"/>
    <n v="54205"/>
    <n v="10"/>
    <n v="46655"/>
    <n v="8"/>
    <n v="301"/>
    <n v="4042"/>
    <n v="2024"/>
    <x v="6"/>
    <s v="直通车"/>
    <x v="1"/>
    <x v="2"/>
  </r>
  <r>
    <x v="1"/>
    <x v="177"/>
    <x v="0"/>
    <x v="0"/>
    <x v="0"/>
    <n v="3553"/>
    <n v="1809"/>
    <n v="58"/>
    <n v="30"/>
    <n v="79523.09"/>
    <n v="14"/>
    <n v="64450.09"/>
    <n v="13"/>
    <n v="119"/>
    <n v="3548"/>
    <n v="2024"/>
    <x v="6"/>
    <s v="万相台"/>
    <x v="1"/>
    <x v="2"/>
  </r>
  <r>
    <x v="1"/>
    <x v="177"/>
    <x v="0"/>
    <x v="0"/>
    <x v="1"/>
    <n v="6207"/>
    <n v="3323"/>
    <n v="183"/>
    <n v="97"/>
    <n v="149323.74"/>
    <n v="22"/>
    <n v="62723.74"/>
    <n v="17"/>
    <n v="558"/>
    <n v="6204"/>
    <n v="2024"/>
    <x v="6"/>
    <s v="引力魔方"/>
    <x v="1"/>
    <x v="2"/>
  </r>
  <r>
    <x v="1"/>
    <x v="177"/>
    <x v="0"/>
    <x v="7"/>
    <x v="23"/>
    <n v="2"/>
    <n v="2"/>
    <n v="0"/>
    <n v="0"/>
    <n v="0"/>
    <n v="0"/>
    <n v="0"/>
    <n v="0"/>
    <n v="0"/>
    <n v="2"/>
    <n v="2024"/>
    <x v="6"/>
    <s v="流量宝"/>
    <x v="1"/>
    <x v="2"/>
  </r>
  <r>
    <x v="1"/>
    <x v="177"/>
    <x v="0"/>
    <x v="7"/>
    <x v="24"/>
    <n v="1121"/>
    <n v="938"/>
    <n v="94"/>
    <n v="1"/>
    <n v="11630"/>
    <n v="2"/>
    <n v="11630"/>
    <n v="2"/>
    <n v="19"/>
    <n v="1109"/>
    <n v="2024"/>
    <x v="6"/>
    <s v="淘宝客"/>
    <x v="1"/>
    <x v="2"/>
  </r>
  <r>
    <x v="1"/>
    <x v="178"/>
    <x v="1"/>
    <x v="8"/>
    <x v="25"/>
    <n v="1"/>
    <n v="0"/>
    <n v="0"/>
    <n v="0"/>
    <n v="0"/>
    <n v="0"/>
    <n v="0"/>
    <n v="0"/>
    <n v="0"/>
    <n v="0"/>
    <n v="2024"/>
    <x v="6"/>
    <s v="主会场"/>
    <x v="1"/>
    <x v="0"/>
  </r>
  <r>
    <x v="1"/>
    <x v="178"/>
    <x v="1"/>
    <x v="2"/>
    <x v="5"/>
    <n v="29"/>
    <n v="15"/>
    <n v="1"/>
    <n v="0"/>
    <n v="0"/>
    <n v="0"/>
    <n v="0"/>
    <n v="0"/>
    <n v="13"/>
    <n v="23"/>
    <n v="2024"/>
    <x v="6"/>
    <s v="手猫免费其他"/>
    <x v="1"/>
    <x v="0"/>
  </r>
  <r>
    <x v="1"/>
    <x v="178"/>
    <x v="1"/>
    <x v="2"/>
    <x v="6"/>
    <n v="19"/>
    <n v="8"/>
    <n v="4"/>
    <n v="0"/>
    <n v="0"/>
    <n v="0"/>
    <n v="0"/>
    <n v="0"/>
    <n v="1"/>
    <n v="19"/>
    <n v="2024"/>
    <x v="6"/>
    <s v="手猫其他店铺"/>
    <x v="1"/>
    <x v="0"/>
  </r>
  <r>
    <x v="1"/>
    <x v="178"/>
    <x v="1"/>
    <x v="2"/>
    <x v="7"/>
    <n v="12"/>
    <n v="6"/>
    <n v="1"/>
    <n v="0"/>
    <n v="0"/>
    <n v="0"/>
    <n v="0"/>
    <n v="0"/>
    <n v="1"/>
    <n v="12"/>
    <n v="2024"/>
    <x v="6"/>
    <s v="手猫商品详情"/>
    <x v="1"/>
    <x v="0"/>
  </r>
  <r>
    <x v="1"/>
    <x v="178"/>
    <x v="1"/>
    <x v="2"/>
    <x v="8"/>
    <n v="42"/>
    <n v="30"/>
    <n v="0"/>
    <n v="0"/>
    <n v="7750"/>
    <n v="1"/>
    <n v="0"/>
    <n v="0"/>
    <n v="24"/>
    <n v="30"/>
    <n v="2024"/>
    <x v="6"/>
    <s v="手猫搜索"/>
    <x v="1"/>
    <x v="0"/>
  </r>
  <r>
    <x v="1"/>
    <x v="178"/>
    <x v="1"/>
    <x v="2"/>
    <x v="9"/>
    <n v="1"/>
    <n v="0"/>
    <n v="1"/>
    <n v="0"/>
    <n v="0"/>
    <n v="0"/>
    <n v="0"/>
    <n v="0"/>
    <n v="0"/>
    <n v="1"/>
    <n v="2024"/>
    <x v="6"/>
    <s v="手猫旺信聊天"/>
    <x v="1"/>
    <x v="0"/>
  </r>
  <r>
    <x v="1"/>
    <x v="178"/>
    <x v="1"/>
    <x v="2"/>
    <x v="29"/>
    <n v="2"/>
    <n v="1"/>
    <n v="0"/>
    <n v="0"/>
    <n v="0"/>
    <n v="0"/>
    <n v="0"/>
    <n v="0"/>
    <n v="0"/>
    <n v="2"/>
    <n v="2024"/>
    <x v="6"/>
    <s v="手猫消息中心"/>
    <x v="1"/>
    <x v="0"/>
  </r>
  <r>
    <x v="1"/>
    <x v="178"/>
    <x v="1"/>
    <x v="2"/>
    <x v="10"/>
    <n v="204"/>
    <n v="137"/>
    <n v="1"/>
    <n v="0"/>
    <n v="0"/>
    <n v="0"/>
    <n v="0"/>
    <n v="0"/>
    <n v="8"/>
    <n v="204"/>
    <n v="2024"/>
    <x v="6"/>
    <s v="手猫首页"/>
    <x v="1"/>
    <x v="0"/>
  </r>
  <r>
    <x v="1"/>
    <x v="178"/>
    <x v="1"/>
    <x v="3"/>
    <x v="11"/>
    <n v="99"/>
    <n v="36"/>
    <n v="7"/>
    <n v="1"/>
    <n v="0"/>
    <n v="0"/>
    <n v="0"/>
    <n v="0"/>
    <n v="29"/>
    <n v="92"/>
    <n v="2024"/>
    <x v="6"/>
    <s v="商品详情页头图推荐"/>
    <x v="1"/>
    <x v="0"/>
  </r>
  <r>
    <x v="1"/>
    <x v="178"/>
    <x v="1"/>
    <x v="3"/>
    <x v="12"/>
    <n v="42"/>
    <n v="27"/>
    <n v="1"/>
    <n v="0"/>
    <n v="0"/>
    <n v="0"/>
    <n v="0"/>
    <n v="0"/>
    <n v="37"/>
    <n v="13"/>
    <n v="2024"/>
    <x v="6"/>
    <s v="店铺超链"/>
    <x v="1"/>
    <x v="0"/>
  </r>
  <r>
    <x v="1"/>
    <x v="178"/>
    <x v="1"/>
    <x v="4"/>
    <x v="13"/>
    <n v="206"/>
    <n v="138"/>
    <n v="5"/>
    <n v="1"/>
    <n v="0"/>
    <n v="0"/>
    <n v="0"/>
    <n v="0"/>
    <n v="138"/>
    <n v="89"/>
    <n v="2024"/>
    <x v="6"/>
    <s v="其他猜你喜欢"/>
    <x v="1"/>
    <x v="0"/>
  </r>
  <r>
    <x v="1"/>
    <x v="178"/>
    <x v="1"/>
    <x v="4"/>
    <x v="15"/>
    <n v="7"/>
    <n v="6"/>
    <n v="0"/>
    <n v="0"/>
    <n v="0"/>
    <n v="0"/>
    <n v="0"/>
    <n v="0"/>
    <n v="0"/>
    <n v="6"/>
    <n v="2024"/>
    <x v="6"/>
    <s v="购中推荐"/>
    <x v="1"/>
    <x v="0"/>
  </r>
  <r>
    <x v="1"/>
    <x v="178"/>
    <x v="1"/>
    <x v="4"/>
    <x v="16"/>
    <n v="17"/>
    <n v="15"/>
    <n v="0"/>
    <n v="0"/>
    <n v="0"/>
    <n v="0"/>
    <n v="0"/>
    <n v="0"/>
    <n v="2"/>
    <n v="8"/>
    <n v="2024"/>
    <x v="6"/>
    <s v="购后推荐"/>
    <x v="1"/>
    <x v="0"/>
  </r>
  <r>
    <x v="1"/>
    <x v="178"/>
    <x v="1"/>
    <x v="4"/>
    <x v="17"/>
    <n v="883"/>
    <n v="645"/>
    <n v="4"/>
    <n v="8"/>
    <n v="0"/>
    <n v="0"/>
    <n v="0"/>
    <n v="0"/>
    <n v="39"/>
    <n v="883"/>
    <n v="2024"/>
    <x v="6"/>
    <s v="首页推荐-微详情"/>
    <x v="1"/>
    <x v="0"/>
  </r>
  <r>
    <x v="1"/>
    <x v="178"/>
    <x v="1"/>
    <x v="4"/>
    <x v="18"/>
    <n v="4"/>
    <n v="3"/>
    <n v="0"/>
    <n v="0"/>
    <n v="0"/>
    <n v="0"/>
    <n v="0"/>
    <n v="0"/>
    <n v="0"/>
    <n v="0"/>
    <n v="2024"/>
    <x v="6"/>
    <s v="首页推荐-直播"/>
    <x v="1"/>
    <x v="0"/>
  </r>
  <r>
    <x v="1"/>
    <x v="178"/>
    <x v="1"/>
    <x v="4"/>
    <x v="19"/>
    <n v="233"/>
    <n v="171"/>
    <n v="2"/>
    <n v="0"/>
    <n v="0"/>
    <n v="0"/>
    <n v="0"/>
    <n v="0"/>
    <n v="7"/>
    <n v="25"/>
    <n v="2024"/>
    <x v="6"/>
    <s v="首页推荐-短视频"/>
    <x v="1"/>
    <x v="0"/>
  </r>
  <r>
    <x v="1"/>
    <x v="178"/>
    <x v="1"/>
    <x v="12"/>
    <x v="42"/>
    <n v="457"/>
    <n v="373"/>
    <n v="11"/>
    <n v="4"/>
    <n v="5750"/>
    <n v="1"/>
    <n v="5750"/>
    <n v="1"/>
    <n v="207"/>
    <n v="340"/>
    <n v="2024"/>
    <x v="6"/>
    <s v="手淘搜索-商品及其他"/>
    <x v="1"/>
    <x v="0"/>
  </r>
  <r>
    <x v="1"/>
    <x v="178"/>
    <x v="1"/>
    <x v="12"/>
    <x v="44"/>
    <n v="19"/>
    <n v="14"/>
    <n v="0"/>
    <n v="0"/>
    <n v="0"/>
    <n v="0"/>
    <n v="0"/>
    <n v="0"/>
    <n v="0"/>
    <n v="19"/>
    <n v="2024"/>
    <x v="6"/>
    <s v="手淘搜索-短视频"/>
    <x v="1"/>
    <x v="0"/>
  </r>
  <r>
    <x v="1"/>
    <x v="178"/>
    <x v="1"/>
    <x v="11"/>
    <x v="37"/>
    <n v="28"/>
    <n v="24"/>
    <n v="2"/>
    <n v="0"/>
    <n v="0"/>
    <n v="0"/>
    <n v="0"/>
    <n v="0"/>
    <n v="0"/>
    <n v="28"/>
    <n v="2024"/>
    <x v="6"/>
    <s v="淘特其他渠道"/>
    <x v="1"/>
    <x v="0"/>
  </r>
  <r>
    <x v="1"/>
    <x v="178"/>
    <x v="1"/>
    <x v="11"/>
    <x v="38"/>
    <n v="1"/>
    <n v="0"/>
    <n v="0"/>
    <n v="0"/>
    <n v="0"/>
    <n v="0"/>
    <n v="0"/>
    <n v="0"/>
    <n v="0"/>
    <n v="1"/>
    <n v="2024"/>
    <x v="6"/>
    <s v="淘特推荐"/>
    <x v="1"/>
    <x v="0"/>
  </r>
  <r>
    <x v="1"/>
    <x v="178"/>
    <x v="1"/>
    <x v="11"/>
    <x v="39"/>
    <n v="2"/>
    <n v="2"/>
    <n v="0"/>
    <n v="0"/>
    <n v="0"/>
    <n v="0"/>
    <n v="0"/>
    <n v="0"/>
    <n v="0"/>
    <n v="2"/>
    <n v="2024"/>
    <x v="6"/>
    <s v="淘特搜索"/>
    <x v="1"/>
    <x v="0"/>
  </r>
  <r>
    <x v="1"/>
    <x v="178"/>
    <x v="1"/>
    <x v="11"/>
    <x v="40"/>
    <n v="1"/>
    <n v="0"/>
    <n v="0"/>
    <n v="0"/>
    <n v="0"/>
    <n v="0"/>
    <n v="0"/>
    <n v="0"/>
    <n v="0"/>
    <n v="1"/>
    <n v="2024"/>
    <x v="6"/>
    <s v="淘特自主访问"/>
    <x v="1"/>
    <x v="0"/>
  </r>
  <r>
    <x v="1"/>
    <x v="178"/>
    <x v="0"/>
    <x v="5"/>
    <x v="41"/>
    <n v="1"/>
    <n v="1"/>
    <n v="0"/>
    <n v="0"/>
    <n v="0"/>
    <n v="0"/>
    <n v="0"/>
    <n v="0"/>
    <n v="0"/>
    <n v="0"/>
    <n v="2024"/>
    <x v="6"/>
    <s v="超级直播"/>
    <x v="1"/>
    <x v="0"/>
  </r>
  <r>
    <x v="1"/>
    <x v="178"/>
    <x v="0"/>
    <x v="5"/>
    <x v="20"/>
    <n v="20"/>
    <n v="16"/>
    <n v="5"/>
    <n v="4"/>
    <n v="0"/>
    <n v="0"/>
    <n v="0"/>
    <n v="0"/>
    <n v="1"/>
    <n v="19"/>
    <n v="2024"/>
    <x v="6"/>
    <s v="超级短视频"/>
    <x v="1"/>
    <x v="0"/>
  </r>
  <r>
    <x v="1"/>
    <x v="178"/>
    <x v="0"/>
    <x v="6"/>
    <x v="48"/>
    <n v="1116"/>
    <n v="984"/>
    <n v="0"/>
    <n v="0"/>
    <n v="0"/>
    <n v="0"/>
    <n v="0"/>
    <n v="0"/>
    <n v="1116"/>
    <n v="178"/>
    <n v="2024"/>
    <x v="6"/>
    <s v="Showmax"/>
    <x v="1"/>
    <x v="0"/>
  </r>
  <r>
    <x v="1"/>
    <x v="178"/>
    <x v="0"/>
    <x v="6"/>
    <x v="30"/>
    <n v="1575"/>
    <n v="1390"/>
    <n v="0"/>
    <n v="0"/>
    <n v="0"/>
    <n v="0"/>
    <n v="0"/>
    <n v="0"/>
    <n v="1575"/>
    <n v="399"/>
    <n v="2024"/>
    <x v="6"/>
    <s v="品牌特秀"/>
    <x v="1"/>
    <x v="0"/>
  </r>
  <r>
    <x v="1"/>
    <x v="178"/>
    <x v="0"/>
    <x v="6"/>
    <x v="21"/>
    <n v="581"/>
    <n v="492"/>
    <n v="14"/>
    <n v="2"/>
    <n v="0"/>
    <n v="0"/>
    <n v="0"/>
    <n v="0"/>
    <n v="581"/>
    <n v="306"/>
    <n v="2024"/>
    <x v="6"/>
    <s v="品销宝-品牌专区"/>
    <x v="1"/>
    <x v="0"/>
  </r>
  <r>
    <x v="1"/>
    <x v="178"/>
    <x v="0"/>
    <x v="0"/>
    <x v="2"/>
    <n v="5078"/>
    <n v="4530"/>
    <n v="48"/>
    <n v="30"/>
    <n v="56645"/>
    <n v="6"/>
    <n v="7250"/>
    <n v="1"/>
    <n v="337"/>
    <n v="5035"/>
    <n v="2024"/>
    <x v="6"/>
    <s v="直通车"/>
    <x v="1"/>
    <x v="0"/>
  </r>
  <r>
    <x v="1"/>
    <x v="178"/>
    <x v="0"/>
    <x v="0"/>
    <x v="0"/>
    <n v="3867"/>
    <n v="2001"/>
    <n v="64"/>
    <n v="41"/>
    <n v="19495"/>
    <n v="3"/>
    <n v="0"/>
    <n v="0"/>
    <n v="107"/>
    <n v="3864"/>
    <n v="2024"/>
    <x v="6"/>
    <s v="万相台"/>
    <x v="1"/>
    <x v="0"/>
  </r>
  <r>
    <x v="1"/>
    <x v="178"/>
    <x v="0"/>
    <x v="0"/>
    <x v="1"/>
    <n v="5579"/>
    <n v="3016"/>
    <n v="107"/>
    <n v="67"/>
    <n v="12645"/>
    <n v="2"/>
    <n v="4895"/>
    <n v="1"/>
    <n v="423"/>
    <n v="5578"/>
    <n v="2024"/>
    <x v="6"/>
    <s v="引力魔方"/>
    <x v="1"/>
    <x v="0"/>
  </r>
  <r>
    <x v="1"/>
    <x v="178"/>
    <x v="0"/>
    <x v="7"/>
    <x v="23"/>
    <n v="1"/>
    <n v="1"/>
    <n v="0"/>
    <n v="0"/>
    <n v="0"/>
    <n v="0"/>
    <n v="0"/>
    <n v="0"/>
    <n v="0"/>
    <n v="1"/>
    <n v="2024"/>
    <x v="6"/>
    <s v="流量宝"/>
    <x v="1"/>
    <x v="0"/>
  </r>
  <r>
    <x v="1"/>
    <x v="178"/>
    <x v="0"/>
    <x v="7"/>
    <x v="24"/>
    <n v="248"/>
    <n v="101"/>
    <n v="1"/>
    <n v="0"/>
    <n v="0"/>
    <n v="0"/>
    <n v="0"/>
    <n v="0"/>
    <n v="9"/>
    <n v="245"/>
    <n v="2024"/>
    <x v="6"/>
    <s v="淘宝客"/>
    <x v="1"/>
    <x v="0"/>
  </r>
  <r>
    <x v="1"/>
    <x v="179"/>
    <x v="1"/>
    <x v="8"/>
    <x v="25"/>
    <n v="18"/>
    <n v="16"/>
    <n v="0"/>
    <n v="0"/>
    <n v="0"/>
    <n v="0"/>
    <n v="0"/>
    <n v="0"/>
    <n v="3"/>
    <n v="6"/>
    <n v="2024"/>
    <x v="6"/>
    <s v="主会场"/>
    <x v="1"/>
    <x v="0"/>
  </r>
  <r>
    <x v="1"/>
    <x v="179"/>
    <x v="1"/>
    <x v="2"/>
    <x v="5"/>
    <n v="31"/>
    <n v="25"/>
    <n v="0"/>
    <n v="0"/>
    <n v="0"/>
    <n v="0"/>
    <n v="0"/>
    <n v="0"/>
    <n v="11"/>
    <n v="25"/>
    <n v="2024"/>
    <x v="6"/>
    <s v="手猫免费其他"/>
    <x v="1"/>
    <x v="0"/>
  </r>
  <r>
    <x v="1"/>
    <x v="179"/>
    <x v="1"/>
    <x v="2"/>
    <x v="6"/>
    <n v="23"/>
    <n v="14"/>
    <n v="3"/>
    <n v="0"/>
    <n v="0"/>
    <n v="0"/>
    <n v="0"/>
    <n v="0"/>
    <n v="0"/>
    <n v="23"/>
    <n v="2024"/>
    <x v="6"/>
    <s v="手猫其他店铺"/>
    <x v="1"/>
    <x v="0"/>
  </r>
  <r>
    <x v="1"/>
    <x v="179"/>
    <x v="1"/>
    <x v="2"/>
    <x v="7"/>
    <n v="13"/>
    <n v="8"/>
    <n v="0"/>
    <n v="0"/>
    <n v="0"/>
    <n v="0"/>
    <n v="0"/>
    <n v="0"/>
    <n v="2"/>
    <n v="11"/>
    <n v="2024"/>
    <x v="6"/>
    <s v="手猫商品详情"/>
    <x v="1"/>
    <x v="0"/>
  </r>
  <r>
    <x v="1"/>
    <x v="179"/>
    <x v="1"/>
    <x v="2"/>
    <x v="8"/>
    <n v="33"/>
    <n v="22"/>
    <n v="0"/>
    <n v="0"/>
    <n v="0"/>
    <n v="0"/>
    <n v="0"/>
    <n v="0"/>
    <n v="21"/>
    <n v="20"/>
    <n v="2024"/>
    <x v="6"/>
    <s v="手猫搜索"/>
    <x v="1"/>
    <x v="0"/>
  </r>
  <r>
    <x v="1"/>
    <x v="179"/>
    <x v="1"/>
    <x v="2"/>
    <x v="29"/>
    <n v="2"/>
    <n v="1"/>
    <n v="0"/>
    <n v="0"/>
    <n v="0"/>
    <n v="0"/>
    <n v="0"/>
    <n v="0"/>
    <n v="0"/>
    <n v="2"/>
    <n v="2024"/>
    <x v="6"/>
    <s v="手猫消息中心"/>
    <x v="1"/>
    <x v="0"/>
  </r>
  <r>
    <x v="1"/>
    <x v="179"/>
    <x v="1"/>
    <x v="2"/>
    <x v="10"/>
    <n v="174"/>
    <n v="110"/>
    <n v="4"/>
    <n v="0"/>
    <n v="0"/>
    <n v="0"/>
    <n v="0"/>
    <n v="0"/>
    <n v="12"/>
    <n v="174"/>
    <n v="2024"/>
    <x v="6"/>
    <s v="手猫首页"/>
    <x v="1"/>
    <x v="0"/>
  </r>
  <r>
    <x v="1"/>
    <x v="179"/>
    <x v="1"/>
    <x v="3"/>
    <x v="11"/>
    <n v="108"/>
    <n v="49"/>
    <n v="12"/>
    <n v="5"/>
    <n v="0"/>
    <n v="0"/>
    <n v="0"/>
    <n v="0"/>
    <n v="36"/>
    <n v="106"/>
    <n v="2024"/>
    <x v="6"/>
    <s v="商品详情页头图推荐"/>
    <x v="1"/>
    <x v="0"/>
  </r>
  <r>
    <x v="1"/>
    <x v="179"/>
    <x v="1"/>
    <x v="3"/>
    <x v="12"/>
    <n v="39"/>
    <n v="28"/>
    <n v="3"/>
    <n v="0"/>
    <n v="0"/>
    <n v="0"/>
    <n v="0"/>
    <n v="0"/>
    <n v="37"/>
    <n v="14"/>
    <n v="2024"/>
    <x v="6"/>
    <s v="店铺超链"/>
    <x v="1"/>
    <x v="0"/>
  </r>
  <r>
    <x v="1"/>
    <x v="179"/>
    <x v="1"/>
    <x v="4"/>
    <x v="13"/>
    <n v="222"/>
    <n v="166"/>
    <n v="3"/>
    <n v="2"/>
    <n v="0"/>
    <n v="0"/>
    <n v="0"/>
    <n v="0"/>
    <n v="141"/>
    <n v="96"/>
    <n v="2024"/>
    <x v="6"/>
    <s v="其他猜你喜欢"/>
    <x v="1"/>
    <x v="0"/>
  </r>
  <r>
    <x v="1"/>
    <x v="179"/>
    <x v="1"/>
    <x v="4"/>
    <x v="15"/>
    <n v="2"/>
    <n v="1"/>
    <n v="0"/>
    <n v="0"/>
    <n v="0"/>
    <n v="0"/>
    <n v="0"/>
    <n v="0"/>
    <n v="0"/>
    <n v="2"/>
    <n v="2024"/>
    <x v="6"/>
    <s v="购中推荐"/>
    <x v="1"/>
    <x v="0"/>
  </r>
  <r>
    <x v="1"/>
    <x v="179"/>
    <x v="1"/>
    <x v="4"/>
    <x v="16"/>
    <n v="6"/>
    <n v="6"/>
    <n v="0"/>
    <n v="0"/>
    <n v="0"/>
    <n v="0"/>
    <n v="0"/>
    <n v="0"/>
    <n v="0"/>
    <n v="2"/>
    <n v="2024"/>
    <x v="6"/>
    <s v="购后推荐"/>
    <x v="1"/>
    <x v="0"/>
  </r>
  <r>
    <x v="1"/>
    <x v="179"/>
    <x v="1"/>
    <x v="4"/>
    <x v="17"/>
    <n v="704"/>
    <n v="524"/>
    <n v="6"/>
    <n v="2"/>
    <n v="0"/>
    <n v="0"/>
    <n v="0"/>
    <n v="0"/>
    <n v="29"/>
    <n v="704"/>
    <n v="2024"/>
    <x v="6"/>
    <s v="首页推荐-微详情"/>
    <x v="1"/>
    <x v="0"/>
  </r>
  <r>
    <x v="1"/>
    <x v="179"/>
    <x v="1"/>
    <x v="4"/>
    <x v="18"/>
    <n v="104"/>
    <n v="72"/>
    <n v="0"/>
    <n v="0"/>
    <n v="0"/>
    <n v="0"/>
    <n v="0"/>
    <n v="0"/>
    <n v="2"/>
    <n v="13"/>
    <n v="2024"/>
    <x v="6"/>
    <s v="首页推荐-直播"/>
    <x v="1"/>
    <x v="0"/>
  </r>
  <r>
    <x v="1"/>
    <x v="179"/>
    <x v="1"/>
    <x v="4"/>
    <x v="19"/>
    <n v="101"/>
    <n v="66"/>
    <n v="0"/>
    <n v="0"/>
    <n v="0"/>
    <n v="0"/>
    <n v="0"/>
    <n v="0"/>
    <n v="3"/>
    <n v="10"/>
    <n v="2024"/>
    <x v="6"/>
    <s v="首页推荐-短视频"/>
    <x v="1"/>
    <x v="0"/>
  </r>
  <r>
    <x v="1"/>
    <x v="179"/>
    <x v="1"/>
    <x v="12"/>
    <x v="42"/>
    <n v="488"/>
    <n v="387"/>
    <n v="14"/>
    <n v="3"/>
    <n v="19750"/>
    <n v="1"/>
    <n v="19750"/>
    <n v="1"/>
    <n v="212"/>
    <n v="365"/>
    <n v="2024"/>
    <x v="6"/>
    <s v="手淘搜索-商品及其他"/>
    <x v="1"/>
    <x v="0"/>
  </r>
  <r>
    <x v="1"/>
    <x v="179"/>
    <x v="1"/>
    <x v="12"/>
    <x v="43"/>
    <n v="3"/>
    <n v="1"/>
    <n v="0"/>
    <n v="0"/>
    <n v="0"/>
    <n v="0"/>
    <n v="0"/>
    <n v="0"/>
    <n v="0"/>
    <n v="3"/>
    <n v="2024"/>
    <x v="6"/>
    <s v="手淘搜索-直播"/>
    <x v="1"/>
    <x v="0"/>
  </r>
  <r>
    <x v="1"/>
    <x v="179"/>
    <x v="1"/>
    <x v="12"/>
    <x v="44"/>
    <n v="24"/>
    <n v="22"/>
    <n v="0"/>
    <n v="0"/>
    <n v="3995"/>
    <n v="1"/>
    <n v="3995"/>
    <n v="1"/>
    <n v="1"/>
    <n v="23"/>
    <n v="2024"/>
    <x v="6"/>
    <s v="手淘搜索-短视频"/>
    <x v="1"/>
    <x v="0"/>
  </r>
  <r>
    <x v="1"/>
    <x v="179"/>
    <x v="1"/>
    <x v="11"/>
    <x v="37"/>
    <n v="29"/>
    <n v="29"/>
    <n v="0"/>
    <n v="0"/>
    <n v="0"/>
    <n v="0"/>
    <n v="0"/>
    <n v="0"/>
    <n v="0"/>
    <n v="29"/>
    <n v="2024"/>
    <x v="6"/>
    <s v="淘特其他渠道"/>
    <x v="1"/>
    <x v="0"/>
  </r>
  <r>
    <x v="1"/>
    <x v="179"/>
    <x v="0"/>
    <x v="5"/>
    <x v="41"/>
    <n v="654"/>
    <n v="547"/>
    <n v="1"/>
    <n v="0"/>
    <n v="0"/>
    <n v="0"/>
    <n v="0"/>
    <n v="0"/>
    <n v="11"/>
    <n v="225"/>
    <n v="2024"/>
    <x v="6"/>
    <s v="超级直播"/>
    <x v="1"/>
    <x v="0"/>
  </r>
  <r>
    <x v="1"/>
    <x v="179"/>
    <x v="0"/>
    <x v="5"/>
    <x v="20"/>
    <n v="13"/>
    <n v="9"/>
    <n v="1"/>
    <n v="1"/>
    <n v="0"/>
    <n v="0"/>
    <n v="0"/>
    <n v="0"/>
    <n v="3"/>
    <n v="12"/>
    <n v="2024"/>
    <x v="6"/>
    <s v="超级短视频"/>
    <x v="1"/>
    <x v="0"/>
  </r>
  <r>
    <x v="1"/>
    <x v="179"/>
    <x v="0"/>
    <x v="6"/>
    <x v="48"/>
    <n v="1046"/>
    <n v="953"/>
    <n v="0"/>
    <n v="0"/>
    <n v="0"/>
    <n v="0"/>
    <n v="0"/>
    <n v="0"/>
    <n v="1046"/>
    <n v="177"/>
    <n v="2024"/>
    <x v="6"/>
    <s v="Showmax"/>
    <x v="1"/>
    <x v="0"/>
  </r>
  <r>
    <x v="1"/>
    <x v="179"/>
    <x v="0"/>
    <x v="6"/>
    <x v="30"/>
    <n v="1483"/>
    <n v="1345"/>
    <n v="0"/>
    <n v="0"/>
    <n v="0"/>
    <n v="0"/>
    <n v="0"/>
    <n v="0"/>
    <n v="1483"/>
    <n v="367"/>
    <n v="2024"/>
    <x v="6"/>
    <s v="品牌特秀"/>
    <x v="1"/>
    <x v="0"/>
  </r>
  <r>
    <x v="1"/>
    <x v="179"/>
    <x v="0"/>
    <x v="6"/>
    <x v="21"/>
    <n v="568"/>
    <n v="471"/>
    <n v="13"/>
    <n v="2"/>
    <n v="2410"/>
    <n v="1"/>
    <n v="2410"/>
    <n v="1"/>
    <n v="568"/>
    <n v="303"/>
    <n v="2024"/>
    <x v="6"/>
    <s v="品销宝-品牌专区"/>
    <x v="1"/>
    <x v="0"/>
  </r>
  <r>
    <x v="1"/>
    <x v="179"/>
    <x v="0"/>
    <x v="0"/>
    <x v="2"/>
    <n v="6102"/>
    <n v="5521"/>
    <n v="56"/>
    <n v="37"/>
    <n v="65890"/>
    <n v="7"/>
    <n v="33995"/>
    <n v="4"/>
    <n v="391"/>
    <n v="6052"/>
    <n v="2024"/>
    <x v="6"/>
    <s v="直通车"/>
    <x v="1"/>
    <x v="0"/>
  </r>
  <r>
    <x v="1"/>
    <x v="179"/>
    <x v="0"/>
    <x v="0"/>
    <x v="0"/>
    <n v="3668"/>
    <n v="2122"/>
    <n v="75"/>
    <n v="51"/>
    <n v="56525"/>
    <n v="5"/>
    <n v="15995"/>
    <n v="2"/>
    <n v="137"/>
    <n v="3666"/>
    <n v="2024"/>
    <x v="6"/>
    <s v="万相台"/>
    <x v="1"/>
    <x v="0"/>
  </r>
  <r>
    <x v="1"/>
    <x v="179"/>
    <x v="0"/>
    <x v="0"/>
    <x v="1"/>
    <n v="5746"/>
    <n v="3335"/>
    <n v="131"/>
    <n v="79"/>
    <n v="61590"/>
    <n v="6"/>
    <n v="13750"/>
    <n v="2"/>
    <n v="485"/>
    <n v="5743"/>
    <n v="2024"/>
    <x v="6"/>
    <s v="引力魔方"/>
    <x v="1"/>
    <x v="0"/>
  </r>
  <r>
    <x v="1"/>
    <x v="179"/>
    <x v="0"/>
    <x v="7"/>
    <x v="23"/>
    <n v="1"/>
    <n v="1"/>
    <n v="0"/>
    <n v="0"/>
    <n v="0"/>
    <n v="0"/>
    <n v="0"/>
    <n v="0"/>
    <n v="0"/>
    <n v="0"/>
    <n v="2024"/>
    <x v="6"/>
    <s v="流量宝"/>
    <x v="1"/>
    <x v="0"/>
  </r>
  <r>
    <x v="1"/>
    <x v="179"/>
    <x v="0"/>
    <x v="7"/>
    <x v="24"/>
    <n v="240"/>
    <n v="111"/>
    <n v="1"/>
    <n v="1"/>
    <n v="2410"/>
    <n v="1"/>
    <n v="2410"/>
    <n v="1"/>
    <n v="17"/>
    <n v="233"/>
    <n v="2024"/>
    <x v="6"/>
    <s v="淘宝客"/>
    <x v="1"/>
    <x v="0"/>
  </r>
  <r>
    <x v="0"/>
    <x v="122"/>
    <x v="1"/>
    <x v="11"/>
    <x v="37"/>
    <n v="8"/>
    <n v="2"/>
    <n v="0"/>
    <n v="0"/>
    <n v="0"/>
    <n v="0"/>
    <n v="0"/>
    <n v="0"/>
    <n v="1"/>
    <n v="8"/>
    <n v="2025"/>
    <x v="7"/>
    <s v="淘特其他渠道"/>
    <x v="2"/>
    <x v="0"/>
  </r>
  <r>
    <x v="0"/>
    <x v="122"/>
    <x v="0"/>
    <x v="7"/>
    <x v="24"/>
    <n v="5445"/>
    <n v="2712"/>
    <n v="66"/>
    <n v="33"/>
    <n v="263139.09999999998"/>
    <n v="44"/>
    <n v="244819.1"/>
    <n v="43"/>
    <n v="101"/>
    <n v="5411"/>
    <n v="2025"/>
    <x v="7"/>
    <s v="淘宝客"/>
    <x v="2"/>
    <x v="0"/>
  </r>
  <r>
    <x v="0"/>
    <x v="122"/>
    <x v="0"/>
    <x v="7"/>
    <x v="23"/>
    <n v="84"/>
    <n v="53"/>
    <n v="0"/>
    <n v="1"/>
    <n v="0"/>
    <n v="0"/>
    <n v="0"/>
    <n v="0"/>
    <n v="13"/>
    <n v="77"/>
    <n v="2025"/>
    <x v="7"/>
    <s v="流量宝"/>
    <x v="2"/>
    <x v="0"/>
  </r>
  <r>
    <x v="0"/>
    <x v="122"/>
    <x v="0"/>
    <x v="7"/>
    <x v="22"/>
    <n v="5"/>
    <n v="3"/>
    <n v="0"/>
    <n v="0"/>
    <n v="0"/>
    <n v="0"/>
    <n v="0"/>
    <n v="0"/>
    <n v="0"/>
    <n v="4"/>
    <n v="2025"/>
    <x v="7"/>
    <s v="UD效果投放"/>
    <x v="2"/>
    <x v="0"/>
  </r>
  <r>
    <x v="0"/>
    <x v="122"/>
    <x v="0"/>
    <x v="0"/>
    <x v="0"/>
    <n v="22099"/>
    <n v="20067"/>
    <n v="543"/>
    <n v="152"/>
    <n v="613080"/>
    <n v="112"/>
    <n v="444723"/>
    <n v="93"/>
    <n v="22034"/>
    <n v="11067"/>
    <n v="2025"/>
    <x v="7"/>
    <s v="万相台"/>
    <x v="2"/>
    <x v="0"/>
  </r>
  <r>
    <x v="0"/>
    <x v="122"/>
    <x v="0"/>
    <x v="0"/>
    <x v="2"/>
    <n v="85939"/>
    <n v="77282"/>
    <n v="744"/>
    <n v="367"/>
    <n v="1235547"/>
    <n v="150"/>
    <n v="549007"/>
    <n v="109"/>
    <n v="6000"/>
    <n v="84741"/>
    <n v="2025"/>
    <x v="7"/>
    <s v="直通车"/>
    <x v="2"/>
    <x v="0"/>
  </r>
  <r>
    <x v="0"/>
    <x v="122"/>
    <x v="0"/>
    <x v="0"/>
    <x v="1"/>
    <n v="264774"/>
    <n v="226155"/>
    <n v="1368"/>
    <n v="1709"/>
    <n v="786275"/>
    <n v="129"/>
    <n v="427500"/>
    <n v="92"/>
    <n v="7220"/>
    <n v="264760"/>
    <n v="2025"/>
    <x v="7"/>
    <s v="引力魔方"/>
    <x v="2"/>
    <x v="0"/>
  </r>
  <r>
    <x v="0"/>
    <x v="122"/>
    <x v="0"/>
    <x v="6"/>
    <x v="49"/>
    <n v="10"/>
    <n v="3"/>
    <n v="0"/>
    <n v="0"/>
    <n v="0"/>
    <n v="0"/>
    <n v="0"/>
    <n v="0"/>
    <n v="0"/>
    <n v="10"/>
    <n v="2025"/>
    <x v="7"/>
    <s v="超级全域通"/>
    <x v="2"/>
    <x v="0"/>
  </r>
  <r>
    <x v="0"/>
    <x v="122"/>
    <x v="0"/>
    <x v="6"/>
    <x v="45"/>
    <n v="1"/>
    <n v="0"/>
    <n v="0"/>
    <n v="0"/>
    <n v="0"/>
    <n v="0"/>
    <n v="0"/>
    <n v="0"/>
    <n v="0"/>
    <n v="1"/>
    <n v="2025"/>
    <x v="7"/>
    <s v="品牌定制"/>
    <x v="2"/>
    <x v="0"/>
  </r>
  <r>
    <x v="0"/>
    <x v="122"/>
    <x v="0"/>
    <x v="5"/>
    <x v="20"/>
    <n v="828"/>
    <n v="565"/>
    <n v="2"/>
    <n v="2"/>
    <n v="0"/>
    <n v="0"/>
    <n v="0"/>
    <n v="0"/>
    <n v="13"/>
    <n v="791"/>
    <n v="2025"/>
    <x v="7"/>
    <s v="超级短视频"/>
    <x v="2"/>
    <x v="0"/>
  </r>
  <r>
    <x v="0"/>
    <x v="122"/>
    <x v="0"/>
    <x v="5"/>
    <x v="41"/>
    <n v="11925"/>
    <n v="8408"/>
    <n v="129"/>
    <n v="16"/>
    <n v="0"/>
    <n v="0"/>
    <n v="0"/>
    <n v="0"/>
    <n v="417"/>
    <n v="4626"/>
    <n v="2025"/>
    <x v="7"/>
    <s v="超级直播"/>
    <x v="2"/>
    <x v="0"/>
  </r>
  <r>
    <x v="0"/>
    <x v="122"/>
    <x v="0"/>
    <x v="5"/>
    <x v="47"/>
    <n v="60"/>
    <n v="52"/>
    <n v="0"/>
    <n v="0"/>
    <n v="0"/>
    <n v="0"/>
    <n v="0"/>
    <n v="0"/>
    <n v="0"/>
    <n v="1"/>
    <n v="2025"/>
    <x v="7"/>
    <s v="短直联动"/>
    <x v="2"/>
    <x v="0"/>
  </r>
  <r>
    <x v="0"/>
    <x v="122"/>
    <x v="1"/>
    <x v="13"/>
    <x v="46"/>
    <n v="5"/>
    <n v="3"/>
    <n v="0"/>
    <n v="0"/>
    <n v="0"/>
    <n v="0"/>
    <n v="0"/>
    <n v="0"/>
    <n v="0"/>
    <n v="0"/>
    <n v="2025"/>
    <x v="7"/>
    <s v="飞猪其他"/>
    <x v="2"/>
    <x v="0"/>
  </r>
  <r>
    <x v="0"/>
    <x v="122"/>
    <x v="1"/>
    <x v="11"/>
    <x v="40"/>
    <n v="7"/>
    <n v="0"/>
    <n v="0"/>
    <n v="0"/>
    <n v="0"/>
    <n v="0"/>
    <n v="0"/>
    <n v="0"/>
    <n v="0"/>
    <n v="7"/>
    <n v="2025"/>
    <x v="7"/>
    <s v="淘特自主访问"/>
    <x v="2"/>
    <x v="0"/>
  </r>
  <r>
    <x v="0"/>
    <x v="122"/>
    <x v="1"/>
    <x v="11"/>
    <x v="39"/>
    <n v="7"/>
    <n v="6"/>
    <n v="0"/>
    <n v="0"/>
    <n v="0"/>
    <n v="0"/>
    <n v="0"/>
    <n v="0"/>
    <n v="0"/>
    <n v="7"/>
    <n v="2025"/>
    <x v="7"/>
    <s v="淘特搜索"/>
    <x v="2"/>
    <x v="0"/>
  </r>
  <r>
    <x v="0"/>
    <x v="122"/>
    <x v="1"/>
    <x v="8"/>
    <x v="25"/>
    <n v="2106"/>
    <n v="1071"/>
    <n v="55"/>
    <n v="24"/>
    <n v="59150"/>
    <n v="9"/>
    <n v="34280"/>
    <n v="5"/>
    <n v="176"/>
    <n v="2080"/>
    <n v="2025"/>
    <x v="7"/>
    <s v="主会场"/>
    <x v="2"/>
    <x v="0"/>
  </r>
  <r>
    <x v="0"/>
    <x v="122"/>
    <x v="1"/>
    <x v="12"/>
    <x v="44"/>
    <n v="504"/>
    <n v="239"/>
    <n v="31"/>
    <n v="4"/>
    <n v="35320"/>
    <n v="5"/>
    <n v="25370"/>
    <n v="5"/>
    <n v="45"/>
    <n v="459"/>
    <n v="2025"/>
    <x v="7"/>
    <s v="手淘搜索-短视频"/>
    <x v="2"/>
    <x v="0"/>
  </r>
  <r>
    <x v="0"/>
    <x v="122"/>
    <x v="1"/>
    <x v="12"/>
    <x v="43"/>
    <n v="181"/>
    <n v="112"/>
    <n v="4"/>
    <n v="0"/>
    <n v="9800"/>
    <n v="1"/>
    <n v="9800"/>
    <n v="1"/>
    <n v="21"/>
    <n v="163"/>
    <n v="2025"/>
    <x v="7"/>
    <s v="手淘搜索-直播"/>
    <x v="2"/>
    <x v="0"/>
  </r>
  <r>
    <x v="0"/>
    <x v="122"/>
    <x v="1"/>
    <x v="12"/>
    <x v="42"/>
    <n v="67565"/>
    <n v="62444"/>
    <n v="1244"/>
    <n v="467"/>
    <n v="1973383.23"/>
    <n v="282"/>
    <n v="989103.23"/>
    <n v="208"/>
    <n v="8987"/>
    <n v="65324"/>
    <n v="2025"/>
    <x v="7"/>
    <s v="手淘搜索-商品及其他"/>
    <x v="2"/>
    <x v="0"/>
  </r>
  <r>
    <x v="0"/>
    <x v="122"/>
    <x v="1"/>
    <x v="4"/>
    <x v="19"/>
    <n v="8982"/>
    <n v="6894"/>
    <n v="18"/>
    <n v="6"/>
    <n v="10480"/>
    <n v="2"/>
    <n v="10480"/>
    <n v="2"/>
    <n v="148"/>
    <n v="1008"/>
    <n v="2025"/>
    <x v="7"/>
    <s v="首页推荐-短视频"/>
    <x v="2"/>
    <x v="0"/>
  </r>
  <r>
    <x v="0"/>
    <x v="122"/>
    <x v="1"/>
    <x v="4"/>
    <x v="18"/>
    <n v="1534"/>
    <n v="1024"/>
    <n v="18"/>
    <n v="3"/>
    <n v="27845"/>
    <n v="6"/>
    <n v="21865"/>
    <n v="5"/>
    <n v="63"/>
    <n v="729"/>
    <n v="2025"/>
    <x v="7"/>
    <s v="首页推荐-直播"/>
    <x v="2"/>
    <x v="0"/>
  </r>
  <r>
    <x v="0"/>
    <x v="122"/>
    <x v="1"/>
    <x v="4"/>
    <x v="17"/>
    <n v="129463"/>
    <n v="106327"/>
    <n v="1448"/>
    <n v="521"/>
    <n v="1368061.16"/>
    <n v="230"/>
    <n v="959426.16"/>
    <n v="188"/>
    <n v="5205"/>
    <n v="129463"/>
    <n v="2025"/>
    <x v="7"/>
    <s v="首页推荐-微详情"/>
    <x v="2"/>
    <x v="0"/>
  </r>
  <r>
    <x v="0"/>
    <x v="122"/>
    <x v="1"/>
    <x v="4"/>
    <x v="16"/>
    <n v="20027"/>
    <n v="15194"/>
    <n v="433"/>
    <n v="114"/>
    <n v="358485"/>
    <n v="65"/>
    <n v="255935"/>
    <n v="53"/>
    <n v="905"/>
    <n v="11281"/>
    <n v="2025"/>
    <x v="7"/>
    <s v="购后推荐"/>
    <x v="2"/>
    <x v="0"/>
  </r>
  <r>
    <x v="0"/>
    <x v="122"/>
    <x v="1"/>
    <x v="4"/>
    <x v="15"/>
    <n v="3135"/>
    <n v="2051"/>
    <n v="101"/>
    <n v="16"/>
    <n v="116212.24"/>
    <n v="22"/>
    <n v="86537.24"/>
    <n v="19"/>
    <n v="224"/>
    <n v="2155"/>
    <n v="2025"/>
    <x v="7"/>
    <s v="购中推荐"/>
    <x v="2"/>
    <x v="0"/>
  </r>
  <r>
    <x v="0"/>
    <x v="122"/>
    <x v="1"/>
    <x v="4"/>
    <x v="13"/>
    <n v="13275"/>
    <n v="7460"/>
    <n v="473"/>
    <n v="173"/>
    <n v="604805"/>
    <n v="89"/>
    <n v="448880"/>
    <n v="77"/>
    <n v="2028"/>
    <n v="12668"/>
    <n v="2025"/>
    <x v="7"/>
    <s v="其他猜你喜欢"/>
    <x v="2"/>
    <x v="0"/>
  </r>
  <r>
    <x v="0"/>
    <x v="122"/>
    <x v="1"/>
    <x v="3"/>
    <x v="12"/>
    <n v="1146"/>
    <n v="682"/>
    <n v="41"/>
    <n v="8"/>
    <n v="80335"/>
    <n v="18"/>
    <n v="71445"/>
    <n v="17"/>
    <n v="997"/>
    <n v="528"/>
    <n v="2025"/>
    <x v="7"/>
    <s v="店铺超链"/>
    <x v="2"/>
    <x v="0"/>
  </r>
  <r>
    <x v="0"/>
    <x v="122"/>
    <x v="1"/>
    <x v="3"/>
    <x v="11"/>
    <n v="6"/>
    <n v="6"/>
    <n v="0"/>
    <n v="0"/>
    <n v="0"/>
    <n v="0"/>
    <n v="0"/>
    <n v="0"/>
    <n v="0"/>
    <n v="6"/>
    <n v="2025"/>
    <x v="7"/>
    <s v="商品详情页头图推荐"/>
    <x v="2"/>
    <x v="0"/>
  </r>
  <r>
    <x v="0"/>
    <x v="122"/>
    <x v="1"/>
    <x v="1"/>
    <x v="28"/>
    <n v="6"/>
    <n v="4"/>
    <n v="0"/>
    <n v="0"/>
    <n v="3980"/>
    <n v="2"/>
    <n v="0"/>
    <n v="0"/>
    <n v="2"/>
    <n v="6"/>
    <n v="2025"/>
    <x v="7"/>
    <s v="商品详情页入口榜单"/>
    <x v="2"/>
    <x v="0"/>
  </r>
  <r>
    <x v="0"/>
    <x v="122"/>
    <x v="1"/>
    <x v="1"/>
    <x v="3"/>
    <n v="27"/>
    <n v="20"/>
    <n v="0"/>
    <n v="1"/>
    <n v="0"/>
    <n v="0"/>
    <n v="0"/>
    <n v="0"/>
    <n v="3"/>
    <n v="27"/>
    <n v="2025"/>
    <x v="7"/>
    <s v="其他入口榜单"/>
    <x v="2"/>
    <x v="0"/>
  </r>
  <r>
    <x v="0"/>
    <x v="122"/>
    <x v="1"/>
    <x v="8"/>
    <x v="26"/>
    <n v="5"/>
    <n v="2"/>
    <n v="0"/>
    <n v="0"/>
    <n v="0"/>
    <n v="0"/>
    <n v="0"/>
    <n v="0"/>
    <n v="1"/>
    <n v="5"/>
    <n v="2025"/>
    <x v="7"/>
    <s v="榜单会场"/>
    <x v="2"/>
    <x v="0"/>
  </r>
  <r>
    <x v="0"/>
    <x v="180"/>
    <x v="1"/>
    <x v="11"/>
    <x v="37"/>
    <n v="10"/>
    <n v="6"/>
    <n v="0"/>
    <n v="1"/>
    <n v="0"/>
    <n v="0"/>
    <n v="0"/>
    <n v="0"/>
    <n v="0"/>
    <n v="10"/>
    <n v="2025"/>
    <x v="8"/>
    <s v="淘特其他渠道"/>
    <x v="2"/>
    <x v="0"/>
  </r>
  <r>
    <x v="0"/>
    <x v="180"/>
    <x v="0"/>
    <x v="7"/>
    <x v="24"/>
    <n v="4701"/>
    <n v="2701"/>
    <n v="75"/>
    <n v="21"/>
    <n v="160715"/>
    <n v="43"/>
    <n v="133775"/>
    <n v="41"/>
    <n v="84"/>
    <n v="4675"/>
    <n v="2025"/>
    <x v="8"/>
    <s v="淘宝客"/>
    <x v="2"/>
    <x v="0"/>
  </r>
  <r>
    <x v="0"/>
    <x v="180"/>
    <x v="0"/>
    <x v="7"/>
    <x v="23"/>
    <n v="49"/>
    <n v="30"/>
    <n v="1"/>
    <n v="0"/>
    <n v="0"/>
    <n v="0"/>
    <n v="0"/>
    <n v="0"/>
    <n v="10"/>
    <n v="46"/>
    <n v="2025"/>
    <x v="8"/>
    <s v="流量宝"/>
    <x v="2"/>
    <x v="0"/>
  </r>
  <r>
    <x v="0"/>
    <x v="180"/>
    <x v="0"/>
    <x v="7"/>
    <x v="22"/>
    <n v="4"/>
    <n v="3"/>
    <n v="0"/>
    <n v="0"/>
    <n v="0"/>
    <n v="0"/>
    <n v="0"/>
    <n v="0"/>
    <n v="0"/>
    <n v="4"/>
    <n v="2025"/>
    <x v="8"/>
    <s v="UD效果投放"/>
    <x v="2"/>
    <x v="0"/>
  </r>
  <r>
    <x v="0"/>
    <x v="180"/>
    <x v="0"/>
    <x v="0"/>
    <x v="0"/>
    <n v="24954"/>
    <n v="22758"/>
    <n v="589"/>
    <n v="149"/>
    <n v="922891"/>
    <n v="102"/>
    <n v="522441"/>
    <n v="85"/>
    <n v="24915"/>
    <n v="12235"/>
    <n v="2025"/>
    <x v="8"/>
    <s v="万相台"/>
    <x v="2"/>
    <x v="0"/>
  </r>
  <r>
    <x v="0"/>
    <x v="180"/>
    <x v="0"/>
    <x v="0"/>
    <x v="2"/>
    <n v="47916"/>
    <n v="42284"/>
    <n v="602"/>
    <n v="258"/>
    <n v="1072067"/>
    <n v="109"/>
    <n v="400787"/>
    <n v="81"/>
    <n v="4861"/>
    <n v="46871"/>
    <n v="2025"/>
    <x v="8"/>
    <s v="直通车"/>
    <x v="2"/>
    <x v="0"/>
  </r>
  <r>
    <x v="0"/>
    <x v="180"/>
    <x v="0"/>
    <x v="0"/>
    <x v="1"/>
    <n v="308634"/>
    <n v="287308"/>
    <n v="1232"/>
    <n v="750"/>
    <n v="859748.12"/>
    <n v="125"/>
    <n v="609475"/>
    <n v="95"/>
    <n v="5530"/>
    <n v="308618"/>
    <n v="2025"/>
    <x v="8"/>
    <s v="引力魔方"/>
    <x v="2"/>
    <x v="0"/>
  </r>
  <r>
    <x v="0"/>
    <x v="180"/>
    <x v="0"/>
    <x v="6"/>
    <x v="49"/>
    <n v="4"/>
    <n v="3"/>
    <n v="0"/>
    <n v="0"/>
    <n v="0"/>
    <n v="0"/>
    <n v="0"/>
    <n v="0"/>
    <n v="0"/>
    <n v="4"/>
    <n v="2025"/>
    <x v="8"/>
    <s v="超级全域通"/>
    <x v="2"/>
    <x v="0"/>
  </r>
  <r>
    <x v="0"/>
    <x v="180"/>
    <x v="0"/>
    <x v="6"/>
    <x v="21"/>
    <n v="1"/>
    <n v="1"/>
    <n v="0"/>
    <n v="0"/>
    <n v="0"/>
    <n v="0"/>
    <n v="0"/>
    <n v="0"/>
    <n v="1"/>
    <n v="0"/>
    <n v="2025"/>
    <x v="8"/>
    <s v="品销宝-品牌专区"/>
    <x v="2"/>
    <x v="0"/>
  </r>
  <r>
    <x v="0"/>
    <x v="180"/>
    <x v="0"/>
    <x v="5"/>
    <x v="20"/>
    <n v="311"/>
    <n v="184"/>
    <n v="1"/>
    <n v="1"/>
    <n v="0"/>
    <n v="0"/>
    <n v="0"/>
    <n v="0"/>
    <n v="1"/>
    <n v="298"/>
    <n v="2025"/>
    <x v="8"/>
    <s v="超级短视频"/>
    <x v="2"/>
    <x v="0"/>
  </r>
  <r>
    <x v="0"/>
    <x v="180"/>
    <x v="0"/>
    <x v="5"/>
    <x v="41"/>
    <n v="9554"/>
    <n v="6687"/>
    <n v="83"/>
    <n v="16"/>
    <n v="0"/>
    <n v="0"/>
    <n v="0"/>
    <n v="0"/>
    <n v="318"/>
    <n v="4688"/>
    <n v="2025"/>
    <x v="8"/>
    <s v="超级直播"/>
    <x v="2"/>
    <x v="0"/>
  </r>
  <r>
    <x v="0"/>
    <x v="180"/>
    <x v="0"/>
    <x v="5"/>
    <x v="47"/>
    <n v="14"/>
    <n v="11"/>
    <n v="0"/>
    <n v="0"/>
    <n v="0"/>
    <n v="0"/>
    <n v="0"/>
    <n v="0"/>
    <n v="1"/>
    <n v="1"/>
    <n v="2025"/>
    <x v="8"/>
    <s v="短直联动"/>
    <x v="2"/>
    <x v="0"/>
  </r>
  <r>
    <x v="0"/>
    <x v="180"/>
    <x v="1"/>
    <x v="13"/>
    <x v="46"/>
    <n v="9"/>
    <n v="6"/>
    <n v="0"/>
    <n v="0"/>
    <n v="0"/>
    <n v="0"/>
    <n v="0"/>
    <n v="0"/>
    <n v="0"/>
    <n v="0"/>
    <n v="2025"/>
    <x v="8"/>
    <s v="飞猪其他"/>
    <x v="2"/>
    <x v="0"/>
  </r>
  <r>
    <x v="0"/>
    <x v="180"/>
    <x v="1"/>
    <x v="11"/>
    <x v="40"/>
    <n v="2"/>
    <n v="1"/>
    <n v="0"/>
    <n v="0"/>
    <n v="0"/>
    <n v="0"/>
    <n v="0"/>
    <n v="0"/>
    <n v="0"/>
    <n v="2"/>
    <n v="2025"/>
    <x v="8"/>
    <s v="淘特自主访问"/>
    <x v="2"/>
    <x v="0"/>
  </r>
  <r>
    <x v="0"/>
    <x v="180"/>
    <x v="1"/>
    <x v="11"/>
    <x v="39"/>
    <n v="3"/>
    <n v="3"/>
    <n v="0"/>
    <n v="0"/>
    <n v="0"/>
    <n v="0"/>
    <n v="0"/>
    <n v="0"/>
    <n v="0"/>
    <n v="3"/>
    <n v="2025"/>
    <x v="8"/>
    <s v="淘特搜索"/>
    <x v="2"/>
    <x v="0"/>
  </r>
  <r>
    <x v="0"/>
    <x v="180"/>
    <x v="1"/>
    <x v="8"/>
    <x v="25"/>
    <n v="673"/>
    <n v="342"/>
    <n v="21"/>
    <n v="10"/>
    <n v="7980"/>
    <n v="2"/>
    <n v="990"/>
    <n v="1"/>
    <n v="46"/>
    <n v="669"/>
    <n v="2025"/>
    <x v="8"/>
    <s v="主会场"/>
    <x v="2"/>
    <x v="0"/>
  </r>
  <r>
    <x v="0"/>
    <x v="180"/>
    <x v="1"/>
    <x v="12"/>
    <x v="44"/>
    <n v="273"/>
    <n v="161"/>
    <n v="19"/>
    <n v="2"/>
    <n v="17700"/>
    <n v="5"/>
    <n v="14460"/>
    <n v="4"/>
    <n v="34"/>
    <n v="181"/>
    <n v="2025"/>
    <x v="8"/>
    <s v="手淘搜索-短视频"/>
    <x v="2"/>
    <x v="0"/>
  </r>
  <r>
    <x v="0"/>
    <x v="180"/>
    <x v="1"/>
    <x v="12"/>
    <x v="43"/>
    <n v="95"/>
    <n v="65"/>
    <n v="2"/>
    <n v="0"/>
    <n v="2995"/>
    <n v="1"/>
    <n v="2995"/>
    <n v="1"/>
    <n v="11"/>
    <n v="83"/>
    <n v="2025"/>
    <x v="8"/>
    <s v="手淘搜索-直播"/>
    <x v="2"/>
    <x v="0"/>
  </r>
  <r>
    <x v="0"/>
    <x v="180"/>
    <x v="1"/>
    <x v="12"/>
    <x v="42"/>
    <n v="49648"/>
    <n v="45914"/>
    <n v="1321"/>
    <n v="386"/>
    <n v="1293787.24"/>
    <n v="229"/>
    <n v="850947.24"/>
    <n v="199"/>
    <n v="7579"/>
    <n v="47669"/>
    <n v="2025"/>
    <x v="8"/>
    <s v="手淘搜索-商品及其他"/>
    <x v="2"/>
    <x v="0"/>
  </r>
  <r>
    <x v="0"/>
    <x v="180"/>
    <x v="1"/>
    <x v="4"/>
    <x v="19"/>
    <n v="8685"/>
    <n v="6879"/>
    <n v="19"/>
    <n v="3"/>
    <n v="11380"/>
    <n v="3"/>
    <n v="7390"/>
    <n v="2"/>
    <n v="134"/>
    <n v="843"/>
    <n v="2025"/>
    <x v="8"/>
    <s v="首页推荐-短视频"/>
    <x v="2"/>
    <x v="0"/>
  </r>
  <r>
    <x v="0"/>
    <x v="180"/>
    <x v="1"/>
    <x v="4"/>
    <x v="18"/>
    <n v="1032"/>
    <n v="696"/>
    <n v="13"/>
    <n v="1"/>
    <n v="20565"/>
    <n v="3"/>
    <n v="12680"/>
    <n v="3"/>
    <n v="36"/>
    <n v="387"/>
    <n v="2025"/>
    <x v="8"/>
    <s v="首页推荐-直播"/>
    <x v="2"/>
    <x v="0"/>
  </r>
  <r>
    <x v="0"/>
    <x v="180"/>
    <x v="1"/>
    <x v="4"/>
    <x v="17"/>
    <n v="107088"/>
    <n v="89388"/>
    <n v="1244"/>
    <n v="414"/>
    <n v="856601.96"/>
    <n v="152"/>
    <n v="659071.96"/>
    <n v="128"/>
    <n v="4309"/>
    <n v="107088"/>
    <n v="2025"/>
    <x v="8"/>
    <s v="首页推荐-微详情"/>
    <x v="2"/>
    <x v="0"/>
  </r>
  <r>
    <x v="0"/>
    <x v="180"/>
    <x v="1"/>
    <x v="4"/>
    <x v="16"/>
    <n v="14297"/>
    <n v="11481"/>
    <n v="231"/>
    <n v="71"/>
    <n v="201076.64"/>
    <n v="29"/>
    <n v="153836.64000000001"/>
    <n v="24"/>
    <n v="491"/>
    <n v="6496"/>
    <n v="2025"/>
    <x v="8"/>
    <s v="购后推荐"/>
    <x v="2"/>
    <x v="0"/>
  </r>
  <r>
    <x v="0"/>
    <x v="180"/>
    <x v="1"/>
    <x v="4"/>
    <x v="15"/>
    <n v="1882"/>
    <n v="1235"/>
    <n v="58"/>
    <n v="10"/>
    <n v="36963.589999999997"/>
    <n v="6"/>
    <n v="40953.589999999997"/>
    <n v="7"/>
    <n v="93"/>
    <n v="1174"/>
    <n v="2025"/>
    <x v="8"/>
    <s v="购中推荐"/>
    <x v="2"/>
    <x v="0"/>
  </r>
  <r>
    <x v="0"/>
    <x v="180"/>
    <x v="1"/>
    <x v="4"/>
    <x v="13"/>
    <n v="10864"/>
    <n v="6546"/>
    <n v="367"/>
    <n v="125"/>
    <n v="343711.17"/>
    <n v="55"/>
    <n v="287941.17"/>
    <n v="48"/>
    <n v="1623"/>
    <n v="10540"/>
    <n v="2025"/>
    <x v="8"/>
    <s v="其他猜你喜欢"/>
    <x v="2"/>
    <x v="0"/>
  </r>
  <r>
    <x v="0"/>
    <x v="180"/>
    <x v="1"/>
    <x v="3"/>
    <x v="12"/>
    <n v="1107"/>
    <n v="705"/>
    <n v="39"/>
    <n v="7"/>
    <n v="66385"/>
    <n v="13"/>
    <n v="54995"/>
    <n v="13"/>
    <n v="1013"/>
    <n v="421"/>
    <n v="2025"/>
    <x v="8"/>
    <s v="店铺超链"/>
    <x v="2"/>
    <x v="0"/>
  </r>
  <r>
    <x v="0"/>
    <x v="180"/>
    <x v="1"/>
    <x v="1"/>
    <x v="28"/>
    <n v="7"/>
    <n v="7"/>
    <n v="1"/>
    <n v="0"/>
    <n v="4645"/>
    <n v="1"/>
    <n v="4645"/>
    <n v="1"/>
    <n v="0"/>
    <n v="7"/>
    <n v="2025"/>
    <x v="8"/>
    <s v="商品详情页入口榜单"/>
    <x v="2"/>
    <x v="0"/>
  </r>
  <r>
    <x v="0"/>
    <x v="180"/>
    <x v="1"/>
    <x v="1"/>
    <x v="3"/>
    <n v="13"/>
    <n v="10"/>
    <n v="0"/>
    <n v="0"/>
    <n v="0"/>
    <n v="0"/>
    <n v="0"/>
    <n v="0"/>
    <n v="2"/>
    <n v="13"/>
    <n v="2025"/>
    <x v="8"/>
    <s v="其他入口榜单"/>
    <x v="2"/>
    <x v="0"/>
  </r>
  <r>
    <x v="0"/>
    <x v="180"/>
    <x v="1"/>
    <x v="8"/>
    <x v="26"/>
    <n v="2"/>
    <n v="1"/>
    <n v="0"/>
    <n v="0"/>
    <n v="0"/>
    <n v="0"/>
    <n v="0"/>
    <n v="0"/>
    <n v="0"/>
    <n v="2"/>
    <n v="2025"/>
    <x v="8"/>
    <s v="榜单会场"/>
    <x v="2"/>
    <x v="0"/>
  </r>
  <r>
    <x v="2"/>
    <x v="181"/>
    <x v="2"/>
    <x v="14"/>
    <x v="51"/>
    <m/>
    <m/>
    <m/>
    <m/>
    <m/>
    <m/>
    <m/>
    <m/>
    <m/>
    <m/>
    <m/>
    <x v="12"/>
    <m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D7F4F-D6D4-4FDA-9D43-2F06EFD0E585}" name="数据透视表6" cacheId="12" applyNumberFormats="0" applyBorderFormats="0" applyFontFormats="0" applyPatternFormats="0" applyAlignmentFormats="0" applyWidthHeightFormats="1" dataCaption="值" missingCaption="0" updatedVersion="8" minRefreshableVersion="3" useAutoFormatting="1" colGrandTotals="0" itemPrintTitles="1" mergeItem="1" createdVersion="8" indent="0" compact="0" compactData="0" gridDropZones="1" multipleFieldFilters="0">
  <location ref="A76:N82" firstHeaderRow="1" firstDataRow="3" firstDataCol="2" rowPageCount="3" colPageCount="1"/>
  <pivotFields count="22">
    <pivotField axis="axisPage" compact="0" numFmtId="14" outline="0" multipleItemSelectionAllowed="1" showAll="0">
      <items count="116">
        <item h="1" x="11"/>
        <item h="1" x="12"/>
        <item h="1" x="13"/>
        <item h="1" x="22"/>
        <item h="1" x="23"/>
        <item h="1" x="24"/>
        <item h="1" x="114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4"/>
        <item h="1" x="15"/>
        <item h="1" x="16"/>
        <item h="1" x="17"/>
        <item h="1" x="18"/>
        <item h="1" x="19"/>
        <item h="1" x="20"/>
        <item h="1" x="21"/>
        <item h="1" x="25"/>
        <item h="1" x="26"/>
        <item h="1" x="27"/>
        <item h="1" x="28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29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x="113"/>
        <item t="default"/>
      </items>
    </pivotField>
    <pivotField axis="axisRow" compact="0" outline="0" showAll="0" rankBy="0">
      <items count="4">
        <item x="1"/>
        <item x="0"/>
        <item x="2"/>
        <item t="default"/>
      </items>
    </pivotField>
    <pivotField axis="axisPage" compact="0" outline="0" multipleItemSelectionAllowed="1" showAll="0">
      <items count="4">
        <item x="0"/>
        <item h="1" x="2"/>
        <item h="1"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multipleItemSelectionAllowed="1" showAll="0" defaultSubtotal="0">
      <items count="5">
        <item x="3"/>
        <item x="2"/>
        <item h="1" x="1"/>
        <item h="1" x="4"/>
        <item h="1" x="0"/>
      </items>
    </pivotField>
    <pivotField compact="0" outline="0" multipleItemSelectionAllowed="1" showAll="0"/>
    <pivotField axis="axisPage" compact="0" outline="0" multipleItemSelectionAllowed="1" showAll="0">
      <items count="3">
        <item h="1" x="1"/>
        <item x="0"/>
        <item t="default"/>
      </items>
    </pivotField>
    <pivotField name="UV2" compact="0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multipleItemSelectionAllowed="1" showAll="0" defaultSubtotal="0">
      <items count="14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h="1" x="11"/>
        <item h="1" x="12"/>
        <item h="1" x="13"/>
      </items>
    </pivotField>
    <pivotField compact="0" outline="0" showAll="0">
      <items count="7">
        <item x="2"/>
        <item x="3"/>
        <item x="0"/>
        <item x="1"/>
        <item x="4"/>
        <item x="5"/>
        <item t="default"/>
      </items>
    </pivotField>
    <pivotField dataField="1" compact="0" outline="0" dragToRow="0" dragToCol="0" dragToPage="0" showAll="0" defaultSubtotal="0"/>
  </pivotFields>
  <rowFields count="2">
    <field x="18"/>
    <field x="1"/>
  </rowFields>
  <rowItems count="4">
    <i>
      <x v="3"/>
      <x/>
    </i>
    <i r="1">
      <x v="1"/>
    </i>
    <i t="default">
      <x v="3"/>
    </i>
    <i t="grand">
      <x/>
    </i>
  </rowItems>
  <colFields count="2">
    <field x="-2"/>
    <field x="13"/>
  </colFields>
  <colItems count="12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i="4">
      <x v="4"/>
      <x/>
    </i>
    <i r="1" i="4">
      <x v="1"/>
    </i>
    <i i="5">
      <x v="5"/>
      <x/>
    </i>
    <i r="1" i="5">
      <x v="1"/>
    </i>
  </colItems>
  <pageFields count="3">
    <pageField fld="15" hier="-1"/>
    <pageField fld="2" hier="-1"/>
    <pageField fld="0" hier="-1"/>
  </pageFields>
  <dataFields count="6">
    <dataField name="UV" fld="3" baseField="18" baseItem="0" numFmtId="178"/>
    <dataField name="UV%" fld="3" baseField="0" baseItem="0" numFmtId="9">
      <extLst>
        <ext xmlns:x14="http://schemas.microsoft.com/office/spreadsheetml/2009/9/main" uri="{E15A36E0-9728-4e99-A89B-3F7291B0FE68}">
          <x14:dataField pivotShowAs="percentOfParentRow"/>
        </ext>
      </extLst>
    </dataField>
    <dataField name="UV YOY" fld="3" showDataAs="percentDiff" baseField="13" baseItem="1048829" numFmtId="9"/>
    <dataField name="求和项:支付买家数" fld="10" baseField="1" baseItem="0" numFmtId="176"/>
    <dataField name="求和项:CVR" fld="21" baseField="1" baseItem="0" numFmtId="10"/>
    <dataField name="CVR YOY" fld="21" showDataAs="percentDiff" baseField="13" baseItem="1048829" numFmtId="9"/>
  </dataFields>
  <formats count="26">
    <format dxfId="285">
      <pivotArea type="all" dataOnly="0" outline="0" fieldPosition="0"/>
    </format>
    <format dxfId="284">
      <pivotArea outline="0" collapsedLevelsAreSubtotals="1" fieldPosition="0"/>
    </format>
    <format dxfId="283">
      <pivotArea type="origin" dataOnly="0" labelOnly="1" outline="0" fieldPosition="0"/>
    </format>
    <format dxfId="282">
      <pivotArea field="-2" type="button" dataOnly="0" labelOnly="1" outline="0" axis="axisCol" fieldPosition="0"/>
    </format>
    <format dxfId="281">
      <pivotArea field="0" type="button" dataOnly="0" labelOnly="1" outline="0" axis="axisPage" fieldPosition="2"/>
    </format>
    <format dxfId="280">
      <pivotArea type="topRight" dataOnly="0" labelOnly="1" outline="0" fieldPosition="0"/>
    </format>
    <format dxfId="279">
      <pivotArea field="1" type="button" dataOnly="0" labelOnly="1" outline="0" axis="axisRow" fieldPosition="1"/>
    </format>
    <format dxfId="278">
      <pivotArea dataOnly="0" labelOnly="1" fieldPosition="0">
        <references count="1">
          <reference field="1" count="2">
            <x v="0"/>
            <x v="1"/>
          </reference>
        </references>
      </pivotArea>
    </format>
    <format dxfId="277">
      <pivotArea dataOnly="0" labelOnly="1" grandRow="1" outline="0" fieldPosition="0"/>
    </format>
    <format dxfId="2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5">
      <pivotArea field="0" dataOnly="0" labelOnly="1" outline="0" axis="axisPage" fieldPosition="2">
        <references count="1">
          <reference field="4294967294" count="1" selected="0">
            <x v="0"/>
          </reference>
        </references>
      </pivotArea>
    </format>
    <format dxfId="274">
      <pivotArea field="0" dataOnly="0" labelOnly="1" outline="0" axis="axisPage" fieldPosition="2">
        <references count="1">
          <reference field="4294967294" count="1" selected="0">
            <x v="1"/>
          </reference>
        </references>
      </pivotArea>
    </format>
    <format dxfId="273">
      <pivotArea type="all" dataOnly="0" outline="0" fieldPosition="0"/>
    </format>
    <format dxfId="272">
      <pivotArea outline="0" collapsedLevelsAreSubtotals="1" fieldPosition="0"/>
    </format>
    <format dxfId="271">
      <pivotArea type="origin" dataOnly="0" labelOnly="1" outline="0" fieldPosition="0"/>
    </format>
    <format dxfId="270">
      <pivotArea field="-2" type="button" dataOnly="0" labelOnly="1" outline="0" axis="axisCol" fieldPosition="0"/>
    </format>
    <format dxfId="269">
      <pivotArea field="0" type="button" dataOnly="0" labelOnly="1" outline="0" axis="axisPage" fieldPosition="2"/>
    </format>
    <format dxfId="268">
      <pivotArea type="topRight" dataOnly="0" labelOnly="1" outline="0" fieldPosition="0"/>
    </format>
    <format dxfId="267">
      <pivotArea field="1" type="button" dataOnly="0" labelOnly="1" outline="0" axis="axisRow" fieldPosition="1"/>
    </format>
    <format dxfId="266">
      <pivotArea dataOnly="0" labelOnly="1" fieldPosition="0">
        <references count="1">
          <reference field="1" count="2">
            <x v="0"/>
            <x v="1"/>
          </reference>
        </references>
      </pivotArea>
    </format>
    <format dxfId="265">
      <pivotArea dataOnly="0" labelOnly="1" grandRow="1" outline="0" fieldPosition="0"/>
    </format>
    <format dxfId="2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3">
      <pivotArea field="0" dataOnly="0" labelOnly="1" outline="0" axis="axisPage" fieldPosition="2">
        <references count="1">
          <reference field="4294967294" count="1" selected="0">
            <x v="0"/>
          </reference>
        </references>
      </pivotArea>
    </format>
    <format dxfId="262">
      <pivotArea field="0" dataOnly="0" labelOnly="1" outline="0" axis="axisPage" fieldPosition="2">
        <references count="1">
          <reference field="4294967294" count="1" selected="0">
            <x v="1"/>
          </reference>
        </references>
      </pivotArea>
    </format>
    <format dxfId="261">
      <pivotArea outline="0" fieldPosition="0">
        <references count="1">
          <reference field="4294967294" count="1">
            <x v="5"/>
          </reference>
        </references>
      </pivotArea>
    </format>
    <format dxfId="26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3B8EA-CDCE-4730-895F-9F6E2587CDB6}" name="数据透视表4" cacheId="30" applyNumberFormats="0" applyBorderFormats="0" applyFontFormats="0" applyPatternFormats="0" applyAlignmentFormats="0" applyWidthHeightFormats="1" dataCaption="值" missingCaption="0" updatedVersion="8" minRefreshableVersion="3" useAutoFormatting="1" colGrandTotals="0" itemPrintTitles="1" createdVersion="8" indent="0" outline="1" outlineData="1" multipleFieldFilters="0">
  <location ref="A6:K49" firstHeaderRow="1" firstDataRow="3" firstDataCol="1" rowPageCount="4" colPageCount="1"/>
  <pivotFields count="22">
    <pivotField axis="axisPage" multipleItemSelectionAllowed="1" showAll="0">
      <items count="4">
        <item x="0"/>
        <item h="1" x="2"/>
        <item h="1" x="1"/>
        <item t="default"/>
      </items>
    </pivotField>
    <pivotField axis="axisPage" numFmtId="14" multipleItemSelectionAllowed="1" showAll="0">
      <items count="183">
        <item x="5"/>
        <item x="4"/>
        <item x="3"/>
        <item x="2"/>
        <item x="1"/>
        <item x="0"/>
        <item x="181"/>
        <item x="6"/>
        <item x="7"/>
        <item x="8"/>
        <item x="9"/>
        <item x="10"/>
        <item x="11"/>
        <item x="12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78"/>
        <item x="179"/>
        <item x="180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73">
        <item x="45"/>
        <item x="57"/>
        <item x="4"/>
        <item x="8"/>
        <item x="13"/>
        <item x="42"/>
        <item x="56"/>
        <item x="48"/>
        <item x="10"/>
        <item x="46"/>
        <item x="7"/>
        <item x="43"/>
        <item x="6"/>
        <item x="9"/>
        <item x="52"/>
        <item x="58"/>
        <item x="47"/>
        <item x="53"/>
        <item x="3"/>
        <item x="2"/>
        <item x="20"/>
        <item x="36"/>
        <item x="37"/>
        <item x="35"/>
        <item x="33"/>
        <item x="31"/>
        <item x="34"/>
        <item x="50"/>
        <item x="29"/>
        <item x="23"/>
        <item x="22"/>
        <item x="30"/>
        <item x="27"/>
        <item x="21"/>
        <item x="32"/>
        <item x="24"/>
        <item x="28"/>
        <item x="25"/>
        <item x="26"/>
        <item x="16"/>
        <item x="49"/>
        <item x="15"/>
        <item x="14"/>
        <item x="18"/>
        <item x="19"/>
        <item x="17"/>
        <item x="55"/>
        <item x="39"/>
        <item x="51"/>
        <item x="41"/>
        <item x="40"/>
        <item x="38"/>
        <item x="5"/>
        <item x="1"/>
        <item x="44"/>
        <item x="0"/>
        <item x="11"/>
        <item x="70"/>
        <item x="12"/>
        <item m="1" x="71"/>
        <item x="54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multipleItemSelectionAllowed="1" showAll="0"/>
    <pivotField axis="axisPage" multipleItemSelectionAllowed="1" showAll="0">
      <items count="14">
        <item x="2"/>
        <item x="1"/>
        <item x="0"/>
        <item x="12"/>
        <item x="3"/>
        <item x="4"/>
        <item x="5"/>
        <item x="6"/>
        <item x="7"/>
        <item x="8"/>
        <item h="1" x="9"/>
        <item h="1" x="10"/>
        <item h="1" x="11"/>
        <item t="default"/>
      </items>
    </pivotField>
    <pivotField axis="axisCol" showAll="0">
      <items count="5">
        <item x="2"/>
        <item x="0"/>
        <item h="1" x="1"/>
        <item h="1" x="3"/>
        <item t="default"/>
      </items>
    </pivotField>
    <pivotField axis="axisPage" multipleItemSelectionAllowed="1" showAll="0">
      <items count="4">
        <item h="1" x="1"/>
        <item h="1" x="2"/>
        <item x="0"/>
        <item t="default"/>
      </items>
    </pivotField>
    <pivotField axis="axisRow" showAll="0">
      <items count="38">
        <item sd="0" x="7"/>
        <item sd="0" x="8"/>
        <item sd="0" x="9"/>
        <item sd="0" x="1"/>
        <item n="MOBILE OTHER SHOP" sd="0" x="2"/>
        <item n="MOBILE SEARCH" sd="0" x="4"/>
        <item n="RECOMMENDATION" sd="0" x="3"/>
        <item n="OTHER FREE" sd="0" x="5"/>
        <item n="FREE OUTSIDE" sd="0" x="6"/>
        <item n="HEYBOX" sd="0" x="0"/>
        <item sd="0" x="10"/>
        <item sd="0" x="11"/>
        <item sd="0" x="12"/>
        <item n="MOBILE LIVESTREAM" sd="0" x="13"/>
        <item n="OTHER APPS" sd="0" x="14"/>
        <item x="15"/>
        <item n="CRM" sd="0" x="16"/>
        <item n="MOBILE TMALL" sd="0" x="17"/>
        <item n="CONTENT" sd="0" x="18"/>
        <item n="CAMPAIGN" sd="0" x="19"/>
        <item n="SCAN" sd="0" x="20"/>
        <item n="ORGANIC" sd="0" x="21"/>
        <item sd="0" x="22"/>
        <item x="23"/>
        <item sd="0" x="24"/>
        <item x="25"/>
        <item x="26"/>
        <item x="27"/>
        <item sd="0" x="28"/>
        <item x="29"/>
        <item x="30"/>
        <item x="31"/>
        <item x="32"/>
        <item x="33"/>
        <item x="34"/>
        <item x="35"/>
        <item n="RESOURCE VENUE" sd="0" x="36"/>
        <item t="default" sd="0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dragToRow="0" dragToCol="0" dragToPage="0" showAll="0" defaultSubtotal="0"/>
  </pivotFields>
  <rowFields count="3">
    <field x="2"/>
    <field x="18"/>
    <field x="3"/>
  </rowFields>
  <rowItems count="41">
    <i>
      <x/>
    </i>
    <i r="1">
      <x v="1"/>
    </i>
    <i r="1">
      <x v="2"/>
    </i>
    <i r="1">
      <x v="10"/>
    </i>
    <i r="1">
      <x v="11"/>
    </i>
    <i>
      <x v="1"/>
    </i>
    <i r="1"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8"/>
    </i>
    <i r="1">
      <x v="29"/>
    </i>
    <i r="2">
      <x v="16"/>
    </i>
    <i r="1">
      <x v="30"/>
    </i>
    <i r="2">
      <x v="36"/>
    </i>
    <i r="1">
      <x v="31"/>
    </i>
    <i r="2">
      <x v="37"/>
    </i>
    <i r="1">
      <x v="32"/>
    </i>
    <i r="2">
      <x v="38"/>
    </i>
    <i r="1">
      <x v="33"/>
    </i>
    <i r="2">
      <x v="39"/>
    </i>
    <i r="1">
      <x v="34"/>
    </i>
    <i r="2">
      <x v="40"/>
    </i>
    <i r="1">
      <x v="35"/>
    </i>
    <i r="2">
      <x v="46"/>
    </i>
    <i r="1">
      <x v="36"/>
    </i>
    <i t="grand">
      <x/>
    </i>
  </rowItems>
  <colFields count="2">
    <field x="-2"/>
    <field x="16"/>
  </colFields>
  <colItems count="10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i="4">
      <x v="4"/>
      <x/>
    </i>
    <i r="1" i="4">
      <x v="1"/>
    </i>
  </colItems>
  <pageFields count="4">
    <pageField fld="17" hier="-1"/>
    <pageField fld="0" hier="-1"/>
    <pageField fld="1" hier="-1"/>
    <pageField fld="15" hier="-1"/>
  </pageFields>
  <dataFields count="5">
    <dataField name="UV" fld="4" baseField="3" baseItem="44" numFmtId="180"/>
    <dataField name="UV%" fld="4" showDataAs="percentOfCol" baseField="0" baseItem="0" numFmtId="9"/>
    <dataField name="BUYERS" fld="11" baseField="0" baseItem="0"/>
    <dataField name="CVR" fld="21" baseField="2" baseItem="0" numFmtId="10"/>
    <dataField name="CVR YOY" fld="21" showDataAs="percentDiff" baseField="16" baseItem="1" numFmtId="10"/>
  </dataFields>
  <formats count="41">
    <format dxfId="326">
      <pivotArea type="all" dataOnly="0" outline="0" fieldPosition="0"/>
    </format>
    <format dxfId="325">
      <pivotArea outline="0" collapsedLevelsAreSubtotals="1" fieldPosition="0"/>
    </format>
    <format dxfId="324">
      <pivotArea type="origin" dataOnly="0" labelOnly="1" outline="0" fieldPosition="0"/>
    </format>
    <format dxfId="323">
      <pivotArea field="-2" type="button" dataOnly="0" labelOnly="1" outline="0" axis="axisCol" fieldPosition="0"/>
    </format>
    <format dxfId="322">
      <pivotArea field="1" type="button" dataOnly="0" labelOnly="1" outline="0" axis="axisPage" fieldPosition="2"/>
    </format>
    <format dxfId="321">
      <pivotArea type="topRight" dataOnly="0" labelOnly="1" outline="0" fieldPosition="0"/>
    </format>
    <format dxfId="320">
      <pivotArea field="2" type="button" dataOnly="0" labelOnly="1" outline="0" axis="axisRow" fieldPosition="0"/>
    </format>
    <format dxfId="319">
      <pivotArea dataOnly="0" labelOnly="1" fieldPosition="0">
        <references count="1">
          <reference field="2" count="2">
            <x v="0"/>
            <x v="1"/>
          </reference>
        </references>
      </pivotArea>
    </format>
    <format dxfId="318">
      <pivotArea dataOnly="0" labelOnly="1" grandRow="1" outline="0" fieldPosition="0"/>
    </format>
    <format dxfId="317">
      <pivotArea dataOnly="0" labelOnly="1" fieldPosition="0">
        <references count="2">
          <reference field="2" count="1" selected="0">
            <x v="0"/>
          </reference>
          <reference field="3" count="4">
            <x v="18"/>
            <x v="19"/>
            <x v="53"/>
            <x v="55"/>
          </reference>
        </references>
      </pivotArea>
    </format>
    <format dxfId="316">
      <pivotArea dataOnly="0" labelOnly="1" fieldPosition="0">
        <references count="2">
          <reference field="2" count="1" selected="0">
            <x v="1"/>
          </reference>
          <reference field="3" count="50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7"/>
            <x v="48"/>
            <x v="49"/>
            <x v="50"/>
            <x v="51"/>
            <x v="52"/>
            <x v="54"/>
            <x v="56"/>
          </reference>
        </references>
      </pivotArea>
    </format>
    <format dxfId="315">
      <pivotArea dataOnly="0" labelOnly="1" fieldPosition="0">
        <references count="2">
          <reference field="2" count="1" selected="0">
            <x v="1"/>
          </reference>
          <reference field="3" count="3">
            <x v="1"/>
            <x v="14"/>
            <x v="46"/>
          </reference>
        </references>
      </pivotArea>
    </format>
    <format dxfId="3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3">
      <pivotArea field="1" dataOnly="0" labelOnly="1" outline="0" axis="axisPage" fieldPosition="2">
        <references count="1">
          <reference field="4294967294" count="1" selected="0">
            <x v="0"/>
          </reference>
        </references>
      </pivotArea>
    </format>
    <format dxfId="312">
      <pivotArea field="1" dataOnly="0" labelOnly="1" outline="0" axis="axisPage" fieldPosition="2">
        <references count="1">
          <reference field="4294967294" count="1" selected="0">
            <x v="1"/>
          </reference>
        </references>
      </pivotArea>
    </format>
    <format dxfId="311">
      <pivotArea type="all" dataOnly="0" outline="0" fieldPosition="0"/>
    </format>
    <format dxfId="310">
      <pivotArea outline="0" collapsedLevelsAreSubtotals="1" fieldPosition="0"/>
    </format>
    <format dxfId="309">
      <pivotArea type="origin" dataOnly="0" labelOnly="1" outline="0" fieldPosition="0"/>
    </format>
    <format dxfId="308">
      <pivotArea field="-2" type="button" dataOnly="0" labelOnly="1" outline="0" axis="axisCol" fieldPosition="0"/>
    </format>
    <format dxfId="307">
      <pivotArea field="1" type="button" dataOnly="0" labelOnly="1" outline="0" axis="axisPage" fieldPosition="2"/>
    </format>
    <format dxfId="306">
      <pivotArea type="topRight" dataOnly="0" labelOnly="1" outline="0" fieldPosition="0"/>
    </format>
    <format dxfId="305">
      <pivotArea field="2" type="button" dataOnly="0" labelOnly="1" outline="0" axis="axisRow" fieldPosition="0"/>
    </format>
    <format dxfId="304">
      <pivotArea dataOnly="0" labelOnly="1" fieldPosition="0">
        <references count="1">
          <reference field="2" count="2">
            <x v="0"/>
            <x v="1"/>
          </reference>
        </references>
      </pivotArea>
    </format>
    <format dxfId="303">
      <pivotArea dataOnly="0" labelOnly="1" grandRow="1" outline="0" fieldPosition="0"/>
    </format>
    <format dxfId="302">
      <pivotArea dataOnly="0" labelOnly="1" fieldPosition="0">
        <references count="2">
          <reference field="2" count="1" selected="0">
            <x v="0"/>
          </reference>
          <reference field="3" count="4">
            <x v="18"/>
            <x v="19"/>
            <x v="53"/>
            <x v="55"/>
          </reference>
        </references>
      </pivotArea>
    </format>
    <format dxfId="301">
      <pivotArea dataOnly="0" labelOnly="1" fieldPosition="0">
        <references count="2">
          <reference field="2" count="1" selected="0">
            <x v="1"/>
          </reference>
          <reference field="3" count="50">
            <x v="0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7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7"/>
            <x v="48"/>
            <x v="49"/>
            <x v="50"/>
            <x v="51"/>
            <x v="52"/>
            <x v="54"/>
            <x v="56"/>
          </reference>
        </references>
      </pivotArea>
    </format>
    <format dxfId="300">
      <pivotArea dataOnly="0" labelOnly="1" fieldPosition="0">
        <references count="2">
          <reference field="2" count="1" selected="0">
            <x v="1"/>
          </reference>
          <reference field="3" count="3">
            <x v="1"/>
            <x v="14"/>
            <x v="46"/>
          </reference>
        </references>
      </pivotArea>
    </format>
    <format dxfId="2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8">
      <pivotArea field="1" dataOnly="0" labelOnly="1" outline="0" axis="axisPage" fieldPosition="2">
        <references count="1">
          <reference field="4294967294" count="1" selected="0">
            <x v="0"/>
          </reference>
        </references>
      </pivotArea>
    </format>
    <format dxfId="297">
      <pivotArea field="1" dataOnly="0" labelOnly="1" outline="0" axis="axisPage" fieldPosition="2">
        <references count="1">
          <reference field="4294967294" count="1" selected="0">
            <x v="1"/>
          </reference>
        </references>
      </pivotArea>
    </format>
    <format dxfId="296">
      <pivotArea outline="0" fieldPosition="0">
        <references count="1">
          <reference field="4294967294" count="1">
            <x v="0"/>
          </reference>
        </references>
      </pivotArea>
    </format>
    <format dxfId="295">
      <pivotArea outline="0" fieldPosition="0">
        <references count="1">
          <reference field="4294967294" count="1">
            <x v="1"/>
          </reference>
        </references>
      </pivotArea>
    </format>
    <format dxfId="294">
      <pivotArea collapsedLevelsAreSubtotals="1" fieldPosition="0">
        <references count="2">
          <reference field="2" count="1" selected="0">
            <x v="1"/>
          </reference>
          <reference field="3" count="10">
            <x v="10"/>
            <x v="11"/>
            <x v="12"/>
            <x v="22"/>
            <x v="26"/>
            <x v="28"/>
            <x v="29"/>
            <x v="31"/>
            <x v="44"/>
            <x v="51"/>
          </reference>
        </references>
      </pivotArea>
    </format>
    <format dxfId="293">
      <pivotArea dataOnly="0" labelOnly="1" fieldPosition="0">
        <references count="2">
          <reference field="2" count="1" selected="0">
            <x v="1"/>
          </reference>
          <reference field="3" count="10">
            <x v="10"/>
            <x v="11"/>
            <x v="12"/>
            <x v="22"/>
            <x v="26"/>
            <x v="28"/>
            <x v="29"/>
            <x v="31"/>
            <x v="44"/>
            <x v="51"/>
          </reference>
        </references>
      </pivotArea>
    </format>
    <format dxfId="292">
      <pivotArea collapsedLevelsAreSubtotals="1" fieldPosition="0">
        <references count="2">
          <reference field="2" count="1" selected="0">
            <x v="1"/>
          </reference>
          <reference field="3" count="1">
            <x v="20"/>
          </reference>
        </references>
      </pivotArea>
    </format>
    <format dxfId="291">
      <pivotArea dataOnly="0" labelOnly="1" fieldPosition="0">
        <references count="2">
          <reference field="2" count="1" selected="0">
            <x v="1"/>
          </reference>
          <reference field="3" count="1">
            <x v="20"/>
          </reference>
        </references>
      </pivotArea>
    </format>
    <format dxfId="290">
      <pivotArea collapsedLevelsAreSubtotals="1" fieldPosition="0">
        <references count="2">
          <reference field="2" count="1" selected="0">
            <x v="1"/>
          </reference>
          <reference field="3" count="2">
            <x v="25"/>
            <x v="32"/>
          </reference>
        </references>
      </pivotArea>
    </format>
    <format dxfId="289">
      <pivotArea dataOnly="0" labelOnly="1" fieldPosition="0">
        <references count="2">
          <reference field="2" count="1" selected="0">
            <x v="1"/>
          </reference>
          <reference field="3" count="2">
            <x v="25"/>
            <x v="32"/>
          </reference>
        </references>
      </pivotArea>
    </format>
    <format dxfId="288">
      <pivotArea dataOnly="0" labelOnly="1" fieldPosition="0">
        <references count="2">
          <reference field="2" count="1" selected="0">
            <x v="1"/>
          </reference>
          <reference field="18" count="1">
            <x v="5"/>
          </reference>
        </references>
      </pivotArea>
    </format>
    <format dxfId="287">
      <pivotArea outline="0" fieldPosition="0">
        <references count="1">
          <reference field="4294967294" count="1">
            <x v="3"/>
          </reference>
        </references>
      </pivotArea>
    </format>
    <format dxfId="286">
      <pivotArea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0500E-AB81-49F5-9B88-515B3C356FD4}" name="数据透视表5" cacheId="41" applyNumberFormats="0" applyBorderFormats="0" applyFontFormats="0" applyPatternFormats="0" applyAlignmentFormats="0" applyWidthHeightFormats="1" dataCaption="值" missingCaption="0" updatedVersion="8" minRefreshableVersion="3" colGrandTotals="0" itemPrintTitles="1" createdVersion="8" indent="0" outline="1" outlineData="1" multipleFieldFilters="0">
  <location ref="AC7:AK23" firstHeaderRow="1" firstDataRow="3" firstDataCol="1" rowPageCount="5" colPageCount="1"/>
  <pivotFields count="22">
    <pivotField axis="axisPage" multipleItemSelectionAllowed="1" showAll="0">
      <items count="4">
        <item x="0"/>
        <item h="1" x="2"/>
        <item h="1" x="1"/>
        <item t="default"/>
      </items>
    </pivotField>
    <pivotField axis="axisPage" numFmtId="14" multipleItemSelectionAllowed="1" showAll="0">
      <items count="183">
        <item x="4"/>
        <item x="1"/>
        <item x="3"/>
        <item x="0"/>
        <item x="181"/>
        <item x="5"/>
        <item x="2"/>
        <item x="6"/>
        <item x="7"/>
        <item x="8"/>
        <item x="9"/>
        <item x="10"/>
        <item x="11"/>
        <item x="12"/>
        <item x="13"/>
        <item x="148"/>
        <item x="149"/>
        <item x="150"/>
        <item x="151"/>
        <item x="152"/>
        <item x="153"/>
        <item x="154"/>
        <item x="155"/>
        <item x="156"/>
        <item x="157"/>
        <item x="14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78"/>
        <item x="179"/>
        <item x="180"/>
        <item t="default"/>
      </items>
    </pivotField>
    <pivotField axis="axisPage" multipleItemSelectionAllowed="1" showAll="0" sortType="descending">
      <items count="4">
        <item x="0"/>
        <item x="1"/>
        <item h="1"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5" count="0" selected="0" defaultSubtotal="1"/>
          </references>
        </pivotArea>
      </autoSortScope>
    </pivotField>
    <pivotField axis="axisRow" multipleItemSelectionAllowed="1" showAll="0">
      <items count="16">
        <item x="10"/>
        <item x="8"/>
        <item x="9"/>
        <item x="13"/>
        <item x="5"/>
        <item x="6"/>
        <item x="2"/>
        <item x="3"/>
        <item x="12"/>
        <item x="4"/>
        <item x="11"/>
        <item x="1"/>
        <item x="0"/>
        <item x="7"/>
        <item x="14"/>
        <item t="default"/>
      </items>
    </pivotField>
    <pivotField axis="axisRow" showAll="0">
      <items count="56">
        <item x="48"/>
        <item x="33"/>
        <item x="22"/>
        <item x="31"/>
        <item x="26"/>
        <item n="SUPER VIDEO" x="20"/>
        <item x="32"/>
        <item x="27"/>
        <item x="49"/>
        <item n="SUPER LS" x="41"/>
        <item x="12"/>
        <item x="47"/>
        <item x="46"/>
        <item x="16"/>
        <item x="15"/>
        <item x="23"/>
        <item x="45"/>
        <item x="30"/>
        <item n="BRANDZONE" x="21"/>
        <item x="13"/>
        <item x="3"/>
        <item x="28"/>
        <item x="11"/>
        <item x="4"/>
        <item x="5"/>
        <item x="6"/>
        <item x="7"/>
        <item x="10"/>
        <item x="8"/>
        <item x="9"/>
        <item x="29"/>
        <item x="44"/>
        <item x="42"/>
        <item x="43"/>
        <item x="19"/>
        <item x="17"/>
        <item x="18"/>
        <item x="35"/>
        <item x="24"/>
        <item x="36"/>
        <item x="37"/>
        <item x="39"/>
        <item x="38"/>
        <item x="14"/>
        <item n="AI" x="0"/>
        <item n="DISPLAY" x="1"/>
        <item n="SEARCH" x="2"/>
        <item x="25"/>
        <item x="51"/>
        <item x="40"/>
        <item x="34"/>
        <item x="50"/>
        <item m="1" x="52"/>
        <item m="1" x="53"/>
        <item m="1" x="54"/>
        <item t="default"/>
      </items>
    </pivotField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sortType="descending"/>
    <pivotField axis="axisPage" multipleItemSelectionAllowed="1" showAll="0" sortType="descending">
      <items count="14">
        <item h="1" x="12"/>
        <item x="8"/>
        <item x="7"/>
        <item x="6"/>
        <item x="5"/>
        <item x="4"/>
        <item x="3"/>
        <item x="2"/>
        <item x="1"/>
        <item x="0"/>
        <item h="1" x="11"/>
        <item h="1" x="10"/>
        <item h="1" x="9"/>
        <item t="default"/>
      </items>
    </pivotField>
    <pivotField showAll="0"/>
    <pivotField axis="axisCol" showAll="0">
      <items count="5">
        <item x="2"/>
        <item x="1"/>
        <item h="1" x="0"/>
        <item h="1" x="3"/>
        <item t="default"/>
      </items>
    </pivotField>
    <pivotField axis="axisPage" multipleItemSelectionAllowed="1" showAll="0">
      <items count="4">
        <item h="1" x="1"/>
        <item h="1" x="2"/>
        <item x="0"/>
        <item t="default"/>
      </items>
    </pivotField>
    <pivotField axis="axisRow" showAll="0">
      <items count="52">
        <item h="1" sd="0" x="36"/>
        <item h="1" sd="0" x="27"/>
        <item h="1" sd="0" x="34"/>
        <item h="1" sd="0" x="1"/>
        <item n="OUTSIDE" sd="0" x="43"/>
        <item h="1" sd="0" x="30"/>
        <item n="SUPER LS" sd="0" x="23"/>
        <item h="1" sd="0" x="11"/>
        <item h="1" sd="0" x="22"/>
        <item h="1" sd="0" x="13"/>
        <item h="1" sd="0" x="12"/>
        <item h="1" sd="0" x="28"/>
        <item n="SUPER VIDEO" sd="0" x="46"/>
        <item h="1" x="47"/>
        <item n="BRANDZONE" sd="0" x="24"/>
        <item h="1" sd="0" x="2"/>
        <item h="1" sd="0" x="31"/>
        <item h="1" sd="0" x="10"/>
        <item h="1" sd="0" x="3"/>
        <item h="1" sd="0" x="4"/>
        <item h="1" sd="0" x="5"/>
        <item h="1" sd="0" x="6"/>
        <item h="1" sd="0" x="9"/>
        <item h="1" sd="0" x="7"/>
        <item h="1" sd="0" x="8"/>
        <item h="1" sd="0" x="32"/>
        <item h="1" sd="0" x="19"/>
        <item h="1" sd="0" x="17"/>
        <item h="1" sd="0" x="18"/>
        <item h="1" sd="0" x="16"/>
        <item h="1" sd="0" x="14"/>
        <item h="1" sd="0" x="15"/>
        <item h="1" sd="0" x="37"/>
        <item n="AFF" sd="0" x="29"/>
        <item h="1" sd="0" x="38"/>
        <item h="1" sd="0" x="20"/>
        <item h="1" sd="0" x="21"/>
        <item h="1" sd="0" x="39"/>
        <item h="1" sd="0" x="33"/>
        <item n="AI" sd="0" x="25"/>
        <item n="DISPLAY" sd="0" x="26"/>
        <item n="SEARCH" sd="0" x="35"/>
        <item h="1" sd="0" x="0"/>
        <item h="1" sd="0" x="42"/>
        <item h="1" sd="0" x="40"/>
        <item h="1" sd="0" x="41"/>
        <item h="1" sd="0" x="44"/>
        <item n="JCGP" sd="0" x="45"/>
        <item h="1" x="48"/>
        <item h="1" x="49"/>
        <item h="1" x="50"/>
        <item t="default" sd="0"/>
      </items>
    </pivotField>
    <pivotField dataField="1" dragToRow="0" dragToCol="0" dragToPage="0" showAll="0" defaultSubtotal="0"/>
  </pivotFields>
  <rowFields count="3">
    <field x="3"/>
    <field x="20"/>
    <field x="4"/>
  </rowFields>
  <rowItems count="14">
    <i>
      <x v="4"/>
    </i>
    <i r="1">
      <x v="6"/>
    </i>
    <i r="1">
      <x v="12"/>
    </i>
    <i>
      <x v="5"/>
    </i>
    <i r="1">
      <x v="4"/>
    </i>
    <i r="1">
      <x v="14"/>
    </i>
    <i r="1">
      <x v="47"/>
    </i>
    <i>
      <x v="12"/>
    </i>
    <i r="1">
      <x v="39"/>
    </i>
    <i r="1">
      <x v="40"/>
    </i>
    <i r="1">
      <x v="41"/>
    </i>
    <i>
      <x v="13"/>
    </i>
    <i r="1">
      <x v="33"/>
    </i>
    <i t="grand">
      <x/>
    </i>
  </rowItems>
  <colFields count="2">
    <field x="-2"/>
    <field x="18"/>
  </colFields>
  <colItems count="8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</colItems>
  <pageFields count="5">
    <pageField fld="19" hier="-1"/>
    <pageField fld="0" hier="-1"/>
    <pageField fld="2" hier="-1"/>
    <pageField fld="1" hier="-1"/>
    <pageField fld="16" hier="-1"/>
  </pageFields>
  <dataFields count="4">
    <dataField name="UV" fld="5" baseField="3" baseItem="44" numFmtId="180"/>
    <dataField name="UV%" fld="5" showDataAs="percentOfCol" baseField="0" baseItem="0" numFmtId="9"/>
    <dataField name="BUYERS" fld="10" baseField="17" baseItem="40"/>
    <dataField name="求和项:CVR" fld="21" baseField="3" baseItem="4" numFmtId="10"/>
  </dataFields>
  <formats count="45">
    <format dxfId="371">
      <pivotArea type="all" dataOnly="0" outline="0" fieldPosition="0"/>
    </format>
    <format dxfId="370">
      <pivotArea outline="0" collapsedLevelsAreSubtotals="1" fieldPosition="0"/>
    </format>
    <format dxfId="369">
      <pivotArea type="origin" dataOnly="0" labelOnly="1" outline="0" fieldPosition="0"/>
    </format>
    <format dxfId="368">
      <pivotArea field="-2" type="button" dataOnly="0" labelOnly="1" outline="0" axis="axisCol" fieldPosition="0"/>
    </format>
    <format dxfId="367">
      <pivotArea field="1" type="button" dataOnly="0" labelOnly="1" outline="0" axis="axisPage" fieldPosition="3"/>
    </format>
    <format dxfId="366">
      <pivotArea type="topRight" dataOnly="0" labelOnly="1" outline="0" fieldPosition="0"/>
    </format>
    <format dxfId="365">
      <pivotArea field="2" type="button" dataOnly="0" labelOnly="1" outline="0" axis="axisPage" fieldPosition="2"/>
    </format>
    <format dxfId="364">
      <pivotArea dataOnly="0" labelOnly="1" fieldPosition="0">
        <references count="1">
          <reference field="2" count="2">
            <x v="0"/>
            <x v="1"/>
          </reference>
        </references>
      </pivotArea>
    </format>
    <format dxfId="363">
      <pivotArea dataOnly="0" labelOnly="1" grandRow="1" outline="0" fieldPosition="0"/>
    </format>
    <format dxfId="362">
      <pivotArea dataOnly="0" labelOnly="1" fieldPosition="0">
        <references count="2">
          <reference field="2" count="1" selected="0">
            <x v="0"/>
          </reference>
          <reference field="3" count="4">
            <x v="4"/>
            <x v="5"/>
            <x v="12"/>
            <x v="13"/>
          </reference>
        </references>
      </pivotArea>
    </format>
    <format dxfId="361">
      <pivotArea dataOnly="0" labelOnly="1" fieldPosition="0">
        <references count="2">
          <reference field="2" count="1" selected="0">
            <x v="1"/>
          </reference>
          <reference field="3" count="9">
            <x v="1"/>
            <x v="2"/>
            <x v="3"/>
            <x v="6"/>
            <x v="7"/>
            <x v="8"/>
            <x v="9"/>
            <x v="10"/>
            <x v="11"/>
          </reference>
        </references>
      </pivotArea>
    </format>
    <format dxfId="360">
      <pivotArea dataOnly="0" labelOnly="1" fieldPosition="0">
        <references count="2">
          <reference field="2" count="1" selected="0">
            <x v="1"/>
          </reference>
          <reference field="3" count="1">
            <x v="0"/>
          </reference>
        </references>
      </pivotArea>
    </format>
    <format dxfId="35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8">
      <pivotArea field="1" dataOnly="0" labelOnly="1" outline="0" axis="axisPage" fieldPosition="3">
        <references count="1">
          <reference field="4294967294" count="1" selected="0">
            <x v="0"/>
          </reference>
        </references>
      </pivotArea>
    </format>
    <format dxfId="357">
      <pivotArea field="1" dataOnly="0" labelOnly="1" outline="0" axis="axisPage" fieldPosition="3">
        <references count="1">
          <reference field="4294967294" count="1" selected="0">
            <x v="1"/>
          </reference>
        </references>
      </pivotArea>
    </format>
    <format dxfId="356">
      <pivotArea type="all" dataOnly="0" outline="0" fieldPosition="0"/>
    </format>
    <format dxfId="355">
      <pivotArea outline="0" collapsedLevelsAreSubtotals="1" fieldPosition="0"/>
    </format>
    <format dxfId="354">
      <pivotArea type="origin" dataOnly="0" labelOnly="1" outline="0" fieldPosition="0"/>
    </format>
    <format dxfId="353">
      <pivotArea field="-2" type="button" dataOnly="0" labelOnly="1" outline="0" axis="axisCol" fieldPosition="0"/>
    </format>
    <format dxfId="352">
      <pivotArea field="1" type="button" dataOnly="0" labelOnly="1" outline="0" axis="axisPage" fieldPosition="3"/>
    </format>
    <format dxfId="351">
      <pivotArea type="topRight" dataOnly="0" labelOnly="1" outline="0" fieldPosition="0"/>
    </format>
    <format dxfId="350">
      <pivotArea field="2" type="button" dataOnly="0" labelOnly="1" outline="0" axis="axisPage" fieldPosition="2"/>
    </format>
    <format dxfId="349">
      <pivotArea dataOnly="0" labelOnly="1" fieldPosition="0">
        <references count="1">
          <reference field="2" count="2">
            <x v="0"/>
            <x v="1"/>
          </reference>
        </references>
      </pivotArea>
    </format>
    <format dxfId="348">
      <pivotArea dataOnly="0" labelOnly="1" grandRow="1" outline="0" fieldPosition="0"/>
    </format>
    <format dxfId="347">
      <pivotArea dataOnly="0" labelOnly="1" fieldPosition="0">
        <references count="2">
          <reference field="2" count="1" selected="0">
            <x v="0"/>
          </reference>
          <reference field="3" count="4">
            <x v="4"/>
            <x v="5"/>
            <x v="12"/>
            <x v="13"/>
          </reference>
        </references>
      </pivotArea>
    </format>
    <format dxfId="346">
      <pivotArea dataOnly="0" labelOnly="1" fieldPosition="0">
        <references count="2">
          <reference field="2" count="1" selected="0">
            <x v="1"/>
          </reference>
          <reference field="3" count="9">
            <x v="1"/>
            <x v="2"/>
            <x v="3"/>
            <x v="6"/>
            <x v="7"/>
            <x v="8"/>
            <x v="9"/>
            <x v="10"/>
            <x v="11"/>
          </reference>
        </references>
      </pivotArea>
    </format>
    <format dxfId="345">
      <pivotArea dataOnly="0" labelOnly="1" fieldPosition="0">
        <references count="2">
          <reference field="2" count="1" selected="0">
            <x v="1"/>
          </reference>
          <reference field="3" count="1">
            <x v="0"/>
          </reference>
        </references>
      </pivotArea>
    </format>
    <format dxfId="3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3">
      <pivotArea field="1" dataOnly="0" labelOnly="1" outline="0" axis="axisPage" fieldPosition="3">
        <references count="1">
          <reference field="4294967294" count="1" selected="0">
            <x v="0"/>
          </reference>
        </references>
      </pivotArea>
    </format>
    <format dxfId="342">
      <pivotArea field="1" dataOnly="0" labelOnly="1" outline="0" axis="axisPage" fieldPosition="3">
        <references count="1">
          <reference field="4294967294" count="1" selected="0">
            <x v="1"/>
          </reference>
        </references>
      </pivotArea>
    </format>
    <format dxfId="341">
      <pivotArea outline="0" fieldPosition="0">
        <references count="1">
          <reference field="4294967294" count="1">
            <x v="0"/>
          </reference>
        </references>
      </pivotArea>
    </format>
    <format dxfId="340">
      <pivotArea outline="0" fieldPosition="0">
        <references count="1">
          <reference field="4294967294" count="1">
            <x v="1"/>
          </reference>
        </references>
      </pivotArea>
    </format>
    <format dxfId="339">
      <pivotArea collapsedLevelsAreSubtotals="1" fieldPosition="0">
        <references count="3">
          <reference field="2" count="1" selected="0">
            <x v="0"/>
          </reference>
          <reference field="3" count="1" selected="0">
            <x v="4"/>
          </reference>
          <reference field="4" count="3">
            <x v="5"/>
            <x v="9"/>
            <x v="11"/>
          </reference>
        </references>
      </pivotArea>
    </format>
    <format dxfId="338">
      <pivotArea collapsedLevelsAreSubtotals="1" fieldPosition="0">
        <references count="2">
          <reference field="2" count="1" selected="0">
            <x v="0"/>
          </reference>
          <reference field="3" count="1">
            <x v="5"/>
          </reference>
        </references>
      </pivotArea>
    </format>
    <format dxfId="337">
      <pivotArea collapsedLevelsAreSubtotals="1" fieldPosition="0">
        <references count="3">
          <reference field="2" count="1" selected="0">
            <x v="0"/>
          </reference>
          <reference field="3" count="1" selected="0">
            <x v="5"/>
          </reference>
          <reference field="4" count="6">
            <x v="0"/>
            <x v="6"/>
            <x v="8"/>
            <x v="16"/>
            <x v="17"/>
            <x v="18"/>
          </reference>
        </references>
      </pivotArea>
    </format>
    <format dxfId="336">
      <pivotArea dataOnly="0" labelOnly="1" fieldPosition="0">
        <references count="2">
          <reference field="2" count="1" selected="0">
            <x v="0"/>
          </reference>
          <reference field="3" count="1">
            <x v="5"/>
          </reference>
        </references>
      </pivotArea>
    </format>
    <format dxfId="335">
      <pivotArea dataOnly="0" labelOnly="1" fieldPosition="0">
        <references count="3">
          <reference field="2" count="1" selected="0">
            <x v="0"/>
          </reference>
          <reference field="3" count="1" selected="0">
            <x v="4"/>
          </reference>
          <reference field="4" count="3">
            <x v="5"/>
            <x v="9"/>
            <x v="11"/>
          </reference>
        </references>
      </pivotArea>
    </format>
    <format dxfId="334">
      <pivotArea dataOnly="0" labelOnly="1" fieldPosition="0">
        <references count="3">
          <reference field="2" count="1" selected="0">
            <x v="0"/>
          </reference>
          <reference field="3" count="1" selected="0">
            <x v="5"/>
          </reference>
          <reference field="4" count="6">
            <x v="0"/>
            <x v="6"/>
            <x v="8"/>
            <x v="16"/>
            <x v="17"/>
            <x v="18"/>
          </reference>
        </references>
      </pivotArea>
    </format>
    <format dxfId="333">
      <pivotArea collapsedLevelsAreSubtotals="1" fieldPosition="0">
        <references count="1">
          <reference field="2" count="1">
            <x v="1"/>
          </reference>
        </references>
      </pivotArea>
    </format>
    <format dxfId="332">
      <pivotArea dataOnly="0" labelOnly="1" fieldPosition="0">
        <references count="1">
          <reference field="2" count="1">
            <x v="1"/>
          </reference>
        </references>
      </pivotArea>
    </format>
    <format dxfId="331">
      <pivotArea collapsedLevelsAreSubtotals="1" fieldPosition="0">
        <references count="2">
          <reference field="2" count="1" selected="0">
            <x v="0"/>
          </reference>
          <reference field="3" count="1">
            <x v="13"/>
          </reference>
        </references>
      </pivotArea>
    </format>
    <format dxfId="330">
      <pivotArea collapsedLevelsAreSubtotals="1" fieldPosition="0">
        <references count="3">
          <reference field="2" count="1" selected="0">
            <x v="0"/>
          </reference>
          <reference field="3" count="1" selected="0">
            <x v="13"/>
          </reference>
          <reference field="4" count="1">
            <x v="38"/>
          </reference>
        </references>
      </pivotArea>
    </format>
    <format dxfId="329">
      <pivotArea dataOnly="0" labelOnly="1" fieldPosition="0">
        <references count="2">
          <reference field="2" count="1" selected="0">
            <x v="0"/>
          </reference>
          <reference field="3" count="1">
            <x v="13"/>
          </reference>
        </references>
      </pivotArea>
    </format>
    <format dxfId="328">
      <pivotArea dataOnly="0" labelOnly="1" fieldPosition="0">
        <references count="3">
          <reference field="2" count="1" selected="0">
            <x v="0"/>
          </reference>
          <reference field="3" count="1" selected="0">
            <x v="13"/>
          </reference>
          <reference field="4" count="1">
            <x v="38"/>
          </reference>
        </references>
      </pivotArea>
    </format>
    <format dxfId="327">
      <pivotArea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6A6F4-3E7B-4706-8432-08EEE318A18F}" name="数据透视表1" cacheId="9" applyNumberFormats="0" applyBorderFormats="0" applyFontFormats="0" applyPatternFormats="0" applyAlignmentFormats="0" applyWidthHeightFormats="1" dataCaption="值" updatedVersion="8" minRefreshableVersion="3" colGrandTotals="0" itemPrintTitles="1" mergeItem="1" createdVersion="8" indent="0" compact="0" compactData="0" gridDropZones="1" multipleFieldFilters="0">
  <location ref="A8:Y14" firstHeaderRow="1" firstDataRow="4" firstDataCol="1" rowPageCount="2" colPageCount="1"/>
  <pivotFields count="12">
    <pivotField axis="axisPage" compact="0" outline="0" multipleItemSelectionAllowed="1" showAll="0">
      <items count="3">
        <item x="0"/>
        <item h="1" x="1"/>
        <item t="default"/>
      </items>
    </pivotField>
    <pivotField compact="0" outline="0" multipleItemSelectionAllowed="1" showAll="0" sortType="descending" defaultSubtotal="0">
      <items count="19">
        <item sd="0"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Col" compact="0" outline="0" showAll="0" defaultSubtotal="0">
      <items count="4">
        <item n="dun" x="1"/>
        <item n="zegna" x="2"/>
        <item n="bc" x="0"/>
        <item x="3"/>
      </items>
    </pivotField>
    <pivotField axis="axisRow" compact="0" outline="0" showAll="0">
      <items count="4">
        <item x="1"/>
        <item x="0"/>
        <item h="1" x="2"/>
        <item t="default"/>
      </items>
    </pivotField>
    <pivotField name="uv2" dataField="1" compact="0" outline="0" showAll="0"/>
    <pivotField compact="0" outline="0" showAll="0"/>
    <pivotField compact="0" outline="0" showAll="0"/>
    <pivotField name="buyers2" dataField="1" compact="0" outline="0" showAll="0"/>
    <pivotField dataField="1" compact="0" outline="0" showAll="0"/>
    <pivotField axis="axisCol" compact="0" outline="0" showAll="0" defaultSubtotal="0">
      <items count="3">
        <item x="1"/>
        <item x="0"/>
        <item x="2"/>
      </items>
    </pivotField>
    <pivotField axis="axisPage" compact="0" outline="0" multipleItemSelectionAllowed="1" showAll="0">
      <items count="11">
        <item h="1" x="0"/>
        <item h="1" x="1"/>
        <item h="1" x="2"/>
        <item h="1" x="3"/>
        <item h="1" x="4"/>
        <item h="1" x="5"/>
        <item h="1" x="6"/>
        <item h="1" x="7"/>
        <item x="8"/>
        <item h="1" x="9"/>
        <item t="default"/>
      </items>
    </pivotField>
    <pivotField compact="0" outline="0" dragToRow="0" dragToCol="0" dragToPage="0" showAll="0" defaultSubtotal="0"/>
  </pivotFields>
  <rowFields count="1">
    <field x="3"/>
  </rowFields>
  <rowItems count="3">
    <i>
      <x/>
    </i>
    <i>
      <x v="1"/>
    </i>
    <i t="grand">
      <x/>
    </i>
  </rowItems>
  <colFields count="3">
    <field x="-2"/>
    <field x="9"/>
    <field x="2"/>
  </colFields>
  <colItems count="24">
    <i>
      <x/>
      <x/>
      <x/>
    </i>
    <i r="2">
      <x v="1"/>
    </i>
    <i r="2">
      <x v="2"/>
    </i>
    <i r="1">
      <x v="1"/>
      <x/>
    </i>
    <i r="2">
      <x v="1"/>
    </i>
    <i r="2">
      <x v="2"/>
    </i>
    <i i="1">
      <x v="1"/>
      <x/>
      <x/>
    </i>
    <i r="2" i="1">
      <x v="1"/>
    </i>
    <i r="2" i="1">
      <x v="2"/>
    </i>
    <i r="1" i="1">
      <x v="1"/>
      <x/>
    </i>
    <i r="2" i="1">
      <x v="1"/>
    </i>
    <i r="2" i="1">
      <x v="2"/>
    </i>
    <i i="2">
      <x v="2"/>
      <x/>
      <x/>
    </i>
    <i r="2" i="2">
      <x v="1"/>
    </i>
    <i r="2" i="2">
      <x v="2"/>
    </i>
    <i r="1" i="2">
      <x v="1"/>
      <x/>
    </i>
    <i r="2" i="2">
      <x v="1"/>
    </i>
    <i r="2" i="2">
      <x v="2"/>
    </i>
    <i i="3">
      <x v="3"/>
      <x/>
      <x/>
    </i>
    <i r="2" i="3">
      <x v="1"/>
    </i>
    <i r="2" i="3">
      <x v="2"/>
    </i>
    <i r="1" i="3">
      <x v="1"/>
      <x/>
    </i>
    <i r="2" i="3">
      <x v="1"/>
    </i>
    <i r="2" i="3">
      <x v="2"/>
    </i>
  </colItems>
  <pageFields count="2">
    <pageField fld="0" hier="-1"/>
    <pageField fld="10" hier="-1"/>
  </pageFields>
  <dataFields count="4">
    <dataField name="uv" fld="4" baseField="3" baseItem="0" numFmtId="176"/>
    <dataField name="uv%" fld="4" showDataAs="percentOfCol" baseField="0" baseItem="0" numFmtId="9"/>
    <dataField name="buyers" fld="7" baseField="3" baseItem="0" numFmtId="176"/>
    <dataField name="gmv " fld="8" baseField="3" baseItem="0" numFmtId="176"/>
  </dataFields>
  <formats count="14">
    <format dxfId="234">
      <pivotArea type="all" dataOnly="0" outline="0" fieldPosition="0"/>
    </format>
    <format dxfId="233">
      <pivotArea outline="0" collapsedLevelsAreSubtotals="1" fieldPosition="0"/>
    </format>
    <format dxfId="232">
      <pivotArea type="origin" dataOnly="0" labelOnly="1" outline="0" fieldPosition="0"/>
    </format>
    <format dxfId="231">
      <pivotArea field="-2" type="button" dataOnly="0" labelOnly="1" outline="0" axis="axisCol" fieldPosition="0"/>
    </format>
    <format dxfId="230">
      <pivotArea field="2" type="button" dataOnly="0" labelOnly="1" outline="0" axis="axisCol" fieldPosition="2"/>
    </format>
    <format dxfId="229">
      <pivotArea field="1" type="button" dataOnly="0" labelOnly="1" outline="0"/>
    </format>
    <format dxfId="228">
      <pivotArea type="topRight" dataOnly="0" labelOnly="1" outline="0" fieldPosition="0"/>
    </format>
    <format dxfId="227">
      <pivotArea field="3" type="button" dataOnly="0" labelOnly="1" outline="0" axis="axisRow" fieldPosition="0"/>
    </format>
    <format dxfId="226">
      <pivotArea dataOnly="0" labelOnly="1" outline="0" fieldPosition="0">
        <references count="1">
          <reference field="3" count="0"/>
        </references>
      </pivotArea>
    </format>
    <format dxfId="225">
      <pivotArea dataOnly="0" labelOnly="1" grandRow="1" outline="0" fieldPosition="0"/>
    </format>
    <format dxfId="224">
      <pivotArea outline="0" fieldPosition="0">
        <references count="1">
          <reference field="4294967294" count="1">
            <x v="3"/>
          </reference>
        </references>
      </pivotArea>
    </format>
    <format dxfId="223">
      <pivotArea outline="0" fieldPosition="0">
        <references count="1">
          <reference field="4294967294" count="1">
            <x v="0"/>
          </reference>
        </references>
      </pivotArea>
    </format>
    <format dxfId="222">
      <pivotArea outline="0" fieldPosition="0">
        <references count="1">
          <reference field="4294967294" count="1">
            <x v="2"/>
          </reference>
        </references>
      </pivotArea>
    </format>
    <format dxfId="221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903AE-F061-45EA-831A-470D795907AA}" name="数据透视表4" cacheId="10" dataPosition="0" applyNumberFormats="0" applyBorderFormats="0" applyFontFormats="0" applyPatternFormats="0" applyAlignmentFormats="0" applyWidthHeightFormats="1" dataCaption="值" missingCaption="0" updatedVersion="8" minRefreshableVersion="3" colGrandTotals="0" itemPrintTitles="1" mergeItem="1" createdVersion="8" indent="0" compact="0" compactData="0" gridDropZones="1" multipleFieldFilters="0">
  <location ref="A30:Z54" firstHeaderRow="1" firstDataRow="4" firstDataCol="2" rowPageCount="3" colPageCount="1"/>
  <pivotFields count="13">
    <pivotField axis="axisPage" compact="0" outline="0" showAll="0">
      <items count="3">
        <item x="0"/>
        <item x="1"/>
        <item t="default"/>
      </items>
    </pivotField>
    <pivotField axis="axisPage" compact="0" outline="0" multipleItemSelectionAllowed="1" showAll="0" sortType="descending" defaultSubtotal="0">
      <items count="22"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Col" compact="0" outline="0" showAll="0" defaultSubtotal="0">
      <items count="4">
        <item n="dun" x="1"/>
        <item n="zegna" x="2"/>
        <item n="bc" x="0"/>
        <item h="1" x="3"/>
      </items>
    </pivotField>
    <pivotField compact="0" outline="0" showAll="0"/>
    <pivotField axis="axisRow" compact="0" outline="0" showAll="0" sortType="descending">
      <items count="30">
        <item m="1" x="17"/>
        <item m="1" x="18"/>
        <item m="1" x="21"/>
        <item m="1" x="20"/>
        <item m="1" x="24"/>
        <item m="1" x="23"/>
        <item m="1" x="25"/>
        <item m="1" x="28"/>
        <item m="1" x="19"/>
        <item m="1" x="22"/>
        <item m="1" x="27"/>
        <item m="1" x="26"/>
        <item x="12"/>
        <item x="8"/>
        <item x="4"/>
        <item x="11"/>
        <item x="13"/>
        <item x="15"/>
        <item x="14"/>
        <item x="1"/>
        <item x="7"/>
        <item x="10"/>
        <item x="5"/>
        <item x="0"/>
        <item x="2"/>
        <item x="6"/>
        <item x="9"/>
        <item x="3"/>
        <item x="16"/>
        <item t="default"/>
      </items>
      <autoSortScope>
        <pivotArea dataOnly="0" outline="0" fieldPosition="0">
          <references count="3">
            <reference field="4294967294" count="1" selected="0">
              <x v="0"/>
            </reference>
            <reference field="2" count="1" selected="0">
              <x v="0"/>
            </reference>
            <reference field="10" count="1" selected="0">
              <x v="0"/>
            </reference>
          </references>
        </pivotArea>
      </autoSortScope>
    </pivotField>
    <pivotField name="uv2" dataField="1"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axis="axisCol" compact="0" outline="0" showAll="0" defaultSubtotal="0">
      <items count="3">
        <item x="1"/>
        <item x="0"/>
        <item x="2"/>
      </items>
    </pivotField>
    <pivotField axis="axisPage" compact="0" outline="0" multipleItemSelectionAllowed="1" showAll="0">
      <items count="14">
        <item h="1" x="9"/>
        <item h="1" x="10"/>
        <item h="1" x="11"/>
        <item h="1" x="0"/>
        <item h="1" x="1"/>
        <item h="1" x="2"/>
        <item h="1" x="3"/>
        <item h="1" x="4"/>
        <item h="1" x="5"/>
        <item h="1" x="6"/>
        <item h="1" x="7"/>
        <item x="8"/>
        <item h="1" x="12"/>
        <item t="default"/>
      </items>
    </pivotField>
    <pivotField axis="axisRow" compact="0" outline="0" showAll="0">
      <items count="18">
        <item x="0"/>
        <item x="1"/>
        <item x="4"/>
        <item x="3"/>
        <item x="7"/>
        <item x="6"/>
        <item x="8"/>
        <item x="11"/>
        <item x="2"/>
        <item x="5"/>
        <item x="10"/>
        <item x="9"/>
        <item n="JCGP" x="13"/>
        <item n="内容投放" x="12"/>
        <item n="站内付费" x="16"/>
        <item n="站外投放" x="14"/>
        <item x="15"/>
        <item t="default"/>
      </items>
    </pivotField>
  </pivotFields>
  <rowFields count="2">
    <field x="12"/>
    <field x="4"/>
  </rowFields>
  <rowItems count="21">
    <i>
      <x v="14"/>
      <x v="22"/>
    </i>
    <i r="1">
      <x v="24"/>
    </i>
    <i r="1">
      <x v="23"/>
    </i>
    <i r="1">
      <x v="27"/>
    </i>
    <i r="1">
      <x v="26"/>
    </i>
    <i r="1">
      <x v="25"/>
    </i>
    <i t="default">
      <x v="14"/>
    </i>
    <i>
      <x v="13"/>
      <x v="16"/>
    </i>
    <i r="1">
      <x v="14"/>
    </i>
    <i r="1">
      <x v="18"/>
    </i>
    <i r="1">
      <x v="17"/>
    </i>
    <i t="default">
      <x v="13"/>
    </i>
    <i>
      <x v="15"/>
      <x v="19"/>
    </i>
    <i r="1">
      <x v="13"/>
    </i>
    <i r="1">
      <x v="15"/>
    </i>
    <i r="1">
      <x v="20"/>
    </i>
    <i t="default">
      <x v="15"/>
    </i>
    <i>
      <x v="12"/>
      <x v="21"/>
    </i>
    <i r="1">
      <x v="12"/>
    </i>
    <i t="default">
      <x v="12"/>
    </i>
    <i t="grand">
      <x/>
    </i>
  </rowItems>
  <colFields count="3">
    <field x="-2"/>
    <field x="10"/>
    <field x="2"/>
  </colFields>
  <colItems count="24">
    <i>
      <x/>
      <x/>
      <x/>
    </i>
    <i r="2">
      <x v="1"/>
    </i>
    <i r="2">
      <x v="2"/>
    </i>
    <i r="1">
      <x v="1"/>
      <x/>
    </i>
    <i r="2">
      <x v="1"/>
    </i>
    <i r="2">
      <x v="2"/>
    </i>
    <i i="1">
      <x v="1"/>
      <x/>
      <x/>
    </i>
    <i r="2" i="1">
      <x v="1"/>
    </i>
    <i r="2" i="1">
      <x v="2"/>
    </i>
    <i r="1" i="1">
      <x v="1"/>
      <x/>
    </i>
    <i r="2" i="1">
      <x v="1"/>
    </i>
    <i r="2" i="1">
      <x v="2"/>
    </i>
    <i i="2">
      <x v="2"/>
      <x/>
      <x/>
    </i>
    <i r="2" i="2">
      <x v="1"/>
    </i>
    <i r="2" i="2">
      <x v="2"/>
    </i>
    <i r="1" i="2">
      <x v="1"/>
      <x/>
    </i>
    <i r="2" i="2">
      <x v="1"/>
    </i>
    <i r="2" i="2">
      <x v="2"/>
    </i>
    <i i="3">
      <x v="3"/>
      <x/>
      <x/>
    </i>
    <i r="2" i="3">
      <x v="1"/>
    </i>
    <i r="2" i="3">
      <x v="2"/>
    </i>
    <i r="1" i="3">
      <x v="1"/>
      <x/>
    </i>
    <i r="2" i="3">
      <x v="1"/>
    </i>
    <i r="2" i="3">
      <x v="2"/>
    </i>
  </colItems>
  <pageFields count="3">
    <pageField fld="0" hier="-1"/>
    <pageField fld="1" hier="-1"/>
    <pageField fld="11" hier="-1"/>
  </pageFields>
  <dataFields count="4">
    <dataField name="uv" fld="5" baseField="4" baseItem="14" numFmtId="176"/>
    <dataField name="uv%" fld="5" showDataAs="percentOfCol" baseField="0" baseItem="0" numFmtId="9"/>
    <dataField name="buyers " fld="8" baseField="4" baseItem="12" numFmtId="176"/>
    <dataField name="gmv " fld="9" baseField="4" baseItem="21" numFmtId="176"/>
  </dataFields>
  <formats count="25">
    <format dxfId="259">
      <pivotArea type="all" dataOnly="0" outline="0" fieldPosition="0"/>
    </format>
    <format dxfId="258">
      <pivotArea outline="0" collapsedLevelsAreSubtotals="1" fieldPosition="0"/>
    </format>
    <format dxfId="257">
      <pivotArea type="origin" dataOnly="0" labelOnly="1" outline="0" fieldPosition="0"/>
    </format>
    <format dxfId="256">
      <pivotArea field="1" type="button" dataOnly="0" labelOnly="1" outline="0" axis="axisPage" fieldPosition="1"/>
    </format>
    <format dxfId="255">
      <pivotArea field="2" type="button" dataOnly="0" labelOnly="1" outline="0" axis="axisCol" fieldPosition="2"/>
    </format>
    <format dxfId="254">
      <pivotArea type="topRight" dataOnly="0" labelOnly="1" outline="0" fieldPosition="0"/>
    </format>
    <format dxfId="253">
      <pivotArea field="4" type="button" dataOnly="0" labelOnly="1" outline="0" axis="axisRow" fieldPosition="1"/>
    </format>
    <format dxfId="252">
      <pivotArea dataOnly="0" labelOnly="1" grandRow="1" outline="0" fieldPosition="0"/>
    </format>
    <format dxfId="251">
      <pivotArea dataOnly="0" labelOnly="1" grandCol="1" outline="0" fieldPosition="0"/>
    </format>
    <format dxfId="250">
      <pivotArea type="all" dataOnly="0" outline="0" fieldPosition="0"/>
    </format>
    <format dxfId="249">
      <pivotArea outline="0" collapsedLevelsAreSubtotals="1" fieldPosition="0"/>
    </format>
    <format dxfId="248">
      <pivotArea type="origin" dataOnly="0" labelOnly="1" outline="0" fieldPosition="0"/>
    </format>
    <format dxfId="247">
      <pivotArea field="1" type="button" dataOnly="0" labelOnly="1" outline="0" axis="axisPage" fieldPosition="1"/>
    </format>
    <format dxfId="246">
      <pivotArea field="2" type="button" dataOnly="0" labelOnly="1" outline="0" axis="axisCol" fieldPosition="2"/>
    </format>
    <format dxfId="245">
      <pivotArea type="topRight" dataOnly="0" labelOnly="1" outline="0" fieldPosition="0"/>
    </format>
    <format dxfId="244">
      <pivotArea field="4" type="button" dataOnly="0" labelOnly="1" outline="0" axis="axisRow" fieldPosition="1"/>
    </format>
    <format dxfId="243">
      <pivotArea dataOnly="0" labelOnly="1" grandRow="1" outline="0" fieldPosition="0"/>
    </format>
    <format dxfId="242">
      <pivotArea dataOnly="0" labelOnly="1" grandCol="1" outline="0" fieldPosition="0"/>
    </format>
    <format dxfId="241">
      <pivotArea dataOnly="0" outline="0" fieldPosition="0">
        <references count="1">
          <reference field="2" count="1">
            <x v="1"/>
          </reference>
        </references>
      </pivotArea>
    </format>
    <format dxfId="240">
      <pivotArea dataOnly="0" outline="0" fieldPosition="0">
        <references count="1">
          <reference field="2" count="1">
            <x v="2"/>
          </reference>
        </references>
      </pivotArea>
    </format>
    <format dxfId="239">
      <pivotArea dataOnly="0" outline="0" fieldPosition="0">
        <references count="1">
          <reference field="2" count="1">
            <x v="0"/>
          </reference>
        </references>
      </pivotArea>
    </format>
    <format dxfId="238">
      <pivotArea outline="0" fieldPosition="0">
        <references count="1">
          <reference field="4294967294" count="1">
            <x v="0"/>
          </reference>
        </references>
      </pivotArea>
    </format>
    <format dxfId="237">
      <pivotArea outline="0" fieldPosition="0">
        <references count="1">
          <reference field="4294967294" count="1">
            <x v="2"/>
          </reference>
        </references>
      </pivotArea>
    </format>
    <format dxfId="236">
      <pivotArea outline="0" fieldPosition="0">
        <references count="1">
          <reference field="4294967294" count="1">
            <x v="3"/>
          </reference>
        </references>
      </pivotArea>
    </format>
    <format dxfId="235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88F26-3051-4544-89F0-D9C2F25EEA6E}" name="数据透视表1" cacheId="13" dataPosition="0" applyNumberFormats="0" applyBorderFormats="0" applyFontFormats="0" applyPatternFormats="0" applyAlignmentFormats="0" applyWidthHeightFormats="1" dataCaption="值" errorCaption="0" showError="1" missingCaption="0" updatedVersion="8" minRefreshableVersion="3" colGrandTotals="0" itemPrintTitles="1" createdVersion="8" indent="0" outline="1" outlineData="1" multipleFieldFilters="0">
  <location ref="O3:AG12" firstHeaderRow="1" firstDataRow="3" firstDataCol="1" rowPageCount="1" colPageCount="1"/>
  <pivotFields count="12">
    <pivotField axis="axisPage" numFmtId="14" multipleItemSelectionAllowed="1" showAll="0">
      <items count="19">
        <item x="9"/>
        <item x="8"/>
        <item x="7"/>
        <item x="6"/>
        <item x="5"/>
        <item x="11"/>
        <item x="13"/>
        <item x="15"/>
        <item x="4"/>
        <item x="3"/>
        <item x="2"/>
        <item x="1"/>
        <item x="0"/>
        <item x="10"/>
        <item x="12"/>
        <item x="14"/>
        <item x="16"/>
        <item x="17"/>
        <item t="default"/>
      </items>
    </pivotField>
    <pivotField showAll="0"/>
    <pivotField axis="axisRow" showAll="0" rankBy="0">
      <items count="7">
        <item x="0"/>
        <item x="1"/>
        <item x="4"/>
        <item x="3"/>
        <item x="2"/>
        <item x="5"/>
        <item t="default"/>
      </items>
    </pivotField>
    <pivotField dataField="1" numFmtId="176" showAll="0"/>
    <pivotField numFmtId="9" showAll="0"/>
    <pivotField showAll="0"/>
    <pivotField numFmtId="10" showAll="0"/>
    <pivotField dataField="1" showAll="0"/>
    <pivotField dataField="1" numFmtId="176" showAll="0"/>
    <pivotField numFmtId="10" showAll="0"/>
    <pivotField axis="axisCol" showAll="0">
      <items count="3">
        <item x="0"/>
        <item x="1"/>
        <item t="default"/>
      </items>
    </pivotField>
    <pivotField dataField="1" dragToRow="0" dragToCol="0" dragToPage="0" showAll="0" defaultSubtota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-2"/>
    <field x="10"/>
  </colFields>
  <colItems count="18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i="3">
      <x v="3"/>
      <x/>
    </i>
    <i r="1" i="3">
      <x v="1"/>
    </i>
    <i i="4">
      <x v="4"/>
      <x/>
    </i>
    <i r="1" i="4">
      <x v="1"/>
    </i>
    <i i="5">
      <x v="5"/>
      <x/>
    </i>
    <i r="1" i="5">
      <x v="1"/>
    </i>
    <i i="6">
      <x v="6"/>
      <x/>
    </i>
    <i r="1" i="6">
      <x v="1"/>
    </i>
    <i i="7">
      <x v="7"/>
      <x/>
    </i>
    <i r="1" i="7">
      <x v="1"/>
    </i>
    <i i="8">
      <x v="8"/>
      <x/>
    </i>
    <i r="1" i="8">
      <x v="1"/>
    </i>
  </colItems>
  <pageFields count="1">
    <pageField fld="0" hier="-1"/>
  </pageFields>
  <dataFields count="9">
    <dataField name="求和项:uv" fld="3" baseField="0" baseItem="0" numFmtId="176"/>
    <dataField name="uv value yoy" fld="3" showDataAs="difference" baseField="10" baseItem="1048829" numFmtId="176"/>
    <dataField name="uv yoy" fld="3" showDataAs="percentDiff" baseField="10" baseItem="1048829" numFmtId="9"/>
    <dataField name="uv% " fld="3" showDataAs="percentOfCol" baseField="0" baseItem="0" numFmtId="9"/>
    <dataField name="求和项:order" fld="7" baseField="0" baseItem="0"/>
    <dataField name="求和项:cvr%" fld="11" baseField="2" baseItem="1" numFmtId="10"/>
    <dataField name="cvr% yoy" fld="11" showDataAs="percentDiff" baseField="10" baseItem="1048829" numFmtId="9"/>
    <dataField name="求和项:amount" fld="8" baseField="0" baseItem="0" numFmtId="176"/>
    <dataField name="求和项:amount2" fld="8" showDataAs="difference" baseField="10" baseItem="1048829" numFmtId="176"/>
  </dataFields>
  <formats count="34">
    <format dxfId="220">
      <pivotArea type="all" dataOnly="0" outline="0" fieldPosition="0"/>
    </format>
    <format dxfId="219">
      <pivotArea outline="0" collapsedLevelsAreSubtotals="1" fieldPosition="0"/>
    </format>
    <format dxfId="218">
      <pivotArea type="origin" dataOnly="0" labelOnly="1" outline="0" fieldPosition="0"/>
    </format>
    <format dxfId="217">
      <pivotArea field="-2" type="button" dataOnly="0" labelOnly="1" outline="0" axis="axisCol" fieldPosition="0"/>
    </format>
    <format dxfId="216">
      <pivotArea field="10" type="button" dataOnly="0" labelOnly="1" outline="0" axis="axisCol" fieldPosition="1"/>
    </format>
    <format dxfId="215">
      <pivotArea type="topRight" dataOnly="0" labelOnly="1" outline="0" fieldPosition="0"/>
    </format>
    <format dxfId="214">
      <pivotArea field="2" type="button" dataOnly="0" labelOnly="1" outline="0" axis="axisRow" fieldPosition="0"/>
    </format>
    <format dxfId="213">
      <pivotArea dataOnly="0" labelOnly="1" fieldPosition="0">
        <references count="1">
          <reference field="2" count="0"/>
        </references>
      </pivotArea>
    </format>
    <format dxfId="212">
      <pivotArea dataOnly="0" labelOnly="1" grandRow="1" outline="0" fieldPosition="0"/>
    </format>
    <format dxfId="21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210">
      <pivotArea dataOnly="0" labelOnly="1" fieldPosition="0">
        <references count="2">
          <reference field="4294967294" count="1" selected="0">
            <x v="0"/>
          </reference>
          <reference field="10" count="0"/>
        </references>
      </pivotArea>
    </format>
    <format dxfId="209">
      <pivotArea dataOnly="0" labelOnly="1" fieldPosition="0">
        <references count="2">
          <reference field="4294967294" count="1" selected="0">
            <x v="3"/>
          </reference>
          <reference field="10" count="0"/>
        </references>
      </pivotArea>
    </format>
    <format dxfId="208">
      <pivotArea dataOnly="0" labelOnly="1" fieldPosition="0">
        <references count="2">
          <reference field="4294967294" count="1" selected="0">
            <x v="1"/>
          </reference>
          <reference field="10" count="0"/>
        </references>
      </pivotArea>
    </format>
    <format dxfId="207">
      <pivotArea dataOnly="0" labelOnly="1" fieldPosition="0">
        <references count="2">
          <reference field="4294967294" count="1" selected="0">
            <x v="2"/>
          </reference>
          <reference field="10" count="0"/>
        </references>
      </pivotArea>
    </format>
    <format dxfId="206">
      <pivotArea dataOnly="0" labelOnly="1" fieldPosition="0">
        <references count="2">
          <reference field="4294967294" count="1" selected="0">
            <x v="4"/>
          </reference>
          <reference field="10" count="0"/>
        </references>
      </pivotArea>
    </format>
    <format dxfId="205">
      <pivotArea dataOnly="0" labelOnly="1" fieldPosition="0">
        <references count="2">
          <reference field="4294967294" count="1" selected="0">
            <x v="5"/>
          </reference>
          <reference field="10" count="0"/>
        </references>
      </pivotArea>
    </format>
    <format dxfId="204">
      <pivotArea dataOnly="0" labelOnly="1" fieldPosition="0">
        <references count="2">
          <reference field="4294967294" count="1" selected="0">
            <x v="6"/>
          </reference>
          <reference field="10" count="0"/>
        </references>
      </pivotArea>
    </format>
    <format dxfId="203">
      <pivotArea type="all" dataOnly="0" outline="0" fieldPosition="0"/>
    </format>
    <format dxfId="202">
      <pivotArea outline="0" collapsedLevelsAreSubtotals="1" fieldPosition="0"/>
    </format>
    <format dxfId="201">
      <pivotArea type="origin" dataOnly="0" labelOnly="1" outline="0" fieldPosition="0"/>
    </format>
    <format dxfId="200">
      <pivotArea field="-2" type="button" dataOnly="0" labelOnly="1" outline="0" axis="axisCol" fieldPosition="0"/>
    </format>
    <format dxfId="199">
      <pivotArea field="10" type="button" dataOnly="0" labelOnly="1" outline="0" axis="axisCol" fieldPosition="1"/>
    </format>
    <format dxfId="198">
      <pivotArea type="topRight" dataOnly="0" labelOnly="1" outline="0" fieldPosition="0"/>
    </format>
    <format dxfId="197">
      <pivotArea field="2" type="button" dataOnly="0" labelOnly="1" outline="0" axis="axisRow" fieldPosition="0"/>
    </format>
    <format dxfId="196">
      <pivotArea dataOnly="0" labelOnly="1" fieldPosition="0">
        <references count="1">
          <reference field="2" count="0"/>
        </references>
      </pivotArea>
    </format>
    <format dxfId="195">
      <pivotArea dataOnly="0" labelOnly="1" grandRow="1" outline="0" fieldPosition="0"/>
    </format>
    <format dxfId="194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93">
      <pivotArea dataOnly="0" labelOnly="1" fieldPosition="0">
        <references count="2">
          <reference field="4294967294" count="1" selected="0">
            <x v="0"/>
          </reference>
          <reference field="10" count="0"/>
        </references>
      </pivotArea>
    </format>
    <format dxfId="192">
      <pivotArea dataOnly="0" labelOnly="1" fieldPosition="0">
        <references count="2">
          <reference field="4294967294" count="1" selected="0">
            <x v="3"/>
          </reference>
          <reference field="10" count="0"/>
        </references>
      </pivotArea>
    </format>
    <format dxfId="191">
      <pivotArea dataOnly="0" labelOnly="1" fieldPosition="0">
        <references count="2">
          <reference field="4294967294" count="1" selected="0">
            <x v="1"/>
          </reference>
          <reference field="10" count="0"/>
        </references>
      </pivotArea>
    </format>
    <format dxfId="190">
      <pivotArea dataOnly="0" labelOnly="1" fieldPosition="0">
        <references count="2">
          <reference field="4294967294" count="1" selected="0">
            <x v="2"/>
          </reference>
          <reference field="10" count="0"/>
        </references>
      </pivotArea>
    </format>
    <format dxfId="189">
      <pivotArea dataOnly="0" labelOnly="1" fieldPosition="0">
        <references count="2">
          <reference field="4294967294" count="1" selected="0">
            <x v="4"/>
          </reference>
          <reference field="10" count="0"/>
        </references>
      </pivotArea>
    </format>
    <format dxfId="188">
      <pivotArea dataOnly="0" labelOnly="1" fieldPosition="0">
        <references count="2">
          <reference field="4294967294" count="1" selected="0">
            <x v="5"/>
          </reference>
          <reference field="10" count="0"/>
        </references>
      </pivotArea>
    </format>
    <format dxfId="187">
      <pivotArea dataOnly="0" labelOnly="1" fieldPosition="0">
        <references count="2">
          <reference field="4294967294" count="1" selected="0">
            <x v="6"/>
          </reference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A7502-6352-4C9D-9304-FB43103940F8}" name="数据透视表1" cacheId="5" applyNumberFormats="0" applyBorderFormats="0" applyFontFormats="0" applyPatternFormats="0" applyAlignmentFormats="0" applyWidthHeightFormats="1" dataCaption="值" updatedVersion="8" minRefreshableVersion="3" useAutoFormatting="1" colGrandTotals="0" itemPrintTitles="1" mergeItem="1" createdVersion="8" indent="0" compact="0" compactData="0" gridDropZones="1" multipleFieldFilters="0">
  <location ref="X1:AU10" firstHeaderRow="1" firstDataRow="3" firstDataCol="2"/>
  <pivotFields count="13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3">
        <item x="1"/>
        <item x="0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0"/>
    <field x="1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Fields count="2">
    <field x="2"/>
    <field x="-2"/>
  </colFields>
  <colItems count="22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r="1" i="7">
      <x v="7"/>
    </i>
    <i r="1" i="8">
      <x v="8"/>
    </i>
    <i r="1" i="9">
      <x v="9"/>
    </i>
    <i r="1" i="10">
      <x v="10"/>
    </i>
  </colItems>
  <dataFields count="11">
    <dataField name="求和项:net_sales" fld="3" baseField="1" baseItem="0" numFmtId="181"/>
    <dataField name="求和项:net_sales%" fld="3" showDataAs="percentOfCol" baseField="0" baseItem="0" numFmtId="9"/>
    <dataField name="求和项:net_buyers" fld="8" baseField="0" baseItem="0"/>
    <dataField name="求和项:net_buyers2" fld="8" showDataAs="percentOfCol" baseField="0" baseItem="0" numFmtId="9"/>
    <dataField name="求和项:net_units" fld="4" baseField="1" baseItem="0" numFmtId="176"/>
    <dataField name="求和项:buyers" fld="5" baseField="1" baseItem="0" numFmtId="176"/>
    <dataField name="求和项:gmv" fld="6" baseField="1" baseItem="0" numFmtId="181"/>
    <dataField name="求和项:units" fld="7" baseField="1" baseItem="0" numFmtId="176"/>
    <dataField name="求和项:net_upt" fld="11" baseField="1" baseItem="0" numFmtId="195"/>
    <dataField name="求和项:rrc" fld="10" baseField="1" baseItem="0" numFmtId="9"/>
    <dataField name="求和项:net_atv" fld="12" baseField="1" baseItem="0" numFmtId="176"/>
  </dataFields>
  <formats count="16">
    <format dxfId="186">
      <pivotArea type="all" dataOnly="0" outline="0" fieldPosition="0"/>
    </format>
    <format dxfId="185">
      <pivotArea outline="0" collapsedLevelsAreSubtotals="1" fieldPosition="0"/>
    </format>
    <format dxfId="184">
      <pivotArea type="origin" dataOnly="0" labelOnly="1" outline="0" fieldPosition="0"/>
    </format>
    <format dxfId="183">
      <pivotArea field="2" type="button" dataOnly="0" labelOnly="1" outline="0" axis="axisCol" fieldPosition="0"/>
    </format>
    <format dxfId="182">
      <pivotArea field="-2" type="button" dataOnly="0" labelOnly="1" outline="0" axis="axisCol" fieldPosition="1"/>
    </format>
    <format dxfId="181">
      <pivotArea type="topRight" dataOnly="0" labelOnly="1" outline="0" fieldPosition="0"/>
    </format>
    <format dxfId="180">
      <pivotArea field="0" type="button" dataOnly="0" labelOnly="1" outline="0" axis="axisRow" fieldPosition="0"/>
    </format>
    <format dxfId="179">
      <pivotArea field="1" type="button" dataOnly="0" labelOnly="1" outline="0" axis="axisRow" fieldPosition="1"/>
    </format>
    <format dxfId="178">
      <pivotArea dataOnly="0" labelOnly="1" outline="0" fieldPosition="0">
        <references count="1">
          <reference field="0" count="0"/>
        </references>
      </pivotArea>
    </format>
    <format dxfId="177">
      <pivotArea dataOnly="0" labelOnly="1" outline="0" fieldPosition="0">
        <references count="1">
          <reference field="0" count="0" defaultSubtotal="1"/>
        </references>
      </pivotArea>
    </format>
    <format dxfId="176">
      <pivotArea dataOnly="0" labelOnly="1" grandRow="1" outline="0" fieldPosition="0"/>
    </format>
    <format dxfId="175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174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173">
      <pivotArea dataOnly="0" labelOnly="1" outline="0" fieldPosition="0">
        <references count="1">
          <reference field="2" count="0"/>
        </references>
      </pivotArea>
    </format>
    <format dxfId="172">
      <pivotArea dataOnly="0" labelOnly="1" outline="0" fieldPosition="0">
        <references count="2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  <reference field="2" count="1" selected="0">
            <x v="0"/>
          </reference>
        </references>
      </pivotArea>
    </format>
    <format dxfId="171">
      <pivotArea dataOnly="0" labelOnly="1" outline="0" fieldPosition="0">
        <references count="2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  <reference field="2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B642E4-B9AC-4236-97A4-4C4C3A423D9E}" name="数据透视表1" cacheId="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G2:H35" firstHeaderRow="1" firstDataRow="1" firstDataCol="1"/>
  <pivotFields count="7">
    <pivotField axis="axisRow" numFmtId="14" showAll="0">
      <items count="1188"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48"/>
        <item x="947"/>
        <item x="946"/>
        <item x="945"/>
        <item x="944"/>
        <item x="943"/>
        <item x="942"/>
        <item x="941"/>
        <item x="940"/>
        <item x="939"/>
        <item x="938"/>
        <item x="937"/>
        <item x="936"/>
        <item x="935"/>
        <item x="934"/>
        <item x="933"/>
        <item x="932"/>
        <item x="931"/>
        <item x="930"/>
        <item x="929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904"/>
        <item x="903"/>
        <item x="90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1"/>
        <item x="880"/>
        <item x="879"/>
        <item x="878"/>
        <item x="877"/>
        <item x="876"/>
        <item x="875"/>
        <item x="874"/>
        <item x="873"/>
        <item x="872"/>
        <item x="871"/>
        <item x="870"/>
        <item x="869"/>
        <item x="868"/>
        <item x="867"/>
        <item x="866"/>
        <item x="865"/>
        <item x="864"/>
        <item x="863"/>
        <item x="862"/>
        <item x="861"/>
        <item x="860"/>
        <item x="859"/>
        <item x="858"/>
        <item x="857"/>
        <item x="856"/>
        <item x="855"/>
        <item x="854"/>
        <item x="853"/>
        <item x="852"/>
        <item x="851"/>
        <item x="850"/>
        <item x="849"/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186"/>
        <item t="default"/>
      </items>
    </pivotField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x="2"/>
        <item x="3"/>
        <item x="4"/>
        <item sd="0" x="5"/>
        <item t="default"/>
      </items>
    </pivotField>
  </pivotFields>
  <rowFields count="3">
    <field x="6"/>
    <field x="4"/>
    <field x="0"/>
  </rowFields>
  <rowItems count="33">
    <i>
      <x/>
    </i>
    <i>
      <x v="1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t="grand">
      <x/>
    </i>
  </rowItems>
  <colItems count="1">
    <i/>
  </colItems>
  <dataFields count="1">
    <dataField name="求和项:净增粉丝数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E69B1-5DD6-427C-834B-FD9FDAC76105}" name="数据透视表1" cacheId="7" applyNumberFormats="0" applyBorderFormats="0" applyFontFormats="0" applyPatternFormats="0" applyAlignmentFormats="0" applyWidthHeightFormats="1" dataCaption="值" errorCaption="0" showError="1" missingCaption="0" updatedVersion="8" minRefreshableVersion="3" useAutoFormatting="1" itemPrintTitles="1" mergeItem="1" createdVersion="8" indent="0" compact="0" compactData="0" gridDropZones="1" multipleFieldFilters="0">
  <location ref="N7:V44" firstHeaderRow="1" firstDataRow="2" firstDataCol="3" rowPageCount="1" colPageCount="1"/>
  <pivotFields count="13">
    <pivotField axis="axisPage" compact="0" numFmtId="14" outline="0" multipleItemSelectionAllowed="1" showAll="0">
      <items count="21">
        <item h="1" m="1" x="8"/>
        <item h="1" m="1" x="9"/>
        <item h="1" m="1" x="10"/>
        <item h="1" m="1" x="11"/>
        <item h="1" m="1" x="12"/>
        <item h="1" m="1" x="13"/>
        <item h="1" m="1" x="14"/>
        <item h="1" m="1" x="15"/>
        <item h="1" m="1" x="16"/>
        <item h="1" m="1" x="17"/>
        <item h="1" m="1" x="18"/>
        <item h="1" m="1" x="19"/>
        <item h="1" x="0"/>
        <item h="1" x="1"/>
        <item h="1" x="2"/>
        <item h="1" x="3"/>
        <item h="1" x="4"/>
        <item h="1" x="5"/>
        <item x="6"/>
        <item h="1" x="7"/>
        <item t="default"/>
      </items>
    </pivotField>
    <pivotField axis="axisRow" compact="0" outline="0" showAll="0">
      <items count="7">
        <item m="1" x="5"/>
        <item x="1"/>
        <item x="0"/>
        <item x="2"/>
        <item x="3"/>
        <item x="4"/>
        <item t="default"/>
      </items>
    </pivotField>
    <pivotField axis="axisRow" compact="0" outline="0" showAll="0" sortType="descending">
      <items count="29">
        <item m="1" x="11"/>
        <item m="1" x="19"/>
        <item m="1" x="15"/>
        <item x="8"/>
        <item x="6"/>
        <item m="1" x="20"/>
        <item m="1" x="16"/>
        <item m="1" x="17"/>
        <item x="4"/>
        <item x="2"/>
        <item m="1" x="23"/>
        <item m="1" x="13"/>
        <item m="1" x="22"/>
        <item m="1" x="25"/>
        <item m="1" x="24"/>
        <item m="1" x="12"/>
        <item m="1" x="14"/>
        <item m="1" x="21"/>
        <item m="1" x="18"/>
        <item m="1" x="26"/>
        <item m="1" x="27"/>
        <item x="0"/>
        <item x="1"/>
        <item x="3"/>
        <item x="5"/>
        <item x="7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sortType="descending">
      <items count="34">
        <item x="12"/>
        <item x="4"/>
        <item x="3"/>
        <item m="1" x="26"/>
        <item x="17"/>
        <item x="0"/>
        <item x="10"/>
        <item x="7"/>
        <item m="1" x="28"/>
        <item m="1" x="30"/>
        <item x="6"/>
        <item m="1" x="29"/>
        <item m="1" x="31"/>
        <item x="13"/>
        <item x="2"/>
        <item x="16"/>
        <item x="14"/>
        <item x="5"/>
        <item x="9"/>
        <item m="1" x="24"/>
        <item m="1" x="25"/>
        <item x="11"/>
        <item m="1" x="27"/>
        <item m="1" x="32"/>
        <item x="8"/>
        <item x="18"/>
        <item x="19"/>
        <item x="20"/>
        <item x="21"/>
        <item x="22"/>
        <item x="23"/>
        <item x="1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dragToRow="0" dragToCol="0" dragToPage="0" showAll="0" defaultSubtotal="0"/>
    <pivotField compact="0" outline="0" dragToRow="0" dragToCol="0" dragToPage="0" showAll="0" defaultSubtotal="0"/>
  </pivotFields>
  <rowFields count="3">
    <field x="1"/>
    <field x="2"/>
    <field x="4"/>
  </rowFields>
  <rowItems count="36">
    <i>
      <x v="1"/>
      <x v="22"/>
      <x v="31"/>
    </i>
    <i r="2">
      <x v="32"/>
    </i>
    <i r="2">
      <x v="14"/>
    </i>
    <i r="2">
      <x v="28"/>
    </i>
    <i t="default" r="1">
      <x v="22"/>
    </i>
    <i r="1">
      <x v="26"/>
      <x v="27"/>
    </i>
    <i t="default" r="1">
      <x v="26"/>
    </i>
    <i r="1">
      <x v="25"/>
      <x v="26"/>
    </i>
    <i r="2">
      <x v="13"/>
    </i>
    <i t="default" r="1">
      <x v="25"/>
    </i>
    <i t="default">
      <x v="1"/>
    </i>
    <i>
      <x v="2"/>
      <x v="9"/>
      <x v="2"/>
    </i>
    <i t="default" r="1">
      <x v="9"/>
    </i>
    <i r="1">
      <x v="21"/>
      <x v="5"/>
    </i>
    <i t="default" r="1">
      <x v="21"/>
    </i>
    <i r="1">
      <x v="23"/>
      <x v="1"/>
    </i>
    <i r="2">
      <x v="21"/>
    </i>
    <i t="default" r="1">
      <x v="23"/>
    </i>
    <i r="1">
      <x v="24"/>
      <x/>
    </i>
    <i r="2">
      <x v="7"/>
    </i>
    <i r="2">
      <x v="10"/>
    </i>
    <i t="default" r="1">
      <x v="24"/>
    </i>
    <i r="1">
      <x v="8"/>
      <x v="18"/>
    </i>
    <i r="2">
      <x v="6"/>
    </i>
    <i r="2">
      <x v="15"/>
    </i>
    <i r="2">
      <x v="25"/>
    </i>
    <i r="2">
      <x v="29"/>
    </i>
    <i t="default" r="1">
      <x v="8"/>
    </i>
    <i t="default">
      <x v="2"/>
    </i>
    <i>
      <x v="3"/>
      <x v="4"/>
      <x v="24"/>
    </i>
    <i t="default" r="1">
      <x v="4"/>
    </i>
    <i t="default">
      <x v="3"/>
    </i>
    <i>
      <x v="4"/>
      <x v="3"/>
      <x v="4"/>
    </i>
    <i t="default" r="1">
      <x v="3"/>
    </i>
    <i t="default"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hier="-1"/>
  </pageFields>
  <dataFields count="6">
    <dataField name="求和项:TY_UV" fld="5" baseField="4" baseItem="2" numFmtId="176"/>
    <dataField name="求和项:TY_ORDERS" fld="6" baseField="0" baseItem="0"/>
    <dataField name="求和项:TY_SALES" fld="7" baseField="4" baseItem="2" numFmtId="176"/>
    <dataField name="求和项:LY_UV" fld="8" baseField="4" baseItem="2" numFmtId="176"/>
    <dataField name="求和项:LY_ORDERS" fld="9" baseField="0" baseItem="0"/>
    <dataField name="求和项:LY_SALES" fld="10" baseField="0" baseItem="0"/>
  </dataFields>
  <formats count="13">
    <format dxfId="170">
      <pivotArea type="all" dataOnly="0" outline="0" fieldPosition="0"/>
    </format>
    <format dxfId="169">
      <pivotArea outline="0" collapsedLevelsAreSubtotals="1" fieldPosition="0"/>
    </format>
    <format dxfId="168">
      <pivotArea type="origin" dataOnly="0" labelOnly="1" outline="0" fieldPosition="0"/>
    </format>
    <format dxfId="167">
      <pivotArea field="-2" type="button" dataOnly="0" labelOnly="1" outline="0" axis="axisCol" fieldPosition="0"/>
    </format>
    <format dxfId="166">
      <pivotArea type="topRight" dataOnly="0" labelOnly="1" outline="0" fieldPosition="0"/>
    </format>
    <format dxfId="165">
      <pivotArea field="4" type="button" dataOnly="0" labelOnly="1" outline="0" axis="axisRow" fieldPosition="2"/>
    </format>
    <format dxfId="164">
      <pivotArea dataOnly="0" labelOnly="1" grandRow="1" outline="0" fieldPosition="0"/>
    </format>
    <format dxfId="163">
      <pivotArea outline="0" fieldPosition="0">
        <references count="2">
          <reference field="1" count="1" selected="0">
            <x v="0"/>
          </reference>
          <reference field="2" count="1" selected="0">
            <x v="4"/>
          </reference>
        </references>
      </pivotArea>
    </format>
    <format dxfId="162">
      <pivotArea dataOnly="0" labelOnly="1" outline="0" offset="IV256" fieldPosition="0">
        <references count="1">
          <reference field="1" count="1">
            <x v="0"/>
          </reference>
        </references>
      </pivotArea>
    </format>
    <format dxfId="161">
      <pivotArea dataOnly="0" labelOnly="1" outline="0" fieldPosition="0">
        <references count="2">
          <reference field="1" count="1" selected="0">
            <x v="0"/>
          </reference>
          <reference field="2" count="1">
            <x v="4"/>
          </reference>
        </references>
      </pivotArea>
    </format>
    <format dxfId="160">
      <pivotArea outline="0" fieldPosition="0">
        <references count="1">
          <reference field="4294967294" count="1">
            <x v="0"/>
          </reference>
        </references>
      </pivotArea>
    </format>
    <format dxfId="159">
      <pivotArea outline="0" fieldPosition="0">
        <references count="1">
          <reference field="4294967294" count="1">
            <x v="3"/>
          </reference>
        </references>
      </pivotArea>
    </format>
    <format dxfId="158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A2EE137-E9C6-4149-8C1D-BD1D949829AF}" autoFormatId="16" applyNumberFormats="0" applyBorderFormats="0" applyFontFormats="0" applyPatternFormats="0" applyAlignmentFormats="0" applyWidthHeightFormats="0">
  <queryTableRefresh nextId="31">
    <queryTableFields count="22">
      <queryTableField id="1" name="Date" tableColumnId="1"/>
      <queryTableField id="2" name="gmv" tableColumnId="2"/>
      <queryTableField id="3" name="net" tableColumnId="3"/>
      <queryTableField id="4" name="net_units" tableColumnId="4"/>
      <queryTableField id="5" name="gmv_units" tableColumnId="5"/>
      <queryTableField id="6" name="rrc" tableColumnId="6"/>
      <queryTableField id="7" name="uv" tableColumnId="7"/>
      <queryTableField id="8" name="cr" tableColumnId="8"/>
      <queryTableField id="9" name="aov" tableColumnId="9"/>
      <queryTableField id="10" name="atv" tableColumnId="10"/>
      <queryTableField id="11" name="buyers" tableColumnId="11"/>
      <queryTableField id="12" name="free_traffic" tableColumnId="12"/>
      <queryTableField id="13" name="paid_traffic" tableColumnId="13"/>
      <queryTableField id="15" name="dtc_social_net" tableColumnId="15"/>
      <queryTableField id="16" name="dtc_social_gmv" tableColumnId="16"/>
      <queryTableField id="17" name="dtc_social_rrc" tableColumnId="17"/>
      <queryTableField id="18" name="dtc_social_traffic" tableColumnId="18"/>
      <queryTableField id="23" name="dtc_organic_net" tableColumnId="19"/>
      <queryTableField id="24" name="dtc_organic_gmv" tableColumnId="20"/>
      <queryTableField id="25" name="dtc_organic_rrc" tableColumnId="21"/>
      <queryTableField id="26" name="dtc_organic_traffic" tableColumnId="22"/>
      <queryTableField id="14" name="channel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6A37EB90-48D1-411A-B626-34232C2023B1}" autoFormatId="16" applyNumberFormats="0" applyBorderFormats="0" applyFontFormats="0" applyPatternFormats="0" applyAlignmentFormats="0" applyWidthHeightFormats="0">
  <queryTableRefresh nextId="42">
    <queryTableFields count="40">
      <queryTableField id="1" name="开始日期" tableColumnId="1"/>
      <queryTableField id="2" name="结束日期" tableColumnId="2"/>
      <queryTableField id="3" name="日期类型" tableColumnId="3"/>
      <queryTableField id="4" name="统计日期" tableColumnId="4"/>
      <queryTableField id="5" name="访客数" tableColumnId="5"/>
      <queryTableField id="6" name="浏览量" tableColumnId="6"/>
      <queryTableField id="7" name="商品访客数" tableColumnId="7"/>
      <queryTableField id="8" name="商品浏览量" tableColumnId="8"/>
      <queryTableField id="9" name="商品收藏人数" tableColumnId="9"/>
      <queryTableField id="10" name="商品收藏次数" tableColumnId="10"/>
      <queryTableField id="11" name="加购人数" tableColumnId="11"/>
      <queryTableField id="12" name="支付金额" tableColumnId="12"/>
      <queryTableField id="13" name="支付买家数" tableColumnId="13"/>
      <queryTableField id="14" name="支付子订单数" tableColumnId="14"/>
      <queryTableField id="15" name="支付父订单数" tableColumnId="15"/>
      <queryTableField id="16" name="支付件数" tableColumnId="16"/>
      <queryTableField id="17" name="下单金额" tableColumnId="17"/>
      <queryTableField id="18" name="下单买家数" tableColumnId="18"/>
      <queryTableField id="19" name="客单价" tableColumnId="19"/>
      <queryTableField id="20" name="UV价值" tableColumnId="20"/>
      <queryTableField id="21" name="老访客数" tableColumnId="21"/>
      <queryTableField id="22" name="新访客数" tableColumnId="22"/>
      <queryTableField id="23" name="加购件数" tableColumnId="23"/>
      <queryTableField id="24" name="支付老买家数" tableColumnId="24"/>
      <queryTableField id="25" name="老买家支付金额" tableColumnId="25"/>
      <queryTableField id="26" name="直通车消耗" tableColumnId="26"/>
      <queryTableField id="27" name="钻石展位消耗" tableColumnId="27"/>
      <queryTableField id="28" name="淘宝客佣金" tableColumnId="28"/>
      <queryTableField id="29" name="超级推荐消耗" tableColumnId="29"/>
      <queryTableField id="30" name="万相台消耗" tableColumnId="30"/>
      <queryTableField id="31" name="引力魔方消耗" tableColumnId="31"/>
      <queryTableField id="32" name="成功退款完结金额" tableColumnId="32"/>
      <queryTableField id="33" name="关注店铺人数" tableColumnId="33"/>
      <queryTableField id="34" name="支付退款金额" tableColumnId="34"/>
      <queryTableField id="35" name="md_gmv" tableColumnId="35"/>
      <queryTableField id="36" name="md_net" tableColumnId="36"/>
      <queryTableField id="40" name="老客支付子订单数" tableColumnId="40"/>
      <queryTableField id="37" name="jda日历.PaySeason" tableColumnId="37"/>
      <queryTableField id="38" name="jda日历.PayMonth" tableColumnId="38"/>
      <queryTableField id="39" name="jda日历.PayYear" tableColumnId="39"/>
    </queryTableFields>
  </queryTableRefresh>
  <extLst>
    <ext xmlns:x15="http://schemas.microsoft.com/office/spreadsheetml/2010/11/main" uri="{883FBD77-0823-4a55-B5E3-86C4891E6966}">
      <x15:queryTable sourceDataName="查询 - 全店核心数据_bymonth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04AAE3-80B7-48D1-B137-C54279691F79}" name="目标表" displayName="目标表" ref="A1:V1678" tableType="queryTable" totalsRowShown="0" headerRowDxfId="767" dataDxfId="766">
  <autoFilter ref="A1:V1678" xr:uid="{CA04AAE3-80B7-48D1-B137-C54279691F79}">
    <filterColumn colId="21">
      <filters>
        <filter val="DTC"/>
      </filters>
    </filterColumn>
  </autoFilter>
  <tableColumns count="22">
    <tableColumn id="1" xr3:uid="{0F227021-E05D-4FBA-9853-31FEB231F7A7}" uniqueName="1" name="Date" queryTableFieldId="1" dataDxfId="765"/>
    <tableColumn id="2" xr3:uid="{276E832B-8648-4557-B109-A294AA11A47F}" uniqueName="2" name="gmv" queryTableFieldId="2" dataDxfId="764"/>
    <tableColumn id="3" xr3:uid="{5ED9C275-E40E-4C40-BFBA-F6F62D05197E}" uniqueName="3" name="net" queryTableFieldId="3" dataDxfId="763"/>
    <tableColumn id="4" xr3:uid="{F5B5167E-68DF-4475-839E-810533E6781A}" uniqueName="4" name="net_units" queryTableFieldId="4" dataDxfId="762"/>
    <tableColumn id="5" xr3:uid="{5DD8330C-5FF2-407C-90AA-778AD33DBB32}" uniqueName="5" name="gmv_units" queryTableFieldId="5" dataDxfId="761"/>
    <tableColumn id="6" xr3:uid="{932301ED-1ABA-4134-8F2A-5E08EE4FF1A8}" uniqueName="6" name="rrc" queryTableFieldId="6" dataDxfId="760"/>
    <tableColumn id="7" xr3:uid="{71437ED3-3ACF-43D1-AFF0-CDF54C9CFD17}" uniqueName="7" name="uv" queryTableFieldId="7" dataDxfId="759"/>
    <tableColumn id="8" xr3:uid="{9D8A6587-FF6B-472B-9D2D-D5465D28AFC4}" uniqueName="8" name="cr" queryTableFieldId="8" dataDxfId="758" dataCellStyle="百分比"/>
    <tableColumn id="9" xr3:uid="{CA08C632-DADF-4B80-BB71-31BBA320C03C}" uniqueName="9" name="aov" queryTableFieldId="9" dataDxfId="757"/>
    <tableColumn id="10" xr3:uid="{5754A7E6-24B5-412F-989D-CE771B83C6DA}" uniqueName="10" name="atv" queryTableFieldId="10" dataDxfId="756"/>
    <tableColumn id="11" xr3:uid="{16A824E0-57A2-438A-B8CC-8D03EA40936E}" uniqueName="11" name="buyers" queryTableFieldId="11" dataDxfId="755"/>
    <tableColumn id="12" xr3:uid="{C56A198A-5926-45FD-92A3-E8755BA9EF30}" uniqueName="12" name="free_traffic" queryTableFieldId="12" dataDxfId="754"/>
    <tableColumn id="13" xr3:uid="{7D41FC88-968E-47B5-83CF-E193E5900A4E}" uniqueName="13" name="paid_traffic" queryTableFieldId="13" dataDxfId="753"/>
    <tableColumn id="15" xr3:uid="{15A3E822-BDFF-4733-942A-2364AA6DFF13}" uniqueName="15" name="dtc_social_net" queryTableFieldId="15" dataDxfId="752"/>
    <tableColumn id="16" xr3:uid="{200969B3-2975-415A-988D-98E3343BEACE}" uniqueName="16" name="dtc_social_gmv" queryTableFieldId="16" dataDxfId="751"/>
    <tableColumn id="17" xr3:uid="{7FB666B7-634A-4D65-BD22-8AC4BFD8F3CC}" uniqueName="17" name="dtc_social_rrc" queryTableFieldId="17" dataDxfId="750"/>
    <tableColumn id="18" xr3:uid="{C23AC6E2-FC5B-4D15-927E-2E1BE7B9AA57}" uniqueName="18" name="dtc_social_traffic" queryTableFieldId="18" dataDxfId="749"/>
    <tableColumn id="19" xr3:uid="{B6F57D1E-9016-48C6-9AD3-D19264638BE8}" uniqueName="19" name="dtc_organic_net" queryTableFieldId="23" dataDxfId="748"/>
    <tableColumn id="20" xr3:uid="{DB9388F6-A9DF-4E2C-89C8-6745AB178620}" uniqueName="20" name="dtc_organic_gmv" queryTableFieldId="24" dataDxfId="747"/>
    <tableColumn id="21" xr3:uid="{6F07D948-8923-4E2C-979B-EAFD67BF7563}" uniqueName="21" name="dtc_organic_rrc" queryTableFieldId="25" dataDxfId="746"/>
    <tableColumn id="22" xr3:uid="{F4A1BEEB-3121-4B08-B1F3-16232FE8DE4E}" uniqueName="22" name="dtc_organic_traffic" queryTableFieldId="26" dataDxfId="745"/>
    <tableColumn id="14" xr3:uid="{0E8B7B9D-E4B2-4589-957B-D936AC8AB324}" uniqueName="14" name="channel" queryTableFieldId="14" dataDxfId="74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44C96B-B0E0-4FE2-8305-F4578F732696}" name="PFS_SalesOverview_InTax" displayName="PFS_SalesOverview_InTax" ref="E3:AL40" totalsRowShown="0" headerRowDxfId="743" dataDxfId="741" headerRowBorderDxfId="742" tableBorderDxfId="740">
  <tableColumns count="34">
    <tableColumn id="1" xr3:uid="{33F5D92B-2A75-4EC5-9139-C4DB6F002765}" name="DATE" dataDxfId="739" dataCellStyle="常规 17"/>
    <tableColumn id="2" xr3:uid="{F4763051-E56D-4CF9-9E3D-96061E6D6E52}" name="GMV" dataDxfId="738" dataCellStyle="常规 17">
      <calculatedColumnFormula>SUMIFS(全店核心数据_bymonth[支付金额],全店核心数据_bymonth[开始日期],$E4)</calculatedColumnFormula>
    </tableColumn>
    <tableColumn id="3" xr3:uid="{F10DA244-D07A-4B80-A1E6-D51B0C42A8DE}" name="NET" dataDxfId="737" dataCellStyle="常规 17">
      <calculatedColumnFormula>PFS_SalesOverview_InTax[[#This Row],[GMV]]-PFS_SalesOverview_InTax[[#This Row],[RR]]</calculatedColumnFormula>
    </tableColumn>
    <tableColumn id="4" xr3:uid="{F12271D7-A6F9-4601-94FD-D4499AD15A53}" name="UV" dataDxfId="736" dataCellStyle="常规 17">
      <calculatedColumnFormula>SUMIFS(全店核心数据_bymonth[访客数],全店核心数据_bymonth[开始日期],$E4)</calculatedColumnFormula>
    </tableColumn>
    <tableColumn id="5" xr3:uid="{42F6AE23-F550-49C5-AD18-3998B23DCA83}" name="Buyers" dataDxfId="735" dataCellStyle="常规 17">
      <calculatedColumnFormula>SUMIFS(全店核心数据_bymonth[支付买家数],全店核心数据_bymonth[开始日期],$E4)</calculatedColumnFormula>
    </tableColumn>
    <tableColumn id="6" xr3:uid="{D143A3D5-E85F-48EF-B442-BE930E47B2D5}" name="Units" dataDxfId="734" dataCellStyle="常规 17">
      <calculatedColumnFormula>SUMIFS(全店核心数据_bymonth[支付件数],全店核心数据_bymonth[开始日期],$E4)</calculatedColumnFormula>
    </tableColumn>
    <tableColumn id="7" xr3:uid="{A23E9B4A-82E2-475B-A368-91CFA635AB56}" name="CR" dataDxfId="733" dataCellStyle="百分比">
      <calculatedColumnFormula>PFS_SalesOverview_InTax[[#This Row],[Buyers]]/PFS_SalesOverview_InTax[[#This Row],[UV]]</calculatedColumnFormula>
    </tableColumn>
    <tableColumn id="8" xr3:uid="{6CBC9702-6E94-48B5-9118-F77A23D9834A}" name="ATV" dataDxfId="732" dataCellStyle="常规 17">
      <calculatedColumnFormula>PFS_SalesOverview_InTax[[#This Row],[GMV]]/PFS_SalesOverview_InTax[[#This Row],[Buyers]]</calculatedColumnFormula>
    </tableColumn>
    <tableColumn id="9" xr3:uid="{FEF9880A-A751-4BB7-8A54-2D06FAA4BBA5}" name="AUR" dataDxfId="731" dataCellStyle="常规 17">
      <calculatedColumnFormula>PFS_SalesOverview_InTax[[#This Row],[GMV]]/PFS_SalesOverview_InTax[[#This Row],[Units]]</calculatedColumnFormula>
    </tableColumn>
    <tableColumn id="10" xr3:uid="{D20BE0A4-F3C9-4FC1-ABB5-EBCB5A206569}" name="UPT" dataDxfId="730" dataCellStyle="常规 17">
      <calculatedColumnFormula>PFS_SalesOverview_InTax[[#This Row],[Units]]/PFS_SalesOverview_InTax[[#This Row],[Buyers]]</calculatedColumnFormula>
    </tableColumn>
    <tableColumn id="11" xr3:uid="{8341F810-D09A-43C4-9FB7-9BA96CFF3320}" name="RRC" dataDxfId="729" dataCellStyle="百分比">
      <calculatedColumnFormula>PFS_SalesOverview_InTax[[#This Row],[RR]]/PFS_SalesOverview_InTax[[#This Row],[GMV]]</calculatedColumnFormula>
    </tableColumn>
    <tableColumn id="12" xr3:uid="{29C0DCC3-D7C2-412D-9F89-A2E5F1A55A73}" name="RR" dataDxfId="728" dataCellStyle="常规 17">
      <calculatedColumnFormula>SUMIFS(全店核心数据_bymonth[支付退款金额],全店核心数据_bymonth[开始日期],$E4)</calculatedColumnFormula>
    </tableColumn>
    <tableColumn id="15" xr3:uid="{DCB5FA8D-4B57-4D0C-A522-8A925C54B31A}" name="MD GMV" dataDxfId="727" dataCellStyle="常规 17">
      <calculatedColumnFormula>SUMIFS(全店核心数据_bymonth[md_gmv],全店核心数据_bymonth[开始日期],$E4)</calculatedColumnFormula>
    </tableColumn>
    <tableColumn id="16" xr3:uid="{3070C842-55E4-4167-9A2D-0ECEE67404D1}" name="MD GMV %" dataDxfId="726" dataCellStyle="百分比">
      <calculatedColumnFormula>PFS_SalesOverview_InTax[[#This Row],[MD GMV]]/PFS_SalesOverview_InTax[[#This Row],[GMV]]</calculatedColumnFormula>
    </tableColumn>
    <tableColumn id="14" xr3:uid="{73102A2C-851F-4B16-A13F-831EDBFB0AAB}" name="MD NET" dataDxfId="725" dataCellStyle="常规 17"/>
    <tableColumn id="13" xr3:uid="{9729C1C5-B24D-471B-B0A6-8096568B3EA7}" name="MD NET%" dataDxfId="724" dataCellStyle="百分比"/>
    <tableColumn id="28" xr3:uid="{8D9C7C48-EDE3-4F0E-8C0B-A560E3FE8EA8}" name="GMV_TGT" dataDxfId="723" dataCellStyle="百分比"/>
    <tableColumn id="27" xr3:uid="{EAF76FDE-AC05-4752-93E4-DF811094674E}" name="NET_TGT" dataDxfId="722" dataCellStyle="百分比"/>
    <tableColumn id="26" xr3:uid="{3AA5C7BF-6020-48AD-AFA0-A3158CA6AFD0}" name="TRAFFIC_TGT" dataDxfId="721" dataCellStyle="百分比"/>
    <tableColumn id="25" xr3:uid="{C861F1C6-0050-4F6B-9B09-0A3F5CD09CC3}" name="BUYERS_TGT" dataDxfId="720" dataCellStyle="百分比"/>
    <tableColumn id="24" xr3:uid="{E029D316-1ADD-4CB2-B6E1-CAEA85CC3CA1}" name="CVR_TGT" dataDxfId="719" dataCellStyle="百分比"/>
    <tableColumn id="23" xr3:uid="{B24AF359-D22C-443E-A7EC-C5A3D91ADF8A}" name="ATV_TGT" dataDxfId="718" dataCellStyle="百分比"/>
    <tableColumn id="22" xr3:uid="{0A61DF30-26C7-46FD-BFDE-118A962483D8}" name="UPT_TGT" dataDxfId="717" dataCellStyle="百分比">
      <calculatedColumnFormula>PFS_SalesOverview_InTax[[#This Row],[UNITS_TGT]]/PFS_SalesOverview_InTax[[#This Row],[BUYERS_TGT]]</calculatedColumnFormula>
    </tableColumn>
    <tableColumn id="21" xr3:uid="{2D2AC1E2-8A1B-4362-A78A-63546F7493AC}" name="RRC_TGT" dataDxfId="716" dataCellStyle="百分比"/>
    <tableColumn id="56" xr3:uid="{33EEF398-E3A3-45A8-AC2A-D1A54D515F1F}" name="UNITS_TGT" dataDxfId="715" dataCellStyle="百分比"/>
    <tableColumn id="64" xr3:uid="{09222934-A45E-4D46-8AA7-4E71E00A5EC3}" name="GMV_ACH" dataDxfId="714" dataCellStyle="百分比"/>
    <tableColumn id="63" xr3:uid="{78271724-B2CC-4C0F-B3D3-8170BA3F5A36}" name="NET_ACH" dataDxfId="713" dataCellStyle="百分比"/>
    <tableColumn id="62" xr3:uid="{AEE82722-6494-403A-88F1-F0100F7D3963}" name="TRAFFIC_ACH" dataDxfId="712" dataCellStyle="百分比"/>
    <tableColumn id="61" xr3:uid="{24A596EC-81FE-43F8-ACBD-F2F8D7E05960}" name="BUYERS_ACH" dataDxfId="711" dataCellStyle="百分比"/>
    <tableColumn id="60" xr3:uid="{51B37B29-9027-4247-8D1C-536E1AB1B639}" name="CVR_ACH" dataDxfId="710" dataCellStyle="百分比"/>
    <tableColumn id="59" xr3:uid="{214A5E01-9630-4B30-A4B5-B892BE01058E}" name="ATV_ACH" dataDxfId="709" dataCellStyle="百分比"/>
    <tableColumn id="58" xr3:uid="{E675B368-4F71-43FC-B7B5-0510F62D9042}" name="UPT_ACH" dataDxfId="708" dataCellStyle="百分比"/>
    <tableColumn id="57" xr3:uid="{E2931291-768A-4FD4-B2F8-638B6EF6D08B}" name="RRC_ACH" dataDxfId="707" dataCellStyle="百分比"/>
    <tableColumn id="17" xr3:uid="{31CA5562-B926-4559-A972-B9AE49409379}" name="PayYear" dataDxfId="706">
      <calculatedColumnFormula>_xlfn.XLOOKUP(PFS_SalesOverview_InTax[[#This Row],[DATE]],全店核心数据_bymonth[开始日期],全店核心数据_bymonth[jda日历.PayYear],"")</calculatedColumnFormula>
    </tableColumn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DDFB50-DD96-49C9-82C4-9ABD1ABC7233}" name="PFS_SalesOverview_ExclTax" displayName="PFS_SalesOverview_ExclTax" ref="AO3:BL40" totalsRowShown="0" headerRowDxfId="705" dataDxfId="703" headerRowBorderDxfId="704" tableBorderDxfId="702">
  <tableColumns count="24">
    <tableColumn id="1" xr3:uid="{432A830B-D188-48C8-AD24-9C1DD766135D}" name="DATE" dataDxfId="701" dataCellStyle="常规 17">
      <calculatedColumnFormula>PFS_SalesOverview_InTax[[#This Row],[DATE]]</calculatedColumnFormula>
    </tableColumn>
    <tableColumn id="2" xr3:uid="{9BE8DF14-5004-439D-8A00-6A5D8FC5B4A8}" name="GMV" dataDxfId="700" dataCellStyle="常规 17">
      <calculatedColumnFormula>SUMIFS(全店核心数据_bymonth[支付金额],全店核心数据_bymonth[开始日期],$E4)</calculatedColumnFormula>
    </tableColumn>
    <tableColumn id="3" xr3:uid="{1F57F0A4-AAFF-4112-807F-EB291CEE2D58}" name="NET" dataDxfId="699" dataCellStyle="常规 17">
      <calculatedColumnFormula>PFS_SalesOverview_ExclTax[[#This Row],[GMV]]-PFS_SalesOverview_ExclTax[[#This Row],[RR]]</calculatedColumnFormula>
    </tableColumn>
    <tableColumn id="4" xr3:uid="{CD36EEF2-4C1B-483A-B58F-165662158174}" name="UV" dataDxfId="698" dataCellStyle="常规 17">
      <calculatedColumnFormula>SUMIFS(全店核心数据_bymonth[访客数],全店核心数据_bymonth[开始日期],$E4)</calculatedColumnFormula>
    </tableColumn>
    <tableColumn id="5" xr3:uid="{F0486AA2-7F20-4B1B-8F74-1C9F9A806C9D}" name="Buyers" dataDxfId="697" dataCellStyle="常规 17">
      <calculatedColumnFormula>SUMIFS(全店核心数据_bymonth[支付买家数],全店核心数据_bymonth[开始日期],$E4)</calculatedColumnFormula>
    </tableColumn>
    <tableColumn id="6" xr3:uid="{A60FD0A3-940E-4A0C-847C-C9EC7D1CC0D0}" name="Units" dataDxfId="696" dataCellStyle="常规 17">
      <calculatedColumnFormula>SUMIFS(全店核心数据_bymonth[支付件数],全店核心数据_bymonth[开始日期],$E4)</calculatedColumnFormula>
    </tableColumn>
    <tableColumn id="7" xr3:uid="{B4AECE9B-1AB8-4EB8-8AFD-B3A61F789174}" name="CR" dataDxfId="695" dataCellStyle="百分比">
      <calculatedColumnFormula>PFS_SalesOverview_ExclTax[[#This Row],[Buyers]]/PFS_SalesOverview_ExclTax[[#This Row],[UV]]</calculatedColumnFormula>
    </tableColumn>
    <tableColumn id="8" xr3:uid="{D07579B6-042E-4252-9615-C784996543E7}" name="ATV" dataDxfId="694" dataCellStyle="常规 17">
      <calculatedColumnFormula>PFS_SalesOverview_ExclTax[[#This Row],[GMV]]/PFS_SalesOverview_ExclTax[[#This Row],[Buyers]]</calculatedColumnFormula>
    </tableColumn>
    <tableColumn id="9" xr3:uid="{57D7C595-5903-459C-84A3-E22F8880BFCB}" name="AUR" dataDxfId="693" dataCellStyle="常规 17">
      <calculatedColumnFormula>PFS_SalesOverview_ExclTax[[#This Row],[GMV]]/PFS_SalesOverview_ExclTax[[#This Row],[Units]]</calculatedColumnFormula>
    </tableColumn>
    <tableColumn id="10" xr3:uid="{DD076D72-0D4F-4438-B25B-17A78D2B65C2}" name="UPT" dataDxfId="692" dataCellStyle="常规 17">
      <calculatedColumnFormula>PFS_SalesOverview_ExclTax[[#This Row],[Units]]/PFS_SalesOverview_ExclTax[[#This Row],[Buyers]]</calculatedColumnFormula>
    </tableColumn>
    <tableColumn id="11" xr3:uid="{B0C64AA8-2108-4A0E-8678-5C810E0D330C}" name="RRC" dataDxfId="691" dataCellStyle="百分比">
      <calculatedColumnFormula>PFS_SalesOverview_ExclTax[[#This Row],[RR]]/PFS_SalesOverview_ExclTax[[#This Row],[GMV]]</calculatedColumnFormula>
    </tableColumn>
    <tableColumn id="12" xr3:uid="{B57CB1EB-BAA3-43A6-B8E9-8DE1141B3F05}" name="RR" dataDxfId="690" dataCellStyle="常规 17">
      <calculatedColumnFormula>SUMIFS(全店核心数据_bymonth[支付退款金额],全店核心数据_bymonth[开始日期],$E4)</calculatedColumnFormula>
    </tableColumn>
    <tableColumn id="15" xr3:uid="{9D26AFBF-496F-41ED-BDB3-DF5946F9A689}" name="MD GMV" dataDxfId="689" dataCellStyle="常规 17">
      <calculatedColumnFormula>SUMIFS(全店核心数据_bymonth[md_gmv],全店核心数据_bymonth[开始日期],$E4)</calculatedColumnFormula>
    </tableColumn>
    <tableColumn id="16" xr3:uid="{993B0818-6369-4D65-88F0-0CE84477421B}" name="MD%" dataDxfId="688" dataCellStyle="百分比">
      <calculatedColumnFormula>PFS_SalesOverview_ExclTax[[#This Row],[MD GMV]]/PFS_SalesOverview_ExclTax[[#This Row],[GMV]]</calculatedColumnFormula>
    </tableColumn>
    <tableColumn id="25" xr3:uid="{085B70D6-AA6B-40D5-A59F-2F907199D03B}" name="GMV_TGT" dataDxfId="687" dataCellStyle="百分比"/>
    <tableColumn id="24" xr3:uid="{A6FED506-D33D-45EC-BABD-D9E0D5DED2D2}" name="NET_TGT" dataDxfId="686" dataCellStyle="百分比"/>
    <tableColumn id="23" xr3:uid="{41C60F29-056B-44FD-8ABF-46CE4EADF529}" name="TRAFFIC_TGT" dataDxfId="685" dataCellStyle="百分比"/>
    <tableColumn id="22" xr3:uid="{B55982A7-1222-4F80-B148-36CA38E6987B}" name="BUYERS_TGT" dataDxfId="684" dataCellStyle="百分比"/>
    <tableColumn id="21" xr3:uid="{7FAB50AF-1865-41B8-8112-6F40657EBE58}" name="CVR_TGT" dataDxfId="683" dataCellStyle="百分比"/>
    <tableColumn id="20" xr3:uid="{466997A1-0A37-400F-9C9A-C3B1C5CCF151}" name="ATV_TGT" dataDxfId="682" dataCellStyle="百分比"/>
    <tableColumn id="19" xr3:uid="{484F5F6C-0253-43FB-B05D-AC6FD4B067E7}" name="UPT_TGT" dataDxfId="681" dataCellStyle="百分比"/>
    <tableColumn id="18" xr3:uid="{B69ACE75-2157-4BEA-B845-441E40687E8B}" name="RRC_TGT" dataDxfId="680" dataCellStyle="百分比"/>
    <tableColumn id="14" xr3:uid="{63F34E03-57C3-4CD5-BA83-CDB99DDE1B5B}" name="UNITS_TGT" dataDxfId="679" dataCellStyle="百分比"/>
    <tableColumn id="17" xr3:uid="{0B352515-EB6D-4A84-AF34-5541A27C7329}" name="PayYear" dataDxfId="678">
      <calculatedColumnFormula>_xlfn.XLOOKUP(PFS_SalesOverview_ExclTax[[#This Row],[DATE]],全店核心数据_bymonth[开始日期],全店核心数据_bymonth[jda日历.PayYear],"")</calculatedColumnFormula>
    </tableColumn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4A99F8-0890-49EA-9CE1-9E176E0BEB40}" name="OFS_SalesOverview_InTax" displayName="OFS_SalesOverview_InTax" ref="E48:AL91" totalsRowShown="0" headerRowDxfId="677" dataDxfId="675" headerRowBorderDxfId="676" tableBorderDxfId="674">
  <autoFilter ref="E48:AL91" xr:uid="{6E4A99F8-0890-49EA-9CE1-9E176E0BEB40}"/>
  <tableColumns count="34">
    <tableColumn id="1" xr3:uid="{7C37E347-D8A3-4CE9-BB96-298FE2BC0C01}" name="DATE" dataDxfId="673" dataCellStyle="常规 17"/>
    <tableColumn id="2" xr3:uid="{69B60A0B-8BBC-4E1E-8F5C-7B934CEB6795}" name="GMV" dataDxfId="672" dataCellStyle="常规 17">
      <calculatedColumnFormula>SUMIFS(全店核心数据_bymonth[支付金额],全店核心数据_bymonth[开始日期],$E49)</calculatedColumnFormula>
    </tableColumn>
    <tableColumn id="3" xr3:uid="{073E8F39-32FE-45D0-97D2-433E0CD1BA2B}" name="NET" dataDxfId="671" dataCellStyle="常规 17">
      <calculatedColumnFormula>OFS_SalesOverview_InTax[[#This Row],[GMV]]-OFS_SalesOverview_InTax[[#This Row],[RR]]</calculatedColumnFormula>
    </tableColumn>
    <tableColumn id="4" xr3:uid="{3A2C16D3-AA4B-4914-919A-5E7912EB382E}" name="UV" dataDxfId="670" dataCellStyle="常规 17">
      <calculatedColumnFormula>SUMIFS(全店核心数据_bymonth[访客数],全店核心数据_bymonth[开始日期],$E49)</calculatedColumnFormula>
    </tableColumn>
    <tableColumn id="5" xr3:uid="{A8F66CC2-9474-4A93-8AE0-683CD69A6D02}" name="Buyers" dataDxfId="669" dataCellStyle="常规 17">
      <calculatedColumnFormula>SUMIFS(全店核心数据_bymonth[支付买家数],全店核心数据_bymonth[开始日期],$E49)</calculatedColumnFormula>
    </tableColumn>
    <tableColumn id="6" xr3:uid="{EBB63F48-4250-43B2-BDD5-A7B3614DBC4B}" name="Units" dataDxfId="668" dataCellStyle="常规 17"/>
    <tableColumn id="7" xr3:uid="{7101E4F6-D54D-46E1-980F-FED475B8536F}" name="CR" dataDxfId="667" dataCellStyle="百分比">
      <calculatedColumnFormula>OFS_SalesOverview_InTax[[#This Row],[Buyers]]/OFS_SalesOverview_InTax[[#This Row],[UV]]</calculatedColumnFormula>
    </tableColumn>
    <tableColumn id="8" xr3:uid="{CA2D9D0C-D714-4D28-8761-8143481FECF0}" name="ATV" dataDxfId="666" dataCellStyle="常规 17">
      <calculatedColumnFormula>OFS_SalesOverview_InTax[[#This Row],[GMV]]/OFS_SalesOverview_InTax[[#This Row],[Buyers]]</calculatedColumnFormula>
    </tableColumn>
    <tableColumn id="9" xr3:uid="{F4468BB4-FF12-4F7F-86AD-F660FCE1FC66}" name="AUR" dataDxfId="665" dataCellStyle="常规 17">
      <calculatedColumnFormula>OFS_SalesOverview_InTax[[#This Row],[GMV]]/OFS_SalesOverview_InTax[[#This Row],[Units]]</calculatedColumnFormula>
    </tableColumn>
    <tableColumn id="10" xr3:uid="{76470660-7186-4D97-9617-E0791BA8070E}" name="UPT" dataDxfId="664" dataCellStyle="常规 17">
      <calculatedColumnFormula>OFS_SalesOverview_InTax[[#This Row],[Units]]/OFS_SalesOverview_InTax[[#This Row],[Buyers]]</calculatedColumnFormula>
    </tableColumn>
    <tableColumn id="11" xr3:uid="{C972C8B9-32A7-4635-B7A7-A8FEA2319A6B}" name="RRC" dataDxfId="663" dataCellStyle="百分比">
      <calculatedColumnFormula>OFS_SalesOverview_InTax[[#This Row],[RR]]/OFS_SalesOverview_InTax[[#This Row],[GMV]]</calculatedColumnFormula>
    </tableColumn>
    <tableColumn id="12" xr3:uid="{7FA55D28-1DF1-4068-B2F6-900B1A0040F3}" name="RR" dataDxfId="662" dataCellStyle="常规 17">
      <calculatedColumnFormula>SUMIFS(全店核心数据_bymonth[支付退款金额],全店核心数据_bymonth[开始日期],$E49)</calculatedColumnFormula>
    </tableColumn>
    <tableColumn id="15" xr3:uid="{24548940-E289-40E4-ADBA-33E8DB668C03}" name="MD GMV" dataDxfId="661" dataCellStyle="常规 17">
      <calculatedColumnFormula>SUMIFS(全店核心数据_bymonth[md_gmv],全店核心数据_bymonth[开始日期],$E49)</calculatedColumnFormula>
    </tableColumn>
    <tableColumn id="16" xr3:uid="{59080A7D-4926-4174-A781-DBA6E7F01366}" name="MD GMV %" dataDxfId="660" dataCellStyle="百分比">
      <calculatedColumnFormula>OFS_SalesOverview_InTax[[#This Row],[MD GMV]]/OFS_SalesOverview_InTax[[#This Row],[GMV]]</calculatedColumnFormula>
    </tableColumn>
    <tableColumn id="14" xr3:uid="{639FF89B-1CDE-4B91-A610-BC0497344FEF}" name="MD NET" dataDxfId="659" dataCellStyle="常规 17"/>
    <tableColumn id="13" xr3:uid="{72E6D448-0B7F-4186-A61B-F1E047B0756C}" name="MD NET%" dataDxfId="658" dataCellStyle="百分比"/>
    <tableColumn id="43" xr3:uid="{D6D0A82F-ABE8-4F6D-A590-44AAE8C489AE}" name="GMV_TGT" dataDxfId="657" dataCellStyle="百分比"/>
    <tableColumn id="42" xr3:uid="{546D9883-86A5-4570-A07D-9702A8532F0D}" name="NET_TGT" dataDxfId="656" dataCellStyle="百分比"/>
    <tableColumn id="41" xr3:uid="{4BB92D32-6350-46A0-A6FF-D5F9722C4D39}" name="TRAFFIC_TGT" dataDxfId="655" dataCellStyle="百分比"/>
    <tableColumn id="40" xr3:uid="{67FBF1D7-816B-4CA3-88C0-2EC395A9A25F}" name="BUYERS_TGT" dataDxfId="654" dataCellStyle="百分比"/>
    <tableColumn id="39" xr3:uid="{6A330B17-B93A-405B-AAB6-78A217C74E65}" name="CVR_TGT" dataDxfId="653" dataCellStyle="百分比"/>
    <tableColumn id="38" xr3:uid="{B98A6DC8-DCA7-49A6-9886-A89BE14585E7}" name="ATV_TGT" dataDxfId="652" dataCellStyle="百分比"/>
    <tableColumn id="37" xr3:uid="{180513FD-08DD-473F-A427-5A8CF6587687}" name="UPT_TGT" dataDxfId="651" dataCellStyle="百分比"/>
    <tableColumn id="36" xr3:uid="{5582C9DD-BFF1-4A90-B561-14D020BFADFC}" name="RRC_TGT" dataDxfId="650" dataCellStyle="百分比"/>
    <tableColumn id="35" xr3:uid="{F75152E3-C42B-440A-895F-DDF9B9D7ECD3}" name="UNITS_TGT" dataDxfId="649" dataCellStyle="百分比"/>
    <tableColumn id="34" xr3:uid="{603DAE0D-0047-4E90-B923-E8E3659E8A68}" name="GMV_ACH" dataDxfId="648" dataCellStyle="百分比"/>
    <tableColumn id="33" xr3:uid="{7C9D1A11-6BDB-48A0-B672-D9700F0F948E}" name="NET_ACH" dataDxfId="647" dataCellStyle="百分比"/>
    <tableColumn id="32" xr3:uid="{29164912-6F81-483C-BD8F-0AAA7561560D}" name="TRAFFIC_ACH" dataDxfId="646" dataCellStyle="百分比"/>
    <tableColumn id="31" xr3:uid="{E46E1E7A-151E-404F-BC28-7461F5F88010}" name="BUYERS_ACH" dataDxfId="645" dataCellStyle="百分比"/>
    <tableColumn id="30" xr3:uid="{2D1CD42D-BC04-49E3-A8E7-38E93EB4301D}" name="CVR_ACH" dataDxfId="644" dataCellStyle="百分比"/>
    <tableColumn id="29" xr3:uid="{C66010C7-9D3D-4B2C-91C3-C0E0B96774BE}" name="ATV_ACH" dataDxfId="643" dataCellStyle="百分比"/>
    <tableColumn id="28" xr3:uid="{B1BDBC2B-307C-45C6-A70F-7A2585D49EE5}" name="UPT_ACH" dataDxfId="642" dataCellStyle="百分比"/>
    <tableColumn id="27" xr3:uid="{BF12C7F9-55E8-4361-BF51-3D665E3917E0}" name="RRC_ACH" dataDxfId="641" dataCellStyle="百分比"/>
    <tableColumn id="17" xr3:uid="{41D77C08-8641-4ED7-8A91-E43B28DFE1A6}" name="PayYear" dataDxfId="640">
      <calculatedColumnFormula>_xlfn.XLOOKUP(OFS_SalesOverview_InTax[[#This Row],[DATE]],全店核心数据_bymonth[开始日期],全店核心数据_bymonth[jda日历.PayYear],"")</calculatedColumnFormula>
    </tableColumn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0554896-39CE-4245-BF39-5DAD55BCCD85}" name="OFS_SalesOverview_ExclTax" displayName="OFS_SalesOverview_ExclTax" ref="AO48:BL91" totalsRowShown="0" headerRowDxfId="639" dataDxfId="637" headerRowBorderDxfId="638" tableBorderDxfId="636">
  <autoFilter ref="AO48:BL91" xr:uid="{D0554896-39CE-4245-BF39-5DAD55BCCD85}"/>
  <tableColumns count="24">
    <tableColumn id="1" xr3:uid="{42BE2180-1C20-45CE-90FB-BF79944AFF14}" name="DATE" dataDxfId="635" dataCellStyle="常规 17">
      <calculatedColumnFormula>OFS_SalesOverview_InTax[[#This Row],[DATE]]</calculatedColumnFormula>
    </tableColumn>
    <tableColumn id="2" xr3:uid="{C7701D2C-33B7-4088-B1A9-E688082FF724}" name="GMV" dataDxfId="634" dataCellStyle="常规 17">
      <calculatedColumnFormula>SUMIFS(全店核心数据_bymonth[支付金额],全店核心数据_bymonth[开始日期],$E49)</calculatedColumnFormula>
    </tableColumn>
    <tableColumn id="3" xr3:uid="{2405C981-4A67-4A28-B659-71F11C6D1158}" name="NET" dataDxfId="633" dataCellStyle="常规 17">
      <calculatedColumnFormula>OFS_SalesOverview_ExclTax[[#This Row],[GMV]]-OFS_SalesOverview_ExclTax[[#This Row],[RR]]</calculatedColumnFormula>
    </tableColumn>
    <tableColumn id="4" xr3:uid="{C1F2A1C9-73B5-4EB4-BA7B-AF87F798522F}" name="UV" dataDxfId="632" dataCellStyle="常规 17">
      <calculatedColumnFormula>SUMIFS(全店核心数据_bymonth[访客数],全店核心数据_bymonth[开始日期],$E49)</calculatedColumnFormula>
    </tableColumn>
    <tableColumn id="5" xr3:uid="{469AC105-DB1C-4845-8A90-456809C66EFB}" name="Buyers" dataDxfId="631" dataCellStyle="常规 17">
      <calculatedColumnFormula>SUMIFS(全店核心数据_bymonth[支付买家数],全店核心数据_bymonth[开始日期],$E49)</calculatedColumnFormula>
    </tableColumn>
    <tableColumn id="6" xr3:uid="{F69C8B38-CCE6-4596-A63C-861054E34457}" name="Units" dataDxfId="630" dataCellStyle="常规 17"/>
    <tableColumn id="7" xr3:uid="{012BA8C8-E798-45FB-8DE7-09FF5E659568}" name="CR" dataDxfId="629" dataCellStyle="百分比">
      <calculatedColumnFormula>OFS_SalesOverview_ExclTax[[#This Row],[Buyers]]/OFS_SalesOverview_ExclTax[[#This Row],[UV]]</calculatedColumnFormula>
    </tableColumn>
    <tableColumn id="8" xr3:uid="{EFF4AF8E-7AC6-4EF3-BE0A-3A62F613FEF8}" name="ATV" dataDxfId="628" dataCellStyle="常规 17">
      <calculatedColumnFormula>OFS_SalesOverview_ExclTax[[#This Row],[GMV]]/OFS_SalesOverview_ExclTax[[#This Row],[Buyers]]</calculatedColumnFormula>
    </tableColumn>
    <tableColumn id="9" xr3:uid="{17D2E416-9657-4BC5-95A2-19AB669A4A9B}" name="AUR" dataDxfId="627" dataCellStyle="常规 17">
      <calculatedColumnFormula>OFS_SalesOverview_ExclTax[[#This Row],[GMV]]/OFS_SalesOverview_ExclTax[[#This Row],[Units]]</calculatedColumnFormula>
    </tableColumn>
    <tableColumn id="10" xr3:uid="{2EC90948-EF9D-4A6A-B72E-EE90479D079C}" name="UPT" dataDxfId="626" dataCellStyle="常规 17">
      <calculatedColumnFormula>OFS_SalesOverview_ExclTax[[#This Row],[Units]]/OFS_SalesOverview_ExclTax[[#This Row],[Buyers]]</calculatedColumnFormula>
    </tableColumn>
    <tableColumn id="11" xr3:uid="{8209374D-BAD0-4054-BABF-636299157C57}" name="RRC" dataDxfId="625" dataCellStyle="百分比">
      <calculatedColumnFormula>OFS_SalesOverview_ExclTax[[#This Row],[RR]]/OFS_SalesOverview_ExclTax[[#This Row],[GMV]]</calculatedColumnFormula>
    </tableColumn>
    <tableColumn id="12" xr3:uid="{F54E9D80-4DEE-49C9-A6D4-F7211F27948D}" name="RR" dataDxfId="624" dataCellStyle="常规 17">
      <calculatedColumnFormula>SUMIFS(全店核心数据_bymonth[支付退款金额],全店核心数据_bymonth[开始日期],$E49)</calculatedColumnFormula>
    </tableColumn>
    <tableColumn id="15" xr3:uid="{3B8A99F8-2DFE-4253-BB09-CF276DC64668}" name="MD GMV" dataDxfId="623" dataCellStyle="常规 17">
      <calculatedColumnFormula>SUMIFS(全店核心数据_bymonth[md_gmv],全店核心数据_bymonth[开始日期],$E49)</calculatedColumnFormula>
    </tableColumn>
    <tableColumn id="16" xr3:uid="{9BE1B197-1E28-4AF9-9652-0215ED9DB17E}" name="MD%" dataDxfId="622" dataCellStyle="百分比">
      <calculatedColumnFormula>OFS_SalesOverview_ExclTax[[#This Row],[MD GMV]]/OFS_SalesOverview_ExclTax[[#This Row],[GMV]]</calculatedColumnFormula>
    </tableColumn>
    <tableColumn id="17" xr3:uid="{2B03F6BF-3342-44EF-833A-DBD4A145A90A}" name="PayYear" dataDxfId="621">
      <calculatedColumnFormula>_xlfn.XLOOKUP(OFS_SalesOverview_ExclTax[[#This Row],[DATE]],全店核心数据_bymonth[开始日期],全店核心数据_bymonth[jda日历.PayYear],"")</calculatedColumnFormula>
    </tableColumn>
    <tableColumn id="13" xr3:uid="{92E9A257-D289-4C98-89B2-26499B48CA53}" name="PayYear2" dataDxfId="620"/>
    <tableColumn id="14" xr3:uid="{E0F605F7-D3DA-4B55-B2C4-576FA834A70F}" name="PayYear3" dataDxfId="619"/>
    <tableColumn id="18" xr3:uid="{6A7E1914-F9E5-4B84-9476-F4050E9E514F}" name="PayYear4" dataDxfId="618"/>
    <tableColumn id="19" xr3:uid="{15EB1045-52C8-460D-A36A-F222082B290F}" name="PayYear5" dataDxfId="617"/>
    <tableColumn id="20" xr3:uid="{E0918FEB-FB6A-402C-B329-CB4BDFB4E3A2}" name="PayYear6" dataDxfId="616"/>
    <tableColumn id="21" xr3:uid="{DCAEF6DE-FFA0-41EB-8701-FD569EC014C8}" name="PayYear7" dataDxfId="615"/>
    <tableColumn id="22" xr3:uid="{BB7C0256-7649-4CCE-B7C1-20D28482CC76}" name="PayYear8" dataDxfId="614"/>
    <tableColumn id="23" xr3:uid="{225D69E7-A698-4C8B-9E66-38255E52AE40}" name="PayYear9" dataDxfId="613"/>
    <tableColumn id="24" xr3:uid="{C17BE888-18C0-4E89-9EFE-51FDD661A479}" name="PayYear10" dataDxfId="612"/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7FC8D6F-0878-434F-A76E-70C46EA88159}" name="WBTQ_SalesOverview_InTax" displayName="WBTQ_SalesOverview_InTax" ref="E98:AL147" totalsRowShown="0" headerRowDxfId="611" dataDxfId="609" headerRowBorderDxfId="610" tableBorderDxfId="608">
  <autoFilter ref="E98:AL147" xr:uid="{97FC8D6F-0878-434F-A76E-70C46EA88159}"/>
  <tableColumns count="34">
    <tableColumn id="1" xr3:uid="{13C97935-6531-448B-9A56-C6B6CDE6A751}" name="DATE" dataDxfId="607" dataCellStyle="常规 17"/>
    <tableColumn id="2" xr3:uid="{6B2AD34D-3DD6-4224-BFF2-DB2D11CBA9D4}" name="GMV" dataDxfId="606" dataCellStyle="常规 17">
      <calculatedColumnFormula>SUMIFS(全店核心数据_bymonth[支付金额],全店核心数据_bymonth[开始日期],$E99)</calculatedColumnFormula>
    </tableColumn>
    <tableColumn id="3" xr3:uid="{E0C9F181-039B-4DB2-B8AB-18ED79661124}" name="NET" dataDxfId="605" dataCellStyle="常规 17">
      <calculatedColumnFormula>WBTQ_SalesOverview_InTax[[#This Row],[GMV]]-WBTQ_SalesOverview_InTax[[#This Row],[RR]]</calculatedColumnFormula>
    </tableColumn>
    <tableColumn id="4" xr3:uid="{70484D79-282A-4E9E-BD6A-162983EF4F4E}" name="UV" dataDxfId="604" dataCellStyle="常规 17">
      <calculatedColumnFormula>SUMIFS(全店核心数据_bymonth[访客数],全店核心数据_bymonth[开始日期],$E99)</calculatedColumnFormula>
    </tableColumn>
    <tableColumn id="5" xr3:uid="{B4FA2D98-E01A-4E46-A32F-CF217C0EF057}" name="Buyers" dataDxfId="603" dataCellStyle="常规 17">
      <calculatedColumnFormula>SUMIFS(全店核心数据_bymonth[支付买家数],全店核心数据_bymonth[开始日期],$E99)</calculatedColumnFormula>
    </tableColumn>
    <tableColumn id="6" xr3:uid="{301048B6-E1B6-44ED-B697-B1AB2999AAF3}" name="Units" dataDxfId="602" dataCellStyle="常规 17"/>
    <tableColumn id="7" xr3:uid="{0D6E0AAD-F8A8-4068-98F4-96BBD1710494}" name="CR" dataDxfId="601" dataCellStyle="百分比">
      <calculatedColumnFormula>WBTQ_SalesOverview_InTax[[#This Row],[Buyers]]/WBTQ_SalesOverview_InTax[[#This Row],[UV]]</calculatedColumnFormula>
    </tableColumn>
    <tableColumn id="8" xr3:uid="{84B33F3F-EF5D-4794-B847-1CAF449C8CA5}" name="ATV" dataDxfId="600" dataCellStyle="常规 17">
      <calculatedColumnFormula>WBTQ_SalesOverview_InTax[[#This Row],[GMV]]/WBTQ_SalesOverview_InTax[[#This Row],[Buyers]]</calculatedColumnFormula>
    </tableColumn>
    <tableColumn id="9" xr3:uid="{5EB2F871-1E15-440A-A891-BA5F78B3BC76}" name="AUR" dataDxfId="599" dataCellStyle="常规 17">
      <calculatedColumnFormula>WBTQ_SalesOverview_InTax[[#This Row],[GMV]]/WBTQ_SalesOverview_InTax[[#This Row],[Units]]</calculatedColumnFormula>
    </tableColumn>
    <tableColumn id="10" xr3:uid="{6E122E1D-76CC-4F92-8832-4D5DFDCA281E}" name="UPT" dataDxfId="598" dataCellStyle="常规 17">
      <calculatedColumnFormula>WBTQ_SalesOverview_InTax[[#This Row],[Units]]/WBTQ_SalesOverview_InTax[[#This Row],[Buyers]]</calculatedColumnFormula>
    </tableColumn>
    <tableColumn id="11" xr3:uid="{B2FCA467-85DE-4238-9E7A-301E91EFA772}" name="RRC" dataDxfId="597" dataCellStyle="百分比">
      <calculatedColumnFormula>WBTQ_SalesOverview_InTax[[#This Row],[RR]]/WBTQ_SalesOverview_InTax[[#This Row],[GMV]]</calculatedColumnFormula>
    </tableColumn>
    <tableColumn id="12" xr3:uid="{22C142F3-4653-446B-9D43-2AB5FECA977C}" name="RR" dataDxfId="596" dataCellStyle="常规 17">
      <calculatedColumnFormula>SUMIFS(全店核心数据_bymonth[支付退款金额],全店核心数据_bymonth[开始日期],$E99)</calculatedColumnFormula>
    </tableColumn>
    <tableColumn id="15" xr3:uid="{F21BB4E5-8CFB-4AA9-8DC6-EB410DD9D2C6}" name="MD GMV" dataDxfId="595" dataCellStyle="常规 17">
      <calculatedColumnFormula>SUMIFS(全店核心数据_bymonth[md_gmv],全店核心数据_bymonth[开始日期],$E99)</calculatedColumnFormula>
    </tableColumn>
    <tableColumn id="16" xr3:uid="{03C86FF8-7676-4EC7-8C83-F87DECAD8C8D}" name="MD%" dataDxfId="594" dataCellStyle="百分比">
      <calculatedColumnFormula>WBTQ_SalesOverview_InTax[[#This Row],[MD GMV]]/WBTQ_SalesOverview_InTax[[#This Row],[GMV]]</calculatedColumnFormula>
    </tableColumn>
    <tableColumn id="14" xr3:uid="{251CA0EA-EB0B-415A-83F1-C8B11B8DB17F}" name="MD NET" dataDxfId="593" dataCellStyle="常规 17"/>
    <tableColumn id="13" xr3:uid="{23E72B5F-9D91-49DB-AC3E-C37ACE511341}" name="MD NET%" dataDxfId="592" dataCellStyle="百分比"/>
    <tableColumn id="34" xr3:uid="{F01C5B52-64D1-4628-83AA-EB7A95006116}" name="GMV_TGT" dataDxfId="591" dataCellStyle="百分比"/>
    <tableColumn id="33" xr3:uid="{1B8DAEE2-6491-4C10-BEE6-48DC4F629CF6}" name="NET_TGT" dataDxfId="590" dataCellStyle="百分比"/>
    <tableColumn id="32" xr3:uid="{2F2DC8DD-03EB-4B68-9C67-22C47D7A9754}" name="TRAFFIC_TGT" dataDxfId="589" dataCellStyle="百分比"/>
    <tableColumn id="31" xr3:uid="{1B1986BE-72AE-4290-9DD2-BE2AA3DFA48A}" name="BUYERS_TGT" dataDxfId="588" dataCellStyle="百分比"/>
    <tableColumn id="30" xr3:uid="{03D5981A-97B5-4E61-BB3E-06B37ADAF6AC}" name="CVR_TGT" dataDxfId="587" dataCellStyle="百分比"/>
    <tableColumn id="29" xr3:uid="{8F276C90-6A84-4EB9-BE98-E1CAE6B419B9}" name="ATV_TGT" dataDxfId="586" dataCellStyle="百分比"/>
    <tableColumn id="28" xr3:uid="{377862EB-D403-4358-A3BF-2640E0EC5E1A}" name="UPT_TGT" dataDxfId="585" dataCellStyle="百分比"/>
    <tableColumn id="27" xr3:uid="{A010CEA2-4803-43CD-939D-CEAD8C7DAEEF}" name="RRC_TGT" dataDxfId="584" dataCellStyle="百分比"/>
    <tableColumn id="26" xr3:uid="{61E61128-11FF-4540-9CDA-85BC684C3952}" name="UNITS_TGT" dataDxfId="583" dataCellStyle="百分比"/>
    <tableColumn id="25" xr3:uid="{2EC0F65E-49FF-4D29-AFB4-7F376CFBD2EF}" name="GMV_ACH" dataDxfId="582" dataCellStyle="百分比"/>
    <tableColumn id="24" xr3:uid="{E1C11338-C9C0-4DEC-9455-43796DA31CEE}" name="NET_ACH" dataDxfId="581" dataCellStyle="百分比"/>
    <tableColumn id="23" xr3:uid="{55CD934E-C95E-4C46-AD05-9C60AE1671E6}" name="TRAFFIC_ACH" dataDxfId="580" dataCellStyle="百分比"/>
    <tableColumn id="22" xr3:uid="{004D0A3E-6ADC-485F-9334-B22276AD9D57}" name="BUYERS_ACH" dataDxfId="579" dataCellStyle="百分比"/>
    <tableColumn id="21" xr3:uid="{792DE23E-6F11-4570-84F6-96966877DB03}" name="CVR_ACH" dataDxfId="578" dataCellStyle="百分比"/>
    <tableColumn id="20" xr3:uid="{90D2381D-354E-42F7-8E14-C552356BBCF0}" name="ATV_ACH" dataDxfId="577" dataCellStyle="百分比"/>
    <tableColumn id="19" xr3:uid="{88F3C600-81C8-4362-9BE4-71F84CE3417A}" name="UPT_ACH" dataDxfId="576" dataCellStyle="百分比"/>
    <tableColumn id="18" xr3:uid="{79840D5F-E8BE-4F1B-B792-4DABBC83F910}" name="RRC_ACH" dataDxfId="575" dataCellStyle="百分比"/>
    <tableColumn id="17" xr3:uid="{1778BEB6-C639-470A-AF45-6CFC8742DC9D}" name="PayYear" dataDxfId="574">
      <calculatedColumnFormula>_xlfn.XLOOKUP(WBTQ_SalesOverview_InTax[[#This Row],[DATE]],全店核心数据_bymonth[开始日期],全店核心数据_bymonth[jda日历.PayYear],"")</calculatedColumnFormula>
    </tableColumn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EBF31C6-4849-49AD-96A3-56A92882EB08}" name="WBTQ_SalesOverview_ExclTax" displayName="WBTQ_SalesOverview_ExclTax" ref="AO98:BL147" totalsRowShown="0" headerRowDxfId="573" dataDxfId="571" headerRowBorderDxfId="572" tableBorderDxfId="570">
  <autoFilter ref="AO98:BL147" xr:uid="{6EBF31C6-4849-49AD-96A3-56A92882EB08}"/>
  <tableColumns count="24">
    <tableColumn id="1" xr3:uid="{3F8D3916-2120-4727-B351-7916CD4E00DB}" name="DATE" dataDxfId="569" dataCellStyle="常规 17">
      <calculatedColumnFormula>WBTQ_SalesOverview_InTax[[#This Row],[DATE]]</calculatedColumnFormula>
    </tableColumn>
    <tableColumn id="2" xr3:uid="{342F466F-DDAD-49F3-B07D-711FF9662025}" name="GMV" dataDxfId="568" dataCellStyle="常规 17">
      <calculatedColumnFormula>SUMIFS(全店核心数据_bymonth[支付金额],全店核心数据_bymonth[开始日期],$E99)</calculatedColumnFormula>
    </tableColumn>
    <tableColumn id="3" xr3:uid="{099B4B1C-3368-4E88-A8DF-33CA5C52C1FE}" name="NET" dataDxfId="567" dataCellStyle="常规 17">
      <calculatedColumnFormula>WBTQ_SalesOverview_ExclTax[[#This Row],[GMV]]-WBTQ_SalesOverview_ExclTax[[#This Row],[RR]]</calculatedColumnFormula>
    </tableColumn>
    <tableColumn id="4" xr3:uid="{061B12A1-CDD0-47C4-9B0B-2CBF7265BCE4}" name="UV" dataDxfId="566" dataCellStyle="常规 17">
      <calculatedColumnFormula>SUMIFS(全店核心数据_bymonth[访客数],全店核心数据_bymonth[开始日期],$E99)</calculatedColumnFormula>
    </tableColumn>
    <tableColumn id="5" xr3:uid="{75E4ED6D-6542-4AB9-B6EE-765B96DBD122}" name="Buyers" dataDxfId="565" dataCellStyle="常规 17">
      <calculatedColumnFormula>SUMIFS(全店核心数据_bymonth[支付买家数],全店核心数据_bymonth[开始日期],$E99)</calculatedColumnFormula>
    </tableColumn>
    <tableColumn id="6" xr3:uid="{DB6CF3F6-31FC-4461-952A-A44E101CC0D9}" name="Units" dataDxfId="564" dataCellStyle="常规 17"/>
    <tableColumn id="7" xr3:uid="{47DC67C4-C1A3-4883-B182-A62B1A87DE2A}" name="CR" dataDxfId="563" dataCellStyle="百分比">
      <calculatedColumnFormula>WBTQ_SalesOverview_ExclTax[[#This Row],[Buyers]]/WBTQ_SalesOverview_ExclTax[[#This Row],[UV]]</calculatedColumnFormula>
    </tableColumn>
    <tableColumn id="8" xr3:uid="{AFBC09B2-C638-44A1-9DF9-0F0010CA9BBF}" name="ATV" dataDxfId="562" dataCellStyle="常规 17">
      <calculatedColumnFormula>WBTQ_SalesOverview_ExclTax[[#This Row],[GMV]]/WBTQ_SalesOverview_ExclTax[[#This Row],[Buyers]]</calculatedColumnFormula>
    </tableColumn>
    <tableColumn id="9" xr3:uid="{02C20FA5-B8CF-4B74-BDBF-A7AB546E47BE}" name="AUR" dataDxfId="561" dataCellStyle="常规 17">
      <calculatedColumnFormula>WBTQ_SalesOverview_ExclTax[[#This Row],[GMV]]/WBTQ_SalesOverview_ExclTax[[#This Row],[Units]]</calculatedColumnFormula>
    </tableColumn>
    <tableColumn id="10" xr3:uid="{A0667A27-1F95-4718-A3FD-D9DF0767DCBA}" name="UPT" dataDxfId="560" dataCellStyle="常规 17">
      <calculatedColumnFormula>WBTQ_SalesOverview_ExclTax[[#This Row],[Units]]/WBTQ_SalesOverview_ExclTax[[#This Row],[Buyers]]</calculatedColumnFormula>
    </tableColumn>
    <tableColumn id="11" xr3:uid="{68EF03D0-9940-4297-928F-956160220834}" name="RRC" dataDxfId="559" dataCellStyle="百分比">
      <calculatedColumnFormula>WBTQ_SalesOverview_ExclTax[[#This Row],[RR]]/WBTQ_SalesOverview_ExclTax[[#This Row],[GMV]]</calculatedColumnFormula>
    </tableColumn>
    <tableColumn id="12" xr3:uid="{C8A79BE1-E912-46A4-9E11-A1B1230FFD40}" name="RR" dataDxfId="558" dataCellStyle="常规 17">
      <calculatedColumnFormula>SUMIFS(全店核心数据_bymonth[支付退款金额],全店核心数据_bymonth[开始日期],$E99)</calculatedColumnFormula>
    </tableColumn>
    <tableColumn id="15" xr3:uid="{77423022-B988-4D61-874F-81B1621F642B}" name="MD GMV" dataDxfId="557" dataCellStyle="常规 17">
      <calculatedColumnFormula>SUMIFS(全店核心数据_bymonth[md_gmv],全店核心数据_bymonth[开始日期],$E99)</calculatedColumnFormula>
    </tableColumn>
    <tableColumn id="16" xr3:uid="{6E696060-5563-4473-BF0F-43A2E856B5A6}" name="MD%" dataDxfId="556" dataCellStyle="百分比">
      <calculatedColumnFormula>WBTQ_SalesOverview_ExclTax[[#This Row],[MD GMV]]/WBTQ_SalesOverview_ExclTax[[#This Row],[GMV]]</calculatedColumnFormula>
    </tableColumn>
    <tableColumn id="17" xr3:uid="{CAF884D5-70B4-485E-8056-A08C3776289A}" name="PayYear" dataDxfId="555">
      <calculatedColumnFormula>_xlfn.XLOOKUP(WBTQ_SalesOverview_ExclTax[[#This Row],[DATE]],全店核心数据_bymonth[开始日期],全店核心数据_bymonth[jda日历.PayYear],"")</calculatedColumnFormula>
    </tableColumn>
    <tableColumn id="13" xr3:uid="{58A6A69D-30A5-4470-B5EF-02B57BF348BD}" name="PayYear2" dataDxfId="554"/>
    <tableColumn id="14" xr3:uid="{5081C3B7-E9FF-4F13-B48A-3585AABB7169}" name="PayYear3" dataDxfId="553"/>
    <tableColumn id="18" xr3:uid="{C56A9976-6A2B-4EBF-8746-316E3E726690}" name="PayYear4" dataDxfId="552"/>
    <tableColumn id="19" xr3:uid="{D896E0A8-5E09-4BE6-AE28-FB9DF3FAA04B}" name="PayYear5" dataDxfId="551"/>
    <tableColumn id="20" xr3:uid="{D355004C-9EC0-48B7-B043-1A6FE5A94F86}" name="PayYear6" dataDxfId="550"/>
    <tableColumn id="21" xr3:uid="{5DDBE675-288C-4447-9669-387BA45AF7BE}" name="PayYear7" dataDxfId="549"/>
    <tableColumn id="22" xr3:uid="{EB5CA012-28C1-4D86-94B7-E35B46A9CF86}" name="PayYear8" dataDxfId="548"/>
    <tableColumn id="23" xr3:uid="{062F56C3-4A21-4B15-8062-9693E595FBC8}" name="PayYear9" dataDxfId="547"/>
    <tableColumn id="24" xr3:uid="{41EFE458-4A72-4B63-92ED-86312C2D04EE}" name="PayYear10" dataDxfId="546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67371FC-2C62-44E0-807D-744354A964B0}" name="Total_SalesOverview_InTax" displayName="Total_SalesOverview_InTax" ref="E222:AL265" totalsRowShown="0" headerRowDxfId="545" dataDxfId="543" headerRowBorderDxfId="544" tableBorderDxfId="542">
  <autoFilter ref="E222:AL265" xr:uid="{867371FC-2C62-44E0-807D-744354A964B0}"/>
  <tableColumns count="34">
    <tableColumn id="1" xr3:uid="{DE005F86-2D6F-40F9-A07C-77B661553D4F}" name="DATE" dataDxfId="541" dataCellStyle="常规 17"/>
    <tableColumn id="2" xr3:uid="{4C6A4E64-15A8-409C-8E49-E29DBFF802DD}" name="GMV" dataDxfId="540" dataCellStyle="常规 17">
      <calculatedColumnFormula>SUMIFS(全店核心数据_bymonth[支付金额],全店核心数据_bymonth[开始日期],$E223)</calculatedColumnFormula>
    </tableColumn>
    <tableColumn id="3" xr3:uid="{C09902D9-08B9-4346-BCEB-027F51EE1EB1}" name="NET" dataDxfId="539" dataCellStyle="常规 17">
      <calculatedColumnFormula>Total_SalesOverview_InTax[[#This Row],[GMV]]-Total_SalesOverview_InTax[[#This Row],[RR]]</calculatedColumnFormula>
    </tableColumn>
    <tableColumn id="4" xr3:uid="{C2D2E86E-5B54-465A-BA49-59E03C376016}" name="UV" dataDxfId="538" dataCellStyle="常规 17">
      <calculatedColumnFormula>SUMIFS(全店核心数据_bymonth[访客数],全店核心数据_bymonth[开始日期],$E223)</calculatedColumnFormula>
    </tableColumn>
    <tableColumn id="5" xr3:uid="{18627AF9-915A-490D-AB60-E66A74F14868}" name="Buyers" dataDxfId="537" dataCellStyle="常规 17">
      <calculatedColumnFormula>SUMIFS(全店核心数据_bymonth[支付买家数],全店核心数据_bymonth[开始日期],$E223)</calculatedColumnFormula>
    </tableColumn>
    <tableColumn id="6" xr3:uid="{B52D5E1F-6C65-499D-B910-130D76C42B05}" name="Units" dataDxfId="536" dataCellStyle="常规 17">
      <calculatedColumnFormula>SUMIFS(全店核心数据_bymonth[支付件数],全店核心数据_bymonth[开始日期],$E223)</calculatedColumnFormula>
    </tableColumn>
    <tableColumn id="7" xr3:uid="{847C0C40-98AC-4667-95F4-6E3E79BC5831}" name="CR" dataDxfId="535" dataCellStyle="百分比">
      <calculatedColumnFormula>Total_SalesOverview_InTax[[#This Row],[Buyers]]/Total_SalesOverview_InTax[[#This Row],[UV]]</calculatedColumnFormula>
    </tableColumn>
    <tableColumn id="8" xr3:uid="{2482B800-A560-4F0E-AC2F-74A84000430F}" name="ATV" dataDxfId="534" dataCellStyle="常规 17">
      <calculatedColumnFormula>Total_SalesOverview_InTax[[#This Row],[GMV]]/Total_SalesOverview_InTax[[#This Row],[Buyers]]</calculatedColumnFormula>
    </tableColumn>
    <tableColumn id="9" xr3:uid="{B5A694B6-7EDD-45A2-8BEF-45B671B66CF3}" name="AUR" dataDxfId="533" dataCellStyle="常规 17">
      <calculatedColumnFormula>Total_SalesOverview_InTax[[#This Row],[GMV]]/Total_SalesOverview_InTax[[#This Row],[Units]]</calculatedColumnFormula>
    </tableColumn>
    <tableColumn id="10" xr3:uid="{C3C4D286-D057-467F-BE92-3A48C8DE60B8}" name="UPT" dataDxfId="532" dataCellStyle="常规 17">
      <calculatedColumnFormula>Total_SalesOverview_InTax[[#This Row],[Units]]/Total_SalesOverview_InTax[[#This Row],[Buyers]]</calculatedColumnFormula>
    </tableColumn>
    <tableColumn id="11" xr3:uid="{7C5E5C2D-9F1C-4A27-8209-EDF80B890EEB}" name="RRC" dataDxfId="531" dataCellStyle="百分比">
      <calculatedColumnFormula>Total_SalesOverview_InTax[[#This Row],[RR]]/Total_SalesOverview_InTax[[#This Row],[GMV]]</calculatedColumnFormula>
    </tableColumn>
    <tableColumn id="12" xr3:uid="{E725AD0A-D6E8-4577-98E7-493D94AD4DF6}" name="RR" dataDxfId="530" dataCellStyle="常规 17">
      <calculatedColumnFormula>SUMIFS(全店核心数据_bymonth[支付退款金额],全店核心数据_bymonth[开始日期],$E223)</calculatedColumnFormula>
    </tableColumn>
    <tableColumn id="15" xr3:uid="{0ECD1E1F-CE82-43FC-BF8E-251C98BE09A2}" name="MD GMV" dataDxfId="529" dataCellStyle="常规 17">
      <calculatedColumnFormula>SUMIFS(全店核心数据_bymonth[md_gmv],全店核心数据_bymonth[开始日期],$E223)</calculatedColumnFormula>
    </tableColumn>
    <tableColumn id="16" xr3:uid="{D499B4DE-AF2A-4F7B-8983-527B5710A53E}" name="MD%" dataDxfId="528" dataCellStyle="百分比">
      <calculatedColumnFormula>Total_SalesOverview_InTax[[#This Row],[MD GMV]]/Total_SalesOverview_InTax[[#This Row],[GMV]]</calculatedColumnFormula>
    </tableColumn>
    <tableColumn id="14" xr3:uid="{C5C2FEA9-4AA9-4DC4-A0DD-D6ACFB63DDF5}" name="MD NET" dataDxfId="527" dataCellStyle="常规 17"/>
    <tableColumn id="13" xr3:uid="{4C474249-37F8-4430-8B72-EFBD02D9EEDF}" name="MD NET%" dataDxfId="526" dataCellStyle="百分比"/>
    <tableColumn id="34" xr3:uid="{55A67AB2-771C-4930-BF3F-8B1803F8D7DE}" name="GMV_TGT" dataDxfId="525" dataCellStyle="百分比"/>
    <tableColumn id="33" xr3:uid="{890624A0-674F-480D-BCF1-DA5A1E713169}" name="NET_TGT" dataDxfId="524" dataCellStyle="百分比"/>
    <tableColumn id="32" xr3:uid="{FBCE06C4-08B4-4416-9D89-7447F5BF614B}" name="TRAFFIC_TGT" dataDxfId="523" dataCellStyle="百分比"/>
    <tableColumn id="31" xr3:uid="{F5810AC7-6FE5-4B4D-99C9-1EF3D44A5A04}" name="BUYERS_TGT" dataDxfId="522" dataCellStyle="百分比"/>
    <tableColumn id="30" xr3:uid="{F3C20B3C-E3C2-43E2-9B2B-99AD8AF8C835}" name="CVR_TGT" dataDxfId="521" dataCellStyle="百分比"/>
    <tableColumn id="29" xr3:uid="{7E3D0CA0-DB1B-4B42-A323-674B8AE70A1C}" name="ATV_TGT" dataDxfId="520" dataCellStyle="百分比"/>
    <tableColumn id="28" xr3:uid="{FC3FC5B7-2592-4319-9833-926189009E00}" name="UPT_TGT" dataDxfId="519" dataCellStyle="百分比"/>
    <tableColumn id="27" xr3:uid="{910B029D-3340-4883-8DA8-B21180041F05}" name="RRC_TGT" dataDxfId="518" dataCellStyle="百分比"/>
    <tableColumn id="26" xr3:uid="{269133F7-52E5-4188-8CE6-17194A346022}" name="UNITS_TGT" dataDxfId="517" dataCellStyle="百分比"/>
    <tableColumn id="25" xr3:uid="{DE4D6381-C7A2-4F8D-876A-92355E0997B4}" name="GMV_ACH" dataDxfId="516" dataCellStyle="百分比"/>
    <tableColumn id="24" xr3:uid="{AE685C9E-3FB2-4F2E-86C6-519A75BADF11}" name="NET_ACH" dataDxfId="515" dataCellStyle="百分比"/>
    <tableColumn id="23" xr3:uid="{35845443-FDB5-4C32-A0D3-34975130CB8E}" name="TRAFFIC_ACH" dataDxfId="514" dataCellStyle="百分比"/>
    <tableColumn id="22" xr3:uid="{933624C0-CCD9-4CEE-8763-5A55C74DAEE4}" name="BUYERS_ACH" dataDxfId="513" dataCellStyle="百分比"/>
    <tableColumn id="21" xr3:uid="{9FF09AA0-1470-4F64-8201-BC387A358ED9}" name="CVR_ACH" dataDxfId="512" dataCellStyle="百分比"/>
    <tableColumn id="20" xr3:uid="{82ABD663-87B3-476B-97C9-5F6FBE511E12}" name="ATV_ACH" dataDxfId="511" dataCellStyle="百分比"/>
    <tableColumn id="19" xr3:uid="{A237A01D-6D2F-4626-AAD4-482BBF687D30}" name="UPT_ACH" dataDxfId="510" dataCellStyle="百分比"/>
    <tableColumn id="18" xr3:uid="{1EB159BA-A1BF-4B10-AFB2-7EC0C31BFC6F}" name="RRC_ACH" dataDxfId="509" dataCellStyle="百分比"/>
    <tableColumn id="17" xr3:uid="{1238DBDC-1175-4402-B4D2-71D226CAD42C}" name="PayYear" dataDxfId="508">
      <calculatedColumnFormula>_xlfn.XLOOKUP(Total_SalesOverview_InTax[[#This Row],[DATE]],全店核心数据_bymonth[开始日期],全店核心数据_bymonth[jda日历.PayYear],"")</calculatedColumnFormula>
    </tableColumn>
  </tableColumns>
  <tableStyleInfo name="TableStyleLight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AB0DDF3-7E15-477A-B74A-177B21CB9F9E}" name="Total_SalesOverview_ExclTax" displayName="Total_SalesOverview_ExclTax" ref="AO222:BL265" totalsRowShown="0" headerRowDxfId="507" dataDxfId="505" headerRowBorderDxfId="506" tableBorderDxfId="504">
  <autoFilter ref="AO222:BL265" xr:uid="{2AB0DDF3-7E15-477A-B74A-177B21CB9F9E}"/>
  <tableColumns count="24">
    <tableColumn id="1" xr3:uid="{8B2DE086-5821-405A-9A33-46573C1D18BC}" name="DATE" dataDxfId="503" dataCellStyle="常规 17">
      <calculatedColumnFormula>Total_SalesOverview_InTax[[#This Row],[DATE]]</calculatedColumnFormula>
    </tableColumn>
    <tableColumn id="2" xr3:uid="{83FB32F9-F659-425A-B7FE-7217DEAC7152}" name="GMV" dataDxfId="502" dataCellStyle="常规 17">
      <calculatedColumnFormula>SUMIFS(全店核心数据_bymonth[支付金额],全店核心数据_bymonth[开始日期],$E223)</calculatedColumnFormula>
    </tableColumn>
    <tableColumn id="3" xr3:uid="{EA1A2F5E-A38C-40A2-98F9-08B6A8CCC3FB}" name="NET" dataDxfId="501" dataCellStyle="常规 17">
      <calculatedColumnFormula>Total_SalesOverview_ExclTax[[#This Row],[GMV]]-Total_SalesOverview_ExclTax[[#This Row],[RR]]</calculatedColumnFormula>
    </tableColumn>
    <tableColumn id="4" xr3:uid="{103ABF89-8E45-4EAC-8DB1-28C99640DF48}" name="UV" dataDxfId="500" dataCellStyle="常规 17">
      <calculatedColumnFormula>SUMIFS(全店核心数据_bymonth[访客数],全店核心数据_bymonth[开始日期],$E223)</calculatedColumnFormula>
    </tableColumn>
    <tableColumn id="5" xr3:uid="{B3A941DD-0054-4471-8E39-85EA4B5C36BC}" name="Buyers" dataDxfId="499" dataCellStyle="常规 17">
      <calculatedColumnFormula>SUMIFS(全店核心数据_bymonth[支付买家数],全店核心数据_bymonth[开始日期],$E223)</calculatedColumnFormula>
    </tableColumn>
    <tableColumn id="6" xr3:uid="{9C17AE81-A601-4340-A657-D6EE616E031D}" name="Units" dataDxfId="498" dataCellStyle="常规 17">
      <calculatedColumnFormula>SUMIFS(全店核心数据_bymonth[支付件数],全店核心数据_bymonth[开始日期],$E223)</calculatedColumnFormula>
    </tableColumn>
    <tableColumn id="7" xr3:uid="{F70C4721-4AC7-4D35-8C72-895EA77AD75D}" name="CR" dataDxfId="497" dataCellStyle="百分比">
      <calculatedColumnFormula>Total_SalesOverview_ExclTax[[#This Row],[Buyers]]/Total_SalesOverview_ExclTax[[#This Row],[UV]]</calculatedColumnFormula>
    </tableColumn>
    <tableColumn id="8" xr3:uid="{208A8FED-9EA1-4CB8-ABA8-364A01CFD510}" name="ATV" dataDxfId="496" dataCellStyle="常规 17">
      <calculatedColumnFormula>Total_SalesOverview_ExclTax[[#This Row],[GMV]]/Total_SalesOverview_ExclTax[[#This Row],[Buyers]]</calculatedColumnFormula>
    </tableColumn>
    <tableColumn id="9" xr3:uid="{F9EE34C4-99D8-4D51-A278-1C8EFA6A8BC1}" name="AUR" dataDxfId="495" dataCellStyle="常规 17">
      <calculatedColumnFormula>Total_SalesOverview_ExclTax[[#This Row],[GMV]]/Total_SalesOverview_ExclTax[[#This Row],[Units]]</calculatedColumnFormula>
    </tableColumn>
    <tableColumn id="10" xr3:uid="{8D5D9114-864E-46DA-8B09-686A1736921F}" name="UPT" dataDxfId="494" dataCellStyle="常规 17">
      <calculatedColumnFormula>Total_SalesOverview_ExclTax[[#This Row],[Units]]/Total_SalesOverview_ExclTax[[#This Row],[Buyers]]</calculatedColumnFormula>
    </tableColumn>
    <tableColumn id="11" xr3:uid="{88F5027F-8EA8-46FF-BDB8-343B13D46C67}" name="RRC" dataDxfId="493" dataCellStyle="百分比">
      <calculatedColumnFormula>Total_SalesOverview_ExclTax[[#This Row],[RR]]/Total_SalesOverview_ExclTax[[#This Row],[GMV]]</calculatedColumnFormula>
    </tableColumn>
    <tableColumn id="12" xr3:uid="{79FEDD76-D1C0-480C-9093-811CB8F016BF}" name="RR" dataDxfId="492" dataCellStyle="常规 17">
      <calculatedColumnFormula>SUMIFS(全店核心数据_bymonth[支付退款金额],全店核心数据_bymonth[开始日期],$E223)</calculatedColumnFormula>
    </tableColumn>
    <tableColumn id="15" xr3:uid="{B5B379CB-0B5C-4ADF-9382-B0E3D8A859E0}" name="MD GMV" dataDxfId="491" dataCellStyle="常规 17">
      <calculatedColumnFormula>SUMIFS(全店核心数据_bymonth[md_gmv],全店核心数据_bymonth[开始日期],$E223)</calculatedColumnFormula>
    </tableColumn>
    <tableColumn id="16" xr3:uid="{AAD70D73-9626-4D0E-A3BD-90A04C215FA4}" name="MD%" dataDxfId="490" dataCellStyle="百分比">
      <calculatedColumnFormula>Total_SalesOverview_ExclTax[[#This Row],[MD GMV]]/Total_SalesOverview_ExclTax[[#This Row],[GMV]]</calculatedColumnFormula>
    </tableColumn>
    <tableColumn id="24" xr3:uid="{62599E88-B6C1-41D8-AC03-9F62ADD8AC40}" name="GMV_TGT" dataDxfId="489" dataCellStyle="百分比"/>
    <tableColumn id="23" xr3:uid="{FF68F829-CF50-4A89-9597-DDE6F027EBEB}" name="NET_TGT" dataDxfId="488" dataCellStyle="百分比"/>
    <tableColumn id="22" xr3:uid="{0DA8E86A-9E38-475D-8223-6630846F566C}" name="TRAFFIC_TGT" dataDxfId="487" dataCellStyle="百分比"/>
    <tableColumn id="21" xr3:uid="{AF1BBD3E-1374-4192-BD80-0E283E255AAC}" name="BUYERS_TGT" dataDxfId="486" dataCellStyle="百分比"/>
    <tableColumn id="20" xr3:uid="{ECB665B3-8B17-431A-8AE8-501811D30BF0}" name="CVR_TGT" dataDxfId="485" dataCellStyle="百分比"/>
    <tableColumn id="19" xr3:uid="{415DE09D-4B10-4763-9136-093DC9D361D6}" name="ATV_TGT" dataDxfId="484" dataCellStyle="百分比"/>
    <tableColumn id="18" xr3:uid="{B8B9850E-2640-469F-841D-B2E617D25D46}" name="UPT_TGT" dataDxfId="483" dataCellStyle="百分比"/>
    <tableColumn id="14" xr3:uid="{D17D72F4-83B6-43B8-8D00-64AEDE59C32D}" name="RRC_TGT" dataDxfId="482" dataCellStyle="百分比"/>
    <tableColumn id="13" xr3:uid="{6DD64F7F-FA5F-4A1A-BAFA-1248B2B1527B}" name="UNITS_TGT" dataDxfId="481" dataCellStyle="百分比"/>
    <tableColumn id="17" xr3:uid="{DCED9F8C-3FFE-401A-A662-15D4E7169B9B}" name="PayYear" dataDxfId="480">
      <calculatedColumnFormula>_xlfn.XLOOKUP(Total_SalesOverview_ExclTax[[#This Row],[DATE]],全店核心数据_bymonth[开始日期],全店核心数据_bymonth[jda日历.PayYear],"")</calculatedColumnFormula>
    </tableColumn>
  </tableColumns>
  <tableStyleInfo name="TableStyleLight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A7B3D-001E-4F28-8B83-8727C862F17E}" name="DTC_SalesOverview_InTax" displayName="DTC_SalesOverview_InTax" ref="E159:AL208" totalsRowShown="0" headerRowDxfId="479" dataDxfId="477" headerRowBorderDxfId="478" tableBorderDxfId="476">
  <autoFilter ref="E159:AL208" xr:uid="{4D8A7B3D-001E-4F28-8B83-8727C862F17E}"/>
  <tableColumns count="34">
    <tableColumn id="1" xr3:uid="{C2C9B3EC-C76B-424E-8B90-426A63163C82}" name="DATE" dataDxfId="475" dataCellStyle="常规 17"/>
    <tableColumn id="2" xr3:uid="{4B470897-383E-4134-B86E-A9EBA825AE82}" name="GMV" dataDxfId="474" dataCellStyle="常规 17">
      <calculatedColumnFormula>SUMIFS(全店核心数据_bymonth[支付金额],全店核心数据_bymonth[开始日期],$E160)</calculatedColumnFormula>
    </tableColumn>
    <tableColumn id="3" xr3:uid="{555A126B-EE99-4ABF-A8B3-8B3D29A20E0E}" name="NET" dataDxfId="473" dataCellStyle="常规 17">
      <calculatedColumnFormula>DTC_SalesOverview_InTax[[#This Row],[GMV]]-DTC_SalesOverview_InTax[[#This Row],[RR]]</calculatedColumnFormula>
    </tableColumn>
    <tableColumn id="4" xr3:uid="{BC1DFAAA-98DF-48B1-8BCE-D41C7CA08232}" name="UV" dataDxfId="472" dataCellStyle="常规 17">
      <calculatedColumnFormula>SUMIFS(全店核心数据_bymonth[访客数],全店核心数据_bymonth[开始日期],$E160)</calculatedColumnFormula>
    </tableColumn>
    <tableColumn id="5" xr3:uid="{62CE1759-6258-47FA-B863-01DA8787A746}" name="Buyers" dataDxfId="471" dataCellStyle="常规 17">
      <calculatedColumnFormula>SUMIFS(全店核心数据_bymonth[支付买家数],全店核心数据_bymonth[开始日期],$E160)</calculatedColumnFormula>
    </tableColumn>
    <tableColumn id="6" xr3:uid="{BBE52CB9-1294-441F-93A9-592D966C805B}" name="Units" dataDxfId="470" dataCellStyle="常规 17">
      <calculatedColumnFormula>SUMIFS(全店核心数据_bymonth[支付件数],全店核心数据_bymonth[开始日期],$E160)</calculatedColumnFormula>
    </tableColumn>
    <tableColumn id="7" xr3:uid="{C9D32C7F-71D0-420B-82DC-EA76A5913C96}" name="CR" dataDxfId="469" dataCellStyle="百分比">
      <calculatedColumnFormula>DTC_SalesOverview_InTax[[#This Row],[Buyers]]/DTC_SalesOverview_InTax[[#This Row],[UV]]</calculatedColumnFormula>
    </tableColumn>
    <tableColumn id="8" xr3:uid="{95102212-E6CA-4742-A894-0500B3D698E9}" name="ATV" dataDxfId="468" dataCellStyle="常规 17">
      <calculatedColumnFormula>DTC_SalesOverview_InTax[[#This Row],[GMV]]/DTC_SalesOverview_InTax[[#This Row],[Buyers]]</calculatedColumnFormula>
    </tableColumn>
    <tableColumn id="9" xr3:uid="{00AB19DC-2AE0-42DC-B3F0-D3779358D3CA}" name="AUR" dataDxfId="467" dataCellStyle="常规 17">
      <calculatedColumnFormula>DTC_SalesOverview_InTax[[#This Row],[GMV]]/DTC_SalesOverview_InTax[[#This Row],[Units]]</calculatedColumnFormula>
    </tableColumn>
    <tableColumn id="10" xr3:uid="{D243428F-77AF-401A-8DED-8E2EC40304F8}" name="UPT" dataDxfId="466" dataCellStyle="常规 17">
      <calculatedColumnFormula>DTC_SalesOverview_InTax[[#This Row],[Units]]/DTC_SalesOverview_InTax[[#This Row],[Buyers]]</calculatedColumnFormula>
    </tableColumn>
    <tableColumn id="11" xr3:uid="{4E1376AB-56CE-4BC8-BA0A-69EE0339072A}" name="RRC" dataDxfId="465" dataCellStyle="百分比">
      <calculatedColumnFormula>DTC_SalesOverview_InTax[[#This Row],[RR]]/DTC_SalesOverview_InTax[[#This Row],[GMV]]</calculatedColumnFormula>
    </tableColumn>
    <tableColumn id="12" xr3:uid="{68A3A88D-14C7-4421-8205-4EC8F4A8947C}" name="RR" dataDxfId="464" dataCellStyle="常规 17">
      <calculatedColumnFormula>SUMIFS(全店核心数据_bymonth[支付退款金额],全店核心数据_bymonth[开始日期],$E160)</calculatedColumnFormula>
    </tableColumn>
    <tableColumn id="15" xr3:uid="{98D2F853-7F1B-4FFE-B935-6363BE9F9799}" name="MD GMV" dataDxfId="463" dataCellStyle="常规 17">
      <calculatedColumnFormula>SUMIFS(全店核心数据_bymonth[md_gmv],全店核心数据_bymonth[开始日期],$E160)</calculatedColumnFormula>
    </tableColumn>
    <tableColumn id="16" xr3:uid="{45D58D45-B66C-46EE-867E-1369311C2F3A}" name="MD%" dataDxfId="462" dataCellStyle="百分比">
      <calculatedColumnFormula>DTC_SalesOverview_InTax[[#This Row],[MD GMV]]/DTC_SalesOverview_InTax[[#This Row],[GMV]]</calculatedColumnFormula>
    </tableColumn>
    <tableColumn id="14" xr3:uid="{5CCB18F7-6B96-4257-8DE0-22C50F28DC1F}" name="MD NET" dataDxfId="461" dataCellStyle="常规 17"/>
    <tableColumn id="13" xr3:uid="{3218EF00-6671-4C25-B2F3-0FE4B202D9E7}" name="MD NET%" dataDxfId="460" dataCellStyle="百分比"/>
    <tableColumn id="38" xr3:uid="{B0C818AD-7E47-4C31-8972-95CC42FDEDA7}" name="GMV_TGT" dataDxfId="459" dataCellStyle="百分比"/>
    <tableColumn id="37" xr3:uid="{6266ADD1-1D36-475B-8F07-52FDBE0A364E}" name="NET_TGT" dataDxfId="458" dataCellStyle="百分比"/>
    <tableColumn id="36" xr3:uid="{019AF9FD-FE4A-4577-880D-347F17842364}" name="TRAFFIC_TGT" dataDxfId="457" dataCellStyle="百分比"/>
    <tableColumn id="35" xr3:uid="{5FE65C75-259A-4C10-87A6-1B3FCEA65D96}" name="BUYERS_TGT" dataDxfId="456" dataCellStyle="百分比"/>
    <tableColumn id="34" xr3:uid="{9E809DD1-64C5-467E-8546-8B5DF577C30E}" name="CVR_TGT" dataDxfId="455" dataCellStyle="百分比"/>
    <tableColumn id="33" xr3:uid="{78CD27B4-4B06-4EF3-B3E5-A6D28043D6AB}" name="ATV_TGT" dataDxfId="454" dataCellStyle="百分比"/>
    <tableColumn id="32" xr3:uid="{B1667DC4-FCD9-40A3-B936-C7E014B2CF9D}" name="UPT_TGT" dataDxfId="453" dataCellStyle="百分比"/>
    <tableColumn id="31" xr3:uid="{4ADA60A1-6EE4-4985-BEA0-A229B8BD7D5E}" name="RRC_TGT" dataDxfId="452" dataCellStyle="百分比"/>
    <tableColumn id="30" xr3:uid="{573B3C97-74EF-4CF9-AC67-B615C280512D}" name="UNITS_TGT" dataDxfId="451" dataCellStyle="百分比"/>
    <tableColumn id="29" xr3:uid="{8162411A-A501-4768-8B7C-F9367ED67F6C}" name="GMV_ACH" dataDxfId="450" dataCellStyle="百分比"/>
    <tableColumn id="28" xr3:uid="{45A4D931-CA74-4134-9C34-27C424F169EB}" name="NET_ACH" dataDxfId="449" dataCellStyle="百分比"/>
    <tableColumn id="27" xr3:uid="{CB7541B3-AD3E-4BE9-A562-52E91D3D7276}" name="TRAFFIC_ACH" dataDxfId="448" dataCellStyle="百分比"/>
    <tableColumn id="26" xr3:uid="{BFE4B5C9-4807-43AD-99F3-896F2FC6A678}" name="BUYERS_ACH" dataDxfId="447" dataCellStyle="百分比"/>
    <tableColumn id="25" xr3:uid="{DB976312-B3A4-4C37-8BA7-7339F20C837C}" name="CVR_ACH" dataDxfId="446" dataCellStyle="百分比"/>
    <tableColumn id="24" xr3:uid="{F91943DE-AD62-4F70-83A6-DD436F6CA30A}" name="ATV_ACH" dataDxfId="445" dataCellStyle="百分比"/>
    <tableColumn id="23" xr3:uid="{8CA6ADE8-8FA2-445A-878B-B86D2F6611A4}" name="UPT_ACH" dataDxfId="444" dataCellStyle="百分比"/>
    <tableColumn id="22" xr3:uid="{340EE278-C56A-43A4-831F-3E4184539FC6}" name="RRC_ACH" dataDxfId="443" dataCellStyle="百分比"/>
    <tableColumn id="17" xr3:uid="{19D8D6D1-3501-4E96-B8F0-06730FE77745}" name="PayYear" dataDxfId="442">
      <calculatedColumnFormula>_xlfn.XLOOKUP(DTC_SalesOverview_InTax[[#This Row],[DATE]],全店核心数据_bymonth[开始日期],全店核心数据_bymonth[jda日历.PayYear],"")</calculatedColumnFormula>
    </tableColumn>
  </tableColumns>
  <tableStyleInfo name="TableStyleLight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CE3C67-6880-477D-9CA3-78F05BBF5F50}" name="DTC_SalesOverview_ExclTax" displayName="DTC_SalesOverview_ExclTax" ref="AO159:BL208" totalsRowShown="0" headerRowDxfId="441" dataDxfId="439" headerRowBorderDxfId="440" tableBorderDxfId="438">
  <autoFilter ref="AO159:BL208" xr:uid="{E1CE3C67-6880-477D-9CA3-78F05BBF5F50}"/>
  <tableColumns count="24">
    <tableColumn id="1" xr3:uid="{E980A898-6E94-4B23-B847-0495B68745C8}" name="DATE" dataDxfId="437" dataCellStyle="常规 17">
      <calculatedColumnFormula>DTC_SalesOverview_InTax[[#This Row],[DATE]]</calculatedColumnFormula>
    </tableColumn>
    <tableColumn id="2" xr3:uid="{C13DCFB7-60EC-4D46-B25E-B9497655EDE7}" name="GMV" dataDxfId="436" dataCellStyle="常规 17">
      <calculatedColumnFormula>SUMIFS(全店核心数据_bymonth[支付金额],全店核心数据_bymonth[开始日期],$E160)</calculatedColumnFormula>
    </tableColumn>
    <tableColumn id="3" xr3:uid="{F46B7FC2-0D73-4A2D-9F98-86AA2756D18D}" name="NET" dataDxfId="435" dataCellStyle="常规 17">
      <calculatedColumnFormula>DTC_SalesOverview_ExclTax[[#This Row],[GMV]]-DTC_SalesOverview_ExclTax[[#This Row],[RR]]</calculatedColumnFormula>
    </tableColumn>
    <tableColumn id="4" xr3:uid="{C6121319-47FB-4A09-934C-FB7DA8CE7D97}" name="UV" dataDxfId="434" dataCellStyle="常规 17">
      <calculatedColumnFormula>SUMIFS(全店核心数据_bymonth[访客数],全店核心数据_bymonth[开始日期],$E160)</calculatedColumnFormula>
    </tableColumn>
    <tableColumn id="5" xr3:uid="{03E94749-47DD-4604-BC78-B97ED34E20DA}" name="Buyers" dataDxfId="433" dataCellStyle="常规 17">
      <calculatedColumnFormula>SUMIFS(全店核心数据_bymonth[支付买家数],全店核心数据_bymonth[开始日期],$E160)</calculatedColumnFormula>
    </tableColumn>
    <tableColumn id="6" xr3:uid="{06780FD3-5BDF-4C76-BF17-0CA361ADFFD1}" name="Units" dataDxfId="432" dataCellStyle="常规 17">
      <calculatedColumnFormula>SUMIFS(全店核心数据_bymonth[支付件数],全店核心数据_bymonth[开始日期],$E160)</calculatedColumnFormula>
    </tableColumn>
    <tableColumn id="7" xr3:uid="{2E16CB70-416F-4331-A925-D949279BD158}" name="CR" dataDxfId="431" dataCellStyle="百分比">
      <calculatedColumnFormula>DTC_SalesOverview_ExclTax[[#This Row],[Buyers]]/DTC_SalesOverview_ExclTax[[#This Row],[UV]]</calculatedColumnFormula>
    </tableColumn>
    <tableColumn id="8" xr3:uid="{85B09301-1A05-43C6-B588-82BE1D5C8685}" name="ATV" dataDxfId="430" dataCellStyle="常规 17">
      <calculatedColumnFormula>DTC_SalesOverview_ExclTax[[#This Row],[GMV]]/DTC_SalesOverview_ExclTax[[#This Row],[Buyers]]</calculatedColumnFormula>
    </tableColumn>
    <tableColumn id="9" xr3:uid="{24776CFE-9199-480C-9D46-11385E14D236}" name="AUR" dataDxfId="429" dataCellStyle="常规 17">
      <calculatedColumnFormula>DTC_SalesOverview_ExclTax[[#This Row],[GMV]]/DTC_SalesOverview_ExclTax[[#This Row],[Units]]</calculatedColumnFormula>
    </tableColumn>
    <tableColumn id="10" xr3:uid="{316E9A43-9204-4831-A16A-3392D675860B}" name="UPT" dataDxfId="428" dataCellStyle="常规 17">
      <calculatedColumnFormula>DTC_SalesOverview_ExclTax[[#This Row],[Units]]/DTC_SalesOverview_ExclTax[[#This Row],[Buyers]]</calculatedColumnFormula>
    </tableColumn>
    <tableColumn id="11" xr3:uid="{F5EBFCE2-0D52-401D-8A0B-7BC10A068550}" name="RRC" dataDxfId="427" dataCellStyle="百分比">
      <calculatedColumnFormula>DTC_SalesOverview_ExclTax[[#This Row],[RR]]/DTC_SalesOverview_ExclTax[[#This Row],[GMV]]</calculatedColumnFormula>
    </tableColumn>
    <tableColumn id="12" xr3:uid="{4EE04EE8-BCC8-43CD-8974-91F4AE734174}" name="RR" dataDxfId="426" dataCellStyle="常规 17">
      <calculatedColumnFormula>SUMIFS(全店核心数据_bymonth[支付退款金额],全店核心数据_bymonth[开始日期],$E160)</calculatedColumnFormula>
    </tableColumn>
    <tableColumn id="15" xr3:uid="{14CE1A9E-9C0E-4952-95D4-9CBBB1C3058B}" name="MD GMV" dataDxfId="425" dataCellStyle="常规 17">
      <calculatedColumnFormula>SUMIFS(全店核心数据_bymonth[md_gmv],全店核心数据_bymonth[开始日期],$E160)</calculatedColumnFormula>
    </tableColumn>
    <tableColumn id="16" xr3:uid="{0F9E35A2-3A86-40BA-9D56-0542F64074E2}" name="MD%" dataDxfId="424" dataCellStyle="百分比">
      <calculatedColumnFormula>DTC_SalesOverview_ExclTax[[#This Row],[MD GMV]]/DTC_SalesOverview_ExclTax[[#This Row],[GMV]]</calculatedColumnFormula>
    </tableColumn>
    <tableColumn id="24" xr3:uid="{454A73AD-C541-440D-887E-4E3966F0044D}" name="GMV_TGT" dataDxfId="423" dataCellStyle="百分比"/>
    <tableColumn id="23" xr3:uid="{94076B61-37E5-4405-AE1C-F3B9BB5D96D9}" name="NET_TGT" dataDxfId="422" dataCellStyle="百分比"/>
    <tableColumn id="22" xr3:uid="{521CE700-E878-4CAA-ACC3-827F255483FC}" name="TRAFFIC_TGT" dataDxfId="421" dataCellStyle="百分比"/>
    <tableColumn id="21" xr3:uid="{A3E135A1-FEF6-46CA-95A1-7672907B0505}" name="BUYERS_TGT" dataDxfId="420" dataCellStyle="百分比"/>
    <tableColumn id="20" xr3:uid="{5579E6FB-6A21-4877-887D-861EFFA52CE5}" name="CVR_TGT" dataDxfId="419" dataCellStyle="百分比"/>
    <tableColumn id="19" xr3:uid="{2024408B-9059-4391-9762-2EE7EC21D3C8}" name="ATV_TGT" dataDxfId="418" dataCellStyle="百分比"/>
    <tableColumn id="18" xr3:uid="{1CEB76DF-29E8-45DB-A13F-B41A865B24DE}" name="UPT_TGT" dataDxfId="417" dataCellStyle="百分比"/>
    <tableColumn id="14" xr3:uid="{B2CB9852-D14F-40E3-B4B3-A89C323A100B}" name="RRC_TGT" dataDxfId="416" dataCellStyle="百分比"/>
    <tableColumn id="13" xr3:uid="{CCB2CBEB-4C6A-481A-B9CF-92F36DB08060}" name="UNITS_TGT" dataDxfId="415" dataCellStyle="百分比"/>
    <tableColumn id="17" xr3:uid="{25147EB6-EFC5-4234-94A5-F89CBA2923B4}" name="PayYear" dataDxfId="414" dataCellStyle="常规 17">
      <calculatedColumnFormula>_xlfn.XLOOKUP(DTC_SalesOverview_ExclTax[[#This Row],[DATE]],全店核心数据_bymonth[开始日期],全店核心数据_bymonth[jda日历.PayYear],"")</calculatedColumnFormula>
    </tableColumn>
  </tableColumns>
  <tableStyleInfo name="TableStyleLight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8CA1AC-3B10-4125-A55F-6B9C5F74145F}" name="全店核心数据_bymonth" displayName="全店核心数据_bymonth" ref="A1:AN46" tableType="queryTable" totalsRowShown="0" headerRowDxfId="413" dataDxfId="412">
  <autoFilter ref="A1:AN46" xr:uid="{678CA1AC-3B10-4125-A55F-6B9C5F74145F}"/>
  <tableColumns count="40">
    <tableColumn id="1" xr3:uid="{29E9FFC4-1F3D-411B-94BD-B34AC9E73369}" uniqueName="1" name="开始日期" queryTableFieldId="1" dataDxfId="411"/>
    <tableColumn id="2" xr3:uid="{DB28CBFB-E54D-4CE7-9CBE-597918134B21}" uniqueName="2" name="结束日期" queryTableFieldId="2" dataDxfId="410"/>
    <tableColumn id="3" xr3:uid="{79E5D216-4CC5-4697-B069-3E5EFFC2F22E}" uniqueName="3" name="日期类型" queryTableFieldId="3" dataDxfId="409"/>
    <tableColumn id="4" xr3:uid="{92D65ABF-AE40-4572-9B23-0F39EBBD21E2}" uniqueName="4" name="统计日期" queryTableFieldId="4" dataDxfId="408"/>
    <tableColumn id="5" xr3:uid="{4C8BFF03-56C0-4EB6-8D84-A0B504648D64}" uniqueName="5" name="访客数" queryTableFieldId="5" dataDxfId="407"/>
    <tableColumn id="6" xr3:uid="{D64CE2F8-A048-4D01-A7C6-A5ABC766E702}" uniqueName="6" name="浏览量" queryTableFieldId="6" dataDxfId="406"/>
    <tableColumn id="7" xr3:uid="{9ED7DA37-289B-4717-A555-3F9F36070888}" uniqueName="7" name="商品访客数" queryTableFieldId="7" dataDxfId="405"/>
    <tableColumn id="8" xr3:uid="{8076DD66-B4D6-467F-9AC3-6D21C13128D0}" uniqueName="8" name="商品浏览量" queryTableFieldId="8" dataDxfId="404"/>
    <tableColumn id="9" xr3:uid="{604F73E1-0A86-49AE-8AA2-4634A3147801}" uniqueName="9" name="商品收藏人数" queryTableFieldId="9" dataDxfId="403"/>
    <tableColumn id="10" xr3:uid="{E3D5C3B8-7FF9-4065-A710-19558316B558}" uniqueName="10" name="商品收藏次数" queryTableFieldId="10" dataDxfId="402"/>
    <tableColumn id="11" xr3:uid="{8AA88C9C-180A-4A6D-B920-B23323ED5412}" uniqueName="11" name="加购人数" queryTableFieldId="11" dataDxfId="401"/>
    <tableColumn id="12" xr3:uid="{344AFED9-8438-443A-B8B1-338244306DCC}" uniqueName="12" name="支付金额" queryTableFieldId="12" dataDxfId="400"/>
    <tableColumn id="13" xr3:uid="{7D71AE74-E9FD-4343-ABF9-6A7705764283}" uniqueName="13" name="支付买家数" queryTableFieldId="13" dataDxfId="399"/>
    <tableColumn id="14" xr3:uid="{CFC8BFED-983D-4087-999D-9B56D39C5019}" uniqueName="14" name="支付子订单数" queryTableFieldId="14" dataDxfId="398"/>
    <tableColumn id="15" xr3:uid="{6CC6C5C5-C4C6-4DFC-9634-32EAD4DE6299}" uniqueName="15" name="支付父订单数" queryTableFieldId="15" dataDxfId="397"/>
    <tableColumn id="16" xr3:uid="{68A48064-CB30-4B23-B13C-81407F11DF12}" uniqueName="16" name="支付件数" queryTableFieldId="16" dataDxfId="396"/>
    <tableColumn id="17" xr3:uid="{F8AB014A-B5E2-4C81-8EAD-1DEB796310A8}" uniqueName="17" name="下单金额" queryTableFieldId="17" dataDxfId="395"/>
    <tableColumn id="18" xr3:uid="{208DF479-9BC9-4772-A2AB-8E035BCE8C0A}" uniqueName="18" name="下单买家数" queryTableFieldId="18" dataDxfId="394"/>
    <tableColumn id="19" xr3:uid="{6514B9EE-4634-4607-8DE5-A6F93E38A984}" uniqueName="19" name="客单价" queryTableFieldId="19" dataDxfId="393"/>
    <tableColumn id="20" xr3:uid="{7FCCAEC9-D28F-4D6A-8823-F6E12EE43533}" uniqueName="20" name="UV价值" queryTableFieldId="20" dataDxfId="392"/>
    <tableColumn id="21" xr3:uid="{56BCDE0C-6F25-4A44-AED9-89FA76F453FB}" uniqueName="21" name="老访客数" queryTableFieldId="21" dataDxfId="391"/>
    <tableColumn id="22" xr3:uid="{993DE04A-2436-43B2-8F5D-BD5D0EB22C52}" uniqueName="22" name="新访客数" queryTableFieldId="22" dataDxfId="390"/>
    <tableColumn id="23" xr3:uid="{3F16F14B-46A5-45AC-BAA1-9EAE084D9A9D}" uniqueName="23" name="加购件数" queryTableFieldId="23" dataDxfId="389"/>
    <tableColumn id="24" xr3:uid="{14BE03B9-8008-4868-855B-44475D0D6274}" uniqueName="24" name="支付老买家数" queryTableFieldId="24" dataDxfId="388"/>
    <tableColumn id="25" xr3:uid="{469ABDCD-9885-48EB-B528-4BB72ABB914C}" uniqueName="25" name="老买家支付金额" queryTableFieldId="25" dataDxfId="387"/>
    <tableColumn id="26" xr3:uid="{BF239D4B-1DE1-4D08-8B5A-91F9A8A15065}" uniqueName="26" name="直通车消耗" queryTableFieldId="26" dataDxfId="386"/>
    <tableColumn id="27" xr3:uid="{FA98DCBA-2925-4EF2-9046-BC298BEF8F9B}" uniqueName="27" name="钻石展位消耗" queryTableFieldId="27" dataDxfId="385"/>
    <tableColumn id="28" xr3:uid="{79706C7F-3DAB-488D-9F85-FC6DA2BAD101}" uniqueName="28" name="淘宝客佣金" queryTableFieldId="28" dataDxfId="384"/>
    <tableColumn id="29" xr3:uid="{6E588298-9409-404D-B73A-D4F70814B556}" uniqueName="29" name="超级推荐消耗" queryTableFieldId="29" dataDxfId="383"/>
    <tableColumn id="30" xr3:uid="{45DEC593-5387-4DF1-BF90-DB3FCFBD9565}" uniqueName="30" name="万相台消耗" queryTableFieldId="30" dataDxfId="382"/>
    <tableColumn id="31" xr3:uid="{C424DD85-B6A5-404B-8B83-4BCBA852C320}" uniqueName="31" name="引力魔方消耗" queryTableFieldId="31" dataDxfId="381"/>
    <tableColumn id="32" xr3:uid="{B4A0F5B0-92DF-4210-93AE-CE092DAF027B}" uniqueName="32" name="成功退款完结金额" queryTableFieldId="32" dataDxfId="380"/>
    <tableColumn id="33" xr3:uid="{CBA2C0F7-679B-480B-8F17-90CCA2EDA08A}" uniqueName="33" name="关注店铺人数" queryTableFieldId="33" dataDxfId="379"/>
    <tableColumn id="34" xr3:uid="{6DD3AEC3-82A4-4EDF-831F-BDFA85F5135C}" uniqueName="34" name="支付退款金额" queryTableFieldId="34" dataDxfId="378"/>
    <tableColumn id="35" xr3:uid="{AEF2FFFB-8C84-4232-9ADC-839C52B76A76}" uniqueName="35" name="md_gmv" queryTableFieldId="35" dataDxfId="377"/>
    <tableColumn id="36" xr3:uid="{82C9F8A7-FF9B-451E-B84A-3963DA160C86}" uniqueName="36" name="md_net" queryTableFieldId="36" dataDxfId="376"/>
    <tableColumn id="40" xr3:uid="{79ED2594-AB5A-47DA-BBD6-1A6D931CCB6C}" uniqueName="40" name="老客支付子订单数" queryTableFieldId="40" dataDxfId="375"/>
    <tableColumn id="37" xr3:uid="{FCE91FFE-F962-49FD-9D61-290BB0AF1806}" uniqueName="37" name="jda日历.PaySeason" queryTableFieldId="37" dataDxfId="374"/>
    <tableColumn id="38" xr3:uid="{DB25614B-896C-4327-AC0E-0F48EFA76A60}" uniqueName="38" name="jda日历.PayMonth" queryTableFieldId="38" dataDxfId="373"/>
    <tableColumn id="39" xr3:uid="{BC366DBD-DFC0-47C8-9820-CF68ECBB642C}" uniqueName="39" name="jda日历.PayYear" queryTableFieldId="39" dataDxfId="37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2A6A-4A12-4405-965D-A759B9D09FD4}">
  <sheetPr>
    <tabColor theme="8" tint="-0.499984740745262"/>
  </sheetPr>
  <dimension ref="A1:V1678"/>
  <sheetViews>
    <sheetView topLeftCell="A244" zoomScale="85" zoomScaleNormal="85" workbookViewId="0">
      <selection activeCell="M276" sqref="M276"/>
    </sheetView>
  </sheetViews>
  <sheetFormatPr defaultRowHeight="11.5" x14ac:dyDescent="0.25"/>
  <cols>
    <col min="1" max="1" width="9.58203125" style="375" bestFit="1" customWidth="1"/>
    <col min="2" max="3" width="7.83203125" style="375" bestFit="1" customWidth="1"/>
    <col min="4" max="4" width="10.83203125" style="375" bestFit="1" customWidth="1"/>
    <col min="5" max="5" width="11.83203125" style="375" bestFit="1" customWidth="1"/>
    <col min="6" max="6" width="11.75" style="375" bestFit="1" customWidth="1"/>
    <col min="7" max="7" width="7" style="375" bestFit="1" customWidth="1"/>
    <col min="8" max="8" width="7" style="376" bestFit="1" customWidth="1"/>
    <col min="9" max="9" width="7" style="375" bestFit="1" customWidth="1"/>
    <col min="10" max="10" width="6.58203125" style="375" bestFit="1" customWidth="1"/>
    <col min="11" max="11" width="9.08203125" style="375" bestFit="1" customWidth="1"/>
    <col min="12" max="12" width="12.33203125" style="375" bestFit="1" customWidth="1"/>
    <col min="13" max="13" width="12.5" style="375" bestFit="1" customWidth="1"/>
    <col min="14" max="14" width="15.58203125" style="375" bestFit="1" customWidth="1"/>
    <col min="15" max="15" width="16.5" style="375" bestFit="1" customWidth="1"/>
    <col min="16" max="16" width="15.08203125" style="375" bestFit="1" customWidth="1"/>
    <col min="17" max="17" width="17.75" style="375" bestFit="1" customWidth="1"/>
    <col min="18" max="18" width="16.5" style="375" bestFit="1" customWidth="1"/>
    <col min="19" max="19" width="17.58203125" style="375" bestFit="1" customWidth="1"/>
    <col min="20" max="20" width="16.58203125" style="375" bestFit="1" customWidth="1"/>
    <col min="21" max="21" width="19" style="375" bestFit="1" customWidth="1"/>
    <col min="22" max="22" width="10.25" style="375" bestFit="1" customWidth="1"/>
    <col min="23" max="16384" width="8.6640625" style="375"/>
  </cols>
  <sheetData>
    <row r="1" spans="1:22" x14ac:dyDescent="0.25">
      <c r="A1" s="375" t="s">
        <v>584</v>
      </c>
      <c r="B1" s="375" t="s">
        <v>585</v>
      </c>
      <c r="C1" s="375" t="s">
        <v>586</v>
      </c>
      <c r="D1" s="375" t="s">
        <v>467</v>
      </c>
      <c r="E1" s="375" t="s">
        <v>587</v>
      </c>
      <c r="F1" s="375" t="s">
        <v>588</v>
      </c>
      <c r="G1" s="375" t="s">
        <v>5</v>
      </c>
      <c r="H1" s="376" t="s">
        <v>589</v>
      </c>
      <c r="I1" s="375" t="s">
        <v>590</v>
      </c>
      <c r="J1" s="375" t="s">
        <v>591</v>
      </c>
      <c r="K1" s="375" t="s">
        <v>592</v>
      </c>
      <c r="L1" s="375" t="s">
        <v>593</v>
      </c>
      <c r="M1" s="375" t="s">
        <v>594</v>
      </c>
      <c r="N1" s="375" t="s">
        <v>636</v>
      </c>
      <c r="O1" s="375" t="s">
        <v>637</v>
      </c>
      <c r="P1" s="375" t="s">
        <v>638</v>
      </c>
      <c r="Q1" s="375" t="s">
        <v>639</v>
      </c>
      <c r="R1" s="375" t="s">
        <v>655</v>
      </c>
      <c r="S1" s="375" t="s">
        <v>656</v>
      </c>
      <c r="T1" s="375" t="s">
        <v>657</v>
      </c>
      <c r="U1" s="375" t="s">
        <v>658</v>
      </c>
      <c r="V1" s="375" t="s">
        <v>595</v>
      </c>
    </row>
    <row r="2" spans="1:22" x14ac:dyDescent="0.25">
      <c r="A2" s="377">
        <v>45748</v>
      </c>
      <c r="B2" s="375">
        <v>4237</v>
      </c>
      <c r="C2" s="375">
        <v>3390</v>
      </c>
      <c r="D2" s="375">
        <v>1</v>
      </c>
      <c r="E2" s="375">
        <v>1</v>
      </c>
      <c r="F2" s="375">
        <v>0.19999999999999996</v>
      </c>
      <c r="G2" s="375">
        <v>400</v>
      </c>
      <c r="H2" s="376">
        <v>2.5000000000000001E-3</v>
      </c>
      <c r="I2" s="375">
        <v>4500</v>
      </c>
      <c r="J2" s="375">
        <v>4950</v>
      </c>
      <c r="K2" s="375">
        <v>1</v>
      </c>
      <c r="L2" s="375">
        <v>400</v>
      </c>
      <c r="M2" s="375">
        <v>0</v>
      </c>
      <c r="N2" s="375">
        <v>0</v>
      </c>
      <c r="O2" s="375">
        <v>0</v>
      </c>
      <c r="P2" s="375">
        <v>0</v>
      </c>
      <c r="Q2" s="375">
        <v>0</v>
      </c>
      <c r="R2" s="375">
        <v>3389.9999999999995</v>
      </c>
      <c r="S2" s="375">
        <v>4237.4999999999991</v>
      </c>
      <c r="T2" s="375">
        <v>0.2</v>
      </c>
      <c r="U2" s="375">
        <v>400</v>
      </c>
      <c r="V2" s="375" t="s">
        <v>597</v>
      </c>
    </row>
    <row r="3" spans="1:22" x14ac:dyDescent="0.25">
      <c r="A3" s="377">
        <v>45749</v>
      </c>
      <c r="B3" s="375">
        <v>0</v>
      </c>
      <c r="C3" s="375">
        <v>0</v>
      </c>
      <c r="D3" s="375">
        <v>0</v>
      </c>
      <c r="E3" s="375">
        <v>0</v>
      </c>
      <c r="F3" s="375">
        <v>0</v>
      </c>
      <c r="G3" s="375">
        <v>400</v>
      </c>
      <c r="H3" s="376">
        <v>0</v>
      </c>
      <c r="I3" s="375">
        <v>0</v>
      </c>
      <c r="J3" s="375">
        <v>0</v>
      </c>
      <c r="K3" s="375">
        <v>0</v>
      </c>
      <c r="L3" s="375">
        <v>400</v>
      </c>
      <c r="M3" s="375">
        <v>0</v>
      </c>
      <c r="N3" s="375">
        <v>0</v>
      </c>
      <c r="O3" s="375">
        <v>0</v>
      </c>
      <c r="P3" s="375">
        <v>0</v>
      </c>
      <c r="Q3" s="375">
        <v>0</v>
      </c>
      <c r="R3" s="375">
        <v>0</v>
      </c>
      <c r="S3" s="375">
        <v>0</v>
      </c>
      <c r="T3" s="375">
        <v>0</v>
      </c>
      <c r="U3" s="375">
        <v>400</v>
      </c>
      <c r="V3" s="375" t="s">
        <v>597</v>
      </c>
    </row>
    <row r="4" spans="1:22" x14ac:dyDescent="0.25">
      <c r="A4" s="377">
        <v>45750</v>
      </c>
      <c r="B4" s="375">
        <v>0</v>
      </c>
      <c r="C4" s="375">
        <v>0</v>
      </c>
      <c r="D4" s="375">
        <v>0</v>
      </c>
      <c r="E4" s="375">
        <v>0</v>
      </c>
      <c r="F4" s="375">
        <v>0</v>
      </c>
      <c r="G4" s="375">
        <v>400</v>
      </c>
      <c r="H4" s="376">
        <v>0</v>
      </c>
      <c r="I4" s="375">
        <v>0</v>
      </c>
      <c r="J4" s="375">
        <v>0</v>
      </c>
      <c r="K4" s="375">
        <v>0</v>
      </c>
      <c r="L4" s="375">
        <v>400</v>
      </c>
      <c r="M4" s="375">
        <v>0</v>
      </c>
      <c r="N4" s="375">
        <v>0</v>
      </c>
      <c r="O4" s="375">
        <v>0</v>
      </c>
      <c r="P4" s="375">
        <v>0</v>
      </c>
      <c r="Q4" s="375">
        <v>0</v>
      </c>
      <c r="R4" s="375">
        <v>0</v>
      </c>
      <c r="S4" s="375">
        <v>0</v>
      </c>
      <c r="T4" s="375">
        <v>0</v>
      </c>
      <c r="U4" s="375">
        <v>400</v>
      </c>
      <c r="V4" s="375" t="s">
        <v>597</v>
      </c>
    </row>
    <row r="5" spans="1:22" x14ac:dyDescent="0.25">
      <c r="A5" s="377">
        <v>45751</v>
      </c>
      <c r="B5" s="375">
        <v>0</v>
      </c>
      <c r="C5" s="375">
        <v>0</v>
      </c>
      <c r="D5" s="375">
        <v>0</v>
      </c>
      <c r="E5" s="375">
        <v>0</v>
      </c>
      <c r="F5" s="375">
        <v>0</v>
      </c>
      <c r="G5" s="375">
        <v>400</v>
      </c>
      <c r="H5" s="376">
        <v>0</v>
      </c>
      <c r="I5" s="375">
        <v>0</v>
      </c>
      <c r="J5" s="375">
        <v>0</v>
      </c>
      <c r="K5" s="375">
        <v>0</v>
      </c>
      <c r="L5" s="375">
        <v>400</v>
      </c>
      <c r="M5" s="375">
        <v>0</v>
      </c>
      <c r="N5" s="375">
        <v>0</v>
      </c>
      <c r="O5" s="375">
        <v>0</v>
      </c>
      <c r="P5" s="375">
        <v>0</v>
      </c>
      <c r="Q5" s="375">
        <v>0</v>
      </c>
      <c r="R5" s="375">
        <v>0</v>
      </c>
      <c r="S5" s="375">
        <v>0</v>
      </c>
      <c r="T5" s="375">
        <v>0</v>
      </c>
      <c r="U5" s="375">
        <v>400</v>
      </c>
      <c r="V5" s="375" t="s">
        <v>597</v>
      </c>
    </row>
    <row r="6" spans="1:22" x14ac:dyDescent="0.25">
      <c r="A6" s="377">
        <v>45752</v>
      </c>
      <c r="B6" s="375">
        <v>0</v>
      </c>
      <c r="C6" s="375">
        <v>0</v>
      </c>
      <c r="D6" s="375">
        <v>0</v>
      </c>
      <c r="E6" s="375">
        <v>0</v>
      </c>
      <c r="F6" s="375">
        <v>0</v>
      </c>
      <c r="G6" s="375">
        <v>400</v>
      </c>
      <c r="H6" s="376">
        <v>0</v>
      </c>
      <c r="I6" s="375">
        <v>0</v>
      </c>
      <c r="J6" s="375">
        <v>0</v>
      </c>
      <c r="K6" s="375">
        <v>0</v>
      </c>
      <c r="L6" s="375">
        <v>400</v>
      </c>
      <c r="M6" s="375">
        <v>0</v>
      </c>
      <c r="N6" s="375">
        <v>0</v>
      </c>
      <c r="O6" s="375">
        <v>0</v>
      </c>
      <c r="P6" s="375">
        <v>0</v>
      </c>
      <c r="Q6" s="375">
        <v>0</v>
      </c>
      <c r="R6" s="375">
        <v>0</v>
      </c>
      <c r="S6" s="375">
        <v>0</v>
      </c>
      <c r="T6" s="375">
        <v>0</v>
      </c>
      <c r="U6" s="375">
        <v>400</v>
      </c>
      <c r="V6" s="375" t="s">
        <v>597</v>
      </c>
    </row>
    <row r="7" spans="1:22" x14ac:dyDescent="0.25">
      <c r="A7" s="377">
        <v>45753</v>
      </c>
      <c r="B7" s="375">
        <v>0</v>
      </c>
      <c r="C7" s="375">
        <v>0</v>
      </c>
      <c r="D7" s="375">
        <v>0</v>
      </c>
      <c r="E7" s="375">
        <v>0</v>
      </c>
      <c r="F7" s="375">
        <v>0</v>
      </c>
      <c r="G7" s="375">
        <v>400</v>
      </c>
      <c r="H7" s="376">
        <v>0</v>
      </c>
      <c r="I7" s="375">
        <v>0</v>
      </c>
      <c r="J7" s="375">
        <v>0</v>
      </c>
      <c r="K7" s="375">
        <v>0</v>
      </c>
      <c r="L7" s="375">
        <v>400</v>
      </c>
      <c r="M7" s="375">
        <v>0</v>
      </c>
      <c r="N7" s="375">
        <v>0</v>
      </c>
      <c r="O7" s="375">
        <v>0</v>
      </c>
      <c r="P7" s="375">
        <v>0</v>
      </c>
      <c r="Q7" s="375">
        <v>0</v>
      </c>
      <c r="R7" s="375">
        <v>0</v>
      </c>
      <c r="S7" s="375">
        <v>0</v>
      </c>
      <c r="T7" s="375">
        <v>0</v>
      </c>
      <c r="U7" s="375">
        <v>400</v>
      </c>
      <c r="V7" s="375" t="s">
        <v>597</v>
      </c>
    </row>
    <row r="8" spans="1:22" x14ac:dyDescent="0.25">
      <c r="A8" s="377">
        <v>45754</v>
      </c>
      <c r="B8" s="375">
        <v>4237</v>
      </c>
      <c r="C8" s="375">
        <v>3390</v>
      </c>
      <c r="D8" s="375">
        <v>1</v>
      </c>
      <c r="E8" s="375">
        <v>1</v>
      </c>
      <c r="F8" s="375">
        <v>0.19999999999999996</v>
      </c>
      <c r="G8" s="375">
        <v>400</v>
      </c>
      <c r="H8" s="376">
        <v>2.5000000000000001E-3</v>
      </c>
      <c r="I8" s="375">
        <v>4500</v>
      </c>
      <c r="J8" s="375">
        <v>4950</v>
      </c>
      <c r="K8" s="375">
        <v>1</v>
      </c>
      <c r="L8" s="375">
        <v>400</v>
      </c>
      <c r="M8" s="375">
        <v>0</v>
      </c>
      <c r="N8" s="375">
        <v>0</v>
      </c>
      <c r="O8" s="375">
        <v>0</v>
      </c>
      <c r="P8" s="375">
        <v>0</v>
      </c>
      <c r="Q8" s="375">
        <v>0</v>
      </c>
      <c r="R8" s="375">
        <v>3389.9999999999995</v>
      </c>
      <c r="S8" s="375">
        <v>4237.4999999999991</v>
      </c>
      <c r="T8" s="375">
        <v>0.2</v>
      </c>
      <c r="U8" s="375">
        <v>400</v>
      </c>
      <c r="V8" s="375" t="s">
        <v>597</v>
      </c>
    </row>
    <row r="9" spans="1:22" x14ac:dyDescent="0.25">
      <c r="A9" s="377">
        <v>45755</v>
      </c>
      <c r="B9" s="375">
        <v>0</v>
      </c>
      <c r="C9" s="375">
        <v>0</v>
      </c>
      <c r="D9" s="375">
        <v>0</v>
      </c>
      <c r="E9" s="375">
        <v>0</v>
      </c>
      <c r="F9" s="375">
        <v>0</v>
      </c>
      <c r="G9" s="375">
        <v>400</v>
      </c>
      <c r="H9" s="376">
        <v>0</v>
      </c>
      <c r="I9" s="375">
        <v>0</v>
      </c>
      <c r="J9" s="375">
        <v>0</v>
      </c>
      <c r="K9" s="375">
        <v>0</v>
      </c>
      <c r="L9" s="375">
        <v>400</v>
      </c>
      <c r="M9" s="375">
        <v>0</v>
      </c>
      <c r="N9" s="375">
        <v>0</v>
      </c>
      <c r="O9" s="375">
        <v>0</v>
      </c>
      <c r="P9" s="375">
        <v>0</v>
      </c>
      <c r="Q9" s="375">
        <v>0</v>
      </c>
      <c r="R9" s="375">
        <v>0</v>
      </c>
      <c r="S9" s="375">
        <v>0</v>
      </c>
      <c r="T9" s="375">
        <v>0</v>
      </c>
      <c r="U9" s="375">
        <v>400</v>
      </c>
      <c r="V9" s="375" t="s">
        <v>597</v>
      </c>
    </row>
    <row r="10" spans="1:22" x14ac:dyDescent="0.25">
      <c r="A10" s="377">
        <v>45756</v>
      </c>
      <c r="B10" s="375">
        <v>0</v>
      </c>
      <c r="C10" s="375">
        <v>0</v>
      </c>
      <c r="D10" s="375">
        <v>0</v>
      </c>
      <c r="E10" s="375">
        <v>0</v>
      </c>
      <c r="F10" s="375">
        <v>0</v>
      </c>
      <c r="G10" s="375">
        <v>400</v>
      </c>
      <c r="H10" s="376">
        <v>0</v>
      </c>
      <c r="I10" s="375">
        <v>0</v>
      </c>
      <c r="J10" s="375">
        <v>0</v>
      </c>
      <c r="K10" s="375">
        <v>0</v>
      </c>
      <c r="L10" s="375">
        <v>400</v>
      </c>
      <c r="M10" s="375">
        <v>0</v>
      </c>
      <c r="N10" s="375">
        <v>0</v>
      </c>
      <c r="O10" s="375">
        <v>0</v>
      </c>
      <c r="P10" s="375">
        <v>0</v>
      </c>
      <c r="Q10" s="375">
        <v>0</v>
      </c>
      <c r="R10" s="375">
        <v>0</v>
      </c>
      <c r="S10" s="375">
        <v>0</v>
      </c>
      <c r="T10" s="375">
        <v>0</v>
      </c>
      <c r="U10" s="375">
        <v>400</v>
      </c>
      <c r="V10" s="375" t="s">
        <v>597</v>
      </c>
    </row>
    <row r="11" spans="1:22" x14ac:dyDescent="0.25">
      <c r="A11" s="377">
        <v>45757</v>
      </c>
      <c r="B11" s="375">
        <v>28027</v>
      </c>
      <c r="C11" s="375">
        <v>25990</v>
      </c>
      <c r="D11" s="375">
        <v>6</v>
      </c>
      <c r="E11" s="375">
        <v>6</v>
      </c>
      <c r="F11" s="375">
        <v>7.2679045092838179E-2</v>
      </c>
      <c r="G11" s="375">
        <v>410</v>
      </c>
      <c r="H11" s="376">
        <v>1.4634146341463415E-2</v>
      </c>
      <c r="I11" s="375">
        <v>4500</v>
      </c>
      <c r="J11" s="375">
        <v>4950</v>
      </c>
      <c r="K11" s="375">
        <v>6</v>
      </c>
      <c r="L11" s="375">
        <v>400</v>
      </c>
      <c r="M11" s="375">
        <v>10</v>
      </c>
      <c r="N11" s="375">
        <v>22599.999999999996</v>
      </c>
      <c r="O11" s="375">
        <v>23789.473684210523</v>
      </c>
      <c r="P11" s="375">
        <v>0.05</v>
      </c>
      <c r="Q11" s="375">
        <v>10</v>
      </c>
      <c r="R11" s="375">
        <v>3389.9999999999995</v>
      </c>
      <c r="S11" s="375">
        <v>4237.4999999999991</v>
      </c>
      <c r="T11" s="375">
        <v>0.2</v>
      </c>
      <c r="U11" s="375">
        <v>400</v>
      </c>
      <c r="V11" s="375" t="s">
        <v>597</v>
      </c>
    </row>
    <row r="12" spans="1:22" x14ac:dyDescent="0.25">
      <c r="A12" s="377">
        <v>45758</v>
      </c>
      <c r="B12" s="375">
        <v>16132</v>
      </c>
      <c r="C12" s="375">
        <v>14690</v>
      </c>
      <c r="D12" s="375">
        <v>3</v>
      </c>
      <c r="E12" s="375">
        <v>4</v>
      </c>
      <c r="F12" s="375">
        <v>8.9400921658986054E-2</v>
      </c>
      <c r="G12" s="375">
        <v>410</v>
      </c>
      <c r="H12" s="376">
        <v>7.3170731707317077E-3</v>
      </c>
      <c r="I12" s="375">
        <v>4500</v>
      </c>
      <c r="J12" s="375">
        <v>4950</v>
      </c>
      <c r="K12" s="375">
        <v>3</v>
      </c>
      <c r="L12" s="375">
        <v>400</v>
      </c>
      <c r="M12" s="375">
        <v>10</v>
      </c>
      <c r="N12" s="375">
        <v>11299.999999999998</v>
      </c>
      <c r="O12" s="375">
        <v>11894.736842105262</v>
      </c>
      <c r="P12" s="375">
        <v>0.05</v>
      </c>
      <c r="Q12" s="375">
        <v>10</v>
      </c>
      <c r="R12" s="375">
        <v>3389.9999999999995</v>
      </c>
      <c r="S12" s="375">
        <v>4237.4999999999991</v>
      </c>
      <c r="T12" s="375">
        <v>0.2</v>
      </c>
      <c r="U12" s="375">
        <v>400</v>
      </c>
      <c r="V12" s="375" t="s">
        <v>597</v>
      </c>
    </row>
    <row r="13" spans="1:22" x14ac:dyDescent="0.25">
      <c r="A13" s="377">
        <v>45759</v>
      </c>
      <c r="B13" s="375">
        <v>11895</v>
      </c>
      <c r="C13" s="375">
        <v>11300</v>
      </c>
      <c r="D13" s="375">
        <v>3</v>
      </c>
      <c r="E13" s="375">
        <v>3</v>
      </c>
      <c r="F13" s="375">
        <v>5.0000000000000044E-2</v>
      </c>
      <c r="G13" s="375">
        <v>410</v>
      </c>
      <c r="H13" s="376">
        <v>4.8780487804878049E-3</v>
      </c>
      <c r="I13" s="375">
        <v>4500</v>
      </c>
      <c r="J13" s="375">
        <v>4950</v>
      </c>
      <c r="K13" s="375">
        <v>2</v>
      </c>
      <c r="L13" s="375">
        <v>400</v>
      </c>
      <c r="M13" s="375">
        <v>10</v>
      </c>
      <c r="N13" s="375">
        <v>11299.999999999998</v>
      </c>
      <c r="O13" s="375">
        <v>11894.736842105262</v>
      </c>
      <c r="P13" s="375">
        <v>0.05</v>
      </c>
      <c r="Q13" s="375">
        <v>10</v>
      </c>
      <c r="R13" s="375">
        <v>0</v>
      </c>
      <c r="S13" s="375">
        <v>0</v>
      </c>
      <c r="T13" s="375">
        <v>0.2</v>
      </c>
      <c r="U13" s="375">
        <v>400</v>
      </c>
      <c r="V13" s="375" t="s">
        <v>597</v>
      </c>
    </row>
    <row r="14" spans="1:22" x14ac:dyDescent="0.25">
      <c r="A14" s="377">
        <v>45760</v>
      </c>
      <c r="B14" s="375">
        <v>0</v>
      </c>
      <c r="C14" s="375">
        <v>0</v>
      </c>
      <c r="D14" s="375">
        <v>0</v>
      </c>
      <c r="E14" s="375">
        <v>0</v>
      </c>
      <c r="F14" s="375">
        <v>0</v>
      </c>
      <c r="G14" s="375">
        <v>410</v>
      </c>
      <c r="H14" s="376">
        <v>0</v>
      </c>
      <c r="I14" s="375">
        <v>0</v>
      </c>
      <c r="J14" s="375">
        <v>0</v>
      </c>
      <c r="K14" s="375">
        <v>0</v>
      </c>
      <c r="L14" s="375">
        <v>400</v>
      </c>
      <c r="M14" s="375">
        <v>10</v>
      </c>
      <c r="N14" s="375">
        <v>0</v>
      </c>
      <c r="O14" s="375">
        <v>0</v>
      </c>
      <c r="P14" s="375">
        <v>0</v>
      </c>
      <c r="Q14" s="375">
        <v>10</v>
      </c>
      <c r="R14" s="375">
        <v>0</v>
      </c>
      <c r="S14" s="375">
        <v>0</v>
      </c>
      <c r="T14" s="375">
        <v>0.2</v>
      </c>
      <c r="U14" s="375">
        <v>400</v>
      </c>
      <c r="V14" s="375" t="s">
        <v>597</v>
      </c>
    </row>
    <row r="15" spans="1:22" x14ac:dyDescent="0.25">
      <c r="A15" s="377">
        <v>45761</v>
      </c>
      <c r="B15" s="375">
        <v>0</v>
      </c>
      <c r="C15" s="375">
        <v>0</v>
      </c>
      <c r="D15" s="375">
        <v>0</v>
      </c>
      <c r="E15" s="375">
        <v>0</v>
      </c>
      <c r="F15" s="375">
        <v>0</v>
      </c>
      <c r="G15" s="375">
        <v>410</v>
      </c>
      <c r="H15" s="376">
        <v>0</v>
      </c>
      <c r="I15" s="375">
        <v>0</v>
      </c>
      <c r="J15" s="375">
        <v>0</v>
      </c>
      <c r="K15" s="375">
        <v>0</v>
      </c>
      <c r="L15" s="375">
        <v>400</v>
      </c>
      <c r="M15" s="375">
        <v>10</v>
      </c>
      <c r="N15" s="375">
        <v>0</v>
      </c>
      <c r="O15" s="375">
        <v>0</v>
      </c>
      <c r="P15" s="375">
        <v>0</v>
      </c>
      <c r="Q15" s="375">
        <v>10</v>
      </c>
      <c r="R15" s="375">
        <v>0</v>
      </c>
      <c r="S15" s="375">
        <v>0</v>
      </c>
      <c r="T15" s="375">
        <v>0.2</v>
      </c>
      <c r="U15" s="375">
        <v>400</v>
      </c>
      <c r="V15" s="375" t="s">
        <v>597</v>
      </c>
    </row>
    <row r="16" spans="1:22" x14ac:dyDescent="0.25">
      <c r="A16" s="377">
        <v>45762</v>
      </c>
      <c r="B16" s="375">
        <v>10185</v>
      </c>
      <c r="C16" s="375">
        <v>9040</v>
      </c>
      <c r="D16" s="375">
        <v>2</v>
      </c>
      <c r="E16" s="375">
        <v>2</v>
      </c>
      <c r="F16" s="375">
        <v>0.11240875912408765</v>
      </c>
      <c r="G16" s="375">
        <v>410</v>
      </c>
      <c r="H16" s="376">
        <v>4.8780487804878049E-3</v>
      </c>
      <c r="I16" s="375">
        <v>4500</v>
      </c>
      <c r="J16" s="375">
        <v>4950</v>
      </c>
      <c r="K16" s="375">
        <v>2</v>
      </c>
      <c r="L16" s="375">
        <v>400</v>
      </c>
      <c r="M16" s="375">
        <v>10</v>
      </c>
      <c r="N16" s="375">
        <v>5649.9999999999991</v>
      </c>
      <c r="O16" s="375">
        <v>5947.3684210526308</v>
      </c>
      <c r="P16" s="375">
        <v>0.05</v>
      </c>
      <c r="Q16" s="375">
        <v>10</v>
      </c>
      <c r="R16" s="375">
        <v>3389.9999999999995</v>
      </c>
      <c r="S16" s="375">
        <v>4237.4999999999991</v>
      </c>
      <c r="T16" s="375">
        <v>0.2</v>
      </c>
      <c r="U16" s="375">
        <v>400</v>
      </c>
      <c r="V16" s="375" t="s">
        <v>597</v>
      </c>
    </row>
    <row r="17" spans="1:22" x14ac:dyDescent="0.25">
      <c r="A17" s="377">
        <v>45763</v>
      </c>
      <c r="B17" s="375">
        <v>10185</v>
      </c>
      <c r="C17" s="375">
        <v>9040</v>
      </c>
      <c r="D17" s="375">
        <v>2</v>
      </c>
      <c r="E17" s="375">
        <v>2</v>
      </c>
      <c r="F17" s="375">
        <v>0.11240875912408765</v>
      </c>
      <c r="G17" s="375">
        <v>410</v>
      </c>
      <c r="H17" s="376">
        <v>4.8780487804878049E-3</v>
      </c>
      <c r="I17" s="375">
        <v>4500</v>
      </c>
      <c r="J17" s="375">
        <v>4950</v>
      </c>
      <c r="K17" s="375">
        <v>2</v>
      </c>
      <c r="L17" s="375">
        <v>400</v>
      </c>
      <c r="M17" s="375">
        <v>10</v>
      </c>
      <c r="N17" s="375">
        <v>5649.9999999999991</v>
      </c>
      <c r="O17" s="375">
        <v>5947.3684210526308</v>
      </c>
      <c r="P17" s="375">
        <v>0.05</v>
      </c>
      <c r="Q17" s="375">
        <v>10</v>
      </c>
      <c r="R17" s="375">
        <v>3389.9999999999995</v>
      </c>
      <c r="S17" s="375">
        <v>4237.4999999999991</v>
      </c>
      <c r="T17" s="375">
        <v>0.2</v>
      </c>
      <c r="U17" s="375">
        <v>400</v>
      </c>
      <c r="V17" s="375" t="s">
        <v>597</v>
      </c>
    </row>
    <row r="18" spans="1:22" x14ac:dyDescent="0.25">
      <c r="A18" s="377">
        <v>45764</v>
      </c>
      <c r="B18" s="375">
        <v>0</v>
      </c>
      <c r="C18" s="375">
        <v>0</v>
      </c>
      <c r="D18" s="375">
        <v>0</v>
      </c>
      <c r="E18" s="375">
        <v>0</v>
      </c>
      <c r="F18" s="375">
        <v>0</v>
      </c>
      <c r="G18" s="375">
        <v>410</v>
      </c>
      <c r="H18" s="376">
        <v>0</v>
      </c>
      <c r="I18" s="375">
        <v>0</v>
      </c>
      <c r="J18" s="375">
        <v>0</v>
      </c>
      <c r="K18" s="375">
        <v>0</v>
      </c>
      <c r="L18" s="375">
        <v>400</v>
      </c>
      <c r="M18" s="375">
        <v>10</v>
      </c>
      <c r="N18" s="375">
        <v>0</v>
      </c>
      <c r="O18" s="375">
        <v>0</v>
      </c>
      <c r="P18" s="375">
        <v>0</v>
      </c>
      <c r="Q18" s="375">
        <v>10</v>
      </c>
      <c r="R18" s="375">
        <v>0</v>
      </c>
      <c r="S18" s="375">
        <v>0</v>
      </c>
      <c r="T18" s="375">
        <v>0.2</v>
      </c>
      <c r="U18" s="375">
        <v>400</v>
      </c>
      <c r="V18" s="375" t="s">
        <v>597</v>
      </c>
    </row>
    <row r="19" spans="1:22" x14ac:dyDescent="0.25">
      <c r="A19" s="377">
        <v>45765</v>
      </c>
      <c r="B19" s="375">
        <v>11895</v>
      </c>
      <c r="C19" s="375">
        <v>11300</v>
      </c>
      <c r="D19" s="375">
        <v>3</v>
      </c>
      <c r="E19" s="375">
        <v>3</v>
      </c>
      <c r="F19" s="375">
        <v>5.0000000000000044E-2</v>
      </c>
      <c r="G19" s="375">
        <v>410</v>
      </c>
      <c r="H19" s="376">
        <v>4.8780487804878049E-3</v>
      </c>
      <c r="I19" s="375">
        <v>4500</v>
      </c>
      <c r="J19" s="375">
        <v>4950</v>
      </c>
      <c r="K19" s="375">
        <v>2</v>
      </c>
      <c r="L19" s="375">
        <v>400</v>
      </c>
      <c r="M19" s="375">
        <v>10</v>
      </c>
      <c r="N19" s="375">
        <v>11299.999999999998</v>
      </c>
      <c r="O19" s="375">
        <v>11894.736842105262</v>
      </c>
      <c r="P19" s="375">
        <v>0.05</v>
      </c>
      <c r="Q19" s="375">
        <v>10</v>
      </c>
      <c r="R19" s="375">
        <v>0</v>
      </c>
      <c r="S19" s="375">
        <v>0</v>
      </c>
      <c r="T19" s="375">
        <v>0.2</v>
      </c>
      <c r="U19" s="375">
        <v>400</v>
      </c>
      <c r="V19" s="375" t="s">
        <v>597</v>
      </c>
    </row>
    <row r="20" spans="1:22" x14ac:dyDescent="0.25">
      <c r="A20" s="377">
        <v>45766</v>
      </c>
      <c r="B20" s="375">
        <v>11895</v>
      </c>
      <c r="C20" s="375">
        <v>11300</v>
      </c>
      <c r="D20" s="375">
        <v>3</v>
      </c>
      <c r="E20" s="375">
        <v>3</v>
      </c>
      <c r="F20" s="375">
        <v>5.0000000000000044E-2</v>
      </c>
      <c r="G20" s="375">
        <v>410</v>
      </c>
      <c r="H20" s="376">
        <v>4.8780487804878049E-3</v>
      </c>
      <c r="I20" s="375">
        <v>4500</v>
      </c>
      <c r="J20" s="375">
        <v>4950</v>
      </c>
      <c r="K20" s="375">
        <v>2</v>
      </c>
      <c r="L20" s="375">
        <v>400</v>
      </c>
      <c r="M20" s="375">
        <v>10</v>
      </c>
      <c r="N20" s="375">
        <v>11299.999999999998</v>
      </c>
      <c r="O20" s="375">
        <v>11894.736842105262</v>
      </c>
      <c r="P20" s="375">
        <v>0.05</v>
      </c>
      <c r="Q20" s="375">
        <v>10</v>
      </c>
      <c r="R20" s="375">
        <v>0</v>
      </c>
      <c r="S20" s="375">
        <v>0</v>
      </c>
      <c r="T20" s="375">
        <v>0.2</v>
      </c>
      <c r="U20" s="375">
        <v>400</v>
      </c>
      <c r="V20" s="375" t="s">
        <v>597</v>
      </c>
    </row>
    <row r="21" spans="1:22" x14ac:dyDescent="0.25">
      <c r="A21" s="377">
        <v>45767</v>
      </c>
      <c r="B21" s="375">
        <v>5947</v>
      </c>
      <c r="C21" s="375">
        <v>5650</v>
      </c>
      <c r="D21" s="375">
        <v>1</v>
      </c>
      <c r="E21" s="375">
        <v>1</v>
      </c>
      <c r="F21" s="375">
        <v>5.0000000000000044E-2</v>
      </c>
      <c r="G21" s="375">
        <v>410</v>
      </c>
      <c r="H21" s="376">
        <v>2.4390243902439024E-3</v>
      </c>
      <c r="I21" s="375">
        <v>4500</v>
      </c>
      <c r="J21" s="375">
        <v>4950</v>
      </c>
      <c r="K21" s="375">
        <v>1</v>
      </c>
      <c r="L21" s="375">
        <v>400</v>
      </c>
      <c r="M21" s="375">
        <v>10</v>
      </c>
      <c r="N21" s="375">
        <v>5649.9999999999991</v>
      </c>
      <c r="O21" s="375">
        <v>5947.3684210526308</v>
      </c>
      <c r="P21" s="375">
        <v>0.05</v>
      </c>
      <c r="Q21" s="375">
        <v>10</v>
      </c>
      <c r="R21" s="375">
        <v>0</v>
      </c>
      <c r="S21" s="375">
        <v>0</v>
      </c>
      <c r="T21" s="375">
        <v>0.2</v>
      </c>
      <c r="U21" s="375">
        <v>400</v>
      </c>
      <c r="V21" s="375" t="s">
        <v>597</v>
      </c>
    </row>
    <row r="22" spans="1:22" x14ac:dyDescent="0.25">
      <c r="A22" s="377">
        <v>45768</v>
      </c>
      <c r="B22" s="375">
        <v>10185</v>
      </c>
      <c r="C22" s="375">
        <v>9040</v>
      </c>
      <c r="D22" s="375">
        <v>2</v>
      </c>
      <c r="E22" s="375">
        <v>2</v>
      </c>
      <c r="F22" s="375">
        <v>0.11240875912408765</v>
      </c>
      <c r="G22" s="375">
        <v>410</v>
      </c>
      <c r="H22" s="376">
        <v>4.8780487804878049E-3</v>
      </c>
      <c r="I22" s="375">
        <v>4500</v>
      </c>
      <c r="J22" s="375">
        <v>4950</v>
      </c>
      <c r="K22" s="375">
        <v>2</v>
      </c>
      <c r="L22" s="375">
        <v>400</v>
      </c>
      <c r="M22" s="375">
        <v>10</v>
      </c>
      <c r="N22" s="375">
        <v>5649.9999999999991</v>
      </c>
      <c r="O22" s="375">
        <v>5947.3684210526308</v>
      </c>
      <c r="P22" s="375">
        <v>0.05</v>
      </c>
      <c r="Q22" s="375">
        <v>10</v>
      </c>
      <c r="R22" s="375">
        <v>3389.9999999999995</v>
      </c>
      <c r="S22" s="375">
        <v>4237.4999999999991</v>
      </c>
      <c r="T22" s="375">
        <v>0.2</v>
      </c>
      <c r="U22" s="375">
        <v>400</v>
      </c>
      <c r="V22" s="375" t="s">
        <v>597</v>
      </c>
    </row>
    <row r="23" spans="1:22" x14ac:dyDescent="0.25">
      <c r="A23" s="377">
        <v>45769</v>
      </c>
      <c r="B23" s="375">
        <v>4250</v>
      </c>
      <c r="C23" s="375">
        <v>3400</v>
      </c>
      <c r="D23" s="375">
        <v>1</v>
      </c>
      <c r="E23" s="375">
        <v>1</v>
      </c>
      <c r="F23" s="375">
        <v>0.19999999999999996</v>
      </c>
      <c r="G23" s="375">
        <v>400</v>
      </c>
      <c r="H23" s="376">
        <v>2.5000000000000001E-3</v>
      </c>
      <c r="I23" s="375">
        <v>4500</v>
      </c>
      <c r="J23" s="375">
        <v>4950</v>
      </c>
      <c r="K23" s="375">
        <v>1</v>
      </c>
      <c r="L23" s="375">
        <v>400</v>
      </c>
      <c r="M23" s="375">
        <v>0</v>
      </c>
      <c r="N23" s="375">
        <v>0</v>
      </c>
      <c r="O23" s="375">
        <v>0</v>
      </c>
      <c r="P23" s="375">
        <v>0</v>
      </c>
      <c r="Q23" s="375">
        <v>0</v>
      </c>
      <c r="R23" s="375">
        <v>3400</v>
      </c>
      <c r="S23" s="375">
        <v>4250</v>
      </c>
      <c r="T23" s="375">
        <v>0.2</v>
      </c>
      <c r="U23" s="375">
        <v>400</v>
      </c>
      <c r="V23" s="375" t="s">
        <v>597</v>
      </c>
    </row>
    <row r="24" spans="1:22" x14ac:dyDescent="0.25">
      <c r="A24" s="377">
        <v>45770</v>
      </c>
      <c r="B24" s="375">
        <v>0</v>
      </c>
      <c r="C24" s="375">
        <v>0</v>
      </c>
      <c r="D24" s="375">
        <v>0</v>
      </c>
      <c r="E24" s="375">
        <v>0</v>
      </c>
      <c r="F24" s="375">
        <v>0</v>
      </c>
      <c r="G24" s="375">
        <v>400</v>
      </c>
      <c r="H24" s="376">
        <v>0</v>
      </c>
      <c r="I24" s="375">
        <v>0</v>
      </c>
      <c r="J24" s="375">
        <v>0</v>
      </c>
      <c r="K24" s="375">
        <v>0</v>
      </c>
      <c r="L24" s="375">
        <v>400</v>
      </c>
      <c r="M24" s="375">
        <v>0</v>
      </c>
      <c r="N24" s="375">
        <v>0</v>
      </c>
      <c r="O24" s="375">
        <v>0</v>
      </c>
      <c r="P24" s="375">
        <v>0</v>
      </c>
      <c r="Q24" s="375">
        <v>0</v>
      </c>
      <c r="R24" s="375">
        <v>0</v>
      </c>
      <c r="S24" s="375">
        <v>0</v>
      </c>
      <c r="T24" s="375">
        <v>0.2</v>
      </c>
      <c r="U24" s="375">
        <v>400</v>
      </c>
      <c r="V24" s="375" t="s">
        <v>597</v>
      </c>
    </row>
    <row r="25" spans="1:22" x14ac:dyDescent="0.25">
      <c r="A25" s="377">
        <v>45771</v>
      </c>
      <c r="B25" s="375">
        <v>5947</v>
      </c>
      <c r="C25" s="375">
        <v>5650</v>
      </c>
      <c r="D25" s="375">
        <v>1</v>
      </c>
      <c r="E25" s="375">
        <v>1</v>
      </c>
      <c r="F25" s="375">
        <v>5.0000000000000044E-2</v>
      </c>
      <c r="G25" s="375">
        <v>400</v>
      </c>
      <c r="H25" s="376">
        <v>2.5000000000000001E-3</v>
      </c>
      <c r="I25" s="375">
        <v>4500</v>
      </c>
      <c r="J25" s="375">
        <v>4950</v>
      </c>
      <c r="K25" s="375">
        <v>1</v>
      </c>
      <c r="L25" s="375">
        <v>400</v>
      </c>
      <c r="M25" s="375">
        <v>0</v>
      </c>
      <c r="N25" s="375">
        <v>5649.9999999999991</v>
      </c>
      <c r="O25" s="375">
        <v>5947.3684210526308</v>
      </c>
      <c r="P25" s="375">
        <v>0.05</v>
      </c>
      <c r="Q25" s="375">
        <v>0</v>
      </c>
      <c r="R25" s="375">
        <v>0</v>
      </c>
      <c r="S25" s="375">
        <v>0</v>
      </c>
      <c r="T25" s="375">
        <v>0.2</v>
      </c>
      <c r="U25" s="375">
        <v>400</v>
      </c>
      <c r="V25" s="375" t="s">
        <v>597</v>
      </c>
    </row>
    <row r="26" spans="1:22" x14ac:dyDescent="0.25">
      <c r="A26" s="377">
        <v>45772</v>
      </c>
      <c r="B26" s="375">
        <v>5947</v>
      </c>
      <c r="C26" s="375">
        <v>5650</v>
      </c>
      <c r="D26" s="375">
        <v>1</v>
      </c>
      <c r="E26" s="375">
        <v>1</v>
      </c>
      <c r="F26" s="375">
        <v>5.0000000000000044E-2</v>
      </c>
      <c r="G26" s="375">
        <v>400</v>
      </c>
      <c r="H26" s="376">
        <v>2.5000000000000001E-3</v>
      </c>
      <c r="I26" s="375">
        <v>4500</v>
      </c>
      <c r="J26" s="375">
        <v>4950</v>
      </c>
      <c r="K26" s="375">
        <v>1</v>
      </c>
      <c r="L26" s="375">
        <v>400</v>
      </c>
      <c r="M26" s="375">
        <v>0</v>
      </c>
      <c r="N26" s="375">
        <v>5649.9999999999991</v>
      </c>
      <c r="O26" s="375">
        <v>5947.3684210526308</v>
      </c>
      <c r="P26" s="375">
        <v>0.05</v>
      </c>
      <c r="Q26" s="375">
        <v>0</v>
      </c>
      <c r="R26" s="375">
        <v>0</v>
      </c>
      <c r="S26" s="375">
        <v>0</v>
      </c>
      <c r="T26" s="375">
        <v>0.2</v>
      </c>
      <c r="U26" s="375">
        <v>400</v>
      </c>
      <c r="V26" s="375" t="s">
        <v>597</v>
      </c>
    </row>
    <row r="27" spans="1:22" x14ac:dyDescent="0.25">
      <c r="A27" s="377">
        <v>45773</v>
      </c>
      <c r="B27" s="375">
        <v>0</v>
      </c>
      <c r="C27" s="375">
        <v>0</v>
      </c>
      <c r="D27" s="375">
        <v>0</v>
      </c>
      <c r="E27" s="375">
        <v>0</v>
      </c>
      <c r="F27" s="375">
        <v>0</v>
      </c>
      <c r="G27" s="375">
        <v>400</v>
      </c>
      <c r="H27" s="376">
        <v>0</v>
      </c>
      <c r="I27" s="375">
        <v>0</v>
      </c>
      <c r="J27" s="375">
        <v>0</v>
      </c>
      <c r="K27" s="375">
        <v>0</v>
      </c>
      <c r="L27" s="375">
        <v>400</v>
      </c>
      <c r="M27" s="375">
        <v>0</v>
      </c>
      <c r="N27" s="375">
        <v>0</v>
      </c>
      <c r="O27" s="375">
        <v>0</v>
      </c>
      <c r="P27" s="375">
        <v>0</v>
      </c>
      <c r="Q27" s="375">
        <v>0</v>
      </c>
      <c r="R27" s="375">
        <v>0</v>
      </c>
      <c r="S27" s="375">
        <v>0</v>
      </c>
      <c r="T27" s="375">
        <v>0.2</v>
      </c>
      <c r="U27" s="375">
        <v>400</v>
      </c>
      <c r="V27" s="375" t="s">
        <v>597</v>
      </c>
    </row>
    <row r="28" spans="1:22" x14ac:dyDescent="0.25">
      <c r="A28" s="377">
        <v>45774</v>
      </c>
      <c r="B28" s="375">
        <v>5493</v>
      </c>
      <c r="C28" s="375">
        <v>4395</v>
      </c>
      <c r="D28" s="375">
        <v>1</v>
      </c>
      <c r="E28" s="375">
        <v>2</v>
      </c>
      <c r="F28" s="375">
        <v>0.19999999999999996</v>
      </c>
      <c r="G28" s="375">
        <v>400</v>
      </c>
      <c r="H28" s="376">
        <v>5.0000000000000001E-3</v>
      </c>
      <c r="I28" s="375">
        <v>3000</v>
      </c>
      <c r="J28" s="375">
        <v>3300</v>
      </c>
      <c r="K28" s="375">
        <v>2</v>
      </c>
      <c r="L28" s="375">
        <v>400</v>
      </c>
      <c r="M28" s="375">
        <v>0</v>
      </c>
      <c r="N28" s="375">
        <v>0</v>
      </c>
      <c r="O28" s="375">
        <v>0</v>
      </c>
      <c r="P28" s="375">
        <v>0</v>
      </c>
      <c r="Q28" s="375">
        <v>0</v>
      </c>
      <c r="R28" s="375">
        <v>4394.57</v>
      </c>
      <c r="S28" s="375">
        <v>5493.2124999999996</v>
      </c>
      <c r="T28" s="375">
        <v>0.2</v>
      </c>
      <c r="U28" s="375">
        <v>400</v>
      </c>
      <c r="V28" s="375" t="s">
        <v>597</v>
      </c>
    </row>
    <row r="29" spans="1:22" x14ac:dyDescent="0.25">
      <c r="A29" s="377">
        <v>45775</v>
      </c>
      <c r="B29" s="375">
        <v>7621</v>
      </c>
      <c r="C29" s="375">
        <v>7240</v>
      </c>
      <c r="D29" s="375">
        <v>1</v>
      </c>
      <c r="E29" s="375">
        <v>1</v>
      </c>
      <c r="F29" s="375">
        <v>4.9999999999999933E-2</v>
      </c>
      <c r="G29" s="375">
        <v>400</v>
      </c>
      <c r="H29" s="376">
        <v>2.5000000000000001E-3</v>
      </c>
      <c r="I29" s="375">
        <v>6000</v>
      </c>
      <c r="J29" s="375">
        <v>6600</v>
      </c>
      <c r="K29" s="375">
        <v>1</v>
      </c>
      <c r="L29" s="375">
        <v>400</v>
      </c>
      <c r="M29" s="375">
        <v>0</v>
      </c>
      <c r="N29" s="375">
        <v>7239.9099999999989</v>
      </c>
      <c r="O29" s="375">
        <v>7620.9578947368409</v>
      </c>
      <c r="P29" s="375">
        <v>0.05</v>
      </c>
      <c r="Q29" s="375">
        <v>0</v>
      </c>
      <c r="R29" s="375">
        <v>0</v>
      </c>
      <c r="S29" s="375">
        <v>0</v>
      </c>
      <c r="T29" s="375">
        <v>0.2</v>
      </c>
      <c r="U29" s="375">
        <v>400</v>
      </c>
      <c r="V29" s="375" t="s">
        <v>597</v>
      </c>
    </row>
    <row r="30" spans="1:22" x14ac:dyDescent="0.25">
      <c r="A30" s="377">
        <v>45776</v>
      </c>
      <c r="B30" s="375">
        <v>11895</v>
      </c>
      <c r="C30" s="375">
        <v>11300</v>
      </c>
      <c r="D30" s="375">
        <v>3</v>
      </c>
      <c r="E30" s="375">
        <v>3</v>
      </c>
      <c r="F30" s="375">
        <v>5.0000000000000044E-2</v>
      </c>
      <c r="G30" s="375">
        <v>400</v>
      </c>
      <c r="H30" s="376">
        <v>5.0000000000000001E-3</v>
      </c>
      <c r="I30" s="375">
        <v>4500</v>
      </c>
      <c r="J30" s="375">
        <v>4950</v>
      </c>
      <c r="K30" s="375">
        <v>2</v>
      </c>
      <c r="L30" s="375">
        <v>400</v>
      </c>
      <c r="M30" s="375">
        <v>0</v>
      </c>
      <c r="N30" s="375">
        <v>11299.999999999998</v>
      </c>
      <c r="O30" s="375">
        <v>11894.736842105262</v>
      </c>
      <c r="P30" s="375">
        <v>0.05</v>
      </c>
      <c r="Q30" s="375">
        <v>0</v>
      </c>
      <c r="R30" s="375">
        <v>0</v>
      </c>
      <c r="S30" s="375">
        <v>0</v>
      </c>
      <c r="T30" s="375">
        <v>0.2</v>
      </c>
      <c r="U30" s="375">
        <v>400</v>
      </c>
      <c r="V30" s="375" t="s">
        <v>597</v>
      </c>
    </row>
    <row r="31" spans="1:22" x14ac:dyDescent="0.25">
      <c r="A31" s="377">
        <v>45777</v>
      </c>
      <c r="B31" s="375">
        <v>11895</v>
      </c>
      <c r="C31" s="375">
        <v>11300</v>
      </c>
      <c r="D31" s="375">
        <v>3</v>
      </c>
      <c r="E31" s="375">
        <v>3</v>
      </c>
      <c r="F31" s="375">
        <v>5.0000000000000044E-2</v>
      </c>
      <c r="G31" s="375">
        <v>400</v>
      </c>
      <c r="H31" s="376">
        <v>5.0000000000000001E-3</v>
      </c>
      <c r="I31" s="375">
        <v>4500</v>
      </c>
      <c r="J31" s="375">
        <v>4950</v>
      </c>
      <c r="K31" s="375">
        <v>2</v>
      </c>
      <c r="L31" s="375">
        <v>400</v>
      </c>
      <c r="M31" s="375">
        <v>0</v>
      </c>
      <c r="N31" s="375">
        <v>11299.999999999998</v>
      </c>
      <c r="O31" s="375">
        <v>11894.736842105262</v>
      </c>
      <c r="P31" s="375">
        <v>0.05</v>
      </c>
      <c r="Q31" s="375">
        <v>0</v>
      </c>
      <c r="R31" s="375">
        <v>0</v>
      </c>
      <c r="S31" s="375">
        <v>0</v>
      </c>
      <c r="T31" s="375">
        <v>0</v>
      </c>
      <c r="U31" s="375">
        <v>400</v>
      </c>
      <c r="V31" s="375" t="s">
        <v>597</v>
      </c>
    </row>
    <row r="32" spans="1:22" x14ac:dyDescent="0.25">
      <c r="A32" s="377">
        <v>45778</v>
      </c>
      <c r="B32" s="375">
        <v>0</v>
      </c>
      <c r="C32" s="375">
        <v>0</v>
      </c>
      <c r="D32" s="375">
        <v>0</v>
      </c>
      <c r="E32" s="375">
        <v>0</v>
      </c>
      <c r="F32" s="375">
        <v>0</v>
      </c>
      <c r="G32" s="375">
        <v>400</v>
      </c>
      <c r="H32" s="376">
        <v>0</v>
      </c>
      <c r="I32" s="375">
        <v>0</v>
      </c>
      <c r="J32" s="375">
        <v>0</v>
      </c>
      <c r="K32" s="375">
        <v>0</v>
      </c>
      <c r="L32" s="375">
        <v>400</v>
      </c>
      <c r="M32" s="375">
        <v>0</v>
      </c>
      <c r="N32" s="375">
        <v>0</v>
      </c>
      <c r="O32" s="375">
        <v>0</v>
      </c>
      <c r="P32" s="375">
        <v>0</v>
      </c>
      <c r="Q32" s="375">
        <v>0</v>
      </c>
      <c r="R32" s="375">
        <v>0</v>
      </c>
      <c r="S32" s="375">
        <v>0</v>
      </c>
      <c r="T32" s="375">
        <v>0</v>
      </c>
      <c r="U32" s="375">
        <v>400</v>
      </c>
      <c r="V32" s="375" t="s">
        <v>597</v>
      </c>
    </row>
    <row r="33" spans="1:22" x14ac:dyDescent="0.25">
      <c r="A33" s="377">
        <v>45779</v>
      </c>
      <c r="B33" s="375">
        <v>5700</v>
      </c>
      <c r="C33" s="375">
        <v>5700</v>
      </c>
      <c r="D33" s="375">
        <v>1</v>
      </c>
      <c r="E33" s="375">
        <v>1</v>
      </c>
      <c r="F33" s="375">
        <v>0</v>
      </c>
      <c r="G33" s="375">
        <v>400</v>
      </c>
      <c r="H33" s="376">
        <v>2.5000000000000001E-3</v>
      </c>
      <c r="I33" s="375">
        <v>4500</v>
      </c>
      <c r="J33" s="375">
        <v>4950</v>
      </c>
      <c r="K33" s="375">
        <v>1</v>
      </c>
      <c r="L33" s="375">
        <v>400</v>
      </c>
      <c r="M33" s="375">
        <v>0</v>
      </c>
      <c r="N33" s="375">
        <v>0</v>
      </c>
      <c r="O33" s="375">
        <v>0</v>
      </c>
      <c r="P33" s="375">
        <v>0</v>
      </c>
      <c r="Q33" s="375">
        <v>0</v>
      </c>
      <c r="R33" s="375">
        <v>5700</v>
      </c>
      <c r="S33" s="375">
        <v>5700</v>
      </c>
      <c r="T33" s="375">
        <v>0</v>
      </c>
      <c r="U33" s="375">
        <v>400</v>
      </c>
      <c r="V33" s="375" t="s">
        <v>597</v>
      </c>
    </row>
    <row r="34" spans="1:22" x14ac:dyDescent="0.25">
      <c r="A34" s="377">
        <v>45780</v>
      </c>
      <c r="B34" s="375">
        <v>5650</v>
      </c>
      <c r="C34" s="375">
        <v>5650</v>
      </c>
      <c r="D34" s="375">
        <v>1</v>
      </c>
      <c r="E34" s="375">
        <v>1</v>
      </c>
      <c r="F34" s="375">
        <v>0</v>
      </c>
      <c r="G34" s="375">
        <v>400</v>
      </c>
      <c r="H34" s="376">
        <v>2.5000000000000001E-3</v>
      </c>
      <c r="I34" s="375">
        <v>4500</v>
      </c>
      <c r="J34" s="375">
        <v>4950</v>
      </c>
      <c r="K34" s="375">
        <v>1</v>
      </c>
      <c r="L34" s="375">
        <v>400</v>
      </c>
      <c r="M34" s="375">
        <v>0</v>
      </c>
      <c r="N34" s="375">
        <v>0</v>
      </c>
      <c r="O34" s="375">
        <v>0</v>
      </c>
      <c r="P34" s="375">
        <v>0</v>
      </c>
      <c r="Q34" s="375">
        <v>0</v>
      </c>
      <c r="R34" s="375">
        <v>5649.9999999999991</v>
      </c>
      <c r="S34" s="375">
        <v>5649.9999999999991</v>
      </c>
      <c r="T34" s="375">
        <v>0</v>
      </c>
      <c r="U34" s="375">
        <v>400</v>
      </c>
      <c r="V34" s="375" t="s">
        <v>597</v>
      </c>
    </row>
    <row r="35" spans="1:22" x14ac:dyDescent="0.25">
      <c r="A35" s="377">
        <v>45781</v>
      </c>
      <c r="B35" s="375">
        <v>0</v>
      </c>
      <c r="C35" s="375">
        <v>0</v>
      </c>
      <c r="D35" s="375">
        <v>0</v>
      </c>
      <c r="E35" s="375">
        <v>0</v>
      </c>
      <c r="F35" s="375">
        <v>0</v>
      </c>
      <c r="G35" s="375">
        <v>400</v>
      </c>
      <c r="H35" s="376">
        <v>0</v>
      </c>
      <c r="I35" s="375">
        <v>0</v>
      </c>
      <c r="J35" s="375">
        <v>0</v>
      </c>
      <c r="K35" s="375">
        <v>0</v>
      </c>
      <c r="L35" s="375">
        <v>400</v>
      </c>
      <c r="M35" s="375">
        <v>0</v>
      </c>
      <c r="N35" s="375">
        <v>0</v>
      </c>
      <c r="O35" s="375">
        <v>0</v>
      </c>
      <c r="P35" s="375">
        <v>0</v>
      </c>
      <c r="Q35" s="375">
        <v>0</v>
      </c>
      <c r="R35" s="375">
        <v>0</v>
      </c>
      <c r="S35" s="375">
        <v>0</v>
      </c>
      <c r="T35" s="375">
        <v>0</v>
      </c>
      <c r="U35" s="375">
        <v>400</v>
      </c>
      <c r="V35" s="375" t="s">
        <v>597</v>
      </c>
    </row>
    <row r="36" spans="1:22" x14ac:dyDescent="0.25">
      <c r="A36" s="377">
        <v>45782</v>
      </c>
      <c r="B36" s="375">
        <v>0</v>
      </c>
      <c r="C36" s="375">
        <v>0</v>
      </c>
      <c r="D36" s="375">
        <v>0</v>
      </c>
      <c r="E36" s="375">
        <v>0</v>
      </c>
      <c r="F36" s="375">
        <v>0</v>
      </c>
      <c r="G36" s="375">
        <v>400</v>
      </c>
      <c r="H36" s="376">
        <v>0</v>
      </c>
      <c r="I36" s="375">
        <v>0</v>
      </c>
      <c r="J36" s="375">
        <v>0</v>
      </c>
      <c r="K36" s="375">
        <v>0</v>
      </c>
      <c r="L36" s="375">
        <v>400</v>
      </c>
      <c r="M36" s="375">
        <v>0</v>
      </c>
      <c r="N36" s="375">
        <v>0</v>
      </c>
      <c r="O36" s="375">
        <v>0</v>
      </c>
      <c r="P36" s="375">
        <v>0</v>
      </c>
      <c r="Q36" s="375">
        <v>0</v>
      </c>
      <c r="R36" s="375">
        <v>0</v>
      </c>
      <c r="S36" s="375">
        <v>0</v>
      </c>
      <c r="T36" s="375">
        <v>0</v>
      </c>
      <c r="U36" s="375">
        <v>400</v>
      </c>
      <c r="V36" s="375" t="s">
        <v>597</v>
      </c>
    </row>
    <row r="37" spans="1:22" x14ac:dyDescent="0.25">
      <c r="A37" s="377">
        <v>45783</v>
      </c>
      <c r="B37" s="375">
        <v>0</v>
      </c>
      <c r="C37" s="375">
        <v>0</v>
      </c>
      <c r="D37" s="375">
        <v>0</v>
      </c>
      <c r="E37" s="375">
        <v>0</v>
      </c>
      <c r="F37" s="375">
        <v>0</v>
      </c>
      <c r="G37" s="375">
        <v>400</v>
      </c>
      <c r="H37" s="376">
        <v>0</v>
      </c>
      <c r="I37" s="375">
        <v>0</v>
      </c>
      <c r="J37" s="375">
        <v>0</v>
      </c>
      <c r="K37" s="375">
        <v>0</v>
      </c>
      <c r="L37" s="375">
        <v>400</v>
      </c>
      <c r="M37" s="375">
        <v>0</v>
      </c>
      <c r="N37" s="375">
        <v>0</v>
      </c>
      <c r="O37" s="375">
        <v>0</v>
      </c>
      <c r="P37" s="375">
        <v>0</v>
      </c>
      <c r="Q37" s="375">
        <v>0</v>
      </c>
      <c r="R37" s="375">
        <v>0</v>
      </c>
      <c r="S37" s="375">
        <v>0</v>
      </c>
      <c r="T37" s="375">
        <v>0</v>
      </c>
      <c r="U37" s="375">
        <v>400</v>
      </c>
      <c r="V37" s="375" t="s">
        <v>597</v>
      </c>
    </row>
    <row r="38" spans="1:22" x14ac:dyDescent="0.25">
      <c r="A38" s="377">
        <v>45784</v>
      </c>
      <c r="B38" s="375">
        <v>0</v>
      </c>
      <c r="C38" s="375">
        <v>0</v>
      </c>
      <c r="D38" s="375">
        <v>0</v>
      </c>
      <c r="E38" s="375">
        <v>0</v>
      </c>
      <c r="F38" s="375">
        <v>0</v>
      </c>
      <c r="G38" s="375">
        <v>400</v>
      </c>
      <c r="H38" s="376">
        <v>0</v>
      </c>
      <c r="I38" s="375">
        <v>0</v>
      </c>
      <c r="J38" s="375">
        <v>0</v>
      </c>
      <c r="K38" s="375">
        <v>0</v>
      </c>
      <c r="L38" s="375">
        <v>400</v>
      </c>
      <c r="M38" s="375">
        <v>0</v>
      </c>
      <c r="N38" s="375">
        <v>0</v>
      </c>
      <c r="O38" s="375">
        <v>0</v>
      </c>
      <c r="P38" s="375">
        <v>0</v>
      </c>
      <c r="Q38" s="375">
        <v>0</v>
      </c>
      <c r="R38" s="375">
        <v>0</v>
      </c>
      <c r="S38" s="375">
        <v>0</v>
      </c>
      <c r="T38" s="375">
        <v>0</v>
      </c>
      <c r="U38" s="375">
        <v>400</v>
      </c>
      <c r="V38" s="375" t="s">
        <v>597</v>
      </c>
    </row>
    <row r="39" spans="1:22" x14ac:dyDescent="0.25">
      <c r="A39" s="377">
        <v>45785</v>
      </c>
      <c r="B39" s="375">
        <v>5650</v>
      </c>
      <c r="C39" s="375">
        <v>5650</v>
      </c>
      <c r="D39" s="375">
        <v>1</v>
      </c>
      <c r="E39" s="375">
        <v>1</v>
      </c>
      <c r="F39" s="375">
        <v>0</v>
      </c>
      <c r="G39" s="375">
        <v>400</v>
      </c>
      <c r="H39" s="376">
        <v>2.5000000000000001E-3</v>
      </c>
      <c r="I39" s="375">
        <v>4500</v>
      </c>
      <c r="J39" s="375">
        <v>4950</v>
      </c>
      <c r="K39" s="375">
        <v>1</v>
      </c>
      <c r="L39" s="375">
        <v>400</v>
      </c>
      <c r="M39" s="375">
        <v>0</v>
      </c>
      <c r="N39" s="375">
        <v>0</v>
      </c>
      <c r="O39" s="375">
        <v>0</v>
      </c>
      <c r="P39" s="375">
        <v>0</v>
      </c>
      <c r="Q39" s="375">
        <v>0</v>
      </c>
      <c r="R39" s="375">
        <v>5649.9999999999991</v>
      </c>
      <c r="S39" s="375">
        <v>5649.9999999999991</v>
      </c>
      <c r="T39" s="375">
        <v>0</v>
      </c>
      <c r="U39" s="375">
        <v>400</v>
      </c>
      <c r="V39" s="375" t="s">
        <v>597</v>
      </c>
    </row>
    <row r="40" spans="1:22" x14ac:dyDescent="0.25">
      <c r="A40" s="377">
        <v>45786</v>
      </c>
      <c r="B40" s="375">
        <v>0</v>
      </c>
      <c r="C40" s="375">
        <v>0</v>
      </c>
      <c r="D40" s="375">
        <v>0</v>
      </c>
      <c r="E40" s="375">
        <v>0</v>
      </c>
      <c r="F40" s="375">
        <v>0</v>
      </c>
      <c r="G40" s="375">
        <v>400</v>
      </c>
      <c r="H40" s="376">
        <v>0</v>
      </c>
      <c r="I40" s="375">
        <v>0</v>
      </c>
      <c r="J40" s="375">
        <v>0</v>
      </c>
      <c r="K40" s="375">
        <v>0</v>
      </c>
      <c r="L40" s="375">
        <v>400</v>
      </c>
      <c r="M40" s="375">
        <v>0</v>
      </c>
      <c r="N40" s="375">
        <v>0</v>
      </c>
      <c r="O40" s="375">
        <v>0</v>
      </c>
      <c r="P40" s="375">
        <v>0</v>
      </c>
      <c r="Q40" s="375">
        <v>0</v>
      </c>
      <c r="R40" s="375">
        <v>0</v>
      </c>
      <c r="S40" s="375">
        <v>0</v>
      </c>
      <c r="T40" s="375">
        <v>0</v>
      </c>
      <c r="U40" s="375">
        <v>400</v>
      </c>
      <c r="V40" s="375" t="s">
        <v>597</v>
      </c>
    </row>
    <row r="41" spans="1:22" x14ac:dyDescent="0.25">
      <c r="A41" s="377">
        <v>45787</v>
      </c>
      <c r="B41" s="375">
        <v>0</v>
      </c>
      <c r="C41" s="375">
        <v>0</v>
      </c>
      <c r="D41" s="375">
        <v>0</v>
      </c>
      <c r="E41" s="375">
        <v>0</v>
      </c>
      <c r="F41" s="375">
        <v>0</v>
      </c>
      <c r="G41" s="375">
        <v>400</v>
      </c>
      <c r="H41" s="376">
        <v>0</v>
      </c>
      <c r="I41" s="375">
        <v>0</v>
      </c>
      <c r="J41" s="375">
        <v>0</v>
      </c>
      <c r="K41" s="375">
        <v>0</v>
      </c>
      <c r="L41" s="375">
        <v>400</v>
      </c>
      <c r="M41" s="375">
        <v>0</v>
      </c>
      <c r="N41" s="375">
        <v>0</v>
      </c>
      <c r="O41" s="375">
        <v>0</v>
      </c>
      <c r="P41" s="375">
        <v>0</v>
      </c>
      <c r="Q41" s="375">
        <v>0</v>
      </c>
      <c r="R41" s="375">
        <v>0</v>
      </c>
      <c r="S41" s="375">
        <v>0</v>
      </c>
      <c r="T41" s="375">
        <v>0</v>
      </c>
      <c r="U41" s="375">
        <v>400</v>
      </c>
      <c r="V41" s="375" t="s">
        <v>597</v>
      </c>
    </row>
    <row r="42" spans="1:22" x14ac:dyDescent="0.25">
      <c r="A42" s="377">
        <v>45788</v>
      </c>
      <c r="B42" s="375">
        <v>7062</v>
      </c>
      <c r="C42" s="375">
        <v>5650</v>
      </c>
      <c r="D42" s="375">
        <v>1</v>
      </c>
      <c r="E42" s="375">
        <v>2</v>
      </c>
      <c r="F42" s="375">
        <v>0.19999999999999996</v>
      </c>
      <c r="G42" s="375">
        <v>400</v>
      </c>
      <c r="H42" s="376">
        <v>2.5000000000000001E-3</v>
      </c>
      <c r="I42" s="375">
        <v>4500</v>
      </c>
      <c r="J42" s="375">
        <v>4950</v>
      </c>
      <c r="K42" s="375">
        <v>1</v>
      </c>
      <c r="L42" s="375">
        <v>400</v>
      </c>
      <c r="M42" s="375">
        <v>0</v>
      </c>
      <c r="N42" s="375">
        <v>0</v>
      </c>
      <c r="O42" s="375">
        <v>0</v>
      </c>
      <c r="P42" s="375">
        <v>0</v>
      </c>
      <c r="Q42" s="375">
        <v>0</v>
      </c>
      <c r="R42" s="375">
        <v>5649.9999999999991</v>
      </c>
      <c r="S42" s="375">
        <v>7062.4999999999982</v>
      </c>
      <c r="T42" s="375">
        <v>0.2</v>
      </c>
      <c r="U42" s="375">
        <v>400</v>
      </c>
      <c r="V42" s="375" t="s">
        <v>597</v>
      </c>
    </row>
    <row r="43" spans="1:22" x14ac:dyDescent="0.25">
      <c r="A43" s="377">
        <v>45789</v>
      </c>
      <c r="B43" s="375">
        <v>7062</v>
      </c>
      <c r="C43" s="375">
        <v>5650</v>
      </c>
      <c r="D43" s="375">
        <v>1</v>
      </c>
      <c r="E43" s="375">
        <v>2</v>
      </c>
      <c r="F43" s="375">
        <v>0.19999999999999996</v>
      </c>
      <c r="G43" s="375">
        <v>400</v>
      </c>
      <c r="H43" s="376">
        <v>2.5000000000000001E-3</v>
      </c>
      <c r="I43" s="375">
        <v>4500</v>
      </c>
      <c r="J43" s="375">
        <v>4950</v>
      </c>
      <c r="K43" s="375">
        <v>1</v>
      </c>
      <c r="L43" s="375">
        <v>400</v>
      </c>
      <c r="M43" s="375">
        <v>0</v>
      </c>
      <c r="N43" s="375">
        <v>0</v>
      </c>
      <c r="O43" s="375">
        <v>0</v>
      </c>
      <c r="P43" s="375">
        <v>0</v>
      </c>
      <c r="Q43" s="375">
        <v>0</v>
      </c>
      <c r="R43" s="375">
        <v>5649.9999999999991</v>
      </c>
      <c r="S43" s="375">
        <v>7062.4999999999982</v>
      </c>
      <c r="T43" s="375">
        <v>0.2</v>
      </c>
      <c r="U43" s="375">
        <v>400</v>
      </c>
      <c r="V43" s="375" t="s">
        <v>597</v>
      </c>
    </row>
    <row r="44" spans="1:22" x14ac:dyDescent="0.25">
      <c r="A44" s="377">
        <v>45790</v>
      </c>
      <c r="B44" s="375">
        <v>11057</v>
      </c>
      <c r="C44" s="375">
        <v>10164</v>
      </c>
      <c r="D44" s="375">
        <v>2</v>
      </c>
      <c r="E44" s="375">
        <v>2</v>
      </c>
      <c r="F44" s="375">
        <v>8.0773230838797172E-2</v>
      </c>
      <c r="G44" s="375">
        <v>410</v>
      </c>
      <c r="H44" s="376">
        <v>4.8780487804878049E-3</v>
      </c>
      <c r="I44" s="375">
        <v>4500</v>
      </c>
      <c r="J44" s="375">
        <v>4950</v>
      </c>
      <c r="K44" s="375">
        <v>2</v>
      </c>
      <c r="L44" s="375">
        <v>400</v>
      </c>
      <c r="M44" s="375">
        <v>10</v>
      </c>
      <c r="N44" s="375">
        <v>4514.3499999999995</v>
      </c>
      <c r="O44" s="375">
        <v>3995</v>
      </c>
      <c r="P44" s="375">
        <v>0</v>
      </c>
      <c r="Q44" s="375">
        <v>10</v>
      </c>
      <c r="R44" s="375">
        <v>5649.9999999999991</v>
      </c>
      <c r="S44" s="375">
        <v>7062.4999999999982</v>
      </c>
      <c r="T44" s="375">
        <v>0.2</v>
      </c>
      <c r="U44" s="375">
        <v>400</v>
      </c>
      <c r="V44" s="375" t="s">
        <v>597</v>
      </c>
    </row>
    <row r="45" spans="1:22" x14ac:dyDescent="0.25">
      <c r="A45" s="377">
        <v>45791</v>
      </c>
      <c r="B45" s="375">
        <v>0</v>
      </c>
      <c r="C45" s="375">
        <v>0</v>
      </c>
      <c r="D45" s="375">
        <v>0</v>
      </c>
      <c r="E45" s="375">
        <v>0</v>
      </c>
      <c r="F45" s="375">
        <v>0</v>
      </c>
      <c r="G45" s="375">
        <v>410</v>
      </c>
      <c r="H45" s="376">
        <v>0</v>
      </c>
      <c r="I45" s="375">
        <v>0</v>
      </c>
      <c r="J45" s="375">
        <v>0</v>
      </c>
      <c r="K45" s="375">
        <v>0</v>
      </c>
      <c r="L45" s="375">
        <v>400</v>
      </c>
      <c r="M45" s="375">
        <v>10</v>
      </c>
      <c r="N45" s="375">
        <v>0</v>
      </c>
      <c r="O45" s="375">
        <v>0</v>
      </c>
      <c r="P45" s="375">
        <v>0</v>
      </c>
      <c r="Q45" s="375">
        <v>10</v>
      </c>
      <c r="R45" s="375">
        <v>0</v>
      </c>
      <c r="S45" s="375">
        <v>0</v>
      </c>
      <c r="T45" s="375">
        <v>0.2</v>
      </c>
      <c r="U45" s="375">
        <v>400</v>
      </c>
      <c r="V45" s="375" t="s">
        <v>597</v>
      </c>
    </row>
    <row r="46" spans="1:22" x14ac:dyDescent="0.25">
      <c r="A46" s="377">
        <v>45792</v>
      </c>
      <c r="B46" s="375">
        <v>0</v>
      </c>
      <c r="C46" s="375">
        <v>0</v>
      </c>
      <c r="D46" s="375">
        <v>0</v>
      </c>
      <c r="E46" s="375">
        <v>0</v>
      </c>
      <c r="F46" s="375">
        <v>0</v>
      </c>
      <c r="G46" s="375">
        <v>410</v>
      </c>
      <c r="H46" s="376">
        <v>0</v>
      </c>
      <c r="I46" s="375">
        <v>0</v>
      </c>
      <c r="J46" s="375">
        <v>0</v>
      </c>
      <c r="K46" s="375">
        <v>0</v>
      </c>
      <c r="L46" s="375">
        <v>400</v>
      </c>
      <c r="M46" s="375">
        <v>10</v>
      </c>
      <c r="N46" s="375">
        <v>0</v>
      </c>
      <c r="O46" s="375">
        <v>0</v>
      </c>
      <c r="P46" s="375">
        <v>0</v>
      </c>
      <c r="Q46" s="375">
        <v>10</v>
      </c>
      <c r="R46" s="375">
        <v>0</v>
      </c>
      <c r="S46" s="375">
        <v>0</v>
      </c>
      <c r="T46" s="375">
        <v>0.2</v>
      </c>
      <c r="U46" s="375">
        <v>400</v>
      </c>
      <c r="V46" s="375" t="s">
        <v>597</v>
      </c>
    </row>
    <row r="47" spans="1:22" x14ac:dyDescent="0.25">
      <c r="A47" s="377">
        <v>45793</v>
      </c>
      <c r="B47" s="375">
        <v>0</v>
      </c>
      <c r="C47" s="375">
        <v>0</v>
      </c>
      <c r="D47" s="375">
        <v>0</v>
      </c>
      <c r="E47" s="375">
        <v>0</v>
      </c>
      <c r="F47" s="375">
        <v>0</v>
      </c>
      <c r="G47" s="375">
        <v>510</v>
      </c>
      <c r="H47" s="376">
        <v>0</v>
      </c>
      <c r="I47" s="375">
        <v>0</v>
      </c>
      <c r="J47" s="375">
        <v>0</v>
      </c>
      <c r="K47" s="375">
        <v>0</v>
      </c>
      <c r="L47" s="375">
        <v>500</v>
      </c>
      <c r="M47" s="375">
        <v>10</v>
      </c>
      <c r="N47" s="375">
        <v>0</v>
      </c>
      <c r="O47" s="375">
        <v>0</v>
      </c>
      <c r="P47" s="375">
        <v>0</v>
      </c>
      <c r="Q47" s="375">
        <v>10</v>
      </c>
      <c r="R47" s="375">
        <v>0</v>
      </c>
      <c r="S47" s="375">
        <v>0</v>
      </c>
      <c r="T47" s="375">
        <v>0.2</v>
      </c>
      <c r="U47" s="375">
        <v>500</v>
      </c>
      <c r="V47" s="375" t="s">
        <v>597</v>
      </c>
    </row>
    <row r="48" spans="1:22" x14ac:dyDescent="0.25">
      <c r="A48" s="377">
        <v>45794</v>
      </c>
      <c r="B48" s="375">
        <v>7062</v>
      </c>
      <c r="C48" s="375">
        <v>5650</v>
      </c>
      <c r="D48" s="375">
        <v>1</v>
      </c>
      <c r="E48" s="375">
        <v>2</v>
      </c>
      <c r="F48" s="375">
        <v>0.19999999999999996</v>
      </c>
      <c r="G48" s="375">
        <v>510</v>
      </c>
      <c r="H48" s="376">
        <v>1.9607843137254902E-3</v>
      </c>
      <c r="I48" s="375">
        <v>4500</v>
      </c>
      <c r="J48" s="375">
        <v>4950</v>
      </c>
      <c r="K48" s="375">
        <v>1</v>
      </c>
      <c r="L48" s="375">
        <v>500</v>
      </c>
      <c r="M48" s="375">
        <v>10</v>
      </c>
      <c r="N48" s="375">
        <v>0</v>
      </c>
      <c r="O48" s="375">
        <v>0</v>
      </c>
      <c r="P48" s="375">
        <v>0</v>
      </c>
      <c r="Q48" s="375">
        <v>10</v>
      </c>
      <c r="R48" s="375">
        <v>5649.9999999999991</v>
      </c>
      <c r="S48" s="375">
        <v>7062.4999999999982</v>
      </c>
      <c r="T48" s="375">
        <v>0.2</v>
      </c>
      <c r="U48" s="375">
        <v>500</v>
      </c>
      <c r="V48" s="375" t="s">
        <v>597</v>
      </c>
    </row>
    <row r="49" spans="1:22" x14ac:dyDescent="0.25">
      <c r="A49" s="377">
        <v>45795</v>
      </c>
      <c r="B49" s="375">
        <v>7062</v>
      </c>
      <c r="C49" s="375">
        <v>5650</v>
      </c>
      <c r="D49" s="375">
        <v>1</v>
      </c>
      <c r="E49" s="375">
        <v>2</v>
      </c>
      <c r="F49" s="375">
        <v>0.19999999999999996</v>
      </c>
      <c r="G49" s="375">
        <v>510</v>
      </c>
      <c r="H49" s="376">
        <v>1.9607843137254902E-3</v>
      </c>
      <c r="I49" s="375">
        <v>4500</v>
      </c>
      <c r="J49" s="375">
        <v>4950</v>
      </c>
      <c r="K49" s="375">
        <v>1</v>
      </c>
      <c r="L49" s="375">
        <v>500</v>
      </c>
      <c r="M49" s="375">
        <v>10</v>
      </c>
      <c r="N49" s="375">
        <v>0</v>
      </c>
      <c r="O49" s="375">
        <v>0</v>
      </c>
      <c r="P49" s="375">
        <v>0</v>
      </c>
      <c r="Q49" s="375">
        <v>10</v>
      </c>
      <c r="R49" s="375">
        <v>5649.9999999999991</v>
      </c>
      <c r="S49" s="375">
        <v>7062.4999999999982</v>
      </c>
      <c r="T49" s="375">
        <v>0.2</v>
      </c>
      <c r="U49" s="375">
        <v>500</v>
      </c>
      <c r="V49" s="375" t="s">
        <v>597</v>
      </c>
    </row>
    <row r="50" spans="1:22" x14ac:dyDescent="0.25">
      <c r="A50" s="377">
        <v>45796</v>
      </c>
      <c r="B50" s="375">
        <v>0</v>
      </c>
      <c r="C50" s="375">
        <v>0</v>
      </c>
      <c r="D50" s="375">
        <v>0</v>
      </c>
      <c r="E50" s="375">
        <v>0</v>
      </c>
      <c r="F50" s="375">
        <v>0</v>
      </c>
      <c r="G50" s="375">
        <v>510</v>
      </c>
      <c r="H50" s="376">
        <v>0</v>
      </c>
      <c r="I50" s="375">
        <v>0</v>
      </c>
      <c r="J50" s="375">
        <v>0</v>
      </c>
      <c r="K50" s="375">
        <v>0</v>
      </c>
      <c r="L50" s="375">
        <v>500</v>
      </c>
      <c r="M50" s="375">
        <v>10</v>
      </c>
      <c r="N50" s="375">
        <v>0</v>
      </c>
      <c r="O50" s="375">
        <v>0</v>
      </c>
      <c r="P50" s="375">
        <v>0</v>
      </c>
      <c r="Q50" s="375">
        <v>10</v>
      </c>
      <c r="R50" s="375">
        <v>0</v>
      </c>
      <c r="S50" s="375">
        <v>0</v>
      </c>
      <c r="T50" s="375">
        <v>0.2</v>
      </c>
      <c r="U50" s="375">
        <v>500</v>
      </c>
      <c r="V50" s="375" t="s">
        <v>597</v>
      </c>
    </row>
    <row r="51" spans="1:22" x14ac:dyDescent="0.25">
      <c r="A51" s="377">
        <v>45797</v>
      </c>
      <c r="B51" s="375">
        <v>11707</v>
      </c>
      <c r="C51" s="375">
        <v>10899</v>
      </c>
      <c r="D51" s="375">
        <v>2</v>
      </c>
      <c r="E51" s="375">
        <v>3</v>
      </c>
      <c r="F51" s="375">
        <v>6.9071108263933367E-2</v>
      </c>
      <c r="G51" s="375">
        <v>510</v>
      </c>
      <c r="H51" s="376">
        <v>3.9215686274509803E-3</v>
      </c>
      <c r="I51" s="375">
        <v>4500</v>
      </c>
      <c r="J51" s="375">
        <v>4950</v>
      </c>
      <c r="K51" s="375">
        <v>2</v>
      </c>
      <c r="L51" s="375">
        <v>500</v>
      </c>
      <c r="M51" s="375">
        <v>10</v>
      </c>
      <c r="N51" s="375">
        <v>5248.8499999999995</v>
      </c>
      <c r="O51" s="375">
        <v>4645</v>
      </c>
      <c r="P51" s="375">
        <v>0</v>
      </c>
      <c r="Q51" s="375">
        <v>10</v>
      </c>
      <c r="R51" s="375">
        <v>5649.9999999999991</v>
      </c>
      <c r="S51" s="375">
        <v>7062.4999999999982</v>
      </c>
      <c r="T51" s="375">
        <v>0.2</v>
      </c>
      <c r="U51" s="375">
        <v>500</v>
      </c>
      <c r="V51" s="375" t="s">
        <v>597</v>
      </c>
    </row>
    <row r="52" spans="1:22" x14ac:dyDescent="0.25">
      <c r="A52" s="377">
        <v>45798</v>
      </c>
      <c r="B52" s="375">
        <v>10057</v>
      </c>
      <c r="C52" s="375">
        <v>9034</v>
      </c>
      <c r="D52" s="375">
        <v>2</v>
      </c>
      <c r="E52" s="375">
        <v>3</v>
      </c>
      <c r="F52" s="375">
        <v>0.10173005219985087</v>
      </c>
      <c r="G52" s="375">
        <v>510</v>
      </c>
      <c r="H52" s="376">
        <v>3.9215686274509803E-3</v>
      </c>
      <c r="I52" s="375">
        <v>4000</v>
      </c>
      <c r="J52" s="375">
        <v>4400</v>
      </c>
      <c r="K52" s="375">
        <v>2</v>
      </c>
      <c r="L52" s="375">
        <v>500</v>
      </c>
      <c r="M52" s="375">
        <v>10</v>
      </c>
      <c r="N52" s="375">
        <v>3384.3499999999995</v>
      </c>
      <c r="O52" s="375">
        <v>2995</v>
      </c>
      <c r="P52" s="375">
        <v>0</v>
      </c>
      <c r="Q52" s="375">
        <v>10</v>
      </c>
      <c r="R52" s="375">
        <v>5649.9999999999991</v>
      </c>
      <c r="S52" s="375">
        <v>7062.4999999999982</v>
      </c>
      <c r="T52" s="375">
        <v>0.2</v>
      </c>
      <c r="U52" s="375">
        <v>500</v>
      </c>
      <c r="V52" s="375" t="s">
        <v>597</v>
      </c>
    </row>
    <row r="53" spans="1:22" x14ac:dyDescent="0.25">
      <c r="A53" s="377">
        <v>45799</v>
      </c>
      <c r="B53" s="375">
        <v>16390</v>
      </c>
      <c r="C53" s="375">
        <v>11976</v>
      </c>
      <c r="D53" s="375">
        <v>3</v>
      </c>
      <c r="E53" s="375">
        <v>4</v>
      </c>
      <c r="F53" s="375">
        <v>0.26932641854789519</v>
      </c>
      <c r="G53" s="375">
        <v>510</v>
      </c>
      <c r="H53" s="376">
        <v>7.8431372549019607E-3</v>
      </c>
      <c r="I53" s="375">
        <v>4000</v>
      </c>
      <c r="J53" s="375">
        <v>4400</v>
      </c>
      <c r="K53" s="375">
        <v>4</v>
      </c>
      <c r="L53" s="375">
        <v>500</v>
      </c>
      <c r="M53" s="375">
        <v>10</v>
      </c>
      <c r="N53" s="375">
        <v>11975.739999999998</v>
      </c>
      <c r="O53" s="375">
        <v>16390</v>
      </c>
      <c r="P53" s="375">
        <v>0</v>
      </c>
      <c r="Q53" s="375">
        <v>10</v>
      </c>
      <c r="R53" s="375">
        <v>0</v>
      </c>
      <c r="S53" s="375">
        <v>0</v>
      </c>
      <c r="T53" s="375">
        <v>0.2</v>
      </c>
      <c r="U53" s="375">
        <v>500</v>
      </c>
      <c r="V53" s="375" t="s">
        <v>597</v>
      </c>
    </row>
    <row r="54" spans="1:22" x14ac:dyDescent="0.25">
      <c r="A54" s="377">
        <v>45800</v>
      </c>
      <c r="B54" s="375">
        <v>12857</v>
      </c>
      <c r="C54" s="375">
        <v>12198</v>
      </c>
      <c r="D54" s="375">
        <v>3</v>
      </c>
      <c r="E54" s="375">
        <v>3</v>
      </c>
      <c r="F54" s="375">
        <v>5.1265798172272947E-2</v>
      </c>
      <c r="G54" s="375">
        <v>510</v>
      </c>
      <c r="H54" s="376">
        <v>5.8823529411764705E-3</v>
      </c>
      <c r="I54" s="375">
        <v>4000</v>
      </c>
      <c r="J54" s="375">
        <v>4400</v>
      </c>
      <c r="K54" s="375">
        <v>3</v>
      </c>
      <c r="L54" s="375">
        <v>500</v>
      </c>
      <c r="M54" s="375">
        <v>10</v>
      </c>
      <c r="N54" s="375">
        <v>6548.3499999999995</v>
      </c>
      <c r="O54" s="375">
        <v>5795</v>
      </c>
      <c r="P54" s="375">
        <v>0</v>
      </c>
      <c r="Q54" s="375">
        <v>10</v>
      </c>
      <c r="R54" s="375">
        <v>5649.9999999999991</v>
      </c>
      <c r="S54" s="375">
        <v>7062.4999999999982</v>
      </c>
      <c r="T54" s="375">
        <v>0.2</v>
      </c>
      <c r="U54" s="375">
        <v>500</v>
      </c>
      <c r="V54" s="375" t="s">
        <v>597</v>
      </c>
    </row>
    <row r="55" spans="1:22" x14ac:dyDescent="0.25">
      <c r="A55" s="377">
        <v>45801</v>
      </c>
      <c r="B55" s="375">
        <v>18708</v>
      </c>
      <c r="C55" s="375">
        <v>18696</v>
      </c>
      <c r="D55" s="375">
        <v>5</v>
      </c>
      <c r="E55" s="375">
        <v>5</v>
      </c>
      <c r="F55" s="375">
        <v>6.2274488841385089E-4</v>
      </c>
      <c r="G55" s="375">
        <v>510</v>
      </c>
      <c r="H55" s="376">
        <v>7.8431372549019607E-3</v>
      </c>
      <c r="I55" s="375">
        <v>4000</v>
      </c>
      <c r="J55" s="375">
        <v>4400</v>
      </c>
      <c r="K55" s="375">
        <v>4</v>
      </c>
      <c r="L55" s="375">
        <v>500</v>
      </c>
      <c r="M55" s="375">
        <v>10</v>
      </c>
      <c r="N55" s="375">
        <v>13045.849999999999</v>
      </c>
      <c r="O55" s="375">
        <v>11645</v>
      </c>
      <c r="P55" s="375">
        <v>0</v>
      </c>
      <c r="Q55" s="375">
        <v>10</v>
      </c>
      <c r="R55" s="375">
        <v>5649.9999999999991</v>
      </c>
      <c r="S55" s="375">
        <v>7062.4999999999982</v>
      </c>
      <c r="T55" s="375">
        <v>0.2</v>
      </c>
      <c r="U55" s="375">
        <v>500</v>
      </c>
      <c r="V55" s="375" t="s">
        <v>597</v>
      </c>
    </row>
    <row r="56" spans="1:22" x14ac:dyDescent="0.25">
      <c r="A56" s="377">
        <v>45802</v>
      </c>
      <c r="B56" s="375">
        <v>23858</v>
      </c>
      <c r="C56" s="375">
        <v>23837</v>
      </c>
      <c r="D56" s="375">
        <v>6</v>
      </c>
      <c r="E56" s="375">
        <v>6</v>
      </c>
      <c r="F56" s="375">
        <v>8.4459813475856738E-4</v>
      </c>
      <c r="G56" s="375">
        <v>510</v>
      </c>
      <c r="H56" s="376">
        <v>9.8039215686274508E-3</v>
      </c>
      <c r="I56" s="375">
        <v>4000</v>
      </c>
      <c r="J56" s="375">
        <v>4400</v>
      </c>
      <c r="K56" s="375">
        <v>5</v>
      </c>
      <c r="L56" s="375">
        <v>500</v>
      </c>
      <c r="M56" s="375">
        <v>10</v>
      </c>
      <c r="N56" s="375">
        <v>18187.349999999999</v>
      </c>
      <c r="O56" s="375">
        <v>16795</v>
      </c>
      <c r="P56" s="375">
        <v>0</v>
      </c>
      <c r="Q56" s="375">
        <v>10</v>
      </c>
      <c r="R56" s="375">
        <v>5649.9999999999991</v>
      </c>
      <c r="S56" s="375">
        <v>7062.4999999999982</v>
      </c>
      <c r="T56" s="375">
        <v>0.2</v>
      </c>
      <c r="U56" s="375">
        <v>500</v>
      </c>
      <c r="V56" s="375" t="s">
        <v>597</v>
      </c>
    </row>
    <row r="57" spans="1:22" x14ac:dyDescent="0.25">
      <c r="A57" s="377">
        <v>45803</v>
      </c>
      <c r="B57" s="375">
        <v>4895</v>
      </c>
      <c r="C57" s="375">
        <v>0</v>
      </c>
      <c r="D57" s="375">
        <v>0</v>
      </c>
      <c r="E57" s="375">
        <v>1</v>
      </c>
      <c r="F57" s="375">
        <v>1</v>
      </c>
      <c r="G57" s="375">
        <v>510</v>
      </c>
      <c r="H57" s="376">
        <v>1.9607843137254902E-3</v>
      </c>
      <c r="I57" s="375">
        <v>4000</v>
      </c>
      <c r="J57" s="375">
        <v>4400</v>
      </c>
      <c r="K57" s="375">
        <v>1</v>
      </c>
      <c r="L57" s="375">
        <v>500</v>
      </c>
      <c r="M57" s="375">
        <v>10</v>
      </c>
      <c r="N57" s="375">
        <v>0</v>
      </c>
      <c r="O57" s="375">
        <v>4895</v>
      </c>
      <c r="P57" s="375">
        <v>0</v>
      </c>
      <c r="Q57" s="375">
        <v>10</v>
      </c>
      <c r="R57" s="375">
        <v>0</v>
      </c>
      <c r="S57" s="375">
        <v>0</v>
      </c>
      <c r="T57" s="375">
        <v>0.2</v>
      </c>
      <c r="U57" s="375">
        <v>500</v>
      </c>
      <c r="V57" s="375" t="s">
        <v>597</v>
      </c>
    </row>
    <row r="58" spans="1:22" x14ac:dyDescent="0.25">
      <c r="A58" s="377">
        <v>45804</v>
      </c>
      <c r="B58" s="375">
        <v>0</v>
      </c>
      <c r="C58" s="375">
        <v>0</v>
      </c>
      <c r="D58" s="375">
        <v>0</v>
      </c>
      <c r="E58" s="375">
        <v>0</v>
      </c>
      <c r="F58" s="375">
        <v>0</v>
      </c>
      <c r="G58" s="375">
        <v>510</v>
      </c>
      <c r="H58" s="376">
        <v>0</v>
      </c>
      <c r="I58" s="375">
        <v>0</v>
      </c>
      <c r="J58" s="375">
        <v>0</v>
      </c>
      <c r="K58" s="375">
        <v>0</v>
      </c>
      <c r="L58" s="375">
        <v>500</v>
      </c>
      <c r="M58" s="375">
        <v>10</v>
      </c>
      <c r="N58" s="375">
        <v>0</v>
      </c>
      <c r="O58" s="375">
        <v>0</v>
      </c>
      <c r="P58" s="375">
        <v>0</v>
      </c>
      <c r="Q58" s="375">
        <v>10</v>
      </c>
      <c r="R58" s="375">
        <v>0</v>
      </c>
      <c r="S58" s="375">
        <v>0</v>
      </c>
      <c r="T58" s="375">
        <v>0.2</v>
      </c>
      <c r="U58" s="375">
        <v>500</v>
      </c>
      <c r="V58" s="375" t="s">
        <v>597</v>
      </c>
    </row>
    <row r="59" spans="1:22" x14ac:dyDescent="0.25">
      <c r="A59" s="377">
        <v>45805</v>
      </c>
      <c r="B59" s="375">
        <v>11707</v>
      </c>
      <c r="C59" s="375">
        <v>9650</v>
      </c>
      <c r="D59" s="375">
        <v>2</v>
      </c>
      <c r="E59" s="375">
        <v>3</v>
      </c>
      <c r="F59" s="375">
        <v>0.17572496263079218</v>
      </c>
      <c r="G59" s="375">
        <v>510</v>
      </c>
      <c r="H59" s="376">
        <v>5.8823529411764705E-3</v>
      </c>
      <c r="I59" s="375">
        <v>4000</v>
      </c>
      <c r="J59" s="375">
        <v>4400</v>
      </c>
      <c r="K59" s="375">
        <v>3</v>
      </c>
      <c r="L59" s="375">
        <v>500</v>
      </c>
      <c r="M59" s="375">
        <v>10</v>
      </c>
      <c r="N59" s="375">
        <v>4000.2</v>
      </c>
      <c r="O59" s="375">
        <v>4645</v>
      </c>
      <c r="P59" s="375">
        <v>0</v>
      </c>
      <c r="Q59" s="375">
        <v>10</v>
      </c>
      <c r="R59" s="375">
        <v>5649.9999999999991</v>
      </c>
      <c r="S59" s="375">
        <v>7062.4999999999982</v>
      </c>
      <c r="T59" s="375">
        <v>0.2</v>
      </c>
      <c r="U59" s="375">
        <v>500</v>
      </c>
      <c r="V59" s="375" t="s">
        <v>597</v>
      </c>
    </row>
    <row r="60" spans="1:22" x14ac:dyDescent="0.25">
      <c r="A60" s="377">
        <v>45806</v>
      </c>
      <c r="B60" s="375">
        <v>7062</v>
      </c>
      <c r="C60" s="375">
        <v>5650</v>
      </c>
      <c r="D60" s="375">
        <v>1</v>
      </c>
      <c r="E60" s="375">
        <v>2</v>
      </c>
      <c r="F60" s="375">
        <v>0.19999999999999996</v>
      </c>
      <c r="G60" s="375">
        <v>510</v>
      </c>
      <c r="H60" s="376">
        <v>3.9215686274509803E-3</v>
      </c>
      <c r="I60" s="375">
        <v>4000</v>
      </c>
      <c r="J60" s="375">
        <v>4400</v>
      </c>
      <c r="K60" s="375">
        <v>2</v>
      </c>
      <c r="L60" s="375">
        <v>500</v>
      </c>
      <c r="M60" s="375">
        <v>10</v>
      </c>
      <c r="N60" s="375">
        <v>0</v>
      </c>
      <c r="O60" s="375">
        <v>0</v>
      </c>
      <c r="P60" s="375">
        <v>0</v>
      </c>
      <c r="Q60" s="375">
        <v>10</v>
      </c>
      <c r="R60" s="375">
        <v>5649.9999999999991</v>
      </c>
      <c r="S60" s="375">
        <v>7062.4999999999982</v>
      </c>
      <c r="T60" s="375">
        <v>0.2</v>
      </c>
      <c r="U60" s="375">
        <v>500</v>
      </c>
      <c r="V60" s="375" t="s">
        <v>597</v>
      </c>
    </row>
    <row r="61" spans="1:22" x14ac:dyDescent="0.25">
      <c r="A61" s="377">
        <v>45807</v>
      </c>
      <c r="B61" s="375">
        <v>7156</v>
      </c>
      <c r="C61" s="375">
        <v>5725</v>
      </c>
      <c r="D61" s="375">
        <v>1</v>
      </c>
      <c r="E61" s="375">
        <v>2</v>
      </c>
      <c r="F61" s="375">
        <v>0.19999999999999996</v>
      </c>
      <c r="G61" s="375">
        <v>510</v>
      </c>
      <c r="H61" s="376">
        <v>3.9215686274509803E-3</v>
      </c>
      <c r="I61" s="375">
        <v>4000</v>
      </c>
      <c r="J61" s="375">
        <v>4400</v>
      </c>
      <c r="K61" s="375">
        <v>2</v>
      </c>
      <c r="L61" s="375">
        <v>500</v>
      </c>
      <c r="M61" s="375">
        <v>10</v>
      </c>
      <c r="N61" s="375">
        <v>0</v>
      </c>
      <c r="O61" s="375">
        <v>0</v>
      </c>
      <c r="P61" s="375">
        <v>0</v>
      </c>
      <c r="Q61" s="375">
        <v>10</v>
      </c>
      <c r="R61" s="375">
        <v>5725</v>
      </c>
      <c r="S61" s="375">
        <v>7156.25</v>
      </c>
      <c r="T61" s="375">
        <v>0.2</v>
      </c>
      <c r="U61" s="375">
        <v>500</v>
      </c>
      <c r="V61" s="375" t="s">
        <v>597</v>
      </c>
    </row>
    <row r="62" spans="1:22" x14ac:dyDescent="0.25">
      <c r="A62" s="377">
        <v>45808</v>
      </c>
      <c r="B62" s="375">
        <v>0</v>
      </c>
      <c r="C62" s="375">
        <v>0</v>
      </c>
      <c r="D62" s="375">
        <v>0</v>
      </c>
      <c r="E62" s="375">
        <v>0</v>
      </c>
      <c r="F62" s="375">
        <v>0</v>
      </c>
      <c r="G62" s="375">
        <v>510</v>
      </c>
      <c r="H62" s="376">
        <v>0</v>
      </c>
      <c r="I62" s="375">
        <v>0</v>
      </c>
      <c r="J62" s="375">
        <v>0</v>
      </c>
      <c r="K62" s="375">
        <v>0</v>
      </c>
      <c r="L62" s="375">
        <v>500</v>
      </c>
      <c r="M62" s="375">
        <v>10</v>
      </c>
      <c r="N62" s="375">
        <v>0</v>
      </c>
      <c r="O62" s="375">
        <v>0</v>
      </c>
      <c r="P62" s="375">
        <v>0</v>
      </c>
      <c r="Q62" s="375">
        <v>10</v>
      </c>
      <c r="R62" s="375">
        <v>0</v>
      </c>
      <c r="S62" s="375">
        <v>0</v>
      </c>
      <c r="T62" s="375">
        <v>0.2</v>
      </c>
      <c r="U62" s="375">
        <v>500</v>
      </c>
      <c r="V62" s="375" t="s">
        <v>597</v>
      </c>
    </row>
    <row r="63" spans="1:22" x14ac:dyDescent="0.25">
      <c r="A63" s="377">
        <v>45809</v>
      </c>
      <c r="B63" s="375">
        <v>5650</v>
      </c>
      <c r="C63" s="375">
        <v>4520</v>
      </c>
      <c r="D63" s="375">
        <v>1</v>
      </c>
      <c r="E63" s="375">
        <v>1</v>
      </c>
      <c r="F63" s="375">
        <v>0.19999999999999996</v>
      </c>
      <c r="G63" s="375">
        <v>510</v>
      </c>
      <c r="H63" s="376">
        <v>1.9607843137254902E-3</v>
      </c>
      <c r="I63" s="375">
        <v>4000</v>
      </c>
      <c r="J63" s="375">
        <v>4400</v>
      </c>
      <c r="K63" s="375">
        <v>1</v>
      </c>
      <c r="L63" s="375">
        <v>500</v>
      </c>
      <c r="M63" s="375">
        <v>10</v>
      </c>
      <c r="N63" s="375">
        <v>0</v>
      </c>
      <c r="O63" s="375">
        <v>0</v>
      </c>
      <c r="P63" s="375">
        <v>0</v>
      </c>
      <c r="Q63" s="375">
        <v>10</v>
      </c>
      <c r="R63" s="375">
        <v>4520</v>
      </c>
      <c r="S63" s="375">
        <v>5650</v>
      </c>
      <c r="T63" s="375">
        <v>0.2</v>
      </c>
      <c r="U63" s="375">
        <v>500</v>
      </c>
      <c r="V63" s="375" t="s">
        <v>597</v>
      </c>
    </row>
    <row r="64" spans="1:22" x14ac:dyDescent="0.25">
      <c r="A64" s="377">
        <v>45810</v>
      </c>
      <c r="B64" s="375">
        <v>6356</v>
      </c>
      <c r="C64" s="375">
        <v>5085</v>
      </c>
      <c r="D64" s="375">
        <v>1</v>
      </c>
      <c r="E64" s="375">
        <v>2</v>
      </c>
      <c r="F64" s="375">
        <v>0.19999999999999996</v>
      </c>
      <c r="G64" s="375">
        <v>510</v>
      </c>
      <c r="H64" s="376">
        <v>1.9607843137254902E-3</v>
      </c>
      <c r="I64" s="375">
        <v>4000</v>
      </c>
      <c r="J64" s="375">
        <v>4400</v>
      </c>
      <c r="K64" s="375">
        <v>1</v>
      </c>
      <c r="L64" s="375">
        <v>500</v>
      </c>
      <c r="M64" s="375">
        <v>10</v>
      </c>
      <c r="N64" s="375">
        <v>0</v>
      </c>
      <c r="O64" s="375">
        <v>0</v>
      </c>
      <c r="P64" s="375">
        <v>0</v>
      </c>
      <c r="Q64" s="375">
        <v>10</v>
      </c>
      <c r="R64" s="375">
        <v>5084.9999999999991</v>
      </c>
      <c r="S64" s="375">
        <v>6356.2499999999982</v>
      </c>
      <c r="T64" s="375">
        <v>0.2</v>
      </c>
      <c r="U64" s="375">
        <v>500</v>
      </c>
      <c r="V64" s="375" t="s">
        <v>597</v>
      </c>
    </row>
    <row r="65" spans="1:22" x14ac:dyDescent="0.25">
      <c r="A65" s="377">
        <v>45811</v>
      </c>
      <c r="B65" s="375">
        <v>6356</v>
      </c>
      <c r="C65" s="375">
        <v>5085</v>
      </c>
      <c r="D65" s="375">
        <v>1</v>
      </c>
      <c r="E65" s="375">
        <v>2</v>
      </c>
      <c r="F65" s="375">
        <v>0.19999999999999996</v>
      </c>
      <c r="G65" s="375">
        <v>510</v>
      </c>
      <c r="H65" s="376">
        <v>1.9607843137254902E-3</v>
      </c>
      <c r="I65" s="375">
        <v>4000</v>
      </c>
      <c r="J65" s="375">
        <v>4400</v>
      </c>
      <c r="K65" s="375">
        <v>1</v>
      </c>
      <c r="L65" s="375">
        <v>500</v>
      </c>
      <c r="M65" s="375">
        <v>10</v>
      </c>
      <c r="N65" s="375">
        <v>0</v>
      </c>
      <c r="O65" s="375">
        <v>0</v>
      </c>
      <c r="P65" s="375">
        <v>0</v>
      </c>
      <c r="Q65" s="375">
        <v>10</v>
      </c>
      <c r="R65" s="375">
        <v>5084.9999999999991</v>
      </c>
      <c r="S65" s="375">
        <v>6356.2499999999982</v>
      </c>
      <c r="T65" s="375">
        <v>0.2</v>
      </c>
      <c r="U65" s="375">
        <v>500</v>
      </c>
      <c r="V65" s="375" t="s">
        <v>597</v>
      </c>
    </row>
    <row r="66" spans="1:22" x14ac:dyDescent="0.25">
      <c r="A66" s="377">
        <v>45812</v>
      </c>
      <c r="B66" s="375">
        <v>0</v>
      </c>
      <c r="C66" s="375">
        <v>0</v>
      </c>
      <c r="D66" s="375">
        <v>0</v>
      </c>
      <c r="E66" s="375">
        <v>0</v>
      </c>
      <c r="F66" s="375">
        <v>0</v>
      </c>
      <c r="G66" s="375">
        <v>510</v>
      </c>
      <c r="H66" s="376">
        <v>0</v>
      </c>
      <c r="I66" s="375">
        <v>0</v>
      </c>
      <c r="J66" s="375">
        <v>0</v>
      </c>
      <c r="K66" s="375">
        <v>0</v>
      </c>
      <c r="L66" s="375">
        <v>500</v>
      </c>
      <c r="M66" s="375">
        <v>10</v>
      </c>
      <c r="N66" s="375">
        <v>0</v>
      </c>
      <c r="O66" s="375">
        <v>0</v>
      </c>
      <c r="P66" s="375">
        <v>0</v>
      </c>
      <c r="Q66" s="375">
        <v>10</v>
      </c>
      <c r="R66" s="375">
        <v>0</v>
      </c>
      <c r="S66" s="375">
        <v>0</v>
      </c>
      <c r="T66" s="375">
        <v>0.2</v>
      </c>
      <c r="U66" s="375">
        <v>500</v>
      </c>
      <c r="V66" s="375" t="s">
        <v>597</v>
      </c>
    </row>
    <row r="67" spans="1:22" x14ac:dyDescent="0.25">
      <c r="A67" s="377">
        <v>45813</v>
      </c>
      <c r="B67" s="375">
        <v>0</v>
      </c>
      <c r="C67" s="375">
        <v>0</v>
      </c>
      <c r="D67" s="375">
        <v>0</v>
      </c>
      <c r="E67" s="375">
        <v>0</v>
      </c>
      <c r="F67" s="375">
        <v>0</v>
      </c>
      <c r="G67" s="375">
        <v>510</v>
      </c>
      <c r="H67" s="376">
        <v>0</v>
      </c>
      <c r="I67" s="375">
        <v>0</v>
      </c>
      <c r="J67" s="375">
        <v>0</v>
      </c>
      <c r="K67" s="375">
        <v>0</v>
      </c>
      <c r="L67" s="375">
        <v>500</v>
      </c>
      <c r="M67" s="375">
        <v>10</v>
      </c>
      <c r="N67" s="375">
        <v>0</v>
      </c>
      <c r="O67" s="375">
        <v>0</v>
      </c>
      <c r="P67" s="375">
        <v>0</v>
      </c>
      <c r="Q67" s="375">
        <v>10</v>
      </c>
      <c r="R67" s="375">
        <v>0</v>
      </c>
      <c r="S67" s="375">
        <v>0</v>
      </c>
      <c r="T67" s="375">
        <v>0.2</v>
      </c>
      <c r="U67" s="375">
        <v>500</v>
      </c>
      <c r="V67" s="375" t="s">
        <v>597</v>
      </c>
    </row>
    <row r="68" spans="1:22" x14ac:dyDescent="0.25">
      <c r="A68" s="377">
        <v>45814</v>
      </c>
      <c r="B68" s="375">
        <v>5650</v>
      </c>
      <c r="C68" s="375">
        <v>4520</v>
      </c>
      <c r="D68" s="375">
        <v>1</v>
      </c>
      <c r="E68" s="375">
        <v>1</v>
      </c>
      <c r="F68" s="375">
        <v>0.19999999999999996</v>
      </c>
      <c r="G68" s="375">
        <v>510</v>
      </c>
      <c r="H68" s="376">
        <v>1.9607843137254902E-3</v>
      </c>
      <c r="I68" s="375">
        <v>4000</v>
      </c>
      <c r="J68" s="375">
        <v>4400</v>
      </c>
      <c r="K68" s="375">
        <v>1</v>
      </c>
      <c r="L68" s="375">
        <v>500</v>
      </c>
      <c r="M68" s="375">
        <v>10</v>
      </c>
      <c r="N68" s="375">
        <v>0</v>
      </c>
      <c r="O68" s="375">
        <v>0</v>
      </c>
      <c r="P68" s="375">
        <v>0</v>
      </c>
      <c r="Q68" s="375">
        <v>10</v>
      </c>
      <c r="R68" s="375">
        <v>4520</v>
      </c>
      <c r="S68" s="375">
        <v>5650</v>
      </c>
      <c r="T68" s="375">
        <v>0.2</v>
      </c>
      <c r="U68" s="375">
        <v>500</v>
      </c>
      <c r="V68" s="375" t="s">
        <v>597</v>
      </c>
    </row>
    <row r="69" spans="1:22" x14ac:dyDescent="0.25">
      <c r="A69" s="377">
        <v>45815</v>
      </c>
      <c r="B69" s="375">
        <v>11300</v>
      </c>
      <c r="C69" s="375">
        <v>9040</v>
      </c>
      <c r="D69" s="375">
        <v>2</v>
      </c>
      <c r="E69" s="375">
        <v>3</v>
      </c>
      <c r="F69" s="375">
        <v>0.19999999999999996</v>
      </c>
      <c r="G69" s="375">
        <v>510</v>
      </c>
      <c r="H69" s="376">
        <v>5.8823529411764705E-3</v>
      </c>
      <c r="I69" s="375">
        <v>4000</v>
      </c>
      <c r="J69" s="375">
        <v>4400</v>
      </c>
      <c r="K69" s="375">
        <v>3</v>
      </c>
      <c r="L69" s="375">
        <v>500</v>
      </c>
      <c r="M69" s="375">
        <v>10</v>
      </c>
      <c r="N69" s="375">
        <v>0</v>
      </c>
      <c r="O69" s="375">
        <v>0</v>
      </c>
      <c r="P69" s="375">
        <v>0</v>
      </c>
      <c r="Q69" s="375">
        <v>10</v>
      </c>
      <c r="R69" s="375">
        <v>9040</v>
      </c>
      <c r="S69" s="375">
        <v>11300</v>
      </c>
      <c r="T69" s="375">
        <v>0.2</v>
      </c>
      <c r="U69" s="375">
        <v>500</v>
      </c>
      <c r="V69" s="375" t="s">
        <v>597</v>
      </c>
    </row>
    <row r="70" spans="1:22" x14ac:dyDescent="0.25">
      <c r="A70" s="377">
        <v>45816</v>
      </c>
      <c r="B70" s="375">
        <v>11300</v>
      </c>
      <c r="C70" s="375">
        <v>9040</v>
      </c>
      <c r="D70" s="375">
        <v>2</v>
      </c>
      <c r="E70" s="375">
        <v>3</v>
      </c>
      <c r="F70" s="375">
        <v>0.19999999999999996</v>
      </c>
      <c r="G70" s="375">
        <v>510</v>
      </c>
      <c r="H70" s="376">
        <v>5.8823529411764705E-3</v>
      </c>
      <c r="I70" s="375">
        <v>4000</v>
      </c>
      <c r="J70" s="375">
        <v>4400</v>
      </c>
      <c r="K70" s="375">
        <v>3</v>
      </c>
      <c r="L70" s="375">
        <v>500</v>
      </c>
      <c r="M70" s="375">
        <v>10</v>
      </c>
      <c r="N70" s="375">
        <v>0</v>
      </c>
      <c r="O70" s="375">
        <v>0</v>
      </c>
      <c r="P70" s="375">
        <v>0</v>
      </c>
      <c r="Q70" s="375">
        <v>10</v>
      </c>
      <c r="R70" s="375">
        <v>9040</v>
      </c>
      <c r="S70" s="375">
        <v>11300</v>
      </c>
      <c r="T70" s="375">
        <v>0.2</v>
      </c>
      <c r="U70" s="375">
        <v>500</v>
      </c>
      <c r="V70" s="375" t="s">
        <v>597</v>
      </c>
    </row>
    <row r="71" spans="1:22" x14ac:dyDescent="0.25">
      <c r="A71" s="377">
        <v>45817</v>
      </c>
      <c r="B71" s="375">
        <v>11300</v>
      </c>
      <c r="C71" s="375">
        <v>9040</v>
      </c>
      <c r="D71" s="375">
        <v>2</v>
      </c>
      <c r="E71" s="375">
        <v>3</v>
      </c>
      <c r="F71" s="375">
        <v>0.19999999999999996</v>
      </c>
      <c r="G71" s="375">
        <v>510</v>
      </c>
      <c r="H71" s="376">
        <v>5.8823529411764705E-3</v>
      </c>
      <c r="I71" s="375">
        <v>4000</v>
      </c>
      <c r="J71" s="375">
        <v>4400</v>
      </c>
      <c r="K71" s="375">
        <v>3</v>
      </c>
      <c r="L71" s="375">
        <v>500</v>
      </c>
      <c r="M71" s="375">
        <v>10</v>
      </c>
      <c r="N71" s="375">
        <v>0</v>
      </c>
      <c r="O71" s="375">
        <v>0</v>
      </c>
      <c r="P71" s="375">
        <v>0</v>
      </c>
      <c r="Q71" s="375">
        <v>10</v>
      </c>
      <c r="R71" s="375">
        <v>9040</v>
      </c>
      <c r="S71" s="375">
        <v>11300</v>
      </c>
      <c r="T71" s="375">
        <v>0.2</v>
      </c>
      <c r="U71" s="375">
        <v>500</v>
      </c>
      <c r="V71" s="375" t="s">
        <v>597</v>
      </c>
    </row>
    <row r="72" spans="1:22" x14ac:dyDescent="0.25">
      <c r="A72" s="377">
        <v>45818</v>
      </c>
      <c r="B72" s="375">
        <v>0</v>
      </c>
      <c r="C72" s="375">
        <v>0</v>
      </c>
      <c r="D72" s="375">
        <v>0</v>
      </c>
      <c r="E72" s="375">
        <v>0</v>
      </c>
      <c r="F72" s="375">
        <v>0</v>
      </c>
      <c r="G72" s="375">
        <v>510</v>
      </c>
      <c r="H72" s="376">
        <v>0</v>
      </c>
      <c r="I72" s="375">
        <v>0</v>
      </c>
      <c r="J72" s="375">
        <v>0</v>
      </c>
      <c r="K72" s="375">
        <v>0</v>
      </c>
      <c r="L72" s="375">
        <v>500</v>
      </c>
      <c r="M72" s="375">
        <v>10</v>
      </c>
      <c r="N72" s="375">
        <v>0</v>
      </c>
      <c r="O72" s="375">
        <v>0</v>
      </c>
      <c r="P72" s="375">
        <v>0</v>
      </c>
      <c r="Q72" s="375">
        <v>10</v>
      </c>
      <c r="R72" s="375">
        <v>0</v>
      </c>
      <c r="S72" s="375">
        <v>0</v>
      </c>
      <c r="T72" s="375">
        <v>0.2</v>
      </c>
      <c r="U72" s="375">
        <v>500</v>
      </c>
      <c r="V72" s="375" t="s">
        <v>597</v>
      </c>
    </row>
    <row r="73" spans="1:22" x14ac:dyDescent="0.25">
      <c r="A73" s="377">
        <v>45819</v>
      </c>
      <c r="B73" s="375">
        <v>0</v>
      </c>
      <c r="C73" s="375">
        <v>0</v>
      </c>
      <c r="D73" s="375">
        <v>0</v>
      </c>
      <c r="E73" s="375">
        <v>0</v>
      </c>
      <c r="F73" s="375">
        <v>0</v>
      </c>
      <c r="G73" s="375">
        <v>510</v>
      </c>
      <c r="H73" s="376">
        <v>0</v>
      </c>
      <c r="I73" s="375">
        <v>0</v>
      </c>
      <c r="J73" s="375">
        <v>0</v>
      </c>
      <c r="K73" s="375">
        <v>0</v>
      </c>
      <c r="L73" s="375">
        <v>500</v>
      </c>
      <c r="M73" s="375">
        <v>10</v>
      </c>
      <c r="N73" s="375">
        <v>0</v>
      </c>
      <c r="O73" s="375">
        <v>0</v>
      </c>
      <c r="P73" s="375">
        <v>0</v>
      </c>
      <c r="Q73" s="375">
        <v>10</v>
      </c>
      <c r="R73" s="375">
        <v>0</v>
      </c>
      <c r="S73" s="375">
        <v>0</v>
      </c>
      <c r="T73" s="375">
        <v>0.2</v>
      </c>
      <c r="U73" s="375">
        <v>500</v>
      </c>
      <c r="V73" s="375" t="s">
        <v>597</v>
      </c>
    </row>
    <row r="74" spans="1:22" x14ac:dyDescent="0.25">
      <c r="A74" s="377">
        <v>45820</v>
      </c>
      <c r="B74" s="375">
        <v>11300</v>
      </c>
      <c r="C74" s="375">
        <v>9040</v>
      </c>
      <c r="D74" s="375">
        <v>2</v>
      </c>
      <c r="E74" s="375">
        <v>3</v>
      </c>
      <c r="F74" s="375">
        <v>0.19999999999999996</v>
      </c>
      <c r="G74" s="375">
        <v>510</v>
      </c>
      <c r="H74" s="376">
        <v>5.8823529411764705E-3</v>
      </c>
      <c r="I74" s="375">
        <v>4000</v>
      </c>
      <c r="J74" s="375">
        <v>4400</v>
      </c>
      <c r="K74" s="375">
        <v>3</v>
      </c>
      <c r="L74" s="375">
        <v>500</v>
      </c>
      <c r="M74" s="375">
        <v>10</v>
      </c>
      <c r="N74" s="375">
        <v>0</v>
      </c>
      <c r="O74" s="375">
        <v>0</v>
      </c>
      <c r="P74" s="375">
        <v>0</v>
      </c>
      <c r="Q74" s="375">
        <v>10</v>
      </c>
      <c r="R74" s="375">
        <v>9040</v>
      </c>
      <c r="S74" s="375">
        <v>11300</v>
      </c>
      <c r="T74" s="375">
        <v>0.2</v>
      </c>
      <c r="U74" s="375">
        <v>500</v>
      </c>
      <c r="V74" s="375" t="s">
        <v>597</v>
      </c>
    </row>
    <row r="75" spans="1:22" x14ac:dyDescent="0.25">
      <c r="A75" s="377">
        <v>45821</v>
      </c>
      <c r="B75" s="375">
        <v>11300</v>
      </c>
      <c r="C75" s="375">
        <v>9040</v>
      </c>
      <c r="D75" s="375">
        <v>2</v>
      </c>
      <c r="E75" s="375">
        <v>3</v>
      </c>
      <c r="F75" s="375">
        <v>0.19999999999999996</v>
      </c>
      <c r="G75" s="375">
        <v>510</v>
      </c>
      <c r="H75" s="376">
        <v>5.8823529411764705E-3</v>
      </c>
      <c r="I75" s="375">
        <v>4000</v>
      </c>
      <c r="J75" s="375">
        <v>4400</v>
      </c>
      <c r="K75" s="375">
        <v>3</v>
      </c>
      <c r="L75" s="375">
        <v>500</v>
      </c>
      <c r="M75" s="375">
        <v>10</v>
      </c>
      <c r="N75" s="375">
        <v>0</v>
      </c>
      <c r="O75" s="375">
        <v>0</v>
      </c>
      <c r="P75" s="375">
        <v>0</v>
      </c>
      <c r="Q75" s="375">
        <v>10</v>
      </c>
      <c r="R75" s="375">
        <v>9040</v>
      </c>
      <c r="S75" s="375">
        <v>11300</v>
      </c>
      <c r="T75" s="375">
        <v>0.2</v>
      </c>
      <c r="U75" s="375">
        <v>500</v>
      </c>
      <c r="V75" s="375" t="s">
        <v>597</v>
      </c>
    </row>
    <row r="76" spans="1:22" x14ac:dyDescent="0.25">
      <c r="A76" s="377">
        <v>45822</v>
      </c>
      <c r="B76" s="375">
        <v>11300</v>
      </c>
      <c r="C76" s="375">
        <v>9040</v>
      </c>
      <c r="D76" s="375">
        <v>2</v>
      </c>
      <c r="E76" s="375">
        <v>3</v>
      </c>
      <c r="F76" s="375">
        <v>0.19999999999999996</v>
      </c>
      <c r="G76" s="375">
        <v>510</v>
      </c>
      <c r="H76" s="376">
        <v>5.8823529411764705E-3</v>
      </c>
      <c r="I76" s="375">
        <v>4000</v>
      </c>
      <c r="J76" s="375">
        <v>4400</v>
      </c>
      <c r="K76" s="375">
        <v>3</v>
      </c>
      <c r="L76" s="375">
        <v>500</v>
      </c>
      <c r="M76" s="375">
        <v>10</v>
      </c>
      <c r="N76" s="375">
        <v>0</v>
      </c>
      <c r="O76" s="375">
        <v>0</v>
      </c>
      <c r="P76" s="375">
        <v>0</v>
      </c>
      <c r="Q76" s="375">
        <v>10</v>
      </c>
      <c r="R76" s="375">
        <v>9040</v>
      </c>
      <c r="S76" s="375">
        <v>11300</v>
      </c>
      <c r="T76" s="375">
        <v>0.2</v>
      </c>
      <c r="U76" s="375">
        <v>500</v>
      </c>
      <c r="V76" s="375" t="s">
        <v>597</v>
      </c>
    </row>
    <row r="77" spans="1:22" x14ac:dyDescent="0.25">
      <c r="A77" s="377">
        <v>45823</v>
      </c>
      <c r="B77" s="375">
        <v>11300</v>
      </c>
      <c r="C77" s="375">
        <v>9040</v>
      </c>
      <c r="D77" s="375">
        <v>2</v>
      </c>
      <c r="E77" s="375">
        <v>3</v>
      </c>
      <c r="F77" s="375">
        <v>0.19999999999999996</v>
      </c>
      <c r="G77" s="375">
        <v>510</v>
      </c>
      <c r="H77" s="376">
        <v>5.8823529411764705E-3</v>
      </c>
      <c r="I77" s="375">
        <v>4000</v>
      </c>
      <c r="J77" s="375">
        <v>4400</v>
      </c>
      <c r="K77" s="375">
        <v>3</v>
      </c>
      <c r="L77" s="375">
        <v>500</v>
      </c>
      <c r="M77" s="375">
        <v>10</v>
      </c>
      <c r="N77" s="375">
        <v>0</v>
      </c>
      <c r="O77" s="375">
        <v>0</v>
      </c>
      <c r="P77" s="375">
        <v>0</v>
      </c>
      <c r="Q77" s="375">
        <v>10</v>
      </c>
      <c r="R77" s="375">
        <v>9040</v>
      </c>
      <c r="S77" s="375">
        <v>11300</v>
      </c>
      <c r="T77" s="375">
        <v>0.2</v>
      </c>
      <c r="U77" s="375">
        <v>500</v>
      </c>
      <c r="V77" s="375" t="s">
        <v>597</v>
      </c>
    </row>
    <row r="78" spans="1:22" x14ac:dyDescent="0.25">
      <c r="A78" s="377">
        <v>45824</v>
      </c>
      <c r="B78" s="375">
        <v>11300</v>
      </c>
      <c r="C78" s="375">
        <v>9040</v>
      </c>
      <c r="D78" s="375">
        <v>2</v>
      </c>
      <c r="E78" s="375">
        <v>3</v>
      </c>
      <c r="F78" s="375">
        <v>0.19999999999999996</v>
      </c>
      <c r="G78" s="375">
        <v>510</v>
      </c>
      <c r="H78" s="376">
        <v>5.8823529411764705E-3</v>
      </c>
      <c r="I78" s="375">
        <v>4000</v>
      </c>
      <c r="J78" s="375">
        <v>4400</v>
      </c>
      <c r="K78" s="375">
        <v>3</v>
      </c>
      <c r="L78" s="375">
        <v>500</v>
      </c>
      <c r="M78" s="375">
        <v>10</v>
      </c>
      <c r="N78" s="375">
        <v>0</v>
      </c>
      <c r="O78" s="375">
        <v>0</v>
      </c>
      <c r="P78" s="375">
        <v>0</v>
      </c>
      <c r="Q78" s="375">
        <v>10</v>
      </c>
      <c r="R78" s="375">
        <v>9040</v>
      </c>
      <c r="S78" s="375">
        <v>11300</v>
      </c>
      <c r="T78" s="375">
        <v>0.2</v>
      </c>
      <c r="U78" s="375">
        <v>500</v>
      </c>
      <c r="V78" s="375" t="s">
        <v>597</v>
      </c>
    </row>
    <row r="79" spans="1:22" x14ac:dyDescent="0.25">
      <c r="A79" s="377">
        <v>45825</v>
      </c>
      <c r="B79" s="375">
        <v>7350</v>
      </c>
      <c r="C79" s="375">
        <v>7000</v>
      </c>
      <c r="D79" s="375">
        <v>2</v>
      </c>
      <c r="E79" s="375">
        <v>2</v>
      </c>
      <c r="F79" s="375">
        <v>4.7619047619047672E-2</v>
      </c>
      <c r="G79" s="375">
        <v>1500</v>
      </c>
      <c r="H79" s="376">
        <v>1.3333333333333333E-3</v>
      </c>
      <c r="I79" s="375">
        <v>4000</v>
      </c>
      <c r="J79" s="375">
        <v>4400</v>
      </c>
      <c r="K79" s="375">
        <v>2</v>
      </c>
      <c r="L79" s="375">
        <v>500</v>
      </c>
      <c r="M79" s="375">
        <v>1000</v>
      </c>
      <c r="N79" s="375">
        <v>7000</v>
      </c>
      <c r="O79" s="375">
        <v>7350</v>
      </c>
      <c r="P79" s="375">
        <v>0.05</v>
      </c>
      <c r="Q79" s="375">
        <v>1000</v>
      </c>
      <c r="R79" s="375">
        <v>0</v>
      </c>
      <c r="S79" s="375">
        <v>0</v>
      </c>
      <c r="T79" s="375">
        <v>0.2</v>
      </c>
      <c r="U79" s="375">
        <v>500</v>
      </c>
      <c r="V79" s="375" t="s">
        <v>597</v>
      </c>
    </row>
    <row r="80" spans="1:22" x14ac:dyDescent="0.25">
      <c r="A80" s="377">
        <v>45826</v>
      </c>
      <c r="B80" s="375">
        <v>7350</v>
      </c>
      <c r="C80" s="375">
        <v>7000</v>
      </c>
      <c r="D80" s="375">
        <v>2</v>
      </c>
      <c r="E80" s="375">
        <v>2</v>
      </c>
      <c r="F80" s="375">
        <v>4.7619047619047672E-2</v>
      </c>
      <c r="G80" s="375">
        <v>2700</v>
      </c>
      <c r="H80" s="376">
        <v>7.407407407407407E-4</v>
      </c>
      <c r="I80" s="375">
        <v>4000</v>
      </c>
      <c r="J80" s="375">
        <v>4400</v>
      </c>
      <c r="K80" s="375">
        <v>2</v>
      </c>
      <c r="L80" s="375">
        <v>500</v>
      </c>
      <c r="M80" s="375">
        <v>2200</v>
      </c>
      <c r="N80" s="375">
        <v>7000</v>
      </c>
      <c r="O80" s="375">
        <v>7350</v>
      </c>
      <c r="P80" s="375">
        <v>0</v>
      </c>
      <c r="Q80" s="375">
        <v>2200</v>
      </c>
      <c r="R80" s="375">
        <v>0</v>
      </c>
      <c r="S80" s="375">
        <v>0</v>
      </c>
      <c r="T80" s="375">
        <v>0.2</v>
      </c>
      <c r="U80" s="375">
        <v>500</v>
      </c>
      <c r="V80" s="375" t="s">
        <v>597</v>
      </c>
    </row>
    <row r="81" spans="1:22" x14ac:dyDescent="0.25">
      <c r="A81" s="377">
        <v>45827</v>
      </c>
      <c r="B81" s="375">
        <v>18650</v>
      </c>
      <c r="C81" s="375">
        <v>16040</v>
      </c>
      <c r="D81" s="375">
        <v>4</v>
      </c>
      <c r="E81" s="375">
        <v>5</v>
      </c>
      <c r="F81" s="375">
        <v>0.1399463806970509</v>
      </c>
      <c r="G81" s="375">
        <v>2700</v>
      </c>
      <c r="H81" s="376">
        <v>1.4814814814814814E-3</v>
      </c>
      <c r="I81" s="375">
        <v>4000</v>
      </c>
      <c r="J81" s="375">
        <v>4400</v>
      </c>
      <c r="K81" s="375">
        <v>4</v>
      </c>
      <c r="L81" s="375">
        <v>500</v>
      </c>
      <c r="M81" s="375">
        <v>2200</v>
      </c>
      <c r="N81" s="375">
        <v>7000</v>
      </c>
      <c r="O81" s="375">
        <v>7350</v>
      </c>
      <c r="P81" s="375">
        <v>0</v>
      </c>
      <c r="Q81" s="375">
        <v>2200</v>
      </c>
      <c r="R81" s="375">
        <v>9040</v>
      </c>
      <c r="S81" s="375">
        <v>11300</v>
      </c>
      <c r="T81" s="375">
        <v>0.2</v>
      </c>
      <c r="U81" s="375">
        <v>500</v>
      </c>
      <c r="V81" s="375" t="s">
        <v>597</v>
      </c>
    </row>
    <row r="82" spans="1:22" x14ac:dyDescent="0.25">
      <c r="A82" s="377">
        <v>45828</v>
      </c>
      <c r="B82" s="375">
        <v>18650</v>
      </c>
      <c r="C82" s="375">
        <v>16040</v>
      </c>
      <c r="D82" s="375">
        <v>4</v>
      </c>
      <c r="E82" s="375">
        <v>5</v>
      </c>
      <c r="F82" s="375">
        <v>0.1399463806970509</v>
      </c>
      <c r="G82" s="375">
        <v>21500</v>
      </c>
      <c r="H82" s="376">
        <v>1.8604651162790697E-4</v>
      </c>
      <c r="I82" s="375">
        <v>4000</v>
      </c>
      <c r="J82" s="375">
        <v>4400</v>
      </c>
      <c r="K82" s="375">
        <v>4</v>
      </c>
      <c r="L82" s="375">
        <v>500</v>
      </c>
      <c r="M82" s="375">
        <v>21000</v>
      </c>
      <c r="N82" s="375">
        <v>7000</v>
      </c>
      <c r="O82" s="375">
        <v>7350</v>
      </c>
      <c r="P82" s="375">
        <v>0</v>
      </c>
      <c r="Q82" s="375">
        <v>21000</v>
      </c>
      <c r="R82" s="375">
        <v>9040</v>
      </c>
      <c r="S82" s="375">
        <v>11300</v>
      </c>
      <c r="T82" s="375">
        <v>0.2</v>
      </c>
      <c r="U82" s="375">
        <v>500</v>
      </c>
      <c r="V82" s="375" t="s">
        <v>597</v>
      </c>
    </row>
    <row r="83" spans="1:22" x14ac:dyDescent="0.25">
      <c r="A83" s="377">
        <v>45829</v>
      </c>
      <c r="B83" s="375">
        <v>18650</v>
      </c>
      <c r="C83" s="375">
        <v>16040</v>
      </c>
      <c r="D83" s="375">
        <v>4</v>
      </c>
      <c r="E83" s="375">
        <v>5</v>
      </c>
      <c r="F83" s="375">
        <v>0.1399463806970509</v>
      </c>
      <c r="G83" s="375">
        <v>2400</v>
      </c>
      <c r="H83" s="376">
        <v>1.6666666666666668E-3</v>
      </c>
      <c r="I83" s="375">
        <v>4000</v>
      </c>
      <c r="J83" s="375">
        <v>4400</v>
      </c>
      <c r="K83" s="375">
        <v>4</v>
      </c>
      <c r="L83" s="375">
        <v>400</v>
      </c>
      <c r="M83" s="375">
        <v>2000</v>
      </c>
      <c r="N83" s="375">
        <v>7000</v>
      </c>
      <c r="O83" s="375">
        <v>7350</v>
      </c>
      <c r="P83" s="375">
        <v>0.05</v>
      </c>
      <c r="Q83" s="375">
        <v>2000</v>
      </c>
      <c r="R83" s="375">
        <v>9040</v>
      </c>
      <c r="S83" s="375">
        <v>11300</v>
      </c>
      <c r="T83" s="375">
        <v>0.2</v>
      </c>
      <c r="U83" s="375">
        <v>400</v>
      </c>
      <c r="V83" s="375" t="s">
        <v>597</v>
      </c>
    </row>
    <row r="84" spans="1:22" x14ac:dyDescent="0.25">
      <c r="A84" s="377">
        <v>45830</v>
      </c>
      <c r="B84" s="375">
        <v>7350</v>
      </c>
      <c r="C84" s="375">
        <v>7000</v>
      </c>
      <c r="D84" s="375">
        <v>2</v>
      </c>
      <c r="E84" s="375">
        <v>2</v>
      </c>
      <c r="F84" s="375">
        <v>4.7619047619047672E-2</v>
      </c>
      <c r="G84" s="375">
        <v>2400</v>
      </c>
      <c r="H84" s="376">
        <v>8.3333333333333339E-4</v>
      </c>
      <c r="I84" s="375">
        <v>4000</v>
      </c>
      <c r="J84" s="375">
        <v>4400</v>
      </c>
      <c r="K84" s="375">
        <v>2</v>
      </c>
      <c r="L84" s="375">
        <v>400</v>
      </c>
      <c r="M84" s="375">
        <v>2000</v>
      </c>
      <c r="N84" s="375">
        <v>7000</v>
      </c>
      <c r="O84" s="375">
        <v>7350</v>
      </c>
      <c r="P84" s="375">
        <v>0</v>
      </c>
      <c r="Q84" s="375">
        <v>2000</v>
      </c>
      <c r="R84" s="375">
        <v>0</v>
      </c>
      <c r="S84" s="375">
        <v>0</v>
      </c>
      <c r="T84" s="375">
        <v>0.2</v>
      </c>
      <c r="U84" s="375">
        <v>400</v>
      </c>
      <c r="V84" s="375" t="s">
        <v>597</v>
      </c>
    </row>
    <row r="85" spans="1:22" x14ac:dyDescent="0.25">
      <c r="A85" s="377">
        <v>45831</v>
      </c>
      <c r="B85" s="375">
        <v>7613</v>
      </c>
      <c r="C85" s="375">
        <v>7250</v>
      </c>
      <c r="D85" s="375">
        <v>2</v>
      </c>
      <c r="E85" s="375">
        <v>2</v>
      </c>
      <c r="F85" s="375">
        <v>4.7619047619047672E-2</v>
      </c>
      <c r="G85" s="375">
        <v>2400</v>
      </c>
      <c r="H85" s="376">
        <v>8.3333333333333339E-4</v>
      </c>
      <c r="I85" s="375">
        <v>4000</v>
      </c>
      <c r="J85" s="375">
        <v>4400</v>
      </c>
      <c r="K85" s="375">
        <v>2</v>
      </c>
      <c r="L85" s="375">
        <v>400</v>
      </c>
      <c r="M85" s="375">
        <v>2000</v>
      </c>
      <c r="N85" s="375">
        <v>7250</v>
      </c>
      <c r="O85" s="375">
        <v>7612.5</v>
      </c>
      <c r="P85" s="375">
        <v>0.05</v>
      </c>
      <c r="Q85" s="375">
        <v>2000</v>
      </c>
      <c r="R85" s="375">
        <v>0</v>
      </c>
      <c r="S85" s="375">
        <v>0</v>
      </c>
      <c r="T85" s="375">
        <v>0.2</v>
      </c>
      <c r="U85" s="375">
        <v>400</v>
      </c>
      <c r="V85" s="375" t="s">
        <v>597</v>
      </c>
    </row>
    <row r="86" spans="1:22" x14ac:dyDescent="0.25">
      <c r="A86" s="377">
        <v>45832</v>
      </c>
      <c r="B86" s="375">
        <v>19700</v>
      </c>
      <c r="C86" s="375">
        <v>17040</v>
      </c>
      <c r="D86" s="375">
        <v>4</v>
      </c>
      <c r="E86" s="375">
        <v>5</v>
      </c>
      <c r="F86" s="375">
        <v>0.13502538071065995</v>
      </c>
      <c r="G86" s="375">
        <v>2400</v>
      </c>
      <c r="H86" s="376">
        <v>1.6666666666666668E-3</v>
      </c>
      <c r="I86" s="375">
        <v>4000</v>
      </c>
      <c r="J86" s="375">
        <v>4400</v>
      </c>
      <c r="K86" s="375">
        <v>4</v>
      </c>
      <c r="L86" s="375">
        <v>400</v>
      </c>
      <c r="M86" s="375">
        <v>2000</v>
      </c>
      <c r="N86" s="375">
        <v>8000</v>
      </c>
      <c r="O86" s="375">
        <v>8400</v>
      </c>
      <c r="P86" s="375">
        <v>0.05</v>
      </c>
      <c r="Q86" s="375">
        <v>2000</v>
      </c>
      <c r="R86" s="375">
        <v>9040</v>
      </c>
      <c r="S86" s="375">
        <v>11300</v>
      </c>
      <c r="T86" s="375">
        <v>0.2</v>
      </c>
      <c r="U86" s="375">
        <v>400</v>
      </c>
      <c r="V86" s="375" t="s">
        <v>597</v>
      </c>
    </row>
    <row r="87" spans="1:22" x14ac:dyDescent="0.25">
      <c r="A87" s="377">
        <v>45833</v>
      </c>
      <c r="B87" s="375">
        <v>18650</v>
      </c>
      <c r="C87" s="375">
        <v>16040</v>
      </c>
      <c r="D87" s="375">
        <v>4</v>
      </c>
      <c r="E87" s="375">
        <v>5</v>
      </c>
      <c r="F87" s="375">
        <v>0.1399463806970509</v>
      </c>
      <c r="G87" s="375">
        <v>2400</v>
      </c>
      <c r="H87" s="376">
        <v>1.6666666666666668E-3</v>
      </c>
      <c r="I87" s="375">
        <v>4000</v>
      </c>
      <c r="J87" s="375">
        <v>4400</v>
      </c>
      <c r="K87" s="375">
        <v>4</v>
      </c>
      <c r="L87" s="375">
        <v>400</v>
      </c>
      <c r="M87" s="375">
        <v>2000</v>
      </c>
      <c r="N87" s="375">
        <v>7000</v>
      </c>
      <c r="O87" s="375">
        <v>7350</v>
      </c>
      <c r="P87" s="375">
        <v>0.05</v>
      </c>
      <c r="Q87" s="375">
        <v>2000</v>
      </c>
      <c r="R87" s="375">
        <v>9040</v>
      </c>
      <c r="S87" s="375">
        <v>11300</v>
      </c>
      <c r="T87" s="375">
        <v>0.2</v>
      </c>
      <c r="U87" s="375">
        <v>400</v>
      </c>
      <c r="V87" s="375" t="s">
        <v>597</v>
      </c>
    </row>
    <row r="88" spans="1:22" x14ac:dyDescent="0.25">
      <c r="A88" s="377">
        <v>45834</v>
      </c>
      <c r="B88" s="375">
        <v>18650</v>
      </c>
      <c r="C88" s="375">
        <v>16040</v>
      </c>
      <c r="D88" s="375">
        <v>4</v>
      </c>
      <c r="E88" s="375">
        <v>5</v>
      </c>
      <c r="F88" s="375">
        <v>0.1399463806970509</v>
      </c>
      <c r="G88" s="375">
        <v>2400</v>
      </c>
      <c r="H88" s="376">
        <v>1.6666666666666668E-3</v>
      </c>
      <c r="I88" s="375">
        <v>4000</v>
      </c>
      <c r="J88" s="375">
        <v>4400</v>
      </c>
      <c r="K88" s="375">
        <v>4</v>
      </c>
      <c r="L88" s="375">
        <v>400</v>
      </c>
      <c r="M88" s="375">
        <v>2000</v>
      </c>
      <c r="N88" s="375">
        <v>7000</v>
      </c>
      <c r="O88" s="375">
        <v>7350</v>
      </c>
      <c r="P88" s="375">
        <v>0.05</v>
      </c>
      <c r="Q88" s="375">
        <v>2000</v>
      </c>
      <c r="R88" s="375">
        <v>9040</v>
      </c>
      <c r="S88" s="375">
        <v>11300</v>
      </c>
      <c r="T88" s="375">
        <v>0.2</v>
      </c>
      <c r="U88" s="375">
        <v>400</v>
      </c>
      <c r="V88" s="375" t="s">
        <v>597</v>
      </c>
    </row>
    <row r="89" spans="1:22" x14ac:dyDescent="0.25">
      <c r="A89" s="377">
        <v>45835</v>
      </c>
      <c r="B89" s="375">
        <v>7350</v>
      </c>
      <c r="C89" s="375">
        <v>7000</v>
      </c>
      <c r="D89" s="375">
        <v>2</v>
      </c>
      <c r="E89" s="375">
        <v>2</v>
      </c>
      <c r="F89" s="375">
        <v>4.7619047619047672E-2</v>
      </c>
      <c r="G89" s="375">
        <v>2400</v>
      </c>
      <c r="H89" s="376">
        <v>8.3333333333333339E-4</v>
      </c>
      <c r="I89" s="375">
        <v>4000</v>
      </c>
      <c r="J89" s="375">
        <v>4400</v>
      </c>
      <c r="K89" s="375">
        <v>2</v>
      </c>
      <c r="L89" s="375">
        <v>400</v>
      </c>
      <c r="M89" s="375">
        <v>2000</v>
      </c>
      <c r="N89" s="375">
        <v>7000</v>
      </c>
      <c r="O89" s="375">
        <v>7350</v>
      </c>
      <c r="P89" s="375">
        <v>0</v>
      </c>
      <c r="Q89" s="375">
        <v>2000</v>
      </c>
      <c r="R89" s="375">
        <v>0</v>
      </c>
      <c r="S89" s="375">
        <v>0</v>
      </c>
      <c r="T89" s="375">
        <v>0.2</v>
      </c>
      <c r="U89" s="375">
        <v>400</v>
      </c>
      <c r="V89" s="375" t="s">
        <v>597</v>
      </c>
    </row>
    <row r="90" spans="1:22" x14ac:dyDescent="0.25">
      <c r="A90" s="377">
        <v>45836</v>
      </c>
      <c r="B90" s="375">
        <v>7350</v>
      </c>
      <c r="C90" s="375">
        <v>7000</v>
      </c>
      <c r="D90" s="375">
        <v>2</v>
      </c>
      <c r="E90" s="375">
        <v>2</v>
      </c>
      <c r="F90" s="375">
        <v>4.7619047619047672E-2</v>
      </c>
      <c r="G90" s="375">
        <v>2400</v>
      </c>
      <c r="H90" s="376">
        <v>8.3333333333333339E-4</v>
      </c>
      <c r="I90" s="375">
        <v>4000</v>
      </c>
      <c r="J90" s="375">
        <v>4400</v>
      </c>
      <c r="K90" s="375">
        <v>2</v>
      </c>
      <c r="L90" s="375">
        <v>400</v>
      </c>
      <c r="M90" s="375">
        <v>2000</v>
      </c>
      <c r="N90" s="375">
        <v>7000</v>
      </c>
      <c r="O90" s="375">
        <v>7350</v>
      </c>
      <c r="P90" s="375">
        <v>0</v>
      </c>
      <c r="Q90" s="375">
        <v>2000</v>
      </c>
      <c r="R90" s="375">
        <v>0</v>
      </c>
      <c r="S90" s="375">
        <v>0</v>
      </c>
      <c r="T90" s="375">
        <v>0.2</v>
      </c>
      <c r="U90" s="375">
        <v>400</v>
      </c>
      <c r="V90" s="375" t="s">
        <v>597</v>
      </c>
    </row>
    <row r="91" spans="1:22" x14ac:dyDescent="0.25">
      <c r="A91" s="377">
        <v>45837</v>
      </c>
      <c r="B91" s="375">
        <v>17238</v>
      </c>
      <c r="C91" s="375">
        <v>14910</v>
      </c>
      <c r="D91" s="375">
        <v>4</v>
      </c>
      <c r="E91" s="375">
        <v>4</v>
      </c>
      <c r="F91" s="375">
        <v>0.13502538071065995</v>
      </c>
      <c r="G91" s="375">
        <v>2400</v>
      </c>
      <c r="H91" s="376">
        <v>1.6666666666666668E-3</v>
      </c>
      <c r="I91" s="375">
        <v>4000</v>
      </c>
      <c r="J91" s="375">
        <v>4400</v>
      </c>
      <c r="K91" s="375">
        <v>4</v>
      </c>
      <c r="L91" s="375">
        <v>400</v>
      </c>
      <c r="M91" s="375">
        <v>2000</v>
      </c>
      <c r="N91" s="375">
        <v>7000</v>
      </c>
      <c r="O91" s="375">
        <v>7350</v>
      </c>
      <c r="P91" s="375">
        <v>0.05</v>
      </c>
      <c r="Q91" s="375">
        <v>2000</v>
      </c>
      <c r="R91" s="375">
        <v>7909.9999999999991</v>
      </c>
      <c r="S91" s="375">
        <v>9887.4999999999982</v>
      </c>
      <c r="T91" s="375">
        <v>0.2</v>
      </c>
      <c r="U91" s="375">
        <v>400</v>
      </c>
      <c r="V91" s="375" t="s">
        <v>597</v>
      </c>
    </row>
    <row r="92" spans="1:22" x14ac:dyDescent="0.25">
      <c r="A92" s="377">
        <v>45838</v>
      </c>
      <c r="B92" s="375">
        <v>17376</v>
      </c>
      <c r="C92" s="375">
        <v>15021</v>
      </c>
      <c r="D92" s="375">
        <v>4</v>
      </c>
      <c r="E92" s="375">
        <v>4</v>
      </c>
      <c r="F92" s="375">
        <v>0.13554299986907159</v>
      </c>
      <c r="G92" s="375">
        <v>2400</v>
      </c>
      <c r="H92" s="376">
        <v>1.6666666666666668E-3</v>
      </c>
      <c r="I92" s="375">
        <v>4000</v>
      </c>
      <c r="J92" s="375">
        <v>4400</v>
      </c>
      <c r="K92" s="375">
        <v>4</v>
      </c>
      <c r="L92" s="375">
        <v>400</v>
      </c>
      <c r="M92" s="375">
        <v>2000</v>
      </c>
      <c r="N92" s="375">
        <v>7000</v>
      </c>
      <c r="O92" s="375">
        <v>7350</v>
      </c>
      <c r="P92" s="375">
        <v>0.05</v>
      </c>
      <c r="Q92" s="375">
        <v>2000</v>
      </c>
      <c r="R92" s="375">
        <v>8020.7399999999989</v>
      </c>
      <c r="S92" s="375">
        <v>10025.924999999997</v>
      </c>
      <c r="T92" s="375">
        <v>0.2</v>
      </c>
      <c r="U92" s="375">
        <v>400</v>
      </c>
      <c r="V92" s="375" t="s">
        <v>597</v>
      </c>
    </row>
    <row r="93" spans="1:22" x14ac:dyDescent="0.25">
      <c r="A93" s="377">
        <v>45839</v>
      </c>
      <c r="B93" s="375">
        <v>10445</v>
      </c>
      <c r="C93" s="375">
        <v>8995</v>
      </c>
      <c r="D93" s="375">
        <v>2</v>
      </c>
      <c r="E93" s="375">
        <v>2</v>
      </c>
      <c r="F93" s="375">
        <v>0.13880179037315399</v>
      </c>
      <c r="G93" s="375">
        <v>2400</v>
      </c>
      <c r="H93" s="376">
        <v>8.3333333333333339E-4</v>
      </c>
      <c r="I93" s="375">
        <v>5000</v>
      </c>
      <c r="J93" s="375">
        <v>5500</v>
      </c>
      <c r="K93" s="375">
        <v>2</v>
      </c>
      <c r="L93" s="375">
        <v>400</v>
      </c>
      <c r="M93" s="375">
        <v>2000</v>
      </c>
      <c r="N93" s="375">
        <v>3995</v>
      </c>
      <c r="O93" s="375">
        <v>4194.75</v>
      </c>
      <c r="P93" s="375">
        <v>0</v>
      </c>
      <c r="Q93" s="375">
        <v>2000</v>
      </c>
      <c r="R93" s="375">
        <v>5000</v>
      </c>
      <c r="S93" s="375">
        <v>6250</v>
      </c>
      <c r="T93" s="375">
        <v>0.2</v>
      </c>
      <c r="U93" s="375">
        <v>400</v>
      </c>
      <c r="V93" s="375" t="s">
        <v>597</v>
      </c>
    </row>
    <row r="94" spans="1:22" x14ac:dyDescent="0.25">
      <c r="A94" s="377">
        <v>45840</v>
      </c>
      <c r="B94" s="375">
        <v>9395</v>
      </c>
      <c r="C94" s="375">
        <v>7995</v>
      </c>
      <c r="D94" s="375">
        <v>2</v>
      </c>
      <c r="E94" s="375">
        <v>2</v>
      </c>
      <c r="F94" s="375">
        <v>0.14899278852550624</v>
      </c>
      <c r="G94" s="375">
        <v>2400</v>
      </c>
      <c r="H94" s="376">
        <v>8.3333333333333339E-4</v>
      </c>
      <c r="I94" s="375">
        <v>5000</v>
      </c>
      <c r="J94" s="375">
        <v>5500</v>
      </c>
      <c r="K94" s="375">
        <v>2</v>
      </c>
      <c r="L94" s="375">
        <v>400</v>
      </c>
      <c r="M94" s="375">
        <v>2000</v>
      </c>
      <c r="N94" s="375">
        <v>2995</v>
      </c>
      <c r="O94" s="375">
        <v>3144.75</v>
      </c>
      <c r="P94" s="375">
        <v>0.05</v>
      </c>
      <c r="Q94" s="375">
        <v>2000</v>
      </c>
      <c r="R94" s="375">
        <v>5000</v>
      </c>
      <c r="S94" s="375">
        <v>6250</v>
      </c>
      <c r="T94" s="375">
        <v>0.2</v>
      </c>
      <c r="U94" s="375">
        <v>400</v>
      </c>
      <c r="V94" s="375" t="s">
        <v>597</v>
      </c>
    </row>
    <row r="95" spans="1:22" x14ac:dyDescent="0.25">
      <c r="A95" s="377">
        <v>45841</v>
      </c>
      <c r="B95" s="375">
        <v>5245</v>
      </c>
      <c r="C95" s="375">
        <v>4995</v>
      </c>
      <c r="D95" s="375">
        <v>1</v>
      </c>
      <c r="E95" s="375">
        <v>1</v>
      </c>
      <c r="F95" s="375">
        <v>4.7619047619047672E-2</v>
      </c>
      <c r="G95" s="375">
        <v>2400</v>
      </c>
      <c r="H95" s="376">
        <v>4.1666666666666669E-4</v>
      </c>
      <c r="I95" s="375">
        <v>5000</v>
      </c>
      <c r="J95" s="375">
        <v>5500</v>
      </c>
      <c r="K95" s="375">
        <v>1</v>
      </c>
      <c r="L95" s="375">
        <v>400</v>
      </c>
      <c r="M95" s="375">
        <v>2000</v>
      </c>
      <c r="N95" s="375">
        <v>4995</v>
      </c>
      <c r="O95" s="375">
        <v>5244.75</v>
      </c>
      <c r="P95" s="375">
        <v>0</v>
      </c>
      <c r="Q95" s="375">
        <v>2000</v>
      </c>
      <c r="R95" s="375">
        <v>0</v>
      </c>
      <c r="S95" s="375">
        <v>0</v>
      </c>
      <c r="T95" s="375">
        <v>0.2</v>
      </c>
      <c r="U95" s="375">
        <v>400</v>
      </c>
      <c r="V95" s="375" t="s">
        <v>597</v>
      </c>
    </row>
    <row r="96" spans="1:22" x14ac:dyDescent="0.25">
      <c r="A96" s="377">
        <v>45842</v>
      </c>
      <c r="B96" s="375">
        <v>4200</v>
      </c>
      <c r="C96" s="375">
        <v>4000</v>
      </c>
      <c r="D96" s="375">
        <v>1</v>
      </c>
      <c r="E96" s="375">
        <v>1</v>
      </c>
      <c r="F96" s="375">
        <v>4.7619047619047672E-2</v>
      </c>
      <c r="G96" s="375">
        <v>2400</v>
      </c>
      <c r="H96" s="376">
        <v>4.1666666666666669E-4</v>
      </c>
      <c r="I96" s="375">
        <v>5000</v>
      </c>
      <c r="J96" s="375">
        <v>5500</v>
      </c>
      <c r="K96" s="375">
        <v>1</v>
      </c>
      <c r="L96" s="375">
        <v>400</v>
      </c>
      <c r="M96" s="375">
        <v>2000</v>
      </c>
      <c r="N96" s="375">
        <v>4000</v>
      </c>
      <c r="O96" s="375">
        <v>4200</v>
      </c>
      <c r="P96" s="375">
        <v>0</v>
      </c>
      <c r="Q96" s="375">
        <v>2000</v>
      </c>
      <c r="R96" s="375">
        <v>0</v>
      </c>
      <c r="S96" s="375">
        <v>0</v>
      </c>
      <c r="T96" s="375">
        <v>0.2</v>
      </c>
      <c r="U96" s="375">
        <v>400</v>
      </c>
      <c r="V96" s="375" t="s">
        <v>597</v>
      </c>
    </row>
    <row r="97" spans="1:22" x14ac:dyDescent="0.25">
      <c r="A97" s="377">
        <v>45843</v>
      </c>
      <c r="B97" s="375">
        <v>9200</v>
      </c>
      <c r="C97" s="375">
        <v>9000</v>
      </c>
      <c r="D97" s="375">
        <v>2</v>
      </c>
      <c r="E97" s="375">
        <v>2</v>
      </c>
      <c r="F97" s="375">
        <v>2.1739130434782594E-2</v>
      </c>
      <c r="G97" s="375">
        <v>2400</v>
      </c>
      <c r="H97" s="376">
        <v>8.3333333333333339E-4</v>
      </c>
      <c r="I97" s="375">
        <v>5000</v>
      </c>
      <c r="J97" s="375">
        <v>5500</v>
      </c>
      <c r="K97" s="375">
        <v>2</v>
      </c>
      <c r="L97" s="375">
        <v>400</v>
      </c>
      <c r="M97" s="375">
        <v>2000</v>
      </c>
      <c r="N97" s="375">
        <v>4000</v>
      </c>
      <c r="O97" s="375">
        <v>4200</v>
      </c>
      <c r="P97" s="375">
        <v>0.05</v>
      </c>
      <c r="Q97" s="375">
        <v>2000</v>
      </c>
      <c r="R97" s="375">
        <v>5000</v>
      </c>
      <c r="S97" s="375">
        <v>5000</v>
      </c>
      <c r="T97" s="375">
        <v>0</v>
      </c>
      <c r="U97" s="375">
        <v>400</v>
      </c>
      <c r="V97" s="375" t="s">
        <v>597</v>
      </c>
    </row>
    <row r="98" spans="1:22" x14ac:dyDescent="0.25">
      <c r="A98" s="377">
        <v>45844</v>
      </c>
      <c r="B98" s="375">
        <v>9200</v>
      </c>
      <c r="C98" s="375">
        <v>9000</v>
      </c>
      <c r="D98" s="375">
        <v>2</v>
      </c>
      <c r="E98" s="375">
        <v>2</v>
      </c>
      <c r="F98" s="375">
        <v>2.1739130434782594E-2</v>
      </c>
      <c r="G98" s="375">
        <v>2400</v>
      </c>
      <c r="H98" s="376">
        <v>8.3333333333333339E-4</v>
      </c>
      <c r="I98" s="375">
        <v>5000</v>
      </c>
      <c r="J98" s="375">
        <v>5500</v>
      </c>
      <c r="K98" s="375">
        <v>2</v>
      </c>
      <c r="L98" s="375">
        <v>400</v>
      </c>
      <c r="M98" s="375">
        <v>2000</v>
      </c>
      <c r="N98" s="375">
        <v>4000</v>
      </c>
      <c r="O98" s="375">
        <v>4200</v>
      </c>
      <c r="P98" s="375">
        <v>0.05</v>
      </c>
      <c r="Q98" s="375">
        <v>2000</v>
      </c>
      <c r="R98" s="375">
        <v>5000</v>
      </c>
      <c r="S98" s="375">
        <v>5000</v>
      </c>
      <c r="T98" s="375">
        <v>0</v>
      </c>
      <c r="U98" s="375">
        <v>400</v>
      </c>
      <c r="V98" s="375" t="s">
        <v>597</v>
      </c>
    </row>
    <row r="99" spans="1:22" x14ac:dyDescent="0.25">
      <c r="A99" s="377">
        <v>45845</v>
      </c>
      <c r="B99" s="375">
        <v>4200</v>
      </c>
      <c r="C99" s="375">
        <v>4000</v>
      </c>
      <c r="D99" s="375">
        <v>1</v>
      </c>
      <c r="E99" s="375">
        <v>1</v>
      </c>
      <c r="F99" s="375">
        <v>4.7619047619047672E-2</v>
      </c>
      <c r="G99" s="375">
        <v>2400</v>
      </c>
      <c r="H99" s="376">
        <v>4.1666666666666669E-4</v>
      </c>
      <c r="I99" s="375">
        <v>5000</v>
      </c>
      <c r="J99" s="375">
        <v>5500</v>
      </c>
      <c r="K99" s="375">
        <v>1</v>
      </c>
      <c r="L99" s="375">
        <v>400</v>
      </c>
      <c r="M99" s="375">
        <v>2000</v>
      </c>
      <c r="N99" s="375">
        <v>4000</v>
      </c>
      <c r="O99" s="375">
        <v>4200</v>
      </c>
      <c r="P99" s="375">
        <v>0.05</v>
      </c>
      <c r="Q99" s="375">
        <v>2000</v>
      </c>
      <c r="R99" s="375">
        <v>0</v>
      </c>
      <c r="S99" s="375">
        <v>0</v>
      </c>
      <c r="T99" s="375">
        <v>0.2</v>
      </c>
      <c r="U99" s="375">
        <v>400</v>
      </c>
      <c r="V99" s="375" t="s">
        <v>597</v>
      </c>
    </row>
    <row r="100" spans="1:22" x14ac:dyDescent="0.25">
      <c r="A100" s="377">
        <v>45846</v>
      </c>
      <c r="B100" s="375">
        <v>10450</v>
      </c>
      <c r="C100" s="375">
        <v>9000</v>
      </c>
      <c r="D100" s="375">
        <v>2</v>
      </c>
      <c r="E100" s="375">
        <v>2</v>
      </c>
      <c r="F100" s="375">
        <v>0.13875598086124397</v>
      </c>
      <c r="G100" s="375">
        <v>2400</v>
      </c>
      <c r="H100" s="376">
        <v>8.3333333333333339E-4</v>
      </c>
      <c r="I100" s="375">
        <v>5000</v>
      </c>
      <c r="J100" s="375">
        <v>5500</v>
      </c>
      <c r="K100" s="375">
        <v>2</v>
      </c>
      <c r="L100" s="375">
        <v>400</v>
      </c>
      <c r="M100" s="375">
        <v>2000</v>
      </c>
      <c r="N100" s="375">
        <v>4000</v>
      </c>
      <c r="O100" s="375">
        <v>4200</v>
      </c>
      <c r="P100" s="375">
        <v>0.05</v>
      </c>
      <c r="Q100" s="375">
        <v>2000</v>
      </c>
      <c r="R100" s="375">
        <v>5000</v>
      </c>
      <c r="S100" s="375">
        <v>6250</v>
      </c>
      <c r="T100" s="375">
        <v>0.2</v>
      </c>
      <c r="U100" s="375">
        <v>400</v>
      </c>
      <c r="V100" s="375" t="s">
        <v>597</v>
      </c>
    </row>
    <row r="101" spans="1:22" x14ac:dyDescent="0.25">
      <c r="A101" s="377">
        <v>45847</v>
      </c>
      <c r="B101" s="375">
        <v>4200</v>
      </c>
      <c r="C101" s="375">
        <v>4000</v>
      </c>
      <c r="D101" s="375">
        <v>1</v>
      </c>
      <c r="E101" s="375">
        <v>1</v>
      </c>
      <c r="F101" s="375">
        <v>4.7619047619047672E-2</v>
      </c>
      <c r="G101" s="375">
        <v>2400</v>
      </c>
      <c r="H101" s="376">
        <v>4.1666666666666669E-4</v>
      </c>
      <c r="I101" s="375">
        <v>5000</v>
      </c>
      <c r="J101" s="375">
        <v>5500</v>
      </c>
      <c r="K101" s="375">
        <v>1</v>
      </c>
      <c r="L101" s="375">
        <v>400</v>
      </c>
      <c r="M101" s="375">
        <v>2000</v>
      </c>
      <c r="N101" s="375">
        <v>4000</v>
      </c>
      <c r="O101" s="375">
        <v>4200</v>
      </c>
      <c r="P101" s="375">
        <v>0</v>
      </c>
      <c r="Q101" s="375">
        <v>2000</v>
      </c>
      <c r="R101" s="375">
        <v>0</v>
      </c>
      <c r="S101" s="375">
        <v>0</v>
      </c>
      <c r="T101" s="375">
        <v>0.2</v>
      </c>
      <c r="U101" s="375">
        <v>400</v>
      </c>
      <c r="V101" s="375" t="s">
        <v>597</v>
      </c>
    </row>
    <row r="102" spans="1:22" x14ac:dyDescent="0.25">
      <c r="A102" s="377">
        <v>45848</v>
      </c>
      <c r="B102" s="375">
        <v>4200</v>
      </c>
      <c r="C102" s="375">
        <v>4000</v>
      </c>
      <c r="D102" s="375">
        <v>1</v>
      </c>
      <c r="E102" s="375">
        <v>1</v>
      </c>
      <c r="F102" s="375">
        <v>4.7619047619047672E-2</v>
      </c>
      <c r="G102" s="375">
        <v>2400</v>
      </c>
      <c r="H102" s="376">
        <v>4.1666666666666669E-4</v>
      </c>
      <c r="I102" s="375">
        <v>5000</v>
      </c>
      <c r="J102" s="375">
        <v>5500</v>
      </c>
      <c r="K102" s="375">
        <v>1</v>
      </c>
      <c r="L102" s="375">
        <v>400</v>
      </c>
      <c r="M102" s="375">
        <v>2000</v>
      </c>
      <c r="N102" s="375">
        <v>4000</v>
      </c>
      <c r="O102" s="375">
        <v>4200</v>
      </c>
      <c r="P102" s="375">
        <v>0.05</v>
      </c>
      <c r="Q102" s="375">
        <v>2000</v>
      </c>
      <c r="R102" s="375">
        <v>0</v>
      </c>
      <c r="S102" s="375">
        <v>0</v>
      </c>
      <c r="T102" s="375">
        <v>0.2</v>
      </c>
      <c r="U102" s="375">
        <v>400</v>
      </c>
      <c r="V102" s="375" t="s">
        <v>597</v>
      </c>
    </row>
    <row r="103" spans="1:22" x14ac:dyDescent="0.25">
      <c r="A103" s="377">
        <v>45849</v>
      </c>
      <c r="B103" s="375">
        <v>10450</v>
      </c>
      <c r="C103" s="375">
        <v>9000</v>
      </c>
      <c r="D103" s="375">
        <v>2</v>
      </c>
      <c r="E103" s="375">
        <v>2</v>
      </c>
      <c r="F103" s="375">
        <v>0.13875598086124397</v>
      </c>
      <c r="G103" s="375">
        <v>2400</v>
      </c>
      <c r="H103" s="376">
        <v>8.3333333333333339E-4</v>
      </c>
      <c r="I103" s="375">
        <v>5000</v>
      </c>
      <c r="J103" s="375">
        <v>5500</v>
      </c>
      <c r="K103" s="375">
        <v>2</v>
      </c>
      <c r="L103" s="375">
        <v>400</v>
      </c>
      <c r="M103" s="375">
        <v>2000</v>
      </c>
      <c r="N103" s="375">
        <v>4000</v>
      </c>
      <c r="O103" s="375">
        <v>4200</v>
      </c>
      <c r="P103" s="375">
        <v>0</v>
      </c>
      <c r="Q103" s="375">
        <v>2000</v>
      </c>
      <c r="R103" s="375">
        <v>5000</v>
      </c>
      <c r="S103" s="375">
        <v>6250</v>
      </c>
      <c r="T103" s="375">
        <v>0.2</v>
      </c>
      <c r="U103" s="375">
        <v>400</v>
      </c>
      <c r="V103" s="375" t="s">
        <v>597</v>
      </c>
    </row>
    <row r="104" spans="1:22" x14ac:dyDescent="0.25">
      <c r="A104" s="377">
        <v>45850</v>
      </c>
      <c r="B104" s="375">
        <v>4200</v>
      </c>
      <c r="C104" s="375">
        <v>4000</v>
      </c>
      <c r="D104" s="375">
        <v>1</v>
      </c>
      <c r="E104" s="375">
        <v>1</v>
      </c>
      <c r="F104" s="375">
        <v>4.7619047619047672E-2</v>
      </c>
      <c r="G104" s="375">
        <v>2400</v>
      </c>
      <c r="H104" s="376">
        <v>4.1666666666666669E-4</v>
      </c>
      <c r="I104" s="375">
        <v>5000</v>
      </c>
      <c r="J104" s="375">
        <v>5500</v>
      </c>
      <c r="K104" s="375">
        <v>1</v>
      </c>
      <c r="L104" s="375">
        <v>400</v>
      </c>
      <c r="M104" s="375">
        <v>2000</v>
      </c>
      <c r="N104" s="375">
        <v>4000</v>
      </c>
      <c r="O104" s="375">
        <v>4200</v>
      </c>
      <c r="P104" s="375">
        <v>0.05</v>
      </c>
      <c r="Q104" s="375">
        <v>2000</v>
      </c>
      <c r="R104" s="375">
        <v>0</v>
      </c>
      <c r="S104" s="375">
        <v>0</v>
      </c>
      <c r="T104" s="375">
        <v>0</v>
      </c>
      <c r="U104" s="375">
        <v>400</v>
      </c>
      <c r="V104" s="375" t="s">
        <v>597</v>
      </c>
    </row>
    <row r="105" spans="1:22" x14ac:dyDescent="0.25">
      <c r="A105" s="377">
        <v>45851</v>
      </c>
      <c r="B105" s="375">
        <v>4200</v>
      </c>
      <c r="C105" s="375">
        <v>4000</v>
      </c>
      <c r="D105" s="375">
        <v>1</v>
      </c>
      <c r="E105" s="375">
        <v>1</v>
      </c>
      <c r="F105" s="375">
        <v>4.7619047619047672E-2</v>
      </c>
      <c r="G105" s="375">
        <v>2400</v>
      </c>
      <c r="H105" s="376">
        <v>4.1666666666666669E-4</v>
      </c>
      <c r="I105" s="375">
        <v>5000</v>
      </c>
      <c r="J105" s="375">
        <v>5500</v>
      </c>
      <c r="K105" s="375">
        <v>1</v>
      </c>
      <c r="L105" s="375">
        <v>400</v>
      </c>
      <c r="M105" s="375">
        <v>2000</v>
      </c>
      <c r="N105" s="375">
        <v>4000</v>
      </c>
      <c r="O105" s="375">
        <v>4200</v>
      </c>
      <c r="P105" s="375">
        <v>0.05</v>
      </c>
      <c r="Q105" s="375">
        <v>2000</v>
      </c>
      <c r="R105" s="375">
        <v>0</v>
      </c>
      <c r="S105" s="375">
        <v>0</v>
      </c>
      <c r="T105" s="375">
        <v>0</v>
      </c>
      <c r="U105" s="375">
        <v>400</v>
      </c>
      <c r="V105" s="375" t="s">
        <v>597</v>
      </c>
    </row>
    <row r="106" spans="1:22" x14ac:dyDescent="0.25">
      <c r="A106" s="377">
        <v>45852</v>
      </c>
      <c r="B106" s="375">
        <v>6250</v>
      </c>
      <c r="C106" s="375">
        <v>5000</v>
      </c>
      <c r="D106" s="375">
        <v>1</v>
      </c>
      <c r="E106" s="375">
        <v>1</v>
      </c>
      <c r="F106" s="375">
        <v>0.19999999999999996</v>
      </c>
      <c r="G106" s="375">
        <v>450</v>
      </c>
      <c r="H106" s="376">
        <v>2.2222222222222222E-3</v>
      </c>
      <c r="I106" s="375">
        <v>5000</v>
      </c>
      <c r="J106" s="375">
        <v>5500</v>
      </c>
      <c r="K106" s="375">
        <v>1</v>
      </c>
      <c r="L106" s="375">
        <v>400</v>
      </c>
      <c r="M106" s="375">
        <v>50</v>
      </c>
      <c r="N106" s="375">
        <v>0</v>
      </c>
      <c r="O106" s="375">
        <v>0</v>
      </c>
      <c r="P106" s="375">
        <v>0.05</v>
      </c>
      <c r="Q106" s="375">
        <v>50</v>
      </c>
      <c r="R106" s="375">
        <v>5000</v>
      </c>
      <c r="S106" s="375">
        <v>6250</v>
      </c>
      <c r="T106" s="375">
        <v>0.2</v>
      </c>
      <c r="U106" s="375">
        <v>400</v>
      </c>
      <c r="V106" s="375" t="s">
        <v>597</v>
      </c>
    </row>
    <row r="107" spans="1:22" x14ac:dyDescent="0.25">
      <c r="A107" s="377">
        <v>45853</v>
      </c>
      <c r="B107" s="375">
        <v>12090</v>
      </c>
      <c r="C107" s="375">
        <v>10600</v>
      </c>
      <c r="D107" s="375">
        <v>2</v>
      </c>
      <c r="E107" s="375">
        <v>2</v>
      </c>
      <c r="F107" s="375">
        <v>0.12324234904880071</v>
      </c>
      <c r="G107" s="375">
        <v>450</v>
      </c>
      <c r="H107" s="376">
        <v>4.4444444444444444E-3</v>
      </c>
      <c r="I107" s="375">
        <v>5000</v>
      </c>
      <c r="J107" s="375">
        <v>5500</v>
      </c>
      <c r="K107" s="375">
        <v>2</v>
      </c>
      <c r="L107" s="375">
        <v>400</v>
      </c>
      <c r="M107" s="375">
        <v>50</v>
      </c>
      <c r="N107" s="375">
        <v>5800</v>
      </c>
      <c r="O107" s="375">
        <v>6090</v>
      </c>
      <c r="P107" s="375">
        <v>0.05</v>
      </c>
      <c r="Q107" s="375">
        <v>50</v>
      </c>
      <c r="R107" s="375">
        <v>4800</v>
      </c>
      <c r="S107" s="375">
        <v>6000</v>
      </c>
      <c r="T107" s="375">
        <v>0.2</v>
      </c>
      <c r="U107" s="375">
        <v>400</v>
      </c>
      <c r="V107" s="375" t="s">
        <v>597</v>
      </c>
    </row>
    <row r="108" spans="1:22" x14ac:dyDescent="0.25">
      <c r="A108" s="377">
        <v>45854</v>
      </c>
      <c r="B108" s="375">
        <v>5775</v>
      </c>
      <c r="C108" s="375">
        <v>5500</v>
      </c>
      <c r="D108" s="375">
        <v>1</v>
      </c>
      <c r="E108" s="375">
        <v>1</v>
      </c>
      <c r="F108" s="375">
        <v>4.7619047619047672E-2</v>
      </c>
      <c r="G108" s="375">
        <v>450</v>
      </c>
      <c r="H108" s="376">
        <v>2.2222222222222222E-3</v>
      </c>
      <c r="I108" s="375">
        <v>5000</v>
      </c>
      <c r="J108" s="375">
        <v>5500</v>
      </c>
      <c r="K108" s="375">
        <v>1</v>
      </c>
      <c r="L108" s="375">
        <v>400</v>
      </c>
      <c r="M108" s="375">
        <v>50</v>
      </c>
      <c r="N108" s="375">
        <v>5500</v>
      </c>
      <c r="O108" s="375">
        <v>5775</v>
      </c>
      <c r="P108" s="375">
        <v>0.05</v>
      </c>
      <c r="Q108" s="375">
        <v>50</v>
      </c>
      <c r="R108" s="375">
        <v>0</v>
      </c>
      <c r="S108" s="375">
        <v>0</v>
      </c>
      <c r="T108" s="375">
        <v>0.2</v>
      </c>
      <c r="U108" s="375">
        <v>400</v>
      </c>
      <c r="V108" s="375" t="s">
        <v>597</v>
      </c>
    </row>
    <row r="109" spans="1:22" x14ac:dyDescent="0.25">
      <c r="A109" s="377">
        <v>45855</v>
      </c>
      <c r="B109" s="375">
        <v>5775</v>
      </c>
      <c r="C109" s="375">
        <v>5500</v>
      </c>
      <c r="D109" s="375">
        <v>1</v>
      </c>
      <c r="E109" s="375">
        <v>1</v>
      </c>
      <c r="F109" s="375">
        <v>4.7619047619047672E-2</v>
      </c>
      <c r="G109" s="375">
        <v>430</v>
      </c>
      <c r="H109" s="376">
        <v>2.3255813953488372E-3</v>
      </c>
      <c r="I109" s="375">
        <v>5000</v>
      </c>
      <c r="J109" s="375">
        <v>5500</v>
      </c>
      <c r="K109" s="375">
        <v>1</v>
      </c>
      <c r="L109" s="375">
        <v>400</v>
      </c>
      <c r="M109" s="375">
        <v>30</v>
      </c>
      <c r="N109" s="375">
        <v>5500</v>
      </c>
      <c r="O109" s="375">
        <v>5775</v>
      </c>
      <c r="P109" s="375">
        <v>0.05</v>
      </c>
      <c r="Q109" s="375">
        <v>30</v>
      </c>
      <c r="R109" s="375">
        <v>0</v>
      </c>
      <c r="S109" s="375">
        <v>0</v>
      </c>
      <c r="T109" s="375">
        <v>0.2</v>
      </c>
      <c r="U109" s="375">
        <v>400</v>
      </c>
      <c r="V109" s="375" t="s">
        <v>597</v>
      </c>
    </row>
    <row r="110" spans="1:22" x14ac:dyDescent="0.25">
      <c r="A110" s="377">
        <v>45856</v>
      </c>
      <c r="B110" s="375">
        <v>11394</v>
      </c>
      <c r="C110" s="375">
        <v>9995</v>
      </c>
      <c r="D110" s="375">
        <v>2</v>
      </c>
      <c r="E110" s="375">
        <v>2</v>
      </c>
      <c r="F110" s="375">
        <v>0.12276467361492049</v>
      </c>
      <c r="G110" s="375">
        <v>420</v>
      </c>
      <c r="H110" s="376">
        <v>4.7619047619047623E-3</v>
      </c>
      <c r="I110" s="375">
        <v>5000</v>
      </c>
      <c r="J110" s="375">
        <v>5500</v>
      </c>
      <c r="K110" s="375">
        <v>2</v>
      </c>
      <c r="L110" s="375">
        <v>400</v>
      </c>
      <c r="M110" s="375">
        <v>20</v>
      </c>
      <c r="N110" s="375">
        <v>5500</v>
      </c>
      <c r="O110" s="375">
        <v>5775</v>
      </c>
      <c r="P110" s="375">
        <v>0.05</v>
      </c>
      <c r="Q110" s="375">
        <v>20</v>
      </c>
      <c r="R110" s="375">
        <v>4495</v>
      </c>
      <c r="S110" s="375">
        <v>5618.75</v>
      </c>
      <c r="T110" s="375">
        <v>0.2</v>
      </c>
      <c r="U110" s="375">
        <v>400</v>
      </c>
      <c r="V110" s="375" t="s">
        <v>597</v>
      </c>
    </row>
    <row r="111" spans="1:22" x14ac:dyDescent="0.25">
      <c r="A111" s="377">
        <v>45857</v>
      </c>
      <c r="B111" s="375">
        <v>10775</v>
      </c>
      <c r="C111" s="375">
        <v>10500</v>
      </c>
      <c r="D111" s="375">
        <v>2</v>
      </c>
      <c r="E111" s="375">
        <v>2</v>
      </c>
      <c r="F111" s="375">
        <v>2.5522041763341052E-2</v>
      </c>
      <c r="G111" s="375">
        <v>410</v>
      </c>
      <c r="H111" s="376">
        <v>4.8780487804878049E-3</v>
      </c>
      <c r="I111" s="375">
        <v>5000</v>
      </c>
      <c r="J111" s="375">
        <v>5500</v>
      </c>
      <c r="K111" s="375">
        <v>2</v>
      </c>
      <c r="L111" s="375">
        <v>400</v>
      </c>
      <c r="M111" s="375">
        <v>10</v>
      </c>
      <c r="N111" s="375">
        <v>5500</v>
      </c>
      <c r="O111" s="375">
        <v>5775</v>
      </c>
      <c r="P111" s="375">
        <v>0.05</v>
      </c>
      <c r="Q111" s="375">
        <v>10</v>
      </c>
      <c r="R111" s="375">
        <v>5000</v>
      </c>
      <c r="S111" s="375">
        <v>5000</v>
      </c>
      <c r="T111" s="375">
        <v>0</v>
      </c>
      <c r="U111" s="375">
        <v>400</v>
      </c>
      <c r="V111" s="375" t="s">
        <v>597</v>
      </c>
    </row>
    <row r="112" spans="1:22" x14ac:dyDescent="0.25">
      <c r="A112" s="377">
        <v>45858</v>
      </c>
      <c r="B112" s="375">
        <v>5775</v>
      </c>
      <c r="C112" s="375">
        <v>5500</v>
      </c>
      <c r="D112" s="375">
        <v>1</v>
      </c>
      <c r="E112" s="375">
        <v>1</v>
      </c>
      <c r="F112" s="375">
        <v>4.7619047619047672E-2</v>
      </c>
      <c r="G112" s="375">
        <v>410</v>
      </c>
      <c r="H112" s="376">
        <v>2.4390243902439024E-3</v>
      </c>
      <c r="I112" s="375">
        <v>5000</v>
      </c>
      <c r="J112" s="375">
        <v>5500</v>
      </c>
      <c r="K112" s="375">
        <v>1</v>
      </c>
      <c r="L112" s="375">
        <v>400</v>
      </c>
      <c r="M112" s="375">
        <v>10</v>
      </c>
      <c r="N112" s="375">
        <v>5500</v>
      </c>
      <c r="O112" s="375">
        <v>5775</v>
      </c>
      <c r="P112" s="375">
        <v>0.05</v>
      </c>
      <c r="Q112" s="375">
        <v>10</v>
      </c>
      <c r="R112" s="375">
        <v>0</v>
      </c>
      <c r="S112" s="375">
        <v>0</v>
      </c>
      <c r="T112" s="375">
        <v>0</v>
      </c>
      <c r="U112" s="375">
        <v>400</v>
      </c>
      <c r="V112" s="375" t="s">
        <v>597</v>
      </c>
    </row>
    <row r="113" spans="1:22" x14ac:dyDescent="0.25">
      <c r="A113" s="377">
        <v>45859</v>
      </c>
      <c r="B113" s="375">
        <v>12025</v>
      </c>
      <c r="C113" s="375">
        <v>10500</v>
      </c>
      <c r="D113" s="375">
        <v>2</v>
      </c>
      <c r="E113" s="375">
        <v>2</v>
      </c>
      <c r="F113" s="375">
        <v>0.12681912681912677</v>
      </c>
      <c r="G113" s="375">
        <v>410</v>
      </c>
      <c r="H113" s="376">
        <v>4.8780487804878049E-3</v>
      </c>
      <c r="I113" s="375">
        <v>5000</v>
      </c>
      <c r="J113" s="375">
        <v>5500</v>
      </c>
      <c r="K113" s="375">
        <v>2</v>
      </c>
      <c r="L113" s="375">
        <v>400</v>
      </c>
      <c r="M113" s="375">
        <v>10</v>
      </c>
      <c r="N113" s="375">
        <v>5500</v>
      </c>
      <c r="O113" s="375">
        <v>5775</v>
      </c>
      <c r="P113" s="375">
        <v>0.05</v>
      </c>
      <c r="Q113" s="375">
        <v>10</v>
      </c>
      <c r="R113" s="375">
        <v>5000</v>
      </c>
      <c r="S113" s="375">
        <v>6250</v>
      </c>
      <c r="T113" s="375">
        <v>0.2</v>
      </c>
      <c r="U113" s="375">
        <v>400</v>
      </c>
      <c r="V113" s="375" t="s">
        <v>597</v>
      </c>
    </row>
    <row r="114" spans="1:22" x14ac:dyDescent="0.25">
      <c r="A114" s="377">
        <v>45860</v>
      </c>
      <c r="B114" s="375">
        <v>5775</v>
      </c>
      <c r="C114" s="375">
        <v>5500</v>
      </c>
      <c r="D114" s="375">
        <v>1</v>
      </c>
      <c r="E114" s="375">
        <v>1</v>
      </c>
      <c r="F114" s="375">
        <v>4.7619047619047672E-2</v>
      </c>
      <c r="G114" s="375">
        <v>410</v>
      </c>
      <c r="H114" s="376">
        <v>2.4390243902439024E-3</v>
      </c>
      <c r="I114" s="375">
        <v>5000</v>
      </c>
      <c r="J114" s="375">
        <v>5500</v>
      </c>
      <c r="K114" s="375">
        <v>1</v>
      </c>
      <c r="L114" s="375">
        <v>400</v>
      </c>
      <c r="M114" s="375">
        <v>10</v>
      </c>
      <c r="N114" s="375">
        <v>5500</v>
      </c>
      <c r="O114" s="375">
        <v>5775</v>
      </c>
      <c r="P114" s="375">
        <v>0.05</v>
      </c>
      <c r="Q114" s="375">
        <v>10</v>
      </c>
      <c r="R114" s="375">
        <v>0</v>
      </c>
      <c r="S114" s="375">
        <v>0</v>
      </c>
      <c r="T114" s="375">
        <v>0.2</v>
      </c>
      <c r="U114" s="375">
        <v>400</v>
      </c>
      <c r="V114" s="375" t="s">
        <v>597</v>
      </c>
    </row>
    <row r="115" spans="1:22" x14ac:dyDescent="0.25">
      <c r="A115" s="377">
        <v>45861</v>
      </c>
      <c r="B115" s="375">
        <v>12025</v>
      </c>
      <c r="C115" s="375">
        <v>10500</v>
      </c>
      <c r="D115" s="375">
        <v>2</v>
      </c>
      <c r="E115" s="375">
        <v>2</v>
      </c>
      <c r="F115" s="375">
        <v>0.12681912681912677</v>
      </c>
      <c r="G115" s="375">
        <v>410</v>
      </c>
      <c r="H115" s="376">
        <v>4.8780487804878049E-3</v>
      </c>
      <c r="I115" s="375">
        <v>5000</v>
      </c>
      <c r="J115" s="375">
        <v>5500</v>
      </c>
      <c r="K115" s="375">
        <v>2</v>
      </c>
      <c r="L115" s="375">
        <v>400</v>
      </c>
      <c r="M115" s="375">
        <v>10</v>
      </c>
      <c r="N115" s="375">
        <v>5500</v>
      </c>
      <c r="O115" s="375">
        <v>5775</v>
      </c>
      <c r="P115" s="375">
        <v>0.05</v>
      </c>
      <c r="Q115" s="375">
        <v>10</v>
      </c>
      <c r="R115" s="375">
        <v>5000</v>
      </c>
      <c r="S115" s="375">
        <v>6250</v>
      </c>
      <c r="T115" s="375">
        <v>0.2</v>
      </c>
      <c r="U115" s="375">
        <v>400</v>
      </c>
      <c r="V115" s="375" t="s">
        <v>597</v>
      </c>
    </row>
    <row r="116" spans="1:22" x14ac:dyDescent="0.25">
      <c r="A116" s="377">
        <v>45862</v>
      </c>
      <c r="B116" s="375">
        <v>5775</v>
      </c>
      <c r="C116" s="375">
        <v>5500</v>
      </c>
      <c r="D116" s="375">
        <v>1</v>
      </c>
      <c r="E116" s="375">
        <v>1</v>
      </c>
      <c r="F116" s="375">
        <v>4.7619047619047672E-2</v>
      </c>
      <c r="G116" s="375">
        <v>410</v>
      </c>
      <c r="H116" s="376">
        <v>2.4390243902439024E-3</v>
      </c>
      <c r="I116" s="375">
        <v>5000</v>
      </c>
      <c r="J116" s="375">
        <v>5500</v>
      </c>
      <c r="K116" s="375">
        <v>1</v>
      </c>
      <c r="L116" s="375">
        <v>400</v>
      </c>
      <c r="M116" s="375">
        <v>10</v>
      </c>
      <c r="N116" s="375">
        <v>5500</v>
      </c>
      <c r="O116" s="375">
        <v>5775</v>
      </c>
      <c r="P116" s="375">
        <v>0.05</v>
      </c>
      <c r="Q116" s="375">
        <v>10</v>
      </c>
      <c r="R116" s="375">
        <v>0</v>
      </c>
      <c r="S116" s="375">
        <v>0</v>
      </c>
      <c r="T116" s="375">
        <v>0.2</v>
      </c>
      <c r="U116" s="375">
        <v>400</v>
      </c>
      <c r="V116" s="375" t="s">
        <v>597</v>
      </c>
    </row>
    <row r="117" spans="1:22" x14ac:dyDescent="0.25">
      <c r="A117" s="377">
        <v>45863</v>
      </c>
      <c r="B117" s="375">
        <v>12025</v>
      </c>
      <c r="C117" s="375">
        <v>10500</v>
      </c>
      <c r="D117" s="375">
        <v>2</v>
      </c>
      <c r="E117" s="375">
        <v>2</v>
      </c>
      <c r="F117" s="375">
        <v>0.12681912681912677</v>
      </c>
      <c r="G117" s="375">
        <v>410</v>
      </c>
      <c r="H117" s="376">
        <v>4.8780487804878049E-3</v>
      </c>
      <c r="I117" s="375">
        <v>5000</v>
      </c>
      <c r="J117" s="375">
        <v>5500</v>
      </c>
      <c r="K117" s="375">
        <v>2</v>
      </c>
      <c r="L117" s="375">
        <v>400</v>
      </c>
      <c r="M117" s="375">
        <v>10</v>
      </c>
      <c r="N117" s="375">
        <v>5500</v>
      </c>
      <c r="O117" s="375">
        <v>5775</v>
      </c>
      <c r="P117" s="375">
        <v>0.05</v>
      </c>
      <c r="Q117" s="375">
        <v>10</v>
      </c>
      <c r="R117" s="375">
        <v>5000</v>
      </c>
      <c r="S117" s="375">
        <v>6250</v>
      </c>
      <c r="T117" s="375">
        <v>0.2</v>
      </c>
      <c r="U117" s="375">
        <v>400</v>
      </c>
      <c r="V117" s="375" t="s">
        <v>597</v>
      </c>
    </row>
    <row r="118" spans="1:22" x14ac:dyDescent="0.25">
      <c r="A118" s="377">
        <v>45864</v>
      </c>
      <c r="B118" s="375">
        <v>5775</v>
      </c>
      <c r="C118" s="375">
        <v>5500</v>
      </c>
      <c r="D118" s="375">
        <v>1</v>
      </c>
      <c r="E118" s="375">
        <v>1</v>
      </c>
      <c r="F118" s="375">
        <v>4.7619047619047672E-2</v>
      </c>
      <c r="G118" s="375">
        <v>410</v>
      </c>
      <c r="H118" s="376">
        <v>2.4390243902439024E-3</v>
      </c>
      <c r="I118" s="375">
        <v>5000</v>
      </c>
      <c r="J118" s="375">
        <v>5500</v>
      </c>
      <c r="K118" s="375">
        <v>1</v>
      </c>
      <c r="L118" s="375">
        <v>400</v>
      </c>
      <c r="M118" s="375">
        <v>10</v>
      </c>
      <c r="N118" s="375">
        <v>5500</v>
      </c>
      <c r="O118" s="375">
        <v>5775</v>
      </c>
      <c r="P118" s="375">
        <v>0.05</v>
      </c>
      <c r="Q118" s="375">
        <v>10</v>
      </c>
      <c r="R118" s="375">
        <v>0</v>
      </c>
      <c r="S118" s="375">
        <v>0</v>
      </c>
      <c r="T118" s="375">
        <v>0</v>
      </c>
      <c r="U118" s="375">
        <v>400</v>
      </c>
      <c r="V118" s="375" t="s">
        <v>597</v>
      </c>
    </row>
    <row r="119" spans="1:22" x14ac:dyDescent="0.25">
      <c r="A119" s="377">
        <v>45865</v>
      </c>
      <c r="B119" s="375">
        <v>5775</v>
      </c>
      <c r="C119" s="375">
        <v>5500</v>
      </c>
      <c r="D119" s="375">
        <v>1</v>
      </c>
      <c r="E119" s="375">
        <v>1</v>
      </c>
      <c r="F119" s="375">
        <v>4.7619047619047672E-2</v>
      </c>
      <c r="G119" s="375">
        <v>410</v>
      </c>
      <c r="H119" s="376">
        <v>2.4390243902439024E-3</v>
      </c>
      <c r="I119" s="375">
        <v>5000</v>
      </c>
      <c r="J119" s="375">
        <v>5500</v>
      </c>
      <c r="K119" s="375">
        <v>1</v>
      </c>
      <c r="L119" s="375">
        <v>400</v>
      </c>
      <c r="M119" s="375">
        <v>10</v>
      </c>
      <c r="N119" s="375">
        <v>5500</v>
      </c>
      <c r="O119" s="375">
        <v>5775</v>
      </c>
      <c r="P119" s="375">
        <v>0.05</v>
      </c>
      <c r="Q119" s="375">
        <v>10</v>
      </c>
      <c r="R119" s="375">
        <v>0</v>
      </c>
      <c r="S119" s="375">
        <v>0</v>
      </c>
      <c r="T119" s="375">
        <v>0</v>
      </c>
      <c r="U119" s="375">
        <v>400</v>
      </c>
      <c r="V119" s="375" t="s">
        <v>597</v>
      </c>
    </row>
    <row r="120" spans="1:22" x14ac:dyDescent="0.25">
      <c r="A120" s="377">
        <v>45866</v>
      </c>
      <c r="B120" s="375">
        <v>12025</v>
      </c>
      <c r="C120" s="375">
        <v>10500</v>
      </c>
      <c r="D120" s="375">
        <v>2</v>
      </c>
      <c r="E120" s="375">
        <v>2</v>
      </c>
      <c r="F120" s="375">
        <v>0.12681912681912677</v>
      </c>
      <c r="G120" s="375">
        <v>410</v>
      </c>
      <c r="H120" s="376">
        <v>4.8780487804878049E-3</v>
      </c>
      <c r="I120" s="375">
        <v>5000</v>
      </c>
      <c r="J120" s="375">
        <v>5500</v>
      </c>
      <c r="K120" s="375">
        <v>2</v>
      </c>
      <c r="L120" s="375">
        <v>400</v>
      </c>
      <c r="M120" s="375">
        <v>10</v>
      </c>
      <c r="N120" s="375">
        <v>5500</v>
      </c>
      <c r="O120" s="375">
        <v>5775</v>
      </c>
      <c r="P120" s="375">
        <v>0.05</v>
      </c>
      <c r="Q120" s="375">
        <v>10</v>
      </c>
      <c r="R120" s="375">
        <v>5000</v>
      </c>
      <c r="S120" s="375">
        <v>6250</v>
      </c>
      <c r="T120" s="375">
        <v>0.2</v>
      </c>
      <c r="U120" s="375">
        <v>400</v>
      </c>
      <c r="V120" s="375" t="s">
        <v>597</v>
      </c>
    </row>
    <row r="121" spans="1:22" x14ac:dyDescent="0.25">
      <c r="A121" s="377">
        <v>45867</v>
      </c>
      <c r="B121" s="375">
        <v>5775</v>
      </c>
      <c r="C121" s="375">
        <v>5500</v>
      </c>
      <c r="D121" s="375">
        <v>1</v>
      </c>
      <c r="E121" s="375">
        <v>1</v>
      </c>
      <c r="F121" s="375">
        <v>4.7619047619047672E-2</v>
      </c>
      <c r="G121" s="375">
        <v>410</v>
      </c>
      <c r="H121" s="376">
        <v>2.4390243902439024E-3</v>
      </c>
      <c r="I121" s="375">
        <v>5000</v>
      </c>
      <c r="J121" s="375">
        <v>5500</v>
      </c>
      <c r="K121" s="375">
        <v>1</v>
      </c>
      <c r="L121" s="375">
        <v>400</v>
      </c>
      <c r="M121" s="375">
        <v>10</v>
      </c>
      <c r="N121" s="375">
        <v>5500</v>
      </c>
      <c r="O121" s="375">
        <v>5775</v>
      </c>
      <c r="P121" s="375">
        <v>0.05</v>
      </c>
      <c r="Q121" s="375">
        <v>10</v>
      </c>
      <c r="R121" s="375">
        <v>0</v>
      </c>
      <c r="S121" s="375">
        <v>0</v>
      </c>
      <c r="T121" s="375">
        <v>0.2</v>
      </c>
      <c r="U121" s="375">
        <v>400</v>
      </c>
      <c r="V121" s="375" t="s">
        <v>597</v>
      </c>
    </row>
    <row r="122" spans="1:22" x14ac:dyDescent="0.25">
      <c r="A122" s="377">
        <v>45868</v>
      </c>
      <c r="B122" s="375">
        <v>12025</v>
      </c>
      <c r="C122" s="375">
        <v>10500</v>
      </c>
      <c r="D122" s="375">
        <v>2</v>
      </c>
      <c r="E122" s="375">
        <v>2</v>
      </c>
      <c r="F122" s="375">
        <v>0.12681912681912677</v>
      </c>
      <c r="G122" s="375">
        <v>410</v>
      </c>
      <c r="H122" s="376">
        <v>4.8780487804878049E-3</v>
      </c>
      <c r="I122" s="375">
        <v>5000</v>
      </c>
      <c r="J122" s="375">
        <v>5500</v>
      </c>
      <c r="K122" s="375">
        <v>2</v>
      </c>
      <c r="L122" s="375">
        <v>400</v>
      </c>
      <c r="M122" s="375">
        <v>10</v>
      </c>
      <c r="N122" s="375">
        <v>5500</v>
      </c>
      <c r="O122" s="375">
        <v>5775</v>
      </c>
      <c r="P122" s="375">
        <v>0.05</v>
      </c>
      <c r="Q122" s="375">
        <v>10</v>
      </c>
      <c r="R122" s="375">
        <v>5000</v>
      </c>
      <c r="S122" s="375">
        <v>6250</v>
      </c>
      <c r="T122" s="375">
        <v>0.2</v>
      </c>
      <c r="U122" s="375">
        <v>400</v>
      </c>
      <c r="V122" s="375" t="s">
        <v>597</v>
      </c>
    </row>
    <row r="123" spans="1:22" x14ac:dyDescent="0.25">
      <c r="A123" s="377">
        <v>45869</v>
      </c>
      <c r="B123" s="375">
        <v>9519</v>
      </c>
      <c r="C123" s="375">
        <v>8495</v>
      </c>
      <c r="D123" s="375">
        <v>2</v>
      </c>
      <c r="E123" s="375">
        <v>2</v>
      </c>
      <c r="F123" s="375">
        <v>0.10755088640840449</v>
      </c>
      <c r="G123" s="375">
        <v>410</v>
      </c>
      <c r="H123" s="376">
        <v>4.8780487804878049E-3</v>
      </c>
      <c r="I123" s="375">
        <v>5000</v>
      </c>
      <c r="J123" s="375">
        <v>5500</v>
      </c>
      <c r="K123" s="375">
        <v>2</v>
      </c>
      <c r="L123" s="375">
        <v>400</v>
      </c>
      <c r="M123" s="375">
        <v>10</v>
      </c>
      <c r="N123" s="375">
        <v>5500</v>
      </c>
      <c r="O123" s="375">
        <v>5775</v>
      </c>
      <c r="P123" s="375">
        <v>0.05</v>
      </c>
      <c r="Q123" s="375">
        <v>10</v>
      </c>
      <c r="R123" s="375">
        <v>2995</v>
      </c>
      <c r="S123" s="375">
        <v>3743.75</v>
      </c>
      <c r="T123" s="375">
        <v>0.2</v>
      </c>
      <c r="U123" s="375">
        <v>400</v>
      </c>
      <c r="V123" s="375" t="s">
        <v>597</v>
      </c>
    </row>
    <row r="124" spans="1:22" x14ac:dyDescent="0.25">
      <c r="A124" s="377">
        <v>45870</v>
      </c>
      <c r="B124" s="375">
        <v>5775</v>
      </c>
      <c r="C124" s="375">
        <v>5500</v>
      </c>
      <c r="D124" s="375">
        <v>1</v>
      </c>
      <c r="E124" s="375">
        <v>1</v>
      </c>
      <c r="F124" s="375">
        <v>4.7619047619047672E-2</v>
      </c>
      <c r="G124" s="375">
        <v>420</v>
      </c>
      <c r="H124" s="376">
        <v>2.3809523809523812E-3</v>
      </c>
      <c r="I124" s="375">
        <v>5000</v>
      </c>
      <c r="J124" s="375">
        <v>5500</v>
      </c>
      <c r="K124" s="375">
        <v>1</v>
      </c>
      <c r="L124" s="375">
        <v>400</v>
      </c>
      <c r="M124" s="375">
        <v>20</v>
      </c>
      <c r="N124" s="375">
        <v>5500</v>
      </c>
      <c r="O124" s="375">
        <v>5775</v>
      </c>
      <c r="P124" s="375">
        <v>0.05</v>
      </c>
      <c r="Q124" s="375">
        <v>20</v>
      </c>
      <c r="R124" s="375">
        <v>0</v>
      </c>
      <c r="S124" s="375">
        <v>0</v>
      </c>
      <c r="T124" s="375">
        <v>0.2</v>
      </c>
      <c r="U124" s="375">
        <v>400</v>
      </c>
      <c r="V124" s="375" t="s">
        <v>597</v>
      </c>
    </row>
    <row r="125" spans="1:22" x14ac:dyDescent="0.25">
      <c r="A125" s="377">
        <v>45871</v>
      </c>
      <c r="B125" s="375">
        <v>5775</v>
      </c>
      <c r="C125" s="375">
        <v>5500</v>
      </c>
      <c r="D125" s="375">
        <v>1</v>
      </c>
      <c r="E125" s="375">
        <v>1</v>
      </c>
      <c r="F125" s="375">
        <v>4.7619047619047672E-2</v>
      </c>
      <c r="G125" s="375">
        <v>420</v>
      </c>
      <c r="H125" s="376">
        <v>2.3809523809523812E-3</v>
      </c>
      <c r="I125" s="375">
        <v>5000</v>
      </c>
      <c r="J125" s="375">
        <v>5500</v>
      </c>
      <c r="K125" s="375">
        <v>1</v>
      </c>
      <c r="L125" s="375">
        <v>400</v>
      </c>
      <c r="M125" s="375">
        <v>20</v>
      </c>
      <c r="N125" s="375">
        <v>5500</v>
      </c>
      <c r="O125" s="375">
        <v>5775</v>
      </c>
      <c r="P125" s="375">
        <v>0</v>
      </c>
      <c r="Q125" s="375">
        <v>20</v>
      </c>
      <c r="R125" s="375">
        <v>0</v>
      </c>
      <c r="S125" s="375">
        <v>0</v>
      </c>
      <c r="T125" s="375">
        <v>0.2</v>
      </c>
      <c r="U125" s="375">
        <v>400</v>
      </c>
      <c r="V125" s="375" t="s">
        <v>597</v>
      </c>
    </row>
    <row r="126" spans="1:22" x14ac:dyDescent="0.25">
      <c r="A126" s="377">
        <v>45872</v>
      </c>
      <c r="B126" s="375">
        <v>6875</v>
      </c>
      <c r="C126" s="375">
        <v>5500</v>
      </c>
      <c r="D126" s="375">
        <v>1</v>
      </c>
      <c r="E126" s="375">
        <v>1</v>
      </c>
      <c r="F126" s="375">
        <v>0.19999999999999996</v>
      </c>
      <c r="G126" s="375">
        <v>420</v>
      </c>
      <c r="H126" s="376">
        <v>2.3809523809523812E-3</v>
      </c>
      <c r="I126" s="375">
        <v>5000</v>
      </c>
      <c r="J126" s="375">
        <v>5500</v>
      </c>
      <c r="K126" s="375">
        <v>1</v>
      </c>
      <c r="L126" s="375">
        <v>400</v>
      </c>
      <c r="M126" s="375">
        <v>20</v>
      </c>
      <c r="N126" s="375">
        <v>0</v>
      </c>
      <c r="O126" s="375">
        <v>0</v>
      </c>
      <c r="P126" s="375">
        <v>0.05</v>
      </c>
      <c r="Q126" s="375">
        <v>20</v>
      </c>
      <c r="R126" s="375">
        <v>5500</v>
      </c>
      <c r="S126" s="375">
        <v>6875</v>
      </c>
      <c r="T126" s="375">
        <v>0.2</v>
      </c>
      <c r="U126" s="375">
        <v>400</v>
      </c>
      <c r="V126" s="375" t="s">
        <v>597</v>
      </c>
    </row>
    <row r="127" spans="1:22" x14ac:dyDescent="0.25">
      <c r="A127" s="377">
        <v>45873</v>
      </c>
      <c r="B127" s="375">
        <v>6875</v>
      </c>
      <c r="C127" s="375">
        <v>5500</v>
      </c>
      <c r="D127" s="375">
        <v>1</v>
      </c>
      <c r="E127" s="375">
        <v>1</v>
      </c>
      <c r="F127" s="375">
        <v>0.19999999999999996</v>
      </c>
      <c r="G127" s="375">
        <v>420</v>
      </c>
      <c r="H127" s="376">
        <v>2.3809523809523812E-3</v>
      </c>
      <c r="I127" s="375">
        <v>5000</v>
      </c>
      <c r="J127" s="375">
        <v>5500</v>
      </c>
      <c r="K127" s="375">
        <v>1</v>
      </c>
      <c r="L127" s="375">
        <v>400</v>
      </c>
      <c r="M127" s="375">
        <v>20</v>
      </c>
      <c r="N127" s="375">
        <v>0</v>
      </c>
      <c r="O127" s="375">
        <v>0</v>
      </c>
      <c r="P127" s="375">
        <v>0.05</v>
      </c>
      <c r="Q127" s="375">
        <v>20</v>
      </c>
      <c r="R127" s="375">
        <v>5500</v>
      </c>
      <c r="S127" s="375">
        <v>6875</v>
      </c>
      <c r="T127" s="375">
        <v>0.2</v>
      </c>
      <c r="U127" s="375">
        <v>400</v>
      </c>
      <c r="V127" s="375" t="s">
        <v>597</v>
      </c>
    </row>
    <row r="128" spans="1:22" x14ac:dyDescent="0.25">
      <c r="A128" s="377">
        <v>45874</v>
      </c>
      <c r="B128" s="375">
        <v>6875</v>
      </c>
      <c r="C128" s="375">
        <v>5500</v>
      </c>
      <c r="D128" s="375">
        <v>1</v>
      </c>
      <c r="E128" s="375">
        <v>1</v>
      </c>
      <c r="F128" s="375">
        <v>0.19999999999999996</v>
      </c>
      <c r="G128" s="375">
        <v>420</v>
      </c>
      <c r="H128" s="376">
        <v>2.3809523809523812E-3</v>
      </c>
      <c r="I128" s="375">
        <v>5000</v>
      </c>
      <c r="J128" s="375">
        <v>5500</v>
      </c>
      <c r="K128" s="375">
        <v>1</v>
      </c>
      <c r="L128" s="375">
        <v>400</v>
      </c>
      <c r="M128" s="375">
        <v>20</v>
      </c>
      <c r="N128" s="375">
        <v>0</v>
      </c>
      <c r="O128" s="375">
        <v>0</v>
      </c>
      <c r="P128" s="375">
        <v>0.05</v>
      </c>
      <c r="Q128" s="375">
        <v>20</v>
      </c>
      <c r="R128" s="375">
        <v>5500</v>
      </c>
      <c r="S128" s="375">
        <v>6875</v>
      </c>
      <c r="T128" s="375">
        <v>0.2</v>
      </c>
      <c r="U128" s="375">
        <v>400</v>
      </c>
      <c r="V128" s="375" t="s">
        <v>597</v>
      </c>
    </row>
    <row r="129" spans="1:22" x14ac:dyDescent="0.25">
      <c r="A129" s="377">
        <v>45875</v>
      </c>
      <c r="B129" s="375">
        <v>5775</v>
      </c>
      <c r="C129" s="375">
        <v>5500</v>
      </c>
      <c r="D129" s="375">
        <v>1</v>
      </c>
      <c r="E129" s="375">
        <v>1</v>
      </c>
      <c r="F129" s="375">
        <v>4.7619047619047672E-2</v>
      </c>
      <c r="G129" s="375">
        <v>420</v>
      </c>
      <c r="H129" s="376">
        <v>2.3809523809523812E-3</v>
      </c>
      <c r="I129" s="375">
        <v>5000</v>
      </c>
      <c r="J129" s="375">
        <v>5500</v>
      </c>
      <c r="K129" s="375">
        <v>1</v>
      </c>
      <c r="L129" s="375">
        <v>400</v>
      </c>
      <c r="M129" s="375">
        <v>20</v>
      </c>
      <c r="N129" s="375">
        <v>5500</v>
      </c>
      <c r="O129" s="375">
        <v>5775</v>
      </c>
      <c r="P129" s="375">
        <v>0.05</v>
      </c>
      <c r="Q129" s="375">
        <v>20</v>
      </c>
      <c r="R129" s="375">
        <v>0</v>
      </c>
      <c r="S129" s="375">
        <v>0</v>
      </c>
      <c r="T129" s="375">
        <v>0.2</v>
      </c>
      <c r="U129" s="375">
        <v>400</v>
      </c>
      <c r="V129" s="375" t="s">
        <v>597</v>
      </c>
    </row>
    <row r="130" spans="1:22" x14ac:dyDescent="0.25">
      <c r="A130" s="377">
        <v>45876</v>
      </c>
      <c r="B130" s="375">
        <v>5775</v>
      </c>
      <c r="C130" s="375">
        <v>5500</v>
      </c>
      <c r="D130" s="375">
        <v>1</v>
      </c>
      <c r="E130" s="375">
        <v>1</v>
      </c>
      <c r="F130" s="375">
        <v>4.7619047619047672E-2</v>
      </c>
      <c r="G130" s="375">
        <v>420</v>
      </c>
      <c r="H130" s="376">
        <v>2.3809523809523812E-3</v>
      </c>
      <c r="I130" s="375">
        <v>5000</v>
      </c>
      <c r="J130" s="375">
        <v>5500</v>
      </c>
      <c r="K130" s="375">
        <v>1</v>
      </c>
      <c r="L130" s="375">
        <v>400</v>
      </c>
      <c r="M130" s="375">
        <v>20</v>
      </c>
      <c r="N130" s="375">
        <v>5500</v>
      </c>
      <c r="O130" s="375">
        <v>5775</v>
      </c>
      <c r="P130" s="375">
        <v>0.05</v>
      </c>
      <c r="Q130" s="375">
        <v>20</v>
      </c>
      <c r="R130" s="375">
        <v>0</v>
      </c>
      <c r="S130" s="375">
        <v>0</v>
      </c>
      <c r="T130" s="375">
        <v>0.2</v>
      </c>
      <c r="U130" s="375">
        <v>400</v>
      </c>
      <c r="V130" s="375" t="s">
        <v>597</v>
      </c>
    </row>
    <row r="131" spans="1:22" x14ac:dyDescent="0.25">
      <c r="A131" s="377">
        <v>45877</v>
      </c>
      <c r="B131" s="375">
        <v>8125</v>
      </c>
      <c r="C131" s="375">
        <v>6500</v>
      </c>
      <c r="D131" s="375">
        <v>1</v>
      </c>
      <c r="E131" s="375">
        <v>2</v>
      </c>
      <c r="F131" s="375">
        <v>0.19999999999999996</v>
      </c>
      <c r="G131" s="375">
        <v>420</v>
      </c>
      <c r="H131" s="376">
        <v>2.3809523809523812E-3</v>
      </c>
      <c r="I131" s="375">
        <v>5000</v>
      </c>
      <c r="J131" s="375">
        <v>5500</v>
      </c>
      <c r="K131" s="375">
        <v>1</v>
      </c>
      <c r="L131" s="375">
        <v>400</v>
      </c>
      <c r="M131" s="375">
        <v>20</v>
      </c>
      <c r="N131" s="375">
        <v>0</v>
      </c>
      <c r="O131" s="375">
        <v>0</v>
      </c>
      <c r="P131" s="375">
        <v>0.05</v>
      </c>
      <c r="Q131" s="375">
        <v>20</v>
      </c>
      <c r="R131" s="375">
        <v>6500</v>
      </c>
      <c r="S131" s="375">
        <v>8125</v>
      </c>
      <c r="T131" s="375">
        <v>0.2</v>
      </c>
      <c r="U131" s="375">
        <v>400</v>
      </c>
      <c r="V131" s="375" t="s">
        <v>597</v>
      </c>
    </row>
    <row r="132" spans="1:22" x14ac:dyDescent="0.25">
      <c r="A132" s="377">
        <v>45878</v>
      </c>
      <c r="B132" s="375">
        <v>8125</v>
      </c>
      <c r="C132" s="375">
        <v>6500</v>
      </c>
      <c r="D132" s="375">
        <v>1</v>
      </c>
      <c r="E132" s="375">
        <v>2</v>
      </c>
      <c r="F132" s="375">
        <v>0.19999999999999996</v>
      </c>
      <c r="G132" s="375">
        <v>420</v>
      </c>
      <c r="H132" s="376">
        <v>2.3809523809523812E-3</v>
      </c>
      <c r="I132" s="375">
        <v>5000</v>
      </c>
      <c r="J132" s="375">
        <v>5500</v>
      </c>
      <c r="K132" s="375">
        <v>1</v>
      </c>
      <c r="L132" s="375">
        <v>400</v>
      </c>
      <c r="M132" s="375">
        <v>20</v>
      </c>
      <c r="N132" s="375">
        <v>0</v>
      </c>
      <c r="O132" s="375">
        <v>0</v>
      </c>
      <c r="P132" s="375">
        <v>0.05</v>
      </c>
      <c r="Q132" s="375">
        <v>20</v>
      </c>
      <c r="R132" s="375">
        <v>6500</v>
      </c>
      <c r="S132" s="375">
        <v>8125</v>
      </c>
      <c r="T132" s="375">
        <v>0.2</v>
      </c>
      <c r="U132" s="375">
        <v>400</v>
      </c>
      <c r="V132" s="375" t="s">
        <v>597</v>
      </c>
    </row>
    <row r="133" spans="1:22" x14ac:dyDescent="0.25">
      <c r="A133" s="377">
        <v>45879</v>
      </c>
      <c r="B133" s="375">
        <v>5775</v>
      </c>
      <c r="C133" s="375">
        <v>5500</v>
      </c>
      <c r="D133" s="375">
        <v>1</v>
      </c>
      <c r="E133" s="375">
        <v>1</v>
      </c>
      <c r="F133" s="375">
        <v>4.7619047619047672E-2</v>
      </c>
      <c r="G133" s="375">
        <v>420</v>
      </c>
      <c r="H133" s="376">
        <v>2.3809523809523812E-3</v>
      </c>
      <c r="I133" s="375">
        <v>5000</v>
      </c>
      <c r="J133" s="375">
        <v>5500</v>
      </c>
      <c r="K133" s="375">
        <v>1</v>
      </c>
      <c r="L133" s="375">
        <v>400</v>
      </c>
      <c r="M133" s="375">
        <v>20</v>
      </c>
      <c r="N133" s="375">
        <v>5500</v>
      </c>
      <c r="O133" s="375">
        <v>5775</v>
      </c>
      <c r="P133" s="375">
        <v>0</v>
      </c>
      <c r="Q133" s="375">
        <v>20</v>
      </c>
      <c r="R133" s="375">
        <v>0</v>
      </c>
      <c r="S133" s="375">
        <v>0</v>
      </c>
      <c r="T133" s="375">
        <v>0.2</v>
      </c>
      <c r="U133" s="375">
        <v>400</v>
      </c>
      <c r="V133" s="375" t="s">
        <v>597</v>
      </c>
    </row>
    <row r="134" spans="1:22" x14ac:dyDescent="0.25">
      <c r="A134" s="377">
        <v>45880</v>
      </c>
      <c r="B134" s="375">
        <v>5775</v>
      </c>
      <c r="C134" s="375">
        <v>5500</v>
      </c>
      <c r="D134" s="375">
        <v>1</v>
      </c>
      <c r="E134" s="375">
        <v>1</v>
      </c>
      <c r="F134" s="375">
        <v>4.7619047619047672E-2</v>
      </c>
      <c r="G134" s="375">
        <v>420</v>
      </c>
      <c r="H134" s="376">
        <v>2.3809523809523812E-3</v>
      </c>
      <c r="I134" s="375">
        <v>5000</v>
      </c>
      <c r="J134" s="375">
        <v>5500</v>
      </c>
      <c r="K134" s="375">
        <v>1</v>
      </c>
      <c r="L134" s="375">
        <v>400</v>
      </c>
      <c r="M134" s="375">
        <v>20</v>
      </c>
      <c r="N134" s="375">
        <v>5500</v>
      </c>
      <c r="O134" s="375">
        <v>5775</v>
      </c>
      <c r="P134" s="375">
        <v>0</v>
      </c>
      <c r="Q134" s="375">
        <v>20</v>
      </c>
      <c r="R134" s="375">
        <v>0</v>
      </c>
      <c r="S134" s="375">
        <v>0</v>
      </c>
      <c r="T134" s="375">
        <v>0.2</v>
      </c>
      <c r="U134" s="375">
        <v>400</v>
      </c>
      <c r="V134" s="375" t="s">
        <v>597</v>
      </c>
    </row>
    <row r="135" spans="1:22" x14ac:dyDescent="0.25">
      <c r="A135" s="377">
        <v>45881</v>
      </c>
      <c r="B135" s="375">
        <v>5500</v>
      </c>
      <c r="C135" s="375">
        <v>5500</v>
      </c>
      <c r="D135" s="375">
        <v>1</v>
      </c>
      <c r="E135" s="375">
        <v>1</v>
      </c>
      <c r="F135" s="375">
        <v>0</v>
      </c>
      <c r="G135" s="375">
        <v>420</v>
      </c>
      <c r="H135" s="376">
        <v>2.3809523809523812E-3</v>
      </c>
      <c r="I135" s="375">
        <v>5000</v>
      </c>
      <c r="J135" s="375">
        <v>5500</v>
      </c>
      <c r="K135" s="375">
        <v>1</v>
      </c>
      <c r="L135" s="375">
        <v>400</v>
      </c>
      <c r="M135" s="375">
        <v>20</v>
      </c>
      <c r="N135" s="375">
        <v>0</v>
      </c>
      <c r="O135" s="375">
        <v>0</v>
      </c>
      <c r="P135" s="375">
        <v>0</v>
      </c>
      <c r="Q135" s="375">
        <v>20</v>
      </c>
      <c r="R135" s="375">
        <v>5500</v>
      </c>
      <c r="S135" s="375">
        <v>5500</v>
      </c>
      <c r="T135" s="375">
        <v>0</v>
      </c>
      <c r="U135" s="375">
        <v>400</v>
      </c>
      <c r="V135" s="375" t="s">
        <v>597</v>
      </c>
    </row>
    <row r="136" spans="1:22" x14ac:dyDescent="0.25">
      <c r="A136" s="377">
        <v>45882</v>
      </c>
      <c r="B136" s="375">
        <v>5500</v>
      </c>
      <c r="C136" s="375">
        <v>5500</v>
      </c>
      <c r="D136" s="375">
        <v>1</v>
      </c>
      <c r="E136" s="375">
        <v>1</v>
      </c>
      <c r="F136" s="375">
        <v>0</v>
      </c>
      <c r="G136" s="375">
        <v>420</v>
      </c>
      <c r="H136" s="376">
        <v>2.3809523809523812E-3</v>
      </c>
      <c r="I136" s="375">
        <v>5000</v>
      </c>
      <c r="J136" s="375">
        <v>5500</v>
      </c>
      <c r="K136" s="375">
        <v>1</v>
      </c>
      <c r="L136" s="375">
        <v>400</v>
      </c>
      <c r="M136" s="375">
        <v>20</v>
      </c>
      <c r="N136" s="375">
        <v>0</v>
      </c>
      <c r="O136" s="375">
        <v>0</v>
      </c>
      <c r="P136" s="375">
        <v>0</v>
      </c>
      <c r="Q136" s="375">
        <v>20</v>
      </c>
      <c r="R136" s="375">
        <v>5500</v>
      </c>
      <c r="S136" s="375">
        <v>5500</v>
      </c>
      <c r="T136" s="375">
        <v>0</v>
      </c>
      <c r="U136" s="375">
        <v>400</v>
      </c>
      <c r="V136" s="375" t="s">
        <v>597</v>
      </c>
    </row>
    <row r="137" spans="1:22" x14ac:dyDescent="0.25">
      <c r="A137" s="377">
        <v>45883</v>
      </c>
      <c r="B137" s="375">
        <v>6875</v>
      </c>
      <c r="C137" s="375">
        <v>5500</v>
      </c>
      <c r="D137" s="375">
        <v>1</v>
      </c>
      <c r="E137" s="375">
        <v>1</v>
      </c>
      <c r="F137" s="375">
        <v>0.19999999999999996</v>
      </c>
      <c r="G137" s="375">
        <v>420</v>
      </c>
      <c r="H137" s="376">
        <v>2.3809523809523812E-3</v>
      </c>
      <c r="I137" s="375">
        <v>5000</v>
      </c>
      <c r="J137" s="375">
        <v>5500</v>
      </c>
      <c r="K137" s="375">
        <v>1</v>
      </c>
      <c r="L137" s="375">
        <v>400</v>
      </c>
      <c r="M137" s="375">
        <v>20</v>
      </c>
      <c r="N137" s="375">
        <v>0</v>
      </c>
      <c r="O137" s="375">
        <v>0</v>
      </c>
      <c r="P137" s="375">
        <v>0.05</v>
      </c>
      <c r="Q137" s="375">
        <v>20</v>
      </c>
      <c r="R137" s="375">
        <v>5500</v>
      </c>
      <c r="S137" s="375">
        <v>6875</v>
      </c>
      <c r="T137" s="375">
        <v>0.2</v>
      </c>
      <c r="U137" s="375">
        <v>400</v>
      </c>
      <c r="V137" s="375" t="s">
        <v>597</v>
      </c>
    </row>
    <row r="138" spans="1:22" x14ac:dyDescent="0.25">
      <c r="A138" s="377">
        <v>45884</v>
      </c>
      <c r="B138" s="375">
        <v>5775</v>
      </c>
      <c r="C138" s="375">
        <v>5500</v>
      </c>
      <c r="D138" s="375">
        <v>1</v>
      </c>
      <c r="E138" s="375">
        <v>1</v>
      </c>
      <c r="F138" s="375">
        <v>4.7619047619047672E-2</v>
      </c>
      <c r="G138" s="375">
        <v>420</v>
      </c>
      <c r="H138" s="376">
        <v>2.3809523809523812E-3</v>
      </c>
      <c r="I138" s="375">
        <v>5000</v>
      </c>
      <c r="J138" s="375">
        <v>5500</v>
      </c>
      <c r="K138" s="375">
        <v>1</v>
      </c>
      <c r="L138" s="375">
        <v>400</v>
      </c>
      <c r="M138" s="375">
        <v>20</v>
      </c>
      <c r="N138" s="375">
        <v>5500</v>
      </c>
      <c r="O138" s="375">
        <v>5775</v>
      </c>
      <c r="P138" s="375">
        <v>0.05</v>
      </c>
      <c r="Q138" s="375">
        <v>20</v>
      </c>
      <c r="R138" s="375">
        <v>0</v>
      </c>
      <c r="S138" s="375">
        <v>0</v>
      </c>
      <c r="T138" s="375">
        <v>0.2</v>
      </c>
      <c r="U138" s="375">
        <v>400</v>
      </c>
      <c r="V138" s="375" t="s">
        <v>597</v>
      </c>
    </row>
    <row r="139" spans="1:22" x14ac:dyDescent="0.25">
      <c r="A139" s="377">
        <v>45885</v>
      </c>
      <c r="B139" s="375">
        <v>5775</v>
      </c>
      <c r="C139" s="375">
        <v>5500</v>
      </c>
      <c r="D139" s="375">
        <v>1</v>
      </c>
      <c r="E139" s="375">
        <v>1</v>
      </c>
      <c r="F139" s="375">
        <v>4.7619047619047672E-2</v>
      </c>
      <c r="G139" s="375">
        <v>420</v>
      </c>
      <c r="H139" s="376">
        <v>2.3809523809523812E-3</v>
      </c>
      <c r="I139" s="375">
        <v>5000</v>
      </c>
      <c r="J139" s="375">
        <v>5500</v>
      </c>
      <c r="K139" s="375">
        <v>1</v>
      </c>
      <c r="L139" s="375">
        <v>400</v>
      </c>
      <c r="M139" s="375">
        <v>20</v>
      </c>
      <c r="N139" s="375">
        <v>5500</v>
      </c>
      <c r="O139" s="375">
        <v>5775</v>
      </c>
      <c r="P139" s="375">
        <v>0.05</v>
      </c>
      <c r="Q139" s="375">
        <v>20</v>
      </c>
      <c r="R139" s="375">
        <v>0</v>
      </c>
      <c r="S139" s="375">
        <v>0</v>
      </c>
      <c r="T139" s="375">
        <v>0.2</v>
      </c>
      <c r="U139" s="375">
        <v>400</v>
      </c>
      <c r="V139" s="375" t="s">
        <v>597</v>
      </c>
    </row>
    <row r="140" spans="1:22" x14ac:dyDescent="0.25">
      <c r="A140" s="377">
        <v>45886</v>
      </c>
      <c r="B140" s="375">
        <v>8125</v>
      </c>
      <c r="C140" s="375">
        <v>6500</v>
      </c>
      <c r="D140" s="375">
        <v>1</v>
      </c>
      <c r="E140" s="375">
        <v>2</v>
      </c>
      <c r="F140" s="375">
        <v>0.19999999999999996</v>
      </c>
      <c r="G140" s="375">
        <v>420</v>
      </c>
      <c r="H140" s="376">
        <v>2.3809523809523812E-3</v>
      </c>
      <c r="I140" s="375">
        <v>5000</v>
      </c>
      <c r="J140" s="375">
        <v>5500</v>
      </c>
      <c r="K140" s="375">
        <v>1</v>
      </c>
      <c r="L140" s="375">
        <v>400</v>
      </c>
      <c r="M140" s="375">
        <v>20</v>
      </c>
      <c r="N140" s="375">
        <v>0</v>
      </c>
      <c r="O140" s="375">
        <v>0</v>
      </c>
      <c r="P140" s="375">
        <v>0.05</v>
      </c>
      <c r="Q140" s="375">
        <v>20</v>
      </c>
      <c r="R140" s="375">
        <v>6500</v>
      </c>
      <c r="S140" s="375">
        <v>8125</v>
      </c>
      <c r="T140" s="375">
        <v>0.2</v>
      </c>
      <c r="U140" s="375">
        <v>400</v>
      </c>
      <c r="V140" s="375" t="s">
        <v>597</v>
      </c>
    </row>
    <row r="141" spans="1:22" x14ac:dyDescent="0.25">
      <c r="A141" s="377">
        <v>45887</v>
      </c>
      <c r="B141" s="375">
        <v>0</v>
      </c>
      <c r="C141" s="375">
        <v>0</v>
      </c>
      <c r="D141" s="375">
        <v>0</v>
      </c>
      <c r="E141" s="375">
        <v>0</v>
      </c>
      <c r="F141" s="375">
        <v>0</v>
      </c>
      <c r="G141" s="375">
        <v>420</v>
      </c>
      <c r="H141" s="376">
        <v>0</v>
      </c>
      <c r="I141" s="375">
        <v>0</v>
      </c>
      <c r="J141" s="375">
        <v>0</v>
      </c>
      <c r="K141" s="375">
        <v>0</v>
      </c>
      <c r="L141" s="375">
        <v>400</v>
      </c>
      <c r="M141" s="375">
        <v>20</v>
      </c>
      <c r="N141" s="375">
        <v>0</v>
      </c>
      <c r="O141" s="375">
        <v>0</v>
      </c>
      <c r="P141" s="375">
        <v>0.05</v>
      </c>
      <c r="Q141" s="375">
        <v>20</v>
      </c>
      <c r="R141" s="375">
        <v>0</v>
      </c>
      <c r="S141" s="375">
        <v>0</v>
      </c>
      <c r="T141" s="375">
        <v>0.2</v>
      </c>
      <c r="U141" s="375">
        <v>400</v>
      </c>
      <c r="V141" s="375" t="s">
        <v>597</v>
      </c>
    </row>
    <row r="142" spans="1:22" x14ac:dyDescent="0.25">
      <c r="A142" s="377">
        <v>45888</v>
      </c>
      <c r="B142" s="375">
        <v>5775</v>
      </c>
      <c r="C142" s="375">
        <v>5500</v>
      </c>
      <c r="D142" s="375">
        <v>1</v>
      </c>
      <c r="E142" s="375">
        <v>1</v>
      </c>
      <c r="F142" s="375">
        <v>4.7619047619047672E-2</v>
      </c>
      <c r="G142" s="375">
        <v>420</v>
      </c>
      <c r="H142" s="376">
        <v>2.3809523809523812E-3</v>
      </c>
      <c r="I142" s="375">
        <v>5000</v>
      </c>
      <c r="J142" s="375">
        <v>5500</v>
      </c>
      <c r="K142" s="375">
        <v>1</v>
      </c>
      <c r="L142" s="375">
        <v>400</v>
      </c>
      <c r="M142" s="375">
        <v>20</v>
      </c>
      <c r="N142" s="375">
        <v>5500</v>
      </c>
      <c r="O142" s="375">
        <v>5775</v>
      </c>
      <c r="P142" s="375">
        <v>0</v>
      </c>
      <c r="Q142" s="375">
        <v>20</v>
      </c>
      <c r="R142" s="375">
        <v>0</v>
      </c>
      <c r="S142" s="375">
        <v>0</v>
      </c>
      <c r="T142" s="375">
        <v>0</v>
      </c>
      <c r="U142" s="375">
        <v>400</v>
      </c>
      <c r="V142" s="375" t="s">
        <v>597</v>
      </c>
    </row>
    <row r="143" spans="1:22" x14ac:dyDescent="0.25">
      <c r="A143" s="377">
        <v>45889</v>
      </c>
      <c r="B143" s="375">
        <v>0</v>
      </c>
      <c r="C143" s="375">
        <v>0</v>
      </c>
      <c r="D143" s="375">
        <v>0</v>
      </c>
      <c r="E143" s="375">
        <v>0</v>
      </c>
      <c r="F143" s="375">
        <v>0</v>
      </c>
      <c r="G143" s="375">
        <v>420</v>
      </c>
      <c r="H143" s="376">
        <v>0</v>
      </c>
      <c r="I143" s="375">
        <v>0</v>
      </c>
      <c r="J143" s="375">
        <v>0</v>
      </c>
      <c r="K143" s="375">
        <v>0</v>
      </c>
      <c r="L143" s="375">
        <v>400</v>
      </c>
      <c r="M143" s="375">
        <v>20</v>
      </c>
      <c r="N143" s="375">
        <v>0</v>
      </c>
      <c r="O143" s="375">
        <v>0</v>
      </c>
      <c r="P143" s="375">
        <v>0</v>
      </c>
      <c r="Q143" s="375">
        <v>20</v>
      </c>
      <c r="R143" s="375">
        <v>0</v>
      </c>
      <c r="S143" s="375">
        <v>0</v>
      </c>
      <c r="T143" s="375">
        <v>0</v>
      </c>
      <c r="U143" s="375">
        <v>400</v>
      </c>
      <c r="V143" s="375" t="s">
        <v>597</v>
      </c>
    </row>
    <row r="144" spans="1:22" x14ac:dyDescent="0.25">
      <c r="A144" s="377">
        <v>45890</v>
      </c>
      <c r="B144" s="375">
        <v>8125</v>
      </c>
      <c r="C144" s="375">
        <v>6500</v>
      </c>
      <c r="D144" s="375">
        <v>1</v>
      </c>
      <c r="E144" s="375">
        <v>2</v>
      </c>
      <c r="F144" s="375">
        <v>0.19999999999999996</v>
      </c>
      <c r="G144" s="375">
        <v>420</v>
      </c>
      <c r="H144" s="376">
        <v>2.3809523809523812E-3</v>
      </c>
      <c r="I144" s="375">
        <v>5000</v>
      </c>
      <c r="J144" s="375">
        <v>5500</v>
      </c>
      <c r="K144" s="375">
        <v>1</v>
      </c>
      <c r="L144" s="375">
        <v>400</v>
      </c>
      <c r="M144" s="375">
        <v>20</v>
      </c>
      <c r="N144" s="375">
        <v>0</v>
      </c>
      <c r="O144" s="375">
        <v>0</v>
      </c>
      <c r="P144" s="375">
        <v>0.05</v>
      </c>
      <c r="Q144" s="375">
        <v>20</v>
      </c>
      <c r="R144" s="375">
        <v>6500</v>
      </c>
      <c r="S144" s="375">
        <v>8125</v>
      </c>
      <c r="T144" s="375">
        <v>0.2</v>
      </c>
      <c r="U144" s="375">
        <v>400</v>
      </c>
      <c r="V144" s="375" t="s">
        <v>597</v>
      </c>
    </row>
    <row r="145" spans="1:22" x14ac:dyDescent="0.25">
      <c r="A145" s="377">
        <v>45891</v>
      </c>
      <c r="B145" s="375">
        <v>13900</v>
      </c>
      <c r="C145" s="375">
        <v>12000</v>
      </c>
      <c r="D145" s="375">
        <v>2</v>
      </c>
      <c r="E145" s="375">
        <v>3</v>
      </c>
      <c r="F145" s="375">
        <v>0.13669064748201443</v>
      </c>
      <c r="G145" s="375">
        <v>420</v>
      </c>
      <c r="H145" s="376">
        <v>7.1428571428571426E-3</v>
      </c>
      <c r="I145" s="375">
        <v>5000</v>
      </c>
      <c r="J145" s="375">
        <v>5500</v>
      </c>
      <c r="K145" s="375">
        <v>3</v>
      </c>
      <c r="L145" s="375">
        <v>400</v>
      </c>
      <c r="M145" s="375">
        <v>20</v>
      </c>
      <c r="N145" s="375">
        <v>5500</v>
      </c>
      <c r="O145" s="375">
        <v>5775</v>
      </c>
      <c r="P145" s="375">
        <v>0.05</v>
      </c>
      <c r="Q145" s="375">
        <v>20</v>
      </c>
      <c r="R145" s="375">
        <v>6500</v>
      </c>
      <c r="S145" s="375">
        <v>8125</v>
      </c>
      <c r="T145" s="375">
        <v>0.2</v>
      </c>
      <c r="U145" s="375">
        <v>400</v>
      </c>
      <c r="V145" s="375" t="s">
        <v>597</v>
      </c>
    </row>
    <row r="146" spans="1:22" x14ac:dyDescent="0.25">
      <c r="A146" s="377">
        <v>45892</v>
      </c>
      <c r="B146" s="375">
        <v>0</v>
      </c>
      <c r="C146" s="375">
        <v>0</v>
      </c>
      <c r="D146" s="375">
        <v>0</v>
      </c>
      <c r="E146" s="375">
        <v>0</v>
      </c>
      <c r="F146" s="375">
        <v>0</v>
      </c>
      <c r="G146" s="375">
        <v>420</v>
      </c>
      <c r="H146" s="376">
        <v>0</v>
      </c>
      <c r="I146" s="375">
        <v>0</v>
      </c>
      <c r="J146" s="375">
        <v>0</v>
      </c>
      <c r="K146" s="375">
        <v>0</v>
      </c>
      <c r="L146" s="375">
        <v>400</v>
      </c>
      <c r="M146" s="375">
        <v>20</v>
      </c>
      <c r="N146" s="375">
        <v>0</v>
      </c>
      <c r="O146" s="375">
        <v>0</v>
      </c>
      <c r="P146" s="375">
        <v>0.05</v>
      </c>
      <c r="Q146" s="375">
        <v>20</v>
      </c>
      <c r="R146" s="375">
        <v>0</v>
      </c>
      <c r="S146" s="375">
        <v>0</v>
      </c>
      <c r="T146" s="375">
        <v>0.2</v>
      </c>
      <c r="U146" s="375">
        <v>400</v>
      </c>
      <c r="V146" s="375" t="s">
        <v>597</v>
      </c>
    </row>
    <row r="147" spans="1:22" x14ac:dyDescent="0.25">
      <c r="A147" s="377">
        <v>45893</v>
      </c>
      <c r="B147" s="375">
        <v>8125</v>
      </c>
      <c r="C147" s="375">
        <v>6500</v>
      </c>
      <c r="D147" s="375">
        <v>1</v>
      </c>
      <c r="E147" s="375">
        <v>2</v>
      </c>
      <c r="F147" s="375">
        <v>0.19999999999999996</v>
      </c>
      <c r="G147" s="375">
        <v>420</v>
      </c>
      <c r="H147" s="376">
        <v>2.3809523809523812E-3</v>
      </c>
      <c r="I147" s="375">
        <v>5000</v>
      </c>
      <c r="J147" s="375">
        <v>5500</v>
      </c>
      <c r="K147" s="375">
        <v>1</v>
      </c>
      <c r="L147" s="375">
        <v>400</v>
      </c>
      <c r="M147" s="375">
        <v>20</v>
      </c>
      <c r="N147" s="375">
        <v>0</v>
      </c>
      <c r="O147" s="375">
        <v>0</v>
      </c>
      <c r="P147" s="375">
        <v>0.05</v>
      </c>
      <c r="Q147" s="375">
        <v>20</v>
      </c>
      <c r="R147" s="375">
        <v>6500</v>
      </c>
      <c r="S147" s="375">
        <v>8125</v>
      </c>
      <c r="T147" s="375">
        <v>0.2</v>
      </c>
      <c r="U147" s="375">
        <v>400</v>
      </c>
      <c r="V147" s="375" t="s">
        <v>597</v>
      </c>
    </row>
    <row r="148" spans="1:22" x14ac:dyDescent="0.25">
      <c r="A148" s="377">
        <v>45894</v>
      </c>
      <c r="B148" s="375">
        <v>12850</v>
      </c>
      <c r="C148" s="375">
        <v>11000</v>
      </c>
      <c r="D148" s="375">
        <v>2</v>
      </c>
      <c r="E148" s="375">
        <v>3</v>
      </c>
      <c r="F148" s="375">
        <v>0.14396887159533078</v>
      </c>
      <c r="G148" s="375">
        <v>420</v>
      </c>
      <c r="H148" s="376">
        <v>4.7619047619047623E-3</v>
      </c>
      <c r="I148" s="375">
        <v>5000</v>
      </c>
      <c r="J148" s="375">
        <v>5500</v>
      </c>
      <c r="K148" s="375">
        <v>2</v>
      </c>
      <c r="L148" s="375">
        <v>400</v>
      </c>
      <c r="M148" s="375">
        <v>20</v>
      </c>
      <c r="N148" s="375">
        <v>4500</v>
      </c>
      <c r="O148" s="375">
        <v>4725</v>
      </c>
      <c r="P148" s="375">
        <v>0.05</v>
      </c>
      <c r="Q148" s="375">
        <v>20</v>
      </c>
      <c r="R148" s="375">
        <v>6500</v>
      </c>
      <c r="S148" s="375">
        <v>8125</v>
      </c>
      <c r="T148" s="375">
        <v>0.2</v>
      </c>
      <c r="U148" s="375">
        <v>400</v>
      </c>
      <c r="V148" s="375" t="s">
        <v>597</v>
      </c>
    </row>
    <row r="149" spans="1:22" x14ac:dyDescent="0.25">
      <c r="A149" s="377">
        <v>45895</v>
      </c>
      <c r="B149" s="375">
        <v>5775</v>
      </c>
      <c r="C149" s="375">
        <v>5500</v>
      </c>
      <c r="D149" s="375">
        <v>1</v>
      </c>
      <c r="E149" s="375">
        <v>1</v>
      </c>
      <c r="F149" s="375">
        <v>4.7619047619047672E-2</v>
      </c>
      <c r="G149" s="375">
        <v>420</v>
      </c>
      <c r="H149" s="376">
        <v>2.3809523809523812E-3</v>
      </c>
      <c r="I149" s="375">
        <v>5000</v>
      </c>
      <c r="J149" s="375">
        <v>5500</v>
      </c>
      <c r="K149" s="375">
        <v>1</v>
      </c>
      <c r="L149" s="375">
        <v>400</v>
      </c>
      <c r="M149" s="375">
        <v>20</v>
      </c>
      <c r="N149" s="375">
        <v>5500</v>
      </c>
      <c r="O149" s="375">
        <v>5775</v>
      </c>
      <c r="P149" s="375">
        <v>0</v>
      </c>
      <c r="Q149" s="375">
        <v>20</v>
      </c>
      <c r="R149" s="375">
        <v>0</v>
      </c>
      <c r="S149" s="375">
        <v>0</v>
      </c>
      <c r="T149" s="375">
        <v>0</v>
      </c>
      <c r="U149" s="375">
        <v>400</v>
      </c>
      <c r="V149" s="375" t="s">
        <v>597</v>
      </c>
    </row>
    <row r="150" spans="1:22" x14ac:dyDescent="0.25">
      <c r="A150" s="377">
        <v>45896</v>
      </c>
      <c r="B150" s="375">
        <v>7500</v>
      </c>
      <c r="C150" s="375">
        <v>7500</v>
      </c>
      <c r="D150" s="375">
        <v>2</v>
      </c>
      <c r="E150" s="375">
        <v>2</v>
      </c>
      <c r="F150" s="375">
        <v>0</v>
      </c>
      <c r="G150" s="375">
        <v>400</v>
      </c>
      <c r="H150" s="376">
        <v>2.5000000000000001E-3</v>
      </c>
      <c r="I150" s="375">
        <v>5000</v>
      </c>
      <c r="J150" s="375">
        <v>5500</v>
      </c>
      <c r="K150" s="375">
        <v>1</v>
      </c>
      <c r="L150" s="375">
        <v>400</v>
      </c>
      <c r="M150" s="375">
        <v>0</v>
      </c>
      <c r="N150" s="375">
        <v>0</v>
      </c>
      <c r="O150" s="375">
        <v>0</v>
      </c>
      <c r="P150" s="375">
        <v>0</v>
      </c>
      <c r="Q150" s="375">
        <v>0</v>
      </c>
      <c r="R150" s="375">
        <v>7500</v>
      </c>
      <c r="S150" s="375">
        <v>7500</v>
      </c>
      <c r="T150" s="375">
        <v>0</v>
      </c>
      <c r="U150" s="375">
        <v>400</v>
      </c>
      <c r="V150" s="375" t="s">
        <v>597</v>
      </c>
    </row>
    <row r="151" spans="1:22" x14ac:dyDescent="0.25">
      <c r="A151" s="377">
        <v>45897</v>
      </c>
      <c r="B151" s="375">
        <v>9375</v>
      </c>
      <c r="C151" s="375">
        <v>7500</v>
      </c>
      <c r="D151" s="375">
        <v>2</v>
      </c>
      <c r="E151" s="375">
        <v>2</v>
      </c>
      <c r="F151" s="375">
        <v>0.19999999999999996</v>
      </c>
      <c r="G151" s="375">
        <v>400</v>
      </c>
      <c r="H151" s="376">
        <v>5.0000000000000001E-3</v>
      </c>
      <c r="I151" s="375">
        <v>5000</v>
      </c>
      <c r="J151" s="375">
        <v>5500</v>
      </c>
      <c r="K151" s="375">
        <v>2</v>
      </c>
      <c r="L151" s="375">
        <v>400</v>
      </c>
      <c r="M151" s="375">
        <v>0</v>
      </c>
      <c r="N151" s="375">
        <v>0</v>
      </c>
      <c r="O151" s="375">
        <v>0</v>
      </c>
      <c r="P151" s="375">
        <v>0.05</v>
      </c>
      <c r="Q151" s="375">
        <v>0</v>
      </c>
      <c r="R151" s="375">
        <v>7500</v>
      </c>
      <c r="S151" s="375">
        <v>9375</v>
      </c>
      <c r="T151" s="375">
        <v>0.2</v>
      </c>
      <c r="U151" s="375">
        <v>400</v>
      </c>
      <c r="V151" s="375" t="s">
        <v>597</v>
      </c>
    </row>
    <row r="152" spans="1:22" x14ac:dyDescent="0.25">
      <c r="A152" s="377">
        <v>45898</v>
      </c>
      <c r="B152" s="375">
        <v>5625</v>
      </c>
      <c r="C152" s="375">
        <v>4500</v>
      </c>
      <c r="D152" s="375">
        <v>1</v>
      </c>
      <c r="E152" s="375">
        <v>1</v>
      </c>
      <c r="F152" s="375">
        <v>0.19999999999999996</v>
      </c>
      <c r="G152" s="375">
        <v>400</v>
      </c>
      <c r="H152" s="376">
        <v>2.5000000000000001E-3</v>
      </c>
      <c r="I152" s="375">
        <v>5000</v>
      </c>
      <c r="J152" s="375">
        <v>5500</v>
      </c>
      <c r="K152" s="375">
        <v>1</v>
      </c>
      <c r="L152" s="375">
        <v>400</v>
      </c>
      <c r="M152" s="375">
        <v>0</v>
      </c>
      <c r="N152" s="375">
        <v>0</v>
      </c>
      <c r="O152" s="375">
        <v>0</v>
      </c>
      <c r="P152" s="375">
        <v>0.05</v>
      </c>
      <c r="Q152" s="375">
        <v>0</v>
      </c>
      <c r="R152" s="375">
        <v>4500</v>
      </c>
      <c r="S152" s="375">
        <v>5625</v>
      </c>
      <c r="T152" s="375">
        <v>0.2</v>
      </c>
      <c r="U152" s="375">
        <v>400</v>
      </c>
      <c r="V152" s="375" t="s">
        <v>597</v>
      </c>
    </row>
    <row r="153" spans="1:22" x14ac:dyDescent="0.25">
      <c r="A153" s="377">
        <v>45899</v>
      </c>
      <c r="B153" s="375">
        <v>0</v>
      </c>
      <c r="C153" s="375">
        <v>0</v>
      </c>
      <c r="D153" s="375">
        <v>0</v>
      </c>
      <c r="E153" s="375">
        <v>0</v>
      </c>
      <c r="F153" s="375">
        <v>0</v>
      </c>
      <c r="G153" s="375">
        <v>400</v>
      </c>
      <c r="H153" s="376">
        <v>0</v>
      </c>
      <c r="I153" s="375">
        <v>0</v>
      </c>
      <c r="J153" s="375">
        <v>0</v>
      </c>
      <c r="K153" s="375">
        <v>0</v>
      </c>
      <c r="L153" s="375">
        <v>400</v>
      </c>
      <c r="M153" s="375">
        <v>0</v>
      </c>
      <c r="N153" s="375">
        <v>0</v>
      </c>
      <c r="O153" s="375">
        <v>0</v>
      </c>
      <c r="P153" s="375">
        <v>0.05</v>
      </c>
      <c r="Q153" s="375">
        <v>0</v>
      </c>
      <c r="R153" s="375">
        <v>0</v>
      </c>
      <c r="S153" s="375">
        <v>0</v>
      </c>
      <c r="T153" s="375">
        <v>0.2</v>
      </c>
      <c r="U153" s="375">
        <v>400</v>
      </c>
      <c r="V153" s="375" t="s">
        <v>597</v>
      </c>
    </row>
    <row r="154" spans="1:22" x14ac:dyDescent="0.25">
      <c r="A154" s="377">
        <v>45900</v>
      </c>
      <c r="B154" s="375">
        <v>7250</v>
      </c>
      <c r="C154" s="375">
        <v>5800</v>
      </c>
      <c r="D154" s="375">
        <v>1</v>
      </c>
      <c r="E154" s="375">
        <v>1</v>
      </c>
      <c r="F154" s="375">
        <v>0.19999999999999996</v>
      </c>
      <c r="G154" s="375">
        <v>400</v>
      </c>
      <c r="H154" s="376">
        <v>2.5000000000000001E-3</v>
      </c>
      <c r="I154" s="375">
        <v>5000</v>
      </c>
      <c r="J154" s="375">
        <v>5500</v>
      </c>
      <c r="K154" s="375">
        <v>1</v>
      </c>
      <c r="L154" s="375">
        <v>400</v>
      </c>
      <c r="M154" s="375">
        <v>0</v>
      </c>
      <c r="N154" s="375">
        <v>0</v>
      </c>
      <c r="O154" s="375">
        <v>0</v>
      </c>
      <c r="P154" s="375">
        <v>0.05</v>
      </c>
      <c r="Q154" s="375">
        <v>0</v>
      </c>
      <c r="R154" s="375">
        <v>5800</v>
      </c>
      <c r="S154" s="375">
        <v>7250</v>
      </c>
      <c r="T154" s="375">
        <v>0.2</v>
      </c>
      <c r="U154" s="375">
        <v>400</v>
      </c>
      <c r="V154" s="375" t="s">
        <v>597</v>
      </c>
    </row>
    <row r="155" spans="1:22" x14ac:dyDescent="0.25">
      <c r="A155" s="377">
        <v>45901</v>
      </c>
      <c r="B155" s="375">
        <v>5000</v>
      </c>
      <c r="C155" s="375">
        <v>5000</v>
      </c>
      <c r="D155" s="375">
        <v>1</v>
      </c>
      <c r="E155" s="375">
        <v>1</v>
      </c>
      <c r="F155" s="375">
        <v>0</v>
      </c>
      <c r="G155" s="375">
        <v>400</v>
      </c>
      <c r="H155" s="376">
        <v>2.5000000000000001E-3</v>
      </c>
      <c r="I155" s="375">
        <v>5000</v>
      </c>
      <c r="J155" s="375">
        <v>5500</v>
      </c>
      <c r="K155" s="375">
        <v>1</v>
      </c>
      <c r="L155" s="375">
        <v>400</v>
      </c>
      <c r="M155" s="375">
        <v>0</v>
      </c>
      <c r="N155" s="375">
        <v>0</v>
      </c>
      <c r="O155" s="375">
        <v>0</v>
      </c>
      <c r="P155" s="375">
        <v>0.05</v>
      </c>
      <c r="Q155" s="375">
        <v>0</v>
      </c>
      <c r="R155" s="375">
        <v>5000</v>
      </c>
      <c r="S155" s="375">
        <v>5000</v>
      </c>
      <c r="T155" s="375">
        <v>0</v>
      </c>
      <c r="U155" s="375">
        <v>400</v>
      </c>
      <c r="V155" s="375" t="s">
        <v>597</v>
      </c>
    </row>
    <row r="156" spans="1:22" x14ac:dyDescent="0.25">
      <c r="A156" s="377">
        <v>45902</v>
      </c>
      <c r="B156" s="375">
        <v>0</v>
      </c>
      <c r="C156" s="375">
        <v>0</v>
      </c>
      <c r="D156" s="375">
        <v>0</v>
      </c>
      <c r="E156" s="375">
        <v>0</v>
      </c>
      <c r="F156" s="375">
        <v>0</v>
      </c>
      <c r="G156" s="375">
        <v>400</v>
      </c>
      <c r="H156" s="376">
        <v>0</v>
      </c>
      <c r="I156" s="375">
        <v>0</v>
      </c>
      <c r="J156" s="375">
        <v>0</v>
      </c>
      <c r="K156" s="375">
        <v>0</v>
      </c>
      <c r="L156" s="375">
        <v>400</v>
      </c>
      <c r="M156" s="375">
        <v>0</v>
      </c>
      <c r="N156" s="375">
        <v>0</v>
      </c>
      <c r="O156" s="375">
        <v>0</v>
      </c>
      <c r="P156" s="375">
        <v>0.05</v>
      </c>
      <c r="Q156" s="375">
        <v>0</v>
      </c>
      <c r="R156" s="375">
        <v>0</v>
      </c>
      <c r="S156" s="375">
        <v>0</v>
      </c>
      <c r="T156" s="375">
        <v>0</v>
      </c>
      <c r="U156" s="375">
        <v>400</v>
      </c>
      <c r="V156" s="375" t="s">
        <v>597</v>
      </c>
    </row>
    <row r="157" spans="1:22" x14ac:dyDescent="0.25">
      <c r="A157" s="377">
        <v>45903</v>
      </c>
      <c r="B157" s="375">
        <v>5000</v>
      </c>
      <c r="C157" s="375">
        <v>5000</v>
      </c>
      <c r="D157" s="375">
        <v>1</v>
      </c>
      <c r="E157" s="375">
        <v>1</v>
      </c>
      <c r="F157" s="375">
        <v>0</v>
      </c>
      <c r="G157" s="375">
        <v>400</v>
      </c>
      <c r="H157" s="376">
        <v>2.5000000000000001E-3</v>
      </c>
      <c r="I157" s="375">
        <v>5000</v>
      </c>
      <c r="J157" s="375">
        <v>5500</v>
      </c>
      <c r="K157" s="375">
        <v>1</v>
      </c>
      <c r="L157" s="375">
        <v>400</v>
      </c>
      <c r="M157" s="375">
        <v>0</v>
      </c>
      <c r="N157" s="375">
        <v>0</v>
      </c>
      <c r="O157" s="375">
        <v>0</v>
      </c>
      <c r="P157" s="375">
        <v>0.05</v>
      </c>
      <c r="Q157" s="375">
        <v>0</v>
      </c>
      <c r="R157" s="375">
        <v>5000</v>
      </c>
      <c r="S157" s="375">
        <v>5000</v>
      </c>
      <c r="T157" s="375">
        <v>0</v>
      </c>
      <c r="U157" s="375">
        <v>400</v>
      </c>
      <c r="V157" s="375" t="s">
        <v>597</v>
      </c>
    </row>
    <row r="158" spans="1:22" x14ac:dyDescent="0.25">
      <c r="A158" s="377">
        <v>45904</v>
      </c>
      <c r="B158" s="375">
        <v>5000</v>
      </c>
      <c r="C158" s="375">
        <v>5000</v>
      </c>
      <c r="D158" s="375">
        <v>1</v>
      </c>
      <c r="E158" s="375">
        <v>1</v>
      </c>
      <c r="F158" s="375">
        <v>0</v>
      </c>
      <c r="G158" s="375">
        <v>400</v>
      </c>
      <c r="H158" s="376">
        <v>2.5000000000000001E-3</v>
      </c>
      <c r="I158" s="375">
        <v>5000</v>
      </c>
      <c r="J158" s="375">
        <v>5500</v>
      </c>
      <c r="K158" s="375">
        <v>1</v>
      </c>
      <c r="L158" s="375">
        <v>400</v>
      </c>
      <c r="M158" s="375">
        <v>0</v>
      </c>
      <c r="N158" s="375">
        <v>0</v>
      </c>
      <c r="O158" s="375">
        <v>0</v>
      </c>
      <c r="P158" s="375">
        <v>0.05</v>
      </c>
      <c r="Q158" s="375">
        <v>0</v>
      </c>
      <c r="R158" s="375">
        <v>5000</v>
      </c>
      <c r="S158" s="375">
        <v>5000</v>
      </c>
      <c r="T158" s="375">
        <v>0</v>
      </c>
      <c r="U158" s="375">
        <v>400</v>
      </c>
      <c r="V158" s="375" t="s">
        <v>597</v>
      </c>
    </row>
    <row r="159" spans="1:22" x14ac:dyDescent="0.25">
      <c r="A159" s="377">
        <v>45905</v>
      </c>
      <c r="B159" s="375">
        <v>5000</v>
      </c>
      <c r="C159" s="375">
        <v>5000</v>
      </c>
      <c r="D159" s="375">
        <v>1</v>
      </c>
      <c r="E159" s="375">
        <v>1</v>
      </c>
      <c r="F159" s="375">
        <v>0</v>
      </c>
      <c r="G159" s="375">
        <v>400</v>
      </c>
      <c r="H159" s="376">
        <v>2.5000000000000001E-3</v>
      </c>
      <c r="I159" s="375">
        <v>5000</v>
      </c>
      <c r="J159" s="375">
        <v>5500</v>
      </c>
      <c r="K159" s="375">
        <v>1</v>
      </c>
      <c r="L159" s="375">
        <v>400</v>
      </c>
      <c r="M159" s="375">
        <v>0</v>
      </c>
      <c r="N159" s="375">
        <v>0</v>
      </c>
      <c r="O159" s="375">
        <v>0</v>
      </c>
      <c r="P159" s="375">
        <v>0.05</v>
      </c>
      <c r="Q159" s="375">
        <v>0</v>
      </c>
      <c r="R159" s="375">
        <v>5000</v>
      </c>
      <c r="S159" s="375">
        <v>5000</v>
      </c>
      <c r="T159" s="375">
        <v>0</v>
      </c>
      <c r="U159" s="375">
        <v>400</v>
      </c>
      <c r="V159" s="375" t="s">
        <v>597</v>
      </c>
    </row>
    <row r="160" spans="1:22" x14ac:dyDescent="0.25">
      <c r="A160" s="377">
        <v>45906</v>
      </c>
      <c r="B160" s="375">
        <v>0</v>
      </c>
      <c r="C160" s="375">
        <v>0</v>
      </c>
      <c r="D160" s="375">
        <v>0</v>
      </c>
      <c r="E160" s="375">
        <v>0</v>
      </c>
      <c r="F160" s="375">
        <v>0</v>
      </c>
      <c r="G160" s="375">
        <v>400</v>
      </c>
      <c r="H160" s="376">
        <v>0</v>
      </c>
      <c r="I160" s="375">
        <v>0</v>
      </c>
      <c r="J160" s="375">
        <v>0</v>
      </c>
      <c r="K160" s="375">
        <v>0</v>
      </c>
      <c r="L160" s="375">
        <v>400</v>
      </c>
      <c r="M160" s="375">
        <v>0</v>
      </c>
      <c r="N160" s="375">
        <v>0</v>
      </c>
      <c r="O160" s="375">
        <v>0</v>
      </c>
      <c r="P160" s="375">
        <v>0.05</v>
      </c>
      <c r="Q160" s="375">
        <v>0</v>
      </c>
      <c r="R160" s="375">
        <v>0</v>
      </c>
      <c r="S160" s="375">
        <v>0</v>
      </c>
      <c r="T160" s="375">
        <v>0</v>
      </c>
      <c r="U160" s="375">
        <v>400</v>
      </c>
      <c r="V160" s="375" t="s">
        <v>597</v>
      </c>
    </row>
    <row r="161" spans="1:22" x14ac:dyDescent="0.25">
      <c r="A161" s="377">
        <v>45907</v>
      </c>
      <c r="B161" s="375">
        <v>5000</v>
      </c>
      <c r="C161" s="375">
        <v>5000</v>
      </c>
      <c r="D161" s="375">
        <v>1</v>
      </c>
      <c r="E161" s="375">
        <v>1</v>
      </c>
      <c r="F161" s="375">
        <v>0</v>
      </c>
      <c r="G161" s="375">
        <v>400</v>
      </c>
      <c r="H161" s="376">
        <v>2.5000000000000001E-3</v>
      </c>
      <c r="I161" s="375">
        <v>5000</v>
      </c>
      <c r="J161" s="375">
        <v>5500</v>
      </c>
      <c r="K161" s="375">
        <v>1</v>
      </c>
      <c r="L161" s="375">
        <v>400</v>
      </c>
      <c r="M161" s="375">
        <v>0</v>
      </c>
      <c r="N161" s="375">
        <v>0</v>
      </c>
      <c r="O161" s="375">
        <v>0</v>
      </c>
      <c r="P161" s="375">
        <v>0.05</v>
      </c>
      <c r="Q161" s="375">
        <v>0</v>
      </c>
      <c r="R161" s="375">
        <v>5000</v>
      </c>
      <c r="S161" s="375">
        <v>5000</v>
      </c>
      <c r="T161" s="375">
        <v>0</v>
      </c>
      <c r="U161" s="375">
        <v>400</v>
      </c>
      <c r="V161" s="375" t="s">
        <v>597</v>
      </c>
    </row>
    <row r="162" spans="1:22" x14ac:dyDescent="0.25">
      <c r="A162" s="377">
        <v>45908</v>
      </c>
      <c r="B162" s="375">
        <v>5000</v>
      </c>
      <c r="C162" s="375">
        <v>5000</v>
      </c>
      <c r="D162" s="375">
        <v>1</v>
      </c>
      <c r="E162" s="375">
        <v>1</v>
      </c>
      <c r="F162" s="375">
        <v>0</v>
      </c>
      <c r="G162" s="375">
        <v>400</v>
      </c>
      <c r="H162" s="376">
        <v>2.5000000000000001E-3</v>
      </c>
      <c r="I162" s="375">
        <v>5000</v>
      </c>
      <c r="J162" s="375">
        <v>5500</v>
      </c>
      <c r="K162" s="375">
        <v>1</v>
      </c>
      <c r="L162" s="375">
        <v>400</v>
      </c>
      <c r="M162" s="375">
        <v>0</v>
      </c>
      <c r="N162" s="375">
        <v>0</v>
      </c>
      <c r="O162" s="375">
        <v>0</v>
      </c>
      <c r="P162" s="375">
        <v>0.05</v>
      </c>
      <c r="Q162" s="375">
        <v>0</v>
      </c>
      <c r="R162" s="375">
        <v>5000</v>
      </c>
      <c r="S162" s="375">
        <v>5000</v>
      </c>
      <c r="T162" s="375">
        <v>0</v>
      </c>
      <c r="U162" s="375">
        <v>400</v>
      </c>
      <c r="V162" s="375" t="s">
        <v>597</v>
      </c>
    </row>
    <row r="163" spans="1:22" x14ac:dyDescent="0.25">
      <c r="A163" s="377">
        <v>45909</v>
      </c>
      <c r="B163" s="375">
        <v>5000</v>
      </c>
      <c r="C163" s="375">
        <v>5000</v>
      </c>
      <c r="D163" s="375">
        <v>1</v>
      </c>
      <c r="E163" s="375">
        <v>1</v>
      </c>
      <c r="F163" s="375">
        <v>0</v>
      </c>
      <c r="G163" s="375">
        <v>400</v>
      </c>
      <c r="H163" s="376">
        <v>2.5000000000000001E-3</v>
      </c>
      <c r="I163" s="375">
        <v>5000</v>
      </c>
      <c r="J163" s="375">
        <v>5500</v>
      </c>
      <c r="K163" s="375">
        <v>1</v>
      </c>
      <c r="L163" s="375">
        <v>400</v>
      </c>
      <c r="M163" s="375">
        <v>0</v>
      </c>
      <c r="N163" s="375">
        <v>0</v>
      </c>
      <c r="O163" s="375">
        <v>0</v>
      </c>
      <c r="P163" s="375">
        <v>0.05</v>
      </c>
      <c r="Q163" s="375">
        <v>0</v>
      </c>
      <c r="R163" s="375">
        <v>5000</v>
      </c>
      <c r="S163" s="375">
        <v>5000</v>
      </c>
      <c r="T163" s="375">
        <v>0</v>
      </c>
      <c r="U163" s="375">
        <v>400</v>
      </c>
      <c r="V163" s="375" t="s">
        <v>597</v>
      </c>
    </row>
    <row r="164" spans="1:22" x14ac:dyDescent="0.25">
      <c r="A164" s="377">
        <v>45910</v>
      </c>
      <c r="B164" s="375">
        <v>0</v>
      </c>
      <c r="C164" s="375">
        <v>0</v>
      </c>
      <c r="D164" s="375">
        <v>0</v>
      </c>
      <c r="E164" s="375">
        <v>0</v>
      </c>
      <c r="F164" s="375">
        <v>0</v>
      </c>
      <c r="G164" s="375">
        <v>400</v>
      </c>
      <c r="H164" s="376">
        <v>0</v>
      </c>
      <c r="I164" s="375">
        <v>0</v>
      </c>
      <c r="J164" s="375">
        <v>0</v>
      </c>
      <c r="K164" s="375">
        <v>0</v>
      </c>
      <c r="L164" s="375">
        <v>400</v>
      </c>
      <c r="M164" s="375">
        <v>0</v>
      </c>
      <c r="N164" s="375">
        <v>0</v>
      </c>
      <c r="O164" s="375">
        <v>0</v>
      </c>
      <c r="P164" s="375">
        <v>0.05</v>
      </c>
      <c r="Q164" s="375">
        <v>0</v>
      </c>
      <c r="R164" s="375">
        <v>0</v>
      </c>
      <c r="S164" s="375">
        <v>0</v>
      </c>
      <c r="T164" s="375">
        <v>0</v>
      </c>
      <c r="U164" s="375">
        <v>400</v>
      </c>
      <c r="V164" s="375" t="s">
        <v>597</v>
      </c>
    </row>
    <row r="165" spans="1:22" x14ac:dyDescent="0.25">
      <c r="A165" s="377">
        <v>45911</v>
      </c>
      <c r="B165" s="375">
        <v>0</v>
      </c>
      <c r="C165" s="375">
        <v>0</v>
      </c>
      <c r="D165" s="375">
        <v>0</v>
      </c>
      <c r="E165" s="375">
        <v>0</v>
      </c>
      <c r="F165" s="375">
        <v>0</v>
      </c>
      <c r="G165" s="375">
        <v>400</v>
      </c>
      <c r="H165" s="376">
        <v>0</v>
      </c>
      <c r="I165" s="375">
        <v>0</v>
      </c>
      <c r="J165" s="375">
        <v>0</v>
      </c>
      <c r="K165" s="375">
        <v>0</v>
      </c>
      <c r="L165" s="375">
        <v>400</v>
      </c>
      <c r="M165" s="375">
        <v>0</v>
      </c>
      <c r="N165" s="375">
        <v>0</v>
      </c>
      <c r="O165" s="375">
        <v>0</v>
      </c>
      <c r="P165" s="375">
        <v>0.05</v>
      </c>
      <c r="Q165" s="375">
        <v>0</v>
      </c>
      <c r="R165" s="375">
        <v>0</v>
      </c>
      <c r="S165" s="375">
        <v>0</v>
      </c>
      <c r="T165" s="375">
        <v>0</v>
      </c>
      <c r="U165" s="375">
        <v>400</v>
      </c>
      <c r="V165" s="375" t="s">
        <v>597</v>
      </c>
    </row>
    <row r="166" spans="1:22" x14ac:dyDescent="0.25">
      <c r="A166" s="377">
        <v>45912</v>
      </c>
      <c r="B166" s="375">
        <v>7500</v>
      </c>
      <c r="C166" s="375">
        <v>7500</v>
      </c>
      <c r="D166" s="375">
        <v>2</v>
      </c>
      <c r="E166" s="375">
        <v>2</v>
      </c>
      <c r="F166" s="375">
        <v>0</v>
      </c>
      <c r="G166" s="375">
        <v>400</v>
      </c>
      <c r="H166" s="376">
        <v>5.0000000000000001E-3</v>
      </c>
      <c r="I166" s="375">
        <v>4000</v>
      </c>
      <c r="J166" s="375">
        <v>4400</v>
      </c>
      <c r="K166" s="375">
        <v>2</v>
      </c>
      <c r="L166" s="375">
        <v>400</v>
      </c>
      <c r="M166" s="375">
        <v>0</v>
      </c>
      <c r="N166" s="375">
        <v>0</v>
      </c>
      <c r="O166" s="375">
        <v>0</v>
      </c>
      <c r="P166" s="375">
        <v>0.05</v>
      </c>
      <c r="Q166" s="375">
        <v>0</v>
      </c>
      <c r="R166" s="375">
        <v>7500</v>
      </c>
      <c r="S166" s="375">
        <v>7500</v>
      </c>
      <c r="T166" s="375">
        <v>0</v>
      </c>
      <c r="U166" s="375">
        <v>400</v>
      </c>
      <c r="V166" s="375" t="s">
        <v>597</v>
      </c>
    </row>
    <row r="167" spans="1:22" x14ac:dyDescent="0.25">
      <c r="A167" s="377">
        <v>45913</v>
      </c>
      <c r="B167" s="375">
        <v>7500</v>
      </c>
      <c r="C167" s="375">
        <v>7500</v>
      </c>
      <c r="D167" s="375">
        <v>2</v>
      </c>
      <c r="E167" s="375">
        <v>2</v>
      </c>
      <c r="F167" s="375">
        <v>0</v>
      </c>
      <c r="G167" s="375">
        <v>400</v>
      </c>
      <c r="H167" s="376">
        <v>5.0000000000000001E-3</v>
      </c>
      <c r="I167" s="375">
        <v>4000</v>
      </c>
      <c r="J167" s="375">
        <v>4400</v>
      </c>
      <c r="K167" s="375">
        <v>2</v>
      </c>
      <c r="L167" s="375">
        <v>400</v>
      </c>
      <c r="M167" s="375">
        <v>0</v>
      </c>
      <c r="N167" s="375">
        <v>0</v>
      </c>
      <c r="O167" s="375">
        <v>0</v>
      </c>
      <c r="P167" s="375">
        <v>0.05</v>
      </c>
      <c r="Q167" s="375">
        <v>0</v>
      </c>
      <c r="R167" s="375">
        <v>7500</v>
      </c>
      <c r="S167" s="375">
        <v>7500</v>
      </c>
      <c r="T167" s="375">
        <v>0</v>
      </c>
      <c r="U167" s="375">
        <v>400</v>
      </c>
      <c r="V167" s="375" t="s">
        <v>597</v>
      </c>
    </row>
    <row r="168" spans="1:22" x14ac:dyDescent="0.25">
      <c r="A168" s="377">
        <v>45914</v>
      </c>
      <c r="B168" s="375">
        <v>7500</v>
      </c>
      <c r="C168" s="375">
        <v>7500</v>
      </c>
      <c r="D168" s="375">
        <v>2</v>
      </c>
      <c r="E168" s="375">
        <v>2</v>
      </c>
      <c r="F168" s="375">
        <v>0</v>
      </c>
      <c r="G168" s="375">
        <v>400</v>
      </c>
      <c r="H168" s="376">
        <v>5.0000000000000001E-3</v>
      </c>
      <c r="I168" s="375">
        <v>4000</v>
      </c>
      <c r="J168" s="375">
        <v>4400</v>
      </c>
      <c r="K168" s="375">
        <v>2</v>
      </c>
      <c r="L168" s="375">
        <v>400</v>
      </c>
      <c r="M168" s="375">
        <v>0</v>
      </c>
      <c r="N168" s="375">
        <v>0</v>
      </c>
      <c r="O168" s="375">
        <v>0</v>
      </c>
      <c r="P168" s="375">
        <v>0.05</v>
      </c>
      <c r="Q168" s="375">
        <v>0</v>
      </c>
      <c r="R168" s="375">
        <v>7500</v>
      </c>
      <c r="S168" s="375">
        <v>7500</v>
      </c>
      <c r="T168" s="375">
        <v>0</v>
      </c>
      <c r="U168" s="375">
        <v>400</v>
      </c>
      <c r="V168" s="375" t="s">
        <v>597</v>
      </c>
    </row>
    <row r="169" spans="1:22" x14ac:dyDescent="0.25">
      <c r="A169" s="377">
        <v>45915</v>
      </c>
      <c r="B169" s="375">
        <v>0</v>
      </c>
      <c r="C169" s="375">
        <v>0</v>
      </c>
      <c r="D169" s="375">
        <v>0</v>
      </c>
      <c r="E169" s="375">
        <v>0</v>
      </c>
      <c r="F169" s="375">
        <v>0</v>
      </c>
      <c r="G169" s="375">
        <v>400</v>
      </c>
      <c r="H169" s="376">
        <v>0</v>
      </c>
      <c r="I169" s="375">
        <v>0</v>
      </c>
      <c r="J169" s="375">
        <v>0</v>
      </c>
      <c r="K169" s="375">
        <v>0</v>
      </c>
      <c r="L169" s="375">
        <v>400</v>
      </c>
      <c r="M169" s="375">
        <v>0</v>
      </c>
      <c r="N169" s="375">
        <v>0</v>
      </c>
      <c r="O169" s="375">
        <v>0</v>
      </c>
      <c r="P169" s="375">
        <v>0.05</v>
      </c>
      <c r="Q169" s="375">
        <v>0</v>
      </c>
      <c r="R169" s="375">
        <v>0</v>
      </c>
      <c r="S169" s="375">
        <v>0</v>
      </c>
      <c r="T169" s="375">
        <v>0</v>
      </c>
      <c r="U169" s="375">
        <v>400</v>
      </c>
      <c r="V169" s="375" t="s">
        <v>597</v>
      </c>
    </row>
    <row r="170" spans="1:22" x14ac:dyDescent="0.25">
      <c r="A170" s="377">
        <v>45916</v>
      </c>
      <c r="B170" s="375">
        <v>5775</v>
      </c>
      <c r="C170" s="375">
        <v>5500</v>
      </c>
      <c r="D170" s="375">
        <v>1</v>
      </c>
      <c r="E170" s="375">
        <v>1</v>
      </c>
      <c r="F170" s="375">
        <v>4.7619047619047672E-2</v>
      </c>
      <c r="G170" s="375">
        <v>450</v>
      </c>
      <c r="H170" s="376">
        <v>2.2222222222222222E-3</v>
      </c>
      <c r="I170" s="375">
        <v>4500</v>
      </c>
      <c r="J170" s="375">
        <v>4950</v>
      </c>
      <c r="K170" s="375">
        <v>1</v>
      </c>
      <c r="L170" s="375">
        <v>400</v>
      </c>
      <c r="M170" s="375">
        <v>50</v>
      </c>
      <c r="N170" s="375">
        <v>5500</v>
      </c>
      <c r="O170" s="375">
        <v>5775</v>
      </c>
      <c r="P170" s="375">
        <v>0.05</v>
      </c>
      <c r="Q170" s="375">
        <v>50</v>
      </c>
      <c r="R170" s="375">
        <v>0</v>
      </c>
      <c r="S170" s="375">
        <v>0</v>
      </c>
      <c r="T170" s="375">
        <v>0</v>
      </c>
      <c r="U170" s="375">
        <v>400</v>
      </c>
      <c r="V170" s="375" t="s">
        <v>597</v>
      </c>
    </row>
    <row r="171" spans="1:22" x14ac:dyDescent="0.25">
      <c r="A171" s="377">
        <v>45917</v>
      </c>
      <c r="B171" s="375">
        <v>13275</v>
      </c>
      <c r="C171" s="375">
        <v>13000</v>
      </c>
      <c r="D171" s="375">
        <v>3</v>
      </c>
      <c r="E171" s="375">
        <v>3</v>
      </c>
      <c r="F171" s="375">
        <v>2.0715630885122405E-2</v>
      </c>
      <c r="G171" s="375">
        <v>450</v>
      </c>
      <c r="H171" s="376">
        <v>6.6666666666666671E-3</v>
      </c>
      <c r="I171" s="375">
        <v>4500</v>
      </c>
      <c r="J171" s="375">
        <v>4950</v>
      </c>
      <c r="K171" s="375">
        <v>3</v>
      </c>
      <c r="L171" s="375">
        <v>400</v>
      </c>
      <c r="M171" s="375">
        <v>50</v>
      </c>
      <c r="N171" s="375">
        <v>5500</v>
      </c>
      <c r="O171" s="375">
        <v>5775</v>
      </c>
      <c r="P171" s="375">
        <v>0.05</v>
      </c>
      <c r="Q171" s="375">
        <v>50</v>
      </c>
      <c r="R171" s="375">
        <v>7500</v>
      </c>
      <c r="S171" s="375">
        <v>7500</v>
      </c>
      <c r="T171" s="375">
        <v>0</v>
      </c>
      <c r="U171" s="375">
        <v>400</v>
      </c>
      <c r="V171" s="375" t="s">
        <v>597</v>
      </c>
    </row>
    <row r="172" spans="1:22" x14ac:dyDescent="0.25">
      <c r="A172" s="377">
        <v>45918</v>
      </c>
      <c r="B172" s="375">
        <v>13800</v>
      </c>
      <c r="C172" s="375">
        <v>13500</v>
      </c>
      <c r="D172" s="375">
        <v>3</v>
      </c>
      <c r="E172" s="375">
        <v>3</v>
      </c>
      <c r="F172" s="375">
        <v>2.1739130434782594E-2</v>
      </c>
      <c r="G172" s="375">
        <v>430</v>
      </c>
      <c r="H172" s="376">
        <v>6.9767441860465115E-3</v>
      </c>
      <c r="I172" s="375">
        <v>4500</v>
      </c>
      <c r="J172" s="375">
        <v>4950</v>
      </c>
      <c r="K172" s="375">
        <v>3</v>
      </c>
      <c r="L172" s="375">
        <v>400</v>
      </c>
      <c r="M172" s="375">
        <v>30</v>
      </c>
      <c r="N172" s="375">
        <v>6000</v>
      </c>
      <c r="O172" s="375">
        <v>6300</v>
      </c>
      <c r="P172" s="375">
        <v>0.05</v>
      </c>
      <c r="Q172" s="375">
        <v>30</v>
      </c>
      <c r="R172" s="375">
        <v>7500</v>
      </c>
      <c r="S172" s="375">
        <v>7500</v>
      </c>
      <c r="T172" s="375">
        <v>0</v>
      </c>
      <c r="U172" s="375">
        <v>400</v>
      </c>
      <c r="V172" s="375" t="s">
        <v>597</v>
      </c>
    </row>
    <row r="173" spans="1:22" x14ac:dyDescent="0.25">
      <c r="A173" s="377">
        <v>45919</v>
      </c>
      <c r="B173" s="375">
        <v>6300</v>
      </c>
      <c r="C173" s="375">
        <v>6000</v>
      </c>
      <c r="D173" s="375">
        <v>0</v>
      </c>
      <c r="E173" s="375">
        <v>0</v>
      </c>
      <c r="F173" s="375">
        <v>4.7619047619047672E-2</v>
      </c>
      <c r="G173" s="375">
        <v>420</v>
      </c>
      <c r="H173" s="376">
        <v>0</v>
      </c>
      <c r="I173" s="375">
        <v>0</v>
      </c>
      <c r="J173" s="375">
        <v>0</v>
      </c>
      <c r="K173" s="375">
        <v>0</v>
      </c>
      <c r="L173" s="375">
        <v>400</v>
      </c>
      <c r="M173" s="375">
        <v>20</v>
      </c>
      <c r="N173" s="375">
        <v>6000</v>
      </c>
      <c r="O173" s="375">
        <v>6300</v>
      </c>
      <c r="P173" s="375">
        <v>0.05</v>
      </c>
      <c r="Q173" s="375">
        <v>20</v>
      </c>
      <c r="R173" s="375">
        <v>0</v>
      </c>
      <c r="S173" s="375">
        <v>0</v>
      </c>
      <c r="T173" s="375">
        <v>0</v>
      </c>
      <c r="U173" s="375">
        <v>400</v>
      </c>
      <c r="V173" s="375" t="s">
        <v>597</v>
      </c>
    </row>
    <row r="174" spans="1:22" x14ac:dyDescent="0.25">
      <c r="A174" s="377">
        <v>45920</v>
      </c>
      <c r="B174" s="375">
        <v>6300</v>
      </c>
      <c r="C174" s="375">
        <v>6000</v>
      </c>
      <c r="D174" s="375">
        <v>0</v>
      </c>
      <c r="E174" s="375">
        <v>0</v>
      </c>
      <c r="F174" s="375">
        <v>4.7619047619047672E-2</v>
      </c>
      <c r="G174" s="375">
        <v>410</v>
      </c>
      <c r="H174" s="376">
        <v>0</v>
      </c>
      <c r="I174" s="375">
        <v>0</v>
      </c>
      <c r="J174" s="375">
        <v>0</v>
      </c>
      <c r="K174" s="375">
        <v>0</v>
      </c>
      <c r="L174" s="375">
        <v>400</v>
      </c>
      <c r="M174" s="375">
        <v>10</v>
      </c>
      <c r="N174" s="375">
        <v>6000</v>
      </c>
      <c r="O174" s="375">
        <v>6300</v>
      </c>
      <c r="P174" s="375">
        <v>0.05</v>
      </c>
      <c r="Q174" s="375">
        <v>10</v>
      </c>
      <c r="R174" s="375">
        <v>0</v>
      </c>
      <c r="S174" s="375">
        <v>0</v>
      </c>
      <c r="T174" s="375">
        <v>0</v>
      </c>
      <c r="U174" s="375">
        <v>400</v>
      </c>
      <c r="V174" s="375" t="s">
        <v>597</v>
      </c>
    </row>
    <row r="175" spans="1:22" x14ac:dyDescent="0.25">
      <c r="A175" s="377">
        <v>45921</v>
      </c>
      <c r="B175" s="375">
        <v>13800</v>
      </c>
      <c r="C175" s="375">
        <v>13500</v>
      </c>
      <c r="D175" s="375">
        <v>3</v>
      </c>
      <c r="E175" s="375">
        <v>3</v>
      </c>
      <c r="F175" s="375">
        <v>2.1739130434782594E-2</v>
      </c>
      <c r="G175" s="375">
        <v>410</v>
      </c>
      <c r="H175" s="376">
        <v>7.3170731707317077E-3</v>
      </c>
      <c r="I175" s="375">
        <v>4500</v>
      </c>
      <c r="J175" s="375">
        <v>4950</v>
      </c>
      <c r="K175" s="375">
        <v>3</v>
      </c>
      <c r="L175" s="375">
        <v>400</v>
      </c>
      <c r="M175" s="375">
        <v>10</v>
      </c>
      <c r="N175" s="375">
        <v>6000</v>
      </c>
      <c r="O175" s="375">
        <v>6300</v>
      </c>
      <c r="P175" s="375">
        <v>0.05</v>
      </c>
      <c r="Q175" s="375">
        <v>10</v>
      </c>
      <c r="R175" s="375">
        <v>7500</v>
      </c>
      <c r="S175" s="375">
        <v>7500</v>
      </c>
      <c r="T175" s="375">
        <v>0</v>
      </c>
      <c r="U175" s="375">
        <v>400</v>
      </c>
      <c r="V175" s="375" t="s">
        <v>597</v>
      </c>
    </row>
    <row r="176" spans="1:22" x14ac:dyDescent="0.25">
      <c r="A176" s="377">
        <v>45922</v>
      </c>
      <c r="B176" s="375">
        <v>13800</v>
      </c>
      <c r="C176" s="375">
        <v>13500</v>
      </c>
      <c r="D176" s="375">
        <v>3</v>
      </c>
      <c r="E176" s="375">
        <v>3</v>
      </c>
      <c r="F176" s="375">
        <v>2.1739130434782594E-2</v>
      </c>
      <c r="G176" s="375">
        <v>410</v>
      </c>
      <c r="H176" s="376">
        <v>7.3170731707317077E-3</v>
      </c>
      <c r="I176" s="375">
        <v>4500</v>
      </c>
      <c r="J176" s="375">
        <v>4950</v>
      </c>
      <c r="K176" s="375">
        <v>3</v>
      </c>
      <c r="L176" s="375">
        <v>400</v>
      </c>
      <c r="M176" s="375">
        <v>10</v>
      </c>
      <c r="N176" s="375">
        <v>6000</v>
      </c>
      <c r="O176" s="375">
        <v>6300</v>
      </c>
      <c r="P176" s="375">
        <v>0.05</v>
      </c>
      <c r="Q176" s="375">
        <v>10</v>
      </c>
      <c r="R176" s="375">
        <v>7500</v>
      </c>
      <c r="S176" s="375">
        <v>7500</v>
      </c>
      <c r="T176" s="375">
        <v>0</v>
      </c>
      <c r="U176" s="375">
        <v>400</v>
      </c>
      <c r="V176" s="375" t="s">
        <v>597</v>
      </c>
    </row>
    <row r="177" spans="1:22" x14ac:dyDescent="0.25">
      <c r="A177" s="377">
        <v>45923</v>
      </c>
      <c r="B177" s="375">
        <v>13800</v>
      </c>
      <c r="C177" s="375">
        <v>13500</v>
      </c>
      <c r="D177" s="375">
        <v>3</v>
      </c>
      <c r="E177" s="375">
        <v>3</v>
      </c>
      <c r="F177" s="375">
        <v>2.1739130434782594E-2</v>
      </c>
      <c r="G177" s="375">
        <v>410</v>
      </c>
      <c r="H177" s="376">
        <v>7.3170731707317077E-3</v>
      </c>
      <c r="I177" s="375">
        <v>4500</v>
      </c>
      <c r="J177" s="375">
        <v>4950</v>
      </c>
      <c r="K177" s="375">
        <v>3</v>
      </c>
      <c r="L177" s="375">
        <v>400</v>
      </c>
      <c r="M177" s="375">
        <v>10</v>
      </c>
      <c r="N177" s="375">
        <v>6000</v>
      </c>
      <c r="O177" s="375">
        <v>6300</v>
      </c>
      <c r="P177" s="375">
        <v>0.05</v>
      </c>
      <c r="Q177" s="375">
        <v>10</v>
      </c>
      <c r="R177" s="375">
        <v>7500</v>
      </c>
      <c r="S177" s="375">
        <v>7500</v>
      </c>
      <c r="T177" s="375">
        <v>0</v>
      </c>
      <c r="U177" s="375">
        <v>400</v>
      </c>
      <c r="V177" s="375" t="s">
        <v>597</v>
      </c>
    </row>
    <row r="178" spans="1:22" x14ac:dyDescent="0.25">
      <c r="A178" s="377">
        <v>45924</v>
      </c>
      <c r="B178" s="375">
        <v>13800</v>
      </c>
      <c r="C178" s="375">
        <v>13500</v>
      </c>
      <c r="D178" s="375">
        <v>3</v>
      </c>
      <c r="E178" s="375">
        <v>3</v>
      </c>
      <c r="F178" s="375">
        <v>2.1739130434782594E-2</v>
      </c>
      <c r="G178" s="375">
        <v>410</v>
      </c>
      <c r="H178" s="376">
        <v>7.3170731707317077E-3</v>
      </c>
      <c r="I178" s="375">
        <v>4500</v>
      </c>
      <c r="J178" s="375">
        <v>4950</v>
      </c>
      <c r="K178" s="375">
        <v>3</v>
      </c>
      <c r="L178" s="375">
        <v>400</v>
      </c>
      <c r="M178" s="375">
        <v>10</v>
      </c>
      <c r="N178" s="375">
        <v>6000</v>
      </c>
      <c r="O178" s="375">
        <v>6300</v>
      </c>
      <c r="P178" s="375">
        <v>0.05</v>
      </c>
      <c r="Q178" s="375">
        <v>10</v>
      </c>
      <c r="R178" s="375">
        <v>7500</v>
      </c>
      <c r="S178" s="375">
        <v>7500</v>
      </c>
      <c r="T178" s="375">
        <v>0</v>
      </c>
      <c r="U178" s="375">
        <v>400</v>
      </c>
      <c r="V178" s="375" t="s">
        <v>597</v>
      </c>
    </row>
    <row r="179" spans="1:22" x14ac:dyDescent="0.25">
      <c r="A179" s="377">
        <v>45925</v>
      </c>
      <c r="B179" s="375">
        <v>6300</v>
      </c>
      <c r="C179" s="375">
        <v>6000</v>
      </c>
      <c r="D179" s="375">
        <v>0</v>
      </c>
      <c r="E179" s="375">
        <v>0</v>
      </c>
      <c r="F179" s="375">
        <v>4.7619047619047672E-2</v>
      </c>
      <c r="G179" s="375">
        <v>410</v>
      </c>
      <c r="H179" s="376">
        <v>0</v>
      </c>
      <c r="I179" s="375">
        <v>0</v>
      </c>
      <c r="J179" s="375">
        <v>0</v>
      </c>
      <c r="K179" s="375">
        <v>0</v>
      </c>
      <c r="L179" s="375">
        <v>400</v>
      </c>
      <c r="M179" s="375">
        <v>10</v>
      </c>
      <c r="N179" s="375">
        <v>6000</v>
      </c>
      <c r="O179" s="375">
        <v>6300</v>
      </c>
      <c r="P179" s="375">
        <v>0.05</v>
      </c>
      <c r="Q179" s="375">
        <v>10</v>
      </c>
      <c r="R179" s="375">
        <v>0</v>
      </c>
      <c r="S179" s="375">
        <v>0</v>
      </c>
      <c r="T179" s="375">
        <v>0</v>
      </c>
      <c r="U179" s="375">
        <v>400</v>
      </c>
      <c r="V179" s="375" t="s">
        <v>597</v>
      </c>
    </row>
    <row r="180" spans="1:22" x14ac:dyDescent="0.25">
      <c r="A180" s="377">
        <v>45926</v>
      </c>
      <c r="B180" s="375">
        <v>6300</v>
      </c>
      <c r="C180" s="375">
        <v>6000</v>
      </c>
      <c r="D180" s="375">
        <v>0</v>
      </c>
      <c r="E180" s="375">
        <v>0</v>
      </c>
      <c r="F180" s="375">
        <v>4.7619047619047672E-2</v>
      </c>
      <c r="G180" s="375">
        <v>410</v>
      </c>
      <c r="H180" s="376">
        <v>0</v>
      </c>
      <c r="I180" s="375">
        <v>0</v>
      </c>
      <c r="J180" s="375">
        <v>0</v>
      </c>
      <c r="K180" s="375">
        <v>0</v>
      </c>
      <c r="L180" s="375">
        <v>400</v>
      </c>
      <c r="M180" s="375">
        <v>10</v>
      </c>
      <c r="N180" s="375">
        <v>6000</v>
      </c>
      <c r="O180" s="375">
        <v>6300</v>
      </c>
      <c r="P180" s="375">
        <v>0.05</v>
      </c>
      <c r="Q180" s="375">
        <v>10</v>
      </c>
      <c r="R180" s="375">
        <v>0</v>
      </c>
      <c r="S180" s="375">
        <v>0</v>
      </c>
      <c r="T180" s="375">
        <v>0</v>
      </c>
      <c r="U180" s="375">
        <v>400</v>
      </c>
      <c r="V180" s="375" t="s">
        <v>597</v>
      </c>
    </row>
    <row r="181" spans="1:22" x14ac:dyDescent="0.25">
      <c r="A181" s="377">
        <v>45927</v>
      </c>
      <c r="B181" s="375">
        <v>6300</v>
      </c>
      <c r="C181" s="375">
        <v>6000</v>
      </c>
      <c r="D181" s="375">
        <v>0</v>
      </c>
      <c r="E181" s="375">
        <v>0</v>
      </c>
      <c r="F181" s="375">
        <v>4.7619047619047672E-2</v>
      </c>
      <c r="G181" s="375">
        <v>410</v>
      </c>
      <c r="H181" s="376">
        <v>0</v>
      </c>
      <c r="I181" s="375">
        <v>0</v>
      </c>
      <c r="J181" s="375">
        <v>0</v>
      </c>
      <c r="K181" s="375">
        <v>0</v>
      </c>
      <c r="L181" s="375">
        <v>400</v>
      </c>
      <c r="M181" s="375">
        <v>10</v>
      </c>
      <c r="N181" s="375">
        <v>6000</v>
      </c>
      <c r="O181" s="375">
        <v>6300</v>
      </c>
      <c r="P181" s="375">
        <v>0.05</v>
      </c>
      <c r="Q181" s="375">
        <v>10</v>
      </c>
      <c r="R181" s="375">
        <v>0</v>
      </c>
      <c r="S181" s="375">
        <v>0</v>
      </c>
      <c r="T181" s="375">
        <v>0</v>
      </c>
      <c r="U181" s="375">
        <v>400</v>
      </c>
      <c r="V181" s="375" t="s">
        <v>597</v>
      </c>
    </row>
    <row r="182" spans="1:22" x14ac:dyDescent="0.25">
      <c r="A182" s="377">
        <v>45928</v>
      </c>
      <c r="B182" s="375">
        <v>13800</v>
      </c>
      <c r="C182" s="375">
        <v>13500</v>
      </c>
      <c r="D182" s="375">
        <v>3</v>
      </c>
      <c r="E182" s="375">
        <v>3</v>
      </c>
      <c r="F182" s="375">
        <v>2.1739130434782594E-2</v>
      </c>
      <c r="G182" s="375">
        <v>410</v>
      </c>
      <c r="H182" s="376">
        <v>7.3170731707317077E-3</v>
      </c>
      <c r="I182" s="375">
        <v>4500</v>
      </c>
      <c r="J182" s="375">
        <v>4950</v>
      </c>
      <c r="K182" s="375">
        <v>3</v>
      </c>
      <c r="L182" s="375">
        <v>400</v>
      </c>
      <c r="M182" s="375">
        <v>10</v>
      </c>
      <c r="N182" s="375">
        <v>6000</v>
      </c>
      <c r="O182" s="375">
        <v>6300</v>
      </c>
      <c r="P182" s="375">
        <v>0.05</v>
      </c>
      <c r="Q182" s="375">
        <v>10</v>
      </c>
      <c r="R182" s="375">
        <v>7500</v>
      </c>
      <c r="S182" s="375">
        <v>7500</v>
      </c>
      <c r="T182" s="375">
        <v>0</v>
      </c>
      <c r="U182" s="375">
        <v>400</v>
      </c>
      <c r="V182" s="375" t="s">
        <v>597</v>
      </c>
    </row>
    <row r="183" spans="1:22" x14ac:dyDescent="0.25">
      <c r="A183" s="377">
        <v>45929</v>
      </c>
      <c r="B183" s="375">
        <v>11300</v>
      </c>
      <c r="C183" s="375">
        <v>11000</v>
      </c>
      <c r="D183" s="375">
        <v>2</v>
      </c>
      <c r="E183" s="375">
        <v>3</v>
      </c>
      <c r="F183" s="375">
        <v>2.6548672566371723E-2</v>
      </c>
      <c r="G183" s="375">
        <v>410</v>
      </c>
      <c r="H183" s="376">
        <v>4.8780487804878049E-3</v>
      </c>
      <c r="I183" s="375">
        <v>4500</v>
      </c>
      <c r="J183" s="375">
        <v>4950</v>
      </c>
      <c r="K183" s="375">
        <v>2</v>
      </c>
      <c r="L183" s="375">
        <v>400</v>
      </c>
      <c r="M183" s="375">
        <v>10</v>
      </c>
      <c r="N183" s="375">
        <v>6000</v>
      </c>
      <c r="O183" s="375">
        <v>6300</v>
      </c>
      <c r="P183" s="375">
        <v>0.05</v>
      </c>
      <c r="Q183" s="375">
        <v>10</v>
      </c>
      <c r="R183" s="375">
        <v>5000</v>
      </c>
      <c r="S183" s="375">
        <v>5000</v>
      </c>
      <c r="T183" s="375">
        <v>0</v>
      </c>
      <c r="U183" s="375">
        <v>400</v>
      </c>
      <c r="V183" s="375" t="s">
        <v>597</v>
      </c>
    </row>
    <row r="184" spans="1:22" x14ac:dyDescent="0.25">
      <c r="A184" s="377">
        <v>45930</v>
      </c>
      <c r="B184" s="375">
        <v>0</v>
      </c>
      <c r="C184" s="375">
        <v>0</v>
      </c>
      <c r="D184" s="375">
        <v>0</v>
      </c>
      <c r="E184" s="375">
        <v>0</v>
      </c>
      <c r="F184" s="375">
        <v>0</v>
      </c>
      <c r="G184" s="375">
        <v>410</v>
      </c>
      <c r="H184" s="376">
        <v>0</v>
      </c>
      <c r="I184" s="375">
        <v>0</v>
      </c>
      <c r="J184" s="375">
        <v>0</v>
      </c>
      <c r="K184" s="375">
        <v>0</v>
      </c>
      <c r="L184" s="375">
        <v>400</v>
      </c>
      <c r="M184" s="375">
        <v>10</v>
      </c>
      <c r="N184" s="375">
        <v>0</v>
      </c>
      <c r="O184" s="375">
        <v>0</v>
      </c>
      <c r="P184" s="375">
        <v>0.05</v>
      </c>
      <c r="Q184" s="375">
        <v>10</v>
      </c>
      <c r="R184" s="375">
        <v>0</v>
      </c>
      <c r="S184" s="375">
        <v>0</v>
      </c>
      <c r="T184" s="375">
        <v>0</v>
      </c>
      <c r="U184" s="375">
        <v>400</v>
      </c>
      <c r="V184" s="375" t="s">
        <v>597</v>
      </c>
    </row>
    <row r="185" spans="1:22" x14ac:dyDescent="0.25">
      <c r="A185" s="377">
        <v>45931</v>
      </c>
      <c r="B185" s="375">
        <v>0</v>
      </c>
      <c r="C185" s="375">
        <v>0</v>
      </c>
      <c r="D185" s="375">
        <v>0</v>
      </c>
      <c r="E185" s="375">
        <v>0</v>
      </c>
      <c r="F185" s="375">
        <v>0</v>
      </c>
      <c r="G185" s="375">
        <v>400</v>
      </c>
      <c r="H185" s="376">
        <v>0</v>
      </c>
      <c r="I185" s="375">
        <v>0</v>
      </c>
      <c r="J185" s="375">
        <v>0</v>
      </c>
      <c r="K185" s="375">
        <v>0</v>
      </c>
      <c r="L185" s="375">
        <v>400</v>
      </c>
      <c r="M185" s="375">
        <v>0</v>
      </c>
      <c r="N185" s="375">
        <v>0</v>
      </c>
      <c r="O185" s="375">
        <v>0</v>
      </c>
      <c r="P185" s="375">
        <v>0</v>
      </c>
      <c r="Q185" s="375">
        <v>0</v>
      </c>
      <c r="R185" s="375">
        <v>0</v>
      </c>
      <c r="S185" s="375">
        <v>0</v>
      </c>
      <c r="T185" s="375">
        <v>0.05</v>
      </c>
      <c r="U185" s="375">
        <v>400</v>
      </c>
      <c r="V185" s="375" t="s">
        <v>597</v>
      </c>
    </row>
    <row r="186" spans="1:22" x14ac:dyDescent="0.25">
      <c r="A186" s="377">
        <v>45932</v>
      </c>
      <c r="B186" s="375">
        <v>5263</v>
      </c>
      <c r="C186" s="375">
        <v>5000</v>
      </c>
      <c r="D186" s="375">
        <v>1</v>
      </c>
      <c r="E186" s="375">
        <v>1</v>
      </c>
      <c r="F186" s="375">
        <v>5.0000000000000044E-2</v>
      </c>
      <c r="G186" s="375">
        <v>400</v>
      </c>
      <c r="H186" s="376">
        <v>2.5000000000000001E-3</v>
      </c>
      <c r="I186" s="375">
        <v>4000</v>
      </c>
      <c r="J186" s="375">
        <v>4400</v>
      </c>
      <c r="K186" s="375">
        <v>1</v>
      </c>
      <c r="L186" s="375">
        <v>400</v>
      </c>
      <c r="M186" s="375">
        <v>0</v>
      </c>
      <c r="N186" s="375">
        <v>0</v>
      </c>
      <c r="O186" s="375">
        <v>0</v>
      </c>
      <c r="P186" s="375">
        <v>0</v>
      </c>
      <c r="Q186" s="375">
        <v>0</v>
      </c>
      <c r="R186" s="375">
        <v>5000</v>
      </c>
      <c r="S186" s="375">
        <v>5263.1578947368425</v>
      </c>
      <c r="T186" s="375">
        <v>0.05</v>
      </c>
      <c r="U186" s="375">
        <v>400</v>
      </c>
      <c r="V186" s="375" t="s">
        <v>597</v>
      </c>
    </row>
    <row r="187" spans="1:22" x14ac:dyDescent="0.25">
      <c r="A187" s="377">
        <v>45933</v>
      </c>
      <c r="B187" s="375">
        <v>0</v>
      </c>
      <c r="C187" s="375">
        <v>0</v>
      </c>
      <c r="D187" s="375">
        <v>0</v>
      </c>
      <c r="E187" s="375">
        <v>0</v>
      </c>
      <c r="F187" s="375">
        <v>0</v>
      </c>
      <c r="G187" s="375">
        <v>400</v>
      </c>
      <c r="H187" s="376">
        <v>0</v>
      </c>
      <c r="I187" s="375">
        <v>0</v>
      </c>
      <c r="J187" s="375">
        <v>0</v>
      </c>
      <c r="K187" s="375">
        <v>0</v>
      </c>
      <c r="L187" s="375">
        <v>400</v>
      </c>
      <c r="M187" s="375">
        <v>0</v>
      </c>
      <c r="N187" s="375">
        <v>0</v>
      </c>
      <c r="O187" s="375">
        <v>0</v>
      </c>
      <c r="P187" s="375">
        <v>0</v>
      </c>
      <c r="Q187" s="375">
        <v>0</v>
      </c>
      <c r="R187" s="375">
        <v>0</v>
      </c>
      <c r="S187" s="375">
        <v>0</v>
      </c>
      <c r="T187" s="375">
        <v>0.05</v>
      </c>
      <c r="U187" s="375">
        <v>400</v>
      </c>
      <c r="V187" s="375" t="s">
        <v>597</v>
      </c>
    </row>
    <row r="188" spans="1:22" x14ac:dyDescent="0.25">
      <c r="A188" s="377">
        <v>45934</v>
      </c>
      <c r="B188" s="375">
        <v>0</v>
      </c>
      <c r="C188" s="375">
        <v>0</v>
      </c>
      <c r="D188" s="375">
        <v>0</v>
      </c>
      <c r="E188" s="375">
        <v>0</v>
      </c>
      <c r="F188" s="375">
        <v>0</v>
      </c>
      <c r="G188" s="375">
        <v>400</v>
      </c>
      <c r="H188" s="376">
        <v>0</v>
      </c>
      <c r="I188" s="375">
        <v>0</v>
      </c>
      <c r="J188" s="375">
        <v>0</v>
      </c>
      <c r="K188" s="375">
        <v>0</v>
      </c>
      <c r="L188" s="375">
        <v>400</v>
      </c>
      <c r="M188" s="375">
        <v>0</v>
      </c>
      <c r="N188" s="375">
        <v>0</v>
      </c>
      <c r="O188" s="375">
        <v>0</v>
      </c>
      <c r="P188" s="375">
        <v>0</v>
      </c>
      <c r="Q188" s="375">
        <v>0</v>
      </c>
      <c r="R188" s="375">
        <v>0</v>
      </c>
      <c r="S188" s="375">
        <v>0</v>
      </c>
      <c r="T188" s="375">
        <v>0.05</v>
      </c>
      <c r="U188" s="375">
        <v>400</v>
      </c>
      <c r="V188" s="375" t="s">
        <v>597</v>
      </c>
    </row>
    <row r="189" spans="1:22" x14ac:dyDescent="0.25">
      <c r="A189" s="377">
        <v>45935</v>
      </c>
      <c r="B189" s="375">
        <v>5263</v>
      </c>
      <c r="C189" s="375">
        <v>5000</v>
      </c>
      <c r="D189" s="375">
        <v>1</v>
      </c>
      <c r="E189" s="375">
        <v>1</v>
      </c>
      <c r="F189" s="375">
        <v>5.0000000000000044E-2</v>
      </c>
      <c r="G189" s="375">
        <v>400</v>
      </c>
      <c r="H189" s="376">
        <v>2.5000000000000001E-3</v>
      </c>
      <c r="I189" s="375">
        <v>4000</v>
      </c>
      <c r="J189" s="375">
        <v>4400</v>
      </c>
      <c r="K189" s="375">
        <v>1</v>
      </c>
      <c r="L189" s="375">
        <v>400</v>
      </c>
      <c r="M189" s="375">
        <v>0</v>
      </c>
      <c r="N189" s="375">
        <v>0</v>
      </c>
      <c r="O189" s="375">
        <v>0</v>
      </c>
      <c r="P189" s="375">
        <v>0</v>
      </c>
      <c r="Q189" s="375">
        <v>0</v>
      </c>
      <c r="R189" s="375">
        <v>5000</v>
      </c>
      <c r="S189" s="375">
        <v>5263.1578947368425</v>
      </c>
      <c r="T189" s="375">
        <v>0.05</v>
      </c>
      <c r="U189" s="375">
        <v>400</v>
      </c>
      <c r="V189" s="375" t="s">
        <v>597</v>
      </c>
    </row>
    <row r="190" spans="1:22" x14ac:dyDescent="0.25">
      <c r="A190" s="377">
        <v>45936</v>
      </c>
      <c r="B190" s="375">
        <v>5263</v>
      </c>
      <c r="C190" s="375">
        <v>5000</v>
      </c>
      <c r="D190" s="375">
        <v>1</v>
      </c>
      <c r="E190" s="375">
        <v>1</v>
      </c>
      <c r="F190" s="375">
        <v>5.0000000000000044E-2</v>
      </c>
      <c r="G190" s="375">
        <v>400</v>
      </c>
      <c r="H190" s="376">
        <v>2.5000000000000001E-3</v>
      </c>
      <c r="I190" s="375">
        <v>4000</v>
      </c>
      <c r="J190" s="375">
        <v>4400</v>
      </c>
      <c r="K190" s="375">
        <v>1</v>
      </c>
      <c r="L190" s="375">
        <v>400</v>
      </c>
      <c r="M190" s="375">
        <v>0</v>
      </c>
      <c r="N190" s="375">
        <v>0</v>
      </c>
      <c r="O190" s="375">
        <v>0</v>
      </c>
      <c r="P190" s="375">
        <v>0</v>
      </c>
      <c r="Q190" s="375">
        <v>0</v>
      </c>
      <c r="R190" s="375">
        <v>5000</v>
      </c>
      <c r="S190" s="375">
        <v>5263.1578947368425</v>
      </c>
      <c r="T190" s="375">
        <v>0.05</v>
      </c>
      <c r="U190" s="375">
        <v>400</v>
      </c>
      <c r="V190" s="375" t="s">
        <v>597</v>
      </c>
    </row>
    <row r="191" spans="1:22" x14ac:dyDescent="0.25">
      <c r="A191" s="377">
        <v>45937</v>
      </c>
      <c r="B191" s="375">
        <v>0</v>
      </c>
      <c r="C191" s="375">
        <v>0</v>
      </c>
      <c r="D191" s="375">
        <v>0</v>
      </c>
      <c r="E191" s="375">
        <v>0</v>
      </c>
      <c r="F191" s="375">
        <v>0</v>
      </c>
      <c r="G191" s="375">
        <v>400</v>
      </c>
      <c r="H191" s="376">
        <v>0</v>
      </c>
      <c r="I191" s="375">
        <v>0</v>
      </c>
      <c r="J191" s="375">
        <v>0</v>
      </c>
      <c r="K191" s="375">
        <v>0</v>
      </c>
      <c r="L191" s="375">
        <v>400</v>
      </c>
      <c r="M191" s="375">
        <v>0</v>
      </c>
      <c r="N191" s="375">
        <v>0</v>
      </c>
      <c r="O191" s="375">
        <v>0</v>
      </c>
      <c r="P191" s="375">
        <v>0</v>
      </c>
      <c r="Q191" s="375">
        <v>0</v>
      </c>
      <c r="R191" s="375">
        <v>0</v>
      </c>
      <c r="S191" s="375">
        <v>0</v>
      </c>
      <c r="T191" s="375">
        <v>0.05</v>
      </c>
      <c r="U191" s="375">
        <v>400</v>
      </c>
      <c r="V191" s="375" t="s">
        <v>597</v>
      </c>
    </row>
    <row r="192" spans="1:22" x14ac:dyDescent="0.25">
      <c r="A192" s="377">
        <v>45938</v>
      </c>
      <c r="B192" s="375">
        <v>0</v>
      </c>
      <c r="C192" s="375">
        <v>0</v>
      </c>
      <c r="D192" s="375">
        <v>0</v>
      </c>
      <c r="E192" s="375">
        <v>0</v>
      </c>
      <c r="F192" s="375">
        <v>0</v>
      </c>
      <c r="G192" s="375">
        <v>400</v>
      </c>
      <c r="H192" s="376">
        <v>0</v>
      </c>
      <c r="I192" s="375">
        <v>0</v>
      </c>
      <c r="J192" s="375">
        <v>0</v>
      </c>
      <c r="K192" s="375">
        <v>0</v>
      </c>
      <c r="L192" s="375">
        <v>400</v>
      </c>
      <c r="M192" s="375">
        <v>0</v>
      </c>
      <c r="N192" s="375">
        <v>0</v>
      </c>
      <c r="O192" s="375">
        <v>0</v>
      </c>
      <c r="P192" s="375">
        <v>0</v>
      </c>
      <c r="Q192" s="375">
        <v>0</v>
      </c>
      <c r="R192" s="375">
        <v>0</v>
      </c>
      <c r="S192" s="375">
        <v>0</v>
      </c>
      <c r="T192" s="375">
        <v>0.05</v>
      </c>
      <c r="U192" s="375">
        <v>400</v>
      </c>
      <c r="V192" s="375" t="s">
        <v>597</v>
      </c>
    </row>
    <row r="193" spans="1:22" x14ac:dyDescent="0.25">
      <c r="A193" s="377">
        <v>45939</v>
      </c>
      <c r="B193" s="375">
        <v>0</v>
      </c>
      <c r="C193" s="375">
        <v>0</v>
      </c>
      <c r="D193" s="375">
        <v>0</v>
      </c>
      <c r="E193" s="375">
        <v>0</v>
      </c>
      <c r="F193" s="375">
        <v>0</v>
      </c>
      <c r="G193" s="375">
        <v>400</v>
      </c>
      <c r="H193" s="376">
        <v>0</v>
      </c>
      <c r="I193" s="375">
        <v>0</v>
      </c>
      <c r="J193" s="375">
        <v>0</v>
      </c>
      <c r="K193" s="375">
        <v>0</v>
      </c>
      <c r="L193" s="375">
        <v>400</v>
      </c>
      <c r="M193" s="375">
        <v>0</v>
      </c>
      <c r="N193" s="375">
        <v>0</v>
      </c>
      <c r="O193" s="375">
        <v>0</v>
      </c>
      <c r="P193" s="375">
        <v>0</v>
      </c>
      <c r="Q193" s="375">
        <v>0</v>
      </c>
      <c r="R193" s="375">
        <v>0</v>
      </c>
      <c r="S193" s="375">
        <v>0</v>
      </c>
      <c r="T193" s="375">
        <v>0.05</v>
      </c>
      <c r="U193" s="375">
        <v>400</v>
      </c>
      <c r="V193" s="375" t="s">
        <v>597</v>
      </c>
    </row>
    <row r="194" spans="1:22" x14ac:dyDescent="0.25">
      <c r="A194" s="377">
        <v>45940</v>
      </c>
      <c r="B194" s="375">
        <v>5263</v>
      </c>
      <c r="C194" s="375">
        <v>5000</v>
      </c>
      <c r="D194" s="375">
        <v>1</v>
      </c>
      <c r="E194" s="375">
        <v>1</v>
      </c>
      <c r="F194" s="375">
        <v>5.0000000000000044E-2</v>
      </c>
      <c r="G194" s="375">
        <v>400</v>
      </c>
      <c r="H194" s="376">
        <v>2.5000000000000001E-3</v>
      </c>
      <c r="I194" s="375">
        <v>4000</v>
      </c>
      <c r="J194" s="375">
        <v>4400</v>
      </c>
      <c r="K194" s="375">
        <v>1</v>
      </c>
      <c r="L194" s="375">
        <v>400</v>
      </c>
      <c r="M194" s="375">
        <v>0</v>
      </c>
      <c r="N194" s="375">
        <v>0</v>
      </c>
      <c r="O194" s="375">
        <v>0</v>
      </c>
      <c r="P194" s="375">
        <v>0</v>
      </c>
      <c r="Q194" s="375">
        <v>0</v>
      </c>
      <c r="R194" s="375">
        <v>5000</v>
      </c>
      <c r="S194" s="375">
        <v>5263.1578947368425</v>
      </c>
      <c r="T194" s="375">
        <v>0.05</v>
      </c>
      <c r="U194" s="375">
        <v>400</v>
      </c>
      <c r="V194" s="375" t="s">
        <v>597</v>
      </c>
    </row>
    <row r="195" spans="1:22" x14ac:dyDescent="0.25">
      <c r="A195" s="377">
        <v>45941</v>
      </c>
      <c r="B195" s="375">
        <v>5263</v>
      </c>
      <c r="C195" s="375">
        <v>5000</v>
      </c>
      <c r="D195" s="375">
        <v>1</v>
      </c>
      <c r="E195" s="375">
        <v>1</v>
      </c>
      <c r="F195" s="375">
        <v>5.0000000000000044E-2</v>
      </c>
      <c r="G195" s="375">
        <v>400</v>
      </c>
      <c r="H195" s="376">
        <v>2.5000000000000001E-3</v>
      </c>
      <c r="I195" s="375">
        <v>4000</v>
      </c>
      <c r="J195" s="375">
        <v>4400</v>
      </c>
      <c r="K195" s="375">
        <v>1</v>
      </c>
      <c r="L195" s="375">
        <v>400</v>
      </c>
      <c r="M195" s="375">
        <v>0</v>
      </c>
      <c r="N195" s="375">
        <v>0</v>
      </c>
      <c r="O195" s="375">
        <v>0</v>
      </c>
      <c r="P195" s="375">
        <v>0</v>
      </c>
      <c r="Q195" s="375">
        <v>0</v>
      </c>
      <c r="R195" s="375">
        <v>5000</v>
      </c>
      <c r="S195" s="375">
        <v>5263.1578947368425</v>
      </c>
      <c r="T195" s="375">
        <v>0.05</v>
      </c>
      <c r="U195" s="375">
        <v>400</v>
      </c>
      <c r="V195" s="375" t="s">
        <v>597</v>
      </c>
    </row>
    <row r="196" spans="1:22" x14ac:dyDescent="0.25">
      <c r="A196" s="377">
        <v>45942</v>
      </c>
      <c r="B196" s="375">
        <v>0</v>
      </c>
      <c r="C196" s="375">
        <v>0</v>
      </c>
      <c r="D196" s="375">
        <v>0</v>
      </c>
      <c r="E196" s="375">
        <v>0</v>
      </c>
      <c r="F196" s="375">
        <v>0</v>
      </c>
      <c r="G196" s="375">
        <v>400</v>
      </c>
      <c r="H196" s="376">
        <v>0</v>
      </c>
      <c r="I196" s="375">
        <v>0</v>
      </c>
      <c r="J196" s="375">
        <v>0</v>
      </c>
      <c r="K196" s="375">
        <v>0</v>
      </c>
      <c r="L196" s="375">
        <v>400</v>
      </c>
      <c r="M196" s="375">
        <v>0</v>
      </c>
      <c r="N196" s="375">
        <v>0</v>
      </c>
      <c r="O196" s="375">
        <v>0</v>
      </c>
      <c r="P196" s="375">
        <v>0</v>
      </c>
      <c r="Q196" s="375">
        <v>0</v>
      </c>
      <c r="R196" s="375">
        <v>0</v>
      </c>
      <c r="S196" s="375">
        <v>0</v>
      </c>
      <c r="T196" s="375">
        <v>0.05</v>
      </c>
      <c r="U196" s="375">
        <v>400</v>
      </c>
      <c r="V196" s="375" t="s">
        <v>597</v>
      </c>
    </row>
    <row r="197" spans="1:22" x14ac:dyDescent="0.25">
      <c r="A197" s="377">
        <v>45943</v>
      </c>
      <c r="B197" s="375">
        <v>8400</v>
      </c>
      <c r="C197" s="375">
        <v>8000</v>
      </c>
      <c r="D197" s="375">
        <v>2</v>
      </c>
      <c r="E197" s="375">
        <v>2</v>
      </c>
      <c r="F197" s="375">
        <v>4.7619047619047672E-2</v>
      </c>
      <c r="G197" s="375">
        <v>450</v>
      </c>
      <c r="H197" s="376">
        <v>4.4444444444444444E-3</v>
      </c>
      <c r="I197" s="375">
        <v>4000</v>
      </c>
      <c r="J197" s="375">
        <v>4400</v>
      </c>
      <c r="K197" s="375">
        <v>2</v>
      </c>
      <c r="L197" s="375">
        <v>400</v>
      </c>
      <c r="M197" s="375">
        <v>50</v>
      </c>
      <c r="N197" s="375">
        <v>8000</v>
      </c>
      <c r="O197" s="375">
        <v>8400</v>
      </c>
      <c r="P197" s="375">
        <v>0</v>
      </c>
      <c r="Q197" s="375">
        <v>50</v>
      </c>
      <c r="R197" s="375">
        <v>0</v>
      </c>
      <c r="S197" s="375">
        <v>0</v>
      </c>
      <c r="T197" s="375">
        <v>0.05</v>
      </c>
      <c r="U197" s="375">
        <v>400</v>
      </c>
      <c r="V197" s="375" t="s">
        <v>597</v>
      </c>
    </row>
    <row r="198" spans="1:22" x14ac:dyDescent="0.25">
      <c r="A198" s="377">
        <v>45944</v>
      </c>
      <c r="B198" s="375">
        <v>8400</v>
      </c>
      <c r="C198" s="375">
        <v>8000</v>
      </c>
      <c r="D198" s="375">
        <v>2</v>
      </c>
      <c r="E198" s="375">
        <v>2</v>
      </c>
      <c r="F198" s="375">
        <v>4.7619047619047672E-2</v>
      </c>
      <c r="G198" s="375">
        <v>450</v>
      </c>
      <c r="H198" s="376">
        <v>4.4444444444444444E-3</v>
      </c>
      <c r="I198" s="375">
        <v>4000</v>
      </c>
      <c r="J198" s="375">
        <v>4400</v>
      </c>
      <c r="K198" s="375">
        <v>2</v>
      </c>
      <c r="L198" s="375">
        <v>400</v>
      </c>
      <c r="M198" s="375">
        <v>50</v>
      </c>
      <c r="N198" s="375">
        <v>8000</v>
      </c>
      <c r="O198" s="375">
        <v>8400</v>
      </c>
      <c r="P198" s="375">
        <v>0</v>
      </c>
      <c r="Q198" s="375">
        <v>50</v>
      </c>
      <c r="R198" s="375">
        <v>0</v>
      </c>
      <c r="S198" s="375">
        <v>0</v>
      </c>
      <c r="T198" s="375">
        <v>0.05</v>
      </c>
      <c r="U198" s="375">
        <v>400</v>
      </c>
      <c r="V198" s="375" t="s">
        <v>597</v>
      </c>
    </row>
    <row r="199" spans="1:22" x14ac:dyDescent="0.25">
      <c r="A199" s="377">
        <v>45945</v>
      </c>
      <c r="B199" s="375">
        <v>13663</v>
      </c>
      <c r="C199" s="375">
        <v>13000</v>
      </c>
      <c r="D199" s="375">
        <v>3</v>
      </c>
      <c r="E199" s="375">
        <v>3</v>
      </c>
      <c r="F199" s="375">
        <v>4.8536209553158849E-2</v>
      </c>
      <c r="G199" s="375">
        <v>450</v>
      </c>
      <c r="H199" s="376">
        <v>6.6666666666666671E-3</v>
      </c>
      <c r="I199" s="375">
        <v>4000</v>
      </c>
      <c r="J199" s="375">
        <v>4400</v>
      </c>
      <c r="K199" s="375">
        <v>3</v>
      </c>
      <c r="L199" s="375">
        <v>400</v>
      </c>
      <c r="M199" s="375">
        <v>50</v>
      </c>
      <c r="N199" s="375">
        <v>8000</v>
      </c>
      <c r="O199" s="375">
        <v>8400</v>
      </c>
      <c r="P199" s="375">
        <v>0</v>
      </c>
      <c r="Q199" s="375">
        <v>50</v>
      </c>
      <c r="R199" s="375">
        <v>5000</v>
      </c>
      <c r="S199" s="375">
        <v>5263.1578947368425</v>
      </c>
      <c r="T199" s="375">
        <v>0.05</v>
      </c>
      <c r="U199" s="375">
        <v>400</v>
      </c>
      <c r="V199" s="375" t="s">
        <v>597</v>
      </c>
    </row>
    <row r="200" spans="1:22" x14ac:dyDescent="0.25">
      <c r="A200" s="377">
        <v>45946</v>
      </c>
      <c r="B200" s="375">
        <v>13663</v>
      </c>
      <c r="C200" s="375">
        <v>13000</v>
      </c>
      <c r="D200" s="375">
        <v>3</v>
      </c>
      <c r="E200" s="375">
        <v>3</v>
      </c>
      <c r="F200" s="375">
        <v>4.8536209553158849E-2</v>
      </c>
      <c r="G200" s="375">
        <v>450</v>
      </c>
      <c r="H200" s="376">
        <v>6.6666666666666671E-3</v>
      </c>
      <c r="I200" s="375">
        <v>4000</v>
      </c>
      <c r="J200" s="375">
        <v>4400</v>
      </c>
      <c r="K200" s="375">
        <v>3</v>
      </c>
      <c r="L200" s="375">
        <v>400</v>
      </c>
      <c r="M200" s="375">
        <v>50</v>
      </c>
      <c r="N200" s="375">
        <v>8000</v>
      </c>
      <c r="O200" s="375">
        <v>8400</v>
      </c>
      <c r="P200" s="375">
        <v>0</v>
      </c>
      <c r="Q200" s="375">
        <v>50</v>
      </c>
      <c r="R200" s="375">
        <v>5000</v>
      </c>
      <c r="S200" s="375">
        <v>5263.1578947368425</v>
      </c>
      <c r="T200" s="375">
        <v>0.05</v>
      </c>
      <c r="U200" s="375">
        <v>400</v>
      </c>
      <c r="V200" s="375" t="s">
        <v>597</v>
      </c>
    </row>
    <row r="201" spans="1:22" x14ac:dyDescent="0.25">
      <c r="A201" s="377">
        <v>45947</v>
      </c>
      <c r="B201" s="375">
        <v>8400</v>
      </c>
      <c r="C201" s="375">
        <v>8000</v>
      </c>
      <c r="D201" s="375">
        <v>2</v>
      </c>
      <c r="E201" s="375">
        <v>2</v>
      </c>
      <c r="F201" s="375">
        <v>4.7619047619047672E-2</v>
      </c>
      <c r="G201" s="375">
        <v>450</v>
      </c>
      <c r="H201" s="376">
        <v>4.4444444444444444E-3</v>
      </c>
      <c r="I201" s="375">
        <v>4000</v>
      </c>
      <c r="J201" s="375">
        <v>4400</v>
      </c>
      <c r="K201" s="375">
        <v>2</v>
      </c>
      <c r="L201" s="375">
        <v>400</v>
      </c>
      <c r="M201" s="375">
        <v>50</v>
      </c>
      <c r="N201" s="375">
        <v>8000</v>
      </c>
      <c r="O201" s="375">
        <v>8400</v>
      </c>
      <c r="P201" s="375">
        <v>0</v>
      </c>
      <c r="Q201" s="375">
        <v>50</v>
      </c>
      <c r="R201" s="375">
        <v>0</v>
      </c>
      <c r="S201" s="375">
        <v>0</v>
      </c>
      <c r="T201" s="375">
        <v>0.05</v>
      </c>
      <c r="U201" s="375">
        <v>400</v>
      </c>
      <c r="V201" s="375" t="s">
        <v>597</v>
      </c>
    </row>
    <row r="202" spans="1:22" x14ac:dyDescent="0.25">
      <c r="A202" s="377">
        <v>45948</v>
      </c>
      <c r="B202" s="375">
        <v>0</v>
      </c>
      <c r="C202" s="375">
        <v>0</v>
      </c>
      <c r="D202" s="375">
        <v>0</v>
      </c>
      <c r="E202" s="375">
        <v>0</v>
      </c>
      <c r="F202" s="375">
        <v>0</v>
      </c>
      <c r="G202" s="375">
        <v>400</v>
      </c>
      <c r="H202" s="376">
        <v>0</v>
      </c>
      <c r="I202" s="375">
        <v>0</v>
      </c>
      <c r="J202" s="375">
        <v>0</v>
      </c>
      <c r="K202" s="375">
        <v>0</v>
      </c>
      <c r="L202" s="375">
        <v>400</v>
      </c>
      <c r="M202" s="375">
        <v>0</v>
      </c>
      <c r="N202" s="375">
        <v>0</v>
      </c>
      <c r="O202" s="375">
        <v>0</v>
      </c>
      <c r="P202" s="375">
        <v>0</v>
      </c>
      <c r="Q202" s="375">
        <v>0</v>
      </c>
      <c r="R202" s="375">
        <v>0</v>
      </c>
      <c r="S202" s="375">
        <v>0</v>
      </c>
      <c r="T202" s="375">
        <v>0.05</v>
      </c>
      <c r="U202" s="375">
        <v>400</v>
      </c>
      <c r="V202" s="375" t="s">
        <v>597</v>
      </c>
    </row>
    <row r="203" spans="1:22" x14ac:dyDescent="0.25">
      <c r="A203" s="377">
        <v>45949</v>
      </c>
      <c r="B203" s="375">
        <v>0</v>
      </c>
      <c r="C203" s="375">
        <v>0</v>
      </c>
      <c r="D203" s="375">
        <v>0</v>
      </c>
      <c r="E203" s="375">
        <v>0</v>
      </c>
      <c r="F203" s="375">
        <v>0</v>
      </c>
      <c r="G203" s="375">
        <v>400</v>
      </c>
      <c r="H203" s="376">
        <v>0</v>
      </c>
      <c r="I203" s="375">
        <v>0</v>
      </c>
      <c r="J203" s="375">
        <v>0</v>
      </c>
      <c r="K203" s="375">
        <v>0</v>
      </c>
      <c r="L203" s="375">
        <v>400</v>
      </c>
      <c r="M203" s="375">
        <v>0</v>
      </c>
      <c r="N203" s="375">
        <v>0</v>
      </c>
      <c r="O203" s="375">
        <v>0</v>
      </c>
      <c r="P203" s="375">
        <v>0</v>
      </c>
      <c r="Q203" s="375">
        <v>0</v>
      </c>
      <c r="R203" s="375">
        <v>0</v>
      </c>
      <c r="S203" s="375">
        <v>0</v>
      </c>
      <c r="T203" s="375">
        <v>0.05</v>
      </c>
      <c r="U203" s="375">
        <v>400</v>
      </c>
      <c r="V203" s="375" t="s">
        <v>597</v>
      </c>
    </row>
    <row r="204" spans="1:22" x14ac:dyDescent="0.25">
      <c r="A204" s="377">
        <v>45950</v>
      </c>
      <c r="B204" s="375">
        <v>5263</v>
      </c>
      <c r="C204" s="375">
        <v>5000</v>
      </c>
      <c r="D204" s="375">
        <v>1</v>
      </c>
      <c r="E204" s="375">
        <v>1</v>
      </c>
      <c r="F204" s="375">
        <v>5.0000000000000044E-2</v>
      </c>
      <c r="G204" s="375">
        <v>400</v>
      </c>
      <c r="H204" s="376">
        <v>2.5000000000000001E-3</v>
      </c>
      <c r="I204" s="375">
        <v>4000</v>
      </c>
      <c r="J204" s="375">
        <v>4400</v>
      </c>
      <c r="K204" s="375">
        <v>1</v>
      </c>
      <c r="L204" s="375">
        <v>400</v>
      </c>
      <c r="M204" s="375">
        <v>0</v>
      </c>
      <c r="N204" s="375">
        <v>0</v>
      </c>
      <c r="O204" s="375">
        <v>0</v>
      </c>
      <c r="P204" s="375">
        <v>0</v>
      </c>
      <c r="Q204" s="375">
        <v>0</v>
      </c>
      <c r="R204" s="375">
        <v>5000</v>
      </c>
      <c r="S204" s="375">
        <v>5263.1578947368425</v>
      </c>
      <c r="T204" s="375">
        <v>0.05</v>
      </c>
      <c r="U204" s="375">
        <v>400</v>
      </c>
      <c r="V204" s="375" t="s">
        <v>597</v>
      </c>
    </row>
    <row r="205" spans="1:22" x14ac:dyDescent="0.25">
      <c r="A205" s="377">
        <v>45951</v>
      </c>
      <c r="B205" s="375">
        <v>7895</v>
      </c>
      <c r="C205" s="375">
        <v>7500</v>
      </c>
      <c r="D205" s="375">
        <v>2</v>
      </c>
      <c r="E205" s="375">
        <v>2</v>
      </c>
      <c r="F205" s="375">
        <v>5.0000000000000044E-2</v>
      </c>
      <c r="G205" s="375">
        <v>400</v>
      </c>
      <c r="H205" s="376">
        <v>5.0000000000000001E-3</v>
      </c>
      <c r="I205" s="375">
        <v>4000</v>
      </c>
      <c r="J205" s="375">
        <v>4400</v>
      </c>
      <c r="K205" s="375">
        <v>2</v>
      </c>
      <c r="L205" s="375">
        <v>400</v>
      </c>
      <c r="M205" s="375">
        <v>0</v>
      </c>
      <c r="N205" s="375">
        <v>0</v>
      </c>
      <c r="O205" s="375">
        <v>0</v>
      </c>
      <c r="P205" s="375">
        <v>0</v>
      </c>
      <c r="Q205" s="375">
        <v>0</v>
      </c>
      <c r="R205" s="375">
        <v>7500</v>
      </c>
      <c r="S205" s="375">
        <v>7894.7368421052633</v>
      </c>
      <c r="T205" s="375">
        <v>0.05</v>
      </c>
      <c r="U205" s="375">
        <v>400</v>
      </c>
      <c r="V205" s="375" t="s">
        <v>597</v>
      </c>
    </row>
    <row r="206" spans="1:22" x14ac:dyDescent="0.25">
      <c r="A206" s="377">
        <v>45952</v>
      </c>
      <c r="B206" s="375">
        <v>0</v>
      </c>
      <c r="C206" s="375">
        <v>0</v>
      </c>
      <c r="D206" s="375">
        <v>0</v>
      </c>
      <c r="E206" s="375">
        <v>0</v>
      </c>
      <c r="F206" s="375">
        <v>0</v>
      </c>
      <c r="G206" s="375">
        <v>400</v>
      </c>
      <c r="H206" s="376">
        <v>0</v>
      </c>
      <c r="I206" s="375">
        <v>0</v>
      </c>
      <c r="J206" s="375">
        <v>0</v>
      </c>
      <c r="K206" s="375">
        <v>0</v>
      </c>
      <c r="L206" s="375">
        <v>400</v>
      </c>
      <c r="M206" s="375">
        <v>0</v>
      </c>
      <c r="N206" s="375">
        <v>0</v>
      </c>
      <c r="O206" s="375">
        <v>0</v>
      </c>
      <c r="P206" s="375">
        <v>0</v>
      </c>
      <c r="Q206" s="375">
        <v>0</v>
      </c>
      <c r="R206" s="375">
        <v>0</v>
      </c>
      <c r="S206" s="375">
        <v>0</v>
      </c>
      <c r="T206" s="375">
        <v>0.05</v>
      </c>
      <c r="U206" s="375">
        <v>400</v>
      </c>
      <c r="V206" s="375" t="s">
        <v>597</v>
      </c>
    </row>
    <row r="207" spans="1:22" x14ac:dyDescent="0.25">
      <c r="A207" s="377">
        <v>45953</v>
      </c>
      <c r="B207" s="375">
        <v>7895</v>
      </c>
      <c r="C207" s="375">
        <v>7500</v>
      </c>
      <c r="D207" s="375">
        <v>2</v>
      </c>
      <c r="E207" s="375">
        <v>2</v>
      </c>
      <c r="F207" s="375">
        <v>5.0000000000000044E-2</v>
      </c>
      <c r="G207" s="375">
        <v>400</v>
      </c>
      <c r="H207" s="376">
        <v>5.0000000000000001E-3</v>
      </c>
      <c r="I207" s="375">
        <v>4000</v>
      </c>
      <c r="J207" s="375">
        <v>4400</v>
      </c>
      <c r="K207" s="375">
        <v>2</v>
      </c>
      <c r="L207" s="375">
        <v>400</v>
      </c>
      <c r="M207" s="375">
        <v>0</v>
      </c>
      <c r="N207" s="375">
        <v>0</v>
      </c>
      <c r="O207" s="375">
        <v>0</v>
      </c>
      <c r="P207" s="375">
        <v>0</v>
      </c>
      <c r="Q207" s="375">
        <v>0</v>
      </c>
      <c r="R207" s="375">
        <v>7500</v>
      </c>
      <c r="S207" s="375">
        <v>7894.7368421052633</v>
      </c>
      <c r="T207" s="375">
        <v>0.05</v>
      </c>
      <c r="U207" s="375">
        <v>400</v>
      </c>
      <c r="V207" s="375" t="s">
        <v>597</v>
      </c>
    </row>
    <row r="208" spans="1:22" x14ac:dyDescent="0.25">
      <c r="A208" s="377">
        <v>45954</v>
      </c>
      <c r="B208" s="375">
        <v>7895</v>
      </c>
      <c r="C208" s="375">
        <v>7500</v>
      </c>
      <c r="D208" s="375">
        <v>2</v>
      </c>
      <c r="E208" s="375">
        <v>2</v>
      </c>
      <c r="F208" s="375">
        <v>5.0000000000000044E-2</v>
      </c>
      <c r="G208" s="375">
        <v>400</v>
      </c>
      <c r="H208" s="376">
        <v>5.0000000000000001E-3</v>
      </c>
      <c r="I208" s="375">
        <v>4000</v>
      </c>
      <c r="J208" s="375">
        <v>4400</v>
      </c>
      <c r="K208" s="375">
        <v>2</v>
      </c>
      <c r="L208" s="375">
        <v>400</v>
      </c>
      <c r="M208" s="375">
        <v>0</v>
      </c>
      <c r="N208" s="375">
        <v>0</v>
      </c>
      <c r="O208" s="375">
        <v>0</v>
      </c>
      <c r="P208" s="375">
        <v>0</v>
      </c>
      <c r="Q208" s="375">
        <v>0</v>
      </c>
      <c r="R208" s="375">
        <v>7500</v>
      </c>
      <c r="S208" s="375">
        <v>7894.7368421052633</v>
      </c>
      <c r="T208" s="375">
        <v>0.05</v>
      </c>
      <c r="U208" s="375">
        <v>400</v>
      </c>
      <c r="V208" s="375" t="s">
        <v>597</v>
      </c>
    </row>
    <row r="209" spans="1:22" x14ac:dyDescent="0.25">
      <c r="A209" s="377">
        <v>45955</v>
      </c>
      <c r="B209" s="375">
        <v>0</v>
      </c>
      <c r="C209" s="375">
        <v>0</v>
      </c>
      <c r="D209" s="375">
        <v>0</v>
      </c>
      <c r="E209" s="375">
        <v>0</v>
      </c>
      <c r="F209" s="375">
        <v>0</v>
      </c>
      <c r="G209" s="375">
        <v>400</v>
      </c>
      <c r="H209" s="376">
        <v>0</v>
      </c>
      <c r="I209" s="375">
        <v>0</v>
      </c>
      <c r="J209" s="375">
        <v>0</v>
      </c>
      <c r="K209" s="375">
        <v>0</v>
      </c>
      <c r="L209" s="375">
        <v>400</v>
      </c>
      <c r="M209" s="375">
        <v>0</v>
      </c>
      <c r="N209" s="375">
        <v>0</v>
      </c>
      <c r="O209" s="375">
        <v>0</v>
      </c>
      <c r="P209" s="375">
        <v>0</v>
      </c>
      <c r="Q209" s="375">
        <v>0</v>
      </c>
      <c r="R209" s="375">
        <v>0</v>
      </c>
      <c r="S209" s="375">
        <v>0</v>
      </c>
      <c r="T209" s="375">
        <v>0.05</v>
      </c>
      <c r="U209" s="375">
        <v>400</v>
      </c>
      <c r="V209" s="375" t="s">
        <v>597</v>
      </c>
    </row>
    <row r="210" spans="1:22" x14ac:dyDescent="0.25">
      <c r="A210" s="377">
        <v>45956</v>
      </c>
      <c r="B210" s="375">
        <v>0</v>
      </c>
      <c r="C210" s="375">
        <v>0</v>
      </c>
      <c r="D210" s="375">
        <v>0</v>
      </c>
      <c r="E210" s="375">
        <v>0</v>
      </c>
      <c r="F210" s="375">
        <v>0</v>
      </c>
      <c r="G210" s="375">
        <v>400</v>
      </c>
      <c r="H210" s="376">
        <v>0</v>
      </c>
      <c r="I210" s="375">
        <v>0</v>
      </c>
      <c r="J210" s="375">
        <v>0</v>
      </c>
      <c r="K210" s="375">
        <v>0</v>
      </c>
      <c r="L210" s="375">
        <v>400</v>
      </c>
      <c r="M210" s="375">
        <v>0</v>
      </c>
      <c r="N210" s="375">
        <v>0</v>
      </c>
      <c r="O210" s="375">
        <v>0</v>
      </c>
      <c r="P210" s="375">
        <v>0</v>
      </c>
      <c r="Q210" s="375">
        <v>0</v>
      </c>
      <c r="R210" s="375">
        <v>0</v>
      </c>
      <c r="S210" s="375">
        <v>0</v>
      </c>
      <c r="T210" s="375">
        <v>0.05</v>
      </c>
      <c r="U210" s="375">
        <v>400</v>
      </c>
      <c r="V210" s="375" t="s">
        <v>597</v>
      </c>
    </row>
    <row r="211" spans="1:22" x14ac:dyDescent="0.25">
      <c r="A211" s="377">
        <v>45957</v>
      </c>
      <c r="B211" s="375">
        <v>7895</v>
      </c>
      <c r="C211" s="375">
        <v>7500</v>
      </c>
      <c r="D211" s="375">
        <v>2</v>
      </c>
      <c r="E211" s="375">
        <v>2</v>
      </c>
      <c r="F211" s="375">
        <v>5.0000000000000044E-2</v>
      </c>
      <c r="G211" s="375">
        <v>400</v>
      </c>
      <c r="H211" s="376">
        <v>5.0000000000000001E-3</v>
      </c>
      <c r="I211" s="375">
        <v>4000</v>
      </c>
      <c r="J211" s="375">
        <v>4400</v>
      </c>
      <c r="K211" s="375">
        <v>2</v>
      </c>
      <c r="L211" s="375">
        <v>400</v>
      </c>
      <c r="M211" s="375">
        <v>0</v>
      </c>
      <c r="N211" s="375">
        <v>0</v>
      </c>
      <c r="O211" s="375">
        <v>0</v>
      </c>
      <c r="P211" s="375">
        <v>0</v>
      </c>
      <c r="Q211" s="375">
        <v>0</v>
      </c>
      <c r="R211" s="375">
        <v>7500</v>
      </c>
      <c r="S211" s="375">
        <v>7894.7368421052633</v>
      </c>
      <c r="T211" s="375">
        <v>0.05</v>
      </c>
      <c r="U211" s="375">
        <v>400</v>
      </c>
      <c r="V211" s="375" t="s">
        <v>597</v>
      </c>
    </row>
    <row r="212" spans="1:22" x14ac:dyDescent="0.25">
      <c r="A212" s="377">
        <v>45958</v>
      </c>
      <c r="B212" s="375">
        <v>5263</v>
      </c>
      <c r="C212" s="375">
        <v>5000</v>
      </c>
      <c r="D212" s="375">
        <v>1</v>
      </c>
      <c r="E212" s="375">
        <v>1</v>
      </c>
      <c r="F212" s="375">
        <v>5.0000000000000044E-2</v>
      </c>
      <c r="G212" s="375">
        <v>400</v>
      </c>
      <c r="H212" s="376">
        <v>2.5000000000000001E-3</v>
      </c>
      <c r="I212" s="375">
        <v>4000</v>
      </c>
      <c r="J212" s="375">
        <v>4400</v>
      </c>
      <c r="K212" s="375">
        <v>1</v>
      </c>
      <c r="L212" s="375">
        <v>400</v>
      </c>
      <c r="M212" s="375">
        <v>0</v>
      </c>
      <c r="N212" s="375">
        <v>0</v>
      </c>
      <c r="O212" s="375">
        <v>0</v>
      </c>
      <c r="P212" s="375">
        <v>0</v>
      </c>
      <c r="Q212" s="375">
        <v>0</v>
      </c>
      <c r="R212" s="375">
        <v>5000</v>
      </c>
      <c r="S212" s="375">
        <v>5263.1578947368425</v>
      </c>
      <c r="T212" s="375">
        <v>0.05</v>
      </c>
      <c r="U212" s="375">
        <v>400</v>
      </c>
      <c r="V212" s="375" t="s">
        <v>597</v>
      </c>
    </row>
    <row r="213" spans="1:22" x14ac:dyDescent="0.25">
      <c r="A213" s="377">
        <v>45959</v>
      </c>
      <c r="B213" s="375">
        <v>0</v>
      </c>
      <c r="C213" s="375">
        <v>0</v>
      </c>
      <c r="D213" s="375">
        <v>0</v>
      </c>
      <c r="E213" s="375">
        <v>0</v>
      </c>
      <c r="F213" s="375">
        <v>0</v>
      </c>
      <c r="G213" s="375">
        <v>400</v>
      </c>
      <c r="H213" s="376">
        <v>0</v>
      </c>
      <c r="I213" s="375">
        <v>0</v>
      </c>
      <c r="J213" s="375">
        <v>0</v>
      </c>
      <c r="K213" s="375">
        <v>0</v>
      </c>
      <c r="L213" s="375">
        <v>400</v>
      </c>
      <c r="M213" s="375">
        <v>0</v>
      </c>
      <c r="N213" s="375">
        <v>0</v>
      </c>
      <c r="O213" s="375">
        <v>0</v>
      </c>
      <c r="P213" s="375">
        <v>0</v>
      </c>
      <c r="Q213" s="375">
        <v>0</v>
      </c>
      <c r="R213" s="375">
        <v>0</v>
      </c>
      <c r="S213" s="375">
        <v>0</v>
      </c>
      <c r="T213" s="375">
        <v>0.05</v>
      </c>
      <c r="U213" s="375">
        <v>400</v>
      </c>
      <c r="V213" s="375" t="s">
        <v>597</v>
      </c>
    </row>
    <row r="214" spans="1:22" x14ac:dyDescent="0.25">
      <c r="A214" s="377">
        <v>45960</v>
      </c>
      <c r="B214" s="375">
        <v>5263</v>
      </c>
      <c r="C214" s="375">
        <v>5000</v>
      </c>
      <c r="D214" s="375">
        <v>1</v>
      </c>
      <c r="E214" s="375">
        <v>1</v>
      </c>
      <c r="F214" s="375">
        <v>5.0000000000000044E-2</v>
      </c>
      <c r="G214" s="375">
        <v>400</v>
      </c>
      <c r="H214" s="376">
        <v>2.5000000000000001E-3</v>
      </c>
      <c r="I214" s="375">
        <v>4000</v>
      </c>
      <c r="J214" s="375">
        <v>4400</v>
      </c>
      <c r="K214" s="375">
        <v>1</v>
      </c>
      <c r="L214" s="375">
        <v>400</v>
      </c>
      <c r="M214" s="375">
        <v>0</v>
      </c>
      <c r="N214" s="375">
        <v>0</v>
      </c>
      <c r="O214" s="375">
        <v>0</v>
      </c>
      <c r="P214" s="375">
        <v>0</v>
      </c>
      <c r="Q214" s="375">
        <v>0</v>
      </c>
      <c r="R214" s="375">
        <v>5000</v>
      </c>
      <c r="S214" s="375">
        <v>5263.1578947368425</v>
      </c>
      <c r="T214" s="375">
        <v>0.05</v>
      </c>
      <c r="U214" s="375">
        <v>400</v>
      </c>
      <c r="V214" s="375" t="s">
        <v>597</v>
      </c>
    </row>
    <row r="215" spans="1:22" x14ac:dyDescent="0.25">
      <c r="A215" s="377">
        <v>45961</v>
      </c>
      <c r="B215" s="375">
        <v>0</v>
      </c>
      <c r="C215" s="375">
        <v>0</v>
      </c>
      <c r="D215" s="375">
        <v>0</v>
      </c>
      <c r="E215" s="375">
        <v>0</v>
      </c>
      <c r="F215" s="375">
        <v>0</v>
      </c>
      <c r="G215" s="375">
        <v>400</v>
      </c>
      <c r="H215" s="376">
        <v>0</v>
      </c>
      <c r="I215" s="375">
        <v>0</v>
      </c>
      <c r="J215" s="375">
        <v>0</v>
      </c>
      <c r="K215" s="375">
        <v>0</v>
      </c>
      <c r="L215" s="375">
        <v>400</v>
      </c>
      <c r="M215" s="375">
        <v>0</v>
      </c>
      <c r="N215" s="375">
        <v>0</v>
      </c>
      <c r="O215" s="375">
        <v>0</v>
      </c>
      <c r="P215" s="375">
        <v>0</v>
      </c>
      <c r="Q215" s="375">
        <v>0</v>
      </c>
      <c r="R215" s="375">
        <v>0</v>
      </c>
      <c r="S215" s="375">
        <v>0</v>
      </c>
      <c r="T215" s="375">
        <v>0.05</v>
      </c>
      <c r="U215" s="375">
        <v>400</v>
      </c>
      <c r="V215" s="375" t="s">
        <v>597</v>
      </c>
    </row>
    <row r="216" spans="1:22" x14ac:dyDescent="0.25">
      <c r="A216" s="377">
        <v>45962</v>
      </c>
      <c r="B216" s="375">
        <v>8421</v>
      </c>
      <c r="C216" s="375">
        <v>8000</v>
      </c>
      <c r="D216" s="375">
        <v>2</v>
      </c>
      <c r="E216" s="375">
        <v>2</v>
      </c>
      <c r="F216" s="375">
        <v>5.0000000000000155E-2</v>
      </c>
      <c r="G216" s="375">
        <v>400</v>
      </c>
      <c r="H216" s="376">
        <v>5.0000000000000001E-3</v>
      </c>
      <c r="I216" s="375">
        <v>4000</v>
      </c>
      <c r="J216" s="375">
        <v>4400</v>
      </c>
      <c r="K216" s="375">
        <v>2</v>
      </c>
      <c r="L216" s="375">
        <v>400</v>
      </c>
      <c r="M216" s="375">
        <v>0</v>
      </c>
      <c r="N216" s="375">
        <v>0</v>
      </c>
      <c r="O216" s="375">
        <v>0</v>
      </c>
      <c r="P216" s="375">
        <v>0</v>
      </c>
      <c r="Q216" s="375">
        <v>0</v>
      </c>
      <c r="R216" s="375">
        <v>8000</v>
      </c>
      <c r="S216" s="375">
        <v>8421.0526315789484</v>
      </c>
      <c r="T216" s="375">
        <v>0.05</v>
      </c>
      <c r="U216" s="375">
        <v>400</v>
      </c>
      <c r="V216" s="375" t="s">
        <v>597</v>
      </c>
    </row>
    <row r="217" spans="1:22" x14ac:dyDescent="0.25">
      <c r="A217" s="377">
        <v>45963</v>
      </c>
      <c r="B217" s="375">
        <v>8421</v>
      </c>
      <c r="C217" s="375">
        <v>8000</v>
      </c>
      <c r="D217" s="375">
        <v>2</v>
      </c>
      <c r="E217" s="375">
        <v>2</v>
      </c>
      <c r="F217" s="375">
        <v>5.0000000000000155E-2</v>
      </c>
      <c r="G217" s="375">
        <v>400</v>
      </c>
      <c r="H217" s="376">
        <v>5.0000000000000001E-3</v>
      </c>
      <c r="I217" s="375">
        <v>4000</v>
      </c>
      <c r="J217" s="375">
        <v>4400</v>
      </c>
      <c r="K217" s="375">
        <v>2</v>
      </c>
      <c r="L217" s="375">
        <v>400</v>
      </c>
      <c r="M217" s="375">
        <v>0</v>
      </c>
      <c r="N217" s="375">
        <v>0</v>
      </c>
      <c r="O217" s="375">
        <v>0</v>
      </c>
      <c r="P217" s="375">
        <v>0</v>
      </c>
      <c r="Q217" s="375">
        <v>0</v>
      </c>
      <c r="R217" s="375">
        <v>8000</v>
      </c>
      <c r="S217" s="375">
        <v>8421.0526315789484</v>
      </c>
      <c r="T217" s="375">
        <v>0.05</v>
      </c>
      <c r="U217" s="375">
        <v>400</v>
      </c>
      <c r="V217" s="375" t="s">
        <v>597</v>
      </c>
    </row>
    <row r="218" spans="1:22" x14ac:dyDescent="0.25">
      <c r="A218" s="377">
        <v>45964</v>
      </c>
      <c r="B218" s="375">
        <v>0</v>
      </c>
      <c r="C218" s="375">
        <v>0</v>
      </c>
      <c r="D218" s="375">
        <v>0</v>
      </c>
      <c r="E218" s="375">
        <v>0</v>
      </c>
      <c r="F218" s="375">
        <v>0</v>
      </c>
      <c r="G218" s="375">
        <v>400</v>
      </c>
      <c r="H218" s="376">
        <v>0</v>
      </c>
      <c r="I218" s="375">
        <v>0</v>
      </c>
      <c r="J218" s="375">
        <v>0</v>
      </c>
      <c r="K218" s="375">
        <v>0</v>
      </c>
      <c r="L218" s="375">
        <v>400</v>
      </c>
      <c r="M218" s="375">
        <v>0</v>
      </c>
      <c r="N218" s="375">
        <v>0</v>
      </c>
      <c r="O218" s="375">
        <v>0</v>
      </c>
      <c r="P218" s="375">
        <v>0</v>
      </c>
      <c r="Q218" s="375">
        <v>0</v>
      </c>
      <c r="R218" s="375">
        <v>0</v>
      </c>
      <c r="S218" s="375">
        <v>0</v>
      </c>
      <c r="T218" s="375">
        <v>0</v>
      </c>
      <c r="U218" s="375">
        <v>400</v>
      </c>
      <c r="V218" s="375" t="s">
        <v>597</v>
      </c>
    </row>
    <row r="219" spans="1:22" x14ac:dyDescent="0.25">
      <c r="A219" s="377">
        <v>45965</v>
      </c>
      <c r="B219" s="375">
        <v>8421</v>
      </c>
      <c r="C219" s="375">
        <v>8000</v>
      </c>
      <c r="D219" s="375">
        <v>2</v>
      </c>
      <c r="E219" s="375">
        <v>2</v>
      </c>
      <c r="F219" s="375">
        <v>5.0000000000000155E-2</v>
      </c>
      <c r="G219" s="375">
        <v>400</v>
      </c>
      <c r="H219" s="376">
        <v>5.0000000000000001E-3</v>
      </c>
      <c r="I219" s="375">
        <v>4000</v>
      </c>
      <c r="J219" s="375">
        <v>4400</v>
      </c>
      <c r="K219" s="375">
        <v>2</v>
      </c>
      <c r="L219" s="375">
        <v>400</v>
      </c>
      <c r="M219" s="375">
        <v>0</v>
      </c>
      <c r="N219" s="375">
        <v>0</v>
      </c>
      <c r="O219" s="375">
        <v>0</v>
      </c>
      <c r="P219" s="375">
        <v>0</v>
      </c>
      <c r="Q219" s="375">
        <v>0</v>
      </c>
      <c r="R219" s="375">
        <v>8000</v>
      </c>
      <c r="S219" s="375">
        <v>8421.0526315789484</v>
      </c>
      <c r="T219" s="375">
        <v>0.05</v>
      </c>
      <c r="U219" s="375">
        <v>400</v>
      </c>
      <c r="V219" s="375" t="s">
        <v>597</v>
      </c>
    </row>
    <row r="220" spans="1:22" x14ac:dyDescent="0.25">
      <c r="A220" s="377">
        <v>45966</v>
      </c>
      <c r="B220" s="375">
        <v>8421</v>
      </c>
      <c r="C220" s="375">
        <v>8000</v>
      </c>
      <c r="D220" s="375">
        <v>2</v>
      </c>
      <c r="E220" s="375">
        <v>2</v>
      </c>
      <c r="F220" s="375">
        <v>5.0000000000000155E-2</v>
      </c>
      <c r="G220" s="375">
        <v>400</v>
      </c>
      <c r="H220" s="376">
        <v>5.0000000000000001E-3</v>
      </c>
      <c r="I220" s="375">
        <v>4000</v>
      </c>
      <c r="J220" s="375">
        <v>4400</v>
      </c>
      <c r="K220" s="375">
        <v>2</v>
      </c>
      <c r="L220" s="375">
        <v>400</v>
      </c>
      <c r="M220" s="375">
        <v>0</v>
      </c>
      <c r="N220" s="375">
        <v>0</v>
      </c>
      <c r="O220" s="375">
        <v>0</v>
      </c>
      <c r="P220" s="375">
        <v>0</v>
      </c>
      <c r="Q220" s="375">
        <v>0</v>
      </c>
      <c r="R220" s="375">
        <v>8000</v>
      </c>
      <c r="S220" s="375">
        <v>8421.0526315789484</v>
      </c>
      <c r="T220" s="375">
        <v>0.05</v>
      </c>
      <c r="U220" s="375">
        <v>400</v>
      </c>
      <c r="V220" s="375" t="s">
        <v>597</v>
      </c>
    </row>
    <row r="221" spans="1:22" x14ac:dyDescent="0.25">
      <c r="A221" s="377">
        <v>45967</v>
      </c>
      <c r="B221" s="375">
        <v>8421</v>
      </c>
      <c r="C221" s="375">
        <v>8000</v>
      </c>
      <c r="D221" s="375">
        <v>2</v>
      </c>
      <c r="E221" s="375">
        <v>2</v>
      </c>
      <c r="F221" s="375">
        <v>5.0000000000000155E-2</v>
      </c>
      <c r="G221" s="375">
        <v>400</v>
      </c>
      <c r="H221" s="376">
        <v>5.0000000000000001E-3</v>
      </c>
      <c r="I221" s="375">
        <v>4000</v>
      </c>
      <c r="J221" s="375">
        <v>4400</v>
      </c>
      <c r="K221" s="375">
        <v>2</v>
      </c>
      <c r="L221" s="375">
        <v>400</v>
      </c>
      <c r="M221" s="375">
        <v>0</v>
      </c>
      <c r="N221" s="375">
        <v>0</v>
      </c>
      <c r="O221" s="375">
        <v>0</v>
      </c>
      <c r="P221" s="375">
        <v>0</v>
      </c>
      <c r="Q221" s="375">
        <v>0</v>
      </c>
      <c r="R221" s="375">
        <v>8000</v>
      </c>
      <c r="S221" s="375">
        <v>8421.0526315789484</v>
      </c>
      <c r="T221" s="375">
        <v>0.05</v>
      </c>
      <c r="U221" s="375">
        <v>400</v>
      </c>
      <c r="V221" s="375" t="s">
        <v>597</v>
      </c>
    </row>
    <row r="222" spans="1:22" x14ac:dyDescent="0.25">
      <c r="A222" s="377">
        <v>45968</v>
      </c>
      <c r="B222" s="375">
        <v>8421</v>
      </c>
      <c r="C222" s="375">
        <v>8000</v>
      </c>
      <c r="D222" s="375">
        <v>2</v>
      </c>
      <c r="E222" s="375">
        <v>2</v>
      </c>
      <c r="F222" s="375">
        <v>5.0000000000000155E-2</v>
      </c>
      <c r="G222" s="375">
        <v>400</v>
      </c>
      <c r="H222" s="376">
        <v>5.0000000000000001E-3</v>
      </c>
      <c r="I222" s="375">
        <v>4000</v>
      </c>
      <c r="J222" s="375">
        <v>4400</v>
      </c>
      <c r="K222" s="375">
        <v>2</v>
      </c>
      <c r="L222" s="375">
        <v>400</v>
      </c>
      <c r="M222" s="375">
        <v>0</v>
      </c>
      <c r="N222" s="375">
        <v>0</v>
      </c>
      <c r="O222" s="375">
        <v>0</v>
      </c>
      <c r="P222" s="375">
        <v>0</v>
      </c>
      <c r="Q222" s="375">
        <v>0</v>
      </c>
      <c r="R222" s="375">
        <v>8000</v>
      </c>
      <c r="S222" s="375">
        <v>8421.0526315789484</v>
      </c>
      <c r="T222" s="375">
        <v>0.05</v>
      </c>
      <c r="U222" s="375">
        <v>400</v>
      </c>
      <c r="V222" s="375" t="s">
        <v>597</v>
      </c>
    </row>
    <row r="223" spans="1:22" x14ac:dyDescent="0.25">
      <c r="A223" s="377">
        <v>45969</v>
      </c>
      <c r="B223" s="375">
        <v>8421</v>
      </c>
      <c r="C223" s="375">
        <v>8000</v>
      </c>
      <c r="D223" s="375">
        <v>2</v>
      </c>
      <c r="E223" s="375">
        <v>2</v>
      </c>
      <c r="F223" s="375">
        <v>5.0000000000000155E-2</v>
      </c>
      <c r="G223" s="375">
        <v>400</v>
      </c>
      <c r="H223" s="376">
        <v>5.0000000000000001E-3</v>
      </c>
      <c r="I223" s="375">
        <v>4000</v>
      </c>
      <c r="J223" s="375">
        <v>4400</v>
      </c>
      <c r="K223" s="375">
        <v>2</v>
      </c>
      <c r="L223" s="375">
        <v>400</v>
      </c>
      <c r="M223" s="375">
        <v>0</v>
      </c>
      <c r="N223" s="375">
        <v>0</v>
      </c>
      <c r="O223" s="375">
        <v>0</v>
      </c>
      <c r="P223" s="375">
        <v>0</v>
      </c>
      <c r="Q223" s="375">
        <v>0</v>
      </c>
      <c r="R223" s="375">
        <v>8000</v>
      </c>
      <c r="S223" s="375">
        <v>8421.0526315789484</v>
      </c>
      <c r="T223" s="375">
        <v>0.05</v>
      </c>
      <c r="U223" s="375">
        <v>400</v>
      </c>
      <c r="V223" s="375" t="s">
        <v>597</v>
      </c>
    </row>
    <row r="224" spans="1:22" x14ac:dyDescent="0.25">
      <c r="A224" s="377">
        <v>45970</v>
      </c>
      <c r="B224" s="375">
        <v>0</v>
      </c>
      <c r="C224" s="375">
        <v>0</v>
      </c>
      <c r="D224" s="375">
        <v>0</v>
      </c>
      <c r="E224" s="375">
        <v>0</v>
      </c>
      <c r="F224" s="375">
        <v>0</v>
      </c>
      <c r="G224" s="375">
        <v>400</v>
      </c>
      <c r="H224" s="376">
        <v>0</v>
      </c>
      <c r="I224" s="375">
        <v>0</v>
      </c>
      <c r="J224" s="375">
        <v>0</v>
      </c>
      <c r="K224" s="375">
        <v>0</v>
      </c>
      <c r="L224" s="375">
        <v>400</v>
      </c>
      <c r="M224" s="375">
        <v>0</v>
      </c>
      <c r="N224" s="375">
        <v>0</v>
      </c>
      <c r="O224" s="375">
        <v>0</v>
      </c>
      <c r="P224" s="375">
        <v>0</v>
      </c>
      <c r="Q224" s="375">
        <v>0</v>
      </c>
      <c r="R224" s="375">
        <v>0</v>
      </c>
      <c r="S224" s="375">
        <v>0</v>
      </c>
      <c r="T224" s="375">
        <v>0</v>
      </c>
      <c r="U224" s="375">
        <v>400</v>
      </c>
      <c r="V224" s="375" t="s">
        <v>597</v>
      </c>
    </row>
    <row r="225" spans="1:22" x14ac:dyDescent="0.25">
      <c r="A225" s="377">
        <v>45971</v>
      </c>
      <c r="B225" s="375">
        <v>8421</v>
      </c>
      <c r="C225" s="375">
        <v>8000</v>
      </c>
      <c r="D225" s="375">
        <v>2</v>
      </c>
      <c r="E225" s="375">
        <v>2</v>
      </c>
      <c r="F225" s="375">
        <v>5.0000000000000155E-2</v>
      </c>
      <c r="G225" s="375">
        <v>400</v>
      </c>
      <c r="H225" s="376">
        <v>5.0000000000000001E-3</v>
      </c>
      <c r="I225" s="375">
        <v>4000</v>
      </c>
      <c r="J225" s="375">
        <v>4400</v>
      </c>
      <c r="K225" s="375">
        <v>2</v>
      </c>
      <c r="L225" s="375">
        <v>400</v>
      </c>
      <c r="M225" s="375">
        <v>0</v>
      </c>
      <c r="N225" s="375">
        <v>0</v>
      </c>
      <c r="O225" s="375">
        <v>0</v>
      </c>
      <c r="P225" s="375">
        <v>0</v>
      </c>
      <c r="Q225" s="375">
        <v>0</v>
      </c>
      <c r="R225" s="375">
        <v>8000</v>
      </c>
      <c r="S225" s="375">
        <v>8421.0526315789484</v>
      </c>
      <c r="T225" s="375">
        <v>0.05</v>
      </c>
      <c r="U225" s="375">
        <v>400</v>
      </c>
      <c r="V225" s="375" t="s">
        <v>597</v>
      </c>
    </row>
    <row r="226" spans="1:22" x14ac:dyDescent="0.25">
      <c r="A226" s="377">
        <v>45972</v>
      </c>
      <c r="B226" s="375">
        <v>4211</v>
      </c>
      <c r="C226" s="375">
        <v>4000</v>
      </c>
      <c r="D226" s="375">
        <v>1</v>
      </c>
      <c r="E226" s="375">
        <v>1</v>
      </c>
      <c r="F226" s="375">
        <v>5.0000000000000155E-2</v>
      </c>
      <c r="G226" s="375">
        <v>400</v>
      </c>
      <c r="H226" s="376">
        <v>2.5000000000000001E-3</v>
      </c>
      <c r="I226" s="375">
        <v>4000</v>
      </c>
      <c r="J226" s="375">
        <v>4400</v>
      </c>
      <c r="K226" s="375">
        <v>1</v>
      </c>
      <c r="L226" s="375">
        <v>400</v>
      </c>
      <c r="M226" s="375">
        <v>0</v>
      </c>
      <c r="N226" s="375">
        <v>0</v>
      </c>
      <c r="O226" s="375">
        <v>0</v>
      </c>
      <c r="P226" s="375">
        <v>0</v>
      </c>
      <c r="Q226" s="375">
        <v>0</v>
      </c>
      <c r="R226" s="375">
        <v>4000</v>
      </c>
      <c r="S226" s="375">
        <v>4210.5263157894742</v>
      </c>
      <c r="T226" s="375">
        <v>0.05</v>
      </c>
      <c r="U226" s="375">
        <v>400</v>
      </c>
      <c r="V226" s="375" t="s">
        <v>597</v>
      </c>
    </row>
    <row r="227" spans="1:22" x14ac:dyDescent="0.25">
      <c r="A227" s="377">
        <v>45973</v>
      </c>
      <c r="B227" s="375">
        <v>0</v>
      </c>
      <c r="C227" s="375">
        <v>0</v>
      </c>
      <c r="D227" s="375">
        <v>0</v>
      </c>
      <c r="E227" s="375">
        <v>0</v>
      </c>
      <c r="F227" s="375">
        <v>0</v>
      </c>
      <c r="G227" s="375">
        <v>400</v>
      </c>
      <c r="H227" s="376">
        <v>0</v>
      </c>
      <c r="I227" s="375">
        <v>0</v>
      </c>
      <c r="J227" s="375">
        <v>0</v>
      </c>
      <c r="K227" s="375">
        <v>0</v>
      </c>
      <c r="L227" s="375">
        <v>400</v>
      </c>
      <c r="M227" s="375">
        <v>0</v>
      </c>
      <c r="N227" s="375">
        <v>0</v>
      </c>
      <c r="O227" s="375">
        <v>0</v>
      </c>
      <c r="P227" s="375">
        <v>0</v>
      </c>
      <c r="Q227" s="375">
        <v>0</v>
      </c>
      <c r="R227" s="375">
        <v>0</v>
      </c>
      <c r="T227" s="375">
        <v>0.05</v>
      </c>
      <c r="U227" s="375">
        <v>400</v>
      </c>
      <c r="V227" s="375" t="s">
        <v>597</v>
      </c>
    </row>
    <row r="228" spans="1:22" x14ac:dyDescent="0.25">
      <c r="A228" s="377">
        <v>45974</v>
      </c>
      <c r="B228" s="375">
        <v>4211</v>
      </c>
      <c r="C228" s="375">
        <v>4000</v>
      </c>
      <c r="D228" s="375">
        <v>1</v>
      </c>
      <c r="E228" s="375">
        <v>1</v>
      </c>
      <c r="F228" s="375">
        <v>5.0000000000000155E-2</v>
      </c>
      <c r="G228" s="375">
        <v>400</v>
      </c>
      <c r="H228" s="376">
        <v>2.5000000000000001E-3</v>
      </c>
      <c r="I228" s="375">
        <v>4000</v>
      </c>
      <c r="J228" s="375">
        <v>4400</v>
      </c>
      <c r="K228" s="375">
        <v>1</v>
      </c>
      <c r="L228" s="375">
        <v>400</v>
      </c>
      <c r="M228" s="375">
        <v>0</v>
      </c>
      <c r="N228" s="375">
        <v>0</v>
      </c>
      <c r="O228" s="375">
        <v>0</v>
      </c>
      <c r="P228" s="375">
        <v>0</v>
      </c>
      <c r="Q228" s="375">
        <v>0</v>
      </c>
      <c r="R228" s="375">
        <v>4000</v>
      </c>
      <c r="S228" s="375">
        <v>4210.5263157894742</v>
      </c>
      <c r="T228" s="375">
        <v>0.05</v>
      </c>
      <c r="U228" s="375">
        <v>400</v>
      </c>
      <c r="V228" s="375" t="s">
        <v>597</v>
      </c>
    </row>
    <row r="229" spans="1:22" x14ac:dyDescent="0.25">
      <c r="A229" s="377">
        <v>45975</v>
      </c>
      <c r="B229" s="375">
        <v>4211</v>
      </c>
      <c r="C229" s="375">
        <v>4000</v>
      </c>
      <c r="D229" s="375">
        <v>1</v>
      </c>
      <c r="E229" s="375">
        <v>1</v>
      </c>
      <c r="F229" s="375">
        <v>5.0000000000000155E-2</v>
      </c>
      <c r="G229" s="375">
        <v>400</v>
      </c>
      <c r="H229" s="376">
        <v>2.5000000000000001E-3</v>
      </c>
      <c r="I229" s="375">
        <v>4000</v>
      </c>
      <c r="J229" s="375">
        <v>4400</v>
      </c>
      <c r="K229" s="375">
        <v>1</v>
      </c>
      <c r="L229" s="375">
        <v>400</v>
      </c>
      <c r="M229" s="375">
        <v>0</v>
      </c>
      <c r="N229" s="375">
        <v>0</v>
      </c>
      <c r="O229" s="375">
        <v>0</v>
      </c>
      <c r="P229" s="375">
        <v>0</v>
      </c>
      <c r="Q229" s="375">
        <v>0</v>
      </c>
      <c r="R229" s="375">
        <v>4000</v>
      </c>
      <c r="S229" s="375">
        <v>4210.5263157894742</v>
      </c>
      <c r="T229" s="375">
        <v>0.05</v>
      </c>
      <c r="U229" s="375">
        <v>400</v>
      </c>
      <c r="V229" s="375" t="s">
        <v>597</v>
      </c>
    </row>
    <row r="230" spans="1:22" x14ac:dyDescent="0.25">
      <c r="A230" s="377">
        <v>45976</v>
      </c>
      <c r="B230" s="375">
        <v>4211</v>
      </c>
      <c r="C230" s="375">
        <v>4000</v>
      </c>
      <c r="D230" s="375">
        <v>1</v>
      </c>
      <c r="E230" s="375">
        <v>1</v>
      </c>
      <c r="F230" s="375">
        <v>5.0000000000000155E-2</v>
      </c>
      <c r="G230" s="375">
        <v>400</v>
      </c>
      <c r="H230" s="376">
        <v>2.5000000000000001E-3</v>
      </c>
      <c r="I230" s="375">
        <v>4000</v>
      </c>
      <c r="J230" s="375">
        <v>4400</v>
      </c>
      <c r="K230" s="375">
        <v>1</v>
      </c>
      <c r="L230" s="375">
        <v>400</v>
      </c>
      <c r="M230" s="375">
        <v>0</v>
      </c>
      <c r="N230" s="375">
        <v>0</v>
      </c>
      <c r="O230" s="375">
        <v>0</v>
      </c>
      <c r="P230" s="375">
        <v>0</v>
      </c>
      <c r="Q230" s="375">
        <v>0</v>
      </c>
      <c r="R230" s="375">
        <v>4000</v>
      </c>
      <c r="S230" s="375">
        <v>4210.5263157894742</v>
      </c>
      <c r="T230" s="375">
        <v>0.05</v>
      </c>
      <c r="U230" s="375">
        <v>400</v>
      </c>
      <c r="V230" s="375" t="s">
        <v>597</v>
      </c>
    </row>
    <row r="231" spans="1:22" x14ac:dyDescent="0.25">
      <c r="A231" s="377">
        <v>45977</v>
      </c>
      <c r="B231" s="375">
        <v>0</v>
      </c>
      <c r="C231" s="375">
        <v>0</v>
      </c>
      <c r="D231" s="375">
        <v>0</v>
      </c>
      <c r="E231" s="375">
        <v>0</v>
      </c>
      <c r="F231" s="375">
        <v>0</v>
      </c>
      <c r="G231" s="375">
        <v>400</v>
      </c>
      <c r="H231" s="376">
        <v>0</v>
      </c>
      <c r="I231" s="375">
        <v>0</v>
      </c>
      <c r="J231" s="375">
        <v>0</v>
      </c>
      <c r="K231" s="375">
        <v>0</v>
      </c>
      <c r="L231" s="375">
        <v>400</v>
      </c>
      <c r="M231" s="375">
        <v>0</v>
      </c>
      <c r="N231" s="375">
        <v>0</v>
      </c>
      <c r="O231" s="375">
        <v>0</v>
      </c>
      <c r="P231" s="375">
        <v>0</v>
      </c>
      <c r="Q231" s="375">
        <v>0</v>
      </c>
      <c r="R231" s="375">
        <v>0</v>
      </c>
      <c r="S231" s="375">
        <v>0</v>
      </c>
      <c r="T231" s="375">
        <v>0</v>
      </c>
      <c r="U231" s="375">
        <v>400</v>
      </c>
      <c r="V231" s="375" t="s">
        <v>597</v>
      </c>
    </row>
    <row r="232" spans="1:22" x14ac:dyDescent="0.25">
      <c r="A232" s="377">
        <v>45978</v>
      </c>
      <c r="B232" s="375">
        <v>4211</v>
      </c>
      <c r="C232" s="375">
        <v>4000</v>
      </c>
      <c r="D232" s="375">
        <v>1</v>
      </c>
      <c r="E232" s="375">
        <v>1</v>
      </c>
      <c r="F232" s="375">
        <v>5.0000000000000155E-2</v>
      </c>
      <c r="G232" s="375">
        <v>400</v>
      </c>
      <c r="H232" s="376">
        <v>2.5000000000000001E-3</v>
      </c>
      <c r="I232" s="375">
        <v>4000</v>
      </c>
      <c r="J232" s="375">
        <v>4400</v>
      </c>
      <c r="K232" s="375">
        <v>1</v>
      </c>
      <c r="L232" s="375">
        <v>400</v>
      </c>
      <c r="M232" s="375">
        <v>0</v>
      </c>
      <c r="N232" s="375">
        <v>0</v>
      </c>
      <c r="O232" s="375">
        <v>0</v>
      </c>
      <c r="P232" s="375">
        <v>0</v>
      </c>
      <c r="Q232" s="375">
        <v>0</v>
      </c>
      <c r="R232" s="375">
        <v>4000</v>
      </c>
      <c r="S232" s="375">
        <v>4210.5263157894742</v>
      </c>
      <c r="T232" s="375">
        <v>0.05</v>
      </c>
      <c r="U232" s="375">
        <v>400</v>
      </c>
      <c r="V232" s="375" t="s">
        <v>597</v>
      </c>
    </row>
    <row r="233" spans="1:22" x14ac:dyDescent="0.25">
      <c r="A233" s="377">
        <v>45979</v>
      </c>
      <c r="B233" s="375">
        <v>4211</v>
      </c>
      <c r="C233" s="375">
        <v>4000</v>
      </c>
      <c r="D233" s="375">
        <v>1</v>
      </c>
      <c r="E233" s="375">
        <v>1</v>
      </c>
      <c r="F233" s="375">
        <v>5.0000000000000155E-2</v>
      </c>
      <c r="G233" s="375">
        <v>400</v>
      </c>
      <c r="H233" s="376">
        <v>2.5000000000000001E-3</v>
      </c>
      <c r="I233" s="375">
        <v>4000</v>
      </c>
      <c r="J233" s="375">
        <v>4400</v>
      </c>
      <c r="K233" s="375">
        <v>1</v>
      </c>
      <c r="L233" s="375">
        <v>400</v>
      </c>
      <c r="M233" s="375">
        <v>0</v>
      </c>
      <c r="N233" s="375">
        <v>0</v>
      </c>
      <c r="O233" s="375">
        <v>0</v>
      </c>
      <c r="P233" s="375">
        <v>0</v>
      </c>
      <c r="Q233" s="375">
        <v>0</v>
      </c>
      <c r="R233" s="375">
        <v>4000</v>
      </c>
      <c r="S233" s="375">
        <v>4210.5263157894742</v>
      </c>
      <c r="T233" s="375">
        <v>0.05</v>
      </c>
      <c r="U233" s="375">
        <v>400</v>
      </c>
      <c r="V233" s="375" t="s">
        <v>597</v>
      </c>
    </row>
    <row r="234" spans="1:22" x14ac:dyDescent="0.25">
      <c r="A234" s="377">
        <v>45980</v>
      </c>
      <c r="B234" s="375">
        <v>0</v>
      </c>
      <c r="C234" s="375">
        <v>0</v>
      </c>
      <c r="D234" s="375">
        <v>0</v>
      </c>
      <c r="E234" s="375">
        <v>0</v>
      </c>
      <c r="F234" s="375">
        <v>0</v>
      </c>
      <c r="G234" s="375">
        <v>400</v>
      </c>
      <c r="H234" s="376">
        <v>0</v>
      </c>
      <c r="I234" s="375">
        <v>0</v>
      </c>
      <c r="J234" s="375">
        <v>0</v>
      </c>
      <c r="K234" s="375">
        <v>0</v>
      </c>
      <c r="L234" s="375">
        <v>400</v>
      </c>
      <c r="M234" s="375">
        <v>0</v>
      </c>
      <c r="N234" s="375">
        <v>0</v>
      </c>
      <c r="O234" s="375">
        <v>0</v>
      </c>
      <c r="P234" s="375">
        <v>0</v>
      </c>
      <c r="Q234" s="375">
        <v>0</v>
      </c>
      <c r="R234" s="375">
        <v>0</v>
      </c>
      <c r="S234" s="375">
        <v>0</v>
      </c>
      <c r="T234" s="375">
        <v>0</v>
      </c>
      <c r="U234" s="375">
        <v>400</v>
      </c>
      <c r="V234" s="375" t="s">
        <v>597</v>
      </c>
    </row>
    <row r="235" spans="1:22" x14ac:dyDescent="0.25">
      <c r="A235" s="377">
        <v>45981</v>
      </c>
      <c r="B235" s="375">
        <v>4211</v>
      </c>
      <c r="C235" s="375">
        <v>4000</v>
      </c>
      <c r="D235" s="375">
        <v>1</v>
      </c>
      <c r="E235" s="375">
        <v>1</v>
      </c>
      <c r="F235" s="375">
        <v>5.0000000000000155E-2</v>
      </c>
      <c r="G235" s="375">
        <v>400</v>
      </c>
      <c r="H235" s="376">
        <v>2.5000000000000001E-3</v>
      </c>
      <c r="I235" s="375">
        <v>4000</v>
      </c>
      <c r="J235" s="375">
        <v>4400</v>
      </c>
      <c r="K235" s="375">
        <v>1</v>
      </c>
      <c r="L235" s="375">
        <v>400</v>
      </c>
      <c r="M235" s="375">
        <v>0</v>
      </c>
      <c r="N235" s="375">
        <v>0</v>
      </c>
      <c r="O235" s="375">
        <v>0</v>
      </c>
      <c r="P235" s="375">
        <v>0</v>
      </c>
      <c r="Q235" s="375">
        <v>0</v>
      </c>
      <c r="R235" s="375">
        <v>4000</v>
      </c>
      <c r="S235" s="375">
        <v>4210.5263157894742</v>
      </c>
      <c r="T235" s="375">
        <v>0.05</v>
      </c>
      <c r="U235" s="375">
        <v>400</v>
      </c>
      <c r="V235" s="375" t="s">
        <v>597</v>
      </c>
    </row>
    <row r="236" spans="1:22" x14ac:dyDescent="0.25">
      <c r="A236" s="377">
        <v>45982</v>
      </c>
      <c r="B236" s="375">
        <v>4211</v>
      </c>
      <c r="C236" s="375">
        <v>4000</v>
      </c>
      <c r="D236" s="375">
        <v>1</v>
      </c>
      <c r="E236" s="375">
        <v>1</v>
      </c>
      <c r="F236" s="375">
        <v>5.0000000000000155E-2</v>
      </c>
      <c r="G236" s="375">
        <v>400</v>
      </c>
      <c r="H236" s="376">
        <v>2.5000000000000001E-3</v>
      </c>
      <c r="I236" s="375">
        <v>4000</v>
      </c>
      <c r="J236" s="375">
        <v>4400</v>
      </c>
      <c r="K236" s="375">
        <v>1</v>
      </c>
      <c r="L236" s="375">
        <v>400</v>
      </c>
      <c r="M236" s="375">
        <v>0</v>
      </c>
      <c r="N236" s="375">
        <v>0</v>
      </c>
      <c r="O236" s="375">
        <v>0</v>
      </c>
      <c r="P236" s="375">
        <v>0</v>
      </c>
      <c r="Q236" s="375">
        <v>0</v>
      </c>
      <c r="R236" s="375">
        <v>4000</v>
      </c>
      <c r="S236" s="375">
        <v>4210.5263157894742</v>
      </c>
      <c r="T236" s="375">
        <v>0.05</v>
      </c>
      <c r="U236" s="375">
        <v>400</v>
      </c>
      <c r="V236" s="375" t="s">
        <v>597</v>
      </c>
    </row>
    <row r="237" spans="1:22" x14ac:dyDescent="0.25">
      <c r="A237" s="377">
        <v>45983</v>
      </c>
      <c r="B237" s="375">
        <v>0</v>
      </c>
      <c r="C237" s="375">
        <v>0</v>
      </c>
      <c r="D237" s="375">
        <v>0</v>
      </c>
      <c r="E237" s="375">
        <v>0</v>
      </c>
      <c r="F237" s="375">
        <v>0</v>
      </c>
      <c r="G237" s="375">
        <v>400</v>
      </c>
      <c r="H237" s="376">
        <v>0</v>
      </c>
      <c r="I237" s="375">
        <v>0</v>
      </c>
      <c r="J237" s="375">
        <v>0</v>
      </c>
      <c r="K237" s="375">
        <v>0</v>
      </c>
      <c r="L237" s="375">
        <v>400</v>
      </c>
      <c r="M237" s="375">
        <v>0</v>
      </c>
      <c r="N237" s="375">
        <v>0</v>
      </c>
      <c r="O237" s="375">
        <v>0</v>
      </c>
      <c r="P237" s="375">
        <v>0</v>
      </c>
      <c r="Q237" s="375">
        <v>0</v>
      </c>
      <c r="R237" s="375">
        <v>0</v>
      </c>
      <c r="S237" s="375">
        <v>0</v>
      </c>
      <c r="T237" s="375">
        <v>0</v>
      </c>
      <c r="U237" s="375">
        <v>400</v>
      </c>
      <c r="V237" s="375" t="s">
        <v>597</v>
      </c>
    </row>
    <row r="238" spans="1:22" x14ac:dyDescent="0.25">
      <c r="A238" s="377">
        <v>45984</v>
      </c>
      <c r="B238" s="375">
        <v>4211</v>
      </c>
      <c r="C238" s="375">
        <v>4000</v>
      </c>
      <c r="D238" s="375">
        <v>1</v>
      </c>
      <c r="E238" s="375">
        <v>1</v>
      </c>
      <c r="F238" s="375">
        <v>5.0000000000000155E-2</v>
      </c>
      <c r="G238" s="375">
        <v>400</v>
      </c>
      <c r="H238" s="376">
        <v>2.5000000000000001E-3</v>
      </c>
      <c r="I238" s="375">
        <v>4000</v>
      </c>
      <c r="J238" s="375">
        <v>4400</v>
      </c>
      <c r="K238" s="375">
        <v>1</v>
      </c>
      <c r="L238" s="375">
        <v>400</v>
      </c>
      <c r="M238" s="375">
        <v>0</v>
      </c>
      <c r="N238" s="375">
        <v>0</v>
      </c>
      <c r="O238" s="375">
        <v>0</v>
      </c>
      <c r="P238" s="375">
        <v>0</v>
      </c>
      <c r="Q238" s="375">
        <v>0</v>
      </c>
      <c r="R238" s="375">
        <v>4000</v>
      </c>
      <c r="S238" s="375">
        <v>4210.5263157894742</v>
      </c>
      <c r="T238" s="375">
        <v>0.05</v>
      </c>
      <c r="U238" s="375">
        <v>400</v>
      </c>
      <c r="V238" s="375" t="s">
        <v>597</v>
      </c>
    </row>
    <row r="239" spans="1:22" x14ac:dyDescent="0.25">
      <c r="A239" s="377">
        <v>45985</v>
      </c>
      <c r="B239" s="375">
        <v>4211</v>
      </c>
      <c r="C239" s="375">
        <v>4000</v>
      </c>
      <c r="D239" s="375">
        <v>1</v>
      </c>
      <c r="E239" s="375">
        <v>1</v>
      </c>
      <c r="F239" s="375">
        <v>5.0000000000000155E-2</v>
      </c>
      <c r="G239" s="375">
        <v>400</v>
      </c>
      <c r="H239" s="376">
        <v>2.5000000000000001E-3</v>
      </c>
      <c r="I239" s="375">
        <v>4000</v>
      </c>
      <c r="J239" s="375">
        <v>4400</v>
      </c>
      <c r="K239" s="375">
        <v>1</v>
      </c>
      <c r="L239" s="375">
        <v>400</v>
      </c>
      <c r="M239" s="375">
        <v>0</v>
      </c>
      <c r="N239" s="375">
        <v>0</v>
      </c>
      <c r="O239" s="375">
        <v>0</v>
      </c>
      <c r="P239" s="375">
        <v>0</v>
      </c>
      <c r="Q239" s="375">
        <v>0</v>
      </c>
      <c r="R239" s="375">
        <v>4000</v>
      </c>
      <c r="S239" s="375">
        <v>4210.5263157894742</v>
      </c>
      <c r="T239" s="375">
        <v>0.05</v>
      </c>
      <c r="U239" s="375">
        <v>400</v>
      </c>
      <c r="V239" s="375" t="s">
        <v>597</v>
      </c>
    </row>
    <row r="240" spans="1:22" x14ac:dyDescent="0.25">
      <c r="A240" s="377">
        <v>45986</v>
      </c>
      <c r="B240" s="375">
        <v>4211</v>
      </c>
      <c r="C240" s="375">
        <v>4000</v>
      </c>
      <c r="D240" s="375">
        <v>1</v>
      </c>
      <c r="E240" s="375">
        <v>1</v>
      </c>
      <c r="F240" s="375">
        <v>5.0000000000000155E-2</v>
      </c>
      <c r="G240" s="375">
        <v>400</v>
      </c>
      <c r="H240" s="376">
        <v>2.5000000000000001E-3</v>
      </c>
      <c r="I240" s="375">
        <v>4000</v>
      </c>
      <c r="J240" s="375">
        <v>4400</v>
      </c>
      <c r="K240" s="375">
        <v>1</v>
      </c>
      <c r="L240" s="375">
        <v>400</v>
      </c>
      <c r="M240" s="375">
        <v>0</v>
      </c>
      <c r="N240" s="375">
        <v>0</v>
      </c>
      <c r="O240" s="375">
        <v>0</v>
      </c>
      <c r="P240" s="375">
        <v>0</v>
      </c>
      <c r="Q240" s="375">
        <v>0</v>
      </c>
      <c r="R240" s="375">
        <v>4000</v>
      </c>
      <c r="S240" s="375">
        <v>4210.5263157894742</v>
      </c>
      <c r="T240" s="375">
        <v>0.05</v>
      </c>
      <c r="U240" s="375">
        <v>400</v>
      </c>
      <c r="V240" s="375" t="s">
        <v>597</v>
      </c>
    </row>
    <row r="241" spans="1:22" x14ac:dyDescent="0.25">
      <c r="A241" s="377">
        <v>45987</v>
      </c>
      <c r="B241" s="375">
        <v>0</v>
      </c>
      <c r="C241" s="375">
        <v>0</v>
      </c>
      <c r="D241" s="375">
        <v>0</v>
      </c>
      <c r="E241" s="375">
        <v>0</v>
      </c>
      <c r="F241" s="375">
        <v>0</v>
      </c>
      <c r="G241" s="375">
        <v>400</v>
      </c>
      <c r="H241" s="376">
        <v>0</v>
      </c>
      <c r="I241" s="375">
        <v>0</v>
      </c>
      <c r="J241" s="375">
        <v>0</v>
      </c>
      <c r="K241" s="375">
        <v>0</v>
      </c>
      <c r="L241" s="375">
        <v>400</v>
      </c>
      <c r="M241" s="375">
        <v>0</v>
      </c>
      <c r="N241" s="375">
        <v>0</v>
      </c>
      <c r="O241" s="375">
        <v>0</v>
      </c>
      <c r="P241" s="375">
        <v>0</v>
      </c>
      <c r="Q241" s="375">
        <v>0</v>
      </c>
      <c r="R241" s="375">
        <v>0</v>
      </c>
      <c r="S241" s="375">
        <v>0</v>
      </c>
      <c r="T241" s="375">
        <v>0</v>
      </c>
      <c r="U241" s="375">
        <v>400</v>
      </c>
      <c r="V241" s="375" t="s">
        <v>597</v>
      </c>
    </row>
    <row r="242" spans="1:22" x14ac:dyDescent="0.25">
      <c r="A242" s="377">
        <v>45988</v>
      </c>
      <c r="B242" s="375">
        <v>4211</v>
      </c>
      <c r="C242" s="375">
        <v>4000</v>
      </c>
      <c r="D242" s="375">
        <v>1</v>
      </c>
      <c r="E242" s="375">
        <v>1</v>
      </c>
      <c r="F242" s="375">
        <v>5.0000000000000155E-2</v>
      </c>
      <c r="G242" s="375">
        <v>400</v>
      </c>
      <c r="H242" s="376">
        <v>2.5000000000000001E-3</v>
      </c>
      <c r="I242" s="375">
        <v>4000</v>
      </c>
      <c r="J242" s="375">
        <v>4400</v>
      </c>
      <c r="K242" s="375">
        <v>1</v>
      </c>
      <c r="L242" s="375">
        <v>400</v>
      </c>
      <c r="M242" s="375">
        <v>0</v>
      </c>
      <c r="N242" s="375">
        <v>0</v>
      </c>
      <c r="O242" s="375">
        <v>0</v>
      </c>
      <c r="P242" s="375">
        <v>0</v>
      </c>
      <c r="Q242" s="375">
        <v>0</v>
      </c>
      <c r="R242" s="375">
        <v>4000</v>
      </c>
      <c r="S242" s="375">
        <v>4210.5263157894742</v>
      </c>
      <c r="T242" s="375">
        <v>0.05</v>
      </c>
      <c r="U242" s="375">
        <v>400</v>
      </c>
      <c r="V242" s="375" t="s">
        <v>597</v>
      </c>
    </row>
    <row r="243" spans="1:22" x14ac:dyDescent="0.25">
      <c r="A243" s="377">
        <v>45989</v>
      </c>
      <c r="B243" s="375">
        <v>4211</v>
      </c>
      <c r="C243" s="375">
        <v>4000</v>
      </c>
      <c r="D243" s="375">
        <v>1</v>
      </c>
      <c r="E243" s="375">
        <v>1</v>
      </c>
      <c r="F243" s="375">
        <v>5.0000000000000155E-2</v>
      </c>
      <c r="G243" s="375">
        <v>400</v>
      </c>
      <c r="H243" s="376">
        <v>2.5000000000000001E-3</v>
      </c>
      <c r="I243" s="375">
        <v>4000</v>
      </c>
      <c r="J243" s="375">
        <v>4400</v>
      </c>
      <c r="K243" s="375">
        <v>1</v>
      </c>
      <c r="L243" s="375">
        <v>400</v>
      </c>
      <c r="M243" s="375">
        <v>0</v>
      </c>
      <c r="N243" s="375">
        <v>0</v>
      </c>
      <c r="O243" s="375">
        <v>0</v>
      </c>
      <c r="P243" s="375">
        <v>0</v>
      </c>
      <c r="Q243" s="375">
        <v>0</v>
      </c>
      <c r="R243" s="375">
        <v>4000</v>
      </c>
      <c r="S243" s="375">
        <v>4210.5263157894742</v>
      </c>
      <c r="T243" s="375">
        <v>0.05</v>
      </c>
      <c r="U243" s="375">
        <v>400</v>
      </c>
      <c r="V243" s="375" t="s">
        <v>597</v>
      </c>
    </row>
    <row r="244" spans="1:22" x14ac:dyDescent="0.25">
      <c r="A244" s="377">
        <v>45990</v>
      </c>
      <c r="B244" s="375">
        <v>4211</v>
      </c>
      <c r="C244" s="375">
        <v>4000</v>
      </c>
      <c r="D244" s="375">
        <v>1</v>
      </c>
      <c r="E244" s="375">
        <v>1</v>
      </c>
      <c r="F244" s="375">
        <v>5.0000000000000155E-2</v>
      </c>
      <c r="G244" s="375">
        <v>400</v>
      </c>
      <c r="H244" s="376">
        <v>2.5000000000000001E-3</v>
      </c>
      <c r="I244" s="375">
        <v>4000</v>
      </c>
      <c r="J244" s="375">
        <v>4400</v>
      </c>
      <c r="K244" s="375">
        <v>1</v>
      </c>
      <c r="L244" s="375">
        <v>400</v>
      </c>
      <c r="M244" s="375">
        <v>0</v>
      </c>
      <c r="N244" s="375">
        <v>0</v>
      </c>
      <c r="O244" s="375">
        <v>0</v>
      </c>
      <c r="P244" s="375">
        <v>0</v>
      </c>
      <c r="Q244" s="375">
        <v>0</v>
      </c>
      <c r="R244" s="375">
        <v>4000</v>
      </c>
      <c r="S244" s="375">
        <v>4210.5263157894742</v>
      </c>
      <c r="T244" s="375">
        <v>0.05</v>
      </c>
      <c r="U244" s="375">
        <v>400</v>
      </c>
      <c r="V244" s="375" t="s">
        <v>597</v>
      </c>
    </row>
    <row r="245" spans="1:22" x14ac:dyDescent="0.25">
      <c r="A245" s="377">
        <v>45991</v>
      </c>
      <c r="B245" s="375">
        <v>0</v>
      </c>
      <c r="C245" s="375">
        <v>0</v>
      </c>
      <c r="D245" s="375">
        <v>0</v>
      </c>
      <c r="E245" s="375">
        <v>0</v>
      </c>
      <c r="F245" s="375">
        <v>0</v>
      </c>
      <c r="G245" s="375">
        <v>400</v>
      </c>
      <c r="H245" s="376">
        <v>0</v>
      </c>
      <c r="I245" s="375">
        <v>0</v>
      </c>
      <c r="J245" s="375">
        <v>0</v>
      </c>
      <c r="K245" s="375">
        <v>0</v>
      </c>
      <c r="L245" s="375">
        <v>400</v>
      </c>
      <c r="M245" s="375">
        <v>0</v>
      </c>
      <c r="N245" s="375">
        <v>0</v>
      </c>
      <c r="O245" s="375">
        <v>0</v>
      </c>
      <c r="P245" s="375">
        <v>0</v>
      </c>
      <c r="Q245" s="375">
        <v>0</v>
      </c>
      <c r="R245" s="375">
        <v>0</v>
      </c>
      <c r="S245" s="375">
        <v>0</v>
      </c>
      <c r="T245" s="375">
        <v>0</v>
      </c>
      <c r="U245" s="375">
        <v>400</v>
      </c>
      <c r="V245" s="375" t="s">
        <v>597</v>
      </c>
    </row>
    <row r="246" spans="1:22" x14ac:dyDescent="0.25">
      <c r="A246" s="377">
        <v>45992</v>
      </c>
      <c r="B246" s="375">
        <v>0</v>
      </c>
      <c r="C246" s="375">
        <v>0</v>
      </c>
      <c r="D246" s="375">
        <v>0</v>
      </c>
      <c r="E246" s="375">
        <v>0</v>
      </c>
      <c r="F246" s="375">
        <v>0</v>
      </c>
      <c r="G246" s="375">
        <v>400</v>
      </c>
      <c r="H246" s="376">
        <v>0</v>
      </c>
      <c r="I246" s="375">
        <v>4000</v>
      </c>
      <c r="J246" s="375">
        <v>4400</v>
      </c>
      <c r="K246" s="375">
        <v>0</v>
      </c>
      <c r="L246" s="375">
        <v>400</v>
      </c>
      <c r="M246" s="375">
        <v>0</v>
      </c>
      <c r="N246" s="375">
        <v>0</v>
      </c>
      <c r="O246" s="375">
        <v>0</v>
      </c>
      <c r="P246" s="375">
        <v>0</v>
      </c>
      <c r="Q246" s="375">
        <v>0</v>
      </c>
      <c r="R246" s="375">
        <v>0</v>
      </c>
      <c r="S246" s="375">
        <v>0</v>
      </c>
      <c r="T246" s="375">
        <v>0</v>
      </c>
      <c r="U246" s="375">
        <v>400</v>
      </c>
      <c r="V246" s="375" t="s">
        <v>597</v>
      </c>
    </row>
    <row r="247" spans="1:22" x14ac:dyDescent="0.25">
      <c r="A247" s="377">
        <v>45993</v>
      </c>
      <c r="B247" s="375">
        <v>4211</v>
      </c>
      <c r="C247" s="375">
        <v>4000</v>
      </c>
      <c r="D247" s="375">
        <v>1</v>
      </c>
      <c r="E247" s="375">
        <v>1</v>
      </c>
      <c r="F247" s="375">
        <v>5.0000000000000155E-2</v>
      </c>
      <c r="G247" s="375">
        <v>400</v>
      </c>
      <c r="H247" s="376">
        <v>2.5000000000000001E-3</v>
      </c>
      <c r="I247" s="375">
        <v>4000</v>
      </c>
      <c r="J247" s="375">
        <v>4400</v>
      </c>
      <c r="K247" s="375">
        <v>1</v>
      </c>
      <c r="L247" s="375">
        <v>400</v>
      </c>
      <c r="M247" s="375">
        <v>0</v>
      </c>
      <c r="N247" s="375">
        <v>0</v>
      </c>
      <c r="O247" s="375">
        <v>0</v>
      </c>
      <c r="P247" s="375">
        <v>0</v>
      </c>
      <c r="Q247" s="375">
        <v>0</v>
      </c>
      <c r="R247" s="375">
        <v>4000</v>
      </c>
      <c r="S247" s="375">
        <v>4210.5263157894742</v>
      </c>
      <c r="T247" s="375">
        <v>0.05</v>
      </c>
      <c r="U247" s="375">
        <v>400</v>
      </c>
      <c r="V247" s="375" t="s">
        <v>597</v>
      </c>
    </row>
    <row r="248" spans="1:22" x14ac:dyDescent="0.25">
      <c r="A248" s="377">
        <v>45994</v>
      </c>
      <c r="B248" s="375">
        <v>0</v>
      </c>
      <c r="C248" s="375">
        <v>0</v>
      </c>
      <c r="D248" s="375">
        <v>0</v>
      </c>
      <c r="E248" s="375">
        <v>0</v>
      </c>
      <c r="F248" s="375">
        <v>0</v>
      </c>
      <c r="G248" s="375">
        <v>400</v>
      </c>
      <c r="H248" s="376">
        <v>0</v>
      </c>
      <c r="I248" s="375">
        <v>0</v>
      </c>
      <c r="J248" s="375">
        <v>0</v>
      </c>
      <c r="K248" s="375">
        <v>0</v>
      </c>
      <c r="L248" s="375">
        <v>400</v>
      </c>
      <c r="M248" s="375">
        <v>0</v>
      </c>
      <c r="N248" s="375">
        <v>0</v>
      </c>
      <c r="O248" s="375">
        <v>0</v>
      </c>
      <c r="P248" s="375">
        <v>0</v>
      </c>
      <c r="Q248" s="375">
        <v>0</v>
      </c>
      <c r="R248" s="375">
        <v>0</v>
      </c>
      <c r="S248" s="375">
        <v>0</v>
      </c>
      <c r="T248" s="375">
        <v>0</v>
      </c>
      <c r="U248" s="375">
        <v>400</v>
      </c>
      <c r="V248" s="375" t="s">
        <v>597</v>
      </c>
    </row>
    <row r="249" spans="1:22" x14ac:dyDescent="0.25">
      <c r="A249" s="377">
        <v>45995</v>
      </c>
      <c r="B249" s="375">
        <v>4211</v>
      </c>
      <c r="C249" s="375">
        <v>4000</v>
      </c>
      <c r="D249" s="375">
        <v>1</v>
      </c>
      <c r="E249" s="375">
        <v>1</v>
      </c>
      <c r="F249" s="375">
        <v>5.0000000000000155E-2</v>
      </c>
      <c r="G249" s="375">
        <v>400</v>
      </c>
      <c r="H249" s="376">
        <v>2.5000000000000001E-3</v>
      </c>
      <c r="I249" s="375">
        <v>4000</v>
      </c>
      <c r="J249" s="375">
        <v>4400</v>
      </c>
      <c r="K249" s="375">
        <v>1</v>
      </c>
      <c r="L249" s="375">
        <v>400</v>
      </c>
      <c r="M249" s="375">
        <v>0</v>
      </c>
      <c r="N249" s="375">
        <v>0</v>
      </c>
      <c r="O249" s="375">
        <v>0</v>
      </c>
      <c r="P249" s="375">
        <v>0</v>
      </c>
      <c r="Q249" s="375">
        <v>0</v>
      </c>
      <c r="R249" s="375">
        <v>4000</v>
      </c>
      <c r="S249" s="375">
        <v>4210.5263157894742</v>
      </c>
      <c r="T249" s="375">
        <v>0.05</v>
      </c>
      <c r="U249" s="375">
        <v>400</v>
      </c>
      <c r="V249" s="375" t="s">
        <v>597</v>
      </c>
    </row>
    <row r="250" spans="1:22" x14ac:dyDescent="0.25">
      <c r="A250" s="377">
        <v>45996</v>
      </c>
      <c r="B250" s="375">
        <v>8421</v>
      </c>
      <c r="C250" s="375">
        <v>8000</v>
      </c>
      <c r="D250" s="375">
        <v>2</v>
      </c>
      <c r="E250" s="375">
        <v>2</v>
      </c>
      <c r="F250" s="375">
        <v>5.0000000000000155E-2</v>
      </c>
      <c r="G250" s="375">
        <v>400</v>
      </c>
      <c r="H250" s="376">
        <v>5.0000000000000001E-3</v>
      </c>
      <c r="I250" s="375">
        <v>4000</v>
      </c>
      <c r="J250" s="375">
        <v>4400</v>
      </c>
      <c r="K250" s="375">
        <v>2</v>
      </c>
      <c r="L250" s="375">
        <v>400</v>
      </c>
      <c r="M250" s="375">
        <v>0</v>
      </c>
      <c r="N250" s="375">
        <v>0</v>
      </c>
      <c r="O250" s="375">
        <v>0</v>
      </c>
      <c r="P250" s="375">
        <v>0</v>
      </c>
      <c r="Q250" s="375">
        <v>0</v>
      </c>
      <c r="R250" s="375">
        <v>8000</v>
      </c>
      <c r="S250" s="375">
        <v>8421.0526315789484</v>
      </c>
      <c r="T250" s="375">
        <v>0.05</v>
      </c>
      <c r="U250" s="375">
        <v>400</v>
      </c>
      <c r="V250" s="375" t="s">
        <v>597</v>
      </c>
    </row>
    <row r="251" spans="1:22" x14ac:dyDescent="0.25">
      <c r="A251" s="377">
        <v>45997</v>
      </c>
      <c r="B251" s="375">
        <v>4211</v>
      </c>
      <c r="C251" s="375">
        <v>4000</v>
      </c>
      <c r="D251" s="375">
        <v>1</v>
      </c>
      <c r="E251" s="375">
        <v>1</v>
      </c>
      <c r="F251" s="375">
        <v>5.0000000000000155E-2</v>
      </c>
      <c r="G251" s="375">
        <v>400</v>
      </c>
      <c r="H251" s="376">
        <v>2.5000000000000001E-3</v>
      </c>
      <c r="I251" s="375">
        <v>4000</v>
      </c>
      <c r="J251" s="375">
        <v>4400</v>
      </c>
      <c r="K251" s="375">
        <v>1</v>
      </c>
      <c r="L251" s="375">
        <v>400</v>
      </c>
      <c r="M251" s="375">
        <v>0</v>
      </c>
      <c r="N251" s="375">
        <v>0</v>
      </c>
      <c r="O251" s="375">
        <v>0</v>
      </c>
      <c r="P251" s="375">
        <v>0</v>
      </c>
      <c r="Q251" s="375">
        <v>0</v>
      </c>
      <c r="R251" s="375">
        <v>4000</v>
      </c>
      <c r="S251" s="375">
        <v>4210.5263157894742</v>
      </c>
      <c r="T251" s="375">
        <v>0.05</v>
      </c>
      <c r="U251" s="375">
        <v>400</v>
      </c>
      <c r="V251" s="375" t="s">
        <v>597</v>
      </c>
    </row>
    <row r="252" spans="1:22" x14ac:dyDescent="0.25">
      <c r="A252" s="377">
        <v>45998</v>
      </c>
      <c r="B252" s="375">
        <v>0</v>
      </c>
      <c r="C252" s="375">
        <v>0</v>
      </c>
      <c r="D252" s="375">
        <v>0</v>
      </c>
      <c r="E252" s="375">
        <v>0</v>
      </c>
      <c r="F252" s="375">
        <v>0</v>
      </c>
      <c r="G252" s="375">
        <v>400</v>
      </c>
      <c r="H252" s="376">
        <v>0</v>
      </c>
      <c r="I252" s="375">
        <v>0</v>
      </c>
      <c r="J252" s="375">
        <v>0</v>
      </c>
      <c r="K252" s="375">
        <v>0</v>
      </c>
      <c r="L252" s="375">
        <v>400</v>
      </c>
      <c r="M252" s="375">
        <v>0</v>
      </c>
      <c r="N252" s="375">
        <v>0</v>
      </c>
      <c r="O252" s="375">
        <v>0</v>
      </c>
      <c r="P252" s="375">
        <v>0</v>
      </c>
      <c r="Q252" s="375">
        <v>0</v>
      </c>
      <c r="R252" s="375">
        <v>0</v>
      </c>
      <c r="S252" s="375">
        <v>0</v>
      </c>
      <c r="T252" s="375">
        <v>0</v>
      </c>
      <c r="U252" s="375">
        <v>400</v>
      </c>
      <c r="V252" s="375" t="s">
        <v>597</v>
      </c>
    </row>
    <row r="253" spans="1:22" x14ac:dyDescent="0.25">
      <c r="A253" s="377">
        <v>45999</v>
      </c>
      <c r="B253" s="375">
        <v>8400</v>
      </c>
      <c r="C253" s="375">
        <v>8000</v>
      </c>
      <c r="D253" s="375">
        <v>2</v>
      </c>
      <c r="E253" s="375">
        <v>2</v>
      </c>
      <c r="F253" s="375">
        <v>4.7619047619047672E-2</v>
      </c>
      <c r="G253" s="375">
        <v>450</v>
      </c>
      <c r="H253" s="376">
        <v>4.4444444444444444E-3</v>
      </c>
      <c r="I253" s="375">
        <v>4000</v>
      </c>
      <c r="J253" s="375">
        <v>4400</v>
      </c>
      <c r="K253" s="375">
        <v>2</v>
      </c>
      <c r="L253" s="375">
        <v>400</v>
      </c>
      <c r="M253" s="375">
        <v>50</v>
      </c>
      <c r="N253" s="375">
        <v>8000</v>
      </c>
      <c r="O253" s="375">
        <v>8400</v>
      </c>
      <c r="P253" s="375">
        <v>0.05</v>
      </c>
      <c r="Q253" s="375">
        <v>50</v>
      </c>
      <c r="R253" s="375">
        <v>0</v>
      </c>
      <c r="S253" s="375">
        <v>0</v>
      </c>
      <c r="T253" s="375">
        <v>0</v>
      </c>
      <c r="U253" s="375">
        <v>400</v>
      </c>
      <c r="V253" s="375" t="s">
        <v>597</v>
      </c>
    </row>
    <row r="254" spans="1:22" x14ac:dyDescent="0.25">
      <c r="A254" s="377">
        <v>46000</v>
      </c>
      <c r="B254" s="375">
        <v>23111</v>
      </c>
      <c r="C254" s="375">
        <v>22000</v>
      </c>
      <c r="D254" s="375">
        <v>6</v>
      </c>
      <c r="E254" s="375">
        <v>6</v>
      </c>
      <c r="F254" s="375">
        <v>4.8052835345023914E-2</v>
      </c>
      <c r="G254" s="375">
        <v>450</v>
      </c>
      <c r="H254" s="376">
        <v>1.1111111111111112E-2</v>
      </c>
      <c r="I254" s="375">
        <v>4000</v>
      </c>
      <c r="J254" s="375">
        <v>4400</v>
      </c>
      <c r="K254" s="375">
        <v>5</v>
      </c>
      <c r="L254" s="375">
        <v>400</v>
      </c>
      <c r="M254" s="375">
        <v>50</v>
      </c>
      <c r="N254" s="375">
        <v>18000</v>
      </c>
      <c r="O254" s="375">
        <v>18900</v>
      </c>
      <c r="P254" s="375">
        <v>0.05</v>
      </c>
      <c r="Q254" s="375">
        <v>50</v>
      </c>
      <c r="R254" s="375">
        <v>4000</v>
      </c>
      <c r="S254" s="375">
        <v>4210.5263157894742</v>
      </c>
      <c r="T254" s="375">
        <v>0.05</v>
      </c>
      <c r="U254" s="375">
        <v>400</v>
      </c>
      <c r="V254" s="375" t="s">
        <v>597</v>
      </c>
    </row>
    <row r="255" spans="1:22" x14ac:dyDescent="0.25">
      <c r="A255" s="377">
        <v>46001</v>
      </c>
      <c r="B255" s="375">
        <v>16821</v>
      </c>
      <c r="C255" s="375">
        <v>16000</v>
      </c>
      <c r="D255" s="375">
        <v>4</v>
      </c>
      <c r="E255" s="375">
        <v>4</v>
      </c>
      <c r="F255" s="375">
        <v>4.8811013767208977E-2</v>
      </c>
      <c r="G255" s="375">
        <v>450</v>
      </c>
      <c r="H255" s="376">
        <v>8.8888888888888889E-3</v>
      </c>
      <c r="I255" s="375">
        <v>4000</v>
      </c>
      <c r="J255" s="375">
        <v>4400</v>
      </c>
      <c r="K255" s="375">
        <v>4</v>
      </c>
      <c r="L255" s="375">
        <v>400</v>
      </c>
      <c r="M255" s="375">
        <v>50</v>
      </c>
      <c r="N255" s="375">
        <v>8000</v>
      </c>
      <c r="O255" s="375">
        <v>8400</v>
      </c>
      <c r="P255" s="375">
        <v>0.05</v>
      </c>
      <c r="Q255" s="375">
        <v>50</v>
      </c>
      <c r="R255" s="375">
        <v>8000</v>
      </c>
      <c r="S255" s="375">
        <v>8421.0526315789484</v>
      </c>
      <c r="T255" s="375">
        <v>0.05</v>
      </c>
      <c r="U255" s="375">
        <v>400</v>
      </c>
      <c r="V255" s="375" t="s">
        <v>597</v>
      </c>
    </row>
    <row r="256" spans="1:22" x14ac:dyDescent="0.25">
      <c r="A256" s="377">
        <v>46002</v>
      </c>
      <c r="B256" s="375">
        <v>18900</v>
      </c>
      <c r="C256" s="375">
        <v>18000</v>
      </c>
      <c r="D256" s="375">
        <v>5</v>
      </c>
      <c r="E256" s="375">
        <v>5</v>
      </c>
      <c r="F256" s="375">
        <v>4.7619047619047672E-2</v>
      </c>
      <c r="G256" s="375">
        <v>450</v>
      </c>
      <c r="H256" s="376">
        <v>8.8888888888888889E-3</v>
      </c>
      <c r="I256" s="375">
        <v>4000</v>
      </c>
      <c r="J256" s="375">
        <v>4400</v>
      </c>
      <c r="K256" s="375">
        <v>4</v>
      </c>
      <c r="L256" s="375">
        <v>400</v>
      </c>
      <c r="M256" s="375">
        <v>50</v>
      </c>
      <c r="N256" s="375">
        <v>18000</v>
      </c>
      <c r="O256" s="375">
        <v>18900</v>
      </c>
      <c r="P256" s="375">
        <v>0.05</v>
      </c>
      <c r="Q256" s="375">
        <v>50</v>
      </c>
      <c r="R256" s="375">
        <v>0</v>
      </c>
      <c r="S256" s="375">
        <v>0</v>
      </c>
      <c r="T256" s="375">
        <v>0</v>
      </c>
      <c r="U256" s="375">
        <v>400</v>
      </c>
      <c r="V256" s="375" t="s">
        <v>597</v>
      </c>
    </row>
    <row r="257" spans="1:22" x14ac:dyDescent="0.25">
      <c r="A257" s="377">
        <v>46003</v>
      </c>
      <c r="B257" s="375">
        <v>16821</v>
      </c>
      <c r="C257" s="375">
        <v>16000</v>
      </c>
      <c r="D257" s="375">
        <v>4</v>
      </c>
      <c r="E257" s="375">
        <v>4</v>
      </c>
      <c r="F257" s="375">
        <v>4.8811013767208977E-2</v>
      </c>
      <c r="G257" s="375">
        <v>450</v>
      </c>
      <c r="H257" s="376">
        <v>8.8888888888888889E-3</v>
      </c>
      <c r="I257" s="375">
        <v>4000</v>
      </c>
      <c r="J257" s="375">
        <v>4400</v>
      </c>
      <c r="K257" s="375">
        <v>4</v>
      </c>
      <c r="L257" s="375">
        <v>400</v>
      </c>
      <c r="M257" s="375">
        <v>50</v>
      </c>
      <c r="N257" s="375">
        <v>8000</v>
      </c>
      <c r="O257" s="375">
        <v>8400</v>
      </c>
      <c r="P257" s="375">
        <v>0.05</v>
      </c>
      <c r="Q257" s="375">
        <v>50</v>
      </c>
      <c r="R257" s="375">
        <v>8000</v>
      </c>
      <c r="S257" s="375">
        <v>8421.0526315789484</v>
      </c>
      <c r="T257" s="375">
        <v>0.05</v>
      </c>
      <c r="U257" s="375">
        <v>400</v>
      </c>
      <c r="V257" s="375" t="s">
        <v>597</v>
      </c>
    </row>
    <row r="258" spans="1:22" x14ac:dyDescent="0.25">
      <c r="A258" s="377">
        <v>46004</v>
      </c>
      <c r="B258" s="375">
        <v>8400</v>
      </c>
      <c r="C258" s="375">
        <v>8000</v>
      </c>
      <c r="D258" s="375">
        <v>2</v>
      </c>
      <c r="E258" s="375">
        <v>2</v>
      </c>
      <c r="F258" s="375">
        <v>4.7619047619047672E-2</v>
      </c>
      <c r="G258" s="375">
        <v>450</v>
      </c>
      <c r="H258" s="376">
        <v>4.4444444444444444E-3</v>
      </c>
      <c r="I258" s="375">
        <v>4000</v>
      </c>
      <c r="J258" s="375">
        <v>4400</v>
      </c>
      <c r="K258" s="375">
        <v>2</v>
      </c>
      <c r="L258" s="375">
        <v>400</v>
      </c>
      <c r="M258" s="375">
        <v>50</v>
      </c>
      <c r="N258" s="375">
        <v>8000</v>
      </c>
      <c r="O258" s="375">
        <v>8400</v>
      </c>
      <c r="P258" s="375">
        <v>0.05</v>
      </c>
      <c r="Q258" s="375">
        <v>50</v>
      </c>
      <c r="R258" s="375">
        <v>0</v>
      </c>
      <c r="S258" s="375">
        <v>0</v>
      </c>
      <c r="T258" s="375">
        <v>0</v>
      </c>
      <c r="U258" s="375">
        <v>400</v>
      </c>
      <c r="V258" s="375" t="s">
        <v>597</v>
      </c>
    </row>
    <row r="259" spans="1:22" x14ac:dyDescent="0.25">
      <c r="A259" s="377">
        <v>46005</v>
      </c>
      <c r="B259" s="375">
        <v>8400</v>
      </c>
      <c r="C259" s="375">
        <v>8000</v>
      </c>
      <c r="D259" s="375">
        <v>2</v>
      </c>
      <c r="E259" s="375">
        <v>2</v>
      </c>
      <c r="F259" s="375">
        <v>4.7619047619047672E-2</v>
      </c>
      <c r="G259" s="375">
        <v>450</v>
      </c>
      <c r="H259" s="376">
        <v>4.4444444444444444E-3</v>
      </c>
      <c r="I259" s="375">
        <v>4000</v>
      </c>
      <c r="J259" s="375">
        <v>4400</v>
      </c>
      <c r="K259" s="375">
        <v>2</v>
      </c>
      <c r="L259" s="375">
        <v>400</v>
      </c>
      <c r="M259" s="375">
        <v>50</v>
      </c>
      <c r="N259" s="375">
        <v>8000</v>
      </c>
      <c r="O259" s="375">
        <v>8400</v>
      </c>
      <c r="P259" s="375">
        <v>0.05</v>
      </c>
      <c r="Q259" s="375">
        <v>50</v>
      </c>
      <c r="R259" s="375">
        <v>0</v>
      </c>
      <c r="S259" s="375">
        <v>0</v>
      </c>
      <c r="T259" s="375">
        <v>0</v>
      </c>
      <c r="U259" s="375">
        <v>400</v>
      </c>
      <c r="V259" s="375" t="s">
        <v>597</v>
      </c>
    </row>
    <row r="260" spans="1:22" x14ac:dyDescent="0.25">
      <c r="A260" s="377">
        <v>46006</v>
      </c>
      <c r="B260" s="375">
        <v>18900</v>
      </c>
      <c r="C260" s="375">
        <v>18000</v>
      </c>
      <c r="D260" s="375">
        <v>5</v>
      </c>
      <c r="E260" s="375">
        <v>5</v>
      </c>
      <c r="F260" s="375">
        <v>4.7619047619047672E-2</v>
      </c>
      <c r="G260" s="375">
        <v>450</v>
      </c>
      <c r="H260" s="376">
        <v>8.8888888888888889E-3</v>
      </c>
      <c r="I260" s="375">
        <v>4000</v>
      </c>
      <c r="J260" s="375">
        <v>4400</v>
      </c>
      <c r="K260" s="375">
        <v>4</v>
      </c>
      <c r="L260" s="375">
        <v>400</v>
      </c>
      <c r="M260" s="375">
        <v>50</v>
      </c>
      <c r="N260" s="375">
        <v>18000</v>
      </c>
      <c r="O260" s="375">
        <v>18900</v>
      </c>
      <c r="P260" s="375">
        <v>0.05</v>
      </c>
      <c r="Q260" s="375">
        <v>50</v>
      </c>
      <c r="R260" s="375">
        <v>0</v>
      </c>
      <c r="S260" s="375">
        <v>0</v>
      </c>
      <c r="T260" s="375">
        <v>0</v>
      </c>
      <c r="U260" s="375">
        <v>400</v>
      </c>
      <c r="V260" s="375" t="s">
        <v>597</v>
      </c>
    </row>
    <row r="261" spans="1:22" x14ac:dyDescent="0.25">
      <c r="A261" s="377">
        <v>46007</v>
      </c>
      <c r="B261" s="375">
        <v>8400</v>
      </c>
      <c r="C261" s="375">
        <v>8000</v>
      </c>
      <c r="D261" s="375">
        <v>2</v>
      </c>
      <c r="E261" s="375">
        <v>2</v>
      </c>
      <c r="F261" s="375">
        <v>4.7619047619047672E-2</v>
      </c>
      <c r="G261" s="375">
        <v>450</v>
      </c>
      <c r="H261" s="376">
        <v>4.4444444444444444E-3</v>
      </c>
      <c r="I261" s="375">
        <v>4000</v>
      </c>
      <c r="J261" s="375">
        <v>4400</v>
      </c>
      <c r="K261" s="375">
        <v>2</v>
      </c>
      <c r="L261" s="375">
        <v>400</v>
      </c>
      <c r="M261" s="375">
        <v>50</v>
      </c>
      <c r="N261" s="375">
        <v>8000</v>
      </c>
      <c r="O261" s="375">
        <v>8400</v>
      </c>
      <c r="P261" s="375">
        <v>0.05</v>
      </c>
      <c r="Q261" s="375">
        <v>50</v>
      </c>
      <c r="R261" s="375">
        <v>0</v>
      </c>
      <c r="S261" s="375">
        <v>0</v>
      </c>
      <c r="T261" s="375">
        <v>0</v>
      </c>
      <c r="U261" s="375">
        <v>400</v>
      </c>
      <c r="V261" s="375" t="s">
        <v>597</v>
      </c>
    </row>
    <row r="262" spans="1:22" x14ac:dyDescent="0.25">
      <c r="A262" s="377">
        <v>46008</v>
      </c>
      <c r="B262" s="375">
        <v>8400</v>
      </c>
      <c r="C262" s="375">
        <v>8000</v>
      </c>
      <c r="D262" s="375">
        <v>2</v>
      </c>
      <c r="E262" s="375">
        <v>2</v>
      </c>
      <c r="F262" s="375">
        <v>4.7619047619047672E-2</v>
      </c>
      <c r="G262" s="375">
        <v>450</v>
      </c>
      <c r="H262" s="376">
        <v>4.4444444444444444E-3</v>
      </c>
      <c r="I262" s="375">
        <v>4000</v>
      </c>
      <c r="J262" s="375">
        <v>4400</v>
      </c>
      <c r="K262" s="375">
        <v>2</v>
      </c>
      <c r="L262" s="375">
        <v>400</v>
      </c>
      <c r="M262" s="375">
        <v>50</v>
      </c>
      <c r="N262" s="375">
        <v>8000</v>
      </c>
      <c r="O262" s="375">
        <v>8400</v>
      </c>
      <c r="P262" s="375">
        <v>0.05</v>
      </c>
      <c r="Q262" s="375">
        <v>50</v>
      </c>
      <c r="R262" s="375">
        <v>0</v>
      </c>
      <c r="S262" s="375">
        <v>0</v>
      </c>
      <c r="T262" s="375">
        <v>0</v>
      </c>
      <c r="U262" s="375">
        <v>400</v>
      </c>
      <c r="V262" s="375" t="s">
        <v>597</v>
      </c>
    </row>
    <row r="263" spans="1:22" x14ac:dyDescent="0.25">
      <c r="A263" s="377">
        <v>46009</v>
      </c>
      <c r="B263" s="375">
        <v>15771</v>
      </c>
      <c r="C263" s="375">
        <v>15000</v>
      </c>
      <c r="D263" s="375">
        <v>4</v>
      </c>
      <c r="E263" s="375">
        <v>4</v>
      </c>
      <c r="F263" s="375">
        <v>4.8890372100784285E-2</v>
      </c>
      <c r="G263" s="375">
        <v>450</v>
      </c>
      <c r="H263" s="376">
        <v>8.8888888888888889E-3</v>
      </c>
      <c r="I263" s="375">
        <v>4000</v>
      </c>
      <c r="J263" s="375">
        <v>4400</v>
      </c>
      <c r="K263" s="375">
        <v>4</v>
      </c>
      <c r="L263" s="375">
        <v>400</v>
      </c>
      <c r="M263" s="375">
        <v>50</v>
      </c>
      <c r="N263" s="375">
        <v>7000</v>
      </c>
      <c r="O263" s="375">
        <v>7350</v>
      </c>
      <c r="P263" s="375">
        <v>0.05</v>
      </c>
      <c r="Q263" s="375">
        <v>50</v>
      </c>
      <c r="R263" s="375">
        <v>8000</v>
      </c>
      <c r="S263" s="375">
        <v>8421.0526315789484</v>
      </c>
      <c r="T263" s="375">
        <v>0.05</v>
      </c>
      <c r="U263" s="375">
        <v>400</v>
      </c>
      <c r="V263" s="375" t="s">
        <v>597</v>
      </c>
    </row>
    <row r="264" spans="1:22" x14ac:dyDescent="0.25">
      <c r="A264" s="377">
        <v>46010</v>
      </c>
      <c r="B264" s="375">
        <v>8421</v>
      </c>
      <c r="C264" s="375">
        <v>8000</v>
      </c>
      <c r="D264" s="375">
        <v>2</v>
      </c>
      <c r="E264" s="375">
        <v>2</v>
      </c>
      <c r="F264" s="375">
        <v>5.0000000000000155E-2</v>
      </c>
      <c r="G264" s="375">
        <v>400</v>
      </c>
      <c r="H264" s="376">
        <v>5.0000000000000001E-3</v>
      </c>
      <c r="I264" s="375">
        <v>4000</v>
      </c>
      <c r="J264" s="375">
        <v>4400</v>
      </c>
      <c r="K264" s="375">
        <v>2</v>
      </c>
      <c r="L264" s="375">
        <v>400</v>
      </c>
      <c r="M264" s="375">
        <v>0</v>
      </c>
      <c r="N264" s="375">
        <v>0</v>
      </c>
      <c r="O264" s="375">
        <v>0</v>
      </c>
      <c r="P264" s="375">
        <v>0</v>
      </c>
      <c r="Q264" s="375">
        <v>0</v>
      </c>
      <c r="R264" s="375">
        <v>8000</v>
      </c>
      <c r="S264" s="375">
        <v>8421.0526315789484</v>
      </c>
      <c r="T264" s="375">
        <v>0.05</v>
      </c>
      <c r="U264" s="375">
        <v>400</v>
      </c>
      <c r="V264" s="375" t="s">
        <v>597</v>
      </c>
    </row>
    <row r="265" spans="1:22" x14ac:dyDescent="0.25">
      <c r="A265" s="377">
        <v>46011</v>
      </c>
      <c r="B265" s="375">
        <v>0</v>
      </c>
      <c r="C265" s="375">
        <v>0</v>
      </c>
      <c r="D265" s="375">
        <v>0</v>
      </c>
      <c r="E265" s="375">
        <v>0</v>
      </c>
      <c r="F265" s="375">
        <v>0</v>
      </c>
      <c r="G265" s="375">
        <v>400</v>
      </c>
      <c r="H265" s="376">
        <v>0</v>
      </c>
      <c r="I265" s="375">
        <v>0</v>
      </c>
      <c r="J265" s="375">
        <v>0</v>
      </c>
      <c r="K265" s="375">
        <v>0</v>
      </c>
      <c r="L265" s="375">
        <v>400</v>
      </c>
      <c r="M265" s="375">
        <v>0</v>
      </c>
      <c r="N265" s="375">
        <v>0</v>
      </c>
      <c r="O265" s="375">
        <v>0</v>
      </c>
      <c r="P265" s="375">
        <v>0</v>
      </c>
      <c r="Q265" s="375">
        <v>0</v>
      </c>
      <c r="R265" s="375">
        <v>0</v>
      </c>
      <c r="S265" s="375">
        <v>0</v>
      </c>
      <c r="T265" s="375">
        <v>0</v>
      </c>
      <c r="U265" s="375">
        <v>400</v>
      </c>
      <c r="V265" s="375" t="s">
        <v>597</v>
      </c>
    </row>
    <row r="266" spans="1:22" x14ac:dyDescent="0.25">
      <c r="A266" s="377">
        <v>46012</v>
      </c>
      <c r="B266" s="375">
        <v>4211</v>
      </c>
      <c r="C266" s="375">
        <v>4000</v>
      </c>
      <c r="D266" s="375">
        <v>1</v>
      </c>
      <c r="E266" s="375">
        <v>1</v>
      </c>
      <c r="F266" s="375">
        <v>5.0000000000000155E-2</v>
      </c>
      <c r="G266" s="375">
        <v>400</v>
      </c>
      <c r="H266" s="376">
        <v>2.5000000000000001E-3</v>
      </c>
      <c r="I266" s="375">
        <v>4000</v>
      </c>
      <c r="J266" s="375">
        <v>4400</v>
      </c>
      <c r="K266" s="375">
        <v>1</v>
      </c>
      <c r="L266" s="375">
        <v>400</v>
      </c>
      <c r="M266" s="375">
        <v>0</v>
      </c>
      <c r="N266" s="375">
        <v>0</v>
      </c>
      <c r="O266" s="375">
        <v>0</v>
      </c>
      <c r="P266" s="375">
        <v>0</v>
      </c>
      <c r="Q266" s="375">
        <v>0</v>
      </c>
      <c r="R266" s="375">
        <v>4000</v>
      </c>
      <c r="S266" s="375">
        <v>4210.5263157894742</v>
      </c>
      <c r="T266" s="375">
        <v>0.05</v>
      </c>
      <c r="U266" s="375">
        <v>400</v>
      </c>
      <c r="V266" s="375" t="s">
        <v>597</v>
      </c>
    </row>
    <row r="267" spans="1:22" x14ac:dyDescent="0.25">
      <c r="A267" s="377">
        <v>46013</v>
      </c>
      <c r="B267" s="375">
        <v>8421</v>
      </c>
      <c r="C267" s="375">
        <v>8000</v>
      </c>
      <c r="D267" s="375">
        <v>2</v>
      </c>
      <c r="E267" s="375">
        <v>2</v>
      </c>
      <c r="F267" s="375">
        <v>5.0000000000000155E-2</v>
      </c>
      <c r="G267" s="375">
        <v>400</v>
      </c>
      <c r="H267" s="376">
        <v>5.0000000000000001E-3</v>
      </c>
      <c r="I267" s="375">
        <v>4000</v>
      </c>
      <c r="J267" s="375">
        <v>4400</v>
      </c>
      <c r="K267" s="375">
        <v>2</v>
      </c>
      <c r="L267" s="375">
        <v>400</v>
      </c>
      <c r="M267" s="375">
        <v>0</v>
      </c>
      <c r="N267" s="375">
        <v>0</v>
      </c>
      <c r="O267" s="375">
        <v>0</v>
      </c>
      <c r="P267" s="375">
        <v>0</v>
      </c>
      <c r="Q267" s="375">
        <v>0</v>
      </c>
      <c r="R267" s="375">
        <v>8000</v>
      </c>
      <c r="S267" s="375">
        <v>8421.0526315789484</v>
      </c>
      <c r="T267" s="375">
        <v>0.05</v>
      </c>
      <c r="U267" s="375">
        <v>400</v>
      </c>
      <c r="V267" s="375" t="s">
        <v>597</v>
      </c>
    </row>
    <row r="268" spans="1:22" x14ac:dyDescent="0.25">
      <c r="A268" s="377">
        <v>46014</v>
      </c>
      <c r="B268" s="375">
        <v>0</v>
      </c>
      <c r="C268" s="375">
        <v>0</v>
      </c>
      <c r="D268" s="375">
        <v>0</v>
      </c>
      <c r="E268" s="375">
        <v>0</v>
      </c>
      <c r="F268" s="375">
        <v>0</v>
      </c>
      <c r="G268" s="375">
        <v>400</v>
      </c>
      <c r="H268" s="376">
        <v>0</v>
      </c>
      <c r="I268" s="375">
        <v>0</v>
      </c>
      <c r="J268" s="375">
        <v>0</v>
      </c>
      <c r="K268" s="375">
        <v>0</v>
      </c>
      <c r="L268" s="375">
        <v>400</v>
      </c>
      <c r="M268" s="375">
        <v>0</v>
      </c>
      <c r="N268" s="375">
        <v>0</v>
      </c>
      <c r="O268" s="375">
        <v>0</v>
      </c>
      <c r="P268" s="375">
        <v>0</v>
      </c>
      <c r="Q268" s="375">
        <v>0</v>
      </c>
      <c r="R268" s="375">
        <v>0</v>
      </c>
      <c r="S268" s="375">
        <v>0</v>
      </c>
      <c r="T268" s="375">
        <v>0</v>
      </c>
      <c r="U268" s="375">
        <v>400</v>
      </c>
      <c r="V268" s="375" t="s">
        <v>597</v>
      </c>
    </row>
    <row r="269" spans="1:22" x14ac:dyDescent="0.25">
      <c r="A269" s="377">
        <v>46015</v>
      </c>
      <c r="B269" s="375">
        <v>0</v>
      </c>
      <c r="C269" s="375">
        <v>0</v>
      </c>
      <c r="D269" s="375">
        <v>0</v>
      </c>
      <c r="E269" s="375">
        <v>0</v>
      </c>
      <c r="F269" s="375">
        <v>0</v>
      </c>
      <c r="G269" s="375">
        <v>400</v>
      </c>
      <c r="H269" s="376">
        <v>0</v>
      </c>
      <c r="I269" s="375">
        <v>0</v>
      </c>
      <c r="J269" s="375">
        <v>0</v>
      </c>
      <c r="K269" s="375">
        <v>0</v>
      </c>
      <c r="L269" s="375">
        <v>400</v>
      </c>
      <c r="M269" s="375">
        <v>0</v>
      </c>
      <c r="N269" s="375">
        <v>0</v>
      </c>
      <c r="O269" s="375">
        <v>0</v>
      </c>
      <c r="P269" s="375">
        <v>0</v>
      </c>
      <c r="Q269" s="375">
        <v>0</v>
      </c>
      <c r="R269" s="375">
        <v>0</v>
      </c>
      <c r="S269" s="375">
        <v>0</v>
      </c>
      <c r="T269" s="375">
        <v>0</v>
      </c>
      <c r="U269" s="375">
        <v>400</v>
      </c>
      <c r="V269" s="375" t="s">
        <v>597</v>
      </c>
    </row>
    <row r="270" spans="1:22" x14ac:dyDescent="0.25">
      <c r="A270" s="377">
        <v>46016</v>
      </c>
      <c r="B270" s="375">
        <v>4211</v>
      </c>
      <c r="C270" s="375">
        <v>4000</v>
      </c>
      <c r="D270" s="375">
        <v>1</v>
      </c>
      <c r="E270" s="375">
        <v>1</v>
      </c>
      <c r="F270" s="375">
        <v>5.0000000000000155E-2</v>
      </c>
      <c r="G270" s="375">
        <v>400</v>
      </c>
      <c r="H270" s="376">
        <v>2.5000000000000001E-3</v>
      </c>
      <c r="I270" s="375">
        <v>4000</v>
      </c>
      <c r="J270" s="375">
        <v>4400</v>
      </c>
      <c r="K270" s="375">
        <v>1</v>
      </c>
      <c r="L270" s="375">
        <v>400</v>
      </c>
      <c r="M270" s="375">
        <v>0</v>
      </c>
      <c r="N270" s="375">
        <v>0</v>
      </c>
      <c r="O270" s="375">
        <v>0</v>
      </c>
      <c r="P270" s="375">
        <v>0</v>
      </c>
      <c r="Q270" s="375">
        <v>0</v>
      </c>
      <c r="R270" s="375">
        <v>4000</v>
      </c>
      <c r="S270" s="375">
        <v>4210.5263157894742</v>
      </c>
      <c r="T270" s="375">
        <v>0.05</v>
      </c>
      <c r="U270" s="375">
        <v>400</v>
      </c>
      <c r="V270" s="375" t="s">
        <v>597</v>
      </c>
    </row>
    <row r="271" spans="1:22" x14ac:dyDescent="0.25">
      <c r="A271" s="377">
        <v>46017</v>
      </c>
      <c r="B271" s="375">
        <v>8421</v>
      </c>
      <c r="C271" s="375">
        <v>8000</v>
      </c>
      <c r="D271" s="375">
        <v>2</v>
      </c>
      <c r="E271" s="375">
        <v>2</v>
      </c>
      <c r="F271" s="375">
        <v>5.0000000000000155E-2</v>
      </c>
      <c r="G271" s="375">
        <v>400</v>
      </c>
      <c r="H271" s="376">
        <v>5.0000000000000001E-3</v>
      </c>
      <c r="I271" s="375">
        <v>4000</v>
      </c>
      <c r="J271" s="375">
        <v>4400</v>
      </c>
      <c r="K271" s="375">
        <v>2</v>
      </c>
      <c r="L271" s="375">
        <v>400</v>
      </c>
      <c r="M271" s="375">
        <v>0</v>
      </c>
      <c r="N271" s="375">
        <v>0</v>
      </c>
      <c r="O271" s="375">
        <v>0</v>
      </c>
      <c r="P271" s="375">
        <v>0</v>
      </c>
      <c r="Q271" s="375">
        <v>0</v>
      </c>
      <c r="R271" s="375">
        <v>8000</v>
      </c>
      <c r="S271" s="375">
        <v>8421.0526315789484</v>
      </c>
      <c r="T271" s="375">
        <v>0.05</v>
      </c>
      <c r="U271" s="375">
        <v>400</v>
      </c>
      <c r="V271" s="375" t="s">
        <v>597</v>
      </c>
    </row>
    <row r="272" spans="1:22" x14ac:dyDescent="0.25">
      <c r="A272" s="377">
        <v>46018</v>
      </c>
      <c r="B272" s="375">
        <v>0</v>
      </c>
      <c r="C272" s="375">
        <v>0</v>
      </c>
      <c r="D272" s="375">
        <v>0</v>
      </c>
      <c r="E272" s="375">
        <v>0</v>
      </c>
      <c r="F272" s="375">
        <v>0</v>
      </c>
      <c r="G272" s="375">
        <v>400</v>
      </c>
      <c r="H272" s="376">
        <v>0</v>
      </c>
      <c r="I272" s="375">
        <v>0</v>
      </c>
      <c r="J272" s="375">
        <v>0</v>
      </c>
      <c r="K272" s="375">
        <v>0</v>
      </c>
      <c r="L272" s="375">
        <v>400</v>
      </c>
      <c r="M272" s="375">
        <v>0</v>
      </c>
      <c r="N272" s="375">
        <v>0</v>
      </c>
      <c r="O272" s="375">
        <v>0</v>
      </c>
      <c r="P272" s="375">
        <v>0</v>
      </c>
      <c r="Q272" s="375">
        <v>0</v>
      </c>
      <c r="R272" s="375">
        <v>0</v>
      </c>
      <c r="S272" s="375">
        <v>0</v>
      </c>
      <c r="T272" s="375">
        <v>0</v>
      </c>
      <c r="U272" s="375">
        <v>400</v>
      </c>
      <c r="V272" s="375" t="s">
        <v>597</v>
      </c>
    </row>
    <row r="273" spans="1:22" x14ac:dyDescent="0.25">
      <c r="A273" s="377">
        <v>46019</v>
      </c>
      <c r="B273" s="375">
        <v>4211</v>
      </c>
      <c r="C273" s="375">
        <v>4000</v>
      </c>
      <c r="D273" s="375">
        <v>1</v>
      </c>
      <c r="E273" s="375">
        <v>1</v>
      </c>
      <c r="F273" s="375">
        <v>5.0000000000000155E-2</v>
      </c>
      <c r="G273" s="375">
        <v>400</v>
      </c>
      <c r="H273" s="376">
        <v>2.5000000000000001E-3</v>
      </c>
      <c r="I273" s="375">
        <v>4000</v>
      </c>
      <c r="J273" s="375">
        <v>4400</v>
      </c>
      <c r="K273" s="375">
        <v>1</v>
      </c>
      <c r="L273" s="375">
        <v>400</v>
      </c>
      <c r="M273" s="375">
        <v>0</v>
      </c>
      <c r="N273" s="375">
        <v>0</v>
      </c>
      <c r="O273" s="375">
        <v>0</v>
      </c>
      <c r="P273" s="375">
        <v>0</v>
      </c>
      <c r="Q273" s="375">
        <v>0</v>
      </c>
      <c r="R273" s="375">
        <v>4000</v>
      </c>
      <c r="S273" s="375">
        <v>4210.5263157894742</v>
      </c>
      <c r="T273" s="375">
        <v>0.05</v>
      </c>
      <c r="U273" s="375">
        <v>400</v>
      </c>
      <c r="V273" s="375" t="s">
        <v>597</v>
      </c>
    </row>
    <row r="274" spans="1:22" x14ac:dyDescent="0.25">
      <c r="A274" s="377">
        <v>46020</v>
      </c>
      <c r="B274" s="375">
        <v>0</v>
      </c>
      <c r="C274" s="375">
        <v>0</v>
      </c>
      <c r="D274" s="375">
        <v>0</v>
      </c>
      <c r="E274" s="375">
        <v>0</v>
      </c>
      <c r="F274" s="375">
        <v>0</v>
      </c>
      <c r="G274" s="375">
        <v>400</v>
      </c>
      <c r="H274" s="376">
        <v>0</v>
      </c>
      <c r="I274" s="375">
        <v>0</v>
      </c>
      <c r="J274" s="375">
        <v>0</v>
      </c>
      <c r="K274" s="375">
        <v>0</v>
      </c>
      <c r="L274" s="375">
        <v>400</v>
      </c>
      <c r="M274" s="375">
        <v>0</v>
      </c>
      <c r="N274" s="375">
        <v>0</v>
      </c>
      <c r="O274" s="375">
        <v>0</v>
      </c>
      <c r="P274" s="375">
        <v>0</v>
      </c>
      <c r="Q274" s="375">
        <v>0</v>
      </c>
      <c r="R274" s="375">
        <v>0</v>
      </c>
      <c r="S274" s="375">
        <v>0</v>
      </c>
      <c r="T274" s="375">
        <v>0</v>
      </c>
      <c r="U274" s="375">
        <v>400</v>
      </c>
      <c r="V274" s="375" t="s">
        <v>597</v>
      </c>
    </row>
    <row r="275" spans="1:22" x14ac:dyDescent="0.25">
      <c r="A275" s="377">
        <v>46021</v>
      </c>
      <c r="B275" s="375">
        <v>4211</v>
      </c>
      <c r="C275" s="375">
        <v>4000</v>
      </c>
      <c r="D275" s="375">
        <v>1</v>
      </c>
      <c r="E275" s="375">
        <v>1</v>
      </c>
      <c r="F275" s="375">
        <v>5.0000000000000155E-2</v>
      </c>
      <c r="G275" s="375">
        <v>400</v>
      </c>
      <c r="H275" s="376">
        <v>2.5000000000000001E-3</v>
      </c>
      <c r="I275" s="375">
        <v>4000</v>
      </c>
      <c r="J275" s="375">
        <v>4400</v>
      </c>
      <c r="K275" s="375">
        <v>1</v>
      </c>
      <c r="L275" s="375">
        <v>400</v>
      </c>
      <c r="M275" s="375">
        <v>0</v>
      </c>
      <c r="N275" s="375">
        <v>0</v>
      </c>
      <c r="O275" s="375">
        <v>0</v>
      </c>
      <c r="P275" s="375">
        <v>0</v>
      </c>
      <c r="Q275" s="375">
        <v>0</v>
      </c>
      <c r="R275" s="375">
        <v>4000</v>
      </c>
      <c r="S275" s="375">
        <v>4210.5263157894742</v>
      </c>
      <c r="T275" s="375">
        <v>0.05</v>
      </c>
      <c r="U275" s="375">
        <v>400</v>
      </c>
      <c r="V275" s="375" t="s">
        <v>597</v>
      </c>
    </row>
    <row r="276" spans="1:22" x14ac:dyDescent="0.25">
      <c r="A276" s="377">
        <v>46022</v>
      </c>
      <c r="B276" s="375">
        <v>0</v>
      </c>
      <c r="C276" s="375">
        <v>0</v>
      </c>
      <c r="D276" s="375">
        <v>0</v>
      </c>
      <c r="E276" s="375">
        <v>0</v>
      </c>
      <c r="F276" s="375">
        <v>0</v>
      </c>
      <c r="G276" s="375">
        <v>400</v>
      </c>
      <c r="H276" s="376">
        <v>0</v>
      </c>
      <c r="I276" s="375">
        <v>0</v>
      </c>
      <c r="J276" s="375">
        <v>0</v>
      </c>
      <c r="K276" s="375">
        <v>0</v>
      </c>
      <c r="L276" s="375">
        <v>400</v>
      </c>
      <c r="M276" s="375">
        <v>0</v>
      </c>
      <c r="N276" s="375">
        <v>0</v>
      </c>
      <c r="O276" s="375">
        <v>0</v>
      </c>
      <c r="P276" s="375">
        <v>0</v>
      </c>
      <c r="Q276" s="375">
        <v>0</v>
      </c>
      <c r="R276" s="375">
        <v>0</v>
      </c>
      <c r="S276" s="375">
        <v>0</v>
      </c>
      <c r="T276" s="375">
        <v>0</v>
      </c>
      <c r="U276" s="375">
        <v>400</v>
      </c>
      <c r="V276" s="375" t="s">
        <v>597</v>
      </c>
    </row>
    <row r="277" spans="1:22" hidden="1" x14ac:dyDescent="0.25">
      <c r="A277" s="377">
        <v>44652</v>
      </c>
      <c r="B277" s="375">
        <v>20000</v>
      </c>
      <c r="C277" s="375">
        <v>12000</v>
      </c>
      <c r="D277" s="375">
        <v>3</v>
      </c>
      <c r="E277" s="375">
        <v>5</v>
      </c>
      <c r="F277" s="375">
        <v>0.4</v>
      </c>
      <c r="G277" s="375">
        <v>8000</v>
      </c>
      <c r="H277" s="376">
        <v>5.0000000000000001E-4</v>
      </c>
      <c r="I277" s="375">
        <v>4000</v>
      </c>
      <c r="J277" s="375">
        <v>5000</v>
      </c>
      <c r="K277" s="375">
        <v>4</v>
      </c>
      <c r="L277" s="375">
        <v>5000</v>
      </c>
      <c r="M277" s="375">
        <v>3894</v>
      </c>
      <c r="V277" s="375" t="s">
        <v>596</v>
      </c>
    </row>
    <row r="278" spans="1:22" hidden="1" x14ac:dyDescent="0.25">
      <c r="A278" s="377">
        <v>44653</v>
      </c>
      <c r="B278" s="375">
        <v>22000</v>
      </c>
      <c r="C278" s="375">
        <v>13200</v>
      </c>
      <c r="D278" s="375">
        <v>3</v>
      </c>
      <c r="E278" s="375">
        <v>6</v>
      </c>
      <c r="F278" s="375">
        <v>0.4</v>
      </c>
      <c r="G278" s="375">
        <v>8000</v>
      </c>
      <c r="H278" s="376">
        <v>5.5000000000000003E-4</v>
      </c>
      <c r="I278" s="375">
        <v>4000</v>
      </c>
      <c r="J278" s="375">
        <v>5000</v>
      </c>
      <c r="K278" s="375">
        <v>4</v>
      </c>
      <c r="L278" s="375">
        <v>5000</v>
      </c>
      <c r="M278" s="375">
        <v>3894</v>
      </c>
      <c r="V278" s="375" t="s">
        <v>596</v>
      </c>
    </row>
    <row r="279" spans="1:22" hidden="1" x14ac:dyDescent="0.25">
      <c r="A279" s="377">
        <v>44654</v>
      </c>
      <c r="B279" s="375">
        <v>22000</v>
      </c>
      <c r="C279" s="375">
        <v>13200</v>
      </c>
      <c r="D279" s="375">
        <v>3</v>
      </c>
      <c r="E279" s="375">
        <v>6</v>
      </c>
      <c r="F279" s="375">
        <v>0.4</v>
      </c>
      <c r="G279" s="375">
        <v>8000</v>
      </c>
      <c r="H279" s="376">
        <v>5.5000000000000003E-4</v>
      </c>
      <c r="I279" s="375">
        <v>4000</v>
      </c>
      <c r="J279" s="375">
        <v>5000</v>
      </c>
      <c r="K279" s="375">
        <v>4</v>
      </c>
      <c r="L279" s="375">
        <v>5000</v>
      </c>
      <c r="M279" s="375">
        <v>3894</v>
      </c>
      <c r="V279" s="375" t="s">
        <v>596</v>
      </c>
    </row>
    <row r="280" spans="1:22" hidden="1" x14ac:dyDescent="0.25">
      <c r="A280" s="377">
        <v>44655</v>
      </c>
      <c r="B280" s="375">
        <v>20000</v>
      </c>
      <c r="C280" s="375">
        <v>12000</v>
      </c>
      <c r="D280" s="375">
        <v>3</v>
      </c>
      <c r="E280" s="375">
        <v>5</v>
      </c>
      <c r="F280" s="375">
        <v>0.4</v>
      </c>
      <c r="G280" s="375">
        <v>8000</v>
      </c>
      <c r="H280" s="376">
        <v>5.0000000000000001E-4</v>
      </c>
      <c r="I280" s="375">
        <v>4000</v>
      </c>
      <c r="J280" s="375">
        <v>5000</v>
      </c>
      <c r="K280" s="375">
        <v>4</v>
      </c>
      <c r="L280" s="375">
        <v>5000</v>
      </c>
      <c r="M280" s="375">
        <v>3894</v>
      </c>
      <c r="V280" s="375" t="s">
        <v>596</v>
      </c>
    </row>
    <row r="281" spans="1:22" hidden="1" x14ac:dyDescent="0.25">
      <c r="A281" s="377">
        <v>44656</v>
      </c>
      <c r="B281" s="375">
        <v>20000</v>
      </c>
      <c r="C281" s="375">
        <v>12000</v>
      </c>
      <c r="D281" s="375">
        <v>3</v>
      </c>
      <c r="E281" s="375">
        <v>5</v>
      </c>
      <c r="F281" s="375">
        <v>0.4</v>
      </c>
      <c r="G281" s="375">
        <v>8000</v>
      </c>
      <c r="H281" s="376">
        <v>5.0000000000000001E-4</v>
      </c>
      <c r="I281" s="375">
        <v>4000</v>
      </c>
      <c r="J281" s="375">
        <v>5000</v>
      </c>
      <c r="K281" s="375">
        <v>4</v>
      </c>
      <c r="L281" s="375">
        <v>5000</v>
      </c>
      <c r="M281" s="375">
        <v>3894</v>
      </c>
      <c r="V281" s="375" t="s">
        <v>596</v>
      </c>
    </row>
    <row r="282" spans="1:22" hidden="1" x14ac:dyDescent="0.25">
      <c r="A282" s="377">
        <v>44657</v>
      </c>
      <c r="B282" s="375">
        <v>20000</v>
      </c>
      <c r="C282" s="375">
        <v>12000</v>
      </c>
      <c r="D282" s="375">
        <v>3</v>
      </c>
      <c r="E282" s="375">
        <v>5</v>
      </c>
      <c r="F282" s="375">
        <v>0.4</v>
      </c>
      <c r="G282" s="375">
        <v>8000</v>
      </c>
      <c r="H282" s="376">
        <v>5.0000000000000001E-4</v>
      </c>
      <c r="I282" s="375">
        <v>4000</v>
      </c>
      <c r="J282" s="375">
        <v>5000</v>
      </c>
      <c r="K282" s="375">
        <v>4</v>
      </c>
      <c r="L282" s="375">
        <v>5000</v>
      </c>
      <c r="M282" s="375">
        <v>3894</v>
      </c>
      <c r="V282" s="375" t="s">
        <v>596</v>
      </c>
    </row>
    <row r="283" spans="1:22" hidden="1" x14ac:dyDescent="0.25">
      <c r="A283" s="377">
        <v>44658</v>
      </c>
      <c r="B283" s="375">
        <v>20000</v>
      </c>
      <c r="C283" s="375">
        <v>12000</v>
      </c>
      <c r="D283" s="375">
        <v>3</v>
      </c>
      <c r="E283" s="375">
        <v>5</v>
      </c>
      <c r="F283" s="375">
        <v>0.4</v>
      </c>
      <c r="G283" s="375">
        <v>8000</v>
      </c>
      <c r="H283" s="376">
        <v>5.0000000000000001E-4</v>
      </c>
      <c r="I283" s="375">
        <v>4000</v>
      </c>
      <c r="J283" s="375">
        <v>5000</v>
      </c>
      <c r="K283" s="375">
        <v>4</v>
      </c>
      <c r="L283" s="375">
        <v>5000</v>
      </c>
      <c r="M283" s="375">
        <v>3894</v>
      </c>
      <c r="V283" s="375" t="s">
        <v>596</v>
      </c>
    </row>
    <row r="284" spans="1:22" hidden="1" x14ac:dyDescent="0.25">
      <c r="A284" s="377">
        <v>44659</v>
      </c>
      <c r="B284" s="375">
        <v>20000</v>
      </c>
      <c r="C284" s="375">
        <v>12000</v>
      </c>
      <c r="D284" s="375">
        <v>3</v>
      </c>
      <c r="E284" s="375">
        <v>5</v>
      </c>
      <c r="F284" s="375">
        <v>0.4</v>
      </c>
      <c r="G284" s="375">
        <v>8000</v>
      </c>
      <c r="H284" s="376">
        <v>5.0000000000000001E-4</v>
      </c>
      <c r="I284" s="375">
        <v>4000</v>
      </c>
      <c r="J284" s="375">
        <v>5000</v>
      </c>
      <c r="K284" s="375">
        <v>4</v>
      </c>
      <c r="L284" s="375">
        <v>5000</v>
      </c>
      <c r="M284" s="375">
        <v>3894</v>
      </c>
      <c r="V284" s="375" t="s">
        <v>596</v>
      </c>
    </row>
    <row r="285" spans="1:22" hidden="1" x14ac:dyDescent="0.25">
      <c r="A285" s="377">
        <v>44660</v>
      </c>
      <c r="B285" s="375">
        <v>22000</v>
      </c>
      <c r="C285" s="375">
        <v>13200</v>
      </c>
      <c r="D285" s="375">
        <v>3</v>
      </c>
      <c r="E285" s="375">
        <v>6</v>
      </c>
      <c r="F285" s="375">
        <v>0.4</v>
      </c>
      <c r="G285" s="375">
        <v>8000</v>
      </c>
      <c r="H285" s="376">
        <v>5.5000000000000003E-4</v>
      </c>
      <c r="I285" s="375">
        <v>4000</v>
      </c>
      <c r="J285" s="375">
        <v>5000</v>
      </c>
      <c r="K285" s="375">
        <v>4</v>
      </c>
      <c r="L285" s="375">
        <v>5000</v>
      </c>
      <c r="M285" s="375">
        <v>3894</v>
      </c>
      <c r="V285" s="375" t="s">
        <v>596</v>
      </c>
    </row>
    <row r="286" spans="1:22" hidden="1" x14ac:dyDescent="0.25">
      <c r="A286" s="377">
        <v>44661</v>
      </c>
      <c r="B286" s="375">
        <v>22000</v>
      </c>
      <c r="C286" s="375">
        <v>13200</v>
      </c>
      <c r="D286" s="375">
        <v>3</v>
      </c>
      <c r="E286" s="375">
        <v>6</v>
      </c>
      <c r="F286" s="375">
        <v>0.4</v>
      </c>
      <c r="G286" s="375">
        <v>8000</v>
      </c>
      <c r="H286" s="376">
        <v>5.5000000000000003E-4</v>
      </c>
      <c r="I286" s="375">
        <v>4000</v>
      </c>
      <c r="J286" s="375">
        <v>5000</v>
      </c>
      <c r="K286" s="375">
        <v>4</v>
      </c>
      <c r="L286" s="375">
        <v>5000</v>
      </c>
      <c r="M286" s="375">
        <v>3894</v>
      </c>
      <c r="V286" s="375" t="s">
        <v>596</v>
      </c>
    </row>
    <row r="287" spans="1:22" hidden="1" x14ac:dyDescent="0.25">
      <c r="A287" s="377">
        <v>44662</v>
      </c>
      <c r="B287" s="375">
        <v>20000</v>
      </c>
      <c r="C287" s="375">
        <v>12000</v>
      </c>
      <c r="D287" s="375">
        <v>3</v>
      </c>
      <c r="E287" s="375">
        <v>5</v>
      </c>
      <c r="F287" s="375">
        <v>0.4</v>
      </c>
      <c r="G287" s="375">
        <v>8000</v>
      </c>
      <c r="H287" s="376">
        <v>5.0000000000000001E-4</v>
      </c>
      <c r="I287" s="375">
        <v>4000</v>
      </c>
      <c r="J287" s="375">
        <v>5000</v>
      </c>
      <c r="K287" s="375">
        <v>4</v>
      </c>
      <c r="L287" s="375">
        <v>5000</v>
      </c>
      <c r="M287" s="375">
        <v>3894</v>
      </c>
      <c r="V287" s="375" t="s">
        <v>596</v>
      </c>
    </row>
    <row r="288" spans="1:22" hidden="1" x14ac:dyDescent="0.25">
      <c r="A288" s="377">
        <v>44663</v>
      </c>
      <c r="B288" s="375">
        <v>20000</v>
      </c>
      <c r="C288" s="375">
        <v>12000</v>
      </c>
      <c r="D288" s="375">
        <v>3</v>
      </c>
      <c r="E288" s="375">
        <v>5</v>
      </c>
      <c r="F288" s="375">
        <v>0.4</v>
      </c>
      <c r="G288" s="375">
        <v>8000</v>
      </c>
      <c r="H288" s="376">
        <v>5.0000000000000001E-4</v>
      </c>
      <c r="I288" s="375">
        <v>4000</v>
      </c>
      <c r="J288" s="375">
        <v>5000</v>
      </c>
      <c r="K288" s="375">
        <v>4</v>
      </c>
      <c r="L288" s="375">
        <v>5000</v>
      </c>
      <c r="M288" s="375">
        <v>3894</v>
      </c>
      <c r="V288" s="375" t="s">
        <v>596</v>
      </c>
    </row>
    <row r="289" spans="1:22" hidden="1" x14ac:dyDescent="0.25">
      <c r="A289" s="377">
        <v>44664</v>
      </c>
      <c r="B289" s="375">
        <v>20000</v>
      </c>
      <c r="C289" s="375">
        <v>12000</v>
      </c>
      <c r="D289" s="375">
        <v>3</v>
      </c>
      <c r="E289" s="375">
        <v>5</v>
      </c>
      <c r="F289" s="375">
        <v>0.4</v>
      </c>
      <c r="G289" s="375">
        <v>8000</v>
      </c>
      <c r="H289" s="376">
        <v>5.0000000000000001E-4</v>
      </c>
      <c r="I289" s="375">
        <v>4000</v>
      </c>
      <c r="J289" s="375">
        <v>5000</v>
      </c>
      <c r="K289" s="375">
        <v>4</v>
      </c>
      <c r="L289" s="375">
        <v>5000</v>
      </c>
      <c r="M289" s="375">
        <v>3894</v>
      </c>
      <c r="V289" s="375" t="s">
        <v>596</v>
      </c>
    </row>
    <row r="290" spans="1:22" hidden="1" x14ac:dyDescent="0.25">
      <c r="A290" s="377">
        <v>44665</v>
      </c>
      <c r="B290" s="375">
        <v>20000</v>
      </c>
      <c r="C290" s="375">
        <v>12000</v>
      </c>
      <c r="D290" s="375">
        <v>3</v>
      </c>
      <c r="E290" s="375">
        <v>5</v>
      </c>
      <c r="F290" s="375">
        <v>0.4</v>
      </c>
      <c r="G290" s="375">
        <v>8000</v>
      </c>
      <c r="H290" s="376">
        <v>5.0000000000000001E-4</v>
      </c>
      <c r="I290" s="375">
        <v>4000</v>
      </c>
      <c r="J290" s="375">
        <v>5000</v>
      </c>
      <c r="K290" s="375">
        <v>4</v>
      </c>
      <c r="L290" s="375">
        <v>5000</v>
      </c>
      <c r="M290" s="375">
        <v>3894</v>
      </c>
      <c r="V290" s="375" t="s">
        <v>596</v>
      </c>
    </row>
    <row r="291" spans="1:22" hidden="1" x14ac:dyDescent="0.25">
      <c r="A291" s="377">
        <v>44666</v>
      </c>
      <c r="B291" s="375">
        <v>20000</v>
      </c>
      <c r="C291" s="375">
        <v>12000</v>
      </c>
      <c r="D291" s="375">
        <v>3</v>
      </c>
      <c r="E291" s="375">
        <v>5</v>
      </c>
      <c r="F291" s="375">
        <v>0.4</v>
      </c>
      <c r="G291" s="375">
        <v>8000</v>
      </c>
      <c r="H291" s="376">
        <v>5.0000000000000001E-4</v>
      </c>
      <c r="I291" s="375">
        <v>4000</v>
      </c>
      <c r="J291" s="375">
        <v>5000</v>
      </c>
      <c r="K291" s="375">
        <v>4</v>
      </c>
      <c r="L291" s="375">
        <v>5000</v>
      </c>
      <c r="M291" s="375">
        <v>3894</v>
      </c>
      <c r="V291" s="375" t="s">
        <v>596</v>
      </c>
    </row>
    <row r="292" spans="1:22" hidden="1" x14ac:dyDescent="0.25">
      <c r="A292" s="377">
        <v>44667</v>
      </c>
      <c r="B292" s="375">
        <v>5000</v>
      </c>
      <c r="C292" s="375">
        <v>3000</v>
      </c>
      <c r="D292" s="375">
        <v>1</v>
      </c>
      <c r="E292" s="375">
        <v>1</v>
      </c>
      <c r="F292" s="375">
        <v>0.4</v>
      </c>
      <c r="G292" s="375">
        <v>10000</v>
      </c>
      <c r="H292" s="376">
        <v>1E-4</v>
      </c>
      <c r="I292" s="375">
        <v>4000</v>
      </c>
      <c r="J292" s="375">
        <v>5000</v>
      </c>
      <c r="K292" s="375">
        <v>1</v>
      </c>
      <c r="L292" s="375">
        <v>7000</v>
      </c>
      <c r="M292" s="375">
        <v>6176</v>
      </c>
      <c r="V292" s="375" t="s">
        <v>596</v>
      </c>
    </row>
    <row r="293" spans="1:22" hidden="1" x14ac:dyDescent="0.25">
      <c r="A293" s="377">
        <v>44668</v>
      </c>
      <c r="B293" s="375">
        <v>65000</v>
      </c>
      <c r="C293" s="375">
        <v>39000</v>
      </c>
      <c r="D293" s="375">
        <v>10</v>
      </c>
      <c r="E293" s="375">
        <v>16</v>
      </c>
      <c r="F293" s="375">
        <v>0.4</v>
      </c>
      <c r="G293" s="375">
        <v>15000</v>
      </c>
      <c r="H293" s="376">
        <v>8.6666666666666663E-4</v>
      </c>
      <c r="I293" s="375">
        <v>4000</v>
      </c>
      <c r="J293" s="375">
        <v>5000</v>
      </c>
      <c r="K293" s="375">
        <v>13</v>
      </c>
      <c r="L293" s="375">
        <v>8000</v>
      </c>
      <c r="M293" s="375">
        <v>6176</v>
      </c>
      <c r="V293" s="375" t="s">
        <v>596</v>
      </c>
    </row>
    <row r="294" spans="1:22" hidden="1" x14ac:dyDescent="0.25">
      <c r="A294" s="377">
        <v>44669</v>
      </c>
      <c r="B294" s="375">
        <v>60000</v>
      </c>
      <c r="C294" s="375">
        <v>36000</v>
      </c>
      <c r="D294" s="375">
        <v>9</v>
      </c>
      <c r="E294" s="375">
        <v>15</v>
      </c>
      <c r="F294" s="375">
        <v>0.4</v>
      </c>
      <c r="G294" s="375">
        <v>15000</v>
      </c>
      <c r="H294" s="376">
        <v>8.0000000000000004E-4</v>
      </c>
      <c r="I294" s="375">
        <v>4000</v>
      </c>
      <c r="J294" s="375">
        <v>5000</v>
      </c>
      <c r="K294" s="375">
        <v>12</v>
      </c>
      <c r="L294" s="375">
        <v>8000</v>
      </c>
      <c r="M294" s="375">
        <v>6176</v>
      </c>
      <c r="V294" s="375" t="s">
        <v>596</v>
      </c>
    </row>
    <row r="295" spans="1:22" hidden="1" x14ac:dyDescent="0.25">
      <c r="A295" s="377">
        <v>44670</v>
      </c>
      <c r="B295" s="375">
        <v>60000</v>
      </c>
      <c r="C295" s="375">
        <v>36000</v>
      </c>
      <c r="D295" s="375">
        <v>9</v>
      </c>
      <c r="E295" s="375">
        <v>15</v>
      </c>
      <c r="F295" s="375">
        <v>0.4</v>
      </c>
      <c r="G295" s="375">
        <v>15000</v>
      </c>
      <c r="H295" s="376">
        <v>8.0000000000000004E-4</v>
      </c>
      <c r="I295" s="375">
        <v>4000</v>
      </c>
      <c r="J295" s="375">
        <v>5000</v>
      </c>
      <c r="K295" s="375">
        <v>12</v>
      </c>
      <c r="L295" s="375">
        <v>8000</v>
      </c>
      <c r="M295" s="375">
        <v>6176</v>
      </c>
      <c r="V295" s="375" t="s">
        <v>596</v>
      </c>
    </row>
    <row r="296" spans="1:22" hidden="1" x14ac:dyDescent="0.25">
      <c r="A296" s="377">
        <v>44671</v>
      </c>
      <c r="B296" s="375">
        <v>20000</v>
      </c>
      <c r="C296" s="375">
        <v>12000</v>
      </c>
      <c r="D296" s="375">
        <v>3</v>
      </c>
      <c r="E296" s="375">
        <v>5</v>
      </c>
      <c r="F296" s="375">
        <v>0.4</v>
      </c>
      <c r="G296" s="375">
        <v>8000</v>
      </c>
      <c r="H296" s="376">
        <v>5.0000000000000001E-4</v>
      </c>
      <c r="I296" s="375">
        <v>4000</v>
      </c>
      <c r="J296" s="375">
        <v>5000</v>
      </c>
      <c r="K296" s="375">
        <v>4</v>
      </c>
      <c r="L296" s="375">
        <v>5000</v>
      </c>
      <c r="M296" s="375">
        <v>3331</v>
      </c>
      <c r="V296" s="375" t="s">
        <v>596</v>
      </c>
    </row>
    <row r="297" spans="1:22" hidden="1" x14ac:dyDescent="0.25">
      <c r="A297" s="377">
        <v>44672</v>
      </c>
      <c r="B297" s="375">
        <v>20000</v>
      </c>
      <c r="C297" s="375">
        <v>12000</v>
      </c>
      <c r="D297" s="375">
        <v>3</v>
      </c>
      <c r="E297" s="375">
        <v>5</v>
      </c>
      <c r="F297" s="375">
        <v>0.4</v>
      </c>
      <c r="G297" s="375">
        <v>8000</v>
      </c>
      <c r="H297" s="376">
        <v>5.0000000000000001E-4</v>
      </c>
      <c r="I297" s="375">
        <v>4000</v>
      </c>
      <c r="J297" s="375">
        <v>5000</v>
      </c>
      <c r="K297" s="375">
        <v>4</v>
      </c>
      <c r="L297" s="375">
        <v>5000</v>
      </c>
      <c r="M297" s="375">
        <v>3331</v>
      </c>
      <c r="V297" s="375" t="s">
        <v>596</v>
      </c>
    </row>
    <row r="298" spans="1:22" hidden="1" x14ac:dyDescent="0.25">
      <c r="A298" s="377">
        <v>44673</v>
      </c>
      <c r="B298" s="375">
        <v>20000</v>
      </c>
      <c r="C298" s="375">
        <v>12000</v>
      </c>
      <c r="D298" s="375">
        <v>3</v>
      </c>
      <c r="E298" s="375">
        <v>5</v>
      </c>
      <c r="F298" s="375">
        <v>0.4</v>
      </c>
      <c r="G298" s="375">
        <v>8000</v>
      </c>
      <c r="H298" s="376">
        <v>5.0000000000000001E-4</v>
      </c>
      <c r="I298" s="375">
        <v>4000</v>
      </c>
      <c r="J298" s="375">
        <v>5000</v>
      </c>
      <c r="K298" s="375">
        <v>4</v>
      </c>
      <c r="L298" s="375">
        <v>5000</v>
      </c>
      <c r="M298" s="375">
        <v>3331</v>
      </c>
      <c r="V298" s="375" t="s">
        <v>596</v>
      </c>
    </row>
    <row r="299" spans="1:22" hidden="1" x14ac:dyDescent="0.25">
      <c r="A299" s="377">
        <v>44674</v>
      </c>
      <c r="B299" s="375">
        <v>22000</v>
      </c>
      <c r="C299" s="375">
        <v>13200</v>
      </c>
      <c r="D299" s="375">
        <v>3</v>
      </c>
      <c r="E299" s="375">
        <v>6</v>
      </c>
      <c r="F299" s="375">
        <v>0.4</v>
      </c>
      <c r="G299" s="375">
        <v>8000</v>
      </c>
      <c r="H299" s="376">
        <v>5.5000000000000003E-4</v>
      </c>
      <c r="I299" s="375">
        <v>4000</v>
      </c>
      <c r="J299" s="375">
        <v>5000</v>
      </c>
      <c r="K299" s="375">
        <v>4</v>
      </c>
      <c r="L299" s="375">
        <v>5000</v>
      </c>
      <c r="M299" s="375">
        <v>3331</v>
      </c>
      <c r="V299" s="375" t="s">
        <v>596</v>
      </c>
    </row>
    <row r="300" spans="1:22" hidden="1" x14ac:dyDescent="0.25">
      <c r="A300" s="377">
        <v>44675</v>
      </c>
      <c r="B300" s="375">
        <v>5000</v>
      </c>
      <c r="C300" s="375">
        <v>3000</v>
      </c>
      <c r="D300" s="375">
        <v>1</v>
      </c>
      <c r="E300" s="375">
        <v>1</v>
      </c>
      <c r="F300" s="375">
        <v>0.4</v>
      </c>
      <c r="G300" s="375">
        <v>10000</v>
      </c>
      <c r="H300" s="376">
        <v>1E-4</v>
      </c>
      <c r="I300" s="375">
        <v>4000</v>
      </c>
      <c r="J300" s="375">
        <v>5000</v>
      </c>
      <c r="K300" s="375">
        <v>1</v>
      </c>
      <c r="L300" s="375">
        <v>7000</v>
      </c>
      <c r="M300" s="375">
        <v>5860</v>
      </c>
      <c r="V300" s="375" t="s">
        <v>596</v>
      </c>
    </row>
    <row r="301" spans="1:22" hidden="1" x14ac:dyDescent="0.25">
      <c r="A301" s="377">
        <v>44676</v>
      </c>
      <c r="B301" s="375">
        <v>66000</v>
      </c>
      <c r="C301" s="375">
        <v>39600</v>
      </c>
      <c r="D301" s="375">
        <v>10</v>
      </c>
      <c r="E301" s="375">
        <v>17</v>
      </c>
      <c r="F301" s="375">
        <v>0.4</v>
      </c>
      <c r="G301" s="375">
        <v>15000</v>
      </c>
      <c r="H301" s="376">
        <v>8.7999999999999992E-4</v>
      </c>
      <c r="I301" s="375">
        <v>4000</v>
      </c>
      <c r="J301" s="375">
        <v>5000</v>
      </c>
      <c r="K301" s="375">
        <v>13</v>
      </c>
      <c r="L301" s="375">
        <v>8000</v>
      </c>
      <c r="M301" s="375">
        <v>5860</v>
      </c>
      <c r="V301" s="375" t="s">
        <v>596</v>
      </c>
    </row>
    <row r="302" spans="1:22" hidden="1" x14ac:dyDescent="0.25">
      <c r="A302" s="377">
        <v>44677</v>
      </c>
      <c r="B302" s="375">
        <v>60000</v>
      </c>
      <c r="C302" s="375">
        <v>36000</v>
      </c>
      <c r="D302" s="375">
        <v>9</v>
      </c>
      <c r="E302" s="375">
        <v>15</v>
      </c>
      <c r="F302" s="375">
        <v>0.4</v>
      </c>
      <c r="G302" s="375">
        <v>15000</v>
      </c>
      <c r="H302" s="376">
        <v>8.0000000000000004E-4</v>
      </c>
      <c r="I302" s="375">
        <v>4000</v>
      </c>
      <c r="J302" s="375">
        <v>5000</v>
      </c>
      <c r="K302" s="375">
        <v>12</v>
      </c>
      <c r="L302" s="375">
        <v>8000</v>
      </c>
      <c r="M302" s="375">
        <v>5860</v>
      </c>
      <c r="V302" s="375" t="s">
        <v>596</v>
      </c>
    </row>
    <row r="303" spans="1:22" hidden="1" x14ac:dyDescent="0.25">
      <c r="A303" s="377">
        <v>44678</v>
      </c>
      <c r="B303" s="375">
        <v>20000</v>
      </c>
      <c r="C303" s="375">
        <v>12000</v>
      </c>
      <c r="D303" s="375">
        <v>3</v>
      </c>
      <c r="E303" s="375">
        <v>5</v>
      </c>
      <c r="F303" s="375">
        <v>0.4</v>
      </c>
      <c r="G303" s="375">
        <v>8000</v>
      </c>
      <c r="H303" s="376">
        <v>5.0000000000000001E-4</v>
      </c>
      <c r="I303" s="375">
        <v>4000</v>
      </c>
      <c r="J303" s="375">
        <v>5000</v>
      </c>
      <c r="K303" s="375">
        <v>4</v>
      </c>
      <c r="L303" s="375">
        <v>5000</v>
      </c>
      <c r="M303" s="375">
        <v>3331</v>
      </c>
      <c r="V303" s="375" t="s">
        <v>596</v>
      </c>
    </row>
    <row r="304" spans="1:22" hidden="1" x14ac:dyDescent="0.25">
      <c r="A304" s="377">
        <v>44679</v>
      </c>
      <c r="B304" s="375">
        <v>20000</v>
      </c>
      <c r="C304" s="375">
        <v>12000</v>
      </c>
      <c r="D304" s="375">
        <v>3</v>
      </c>
      <c r="E304" s="375">
        <v>5</v>
      </c>
      <c r="F304" s="375">
        <v>0.4</v>
      </c>
      <c r="G304" s="375">
        <v>8000</v>
      </c>
      <c r="H304" s="376">
        <v>5.0000000000000001E-4</v>
      </c>
      <c r="I304" s="375">
        <v>4000</v>
      </c>
      <c r="J304" s="375">
        <v>5000</v>
      </c>
      <c r="K304" s="375">
        <v>4</v>
      </c>
      <c r="L304" s="375">
        <v>5000</v>
      </c>
      <c r="M304" s="375">
        <v>3331</v>
      </c>
      <c r="V304" s="375" t="s">
        <v>596</v>
      </c>
    </row>
    <row r="305" spans="1:22" hidden="1" x14ac:dyDescent="0.25">
      <c r="A305" s="377">
        <v>44680</v>
      </c>
      <c r="B305" s="375">
        <v>5000</v>
      </c>
      <c r="C305" s="375">
        <v>3000</v>
      </c>
      <c r="D305" s="375">
        <v>1</v>
      </c>
      <c r="E305" s="375">
        <v>1</v>
      </c>
      <c r="F305" s="375">
        <v>0.4</v>
      </c>
      <c r="G305" s="375">
        <v>10000</v>
      </c>
      <c r="H305" s="376">
        <v>1E-4</v>
      </c>
      <c r="I305" s="375">
        <v>4000</v>
      </c>
      <c r="J305" s="375">
        <v>5000</v>
      </c>
      <c r="K305" s="375">
        <v>1</v>
      </c>
      <c r="L305" s="375">
        <v>7000</v>
      </c>
      <c r="M305" s="375">
        <v>5945</v>
      </c>
      <c r="V305" s="375" t="s">
        <v>596</v>
      </c>
    </row>
    <row r="306" spans="1:22" hidden="1" x14ac:dyDescent="0.25">
      <c r="A306" s="377">
        <v>44681</v>
      </c>
      <c r="B306" s="375">
        <v>5000</v>
      </c>
      <c r="C306" s="375">
        <v>3000</v>
      </c>
      <c r="D306" s="375">
        <v>1</v>
      </c>
      <c r="E306" s="375">
        <v>1</v>
      </c>
      <c r="F306" s="375">
        <v>0.4</v>
      </c>
      <c r="G306" s="375">
        <v>10000</v>
      </c>
      <c r="H306" s="376">
        <v>1E-4</v>
      </c>
      <c r="I306" s="375">
        <v>4000</v>
      </c>
      <c r="J306" s="375">
        <v>5000</v>
      </c>
      <c r="K306" s="375">
        <v>1</v>
      </c>
      <c r="L306" s="375">
        <v>7000</v>
      </c>
      <c r="M306" s="375">
        <v>5945</v>
      </c>
      <c r="V306" s="375" t="s">
        <v>596</v>
      </c>
    </row>
    <row r="307" spans="1:22" hidden="1" x14ac:dyDescent="0.25">
      <c r="A307" s="377">
        <v>44682</v>
      </c>
      <c r="B307" s="375">
        <v>150000</v>
      </c>
      <c r="C307" s="375">
        <v>90000</v>
      </c>
      <c r="D307" s="375">
        <v>23</v>
      </c>
      <c r="E307" s="375">
        <v>38</v>
      </c>
      <c r="F307" s="375">
        <v>0.4</v>
      </c>
      <c r="G307" s="375">
        <v>20000</v>
      </c>
      <c r="H307" s="376">
        <v>1.5E-3</v>
      </c>
      <c r="I307" s="375">
        <v>4000</v>
      </c>
      <c r="J307" s="375">
        <v>5000</v>
      </c>
      <c r="K307" s="375">
        <v>30</v>
      </c>
      <c r="L307" s="375">
        <v>12897</v>
      </c>
      <c r="M307" s="375">
        <v>7103</v>
      </c>
      <c r="V307" s="375" t="s">
        <v>596</v>
      </c>
    </row>
    <row r="308" spans="1:22" hidden="1" x14ac:dyDescent="0.25">
      <c r="A308" s="377">
        <v>44683</v>
      </c>
      <c r="B308" s="375">
        <v>75000</v>
      </c>
      <c r="C308" s="375">
        <v>45000</v>
      </c>
      <c r="D308" s="375">
        <v>11</v>
      </c>
      <c r="E308" s="375">
        <v>19</v>
      </c>
      <c r="F308" s="375">
        <v>0.4</v>
      </c>
      <c r="G308" s="375">
        <v>20000</v>
      </c>
      <c r="H308" s="376">
        <v>7.5000000000000002E-4</v>
      </c>
      <c r="I308" s="375">
        <v>4000</v>
      </c>
      <c r="J308" s="375">
        <v>5000</v>
      </c>
      <c r="K308" s="375">
        <v>15</v>
      </c>
      <c r="L308" s="375">
        <v>12897</v>
      </c>
      <c r="M308" s="375">
        <v>7103</v>
      </c>
      <c r="V308" s="375" t="s">
        <v>596</v>
      </c>
    </row>
    <row r="309" spans="1:22" hidden="1" x14ac:dyDescent="0.25">
      <c r="A309" s="377">
        <v>44684</v>
      </c>
      <c r="B309" s="375">
        <v>75000</v>
      </c>
      <c r="C309" s="375">
        <v>45000</v>
      </c>
      <c r="D309" s="375">
        <v>11</v>
      </c>
      <c r="E309" s="375">
        <v>19</v>
      </c>
      <c r="F309" s="375">
        <v>0.4</v>
      </c>
      <c r="G309" s="375">
        <v>20000</v>
      </c>
      <c r="H309" s="376">
        <v>7.5000000000000002E-4</v>
      </c>
      <c r="I309" s="375">
        <v>4000</v>
      </c>
      <c r="J309" s="375">
        <v>5000</v>
      </c>
      <c r="K309" s="375">
        <v>15</v>
      </c>
      <c r="L309" s="375">
        <v>12897</v>
      </c>
      <c r="M309" s="375">
        <v>7103</v>
      </c>
      <c r="V309" s="375" t="s">
        <v>596</v>
      </c>
    </row>
    <row r="310" spans="1:22" hidden="1" x14ac:dyDescent="0.25">
      <c r="A310" s="377">
        <v>44685</v>
      </c>
      <c r="B310" s="375">
        <v>61492</v>
      </c>
      <c r="C310" s="375">
        <v>36895</v>
      </c>
      <c r="D310" s="375">
        <v>9</v>
      </c>
      <c r="E310" s="375">
        <v>15</v>
      </c>
      <c r="F310" s="375">
        <v>0.4</v>
      </c>
      <c r="G310" s="375">
        <v>20000</v>
      </c>
      <c r="H310" s="376">
        <v>6.1492000000000003E-4</v>
      </c>
      <c r="I310" s="375">
        <v>4000</v>
      </c>
      <c r="J310" s="375">
        <v>5000</v>
      </c>
      <c r="K310" s="375">
        <v>12</v>
      </c>
      <c r="L310" s="375">
        <v>12897</v>
      </c>
      <c r="M310" s="375">
        <v>7103</v>
      </c>
      <c r="V310" s="375" t="s">
        <v>596</v>
      </c>
    </row>
    <row r="311" spans="1:22" hidden="1" x14ac:dyDescent="0.25">
      <c r="A311" s="377">
        <v>44686</v>
      </c>
      <c r="B311" s="375">
        <v>100000</v>
      </c>
      <c r="C311" s="375">
        <v>60000</v>
      </c>
      <c r="D311" s="375">
        <v>15</v>
      </c>
      <c r="E311" s="375">
        <v>25</v>
      </c>
      <c r="F311" s="375">
        <v>0.4</v>
      </c>
      <c r="G311" s="375">
        <v>20000</v>
      </c>
      <c r="H311" s="376">
        <v>1E-3</v>
      </c>
      <c r="I311" s="375">
        <v>4000</v>
      </c>
      <c r="J311" s="375">
        <v>5000</v>
      </c>
      <c r="K311" s="375">
        <v>20</v>
      </c>
      <c r="L311" s="375">
        <v>12897</v>
      </c>
      <c r="M311" s="375">
        <v>7103</v>
      </c>
      <c r="V311" s="375" t="s">
        <v>596</v>
      </c>
    </row>
    <row r="312" spans="1:22" hidden="1" x14ac:dyDescent="0.25">
      <c r="A312" s="377">
        <v>44687</v>
      </c>
      <c r="B312" s="375">
        <v>50000</v>
      </c>
      <c r="C312" s="375">
        <v>30000</v>
      </c>
      <c r="D312" s="375">
        <v>8</v>
      </c>
      <c r="E312" s="375">
        <v>13</v>
      </c>
      <c r="F312" s="375">
        <v>0.4</v>
      </c>
      <c r="G312" s="375">
        <v>10000</v>
      </c>
      <c r="H312" s="376">
        <v>1E-3</v>
      </c>
      <c r="I312" s="375">
        <v>4000</v>
      </c>
      <c r="J312" s="375">
        <v>5000</v>
      </c>
      <c r="K312" s="375">
        <v>10</v>
      </c>
      <c r="L312" s="375">
        <v>5632</v>
      </c>
      <c r="M312" s="375">
        <v>4368</v>
      </c>
      <c r="V312" s="375" t="s">
        <v>596</v>
      </c>
    </row>
    <row r="313" spans="1:22" hidden="1" x14ac:dyDescent="0.25">
      <c r="A313" s="377">
        <v>44688</v>
      </c>
      <c r="B313" s="375">
        <v>50000</v>
      </c>
      <c r="C313" s="375">
        <v>30000</v>
      </c>
      <c r="D313" s="375">
        <v>8</v>
      </c>
      <c r="E313" s="375">
        <v>13</v>
      </c>
      <c r="F313" s="375">
        <v>0.4</v>
      </c>
      <c r="G313" s="375">
        <v>10000</v>
      </c>
      <c r="H313" s="376">
        <v>1E-3</v>
      </c>
      <c r="I313" s="375">
        <v>4000</v>
      </c>
      <c r="J313" s="375">
        <v>5000</v>
      </c>
      <c r="K313" s="375">
        <v>10</v>
      </c>
      <c r="L313" s="375">
        <v>5632</v>
      </c>
      <c r="M313" s="375">
        <v>4368</v>
      </c>
      <c r="V313" s="375" t="s">
        <v>596</v>
      </c>
    </row>
    <row r="314" spans="1:22" hidden="1" x14ac:dyDescent="0.25">
      <c r="A314" s="377">
        <v>44689</v>
      </c>
      <c r="B314" s="375">
        <v>50000</v>
      </c>
      <c r="C314" s="375">
        <v>30000</v>
      </c>
      <c r="D314" s="375">
        <v>8</v>
      </c>
      <c r="E314" s="375">
        <v>13</v>
      </c>
      <c r="F314" s="375">
        <v>0.4</v>
      </c>
      <c r="G314" s="375">
        <v>10000</v>
      </c>
      <c r="H314" s="376">
        <v>1E-3</v>
      </c>
      <c r="I314" s="375">
        <v>4000</v>
      </c>
      <c r="J314" s="375">
        <v>5000</v>
      </c>
      <c r="K314" s="375">
        <v>10</v>
      </c>
      <c r="L314" s="375">
        <v>5632</v>
      </c>
      <c r="M314" s="375">
        <v>4368</v>
      </c>
      <c r="V314" s="375" t="s">
        <v>596</v>
      </c>
    </row>
    <row r="315" spans="1:22" hidden="1" x14ac:dyDescent="0.25">
      <c r="A315" s="377">
        <v>44690</v>
      </c>
      <c r="B315" s="375">
        <v>50000</v>
      </c>
      <c r="C315" s="375">
        <v>30000</v>
      </c>
      <c r="D315" s="375">
        <v>8</v>
      </c>
      <c r="E315" s="375">
        <v>13</v>
      </c>
      <c r="F315" s="375">
        <v>0.4</v>
      </c>
      <c r="G315" s="375">
        <v>10000</v>
      </c>
      <c r="H315" s="376">
        <v>1E-3</v>
      </c>
      <c r="I315" s="375">
        <v>4000</v>
      </c>
      <c r="J315" s="375">
        <v>5000</v>
      </c>
      <c r="K315" s="375">
        <v>10</v>
      </c>
      <c r="L315" s="375">
        <v>5632</v>
      </c>
      <c r="M315" s="375">
        <v>4368</v>
      </c>
      <c r="V315" s="375" t="s">
        <v>596</v>
      </c>
    </row>
    <row r="316" spans="1:22" hidden="1" x14ac:dyDescent="0.25">
      <c r="A316" s="377">
        <v>44691</v>
      </c>
      <c r="B316" s="375">
        <v>50000</v>
      </c>
      <c r="C316" s="375">
        <v>30000</v>
      </c>
      <c r="D316" s="375">
        <v>8</v>
      </c>
      <c r="E316" s="375">
        <v>13</v>
      </c>
      <c r="F316" s="375">
        <v>0.4</v>
      </c>
      <c r="G316" s="375">
        <v>10000</v>
      </c>
      <c r="H316" s="376">
        <v>1E-3</v>
      </c>
      <c r="I316" s="375">
        <v>4000</v>
      </c>
      <c r="J316" s="375">
        <v>5000</v>
      </c>
      <c r="K316" s="375">
        <v>10</v>
      </c>
      <c r="L316" s="375">
        <v>5632</v>
      </c>
      <c r="M316" s="375">
        <v>4368</v>
      </c>
      <c r="V316" s="375" t="s">
        <v>596</v>
      </c>
    </row>
    <row r="317" spans="1:22" hidden="1" x14ac:dyDescent="0.25">
      <c r="A317" s="377">
        <v>44692</v>
      </c>
      <c r="B317" s="375">
        <v>40000</v>
      </c>
      <c r="C317" s="375">
        <v>24000</v>
      </c>
      <c r="D317" s="375">
        <v>6</v>
      </c>
      <c r="E317" s="375">
        <v>10</v>
      </c>
      <c r="F317" s="375">
        <v>0.4</v>
      </c>
      <c r="G317" s="375">
        <v>40000</v>
      </c>
      <c r="H317" s="376">
        <v>2.0000000000000001E-4</v>
      </c>
      <c r="I317" s="375">
        <v>4000</v>
      </c>
      <c r="J317" s="375">
        <v>5000</v>
      </c>
      <c r="K317" s="375">
        <v>8</v>
      </c>
      <c r="L317" s="375">
        <v>31857</v>
      </c>
      <c r="M317" s="375">
        <v>8143</v>
      </c>
      <c r="V317" s="375" t="s">
        <v>596</v>
      </c>
    </row>
    <row r="318" spans="1:22" hidden="1" x14ac:dyDescent="0.25">
      <c r="A318" s="377">
        <v>44693</v>
      </c>
      <c r="B318" s="375">
        <v>40000</v>
      </c>
      <c r="C318" s="375">
        <v>24000</v>
      </c>
      <c r="D318" s="375">
        <v>6</v>
      </c>
      <c r="E318" s="375">
        <v>10</v>
      </c>
      <c r="F318" s="375">
        <v>0.4</v>
      </c>
      <c r="G318" s="375">
        <v>40000</v>
      </c>
      <c r="H318" s="376">
        <v>2.0000000000000001E-4</v>
      </c>
      <c r="I318" s="375">
        <v>4000</v>
      </c>
      <c r="J318" s="375">
        <v>5000</v>
      </c>
      <c r="K318" s="375">
        <v>8</v>
      </c>
      <c r="L318" s="375">
        <v>31857</v>
      </c>
      <c r="M318" s="375">
        <v>8143</v>
      </c>
      <c r="V318" s="375" t="s">
        <v>596</v>
      </c>
    </row>
    <row r="319" spans="1:22" hidden="1" x14ac:dyDescent="0.25">
      <c r="A319" s="377">
        <v>44694</v>
      </c>
      <c r="B319" s="375">
        <v>40000</v>
      </c>
      <c r="C319" s="375">
        <v>24000</v>
      </c>
      <c r="D319" s="375">
        <v>6</v>
      </c>
      <c r="E319" s="375">
        <v>10</v>
      </c>
      <c r="F319" s="375">
        <v>0.4</v>
      </c>
      <c r="G319" s="375">
        <v>40000</v>
      </c>
      <c r="H319" s="376">
        <v>2.0000000000000001E-4</v>
      </c>
      <c r="I319" s="375">
        <v>4000</v>
      </c>
      <c r="J319" s="375">
        <v>5000</v>
      </c>
      <c r="K319" s="375">
        <v>8</v>
      </c>
      <c r="L319" s="375">
        <v>31857</v>
      </c>
      <c r="M319" s="375">
        <v>8143</v>
      </c>
      <c r="V319" s="375" t="s">
        <v>596</v>
      </c>
    </row>
    <row r="320" spans="1:22" hidden="1" x14ac:dyDescent="0.25">
      <c r="A320" s="377">
        <v>44695</v>
      </c>
      <c r="B320" s="375">
        <v>40000</v>
      </c>
      <c r="C320" s="375">
        <v>24000</v>
      </c>
      <c r="D320" s="375">
        <v>6</v>
      </c>
      <c r="E320" s="375">
        <v>10</v>
      </c>
      <c r="F320" s="375">
        <v>0.4</v>
      </c>
      <c r="G320" s="375">
        <v>40000</v>
      </c>
      <c r="H320" s="376">
        <v>2.0000000000000001E-4</v>
      </c>
      <c r="I320" s="375">
        <v>4000</v>
      </c>
      <c r="J320" s="375">
        <v>5000</v>
      </c>
      <c r="K320" s="375">
        <v>8</v>
      </c>
      <c r="L320" s="375">
        <v>31857</v>
      </c>
      <c r="M320" s="375">
        <v>8143</v>
      </c>
      <c r="V320" s="375" t="s">
        <v>596</v>
      </c>
    </row>
    <row r="321" spans="1:22" hidden="1" x14ac:dyDescent="0.25">
      <c r="A321" s="377">
        <v>44696</v>
      </c>
      <c r="B321" s="375">
        <v>40000</v>
      </c>
      <c r="C321" s="375">
        <v>24000</v>
      </c>
      <c r="D321" s="375">
        <v>6</v>
      </c>
      <c r="E321" s="375">
        <v>10</v>
      </c>
      <c r="F321" s="375">
        <v>0.4</v>
      </c>
      <c r="G321" s="375">
        <v>40000</v>
      </c>
      <c r="H321" s="376">
        <v>2.0000000000000001E-4</v>
      </c>
      <c r="I321" s="375">
        <v>4000</v>
      </c>
      <c r="J321" s="375">
        <v>5000</v>
      </c>
      <c r="K321" s="375">
        <v>8</v>
      </c>
      <c r="L321" s="375">
        <v>31857</v>
      </c>
      <c r="M321" s="375">
        <v>8143</v>
      </c>
      <c r="V321" s="375" t="s">
        <v>596</v>
      </c>
    </row>
    <row r="322" spans="1:22" hidden="1" x14ac:dyDescent="0.25">
      <c r="A322" s="377">
        <v>44697</v>
      </c>
      <c r="B322" s="375">
        <v>25000</v>
      </c>
      <c r="C322" s="375">
        <v>15000</v>
      </c>
      <c r="D322" s="375">
        <v>4</v>
      </c>
      <c r="E322" s="375">
        <v>6</v>
      </c>
      <c r="F322" s="375">
        <v>0.4</v>
      </c>
      <c r="G322" s="375">
        <v>40000</v>
      </c>
      <c r="H322" s="376">
        <v>1.25E-4</v>
      </c>
      <c r="I322" s="375">
        <v>4000</v>
      </c>
      <c r="J322" s="375">
        <v>5000</v>
      </c>
      <c r="K322" s="375">
        <v>5</v>
      </c>
      <c r="L322" s="375">
        <v>31857</v>
      </c>
      <c r="M322" s="375">
        <v>8143</v>
      </c>
      <c r="V322" s="375" t="s">
        <v>596</v>
      </c>
    </row>
    <row r="323" spans="1:22" hidden="1" x14ac:dyDescent="0.25">
      <c r="A323" s="377">
        <v>44698</v>
      </c>
      <c r="B323" s="375">
        <v>25000</v>
      </c>
      <c r="C323" s="375">
        <v>15000</v>
      </c>
      <c r="D323" s="375">
        <v>4</v>
      </c>
      <c r="E323" s="375">
        <v>6</v>
      </c>
      <c r="F323" s="375">
        <v>0.4</v>
      </c>
      <c r="G323" s="375">
        <v>40000</v>
      </c>
      <c r="H323" s="376">
        <v>1.25E-4</v>
      </c>
      <c r="I323" s="375">
        <v>4000</v>
      </c>
      <c r="J323" s="375">
        <v>5000</v>
      </c>
      <c r="K323" s="375">
        <v>5</v>
      </c>
      <c r="L323" s="375">
        <v>31857</v>
      </c>
      <c r="M323" s="375">
        <v>8143</v>
      </c>
      <c r="V323" s="375" t="s">
        <v>596</v>
      </c>
    </row>
    <row r="324" spans="1:22" hidden="1" x14ac:dyDescent="0.25">
      <c r="A324" s="377">
        <v>44699</v>
      </c>
      <c r="B324" s="375">
        <v>400000</v>
      </c>
      <c r="C324" s="375">
        <v>240000</v>
      </c>
      <c r="D324" s="375">
        <v>60</v>
      </c>
      <c r="E324" s="375">
        <v>100</v>
      </c>
      <c r="F324" s="375">
        <v>0.4</v>
      </c>
      <c r="G324" s="375">
        <v>160000</v>
      </c>
      <c r="H324" s="376">
        <v>5.0000000000000001E-4</v>
      </c>
      <c r="I324" s="375">
        <v>4000</v>
      </c>
      <c r="J324" s="375">
        <v>5000</v>
      </c>
      <c r="K324" s="375">
        <v>80</v>
      </c>
      <c r="L324" s="375">
        <v>151857</v>
      </c>
      <c r="M324" s="375">
        <v>8143</v>
      </c>
      <c r="V324" s="375" t="s">
        <v>596</v>
      </c>
    </row>
    <row r="325" spans="1:22" hidden="1" x14ac:dyDescent="0.25">
      <c r="A325" s="377">
        <v>44700</v>
      </c>
      <c r="B325" s="375">
        <v>200000</v>
      </c>
      <c r="C325" s="375">
        <v>120000</v>
      </c>
      <c r="D325" s="375">
        <v>30</v>
      </c>
      <c r="E325" s="375">
        <v>50</v>
      </c>
      <c r="F325" s="375">
        <v>0.4</v>
      </c>
      <c r="G325" s="375">
        <v>20000</v>
      </c>
      <c r="H325" s="376">
        <v>2E-3</v>
      </c>
      <c r="I325" s="375">
        <v>4000</v>
      </c>
      <c r="J325" s="375">
        <v>5000</v>
      </c>
      <c r="K325" s="375">
        <v>40</v>
      </c>
      <c r="L325" s="375">
        <v>11857</v>
      </c>
      <c r="M325" s="375">
        <v>8143</v>
      </c>
      <c r="V325" s="375" t="s">
        <v>596</v>
      </c>
    </row>
    <row r="326" spans="1:22" hidden="1" x14ac:dyDescent="0.25">
      <c r="A326" s="377">
        <v>44701</v>
      </c>
      <c r="B326" s="375">
        <v>250000</v>
      </c>
      <c r="C326" s="375">
        <v>150000</v>
      </c>
      <c r="D326" s="375">
        <v>38</v>
      </c>
      <c r="E326" s="375">
        <v>63</v>
      </c>
      <c r="F326" s="375">
        <v>0.4</v>
      </c>
      <c r="G326" s="375">
        <v>20000</v>
      </c>
      <c r="H326" s="376">
        <v>2.5000000000000001E-3</v>
      </c>
      <c r="I326" s="375">
        <v>4000</v>
      </c>
      <c r="J326" s="375">
        <v>5000</v>
      </c>
      <c r="K326" s="375">
        <v>50</v>
      </c>
      <c r="L326" s="375">
        <v>11857</v>
      </c>
      <c r="M326" s="375">
        <v>8143</v>
      </c>
      <c r="V326" s="375" t="s">
        <v>596</v>
      </c>
    </row>
    <row r="327" spans="1:22" hidden="1" x14ac:dyDescent="0.25">
      <c r="A327" s="377">
        <v>44702</v>
      </c>
      <c r="B327" s="375">
        <v>30000</v>
      </c>
      <c r="C327" s="375">
        <v>18000</v>
      </c>
      <c r="D327" s="375">
        <v>5</v>
      </c>
      <c r="E327" s="375">
        <v>8</v>
      </c>
      <c r="F327" s="375">
        <v>0.4</v>
      </c>
      <c r="G327" s="375">
        <v>10000</v>
      </c>
      <c r="H327" s="376">
        <v>5.9999999999999995E-4</v>
      </c>
      <c r="I327" s="375">
        <v>4000</v>
      </c>
      <c r="J327" s="375">
        <v>5000</v>
      </c>
      <c r="K327" s="375">
        <v>6</v>
      </c>
      <c r="L327" s="375">
        <v>7266</v>
      </c>
      <c r="M327" s="375">
        <v>2734</v>
      </c>
      <c r="V327" s="375" t="s">
        <v>596</v>
      </c>
    </row>
    <row r="328" spans="1:22" hidden="1" x14ac:dyDescent="0.25">
      <c r="A328" s="377">
        <v>44703</v>
      </c>
      <c r="B328" s="375">
        <v>30000</v>
      </c>
      <c r="C328" s="375">
        <v>18000</v>
      </c>
      <c r="D328" s="375">
        <v>5</v>
      </c>
      <c r="E328" s="375">
        <v>8</v>
      </c>
      <c r="F328" s="375">
        <v>0.4</v>
      </c>
      <c r="G328" s="375">
        <v>10000</v>
      </c>
      <c r="H328" s="376">
        <v>5.9999999999999995E-4</v>
      </c>
      <c r="I328" s="375">
        <v>4000</v>
      </c>
      <c r="J328" s="375">
        <v>5000</v>
      </c>
      <c r="K328" s="375">
        <v>6</v>
      </c>
      <c r="L328" s="375">
        <v>7266</v>
      </c>
      <c r="M328" s="375">
        <v>2734</v>
      </c>
      <c r="V328" s="375" t="s">
        <v>596</v>
      </c>
    </row>
    <row r="329" spans="1:22" hidden="1" x14ac:dyDescent="0.25">
      <c r="A329" s="377">
        <v>44704</v>
      </c>
      <c r="B329" s="375">
        <v>10000</v>
      </c>
      <c r="C329" s="375">
        <v>6000</v>
      </c>
      <c r="D329" s="375">
        <v>2</v>
      </c>
      <c r="E329" s="375">
        <v>3</v>
      </c>
      <c r="F329" s="375">
        <v>0.4</v>
      </c>
      <c r="G329" s="375">
        <v>10000</v>
      </c>
      <c r="H329" s="376">
        <v>2.0000000000000001E-4</v>
      </c>
      <c r="I329" s="375">
        <v>4000</v>
      </c>
      <c r="J329" s="375">
        <v>5000</v>
      </c>
      <c r="K329" s="375">
        <v>2</v>
      </c>
      <c r="L329" s="375">
        <v>7266</v>
      </c>
      <c r="M329" s="375">
        <v>2734</v>
      </c>
      <c r="V329" s="375" t="s">
        <v>596</v>
      </c>
    </row>
    <row r="330" spans="1:22" hidden="1" x14ac:dyDescent="0.25">
      <c r="A330" s="377">
        <v>44705</v>
      </c>
      <c r="B330" s="375">
        <v>15000</v>
      </c>
      <c r="C330" s="375">
        <v>9000</v>
      </c>
      <c r="D330" s="375">
        <v>2</v>
      </c>
      <c r="E330" s="375">
        <v>4</v>
      </c>
      <c r="F330" s="375">
        <v>0.4</v>
      </c>
      <c r="G330" s="375">
        <v>15000</v>
      </c>
      <c r="H330" s="376">
        <v>2.0000000000000001E-4</v>
      </c>
      <c r="I330" s="375">
        <v>4000</v>
      </c>
      <c r="J330" s="375">
        <v>5000</v>
      </c>
      <c r="K330" s="375">
        <v>3</v>
      </c>
      <c r="L330" s="375">
        <v>4024</v>
      </c>
      <c r="M330" s="375">
        <v>10976</v>
      </c>
      <c r="V330" s="375" t="s">
        <v>596</v>
      </c>
    </row>
    <row r="331" spans="1:22" hidden="1" x14ac:dyDescent="0.25">
      <c r="A331" s="377">
        <v>44706</v>
      </c>
      <c r="B331" s="375">
        <v>10000</v>
      </c>
      <c r="C331" s="375">
        <v>6000</v>
      </c>
      <c r="D331" s="375">
        <v>2</v>
      </c>
      <c r="E331" s="375">
        <v>3</v>
      </c>
      <c r="F331" s="375">
        <v>0.4</v>
      </c>
      <c r="G331" s="375">
        <v>15000</v>
      </c>
      <c r="H331" s="376">
        <v>1.3333333333333334E-4</v>
      </c>
      <c r="I331" s="375">
        <v>4000</v>
      </c>
      <c r="J331" s="375">
        <v>5000</v>
      </c>
      <c r="K331" s="375">
        <v>2</v>
      </c>
      <c r="L331" s="375">
        <v>4024</v>
      </c>
      <c r="M331" s="375">
        <v>10976</v>
      </c>
      <c r="V331" s="375" t="s">
        <v>596</v>
      </c>
    </row>
    <row r="332" spans="1:22" hidden="1" x14ac:dyDescent="0.25">
      <c r="A332" s="377">
        <v>44707</v>
      </c>
      <c r="B332" s="375">
        <v>36896</v>
      </c>
      <c r="C332" s="375">
        <v>22137</v>
      </c>
      <c r="D332" s="375">
        <v>6</v>
      </c>
      <c r="E332" s="375">
        <v>9</v>
      </c>
      <c r="F332" s="375">
        <v>0.4</v>
      </c>
      <c r="G332" s="375">
        <v>15000</v>
      </c>
      <c r="H332" s="376">
        <v>4.9194160000000007E-4</v>
      </c>
      <c r="I332" s="375">
        <v>4000</v>
      </c>
      <c r="J332" s="375">
        <v>5000</v>
      </c>
      <c r="K332" s="375">
        <v>7</v>
      </c>
      <c r="L332" s="375">
        <v>4024</v>
      </c>
      <c r="M332" s="375">
        <v>10976</v>
      </c>
      <c r="V332" s="375" t="s">
        <v>596</v>
      </c>
    </row>
    <row r="333" spans="1:22" hidden="1" x14ac:dyDescent="0.25">
      <c r="A333" s="377">
        <v>44708</v>
      </c>
      <c r="B333" s="375">
        <v>34448</v>
      </c>
      <c r="C333" s="375">
        <v>20669</v>
      </c>
      <c r="D333" s="375">
        <v>5</v>
      </c>
      <c r="E333" s="375">
        <v>9</v>
      </c>
      <c r="F333" s="375">
        <v>0.4</v>
      </c>
      <c r="G333" s="375">
        <v>15000</v>
      </c>
      <c r="H333" s="376">
        <v>4.593E-4</v>
      </c>
      <c r="I333" s="375">
        <v>4000</v>
      </c>
      <c r="J333" s="375">
        <v>5000</v>
      </c>
      <c r="K333" s="375">
        <v>7</v>
      </c>
      <c r="L333" s="375">
        <v>4024</v>
      </c>
      <c r="M333" s="375">
        <v>10976</v>
      </c>
      <c r="V333" s="375" t="s">
        <v>596</v>
      </c>
    </row>
    <row r="334" spans="1:22" hidden="1" x14ac:dyDescent="0.25">
      <c r="A334" s="377">
        <v>44709</v>
      </c>
      <c r="B334" s="375">
        <v>60000</v>
      </c>
      <c r="C334" s="375">
        <v>36000</v>
      </c>
      <c r="D334" s="375">
        <v>9</v>
      </c>
      <c r="E334" s="375">
        <v>15</v>
      </c>
      <c r="F334" s="375">
        <v>0.4</v>
      </c>
      <c r="G334" s="375">
        <v>15000</v>
      </c>
      <c r="H334" s="376">
        <v>8.0000000000000004E-4</v>
      </c>
      <c r="I334" s="375">
        <v>4000</v>
      </c>
      <c r="J334" s="375">
        <v>5000</v>
      </c>
      <c r="K334" s="375">
        <v>12</v>
      </c>
      <c r="L334" s="375">
        <v>4024</v>
      </c>
      <c r="M334" s="375">
        <v>10976</v>
      </c>
      <c r="V334" s="375" t="s">
        <v>596</v>
      </c>
    </row>
    <row r="335" spans="1:22" hidden="1" x14ac:dyDescent="0.25">
      <c r="A335" s="377">
        <v>44710</v>
      </c>
      <c r="B335" s="375">
        <v>60000</v>
      </c>
      <c r="C335" s="375">
        <v>36000</v>
      </c>
      <c r="D335" s="375">
        <v>9</v>
      </c>
      <c r="E335" s="375">
        <v>15</v>
      </c>
      <c r="F335" s="375">
        <v>0.4</v>
      </c>
      <c r="G335" s="375">
        <v>15000</v>
      </c>
      <c r="H335" s="376">
        <v>8.0000000000000004E-4</v>
      </c>
      <c r="I335" s="375">
        <v>4000</v>
      </c>
      <c r="J335" s="375">
        <v>5000</v>
      </c>
      <c r="K335" s="375">
        <v>12</v>
      </c>
      <c r="L335" s="375">
        <v>4024</v>
      </c>
      <c r="M335" s="375">
        <v>10976</v>
      </c>
      <c r="V335" s="375" t="s">
        <v>596</v>
      </c>
    </row>
    <row r="336" spans="1:22" hidden="1" x14ac:dyDescent="0.25">
      <c r="A336" s="377">
        <v>44711</v>
      </c>
      <c r="B336" s="375">
        <v>53328</v>
      </c>
      <c r="C336" s="375">
        <v>31997</v>
      </c>
      <c r="D336" s="375">
        <v>8</v>
      </c>
      <c r="E336" s="375">
        <v>13</v>
      </c>
      <c r="F336" s="375">
        <v>0.4</v>
      </c>
      <c r="G336" s="375">
        <v>15497</v>
      </c>
      <c r="H336" s="376">
        <v>7.1104000000000002E-4</v>
      </c>
      <c r="I336" s="375">
        <v>4000</v>
      </c>
      <c r="J336" s="375">
        <v>3000</v>
      </c>
      <c r="K336" s="375">
        <v>18</v>
      </c>
      <c r="L336" s="375">
        <v>10535</v>
      </c>
      <c r="M336" s="375">
        <v>14465</v>
      </c>
      <c r="V336" s="375" t="s">
        <v>596</v>
      </c>
    </row>
    <row r="337" spans="1:22" hidden="1" x14ac:dyDescent="0.25">
      <c r="A337" s="377">
        <v>44712</v>
      </c>
      <c r="B337" s="375">
        <v>825947</v>
      </c>
      <c r="C337" s="375">
        <v>495568</v>
      </c>
      <c r="D337" s="375">
        <v>124</v>
      </c>
      <c r="E337" s="375">
        <v>206</v>
      </c>
      <c r="F337" s="375">
        <v>0.4</v>
      </c>
      <c r="G337" s="375">
        <v>20000</v>
      </c>
      <c r="H337" s="376">
        <v>2.5473915272688157E-2</v>
      </c>
      <c r="I337" s="375">
        <v>4000</v>
      </c>
      <c r="J337" s="375">
        <v>3000</v>
      </c>
      <c r="K337" s="375">
        <v>275</v>
      </c>
      <c r="L337" s="375">
        <v>3808</v>
      </c>
      <c r="M337" s="375">
        <v>7000</v>
      </c>
      <c r="V337" s="375" t="s">
        <v>596</v>
      </c>
    </row>
    <row r="338" spans="1:22" hidden="1" x14ac:dyDescent="0.25">
      <c r="A338" s="377">
        <v>44713</v>
      </c>
      <c r="B338" s="375">
        <v>228508</v>
      </c>
      <c r="C338" s="375">
        <v>137105</v>
      </c>
      <c r="D338" s="375">
        <v>55</v>
      </c>
      <c r="E338" s="375">
        <v>91</v>
      </c>
      <c r="F338" s="375">
        <v>0.4</v>
      </c>
      <c r="G338" s="375">
        <v>50000</v>
      </c>
      <c r="H338" s="376">
        <v>2.17464928460792E-3</v>
      </c>
      <c r="I338" s="375">
        <v>2500</v>
      </c>
      <c r="J338" s="375">
        <v>3940</v>
      </c>
      <c r="K338" s="375">
        <v>58</v>
      </c>
      <c r="L338" s="375">
        <v>10547</v>
      </c>
      <c r="M338" s="375">
        <v>16124</v>
      </c>
      <c r="V338" s="375" t="s">
        <v>596</v>
      </c>
    </row>
    <row r="339" spans="1:22" hidden="1" x14ac:dyDescent="0.25">
      <c r="A339" s="377">
        <v>44714</v>
      </c>
      <c r="B339" s="375">
        <v>174168</v>
      </c>
      <c r="C339" s="375">
        <v>104501</v>
      </c>
      <c r="D339" s="375">
        <v>42</v>
      </c>
      <c r="E339" s="375">
        <v>70</v>
      </c>
      <c r="F339" s="375">
        <v>0.4</v>
      </c>
      <c r="G339" s="375">
        <v>30000</v>
      </c>
      <c r="H339" s="376">
        <v>1.4119311396595005E-3</v>
      </c>
      <c r="I339" s="375">
        <v>2500</v>
      </c>
      <c r="J339" s="375">
        <v>4354</v>
      </c>
      <c r="K339" s="375">
        <v>40</v>
      </c>
      <c r="L339" s="375">
        <v>12431</v>
      </c>
      <c r="M339" s="375">
        <v>15899</v>
      </c>
      <c r="V339" s="375" t="s">
        <v>596</v>
      </c>
    </row>
    <row r="340" spans="1:22" hidden="1" x14ac:dyDescent="0.25">
      <c r="A340" s="377">
        <v>44715</v>
      </c>
      <c r="B340" s="375">
        <v>174385</v>
      </c>
      <c r="C340" s="375">
        <v>104631</v>
      </c>
      <c r="D340" s="375">
        <v>42</v>
      </c>
      <c r="E340" s="375">
        <v>70</v>
      </c>
      <c r="F340" s="375">
        <v>0.4</v>
      </c>
      <c r="G340" s="375">
        <v>30000</v>
      </c>
      <c r="H340" s="376">
        <v>1.7622936930219949E-3</v>
      </c>
      <c r="I340" s="375">
        <v>2500</v>
      </c>
      <c r="J340" s="375">
        <v>3354</v>
      </c>
      <c r="K340" s="375">
        <v>52</v>
      </c>
      <c r="L340" s="375">
        <v>12370</v>
      </c>
      <c r="M340" s="375">
        <v>17137</v>
      </c>
      <c r="V340" s="375" t="s">
        <v>596</v>
      </c>
    </row>
    <row r="341" spans="1:22" hidden="1" x14ac:dyDescent="0.25">
      <c r="A341" s="377">
        <v>44716</v>
      </c>
      <c r="B341" s="375">
        <v>49004</v>
      </c>
      <c r="C341" s="375">
        <v>29402</v>
      </c>
      <c r="D341" s="375">
        <v>12</v>
      </c>
      <c r="E341" s="375">
        <v>20</v>
      </c>
      <c r="F341" s="375">
        <v>0.4</v>
      </c>
      <c r="G341" s="375">
        <v>20000</v>
      </c>
      <c r="H341" s="376">
        <v>1.5541512200140596E-3</v>
      </c>
      <c r="I341" s="375">
        <v>2500</v>
      </c>
      <c r="J341" s="375">
        <v>1960</v>
      </c>
      <c r="K341" s="375">
        <v>25</v>
      </c>
      <c r="L341" s="375">
        <v>9480</v>
      </c>
      <c r="M341" s="375">
        <v>6606</v>
      </c>
      <c r="V341" s="375" t="s">
        <v>596</v>
      </c>
    </row>
    <row r="342" spans="1:22" hidden="1" x14ac:dyDescent="0.25">
      <c r="A342" s="377">
        <v>44717</v>
      </c>
      <c r="B342" s="375">
        <v>85657</v>
      </c>
      <c r="C342" s="375">
        <v>51394</v>
      </c>
      <c r="D342" s="375">
        <v>21</v>
      </c>
      <c r="E342" s="375">
        <v>34</v>
      </c>
      <c r="F342" s="375">
        <v>0.4</v>
      </c>
      <c r="G342" s="375">
        <v>20000</v>
      </c>
      <c r="H342" s="376">
        <v>1.1562030292519366E-3</v>
      </c>
      <c r="I342" s="375">
        <v>2500</v>
      </c>
      <c r="J342" s="375">
        <v>4283</v>
      </c>
      <c r="K342" s="375">
        <v>20</v>
      </c>
      <c r="L342" s="375">
        <v>10417</v>
      </c>
      <c r="M342" s="375">
        <v>6881</v>
      </c>
      <c r="V342" s="375" t="s">
        <v>596</v>
      </c>
    </row>
    <row r="343" spans="1:22" hidden="1" x14ac:dyDescent="0.25">
      <c r="A343" s="377">
        <v>44718</v>
      </c>
      <c r="B343" s="375">
        <v>179639</v>
      </c>
      <c r="C343" s="375">
        <v>107783</v>
      </c>
      <c r="D343" s="375">
        <v>43</v>
      </c>
      <c r="E343" s="375">
        <v>72</v>
      </c>
      <c r="F343" s="375">
        <v>0.4</v>
      </c>
      <c r="G343" s="375">
        <v>20000</v>
      </c>
      <c r="H343" s="376">
        <v>2.3E-3</v>
      </c>
      <c r="I343" s="375">
        <v>2500</v>
      </c>
      <c r="J343" s="375">
        <v>4000</v>
      </c>
      <c r="K343" s="375">
        <v>45</v>
      </c>
      <c r="L343" s="375">
        <v>11283</v>
      </c>
      <c r="M343" s="375">
        <v>8243</v>
      </c>
      <c r="V343" s="375" t="s">
        <v>596</v>
      </c>
    </row>
    <row r="344" spans="1:22" hidden="1" x14ac:dyDescent="0.25">
      <c r="A344" s="377">
        <v>44719</v>
      </c>
      <c r="B344" s="375">
        <v>214368</v>
      </c>
      <c r="C344" s="375">
        <v>128621</v>
      </c>
      <c r="D344" s="375">
        <v>51</v>
      </c>
      <c r="E344" s="375">
        <v>86</v>
      </c>
      <c r="F344" s="375">
        <v>0.4</v>
      </c>
      <c r="G344" s="375">
        <v>22000</v>
      </c>
      <c r="H344" s="376">
        <v>3.5400000000000002E-3</v>
      </c>
      <c r="I344" s="375">
        <v>2500</v>
      </c>
      <c r="J344" s="375">
        <v>3500</v>
      </c>
      <c r="K344" s="375">
        <v>61</v>
      </c>
      <c r="L344" s="375">
        <v>9059</v>
      </c>
      <c r="M344" s="375">
        <v>8243</v>
      </c>
      <c r="V344" s="375" t="s">
        <v>596</v>
      </c>
    </row>
    <row r="345" spans="1:22" hidden="1" x14ac:dyDescent="0.25">
      <c r="A345" s="377">
        <v>44720</v>
      </c>
      <c r="B345" s="375">
        <v>189458</v>
      </c>
      <c r="C345" s="375">
        <v>113675</v>
      </c>
      <c r="D345" s="375">
        <v>45</v>
      </c>
      <c r="E345" s="375">
        <v>76</v>
      </c>
      <c r="F345" s="375">
        <v>0.4</v>
      </c>
      <c r="G345" s="375">
        <v>22000</v>
      </c>
      <c r="H345" s="376">
        <v>2.7399999999999998E-3</v>
      </c>
      <c r="I345" s="375">
        <v>2500</v>
      </c>
      <c r="J345" s="375">
        <v>3500</v>
      </c>
      <c r="K345" s="375">
        <v>54</v>
      </c>
      <c r="L345" s="375">
        <v>9859</v>
      </c>
      <c r="M345" s="375">
        <v>9896</v>
      </c>
      <c r="V345" s="375" t="s">
        <v>596</v>
      </c>
    </row>
    <row r="346" spans="1:22" hidden="1" x14ac:dyDescent="0.25">
      <c r="A346" s="377">
        <v>44721</v>
      </c>
      <c r="B346" s="375">
        <v>189458</v>
      </c>
      <c r="C346" s="375">
        <v>113675</v>
      </c>
      <c r="D346" s="375">
        <v>45</v>
      </c>
      <c r="E346" s="375">
        <v>76</v>
      </c>
      <c r="F346" s="375">
        <v>0.4</v>
      </c>
      <c r="G346" s="375">
        <v>22000</v>
      </c>
      <c r="H346" s="376">
        <v>2.8400000000000005E-3</v>
      </c>
      <c r="I346" s="375">
        <v>2500</v>
      </c>
      <c r="J346" s="375">
        <v>3500</v>
      </c>
      <c r="K346" s="375">
        <v>54</v>
      </c>
      <c r="L346" s="375">
        <v>9164</v>
      </c>
      <c r="M346" s="375">
        <v>9896</v>
      </c>
      <c r="V346" s="375" t="s">
        <v>596</v>
      </c>
    </row>
    <row r="347" spans="1:22" hidden="1" x14ac:dyDescent="0.25">
      <c r="A347" s="377">
        <v>44722</v>
      </c>
      <c r="B347" s="375">
        <v>179639</v>
      </c>
      <c r="C347" s="375">
        <v>107783</v>
      </c>
      <c r="D347" s="375">
        <v>43</v>
      </c>
      <c r="E347" s="375">
        <v>72</v>
      </c>
      <c r="F347" s="375">
        <v>0.4</v>
      </c>
      <c r="G347" s="375">
        <v>20000</v>
      </c>
      <c r="H347" s="376">
        <v>2.0400000000000001E-3</v>
      </c>
      <c r="I347" s="375">
        <v>2500</v>
      </c>
      <c r="J347" s="375">
        <v>4000</v>
      </c>
      <c r="K347" s="375">
        <v>45</v>
      </c>
      <c r="L347" s="375">
        <v>11659</v>
      </c>
      <c r="M347" s="375">
        <v>10355</v>
      </c>
      <c r="V347" s="375" t="s">
        <v>596</v>
      </c>
    </row>
    <row r="348" spans="1:22" hidden="1" x14ac:dyDescent="0.25">
      <c r="A348" s="377">
        <v>44723</v>
      </c>
      <c r="B348" s="375">
        <v>179639</v>
      </c>
      <c r="C348" s="375">
        <v>107783</v>
      </c>
      <c r="D348" s="375">
        <v>43</v>
      </c>
      <c r="E348" s="375">
        <v>72</v>
      </c>
      <c r="F348" s="375">
        <v>0.4</v>
      </c>
      <c r="G348" s="375">
        <v>20000</v>
      </c>
      <c r="H348" s="376">
        <v>2.1399999999999995E-3</v>
      </c>
      <c r="I348" s="375">
        <v>2500</v>
      </c>
      <c r="J348" s="375">
        <v>4000</v>
      </c>
      <c r="K348" s="375">
        <v>45</v>
      </c>
      <c r="L348" s="375">
        <v>9470</v>
      </c>
      <c r="M348" s="375">
        <v>11516</v>
      </c>
      <c r="V348" s="375" t="s">
        <v>596</v>
      </c>
    </row>
    <row r="349" spans="1:22" hidden="1" x14ac:dyDescent="0.25">
      <c r="A349" s="377">
        <v>44724</v>
      </c>
      <c r="B349" s="375">
        <v>179639</v>
      </c>
      <c r="C349" s="375">
        <v>107783</v>
      </c>
      <c r="D349" s="375">
        <v>43</v>
      </c>
      <c r="E349" s="375">
        <v>72</v>
      </c>
      <c r="F349" s="375">
        <v>0.4</v>
      </c>
      <c r="G349" s="375">
        <v>20000</v>
      </c>
      <c r="H349" s="376">
        <v>2.1399999999999995E-3</v>
      </c>
      <c r="I349" s="375">
        <v>2500</v>
      </c>
      <c r="J349" s="375">
        <v>4000</v>
      </c>
      <c r="K349" s="375">
        <v>45</v>
      </c>
      <c r="L349" s="375">
        <v>9267</v>
      </c>
      <c r="M349" s="375">
        <v>11719</v>
      </c>
      <c r="V349" s="375" t="s">
        <v>596</v>
      </c>
    </row>
    <row r="350" spans="1:22" hidden="1" x14ac:dyDescent="0.25">
      <c r="A350" s="377">
        <v>44725</v>
      </c>
      <c r="B350" s="375">
        <v>179639</v>
      </c>
      <c r="C350" s="375">
        <v>107783</v>
      </c>
      <c r="D350" s="375">
        <v>43</v>
      </c>
      <c r="E350" s="375">
        <v>72</v>
      </c>
      <c r="F350" s="375">
        <v>0.4</v>
      </c>
      <c r="G350" s="375">
        <v>20000</v>
      </c>
      <c r="H350" s="376">
        <v>1.9400000000000001E-3</v>
      </c>
      <c r="I350" s="375">
        <v>2500</v>
      </c>
      <c r="J350" s="375">
        <v>4000</v>
      </c>
      <c r="K350" s="375">
        <v>45</v>
      </c>
      <c r="L350" s="375">
        <v>10558</v>
      </c>
      <c r="M350" s="375">
        <v>12591</v>
      </c>
      <c r="V350" s="375" t="s">
        <v>596</v>
      </c>
    </row>
    <row r="351" spans="1:22" hidden="1" x14ac:dyDescent="0.25">
      <c r="A351" s="377">
        <v>44726</v>
      </c>
      <c r="B351" s="375">
        <v>97365</v>
      </c>
      <c r="C351" s="375">
        <v>58419</v>
      </c>
      <c r="D351" s="375">
        <v>23</v>
      </c>
      <c r="E351" s="375">
        <v>39</v>
      </c>
      <c r="F351" s="375">
        <v>0.4</v>
      </c>
      <c r="G351" s="375">
        <v>25000</v>
      </c>
      <c r="H351" s="376">
        <v>8.9999999999999987E-4</v>
      </c>
      <c r="I351" s="375">
        <v>2500</v>
      </c>
      <c r="J351" s="375">
        <v>4000</v>
      </c>
      <c r="K351" s="375">
        <v>24</v>
      </c>
      <c r="L351" s="375">
        <v>14242</v>
      </c>
      <c r="M351" s="375">
        <v>12804</v>
      </c>
      <c r="V351" s="375" t="s">
        <v>596</v>
      </c>
    </row>
    <row r="352" spans="1:22" hidden="1" x14ac:dyDescent="0.25">
      <c r="A352" s="377">
        <v>44727</v>
      </c>
      <c r="B352" s="375">
        <v>591311</v>
      </c>
      <c r="C352" s="375">
        <v>354787</v>
      </c>
      <c r="D352" s="375">
        <v>142</v>
      </c>
      <c r="E352" s="375">
        <v>237</v>
      </c>
      <c r="F352" s="375">
        <v>0.4</v>
      </c>
      <c r="G352" s="375">
        <v>25000</v>
      </c>
      <c r="H352" s="376">
        <v>4.3343318867031799E-3</v>
      </c>
      <c r="I352" s="375">
        <v>2500</v>
      </c>
      <c r="J352" s="375">
        <v>3750</v>
      </c>
      <c r="K352" s="375">
        <v>158</v>
      </c>
      <c r="L352" s="375">
        <v>23192</v>
      </c>
      <c r="M352" s="375">
        <v>13188</v>
      </c>
      <c r="V352" s="375" t="s">
        <v>596</v>
      </c>
    </row>
    <row r="353" spans="1:22" hidden="1" x14ac:dyDescent="0.25">
      <c r="A353" s="377">
        <v>44728</v>
      </c>
      <c r="B353" s="375">
        <v>504187</v>
      </c>
      <c r="C353" s="375">
        <v>302512</v>
      </c>
      <c r="D353" s="375">
        <v>121</v>
      </c>
      <c r="E353" s="375">
        <v>202</v>
      </c>
      <c r="F353" s="375">
        <v>0.4</v>
      </c>
      <c r="G353" s="375">
        <v>50000</v>
      </c>
      <c r="H353" s="376">
        <v>5.0000000000000001E-3</v>
      </c>
      <c r="I353" s="375">
        <v>2500</v>
      </c>
      <c r="J353" s="375">
        <v>3500</v>
      </c>
      <c r="K353" s="375">
        <v>144</v>
      </c>
      <c r="L353" s="375">
        <v>16230</v>
      </c>
      <c r="M353" s="375">
        <v>12581</v>
      </c>
      <c r="V353" s="375" t="s">
        <v>596</v>
      </c>
    </row>
    <row r="354" spans="1:22" hidden="1" x14ac:dyDescent="0.25">
      <c r="A354" s="377">
        <v>44729</v>
      </c>
      <c r="B354" s="375">
        <v>429217</v>
      </c>
      <c r="C354" s="375">
        <v>257530</v>
      </c>
      <c r="D354" s="375">
        <v>103</v>
      </c>
      <c r="E354" s="375">
        <v>172</v>
      </c>
      <c r="F354" s="375">
        <v>0.4</v>
      </c>
      <c r="G354" s="375">
        <v>30000</v>
      </c>
      <c r="H354" s="376">
        <v>4.9999999999999992E-3</v>
      </c>
      <c r="I354" s="375">
        <v>2500</v>
      </c>
      <c r="J354" s="375">
        <v>3500</v>
      </c>
      <c r="K354" s="375">
        <v>123</v>
      </c>
      <c r="L354" s="375">
        <v>12143</v>
      </c>
      <c r="M354" s="375">
        <v>12384</v>
      </c>
      <c r="V354" s="375" t="s">
        <v>596</v>
      </c>
    </row>
    <row r="355" spans="1:22" hidden="1" x14ac:dyDescent="0.25">
      <c r="A355" s="377">
        <v>44730</v>
      </c>
      <c r="B355" s="375">
        <v>404247</v>
      </c>
      <c r="C355" s="375">
        <v>242548</v>
      </c>
      <c r="D355" s="375">
        <v>97</v>
      </c>
      <c r="E355" s="375">
        <v>162</v>
      </c>
      <c r="F355" s="375">
        <v>0.4</v>
      </c>
      <c r="G355" s="375">
        <v>30000</v>
      </c>
      <c r="H355" s="376">
        <v>5.0000000000000001E-3</v>
      </c>
      <c r="I355" s="375">
        <v>2500</v>
      </c>
      <c r="J355" s="375">
        <v>3500</v>
      </c>
      <c r="K355" s="375">
        <v>115</v>
      </c>
      <c r="L355" s="375">
        <v>10716</v>
      </c>
      <c r="M355" s="375">
        <v>12384</v>
      </c>
      <c r="V355" s="375" t="s">
        <v>596</v>
      </c>
    </row>
    <row r="356" spans="1:22" hidden="1" x14ac:dyDescent="0.25">
      <c r="A356" s="377">
        <v>44731</v>
      </c>
      <c r="B356" s="375">
        <v>419278</v>
      </c>
      <c r="C356" s="375">
        <v>251567</v>
      </c>
      <c r="D356" s="375">
        <v>101</v>
      </c>
      <c r="E356" s="375">
        <v>168</v>
      </c>
      <c r="F356" s="375">
        <v>0.4</v>
      </c>
      <c r="G356" s="375">
        <v>30000</v>
      </c>
      <c r="H356" s="376">
        <v>5.0000000000000001E-3</v>
      </c>
      <c r="I356" s="375">
        <v>2500</v>
      </c>
      <c r="J356" s="375">
        <v>3500</v>
      </c>
      <c r="K356" s="375">
        <v>120</v>
      </c>
      <c r="L356" s="375">
        <v>11575</v>
      </c>
      <c r="M356" s="375">
        <v>12384</v>
      </c>
      <c r="V356" s="375" t="s">
        <v>596</v>
      </c>
    </row>
    <row r="357" spans="1:22" hidden="1" x14ac:dyDescent="0.25">
      <c r="A357" s="377">
        <v>44732</v>
      </c>
      <c r="B357" s="375">
        <v>449097</v>
      </c>
      <c r="C357" s="375">
        <v>269458</v>
      </c>
      <c r="D357" s="375">
        <v>108</v>
      </c>
      <c r="E357" s="375">
        <v>180</v>
      </c>
      <c r="F357" s="375">
        <v>0.4</v>
      </c>
      <c r="G357" s="375">
        <v>30000</v>
      </c>
      <c r="H357" s="376">
        <v>5.4999999999999997E-3</v>
      </c>
      <c r="I357" s="375">
        <v>2500</v>
      </c>
      <c r="J357" s="375">
        <v>3500</v>
      </c>
      <c r="K357" s="375">
        <v>128</v>
      </c>
      <c r="L357" s="375">
        <v>10527</v>
      </c>
      <c r="M357" s="375">
        <v>12803</v>
      </c>
      <c r="V357" s="375" t="s">
        <v>596</v>
      </c>
    </row>
    <row r="358" spans="1:22" hidden="1" x14ac:dyDescent="0.25">
      <c r="A358" s="377">
        <v>44733</v>
      </c>
      <c r="B358" s="375">
        <v>60000</v>
      </c>
      <c r="C358" s="375">
        <v>36000</v>
      </c>
      <c r="D358" s="375">
        <v>14</v>
      </c>
      <c r="E358" s="375">
        <v>24</v>
      </c>
      <c r="F358" s="375">
        <v>0.4</v>
      </c>
      <c r="G358" s="375">
        <v>10000</v>
      </c>
      <c r="H358" s="376">
        <v>2E-3</v>
      </c>
      <c r="I358" s="375">
        <v>2500</v>
      </c>
      <c r="J358" s="375">
        <v>3000</v>
      </c>
      <c r="K358" s="375">
        <v>20</v>
      </c>
      <c r="L358" s="375">
        <v>4609</v>
      </c>
      <c r="M358" s="375">
        <v>5391</v>
      </c>
      <c r="V358" s="375" t="s">
        <v>596</v>
      </c>
    </row>
    <row r="359" spans="1:22" hidden="1" x14ac:dyDescent="0.25">
      <c r="A359" s="377">
        <v>44734</v>
      </c>
      <c r="B359" s="375">
        <v>60000</v>
      </c>
      <c r="C359" s="375">
        <v>36000</v>
      </c>
      <c r="D359" s="375">
        <v>14</v>
      </c>
      <c r="E359" s="375">
        <v>24</v>
      </c>
      <c r="F359" s="375">
        <v>0.4</v>
      </c>
      <c r="G359" s="375">
        <v>10000</v>
      </c>
      <c r="H359" s="376">
        <v>2E-3</v>
      </c>
      <c r="I359" s="375">
        <v>2500</v>
      </c>
      <c r="J359" s="375">
        <v>3000</v>
      </c>
      <c r="K359" s="375">
        <v>20</v>
      </c>
      <c r="L359" s="375">
        <v>4609</v>
      </c>
      <c r="M359" s="375">
        <v>5391</v>
      </c>
      <c r="V359" s="375" t="s">
        <v>596</v>
      </c>
    </row>
    <row r="360" spans="1:22" hidden="1" x14ac:dyDescent="0.25">
      <c r="A360" s="377">
        <v>44735</v>
      </c>
      <c r="B360" s="375">
        <v>60000</v>
      </c>
      <c r="C360" s="375">
        <v>36000</v>
      </c>
      <c r="D360" s="375">
        <v>14</v>
      </c>
      <c r="E360" s="375">
        <v>24</v>
      </c>
      <c r="F360" s="375">
        <v>0.4</v>
      </c>
      <c r="G360" s="375">
        <v>10000</v>
      </c>
      <c r="H360" s="376">
        <v>2E-3</v>
      </c>
      <c r="I360" s="375">
        <v>2500</v>
      </c>
      <c r="J360" s="375">
        <v>3000</v>
      </c>
      <c r="K360" s="375">
        <v>20</v>
      </c>
      <c r="L360" s="375">
        <v>4609</v>
      </c>
      <c r="M360" s="375">
        <v>5391</v>
      </c>
      <c r="V360" s="375" t="s">
        <v>596</v>
      </c>
    </row>
    <row r="361" spans="1:22" hidden="1" x14ac:dyDescent="0.25">
      <c r="A361" s="377">
        <v>44736</v>
      </c>
      <c r="B361" s="375">
        <v>60000</v>
      </c>
      <c r="C361" s="375">
        <v>36000</v>
      </c>
      <c r="D361" s="375">
        <v>14</v>
      </c>
      <c r="E361" s="375">
        <v>24</v>
      </c>
      <c r="F361" s="375">
        <v>0.4</v>
      </c>
      <c r="G361" s="375">
        <v>10000</v>
      </c>
      <c r="H361" s="376">
        <v>2E-3</v>
      </c>
      <c r="I361" s="375">
        <v>2500</v>
      </c>
      <c r="J361" s="375">
        <v>3000</v>
      </c>
      <c r="K361" s="375">
        <v>20</v>
      </c>
      <c r="L361" s="375">
        <v>4609</v>
      </c>
      <c r="M361" s="375">
        <v>5391</v>
      </c>
      <c r="V361" s="375" t="s">
        <v>596</v>
      </c>
    </row>
    <row r="362" spans="1:22" hidden="1" x14ac:dyDescent="0.25">
      <c r="A362" s="377">
        <v>44737</v>
      </c>
      <c r="B362" s="375">
        <v>75000</v>
      </c>
      <c r="C362" s="375">
        <v>45000</v>
      </c>
      <c r="D362" s="375">
        <v>18</v>
      </c>
      <c r="E362" s="375">
        <v>30</v>
      </c>
      <c r="F362" s="375">
        <v>0.4</v>
      </c>
      <c r="G362" s="375">
        <v>10000</v>
      </c>
      <c r="H362" s="376">
        <v>2.5000000000000001E-3</v>
      </c>
      <c r="I362" s="375">
        <v>2500</v>
      </c>
      <c r="J362" s="375">
        <v>3000</v>
      </c>
      <c r="K362" s="375">
        <v>25</v>
      </c>
      <c r="L362" s="375">
        <v>4609</v>
      </c>
      <c r="M362" s="375">
        <v>5391</v>
      </c>
      <c r="V362" s="375" t="s">
        <v>596</v>
      </c>
    </row>
    <row r="363" spans="1:22" hidden="1" x14ac:dyDescent="0.25">
      <c r="A363" s="377">
        <v>44738</v>
      </c>
      <c r="B363" s="375">
        <v>75000</v>
      </c>
      <c r="C363" s="375">
        <v>45000</v>
      </c>
      <c r="D363" s="375">
        <v>18</v>
      </c>
      <c r="E363" s="375">
        <v>30</v>
      </c>
      <c r="F363" s="375">
        <v>0.4</v>
      </c>
      <c r="G363" s="375">
        <v>10000</v>
      </c>
      <c r="H363" s="376">
        <v>2.5000000000000001E-3</v>
      </c>
      <c r="I363" s="375">
        <v>2500</v>
      </c>
      <c r="J363" s="375">
        <v>3000</v>
      </c>
      <c r="K363" s="375">
        <v>25</v>
      </c>
      <c r="L363" s="375">
        <v>4609</v>
      </c>
      <c r="M363" s="375">
        <v>5391</v>
      </c>
      <c r="V363" s="375" t="s">
        <v>596</v>
      </c>
    </row>
    <row r="364" spans="1:22" hidden="1" x14ac:dyDescent="0.25">
      <c r="A364" s="377">
        <v>44739</v>
      </c>
      <c r="B364" s="375">
        <v>75000</v>
      </c>
      <c r="C364" s="375">
        <v>45000</v>
      </c>
      <c r="D364" s="375">
        <v>18</v>
      </c>
      <c r="E364" s="375">
        <v>30</v>
      </c>
      <c r="F364" s="375">
        <v>0.4</v>
      </c>
      <c r="G364" s="375">
        <v>10000</v>
      </c>
      <c r="H364" s="376">
        <v>2.5000000000000001E-3</v>
      </c>
      <c r="I364" s="375">
        <v>2500</v>
      </c>
      <c r="J364" s="375">
        <v>3000</v>
      </c>
      <c r="K364" s="375">
        <v>25</v>
      </c>
      <c r="L364" s="375">
        <v>4609</v>
      </c>
      <c r="M364" s="375">
        <v>5391</v>
      </c>
      <c r="V364" s="375" t="s">
        <v>596</v>
      </c>
    </row>
    <row r="365" spans="1:22" hidden="1" x14ac:dyDescent="0.25">
      <c r="A365" s="377">
        <v>44740</v>
      </c>
      <c r="B365" s="375">
        <v>75000</v>
      </c>
      <c r="C365" s="375">
        <v>45000</v>
      </c>
      <c r="D365" s="375">
        <v>18</v>
      </c>
      <c r="E365" s="375">
        <v>30</v>
      </c>
      <c r="F365" s="375">
        <v>0.4</v>
      </c>
      <c r="G365" s="375">
        <v>10000</v>
      </c>
      <c r="H365" s="376">
        <v>2.5000000000000001E-3</v>
      </c>
      <c r="I365" s="375">
        <v>2500</v>
      </c>
      <c r="J365" s="375">
        <v>3000</v>
      </c>
      <c r="K365" s="375">
        <v>25</v>
      </c>
      <c r="L365" s="375">
        <v>4609</v>
      </c>
      <c r="M365" s="375">
        <v>5391</v>
      </c>
      <c r="V365" s="375" t="s">
        <v>596</v>
      </c>
    </row>
    <row r="366" spans="1:22" hidden="1" x14ac:dyDescent="0.25">
      <c r="A366" s="377">
        <v>44741</v>
      </c>
      <c r="B366" s="375">
        <v>75000</v>
      </c>
      <c r="C366" s="375">
        <v>45000</v>
      </c>
      <c r="D366" s="375">
        <v>18</v>
      </c>
      <c r="E366" s="375">
        <v>30</v>
      </c>
      <c r="F366" s="375">
        <v>0.4</v>
      </c>
      <c r="G366" s="375">
        <v>10000</v>
      </c>
      <c r="H366" s="376">
        <v>2.5000000000000001E-3</v>
      </c>
      <c r="I366" s="375">
        <v>2500</v>
      </c>
      <c r="J366" s="375">
        <v>3000</v>
      </c>
      <c r="K366" s="375">
        <v>25</v>
      </c>
      <c r="L366" s="375">
        <v>4609</v>
      </c>
      <c r="M366" s="375">
        <v>5391</v>
      </c>
      <c r="V366" s="375" t="s">
        <v>596</v>
      </c>
    </row>
    <row r="367" spans="1:22" hidden="1" x14ac:dyDescent="0.25">
      <c r="A367" s="377">
        <v>44742</v>
      </c>
      <c r="B367" s="375">
        <v>79684</v>
      </c>
      <c r="C367" s="375">
        <v>47810</v>
      </c>
      <c r="D367" s="375">
        <v>19</v>
      </c>
      <c r="E367" s="375">
        <v>32</v>
      </c>
      <c r="F367" s="375">
        <v>0.4</v>
      </c>
      <c r="G367" s="375">
        <v>10000</v>
      </c>
      <c r="H367" s="376">
        <v>2.6561333333333333E-3</v>
      </c>
      <c r="I367" s="375">
        <v>2500</v>
      </c>
      <c r="J367" s="375">
        <v>3000</v>
      </c>
      <c r="K367" s="375">
        <v>27</v>
      </c>
      <c r="L367" s="375">
        <v>4609</v>
      </c>
      <c r="M367" s="375">
        <v>5391</v>
      </c>
      <c r="V367" s="375" t="s">
        <v>596</v>
      </c>
    </row>
    <row r="368" spans="1:22" hidden="1" x14ac:dyDescent="0.25">
      <c r="A368" s="377">
        <v>44743</v>
      </c>
      <c r="B368" s="375">
        <v>40000</v>
      </c>
      <c r="C368" s="375">
        <v>24000</v>
      </c>
      <c r="D368" s="375">
        <v>8</v>
      </c>
      <c r="E368" s="375">
        <v>13</v>
      </c>
      <c r="F368" s="375">
        <v>0.4</v>
      </c>
      <c r="G368" s="375">
        <v>12000</v>
      </c>
      <c r="H368" s="376">
        <v>9.5238095238095238E-4</v>
      </c>
      <c r="I368" s="375">
        <v>3000</v>
      </c>
      <c r="J368" s="375">
        <v>3500</v>
      </c>
      <c r="K368" s="375">
        <v>11</v>
      </c>
      <c r="L368" s="375">
        <v>6678</v>
      </c>
      <c r="M368" s="375">
        <v>5322</v>
      </c>
      <c r="V368" s="375" t="s">
        <v>596</v>
      </c>
    </row>
    <row r="369" spans="1:22" hidden="1" x14ac:dyDescent="0.25">
      <c r="A369" s="377">
        <v>44744</v>
      </c>
      <c r="B369" s="375">
        <v>80000</v>
      </c>
      <c r="C369" s="375">
        <v>48000</v>
      </c>
      <c r="D369" s="375">
        <v>16</v>
      </c>
      <c r="E369" s="375">
        <v>27</v>
      </c>
      <c r="F369" s="375">
        <v>0.4</v>
      </c>
      <c r="G369" s="375">
        <v>26000</v>
      </c>
      <c r="H369" s="376">
        <v>8.7912087912087912E-4</v>
      </c>
      <c r="I369" s="375">
        <v>3000</v>
      </c>
      <c r="J369" s="375">
        <v>3500</v>
      </c>
      <c r="K369" s="375">
        <v>23</v>
      </c>
      <c r="L369" s="375">
        <v>20358</v>
      </c>
      <c r="M369" s="375">
        <v>5642</v>
      </c>
      <c r="V369" s="375" t="s">
        <v>596</v>
      </c>
    </row>
    <row r="370" spans="1:22" hidden="1" x14ac:dyDescent="0.25">
      <c r="A370" s="377">
        <v>44745</v>
      </c>
      <c r="B370" s="375">
        <v>70000</v>
      </c>
      <c r="C370" s="375">
        <v>42000</v>
      </c>
      <c r="D370" s="375">
        <v>14</v>
      </c>
      <c r="E370" s="375">
        <v>23</v>
      </c>
      <c r="F370" s="375">
        <v>0.4</v>
      </c>
      <c r="G370" s="375">
        <v>26000</v>
      </c>
      <c r="H370" s="376">
        <v>7.6923076923076923E-4</v>
      </c>
      <c r="I370" s="375">
        <v>3000</v>
      </c>
      <c r="J370" s="375">
        <v>3500</v>
      </c>
      <c r="K370" s="375">
        <v>20</v>
      </c>
      <c r="L370" s="375">
        <v>20358</v>
      </c>
      <c r="M370" s="375">
        <v>5642</v>
      </c>
      <c r="V370" s="375" t="s">
        <v>596</v>
      </c>
    </row>
    <row r="371" spans="1:22" hidden="1" x14ac:dyDescent="0.25">
      <c r="A371" s="377">
        <v>44746</v>
      </c>
      <c r="B371" s="375">
        <v>80000</v>
      </c>
      <c r="C371" s="375">
        <v>48000</v>
      </c>
      <c r="D371" s="375">
        <v>16</v>
      </c>
      <c r="E371" s="375">
        <v>27</v>
      </c>
      <c r="F371" s="375">
        <v>0.4</v>
      </c>
      <c r="G371" s="375">
        <v>26000</v>
      </c>
      <c r="H371" s="376">
        <v>8.7912087912087912E-4</v>
      </c>
      <c r="I371" s="375">
        <v>3000</v>
      </c>
      <c r="J371" s="375">
        <v>3500</v>
      </c>
      <c r="K371" s="375">
        <v>23</v>
      </c>
      <c r="L371" s="375">
        <v>20358</v>
      </c>
      <c r="M371" s="375">
        <v>5642</v>
      </c>
      <c r="V371" s="375" t="s">
        <v>596</v>
      </c>
    </row>
    <row r="372" spans="1:22" hidden="1" x14ac:dyDescent="0.25">
      <c r="A372" s="377">
        <v>44747</v>
      </c>
      <c r="B372" s="375">
        <v>40000</v>
      </c>
      <c r="C372" s="375">
        <v>24000</v>
      </c>
      <c r="D372" s="375">
        <v>8</v>
      </c>
      <c r="E372" s="375">
        <v>13</v>
      </c>
      <c r="F372" s="375">
        <v>0.4</v>
      </c>
      <c r="G372" s="375">
        <v>12000</v>
      </c>
      <c r="H372" s="376">
        <v>9.5238095238095238E-4</v>
      </c>
      <c r="I372" s="375">
        <v>3000</v>
      </c>
      <c r="J372" s="375">
        <v>3500</v>
      </c>
      <c r="K372" s="375">
        <v>11</v>
      </c>
      <c r="L372" s="375">
        <v>7582</v>
      </c>
      <c r="M372" s="375">
        <v>4418</v>
      </c>
      <c r="V372" s="375" t="s">
        <v>596</v>
      </c>
    </row>
    <row r="373" spans="1:22" hidden="1" x14ac:dyDescent="0.25">
      <c r="A373" s="377">
        <v>44748</v>
      </c>
      <c r="B373" s="375">
        <v>40000</v>
      </c>
      <c r="C373" s="375">
        <v>24000</v>
      </c>
      <c r="D373" s="375">
        <v>8</v>
      </c>
      <c r="E373" s="375">
        <v>13</v>
      </c>
      <c r="F373" s="375">
        <v>0.4</v>
      </c>
      <c r="G373" s="375">
        <v>12000</v>
      </c>
      <c r="H373" s="376">
        <v>9.5238095238095238E-4</v>
      </c>
      <c r="I373" s="375">
        <v>3000</v>
      </c>
      <c r="J373" s="375">
        <v>3500</v>
      </c>
      <c r="K373" s="375">
        <v>11</v>
      </c>
      <c r="L373" s="375">
        <v>7582</v>
      </c>
      <c r="M373" s="375">
        <v>4418</v>
      </c>
      <c r="V373" s="375" t="s">
        <v>596</v>
      </c>
    </row>
    <row r="374" spans="1:22" hidden="1" x14ac:dyDescent="0.25">
      <c r="A374" s="377">
        <v>44749</v>
      </c>
      <c r="B374" s="375">
        <v>40000</v>
      </c>
      <c r="C374" s="375">
        <v>24000</v>
      </c>
      <c r="D374" s="375">
        <v>8</v>
      </c>
      <c r="E374" s="375">
        <v>13</v>
      </c>
      <c r="F374" s="375">
        <v>0.4</v>
      </c>
      <c r="G374" s="375">
        <v>12000</v>
      </c>
      <c r="H374" s="376">
        <v>9.5238095238095238E-4</v>
      </c>
      <c r="I374" s="375">
        <v>3000</v>
      </c>
      <c r="J374" s="375">
        <v>3500</v>
      </c>
      <c r="K374" s="375">
        <v>11</v>
      </c>
      <c r="L374" s="375">
        <v>7317</v>
      </c>
      <c r="M374" s="375">
        <v>4683</v>
      </c>
      <c r="V374" s="375" t="s">
        <v>596</v>
      </c>
    </row>
    <row r="375" spans="1:22" hidden="1" x14ac:dyDescent="0.25">
      <c r="A375" s="377">
        <v>44750</v>
      </c>
      <c r="B375" s="375">
        <v>40000</v>
      </c>
      <c r="C375" s="375">
        <v>24000</v>
      </c>
      <c r="D375" s="375">
        <v>8</v>
      </c>
      <c r="E375" s="375">
        <v>13</v>
      </c>
      <c r="F375" s="375">
        <v>0.4</v>
      </c>
      <c r="G375" s="375">
        <v>12000</v>
      </c>
      <c r="H375" s="376">
        <v>9.5238095238095238E-4</v>
      </c>
      <c r="I375" s="375">
        <v>3000</v>
      </c>
      <c r="J375" s="375">
        <v>3500</v>
      </c>
      <c r="K375" s="375">
        <v>11</v>
      </c>
      <c r="L375" s="375">
        <v>7317</v>
      </c>
      <c r="M375" s="375">
        <v>4683</v>
      </c>
      <c r="V375" s="375" t="s">
        <v>596</v>
      </c>
    </row>
    <row r="376" spans="1:22" hidden="1" x14ac:dyDescent="0.25">
      <c r="A376" s="377">
        <v>44751</v>
      </c>
      <c r="B376" s="375">
        <v>40000</v>
      </c>
      <c r="C376" s="375">
        <v>24000</v>
      </c>
      <c r="D376" s="375">
        <v>8</v>
      </c>
      <c r="E376" s="375">
        <v>13</v>
      </c>
      <c r="F376" s="375">
        <v>0.4</v>
      </c>
      <c r="G376" s="375">
        <v>12000</v>
      </c>
      <c r="H376" s="376">
        <v>9.5238095238095238E-4</v>
      </c>
      <c r="I376" s="375">
        <v>3000</v>
      </c>
      <c r="J376" s="375">
        <v>3500</v>
      </c>
      <c r="K376" s="375">
        <v>11</v>
      </c>
      <c r="L376" s="375">
        <v>7150</v>
      </c>
      <c r="M376" s="375">
        <v>4850</v>
      </c>
      <c r="V376" s="375" t="s">
        <v>596</v>
      </c>
    </row>
    <row r="377" spans="1:22" hidden="1" x14ac:dyDescent="0.25">
      <c r="A377" s="377">
        <v>44752</v>
      </c>
      <c r="B377" s="375">
        <v>40000</v>
      </c>
      <c r="C377" s="375">
        <v>24000</v>
      </c>
      <c r="D377" s="375">
        <v>8</v>
      </c>
      <c r="E377" s="375">
        <v>13</v>
      </c>
      <c r="F377" s="375">
        <v>0.4</v>
      </c>
      <c r="G377" s="375">
        <v>12000</v>
      </c>
      <c r="H377" s="376">
        <v>9.5238095238095238E-4</v>
      </c>
      <c r="I377" s="375">
        <v>3000</v>
      </c>
      <c r="J377" s="375">
        <v>3500</v>
      </c>
      <c r="K377" s="375">
        <v>11</v>
      </c>
      <c r="L377" s="375">
        <v>6746</v>
      </c>
      <c r="M377" s="375">
        <v>5254</v>
      </c>
      <c r="V377" s="375" t="s">
        <v>596</v>
      </c>
    </row>
    <row r="378" spans="1:22" hidden="1" x14ac:dyDescent="0.25">
      <c r="A378" s="377">
        <v>44753</v>
      </c>
      <c r="B378" s="375">
        <v>40000</v>
      </c>
      <c r="C378" s="375">
        <v>24000</v>
      </c>
      <c r="D378" s="375">
        <v>8</v>
      </c>
      <c r="E378" s="375">
        <v>13</v>
      </c>
      <c r="F378" s="375">
        <v>0.4</v>
      </c>
      <c r="G378" s="375">
        <v>12000</v>
      </c>
      <c r="H378" s="376">
        <v>9.5238095238095238E-4</v>
      </c>
      <c r="I378" s="375">
        <v>3000</v>
      </c>
      <c r="J378" s="375">
        <v>3500</v>
      </c>
      <c r="K378" s="375">
        <v>11</v>
      </c>
      <c r="L378" s="375">
        <v>6252</v>
      </c>
      <c r="M378" s="375">
        <v>5748</v>
      </c>
      <c r="V378" s="375" t="s">
        <v>596</v>
      </c>
    </row>
    <row r="379" spans="1:22" hidden="1" x14ac:dyDescent="0.25">
      <c r="A379" s="377">
        <v>44754</v>
      </c>
      <c r="B379" s="375">
        <v>30000</v>
      </c>
      <c r="C379" s="375">
        <v>18000</v>
      </c>
      <c r="D379" s="375">
        <v>6</v>
      </c>
      <c r="E379" s="375">
        <v>10</v>
      </c>
      <c r="F379" s="375">
        <v>0.4</v>
      </c>
      <c r="G379" s="375">
        <v>17000</v>
      </c>
      <c r="H379" s="376">
        <v>5.0420168067226889E-4</v>
      </c>
      <c r="I379" s="375">
        <v>3000</v>
      </c>
      <c r="J379" s="375">
        <v>3500</v>
      </c>
      <c r="K379" s="375">
        <v>9</v>
      </c>
      <c r="L379" s="375">
        <v>11358</v>
      </c>
      <c r="M379" s="375">
        <v>5642</v>
      </c>
      <c r="V379" s="375" t="s">
        <v>596</v>
      </c>
    </row>
    <row r="380" spans="1:22" hidden="1" x14ac:dyDescent="0.25">
      <c r="A380" s="377">
        <v>44755</v>
      </c>
      <c r="B380" s="375">
        <v>30000</v>
      </c>
      <c r="C380" s="375">
        <v>18000</v>
      </c>
      <c r="D380" s="375">
        <v>6</v>
      </c>
      <c r="E380" s="375">
        <v>10</v>
      </c>
      <c r="F380" s="375">
        <v>0.4</v>
      </c>
      <c r="G380" s="375">
        <v>17000</v>
      </c>
      <c r="H380" s="376">
        <v>5.0420168067226889E-4</v>
      </c>
      <c r="I380" s="375">
        <v>3000</v>
      </c>
      <c r="J380" s="375">
        <v>3500</v>
      </c>
      <c r="K380" s="375">
        <v>9</v>
      </c>
      <c r="L380" s="375">
        <v>11358</v>
      </c>
      <c r="M380" s="375">
        <v>5642</v>
      </c>
      <c r="V380" s="375" t="s">
        <v>596</v>
      </c>
    </row>
    <row r="381" spans="1:22" hidden="1" x14ac:dyDescent="0.25">
      <c r="A381" s="377">
        <v>44756</v>
      </c>
      <c r="B381" s="375">
        <v>30000</v>
      </c>
      <c r="C381" s="375">
        <v>18000</v>
      </c>
      <c r="D381" s="375">
        <v>6</v>
      </c>
      <c r="E381" s="375">
        <v>10</v>
      </c>
      <c r="F381" s="375">
        <v>0.4</v>
      </c>
      <c r="G381" s="375">
        <v>17000</v>
      </c>
      <c r="H381" s="376">
        <v>5.0420168067226889E-4</v>
      </c>
      <c r="I381" s="375">
        <v>3000</v>
      </c>
      <c r="J381" s="375">
        <v>3500</v>
      </c>
      <c r="K381" s="375">
        <v>9</v>
      </c>
      <c r="L381" s="375">
        <v>11358</v>
      </c>
      <c r="M381" s="375">
        <v>5642</v>
      </c>
      <c r="V381" s="375" t="s">
        <v>596</v>
      </c>
    </row>
    <row r="382" spans="1:22" hidden="1" x14ac:dyDescent="0.25">
      <c r="A382" s="377">
        <v>44757</v>
      </c>
      <c r="B382" s="375">
        <v>100000</v>
      </c>
      <c r="C382" s="375">
        <v>60000</v>
      </c>
      <c r="D382" s="375">
        <v>20</v>
      </c>
      <c r="E382" s="375">
        <v>33</v>
      </c>
      <c r="F382" s="375">
        <v>0.4</v>
      </c>
      <c r="G382" s="375">
        <v>26000</v>
      </c>
      <c r="H382" s="376">
        <v>1.0989010989010989E-3</v>
      </c>
      <c r="I382" s="375">
        <v>3000</v>
      </c>
      <c r="J382" s="375">
        <v>3500</v>
      </c>
      <c r="K382" s="375">
        <v>29</v>
      </c>
      <c r="L382" s="375">
        <v>20358</v>
      </c>
      <c r="M382" s="375">
        <v>5642</v>
      </c>
      <c r="V382" s="375" t="s">
        <v>596</v>
      </c>
    </row>
    <row r="383" spans="1:22" hidden="1" x14ac:dyDescent="0.25">
      <c r="A383" s="377">
        <v>44758</v>
      </c>
      <c r="B383" s="375">
        <v>100000</v>
      </c>
      <c r="C383" s="375">
        <v>60000</v>
      </c>
      <c r="D383" s="375">
        <v>20</v>
      </c>
      <c r="E383" s="375">
        <v>33</v>
      </c>
      <c r="F383" s="375">
        <v>0.4</v>
      </c>
      <c r="G383" s="375">
        <v>26000</v>
      </c>
      <c r="H383" s="376">
        <v>1.0989010989010989E-3</v>
      </c>
      <c r="I383" s="375">
        <v>3000</v>
      </c>
      <c r="J383" s="375">
        <v>3500</v>
      </c>
      <c r="K383" s="375">
        <v>29</v>
      </c>
      <c r="L383" s="375">
        <v>20358</v>
      </c>
      <c r="M383" s="375">
        <v>5642</v>
      </c>
      <c r="V383" s="375" t="s">
        <v>596</v>
      </c>
    </row>
    <row r="384" spans="1:22" hidden="1" x14ac:dyDescent="0.25">
      <c r="A384" s="377">
        <v>44759</v>
      </c>
      <c r="B384" s="375">
        <v>40000</v>
      </c>
      <c r="C384" s="375">
        <v>24000</v>
      </c>
      <c r="D384" s="375">
        <v>8</v>
      </c>
      <c r="E384" s="375">
        <v>13</v>
      </c>
      <c r="F384" s="375">
        <v>0.4</v>
      </c>
      <c r="G384" s="375">
        <v>12000</v>
      </c>
      <c r="H384" s="376">
        <v>9.5238095238095238E-4</v>
      </c>
      <c r="I384" s="375">
        <v>3000</v>
      </c>
      <c r="J384" s="375">
        <v>3500</v>
      </c>
      <c r="K384" s="375">
        <v>11</v>
      </c>
      <c r="L384" s="375">
        <v>7017</v>
      </c>
      <c r="M384" s="375">
        <v>4983</v>
      </c>
      <c r="V384" s="375" t="s">
        <v>596</v>
      </c>
    </row>
    <row r="385" spans="1:22" hidden="1" x14ac:dyDescent="0.25">
      <c r="A385" s="377">
        <v>44760</v>
      </c>
      <c r="B385" s="375">
        <v>40000</v>
      </c>
      <c r="C385" s="375">
        <v>24000</v>
      </c>
      <c r="D385" s="375">
        <v>8</v>
      </c>
      <c r="E385" s="375">
        <v>13</v>
      </c>
      <c r="F385" s="375">
        <v>0.4</v>
      </c>
      <c r="G385" s="375">
        <v>12000</v>
      </c>
      <c r="H385" s="376">
        <v>9.5238095238095238E-4</v>
      </c>
      <c r="I385" s="375">
        <v>3000</v>
      </c>
      <c r="J385" s="375">
        <v>3500</v>
      </c>
      <c r="K385" s="375">
        <v>11</v>
      </c>
      <c r="L385" s="375">
        <v>6746</v>
      </c>
      <c r="M385" s="375">
        <v>5254</v>
      </c>
      <c r="V385" s="375" t="s">
        <v>596</v>
      </c>
    </row>
    <row r="386" spans="1:22" hidden="1" x14ac:dyDescent="0.25">
      <c r="A386" s="377">
        <v>44761</v>
      </c>
      <c r="B386" s="375">
        <v>40000</v>
      </c>
      <c r="C386" s="375">
        <v>24000</v>
      </c>
      <c r="D386" s="375">
        <v>8</v>
      </c>
      <c r="E386" s="375">
        <v>13</v>
      </c>
      <c r="F386" s="375">
        <v>0.4</v>
      </c>
      <c r="G386" s="375">
        <v>12000</v>
      </c>
      <c r="H386" s="376">
        <v>9.5238095238095238E-4</v>
      </c>
      <c r="I386" s="375">
        <v>3000</v>
      </c>
      <c r="J386" s="375">
        <v>3500</v>
      </c>
      <c r="K386" s="375">
        <v>11</v>
      </c>
      <c r="L386" s="375">
        <v>6541</v>
      </c>
      <c r="M386" s="375">
        <v>5459</v>
      </c>
      <c r="V386" s="375" t="s">
        <v>596</v>
      </c>
    </row>
    <row r="387" spans="1:22" hidden="1" x14ac:dyDescent="0.25">
      <c r="A387" s="377">
        <v>44762</v>
      </c>
      <c r="B387" s="375">
        <v>40000</v>
      </c>
      <c r="C387" s="375">
        <v>24000</v>
      </c>
      <c r="D387" s="375">
        <v>8</v>
      </c>
      <c r="E387" s="375">
        <v>13</v>
      </c>
      <c r="F387" s="375">
        <v>0.4</v>
      </c>
      <c r="G387" s="375">
        <v>12000</v>
      </c>
      <c r="H387" s="376">
        <v>9.5238095238095238E-4</v>
      </c>
      <c r="I387" s="375">
        <v>3000</v>
      </c>
      <c r="J387" s="375">
        <v>3500</v>
      </c>
      <c r="K387" s="375">
        <v>11</v>
      </c>
      <c r="L387" s="375">
        <v>6358</v>
      </c>
      <c r="M387" s="375">
        <v>5642</v>
      </c>
      <c r="V387" s="375" t="s">
        <v>596</v>
      </c>
    </row>
    <row r="388" spans="1:22" hidden="1" x14ac:dyDescent="0.25">
      <c r="A388" s="377">
        <v>44763</v>
      </c>
      <c r="B388" s="375">
        <v>40000</v>
      </c>
      <c r="C388" s="375">
        <v>24000</v>
      </c>
      <c r="D388" s="375">
        <v>8</v>
      </c>
      <c r="E388" s="375">
        <v>13</v>
      </c>
      <c r="F388" s="375">
        <v>0.4</v>
      </c>
      <c r="G388" s="375">
        <v>12000</v>
      </c>
      <c r="H388" s="376">
        <v>9.5238095238095238E-4</v>
      </c>
      <c r="I388" s="375">
        <v>3000</v>
      </c>
      <c r="J388" s="375">
        <v>3500</v>
      </c>
      <c r="K388" s="375">
        <v>11</v>
      </c>
      <c r="L388" s="375">
        <v>6135</v>
      </c>
      <c r="M388" s="375">
        <v>5865</v>
      </c>
      <c r="V388" s="375" t="s">
        <v>596</v>
      </c>
    </row>
    <row r="389" spans="1:22" hidden="1" x14ac:dyDescent="0.25">
      <c r="A389" s="377">
        <v>44764</v>
      </c>
      <c r="B389" s="375">
        <v>40000</v>
      </c>
      <c r="C389" s="375">
        <v>24000</v>
      </c>
      <c r="D389" s="375">
        <v>8</v>
      </c>
      <c r="E389" s="375">
        <v>13</v>
      </c>
      <c r="F389" s="375">
        <v>0.4</v>
      </c>
      <c r="G389" s="375">
        <v>12000</v>
      </c>
      <c r="H389" s="376">
        <v>9.5238095238095238E-4</v>
      </c>
      <c r="I389" s="375">
        <v>3000</v>
      </c>
      <c r="J389" s="375">
        <v>3500</v>
      </c>
      <c r="K389" s="375">
        <v>11</v>
      </c>
      <c r="L389" s="375">
        <v>5999</v>
      </c>
      <c r="M389" s="375">
        <v>6001</v>
      </c>
      <c r="V389" s="375" t="s">
        <v>596</v>
      </c>
    </row>
    <row r="390" spans="1:22" hidden="1" x14ac:dyDescent="0.25">
      <c r="A390" s="377">
        <v>44765</v>
      </c>
      <c r="B390" s="375">
        <v>40000</v>
      </c>
      <c r="C390" s="375">
        <v>24000</v>
      </c>
      <c r="D390" s="375">
        <v>8</v>
      </c>
      <c r="E390" s="375">
        <v>13</v>
      </c>
      <c r="F390" s="375">
        <v>0.4</v>
      </c>
      <c r="G390" s="375">
        <v>12000</v>
      </c>
      <c r="H390" s="376">
        <v>9.5238095238095238E-4</v>
      </c>
      <c r="I390" s="375">
        <v>3000</v>
      </c>
      <c r="J390" s="375">
        <v>3500</v>
      </c>
      <c r="K390" s="375">
        <v>11</v>
      </c>
      <c r="L390" s="375">
        <v>5629</v>
      </c>
      <c r="M390" s="375">
        <v>6371</v>
      </c>
      <c r="V390" s="375" t="s">
        <v>596</v>
      </c>
    </row>
    <row r="391" spans="1:22" hidden="1" x14ac:dyDescent="0.25">
      <c r="A391" s="377">
        <v>44766</v>
      </c>
      <c r="B391" s="375">
        <v>40000</v>
      </c>
      <c r="C391" s="375">
        <v>24000</v>
      </c>
      <c r="D391" s="375">
        <v>8</v>
      </c>
      <c r="E391" s="375">
        <v>13</v>
      </c>
      <c r="F391" s="375">
        <v>0.4</v>
      </c>
      <c r="G391" s="375">
        <v>12000</v>
      </c>
      <c r="H391" s="376">
        <v>9.5238095238095238E-4</v>
      </c>
      <c r="I391" s="375">
        <v>3000</v>
      </c>
      <c r="J391" s="375">
        <v>3500</v>
      </c>
      <c r="K391" s="375">
        <v>11</v>
      </c>
      <c r="L391" s="375">
        <v>5629</v>
      </c>
      <c r="M391" s="375">
        <v>6371</v>
      </c>
      <c r="V391" s="375" t="s">
        <v>596</v>
      </c>
    </row>
    <row r="392" spans="1:22" hidden="1" x14ac:dyDescent="0.25">
      <c r="A392" s="377">
        <v>44767</v>
      </c>
      <c r="B392" s="375">
        <v>40000</v>
      </c>
      <c r="C392" s="375">
        <v>24000</v>
      </c>
      <c r="D392" s="375">
        <v>8</v>
      </c>
      <c r="E392" s="375">
        <v>13</v>
      </c>
      <c r="F392" s="375">
        <v>0.4</v>
      </c>
      <c r="G392" s="375">
        <v>12000</v>
      </c>
      <c r="H392" s="376">
        <v>9.5238095238095238E-4</v>
      </c>
      <c r="I392" s="375">
        <v>3000</v>
      </c>
      <c r="J392" s="375">
        <v>3500</v>
      </c>
      <c r="K392" s="375">
        <v>11</v>
      </c>
      <c r="L392" s="375">
        <v>5517</v>
      </c>
      <c r="M392" s="375">
        <v>6483</v>
      </c>
      <c r="V392" s="375" t="s">
        <v>596</v>
      </c>
    </row>
    <row r="393" spans="1:22" hidden="1" x14ac:dyDescent="0.25">
      <c r="A393" s="377">
        <v>44768</v>
      </c>
      <c r="B393" s="375">
        <v>40812</v>
      </c>
      <c r="C393" s="375">
        <v>24487</v>
      </c>
      <c r="D393" s="375">
        <v>8</v>
      </c>
      <c r="E393" s="375">
        <v>14</v>
      </c>
      <c r="F393" s="375">
        <v>0.4</v>
      </c>
      <c r="G393" s="375">
        <v>12000</v>
      </c>
      <c r="H393" s="376">
        <v>9.7171428571428571E-4</v>
      </c>
      <c r="I393" s="375">
        <v>3000</v>
      </c>
      <c r="J393" s="375">
        <v>3500</v>
      </c>
      <c r="K393" s="375">
        <v>12</v>
      </c>
      <c r="L393" s="375">
        <v>5517</v>
      </c>
      <c r="M393" s="375">
        <v>6483</v>
      </c>
      <c r="V393" s="375" t="s">
        <v>596</v>
      </c>
    </row>
    <row r="394" spans="1:22" hidden="1" x14ac:dyDescent="0.25">
      <c r="A394" s="377">
        <v>44769</v>
      </c>
      <c r="B394" s="375">
        <v>30000</v>
      </c>
      <c r="C394" s="375">
        <v>18000</v>
      </c>
      <c r="D394" s="375">
        <v>6</v>
      </c>
      <c r="E394" s="375">
        <v>10</v>
      </c>
      <c r="F394" s="375">
        <v>0.4</v>
      </c>
      <c r="G394" s="375">
        <v>17000</v>
      </c>
      <c r="H394" s="376">
        <v>5.0420168067226889E-4</v>
      </c>
      <c r="I394" s="375">
        <v>3000</v>
      </c>
      <c r="J394" s="375">
        <v>3500</v>
      </c>
      <c r="K394" s="375">
        <v>9</v>
      </c>
      <c r="L394" s="375">
        <v>10407</v>
      </c>
      <c r="M394" s="375">
        <v>6593</v>
      </c>
      <c r="V394" s="375" t="s">
        <v>596</v>
      </c>
    </row>
    <row r="395" spans="1:22" hidden="1" x14ac:dyDescent="0.25">
      <c r="A395" s="377">
        <v>44770</v>
      </c>
      <c r="B395" s="375">
        <v>30000</v>
      </c>
      <c r="C395" s="375">
        <v>18000</v>
      </c>
      <c r="D395" s="375">
        <v>6</v>
      </c>
      <c r="E395" s="375">
        <v>10</v>
      </c>
      <c r="F395" s="375">
        <v>0.4</v>
      </c>
      <c r="G395" s="375">
        <v>17000</v>
      </c>
      <c r="H395" s="376">
        <v>5.0420168067226889E-4</v>
      </c>
      <c r="I395" s="375">
        <v>3000</v>
      </c>
      <c r="J395" s="375">
        <v>3500</v>
      </c>
      <c r="K395" s="375">
        <v>9</v>
      </c>
      <c r="L395" s="375">
        <v>10275</v>
      </c>
      <c r="M395" s="375">
        <v>6725</v>
      </c>
      <c r="V395" s="375" t="s">
        <v>596</v>
      </c>
    </row>
    <row r="396" spans="1:22" hidden="1" x14ac:dyDescent="0.25">
      <c r="A396" s="377">
        <v>44771</v>
      </c>
      <c r="B396" s="375">
        <v>30000</v>
      </c>
      <c r="C396" s="375">
        <v>18000</v>
      </c>
      <c r="D396" s="375">
        <v>6</v>
      </c>
      <c r="E396" s="375">
        <v>10</v>
      </c>
      <c r="F396" s="375">
        <v>0.4</v>
      </c>
      <c r="G396" s="375">
        <v>17000</v>
      </c>
      <c r="H396" s="376">
        <v>5.0420168067226889E-4</v>
      </c>
      <c r="I396" s="375">
        <v>3000</v>
      </c>
      <c r="J396" s="375">
        <v>3500</v>
      </c>
      <c r="K396" s="375">
        <v>9</v>
      </c>
      <c r="L396" s="375">
        <v>10188</v>
      </c>
      <c r="M396" s="375">
        <v>6812</v>
      </c>
      <c r="V396" s="375" t="s">
        <v>596</v>
      </c>
    </row>
    <row r="397" spans="1:22" hidden="1" x14ac:dyDescent="0.25">
      <c r="A397" s="377">
        <v>44772</v>
      </c>
      <c r="B397" s="375">
        <v>100000</v>
      </c>
      <c r="C397" s="375">
        <v>60000</v>
      </c>
      <c r="D397" s="375">
        <v>20</v>
      </c>
      <c r="E397" s="375">
        <v>33</v>
      </c>
      <c r="F397" s="375">
        <v>0.4</v>
      </c>
      <c r="G397" s="375">
        <v>26000</v>
      </c>
      <c r="H397" s="376">
        <v>1.0989010989010989E-3</v>
      </c>
      <c r="I397" s="375">
        <v>3000</v>
      </c>
      <c r="J397" s="375">
        <v>3500</v>
      </c>
      <c r="K397" s="375">
        <v>29</v>
      </c>
      <c r="L397" s="375">
        <v>19304</v>
      </c>
      <c r="M397" s="375">
        <v>6696</v>
      </c>
      <c r="V397" s="375" t="s">
        <v>596</v>
      </c>
    </row>
    <row r="398" spans="1:22" hidden="1" x14ac:dyDescent="0.25">
      <c r="A398" s="377">
        <v>44773</v>
      </c>
      <c r="B398" s="375">
        <v>100000</v>
      </c>
      <c r="C398" s="375">
        <v>60000</v>
      </c>
      <c r="D398" s="375">
        <v>20</v>
      </c>
      <c r="E398" s="375">
        <v>33</v>
      </c>
      <c r="F398" s="375">
        <v>0.4</v>
      </c>
      <c r="G398" s="375">
        <v>26000</v>
      </c>
      <c r="H398" s="376">
        <v>1.0989010989010989E-3</v>
      </c>
      <c r="I398" s="375">
        <v>3000</v>
      </c>
      <c r="J398" s="375">
        <v>3500</v>
      </c>
      <c r="K398" s="375">
        <v>29</v>
      </c>
      <c r="L398" s="375">
        <v>19304</v>
      </c>
      <c r="M398" s="375">
        <v>6696</v>
      </c>
      <c r="V398" s="375" t="s">
        <v>596</v>
      </c>
    </row>
    <row r="399" spans="1:22" hidden="1" x14ac:dyDescent="0.25">
      <c r="A399" s="377">
        <v>44774</v>
      </c>
      <c r="B399" s="375">
        <v>84632</v>
      </c>
      <c r="C399" s="375">
        <v>50779</v>
      </c>
      <c r="D399" s="375">
        <v>13</v>
      </c>
      <c r="E399" s="375">
        <v>21</v>
      </c>
      <c r="F399" s="375">
        <v>0.4</v>
      </c>
      <c r="G399" s="375">
        <v>11663</v>
      </c>
      <c r="H399" s="376">
        <v>1.9720483580553888E-3</v>
      </c>
      <c r="I399" s="375">
        <v>4000</v>
      </c>
      <c r="J399" s="375">
        <v>3680</v>
      </c>
      <c r="K399" s="375">
        <v>23</v>
      </c>
      <c r="L399" s="375">
        <v>4124</v>
      </c>
      <c r="M399" s="375">
        <v>7539</v>
      </c>
      <c r="V399" s="375" t="s">
        <v>596</v>
      </c>
    </row>
    <row r="400" spans="1:22" hidden="1" x14ac:dyDescent="0.25">
      <c r="A400" s="377">
        <v>44775</v>
      </c>
      <c r="B400" s="375">
        <v>78356</v>
      </c>
      <c r="C400" s="375">
        <v>47014</v>
      </c>
      <c r="D400" s="375">
        <v>12</v>
      </c>
      <c r="E400" s="375">
        <v>20</v>
      </c>
      <c r="F400" s="375">
        <v>0.4</v>
      </c>
      <c r="G400" s="375">
        <v>10039</v>
      </c>
      <c r="H400" s="376">
        <v>2.1914533320051797E-3</v>
      </c>
      <c r="I400" s="375">
        <v>4000</v>
      </c>
      <c r="J400" s="375">
        <v>3562</v>
      </c>
      <c r="K400" s="375">
        <v>22</v>
      </c>
      <c r="L400" s="375">
        <v>2500</v>
      </c>
      <c r="M400" s="375">
        <v>7539</v>
      </c>
      <c r="V400" s="375" t="s">
        <v>596</v>
      </c>
    </row>
    <row r="401" spans="1:22" hidden="1" x14ac:dyDescent="0.25">
      <c r="A401" s="377">
        <v>44776</v>
      </c>
      <c r="B401" s="375">
        <v>67189</v>
      </c>
      <c r="C401" s="375">
        <v>40313</v>
      </c>
      <c r="D401" s="375">
        <v>10</v>
      </c>
      <c r="E401" s="375">
        <v>17</v>
      </c>
      <c r="F401" s="375">
        <v>0.4</v>
      </c>
      <c r="G401" s="375">
        <v>10162</v>
      </c>
      <c r="H401" s="376">
        <v>1.672899035622909E-3</v>
      </c>
      <c r="I401" s="375">
        <v>4000</v>
      </c>
      <c r="J401" s="375">
        <v>3952</v>
      </c>
      <c r="K401" s="375">
        <v>17</v>
      </c>
      <c r="L401" s="375">
        <v>2623</v>
      </c>
      <c r="M401" s="375">
        <v>7539</v>
      </c>
      <c r="V401" s="375" t="s">
        <v>596</v>
      </c>
    </row>
    <row r="402" spans="1:22" hidden="1" x14ac:dyDescent="0.25">
      <c r="A402" s="377">
        <v>44777</v>
      </c>
      <c r="B402" s="375">
        <v>39019</v>
      </c>
      <c r="C402" s="375">
        <v>23411</v>
      </c>
      <c r="D402" s="375">
        <v>6</v>
      </c>
      <c r="E402" s="375">
        <v>10</v>
      </c>
      <c r="F402" s="375">
        <v>0.4</v>
      </c>
      <c r="G402" s="375">
        <v>10323</v>
      </c>
      <c r="H402" s="376">
        <v>1.3561949045820013E-3</v>
      </c>
      <c r="I402" s="375">
        <v>4000</v>
      </c>
      <c r="J402" s="375">
        <v>2787</v>
      </c>
      <c r="K402" s="375">
        <v>14</v>
      </c>
      <c r="L402" s="375">
        <v>2850</v>
      </c>
      <c r="M402" s="375">
        <v>7473</v>
      </c>
      <c r="V402" s="375" t="s">
        <v>596</v>
      </c>
    </row>
    <row r="403" spans="1:22" hidden="1" x14ac:dyDescent="0.25">
      <c r="A403" s="377">
        <v>44778</v>
      </c>
      <c r="B403" s="375">
        <v>38262</v>
      </c>
      <c r="C403" s="375">
        <v>22957</v>
      </c>
      <c r="D403" s="375">
        <v>6</v>
      </c>
      <c r="E403" s="375">
        <v>10</v>
      </c>
      <c r="F403" s="375">
        <v>0.4</v>
      </c>
      <c r="G403" s="375">
        <v>8819</v>
      </c>
      <c r="H403" s="376">
        <v>1.3606984918925048E-3</v>
      </c>
      <c r="I403" s="375">
        <v>4000</v>
      </c>
      <c r="J403" s="375">
        <v>3189</v>
      </c>
      <c r="K403" s="375">
        <v>12</v>
      </c>
      <c r="L403" s="375">
        <v>3653</v>
      </c>
      <c r="M403" s="375">
        <v>5166</v>
      </c>
      <c r="V403" s="375" t="s">
        <v>596</v>
      </c>
    </row>
    <row r="404" spans="1:22" hidden="1" x14ac:dyDescent="0.25">
      <c r="A404" s="377">
        <v>44779</v>
      </c>
      <c r="B404" s="375">
        <v>42155</v>
      </c>
      <c r="C404" s="375">
        <v>25293</v>
      </c>
      <c r="D404" s="375">
        <v>6</v>
      </c>
      <c r="E404" s="375">
        <v>11</v>
      </c>
      <c r="F404" s="375">
        <v>0.4</v>
      </c>
      <c r="G404" s="375">
        <v>8034</v>
      </c>
      <c r="H404" s="376">
        <v>1.2447099825740602E-3</v>
      </c>
      <c r="I404" s="375">
        <v>4000</v>
      </c>
      <c r="J404" s="375">
        <v>4216</v>
      </c>
      <c r="K404" s="375">
        <v>10</v>
      </c>
      <c r="L404" s="375">
        <v>2868</v>
      </c>
      <c r="M404" s="375">
        <v>5166</v>
      </c>
      <c r="V404" s="375" t="s">
        <v>596</v>
      </c>
    </row>
    <row r="405" spans="1:22" hidden="1" x14ac:dyDescent="0.25">
      <c r="A405" s="377">
        <v>44780</v>
      </c>
      <c r="B405" s="375">
        <v>31235</v>
      </c>
      <c r="C405" s="375">
        <v>18741</v>
      </c>
      <c r="D405" s="375">
        <v>5</v>
      </c>
      <c r="E405" s="375">
        <v>8</v>
      </c>
      <c r="F405" s="375">
        <v>0.4</v>
      </c>
      <c r="G405" s="375">
        <v>8439</v>
      </c>
      <c r="H405" s="376">
        <v>7.1098471382865266E-4</v>
      </c>
      <c r="I405" s="375">
        <v>4000</v>
      </c>
      <c r="J405" s="375">
        <v>5206</v>
      </c>
      <c r="K405" s="375">
        <v>6</v>
      </c>
      <c r="L405" s="375">
        <v>2848</v>
      </c>
      <c r="M405" s="375">
        <v>5591</v>
      </c>
      <c r="V405" s="375" t="s">
        <v>596</v>
      </c>
    </row>
    <row r="406" spans="1:22" hidden="1" x14ac:dyDescent="0.25">
      <c r="A406" s="377">
        <v>44781</v>
      </c>
      <c r="B406" s="375">
        <v>87891</v>
      </c>
      <c r="C406" s="375">
        <v>52735</v>
      </c>
      <c r="D406" s="375">
        <v>13</v>
      </c>
      <c r="E406" s="375">
        <v>22</v>
      </c>
      <c r="F406" s="375">
        <v>0.4</v>
      </c>
      <c r="G406" s="375">
        <v>7955</v>
      </c>
      <c r="H406" s="376">
        <v>2.2627278441231928E-3</v>
      </c>
      <c r="I406" s="375">
        <v>4000</v>
      </c>
      <c r="J406" s="375">
        <v>4883</v>
      </c>
      <c r="K406" s="375">
        <v>18</v>
      </c>
      <c r="L406" s="375">
        <v>2097</v>
      </c>
      <c r="M406" s="375">
        <v>5858</v>
      </c>
      <c r="V406" s="375" t="s">
        <v>596</v>
      </c>
    </row>
    <row r="407" spans="1:22" hidden="1" x14ac:dyDescent="0.25">
      <c r="A407" s="377">
        <v>44782</v>
      </c>
      <c r="B407" s="375">
        <v>130000</v>
      </c>
      <c r="C407" s="375">
        <v>78000</v>
      </c>
      <c r="D407" s="375">
        <v>20</v>
      </c>
      <c r="E407" s="375">
        <v>33</v>
      </c>
      <c r="F407" s="375">
        <v>0.4</v>
      </c>
      <c r="G407" s="375">
        <v>12000</v>
      </c>
      <c r="H407" s="376">
        <v>2.4074074074074076E-3</v>
      </c>
      <c r="I407" s="375">
        <v>4000</v>
      </c>
      <c r="J407" s="375">
        <v>4500</v>
      </c>
      <c r="K407" s="375">
        <v>29</v>
      </c>
      <c r="L407" s="375">
        <v>5642</v>
      </c>
      <c r="M407" s="375">
        <v>6358</v>
      </c>
      <c r="V407" s="375" t="s">
        <v>596</v>
      </c>
    </row>
    <row r="408" spans="1:22" hidden="1" x14ac:dyDescent="0.25">
      <c r="A408" s="377">
        <v>44783</v>
      </c>
      <c r="B408" s="375">
        <v>140000</v>
      </c>
      <c r="C408" s="375">
        <v>84000</v>
      </c>
      <c r="D408" s="375">
        <v>21</v>
      </c>
      <c r="E408" s="375">
        <v>35</v>
      </c>
      <c r="F408" s="375">
        <v>0.4</v>
      </c>
      <c r="G408" s="375">
        <v>13000</v>
      </c>
      <c r="H408" s="376">
        <v>2.3931623931623932E-3</v>
      </c>
      <c r="I408" s="375">
        <v>4000</v>
      </c>
      <c r="J408" s="375">
        <v>4500</v>
      </c>
      <c r="K408" s="375">
        <v>31</v>
      </c>
      <c r="L408" s="375">
        <v>7142</v>
      </c>
      <c r="M408" s="375">
        <v>5858</v>
      </c>
      <c r="V408" s="375" t="s">
        <v>596</v>
      </c>
    </row>
    <row r="409" spans="1:22" hidden="1" x14ac:dyDescent="0.25">
      <c r="A409" s="377">
        <v>44784</v>
      </c>
      <c r="B409" s="375">
        <v>140000</v>
      </c>
      <c r="C409" s="375">
        <v>84000</v>
      </c>
      <c r="D409" s="375">
        <v>21</v>
      </c>
      <c r="E409" s="375">
        <v>35</v>
      </c>
      <c r="F409" s="375">
        <v>0.4</v>
      </c>
      <c r="G409" s="375">
        <v>13000</v>
      </c>
      <c r="H409" s="376">
        <v>2.3931623931623932E-3</v>
      </c>
      <c r="I409" s="375">
        <v>4000</v>
      </c>
      <c r="J409" s="375">
        <v>4500</v>
      </c>
      <c r="K409" s="375">
        <v>31</v>
      </c>
      <c r="L409" s="375">
        <v>7142</v>
      </c>
      <c r="M409" s="375">
        <v>5858</v>
      </c>
      <c r="V409" s="375" t="s">
        <v>596</v>
      </c>
    </row>
    <row r="410" spans="1:22" hidden="1" x14ac:dyDescent="0.25">
      <c r="A410" s="377">
        <v>44785</v>
      </c>
      <c r="B410" s="375">
        <v>80000</v>
      </c>
      <c r="C410" s="375">
        <v>48000</v>
      </c>
      <c r="D410" s="375">
        <v>12</v>
      </c>
      <c r="E410" s="375">
        <v>20</v>
      </c>
      <c r="F410" s="375">
        <v>0.4</v>
      </c>
      <c r="G410" s="375">
        <v>11000</v>
      </c>
      <c r="H410" s="376">
        <v>1.6161616161616162E-3</v>
      </c>
      <c r="I410" s="375">
        <v>4000</v>
      </c>
      <c r="J410" s="375">
        <v>4500</v>
      </c>
      <c r="K410" s="375">
        <v>18</v>
      </c>
      <c r="L410" s="375">
        <v>6712</v>
      </c>
      <c r="M410" s="375">
        <v>4288</v>
      </c>
      <c r="V410" s="375" t="s">
        <v>596</v>
      </c>
    </row>
    <row r="411" spans="1:22" hidden="1" x14ac:dyDescent="0.25">
      <c r="A411" s="377">
        <v>44786</v>
      </c>
      <c r="B411" s="375">
        <v>80000</v>
      </c>
      <c r="C411" s="375">
        <v>48000</v>
      </c>
      <c r="D411" s="375">
        <v>12</v>
      </c>
      <c r="E411" s="375">
        <v>20</v>
      </c>
      <c r="F411" s="375">
        <v>0.4</v>
      </c>
      <c r="G411" s="375">
        <v>11000</v>
      </c>
      <c r="H411" s="376">
        <v>1.6161616161616162E-3</v>
      </c>
      <c r="I411" s="375">
        <v>4000</v>
      </c>
      <c r="J411" s="375">
        <v>4500</v>
      </c>
      <c r="K411" s="375">
        <v>18</v>
      </c>
      <c r="L411" s="375">
        <v>6712</v>
      </c>
      <c r="M411" s="375">
        <v>4288</v>
      </c>
      <c r="V411" s="375" t="s">
        <v>596</v>
      </c>
    </row>
    <row r="412" spans="1:22" hidden="1" x14ac:dyDescent="0.25">
      <c r="A412" s="377">
        <v>44787</v>
      </c>
      <c r="B412" s="375">
        <v>80000</v>
      </c>
      <c r="C412" s="375">
        <v>48000</v>
      </c>
      <c r="D412" s="375">
        <v>12</v>
      </c>
      <c r="E412" s="375">
        <v>20</v>
      </c>
      <c r="F412" s="375">
        <v>0.4</v>
      </c>
      <c r="G412" s="375">
        <v>11000</v>
      </c>
      <c r="H412" s="376">
        <v>1.6161616161616162E-3</v>
      </c>
      <c r="I412" s="375">
        <v>4000</v>
      </c>
      <c r="J412" s="375">
        <v>4500</v>
      </c>
      <c r="K412" s="375">
        <v>18</v>
      </c>
      <c r="L412" s="375">
        <v>6712</v>
      </c>
      <c r="M412" s="375">
        <v>4288</v>
      </c>
      <c r="V412" s="375" t="s">
        <v>596</v>
      </c>
    </row>
    <row r="413" spans="1:22" hidden="1" x14ac:dyDescent="0.25">
      <c r="A413" s="377">
        <v>44788</v>
      </c>
      <c r="B413" s="375">
        <v>80000</v>
      </c>
      <c r="C413" s="375">
        <v>48000</v>
      </c>
      <c r="D413" s="375">
        <v>12</v>
      </c>
      <c r="E413" s="375">
        <v>20</v>
      </c>
      <c r="F413" s="375">
        <v>0.4</v>
      </c>
      <c r="G413" s="375">
        <v>11000</v>
      </c>
      <c r="H413" s="376">
        <v>1.6161616161616162E-3</v>
      </c>
      <c r="I413" s="375">
        <v>4000</v>
      </c>
      <c r="J413" s="375">
        <v>4500</v>
      </c>
      <c r="K413" s="375">
        <v>18</v>
      </c>
      <c r="L413" s="375">
        <v>6712</v>
      </c>
      <c r="M413" s="375">
        <v>4288</v>
      </c>
      <c r="V413" s="375" t="s">
        <v>596</v>
      </c>
    </row>
    <row r="414" spans="1:22" hidden="1" x14ac:dyDescent="0.25">
      <c r="A414" s="377">
        <v>44789</v>
      </c>
      <c r="B414" s="375">
        <v>80000</v>
      </c>
      <c r="C414" s="375">
        <v>48000</v>
      </c>
      <c r="D414" s="375">
        <v>12</v>
      </c>
      <c r="E414" s="375">
        <v>20</v>
      </c>
      <c r="F414" s="375">
        <v>0.4</v>
      </c>
      <c r="G414" s="375">
        <v>11000</v>
      </c>
      <c r="H414" s="376">
        <v>1.6161616161616162E-3</v>
      </c>
      <c r="I414" s="375">
        <v>4000</v>
      </c>
      <c r="J414" s="375">
        <v>4500</v>
      </c>
      <c r="K414" s="375">
        <v>18</v>
      </c>
      <c r="L414" s="375">
        <v>6712</v>
      </c>
      <c r="M414" s="375">
        <v>4288</v>
      </c>
      <c r="V414" s="375" t="s">
        <v>596</v>
      </c>
    </row>
    <row r="415" spans="1:22" hidden="1" x14ac:dyDescent="0.25">
      <c r="A415" s="377">
        <v>44790</v>
      </c>
      <c r="B415" s="375">
        <v>80000</v>
      </c>
      <c r="C415" s="375">
        <v>48000</v>
      </c>
      <c r="D415" s="375">
        <v>12</v>
      </c>
      <c r="E415" s="375">
        <v>20</v>
      </c>
      <c r="F415" s="375">
        <v>0.4</v>
      </c>
      <c r="G415" s="375">
        <v>11000</v>
      </c>
      <c r="H415" s="376">
        <v>1.6161616161616162E-3</v>
      </c>
      <c r="I415" s="375">
        <v>4000</v>
      </c>
      <c r="J415" s="375">
        <v>4500</v>
      </c>
      <c r="K415" s="375">
        <v>18</v>
      </c>
      <c r="L415" s="375">
        <v>6712</v>
      </c>
      <c r="M415" s="375">
        <v>4288</v>
      </c>
      <c r="V415" s="375" t="s">
        <v>596</v>
      </c>
    </row>
    <row r="416" spans="1:22" hidden="1" x14ac:dyDescent="0.25">
      <c r="A416" s="377">
        <v>44791</v>
      </c>
      <c r="B416" s="375">
        <v>80000</v>
      </c>
      <c r="C416" s="375">
        <v>48000</v>
      </c>
      <c r="D416" s="375">
        <v>12</v>
      </c>
      <c r="E416" s="375">
        <v>20</v>
      </c>
      <c r="F416" s="375">
        <v>0.4</v>
      </c>
      <c r="G416" s="375">
        <v>11000</v>
      </c>
      <c r="H416" s="376">
        <v>1.6161616161616162E-3</v>
      </c>
      <c r="I416" s="375">
        <v>4000</v>
      </c>
      <c r="J416" s="375">
        <v>4500</v>
      </c>
      <c r="K416" s="375">
        <v>18</v>
      </c>
      <c r="L416" s="375">
        <v>6439</v>
      </c>
      <c r="M416" s="375">
        <v>4561</v>
      </c>
      <c r="V416" s="375" t="s">
        <v>596</v>
      </c>
    </row>
    <row r="417" spans="1:22" hidden="1" x14ac:dyDescent="0.25">
      <c r="A417" s="377">
        <v>44792</v>
      </c>
      <c r="B417" s="375">
        <v>80000</v>
      </c>
      <c r="C417" s="375">
        <v>48000</v>
      </c>
      <c r="D417" s="375">
        <v>12</v>
      </c>
      <c r="E417" s="375">
        <v>20</v>
      </c>
      <c r="F417" s="375">
        <v>0.4</v>
      </c>
      <c r="G417" s="375">
        <v>12000</v>
      </c>
      <c r="H417" s="376">
        <v>1.4814814814814816E-3</v>
      </c>
      <c r="I417" s="375">
        <v>4000</v>
      </c>
      <c r="J417" s="375">
        <v>4500</v>
      </c>
      <c r="K417" s="375">
        <v>18</v>
      </c>
      <c r="L417" s="375">
        <v>7226</v>
      </c>
      <c r="M417" s="375">
        <v>4774</v>
      </c>
      <c r="V417" s="375" t="s">
        <v>596</v>
      </c>
    </row>
    <row r="418" spans="1:22" hidden="1" x14ac:dyDescent="0.25">
      <c r="A418" s="377">
        <v>44793</v>
      </c>
      <c r="B418" s="375">
        <v>80000</v>
      </c>
      <c r="C418" s="375">
        <v>48000</v>
      </c>
      <c r="D418" s="375">
        <v>12</v>
      </c>
      <c r="E418" s="375">
        <v>20</v>
      </c>
      <c r="F418" s="375">
        <v>0.4</v>
      </c>
      <c r="G418" s="375">
        <v>12000</v>
      </c>
      <c r="H418" s="376">
        <v>1.4814814814814816E-3</v>
      </c>
      <c r="I418" s="375">
        <v>4000</v>
      </c>
      <c r="J418" s="375">
        <v>4500</v>
      </c>
      <c r="K418" s="375">
        <v>18</v>
      </c>
      <c r="L418" s="375">
        <v>7226</v>
      </c>
      <c r="M418" s="375">
        <v>4774</v>
      </c>
      <c r="V418" s="375" t="s">
        <v>596</v>
      </c>
    </row>
    <row r="419" spans="1:22" hidden="1" x14ac:dyDescent="0.25">
      <c r="A419" s="377">
        <v>44794</v>
      </c>
      <c r="B419" s="375">
        <v>80000</v>
      </c>
      <c r="C419" s="375">
        <v>48000</v>
      </c>
      <c r="D419" s="375">
        <v>12</v>
      </c>
      <c r="E419" s="375">
        <v>20</v>
      </c>
      <c r="F419" s="375">
        <v>0.4</v>
      </c>
      <c r="G419" s="375">
        <v>12000</v>
      </c>
      <c r="H419" s="376">
        <v>1.4814814814814816E-3</v>
      </c>
      <c r="I419" s="375">
        <v>4000</v>
      </c>
      <c r="J419" s="375">
        <v>4500</v>
      </c>
      <c r="K419" s="375">
        <v>18</v>
      </c>
      <c r="L419" s="375">
        <v>7084</v>
      </c>
      <c r="M419" s="375">
        <v>4916</v>
      </c>
      <c r="V419" s="375" t="s">
        <v>596</v>
      </c>
    </row>
    <row r="420" spans="1:22" hidden="1" x14ac:dyDescent="0.25">
      <c r="A420" s="377">
        <v>44795</v>
      </c>
      <c r="B420" s="375">
        <v>160000</v>
      </c>
      <c r="C420" s="375">
        <v>96000</v>
      </c>
      <c r="D420" s="375">
        <v>24</v>
      </c>
      <c r="E420" s="375">
        <v>40</v>
      </c>
      <c r="F420" s="375">
        <v>0.4</v>
      </c>
      <c r="G420" s="375">
        <v>15000</v>
      </c>
      <c r="H420" s="376">
        <v>0.26</v>
      </c>
      <c r="I420" s="375">
        <v>4000</v>
      </c>
      <c r="J420" s="375">
        <v>4500</v>
      </c>
      <c r="K420" s="375">
        <v>36</v>
      </c>
      <c r="L420" s="375">
        <v>9130</v>
      </c>
      <c r="M420" s="375">
        <v>5870</v>
      </c>
      <c r="V420" s="375" t="s">
        <v>596</v>
      </c>
    </row>
    <row r="421" spans="1:22" hidden="1" x14ac:dyDescent="0.25">
      <c r="A421" s="377">
        <v>44796</v>
      </c>
      <c r="B421" s="375">
        <v>120000</v>
      </c>
      <c r="C421" s="375">
        <v>72000</v>
      </c>
      <c r="D421" s="375">
        <v>18</v>
      </c>
      <c r="E421" s="375">
        <v>30</v>
      </c>
      <c r="F421" s="375">
        <v>0.4</v>
      </c>
      <c r="G421" s="375">
        <v>15000</v>
      </c>
      <c r="H421" s="376">
        <v>1.7777777777777779E-3</v>
      </c>
      <c r="I421" s="375">
        <v>4000</v>
      </c>
      <c r="J421" s="375">
        <v>4500</v>
      </c>
      <c r="K421" s="375">
        <v>27</v>
      </c>
      <c r="L421" s="375">
        <v>9601</v>
      </c>
      <c r="M421" s="375">
        <v>5399</v>
      </c>
      <c r="V421" s="375" t="s">
        <v>596</v>
      </c>
    </row>
    <row r="422" spans="1:22" hidden="1" x14ac:dyDescent="0.25">
      <c r="A422" s="377">
        <v>44797</v>
      </c>
      <c r="B422" s="375">
        <v>160000</v>
      </c>
      <c r="C422" s="375">
        <v>96000</v>
      </c>
      <c r="D422" s="375">
        <v>24</v>
      </c>
      <c r="E422" s="375">
        <v>40</v>
      </c>
      <c r="F422" s="375">
        <v>0.4</v>
      </c>
      <c r="G422" s="375">
        <v>15000</v>
      </c>
      <c r="H422" s="376">
        <v>2.3703703703703703E-3</v>
      </c>
      <c r="I422" s="375">
        <v>4000</v>
      </c>
      <c r="J422" s="375">
        <v>4500</v>
      </c>
      <c r="K422" s="375">
        <v>36</v>
      </c>
      <c r="L422" s="375">
        <v>9601</v>
      </c>
      <c r="M422" s="375">
        <v>5399</v>
      </c>
      <c r="V422" s="375" t="s">
        <v>596</v>
      </c>
    </row>
    <row r="423" spans="1:22" hidden="1" x14ac:dyDescent="0.25">
      <c r="A423" s="377">
        <v>44798</v>
      </c>
      <c r="B423" s="375">
        <v>171260</v>
      </c>
      <c r="C423" s="375">
        <v>102756</v>
      </c>
      <c r="D423" s="375">
        <v>26</v>
      </c>
      <c r="E423" s="375">
        <v>43</v>
      </c>
      <c r="F423" s="375">
        <v>0.4</v>
      </c>
      <c r="G423" s="375">
        <v>15000</v>
      </c>
      <c r="H423" s="376">
        <v>2.5371851851851853E-3</v>
      </c>
      <c r="I423" s="375">
        <v>4000</v>
      </c>
      <c r="J423" s="375">
        <v>4500</v>
      </c>
      <c r="K423" s="375">
        <v>38</v>
      </c>
      <c r="L423" s="375">
        <v>9601</v>
      </c>
      <c r="M423" s="375">
        <v>5399</v>
      </c>
      <c r="V423" s="375" t="s">
        <v>596</v>
      </c>
    </row>
    <row r="424" spans="1:22" hidden="1" x14ac:dyDescent="0.25">
      <c r="A424" s="377">
        <v>44799</v>
      </c>
      <c r="B424" s="375">
        <v>80000</v>
      </c>
      <c r="C424" s="375">
        <v>48000</v>
      </c>
      <c r="D424" s="375">
        <v>12</v>
      </c>
      <c r="E424" s="375">
        <v>20</v>
      </c>
      <c r="F424" s="375">
        <v>0.4</v>
      </c>
      <c r="G424" s="375">
        <v>11000</v>
      </c>
      <c r="H424" s="376">
        <v>1.6161616161616162E-3</v>
      </c>
      <c r="I424" s="375">
        <v>4000</v>
      </c>
      <c r="J424" s="375">
        <v>4500</v>
      </c>
      <c r="K424" s="375">
        <v>18</v>
      </c>
      <c r="L424" s="375">
        <v>5601</v>
      </c>
      <c r="M424" s="375">
        <v>5399</v>
      </c>
      <c r="V424" s="375" t="s">
        <v>596</v>
      </c>
    </row>
    <row r="425" spans="1:22" hidden="1" x14ac:dyDescent="0.25">
      <c r="A425" s="377">
        <v>44800</v>
      </c>
      <c r="B425" s="375">
        <v>80000</v>
      </c>
      <c r="C425" s="375">
        <v>48000</v>
      </c>
      <c r="D425" s="375">
        <v>12</v>
      </c>
      <c r="E425" s="375">
        <v>20</v>
      </c>
      <c r="F425" s="375">
        <v>0.4</v>
      </c>
      <c r="G425" s="375">
        <v>11000</v>
      </c>
      <c r="H425" s="376">
        <v>1.6161616161616162E-3</v>
      </c>
      <c r="I425" s="375">
        <v>4000</v>
      </c>
      <c r="J425" s="375">
        <v>4500</v>
      </c>
      <c r="K425" s="375">
        <v>18</v>
      </c>
      <c r="L425" s="375">
        <v>5395</v>
      </c>
      <c r="M425" s="375">
        <v>5605</v>
      </c>
      <c r="V425" s="375" t="s">
        <v>596</v>
      </c>
    </row>
    <row r="426" spans="1:22" hidden="1" x14ac:dyDescent="0.25">
      <c r="A426" s="377">
        <v>44801</v>
      </c>
      <c r="B426" s="375">
        <v>80000</v>
      </c>
      <c r="C426" s="375">
        <v>48000</v>
      </c>
      <c r="D426" s="375">
        <v>12</v>
      </c>
      <c r="E426" s="375">
        <v>20</v>
      </c>
      <c r="F426" s="375">
        <v>0.4</v>
      </c>
      <c r="G426" s="375">
        <v>11000</v>
      </c>
      <c r="H426" s="376">
        <v>1.6161616161616162E-3</v>
      </c>
      <c r="I426" s="375">
        <v>4000</v>
      </c>
      <c r="J426" s="375">
        <v>4500</v>
      </c>
      <c r="K426" s="375">
        <v>18</v>
      </c>
      <c r="L426" s="375">
        <v>6712</v>
      </c>
      <c r="M426" s="375">
        <v>4288</v>
      </c>
      <c r="V426" s="375" t="s">
        <v>596</v>
      </c>
    </row>
    <row r="427" spans="1:22" hidden="1" x14ac:dyDescent="0.25">
      <c r="A427" s="377">
        <v>44802</v>
      </c>
      <c r="B427" s="375">
        <v>80000</v>
      </c>
      <c r="C427" s="375">
        <v>48000</v>
      </c>
      <c r="D427" s="375">
        <v>12</v>
      </c>
      <c r="E427" s="375">
        <v>20</v>
      </c>
      <c r="F427" s="375">
        <v>0.4</v>
      </c>
      <c r="G427" s="375">
        <v>11000</v>
      </c>
      <c r="H427" s="376">
        <v>1.6161616161616162E-3</v>
      </c>
      <c r="I427" s="375">
        <v>4000</v>
      </c>
      <c r="J427" s="375">
        <v>4500</v>
      </c>
      <c r="K427" s="375">
        <v>18</v>
      </c>
      <c r="L427" s="375">
        <v>6712</v>
      </c>
      <c r="M427" s="375">
        <v>4288</v>
      </c>
      <c r="V427" s="375" t="s">
        <v>596</v>
      </c>
    </row>
    <row r="428" spans="1:22" hidden="1" x14ac:dyDescent="0.25">
      <c r="A428" s="377">
        <v>44803</v>
      </c>
      <c r="B428" s="375">
        <v>80000</v>
      </c>
      <c r="C428" s="375">
        <v>48000</v>
      </c>
      <c r="D428" s="375">
        <v>12</v>
      </c>
      <c r="E428" s="375">
        <v>20</v>
      </c>
      <c r="F428" s="375">
        <v>0.4</v>
      </c>
      <c r="G428" s="375">
        <v>11000</v>
      </c>
      <c r="H428" s="376">
        <v>1.6161616161616162E-3</v>
      </c>
      <c r="I428" s="375">
        <v>4000</v>
      </c>
      <c r="J428" s="375">
        <v>4500</v>
      </c>
      <c r="K428" s="375">
        <v>18</v>
      </c>
      <c r="L428" s="375">
        <v>6712</v>
      </c>
      <c r="M428" s="375">
        <v>4288</v>
      </c>
      <c r="V428" s="375" t="s">
        <v>596</v>
      </c>
    </row>
    <row r="429" spans="1:22" hidden="1" x14ac:dyDescent="0.25">
      <c r="A429" s="377">
        <v>44804</v>
      </c>
      <c r="B429" s="375">
        <v>81178</v>
      </c>
      <c r="C429" s="375">
        <v>48707</v>
      </c>
      <c r="D429" s="375">
        <v>12</v>
      </c>
      <c r="E429" s="375">
        <v>20</v>
      </c>
      <c r="F429" s="375">
        <v>0.4</v>
      </c>
      <c r="G429" s="375">
        <v>11000</v>
      </c>
      <c r="H429" s="376">
        <v>1.639959595959596E-3</v>
      </c>
      <c r="I429" s="375">
        <v>4000</v>
      </c>
      <c r="J429" s="375">
        <v>4500</v>
      </c>
      <c r="K429" s="375">
        <v>18</v>
      </c>
      <c r="L429" s="375">
        <v>6712</v>
      </c>
      <c r="M429" s="375">
        <v>4288</v>
      </c>
      <c r="V429" s="375" t="s">
        <v>596</v>
      </c>
    </row>
    <row r="430" spans="1:22" hidden="1" x14ac:dyDescent="0.25">
      <c r="A430" s="377">
        <v>44805</v>
      </c>
      <c r="B430" s="375">
        <v>50000</v>
      </c>
      <c r="C430" s="375">
        <v>30000</v>
      </c>
      <c r="D430" s="375">
        <v>6</v>
      </c>
      <c r="E430" s="375">
        <v>10</v>
      </c>
      <c r="F430" s="375">
        <v>0.4</v>
      </c>
      <c r="G430" s="375">
        <v>11000</v>
      </c>
      <c r="H430" s="376">
        <v>8.7412587412587413E-4</v>
      </c>
      <c r="I430" s="375">
        <v>4800</v>
      </c>
      <c r="J430" s="375">
        <v>5200</v>
      </c>
      <c r="K430" s="375">
        <v>10</v>
      </c>
      <c r="L430" s="375">
        <v>5248</v>
      </c>
      <c r="M430" s="375">
        <v>5752</v>
      </c>
      <c r="V430" s="375" t="s">
        <v>596</v>
      </c>
    </row>
    <row r="431" spans="1:22" hidden="1" x14ac:dyDescent="0.25">
      <c r="A431" s="377">
        <v>44806</v>
      </c>
      <c r="B431" s="375">
        <v>50000</v>
      </c>
      <c r="C431" s="375">
        <v>30000</v>
      </c>
      <c r="D431" s="375">
        <v>6</v>
      </c>
      <c r="E431" s="375">
        <v>10</v>
      </c>
      <c r="F431" s="375">
        <v>0.4</v>
      </c>
      <c r="G431" s="375">
        <v>11000</v>
      </c>
      <c r="H431" s="376">
        <v>8.7412587412587413E-4</v>
      </c>
      <c r="I431" s="375">
        <v>4800</v>
      </c>
      <c r="J431" s="375">
        <v>5200</v>
      </c>
      <c r="K431" s="375">
        <v>10</v>
      </c>
      <c r="L431" s="375">
        <v>5248</v>
      </c>
      <c r="M431" s="375">
        <v>5752</v>
      </c>
      <c r="V431" s="375" t="s">
        <v>596</v>
      </c>
    </row>
    <row r="432" spans="1:22" hidden="1" x14ac:dyDescent="0.25">
      <c r="A432" s="377">
        <v>44807</v>
      </c>
      <c r="B432" s="375">
        <v>40000</v>
      </c>
      <c r="C432" s="375">
        <v>24000</v>
      </c>
      <c r="D432" s="375">
        <v>5</v>
      </c>
      <c r="E432" s="375">
        <v>8</v>
      </c>
      <c r="F432" s="375">
        <v>0.4</v>
      </c>
      <c r="G432" s="375">
        <v>11000</v>
      </c>
      <c r="H432" s="376">
        <v>6.993006993006993E-4</v>
      </c>
      <c r="I432" s="375">
        <v>4800</v>
      </c>
      <c r="J432" s="375">
        <v>5200</v>
      </c>
      <c r="K432" s="375">
        <v>8</v>
      </c>
      <c r="L432" s="375">
        <v>5248</v>
      </c>
      <c r="M432" s="375">
        <v>5752</v>
      </c>
      <c r="V432" s="375" t="s">
        <v>596</v>
      </c>
    </row>
    <row r="433" spans="1:22" hidden="1" x14ac:dyDescent="0.25">
      <c r="A433" s="377">
        <v>44808</v>
      </c>
      <c r="B433" s="375">
        <v>40000</v>
      </c>
      <c r="C433" s="375">
        <v>24000</v>
      </c>
      <c r="D433" s="375">
        <v>5</v>
      </c>
      <c r="E433" s="375">
        <v>8</v>
      </c>
      <c r="F433" s="375">
        <v>0.4</v>
      </c>
      <c r="G433" s="375">
        <v>11000</v>
      </c>
      <c r="H433" s="376">
        <v>6.993006993006993E-4</v>
      </c>
      <c r="I433" s="375">
        <v>4800</v>
      </c>
      <c r="J433" s="375">
        <v>5200</v>
      </c>
      <c r="K433" s="375">
        <v>8</v>
      </c>
      <c r="L433" s="375">
        <v>4856</v>
      </c>
      <c r="M433" s="375">
        <v>6144</v>
      </c>
      <c r="V433" s="375" t="s">
        <v>596</v>
      </c>
    </row>
    <row r="434" spans="1:22" hidden="1" x14ac:dyDescent="0.25">
      <c r="A434" s="377">
        <v>44809</v>
      </c>
      <c r="B434" s="375">
        <v>40000</v>
      </c>
      <c r="C434" s="375">
        <v>24000</v>
      </c>
      <c r="D434" s="375">
        <v>5</v>
      </c>
      <c r="E434" s="375">
        <v>8</v>
      </c>
      <c r="F434" s="375">
        <v>0.4</v>
      </c>
      <c r="G434" s="375">
        <v>11000</v>
      </c>
      <c r="H434" s="376">
        <v>6.993006993006993E-4</v>
      </c>
      <c r="I434" s="375">
        <v>4800</v>
      </c>
      <c r="J434" s="375">
        <v>5200</v>
      </c>
      <c r="K434" s="375">
        <v>8</v>
      </c>
      <c r="L434" s="375">
        <v>4856</v>
      </c>
      <c r="M434" s="375">
        <v>6144</v>
      </c>
      <c r="V434" s="375" t="s">
        <v>596</v>
      </c>
    </row>
    <row r="435" spans="1:22" hidden="1" x14ac:dyDescent="0.25">
      <c r="A435" s="377">
        <v>44810</v>
      </c>
      <c r="B435" s="375">
        <v>90000</v>
      </c>
      <c r="C435" s="375">
        <v>54000</v>
      </c>
      <c r="D435" s="375">
        <v>11</v>
      </c>
      <c r="E435" s="375">
        <v>19</v>
      </c>
      <c r="F435" s="375">
        <v>0.4</v>
      </c>
      <c r="G435" s="375">
        <v>11000</v>
      </c>
      <c r="H435" s="376">
        <v>1.5734265734265733E-3</v>
      </c>
      <c r="I435" s="375">
        <v>4800</v>
      </c>
      <c r="J435" s="375">
        <v>5200</v>
      </c>
      <c r="K435" s="375">
        <v>17</v>
      </c>
      <c r="L435" s="375">
        <v>4794</v>
      </c>
      <c r="M435" s="375">
        <v>6206</v>
      </c>
      <c r="V435" s="375" t="s">
        <v>596</v>
      </c>
    </row>
    <row r="436" spans="1:22" hidden="1" x14ac:dyDescent="0.25">
      <c r="A436" s="377">
        <v>44811</v>
      </c>
      <c r="B436" s="375">
        <v>70000</v>
      </c>
      <c r="C436" s="375">
        <v>42000</v>
      </c>
      <c r="D436" s="375">
        <v>9</v>
      </c>
      <c r="E436" s="375">
        <v>15</v>
      </c>
      <c r="F436" s="375">
        <v>0.4</v>
      </c>
      <c r="G436" s="375">
        <v>13000</v>
      </c>
      <c r="H436" s="376">
        <v>1.0355029585798817E-3</v>
      </c>
      <c r="I436" s="375">
        <v>4800</v>
      </c>
      <c r="J436" s="375">
        <v>5200</v>
      </c>
      <c r="K436" s="375">
        <v>13</v>
      </c>
      <c r="L436" s="375">
        <v>6794</v>
      </c>
      <c r="M436" s="375">
        <v>6206</v>
      </c>
      <c r="V436" s="375" t="s">
        <v>596</v>
      </c>
    </row>
    <row r="437" spans="1:22" hidden="1" x14ac:dyDescent="0.25">
      <c r="A437" s="377">
        <v>44812</v>
      </c>
      <c r="B437" s="375">
        <v>70000</v>
      </c>
      <c r="C437" s="375">
        <v>42000</v>
      </c>
      <c r="D437" s="375">
        <v>9</v>
      </c>
      <c r="E437" s="375">
        <v>15</v>
      </c>
      <c r="F437" s="375">
        <v>0.4</v>
      </c>
      <c r="G437" s="375">
        <v>13000</v>
      </c>
      <c r="H437" s="376">
        <v>1.0355029585798817E-3</v>
      </c>
      <c r="I437" s="375">
        <v>4800</v>
      </c>
      <c r="J437" s="375">
        <v>5200</v>
      </c>
      <c r="K437" s="375">
        <v>13</v>
      </c>
      <c r="L437" s="375">
        <v>6794</v>
      </c>
      <c r="M437" s="375">
        <v>6206</v>
      </c>
      <c r="V437" s="375" t="s">
        <v>596</v>
      </c>
    </row>
    <row r="438" spans="1:22" hidden="1" x14ac:dyDescent="0.25">
      <c r="A438" s="377">
        <v>44813</v>
      </c>
      <c r="B438" s="375">
        <v>70000</v>
      </c>
      <c r="C438" s="375">
        <v>42000</v>
      </c>
      <c r="D438" s="375">
        <v>9</v>
      </c>
      <c r="E438" s="375">
        <v>15</v>
      </c>
      <c r="F438" s="375">
        <v>0.4</v>
      </c>
      <c r="G438" s="375">
        <v>13000</v>
      </c>
      <c r="H438" s="376">
        <v>1.0355029585798817E-3</v>
      </c>
      <c r="I438" s="375">
        <v>4800</v>
      </c>
      <c r="J438" s="375">
        <v>5200</v>
      </c>
      <c r="K438" s="375">
        <v>13</v>
      </c>
      <c r="L438" s="375">
        <v>6794</v>
      </c>
      <c r="M438" s="375">
        <v>6206</v>
      </c>
      <c r="V438" s="375" t="s">
        <v>596</v>
      </c>
    </row>
    <row r="439" spans="1:22" hidden="1" x14ac:dyDescent="0.25">
      <c r="A439" s="377">
        <v>44814</v>
      </c>
      <c r="B439" s="375">
        <v>70000</v>
      </c>
      <c r="C439" s="375">
        <v>42000</v>
      </c>
      <c r="D439" s="375">
        <v>9</v>
      </c>
      <c r="E439" s="375">
        <v>15</v>
      </c>
      <c r="F439" s="375">
        <v>0.4</v>
      </c>
      <c r="G439" s="375">
        <v>13000</v>
      </c>
      <c r="H439" s="376">
        <v>1.0355029585798817E-3</v>
      </c>
      <c r="I439" s="375">
        <v>4800</v>
      </c>
      <c r="J439" s="375">
        <v>5200</v>
      </c>
      <c r="K439" s="375">
        <v>13</v>
      </c>
      <c r="L439" s="375">
        <v>6794</v>
      </c>
      <c r="M439" s="375">
        <v>6206</v>
      </c>
      <c r="V439" s="375" t="s">
        <v>596</v>
      </c>
    </row>
    <row r="440" spans="1:22" hidden="1" x14ac:dyDescent="0.25">
      <c r="A440" s="377">
        <v>44815</v>
      </c>
      <c r="B440" s="375">
        <v>50000</v>
      </c>
      <c r="C440" s="375">
        <v>30000</v>
      </c>
      <c r="D440" s="375">
        <v>6</v>
      </c>
      <c r="E440" s="375">
        <v>10</v>
      </c>
      <c r="F440" s="375">
        <v>0.4</v>
      </c>
      <c r="G440" s="375">
        <v>10000</v>
      </c>
      <c r="H440" s="376">
        <v>9.6153846153846148E-4</v>
      </c>
      <c r="I440" s="375">
        <v>4800</v>
      </c>
      <c r="J440" s="375">
        <v>5200</v>
      </c>
      <c r="K440" s="375">
        <v>10</v>
      </c>
      <c r="L440" s="375">
        <v>5502</v>
      </c>
      <c r="M440" s="375">
        <v>4498</v>
      </c>
      <c r="V440" s="375" t="s">
        <v>596</v>
      </c>
    </row>
    <row r="441" spans="1:22" hidden="1" x14ac:dyDescent="0.25">
      <c r="A441" s="377">
        <v>44816</v>
      </c>
      <c r="B441" s="375">
        <v>50000</v>
      </c>
      <c r="C441" s="375">
        <v>30000</v>
      </c>
      <c r="D441" s="375">
        <v>6</v>
      </c>
      <c r="E441" s="375">
        <v>10</v>
      </c>
      <c r="F441" s="375">
        <v>0.4</v>
      </c>
      <c r="G441" s="375">
        <v>10000</v>
      </c>
      <c r="H441" s="376">
        <v>9.6153846153846148E-4</v>
      </c>
      <c r="I441" s="375">
        <v>4800</v>
      </c>
      <c r="J441" s="375">
        <v>5200</v>
      </c>
      <c r="K441" s="375">
        <v>10</v>
      </c>
      <c r="L441" s="375">
        <v>5502</v>
      </c>
      <c r="M441" s="375">
        <v>4498</v>
      </c>
      <c r="V441" s="375" t="s">
        <v>596</v>
      </c>
    </row>
    <row r="442" spans="1:22" hidden="1" x14ac:dyDescent="0.25">
      <c r="A442" s="377">
        <v>44817</v>
      </c>
      <c r="B442" s="375">
        <v>50000</v>
      </c>
      <c r="C442" s="375">
        <v>30000</v>
      </c>
      <c r="D442" s="375">
        <v>6</v>
      </c>
      <c r="E442" s="375">
        <v>10</v>
      </c>
      <c r="F442" s="375">
        <v>0.4</v>
      </c>
      <c r="G442" s="375">
        <v>10000</v>
      </c>
      <c r="H442" s="376">
        <v>9.6153846153846148E-4</v>
      </c>
      <c r="I442" s="375">
        <v>4800</v>
      </c>
      <c r="J442" s="375">
        <v>5200</v>
      </c>
      <c r="K442" s="375">
        <v>10</v>
      </c>
      <c r="L442" s="375">
        <v>5359</v>
      </c>
      <c r="M442" s="375">
        <v>4641</v>
      </c>
      <c r="V442" s="375" t="s">
        <v>596</v>
      </c>
    </row>
    <row r="443" spans="1:22" hidden="1" x14ac:dyDescent="0.25">
      <c r="A443" s="377">
        <v>44818</v>
      </c>
      <c r="B443" s="375">
        <v>60000</v>
      </c>
      <c r="C443" s="375">
        <v>36000</v>
      </c>
      <c r="D443" s="375">
        <v>8</v>
      </c>
      <c r="E443" s="375">
        <v>13</v>
      </c>
      <c r="F443" s="375">
        <v>0.4</v>
      </c>
      <c r="G443" s="375">
        <v>11000</v>
      </c>
      <c r="H443" s="376">
        <v>1.048951048951049E-3</v>
      </c>
      <c r="I443" s="375">
        <v>4800</v>
      </c>
      <c r="J443" s="375">
        <v>5200</v>
      </c>
      <c r="K443" s="375">
        <v>12</v>
      </c>
      <c r="L443" s="375">
        <v>6359</v>
      </c>
      <c r="M443" s="375">
        <v>4641</v>
      </c>
      <c r="V443" s="375" t="s">
        <v>596</v>
      </c>
    </row>
    <row r="444" spans="1:22" hidden="1" x14ac:dyDescent="0.25">
      <c r="A444" s="377">
        <v>44819</v>
      </c>
      <c r="B444" s="375">
        <v>60000</v>
      </c>
      <c r="C444" s="375">
        <v>36000</v>
      </c>
      <c r="D444" s="375">
        <v>8</v>
      </c>
      <c r="E444" s="375">
        <v>13</v>
      </c>
      <c r="F444" s="375">
        <v>0.4</v>
      </c>
      <c r="G444" s="375">
        <v>11000</v>
      </c>
      <c r="H444" s="376">
        <v>1.048951048951049E-3</v>
      </c>
      <c r="I444" s="375">
        <v>4800</v>
      </c>
      <c r="J444" s="375">
        <v>5200</v>
      </c>
      <c r="K444" s="375">
        <v>12</v>
      </c>
      <c r="L444" s="375">
        <v>6391</v>
      </c>
      <c r="M444" s="375">
        <v>4609</v>
      </c>
      <c r="V444" s="375" t="s">
        <v>596</v>
      </c>
    </row>
    <row r="445" spans="1:22" hidden="1" x14ac:dyDescent="0.25">
      <c r="A445" s="377">
        <v>44820</v>
      </c>
      <c r="B445" s="375">
        <v>60000</v>
      </c>
      <c r="C445" s="375">
        <v>36000</v>
      </c>
      <c r="D445" s="375">
        <v>8</v>
      </c>
      <c r="E445" s="375">
        <v>13</v>
      </c>
      <c r="F445" s="375">
        <v>0.4</v>
      </c>
      <c r="G445" s="375">
        <v>11000</v>
      </c>
      <c r="H445" s="376">
        <v>1.048951048951049E-3</v>
      </c>
      <c r="I445" s="375">
        <v>4800</v>
      </c>
      <c r="J445" s="375">
        <v>5200</v>
      </c>
      <c r="K445" s="375">
        <v>12</v>
      </c>
      <c r="L445" s="375">
        <v>5836</v>
      </c>
      <c r="M445" s="375">
        <v>5164</v>
      </c>
      <c r="V445" s="375" t="s">
        <v>596</v>
      </c>
    </row>
    <row r="446" spans="1:22" hidden="1" x14ac:dyDescent="0.25">
      <c r="A446" s="377">
        <v>44821</v>
      </c>
      <c r="B446" s="375">
        <v>60000</v>
      </c>
      <c r="C446" s="375">
        <v>36000</v>
      </c>
      <c r="D446" s="375">
        <v>8</v>
      </c>
      <c r="E446" s="375">
        <v>13</v>
      </c>
      <c r="F446" s="375">
        <v>0.4</v>
      </c>
      <c r="G446" s="375">
        <v>11000</v>
      </c>
      <c r="H446" s="376">
        <v>1.048951048951049E-3</v>
      </c>
      <c r="I446" s="375">
        <v>4800</v>
      </c>
      <c r="J446" s="375">
        <v>5200</v>
      </c>
      <c r="K446" s="375">
        <v>12</v>
      </c>
      <c r="L446" s="375">
        <v>5836</v>
      </c>
      <c r="M446" s="375">
        <v>5164</v>
      </c>
      <c r="V446" s="375" t="s">
        <v>596</v>
      </c>
    </row>
    <row r="447" spans="1:22" hidden="1" x14ac:dyDescent="0.25">
      <c r="A447" s="377">
        <v>44822</v>
      </c>
      <c r="B447" s="375">
        <v>60000</v>
      </c>
      <c r="C447" s="375">
        <v>36000</v>
      </c>
      <c r="D447" s="375">
        <v>8</v>
      </c>
      <c r="E447" s="375">
        <v>13</v>
      </c>
      <c r="F447" s="375">
        <v>0.4</v>
      </c>
      <c r="G447" s="375">
        <v>11000</v>
      </c>
      <c r="H447" s="376">
        <v>1.048951048951049E-3</v>
      </c>
      <c r="I447" s="375">
        <v>4800</v>
      </c>
      <c r="J447" s="375">
        <v>5200</v>
      </c>
      <c r="K447" s="375">
        <v>12</v>
      </c>
      <c r="L447" s="375">
        <v>5703</v>
      </c>
      <c r="M447" s="375">
        <v>5297</v>
      </c>
      <c r="V447" s="375" t="s">
        <v>596</v>
      </c>
    </row>
    <row r="448" spans="1:22" hidden="1" x14ac:dyDescent="0.25">
      <c r="A448" s="377">
        <v>44823</v>
      </c>
      <c r="B448" s="375">
        <v>60000</v>
      </c>
      <c r="C448" s="375">
        <v>36000</v>
      </c>
      <c r="D448" s="375">
        <v>8</v>
      </c>
      <c r="E448" s="375">
        <v>13</v>
      </c>
      <c r="F448" s="375">
        <v>0.4</v>
      </c>
      <c r="G448" s="375">
        <v>11000</v>
      </c>
      <c r="H448" s="376">
        <v>1.048951048951049E-3</v>
      </c>
      <c r="I448" s="375">
        <v>4800</v>
      </c>
      <c r="J448" s="375">
        <v>5200</v>
      </c>
      <c r="K448" s="375">
        <v>12</v>
      </c>
      <c r="L448" s="375">
        <v>5812</v>
      </c>
      <c r="M448" s="375">
        <v>5188</v>
      </c>
      <c r="V448" s="375" t="s">
        <v>596</v>
      </c>
    </row>
    <row r="449" spans="1:22" hidden="1" x14ac:dyDescent="0.25">
      <c r="A449" s="377">
        <v>44824</v>
      </c>
      <c r="B449" s="375">
        <v>40000</v>
      </c>
      <c r="C449" s="375">
        <v>24000</v>
      </c>
      <c r="D449" s="375">
        <v>5</v>
      </c>
      <c r="E449" s="375">
        <v>8</v>
      </c>
      <c r="F449" s="375">
        <v>0.4</v>
      </c>
      <c r="G449" s="375">
        <v>10000</v>
      </c>
      <c r="H449" s="376">
        <v>7.6923076923076923E-4</v>
      </c>
      <c r="I449" s="375">
        <v>4800</v>
      </c>
      <c r="J449" s="375">
        <v>5200</v>
      </c>
      <c r="K449" s="375">
        <v>8</v>
      </c>
      <c r="L449" s="375">
        <v>4351</v>
      </c>
      <c r="M449" s="375">
        <v>5649</v>
      </c>
      <c r="V449" s="375" t="s">
        <v>596</v>
      </c>
    </row>
    <row r="450" spans="1:22" hidden="1" x14ac:dyDescent="0.25">
      <c r="A450" s="377">
        <v>44825</v>
      </c>
      <c r="B450" s="375">
        <v>40000</v>
      </c>
      <c r="C450" s="375">
        <v>24000</v>
      </c>
      <c r="D450" s="375">
        <v>5</v>
      </c>
      <c r="E450" s="375">
        <v>8</v>
      </c>
      <c r="F450" s="375">
        <v>0.4</v>
      </c>
      <c r="G450" s="375">
        <v>10000</v>
      </c>
      <c r="H450" s="376">
        <v>7.6923076923076923E-4</v>
      </c>
      <c r="I450" s="375">
        <v>4800</v>
      </c>
      <c r="J450" s="375">
        <v>5200</v>
      </c>
      <c r="K450" s="375">
        <v>8</v>
      </c>
      <c r="L450" s="375">
        <v>4351</v>
      </c>
      <c r="M450" s="375">
        <v>5649</v>
      </c>
      <c r="V450" s="375" t="s">
        <v>596</v>
      </c>
    </row>
    <row r="451" spans="1:22" hidden="1" x14ac:dyDescent="0.25">
      <c r="A451" s="377">
        <v>44826</v>
      </c>
      <c r="B451" s="375">
        <v>70000</v>
      </c>
      <c r="C451" s="375">
        <v>42000</v>
      </c>
      <c r="D451" s="375">
        <v>9</v>
      </c>
      <c r="E451" s="375">
        <v>15</v>
      </c>
      <c r="F451" s="375">
        <v>0.4</v>
      </c>
      <c r="G451" s="375">
        <v>12000</v>
      </c>
      <c r="H451" s="376">
        <v>1.1217948717948717E-3</v>
      </c>
      <c r="I451" s="375">
        <v>4800</v>
      </c>
      <c r="J451" s="375">
        <v>5200</v>
      </c>
      <c r="K451" s="375">
        <v>13</v>
      </c>
      <c r="L451" s="375">
        <v>6210</v>
      </c>
      <c r="M451" s="375">
        <v>5790</v>
      </c>
      <c r="V451" s="375" t="s">
        <v>596</v>
      </c>
    </row>
    <row r="452" spans="1:22" hidden="1" x14ac:dyDescent="0.25">
      <c r="A452" s="377">
        <v>44827</v>
      </c>
      <c r="B452" s="375">
        <v>80000</v>
      </c>
      <c r="C452" s="375">
        <v>48000</v>
      </c>
      <c r="D452" s="375">
        <v>10</v>
      </c>
      <c r="E452" s="375">
        <v>17</v>
      </c>
      <c r="F452" s="375">
        <v>0.4</v>
      </c>
      <c r="G452" s="375">
        <v>13000</v>
      </c>
      <c r="H452" s="376">
        <v>1.1834319526627219E-3</v>
      </c>
      <c r="I452" s="375">
        <v>4800</v>
      </c>
      <c r="J452" s="375">
        <v>5200</v>
      </c>
      <c r="K452" s="375">
        <v>15</v>
      </c>
      <c r="L452" s="375">
        <v>6611</v>
      </c>
      <c r="M452" s="375">
        <v>6389</v>
      </c>
      <c r="V452" s="375" t="s">
        <v>596</v>
      </c>
    </row>
    <row r="453" spans="1:22" hidden="1" x14ac:dyDescent="0.25">
      <c r="A453" s="377">
        <v>44828</v>
      </c>
      <c r="B453" s="375">
        <v>80000</v>
      </c>
      <c r="C453" s="375">
        <v>48000</v>
      </c>
      <c r="D453" s="375">
        <v>10</v>
      </c>
      <c r="E453" s="375">
        <v>17</v>
      </c>
      <c r="F453" s="375">
        <v>0.4</v>
      </c>
      <c r="G453" s="375">
        <v>13000</v>
      </c>
      <c r="H453" s="376">
        <v>1.1834319526627219E-3</v>
      </c>
      <c r="I453" s="375">
        <v>4800</v>
      </c>
      <c r="J453" s="375">
        <v>5200</v>
      </c>
      <c r="K453" s="375">
        <v>15</v>
      </c>
      <c r="L453" s="375">
        <v>6611</v>
      </c>
      <c r="M453" s="375">
        <v>6389</v>
      </c>
      <c r="V453" s="375" t="s">
        <v>596</v>
      </c>
    </row>
    <row r="454" spans="1:22" hidden="1" x14ac:dyDescent="0.25">
      <c r="A454" s="377">
        <v>44829</v>
      </c>
      <c r="B454" s="375">
        <v>80000</v>
      </c>
      <c r="C454" s="375">
        <v>48000</v>
      </c>
      <c r="D454" s="375">
        <v>10</v>
      </c>
      <c r="E454" s="375">
        <v>17</v>
      </c>
      <c r="F454" s="375">
        <v>0.4</v>
      </c>
      <c r="G454" s="375">
        <v>13000</v>
      </c>
      <c r="H454" s="376">
        <v>1.1834319526627219E-3</v>
      </c>
      <c r="I454" s="375">
        <v>4800</v>
      </c>
      <c r="J454" s="375">
        <v>5200</v>
      </c>
      <c r="K454" s="375">
        <v>15</v>
      </c>
      <c r="L454" s="375">
        <v>6611</v>
      </c>
      <c r="M454" s="375">
        <v>6389</v>
      </c>
      <c r="V454" s="375" t="s">
        <v>596</v>
      </c>
    </row>
    <row r="455" spans="1:22" hidden="1" x14ac:dyDescent="0.25">
      <c r="A455" s="377">
        <v>44830</v>
      </c>
      <c r="B455" s="375">
        <v>50000</v>
      </c>
      <c r="C455" s="375">
        <v>30000</v>
      </c>
      <c r="D455" s="375">
        <v>6</v>
      </c>
      <c r="E455" s="375">
        <v>10</v>
      </c>
      <c r="F455" s="375">
        <v>0.4</v>
      </c>
      <c r="G455" s="375">
        <v>10000</v>
      </c>
      <c r="H455" s="376">
        <v>9.6153846153846148E-4</v>
      </c>
      <c r="I455" s="375">
        <v>4800</v>
      </c>
      <c r="J455" s="375">
        <v>5200</v>
      </c>
      <c r="K455" s="375">
        <v>10</v>
      </c>
      <c r="L455" s="375">
        <v>5287</v>
      </c>
      <c r="M455" s="375">
        <v>4713</v>
      </c>
      <c r="V455" s="375" t="s">
        <v>596</v>
      </c>
    </row>
    <row r="456" spans="1:22" hidden="1" x14ac:dyDescent="0.25">
      <c r="A456" s="377">
        <v>44831</v>
      </c>
      <c r="B456" s="375">
        <v>50000</v>
      </c>
      <c r="C456" s="375">
        <v>30000</v>
      </c>
      <c r="D456" s="375">
        <v>6</v>
      </c>
      <c r="E456" s="375">
        <v>10</v>
      </c>
      <c r="F456" s="375">
        <v>0.4</v>
      </c>
      <c r="G456" s="375">
        <v>10000</v>
      </c>
      <c r="H456" s="376">
        <v>9.6153846153846148E-4</v>
      </c>
      <c r="I456" s="375">
        <v>4800</v>
      </c>
      <c r="J456" s="375">
        <v>5200</v>
      </c>
      <c r="K456" s="375">
        <v>10</v>
      </c>
      <c r="L456" s="375">
        <v>5287</v>
      </c>
      <c r="M456" s="375">
        <v>4713</v>
      </c>
      <c r="V456" s="375" t="s">
        <v>596</v>
      </c>
    </row>
    <row r="457" spans="1:22" hidden="1" x14ac:dyDescent="0.25">
      <c r="A457" s="377">
        <v>44832</v>
      </c>
      <c r="B457" s="375">
        <v>52037</v>
      </c>
      <c r="C457" s="375">
        <v>31222</v>
      </c>
      <c r="D457" s="375">
        <v>7</v>
      </c>
      <c r="E457" s="375">
        <v>11</v>
      </c>
      <c r="F457" s="375">
        <v>0.4</v>
      </c>
      <c r="G457" s="375">
        <v>10000</v>
      </c>
      <c r="H457" s="376">
        <v>1.0007115384615384E-3</v>
      </c>
      <c r="I457" s="375">
        <v>4800</v>
      </c>
      <c r="J457" s="375">
        <v>5200</v>
      </c>
      <c r="K457" s="375">
        <v>10</v>
      </c>
      <c r="L457" s="375">
        <v>5287</v>
      </c>
      <c r="M457" s="375">
        <v>4713</v>
      </c>
      <c r="V457" s="375" t="s">
        <v>596</v>
      </c>
    </row>
    <row r="458" spans="1:22" hidden="1" x14ac:dyDescent="0.25">
      <c r="A458" s="377">
        <v>44833</v>
      </c>
      <c r="B458" s="375">
        <v>50000</v>
      </c>
      <c r="C458" s="375">
        <v>30000</v>
      </c>
      <c r="D458" s="375">
        <v>6</v>
      </c>
      <c r="E458" s="375">
        <v>10</v>
      </c>
      <c r="F458" s="375">
        <v>0.4</v>
      </c>
      <c r="G458" s="375">
        <v>10000</v>
      </c>
      <c r="H458" s="376">
        <v>9.6153846153846148E-4</v>
      </c>
      <c r="I458" s="375">
        <v>4800</v>
      </c>
      <c r="J458" s="375">
        <v>5200</v>
      </c>
      <c r="K458" s="375">
        <v>10</v>
      </c>
      <c r="L458" s="375">
        <v>4408</v>
      </c>
      <c r="M458" s="375">
        <v>5592</v>
      </c>
      <c r="V458" s="375" t="s">
        <v>596</v>
      </c>
    </row>
    <row r="459" spans="1:22" hidden="1" x14ac:dyDescent="0.25">
      <c r="A459" s="377">
        <v>44834</v>
      </c>
      <c r="B459" s="375">
        <v>51296</v>
      </c>
      <c r="C459" s="375">
        <v>30778</v>
      </c>
      <c r="D459" s="375">
        <v>6</v>
      </c>
      <c r="E459" s="375">
        <v>11</v>
      </c>
      <c r="F459" s="375">
        <v>0.4</v>
      </c>
      <c r="G459" s="375">
        <v>10000</v>
      </c>
      <c r="H459" s="376">
        <v>9.8646153846153849E-4</v>
      </c>
      <c r="I459" s="375">
        <v>4800</v>
      </c>
      <c r="J459" s="375">
        <v>5200</v>
      </c>
      <c r="K459" s="375">
        <v>10</v>
      </c>
      <c r="L459" s="375">
        <v>4408</v>
      </c>
      <c r="M459" s="375">
        <v>5592</v>
      </c>
      <c r="V459" s="375" t="s">
        <v>596</v>
      </c>
    </row>
    <row r="460" spans="1:22" hidden="1" x14ac:dyDescent="0.25">
      <c r="A460" s="377">
        <v>44835</v>
      </c>
      <c r="B460" s="375">
        <v>70000</v>
      </c>
      <c r="C460" s="375">
        <v>42000</v>
      </c>
      <c r="D460" s="375">
        <v>8</v>
      </c>
      <c r="E460" s="375">
        <v>15</v>
      </c>
      <c r="F460" s="375">
        <v>0.4</v>
      </c>
      <c r="G460" s="375">
        <v>20000</v>
      </c>
      <c r="H460" s="376">
        <v>6.9999999999999999E-4</v>
      </c>
      <c r="I460" s="375">
        <v>4600</v>
      </c>
      <c r="J460" s="375">
        <v>5000</v>
      </c>
      <c r="K460" s="375">
        <v>14</v>
      </c>
      <c r="L460" s="375">
        <v>12725</v>
      </c>
      <c r="M460" s="375">
        <v>7275</v>
      </c>
      <c r="V460" s="375" t="s">
        <v>596</v>
      </c>
    </row>
    <row r="461" spans="1:22" hidden="1" x14ac:dyDescent="0.25">
      <c r="A461" s="377">
        <v>44836</v>
      </c>
      <c r="B461" s="375">
        <v>70000</v>
      </c>
      <c r="C461" s="375">
        <v>42000</v>
      </c>
      <c r="D461" s="375">
        <v>8</v>
      </c>
      <c r="E461" s="375">
        <v>15</v>
      </c>
      <c r="F461" s="375">
        <v>0.4</v>
      </c>
      <c r="G461" s="375">
        <v>20000</v>
      </c>
      <c r="H461" s="376">
        <v>6.9999999999999999E-4</v>
      </c>
      <c r="I461" s="375">
        <v>4600</v>
      </c>
      <c r="J461" s="375">
        <v>5000</v>
      </c>
      <c r="K461" s="375">
        <v>14</v>
      </c>
      <c r="L461" s="375">
        <v>12725</v>
      </c>
      <c r="M461" s="375">
        <v>7275</v>
      </c>
      <c r="V461" s="375" t="s">
        <v>596</v>
      </c>
    </row>
    <row r="462" spans="1:22" hidden="1" x14ac:dyDescent="0.25">
      <c r="A462" s="377">
        <v>44837</v>
      </c>
      <c r="B462" s="375">
        <v>70000</v>
      </c>
      <c r="C462" s="375">
        <v>42000</v>
      </c>
      <c r="D462" s="375">
        <v>8</v>
      </c>
      <c r="E462" s="375">
        <v>15</v>
      </c>
      <c r="F462" s="375">
        <v>0.4</v>
      </c>
      <c r="G462" s="375">
        <v>20000</v>
      </c>
      <c r="H462" s="376">
        <v>6.9999999999999999E-4</v>
      </c>
      <c r="I462" s="375">
        <v>4600</v>
      </c>
      <c r="J462" s="375">
        <v>5000</v>
      </c>
      <c r="K462" s="375">
        <v>14</v>
      </c>
      <c r="L462" s="375">
        <v>12725</v>
      </c>
      <c r="M462" s="375">
        <v>7275</v>
      </c>
      <c r="V462" s="375" t="s">
        <v>596</v>
      </c>
    </row>
    <row r="463" spans="1:22" hidden="1" x14ac:dyDescent="0.25">
      <c r="A463" s="377">
        <v>44838</v>
      </c>
      <c r="B463" s="375">
        <v>70000</v>
      </c>
      <c r="C463" s="375">
        <v>42000</v>
      </c>
      <c r="D463" s="375">
        <v>8</v>
      </c>
      <c r="E463" s="375">
        <v>15</v>
      </c>
      <c r="F463" s="375">
        <v>0.4</v>
      </c>
      <c r="G463" s="375">
        <v>20000</v>
      </c>
      <c r="H463" s="376">
        <v>6.9999999999999999E-4</v>
      </c>
      <c r="I463" s="375">
        <v>4600</v>
      </c>
      <c r="J463" s="375">
        <v>5000</v>
      </c>
      <c r="K463" s="375">
        <v>14</v>
      </c>
      <c r="L463" s="375">
        <v>12725</v>
      </c>
      <c r="M463" s="375">
        <v>7275</v>
      </c>
      <c r="V463" s="375" t="s">
        <v>596</v>
      </c>
    </row>
    <row r="464" spans="1:22" hidden="1" x14ac:dyDescent="0.25">
      <c r="A464" s="377">
        <v>44839</v>
      </c>
      <c r="B464" s="375">
        <v>70000</v>
      </c>
      <c r="C464" s="375">
        <v>42000</v>
      </c>
      <c r="D464" s="375">
        <v>8</v>
      </c>
      <c r="E464" s="375">
        <v>15</v>
      </c>
      <c r="F464" s="375">
        <v>0.4</v>
      </c>
      <c r="G464" s="375">
        <v>20000</v>
      </c>
      <c r="H464" s="376">
        <v>6.9999999999999999E-4</v>
      </c>
      <c r="I464" s="375">
        <v>4600</v>
      </c>
      <c r="J464" s="375">
        <v>5000</v>
      </c>
      <c r="K464" s="375">
        <v>14</v>
      </c>
      <c r="L464" s="375">
        <v>13280</v>
      </c>
      <c r="M464" s="375">
        <v>6720</v>
      </c>
      <c r="V464" s="375" t="s">
        <v>596</v>
      </c>
    </row>
    <row r="465" spans="1:22" hidden="1" x14ac:dyDescent="0.25">
      <c r="A465" s="377">
        <v>44840</v>
      </c>
      <c r="B465" s="375">
        <v>70000</v>
      </c>
      <c r="C465" s="375">
        <v>42000</v>
      </c>
      <c r="D465" s="375">
        <v>8</v>
      </c>
      <c r="E465" s="375">
        <v>15</v>
      </c>
      <c r="F465" s="375">
        <v>0.4</v>
      </c>
      <c r="G465" s="375">
        <v>20000</v>
      </c>
      <c r="H465" s="376">
        <v>6.9999999999999999E-4</v>
      </c>
      <c r="I465" s="375">
        <v>4600</v>
      </c>
      <c r="J465" s="375">
        <v>5000</v>
      </c>
      <c r="K465" s="375">
        <v>14</v>
      </c>
      <c r="L465" s="375">
        <v>13280</v>
      </c>
      <c r="M465" s="375">
        <v>6720</v>
      </c>
      <c r="V465" s="375" t="s">
        <v>596</v>
      </c>
    </row>
    <row r="466" spans="1:22" hidden="1" x14ac:dyDescent="0.25">
      <c r="A466" s="377">
        <v>44841</v>
      </c>
      <c r="B466" s="375">
        <v>70000</v>
      </c>
      <c r="C466" s="375">
        <v>42000</v>
      </c>
      <c r="D466" s="375">
        <v>8</v>
      </c>
      <c r="E466" s="375">
        <v>15</v>
      </c>
      <c r="F466" s="375">
        <v>0.4</v>
      </c>
      <c r="G466" s="375">
        <v>20000</v>
      </c>
      <c r="H466" s="376">
        <v>6.9999999999999999E-4</v>
      </c>
      <c r="I466" s="375">
        <v>4600</v>
      </c>
      <c r="J466" s="375">
        <v>5000</v>
      </c>
      <c r="K466" s="375">
        <v>14</v>
      </c>
      <c r="L466" s="375">
        <v>13280</v>
      </c>
      <c r="M466" s="375">
        <v>6720</v>
      </c>
      <c r="V466" s="375" t="s">
        <v>596</v>
      </c>
    </row>
    <row r="467" spans="1:22" hidden="1" x14ac:dyDescent="0.25">
      <c r="A467" s="377">
        <v>44842</v>
      </c>
      <c r="B467" s="375">
        <v>50000</v>
      </c>
      <c r="C467" s="375">
        <v>30000</v>
      </c>
      <c r="D467" s="375">
        <v>6</v>
      </c>
      <c r="E467" s="375">
        <v>11</v>
      </c>
      <c r="F467" s="375">
        <v>0.4</v>
      </c>
      <c r="G467" s="375">
        <v>12000</v>
      </c>
      <c r="H467" s="376">
        <v>8.3333333333333339E-4</v>
      </c>
      <c r="I467" s="375">
        <v>4600</v>
      </c>
      <c r="J467" s="375">
        <v>5000</v>
      </c>
      <c r="K467" s="375">
        <v>10</v>
      </c>
      <c r="L467" s="375">
        <v>6407</v>
      </c>
      <c r="M467" s="375">
        <v>5593</v>
      </c>
      <c r="V467" s="375" t="s">
        <v>596</v>
      </c>
    </row>
    <row r="468" spans="1:22" hidden="1" x14ac:dyDescent="0.25">
      <c r="A468" s="377">
        <v>44843</v>
      </c>
      <c r="B468" s="375">
        <v>50000</v>
      </c>
      <c r="C468" s="375">
        <v>30000</v>
      </c>
      <c r="D468" s="375">
        <v>6</v>
      </c>
      <c r="E468" s="375">
        <v>11</v>
      </c>
      <c r="F468" s="375">
        <v>0.4</v>
      </c>
      <c r="G468" s="375">
        <v>12000</v>
      </c>
      <c r="H468" s="376">
        <v>8.3333333333333339E-4</v>
      </c>
      <c r="I468" s="375">
        <v>4600</v>
      </c>
      <c r="J468" s="375">
        <v>5000</v>
      </c>
      <c r="K468" s="375">
        <v>10</v>
      </c>
      <c r="L468" s="375">
        <v>6407</v>
      </c>
      <c r="M468" s="375">
        <v>5593</v>
      </c>
      <c r="V468" s="375" t="s">
        <v>596</v>
      </c>
    </row>
    <row r="469" spans="1:22" hidden="1" x14ac:dyDescent="0.25">
      <c r="A469" s="377">
        <v>44844</v>
      </c>
      <c r="B469" s="375">
        <v>50000</v>
      </c>
      <c r="C469" s="375">
        <v>30000</v>
      </c>
      <c r="D469" s="375">
        <v>6</v>
      </c>
      <c r="E469" s="375">
        <v>11</v>
      </c>
      <c r="F469" s="375">
        <v>0.4</v>
      </c>
      <c r="G469" s="375">
        <v>12000</v>
      </c>
      <c r="H469" s="376">
        <v>8.3333333333333339E-4</v>
      </c>
      <c r="I469" s="375">
        <v>4600</v>
      </c>
      <c r="J469" s="375">
        <v>5000</v>
      </c>
      <c r="K469" s="375">
        <v>10</v>
      </c>
      <c r="L469" s="375">
        <v>6407</v>
      </c>
      <c r="M469" s="375">
        <v>5593</v>
      </c>
      <c r="V469" s="375" t="s">
        <v>596</v>
      </c>
    </row>
    <row r="470" spans="1:22" hidden="1" x14ac:dyDescent="0.25">
      <c r="A470" s="377">
        <v>44845</v>
      </c>
      <c r="B470" s="375">
        <v>50000</v>
      </c>
      <c r="C470" s="375">
        <v>30000</v>
      </c>
      <c r="D470" s="375">
        <v>6</v>
      </c>
      <c r="E470" s="375">
        <v>11</v>
      </c>
      <c r="F470" s="375">
        <v>0.4</v>
      </c>
      <c r="G470" s="375">
        <v>12000</v>
      </c>
      <c r="H470" s="376">
        <v>8.3333333333333339E-4</v>
      </c>
      <c r="I470" s="375">
        <v>4600</v>
      </c>
      <c r="J470" s="375">
        <v>5000</v>
      </c>
      <c r="K470" s="375">
        <v>10</v>
      </c>
      <c r="L470" s="375">
        <v>4725</v>
      </c>
      <c r="M470" s="375">
        <v>7275</v>
      </c>
      <c r="V470" s="375" t="s">
        <v>596</v>
      </c>
    </row>
    <row r="471" spans="1:22" hidden="1" x14ac:dyDescent="0.25">
      <c r="A471" s="377">
        <v>44846</v>
      </c>
      <c r="B471" s="375">
        <v>50000</v>
      </c>
      <c r="C471" s="375">
        <v>30000</v>
      </c>
      <c r="D471" s="375">
        <v>6</v>
      </c>
      <c r="E471" s="375">
        <v>11</v>
      </c>
      <c r="F471" s="375">
        <v>0.4</v>
      </c>
      <c r="G471" s="375">
        <v>12000</v>
      </c>
      <c r="H471" s="376">
        <v>8.3333333333333339E-4</v>
      </c>
      <c r="I471" s="375">
        <v>4600</v>
      </c>
      <c r="J471" s="375">
        <v>5000</v>
      </c>
      <c r="K471" s="375">
        <v>10</v>
      </c>
      <c r="L471" s="375">
        <v>4281</v>
      </c>
      <c r="M471" s="375">
        <v>7719</v>
      </c>
      <c r="V471" s="375" t="s">
        <v>596</v>
      </c>
    </row>
    <row r="472" spans="1:22" hidden="1" x14ac:dyDescent="0.25">
      <c r="A472" s="377">
        <v>44847</v>
      </c>
      <c r="B472" s="375">
        <v>40000</v>
      </c>
      <c r="C472" s="375">
        <v>24000</v>
      </c>
      <c r="D472" s="375">
        <v>5</v>
      </c>
      <c r="E472" s="375">
        <v>9</v>
      </c>
      <c r="F472" s="375">
        <v>0.4</v>
      </c>
      <c r="G472" s="375">
        <v>15000</v>
      </c>
      <c r="H472" s="376">
        <v>5.3333333333333336E-4</v>
      </c>
      <c r="I472" s="375">
        <v>4600</v>
      </c>
      <c r="J472" s="375">
        <v>5000</v>
      </c>
      <c r="K472" s="375">
        <v>8</v>
      </c>
      <c r="L472" s="375">
        <v>7281</v>
      </c>
      <c r="M472" s="375">
        <v>7719</v>
      </c>
      <c r="V472" s="375" t="s">
        <v>596</v>
      </c>
    </row>
    <row r="473" spans="1:22" hidden="1" x14ac:dyDescent="0.25">
      <c r="A473" s="377">
        <v>44848</v>
      </c>
      <c r="B473" s="375">
        <v>75312</v>
      </c>
      <c r="C473" s="375">
        <v>45187</v>
      </c>
      <c r="D473" s="375">
        <v>8</v>
      </c>
      <c r="E473" s="375">
        <v>14</v>
      </c>
      <c r="F473" s="375">
        <v>0.4</v>
      </c>
      <c r="G473" s="375">
        <v>22000</v>
      </c>
      <c r="H473" s="376">
        <v>5.7054545454545455E-4</v>
      </c>
      <c r="I473" s="375">
        <v>5400</v>
      </c>
      <c r="J473" s="375">
        <v>6000</v>
      </c>
      <c r="K473" s="375">
        <v>13</v>
      </c>
      <c r="L473" s="375">
        <v>11317</v>
      </c>
      <c r="M473" s="375">
        <v>8183</v>
      </c>
      <c r="V473" s="375" t="s">
        <v>596</v>
      </c>
    </row>
    <row r="474" spans="1:22" hidden="1" x14ac:dyDescent="0.25">
      <c r="A474" s="377">
        <v>44849</v>
      </c>
      <c r="B474" s="375">
        <v>70000</v>
      </c>
      <c r="C474" s="375">
        <v>42000</v>
      </c>
      <c r="D474" s="375">
        <v>8</v>
      </c>
      <c r="E474" s="375">
        <v>13</v>
      </c>
      <c r="F474" s="375">
        <v>0.4</v>
      </c>
      <c r="G474" s="375">
        <v>22000</v>
      </c>
      <c r="H474" s="376">
        <v>5.3030303030303025E-4</v>
      </c>
      <c r="I474" s="375">
        <v>5400</v>
      </c>
      <c r="J474" s="375">
        <v>6000</v>
      </c>
      <c r="K474" s="375">
        <v>12</v>
      </c>
      <c r="L474" s="375">
        <v>11317</v>
      </c>
      <c r="M474" s="375">
        <v>8183</v>
      </c>
      <c r="V474" s="375" t="s">
        <v>596</v>
      </c>
    </row>
    <row r="475" spans="1:22" hidden="1" x14ac:dyDescent="0.25">
      <c r="A475" s="377">
        <v>44850</v>
      </c>
      <c r="B475" s="375">
        <v>70000</v>
      </c>
      <c r="C475" s="375">
        <v>42000</v>
      </c>
      <c r="D475" s="375">
        <v>8</v>
      </c>
      <c r="E475" s="375">
        <v>13</v>
      </c>
      <c r="F475" s="375">
        <v>0.4</v>
      </c>
      <c r="G475" s="375">
        <v>22000</v>
      </c>
      <c r="H475" s="376">
        <v>5.3030303030303025E-4</v>
      </c>
      <c r="I475" s="375">
        <v>5400</v>
      </c>
      <c r="J475" s="375">
        <v>6000</v>
      </c>
      <c r="K475" s="375">
        <v>12</v>
      </c>
      <c r="L475" s="375">
        <v>11015</v>
      </c>
      <c r="M475" s="375">
        <v>8485</v>
      </c>
      <c r="V475" s="375" t="s">
        <v>596</v>
      </c>
    </row>
    <row r="476" spans="1:22" hidden="1" x14ac:dyDescent="0.25">
      <c r="A476" s="377">
        <v>44851</v>
      </c>
      <c r="B476" s="375">
        <v>50000</v>
      </c>
      <c r="C476" s="375">
        <v>30000</v>
      </c>
      <c r="D476" s="375">
        <v>6</v>
      </c>
      <c r="E476" s="375">
        <v>9</v>
      </c>
      <c r="F476" s="375">
        <v>0.4</v>
      </c>
      <c r="G476" s="375">
        <v>22000</v>
      </c>
      <c r="H476" s="376">
        <v>3.7878787878787884E-4</v>
      </c>
      <c r="I476" s="375">
        <v>5400</v>
      </c>
      <c r="J476" s="375">
        <v>6000</v>
      </c>
      <c r="K476" s="375">
        <v>8</v>
      </c>
      <c r="L476" s="375">
        <v>11317</v>
      </c>
      <c r="M476" s="375">
        <v>8183</v>
      </c>
      <c r="V476" s="375" t="s">
        <v>596</v>
      </c>
    </row>
    <row r="477" spans="1:22" hidden="1" x14ac:dyDescent="0.25">
      <c r="A477" s="377">
        <v>44852</v>
      </c>
      <c r="B477" s="375">
        <v>50000</v>
      </c>
      <c r="C477" s="375">
        <v>30000</v>
      </c>
      <c r="D477" s="375">
        <v>6</v>
      </c>
      <c r="E477" s="375">
        <v>9</v>
      </c>
      <c r="F477" s="375">
        <v>0.4</v>
      </c>
      <c r="G477" s="375">
        <v>22000</v>
      </c>
      <c r="H477" s="376">
        <v>3.7878787878787884E-4</v>
      </c>
      <c r="I477" s="375">
        <v>5400</v>
      </c>
      <c r="J477" s="375">
        <v>6000</v>
      </c>
      <c r="K477" s="375">
        <v>8</v>
      </c>
      <c r="L477" s="375">
        <v>10753</v>
      </c>
      <c r="M477" s="375">
        <v>8747</v>
      </c>
      <c r="V477" s="375" t="s">
        <v>596</v>
      </c>
    </row>
    <row r="478" spans="1:22" hidden="1" x14ac:dyDescent="0.25">
      <c r="A478" s="377">
        <v>44853</v>
      </c>
      <c r="B478" s="375">
        <v>40000</v>
      </c>
      <c r="C478" s="375">
        <v>24000</v>
      </c>
      <c r="D478" s="375">
        <v>4</v>
      </c>
      <c r="E478" s="375">
        <v>7</v>
      </c>
      <c r="F478" s="375">
        <v>0.4</v>
      </c>
      <c r="G478" s="375">
        <v>22000</v>
      </c>
      <c r="H478" s="376">
        <v>3.0303030303030303E-4</v>
      </c>
      <c r="I478" s="375">
        <v>5400</v>
      </c>
      <c r="J478" s="375">
        <v>6000</v>
      </c>
      <c r="K478" s="375">
        <v>7</v>
      </c>
      <c r="L478" s="375">
        <v>10753</v>
      </c>
      <c r="M478" s="375">
        <v>8747</v>
      </c>
      <c r="V478" s="375" t="s">
        <v>596</v>
      </c>
    </row>
    <row r="479" spans="1:22" hidden="1" x14ac:dyDescent="0.25">
      <c r="A479" s="377">
        <v>44854</v>
      </c>
      <c r="B479" s="375">
        <v>40000</v>
      </c>
      <c r="C479" s="375">
        <v>24000</v>
      </c>
      <c r="D479" s="375">
        <v>4</v>
      </c>
      <c r="E479" s="375">
        <v>7</v>
      </c>
      <c r="F479" s="375">
        <v>0.4</v>
      </c>
      <c r="G479" s="375">
        <v>25000</v>
      </c>
      <c r="H479" s="376">
        <v>2.6666666666666668E-4</v>
      </c>
      <c r="I479" s="375">
        <v>5400</v>
      </c>
      <c r="J479" s="375">
        <v>6000</v>
      </c>
      <c r="K479" s="375">
        <v>7</v>
      </c>
      <c r="L479" s="375">
        <v>13524</v>
      </c>
      <c r="M479" s="375">
        <v>8976</v>
      </c>
      <c r="V479" s="375" t="s">
        <v>596</v>
      </c>
    </row>
    <row r="480" spans="1:22" hidden="1" x14ac:dyDescent="0.25">
      <c r="A480" s="377">
        <v>44855</v>
      </c>
      <c r="B480" s="375">
        <v>40000</v>
      </c>
      <c r="C480" s="375">
        <v>24000</v>
      </c>
      <c r="D480" s="375">
        <v>4</v>
      </c>
      <c r="E480" s="375">
        <v>7</v>
      </c>
      <c r="F480" s="375">
        <v>0.4</v>
      </c>
      <c r="G480" s="375">
        <v>25000</v>
      </c>
      <c r="H480" s="376">
        <v>2.6666666666666668E-4</v>
      </c>
      <c r="I480" s="375">
        <v>5400</v>
      </c>
      <c r="J480" s="375">
        <v>6000</v>
      </c>
      <c r="K480" s="375">
        <v>7</v>
      </c>
      <c r="L480" s="375">
        <v>13524</v>
      </c>
      <c r="M480" s="375">
        <v>8976</v>
      </c>
      <c r="V480" s="375" t="s">
        <v>596</v>
      </c>
    </row>
    <row r="481" spans="1:22" hidden="1" x14ac:dyDescent="0.25">
      <c r="A481" s="377">
        <v>44856</v>
      </c>
      <c r="B481" s="375">
        <v>40000</v>
      </c>
      <c r="C481" s="375">
        <v>24000</v>
      </c>
      <c r="D481" s="375">
        <v>4</v>
      </c>
      <c r="E481" s="375">
        <v>7</v>
      </c>
      <c r="F481" s="375">
        <v>0.4</v>
      </c>
      <c r="G481" s="375">
        <v>25000</v>
      </c>
      <c r="H481" s="376">
        <v>2.6666666666666668E-4</v>
      </c>
      <c r="I481" s="375">
        <v>5400</v>
      </c>
      <c r="J481" s="375">
        <v>6000</v>
      </c>
      <c r="K481" s="375">
        <v>7</v>
      </c>
      <c r="L481" s="375">
        <v>13323</v>
      </c>
      <c r="M481" s="375">
        <v>9177</v>
      </c>
      <c r="V481" s="375" t="s">
        <v>596</v>
      </c>
    </row>
    <row r="482" spans="1:22" hidden="1" x14ac:dyDescent="0.25">
      <c r="A482" s="377">
        <v>44857</v>
      </c>
      <c r="B482" s="375">
        <v>40000</v>
      </c>
      <c r="C482" s="375">
        <v>24000</v>
      </c>
      <c r="D482" s="375">
        <v>4</v>
      </c>
      <c r="E482" s="375">
        <v>7</v>
      </c>
      <c r="F482" s="375">
        <v>0.4</v>
      </c>
      <c r="G482" s="375">
        <v>25000</v>
      </c>
      <c r="H482" s="376">
        <v>2.6666666666666668E-4</v>
      </c>
      <c r="I482" s="375">
        <v>5400</v>
      </c>
      <c r="J482" s="375">
        <v>6000</v>
      </c>
      <c r="K482" s="375">
        <v>7</v>
      </c>
      <c r="L482" s="375">
        <v>13323</v>
      </c>
      <c r="M482" s="375">
        <v>9177</v>
      </c>
      <c r="V482" s="375" t="s">
        <v>596</v>
      </c>
    </row>
    <row r="483" spans="1:22" hidden="1" x14ac:dyDescent="0.25">
      <c r="A483" s="377">
        <v>44858</v>
      </c>
      <c r="B483" s="375">
        <v>40000</v>
      </c>
      <c r="C483" s="375">
        <v>24000</v>
      </c>
      <c r="D483" s="375">
        <v>4</v>
      </c>
      <c r="E483" s="375">
        <v>7</v>
      </c>
      <c r="F483" s="375">
        <v>0.4</v>
      </c>
      <c r="G483" s="375">
        <v>30000</v>
      </c>
      <c r="H483" s="376">
        <v>2.2222222222222223E-4</v>
      </c>
      <c r="I483" s="375">
        <v>5400</v>
      </c>
      <c r="J483" s="375">
        <v>6000</v>
      </c>
      <c r="K483" s="375">
        <v>7</v>
      </c>
      <c r="L483" s="375">
        <v>18144</v>
      </c>
      <c r="M483" s="375">
        <v>9356</v>
      </c>
      <c r="V483" s="375" t="s">
        <v>596</v>
      </c>
    </row>
    <row r="484" spans="1:22" hidden="1" x14ac:dyDescent="0.25">
      <c r="A484" s="377">
        <v>44859</v>
      </c>
      <c r="B484" s="375">
        <v>40000</v>
      </c>
      <c r="C484" s="375">
        <v>24000</v>
      </c>
      <c r="D484" s="375">
        <v>4</v>
      </c>
      <c r="E484" s="375">
        <v>7</v>
      </c>
      <c r="F484" s="375">
        <v>0.4</v>
      </c>
      <c r="G484" s="375">
        <v>30000</v>
      </c>
      <c r="H484" s="376">
        <v>2.2222222222222223E-4</v>
      </c>
      <c r="I484" s="375">
        <v>5400</v>
      </c>
      <c r="J484" s="375">
        <v>6000</v>
      </c>
      <c r="K484" s="375">
        <v>7</v>
      </c>
      <c r="L484" s="375">
        <v>17844</v>
      </c>
      <c r="M484" s="375">
        <v>9356</v>
      </c>
      <c r="V484" s="375" t="s">
        <v>596</v>
      </c>
    </row>
    <row r="485" spans="1:22" hidden="1" x14ac:dyDescent="0.25">
      <c r="A485" s="377">
        <v>44860</v>
      </c>
      <c r="B485" s="375">
        <v>40000</v>
      </c>
      <c r="C485" s="375">
        <v>24000</v>
      </c>
      <c r="D485" s="375">
        <v>4</v>
      </c>
      <c r="E485" s="375">
        <v>7</v>
      </c>
      <c r="F485" s="375">
        <v>0.4</v>
      </c>
      <c r="G485" s="375">
        <v>30000</v>
      </c>
      <c r="H485" s="376">
        <v>2.2222222222222223E-4</v>
      </c>
      <c r="I485" s="375">
        <v>5400</v>
      </c>
      <c r="J485" s="375">
        <v>6000</v>
      </c>
      <c r="K485" s="375">
        <v>7</v>
      </c>
      <c r="L485" s="375">
        <v>17683</v>
      </c>
      <c r="M485" s="375">
        <v>9517</v>
      </c>
      <c r="V485" s="375" t="s">
        <v>596</v>
      </c>
    </row>
    <row r="486" spans="1:22" hidden="1" x14ac:dyDescent="0.25">
      <c r="A486" s="377">
        <v>44861</v>
      </c>
      <c r="B486" s="375">
        <v>30000</v>
      </c>
      <c r="C486" s="375">
        <v>18000</v>
      </c>
      <c r="D486" s="375">
        <v>3</v>
      </c>
      <c r="E486" s="375">
        <v>6</v>
      </c>
      <c r="F486" s="375">
        <v>0.4</v>
      </c>
      <c r="G486" s="375">
        <v>30000</v>
      </c>
      <c r="H486" s="376">
        <v>1.6666666666666666E-4</v>
      </c>
      <c r="I486" s="375">
        <v>5400</v>
      </c>
      <c r="J486" s="375">
        <v>6000</v>
      </c>
      <c r="K486" s="375">
        <v>5</v>
      </c>
      <c r="L486" s="375">
        <v>17683</v>
      </c>
      <c r="M486" s="375">
        <v>9517</v>
      </c>
      <c r="V486" s="375" t="s">
        <v>596</v>
      </c>
    </row>
    <row r="487" spans="1:22" hidden="1" x14ac:dyDescent="0.25">
      <c r="A487" s="377">
        <v>44862</v>
      </c>
      <c r="B487" s="375">
        <v>30000</v>
      </c>
      <c r="C487" s="375">
        <v>18000</v>
      </c>
      <c r="D487" s="375">
        <v>3</v>
      </c>
      <c r="E487" s="375">
        <v>6</v>
      </c>
      <c r="F487" s="375">
        <v>0.4</v>
      </c>
      <c r="G487" s="375">
        <v>30000</v>
      </c>
      <c r="H487" s="376">
        <v>1.6666666666666666E-4</v>
      </c>
      <c r="I487" s="375">
        <v>5400</v>
      </c>
      <c r="J487" s="375">
        <v>6000</v>
      </c>
      <c r="K487" s="375">
        <v>5</v>
      </c>
      <c r="L487" s="375">
        <v>17216</v>
      </c>
      <c r="M487" s="375">
        <v>9984</v>
      </c>
      <c r="V487" s="375" t="s">
        <v>596</v>
      </c>
    </row>
    <row r="488" spans="1:22" hidden="1" x14ac:dyDescent="0.25">
      <c r="A488" s="377">
        <v>44863</v>
      </c>
      <c r="B488" s="375">
        <v>30000</v>
      </c>
      <c r="C488" s="375">
        <v>18000</v>
      </c>
      <c r="D488" s="375">
        <v>3</v>
      </c>
      <c r="E488" s="375">
        <v>6</v>
      </c>
      <c r="F488" s="375">
        <v>0.4</v>
      </c>
      <c r="G488" s="375">
        <v>40000</v>
      </c>
      <c r="H488" s="376">
        <v>1.25E-4</v>
      </c>
      <c r="I488" s="375">
        <v>5400</v>
      </c>
      <c r="J488" s="375">
        <v>6000</v>
      </c>
      <c r="K488" s="375">
        <v>5</v>
      </c>
      <c r="L488" s="375">
        <v>27216</v>
      </c>
      <c r="M488" s="375">
        <v>9984</v>
      </c>
      <c r="V488" s="375" t="s">
        <v>596</v>
      </c>
    </row>
    <row r="489" spans="1:22" hidden="1" x14ac:dyDescent="0.25">
      <c r="A489" s="377">
        <v>44864</v>
      </c>
      <c r="B489" s="375">
        <v>30000</v>
      </c>
      <c r="C489" s="375">
        <v>18000</v>
      </c>
      <c r="D489" s="375">
        <v>3</v>
      </c>
      <c r="E489" s="375">
        <v>6</v>
      </c>
      <c r="F489" s="375">
        <v>0.4</v>
      </c>
      <c r="G489" s="375">
        <v>40000</v>
      </c>
      <c r="H489" s="376">
        <v>1.25E-4</v>
      </c>
      <c r="I489" s="375">
        <v>5400</v>
      </c>
      <c r="J489" s="375">
        <v>6000</v>
      </c>
      <c r="K489" s="375">
        <v>5</v>
      </c>
      <c r="L489" s="375">
        <v>26779</v>
      </c>
      <c r="M489" s="375">
        <v>10421</v>
      </c>
      <c r="V489" s="375" t="s">
        <v>596</v>
      </c>
    </row>
    <row r="490" spans="1:22" hidden="1" x14ac:dyDescent="0.25">
      <c r="A490" s="377">
        <v>44865</v>
      </c>
      <c r="B490" s="375">
        <v>930000</v>
      </c>
      <c r="C490" s="375">
        <v>558000</v>
      </c>
      <c r="D490" s="375">
        <v>113</v>
      </c>
      <c r="E490" s="375">
        <v>188</v>
      </c>
      <c r="F490" s="375">
        <v>0.4</v>
      </c>
      <c r="G490" s="375">
        <v>40000</v>
      </c>
      <c r="H490" s="376">
        <v>4.2272727272727271E-3</v>
      </c>
      <c r="I490" s="375">
        <v>4950</v>
      </c>
      <c r="J490" s="375">
        <v>5500</v>
      </c>
      <c r="K490" s="375">
        <v>169</v>
      </c>
      <c r="L490" s="375">
        <v>23419</v>
      </c>
      <c r="M490" s="375">
        <v>11181</v>
      </c>
      <c r="V490" s="375" t="s">
        <v>596</v>
      </c>
    </row>
    <row r="491" spans="1:22" hidden="1" x14ac:dyDescent="0.25">
      <c r="A491" s="377">
        <v>44866</v>
      </c>
      <c r="B491" s="375">
        <v>1100000</v>
      </c>
      <c r="C491" s="375">
        <v>660000</v>
      </c>
      <c r="D491" s="375">
        <v>133</v>
      </c>
      <c r="E491" s="375">
        <v>222</v>
      </c>
      <c r="F491" s="375">
        <v>0.4</v>
      </c>
      <c r="G491" s="375">
        <v>45000</v>
      </c>
      <c r="H491" s="376">
        <v>4.4444444444444444E-3</v>
      </c>
      <c r="I491" s="375">
        <v>4950</v>
      </c>
      <c r="J491" s="375">
        <v>5500</v>
      </c>
      <c r="K491" s="375">
        <v>200</v>
      </c>
      <c r="L491" s="375">
        <v>30819</v>
      </c>
      <c r="M491" s="375">
        <v>11181</v>
      </c>
      <c r="V491" s="375" t="s">
        <v>596</v>
      </c>
    </row>
    <row r="492" spans="1:22" hidden="1" x14ac:dyDescent="0.25">
      <c r="A492" s="377">
        <v>44867</v>
      </c>
      <c r="B492" s="375">
        <v>600000</v>
      </c>
      <c r="C492" s="375">
        <v>360000</v>
      </c>
      <c r="D492" s="375">
        <v>89</v>
      </c>
      <c r="E492" s="375">
        <v>148</v>
      </c>
      <c r="F492" s="375">
        <v>0.4</v>
      </c>
      <c r="G492" s="375">
        <v>40000</v>
      </c>
      <c r="H492" s="376">
        <v>3.3333333333333348E-3</v>
      </c>
      <c r="I492" s="375">
        <v>4050</v>
      </c>
      <c r="J492" s="375">
        <v>4500</v>
      </c>
      <c r="K492" s="375">
        <v>133</v>
      </c>
      <c r="L492" s="375">
        <v>26579</v>
      </c>
      <c r="M492" s="375">
        <v>10421</v>
      </c>
      <c r="V492" s="375" t="s">
        <v>596</v>
      </c>
    </row>
    <row r="493" spans="1:22" hidden="1" x14ac:dyDescent="0.25">
      <c r="A493" s="377">
        <v>44868</v>
      </c>
      <c r="B493" s="375">
        <v>600000</v>
      </c>
      <c r="C493" s="375">
        <v>360000</v>
      </c>
      <c r="D493" s="375">
        <v>89</v>
      </c>
      <c r="E493" s="375">
        <v>148</v>
      </c>
      <c r="F493" s="375">
        <v>0.4</v>
      </c>
      <c r="G493" s="375">
        <v>40000</v>
      </c>
      <c r="H493" s="376">
        <v>3.3333333333333327E-3</v>
      </c>
      <c r="I493" s="375">
        <v>4050</v>
      </c>
      <c r="J493" s="375">
        <v>4500</v>
      </c>
      <c r="K493" s="375">
        <v>133</v>
      </c>
      <c r="L493" s="375">
        <v>26579</v>
      </c>
      <c r="M493" s="375">
        <v>10421</v>
      </c>
      <c r="V493" s="375" t="s">
        <v>596</v>
      </c>
    </row>
    <row r="494" spans="1:22" hidden="1" x14ac:dyDescent="0.25">
      <c r="A494" s="377">
        <v>44869</v>
      </c>
      <c r="B494" s="375">
        <v>200000</v>
      </c>
      <c r="C494" s="375">
        <v>120000</v>
      </c>
      <c r="D494" s="375">
        <v>30</v>
      </c>
      <c r="E494" s="375">
        <v>49</v>
      </c>
      <c r="F494" s="375">
        <v>0.4</v>
      </c>
      <c r="G494" s="375">
        <v>30000</v>
      </c>
      <c r="H494" s="376">
        <v>1.4814814814814814E-3</v>
      </c>
      <c r="I494" s="375">
        <v>4050</v>
      </c>
      <c r="J494" s="375">
        <v>4500</v>
      </c>
      <c r="K494" s="375">
        <v>44</v>
      </c>
      <c r="L494" s="375">
        <v>17067</v>
      </c>
      <c r="M494" s="375">
        <v>10333</v>
      </c>
      <c r="V494" s="375" t="s">
        <v>596</v>
      </c>
    </row>
    <row r="495" spans="1:22" hidden="1" x14ac:dyDescent="0.25">
      <c r="A495" s="377">
        <v>44870</v>
      </c>
      <c r="B495" s="375">
        <v>200000</v>
      </c>
      <c r="C495" s="375">
        <v>120000</v>
      </c>
      <c r="D495" s="375">
        <v>30</v>
      </c>
      <c r="E495" s="375">
        <v>49</v>
      </c>
      <c r="F495" s="375">
        <v>0.4</v>
      </c>
      <c r="G495" s="375">
        <v>30000</v>
      </c>
      <c r="H495" s="376">
        <v>1.4814814814814814E-3</v>
      </c>
      <c r="I495" s="375">
        <v>4050</v>
      </c>
      <c r="J495" s="375">
        <v>4500</v>
      </c>
      <c r="K495" s="375">
        <v>44</v>
      </c>
      <c r="L495" s="375">
        <v>17067</v>
      </c>
      <c r="M495" s="375">
        <v>10333</v>
      </c>
      <c r="V495" s="375" t="s">
        <v>596</v>
      </c>
    </row>
    <row r="496" spans="1:22" hidden="1" x14ac:dyDescent="0.25">
      <c r="A496" s="377">
        <v>44871</v>
      </c>
      <c r="B496" s="375">
        <v>250000</v>
      </c>
      <c r="C496" s="375">
        <v>150000</v>
      </c>
      <c r="D496" s="375">
        <v>37</v>
      </c>
      <c r="E496" s="375">
        <v>62</v>
      </c>
      <c r="F496" s="375">
        <v>0.4</v>
      </c>
      <c r="G496" s="375">
        <v>30000</v>
      </c>
      <c r="H496" s="376">
        <v>1.8518518518518519E-3</v>
      </c>
      <c r="I496" s="375">
        <v>4050</v>
      </c>
      <c r="J496" s="375">
        <v>4500</v>
      </c>
      <c r="K496" s="375">
        <v>56</v>
      </c>
      <c r="L496" s="375">
        <v>17067</v>
      </c>
      <c r="M496" s="375">
        <v>10333</v>
      </c>
      <c r="V496" s="375" t="s">
        <v>596</v>
      </c>
    </row>
    <row r="497" spans="1:22" hidden="1" x14ac:dyDescent="0.25">
      <c r="A497" s="377">
        <v>44872</v>
      </c>
      <c r="B497" s="375">
        <v>250000</v>
      </c>
      <c r="C497" s="375">
        <v>150000</v>
      </c>
      <c r="D497" s="375">
        <v>37</v>
      </c>
      <c r="E497" s="375">
        <v>62</v>
      </c>
      <c r="F497" s="375">
        <v>0.4</v>
      </c>
      <c r="G497" s="375">
        <v>30000</v>
      </c>
      <c r="H497" s="376">
        <v>1.8518518518518519E-3</v>
      </c>
      <c r="I497" s="375">
        <v>4050</v>
      </c>
      <c r="J497" s="375">
        <v>4500</v>
      </c>
      <c r="K497" s="375">
        <v>56</v>
      </c>
      <c r="L497" s="375">
        <v>17067</v>
      </c>
      <c r="M497" s="375">
        <v>10333</v>
      </c>
      <c r="V497" s="375" t="s">
        <v>596</v>
      </c>
    </row>
    <row r="498" spans="1:22" hidden="1" x14ac:dyDescent="0.25">
      <c r="A498" s="377">
        <v>44873</v>
      </c>
      <c r="B498" s="375">
        <v>250000</v>
      </c>
      <c r="C498" s="375">
        <v>150000</v>
      </c>
      <c r="D498" s="375">
        <v>37</v>
      </c>
      <c r="E498" s="375">
        <v>62</v>
      </c>
      <c r="F498" s="375">
        <v>0.4</v>
      </c>
      <c r="G498" s="375">
        <v>30000</v>
      </c>
      <c r="H498" s="376">
        <v>1.8518518518518519E-3</v>
      </c>
      <c r="I498" s="375">
        <v>4050</v>
      </c>
      <c r="J498" s="375">
        <v>4500</v>
      </c>
      <c r="K498" s="375">
        <v>56</v>
      </c>
      <c r="L498" s="375">
        <v>16629</v>
      </c>
      <c r="M498" s="375">
        <v>10771</v>
      </c>
      <c r="V498" s="375" t="s">
        <v>596</v>
      </c>
    </row>
    <row r="499" spans="1:22" hidden="1" x14ac:dyDescent="0.25">
      <c r="A499" s="377">
        <v>44874</v>
      </c>
      <c r="B499" s="375">
        <v>250000</v>
      </c>
      <c r="C499" s="375">
        <v>150000</v>
      </c>
      <c r="D499" s="375">
        <v>37</v>
      </c>
      <c r="E499" s="375">
        <v>62</v>
      </c>
      <c r="F499" s="375">
        <v>0.4</v>
      </c>
      <c r="G499" s="375">
        <v>30000</v>
      </c>
      <c r="H499" s="376">
        <v>1.8518518518518519E-3</v>
      </c>
      <c r="I499" s="375">
        <v>4050</v>
      </c>
      <c r="J499" s="375">
        <v>4500</v>
      </c>
      <c r="K499" s="375">
        <v>56</v>
      </c>
      <c r="L499" s="375">
        <v>16629</v>
      </c>
      <c r="M499" s="375">
        <v>10771</v>
      </c>
      <c r="V499" s="375" t="s">
        <v>596</v>
      </c>
    </row>
    <row r="500" spans="1:22" hidden="1" x14ac:dyDescent="0.25">
      <c r="A500" s="377">
        <v>44875</v>
      </c>
      <c r="B500" s="375">
        <v>960000</v>
      </c>
      <c r="C500" s="375">
        <v>576000</v>
      </c>
      <c r="D500" s="375">
        <v>142</v>
      </c>
      <c r="E500" s="375">
        <v>237</v>
      </c>
      <c r="F500" s="375">
        <v>0.4</v>
      </c>
      <c r="G500" s="375">
        <v>30000</v>
      </c>
      <c r="H500" s="376">
        <v>7.1111111111111115E-3</v>
      </c>
      <c r="I500" s="375">
        <v>4050</v>
      </c>
      <c r="J500" s="375">
        <v>4500</v>
      </c>
      <c r="K500" s="375">
        <v>213</v>
      </c>
      <c r="L500" s="375">
        <v>15819</v>
      </c>
      <c r="M500" s="375">
        <v>11181</v>
      </c>
      <c r="V500" s="375" t="s">
        <v>596</v>
      </c>
    </row>
    <row r="501" spans="1:22" hidden="1" x14ac:dyDescent="0.25">
      <c r="A501" s="377">
        <v>44876</v>
      </c>
      <c r="B501" s="375">
        <v>1000000</v>
      </c>
      <c r="C501" s="375">
        <v>600000</v>
      </c>
      <c r="D501" s="375">
        <v>148</v>
      </c>
      <c r="E501" s="375">
        <v>247</v>
      </c>
      <c r="F501" s="375">
        <v>0.4</v>
      </c>
      <c r="G501" s="375">
        <v>40000</v>
      </c>
      <c r="H501" s="376">
        <v>5.5555555555555558E-3</v>
      </c>
      <c r="I501" s="375">
        <v>4050</v>
      </c>
      <c r="J501" s="375">
        <v>4500</v>
      </c>
      <c r="K501" s="375">
        <v>222</v>
      </c>
      <c r="L501" s="375">
        <v>26229</v>
      </c>
      <c r="M501" s="375">
        <v>10771</v>
      </c>
      <c r="V501" s="375" t="s">
        <v>596</v>
      </c>
    </row>
    <row r="502" spans="1:22" hidden="1" x14ac:dyDescent="0.25">
      <c r="A502" s="377">
        <v>44877</v>
      </c>
      <c r="B502" s="375">
        <v>80000</v>
      </c>
      <c r="C502" s="375">
        <v>48000</v>
      </c>
      <c r="D502" s="375">
        <v>11</v>
      </c>
      <c r="E502" s="375">
        <v>20</v>
      </c>
      <c r="F502" s="375">
        <v>0.4</v>
      </c>
      <c r="G502" s="375">
        <v>15000</v>
      </c>
      <c r="H502" s="376">
        <v>1.1851851851851852E-3</v>
      </c>
      <c r="I502" s="375">
        <v>4000</v>
      </c>
      <c r="J502" s="375">
        <v>4500</v>
      </c>
      <c r="K502" s="375">
        <v>18</v>
      </c>
      <c r="L502" s="375">
        <v>10327</v>
      </c>
      <c r="M502" s="375">
        <v>4673</v>
      </c>
      <c r="V502" s="375" t="s">
        <v>596</v>
      </c>
    </row>
    <row r="503" spans="1:22" hidden="1" x14ac:dyDescent="0.25">
      <c r="A503" s="377">
        <v>44878</v>
      </c>
      <c r="B503" s="375">
        <v>80000</v>
      </c>
      <c r="C503" s="375">
        <v>48000</v>
      </c>
      <c r="D503" s="375">
        <v>11</v>
      </c>
      <c r="E503" s="375">
        <v>20</v>
      </c>
      <c r="F503" s="375">
        <v>0.4</v>
      </c>
      <c r="G503" s="375">
        <v>15000</v>
      </c>
      <c r="H503" s="376">
        <v>1.1851851851851852E-3</v>
      </c>
      <c r="I503" s="375">
        <v>4000</v>
      </c>
      <c r="J503" s="375">
        <v>4500</v>
      </c>
      <c r="K503" s="375">
        <v>18</v>
      </c>
      <c r="L503" s="375">
        <v>10327</v>
      </c>
      <c r="M503" s="375">
        <v>4673</v>
      </c>
      <c r="V503" s="375" t="s">
        <v>596</v>
      </c>
    </row>
    <row r="504" spans="1:22" hidden="1" x14ac:dyDescent="0.25">
      <c r="A504" s="377">
        <v>44879</v>
      </c>
      <c r="B504" s="375">
        <v>80000</v>
      </c>
      <c r="C504" s="375">
        <v>48000</v>
      </c>
      <c r="D504" s="375">
        <v>11</v>
      </c>
      <c r="E504" s="375">
        <v>20</v>
      </c>
      <c r="F504" s="375">
        <v>0.4</v>
      </c>
      <c r="G504" s="375">
        <v>15000</v>
      </c>
      <c r="H504" s="376">
        <v>1.1851851851851852E-3</v>
      </c>
      <c r="I504" s="375">
        <v>4000</v>
      </c>
      <c r="J504" s="375">
        <v>4500</v>
      </c>
      <c r="K504" s="375">
        <v>18</v>
      </c>
      <c r="L504" s="375">
        <v>10327</v>
      </c>
      <c r="M504" s="375">
        <v>4673</v>
      </c>
      <c r="V504" s="375" t="s">
        <v>596</v>
      </c>
    </row>
    <row r="505" spans="1:22" hidden="1" x14ac:dyDescent="0.25">
      <c r="A505" s="377">
        <v>44880</v>
      </c>
      <c r="B505" s="375">
        <v>80000</v>
      </c>
      <c r="C505" s="375">
        <v>48000</v>
      </c>
      <c r="D505" s="375">
        <v>11</v>
      </c>
      <c r="E505" s="375">
        <v>20</v>
      </c>
      <c r="F505" s="375">
        <v>0.4</v>
      </c>
      <c r="G505" s="375">
        <v>15000</v>
      </c>
      <c r="H505" s="376">
        <v>1.1851851851851852E-3</v>
      </c>
      <c r="I505" s="375">
        <v>4000</v>
      </c>
      <c r="J505" s="375">
        <v>4500</v>
      </c>
      <c r="K505" s="375">
        <v>18</v>
      </c>
      <c r="L505" s="375">
        <v>10327</v>
      </c>
      <c r="M505" s="375">
        <v>4673</v>
      </c>
      <c r="V505" s="375" t="s">
        <v>596</v>
      </c>
    </row>
    <row r="506" spans="1:22" hidden="1" x14ac:dyDescent="0.25">
      <c r="A506" s="377">
        <v>44881</v>
      </c>
      <c r="B506" s="375">
        <v>80000</v>
      </c>
      <c r="C506" s="375">
        <v>48000</v>
      </c>
      <c r="D506" s="375">
        <v>11</v>
      </c>
      <c r="E506" s="375">
        <v>20</v>
      </c>
      <c r="F506" s="375">
        <v>0.4</v>
      </c>
      <c r="G506" s="375">
        <v>15000</v>
      </c>
      <c r="H506" s="376">
        <v>1.1851851851851852E-3</v>
      </c>
      <c r="I506" s="375">
        <v>4000</v>
      </c>
      <c r="J506" s="375">
        <v>4500</v>
      </c>
      <c r="K506" s="375">
        <v>18</v>
      </c>
      <c r="L506" s="375">
        <v>10327</v>
      </c>
      <c r="M506" s="375">
        <v>4673</v>
      </c>
      <c r="V506" s="375" t="s">
        <v>596</v>
      </c>
    </row>
    <row r="507" spans="1:22" hidden="1" x14ac:dyDescent="0.25">
      <c r="A507" s="377">
        <v>44882</v>
      </c>
      <c r="B507" s="375">
        <v>80000</v>
      </c>
      <c r="C507" s="375">
        <v>48000</v>
      </c>
      <c r="D507" s="375">
        <v>11</v>
      </c>
      <c r="E507" s="375">
        <v>20</v>
      </c>
      <c r="F507" s="375">
        <v>0.4</v>
      </c>
      <c r="G507" s="375">
        <v>15000</v>
      </c>
      <c r="H507" s="376">
        <v>1.1851851851851852E-3</v>
      </c>
      <c r="I507" s="375">
        <v>4000</v>
      </c>
      <c r="J507" s="375">
        <v>4500</v>
      </c>
      <c r="K507" s="375">
        <v>18</v>
      </c>
      <c r="L507" s="375">
        <v>10327</v>
      </c>
      <c r="M507" s="375">
        <v>4673</v>
      </c>
      <c r="V507" s="375" t="s">
        <v>596</v>
      </c>
    </row>
    <row r="508" spans="1:22" hidden="1" x14ac:dyDescent="0.25">
      <c r="A508" s="377">
        <v>44883</v>
      </c>
      <c r="B508" s="375">
        <v>80000</v>
      </c>
      <c r="C508" s="375">
        <v>48000</v>
      </c>
      <c r="D508" s="375">
        <v>11</v>
      </c>
      <c r="E508" s="375">
        <v>20</v>
      </c>
      <c r="F508" s="375">
        <v>0.4</v>
      </c>
      <c r="G508" s="375">
        <v>15000</v>
      </c>
      <c r="H508" s="376">
        <v>1.1851851851851852E-3</v>
      </c>
      <c r="I508" s="375">
        <v>4000</v>
      </c>
      <c r="J508" s="375">
        <v>4500</v>
      </c>
      <c r="K508" s="375">
        <v>18</v>
      </c>
      <c r="L508" s="375">
        <v>10327</v>
      </c>
      <c r="M508" s="375">
        <v>4673</v>
      </c>
      <c r="V508" s="375" t="s">
        <v>596</v>
      </c>
    </row>
    <row r="509" spans="1:22" hidden="1" x14ac:dyDescent="0.25">
      <c r="A509" s="377">
        <v>44884</v>
      </c>
      <c r="B509" s="375">
        <v>80000</v>
      </c>
      <c r="C509" s="375">
        <v>48000</v>
      </c>
      <c r="D509" s="375">
        <v>11</v>
      </c>
      <c r="E509" s="375">
        <v>20</v>
      </c>
      <c r="F509" s="375">
        <v>0.4</v>
      </c>
      <c r="G509" s="375">
        <v>15000</v>
      </c>
      <c r="H509" s="376">
        <v>1.1851851851851852E-3</v>
      </c>
      <c r="I509" s="375">
        <v>4000</v>
      </c>
      <c r="J509" s="375">
        <v>4500</v>
      </c>
      <c r="K509" s="375">
        <v>18</v>
      </c>
      <c r="L509" s="375">
        <v>10327</v>
      </c>
      <c r="M509" s="375">
        <v>4673</v>
      </c>
      <c r="V509" s="375" t="s">
        <v>596</v>
      </c>
    </row>
    <row r="510" spans="1:22" hidden="1" x14ac:dyDescent="0.25">
      <c r="A510" s="377">
        <v>44885</v>
      </c>
      <c r="B510" s="375">
        <v>80000</v>
      </c>
      <c r="C510" s="375">
        <v>48000</v>
      </c>
      <c r="D510" s="375">
        <v>11</v>
      </c>
      <c r="E510" s="375">
        <v>20</v>
      </c>
      <c r="F510" s="375">
        <v>0.4</v>
      </c>
      <c r="G510" s="375">
        <v>15000</v>
      </c>
      <c r="H510" s="376">
        <v>1.1851851851851852E-3</v>
      </c>
      <c r="I510" s="375">
        <v>4000</v>
      </c>
      <c r="J510" s="375">
        <v>4500</v>
      </c>
      <c r="K510" s="375">
        <v>18</v>
      </c>
      <c r="L510" s="375">
        <v>10327</v>
      </c>
      <c r="M510" s="375">
        <v>4673</v>
      </c>
      <c r="V510" s="375" t="s">
        <v>596</v>
      </c>
    </row>
    <row r="511" spans="1:22" hidden="1" x14ac:dyDescent="0.25">
      <c r="A511" s="377">
        <v>44886</v>
      </c>
      <c r="B511" s="375">
        <v>80000</v>
      </c>
      <c r="C511" s="375">
        <v>48000</v>
      </c>
      <c r="D511" s="375">
        <v>11</v>
      </c>
      <c r="E511" s="375">
        <v>20</v>
      </c>
      <c r="F511" s="375">
        <v>0.4</v>
      </c>
      <c r="G511" s="375">
        <v>15000</v>
      </c>
      <c r="H511" s="376">
        <v>1.1851851851851852E-3</v>
      </c>
      <c r="I511" s="375">
        <v>4000</v>
      </c>
      <c r="J511" s="375">
        <v>4500</v>
      </c>
      <c r="K511" s="375">
        <v>18</v>
      </c>
      <c r="L511" s="375">
        <v>10327</v>
      </c>
      <c r="M511" s="375">
        <v>4673</v>
      </c>
      <c r="V511" s="375" t="s">
        <v>596</v>
      </c>
    </row>
    <row r="512" spans="1:22" hidden="1" x14ac:dyDescent="0.25">
      <c r="A512" s="377">
        <v>44887</v>
      </c>
      <c r="B512" s="375">
        <v>80000</v>
      </c>
      <c r="C512" s="375">
        <v>48000</v>
      </c>
      <c r="D512" s="375">
        <v>11</v>
      </c>
      <c r="E512" s="375">
        <v>20</v>
      </c>
      <c r="F512" s="375">
        <v>0.4</v>
      </c>
      <c r="G512" s="375">
        <v>15000</v>
      </c>
      <c r="H512" s="376">
        <v>1.1851851851851852E-3</v>
      </c>
      <c r="I512" s="375">
        <v>4000</v>
      </c>
      <c r="J512" s="375">
        <v>4500</v>
      </c>
      <c r="K512" s="375">
        <v>18</v>
      </c>
      <c r="L512" s="375">
        <v>10327</v>
      </c>
      <c r="M512" s="375">
        <v>4673</v>
      </c>
      <c r="V512" s="375" t="s">
        <v>596</v>
      </c>
    </row>
    <row r="513" spans="1:22" hidden="1" x14ac:dyDescent="0.25">
      <c r="A513" s="377">
        <v>44888</v>
      </c>
      <c r="B513" s="375">
        <v>80000</v>
      </c>
      <c r="C513" s="375">
        <v>48000</v>
      </c>
      <c r="D513" s="375">
        <v>11</v>
      </c>
      <c r="E513" s="375">
        <v>20</v>
      </c>
      <c r="F513" s="375">
        <v>0.4</v>
      </c>
      <c r="G513" s="375">
        <v>15000</v>
      </c>
      <c r="H513" s="376">
        <v>1.1851851851851852E-3</v>
      </c>
      <c r="I513" s="375">
        <v>4000</v>
      </c>
      <c r="J513" s="375">
        <v>4500</v>
      </c>
      <c r="K513" s="375">
        <v>18</v>
      </c>
      <c r="L513" s="375">
        <v>10327</v>
      </c>
      <c r="M513" s="375">
        <v>4673</v>
      </c>
      <c r="V513" s="375" t="s">
        <v>596</v>
      </c>
    </row>
    <row r="514" spans="1:22" hidden="1" x14ac:dyDescent="0.25">
      <c r="A514" s="377">
        <v>44889</v>
      </c>
      <c r="B514" s="375">
        <v>80000</v>
      </c>
      <c r="C514" s="375">
        <v>48000</v>
      </c>
      <c r="D514" s="375">
        <v>11</v>
      </c>
      <c r="E514" s="375">
        <v>20</v>
      </c>
      <c r="F514" s="375">
        <v>0.4</v>
      </c>
      <c r="G514" s="375">
        <v>15000</v>
      </c>
      <c r="H514" s="376">
        <v>1.1851851851851852E-3</v>
      </c>
      <c r="I514" s="375">
        <v>4000</v>
      </c>
      <c r="J514" s="375">
        <v>4500</v>
      </c>
      <c r="K514" s="375">
        <v>18</v>
      </c>
      <c r="L514" s="375">
        <v>9830</v>
      </c>
      <c r="M514" s="375">
        <v>5170</v>
      </c>
      <c r="V514" s="375" t="s">
        <v>596</v>
      </c>
    </row>
    <row r="515" spans="1:22" hidden="1" x14ac:dyDescent="0.25">
      <c r="A515" s="377">
        <v>44890</v>
      </c>
      <c r="B515" s="375">
        <v>80000</v>
      </c>
      <c r="C515" s="375">
        <v>48000</v>
      </c>
      <c r="D515" s="375">
        <v>11</v>
      </c>
      <c r="E515" s="375">
        <v>20</v>
      </c>
      <c r="F515" s="375">
        <v>0.4</v>
      </c>
      <c r="G515" s="375">
        <v>15000</v>
      </c>
      <c r="H515" s="376">
        <v>1.1851851851851852E-3</v>
      </c>
      <c r="I515" s="375">
        <v>4000</v>
      </c>
      <c r="J515" s="375">
        <v>4500</v>
      </c>
      <c r="K515" s="375">
        <v>18</v>
      </c>
      <c r="L515" s="375">
        <v>9407</v>
      </c>
      <c r="M515" s="375">
        <v>5593</v>
      </c>
      <c r="V515" s="375" t="s">
        <v>596</v>
      </c>
    </row>
    <row r="516" spans="1:22" hidden="1" x14ac:dyDescent="0.25">
      <c r="A516" s="377">
        <v>44891</v>
      </c>
      <c r="B516" s="375">
        <v>70000</v>
      </c>
      <c r="C516" s="375">
        <v>42000</v>
      </c>
      <c r="D516" s="375">
        <v>9</v>
      </c>
      <c r="E516" s="375">
        <v>18</v>
      </c>
      <c r="F516" s="375">
        <v>0.4</v>
      </c>
      <c r="G516" s="375">
        <v>18000</v>
      </c>
      <c r="H516" s="376">
        <v>8.6419753086419747E-4</v>
      </c>
      <c r="I516" s="375">
        <v>4000</v>
      </c>
      <c r="J516" s="375">
        <v>4500</v>
      </c>
      <c r="K516" s="375">
        <v>16</v>
      </c>
      <c r="L516" s="375">
        <v>12041</v>
      </c>
      <c r="M516" s="375">
        <v>5959</v>
      </c>
      <c r="V516" s="375" t="s">
        <v>596</v>
      </c>
    </row>
    <row r="517" spans="1:22" hidden="1" x14ac:dyDescent="0.25">
      <c r="A517" s="377">
        <v>44892</v>
      </c>
      <c r="B517" s="375">
        <v>70000</v>
      </c>
      <c r="C517" s="375">
        <v>42000</v>
      </c>
      <c r="D517" s="375">
        <v>9</v>
      </c>
      <c r="E517" s="375">
        <v>18</v>
      </c>
      <c r="F517" s="375">
        <v>0.4</v>
      </c>
      <c r="G517" s="375">
        <v>18000</v>
      </c>
      <c r="H517" s="376">
        <v>8.6419753086419747E-4</v>
      </c>
      <c r="I517" s="375">
        <v>4000</v>
      </c>
      <c r="J517" s="375">
        <v>4500</v>
      </c>
      <c r="K517" s="375">
        <v>16</v>
      </c>
      <c r="L517" s="375">
        <v>11719</v>
      </c>
      <c r="M517" s="375">
        <v>6281</v>
      </c>
      <c r="V517" s="375" t="s">
        <v>596</v>
      </c>
    </row>
    <row r="518" spans="1:22" hidden="1" x14ac:dyDescent="0.25">
      <c r="A518" s="377">
        <v>44893</v>
      </c>
      <c r="B518" s="375">
        <v>200000</v>
      </c>
      <c r="C518" s="375">
        <v>120000</v>
      </c>
      <c r="D518" s="375">
        <v>27</v>
      </c>
      <c r="E518" s="375">
        <v>50</v>
      </c>
      <c r="F518" s="375">
        <v>0.4</v>
      </c>
      <c r="G518" s="375">
        <v>22000</v>
      </c>
      <c r="H518" s="376">
        <v>2.0202020202020202E-3</v>
      </c>
      <c r="I518" s="375">
        <v>4000</v>
      </c>
      <c r="J518" s="375">
        <v>4500</v>
      </c>
      <c r="K518" s="375">
        <v>44</v>
      </c>
      <c r="L518" s="375">
        <v>15719</v>
      </c>
      <c r="M518" s="375">
        <v>6281</v>
      </c>
      <c r="V518" s="375" t="s">
        <v>596</v>
      </c>
    </row>
    <row r="519" spans="1:22" hidden="1" x14ac:dyDescent="0.25">
      <c r="A519" s="377">
        <v>44894</v>
      </c>
      <c r="B519" s="375">
        <v>100000</v>
      </c>
      <c r="C519" s="375">
        <v>60000</v>
      </c>
      <c r="D519" s="375">
        <v>13</v>
      </c>
      <c r="E519" s="375">
        <v>25</v>
      </c>
      <c r="F519" s="375">
        <v>0.4</v>
      </c>
      <c r="G519" s="375">
        <v>20000</v>
      </c>
      <c r="H519" s="376">
        <v>1.1111111111111111E-3</v>
      </c>
      <c r="I519" s="375">
        <v>4000</v>
      </c>
      <c r="J519" s="375">
        <v>4500</v>
      </c>
      <c r="K519" s="375">
        <v>22</v>
      </c>
      <c r="L519" s="375">
        <v>13719</v>
      </c>
      <c r="M519" s="375">
        <v>6281</v>
      </c>
      <c r="V519" s="375" t="s">
        <v>596</v>
      </c>
    </row>
    <row r="520" spans="1:22" hidden="1" x14ac:dyDescent="0.25">
      <c r="A520" s="377">
        <v>44895</v>
      </c>
      <c r="B520" s="375">
        <v>77889</v>
      </c>
      <c r="C520" s="375">
        <v>46733</v>
      </c>
      <c r="D520" s="375">
        <v>10</v>
      </c>
      <c r="E520" s="375">
        <v>19</v>
      </c>
      <c r="F520" s="375">
        <v>0.4</v>
      </c>
      <c r="G520" s="375">
        <v>15000</v>
      </c>
      <c r="H520" s="376">
        <v>1.1539111111111111E-3</v>
      </c>
      <c r="I520" s="375">
        <v>4000</v>
      </c>
      <c r="J520" s="375">
        <v>4500</v>
      </c>
      <c r="K520" s="375">
        <v>17</v>
      </c>
      <c r="L520" s="375">
        <v>10327</v>
      </c>
      <c r="M520" s="375">
        <v>4673</v>
      </c>
      <c r="V520" s="375" t="s">
        <v>596</v>
      </c>
    </row>
    <row r="521" spans="1:22" hidden="1" x14ac:dyDescent="0.25">
      <c r="A521" s="377">
        <v>44896</v>
      </c>
      <c r="B521" s="375">
        <v>100000</v>
      </c>
      <c r="C521" s="375">
        <v>60000</v>
      </c>
      <c r="D521" s="375">
        <v>13</v>
      </c>
      <c r="E521" s="375">
        <v>22</v>
      </c>
      <c r="F521" s="375">
        <v>0.4</v>
      </c>
      <c r="G521" s="375">
        <v>16000</v>
      </c>
      <c r="H521" s="376">
        <v>1.25E-3</v>
      </c>
      <c r="I521" s="375">
        <v>4500</v>
      </c>
      <c r="J521" s="375">
        <v>5000</v>
      </c>
      <c r="K521" s="375">
        <v>20</v>
      </c>
      <c r="M521" s="375">
        <v>6121</v>
      </c>
      <c r="V521" s="375" t="s">
        <v>596</v>
      </c>
    </row>
    <row r="522" spans="1:22" hidden="1" x14ac:dyDescent="0.25">
      <c r="A522" s="377">
        <v>44897</v>
      </c>
      <c r="B522" s="375">
        <v>100000</v>
      </c>
      <c r="C522" s="375">
        <v>60000</v>
      </c>
      <c r="D522" s="375">
        <v>13</v>
      </c>
      <c r="E522" s="375">
        <v>22</v>
      </c>
      <c r="F522" s="375">
        <v>0.4</v>
      </c>
      <c r="G522" s="375">
        <v>16000</v>
      </c>
      <c r="H522" s="376">
        <v>1.25E-3</v>
      </c>
      <c r="I522" s="375">
        <v>4500</v>
      </c>
      <c r="J522" s="375">
        <v>5000</v>
      </c>
      <c r="K522" s="375">
        <v>20</v>
      </c>
      <c r="M522" s="375">
        <v>6121</v>
      </c>
      <c r="V522" s="375" t="s">
        <v>596</v>
      </c>
    </row>
    <row r="523" spans="1:22" hidden="1" x14ac:dyDescent="0.25">
      <c r="A523" s="377">
        <v>44898</v>
      </c>
      <c r="B523" s="375">
        <v>100000</v>
      </c>
      <c r="C523" s="375">
        <v>60000</v>
      </c>
      <c r="D523" s="375">
        <v>13</v>
      </c>
      <c r="E523" s="375">
        <v>22</v>
      </c>
      <c r="F523" s="375">
        <v>0.4</v>
      </c>
      <c r="G523" s="375">
        <v>16000</v>
      </c>
      <c r="H523" s="376">
        <v>1.25E-3</v>
      </c>
      <c r="I523" s="375">
        <v>4500</v>
      </c>
      <c r="J523" s="375">
        <v>5000</v>
      </c>
      <c r="K523" s="375">
        <v>20</v>
      </c>
      <c r="M523" s="375">
        <v>6613</v>
      </c>
      <c r="V523" s="375" t="s">
        <v>596</v>
      </c>
    </row>
    <row r="524" spans="1:22" hidden="1" x14ac:dyDescent="0.25">
      <c r="A524" s="377">
        <v>44899</v>
      </c>
      <c r="B524" s="375">
        <v>100000</v>
      </c>
      <c r="C524" s="375">
        <v>60000</v>
      </c>
      <c r="D524" s="375">
        <v>13</v>
      </c>
      <c r="E524" s="375">
        <v>22</v>
      </c>
      <c r="F524" s="375">
        <v>0.4</v>
      </c>
      <c r="G524" s="375">
        <v>16000</v>
      </c>
      <c r="H524" s="376">
        <v>1.25E-3</v>
      </c>
      <c r="I524" s="375">
        <v>4500</v>
      </c>
      <c r="J524" s="375">
        <v>5000</v>
      </c>
      <c r="K524" s="375">
        <v>20</v>
      </c>
      <c r="M524" s="375">
        <v>6613</v>
      </c>
      <c r="V524" s="375" t="s">
        <v>596</v>
      </c>
    </row>
    <row r="525" spans="1:22" hidden="1" x14ac:dyDescent="0.25">
      <c r="A525" s="377">
        <v>44900</v>
      </c>
      <c r="B525" s="375">
        <v>100000</v>
      </c>
      <c r="C525" s="375">
        <v>60000</v>
      </c>
      <c r="D525" s="375">
        <v>13</v>
      </c>
      <c r="E525" s="375">
        <v>22</v>
      </c>
      <c r="F525" s="375">
        <v>0.4</v>
      </c>
      <c r="G525" s="375">
        <v>16000</v>
      </c>
      <c r="H525" s="376">
        <v>1.25E-3</v>
      </c>
      <c r="I525" s="375">
        <v>4500</v>
      </c>
      <c r="J525" s="375">
        <v>5000</v>
      </c>
      <c r="K525" s="375">
        <v>20</v>
      </c>
      <c r="M525" s="375">
        <v>6988</v>
      </c>
      <c r="V525" s="375" t="s">
        <v>596</v>
      </c>
    </row>
    <row r="526" spans="1:22" hidden="1" x14ac:dyDescent="0.25">
      <c r="A526" s="377">
        <v>44901</v>
      </c>
      <c r="B526" s="375">
        <v>100000</v>
      </c>
      <c r="C526" s="375">
        <v>60000</v>
      </c>
      <c r="D526" s="375">
        <v>13</v>
      </c>
      <c r="E526" s="375">
        <v>22</v>
      </c>
      <c r="F526" s="375">
        <v>0.4</v>
      </c>
      <c r="G526" s="375">
        <v>16000</v>
      </c>
      <c r="H526" s="376">
        <v>1.25E-3</v>
      </c>
      <c r="I526" s="375">
        <v>4500</v>
      </c>
      <c r="J526" s="375">
        <v>5000</v>
      </c>
      <c r="K526" s="375">
        <v>20</v>
      </c>
      <c r="M526" s="375">
        <v>6793</v>
      </c>
      <c r="V526" s="375" t="s">
        <v>596</v>
      </c>
    </row>
    <row r="527" spans="1:22" hidden="1" x14ac:dyDescent="0.25">
      <c r="A527" s="377">
        <v>44902</v>
      </c>
      <c r="B527" s="375">
        <v>100000</v>
      </c>
      <c r="C527" s="375">
        <v>60000</v>
      </c>
      <c r="D527" s="375">
        <v>13</v>
      </c>
      <c r="E527" s="375">
        <v>22</v>
      </c>
      <c r="F527" s="375">
        <v>0.4</v>
      </c>
      <c r="G527" s="375">
        <v>16000</v>
      </c>
      <c r="H527" s="376">
        <v>1.25E-3</v>
      </c>
      <c r="I527" s="375">
        <v>4500</v>
      </c>
      <c r="J527" s="375">
        <v>5000</v>
      </c>
      <c r="K527" s="375">
        <v>20</v>
      </c>
      <c r="M527" s="375">
        <v>6693</v>
      </c>
      <c r="V527" s="375" t="s">
        <v>596</v>
      </c>
    </row>
    <row r="528" spans="1:22" hidden="1" x14ac:dyDescent="0.25">
      <c r="A528" s="377">
        <v>44903</v>
      </c>
      <c r="B528" s="375">
        <v>100000</v>
      </c>
      <c r="C528" s="375">
        <v>60000</v>
      </c>
      <c r="D528" s="375">
        <v>13</v>
      </c>
      <c r="E528" s="375">
        <v>22</v>
      </c>
      <c r="F528" s="375">
        <v>0.4</v>
      </c>
      <c r="G528" s="375">
        <v>25000</v>
      </c>
      <c r="H528" s="376">
        <v>8.0000000000000004E-4</v>
      </c>
      <c r="I528" s="375">
        <v>4500</v>
      </c>
      <c r="J528" s="375">
        <v>5000</v>
      </c>
      <c r="K528" s="375">
        <v>20</v>
      </c>
      <c r="M528" s="375">
        <v>7111</v>
      </c>
      <c r="V528" s="375" t="s">
        <v>596</v>
      </c>
    </row>
    <row r="529" spans="1:22" hidden="1" x14ac:dyDescent="0.25">
      <c r="A529" s="377">
        <v>44904</v>
      </c>
      <c r="B529" s="375">
        <v>100000</v>
      </c>
      <c r="C529" s="375">
        <v>60000</v>
      </c>
      <c r="D529" s="375">
        <v>13</v>
      </c>
      <c r="E529" s="375">
        <v>22</v>
      </c>
      <c r="F529" s="375">
        <v>0.4</v>
      </c>
      <c r="G529" s="375">
        <v>25000</v>
      </c>
      <c r="H529" s="376">
        <v>8.0000000000000004E-4</v>
      </c>
      <c r="I529" s="375">
        <v>4500</v>
      </c>
      <c r="J529" s="375">
        <v>5000</v>
      </c>
      <c r="K529" s="375">
        <v>20</v>
      </c>
      <c r="M529" s="375">
        <v>7471</v>
      </c>
      <c r="V529" s="375" t="s">
        <v>596</v>
      </c>
    </row>
    <row r="530" spans="1:22" hidden="1" x14ac:dyDescent="0.25">
      <c r="A530" s="377">
        <v>44905</v>
      </c>
      <c r="B530" s="375">
        <v>1200000</v>
      </c>
      <c r="C530" s="375">
        <v>720000</v>
      </c>
      <c r="D530" s="375">
        <v>160</v>
      </c>
      <c r="E530" s="375">
        <v>267</v>
      </c>
      <c r="F530" s="375">
        <v>0.4</v>
      </c>
      <c r="G530" s="375">
        <v>30000</v>
      </c>
      <c r="H530" s="376">
        <v>8.0000000000000002E-3</v>
      </c>
      <c r="I530" s="375">
        <v>4500</v>
      </c>
      <c r="J530" s="375">
        <v>5000</v>
      </c>
      <c r="K530" s="375">
        <v>240</v>
      </c>
      <c r="M530" s="375">
        <v>7537</v>
      </c>
      <c r="V530" s="375" t="s">
        <v>596</v>
      </c>
    </row>
    <row r="531" spans="1:22" hidden="1" x14ac:dyDescent="0.25">
      <c r="A531" s="377">
        <v>44906</v>
      </c>
      <c r="B531" s="375">
        <v>500000</v>
      </c>
      <c r="C531" s="375">
        <v>300000</v>
      </c>
      <c r="D531" s="375">
        <v>67</v>
      </c>
      <c r="E531" s="375">
        <v>111</v>
      </c>
      <c r="F531" s="375">
        <v>0.4</v>
      </c>
      <c r="G531" s="375">
        <v>30000</v>
      </c>
      <c r="H531" s="376">
        <v>3.3333333333333335E-3</v>
      </c>
      <c r="I531" s="375">
        <v>4500</v>
      </c>
      <c r="J531" s="375">
        <v>5000</v>
      </c>
      <c r="K531" s="375">
        <v>100</v>
      </c>
      <c r="M531" s="375">
        <v>7828</v>
      </c>
      <c r="V531" s="375" t="s">
        <v>596</v>
      </c>
    </row>
    <row r="532" spans="1:22" hidden="1" x14ac:dyDescent="0.25">
      <c r="A532" s="377">
        <v>44907</v>
      </c>
      <c r="B532" s="375">
        <v>600000</v>
      </c>
      <c r="C532" s="375">
        <v>360000</v>
      </c>
      <c r="D532" s="375">
        <v>80</v>
      </c>
      <c r="E532" s="375">
        <v>133</v>
      </c>
      <c r="F532" s="375">
        <v>0.4</v>
      </c>
      <c r="G532" s="375">
        <v>30000</v>
      </c>
      <c r="H532" s="376">
        <v>4.0000000000000001E-3</v>
      </c>
      <c r="I532" s="375">
        <v>4500</v>
      </c>
      <c r="J532" s="375">
        <v>5000</v>
      </c>
      <c r="K532" s="375">
        <v>120</v>
      </c>
      <c r="M532" s="375">
        <v>7828</v>
      </c>
      <c r="V532" s="375" t="s">
        <v>596</v>
      </c>
    </row>
    <row r="533" spans="1:22" hidden="1" x14ac:dyDescent="0.25">
      <c r="A533" s="377">
        <v>44908</v>
      </c>
      <c r="B533" s="375">
        <v>100000</v>
      </c>
      <c r="C533" s="375">
        <v>60000</v>
      </c>
      <c r="D533" s="375">
        <v>13</v>
      </c>
      <c r="E533" s="375">
        <v>22</v>
      </c>
      <c r="F533" s="375">
        <v>0.4</v>
      </c>
      <c r="G533" s="375">
        <v>16000</v>
      </c>
      <c r="H533" s="376">
        <v>1.25E-3</v>
      </c>
      <c r="I533" s="375">
        <v>4500</v>
      </c>
      <c r="J533" s="375">
        <v>5000</v>
      </c>
      <c r="K533" s="375">
        <v>20</v>
      </c>
      <c r="M533" s="375">
        <v>7537</v>
      </c>
      <c r="V533" s="375" t="s">
        <v>596</v>
      </c>
    </row>
    <row r="534" spans="1:22" hidden="1" x14ac:dyDescent="0.25">
      <c r="A534" s="377">
        <v>44909</v>
      </c>
      <c r="B534" s="375">
        <v>100000</v>
      </c>
      <c r="C534" s="375">
        <v>60000</v>
      </c>
      <c r="D534" s="375">
        <v>13</v>
      </c>
      <c r="E534" s="375">
        <v>22</v>
      </c>
      <c r="F534" s="375">
        <v>0.4</v>
      </c>
      <c r="G534" s="375">
        <v>16000</v>
      </c>
      <c r="H534" s="376">
        <v>1.25E-3</v>
      </c>
      <c r="I534" s="375">
        <v>4500</v>
      </c>
      <c r="J534" s="375">
        <v>5000</v>
      </c>
      <c r="K534" s="375">
        <v>20</v>
      </c>
      <c r="M534" s="375">
        <v>7537</v>
      </c>
      <c r="V534" s="375" t="s">
        <v>596</v>
      </c>
    </row>
    <row r="535" spans="1:22" hidden="1" x14ac:dyDescent="0.25">
      <c r="A535" s="377">
        <v>44910</v>
      </c>
      <c r="B535" s="375">
        <v>100000</v>
      </c>
      <c r="C535" s="375">
        <v>60000</v>
      </c>
      <c r="D535" s="375">
        <v>13</v>
      </c>
      <c r="E535" s="375">
        <v>22</v>
      </c>
      <c r="F535" s="375">
        <v>0.4</v>
      </c>
      <c r="G535" s="375">
        <v>26000</v>
      </c>
      <c r="H535" s="376">
        <v>6.9930069930069941E-4</v>
      </c>
      <c r="I535" s="375">
        <v>4500</v>
      </c>
      <c r="J535" s="375">
        <v>5500</v>
      </c>
      <c r="K535" s="375">
        <v>18</v>
      </c>
      <c r="M535" s="375">
        <v>6761</v>
      </c>
      <c r="V535" s="375" t="s">
        <v>596</v>
      </c>
    </row>
    <row r="536" spans="1:22" hidden="1" x14ac:dyDescent="0.25">
      <c r="A536" s="377">
        <v>44911</v>
      </c>
      <c r="B536" s="375">
        <v>110000</v>
      </c>
      <c r="C536" s="375">
        <v>66000</v>
      </c>
      <c r="D536" s="375">
        <v>15</v>
      </c>
      <c r="E536" s="375">
        <v>24</v>
      </c>
      <c r="F536" s="375">
        <v>0.4</v>
      </c>
      <c r="G536" s="375">
        <v>26000</v>
      </c>
      <c r="H536" s="376">
        <v>7.6923076923076923E-4</v>
      </c>
      <c r="I536" s="375">
        <v>4500</v>
      </c>
      <c r="J536" s="375">
        <v>5500</v>
      </c>
      <c r="K536" s="375">
        <v>20</v>
      </c>
      <c r="M536" s="375">
        <v>6761</v>
      </c>
      <c r="V536" s="375" t="s">
        <v>596</v>
      </c>
    </row>
    <row r="537" spans="1:22" hidden="1" x14ac:dyDescent="0.25">
      <c r="A537" s="377">
        <v>44912</v>
      </c>
      <c r="B537" s="375">
        <v>110000</v>
      </c>
      <c r="C537" s="375">
        <v>66000</v>
      </c>
      <c r="D537" s="375">
        <v>15</v>
      </c>
      <c r="E537" s="375">
        <v>24</v>
      </c>
      <c r="F537" s="375">
        <v>0.4</v>
      </c>
      <c r="G537" s="375">
        <v>26000</v>
      </c>
      <c r="H537" s="376">
        <v>7.6923076923076923E-4</v>
      </c>
      <c r="I537" s="375">
        <v>4500</v>
      </c>
      <c r="J537" s="375">
        <v>5500</v>
      </c>
      <c r="K537" s="375">
        <v>20</v>
      </c>
      <c r="M537" s="375">
        <v>6761</v>
      </c>
      <c r="V537" s="375" t="s">
        <v>596</v>
      </c>
    </row>
    <row r="538" spans="1:22" hidden="1" x14ac:dyDescent="0.25">
      <c r="A538" s="377">
        <v>44913</v>
      </c>
      <c r="B538" s="375">
        <v>110000</v>
      </c>
      <c r="C538" s="375">
        <v>66000</v>
      </c>
      <c r="D538" s="375">
        <v>15</v>
      </c>
      <c r="E538" s="375">
        <v>24</v>
      </c>
      <c r="F538" s="375">
        <v>0.4</v>
      </c>
      <c r="G538" s="375">
        <v>26000</v>
      </c>
      <c r="H538" s="376">
        <v>7.6923076923076923E-4</v>
      </c>
      <c r="I538" s="375">
        <v>4500</v>
      </c>
      <c r="J538" s="375">
        <v>5500</v>
      </c>
      <c r="K538" s="375">
        <v>20</v>
      </c>
      <c r="M538" s="375">
        <v>6761</v>
      </c>
      <c r="V538" s="375" t="s">
        <v>596</v>
      </c>
    </row>
    <row r="539" spans="1:22" hidden="1" x14ac:dyDescent="0.25">
      <c r="A539" s="377">
        <v>44914</v>
      </c>
      <c r="B539" s="375">
        <v>110000</v>
      </c>
      <c r="C539" s="375">
        <v>66000</v>
      </c>
      <c r="D539" s="375">
        <v>15</v>
      </c>
      <c r="E539" s="375">
        <v>24</v>
      </c>
      <c r="F539" s="375">
        <v>0.4</v>
      </c>
      <c r="G539" s="375">
        <v>26000</v>
      </c>
      <c r="H539" s="376">
        <v>7.6923076923076923E-4</v>
      </c>
      <c r="I539" s="375">
        <v>4500</v>
      </c>
      <c r="J539" s="375">
        <v>5500</v>
      </c>
      <c r="K539" s="375">
        <v>20</v>
      </c>
      <c r="M539" s="375">
        <v>7206</v>
      </c>
      <c r="V539" s="375" t="s">
        <v>596</v>
      </c>
    </row>
    <row r="540" spans="1:22" hidden="1" x14ac:dyDescent="0.25">
      <c r="A540" s="377">
        <v>44915</v>
      </c>
      <c r="B540" s="375">
        <v>110000</v>
      </c>
      <c r="C540" s="375">
        <v>66000</v>
      </c>
      <c r="D540" s="375">
        <v>15</v>
      </c>
      <c r="E540" s="375">
        <v>24</v>
      </c>
      <c r="F540" s="375">
        <v>0.4</v>
      </c>
      <c r="G540" s="375">
        <v>26000</v>
      </c>
      <c r="H540" s="376">
        <v>7.6923076923076923E-4</v>
      </c>
      <c r="I540" s="375">
        <v>4500</v>
      </c>
      <c r="J540" s="375">
        <v>5500</v>
      </c>
      <c r="K540" s="375">
        <v>20</v>
      </c>
      <c r="M540" s="375">
        <v>7068</v>
      </c>
      <c r="V540" s="375" t="s">
        <v>596</v>
      </c>
    </row>
    <row r="541" spans="1:22" hidden="1" x14ac:dyDescent="0.25">
      <c r="A541" s="377">
        <v>44916</v>
      </c>
      <c r="B541" s="375">
        <v>110000</v>
      </c>
      <c r="C541" s="375">
        <v>66000</v>
      </c>
      <c r="D541" s="375">
        <v>15</v>
      </c>
      <c r="E541" s="375">
        <v>24</v>
      </c>
      <c r="F541" s="375">
        <v>0.4</v>
      </c>
      <c r="G541" s="375">
        <v>26000</v>
      </c>
      <c r="H541" s="376">
        <v>7.6923076923076923E-4</v>
      </c>
      <c r="I541" s="375">
        <v>4500</v>
      </c>
      <c r="J541" s="375">
        <v>5500</v>
      </c>
      <c r="K541" s="375">
        <v>20</v>
      </c>
      <c r="M541" s="375">
        <v>7068</v>
      </c>
      <c r="V541" s="375" t="s">
        <v>596</v>
      </c>
    </row>
    <row r="542" spans="1:22" hidden="1" x14ac:dyDescent="0.25">
      <c r="A542" s="377">
        <v>44917</v>
      </c>
      <c r="B542" s="375">
        <v>110000</v>
      </c>
      <c r="C542" s="375">
        <v>66000</v>
      </c>
      <c r="D542" s="375">
        <v>15</v>
      </c>
      <c r="E542" s="375">
        <v>24</v>
      </c>
      <c r="F542" s="375">
        <v>0.4</v>
      </c>
      <c r="G542" s="375">
        <v>26000</v>
      </c>
      <c r="H542" s="376">
        <v>7.6923076923076923E-4</v>
      </c>
      <c r="I542" s="375">
        <v>4500</v>
      </c>
      <c r="J542" s="375">
        <v>5500</v>
      </c>
      <c r="K542" s="375">
        <v>20</v>
      </c>
      <c r="M542" s="375">
        <v>7931</v>
      </c>
      <c r="V542" s="375" t="s">
        <v>596</v>
      </c>
    </row>
    <row r="543" spans="1:22" hidden="1" x14ac:dyDescent="0.25">
      <c r="A543" s="377">
        <v>44918</v>
      </c>
      <c r="B543" s="375">
        <v>110000</v>
      </c>
      <c r="C543" s="375">
        <v>66000</v>
      </c>
      <c r="D543" s="375">
        <v>15</v>
      </c>
      <c r="E543" s="375">
        <v>24</v>
      </c>
      <c r="F543" s="375">
        <v>0.4</v>
      </c>
      <c r="G543" s="375">
        <v>26000</v>
      </c>
      <c r="H543" s="376">
        <v>7.6923076923076923E-4</v>
      </c>
      <c r="I543" s="375">
        <v>4500</v>
      </c>
      <c r="J543" s="375">
        <v>5500</v>
      </c>
      <c r="K543" s="375">
        <v>20</v>
      </c>
      <c r="M543" s="375">
        <v>7931</v>
      </c>
      <c r="V543" s="375" t="s">
        <v>596</v>
      </c>
    </row>
    <row r="544" spans="1:22" hidden="1" x14ac:dyDescent="0.25">
      <c r="A544" s="377">
        <v>44919</v>
      </c>
      <c r="B544" s="375">
        <v>110000</v>
      </c>
      <c r="C544" s="375">
        <v>66000</v>
      </c>
      <c r="D544" s="375">
        <v>15</v>
      </c>
      <c r="E544" s="375">
        <v>24</v>
      </c>
      <c r="F544" s="375">
        <v>0.4</v>
      </c>
      <c r="G544" s="375">
        <v>26000</v>
      </c>
      <c r="H544" s="376">
        <v>7.6923076923076923E-4</v>
      </c>
      <c r="I544" s="375">
        <v>4500</v>
      </c>
      <c r="J544" s="375">
        <v>5500</v>
      </c>
      <c r="K544" s="375">
        <v>20</v>
      </c>
      <c r="M544" s="375">
        <v>7931</v>
      </c>
      <c r="V544" s="375" t="s">
        <v>596</v>
      </c>
    </row>
    <row r="545" spans="1:22" hidden="1" x14ac:dyDescent="0.25">
      <c r="A545" s="377">
        <v>44920</v>
      </c>
      <c r="B545" s="375">
        <v>110000</v>
      </c>
      <c r="C545" s="375">
        <v>66000</v>
      </c>
      <c r="D545" s="375">
        <v>15</v>
      </c>
      <c r="E545" s="375">
        <v>24</v>
      </c>
      <c r="F545" s="375">
        <v>0.4</v>
      </c>
      <c r="G545" s="375">
        <v>26000</v>
      </c>
      <c r="H545" s="376">
        <v>7.6923076923076923E-4</v>
      </c>
      <c r="I545" s="375">
        <v>4500</v>
      </c>
      <c r="J545" s="375">
        <v>5500</v>
      </c>
      <c r="K545" s="375">
        <v>20</v>
      </c>
      <c r="M545" s="375">
        <v>7931</v>
      </c>
      <c r="V545" s="375" t="s">
        <v>596</v>
      </c>
    </row>
    <row r="546" spans="1:22" hidden="1" x14ac:dyDescent="0.25">
      <c r="A546" s="377">
        <v>44921</v>
      </c>
      <c r="B546" s="375">
        <v>120000</v>
      </c>
      <c r="C546" s="375">
        <v>72000</v>
      </c>
      <c r="D546" s="375">
        <v>16</v>
      </c>
      <c r="E546" s="375">
        <v>27</v>
      </c>
      <c r="F546" s="375">
        <v>0.4</v>
      </c>
      <c r="G546" s="375">
        <v>26000</v>
      </c>
      <c r="H546" s="376">
        <v>8.3916083916083905E-4</v>
      </c>
      <c r="I546" s="375">
        <v>4500</v>
      </c>
      <c r="J546" s="375">
        <v>5500</v>
      </c>
      <c r="K546" s="375">
        <v>22</v>
      </c>
      <c r="M546" s="375">
        <v>11681</v>
      </c>
      <c r="V546" s="375" t="s">
        <v>596</v>
      </c>
    </row>
    <row r="547" spans="1:22" hidden="1" x14ac:dyDescent="0.25">
      <c r="A547" s="377">
        <v>44922</v>
      </c>
      <c r="B547" s="375">
        <v>160000</v>
      </c>
      <c r="C547" s="375">
        <v>96000</v>
      </c>
      <c r="D547" s="375">
        <v>21</v>
      </c>
      <c r="E547" s="375">
        <v>36</v>
      </c>
      <c r="F547" s="375">
        <v>0.4</v>
      </c>
      <c r="G547" s="375">
        <v>163000</v>
      </c>
      <c r="H547" s="376">
        <v>1.7847183491355269E-4</v>
      </c>
      <c r="I547" s="375">
        <v>4500</v>
      </c>
      <c r="J547" s="375">
        <v>5500</v>
      </c>
      <c r="K547" s="375">
        <v>29</v>
      </c>
      <c r="M547" s="375">
        <v>22601</v>
      </c>
      <c r="V547" s="375" t="s">
        <v>596</v>
      </c>
    </row>
    <row r="548" spans="1:22" hidden="1" x14ac:dyDescent="0.25">
      <c r="A548" s="377">
        <v>44923</v>
      </c>
      <c r="B548" s="375">
        <v>150000</v>
      </c>
      <c r="C548" s="375">
        <v>90000</v>
      </c>
      <c r="D548" s="375">
        <v>20</v>
      </c>
      <c r="E548" s="375">
        <v>33</v>
      </c>
      <c r="F548" s="375">
        <v>0.4</v>
      </c>
      <c r="G548" s="375">
        <v>163000</v>
      </c>
      <c r="H548" s="376">
        <v>1.6731734523145567E-4</v>
      </c>
      <c r="I548" s="375">
        <v>4500</v>
      </c>
      <c r="J548" s="375">
        <v>5500</v>
      </c>
      <c r="K548" s="375">
        <v>27</v>
      </c>
      <c r="M548" s="375">
        <v>10902</v>
      </c>
      <c r="V548" s="375" t="s">
        <v>596</v>
      </c>
    </row>
    <row r="549" spans="1:22" hidden="1" x14ac:dyDescent="0.25">
      <c r="A549" s="377">
        <v>44924</v>
      </c>
      <c r="B549" s="375">
        <v>150000</v>
      </c>
      <c r="C549" s="375">
        <v>90000</v>
      </c>
      <c r="D549" s="375">
        <v>20</v>
      </c>
      <c r="E549" s="375">
        <v>33</v>
      </c>
      <c r="F549" s="375">
        <v>0.4</v>
      </c>
      <c r="G549" s="375">
        <v>163000</v>
      </c>
      <c r="H549" s="376">
        <v>1.6731734523145567E-4</v>
      </c>
      <c r="I549" s="375">
        <v>4500</v>
      </c>
      <c r="J549" s="375">
        <v>5500</v>
      </c>
      <c r="K549" s="375">
        <v>27</v>
      </c>
      <c r="M549" s="375">
        <v>9445</v>
      </c>
      <c r="V549" s="375" t="s">
        <v>596</v>
      </c>
    </row>
    <row r="550" spans="1:22" hidden="1" x14ac:dyDescent="0.25">
      <c r="A550" s="377">
        <v>44925</v>
      </c>
      <c r="B550" s="375">
        <v>100000</v>
      </c>
      <c r="C550" s="375">
        <v>60000</v>
      </c>
      <c r="D550" s="375">
        <v>13</v>
      </c>
      <c r="E550" s="375">
        <v>22</v>
      </c>
      <c r="F550" s="375">
        <v>0.4</v>
      </c>
      <c r="G550" s="375">
        <v>16000</v>
      </c>
      <c r="H550" s="376">
        <v>1.1363636363636365E-3</v>
      </c>
      <c r="I550" s="375">
        <v>4500</v>
      </c>
      <c r="J550" s="375">
        <v>5500</v>
      </c>
      <c r="K550" s="375">
        <v>18</v>
      </c>
      <c r="M550" s="375">
        <v>6517</v>
      </c>
      <c r="V550" s="375" t="s">
        <v>596</v>
      </c>
    </row>
    <row r="551" spans="1:22" hidden="1" x14ac:dyDescent="0.25">
      <c r="A551" s="377">
        <v>44926</v>
      </c>
      <c r="B551" s="375">
        <v>114483</v>
      </c>
      <c r="C551" s="375">
        <v>68690</v>
      </c>
      <c r="D551" s="375">
        <v>15</v>
      </c>
      <c r="E551" s="375">
        <v>25</v>
      </c>
      <c r="F551" s="375">
        <v>0.4</v>
      </c>
      <c r="G551" s="375">
        <v>16000</v>
      </c>
      <c r="H551" s="376">
        <v>1.3009431818181818E-3</v>
      </c>
      <c r="I551" s="375">
        <v>4500</v>
      </c>
      <c r="J551" s="375">
        <v>5500</v>
      </c>
      <c r="K551" s="375">
        <v>21</v>
      </c>
      <c r="M551" s="375">
        <v>6517</v>
      </c>
      <c r="V551" s="375" t="s">
        <v>596</v>
      </c>
    </row>
    <row r="552" spans="1:22" hidden="1" x14ac:dyDescent="0.25">
      <c r="A552" s="377">
        <v>44927</v>
      </c>
      <c r="B552" s="375">
        <v>200000</v>
      </c>
      <c r="C552" s="375">
        <v>120000</v>
      </c>
      <c r="D552" s="375">
        <v>24</v>
      </c>
      <c r="E552" s="375">
        <v>40</v>
      </c>
      <c r="F552" s="375">
        <v>0.4</v>
      </c>
      <c r="G552" s="375">
        <v>22000</v>
      </c>
      <c r="H552" s="376">
        <v>1.5151515151515154E-3</v>
      </c>
      <c r="I552" s="375">
        <v>5000</v>
      </c>
      <c r="J552" s="375">
        <v>6000</v>
      </c>
      <c r="K552" s="375">
        <v>33</v>
      </c>
      <c r="M552" s="375">
        <v>6436</v>
      </c>
      <c r="V552" s="375" t="s">
        <v>596</v>
      </c>
    </row>
    <row r="553" spans="1:22" hidden="1" x14ac:dyDescent="0.25">
      <c r="A553" s="377">
        <v>44928</v>
      </c>
      <c r="B553" s="375">
        <v>150000</v>
      </c>
      <c r="C553" s="375">
        <v>90000</v>
      </c>
      <c r="D553" s="375">
        <v>18</v>
      </c>
      <c r="E553" s="375">
        <v>30</v>
      </c>
      <c r="F553" s="375">
        <v>0.4</v>
      </c>
      <c r="G553" s="375">
        <v>22000</v>
      </c>
      <c r="H553" s="376">
        <v>1.1363636363636363E-3</v>
      </c>
      <c r="I553" s="375">
        <v>5000</v>
      </c>
      <c r="J553" s="375">
        <v>6000</v>
      </c>
      <c r="K553" s="375">
        <v>25</v>
      </c>
      <c r="M553" s="375">
        <v>5843</v>
      </c>
      <c r="V553" s="375" t="s">
        <v>596</v>
      </c>
    </row>
    <row r="554" spans="1:22" hidden="1" x14ac:dyDescent="0.25">
      <c r="A554" s="377">
        <v>44929</v>
      </c>
      <c r="B554" s="375">
        <v>150000</v>
      </c>
      <c r="C554" s="375">
        <v>90000</v>
      </c>
      <c r="D554" s="375">
        <v>18</v>
      </c>
      <c r="E554" s="375">
        <v>30</v>
      </c>
      <c r="F554" s="375">
        <v>0.4</v>
      </c>
      <c r="G554" s="375">
        <v>22000</v>
      </c>
      <c r="H554" s="376">
        <v>1.1363636363636363E-3</v>
      </c>
      <c r="I554" s="375">
        <v>5000</v>
      </c>
      <c r="J554" s="375">
        <v>6000</v>
      </c>
      <c r="K554" s="375">
        <v>25</v>
      </c>
      <c r="M554" s="375">
        <v>5843</v>
      </c>
      <c r="V554" s="375" t="s">
        <v>596</v>
      </c>
    </row>
    <row r="555" spans="1:22" hidden="1" x14ac:dyDescent="0.25">
      <c r="A555" s="377">
        <v>44930</v>
      </c>
      <c r="B555" s="375">
        <v>180000</v>
      </c>
      <c r="C555" s="375">
        <v>108000</v>
      </c>
      <c r="D555" s="375">
        <v>22</v>
      </c>
      <c r="E555" s="375">
        <v>36</v>
      </c>
      <c r="F555" s="375">
        <v>0.4</v>
      </c>
      <c r="G555" s="375">
        <v>22000</v>
      </c>
      <c r="H555" s="376">
        <v>1.3636363636363637E-3</v>
      </c>
      <c r="I555" s="375">
        <v>5000</v>
      </c>
      <c r="J555" s="375">
        <v>6000</v>
      </c>
      <c r="K555" s="375">
        <v>30</v>
      </c>
      <c r="M555" s="375">
        <v>6436</v>
      </c>
      <c r="V555" s="375" t="s">
        <v>596</v>
      </c>
    </row>
    <row r="556" spans="1:22" hidden="1" x14ac:dyDescent="0.25">
      <c r="A556" s="377">
        <v>44931</v>
      </c>
      <c r="B556" s="375">
        <v>180000</v>
      </c>
      <c r="C556" s="375">
        <v>108000</v>
      </c>
      <c r="D556" s="375">
        <v>22</v>
      </c>
      <c r="E556" s="375">
        <v>36</v>
      </c>
      <c r="F556" s="375">
        <v>0.4</v>
      </c>
      <c r="G556" s="375">
        <v>22000</v>
      </c>
      <c r="H556" s="376">
        <v>1.3636363636363637E-3</v>
      </c>
      <c r="I556" s="375">
        <v>5000</v>
      </c>
      <c r="J556" s="375">
        <v>6000</v>
      </c>
      <c r="K556" s="375">
        <v>30</v>
      </c>
      <c r="M556" s="375">
        <v>6214</v>
      </c>
      <c r="V556" s="375" t="s">
        <v>596</v>
      </c>
    </row>
    <row r="557" spans="1:22" hidden="1" x14ac:dyDescent="0.25">
      <c r="A557" s="377">
        <v>44932</v>
      </c>
      <c r="B557" s="375">
        <v>180000</v>
      </c>
      <c r="C557" s="375">
        <v>108000</v>
      </c>
      <c r="D557" s="375">
        <v>22</v>
      </c>
      <c r="E557" s="375">
        <v>36</v>
      </c>
      <c r="F557" s="375">
        <v>0.4</v>
      </c>
      <c r="G557" s="375">
        <v>22000</v>
      </c>
      <c r="H557" s="376">
        <v>1.3636363636363637E-3</v>
      </c>
      <c r="I557" s="375">
        <v>5000</v>
      </c>
      <c r="J557" s="375">
        <v>6000</v>
      </c>
      <c r="K557" s="375">
        <v>30</v>
      </c>
      <c r="M557" s="375">
        <v>6214</v>
      </c>
      <c r="V557" s="375" t="s">
        <v>596</v>
      </c>
    </row>
    <row r="558" spans="1:22" hidden="1" x14ac:dyDescent="0.25">
      <c r="A558" s="377">
        <v>44933</v>
      </c>
      <c r="B558" s="375">
        <v>190000</v>
      </c>
      <c r="C558" s="375">
        <v>114000</v>
      </c>
      <c r="D558" s="375">
        <v>23</v>
      </c>
      <c r="E558" s="375">
        <v>38</v>
      </c>
      <c r="F558" s="375">
        <v>0.4</v>
      </c>
      <c r="G558" s="375">
        <v>22000</v>
      </c>
      <c r="H558" s="376">
        <v>1.4393939393939396E-3</v>
      </c>
      <c r="I558" s="375">
        <v>5000</v>
      </c>
      <c r="J558" s="375">
        <v>6000</v>
      </c>
      <c r="K558" s="375">
        <v>32</v>
      </c>
      <c r="M558" s="375">
        <v>6214</v>
      </c>
      <c r="V558" s="375" t="s">
        <v>596</v>
      </c>
    </row>
    <row r="559" spans="1:22" hidden="1" x14ac:dyDescent="0.25">
      <c r="A559" s="377">
        <v>44934</v>
      </c>
      <c r="B559" s="375">
        <v>270000</v>
      </c>
      <c r="C559" s="375">
        <v>162000</v>
      </c>
      <c r="D559" s="375">
        <v>32</v>
      </c>
      <c r="E559" s="375">
        <v>54</v>
      </c>
      <c r="F559" s="375">
        <v>0.4</v>
      </c>
      <c r="G559" s="375">
        <v>34000</v>
      </c>
      <c r="H559" s="376">
        <v>1.3235294117647058E-3</v>
      </c>
      <c r="I559" s="375">
        <v>5000</v>
      </c>
      <c r="J559" s="375">
        <v>6000</v>
      </c>
      <c r="K559" s="375">
        <v>45</v>
      </c>
      <c r="M559" s="375">
        <v>5804</v>
      </c>
      <c r="V559" s="375" t="s">
        <v>596</v>
      </c>
    </row>
    <row r="560" spans="1:22" hidden="1" x14ac:dyDescent="0.25">
      <c r="A560" s="377">
        <v>44935</v>
      </c>
      <c r="B560" s="375">
        <v>200000</v>
      </c>
      <c r="C560" s="375">
        <v>120000</v>
      </c>
      <c r="D560" s="375">
        <v>24</v>
      </c>
      <c r="E560" s="375">
        <v>40</v>
      </c>
      <c r="F560" s="375">
        <v>0.4</v>
      </c>
      <c r="G560" s="375">
        <v>22000</v>
      </c>
      <c r="H560" s="376">
        <v>1.5151515151515154E-3</v>
      </c>
      <c r="I560" s="375">
        <v>5000</v>
      </c>
      <c r="J560" s="375">
        <v>6000</v>
      </c>
      <c r="K560" s="375">
        <v>33</v>
      </c>
      <c r="M560" s="375">
        <v>5754</v>
      </c>
      <c r="V560" s="375" t="s">
        <v>596</v>
      </c>
    </row>
    <row r="561" spans="1:22" hidden="1" x14ac:dyDescent="0.25">
      <c r="A561" s="377">
        <v>44936</v>
      </c>
      <c r="B561" s="375">
        <v>200000</v>
      </c>
      <c r="C561" s="375">
        <v>120000</v>
      </c>
      <c r="D561" s="375">
        <v>24</v>
      </c>
      <c r="E561" s="375">
        <v>40</v>
      </c>
      <c r="F561" s="375">
        <v>0.4</v>
      </c>
      <c r="G561" s="375">
        <v>22000</v>
      </c>
      <c r="H561" s="376">
        <v>1.5151515151515154E-3</v>
      </c>
      <c r="I561" s="375">
        <v>5000</v>
      </c>
      <c r="J561" s="375">
        <v>6000</v>
      </c>
      <c r="K561" s="375">
        <v>33</v>
      </c>
      <c r="M561" s="375">
        <v>5754</v>
      </c>
      <c r="V561" s="375" t="s">
        <v>596</v>
      </c>
    </row>
    <row r="562" spans="1:22" hidden="1" x14ac:dyDescent="0.25">
      <c r="A562" s="377">
        <v>44937</v>
      </c>
      <c r="B562" s="375">
        <v>100000</v>
      </c>
      <c r="C562" s="375">
        <v>60000</v>
      </c>
      <c r="D562" s="375">
        <v>12</v>
      </c>
      <c r="E562" s="375">
        <v>20</v>
      </c>
      <c r="F562" s="375">
        <v>0.4</v>
      </c>
      <c r="G562" s="375">
        <v>18000</v>
      </c>
      <c r="H562" s="376">
        <v>9.2592592592592596E-4</v>
      </c>
      <c r="I562" s="375">
        <v>5000</v>
      </c>
      <c r="J562" s="375">
        <v>6000</v>
      </c>
      <c r="K562" s="375">
        <v>17</v>
      </c>
      <c r="M562" s="375">
        <v>4811</v>
      </c>
      <c r="V562" s="375" t="s">
        <v>596</v>
      </c>
    </row>
    <row r="563" spans="1:22" hidden="1" x14ac:dyDescent="0.25">
      <c r="A563" s="377">
        <v>44938</v>
      </c>
      <c r="B563" s="375">
        <v>100000</v>
      </c>
      <c r="C563" s="375">
        <v>60000</v>
      </c>
      <c r="D563" s="375">
        <v>12</v>
      </c>
      <c r="E563" s="375">
        <v>20</v>
      </c>
      <c r="F563" s="375">
        <v>0.4</v>
      </c>
      <c r="G563" s="375">
        <v>18000</v>
      </c>
      <c r="H563" s="376">
        <v>9.2592592592592596E-4</v>
      </c>
      <c r="I563" s="375">
        <v>5000</v>
      </c>
      <c r="J563" s="375">
        <v>6000</v>
      </c>
      <c r="K563" s="375">
        <v>17</v>
      </c>
      <c r="M563" s="375">
        <v>4811</v>
      </c>
      <c r="V563" s="375" t="s">
        <v>596</v>
      </c>
    </row>
    <row r="564" spans="1:22" hidden="1" x14ac:dyDescent="0.25">
      <c r="A564" s="377">
        <v>44939</v>
      </c>
      <c r="B564" s="375">
        <v>100000</v>
      </c>
      <c r="C564" s="375">
        <v>60000</v>
      </c>
      <c r="D564" s="375">
        <v>12</v>
      </c>
      <c r="E564" s="375">
        <v>20</v>
      </c>
      <c r="F564" s="375">
        <v>0.4</v>
      </c>
      <c r="G564" s="375">
        <v>18000</v>
      </c>
      <c r="H564" s="376">
        <v>9.2592592592592596E-4</v>
      </c>
      <c r="I564" s="375">
        <v>5000</v>
      </c>
      <c r="J564" s="375">
        <v>6000</v>
      </c>
      <c r="K564" s="375">
        <v>17</v>
      </c>
      <c r="M564" s="375">
        <v>4811</v>
      </c>
      <c r="V564" s="375" t="s">
        <v>596</v>
      </c>
    </row>
    <row r="565" spans="1:22" hidden="1" x14ac:dyDescent="0.25">
      <c r="A565" s="377">
        <v>44940</v>
      </c>
      <c r="B565" s="375">
        <v>100000</v>
      </c>
      <c r="C565" s="375">
        <v>60000</v>
      </c>
      <c r="D565" s="375">
        <v>12</v>
      </c>
      <c r="E565" s="375">
        <v>20</v>
      </c>
      <c r="F565" s="375">
        <v>0.4</v>
      </c>
      <c r="G565" s="375">
        <v>18000</v>
      </c>
      <c r="H565" s="376">
        <v>9.2592592592592596E-4</v>
      </c>
      <c r="I565" s="375">
        <v>5000</v>
      </c>
      <c r="J565" s="375">
        <v>6000</v>
      </c>
      <c r="K565" s="375">
        <v>17</v>
      </c>
      <c r="M565" s="375">
        <v>4811</v>
      </c>
      <c r="V565" s="375" t="s">
        <v>596</v>
      </c>
    </row>
    <row r="566" spans="1:22" hidden="1" x14ac:dyDescent="0.25">
      <c r="A566" s="377">
        <v>44941</v>
      </c>
      <c r="B566" s="375">
        <v>100000</v>
      </c>
      <c r="C566" s="375">
        <v>60000</v>
      </c>
      <c r="D566" s="375">
        <v>12</v>
      </c>
      <c r="E566" s="375">
        <v>20</v>
      </c>
      <c r="F566" s="375">
        <v>0.4</v>
      </c>
      <c r="G566" s="375">
        <v>18000</v>
      </c>
      <c r="H566" s="376">
        <v>9.2592592592592596E-4</v>
      </c>
      <c r="I566" s="375">
        <v>5000</v>
      </c>
      <c r="J566" s="375">
        <v>6000</v>
      </c>
      <c r="K566" s="375">
        <v>17</v>
      </c>
      <c r="M566" s="375">
        <v>4811</v>
      </c>
      <c r="V566" s="375" t="s">
        <v>596</v>
      </c>
    </row>
    <row r="567" spans="1:22" hidden="1" x14ac:dyDescent="0.25">
      <c r="A567" s="377">
        <v>44942</v>
      </c>
      <c r="B567" s="375">
        <v>100000</v>
      </c>
      <c r="C567" s="375">
        <v>60000</v>
      </c>
      <c r="D567" s="375">
        <v>12</v>
      </c>
      <c r="E567" s="375">
        <v>20</v>
      </c>
      <c r="F567" s="375">
        <v>0.4</v>
      </c>
      <c r="G567" s="375">
        <v>18000</v>
      </c>
      <c r="H567" s="376">
        <v>9.2592592592592596E-4</v>
      </c>
      <c r="I567" s="375">
        <v>5000</v>
      </c>
      <c r="J567" s="375">
        <v>6000</v>
      </c>
      <c r="K567" s="375">
        <v>17</v>
      </c>
      <c r="M567" s="375">
        <v>4811</v>
      </c>
      <c r="V567" s="375" t="s">
        <v>596</v>
      </c>
    </row>
    <row r="568" spans="1:22" hidden="1" x14ac:dyDescent="0.25">
      <c r="A568" s="377">
        <v>44943</v>
      </c>
      <c r="B568" s="375">
        <v>130000</v>
      </c>
      <c r="C568" s="375">
        <v>78000</v>
      </c>
      <c r="D568" s="375">
        <v>16</v>
      </c>
      <c r="E568" s="375">
        <v>26</v>
      </c>
      <c r="F568" s="375">
        <v>0.4</v>
      </c>
      <c r="G568" s="375">
        <v>18000</v>
      </c>
      <c r="H568" s="376">
        <v>1.2037037037037038E-3</v>
      </c>
      <c r="I568" s="375">
        <v>5000</v>
      </c>
      <c r="J568" s="375">
        <v>6000</v>
      </c>
      <c r="K568" s="375">
        <v>22</v>
      </c>
      <c r="M568" s="375">
        <v>4811</v>
      </c>
      <c r="V568" s="375" t="s">
        <v>596</v>
      </c>
    </row>
    <row r="569" spans="1:22" hidden="1" x14ac:dyDescent="0.25">
      <c r="A569" s="377">
        <v>44944</v>
      </c>
      <c r="B569" s="375">
        <v>150000</v>
      </c>
      <c r="C569" s="375">
        <v>90000</v>
      </c>
      <c r="D569" s="375">
        <v>18</v>
      </c>
      <c r="E569" s="375">
        <v>30</v>
      </c>
      <c r="F569" s="375">
        <v>0.4</v>
      </c>
      <c r="G569" s="375">
        <v>18000</v>
      </c>
      <c r="H569" s="376">
        <v>1.3888888888888889E-3</v>
      </c>
      <c r="I569" s="375">
        <v>5000</v>
      </c>
      <c r="J569" s="375">
        <v>6000</v>
      </c>
      <c r="K569" s="375">
        <v>25</v>
      </c>
      <c r="M569" s="375">
        <v>4811</v>
      </c>
      <c r="V569" s="375" t="s">
        <v>596</v>
      </c>
    </row>
    <row r="570" spans="1:22" hidden="1" x14ac:dyDescent="0.25">
      <c r="A570" s="377">
        <v>44945</v>
      </c>
      <c r="B570" s="375">
        <v>150000</v>
      </c>
      <c r="C570" s="375">
        <v>90000</v>
      </c>
      <c r="D570" s="375">
        <v>18</v>
      </c>
      <c r="E570" s="375">
        <v>30</v>
      </c>
      <c r="F570" s="375">
        <v>0.4</v>
      </c>
      <c r="G570" s="375">
        <v>18000</v>
      </c>
      <c r="H570" s="376">
        <v>1.3888888888888889E-3</v>
      </c>
      <c r="I570" s="375">
        <v>5000</v>
      </c>
      <c r="J570" s="375">
        <v>6000</v>
      </c>
      <c r="K570" s="375">
        <v>25</v>
      </c>
      <c r="M570" s="375">
        <v>4811</v>
      </c>
      <c r="V570" s="375" t="s">
        <v>596</v>
      </c>
    </row>
    <row r="571" spans="1:22" hidden="1" x14ac:dyDescent="0.25">
      <c r="A571" s="377">
        <v>44946</v>
      </c>
      <c r="B571" s="375">
        <v>150000</v>
      </c>
      <c r="C571" s="375">
        <v>90000</v>
      </c>
      <c r="D571" s="375">
        <v>18</v>
      </c>
      <c r="E571" s="375">
        <v>30</v>
      </c>
      <c r="F571" s="375">
        <v>0.4</v>
      </c>
      <c r="G571" s="375">
        <v>18000</v>
      </c>
      <c r="H571" s="376">
        <v>1.3888888888888889E-3</v>
      </c>
      <c r="I571" s="375">
        <v>5000</v>
      </c>
      <c r="J571" s="375">
        <v>6000</v>
      </c>
      <c r="K571" s="375">
        <v>25</v>
      </c>
      <c r="M571" s="375">
        <v>4668</v>
      </c>
      <c r="V571" s="375" t="s">
        <v>596</v>
      </c>
    </row>
    <row r="572" spans="1:22" hidden="1" x14ac:dyDescent="0.25">
      <c r="A572" s="377">
        <v>44947</v>
      </c>
      <c r="B572" s="375">
        <v>150000</v>
      </c>
      <c r="C572" s="375">
        <v>90000</v>
      </c>
      <c r="D572" s="375">
        <v>18</v>
      </c>
      <c r="E572" s="375">
        <v>30</v>
      </c>
      <c r="F572" s="375">
        <v>0.4</v>
      </c>
      <c r="G572" s="375">
        <v>18000</v>
      </c>
      <c r="H572" s="376">
        <v>1.3888888888888889E-3</v>
      </c>
      <c r="I572" s="375">
        <v>5000</v>
      </c>
      <c r="J572" s="375">
        <v>6000</v>
      </c>
      <c r="K572" s="375">
        <v>25</v>
      </c>
      <c r="M572" s="375">
        <v>4668</v>
      </c>
      <c r="V572" s="375" t="s">
        <v>596</v>
      </c>
    </row>
    <row r="573" spans="1:22" hidden="1" x14ac:dyDescent="0.25">
      <c r="A573" s="377">
        <v>44948</v>
      </c>
      <c r="B573" s="375">
        <v>150000</v>
      </c>
      <c r="C573" s="375">
        <v>90000</v>
      </c>
      <c r="D573" s="375">
        <v>18</v>
      </c>
      <c r="E573" s="375">
        <v>30</v>
      </c>
      <c r="F573" s="375">
        <v>0.4</v>
      </c>
      <c r="G573" s="375">
        <v>15000</v>
      </c>
      <c r="H573" s="376">
        <v>1.6666666666666668E-3</v>
      </c>
      <c r="I573" s="375">
        <v>5000</v>
      </c>
      <c r="J573" s="375">
        <v>6000</v>
      </c>
      <c r="K573" s="375">
        <v>25</v>
      </c>
      <c r="M573" s="375">
        <v>4668</v>
      </c>
      <c r="V573" s="375" t="s">
        <v>596</v>
      </c>
    </row>
    <row r="574" spans="1:22" hidden="1" x14ac:dyDescent="0.25">
      <c r="A574" s="377">
        <v>44949</v>
      </c>
      <c r="B574" s="375">
        <v>124633</v>
      </c>
      <c r="C574" s="375">
        <v>74780</v>
      </c>
      <c r="D574" s="375">
        <v>15</v>
      </c>
      <c r="E574" s="375">
        <v>25</v>
      </c>
      <c r="F574" s="375">
        <v>0.4</v>
      </c>
      <c r="G574" s="375">
        <v>15000</v>
      </c>
      <c r="H574" s="376">
        <v>1.3848111111111111E-3</v>
      </c>
      <c r="I574" s="375">
        <v>5000</v>
      </c>
      <c r="J574" s="375">
        <v>6000</v>
      </c>
      <c r="K574" s="375">
        <v>21</v>
      </c>
      <c r="M574" s="375">
        <v>4668</v>
      </c>
      <c r="V574" s="375" t="s">
        <v>596</v>
      </c>
    </row>
    <row r="575" spans="1:22" hidden="1" x14ac:dyDescent="0.25">
      <c r="A575" s="377">
        <v>44950</v>
      </c>
      <c r="B575" s="375">
        <v>120000</v>
      </c>
      <c r="C575" s="375">
        <v>72000</v>
      </c>
      <c r="D575" s="375">
        <v>14</v>
      </c>
      <c r="E575" s="375">
        <v>24</v>
      </c>
      <c r="F575" s="375">
        <v>0.4</v>
      </c>
      <c r="G575" s="375">
        <v>20000</v>
      </c>
      <c r="H575" s="376">
        <v>1E-3</v>
      </c>
      <c r="I575" s="375">
        <v>5000</v>
      </c>
      <c r="J575" s="375">
        <v>6000</v>
      </c>
      <c r="K575" s="375">
        <v>20</v>
      </c>
      <c r="M575" s="375">
        <v>3804</v>
      </c>
      <c r="V575" s="375" t="s">
        <v>596</v>
      </c>
    </row>
    <row r="576" spans="1:22" hidden="1" x14ac:dyDescent="0.25">
      <c r="A576" s="377">
        <v>44951</v>
      </c>
      <c r="B576" s="375">
        <v>120000</v>
      </c>
      <c r="C576" s="375">
        <v>72000</v>
      </c>
      <c r="D576" s="375">
        <v>14</v>
      </c>
      <c r="E576" s="375">
        <v>24</v>
      </c>
      <c r="F576" s="375">
        <v>0.4</v>
      </c>
      <c r="G576" s="375">
        <v>20000</v>
      </c>
      <c r="H576" s="376">
        <v>1E-3</v>
      </c>
      <c r="I576" s="375">
        <v>5000</v>
      </c>
      <c r="J576" s="375">
        <v>6000</v>
      </c>
      <c r="K576" s="375">
        <v>20</v>
      </c>
      <c r="M576" s="375">
        <v>3804</v>
      </c>
      <c r="V576" s="375" t="s">
        <v>596</v>
      </c>
    </row>
    <row r="577" spans="1:22" hidden="1" x14ac:dyDescent="0.25">
      <c r="A577" s="377">
        <v>44952</v>
      </c>
      <c r="B577" s="375">
        <v>120000</v>
      </c>
      <c r="C577" s="375">
        <v>72000</v>
      </c>
      <c r="D577" s="375">
        <v>14</v>
      </c>
      <c r="E577" s="375">
        <v>24</v>
      </c>
      <c r="F577" s="375">
        <v>0.4</v>
      </c>
      <c r="G577" s="375">
        <v>18000</v>
      </c>
      <c r="H577" s="376">
        <v>1.1111111111111111E-3</v>
      </c>
      <c r="I577" s="375">
        <v>5000</v>
      </c>
      <c r="J577" s="375">
        <v>6000</v>
      </c>
      <c r="K577" s="375">
        <v>20</v>
      </c>
      <c r="M577" s="375">
        <v>3804</v>
      </c>
      <c r="V577" s="375" t="s">
        <v>596</v>
      </c>
    </row>
    <row r="578" spans="1:22" hidden="1" x14ac:dyDescent="0.25">
      <c r="A578" s="377">
        <v>44953</v>
      </c>
      <c r="B578" s="375">
        <v>120000</v>
      </c>
      <c r="C578" s="375">
        <v>72000</v>
      </c>
      <c r="D578" s="375">
        <v>14</v>
      </c>
      <c r="E578" s="375">
        <v>24</v>
      </c>
      <c r="F578" s="375">
        <v>0.4</v>
      </c>
      <c r="G578" s="375">
        <v>18000</v>
      </c>
      <c r="H578" s="376">
        <v>1.1111111111111111E-3</v>
      </c>
      <c r="I578" s="375">
        <v>5000</v>
      </c>
      <c r="J578" s="375">
        <v>6000</v>
      </c>
      <c r="K578" s="375">
        <v>20</v>
      </c>
      <c r="M578" s="375">
        <v>3804</v>
      </c>
      <c r="V578" s="375" t="s">
        <v>596</v>
      </c>
    </row>
    <row r="579" spans="1:22" hidden="1" x14ac:dyDescent="0.25">
      <c r="A579" s="377">
        <v>44954</v>
      </c>
      <c r="B579" s="375">
        <v>120000</v>
      </c>
      <c r="C579" s="375">
        <v>72000</v>
      </c>
      <c r="D579" s="375">
        <v>14</v>
      </c>
      <c r="E579" s="375">
        <v>24</v>
      </c>
      <c r="F579" s="375">
        <v>0.4</v>
      </c>
      <c r="G579" s="375">
        <v>18000</v>
      </c>
      <c r="H579" s="376">
        <v>1.1111111111111111E-3</v>
      </c>
      <c r="I579" s="375">
        <v>5000</v>
      </c>
      <c r="J579" s="375">
        <v>6000</v>
      </c>
      <c r="K579" s="375">
        <v>20</v>
      </c>
      <c r="M579" s="375">
        <v>3804</v>
      </c>
      <c r="V579" s="375" t="s">
        <v>596</v>
      </c>
    </row>
    <row r="580" spans="1:22" hidden="1" x14ac:dyDescent="0.25">
      <c r="A580" s="377">
        <v>44955</v>
      </c>
      <c r="B580" s="375">
        <v>120000</v>
      </c>
      <c r="C580" s="375">
        <v>72000</v>
      </c>
      <c r="D580" s="375">
        <v>14</v>
      </c>
      <c r="E580" s="375">
        <v>24</v>
      </c>
      <c r="F580" s="375">
        <v>0.4</v>
      </c>
      <c r="G580" s="375">
        <v>18000</v>
      </c>
      <c r="H580" s="376">
        <v>1.1111111111111111E-3</v>
      </c>
      <c r="I580" s="375">
        <v>5000</v>
      </c>
      <c r="J580" s="375">
        <v>6000</v>
      </c>
      <c r="K580" s="375">
        <v>20</v>
      </c>
      <c r="M580" s="375">
        <v>3804</v>
      </c>
      <c r="V580" s="375" t="s">
        <v>596</v>
      </c>
    </row>
    <row r="581" spans="1:22" hidden="1" x14ac:dyDescent="0.25">
      <c r="A581" s="377">
        <v>44956</v>
      </c>
      <c r="B581" s="375">
        <v>120000</v>
      </c>
      <c r="C581" s="375">
        <v>72000</v>
      </c>
      <c r="D581" s="375">
        <v>14</v>
      </c>
      <c r="E581" s="375">
        <v>24</v>
      </c>
      <c r="F581" s="375">
        <v>0.4</v>
      </c>
      <c r="G581" s="375">
        <v>18000</v>
      </c>
      <c r="H581" s="376">
        <v>1.1111111111111111E-3</v>
      </c>
      <c r="I581" s="375">
        <v>5000</v>
      </c>
      <c r="J581" s="375">
        <v>6000</v>
      </c>
      <c r="K581" s="375">
        <v>20</v>
      </c>
      <c r="M581" s="375">
        <v>3804</v>
      </c>
      <c r="V581" s="375" t="s">
        <v>596</v>
      </c>
    </row>
    <row r="582" spans="1:22" hidden="1" x14ac:dyDescent="0.25">
      <c r="A582" s="377">
        <v>44957</v>
      </c>
      <c r="B582" s="375">
        <v>120000</v>
      </c>
      <c r="C582" s="375">
        <v>-48000</v>
      </c>
      <c r="D582" s="375">
        <v>-10</v>
      </c>
      <c r="E582" s="375">
        <v>24</v>
      </c>
      <c r="F582" s="375">
        <v>1.4</v>
      </c>
      <c r="G582" s="375">
        <v>18000</v>
      </c>
      <c r="H582" s="376">
        <v>1.1111111111111111E-3</v>
      </c>
      <c r="I582" s="375">
        <v>5000</v>
      </c>
      <c r="J582" s="375">
        <v>6000</v>
      </c>
      <c r="K582" s="375">
        <v>20</v>
      </c>
      <c r="M582" s="375">
        <v>3804</v>
      </c>
      <c r="V582" s="375" t="s">
        <v>596</v>
      </c>
    </row>
    <row r="583" spans="1:22" hidden="1" x14ac:dyDescent="0.25">
      <c r="A583" s="377">
        <v>44958</v>
      </c>
      <c r="B583" s="375">
        <v>140000</v>
      </c>
      <c r="C583" s="375">
        <v>84000</v>
      </c>
      <c r="D583" s="375">
        <v>16</v>
      </c>
      <c r="E583" s="375">
        <v>26</v>
      </c>
      <c r="F583" s="375">
        <v>0.4</v>
      </c>
      <c r="G583" s="375">
        <v>20000</v>
      </c>
      <c r="H583" s="376">
        <v>1.1666666666666665E-3</v>
      </c>
      <c r="I583" s="375">
        <v>5300</v>
      </c>
      <c r="J583" s="375">
        <v>6000</v>
      </c>
      <c r="K583" s="375">
        <v>23</v>
      </c>
      <c r="M583" s="375">
        <v>4607</v>
      </c>
      <c r="V583" s="375" t="s">
        <v>596</v>
      </c>
    </row>
    <row r="584" spans="1:22" hidden="1" x14ac:dyDescent="0.25">
      <c r="A584" s="377">
        <v>44959</v>
      </c>
      <c r="B584" s="375">
        <v>140000</v>
      </c>
      <c r="C584" s="375">
        <v>84000</v>
      </c>
      <c r="D584" s="375">
        <v>16</v>
      </c>
      <c r="E584" s="375">
        <v>26</v>
      </c>
      <c r="F584" s="375">
        <v>0.4</v>
      </c>
      <c r="G584" s="375">
        <v>20000</v>
      </c>
      <c r="H584" s="376">
        <v>1.1666666666666665E-3</v>
      </c>
      <c r="I584" s="375">
        <v>5300</v>
      </c>
      <c r="J584" s="375">
        <v>6000</v>
      </c>
      <c r="K584" s="375">
        <v>23</v>
      </c>
      <c r="M584" s="375">
        <v>4607</v>
      </c>
      <c r="V584" s="375" t="s">
        <v>596</v>
      </c>
    </row>
    <row r="585" spans="1:22" hidden="1" x14ac:dyDescent="0.25">
      <c r="A585" s="377">
        <v>44960</v>
      </c>
      <c r="B585" s="375">
        <v>140000</v>
      </c>
      <c r="C585" s="375">
        <v>84000</v>
      </c>
      <c r="D585" s="375">
        <v>16</v>
      </c>
      <c r="E585" s="375">
        <v>26</v>
      </c>
      <c r="F585" s="375">
        <v>0.4</v>
      </c>
      <c r="G585" s="375">
        <v>20000</v>
      </c>
      <c r="H585" s="376">
        <v>1.1666666666666665E-3</v>
      </c>
      <c r="I585" s="375">
        <v>5300</v>
      </c>
      <c r="J585" s="375">
        <v>6000</v>
      </c>
      <c r="K585" s="375">
        <v>23</v>
      </c>
      <c r="M585" s="375">
        <v>4607</v>
      </c>
      <c r="V585" s="375" t="s">
        <v>596</v>
      </c>
    </row>
    <row r="586" spans="1:22" hidden="1" x14ac:dyDescent="0.25">
      <c r="A586" s="377">
        <v>44961</v>
      </c>
      <c r="B586" s="375">
        <v>140000</v>
      </c>
      <c r="C586" s="375">
        <v>84000</v>
      </c>
      <c r="D586" s="375">
        <v>16</v>
      </c>
      <c r="E586" s="375">
        <v>26</v>
      </c>
      <c r="F586" s="375">
        <v>0.4</v>
      </c>
      <c r="G586" s="375">
        <v>20000</v>
      </c>
      <c r="H586" s="376">
        <v>1.1666666666666665E-3</v>
      </c>
      <c r="I586" s="375">
        <v>5300</v>
      </c>
      <c r="J586" s="375">
        <v>6000</v>
      </c>
      <c r="K586" s="375">
        <v>23</v>
      </c>
      <c r="M586" s="375">
        <v>4607</v>
      </c>
      <c r="V586" s="375" t="s">
        <v>596</v>
      </c>
    </row>
    <row r="587" spans="1:22" hidden="1" x14ac:dyDescent="0.25">
      <c r="A587" s="377">
        <v>44962</v>
      </c>
      <c r="B587" s="375">
        <v>140000</v>
      </c>
      <c r="C587" s="375">
        <v>84000</v>
      </c>
      <c r="D587" s="375">
        <v>16</v>
      </c>
      <c r="E587" s="375">
        <v>26</v>
      </c>
      <c r="F587" s="375">
        <v>0.4</v>
      </c>
      <c r="G587" s="375">
        <v>20000</v>
      </c>
      <c r="H587" s="376">
        <v>1.1666666666666665E-3</v>
      </c>
      <c r="I587" s="375">
        <v>5300</v>
      </c>
      <c r="J587" s="375">
        <v>6000</v>
      </c>
      <c r="K587" s="375">
        <v>23</v>
      </c>
      <c r="M587" s="375">
        <v>4607</v>
      </c>
      <c r="V587" s="375" t="s">
        <v>596</v>
      </c>
    </row>
    <row r="588" spans="1:22" hidden="1" x14ac:dyDescent="0.25">
      <c r="A588" s="377">
        <v>44963</v>
      </c>
      <c r="B588" s="375">
        <v>140000</v>
      </c>
      <c r="C588" s="375">
        <v>84000</v>
      </c>
      <c r="D588" s="375">
        <v>16</v>
      </c>
      <c r="E588" s="375">
        <v>26</v>
      </c>
      <c r="F588" s="375">
        <v>0.4</v>
      </c>
      <c r="G588" s="375">
        <v>20000</v>
      </c>
      <c r="H588" s="376">
        <v>1.1666666666666665E-3</v>
      </c>
      <c r="I588" s="375">
        <v>5300</v>
      </c>
      <c r="J588" s="375">
        <v>6000</v>
      </c>
      <c r="K588" s="375">
        <v>23</v>
      </c>
      <c r="M588" s="375">
        <v>4836</v>
      </c>
      <c r="V588" s="375" t="s">
        <v>596</v>
      </c>
    </row>
    <row r="589" spans="1:22" hidden="1" x14ac:dyDescent="0.25">
      <c r="A589" s="377">
        <v>44964</v>
      </c>
      <c r="B589" s="375">
        <v>140000</v>
      </c>
      <c r="C589" s="375">
        <v>84000</v>
      </c>
      <c r="D589" s="375">
        <v>16</v>
      </c>
      <c r="E589" s="375">
        <v>26</v>
      </c>
      <c r="F589" s="375">
        <v>0.4</v>
      </c>
      <c r="G589" s="375">
        <v>20000</v>
      </c>
      <c r="H589" s="376">
        <v>1.1666666666666665E-3</v>
      </c>
      <c r="I589" s="375">
        <v>5300</v>
      </c>
      <c r="J589" s="375">
        <v>6000</v>
      </c>
      <c r="K589" s="375">
        <v>23</v>
      </c>
      <c r="M589" s="375">
        <v>4950</v>
      </c>
      <c r="V589" s="375" t="s">
        <v>596</v>
      </c>
    </row>
    <row r="590" spans="1:22" hidden="1" x14ac:dyDescent="0.25">
      <c r="A590" s="377">
        <v>44965</v>
      </c>
      <c r="B590" s="375">
        <v>140000</v>
      </c>
      <c r="C590" s="375">
        <v>84000</v>
      </c>
      <c r="D590" s="375">
        <v>16</v>
      </c>
      <c r="E590" s="375">
        <v>26</v>
      </c>
      <c r="F590" s="375">
        <v>0.4</v>
      </c>
      <c r="G590" s="375">
        <v>20000</v>
      </c>
      <c r="H590" s="376">
        <v>1.1666666666666665E-3</v>
      </c>
      <c r="I590" s="375">
        <v>5300</v>
      </c>
      <c r="J590" s="375">
        <v>6000</v>
      </c>
      <c r="K590" s="375">
        <v>23</v>
      </c>
      <c r="M590" s="375">
        <v>5179</v>
      </c>
      <c r="V590" s="375" t="s">
        <v>596</v>
      </c>
    </row>
    <row r="591" spans="1:22" hidden="1" x14ac:dyDescent="0.25">
      <c r="A591" s="377">
        <v>44966</v>
      </c>
      <c r="B591" s="375">
        <v>140000</v>
      </c>
      <c r="C591" s="375">
        <v>84000</v>
      </c>
      <c r="D591" s="375">
        <v>16</v>
      </c>
      <c r="E591" s="375">
        <v>26</v>
      </c>
      <c r="F591" s="375">
        <v>0.4</v>
      </c>
      <c r="G591" s="375">
        <v>22000</v>
      </c>
      <c r="H591" s="376">
        <v>1.0606060606060605E-3</v>
      </c>
      <c r="I591" s="375">
        <v>5300</v>
      </c>
      <c r="J591" s="375">
        <v>6000</v>
      </c>
      <c r="K591" s="375">
        <v>23</v>
      </c>
      <c r="M591" s="375">
        <v>5809</v>
      </c>
      <c r="V591" s="375" t="s">
        <v>596</v>
      </c>
    </row>
    <row r="592" spans="1:22" hidden="1" x14ac:dyDescent="0.25">
      <c r="A592" s="377">
        <v>44967</v>
      </c>
      <c r="B592" s="375">
        <v>140000</v>
      </c>
      <c r="C592" s="375">
        <v>84000</v>
      </c>
      <c r="D592" s="375">
        <v>16</v>
      </c>
      <c r="E592" s="375">
        <v>26</v>
      </c>
      <c r="F592" s="375">
        <v>0.4</v>
      </c>
      <c r="G592" s="375">
        <v>22000</v>
      </c>
      <c r="H592" s="376">
        <v>1.0606060606060605E-3</v>
      </c>
      <c r="I592" s="375">
        <v>5300</v>
      </c>
      <c r="J592" s="375">
        <v>6000</v>
      </c>
      <c r="K592" s="375">
        <v>23</v>
      </c>
      <c r="M592" s="375">
        <v>5809</v>
      </c>
      <c r="V592" s="375" t="s">
        <v>596</v>
      </c>
    </row>
    <row r="593" spans="1:22" hidden="1" x14ac:dyDescent="0.25">
      <c r="A593" s="377">
        <v>44968</v>
      </c>
      <c r="B593" s="375">
        <v>130000</v>
      </c>
      <c r="C593" s="375">
        <v>78000</v>
      </c>
      <c r="D593" s="375">
        <v>15</v>
      </c>
      <c r="E593" s="375">
        <v>25</v>
      </c>
      <c r="F593" s="375">
        <v>0.4</v>
      </c>
      <c r="G593" s="375">
        <v>22000</v>
      </c>
      <c r="H593" s="376">
        <v>9.848484848484849E-4</v>
      </c>
      <c r="I593" s="375">
        <v>5300</v>
      </c>
      <c r="J593" s="375">
        <v>6000</v>
      </c>
      <c r="K593" s="375">
        <v>22</v>
      </c>
      <c r="M593" s="375">
        <v>5705</v>
      </c>
      <c r="V593" s="375" t="s">
        <v>596</v>
      </c>
    </row>
    <row r="594" spans="1:22" hidden="1" x14ac:dyDescent="0.25">
      <c r="A594" s="377">
        <v>44969</v>
      </c>
      <c r="B594" s="375">
        <v>110000</v>
      </c>
      <c r="C594" s="375">
        <v>66000</v>
      </c>
      <c r="D594" s="375">
        <v>12</v>
      </c>
      <c r="E594" s="375">
        <v>21</v>
      </c>
      <c r="F594" s="375">
        <v>0.4</v>
      </c>
      <c r="G594" s="375">
        <v>22000</v>
      </c>
      <c r="H594" s="376">
        <v>8.3333333333333328E-4</v>
      </c>
      <c r="I594" s="375">
        <v>5300</v>
      </c>
      <c r="J594" s="375">
        <v>6000</v>
      </c>
      <c r="K594" s="375">
        <v>18</v>
      </c>
      <c r="M594" s="375">
        <v>5705</v>
      </c>
      <c r="V594" s="375" t="s">
        <v>596</v>
      </c>
    </row>
    <row r="595" spans="1:22" hidden="1" x14ac:dyDescent="0.25">
      <c r="A595" s="377">
        <v>44970</v>
      </c>
      <c r="B595" s="375">
        <v>110000</v>
      </c>
      <c r="C595" s="375">
        <v>66000</v>
      </c>
      <c r="D595" s="375">
        <v>12</v>
      </c>
      <c r="E595" s="375">
        <v>21</v>
      </c>
      <c r="F595" s="375">
        <v>0.4</v>
      </c>
      <c r="G595" s="375">
        <v>22000</v>
      </c>
      <c r="H595" s="376">
        <v>8.3333333333333328E-4</v>
      </c>
      <c r="I595" s="375">
        <v>5300</v>
      </c>
      <c r="J595" s="375">
        <v>6000</v>
      </c>
      <c r="K595" s="375">
        <v>18</v>
      </c>
      <c r="M595" s="375">
        <v>5705</v>
      </c>
      <c r="V595" s="375" t="s">
        <v>596</v>
      </c>
    </row>
    <row r="596" spans="1:22" hidden="1" x14ac:dyDescent="0.25">
      <c r="A596" s="377">
        <v>44971</v>
      </c>
      <c r="B596" s="375">
        <v>110000</v>
      </c>
      <c r="C596" s="375">
        <v>66000</v>
      </c>
      <c r="D596" s="375">
        <v>12</v>
      </c>
      <c r="E596" s="375">
        <v>21</v>
      </c>
      <c r="F596" s="375">
        <v>0.4</v>
      </c>
      <c r="G596" s="375">
        <v>22000</v>
      </c>
      <c r="H596" s="376">
        <v>8.3333333333333328E-4</v>
      </c>
      <c r="I596" s="375">
        <v>5300</v>
      </c>
      <c r="J596" s="375">
        <v>6000</v>
      </c>
      <c r="K596" s="375">
        <v>18</v>
      </c>
      <c r="M596" s="375">
        <v>5705</v>
      </c>
      <c r="V596" s="375" t="s">
        <v>596</v>
      </c>
    </row>
    <row r="597" spans="1:22" hidden="1" x14ac:dyDescent="0.25">
      <c r="A597" s="377">
        <v>44972</v>
      </c>
      <c r="B597" s="375">
        <v>120000</v>
      </c>
      <c r="C597" s="375">
        <v>72000</v>
      </c>
      <c r="D597" s="375">
        <v>14</v>
      </c>
      <c r="E597" s="375">
        <v>23</v>
      </c>
      <c r="F597" s="375">
        <v>0.4</v>
      </c>
      <c r="G597" s="375">
        <v>20000</v>
      </c>
      <c r="H597" s="376">
        <v>1E-3</v>
      </c>
      <c r="I597" s="375">
        <v>5300</v>
      </c>
      <c r="J597" s="375">
        <v>6000</v>
      </c>
      <c r="K597" s="375">
        <v>20</v>
      </c>
      <c r="M597" s="375">
        <v>4798</v>
      </c>
      <c r="V597" s="375" t="s">
        <v>596</v>
      </c>
    </row>
    <row r="598" spans="1:22" hidden="1" x14ac:dyDescent="0.25">
      <c r="A598" s="377">
        <v>44973</v>
      </c>
      <c r="B598" s="375">
        <v>120000</v>
      </c>
      <c r="C598" s="375">
        <v>72000</v>
      </c>
      <c r="D598" s="375">
        <v>14</v>
      </c>
      <c r="E598" s="375">
        <v>23</v>
      </c>
      <c r="F598" s="375">
        <v>0.4</v>
      </c>
      <c r="G598" s="375">
        <v>20000</v>
      </c>
      <c r="H598" s="376">
        <v>1E-3</v>
      </c>
      <c r="I598" s="375">
        <v>5300</v>
      </c>
      <c r="J598" s="375">
        <v>6000</v>
      </c>
      <c r="K598" s="375">
        <v>20</v>
      </c>
      <c r="M598" s="375">
        <v>4798</v>
      </c>
      <c r="V598" s="375" t="s">
        <v>596</v>
      </c>
    </row>
    <row r="599" spans="1:22" hidden="1" x14ac:dyDescent="0.25">
      <c r="A599" s="377">
        <v>44974</v>
      </c>
      <c r="B599" s="375">
        <v>100000</v>
      </c>
      <c r="C599" s="375">
        <v>60000</v>
      </c>
      <c r="D599" s="375">
        <v>11</v>
      </c>
      <c r="E599" s="375">
        <v>19</v>
      </c>
      <c r="F599" s="375">
        <v>0.4</v>
      </c>
      <c r="G599" s="375">
        <v>15000</v>
      </c>
      <c r="H599" s="376">
        <v>1.1111111111111111E-3</v>
      </c>
      <c r="I599" s="375">
        <v>5300</v>
      </c>
      <c r="J599" s="375">
        <v>6000</v>
      </c>
      <c r="K599" s="375">
        <v>17</v>
      </c>
      <c r="M599" s="375">
        <v>5037</v>
      </c>
      <c r="V599" s="375" t="s">
        <v>596</v>
      </c>
    </row>
    <row r="600" spans="1:22" hidden="1" x14ac:dyDescent="0.25">
      <c r="A600" s="377">
        <v>44975</v>
      </c>
      <c r="B600" s="375">
        <v>100000</v>
      </c>
      <c r="C600" s="375">
        <v>60000</v>
      </c>
      <c r="D600" s="375">
        <v>11</v>
      </c>
      <c r="E600" s="375">
        <v>19</v>
      </c>
      <c r="F600" s="375">
        <v>0.4</v>
      </c>
      <c r="G600" s="375">
        <v>15000</v>
      </c>
      <c r="H600" s="376">
        <v>1.1111111111111111E-3</v>
      </c>
      <c r="I600" s="375">
        <v>5300</v>
      </c>
      <c r="J600" s="375">
        <v>6000</v>
      </c>
      <c r="K600" s="375">
        <v>17</v>
      </c>
      <c r="M600" s="375">
        <v>4637</v>
      </c>
      <c r="V600" s="375" t="s">
        <v>596</v>
      </c>
    </row>
    <row r="601" spans="1:22" hidden="1" x14ac:dyDescent="0.25">
      <c r="A601" s="377">
        <v>44976</v>
      </c>
      <c r="B601" s="375">
        <v>100000</v>
      </c>
      <c r="C601" s="375">
        <v>60000</v>
      </c>
      <c r="D601" s="375">
        <v>11</v>
      </c>
      <c r="E601" s="375">
        <v>19</v>
      </c>
      <c r="F601" s="375">
        <v>0.4</v>
      </c>
      <c r="G601" s="375">
        <v>15000</v>
      </c>
      <c r="H601" s="376">
        <v>1.1111111111111111E-3</v>
      </c>
      <c r="I601" s="375">
        <v>5300</v>
      </c>
      <c r="J601" s="375">
        <v>6000</v>
      </c>
      <c r="K601" s="375">
        <v>17</v>
      </c>
      <c r="M601" s="375">
        <v>4637</v>
      </c>
      <c r="V601" s="375" t="s">
        <v>596</v>
      </c>
    </row>
    <row r="602" spans="1:22" hidden="1" x14ac:dyDescent="0.25">
      <c r="A602" s="377">
        <v>44977</v>
      </c>
      <c r="B602" s="375">
        <v>100000</v>
      </c>
      <c r="C602" s="375">
        <v>60000</v>
      </c>
      <c r="D602" s="375">
        <v>11</v>
      </c>
      <c r="E602" s="375">
        <v>19</v>
      </c>
      <c r="F602" s="375">
        <v>0.4</v>
      </c>
      <c r="G602" s="375">
        <v>15000</v>
      </c>
      <c r="H602" s="376">
        <v>1.1111111111111111E-3</v>
      </c>
      <c r="I602" s="375">
        <v>5300</v>
      </c>
      <c r="J602" s="375">
        <v>6000</v>
      </c>
      <c r="K602" s="375">
        <v>17</v>
      </c>
      <c r="M602" s="375">
        <v>4637</v>
      </c>
      <c r="V602" s="375" t="s">
        <v>596</v>
      </c>
    </row>
    <row r="603" spans="1:22" hidden="1" x14ac:dyDescent="0.25">
      <c r="A603" s="377">
        <v>44978</v>
      </c>
      <c r="B603" s="375">
        <v>100000</v>
      </c>
      <c r="C603" s="375">
        <v>60000</v>
      </c>
      <c r="D603" s="375">
        <v>11</v>
      </c>
      <c r="E603" s="375">
        <v>19</v>
      </c>
      <c r="F603" s="375">
        <v>0.4</v>
      </c>
      <c r="G603" s="375">
        <v>15000</v>
      </c>
      <c r="H603" s="376">
        <v>1.1111111111111111E-3</v>
      </c>
      <c r="I603" s="375">
        <v>5300</v>
      </c>
      <c r="J603" s="375">
        <v>6000</v>
      </c>
      <c r="K603" s="375">
        <v>17</v>
      </c>
      <c r="M603" s="375">
        <v>4637</v>
      </c>
      <c r="V603" s="375" t="s">
        <v>596</v>
      </c>
    </row>
    <row r="604" spans="1:22" hidden="1" x14ac:dyDescent="0.25">
      <c r="A604" s="377">
        <v>44979</v>
      </c>
      <c r="B604" s="375">
        <v>100000</v>
      </c>
      <c r="C604" s="375">
        <v>60000</v>
      </c>
      <c r="D604" s="375">
        <v>11</v>
      </c>
      <c r="E604" s="375">
        <v>19</v>
      </c>
      <c r="F604" s="375">
        <v>0.4</v>
      </c>
      <c r="G604" s="375">
        <v>15000</v>
      </c>
      <c r="H604" s="376">
        <v>1.1111111111111111E-3</v>
      </c>
      <c r="I604" s="375">
        <v>5300</v>
      </c>
      <c r="J604" s="375">
        <v>6000</v>
      </c>
      <c r="K604" s="375">
        <v>17</v>
      </c>
      <c r="M604" s="375">
        <v>4637</v>
      </c>
      <c r="V604" s="375" t="s">
        <v>596</v>
      </c>
    </row>
    <row r="605" spans="1:22" hidden="1" x14ac:dyDescent="0.25">
      <c r="A605" s="377">
        <v>44980</v>
      </c>
      <c r="B605" s="375">
        <v>100000</v>
      </c>
      <c r="C605" s="375">
        <v>60000</v>
      </c>
      <c r="D605" s="375">
        <v>11</v>
      </c>
      <c r="E605" s="375">
        <v>19</v>
      </c>
      <c r="F605" s="375">
        <v>0.4</v>
      </c>
      <c r="G605" s="375">
        <v>15000</v>
      </c>
      <c r="H605" s="376">
        <v>1.1111111111111111E-3</v>
      </c>
      <c r="I605" s="375">
        <v>5300</v>
      </c>
      <c r="J605" s="375">
        <v>6000</v>
      </c>
      <c r="K605" s="375">
        <v>17</v>
      </c>
      <c r="M605" s="375">
        <v>4637</v>
      </c>
      <c r="V605" s="375" t="s">
        <v>596</v>
      </c>
    </row>
    <row r="606" spans="1:22" hidden="1" x14ac:dyDescent="0.25">
      <c r="A606" s="377">
        <v>44981</v>
      </c>
      <c r="B606" s="375">
        <v>100000</v>
      </c>
      <c r="C606" s="375">
        <v>60000</v>
      </c>
      <c r="D606" s="375">
        <v>11</v>
      </c>
      <c r="E606" s="375">
        <v>19</v>
      </c>
      <c r="F606" s="375">
        <v>0.4</v>
      </c>
      <c r="G606" s="375">
        <v>15000</v>
      </c>
      <c r="H606" s="376">
        <v>1.1111111111111111E-3</v>
      </c>
      <c r="I606" s="375">
        <v>5300</v>
      </c>
      <c r="J606" s="375">
        <v>6000</v>
      </c>
      <c r="K606" s="375">
        <v>17</v>
      </c>
      <c r="M606" s="375">
        <v>4637</v>
      </c>
      <c r="V606" s="375" t="s">
        <v>596</v>
      </c>
    </row>
    <row r="607" spans="1:22" hidden="1" x14ac:dyDescent="0.25">
      <c r="A607" s="377">
        <v>44982</v>
      </c>
      <c r="B607" s="375">
        <v>100000</v>
      </c>
      <c r="C607" s="375">
        <v>60000</v>
      </c>
      <c r="D607" s="375">
        <v>11</v>
      </c>
      <c r="E607" s="375">
        <v>19</v>
      </c>
      <c r="F607" s="375">
        <v>0.4</v>
      </c>
      <c r="G607" s="375">
        <v>15000</v>
      </c>
      <c r="H607" s="376">
        <v>1.1111111111111111E-3</v>
      </c>
      <c r="I607" s="375">
        <v>5300</v>
      </c>
      <c r="J607" s="375">
        <v>6000</v>
      </c>
      <c r="K607" s="375">
        <v>17</v>
      </c>
      <c r="M607" s="375">
        <v>4637</v>
      </c>
      <c r="V607" s="375" t="s">
        <v>596</v>
      </c>
    </row>
    <row r="608" spans="1:22" hidden="1" x14ac:dyDescent="0.25">
      <c r="A608" s="377">
        <v>44983</v>
      </c>
      <c r="B608" s="375">
        <v>100000</v>
      </c>
      <c r="C608" s="375">
        <v>60000</v>
      </c>
      <c r="D608" s="375">
        <v>11</v>
      </c>
      <c r="E608" s="375">
        <v>19</v>
      </c>
      <c r="F608" s="375">
        <v>0.4</v>
      </c>
      <c r="G608" s="375">
        <v>15000</v>
      </c>
      <c r="H608" s="376">
        <v>1.1111111111111111E-3</v>
      </c>
      <c r="I608" s="375">
        <v>5300</v>
      </c>
      <c r="J608" s="375">
        <v>6000</v>
      </c>
      <c r="K608" s="375">
        <v>17</v>
      </c>
      <c r="M608" s="375">
        <v>4637</v>
      </c>
      <c r="V608" s="375" t="s">
        <v>596</v>
      </c>
    </row>
    <row r="609" spans="1:22" hidden="1" x14ac:dyDescent="0.25">
      <c r="A609" s="377">
        <v>44984</v>
      </c>
      <c r="B609" s="375">
        <v>100000</v>
      </c>
      <c r="C609" s="375">
        <v>60000</v>
      </c>
      <c r="D609" s="375">
        <v>11</v>
      </c>
      <c r="E609" s="375">
        <v>19</v>
      </c>
      <c r="F609" s="375">
        <v>0.4</v>
      </c>
      <c r="G609" s="375">
        <v>15000</v>
      </c>
      <c r="H609" s="376">
        <v>1.1111111111111111E-3</v>
      </c>
      <c r="I609" s="375">
        <v>5300</v>
      </c>
      <c r="J609" s="375">
        <v>6000</v>
      </c>
      <c r="K609" s="375">
        <v>17</v>
      </c>
      <c r="M609" s="375">
        <v>4637</v>
      </c>
      <c r="V609" s="375" t="s">
        <v>596</v>
      </c>
    </row>
    <row r="610" spans="1:22" hidden="1" x14ac:dyDescent="0.25">
      <c r="A610" s="377">
        <v>44985</v>
      </c>
      <c r="B610" s="375">
        <v>93918</v>
      </c>
      <c r="C610" s="375">
        <v>56351</v>
      </c>
      <c r="D610" s="375">
        <v>11</v>
      </c>
      <c r="E610" s="375">
        <v>18</v>
      </c>
      <c r="F610" s="375">
        <v>0.4</v>
      </c>
      <c r="G610" s="375">
        <v>15000</v>
      </c>
      <c r="H610" s="376">
        <v>1.0435333333333333E-3</v>
      </c>
      <c r="I610" s="375">
        <v>5300</v>
      </c>
      <c r="J610" s="375">
        <v>6000</v>
      </c>
      <c r="K610" s="375">
        <v>16</v>
      </c>
      <c r="M610" s="375">
        <v>4637</v>
      </c>
      <c r="V610" s="375" t="s">
        <v>596</v>
      </c>
    </row>
    <row r="611" spans="1:22" hidden="1" x14ac:dyDescent="0.25">
      <c r="A611" s="377">
        <v>44986</v>
      </c>
      <c r="B611" s="375">
        <v>110000</v>
      </c>
      <c r="C611" s="375">
        <v>66000</v>
      </c>
      <c r="D611" s="375">
        <v>13</v>
      </c>
      <c r="E611" s="375">
        <v>22</v>
      </c>
      <c r="F611" s="375">
        <v>0.4</v>
      </c>
      <c r="G611" s="375">
        <v>18000</v>
      </c>
      <c r="H611" s="376">
        <v>1.1111111111111111E-3</v>
      </c>
      <c r="I611" s="375">
        <v>5000</v>
      </c>
      <c r="J611" s="375">
        <v>5500</v>
      </c>
      <c r="K611" s="375">
        <v>20</v>
      </c>
      <c r="M611" s="375">
        <v>5114</v>
      </c>
      <c r="V611" s="375" t="s">
        <v>596</v>
      </c>
    </row>
    <row r="612" spans="1:22" hidden="1" x14ac:dyDescent="0.25">
      <c r="A612" s="377">
        <v>44987</v>
      </c>
      <c r="B612" s="375">
        <v>110000</v>
      </c>
      <c r="C612" s="375">
        <v>66000</v>
      </c>
      <c r="D612" s="375">
        <v>13</v>
      </c>
      <c r="E612" s="375">
        <v>22</v>
      </c>
      <c r="F612" s="375">
        <v>0.4</v>
      </c>
      <c r="G612" s="375">
        <v>20000</v>
      </c>
      <c r="H612" s="376">
        <v>1E-3</v>
      </c>
      <c r="I612" s="375">
        <v>5000</v>
      </c>
      <c r="J612" s="375">
        <v>5500</v>
      </c>
      <c r="K612" s="375">
        <v>20</v>
      </c>
      <c r="M612" s="375">
        <v>5062</v>
      </c>
      <c r="V612" s="375" t="s">
        <v>596</v>
      </c>
    </row>
    <row r="613" spans="1:22" hidden="1" x14ac:dyDescent="0.25">
      <c r="A613" s="377">
        <v>44988</v>
      </c>
      <c r="B613" s="375">
        <v>110000</v>
      </c>
      <c r="C613" s="375">
        <v>66000</v>
      </c>
      <c r="D613" s="375">
        <v>13</v>
      </c>
      <c r="E613" s="375">
        <v>22</v>
      </c>
      <c r="F613" s="375">
        <v>0.4</v>
      </c>
      <c r="G613" s="375">
        <v>20000</v>
      </c>
      <c r="H613" s="376">
        <v>1E-3</v>
      </c>
      <c r="I613" s="375">
        <v>5000</v>
      </c>
      <c r="J613" s="375">
        <v>5500</v>
      </c>
      <c r="K613" s="375">
        <v>20</v>
      </c>
      <c r="M613" s="375">
        <v>5062</v>
      </c>
      <c r="V613" s="375" t="s">
        <v>596</v>
      </c>
    </row>
    <row r="614" spans="1:22" hidden="1" x14ac:dyDescent="0.25">
      <c r="A614" s="377">
        <v>44989</v>
      </c>
      <c r="B614" s="375">
        <v>110000</v>
      </c>
      <c r="C614" s="375">
        <v>66000</v>
      </c>
      <c r="D614" s="375">
        <v>13</v>
      </c>
      <c r="E614" s="375">
        <v>22</v>
      </c>
      <c r="F614" s="375">
        <v>0.4</v>
      </c>
      <c r="G614" s="375">
        <v>22000</v>
      </c>
      <c r="H614" s="376">
        <v>9.0909090909090909E-4</v>
      </c>
      <c r="I614" s="375">
        <v>5000</v>
      </c>
      <c r="J614" s="375">
        <v>5500</v>
      </c>
      <c r="K614" s="375">
        <v>20</v>
      </c>
      <c r="M614" s="375">
        <v>5062</v>
      </c>
      <c r="V614" s="375" t="s">
        <v>596</v>
      </c>
    </row>
    <row r="615" spans="1:22" hidden="1" x14ac:dyDescent="0.25">
      <c r="A615" s="377">
        <v>44990</v>
      </c>
      <c r="B615" s="375">
        <v>110000</v>
      </c>
      <c r="C615" s="375">
        <v>66000</v>
      </c>
      <c r="D615" s="375">
        <v>13</v>
      </c>
      <c r="E615" s="375">
        <v>22</v>
      </c>
      <c r="F615" s="375">
        <v>0.4</v>
      </c>
      <c r="G615" s="375">
        <v>22000</v>
      </c>
      <c r="H615" s="376">
        <v>9.0909090909090909E-4</v>
      </c>
      <c r="I615" s="375">
        <v>5000</v>
      </c>
      <c r="J615" s="375">
        <v>5500</v>
      </c>
      <c r="K615" s="375">
        <v>20</v>
      </c>
      <c r="M615" s="375">
        <v>5062</v>
      </c>
      <c r="V615" s="375" t="s">
        <v>596</v>
      </c>
    </row>
    <row r="616" spans="1:22" hidden="1" x14ac:dyDescent="0.25">
      <c r="A616" s="377">
        <v>44991</v>
      </c>
      <c r="B616" s="375">
        <v>110000</v>
      </c>
      <c r="C616" s="375">
        <v>66000</v>
      </c>
      <c r="D616" s="375">
        <v>13</v>
      </c>
      <c r="E616" s="375">
        <v>22</v>
      </c>
      <c r="F616" s="375">
        <v>0.4</v>
      </c>
      <c r="G616" s="375">
        <v>22000</v>
      </c>
      <c r="H616" s="376">
        <v>9.0909090909090909E-4</v>
      </c>
      <c r="I616" s="375">
        <v>5000</v>
      </c>
      <c r="J616" s="375">
        <v>5500</v>
      </c>
      <c r="K616" s="375">
        <v>20</v>
      </c>
      <c r="M616" s="375">
        <v>5062</v>
      </c>
      <c r="V616" s="375" t="s">
        <v>596</v>
      </c>
    </row>
    <row r="617" spans="1:22" hidden="1" x14ac:dyDescent="0.25">
      <c r="A617" s="377">
        <v>44992</v>
      </c>
      <c r="B617" s="375">
        <v>110000</v>
      </c>
      <c r="C617" s="375">
        <v>66000</v>
      </c>
      <c r="D617" s="375">
        <v>13</v>
      </c>
      <c r="E617" s="375">
        <v>22</v>
      </c>
      <c r="F617" s="375">
        <v>0.4</v>
      </c>
      <c r="G617" s="375">
        <v>22000</v>
      </c>
      <c r="H617" s="376">
        <v>9.0909090909090909E-4</v>
      </c>
      <c r="I617" s="375">
        <v>5000</v>
      </c>
      <c r="J617" s="375">
        <v>5500</v>
      </c>
      <c r="K617" s="375">
        <v>20</v>
      </c>
      <c r="M617" s="375">
        <v>5062</v>
      </c>
      <c r="V617" s="375" t="s">
        <v>596</v>
      </c>
    </row>
    <row r="618" spans="1:22" hidden="1" x14ac:dyDescent="0.25">
      <c r="A618" s="377">
        <v>44993</v>
      </c>
      <c r="B618" s="375">
        <v>110000</v>
      </c>
      <c r="C618" s="375">
        <v>66000</v>
      </c>
      <c r="D618" s="375">
        <v>13</v>
      </c>
      <c r="E618" s="375">
        <v>22</v>
      </c>
      <c r="F618" s="375">
        <v>0.4</v>
      </c>
      <c r="G618" s="375">
        <v>22000</v>
      </c>
      <c r="H618" s="376">
        <v>9.0909090909090909E-4</v>
      </c>
      <c r="I618" s="375">
        <v>5000</v>
      </c>
      <c r="J618" s="375">
        <v>5500</v>
      </c>
      <c r="K618" s="375">
        <v>20</v>
      </c>
      <c r="M618" s="375">
        <v>5062</v>
      </c>
      <c r="V618" s="375" t="s">
        <v>596</v>
      </c>
    </row>
    <row r="619" spans="1:22" hidden="1" x14ac:dyDescent="0.25">
      <c r="A619" s="377">
        <v>44994</v>
      </c>
      <c r="B619" s="375">
        <v>110000</v>
      </c>
      <c r="C619" s="375">
        <v>66000</v>
      </c>
      <c r="D619" s="375">
        <v>13</v>
      </c>
      <c r="E619" s="375">
        <v>22</v>
      </c>
      <c r="F619" s="375">
        <v>0.4</v>
      </c>
      <c r="G619" s="375">
        <v>19000</v>
      </c>
      <c r="H619" s="376">
        <v>1.0526315789473684E-3</v>
      </c>
      <c r="I619" s="375">
        <v>5000</v>
      </c>
      <c r="J619" s="375">
        <v>5500</v>
      </c>
      <c r="K619" s="375">
        <v>20</v>
      </c>
      <c r="M619" s="375">
        <v>5614</v>
      </c>
      <c r="V619" s="375" t="s">
        <v>596</v>
      </c>
    </row>
    <row r="620" spans="1:22" hidden="1" x14ac:dyDescent="0.25">
      <c r="A620" s="377">
        <v>44995</v>
      </c>
      <c r="B620" s="375">
        <v>120000</v>
      </c>
      <c r="C620" s="375">
        <v>72000</v>
      </c>
      <c r="D620" s="375">
        <v>14</v>
      </c>
      <c r="E620" s="375">
        <v>24</v>
      </c>
      <c r="F620" s="375">
        <v>0.4</v>
      </c>
      <c r="G620" s="375">
        <v>19000</v>
      </c>
      <c r="H620" s="376">
        <v>1.1483253588516745E-3</v>
      </c>
      <c r="I620" s="375">
        <v>5000</v>
      </c>
      <c r="J620" s="375">
        <v>5500</v>
      </c>
      <c r="K620" s="375">
        <v>22</v>
      </c>
      <c r="M620" s="375">
        <v>5764</v>
      </c>
      <c r="V620" s="375" t="s">
        <v>596</v>
      </c>
    </row>
    <row r="621" spans="1:22" hidden="1" x14ac:dyDescent="0.25">
      <c r="A621" s="377">
        <v>44996</v>
      </c>
      <c r="B621" s="375">
        <v>120000</v>
      </c>
      <c r="C621" s="375">
        <v>72000</v>
      </c>
      <c r="D621" s="375">
        <v>14</v>
      </c>
      <c r="E621" s="375">
        <v>24</v>
      </c>
      <c r="F621" s="375">
        <v>0.4</v>
      </c>
      <c r="G621" s="375">
        <v>19000</v>
      </c>
      <c r="H621" s="376">
        <v>1.1483253588516745E-3</v>
      </c>
      <c r="I621" s="375">
        <v>5000</v>
      </c>
      <c r="J621" s="375">
        <v>5500</v>
      </c>
      <c r="K621" s="375">
        <v>22</v>
      </c>
      <c r="M621" s="375">
        <v>5976</v>
      </c>
      <c r="V621" s="375" t="s">
        <v>596</v>
      </c>
    </row>
    <row r="622" spans="1:22" hidden="1" x14ac:dyDescent="0.25">
      <c r="A622" s="377">
        <v>44997</v>
      </c>
      <c r="B622" s="375">
        <v>120000</v>
      </c>
      <c r="C622" s="375">
        <v>72000</v>
      </c>
      <c r="D622" s="375">
        <v>14</v>
      </c>
      <c r="E622" s="375">
        <v>24</v>
      </c>
      <c r="F622" s="375">
        <v>0.4</v>
      </c>
      <c r="G622" s="375">
        <v>19000</v>
      </c>
      <c r="H622" s="376">
        <v>1.1483253588516745E-3</v>
      </c>
      <c r="I622" s="375">
        <v>5000</v>
      </c>
      <c r="J622" s="375">
        <v>5500</v>
      </c>
      <c r="K622" s="375">
        <v>22</v>
      </c>
      <c r="M622" s="375">
        <v>5976</v>
      </c>
      <c r="V622" s="375" t="s">
        <v>596</v>
      </c>
    </row>
    <row r="623" spans="1:22" hidden="1" x14ac:dyDescent="0.25">
      <c r="A623" s="377">
        <v>44998</v>
      </c>
      <c r="B623" s="375">
        <v>120000</v>
      </c>
      <c r="C623" s="375">
        <v>72000</v>
      </c>
      <c r="D623" s="375">
        <v>14</v>
      </c>
      <c r="E623" s="375">
        <v>24</v>
      </c>
      <c r="F623" s="375">
        <v>0.4</v>
      </c>
      <c r="G623" s="375">
        <v>19000</v>
      </c>
      <c r="H623" s="376">
        <v>1.1483253588516745E-3</v>
      </c>
      <c r="I623" s="375">
        <v>5000</v>
      </c>
      <c r="J623" s="375">
        <v>5500</v>
      </c>
      <c r="K623" s="375">
        <v>22</v>
      </c>
      <c r="M623" s="375">
        <v>5976</v>
      </c>
      <c r="V623" s="375" t="s">
        <v>596</v>
      </c>
    </row>
    <row r="624" spans="1:22" hidden="1" x14ac:dyDescent="0.25">
      <c r="A624" s="377">
        <v>44999</v>
      </c>
      <c r="B624" s="375">
        <v>120000</v>
      </c>
      <c r="C624" s="375">
        <v>72000</v>
      </c>
      <c r="D624" s="375">
        <v>14</v>
      </c>
      <c r="E624" s="375">
        <v>24</v>
      </c>
      <c r="F624" s="375">
        <v>0.4</v>
      </c>
      <c r="G624" s="375">
        <v>19000</v>
      </c>
      <c r="H624" s="376">
        <v>1.1483253588516745E-3</v>
      </c>
      <c r="I624" s="375">
        <v>5000</v>
      </c>
      <c r="J624" s="375">
        <v>5500</v>
      </c>
      <c r="K624" s="375">
        <v>22</v>
      </c>
      <c r="M624" s="375">
        <v>5776</v>
      </c>
      <c r="V624" s="375" t="s">
        <v>596</v>
      </c>
    </row>
    <row r="625" spans="1:22" hidden="1" x14ac:dyDescent="0.25">
      <c r="A625" s="377">
        <v>45000</v>
      </c>
      <c r="B625" s="375">
        <v>100000</v>
      </c>
      <c r="C625" s="375">
        <v>60000</v>
      </c>
      <c r="D625" s="375">
        <v>12</v>
      </c>
      <c r="E625" s="375">
        <v>20</v>
      </c>
      <c r="F625" s="375">
        <v>0.4</v>
      </c>
      <c r="G625" s="375">
        <v>19000</v>
      </c>
      <c r="H625" s="376">
        <v>9.5693779904306234E-4</v>
      </c>
      <c r="I625" s="375">
        <v>5000</v>
      </c>
      <c r="J625" s="375">
        <v>5500</v>
      </c>
      <c r="K625" s="375">
        <v>18</v>
      </c>
      <c r="M625" s="375">
        <v>5564</v>
      </c>
      <c r="V625" s="375" t="s">
        <v>596</v>
      </c>
    </row>
    <row r="626" spans="1:22" hidden="1" x14ac:dyDescent="0.25">
      <c r="A626" s="377">
        <v>45001</v>
      </c>
      <c r="B626" s="375">
        <v>100000</v>
      </c>
      <c r="C626" s="375">
        <v>60000</v>
      </c>
      <c r="D626" s="375">
        <v>12</v>
      </c>
      <c r="E626" s="375">
        <v>20</v>
      </c>
      <c r="F626" s="375">
        <v>0.4</v>
      </c>
      <c r="G626" s="375">
        <v>19000</v>
      </c>
      <c r="H626" s="376">
        <v>9.5693779904306234E-4</v>
      </c>
      <c r="I626" s="375">
        <v>5000</v>
      </c>
      <c r="J626" s="375">
        <v>5500</v>
      </c>
      <c r="K626" s="375">
        <v>18</v>
      </c>
      <c r="M626" s="375">
        <v>5564</v>
      </c>
      <c r="V626" s="375" t="s">
        <v>596</v>
      </c>
    </row>
    <row r="627" spans="1:22" hidden="1" x14ac:dyDescent="0.25">
      <c r="A627" s="377">
        <v>45002</v>
      </c>
      <c r="B627" s="375">
        <v>100000</v>
      </c>
      <c r="C627" s="375">
        <v>60000</v>
      </c>
      <c r="D627" s="375">
        <v>12</v>
      </c>
      <c r="E627" s="375">
        <v>20</v>
      </c>
      <c r="F627" s="375">
        <v>0.4</v>
      </c>
      <c r="G627" s="375">
        <v>19000</v>
      </c>
      <c r="H627" s="376">
        <v>9.5693779904306234E-4</v>
      </c>
      <c r="I627" s="375">
        <v>5000</v>
      </c>
      <c r="J627" s="375">
        <v>5500</v>
      </c>
      <c r="K627" s="375">
        <v>18</v>
      </c>
      <c r="M627" s="375">
        <v>5564</v>
      </c>
      <c r="V627" s="375" t="s">
        <v>596</v>
      </c>
    </row>
    <row r="628" spans="1:22" hidden="1" x14ac:dyDescent="0.25">
      <c r="A628" s="377">
        <v>45003</v>
      </c>
      <c r="B628" s="375">
        <v>100000</v>
      </c>
      <c r="C628" s="375">
        <v>60000</v>
      </c>
      <c r="D628" s="375">
        <v>12</v>
      </c>
      <c r="E628" s="375">
        <v>20</v>
      </c>
      <c r="F628" s="375">
        <v>0.4</v>
      </c>
      <c r="G628" s="375">
        <v>19000</v>
      </c>
      <c r="H628" s="376">
        <v>9.5693779904306234E-4</v>
      </c>
      <c r="I628" s="375">
        <v>5000</v>
      </c>
      <c r="J628" s="375">
        <v>5500</v>
      </c>
      <c r="K628" s="375">
        <v>18</v>
      </c>
      <c r="M628" s="375">
        <v>5564</v>
      </c>
      <c r="V628" s="375" t="s">
        <v>596</v>
      </c>
    </row>
    <row r="629" spans="1:22" hidden="1" x14ac:dyDescent="0.25">
      <c r="A629" s="377">
        <v>45004</v>
      </c>
      <c r="B629" s="375">
        <v>100000</v>
      </c>
      <c r="C629" s="375">
        <v>60000</v>
      </c>
      <c r="D629" s="375">
        <v>12</v>
      </c>
      <c r="E629" s="375">
        <v>20</v>
      </c>
      <c r="F629" s="375">
        <v>0.4</v>
      </c>
      <c r="G629" s="375">
        <v>19000</v>
      </c>
      <c r="H629" s="376">
        <v>9.5693779904306234E-4</v>
      </c>
      <c r="I629" s="375">
        <v>5000</v>
      </c>
      <c r="J629" s="375">
        <v>5500</v>
      </c>
      <c r="K629" s="375">
        <v>18</v>
      </c>
      <c r="M629" s="375">
        <v>5464</v>
      </c>
      <c r="V629" s="375" t="s">
        <v>596</v>
      </c>
    </row>
    <row r="630" spans="1:22" hidden="1" x14ac:dyDescent="0.25">
      <c r="A630" s="377">
        <v>45005</v>
      </c>
      <c r="B630" s="375">
        <v>100000</v>
      </c>
      <c r="C630" s="375">
        <v>60000</v>
      </c>
      <c r="D630" s="375">
        <v>12</v>
      </c>
      <c r="E630" s="375">
        <v>20</v>
      </c>
      <c r="F630" s="375">
        <v>0.4</v>
      </c>
      <c r="G630" s="375">
        <v>20000</v>
      </c>
      <c r="H630" s="376">
        <v>9.090909090909092E-4</v>
      </c>
      <c r="I630" s="375">
        <v>5000</v>
      </c>
      <c r="J630" s="375">
        <v>5500</v>
      </c>
      <c r="K630" s="375">
        <v>18</v>
      </c>
      <c r="M630" s="375">
        <v>5464</v>
      </c>
      <c r="V630" s="375" t="s">
        <v>596</v>
      </c>
    </row>
    <row r="631" spans="1:22" hidden="1" x14ac:dyDescent="0.25">
      <c r="A631" s="377">
        <v>45006</v>
      </c>
      <c r="B631" s="375">
        <v>90000</v>
      </c>
      <c r="C631" s="375">
        <v>54000</v>
      </c>
      <c r="D631" s="375">
        <v>11</v>
      </c>
      <c r="E631" s="375">
        <v>18</v>
      </c>
      <c r="F631" s="375">
        <v>0.4</v>
      </c>
      <c r="G631" s="375">
        <v>22000</v>
      </c>
      <c r="H631" s="376">
        <v>7.4380165289256194E-4</v>
      </c>
      <c r="I631" s="375">
        <v>5000</v>
      </c>
      <c r="J631" s="375">
        <v>5500</v>
      </c>
      <c r="K631" s="375">
        <v>16</v>
      </c>
      <c r="M631" s="375">
        <v>4727</v>
      </c>
      <c r="V631" s="375" t="s">
        <v>596</v>
      </c>
    </row>
    <row r="632" spans="1:22" hidden="1" x14ac:dyDescent="0.25">
      <c r="A632" s="377">
        <v>45007</v>
      </c>
      <c r="B632" s="375">
        <v>90000</v>
      </c>
      <c r="C632" s="375">
        <v>54000</v>
      </c>
      <c r="D632" s="375">
        <v>11</v>
      </c>
      <c r="E632" s="375">
        <v>18</v>
      </c>
      <c r="F632" s="375">
        <v>0.4</v>
      </c>
      <c r="G632" s="375">
        <v>22000</v>
      </c>
      <c r="H632" s="376">
        <v>7.4380165289256194E-4</v>
      </c>
      <c r="I632" s="375">
        <v>5000</v>
      </c>
      <c r="J632" s="375">
        <v>5500</v>
      </c>
      <c r="K632" s="375">
        <v>16</v>
      </c>
      <c r="M632" s="375">
        <v>4727</v>
      </c>
      <c r="V632" s="375" t="s">
        <v>596</v>
      </c>
    </row>
    <row r="633" spans="1:22" hidden="1" x14ac:dyDescent="0.25">
      <c r="A633" s="377">
        <v>45008</v>
      </c>
      <c r="B633" s="375">
        <v>90000</v>
      </c>
      <c r="C633" s="375">
        <v>54000</v>
      </c>
      <c r="D633" s="375">
        <v>11</v>
      </c>
      <c r="E633" s="375">
        <v>18</v>
      </c>
      <c r="F633" s="375">
        <v>0.4</v>
      </c>
      <c r="G633" s="375">
        <v>22000</v>
      </c>
      <c r="H633" s="376">
        <v>7.4380165289256194E-4</v>
      </c>
      <c r="I633" s="375">
        <v>5000</v>
      </c>
      <c r="J633" s="375">
        <v>5500</v>
      </c>
      <c r="K633" s="375">
        <v>16</v>
      </c>
      <c r="M633" s="375">
        <v>4727</v>
      </c>
      <c r="V633" s="375" t="s">
        <v>596</v>
      </c>
    </row>
    <row r="634" spans="1:22" hidden="1" x14ac:dyDescent="0.25">
      <c r="A634" s="377">
        <v>45009</v>
      </c>
      <c r="B634" s="375">
        <v>90000</v>
      </c>
      <c r="C634" s="375">
        <v>54000</v>
      </c>
      <c r="D634" s="375">
        <v>11</v>
      </c>
      <c r="E634" s="375">
        <v>18</v>
      </c>
      <c r="F634" s="375">
        <v>0.4</v>
      </c>
      <c r="G634" s="375">
        <v>22000</v>
      </c>
      <c r="H634" s="376">
        <v>7.4380165289256194E-4</v>
      </c>
      <c r="I634" s="375">
        <v>5000</v>
      </c>
      <c r="J634" s="375">
        <v>5500</v>
      </c>
      <c r="K634" s="375">
        <v>16</v>
      </c>
      <c r="M634" s="375">
        <v>4727</v>
      </c>
      <c r="V634" s="375" t="s">
        <v>596</v>
      </c>
    </row>
    <row r="635" spans="1:22" hidden="1" x14ac:dyDescent="0.25">
      <c r="A635" s="377">
        <v>45010</v>
      </c>
      <c r="B635" s="375">
        <v>74750</v>
      </c>
      <c r="C635" s="375">
        <v>44850</v>
      </c>
      <c r="D635" s="375">
        <v>9</v>
      </c>
      <c r="E635" s="375">
        <v>15</v>
      </c>
      <c r="F635" s="375">
        <v>0.4</v>
      </c>
      <c r="G635" s="375">
        <v>18000</v>
      </c>
      <c r="H635" s="376">
        <v>7.5505050505050506E-4</v>
      </c>
      <c r="I635" s="375">
        <v>5000</v>
      </c>
      <c r="J635" s="375">
        <v>5500</v>
      </c>
      <c r="K635" s="375">
        <v>14</v>
      </c>
      <c r="M635" s="375">
        <v>4727</v>
      </c>
      <c r="V635" s="375" t="s">
        <v>596</v>
      </c>
    </row>
    <row r="636" spans="1:22" hidden="1" x14ac:dyDescent="0.25">
      <c r="A636" s="377">
        <v>45011</v>
      </c>
      <c r="B636" s="375">
        <v>70000</v>
      </c>
      <c r="C636" s="375">
        <v>42000</v>
      </c>
      <c r="D636" s="375">
        <v>8</v>
      </c>
      <c r="E636" s="375">
        <v>14</v>
      </c>
      <c r="F636" s="375">
        <v>0.4</v>
      </c>
      <c r="G636" s="375">
        <v>18000</v>
      </c>
      <c r="H636" s="376">
        <v>7.0707070707070707E-4</v>
      </c>
      <c r="I636" s="375">
        <v>5000</v>
      </c>
      <c r="J636" s="375">
        <v>5500</v>
      </c>
      <c r="K636" s="375">
        <v>13</v>
      </c>
      <c r="M636" s="375">
        <v>4727</v>
      </c>
      <c r="V636" s="375" t="s">
        <v>596</v>
      </c>
    </row>
    <row r="637" spans="1:22" hidden="1" x14ac:dyDescent="0.25">
      <c r="A637" s="377">
        <v>45012</v>
      </c>
      <c r="B637" s="375">
        <v>70000</v>
      </c>
      <c r="C637" s="375">
        <v>42000</v>
      </c>
      <c r="D637" s="375">
        <v>8</v>
      </c>
      <c r="E637" s="375">
        <v>14</v>
      </c>
      <c r="F637" s="375">
        <v>0.4</v>
      </c>
      <c r="G637" s="375">
        <v>18000</v>
      </c>
      <c r="H637" s="376">
        <v>7.0707070707070707E-4</v>
      </c>
      <c r="I637" s="375">
        <v>5000</v>
      </c>
      <c r="J637" s="375">
        <v>5500</v>
      </c>
      <c r="K637" s="375">
        <v>13</v>
      </c>
      <c r="M637" s="375">
        <v>4727</v>
      </c>
      <c r="V637" s="375" t="s">
        <v>596</v>
      </c>
    </row>
    <row r="638" spans="1:22" hidden="1" x14ac:dyDescent="0.25">
      <c r="A638" s="377">
        <v>45013</v>
      </c>
      <c r="B638" s="375">
        <v>70000</v>
      </c>
      <c r="C638" s="375">
        <v>42000</v>
      </c>
      <c r="D638" s="375">
        <v>8</v>
      </c>
      <c r="E638" s="375">
        <v>14</v>
      </c>
      <c r="F638" s="375">
        <v>0.4</v>
      </c>
      <c r="G638" s="375">
        <v>18000</v>
      </c>
      <c r="H638" s="376">
        <v>7.0707070707070707E-4</v>
      </c>
      <c r="I638" s="375">
        <v>5000</v>
      </c>
      <c r="J638" s="375">
        <v>5500</v>
      </c>
      <c r="K638" s="375">
        <v>13</v>
      </c>
      <c r="M638" s="375">
        <v>4727</v>
      </c>
      <c r="V638" s="375" t="s">
        <v>596</v>
      </c>
    </row>
    <row r="639" spans="1:22" hidden="1" x14ac:dyDescent="0.25">
      <c r="A639" s="377">
        <v>45014</v>
      </c>
      <c r="B639" s="375">
        <v>70000</v>
      </c>
      <c r="C639" s="375">
        <v>42000</v>
      </c>
      <c r="D639" s="375">
        <v>8</v>
      </c>
      <c r="E639" s="375">
        <v>14</v>
      </c>
      <c r="F639" s="375">
        <v>0.4</v>
      </c>
      <c r="G639" s="375">
        <v>18000</v>
      </c>
      <c r="H639" s="376">
        <v>7.0707070707070707E-4</v>
      </c>
      <c r="I639" s="375">
        <v>5000</v>
      </c>
      <c r="J639" s="375">
        <v>5500</v>
      </c>
      <c r="K639" s="375">
        <v>13</v>
      </c>
      <c r="M639" s="375">
        <v>4727</v>
      </c>
      <c r="V639" s="375" t="s">
        <v>596</v>
      </c>
    </row>
    <row r="640" spans="1:22" hidden="1" x14ac:dyDescent="0.25">
      <c r="A640" s="377">
        <v>45015</v>
      </c>
      <c r="B640" s="375">
        <v>70000</v>
      </c>
      <c r="C640" s="375">
        <v>42000</v>
      </c>
      <c r="D640" s="375">
        <v>8</v>
      </c>
      <c r="E640" s="375">
        <v>14</v>
      </c>
      <c r="F640" s="375">
        <v>0.4</v>
      </c>
      <c r="G640" s="375">
        <v>18000</v>
      </c>
      <c r="H640" s="376">
        <v>7.0707070707070707E-4</v>
      </c>
      <c r="I640" s="375">
        <v>5000</v>
      </c>
      <c r="J640" s="375">
        <v>5500</v>
      </c>
      <c r="K640" s="375">
        <v>13</v>
      </c>
      <c r="M640" s="375">
        <v>4727</v>
      </c>
      <c r="V640" s="375" t="s">
        <v>596</v>
      </c>
    </row>
    <row r="641" spans="1:22" hidden="1" x14ac:dyDescent="0.25">
      <c r="A641" s="377">
        <v>45016</v>
      </c>
      <c r="B641" s="375">
        <v>70000</v>
      </c>
      <c r="C641" s="375">
        <v>42000</v>
      </c>
      <c r="D641" s="375">
        <v>8</v>
      </c>
      <c r="E641" s="375">
        <v>14</v>
      </c>
      <c r="F641" s="375">
        <v>0.4</v>
      </c>
      <c r="G641" s="375">
        <v>18000</v>
      </c>
      <c r="H641" s="376">
        <v>7.0707070707070707E-4</v>
      </c>
      <c r="I641" s="375">
        <v>5000</v>
      </c>
      <c r="J641" s="375">
        <v>5500</v>
      </c>
      <c r="K641" s="375">
        <v>13</v>
      </c>
      <c r="M641" s="375">
        <v>4727</v>
      </c>
      <c r="V641" s="375" t="s">
        <v>596</v>
      </c>
    </row>
    <row r="642" spans="1:22" hidden="1" x14ac:dyDescent="0.25">
      <c r="A642" s="377">
        <v>45017</v>
      </c>
      <c r="B642" s="375">
        <v>70000</v>
      </c>
      <c r="C642" s="375">
        <v>33600</v>
      </c>
      <c r="D642" s="375">
        <v>7</v>
      </c>
      <c r="E642" s="375">
        <v>14</v>
      </c>
      <c r="F642" s="375">
        <v>0.52</v>
      </c>
      <c r="G642" s="375">
        <v>16000</v>
      </c>
      <c r="H642" s="376">
        <v>7.9545454545454537E-4</v>
      </c>
      <c r="I642" s="375">
        <v>5000</v>
      </c>
      <c r="J642" s="375">
        <v>5500</v>
      </c>
      <c r="K642" s="375">
        <v>13</v>
      </c>
      <c r="M642" s="375">
        <v>5369</v>
      </c>
      <c r="V642" s="375" t="s">
        <v>596</v>
      </c>
    </row>
    <row r="643" spans="1:22" hidden="1" x14ac:dyDescent="0.25">
      <c r="A643" s="377">
        <v>45018</v>
      </c>
      <c r="B643" s="375">
        <v>70000</v>
      </c>
      <c r="C643" s="375">
        <v>33600</v>
      </c>
      <c r="D643" s="375">
        <v>7</v>
      </c>
      <c r="E643" s="375">
        <v>14</v>
      </c>
      <c r="F643" s="375">
        <v>0.52</v>
      </c>
      <c r="G643" s="375">
        <v>16000</v>
      </c>
      <c r="H643" s="376">
        <v>7.9545454545454537E-4</v>
      </c>
      <c r="I643" s="375">
        <v>5000</v>
      </c>
      <c r="J643" s="375">
        <v>5500</v>
      </c>
      <c r="K643" s="375">
        <v>13</v>
      </c>
      <c r="M643" s="375">
        <v>5369</v>
      </c>
      <c r="V643" s="375" t="s">
        <v>596</v>
      </c>
    </row>
    <row r="644" spans="1:22" hidden="1" x14ac:dyDescent="0.25">
      <c r="A644" s="377">
        <v>45019</v>
      </c>
      <c r="B644" s="375">
        <v>70000</v>
      </c>
      <c r="C644" s="375">
        <v>33600</v>
      </c>
      <c r="D644" s="375">
        <v>7</v>
      </c>
      <c r="E644" s="375">
        <v>14</v>
      </c>
      <c r="F644" s="375">
        <v>0.52</v>
      </c>
      <c r="G644" s="375">
        <v>16000</v>
      </c>
      <c r="H644" s="376">
        <v>7.9545454545454537E-4</v>
      </c>
      <c r="I644" s="375">
        <v>5000</v>
      </c>
      <c r="J644" s="375">
        <v>5500</v>
      </c>
      <c r="K644" s="375">
        <v>13</v>
      </c>
      <c r="M644" s="375">
        <v>5369</v>
      </c>
      <c r="V644" s="375" t="s">
        <v>596</v>
      </c>
    </row>
    <row r="645" spans="1:22" hidden="1" x14ac:dyDescent="0.25">
      <c r="A645" s="377">
        <v>45020</v>
      </c>
      <c r="B645" s="375">
        <v>70000</v>
      </c>
      <c r="C645" s="375">
        <v>33600</v>
      </c>
      <c r="D645" s="375">
        <v>7</v>
      </c>
      <c r="E645" s="375">
        <v>14</v>
      </c>
      <c r="F645" s="375">
        <v>0.52</v>
      </c>
      <c r="G645" s="375">
        <v>16000</v>
      </c>
      <c r="H645" s="376">
        <v>7.9545454545454537E-4</v>
      </c>
      <c r="I645" s="375">
        <v>5000</v>
      </c>
      <c r="J645" s="375">
        <v>5500</v>
      </c>
      <c r="K645" s="375">
        <v>13</v>
      </c>
      <c r="M645" s="375">
        <v>5369</v>
      </c>
      <c r="V645" s="375" t="s">
        <v>596</v>
      </c>
    </row>
    <row r="646" spans="1:22" hidden="1" x14ac:dyDescent="0.25">
      <c r="A646" s="377">
        <v>45021</v>
      </c>
      <c r="B646" s="375">
        <v>70000</v>
      </c>
      <c r="C646" s="375">
        <v>33600</v>
      </c>
      <c r="D646" s="375">
        <v>7</v>
      </c>
      <c r="E646" s="375">
        <v>14</v>
      </c>
      <c r="F646" s="375">
        <v>0.52</v>
      </c>
      <c r="G646" s="375">
        <v>16000</v>
      </c>
      <c r="H646" s="376">
        <v>7.9545454545454537E-4</v>
      </c>
      <c r="I646" s="375">
        <v>5000</v>
      </c>
      <c r="J646" s="375">
        <v>5500</v>
      </c>
      <c r="K646" s="375">
        <v>13</v>
      </c>
      <c r="M646" s="375">
        <v>5369</v>
      </c>
      <c r="V646" s="375" t="s">
        <v>596</v>
      </c>
    </row>
    <row r="647" spans="1:22" hidden="1" x14ac:dyDescent="0.25">
      <c r="A647" s="377">
        <v>45022</v>
      </c>
      <c r="B647" s="375">
        <v>70000</v>
      </c>
      <c r="C647" s="375">
        <v>33600</v>
      </c>
      <c r="D647" s="375">
        <v>7</v>
      </c>
      <c r="E647" s="375">
        <v>14</v>
      </c>
      <c r="F647" s="375">
        <v>0.52</v>
      </c>
      <c r="G647" s="375">
        <v>16000</v>
      </c>
      <c r="H647" s="376">
        <v>7.9545454545454537E-4</v>
      </c>
      <c r="I647" s="375">
        <v>5000</v>
      </c>
      <c r="J647" s="375">
        <v>5500</v>
      </c>
      <c r="K647" s="375">
        <v>13</v>
      </c>
      <c r="M647" s="375">
        <v>5369</v>
      </c>
      <c r="V647" s="375" t="s">
        <v>596</v>
      </c>
    </row>
    <row r="648" spans="1:22" hidden="1" x14ac:dyDescent="0.25">
      <c r="A648" s="377">
        <v>45023</v>
      </c>
      <c r="B648" s="375">
        <v>70000</v>
      </c>
      <c r="C648" s="375">
        <v>33600</v>
      </c>
      <c r="D648" s="375">
        <v>7</v>
      </c>
      <c r="E648" s="375">
        <v>14</v>
      </c>
      <c r="F648" s="375">
        <v>0.52</v>
      </c>
      <c r="G648" s="375">
        <v>16000</v>
      </c>
      <c r="H648" s="376">
        <v>7.9545454545454537E-4</v>
      </c>
      <c r="I648" s="375">
        <v>5000</v>
      </c>
      <c r="J648" s="375">
        <v>5500</v>
      </c>
      <c r="K648" s="375">
        <v>13</v>
      </c>
      <c r="M648" s="375">
        <v>5369</v>
      </c>
      <c r="V648" s="375" t="s">
        <v>596</v>
      </c>
    </row>
    <row r="649" spans="1:22" hidden="1" x14ac:dyDescent="0.25">
      <c r="A649" s="377">
        <v>45024</v>
      </c>
      <c r="B649" s="375">
        <v>70000</v>
      </c>
      <c r="C649" s="375">
        <v>33600</v>
      </c>
      <c r="D649" s="375">
        <v>7</v>
      </c>
      <c r="E649" s="375">
        <v>14</v>
      </c>
      <c r="F649" s="375">
        <v>0.52</v>
      </c>
      <c r="G649" s="375">
        <v>16000</v>
      </c>
      <c r="H649" s="376">
        <v>7.9545454545454537E-4</v>
      </c>
      <c r="I649" s="375">
        <v>5000</v>
      </c>
      <c r="J649" s="375">
        <v>5500</v>
      </c>
      <c r="K649" s="375">
        <v>13</v>
      </c>
      <c r="M649" s="375">
        <v>5369</v>
      </c>
      <c r="V649" s="375" t="s">
        <v>596</v>
      </c>
    </row>
    <row r="650" spans="1:22" hidden="1" x14ac:dyDescent="0.25">
      <c r="A650" s="377">
        <v>45025</v>
      </c>
      <c r="B650" s="375">
        <v>70000</v>
      </c>
      <c r="C650" s="375">
        <v>33600</v>
      </c>
      <c r="D650" s="375">
        <v>7</v>
      </c>
      <c r="E650" s="375">
        <v>14</v>
      </c>
      <c r="F650" s="375">
        <v>0.52</v>
      </c>
      <c r="G650" s="375">
        <v>16000</v>
      </c>
      <c r="H650" s="376">
        <v>7.9545454545454537E-4</v>
      </c>
      <c r="I650" s="375">
        <v>5000</v>
      </c>
      <c r="J650" s="375">
        <v>5500</v>
      </c>
      <c r="K650" s="375">
        <v>13</v>
      </c>
      <c r="M650" s="375">
        <v>5369</v>
      </c>
      <c r="V650" s="375" t="s">
        <v>596</v>
      </c>
    </row>
    <row r="651" spans="1:22" hidden="1" x14ac:dyDescent="0.25">
      <c r="A651" s="377">
        <v>45026</v>
      </c>
      <c r="B651" s="375">
        <v>70000</v>
      </c>
      <c r="C651" s="375">
        <v>33600</v>
      </c>
      <c r="D651" s="375">
        <v>7</v>
      </c>
      <c r="E651" s="375">
        <v>14</v>
      </c>
      <c r="F651" s="375">
        <v>0.52</v>
      </c>
      <c r="G651" s="375">
        <v>16000</v>
      </c>
      <c r="H651" s="376">
        <v>7.9545454545454537E-4</v>
      </c>
      <c r="I651" s="375">
        <v>5000</v>
      </c>
      <c r="J651" s="375">
        <v>5500</v>
      </c>
      <c r="K651" s="375">
        <v>13</v>
      </c>
      <c r="M651" s="375">
        <v>5369</v>
      </c>
      <c r="V651" s="375" t="s">
        <v>596</v>
      </c>
    </row>
    <row r="652" spans="1:22" hidden="1" x14ac:dyDescent="0.25">
      <c r="A652" s="377">
        <v>45027</v>
      </c>
      <c r="B652" s="375">
        <v>70000</v>
      </c>
      <c r="C652" s="375">
        <v>33600</v>
      </c>
      <c r="D652" s="375">
        <v>7</v>
      </c>
      <c r="E652" s="375">
        <v>14</v>
      </c>
      <c r="F652" s="375">
        <v>0.52</v>
      </c>
      <c r="G652" s="375">
        <v>16000</v>
      </c>
      <c r="H652" s="376">
        <v>7.9545454545454537E-4</v>
      </c>
      <c r="I652" s="375">
        <v>5000</v>
      </c>
      <c r="J652" s="375">
        <v>5500</v>
      </c>
      <c r="K652" s="375">
        <v>13</v>
      </c>
      <c r="M652" s="375">
        <v>6021</v>
      </c>
      <c r="V652" s="375" t="s">
        <v>596</v>
      </c>
    </row>
    <row r="653" spans="1:22" hidden="1" x14ac:dyDescent="0.25">
      <c r="A653" s="377">
        <v>45028</v>
      </c>
      <c r="B653" s="375">
        <v>80000</v>
      </c>
      <c r="C653" s="375">
        <v>38400</v>
      </c>
      <c r="D653" s="375">
        <v>8</v>
      </c>
      <c r="E653" s="375">
        <v>16</v>
      </c>
      <c r="F653" s="375">
        <v>0.52</v>
      </c>
      <c r="G653" s="375">
        <v>17000</v>
      </c>
      <c r="H653" s="376">
        <v>8.5561497326203204E-4</v>
      </c>
      <c r="I653" s="375">
        <v>5000</v>
      </c>
      <c r="J653" s="375">
        <v>5500</v>
      </c>
      <c r="K653" s="375">
        <v>15</v>
      </c>
      <c r="M653" s="375">
        <v>6021</v>
      </c>
      <c r="V653" s="375" t="s">
        <v>596</v>
      </c>
    </row>
    <row r="654" spans="1:22" hidden="1" x14ac:dyDescent="0.25">
      <c r="A654" s="377">
        <v>45029</v>
      </c>
      <c r="B654" s="375">
        <v>80000</v>
      </c>
      <c r="C654" s="375">
        <v>38400</v>
      </c>
      <c r="D654" s="375">
        <v>8</v>
      </c>
      <c r="E654" s="375">
        <v>16</v>
      </c>
      <c r="F654" s="375">
        <v>0.52</v>
      </c>
      <c r="G654" s="375">
        <v>17000</v>
      </c>
      <c r="H654" s="376">
        <v>8.5561497326203204E-4</v>
      </c>
      <c r="I654" s="375">
        <v>5000</v>
      </c>
      <c r="J654" s="375">
        <v>5500</v>
      </c>
      <c r="K654" s="375">
        <v>15</v>
      </c>
      <c r="M654" s="375">
        <v>6021</v>
      </c>
      <c r="V654" s="375" t="s">
        <v>596</v>
      </c>
    </row>
    <row r="655" spans="1:22" hidden="1" x14ac:dyDescent="0.25">
      <c r="A655" s="377">
        <v>45030</v>
      </c>
      <c r="B655" s="375">
        <v>80000</v>
      </c>
      <c r="C655" s="375">
        <v>38400</v>
      </c>
      <c r="D655" s="375">
        <v>8</v>
      </c>
      <c r="E655" s="375">
        <v>16</v>
      </c>
      <c r="F655" s="375">
        <v>0.52</v>
      </c>
      <c r="G655" s="375">
        <v>17000</v>
      </c>
      <c r="H655" s="376">
        <v>8.5561497326203204E-4</v>
      </c>
      <c r="I655" s="375">
        <v>5000</v>
      </c>
      <c r="J655" s="375">
        <v>5500</v>
      </c>
      <c r="K655" s="375">
        <v>15</v>
      </c>
      <c r="M655" s="375">
        <v>6021</v>
      </c>
      <c r="V655" s="375" t="s">
        <v>596</v>
      </c>
    </row>
    <row r="656" spans="1:22" hidden="1" x14ac:dyDescent="0.25">
      <c r="A656" s="377">
        <v>45031</v>
      </c>
      <c r="B656" s="375">
        <v>80000</v>
      </c>
      <c r="C656" s="375">
        <v>38400</v>
      </c>
      <c r="D656" s="375">
        <v>8</v>
      </c>
      <c r="E656" s="375">
        <v>16</v>
      </c>
      <c r="F656" s="375">
        <v>0.52</v>
      </c>
      <c r="G656" s="375">
        <v>17000</v>
      </c>
      <c r="H656" s="376">
        <v>8.5561497326203204E-4</v>
      </c>
      <c r="I656" s="375">
        <v>5000</v>
      </c>
      <c r="J656" s="375">
        <v>5500</v>
      </c>
      <c r="K656" s="375">
        <v>15</v>
      </c>
      <c r="M656" s="375">
        <v>6021</v>
      </c>
      <c r="V656" s="375" t="s">
        <v>596</v>
      </c>
    </row>
    <row r="657" spans="1:22" hidden="1" x14ac:dyDescent="0.25">
      <c r="A657" s="377">
        <v>45032</v>
      </c>
      <c r="B657" s="375">
        <v>78982</v>
      </c>
      <c r="C657" s="375">
        <v>37911</v>
      </c>
      <c r="D657" s="375">
        <v>8</v>
      </c>
      <c r="E657" s="375">
        <v>16</v>
      </c>
      <c r="F657" s="375">
        <v>0.52</v>
      </c>
      <c r="G657" s="375">
        <v>17000</v>
      </c>
      <c r="H657" s="376">
        <v>8.4472727272727271E-4</v>
      </c>
      <c r="I657" s="375">
        <v>5000</v>
      </c>
      <c r="J657" s="375">
        <v>5500</v>
      </c>
      <c r="K657" s="375">
        <v>14</v>
      </c>
      <c r="M657" s="375">
        <v>5369</v>
      </c>
      <c r="V657" s="375" t="s">
        <v>596</v>
      </c>
    </row>
    <row r="658" spans="1:22" hidden="1" x14ac:dyDescent="0.25">
      <c r="A658" s="377">
        <v>45033</v>
      </c>
      <c r="B658" s="375">
        <v>70000</v>
      </c>
      <c r="C658" s="375">
        <v>33600</v>
      </c>
      <c r="D658" s="375">
        <v>7</v>
      </c>
      <c r="E658" s="375">
        <v>14</v>
      </c>
      <c r="F658" s="375">
        <v>0.52</v>
      </c>
      <c r="G658" s="375">
        <v>16000</v>
      </c>
      <c r="H658" s="376">
        <v>7.9545454545454537E-4</v>
      </c>
      <c r="I658" s="375">
        <v>5000</v>
      </c>
      <c r="J658" s="375">
        <v>5500</v>
      </c>
      <c r="K658" s="375">
        <v>13</v>
      </c>
      <c r="M658" s="375">
        <v>5369</v>
      </c>
      <c r="V658" s="375" t="s">
        <v>596</v>
      </c>
    </row>
    <row r="659" spans="1:22" hidden="1" x14ac:dyDescent="0.25">
      <c r="A659" s="377">
        <v>45034</v>
      </c>
      <c r="B659" s="375">
        <v>70000</v>
      </c>
      <c r="C659" s="375">
        <v>33600</v>
      </c>
      <c r="D659" s="375">
        <v>7</v>
      </c>
      <c r="E659" s="375">
        <v>14</v>
      </c>
      <c r="F659" s="375">
        <v>0.52</v>
      </c>
      <c r="G659" s="375">
        <v>16000</v>
      </c>
      <c r="H659" s="376">
        <v>7.9545454545454537E-4</v>
      </c>
      <c r="I659" s="375">
        <v>5000</v>
      </c>
      <c r="J659" s="375">
        <v>5500</v>
      </c>
      <c r="K659" s="375">
        <v>13</v>
      </c>
      <c r="M659" s="375">
        <v>5369</v>
      </c>
      <c r="V659" s="375" t="s">
        <v>596</v>
      </c>
    </row>
    <row r="660" spans="1:22" hidden="1" x14ac:dyDescent="0.25">
      <c r="A660" s="377">
        <v>45035</v>
      </c>
      <c r="B660" s="375">
        <v>70000</v>
      </c>
      <c r="C660" s="375">
        <v>33600</v>
      </c>
      <c r="D660" s="375">
        <v>7</v>
      </c>
      <c r="E660" s="375">
        <v>14</v>
      </c>
      <c r="F660" s="375">
        <v>0.52</v>
      </c>
      <c r="G660" s="375">
        <v>16000</v>
      </c>
      <c r="H660" s="376">
        <v>7.9545454545454537E-4</v>
      </c>
      <c r="I660" s="375">
        <v>5000</v>
      </c>
      <c r="J660" s="375">
        <v>5500</v>
      </c>
      <c r="K660" s="375">
        <v>13</v>
      </c>
      <c r="M660" s="375">
        <v>5369</v>
      </c>
      <c r="V660" s="375" t="s">
        <v>596</v>
      </c>
    </row>
    <row r="661" spans="1:22" hidden="1" x14ac:dyDescent="0.25">
      <c r="A661" s="377">
        <v>45036</v>
      </c>
      <c r="B661" s="375">
        <v>70000</v>
      </c>
      <c r="C661" s="375">
        <v>33600</v>
      </c>
      <c r="D661" s="375">
        <v>7</v>
      </c>
      <c r="E661" s="375">
        <v>14</v>
      </c>
      <c r="F661" s="375">
        <v>0.52</v>
      </c>
      <c r="G661" s="375">
        <v>16000</v>
      </c>
      <c r="H661" s="376">
        <v>7.9545454545454537E-4</v>
      </c>
      <c r="I661" s="375">
        <v>5000</v>
      </c>
      <c r="J661" s="375">
        <v>5500</v>
      </c>
      <c r="K661" s="375">
        <v>13</v>
      </c>
      <c r="M661" s="375">
        <v>5369</v>
      </c>
      <c r="V661" s="375" t="s">
        <v>596</v>
      </c>
    </row>
    <row r="662" spans="1:22" hidden="1" x14ac:dyDescent="0.25">
      <c r="A662" s="377">
        <v>45037</v>
      </c>
      <c r="B662" s="375">
        <v>70000</v>
      </c>
      <c r="C662" s="375">
        <v>33600</v>
      </c>
      <c r="D662" s="375">
        <v>7</v>
      </c>
      <c r="E662" s="375">
        <v>14</v>
      </c>
      <c r="F662" s="375">
        <v>0.52</v>
      </c>
      <c r="G662" s="375">
        <v>16000</v>
      </c>
      <c r="H662" s="376">
        <v>7.9545454545454537E-4</v>
      </c>
      <c r="I662" s="375">
        <v>5000</v>
      </c>
      <c r="J662" s="375">
        <v>5500</v>
      </c>
      <c r="K662" s="375">
        <v>13</v>
      </c>
      <c r="M662" s="375">
        <v>5369</v>
      </c>
      <c r="V662" s="375" t="s">
        <v>596</v>
      </c>
    </row>
    <row r="663" spans="1:22" hidden="1" x14ac:dyDescent="0.25">
      <c r="A663" s="377">
        <v>45038</v>
      </c>
      <c r="B663" s="375">
        <v>80000</v>
      </c>
      <c r="C663" s="375">
        <v>38400</v>
      </c>
      <c r="D663" s="375">
        <v>8</v>
      </c>
      <c r="E663" s="375">
        <v>16</v>
      </c>
      <c r="F663" s="375">
        <v>0.52</v>
      </c>
      <c r="G663" s="375">
        <v>17000</v>
      </c>
      <c r="H663" s="376">
        <v>8.5561497326203204E-4</v>
      </c>
      <c r="I663" s="375">
        <v>5000</v>
      </c>
      <c r="J663" s="375">
        <v>5500</v>
      </c>
      <c r="K663" s="375">
        <v>15</v>
      </c>
      <c r="M663" s="375">
        <v>5731</v>
      </c>
      <c r="V663" s="375" t="s">
        <v>596</v>
      </c>
    </row>
    <row r="664" spans="1:22" hidden="1" x14ac:dyDescent="0.25">
      <c r="A664" s="377">
        <v>45039</v>
      </c>
      <c r="B664" s="375">
        <v>80000</v>
      </c>
      <c r="C664" s="375">
        <v>38400</v>
      </c>
      <c r="D664" s="375">
        <v>8</v>
      </c>
      <c r="E664" s="375">
        <v>16</v>
      </c>
      <c r="F664" s="375">
        <v>0.52</v>
      </c>
      <c r="G664" s="375">
        <v>17000</v>
      </c>
      <c r="H664" s="376">
        <v>8.5561497326203204E-4</v>
      </c>
      <c r="I664" s="375">
        <v>5000</v>
      </c>
      <c r="J664" s="375">
        <v>5500</v>
      </c>
      <c r="K664" s="375">
        <v>15</v>
      </c>
      <c r="M664" s="375">
        <v>5689</v>
      </c>
      <c r="V664" s="375" t="s">
        <v>596</v>
      </c>
    </row>
    <row r="665" spans="1:22" hidden="1" x14ac:dyDescent="0.25">
      <c r="A665" s="377">
        <v>45040</v>
      </c>
      <c r="B665" s="375">
        <v>80000</v>
      </c>
      <c r="C665" s="375">
        <v>38400</v>
      </c>
      <c r="D665" s="375">
        <v>8</v>
      </c>
      <c r="E665" s="375">
        <v>16</v>
      </c>
      <c r="F665" s="375">
        <v>0.52</v>
      </c>
      <c r="G665" s="375">
        <v>17000</v>
      </c>
      <c r="H665" s="376">
        <v>8.5561497326203204E-4</v>
      </c>
      <c r="I665" s="375">
        <v>5000</v>
      </c>
      <c r="J665" s="375">
        <v>5500</v>
      </c>
      <c r="K665" s="375">
        <v>15</v>
      </c>
      <c r="M665" s="375">
        <v>5689</v>
      </c>
      <c r="V665" s="375" t="s">
        <v>596</v>
      </c>
    </row>
    <row r="666" spans="1:22" hidden="1" x14ac:dyDescent="0.25">
      <c r="A666" s="377">
        <v>45041</v>
      </c>
      <c r="B666" s="375">
        <v>80000</v>
      </c>
      <c r="C666" s="375">
        <v>38400</v>
      </c>
      <c r="D666" s="375">
        <v>8</v>
      </c>
      <c r="E666" s="375">
        <v>16</v>
      </c>
      <c r="F666" s="375">
        <v>0.52</v>
      </c>
      <c r="G666" s="375">
        <v>17000</v>
      </c>
      <c r="H666" s="376">
        <v>8.5561497326203204E-4</v>
      </c>
      <c r="I666" s="375">
        <v>5000</v>
      </c>
      <c r="J666" s="375">
        <v>5500</v>
      </c>
      <c r="K666" s="375">
        <v>15</v>
      </c>
      <c r="M666" s="375">
        <v>5762</v>
      </c>
      <c r="V666" s="375" t="s">
        <v>596</v>
      </c>
    </row>
    <row r="667" spans="1:22" hidden="1" x14ac:dyDescent="0.25">
      <c r="A667" s="377">
        <v>45042</v>
      </c>
      <c r="B667" s="375">
        <v>80000</v>
      </c>
      <c r="C667" s="375">
        <v>38400</v>
      </c>
      <c r="D667" s="375">
        <v>8</v>
      </c>
      <c r="E667" s="375">
        <v>16</v>
      </c>
      <c r="F667" s="375">
        <v>0.52</v>
      </c>
      <c r="G667" s="375">
        <v>17000</v>
      </c>
      <c r="H667" s="376">
        <v>8.5561497326203204E-4</v>
      </c>
      <c r="I667" s="375">
        <v>5000</v>
      </c>
      <c r="J667" s="375">
        <v>5500</v>
      </c>
      <c r="K667" s="375">
        <v>15</v>
      </c>
      <c r="M667" s="375">
        <v>5762</v>
      </c>
      <c r="V667" s="375" t="s">
        <v>596</v>
      </c>
    </row>
    <row r="668" spans="1:22" hidden="1" x14ac:dyDescent="0.25">
      <c r="A668" s="377">
        <v>45043</v>
      </c>
      <c r="B668" s="375">
        <v>80000</v>
      </c>
      <c r="C668" s="375">
        <v>38400</v>
      </c>
      <c r="D668" s="375">
        <v>8</v>
      </c>
      <c r="E668" s="375">
        <v>16</v>
      </c>
      <c r="F668" s="375">
        <v>0.52</v>
      </c>
      <c r="G668" s="375">
        <v>18000</v>
      </c>
      <c r="H668" s="376">
        <v>8.0808080808080808E-4</v>
      </c>
      <c r="I668" s="375">
        <v>5000</v>
      </c>
      <c r="J668" s="375">
        <v>5500</v>
      </c>
      <c r="K668" s="375">
        <v>15</v>
      </c>
      <c r="M668" s="375">
        <v>5849</v>
      </c>
      <c r="V668" s="375" t="s">
        <v>596</v>
      </c>
    </row>
    <row r="669" spans="1:22" hidden="1" x14ac:dyDescent="0.25">
      <c r="A669" s="377">
        <v>45044</v>
      </c>
      <c r="B669" s="375">
        <v>80000</v>
      </c>
      <c r="C669" s="375">
        <v>38400</v>
      </c>
      <c r="D669" s="375">
        <v>8</v>
      </c>
      <c r="E669" s="375">
        <v>16</v>
      </c>
      <c r="F669" s="375">
        <v>0.52</v>
      </c>
      <c r="G669" s="375">
        <v>18000</v>
      </c>
      <c r="H669" s="376">
        <v>8.0808080808080808E-4</v>
      </c>
      <c r="I669" s="375">
        <v>5000</v>
      </c>
      <c r="J669" s="375">
        <v>5500</v>
      </c>
      <c r="K669" s="375">
        <v>15</v>
      </c>
      <c r="M669" s="375">
        <v>5817</v>
      </c>
      <c r="V669" s="375" t="s">
        <v>596</v>
      </c>
    </row>
    <row r="670" spans="1:22" hidden="1" x14ac:dyDescent="0.25">
      <c r="A670" s="377">
        <v>45045</v>
      </c>
      <c r="B670" s="375">
        <v>80000</v>
      </c>
      <c r="C670" s="375">
        <v>38400</v>
      </c>
      <c r="D670" s="375">
        <v>8</v>
      </c>
      <c r="E670" s="375">
        <v>16</v>
      </c>
      <c r="F670" s="375">
        <v>0.52</v>
      </c>
      <c r="G670" s="375">
        <v>18000</v>
      </c>
      <c r="H670" s="376">
        <v>8.0808080808080808E-4</v>
      </c>
      <c r="I670" s="375">
        <v>5000</v>
      </c>
      <c r="J670" s="375">
        <v>5500</v>
      </c>
      <c r="K670" s="375">
        <v>15</v>
      </c>
      <c r="M670" s="375">
        <v>5817</v>
      </c>
      <c r="V670" s="375" t="s">
        <v>596</v>
      </c>
    </row>
    <row r="671" spans="1:22" hidden="1" x14ac:dyDescent="0.25">
      <c r="A671" s="377">
        <v>45046</v>
      </c>
      <c r="B671" s="375">
        <v>80000</v>
      </c>
      <c r="C671" s="375">
        <v>38400</v>
      </c>
      <c r="D671" s="375">
        <v>8</v>
      </c>
      <c r="E671" s="375">
        <v>16</v>
      </c>
      <c r="F671" s="375">
        <v>0.52</v>
      </c>
      <c r="G671" s="375">
        <v>18000</v>
      </c>
      <c r="H671" s="376">
        <v>8.0808080808080808E-4</v>
      </c>
      <c r="I671" s="375">
        <v>5000</v>
      </c>
      <c r="J671" s="375">
        <v>5500</v>
      </c>
      <c r="K671" s="375">
        <v>15</v>
      </c>
      <c r="M671" s="375">
        <v>5737</v>
      </c>
      <c r="V671" s="375" t="s">
        <v>596</v>
      </c>
    </row>
    <row r="672" spans="1:22" hidden="1" x14ac:dyDescent="0.25">
      <c r="A672" s="377">
        <v>45047</v>
      </c>
      <c r="B672" s="375">
        <v>80000</v>
      </c>
      <c r="C672" s="375">
        <v>44000</v>
      </c>
      <c r="D672" s="375">
        <v>11</v>
      </c>
      <c r="E672" s="375">
        <v>20</v>
      </c>
      <c r="F672" s="375">
        <v>0.45</v>
      </c>
      <c r="G672" s="375">
        <v>18000</v>
      </c>
      <c r="H672" s="376">
        <v>9.8765432098765434E-4</v>
      </c>
      <c r="I672" s="375">
        <v>4000</v>
      </c>
      <c r="J672" s="375">
        <v>4500</v>
      </c>
      <c r="K672" s="375">
        <v>18</v>
      </c>
      <c r="M672" s="375">
        <v>7042</v>
      </c>
      <c r="V672" s="375" t="s">
        <v>596</v>
      </c>
    </row>
    <row r="673" spans="1:22" hidden="1" x14ac:dyDescent="0.25">
      <c r="A673" s="377">
        <v>45048</v>
      </c>
      <c r="B673" s="375">
        <v>80000</v>
      </c>
      <c r="C673" s="375">
        <v>44000</v>
      </c>
      <c r="D673" s="375">
        <v>11</v>
      </c>
      <c r="E673" s="375">
        <v>20</v>
      </c>
      <c r="F673" s="375">
        <v>0.45</v>
      </c>
      <c r="G673" s="375">
        <v>18000</v>
      </c>
      <c r="H673" s="376">
        <v>9.8765432098765434E-4</v>
      </c>
      <c r="I673" s="375">
        <v>4000</v>
      </c>
      <c r="J673" s="375">
        <v>4500</v>
      </c>
      <c r="K673" s="375">
        <v>18</v>
      </c>
      <c r="M673" s="375">
        <v>7042</v>
      </c>
      <c r="V673" s="375" t="s">
        <v>596</v>
      </c>
    </row>
    <row r="674" spans="1:22" hidden="1" x14ac:dyDescent="0.25">
      <c r="A674" s="377">
        <v>45049</v>
      </c>
      <c r="B674" s="375">
        <v>80000</v>
      </c>
      <c r="C674" s="375">
        <v>44000</v>
      </c>
      <c r="D674" s="375">
        <v>11</v>
      </c>
      <c r="E674" s="375">
        <v>20</v>
      </c>
      <c r="F674" s="375">
        <v>0.45</v>
      </c>
      <c r="G674" s="375">
        <v>18000</v>
      </c>
      <c r="H674" s="376">
        <v>9.8765432098765434E-4</v>
      </c>
      <c r="I674" s="375">
        <v>4000</v>
      </c>
      <c r="J674" s="375">
        <v>4500</v>
      </c>
      <c r="K674" s="375">
        <v>18</v>
      </c>
      <c r="M674" s="375">
        <v>7042</v>
      </c>
      <c r="V674" s="375" t="s">
        <v>596</v>
      </c>
    </row>
    <row r="675" spans="1:22" hidden="1" x14ac:dyDescent="0.25">
      <c r="A675" s="377">
        <v>45050</v>
      </c>
      <c r="B675" s="375">
        <v>80000</v>
      </c>
      <c r="C675" s="375">
        <v>44000</v>
      </c>
      <c r="D675" s="375">
        <v>11</v>
      </c>
      <c r="E675" s="375">
        <v>20</v>
      </c>
      <c r="F675" s="375">
        <v>0.45</v>
      </c>
      <c r="G675" s="375">
        <v>18000</v>
      </c>
      <c r="H675" s="376">
        <v>9.8765432098765434E-4</v>
      </c>
      <c r="I675" s="375">
        <v>4000</v>
      </c>
      <c r="J675" s="375">
        <v>4500</v>
      </c>
      <c r="K675" s="375">
        <v>18</v>
      </c>
      <c r="M675" s="375">
        <v>7042</v>
      </c>
      <c r="V675" s="375" t="s">
        <v>596</v>
      </c>
    </row>
    <row r="676" spans="1:22" hidden="1" x14ac:dyDescent="0.25">
      <c r="A676" s="377">
        <v>45051</v>
      </c>
      <c r="B676" s="375">
        <v>80000</v>
      </c>
      <c r="C676" s="375">
        <v>44000</v>
      </c>
      <c r="D676" s="375">
        <v>11</v>
      </c>
      <c r="E676" s="375">
        <v>20</v>
      </c>
      <c r="F676" s="375">
        <v>0.45</v>
      </c>
      <c r="G676" s="375">
        <v>18000</v>
      </c>
      <c r="H676" s="376">
        <v>9.8765432098765434E-4</v>
      </c>
      <c r="I676" s="375">
        <v>4000</v>
      </c>
      <c r="J676" s="375">
        <v>4500</v>
      </c>
      <c r="K676" s="375">
        <v>18</v>
      </c>
      <c r="M676" s="375">
        <v>7042</v>
      </c>
      <c r="V676" s="375" t="s">
        <v>596</v>
      </c>
    </row>
    <row r="677" spans="1:22" hidden="1" x14ac:dyDescent="0.25">
      <c r="A677" s="377">
        <v>45052</v>
      </c>
      <c r="B677" s="375">
        <v>61184</v>
      </c>
      <c r="C677" s="375">
        <v>33651</v>
      </c>
      <c r="D677" s="375">
        <v>8</v>
      </c>
      <c r="E677" s="375">
        <v>15</v>
      </c>
      <c r="F677" s="375">
        <v>0.45</v>
      </c>
      <c r="G677" s="375">
        <v>17000</v>
      </c>
      <c r="H677" s="376">
        <v>7.9979084967320255E-4</v>
      </c>
      <c r="I677" s="375">
        <v>4000</v>
      </c>
      <c r="J677" s="375">
        <v>4500</v>
      </c>
      <c r="K677" s="375">
        <v>14</v>
      </c>
      <c r="M677" s="375">
        <v>7042</v>
      </c>
      <c r="V677" s="375" t="s">
        <v>596</v>
      </c>
    </row>
    <row r="678" spans="1:22" hidden="1" x14ac:dyDescent="0.25">
      <c r="A678" s="377">
        <v>45053</v>
      </c>
      <c r="B678" s="375">
        <v>60000</v>
      </c>
      <c r="C678" s="375">
        <v>33000</v>
      </c>
      <c r="D678" s="375">
        <v>8</v>
      </c>
      <c r="E678" s="375">
        <v>15</v>
      </c>
      <c r="F678" s="375">
        <v>0.45</v>
      </c>
      <c r="G678" s="375">
        <v>17000</v>
      </c>
      <c r="H678" s="376">
        <v>7.8431372549019615E-4</v>
      </c>
      <c r="I678" s="375">
        <v>4000</v>
      </c>
      <c r="J678" s="375">
        <v>4500</v>
      </c>
      <c r="K678" s="375">
        <v>13</v>
      </c>
      <c r="M678" s="375">
        <v>7042</v>
      </c>
      <c r="V678" s="375" t="s">
        <v>596</v>
      </c>
    </row>
    <row r="679" spans="1:22" hidden="1" x14ac:dyDescent="0.25">
      <c r="A679" s="377">
        <v>45054</v>
      </c>
      <c r="B679" s="375">
        <v>60000</v>
      </c>
      <c r="C679" s="375">
        <v>33000</v>
      </c>
      <c r="D679" s="375">
        <v>8</v>
      </c>
      <c r="E679" s="375">
        <v>15</v>
      </c>
      <c r="F679" s="375">
        <v>0.45</v>
      </c>
      <c r="G679" s="375">
        <v>17000</v>
      </c>
      <c r="H679" s="376">
        <v>7.8431372549019615E-4</v>
      </c>
      <c r="I679" s="375">
        <v>4000</v>
      </c>
      <c r="J679" s="375">
        <v>4500</v>
      </c>
      <c r="K679" s="375">
        <v>13</v>
      </c>
      <c r="M679" s="375">
        <v>7042</v>
      </c>
      <c r="V679" s="375" t="s">
        <v>596</v>
      </c>
    </row>
    <row r="680" spans="1:22" hidden="1" x14ac:dyDescent="0.25">
      <c r="A680" s="377">
        <v>45055</v>
      </c>
      <c r="B680" s="375">
        <v>60000</v>
      </c>
      <c r="C680" s="375">
        <v>33000</v>
      </c>
      <c r="D680" s="375">
        <v>8</v>
      </c>
      <c r="E680" s="375">
        <v>15</v>
      </c>
      <c r="F680" s="375">
        <v>0.45</v>
      </c>
      <c r="G680" s="375">
        <v>17000</v>
      </c>
      <c r="H680" s="376">
        <v>7.8431372549019615E-4</v>
      </c>
      <c r="I680" s="375">
        <v>4000</v>
      </c>
      <c r="J680" s="375">
        <v>4500</v>
      </c>
      <c r="K680" s="375">
        <v>13</v>
      </c>
      <c r="M680" s="375">
        <v>7042</v>
      </c>
      <c r="V680" s="375" t="s">
        <v>596</v>
      </c>
    </row>
    <row r="681" spans="1:22" hidden="1" x14ac:dyDescent="0.25">
      <c r="A681" s="377">
        <v>45056</v>
      </c>
      <c r="B681" s="375">
        <v>80000</v>
      </c>
      <c r="C681" s="375">
        <v>44000</v>
      </c>
      <c r="D681" s="375">
        <v>11</v>
      </c>
      <c r="E681" s="375">
        <v>20</v>
      </c>
      <c r="F681" s="375">
        <v>0.45</v>
      </c>
      <c r="G681" s="375">
        <v>17000</v>
      </c>
      <c r="H681" s="376">
        <v>1.0457516339869282E-3</v>
      </c>
      <c r="I681" s="375">
        <v>4000</v>
      </c>
      <c r="J681" s="375">
        <v>4500</v>
      </c>
      <c r="K681" s="375">
        <v>18</v>
      </c>
      <c r="M681" s="375">
        <v>7042</v>
      </c>
      <c r="V681" s="375" t="s">
        <v>596</v>
      </c>
    </row>
    <row r="682" spans="1:22" hidden="1" x14ac:dyDescent="0.25">
      <c r="A682" s="377">
        <v>45057</v>
      </c>
      <c r="B682" s="375">
        <v>80000</v>
      </c>
      <c r="C682" s="375">
        <v>44000</v>
      </c>
      <c r="D682" s="375">
        <v>11</v>
      </c>
      <c r="E682" s="375">
        <v>20</v>
      </c>
      <c r="F682" s="375">
        <v>0.45</v>
      </c>
      <c r="G682" s="375">
        <v>17000</v>
      </c>
      <c r="H682" s="376">
        <v>1.0457516339869282E-3</v>
      </c>
      <c r="I682" s="375">
        <v>4000</v>
      </c>
      <c r="J682" s="375">
        <v>4500</v>
      </c>
      <c r="K682" s="375">
        <v>18</v>
      </c>
      <c r="M682" s="375">
        <v>7042</v>
      </c>
      <c r="V682" s="375" t="s">
        <v>596</v>
      </c>
    </row>
    <row r="683" spans="1:22" hidden="1" x14ac:dyDescent="0.25">
      <c r="A683" s="377">
        <v>45058</v>
      </c>
      <c r="B683" s="375">
        <v>80000</v>
      </c>
      <c r="C683" s="375">
        <v>44000</v>
      </c>
      <c r="D683" s="375">
        <v>11</v>
      </c>
      <c r="E683" s="375">
        <v>20</v>
      </c>
      <c r="F683" s="375">
        <v>0.45</v>
      </c>
      <c r="G683" s="375">
        <v>17000</v>
      </c>
      <c r="H683" s="376">
        <v>1.0457516339869282E-3</v>
      </c>
      <c r="I683" s="375">
        <v>4000</v>
      </c>
      <c r="J683" s="375">
        <v>4500</v>
      </c>
      <c r="K683" s="375">
        <v>18</v>
      </c>
      <c r="M683" s="375">
        <v>7042</v>
      </c>
      <c r="V683" s="375" t="s">
        <v>596</v>
      </c>
    </row>
    <row r="684" spans="1:22" hidden="1" x14ac:dyDescent="0.25">
      <c r="A684" s="377">
        <v>45059</v>
      </c>
      <c r="B684" s="375">
        <v>80000</v>
      </c>
      <c r="C684" s="375">
        <v>44000</v>
      </c>
      <c r="D684" s="375">
        <v>11</v>
      </c>
      <c r="E684" s="375">
        <v>20</v>
      </c>
      <c r="F684" s="375">
        <v>0.45</v>
      </c>
      <c r="G684" s="375">
        <v>17000</v>
      </c>
      <c r="H684" s="376">
        <v>1.0457516339869282E-3</v>
      </c>
      <c r="I684" s="375">
        <v>4000</v>
      </c>
      <c r="J684" s="375">
        <v>4500</v>
      </c>
      <c r="K684" s="375">
        <v>18</v>
      </c>
      <c r="M684" s="375">
        <v>7042</v>
      </c>
      <c r="V684" s="375" t="s">
        <v>596</v>
      </c>
    </row>
    <row r="685" spans="1:22" hidden="1" x14ac:dyDescent="0.25">
      <c r="A685" s="377">
        <v>45060</v>
      </c>
      <c r="B685" s="375">
        <v>80000</v>
      </c>
      <c r="C685" s="375">
        <v>44000</v>
      </c>
      <c r="D685" s="375">
        <v>11</v>
      </c>
      <c r="E685" s="375">
        <v>20</v>
      </c>
      <c r="F685" s="375">
        <v>0.45</v>
      </c>
      <c r="G685" s="375">
        <v>17000</v>
      </c>
      <c r="H685" s="376">
        <v>1.0457516339869282E-3</v>
      </c>
      <c r="I685" s="375">
        <v>4000</v>
      </c>
      <c r="J685" s="375">
        <v>4500</v>
      </c>
      <c r="K685" s="375">
        <v>18</v>
      </c>
      <c r="M685" s="375">
        <v>7042</v>
      </c>
      <c r="V685" s="375" t="s">
        <v>596</v>
      </c>
    </row>
    <row r="686" spans="1:22" hidden="1" x14ac:dyDescent="0.25">
      <c r="A686" s="377">
        <v>45061</v>
      </c>
      <c r="B686" s="375">
        <v>80000</v>
      </c>
      <c r="C686" s="375">
        <v>44000</v>
      </c>
      <c r="D686" s="375">
        <v>11</v>
      </c>
      <c r="E686" s="375">
        <v>20</v>
      </c>
      <c r="F686" s="375">
        <v>0.45</v>
      </c>
      <c r="G686" s="375">
        <v>17000</v>
      </c>
      <c r="H686" s="376">
        <v>1.0457516339869282E-3</v>
      </c>
      <c r="I686" s="375">
        <v>4000</v>
      </c>
      <c r="J686" s="375">
        <v>4500</v>
      </c>
      <c r="K686" s="375">
        <v>18</v>
      </c>
      <c r="M686" s="375">
        <v>7042</v>
      </c>
      <c r="V686" s="375" t="s">
        <v>596</v>
      </c>
    </row>
    <row r="687" spans="1:22" hidden="1" x14ac:dyDescent="0.25">
      <c r="A687" s="377">
        <v>45062</v>
      </c>
      <c r="B687" s="375">
        <v>80000</v>
      </c>
      <c r="C687" s="375">
        <v>44000</v>
      </c>
      <c r="D687" s="375">
        <v>11</v>
      </c>
      <c r="E687" s="375">
        <v>20</v>
      </c>
      <c r="F687" s="375">
        <v>0.45</v>
      </c>
      <c r="G687" s="375">
        <v>20000</v>
      </c>
      <c r="H687" s="376">
        <v>8.8888888888888893E-4</v>
      </c>
      <c r="I687" s="375">
        <v>4000</v>
      </c>
      <c r="J687" s="375">
        <v>4500</v>
      </c>
      <c r="K687" s="375">
        <v>18</v>
      </c>
      <c r="M687" s="375">
        <v>7138</v>
      </c>
      <c r="V687" s="375" t="s">
        <v>596</v>
      </c>
    </row>
    <row r="688" spans="1:22" hidden="1" x14ac:dyDescent="0.25">
      <c r="A688" s="377">
        <v>45063</v>
      </c>
      <c r="B688" s="375">
        <v>80000</v>
      </c>
      <c r="C688" s="375">
        <v>44000</v>
      </c>
      <c r="D688" s="375">
        <v>11</v>
      </c>
      <c r="E688" s="375">
        <v>20</v>
      </c>
      <c r="F688" s="375">
        <v>0.45</v>
      </c>
      <c r="G688" s="375">
        <v>20000</v>
      </c>
      <c r="H688" s="376">
        <v>8.8888888888888893E-4</v>
      </c>
      <c r="I688" s="375">
        <v>4000</v>
      </c>
      <c r="J688" s="375">
        <v>4500</v>
      </c>
      <c r="K688" s="375">
        <v>18</v>
      </c>
      <c r="M688" s="375">
        <v>7138</v>
      </c>
      <c r="V688" s="375" t="s">
        <v>596</v>
      </c>
    </row>
    <row r="689" spans="1:22" hidden="1" x14ac:dyDescent="0.25">
      <c r="A689" s="377">
        <v>45064</v>
      </c>
      <c r="B689" s="375">
        <v>100000</v>
      </c>
      <c r="C689" s="375">
        <v>55000</v>
      </c>
      <c r="D689" s="375">
        <v>14</v>
      </c>
      <c r="E689" s="375">
        <v>25</v>
      </c>
      <c r="F689" s="375">
        <v>0.45</v>
      </c>
      <c r="G689" s="375">
        <v>25000</v>
      </c>
      <c r="H689" s="376">
        <v>8.8888888888888882E-4</v>
      </c>
      <c r="I689" s="375">
        <v>4000</v>
      </c>
      <c r="J689" s="375">
        <v>4500</v>
      </c>
      <c r="K689" s="375">
        <v>22</v>
      </c>
      <c r="M689" s="375">
        <v>7138</v>
      </c>
      <c r="V689" s="375" t="s">
        <v>596</v>
      </c>
    </row>
    <row r="690" spans="1:22" hidden="1" x14ac:dyDescent="0.25">
      <c r="A690" s="377">
        <v>45065</v>
      </c>
      <c r="B690" s="375">
        <v>100000</v>
      </c>
      <c r="C690" s="375">
        <v>55000</v>
      </c>
      <c r="D690" s="375">
        <v>14</v>
      </c>
      <c r="E690" s="375">
        <v>25</v>
      </c>
      <c r="F690" s="375">
        <v>0.45</v>
      </c>
      <c r="G690" s="375">
        <v>25000</v>
      </c>
      <c r="H690" s="376">
        <v>8.8888888888888882E-4</v>
      </c>
      <c r="I690" s="375">
        <v>4000</v>
      </c>
      <c r="J690" s="375">
        <v>4500</v>
      </c>
      <c r="K690" s="375">
        <v>22</v>
      </c>
      <c r="M690" s="375">
        <v>11000</v>
      </c>
      <c r="V690" s="375" t="s">
        <v>596</v>
      </c>
    </row>
    <row r="691" spans="1:22" hidden="1" x14ac:dyDescent="0.25">
      <c r="A691" s="377">
        <v>45066</v>
      </c>
      <c r="B691" s="375">
        <v>100000</v>
      </c>
      <c r="C691" s="375">
        <v>55000</v>
      </c>
      <c r="D691" s="375">
        <v>14</v>
      </c>
      <c r="E691" s="375">
        <v>25</v>
      </c>
      <c r="F691" s="375">
        <v>0.45</v>
      </c>
      <c r="G691" s="375">
        <v>25000</v>
      </c>
      <c r="H691" s="376">
        <v>8.8888888888888882E-4</v>
      </c>
      <c r="I691" s="375">
        <v>4000</v>
      </c>
      <c r="J691" s="375">
        <v>4500</v>
      </c>
      <c r="K691" s="375">
        <v>22</v>
      </c>
      <c r="M691" s="375">
        <v>8000</v>
      </c>
      <c r="V691" s="375" t="s">
        <v>596</v>
      </c>
    </row>
    <row r="692" spans="1:22" hidden="1" x14ac:dyDescent="0.25">
      <c r="A692" s="377">
        <v>45067</v>
      </c>
      <c r="B692" s="375">
        <v>40000</v>
      </c>
      <c r="C692" s="375">
        <v>22000</v>
      </c>
      <c r="D692" s="375">
        <v>6</v>
      </c>
      <c r="E692" s="375">
        <v>10</v>
      </c>
      <c r="F692" s="375">
        <v>0.45</v>
      </c>
      <c r="G692" s="375">
        <v>25000</v>
      </c>
      <c r="H692" s="376">
        <v>3.5555555555555557E-4</v>
      </c>
      <c r="I692" s="375">
        <v>4000</v>
      </c>
      <c r="J692" s="375">
        <v>4500</v>
      </c>
      <c r="K692" s="375">
        <v>9</v>
      </c>
      <c r="M692" s="375">
        <v>14000</v>
      </c>
      <c r="V692" s="375" t="s">
        <v>596</v>
      </c>
    </row>
    <row r="693" spans="1:22" hidden="1" x14ac:dyDescent="0.25">
      <c r="A693" s="377">
        <v>45068</v>
      </c>
      <c r="B693" s="375">
        <v>30000</v>
      </c>
      <c r="C693" s="375">
        <v>16500</v>
      </c>
      <c r="D693" s="375">
        <v>4</v>
      </c>
      <c r="E693" s="375">
        <v>8</v>
      </c>
      <c r="F693" s="375">
        <v>0.45</v>
      </c>
      <c r="G693" s="375">
        <v>25000</v>
      </c>
      <c r="H693" s="376">
        <v>2.6666666666666668E-4</v>
      </c>
      <c r="I693" s="375">
        <v>4000</v>
      </c>
      <c r="J693" s="375">
        <v>4500</v>
      </c>
      <c r="K693" s="375">
        <v>7</v>
      </c>
      <c r="M693" s="375">
        <v>17000</v>
      </c>
      <c r="V693" s="375" t="s">
        <v>596</v>
      </c>
    </row>
    <row r="694" spans="1:22" hidden="1" x14ac:dyDescent="0.25">
      <c r="A694" s="377">
        <v>45069</v>
      </c>
      <c r="B694" s="375">
        <v>30000</v>
      </c>
      <c r="C694" s="375">
        <v>16500</v>
      </c>
      <c r="D694" s="375">
        <v>4</v>
      </c>
      <c r="E694" s="375">
        <v>8</v>
      </c>
      <c r="F694" s="375">
        <v>0.45</v>
      </c>
      <c r="G694" s="375">
        <v>25000</v>
      </c>
      <c r="H694" s="376">
        <v>2.6666666666666668E-4</v>
      </c>
      <c r="I694" s="375">
        <v>4000</v>
      </c>
      <c r="J694" s="375">
        <v>4500</v>
      </c>
      <c r="K694" s="375">
        <v>7</v>
      </c>
      <c r="M694" s="375">
        <v>19000</v>
      </c>
      <c r="V694" s="375" t="s">
        <v>596</v>
      </c>
    </row>
    <row r="695" spans="1:22" hidden="1" x14ac:dyDescent="0.25">
      <c r="A695" s="377">
        <v>45070</v>
      </c>
      <c r="B695" s="375">
        <v>30000</v>
      </c>
      <c r="C695" s="375">
        <v>16500</v>
      </c>
      <c r="D695" s="375">
        <v>4</v>
      </c>
      <c r="E695" s="375">
        <v>8</v>
      </c>
      <c r="F695" s="375">
        <v>0.45</v>
      </c>
      <c r="G695" s="375">
        <v>25000</v>
      </c>
      <c r="H695" s="376">
        <v>2.6666666666666668E-4</v>
      </c>
      <c r="I695" s="375">
        <v>4000</v>
      </c>
      <c r="J695" s="375">
        <v>4500</v>
      </c>
      <c r="K695" s="375">
        <v>7</v>
      </c>
      <c r="M695" s="375">
        <v>19000</v>
      </c>
      <c r="V695" s="375" t="s">
        <v>596</v>
      </c>
    </row>
    <row r="696" spans="1:22" hidden="1" x14ac:dyDescent="0.25">
      <c r="A696" s="377">
        <v>45071</v>
      </c>
      <c r="B696" s="375">
        <v>30000</v>
      </c>
      <c r="C696" s="375">
        <v>16500</v>
      </c>
      <c r="D696" s="375">
        <v>4</v>
      </c>
      <c r="E696" s="375">
        <v>8</v>
      </c>
      <c r="F696" s="375">
        <v>0.45</v>
      </c>
      <c r="G696" s="375">
        <v>25000</v>
      </c>
      <c r="H696" s="376">
        <v>2.6666666666666668E-4</v>
      </c>
      <c r="I696" s="375">
        <v>4000</v>
      </c>
      <c r="J696" s="375">
        <v>4500</v>
      </c>
      <c r="K696" s="375">
        <v>7</v>
      </c>
      <c r="M696" s="375">
        <v>19000</v>
      </c>
      <c r="V696" s="375" t="s">
        <v>596</v>
      </c>
    </row>
    <row r="697" spans="1:22" hidden="1" x14ac:dyDescent="0.25">
      <c r="A697" s="377">
        <v>45072</v>
      </c>
      <c r="B697" s="375">
        <v>30000</v>
      </c>
      <c r="C697" s="375">
        <v>16500</v>
      </c>
      <c r="D697" s="375">
        <v>4</v>
      </c>
      <c r="E697" s="375">
        <v>8</v>
      </c>
      <c r="F697" s="375">
        <v>0.45</v>
      </c>
      <c r="G697" s="375">
        <v>28000</v>
      </c>
      <c r="H697" s="376">
        <v>2.380952380952381E-4</v>
      </c>
      <c r="I697" s="375">
        <v>4000</v>
      </c>
      <c r="J697" s="375">
        <v>4500</v>
      </c>
      <c r="K697" s="375">
        <v>7</v>
      </c>
      <c r="M697" s="375">
        <v>20000</v>
      </c>
      <c r="V697" s="375" t="s">
        <v>596</v>
      </c>
    </row>
    <row r="698" spans="1:22" hidden="1" x14ac:dyDescent="0.25">
      <c r="A698" s="377">
        <v>45073</v>
      </c>
      <c r="B698" s="375">
        <v>30000</v>
      </c>
      <c r="C698" s="375">
        <v>16500</v>
      </c>
      <c r="D698" s="375">
        <v>4</v>
      </c>
      <c r="E698" s="375">
        <v>8</v>
      </c>
      <c r="F698" s="375">
        <v>0.45</v>
      </c>
      <c r="G698" s="375">
        <v>28000</v>
      </c>
      <c r="H698" s="376">
        <v>2.380952380952381E-4</v>
      </c>
      <c r="I698" s="375">
        <v>4000</v>
      </c>
      <c r="J698" s="375">
        <v>4500</v>
      </c>
      <c r="K698" s="375">
        <v>7</v>
      </c>
      <c r="M698" s="375">
        <v>20000</v>
      </c>
      <c r="V698" s="375" t="s">
        <v>596</v>
      </c>
    </row>
    <row r="699" spans="1:22" hidden="1" x14ac:dyDescent="0.25">
      <c r="A699" s="377">
        <v>45074</v>
      </c>
      <c r="B699" s="375">
        <v>30000</v>
      </c>
      <c r="C699" s="375">
        <v>16500</v>
      </c>
      <c r="D699" s="375">
        <v>4</v>
      </c>
      <c r="E699" s="375">
        <v>8</v>
      </c>
      <c r="F699" s="375">
        <v>0.45</v>
      </c>
      <c r="G699" s="375">
        <v>28000</v>
      </c>
      <c r="H699" s="376">
        <v>2.380952380952381E-4</v>
      </c>
      <c r="I699" s="375">
        <v>4000</v>
      </c>
      <c r="J699" s="375">
        <v>4500</v>
      </c>
      <c r="K699" s="375">
        <v>7</v>
      </c>
      <c r="M699" s="375">
        <v>20000</v>
      </c>
      <c r="V699" s="375" t="s">
        <v>596</v>
      </c>
    </row>
    <row r="700" spans="1:22" hidden="1" x14ac:dyDescent="0.25">
      <c r="A700" s="377">
        <v>45075</v>
      </c>
      <c r="B700" s="375">
        <v>30000</v>
      </c>
      <c r="C700" s="375">
        <v>16500</v>
      </c>
      <c r="D700" s="375">
        <v>4</v>
      </c>
      <c r="E700" s="375">
        <v>8</v>
      </c>
      <c r="F700" s="375">
        <v>0.45</v>
      </c>
      <c r="G700" s="375">
        <v>28000</v>
      </c>
      <c r="H700" s="376">
        <v>2.380952380952381E-4</v>
      </c>
      <c r="I700" s="375">
        <v>4000</v>
      </c>
      <c r="J700" s="375">
        <v>4500</v>
      </c>
      <c r="K700" s="375">
        <v>7</v>
      </c>
      <c r="M700" s="375">
        <v>20000</v>
      </c>
      <c r="V700" s="375" t="s">
        <v>596</v>
      </c>
    </row>
    <row r="701" spans="1:22" hidden="1" x14ac:dyDescent="0.25">
      <c r="A701" s="377">
        <v>45076</v>
      </c>
      <c r="B701" s="375">
        <v>40000</v>
      </c>
      <c r="C701" s="375">
        <v>22000</v>
      </c>
      <c r="D701" s="375">
        <v>6</v>
      </c>
      <c r="E701" s="375">
        <v>10</v>
      </c>
      <c r="F701" s="375">
        <v>0.45</v>
      </c>
      <c r="G701" s="375">
        <v>28000</v>
      </c>
      <c r="H701" s="376">
        <v>3.1746031746031746E-4</v>
      </c>
      <c r="I701" s="375">
        <v>4000</v>
      </c>
      <c r="J701" s="375">
        <v>4500</v>
      </c>
      <c r="K701" s="375">
        <v>9</v>
      </c>
      <c r="M701" s="375">
        <v>20000</v>
      </c>
      <c r="V701" s="375" t="s">
        <v>596</v>
      </c>
    </row>
    <row r="702" spans="1:22" hidden="1" x14ac:dyDescent="0.25">
      <c r="A702" s="377">
        <v>45077</v>
      </c>
      <c r="B702" s="375">
        <v>1040000</v>
      </c>
      <c r="C702" s="375">
        <v>499200</v>
      </c>
      <c r="D702" s="375">
        <v>125</v>
      </c>
      <c r="E702" s="375">
        <v>260</v>
      </c>
      <c r="F702" s="375">
        <v>0.52</v>
      </c>
      <c r="G702" s="375">
        <v>28000</v>
      </c>
      <c r="H702" s="376">
        <v>8.2539682539682548E-3</v>
      </c>
      <c r="I702" s="375">
        <v>4000</v>
      </c>
      <c r="J702" s="375">
        <v>4500</v>
      </c>
      <c r="K702" s="375">
        <v>231</v>
      </c>
      <c r="M702" s="375">
        <v>23000</v>
      </c>
      <c r="V702" s="375" t="s">
        <v>596</v>
      </c>
    </row>
    <row r="703" spans="1:22" hidden="1" x14ac:dyDescent="0.25">
      <c r="A703" s="377">
        <v>45078</v>
      </c>
      <c r="B703" s="375">
        <v>425000</v>
      </c>
      <c r="C703" s="375">
        <v>204000</v>
      </c>
      <c r="D703" s="375">
        <v>68</v>
      </c>
      <c r="E703" s="375">
        <v>142</v>
      </c>
      <c r="F703" s="375">
        <v>0.52</v>
      </c>
      <c r="G703" s="375">
        <v>28000</v>
      </c>
      <c r="H703" s="376">
        <v>4.336734693877551E-3</v>
      </c>
      <c r="I703" s="375">
        <v>3000</v>
      </c>
      <c r="J703" s="375">
        <v>3500</v>
      </c>
      <c r="K703" s="375">
        <v>121</v>
      </c>
      <c r="M703" s="375">
        <v>22000</v>
      </c>
      <c r="V703" s="375" t="s">
        <v>596</v>
      </c>
    </row>
    <row r="704" spans="1:22" hidden="1" x14ac:dyDescent="0.25">
      <c r="A704" s="377">
        <v>45079</v>
      </c>
      <c r="B704" s="375">
        <v>210000</v>
      </c>
      <c r="C704" s="375">
        <v>100800</v>
      </c>
      <c r="D704" s="375">
        <v>34</v>
      </c>
      <c r="E704" s="375">
        <v>70</v>
      </c>
      <c r="F704" s="375">
        <v>0.52</v>
      </c>
      <c r="G704" s="375">
        <v>28000</v>
      </c>
      <c r="H704" s="376">
        <v>2.142857142857143E-3</v>
      </c>
      <c r="I704" s="375">
        <v>3000</v>
      </c>
      <c r="J704" s="375">
        <v>3500</v>
      </c>
      <c r="K704" s="375">
        <v>60</v>
      </c>
      <c r="M704" s="375">
        <v>22000</v>
      </c>
      <c r="V704" s="375" t="s">
        <v>596</v>
      </c>
    </row>
    <row r="705" spans="1:22" hidden="1" x14ac:dyDescent="0.25">
      <c r="A705" s="377">
        <v>45080</v>
      </c>
      <c r="B705" s="375">
        <v>315000</v>
      </c>
      <c r="C705" s="375">
        <v>151200</v>
      </c>
      <c r="D705" s="375">
        <v>50</v>
      </c>
      <c r="E705" s="375">
        <v>105</v>
      </c>
      <c r="F705" s="375">
        <v>0.52</v>
      </c>
      <c r="G705" s="375">
        <v>28000</v>
      </c>
      <c r="H705" s="376">
        <v>3.2142857142857142E-3</v>
      </c>
      <c r="I705" s="375">
        <v>3000</v>
      </c>
      <c r="J705" s="375">
        <v>3500</v>
      </c>
      <c r="K705" s="375">
        <v>90</v>
      </c>
      <c r="M705" s="375">
        <v>22000</v>
      </c>
      <c r="V705" s="375" t="s">
        <v>596</v>
      </c>
    </row>
    <row r="706" spans="1:22" hidden="1" x14ac:dyDescent="0.25">
      <c r="A706" s="377">
        <v>45081</v>
      </c>
      <c r="B706" s="375">
        <v>90000</v>
      </c>
      <c r="C706" s="375">
        <v>43200</v>
      </c>
      <c r="D706" s="375">
        <v>14</v>
      </c>
      <c r="E706" s="375">
        <v>30</v>
      </c>
      <c r="F706" s="375">
        <v>0.52</v>
      </c>
      <c r="G706" s="375">
        <v>20000</v>
      </c>
      <c r="H706" s="376">
        <v>1.2857142857142859E-3</v>
      </c>
      <c r="I706" s="375">
        <v>3000</v>
      </c>
      <c r="J706" s="375">
        <v>3500</v>
      </c>
      <c r="K706" s="375">
        <v>26</v>
      </c>
      <c r="M706" s="375">
        <v>11000</v>
      </c>
      <c r="V706" s="375" t="s">
        <v>596</v>
      </c>
    </row>
    <row r="707" spans="1:22" hidden="1" x14ac:dyDescent="0.25">
      <c r="A707" s="377">
        <v>45082</v>
      </c>
      <c r="B707" s="375">
        <v>90000</v>
      </c>
      <c r="C707" s="375">
        <v>43200</v>
      </c>
      <c r="D707" s="375">
        <v>14</v>
      </c>
      <c r="E707" s="375">
        <v>30</v>
      </c>
      <c r="F707" s="375">
        <v>0.52</v>
      </c>
      <c r="G707" s="375">
        <v>20000</v>
      </c>
      <c r="H707" s="376">
        <v>1.2857142857142859E-3</v>
      </c>
      <c r="I707" s="375">
        <v>3000</v>
      </c>
      <c r="J707" s="375">
        <v>3500</v>
      </c>
      <c r="K707" s="375">
        <v>26</v>
      </c>
      <c r="M707" s="375">
        <v>11000</v>
      </c>
      <c r="V707" s="375" t="s">
        <v>596</v>
      </c>
    </row>
    <row r="708" spans="1:22" hidden="1" x14ac:dyDescent="0.25">
      <c r="A708" s="377">
        <v>45083</v>
      </c>
      <c r="B708" s="375">
        <v>90000</v>
      </c>
      <c r="C708" s="375">
        <v>43200</v>
      </c>
      <c r="D708" s="375">
        <v>14</v>
      </c>
      <c r="E708" s="375">
        <v>30</v>
      </c>
      <c r="F708" s="375">
        <v>0.52</v>
      </c>
      <c r="G708" s="375">
        <v>20000</v>
      </c>
      <c r="H708" s="376">
        <v>1.2857142857142859E-3</v>
      </c>
      <c r="I708" s="375">
        <v>3000</v>
      </c>
      <c r="J708" s="375">
        <v>3500</v>
      </c>
      <c r="K708" s="375">
        <v>26</v>
      </c>
      <c r="M708" s="375">
        <v>11000</v>
      </c>
      <c r="V708" s="375" t="s">
        <v>596</v>
      </c>
    </row>
    <row r="709" spans="1:22" hidden="1" x14ac:dyDescent="0.25">
      <c r="A709" s="377">
        <v>45084</v>
      </c>
      <c r="B709" s="375">
        <v>90000</v>
      </c>
      <c r="C709" s="375">
        <v>43200</v>
      </c>
      <c r="D709" s="375">
        <v>14</v>
      </c>
      <c r="E709" s="375">
        <v>30</v>
      </c>
      <c r="F709" s="375">
        <v>0.52</v>
      </c>
      <c r="G709" s="375">
        <v>20000</v>
      </c>
      <c r="H709" s="376">
        <v>1.2857142857142859E-3</v>
      </c>
      <c r="I709" s="375">
        <v>3000</v>
      </c>
      <c r="J709" s="375">
        <v>3500</v>
      </c>
      <c r="K709" s="375">
        <v>26</v>
      </c>
      <c r="M709" s="375">
        <v>11000</v>
      </c>
      <c r="V709" s="375" t="s">
        <v>596</v>
      </c>
    </row>
    <row r="710" spans="1:22" hidden="1" x14ac:dyDescent="0.25">
      <c r="A710" s="377">
        <v>45085</v>
      </c>
      <c r="B710" s="375">
        <v>90000</v>
      </c>
      <c r="C710" s="375">
        <v>43200</v>
      </c>
      <c r="D710" s="375">
        <v>14</v>
      </c>
      <c r="E710" s="375">
        <v>30</v>
      </c>
      <c r="F710" s="375">
        <v>0.52</v>
      </c>
      <c r="G710" s="375">
        <v>20000</v>
      </c>
      <c r="H710" s="376">
        <v>1.2857142857142859E-3</v>
      </c>
      <c r="I710" s="375">
        <v>3000</v>
      </c>
      <c r="J710" s="375">
        <v>3500</v>
      </c>
      <c r="K710" s="375">
        <v>26</v>
      </c>
      <c r="M710" s="375">
        <v>11000</v>
      </c>
      <c r="V710" s="375" t="s">
        <v>596</v>
      </c>
    </row>
    <row r="711" spans="1:22" hidden="1" x14ac:dyDescent="0.25">
      <c r="A711" s="377">
        <v>45086</v>
      </c>
      <c r="B711" s="375">
        <v>90000</v>
      </c>
      <c r="C711" s="375">
        <v>43200</v>
      </c>
      <c r="D711" s="375">
        <v>14</v>
      </c>
      <c r="E711" s="375">
        <v>30</v>
      </c>
      <c r="F711" s="375">
        <v>0.52</v>
      </c>
      <c r="G711" s="375">
        <v>20000</v>
      </c>
      <c r="H711" s="376">
        <v>1.2857142857142859E-3</v>
      </c>
      <c r="I711" s="375">
        <v>3000</v>
      </c>
      <c r="J711" s="375">
        <v>3500</v>
      </c>
      <c r="K711" s="375">
        <v>26</v>
      </c>
      <c r="M711" s="375">
        <v>11000</v>
      </c>
      <c r="V711" s="375" t="s">
        <v>596</v>
      </c>
    </row>
    <row r="712" spans="1:22" hidden="1" x14ac:dyDescent="0.25">
      <c r="A712" s="377">
        <v>45087</v>
      </c>
      <c r="B712" s="375">
        <v>90000</v>
      </c>
      <c r="C712" s="375">
        <v>43200</v>
      </c>
      <c r="D712" s="375">
        <v>14</v>
      </c>
      <c r="E712" s="375">
        <v>30</v>
      </c>
      <c r="F712" s="375">
        <v>0.52</v>
      </c>
      <c r="G712" s="375">
        <v>20000</v>
      </c>
      <c r="H712" s="376">
        <v>1.2857142857142859E-3</v>
      </c>
      <c r="I712" s="375">
        <v>3000</v>
      </c>
      <c r="J712" s="375">
        <v>3500</v>
      </c>
      <c r="K712" s="375">
        <v>26</v>
      </c>
      <c r="M712" s="375">
        <v>11000</v>
      </c>
      <c r="V712" s="375" t="s">
        <v>596</v>
      </c>
    </row>
    <row r="713" spans="1:22" hidden="1" x14ac:dyDescent="0.25">
      <c r="A713" s="377">
        <v>45088</v>
      </c>
      <c r="B713" s="375">
        <v>90000</v>
      </c>
      <c r="C713" s="375">
        <v>43200</v>
      </c>
      <c r="D713" s="375">
        <v>14</v>
      </c>
      <c r="E713" s="375">
        <v>30</v>
      </c>
      <c r="F713" s="375">
        <v>0.52</v>
      </c>
      <c r="G713" s="375">
        <v>20000</v>
      </c>
      <c r="H713" s="376">
        <v>1.2857142857142859E-3</v>
      </c>
      <c r="I713" s="375">
        <v>3000</v>
      </c>
      <c r="J713" s="375">
        <v>3500</v>
      </c>
      <c r="K713" s="375">
        <v>26</v>
      </c>
      <c r="M713" s="375">
        <v>11000</v>
      </c>
      <c r="V713" s="375" t="s">
        <v>596</v>
      </c>
    </row>
    <row r="714" spans="1:22" hidden="1" x14ac:dyDescent="0.25">
      <c r="A714" s="377">
        <v>45089</v>
      </c>
      <c r="B714" s="375">
        <v>110000</v>
      </c>
      <c r="C714" s="375">
        <v>52800</v>
      </c>
      <c r="D714" s="375">
        <v>18</v>
      </c>
      <c r="E714" s="375">
        <v>37</v>
      </c>
      <c r="F714" s="375">
        <v>0.52</v>
      </c>
      <c r="G714" s="375">
        <v>22000</v>
      </c>
      <c r="H714" s="376">
        <v>1.4285714285714286E-3</v>
      </c>
      <c r="I714" s="375">
        <v>3000</v>
      </c>
      <c r="J714" s="375">
        <v>3500</v>
      </c>
      <c r="K714" s="375">
        <v>31</v>
      </c>
      <c r="M714" s="375">
        <v>13000</v>
      </c>
      <c r="V714" s="375" t="s">
        <v>596</v>
      </c>
    </row>
    <row r="715" spans="1:22" hidden="1" x14ac:dyDescent="0.25">
      <c r="A715" s="377">
        <v>45090</v>
      </c>
      <c r="B715" s="375">
        <v>120000</v>
      </c>
      <c r="C715" s="375">
        <v>57600</v>
      </c>
      <c r="D715" s="375">
        <v>19</v>
      </c>
      <c r="E715" s="375">
        <v>40</v>
      </c>
      <c r="F715" s="375">
        <v>0.52</v>
      </c>
      <c r="G715" s="375">
        <v>22000</v>
      </c>
      <c r="H715" s="376">
        <v>1.5584415584415584E-3</v>
      </c>
      <c r="I715" s="375">
        <v>3000</v>
      </c>
      <c r="J715" s="375">
        <v>3500</v>
      </c>
      <c r="K715" s="375">
        <v>34</v>
      </c>
      <c r="M715" s="375">
        <v>13000</v>
      </c>
      <c r="V715" s="375" t="s">
        <v>596</v>
      </c>
    </row>
    <row r="716" spans="1:22" hidden="1" x14ac:dyDescent="0.25">
      <c r="A716" s="377">
        <v>45091</v>
      </c>
      <c r="B716" s="375">
        <v>150000</v>
      </c>
      <c r="C716" s="375">
        <v>72000</v>
      </c>
      <c r="D716" s="375">
        <v>24</v>
      </c>
      <c r="E716" s="375">
        <v>50</v>
      </c>
      <c r="F716" s="375">
        <v>0.52</v>
      </c>
      <c r="G716" s="375">
        <v>25000</v>
      </c>
      <c r="H716" s="376">
        <v>1.7142857142857142E-3</v>
      </c>
      <c r="I716" s="375">
        <v>3000</v>
      </c>
      <c r="J716" s="375">
        <v>3500</v>
      </c>
      <c r="K716" s="375">
        <v>43</v>
      </c>
      <c r="M716" s="375">
        <v>13000</v>
      </c>
      <c r="V716" s="375" t="s">
        <v>596</v>
      </c>
    </row>
    <row r="717" spans="1:22" hidden="1" x14ac:dyDescent="0.25">
      <c r="A717" s="377">
        <v>45092</v>
      </c>
      <c r="B717" s="375">
        <v>750000</v>
      </c>
      <c r="C717" s="375">
        <v>360000</v>
      </c>
      <c r="D717" s="375">
        <v>120</v>
      </c>
      <c r="E717" s="375">
        <v>250</v>
      </c>
      <c r="F717" s="375">
        <v>0.52</v>
      </c>
      <c r="G717" s="375">
        <v>31000</v>
      </c>
      <c r="H717" s="376">
        <v>6.9124423963133636E-3</v>
      </c>
      <c r="I717" s="375">
        <v>3000</v>
      </c>
      <c r="J717" s="375">
        <v>3500</v>
      </c>
      <c r="K717" s="375">
        <v>214</v>
      </c>
      <c r="M717" s="375">
        <v>17000</v>
      </c>
      <c r="V717" s="375" t="s">
        <v>596</v>
      </c>
    </row>
    <row r="718" spans="1:22" hidden="1" x14ac:dyDescent="0.25">
      <c r="A718" s="377">
        <v>45093</v>
      </c>
      <c r="B718" s="375">
        <v>500000</v>
      </c>
      <c r="C718" s="375">
        <v>240000</v>
      </c>
      <c r="D718" s="375">
        <v>80</v>
      </c>
      <c r="E718" s="375">
        <v>167</v>
      </c>
      <c r="F718" s="375">
        <v>0.52</v>
      </c>
      <c r="G718" s="375">
        <v>22000</v>
      </c>
      <c r="H718" s="376">
        <v>6.4935064935064939E-3</v>
      </c>
      <c r="I718" s="375">
        <v>3000</v>
      </c>
      <c r="J718" s="375">
        <v>3500</v>
      </c>
      <c r="K718" s="375">
        <v>143</v>
      </c>
      <c r="M718" s="375">
        <v>15000</v>
      </c>
      <c r="V718" s="375" t="s">
        <v>596</v>
      </c>
    </row>
    <row r="719" spans="1:22" hidden="1" x14ac:dyDescent="0.25">
      <c r="A719" s="377">
        <v>45094</v>
      </c>
      <c r="B719" s="375">
        <v>300000</v>
      </c>
      <c r="C719" s="375">
        <v>144000</v>
      </c>
      <c r="D719" s="375">
        <v>48</v>
      </c>
      <c r="E719" s="375">
        <v>100</v>
      </c>
      <c r="F719" s="375">
        <v>0.52</v>
      </c>
      <c r="G719" s="375">
        <v>23000</v>
      </c>
      <c r="H719" s="376">
        <v>3.7267080745341614E-3</v>
      </c>
      <c r="I719" s="375">
        <v>3000</v>
      </c>
      <c r="J719" s="375">
        <v>3500</v>
      </c>
      <c r="K719" s="375">
        <v>86</v>
      </c>
      <c r="M719" s="375">
        <v>15000</v>
      </c>
      <c r="V719" s="375" t="s">
        <v>596</v>
      </c>
    </row>
    <row r="720" spans="1:22" hidden="1" x14ac:dyDescent="0.25">
      <c r="A720" s="377">
        <v>45095</v>
      </c>
      <c r="B720" s="375">
        <v>300000</v>
      </c>
      <c r="C720" s="375">
        <v>144000</v>
      </c>
      <c r="D720" s="375">
        <v>48</v>
      </c>
      <c r="E720" s="375">
        <v>100</v>
      </c>
      <c r="F720" s="375">
        <v>0.52</v>
      </c>
      <c r="G720" s="375">
        <v>23000</v>
      </c>
      <c r="H720" s="376">
        <v>3.7267080745341614E-3</v>
      </c>
      <c r="I720" s="375">
        <v>3000</v>
      </c>
      <c r="J720" s="375">
        <v>3500</v>
      </c>
      <c r="K720" s="375">
        <v>86</v>
      </c>
      <c r="M720" s="375">
        <v>15000</v>
      </c>
      <c r="V720" s="375" t="s">
        <v>596</v>
      </c>
    </row>
    <row r="721" spans="1:22" hidden="1" x14ac:dyDescent="0.25">
      <c r="A721" s="377">
        <v>45096</v>
      </c>
      <c r="B721" s="375">
        <v>400000</v>
      </c>
      <c r="C721" s="375">
        <v>192000</v>
      </c>
      <c r="D721" s="375">
        <v>64</v>
      </c>
      <c r="E721" s="375">
        <v>133</v>
      </c>
      <c r="F721" s="375">
        <v>0.52</v>
      </c>
      <c r="G721" s="375">
        <v>23000</v>
      </c>
      <c r="H721" s="376">
        <v>4.9689440993788822E-3</v>
      </c>
      <c r="I721" s="375">
        <v>3000</v>
      </c>
      <c r="J721" s="375">
        <v>3500</v>
      </c>
      <c r="K721" s="375">
        <v>114</v>
      </c>
      <c r="M721" s="375">
        <v>15000</v>
      </c>
      <c r="V721" s="375" t="s">
        <v>596</v>
      </c>
    </row>
    <row r="722" spans="1:22" hidden="1" x14ac:dyDescent="0.25">
      <c r="A722" s="377">
        <v>45097</v>
      </c>
      <c r="B722" s="375">
        <v>700000</v>
      </c>
      <c r="C722" s="375">
        <v>336000</v>
      </c>
      <c r="D722" s="375">
        <v>112</v>
      </c>
      <c r="E722" s="375">
        <v>233</v>
      </c>
      <c r="F722" s="375">
        <v>0.52</v>
      </c>
      <c r="G722" s="375">
        <v>23000</v>
      </c>
      <c r="H722" s="376">
        <v>8.6956521739130436E-3</v>
      </c>
      <c r="I722" s="375">
        <v>3000</v>
      </c>
      <c r="J722" s="375">
        <v>3500</v>
      </c>
      <c r="K722" s="375">
        <v>200</v>
      </c>
      <c r="M722" s="375">
        <v>15000</v>
      </c>
      <c r="V722" s="375" t="s">
        <v>596</v>
      </c>
    </row>
    <row r="723" spans="1:22" hidden="1" x14ac:dyDescent="0.25">
      <c r="A723" s="377">
        <v>45098</v>
      </c>
      <c r="B723" s="375">
        <v>70000</v>
      </c>
      <c r="C723" s="375">
        <v>33600</v>
      </c>
      <c r="D723" s="375">
        <v>11</v>
      </c>
      <c r="E723" s="375">
        <v>23</v>
      </c>
      <c r="F723" s="375">
        <v>0.52</v>
      </c>
      <c r="G723" s="375">
        <v>11000</v>
      </c>
      <c r="H723" s="376">
        <v>1.8181818181818182E-3</v>
      </c>
      <c r="I723" s="375">
        <v>3000</v>
      </c>
      <c r="J723" s="375">
        <v>3500</v>
      </c>
      <c r="K723" s="375">
        <v>20</v>
      </c>
      <c r="M723" s="375">
        <v>5838</v>
      </c>
      <c r="V723" s="375" t="s">
        <v>596</v>
      </c>
    </row>
    <row r="724" spans="1:22" hidden="1" x14ac:dyDescent="0.25">
      <c r="A724" s="377">
        <v>45099</v>
      </c>
      <c r="B724" s="375">
        <v>70000</v>
      </c>
      <c r="C724" s="375">
        <v>33600</v>
      </c>
      <c r="D724" s="375">
        <v>11</v>
      </c>
      <c r="E724" s="375">
        <v>23</v>
      </c>
      <c r="F724" s="375">
        <v>0.52</v>
      </c>
      <c r="G724" s="375">
        <v>11000</v>
      </c>
      <c r="H724" s="376">
        <v>1.8181818181818182E-3</v>
      </c>
      <c r="I724" s="375">
        <v>3000</v>
      </c>
      <c r="J724" s="375">
        <v>3500</v>
      </c>
      <c r="K724" s="375">
        <v>20</v>
      </c>
      <c r="M724" s="375">
        <v>5838</v>
      </c>
      <c r="V724" s="375" t="s">
        <v>596</v>
      </c>
    </row>
    <row r="725" spans="1:22" hidden="1" x14ac:dyDescent="0.25">
      <c r="A725" s="377">
        <v>45100</v>
      </c>
      <c r="B725" s="375">
        <v>70000</v>
      </c>
      <c r="C725" s="375">
        <v>33600</v>
      </c>
      <c r="D725" s="375">
        <v>11</v>
      </c>
      <c r="E725" s="375">
        <v>23</v>
      </c>
      <c r="F725" s="375">
        <v>0.52</v>
      </c>
      <c r="G725" s="375">
        <v>11000</v>
      </c>
      <c r="H725" s="376">
        <v>1.8181818181818182E-3</v>
      </c>
      <c r="I725" s="375">
        <v>3000</v>
      </c>
      <c r="J725" s="375">
        <v>3500</v>
      </c>
      <c r="K725" s="375">
        <v>20</v>
      </c>
      <c r="M725" s="375">
        <v>5838</v>
      </c>
      <c r="V725" s="375" t="s">
        <v>596</v>
      </c>
    </row>
    <row r="726" spans="1:22" hidden="1" x14ac:dyDescent="0.25">
      <c r="A726" s="377">
        <v>45101</v>
      </c>
      <c r="B726" s="375">
        <v>70000</v>
      </c>
      <c r="C726" s="375">
        <v>33600</v>
      </c>
      <c r="D726" s="375">
        <v>11</v>
      </c>
      <c r="E726" s="375">
        <v>23</v>
      </c>
      <c r="F726" s="375">
        <v>0.52</v>
      </c>
      <c r="G726" s="375">
        <v>11000</v>
      </c>
      <c r="H726" s="376">
        <v>1.8181818181818182E-3</v>
      </c>
      <c r="I726" s="375">
        <v>3000</v>
      </c>
      <c r="J726" s="375">
        <v>3500</v>
      </c>
      <c r="K726" s="375">
        <v>20</v>
      </c>
      <c r="M726" s="375">
        <v>5838</v>
      </c>
      <c r="V726" s="375" t="s">
        <v>596</v>
      </c>
    </row>
    <row r="727" spans="1:22" hidden="1" x14ac:dyDescent="0.25">
      <c r="A727" s="377">
        <v>45102</v>
      </c>
      <c r="B727" s="375">
        <v>70000</v>
      </c>
      <c r="C727" s="375">
        <v>33600</v>
      </c>
      <c r="D727" s="375">
        <v>11</v>
      </c>
      <c r="E727" s="375">
        <v>23</v>
      </c>
      <c r="F727" s="375">
        <v>0.52</v>
      </c>
      <c r="G727" s="375">
        <v>11000</v>
      </c>
      <c r="H727" s="376">
        <v>1.8181818181818182E-3</v>
      </c>
      <c r="I727" s="375">
        <v>3000</v>
      </c>
      <c r="J727" s="375">
        <v>3500</v>
      </c>
      <c r="K727" s="375">
        <v>20</v>
      </c>
      <c r="M727" s="375">
        <v>5838</v>
      </c>
      <c r="V727" s="375" t="s">
        <v>596</v>
      </c>
    </row>
    <row r="728" spans="1:22" hidden="1" x14ac:dyDescent="0.25">
      <c r="A728" s="377">
        <v>45103</v>
      </c>
      <c r="B728" s="375">
        <v>70000</v>
      </c>
      <c r="C728" s="375">
        <v>33600</v>
      </c>
      <c r="D728" s="375">
        <v>11</v>
      </c>
      <c r="E728" s="375">
        <v>23</v>
      </c>
      <c r="F728" s="375">
        <v>0.52</v>
      </c>
      <c r="G728" s="375">
        <v>11000</v>
      </c>
      <c r="H728" s="376">
        <v>1.8181818181818182E-3</v>
      </c>
      <c r="I728" s="375">
        <v>3000</v>
      </c>
      <c r="J728" s="375">
        <v>3500</v>
      </c>
      <c r="K728" s="375">
        <v>20</v>
      </c>
      <c r="M728" s="375">
        <v>5838</v>
      </c>
      <c r="V728" s="375" t="s">
        <v>596</v>
      </c>
    </row>
    <row r="729" spans="1:22" hidden="1" x14ac:dyDescent="0.25">
      <c r="A729" s="377">
        <v>45104</v>
      </c>
      <c r="B729" s="375">
        <v>70000</v>
      </c>
      <c r="C729" s="375">
        <v>33600</v>
      </c>
      <c r="D729" s="375">
        <v>11</v>
      </c>
      <c r="E729" s="375">
        <v>23</v>
      </c>
      <c r="F729" s="375">
        <v>0.52</v>
      </c>
      <c r="G729" s="375">
        <v>11000</v>
      </c>
      <c r="H729" s="376">
        <v>1.8181818181818182E-3</v>
      </c>
      <c r="I729" s="375">
        <v>3000</v>
      </c>
      <c r="J729" s="375">
        <v>3500</v>
      </c>
      <c r="K729" s="375">
        <v>20</v>
      </c>
      <c r="M729" s="375">
        <v>5838</v>
      </c>
      <c r="V729" s="375" t="s">
        <v>596</v>
      </c>
    </row>
    <row r="730" spans="1:22" hidden="1" x14ac:dyDescent="0.25">
      <c r="A730" s="377">
        <v>45105</v>
      </c>
      <c r="B730" s="375">
        <v>70000</v>
      </c>
      <c r="C730" s="375">
        <v>33600</v>
      </c>
      <c r="D730" s="375">
        <v>11</v>
      </c>
      <c r="E730" s="375">
        <v>23</v>
      </c>
      <c r="F730" s="375">
        <v>0.52</v>
      </c>
      <c r="G730" s="375">
        <v>11000</v>
      </c>
      <c r="H730" s="376">
        <v>1.8181818181818182E-3</v>
      </c>
      <c r="I730" s="375">
        <v>3000</v>
      </c>
      <c r="J730" s="375">
        <v>3500</v>
      </c>
      <c r="K730" s="375">
        <v>20</v>
      </c>
      <c r="M730" s="375">
        <v>5838</v>
      </c>
      <c r="V730" s="375" t="s">
        <v>596</v>
      </c>
    </row>
    <row r="731" spans="1:22" hidden="1" x14ac:dyDescent="0.25">
      <c r="A731" s="377">
        <v>45106</v>
      </c>
      <c r="B731" s="375">
        <v>70000</v>
      </c>
      <c r="C731" s="375">
        <v>33600</v>
      </c>
      <c r="D731" s="375">
        <v>11</v>
      </c>
      <c r="E731" s="375">
        <v>23</v>
      </c>
      <c r="F731" s="375">
        <v>0.52</v>
      </c>
      <c r="G731" s="375">
        <v>11000</v>
      </c>
      <c r="H731" s="376">
        <v>1.8181818181818182E-3</v>
      </c>
      <c r="I731" s="375">
        <v>3000</v>
      </c>
      <c r="J731" s="375">
        <v>3500</v>
      </c>
      <c r="K731" s="375">
        <v>20</v>
      </c>
      <c r="M731" s="375">
        <v>5758</v>
      </c>
      <c r="V731" s="375" t="s">
        <v>596</v>
      </c>
    </row>
    <row r="732" spans="1:22" hidden="1" x14ac:dyDescent="0.25">
      <c r="A732" s="377">
        <v>45107</v>
      </c>
      <c r="B732" s="375">
        <v>62420</v>
      </c>
      <c r="C732" s="375">
        <v>29962</v>
      </c>
      <c r="D732" s="375">
        <v>10</v>
      </c>
      <c r="E732" s="375">
        <v>21</v>
      </c>
      <c r="F732" s="375">
        <v>0.52</v>
      </c>
      <c r="G732" s="375">
        <v>11000</v>
      </c>
      <c r="H732" s="376">
        <v>1.6212987012987012E-3</v>
      </c>
      <c r="I732" s="375">
        <v>3000</v>
      </c>
      <c r="J732" s="375">
        <v>3500</v>
      </c>
      <c r="K732" s="375">
        <v>18</v>
      </c>
      <c r="M732" s="375">
        <v>5758</v>
      </c>
      <c r="V732" s="375" t="s">
        <v>596</v>
      </c>
    </row>
    <row r="733" spans="1:22" hidden="1" x14ac:dyDescent="0.25">
      <c r="A733" s="377">
        <v>45108</v>
      </c>
      <c r="B733" s="375">
        <v>60000</v>
      </c>
      <c r="C733" s="375">
        <v>30000</v>
      </c>
      <c r="D733" s="375">
        <v>10</v>
      </c>
      <c r="E733" s="375">
        <v>20</v>
      </c>
      <c r="F733" s="375">
        <v>0.5</v>
      </c>
      <c r="G733" s="375">
        <v>13000</v>
      </c>
      <c r="H733" s="376">
        <v>1.3186813186813187E-3</v>
      </c>
      <c r="I733" s="375">
        <v>3000</v>
      </c>
      <c r="J733" s="375">
        <v>3500</v>
      </c>
      <c r="K733" s="375">
        <v>17</v>
      </c>
      <c r="M733" s="375">
        <v>6501</v>
      </c>
      <c r="V733" s="375" t="s">
        <v>596</v>
      </c>
    </row>
    <row r="734" spans="1:22" hidden="1" x14ac:dyDescent="0.25">
      <c r="A734" s="377">
        <v>45109</v>
      </c>
      <c r="B734" s="375">
        <v>60000</v>
      </c>
      <c r="C734" s="375">
        <v>30000</v>
      </c>
      <c r="D734" s="375">
        <v>10</v>
      </c>
      <c r="E734" s="375">
        <v>20</v>
      </c>
      <c r="F734" s="375">
        <v>0.5</v>
      </c>
      <c r="G734" s="375">
        <v>13000</v>
      </c>
      <c r="H734" s="376">
        <v>1.3186813186813187E-3</v>
      </c>
      <c r="I734" s="375">
        <v>3000</v>
      </c>
      <c r="J734" s="375">
        <v>3500</v>
      </c>
      <c r="K734" s="375">
        <v>17</v>
      </c>
      <c r="M734" s="375">
        <v>6501</v>
      </c>
      <c r="V734" s="375" t="s">
        <v>596</v>
      </c>
    </row>
    <row r="735" spans="1:22" hidden="1" x14ac:dyDescent="0.25">
      <c r="A735" s="377">
        <v>45110</v>
      </c>
      <c r="B735" s="375">
        <v>60000</v>
      </c>
      <c r="C735" s="375">
        <v>30000</v>
      </c>
      <c r="D735" s="375">
        <v>10</v>
      </c>
      <c r="E735" s="375">
        <v>20</v>
      </c>
      <c r="F735" s="375">
        <v>0.5</v>
      </c>
      <c r="G735" s="375">
        <v>13000</v>
      </c>
      <c r="H735" s="376">
        <v>1.3186813186813187E-3</v>
      </c>
      <c r="I735" s="375">
        <v>3000</v>
      </c>
      <c r="J735" s="375">
        <v>3500</v>
      </c>
      <c r="K735" s="375">
        <v>17</v>
      </c>
      <c r="M735" s="375">
        <v>6501</v>
      </c>
      <c r="V735" s="375" t="s">
        <v>596</v>
      </c>
    </row>
    <row r="736" spans="1:22" hidden="1" x14ac:dyDescent="0.25">
      <c r="A736" s="377">
        <v>45111</v>
      </c>
      <c r="B736" s="375">
        <v>60000</v>
      </c>
      <c r="C736" s="375">
        <v>30000</v>
      </c>
      <c r="D736" s="375">
        <v>10</v>
      </c>
      <c r="E736" s="375">
        <v>20</v>
      </c>
      <c r="F736" s="375">
        <v>0.5</v>
      </c>
      <c r="G736" s="375">
        <v>13000</v>
      </c>
      <c r="H736" s="376">
        <v>1.3186813186813187E-3</v>
      </c>
      <c r="I736" s="375">
        <v>3000</v>
      </c>
      <c r="J736" s="375">
        <v>3500</v>
      </c>
      <c r="K736" s="375">
        <v>17</v>
      </c>
      <c r="M736" s="375">
        <v>6501</v>
      </c>
      <c r="V736" s="375" t="s">
        <v>596</v>
      </c>
    </row>
    <row r="737" spans="1:22" hidden="1" x14ac:dyDescent="0.25">
      <c r="A737" s="377">
        <v>45112</v>
      </c>
      <c r="B737" s="375">
        <v>60000</v>
      </c>
      <c r="C737" s="375">
        <v>30000</v>
      </c>
      <c r="D737" s="375">
        <v>10</v>
      </c>
      <c r="E737" s="375">
        <v>20</v>
      </c>
      <c r="F737" s="375">
        <v>0.5</v>
      </c>
      <c r="G737" s="375">
        <v>13000</v>
      </c>
      <c r="H737" s="376">
        <v>1.3186813186813187E-3</v>
      </c>
      <c r="I737" s="375">
        <v>3000</v>
      </c>
      <c r="J737" s="375">
        <v>3500</v>
      </c>
      <c r="K737" s="375">
        <v>17</v>
      </c>
      <c r="M737" s="375">
        <v>6501</v>
      </c>
      <c r="V737" s="375" t="s">
        <v>596</v>
      </c>
    </row>
    <row r="738" spans="1:22" hidden="1" x14ac:dyDescent="0.25">
      <c r="A738" s="377">
        <v>45113</v>
      </c>
      <c r="B738" s="375">
        <v>60000</v>
      </c>
      <c r="C738" s="375">
        <v>30000</v>
      </c>
      <c r="D738" s="375">
        <v>10</v>
      </c>
      <c r="E738" s="375">
        <v>20</v>
      </c>
      <c r="F738" s="375">
        <v>0.5</v>
      </c>
      <c r="G738" s="375">
        <v>13000</v>
      </c>
      <c r="H738" s="376">
        <v>1.3186813186813187E-3</v>
      </c>
      <c r="I738" s="375">
        <v>3000</v>
      </c>
      <c r="J738" s="375">
        <v>3500</v>
      </c>
      <c r="K738" s="375">
        <v>17</v>
      </c>
      <c r="M738" s="375">
        <v>6501</v>
      </c>
      <c r="V738" s="375" t="s">
        <v>596</v>
      </c>
    </row>
    <row r="739" spans="1:22" hidden="1" x14ac:dyDescent="0.25">
      <c r="A739" s="377">
        <v>45114</v>
      </c>
      <c r="B739" s="375">
        <v>60000</v>
      </c>
      <c r="C739" s="375">
        <v>30000</v>
      </c>
      <c r="D739" s="375">
        <v>10</v>
      </c>
      <c r="E739" s="375">
        <v>20</v>
      </c>
      <c r="F739" s="375">
        <v>0.5</v>
      </c>
      <c r="G739" s="375">
        <v>13000</v>
      </c>
      <c r="H739" s="376">
        <v>1.3186813186813187E-3</v>
      </c>
      <c r="I739" s="375">
        <v>3000</v>
      </c>
      <c r="J739" s="375">
        <v>3500</v>
      </c>
      <c r="K739" s="375">
        <v>17</v>
      </c>
      <c r="M739" s="375">
        <v>6501</v>
      </c>
      <c r="V739" s="375" t="s">
        <v>596</v>
      </c>
    </row>
    <row r="740" spans="1:22" hidden="1" x14ac:dyDescent="0.25">
      <c r="A740" s="377">
        <v>45115</v>
      </c>
      <c r="B740" s="375">
        <v>60000</v>
      </c>
      <c r="C740" s="375">
        <v>30000</v>
      </c>
      <c r="D740" s="375">
        <v>10</v>
      </c>
      <c r="E740" s="375">
        <v>20</v>
      </c>
      <c r="F740" s="375">
        <v>0.5</v>
      </c>
      <c r="G740" s="375">
        <v>13000</v>
      </c>
      <c r="H740" s="376">
        <v>1.3186813186813187E-3</v>
      </c>
      <c r="I740" s="375">
        <v>3000</v>
      </c>
      <c r="J740" s="375">
        <v>3500</v>
      </c>
      <c r="K740" s="375">
        <v>17</v>
      </c>
      <c r="M740" s="375">
        <v>6501</v>
      </c>
      <c r="V740" s="375" t="s">
        <v>596</v>
      </c>
    </row>
    <row r="741" spans="1:22" hidden="1" x14ac:dyDescent="0.25">
      <c r="A741" s="377">
        <v>45116</v>
      </c>
      <c r="B741" s="375">
        <v>60000</v>
      </c>
      <c r="C741" s="375">
        <v>30000</v>
      </c>
      <c r="D741" s="375">
        <v>10</v>
      </c>
      <c r="E741" s="375">
        <v>20</v>
      </c>
      <c r="F741" s="375">
        <v>0.5</v>
      </c>
      <c r="G741" s="375">
        <v>13000</v>
      </c>
      <c r="H741" s="376">
        <v>1.3186813186813187E-3</v>
      </c>
      <c r="I741" s="375">
        <v>3000</v>
      </c>
      <c r="J741" s="375">
        <v>3500</v>
      </c>
      <c r="K741" s="375">
        <v>17</v>
      </c>
      <c r="M741" s="375">
        <v>6501</v>
      </c>
      <c r="V741" s="375" t="s">
        <v>596</v>
      </c>
    </row>
    <row r="742" spans="1:22" hidden="1" x14ac:dyDescent="0.25">
      <c r="A742" s="377">
        <v>45117</v>
      </c>
      <c r="B742" s="375">
        <v>60000</v>
      </c>
      <c r="C742" s="375">
        <v>30000</v>
      </c>
      <c r="D742" s="375">
        <v>10</v>
      </c>
      <c r="E742" s="375">
        <v>20</v>
      </c>
      <c r="F742" s="375">
        <v>0.5</v>
      </c>
      <c r="G742" s="375">
        <v>13000</v>
      </c>
      <c r="H742" s="376">
        <v>1.3186813186813187E-3</v>
      </c>
      <c r="I742" s="375">
        <v>3000</v>
      </c>
      <c r="J742" s="375">
        <v>3500</v>
      </c>
      <c r="K742" s="375">
        <v>17</v>
      </c>
      <c r="M742" s="375">
        <v>6501</v>
      </c>
      <c r="V742" s="375" t="s">
        <v>596</v>
      </c>
    </row>
    <row r="743" spans="1:22" hidden="1" x14ac:dyDescent="0.25">
      <c r="A743" s="377">
        <v>45118</v>
      </c>
      <c r="B743" s="375">
        <v>65000</v>
      </c>
      <c r="C743" s="375">
        <v>32500</v>
      </c>
      <c r="D743" s="375">
        <v>11</v>
      </c>
      <c r="E743" s="375">
        <v>22</v>
      </c>
      <c r="F743" s="375">
        <v>0.5</v>
      </c>
      <c r="G743" s="375">
        <v>15000</v>
      </c>
      <c r="H743" s="376">
        <v>1.2380952380952382E-3</v>
      </c>
      <c r="I743" s="375">
        <v>3000</v>
      </c>
      <c r="J743" s="375">
        <v>3500</v>
      </c>
      <c r="K743" s="375">
        <v>19</v>
      </c>
      <c r="M743" s="375">
        <v>6875</v>
      </c>
      <c r="V743" s="375" t="s">
        <v>596</v>
      </c>
    </row>
    <row r="744" spans="1:22" hidden="1" x14ac:dyDescent="0.25">
      <c r="A744" s="377">
        <v>45119</v>
      </c>
      <c r="B744" s="375">
        <v>65000</v>
      </c>
      <c r="C744" s="375">
        <v>32500</v>
      </c>
      <c r="D744" s="375">
        <v>11</v>
      </c>
      <c r="E744" s="375">
        <v>22</v>
      </c>
      <c r="F744" s="375">
        <v>0.5</v>
      </c>
      <c r="G744" s="375">
        <v>15000</v>
      </c>
      <c r="H744" s="376">
        <v>1.2380952380952382E-3</v>
      </c>
      <c r="I744" s="375">
        <v>3000</v>
      </c>
      <c r="J744" s="375">
        <v>3500</v>
      </c>
      <c r="K744" s="375">
        <v>19</v>
      </c>
      <c r="M744" s="375">
        <v>6875</v>
      </c>
      <c r="V744" s="375" t="s">
        <v>596</v>
      </c>
    </row>
    <row r="745" spans="1:22" hidden="1" x14ac:dyDescent="0.25">
      <c r="A745" s="377">
        <v>45120</v>
      </c>
      <c r="B745" s="375">
        <v>65000</v>
      </c>
      <c r="C745" s="375">
        <v>32500</v>
      </c>
      <c r="D745" s="375">
        <v>11</v>
      </c>
      <c r="E745" s="375">
        <v>22</v>
      </c>
      <c r="F745" s="375">
        <v>0.5</v>
      </c>
      <c r="G745" s="375">
        <v>15000</v>
      </c>
      <c r="H745" s="376">
        <v>1.2380952380952382E-3</v>
      </c>
      <c r="I745" s="375">
        <v>3000</v>
      </c>
      <c r="J745" s="375">
        <v>3500</v>
      </c>
      <c r="K745" s="375">
        <v>19</v>
      </c>
      <c r="M745" s="375">
        <v>6907</v>
      </c>
      <c r="V745" s="375" t="s">
        <v>596</v>
      </c>
    </row>
    <row r="746" spans="1:22" hidden="1" x14ac:dyDescent="0.25">
      <c r="A746" s="377">
        <v>45121</v>
      </c>
      <c r="B746" s="375">
        <v>75000</v>
      </c>
      <c r="C746" s="375">
        <v>37500</v>
      </c>
      <c r="D746" s="375">
        <v>13</v>
      </c>
      <c r="E746" s="375">
        <v>25</v>
      </c>
      <c r="F746" s="375">
        <v>0.5</v>
      </c>
      <c r="G746" s="375">
        <v>15000</v>
      </c>
      <c r="H746" s="376">
        <v>1.4285714285714286E-3</v>
      </c>
      <c r="I746" s="375">
        <v>3000</v>
      </c>
      <c r="J746" s="375">
        <v>3500</v>
      </c>
      <c r="K746" s="375">
        <v>21</v>
      </c>
      <c r="M746" s="375">
        <v>6875</v>
      </c>
      <c r="V746" s="375" t="s">
        <v>596</v>
      </c>
    </row>
    <row r="747" spans="1:22" hidden="1" x14ac:dyDescent="0.25">
      <c r="A747" s="377">
        <v>45122</v>
      </c>
      <c r="B747" s="375">
        <v>75000</v>
      </c>
      <c r="C747" s="375">
        <v>37500</v>
      </c>
      <c r="D747" s="375">
        <v>13</v>
      </c>
      <c r="E747" s="375">
        <v>25</v>
      </c>
      <c r="F747" s="375">
        <v>0.5</v>
      </c>
      <c r="G747" s="375">
        <v>15000</v>
      </c>
      <c r="H747" s="376">
        <v>1.4285714285714286E-3</v>
      </c>
      <c r="I747" s="375">
        <v>3000</v>
      </c>
      <c r="J747" s="375">
        <v>3500</v>
      </c>
      <c r="K747" s="375">
        <v>21</v>
      </c>
      <c r="M747" s="375">
        <v>6875</v>
      </c>
      <c r="V747" s="375" t="s">
        <v>596</v>
      </c>
    </row>
    <row r="748" spans="1:22" hidden="1" x14ac:dyDescent="0.25">
      <c r="A748" s="377">
        <v>45123</v>
      </c>
      <c r="B748" s="375">
        <v>65000</v>
      </c>
      <c r="C748" s="375">
        <v>32500</v>
      </c>
      <c r="D748" s="375">
        <v>11</v>
      </c>
      <c r="E748" s="375">
        <v>22</v>
      </c>
      <c r="F748" s="375">
        <v>0.5</v>
      </c>
      <c r="G748" s="375">
        <v>13000</v>
      </c>
      <c r="H748" s="376">
        <v>1.4285714285714288E-3</v>
      </c>
      <c r="I748" s="375">
        <v>3000</v>
      </c>
      <c r="J748" s="375">
        <v>3500</v>
      </c>
      <c r="K748" s="375">
        <v>19</v>
      </c>
      <c r="M748" s="375">
        <v>6356</v>
      </c>
      <c r="V748" s="375" t="s">
        <v>596</v>
      </c>
    </row>
    <row r="749" spans="1:22" hidden="1" x14ac:dyDescent="0.25">
      <c r="A749" s="377">
        <v>45124</v>
      </c>
      <c r="B749" s="375">
        <v>65000</v>
      </c>
      <c r="C749" s="375">
        <v>32500</v>
      </c>
      <c r="D749" s="375">
        <v>11</v>
      </c>
      <c r="E749" s="375">
        <v>22</v>
      </c>
      <c r="F749" s="375">
        <v>0.5</v>
      </c>
      <c r="G749" s="375">
        <v>13000</v>
      </c>
      <c r="H749" s="376">
        <v>1.4285714285714288E-3</v>
      </c>
      <c r="I749" s="375">
        <v>3000</v>
      </c>
      <c r="J749" s="375">
        <v>3500</v>
      </c>
      <c r="K749" s="375">
        <v>19</v>
      </c>
      <c r="M749" s="375">
        <v>6501</v>
      </c>
      <c r="V749" s="375" t="s">
        <v>596</v>
      </c>
    </row>
    <row r="750" spans="1:22" hidden="1" x14ac:dyDescent="0.25">
      <c r="A750" s="377">
        <v>45125</v>
      </c>
      <c r="B750" s="375">
        <v>65000</v>
      </c>
      <c r="C750" s="375">
        <v>32500</v>
      </c>
      <c r="D750" s="375">
        <v>11</v>
      </c>
      <c r="E750" s="375">
        <v>22</v>
      </c>
      <c r="F750" s="375">
        <v>0.5</v>
      </c>
      <c r="G750" s="375">
        <v>13000</v>
      </c>
      <c r="H750" s="376">
        <v>1.4285714285714288E-3</v>
      </c>
      <c r="I750" s="375">
        <v>3000</v>
      </c>
      <c r="J750" s="375">
        <v>3500</v>
      </c>
      <c r="K750" s="375">
        <v>19</v>
      </c>
      <c r="M750" s="375">
        <v>6501</v>
      </c>
      <c r="V750" s="375" t="s">
        <v>596</v>
      </c>
    </row>
    <row r="751" spans="1:22" hidden="1" x14ac:dyDescent="0.25">
      <c r="A751" s="377">
        <v>45126</v>
      </c>
      <c r="B751" s="375">
        <v>65000</v>
      </c>
      <c r="C751" s="375">
        <v>32500</v>
      </c>
      <c r="D751" s="375">
        <v>11</v>
      </c>
      <c r="E751" s="375">
        <v>22</v>
      </c>
      <c r="F751" s="375">
        <v>0.5</v>
      </c>
      <c r="G751" s="375">
        <v>13000</v>
      </c>
      <c r="H751" s="376">
        <v>1.4285714285714288E-3</v>
      </c>
      <c r="I751" s="375">
        <v>3000</v>
      </c>
      <c r="J751" s="375">
        <v>3500</v>
      </c>
      <c r="K751" s="375">
        <v>19</v>
      </c>
      <c r="M751" s="375">
        <v>6501</v>
      </c>
      <c r="V751" s="375" t="s">
        <v>596</v>
      </c>
    </row>
    <row r="752" spans="1:22" hidden="1" x14ac:dyDescent="0.25">
      <c r="A752" s="377">
        <v>45127</v>
      </c>
      <c r="B752" s="375">
        <v>65000</v>
      </c>
      <c r="C752" s="375">
        <v>32500</v>
      </c>
      <c r="D752" s="375">
        <v>11</v>
      </c>
      <c r="E752" s="375">
        <v>22</v>
      </c>
      <c r="F752" s="375">
        <v>0.5</v>
      </c>
      <c r="G752" s="375">
        <v>13000</v>
      </c>
      <c r="H752" s="376">
        <v>1.4285714285714288E-3</v>
      </c>
      <c r="I752" s="375">
        <v>3000</v>
      </c>
      <c r="J752" s="375">
        <v>3500</v>
      </c>
      <c r="K752" s="375">
        <v>19</v>
      </c>
      <c r="M752" s="375">
        <v>6501</v>
      </c>
      <c r="V752" s="375" t="s">
        <v>596</v>
      </c>
    </row>
    <row r="753" spans="1:22" hidden="1" x14ac:dyDescent="0.25">
      <c r="A753" s="377">
        <v>45128</v>
      </c>
      <c r="B753" s="375">
        <v>65000</v>
      </c>
      <c r="C753" s="375">
        <v>32500</v>
      </c>
      <c r="D753" s="375">
        <v>11</v>
      </c>
      <c r="E753" s="375">
        <v>22</v>
      </c>
      <c r="F753" s="375">
        <v>0.5</v>
      </c>
      <c r="G753" s="375">
        <v>13000</v>
      </c>
      <c r="H753" s="376">
        <v>1.4285714285714288E-3</v>
      </c>
      <c r="I753" s="375">
        <v>3000</v>
      </c>
      <c r="J753" s="375">
        <v>3500</v>
      </c>
      <c r="K753" s="375">
        <v>19</v>
      </c>
      <c r="M753" s="375">
        <v>6501</v>
      </c>
      <c r="V753" s="375" t="s">
        <v>596</v>
      </c>
    </row>
    <row r="754" spans="1:22" hidden="1" x14ac:dyDescent="0.25">
      <c r="A754" s="377">
        <v>45129</v>
      </c>
      <c r="B754" s="375">
        <v>65000</v>
      </c>
      <c r="C754" s="375">
        <v>32500</v>
      </c>
      <c r="D754" s="375">
        <v>11</v>
      </c>
      <c r="E754" s="375">
        <v>22</v>
      </c>
      <c r="F754" s="375">
        <v>0.5</v>
      </c>
      <c r="G754" s="375">
        <v>13000</v>
      </c>
      <c r="H754" s="376">
        <v>1.4285714285714288E-3</v>
      </c>
      <c r="I754" s="375">
        <v>3000</v>
      </c>
      <c r="J754" s="375">
        <v>3500</v>
      </c>
      <c r="K754" s="375">
        <v>19</v>
      </c>
      <c r="M754" s="375">
        <v>6501</v>
      </c>
      <c r="V754" s="375" t="s">
        <v>596</v>
      </c>
    </row>
    <row r="755" spans="1:22" hidden="1" x14ac:dyDescent="0.25">
      <c r="A755" s="377">
        <v>45130</v>
      </c>
      <c r="B755" s="375">
        <v>65000</v>
      </c>
      <c r="C755" s="375">
        <v>32500</v>
      </c>
      <c r="D755" s="375">
        <v>11</v>
      </c>
      <c r="E755" s="375">
        <v>22</v>
      </c>
      <c r="F755" s="375">
        <v>0.5</v>
      </c>
      <c r="G755" s="375">
        <v>13000</v>
      </c>
      <c r="H755" s="376">
        <v>1.4285714285714288E-3</v>
      </c>
      <c r="I755" s="375">
        <v>3000</v>
      </c>
      <c r="J755" s="375">
        <v>3500</v>
      </c>
      <c r="K755" s="375">
        <v>19</v>
      </c>
      <c r="M755" s="375">
        <v>6501</v>
      </c>
      <c r="V755" s="375" t="s">
        <v>596</v>
      </c>
    </row>
    <row r="756" spans="1:22" hidden="1" x14ac:dyDescent="0.25">
      <c r="A756" s="377">
        <v>45131</v>
      </c>
      <c r="B756" s="375">
        <v>65000</v>
      </c>
      <c r="C756" s="375">
        <v>32500</v>
      </c>
      <c r="D756" s="375">
        <v>11</v>
      </c>
      <c r="E756" s="375">
        <v>22</v>
      </c>
      <c r="F756" s="375">
        <v>0.5</v>
      </c>
      <c r="G756" s="375">
        <v>13000</v>
      </c>
      <c r="H756" s="376">
        <v>1.4285714285714288E-3</v>
      </c>
      <c r="I756" s="375">
        <v>3000</v>
      </c>
      <c r="J756" s="375">
        <v>3500</v>
      </c>
      <c r="K756" s="375">
        <v>19</v>
      </c>
      <c r="M756" s="375">
        <v>6501</v>
      </c>
      <c r="V756" s="375" t="s">
        <v>596</v>
      </c>
    </row>
    <row r="757" spans="1:22" hidden="1" x14ac:dyDescent="0.25">
      <c r="A757" s="377">
        <v>45132</v>
      </c>
      <c r="B757" s="375">
        <v>65000</v>
      </c>
      <c r="C757" s="375">
        <v>32500</v>
      </c>
      <c r="D757" s="375">
        <v>11</v>
      </c>
      <c r="E757" s="375">
        <v>22</v>
      </c>
      <c r="F757" s="375">
        <v>0.5</v>
      </c>
      <c r="G757" s="375">
        <v>15000</v>
      </c>
      <c r="H757" s="376">
        <v>1.2380952380952382E-3</v>
      </c>
      <c r="I757" s="375">
        <v>3000</v>
      </c>
      <c r="J757" s="375">
        <v>3500</v>
      </c>
      <c r="K757" s="375">
        <v>19</v>
      </c>
      <c r="M757" s="375">
        <v>6628</v>
      </c>
      <c r="V757" s="375" t="s">
        <v>596</v>
      </c>
    </row>
    <row r="758" spans="1:22" hidden="1" x14ac:dyDescent="0.25">
      <c r="A758" s="377">
        <v>45133</v>
      </c>
      <c r="B758" s="375">
        <v>65000</v>
      </c>
      <c r="C758" s="375">
        <v>32500</v>
      </c>
      <c r="D758" s="375">
        <v>11</v>
      </c>
      <c r="E758" s="375">
        <v>22</v>
      </c>
      <c r="F758" s="375">
        <v>0.5</v>
      </c>
      <c r="G758" s="375">
        <v>15000</v>
      </c>
      <c r="H758" s="376">
        <v>1.2380952380952382E-3</v>
      </c>
      <c r="I758" s="375">
        <v>3000</v>
      </c>
      <c r="J758" s="375">
        <v>3500</v>
      </c>
      <c r="K758" s="375">
        <v>19</v>
      </c>
      <c r="M758" s="375">
        <v>6722</v>
      </c>
      <c r="V758" s="375" t="s">
        <v>596</v>
      </c>
    </row>
    <row r="759" spans="1:22" hidden="1" x14ac:dyDescent="0.25">
      <c r="A759" s="377">
        <v>45134</v>
      </c>
      <c r="B759" s="375">
        <v>70000</v>
      </c>
      <c r="C759" s="375">
        <v>35000</v>
      </c>
      <c r="D759" s="375">
        <v>12</v>
      </c>
      <c r="E759" s="375">
        <v>23</v>
      </c>
      <c r="F759" s="375">
        <v>0.5</v>
      </c>
      <c r="G759" s="375">
        <v>15000</v>
      </c>
      <c r="H759" s="376">
        <v>1.3333333333333333E-3</v>
      </c>
      <c r="I759" s="375">
        <v>3000</v>
      </c>
      <c r="J759" s="375">
        <v>3500</v>
      </c>
      <c r="K759" s="375">
        <v>20</v>
      </c>
      <c r="M759" s="375">
        <v>6675</v>
      </c>
      <c r="V759" s="375" t="s">
        <v>596</v>
      </c>
    </row>
    <row r="760" spans="1:22" hidden="1" x14ac:dyDescent="0.25">
      <c r="A760" s="377">
        <v>45135</v>
      </c>
      <c r="B760" s="375">
        <v>70000</v>
      </c>
      <c r="C760" s="375">
        <v>35000</v>
      </c>
      <c r="D760" s="375">
        <v>12</v>
      </c>
      <c r="E760" s="375">
        <v>23</v>
      </c>
      <c r="F760" s="375">
        <v>0.5</v>
      </c>
      <c r="G760" s="375">
        <v>15000</v>
      </c>
      <c r="H760" s="376">
        <v>1.3333333333333333E-3</v>
      </c>
      <c r="I760" s="375">
        <v>3000</v>
      </c>
      <c r="J760" s="375">
        <v>3500</v>
      </c>
      <c r="K760" s="375">
        <v>20</v>
      </c>
      <c r="M760" s="375">
        <v>6628</v>
      </c>
      <c r="V760" s="375" t="s">
        <v>596</v>
      </c>
    </row>
    <row r="761" spans="1:22" hidden="1" x14ac:dyDescent="0.25">
      <c r="A761" s="377">
        <v>45136</v>
      </c>
      <c r="B761" s="375">
        <v>70000</v>
      </c>
      <c r="C761" s="375">
        <v>35000</v>
      </c>
      <c r="D761" s="375">
        <v>12</v>
      </c>
      <c r="E761" s="375">
        <v>23</v>
      </c>
      <c r="F761" s="375">
        <v>0.5</v>
      </c>
      <c r="G761" s="375">
        <v>15000</v>
      </c>
      <c r="H761" s="376">
        <v>1.3333333333333333E-3</v>
      </c>
      <c r="I761" s="375">
        <v>3000</v>
      </c>
      <c r="J761" s="375">
        <v>3500</v>
      </c>
      <c r="K761" s="375">
        <v>20</v>
      </c>
      <c r="M761" s="375">
        <v>6628</v>
      </c>
      <c r="V761" s="375" t="s">
        <v>596</v>
      </c>
    </row>
    <row r="762" spans="1:22" hidden="1" x14ac:dyDescent="0.25">
      <c r="A762" s="377">
        <v>45137</v>
      </c>
      <c r="B762" s="375">
        <v>65000</v>
      </c>
      <c r="C762" s="375">
        <v>32500</v>
      </c>
      <c r="D762" s="375">
        <v>11</v>
      </c>
      <c r="E762" s="375">
        <v>22</v>
      </c>
      <c r="F762" s="375">
        <v>0.5</v>
      </c>
      <c r="G762" s="375">
        <v>13000</v>
      </c>
      <c r="H762" s="376">
        <v>1.4285714285714288E-3</v>
      </c>
      <c r="I762" s="375">
        <v>3000</v>
      </c>
      <c r="J762" s="375">
        <v>3500</v>
      </c>
      <c r="K762" s="375">
        <v>19</v>
      </c>
      <c r="M762" s="375">
        <v>6501</v>
      </c>
      <c r="V762" s="375" t="s">
        <v>596</v>
      </c>
    </row>
    <row r="763" spans="1:22" hidden="1" x14ac:dyDescent="0.25">
      <c r="A763" s="377">
        <v>45138</v>
      </c>
      <c r="B763" s="375">
        <v>65000</v>
      </c>
      <c r="C763" s="375">
        <v>32500</v>
      </c>
      <c r="D763" s="375">
        <v>11</v>
      </c>
      <c r="E763" s="375">
        <v>22</v>
      </c>
      <c r="F763" s="375">
        <v>0.5</v>
      </c>
      <c r="G763" s="375">
        <v>13000</v>
      </c>
      <c r="H763" s="376">
        <v>1.4285714285714288E-3</v>
      </c>
      <c r="I763" s="375">
        <v>3000</v>
      </c>
      <c r="J763" s="375">
        <v>3500</v>
      </c>
      <c r="K763" s="375">
        <v>19</v>
      </c>
      <c r="M763" s="375">
        <v>6501</v>
      </c>
      <c r="V763" s="375" t="s">
        <v>596</v>
      </c>
    </row>
    <row r="764" spans="1:22" hidden="1" x14ac:dyDescent="0.25">
      <c r="A764" s="377">
        <v>45139</v>
      </c>
      <c r="B764" s="375">
        <v>60000</v>
      </c>
      <c r="C764" s="375">
        <v>30000</v>
      </c>
      <c r="D764" s="375">
        <v>8</v>
      </c>
      <c r="E764" s="375">
        <v>15</v>
      </c>
      <c r="F764" s="375">
        <v>0.5</v>
      </c>
      <c r="G764" s="375">
        <v>11000</v>
      </c>
      <c r="H764" s="376">
        <v>1.2121212121212121E-3</v>
      </c>
      <c r="I764" s="375">
        <v>4000</v>
      </c>
      <c r="J764" s="375">
        <v>4500</v>
      </c>
      <c r="K764" s="375">
        <v>13</v>
      </c>
      <c r="M764" s="375">
        <v>6173</v>
      </c>
      <c r="V764" s="375" t="s">
        <v>596</v>
      </c>
    </row>
    <row r="765" spans="1:22" hidden="1" x14ac:dyDescent="0.25">
      <c r="A765" s="377">
        <v>45140</v>
      </c>
      <c r="B765" s="375">
        <v>60000</v>
      </c>
      <c r="C765" s="375">
        <v>30000</v>
      </c>
      <c r="D765" s="375">
        <v>8</v>
      </c>
      <c r="E765" s="375">
        <v>15</v>
      </c>
      <c r="F765" s="375">
        <v>0.5</v>
      </c>
      <c r="G765" s="375">
        <v>11000</v>
      </c>
      <c r="H765" s="376">
        <v>1.2121212121212121E-3</v>
      </c>
      <c r="I765" s="375">
        <v>4000</v>
      </c>
      <c r="J765" s="375">
        <v>4500</v>
      </c>
      <c r="K765" s="375">
        <v>13</v>
      </c>
      <c r="M765" s="375">
        <v>6173</v>
      </c>
      <c r="V765" s="375" t="s">
        <v>596</v>
      </c>
    </row>
    <row r="766" spans="1:22" hidden="1" x14ac:dyDescent="0.25">
      <c r="A766" s="377">
        <v>45141</v>
      </c>
      <c r="B766" s="375">
        <v>60000</v>
      </c>
      <c r="C766" s="375">
        <v>30000</v>
      </c>
      <c r="D766" s="375">
        <v>8</v>
      </c>
      <c r="E766" s="375">
        <v>15</v>
      </c>
      <c r="F766" s="375">
        <v>0.5</v>
      </c>
      <c r="G766" s="375">
        <v>11000</v>
      </c>
      <c r="H766" s="376">
        <v>1.2121212121212121E-3</v>
      </c>
      <c r="I766" s="375">
        <v>4000</v>
      </c>
      <c r="J766" s="375">
        <v>4500</v>
      </c>
      <c r="K766" s="375">
        <v>13</v>
      </c>
      <c r="M766" s="375">
        <v>6173</v>
      </c>
      <c r="V766" s="375" t="s">
        <v>596</v>
      </c>
    </row>
    <row r="767" spans="1:22" hidden="1" x14ac:dyDescent="0.25">
      <c r="A767" s="377">
        <v>45142</v>
      </c>
      <c r="B767" s="375">
        <v>60000</v>
      </c>
      <c r="C767" s="375">
        <v>30000</v>
      </c>
      <c r="D767" s="375">
        <v>8</v>
      </c>
      <c r="E767" s="375">
        <v>15</v>
      </c>
      <c r="F767" s="375">
        <v>0.5</v>
      </c>
      <c r="G767" s="375">
        <v>11000</v>
      </c>
      <c r="H767" s="376">
        <v>1.2121212121212121E-3</v>
      </c>
      <c r="I767" s="375">
        <v>4000</v>
      </c>
      <c r="J767" s="375">
        <v>4500</v>
      </c>
      <c r="K767" s="375">
        <v>13</v>
      </c>
      <c r="M767" s="375">
        <v>6173</v>
      </c>
      <c r="V767" s="375" t="s">
        <v>596</v>
      </c>
    </row>
    <row r="768" spans="1:22" hidden="1" x14ac:dyDescent="0.25">
      <c r="A768" s="377">
        <v>45143</v>
      </c>
      <c r="B768" s="375">
        <v>60000</v>
      </c>
      <c r="C768" s="375">
        <v>30000</v>
      </c>
      <c r="D768" s="375">
        <v>8</v>
      </c>
      <c r="E768" s="375">
        <v>15</v>
      </c>
      <c r="F768" s="375">
        <v>0.5</v>
      </c>
      <c r="G768" s="375">
        <v>11000</v>
      </c>
      <c r="H768" s="376">
        <v>1.2121212121212121E-3</v>
      </c>
      <c r="I768" s="375">
        <v>4000</v>
      </c>
      <c r="J768" s="375">
        <v>4500</v>
      </c>
      <c r="K768" s="375">
        <v>13</v>
      </c>
      <c r="M768" s="375">
        <v>6173</v>
      </c>
      <c r="V768" s="375" t="s">
        <v>596</v>
      </c>
    </row>
    <row r="769" spans="1:22" hidden="1" x14ac:dyDescent="0.25">
      <c r="A769" s="377">
        <v>45144</v>
      </c>
      <c r="B769" s="375">
        <v>60000</v>
      </c>
      <c r="C769" s="375">
        <v>30000</v>
      </c>
      <c r="D769" s="375">
        <v>8</v>
      </c>
      <c r="E769" s="375">
        <v>15</v>
      </c>
      <c r="F769" s="375">
        <v>0.5</v>
      </c>
      <c r="G769" s="375">
        <v>11000</v>
      </c>
      <c r="H769" s="376">
        <v>1.2121212121212121E-3</v>
      </c>
      <c r="I769" s="375">
        <v>4000</v>
      </c>
      <c r="J769" s="375">
        <v>4500</v>
      </c>
      <c r="K769" s="375">
        <v>13</v>
      </c>
      <c r="M769" s="375">
        <v>6173</v>
      </c>
      <c r="V769" s="375" t="s">
        <v>596</v>
      </c>
    </row>
    <row r="770" spans="1:22" hidden="1" x14ac:dyDescent="0.25">
      <c r="A770" s="377">
        <v>45145</v>
      </c>
      <c r="B770" s="375">
        <v>65000</v>
      </c>
      <c r="C770" s="375">
        <v>32500</v>
      </c>
      <c r="D770" s="375">
        <v>8</v>
      </c>
      <c r="E770" s="375">
        <v>16</v>
      </c>
      <c r="F770" s="375">
        <v>0.5</v>
      </c>
      <c r="G770" s="375">
        <v>12000</v>
      </c>
      <c r="H770" s="376">
        <v>1.2037037037037038E-3</v>
      </c>
      <c r="I770" s="375">
        <v>4000</v>
      </c>
      <c r="J770" s="375">
        <v>4500</v>
      </c>
      <c r="K770" s="375">
        <v>14</v>
      </c>
      <c r="M770" s="375">
        <v>6709</v>
      </c>
      <c r="V770" s="375" t="s">
        <v>596</v>
      </c>
    </row>
    <row r="771" spans="1:22" hidden="1" x14ac:dyDescent="0.25">
      <c r="A771" s="377">
        <v>45146</v>
      </c>
      <c r="B771" s="375">
        <v>100000</v>
      </c>
      <c r="C771" s="375">
        <v>50000</v>
      </c>
      <c r="D771" s="375">
        <v>13</v>
      </c>
      <c r="E771" s="375">
        <v>25</v>
      </c>
      <c r="F771" s="375">
        <v>0.5</v>
      </c>
      <c r="G771" s="375">
        <v>14000</v>
      </c>
      <c r="H771" s="376">
        <v>1.5873015873015873E-3</v>
      </c>
      <c r="I771" s="375">
        <v>4000</v>
      </c>
      <c r="J771" s="375">
        <v>4500</v>
      </c>
      <c r="K771" s="375">
        <v>22</v>
      </c>
      <c r="M771" s="375">
        <v>6709</v>
      </c>
      <c r="V771" s="375" t="s">
        <v>596</v>
      </c>
    </row>
    <row r="772" spans="1:22" hidden="1" x14ac:dyDescent="0.25">
      <c r="A772" s="377">
        <v>45147</v>
      </c>
      <c r="B772" s="375">
        <v>80000</v>
      </c>
      <c r="C772" s="375">
        <v>40000</v>
      </c>
      <c r="D772" s="375">
        <v>10</v>
      </c>
      <c r="E772" s="375">
        <v>20</v>
      </c>
      <c r="F772" s="375">
        <v>0.5</v>
      </c>
      <c r="G772" s="375">
        <v>14000</v>
      </c>
      <c r="H772" s="376">
        <v>1.2698412698412698E-3</v>
      </c>
      <c r="I772" s="375">
        <v>4000</v>
      </c>
      <c r="J772" s="375">
        <v>4500</v>
      </c>
      <c r="K772" s="375">
        <v>18</v>
      </c>
      <c r="M772" s="375">
        <v>6709</v>
      </c>
      <c r="V772" s="375" t="s">
        <v>596</v>
      </c>
    </row>
    <row r="773" spans="1:22" hidden="1" x14ac:dyDescent="0.25">
      <c r="A773" s="377">
        <v>45148</v>
      </c>
      <c r="B773" s="375">
        <v>80000</v>
      </c>
      <c r="C773" s="375">
        <v>40000</v>
      </c>
      <c r="D773" s="375">
        <v>10</v>
      </c>
      <c r="E773" s="375">
        <v>20</v>
      </c>
      <c r="F773" s="375">
        <v>0.5</v>
      </c>
      <c r="G773" s="375">
        <v>14000</v>
      </c>
      <c r="H773" s="376">
        <v>1.2698412698412698E-3</v>
      </c>
      <c r="I773" s="375">
        <v>4000</v>
      </c>
      <c r="J773" s="375">
        <v>4500</v>
      </c>
      <c r="K773" s="375">
        <v>18</v>
      </c>
      <c r="M773" s="375">
        <v>6709</v>
      </c>
      <c r="V773" s="375" t="s">
        <v>596</v>
      </c>
    </row>
    <row r="774" spans="1:22" hidden="1" x14ac:dyDescent="0.25">
      <c r="A774" s="377">
        <v>45149</v>
      </c>
      <c r="B774" s="375">
        <v>100000</v>
      </c>
      <c r="C774" s="375">
        <v>50000</v>
      </c>
      <c r="D774" s="375">
        <v>13</v>
      </c>
      <c r="E774" s="375">
        <v>25</v>
      </c>
      <c r="F774" s="375">
        <v>0.5</v>
      </c>
      <c r="G774" s="375">
        <v>14000</v>
      </c>
      <c r="H774" s="376">
        <v>1.5873015873015873E-3</v>
      </c>
      <c r="I774" s="375">
        <v>4000</v>
      </c>
      <c r="J774" s="375">
        <v>4500</v>
      </c>
      <c r="K774" s="375">
        <v>22</v>
      </c>
      <c r="M774" s="375">
        <v>6709</v>
      </c>
      <c r="V774" s="375" t="s">
        <v>596</v>
      </c>
    </row>
    <row r="775" spans="1:22" hidden="1" x14ac:dyDescent="0.25">
      <c r="A775" s="377">
        <v>45150</v>
      </c>
      <c r="B775" s="375">
        <v>80000</v>
      </c>
      <c r="C775" s="375">
        <v>40000</v>
      </c>
      <c r="D775" s="375">
        <v>10</v>
      </c>
      <c r="E775" s="375">
        <v>20</v>
      </c>
      <c r="F775" s="375">
        <v>0.5</v>
      </c>
      <c r="G775" s="375">
        <v>11000</v>
      </c>
      <c r="H775" s="376">
        <v>1.6161616161616162E-3</v>
      </c>
      <c r="I775" s="375">
        <v>4000</v>
      </c>
      <c r="J775" s="375">
        <v>4500</v>
      </c>
      <c r="K775" s="375">
        <v>18</v>
      </c>
      <c r="M775" s="375">
        <v>5569</v>
      </c>
      <c r="V775" s="375" t="s">
        <v>596</v>
      </c>
    </row>
    <row r="776" spans="1:22" hidden="1" x14ac:dyDescent="0.25">
      <c r="A776" s="377">
        <v>45151</v>
      </c>
      <c r="B776" s="375">
        <v>80000</v>
      </c>
      <c r="C776" s="375">
        <v>40000</v>
      </c>
      <c r="D776" s="375">
        <v>10</v>
      </c>
      <c r="E776" s="375">
        <v>20</v>
      </c>
      <c r="F776" s="375">
        <v>0.5</v>
      </c>
      <c r="G776" s="375">
        <v>11000</v>
      </c>
      <c r="H776" s="376">
        <v>1.6161616161616162E-3</v>
      </c>
      <c r="I776" s="375">
        <v>4000</v>
      </c>
      <c r="J776" s="375">
        <v>4500</v>
      </c>
      <c r="K776" s="375">
        <v>18</v>
      </c>
      <c r="M776" s="375">
        <v>5600</v>
      </c>
      <c r="V776" s="375" t="s">
        <v>596</v>
      </c>
    </row>
    <row r="777" spans="1:22" hidden="1" x14ac:dyDescent="0.25">
      <c r="A777" s="377">
        <v>45152</v>
      </c>
      <c r="B777" s="375">
        <v>80000</v>
      </c>
      <c r="C777" s="375">
        <v>40000</v>
      </c>
      <c r="D777" s="375">
        <v>10</v>
      </c>
      <c r="E777" s="375">
        <v>20</v>
      </c>
      <c r="F777" s="375">
        <v>0.5</v>
      </c>
      <c r="G777" s="375">
        <v>11000</v>
      </c>
      <c r="H777" s="376">
        <v>1.6161616161616162E-3</v>
      </c>
      <c r="I777" s="375">
        <v>4000</v>
      </c>
      <c r="J777" s="375">
        <v>4500</v>
      </c>
      <c r="K777" s="375">
        <v>18</v>
      </c>
      <c r="M777" s="375">
        <v>5600</v>
      </c>
      <c r="V777" s="375" t="s">
        <v>596</v>
      </c>
    </row>
    <row r="778" spans="1:22" hidden="1" x14ac:dyDescent="0.25">
      <c r="A778" s="377">
        <v>45153</v>
      </c>
      <c r="B778" s="375">
        <v>80000</v>
      </c>
      <c r="C778" s="375">
        <v>40000</v>
      </c>
      <c r="D778" s="375">
        <v>10</v>
      </c>
      <c r="E778" s="375">
        <v>20</v>
      </c>
      <c r="F778" s="375">
        <v>0.5</v>
      </c>
      <c r="G778" s="375">
        <v>11000</v>
      </c>
      <c r="H778" s="376">
        <v>1.6161616161616162E-3</v>
      </c>
      <c r="I778" s="375">
        <v>4000</v>
      </c>
      <c r="J778" s="375">
        <v>4500</v>
      </c>
      <c r="K778" s="375">
        <v>18</v>
      </c>
      <c r="M778" s="375">
        <v>5777</v>
      </c>
      <c r="V778" s="375" t="s">
        <v>596</v>
      </c>
    </row>
    <row r="779" spans="1:22" hidden="1" x14ac:dyDescent="0.25">
      <c r="A779" s="377">
        <v>45154</v>
      </c>
      <c r="B779" s="375">
        <v>80000</v>
      </c>
      <c r="C779" s="375">
        <v>40000</v>
      </c>
      <c r="D779" s="375">
        <v>10</v>
      </c>
      <c r="E779" s="375">
        <v>20</v>
      </c>
      <c r="F779" s="375">
        <v>0.5</v>
      </c>
      <c r="G779" s="375">
        <v>12500</v>
      </c>
      <c r="H779" s="376">
        <v>1.4222222222222223E-3</v>
      </c>
      <c r="I779" s="375">
        <v>4000</v>
      </c>
      <c r="J779" s="375">
        <v>4500</v>
      </c>
      <c r="K779" s="375">
        <v>18</v>
      </c>
      <c r="M779" s="375">
        <v>6088</v>
      </c>
      <c r="V779" s="375" t="s">
        <v>596</v>
      </c>
    </row>
    <row r="780" spans="1:22" hidden="1" x14ac:dyDescent="0.25">
      <c r="A780" s="377">
        <v>45155</v>
      </c>
      <c r="B780" s="375">
        <v>80000</v>
      </c>
      <c r="C780" s="375">
        <v>40000</v>
      </c>
      <c r="D780" s="375">
        <v>10</v>
      </c>
      <c r="E780" s="375">
        <v>20</v>
      </c>
      <c r="F780" s="375">
        <v>0.5</v>
      </c>
      <c r="G780" s="375">
        <v>12500</v>
      </c>
      <c r="H780" s="376">
        <v>1.4222222222222223E-3</v>
      </c>
      <c r="I780" s="375">
        <v>4000</v>
      </c>
      <c r="J780" s="375">
        <v>4500</v>
      </c>
      <c r="K780" s="375">
        <v>18</v>
      </c>
      <c r="M780" s="375">
        <v>6323</v>
      </c>
      <c r="V780" s="375" t="s">
        <v>596</v>
      </c>
    </row>
    <row r="781" spans="1:22" hidden="1" x14ac:dyDescent="0.25">
      <c r="A781" s="377">
        <v>45156</v>
      </c>
      <c r="B781" s="375">
        <v>150000</v>
      </c>
      <c r="C781" s="375">
        <v>75000</v>
      </c>
      <c r="D781" s="375">
        <v>19</v>
      </c>
      <c r="E781" s="375">
        <v>38</v>
      </c>
      <c r="F781" s="375">
        <v>0.5</v>
      </c>
      <c r="G781" s="375">
        <v>12500</v>
      </c>
      <c r="H781" s="376">
        <v>2.666666666666667E-3</v>
      </c>
      <c r="I781" s="375">
        <v>4000</v>
      </c>
      <c r="J781" s="375">
        <v>4500</v>
      </c>
      <c r="K781" s="375">
        <v>33</v>
      </c>
      <c r="M781" s="375">
        <v>6620</v>
      </c>
      <c r="V781" s="375" t="s">
        <v>596</v>
      </c>
    </row>
    <row r="782" spans="1:22" hidden="1" x14ac:dyDescent="0.25">
      <c r="A782" s="377">
        <v>45157</v>
      </c>
      <c r="B782" s="375">
        <v>120000</v>
      </c>
      <c r="C782" s="375">
        <v>60000</v>
      </c>
      <c r="D782" s="375">
        <v>15</v>
      </c>
      <c r="E782" s="375">
        <v>30</v>
      </c>
      <c r="F782" s="375">
        <v>0.5</v>
      </c>
      <c r="G782" s="375">
        <v>12500</v>
      </c>
      <c r="H782" s="376">
        <v>2.1333333333333334E-3</v>
      </c>
      <c r="I782" s="375">
        <v>4000</v>
      </c>
      <c r="J782" s="375">
        <v>4500</v>
      </c>
      <c r="K782" s="375">
        <v>27</v>
      </c>
      <c r="M782" s="375">
        <v>6620</v>
      </c>
      <c r="V782" s="375" t="s">
        <v>596</v>
      </c>
    </row>
    <row r="783" spans="1:22" hidden="1" x14ac:dyDescent="0.25">
      <c r="A783" s="377">
        <v>45158</v>
      </c>
      <c r="B783" s="375">
        <v>100000</v>
      </c>
      <c r="C783" s="375">
        <v>50000</v>
      </c>
      <c r="D783" s="375">
        <v>13</v>
      </c>
      <c r="E783" s="375">
        <v>25</v>
      </c>
      <c r="F783" s="375">
        <v>0.5</v>
      </c>
      <c r="G783" s="375">
        <v>12500</v>
      </c>
      <c r="H783" s="376">
        <v>1.7777777777777776E-3</v>
      </c>
      <c r="I783" s="375">
        <v>4000</v>
      </c>
      <c r="J783" s="375">
        <v>4500</v>
      </c>
      <c r="K783" s="375">
        <v>22</v>
      </c>
      <c r="M783" s="375">
        <v>6620</v>
      </c>
      <c r="V783" s="375" t="s">
        <v>596</v>
      </c>
    </row>
    <row r="784" spans="1:22" hidden="1" x14ac:dyDescent="0.25">
      <c r="A784" s="377">
        <v>45159</v>
      </c>
      <c r="B784" s="375">
        <v>120000</v>
      </c>
      <c r="C784" s="375">
        <v>60000</v>
      </c>
      <c r="D784" s="375">
        <v>15</v>
      </c>
      <c r="E784" s="375">
        <v>30</v>
      </c>
      <c r="F784" s="375">
        <v>0.5</v>
      </c>
      <c r="G784" s="375">
        <v>12500</v>
      </c>
      <c r="H784" s="376">
        <v>2.1333333333333334E-3</v>
      </c>
      <c r="I784" s="375">
        <v>4000</v>
      </c>
      <c r="J784" s="375">
        <v>4500</v>
      </c>
      <c r="K784" s="375">
        <v>27</v>
      </c>
      <c r="M784" s="375">
        <v>6620</v>
      </c>
      <c r="V784" s="375" t="s">
        <v>596</v>
      </c>
    </row>
    <row r="785" spans="1:22" hidden="1" x14ac:dyDescent="0.25">
      <c r="A785" s="377">
        <v>45160</v>
      </c>
      <c r="B785" s="375">
        <v>150000</v>
      </c>
      <c r="C785" s="375">
        <v>75000</v>
      </c>
      <c r="D785" s="375">
        <v>19</v>
      </c>
      <c r="E785" s="375">
        <v>38</v>
      </c>
      <c r="F785" s="375">
        <v>0.5</v>
      </c>
      <c r="G785" s="375">
        <v>12500</v>
      </c>
      <c r="H785" s="376">
        <v>2.666666666666667E-3</v>
      </c>
      <c r="I785" s="375">
        <v>4000</v>
      </c>
      <c r="J785" s="375">
        <v>4500</v>
      </c>
      <c r="K785" s="375">
        <v>33</v>
      </c>
      <c r="M785" s="375">
        <v>6620</v>
      </c>
      <c r="V785" s="375" t="s">
        <v>596</v>
      </c>
    </row>
    <row r="786" spans="1:22" hidden="1" x14ac:dyDescent="0.25">
      <c r="A786" s="377">
        <v>45161</v>
      </c>
      <c r="B786" s="375">
        <v>55000</v>
      </c>
      <c r="C786" s="375">
        <v>27500</v>
      </c>
      <c r="D786" s="375">
        <v>7</v>
      </c>
      <c r="E786" s="375">
        <v>14</v>
      </c>
      <c r="F786" s="375">
        <v>0.5</v>
      </c>
      <c r="G786" s="375">
        <v>10000</v>
      </c>
      <c r="H786" s="376">
        <v>1.2222222222222222E-3</v>
      </c>
      <c r="I786" s="375">
        <v>4000</v>
      </c>
      <c r="J786" s="375">
        <v>4500</v>
      </c>
      <c r="K786" s="375">
        <v>12</v>
      </c>
      <c r="M786" s="375">
        <v>6213</v>
      </c>
      <c r="V786" s="375" t="s">
        <v>596</v>
      </c>
    </row>
    <row r="787" spans="1:22" hidden="1" x14ac:dyDescent="0.25">
      <c r="A787" s="377">
        <v>45162</v>
      </c>
      <c r="B787" s="375">
        <v>55000</v>
      </c>
      <c r="C787" s="375">
        <v>27500</v>
      </c>
      <c r="D787" s="375">
        <v>7</v>
      </c>
      <c r="E787" s="375">
        <v>14</v>
      </c>
      <c r="F787" s="375">
        <v>0.5</v>
      </c>
      <c r="G787" s="375">
        <v>10000</v>
      </c>
      <c r="H787" s="376">
        <v>1.2222222222222222E-3</v>
      </c>
      <c r="I787" s="375">
        <v>4000</v>
      </c>
      <c r="J787" s="375">
        <v>4500</v>
      </c>
      <c r="K787" s="375">
        <v>12</v>
      </c>
      <c r="M787" s="375">
        <v>6213</v>
      </c>
      <c r="V787" s="375" t="s">
        <v>596</v>
      </c>
    </row>
    <row r="788" spans="1:22" hidden="1" x14ac:dyDescent="0.25">
      <c r="A788" s="377">
        <v>45163</v>
      </c>
      <c r="B788" s="375">
        <v>55000</v>
      </c>
      <c r="C788" s="375">
        <v>27500</v>
      </c>
      <c r="D788" s="375">
        <v>7</v>
      </c>
      <c r="E788" s="375">
        <v>14</v>
      </c>
      <c r="F788" s="375">
        <v>0.5</v>
      </c>
      <c r="G788" s="375">
        <v>10000</v>
      </c>
      <c r="H788" s="376">
        <v>1.2222222222222222E-3</v>
      </c>
      <c r="I788" s="375">
        <v>4000</v>
      </c>
      <c r="J788" s="375">
        <v>4500</v>
      </c>
      <c r="K788" s="375">
        <v>12</v>
      </c>
      <c r="M788" s="375">
        <v>6213</v>
      </c>
      <c r="V788" s="375" t="s">
        <v>596</v>
      </c>
    </row>
    <row r="789" spans="1:22" hidden="1" x14ac:dyDescent="0.25">
      <c r="A789" s="377">
        <v>45164</v>
      </c>
      <c r="B789" s="375">
        <v>55000</v>
      </c>
      <c r="C789" s="375">
        <v>27500</v>
      </c>
      <c r="D789" s="375">
        <v>7</v>
      </c>
      <c r="E789" s="375">
        <v>14</v>
      </c>
      <c r="F789" s="375">
        <v>0.5</v>
      </c>
      <c r="G789" s="375">
        <v>10000</v>
      </c>
      <c r="H789" s="376">
        <v>1.2222222222222222E-3</v>
      </c>
      <c r="I789" s="375">
        <v>4000</v>
      </c>
      <c r="J789" s="375">
        <v>4500</v>
      </c>
      <c r="K789" s="375">
        <v>12</v>
      </c>
      <c r="M789" s="375">
        <v>6213</v>
      </c>
      <c r="V789" s="375" t="s">
        <v>596</v>
      </c>
    </row>
    <row r="790" spans="1:22" hidden="1" x14ac:dyDescent="0.25">
      <c r="A790" s="377">
        <v>45165</v>
      </c>
      <c r="B790" s="375">
        <v>55000</v>
      </c>
      <c r="C790" s="375">
        <v>27500</v>
      </c>
      <c r="D790" s="375">
        <v>7</v>
      </c>
      <c r="E790" s="375">
        <v>14</v>
      </c>
      <c r="F790" s="375">
        <v>0.5</v>
      </c>
      <c r="G790" s="375">
        <v>10000</v>
      </c>
      <c r="H790" s="376">
        <v>1.2222222222222222E-3</v>
      </c>
      <c r="I790" s="375">
        <v>4000</v>
      </c>
      <c r="J790" s="375">
        <v>4500</v>
      </c>
      <c r="K790" s="375">
        <v>12</v>
      </c>
      <c r="M790" s="375">
        <v>6213</v>
      </c>
      <c r="V790" s="375" t="s">
        <v>596</v>
      </c>
    </row>
    <row r="791" spans="1:22" hidden="1" x14ac:dyDescent="0.25">
      <c r="A791" s="377">
        <v>45166</v>
      </c>
      <c r="B791" s="375">
        <v>55000</v>
      </c>
      <c r="C791" s="375">
        <v>27500</v>
      </c>
      <c r="D791" s="375">
        <v>7</v>
      </c>
      <c r="E791" s="375">
        <v>14</v>
      </c>
      <c r="F791" s="375">
        <v>0.5</v>
      </c>
      <c r="G791" s="375">
        <v>10000</v>
      </c>
      <c r="H791" s="376">
        <v>1.2222222222222222E-3</v>
      </c>
      <c r="I791" s="375">
        <v>4000</v>
      </c>
      <c r="J791" s="375">
        <v>4500</v>
      </c>
      <c r="K791" s="375">
        <v>12</v>
      </c>
      <c r="M791" s="375">
        <v>6213</v>
      </c>
      <c r="V791" s="375" t="s">
        <v>596</v>
      </c>
    </row>
    <row r="792" spans="1:22" hidden="1" x14ac:dyDescent="0.25">
      <c r="A792" s="377">
        <v>45167</v>
      </c>
      <c r="B792" s="375">
        <v>55000</v>
      </c>
      <c r="C792" s="375">
        <v>27500</v>
      </c>
      <c r="D792" s="375">
        <v>7</v>
      </c>
      <c r="E792" s="375">
        <v>14</v>
      </c>
      <c r="F792" s="375">
        <v>0.5</v>
      </c>
      <c r="G792" s="375">
        <v>10000</v>
      </c>
      <c r="H792" s="376">
        <v>1.2222222222222222E-3</v>
      </c>
      <c r="I792" s="375">
        <v>4000</v>
      </c>
      <c r="J792" s="375">
        <v>4500</v>
      </c>
      <c r="K792" s="375">
        <v>12</v>
      </c>
      <c r="M792" s="375">
        <v>6344</v>
      </c>
      <c r="V792" s="375" t="s">
        <v>596</v>
      </c>
    </row>
    <row r="793" spans="1:22" hidden="1" x14ac:dyDescent="0.25">
      <c r="A793" s="377">
        <v>45168</v>
      </c>
      <c r="B793" s="375">
        <v>55000</v>
      </c>
      <c r="C793" s="375">
        <v>27500</v>
      </c>
      <c r="D793" s="375">
        <v>7</v>
      </c>
      <c r="E793" s="375">
        <v>14</v>
      </c>
      <c r="F793" s="375">
        <v>0.5</v>
      </c>
      <c r="G793" s="375">
        <v>10000</v>
      </c>
      <c r="H793" s="376">
        <v>1.2222222222222222E-3</v>
      </c>
      <c r="I793" s="375">
        <v>4000</v>
      </c>
      <c r="J793" s="375">
        <v>4500</v>
      </c>
      <c r="K793" s="375">
        <v>12</v>
      </c>
      <c r="M793" s="375">
        <v>6344</v>
      </c>
      <c r="V793" s="375" t="s">
        <v>596</v>
      </c>
    </row>
    <row r="794" spans="1:22" hidden="1" x14ac:dyDescent="0.25">
      <c r="A794" s="377">
        <v>45169</v>
      </c>
      <c r="B794" s="375">
        <v>55000</v>
      </c>
      <c r="C794" s="375">
        <v>27500</v>
      </c>
      <c r="D794" s="375">
        <v>7</v>
      </c>
      <c r="E794" s="375">
        <v>14</v>
      </c>
      <c r="F794" s="375">
        <v>0.5</v>
      </c>
      <c r="G794" s="375">
        <v>10000</v>
      </c>
      <c r="H794" s="376">
        <v>1.2222222222222222E-3</v>
      </c>
      <c r="I794" s="375">
        <v>4000</v>
      </c>
      <c r="J794" s="375">
        <v>4500</v>
      </c>
      <c r="K794" s="375">
        <v>12</v>
      </c>
      <c r="M794" s="375">
        <v>6344</v>
      </c>
      <c r="V794" s="375" t="s">
        <v>596</v>
      </c>
    </row>
    <row r="795" spans="1:22" hidden="1" x14ac:dyDescent="0.25">
      <c r="A795" s="377">
        <v>45170</v>
      </c>
      <c r="B795" s="375">
        <v>50000</v>
      </c>
      <c r="C795" s="375">
        <v>27500</v>
      </c>
      <c r="D795" s="375">
        <v>6</v>
      </c>
      <c r="E795" s="375">
        <v>10</v>
      </c>
      <c r="F795" s="375">
        <v>0.45</v>
      </c>
      <c r="G795" s="375">
        <v>10500</v>
      </c>
      <c r="H795" s="376">
        <v>8.6580086580086591E-4</v>
      </c>
      <c r="I795" s="375">
        <v>5000</v>
      </c>
      <c r="J795" s="375">
        <v>5500</v>
      </c>
      <c r="K795" s="375">
        <v>9</v>
      </c>
      <c r="M795" s="375">
        <v>6895</v>
      </c>
      <c r="V795" s="375" t="s">
        <v>596</v>
      </c>
    </row>
    <row r="796" spans="1:22" hidden="1" x14ac:dyDescent="0.25">
      <c r="A796" s="377">
        <v>45171</v>
      </c>
      <c r="B796" s="375">
        <v>50000</v>
      </c>
      <c r="C796" s="375">
        <v>27500</v>
      </c>
      <c r="D796" s="375">
        <v>6</v>
      </c>
      <c r="E796" s="375">
        <v>10</v>
      </c>
      <c r="F796" s="375">
        <v>0.45</v>
      </c>
      <c r="G796" s="375">
        <v>10500</v>
      </c>
      <c r="H796" s="376">
        <v>8.6580086580086591E-4</v>
      </c>
      <c r="I796" s="375">
        <v>5000</v>
      </c>
      <c r="J796" s="375">
        <v>5500</v>
      </c>
      <c r="K796" s="375">
        <v>9</v>
      </c>
      <c r="M796" s="375">
        <v>7045</v>
      </c>
      <c r="V796" s="375" t="s">
        <v>596</v>
      </c>
    </row>
    <row r="797" spans="1:22" hidden="1" x14ac:dyDescent="0.25">
      <c r="A797" s="377">
        <v>45172</v>
      </c>
      <c r="B797" s="375">
        <v>50000</v>
      </c>
      <c r="C797" s="375">
        <v>27500</v>
      </c>
      <c r="D797" s="375">
        <v>6</v>
      </c>
      <c r="E797" s="375">
        <v>10</v>
      </c>
      <c r="F797" s="375">
        <v>0.45</v>
      </c>
      <c r="G797" s="375">
        <v>10500</v>
      </c>
      <c r="H797" s="376">
        <v>8.6580086580086591E-4</v>
      </c>
      <c r="I797" s="375">
        <v>5000</v>
      </c>
      <c r="J797" s="375">
        <v>5500</v>
      </c>
      <c r="K797" s="375">
        <v>9</v>
      </c>
      <c r="M797" s="375">
        <v>6636</v>
      </c>
      <c r="V797" s="375" t="s">
        <v>596</v>
      </c>
    </row>
    <row r="798" spans="1:22" hidden="1" x14ac:dyDescent="0.25">
      <c r="A798" s="377">
        <v>45173</v>
      </c>
      <c r="B798" s="375">
        <v>50000</v>
      </c>
      <c r="C798" s="375">
        <v>27500</v>
      </c>
      <c r="D798" s="375">
        <v>6</v>
      </c>
      <c r="E798" s="375">
        <v>10</v>
      </c>
      <c r="F798" s="375">
        <v>0.45</v>
      </c>
      <c r="G798" s="375">
        <v>10500</v>
      </c>
      <c r="H798" s="376">
        <v>8.6580086580086591E-4</v>
      </c>
      <c r="I798" s="375">
        <v>5000</v>
      </c>
      <c r="J798" s="375">
        <v>5500</v>
      </c>
      <c r="K798" s="375">
        <v>9</v>
      </c>
      <c r="M798" s="375">
        <v>6636</v>
      </c>
      <c r="V798" s="375" t="s">
        <v>596</v>
      </c>
    </row>
    <row r="799" spans="1:22" hidden="1" x14ac:dyDescent="0.25">
      <c r="A799" s="377">
        <v>45174</v>
      </c>
      <c r="B799" s="375">
        <v>65000</v>
      </c>
      <c r="C799" s="375">
        <v>35750</v>
      </c>
      <c r="D799" s="375">
        <v>7</v>
      </c>
      <c r="E799" s="375">
        <v>13</v>
      </c>
      <c r="F799" s="375">
        <v>0.45</v>
      </c>
      <c r="G799" s="375">
        <v>11000</v>
      </c>
      <c r="H799" s="376">
        <v>1.0743801652892562E-3</v>
      </c>
      <c r="I799" s="375">
        <v>5000</v>
      </c>
      <c r="J799" s="375">
        <v>5500</v>
      </c>
      <c r="K799" s="375">
        <v>12</v>
      </c>
      <c r="M799" s="375">
        <v>6636</v>
      </c>
      <c r="V799" s="375" t="s">
        <v>596</v>
      </c>
    </row>
    <row r="800" spans="1:22" hidden="1" x14ac:dyDescent="0.25">
      <c r="A800" s="377">
        <v>45175</v>
      </c>
      <c r="B800" s="375">
        <v>80000</v>
      </c>
      <c r="C800" s="375">
        <v>44000</v>
      </c>
      <c r="D800" s="375">
        <v>9</v>
      </c>
      <c r="E800" s="375">
        <v>16</v>
      </c>
      <c r="F800" s="375">
        <v>0.45</v>
      </c>
      <c r="G800" s="375">
        <v>11000</v>
      </c>
      <c r="H800" s="376">
        <v>1.3223140495867767E-3</v>
      </c>
      <c r="I800" s="375">
        <v>5000</v>
      </c>
      <c r="J800" s="375">
        <v>5500</v>
      </c>
      <c r="K800" s="375">
        <v>15</v>
      </c>
      <c r="M800" s="375">
        <v>6636</v>
      </c>
      <c r="V800" s="375" t="s">
        <v>596</v>
      </c>
    </row>
    <row r="801" spans="1:22" hidden="1" x14ac:dyDescent="0.25">
      <c r="A801" s="377">
        <v>45176</v>
      </c>
      <c r="B801" s="375">
        <v>75000</v>
      </c>
      <c r="C801" s="375">
        <v>41250</v>
      </c>
      <c r="D801" s="375">
        <v>8</v>
      </c>
      <c r="E801" s="375">
        <v>15</v>
      </c>
      <c r="F801" s="375">
        <v>0.45</v>
      </c>
      <c r="G801" s="375">
        <v>11000</v>
      </c>
      <c r="H801" s="376">
        <v>1.2396694214876034E-3</v>
      </c>
      <c r="I801" s="375">
        <v>5000</v>
      </c>
      <c r="J801" s="375">
        <v>5500</v>
      </c>
      <c r="K801" s="375">
        <v>14</v>
      </c>
      <c r="M801" s="375">
        <v>6636</v>
      </c>
      <c r="V801" s="375" t="s">
        <v>596</v>
      </c>
    </row>
    <row r="802" spans="1:22" hidden="1" x14ac:dyDescent="0.25">
      <c r="A802" s="377">
        <v>45177</v>
      </c>
      <c r="B802" s="375">
        <v>75000</v>
      </c>
      <c r="C802" s="375">
        <v>41250</v>
      </c>
      <c r="D802" s="375">
        <v>8</v>
      </c>
      <c r="E802" s="375">
        <v>15</v>
      </c>
      <c r="F802" s="375">
        <v>0.45</v>
      </c>
      <c r="G802" s="375">
        <v>10500</v>
      </c>
      <c r="H802" s="376">
        <v>1.2987012987012987E-3</v>
      </c>
      <c r="I802" s="375">
        <v>5000</v>
      </c>
      <c r="J802" s="375">
        <v>5500</v>
      </c>
      <c r="K802" s="375">
        <v>14</v>
      </c>
      <c r="M802" s="375">
        <v>6636</v>
      </c>
      <c r="V802" s="375" t="s">
        <v>596</v>
      </c>
    </row>
    <row r="803" spans="1:22" hidden="1" x14ac:dyDescent="0.25">
      <c r="A803" s="377">
        <v>45178</v>
      </c>
      <c r="B803" s="375">
        <v>75000</v>
      </c>
      <c r="C803" s="375">
        <v>41250</v>
      </c>
      <c r="D803" s="375">
        <v>8</v>
      </c>
      <c r="E803" s="375">
        <v>15</v>
      </c>
      <c r="F803" s="375">
        <v>0.45</v>
      </c>
      <c r="G803" s="375">
        <v>10500</v>
      </c>
      <c r="H803" s="376">
        <v>1.2987012987012987E-3</v>
      </c>
      <c r="I803" s="375">
        <v>5000</v>
      </c>
      <c r="J803" s="375">
        <v>5500</v>
      </c>
      <c r="K803" s="375">
        <v>14</v>
      </c>
      <c r="M803" s="375">
        <v>6636</v>
      </c>
      <c r="V803" s="375" t="s">
        <v>596</v>
      </c>
    </row>
    <row r="804" spans="1:22" hidden="1" x14ac:dyDescent="0.25">
      <c r="A804" s="377">
        <v>45179</v>
      </c>
      <c r="B804" s="375">
        <v>50000</v>
      </c>
      <c r="C804" s="375">
        <v>27500</v>
      </c>
      <c r="D804" s="375">
        <v>6</v>
      </c>
      <c r="E804" s="375">
        <v>10</v>
      </c>
      <c r="F804" s="375">
        <v>0.45</v>
      </c>
      <c r="G804" s="375">
        <v>10500</v>
      </c>
      <c r="H804" s="376">
        <v>8.6580086580086591E-4</v>
      </c>
      <c r="I804" s="375">
        <v>5000</v>
      </c>
      <c r="J804" s="375">
        <v>5500</v>
      </c>
      <c r="K804" s="375">
        <v>9</v>
      </c>
      <c r="M804" s="375">
        <v>6636</v>
      </c>
      <c r="V804" s="375" t="s">
        <v>596</v>
      </c>
    </row>
    <row r="805" spans="1:22" hidden="1" x14ac:dyDescent="0.25">
      <c r="A805" s="377">
        <v>45180</v>
      </c>
      <c r="B805" s="375">
        <v>50000</v>
      </c>
      <c r="C805" s="375">
        <v>27500</v>
      </c>
      <c r="D805" s="375">
        <v>6</v>
      </c>
      <c r="E805" s="375">
        <v>10</v>
      </c>
      <c r="F805" s="375">
        <v>0.45</v>
      </c>
      <c r="G805" s="375">
        <v>10500</v>
      </c>
      <c r="H805" s="376">
        <v>8.6580086580086591E-4</v>
      </c>
      <c r="I805" s="375">
        <v>5000</v>
      </c>
      <c r="J805" s="375">
        <v>5500</v>
      </c>
      <c r="K805" s="375">
        <v>9</v>
      </c>
      <c r="M805" s="375">
        <v>6725</v>
      </c>
      <c r="V805" s="375" t="s">
        <v>596</v>
      </c>
    </row>
    <row r="806" spans="1:22" hidden="1" x14ac:dyDescent="0.25">
      <c r="A806" s="377">
        <v>45181</v>
      </c>
      <c r="B806" s="375">
        <v>50000</v>
      </c>
      <c r="C806" s="375">
        <v>27500</v>
      </c>
      <c r="D806" s="375">
        <v>6</v>
      </c>
      <c r="E806" s="375">
        <v>10</v>
      </c>
      <c r="F806" s="375">
        <v>0.45</v>
      </c>
      <c r="G806" s="375">
        <v>10500</v>
      </c>
      <c r="H806" s="376">
        <v>8.6580086580086591E-4</v>
      </c>
      <c r="I806" s="375">
        <v>5000</v>
      </c>
      <c r="J806" s="375">
        <v>5500</v>
      </c>
      <c r="K806" s="375">
        <v>9</v>
      </c>
      <c r="M806" s="375">
        <v>6725</v>
      </c>
      <c r="V806" s="375" t="s">
        <v>596</v>
      </c>
    </row>
    <row r="807" spans="1:22" hidden="1" x14ac:dyDescent="0.25">
      <c r="A807" s="377">
        <v>45182</v>
      </c>
      <c r="B807" s="375">
        <v>50000</v>
      </c>
      <c r="C807" s="375">
        <v>27500</v>
      </c>
      <c r="D807" s="375">
        <v>6</v>
      </c>
      <c r="E807" s="375">
        <v>10</v>
      </c>
      <c r="F807" s="375">
        <v>0.45</v>
      </c>
      <c r="G807" s="375">
        <v>10500</v>
      </c>
      <c r="H807" s="376">
        <v>8.6580086580086591E-4</v>
      </c>
      <c r="I807" s="375">
        <v>5000</v>
      </c>
      <c r="J807" s="375">
        <v>5500</v>
      </c>
      <c r="K807" s="375">
        <v>9</v>
      </c>
      <c r="M807" s="375">
        <v>6725</v>
      </c>
      <c r="V807" s="375" t="s">
        <v>596</v>
      </c>
    </row>
    <row r="808" spans="1:22" hidden="1" x14ac:dyDescent="0.25">
      <c r="A808" s="377">
        <v>45183</v>
      </c>
      <c r="B808" s="375">
        <v>50000</v>
      </c>
      <c r="C808" s="375">
        <v>27500</v>
      </c>
      <c r="D808" s="375">
        <v>6</v>
      </c>
      <c r="E808" s="375">
        <v>10</v>
      </c>
      <c r="F808" s="375">
        <v>0.45</v>
      </c>
      <c r="G808" s="375">
        <v>10500</v>
      </c>
      <c r="H808" s="376">
        <v>8.6580086580086591E-4</v>
      </c>
      <c r="I808" s="375">
        <v>5000</v>
      </c>
      <c r="J808" s="375">
        <v>5500</v>
      </c>
      <c r="K808" s="375">
        <v>9</v>
      </c>
      <c r="M808" s="375">
        <v>6725</v>
      </c>
      <c r="V808" s="375" t="s">
        <v>596</v>
      </c>
    </row>
    <row r="809" spans="1:22" hidden="1" x14ac:dyDescent="0.25">
      <c r="A809" s="377">
        <v>45184</v>
      </c>
      <c r="B809" s="375">
        <v>55000</v>
      </c>
      <c r="C809" s="375">
        <v>30250</v>
      </c>
      <c r="D809" s="375">
        <v>6</v>
      </c>
      <c r="E809" s="375">
        <v>11</v>
      </c>
      <c r="F809" s="375">
        <v>0.45</v>
      </c>
      <c r="G809" s="375">
        <v>10500</v>
      </c>
      <c r="H809" s="376">
        <v>9.5238095238095238E-4</v>
      </c>
      <c r="I809" s="375">
        <v>5000</v>
      </c>
      <c r="J809" s="375">
        <v>5500</v>
      </c>
      <c r="K809" s="375">
        <v>10</v>
      </c>
      <c r="M809" s="375">
        <v>6725</v>
      </c>
      <c r="V809" s="375" t="s">
        <v>596</v>
      </c>
    </row>
    <row r="810" spans="1:22" hidden="1" x14ac:dyDescent="0.25">
      <c r="A810" s="377">
        <v>45185</v>
      </c>
      <c r="B810" s="375">
        <v>55000</v>
      </c>
      <c r="C810" s="375">
        <v>30250</v>
      </c>
      <c r="D810" s="375">
        <v>6</v>
      </c>
      <c r="E810" s="375">
        <v>11</v>
      </c>
      <c r="F810" s="375">
        <v>0.45</v>
      </c>
      <c r="G810" s="375">
        <v>10500</v>
      </c>
      <c r="H810" s="376">
        <v>9.5238095238095238E-4</v>
      </c>
      <c r="I810" s="375">
        <v>5000</v>
      </c>
      <c r="J810" s="375">
        <v>5500</v>
      </c>
      <c r="K810" s="375">
        <v>10</v>
      </c>
      <c r="M810" s="375">
        <v>6725</v>
      </c>
      <c r="V810" s="375" t="s">
        <v>596</v>
      </c>
    </row>
    <row r="811" spans="1:22" hidden="1" x14ac:dyDescent="0.25">
      <c r="A811" s="377">
        <v>45186</v>
      </c>
      <c r="B811" s="375">
        <v>50000</v>
      </c>
      <c r="C811" s="375">
        <v>27500</v>
      </c>
      <c r="D811" s="375">
        <v>6</v>
      </c>
      <c r="E811" s="375">
        <v>10</v>
      </c>
      <c r="F811" s="375">
        <v>0.45</v>
      </c>
      <c r="G811" s="375">
        <v>10500</v>
      </c>
      <c r="H811" s="376">
        <v>8.6580086580086591E-4</v>
      </c>
      <c r="I811" s="375">
        <v>5000</v>
      </c>
      <c r="J811" s="375">
        <v>5500</v>
      </c>
      <c r="K811" s="375">
        <v>9</v>
      </c>
      <c r="M811" s="375">
        <v>6725</v>
      </c>
      <c r="V811" s="375" t="s">
        <v>596</v>
      </c>
    </row>
    <row r="812" spans="1:22" hidden="1" x14ac:dyDescent="0.25">
      <c r="A812" s="377">
        <v>45187</v>
      </c>
      <c r="B812" s="375">
        <v>50000</v>
      </c>
      <c r="C812" s="375">
        <v>27500</v>
      </c>
      <c r="D812" s="375">
        <v>6</v>
      </c>
      <c r="E812" s="375">
        <v>10</v>
      </c>
      <c r="F812" s="375">
        <v>0.45</v>
      </c>
      <c r="G812" s="375">
        <v>10500</v>
      </c>
      <c r="H812" s="376">
        <v>8.6580086580086591E-4</v>
      </c>
      <c r="I812" s="375">
        <v>5000</v>
      </c>
      <c r="J812" s="375">
        <v>5500</v>
      </c>
      <c r="K812" s="375">
        <v>9</v>
      </c>
      <c r="M812" s="375">
        <v>6725</v>
      </c>
      <c r="V812" s="375" t="s">
        <v>596</v>
      </c>
    </row>
    <row r="813" spans="1:22" hidden="1" x14ac:dyDescent="0.25">
      <c r="A813" s="377">
        <v>45188</v>
      </c>
      <c r="B813" s="375">
        <v>55000</v>
      </c>
      <c r="C813" s="375">
        <v>30250</v>
      </c>
      <c r="D813" s="375">
        <v>6</v>
      </c>
      <c r="E813" s="375">
        <v>11</v>
      </c>
      <c r="F813" s="375">
        <v>0.45</v>
      </c>
      <c r="G813" s="375">
        <v>11000</v>
      </c>
      <c r="H813" s="376">
        <v>9.0909090909090909E-4</v>
      </c>
      <c r="I813" s="375">
        <v>5000</v>
      </c>
      <c r="J813" s="375">
        <v>5500</v>
      </c>
      <c r="K813" s="375">
        <v>10</v>
      </c>
      <c r="M813" s="375">
        <v>6725</v>
      </c>
      <c r="V813" s="375" t="s">
        <v>596</v>
      </c>
    </row>
    <row r="814" spans="1:22" hidden="1" x14ac:dyDescent="0.25">
      <c r="A814" s="377">
        <v>45189</v>
      </c>
      <c r="B814" s="375">
        <v>55000</v>
      </c>
      <c r="C814" s="375">
        <v>30250</v>
      </c>
      <c r="D814" s="375">
        <v>6</v>
      </c>
      <c r="E814" s="375">
        <v>11</v>
      </c>
      <c r="F814" s="375">
        <v>0.45</v>
      </c>
      <c r="G814" s="375">
        <v>11000</v>
      </c>
      <c r="H814" s="376">
        <v>9.0909090909090909E-4</v>
      </c>
      <c r="I814" s="375">
        <v>5000</v>
      </c>
      <c r="J814" s="375">
        <v>5500</v>
      </c>
      <c r="K814" s="375">
        <v>10</v>
      </c>
      <c r="M814" s="375">
        <v>6636</v>
      </c>
      <c r="V814" s="375" t="s">
        <v>596</v>
      </c>
    </row>
    <row r="815" spans="1:22" hidden="1" x14ac:dyDescent="0.25">
      <c r="A815" s="377">
        <v>45190</v>
      </c>
      <c r="B815" s="375">
        <v>75000</v>
      </c>
      <c r="C815" s="375">
        <v>41250</v>
      </c>
      <c r="D815" s="375">
        <v>8</v>
      </c>
      <c r="E815" s="375">
        <v>15</v>
      </c>
      <c r="F815" s="375">
        <v>0.45</v>
      </c>
      <c r="G815" s="375">
        <v>11000</v>
      </c>
      <c r="H815" s="376">
        <v>1.2396694214876034E-3</v>
      </c>
      <c r="I815" s="375">
        <v>5000</v>
      </c>
      <c r="J815" s="375">
        <v>5500</v>
      </c>
      <c r="K815" s="375">
        <v>14</v>
      </c>
      <c r="M815" s="375">
        <v>6636</v>
      </c>
      <c r="V815" s="375" t="s">
        <v>596</v>
      </c>
    </row>
    <row r="816" spans="1:22" hidden="1" x14ac:dyDescent="0.25">
      <c r="A816" s="377">
        <v>45191</v>
      </c>
      <c r="B816" s="375">
        <v>70000</v>
      </c>
      <c r="C816" s="375">
        <v>38500</v>
      </c>
      <c r="D816" s="375">
        <v>8</v>
      </c>
      <c r="E816" s="375">
        <v>14</v>
      </c>
      <c r="F816" s="375">
        <v>0.45</v>
      </c>
      <c r="G816" s="375">
        <v>10500</v>
      </c>
      <c r="H816" s="376">
        <v>1.2121212121212121E-3</v>
      </c>
      <c r="I816" s="375">
        <v>5000</v>
      </c>
      <c r="J816" s="375">
        <v>5500</v>
      </c>
      <c r="K816" s="375">
        <v>13</v>
      </c>
      <c r="M816" s="375">
        <v>6636</v>
      </c>
      <c r="V816" s="375" t="s">
        <v>596</v>
      </c>
    </row>
    <row r="817" spans="1:22" hidden="1" x14ac:dyDescent="0.25">
      <c r="A817" s="377">
        <v>45192</v>
      </c>
      <c r="B817" s="375">
        <v>70000</v>
      </c>
      <c r="C817" s="375">
        <v>38500</v>
      </c>
      <c r="D817" s="375">
        <v>8</v>
      </c>
      <c r="E817" s="375">
        <v>14</v>
      </c>
      <c r="F817" s="375">
        <v>0.45</v>
      </c>
      <c r="G817" s="375">
        <v>10500</v>
      </c>
      <c r="H817" s="376">
        <v>1.2121212121212121E-3</v>
      </c>
      <c r="I817" s="375">
        <v>5000</v>
      </c>
      <c r="J817" s="375">
        <v>5500</v>
      </c>
      <c r="K817" s="375">
        <v>13</v>
      </c>
      <c r="M817" s="375">
        <v>6636</v>
      </c>
      <c r="V817" s="375" t="s">
        <v>596</v>
      </c>
    </row>
    <row r="818" spans="1:22" hidden="1" x14ac:dyDescent="0.25">
      <c r="A818" s="377">
        <v>45193</v>
      </c>
      <c r="B818" s="375">
        <v>65000</v>
      </c>
      <c r="C818" s="375">
        <v>35750</v>
      </c>
      <c r="D818" s="375">
        <v>7</v>
      </c>
      <c r="E818" s="375">
        <v>13</v>
      </c>
      <c r="F818" s="375">
        <v>0.45</v>
      </c>
      <c r="G818" s="375">
        <v>10500</v>
      </c>
      <c r="H818" s="376">
        <v>1.1255411255411255E-3</v>
      </c>
      <c r="I818" s="375">
        <v>5000</v>
      </c>
      <c r="J818" s="375">
        <v>5500</v>
      </c>
      <c r="K818" s="375">
        <v>12</v>
      </c>
      <c r="M818" s="375">
        <v>6636</v>
      </c>
      <c r="V818" s="375" t="s">
        <v>596</v>
      </c>
    </row>
    <row r="819" spans="1:22" hidden="1" x14ac:dyDescent="0.25">
      <c r="A819" s="377">
        <v>45194</v>
      </c>
      <c r="B819" s="375">
        <v>65000</v>
      </c>
      <c r="C819" s="375">
        <v>35750</v>
      </c>
      <c r="D819" s="375">
        <v>7</v>
      </c>
      <c r="E819" s="375">
        <v>13</v>
      </c>
      <c r="F819" s="375">
        <v>0.45</v>
      </c>
      <c r="G819" s="375">
        <v>10500</v>
      </c>
      <c r="H819" s="376">
        <v>1.1255411255411255E-3</v>
      </c>
      <c r="I819" s="375">
        <v>5000</v>
      </c>
      <c r="J819" s="375">
        <v>5500</v>
      </c>
      <c r="K819" s="375">
        <v>12</v>
      </c>
      <c r="M819" s="375">
        <v>6636</v>
      </c>
      <c r="V819" s="375" t="s">
        <v>596</v>
      </c>
    </row>
    <row r="820" spans="1:22" hidden="1" x14ac:dyDescent="0.25">
      <c r="A820" s="377">
        <v>45195</v>
      </c>
      <c r="B820" s="375">
        <v>65000</v>
      </c>
      <c r="C820" s="375">
        <v>35750</v>
      </c>
      <c r="D820" s="375">
        <v>7</v>
      </c>
      <c r="E820" s="375">
        <v>13</v>
      </c>
      <c r="F820" s="375">
        <v>0.45</v>
      </c>
      <c r="G820" s="375">
        <v>10500</v>
      </c>
      <c r="H820" s="376">
        <v>1.1255411255411255E-3</v>
      </c>
      <c r="I820" s="375">
        <v>5000</v>
      </c>
      <c r="J820" s="375">
        <v>5500</v>
      </c>
      <c r="K820" s="375">
        <v>12</v>
      </c>
      <c r="M820" s="375">
        <v>6701</v>
      </c>
      <c r="V820" s="375" t="s">
        <v>596</v>
      </c>
    </row>
    <row r="821" spans="1:22" hidden="1" x14ac:dyDescent="0.25">
      <c r="A821" s="377">
        <v>45196</v>
      </c>
      <c r="B821" s="375">
        <v>50000</v>
      </c>
      <c r="C821" s="375">
        <v>27500</v>
      </c>
      <c r="D821" s="375">
        <v>6</v>
      </c>
      <c r="E821" s="375">
        <v>10</v>
      </c>
      <c r="F821" s="375">
        <v>0.45</v>
      </c>
      <c r="G821" s="375">
        <v>10500</v>
      </c>
      <c r="H821" s="376">
        <v>8.6580086580086591E-4</v>
      </c>
      <c r="I821" s="375">
        <v>5000</v>
      </c>
      <c r="J821" s="375">
        <v>5500</v>
      </c>
      <c r="K821" s="375">
        <v>9</v>
      </c>
      <c r="M821" s="375">
        <v>6701</v>
      </c>
      <c r="V821" s="375" t="s">
        <v>596</v>
      </c>
    </row>
    <row r="822" spans="1:22" hidden="1" x14ac:dyDescent="0.25">
      <c r="A822" s="377">
        <v>45197</v>
      </c>
      <c r="B822" s="375">
        <v>50000</v>
      </c>
      <c r="C822" s="375">
        <v>27500</v>
      </c>
      <c r="D822" s="375">
        <v>6</v>
      </c>
      <c r="E822" s="375">
        <v>10</v>
      </c>
      <c r="F822" s="375">
        <v>0.45</v>
      </c>
      <c r="G822" s="375">
        <v>10500</v>
      </c>
      <c r="H822" s="376">
        <v>8.6580086580086591E-4</v>
      </c>
      <c r="I822" s="375">
        <v>5000</v>
      </c>
      <c r="J822" s="375">
        <v>5500</v>
      </c>
      <c r="K822" s="375">
        <v>9</v>
      </c>
      <c r="M822" s="375">
        <v>6701</v>
      </c>
      <c r="V822" s="375" t="s">
        <v>596</v>
      </c>
    </row>
    <row r="823" spans="1:22" hidden="1" x14ac:dyDescent="0.25">
      <c r="A823" s="377">
        <v>45198</v>
      </c>
      <c r="B823" s="375">
        <v>50000</v>
      </c>
      <c r="C823" s="375">
        <v>27500</v>
      </c>
      <c r="D823" s="375">
        <v>6</v>
      </c>
      <c r="E823" s="375">
        <v>10</v>
      </c>
      <c r="F823" s="375">
        <v>0.45</v>
      </c>
      <c r="G823" s="375">
        <v>10500</v>
      </c>
      <c r="H823" s="376">
        <v>8.6580086580086591E-4</v>
      </c>
      <c r="I823" s="375">
        <v>5000</v>
      </c>
      <c r="J823" s="375">
        <v>5500</v>
      </c>
      <c r="K823" s="375">
        <v>9</v>
      </c>
      <c r="M823" s="375">
        <v>6701</v>
      </c>
      <c r="V823" s="375" t="s">
        <v>596</v>
      </c>
    </row>
    <row r="824" spans="1:22" hidden="1" x14ac:dyDescent="0.25">
      <c r="A824" s="377">
        <v>45199</v>
      </c>
      <c r="B824" s="375">
        <v>50000</v>
      </c>
      <c r="C824" s="375">
        <v>27500</v>
      </c>
      <c r="D824" s="375">
        <v>6</v>
      </c>
      <c r="E824" s="375">
        <v>10</v>
      </c>
      <c r="F824" s="375">
        <v>0.45</v>
      </c>
      <c r="G824" s="375">
        <v>10500</v>
      </c>
      <c r="H824" s="376">
        <v>8.6580086580086591E-4</v>
      </c>
      <c r="I824" s="375">
        <v>5000</v>
      </c>
      <c r="J824" s="375">
        <v>5500</v>
      </c>
      <c r="K824" s="375">
        <v>9</v>
      </c>
      <c r="M824" s="375">
        <v>6701</v>
      </c>
      <c r="V824" s="375" t="s">
        <v>596</v>
      </c>
    </row>
    <row r="825" spans="1:22" hidden="1" x14ac:dyDescent="0.25">
      <c r="A825" s="377">
        <v>45200</v>
      </c>
      <c r="B825" s="375">
        <v>50000</v>
      </c>
      <c r="C825" s="375">
        <v>25000</v>
      </c>
      <c r="D825" s="375">
        <v>4</v>
      </c>
      <c r="E825" s="375">
        <v>8</v>
      </c>
      <c r="F825" s="375">
        <v>0.5</v>
      </c>
      <c r="G825" s="375">
        <v>10000</v>
      </c>
      <c r="H825" s="376">
        <v>7.6923076923076923E-4</v>
      </c>
      <c r="I825" s="375">
        <v>5909</v>
      </c>
      <c r="J825" s="375">
        <v>6500</v>
      </c>
      <c r="K825" s="375">
        <v>8</v>
      </c>
      <c r="L825" s="375">
        <v>5445</v>
      </c>
      <c r="M825" s="375">
        <v>4555</v>
      </c>
      <c r="V825" s="375" t="s">
        <v>596</v>
      </c>
    </row>
    <row r="826" spans="1:22" hidden="1" x14ac:dyDescent="0.25">
      <c r="A826" s="377">
        <v>45201</v>
      </c>
      <c r="B826" s="375">
        <v>50000</v>
      </c>
      <c r="C826" s="375">
        <v>25000</v>
      </c>
      <c r="D826" s="375">
        <v>4</v>
      </c>
      <c r="E826" s="375">
        <v>8</v>
      </c>
      <c r="F826" s="375">
        <v>0.5</v>
      </c>
      <c r="G826" s="375">
        <v>10000</v>
      </c>
      <c r="H826" s="376">
        <v>7.6923076923076923E-4</v>
      </c>
      <c r="I826" s="375">
        <v>5909</v>
      </c>
      <c r="J826" s="375">
        <v>6500</v>
      </c>
      <c r="K826" s="375">
        <v>8</v>
      </c>
      <c r="L826" s="375">
        <v>5445</v>
      </c>
      <c r="M826" s="375">
        <v>4555</v>
      </c>
      <c r="V826" s="375" t="s">
        <v>596</v>
      </c>
    </row>
    <row r="827" spans="1:22" hidden="1" x14ac:dyDescent="0.25">
      <c r="A827" s="377">
        <v>45202</v>
      </c>
      <c r="B827" s="375">
        <v>50000</v>
      </c>
      <c r="C827" s="375">
        <v>25000</v>
      </c>
      <c r="D827" s="375">
        <v>4</v>
      </c>
      <c r="E827" s="375">
        <v>8</v>
      </c>
      <c r="F827" s="375">
        <v>0.5</v>
      </c>
      <c r="G827" s="375">
        <v>10000</v>
      </c>
      <c r="H827" s="376">
        <v>7.6923076923076923E-4</v>
      </c>
      <c r="I827" s="375">
        <v>5909</v>
      </c>
      <c r="J827" s="375">
        <v>6500</v>
      </c>
      <c r="K827" s="375">
        <v>8</v>
      </c>
      <c r="L827" s="375">
        <v>5445</v>
      </c>
      <c r="M827" s="375">
        <v>4555</v>
      </c>
      <c r="V827" s="375" t="s">
        <v>596</v>
      </c>
    </row>
    <row r="828" spans="1:22" hidden="1" x14ac:dyDescent="0.25">
      <c r="A828" s="377">
        <v>45203</v>
      </c>
      <c r="B828" s="375">
        <v>50000</v>
      </c>
      <c r="C828" s="375">
        <v>25000</v>
      </c>
      <c r="D828" s="375">
        <v>4</v>
      </c>
      <c r="E828" s="375">
        <v>8</v>
      </c>
      <c r="F828" s="375">
        <v>0.5</v>
      </c>
      <c r="G828" s="375">
        <v>10000</v>
      </c>
      <c r="H828" s="376">
        <v>7.6923076923076923E-4</v>
      </c>
      <c r="I828" s="375">
        <v>5909</v>
      </c>
      <c r="J828" s="375">
        <v>6500</v>
      </c>
      <c r="K828" s="375">
        <v>8</v>
      </c>
      <c r="L828" s="375">
        <v>5445</v>
      </c>
      <c r="M828" s="375">
        <v>4555</v>
      </c>
      <c r="V828" s="375" t="s">
        <v>596</v>
      </c>
    </row>
    <row r="829" spans="1:22" hidden="1" x14ac:dyDescent="0.25">
      <c r="A829" s="377">
        <v>45204</v>
      </c>
      <c r="B829" s="375">
        <v>50000</v>
      </c>
      <c r="C829" s="375">
        <v>25000</v>
      </c>
      <c r="D829" s="375">
        <v>4</v>
      </c>
      <c r="E829" s="375">
        <v>8</v>
      </c>
      <c r="F829" s="375">
        <v>0.5</v>
      </c>
      <c r="G829" s="375">
        <v>10000</v>
      </c>
      <c r="H829" s="376">
        <v>7.6923076923076923E-4</v>
      </c>
      <c r="I829" s="375">
        <v>5909</v>
      </c>
      <c r="J829" s="375">
        <v>6500</v>
      </c>
      <c r="K829" s="375">
        <v>8</v>
      </c>
      <c r="L829" s="375">
        <v>5445</v>
      </c>
      <c r="M829" s="375">
        <v>4555</v>
      </c>
      <c r="V829" s="375" t="s">
        <v>596</v>
      </c>
    </row>
    <row r="830" spans="1:22" hidden="1" x14ac:dyDescent="0.25">
      <c r="A830" s="377">
        <v>45205</v>
      </c>
      <c r="B830" s="375">
        <v>50000</v>
      </c>
      <c r="C830" s="375">
        <v>25000</v>
      </c>
      <c r="D830" s="375">
        <v>4</v>
      </c>
      <c r="E830" s="375">
        <v>8</v>
      </c>
      <c r="F830" s="375">
        <v>0.5</v>
      </c>
      <c r="G830" s="375">
        <v>10000</v>
      </c>
      <c r="H830" s="376">
        <v>7.6923076923076923E-4</v>
      </c>
      <c r="I830" s="375">
        <v>5909</v>
      </c>
      <c r="J830" s="375">
        <v>6500</v>
      </c>
      <c r="K830" s="375">
        <v>8</v>
      </c>
      <c r="L830" s="375">
        <v>5445</v>
      </c>
      <c r="M830" s="375">
        <v>4555</v>
      </c>
      <c r="V830" s="375" t="s">
        <v>596</v>
      </c>
    </row>
    <row r="831" spans="1:22" hidden="1" x14ac:dyDescent="0.25">
      <c r="A831" s="377">
        <v>45206</v>
      </c>
      <c r="B831" s="375">
        <v>50000</v>
      </c>
      <c r="C831" s="375">
        <v>25000</v>
      </c>
      <c r="D831" s="375">
        <v>4</v>
      </c>
      <c r="E831" s="375">
        <v>8</v>
      </c>
      <c r="F831" s="375">
        <v>0.5</v>
      </c>
      <c r="G831" s="375">
        <v>10000</v>
      </c>
      <c r="H831" s="376">
        <v>7.6923076923076923E-4</v>
      </c>
      <c r="I831" s="375">
        <v>5909</v>
      </c>
      <c r="J831" s="375">
        <v>6500</v>
      </c>
      <c r="K831" s="375">
        <v>8</v>
      </c>
      <c r="L831" s="375">
        <v>5112</v>
      </c>
      <c r="M831" s="375">
        <v>4888</v>
      </c>
      <c r="V831" s="375" t="s">
        <v>596</v>
      </c>
    </row>
    <row r="832" spans="1:22" hidden="1" x14ac:dyDescent="0.25">
      <c r="A832" s="377">
        <v>45207</v>
      </c>
      <c r="B832" s="375">
        <v>50000</v>
      </c>
      <c r="C832" s="375">
        <v>25000</v>
      </c>
      <c r="D832" s="375">
        <v>4</v>
      </c>
      <c r="E832" s="375">
        <v>8</v>
      </c>
      <c r="F832" s="375">
        <v>0.5</v>
      </c>
      <c r="G832" s="375">
        <v>10000</v>
      </c>
      <c r="H832" s="376">
        <v>7.6923076923076923E-4</v>
      </c>
      <c r="I832" s="375">
        <v>5909</v>
      </c>
      <c r="J832" s="375">
        <v>6500</v>
      </c>
      <c r="K832" s="375">
        <v>8</v>
      </c>
      <c r="L832" s="375">
        <v>5112</v>
      </c>
      <c r="M832" s="375">
        <v>4888</v>
      </c>
      <c r="V832" s="375" t="s">
        <v>596</v>
      </c>
    </row>
    <row r="833" spans="1:22" hidden="1" x14ac:dyDescent="0.25">
      <c r="A833" s="377">
        <v>45208</v>
      </c>
      <c r="B833" s="375">
        <v>50000</v>
      </c>
      <c r="C833" s="375">
        <v>25000</v>
      </c>
      <c r="D833" s="375">
        <v>4</v>
      </c>
      <c r="E833" s="375">
        <v>8</v>
      </c>
      <c r="F833" s="375">
        <v>0.5</v>
      </c>
      <c r="G833" s="375">
        <v>11000</v>
      </c>
      <c r="H833" s="376">
        <v>6.993006993006993E-4</v>
      </c>
      <c r="I833" s="375">
        <v>5909</v>
      </c>
      <c r="J833" s="375">
        <v>6500</v>
      </c>
      <c r="K833" s="375">
        <v>8</v>
      </c>
      <c r="L833" s="375">
        <v>5159</v>
      </c>
      <c r="M833" s="375">
        <v>5841</v>
      </c>
      <c r="V833" s="375" t="s">
        <v>596</v>
      </c>
    </row>
    <row r="834" spans="1:22" hidden="1" x14ac:dyDescent="0.25">
      <c r="A834" s="377">
        <v>45209</v>
      </c>
      <c r="B834" s="375">
        <v>50000</v>
      </c>
      <c r="C834" s="375">
        <v>25000</v>
      </c>
      <c r="D834" s="375">
        <v>4</v>
      </c>
      <c r="E834" s="375">
        <v>8</v>
      </c>
      <c r="F834" s="375">
        <v>0.5</v>
      </c>
      <c r="G834" s="375">
        <v>12000</v>
      </c>
      <c r="H834" s="376">
        <v>6.4102564102564103E-4</v>
      </c>
      <c r="I834" s="375">
        <v>5909</v>
      </c>
      <c r="J834" s="375">
        <v>6500</v>
      </c>
      <c r="K834" s="375">
        <v>8</v>
      </c>
      <c r="L834" s="375">
        <v>5235</v>
      </c>
      <c r="M834" s="375">
        <v>6765</v>
      </c>
      <c r="V834" s="375" t="s">
        <v>596</v>
      </c>
    </row>
    <row r="835" spans="1:22" hidden="1" x14ac:dyDescent="0.25">
      <c r="A835" s="377">
        <v>45210</v>
      </c>
      <c r="B835" s="375">
        <v>50000</v>
      </c>
      <c r="C835" s="375">
        <v>25000</v>
      </c>
      <c r="D835" s="375">
        <v>4</v>
      </c>
      <c r="E835" s="375">
        <v>8</v>
      </c>
      <c r="F835" s="375">
        <v>0.5</v>
      </c>
      <c r="G835" s="375">
        <v>13000</v>
      </c>
      <c r="H835" s="376">
        <v>5.9171597633136095E-4</v>
      </c>
      <c r="I835" s="375">
        <v>5909</v>
      </c>
      <c r="J835" s="375">
        <v>6500</v>
      </c>
      <c r="K835" s="375">
        <v>8</v>
      </c>
      <c r="L835" s="375">
        <v>5195</v>
      </c>
      <c r="M835" s="375">
        <v>7805</v>
      </c>
      <c r="V835" s="375" t="s">
        <v>596</v>
      </c>
    </row>
    <row r="836" spans="1:22" hidden="1" x14ac:dyDescent="0.25">
      <c r="A836" s="377">
        <v>45211</v>
      </c>
      <c r="B836" s="375">
        <v>50000</v>
      </c>
      <c r="C836" s="375">
        <v>25000</v>
      </c>
      <c r="D836" s="375">
        <v>4</v>
      </c>
      <c r="E836" s="375">
        <v>8</v>
      </c>
      <c r="F836" s="375">
        <v>0.5</v>
      </c>
      <c r="G836" s="375">
        <v>15000</v>
      </c>
      <c r="H836" s="376">
        <v>5.1282051282051282E-4</v>
      </c>
      <c r="I836" s="375">
        <v>5909</v>
      </c>
      <c r="J836" s="375">
        <v>6500</v>
      </c>
      <c r="K836" s="375">
        <v>8</v>
      </c>
      <c r="L836" s="375">
        <v>6832</v>
      </c>
      <c r="M836" s="375">
        <v>8168</v>
      </c>
      <c r="V836" s="375" t="s">
        <v>596</v>
      </c>
    </row>
    <row r="837" spans="1:22" hidden="1" x14ac:dyDescent="0.25">
      <c r="A837" s="377">
        <v>45212</v>
      </c>
      <c r="B837" s="375">
        <v>50000</v>
      </c>
      <c r="C837" s="375">
        <v>25000</v>
      </c>
      <c r="D837" s="375">
        <v>4</v>
      </c>
      <c r="E837" s="375">
        <v>8</v>
      </c>
      <c r="F837" s="375">
        <v>0.5</v>
      </c>
      <c r="G837" s="375">
        <v>15000</v>
      </c>
      <c r="H837" s="376">
        <v>5.1282051282051282E-4</v>
      </c>
      <c r="I837" s="375">
        <v>5909</v>
      </c>
      <c r="J837" s="375">
        <v>6500</v>
      </c>
      <c r="K837" s="375">
        <v>8</v>
      </c>
      <c r="L837" s="375">
        <v>6326</v>
      </c>
      <c r="M837" s="375">
        <v>8674</v>
      </c>
      <c r="V837" s="375" t="s">
        <v>596</v>
      </c>
    </row>
    <row r="838" spans="1:22" hidden="1" x14ac:dyDescent="0.25">
      <c r="A838" s="377">
        <v>45213</v>
      </c>
      <c r="B838" s="375">
        <v>50000</v>
      </c>
      <c r="C838" s="375">
        <v>25000</v>
      </c>
      <c r="D838" s="375">
        <v>4</v>
      </c>
      <c r="E838" s="375">
        <v>8</v>
      </c>
      <c r="F838" s="375">
        <v>0.5</v>
      </c>
      <c r="G838" s="375">
        <v>15000</v>
      </c>
      <c r="H838" s="376">
        <v>5.1282051282051282E-4</v>
      </c>
      <c r="I838" s="375">
        <v>5909</v>
      </c>
      <c r="J838" s="375">
        <v>6500</v>
      </c>
      <c r="K838" s="375">
        <v>8</v>
      </c>
      <c r="L838" s="375">
        <v>6326</v>
      </c>
      <c r="M838" s="375">
        <v>8674</v>
      </c>
      <c r="V838" s="375" t="s">
        <v>596</v>
      </c>
    </row>
    <row r="839" spans="1:22" hidden="1" x14ac:dyDescent="0.25">
      <c r="A839" s="377">
        <v>45214</v>
      </c>
      <c r="B839" s="375">
        <v>50000</v>
      </c>
      <c r="C839" s="375">
        <v>25000</v>
      </c>
      <c r="D839" s="375">
        <v>4</v>
      </c>
      <c r="E839" s="375">
        <v>8</v>
      </c>
      <c r="F839" s="375">
        <v>0.5</v>
      </c>
      <c r="G839" s="375">
        <v>20000</v>
      </c>
      <c r="H839" s="376">
        <v>3.8461538461538462E-4</v>
      </c>
      <c r="I839" s="375">
        <v>5909</v>
      </c>
      <c r="J839" s="375">
        <v>6500</v>
      </c>
      <c r="K839" s="375">
        <v>8</v>
      </c>
      <c r="L839" s="375">
        <v>9992</v>
      </c>
      <c r="M839" s="375">
        <v>10008</v>
      </c>
      <c r="V839" s="375" t="s">
        <v>596</v>
      </c>
    </row>
    <row r="840" spans="1:22" hidden="1" x14ac:dyDescent="0.25">
      <c r="A840" s="377">
        <v>45215</v>
      </c>
      <c r="B840" s="375">
        <v>50000</v>
      </c>
      <c r="C840" s="375">
        <v>25000</v>
      </c>
      <c r="D840" s="375">
        <v>4</v>
      </c>
      <c r="E840" s="375">
        <v>8</v>
      </c>
      <c r="F840" s="375">
        <v>0.5</v>
      </c>
      <c r="G840" s="375">
        <v>20000</v>
      </c>
      <c r="H840" s="376">
        <v>3.8461538461538462E-4</v>
      </c>
      <c r="I840" s="375">
        <v>5909</v>
      </c>
      <c r="J840" s="375">
        <v>6500</v>
      </c>
      <c r="K840" s="375">
        <v>8</v>
      </c>
      <c r="L840" s="375">
        <v>9992</v>
      </c>
      <c r="M840" s="375">
        <v>10008</v>
      </c>
      <c r="V840" s="375" t="s">
        <v>596</v>
      </c>
    </row>
    <row r="841" spans="1:22" hidden="1" x14ac:dyDescent="0.25">
      <c r="A841" s="377">
        <v>45216</v>
      </c>
      <c r="B841" s="375">
        <v>50000</v>
      </c>
      <c r="C841" s="375">
        <v>25000</v>
      </c>
      <c r="D841" s="375">
        <v>4</v>
      </c>
      <c r="E841" s="375">
        <v>8</v>
      </c>
      <c r="F841" s="375">
        <v>0.5</v>
      </c>
      <c r="G841" s="375">
        <v>20000</v>
      </c>
      <c r="H841" s="376">
        <v>3.8461538461538462E-4</v>
      </c>
      <c r="I841" s="375">
        <v>5909</v>
      </c>
      <c r="J841" s="375">
        <v>6500</v>
      </c>
      <c r="K841" s="375">
        <v>8</v>
      </c>
      <c r="L841" s="375">
        <v>9339</v>
      </c>
      <c r="M841" s="375">
        <v>10661</v>
      </c>
      <c r="V841" s="375" t="s">
        <v>596</v>
      </c>
    </row>
    <row r="842" spans="1:22" hidden="1" x14ac:dyDescent="0.25">
      <c r="A842" s="377">
        <v>45217</v>
      </c>
      <c r="B842" s="375">
        <v>205628</v>
      </c>
      <c r="C842" s="375">
        <v>102814</v>
      </c>
      <c r="D842" s="375">
        <v>25</v>
      </c>
      <c r="E842" s="375">
        <v>50</v>
      </c>
      <c r="F842" s="375">
        <v>0.5</v>
      </c>
      <c r="G842" s="375">
        <v>20000</v>
      </c>
      <c r="H842" s="376">
        <v>2.2847555555555554E-3</v>
      </c>
      <c r="I842" s="375">
        <v>4091</v>
      </c>
      <c r="J842" s="375">
        <v>4500</v>
      </c>
      <c r="K842" s="375">
        <v>46</v>
      </c>
      <c r="L842" s="375">
        <v>9339</v>
      </c>
      <c r="M842" s="375">
        <v>10661</v>
      </c>
      <c r="V842" s="375" t="s">
        <v>596</v>
      </c>
    </row>
    <row r="843" spans="1:22" hidden="1" x14ac:dyDescent="0.25">
      <c r="A843" s="377">
        <v>45218</v>
      </c>
      <c r="B843" s="375">
        <v>100000</v>
      </c>
      <c r="C843" s="375">
        <v>50000</v>
      </c>
      <c r="D843" s="375">
        <v>12</v>
      </c>
      <c r="E843" s="375">
        <v>24</v>
      </c>
      <c r="F843" s="375">
        <v>0.5</v>
      </c>
      <c r="G843" s="375">
        <v>20000</v>
      </c>
      <c r="H843" s="376">
        <v>1.1111111111111111E-3</v>
      </c>
      <c r="I843" s="375">
        <v>4091</v>
      </c>
      <c r="J843" s="375">
        <v>4500</v>
      </c>
      <c r="K843" s="375">
        <v>22</v>
      </c>
      <c r="L843" s="375">
        <v>9162</v>
      </c>
      <c r="M843" s="375">
        <v>10838</v>
      </c>
      <c r="V843" s="375" t="s">
        <v>596</v>
      </c>
    </row>
    <row r="844" spans="1:22" hidden="1" x14ac:dyDescent="0.25">
      <c r="A844" s="377">
        <v>45219</v>
      </c>
      <c r="B844" s="375">
        <v>100000</v>
      </c>
      <c r="C844" s="375">
        <v>50000</v>
      </c>
      <c r="D844" s="375">
        <v>12</v>
      </c>
      <c r="E844" s="375">
        <v>24</v>
      </c>
      <c r="F844" s="375">
        <v>0.5</v>
      </c>
      <c r="G844" s="375">
        <v>20000</v>
      </c>
      <c r="H844" s="376">
        <v>1.1111111111111111E-3</v>
      </c>
      <c r="I844" s="375">
        <v>4091</v>
      </c>
      <c r="J844" s="375">
        <v>4500</v>
      </c>
      <c r="K844" s="375">
        <v>22</v>
      </c>
      <c r="L844" s="375">
        <v>8874</v>
      </c>
      <c r="M844" s="375">
        <v>11126</v>
      </c>
      <c r="V844" s="375" t="s">
        <v>596</v>
      </c>
    </row>
    <row r="845" spans="1:22" hidden="1" x14ac:dyDescent="0.25">
      <c r="A845" s="377">
        <v>45220</v>
      </c>
      <c r="B845" s="375">
        <v>100000</v>
      </c>
      <c r="C845" s="375">
        <v>50000</v>
      </c>
      <c r="D845" s="375">
        <v>12</v>
      </c>
      <c r="E845" s="375">
        <v>24</v>
      </c>
      <c r="F845" s="375">
        <v>0.5</v>
      </c>
      <c r="G845" s="375">
        <v>20000</v>
      </c>
      <c r="H845" s="376">
        <v>1.1111111111111111E-3</v>
      </c>
      <c r="I845" s="375">
        <v>4091</v>
      </c>
      <c r="J845" s="375">
        <v>4500</v>
      </c>
      <c r="K845" s="375">
        <v>22</v>
      </c>
      <c r="L845" s="375">
        <v>8010</v>
      </c>
      <c r="M845" s="375">
        <v>11990</v>
      </c>
      <c r="V845" s="375" t="s">
        <v>596</v>
      </c>
    </row>
    <row r="846" spans="1:22" hidden="1" x14ac:dyDescent="0.25">
      <c r="A846" s="377">
        <v>45221</v>
      </c>
      <c r="B846" s="375">
        <v>100000</v>
      </c>
      <c r="C846" s="375">
        <v>50000</v>
      </c>
      <c r="D846" s="375">
        <v>12</v>
      </c>
      <c r="E846" s="375">
        <v>24</v>
      </c>
      <c r="F846" s="375">
        <v>0.5</v>
      </c>
      <c r="G846" s="375">
        <v>25000</v>
      </c>
      <c r="H846" s="376">
        <v>8.8888888888888882E-4</v>
      </c>
      <c r="I846" s="375">
        <v>4091</v>
      </c>
      <c r="J846" s="375">
        <v>4500</v>
      </c>
      <c r="K846" s="375">
        <v>22</v>
      </c>
      <c r="L846" s="375">
        <v>13010</v>
      </c>
      <c r="M846" s="375">
        <v>11990</v>
      </c>
      <c r="V846" s="375" t="s">
        <v>596</v>
      </c>
    </row>
    <row r="847" spans="1:22" hidden="1" x14ac:dyDescent="0.25">
      <c r="A847" s="377">
        <v>45222</v>
      </c>
      <c r="B847" s="375">
        <v>100000</v>
      </c>
      <c r="C847" s="375">
        <v>50000</v>
      </c>
      <c r="D847" s="375">
        <v>12</v>
      </c>
      <c r="E847" s="375">
        <v>24</v>
      </c>
      <c r="F847" s="375">
        <v>0.5</v>
      </c>
      <c r="G847" s="375">
        <v>25000</v>
      </c>
      <c r="H847" s="376">
        <v>8.8888888888888882E-4</v>
      </c>
      <c r="I847" s="375">
        <v>4091</v>
      </c>
      <c r="J847" s="375">
        <v>4500</v>
      </c>
      <c r="K847" s="375">
        <v>22</v>
      </c>
      <c r="L847" s="375">
        <v>13010</v>
      </c>
      <c r="M847" s="375">
        <v>11990</v>
      </c>
      <c r="V847" s="375" t="s">
        <v>596</v>
      </c>
    </row>
    <row r="848" spans="1:22" hidden="1" x14ac:dyDescent="0.25">
      <c r="A848" s="377">
        <v>45223</v>
      </c>
      <c r="B848" s="375">
        <v>120000</v>
      </c>
      <c r="C848" s="375">
        <v>60000</v>
      </c>
      <c r="D848" s="375">
        <v>17</v>
      </c>
      <c r="E848" s="375">
        <v>33</v>
      </c>
      <c r="F848" s="375">
        <v>0.5</v>
      </c>
      <c r="G848" s="375">
        <v>30000</v>
      </c>
      <c r="H848" s="376">
        <v>1E-3</v>
      </c>
      <c r="I848" s="375">
        <v>3636</v>
      </c>
      <c r="J848" s="375">
        <v>4000</v>
      </c>
      <c r="K848" s="375">
        <v>30</v>
      </c>
      <c r="L848" s="375">
        <v>18010</v>
      </c>
      <c r="M848" s="375">
        <v>11990</v>
      </c>
      <c r="V848" s="375" t="s">
        <v>596</v>
      </c>
    </row>
    <row r="849" spans="1:22" hidden="1" x14ac:dyDescent="0.25">
      <c r="A849" s="377">
        <v>45224</v>
      </c>
      <c r="B849" s="375">
        <v>70000</v>
      </c>
      <c r="C849" s="375">
        <v>35000</v>
      </c>
      <c r="D849" s="375">
        <v>9</v>
      </c>
      <c r="E849" s="375">
        <v>19</v>
      </c>
      <c r="F849" s="375">
        <v>0.5</v>
      </c>
      <c r="G849" s="375">
        <v>28000</v>
      </c>
      <c r="H849" s="376">
        <v>6.0975609756097561E-4</v>
      </c>
      <c r="I849" s="375">
        <v>3727</v>
      </c>
      <c r="J849" s="375">
        <v>4100</v>
      </c>
      <c r="K849" s="375">
        <v>17</v>
      </c>
      <c r="L849" s="375">
        <v>15842</v>
      </c>
      <c r="M849" s="375">
        <v>12158</v>
      </c>
      <c r="V849" s="375" t="s">
        <v>596</v>
      </c>
    </row>
    <row r="850" spans="1:22" hidden="1" x14ac:dyDescent="0.25">
      <c r="A850" s="377">
        <v>45225</v>
      </c>
      <c r="B850" s="375">
        <v>70000</v>
      </c>
      <c r="C850" s="375">
        <v>35000</v>
      </c>
      <c r="D850" s="375">
        <v>9</v>
      </c>
      <c r="E850" s="375">
        <v>18</v>
      </c>
      <c r="F850" s="375">
        <v>0.5</v>
      </c>
      <c r="G850" s="375">
        <v>25000</v>
      </c>
      <c r="H850" s="376">
        <v>6.6666666666666675E-4</v>
      </c>
      <c r="I850" s="375">
        <v>3818</v>
      </c>
      <c r="J850" s="375">
        <v>4200</v>
      </c>
      <c r="K850" s="375">
        <v>17</v>
      </c>
      <c r="L850" s="375">
        <v>12408</v>
      </c>
      <c r="M850" s="375">
        <v>12592</v>
      </c>
      <c r="V850" s="375" t="s">
        <v>596</v>
      </c>
    </row>
    <row r="851" spans="1:22" hidden="1" x14ac:dyDescent="0.25">
      <c r="A851" s="377">
        <v>45226</v>
      </c>
      <c r="B851" s="375">
        <v>70000</v>
      </c>
      <c r="C851" s="375">
        <v>35000</v>
      </c>
      <c r="D851" s="375">
        <v>9</v>
      </c>
      <c r="E851" s="375">
        <v>18</v>
      </c>
      <c r="F851" s="375">
        <v>0.5</v>
      </c>
      <c r="G851" s="375">
        <v>25000</v>
      </c>
      <c r="H851" s="376">
        <v>6.6666666666666675E-4</v>
      </c>
      <c r="I851" s="375">
        <v>3818</v>
      </c>
      <c r="J851" s="375">
        <v>4200</v>
      </c>
      <c r="K851" s="375">
        <v>17</v>
      </c>
      <c r="L851" s="375">
        <v>12177</v>
      </c>
      <c r="M851" s="375">
        <v>12823</v>
      </c>
      <c r="V851" s="375" t="s">
        <v>596</v>
      </c>
    </row>
    <row r="852" spans="1:22" hidden="1" x14ac:dyDescent="0.25">
      <c r="A852" s="377">
        <v>45227</v>
      </c>
      <c r="B852" s="375">
        <v>70000</v>
      </c>
      <c r="C852" s="375">
        <v>35000</v>
      </c>
      <c r="D852" s="375">
        <v>9</v>
      </c>
      <c r="E852" s="375">
        <v>18</v>
      </c>
      <c r="F852" s="375">
        <v>0.5</v>
      </c>
      <c r="G852" s="375">
        <v>25000</v>
      </c>
      <c r="H852" s="376">
        <v>6.6666666666666675E-4</v>
      </c>
      <c r="I852" s="375">
        <v>3818</v>
      </c>
      <c r="J852" s="375">
        <v>4200</v>
      </c>
      <c r="K852" s="375">
        <v>17</v>
      </c>
      <c r="L852" s="375">
        <v>11847</v>
      </c>
      <c r="M852" s="375">
        <v>13153</v>
      </c>
      <c r="V852" s="375" t="s">
        <v>596</v>
      </c>
    </row>
    <row r="853" spans="1:22" hidden="1" x14ac:dyDescent="0.25">
      <c r="A853" s="377">
        <v>45228</v>
      </c>
      <c r="B853" s="375">
        <v>70000</v>
      </c>
      <c r="C853" s="375">
        <v>35000</v>
      </c>
      <c r="D853" s="375">
        <v>9</v>
      </c>
      <c r="E853" s="375">
        <v>18</v>
      </c>
      <c r="F853" s="375">
        <v>0.5</v>
      </c>
      <c r="G853" s="375">
        <v>30000</v>
      </c>
      <c r="H853" s="376">
        <v>5.5555555555555556E-4</v>
      </c>
      <c r="I853" s="375">
        <v>3818</v>
      </c>
      <c r="J853" s="375">
        <v>4200</v>
      </c>
      <c r="K853" s="375">
        <v>17</v>
      </c>
      <c r="L853" s="375">
        <v>16354</v>
      </c>
      <c r="M853" s="375">
        <v>13646</v>
      </c>
      <c r="V853" s="375" t="s">
        <v>596</v>
      </c>
    </row>
    <row r="854" spans="1:22" hidden="1" x14ac:dyDescent="0.25">
      <c r="A854" s="377">
        <v>45229</v>
      </c>
      <c r="B854" s="375">
        <v>70000</v>
      </c>
      <c r="C854" s="375">
        <v>35000</v>
      </c>
      <c r="D854" s="375">
        <v>9</v>
      </c>
      <c r="E854" s="375">
        <v>18</v>
      </c>
      <c r="F854" s="375">
        <v>0.5</v>
      </c>
      <c r="G854" s="375">
        <v>35000</v>
      </c>
      <c r="H854" s="376">
        <v>4.7619047619047624E-4</v>
      </c>
      <c r="I854" s="375">
        <v>3818</v>
      </c>
      <c r="J854" s="375">
        <v>4200</v>
      </c>
      <c r="K854" s="375">
        <v>17</v>
      </c>
      <c r="L854" s="375">
        <v>21350</v>
      </c>
      <c r="M854" s="375">
        <v>13650</v>
      </c>
      <c r="V854" s="375" t="s">
        <v>596</v>
      </c>
    </row>
    <row r="855" spans="1:22" hidden="1" x14ac:dyDescent="0.25">
      <c r="A855" s="377">
        <v>45230</v>
      </c>
      <c r="B855" s="375">
        <v>3080000</v>
      </c>
      <c r="C855" s="375">
        <v>1540000</v>
      </c>
      <c r="D855" s="375">
        <v>394</v>
      </c>
      <c r="E855" s="375">
        <v>788</v>
      </c>
      <c r="F855" s="375">
        <v>0.5</v>
      </c>
      <c r="G855" s="375">
        <v>40000</v>
      </c>
      <c r="H855" s="376">
        <v>1.7906976744186048E-2</v>
      </c>
      <c r="I855" s="375">
        <v>3909</v>
      </c>
      <c r="J855" s="375">
        <v>4300</v>
      </c>
      <c r="K855" s="375">
        <v>716</v>
      </c>
      <c r="L855" s="375">
        <v>24690</v>
      </c>
      <c r="M855" s="375">
        <v>15310</v>
      </c>
      <c r="V855" s="375" t="s">
        <v>596</v>
      </c>
    </row>
    <row r="856" spans="1:22" hidden="1" x14ac:dyDescent="0.25">
      <c r="A856" s="377">
        <v>45231</v>
      </c>
      <c r="B856" s="375">
        <v>1060000</v>
      </c>
      <c r="C856" s="375">
        <v>530000</v>
      </c>
      <c r="D856" s="375">
        <v>133</v>
      </c>
      <c r="E856" s="375">
        <v>265</v>
      </c>
      <c r="F856" s="375">
        <v>0.5</v>
      </c>
      <c r="G856" s="375">
        <v>35000</v>
      </c>
      <c r="H856" s="376">
        <v>6.8831168831168833E-3</v>
      </c>
      <c r="I856" s="375">
        <v>4000</v>
      </c>
      <c r="J856" s="375">
        <v>4400</v>
      </c>
      <c r="K856" s="375">
        <v>241</v>
      </c>
      <c r="L856" s="375">
        <v>20773</v>
      </c>
      <c r="M856" s="375">
        <v>14227</v>
      </c>
      <c r="V856" s="375" t="s">
        <v>596</v>
      </c>
    </row>
    <row r="857" spans="1:22" hidden="1" x14ac:dyDescent="0.25">
      <c r="A857" s="377">
        <v>45232</v>
      </c>
      <c r="B857" s="375">
        <v>768000</v>
      </c>
      <c r="C857" s="375">
        <v>384000</v>
      </c>
      <c r="D857" s="375">
        <v>94</v>
      </c>
      <c r="E857" s="375">
        <v>188</v>
      </c>
      <c r="F857" s="375">
        <v>0.5</v>
      </c>
      <c r="G857" s="375">
        <v>35000</v>
      </c>
      <c r="H857" s="376">
        <v>4.8761904761904758E-3</v>
      </c>
      <c r="I857" s="375">
        <v>4091</v>
      </c>
      <c r="J857" s="375">
        <v>4500</v>
      </c>
      <c r="K857" s="375">
        <v>171</v>
      </c>
      <c r="L857" s="375">
        <v>20773</v>
      </c>
      <c r="M857" s="375">
        <v>14227</v>
      </c>
      <c r="V857" s="375" t="s">
        <v>596</v>
      </c>
    </row>
    <row r="858" spans="1:22" hidden="1" x14ac:dyDescent="0.25">
      <c r="A858" s="377">
        <v>45233</v>
      </c>
      <c r="B858" s="375">
        <v>842000</v>
      </c>
      <c r="C858" s="375">
        <v>421000</v>
      </c>
      <c r="D858" s="375">
        <v>103</v>
      </c>
      <c r="E858" s="375">
        <v>206</v>
      </c>
      <c r="F858" s="375">
        <v>0.5</v>
      </c>
      <c r="G858" s="375">
        <v>35000</v>
      </c>
      <c r="H858" s="376">
        <v>5.3460317460317461E-3</v>
      </c>
      <c r="I858" s="375">
        <v>4091</v>
      </c>
      <c r="J858" s="375">
        <v>4500</v>
      </c>
      <c r="K858" s="375">
        <v>187</v>
      </c>
      <c r="L858" s="375">
        <v>19498</v>
      </c>
      <c r="M858" s="375">
        <v>15502</v>
      </c>
      <c r="V858" s="375" t="s">
        <v>596</v>
      </c>
    </row>
    <row r="859" spans="1:22" hidden="1" x14ac:dyDescent="0.25">
      <c r="A859" s="377">
        <v>45234</v>
      </c>
      <c r="B859" s="375">
        <v>120000</v>
      </c>
      <c r="C859" s="375">
        <v>60000</v>
      </c>
      <c r="D859" s="375">
        <v>15</v>
      </c>
      <c r="E859" s="375">
        <v>29</v>
      </c>
      <c r="F859" s="375">
        <v>0.5</v>
      </c>
      <c r="G859" s="375">
        <v>25000</v>
      </c>
      <c r="H859" s="376">
        <v>1.0666666666666667E-3</v>
      </c>
      <c r="I859" s="375">
        <v>4091</v>
      </c>
      <c r="J859" s="375">
        <v>4500</v>
      </c>
      <c r="K859" s="375">
        <v>27</v>
      </c>
      <c r="L859" s="375">
        <v>13653</v>
      </c>
      <c r="M859" s="375">
        <v>11347</v>
      </c>
      <c r="V859" s="375" t="s">
        <v>596</v>
      </c>
    </row>
    <row r="860" spans="1:22" hidden="1" x14ac:dyDescent="0.25">
      <c r="A860" s="377">
        <v>45235</v>
      </c>
      <c r="B860" s="375">
        <v>120000</v>
      </c>
      <c r="C860" s="375">
        <v>60000</v>
      </c>
      <c r="D860" s="375">
        <v>15</v>
      </c>
      <c r="E860" s="375">
        <v>29</v>
      </c>
      <c r="F860" s="375">
        <v>0.5</v>
      </c>
      <c r="G860" s="375">
        <v>22000</v>
      </c>
      <c r="H860" s="376">
        <v>1.2121212121212121E-3</v>
      </c>
      <c r="I860" s="375">
        <v>4091</v>
      </c>
      <c r="J860" s="375">
        <v>4500</v>
      </c>
      <c r="K860" s="375">
        <v>27</v>
      </c>
      <c r="L860" s="375">
        <v>10329</v>
      </c>
      <c r="M860" s="375">
        <v>11671</v>
      </c>
      <c r="V860" s="375" t="s">
        <v>596</v>
      </c>
    </row>
    <row r="861" spans="1:22" hidden="1" x14ac:dyDescent="0.25">
      <c r="A861" s="377">
        <v>45236</v>
      </c>
      <c r="B861" s="375">
        <v>120000</v>
      </c>
      <c r="C861" s="375">
        <v>60000</v>
      </c>
      <c r="D861" s="375">
        <v>15</v>
      </c>
      <c r="E861" s="375">
        <v>29</v>
      </c>
      <c r="F861" s="375">
        <v>0.5</v>
      </c>
      <c r="G861" s="375">
        <v>22000</v>
      </c>
      <c r="H861" s="376">
        <v>1.2121212121212121E-3</v>
      </c>
      <c r="I861" s="375">
        <v>4091</v>
      </c>
      <c r="J861" s="375">
        <v>4500</v>
      </c>
      <c r="K861" s="375">
        <v>27</v>
      </c>
      <c r="L861" s="375">
        <v>9731</v>
      </c>
      <c r="M861" s="375">
        <v>12269</v>
      </c>
      <c r="V861" s="375" t="s">
        <v>596</v>
      </c>
    </row>
    <row r="862" spans="1:22" hidden="1" x14ac:dyDescent="0.25">
      <c r="A862" s="377">
        <v>45237</v>
      </c>
      <c r="B862" s="375">
        <v>120000</v>
      </c>
      <c r="C862" s="375">
        <v>60000</v>
      </c>
      <c r="D862" s="375">
        <v>15</v>
      </c>
      <c r="E862" s="375">
        <v>29</v>
      </c>
      <c r="F862" s="375">
        <v>0.5</v>
      </c>
      <c r="G862" s="375">
        <v>22000</v>
      </c>
      <c r="H862" s="376">
        <v>1.2121212121212121E-3</v>
      </c>
      <c r="I862" s="375">
        <v>4091</v>
      </c>
      <c r="J862" s="375">
        <v>4500</v>
      </c>
      <c r="K862" s="375">
        <v>27</v>
      </c>
      <c r="L862" s="375">
        <v>9101</v>
      </c>
      <c r="M862" s="375">
        <v>12899</v>
      </c>
      <c r="V862" s="375" t="s">
        <v>596</v>
      </c>
    </row>
    <row r="863" spans="1:22" hidden="1" x14ac:dyDescent="0.25">
      <c r="A863" s="377">
        <v>45238</v>
      </c>
      <c r="B863" s="375">
        <v>120000</v>
      </c>
      <c r="C863" s="375">
        <v>60000</v>
      </c>
      <c r="D863" s="375">
        <v>15</v>
      </c>
      <c r="E863" s="375">
        <v>29</v>
      </c>
      <c r="F863" s="375">
        <v>0.5</v>
      </c>
      <c r="G863" s="375">
        <v>22000</v>
      </c>
      <c r="H863" s="376">
        <v>1.2121212121212121E-3</v>
      </c>
      <c r="I863" s="375">
        <v>4091</v>
      </c>
      <c r="J863" s="375">
        <v>4500</v>
      </c>
      <c r="K863" s="375">
        <v>27</v>
      </c>
      <c r="L863" s="375">
        <v>8580</v>
      </c>
      <c r="M863" s="375">
        <v>13420</v>
      </c>
      <c r="V863" s="375" t="s">
        <v>596</v>
      </c>
    </row>
    <row r="864" spans="1:22" hidden="1" x14ac:dyDescent="0.25">
      <c r="A864" s="377">
        <v>45239</v>
      </c>
      <c r="B864" s="375">
        <v>120000</v>
      </c>
      <c r="C864" s="375">
        <v>60000</v>
      </c>
      <c r="D864" s="375">
        <v>15</v>
      </c>
      <c r="E864" s="375">
        <v>29</v>
      </c>
      <c r="F864" s="375">
        <v>0.5</v>
      </c>
      <c r="G864" s="375">
        <v>22000</v>
      </c>
      <c r="H864" s="376">
        <v>1.2121212121212121E-3</v>
      </c>
      <c r="I864" s="375">
        <v>4091</v>
      </c>
      <c r="J864" s="375">
        <v>4500</v>
      </c>
      <c r="K864" s="375">
        <v>27</v>
      </c>
      <c r="L864" s="375">
        <v>7306</v>
      </c>
      <c r="M864" s="375">
        <v>14694</v>
      </c>
      <c r="V864" s="375" t="s">
        <v>596</v>
      </c>
    </row>
    <row r="865" spans="1:22" hidden="1" x14ac:dyDescent="0.25">
      <c r="A865" s="377">
        <v>45240</v>
      </c>
      <c r="B865" s="375">
        <v>1820000</v>
      </c>
      <c r="C865" s="375">
        <v>910000</v>
      </c>
      <c r="D865" s="375">
        <v>222</v>
      </c>
      <c r="E865" s="375">
        <v>445</v>
      </c>
      <c r="F865" s="375">
        <v>0.5</v>
      </c>
      <c r="G865" s="375">
        <v>40000</v>
      </c>
      <c r="H865" s="376">
        <v>1.0111111111111111E-2</v>
      </c>
      <c r="I865" s="375">
        <v>4091</v>
      </c>
      <c r="J865" s="375">
        <v>4500</v>
      </c>
      <c r="K865" s="375">
        <v>404</v>
      </c>
      <c r="L865" s="375">
        <v>25306</v>
      </c>
      <c r="M865" s="375">
        <v>14694</v>
      </c>
      <c r="V865" s="375" t="s">
        <v>596</v>
      </c>
    </row>
    <row r="866" spans="1:22" hidden="1" x14ac:dyDescent="0.25">
      <c r="A866" s="377">
        <v>45241</v>
      </c>
      <c r="B866" s="375">
        <v>1300000</v>
      </c>
      <c r="C866" s="375">
        <v>650000</v>
      </c>
      <c r="D866" s="375">
        <v>159</v>
      </c>
      <c r="E866" s="375">
        <v>318</v>
      </c>
      <c r="F866" s="375">
        <v>0.5</v>
      </c>
      <c r="G866" s="375">
        <v>40000</v>
      </c>
      <c r="H866" s="376">
        <v>7.2222222222222228E-3</v>
      </c>
      <c r="I866" s="375">
        <v>4091</v>
      </c>
      <c r="J866" s="375">
        <v>4500</v>
      </c>
      <c r="K866" s="375">
        <v>289</v>
      </c>
      <c r="L866" s="375">
        <v>24397</v>
      </c>
      <c r="M866" s="375">
        <v>15603</v>
      </c>
      <c r="V866" s="375" t="s">
        <v>596</v>
      </c>
    </row>
    <row r="867" spans="1:22" hidden="1" x14ac:dyDescent="0.25">
      <c r="A867" s="377">
        <v>45242</v>
      </c>
      <c r="B867" s="375">
        <v>60000</v>
      </c>
      <c r="C867" s="375">
        <v>30000</v>
      </c>
      <c r="D867" s="375">
        <v>4</v>
      </c>
      <c r="E867" s="375">
        <v>9</v>
      </c>
      <c r="F867" s="375">
        <v>0.5</v>
      </c>
      <c r="G867" s="375">
        <v>14000</v>
      </c>
      <c r="H867" s="376">
        <v>5.7142857142857147E-4</v>
      </c>
      <c r="I867" s="375">
        <v>6818</v>
      </c>
      <c r="J867" s="375">
        <v>7500</v>
      </c>
      <c r="K867" s="375">
        <v>8</v>
      </c>
      <c r="L867" s="375">
        <v>8373</v>
      </c>
      <c r="M867" s="375">
        <v>5627</v>
      </c>
      <c r="V867" s="375" t="s">
        <v>596</v>
      </c>
    </row>
    <row r="868" spans="1:22" hidden="1" x14ac:dyDescent="0.25">
      <c r="A868" s="377">
        <v>45243</v>
      </c>
      <c r="B868" s="375">
        <v>60000</v>
      </c>
      <c r="C868" s="375">
        <v>30000</v>
      </c>
      <c r="D868" s="375">
        <v>4</v>
      </c>
      <c r="E868" s="375">
        <v>9</v>
      </c>
      <c r="F868" s="375">
        <v>0.5</v>
      </c>
      <c r="G868" s="375">
        <v>14000</v>
      </c>
      <c r="H868" s="376">
        <v>5.7142857142857147E-4</v>
      </c>
      <c r="I868" s="375">
        <v>6818</v>
      </c>
      <c r="J868" s="375">
        <v>7500</v>
      </c>
      <c r="K868" s="375">
        <v>8</v>
      </c>
      <c r="L868" s="375">
        <v>8259</v>
      </c>
      <c r="M868" s="375">
        <v>5741</v>
      </c>
      <c r="V868" s="375" t="s">
        <v>596</v>
      </c>
    </row>
    <row r="869" spans="1:22" hidden="1" x14ac:dyDescent="0.25">
      <c r="A869" s="377">
        <v>45244</v>
      </c>
      <c r="B869" s="375">
        <v>60000</v>
      </c>
      <c r="C869" s="375">
        <v>30000</v>
      </c>
      <c r="D869" s="375">
        <v>4</v>
      </c>
      <c r="E869" s="375">
        <v>9</v>
      </c>
      <c r="F869" s="375">
        <v>0.5</v>
      </c>
      <c r="G869" s="375">
        <v>14000</v>
      </c>
      <c r="H869" s="376">
        <v>5.7142857142857147E-4</v>
      </c>
      <c r="I869" s="375">
        <v>6818</v>
      </c>
      <c r="J869" s="375">
        <v>7500</v>
      </c>
      <c r="K869" s="375">
        <v>8</v>
      </c>
      <c r="L869" s="375">
        <v>8763</v>
      </c>
      <c r="M869" s="375">
        <v>5237</v>
      </c>
      <c r="V869" s="375" t="s">
        <v>596</v>
      </c>
    </row>
    <row r="870" spans="1:22" hidden="1" x14ac:dyDescent="0.25">
      <c r="A870" s="377">
        <v>45245</v>
      </c>
      <c r="B870" s="375">
        <v>60000</v>
      </c>
      <c r="C870" s="375">
        <v>30000</v>
      </c>
      <c r="D870" s="375">
        <v>4</v>
      </c>
      <c r="E870" s="375">
        <v>9</v>
      </c>
      <c r="F870" s="375">
        <v>0.5</v>
      </c>
      <c r="G870" s="375">
        <v>14000</v>
      </c>
      <c r="H870" s="376">
        <v>5.7142857142857147E-4</v>
      </c>
      <c r="I870" s="375">
        <v>6818</v>
      </c>
      <c r="J870" s="375">
        <v>7500</v>
      </c>
      <c r="K870" s="375">
        <v>8</v>
      </c>
      <c r="L870" s="375">
        <v>8763</v>
      </c>
      <c r="M870" s="375">
        <v>5237</v>
      </c>
      <c r="V870" s="375" t="s">
        <v>596</v>
      </c>
    </row>
    <row r="871" spans="1:22" hidden="1" x14ac:dyDescent="0.25">
      <c r="A871" s="377">
        <v>45246</v>
      </c>
      <c r="B871" s="375">
        <v>60000</v>
      </c>
      <c r="C871" s="375">
        <v>30000</v>
      </c>
      <c r="D871" s="375">
        <v>4</v>
      </c>
      <c r="E871" s="375">
        <v>9</v>
      </c>
      <c r="F871" s="375">
        <v>0.5</v>
      </c>
      <c r="G871" s="375">
        <v>14000</v>
      </c>
      <c r="H871" s="376">
        <v>5.7142857142857147E-4</v>
      </c>
      <c r="I871" s="375">
        <v>6818</v>
      </c>
      <c r="J871" s="375">
        <v>7500</v>
      </c>
      <c r="K871" s="375">
        <v>8</v>
      </c>
      <c r="L871" s="375">
        <v>8763</v>
      </c>
      <c r="M871" s="375">
        <v>5237</v>
      </c>
      <c r="V871" s="375" t="s">
        <v>596</v>
      </c>
    </row>
    <row r="872" spans="1:22" hidden="1" x14ac:dyDescent="0.25">
      <c r="A872" s="377">
        <v>45247</v>
      </c>
      <c r="B872" s="375">
        <v>60000</v>
      </c>
      <c r="C872" s="375">
        <v>30000</v>
      </c>
      <c r="D872" s="375">
        <v>4</v>
      </c>
      <c r="E872" s="375">
        <v>9</v>
      </c>
      <c r="F872" s="375">
        <v>0.5</v>
      </c>
      <c r="G872" s="375">
        <v>14000</v>
      </c>
      <c r="H872" s="376">
        <v>5.7142857142857147E-4</v>
      </c>
      <c r="I872" s="375">
        <v>6818</v>
      </c>
      <c r="J872" s="375">
        <v>7500</v>
      </c>
      <c r="K872" s="375">
        <v>8</v>
      </c>
      <c r="L872" s="375">
        <v>8763</v>
      </c>
      <c r="M872" s="375">
        <v>5237</v>
      </c>
      <c r="V872" s="375" t="s">
        <v>596</v>
      </c>
    </row>
    <row r="873" spans="1:22" hidden="1" x14ac:dyDescent="0.25">
      <c r="A873" s="377">
        <v>45248</v>
      </c>
      <c r="B873" s="375">
        <v>60000</v>
      </c>
      <c r="C873" s="375">
        <v>30000</v>
      </c>
      <c r="D873" s="375">
        <v>4</v>
      </c>
      <c r="E873" s="375">
        <v>9</v>
      </c>
      <c r="F873" s="375">
        <v>0.5</v>
      </c>
      <c r="G873" s="375">
        <v>14000</v>
      </c>
      <c r="H873" s="376">
        <v>5.7142857142857147E-4</v>
      </c>
      <c r="I873" s="375">
        <v>6818</v>
      </c>
      <c r="J873" s="375">
        <v>7500</v>
      </c>
      <c r="K873" s="375">
        <v>8</v>
      </c>
      <c r="L873" s="375">
        <v>8763</v>
      </c>
      <c r="M873" s="375">
        <v>5237</v>
      </c>
      <c r="V873" s="375" t="s">
        <v>596</v>
      </c>
    </row>
    <row r="874" spans="1:22" hidden="1" x14ac:dyDescent="0.25">
      <c r="A874" s="377">
        <v>45249</v>
      </c>
      <c r="B874" s="375">
        <v>50000</v>
      </c>
      <c r="C874" s="375">
        <v>25000</v>
      </c>
      <c r="D874" s="375">
        <v>4</v>
      </c>
      <c r="E874" s="375">
        <v>7</v>
      </c>
      <c r="F874" s="375">
        <v>0.5</v>
      </c>
      <c r="G874" s="375">
        <v>14000</v>
      </c>
      <c r="H874" s="376">
        <v>4.7619047619047619E-4</v>
      </c>
      <c r="I874" s="375">
        <v>6818</v>
      </c>
      <c r="J874" s="375">
        <v>7500</v>
      </c>
      <c r="K874" s="375">
        <v>7</v>
      </c>
      <c r="L874" s="375">
        <v>8763</v>
      </c>
      <c r="M874" s="375">
        <v>5237</v>
      </c>
      <c r="V874" s="375" t="s">
        <v>596</v>
      </c>
    </row>
    <row r="875" spans="1:22" hidden="1" x14ac:dyDescent="0.25">
      <c r="A875" s="377">
        <v>45250</v>
      </c>
      <c r="B875" s="375">
        <v>50000</v>
      </c>
      <c r="C875" s="375">
        <v>25000</v>
      </c>
      <c r="D875" s="375">
        <v>4</v>
      </c>
      <c r="E875" s="375">
        <v>7</v>
      </c>
      <c r="F875" s="375">
        <v>0.5</v>
      </c>
      <c r="G875" s="375">
        <v>13500</v>
      </c>
      <c r="H875" s="376">
        <v>4.9382716049382717E-4</v>
      </c>
      <c r="I875" s="375">
        <v>6818</v>
      </c>
      <c r="J875" s="375">
        <v>7500</v>
      </c>
      <c r="K875" s="375">
        <v>7</v>
      </c>
      <c r="L875" s="375">
        <v>8263</v>
      </c>
      <c r="M875" s="375">
        <v>5237</v>
      </c>
      <c r="V875" s="375" t="s">
        <v>596</v>
      </c>
    </row>
    <row r="876" spans="1:22" hidden="1" x14ac:dyDescent="0.25">
      <c r="A876" s="377">
        <v>45251</v>
      </c>
      <c r="B876" s="375">
        <v>50000</v>
      </c>
      <c r="C876" s="375">
        <v>25000</v>
      </c>
      <c r="D876" s="375">
        <v>4</v>
      </c>
      <c r="E876" s="375">
        <v>7</v>
      </c>
      <c r="F876" s="375">
        <v>0.5</v>
      </c>
      <c r="G876" s="375">
        <v>13500</v>
      </c>
      <c r="H876" s="376">
        <v>4.9382716049382717E-4</v>
      </c>
      <c r="I876" s="375">
        <v>6818</v>
      </c>
      <c r="J876" s="375">
        <v>7500</v>
      </c>
      <c r="K876" s="375">
        <v>7</v>
      </c>
      <c r="L876" s="375">
        <v>8263</v>
      </c>
      <c r="M876" s="375">
        <v>5237</v>
      </c>
      <c r="V876" s="375" t="s">
        <v>596</v>
      </c>
    </row>
    <row r="877" spans="1:22" hidden="1" x14ac:dyDescent="0.25">
      <c r="A877" s="377">
        <v>45252</v>
      </c>
      <c r="B877" s="375">
        <v>50000</v>
      </c>
      <c r="C877" s="375">
        <v>25000</v>
      </c>
      <c r="D877" s="375">
        <v>4</v>
      </c>
      <c r="E877" s="375">
        <v>7</v>
      </c>
      <c r="F877" s="375">
        <v>0.5</v>
      </c>
      <c r="G877" s="375">
        <v>13500</v>
      </c>
      <c r="H877" s="376">
        <v>4.9382716049382717E-4</v>
      </c>
      <c r="I877" s="375">
        <v>6818</v>
      </c>
      <c r="J877" s="375">
        <v>7500</v>
      </c>
      <c r="K877" s="375">
        <v>7</v>
      </c>
      <c r="L877" s="375">
        <v>8263</v>
      </c>
      <c r="M877" s="375">
        <v>5237</v>
      </c>
      <c r="V877" s="375" t="s">
        <v>596</v>
      </c>
    </row>
    <row r="878" spans="1:22" hidden="1" x14ac:dyDescent="0.25">
      <c r="A878" s="377">
        <v>45253</v>
      </c>
      <c r="B878" s="375">
        <v>50000</v>
      </c>
      <c r="C878" s="375">
        <v>25000</v>
      </c>
      <c r="D878" s="375">
        <v>4</v>
      </c>
      <c r="E878" s="375">
        <v>7</v>
      </c>
      <c r="F878" s="375">
        <v>0.5</v>
      </c>
      <c r="G878" s="375">
        <v>13500</v>
      </c>
      <c r="H878" s="376">
        <v>4.9382716049382717E-4</v>
      </c>
      <c r="I878" s="375">
        <v>6818</v>
      </c>
      <c r="J878" s="375">
        <v>7500</v>
      </c>
      <c r="K878" s="375">
        <v>7</v>
      </c>
      <c r="L878" s="375">
        <v>8263</v>
      </c>
      <c r="M878" s="375">
        <v>5237</v>
      </c>
      <c r="V878" s="375" t="s">
        <v>596</v>
      </c>
    </row>
    <row r="879" spans="1:22" hidden="1" x14ac:dyDescent="0.25">
      <c r="A879" s="377">
        <v>45254</v>
      </c>
      <c r="B879" s="375">
        <v>70000</v>
      </c>
      <c r="C879" s="375">
        <v>35000</v>
      </c>
      <c r="D879" s="375">
        <v>5</v>
      </c>
      <c r="E879" s="375">
        <v>10</v>
      </c>
      <c r="F879" s="375">
        <v>0.5</v>
      </c>
      <c r="G879" s="375">
        <v>13500</v>
      </c>
      <c r="H879" s="376">
        <v>6.9135802469135811E-4</v>
      </c>
      <c r="I879" s="375">
        <v>6818</v>
      </c>
      <c r="J879" s="375">
        <v>7500</v>
      </c>
      <c r="K879" s="375">
        <v>9</v>
      </c>
      <c r="L879" s="375">
        <v>8263</v>
      </c>
      <c r="M879" s="375">
        <v>5237</v>
      </c>
      <c r="V879" s="375" t="s">
        <v>596</v>
      </c>
    </row>
    <row r="880" spans="1:22" hidden="1" x14ac:dyDescent="0.25">
      <c r="A880" s="377">
        <v>45255</v>
      </c>
      <c r="B880" s="375">
        <v>70000</v>
      </c>
      <c r="C880" s="375">
        <v>35000</v>
      </c>
      <c r="D880" s="375">
        <v>5</v>
      </c>
      <c r="E880" s="375">
        <v>10</v>
      </c>
      <c r="F880" s="375">
        <v>0.5</v>
      </c>
      <c r="G880" s="375">
        <v>13500</v>
      </c>
      <c r="H880" s="376">
        <v>6.9135802469135811E-4</v>
      </c>
      <c r="I880" s="375">
        <v>6818</v>
      </c>
      <c r="J880" s="375">
        <v>7500</v>
      </c>
      <c r="K880" s="375">
        <v>9</v>
      </c>
      <c r="L880" s="375">
        <v>8263</v>
      </c>
      <c r="M880" s="375">
        <v>5237</v>
      </c>
      <c r="V880" s="375" t="s">
        <v>596</v>
      </c>
    </row>
    <row r="881" spans="1:22" hidden="1" x14ac:dyDescent="0.25">
      <c r="A881" s="377">
        <v>45256</v>
      </c>
      <c r="B881" s="375">
        <v>70000</v>
      </c>
      <c r="C881" s="375">
        <v>35000</v>
      </c>
      <c r="D881" s="375">
        <v>5</v>
      </c>
      <c r="E881" s="375">
        <v>10</v>
      </c>
      <c r="F881" s="375">
        <v>0.5</v>
      </c>
      <c r="G881" s="375">
        <v>13500</v>
      </c>
      <c r="H881" s="376">
        <v>6.9135802469135811E-4</v>
      </c>
      <c r="I881" s="375">
        <v>6818</v>
      </c>
      <c r="J881" s="375">
        <v>7500</v>
      </c>
      <c r="K881" s="375">
        <v>9</v>
      </c>
      <c r="L881" s="375">
        <v>8263</v>
      </c>
      <c r="M881" s="375">
        <v>5237</v>
      </c>
      <c r="V881" s="375" t="s">
        <v>596</v>
      </c>
    </row>
    <row r="882" spans="1:22" hidden="1" x14ac:dyDescent="0.25">
      <c r="A882" s="377">
        <v>45257</v>
      </c>
      <c r="B882" s="375">
        <v>70000</v>
      </c>
      <c r="C882" s="375">
        <v>35000</v>
      </c>
      <c r="D882" s="375">
        <v>5</v>
      </c>
      <c r="E882" s="375">
        <v>10</v>
      </c>
      <c r="F882" s="375">
        <v>0.5</v>
      </c>
      <c r="G882" s="375">
        <v>13500</v>
      </c>
      <c r="H882" s="376">
        <v>6.9135802469135811E-4</v>
      </c>
      <c r="I882" s="375">
        <v>6818</v>
      </c>
      <c r="J882" s="375">
        <v>7500</v>
      </c>
      <c r="K882" s="375">
        <v>9</v>
      </c>
      <c r="L882" s="375">
        <v>8263</v>
      </c>
      <c r="M882" s="375">
        <v>5237</v>
      </c>
      <c r="V882" s="375" t="s">
        <v>596</v>
      </c>
    </row>
    <row r="883" spans="1:22" hidden="1" x14ac:dyDescent="0.25">
      <c r="A883" s="377">
        <v>45258</v>
      </c>
      <c r="B883" s="375">
        <v>70000</v>
      </c>
      <c r="C883" s="375">
        <v>35000</v>
      </c>
      <c r="D883" s="375">
        <v>5</v>
      </c>
      <c r="E883" s="375">
        <v>10</v>
      </c>
      <c r="F883" s="375">
        <v>0.5</v>
      </c>
      <c r="G883" s="375">
        <v>13500</v>
      </c>
      <c r="H883" s="376">
        <v>6.9135802469135811E-4</v>
      </c>
      <c r="I883" s="375">
        <v>6818</v>
      </c>
      <c r="J883" s="375">
        <v>7500</v>
      </c>
      <c r="K883" s="375">
        <v>9</v>
      </c>
      <c r="L883" s="375">
        <v>8263</v>
      </c>
      <c r="M883" s="375">
        <v>5237</v>
      </c>
      <c r="V883" s="375" t="s">
        <v>596</v>
      </c>
    </row>
    <row r="884" spans="1:22" hidden="1" x14ac:dyDescent="0.25">
      <c r="A884" s="377">
        <v>45259</v>
      </c>
      <c r="B884" s="375">
        <v>70000</v>
      </c>
      <c r="C884" s="375">
        <v>35000</v>
      </c>
      <c r="D884" s="375">
        <v>5</v>
      </c>
      <c r="E884" s="375">
        <v>10</v>
      </c>
      <c r="F884" s="375">
        <v>0.5</v>
      </c>
      <c r="G884" s="375">
        <v>13500</v>
      </c>
      <c r="H884" s="376">
        <v>6.9135802469135811E-4</v>
      </c>
      <c r="I884" s="375">
        <v>6818</v>
      </c>
      <c r="J884" s="375">
        <v>7500</v>
      </c>
      <c r="K884" s="375">
        <v>9</v>
      </c>
      <c r="L884" s="375">
        <v>8263</v>
      </c>
      <c r="M884" s="375">
        <v>5237</v>
      </c>
      <c r="V884" s="375" t="s">
        <v>596</v>
      </c>
    </row>
    <row r="885" spans="1:22" hidden="1" x14ac:dyDescent="0.25">
      <c r="A885" s="377">
        <v>45260</v>
      </c>
      <c r="B885" s="375">
        <v>70000</v>
      </c>
      <c r="C885" s="375">
        <v>35000</v>
      </c>
      <c r="D885" s="375">
        <v>5</v>
      </c>
      <c r="E885" s="375">
        <v>10</v>
      </c>
      <c r="F885" s="375">
        <v>0.5</v>
      </c>
      <c r="G885" s="375">
        <v>13500</v>
      </c>
      <c r="H885" s="376">
        <v>6.9135802469135811E-4</v>
      </c>
      <c r="I885" s="375">
        <v>6818</v>
      </c>
      <c r="J885" s="375">
        <v>7500</v>
      </c>
      <c r="K885" s="375">
        <v>9</v>
      </c>
      <c r="L885" s="375">
        <v>8263</v>
      </c>
      <c r="M885" s="375">
        <v>5237</v>
      </c>
      <c r="V885" s="375" t="s">
        <v>596</v>
      </c>
    </row>
    <row r="886" spans="1:22" hidden="1" x14ac:dyDescent="0.25">
      <c r="A886" s="377">
        <v>45261</v>
      </c>
      <c r="B886" s="375">
        <v>60000</v>
      </c>
      <c r="C886" s="375">
        <v>30000</v>
      </c>
      <c r="D886" s="375">
        <v>6</v>
      </c>
      <c r="E886" s="375">
        <v>12</v>
      </c>
      <c r="F886" s="375">
        <v>0.5</v>
      </c>
      <c r="G886" s="375">
        <v>13660</v>
      </c>
      <c r="H886" s="376">
        <v>8.0527928549765199E-4</v>
      </c>
      <c r="I886" s="375">
        <v>5000</v>
      </c>
      <c r="J886" s="375">
        <v>5455</v>
      </c>
      <c r="K886" s="375">
        <v>11</v>
      </c>
      <c r="L886" s="375">
        <v>8196</v>
      </c>
      <c r="M886" s="375">
        <v>5464</v>
      </c>
      <c r="V886" s="375" t="s">
        <v>596</v>
      </c>
    </row>
    <row r="887" spans="1:22" hidden="1" x14ac:dyDescent="0.25">
      <c r="A887" s="377">
        <v>45262</v>
      </c>
      <c r="B887" s="375">
        <v>70000</v>
      </c>
      <c r="C887" s="375">
        <v>35000</v>
      </c>
      <c r="D887" s="375">
        <v>7</v>
      </c>
      <c r="E887" s="375">
        <v>15</v>
      </c>
      <c r="F887" s="375">
        <v>0.5</v>
      </c>
      <c r="G887" s="375">
        <v>14907</v>
      </c>
      <c r="H887" s="376">
        <v>8.7204566580526867E-4</v>
      </c>
      <c r="I887" s="375">
        <v>4667</v>
      </c>
      <c r="J887" s="375">
        <v>5385</v>
      </c>
      <c r="K887" s="375">
        <v>13</v>
      </c>
      <c r="L887" s="375">
        <v>8944</v>
      </c>
      <c r="M887" s="375">
        <v>5963</v>
      </c>
      <c r="V887" s="375" t="s">
        <v>596</v>
      </c>
    </row>
    <row r="888" spans="1:22" hidden="1" x14ac:dyDescent="0.25">
      <c r="A888" s="377">
        <v>45263</v>
      </c>
      <c r="B888" s="375">
        <v>70000</v>
      </c>
      <c r="C888" s="375">
        <v>35000</v>
      </c>
      <c r="D888" s="375">
        <v>7</v>
      </c>
      <c r="E888" s="375">
        <v>15</v>
      </c>
      <c r="F888" s="375">
        <v>0.5</v>
      </c>
      <c r="G888" s="375">
        <v>14907</v>
      </c>
      <c r="H888" s="376">
        <v>8.7204566580526867E-4</v>
      </c>
      <c r="I888" s="375">
        <v>4667</v>
      </c>
      <c r="J888" s="375">
        <v>5385</v>
      </c>
      <c r="K888" s="375">
        <v>13</v>
      </c>
      <c r="L888" s="375">
        <v>8944</v>
      </c>
      <c r="M888" s="375">
        <v>5963</v>
      </c>
      <c r="V888" s="375" t="s">
        <v>596</v>
      </c>
    </row>
    <row r="889" spans="1:22" hidden="1" x14ac:dyDescent="0.25">
      <c r="A889" s="377">
        <v>45264</v>
      </c>
      <c r="B889" s="375">
        <v>60000</v>
      </c>
      <c r="C889" s="375">
        <v>30000</v>
      </c>
      <c r="D889" s="375">
        <v>6</v>
      </c>
      <c r="E889" s="375">
        <v>11</v>
      </c>
      <c r="F889" s="375">
        <v>0.5</v>
      </c>
      <c r="G889" s="375">
        <v>14907</v>
      </c>
      <c r="H889" s="376">
        <v>7.3788479414291968E-4</v>
      </c>
      <c r="I889" s="375">
        <v>5455</v>
      </c>
      <c r="J889" s="375">
        <v>5455</v>
      </c>
      <c r="K889" s="375">
        <v>11</v>
      </c>
      <c r="L889" s="375">
        <v>8944</v>
      </c>
      <c r="M889" s="375">
        <v>5963</v>
      </c>
      <c r="V889" s="375" t="s">
        <v>596</v>
      </c>
    </row>
    <row r="890" spans="1:22" hidden="1" x14ac:dyDescent="0.25">
      <c r="A890" s="377">
        <v>45265</v>
      </c>
      <c r="B890" s="375">
        <v>200000</v>
      </c>
      <c r="C890" s="375">
        <v>100000</v>
      </c>
      <c r="D890" s="375">
        <v>19</v>
      </c>
      <c r="E890" s="375">
        <v>38</v>
      </c>
      <c r="F890" s="375">
        <v>0.5</v>
      </c>
      <c r="G890" s="375">
        <v>14907</v>
      </c>
      <c r="H890" s="376">
        <v>2.213654382428759E-3</v>
      </c>
      <c r="I890" s="375">
        <v>5263</v>
      </c>
      <c r="J890" s="375">
        <v>6061</v>
      </c>
      <c r="K890" s="375">
        <v>33</v>
      </c>
      <c r="L890" s="375">
        <v>8944</v>
      </c>
      <c r="M890" s="375">
        <v>5963</v>
      </c>
      <c r="V890" s="375" t="s">
        <v>596</v>
      </c>
    </row>
    <row r="891" spans="1:22" hidden="1" x14ac:dyDescent="0.25">
      <c r="A891" s="377">
        <v>45266</v>
      </c>
      <c r="B891" s="375">
        <v>180000</v>
      </c>
      <c r="C891" s="375">
        <v>90000</v>
      </c>
      <c r="D891" s="375">
        <v>17</v>
      </c>
      <c r="E891" s="375">
        <v>33</v>
      </c>
      <c r="F891" s="375">
        <v>0.5</v>
      </c>
      <c r="G891" s="375">
        <v>15550</v>
      </c>
      <c r="H891" s="376">
        <v>1.929219094981887E-3</v>
      </c>
      <c r="I891" s="375">
        <v>5455</v>
      </c>
      <c r="J891" s="375">
        <v>6000</v>
      </c>
      <c r="K891" s="375">
        <v>30</v>
      </c>
      <c r="L891" s="375">
        <v>9330</v>
      </c>
      <c r="M891" s="375">
        <v>6220</v>
      </c>
      <c r="V891" s="375" t="s">
        <v>596</v>
      </c>
    </row>
    <row r="892" spans="1:22" hidden="1" x14ac:dyDescent="0.25">
      <c r="A892" s="377">
        <v>45267</v>
      </c>
      <c r="B892" s="375">
        <v>150000</v>
      </c>
      <c r="C892" s="375">
        <v>75000</v>
      </c>
      <c r="D892" s="375">
        <v>15</v>
      </c>
      <c r="E892" s="375">
        <v>30</v>
      </c>
      <c r="F892" s="375">
        <v>0.5</v>
      </c>
      <c r="G892" s="375">
        <v>15868</v>
      </c>
      <c r="H892" s="376">
        <v>1.6385062984462199E-3</v>
      </c>
      <c r="I892" s="375">
        <v>5000</v>
      </c>
      <c r="J892" s="375">
        <v>5769</v>
      </c>
      <c r="K892" s="375">
        <v>26</v>
      </c>
      <c r="L892" s="375">
        <v>9521</v>
      </c>
      <c r="M892" s="375">
        <v>6347</v>
      </c>
      <c r="V892" s="375" t="s">
        <v>596</v>
      </c>
    </row>
    <row r="893" spans="1:22" hidden="1" x14ac:dyDescent="0.25">
      <c r="A893" s="377">
        <v>45268</v>
      </c>
      <c r="B893" s="375">
        <v>150000</v>
      </c>
      <c r="C893" s="375">
        <v>75000</v>
      </c>
      <c r="D893" s="375">
        <v>14</v>
      </c>
      <c r="E893" s="375">
        <v>28</v>
      </c>
      <c r="F893" s="375">
        <v>0.5</v>
      </c>
      <c r="G893" s="375">
        <v>15868</v>
      </c>
      <c r="H893" s="376">
        <v>1.5754868254290576E-3</v>
      </c>
      <c r="I893" s="375">
        <v>5357</v>
      </c>
      <c r="J893" s="375">
        <v>6000</v>
      </c>
      <c r="K893" s="375">
        <v>25</v>
      </c>
      <c r="L893" s="375">
        <v>9521</v>
      </c>
      <c r="M893" s="375">
        <v>6347</v>
      </c>
      <c r="V893" s="375" t="s">
        <v>596</v>
      </c>
    </row>
    <row r="894" spans="1:22" hidden="1" x14ac:dyDescent="0.25">
      <c r="A894" s="377">
        <v>45269</v>
      </c>
      <c r="B894" s="375">
        <v>900000</v>
      </c>
      <c r="C894" s="375">
        <v>450000</v>
      </c>
      <c r="D894" s="375">
        <v>90</v>
      </c>
      <c r="E894" s="375">
        <v>180</v>
      </c>
      <c r="F894" s="375">
        <v>0.5</v>
      </c>
      <c r="G894" s="375">
        <v>15868</v>
      </c>
      <c r="H894" s="376">
        <v>9.2979550353190273E-3</v>
      </c>
      <c r="I894" s="375">
        <v>5000</v>
      </c>
      <c r="J894" s="375">
        <v>6100</v>
      </c>
      <c r="K894" s="375">
        <v>148</v>
      </c>
      <c r="L894" s="375">
        <v>9521</v>
      </c>
      <c r="M894" s="375">
        <v>6347</v>
      </c>
      <c r="V894" s="375" t="s">
        <v>596</v>
      </c>
    </row>
    <row r="895" spans="1:22" hidden="1" x14ac:dyDescent="0.25">
      <c r="A895" s="377">
        <v>45270</v>
      </c>
      <c r="B895" s="375">
        <v>250000</v>
      </c>
      <c r="C895" s="375">
        <v>125000</v>
      </c>
      <c r="D895" s="375">
        <v>25</v>
      </c>
      <c r="E895" s="375">
        <v>50</v>
      </c>
      <c r="F895" s="375">
        <v>0.5</v>
      </c>
      <c r="G895" s="375">
        <v>15868</v>
      </c>
      <c r="H895" s="376">
        <v>2.4810816148489096E-3</v>
      </c>
      <c r="I895" s="375">
        <v>4975</v>
      </c>
      <c r="J895" s="375">
        <v>6350</v>
      </c>
      <c r="K895" s="375">
        <v>39</v>
      </c>
      <c r="L895" s="375">
        <v>9521</v>
      </c>
      <c r="M895" s="375">
        <v>6347</v>
      </c>
      <c r="V895" s="375" t="s">
        <v>596</v>
      </c>
    </row>
    <row r="896" spans="1:22" hidden="1" x14ac:dyDescent="0.25">
      <c r="A896" s="377">
        <v>45271</v>
      </c>
      <c r="B896" s="375">
        <v>355000</v>
      </c>
      <c r="C896" s="375">
        <v>177500</v>
      </c>
      <c r="D896" s="375">
        <v>36</v>
      </c>
      <c r="E896" s="375">
        <v>72</v>
      </c>
      <c r="F896" s="375">
        <v>0.5</v>
      </c>
      <c r="G896" s="375">
        <v>15868</v>
      </c>
      <c r="H896" s="376">
        <v>4.0962657461155495E-3</v>
      </c>
      <c r="I896" s="375">
        <v>4931</v>
      </c>
      <c r="J896" s="375">
        <v>5462</v>
      </c>
      <c r="K896" s="375">
        <v>65</v>
      </c>
      <c r="L896" s="375">
        <v>9521</v>
      </c>
      <c r="M896" s="375">
        <v>6347</v>
      </c>
      <c r="V896" s="375" t="s">
        <v>596</v>
      </c>
    </row>
    <row r="897" spans="1:22" hidden="1" x14ac:dyDescent="0.25">
      <c r="A897" s="377">
        <v>45272</v>
      </c>
      <c r="B897" s="375">
        <v>500000</v>
      </c>
      <c r="C897" s="375">
        <v>250000</v>
      </c>
      <c r="D897" s="375">
        <v>46</v>
      </c>
      <c r="E897" s="375">
        <v>92</v>
      </c>
      <c r="F897" s="375">
        <v>0.5</v>
      </c>
      <c r="G897" s="375">
        <v>15868</v>
      </c>
      <c r="H897" s="376">
        <v>5.3566552064587955E-3</v>
      </c>
      <c r="I897" s="375">
        <v>5435</v>
      </c>
      <c r="J897" s="375">
        <v>5882</v>
      </c>
      <c r="K897" s="375">
        <v>85</v>
      </c>
      <c r="L897" s="375">
        <v>9521</v>
      </c>
      <c r="M897" s="375">
        <v>6347</v>
      </c>
      <c r="V897" s="375" t="s">
        <v>596</v>
      </c>
    </row>
    <row r="898" spans="1:22" hidden="1" x14ac:dyDescent="0.25">
      <c r="A898" s="377">
        <v>45273</v>
      </c>
      <c r="B898" s="375">
        <v>80000</v>
      </c>
      <c r="C898" s="375">
        <v>40000</v>
      </c>
      <c r="D898" s="375">
        <v>9</v>
      </c>
      <c r="E898" s="375">
        <v>18</v>
      </c>
      <c r="F898" s="375">
        <v>0.5</v>
      </c>
      <c r="G898" s="375">
        <v>13797</v>
      </c>
      <c r="H898" s="376">
        <v>1.0872008335751355E-3</v>
      </c>
      <c r="I898" s="375">
        <v>4444</v>
      </c>
      <c r="J898" s="375">
        <v>5333</v>
      </c>
      <c r="K898" s="375">
        <v>15</v>
      </c>
      <c r="L898" s="375">
        <v>7588</v>
      </c>
      <c r="M898" s="375">
        <v>6209</v>
      </c>
      <c r="V898" s="375" t="s">
        <v>596</v>
      </c>
    </row>
    <row r="899" spans="1:22" hidden="1" x14ac:dyDescent="0.25">
      <c r="A899" s="377">
        <v>45274</v>
      </c>
      <c r="B899" s="375">
        <v>90000</v>
      </c>
      <c r="C899" s="375">
        <v>45000</v>
      </c>
      <c r="D899" s="375">
        <v>9</v>
      </c>
      <c r="E899" s="375">
        <v>17</v>
      </c>
      <c r="F899" s="375">
        <v>0.5</v>
      </c>
      <c r="G899" s="375">
        <v>13797</v>
      </c>
      <c r="H899" s="376">
        <v>1.1596808891468113E-3</v>
      </c>
      <c r="I899" s="375">
        <v>5294</v>
      </c>
      <c r="J899" s="375">
        <v>5625</v>
      </c>
      <c r="K899" s="375">
        <v>16</v>
      </c>
      <c r="L899" s="375">
        <v>7588</v>
      </c>
      <c r="M899" s="375">
        <v>6209</v>
      </c>
      <c r="V899" s="375" t="s">
        <v>596</v>
      </c>
    </row>
    <row r="900" spans="1:22" hidden="1" x14ac:dyDescent="0.25">
      <c r="A900" s="377">
        <v>45275</v>
      </c>
      <c r="B900" s="375">
        <v>75000</v>
      </c>
      <c r="C900" s="375">
        <v>37500</v>
      </c>
      <c r="D900" s="375">
        <v>9</v>
      </c>
      <c r="E900" s="375">
        <v>17</v>
      </c>
      <c r="F900" s="375">
        <v>0.5</v>
      </c>
      <c r="G900" s="375">
        <v>20000</v>
      </c>
      <c r="H900" s="376">
        <v>7.5000000000000002E-4</v>
      </c>
      <c r="I900" s="375">
        <v>4412</v>
      </c>
      <c r="J900" s="375">
        <v>5000</v>
      </c>
      <c r="K900" s="375">
        <v>15</v>
      </c>
      <c r="L900" s="375">
        <v>21123</v>
      </c>
      <c r="M900" s="375">
        <v>11374</v>
      </c>
      <c r="V900" s="375" t="s">
        <v>596</v>
      </c>
    </row>
    <row r="901" spans="1:22" hidden="1" x14ac:dyDescent="0.25">
      <c r="A901" s="377">
        <v>45276</v>
      </c>
      <c r="B901" s="375">
        <v>80000</v>
      </c>
      <c r="C901" s="375">
        <v>40000</v>
      </c>
      <c r="D901" s="375">
        <v>10</v>
      </c>
      <c r="E901" s="375">
        <v>20</v>
      </c>
      <c r="F901" s="375">
        <v>0.5</v>
      </c>
      <c r="G901" s="375">
        <v>25000</v>
      </c>
      <c r="H901" s="376">
        <v>6.4000000000000005E-4</v>
      </c>
      <c r="I901" s="375">
        <v>4000</v>
      </c>
      <c r="J901" s="375">
        <v>5000</v>
      </c>
      <c r="K901" s="375">
        <v>16</v>
      </c>
      <c r="L901" s="375">
        <v>21123</v>
      </c>
      <c r="M901" s="375">
        <v>11374</v>
      </c>
      <c r="V901" s="375" t="s">
        <v>596</v>
      </c>
    </row>
    <row r="902" spans="1:22" hidden="1" x14ac:dyDescent="0.25">
      <c r="A902" s="377">
        <v>45277</v>
      </c>
      <c r="B902" s="375">
        <v>80000</v>
      </c>
      <c r="C902" s="375">
        <v>40000</v>
      </c>
      <c r="D902" s="375">
        <v>8</v>
      </c>
      <c r="E902" s="375">
        <v>15</v>
      </c>
      <c r="F902" s="375">
        <v>0.5</v>
      </c>
      <c r="G902" s="375">
        <v>32000</v>
      </c>
      <c r="H902" s="376">
        <v>4.6874999999999998E-4</v>
      </c>
      <c r="I902" s="375">
        <v>5333</v>
      </c>
      <c r="J902" s="375">
        <v>5333</v>
      </c>
      <c r="K902" s="375">
        <v>15</v>
      </c>
      <c r="L902" s="375">
        <v>21123</v>
      </c>
      <c r="M902" s="375">
        <v>11374</v>
      </c>
      <c r="V902" s="375" t="s">
        <v>596</v>
      </c>
    </row>
    <row r="903" spans="1:22" hidden="1" x14ac:dyDescent="0.25">
      <c r="A903" s="377">
        <v>45278</v>
      </c>
      <c r="B903" s="375">
        <v>80000</v>
      </c>
      <c r="C903" s="375">
        <v>40000</v>
      </c>
      <c r="D903" s="375">
        <v>9</v>
      </c>
      <c r="E903" s="375">
        <v>17</v>
      </c>
      <c r="F903" s="375">
        <v>0.5</v>
      </c>
      <c r="G903" s="375">
        <v>32000</v>
      </c>
      <c r="H903" s="376">
        <v>4.6874999999999998E-4</v>
      </c>
      <c r="I903" s="375">
        <v>4706</v>
      </c>
      <c r="J903" s="375">
        <v>5333</v>
      </c>
      <c r="K903" s="375">
        <v>15</v>
      </c>
      <c r="L903" s="375">
        <v>21123</v>
      </c>
      <c r="M903" s="375">
        <v>11374</v>
      </c>
      <c r="V903" s="375" t="s">
        <v>596</v>
      </c>
    </row>
    <row r="904" spans="1:22" hidden="1" x14ac:dyDescent="0.25">
      <c r="A904" s="377">
        <v>45279</v>
      </c>
      <c r="B904" s="375">
        <v>85000</v>
      </c>
      <c r="C904" s="375">
        <v>42500</v>
      </c>
      <c r="D904" s="375">
        <v>11</v>
      </c>
      <c r="E904" s="375">
        <v>21</v>
      </c>
      <c r="F904" s="375">
        <v>0.5</v>
      </c>
      <c r="G904" s="375">
        <v>50000</v>
      </c>
      <c r="H904" s="376">
        <v>3.2000000000000003E-4</v>
      </c>
      <c r="I904" s="375">
        <v>4048</v>
      </c>
      <c r="J904" s="375">
        <v>5313</v>
      </c>
      <c r="K904" s="375">
        <v>16</v>
      </c>
      <c r="L904" s="375">
        <v>20566</v>
      </c>
      <c r="M904" s="375">
        <v>11074</v>
      </c>
      <c r="V904" s="375" t="s">
        <v>596</v>
      </c>
    </row>
    <row r="905" spans="1:22" hidden="1" x14ac:dyDescent="0.25">
      <c r="A905" s="377">
        <v>45280</v>
      </c>
      <c r="B905" s="375">
        <v>100000</v>
      </c>
      <c r="C905" s="375">
        <v>50000</v>
      </c>
      <c r="D905" s="375">
        <v>11</v>
      </c>
      <c r="E905" s="375">
        <v>21</v>
      </c>
      <c r="F905" s="375">
        <v>0.5</v>
      </c>
      <c r="G905" s="375">
        <v>32000</v>
      </c>
      <c r="H905" s="376">
        <v>5.6249999999999996E-4</v>
      </c>
      <c r="I905" s="375">
        <v>4762</v>
      </c>
      <c r="J905" s="375">
        <v>5556</v>
      </c>
      <c r="K905" s="375">
        <v>18</v>
      </c>
      <c r="L905" s="375">
        <v>20751</v>
      </c>
      <c r="M905" s="375">
        <v>11174</v>
      </c>
      <c r="V905" s="375" t="s">
        <v>596</v>
      </c>
    </row>
    <row r="906" spans="1:22" hidden="1" x14ac:dyDescent="0.25">
      <c r="A906" s="377">
        <v>45281</v>
      </c>
      <c r="B906" s="375">
        <v>310000</v>
      </c>
      <c r="C906" s="375">
        <v>155000</v>
      </c>
      <c r="D906" s="375">
        <v>28</v>
      </c>
      <c r="E906" s="375">
        <v>55</v>
      </c>
      <c r="F906" s="375">
        <v>0.5</v>
      </c>
      <c r="G906" s="375">
        <v>32000</v>
      </c>
      <c r="H906" s="376">
        <v>1.4375E-3</v>
      </c>
      <c r="I906" s="375">
        <v>5636</v>
      </c>
      <c r="J906" s="375">
        <v>6739</v>
      </c>
      <c r="K906" s="375">
        <v>46</v>
      </c>
      <c r="L906" s="375">
        <v>20751</v>
      </c>
      <c r="M906" s="375">
        <v>11174</v>
      </c>
      <c r="V906" s="375" t="s">
        <v>596</v>
      </c>
    </row>
    <row r="907" spans="1:22" hidden="1" x14ac:dyDescent="0.25">
      <c r="A907" s="377">
        <v>45282</v>
      </c>
      <c r="B907" s="375">
        <v>592000</v>
      </c>
      <c r="C907" s="375">
        <v>296000</v>
      </c>
      <c r="D907" s="375">
        <v>61</v>
      </c>
      <c r="E907" s="375">
        <v>121</v>
      </c>
      <c r="F907" s="375">
        <v>0.5</v>
      </c>
      <c r="G907" s="375">
        <v>90000</v>
      </c>
      <c r="H907" s="376">
        <v>1.0888888888888888E-3</v>
      </c>
      <c r="I907" s="375">
        <v>4893</v>
      </c>
      <c r="J907" s="375">
        <v>6041</v>
      </c>
      <c r="K907" s="375">
        <v>98</v>
      </c>
      <c r="L907" s="375">
        <v>20751</v>
      </c>
      <c r="M907" s="375">
        <v>11174</v>
      </c>
      <c r="V907" s="375" t="s">
        <v>596</v>
      </c>
    </row>
    <row r="908" spans="1:22" hidden="1" x14ac:dyDescent="0.25">
      <c r="A908" s="377">
        <v>45283</v>
      </c>
      <c r="B908" s="375">
        <v>302000</v>
      </c>
      <c r="C908" s="375">
        <v>151000</v>
      </c>
      <c r="D908" s="375">
        <v>28</v>
      </c>
      <c r="E908" s="375">
        <v>56</v>
      </c>
      <c r="F908" s="375">
        <v>0.5</v>
      </c>
      <c r="G908" s="375">
        <v>90000</v>
      </c>
      <c r="H908" s="376">
        <v>5.5555555555555556E-4</v>
      </c>
      <c r="I908" s="375">
        <v>5393</v>
      </c>
      <c r="J908" s="375">
        <v>6040</v>
      </c>
      <c r="K908" s="375">
        <v>50</v>
      </c>
      <c r="L908" s="375">
        <v>20751</v>
      </c>
      <c r="M908" s="375">
        <v>11174</v>
      </c>
      <c r="V908" s="375" t="s">
        <v>596</v>
      </c>
    </row>
    <row r="909" spans="1:22" hidden="1" x14ac:dyDescent="0.25">
      <c r="A909" s="377">
        <v>45284</v>
      </c>
      <c r="B909" s="375">
        <v>296000</v>
      </c>
      <c r="C909" s="375">
        <v>148000</v>
      </c>
      <c r="D909" s="375">
        <v>36</v>
      </c>
      <c r="E909" s="375">
        <v>71</v>
      </c>
      <c r="F909" s="375">
        <v>0.5</v>
      </c>
      <c r="G909" s="375">
        <v>100000</v>
      </c>
      <c r="H909" s="376">
        <v>5.5000000000000003E-4</v>
      </c>
      <c r="I909" s="375">
        <v>4169</v>
      </c>
      <c r="J909" s="375">
        <v>5382</v>
      </c>
      <c r="K909" s="375">
        <v>55</v>
      </c>
      <c r="L909" s="375">
        <v>20751</v>
      </c>
      <c r="M909" s="375">
        <v>11174</v>
      </c>
      <c r="V909" s="375" t="s">
        <v>596</v>
      </c>
    </row>
    <row r="910" spans="1:22" hidden="1" x14ac:dyDescent="0.25">
      <c r="A910" s="377">
        <v>45285</v>
      </c>
      <c r="B910" s="375">
        <v>150000</v>
      </c>
      <c r="C910" s="375">
        <v>75000</v>
      </c>
      <c r="D910" s="375">
        <v>17</v>
      </c>
      <c r="E910" s="375">
        <v>33</v>
      </c>
      <c r="F910" s="375">
        <v>0.5</v>
      </c>
      <c r="G910" s="375">
        <v>13742</v>
      </c>
      <c r="H910" s="376">
        <v>1.9648209094775965E-3</v>
      </c>
      <c r="I910" s="375">
        <v>4545</v>
      </c>
      <c r="J910" s="375">
        <v>5556</v>
      </c>
      <c r="K910" s="375">
        <v>27</v>
      </c>
      <c r="L910" s="375">
        <v>7558</v>
      </c>
      <c r="M910" s="375">
        <v>6184</v>
      </c>
      <c r="V910" s="375" t="s">
        <v>596</v>
      </c>
    </row>
    <row r="911" spans="1:22" hidden="1" x14ac:dyDescent="0.25">
      <c r="A911" s="377">
        <v>45286</v>
      </c>
      <c r="B911" s="375">
        <v>30000</v>
      </c>
      <c r="C911" s="375">
        <v>15000</v>
      </c>
      <c r="D911" s="375">
        <v>4</v>
      </c>
      <c r="E911" s="375">
        <v>7</v>
      </c>
      <c r="F911" s="375">
        <v>0.5</v>
      </c>
      <c r="G911" s="375">
        <v>13742</v>
      </c>
      <c r="H911" s="376">
        <v>4.3662686877279921E-4</v>
      </c>
      <c r="I911" s="375">
        <v>4286</v>
      </c>
      <c r="J911" s="375">
        <v>5000</v>
      </c>
      <c r="K911" s="375">
        <v>6</v>
      </c>
      <c r="L911" s="375">
        <v>7558</v>
      </c>
      <c r="M911" s="375">
        <v>6184</v>
      </c>
      <c r="V911" s="375" t="s">
        <v>596</v>
      </c>
    </row>
    <row r="912" spans="1:22" hidden="1" x14ac:dyDescent="0.25">
      <c r="A912" s="377">
        <v>45287</v>
      </c>
      <c r="B912" s="375">
        <v>50000</v>
      </c>
      <c r="C912" s="375">
        <v>25000</v>
      </c>
      <c r="D912" s="375">
        <v>6</v>
      </c>
      <c r="E912" s="375">
        <v>12</v>
      </c>
      <c r="F912" s="375">
        <v>0.5</v>
      </c>
      <c r="G912" s="375">
        <v>14175</v>
      </c>
      <c r="H912" s="376">
        <v>6.3493907904784027E-4</v>
      </c>
      <c r="I912" s="375">
        <v>4167</v>
      </c>
      <c r="J912" s="375">
        <v>5556</v>
      </c>
      <c r="K912" s="375">
        <v>9</v>
      </c>
      <c r="L912" s="375">
        <v>7796</v>
      </c>
      <c r="M912" s="375">
        <v>6379</v>
      </c>
      <c r="V912" s="375" t="s">
        <v>596</v>
      </c>
    </row>
    <row r="913" spans="1:22" hidden="1" x14ac:dyDescent="0.25">
      <c r="A913" s="377">
        <v>45288</v>
      </c>
      <c r="B913" s="375">
        <v>30000</v>
      </c>
      <c r="C913" s="375">
        <v>15000</v>
      </c>
      <c r="D913" s="375">
        <v>3</v>
      </c>
      <c r="E913" s="375">
        <v>6</v>
      </c>
      <c r="F913" s="375">
        <v>0.5</v>
      </c>
      <c r="G913" s="375">
        <v>14175</v>
      </c>
      <c r="H913" s="376">
        <v>4.2329271936522686E-4</v>
      </c>
      <c r="I913" s="375">
        <v>5000</v>
      </c>
      <c r="J913" s="375">
        <v>5000</v>
      </c>
      <c r="K913" s="375">
        <v>6</v>
      </c>
      <c r="L913" s="375">
        <v>7796</v>
      </c>
      <c r="M913" s="375">
        <v>6379</v>
      </c>
      <c r="V913" s="375" t="s">
        <v>596</v>
      </c>
    </row>
    <row r="914" spans="1:22" hidden="1" x14ac:dyDescent="0.25">
      <c r="A914" s="377">
        <v>45289</v>
      </c>
      <c r="B914" s="375">
        <v>30000</v>
      </c>
      <c r="C914" s="375">
        <v>15000</v>
      </c>
      <c r="D914" s="375">
        <v>4</v>
      </c>
      <c r="E914" s="375">
        <v>7</v>
      </c>
      <c r="F914" s="375">
        <v>0.5</v>
      </c>
      <c r="G914" s="375">
        <v>20000</v>
      </c>
      <c r="H914" s="376">
        <v>2.9999999999999997E-4</v>
      </c>
      <c r="I914" s="375">
        <v>4286</v>
      </c>
      <c r="J914" s="375">
        <v>5000</v>
      </c>
      <c r="K914" s="375">
        <v>6</v>
      </c>
      <c r="L914" s="375">
        <v>13685</v>
      </c>
      <c r="M914" s="375">
        <v>6315</v>
      </c>
      <c r="V914" s="375" t="s">
        <v>596</v>
      </c>
    </row>
    <row r="915" spans="1:22" hidden="1" x14ac:dyDescent="0.25">
      <c r="A915" s="377">
        <v>45290</v>
      </c>
      <c r="B915" s="375">
        <v>150000</v>
      </c>
      <c r="C915" s="375">
        <v>75000</v>
      </c>
      <c r="D915" s="375">
        <v>15</v>
      </c>
      <c r="E915" s="375">
        <v>30</v>
      </c>
      <c r="F915" s="375">
        <v>0.5</v>
      </c>
      <c r="G915" s="375">
        <v>20000</v>
      </c>
      <c r="H915" s="376">
        <v>1.25E-3</v>
      </c>
      <c r="I915" s="375">
        <v>5000</v>
      </c>
      <c r="J915" s="375">
        <v>6000</v>
      </c>
      <c r="K915" s="375">
        <v>25</v>
      </c>
      <c r="L915" s="375">
        <v>13927</v>
      </c>
      <c r="M915" s="375">
        <v>6073</v>
      </c>
      <c r="V915" s="375" t="s">
        <v>596</v>
      </c>
    </row>
    <row r="916" spans="1:22" hidden="1" x14ac:dyDescent="0.25">
      <c r="A916" s="377">
        <v>45291</v>
      </c>
      <c r="B916" s="375">
        <v>80000</v>
      </c>
      <c r="C916" s="375">
        <v>40000</v>
      </c>
      <c r="D916" s="375">
        <v>9</v>
      </c>
      <c r="E916" s="375">
        <v>18</v>
      </c>
      <c r="F916" s="375">
        <v>0.5</v>
      </c>
      <c r="G916" s="375">
        <v>20000</v>
      </c>
      <c r="H916" s="376">
        <v>7.5000000000000002E-4</v>
      </c>
      <c r="I916" s="375">
        <v>4444</v>
      </c>
      <c r="J916" s="375">
        <v>5333</v>
      </c>
      <c r="K916" s="375">
        <v>15</v>
      </c>
      <c r="L916" s="375">
        <v>13927</v>
      </c>
      <c r="M916" s="375">
        <v>6073</v>
      </c>
      <c r="V916" s="375" t="s">
        <v>596</v>
      </c>
    </row>
    <row r="917" spans="1:22" hidden="1" x14ac:dyDescent="0.25">
      <c r="A917" s="377">
        <v>45292</v>
      </c>
      <c r="B917" s="375">
        <v>100000</v>
      </c>
      <c r="C917" s="375">
        <v>50000</v>
      </c>
      <c r="D917" s="375">
        <v>8</v>
      </c>
      <c r="E917" s="375">
        <v>16</v>
      </c>
      <c r="F917" s="375">
        <v>0.5</v>
      </c>
      <c r="G917" s="375">
        <v>12953</v>
      </c>
      <c r="H917" s="376">
        <v>1.0036285030494865E-3</v>
      </c>
      <c r="I917" s="375">
        <v>6250</v>
      </c>
      <c r="J917" s="375">
        <v>7692</v>
      </c>
      <c r="K917" s="375">
        <v>13</v>
      </c>
      <c r="L917" s="375">
        <v>8000</v>
      </c>
      <c r="M917" s="375">
        <v>4953</v>
      </c>
      <c r="V917" s="375" t="s">
        <v>596</v>
      </c>
    </row>
    <row r="918" spans="1:22" hidden="1" x14ac:dyDescent="0.25">
      <c r="A918" s="377">
        <v>45293</v>
      </c>
      <c r="B918" s="375">
        <v>80000</v>
      </c>
      <c r="C918" s="375">
        <v>40000</v>
      </c>
      <c r="D918" s="375">
        <v>8</v>
      </c>
      <c r="E918" s="375">
        <v>15</v>
      </c>
      <c r="F918" s="375">
        <v>0.5</v>
      </c>
      <c r="G918" s="375">
        <v>12953</v>
      </c>
      <c r="H918" s="376">
        <v>1.0036285030494865E-3</v>
      </c>
      <c r="I918" s="375">
        <v>5333</v>
      </c>
      <c r="J918" s="375">
        <v>6154</v>
      </c>
      <c r="K918" s="375">
        <v>13</v>
      </c>
      <c r="L918" s="375">
        <v>8000</v>
      </c>
      <c r="M918" s="375">
        <v>4953</v>
      </c>
      <c r="V918" s="375" t="s">
        <v>596</v>
      </c>
    </row>
    <row r="919" spans="1:22" hidden="1" x14ac:dyDescent="0.25">
      <c r="A919" s="377">
        <v>45294</v>
      </c>
      <c r="B919" s="375">
        <v>80000</v>
      </c>
      <c r="C919" s="375">
        <v>40000</v>
      </c>
      <c r="D919" s="375">
        <v>7</v>
      </c>
      <c r="E919" s="375">
        <v>13</v>
      </c>
      <c r="F919" s="375">
        <v>0.5</v>
      </c>
      <c r="G919" s="375">
        <v>12953</v>
      </c>
      <c r="H919" s="376">
        <v>9.264263105072184E-4</v>
      </c>
      <c r="I919" s="375">
        <v>6154</v>
      </c>
      <c r="J919" s="375">
        <v>6667</v>
      </c>
      <c r="K919" s="375">
        <v>12</v>
      </c>
      <c r="L919" s="375">
        <v>8000</v>
      </c>
      <c r="M919" s="375">
        <v>4953</v>
      </c>
      <c r="V919" s="375" t="s">
        <v>596</v>
      </c>
    </row>
    <row r="920" spans="1:22" hidden="1" x14ac:dyDescent="0.25">
      <c r="A920" s="377">
        <v>45295</v>
      </c>
      <c r="B920" s="375">
        <v>100000</v>
      </c>
      <c r="C920" s="375">
        <v>50000</v>
      </c>
      <c r="D920" s="375">
        <v>9</v>
      </c>
      <c r="E920" s="375">
        <v>17</v>
      </c>
      <c r="F920" s="375">
        <v>0.5</v>
      </c>
      <c r="G920" s="375">
        <v>12953</v>
      </c>
      <c r="H920" s="376">
        <v>1.3896394657608277E-3</v>
      </c>
      <c r="I920" s="375">
        <v>5882</v>
      </c>
      <c r="J920" s="375">
        <v>5556</v>
      </c>
      <c r="K920" s="375">
        <v>18</v>
      </c>
      <c r="L920" s="375">
        <v>8000</v>
      </c>
      <c r="M920" s="375">
        <v>4953</v>
      </c>
      <c r="V920" s="375" t="s">
        <v>596</v>
      </c>
    </row>
    <row r="921" spans="1:22" hidden="1" x14ac:dyDescent="0.25">
      <c r="A921" s="377">
        <v>45296</v>
      </c>
      <c r="B921" s="375">
        <v>150000</v>
      </c>
      <c r="C921" s="375">
        <v>75000</v>
      </c>
      <c r="D921" s="375">
        <v>15</v>
      </c>
      <c r="E921" s="375">
        <v>29</v>
      </c>
      <c r="F921" s="375">
        <v>0.5</v>
      </c>
      <c r="G921" s="375">
        <v>12953</v>
      </c>
      <c r="H921" s="376">
        <v>2.007257006098973E-3</v>
      </c>
      <c r="I921" s="375">
        <v>5172</v>
      </c>
      <c r="J921" s="375">
        <v>5769</v>
      </c>
      <c r="K921" s="375">
        <v>26</v>
      </c>
      <c r="L921" s="375">
        <v>8000</v>
      </c>
      <c r="M921" s="375">
        <v>4953</v>
      </c>
      <c r="V921" s="375" t="s">
        <v>596</v>
      </c>
    </row>
    <row r="922" spans="1:22" hidden="1" x14ac:dyDescent="0.25">
      <c r="A922" s="377">
        <v>45297</v>
      </c>
      <c r="B922" s="375">
        <v>120000</v>
      </c>
      <c r="C922" s="375">
        <v>60000</v>
      </c>
      <c r="D922" s="375">
        <v>12</v>
      </c>
      <c r="E922" s="375">
        <v>24</v>
      </c>
      <c r="F922" s="375">
        <v>0.5</v>
      </c>
      <c r="G922" s="375">
        <v>12953</v>
      </c>
      <c r="H922" s="376">
        <v>1.5440438508453639E-3</v>
      </c>
      <c r="I922" s="375">
        <v>5000</v>
      </c>
      <c r="J922" s="375">
        <v>6000</v>
      </c>
      <c r="K922" s="375">
        <v>20</v>
      </c>
      <c r="L922" s="375">
        <v>8000</v>
      </c>
      <c r="M922" s="375">
        <v>4953</v>
      </c>
      <c r="V922" s="375" t="s">
        <v>596</v>
      </c>
    </row>
    <row r="923" spans="1:22" hidden="1" x14ac:dyDescent="0.25">
      <c r="A923" s="377">
        <v>45298</v>
      </c>
      <c r="B923" s="375">
        <v>110000</v>
      </c>
      <c r="C923" s="375">
        <v>55000</v>
      </c>
      <c r="D923" s="375">
        <v>13</v>
      </c>
      <c r="E923" s="375">
        <v>26</v>
      </c>
      <c r="F923" s="375">
        <v>0.5</v>
      </c>
      <c r="G923" s="375">
        <v>12953</v>
      </c>
      <c r="H923" s="376">
        <v>1.6212460433876323E-3</v>
      </c>
      <c r="I923" s="375">
        <v>4231</v>
      </c>
      <c r="J923" s="375">
        <v>5238</v>
      </c>
      <c r="K923" s="375">
        <v>21</v>
      </c>
      <c r="L923" s="375">
        <v>8000</v>
      </c>
      <c r="M923" s="375">
        <v>4953</v>
      </c>
      <c r="V923" s="375" t="s">
        <v>596</v>
      </c>
    </row>
    <row r="924" spans="1:22" hidden="1" x14ac:dyDescent="0.25">
      <c r="A924" s="377">
        <v>45299</v>
      </c>
      <c r="B924" s="375">
        <v>120000</v>
      </c>
      <c r="C924" s="375">
        <v>60000</v>
      </c>
      <c r="D924" s="375">
        <v>13</v>
      </c>
      <c r="E924" s="375">
        <v>25</v>
      </c>
      <c r="F924" s="375">
        <v>0.5</v>
      </c>
      <c r="G924" s="375">
        <v>12953</v>
      </c>
      <c r="H924" s="376">
        <v>1.5440438508453639E-3</v>
      </c>
      <c r="I924" s="375">
        <v>4800</v>
      </c>
      <c r="J924" s="375">
        <v>6000</v>
      </c>
      <c r="K924" s="375">
        <v>20</v>
      </c>
      <c r="L924" s="375">
        <v>8000</v>
      </c>
      <c r="M924" s="375">
        <v>4953</v>
      </c>
      <c r="V924" s="375" t="s">
        <v>596</v>
      </c>
    </row>
    <row r="925" spans="1:22" hidden="1" x14ac:dyDescent="0.25">
      <c r="A925" s="377">
        <v>45300</v>
      </c>
      <c r="B925" s="375">
        <v>100000</v>
      </c>
      <c r="C925" s="375">
        <v>50000</v>
      </c>
      <c r="D925" s="375">
        <v>10</v>
      </c>
      <c r="E925" s="375">
        <v>20</v>
      </c>
      <c r="F925" s="375">
        <v>0.5</v>
      </c>
      <c r="G925" s="375">
        <v>12953</v>
      </c>
      <c r="H925" s="376">
        <v>1.3124372732185594E-3</v>
      </c>
      <c r="I925" s="375">
        <v>5000</v>
      </c>
      <c r="J925" s="375">
        <v>5882</v>
      </c>
      <c r="K925" s="375">
        <v>17</v>
      </c>
      <c r="L925" s="375">
        <v>8000</v>
      </c>
      <c r="M925" s="375">
        <v>4953</v>
      </c>
      <c r="V925" s="375" t="s">
        <v>596</v>
      </c>
    </row>
    <row r="926" spans="1:22" hidden="1" x14ac:dyDescent="0.25">
      <c r="A926" s="377">
        <v>45301</v>
      </c>
      <c r="B926" s="375">
        <v>80000</v>
      </c>
      <c r="C926" s="375">
        <v>40000</v>
      </c>
      <c r="D926" s="375">
        <v>8</v>
      </c>
      <c r="E926" s="375">
        <v>16</v>
      </c>
      <c r="F926" s="375">
        <v>0.5</v>
      </c>
      <c r="G926" s="375">
        <v>12953</v>
      </c>
      <c r="H926" s="376">
        <v>1.158032888134023E-3</v>
      </c>
      <c r="I926" s="375">
        <v>5000</v>
      </c>
      <c r="J926" s="375">
        <v>5333</v>
      </c>
      <c r="K926" s="375">
        <v>15</v>
      </c>
      <c r="L926" s="375">
        <v>8000</v>
      </c>
      <c r="M926" s="375">
        <v>4953</v>
      </c>
      <c r="V926" s="375" t="s">
        <v>596</v>
      </c>
    </row>
    <row r="927" spans="1:22" hidden="1" x14ac:dyDescent="0.25">
      <c r="A927" s="377">
        <v>45302</v>
      </c>
      <c r="B927" s="375">
        <v>80000</v>
      </c>
      <c r="C927" s="375">
        <v>40000</v>
      </c>
      <c r="D927" s="375">
        <v>8</v>
      </c>
      <c r="E927" s="375">
        <v>16</v>
      </c>
      <c r="F927" s="375">
        <v>0.5</v>
      </c>
      <c r="G927" s="375">
        <v>12953</v>
      </c>
      <c r="H927" s="376">
        <v>1.1308490175205481E-3</v>
      </c>
      <c r="I927" s="375">
        <v>5000</v>
      </c>
      <c r="J927" s="375">
        <v>5462</v>
      </c>
      <c r="K927" s="375">
        <v>15</v>
      </c>
      <c r="L927" s="375">
        <v>8000</v>
      </c>
      <c r="M927" s="375">
        <v>4953</v>
      </c>
      <c r="V927" s="375" t="s">
        <v>596</v>
      </c>
    </row>
    <row r="928" spans="1:22" hidden="1" x14ac:dyDescent="0.25">
      <c r="A928" s="377">
        <v>45303</v>
      </c>
      <c r="B928" s="375">
        <v>80000</v>
      </c>
      <c r="C928" s="375">
        <v>40000</v>
      </c>
      <c r="D928" s="375">
        <v>8</v>
      </c>
      <c r="E928" s="375">
        <v>15</v>
      </c>
      <c r="F928" s="375">
        <v>0.5</v>
      </c>
      <c r="G928" s="375">
        <v>13525</v>
      </c>
      <c r="H928" s="376">
        <v>1.0055578684903209E-3</v>
      </c>
      <c r="I928" s="375">
        <v>5333</v>
      </c>
      <c r="J928" s="375">
        <v>5882</v>
      </c>
      <c r="K928" s="375">
        <v>14</v>
      </c>
      <c r="L928" s="375">
        <v>8000</v>
      </c>
      <c r="M928" s="375">
        <v>5525</v>
      </c>
      <c r="V928" s="375" t="s">
        <v>596</v>
      </c>
    </row>
    <row r="929" spans="1:22" hidden="1" x14ac:dyDescent="0.25">
      <c r="A929" s="377">
        <v>45304</v>
      </c>
      <c r="B929" s="375">
        <v>80000</v>
      </c>
      <c r="C929" s="375">
        <v>40000</v>
      </c>
      <c r="D929" s="375">
        <v>9</v>
      </c>
      <c r="E929" s="375">
        <v>18</v>
      </c>
      <c r="F929" s="375">
        <v>0.5</v>
      </c>
      <c r="G929" s="375">
        <v>13525</v>
      </c>
      <c r="H929" s="376">
        <v>1.1090711784819715E-3</v>
      </c>
      <c r="I929" s="375">
        <v>4444</v>
      </c>
      <c r="J929" s="375">
        <v>5333</v>
      </c>
      <c r="K929" s="375">
        <v>15</v>
      </c>
      <c r="L929" s="375">
        <v>8000</v>
      </c>
      <c r="M929" s="375">
        <v>5525</v>
      </c>
      <c r="V929" s="375" t="s">
        <v>596</v>
      </c>
    </row>
    <row r="930" spans="1:22" hidden="1" x14ac:dyDescent="0.25">
      <c r="A930" s="377">
        <v>45305</v>
      </c>
      <c r="B930" s="375">
        <v>90000</v>
      </c>
      <c r="C930" s="375">
        <v>45000</v>
      </c>
      <c r="D930" s="375">
        <v>8</v>
      </c>
      <c r="E930" s="375">
        <v>15</v>
      </c>
      <c r="F930" s="375">
        <v>0.5</v>
      </c>
      <c r="G930" s="375">
        <v>13746</v>
      </c>
      <c r="H930" s="376">
        <v>1.0346374817115185E-3</v>
      </c>
      <c r="I930" s="375">
        <v>6000</v>
      </c>
      <c r="J930" s="375">
        <v>6328</v>
      </c>
      <c r="K930" s="375">
        <v>14</v>
      </c>
      <c r="L930" s="375">
        <v>7588</v>
      </c>
      <c r="M930" s="375">
        <v>6158</v>
      </c>
      <c r="V930" s="375" t="s">
        <v>596</v>
      </c>
    </row>
    <row r="931" spans="1:22" hidden="1" x14ac:dyDescent="0.25">
      <c r="A931" s="377">
        <v>45306</v>
      </c>
      <c r="B931" s="375">
        <v>100000</v>
      </c>
      <c r="C931" s="375">
        <v>50000</v>
      </c>
      <c r="D931" s="375">
        <v>9</v>
      </c>
      <c r="E931" s="375">
        <v>18</v>
      </c>
      <c r="F931" s="375">
        <v>0.5</v>
      </c>
      <c r="G931" s="375">
        <v>15248</v>
      </c>
      <c r="H931" s="376">
        <v>1.0492959013436716E-3</v>
      </c>
      <c r="I931" s="375">
        <v>5556</v>
      </c>
      <c r="J931" s="375">
        <v>6250</v>
      </c>
      <c r="K931" s="375">
        <v>16</v>
      </c>
      <c r="L931" s="375">
        <v>9000</v>
      </c>
      <c r="M931" s="375">
        <v>6248</v>
      </c>
      <c r="V931" s="375" t="s">
        <v>596</v>
      </c>
    </row>
    <row r="932" spans="1:22" hidden="1" x14ac:dyDescent="0.25">
      <c r="A932" s="377">
        <v>45307</v>
      </c>
      <c r="B932" s="375">
        <v>120000</v>
      </c>
      <c r="C932" s="375">
        <v>60000</v>
      </c>
      <c r="D932" s="375">
        <v>12</v>
      </c>
      <c r="E932" s="375">
        <v>23</v>
      </c>
      <c r="F932" s="375">
        <v>0.5</v>
      </c>
      <c r="G932" s="375">
        <v>15248</v>
      </c>
      <c r="H932" s="376">
        <v>1.2460388828456101E-3</v>
      </c>
      <c r="I932" s="375">
        <v>5217</v>
      </c>
      <c r="J932" s="375">
        <v>6316</v>
      </c>
      <c r="K932" s="375">
        <v>19</v>
      </c>
      <c r="L932" s="375">
        <v>9000</v>
      </c>
      <c r="M932" s="375">
        <v>6248</v>
      </c>
      <c r="V932" s="375" t="s">
        <v>596</v>
      </c>
    </row>
    <row r="933" spans="1:22" hidden="1" x14ac:dyDescent="0.25">
      <c r="A933" s="377">
        <v>45308</v>
      </c>
      <c r="B933" s="375">
        <v>330000</v>
      </c>
      <c r="C933" s="375">
        <v>165000</v>
      </c>
      <c r="D933" s="375">
        <v>36</v>
      </c>
      <c r="E933" s="375">
        <v>71</v>
      </c>
      <c r="F933" s="375">
        <v>0.5</v>
      </c>
      <c r="G933" s="375">
        <v>14748</v>
      </c>
      <c r="H933" s="376">
        <v>3.7970425672995659E-3</v>
      </c>
      <c r="I933" s="375">
        <v>4648</v>
      </c>
      <c r="J933" s="375">
        <v>5893</v>
      </c>
      <c r="K933" s="375">
        <v>56</v>
      </c>
      <c r="L933" s="375">
        <v>8500</v>
      </c>
      <c r="M933" s="375">
        <v>6248</v>
      </c>
      <c r="V933" s="375" t="s">
        <v>596</v>
      </c>
    </row>
    <row r="934" spans="1:22" hidden="1" x14ac:dyDescent="0.25">
      <c r="A934" s="377">
        <v>45309</v>
      </c>
      <c r="B934" s="375">
        <v>250000</v>
      </c>
      <c r="C934" s="375">
        <v>125000</v>
      </c>
      <c r="D934" s="375">
        <v>22</v>
      </c>
      <c r="E934" s="375">
        <v>43</v>
      </c>
      <c r="F934" s="375">
        <v>0.5</v>
      </c>
      <c r="G934" s="375">
        <v>14748</v>
      </c>
      <c r="H934" s="376">
        <v>2.5765645992389908E-3</v>
      </c>
      <c r="I934" s="375">
        <v>5814</v>
      </c>
      <c r="J934" s="375">
        <v>6579</v>
      </c>
      <c r="K934" s="375">
        <v>38</v>
      </c>
      <c r="L934" s="375">
        <v>8500</v>
      </c>
      <c r="M934" s="375">
        <v>6248</v>
      </c>
      <c r="V934" s="375" t="s">
        <v>596</v>
      </c>
    </row>
    <row r="935" spans="1:22" hidden="1" x14ac:dyDescent="0.25">
      <c r="A935" s="377">
        <v>45310</v>
      </c>
      <c r="B935" s="375">
        <v>250000</v>
      </c>
      <c r="C935" s="375">
        <v>125000</v>
      </c>
      <c r="D935" s="375">
        <v>24</v>
      </c>
      <c r="E935" s="375">
        <v>49</v>
      </c>
      <c r="F935" s="375">
        <v>0.5</v>
      </c>
      <c r="G935" s="375">
        <v>14748</v>
      </c>
      <c r="H935" s="376">
        <v>2.5765645992389908E-3</v>
      </c>
      <c r="I935" s="375">
        <v>5102</v>
      </c>
      <c r="J935" s="375">
        <v>6579</v>
      </c>
      <c r="K935" s="375">
        <v>38</v>
      </c>
      <c r="L935" s="375">
        <v>8500</v>
      </c>
      <c r="M935" s="375">
        <v>6248</v>
      </c>
      <c r="V935" s="375" t="s">
        <v>596</v>
      </c>
    </row>
    <row r="936" spans="1:22" hidden="1" x14ac:dyDescent="0.25">
      <c r="A936" s="377">
        <v>45311</v>
      </c>
      <c r="B936" s="375">
        <v>260000</v>
      </c>
      <c r="C936" s="375">
        <v>130000</v>
      </c>
      <c r="D936" s="375">
        <v>28</v>
      </c>
      <c r="E936" s="375">
        <v>55</v>
      </c>
      <c r="F936" s="375">
        <v>0.5</v>
      </c>
      <c r="G936" s="375">
        <v>14748</v>
      </c>
      <c r="H936" s="376">
        <v>3.3902165779460406E-3</v>
      </c>
      <c r="I936" s="375">
        <v>4727</v>
      </c>
      <c r="J936" s="375">
        <v>5200</v>
      </c>
      <c r="K936" s="375">
        <v>50</v>
      </c>
      <c r="L936" s="375">
        <v>8500</v>
      </c>
      <c r="M936" s="375">
        <v>6248</v>
      </c>
      <c r="V936" s="375" t="s">
        <v>596</v>
      </c>
    </row>
    <row r="937" spans="1:22" hidden="1" x14ac:dyDescent="0.25">
      <c r="A937" s="377">
        <v>45312</v>
      </c>
      <c r="B937" s="375">
        <v>240000</v>
      </c>
      <c r="C937" s="375">
        <v>120000</v>
      </c>
      <c r="D937" s="375">
        <v>25</v>
      </c>
      <c r="E937" s="375">
        <v>50</v>
      </c>
      <c r="F937" s="375">
        <v>0.5</v>
      </c>
      <c r="G937" s="375">
        <v>14748</v>
      </c>
      <c r="H937" s="376">
        <v>2.8477819254746741E-3</v>
      </c>
      <c r="I937" s="375">
        <v>4800</v>
      </c>
      <c r="J937" s="375">
        <v>5714</v>
      </c>
      <c r="K937" s="375">
        <v>42</v>
      </c>
      <c r="L937" s="375">
        <v>8500</v>
      </c>
      <c r="M937" s="375">
        <v>6248</v>
      </c>
      <c r="V937" s="375" t="s">
        <v>596</v>
      </c>
    </row>
    <row r="938" spans="1:22" hidden="1" x14ac:dyDescent="0.25">
      <c r="A938" s="377">
        <v>45313</v>
      </c>
      <c r="B938" s="375">
        <v>250000</v>
      </c>
      <c r="C938" s="375">
        <v>125000</v>
      </c>
      <c r="D938" s="375">
        <v>22</v>
      </c>
      <c r="E938" s="375">
        <v>45</v>
      </c>
      <c r="F938" s="375">
        <v>0.5</v>
      </c>
      <c r="G938" s="375">
        <v>13295</v>
      </c>
      <c r="H938" s="376">
        <v>3.3618207278605554E-3</v>
      </c>
      <c r="I938" s="375">
        <v>5560</v>
      </c>
      <c r="J938" s="375">
        <v>5593</v>
      </c>
      <c r="K938" s="375">
        <v>45</v>
      </c>
      <c r="L938" s="375">
        <v>8500</v>
      </c>
      <c r="M938" s="375">
        <v>4795</v>
      </c>
      <c r="V938" s="375" t="s">
        <v>596</v>
      </c>
    </row>
    <row r="939" spans="1:22" hidden="1" x14ac:dyDescent="0.25">
      <c r="A939" s="377">
        <v>45314</v>
      </c>
      <c r="B939" s="375">
        <v>250000</v>
      </c>
      <c r="C939" s="375">
        <v>125000</v>
      </c>
      <c r="D939" s="375">
        <v>23</v>
      </c>
      <c r="E939" s="375">
        <v>46</v>
      </c>
      <c r="F939" s="375">
        <v>0.5</v>
      </c>
      <c r="G939" s="375">
        <v>13295</v>
      </c>
      <c r="H939" s="376">
        <v>3.159044239513411E-3</v>
      </c>
      <c r="I939" s="375">
        <v>5435</v>
      </c>
      <c r="J939" s="375">
        <v>5952</v>
      </c>
      <c r="K939" s="375">
        <v>42</v>
      </c>
      <c r="L939" s="375">
        <v>8500</v>
      </c>
      <c r="M939" s="375">
        <v>4795</v>
      </c>
      <c r="V939" s="375" t="s">
        <v>596</v>
      </c>
    </row>
    <row r="940" spans="1:22" hidden="1" x14ac:dyDescent="0.25">
      <c r="A940" s="377">
        <v>45315</v>
      </c>
      <c r="B940" s="375">
        <v>220000</v>
      </c>
      <c r="C940" s="375">
        <v>110000</v>
      </c>
      <c r="D940" s="375">
        <v>27</v>
      </c>
      <c r="E940" s="375">
        <v>53</v>
      </c>
      <c r="F940" s="375">
        <v>0.5</v>
      </c>
      <c r="G940" s="375">
        <v>13295</v>
      </c>
      <c r="H940" s="376">
        <v>3.0746810889729949E-3</v>
      </c>
      <c r="I940" s="375">
        <v>4151</v>
      </c>
      <c r="J940" s="375">
        <v>5382</v>
      </c>
      <c r="K940" s="375">
        <v>41</v>
      </c>
      <c r="L940" s="375">
        <v>8500</v>
      </c>
      <c r="M940" s="375">
        <v>4795</v>
      </c>
      <c r="V940" s="375" t="s">
        <v>596</v>
      </c>
    </row>
    <row r="941" spans="1:22" hidden="1" x14ac:dyDescent="0.25">
      <c r="A941" s="377">
        <v>45316</v>
      </c>
      <c r="B941" s="375">
        <v>280000</v>
      </c>
      <c r="C941" s="375">
        <v>140000</v>
      </c>
      <c r="D941" s="375">
        <v>31</v>
      </c>
      <c r="E941" s="375">
        <v>62</v>
      </c>
      <c r="F941" s="375">
        <v>0.5</v>
      </c>
      <c r="G941" s="375">
        <v>12353</v>
      </c>
      <c r="H941" s="376">
        <v>3.8856639559095491E-3</v>
      </c>
      <c r="I941" s="375">
        <v>4516</v>
      </c>
      <c r="J941" s="375">
        <v>5833</v>
      </c>
      <c r="K941" s="375">
        <v>48</v>
      </c>
      <c r="L941" s="375">
        <v>7558</v>
      </c>
      <c r="M941" s="375">
        <v>4795</v>
      </c>
      <c r="V941" s="375" t="s">
        <v>596</v>
      </c>
    </row>
    <row r="942" spans="1:22" hidden="1" x14ac:dyDescent="0.25">
      <c r="A942" s="377">
        <v>45317</v>
      </c>
      <c r="B942" s="375">
        <v>260000</v>
      </c>
      <c r="C942" s="375">
        <v>130000</v>
      </c>
      <c r="D942" s="375">
        <v>31</v>
      </c>
      <c r="E942" s="375">
        <v>61</v>
      </c>
      <c r="F942" s="375">
        <v>0.5</v>
      </c>
      <c r="G942" s="375">
        <v>12353</v>
      </c>
      <c r="H942" s="376">
        <v>3.7237612910799847E-3</v>
      </c>
      <c r="I942" s="375">
        <v>4262</v>
      </c>
      <c r="J942" s="375">
        <v>5652</v>
      </c>
      <c r="K942" s="375">
        <v>46</v>
      </c>
      <c r="L942" s="375">
        <v>7558</v>
      </c>
      <c r="M942" s="375">
        <v>4795</v>
      </c>
      <c r="V942" s="375" t="s">
        <v>596</v>
      </c>
    </row>
    <row r="943" spans="1:22" hidden="1" x14ac:dyDescent="0.25">
      <c r="A943" s="377">
        <v>45318</v>
      </c>
      <c r="B943" s="375">
        <v>270000</v>
      </c>
      <c r="C943" s="375">
        <v>135000</v>
      </c>
      <c r="D943" s="375">
        <v>34</v>
      </c>
      <c r="E943" s="375">
        <v>67</v>
      </c>
      <c r="F943" s="375">
        <v>0.5</v>
      </c>
      <c r="G943" s="375">
        <v>12591</v>
      </c>
      <c r="H943" s="376">
        <v>3.9710324400955765E-3</v>
      </c>
      <c r="I943" s="375">
        <v>4030</v>
      </c>
      <c r="J943" s="375">
        <v>5400</v>
      </c>
      <c r="K943" s="375">
        <v>50</v>
      </c>
      <c r="L943" s="375">
        <v>7796</v>
      </c>
      <c r="M943" s="375">
        <v>4795</v>
      </c>
      <c r="V943" s="375" t="s">
        <v>596</v>
      </c>
    </row>
    <row r="944" spans="1:22" hidden="1" x14ac:dyDescent="0.25">
      <c r="A944" s="377">
        <v>45319</v>
      </c>
      <c r="B944" s="375">
        <v>220000</v>
      </c>
      <c r="C944" s="375">
        <v>110000</v>
      </c>
      <c r="D944" s="375">
        <v>22</v>
      </c>
      <c r="E944" s="375">
        <v>44</v>
      </c>
      <c r="F944" s="375">
        <v>0.5</v>
      </c>
      <c r="G944" s="375">
        <v>12591</v>
      </c>
      <c r="H944" s="376">
        <v>2.7797227080669034E-3</v>
      </c>
      <c r="I944" s="375">
        <v>5000</v>
      </c>
      <c r="J944" s="375">
        <v>6286</v>
      </c>
      <c r="K944" s="375">
        <v>35</v>
      </c>
      <c r="L944" s="375">
        <v>7796</v>
      </c>
      <c r="M944" s="375">
        <v>4795</v>
      </c>
      <c r="V944" s="375" t="s">
        <v>596</v>
      </c>
    </row>
    <row r="945" spans="1:22" hidden="1" x14ac:dyDescent="0.25">
      <c r="A945" s="377">
        <v>45320</v>
      </c>
      <c r="B945" s="375">
        <v>260000</v>
      </c>
      <c r="C945" s="375">
        <v>130000</v>
      </c>
      <c r="D945" s="375">
        <v>29</v>
      </c>
      <c r="E945" s="375">
        <v>58</v>
      </c>
      <c r="F945" s="375">
        <v>0.5</v>
      </c>
      <c r="G945" s="375">
        <v>12295</v>
      </c>
      <c r="H945" s="376">
        <v>4.0666407116674869E-3</v>
      </c>
      <c r="I945" s="375">
        <v>4483</v>
      </c>
      <c r="J945" s="375">
        <v>5200</v>
      </c>
      <c r="K945" s="375">
        <v>50</v>
      </c>
      <c r="L945" s="375">
        <v>7500</v>
      </c>
      <c r="M945" s="375">
        <v>4795</v>
      </c>
      <c r="V945" s="375" t="s">
        <v>596</v>
      </c>
    </row>
    <row r="946" spans="1:22" hidden="1" x14ac:dyDescent="0.25">
      <c r="A946" s="377">
        <v>45321</v>
      </c>
      <c r="B946" s="375">
        <v>210000</v>
      </c>
      <c r="C946" s="375">
        <v>105000</v>
      </c>
      <c r="D946" s="375">
        <v>21</v>
      </c>
      <c r="E946" s="375">
        <v>42</v>
      </c>
      <c r="F946" s="375">
        <v>0.5</v>
      </c>
      <c r="G946" s="375">
        <v>12295</v>
      </c>
      <c r="H946" s="376">
        <v>2.9279813124005903E-3</v>
      </c>
      <c r="I946" s="375">
        <v>5000</v>
      </c>
      <c r="J946" s="375">
        <v>5833</v>
      </c>
      <c r="K946" s="375">
        <v>36</v>
      </c>
      <c r="L946" s="375">
        <v>7500</v>
      </c>
      <c r="M946" s="375">
        <v>4795</v>
      </c>
      <c r="V946" s="375" t="s">
        <v>596</v>
      </c>
    </row>
    <row r="947" spans="1:22" hidden="1" x14ac:dyDescent="0.25">
      <c r="A947" s="377">
        <v>45322</v>
      </c>
      <c r="B947" s="375">
        <v>260000</v>
      </c>
      <c r="C947" s="375">
        <v>130000</v>
      </c>
      <c r="D947" s="375">
        <v>30</v>
      </c>
      <c r="E947" s="375">
        <v>59</v>
      </c>
      <c r="F947" s="375">
        <v>0.5</v>
      </c>
      <c r="G947" s="375">
        <v>12295</v>
      </c>
      <c r="H947" s="376">
        <v>3.9649746938757993E-3</v>
      </c>
      <c r="I947" s="375">
        <v>4407</v>
      </c>
      <c r="J947" s="375">
        <v>5333</v>
      </c>
      <c r="K947" s="375">
        <v>49</v>
      </c>
      <c r="L947" s="375">
        <v>7500</v>
      </c>
      <c r="M947" s="375">
        <v>4795</v>
      </c>
      <c r="V947" s="375" t="s">
        <v>596</v>
      </c>
    </row>
    <row r="948" spans="1:22" hidden="1" x14ac:dyDescent="0.25">
      <c r="A948" s="377">
        <v>45323</v>
      </c>
      <c r="B948" s="375">
        <v>90000</v>
      </c>
      <c r="C948" s="375">
        <v>45000</v>
      </c>
      <c r="D948" s="375">
        <v>8</v>
      </c>
      <c r="E948" s="375">
        <v>16</v>
      </c>
      <c r="F948" s="375">
        <v>0.5</v>
      </c>
      <c r="G948" s="375">
        <v>11085</v>
      </c>
      <c r="H948" s="376">
        <v>1.3531355963486596E-3</v>
      </c>
      <c r="I948" s="375">
        <v>5625</v>
      </c>
      <c r="J948" s="375">
        <v>6000</v>
      </c>
      <c r="K948" s="375">
        <v>15</v>
      </c>
      <c r="L948" s="375">
        <v>5000</v>
      </c>
      <c r="M948" s="375">
        <v>6085</v>
      </c>
      <c r="V948" s="375" t="s">
        <v>596</v>
      </c>
    </row>
    <row r="949" spans="1:22" hidden="1" x14ac:dyDescent="0.25">
      <c r="A949" s="377">
        <v>45324</v>
      </c>
      <c r="B949" s="375">
        <v>100000</v>
      </c>
      <c r="C949" s="375">
        <v>50000</v>
      </c>
      <c r="D949" s="375">
        <v>8</v>
      </c>
      <c r="E949" s="375">
        <v>16</v>
      </c>
      <c r="F949" s="375">
        <v>0.5</v>
      </c>
      <c r="G949" s="375">
        <v>11085</v>
      </c>
      <c r="H949" s="376">
        <v>1.4433446361052369E-3</v>
      </c>
      <c r="I949" s="375">
        <v>6250</v>
      </c>
      <c r="J949" s="375">
        <v>6250</v>
      </c>
      <c r="K949" s="375">
        <v>16</v>
      </c>
      <c r="L949" s="375">
        <v>5000</v>
      </c>
      <c r="M949" s="375">
        <v>6085</v>
      </c>
      <c r="V949" s="375" t="s">
        <v>596</v>
      </c>
    </row>
    <row r="950" spans="1:22" hidden="1" x14ac:dyDescent="0.25">
      <c r="A950" s="377">
        <v>45325</v>
      </c>
      <c r="B950" s="375">
        <v>100000</v>
      </c>
      <c r="C950" s="375">
        <v>50000</v>
      </c>
      <c r="D950" s="375">
        <v>8</v>
      </c>
      <c r="E950" s="375">
        <v>15</v>
      </c>
      <c r="F950" s="375">
        <v>0.5</v>
      </c>
      <c r="G950" s="375">
        <v>11028</v>
      </c>
      <c r="H950" s="376">
        <v>1.3601468845993803E-3</v>
      </c>
      <c r="I950" s="375">
        <v>6667</v>
      </c>
      <c r="J950" s="375">
        <v>6667</v>
      </c>
      <c r="K950" s="375">
        <v>15</v>
      </c>
      <c r="L950" s="375">
        <v>5000</v>
      </c>
      <c r="M950" s="375">
        <v>6028</v>
      </c>
      <c r="V950" s="375" t="s">
        <v>596</v>
      </c>
    </row>
    <row r="951" spans="1:22" hidden="1" x14ac:dyDescent="0.25">
      <c r="A951" s="377">
        <v>45326</v>
      </c>
      <c r="B951" s="375">
        <v>100000</v>
      </c>
      <c r="C951" s="375">
        <v>50000</v>
      </c>
      <c r="D951" s="375">
        <v>10</v>
      </c>
      <c r="E951" s="375">
        <v>20</v>
      </c>
      <c r="F951" s="375">
        <v>0.5</v>
      </c>
      <c r="G951" s="375">
        <v>11050</v>
      </c>
      <c r="H951" s="376">
        <v>1.3574416537768016E-3</v>
      </c>
      <c r="I951" s="375">
        <v>5000</v>
      </c>
      <c r="J951" s="375">
        <v>6667</v>
      </c>
      <c r="K951" s="375">
        <v>15</v>
      </c>
      <c r="L951" s="375">
        <v>5000</v>
      </c>
      <c r="M951" s="375">
        <v>6050</v>
      </c>
      <c r="V951" s="375" t="s">
        <v>596</v>
      </c>
    </row>
    <row r="952" spans="1:22" hidden="1" x14ac:dyDescent="0.25">
      <c r="A952" s="377">
        <v>45327</v>
      </c>
      <c r="B952" s="375">
        <v>100000</v>
      </c>
      <c r="C952" s="375">
        <v>50000</v>
      </c>
      <c r="D952" s="375">
        <v>9</v>
      </c>
      <c r="E952" s="375">
        <v>18</v>
      </c>
      <c r="F952" s="375">
        <v>0.5</v>
      </c>
      <c r="G952" s="375">
        <v>10769</v>
      </c>
      <c r="H952" s="376">
        <v>1.671527507291261E-3</v>
      </c>
      <c r="I952" s="375">
        <v>5556</v>
      </c>
      <c r="J952" s="375">
        <v>5556</v>
      </c>
      <c r="K952" s="375">
        <v>18</v>
      </c>
      <c r="L952" s="375">
        <v>5000</v>
      </c>
      <c r="M952" s="375">
        <v>5769</v>
      </c>
      <c r="V952" s="375" t="s">
        <v>596</v>
      </c>
    </row>
    <row r="953" spans="1:22" hidden="1" x14ac:dyDescent="0.25">
      <c r="A953" s="377">
        <v>45328</v>
      </c>
      <c r="B953" s="375">
        <v>100000</v>
      </c>
      <c r="C953" s="375">
        <v>50000</v>
      </c>
      <c r="D953" s="375">
        <v>9</v>
      </c>
      <c r="E953" s="375">
        <v>17</v>
      </c>
      <c r="F953" s="375">
        <v>0.5</v>
      </c>
      <c r="G953" s="375">
        <v>10569</v>
      </c>
      <c r="H953" s="376">
        <v>1.6085395129128433E-3</v>
      </c>
      <c r="I953" s="375">
        <v>5882</v>
      </c>
      <c r="J953" s="375">
        <v>5882</v>
      </c>
      <c r="K953" s="375">
        <v>17</v>
      </c>
      <c r="L953" s="375">
        <v>5000</v>
      </c>
      <c r="M953" s="375">
        <v>5569</v>
      </c>
      <c r="V953" s="375" t="s">
        <v>596</v>
      </c>
    </row>
    <row r="954" spans="1:22" hidden="1" x14ac:dyDescent="0.25">
      <c r="A954" s="377">
        <v>45329</v>
      </c>
      <c r="B954" s="375">
        <v>100000</v>
      </c>
      <c r="C954" s="375">
        <v>50000</v>
      </c>
      <c r="D954" s="375">
        <v>8</v>
      </c>
      <c r="E954" s="375">
        <v>15</v>
      </c>
      <c r="F954" s="375">
        <v>0.5</v>
      </c>
      <c r="G954" s="375">
        <v>10569</v>
      </c>
      <c r="H954" s="376">
        <v>1.4192995702172145E-3</v>
      </c>
      <c r="I954" s="375">
        <v>6667</v>
      </c>
      <c r="J954" s="375">
        <v>6667</v>
      </c>
      <c r="K954" s="375">
        <v>15</v>
      </c>
      <c r="L954" s="375">
        <v>5000</v>
      </c>
      <c r="M954" s="375">
        <v>5569</v>
      </c>
      <c r="V954" s="375" t="s">
        <v>596</v>
      </c>
    </row>
    <row r="955" spans="1:22" hidden="1" x14ac:dyDescent="0.25">
      <c r="A955" s="377">
        <v>45330</v>
      </c>
      <c r="B955" s="375">
        <v>90000</v>
      </c>
      <c r="C955" s="375">
        <v>45000</v>
      </c>
      <c r="D955" s="375">
        <v>8</v>
      </c>
      <c r="E955" s="375">
        <v>16</v>
      </c>
      <c r="F955" s="375">
        <v>0.5</v>
      </c>
      <c r="G955" s="375">
        <v>10569</v>
      </c>
      <c r="H955" s="376">
        <v>1.4192995702172145E-3</v>
      </c>
      <c r="I955" s="375">
        <v>5625</v>
      </c>
      <c r="J955" s="375">
        <v>6000</v>
      </c>
      <c r="K955" s="375">
        <v>15</v>
      </c>
      <c r="L955" s="375">
        <v>5000</v>
      </c>
      <c r="M955" s="375">
        <v>5569</v>
      </c>
      <c r="V955" s="375" t="s">
        <v>596</v>
      </c>
    </row>
    <row r="956" spans="1:22" hidden="1" x14ac:dyDescent="0.25">
      <c r="A956" s="377">
        <v>45331</v>
      </c>
      <c r="B956" s="375">
        <v>30000</v>
      </c>
      <c r="C956" s="375">
        <v>15000</v>
      </c>
      <c r="D956" s="375">
        <v>3</v>
      </c>
      <c r="E956" s="375">
        <v>5</v>
      </c>
      <c r="F956" s="375">
        <v>0.5</v>
      </c>
      <c r="G956" s="375">
        <v>10569</v>
      </c>
      <c r="H956" s="376">
        <v>4.7309985673907155E-4</v>
      </c>
      <c r="I956" s="375">
        <v>6000</v>
      </c>
      <c r="J956" s="375">
        <v>6000</v>
      </c>
      <c r="K956" s="375">
        <v>5</v>
      </c>
      <c r="L956" s="375">
        <v>5000</v>
      </c>
      <c r="M956" s="375">
        <v>5569</v>
      </c>
      <c r="V956" s="375" t="s">
        <v>596</v>
      </c>
    </row>
    <row r="957" spans="1:22" hidden="1" x14ac:dyDescent="0.25">
      <c r="A957" s="377">
        <v>45332</v>
      </c>
      <c r="B957" s="375">
        <v>80000</v>
      </c>
      <c r="C957" s="375">
        <v>40000</v>
      </c>
      <c r="D957" s="375">
        <v>7</v>
      </c>
      <c r="E957" s="375">
        <v>13</v>
      </c>
      <c r="F957" s="375">
        <v>0.5</v>
      </c>
      <c r="G957" s="375">
        <v>10569</v>
      </c>
      <c r="H957" s="376">
        <v>1.1354396561737716E-3</v>
      </c>
      <c r="I957" s="375">
        <v>6154</v>
      </c>
      <c r="J957" s="375">
        <v>6667</v>
      </c>
      <c r="K957" s="375">
        <v>12</v>
      </c>
      <c r="L957" s="375">
        <v>5000</v>
      </c>
      <c r="M957" s="375">
        <v>5569</v>
      </c>
      <c r="V957" s="375" t="s">
        <v>596</v>
      </c>
    </row>
    <row r="958" spans="1:22" hidden="1" x14ac:dyDescent="0.25">
      <c r="A958" s="377">
        <v>45333</v>
      </c>
      <c r="B958" s="375">
        <v>80000</v>
      </c>
      <c r="C958" s="375">
        <v>40000</v>
      </c>
      <c r="D958" s="375">
        <v>7</v>
      </c>
      <c r="E958" s="375">
        <v>13</v>
      </c>
      <c r="F958" s="375">
        <v>0.5</v>
      </c>
      <c r="G958" s="375">
        <v>10569</v>
      </c>
      <c r="H958" s="376">
        <v>1.0408196848259573E-3</v>
      </c>
      <c r="I958" s="375">
        <v>6154</v>
      </c>
      <c r="J958" s="375">
        <v>7273</v>
      </c>
      <c r="K958" s="375">
        <v>11</v>
      </c>
      <c r="L958" s="375">
        <v>5000</v>
      </c>
      <c r="M958" s="375">
        <v>5569</v>
      </c>
      <c r="V958" s="375" t="s">
        <v>596</v>
      </c>
    </row>
    <row r="959" spans="1:22" hidden="1" x14ac:dyDescent="0.25">
      <c r="A959" s="377">
        <v>45334</v>
      </c>
      <c r="B959" s="375">
        <v>100000</v>
      </c>
      <c r="C959" s="375">
        <v>50000</v>
      </c>
      <c r="D959" s="375">
        <v>9</v>
      </c>
      <c r="E959" s="375">
        <v>18</v>
      </c>
      <c r="F959" s="375">
        <v>0.5</v>
      </c>
      <c r="G959" s="375">
        <v>10569</v>
      </c>
      <c r="H959" s="376">
        <v>1.513919541565029E-3</v>
      </c>
      <c r="I959" s="375">
        <v>5556</v>
      </c>
      <c r="J959" s="375">
        <v>6250</v>
      </c>
      <c r="K959" s="375">
        <v>16</v>
      </c>
      <c r="L959" s="375">
        <v>5000</v>
      </c>
      <c r="M959" s="375">
        <v>5569</v>
      </c>
      <c r="V959" s="375" t="s">
        <v>596</v>
      </c>
    </row>
    <row r="960" spans="1:22" hidden="1" x14ac:dyDescent="0.25">
      <c r="A960" s="377">
        <v>45335</v>
      </c>
      <c r="B960" s="375">
        <v>120000</v>
      </c>
      <c r="C960" s="375">
        <v>60000</v>
      </c>
      <c r="D960" s="375">
        <v>9</v>
      </c>
      <c r="E960" s="375">
        <v>18</v>
      </c>
      <c r="F960" s="375">
        <v>0.5</v>
      </c>
      <c r="G960" s="375">
        <v>10569</v>
      </c>
      <c r="H960" s="376">
        <v>1.7031594842606575E-3</v>
      </c>
      <c r="I960" s="375">
        <v>6667</v>
      </c>
      <c r="J960" s="375">
        <v>6667</v>
      </c>
      <c r="K960" s="375">
        <v>18</v>
      </c>
      <c r="L960" s="375">
        <v>5000</v>
      </c>
      <c r="M960" s="375">
        <v>5569</v>
      </c>
      <c r="V960" s="375" t="s">
        <v>596</v>
      </c>
    </row>
    <row r="961" spans="1:22" hidden="1" x14ac:dyDescent="0.25">
      <c r="A961" s="377">
        <v>45336</v>
      </c>
      <c r="B961" s="375">
        <v>120000</v>
      </c>
      <c r="C961" s="375">
        <v>60000</v>
      </c>
      <c r="D961" s="375">
        <v>10</v>
      </c>
      <c r="E961" s="375">
        <v>20</v>
      </c>
      <c r="F961" s="375">
        <v>0.5</v>
      </c>
      <c r="G961" s="375">
        <v>10569</v>
      </c>
      <c r="H961" s="376">
        <v>1.7031594842606575E-3</v>
      </c>
      <c r="I961" s="375">
        <v>6000</v>
      </c>
      <c r="J961" s="375">
        <v>6667</v>
      </c>
      <c r="K961" s="375">
        <v>18</v>
      </c>
      <c r="L961" s="375">
        <v>5000</v>
      </c>
      <c r="M961" s="375">
        <v>5569</v>
      </c>
      <c r="V961" s="375" t="s">
        <v>596</v>
      </c>
    </row>
    <row r="962" spans="1:22" hidden="1" x14ac:dyDescent="0.25">
      <c r="A962" s="377">
        <v>45337</v>
      </c>
      <c r="B962" s="375">
        <v>120000</v>
      </c>
      <c r="C962" s="375">
        <v>60000</v>
      </c>
      <c r="D962" s="375">
        <v>9</v>
      </c>
      <c r="E962" s="375">
        <v>18</v>
      </c>
      <c r="F962" s="375">
        <v>0.5</v>
      </c>
      <c r="G962" s="375">
        <v>10569</v>
      </c>
      <c r="H962" s="376">
        <v>1.7031594842606575E-3</v>
      </c>
      <c r="I962" s="375">
        <v>6667</v>
      </c>
      <c r="J962" s="375">
        <v>6667</v>
      </c>
      <c r="K962" s="375">
        <v>18</v>
      </c>
      <c r="L962" s="375">
        <v>5000</v>
      </c>
      <c r="M962" s="375">
        <v>5569</v>
      </c>
      <c r="V962" s="375" t="s">
        <v>596</v>
      </c>
    </row>
    <row r="963" spans="1:22" hidden="1" x14ac:dyDescent="0.25">
      <c r="A963" s="377">
        <v>45338</v>
      </c>
      <c r="B963" s="375">
        <v>150000</v>
      </c>
      <c r="C963" s="375">
        <v>75000</v>
      </c>
      <c r="D963" s="375">
        <v>12</v>
      </c>
      <c r="E963" s="375">
        <v>23</v>
      </c>
      <c r="F963" s="375">
        <v>0.5</v>
      </c>
      <c r="G963" s="375">
        <v>11049</v>
      </c>
      <c r="H963" s="376">
        <v>1.8100969948333645E-3</v>
      </c>
      <c r="I963" s="375">
        <v>6522</v>
      </c>
      <c r="J963" s="375">
        <v>7500</v>
      </c>
      <c r="K963" s="375">
        <v>20</v>
      </c>
      <c r="L963" s="375">
        <v>5000</v>
      </c>
      <c r="M963" s="375">
        <v>6049</v>
      </c>
      <c r="V963" s="375" t="s">
        <v>596</v>
      </c>
    </row>
    <row r="964" spans="1:22" hidden="1" x14ac:dyDescent="0.25">
      <c r="A964" s="377">
        <v>45339</v>
      </c>
      <c r="B964" s="375">
        <v>120000</v>
      </c>
      <c r="C964" s="375">
        <v>60000</v>
      </c>
      <c r="D964" s="375">
        <v>11</v>
      </c>
      <c r="E964" s="375">
        <v>22</v>
      </c>
      <c r="F964" s="375">
        <v>0.5</v>
      </c>
      <c r="G964" s="375">
        <v>11375</v>
      </c>
      <c r="H964" s="376">
        <v>1.4945353617860243E-3</v>
      </c>
      <c r="I964" s="375">
        <v>5455</v>
      </c>
      <c r="J964" s="375">
        <v>7059</v>
      </c>
      <c r="K964" s="375">
        <v>17</v>
      </c>
      <c r="L964" s="375">
        <v>5000</v>
      </c>
      <c r="M964" s="375">
        <v>6375</v>
      </c>
      <c r="V964" s="375" t="s">
        <v>596</v>
      </c>
    </row>
    <row r="965" spans="1:22" hidden="1" x14ac:dyDescent="0.25">
      <c r="A965" s="377">
        <v>45340</v>
      </c>
      <c r="B965" s="375">
        <v>120000</v>
      </c>
      <c r="C965" s="375">
        <v>60000</v>
      </c>
      <c r="D965" s="375">
        <v>11</v>
      </c>
      <c r="E965" s="375">
        <v>22</v>
      </c>
      <c r="F965" s="375">
        <v>0.5</v>
      </c>
      <c r="G965" s="375">
        <v>11375</v>
      </c>
      <c r="H965" s="376">
        <v>1.5824492065969668E-3</v>
      </c>
      <c r="I965" s="375">
        <v>5455</v>
      </c>
      <c r="J965" s="375">
        <v>6667</v>
      </c>
      <c r="K965" s="375">
        <v>18</v>
      </c>
      <c r="L965" s="375">
        <v>5000</v>
      </c>
      <c r="M965" s="375">
        <v>6375</v>
      </c>
      <c r="V965" s="375" t="s">
        <v>596</v>
      </c>
    </row>
    <row r="966" spans="1:22" hidden="1" x14ac:dyDescent="0.25">
      <c r="A966" s="377">
        <v>45341</v>
      </c>
      <c r="B966" s="375">
        <v>120000</v>
      </c>
      <c r="C966" s="375">
        <v>60000</v>
      </c>
      <c r="D966" s="375">
        <v>11</v>
      </c>
      <c r="E966" s="375">
        <v>22</v>
      </c>
      <c r="F966" s="375">
        <v>0.5</v>
      </c>
      <c r="G966" s="375">
        <v>11375</v>
      </c>
      <c r="H966" s="376">
        <v>1.5824492065969668E-3</v>
      </c>
      <c r="I966" s="375">
        <v>5455</v>
      </c>
      <c r="J966" s="375">
        <v>6667</v>
      </c>
      <c r="K966" s="375">
        <v>18</v>
      </c>
      <c r="L966" s="375">
        <v>5000</v>
      </c>
      <c r="M966" s="375">
        <v>6375</v>
      </c>
      <c r="V966" s="375" t="s">
        <v>596</v>
      </c>
    </row>
    <row r="967" spans="1:22" hidden="1" x14ac:dyDescent="0.25">
      <c r="A967" s="377">
        <v>45342</v>
      </c>
      <c r="B967" s="375">
        <v>100000</v>
      </c>
      <c r="C967" s="375">
        <v>50000</v>
      </c>
      <c r="D967" s="375">
        <v>10</v>
      </c>
      <c r="E967" s="375">
        <v>20</v>
      </c>
      <c r="F967" s="375">
        <v>0.5</v>
      </c>
      <c r="G967" s="375">
        <v>11375</v>
      </c>
      <c r="H967" s="376">
        <v>1.3187076721641389E-3</v>
      </c>
      <c r="I967" s="375">
        <v>5000</v>
      </c>
      <c r="J967" s="375">
        <v>6667</v>
      </c>
      <c r="K967" s="375">
        <v>15</v>
      </c>
      <c r="L967" s="375">
        <v>5000</v>
      </c>
      <c r="M967" s="375">
        <v>6375</v>
      </c>
      <c r="V967" s="375" t="s">
        <v>596</v>
      </c>
    </row>
    <row r="968" spans="1:22" hidden="1" x14ac:dyDescent="0.25">
      <c r="A968" s="377">
        <v>45343</v>
      </c>
      <c r="B968" s="375">
        <v>100000</v>
      </c>
      <c r="C968" s="375">
        <v>50000</v>
      </c>
      <c r="D968" s="375">
        <v>11</v>
      </c>
      <c r="E968" s="375">
        <v>22</v>
      </c>
      <c r="F968" s="375">
        <v>0.5</v>
      </c>
      <c r="G968" s="375">
        <v>11375</v>
      </c>
      <c r="H968" s="376">
        <v>1.3187076721641389E-3</v>
      </c>
      <c r="I968" s="375">
        <v>4545</v>
      </c>
      <c r="J968" s="375">
        <v>6667</v>
      </c>
      <c r="K968" s="375">
        <v>15</v>
      </c>
      <c r="L968" s="375">
        <v>5000</v>
      </c>
      <c r="M968" s="375">
        <v>6375</v>
      </c>
      <c r="V968" s="375" t="s">
        <v>596</v>
      </c>
    </row>
    <row r="969" spans="1:22" hidden="1" x14ac:dyDescent="0.25">
      <c r="A969" s="377">
        <v>45344</v>
      </c>
      <c r="B969" s="375">
        <v>120000</v>
      </c>
      <c r="C969" s="375">
        <v>60000</v>
      </c>
      <c r="D969" s="375">
        <v>11</v>
      </c>
      <c r="E969" s="375">
        <v>21</v>
      </c>
      <c r="F969" s="375">
        <v>0.5</v>
      </c>
      <c r="G969" s="375">
        <v>11375</v>
      </c>
      <c r="H969" s="376">
        <v>1.5824492065969668E-3</v>
      </c>
      <c r="I969" s="375">
        <v>5714</v>
      </c>
      <c r="J969" s="375">
        <v>6667</v>
      </c>
      <c r="K969" s="375">
        <v>18</v>
      </c>
      <c r="L969" s="375">
        <v>5000</v>
      </c>
      <c r="M969" s="375">
        <v>6375</v>
      </c>
      <c r="V969" s="375" t="s">
        <v>596</v>
      </c>
    </row>
    <row r="970" spans="1:22" hidden="1" x14ac:dyDescent="0.25">
      <c r="A970" s="377">
        <v>45345</v>
      </c>
      <c r="B970" s="375">
        <v>120000</v>
      </c>
      <c r="C970" s="375">
        <v>60000</v>
      </c>
      <c r="D970" s="375">
        <v>11</v>
      </c>
      <c r="E970" s="375">
        <v>22</v>
      </c>
      <c r="F970" s="375">
        <v>0.5</v>
      </c>
      <c r="G970" s="375">
        <v>11375</v>
      </c>
      <c r="H970" s="376">
        <v>1.5824492065969668E-3</v>
      </c>
      <c r="I970" s="375">
        <v>5455</v>
      </c>
      <c r="J970" s="375">
        <v>6667</v>
      </c>
      <c r="K970" s="375">
        <v>18</v>
      </c>
      <c r="L970" s="375">
        <v>5000</v>
      </c>
      <c r="M970" s="375">
        <v>6375</v>
      </c>
      <c r="V970" s="375" t="s">
        <v>596</v>
      </c>
    </row>
    <row r="971" spans="1:22" hidden="1" x14ac:dyDescent="0.25">
      <c r="A971" s="377">
        <v>45346</v>
      </c>
      <c r="B971" s="375">
        <v>120000</v>
      </c>
      <c r="C971" s="375">
        <v>60000</v>
      </c>
      <c r="D971" s="375">
        <v>11</v>
      </c>
      <c r="E971" s="375">
        <v>22</v>
      </c>
      <c r="F971" s="375">
        <v>0.5</v>
      </c>
      <c r="G971" s="375">
        <v>11375</v>
      </c>
      <c r="H971" s="376">
        <v>1.6703630514079094E-3</v>
      </c>
      <c r="I971" s="375">
        <v>5455</v>
      </c>
      <c r="J971" s="375">
        <v>6316</v>
      </c>
      <c r="K971" s="375">
        <v>19</v>
      </c>
      <c r="L971" s="375">
        <v>5000</v>
      </c>
      <c r="M971" s="375">
        <v>6375</v>
      </c>
      <c r="V971" s="375" t="s">
        <v>596</v>
      </c>
    </row>
    <row r="972" spans="1:22" hidden="1" x14ac:dyDescent="0.25">
      <c r="A972" s="377">
        <v>45347</v>
      </c>
      <c r="B972" s="375">
        <v>100000</v>
      </c>
      <c r="C972" s="375">
        <v>50000</v>
      </c>
      <c r="D972" s="375">
        <v>12</v>
      </c>
      <c r="E972" s="375">
        <v>23</v>
      </c>
      <c r="F972" s="375">
        <v>0.5</v>
      </c>
      <c r="G972" s="375">
        <v>11375</v>
      </c>
      <c r="H972" s="376">
        <v>1.4945353617860243E-3</v>
      </c>
      <c r="I972" s="375">
        <v>4348</v>
      </c>
      <c r="J972" s="375">
        <v>5882</v>
      </c>
      <c r="K972" s="375">
        <v>17</v>
      </c>
      <c r="L972" s="375">
        <v>5000</v>
      </c>
      <c r="M972" s="375">
        <v>6375</v>
      </c>
      <c r="V972" s="375" t="s">
        <v>596</v>
      </c>
    </row>
    <row r="973" spans="1:22" hidden="1" x14ac:dyDescent="0.25">
      <c r="A973" s="377">
        <v>45348</v>
      </c>
      <c r="B973" s="375">
        <v>100000</v>
      </c>
      <c r="C973" s="375">
        <v>50000</v>
      </c>
      <c r="D973" s="375">
        <v>11</v>
      </c>
      <c r="E973" s="375">
        <v>22</v>
      </c>
      <c r="F973" s="375">
        <v>0.5</v>
      </c>
      <c r="G973" s="375">
        <v>11375</v>
      </c>
      <c r="H973" s="376">
        <v>1.4066215169750815E-3</v>
      </c>
      <c r="I973" s="375">
        <v>4545</v>
      </c>
      <c r="J973" s="375">
        <v>6250</v>
      </c>
      <c r="K973" s="375">
        <v>16</v>
      </c>
      <c r="L973" s="375">
        <v>5000</v>
      </c>
      <c r="M973" s="375">
        <v>6375</v>
      </c>
      <c r="V973" s="375" t="s">
        <v>596</v>
      </c>
    </row>
    <row r="974" spans="1:22" hidden="1" x14ac:dyDescent="0.25">
      <c r="A974" s="377">
        <v>45349</v>
      </c>
      <c r="B974" s="375">
        <v>120000</v>
      </c>
      <c r="C974" s="375">
        <v>60000</v>
      </c>
      <c r="D974" s="375">
        <v>11</v>
      </c>
      <c r="E974" s="375">
        <v>22</v>
      </c>
      <c r="F974" s="375">
        <v>0.5</v>
      </c>
      <c r="G974" s="375">
        <v>11371</v>
      </c>
      <c r="H974" s="376">
        <v>1.7588055230763166E-3</v>
      </c>
      <c r="I974" s="375">
        <v>5455</v>
      </c>
      <c r="J974" s="375">
        <v>6000</v>
      </c>
      <c r="K974" s="375">
        <v>20</v>
      </c>
      <c r="L974" s="375">
        <v>5000</v>
      </c>
      <c r="M974" s="375">
        <v>6371</v>
      </c>
      <c r="V974" s="375" t="s">
        <v>596</v>
      </c>
    </row>
    <row r="975" spans="1:22" hidden="1" x14ac:dyDescent="0.25">
      <c r="A975" s="377">
        <v>45350</v>
      </c>
      <c r="B975" s="375">
        <v>120000</v>
      </c>
      <c r="C975" s="375">
        <v>60000</v>
      </c>
      <c r="D975" s="375">
        <v>11</v>
      </c>
      <c r="E975" s="375">
        <v>22</v>
      </c>
      <c r="F975" s="375">
        <v>0.5</v>
      </c>
      <c r="G975" s="375">
        <v>11371</v>
      </c>
      <c r="H975" s="376">
        <v>1.7588055230763166E-3</v>
      </c>
      <c r="I975" s="375">
        <v>5455</v>
      </c>
      <c r="J975" s="375">
        <v>6000</v>
      </c>
      <c r="K975" s="375">
        <v>20</v>
      </c>
      <c r="L975" s="375">
        <v>5000</v>
      </c>
      <c r="M975" s="375">
        <v>6371</v>
      </c>
      <c r="V975" s="375" t="s">
        <v>596</v>
      </c>
    </row>
    <row r="976" spans="1:22" hidden="1" x14ac:dyDescent="0.25">
      <c r="A976" s="377">
        <v>45351</v>
      </c>
      <c r="B976" s="375">
        <v>130000</v>
      </c>
      <c r="C976" s="375">
        <v>65000</v>
      </c>
      <c r="D976" s="375">
        <v>11</v>
      </c>
      <c r="E976" s="375">
        <v>22</v>
      </c>
      <c r="F976" s="375">
        <v>0.5</v>
      </c>
      <c r="G976" s="375">
        <v>11371</v>
      </c>
      <c r="H976" s="376">
        <v>1.7588055230763166E-3</v>
      </c>
      <c r="I976" s="375">
        <v>5909</v>
      </c>
      <c r="J976" s="375">
        <v>6500</v>
      </c>
      <c r="K976" s="375">
        <v>20</v>
      </c>
      <c r="L976" s="375">
        <v>5000</v>
      </c>
      <c r="M976" s="375">
        <v>6371</v>
      </c>
      <c r="V976" s="375" t="s">
        <v>596</v>
      </c>
    </row>
    <row r="977" spans="1:22" hidden="1" x14ac:dyDescent="0.25">
      <c r="A977" s="377">
        <v>45352</v>
      </c>
      <c r="B977" s="375">
        <v>80000</v>
      </c>
      <c r="C977" s="375">
        <v>40000</v>
      </c>
      <c r="D977" s="375">
        <v>8</v>
      </c>
      <c r="E977" s="375">
        <v>16</v>
      </c>
      <c r="F977" s="375">
        <v>0.5</v>
      </c>
      <c r="G977" s="375">
        <v>8936</v>
      </c>
      <c r="H977" s="376">
        <v>1.6786752161278035E-3</v>
      </c>
      <c r="I977" s="375">
        <v>5000</v>
      </c>
      <c r="J977" s="375">
        <v>5333</v>
      </c>
      <c r="K977" s="375">
        <v>15</v>
      </c>
      <c r="L977" s="375">
        <v>3000</v>
      </c>
      <c r="M977" s="375">
        <v>5936</v>
      </c>
      <c r="V977" s="375" t="s">
        <v>596</v>
      </c>
    </row>
    <row r="978" spans="1:22" hidden="1" x14ac:dyDescent="0.25">
      <c r="A978" s="377">
        <v>45353</v>
      </c>
      <c r="B978" s="375">
        <v>80000</v>
      </c>
      <c r="C978" s="375">
        <v>40000</v>
      </c>
      <c r="D978" s="375">
        <v>8</v>
      </c>
      <c r="E978" s="375">
        <v>15</v>
      </c>
      <c r="F978" s="375">
        <v>0.5</v>
      </c>
      <c r="G978" s="375">
        <v>8936</v>
      </c>
      <c r="H978" s="376">
        <v>1.4548518539774296E-3</v>
      </c>
      <c r="I978" s="375">
        <v>5333</v>
      </c>
      <c r="J978" s="375">
        <v>6154</v>
      </c>
      <c r="K978" s="375">
        <v>13</v>
      </c>
      <c r="L978" s="375">
        <v>3000</v>
      </c>
      <c r="M978" s="375">
        <v>5936</v>
      </c>
      <c r="V978" s="375" t="s">
        <v>596</v>
      </c>
    </row>
    <row r="979" spans="1:22" hidden="1" x14ac:dyDescent="0.25">
      <c r="A979" s="377">
        <v>45354</v>
      </c>
      <c r="B979" s="375">
        <v>80000</v>
      </c>
      <c r="C979" s="375">
        <v>40000</v>
      </c>
      <c r="D979" s="375">
        <v>8</v>
      </c>
      <c r="E979" s="375">
        <v>15</v>
      </c>
      <c r="F979" s="375">
        <v>0.5</v>
      </c>
      <c r="G979" s="375">
        <v>8936</v>
      </c>
      <c r="H979" s="376">
        <v>1.4548518539774296E-3</v>
      </c>
      <c r="I979" s="375">
        <v>5333</v>
      </c>
      <c r="J979" s="375">
        <v>6154</v>
      </c>
      <c r="K979" s="375">
        <v>13</v>
      </c>
      <c r="L979" s="375">
        <v>3000</v>
      </c>
      <c r="M979" s="375">
        <v>5936</v>
      </c>
      <c r="V979" s="375" t="s">
        <v>596</v>
      </c>
    </row>
    <row r="980" spans="1:22" hidden="1" x14ac:dyDescent="0.25">
      <c r="A980" s="377">
        <v>45355</v>
      </c>
      <c r="B980" s="375">
        <v>180000</v>
      </c>
      <c r="C980" s="375">
        <v>90000</v>
      </c>
      <c r="D980" s="375">
        <v>19</v>
      </c>
      <c r="E980" s="375">
        <v>38</v>
      </c>
      <c r="F980" s="375">
        <v>0.5</v>
      </c>
      <c r="G980" s="375">
        <v>9436</v>
      </c>
      <c r="H980" s="376">
        <v>3.1794420783224798E-3</v>
      </c>
      <c r="I980" s="375">
        <v>4737</v>
      </c>
      <c r="J980" s="375">
        <v>6000</v>
      </c>
      <c r="K980" s="375">
        <v>30</v>
      </c>
      <c r="L980" s="375">
        <v>3500</v>
      </c>
      <c r="M980" s="375">
        <v>5936</v>
      </c>
      <c r="V980" s="375" t="s">
        <v>596</v>
      </c>
    </row>
    <row r="981" spans="1:22" hidden="1" x14ac:dyDescent="0.25">
      <c r="A981" s="377">
        <v>45356</v>
      </c>
      <c r="B981" s="375">
        <v>120000</v>
      </c>
      <c r="C981" s="375">
        <v>60000</v>
      </c>
      <c r="D981" s="375">
        <v>14</v>
      </c>
      <c r="E981" s="375">
        <v>29</v>
      </c>
      <c r="F981" s="375">
        <v>0.5</v>
      </c>
      <c r="G981" s="375">
        <v>9436</v>
      </c>
      <c r="H981" s="376">
        <v>2.2256094548257356E-3</v>
      </c>
      <c r="I981" s="375">
        <v>4138</v>
      </c>
      <c r="J981" s="375">
        <v>5714</v>
      </c>
      <c r="K981" s="375">
        <v>21</v>
      </c>
      <c r="L981" s="375">
        <v>3500</v>
      </c>
      <c r="M981" s="375">
        <v>5936</v>
      </c>
      <c r="V981" s="375" t="s">
        <v>596</v>
      </c>
    </row>
    <row r="982" spans="1:22" hidden="1" x14ac:dyDescent="0.25">
      <c r="A982" s="377">
        <v>45357</v>
      </c>
      <c r="B982" s="375">
        <v>120000</v>
      </c>
      <c r="C982" s="375">
        <v>60000</v>
      </c>
      <c r="D982" s="375">
        <v>12</v>
      </c>
      <c r="E982" s="375">
        <v>24</v>
      </c>
      <c r="F982" s="375">
        <v>0.5</v>
      </c>
      <c r="G982" s="375">
        <v>9436</v>
      </c>
      <c r="H982" s="376">
        <v>2.1196280522149864E-3</v>
      </c>
      <c r="I982" s="375">
        <v>5000</v>
      </c>
      <c r="J982" s="375">
        <v>6000</v>
      </c>
      <c r="K982" s="375">
        <v>20</v>
      </c>
      <c r="L982" s="375">
        <v>3500</v>
      </c>
      <c r="M982" s="375">
        <v>5936</v>
      </c>
      <c r="V982" s="375" t="s">
        <v>596</v>
      </c>
    </row>
    <row r="983" spans="1:22" hidden="1" x14ac:dyDescent="0.25">
      <c r="A983" s="377">
        <v>45358</v>
      </c>
      <c r="B983" s="375">
        <v>100000</v>
      </c>
      <c r="C983" s="375">
        <v>50000</v>
      </c>
      <c r="D983" s="375">
        <v>11</v>
      </c>
      <c r="E983" s="375">
        <v>21</v>
      </c>
      <c r="F983" s="375">
        <v>0.5</v>
      </c>
      <c r="G983" s="375">
        <v>9436</v>
      </c>
      <c r="H983" s="376">
        <v>1.6957024417719891E-3</v>
      </c>
      <c r="I983" s="375">
        <v>4762</v>
      </c>
      <c r="J983" s="375">
        <v>6250</v>
      </c>
      <c r="K983" s="375">
        <v>16</v>
      </c>
      <c r="L983" s="375">
        <v>3500</v>
      </c>
      <c r="M983" s="375">
        <v>5936</v>
      </c>
      <c r="V983" s="375" t="s">
        <v>596</v>
      </c>
    </row>
    <row r="984" spans="1:22" hidden="1" x14ac:dyDescent="0.25">
      <c r="A984" s="377">
        <v>45359</v>
      </c>
      <c r="B984" s="375">
        <v>160000</v>
      </c>
      <c r="C984" s="375">
        <v>80000</v>
      </c>
      <c r="D984" s="375">
        <v>13</v>
      </c>
      <c r="E984" s="375">
        <v>25</v>
      </c>
      <c r="F984" s="375">
        <v>0.5</v>
      </c>
      <c r="G984" s="375">
        <v>9436</v>
      </c>
      <c r="H984" s="376">
        <v>2.4375722600472344E-3</v>
      </c>
      <c r="I984" s="375">
        <v>6400</v>
      </c>
      <c r="J984" s="375">
        <v>6957</v>
      </c>
      <c r="K984" s="375">
        <v>23</v>
      </c>
      <c r="L984" s="375">
        <v>3500</v>
      </c>
      <c r="M984" s="375">
        <v>5936</v>
      </c>
      <c r="V984" s="375" t="s">
        <v>596</v>
      </c>
    </row>
    <row r="985" spans="1:22" hidden="1" x14ac:dyDescent="0.25">
      <c r="A985" s="377">
        <v>45360</v>
      </c>
      <c r="B985" s="375">
        <v>80000</v>
      </c>
      <c r="C985" s="375">
        <v>40000</v>
      </c>
      <c r="D985" s="375">
        <v>9</v>
      </c>
      <c r="E985" s="375">
        <v>18</v>
      </c>
      <c r="F985" s="375">
        <v>0.5</v>
      </c>
      <c r="G985" s="375">
        <v>8637</v>
      </c>
      <c r="H985" s="376">
        <v>1.389380131233439E-3</v>
      </c>
      <c r="I985" s="375">
        <v>4444</v>
      </c>
      <c r="J985" s="375">
        <v>6667</v>
      </c>
      <c r="K985" s="375">
        <v>12</v>
      </c>
      <c r="L985" s="375">
        <v>3000</v>
      </c>
      <c r="M985" s="375">
        <v>5637</v>
      </c>
      <c r="V985" s="375" t="s">
        <v>596</v>
      </c>
    </row>
    <row r="986" spans="1:22" hidden="1" x14ac:dyDescent="0.25">
      <c r="A986" s="377">
        <v>45361</v>
      </c>
      <c r="B986" s="375">
        <v>80000</v>
      </c>
      <c r="C986" s="375">
        <v>40000</v>
      </c>
      <c r="D986" s="375">
        <v>8</v>
      </c>
      <c r="E986" s="375">
        <v>16</v>
      </c>
      <c r="F986" s="375">
        <v>0.5</v>
      </c>
      <c r="G986" s="375">
        <v>8637</v>
      </c>
      <c r="H986" s="376">
        <v>1.7367251640417988E-3</v>
      </c>
      <c r="I986" s="375">
        <v>5000</v>
      </c>
      <c r="J986" s="375">
        <v>5333</v>
      </c>
      <c r="K986" s="375">
        <v>15</v>
      </c>
      <c r="L986" s="375">
        <v>3000</v>
      </c>
      <c r="M986" s="375">
        <v>5637</v>
      </c>
      <c r="V986" s="375" t="s">
        <v>596</v>
      </c>
    </row>
    <row r="987" spans="1:22" hidden="1" x14ac:dyDescent="0.25">
      <c r="A987" s="377">
        <v>45362</v>
      </c>
      <c r="B987" s="375">
        <v>80000</v>
      </c>
      <c r="C987" s="375">
        <v>40000</v>
      </c>
      <c r="D987" s="375">
        <v>8</v>
      </c>
      <c r="E987" s="375">
        <v>16</v>
      </c>
      <c r="F987" s="375">
        <v>0.5</v>
      </c>
      <c r="G987" s="375">
        <v>8637</v>
      </c>
      <c r="H987" s="376">
        <v>1.6959569677027892E-3</v>
      </c>
      <c r="I987" s="375">
        <v>5000</v>
      </c>
      <c r="J987" s="375">
        <v>5462</v>
      </c>
      <c r="K987" s="375">
        <v>15</v>
      </c>
      <c r="L987" s="375">
        <v>3000</v>
      </c>
      <c r="M987" s="375">
        <v>5637</v>
      </c>
      <c r="V987" s="375" t="s">
        <v>596</v>
      </c>
    </row>
    <row r="988" spans="1:22" hidden="1" x14ac:dyDescent="0.25">
      <c r="A988" s="377">
        <v>45363</v>
      </c>
      <c r="B988" s="375">
        <v>80000</v>
      </c>
      <c r="C988" s="375">
        <v>40000</v>
      </c>
      <c r="D988" s="375">
        <v>8</v>
      </c>
      <c r="E988" s="375">
        <v>15</v>
      </c>
      <c r="F988" s="375">
        <v>0.5</v>
      </c>
      <c r="G988" s="375">
        <v>8637</v>
      </c>
      <c r="H988" s="376">
        <v>1.5746308153978977E-3</v>
      </c>
      <c r="I988" s="375">
        <v>5333</v>
      </c>
      <c r="J988" s="375">
        <v>5882</v>
      </c>
      <c r="K988" s="375">
        <v>14</v>
      </c>
      <c r="L988" s="375">
        <v>3000</v>
      </c>
      <c r="M988" s="375">
        <v>5637</v>
      </c>
      <c r="V988" s="375" t="s">
        <v>596</v>
      </c>
    </row>
    <row r="989" spans="1:22" hidden="1" x14ac:dyDescent="0.25">
      <c r="A989" s="377">
        <v>45364</v>
      </c>
      <c r="B989" s="375">
        <v>80000</v>
      </c>
      <c r="C989" s="375">
        <v>40000</v>
      </c>
      <c r="D989" s="375">
        <v>9</v>
      </c>
      <c r="E989" s="375">
        <v>18</v>
      </c>
      <c r="F989" s="375">
        <v>0.5</v>
      </c>
      <c r="G989" s="375">
        <v>8637</v>
      </c>
      <c r="H989" s="376">
        <v>1.7367251640417988E-3</v>
      </c>
      <c r="I989" s="375">
        <v>4444</v>
      </c>
      <c r="J989" s="375">
        <v>5333</v>
      </c>
      <c r="K989" s="375">
        <v>15</v>
      </c>
      <c r="L989" s="375">
        <v>3000</v>
      </c>
      <c r="M989" s="375">
        <v>5637</v>
      </c>
      <c r="V989" s="375" t="s">
        <v>596</v>
      </c>
    </row>
    <row r="990" spans="1:22" hidden="1" x14ac:dyDescent="0.25">
      <c r="A990" s="377">
        <v>45365</v>
      </c>
      <c r="B990" s="375">
        <v>80000</v>
      </c>
      <c r="C990" s="375">
        <v>40000</v>
      </c>
      <c r="D990" s="375">
        <v>8</v>
      </c>
      <c r="E990" s="375">
        <v>15</v>
      </c>
      <c r="F990" s="375">
        <v>0.5</v>
      </c>
      <c r="G990" s="375">
        <v>8637</v>
      </c>
      <c r="H990" s="376">
        <v>1.6466727481285201E-3</v>
      </c>
      <c r="I990" s="375">
        <v>5333</v>
      </c>
      <c r="J990" s="375">
        <v>5625</v>
      </c>
      <c r="K990" s="375">
        <v>14</v>
      </c>
      <c r="L990" s="375">
        <v>3000</v>
      </c>
      <c r="M990" s="375">
        <v>5637</v>
      </c>
      <c r="V990" s="375" t="s">
        <v>596</v>
      </c>
    </row>
    <row r="991" spans="1:22" hidden="1" x14ac:dyDescent="0.25">
      <c r="A991" s="377">
        <v>45366</v>
      </c>
      <c r="B991" s="375">
        <v>80000</v>
      </c>
      <c r="C991" s="375">
        <v>40000</v>
      </c>
      <c r="D991" s="375">
        <v>9</v>
      </c>
      <c r="E991" s="375">
        <v>18</v>
      </c>
      <c r="F991" s="375">
        <v>0.5</v>
      </c>
      <c r="G991" s="375">
        <v>8637</v>
      </c>
      <c r="H991" s="376">
        <v>1.7367251640417988E-3</v>
      </c>
      <c r="I991" s="375">
        <v>4444</v>
      </c>
      <c r="J991" s="375">
        <v>5333</v>
      </c>
      <c r="K991" s="375">
        <v>15</v>
      </c>
      <c r="L991" s="375">
        <v>3000</v>
      </c>
      <c r="M991" s="375">
        <v>5637</v>
      </c>
      <c r="V991" s="375" t="s">
        <v>596</v>
      </c>
    </row>
    <row r="992" spans="1:22" hidden="1" x14ac:dyDescent="0.25">
      <c r="A992" s="377">
        <v>45367</v>
      </c>
      <c r="B992" s="375">
        <v>80000</v>
      </c>
      <c r="C992" s="375">
        <v>40000</v>
      </c>
      <c r="D992" s="375">
        <v>8</v>
      </c>
      <c r="E992" s="375">
        <v>16</v>
      </c>
      <c r="F992" s="375">
        <v>0.5</v>
      </c>
      <c r="G992" s="375">
        <v>8637</v>
      </c>
      <c r="H992" s="376">
        <v>1.5051618088362255E-3</v>
      </c>
      <c r="I992" s="375">
        <v>5000</v>
      </c>
      <c r="J992" s="375">
        <v>6154</v>
      </c>
      <c r="K992" s="375">
        <v>13</v>
      </c>
      <c r="L992" s="375">
        <v>3000</v>
      </c>
      <c r="M992" s="375">
        <v>5637</v>
      </c>
      <c r="V992" s="375" t="s">
        <v>596</v>
      </c>
    </row>
    <row r="993" spans="1:22" hidden="1" x14ac:dyDescent="0.25">
      <c r="A993" s="377">
        <v>45368</v>
      </c>
      <c r="B993" s="375">
        <v>80000</v>
      </c>
      <c r="C993" s="375">
        <v>40000</v>
      </c>
      <c r="D993" s="375">
        <v>8</v>
      </c>
      <c r="E993" s="375">
        <v>16</v>
      </c>
      <c r="F993" s="375">
        <v>0.5</v>
      </c>
      <c r="G993" s="375">
        <v>8637</v>
      </c>
      <c r="H993" s="376">
        <v>1.5051618088362255E-3</v>
      </c>
      <c r="I993" s="375">
        <v>5000</v>
      </c>
      <c r="J993" s="375">
        <v>6154</v>
      </c>
      <c r="K993" s="375">
        <v>13</v>
      </c>
      <c r="L993" s="375">
        <v>3000</v>
      </c>
      <c r="M993" s="375">
        <v>5637</v>
      </c>
      <c r="V993" s="375" t="s">
        <v>596</v>
      </c>
    </row>
    <row r="994" spans="1:22" hidden="1" x14ac:dyDescent="0.25">
      <c r="A994" s="377">
        <v>45369</v>
      </c>
      <c r="B994" s="375">
        <v>80000</v>
      </c>
      <c r="C994" s="375">
        <v>40000</v>
      </c>
      <c r="D994" s="375">
        <v>8</v>
      </c>
      <c r="E994" s="375">
        <v>16</v>
      </c>
      <c r="F994" s="375">
        <v>0.5</v>
      </c>
      <c r="G994" s="375">
        <v>8637</v>
      </c>
      <c r="H994" s="376">
        <v>1.5051618088362255E-3</v>
      </c>
      <c r="I994" s="375">
        <v>5000</v>
      </c>
      <c r="J994" s="375">
        <v>6154</v>
      </c>
      <c r="K994" s="375">
        <v>13</v>
      </c>
      <c r="L994" s="375">
        <v>3000</v>
      </c>
      <c r="M994" s="375">
        <v>5637</v>
      </c>
      <c r="V994" s="375" t="s">
        <v>596</v>
      </c>
    </row>
    <row r="995" spans="1:22" hidden="1" x14ac:dyDescent="0.25">
      <c r="A995" s="377">
        <v>45370</v>
      </c>
      <c r="B995" s="375">
        <v>80000</v>
      </c>
      <c r="C995" s="375">
        <v>40000</v>
      </c>
      <c r="D995" s="375">
        <v>8</v>
      </c>
      <c r="E995" s="375">
        <v>16</v>
      </c>
      <c r="F995" s="375">
        <v>0.5</v>
      </c>
      <c r="G995" s="375">
        <v>8637</v>
      </c>
      <c r="H995" s="376">
        <v>1.8525068416445855E-3</v>
      </c>
      <c r="I995" s="375">
        <v>5000</v>
      </c>
      <c r="J995" s="375">
        <v>5000</v>
      </c>
      <c r="K995" s="375">
        <v>16</v>
      </c>
      <c r="L995" s="375">
        <v>3000</v>
      </c>
      <c r="M995" s="375">
        <v>5637</v>
      </c>
      <c r="V995" s="375" t="s">
        <v>596</v>
      </c>
    </row>
    <row r="996" spans="1:22" hidden="1" x14ac:dyDescent="0.25">
      <c r="A996" s="377">
        <v>45371</v>
      </c>
      <c r="B996" s="375">
        <v>80000</v>
      </c>
      <c r="C996" s="375">
        <v>40000</v>
      </c>
      <c r="D996" s="375">
        <v>8</v>
      </c>
      <c r="E996" s="375">
        <v>16</v>
      </c>
      <c r="F996" s="375">
        <v>0.5</v>
      </c>
      <c r="G996" s="375">
        <v>8637</v>
      </c>
      <c r="H996" s="376">
        <v>1.7367251640417988E-3</v>
      </c>
      <c r="I996" s="375">
        <v>5000</v>
      </c>
      <c r="J996" s="375">
        <v>5333</v>
      </c>
      <c r="K996" s="375">
        <v>15</v>
      </c>
      <c r="L996" s="375">
        <v>3000</v>
      </c>
      <c r="M996" s="375">
        <v>5637</v>
      </c>
      <c r="V996" s="375" t="s">
        <v>596</v>
      </c>
    </row>
    <row r="997" spans="1:22" hidden="1" x14ac:dyDescent="0.25">
      <c r="A997" s="377">
        <v>45372</v>
      </c>
      <c r="B997" s="375">
        <v>120000</v>
      </c>
      <c r="C997" s="375">
        <v>60000</v>
      </c>
      <c r="D997" s="375">
        <v>12</v>
      </c>
      <c r="E997" s="375">
        <v>23</v>
      </c>
      <c r="F997" s="375">
        <v>0.5</v>
      </c>
      <c r="G997" s="375">
        <v>8779</v>
      </c>
      <c r="H997" s="376">
        <v>2.164150289289206E-3</v>
      </c>
      <c r="I997" s="375">
        <v>5217</v>
      </c>
      <c r="J997" s="375">
        <v>6316</v>
      </c>
      <c r="K997" s="375">
        <v>19</v>
      </c>
      <c r="L997" s="375">
        <v>3000</v>
      </c>
      <c r="M997" s="375">
        <v>5779</v>
      </c>
      <c r="V997" s="375" t="s">
        <v>596</v>
      </c>
    </row>
    <row r="998" spans="1:22" hidden="1" x14ac:dyDescent="0.25">
      <c r="A998" s="377">
        <v>45373</v>
      </c>
      <c r="B998" s="375">
        <v>80000</v>
      </c>
      <c r="C998" s="375">
        <v>40000</v>
      </c>
      <c r="D998" s="375">
        <v>8</v>
      </c>
      <c r="E998" s="375">
        <v>16</v>
      </c>
      <c r="F998" s="375">
        <v>0.5</v>
      </c>
      <c r="G998" s="375">
        <v>8779</v>
      </c>
      <c r="H998" s="376">
        <v>1.3668317616563406E-3</v>
      </c>
      <c r="I998" s="375">
        <v>5000</v>
      </c>
      <c r="J998" s="375">
        <v>6667</v>
      </c>
      <c r="K998" s="375">
        <v>12</v>
      </c>
      <c r="L998" s="375">
        <v>3000</v>
      </c>
      <c r="M998" s="375">
        <v>5779</v>
      </c>
      <c r="V998" s="375" t="s">
        <v>596</v>
      </c>
    </row>
    <row r="999" spans="1:22" hidden="1" x14ac:dyDescent="0.25">
      <c r="A999" s="377">
        <v>45374</v>
      </c>
      <c r="B999" s="375">
        <v>80000</v>
      </c>
      <c r="C999" s="375">
        <v>40000</v>
      </c>
      <c r="D999" s="375">
        <v>8</v>
      </c>
      <c r="E999" s="375">
        <v>16</v>
      </c>
      <c r="F999" s="375">
        <v>0.5</v>
      </c>
      <c r="G999" s="375">
        <v>8779</v>
      </c>
      <c r="H999" s="376">
        <v>1.7085397020704259E-3</v>
      </c>
      <c r="I999" s="375">
        <v>5000</v>
      </c>
      <c r="J999" s="375">
        <v>5333</v>
      </c>
      <c r="K999" s="375">
        <v>15</v>
      </c>
      <c r="L999" s="375">
        <v>3000</v>
      </c>
      <c r="M999" s="375">
        <v>5779</v>
      </c>
      <c r="V999" s="375" t="s">
        <v>596</v>
      </c>
    </row>
    <row r="1000" spans="1:22" hidden="1" x14ac:dyDescent="0.25">
      <c r="A1000" s="377">
        <v>45375</v>
      </c>
      <c r="B1000" s="375">
        <v>100000</v>
      </c>
      <c r="C1000" s="375">
        <v>50000</v>
      </c>
      <c r="D1000" s="375">
        <v>10</v>
      </c>
      <c r="E1000" s="375">
        <v>19</v>
      </c>
      <c r="F1000" s="375">
        <v>0.5</v>
      </c>
      <c r="G1000" s="375">
        <v>8779</v>
      </c>
      <c r="H1000" s="376">
        <v>1.8224423488751209E-3</v>
      </c>
      <c r="I1000" s="375">
        <v>5263</v>
      </c>
      <c r="J1000" s="375">
        <v>6250</v>
      </c>
      <c r="K1000" s="375">
        <v>16</v>
      </c>
      <c r="L1000" s="375">
        <v>3000</v>
      </c>
      <c r="M1000" s="375">
        <v>5779</v>
      </c>
      <c r="V1000" s="375" t="s">
        <v>596</v>
      </c>
    </row>
    <row r="1001" spans="1:22" hidden="1" x14ac:dyDescent="0.25">
      <c r="A1001" s="377">
        <v>45376</v>
      </c>
      <c r="B1001" s="375">
        <v>80000</v>
      </c>
      <c r="C1001" s="375">
        <v>40000</v>
      </c>
      <c r="D1001" s="375">
        <v>8</v>
      </c>
      <c r="E1001" s="375">
        <v>16</v>
      </c>
      <c r="F1001" s="375">
        <v>0.5</v>
      </c>
      <c r="G1001" s="375">
        <v>8637</v>
      </c>
      <c r="H1001" s="376">
        <v>1.5051618088362255E-3</v>
      </c>
      <c r="I1001" s="375">
        <v>5000</v>
      </c>
      <c r="J1001" s="375">
        <v>6154</v>
      </c>
      <c r="K1001" s="375">
        <v>13</v>
      </c>
      <c r="L1001" s="375">
        <v>3000</v>
      </c>
      <c r="M1001" s="375">
        <v>5637</v>
      </c>
      <c r="V1001" s="375" t="s">
        <v>596</v>
      </c>
    </row>
    <row r="1002" spans="1:22" hidden="1" x14ac:dyDescent="0.25">
      <c r="A1002" s="377">
        <v>45377</v>
      </c>
      <c r="B1002" s="375">
        <v>80000</v>
      </c>
      <c r="C1002" s="375">
        <v>40000</v>
      </c>
      <c r="D1002" s="375">
        <v>8</v>
      </c>
      <c r="E1002" s="375">
        <v>16</v>
      </c>
      <c r="F1002" s="375">
        <v>0.5</v>
      </c>
      <c r="G1002" s="375">
        <v>8637</v>
      </c>
      <c r="H1002" s="376">
        <v>1.5051618088362255E-3</v>
      </c>
      <c r="I1002" s="375">
        <v>5000</v>
      </c>
      <c r="J1002" s="375">
        <v>6154</v>
      </c>
      <c r="K1002" s="375">
        <v>13</v>
      </c>
      <c r="L1002" s="375">
        <v>3000</v>
      </c>
      <c r="M1002" s="375">
        <v>5637</v>
      </c>
      <c r="V1002" s="375" t="s">
        <v>596</v>
      </c>
    </row>
    <row r="1003" spans="1:22" hidden="1" x14ac:dyDescent="0.25">
      <c r="A1003" s="377">
        <v>45378</v>
      </c>
      <c r="B1003" s="375">
        <v>130000</v>
      </c>
      <c r="C1003" s="375">
        <v>65000</v>
      </c>
      <c r="D1003" s="375">
        <v>13</v>
      </c>
      <c r="E1003" s="375">
        <v>25</v>
      </c>
      <c r="F1003" s="375">
        <v>0.5</v>
      </c>
      <c r="G1003" s="375">
        <v>9413</v>
      </c>
      <c r="H1003" s="376">
        <v>2.3372526932922762E-3</v>
      </c>
      <c r="I1003" s="375">
        <v>5200</v>
      </c>
      <c r="J1003" s="375">
        <v>5909</v>
      </c>
      <c r="K1003" s="375">
        <v>22</v>
      </c>
      <c r="L1003" s="375">
        <v>3500</v>
      </c>
      <c r="M1003" s="375">
        <v>5913</v>
      </c>
      <c r="V1003" s="375" t="s">
        <v>596</v>
      </c>
    </row>
    <row r="1004" spans="1:22" hidden="1" x14ac:dyDescent="0.25">
      <c r="A1004" s="377">
        <v>45379</v>
      </c>
      <c r="B1004" s="375">
        <v>100000</v>
      </c>
      <c r="C1004" s="375">
        <v>50000</v>
      </c>
      <c r="D1004" s="375">
        <v>9</v>
      </c>
      <c r="E1004" s="375">
        <v>18</v>
      </c>
      <c r="F1004" s="375">
        <v>0.5</v>
      </c>
      <c r="G1004" s="375">
        <v>9413</v>
      </c>
      <c r="H1004" s="376">
        <v>1.699820140576201E-3</v>
      </c>
      <c r="I1004" s="375">
        <v>5556</v>
      </c>
      <c r="J1004" s="375">
        <v>6250</v>
      </c>
      <c r="K1004" s="375">
        <v>16</v>
      </c>
      <c r="L1004" s="375">
        <v>3500</v>
      </c>
      <c r="M1004" s="375">
        <v>5913</v>
      </c>
      <c r="V1004" s="375" t="s">
        <v>596</v>
      </c>
    </row>
    <row r="1005" spans="1:22" hidden="1" x14ac:dyDescent="0.25">
      <c r="A1005" s="377">
        <v>45380</v>
      </c>
      <c r="B1005" s="375">
        <v>120000</v>
      </c>
      <c r="C1005" s="375">
        <v>60000</v>
      </c>
      <c r="D1005" s="375">
        <v>13</v>
      </c>
      <c r="E1005" s="375">
        <v>25</v>
      </c>
      <c r="F1005" s="375">
        <v>0.5</v>
      </c>
      <c r="G1005" s="375">
        <v>9279</v>
      </c>
      <c r="H1005" s="376">
        <v>2.1553054390062196E-3</v>
      </c>
      <c r="I1005" s="375">
        <v>4800</v>
      </c>
      <c r="J1005" s="375">
        <v>6000</v>
      </c>
      <c r="K1005" s="375">
        <v>20</v>
      </c>
      <c r="L1005" s="375">
        <v>3500</v>
      </c>
      <c r="M1005" s="375">
        <v>5779</v>
      </c>
      <c r="V1005" s="375" t="s">
        <v>596</v>
      </c>
    </row>
    <row r="1006" spans="1:22" hidden="1" x14ac:dyDescent="0.25">
      <c r="A1006" s="377">
        <v>45381</v>
      </c>
      <c r="B1006" s="375">
        <v>100000</v>
      </c>
      <c r="C1006" s="375">
        <v>50000</v>
      </c>
      <c r="D1006" s="375">
        <v>10</v>
      </c>
      <c r="E1006" s="375">
        <v>20</v>
      </c>
      <c r="F1006" s="375">
        <v>0.5</v>
      </c>
      <c r="G1006" s="375">
        <v>8637</v>
      </c>
      <c r="H1006" s="376">
        <v>1.8525068416445855E-3</v>
      </c>
      <c r="I1006" s="375">
        <v>5000</v>
      </c>
      <c r="J1006" s="375">
        <v>6250</v>
      </c>
      <c r="K1006" s="375">
        <v>16</v>
      </c>
      <c r="L1006" s="375">
        <v>3000</v>
      </c>
      <c r="M1006" s="375">
        <v>5637</v>
      </c>
      <c r="V1006" s="375" t="s">
        <v>596</v>
      </c>
    </row>
    <row r="1007" spans="1:22" hidden="1" x14ac:dyDescent="0.25">
      <c r="A1007" s="377">
        <v>45382</v>
      </c>
      <c r="B1007" s="375">
        <v>100000</v>
      </c>
      <c r="C1007" s="375">
        <v>50000</v>
      </c>
      <c r="D1007" s="375">
        <v>11</v>
      </c>
      <c r="E1007" s="375">
        <v>22</v>
      </c>
      <c r="F1007" s="375">
        <v>0.5</v>
      </c>
      <c r="G1007" s="375">
        <v>8760</v>
      </c>
      <c r="H1007" s="376">
        <v>2.0547893406069836E-3</v>
      </c>
      <c r="I1007" s="375">
        <v>4545</v>
      </c>
      <c r="J1007" s="375">
        <v>5556</v>
      </c>
      <c r="K1007" s="375">
        <v>18</v>
      </c>
      <c r="L1007" s="375">
        <v>3000</v>
      </c>
      <c r="M1007" s="375">
        <v>5760</v>
      </c>
      <c r="V1007" s="375" t="s">
        <v>596</v>
      </c>
    </row>
    <row r="1008" spans="1:22" hidden="1" x14ac:dyDescent="0.25">
      <c r="A1008" s="377">
        <v>45383</v>
      </c>
      <c r="B1008" s="375">
        <v>40000</v>
      </c>
      <c r="C1008" s="375">
        <v>20000</v>
      </c>
      <c r="D1008" s="375">
        <v>5</v>
      </c>
      <c r="E1008" s="375">
        <v>10</v>
      </c>
      <c r="F1008" s="375">
        <v>0.5</v>
      </c>
      <c r="G1008" s="375">
        <v>9318</v>
      </c>
      <c r="H1008" s="376">
        <v>8.5853578765548175E-4</v>
      </c>
      <c r="I1008" s="375">
        <v>4000</v>
      </c>
      <c r="J1008" s="375">
        <v>5000</v>
      </c>
      <c r="K1008" s="375">
        <v>8</v>
      </c>
      <c r="L1008" s="375">
        <v>1700</v>
      </c>
      <c r="M1008" s="375">
        <v>7618</v>
      </c>
      <c r="V1008" s="375" t="s">
        <v>596</v>
      </c>
    </row>
    <row r="1009" spans="1:22" hidden="1" x14ac:dyDescent="0.25">
      <c r="A1009" s="377">
        <v>45384</v>
      </c>
      <c r="B1009" s="375">
        <v>40000</v>
      </c>
      <c r="C1009" s="375">
        <v>20000</v>
      </c>
      <c r="D1009" s="375">
        <v>5</v>
      </c>
      <c r="E1009" s="375">
        <v>10</v>
      </c>
      <c r="F1009" s="375">
        <v>0.5</v>
      </c>
      <c r="G1009" s="375">
        <v>9318</v>
      </c>
      <c r="H1009" s="376">
        <v>8.5853578765548175E-4</v>
      </c>
      <c r="I1009" s="375">
        <v>4000</v>
      </c>
      <c r="J1009" s="375">
        <v>5000</v>
      </c>
      <c r="K1009" s="375">
        <v>8</v>
      </c>
      <c r="L1009" s="375">
        <v>1700</v>
      </c>
      <c r="M1009" s="375">
        <v>7618</v>
      </c>
      <c r="V1009" s="375" t="s">
        <v>596</v>
      </c>
    </row>
    <row r="1010" spans="1:22" hidden="1" x14ac:dyDescent="0.25">
      <c r="A1010" s="377">
        <v>45385</v>
      </c>
      <c r="B1010" s="375">
        <v>40000</v>
      </c>
      <c r="C1010" s="375">
        <v>20000</v>
      </c>
      <c r="D1010" s="375">
        <v>5</v>
      </c>
      <c r="E1010" s="375">
        <v>10</v>
      </c>
      <c r="F1010" s="375">
        <v>0.5</v>
      </c>
      <c r="G1010" s="375">
        <v>9318</v>
      </c>
      <c r="H1010" s="376">
        <v>8.5853578765548175E-4</v>
      </c>
      <c r="I1010" s="375">
        <v>4000</v>
      </c>
      <c r="J1010" s="375">
        <v>5000</v>
      </c>
      <c r="K1010" s="375">
        <v>8</v>
      </c>
      <c r="L1010" s="375">
        <v>1700</v>
      </c>
      <c r="M1010" s="375">
        <v>7618</v>
      </c>
      <c r="V1010" s="375" t="s">
        <v>596</v>
      </c>
    </row>
    <row r="1011" spans="1:22" hidden="1" x14ac:dyDescent="0.25">
      <c r="A1011" s="377">
        <v>45386</v>
      </c>
      <c r="B1011" s="375">
        <v>40000</v>
      </c>
      <c r="C1011" s="375">
        <v>20000</v>
      </c>
      <c r="D1011" s="375">
        <v>5</v>
      </c>
      <c r="E1011" s="375">
        <v>10</v>
      </c>
      <c r="F1011" s="375">
        <v>0.5</v>
      </c>
      <c r="G1011" s="375">
        <v>9318</v>
      </c>
      <c r="H1011" s="376">
        <v>8.5853578765548175E-4</v>
      </c>
      <c r="I1011" s="375">
        <v>4000</v>
      </c>
      <c r="J1011" s="375">
        <v>5000</v>
      </c>
      <c r="K1011" s="375">
        <v>8</v>
      </c>
      <c r="L1011" s="375">
        <v>1700</v>
      </c>
      <c r="M1011" s="375">
        <v>7618</v>
      </c>
      <c r="V1011" s="375" t="s">
        <v>596</v>
      </c>
    </row>
    <row r="1012" spans="1:22" hidden="1" x14ac:dyDescent="0.25">
      <c r="A1012" s="377">
        <v>45387</v>
      </c>
      <c r="B1012" s="375">
        <v>40000</v>
      </c>
      <c r="C1012" s="375">
        <v>20000</v>
      </c>
      <c r="D1012" s="375">
        <v>5</v>
      </c>
      <c r="E1012" s="375">
        <v>10</v>
      </c>
      <c r="F1012" s="375">
        <v>0.5</v>
      </c>
      <c r="G1012" s="375">
        <v>9318</v>
      </c>
      <c r="H1012" s="376">
        <v>8.5853578765548175E-4</v>
      </c>
      <c r="I1012" s="375">
        <v>4000</v>
      </c>
      <c r="J1012" s="375">
        <v>5000</v>
      </c>
      <c r="K1012" s="375">
        <v>8</v>
      </c>
      <c r="L1012" s="375">
        <v>1700</v>
      </c>
      <c r="M1012" s="375">
        <v>7618</v>
      </c>
      <c r="V1012" s="375" t="s">
        <v>596</v>
      </c>
    </row>
    <row r="1013" spans="1:22" hidden="1" x14ac:dyDescent="0.25">
      <c r="A1013" s="377">
        <v>45388</v>
      </c>
      <c r="B1013" s="375">
        <v>40000</v>
      </c>
      <c r="C1013" s="375">
        <v>20000</v>
      </c>
      <c r="D1013" s="375">
        <v>5</v>
      </c>
      <c r="E1013" s="375">
        <v>10</v>
      </c>
      <c r="F1013" s="375">
        <v>0.5</v>
      </c>
      <c r="G1013" s="375">
        <v>9318</v>
      </c>
      <c r="H1013" s="376">
        <v>8.5853578765548175E-4</v>
      </c>
      <c r="I1013" s="375">
        <v>4000</v>
      </c>
      <c r="J1013" s="375">
        <v>5000</v>
      </c>
      <c r="K1013" s="375">
        <v>8</v>
      </c>
      <c r="L1013" s="375">
        <v>1700</v>
      </c>
      <c r="M1013" s="375">
        <v>7618</v>
      </c>
      <c r="V1013" s="375" t="s">
        <v>596</v>
      </c>
    </row>
    <row r="1014" spans="1:22" hidden="1" x14ac:dyDescent="0.25">
      <c r="A1014" s="377">
        <v>45389</v>
      </c>
      <c r="B1014" s="375">
        <v>40000</v>
      </c>
      <c r="C1014" s="375">
        <v>20000</v>
      </c>
      <c r="D1014" s="375">
        <v>5</v>
      </c>
      <c r="E1014" s="375">
        <v>10</v>
      </c>
      <c r="F1014" s="375">
        <v>0.5</v>
      </c>
      <c r="G1014" s="375">
        <v>9318</v>
      </c>
      <c r="H1014" s="376">
        <v>8.5853578765548175E-4</v>
      </c>
      <c r="I1014" s="375">
        <v>4000</v>
      </c>
      <c r="J1014" s="375">
        <v>5000</v>
      </c>
      <c r="K1014" s="375">
        <v>8</v>
      </c>
      <c r="L1014" s="375">
        <v>1700</v>
      </c>
      <c r="M1014" s="375">
        <v>7618</v>
      </c>
      <c r="V1014" s="375" t="s">
        <v>596</v>
      </c>
    </row>
    <row r="1015" spans="1:22" hidden="1" x14ac:dyDescent="0.25">
      <c r="A1015" s="377">
        <v>45390</v>
      </c>
      <c r="B1015" s="375">
        <v>40000</v>
      </c>
      <c r="C1015" s="375">
        <v>20000</v>
      </c>
      <c r="D1015" s="375">
        <v>5</v>
      </c>
      <c r="E1015" s="375">
        <v>10</v>
      </c>
      <c r="F1015" s="375">
        <v>0.5</v>
      </c>
      <c r="G1015" s="375">
        <v>9318</v>
      </c>
      <c r="H1015" s="376">
        <v>8.5853578765548175E-4</v>
      </c>
      <c r="I1015" s="375">
        <v>4000</v>
      </c>
      <c r="J1015" s="375">
        <v>5000</v>
      </c>
      <c r="K1015" s="375">
        <v>8</v>
      </c>
      <c r="L1015" s="375">
        <v>1700</v>
      </c>
      <c r="M1015" s="375">
        <v>7618</v>
      </c>
      <c r="V1015" s="375" t="s">
        <v>596</v>
      </c>
    </row>
    <row r="1016" spans="1:22" hidden="1" x14ac:dyDescent="0.25">
      <c r="A1016" s="377">
        <v>45391</v>
      </c>
      <c r="B1016" s="375">
        <v>40000</v>
      </c>
      <c r="C1016" s="375">
        <v>20000</v>
      </c>
      <c r="D1016" s="375">
        <v>5</v>
      </c>
      <c r="E1016" s="375">
        <v>10</v>
      </c>
      <c r="F1016" s="375">
        <v>0.5</v>
      </c>
      <c r="G1016" s="375">
        <v>9318</v>
      </c>
      <c r="H1016" s="376">
        <v>8.5853578765548175E-4</v>
      </c>
      <c r="I1016" s="375">
        <v>4000</v>
      </c>
      <c r="J1016" s="375">
        <v>5000</v>
      </c>
      <c r="K1016" s="375">
        <v>8</v>
      </c>
      <c r="L1016" s="375">
        <v>1700</v>
      </c>
      <c r="M1016" s="375">
        <v>7618</v>
      </c>
      <c r="V1016" s="375" t="s">
        <v>596</v>
      </c>
    </row>
    <row r="1017" spans="1:22" hidden="1" x14ac:dyDescent="0.25">
      <c r="A1017" s="377">
        <v>45392</v>
      </c>
      <c r="B1017" s="375">
        <v>40000</v>
      </c>
      <c r="C1017" s="375">
        <v>20000</v>
      </c>
      <c r="D1017" s="375">
        <v>5</v>
      </c>
      <c r="E1017" s="375">
        <v>10</v>
      </c>
      <c r="F1017" s="375">
        <v>0.5</v>
      </c>
      <c r="G1017" s="375">
        <v>9318</v>
      </c>
      <c r="H1017" s="376">
        <v>8.5853578765548175E-4</v>
      </c>
      <c r="I1017" s="375">
        <v>4000</v>
      </c>
      <c r="J1017" s="375">
        <v>5000</v>
      </c>
      <c r="K1017" s="375">
        <v>8</v>
      </c>
      <c r="L1017" s="375">
        <v>1700</v>
      </c>
      <c r="M1017" s="375">
        <v>7618</v>
      </c>
      <c r="V1017" s="375" t="s">
        <v>596</v>
      </c>
    </row>
    <row r="1018" spans="1:22" hidden="1" x14ac:dyDescent="0.25">
      <c r="A1018" s="377">
        <v>45393</v>
      </c>
      <c r="B1018" s="375">
        <v>50000</v>
      </c>
      <c r="C1018" s="375">
        <v>25000</v>
      </c>
      <c r="D1018" s="375">
        <v>5</v>
      </c>
      <c r="E1018" s="375">
        <v>10</v>
      </c>
      <c r="F1018" s="375">
        <v>0.5</v>
      </c>
      <c r="G1018" s="375">
        <v>9654</v>
      </c>
      <c r="H1018" s="376">
        <v>8.2867694930188393E-4</v>
      </c>
      <c r="I1018" s="375">
        <v>5000</v>
      </c>
      <c r="J1018" s="375">
        <v>6250</v>
      </c>
      <c r="K1018" s="375">
        <v>8</v>
      </c>
      <c r="L1018" s="375">
        <v>1800</v>
      </c>
      <c r="M1018" s="375">
        <v>7854</v>
      </c>
      <c r="V1018" s="375" t="s">
        <v>596</v>
      </c>
    </row>
    <row r="1019" spans="1:22" hidden="1" x14ac:dyDescent="0.25">
      <c r="A1019" s="377">
        <v>45394</v>
      </c>
      <c r="B1019" s="375">
        <v>50000</v>
      </c>
      <c r="C1019" s="375">
        <v>25000</v>
      </c>
      <c r="D1019" s="375">
        <v>5</v>
      </c>
      <c r="E1019" s="375">
        <v>10</v>
      </c>
      <c r="F1019" s="375">
        <v>0.5</v>
      </c>
      <c r="G1019" s="375">
        <v>9654</v>
      </c>
      <c r="H1019" s="376">
        <v>8.2867694930188393E-4</v>
      </c>
      <c r="I1019" s="375">
        <v>5000</v>
      </c>
      <c r="J1019" s="375">
        <v>6250</v>
      </c>
      <c r="K1019" s="375">
        <v>8</v>
      </c>
      <c r="L1019" s="375">
        <v>1800</v>
      </c>
      <c r="M1019" s="375">
        <v>7854</v>
      </c>
      <c r="V1019" s="375" t="s">
        <v>596</v>
      </c>
    </row>
    <row r="1020" spans="1:22" hidden="1" x14ac:dyDescent="0.25">
      <c r="A1020" s="377">
        <v>45395</v>
      </c>
      <c r="B1020" s="375">
        <v>50000</v>
      </c>
      <c r="C1020" s="375">
        <v>25000</v>
      </c>
      <c r="D1020" s="375">
        <v>5</v>
      </c>
      <c r="E1020" s="375">
        <v>10</v>
      </c>
      <c r="F1020" s="375">
        <v>0.5</v>
      </c>
      <c r="G1020" s="375">
        <v>9654</v>
      </c>
      <c r="H1020" s="376">
        <v>8.2867694930188393E-4</v>
      </c>
      <c r="I1020" s="375">
        <v>5000</v>
      </c>
      <c r="J1020" s="375">
        <v>6250</v>
      </c>
      <c r="K1020" s="375">
        <v>8</v>
      </c>
      <c r="L1020" s="375">
        <v>1800</v>
      </c>
      <c r="M1020" s="375">
        <v>7854</v>
      </c>
      <c r="V1020" s="375" t="s">
        <v>596</v>
      </c>
    </row>
    <row r="1021" spans="1:22" hidden="1" x14ac:dyDescent="0.25">
      <c r="A1021" s="377">
        <v>45396</v>
      </c>
      <c r="B1021" s="375">
        <v>50000</v>
      </c>
      <c r="C1021" s="375">
        <v>25000</v>
      </c>
      <c r="D1021" s="375">
        <v>5</v>
      </c>
      <c r="E1021" s="375">
        <v>10</v>
      </c>
      <c r="F1021" s="375">
        <v>0.5</v>
      </c>
      <c r="G1021" s="375">
        <v>9654</v>
      </c>
      <c r="H1021" s="376">
        <v>8.2867694930188393E-4</v>
      </c>
      <c r="I1021" s="375">
        <v>5000</v>
      </c>
      <c r="J1021" s="375">
        <v>6250</v>
      </c>
      <c r="K1021" s="375">
        <v>8</v>
      </c>
      <c r="L1021" s="375">
        <v>1800</v>
      </c>
      <c r="M1021" s="375">
        <v>7854</v>
      </c>
      <c r="V1021" s="375" t="s">
        <v>596</v>
      </c>
    </row>
    <row r="1022" spans="1:22" hidden="1" x14ac:dyDescent="0.25">
      <c r="A1022" s="377">
        <v>45397</v>
      </c>
      <c r="B1022" s="375">
        <v>50000</v>
      </c>
      <c r="C1022" s="375">
        <v>25000</v>
      </c>
      <c r="D1022" s="375">
        <v>5</v>
      </c>
      <c r="E1022" s="375">
        <v>10</v>
      </c>
      <c r="F1022" s="375">
        <v>0.5</v>
      </c>
      <c r="G1022" s="375">
        <v>9654</v>
      </c>
      <c r="H1022" s="376">
        <v>8.2867694930188393E-4</v>
      </c>
      <c r="I1022" s="375">
        <v>5000</v>
      </c>
      <c r="J1022" s="375">
        <v>6250</v>
      </c>
      <c r="K1022" s="375">
        <v>8</v>
      </c>
      <c r="L1022" s="375">
        <v>1800</v>
      </c>
      <c r="M1022" s="375">
        <v>7854</v>
      </c>
      <c r="V1022" s="375" t="s">
        <v>596</v>
      </c>
    </row>
    <row r="1023" spans="1:22" hidden="1" x14ac:dyDescent="0.25">
      <c r="A1023" s="377">
        <v>45398</v>
      </c>
      <c r="B1023" s="375">
        <v>40000</v>
      </c>
      <c r="C1023" s="375">
        <v>20000</v>
      </c>
      <c r="D1023" s="375">
        <v>5</v>
      </c>
      <c r="E1023" s="375">
        <v>10</v>
      </c>
      <c r="F1023" s="375">
        <v>0.5</v>
      </c>
      <c r="G1023" s="375">
        <v>9318</v>
      </c>
      <c r="H1023" s="376">
        <v>8.5853578765548175E-4</v>
      </c>
      <c r="I1023" s="375">
        <v>4000</v>
      </c>
      <c r="J1023" s="375">
        <v>5000</v>
      </c>
      <c r="K1023" s="375">
        <v>8</v>
      </c>
      <c r="L1023" s="375">
        <v>1700</v>
      </c>
      <c r="M1023" s="375">
        <v>7618</v>
      </c>
      <c r="V1023" s="375" t="s">
        <v>596</v>
      </c>
    </row>
    <row r="1024" spans="1:22" hidden="1" x14ac:dyDescent="0.25">
      <c r="A1024" s="377">
        <v>45399</v>
      </c>
      <c r="B1024" s="375">
        <v>40000</v>
      </c>
      <c r="C1024" s="375">
        <v>20000</v>
      </c>
      <c r="D1024" s="375">
        <v>5</v>
      </c>
      <c r="E1024" s="375">
        <v>10</v>
      </c>
      <c r="F1024" s="375">
        <v>0.5</v>
      </c>
      <c r="G1024" s="375">
        <v>9318</v>
      </c>
      <c r="H1024" s="376">
        <v>8.5853578765548175E-4</v>
      </c>
      <c r="I1024" s="375">
        <v>4000</v>
      </c>
      <c r="J1024" s="375">
        <v>5000</v>
      </c>
      <c r="K1024" s="375">
        <v>8</v>
      </c>
      <c r="L1024" s="375">
        <v>1700</v>
      </c>
      <c r="M1024" s="375">
        <v>7618</v>
      </c>
      <c r="V1024" s="375" t="s">
        <v>596</v>
      </c>
    </row>
    <row r="1025" spans="1:22" hidden="1" x14ac:dyDescent="0.25">
      <c r="A1025" s="377">
        <v>45400</v>
      </c>
      <c r="B1025" s="375">
        <v>40000</v>
      </c>
      <c r="C1025" s="375">
        <v>20000</v>
      </c>
      <c r="D1025" s="375">
        <v>6</v>
      </c>
      <c r="E1025" s="375">
        <v>11</v>
      </c>
      <c r="F1025" s="375">
        <v>0.5</v>
      </c>
      <c r="G1025" s="375">
        <v>9318</v>
      </c>
      <c r="H1025" s="376">
        <v>8.5853578765548175E-4</v>
      </c>
      <c r="I1025" s="375">
        <v>3636</v>
      </c>
      <c r="J1025" s="375">
        <v>5000</v>
      </c>
      <c r="K1025" s="375">
        <v>8</v>
      </c>
      <c r="L1025" s="375">
        <v>1700</v>
      </c>
      <c r="M1025" s="375">
        <v>7618</v>
      </c>
      <c r="V1025" s="375" t="s">
        <v>596</v>
      </c>
    </row>
    <row r="1026" spans="1:22" hidden="1" x14ac:dyDescent="0.25">
      <c r="A1026" s="377">
        <v>45401</v>
      </c>
      <c r="B1026" s="375">
        <v>50000</v>
      </c>
      <c r="C1026" s="375">
        <v>25000</v>
      </c>
      <c r="D1026" s="375">
        <v>6</v>
      </c>
      <c r="E1026" s="375">
        <v>11</v>
      </c>
      <c r="F1026" s="375">
        <v>0.5</v>
      </c>
      <c r="G1026" s="375">
        <v>9548</v>
      </c>
      <c r="H1026" s="376">
        <v>8.3786648724475208E-4</v>
      </c>
      <c r="I1026" s="375">
        <v>4545</v>
      </c>
      <c r="J1026" s="375">
        <v>6250</v>
      </c>
      <c r="K1026" s="375">
        <v>8</v>
      </c>
      <c r="L1026" s="375">
        <v>1700</v>
      </c>
      <c r="M1026" s="375">
        <v>7848</v>
      </c>
      <c r="V1026" s="375" t="s">
        <v>596</v>
      </c>
    </row>
    <row r="1027" spans="1:22" hidden="1" x14ac:dyDescent="0.25">
      <c r="A1027" s="377">
        <v>45402</v>
      </c>
      <c r="B1027" s="375">
        <v>50000</v>
      </c>
      <c r="C1027" s="375">
        <v>25000</v>
      </c>
      <c r="D1027" s="375">
        <v>6</v>
      </c>
      <c r="E1027" s="375">
        <v>11</v>
      </c>
      <c r="F1027" s="375">
        <v>0.5</v>
      </c>
      <c r="G1027" s="375">
        <v>9548</v>
      </c>
      <c r="H1027" s="376">
        <v>8.3786648724475208E-4</v>
      </c>
      <c r="I1027" s="375">
        <v>4545</v>
      </c>
      <c r="J1027" s="375">
        <v>6250</v>
      </c>
      <c r="K1027" s="375">
        <v>8</v>
      </c>
      <c r="L1027" s="375">
        <v>1700</v>
      </c>
      <c r="M1027" s="375">
        <v>7848</v>
      </c>
      <c r="V1027" s="375" t="s">
        <v>596</v>
      </c>
    </row>
    <row r="1028" spans="1:22" hidden="1" x14ac:dyDescent="0.25">
      <c r="A1028" s="377">
        <v>45403</v>
      </c>
      <c r="B1028" s="375">
        <v>50000</v>
      </c>
      <c r="C1028" s="375">
        <v>25000</v>
      </c>
      <c r="D1028" s="375">
        <v>6</v>
      </c>
      <c r="E1028" s="375">
        <v>11</v>
      </c>
      <c r="F1028" s="375">
        <v>0.5</v>
      </c>
      <c r="G1028" s="375">
        <v>9548</v>
      </c>
      <c r="H1028" s="376">
        <v>8.3786648724475208E-4</v>
      </c>
      <c r="I1028" s="375">
        <v>4545</v>
      </c>
      <c r="J1028" s="375">
        <v>6250</v>
      </c>
      <c r="K1028" s="375">
        <v>8</v>
      </c>
      <c r="L1028" s="375">
        <v>1700</v>
      </c>
      <c r="M1028" s="375">
        <v>7848</v>
      </c>
      <c r="V1028" s="375" t="s">
        <v>596</v>
      </c>
    </row>
    <row r="1029" spans="1:22" hidden="1" x14ac:dyDescent="0.25">
      <c r="A1029" s="377">
        <v>45404</v>
      </c>
      <c r="B1029" s="375">
        <v>50000</v>
      </c>
      <c r="C1029" s="375">
        <v>25000</v>
      </c>
      <c r="D1029" s="375">
        <v>6</v>
      </c>
      <c r="E1029" s="375">
        <v>11</v>
      </c>
      <c r="F1029" s="375">
        <v>0.5</v>
      </c>
      <c r="G1029" s="375">
        <v>9548</v>
      </c>
      <c r="H1029" s="376">
        <v>8.3786648724475208E-4</v>
      </c>
      <c r="I1029" s="375">
        <v>4545</v>
      </c>
      <c r="J1029" s="375">
        <v>6250</v>
      </c>
      <c r="K1029" s="375">
        <v>8</v>
      </c>
      <c r="L1029" s="375">
        <v>1700</v>
      </c>
      <c r="M1029" s="375">
        <v>7848</v>
      </c>
      <c r="V1029" s="375" t="s">
        <v>596</v>
      </c>
    </row>
    <row r="1030" spans="1:22" hidden="1" x14ac:dyDescent="0.25">
      <c r="A1030" s="377">
        <v>45405</v>
      </c>
      <c r="B1030" s="375">
        <v>50000</v>
      </c>
      <c r="C1030" s="375">
        <v>25000</v>
      </c>
      <c r="D1030" s="375">
        <v>6</v>
      </c>
      <c r="E1030" s="375">
        <v>11</v>
      </c>
      <c r="F1030" s="375">
        <v>0.5</v>
      </c>
      <c r="G1030" s="375">
        <v>9548</v>
      </c>
      <c r="H1030" s="376">
        <v>8.3786648724475208E-4</v>
      </c>
      <c r="I1030" s="375">
        <v>4545</v>
      </c>
      <c r="J1030" s="375">
        <v>6250</v>
      </c>
      <c r="K1030" s="375">
        <v>8</v>
      </c>
      <c r="L1030" s="375">
        <v>1700</v>
      </c>
      <c r="M1030" s="375">
        <v>7848</v>
      </c>
      <c r="V1030" s="375" t="s">
        <v>596</v>
      </c>
    </row>
    <row r="1031" spans="1:22" hidden="1" x14ac:dyDescent="0.25">
      <c r="A1031" s="377">
        <v>45406</v>
      </c>
      <c r="B1031" s="375">
        <v>50000</v>
      </c>
      <c r="C1031" s="375">
        <v>25000</v>
      </c>
      <c r="D1031" s="375">
        <v>6</v>
      </c>
      <c r="E1031" s="375">
        <v>11</v>
      </c>
      <c r="F1031" s="375">
        <v>0.5</v>
      </c>
      <c r="G1031" s="375">
        <v>9318</v>
      </c>
      <c r="H1031" s="376">
        <v>8.5853578765548175E-4</v>
      </c>
      <c r="I1031" s="375">
        <v>4545</v>
      </c>
      <c r="J1031" s="375">
        <v>6250</v>
      </c>
      <c r="K1031" s="375">
        <v>8</v>
      </c>
      <c r="L1031" s="375">
        <v>1700</v>
      </c>
      <c r="M1031" s="375">
        <v>7618</v>
      </c>
      <c r="V1031" s="375" t="s">
        <v>596</v>
      </c>
    </row>
    <row r="1032" spans="1:22" hidden="1" x14ac:dyDescent="0.25">
      <c r="A1032" s="377">
        <v>45407</v>
      </c>
      <c r="B1032" s="375">
        <v>50000</v>
      </c>
      <c r="C1032" s="375">
        <v>25000</v>
      </c>
      <c r="D1032" s="375">
        <v>5</v>
      </c>
      <c r="E1032" s="375">
        <v>10</v>
      </c>
      <c r="F1032" s="375">
        <v>0.5</v>
      </c>
      <c r="G1032" s="375">
        <v>9318</v>
      </c>
      <c r="H1032" s="376">
        <v>8.5853578765548175E-4</v>
      </c>
      <c r="I1032" s="375">
        <v>5000</v>
      </c>
      <c r="J1032" s="375">
        <v>6250</v>
      </c>
      <c r="K1032" s="375">
        <v>8</v>
      </c>
      <c r="L1032" s="375">
        <v>1700</v>
      </c>
      <c r="M1032" s="375">
        <v>7618</v>
      </c>
      <c r="V1032" s="375" t="s">
        <v>596</v>
      </c>
    </row>
    <row r="1033" spans="1:22" hidden="1" x14ac:dyDescent="0.25">
      <c r="A1033" s="377">
        <v>45408</v>
      </c>
      <c r="B1033" s="375">
        <v>50000</v>
      </c>
      <c r="C1033" s="375">
        <v>25000</v>
      </c>
      <c r="D1033" s="375">
        <v>5</v>
      </c>
      <c r="E1033" s="375">
        <v>10</v>
      </c>
      <c r="F1033" s="375">
        <v>0.5</v>
      </c>
      <c r="G1033" s="375">
        <v>9318</v>
      </c>
      <c r="H1033" s="376">
        <v>8.5853578765548175E-4</v>
      </c>
      <c r="I1033" s="375">
        <v>5000</v>
      </c>
      <c r="J1033" s="375">
        <v>6250</v>
      </c>
      <c r="K1033" s="375">
        <v>8</v>
      </c>
      <c r="L1033" s="375">
        <v>1700</v>
      </c>
      <c r="M1033" s="375">
        <v>7618</v>
      </c>
      <c r="V1033" s="375" t="s">
        <v>596</v>
      </c>
    </row>
    <row r="1034" spans="1:22" hidden="1" x14ac:dyDescent="0.25">
      <c r="A1034" s="377">
        <v>45409</v>
      </c>
      <c r="B1034" s="375">
        <v>50000</v>
      </c>
      <c r="C1034" s="375">
        <v>25000</v>
      </c>
      <c r="D1034" s="375">
        <v>5</v>
      </c>
      <c r="E1034" s="375">
        <v>10</v>
      </c>
      <c r="F1034" s="375">
        <v>0.5</v>
      </c>
      <c r="G1034" s="375">
        <v>9318</v>
      </c>
      <c r="H1034" s="376">
        <v>8.5853578765548175E-4</v>
      </c>
      <c r="I1034" s="375">
        <v>5000</v>
      </c>
      <c r="J1034" s="375">
        <v>6250</v>
      </c>
      <c r="K1034" s="375">
        <v>8</v>
      </c>
      <c r="L1034" s="375">
        <v>1700</v>
      </c>
      <c r="M1034" s="375">
        <v>7618</v>
      </c>
      <c r="V1034" s="375" t="s">
        <v>596</v>
      </c>
    </row>
    <row r="1035" spans="1:22" hidden="1" x14ac:dyDescent="0.25">
      <c r="A1035" s="377">
        <v>45410</v>
      </c>
      <c r="B1035" s="375">
        <v>50000</v>
      </c>
      <c r="C1035" s="375">
        <v>25000</v>
      </c>
      <c r="D1035" s="375">
        <v>5</v>
      </c>
      <c r="E1035" s="375">
        <v>10</v>
      </c>
      <c r="F1035" s="375">
        <v>0.5</v>
      </c>
      <c r="G1035" s="375">
        <v>9318</v>
      </c>
      <c r="H1035" s="376">
        <v>8.5853578765548175E-4</v>
      </c>
      <c r="I1035" s="375">
        <v>5000</v>
      </c>
      <c r="J1035" s="375">
        <v>6250</v>
      </c>
      <c r="K1035" s="375">
        <v>8</v>
      </c>
      <c r="L1035" s="375">
        <v>1700</v>
      </c>
      <c r="M1035" s="375">
        <v>7618</v>
      </c>
      <c r="V1035" s="375" t="s">
        <v>596</v>
      </c>
    </row>
    <row r="1036" spans="1:22" hidden="1" x14ac:dyDescent="0.25">
      <c r="A1036" s="377">
        <v>45411</v>
      </c>
      <c r="B1036" s="375">
        <v>50000</v>
      </c>
      <c r="C1036" s="375">
        <v>25000</v>
      </c>
      <c r="D1036" s="375">
        <v>5</v>
      </c>
      <c r="E1036" s="375">
        <v>10</v>
      </c>
      <c r="F1036" s="375">
        <v>0.5</v>
      </c>
      <c r="G1036" s="375">
        <v>9318</v>
      </c>
      <c r="H1036" s="376">
        <v>8.5853578765548175E-4</v>
      </c>
      <c r="I1036" s="375">
        <v>5000</v>
      </c>
      <c r="J1036" s="375">
        <v>6250</v>
      </c>
      <c r="K1036" s="375">
        <v>8</v>
      </c>
      <c r="L1036" s="375">
        <v>1700</v>
      </c>
      <c r="M1036" s="375">
        <v>7618</v>
      </c>
      <c r="V1036" s="375" t="s">
        <v>596</v>
      </c>
    </row>
    <row r="1037" spans="1:22" hidden="1" x14ac:dyDescent="0.25">
      <c r="A1037" s="377">
        <v>45412</v>
      </c>
      <c r="B1037" s="375">
        <v>50000</v>
      </c>
      <c r="C1037" s="375">
        <v>25000</v>
      </c>
      <c r="D1037" s="375">
        <v>5</v>
      </c>
      <c r="E1037" s="375">
        <v>10</v>
      </c>
      <c r="F1037" s="375">
        <v>0.5</v>
      </c>
      <c r="G1037" s="375">
        <v>9318</v>
      </c>
      <c r="H1037" s="376">
        <v>8.5853578765548175E-4</v>
      </c>
      <c r="I1037" s="375">
        <v>5000</v>
      </c>
      <c r="J1037" s="375">
        <v>6250</v>
      </c>
      <c r="K1037" s="375">
        <v>8</v>
      </c>
      <c r="L1037" s="375">
        <v>1700</v>
      </c>
      <c r="M1037" s="375">
        <v>7618</v>
      </c>
      <c r="V1037" s="375" t="s">
        <v>596</v>
      </c>
    </row>
    <row r="1038" spans="1:22" hidden="1" x14ac:dyDescent="0.25">
      <c r="A1038" s="377">
        <v>45413</v>
      </c>
      <c r="B1038" s="375">
        <v>60000</v>
      </c>
      <c r="C1038" s="375">
        <v>30000</v>
      </c>
      <c r="D1038" s="375">
        <v>9</v>
      </c>
      <c r="E1038" s="375">
        <v>17</v>
      </c>
      <c r="F1038" s="375">
        <v>0.5</v>
      </c>
      <c r="G1038" s="375">
        <v>8867</v>
      </c>
      <c r="H1038" s="376">
        <v>1.5037028683132214E-3</v>
      </c>
      <c r="I1038" s="375">
        <v>3500</v>
      </c>
      <c r="J1038" s="375">
        <v>4500</v>
      </c>
      <c r="K1038" s="375">
        <v>13</v>
      </c>
      <c r="L1038" s="375">
        <v>1404</v>
      </c>
      <c r="M1038" s="375">
        <v>7998</v>
      </c>
      <c r="V1038" s="375" t="s">
        <v>596</v>
      </c>
    </row>
    <row r="1039" spans="1:22" hidden="1" x14ac:dyDescent="0.25">
      <c r="A1039" s="377">
        <v>45414</v>
      </c>
      <c r="B1039" s="375">
        <v>30000</v>
      </c>
      <c r="C1039" s="375">
        <v>15000</v>
      </c>
      <c r="D1039" s="375">
        <v>4</v>
      </c>
      <c r="E1039" s="375">
        <v>8</v>
      </c>
      <c r="F1039" s="375">
        <v>0.5</v>
      </c>
      <c r="G1039" s="375">
        <v>10336</v>
      </c>
      <c r="H1039" s="376">
        <v>6.4499484004127967E-4</v>
      </c>
      <c r="I1039" s="375">
        <v>4000</v>
      </c>
      <c r="J1039" s="375">
        <v>4500</v>
      </c>
      <c r="K1039" s="375">
        <v>7</v>
      </c>
      <c r="L1039" s="375">
        <v>1321</v>
      </c>
      <c r="M1039" s="375">
        <v>9492</v>
      </c>
      <c r="V1039" s="375" t="s">
        <v>596</v>
      </c>
    </row>
    <row r="1040" spans="1:22" hidden="1" x14ac:dyDescent="0.25">
      <c r="A1040" s="377">
        <v>45415</v>
      </c>
      <c r="B1040" s="375">
        <v>30000</v>
      </c>
      <c r="C1040" s="375">
        <v>15000</v>
      </c>
      <c r="D1040" s="375">
        <v>4</v>
      </c>
      <c r="E1040" s="375">
        <v>8</v>
      </c>
      <c r="F1040" s="375">
        <v>0.5</v>
      </c>
      <c r="G1040" s="375">
        <v>10816</v>
      </c>
      <c r="H1040" s="376">
        <v>6.1637080867850099E-4</v>
      </c>
      <c r="I1040" s="375">
        <v>4000</v>
      </c>
      <c r="J1040" s="375">
        <v>4500</v>
      </c>
      <c r="K1040" s="375">
        <v>7</v>
      </c>
      <c r="L1040" s="375">
        <v>1414</v>
      </c>
      <c r="M1040" s="375">
        <v>9930</v>
      </c>
      <c r="V1040" s="375" t="s">
        <v>596</v>
      </c>
    </row>
    <row r="1041" spans="1:22" hidden="1" x14ac:dyDescent="0.25">
      <c r="A1041" s="377">
        <v>45416</v>
      </c>
      <c r="B1041" s="375">
        <v>50000</v>
      </c>
      <c r="C1041" s="375">
        <v>22500</v>
      </c>
      <c r="D1041" s="375">
        <v>6</v>
      </c>
      <c r="E1041" s="375">
        <v>13</v>
      </c>
      <c r="F1041" s="375">
        <v>0.55000000000000004</v>
      </c>
      <c r="G1041" s="375">
        <v>10833</v>
      </c>
      <c r="H1041" s="376">
        <v>1.0256725847974809E-3</v>
      </c>
      <c r="I1041" s="375">
        <v>4000</v>
      </c>
      <c r="J1041" s="375">
        <v>4500</v>
      </c>
      <c r="K1041" s="375">
        <v>11</v>
      </c>
      <c r="L1041" s="375">
        <v>1384</v>
      </c>
      <c r="M1041" s="375">
        <v>10108</v>
      </c>
      <c r="V1041" s="375" t="s">
        <v>596</v>
      </c>
    </row>
    <row r="1042" spans="1:22" hidden="1" x14ac:dyDescent="0.25">
      <c r="A1042" s="377">
        <v>45417</v>
      </c>
      <c r="B1042" s="375">
        <v>50000</v>
      </c>
      <c r="C1042" s="375">
        <v>22500</v>
      </c>
      <c r="D1042" s="375">
        <v>6</v>
      </c>
      <c r="E1042" s="375">
        <v>13</v>
      </c>
      <c r="F1042" s="375">
        <v>0.55000000000000004</v>
      </c>
      <c r="G1042" s="375">
        <v>12189</v>
      </c>
      <c r="H1042" s="376">
        <v>9.1156871860785223E-4</v>
      </c>
      <c r="I1042" s="375">
        <v>4000</v>
      </c>
      <c r="J1042" s="375">
        <v>4500</v>
      </c>
      <c r="K1042" s="375">
        <v>11</v>
      </c>
      <c r="L1042" s="375">
        <v>1972</v>
      </c>
      <c r="M1042" s="375">
        <v>11394</v>
      </c>
      <c r="V1042" s="375" t="s">
        <v>596</v>
      </c>
    </row>
    <row r="1043" spans="1:22" hidden="1" x14ac:dyDescent="0.25">
      <c r="A1043" s="377">
        <v>45418</v>
      </c>
      <c r="B1043" s="375">
        <v>60000</v>
      </c>
      <c r="C1043" s="375">
        <v>27000</v>
      </c>
      <c r="D1043" s="375">
        <v>7</v>
      </c>
      <c r="E1043" s="375">
        <v>15</v>
      </c>
      <c r="F1043" s="375">
        <v>0.55000000000000004</v>
      </c>
      <c r="G1043" s="375">
        <v>15000</v>
      </c>
      <c r="H1043" s="376">
        <v>8.8888888888888893E-4</v>
      </c>
      <c r="I1043" s="375">
        <v>4000</v>
      </c>
      <c r="J1043" s="375">
        <v>4500</v>
      </c>
      <c r="K1043" s="375">
        <v>13</v>
      </c>
      <c r="L1043" s="375">
        <v>2606</v>
      </c>
      <c r="M1043" s="375">
        <v>12394</v>
      </c>
      <c r="V1043" s="375" t="s">
        <v>596</v>
      </c>
    </row>
    <row r="1044" spans="1:22" hidden="1" x14ac:dyDescent="0.25">
      <c r="A1044" s="377">
        <v>45419</v>
      </c>
      <c r="B1044" s="375">
        <v>80000</v>
      </c>
      <c r="C1044" s="375">
        <v>36000</v>
      </c>
      <c r="D1044" s="375">
        <v>9</v>
      </c>
      <c r="E1044" s="375">
        <v>20</v>
      </c>
      <c r="F1044" s="375">
        <v>0.55000000000000004</v>
      </c>
      <c r="G1044" s="375">
        <v>50000</v>
      </c>
      <c r="H1044" s="376">
        <v>3.5555555555555557E-4</v>
      </c>
      <c r="I1044" s="375">
        <v>4000</v>
      </c>
      <c r="J1044" s="375">
        <v>4500</v>
      </c>
      <c r="K1044" s="375">
        <v>18</v>
      </c>
      <c r="L1044" s="375">
        <v>37340</v>
      </c>
      <c r="M1044" s="375">
        <v>12660</v>
      </c>
      <c r="V1044" s="375" t="s">
        <v>596</v>
      </c>
    </row>
    <row r="1045" spans="1:22" hidden="1" x14ac:dyDescent="0.25">
      <c r="A1045" s="377">
        <v>45420</v>
      </c>
      <c r="B1045" s="375">
        <v>60000</v>
      </c>
      <c r="C1045" s="375">
        <v>30000</v>
      </c>
      <c r="D1045" s="375">
        <v>8</v>
      </c>
      <c r="E1045" s="375">
        <v>15</v>
      </c>
      <c r="F1045" s="375">
        <v>0.5</v>
      </c>
      <c r="G1045" s="375">
        <v>30000</v>
      </c>
      <c r="H1045" s="376">
        <v>4.4444444444444447E-4</v>
      </c>
      <c r="I1045" s="375">
        <v>4000</v>
      </c>
      <c r="J1045" s="375">
        <v>4500</v>
      </c>
      <c r="K1045" s="375">
        <v>13</v>
      </c>
      <c r="L1045" s="375">
        <v>21340</v>
      </c>
      <c r="M1045" s="375">
        <v>8660</v>
      </c>
      <c r="V1045" s="375" t="s">
        <v>596</v>
      </c>
    </row>
    <row r="1046" spans="1:22" hidden="1" x14ac:dyDescent="0.25">
      <c r="A1046" s="377">
        <v>45421</v>
      </c>
      <c r="B1046" s="375">
        <v>60000</v>
      </c>
      <c r="C1046" s="375">
        <v>30000</v>
      </c>
      <c r="D1046" s="375">
        <v>8</v>
      </c>
      <c r="E1046" s="375">
        <v>15</v>
      </c>
      <c r="F1046" s="375">
        <v>0.5</v>
      </c>
      <c r="G1046" s="375">
        <v>40000</v>
      </c>
      <c r="H1046" s="376">
        <v>3.3333333333333332E-4</v>
      </c>
      <c r="I1046" s="375">
        <v>4000</v>
      </c>
      <c r="J1046" s="375">
        <v>4500</v>
      </c>
      <c r="K1046" s="375">
        <v>13</v>
      </c>
      <c r="L1046" s="375">
        <v>31340</v>
      </c>
      <c r="M1046" s="375">
        <v>8660</v>
      </c>
      <c r="V1046" s="375" t="s">
        <v>596</v>
      </c>
    </row>
    <row r="1047" spans="1:22" hidden="1" x14ac:dyDescent="0.25">
      <c r="A1047" s="377">
        <v>45422</v>
      </c>
      <c r="B1047" s="375">
        <v>60000</v>
      </c>
      <c r="C1047" s="375">
        <v>30000</v>
      </c>
      <c r="D1047" s="375">
        <v>8</v>
      </c>
      <c r="E1047" s="375">
        <v>15</v>
      </c>
      <c r="F1047" s="375">
        <v>0.5</v>
      </c>
      <c r="G1047" s="375">
        <v>30000</v>
      </c>
      <c r="H1047" s="376">
        <v>4.4444444444444447E-4</v>
      </c>
      <c r="I1047" s="375">
        <v>4000</v>
      </c>
      <c r="J1047" s="375">
        <v>4500</v>
      </c>
      <c r="K1047" s="375">
        <v>13</v>
      </c>
      <c r="L1047" s="375">
        <v>21340</v>
      </c>
      <c r="M1047" s="375">
        <v>8660</v>
      </c>
      <c r="V1047" s="375" t="s">
        <v>596</v>
      </c>
    </row>
    <row r="1048" spans="1:22" hidden="1" x14ac:dyDescent="0.25">
      <c r="A1048" s="377">
        <v>45423</v>
      </c>
      <c r="B1048" s="375">
        <v>60000</v>
      </c>
      <c r="C1048" s="375">
        <v>30000</v>
      </c>
      <c r="D1048" s="375">
        <v>8</v>
      </c>
      <c r="E1048" s="375">
        <v>15</v>
      </c>
      <c r="F1048" s="375">
        <v>0.5</v>
      </c>
      <c r="G1048" s="375">
        <v>30000</v>
      </c>
      <c r="H1048" s="376">
        <v>4.4444444444444447E-4</v>
      </c>
      <c r="I1048" s="375">
        <v>4000</v>
      </c>
      <c r="J1048" s="375">
        <v>4500</v>
      </c>
      <c r="K1048" s="375">
        <v>13</v>
      </c>
      <c r="L1048" s="375">
        <v>21340</v>
      </c>
      <c r="M1048" s="375">
        <v>8660</v>
      </c>
      <c r="V1048" s="375" t="s">
        <v>596</v>
      </c>
    </row>
    <row r="1049" spans="1:22" hidden="1" x14ac:dyDescent="0.25">
      <c r="A1049" s="377">
        <v>45424</v>
      </c>
      <c r="B1049" s="375">
        <v>60000</v>
      </c>
      <c r="C1049" s="375">
        <v>33000</v>
      </c>
      <c r="D1049" s="375">
        <v>8</v>
      </c>
      <c r="E1049" s="375">
        <v>15</v>
      </c>
      <c r="F1049" s="375">
        <v>0.45</v>
      </c>
      <c r="G1049" s="375">
        <v>15000</v>
      </c>
      <c r="H1049" s="376">
        <v>8.8888888888888893E-4</v>
      </c>
      <c r="I1049" s="375">
        <v>4000</v>
      </c>
      <c r="J1049" s="375">
        <v>4500</v>
      </c>
      <c r="K1049" s="375">
        <v>13</v>
      </c>
      <c r="L1049" s="375">
        <v>3622</v>
      </c>
      <c r="M1049" s="375">
        <v>11378</v>
      </c>
      <c r="V1049" s="375" t="s">
        <v>596</v>
      </c>
    </row>
    <row r="1050" spans="1:22" hidden="1" x14ac:dyDescent="0.25">
      <c r="A1050" s="377">
        <v>45425</v>
      </c>
      <c r="B1050" s="375">
        <v>20000</v>
      </c>
      <c r="C1050" s="375">
        <v>11000</v>
      </c>
      <c r="D1050" s="375">
        <v>3</v>
      </c>
      <c r="E1050" s="375">
        <v>5</v>
      </c>
      <c r="F1050" s="375">
        <v>0.45</v>
      </c>
      <c r="G1050" s="375">
        <v>15000</v>
      </c>
      <c r="H1050" s="376">
        <v>2.9629629629629629E-4</v>
      </c>
      <c r="I1050" s="375">
        <v>4000</v>
      </c>
      <c r="J1050" s="375">
        <v>4500</v>
      </c>
      <c r="K1050" s="375">
        <v>4</v>
      </c>
      <c r="L1050" s="375">
        <v>3338</v>
      </c>
      <c r="M1050" s="375">
        <v>11662</v>
      </c>
      <c r="V1050" s="375" t="s">
        <v>596</v>
      </c>
    </row>
    <row r="1051" spans="1:22" hidden="1" x14ac:dyDescent="0.25">
      <c r="A1051" s="377">
        <v>45426</v>
      </c>
      <c r="B1051" s="375">
        <v>20000</v>
      </c>
      <c r="C1051" s="375">
        <v>11000</v>
      </c>
      <c r="D1051" s="375">
        <v>3</v>
      </c>
      <c r="E1051" s="375">
        <v>5</v>
      </c>
      <c r="F1051" s="375">
        <v>0.45</v>
      </c>
      <c r="G1051" s="375">
        <v>15000</v>
      </c>
      <c r="H1051" s="376">
        <v>2.9629629629629629E-4</v>
      </c>
      <c r="I1051" s="375">
        <v>4000</v>
      </c>
      <c r="J1051" s="375">
        <v>4500</v>
      </c>
      <c r="K1051" s="375">
        <v>4</v>
      </c>
      <c r="L1051" s="375">
        <v>3338</v>
      </c>
      <c r="M1051" s="375">
        <v>11662</v>
      </c>
      <c r="V1051" s="375" t="s">
        <v>596</v>
      </c>
    </row>
    <row r="1052" spans="1:22" hidden="1" x14ac:dyDescent="0.25">
      <c r="A1052" s="377">
        <v>45427</v>
      </c>
      <c r="B1052" s="375">
        <v>200000</v>
      </c>
      <c r="C1052" s="375">
        <v>90000</v>
      </c>
      <c r="D1052" s="375">
        <v>22</v>
      </c>
      <c r="E1052" s="375">
        <v>50</v>
      </c>
      <c r="F1052" s="375">
        <v>0.55000000000000004</v>
      </c>
      <c r="G1052" s="375">
        <v>35000</v>
      </c>
      <c r="H1052" s="376">
        <v>1.2698412698412698E-3</v>
      </c>
      <c r="I1052" s="375">
        <v>4000</v>
      </c>
      <c r="J1052" s="375">
        <v>4500</v>
      </c>
      <c r="K1052" s="375">
        <v>44</v>
      </c>
      <c r="L1052" s="375">
        <v>13457</v>
      </c>
      <c r="M1052" s="375">
        <v>21543</v>
      </c>
      <c r="V1052" s="375" t="s">
        <v>596</v>
      </c>
    </row>
    <row r="1053" spans="1:22" hidden="1" x14ac:dyDescent="0.25">
      <c r="A1053" s="377">
        <v>45428</v>
      </c>
      <c r="B1053" s="375">
        <v>150000</v>
      </c>
      <c r="C1053" s="375">
        <v>67500</v>
      </c>
      <c r="D1053" s="375">
        <v>17</v>
      </c>
      <c r="E1053" s="375">
        <v>38</v>
      </c>
      <c r="F1053" s="375">
        <v>0.55000000000000004</v>
      </c>
      <c r="G1053" s="375">
        <v>35000</v>
      </c>
      <c r="H1053" s="376">
        <v>9.5238095238095249E-4</v>
      </c>
      <c r="I1053" s="375">
        <v>4000</v>
      </c>
      <c r="J1053" s="375">
        <v>4500</v>
      </c>
      <c r="K1053" s="375">
        <v>33</v>
      </c>
      <c r="L1053" s="375">
        <v>9457</v>
      </c>
      <c r="M1053" s="375">
        <v>25543</v>
      </c>
      <c r="V1053" s="375" t="s">
        <v>596</v>
      </c>
    </row>
    <row r="1054" spans="1:22" hidden="1" x14ac:dyDescent="0.25">
      <c r="A1054" s="377">
        <v>45429</v>
      </c>
      <c r="B1054" s="375">
        <v>150000</v>
      </c>
      <c r="C1054" s="375">
        <v>70500</v>
      </c>
      <c r="D1054" s="375">
        <v>18</v>
      </c>
      <c r="E1054" s="375">
        <v>38</v>
      </c>
      <c r="F1054" s="375">
        <v>0.53</v>
      </c>
      <c r="G1054" s="375">
        <v>35000</v>
      </c>
      <c r="H1054" s="376">
        <v>9.5238095238095249E-4</v>
      </c>
      <c r="I1054" s="375">
        <v>4000</v>
      </c>
      <c r="J1054" s="375">
        <v>4500</v>
      </c>
      <c r="K1054" s="375">
        <v>33</v>
      </c>
      <c r="L1054" s="375">
        <v>13828</v>
      </c>
      <c r="M1054" s="375">
        <v>21172</v>
      </c>
      <c r="V1054" s="375" t="s">
        <v>596</v>
      </c>
    </row>
    <row r="1055" spans="1:22" hidden="1" x14ac:dyDescent="0.25">
      <c r="A1055" s="377">
        <v>45430</v>
      </c>
      <c r="B1055" s="375">
        <v>130000</v>
      </c>
      <c r="C1055" s="375">
        <v>65000</v>
      </c>
      <c r="D1055" s="375">
        <v>16</v>
      </c>
      <c r="E1055" s="375">
        <v>33</v>
      </c>
      <c r="F1055" s="375">
        <v>0.5</v>
      </c>
      <c r="G1055" s="375">
        <v>15000</v>
      </c>
      <c r="H1055" s="376">
        <v>1.925925925925926E-3</v>
      </c>
      <c r="I1055" s="375">
        <v>4000</v>
      </c>
      <c r="J1055" s="375">
        <v>4500</v>
      </c>
      <c r="K1055" s="375">
        <v>29</v>
      </c>
      <c r="L1055" s="375">
        <v>2553</v>
      </c>
      <c r="M1055" s="375">
        <v>12447</v>
      </c>
      <c r="V1055" s="375" t="s">
        <v>596</v>
      </c>
    </row>
    <row r="1056" spans="1:22" hidden="1" x14ac:dyDescent="0.25">
      <c r="A1056" s="377">
        <v>45431</v>
      </c>
      <c r="B1056" s="375">
        <v>130000</v>
      </c>
      <c r="C1056" s="375">
        <v>65000</v>
      </c>
      <c r="D1056" s="375">
        <v>16</v>
      </c>
      <c r="E1056" s="375">
        <v>33</v>
      </c>
      <c r="F1056" s="375">
        <v>0.5</v>
      </c>
      <c r="G1056" s="375">
        <v>30000</v>
      </c>
      <c r="H1056" s="376">
        <v>9.6296296296296299E-4</v>
      </c>
      <c r="I1056" s="375">
        <v>4000</v>
      </c>
      <c r="J1056" s="375">
        <v>4500</v>
      </c>
      <c r="K1056" s="375">
        <v>29</v>
      </c>
      <c r="L1056" s="375">
        <v>8851</v>
      </c>
      <c r="M1056" s="375">
        <v>21149</v>
      </c>
      <c r="V1056" s="375" t="s">
        <v>596</v>
      </c>
    </row>
    <row r="1057" spans="1:22" hidden="1" x14ac:dyDescent="0.25">
      <c r="A1057" s="377">
        <v>45432</v>
      </c>
      <c r="B1057" s="375">
        <v>850000</v>
      </c>
      <c r="C1057" s="375">
        <v>385000</v>
      </c>
      <c r="D1057" s="375">
        <v>152</v>
      </c>
      <c r="E1057" s="375">
        <v>336</v>
      </c>
      <c r="F1057" s="375">
        <v>0.54705882352941182</v>
      </c>
      <c r="G1057" s="375">
        <v>42000</v>
      </c>
      <c r="H1057" s="376">
        <v>6.6375746440055115E-3</v>
      </c>
      <c r="I1057" s="375">
        <v>2529</v>
      </c>
      <c r="J1057" s="375">
        <v>3049</v>
      </c>
      <c r="K1057" s="375">
        <v>279</v>
      </c>
      <c r="L1057" s="375">
        <v>17572</v>
      </c>
      <c r="M1057" s="375">
        <v>24428</v>
      </c>
      <c r="V1057" s="375" t="s">
        <v>596</v>
      </c>
    </row>
    <row r="1058" spans="1:22" hidden="1" x14ac:dyDescent="0.25">
      <c r="A1058" s="377">
        <v>45433</v>
      </c>
      <c r="B1058" s="375">
        <v>460000</v>
      </c>
      <c r="C1058" s="375">
        <v>184000</v>
      </c>
      <c r="D1058" s="375">
        <v>66</v>
      </c>
      <c r="E1058" s="375">
        <v>164</v>
      </c>
      <c r="F1058" s="375">
        <v>0.6</v>
      </c>
      <c r="G1058" s="375">
        <v>30000</v>
      </c>
      <c r="H1058" s="376">
        <v>5.1111111111111114E-3</v>
      </c>
      <c r="I1058" s="375">
        <v>2800</v>
      </c>
      <c r="J1058" s="375">
        <v>3000</v>
      </c>
      <c r="K1058" s="375">
        <v>153</v>
      </c>
      <c r="L1058" s="375">
        <v>2303</v>
      </c>
      <c r="M1058" s="375">
        <v>27697</v>
      </c>
      <c r="V1058" s="375" t="s">
        <v>596</v>
      </c>
    </row>
    <row r="1059" spans="1:22" hidden="1" x14ac:dyDescent="0.25">
      <c r="A1059" s="377">
        <v>45434</v>
      </c>
      <c r="B1059" s="375">
        <v>300000</v>
      </c>
      <c r="C1059" s="375">
        <v>135000</v>
      </c>
      <c r="D1059" s="375">
        <v>54</v>
      </c>
      <c r="E1059" s="375">
        <v>120</v>
      </c>
      <c r="F1059" s="375">
        <v>0.55000000000000004</v>
      </c>
      <c r="G1059" s="375">
        <v>30000</v>
      </c>
      <c r="H1059" s="376">
        <v>3.3333333333333335E-3</v>
      </c>
      <c r="I1059" s="375">
        <v>2500</v>
      </c>
      <c r="J1059" s="375">
        <v>3000</v>
      </c>
      <c r="K1059" s="375">
        <v>100</v>
      </c>
      <c r="L1059" s="375">
        <v>6090</v>
      </c>
      <c r="M1059" s="375">
        <v>23910</v>
      </c>
      <c r="V1059" s="375" t="s">
        <v>596</v>
      </c>
    </row>
    <row r="1060" spans="1:22" hidden="1" x14ac:dyDescent="0.25">
      <c r="A1060" s="377">
        <v>45435</v>
      </c>
      <c r="B1060" s="375">
        <v>270000</v>
      </c>
      <c r="C1060" s="375">
        <v>121500</v>
      </c>
      <c r="D1060" s="375">
        <v>49</v>
      </c>
      <c r="E1060" s="375">
        <v>108</v>
      </c>
      <c r="F1060" s="375">
        <v>0.55000000000000004</v>
      </c>
      <c r="G1060" s="375">
        <v>30000</v>
      </c>
      <c r="H1060" s="376">
        <v>3.0000000000000001E-3</v>
      </c>
      <c r="I1060" s="375">
        <v>2500</v>
      </c>
      <c r="J1060" s="375">
        <v>3000</v>
      </c>
      <c r="K1060" s="375">
        <v>90</v>
      </c>
      <c r="L1060" s="375">
        <v>8328</v>
      </c>
      <c r="M1060" s="375">
        <v>21672</v>
      </c>
      <c r="V1060" s="375" t="s">
        <v>596</v>
      </c>
    </row>
    <row r="1061" spans="1:22" hidden="1" x14ac:dyDescent="0.25">
      <c r="A1061" s="377">
        <v>45436</v>
      </c>
      <c r="B1061" s="375">
        <v>250000</v>
      </c>
      <c r="C1061" s="375">
        <v>112500</v>
      </c>
      <c r="D1061" s="375">
        <v>45</v>
      </c>
      <c r="E1061" s="375">
        <v>100</v>
      </c>
      <c r="F1061" s="375">
        <v>0.55000000000000004</v>
      </c>
      <c r="G1061" s="375">
        <v>30000</v>
      </c>
      <c r="H1061" s="376">
        <v>2.7777777777777775E-3</v>
      </c>
      <c r="I1061" s="375">
        <v>2500</v>
      </c>
      <c r="J1061" s="375">
        <v>3000</v>
      </c>
      <c r="K1061" s="375">
        <v>83</v>
      </c>
      <c r="L1061" s="375">
        <v>8378</v>
      </c>
      <c r="M1061" s="375">
        <v>21622</v>
      </c>
      <c r="V1061" s="375" t="s">
        <v>596</v>
      </c>
    </row>
    <row r="1062" spans="1:22" hidden="1" x14ac:dyDescent="0.25">
      <c r="A1062" s="377">
        <v>45437</v>
      </c>
      <c r="B1062" s="375">
        <v>230000</v>
      </c>
      <c r="C1062" s="375">
        <v>103500</v>
      </c>
      <c r="D1062" s="375">
        <v>41</v>
      </c>
      <c r="E1062" s="375">
        <v>92</v>
      </c>
      <c r="F1062" s="375">
        <v>0.55000000000000004</v>
      </c>
      <c r="G1062" s="375">
        <v>30000</v>
      </c>
      <c r="H1062" s="376">
        <v>2.5555555555555557E-3</v>
      </c>
      <c r="I1062" s="375">
        <v>2500</v>
      </c>
      <c r="J1062" s="375">
        <v>3000</v>
      </c>
      <c r="K1062" s="375">
        <v>77</v>
      </c>
      <c r="L1062" s="375">
        <v>8378</v>
      </c>
      <c r="M1062" s="375">
        <v>21622</v>
      </c>
      <c r="V1062" s="375" t="s">
        <v>596</v>
      </c>
    </row>
    <row r="1063" spans="1:22" hidden="1" x14ac:dyDescent="0.25">
      <c r="A1063" s="377">
        <v>45438</v>
      </c>
      <c r="B1063" s="375">
        <v>250000</v>
      </c>
      <c r="C1063" s="375">
        <v>112500</v>
      </c>
      <c r="D1063" s="375">
        <v>45</v>
      </c>
      <c r="E1063" s="375">
        <v>100</v>
      </c>
      <c r="F1063" s="375">
        <v>0.55000000000000004</v>
      </c>
      <c r="G1063" s="375">
        <v>30000</v>
      </c>
      <c r="H1063" s="376">
        <v>2.7777777777777775E-3</v>
      </c>
      <c r="I1063" s="375">
        <v>2500</v>
      </c>
      <c r="J1063" s="375">
        <v>3000</v>
      </c>
      <c r="K1063" s="375">
        <v>83</v>
      </c>
      <c r="L1063" s="375">
        <v>8378</v>
      </c>
      <c r="M1063" s="375">
        <v>21622</v>
      </c>
      <c r="V1063" s="375" t="s">
        <v>596</v>
      </c>
    </row>
    <row r="1064" spans="1:22" hidden="1" x14ac:dyDescent="0.25">
      <c r="A1064" s="377">
        <v>45439</v>
      </c>
      <c r="B1064" s="375">
        <v>250000</v>
      </c>
      <c r="C1064" s="375">
        <v>112500</v>
      </c>
      <c r="D1064" s="375">
        <v>45</v>
      </c>
      <c r="E1064" s="375">
        <v>100</v>
      </c>
      <c r="F1064" s="375">
        <v>0.55000000000000004</v>
      </c>
      <c r="G1064" s="375">
        <v>30000</v>
      </c>
      <c r="H1064" s="376">
        <v>2.7777777777777775E-3</v>
      </c>
      <c r="I1064" s="375">
        <v>2500</v>
      </c>
      <c r="J1064" s="375">
        <v>3000</v>
      </c>
      <c r="K1064" s="375">
        <v>83</v>
      </c>
      <c r="L1064" s="375">
        <v>9378</v>
      </c>
      <c r="M1064" s="375">
        <v>20622</v>
      </c>
      <c r="V1064" s="375" t="s">
        <v>596</v>
      </c>
    </row>
    <row r="1065" spans="1:22" hidden="1" x14ac:dyDescent="0.25">
      <c r="A1065" s="377">
        <v>45440</v>
      </c>
      <c r="B1065" s="375">
        <v>350000</v>
      </c>
      <c r="C1065" s="375">
        <v>157500</v>
      </c>
      <c r="D1065" s="375">
        <v>63</v>
      </c>
      <c r="E1065" s="375">
        <v>140</v>
      </c>
      <c r="F1065" s="375">
        <v>0.55000000000000004</v>
      </c>
      <c r="G1065" s="375">
        <v>30000</v>
      </c>
      <c r="H1065" s="376">
        <v>3.8888888888888892E-3</v>
      </c>
      <c r="I1065" s="375">
        <v>2500</v>
      </c>
      <c r="J1065" s="375">
        <v>3000</v>
      </c>
      <c r="K1065" s="375">
        <v>117</v>
      </c>
      <c r="L1065" s="375">
        <v>9016</v>
      </c>
      <c r="M1065" s="375">
        <v>20984</v>
      </c>
      <c r="V1065" s="375" t="s">
        <v>596</v>
      </c>
    </row>
    <row r="1066" spans="1:22" hidden="1" x14ac:dyDescent="0.25">
      <c r="A1066" s="377">
        <v>45441</v>
      </c>
      <c r="B1066" s="375">
        <v>80000</v>
      </c>
      <c r="C1066" s="375">
        <v>36000</v>
      </c>
      <c r="D1066" s="375">
        <v>14</v>
      </c>
      <c r="E1066" s="375">
        <v>32</v>
      </c>
      <c r="F1066" s="375">
        <v>0.55000000000000004</v>
      </c>
      <c r="G1066" s="375">
        <v>30000</v>
      </c>
      <c r="H1066" s="376">
        <v>8.8888888888888893E-4</v>
      </c>
      <c r="I1066" s="375">
        <v>2500</v>
      </c>
      <c r="J1066" s="375">
        <v>3000</v>
      </c>
      <c r="K1066" s="375">
        <v>27</v>
      </c>
      <c r="L1066" s="375">
        <v>7883</v>
      </c>
      <c r="M1066" s="375">
        <v>22117</v>
      </c>
      <c r="V1066" s="375" t="s">
        <v>596</v>
      </c>
    </row>
    <row r="1067" spans="1:22" hidden="1" x14ac:dyDescent="0.25">
      <c r="A1067" s="377">
        <v>45442</v>
      </c>
      <c r="B1067" s="375">
        <v>80000</v>
      </c>
      <c r="C1067" s="375">
        <v>36000</v>
      </c>
      <c r="D1067" s="375">
        <v>14</v>
      </c>
      <c r="E1067" s="375">
        <v>32</v>
      </c>
      <c r="F1067" s="375">
        <v>0.55000000000000004</v>
      </c>
      <c r="G1067" s="375">
        <v>30000</v>
      </c>
      <c r="H1067" s="376">
        <v>8.8888888888888893E-4</v>
      </c>
      <c r="I1067" s="375">
        <v>2500</v>
      </c>
      <c r="J1067" s="375">
        <v>3000</v>
      </c>
      <c r="K1067" s="375">
        <v>27</v>
      </c>
      <c r="L1067" s="375">
        <v>7883</v>
      </c>
      <c r="M1067" s="375">
        <v>22117</v>
      </c>
      <c r="V1067" s="375" t="s">
        <v>596</v>
      </c>
    </row>
    <row r="1068" spans="1:22" hidden="1" x14ac:dyDescent="0.25">
      <c r="A1068" s="377">
        <v>45443</v>
      </c>
      <c r="B1068" s="375">
        <v>1020000</v>
      </c>
      <c r="C1068" s="375">
        <v>410500</v>
      </c>
      <c r="D1068" s="375">
        <v>164</v>
      </c>
      <c r="E1068" s="375">
        <v>408</v>
      </c>
      <c r="F1068" s="375">
        <v>0.59754901960784312</v>
      </c>
      <c r="G1068" s="375">
        <v>38000</v>
      </c>
      <c r="H1068" s="376">
        <v>8.9473684210526309E-3</v>
      </c>
      <c r="I1068" s="375">
        <v>2500</v>
      </c>
      <c r="J1068" s="375">
        <v>3000</v>
      </c>
      <c r="K1068" s="375">
        <v>340</v>
      </c>
      <c r="L1068" s="375">
        <v>9185</v>
      </c>
      <c r="M1068" s="375">
        <v>28815</v>
      </c>
      <c r="V1068" s="375" t="s">
        <v>596</v>
      </c>
    </row>
    <row r="1069" spans="1:22" hidden="1" x14ac:dyDescent="0.25">
      <c r="A1069" s="377">
        <v>45444</v>
      </c>
      <c r="B1069" s="375">
        <v>300000</v>
      </c>
      <c r="C1069" s="375">
        <v>120000</v>
      </c>
      <c r="D1069" s="375">
        <v>48</v>
      </c>
      <c r="E1069" s="375">
        <v>120</v>
      </c>
      <c r="F1069" s="375">
        <v>0.6</v>
      </c>
      <c r="G1069" s="375">
        <v>30000</v>
      </c>
      <c r="H1069" s="376">
        <v>3.3333333333333335E-3</v>
      </c>
      <c r="I1069" s="375">
        <v>2500</v>
      </c>
      <c r="J1069" s="375">
        <v>3000</v>
      </c>
      <c r="K1069" s="375">
        <v>100</v>
      </c>
      <c r="L1069" s="375">
        <v>6410</v>
      </c>
      <c r="M1069" s="375">
        <v>23590</v>
      </c>
      <c r="V1069" s="375" t="s">
        <v>596</v>
      </c>
    </row>
    <row r="1070" spans="1:22" hidden="1" x14ac:dyDescent="0.25">
      <c r="A1070" s="377">
        <v>45445</v>
      </c>
      <c r="B1070" s="375">
        <v>220000</v>
      </c>
      <c r="C1070" s="375">
        <v>88000</v>
      </c>
      <c r="D1070" s="375">
        <v>35</v>
      </c>
      <c r="E1070" s="375">
        <v>88</v>
      </c>
      <c r="F1070" s="375">
        <v>0.6</v>
      </c>
      <c r="G1070" s="375">
        <v>38000</v>
      </c>
      <c r="H1070" s="376">
        <v>1.9298245614035087E-3</v>
      </c>
      <c r="I1070" s="375">
        <v>2500</v>
      </c>
      <c r="J1070" s="375">
        <v>3000</v>
      </c>
      <c r="K1070" s="375">
        <v>73</v>
      </c>
      <c r="L1070" s="375">
        <v>16314</v>
      </c>
      <c r="M1070" s="375">
        <v>21686</v>
      </c>
      <c r="V1070" s="375" t="s">
        <v>596</v>
      </c>
    </row>
    <row r="1071" spans="1:22" hidden="1" x14ac:dyDescent="0.25">
      <c r="A1071" s="377">
        <v>45446</v>
      </c>
      <c r="B1071" s="375">
        <v>205000</v>
      </c>
      <c r="C1071" s="375">
        <v>82000</v>
      </c>
      <c r="D1071" s="375">
        <v>33</v>
      </c>
      <c r="E1071" s="375">
        <v>82</v>
      </c>
      <c r="F1071" s="375">
        <v>0.6</v>
      </c>
      <c r="G1071" s="375">
        <v>38000</v>
      </c>
      <c r="H1071" s="376">
        <v>1.7982456140350875E-3</v>
      </c>
      <c r="I1071" s="375">
        <v>2500</v>
      </c>
      <c r="J1071" s="375">
        <v>3000</v>
      </c>
      <c r="K1071" s="375">
        <v>68</v>
      </c>
      <c r="L1071" s="375">
        <v>16686</v>
      </c>
      <c r="M1071" s="375">
        <v>21314</v>
      </c>
      <c r="V1071" s="375" t="s">
        <v>596</v>
      </c>
    </row>
    <row r="1072" spans="1:22" hidden="1" x14ac:dyDescent="0.25">
      <c r="A1072" s="377">
        <v>45447</v>
      </c>
      <c r="B1072" s="375">
        <v>200000</v>
      </c>
      <c r="C1072" s="375">
        <v>80000</v>
      </c>
      <c r="D1072" s="375">
        <v>32</v>
      </c>
      <c r="E1072" s="375">
        <v>80</v>
      </c>
      <c r="F1072" s="375">
        <v>0.6</v>
      </c>
      <c r="G1072" s="375">
        <v>25000</v>
      </c>
      <c r="H1072" s="376">
        <v>2.666666666666667E-3</v>
      </c>
      <c r="I1072" s="375">
        <v>2500</v>
      </c>
      <c r="J1072" s="375">
        <v>3000</v>
      </c>
      <c r="K1072" s="375">
        <v>67</v>
      </c>
      <c r="L1072" s="375">
        <v>7582</v>
      </c>
      <c r="M1072" s="375">
        <v>17418</v>
      </c>
      <c r="V1072" s="375" t="s">
        <v>596</v>
      </c>
    </row>
    <row r="1073" spans="1:22" hidden="1" x14ac:dyDescent="0.25">
      <c r="A1073" s="377">
        <v>45448</v>
      </c>
      <c r="B1073" s="375">
        <v>200000</v>
      </c>
      <c r="C1073" s="375">
        <v>80000</v>
      </c>
      <c r="D1073" s="375">
        <v>32</v>
      </c>
      <c r="E1073" s="375">
        <v>80</v>
      </c>
      <c r="F1073" s="375">
        <v>0.6</v>
      </c>
      <c r="G1073" s="375">
        <v>25000</v>
      </c>
      <c r="H1073" s="376">
        <v>2.666666666666667E-3</v>
      </c>
      <c r="I1073" s="375">
        <v>2500</v>
      </c>
      <c r="J1073" s="375">
        <v>3000</v>
      </c>
      <c r="K1073" s="375">
        <v>67</v>
      </c>
      <c r="L1073" s="375">
        <v>7582</v>
      </c>
      <c r="M1073" s="375">
        <v>17418</v>
      </c>
      <c r="V1073" s="375" t="s">
        <v>596</v>
      </c>
    </row>
    <row r="1074" spans="1:22" hidden="1" x14ac:dyDescent="0.25">
      <c r="A1074" s="377">
        <v>45449</v>
      </c>
      <c r="B1074" s="375">
        <v>200000</v>
      </c>
      <c r="C1074" s="375">
        <v>90000</v>
      </c>
      <c r="D1074" s="375">
        <v>36</v>
      </c>
      <c r="E1074" s="375">
        <v>80</v>
      </c>
      <c r="F1074" s="375">
        <v>0.55000000000000004</v>
      </c>
      <c r="G1074" s="375">
        <v>28000</v>
      </c>
      <c r="H1074" s="376">
        <v>2.3809523809523812E-3</v>
      </c>
      <c r="I1074" s="375">
        <v>2500</v>
      </c>
      <c r="J1074" s="375">
        <v>3000</v>
      </c>
      <c r="K1074" s="375">
        <v>67</v>
      </c>
      <c r="L1074" s="375">
        <v>10582</v>
      </c>
      <c r="M1074" s="375">
        <v>17418</v>
      </c>
      <c r="V1074" s="375" t="s">
        <v>596</v>
      </c>
    </row>
    <row r="1075" spans="1:22" hidden="1" x14ac:dyDescent="0.25">
      <c r="A1075" s="377">
        <v>45450</v>
      </c>
      <c r="B1075" s="375">
        <v>200000</v>
      </c>
      <c r="C1075" s="375">
        <v>90000</v>
      </c>
      <c r="D1075" s="375">
        <v>36</v>
      </c>
      <c r="E1075" s="375">
        <v>80</v>
      </c>
      <c r="F1075" s="375">
        <v>0.55000000000000004</v>
      </c>
      <c r="G1075" s="375">
        <v>25000</v>
      </c>
      <c r="H1075" s="376">
        <v>2.666666666666667E-3</v>
      </c>
      <c r="I1075" s="375">
        <v>2500</v>
      </c>
      <c r="J1075" s="375">
        <v>3000</v>
      </c>
      <c r="K1075" s="375">
        <v>67</v>
      </c>
      <c r="L1075" s="375">
        <v>7582</v>
      </c>
      <c r="M1075" s="375">
        <v>17418</v>
      </c>
      <c r="V1075" s="375" t="s">
        <v>596</v>
      </c>
    </row>
    <row r="1076" spans="1:22" hidden="1" x14ac:dyDescent="0.25">
      <c r="A1076" s="377">
        <v>45451</v>
      </c>
      <c r="B1076" s="375">
        <v>200000</v>
      </c>
      <c r="C1076" s="375">
        <v>90000</v>
      </c>
      <c r="D1076" s="375">
        <v>36</v>
      </c>
      <c r="E1076" s="375">
        <v>80</v>
      </c>
      <c r="F1076" s="375">
        <v>0.55000000000000004</v>
      </c>
      <c r="G1076" s="375">
        <v>25000</v>
      </c>
      <c r="H1076" s="376">
        <v>2.666666666666667E-3</v>
      </c>
      <c r="I1076" s="375">
        <v>2500</v>
      </c>
      <c r="J1076" s="375">
        <v>3000</v>
      </c>
      <c r="K1076" s="375">
        <v>67</v>
      </c>
      <c r="L1076" s="375">
        <v>7582</v>
      </c>
      <c r="M1076" s="375">
        <v>17418</v>
      </c>
      <c r="V1076" s="375" t="s">
        <v>596</v>
      </c>
    </row>
    <row r="1077" spans="1:22" hidden="1" x14ac:dyDescent="0.25">
      <c r="A1077" s="377">
        <v>45452</v>
      </c>
      <c r="B1077" s="375">
        <v>200000</v>
      </c>
      <c r="C1077" s="375">
        <v>90000</v>
      </c>
      <c r="D1077" s="375">
        <v>36</v>
      </c>
      <c r="E1077" s="375">
        <v>80</v>
      </c>
      <c r="F1077" s="375">
        <v>0.55000000000000004</v>
      </c>
      <c r="G1077" s="375">
        <v>25000</v>
      </c>
      <c r="H1077" s="376">
        <v>2.666666666666667E-3</v>
      </c>
      <c r="I1077" s="375">
        <v>2500</v>
      </c>
      <c r="J1077" s="375">
        <v>3000</v>
      </c>
      <c r="K1077" s="375">
        <v>67</v>
      </c>
      <c r="L1077" s="375">
        <v>7582</v>
      </c>
      <c r="M1077" s="375">
        <v>17418</v>
      </c>
      <c r="V1077" s="375" t="s">
        <v>596</v>
      </c>
    </row>
    <row r="1078" spans="1:22" hidden="1" x14ac:dyDescent="0.25">
      <c r="A1078" s="377">
        <v>45453</v>
      </c>
      <c r="B1078" s="375">
        <v>200000</v>
      </c>
      <c r="C1078" s="375">
        <v>90000</v>
      </c>
      <c r="D1078" s="375">
        <v>36</v>
      </c>
      <c r="E1078" s="375">
        <v>80</v>
      </c>
      <c r="F1078" s="375">
        <v>0.55000000000000004</v>
      </c>
      <c r="G1078" s="375">
        <v>25000</v>
      </c>
      <c r="H1078" s="376">
        <v>2.666666666666667E-3</v>
      </c>
      <c r="I1078" s="375">
        <v>2500</v>
      </c>
      <c r="J1078" s="375">
        <v>3000</v>
      </c>
      <c r="K1078" s="375">
        <v>67</v>
      </c>
      <c r="L1078" s="375">
        <v>7582</v>
      </c>
      <c r="M1078" s="375">
        <v>17418</v>
      </c>
      <c r="V1078" s="375" t="s">
        <v>596</v>
      </c>
    </row>
    <row r="1079" spans="1:22" hidden="1" x14ac:dyDescent="0.25">
      <c r="A1079" s="377">
        <v>45454</v>
      </c>
      <c r="B1079" s="375">
        <v>180000</v>
      </c>
      <c r="C1079" s="375">
        <v>81000</v>
      </c>
      <c r="D1079" s="375">
        <v>32</v>
      </c>
      <c r="E1079" s="375">
        <v>72</v>
      </c>
      <c r="F1079" s="375">
        <v>0.55000000000000004</v>
      </c>
      <c r="G1079" s="375">
        <v>28000</v>
      </c>
      <c r="H1079" s="376">
        <v>2.142857142857143E-3</v>
      </c>
      <c r="I1079" s="375">
        <v>2500</v>
      </c>
      <c r="J1079" s="375">
        <v>3000</v>
      </c>
      <c r="K1079" s="375">
        <v>60</v>
      </c>
      <c r="L1079" s="375">
        <v>9582</v>
      </c>
      <c r="M1079" s="375">
        <v>18418</v>
      </c>
      <c r="V1079" s="375" t="s">
        <v>596</v>
      </c>
    </row>
    <row r="1080" spans="1:22" hidden="1" x14ac:dyDescent="0.25">
      <c r="A1080" s="377">
        <v>45455</v>
      </c>
      <c r="B1080" s="375">
        <v>170000</v>
      </c>
      <c r="C1080" s="375">
        <v>76500</v>
      </c>
      <c r="D1080" s="375">
        <v>31</v>
      </c>
      <c r="E1080" s="375">
        <v>68</v>
      </c>
      <c r="F1080" s="375">
        <v>0.55000000000000004</v>
      </c>
      <c r="G1080" s="375">
        <v>25000</v>
      </c>
      <c r="H1080" s="376">
        <v>2.2666666666666664E-3</v>
      </c>
      <c r="I1080" s="375">
        <v>2500</v>
      </c>
      <c r="J1080" s="375">
        <v>3000</v>
      </c>
      <c r="K1080" s="375">
        <v>57</v>
      </c>
      <c r="L1080" s="375">
        <v>7582</v>
      </c>
      <c r="M1080" s="375">
        <v>17418</v>
      </c>
      <c r="V1080" s="375" t="s">
        <v>596</v>
      </c>
    </row>
    <row r="1081" spans="1:22" hidden="1" x14ac:dyDescent="0.25">
      <c r="A1081" s="377">
        <v>45456</v>
      </c>
      <c r="B1081" s="375">
        <v>170000</v>
      </c>
      <c r="C1081" s="375">
        <v>76500</v>
      </c>
      <c r="D1081" s="375">
        <v>31</v>
      </c>
      <c r="E1081" s="375">
        <v>68</v>
      </c>
      <c r="F1081" s="375">
        <v>0.55000000000000004</v>
      </c>
      <c r="G1081" s="375">
        <v>25000</v>
      </c>
      <c r="H1081" s="376">
        <v>2.2666666666666664E-3</v>
      </c>
      <c r="I1081" s="375">
        <v>2500</v>
      </c>
      <c r="J1081" s="375">
        <v>3000</v>
      </c>
      <c r="K1081" s="375">
        <v>57</v>
      </c>
      <c r="L1081" s="375">
        <v>7582</v>
      </c>
      <c r="M1081" s="375">
        <v>17418</v>
      </c>
      <c r="V1081" s="375" t="s">
        <v>596</v>
      </c>
    </row>
    <row r="1082" spans="1:22" hidden="1" x14ac:dyDescent="0.25">
      <c r="A1082" s="377">
        <v>45457</v>
      </c>
      <c r="B1082" s="375">
        <v>180000</v>
      </c>
      <c r="C1082" s="375">
        <v>81000</v>
      </c>
      <c r="D1082" s="375">
        <v>32</v>
      </c>
      <c r="E1082" s="375">
        <v>72</v>
      </c>
      <c r="F1082" s="375">
        <v>0.55000000000000004</v>
      </c>
      <c r="G1082" s="375">
        <v>25000</v>
      </c>
      <c r="H1082" s="376">
        <v>2.3999999999999998E-3</v>
      </c>
      <c r="I1082" s="375">
        <v>2500</v>
      </c>
      <c r="J1082" s="375">
        <v>3000</v>
      </c>
      <c r="K1082" s="375">
        <v>60</v>
      </c>
      <c r="L1082" s="375">
        <v>7582</v>
      </c>
      <c r="M1082" s="375">
        <v>17418</v>
      </c>
      <c r="V1082" s="375" t="s">
        <v>596</v>
      </c>
    </row>
    <row r="1083" spans="1:22" hidden="1" x14ac:dyDescent="0.25">
      <c r="A1083" s="377">
        <v>45458</v>
      </c>
      <c r="B1083" s="375">
        <v>150000</v>
      </c>
      <c r="C1083" s="375">
        <v>60000</v>
      </c>
      <c r="D1083" s="375">
        <v>24</v>
      </c>
      <c r="E1083" s="375">
        <v>60</v>
      </c>
      <c r="F1083" s="375">
        <v>0.6</v>
      </c>
      <c r="G1083" s="375">
        <v>28000</v>
      </c>
      <c r="H1083" s="376">
        <v>1.7857142857142857E-3</v>
      </c>
      <c r="I1083" s="375">
        <v>2500</v>
      </c>
      <c r="J1083" s="375">
        <v>3000</v>
      </c>
      <c r="K1083" s="375">
        <v>50</v>
      </c>
      <c r="L1083" s="375">
        <v>10582</v>
      </c>
      <c r="M1083" s="375">
        <v>17418</v>
      </c>
      <c r="V1083" s="375" t="s">
        <v>596</v>
      </c>
    </row>
    <row r="1084" spans="1:22" hidden="1" x14ac:dyDescent="0.25">
      <c r="A1084" s="377">
        <v>45459</v>
      </c>
      <c r="B1084" s="375">
        <v>200000</v>
      </c>
      <c r="C1084" s="375">
        <v>80000</v>
      </c>
      <c r="D1084" s="375">
        <v>32</v>
      </c>
      <c r="E1084" s="375">
        <v>80</v>
      </c>
      <c r="F1084" s="375">
        <v>0.6</v>
      </c>
      <c r="G1084" s="375">
        <v>25000</v>
      </c>
      <c r="H1084" s="376">
        <v>2.666666666666667E-3</v>
      </c>
      <c r="I1084" s="375">
        <v>2500</v>
      </c>
      <c r="J1084" s="375">
        <v>3000</v>
      </c>
      <c r="K1084" s="375">
        <v>67</v>
      </c>
      <c r="L1084" s="375">
        <v>7582</v>
      </c>
      <c r="M1084" s="375">
        <v>17418</v>
      </c>
      <c r="V1084" s="375" t="s">
        <v>596</v>
      </c>
    </row>
    <row r="1085" spans="1:22" hidden="1" x14ac:dyDescent="0.25">
      <c r="A1085" s="377">
        <v>45460</v>
      </c>
      <c r="B1085" s="375">
        <v>230000</v>
      </c>
      <c r="C1085" s="375">
        <v>92000</v>
      </c>
      <c r="D1085" s="375">
        <v>37</v>
      </c>
      <c r="E1085" s="375">
        <v>92</v>
      </c>
      <c r="F1085" s="375">
        <v>0.6</v>
      </c>
      <c r="G1085" s="375">
        <v>25000</v>
      </c>
      <c r="H1085" s="376">
        <v>3.0666666666666668E-3</v>
      </c>
      <c r="I1085" s="375">
        <v>2500</v>
      </c>
      <c r="J1085" s="375">
        <v>3000</v>
      </c>
      <c r="K1085" s="375">
        <v>77</v>
      </c>
      <c r="L1085" s="375">
        <v>7582</v>
      </c>
      <c r="M1085" s="375">
        <v>17418</v>
      </c>
      <c r="V1085" s="375" t="s">
        <v>596</v>
      </c>
    </row>
    <row r="1086" spans="1:22" hidden="1" x14ac:dyDescent="0.25">
      <c r="A1086" s="377">
        <v>45461</v>
      </c>
      <c r="B1086" s="375">
        <v>280000</v>
      </c>
      <c r="C1086" s="375">
        <v>112000</v>
      </c>
      <c r="D1086" s="375">
        <v>45</v>
      </c>
      <c r="E1086" s="375">
        <v>112</v>
      </c>
      <c r="F1086" s="375">
        <v>0.6</v>
      </c>
      <c r="G1086" s="375">
        <v>38000</v>
      </c>
      <c r="H1086" s="376">
        <v>2.4561403508771931E-3</v>
      </c>
      <c r="I1086" s="375">
        <v>2500</v>
      </c>
      <c r="J1086" s="375">
        <v>3000</v>
      </c>
      <c r="K1086" s="375">
        <v>93</v>
      </c>
      <c r="L1086" s="375">
        <v>10582</v>
      </c>
      <c r="M1086" s="375">
        <v>27418</v>
      </c>
      <c r="V1086" s="375" t="s">
        <v>596</v>
      </c>
    </row>
    <row r="1087" spans="1:22" hidden="1" x14ac:dyDescent="0.25">
      <c r="A1087" s="377">
        <v>45462</v>
      </c>
      <c r="B1087" s="375">
        <v>200000</v>
      </c>
      <c r="C1087" s="375">
        <v>80000</v>
      </c>
      <c r="D1087" s="375">
        <v>32</v>
      </c>
      <c r="E1087" s="375">
        <v>80</v>
      </c>
      <c r="F1087" s="375">
        <v>0.6</v>
      </c>
      <c r="G1087" s="375">
        <v>25000</v>
      </c>
      <c r="H1087" s="376">
        <v>2.666666666666667E-3</v>
      </c>
      <c r="I1087" s="375">
        <v>2500</v>
      </c>
      <c r="J1087" s="375">
        <v>3000</v>
      </c>
      <c r="K1087" s="375">
        <v>67</v>
      </c>
      <c r="L1087" s="375">
        <v>7582</v>
      </c>
      <c r="M1087" s="375">
        <v>17418</v>
      </c>
      <c r="V1087" s="375" t="s">
        <v>596</v>
      </c>
    </row>
    <row r="1088" spans="1:22" hidden="1" x14ac:dyDescent="0.25">
      <c r="A1088" s="377">
        <v>45463</v>
      </c>
      <c r="B1088" s="375">
        <v>400000</v>
      </c>
      <c r="C1088" s="375">
        <v>160000</v>
      </c>
      <c r="D1088" s="375">
        <v>64</v>
      </c>
      <c r="E1088" s="375">
        <v>160</v>
      </c>
      <c r="F1088" s="375">
        <v>0.6</v>
      </c>
      <c r="G1088" s="375">
        <v>38000</v>
      </c>
      <c r="H1088" s="376">
        <v>3.5087719298245615E-3</v>
      </c>
      <c r="I1088" s="375">
        <v>2500</v>
      </c>
      <c r="J1088" s="375">
        <v>3000</v>
      </c>
      <c r="K1088" s="375">
        <v>133</v>
      </c>
      <c r="L1088" s="375">
        <v>10582</v>
      </c>
      <c r="M1088" s="375">
        <v>27418</v>
      </c>
      <c r="V1088" s="375" t="s">
        <v>596</v>
      </c>
    </row>
    <row r="1089" spans="1:22" hidden="1" x14ac:dyDescent="0.25">
      <c r="A1089" s="377">
        <v>45464</v>
      </c>
      <c r="B1089" s="375">
        <v>70000</v>
      </c>
      <c r="C1089" s="375">
        <v>35000</v>
      </c>
      <c r="D1089" s="375">
        <v>12</v>
      </c>
      <c r="E1089" s="375">
        <v>23</v>
      </c>
      <c r="F1089" s="375">
        <v>0.5</v>
      </c>
      <c r="G1089" s="375">
        <v>10000</v>
      </c>
      <c r="H1089" s="376">
        <v>2E-3</v>
      </c>
      <c r="I1089" s="375">
        <v>3000</v>
      </c>
      <c r="J1089" s="375">
        <v>3500</v>
      </c>
      <c r="K1089" s="375">
        <v>20</v>
      </c>
      <c r="L1089" s="375">
        <v>3264</v>
      </c>
      <c r="M1089" s="375">
        <v>6736</v>
      </c>
      <c r="V1089" s="375" t="s">
        <v>596</v>
      </c>
    </row>
    <row r="1090" spans="1:22" hidden="1" x14ac:dyDescent="0.25">
      <c r="A1090" s="377">
        <v>45465</v>
      </c>
      <c r="B1090" s="375">
        <v>70000</v>
      </c>
      <c r="C1090" s="375">
        <v>35000</v>
      </c>
      <c r="D1090" s="375">
        <v>12</v>
      </c>
      <c r="E1090" s="375">
        <v>23</v>
      </c>
      <c r="F1090" s="375">
        <v>0.5</v>
      </c>
      <c r="G1090" s="375">
        <v>10000</v>
      </c>
      <c r="H1090" s="376">
        <v>2E-3</v>
      </c>
      <c r="I1090" s="375">
        <v>3000</v>
      </c>
      <c r="J1090" s="375">
        <v>3500</v>
      </c>
      <c r="K1090" s="375">
        <v>20</v>
      </c>
      <c r="L1090" s="375">
        <v>3210</v>
      </c>
      <c r="M1090" s="375">
        <v>6790</v>
      </c>
      <c r="V1090" s="375" t="s">
        <v>596</v>
      </c>
    </row>
    <row r="1091" spans="1:22" hidden="1" x14ac:dyDescent="0.25">
      <c r="A1091" s="377">
        <v>45466</v>
      </c>
      <c r="B1091" s="375">
        <v>70000</v>
      </c>
      <c r="C1091" s="375">
        <v>35000</v>
      </c>
      <c r="D1091" s="375">
        <v>12</v>
      </c>
      <c r="E1091" s="375">
        <v>23</v>
      </c>
      <c r="F1091" s="375">
        <v>0.5</v>
      </c>
      <c r="G1091" s="375">
        <v>10000</v>
      </c>
      <c r="H1091" s="376">
        <v>2E-3</v>
      </c>
      <c r="I1091" s="375">
        <v>3000</v>
      </c>
      <c r="J1091" s="375">
        <v>3500</v>
      </c>
      <c r="K1091" s="375">
        <v>20</v>
      </c>
      <c r="L1091" s="375">
        <v>3104</v>
      </c>
      <c r="M1091" s="375">
        <v>6896</v>
      </c>
      <c r="V1091" s="375" t="s">
        <v>596</v>
      </c>
    </row>
    <row r="1092" spans="1:22" hidden="1" x14ac:dyDescent="0.25">
      <c r="A1092" s="377">
        <v>45467</v>
      </c>
      <c r="B1092" s="375">
        <v>70000</v>
      </c>
      <c r="C1092" s="375">
        <v>35000</v>
      </c>
      <c r="D1092" s="375">
        <v>12</v>
      </c>
      <c r="E1092" s="375">
        <v>23</v>
      </c>
      <c r="F1092" s="375">
        <v>0.5</v>
      </c>
      <c r="G1092" s="375">
        <v>10000</v>
      </c>
      <c r="H1092" s="376">
        <v>2E-3</v>
      </c>
      <c r="I1092" s="375">
        <v>3000</v>
      </c>
      <c r="J1092" s="375">
        <v>3500</v>
      </c>
      <c r="K1092" s="375">
        <v>20</v>
      </c>
      <c r="L1092" s="375">
        <v>3104</v>
      </c>
      <c r="M1092" s="375">
        <v>6896</v>
      </c>
      <c r="V1092" s="375" t="s">
        <v>596</v>
      </c>
    </row>
    <row r="1093" spans="1:22" hidden="1" x14ac:dyDescent="0.25">
      <c r="A1093" s="377">
        <v>45468</v>
      </c>
      <c r="B1093" s="375">
        <v>70000</v>
      </c>
      <c r="C1093" s="375">
        <v>35000</v>
      </c>
      <c r="D1093" s="375">
        <v>12</v>
      </c>
      <c r="E1093" s="375">
        <v>23</v>
      </c>
      <c r="F1093" s="375">
        <v>0.5</v>
      </c>
      <c r="G1093" s="375">
        <v>10000</v>
      </c>
      <c r="H1093" s="376">
        <v>2E-3</v>
      </c>
      <c r="I1093" s="375">
        <v>3000</v>
      </c>
      <c r="J1093" s="375">
        <v>3500</v>
      </c>
      <c r="K1093" s="375">
        <v>20</v>
      </c>
      <c r="L1093" s="375">
        <v>3104</v>
      </c>
      <c r="M1093" s="375">
        <v>6896</v>
      </c>
      <c r="V1093" s="375" t="s">
        <v>596</v>
      </c>
    </row>
    <row r="1094" spans="1:22" hidden="1" x14ac:dyDescent="0.25">
      <c r="A1094" s="377">
        <v>45469</v>
      </c>
      <c r="B1094" s="375">
        <v>70000</v>
      </c>
      <c r="C1094" s="375">
        <v>35000</v>
      </c>
      <c r="D1094" s="375">
        <v>12</v>
      </c>
      <c r="E1094" s="375">
        <v>23</v>
      </c>
      <c r="F1094" s="375">
        <v>0.5</v>
      </c>
      <c r="G1094" s="375">
        <v>10000</v>
      </c>
      <c r="H1094" s="376">
        <v>2E-3</v>
      </c>
      <c r="I1094" s="375">
        <v>3000</v>
      </c>
      <c r="J1094" s="375">
        <v>3500</v>
      </c>
      <c r="K1094" s="375">
        <v>20</v>
      </c>
      <c r="L1094" s="375">
        <v>3104</v>
      </c>
      <c r="M1094" s="375">
        <v>6896</v>
      </c>
      <c r="V1094" s="375" t="s">
        <v>596</v>
      </c>
    </row>
    <row r="1095" spans="1:22" hidden="1" x14ac:dyDescent="0.25">
      <c r="A1095" s="377">
        <v>45470</v>
      </c>
      <c r="B1095" s="375">
        <v>70000</v>
      </c>
      <c r="C1095" s="375">
        <v>35000</v>
      </c>
      <c r="D1095" s="375">
        <v>12</v>
      </c>
      <c r="E1095" s="375">
        <v>23</v>
      </c>
      <c r="F1095" s="375">
        <v>0.5</v>
      </c>
      <c r="G1095" s="375">
        <v>10000</v>
      </c>
      <c r="H1095" s="376">
        <v>2E-3</v>
      </c>
      <c r="I1095" s="375">
        <v>3000</v>
      </c>
      <c r="J1095" s="375">
        <v>3500</v>
      </c>
      <c r="K1095" s="375">
        <v>20</v>
      </c>
      <c r="L1095" s="375">
        <v>3104</v>
      </c>
      <c r="M1095" s="375">
        <v>6896</v>
      </c>
      <c r="V1095" s="375" t="s">
        <v>596</v>
      </c>
    </row>
    <row r="1096" spans="1:22" hidden="1" x14ac:dyDescent="0.25">
      <c r="A1096" s="377">
        <v>45471</v>
      </c>
      <c r="B1096" s="375">
        <v>70000</v>
      </c>
      <c r="C1096" s="375">
        <v>35000</v>
      </c>
      <c r="D1096" s="375">
        <v>12</v>
      </c>
      <c r="E1096" s="375">
        <v>23</v>
      </c>
      <c r="F1096" s="375">
        <v>0.5</v>
      </c>
      <c r="G1096" s="375">
        <v>10000</v>
      </c>
      <c r="H1096" s="376">
        <v>2E-3</v>
      </c>
      <c r="I1096" s="375">
        <v>3000</v>
      </c>
      <c r="J1096" s="375">
        <v>3500</v>
      </c>
      <c r="K1096" s="375">
        <v>20</v>
      </c>
      <c r="L1096" s="375">
        <v>3104</v>
      </c>
      <c r="M1096" s="375">
        <v>6896</v>
      </c>
      <c r="V1096" s="375" t="s">
        <v>596</v>
      </c>
    </row>
    <row r="1097" spans="1:22" hidden="1" x14ac:dyDescent="0.25">
      <c r="A1097" s="377">
        <v>45472</v>
      </c>
      <c r="B1097" s="375">
        <v>70000</v>
      </c>
      <c r="C1097" s="375">
        <v>35000</v>
      </c>
      <c r="D1097" s="375">
        <v>12</v>
      </c>
      <c r="E1097" s="375">
        <v>23</v>
      </c>
      <c r="F1097" s="375">
        <v>0.5</v>
      </c>
      <c r="G1097" s="375">
        <v>10000</v>
      </c>
      <c r="H1097" s="376">
        <v>2E-3</v>
      </c>
      <c r="I1097" s="375">
        <v>3000</v>
      </c>
      <c r="J1097" s="375">
        <v>3500</v>
      </c>
      <c r="K1097" s="375">
        <v>20</v>
      </c>
      <c r="L1097" s="375">
        <v>3104</v>
      </c>
      <c r="M1097" s="375">
        <v>6896</v>
      </c>
      <c r="V1097" s="375" t="s">
        <v>596</v>
      </c>
    </row>
    <row r="1098" spans="1:22" hidden="1" x14ac:dyDescent="0.25">
      <c r="A1098" s="377">
        <v>45473</v>
      </c>
      <c r="B1098" s="375">
        <v>62172</v>
      </c>
      <c r="C1098" s="375">
        <v>31086</v>
      </c>
      <c r="D1098" s="375">
        <v>10</v>
      </c>
      <c r="E1098" s="375">
        <v>21</v>
      </c>
      <c r="F1098" s="375">
        <v>0.5</v>
      </c>
      <c r="G1098" s="375">
        <v>10000</v>
      </c>
      <c r="H1098" s="376">
        <v>1.7763428571428573E-3</v>
      </c>
      <c r="I1098" s="375">
        <v>3000</v>
      </c>
      <c r="J1098" s="375">
        <v>3500</v>
      </c>
      <c r="K1098" s="375">
        <v>18</v>
      </c>
      <c r="L1098" s="375">
        <v>3104</v>
      </c>
      <c r="M1098" s="375">
        <v>6896</v>
      </c>
      <c r="V1098" s="375" t="s">
        <v>596</v>
      </c>
    </row>
    <row r="1099" spans="1:22" hidden="1" x14ac:dyDescent="0.25">
      <c r="A1099" s="377">
        <v>45474</v>
      </c>
      <c r="B1099" s="375">
        <v>60000</v>
      </c>
      <c r="C1099" s="375">
        <v>30000</v>
      </c>
      <c r="D1099" s="375">
        <v>9</v>
      </c>
      <c r="E1099" s="375">
        <v>17</v>
      </c>
      <c r="F1099" s="375">
        <v>0.5</v>
      </c>
      <c r="G1099" s="375">
        <v>10000</v>
      </c>
      <c r="H1099" s="376">
        <v>1.1999999999999999E-3</v>
      </c>
      <c r="I1099" s="375">
        <v>3500</v>
      </c>
      <c r="J1099" s="375">
        <v>5000</v>
      </c>
      <c r="K1099" s="375">
        <v>12</v>
      </c>
      <c r="L1099" s="375">
        <v>3002</v>
      </c>
      <c r="M1099" s="375">
        <v>6998</v>
      </c>
      <c r="V1099" s="375" t="s">
        <v>596</v>
      </c>
    </row>
    <row r="1100" spans="1:22" hidden="1" x14ac:dyDescent="0.25">
      <c r="A1100" s="377">
        <v>45475</v>
      </c>
      <c r="B1100" s="375">
        <v>60000</v>
      </c>
      <c r="C1100" s="375">
        <v>30000</v>
      </c>
      <c r="D1100" s="375">
        <v>8</v>
      </c>
      <c r="E1100" s="375">
        <v>15</v>
      </c>
      <c r="F1100" s="375">
        <v>0.5</v>
      </c>
      <c r="G1100" s="375">
        <v>10000</v>
      </c>
      <c r="H1100" s="376">
        <v>1.2999999999999999E-3</v>
      </c>
      <c r="I1100" s="375">
        <v>4000</v>
      </c>
      <c r="J1100" s="375">
        <v>4615</v>
      </c>
      <c r="K1100" s="375">
        <v>13</v>
      </c>
      <c r="L1100" s="375">
        <v>3002</v>
      </c>
      <c r="M1100" s="375">
        <v>6998</v>
      </c>
      <c r="V1100" s="375" t="s">
        <v>596</v>
      </c>
    </row>
    <row r="1101" spans="1:22" hidden="1" x14ac:dyDescent="0.25">
      <c r="A1101" s="377">
        <v>45476</v>
      </c>
      <c r="B1101" s="375">
        <v>60000</v>
      </c>
      <c r="C1101" s="375">
        <v>30000</v>
      </c>
      <c r="D1101" s="375">
        <v>9</v>
      </c>
      <c r="E1101" s="375">
        <v>17</v>
      </c>
      <c r="F1101" s="375">
        <v>0.5</v>
      </c>
      <c r="G1101" s="375">
        <v>10000</v>
      </c>
      <c r="H1101" s="376">
        <v>1.1999999999999999E-3</v>
      </c>
      <c r="I1101" s="375">
        <v>3500</v>
      </c>
      <c r="J1101" s="375">
        <v>5000</v>
      </c>
      <c r="K1101" s="375">
        <v>12</v>
      </c>
      <c r="L1101" s="375">
        <v>3002</v>
      </c>
      <c r="M1101" s="375">
        <v>6998</v>
      </c>
      <c r="V1101" s="375" t="s">
        <v>596</v>
      </c>
    </row>
    <row r="1102" spans="1:22" hidden="1" x14ac:dyDescent="0.25">
      <c r="A1102" s="377">
        <v>45477</v>
      </c>
      <c r="B1102" s="375">
        <v>60000</v>
      </c>
      <c r="C1102" s="375">
        <v>30000</v>
      </c>
      <c r="D1102" s="375">
        <v>9</v>
      </c>
      <c r="E1102" s="375">
        <v>17</v>
      </c>
      <c r="F1102" s="375">
        <v>0.5</v>
      </c>
      <c r="G1102" s="375">
        <v>10000</v>
      </c>
      <c r="H1102" s="376">
        <v>1.2999999999999999E-3</v>
      </c>
      <c r="I1102" s="375">
        <v>3500</v>
      </c>
      <c r="J1102" s="375">
        <v>4615</v>
      </c>
      <c r="K1102" s="375">
        <v>13</v>
      </c>
      <c r="L1102" s="375">
        <v>3002</v>
      </c>
      <c r="M1102" s="375">
        <v>6998</v>
      </c>
      <c r="V1102" s="375" t="s">
        <v>596</v>
      </c>
    </row>
    <row r="1103" spans="1:22" hidden="1" x14ac:dyDescent="0.25">
      <c r="A1103" s="377">
        <v>45478</v>
      </c>
      <c r="B1103" s="375">
        <v>60000</v>
      </c>
      <c r="C1103" s="375">
        <v>30000</v>
      </c>
      <c r="D1103" s="375">
        <v>9</v>
      </c>
      <c r="E1103" s="375">
        <v>17</v>
      </c>
      <c r="F1103" s="375">
        <v>0.5</v>
      </c>
      <c r="G1103" s="375">
        <v>10000</v>
      </c>
      <c r="H1103" s="376">
        <v>1.2999999999999999E-3</v>
      </c>
      <c r="I1103" s="375">
        <v>3500</v>
      </c>
      <c r="J1103" s="375">
        <v>4615</v>
      </c>
      <c r="K1103" s="375">
        <v>13</v>
      </c>
      <c r="L1103" s="375">
        <v>3002</v>
      </c>
      <c r="M1103" s="375">
        <v>6998</v>
      </c>
      <c r="V1103" s="375" t="s">
        <v>596</v>
      </c>
    </row>
    <row r="1104" spans="1:22" hidden="1" x14ac:dyDescent="0.25">
      <c r="A1104" s="377">
        <v>45479</v>
      </c>
      <c r="B1104" s="375">
        <v>70000</v>
      </c>
      <c r="C1104" s="375">
        <v>35000</v>
      </c>
      <c r="D1104" s="375">
        <v>10</v>
      </c>
      <c r="E1104" s="375">
        <v>20</v>
      </c>
      <c r="F1104" s="375">
        <v>0.5</v>
      </c>
      <c r="G1104" s="375">
        <v>10000</v>
      </c>
      <c r="H1104" s="376">
        <v>1.5E-3</v>
      </c>
      <c r="I1104" s="375">
        <v>3500</v>
      </c>
      <c r="J1104" s="375">
        <v>4667</v>
      </c>
      <c r="K1104" s="375">
        <v>15</v>
      </c>
      <c r="L1104" s="375">
        <v>3002</v>
      </c>
      <c r="M1104" s="375">
        <v>6998</v>
      </c>
      <c r="V1104" s="375" t="s">
        <v>596</v>
      </c>
    </row>
    <row r="1105" spans="1:22" hidden="1" x14ac:dyDescent="0.25">
      <c r="A1105" s="377">
        <v>45480</v>
      </c>
      <c r="B1105" s="375">
        <v>70000</v>
      </c>
      <c r="C1105" s="375">
        <v>35000</v>
      </c>
      <c r="D1105" s="375">
        <v>10</v>
      </c>
      <c r="E1105" s="375">
        <v>20</v>
      </c>
      <c r="F1105" s="375">
        <v>0.5</v>
      </c>
      <c r="G1105" s="375">
        <v>10000</v>
      </c>
      <c r="H1105" s="376">
        <v>1.5E-3</v>
      </c>
      <c r="I1105" s="375">
        <v>3500</v>
      </c>
      <c r="J1105" s="375">
        <v>4667</v>
      </c>
      <c r="K1105" s="375">
        <v>15</v>
      </c>
      <c r="L1105" s="375">
        <v>3002</v>
      </c>
      <c r="M1105" s="375">
        <v>6998</v>
      </c>
      <c r="V1105" s="375" t="s">
        <v>596</v>
      </c>
    </row>
    <row r="1106" spans="1:22" hidden="1" x14ac:dyDescent="0.25">
      <c r="A1106" s="377">
        <v>45481</v>
      </c>
      <c r="B1106" s="375">
        <v>60000</v>
      </c>
      <c r="C1106" s="375">
        <v>30000</v>
      </c>
      <c r="D1106" s="375">
        <v>9</v>
      </c>
      <c r="E1106" s="375">
        <v>17</v>
      </c>
      <c r="F1106" s="375">
        <v>0.5</v>
      </c>
      <c r="G1106" s="375">
        <v>10000</v>
      </c>
      <c r="H1106" s="376">
        <v>1.2999999999999999E-3</v>
      </c>
      <c r="I1106" s="375">
        <v>3500</v>
      </c>
      <c r="J1106" s="375">
        <v>4615</v>
      </c>
      <c r="K1106" s="375">
        <v>13</v>
      </c>
      <c r="L1106" s="375">
        <v>3002</v>
      </c>
      <c r="M1106" s="375">
        <v>6998</v>
      </c>
      <c r="V1106" s="375" t="s">
        <v>596</v>
      </c>
    </row>
    <row r="1107" spans="1:22" hidden="1" x14ac:dyDescent="0.25">
      <c r="A1107" s="377">
        <v>45482</v>
      </c>
      <c r="B1107" s="375">
        <v>60000</v>
      </c>
      <c r="C1107" s="375">
        <v>30000</v>
      </c>
      <c r="D1107" s="375">
        <v>9</v>
      </c>
      <c r="E1107" s="375">
        <v>17</v>
      </c>
      <c r="F1107" s="375">
        <v>0.5</v>
      </c>
      <c r="G1107" s="375">
        <v>10000</v>
      </c>
      <c r="H1107" s="376">
        <v>1.2999999999999999E-3</v>
      </c>
      <c r="I1107" s="375">
        <v>3500</v>
      </c>
      <c r="J1107" s="375">
        <v>4615</v>
      </c>
      <c r="K1107" s="375">
        <v>13</v>
      </c>
      <c r="L1107" s="375">
        <v>3002</v>
      </c>
      <c r="M1107" s="375">
        <v>6998</v>
      </c>
      <c r="V1107" s="375" t="s">
        <v>596</v>
      </c>
    </row>
    <row r="1108" spans="1:22" hidden="1" x14ac:dyDescent="0.25">
      <c r="A1108" s="377">
        <v>45483</v>
      </c>
      <c r="B1108" s="375">
        <v>60000</v>
      </c>
      <c r="C1108" s="375">
        <v>30000</v>
      </c>
      <c r="D1108" s="375">
        <v>9</v>
      </c>
      <c r="E1108" s="375">
        <v>17</v>
      </c>
      <c r="F1108" s="375">
        <v>0.5</v>
      </c>
      <c r="G1108" s="375">
        <v>10000</v>
      </c>
      <c r="H1108" s="376">
        <v>1.1999999999999999E-3</v>
      </c>
      <c r="I1108" s="375">
        <v>3500</v>
      </c>
      <c r="J1108" s="375">
        <v>5000</v>
      </c>
      <c r="K1108" s="375">
        <v>12</v>
      </c>
      <c r="L1108" s="375">
        <v>3002</v>
      </c>
      <c r="M1108" s="375">
        <v>6998</v>
      </c>
      <c r="V1108" s="375" t="s">
        <v>596</v>
      </c>
    </row>
    <row r="1109" spans="1:22" hidden="1" x14ac:dyDescent="0.25">
      <c r="A1109" s="377">
        <v>45484</v>
      </c>
      <c r="B1109" s="375">
        <v>30000</v>
      </c>
      <c r="C1109" s="375">
        <v>15000</v>
      </c>
      <c r="D1109" s="375">
        <v>4</v>
      </c>
      <c r="E1109" s="375">
        <v>9</v>
      </c>
      <c r="F1109" s="375">
        <v>0.5</v>
      </c>
      <c r="G1109" s="375">
        <v>10000</v>
      </c>
      <c r="H1109" s="376">
        <v>6.9999999999999999E-4</v>
      </c>
      <c r="I1109" s="375">
        <v>3500</v>
      </c>
      <c r="J1109" s="375">
        <v>4286</v>
      </c>
      <c r="K1109" s="375">
        <v>7</v>
      </c>
      <c r="L1109" s="375">
        <v>3002</v>
      </c>
      <c r="M1109" s="375">
        <v>6998</v>
      </c>
      <c r="V1109" s="375" t="s">
        <v>596</v>
      </c>
    </row>
    <row r="1110" spans="1:22" hidden="1" x14ac:dyDescent="0.25">
      <c r="A1110" s="377">
        <v>45485</v>
      </c>
      <c r="B1110" s="375">
        <v>30000</v>
      </c>
      <c r="C1110" s="375">
        <v>15000</v>
      </c>
      <c r="D1110" s="375">
        <v>4</v>
      </c>
      <c r="E1110" s="375">
        <v>9</v>
      </c>
      <c r="F1110" s="375">
        <v>0.5</v>
      </c>
      <c r="G1110" s="375">
        <v>10000</v>
      </c>
      <c r="H1110" s="376">
        <v>8.0000000000000004E-4</v>
      </c>
      <c r="I1110" s="375">
        <v>3500</v>
      </c>
      <c r="J1110" s="375">
        <v>3750</v>
      </c>
      <c r="K1110" s="375">
        <v>8</v>
      </c>
      <c r="L1110" s="375">
        <v>3002</v>
      </c>
      <c r="M1110" s="375">
        <v>6998</v>
      </c>
      <c r="V1110" s="375" t="s">
        <v>596</v>
      </c>
    </row>
    <row r="1111" spans="1:22" hidden="1" x14ac:dyDescent="0.25">
      <c r="A1111" s="377">
        <v>45486</v>
      </c>
      <c r="B1111" s="375">
        <v>80000</v>
      </c>
      <c r="C1111" s="375">
        <v>40000</v>
      </c>
      <c r="D1111" s="375">
        <v>11</v>
      </c>
      <c r="E1111" s="375">
        <v>23</v>
      </c>
      <c r="F1111" s="375">
        <v>0.5</v>
      </c>
      <c r="G1111" s="375">
        <v>10000</v>
      </c>
      <c r="H1111" s="376">
        <v>1.6000000000000001E-3</v>
      </c>
      <c r="I1111" s="375">
        <v>3500</v>
      </c>
      <c r="J1111" s="375">
        <v>5000</v>
      </c>
      <c r="K1111" s="375">
        <v>16</v>
      </c>
      <c r="L1111" s="375">
        <v>3002</v>
      </c>
      <c r="M1111" s="375">
        <v>6998</v>
      </c>
      <c r="V1111" s="375" t="s">
        <v>596</v>
      </c>
    </row>
    <row r="1112" spans="1:22" hidden="1" x14ac:dyDescent="0.25">
      <c r="A1112" s="377">
        <v>45487</v>
      </c>
      <c r="B1112" s="375">
        <v>80000</v>
      </c>
      <c r="C1112" s="375">
        <v>40000</v>
      </c>
      <c r="D1112" s="375">
        <v>11</v>
      </c>
      <c r="E1112" s="375">
        <v>23</v>
      </c>
      <c r="F1112" s="375">
        <v>0.5</v>
      </c>
      <c r="G1112" s="375">
        <v>10000</v>
      </c>
      <c r="H1112" s="376">
        <v>2E-3</v>
      </c>
      <c r="I1112" s="375">
        <v>3500</v>
      </c>
      <c r="J1112" s="375">
        <v>4000</v>
      </c>
      <c r="K1112" s="375">
        <v>20</v>
      </c>
      <c r="L1112" s="375">
        <v>3002</v>
      </c>
      <c r="M1112" s="375">
        <v>6998</v>
      </c>
      <c r="V1112" s="375" t="s">
        <v>596</v>
      </c>
    </row>
    <row r="1113" spans="1:22" hidden="1" x14ac:dyDescent="0.25">
      <c r="A1113" s="377">
        <v>45488</v>
      </c>
      <c r="B1113" s="375">
        <v>80000</v>
      </c>
      <c r="C1113" s="375">
        <v>40000</v>
      </c>
      <c r="D1113" s="375">
        <v>11</v>
      </c>
      <c r="E1113" s="375">
        <v>23</v>
      </c>
      <c r="F1113" s="375">
        <v>0.5</v>
      </c>
      <c r="G1113" s="375">
        <v>10000</v>
      </c>
      <c r="H1113" s="376">
        <v>1.6999999999999999E-3</v>
      </c>
      <c r="I1113" s="375">
        <v>3500</v>
      </c>
      <c r="J1113" s="375">
        <v>4706</v>
      </c>
      <c r="K1113" s="375">
        <v>17</v>
      </c>
      <c r="L1113" s="375">
        <v>3002</v>
      </c>
      <c r="M1113" s="375">
        <v>6998</v>
      </c>
      <c r="V1113" s="375" t="s">
        <v>596</v>
      </c>
    </row>
    <row r="1114" spans="1:22" hidden="1" x14ac:dyDescent="0.25">
      <c r="A1114" s="377">
        <v>45489</v>
      </c>
      <c r="B1114" s="375">
        <v>60000</v>
      </c>
      <c r="C1114" s="375">
        <v>30000</v>
      </c>
      <c r="D1114" s="375">
        <v>9</v>
      </c>
      <c r="E1114" s="375">
        <v>17</v>
      </c>
      <c r="F1114" s="375">
        <v>0.5</v>
      </c>
      <c r="G1114" s="375">
        <v>10000</v>
      </c>
      <c r="H1114" s="376">
        <v>1.5E-3</v>
      </c>
      <c r="I1114" s="375">
        <v>3500</v>
      </c>
      <c r="J1114" s="375">
        <v>4000</v>
      </c>
      <c r="K1114" s="375">
        <v>15</v>
      </c>
      <c r="L1114" s="375">
        <v>3002</v>
      </c>
      <c r="M1114" s="375">
        <v>6998</v>
      </c>
      <c r="V1114" s="375" t="s">
        <v>596</v>
      </c>
    </row>
    <row r="1115" spans="1:22" hidden="1" x14ac:dyDescent="0.25">
      <c r="A1115" s="377">
        <v>45490</v>
      </c>
      <c r="B1115" s="375">
        <v>60000</v>
      </c>
      <c r="C1115" s="375">
        <v>30000</v>
      </c>
      <c r="D1115" s="375">
        <v>9</v>
      </c>
      <c r="E1115" s="375">
        <v>17</v>
      </c>
      <c r="F1115" s="375">
        <v>0.5</v>
      </c>
      <c r="G1115" s="375">
        <v>10000</v>
      </c>
      <c r="H1115" s="376">
        <v>1.5E-3</v>
      </c>
      <c r="I1115" s="375">
        <v>3500</v>
      </c>
      <c r="J1115" s="375">
        <v>4000</v>
      </c>
      <c r="K1115" s="375">
        <v>15</v>
      </c>
      <c r="L1115" s="375">
        <v>3002</v>
      </c>
      <c r="M1115" s="375">
        <v>6998</v>
      </c>
      <c r="V1115" s="375" t="s">
        <v>596</v>
      </c>
    </row>
    <row r="1116" spans="1:22" hidden="1" x14ac:dyDescent="0.25">
      <c r="A1116" s="377">
        <v>45491</v>
      </c>
      <c r="B1116" s="375">
        <v>69857</v>
      </c>
      <c r="C1116" s="375">
        <v>34929</v>
      </c>
      <c r="D1116" s="375">
        <v>10</v>
      </c>
      <c r="E1116" s="375">
        <v>20</v>
      </c>
      <c r="F1116" s="375">
        <v>0.5</v>
      </c>
      <c r="G1116" s="375">
        <v>10000</v>
      </c>
      <c r="H1116" s="376">
        <v>1.5E-3</v>
      </c>
      <c r="I1116" s="375">
        <v>3500</v>
      </c>
      <c r="J1116" s="375">
        <v>4657</v>
      </c>
      <c r="K1116" s="375">
        <v>15</v>
      </c>
      <c r="L1116" s="375">
        <v>3002</v>
      </c>
      <c r="M1116" s="375">
        <v>6998</v>
      </c>
      <c r="V1116" s="375" t="s">
        <v>596</v>
      </c>
    </row>
    <row r="1117" spans="1:22" hidden="1" x14ac:dyDescent="0.25">
      <c r="A1117" s="377">
        <v>45492</v>
      </c>
      <c r="B1117" s="375">
        <v>70000</v>
      </c>
      <c r="C1117" s="375">
        <v>35000</v>
      </c>
      <c r="D1117" s="375">
        <v>10</v>
      </c>
      <c r="E1117" s="375">
        <v>20</v>
      </c>
      <c r="F1117" s="375">
        <v>0.5</v>
      </c>
      <c r="G1117" s="375">
        <v>10000</v>
      </c>
      <c r="H1117" s="376">
        <v>1.5E-3</v>
      </c>
      <c r="I1117" s="375">
        <v>3500</v>
      </c>
      <c r="J1117" s="375">
        <v>4667</v>
      </c>
      <c r="K1117" s="375">
        <v>15</v>
      </c>
      <c r="L1117" s="375">
        <v>3002</v>
      </c>
      <c r="M1117" s="375">
        <v>6998</v>
      </c>
      <c r="V1117" s="375" t="s">
        <v>596</v>
      </c>
    </row>
    <row r="1118" spans="1:22" hidden="1" x14ac:dyDescent="0.25">
      <c r="A1118" s="377">
        <v>45493</v>
      </c>
      <c r="B1118" s="375">
        <v>70000</v>
      </c>
      <c r="C1118" s="375">
        <v>35000</v>
      </c>
      <c r="D1118" s="375">
        <v>10</v>
      </c>
      <c r="E1118" s="375">
        <v>20</v>
      </c>
      <c r="F1118" s="375">
        <v>0.5</v>
      </c>
      <c r="G1118" s="375">
        <v>10000</v>
      </c>
      <c r="H1118" s="376">
        <v>1.5E-3</v>
      </c>
      <c r="I1118" s="375">
        <v>3500</v>
      </c>
      <c r="J1118" s="375">
        <v>4667</v>
      </c>
      <c r="K1118" s="375">
        <v>15</v>
      </c>
      <c r="L1118" s="375">
        <v>3002</v>
      </c>
      <c r="M1118" s="375">
        <v>6998</v>
      </c>
      <c r="V1118" s="375" t="s">
        <v>596</v>
      </c>
    </row>
    <row r="1119" spans="1:22" hidden="1" x14ac:dyDescent="0.25">
      <c r="A1119" s="377">
        <v>45494</v>
      </c>
      <c r="B1119" s="375">
        <v>70000</v>
      </c>
      <c r="C1119" s="375">
        <v>35000</v>
      </c>
      <c r="D1119" s="375">
        <v>10</v>
      </c>
      <c r="E1119" s="375">
        <v>20</v>
      </c>
      <c r="F1119" s="375">
        <v>0.5</v>
      </c>
      <c r="G1119" s="375">
        <v>10000</v>
      </c>
      <c r="H1119" s="376">
        <v>1.5E-3</v>
      </c>
      <c r="I1119" s="375">
        <v>3500</v>
      </c>
      <c r="J1119" s="375">
        <v>4667</v>
      </c>
      <c r="K1119" s="375">
        <v>15</v>
      </c>
      <c r="L1119" s="375">
        <v>3002</v>
      </c>
      <c r="M1119" s="375">
        <v>6998</v>
      </c>
      <c r="V1119" s="375" t="s">
        <v>596</v>
      </c>
    </row>
    <row r="1120" spans="1:22" hidden="1" x14ac:dyDescent="0.25">
      <c r="A1120" s="377">
        <v>45495</v>
      </c>
      <c r="B1120" s="375">
        <v>50000</v>
      </c>
      <c r="C1120" s="375">
        <v>25000</v>
      </c>
      <c r="D1120" s="375">
        <v>7</v>
      </c>
      <c r="E1120" s="375">
        <v>14</v>
      </c>
      <c r="F1120" s="375">
        <v>0.5</v>
      </c>
      <c r="G1120" s="375">
        <v>10000</v>
      </c>
      <c r="H1120" s="376">
        <v>1.6000000000000001E-3</v>
      </c>
      <c r="I1120" s="375">
        <v>3500</v>
      </c>
      <c r="J1120" s="375">
        <v>3125</v>
      </c>
      <c r="K1120" s="375">
        <v>16</v>
      </c>
      <c r="L1120" s="375">
        <v>3002</v>
      </c>
      <c r="M1120" s="375">
        <v>6998</v>
      </c>
      <c r="V1120" s="375" t="s">
        <v>596</v>
      </c>
    </row>
    <row r="1121" spans="1:22" hidden="1" x14ac:dyDescent="0.25">
      <c r="A1121" s="377">
        <v>45496</v>
      </c>
      <c r="B1121" s="375">
        <v>50000</v>
      </c>
      <c r="C1121" s="375">
        <v>25000</v>
      </c>
      <c r="D1121" s="375">
        <v>7</v>
      </c>
      <c r="E1121" s="375">
        <v>14</v>
      </c>
      <c r="F1121" s="375">
        <v>0.5</v>
      </c>
      <c r="G1121" s="375">
        <v>10000</v>
      </c>
      <c r="H1121" s="376">
        <v>1.5E-3</v>
      </c>
      <c r="I1121" s="375">
        <v>3500</v>
      </c>
      <c r="J1121" s="375">
        <v>3333</v>
      </c>
      <c r="K1121" s="375">
        <v>15</v>
      </c>
      <c r="L1121" s="375">
        <v>3002</v>
      </c>
      <c r="M1121" s="375">
        <v>6998</v>
      </c>
      <c r="V1121" s="375" t="s">
        <v>596</v>
      </c>
    </row>
    <row r="1122" spans="1:22" hidden="1" x14ac:dyDescent="0.25">
      <c r="A1122" s="377">
        <v>45497</v>
      </c>
      <c r="B1122" s="375">
        <v>50000</v>
      </c>
      <c r="C1122" s="375">
        <v>25000</v>
      </c>
      <c r="D1122" s="375">
        <v>6</v>
      </c>
      <c r="E1122" s="375">
        <v>13</v>
      </c>
      <c r="F1122" s="375">
        <v>0.5</v>
      </c>
      <c r="G1122" s="375">
        <v>9000</v>
      </c>
      <c r="H1122" s="376">
        <v>1E-3</v>
      </c>
      <c r="I1122" s="375">
        <v>4000</v>
      </c>
      <c r="J1122" s="375">
        <v>5556</v>
      </c>
      <c r="K1122" s="375">
        <v>9</v>
      </c>
      <c r="L1122" s="375">
        <v>2002</v>
      </c>
      <c r="M1122" s="375">
        <v>6998</v>
      </c>
      <c r="V1122" s="375" t="s">
        <v>596</v>
      </c>
    </row>
    <row r="1123" spans="1:22" hidden="1" x14ac:dyDescent="0.25">
      <c r="A1123" s="377">
        <v>45498</v>
      </c>
      <c r="B1123" s="375">
        <v>50000</v>
      </c>
      <c r="C1123" s="375">
        <v>25000</v>
      </c>
      <c r="D1123" s="375">
        <v>6</v>
      </c>
      <c r="E1123" s="375">
        <v>13</v>
      </c>
      <c r="F1123" s="375">
        <v>0.5</v>
      </c>
      <c r="G1123" s="375">
        <v>9000</v>
      </c>
      <c r="H1123" s="376">
        <v>1.2222222222222222E-3</v>
      </c>
      <c r="I1123" s="375">
        <v>4000</v>
      </c>
      <c r="J1123" s="375">
        <v>4545</v>
      </c>
      <c r="K1123" s="375">
        <v>11</v>
      </c>
      <c r="L1123" s="375">
        <v>2002</v>
      </c>
      <c r="M1123" s="375">
        <v>6998</v>
      </c>
      <c r="V1123" s="375" t="s">
        <v>596</v>
      </c>
    </row>
    <row r="1124" spans="1:22" hidden="1" x14ac:dyDescent="0.25">
      <c r="A1124" s="377">
        <v>45499</v>
      </c>
      <c r="B1124" s="375">
        <v>50000</v>
      </c>
      <c r="C1124" s="375">
        <v>25000</v>
      </c>
      <c r="D1124" s="375">
        <v>6</v>
      </c>
      <c r="E1124" s="375">
        <v>13</v>
      </c>
      <c r="F1124" s="375">
        <v>0.5</v>
      </c>
      <c r="G1124" s="375">
        <v>9000</v>
      </c>
      <c r="H1124" s="376">
        <v>1.3333333333333333E-3</v>
      </c>
      <c r="I1124" s="375">
        <v>4000</v>
      </c>
      <c r="J1124" s="375">
        <v>4167</v>
      </c>
      <c r="K1124" s="375">
        <v>12</v>
      </c>
      <c r="L1124" s="375">
        <v>2002</v>
      </c>
      <c r="M1124" s="375">
        <v>6998</v>
      </c>
      <c r="V1124" s="375" t="s">
        <v>596</v>
      </c>
    </row>
    <row r="1125" spans="1:22" hidden="1" x14ac:dyDescent="0.25">
      <c r="A1125" s="377">
        <v>45500</v>
      </c>
      <c r="B1125" s="375">
        <v>60000</v>
      </c>
      <c r="C1125" s="375">
        <v>30000</v>
      </c>
      <c r="D1125" s="375">
        <v>8</v>
      </c>
      <c r="E1125" s="375">
        <v>15</v>
      </c>
      <c r="F1125" s="375">
        <v>0.5</v>
      </c>
      <c r="G1125" s="375">
        <v>9000</v>
      </c>
      <c r="H1125" s="376">
        <v>1.4444444444444444E-3</v>
      </c>
      <c r="I1125" s="375">
        <v>4000</v>
      </c>
      <c r="J1125" s="375">
        <v>4615</v>
      </c>
      <c r="K1125" s="375">
        <v>13</v>
      </c>
      <c r="L1125" s="375">
        <v>2002</v>
      </c>
      <c r="M1125" s="375">
        <v>6998</v>
      </c>
      <c r="V1125" s="375" t="s">
        <v>596</v>
      </c>
    </row>
    <row r="1126" spans="1:22" hidden="1" x14ac:dyDescent="0.25">
      <c r="A1126" s="377">
        <v>45501</v>
      </c>
      <c r="B1126" s="375">
        <v>60000</v>
      </c>
      <c r="C1126" s="375">
        <v>30000</v>
      </c>
      <c r="D1126" s="375">
        <v>8</v>
      </c>
      <c r="E1126" s="375">
        <v>15</v>
      </c>
      <c r="F1126" s="375">
        <v>0.5</v>
      </c>
      <c r="G1126" s="375">
        <v>9000</v>
      </c>
      <c r="H1126" s="376">
        <v>1.4444444444444444E-3</v>
      </c>
      <c r="I1126" s="375">
        <v>4000</v>
      </c>
      <c r="J1126" s="375">
        <v>4615</v>
      </c>
      <c r="K1126" s="375">
        <v>13</v>
      </c>
      <c r="L1126" s="375">
        <v>2002</v>
      </c>
      <c r="M1126" s="375">
        <v>6998</v>
      </c>
      <c r="V1126" s="375" t="s">
        <v>596</v>
      </c>
    </row>
    <row r="1127" spans="1:22" hidden="1" x14ac:dyDescent="0.25">
      <c r="A1127" s="377">
        <v>45502</v>
      </c>
      <c r="B1127" s="375">
        <v>50000</v>
      </c>
      <c r="C1127" s="375">
        <v>25000</v>
      </c>
      <c r="D1127" s="375">
        <v>6</v>
      </c>
      <c r="E1127" s="375">
        <v>13</v>
      </c>
      <c r="F1127" s="375">
        <v>0.5</v>
      </c>
      <c r="G1127" s="375">
        <v>8500</v>
      </c>
      <c r="H1127" s="376">
        <v>1.411764705882353E-3</v>
      </c>
      <c r="I1127" s="375">
        <v>4000</v>
      </c>
      <c r="J1127" s="375">
        <v>4167</v>
      </c>
      <c r="K1127" s="375">
        <v>12</v>
      </c>
      <c r="L1127" s="375">
        <v>1502</v>
      </c>
      <c r="M1127" s="375">
        <v>6998</v>
      </c>
      <c r="V1127" s="375" t="s">
        <v>596</v>
      </c>
    </row>
    <row r="1128" spans="1:22" hidden="1" x14ac:dyDescent="0.25">
      <c r="A1128" s="377">
        <v>45503</v>
      </c>
      <c r="B1128" s="375">
        <v>50000</v>
      </c>
      <c r="C1128" s="375">
        <v>25000</v>
      </c>
      <c r="D1128" s="375">
        <v>6</v>
      </c>
      <c r="E1128" s="375">
        <v>13</v>
      </c>
      <c r="F1128" s="375">
        <v>0.5</v>
      </c>
      <c r="G1128" s="375">
        <v>8500</v>
      </c>
      <c r="H1128" s="376">
        <v>1.2941176470588236E-3</v>
      </c>
      <c r="I1128" s="375">
        <v>4000</v>
      </c>
      <c r="J1128" s="375">
        <v>4545</v>
      </c>
      <c r="K1128" s="375">
        <v>11</v>
      </c>
      <c r="L1128" s="375">
        <v>1502</v>
      </c>
      <c r="M1128" s="375">
        <v>6998</v>
      </c>
      <c r="V1128" s="375" t="s">
        <v>596</v>
      </c>
    </row>
    <row r="1129" spans="1:22" hidden="1" x14ac:dyDescent="0.25">
      <c r="A1129" s="377">
        <v>45504</v>
      </c>
      <c r="B1129" s="375">
        <v>50000</v>
      </c>
      <c r="C1129" s="375">
        <v>25000</v>
      </c>
      <c r="D1129" s="375">
        <v>6</v>
      </c>
      <c r="E1129" s="375">
        <v>13</v>
      </c>
      <c r="F1129" s="375">
        <v>0.5</v>
      </c>
      <c r="G1129" s="375">
        <v>8500</v>
      </c>
      <c r="H1129" s="376">
        <v>1.411764705882353E-3</v>
      </c>
      <c r="I1129" s="375">
        <v>4000</v>
      </c>
      <c r="J1129" s="375">
        <v>4167</v>
      </c>
      <c r="K1129" s="375">
        <v>12</v>
      </c>
      <c r="L1129" s="375">
        <v>1502</v>
      </c>
      <c r="M1129" s="375">
        <v>6998</v>
      </c>
      <c r="V1129" s="375" t="s">
        <v>596</v>
      </c>
    </row>
    <row r="1130" spans="1:22" hidden="1" x14ac:dyDescent="0.25">
      <c r="A1130" s="377">
        <v>45505</v>
      </c>
      <c r="B1130" s="375">
        <v>50000</v>
      </c>
      <c r="C1130" s="375">
        <v>25000</v>
      </c>
      <c r="D1130" s="375">
        <v>7</v>
      </c>
      <c r="E1130" s="375">
        <v>14</v>
      </c>
      <c r="F1130" s="375">
        <v>0.5</v>
      </c>
      <c r="G1130" s="375">
        <v>10000</v>
      </c>
      <c r="H1130" s="376">
        <v>1.1000000000000001E-3</v>
      </c>
      <c r="I1130" s="375">
        <v>3500</v>
      </c>
      <c r="J1130" s="375">
        <v>4545</v>
      </c>
      <c r="K1130" s="375">
        <v>11</v>
      </c>
      <c r="L1130" s="375">
        <v>3002</v>
      </c>
      <c r="M1130" s="375">
        <v>6998</v>
      </c>
      <c r="V1130" s="375" t="s">
        <v>596</v>
      </c>
    </row>
    <row r="1131" spans="1:22" hidden="1" x14ac:dyDescent="0.25">
      <c r="A1131" s="377">
        <v>45506</v>
      </c>
      <c r="B1131" s="375">
        <v>50000</v>
      </c>
      <c r="C1131" s="375">
        <v>25000</v>
      </c>
      <c r="D1131" s="375">
        <v>6</v>
      </c>
      <c r="E1131" s="375">
        <v>13</v>
      </c>
      <c r="F1131" s="375">
        <v>0.5</v>
      </c>
      <c r="G1131" s="375">
        <v>10000</v>
      </c>
      <c r="H1131" s="376">
        <v>1.1000000000000001E-3</v>
      </c>
      <c r="I1131" s="375">
        <v>4000</v>
      </c>
      <c r="J1131" s="375">
        <v>4545</v>
      </c>
      <c r="K1131" s="375">
        <v>11</v>
      </c>
      <c r="L1131" s="375">
        <v>3002</v>
      </c>
      <c r="M1131" s="375">
        <v>6998</v>
      </c>
      <c r="V1131" s="375" t="s">
        <v>596</v>
      </c>
    </row>
    <row r="1132" spans="1:22" hidden="1" x14ac:dyDescent="0.25">
      <c r="A1132" s="377">
        <v>45507</v>
      </c>
      <c r="B1132" s="375">
        <v>50000</v>
      </c>
      <c r="C1132" s="375">
        <v>25000</v>
      </c>
      <c r="D1132" s="375">
        <v>7</v>
      </c>
      <c r="E1132" s="375">
        <v>14</v>
      </c>
      <c r="F1132" s="375">
        <v>0.5</v>
      </c>
      <c r="G1132" s="375">
        <v>10000</v>
      </c>
      <c r="H1132" s="376">
        <v>1.1000000000000001E-3</v>
      </c>
      <c r="I1132" s="375">
        <v>3500</v>
      </c>
      <c r="J1132" s="375">
        <v>4545</v>
      </c>
      <c r="K1132" s="375">
        <v>11</v>
      </c>
      <c r="L1132" s="375">
        <v>3002</v>
      </c>
      <c r="M1132" s="375">
        <v>6998</v>
      </c>
      <c r="V1132" s="375" t="s">
        <v>596</v>
      </c>
    </row>
    <row r="1133" spans="1:22" hidden="1" x14ac:dyDescent="0.25">
      <c r="A1133" s="377">
        <v>45508</v>
      </c>
      <c r="B1133" s="375">
        <v>50000</v>
      </c>
      <c r="C1133" s="375">
        <v>25000</v>
      </c>
      <c r="D1133" s="375">
        <v>7</v>
      </c>
      <c r="E1133" s="375">
        <v>14</v>
      </c>
      <c r="F1133" s="375">
        <v>0.5</v>
      </c>
      <c r="G1133" s="375">
        <v>10000</v>
      </c>
      <c r="H1133" s="376">
        <v>1.1000000000000001E-3</v>
      </c>
      <c r="I1133" s="375">
        <v>3500</v>
      </c>
      <c r="J1133" s="375">
        <v>4545</v>
      </c>
      <c r="K1133" s="375">
        <v>11</v>
      </c>
      <c r="L1133" s="375">
        <v>3002</v>
      </c>
      <c r="M1133" s="375">
        <v>6998</v>
      </c>
      <c r="V1133" s="375" t="s">
        <v>596</v>
      </c>
    </row>
    <row r="1134" spans="1:22" hidden="1" x14ac:dyDescent="0.25">
      <c r="A1134" s="377">
        <v>45509</v>
      </c>
      <c r="B1134" s="375">
        <v>60000</v>
      </c>
      <c r="C1134" s="375">
        <v>30000</v>
      </c>
      <c r="D1134" s="375">
        <v>9</v>
      </c>
      <c r="E1134" s="375">
        <v>17</v>
      </c>
      <c r="F1134" s="375">
        <v>0.5</v>
      </c>
      <c r="G1134" s="375">
        <v>10000</v>
      </c>
      <c r="H1134" s="376">
        <v>1.1999999999999999E-3</v>
      </c>
      <c r="I1134" s="375">
        <v>3500</v>
      </c>
      <c r="J1134" s="375">
        <v>5000</v>
      </c>
      <c r="K1134" s="375">
        <v>12</v>
      </c>
      <c r="L1134" s="375">
        <v>3002</v>
      </c>
      <c r="M1134" s="375">
        <v>6998</v>
      </c>
      <c r="V1134" s="375" t="s">
        <v>596</v>
      </c>
    </row>
    <row r="1135" spans="1:22" hidden="1" x14ac:dyDescent="0.25">
      <c r="A1135" s="377">
        <v>45510</v>
      </c>
      <c r="B1135" s="375">
        <v>70000</v>
      </c>
      <c r="C1135" s="375">
        <v>35000</v>
      </c>
      <c r="D1135" s="375">
        <v>10</v>
      </c>
      <c r="E1135" s="375">
        <v>20</v>
      </c>
      <c r="F1135" s="375">
        <v>0.5</v>
      </c>
      <c r="G1135" s="375">
        <v>10000</v>
      </c>
      <c r="H1135" s="376">
        <v>1.5E-3</v>
      </c>
      <c r="I1135" s="375">
        <v>3500</v>
      </c>
      <c r="J1135" s="375">
        <v>4667</v>
      </c>
      <c r="K1135" s="375">
        <v>15</v>
      </c>
      <c r="L1135" s="375">
        <v>3002</v>
      </c>
      <c r="M1135" s="375">
        <v>6998</v>
      </c>
      <c r="V1135" s="375" t="s">
        <v>596</v>
      </c>
    </row>
    <row r="1136" spans="1:22" hidden="1" x14ac:dyDescent="0.25">
      <c r="A1136" s="377">
        <v>45511</v>
      </c>
      <c r="B1136" s="375">
        <v>70000</v>
      </c>
      <c r="C1136" s="375">
        <v>35000</v>
      </c>
      <c r="D1136" s="375">
        <v>10</v>
      </c>
      <c r="E1136" s="375">
        <v>20</v>
      </c>
      <c r="F1136" s="375">
        <v>0.5</v>
      </c>
      <c r="G1136" s="375">
        <v>10000</v>
      </c>
      <c r="H1136" s="376">
        <v>1.5E-3</v>
      </c>
      <c r="I1136" s="375">
        <v>3500</v>
      </c>
      <c r="J1136" s="375">
        <v>4667</v>
      </c>
      <c r="K1136" s="375">
        <v>15</v>
      </c>
      <c r="L1136" s="375">
        <v>3002</v>
      </c>
      <c r="M1136" s="375">
        <v>6998</v>
      </c>
      <c r="V1136" s="375" t="s">
        <v>596</v>
      </c>
    </row>
    <row r="1137" spans="1:22" hidden="1" x14ac:dyDescent="0.25">
      <c r="A1137" s="377">
        <v>45512</v>
      </c>
      <c r="B1137" s="375">
        <v>60000</v>
      </c>
      <c r="C1137" s="375">
        <v>30000</v>
      </c>
      <c r="D1137" s="375">
        <v>9</v>
      </c>
      <c r="E1137" s="375">
        <v>17</v>
      </c>
      <c r="F1137" s="375">
        <v>0.5</v>
      </c>
      <c r="G1137" s="375">
        <v>10000</v>
      </c>
      <c r="H1137" s="376">
        <v>1.2999999999999999E-3</v>
      </c>
      <c r="I1137" s="375">
        <v>3500</v>
      </c>
      <c r="J1137" s="375">
        <v>4615</v>
      </c>
      <c r="K1137" s="375">
        <v>13</v>
      </c>
      <c r="L1137" s="375">
        <v>3002</v>
      </c>
      <c r="M1137" s="375">
        <v>6998</v>
      </c>
      <c r="V1137" s="375" t="s">
        <v>596</v>
      </c>
    </row>
    <row r="1138" spans="1:22" hidden="1" x14ac:dyDescent="0.25">
      <c r="A1138" s="377">
        <v>45513</v>
      </c>
      <c r="B1138" s="375">
        <v>50000</v>
      </c>
      <c r="C1138" s="375">
        <v>25000</v>
      </c>
      <c r="D1138" s="375">
        <v>7</v>
      </c>
      <c r="E1138" s="375">
        <v>14</v>
      </c>
      <c r="F1138" s="375">
        <v>0.5</v>
      </c>
      <c r="G1138" s="375">
        <v>10000</v>
      </c>
      <c r="H1138" s="376">
        <v>1E-3</v>
      </c>
      <c r="I1138" s="375">
        <v>3500</v>
      </c>
      <c r="J1138" s="375">
        <v>5000</v>
      </c>
      <c r="K1138" s="375">
        <v>10</v>
      </c>
      <c r="L1138" s="375">
        <v>3002</v>
      </c>
      <c r="M1138" s="375">
        <v>6998</v>
      </c>
      <c r="V1138" s="375" t="s">
        <v>596</v>
      </c>
    </row>
    <row r="1139" spans="1:22" hidden="1" x14ac:dyDescent="0.25">
      <c r="A1139" s="377">
        <v>45514</v>
      </c>
      <c r="B1139" s="375">
        <v>50000</v>
      </c>
      <c r="C1139" s="375">
        <v>25000</v>
      </c>
      <c r="D1139" s="375">
        <v>7</v>
      </c>
      <c r="E1139" s="375">
        <v>14</v>
      </c>
      <c r="F1139" s="375">
        <v>0.5</v>
      </c>
      <c r="G1139" s="375">
        <v>10000</v>
      </c>
      <c r="H1139" s="376">
        <v>1.1000000000000001E-3</v>
      </c>
      <c r="I1139" s="375">
        <v>3500</v>
      </c>
      <c r="J1139" s="375">
        <v>4545</v>
      </c>
      <c r="K1139" s="375">
        <v>11</v>
      </c>
      <c r="L1139" s="375">
        <v>3002</v>
      </c>
      <c r="M1139" s="375">
        <v>6998</v>
      </c>
      <c r="V1139" s="375" t="s">
        <v>596</v>
      </c>
    </row>
    <row r="1140" spans="1:22" hidden="1" x14ac:dyDescent="0.25">
      <c r="A1140" s="377">
        <v>45515</v>
      </c>
      <c r="B1140" s="375">
        <v>40000</v>
      </c>
      <c r="C1140" s="375">
        <v>20000</v>
      </c>
      <c r="D1140" s="375">
        <v>6</v>
      </c>
      <c r="E1140" s="375">
        <v>11</v>
      </c>
      <c r="F1140" s="375">
        <v>0.5</v>
      </c>
      <c r="G1140" s="375">
        <v>10000</v>
      </c>
      <c r="H1140" s="376">
        <v>8.0000000000000004E-4</v>
      </c>
      <c r="I1140" s="375">
        <v>3500</v>
      </c>
      <c r="J1140" s="375">
        <v>5000</v>
      </c>
      <c r="K1140" s="375">
        <v>8</v>
      </c>
      <c r="L1140" s="375">
        <v>3002</v>
      </c>
      <c r="M1140" s="375">
        <v>6998</v>
      </c>
      <c r="V1140" s="375" t="s">
        <v>596</v>
      </c>
    </row>
    <row r="1141" spans="1:22" hidden="1" x14ac:dyDescent="0.25">
      <c r="A1141" s="377">
        <v>45516</v>
      </c>
      <c r="B1141" s="375">
        <v>40000</v>
      </c>
      <c r="C1141" s="375">
        <v>20000</v>
      </c>
      <c r="D1141" s="375">
        <v>6</v>
      </c>
      <c r="E1141" s="375">
        <v>11</v>
      </c>
      <c r="F1141" s="375">
        <v>0.5</v>
      </c>
      <c r="G1141" s="375">
        <v>10000</v>
      </c>
      <c r="H1141" s="376">
        <v>8.0000000000000004E-4</v>
      </c>
      <c r="I1141" s="375">
        <v>3500</v>
      </c>
      <c r="J1141" s="375">
        <v>5000</v>
      </c>
      <c r="K1141" s="375">
        <v>8</v>
      </c>
      <c r="L1141" s="375">
        <v>3002</v>
      </c>
      <c r="M1141" s="375">
        <v>6998</v>
      </c>
      <c r="V1141" s="375" t="s">
        <v>596</v>
      </c>
    </row>
    <row r="1142" spans="1:22" hidden="1" x14ac:dyDescent="0.25">
      <c r="A1142" s="377">
        <v>45517</v>
      </c>
      <c r="B1142" s="375">
        <v>40000</v>
      </c>
      <c r="C1142" s="375">
        <v>20000</v>
      </c>
      <c r="D1142" s="375">
        <v>6</v>
      </c>
      <c r="E1142" s="375">
        <v>11</v>
      </c>
      <c r="F1142" s="375">
        <v>0.5</v>
      </c>
      <c r="G1142" s="375">
        <v>10000</v>
      </c>
      <c r="H1142" s="376">
        <v>8.0000000000000004E-4</v>
      </c>
      <c r="I1142" s="375">
        <v>3500</v>
      </c>
      <c r="J1142" s="375">
        <v>5000</v>
      </c>
      <c r="K1142" s="375">
        <v>8</v>
      </c>
      <c r="L1142" s="375">
        <v>3002</v>
      </c>
      <c r="M1142" s="375">
        <v>6998</v>
      </c>
      <c r="V1142" s="375" t="s">
        <v>596</v>
      </c>
    </row>
    <row r="1143" spans="1:22" hidden="1" x14ac:dyDescent="0.25">
      <c r="A1143" s="377">
        <v>45518</v>
      </c>
      <c r="B1143" s="375">
        <v>40000</v>
      </c>
      <c r="C1143" s="375">
        <v>20000</v>
      </c>
      <c r="D1143" s="375">
        <v>6</v>
      </c>
      <c r="E1143" s="375">
        <v>11</v>
      </c>
      <c r="F1143" s="375">
        <v>0.5</v>
      </c>
      <c r="G1143" s="375">
        <v>10000</v>
      </c>
      <c r="H1143" s="376">
        <v>8.0000000000000004E-4</v>
      </c>
      <c r="I1143" s="375">
        <v>3500</v>
      </c>
      <c r="J1143" s="375">
        <v>5000</v>
      </c>
      <c r="K1143" s="375">
        <v>8</v>
      </c>
      <c r="L1143" s="375">
        <v>3002</v>
      </c>
      <c r="M1143" s="375">
        <v>6998</v>
      </c>
      <c r="V1143" s="375" t="s">
        <v>596</v>
      </c>
    </row>
    <row r="1144" spans="1:22" hidden="1" x14ac:dyDescent="0.25">
      <c r="A1144" s="377">
        <v>45519</v>
      </c>
      <c r="B1144" s="375">
        <v>40000</v>
      </c>
      <c r="C1144" s="375">
        <v>20000</v>
      </c>
      <c r="D1144" s="375">
        <v>6</v>
      </c>
      <c r="E1144" s="375">
        <v>11</v>
      </c>
      <c r="F1144" s="375">
        <v>0.5</v>
      </c>
      <c r="G1144" s="375">
        <v>10000</v>
      </c>
      <c r="H1144" s="376">
        <v>8.0000000000000004E-4</v>
      </c>
      <c r="I1144" s="375">
        <v>3500</v>
      </c>
      <c r="J1144" s="375">
        <v>5000</v>
      </c>
      <c r="K1144" s="375">
        <v>8</v>
      </c>
      <c r="L1144" s="375">
        <v>3002</v>
      </c>
      <c r="M1144" s="375">
        <v>6998</v>
      </c>
      <c r="V1144" s="375" t="s">
        <v>596</v>
      </c>
    </row>
    <row r="1145" spans="1:22" hidden="1" x14ac:dyDescent="0.25">
      <c r="A1145" s="377">
        <v>45520</v>
      </c>
      <c r="B1145" s="375">
        <v>40000</v>
      </c>
      <c r="C1145" s="375">
        <v>20000</v>
      </c>
      <c r="D1145" s="375">
        <v>6</v>
      </c>
      <c r="E1145" s="375">
        <v>11</v>
      </c>
      <c r="F1145" s="375">
        <v>0.5</v>
      </c>
      <c r="G1145" s="375">
        <v>10000</v>
      </c>
      <c r="H1145" s="376">
        <v>8.0000000000000004E-4</v>
      </c>
      <c r="I1145" s="375">
        <v>3500</v>
      </c>
      <c r="J1145" s="375">
        <v>5000</v>
      </c>
      <c r="K1145" s="375">
        <v>8</v>
      </c>
      <c r="L1145" s="375">
        <v>3002</v>
      </c>
      <c r="M1145" s="375">
        <v>6998</v>
      </c>
      <c r="V1145" s="375" t="s">
        <v>596</v>
      </c>
    </row>
    <row r="1146" spans="1:22" hidden="1" x14ac:dyDescent="0.25">
      <c r="A1146" s="377">
        <v>45521</v>
      </c>
      <c r="B1146" s="375">
        <v>50000</v>
      </c>
      <c r="C1146" s="375">
        <v>25000</v>
      </c>
      <c r="D1146" s="375">
        <v>7</v>
      </c>
      <c r="E1146" s="375">
        <v>14</v>
      </c>
      <c r="F1146" s="375">
        <v>0.5</v>
      </c>
      <c r="G1146" s="375">
        <v>10000</v>
      </c>
      <c r="H1146" s="376">
        <v>1E-3</v>
      </c>
      <c r="I1146" s="375">
        <v>3500</v>
      </c>
      <c r="J1146" s="375">
        <v>5000</v>
      </c>
      <c r="K1146" s="375">
        <v>10</v>
      </c>
      <c r="L1146" s="375">
        <v>3002</v>
      </c>
      <c r="M1146" s="375">
        <v>6998</v>
      </c>
      <c r="V1146" s="375" t="s">
        <v>596</v>
      </c>
    </row>
    <row r="1147" spans="1:22" hidden="1" x14ac:dyDescent="0.25">
      <c r="A1147" s="377">
        <v>45522</v>
      </c>
      <c r="B1147" s="375">
        <v>40000</v>
      </c>
      <c r="C1147" s="375">
        <v>20000</v>
      </c>
      <c r="D1147" s="375">
        <v>6</v>
      </c>
      <c r="E1147" s="375">
        <v>11</v>
      </c>
      <c r="F1147" s="375">
        <v>0.5</v>
      </c>
      <c r="G1147" s="375">
        <v>10000</v>
      </c>
      <c r="H1147" s="376">
        <v>8.0000000000000004E-4</v>
      </c>
      <c r="I1147" s="375">
        <v>3500</v>
      </c>
      <c r="J1147" s="375">
        <v>5000</v>
      </c>
      <c r="K1147" s="375">
        <v>8</v>
      </c>
      <c r="L1147" s="375">
        <v>3002</v>
      </c>
      <c r="M1147" s="375">
        <v>6998</v>
      </c>
      <c r="V1147" s="375" t="s">
        <v>596</v>
      </c>
    </row>
    <row r="1148" spans="1:22" hidden="1" x14ac:dyDescent="0.25">
      <c r="A1148" s="377">
        <v>45523</v>
      </c>
      <c r="B1148" s="375">
        <v>40000</v>
      </c>
      <c r="C1148" s="375">
        <v>20000</v>
      </c>
      <c r="D1148" s="375">
        <v>6</v>
      </c>
      <c r="E1148" s="375">
        <v>11</v>
      </c>
      <c r="F1148" s="375">
        <v>0.5</v>
      </c>
      <c r="G1148" s="375">
        <v>10000</v>
      </c>
      <c r="H1148" s="376">
        <v>8.9999999999999998E-4</v>
      </c>
      <c r="I1148" s="375">
        <v>3500</v>
      </c>
      <c r="J1148" s="375">
        <v>4444</v>
      </c>
      <c r="K1148" s="375">
        <v>9</v>
      </c>
      <c r="L1148" s="375">
        <v>3002</v>
      </c>
      <c r="M1148" s="375">
        <v>6998</v>
      </c>
      <c r="V1148" s="375" t="s">
        <v>596</v>
      </c>
    </row>
    <row r="1149" spans="1:22" hidden="1" x14ac:dyDescent="0.25">
      <c r="A1149" s="377">
        <v>45524</v>
      </c>
      <c r="B1149" s="375">
        <v>40000</v>
      </c>
      <c r="C1149" s="375">
        <v>20000</v>
      </c>
      <c r="D1149" s="375">
        <v>6</v>
      </c>
      <c r="E1149" s="375">
        <v>11</v>
      </c>
      <c r="F1149" s="375">
        <v>0.5</v>
      </c>
      <c r="G1149" s="375">
        <v>10000</v>
      </c>
      <c r="H1149" s="376">
        <v>1E-3</v>
      </c>
      <c r="I1149" s="375">
        <v>3500</v>
      </c>
      <c r="J1149" s="375">
        <v>4000</v>
      </c>
      <c r="K1149" s="375">
        <v>10</v>
      </c>
      <c r="L1149" s="375">
        <v>3002</v>
      </c>
      <c r="M1149" s="375">
        <v>6998</v>
      </c>
      <c r="V1149" s="375" t="s">
        <v>596</v>
      </c>
    </row>
    <row r="1150" spans="1:22" hidden="1" x14ac:dyDescent="0.25">
      <c r="A1150" s="377">
        <v>45525</v>
      </c>
      <c r="B1150" s="375">
        <v>40000</v>
      </c>
      <c r="C1150" s="375">
        <v>20000</v>
      </c>
      <c r="D1150" s="375">
        <v>6</v>
      </c>
      <c r="E1150" s="375">
        <v>11</v>
      </c>
      <c r="F1150" s="375">
        <v>0.5</v>
      </c>
      <c r="G1150" s="375">
        <v>10000</v>
      </c>
      <c r="H1150" s="376">
        <v>1E-3</v>
      </c>
      <c r="I1150" s="375">
        <v>3500</v>
      </c>
      <c r="J1150" s="375">
        <v>4000</v>
      </c>
      <c r="K1150" s="375">
        <v>10</v>
      </c>
      <c r="L1150" s="375">
        <v>3002</v>
      </c>
      <c r="M1150" s="375">
        <v>6998</v>
      </c>
      <c r="V1150" s="375" t="s">
        <v>596</v>
      </c>
    </row>
    <row r="1151" spans="1:22" hidden="1" x14ac:dyDescent="0.25">
      <c r="A1151" s="377">
        <v>45526</v>
      </c>
      <c r="B1151" s="375">
        <v>40000</v>
      </c>
      <c r="C1151" s="375">
        <v>20000</v>
      </c>
      <c r="D1151" s="375">
        <v>6</v>
      </c>
      <c r="E1151" s="375">
        <v>11</v>
      </c>
      <c r="F1151" s="375">
        <v>0.5</v>
      </c>
      <c r="G1151" s="375">
        <v>10000</v>
      </c>
      <c r="H1151" s="376">
        <v>8.0000000000000004E-4</v>
      </c>
      <c r="I1151" s="375">
        <v>3500</v>
      </c>
      <c r="J1151" s="375">
        <v>5000</v>
      </c>
      <c r="K1151" s="375">
        <v>8</v>
      </c>
      <c r="L1151" s="375">
        <v>3002</v>
      </c>
      <c r="M1151" s="375">
        <v>6998</v>
      </c>
      <c r="V1151" s="375" t="s">
        <v>596</v>
      </c>
    </row>
    <row r="1152" spans="1:22" hidden="1" x14ac:dyDescent="0.25">
      <c r="A1152" s="377">
        <v>45527</v>
      </c>
      <c r="B1152" s="375">
        <v>40000</v>
      </c>
      <c r="C1152" s="375">
        <v>20000</v>
      </c>
      <c r="D1152" s="375">
        <v>6</v>
      </c>
      <c r="E1152" s="375">
        <v>11</v>
      </c>
      <c r="F1152" s="375">
        <v>0.5</v>
      </c>
      <c r="G1152" s="375">
        <v>10000</v>
      </c>
      <c r="H1152" s="376">
        <v>6.9999999999999999E-4</v>
      </c>
      <c r="I1152" s="375">
        <v>3500</v>
      </c>
      <c r="J1152" s="375">
        <v>5714</v>
      </c>
      <c r="K1152" s="375">
        <v>7</v>
      </c>
      <c r="L1152" s="375">
        <v>3002</v>
      </c>
      <c r="M1152" s="375">
        <v>6998</v>
      </c>
      <c r="V1152" s="375" t="s">
        <v>596</v>
      </c>
    </row>
    <row r="1153" spans="1:22" hidden="1" x14ac:dyDescent="0.25">
      <c r="A1153" s="377">
        <v>45528</v>
      </c>
      <c r="B1153" s="375">
        <v>50000</v>
      </c>
      <c r="C1153" s="375">
        <v>25000</v>
      </c>
      <c r="D1153" s="375">
        <v>6</v>
      </c>
      <c r="E1153" s="375">
        <v>13</v>
      </c>
      <c r="F1153" s="375">
        <v>0.5</v>
      </c>
      <c r="G1153" s="375">
        <v>9000</v>
      </c>
      <c r="H1153" s="376">
        <v>1.1111111111111111E-3</v>
      </c>
      <c r="I1153" s="375">
        <v>4000</v>
      </c>
      <c r="J1153" s="375">
        <v>5000</v>
      </c>
      <c r="K1153" s="375">
        <v>10</v>
      </c>
      <c r="L1153" s="375">
        <v>2002</v>
      </c>
      <c r="M1153" s="375">
        <v>6998</v>
      </c>
      <c r="V1153" s="375" t="s">
        <v>596</v>
      </c>
    </row>
    <row r="1154" spans="1:22" hidden="1" x14ac:dyDescent="0.25">
      <c r="A1154" s="377">
        <v>45529</v>
      </c>
      <c r="B1154" s="375">
        <v>42000</v>
      </c>
      <c r="C1154" s="375">
        <v>21000</v>
      </c>
      <c r="D1154" s="375">
        <v>5</v>
      </c>
      <c r="E1154" s="375">
        <v>11</v>
      </c>
      <c r="F1154" s="375">
        <v>0.5</v>
      </c>
      <c r="G1154" s="375">
        <v>9000</v>
      </c>
      <c r="H1154" s="376">
        <v>1.1111111111111111E-3</v>
      </c>
      <c r="I1154" s="375">
        <v>4000</v>
      </c>
      <c r="J1154" s="375">
        <v>4200</v>
      </c>
      <c r="K1154" s="375">
        <v>10</v>
      </c>
      <c r="L1154" s="375">
        <v>2002</v>
      </c>
      <c r="M1154" s="375">
        <v>6998</v>
      </c>
      <c r="V1154" s="375" t="s">
        <v>596</v>
      </c>
    </row>
    <row r="1155" spans="1:22" hidden="1" x14ac:dyDescent="0.25">
      <c r="A1155" s="377">
        <v>45530</v>
      </c>
      <c r="B1155" s="375">
        <v>42000</v>
      </c>
      <c r="C1155" s="375">
        <v>21000</v>
      </c>
      <c r="D1155" s="375">
        <v>5</v>
      </c>
      <c r="E1155" s="375">
        <v>11</v>
      </c>
      <c r="F1155" s="375">
        <v>0.5</v>
      </c>
      <c r="G1155" s="375">
        <v>9000</v>
      </c>
      <c r="H1155" s="376">
        <v>7.7777777777777773E-4</v>
      </c>
      <c r="I1155" s="375">
        <v>4000</v>
      </c>
      <c r="J1155" s="375">
        <v>6000</v>
      </c>
      <c r="K1155" s="375">
        <v>7</v>
      </c>
      <c r="L1155" s="375">
        <v>2002</v>
      </c>
      <c r="M1155" s="375">
        <v>6998</v>
      </c>
      <c r="V1155" s="375" t="s">
        <v>596</v>
      </c>
    </row>
    <row r="1156" spans="1:22" hidden="1" x14ac:dyDescent="0.25">
      <c r="A1156" s="377">
        <v>45531</v>
      </c>
      <c r="B1156" s="375">
        <v>40000</v>
      </c>
      <c r="C1156" s="375">
        <v>20000</v>
      </c>
      <c r="D1156" s="375">
        <v>5</v>
      </c>
      <c r="E1156" s="375">
        <v>10</v>
      </c>
      <c r="F1156" s="375">
        <v>0.5</v>
      </c>
      <c r="G1156" s="375">
        <v>9000</v>
      </c>
      <c r="H1156" s="376">
        <v>8.8888888888888893E-4</v>
      </c>
      <c r="I1156" s="375">
        <v>4000</v>
      </c>
      <c r="J1156" s="375">
        <v>5000</v>
      </c>
      <c r="K1156" s="375">
        <v>8</v>
      </c>
      <c r="L1156" s="375">
        <v>2002</v>
      </c>
      <c r="M1156" s="375">
        <v>6998</v>
      </c>
      <c r="V1156" s="375" t="s">
        <v>596</v>
      </c>
    </row>
    <row r="1157" spans="1:22" hidden="1" x14ac:dyDescent="0.25">
      <c r="A1157" s="377">
        <v>45532</v>
      </c>
      <c r="B1157" s="375">
        <v>40000</v>
      </c>
      <c r="C1157" s="375">
        <v>20000</v>
      </c>
      <c r="D1157" s="375">
        <v>5</v>
      </c>
      <c r="E1157" s="375">
        <v>10</v>
      </c>
      <c r="F1157" s="375">
        <v>0.5</v>
      </c>
      <c r="G1157" s="375">
        <v>9000</v>
      </c>
      <c r="H1157" s="376">
        <v>8.8888888888888893E-4</v>
      </c>
      <c r="I1157" s="375">
        <v>4000</v>
      </c>
      <c r="J1157" s="375">
        <v>5000</v>
      </c>
      <c r="K1157" s="375">
        <v>8</v>
      </c>
      <c r="L1157" s="375">
        <v>2002</v>
      </c>
      <c r="M1157" s="375">
        <v>6998</v>
      </c>
      <c r="V1157" s="375" t="s">
        <v>596</v>
      </c>
    </row>
    <row r="1158" spans="1:22" hidden="1" x14ac:dyDescent="0.25">
      <c r="A1158" s="377">
        <v>45533</v>
      </c>
      <c r="B1158" s="375">
        <v>40000</v>
      </c>
      <c r="C1158" s="375">
        <v>20000</v>
      </c>
      <c r="D1158" s="375">
        <v>5</v>
      </c>
      <c r="E1158" s="375">
        <v>10</v>
      </c>
      <c r="F1158" s="375">
        <v>0.5</v>
      </c>
      <c r="G1158" s="375">
        <v>9000</v>
      </c>
      <c r="H1158" s="376">
        <v>8.8888888888888893E-4</v>
      </c>
      <c r="I1158" s="375">
        <v>4000</v>
      </c>
      <c r="J1158" s="375">
        <v>5000</v>
      </c>
      <c r="K1158" s="375">
        <v>8</v>
      </c>
      <c r="L1158" s="375">
        <v>2002</v>
      </c>
      <c r="M1158" s="375">
        <v>6998</v>
      </c>
      <c r="V1158" s="375" t="s">
        <v>596</v>
      </c>
    </row>
    <row r="1159" spans="1:22" hidden="1" x14ac:dyDescent="0.25">
      <c r="A1159" s="377">
        <v>45534</v>
      </c>
      <c r="B1159" s="375">
        <v>43000</v>
      </c>
      <c r="C1159" s="375">
        <v>21500</v>
      </c>
      <c r="D1159" s="375">
        <v>5</v>
      </c>
      <c r="E1159" s="375">
        <v>11</v>
      </c>
      <c r="F1159" s="375">
        <v>0.5</v>
      </c>
      <c r="G1159" s="375">
        <v>9000</v>
      </c>
      <c r="H1159" s="376">
        <v>7.7777777777777773E-4</v>
      </c>
      <c r="I1159" s="375">
        <v>4000</v>
      </c>
      <c r="J1159" s="375">
        <v>6143</v>
      </c>
      <c r="K1159" s="375">
        <v>7</v>
      </c>
      <c r="L1159" s="375">
        <v>2002</v>
      </c>
      <c r="M1159" s="375">
        <v>6998</v>
      </c>
      <c r="V1159" s="375" t="s">
        <v>596</v>
      </c>
    </row>
    <row r="1160" spans="1:22" hidden="1" x14ac:dyDescent="0.25">
      <c r="A1160" s="377">
        <v>45535</v>
      </c>
      <c r="B1160" s="375">
        <v>50950</v>
      </c>
      <c r="C1160" s="375">
        <v>25475</v>
      </c>
      <c r="D1160" s="375">
        <v>6</v>
      </c>
      <c r="E1160" s="375">
        <v>13</v>
      </c>
      <c r="F1160" s="375">
        <v>0.5</v>
      </c>
      <c r="G1160" s="375">
        <v>9000</v>
      </c>
      <c r="H1160" s="376">
        <v>1.1111111111111111E-3</v>
      </c>
      <c r="I1160" s="375">
        <v>4000</v>
      </c>
      <c r="J1160" s="375">
        <v>5095</v>
      </c>
      <c r="K1160" s="375">
        <v>10</v>
      </c>
      <c r="L1160" s="375">
        <v>2002</v>
      </c>
      <c r="M1160" s="375">
        <v>6998</v>
      </c>
      <c r="V1160" s="375" t="s">
        <v>596</v>
      </c>
    </row>
    <row r="1161" spans="1:22" hidden="1" x14ac:dyDescent="0.25">
      <c r="A1161" s="377">
        <v>45536</v>
      </c>
      <c r="B1161" s="375">
        <v>50000</v>
      </c>
      <c r="C1161" s="375">
        <v>25500</v>
      </c>
      <c r="D1161" s="375">
        <v>7</v>
      </c>
      <c r="E1161" s="375">
        <v>14</v>
      </c>
      <c r="F1161" s="375">
        <v>0.49</v>
      </c>
      <c r="G1161" s="375">
        <v>9000</v>
      </c>
      <c r="H1161" s="376">
        <v>1.2222222222222222E-3</v>
      </c>
      <c r="I1161" s="375">
        <v>3500</v>
      </c>
      <c r="J1161" s="375">
        <v>4545</v>
      </c>
      <c r="K1161" s="375">
        <v>11</v>
      </c>
      <c r="L1161" s="375">
        <v>1748</v>
      </c>
      <c r="M1161" s="375">
        <v>7252</v>
      </c>
      <c r="V1161" s="375" t="s">
        <v>596</v>
      </c>
    </row>
    <row r="1162" spans="1:22" hidden="1" x14ac:dyDescent="0.25">
      <c r="A1162" s="377">
        <v>45537</v>
      </c>
      <c r="B1162" s="375">
        <v>50000</v>
      </c>
      <c r="C1162" s="375">
        <v>25500</v>
      </c>
      <c r="D1162" s="375">
        <v>6</v>
      </c>
      <c r="E1162" s="375">
        <v>13</v>
      </c>
      <c r="F1162" s="375">
        <v>0.49</v>
      </c>
      <c r="G1162" s="375">
        <v>9000</v>
      </c>
      <c r="H1162" s="376">
        <v>1.1111111111111111E-3</v>
      </c>
      <c r="I1162" s="375">
        <v>4000</v>
      </c>
      <c r="J1162" s="375">
        <v>5000</v>
      </c>
      <c r="K1162" s="375">
        <v>10</v>
      </c>
      <c r="L1162" s="375">
        <v>1748</v>
      </c>
      <c r="M1162" s="375">
        <v>7252</v>
      </c>
      <c r="V1162" s="375" t="s">
        <v>596</v>
      </c>
    </row>
    <row r="1163" spans="1:22" hidden="1" x14ac:dyDescent="0.25">
      <c r="A1163" s="377">
        <v>45538</v>
      </c>
      <c r="B1163" s="375">
        <v>50000</v>
      </c>
      <c r="C1163" s="375">
        <v>25500</v>
      </c>
      <c r="D1163" s="375">
        <v>7</v>
      </c>
      <c r="E1163" s="375">
        <v>14</v>
      </c>
      <c r="F1163" s="375">
        <v>0.49</v>
      </c>
      <c r="G1163" s="375">
        <v>9000</v>
      </c>
      <c r="H1163" s="376">
        <v>1.2222222222222222E-3</v>
      </c>
      <c r="I1163" s="375">
        <v>3500</v>
      </c>
      <c r="J1163" s="375">
        <v>4545</v>
      </c>
      <c r="K1163" s="375">
        <v>11</v>
      </c>
      <c r="L1163" s="375">
        <v>1862</v>
      </c>
      <c r="M1163" s="375">
        <v>7138</v>
      </c>
      <c r="V1163" s="375" t="s">
        <v>596</v>
      </c>
    </row>
    <row r="1164" spans="1:22" hidden="1" x14ac:dyDescent="0.25">
      <c r="A1164" s="377">
        <v>45539</v>
      </c>
      <c r="B1164" s="375">
        <v>50000</v>
      </c>
      <c r="C1164" s="375">
        <v>25500</v>
      </c>
      <c r="D1164" s="375">
        <v>7</v>
      </c>
      <c r="E1164" s="375">
        <v>14</v>
      </c>
      <c r="F1164" s="375">
        <v>0.49</v>
      </c>
      <c r="G1164" s="375">
        <v>9000</v>
      </c>
      <c r="H1164" s="376">
        <v>1.2222222222222222E-3</v>
      </c>
      <c r="I1164" s="375">
        <v>3500</v>
      </c>
      <c r="J1164" s="375">
        <v>4545</v>
      </c>
      <c r="K1164" s="375">
        <v>11</v>
      </c>
      <c r="L1164" s="375">
        <v>1681</v>
      </c>
      <c r="M1164" s="375">
        <v>7319</v>
      </c>
      <c r="V1164" s="375" t="s">
        <v>596</v>
      </c>
    </row>
    <row r="1165" spans="1:22" hidden="1" x14ac:dyDescent="0.25">
      <c r="A1165" s="377">
        <v>45540</v>
      </c>
      <c r="B1165" s="375">
        <v>50000</v>
      </c>
      <c r="C1165" s="375">
        <v>25500</v>
      </c>
      <c r="D1165" s="375">
        <v>7</v>
      </c>
      <c r="E1165" s="375">
        <v>14</v>
      </c>
      <c r="F1165" s="375">
        <v>0.49</v>
      </c>
      <c r="G1165" s="375">
        <v>9000</v>
      </c>
      <c r="H1165" s="376">
        <v>1.2222222222222222E-3</v>
      </c>
      <c r="I1165" s="375">
        <v>3500</v>
      </c>
      <c r="J1165" s="375">
        <v>4545</v>
      </c>
      <c r="K1165" s="375">
        <v>11</v>
      </c>
      <c r="L1165" s="375">
        <v>1873</v>
      </c>
      <c r="M1165" s="375">
        <v>7127</v>
      </c>
      <c r="V1165" s="375" t="s">
        <v>596</v>
      </c>
    </row>
    <row r="1166" spans="1:22" hidden="1" x14ac:dyDescent="0.25">
      <c r="A1166" s="377">
        <v>45541</v>
      </c>
      <c r="B1166" s="375">
        <v>50000</v>
      </c>
      <c r="C1166" s="375">
        <v>25500</v>
      </c>
      <c r="D1166" s="375">
        <v>7</v>
      </c>
      <c r="E1166" s="375">
        <v>14</v>
      </c>
      <c r="F1166" s="375">
        <v>0.49</v>
      </c>
      <c r="G1166" s="375">
        <v>9000</v>
      </c>
      <c r="H1166" s="376">
        <v>1.1111111111111111E-3</v>
      </c>
      <c r="I1166" s="375">
        <v>3500</v>
      </c>
      <c r="J1166" s="375">
        <v>5000</v>
      </c>
      <c r="K1166" s="375">
        <v>10</v>
      </c>
      <c r="L1166" s="375">
        <v>1873</v>
      </c>
      <c r="M1166" s="375">
        <v>7127</v>
      </c>
      <c r="V1166" s="375" t="s">
        <v>596</v>
      </c>
    </row>
    <row r="1167" spans="1:22" hidden="1" x14ac:dyDescent="0.25">
      <c r="A1167" s="377">
        <v>45542</v>
      </c>
      <c r="B1167" s="375">
        <v>60000</v>
      </c>
      <c r="C1167" s="375">
        <v>30600</v>
      </c>
      <c r="D1167" s="375">
        <v>9</v>
      </c>
      <c r="E1167" s="375">
        <v>17</v>
      </c>
      <c r="F1167" s="375">
        <v>0.49</v>
      </c>
      <c r="G1167" s="375">
        <v>9500</v>
      </c>
      <c r="H1167" s="376">
        <v>1.3684210526315789E-3</v>
      </c>
      <c r="I1167" s="375">
        <v>3500</v>
      </c>
      <c r="J1167" s="375">
        <v>4615</v>
      </c>
      <c r="K1167" s="375">
        <v>13</v>
      </c>
      <c r="L1167" s="375">
        <v>2373</v>
      </c>
      <c r="M1167" s="375">
        <v>7127</v>
      </c>
      <c r="V1167" s="375" t="s">
        <v>596</v>
      </c>
    </row>
    <row r="1168" spans="1:22" hidden="1" x14ac:dyDescent="0.25">
      <c r="A1168" s="377">
        <v>45543</v>
      </c>
      <c r="B1168" s="375">
        <v>60000</v>
      </c>
      <c r="C1168" s="375">
        <v>30600</v>
      </c>
      <c r="D1168" s="375">
        <v>9</v>
      </c>
      <c r="E1168" s="375">
        <v>17</v>
      </c>
      <c r="F1168" s="375">
        <v>0.49</v>
      </c>
      <c r="G1168" s="375">
        <v>9500</v>
      </c>
      <c r="H1168" s="376">
        <v>1.3684210526315789E-3</v>
      </c>
      <c r="I1168" s="375">
        <v>3500</v>
      </c>
      <c r="J1168" s="375">
        <v>4615</v>
      </c>
      <c r="K1168" s="375">
        <v>13</v>
      </c>
      <c r="L1168" s="375">
        <v>2373</v>
      </c>
      <c r="M1168" s="375">
        <v>7127</v>
      </c>
      <c r="V1168" s="375" t="s">
        <v>596</v>
      </c>
    </row>
    <row r="1169" spans="1:22" hidden="1" x14ac:dyDescent="0.25">
      <c r="A1169" s="377">
        <v>45544</v>
      </c>
      <c r="B1169" s="375">
        <v>60000</v>
      </c>
      <c r="C1169" s="375">
        <v>30600</v>
      </c>
      <c r="D1169" s="375">
        <v>9</v>
      </c>
      <c r="E1169" s="375">
        <v>17</v>
      </c>
      <c r="F1169" s="375">
        <v>0.49</v>
      </c>
      <c r="G1169" s="375">
        <v>9500</v>
      </c>
      <c r="H1169" s="376">
        <v>1.0526315789473684E-3</v>
      </c>
      <c r="I1169" s="375">
        <v>3500</v>
      </c>
      <c r="J1169" s="375">
        <v>6000</v>
      </c>
      <c r="K1169" s="375">
        <v>10</v>
      </c>
      <c r="L1169" s="375">
        <v>2373</v>
      </c>
      <c r="M1169" s="375">
        <v>7127</v>
      </c>
      <c r="V1169" s="375" t="s">
        <v>596</v>
      </c>
    </row>
    <row r="1170" spans="1:22" hidden="1" x14ac:dyDescent="0.25">
      <c r="A1170" s="377">
        <v>45545</v>
      </c>
      <c r="B1170" s="375">
        <v>50000</v>
      </c>
      <c r="C1170" s="375">
        <v>25500</v>
      </c>
      <c r="D1170" s="375">
        <v>7</v>
      </c>
      <c r="E1170" s="375">
        <v>14</v>
      </c>
      <c r="F1170" s="375">
        <v>0.49</v>
      </c>
      <c r="G1170" s="375">
        <v>9000</v>
      </c>
      <c r="H1170" s="376">
        <v>1.1111111111111111E-3</v>
      </c>
      <c r="I1170" s="375">
        <v>3500</v>
      </c>
      <c r="J1170" s="375">
        <v>5000</v>
      </c>
      <c r="K1170" s="375">
        <v>10</v>
      </c>
      <c r="L1170" s="375">
        <v>1956</v>
      </c>
      <c r="M1170" s="375">
        <v>7044</v>
      </c>
      <c r="V1170" s="375" t="s">
        <v>596</v>
      </c>
    </row>
    <row r="1171" spans="1:22" hidden="1" x14ac:dyDescent="0.25">
      <c r="A1171" s="377">
        <v>45546</v>
      </c>
      <c r="B1171" s="375">
        <v>50000</v>
      </c>
      <c r="C1171" s="375">
        <v>25500</v>
      </c>
      <c r="D1171" s="375">
        <v>7</v>
      </c>
      <c r="E1171" s="375">
        <v>14</v>
      </c>
      <c r="F1171" s="375">
        <v>0.49</v>
      </c>
      <c r="G1171" s="375">
        <v>9000</v>
      </c>
      <c r="H1171" s="376">
        <v>8.8888888888888893E-4</v>
      </c>
      <c r="I1171" s="375">
        <v>3500</v>
      </c>
      <c r="J1171" s="375">
        <v>6250</v>
      </c>
      <c r="K1171" s="375">
        <v>8</v>
      </c>
      <c r="L1171" s="375">
        <v>1956</v>
      </c>
      <c r="M1171" s="375">
        <v>7044</v>
      </c>
      <c r="V1171" s="375" t="s">
        <v>596</v>
      </c>
    </row>
    <row r="1172" spans="1:22" hidden="1" x14ac:dyDescent="0.25">
      <c r="A1172" s="377">
        <v>45547</v>
      </c>
      <c r="B1172" s="375">
        <v>50000</v>
      </c>
      <c r="C1172" s="375">
        <v>25500</v>
      </c>
      <c r="D1172" s="375">
        <v>7</v>
      </c>
      <c r="E1172" s="375">
        <v>14</v>
      </c>
      <c r="F1172" s="375">
        <v>0.49</v>
      </c>
      <c r="G1172" s="375">
        <v>9000</v>
      </c>
      <c r="H1172" s="376">
        <v>8.8888888888888893E-4</v>
      </c>
      <c r="I1172" s="375">
        <v>3500</v>
      </c>
      <c r="J1172" s="375">
        <v>6250</v>
      </c>
      <c r="K1172" s="375">
        <v>8</v>
      </c>
      <c r="L1172" s="375">
        <v>1956</v>
      </c>
      <c r="M1172" s="375">
        <v>7044</v>
      </c>
      <c r="V1172" s="375" t="s">
        <v>596</v>
      </c>
    </row>
    <row r="1173" spans="1:22" hidden="1" x14ac:dyDescent="0.25">
      <c r="A1173" s="377">
        <v>45548</v>
      </c>
      <c r="B1173" s="375">
        <v>50000</v>
      </c>
      <c r="C1173" s="375">
        <v>25500</v>
      </c>
      <c r="D1173" s="375">
        <v>7</v>
      </c>
      <c r="E1173" s="375">
        <v>14</v>
      </c>
      <c r="F1173" s="375">
        <v>0.49</v>
      </c>
      <c r="G1173" s="375">
        <v>9000</v>
      </c>
      <c r="H1173" s="376">
        <v>8.8888888888888893E-4</v>
      </c>
      <c r="I1173" s="375">
        <v>3500</v>
      </c>
      <c r="J1173" s="375">
        <v>6250</v>
      </c>
      <c r="K1173" s="375">
        <v>8</v>
      </c>
      <c r="L1173" s="375">
        <v>1956</v>
      </c>
      <c r="M1173" s="375">
        <v>7044</v>
      </c>
      <c r="V1173" s="375" t="s">
        <v>596</v>
      </c>
    </row>
    <row r="1174" spans="1:22" hidden="1" x14ac:dyDescent="0.25">
      <c r="A1174" s="377">
        <v>45549</v>
      </c>
      <c r="B1174" s="375">
        <v>50000</v>
      </c>
      <c r="C1174" s="375">
        <v>25500</v>
      </c>
      <c r="D1174" s="375">
        <v>7</v>
      </c>
      <c r="E1174" s="375">
        <v>14</v>
      </c>
      <c r="F1174" s="375">
        <v>0.49</v>
      </c>
      <c r="G1174" s="375">
        <v>9000</v>
      </c>
      <c r="H1174" s="376">
        <v>8.8888888888888893E-4</v>
      </c>
      <c r="I1174" s="375">
        <v>3500</v>
      </c>
      <c r="J1174" s="375">
        <v>6250</v>
      </c>
      <c r="K1174" s="375">
        <v>8</v>
      </c>
      <c r="L1174" s="375">
        <v>1956</v>
      </c>
      <c r="M1174" s="375">
        <v>7044</v>
      </c>
      <c r="V1174" s="375" t="s">
        <v>596</v>
      </c>
    </row>
    <row r="1175" spans="1:22" hidden="1" x14ac:dyDescent="0.25">
      <c r="A1175" s="377">
        <v>45550</v>
      </c>
      <c r="B1175" s="375">
        <v>60000</v>
      </c>
      <c r="C1175" s="375">
        <v>30600</v>
      </c>
      <c r="D1175" s="375">
        <v>9</v>
      </c>
      <c r="E1175" s="375">
        <v>17</v>
      </c>
      <c r="F1175" s="375">
        <v>0.49</v>
      </c>
      <c r="G1175" s="375">
        <v>9000</v>
      </c>
      <c r="H1175" s="376">
        <v>8.8888888888888893E-4</v>
      </c>
      <c r="I1175" s="375">
        <v>3500</v>
      </c>
      <c r="J1175" s="375">
        <v>7500</v>
      </c>
      <c r="K1175" s="375">
        <v>8</v>
      </c>
      <c r="L1175" s="375">
        <v>1956</v>
      </c>
      <c r="M1175" s="375">
        <v>7044</v>
      </c>
      <c r="V1175" s="375" t="s">
        <v>596</v>
      </c>
    </row>
    <row r="1176" spans="1:22" hidden="1" x14ac:dyDescent="0.25">
      <c r="A1176" s="377">
        <v>45551</v>
      </c>
      <c r="B1176" s="375">
        <v>50000</v>
      </c>
      <c r="C1176" s="375">
        <v>25500</v>
      </c>
      <c r="D1176" s="375">
        <v>7</v>
      </c>
      <c r="E1176" s="375">
        <v>14</v>
      </c>
      <c r="F1176" s="375">
        <v>0.49</v>
      </c>
      <c r="G1176" s="375">
        <v>9000</v>
      </c>
      <c r="H1176" s="376">
        <v>8.8888888888888893E-4</v>
      </c>
      <c r="I1176" s="375">
        <v>3500</v>
      </c>
      <c r="J1176" s="375">
        <v>6250</v>
      </c>
      <c r="K1176" s="375">
        <v>8</v>
      </c>
      <c r="L1176" s="375">
        <v>1956</v>
      </c>
      <c r="M1176" s="375">
        <v>7044</v>
      </c>
      <c r="V1176" s="375" t="s">
        <v>596</v>
      </c>
    </row>
    <row r="1177" spans="1:22" hidden="1" x14ac:dyDescent="0.25">
      <c r="A1177" s="377">
        <v>45552</v>
      </c>
      <c r="B1177" s="375">
        <v>50000</v>
      </c>
      <c r="C1177" s="375">
        <v>25500</v>
      </c>
      <c r="D1177" s="375">
        <v>7</v>
      </c>
      <c r="E1177" s="375">
        <v>14</v>
      </c>
      <c r="F1177" s="375">
        <v>0.49</v>
      </c>
      <c r="G1177" s="375">
        <v>9000</v>
      </c>
      <c r="H1177" s="376">
        <v>1E-3</v>
      </c>
      <c r="I1177" s="375">
        <v>3500</v>
      </c>
      <c r="J1177" s="375">
        <v>5556</v>
      </c>
      <c r="K1177" s="375">
        <v>9</v>
      </c>
      <c r="L1177" s="375">
        <v>1956</v>
      </c>
      <c r="M1177" s="375">
        <v>7044</v>
      </c>
      <c r="V1177" s="375" t="s">
        <v>596</v>
      </c>
    </row>
    <row r="1178" spans="1:22" hidden="1" x14ac:dyDescent="0.25">
      <c r="A1178" s="377">
        <v>45553</v>
      </c>
      <c r="B1178" s="375">
        <v>30000</v>
      </c>
      <c r="C1178" s="375">
        <v>15300</v>
      </c>
      <c r="D1178" s="375">
        <v>4</v>
      </c>
      <c r="E1178" s="375">
        <v>9</v>
      </c>
      <c r="F1178" s="375">
        <v>0.49</v>
      </c>
      <c r="G1178" s="375">
        <v>9000</v>
      </c>
      <c r="H1178" s="376">
        <v>6.6666666666666664E-4</v>
      </c>
      <c r="I1178" s="375">
        <v>3500</v>
      </c>
      <c r="J1178" s="375">
        <v>5000</v>
      </c>
      <c r="K1178" s="375">
        <v>6</v>
      </c>
      <c r="L1178" s="375">
        <v>1956</v>
      </c>
      <c r="M1178" s="375">
        <v>7044</v>
      </c>
      <c r="V1178" s="375" t="s">
        <v>596</v>
      </c>
    </row>
    <row r="1179" spans="1:22" hidden="1" x14ac:dyDescent="0.25">
      <c r="A1179" s="377">
        <v>45554</v>
      </c>
      <c r="B1179" s="375">
        <v>50000</v>
      </c>
      <c r="C1179" s="375">
        <v>25500</v>
      </c>
      <c r="D1179" s="375">
        <v>7</v>
      </c>
      <c r="E1179" s="375">
        <v>14</v>
      </c>
      <c r="F1179" s="375">
        <v>0.49</v>
      </c>
      <c r="G1179" s="375">
        <v>11300</v>
      </c>
      <c r="H1179" s="376">
        <v>7.964601769911505E-4</v>
      </c>
      <c r="I1179" s="375">
        <v>3500</v>
      </c>
      <c r="J1179" s="375">
        <v>5556</v>
      </c>
      <c r="K1179" s="375">
        <v>9</v>
      </c>
      <c r="L1179" s="375">
        <v>2256</v>
      </c>
      <c r="M1179" s="375">
        <v>9044</v>
      </c>
      <c r="V1179" s="375" t="s">
        <v>596</v>
      </c>
    </row>
    <row r="1180" spans="1:22" hidden="1" x14ac:dyDescent="0.25">
      <c r="A1180" s="377">
        <v>45555</v>
      </c>
      <c r="B1180" s="375">
        <v>50000</v>
      </c>
      <c r="C1180" s="375">
        <v>25500</v>
      </c>
      <c r="D1180" s="375">
        <v>7</v>
      </c>
      <c r="E1180" s="375">
        <v>14</v>
      </c>
      <c r="F1180" s="375">
        <v>0.49</v>
      </c>
      <c r="G1180" s="375">
        <v>11500</v>
      </c>
      <c r="H1180" s="376">
        <v>8.6956521739130438E-4</v>
      </c>
      <c r="I1180" s="375">
        <v>3500</v>
      </c>
      <c r="J1180" s="375">
        <v>5000</v>
      </c>
      <c r="K1180" s="375">
        <v>10</v>
      </c>
      <c r="L1180" s="375">
        <v>2513</v>
      </c>
      <c r="M1180" s="375">
        <v>8987</v>
      </c>
      <c r="V1180" s="375" t="s">
        <v>596</v>
      </c>
    </row>
    <row r="1181" spans="1:22" hidden="1" x14ac:dyDescent="0.25">
      <c r="A1181" s="377">
        <v>45556</v>
      </c>
      <c r="B1181" s="375">
        <v>60000</v>
      </c>
      <c r="C1181" s="375">
        <v>30600</v>
      </c>
      <c r="D1181" s="375">
        <v>9</v>
      </c>
      <c r="E1181" s="375">
        <v>17</v>
      </c>
      <c r="F1181" s="375">
        <v>0.49</v>
      </c>
      <c r="G1181" s="375">
        <v>9000</v>
      </c>
      <c r="H1181" s="376">
        <v>1E-3</v>
      </c>
      <c r="I1181" s="375">
        <v>3500</v>
      </c>
      <c r="J1181" s="375">
        <v>6667</v>
      </c>
      <c r="K1181" s="375">
        <v>9</v>
      </c>
      <c r="L1181" s="375">
        <v>2013</v>
      </c>
      <c r="M1181" s="375">
        <v>6987</v>
      </c>
      <c r="V1181" s="375" t="s">
        <v>596</v>
      </c>
    </row>
    <row r="1182" spans="1:22" hidden="1" x14ac:dyDescent="0.25">
      <c r="A1182" s="377">
        <v>45557</v>
      </c>
      <c r="B1182" s="375">
        <v>60000</v>
      </c>
      <c r="C1182" s="375">
        <v>30600</v>
      </c>
      <c r="D1182" s="375">
        <v>9</v>
      </c>
      <c r="E1182" s="375">
        <v>17</v>
      </c>
      <c r="F1182" s="375">
        <v>0.49</v>
      </c>
      <c r="G1182" s="375">
        <v>9000</v>
      </c>
      <c r="H1182" s="376">
        <v>1E-3</v>
      </c>
      <c r="I1182" s="375">
        <v>3500</v>
      </c>
      <c r="J1182" s="375">
        <v>6667</v>
      </c>
      <c r="K1182" s="375">
        <v>9</v>
      </c>
      <c r="L1182" s="375">
        <v>2013</v>
      </c>
      <c r="M1182" s="375">
        <v>6987</v>
      </c>
      <c r="V1182" s="375" t="s">
        <v>596</v>
      </c>
    </row>
    <row r="1183" spans="1:22" hidden="1" x14ac:dyDescent="0.25">
      <c r="A1183" s="377">
        <v>45558</v>
      </c>
      <c r="B1183" s="375">
        <v>60000</v>
      </c>
      <c r="C1183" s="375">
        <v>30600</v>
      </c>
      <c r="D1183" s="375">
        <v>9</v>
      </c>
      <c r="E1183" s="375">
        <v>17</v>
      </c>
      <c r="F1183" s="375">
        <v>0.49</v>
      </c>
      <c r="G1183" s="375">
        <v>11800</v>
      </c>
      <c r="H1183" s="376">
        <v>6.779661016949153E-4</v>
      </c>
      <c r="I1183" s="375">
        <v>3500</v>
      </c>
      <c r="J1183" s="375">
        <v>7500</v>
      </c>
      <c r="K1183" s="375">
        <v>8</v>
      </c>
      <c r="L1183" s="375">
        <v>2813</v>
      </c>
      <c r="M1183" s="375">
        <v>8987</v>
      </c>
      <c r="V1183" s="375" t="s">
        <v>596</v>
      </c>
    </row>
    <row r="1184" spans="1:22" hidden="1" x14ac:dyDescent="0.25">
      <c r="A1184" s="377">
        <v>45559</v>
      </c>
      <c r="B1184" s="375">
        <v>60000</v>
      </c>
      <c r="C1184" s="375">
        <v>30600</v>
      </c>
      <c r="D1184" s="375">
        <v>8</v>
      </c>
      <c r="E1184" s="375">
        <v>15</v>
      </c>
      <c r="F1184" s="375">
        <v>0.49</v>
      </c>
      <c r="G1184" s="375">
        <v>9000</v>
      </c>
      <c r="H1184" s="376">
        <v>8.8888888888888893E-4</v>
      </c>
      <c r="I1184" s="375">
        <v>4000</v>
      </c>
      <c r="J1184" s="375">
        <v>7500</v>
      </c>
      <c r="K1184" s="375">
        <v>8</v>
      </c>
      <c r="L1184" s="375">
        <v>2013</v>
      </c>
      <c r="M1184" s="375">
        <v>6987</v>
      </c>
      <c r="V1184" s="375" t="s">
        <v>596</v>
      </c>
    </row>
    <row r="1185" spans="1:22" hidden="1" x14ac:dyDescent="0.25">
      <c r="A1185" s="377">
        <v>45560</v>
      </c>
      <c r="B1185" s="375">
        <v>60000</v>
      </c>
      <c r="C1185" s="375">
        <v>30600</v>
      </c>
      <c r="D1185" s="375">
        <v>8</v>
      </c>
      <c r="E1185" s="375">
        <v>15</v>
      </c>
      <c r="F1185" s="375">
        <v>0.49</v>
      </c>
      <c r="G1185" s="375">
        <v>12000</v>
      </c>
      <c r="H1185" s="376">
        <v>6.6666666666666664E-4</v>
      </c>
      <c r="I1185" s="375">
        <v>4000</v>
      </c>
      <c r="J1185" s="375">
        <v>7500</v>
      </c>
      <c r="K1185" s="375">
        <v>8</v>
      </c>
      <c r="L1185" s="375">
        <v>3013</v>
      </c>
      <c r="M1185" s="375">
        <v>8987</v>
      </c>
      <c r="V1185" s="375" t="s">
        <v>596</v>
      </c>
    </row>
    <row r="1186" spans="1:22" hidden="1" x14ac:dyDescent="0.25">
      <c r="A1186" s="377">
        <v>45561</v>
      </c>
      <c r="B1186" s="375">
        <v>60000</v>
      </c>
      <c r="C1186" s="375">
        <v>30600</v>
      </c>
      <c r="D1186" s="375">
        <v>8</v>
      </c>
      <c r="E1186" s="375">
        <v>15</v>
      </c>
      <c r="F1186" s="375">
        <v>0.49</v>
      </c>
      <c r="G1186" s="375">
        <v>12000</v>
      </c>
      <c r="H1186" s="376">
        <v>8.3333333333333339E-4</v>
      </c>
      <c r="I1186" s="375">
        <v>4000</v>
      </c>
      <c r="J1186" s="375">
        <v>6000</v>
      </c>
      <c r="K1186" s="375">
        <v>10</v>
      </c>
      <c r="L1186" s="375">
        <v>3013</v>
      </c>
      <c r="M1186" s="375">
        <v>8987</v>
      </c>
      <c r="V1186" s="375" t="s">
        <v>596</v>
      </c>
    </row>
    <row r="1187" spans="1:22" hidden="1" x14ac:dyDescent="0.25">
      <c r="A1187" s="377">
        <v>45562</v>
      </c>
      <c r="B1187" s="375">
        <v>80000</v>
      </c>
      <c r="C1187" s="375">
        <v>40800</v>
      </c>
      <c r="D1187" s="375">
        <v>10</v>
      </c>
      <c r="E1187" s="375">
        <v>20</v>
      </c>
      <c r="F1187" s="375">
        <v>0.49</v>
      </c>
      <c r="G1187" s="375">
        <v>12000</v>
      </c>
      <c r="H1187" s="376">
        <v>1E-3</v>
      </c>
      <c r="I1187" s="375">
        <v>4000</v>
      </c>
      <c r="J1187" s="375">
        <v>6667</v>
      </c>
      <c r="K1187" s="375">
        <v>12</v>
      </c>
      <c r="L1187" s="375">
        <v>2014</v>
      </c>
      <c r="M1187" s="375">
        <v>9986</v>
      </c>
      <c r="V1187" s="375" t="s">
        <v>596</v>
      </c>
    </row>
    <row r="1188" spans="1:22" hidden="1" x14ac:dyDescent="0.25">
      <c r="A1188" s="377">
        <v>45563</v>
      </c>
      <c r="B1188" s="375">
        <v>30000</v>
      </c>
      <c r="C1188" s="375">
        <v>15300</v>
      </c>
      <c r="D1188" s="375">
        <v>4</v>
      </c>
      <c r="E1188" s="375">
        <v>8</v>
      </c>
      <c r="F1188" s="375">
        <v>0.49</v>
      </c>
      <c r="G1188" s="375">
        <v>9000</v>
      </c>
      <c r="H1188" s="376">
        <v>6.6666666666666664E-4</v>
      </c>
      <c r="I1188" s="375">
        <v>4000</v>
      </c>
      <c r="J1188" s="375">
        <v>5000</v>
      </c>
      <c r="K1188" s="375">
        <v>6</v>
      </c>
      <c r="L1188" s="375">
        <v>2219</v>
      </c>
      <c r="M1188" s="375">
        <v>6781</v>
      </c>
      <c r="V1188" s="375" t="s">
        <v>596</v>
      </c>
    </row>
    <row r="1189" spans="1:22" hidden="1" x14ac:dyDescent="0.25">
      <c r="A1189" s="377">
        <v>45564</v>
      </c>
      <c r="B1189" s="375">
        <v>30000</v>
      </c>
      <c r="C1189" s="375">
        <v>15300</v>
      </c>
      <c r="D1189" s="375">
        <v>4</v>
      </c>
      <c r="E1189" s="375">
        <v>8</v>
      </c>
      <c r="F1189" s="375">
        <v>0.49</v>
      </c>
      <c r="G1189" s="375">
        <v>9000</v>
      </c>
      <c r="H1189" s="376">
        <v>6.6666666666666664E-4</v>
      </c>
      <c r="I1189" s="375">
        <v>4000</v>
      </c>
      <c r="J1189" s="375">
        <v>5000</v>
      </c>
      <c r="K1189" s="375">
        <v>6</v>
      </c>
      <c r="L1189" s="375">
        <v>2219</v>
      </c>
      <c r="M1189" s="375">
        <v>6781</v>
      </c>
      <c r="V1189" s="375" t="s">
        <v>596</v>
      </c>
    </row>
    <row r="1190" spans="1:22" hidden="1" x14ac:dyDescent="0.25">
      <c r="A1190" s="377">
        <v>45565</v>
      </c>
      <c r="B1190" s="375">
        <v>38000</v>
      </c>
      <c r="C1190" s="375">
        <v>19380</v>
      </c>
      <c r="D1190" s="375">
        <v>5</v>
      </c>
      <c r="E1190" s="375">
        <v>10</v>
      </c>
      <c r="F1190" s="375">
        <v>0.49</v>
      </c>
      <c r="G1190" s="375">
        <v>9000</v>
      </c>
      <c r="H1190" s="376">
        <v>6.6666666666666664E-4</v>
      </c>
      <c r="I1190" s="375">
        <v>4000</v>
      </c>
      <c r="J1190" s="375">
        <v>6333</v>
      </c>
      <c r="K1190" s="375">
        <v>6</v>
      </c>
      <c r="L1190" s="375">
        <v>2219</v>
      </c>
      <c r="M1190" s="375">
        <v>6781</v>
      </c>
      <c r="V1190" s="375" t="s">
        <v>596</v>
      </c>
    </row>
    <row r="1191" spans="1:22" hidden="1" x14ac:dyDescent="0.25">
      <c r="A1191" s="377">
        <v>45566</v>
      </c>
      <c r="B1191" s="375">
        <v>30000</v>
      </c>
      <c r="C1191" s="375">
        <v>13500</v>
      </c>
      <c r="D1191" s="375">
        <v>3</v>
      </c>
      <c r="E1191" s="375">
        <v>7</v>
      </c>
      <c r="F1191" s="375">
        <v>0.55000000000000004</v>
      </c>
      <c r="G1191" s="375">
        <v>10000</v>
      </c>
      <c r="H1191" s="376">
        <v>5.5555555555555556E-4</v>
      </c>
      <c r="I1191" s="375">
        <v>4500</v>
      </c>
      <c r="J1191" s="375">
        <v>5400</v>
      </c>
      <c r="K1191" s="375">
        <v>6</v>
      </c>
      <c r="L1191" s="375">
        <v>2002</v>
      </c>
      <c r="M1191" s="375">
        <v>7998</v>
      </c>
      <c r="V1191" s="375" t="s">
        <v>596</v>
      </c>
    </row>
    <row r="1192" spans="1:22" hidden="1" x14ac:dyDescent="0.25">
      <c r="A1192" s="377">
        <v>45567</v>
      </c>
      <c r="B1192" s="375">
        <v>20000</v>
      </c>
      <c r="C1192" s="375">
        <v>9000</v>
      </c>
      <c r="D1192" s="375">
        <v>2</v>
      </c>
      <c r="E1192" s="375">
        <v>4</v>
      </c>
      <c r="F1192" s="375">
        <v>0.55000000000000004</v>
      </c>
      <c r="G1192" s="375">
        <v>10000</v>
      </c>
      <c r="H1192" s="376">
        <v>3.7037037037037035E-4</v>
      </c>
      <c r="I1192" s="375">
        <v>4500</v>
      </c>
      <c r="J1192" s="375">
        <v>5400</v>
      </c>
      <c r="K1192" s="375">
        <v>4</v>
      </c>
      <c r="L1192" s="375">
        <v>2002</v>
      </c>
      <c r="M1192" s="375">
        <v>7998</v>
      </c>
      <c r="V1192" s="375" t="s">
        <v>596</v>
      </c>
    </row>
    <row r="1193" spans="1:22" hidden="1" x14ac:dyDescent="0.25">
      <c r="A1193" s="377">
        <v>45568</v>
      </c>
      <c r="B1193" s="375">
        <v>20000</v>
      </c>
      <c r="C1193" s="375">
        <v>9000</v>
      </c>
      <c r="D1193" s="375">
        <v>2</v>
      </c>
      <c r="E1193" s="375">
        <v>4</v>
      </c>
      <c r="F1193" s="375">
        <v>0.55000000000000004</v>
      </c>
      <c r="G1193" s="375">
        <v>10000</v>
      </c>
      <c r="H1193" s="376">
        <v>3.7037037037037035E-4</v>
      </c>
      <c r="I1193" s="375">
        <v>4500</v>
      </c>
      <c r="J1193" s="375">
        <v>5400</v>
      </c>
      <c r="K1193" s="375">
        <v>4</v>
      </c>
      <c r="L1193" s="375">
        <v>2002</v>
      </c>
      <c r="M1193" s="375">
        <v>7998</v>
      </c>
      <c r="V1193" s="375" t="s">
        <v>596</v>
      </c>
    </row>
    <row r="1194" spans="1:22" hidden="1" x14ac:dyDescent="0.25">
      <c r="A1194" s="377">
        <v>45569</v>
      </c>
      <c r="B1194" s="375">
        <v>10000</v>
      </c>
      <c r="C1194" s="375">
        <v>4500</v>
      </c>
      <c r="D1194" s="375">
        <v>1</v>
      </c>
      <c r="E1194" s="375">
        <v>2</v>
      </c>
      <c r="F1194" s="375">
        <v>0.55000000000000004</v>
      </c>
      <c r="G1194" s="375">
        <v>11000</v>
      </c>
      <c r="H1194" s="376">
        <v>1.6835016835016836E-4</v>
      </c>
      <c r="I1194" s="375">
        <v>4500</v>
      </c>
      <c r="J1194" s="375">
        <v>5400</v>
      </c>
      <c r="K1194" s="375">
        <v>2</v>
      </c>
      <c r="L1194" s="375">
        <v>2074</v>
      </c>
      <c r="M1194" s="375">
        <v>8926</v>
      </c>
      <c r="V1194" s="375" t="s">
        <v>596</v>
      </c>
    </row>
    <row r="1195" spans="1:22" hidden="1" x14ac:dyDescent="0.25">
      <c r="A1195" s="377">
        <v>45570</v>
      </c>
      <c r="B1195" s="375">
        <v>10000</v>
      </c>
      <c r="C1195" s="375">
        <v>4500</v>
      </c>
      <c r="D1195" s="375">
        <v>1</v>
      </c>
      <c r="E1195" s="375">
        <v>2</v>
      </c>
      <c r="F1195" s="375">
        <v>0.55000000000000004</v>
      </c>
      <c r="G1195" s="375">
        <v>11000</v>
      </c>
      <c r="H1195" s="376">
        <v>1.6835016835016836E-4</v>
      </c>
      <c r="I1195" s="375">
        <v>4500</v>
      </c>
      <c r="J1195" s="375">
        <v>5400</v>
      </c>
      <c r="K1195" s="375">
        <v>2</v>
      </c>
      <c r="L1195" s="375">
        <v>2074</v>
      </c>
      <c r="M1195" s="375">
        <v>8926</v>
      </c>
      <c r="V1195" s="375" t="s">
        <v>596</v>
      </c>
    </row>
    <row r="1196" spans="1:22" hidden="1" x14ac:dyDescent="0.25">
      <c r="A1196" s="377">
        <v>45571</v>
      </c>
      <c r="B1196" s="375">
        <v>15000</v>
      </c>
      <c r="C1196" s="375">
        <v>6750</v>
      </c>
      <c r="D1196" s="375">
        <v>1</v>
      </c>
      <c r="E1196" s="375">
        <v>3</v>
      </c>
      <c r="F1196" s="375">
        <v>0.55000000000000004</v>
      </c>
      <c r="G1196" s="375">
        <v>11000</v>
      </c>
      <c r="H1196" s="376">
        <v>2.5252525252525253E-4</v>
      </c>
      <c r="I1196" s="375">
        <v>4500</v>
      </c>
      <c r="J1196" s="375">
        <v>5400</v>
      </c>
      <c r="K1196" s="375">
        <v>3</v>
      </c>
      <c r="L1196" s="375">
        <v>2074</v>
      </c>
      <c r="M1196" s="375">
        <v>8926</v>
      </c>
      <c r="V1196" s="375" t="s">
        <v>596</v>
      </c>
    </row>
    <row r="1197" spans="1:22" hidden="1" x14ac:dyDescent="0.25">
      <c r="A1197" s="377">
        <v>45572</v>
      </c>
      <c r="B1197" s="375">
        <v>30000</v>
      </c>
      <c r="C1197" s="375">
        <v>13500</v>
      </c>
      <c r="D1197" s="375">
        <v>3</v>
      </c>
      <c r="E1197" s="375">
        <v>7</v>
      </c>
      <c r="F1197" s="375">
        <v>0.55000000000000004</v>
      </c>
      <c r="G1197" s="375">
        <v>11000</v>
      </c>
      <c r="H1197" s="376">
        <v>5.0505050505050505E-4</v>
      </c>
      <c r="I1197" s="375">
        <v>4500</v>
      </c>
      <c r="J1197" s="375">
        <v>5400</v>
      </c>
      <c r="K1197" s="375">
        <v>6</v>
      </c>
      <c r="L1197" s="375">
        <v>2074</v>
      </c>
      <c r="M1197" s="375">
        <v>8926</v>
      </c>
      <c r="V1197" s="375" t="s">
        <v>596</v>
      </c>
    </row>
    <row r="1198" spans="1:22" hidden="1" x14ac:dyDescent="0.25">
      <c r="A1198" s="377">
        <v>45573</v>
      </c>
      <c r="B1198" s="375">
        <v>30000</v>
      </c>
      <c r="C1198" s="375">
        <v>13500</v>
      </c>
      <c r="D1198" s="375">
        <v>3</v>
      </c>
      <c r="E1198" s="375">
        <v>7</v>
      </c>
      <c r="F1198" s="375">
        <v>0.55000000000000004</v>
      </c>
      <c r="G1198" s="375">
        <v>11000</v>
      </c>
      <c r="H1198" s="376">
        <v>5.0505050505050505E-4</v>
      </c>
      <c r="I1198" s="375">
        <v>4500</v>
      </c>
      <c r="J1198" s="375">
        <v>5400</v>
      </c>
      <c r="K1198" s="375">
        <v>6</v>
      </c>
      <c r="L1198" s="375">
        <v>2074</v>
      </c>
      <c r="M1198" s="375">
        <v>8926</v>
      </c>
      <c r="V1198" s="375" t="s">
        <v>596</v>
      </c>
    </row>
    <row r="1199" spans="1:22" hidden="1" x14ac:dyDescent="0.25">
      <c r="A1199" s="377">
        <v>45574</v>
      </c>
      <c r="B1199" s="375">
        <v>30000</v>
      </c>
      <c r="C1199" s="375">
        <v>13500</v>
      </c>
      <c r="D1199" s="375">
        <v>3</v>
      </c>
      <c r="E1199" s="375">
        <v>7</v>
      </c>
      <c r="F1199" s="375">
        <v>0.55000000000000004</v>
      </c>
      <c r="G1199" s="375">
        <v>14500</v>
      </c>
      <c r="H1199" s="376">
        <v>3.8314176245210729E-4</v>
      </c>
      <c r="I1199" s="375">
        <v>4500</v>
      </c>
      <c r="J1199" s="375">
        <v>5400</v>
      </c>
      <c r="K1199" s="375">
        <v>6</v>
      </c>
      <c r="L1199" s="375">
        <v>3824</v>
      </c>
      <c r="M1199" s="375">
        <v>10676</v>
      </c>
      <c r="V1199" s="375" t="s">
        <v>596</v>
      </c>
    </row>
    <row r="1200" spans="1:22" hidden="1" x14ac:dyDescent="0.25">
      <c r="A1200" s="377">
        <v>45575</v>
      </c>
      <c r="B1200" s="375">
        <v>100000</v>
      </c>
      <c r="C1200" s="375">
        <v>45000</v>
      </c>
      <c r="D1200" s="375">
        <v>10</v>
      </c>
      <c r="E1200" s="375">
        <v>22</v>
      </c>
      <c r="F1200" s="375">
        <v>0.55000000000000004</v>
      </c>
      <c r="G1200" s="375">
        <v>15500</v>
      </c>
      <c r="H1200" s="376">
        <v>1.1947431302270026E-3</v>
      </c>
      <c r="I1200" s="375">
        <v>4500</v>
      </c>
      <c r="J1200" s="375">
        <v>5400</v>
      </c>
      <c r="K1200" s="375">
        <v>19</v>
      </c>
      <c r="L1200" s="375">
        <v>3530</v>
      </c>
      <c r="M1200" s="375">
        <v>11970</v>
      </c>
      <c r="V1200" s="375" t="s">
        <v>596</v>
      </c>
    </row>
    <row r="1201" spans="1:22" hidden="1" x14ac:dyDescent="0.25">
      <c r="A1201" s="377">
        <v>45576</v>
      </c>
      <c r="B1201" s="375">
        <v>30000</v>
      </c>
      <c r="C1201" s="375">
        <v>13500</v>
      </c>
      <c r="D1201" s="375">
        <v>3</v>
      </c>
      <c r="E1201" s="375">
        <v>7</v>
      </c>
      <c r="F1201" s="375">
        <v>0.55000000000000004</v>
      </c>
      <c r="G1201" s="375">
        <v>15000</v>
      </c>
      <c r="H1201" s="376">
        <v>3.7037037037037035E-4</v>
      </c>
      <c r="I1201" s="375">
        <v>4500</v>
      </c>
      <c r="J1201" s="375">
        <v>5400</v>
      </c>
      <c r="K1201" s="375">
        <v>6</v>
      </c>
      <c r="L1201" s="375">
        <v>2458</v>
      </c>
      <c r="M1201" s="375">
        <v>12542</v>
      </c>
      <c r="V1201" s="375" t="s">
        <v>596</v>
      </c>
    </row>
    <row r="1202" spans="1:22" hidden="1" x14ac:dyDescent="0.25">
      <c r="A1202" s="377">
        <v>45577</v>
      </c>
      <c r="B1202" s="375">
        <v>470000</v>
      </c>
      <c r="C1202" s="375">
        <v>188000</v>
      </c>
      <c r="D1202" s="375">
        <v>54</v>
      </c>
      <c r="E1202" s="375">
        <v>134</v>
      </c>
      <c r="F1202" s="375">
        <v>0.6</v>
      </c>
      <c r="G1202" s="375">
        <v>18500</v>
      </c>
      <c r="H1202" s="376">
        <v>5.5836055836055746E-3</v>
      </c>
      <c r="I1202" s="375">
        <v>3500</v>
      </c>
      <c r="J1202" s="375">
        <v>4550</v>
      </c>
      <c r="K1202" s="375">
        <v>103</v>
      </c>
      <c r="L1202" s="375">
        <v>4208</v>
      </c>
      <c r="M1202" s="375">
        <v>14292</v>
      </c>
      <c r="V1202" s="375" t="s">
        <v>596</v>
      </c>
    </row>
    <row r="1203" spans="1:22" hidden="1" x14ac:dyDescent="0.25">
      <c r="A1203" s="377">
        <v>45578</v>
      </c>
      <c r="B1203" s="375">
        <v>400000</v>
      </c>
      <c r="C1203" s="375">
        <v>180000</v>
      </c>
      <c r="D1203" s="375">
        <v>51</v>
      </c>
      <c r="E1203" s="375">
        <v>114</v>
      </c>
      <c r="F1203" s="375">
        <v>0.55000000000000004</v>
      </c>
      <c r="G1203" s="375">
        <v>17000</v>
      </c>
      <c r="H1203" s="376">
        <v>5.1712992889463389E-3</v>
      </c>
      <c r="I1203" s="375">
        <v>3500</v>
      </c>
      <c r="J1203" s="375">
        <v>4550</v>
      </c>
      <c r="K1203" s="375">
        <v>88</v>
      </c>
      <c r="L1203" s="375">
        <v>2458</v>
      </c>
      <c r="M1203" s="375">
        <v>14542</v>
      </c>
      <c r="V1203" s="375" t="s">
        <v>596</v>
      </c>
    </row>
    <row r="1204" spans="1:22" hidden="1" x14ac:dyDescent="0.25">
      <c r="A1204" s="377">
        <v>45579</v>
      </c>
      <c r="B1204" s="375">
        <v>500000</v>
      </c>
      <c r="C1204" s="375">
        <v>225000</v>
      </c>
      <c r="D1204" s="375">
        <v>64</v>
      </c>
      <c r="E1204" s="375">
        <v>143</v>
      </c>
      <c r="F1204" s="375">
        <v>0.55000000000000004</v>
      </c>
      <c r="G1204" s="375">
        <v>20000</v>
      </c>
      <c r="H1204" s="376">
        <v>5.4945054945054828E-3</v>
      </c>
      <c r="I1204" s="375">
        <v>3500</v>
      </c>
      <c r="J1204" s="375">
        <v>4550</v>
      </c>
      <c r="K1204" s="375">
        <v>110</v>
      </c>
      <c r="L1204" s="375">
        <v>4033</v>
      </c>
      <c r="M1204" s="375">
        <v>15967</v>
      </c>
      <c r="V1204" s="375" t="s">
        <v>596</v>
      </c>
    </row>
    <row r="1205" spans="1:22" hidden="1" x14ac:dyDescent="0.25">
      <c r="A1205" s="377">
        <v>45580</v>
      </c>
      <c r="B1205" s="375">
        <v>300000</v>
      </c>
      <c r="C1205" s="375">
        <v>135000</v>
      </c>
      <c r="D1205" s="375">
        <v>39</v>
      </c>
      <c r="E1205" s="375">
        <v>86</v>
      </c>
      <c r="F1205" s="375">
        <v>0.55000000000000004</v>
      </c>
      <c r="G1205" s="375">
        <v>21366</v>
      </c>
      <c r="H1205" s="376">
        <v>3.085910719058563E-3</v>
      </c>
      <c r="I1205" s="375">
        <v>3500</v>
      </c>
      <c r="J1205" s="375">
        <v>4550</v>
      </c>
      <c r="K1205" s="375">
        <v>66</v>
      </c>
      <c r="L1205" s="375">
        <v>4000</v>
      </c>
      <c r="M1205" s="375">
        <v>17366</v>
      </c>
      <c r="V1205" s="375" t="s">
        <v>596</v>
      </c>
    </row>
    <row r="1206" spans="1:22" hidden="1" x14ac:dyDescent="0.25">
      <c r="A1206" s="377">
        <v>45581</v>
      </c>
      <c r="B1206" s="375">
        <v>300000</v>
      </c>
      <c r="C1206" s="375">
        <v>135000</v>
      </c>
      <c r="D1206" s="375">
        <v>39</v>
      </c>
      <c r="E1206" s="375">
        <v>86</v>
      </c>
      <c r="F1206" s="375">
        <v>0.55000000000000004</v>
      </c>
      <c r="G1206" s="375">
        <v>23214</v>
      </c>
      <c r="H1206" s="376">
        <v>2.8403255677631953E-3</v>
      </c>
      <c r="I1206" s="375">
        <v>3500</v>
      </c>
      <c r="J1206" s="375">
        <v>4550</v>
      </c>
      <c r="K1206" s="375">
        <v>66</v>
      </c>
      <c r="L1206" s="375">
        <v>3500</v>
      </c>
      <c r="M1206" s="375">
        <v>19714</v>
      </c>
      <c r="V1206" s="375" t="s">
        <v>596</v>
      </c>
    </row>
    <row r="1207" spans="1:22" hidden="1" x14ac:dyDescent="0.25">
      <c r="A1207" s="377">
        <v>45582</v>
      </c>
      <c r="B1207" s="375">
        <v>300000</v>
      </c>
      <c r="C1207" s="375">
        <v>135000</v>
      </c>
      <c r="D1207" s="375">
        <v>39</v>
      </c>
      <c r="E1207" s="375">
        <v>86</v>
      </c>
      <c r="F1207" s="375">
        <v>0.55000000000000004</v>
      </c>
      <c r="G1207" s="375">
        <v>27216</v>
      </c>
      <c r="H1207" s="376">
        <v>2.4226611783863946E-3</v>
      </c>
      <c r="I1207" s="375">
        <v>3500</v>
      </c>
      <c r="J1207" s="375">
        <v>4550</v>
      </c>
      <c r="K1207" s="375">
        <v>66</v>
      </c>
      <c r="L1207" s="375">
        <v>3500</v>
      </c>
      <c r="M1207" s="375">
        <v>23716</v>
      </c>
      <c r="V1207" s="375" t="s">
        <v>596</v>
      </c>
    </row>
    <row r="1208" spans="1:22" hidden="1" x14ac:dyDescent="0.25">
      <c r="A1208" s="377">
        <v>45583</v>
      </c>
      <c r="B1208" s="375">
        <v>160000</v>
      </c>
      <c r="C1208" s="375">
        <v>72000</v>
      </c>
      <c r="D1208" s="375">
        <v>21</v>
      </c>
      <c r="E1208" s="375">
        <v>46</v>
      </c>
      <c r="F1208" s="375">
        <v>0.55000000000000004</v>
      </c>
      <c r="G1208" s="375">
        <v>23829</v>
      </c>
      <c r="H1208" s="376">
        <v>1.4757159412831075E-3</v>
      </c>
      <c r="I1208" s="375">
        <v>3500</v>
      </c>
      <c r="J1208" s="375">
        <v>4550</v>
      </c>
      <c r="K1208" s="375">
        <v>35</v>
      </c>
      <c r="L1208" s="375">
        <v>5000</v>
      </c>
      <c r="M1208" s="375">
        <v>18829</v>
      </c>
      <c r="V1208" s="375" t="s">
        <v>596</v>
      </c>
    </row>
    <row r="1209" spans="1:22" hidden="1" x14ac:dyDescent="0.25">
      <c r="A1209" s="377">
        <v>45584</v>
      </c>
      <c r="B1209" s="375">
        <v>160000</v>
      </c>
      <c r="C1209" s="375">
        <v>72000</v>
      </c>
      <c r="D1209" s="375">
        <v>21</v>
      </c>
      <c r="E1209" s="375">
        <v>46</v>
      </c>
      <c r="F1209" s="375">
        <v>0.55000000000000004</v>
      </c>
      <c r="G1209" s="375">
        <v>23644</v>
      </c>
      <c r="H1209" s="376">
        <v>1.487249766282975E-3</v>
      </c>
      <c r="I1209" s="375">
        <v>3500</v>
      </c>
      <c r="J1209" s="375">
        <v>4550</v>
      </c>
      <c r="K1209" s="375">
        <v>35</v>
      </c>
      <c r="L1209" s="375">
        <v>3500</v>
      </c>
      <c r="M1209" s="375">
        <v>20144</v>
      </c>
      <c r="V1209" s="375" t="s">
        <v>596</v>
      </c>
    </row>
    <row r="1210" spans="1:22" hidden="1" x14ac:dyDescent="0.25">
      <c r="A1210" s="377">
        <v>45585</v>
      </c>
      <c r="B1210" s="375">
        <v>160000</v>
      </c>
      <c r="C1210" s="375">
        <v>72000</v>
      </c>
      <c r="D1210" s="375">
        <v>21</v>
      </c>
      <c r="E1210" s="375">
        <v>46</v>
      </c>
      <c r="F1210" s="375">
        <v>0.55000000000000004</v>
      </c>
      <c r="G1210" s="375">
        <v>26009</v>
      </c>
      <c r="H1210" s="376">
        <v>1.3520460735050434E-3</v>
      </c>
      <c r="I1210" s="375">
        <v>3500</v>
      </c>
      <c r="J1210" s="375">
        <v>4550</v>
      </c>
      <c r="K1210" s="375">
        <v>35</v>
      </c>
      <c r="L1210" s="375">
        <v>3500</v>
      </c>
      <c r="M1210" s="375">
        <v>22509</v>
      </c>
      <c r="V1210" s="375" t="s">
        <v>596</v>
      </c>
    </row>
    <row r="1211" spans="1:22" hidden="1" x14ac:dyDescent="0.25">
      <c r="A1211" s="377">
        <v>45586</v>
      </c>
      <c r="B1211" s="375">
        <v>3990000</v>
      </c>
      <c r="C1211" s="375">
        <v>1015500</v>
      </c>
      <c r="D1211" s="375">
        <v>290</v>
      </c>
      <c r="E1211" s="375">
        <v>1140</v>
      </c>
      <c r="F1211" s="375">
        <v>0.7454887218045112</v>
      </c>
      <c r="G1211" s="375">
        <v>27593</v>
      </c>
      <c r="H1211" s="376">
        <v>2.9510247569851097E-2</v>
      </c>
      <c r="I1211" s="375">
        <v>3500</v>
      </c>
      <c r="J1211" s="375">
        <v>4900</v>
      </c>
      <c r="K1211" s="375">
        <v>814</v>
      </c>
      <c r="L1211" s="375">
        <v>5750</v>
      </c>
      <c r="M1211" s="375">
        <v>21843</v>
      </c>
      <c r="V1211" s="375" t="s">
        <v>596</v>
      </c>
    </row>
    <row r="1212" spans="1:22" hidden="1" x14ac:dyDescent="0.25">
      <c r="A1212" s="377">
        <v>45587</v>
      </c>
      <c r="B1212" s="375">
        <v>1600000</v>
      </c>
      <c r="C1212" s="375">
        <v>544000</v>
      </c>
      <c r="D1212" s="375">
        <v>155</v>
      </c>
      <c r="E1212" s="375">
        <v>457</v>
      </c>
      <c r="F1212" s="375">
        <v>0.66</v>
      </c>
      <c r="G1212" s="375">
        <v>22893</v>
      </c>
      <c r="H1212" s="376">
        <v>1.4263139094839809E-2</v>
      </c>
      <c r="I1212" s="375">
        <v>3500</v>
      </c>
      <c r="J1212" s="375">
        <v>4900</v>
      </c>
      <c r="K1212" s="375">
        <v>327</v>
      </c>
      <c r="L1212" s="375">
        <v>5750</v>
      </c>
      <c r="M1212" s="375">
        <v>17143</v>
      </c>
      <c r="V1212" s="375" t="s">
        <v>596</v>
      </c>
    </row>
    <row r="1213" spans="1:22" hidden="1" x14ac:dyDescent="0.25">
      <c r="A1213" s="377">
        <v>45588</v>
      </c>
      <c r="B1213" s="375">
        <v>1000000</v>
      </c>
      <c r="C1213" s="375">
        <v>350000</v>
      </c>
      <c r="D1213" s="375">
        <v>100</v>
      </c>
      <c r="E1213" s="375">
        <v>286</v>
      </c>
      <c r="F1213" s="375">
        <v>0.65</v>
      </c>
      <c r="G1213" s="375">
        <v>23393</v>
      </c>
      <c r="H1213" s="376">
        <v>8.7239275892657744E-3</v>
      </c>
      <c r="I1213" s="375">
        <v>3500</v>
      </c>
      <c r="J1213" s="375">
        <v>4900</v>
      </c>
      <c r="K1213" s="375">
        <v>204</v>
      </c>
      <c r="L1213" s="375">
        <v>6000</v>
      </c>
      <c r="M1213" s="375">
        <v>17393</v>
      </c>
      <c r="V1213" s="375" t="s">
        <v>596</v>
      </c>
    </row>
    <row r="1214" spans="1:22" hidden="1" x14ac:dyDescent="0.25">
      <c r="A1214" s="377">
        <v>45589</v>
      </c>
      <c r="B1214" s="375">
        <v>1800000</v>
      </c>
      <c r="C1214" s="375">
        <v>540000</v>
      </c>
      <c r="D1214" s="375">
        <v>154</v>
      </c>
      <c r="E1214" s="375">
        <v>514</v>
      </c>
      <c r="F1214" s="375">
        <v>0.7</v>
      </c>
      <c r="G1214" s="375">
        <v>23393</v>
      </c>
      <c r="H1214" s="376">
        <v>1.5703069660678391E-2</v>
      </c>
      <c r="I1214" s="375">
        <v>3500</v>
      </c>
      <c r="J1214" s="375">
        <v>4900</v>
      </c>
      <c r="K1214" s="375">
        <v>367</v>
      </c>
      <c r="L1214" s="375">
        <v>6000</v>
      </c>
      <c r="M1214" s="375">
        <v>17393</v>
      </c>
      <c r="V1214" s="375" t="s">
        <v>596</v>
      </c>
    </row>
    <row r="1215" spans="1:22" hidden="1" x14ac:dyDescent="0.25">
      <c r="A1215" s="377">
        <v>45590</v>
      </c>
      <c r="B1215" s="375">
        <v>500000</v>
      </c>
      <c r="C1215" s="375">
        <v>175000</v>
      </c>
      <c r="D1215" s="375">
        <v>50</v>
      </c>
      <c r="E1215" s="375">
        <v>143</v>
      </c>
      <c r="F1215" s="375">
        <v>0.65</v>
      </c>
      <c r="G1215" s="375">
        <v>18393</v>
      </c>
      <c r="H1215" s="376">
        <v>5.974457460845425E-3</v>
      </c>
      <c r="I1215" s="375">
        <v>3500</v>
      </c>
      <c r="J1215" s="375">
        <v>4550</v>
      </c>
      <c r="K1215" s="375">
        <v>110</v>
      </c>
      <c r="L1215" s="375">
        <v>3500</v>
      </c>
      <c r="M1215" s="375">
        <v>14893</v>
      </c>
      <c r="V1215" s="375" t="s">
        <v>596</v>
      </c>
    </row>
    <row r="1216" spans="1:22" hidden="1" x14ac:dyDescent="0.25">
      <c r="A1216" s="377">
        <v>45591</v>
      </c>
      <c r="B1216" s="375">
        <v>500000</v>
      </c>
      <c r="C1216" s="375">
        <v>175000</v>
      </c>
      <c r="D1216" s="375">
        <v>50</v>
      </c>
      <c r="E1216" s="375">
        <v>143</v>
      </c>
      <c r="F1216" s="375">
        <v>0.65</v>
      </c>
      <c r="G1216" s="375">
        <v>18393</v>
      </c>
      <c r="H1216" s="376">
        <v>5.974457460845425E-3</v>
      </c>
      <c r="I1216" s="375">
        <v>3500</v>
      </c>
      <c r="J1216" s="375">
        <v>4550</v>
      </c>
      <c r="K1216" s="375">
        <v>110</v>
      </c>
      <c r="L1216" s="375">
        <v>3500</v>
      </c>
      <c r="M1216" s="375">
        <v>14893</v>
      </c>
      <c r="V1216" s="375" t="s">
        <v>596</v>
      </c>
    </row>
    <row r="1217" spans="1:22" hidden="1" x14ac:dyDescent="0.25">
      <c r="A1217" s="377">
        <v>45592</v>
      </c>
      <c r="B1217" s="375">
        <v>500000</v>
      </c>
      <c r="C1217" s="375">
        <v>175000</v>
      </c>
      <c r="D1217" s="375">
        <v>50</v>
      </c>
      <c r="E1217" s="375">
        <v>143</v>
      </c>
      <c r="F1217" s="375">
        <v>0.65</v>
      </c>
      <c r="G1217" s="375">
        <v>18393</v>
      </c>
      <c r="H1217" s="376">
        <v>5.974457460845425E-3</v>
      </c>
      <c r="I1217" s="375">
        <v>3500</v>
      </c>
      <c r="J1217" s="375">
        <v>4550</v>
      </c>
      <c r="K1217" s="375">
        <v>110</v>
      </c>
      <c r="L1217" s="375">
        <v>3500</v>
      </c>
      <c r="M1217" s="375">
        <v>14893</v>
      </c>
      <c r="V1217" s="375" t="s">
        <v>596</v>
      </c>
    </row>
    <row r="1218" spans="1:22" hidden="1" x14ac:dyDescent="0.25">
      <c r="A1218" s="377">
        <v>45593</v>
      </c>
      <c r="B1218" s="375">
        <v>350000</v>
      </c>
      <c r="C1218" s="375">
        <v>122500</v>
      </c>
      <c r="D1218" s="375">
        <v>35</v>
      </c>
      <c r="E1218" s="375">
        <v>100</v>
      </c>
      <c r="F1218" s="375">
        <v>0.65</v>
      </c>
      <c r="G1218" s="375">
        <v>24578</v>
      </c>
      <c r="H1218" s="376">
        <v>3.1297217828954306E-3</v>
      </c>
      <c r="I1218" s="375">
        <v>3500</v>
      </c>
      <c r="J1218" s="375">
        <v>4550</v>
      </c>
      <c r="K1218" s="375">
        <v>77</v>
      </c>
      <c r="L1218" s="375">
        <v>6000</v>
      </c>
      <c r="M1218" s="375">
        <v>18578</v>
      </c>
      <c r="V1218" s="375" t="s">
        <v>596</v>
      </c>
    </row>
    <row r="1219" spans="1:22" hidden="1" x14ac:dyDescent="0.25">
      <c r="A1219" s="377">
        <v>45594</v>
      </c>
      <c r="B1219" s="375">
        <v>350000</v>
      </c>
      <c r="C1219" s="375">
        <v>122500</v>
      </c>
      <c r="D1219" s="375">
        <v>35</v>
      </c>
      <c r="E1219" s="375">
        <v>100</v>
      </c>
      <c r="F1219" s="375">
        <v>0.65</v>
      </c>
      <c r="G1219" s="375">
        <v>19893</v>
      </c>
      <c r="H1219" s="376">
        <v>3.8667638671607187E-3</v>
      </c>
      <c r="I1219" s="375">
        <v>3500</v>
      </c>
      <c r="J1219" s="375">
        <v>4550</v>
      </c>
      <c r="K1219" s="375">
        <v>77</v>
      </c>
      <c r="L1219" s="375">
        <v>3500</v>
      </c>
      <c r="M1219" s="375">
        <v>16393</v>
      </c>
      <c r="V1219" s="375" t="s">
        <v>596</v>
      </c>
    </row>
    <row r="1220" spans="1:22" hidden="1" x14ac:dyDescent="0.25">
      <c r="A1220" s="377">
        <v>45595</v>
      </c>
      <c r="B1220" s="375">
        <v>350000</v>
      </c>
      <c r="C1220" s="375">
        <v>140000</v>
      </c>
      <c r="D1220" s="375">
        <v>40</v>
      </c>
      <c r="E1220" s="375">
        <v>100</v>
      </c>
      <c r="F1220" s="375">
        <v>0.6</v>
      </c>
      <c r="G1220" s="375">
        <v>31435</v>
      </c>
      <c r="H1220" s="376">
        <v>2.4470525582933316E-3</v>
      </c>
      <c r="I1220" s="375">
        <v>3500</v>
      </c>
      <c r="J1220" s="375">
        <v>4550</v>
      </c>
      <c r="K1220" s="375">
        <v>77</v>
      </c>
      <c r="L1220" s="375">
        <v>6750</v>
      </c>
      <c r="M1220" s="375">
        <v>24685</v>
      </c>
      <c r="V1220" s="375" t="s">
        <v>596</v>
      </c>
    </row>
    <row r="1221" spans="1:22" hidden="1" x14ac:dyDescent="0.25">
      <c r="A1221" s="377">
        <v>45596</v>
      </c>
      <c r="B1221" s="375">
        <v>3300000</v>
      </c>
      <c r="C1221" s="375">
        <v>766000</v>
      </c>
      <c r="D1221" s="375">
        <v>219</v>
      </c>
      <c r="E1221" s="375">
        <v>943</v>
      </c>
      <c r="F1221" s="375">
        <v>0.76787878787878783</v>
      </c>
      <c r="G1221" s="375">
        <v>47708</v>
      </c>
      <c r="H1221" s="376">
        <v>1.4116442670148194E-2</v>
      </c>
      <c r="I1221" s="375">
        <v>3500</v>
      </c>
      <c r="J1221" s="375">
        <v>4900</v>
      </c>
      <c r="K1221" s="375">
        <v>673</v>
      </c>
      <c r="L1221" s="375">
        <v>10250</v>
      </c>
      <c r="M1221" s="375">
        <v>37458</v>
      </c>
      <c r="V1221" s="375" t="s">
        <v>596</v>
      </c>
    </row>
    <row r="1222" spans="1:22" hidden="1" x14ac:dyDescent="0.25">
      <c r="A1222" s="377">
        <v>45597</v>
      </c>
      <c r="B1222" s="375">
        <v>1210000</v>
      </c>
      <c r="C1222" s="375">
        <v>302500</v>
      </c>
      <c r="D1222" s="375">
        <v>86</v>
      </c>
      <c r="E1222" s="375">
        <v>346</v>
      </c>
      <c r="F1222" s="375">
        <v>0.75</v>
      </c>
      <c r="G1222" s="375">
        <v>31853</v>
      </c>
      <c r="H1222" s="376">
        <v>7.7523985714686057E-3</v>
      </c>
      <c r="I1222" s="375">
        <v>3500</v>
      </c>
      <c r="J1222" s="375">
        <v>4900</v>
      </c>
      <c r="K1222" s="375">
        <v>247</v>
      </c>
      <c r="L1222" s="375">
        <v>6250</v>
      </c>
      <c r="M1222" s="375">
        <v>25603</v>
      </c>
      <c r="V1222" s="375" t="s">
        <v>596</v>
      </c>
    </row>
    <row r="1223" spans="1:22" hidden="1" x14ac:dyDescent="0.25">
      <c r="A1223" s="377">
        <v>45598</v>
      </c>
      <c r="B1223" s="375">
        <v>800000</v>
      </c>
      <c r="C1223" s="375">
        <v>240000</v>
      </c>
      <c r="D1223" s="375">
        <v>69</v>
      </c>
      <c r="E1223" s="375">
        <v>229</v>
      </c>
      <c r="F1223" s="375">
        <v>0.7</v>
      </c>
      <c r="G1223" s="375">
        <v>31109</v>
      </c>
      <c r="H1223" s="376">
        <v>5.651855984458682E-3</v>
      </c>
      <c r="I1223" s="375">
        <v>3500</v>
      </c>
      <c r="J1223" s="375">
        <v>4550</v>
      </c>
      <c r="K1223" s="375">
        <v>176</v>
      </c>
      <c r="L1223" s="375">
        <v>6250</v>
      </c>
      <c r="M1223" s="375">
        <v>24859</v>
      </c>
      <c r="V1223" s="375" t="s">
        <v>596</v>
      </c>
    </row>
    <row r="1224" spans="1:22" hidden="1" x14ac:dyDescent="0.25">
      <c r="A1224" s="377">
        <v>45599</v>
      </c>
      <c r="B1224" s="375">
        <v>1100000</v>
      </c>
      <c r="C1224" s="375">
        <v>374000</v>
      </c>
      <c r="D1224" s="375">
        <v>107</v>
      </c>
      <c r="E1224" s="375">
        <v>314</v>
      </c>
      <c r="F1224" s="375">
        <v>0.66</v>
      </c>
      <c r="G1224" s="375">
        <v>31109</v>
      </c>
      <c r="H1224" s="376">
        <v>7.7713019786306882E-3</v>
      </c>
      <c r="I1224" s="375">
        <v>3500</v>
      </c>
      <c r="J1224" s="375">
        <v>4550</v>
      </c>
      <c r="K1224" s="375">
        <v>242</v>
      </c>
      <c r="L1224" s="375">
        <v>6250</v>
      </c>
      <c r="M1224" s="375">
        <v>24859</v>
      </c>
      <c r="V1224" s="375" t="s">
        <v>596</v>
      </c>
    </row>
    <row r="1225" spans="1:22" hidden="1" x14ac:dyDescent="0.25">
      <c r="A1225" s="377">
        <v>45600</v>
      </c>
      <c r="B1225" s="375">
        <v>450000</v>
      </c>
      <c r="C1225" s="375">
        <v>180000</v>
      </c>
      <c r="D1225" s="375">
        <v>51</v>
      </c>
      <c r="E1225" s="375">
        <v>129</v>
      </c>
      <c r="F1225" s="375">
        <v>0.6</v>
      </c>
      <c r="G1225" s="375">
        <v>19393</v>
      </c>
      <c r="H1225" s="376">
        <v>5.0997506979480424E-3</v>
      </c>
      <c r="I1225" s="375">
        <v>3500</v>
      </c>
      <c r="J1225" s="375">
        <v>4550</v>
      </c>
      <c r="K1225" s="375">
        <v>99</v>
      </c>
      <c r="L1225" s="375">
        <v>3500</v>
      </c>
      <c r="M1225" s="375">
        <v>15893</v>
      </c>
      <c r="V1225" s="375" t="s">
        <v>596</v>
      </c>
    </row>
    <row r="1226" spans="1:22" hidden="1" x14ac:dyDescent="0.25">
      <c r="A1226" s="377">
        <v>45601</v>
      </c>
      <c r="B1226" s="375">
        <v>450000</v>
      </c>
      <c r="C1226" s="375">
        <v>180000</v>
      </c>
      <c r="D1226" s="375">
        <v>51</v>
      </c>
      <c r="E1226" s="375">
        <v>129</v>
      </c>
      <c r="F1226" s="375">
        <v>0.6</v>
      </c>
      <c r="G1226" s="375">
        <v>19393</v>
      </c>
      <c r="H1226" s="376">
        <v>5.0997506979480424E-3</v>
      </c>
      <c r="I1226" s="375">
        <v>3500</v>
      </c>
      <c r="J1226" s="375">
        <v>4550</v>
      </c>
      <c r="K1226" s="375">
        <v>99</v>
      </c>
      <c r="L1226" s="375">
        <v>3500</v>
      </c>
      <c r="M1226" s="375">
        <v>15893</v>
      </c>
      <c r="V1226" s="375" t="s">
        <v>596</v>
      </c>
    </row>
    <row r="1227" spans="1:22" hidden="1" x14ac:dyDescent="0.25">
      <c r="A1227" s="377">
        <v>45602</v>
      </c>
      <c r="B1227" s="375">
        <v>450000</v>
      </c>
      <c r="C1227" s="375">
        <v>180000</v>
      </c>
      <c r="D1227" s="375">
        <v>51</v>
      </c>
      <c r="E1227" s="375">
        <v>129</v>
      </c>
      <c r="F1227" s="375">
        <v>0.6</v>
      </c>
      <c r="G1227" s="375">
        <v>24093</v>
      </c>
      <c r="H1227" s="376">
        <v>4.1049177753955269E-3</v>
      </c>
      <c r="I1227" s="375">
        <v>3500</v>
      </c>
      <c r="J1227" s="375">
        <v>4550</v>
      </c>
      <c r="K1227" s="375">
        <v>99</v>
      </c>
      <c r="L1227" s="375">
        <v>6350</v>
      </c>
      <c r="M1227" s="375">
        <v>17743</v>
      </c>
      <c r="V1227" s="375" t="s">
        <v>596</v>
      </c>
    </row>
    <row r="1228" spans="1:22" hidden="1" x14ac:dyDescent="0.25">
      <c r="A1228" s="377">
        <v>45603</v>
      </c>
      <c r="B1228" s="375">
        <v>425000</v>
      </c>
      <c r="C1228" s="375">
        <v>170000</v>
      </c>
      <c r="D1228" s="375">
        <v>49</v>
      </c>
      <c r="E1228" s="375">
        <v>121</v>
      </c>
      <c r="F1228" s="375">
        <v>0.6</v>
      </c>
      <c r="G1228" s="375">
        <v>24093</v>
      </c>
      <c r="H1228" s="376">
        <v>3.8768667878735534E-3</v>
      </c>
      <c r="I1228" s="375">
        <v>3500</v>
      </c>
      <c r="J1228" s="375">
        <v>4550</v>
      </c>
      <c r="K1228" s="375">
        <v>93</v>
      </c>
      <c r="L1228" s="375">
        <v>6350</v>
      </c>
      <c r="M1228" s="375">
        <v>17743</v>
      </c>
      <c r="V1228" s="375" t="s">
        <v>596</v>
      </c>
    </row>
    <row r="1229" spans="1:22" hidden="1" x14ac:dyDescent="0.25">
      <c r="A1229" s="377">
        <v>45604</v>
      </c>
      <c r="B1229" s="375">
        <v>425000</v>
      </c>
      <c r="C1229" s="375">
        <v>170000</v>
      </c>
      <c r="D1229" s="375">
        <v>49</v>
      </c>
      <c r="E1229" s="375">
        <v>121</v>
      </c>
      <c r="F1229" s="375">
        <v>0.6</v>
      </c>
      <c r="G1229" s="375">
        <v>20439</v>
      </c>
      <c r="H1229" s="376">
        <v>4.5699991473815305E-3</v>
      </c>
      <c r="I1229" s="375">
        <v>3500</v>
      </c>
      <c r="J1229" s="375">
        <v>4550</v>
      </c>
      <c r="K1229" s="375">
        <v>93</v>
      </c>
      <c r="L1229" s="375">
        <v>3500</v>
      </c>
      <c r="M1229" s="375">
        <v>16939</v>
      </c>
      <c r="V1229" s="375" t="s">
        <v>596</v>
      </c>
    </row>
    <row r="1230" spans="1:22" hidden="1" x14ac:dyDescent="0.25">
      <c r="A1230" s="377">
        <v>45605</v>
      </c>
      <c r="B1230" s="375">
        <v>425000</v>
      </c>
      <c r="C1230" s="375">
        <v>170000</v>
      </c>
      <c r="D1230" s="375">
        <v>49</v>
      </c>
      <c r="E1230" s="375">
        <v>121</v>
      </c>
      <c r="F1230" s="375">
        <v>0.6</v>
      </c>
      <c r="G1230" s="375">
        <v>28652</v>
      </c>
      <c r="H1230" s="376">
        <v>3.2600311580288314E-3</v>
      </c>
      <c r="I1230" s="375">
        <v>3500</v>
      </c>
      <c r="J1230" s="375">
        <v>4550</v>
      </c>
      <c r="K1230" s="375">
        <v>93</v>
      </c>
      <c r="L1230" s="375">
        <v>6350</v>
      </c>
      <c r="M1230" s="375">
        <v>22302</v>
      </c>
      <c r="V1230" s="375" t="s">
        <v>596</v>
      </c>
    </row>
    <row r="1231" spans="1:22" hidden="1" x14ac:dyDescent="0.25">
      <c r="A1231" s="377">
        <v>45606</v>
      </c>
      <c r="B1231" s="375">
        <v>1654167</v>
      </c>
      <c r="C1231" s="375">
        <v>397000</v>
      </c>
      <c r="D1231" s="375">
        <v>113</v>
      </c>
      <c r="E1231" s="375">
        <v>473</v>
      </c>
      <c r="F1231" s="375">
        <v>0.76</v>
      </c>
      <c r="G1231" s="375">
        <v>36452</v>
      </c>
      <c r="H1231" s="376">
        <v>9.9734599154158634E-3</v>
      </c>
      <c r="I1231" s="375">
        <v>3500</v>
      </c>
      <c r="J1231" s="375">
        <v>4550</v>
      </c>
      <c r="K1231" s="375">
        <v>364</v>
      </c>
      <c r="L1231" s="375">
        <v>4750</v>
      </c>
      <c r="M1231" s="375">
        <v>31702</v>
      </c>
      <c r="V1231" s="375" t="s">
        <v>596</v>
      </c>
    </row>
    <row r="1232" spans="1:22" hidden="1" x14ac:dyDescent="0.25">
      <c r="A1232" s="377">
        <v>45607</v>
      </c>
      <c r="B1232" s="375">
        <v>2033333</v>
      </c>
      <c r="C1232" s="375">
        <v>610000</v>
      </c>
      <c r="D1232" s="375">
        <v>174</v>
      </c>
      <c r="E1232" s="375">
        <v>581</v>
      </c>
      <c r="F1232" s="375">
        <v>0.7</v>
      </c>
      <c r="G1232" s="375">
        <v>29952</v>
      </c>
      <c r="H1232" s="376">
        <v>1.4920059429616148E-2</v>
      </c>
      <c r="I1232" s="375">
        <v>3500</v>
      </c>
      <c r="J1232" s="375">
        <v>4550</v>
      </c>
      <c r="K1232" s="375">
        <v>447</v>
      </c>
      <c r="L1232" s="375">
        <v>7250</v>
      </c>
      <c r="M1232" s="375">
        <v>22702</v>
      </c>
      <c r="V1232" s="375" t="s">
        <v>596</v>
      </c>
    </row>
    <row r="1233" spans="1:22" hidden="1" x14ac:dyDescent="0.25">
      <c r="A1233" s="377">
        <v>45608</v>
      </c>
      <c r="B1233" s="375">
        <v>100000</v>
      </c>
      <c r="C1233" s="375">
        <v>50000</v>
      </c>
      <c r="D1233" s="375">
        <v>10</v>
      </c>
      <c r="E1233" s="375">
        <v>20</v>
      </c>
      <c r="F1233" s="375">
        <v>0.5</v>
      </c>
      <c r="G1233" s="375">
        <v>11593</v>
      </c>
      <c r="H1233" s="376">
        <v>1.4376475974024678E-3</v>
      </c>
      <c r="I1233" s="375">
        <v>5000</v>
      </c>
      <c r="J1233" s="375">
        <v>6000</v>
      </c>
      <c r="K1233" s="375">
        <v>17</v>
      </c>
      <c r="L1233" s="375">
        <v>2500</v>
      </c>
      <c r="M1233" s="375">
        <v>9093</v>
      </c>
      <c r="V1233" s="375" t="s">
        <v>596</v>
      </c>
    </row>
    <row r="1234" spans="1:22" hidden="1" x14ac:dyDescent="0.25">
      <c r="A1234" s="377">
        <v>45609</v>
      </c>
      <c r="B1234" s="375">
        <v>80000</v>
      </c>
      <c r="C1234" s="375">
        <v>40000</v>
      </c>
      <c r="D1234" s="375">
        <v>8</v>
      </c>
      <c r="E1234" s="375">
        <v>16</v>
      </c>
      <c r="F1234" s="375">
        <v>0.5</v>
      </c>
      <c r="G1234" s="375">
        <v>11593</v>
      </c>
      <c r="H1234" s="376">
        <v>1.1501180779219741E-3</v>
      </c>
      <c r="I1234" s="375">
        <v>5000</v>
      </c>
      <c r="J1234" s="375">
        <v>6000</v>
      </c>
      <c r="K1234" s="375">
        <v>13</v>
      </c>
      <c r="L1234" s="375">
        <v>2500</v>
      </c>
      <c r="M1234" s="375">
        <v>9093</v>
      </c>
      <c r="V1234" s="375" t="s">
        <v>596</v>
      </c>
    </row>
    <row r="1235" spans="1:22" hidden="1" x14ac:dyDescent="0.25">
      <c r="A1235" s="377">
        <v>45610</v>
      </c>
      <c r="B1235" s="375">
        <v>80000</v>
      </c>
      <c r="C1235" s="375">
        <v>40000</v>
      </c>
      <c r="D1235" s="375">
        <v>8</v>
      </c>
      <c r="E1235" s="375">
        <v>16</v>
      </c>
      <c r="F1235" s="375">
        <v>0.5</v>
      </c>
      <c r="G1235" s="375">
        <v>11593</v>
      </c>
      <c r="H1235" s="376">
        <v>1.1501180779219741E-3</v>
      </c>
      <c r="I1235" s="375">
        <v>5000</v>
      </c>
      <c r="J1235" s="375">
        <v>6000</v>
      </c>
      <c r="K1235" s="375">
        <v>13</v>
      </c>
      <c r="L1235" s="375">
        <v>2500</v>
      </c>
      <c r="M1235" s="375">
        <v>9093</v>
      </c>
      <c r="V1235" s="375" t="s">
        <v>596</v>
      </c>
    </row>
    <row r="1236" spans="1:22" hidden="1" x14ac:dyDescent="0.25">
      <c r="A1236" s="377">
        <v>45611</v>
      </c>
      <c r="B1236" s="375">
        <v>80000</v>
      </c>
      <c r="C1236" s="375">
        <v>40000</v>
      </c>
      <c r="D1236" s="375">
        <v>8</v>
      </c>
      <c r="E1236" s="375">
        <v>16</v>
      </c>
      <c r="F1236" s="375">
        <v>0.5</v>
      </c>
      <c r="G1236" s="375">
        <v>11593</v>
      </c>
      <c r="H1236" s="376">
        <v>1.1501180779219741E-3</v>
      </c>
      <c r="I1236" s="375">
        <v>5000</v>
      </c>
      <c r="J1236" s="375">
        <v>6000</v>
      </c>
      <c r="K1236" s="375">
        <v>13</v>
      </c>
      <c r="L1236" s="375">
        <v>2500</v>
      </c>
      <c r="M1236" s="375">
        <v>9093</v>
      </c>
      <c r="V1236" s="375" t="s">
        <v>596</v>
      </c>
    </row>
    <row r="1237" spans="1:22" hidden="1" x14ac:dyDescent="0.25">
      <c r="A1237" s="377">
        <v>45612</v>
      </c>
      <c r="B1237" s="375">
        <v>80000</v>
      </c>
      <c r="C1237" s="375">
        <v>40000</v>
      </c>
      <c r="D1237" s="375">
        <v>8</v>
      </c>
      <c r="E1237" s="375">
        <v>16</v>
      </c>
      <c r="F1237" s="375">
        <v>0.5</v>
      </c>
      <c r="G1237" s="375">
        <v>11593</v>
      </c>
      <c r="H1237" s="376">
        <v>1.1501180779219741E-3</v>
      </c>
      <c r="I1237" s="375">
        <v>5000</v>
      </c>
      <c r="J1237" s="375">
        <v>6000</v>
      </c>
      <c r="K1237" s="375">
        <v>13</v>
      </c>
      <c r="L1237" s="375">
        <v>2500</v>
      </c>
      <c r="M1237" s="375">
        <v>9093</v>
      </c>
      <c r="V1237" s="375" t="s">
        <v>596</v>
      </c>
    </row>
    <row r="1238" spans="1:22" hidden="1" x14ac:dyDescent="0.25">
      <c r="A1238" s="377">
        <v>45613</v>
      </c>
      <c r="B1238" s="375">
        <v>80000</v>
      </c>
      <c r="C1238" s="375">
        <v>40000</v>
      </c>
      <c r="D1238" s="375">
        <v>8</v>
      </c>
      <c r="E1238" s="375">
        <v>16</v>
      </c>
      <c r="F1238" s="375">
        <v>0.5</v>
      </c>
      <c r="G1238" s="375">
        <v>11593</v>
      </c>
      <c r="H1238" s="376">
        <v>1.1501180779219741E-3</v>
      </c>
      <c r="I1238" s="375">
        <v>5000</v>
      </c>
      <c r="J1238" s="375">
        <v>6000</v>
      </c>
      <c r="K1238" s="375">
        <v>13</v>
      </c>
      <c r="L1238" s="375">
        <v>2500</v>
      </c>
      <c r="M1238" s="375">
        <v>9093</v>
      </c>
      <c r="V1238" s="375" t="s">
        <v>596</v>
      </c>
    </row>
    <row r="1239" spans="1:22" hidden="1" x14ac:dyDescent="0.25">
      <c r="A1239" s="377">
        <v>45614</v>
      </c>
      <c r="B1239" s="375">
        <v>80000</v>
      </c>
      <c r="C1239" s="375">
        <v>40000</v>
      </c>
      <c r="D1239" s="375">
        <v>8</v>
      </c>
      <c r="E1239" s="375">
        <v>16</v>
      </c>
      <c r="F1239" s="375">
        <v>0.5</v>
      </c>
      <c r="G1239" s="375">
        <v>11593</v>
      </c>
      <c r="H1239" s="376">
        <v>1.1501180779219741E-3</v>
      </c>
      <c r="I1239" s="375">
        <v>5000</v>
      </c>
      <c r="J1239" s="375">
        <v>6000</v>
      </c>
      <c r="K1239" s="375">
        <v>13</v>
      </c>
      <c r="L1239" s="375">
        <v>2500</v>
      </c>
      <c r="M1239" s="375">
        <v>9093</v>
      </c>
      <c r="V1239" s="375" t="s">
        <v>596</v>
      </c>
    </row>
    <row r="1240" spans="1:22" hidden="1" x14ac:dyDescent="0.25">
      <c r="A1240" s="377">
        <v>45615</v>
      </c>
      <c r="B1240" s="375">
        <v>80000</v>
      </c>
      <c r="C1240" s="375">
        <v>40000</v>
      </c>
      <c r="D1240" s="375">
        <v>8</v>
      </c>
      <c r="E1240" s="375">
        <v>16</v>
      </c>
      <c r="F1240" s="375">
        <v>0.5</v>
      </c>
      <c r="G1240" s="375">
        <v>11593</v>
      </c>
      <c r="H1240" s="376">
        <v>1.1501180779219741E-3</v>
      </c>
      <c r="I1240" s="375">
        <v>5000</v>
      </c>
      <c r="J1240" s="375">
        <v>6000</v>
      </c>
      <c r="K1240" s="375">
        <v>13</v>
      </c>
      <c r="L1240" s="375">
        <v>2500</v>
      </c>
      <c r="M1240" s="375">
        <v>9093</v>
      </c>
      <c r="V1240" s="375" t="s">
        <v>596</v>
      </c>
    </row>
    <row r="1241" spans="1:22" hidden="1" x14ac:dyDescent="0.25">
      <c r="A1241" s="377">
        <v>45616</v>
      </c>
      <c r="B1241" s="375">
        <v>80000</v>
      </c>
      <c r="C1241" s="375">
        <v>40000</v>
      </c>
      <c r="D1241" s="375">
        <v>8</v>
      </c>
      <c r="E1241" s="375">
        <v>16</v>
      </c>
      <c r="F1241" s="375">
        <v>0.5</v>
      </c>
      <c r="G1241" s="375">
        <v>11593</v>
      </c>
      <c r="H1241" s="376">
        <v>1.1501180779219741E-3</v>
      </c>
      <c r="I1241" s="375">
        <v>5000</v>
      </c>
      <c r="J1241" s="375">
        <v>6000</v>
      </c>
      <c r="K1241" s="375">
        <v>13</v>
      </c>
      <c r="L1241" s="375">
        <v>2500</v>
      </c>
      <c r="M1241" s="375">
        <v>9093</v>
      </c>
      <c r="V1241" s="375" t="s">
        <v>596</v>
      </c>
    </row>
    <row r="1242" spans="1:22" hidden="1" x14ac:dyDescent="0.25">
      <c r="A1242" s="377">
        <v>45617</v>
      </c>
      <c r="B1242" s="375">
        <v>80000</v>
      </c>
      <c r="C1242" s="375">
        <v>40000</v>
      </c>
      <c r="D1242" s="375">
        <v>8</v>
      </c>
      <c r="E1242" s="375">
        <v>16</v>
      </c>
      <c r="F1242" s="375">
        <v>0.5</v>
      </c>
      <c r="G1242" s="375">
        <v>11714</v>
      </c>
      <c r="H1242" s="376">
        <v>1.138249668528624E-3</v>
      </c>
      <c r="I1242" s="375">
        <v>5000</v>
      </c>
      <c r="J1242" s="375">
        <v>6000</v>
      </c>
      <c r="K1242" s="375">
        <v>13</v>
      </c>
      <c r="L1242" s="375">
        <v>2500</v>
      </c>
      <c r="M1242" s="375">
        <v>9214</v>
      </c>
      <c r="V1242" s="375" t="s">
        <v>596</v>
      </c>
    </row>
    <row r="1243" spans="1:22" hidden="1" x14ac:dyDescent="0.25">
      <c r="A1243" s="377">
        <v>45618</v>
      </c>
      <c r="B1243" s="375">
        <v>80000</v>
      </c>
      <c r="C1243" s="375">
        <v>40000</v>
      </c>
      <c r="D1243" s="375">
        <v>8</v>
      </c>
      <c r="E1243" s="375">
        <v>16</v>
      </c>
      <c r="F1243" s="375">
        <v>0.5</v>
      </c>
      <c r="G1243" s="375">
        <v>12253</v>
      </c>
      <c r="H1243" s="376">
        <v>1.088208464069489E-3</v>
      </c>
      <c r="I1243" s="375">
        <v>5000</v>
      </c>
      <c r="J1243" s="375">
        <v>6000</v>
      </c>
      <c r="K1243" s="375">
        <v>13</v>
      </c>
      <c r="L1243" s="375">
        <v>2500</v>
      </c>
      <c r="M1243" s="375">
        <v>9753</v>
      </c>
      <c r="V1243" s="375" t="s">
        <v>596</v>
      </c>
    </row>
    <row r="1244" spans="1:22" hidden="1" x14ac:dyDescent="0.25">
      <c r="A1244" s="377">
        <v>45619</v>
      </c>
      <c r="B1244" s="375">
        <v>80000</v>
      </c>
      <c r="C1244" s="375">
        <v>40000</v>
      </c>
      <c r="D1244" s="375">
        <v>8</v>
      </c>
      <c r="E1244" s="375">
        <v>16</v>
      </c>
      <c r="F1244" s="375">
        <v>0.5</v>
      </c>
      <c r="G1244" s="375">
        <v>12253</v>
      </c>
      <c r="H1244" s="376">
        <v>1.088208464069489E-3</v>
      </c>
      <c r="I1244" s="375">
        <v>5000</v>
      </c>
      <c r="J1244" s="375">
        <v>6000</v>
      </c>
      <c r="K1244" s="375">
        <v>13</v>
      </c>
      <c r="L1244" s="375">
        <v>2500</v>
      </c>
      <c r="M1244" s="375">
        <v>9753</v>
      </c>
      <c r="V1244" s="375" t="s">
        <v>596</v>
      </c>
    </row>
    <row r="1245" spans="1:22" hidden="1" x14ac:dyDescent="0.25">
      <c r="A1245" s="377">
        <v>45620</v>
      </c>
      <c r="B1245" s="375">
        <v>80000</v>
      </c>
      <c r="C1245" s="375">
        <v>40000</v>
      </c>
      <c r="D1245" s="375">
        <v>8</v>
      </c>
      <c r="E1245" s="375">
        <v>16</v>
      </c>
      <c r="F1245" s="375">
        <v>0.5</v>
      </c>
      <c r="G1245" s="375">
        <v>12253</v>
      </c>
      <c r="H1245" s="376">
        <v>1.088208464069489E-3</v>
      </c>
      <c r="I1245" s="375">
        <v>5000</v>
      </c>
      <c r="J1245" s="375">
        <v>6000</v>
      </c>
      <c r="K1245" s="375">
        <v>13</v>
      </c>
      <c r="L1245" s="375">
        <v>2500</v>
      </c>
      <c r="M1245" s="375">
        <v>9753</v>
      </c>
      <c r="V1245" s="375" t="s">
        <v>596</v>
      </c>
    </row>
    <row r="1246" spans="1:22" hidden="1" x14ac:dyDescent="0.25">
      <c r="A1246" s="377">
        <v>45621</v>
      </c>
      <c r="B1246" s="375">
        <v>80000</v>
      </c>
      <c r="C1246" s="375">
        <v>40000</v>
      </c>
      <c r="D1246" s="375">
        <v>8</v>
      </c>
      <c r="E1246" s="375">
        <v>16</v>
      </c>
      <c r="F1246" s="375">
        <v>0.5</v>
      </c>
      <c r="G1246" s="375">
        <v>12253</v>
      </c>
      <c r="H1246" s="376">
        <v>1.088208464069489E-3</v>
      </c>
      <c r="I1246" s="375">
        <v>5000</v>
      </c>
      <c r="J1246" s="375">
        <v>6000</v>
      </c>
      <c r="K1246" s="375">
        <v>13</v>
      </c>
      <c r="L1246" s="375">
        <v>2500</v>
      </c>
      <c r="M1246" s="375">
        <v>9753</v>
      </c>
      <c r="V1246" s="375" t="s">
        <v>596</v>
      </c>
    </row>
    <row r="1247" spans="1:22" hidden="1" x14ac:dyDescent="0.25">
      <c r="A1247" s="377">
        <v>45622</v>
      </c>
      <c r="B1247" s="375">
        <v>80000</v>
      </c>
      <c r="C1247" s="375">
        <v>40000</v>
      </c>
      <c r="D1247" s="375">
        <v>8</v>
      </c>
      <c r="E1247" s="375">
        <v>16</v>
      </c>
      <c r="F1247" s="375">
        <v>0.5</v>
      </c>
      <c r="G1247" s="375">
        <v>12253</v>
      </c>
      <c r="H1247" s="376">
        <v>1.088208464069489E-3</v>
      </c>
      <c r="I1247" s="375">
        <v>5000</v>
      </c>
      <c r="J1247" s="375">
        <v>6000</v>
      </c>
      <c r="K1247" s="375">
        <v>13</v>
      </c>
      <c r="L1247" s="375">
        <v>2500</v>
      </c>
      <c r="M1247" s="375">
        <v>9753</v>
      </c>
      <c r="V1247" s="375" t="s">
        <v>596</v>
      </c>
    </row>
    <row r="1248" spans="1:22" hidden="1" x14ac:dyDescent="0.25">
      <c r="A1248" s="377">
        <v>45623</v>
      </c>
      <c r="B1248" s="375">
        <v>80000</v>
      </c>
      <c r="C1248" s="375">
        <v>40000</v>
      </c>
      <c r="D1248" s="375">
        <v>8</v>
      </c>
      <c r="E1248" s="375">
        <v>16</v>
      </c>
      <c r="F1248" s="375">
        <v>0.5</v>
      </c>
      <c r="G1248" s="375">
        <v>12253</v>
      </c>
      <c r="H1248" s="376">
        <v>1.088208464069489E-3</v>
      </c>
      <c r="I1248" s="375">
        <v>5000</v>
      </c>
      <c r="J1248" s="375">
        <v>6000</v>
      </c>
      <c r="K1248" s="375">
        <v>13</v>
      </c>
      <c r="L1248" s="375">
        <v>2500</v>
      </c>
      <c r="M1248" s="375">
        <v>9753</v>
      </c>
      <c r="V1248" s="375" t="s">
        <v>596</v>
      </c>
    </row>
    <row r="1249" spans="1:22" hidden="1" x14ac:dyDescent="0.25">
      <c r="A1249" s="377">
        <v>45624</v>
      </c>
      <c r="B1249" s="375">
        <v>80000</v>
      </c>
      <c r="C1249" s="375">
        <v>40000</v>
      </c>
      <c r="D1249" s="375">
        <v>8</v>
      </c>
      <c r="E1249" s="375">
        <v>16</v>
      </c>
      <c r="F1249" s="375">
        <v>0.5</v>
      </c>
      <c r="G1249" s="375">
        <v>12253</v>
      </c>
      <c r="H1249" s="376">
        <v>1.088208464069489E-3</v>
      </c>
      <c r="I1249" s="375">
        <v>5000</v>
      </c>
      <c r="J1249" s="375">
        <v>6000</v>
      </c>
      <c r="K1249" s="375">
        <v>13</v>
      </c>
      <c r="L1249" s="375">
        <v>2500</v>
      </c>
      <c r="M1249" s="375">
        <v>9753</v>
      </c>
      <c r="V1249" s="375" t="s">
        <v>596</v>
      </c>
    </row>
    <row r="1250" spans="1:22" hidden="1" x14ac:dyDescent="0.25">
      <c r="A1250" s="377">
        <v>45625</v>
      </c>
      <c r="B1250" s="375">
        <v>80000</v>
      </c>
      <c r="C1250" s="375">
        <v>40000</v>
      </c>
      <c r="D1250" s="375">
        <v>8</v>
      </c>
      <c r="E1250" s="375">
        <v>16</v>
      </c>
      <c r="F1250" s="375">
        <v>0.5</v>
      </c>
      <c r="G1250" s="375">
        <v>12253</v>
      </c>
      <c r="H1250" s="376">
        <v>1.088208464069489E-3</v>
      </c>
      <c r="I1250" s="375">
        <v>5000</v>
      </c>
      <c r="J1250" s="375">
        <v>6000</v>
      </c>
      <c r="K1250" s="375">
        <v>13</v>
      </c>
      <c r="L1250" s="375">
        <v>2500</v>
      </c>
      <c r="M1250" s="375">
        <v>9753</v>
      </c>
      <c r="V1250" s="375" t="s">
        <v>596</v>
      </c>
    </row>
    <row r="1251" spans="1:22" hidden="1" x14ac:dyDescent="0.25">
      <c r="A1251" s="377">
        <v>45626</v>
      </c>
      <c r="B1251" s="375">
        <v>80000</v>
      </c>
      <c r="C1251" s="375">
        <v>40000</v>
      </c>
      <c r="D1251" s="375">
        <v>8</v>
      </c>
      <c r="E1251" s="375">
        <v>16</v>
      </c>
      <c r="F1251" s="375">
        <v>0.5</v>
      </c>
      <c r="G1251" s="375">
        <v>12253</v>
      </c>
      <c r="H1251" s="376">
        <v>1.088208464069489E-3</v>
      </c>
      <c r="I1251" s="375">
        <v>5000</v>
      </c>
      <c r="J1251" s="375">
        <v>6000</v>
      </c>
      <c r="K1251" s="375">
        <v>13</v>
      </c>
      <c r="L1251" s="375">
        <v>2500</v>
      </c>
      <c r="M1251" s="375">
        <v>9753</v>
      </c>
      <c r="V1251" s="375" t="s">
        <v>596</v>
      </c>
    </row>
    <row r="1252" spans="1:22" hidden="1" x14ac:dyDescent="0.25">
      <c r="A1252" s="377">
        <v>45627</v>
      </c>
      <c r="B1252" s="375">
        <v>120000</v>
      </c>
      <c r="C1252" s="375">
        <v>60000</v>
      </c>
      <c r="D1252" s="375">
        <v>12</v>
      </c>
      <c r="E1252" s="375">
        <v>24</v>
      </c>
      <c r="F1252" s="375">
        <v>0.5</v>
      </c>
      <c r="G1252" s="375">
        <v>10673</v>
      </c>
      <c r="H1252" s="376">
        <v>1.6061960228396207E-3</v>
      </c>
      <c r="I1252" s="375">
        <v>5000</v>
      </c>
      <c r="J1252" s="375">
        <v>7000</v>
      </c>
      <c r="K1252" s="375">
        <v>17</v>
      </c>
      <c r="L1252" s="375">
        <v>2000</v>
      </c>
      <c r="M1252" s="375">
        <v>8673</v>
      </c>
      <c r="V1252" s="375" t="s">
        <v>596</v>
      </c>
    </row>
    <row r="1253" spans="1:22" hidden="1" x14ac:dyDescent="0.25">
      <c r="A1253" s="377">
        <v>45628</v>
      </c>
      <c r="B1253" s="375">
        <v>100000</v>
      </c>
      <c r="C1253" s="375">
        <v>50000</v>
      </c>
      <c r="D1253" s="375">
        <v>10</v>
      </c>
      <c r="E1253" s="375">
        <v>20</v>
      </c>
      <c r="F1253" s="375">
        <v>0.5</v>
      </c>
      <c r="G1253" s="375">
        <v>10673</v>
      </c>
      <c r="H1253" s="376">
        <v>1.3384966856996839E-3</v>
      </c>
      <c r="I1253" s="375">
        <v>5000</v>
      </c>
      <c r="J1253" s="375">
        <v>7000</v>
      </c>
      <c r="K1253" s="375">
        <v>14</v>
      </c>
      <c r="L1253" s="375">
        <v>2000</v>
      </c>
      <c r="M1253" s="375">
        <v>8673</v>
      </c>
      <c r="V1253" s="375" t="s">
        <v>596</v>
      </c>
    </row>
    <row r="1254" spans="1:22" hidden="1" x14ac:dyDescent="0.25">
      <c r="A1254" s="377">
        <v>45629</v>
      </c>
      <c r="B1254" s="375">
        <v>100000</v>
      </c>
      <c r="C1254" s="375">
        <v>50000</v>
      </c>
      <c r="D1254" s="375">
        <v>10</v>
      </c>
      <c r="E1254" s="375">
        <v>20</v>
      </c>
      <c r="F1254" s="375">
        <v>0.5</v>
      </c>
      <c r="G1254" s="375">
        <v>10673</v>
      </c>
      <c r="H1254" s="376">
        <v>1.3384966856996839E-3</v>
      </c>
      <c r="I1254" s="375">
        <v>5000</v>
      </c>
      <c r="J1254" s="375">
        <v>7000</v>
      </c>
      <c r="K1254" s="375">
        <v>14</v>
      </c>
      <c r="L1254" s="375">
        <v>2000</v>
      </c>
      <c r="M1254" s="375">
        <v>8673</v>
      </c>
      <c r="V1254" s="375" t="s">
        <v>596</v>
      </c>
    </row>
    <row r="1255" spans="1:22" hidden="1" x14ac:dyDescent="0.25">
      <c r="A1255" s="377">
        <v>45630</v>
      </c>
      <c r="B1255" s="375">
        <v>100000</v>
      </c>
      <c r="C1255" s="375">
        <v>50000</v>
      </c>
      <c r="D1255" s="375">
        <v>10</v>
      </c>
      <c r="E1255" s="375">
        <v>20</v>
      </c>
      <c r="F1255" s="375">
        <v>0.5</v>
      </c>
      <c r="G1255" s="375">
        <v>10673</v>
      </c>
      <c r="H1255" s="376">
        <v>1.3384966856996839E-3</v>
      </c>
      <c r="I1255" s="375">
        <v>5000</v>
      </c>
      <c r="J1255" s="375">
        <v>7000</v>
      </c>
      <c r="K1255" s="375">
        <v>14</v>
      </c>
      <c r="L1255" s="375">
        <v>2000</v>
      </c>
      <c r="M1255" s="375">
        <v>8673</v>
      </c>
      <c r="V1255" s="375" t="s">
        <v>596</v>
      </c>
    </row>
    <row r="1256" spans="1:22" hidden="1" x14ac:dyDescent="0.25">
      <c r="A1256" s="377">
        <v>45631</v>
      </c>
      <c r="B1256" s="375">
        <v>100000</v>
      </c>
      <c r="C1256" s="375">
        <v>50000</v>
      </c>
      <c r="D1256" s="375">
        <v>10</v>
      </c>
      <c r="E1256" s="375">
        <v>20</v>
      </c>
      <c r="F1256" s="375">
        <v>0.5</v>
      </c>
      <c r="G1256" s="375">
        <v>10673</v>
      </c>
      <c r="H1256" s="376">
        <v>1.3384966856996839E-3</v>
      </c>
      <c r="I1256" s="375">
        <v>5000</v>
      </c>
      <c r="J1256" s="375">
        <v>7000</v>
      </c>
      <c r="K1256" s="375">
        <v>14</v>
      </c>
      <c r="L1256" s="375">
        <v>2000</v>
      </c>
      <c r="M1256" s="375">
        <v>8673</v>
      </c>
      <c r="V1256" s="375" t="s">
        <v>596</v>
      </c>
    </row>
    <row r="1257" spans="1:22" hidden="1" x14ac:dyDescent="0.25">
      <c r="A1257" s="377">
        <v>45632</v>
      </c>
      <c r="B1257" s="375">
        <v>100000</v>
      </c>
      <c r="C1257" s="375">
        <v>50000</v>
      </c>
      <c r="D1257" s="375">
        <v>10</v>
      </c>
      <c r="E1257" s="375">
        <v>20</v>
      </c>
      <c r="F1257" s="375">
        <v>0.5</v>
      </c>
      <c r="G1257" s="375">
        <v>10794</v>
      </c>
      <c r="H1257" s="376">
        <v>1.3234661578674547E-3</v>
      </c>
      <c r="I1257" s="375">
        <v>5000</v>
      </c>
      <c r="J1257" s="375">
        <v>7000</v>
      </c>
      <c r="K1257" s="375">
        <v>14</v>
      </c>
      <c r="L1257" s="375">
        <v>2000</v>
      </c>
      <c r="M1257" s="375">
        <v>8794</v>
      </c>
      <c r="V1257" s="375" t="s">
        <v>596</v>
      </c>
    </row>
    <row r="1258" spans="1:22" hidden="1" x14ac:dyDescent="0.25">
      <c r="A1258" s="377">
        <v>45633</v>
      </c>
      <c r="B1258" s="375">
        <v>80000</v>
      </c>
      <c r="C1258" s="375">
        <v>40000</v>
      </c>
      <c r="D1258" s="375">
        <v>8</v>
      </c>
      <c r="E1258" s="375">
        <v>16</v>
      </c>
      <c r="F1258" s="375">
        <v>0.5</v>
      </c>
      <c r="G1258" s="375">
        <v>12654</v>
      </c>
      <c r="H1258" s="376">
        <v>9.0317494810592805E-4</v>
      </c>
      <c r="I1258" s="375">
        <v>5000</v>
      </c>
      <c r="J1258" s="375">
        <v>7000</v>
      </c>
      <c r="K1258" s="375">
        <v>11</v>
      </c>
      <c r="L1258" s="375">
        <v>2000</v>
      </c>
      <c r="M1258" s="375">
        <v>10654</v>
      </c>
      <c r="V1258" s="375" t="s">
        <v>596</v>
      </c>
    </row>
    <row r="1259" spans="1:22" hidden="1" x14ac:dyDescent="0.25">
      <c r="A1259" s="377">
        <v>45634</v>
      </c>
      <c r="B1259" s="375">
        <v>80000</v>
      </c>
      <c r="C1259" s="375">
        <v>40000</v>
      </c>
      <c r="D1259" s="375">
        <v>8</v>
      </c>
      <c r="E1259" s="375">
        <v>16</v>
      </c>
      <c r="F1259" s="375">
        <v>0.5</v>
      </c>
      <c r="G1259" s="375">
        <v>16261</v>
      </c>
      <c r="H1259" s="376">
        <v>7.0282815119590602E-4</v>
      </c>
      <c r="I1259" s="375">
        <v>5000</v>
      </c>
      <c r="J1259" s="375">
        <v>7000</v>
      </c>
      <c r="K1259" s="375">
        <v>11</v>
      </c>
      <c r="L1259" s="375">
        <v>2000</v>
      </c>
      <c r="M1259" s="375">
        <v>14261</v>
      </c>
      <c r="V1259" s="375" t="s">
        <v>596</v>
      </c>
    </row>
    <row r="1260" spans="1:22" hidden="1" x14ac:dyDescent="0.25">
      <c r="A1260" s="377">
        <v>45635</v>
      </c>
      <c r="B1260" s="375">
        <v>730000</v>
      </c>
      <c r="C1260" s="375">
        <v>328500</v>
      </c>
      <c r="D1260" s="375">
        <v>82</v>
      </c>
      <c r="E1260" s="375">
        <v>183</v>
      </c>
      <c r="F1260" s="375">
        <v>0.55000000000000004</v>
      </c>
      <c r="G1260" s="375">
        <v>17594</v>
      </c>
      <c r="H1260" s="376">
        <v>7.1536249116004678E-3</v>
      </c>
      <c r="I1260" s="375">
        <v>4000</v>
      </c>
      <c r="J1260" s="375">
        <v>5800</v>
      </c>
      <c r="K1260" s="375">
        <v>126</v>
      </c>
      <c r="L1260" s="375">
        <v>2000</v>
      </c>
      <c r="M1260" s="375">
        <v>15594</v>
      </c>
      <c r="V1260" s="375" t="s">
        <v>596</v>
      </c>
    </row>
    <row r="1261" spans="1:22" hidden="1" x14ac:dyDescent="0.25">
      <c r="A1261" s="377">
        <v>45636</v>
      </c>
      <c r="B1261" s="375">
        <v>460000</v>
      </c>
      <c r="C1261" s="375">
        <v>207000</v>
      </c>
      <c r="D1261" s="375">
        <v>52</v>
      </c>
      <c r="E1261" s="375">
        <v>115</v>
      </c>
      <c r="F1261" s="375">
        <v>0.55000000000000004</v>
      </c>
      <c r="G1261" s="375">
        <v>17894</v>
      </c>
      <c r="H1261" s="376">
        <v>4.4321899032786962E-3</v>
      </c>
      <c r="I1261" s="375">
        <v>4000</v>
      </c>
      <c r="J1261" s="375">
        <v>5800</v>
      </c>
      <c r="K1261" s="375">
        <v>79</v>
      </c>
      <c r="L1261" s="375">
        <v>2300</v>
      </c>
      <c r="M1261" s="375">
        <v>15594</v>
      </c>
      <c r="V1261" s="375" t="s">
        <v>596</v>
      </c>
    </row>
    <row r="1262" spans="1:22" hidden="1" x14ac:dyDescent="0.25">
      <c r="A1262" s="377">
        <v>45637</v>
      </c>
      <c r="B1262" s="375">
        <v>380000</v>
      </c>
      <c r="C1262" s="375">
        <v>171000</v>
      </c>
      <c r="D1262" s="375">
        <v>43</v>
      </c>
      <c r="E1262" s="375">
        <v>95</v>
      </c>
      <c r="F1262" s="375">
        <v>0.55000000000000004</v>
      </c>
      <c r="G1262" s="375">
        <v>17685</v>
      </c>
      <c r="H1262" s="376">
        <v>3.7046751962342048E-3</v>
      </c>
      <c r="I1262" s="375">
        <v>4000</v>
      </c>
      <c r="J1262" s="375">
        <v>5800</v>
      </c>
      <c r="K1262" s="375">
        <v>66</v>
      </c>
      <c r="L1262" s="375">
        <v>2300</v>
      </c>
      <c r="M1262" s="375">
        <v>15385</v>
      </c>
      <c r="V1262" s="375" t="s">
        <v>596</v>
      </c>
    </row>
    <row r="1263" spans="1:22" hidden="1" x14ac:dyDescent="0.25">
      <c r="A1263" s="377">
        <v>45638</v>
      </c>
      <c r="B1263" s="375">
        <v>500000</v>
      </c>
      <c r="C1263" s="375">
        <v>225000</v>
      </c>
      <c r="D1263" s="375">
        <v>56</v>
      </c>
      <c r="E1263" s="375">
        <v>125</v>
      </c>
      <c r="F1263" s="375">
        <v>0.55000000000000004</v>
      </c>
      <c r="G1263" s="375">
        <v>17685</v>
      </c>
      <c r="H1263" s="376">
        <v>4.8745726266239539E-3</v>
      </c>
      <c r="I1263" s="375">
        <v>4000</v>
      </c>
      <c r="J1263" s="375">
        <v>5800</v>
      </c>
      <c r="K1263" s="375">
        <v>86</v>
      </c>
      <c r="L1263" s="375">
        <v>2300</v>
      </c>
      <c r="M1263" s="375">
        <v>15385</v>
      </c>
      <c r="V1263" s="375" t="s">
        <v>596</v>
      </c>
    </row>
    <row r="1264" spans="1:22" hidden="1" x14ac:dyDescent="0.25">
      <c r="A1264" s="377">
        <v>45639</v>
      </c>
      <c r="B1264" s="375">
        <v>100000</v>
      </c>
      <c r="C1264" s="375">
        <v>50000</v>
      </c>
      <c r="D1264" s="375">
        <v>13</v>
      </c>
      <c r="E1264" s="375">
        <v>25</v>
      </c>
      <c r="F1264" s="375">
        <v>0.5</v>
      </c>
      <c r="G1264" s="375">
        <v>10128</v>
      </c>
      <c r="H1264" s="376">
        <v>1.4520742881205802E-3</v>
      </c>
      <c r="I1264" s="375">
        <v>4000</v>
      </c>
      <c r="J1264" s="375">
        <v>6800</v>
      </c>
      <c r="K1264" s="375">
        <v>15</v>
      </c>
      <c r="L1264" s="375">
        <v>2000</v>
      </c>
      <c r="M1264" s="375">
        <v>8128</v>
      </c>
      <c r="V1264" s="375" t="s">
        <v>596</v>
      </c>
    </row>
    <row r="1265" spans="1:22" hidden="1" x14ac:dyDescent="0.25">
      <c r="A1265" s="377">
        <v>45640</v>
      </c>
      <c r="B1265" s="375">
        <v>90000</v>
      </c>
      <c r="C1265" s="375">
        <v>45000</v>
      </c>
      <c r="D1265" s="375">
        <v>11</v>
      </c>
      <c r="E1265" s="375">
        <v>23</v>
      </c>
      <c r="F1265" s="375">
        <v>0.5</v>
      </c>
      <c r="G1265" s="375">
        <v>10128</v>
      </c>
      <c r="H1265" s="376">
        <v>1.3068668593085222E-3</v>
      </c>
      <c r="I1265" s="375">
        <v>4000</v>
      </c>
      <c r="J1265" s="375">
        <v>6800</v>
      </c>
      <c r="K1265" s="375">
        <v>13</v>
      </c>
      <c r="L1265" s="375">
        <v>2000</v>
      </c>
      <c r="M1265" s="375">
        <v>8128</v>
      </c>
      <c r="V1265" s="375" t="s">
        <v>596</v>
      </c>
    </row>
    <row r="1266" spans="1:22" hidden="1" x14ac:dyDescent="0.25">
      <c r="A1266" s="377">
        <v>45641</v>
      </c>
      <c r="B1266" s="375">
        <v>90000</v>
      </c>
      <c r="C1266" s="375">
        <v>45000</v>
      </c>
      <c r="D1266" s="375">
        <v>11</v>
      </c>
      <c r="E1266" s="375">
        <v>23</v>
      </c>
      <c r="F1266" s="375">
        <v>0.5</v>
      </c>
      <c r="G1266" s="375">
        <v>10128</v>
      </c>
      <c r="H1266" s="376">
        <v>1.3068668593085222E-3</v>
      </c>
      <c r="I1266" s="375">
        <v>4000</v>
      </c>
      <c r="J1266" s="375">
        <v>6800</v>
      </c>
      <c r="K1266" s="375">
        <v>13</v>
      </c>
      <c r="L1266" s="375">
        <v>2000</v>
      </c>
      <c r="M1266" s="375">
        <v>8128</v>
      </c>
      <c r="V1266" s="375" t="s">
        <v>596</v>
      </c>
    </row>
    <row r="1267" spans="1:22" hidden="1" x14ac:dyDescent="0.25">
      <c r="A1267" s="377">
        <v>45642</v>
      </c>
      <c r="B1267" s="375">
        <v>80000</v>
      </c>
      <c r="C1267" s="375">
        <v>40000</v>
      </c>
      <c r="D1267" s="375">
        <v>10</v>
      </c>
      <c r="E1267" s="375">
        <v>20</v>
      </c>
      <c r="F1267" s="375">
        <v>0.5</v>
      </c>
      <c r="G1267" s="375">
        <v>11177</v>
      </c>
      <c r="H1267" s="376">
        <v>1.0525957849348594E-3</v>
      </c>
      <c r="I1267" s="375">
        <v>4000</v>
      </c>
      <c r="J1267" s="375">
        <v>6800</v>
      </c>
      <c r="K1267" s="375">
        <v>12</v>
      </c>
      <c r="L1267" s="375">
        <v>2000</v>
      </c>
      <c r="M1267" s="375">
        <v>9177</v>
      </c>
      <c r="V1267" s="375" t="s">
        <v>596</v>
      </c>
    </row>
    <row r="1268" spans="1:22" hidden="1" x14ac:dyDescent="0.25">
      <c r="A1268" s="377">
        <v>45643</v>
      </c>
      <c r="B1268" s="375">
        <v>80000</v>
      </c>
      <c r="C1268" s="375">
        <v>40000</v>
      </c>
      <c r="D1268" s="375">
        <v>10</v>
      </c>
      <c r="E1268" s="375">
        <v>20</v>
      </c>
      <c r="F1268" s="375">
        <v>0.5</v>
      </c>
      <c r="G1268" s="375">
        <v>11177</v>
      </c>
      <c r="H1268" s="376">
        <v>1.0525957849348594E-3</v>
      </c>
      <c r="I1268" s="375">
        <v>4000</v>
      </c>
      <c r="J1268" s="375">
        <v>6800</v>
      </c>
      <c r="K1268" s="375">
        <v>12</v>
      </c>
      <c r="L1268" s="375">
        <v>2000</v>
      </c>
      <c r="M1268" s="375">
        <v>9177</v>
      </c>
      <c r="V1268" s="375" t="s">
        <v>596</v>
      </c>
    </row>
    <row r="1269" spans="1:22" hidden="1" x14ac:dyDescent="0.25">
      <c r="A1269" s="377">
        <v>45644</v>
      </c>
      <c r="B1269" s="375">
        <v>80000</v>
      </c>
      <c r="C1269" s="375">
        <v>40000</v>
      </c>
      <c r="D1269" s="375">
        <v>10</v>
      </c>
      <c r="E1269" s="375">
        <v>20</v>
      </c>
      <c r="F1269" s="375">
        <v>0.5</v>
      </c>
      <c r="G1269" s="375">
        <v>11177</v>
      </c>
      <c r="H1269" s="376">
        <v>1.0525957849348594E-3</v>
      </c>
      <c r="I1269" s="375">
        <v>4000</v>
      </c>
      <c r="J1269" s="375">
        <v>6800</v>
      </c>
      <c r="K1269" s="375">
        <v>12</v>
      </c>
      <c r="L1269" s="375">
        <v>2000</v>
      </c>
      <c r="M1269" s="375">
        <v>9177</v>
      </c>
      <c r="V1269" s="375" t="s">
        <v>596</v>
      </c>
    </row>
    <row r="1270" spans="1:22" hidden="1" x14ac:dyDescent="0.25">
      <c r="A1270" s="377">
        <v>45645</v>
      </c>
      <c r="B1270" s="375">
        <v>80000</v>
      </c>
      <c r="C1270" s="375">
        <v>40000</v>
      </c>
      <c r="D1270" s="375">
        <v>10</v>
      </c>
      <c r="E1270" s="375">
        <v>20</v>
      </c>
      <c r="F1270" s="375">
        <v>0.5</v>
      </c>
      <c r="G1270" s="375">
        <v>11177</v>
      </c>
      <c r="H1270" s="376">
        <v>1.0525957849348594E-3</v>
      </c>
      <c r="I1270" s="375">
        <v>4000</v>
      </c>
      <c r="J1270" s="375">
        <v>6800</v>
      </c>
      <c r="K1270" s="375">
        <v>12</v>
      </c>
      <c r="L1270" s="375">
        <v>2000</v>
      </c>
      <c r="M1270" s="375">
        <v>9177</v>
      </c>
      <c r="V1270" s="375" t="s">
        <v>596</v>
      </c>
    </row>
    <row r="1271" spans="1:22" hidden="1" x14ac:dyDescent="0.25">
      <c r="A1271" s="377">
        <v>45646</v>
      </c>
      <c r="B1271" s="375">
        <v>250000</v>
      </c>
      <c r="C1271" s="375">
        <v>112500</v>
      </c>
      <c r="D1271" s="375">
        <v>28</v>
      </c>
      <c r="E1271" s="375">
        <v>63</v>
      </c>
      <c r="F1271" s="375">
        <v>0.55000000000000004</v>
      </c>
      <c r="G1271" s="375">
        <v>11177</v>
      </c>
      <c r="H1271" s="376">
        <v>3.1953800614093948E-3</v>
      </c>
      <c r="I1271" s="375">
        <v>4000</v>
      </c>
      <c r="J1271" s="375">
        <v>7000</v>
      </c>
      <c r="K1271" s="375">
        <v>36</v>
      </c>
      <c r="L1271" s="375">
        <v>2000</v>
      </c>
      <c r="M1271" s="375">
        <v>9177</v>
      </c>
      <c r="V1271" s="375" t="s">
        <v>596</v>
      </c>
    </row>
    <row r="1272" spans="1:22" hidden="1" x14ac:dyDescent="0.25">
      <c r="A1272" s="377">
        <v>45647</v>
      </c>
      <c r="B1272" s="375">
        <v>220000</v>
      </c>
      <c r="C1272" s="375">
        <v>99000</v>
      </c>
      <c r="D1272" s="375">
        <v>25</v>
      </c>
      <c r="E1272" s="375">
        <v>55</v>
      </c>
      <c r="F1272" s="375">
        <v>0.55000000000000004</v>
      </c>
      <c r="G1272" s="375">
        <v>11177</v>
      </c>
      <c r="H1272" s="376">
        <v>2.8119344540402671E-3</v>
      </c>
      <c r="I1272" s="375">
        <v>4000</v>
      </c>
      <c r="J1272" s="375">
        <v>7000</v>
      </c>
      <c r="K1272" s="375">
        <v>31</v>
      </c>
      <c r="L1272" s="375">
        <v>2000</v>
      </c>
      <c r="M1272" s="375">
        <v>9177</v>
      </c>
      <c r="V1272" s="375" t="s">
        <v>596</v>
      </c>
    </row>
    <row r="1273" spans="1:22" hidden="1" x14ac:dyDescent="0.25">
      <c r="A1273" s="377">
        <v>45648</v>
      </c>
      <c r="B1273" s="375">
        <v>220000</v>
      </c>
      <c r="C1273" s="375">
        <v>99000</v>
      </c>
      <c r="D1273" s="375">
        <v>20</v>
      </c>
      <c r="E1273" s="375">
        <v>44</v>
      </c>
      <c r="F1273" s="375">
        <v>0.55000000000000004</v>
      </c>
      <c r="G1273" s="375">
        <v>11177</v>
      </c>
      <c r="H1273" s="376">
        <v>2.8119344540402671E-3</v>
      </c>
      <c r="I1273" s="375">
        <v>5000</v>
      </c>
      <c r="J1273" s="375">
        <v>7000</v>
      </c>
      <c r="K1273" s="375">
        <v>31</v>
      </c>
      <c r="L1273" s="375">
        <v>2000</v>
      </c>
      <c r="M1273" s="375">
        <v>9177</v>
      </c>
      <c r="V1273" s="375" t="s">
        <v>596</v>
      </c>
    </row>
    <row r="1274" spans="1:22" hidden="1" x14ac:dyDescent="0.25">
      <c r="A1274" s="377">
        <v>45649</v>
      </c>
      <c r="B1274" s="375">
        <v>220000</v>
      </c>
      <c r="C1274" s="375">
        <v>99000</v>
      </c>
      <c r="D1274" s="375">
        <v>20</v>
      </c>
      <c r="E1274" s="375">
        <v>44</v>
      </c>
      <c r="F1274" s="375">
        <v>0.55000000000000004</v>
      </c>
      <c r="G1274" s="375">
        <v>11177</v>
      </c>
      <c r="H1274" s="376">
        <v>2.8119344540402671E-3</v>
      </c>
      <c r="I1274" s="375">
        <v>5000</v>
      </c>
      <c r="J1274" s="375">
        <v>7000</v>
      </c>
      <c r="K1274" s="375">
        <v>31</v>
      </c>
      <c r="L1274" s="375">
        <v>2000</v>
      </c>
      <c r="M1274" s="375">
        <v>9177</v>
      </c>
      <c r="V1274" s="375" t="s">
        <v>596</v>
      </c>
    </row>
    <row r="1275" spans="1:22" hidden="1" x14ac:dyDescent="0.25">
      <c r="A1275" s="377">
        <v>45650</v>
      </c>
      <c r="B1275" s="375">
        <v>200000</v>
      </c>
      <c r="C1275" s="375">
        <v>90000</v>
      </c>
      <c r="D1275" s="375">
        <v>18</v>
      </c>
      <c r="E1275" s="375">
        <v>40</v>
      </c>
      <c r="F1275" s="375">
        <v>0.55000000000000004</v>
      </c>
      <c r="G1275" s="375">
        <v>11179</v>
      </c>
      <c r="H1275" s="376">
        <v>2.5558467026382727E-3</v>
      </c>
      <c r="I1275" s="375">
        <v>5000</v>
      </c>
      <c r="J1275" s="375">
        <v>7000</v>
      </c>
      <c r="K1275" s="375">
        <v>29</v>
      </c>
      <c r="L1275" s="375">
        <v>2002</v>
      </c>
      <c r="M1275" s="375">
        <v>9177</v>
      </c>
      <c r="V1275" s="375" t="s">
        <v>596</v>
      </c>
    </row>
    <row r="1276" spans="1:22" hidden="1" x14ac:dyDescent="0.25">
      <c r="A1276" s="377">
        <v>45651</v>
      </c>
      <c r="B1276" s="375">
        <v>180000</v>
      </c>
      <c r="C1276" s="375">
        <v>81000</v>
      </c>
      <c r="D1276" s="375">
        <v>16</v>
      </c>
      <c r="E1276" s="375">
        <v>36</v>
      </c>
      <c r="F1276" s="375">
        <v>0.55000000000000004</v>
      </c>
      <c r="G1276" s="375">
        <v>11179</v>
      </c>
      <c r="H1276" s="376">
        <v>2.3002620323744455E-3</v>
      </c>
      <c r="I1276" s="375">
        <v>5000</v>
      </c>
      <c r="J1276" s="375">
        <v>7000</v>
      </c>
      <c r="K1276" s="375">
        <v>26</v>
      </c>
      <c r="L1276" s="375">
        <v>2002</v>
      </c>
      <c r="M1276" s="375">
        <v>9177</v>
      </c>
      <c r="V1276" s="375" t="s">
        <v>596</v>
      </c>
    </row>
    <row r="1277" spans="1:22" hidden="1" x14ac:dyDescent="0.25">
      <c r="A1277" s="377">
        <v>45652</v>
      </c>
      <c r="B1277" s="375">
        <v>100000</v>
      </c>
      <c r="C1277" s="375">
        <v>45000</v>
      </c>
      <c r="D1277" s="375">
        <v>9</v>
      </c>
      <c r="E1277" s="375">
        <v>20</v>
      </c>
      <c r="F1277" s="375">
        <v>0.55000000000000004</v>
      </c>
      <c r="G1277" s="375">
        <v>9839</v>
      </c>
      <c r="H1277" s="376">
        <v>1.452008160285861E-3</v>
      </c>
      <c r="I1277" s="375">
        <v>5000</v>
      </c>
      <c r="J1277" s="375">
        <v>7000</v>
      </c>
      <c r="K1277" s="375">
        <v>14</v>
      </c>
      <c r="L1277" s="375">
        <v>2002</v>
      </c>
      <c r="M1277" s="375">
        <v>7837</v>
      </c>
      <c r="V1277" s="375" t="s">
        <v>596</v>
      </c>
    </row>
    <row r="1278" spans="1:22" hidden="1" x14ac:dyDescent="0.25">
      <c r="A1278" s="377">
        <v>45653</v>
      </c>
      <c r="B1278" s="375">
        <v>100000</v>
      </c>
      <c r="C1278" s="375">
        <v>45000</v>
      </c>
      <c r="D1278" s="375">
        <v>9</v>
      </c>
      <c r="E1278" s="375">
        <v>20</v>
      </c>
      <c r="F1278" s="375">
        <v>0.55000000000000004</v>
      </c>
      <c r="G1278" s="375">
        <v>9839</v>
      </c>
      <c r="H1278" s="376">
        <v>1.452008160285861E-3</v>
      </c>
      <c r="I1278" s="375">
        <v>5000</v>
      </c>
      <c r="J1278" s="375">
        <v>7000</v>
      </c>
      <c r="K1278" s="375">
        <v>14</v>
      </c>
      <c r="L1278" s="375">
        <v>2002</v>
      </c>
      <c r="M1278" s="375">
        <v>7837</v>
      </c>
      <c r="V1278" s="375" t="s">
        <v>596</v>
      </c>
    </row>
    <row r="1279" spans="1:22" hidden="1" x14ac:dyDescent="0.25">
      <c r="A1279" s="377">
        <v>45654</v>
      </c>
      <c r="B1279" s="375">
        <v>100000</v>
      </c>
      <c r="C1279" s="375">
        <v>45000</v>
      </c>
      <c r="D1279" s="375">
        <v>9</v>
      </c>
      <c r="E1279" s="375">
        <v>20</v>
      </c>
      <c r="F1279" s="375">
        <v>0.55000000000000004</v>
      </c>
      <c r="G1279" s="375">
        <v>9839</v>
      </c>
      <c r="H1279" s="376">
        <v>1.452008160285861E-3</v>
      </c>
      <c r="I1279" s="375">
        <v>5000</v>
      </c>
      <c r="J1279" s="375">
        <v>7000</v>
      </c>
      <c r="K1279" s="375">
        <v>14</v>
      </c>
      <c r="L1279" s="375">
        <v>2002</v>
      </c>
      <c r="M1279" s="375">
        <v>7837</v>
      </c>
      <c r="V1279" s="375" t="s">
        <v>596</v>
      </c>
    </row>
    <row r="1280" spans="1:22" hidden="1" x14ac:dyDescent="0.25">
      <c r="A1280" s="377">
        <v>45655</v>
      </c>
      <c r="B1280" s="375">
        <v>100000</v>
      </c>
      <c r="C1280" s="375">
        <v>45000</v>
      </c>
      <c r="D1280" s="375">
        <v>9</v>
      </c>
      <c r="E1280" s="375">
        <v>20</v>
      </c>
      <c r="F1280" s="375">
        <v>0.55000000000000004</v>
      </c>
      <c r="G1280" s="375">
        <v>9839</v>
      </c>
      <c r="H1280" s="376">
        <v>1.452008160285861E-3</v>
      </c>
      <c r="I1280" s="375">
        <v>5000</v>
      </c>
      <c r="J1280" s="375">
        <v>7000</v>
      </c>
      <c r="K1280" s="375">
        <v>14</v>
      </c>
      <c r="L1280" s="375">
        <v>2002</v>
      </c>
      <c r="M1280" s="375">
        <v>7837</v>
      </c>
      <c r="V1280" s="375" t="s">
        <v>596</v>
      </c>
    </row>
    <row r="1281" spans="1:22" hidden="1" x14ac:dyDescent="0.25">
      <c r="A1281" s="377">
        <v>45656</v>
      </c>
      <c r="B1281" s="375">
        <v>100000</v>
      </c>
      <c r="C1281" s="375">
        <v>45000</v>
      </c>
      <c r="D1281" s="375">
        <v>9</v>
      </c>
      <c r="E1281" s="375">
        <v>20</v>
      </c>
      <c r="F1281" s="375">
        <v>0.55000000000000004</v>
      </c>
      <c r="G1281" s="375">
        <v>9839</v>
      </c>
      <c r="H1281" s="376">
        <v>1.452008160285861E-3</v>
      </c>
      <c r="I1281" s="375">
        <v>5000</v>
      </c>
      <c r="J1281" s="375">
        <v>7000</v>
      </c>
      <c r="K1281" s="375">
        <v>14</v>
      </c>
      <c r="L1281" s="375">
        <v>2002</v>
      </c>
      <c r="M1281" s="375">
        <v>7837</v>
      </c>
      <c r="V1281" s="375" t="s">
        <v>596</v>
      </c>
    </row>
    <row r="1282" spans="1:22" hidden="1" x14ac:dyDescent="0.25">
      <c r="A1282" s="377">
        <v>45657</v>
      </c>
      <c r="B1282" s="375">
        <v>100000</v>
      </c>
      <c r="C1282" s="375">
        <v>45000</v>
      </c>
      <c r="D1282" s="375">
        <v>9</v>
      </c>
      <c r="E1282" s="375">
        <v>20</v>
      </c>
      <c r="F1282" s="375">
        <v>0.55000000000000004</v>
      </c>
      <c r="G1282" s="375">
        <v>9839</v>
      </c>
      <c r="H1282" s="376">
        <v>1.452008160285861E-3</v>
      </c>
      <c r="I1282" s="375">
        <v>5000</v>
      </c>
      <c r="J1282" s="375">
        <v>7000</v>
      </c>
      <c r="K1282" s="375">
        <v>14</v>
      </c>
      <c r="L1282" s="375">
        <v>2002</v>
      </c>
      <c r="M1282" s="375">
        <v>7837</v>
      </c>
      <c r="V1282" s="375" t="s">
        <v>596</v>
      </c>
    </row>
    <row r="1283" spans="1:22" hidden="1" x14ac:dyDescent="0.25">
      <c r="A1283" s="377">
        <v>45658</v>
      </c>
      <c r="B1283" s="375">
        <v>100000</v>
      </c>
      <c r="C1283" s="375">
        <v>55000</v>
      </c>
      <c r="D1283" s="375">
        <v>11</v>
      </c>
      <c r="E1283" s="375">
        <v>20</v>
      </c>
      <c r="F1283" s="375">
        <v>0.45</v>
      </c>
      <c r="G1283" s="375">
        <v>10473</v>
      </c>
      <c r="H1283" s="376">
        <v>1.2563689338795873E-3</v>
      </c>
      <c r="I1283" s="375">
        <v>5000</v>
      </c>
      <c r="J1283" s="375">
        <v>7600</v>
      </c>
      <c r="K1283" s="375">
        <v>13</v>
      </c>
      <c r="L1283" s="375">
        <v>1800</v>
      </c>
      <c r="M1283" s="375">
        <v>8673</v>
      </c>
      <c r="V1283" s="375" t="s">
        <v>596</v>
      </c>
    </row>
    <row r="1284" spans="1:22" hidden="1" x14ac:dyDescent="0.25">
      <c r="A1284" s="377">
        <v>45659</v>
      </c>
      <c r="B1284" s="375">
        <v>120000</v>
      </c>
      <c r="C1284" s="375">
        <v>66000</v>
      </c>
      <c r="D1284" s="375">
        <v>13</v>
      </c>
      <c r="E1284" s="375">
        <v>24</v>
      </c>
      <c r="F1284" s="375">
        <v>0.45</v>
      </c>
      <c r="G1284" s="375">
        <v>10473</v>
      </c>
      <c r="H1284" s="376">
        <v>1.5076427206555047E-3</v>
      </c>
      <c r="I1284" s="375">
        <v>5000</v>
      </c>
      <c r="J1284" s="375">
        <v>7600</v>
      </c>
      <c r="K1284" s="375">
        <v>16</v>
      </c>
      <c r="L1284" s="375">
        <v>1800</v>
      </c>
      <c r="M1284" s="375">
        <v>8673</v>
      </c>
      <c r="V1284" s="375" t="s">
        <v>596</v>
      </c>
    </row>
    <row r="1285" spans="1:22" hidden="1" x14ac:dyDescent="0.25">
      <c r="A1285" s="377">
        <v>45660</v>
      </c>
      <c r="B1285" s="375">
        <v>120000</v>
      </c>
      <c r="C1285" s="375">
        <v>66000</v>
      </c>
      <c r="D1285" s="375">
        <v>13</v>
      </c>
      <c r="E1285" s="375">
        <v>24</v>
      </c>
      <c r="F1285" s="375">
        <v>0.45</v>
      </c>
      <c r="G1285" s="375">
        <v>10473</v>
      </c>
      <c r="H1285" s="376">
        <v>1.5076427206555047E-3</v>
      </c>
      <c r="I1285" s="375">
        <v>5000</v>
      </c>
      <c r="J1285" s="375">
        <v>7600</v>
      </c>
      <c r="K1285" s="375">
        <v>16</v>
      </c>
      <c r="L1285" s="375">
        <v>1800</v>
      </c>
      <c r="M1285" s="375">
        <v>8673</v>
      </c>
      <c r="V1285" s="375" t="s">
        <v>596</v>
      </c>
    </row>
    <row r="1286" spans="1:22" hidden="1" x14ac:dyDescent="0.25">
      <c r="A1286" s="377">
        <v>45661</v>
      </c>
      <c r="B1286" s="375">
        <v>120000</v>
      </c>
      <c r="C1286" s="375">
        <v>66000</v>
      </c>
      <c r="D1286" s="375">
        <v>13</v>
      </c>
      <c r="E1286" s="375">
        <v>24</v>
      </c>
      <c r="F1286" s="375">
        <v>0.45</v>
      </c>
      <c r="G1286" s="375">
        <v>10473</v>
      </c>
      <c r="H1286" s="376">
        <v>1.5076427206555047E-3</v>
      </c>
      <c r="I1286" s="375">
        <v>5000</v>
      </c>
      <c r="J1286" s="375">
        <v>7600</v>
      </c>
      <c r="K1286" s="375">
        <v>16</v>
      </c>
      <c r="L1286" s="375">
        <v>1800</v>
      </c>
      <c r="M1286" s="375">
        <v>8673</v>
      </c>
      <c r="V1286" s="375" t="s">
        <v>596</v>
      </c>
    </row>
    <row r="1287" spans="1:22" hidden="1" x14ac:dyDescent="0.25">
      <c r="A1287" s="377">
        <v>45662</v>
      </c>
      <c r="B1287" s="375">
        <v>120000</v>
      </c>
      <c r="C1287" s="375">
        <v>66000</v>
      </c>
      <c r="D1287" s="375">
        <v>13</v>
      </c>
      <c r="E1287" s="375">
        <v>24</v>
      </c>
      <c r="F1287" s="375">
        <v>0.45</v>
      </c>
      <c r="G1287" s="375">
        <v>10473</v>
      </c>
      <c r="H1287" s="376">
        <v>1.5076427206555047E-3</v>
      </c>
      <c r="I1287" s="375">
        <v>5000</v>
      </c>
      <c r="J1287" s="375">
        <v>7600</v>
      </c>
      <c r="K1287" s="375">
        <v>16</v>
      </c>
      <c r="L1287" s="375">
        <v>1800</v>
      </c>
      <c r="M1287" s="375">
        <v>8673</v>
      </c>
      <c r="V1287" s="375" t="s">
        <v>596</v>
      </c>
    </row>
    <row r="1288" spans="1:22" hidden="1" x14ac:dyDescent="0.25">
      <c r="A1288" s="377">
        <v>45663</v>
      </c>
      <c r="B1288" s="375">
        <v>200000</v>
      </c>
      <c r="C1288" s="375">
        <v>104000</v>
      </c>
      <c r="D1288" s="375">
        <v>21</v>
      </c>
      <c r="E1288" s="375">
        <v>40</v>
      </c>
      <c r="F1288" s="375">
        <v>0.48</v>
      </c>
      <c r="G1288" s="375">
        <v>10594</v>
      </c>
      <c r="H1288" s="376">
        <v>2.4839886233321046E-3</v>
      </c>
      <c r="I1288" s="375">
        <v>5000</v>
      </c>
      <c r="J1288" s="375">
        <v>7600</v>
      </c>
      <c r="K1288" s="375">
        <v>26</v>
      </c>
      <c r="L1288" s="375">
        <v>1800</v>
      </c>
      <c r="M1288" s="375">
        <v>8794</v>
      </c>
      <c r="V1288" s="375" t="s">
        <v>596</v>
      </c>
    </row>
    <row r="1289" spans="1:22" hidden="1" x14ac:dyDescent="0.25">
      <c r="A1289" s="377">
        <v>45664</v>
      </c>
      <c r="B1289" s="375">
        <v>180000</v>
      </c>
      <c r="C1289" s="375">
        <v>93600</v>
      </c>
      <c r="D1289" s="375">
        <v>19</v>
      </c>
      <c r="E1289" s="375">
        <v>36</v>
      </c>
      <c r="F1289" s="375">
        <v>0.48</v>
      </c>
      <c r="G1289" s="375">
        <v>11061</v>
      </c>
      <c r="H1289" s="376">
        <v>2.1412681859096692E-3</v>
      </c>
      <c r="I1289" s="375">
        <v>5000</v>
      </c>
      <c r="J1289" s="375">
        <v>7600</v>
      </c>
      <c r="K1289" s="375">
        <v>24</v>
      </c>
      <c r="L1289" s="375">
        <v>1800</v>
      </c>
      <c r="M1289" s="375">
        <v>9261</v>
      </c>
      <c r="V1289" s="375" t="s">
        <v>596</v>
      </c>
    </row>
    <row r="1290" spans="1:22" hidden="1" x14ac:dyDescent="0.25">
      <c r="A1290" s="377">
        <v>45665</v>
      </c>
      <c r="B1290" s="375">
        <v>180000</v>
      </c>
      <c r="C1290" s="375">
        <v>93600</v>
      </c>
      <c r="D1290" s="375">
        <v>19</v>
      </c>
      <c r="E1290" s="375">
        <v>36</v>
      </c>
      <c r="F1290" s="375">
        <v>0.48</v>
      </c>
      <c r="G1290" s="375">
        <v>11061</v>
      </c>
      <c r="H1290" s="376">
        <v>2.1412681859096692E-3</v>
      </c>
      <c r="I1290" s="375">
        <v>5000</v>
      </c>
      <c r="J1290" s="375">
        <v>7600</v>
      </c>
      <c r="K1290" s="375">
        <v>24</v>
      </c>
      <c r="L1290" s="375">
        <v>1800</v>
      </c>
      <c r="M1290" s="375">
        <v>9261</v>
      </c>
      <c r="V1290" s="375" t="s">
        <v>596</v>
      </c>
    </row>
    <row r="1291" spans="1:22" hidden="1" x14ac:dyDescent="0.25">
      <c r="A1291" s="377">
        <v>45666</v>
      </c>
      <c r="B1291" s="375">
        <v>180000</v>
      </c>
      <c r="C1291" s="375">
        <v>93600</v>
      </c>
      <c r="D1291" s="375">
        <v>19</v>
      </c>
      <c r="E1291" s="375">
        <v>36</v>
      </c>
      <c r="F1291" s="375">
        <v>0.48</v>
      </c>
      <c r="G1291" s="375">
        <v>10861</v>
      </c>
      <c r="H1291" s="376">
        <v>2.180699196775803E-3</v>
      </c>
      <c r="I1291" s="375">
        <v>5000</v>
      </c>
      <c r="J1291" s="375">
        <v>7600</v>
      </c>
      <c r="K1291" s="375">
        <v>24</v>
      </c>
      <c r="L1291" s="375">
        <v>1800</v>
      </c>
      <c r="M1291" s="375">
        <v>9061</v>
      </c>
      <c r="V1291" s="375" t="s">
        <v>596</v>
      </c>
    </row>
    <row r="1292" spans="1:22" hidden="1" x14ac:dyDescent="0.25">
      <c r="A1292" s="377">
        <v>45667</v>
      </c>
      <c r="B1292" s="375">
        <v>160000</v>
      </c>
      <c r="C1292" s="375">
        <v>83200</v>
      </c>
      <c r="D1292" s="375">
        <v>17</v>
      </c>
      <c r="E1292" s="375">
        <v>32</v>
      </c>
      <c r="F1292" s="375">
        <v>0.48</v>
      </c>
      <c r="G1292" s="375">
        <v>10861</v>
      </c>
      <c r="H1292" s="376">
        <v>1.9383992860229357E-3</v>
      </c>
      <c r="I1292" s="375">
        <v>5000</v>
      </c>
      <c r="J1292" s="375">
        <v>7600</v>
      </c>
      <c r="K1292" s="375">
        <v>21</v>
      </c>
      <c r="L1292" s="375">
        <v>1800</v>
      </c>
      <c r="M1292" s="375">
        <v>9061</v>
      </c>
      <c r="V1292" s="375" t="s">
        <v>596</v>
      </c>
    </row>
    <row r="1293" spans="1:22" hidden="1" x14ac:dyDescent="0.25">
      <c r="A1293" s="377">
        <v>45668</v>
      </c>
      <c r="B1293" s="375">
        <v>160000</v>
      </c>
      <c r="C1293" s="375">
        <v>83200</v>
      </c>
      <c r="D1293" s="375">
        <v>17</v>
      </c>
      <c r="E1293" s="375">
        <v>32</v>
      </c>
      <c r="F1293" s="375">
        <v>0.48</v>
      </c>
      <c r="G1293" s="375">
        <v>10861</v>
      </c>
      <c r="H1293" s="376">
        <v>1.9383992860229357E-3</v>
      </c>
      <c r="I1293" s="375">
        <v>5000</v>
      </c>
      <c r="J1293" s="375">
        <v>7600</v>
      </c>
      <c r="K1293" s="375">
        <v>21</v>
      </c>
      <c r="L1293" s="375">
        <v>1800</v>
      </c>
      <c r="M1293" s="375">
        <v>9061</v>
      </c>
      <c r="V1293" s="375" t="s">
        <v>596</v>
      </c>
    </row>
    <row r="1294" spans="1:22" hidden="1" x14ac:dyDescent="0.25">
      <c r="A1294" s="377">
        <v>45669</v>
      </c>
      <c r="B1294" s="375">
        <v>160000</v>
      </c>
      <c r="C1294" s="375">
        <v>83200</v>
      </c>
      <c r="D1294" s="375">
        <v>17</v>
      </c>
      <c r="E1294" s="375">
        <v>32</v>
      </c>
      <c r="F1294" s="375">
        <v>0.48</v>
      </c>
      <c r="G1294" s="375">
        <v>10861</v>
      </c>
      <c r="H1294" s="376">
        <v>1.9383992860229357E-3</v>
      </c>
      <c r="I1294" s="375">
        <v>5000</v>
      </c>
      <c r="J1294" s="375">
        <v>7600</v>
      </c>
      <c r="K1294" s="375">
        <v>21</v>
      </c>
      <c r="L1294" s="375">
        <v>1800</v>
      </c>
      <c r="M1294" s="375">
        <v>9061</v>
      </c>
      <c r="V1294" s="375" t="s">
        <v>596</v>
      </c>
    </row>
    <row r="1295" spans="1:22" hidden="1" x14ac:dyDescent="0.25">
      <c r="A1295" s="377">
        <v>45670</v>
      </c>
      <c r="B1295" s="375">
        <v>160000</v>
      </c>
      <c r="C1295" s="375">
        <v>83200</v>
      </c>
      <c r="D1295" s="375">
        <v>17</v>
      </c>
      <c r="E1295" s="375">
        <v>32</v>
      </c>
      <c r="F1295" s="375">
        <v>0.48</v>
      </c>
      <c r="G1295" s="375">
        <v>9928</v>
      </c>
      <c r="H1295" s="376">
        <v>2.1206377818128804E-3</v>
      </c>
      <c r="I1295" s="375">
        <v>5000</v>
      </c>
      <c r="J1295" s="375">
        <v>7600</v>
      </c>
      <c r="K1295" s="375">
        <v>21</v>
      </c>
      <c r="L1295" s="375">
        <v>1800</v>
      </c>
      <c r="M1295" s="375">
        <v>8128</v>
      </c>
      <c r="V1295" s="375" t="s">
        <v>596</v>
      </c>
    </row>
    <row r="1296" spans="1:22" hidden="1" x14ac:dyDescent="0.25">
      <c r="A1296" s="377">
        <v>45671</v>
      </c>
      <c r="B1296" s="375">
        <v>160000</v>
      </c>
      <c r="C1296" s="375">
        <v>83200</v>
      </c>
      <c r="D1296" s="375">
        <v>17</v>
      </c>
      <c r="E1296" s="375">
        <v>32</v>
      </c>
      <c r="F1296" s="375">
        <v>0.48</v>
      </c>
      <c r="G1296" s="375">
        <v>9928</v>
      </c>
      <c r="H1296" s="376">
        <v>2.1206377818128804E-3</v>
      </c>
      <c r="I1296" s="375">
        <v>5000</v>
      </c>
      <c r="J1296" s="375">
        <v>7600</v>
      </c>
      <c r="K1296" s="375">
        <v>21</v>
      </c>
      <c r="L1296" s="375">
        <v>1800</v>
      </c>
      <c r="M1296" s="375">
        <v>8128</v>
      </c>
      <c r="V1296" s="375" t="s">
        <v>596</v>
      </c>
    </row>
    <row r="1297" spans="1:22" hidden="1" x14ac:dyDescent="0.25">
      <c r="A1297" s="377">
        <v>45672</v>
      </c>
      <c r="B1297" s="375">
        <v>160000</v>
      </c>
      <c r="C1297" s="375">
        <v>83200</v>
      </c>
      <c r="D1297" s="375">
        <v>17</v>
      </c>
      <c r="E1297" s="375">
        <v>32</v>
      </c>
      <c r="F1297" s="375">
        <v>0.48</v>
      </c>
      <c r="G1297" s="375">
        <v>9928</v>
      </c>
      <c r="H1297" s="376">
        <v>2.1206377818128804E-3</v>
      </c>
      <c r="I1297" s="375">
        <v>5000</v>
      </c>
      <c r="J1297" s="375">
        <v>7600</v>
      </c>
      <c r="K1297" s="375">
        <v>21</v>
      </c>
      <c r="L1297" s="375">
        <v>1800</v>
      </c>
      <c r="M1297" s="375">
        <v>8128</v>
      </c>
      <c r="V1297" s="375" t="s">
        <v>596</v>
      </c>
    </row>
    <row r="1298" spans="1:22" hidden="1" x14ac:dyDescent="0.25">
      <c r="A1298" s="377">
        <v>45673</v>
      </c>
      <c r="B1298" s="375">
        <v>150000</v>
      </c>
      <c r="C1298" s="375">
        <v>78000</v>
      </c>
      <c r="D1298" s="375">
        <v>16</v>
      </c>
      <c r="E1298" s="375">
        <v>30</v>
      </c>
      <c r="F1298" s="375">
        <v>0.48</v>
      </c>
      <c r="G1298" s="375">
        <v>10977</v>
      </c>
      <c r="H1298" s="376">
        <v>1.79804232887424E-3</v>
      </c>
      <c r="I1298" s="375">
        <v>5000</v>
      </c>
      <c r="J1298" s="375">
        <v>7600</v>
      </c>
      <c r="K1298" s="375">
        <v>20</v>
      </c>
      <c r="L1298" s="375">
        <v>1800</v>
      </c>
      <c r="M1298" s="375">
        <v>9177</v>
      </c>
      <c r="V1298" s="375" t="s">
        <v>596</v>
      </c>
    </row>
    <row r="1299" spans="1:22" hidden="1" x14ac:dyDescent="0.25">
      <c r="A1299" s="377">
        <v>45674</v>
      </c>
      <c r="B1299" s="375">
        <v>100000</v>
      </c>
      <c r="C1299" s="375">
        <v>52000</v>
      </c>
      <c r="D1299" s="375">
        <v>10</v>
      </c>
      <c r="E1299" s="375">
        <v>20</v>
      </c>
      <c r="F1299" s="375">
        <v>0.48</v>
      </c>
      <c r="G1299" s="375">
        <v>9977</v>
      </c>
      <c r="H1299" s="376">
        <v>1.3188425084521532E-3</v>
      </c>
      <c r="I1299" s="375">
        <v>5000</v>
      </c>
      <c r="J1299" s="375">
        <v>7600</v>
      </c>
      <c r="K1299" s="375">
        <v>13</v>
      </c>
      <c r="L1299" s="375">
        <v>1800</v>
      </c>
      <c r="M1299" s="375">
        <v>8177</v>
      </c>
      <c r="V1299" s="375" t="s">
        <v>596</v>
      </c>
    </row>
    <row r="1300" spans="1:22" hidden="1" x14ac:dyDescent="0.25">
      <c r="A1300" s="377">
        <v>45675</v>
      </c>
      <c r="B1300" s="375">
        <v>150000</v>
      </c>
      <c r="C1300" s="375">
        <v>78000</v>
      </c>
      <c r="D1300" s="375">
        <v>16</v>
      </c>
      <c r="E1300" s="375">
        <v>30</v>
      </c>
      <c r="F1300" s="375">
        <v>0.48</v>
      </c>
      <c r="G1300" s="375">
        <v>9977</v>
      </c>
      <c r="H1300" s="376">
        <v>1.9782637626782297E-3</v>
      </c>
      <c r="I1300" s="375">
        <v>5000</v>
      </c>
      <c r="J1300" s="375">
        <v>7600</v>
      </c>
      <c r="K1300" s="375">
        <v>20</v>
      </c>
      <c r="L1300" s="375">
        <v>1800</v>
      </c>
      <c r="M1300" s="375">
        <v>8177</v>
      </c>
      <c r="V1300" s="375" t="s">
        <v>596</v>
      </c>
    </row>
    <row r="1301" spans="1:22" hidden="1" x14ac:dyDescent="0.25">
      <c r="A1301" s="377">
        <v>45676</v>
      </c>
      <c r="B1301" s="375">
        <v>120000</v>
      </c>
      <c r="C1301" s="375">
        <v>62400</v>
      </c>
      <c r="D1301" s="375">
        <v>12</v>
      </c>
      <c r="E1301" s="375">
        <v>24</v>
      </c>
      <c r="F1301" s="375">
        <v>0.48</v>
      </c>
      <c r="G1301" s="375">
        <v>9977</v>
      </c>
      <c r="H1301" s="376">
        <v>1.5826110101425839E-3</v>
      </c>
      <c r="I1301" s="375">
        <v>5000</v>
      </c>
      <c r="J1301" s="375">
        <v>7600</v>
      </c>
      <c r="K1301" s="375">
        <v>16</v>
      </c>
      <c r="L1301" s="375">
        <v>1800</v>
      </c>
      <c r="M1301" s="375">
        <v>8177</v>
      </c>
      <c r="V1301" s="375" t="s">
        <v>596</v>
      </c>
    </row>
    <row r="1302" spans="1:22" hidden="1" x14ac:dyDescent="0.25">
      <c r="A1302" s="377">
        <v>45677</v>
      </c>
      <c r="B1302" s="375">
        <v>100000</v>
      </c>
      <c r="C1302" s="375">
        <v>52000</v>
      </c>
      <c r="D1302" s="375">
        <v>10</v>
      </c>
      <c r="E1302" s="375">
        <v>20</v>
      </c>
      <c r="F1302" s="375">
        <v>0.48</v>
      </c>
      <c r="G1302" s="375">
        <v>9977</v>
      </c>
      <c r="H1302" s="376">
        <v>1.3188425084521532E-3</v>
      </c>
      <c r="I1302" s="375">
        <v>5000</v>
      </c>
      <c r="J1302" s="375">
        <v>7600</v>
      </c>
      <c r="K1302" s="375">
        <v>13</v>
      </c>
      <c r="L1302" s="375">
        <v>1800</v>
      </c>
      <c r="M1302" s="375">
        <v>8177</v>
      </c>
      <c r="V1302" s="375" t="s">
        <v>596</v>
      </c>
    </row>
    <row r="1303" spans="1:22" hidden="1" x14ac:dyDescent="0.25">
      <c r="A1303" s="377">
        <v>45678</v>
      </c>
      <c r="B1303" s="375">
        <v>50000</v>
      </c>
      <c r="C1303" s="375">
        <v>26000</v>
      </c>
      <c r="D1303" s="375">
        <v>5</v>
      </c>
      <c r="E1303" s="375">
        <v>10</v>
      </c>
      <c r="F1303" s="375">
        <v>0.48</v>
      </c>
      <c r="G1303" s="375">
        <v>9977</v>
      </c>
      <c r="H1303" s="376">
        <v>6.5942125422607659E-4</v>
      </c>
      <c r="I1303" s="375">
        <v>5000</v>
      </c>
      <c r="J1303" s="375">
        <v>7600</v>
      </c>
      <c r="K1303" s="375">
        <v>7</v>
      </c>
      <c r="L1303" s="375">
        <v>1800</v>
      </c>
      <c r="M1303" s="375">
        <v>8177</v>
      </c>
      <c r="V1303" s="375" t="s">
        <v>596</v>
      </c>
    </row>
    <row r="1304" spans="1:22" hidden="1" x14ac:dyDescent="0.25">
      <c r="A1304" s="377">
        <v>45679</v>
      </c>
      <c r="B1304" s="375">
        <v>50000</v>
      </c>
      <c r="C1304" s="375">
        <v>26000</v>
      </c>
      <c r="D1304" s="375">
        <v>5</v>
      </c>
      <c r="E1304" s="375">
        <v>10</v>
      </c>
      <c r="F1304" s="375">
        <v>0.48</v>
      </c>
      <c r="G1304" s="375">
        <v>9537</v>
      </c>
      <c r="H1304" s="376">
        <v>6.8986364531475972E-4</v>
      </c>
      <c r="I1304" s="375">
        <v>5000</v>
      </c>
      <c r="J1304" s="375">
        <v>7600</v>
      </c>
      <c r="K1304" s="375">
        <v>7</v>
      </c>
      <c r="L1304" s="375">
        <v>1700</v>
      </c>
      <c r="M1304" s="375">
        <v>7837</v>
      </c>
      <c r="V1304" s="375" t="s">
        <v>596</v>
      </c>
    </row>
    <row r="1305" spans="1:22" hidden="1" x14ac:dyDescent="0.25">
      <c r="A1305" s="377">
        <v>45680</v>
      </c>
      <c r="B1305" s="375">
        <v>50000</v>
      </c>
      <c r="C1305" s="375">
        <v>26000</v>
      </c>
      <c r="D1305" s="375">
        <v>5</v>
      </c>
      <c r="E1305" s="375">
        <v>10</v>
      </c>
      <c r="F1305" s="375">
        <v>0.48</v>
      </c>
      <c r="G1305" s="375">
        <v>9537</v>
      </c>
      <c r="H1305" s="376">
        <v>6.8986364531475972E-4</v>
      </c>
      <c r="I1305" s="375">
        <v>5000</v>
      </c>
      <c r="J1305" s="375">
        <v>7600</v>
      </c>
      <c r="K1305" s="375">
        <v>7</v>
      </c>
      <c r="L1305" s="375">
        <v>1700</v>
      </c>
      <c r="M1305" s="375">
        <v>7837</v>
      </c>
      <c r="V1305" s="375" t="s">
        <v>596</v>
      </c>
    </row>
    <row r="1306" spans="1:22" hidden="1" x14ac:dyDescent="0.25">
      <c r="A1306" s="377">
        <v>45681</v>
      </c>
      <c r="B1306" s="375">
        <v>50000</v>
      </c>
      <c r="C1306" s="375">
        <v>26000</v>
      </c>
      <c r="D1306" s="375">
        <v>5</v>
      </c>
      <c r="E1306" s="375">
        <v>10</v>
      </c>
      <c r="F1306" s="375">
        <v>0.48</v>
      </c>
      <c r="G1306" s="375">
        <v>9537</v>
      </c>
      <c r="H1306" s="376">
        <v>6.8986364531475972E-4</v>
      </c>
      <c r="I1306" s="375">
        <v>5000</v>
      </c>
      <c r="J1306" s="375">
        <v>7600</v>
      </c>
      <c r="K1306" s="375">
        <v>7</v>
      </c>
      <c r="L1306" s="375">
        <v>1700</v>
      </c>
      <c r="M1306" s="375">
        <v>7837</v>
      </c>
      <c r="V1306" s="375" t="s">
        <v>596</v>
      </c>
    </row>
    <row r="1307" spans="1:22" hidden="1" x14ac:dyDescent="0.25">
      <c r="A1307" s="377">
        <v>45682</v>
      </c>
      <c r="B1307" s="375">
        <v>50000</v>
      </c>
      <c r="C1307" s="375">
        <v>30000</v>
      </c>
      <c r="D1307" s="375">
        <v>6</v>
      </c>
      <c r="E1307" s="375">
        <v>10</v>
      </c>
      <c r="F1307" s="375">
        <v>0.4</v>
      </c>
      <c r="G1307" s="375">
        <v>9537</v>
      </c>
      <c r="H1307" s="376">
        <v>6.8986364531475972E-4</v>
      </c>
      <c r="I1307" s="375">
        <v>5000</v>
      </c>
      <c r="J1307" s="375">
        <v>7600</v>
      </c>
      <c r="K1307" s="375">
        <v>7</v>
      </c>
      <c r="L1307" s="375">
        <v>1700</v>
      </c>
      <c r="M1307" s="375">
        <v>7837</v>
      </c>
      <c r="V1307" s="375" t="s">
        <v>596</v>
      </c>
    </row>
    <row r="1308" spans="1:22" hidden="1" x14ac:dyDescent="0.25">
      <c r="A1308" s="377">
        <v>45683</v>
      </c>
      <c r="B1308" s="375">
        <v>50000</v>
      </c>
      <c r="C1308" s="375">
        <v>30000</v>
      </c>
      <c r="D1308" s="375">
        <v>6</v>
      </c>
      <c r="E1308" s="375">
        <v>10</v>
      </c>
      <c r="F1308" s="375">
        <v>0.4</v>
      </c>
      <c r="G1308" s="375">
        <v>9537</v>
      </c>
      <c r="H1308" s="376">
        <v>6.5537046304902182E-4</v>
      </c>
      <c r="I1308" s="375">
        <v>5000</v>
      </c>
      <c r="J1308" s="375">
        <v>8000</v>
      </c>
      <c r="K1308" s="375">
        <v>6</v>
      </c>
      <c r="L1308" s="375">
        <v>1700</v>
      </c>
      <c r="M1308" s="375">
        <v>7837</v>
      </c>
      <c r="V1308" s="375" t="s">
        <v>596</v>
      </c>
    </row>
    <row r="1309" spans="1:22" hidden="1" x14ac:dyDescent="0.25">
      <c r="A1309" s="377">
        <v>45684</v>
      </c>
      <c r="B1309" s="375">
        <v>50000</v>
      </c>
      <c r="C1309" s="375">
        <v>30000</v>
      </c>
      <c r="D1309" s="375">
        <v>6</v>
      </c>
      <c r="E1309" s="375">
        <v>10</v>
      </c>
      <c r="F1309" s="375">
        <v>0.4</v>
      </c>
      <c r="G1309" s="375">
        <v>9437</v>
      </c>
      <c r="H1309" s="376">
        <v>6.6231545483008605E-4</v>
      </c>
      <c r="I1309" s="375">
        <v>5000</v>
      </c>
      <c r="J1309" s="375">
        <v>8000</v>
      </c>
      <c r="K1309" s="375">
        <v>6</v>
      </c>
      <c r="L1309" s="375">
        <v>1600</v>
      </c>
      <c r="M1309" s="375">
        <v>7837</v>
      </c>
      <c r="V1309" s="375" t="s">
        <v>596</v>
      </c>
    </row>
    <row r="1310" spans="1:22" hidden="1" x14ac:dyDescent="0.25">
      <c r="A1310" s="377">
        <v>45685</v>
      </c>
      <c r="B1310" s="375">
        <v>30000</v>
      </c>
      <c r="C1310" s="375">
        <v>18000</v>
      </c>
      <c r="D1310" s="375">
        <v>4</v>
      </c>
      <c r="E1310" s="375">
        <v>6</v>
      </c>
      <c r="F1310" s="375">
        <v>0.4</v>
      </c>
      <c r="G1310" s="375">
        <v>8637</v>
      </c>
      <c r="H1310" s="376">
        <v>4.3419910002368353E-4</v>
      </c>
      <c r="I1310" s="375">
        <v>5000</v>
      </c>
      <c r="J1310" s="375">
        <v>8000</v>
      </c>
      <c r="K1310" s="375">
        <v>4</v>
      </c>
      <c r="L1310" s="375">
        <v>1600</v>
      </c>
      <c r="M1310" s="375">
        <v>7037</v>
      </c>
      <c r="V1310" s="375" t="s">
        <v>596</v>
      </c>
    </row>
    <row r="1311" spans="1:22" hidden="1" x14ac:dyDescent="0.25">
      <c r="A1311" s="377">
        <v>45686</v>
      </c>
      <c r="B1311" s="375">
        <v>30000</v>
      </c>
      <c r="C1311" s="375">
        <v>18000</v>
      </c>
      <c r="D1311" s="375">
        <v>4</v>
      </c>
      <c r="E1311" s="375">
        <v>6</v>
      </c>
      <c r="F1311" s="375">
        <v>0.4</v>
      </c>
      <c r="G1311" s="375">
        <v>8637</v>
      </c>
      <c r="H1311" s="376">
        <v>4.3419910002368353E-4</v>
      </c>
      <c r="I1311" s="375">
        <v>5000</v>
      </c>
      <c r="J1311" s="375">
        <v>8000</v>
      </c>
      <c r="K1311" s="375">
        <v>4</v>
      </c>
      <c r="L1311" s="375">
        <v>1600</v>
      </c>
      <c r="M1311" s="375">
        <v>7037</v>
      </c>
      <c r="V1311" s="375" t="s">
        <v>596</v>
      </c>
    </row>
    <row r="1312" spans="1:22" hidden="1" x14ac:dyDescent="0.25">
      <c r="A1312" s="377">
        <v>45687</v>
      </c>
      <c r="B1312" s="375">
        <v>30000</v>
      </c>
      <c r="C1312" s="375">
        <v>18000</v>
      </c>
      <c r="D1312" s="375">
        <v>4</v>
      </c>
      <c r="E1312" s="375">
        <v>6</v>
      </c>
      <c r="F1312" s="375">
        <v>0.4</v>
      </c>
      <c r="G1312" s="375">
        <v>8637</v>
      </c>
      <c r="H1312" s="376">
        <v>4.3419910002368353E-4</v>
      </c>
      <c r="I1312" s="375">
        <v>5000</v>
      </c>
      <c r="J1312" s="375">
        <v>8000</v>
      </c>
      <c r="K1312" s="375">
        <v>4</v>
      </c>
      <c r="L1312" s="375">
        <v>1600</v>
      </c>
      <c r="M1312" s="375">
        <v>7037</v>
      </c>
      <c r="V1312" s="375" t="s">
        <v>596</v>
      </c>
    </row>
    <row r="1313" spans="1:22" hidden="1" x14ac:dyDescent="0.25">
      <c r="A1313" s="377">
        <v>45688</v>
      </c>
      <c r="B1313" s="375">
        <v>30000</v>
      </c>
      <c r="C1313" s="375">
        <v>18000</v>
      </c>
      <c r="D1313" s="375">
        <v>4</v>
      </c>
      <c r="E1313" s="375">
        <v>6</v>
      </c>
      <c r="F1313" s="375">
        <v>0.4</v>
      </c>
      <c r="G1313" s="375">
        <v>8637</v>
      </c>
      <c r="H1313" s="376">
        <v>4.3419910002368353E-4</v>
      </c>
      <c r="I1313" s="375">
        <v>5000</v>
      </c>
      <c r="J1313" s="375">
        <v>8000</v>
      </c>
      <c r="K1313" s="375">
        <v>4</v>
      </c>
      <c r="L1313" s="375">
        <v>1600</v>
      </c>
      <c r="M1313" s="375">
        <v>7037</v>
      </c>
      <c r="V1313" s="375" t="s">
        <v>596</v>
      </c>
    </row>
    <row r="1314" spans="1:22" hidden="1" x14ac:dyDescent="0.25">
      <c r="A1314" s="377">
        <v>45689</v>
      </c>
      <c r="B1314" s="375">
        <v>30000</v>
      </c>
      <c r="C1314" s="375">
        <v>15000</v>
      </c>
      <c r="D1314" s="375">
        <v>3</v>
      </c>
      <c r="E1314" s="375">
        <v>6</v>
      </c>
      <c r="F1314" s="375">
        <v>0.5</v>
      </c>
      <c r="G1314" s="375">
        <v>10037</v>
      </c>
      <c r="H1314" s="376">
        <v>4.5985580733435167E-4</v>
      </c>
      <c r="I1314" s="375">
        <v>5000</v>
      </c>
      <c r="J1314" s="375">
        <v>6500</v>
      </c>
      <c r="K1314" s="375">
        <v>5</v>
      </c>
      <c r="L1314" s="375">
        <v>3000</v>
      </c>
      <c r="M1314" s="375">
        <v>7037</v>
      </c>
      <c r="V1314" s="375" t="s">
        <v>596</v>
      </c>
    </row>
    <row r="1315" spans="1:22" hidden="1" x14ac:dyDescent="0.25">
      <c r="A1315" s="377">
        <v>45690</v>
      </c>
      <c r="B1315" s="375">
        <v>30000</v>
      </c>
      <c r="C1315" s="375">
        <v>15000</v>
      </c>
      <c r="D1315" s="375">
        <v>3</v>
      </c>
      <c r="E1315" s="375">
        <v>6</v>
      </c>
      <c r="F1315" s="375">
        <v>0.5</v>
      </c>
      <c r="G1315" s="375">
        <v>10037</v>
      </c>
      <c r="H1315" s="376">
        <v>4.5985580733435167E-4</v>
      </c>
      <c r="I1315" s="375">
        <v>5000</v>
      </c>
      <c r="J1315" s="375">
        <v>6500</v>
      </c>
      <c r="K1315" s="375">
        <v>5</v>
      </c>
      <c r="L1315" s="375">
        <v>3000</v>
      </c>
      <c r="M1315" s="375">
        <v>7037</v>
      </c>
      <c r="V1315" s="375" t="s">
        <v>596</v>
      </c>
    </row>
    <row r="1316" spans="1:22" hidden="1" x14ac:dyDescent="0.25">
      <c r="A1316" s="377">
        <v>45691</v>
      </c>
      <c r="B1316" s="375">
        <v>30000</v>
      </c>
      <c r="C1316" s="375">
        <v>15000</v>
      </c>
      <c r="D1316" s="375">
        <v>3</v>
      </c>
      <c r="E1316" s="375">
        <v>6</v>
      </c>
      <c r="F1316" s="375">
        <v>0.5</v>
      </c>
      <c r="G1316" s="375">
        <v>10037</v>
      </c>
      <c r="H1316" s="376">
        <v>4.5985580733435167E-4</v>
      </c>
      <c r="I1316" s="375">
        <v>5000</v>
      </c>
      <c r="J1316" s="375">
        <v>6500</v>
      </c>
      <c r="K1316" s="375">
        <v>5</v>
      </c>
      <c r="L1316" s="375">
        <v>3000</v>
      </c>
      <c r="M1316" s="375">
        <v>7037</v>
      </c>
      <c r="V1316" s="375" t="s">
        <v>596</v>
      </c>
    </row>
    <row r="1317" spans="1:22" hidden="1" x14ac:dyDescent="0.25">
      <c r="A1317" s="377">
        <v>45692</v>
      </c>
      <c r="B1317" s="375">
        <v>30000</v>
      </c>
      <c r="C1317" s="375">
        <v>15000</v>
      </c>
      <c r="D1317" s="375">
        <v>3</v>
      </c>
      <c r="E1317" s="375">
        <v>6</v>
      </c>
      <c r="F1317" s="375">
        <v>0.5</v>
      </c>
      <c r="G1317" s="375">
        <v>10037</v>
      </c>
      <c r="H1317" s="376">
        <v>4.5985580733435167E-4</v>
      </c>
      <c r="I1317" s="375">
        <v>5000</v>
      </c>
      <c r="J1317" s="375">
        <v>6500</v>
      </c>
      <c r="K1317" s="375">
        <v>5</v>
      </c>
      <c r="L1317" s="375">
        <v>3000</v>
      </c>
      <c r="M1317" s="375">
        <v>7037</v>
      </c>
      <c r="V1317" s="375" t="s">
        <v>596</v>
      </c>
    </row>
    <row r="1318" spans="1:22" hidden="1" x14ac:dyDescent="0.25">
      <c r="A1318" s="377">
        <v>45693</v>
      </c>
      <c r="B1318" s="375">
        <v>70000</v>
      </c>
      <c r="C1318" s="375">
        <v>35000</v>
      </c>
      <c r="D1318" s="375">
        <v>7</v>
      </c>
      <c r="E1318" s="375">
        <v>14</v>
      </c>
      <c r="F1318" s="375">
        <v>0.5</v>
      </c>
      <c r="G1318" s="375">
        <v>12537</v>
      </c>
      <c r="H1318" s="376">
        <v>8.5902386440810325E-4</v>
      </c>
      <c r="I1318" s="375">
        <v>5000</v>
      </c>
      <c r="J1318" s="375">
        <v>6500</v>
      </c>
      <c r="K1318" s="375">
        <v>11</v>
      </c>
      <c r="L1318" s="375">
        <v>3000</v>
      </c>
      <c r="M1318" s="375">
        <v>9537</v>
      </c>
      <c r="V1318" s="375" t="s">
        <v>596</v>
      </c>
    </row>
    <row r="1319" spans="1:22" hidden="1" x14ac:dyDescent="0.25">
      <c r="A1319" s="377">
        <v>45694</v>
      </c>
      <c r="B1319" s="375">
        <v>70000</v>
      </c>
      <c r="C1319" s="375">
        <v>35000</v>
      </c>
      <c r="D1319" s="375">
        <v>7</v>
      </c>
      <c r="E1319" s="375">
        <v>14</v>
      </c>
      <c r="F1319" s="375">
        <v>0.5</v>
      </c>
      <c r="G1319" s="375">
        <v>12537</v>
      </c>
      <c r="H1319" s="376">
        <v>8.5902386440810325E-4</v>
      </c>
      <c r="I1319" s="375">
        <v>5000</v>
      </c>
      <c r="J1319" s="375">
        <v>6500</v>
      </c>
      <c r="K1319" s="375">
        <v>11</v>
      </c>
      <c r="L1319" s="375">
        <v>3000</v>
      </c>
      <c r="M1319" s="375">
        <v>9537</v>
      </c>
      <c r="V1319" s="375" t="s">
        <v>596</v>
      </c>
    </row>
    <row r="1320" spans="1:22" hidden="1" x14ac:dyDescent="0.25">
      <c r="A1320" s="377">
        <v>45695</v>
      </c>
      <c r="B1320" s="375">
        <v>70000</v>
      </c>
      <c r="C1320" s="375">
        <v>35000</v>
      </c>
      <c r="D1320" s="375">
        <v>7</v>
      </c>
      <c r="E1320" s="375">
        <v>14</v>
      </c>
      <c r="F1320" s="375">
        <v>0.5</v>
      </c>
      <c r="G1320" s="375">
        <v>12537</v>
      </c>
      <c r="H1320" s="376">
        <v>8.5902386440810325E-4</v>
      </c>
      <c r="I1320" s="375">
        <v>5000</v>
      </c>
      <c r="J1320" s="375">
        <v>6500</v>
      </c>
      <c r="K1320" s="375">
        <v>11</v>
      </c>
      <c r="L1320" s="375">
        <v>3000</v>
      </c>
      <c r="M1320" s="375">
        <v>9537</v>
      </c>
      <c r="V1320" s="375" t="s">
        <v>596</v>
      </c>
    </row>
    <row r="1321" spans="1:22" hidden="1" x14ac:dyDescent="0.25">
      <c r="A1321" s="377">
        <v>45696</v>
      </c>
      <c r="B1321" s="375">
        <v>70000</v>
      </c>
      <c r="C1321" s="375">
        <v>35000</v>
      </c>
      <c r="D1321" s="375">
        <v>7</v>
      </c>
      <c r="E1321" s="375">
        <v>14</v>
      </c>
      <c r="F1321" s="375">
        <v>0.5</v>
      </c>
      <c r="G1321" s="375">
        <v>12537</v>
      </c>
      <c r="H1321" s="376">
        <v>8.5902386440810325E-4</v>
      </c>
      <c r="I1321" s="375">
        <v>5000</v>
      </c>
      <c r="J1321" s="375">
        <v>6500</v>
      </c>
      <c r="K1321" s="375">
        <v>11</v>
      </c>
      <c r="L1321" s="375">
        <v>3000</v>
      </c>
      <c r="M1321" s="375">
        <v>9537</v>
      </c>
      <c r="V1321" s="375" t="s">
        <v>596</v>
      </c>
    </row>
    <row r="1322" spans="1:22" hidden="1" x14ac:dyDescent="0.25">
      <c r="A1322" s="377">
        <v>45697</v>
      </c>
      <c r="B1322" s="375">
        <v>100000</v>
      </c>
      <c r="C1322" s="375">
        <v>50000</v>
      </c>
      <c r="D1322" s="375">
        <v>10</v>
      </c>
      <c r="E1322" s="375">
        <v>20</v>
      </c>
      <c r="F1322" s="375">
        <v>0.5</v>
      </c>
      <c r="G1322" s="375">
        <v>12537</v>
      </c>
      <c r="H1322" s="376">
        <v>1.2271769491544332E-3</v>
      </c>
      <c r="I1322" s="375">
        <v>5000</v>
      </c>
      <c r="J1322" s="375">
        <v>6500</v>
      </c>
      <c r="K1322" s="375">
        <v>15</v>
      </c>
      <c r="L1322" s="375">
        <v>3000</v>
      </c>
      <c r="M1322" s="375">
        <v>9537</v>
      </c>
      <c r="V1322" s="375" t="s">
        <v>596</v>
      </c>
    </row>
    <row r="1323" spans="1:22" hidden="1" x14ac:dyDescent="0.25">
      <c r="A1323" s="377">
        <v>45698</v>
      </c>
      <c r="B1323" s="375">
        <v>80000</v>
      </c>
      <c r="C1323" s="375">
        <v>40000</v>
      </c>
      <c r="D1323" s="375">
        <v>8</v>
      </c>
      <c r="E1323" s="375">
        <v>16</v>
      </c>
      <c r="F1323" s="375">
        <v>0.5</v>
      </c>
      <c r="G1323" s="375">
        <v>11337</v>
      </c>
      <c r="H1323" s="376">
        <v>1.0856607957708576E-3</v>
      </c>
      <c r="I1323" s="375">
        <v>5000</v>
      </c>
      <c r="J1323" s="375">
        <v>6500</v>
      </c>
      <c r="K1323" s="375">
        <v>12</v>
      </c>
      <c r="L1323" s="375">
        <v>2800</v>
      </c>
      <c r="M1323" s="375">
        <v>8537</v>
      </c>
      <c r="V1323" s="375" t="s">
        <v>596</v>
      </c>
    </row>
    <row r="1324" spans="1:22" hidden="1" x14ac:dyDescent="0.25">
      <c r="A1324" s="377">
        <v>45699</v>
      </c>
      <c r="B1324" s="375">
        <v>80000</v>
      </c>
      <c r="C1324" s="375">
        <v>40000</v>
      </c>
      <c r="D1324" s="375">
        <v>8</v>
      </c>
      <c r="E1324" s="375">
        <v>16</v>
      </c>
      <c r="F1324" s="375">
        <v>0.5</v>
      </c>
      <c r="G1324" s="375">
        <v>11337</v>
      </c>
      <c r="H1324" s="376">
        <v>1.0856607957708576E-3</v>
      </c>
      <c r="I1324" s="375">
        <v>5000</v>
      </c>
      <c r="J1324" s="375">
        <v>6500</v>
      </c>
      <c r="K1324" s="375">
        <v>12</v>
      </c>
      <c r="L1324" s="375">
        <v>2800</v>
      </c>
      <c r="M1324" s="375">
        <v>8537</v>
      </c>
      <c r="V1324" s="375" t="s">
        <v>596</v>
      </c>
    </row>
    <row r="1325" spans="1:22" hidden="1" x14ac:dyDescent="0.25">
      <c r="A1325" s="377">
        <v>45700</v>
      </c>
      <c r="B1325" s="375">
        <v>80000</v>
      </c>
      <c r="C1325" s="375">
        <v>40000</v>
      </c>
      <c r="D1325" s="375">
        <v>8</v>
      </c>
      <c r="E1325" s="375">
        <v>16</v>
      </c>
      <c r="F1325" s="375">
        <v>0.5</v>
      </c>
      <c r="G1325" s="375">
        <v>11337</v>
      </c>
      <c r="H1325" s="376">
        <v>1.0856607957708576E-3</v>
      </c>
      <c r="I1325" s="375">
        <v>5000</v>
      </c>
      <c r="J1325" s="375">
        <v>6500</v>
      </c>
      <c r="K1325" s="375">
        <v>12</v>
      </c>
      <c r="L1325" s="375">
        <v>2800</v>
      </c>
      <c r="M1325" s="375">
        <v>8537</v>
      </c>
      <c r="V1325" s="375" t="s">
        <v>596</v>
      </c>
    </row>
    <row r="1326" spans="1:22" hidden="1" x14ac:dyDescent="0.25">
      <c r="A1326" s="377">
        <v>45701</v>
      </c>
      <c r="B1326" s="375">
        <v>80000</v>
      </c>
      <c r="C1326" s="375">
        <v>40000</v>
      </c>
      <c r="D1326" s="375">
        <v>8</v>
      </c>
      <c r="E1326" s="375">
        <v>16</v>
      </c>
      <c r="F1326" s="375">
        <v>0.5</v>
      </c>
      <c r="G1326" s="375">
        <v>11337</v>
      </c>
      <c r="H1326" s="376">
        <v>1.0856607957708576E-3</v>
      </c>
      <c r="I1326" s="375">
        <v>5000</v>
      </c>
      <c r="J1326" s="375">
        <v>6500</v>
      </c>
      <c r="K1326" s="375">
        <v>12</v>
      </c>
      <c r="L1326" s="375">
        <v>2800</v>
      </c>
      <c r="M1326" s="375">
        <v>8537</v>
      </c>
      <c r="V1326" s="375" t="s">
        <v>596</v>
      </c>
    </row>
    <row r="1327" spans="1:22" hidden="1" x14ac:dyDescent="0.25">
      <c r="A1327" s="377">
        <v>45702</v>
      </c>
      <c r="B1327" s="375">
        <v>80000</v>
      </c>
      <c r="C1327" s="375">
        <v>40000</v>
      </c>
      <c r="D1327" s="375">
        <v>8</v>
      </c>
      <c r="E1327" s="375">
        <v>16</v>
      </c>
      <c r="F1327" s="375">
        <v>0.5</v>
      </c>
      <c r="G1327" s="375">
        <v>11337</v>
      </c>
      <c r="H1327" s="376">
        <v>1.0856607957708576E-3</v>
      </c>
      <c r="I1327" s="375">
        <v>5000</v>
      </c>
      <c r="J1327" s="375">
        <v>6500</v>
      </c>
      <c r="K1327" s="375">
        <v>12</v>
      </c>
      <c r="L1327" s="375">
        <v>2800</v>
      </c>
      <c r="M1327" s="375">
        <v>8537</v>
      </c>
      <c r="V1327" s="375" t="s">
        <v>596</v>
      </c>
    </row>
    <row r="1328" spans="1:22" hidden="1" x14ac:dyDescent="0.25">
      <c r="A1328" s="377">
        <v>45703</v>
      </c>
      <c r="B1328" s="375">
        <v>50000</v>
      </c>
      <c r="C1328" s="375">
        <v>25000</v>
      </c>
      <c r="D1328" s="375">
        <v>5</v>
      </c>
      <c r="E1328" s="375">
        <v>10</v>
      </c>
      <c r="F1328" s="375">
        <v>0.5</v>
      </c>
      <c r="G1328" s="375">
        <v>10037</v>
      </c>
      <c r="H1328" s="376">
        <v>8.3029520768702404E-4</v>
      </c>
      <c r="I1328" s="375">
        <v>5000</v>
      </c>
      <c r="J1328" s="375">
        <v>6000</v>
      </c>
      <c r="K1328" s="375">
        <v>8</v>
      </c>
      <c r="L1328" s="375">
        <v>2500</v>
      </c>
      <c r="M1328" s="375">
        <v>7537</v>
      </c>
      <c r="V1328" s="375" t="s">
        <v>596</v>
      </c>
    </row>
    <row r="1329" spans="1:22" hidden="1" x14ac:dyDescent="0.25">
      <c r="A1329" s="377">
        <v>45704</v>
      </c>
      <c r="B1329" s="375">
        <v>50000</v>
      </c>
      <c r="C1329" s="375">
        <v>25000</v>
      </c>
      <c r="D1329" s="375">
        <v>5</v>
      </c>
      <c r="E1329" s="375">
        <v>10</v>
      </c>
      <c r="F1329" s="375">
        <v>0.5</v>
      </c>
      <c r="G1329" s="375">
        <v>10037</v>
      </c>
      <c r="H1329" s="376">
        <v>8.3029520768702404E-4</v>
      </c>
      <c r="I1329" s="375">
        <v>5000</v>
      </c>
      <c r="J1329" s="375">
        <v>6000</v>
      </c>
      <c r="K1329" s="375">
        <v>8</v>
      </c>
      <c r="L1329" s="375">
        <v>2500</v>
      </c>
      <c r="M1329" s="375">
        <v>7537</v>
      </c>
      <c r="V1329" s="375" t="s">
        <v>596</v>
      </c>
    </row>
    <row r="1330" spans="1:22" hidden="1" x14ac:dyDescent="0.25">
      <c r="A1330" s="377">
        <v>45705</v>
      </c>
      <c r="B1330" s="375">
        <v>50000</v>
      </c>
      <c r="C1330" s="375">
        <v>25000</v>
      </c>
      <c r="D1330" s="375">
        <v>5</v>
      </c>
      <c r="E1330" s="375">
        <v>10</v>
      </c>
      <c r="F1330" s="375">
        <v>0.5</v>
      </c>
      <c r="G1330" s="375">
        <v>10037</v>
      </c>
      <c r="H1330" s="376">
        <v>8.3029520768702404E-4</v>
      </c>
      <c r="I1330" s="375">
        <v>5000</v>
      </c>
      <c r="J1330" s="375">
        <v>6000</v>
      </c>
      <c r="K1330" s="375">
        <v>8</v>
      </c>
      <c r="L1330" s="375">
        <v>2500</v>
      </c>
      <c r="M1330" s="375">
        <v>7537</v>
      </c>
      <c r="V1330" s="375" t="s">
        <v>596</v>
      </c>
    </row>
    <row r="1331" spans="1:22" hidden="1" x14ac:dyDescent="0.25">
      <c r="A1331" s="377">
        <v>45706</v>
      </c>
      <c r="B1331" s="375">
        <v>50000</v>
      </c>
      <c r="C1331" s="375">
        <v>25000</v>
      </c>
      <c r="D1331" s="375">
        <v>5</v>
      </c>
      <c r="E1331" s="375">
        <v>10</v>
      </c>
      <c r="F1331" s="375">
        <v>0.5</v>
      </c>
      <c r="G1331" s="375">
        <v>9837</v>
      </c>
      <c r="H1331" s="376">
        <v>8.4717697527013391E-4</v>
      </c>
      <c r="I1331" s="375">
        <v>5000</v>
      </c>
      <c r="J1331" s="375">
        <v>6000</v>
      </c>
      <c r="K1331" s="375">
        <v>8</v>
      </c>
      <c r="L1331" s="375">
        <v>2300</v>
      </c>
      <c r="M1331" s="375">
        <v>7537</v>
      </c>
      <c r="V1331" s="375" t="s">
        <v>596</v>
      </c>
    </row>
    <row r="1332" spans="1:22" hidden="1" x14ac:dyDescent="0.25">
      <c r="A1332" s="377">
        <v>45707</v>
      </c>
      <c r="B1332" s="375">
        <v>50000</v>
      </c>
      <c r="C1332" s="375">
        <v>25000</v>
      </c>
      <c r="D1332" s="375">
        <v>5</v>
      </c>
      <c r="E1332" s="375">
        <v>10</v>
      </c>
      <c r="F1332" s="375">
        <v>0.5</v>
      </c>
      <c r="G1332" s="375">
        <v>9837</v>
      </c>
      <c r="H1332" s="376">
        <v>8.4717697527013391E-4</v>
      </c>
      <c r="I1332" s="375">
        <v>5000</v>
      </c>
      <c r="J1332" s="375">
        <v>6000</v>
      </c>
      <c r="K1332" s="375">
        <v>8</v>
      </c>
      <c r="L1332" s="375">
        <v>2300</v>
      </c>
      <c r="M1332" s="375">
        <v>7537</v>
      </c>
      <c r="V1332" s="375" t="s">
        <v>596</v>
      </c>
    </row>
    <row r="1333" spans="1:22" hidden="1" x14ac:dyDescent="0.25">
      <c r="A1333" s="377">
        <v>45708</v>
      </c>
      <c r="B1333" s="375">
        <v>50000</v>
      </c>
      <c r="C1333" s="375">
        <v>25000</v>
      </c>
      <c r="D1333" s="375">
        <v>5</v>
      </c>
      <c r="E1333" s="375">
        <v>10</v>
      </c>
      <c r="F1333" s="375">
        <v>0.5</v>
      </c>
      <c r="G1333" s="375">
        <v>9837</v>
      </c>
      <c r="H1333" s="376">
        <v>8.4717697527013391E-4</v>
      </c>
      <c r="I1333" s="375">
        <v>5000</v>
      </c>
      <c r="J1333" s="375">
        <v>6000</v>
      </c>
      <c r="K1333" s="375">
        <v>8</v>
      </c>
      <c r="L1333" s="375">
        <v>2300</v>
      </c>
      <c r="M1333" s="375">
        <v>7537</v>
      </c>
      <c r="V1333" s="375" t="s">
        <v>596</v>
      </c>
    </row>
    <row r="1334" spans="1:22" hidden="1" x14ac:dyDescent="0.25">
      <c r="A1334" s="377">
        <v>45709</v>
      </c>
      <c r="B1334" s="375">
        <v>50000</v>
      </c>
      <c r="C1334" s="375">
        <v>25000</v>
      </c>
      <c r="D1334" s="375">
        <v>5</v>
      </c>
      <c r="E1334" s="375">
        <v>10</v>
      </c>
      <c r="F1334" s="375">
        <v>0.5</v>
      </c>
      <c r="G1334" s="375">
        <v>9837</v>
      </c>
      <c r="H1334" s="376">
        <v>8.4717697527013391E-4</v>
      </c>
      <c r="I1334" s="375">
        <v>5000</v>
      </c>
      <c r="J1334" s="375">
        <v>6000</v>
      </c>
      <c r="K1334" s="375">
        <v>8</v>
      </c>
      <c r="L1334" s="375">
        <v>2300</v>
      </c>
      <c r="M1334" s="375">
        <v>7537</v>
      </c>
      <c r="V1334" s="375" t="s">
        <v>596</v>
      </c>
    </row>
    <row r="1335" spans="1:22" hidden="1" x14ac:dyDescent="0.25">
      <c r="A1335" s="377">
        <v>45710</v>
      </c>
      <c r="B1335" s="375">
        <v>50000</v>
      </c>
      <c r="C1335" s="375">
        <v>25000</v>
      </c>
      <c r="D1335" s="375">
        <v>5</v>
      </c>
      <c r="E1335" s="375">
        <v>10</v>
      </c>
      <c r="F1335" s="375">
        <v>0.5</v>
      </c>
      <c r="G1335" s="375">
        <v>9837</v>
      </c>
      <c r="H1335" s="376">
        <v>8.4717697527013391E-4</v>
      </c>
      <c r="I1335" s="375">
        <v>5000</v>
      </c>
      <c r="J1335" s="375">
        <v>6000</v>
      </c>
      <c r="K1335" s="375">
        <v>8</v>
      </c>
      <c r="L1335" s="375">
        <v>2300</v>
      </c>
      <c r="M1335" s="375">
        <v>7537</v>
      </c>
      <c r="V1335" s="375" t="s">
        <v>596</v>
      </c>
    </row>
    <row r="1336" spans="1:22" hidden="1" x14ac:dyDescent="0.25">
      <c r="A1336" s="377">
        <v>45711</v>
      </c>
      <c r="B1336" s="375">
        <v>50000</v>
      </c>
      <c r="C1336" s="375">
        <v>25000</v>
      </c>
      <c r="D1336" s="375">
        <v>5</v>
      </c>
      <c r="E1336" s="375">
        <v>10</v>
      </c>
      <c r="F1336" s="375">
        <v>0.5</v>
      </c>
      <c r="G1336" s="375">
        <v>9837</v>
      </c>
      <c r="H1336" s="376">
        <v>8.4717697527013391E-4</v>
      </c>
      <c r="I1336" s="375">
        <v>5000</v>
      </c>
      <c r="J1336" s="375">
        <v>6000</v>
      </c>
      <c r="K1336" s="375">
        <v>8</v>
      </c>
      <c r="L1336" s="375">
        <v>2300</v>
      </c>
      <c r="M1336" s="375">
        <v>7537</v>
      </c>
      <c r="V1336" s="375" t="s">
        <v>596</v>
      </c>
    </row>
    <row r="1337" spans="1:22" hidden="1" x14ac:dyDescent="0.25">
      <c r="A1337" s="377">
        <v>45712</v>
      </c>
      <c r="B1337" s="375">
        <v>50000</v>
      </c>
      <c r="C1337" s="375">
        <v>25000</v>
      </c>
      <c r="D1337" s="375">
        <v>5</v>
      </c>
      <c r="E1337" s="375">
        <v>10</v>
      </c>
      <c r="F1337" s="375">
        <v>0.5</v>
      </c>
      <c r="G1337" s="375">
        <v>9837</v>
      </c>
      <c r="H1337" s="376">
        <v>8.4717697527013391E-4</v>
      </c>
      <c r="I1337" s="375">
        <v>5000</v>
      </c>
      <c r="J1337" s="375">
        <v>6000</v>
      </c>
      <c r="K1337" s="375">
        <v>8</v>
      </c>
      <c r="L1337" s="375">
        <v>2300</v>
      </c>
      <c r="M1337" s="375">
        <v>7537</v>
      </c>
      <c r="V1337" s="375" t="s">
        <v>596</v>
      </c>
    </row>
    <row r="1338" spans="1:22" hidden="1" x14ac:dyDescent="0.25">
      <c r="A1338" s="377">
        <v>45713</v>
      </c>
      <c r="B1338" s="375">
        <v>50000</v>
      </c>
      <c r="C1338" s="375">
        <v>25000</v>
      </c>
      <c r="D1338" s="375">
        <v>5</v>
      </c>
      <c r="E1338" s="375">
        <v>10</v>
      </c>
      <c r="F1338" s="375">
        <v>0.5</v>
      </c>
      <c r="G1338" s="375">
        <v>9837</v>
      </c>
      <c r="H1338" s="376">
        <v>8.4717697527013391E-4</v>
      </c>
      <c r="I1338" s="375">
        <v>5000</v>
      </c>
      <c r="J1338" s="375">
        <v>6000</v>
      </c>
      <c r="K1338" s="375">
        <v>8</v>
      </c>
      <c r="L1338" s="375">
        <v>2300</v>
      </c>
      <c r="M1338" s="375">
        <v>7537</v>
      </c>
      <c r="V1338" s="375" t="s">
        <v>596</v>
      </c>
    </row>
    <row r="1339" spans="1:22" hidden="1" x14ac:dyDescent="0.25">
      <c r="A1339" s="377">
        <v>45714</v>
      </c>
      <c r="B1339" s="375">
        <v>50000</v>
      </c>
      <c r="C1339" s="375">
        <v>25000</v>
      </c>
      <c r="D1339" s="375">
        <v>5</v>
      </c>
      <c r="E1339" s="375">
        <v>10</v>
      </c>
      <c r="F1339" s="375">
        <v>0.5</v>
      </c>
      <c r="G1339" s="375">
        <v>9837</v>
      </c>
      <c r="H1339" s="376">
        <v>8.4717697527013391E-4</v>
      </c>
      <c r="I1339" s="375">
        <v>5000</v>
      </c>
      <c r="J1339" s="375">
        <v>6000</v>
      </c>
      <c r="K1339" s="375">
        <v>8</v>
      </c>
      <c r="L1339" s="375">
        <v>2300</v>
      </c>
      <c r="M1339" s="375">
        <v>7537</v>
      </c>
      <c r="V1339" s="375" t="s">
        <v>596</v>
      </c>
    </row>
    <row r="1340" spans="1:22" hidden="1" x14ac:dyDescent="0.25">
      <c r="A1340" s="377">
        <v>45715</v>
      </c>
      <c r="B1340" s="375">
        <v>50000</v>
      </c>
      <c r="C1340" s="375">
        <v>25000</v>
      </c>
      <c r="D1340" s="375">
        <v>5</v>
      </c>
      <c r="E1340" s="375">
        <v>10</v>
      </c>
      <c r="F1340" s="375">
        <v>0.5</v>
      </c>
      <c r="G1340" s="375">
        <v>10537</v>
      </c>
      <c r="H1340" s="376">
        <v>7.9089464564324904E-4</v>
      </c>
      <c r="I1340" s="375">
        <v>5000</v>
      </c>
      <c r="J1340" s="375">
        <v>6000</v>
      </c>
      <c r="K1340" s="375">
        <v>8</v>
      </c>
      <c r="L1340" s="375">
        <v>2500</v>
      </c>
      <c r="M1340" s="375">
        <v>8037</v>
      </c>
      <c r="V1340" s="375" t="s">
        <v>596</v>
      </c>
    </row>
    <row r="1341" spans="1:22" hidden="1" x14ac:dyDescent="0.25">
      <c r="A1341" s="377">
        <v>45716</v>
      </c>
      <c r="B1341" s="375">
        <v>50000</v>
      </c>
      <c r="C1341" s="375">
        <v>25000</v>
      </c>
      <c r="D1341" s="375">
        <v>5</v>
      </c>
      <c r="E1341" s="375">
        <v>10</v>
      </c>
      <c r="F1341" s="375">
        <v>0.5</v>
      </c>
      <c r="G1341" s="375">
        <v>10537</v>
      </c>
      <c r="H1341" s="376">
        <v>7.9089464564324904E-4</v>
      </c>
      <c r="I1341" s="375">
        <v>5000</v>
      </c>
      <c r="J1341" s="375">
        <v>6000</v>
      </c>
      <c r="K1341" s="375">
        <v>8</v>
      </c>
      <c r="L1341" s="375">
        <v>2500</v>
      </c>
      <c r="M1341" s="375">
        <v>8037</v>
      </c>
      <c r="V1341" s="375" t="s">
        <v>596</v>
      </c>
    </row>
    <row r="1342" spans="1:22" hidden="1" x14ac:dyDescent="0.25">
      <c r="A1342" s="377">
        <v>45717</v>
      </c>
      <c r="B1342" s="375">
        <v>60000</v>
      </c>
      <c r="C1342" s="375">
        <v>28800</v>
      </c>
      <c r="D1342" s="375">
        <v>6</v>
      </c>
      <c r="E1342" s="375">
        <v>12</v>
      </c>
      <c r="F1342" s="375">
        <v>0.52</v>
      </c>
      <c r="G1342" s="375">
        <v>10000</v>
      </c>
      <c r="H1342" s="376">
        <v>9.2307692307692295E-4</v>
      </c>
      <c r="I1342" s="375">
        <v>5000</v>
      </c>
      <c r="J1342" s="375">
        <v>6500</v>
      </c>
      <c r="K1342" s="375">
        <v>9</v>
      </c>
      <c r="L1342" s="375">
        <v>2000</v>
      </c>
      <c r="M1342" s="375">
        <v>8000</v>
      </c>
      <c r="V1342" s="375" t="s">
        <v>596</v>
      </c>
    </row>
    <row r="1343" spans="1:22" hidden="1" x14ac:dyDescent="0.25">
      <c r="A1343" s="377">
        <v>45718</v>
      </c>
      <c r="B1343" s="375">
        <v>60000</v>
      </c>
      <c r="C1343" s="375">
        <v>28800</v>
      </c>
      <c r="D1343" s="375">
        <v>6</v>
      </c>
      <c r="E1343" s="375">
        <v>12</v>
      </c>
      <c r="F1343" s="375">
        <v>0.52</v>
      </c>
      <c r="G1343" s="375">
        <v>10000</v>
      </c>
      <c r="H1343" s="376">
        <v>9.2307692307692295E-4</v>
      </c>
      <c r="I1343" s="375">
        <v>5000</v>
      </c>
      <c r="J1343" s="375">
        <v>6500</v>
      </c>
      <c r="K1343" s="375">
        <v>9</v>
      </c>
      <c r="L1343" s="375">
        <v>2000</v>
      </c>
      <c r="M1343" s="375">
        <v>8000</v>
      </c>
      <c r="V1343" s="375" t="s">
        <v>596</v>
      </c>
    </row>
    <row r="1344" spans="1:22" hidden="1" x14ac:dyDescent="0.25">
      <c r="A1344" s="377">
        <v>45719</v>
      </c>
      <c r="B1344" s="375">
        <v>70000</v>
      </c>
      <c r="C1344" s="375">
        <v>31500</v>
      </c>
      <c r="D1344" s="375">
        <v>6</v>
      </c>
      <c r="E1344" s="375">
        <v>14</v>
      </c>
      <c r="F1344" s="375">
        <v>0.55000000000000004</v>
      </c>
      <c r="G1344" s="375">
        <v>10500</v>
      </c>
      <c r="H1344" s="376">
        <v>9.5238095238095238E-4</v>
      </c>
      <c r="I1344" s="375">
        <v>5000</v>
      </c>
      <c r="J1344" s="375">
        <v>7000</v>
      </c>
      <c r="K1344" s="375">
        <v>10</v>
      </c>
      <c r="L1344" s="375">
        <v>2500</v>
      </c>
      <c r="M1344" s="375">
        <v>8000</v>
      </c>
      <c r="V1344" s="375" t="s">
        <v>596</v>
      </c>
    </row>
    <row r="1345" spans="1:22" hidden="1" x14ac:dyDescent="0.25">
      <c r="A1345" s="377">
        <v>45720</v>
      </c>
      <c r="B1345" s="375">
        <v>70000</v>
      </c>
      <c r="C1345" s="375">
        <v>31500</v>
      </c>
      <c r="D1345" s="375">
        <v>6</v>
      </c>
      <c r="E1345" s="375">
        <v>14</v>
      </c>
      <c r="F1345" s="375">
        <v>0.55000000000000004</v>
      </c>
      <c r="G1345" s="375">
        <v>10500</v>
      </c>
      <c r="H1345" s="376">
        <v>9.5238095238095238E-4</v>
      </c>
      <c r="I1345" s="375">
        <v>5000</v>
      </c>
      <c r="J1345" s="375">
        <v>7000</v>
      </c>
      <c r="K1345" s="375">
        <v>10</v>
      </c>
      <c r="L1345" s="375">
        <v>2500</v>
      </c>
      <c r="M1345" s="375">
        <v>8000</v>
      </c>
      <c r="V1345" s="375" t="s">
        <v>596</v>
      </c>
    </row>
    <row r="1346" spans="1:22" hidden="1" x14ac:dyDescent="0.25">
      <c r="A1346" s="377">
        <v>45721</v>
      </c>
      <c r="B1346" s="375">
        <v>70000</v>
      </c>
      <c r="C1346" s="375">
        <v>31500</v>
      </c>
      <c r="D1346" s="375">
        <v>6</v>
      </c>
      <c r="E1346" s="375">
        <v>14</v>
      </c>
      <c r="F1346" s="375">
        <v>0.55000000000000004</v>
      </c>
      <c r="G1346" s="375">
        <v>10500</v>
      </c>
      <c r="H1346" s="376">
        <v>9.5238095238095238E-4</v>
      </c>
      <c r="I1346" s="375">
        <v>5000</v>
      </c>
      <c r="J1346" s="375">
        <v>7000</v>
      </c>
      <c r="K1346" s="375">
        <v>10</v>
      </c>
      <c r="L1346" s="375">
        <v>2500</v>
      </c>
      <c r="M1346" s="375">
        <v>8000</v>
      </c>
      <c r="V1346" s="375" t="s">
        <v>596</v>
      </c>
    </row>
    <row r="1347" spans="1:22" hidden="1" x14ac:dyDescent="0.25">
      <c r="A1347" s="377">
        <v>45722</v>
      </c>
      <c r="B1347" s="375">
        <v>70000</v>
      </c>
      <c r="C1347" s="375">
        <v>31500</v>
      </c>
      <c r="D1347" s="375">
        <v>6</v>
      </c>
      <c r="E1347" s="375">
        <v>14</v>
      </c>
      <c r="F1347" s="375">
        <v>0.55000000000000004</v>
      </c>
      <c r="G1347" s="375">
        <v>10500</v>
      </c>
      <c r="H1347" s="376">
        <v>9.5238095238095238E-4</v>
      </c>
      <c r="I1347" s="375">
        <v>5000</v>
      </c>
      <c r="J1347" s="375">
        <v>7000</v>
      </c>
      <c r="K1347" s="375">
        <v>10</v>
      </c>
      <c r="L1347" s="375">
        <v>2500</v>
      </c>
      <c r="M1347" s="375">
        <v>8000</v>
      </c>
      <c r="V1347" s="375" t="s">
        <v>596</v>
      </c>
    </row>
    <row r="1348" spans="1:22" hidden="1" x14ac:dyDescent="0.25">
      <c r="A1348" s="377">
        <v>45723</v>
      </c>
      <c r="B1348" s="375">
        <v>70000</v>
      </c>
      <c r="C1348" s="375">
        <v>31500</v>
      </c>
      <c r="D1348" s="375">
        <v>6</v>
      </c>
      <c r="E1348" s="375">
        <v>14</v>
      </c>
      <c r="F1348" s="375">
        <v>0.55000000000000004</v>
      </c>
      <c r="G1348" s="375">
        <v>10500</v>
      </c>
      <c r="H1348" s="376">
        <v>9.5238095238095238E-4</v>
      </c>
      <c r="I1348" s="375">
        <v>5000</v>
      </c>
      <c r="J1348" s="375">
        <v>7000</v>
      </c>
      <c r="K1348" s="375">
        <v>10</v>
      </c>
      <c r="L1348" s="375">
        <v>2500</v>
      </c>
      <c r="M1348" s="375">
        <v>8000</v>
      </c>
      <c r="V1348" s="375" t="s">
        <v>596</v>
      </c>
    </row>
    <row r="1349" spans="1:22" hidden="1" x14ac:dyDescent="0.25">
      <c r="A1349" s="377">
        <v>45724</v>
      </c>
      <c r="B1349" s="375">
        <v>70000</v>
      </c>
      <c r="C1349" s="375">
        <v>31500</v>
      </c>
      <c r="D1349" s="375">
        <v>6</v>
      </c>
      <c r="E1349" s="375">
        <v>14</v>
      </c>
      <c r="F1349" s="375">
        <v>0.55000000000000004</v>
      </c>
      <c r="G1349" s="375">
        <v>10500</v>
      </c>
      <c r="H1349" s="376">
        <v>9.5238095238095238E-4</v>
      </c>
      <c r="I1349" s="375">
        <v>5000</v>
      </c>
      <c r="J1349" s="375">
        <v>7000</v>
      </c>
      <c r="K1349" s="375">
        <v>10</v>
      </c>
      <c r="L1349" s="375">
        <v>2500</v>
      </c>
      <c r="M1349" s="375">
        <v>8000</v>
      </c>
      <c r="V1349" s="375" t="s">
        <v>596</v>
      </c>
    </row>
    <row r="1350" spans="1:22" hidden="1" x14ac:dyDescent="0.25">
      <c r="A1350" s="377">
        <v>45725</v>
      </c>
      <c r="B1350" s="375">
        <v>50000</v>
      </c>
      <c r="C1350" s="375">
        <v>25000</v>
      </c>
      <c r="D1350" s="375">
        <v>5</v>
      </c>
      <c r="E1350" s="375">
        <v>10</v>
      </c>
      <c r="F1350" s="375">
        <v>0.5</v>
      </c>
      <c r="G1350" s="375">
        <v>9000</v>
      </c>
      <c r="H1350" s="376">
        <v>9.2592592592592596E-4</v>
      </c>
      <c r="I1350" s="375">
        <v>5000</v>
      </c>
      <c r="J1350" s="375">
        <v>6000</v>
      </c>
      <c r="K1350" s="375">
        <v>8</v>
      </c>
      <c r="L1350" s="375">
        <v>2000</v>
      </c>
      <c r="M1350" s="375">
        <v>7000</v>
      </c>
      <c r="V1350" s="375" t="s">
        <v>596</v>
      </c>
    </row>
    <row r="1351" spans="1:22" hidden="1" x14ac:dyDescent="0.25">
      <c r="A1351" s="377">
        <v>45726</v>
      </c>
      <c r="B1351" s="375">
        <v>50000</v>
      </c>
      <c r="C1351" s="375">
        <v>25000</v>
      </c>
      <c r="D1351" s="375">
        <v>5</v>
      </c>
      <c r="E1351" s="375">
        <v>10</v>
      </c>
      <c r="F1351" s="375">
        <v>0.5</v>
      </c>
      <c r="G1351" s="375">
        <v>9000</v>
      </c>
      <c r="H1351" s="376">
        <v>9.2592592592592596E-4</v>
      </c>
      <c r="I1351" s="375">
        <v>5000</v>
      </c>
      <c r="J1351" s="375">
        <v>6000</v>
      </c>
      <c r="K1351" s="375">
        <v>8</v>
      </c>
      <c r="L1351" s="375">
        <v>2000</v>
      </c>
      <c r="M1351" s="375">
        <v>7000</v>
      </c>
      <c r="V1351" s="375" t="s">
        <v>596</v>
      </c>
    </row>
    <row r="1352" spans="1:22" hidden="1" x14ac:dyDescent="0.25">
      <c r="A1352" s="377">
        <v>45727</v>
      </c>
      <c r="B1352" s="375">
        <v>50000</v>
      </c>
      <c r="C1352" s="375">
        <v>25000</v>
      </c>
      <c r="D1352" s="375">
        <v>5</v>
      </c>
      <c r="E1352" s="375">
        <v>10</v>
      </c>
      <c r="F1352" s="375">
        <v>0.5</v>
      </c>
      <c r="G1352" s="375">
        <v>9000</v>
      </c>
      <c r="H1352" s="376">
        <v>9.2592592592592596E-4</v>
      </c>
      <c r="I1352" s="375">
        <v>5000</v>
      </c>
      <c r="J1352" s="375">
        <v>6000</v>
      </c>
      <c r="K1352" s="375">
        <v>8</v>
      </c>
      <c r="L1352" s="375">
        <v>2000</v>
      </c>
      <c r="M1352" s="375">
        <v>7000</v>
      </c>
      <c r="V1352" s="375" t="s">
        <v>596</v>
      </c>
    </row>
    <row r="1353" spans="1:22" hidden="1" x14ac:dyDescent="0.25">
      <c r="A1353" s="377">
        <v>45728</v>
      </c>
      <c r="B1353" s="375">
        <v>50000</v>
      </c>
      <c r="C1353" s="375">
        <v>25000</v>
      </c>
      <c r="D1353" s="375">
        <v>5</v>
      </c>
      <c r="E1353" s="375">
        <v>10</v>
      </c>
      <c r="F1353" s="375">
        <v>0.5</v>
      </c>
      <c r="G1353" s="375">
        <v>9000</v>
      </c>
      <c r="H1353" s="376">
        <v>9.2592592592592596E-4</v>
      </c>
      <c r="I1353" s="375">
        <v>5000</v>
      </c>
      <c r="J1353" s="375">
        <v>6000</v>
      </c>
      <c r="K1353" s="375">
        <v>8</v>
      </c>
      <c r="L1353" s="375">
        <v>2000</v>
      </c>
      <c r="M1353" s="375">
        <v>7000</v>
      </c>
      <c r="V1353" s="375" t="s">
        <v>596</v>
      </c>
    </row>
    <row r="1354" spans="1:22" hidden="1" x14ac:dyDescent="0.25">
      <c r="A1354" s="377">
        <v>45729</v>
      </c>
      <c r="B1354" s="375">
        <v>50000</v>
      </c>
      <c r="C1354" s="375">
        <v>25000</v>
      </c>
      <c r="D1354" s="375">
        <v>5</v>
      </c>
      <c r="E1354" s="375">
        <v>10</v>
      </c>
      <c r="F1354" s="375">
        <v>0.5</v>
      </c>
      <c r="G1354" s="375">
        <v>9000</v>
      </c>
      <c r="H1354" s="376">
        <v>9.2592592592592596E-4</v>
      </c>
      <c r="I1354" s="375">
        <v>5000</v>
      </c>
      <c r="J1354" s="375">
        <v>6000</v>
      </c>
      <c r="K1354" s="375">
        <v>8</v>
      </c>
      <c r="L1354" s="375">
        <v>2000</v>
      </c>
      <c r="M1354" s="375">
        <v>7000</v>
      </c>
      <c r="V1354" s="375" t="s">
        <v>596</v>
      </c>
    </row>
    <row r="1355" spans="1:22" hidden="1" x14ac:dyDescent="0.25">
      <c r="A1355" s="377">
        <v>45730</v>
      </c>
      <c r="B1355" s="375">
        <v>50000</v>
      </c>
      <c r="C1355" s="375">
        <v>25000</v>
      </c>
      <c r="D1355" s="375">
        <v>5</v>
      </c>
      <c r="E1355" s="375">
        <v>10</v>
      </c>
      <c r="F1355" s="375">
        <v>0.5</v>
      </c>
      <c r="G1355" s="375">
        <v>9000</v>
      </c>
      <c r="H1355" s="376">
        <v>9.2592592592592596E-4</v>
      </c>
      <c r="I1355" s="375">
        <v>5000</v>
      </c>
      <c r="J1355" s="375">
        <v>6000</v>
      </c>
      <c r="K1355" s="375">
        <v>8</v>
      </c>
      <c r="L1355" s="375">
        <v>2000</v>
      </c>
      <c r="M1355" s="375">
        <v>7000</v>
      </c>
      <c r="V1355" s="375" t="s">
        <v>596</v>
      </c>
    </row>
    <row r="1356" spans="1:22" hidden="1" x14ac:dyDescent="0.25">
      <c r="A1356" s="377">
        <v>45731</v>
      </c>
      <c r="B1356" s="375">
        <v>50000</v>
      </c>
      <c r="C1356" s="375">
        <v>25000</v>
      </c>
      <c r="D1356" s="375">
        <v>5</v>
      </c>
      <c r="E1356" s="375">
        <v>10</v>
      </c>
      <c r="F1356" s="375">
        <v>0.5</v>
      </c>
      <c r="G1356" s="375">
        <v>9000</v>
      </c>
      <c r="H1356" s="376">
        <v>9.2592592592592596E-4</v>
      </c>
      <c r="I1356" s="375">
        <v>5000</v>
      </c>
      <c r="J1356" s="375">
        <v>6000</v>
      </c>
      <c r="K1356" s="375">
        <v>8</v>
      </c>
      <c r="L1356" s="375">
        <v>2000</v>
      </c>
      <c r="M1356" s="375">
        <v>7000</v>
      </c>
      <c r="V1356" s="375" t="s">
        <v>596</v>
      </c>
    </row>
    <row r="1357" spans="1:22" hidden="1" x14ac:dyDescent="0.25">
      <c r="A1357" s="377">
        <v>45732</v>
      </c>
      <c r="B1357" s="375">
        <v>50000</v>
      </c>
      <c r="C1357" s="375">
        <v>25000</v>
      </c>
      <c r="D1357" s="375">
        <v>5</v>
      </c>
      <c r="E1357" s="375">
        <v>10</v>
      </c>
      <c r="F1357" s="375">
        <v>0.5</v>
      </c>
      <c r="G1357" s="375">
        <v>9000</v>
      </c>
      <c r="H1357" s="376">
        <v>9.2592592592592596E-4</v>
      </c>
      <c r="I1357" s="375">
        <v>5000</v>
      </c>
      <c r="J1357" s="375">
        <v>6000</v>
      </c>
      <c r="K1357" s="375">
        <v>8</v>
      </c>
      <c r="L1357" s="375">
        <v>2000</v>
      </c>
      <c r="M1357" s="375">
        <v>7000</v>
      </c>
      <c r="V1357" s="375" t="s">
        <v>596</v>
      </c>
    </row>
    <row r="1358" spans="1:22" hidden="1" x14ac:dyDescent="0.25">
      <c r="A1358" s="377">
        <v>45733</v>
      </c>
      <c r="B1358" s="375">
        <v>50000</v>
      </c>
      <c r="C1358" s="375">
        <v>25000</v>
      </c>
      <c r="D1358" s="375">
        <v>5</v>
      </c>
      <c r="E1358" s="375">
        <v>10</v>
      </c>
      <c r="F1358" s="375">
        <v>0.5</v>
      </c>
      <c r="G1358" s="375">
        <v>9000</v>
      </c>
      <c r="H1358" s="376">
        <v>9.2592592592592596E-4</v>
      </c>
      <c r="I1358" s="375">
        <v>5000</v>
      </c>
      <c r="J1358" s="375">
        <v>6000</v>
      </c>
      <c r="K1358" s="375">
        <v>8</v>
      </c>
      <c r="L1358" s="375">
        <v>2000</v>
      </c>
      <c r="M1358" s="375">
        <v>7000</v>
      </c>
      <c r="V1358" s="375" t="s">
        <v>596</v>
      </c>
    </row>
    <row r="1359" spans="1:22" hidden="1" x14ac:dyDescent="0.25">
      <c r="A1359" s="377">
        <v>45734</v>
      </c>
      <c r="B1359" s="375">
        <v>50000</v>
      </c>
      <c r="C1359" s="375">
        <v>25000</v>
      </c>
      <c r="D1359" s="375">
        <v>5</v>
      </c>
      <c r="E1359" s="375">
        <v>10</v>
      </c>
      <c r="F1359" s="375">
        <v>0.5</v>
      </c>
      <c r="G1359" s="375">
        <v>9000</v>
      </c>
      <c r="H1359" s="376">
        <v>9.2592592592592596E-4</v>
      </c>
      <c r="I1359" s="375">
        <v>5000</v>
      </c>
      <c r="J1359" s="375">
        <v>6000</v>
      </c>
      <c r="K1359" s="375">
        <v>8</v>
      </c>
      <c r="L1359" s="375">
        <v>2000</v>
      </c>
      <c r="M1359" s="375">
        <v>7000</v>
      </c>
      <c r="V1359" s="375" t="s">
        <v>596</v>
      </c>
    </row>
    <row r="1360" spans="1:22" hidden="1" x14ac:dyDescent="0.25">
      <c r="A1360" s="377">
        <v>45735</v>
      </c>
      <c r="B1360" s="375">
        <v>50000</v>
      </c>
      <c r="C1360" s="375">
        <v>25000</v>
      </c>
      <c r="D1360" s="375">
        <v>5</v>
      </c>
      <c r="E1360" s="375">
        <v>10</v>
      </c>
      <c r="F1360" s="375">
        <v>0.5</v>
      </c>
      <c r="G1360" s="375">
        <v>9000</v>
      </c>
      <c r="H1360" s="376">
        <v>9.2592592592592596E-4</v>
      </c>
      <c r="I1360" s="375">
        <v>5000</v>
      </c>
      <c r="J1360" s="375">
        <v>6000</v>
      </c>
      <c r="K1360" s="375">
        <v>8</v>
      </c>
      <c r="L1360" s="375">
        <v>2000</v>
      </c>
      <c r="M1360" s="375">
        <v>7000</v>
      </c>
      <c r="V1360" s="375" t="s">
        <v>596</v>
      </c>
    </row>
    <row r="1361" spans="1:22" hidden="1" x14ac:dyDescent="0.25">
      <c r="A1361" s="377">
        <v>45736</v>
      </c>
      <c r="B1361" s="375">
        <v>50000</v>
      </c>
      <c r="C1361" s="375">
        <v>25000</v>
      </c>
      <c r="D1361" s="375">
        <v>5</v>
      </c>
      <c r="E1361" s="375">
        <v>10</v>
      </c>
      <c r="F1361" s="375">
        <v>0.5</v>
      </c>
      <c r="G1361" s="375">
        <v>9000</v>
      </c>
      <c r="H1361" s="376">
        <v>9.2592592592592596E-4</v>
      </c>
      <c r="I1361" s="375">
        <v>5000</v>
      </c>
      <c r="J1361" s="375">
        <v>6000</v>
      </c>
      <c r="K1361" s="375">
        <v>8</v>
      </c>
      <c r="L1361" s="375">
        <v>2000</v>
      </c>
      <c r="M1361" s="375">
        <v>7000</v>
      </c>
      <c r="V1361" s="375" t="s">
        <v>596</v>
      </c>
    </row>
    <row r="1362" spans="1:22" hidden="1" x14ac:dyDescent="0.25">
      <c r="A1362" s="377">
        <v>45737</v>
      </c>
      <c r="B1362" s="375">
        <v>50000</v>
      </c>
      <c r="C1362" s="375">
        <v>25000</v>
      </c>
      <c r="D1362" s="375">
        <v>5</v>
      </c>
      <c r="E1362" s="375">
        <v>10</v>
      </c>
      <c r="F1362" s="375">
        <v>0.5</v>
      </c>
      <c r="G1362" s="375">
        <v>9000</v>
      </c>
      <c r="H1362" s="376">
        <v>9.2592592592592596E-4</v>
      </c>
      <c r="I1362" s="375">
        <v>5000</v>
      </c>
      <c r="J1362" s="375">
        <v>6000</v>
      </c>
      <c r="K1362" s="375">
        <v>8</v>
      </c>
      <c r="L1362" s="375">
        <v>2000</v>
      </c>
      <c r="M1362" s="375">
        <v>7000</v>
      </c>
      <c r="V1362" s="375" t="s">
        <v>596</v>
      </c>
    </row>
    <row r="1363" spans="1:22" hidden="1" x14ac:dyDescent="0.25">
      <c r="A1363" s="377">
        <v>45738</v>
      </c>
      <c r="B1363" s="375">
        <v>50000</v>
      </c>
      <c r="C1363" s="375">
        <v>25000</v>
      </c>
      <c r="D1363" s="375">
        <v>5</v>
      </c>
      <c r="E1363" s="375">
        <v>10</v>
      </c>
      <c r="F1363" s="375">
        <v>0.5</v>
      </c>
      <c r="G1363" s="375">
        <v>9000</v>
      </c>
      <c r="H1363" s="376">
        <v>9.2592592592592596E-4</v>
      </c>
      <c r="I1363" s="375">
        <v>5000</v>
      </c>
      <c r="J1363" s="375">
        <v>6000</v>
      </c>
      <c r="K1363" s="375">
        <v>8</v>
      </c>
      <c r="L1363" s="375">
        <v>2000</v>
      </c>
      <c r="M1363" s="375">
        <v>7000</v>
      </c>
      <c r="V1363" s="375" t="s">
        <v>596</v>
      </c>
    </row>
    <row r="1364" spans="1:22" hidden="1" x14ac:dyDescent="0.25">
      <c r="A1364" s="377">
        <v>45739</v>
      </c>
      <c r="B1364" s="375">
        <v>50000</v>
      </c>
      <c r="C1364" s="375">
        <v>25000</v>
      </c>
      <c r="D1364" s="375">
        <v>5</v>
      </c>
      <c r="E1364" s="375">
        <v>10</v>
      </c>
      <c r="F1364" s="375">
        <v>0.5</v>
      </c>
      <c r="G1364" s="375">
        <v>9000</v>
      </c>
      <c r="H1364" s="376">
        <v>9.2592592592592596E-4</v>
      </c>
      <c r="I1364" s="375">
        <v>5000</v>
      </c>
      <c r="J1364" s="375">
        <v>6000</v>
      </c>
      <c r="K1364" s="375">
        <v>8</v>
      </c>
      <c r="L1364" s="375">
        <v>2000</v>
      </c>
      <c r="M1364" s="375">
        <v>7000</v>
      </c>
      <c r="V1364" s="375" t="s">
        <v>596</v>
      </c>
    </row>
    <row r="1365" spans="1:22" hidden="1" x14ac:dyDescent="0.25">
      <c r="A1365" s="377">
        <v>45740</v>
      </c>
      <c r="B1365" s="375">
        <v>50000</v>
      </c>
      <c r="C1365" s="375">
        <v>25000</v>
      </c>
      <c r="D1365" s="375">
        <v>5</v>
      </c>
      <c r="E1365" s="375">
        <v>10</v>
      </c>
      <c r="F1365" s="375">
        <v>0.5</v>
      </c>
      <c r="G1365" s="375">
        <v>9000</v>
      </c>
      <c r="H1365" s="376">
        <v>9.2592592592592596E-4</v>
      </c>
      <c r="I1365" s="375">
        <v>5000</v>
      </c>
      <c r="J1365" s="375">
        <v>6000</v>
      </c>
      <c r="K1365" s="375">
        <v>8</v>
      </c>
      <c r="L1365" s="375">
        <v>2000</v>
      </c>
      <c r="M1365" s="375">
        <v>7000</v>
      </c>
      <c r="V1365" s="375" t="s">
        <v>596</v>
      </c>
    </row>
    <row r="1366" spans="1:22" hidden="1" x14ac:dyDescent="0.25">
      <c r="A1366" s="377">
        <v>45741</v>
      </c>
      <c r="B1366" s="375">
        <v>50000</v>
      </c>
      <c r="C1366" s="375">
        <v>25000</v>
      </c>
      <c r="D1366" s="375">
        <v>5</v>
      </c>
      <c r="E1366" s="375">
        <v>10</v>
      </c>
      <c r="F1366" s="375">
        <v>0.5</v>
      </c>
      <c r="G1366" s="375">
        <v>9000</v>
      </c>
      <c r="H1366" s="376">
        <v>9.2592592592592596E-4</v>
      </c>
      <c r="I1366" s="375">
        <v>5000</v>
      </c>
      <c r="J1366" s="375">
        <v>6000</v>
      </c>
      <c r="K1366" s="375">
        <v>8</v>
      </c>
      <c r="L1366" s="375">
        <v>2000</v>
      </c>
      <c r="M1366" s="375">
        <v>7000</v>
      </c>
      <c r="V1366" s="375" t="s">
        <v>596</v>
      </c>
    </row>
    <row r="1367" spans="1:22" hidden="1" x14ac:dyDescent="0.25">
      <c r="A1367" s="377">
        <v>45742</v>
      </c>
      <c r="B1367" s="375">
        <v>50000</v>
      </c>
      <c r="C1367" s="375">
        <v>25000</v>
      </c>
      <c r="D1367" s="375">
        <v>5</v>
      </c>
      <c r="E1367" s="375">
        <v>10</v>
      </c>
      <c r="F1367" s="375">
        <v>0.5</v>
      </c>
      <c r="G1367" s="375">
        <v>9000</v>
      </c>
      <c r="H1367" s="376">
        <v>9.2592592592592596E-4</v>
      </c>
      <c r="I1367" s="375">
        <v>5000</v>
      </c>
      <c r="J1367" s="375">
        <v>6000</v>
      </c>
      <c r="K1367" s="375">
        <v>8</v>
      </c>
      <c r="L1367" s="375">
        <v>2000</v>
      </c>
      <c r="M1367" s="375">
        <v>7000</v>
      </c>
      <c r="V1367" s="375" t="s">
        <v>596</v>
      </c>
    </row>
    <row r="1368" spans="1:22" hidden="1" x14ac:dyDescent="0.25">
      <c r="A1368" s="377">
        <v>45743</v>
      </c>
      <c r="B1368" s="375">
        <v>50000</v>
      </c>
      <c r="C1368" s="375">
        <v>25000</v>
      </c>
      <c r="D1368" s="375">
        <v>5</v>
      </c>
      <c r="E1368" s="375">
        <v>10</v>
      </c>
      <c r="F1368" s="375">
        <v>0.5</v>
      </c>
      <c r="G1368" s="375">
        <v>9000</v>
      </c>
      <c r="H1368" s="376">
        <v>9.2592592592592596E-4</v>
      </c>
      <c r="I1368" s="375">
        <v>5000</v>
      </c>
      <c r="J1368" s="375">
        <v>6000</v>
      </c>
      <c r="K1368" s="375">
        <v>8</v>
      </c>
      <c r="L1368" s="375">
        <v>2000</v>
      </c>
      <c r="M1368" s="375">
        <v>7000</v>
      </c>
      <c r="V1368" s="375" t="s">
        <v>596</v>
      </c>
    </row>
    <row r="1369" spans="1:22" hidden="1" x14ac:dyDescent="0.25">
      <c r="A1369" s="377">
        <v>45744</v>
      </c>
      <c r="B1369" s="375">
        <v>50000</v>
      </c>
      <c r="C1369" s="375">
        <v>25000</v>
      </c>
      <c r="D1369" s="375">
        <v>5</v>
      </c>
      <c r="E1369" s="375">
        <v>10</v>
      </c>
      <c r="F1369" s="375">
        <v>0.5</v>
      </c>
      <c r="G1369" s="375">
        <v>9000</v>
      </c>
      <c r="H1369" s="376">
        <v>9.2592592592592596E-4</v>
      </c>
      <c r="I1369" s="375">
        <v>5000</v>
      </c>
      <c r="J1369" s="375">
        <v>6000</v>
      </c>
      <c r="K1369" s="375">
        <v>8</v>
      </c>
      <c r="L1369" s="375">
        <v>2000</v>
      </c>
      <c r="M1369" s="375">
        <v>7000</v>
      </c>
      <c r="V1369" s="375" t="s">
        <v>596</v>
      </c>
    </row>
    <row r="1370" spans="1:22" hidden="1" x14ac:dyDescent="0.25">
      <c r="A1370" s="377">
        <v>45745</v>
      </c>
      <c r="B1370" s="375">
        <v>50000</v>
      </c>
      <c r="C1370" s="375">
        <v>25000</v>
      </c>
      <c r="D1370" s="375">
        <v>5</v>
      </c>
      <c r="E1370" s="375">
        <v>10</v>
      </c>
      <c r="F1370" s="375">
        <v>0.5</v>
      </c>
      <c r="G1370" s="375">
        <v>9000</v>
      </c>
      <c r="H1370" s="376">
        <v>9.2592592592592596E-4</v>
      </c>
      <c r="I1370" s="375">
        <v>5000</v>
      </c>
      <c r="J1370" s="375">
        <v>6000</v>
      </c>
      <c r="K1370" s="375">
        <v>8</v>
      </c>
      <c r="L1370" s="375">
        <v>2000</v>
      </c>
      <c r="M1370" s="375">
        <v>7000</v>
      </c>
      <c r="V1370" s="375" t="s">
        <v>596</v>
      </c>
    </row>
    <row r="1371" spans="1:22" hidden="1" x14ac:dyDescent="0.25">
      <c r="A1371" s="377">
        <v>45746</v>
      </c>
      <c r="B1371" s="375">
        <v>50000</v>
      </c>
      <c r="C1371" s="375">
        <v>25000</v>
      </c>
      <c r="D1371" s="375">
        <v>5</v>
      </c>
      <c r="E1371" s="375">
        <v>10</v>
      </c>
      <c r="F1371" s="375">
        <v>0.5</v>
      </c>
      <c r="G1371" s="375">
        <v>9000</v>
      </c>
      <c r="H1371" s="376">
        <v>9.2592592592592596E-4</v>
      </c>
      <c r="I1371" s="375">
        <v>5000</v>
      </c>
      <c r="J1371" s="375">
        <v>6000</v>
      </c>
      <c r="K1371" s="375">
        <v>8</v>
      </c>
      <c r="L1371" s="375">
        <v>2000</v>
      </c>
      <c r="M1371" s="375">
        <v>7000</v>
      </c>
      <c r="V1371" s="375" t="s">
        <v>596</v>
      </c>
    </row>
    <row r="1372" spans="1:22" hidden="1" x14ac:dyDescent="0.25">
      <c r="A1372" s="377">
        <v>45747</v>
      </c>
      <c r="B1372" s="375">
        <v>50000</v>
      </c>
      <c r="C1372" s="375">
        <v>25000</v>
      </c>
      <c r="D1372" s="375">
        <v>5</v>
      </c>
      <c r="E1372" s="375">
        <v>10</v>
      </c>
      <c r="F1372" s="375">
        <v>0.5</v>
      </c>
      <c r="G1372" s="375">
        <v>9000</v>
      </c>
      <c r="H1372" s="376">
        <v>9.2592592592592596E-4</v>
      </c>
      <c r="I1372" s="375">
        <v>5000</v>
      </c>
      <c r="J1372" s="375">
        <v>6000</v>
      </c>
      <c r="K1372" s="375">
        <v>8</v>
      </c>
      <c r="L1372" s="375">
        <v>2000</v>
      </c>
      <c r="M1372" s="375">
        <v>7000</v>
      </c>
      <c r="V1372" s="375" t="s">
        <v>596</v>
      </c>
    </row>
    <row r="1373" spans="1:22" hidden="1" x14ac:dyDescent="0.25">
      <c r="A1373" s="377">
        <v>45748</v>
      </c>
      <c r="B1373" s="375">
        <v>50000</v>
      </c>
      <c r="C1373" s="375">
        <v>23000</v>
      </c>
      <c r="D1373" s="375">
        <v>5</v>
      </c>
      <c r="E1373" s="375">
        <v>10</v>
      </c>
      <c r="F1373" s="375">
        <v>0.54</v>
      </c>
      <c r="G1373" s="375">
        <v>10446</v>
      </c>
      <c r="H1373" s="376">
        <v>5.9829878015425851E-4</v>
      </c>
      <c r="I1373" s="375">
        <v>5000</v>
      </c>
      <c r="J1373" s="375">
        <v>8000</v>
      </c>
      <c r="K1373" s="375">
        <v>6</v>
      </c>
      <c r="L1373" s="375">
        <v>2600</v>
      </c>
      <c r="M1373" s="375">
        <v>7846</v>
      </c>
      <c r="V1373" s="375" t="s">
        <v>596</v>
      </c>
    </row>
    <row r="1374" spans="1:22" hidden="1" x14ac:dyDescent="0.25">
      <c r="A1374" s="377">
        <v>45749</v>
      </c>
      <c r="B1374" s="375">
        <v>50000</v>
      </c>
      <c r="C1374" s="375">
        <v>23000</v>
      </c>
      <c r="D1374" s="375">
        <v>5</v>
      </c>
      <c r="E1374" s="375">
        <v>10</v>
      </c>
      <c r="F1374" s="375">
        <v>0.54</v>
      </c>
      <c r="G1374" s="375">
        <v>10446</v>
      </c>
      <c r="H1374" s="376">
        <v>5.9829878015425851E-4</v>
      </c>
      <c r="I1374" s="375">
        <v>5000</v>
      </c>
      <c r="J1374" s="375">
        <v>8000</v>
      </c>
      <c r="K1374" s="375">
        <v>6</v>
      </c>
      <c r="L1374" s="375">
        <v>2600</v>
      </c>
      <c r="M1374" s="375">
        <v>7846</v>
      </c>
      <c r="V1374" s="375" t="s">
        <v>596</v>
      </c>
    </row>
    <row r="1375" spans="1:22" hidden="1" x14ac:dyDescent="0.25">
      <c r="A1375" s="377">
        <v>45750</v>
      </c>
      <c r="B1375" s="375">
        <v>50000</v>
      </c>
      <c r="C1375" s="375">
        <v>23000</v>
      </c>
      <c r="D1375" s="375">
        <v>5</v>
      </c>
      <c r="E1375" s="375">
        <v>10</v>
      </c>
      <c r="F1375" s="375">
        <v>0.54</v>
      </c>
      <c r="G1375" s="375">
        <v>10446</v>
      </c>
      <c r="H1375" s="376">
        <v>5.9829878015425851E-4</v>
      </c>
      <c r="I1375" s="375">
        <v>5000</v>
      </c>
      <c r="J1375" s="375">
        <v>8000</v>
      </c>
      <c r="K1375" s="375">
        <v>6</v>
      </c>
      <c r="L1375" s="375">
        <v>2600</v>
      </c>
      <c r="M1375" s="375">
        <v>7846</v>
      </c>
      <c r="V1375" s="375" t="s">
        <v>596</v>
      </c>
    </row>
    <row r="1376" spans="1:22" hidden="1" x14ac:dyDescent="0.25">
      <c r="A1376" s="377">
        <v>45751</v>
      </c>
      <c r="B1376" s="375">
        <v>50000</v>
      </c>
      <c r="C1376" s="375">
        <v>23000</v>
      </c>
      <c r="D1376" s="375">
        <v>5</v>
      </c>
      <c r="E1376" s="375">
        <v>10</v>
      </c>
      <c r="F1376" s="375">
        <v>0.54</v>
      </c>
      <c r="G1376" s="375">
        <v>10446</v>
      </c>
      <c r="H1376" s="376">
        <v>5.9829878015425851E-4</v>
      </c>
      <c r="I1376" s="375">
        <v>5000</v>
      </c>
      <c r="J1376" s="375">
        <v>8000</v>
      </c>
      <c r="K1376" s="375">
        <v>6</v>
      </c>
      <c r="L1376" s="375">
        <v>2600</v>
      </c>
      <c r="M1376" s="375">
        <v>7846</v>
      </c>
      <c r="V1376" s="375" t="s">
        <v>596</v>
      </c>
    </row>
    <row r="1377" spans="1:22" hidden="1" x14ac:dyDescent="0.25">
      <c r="A1377" s="377">
        <v>45752</v>
      </c>
      <c r="B1377" s="375">
        <v>60000</v>
      </c>
      <c r="C1377" s="375">
        <v>27600</v>
      </c>
      <c r="D1377" s="375">
        <v>6</v>
      </c>
      <c r="E1377" s="375">
        <v>12</v>
      </c>
      <c r="F1377" s="375">
        <v>0.54</v>
      </c>
      <c r="G1377" s="375">
        <v>10446</v>
      </c>
      <c r="H1377" s="376">
        <v>7.1795853618511029E-4</v>
      </c>
      <c r="I1377" s="375">
        <v>5000</v>
      </c>
      <c r="J1377" s="375">
        <v>8000</v>
      </c>
      <c r="K1377" s="375">
        <v>8</v>
      </c>
      <c r="L1377" s="375">
        <v>2600</v>
      </c>
      <c r="M1377" s="375">
        <v>7846</v>
      </c>
      <c r="V1377" s="375" t="s">
        <v>596</v>
      </c>
    </row>
    <row r="1378" spans="1:22" hidden="1" x14ac:dyDescent="0.25">
      <c r="A1378" s="377">
        <v>45753</v>
      </c>
      <c r="B1378" s="375">
        <v>60000</v>
      </c>
      <c r="C1378" s="375">
        <v>27600</v>
      </c>
      <c r="D1378" s="375">
        <v>6</v>
      </c>
      <c r="E1378" s="375">
        <v>12</v>
      </c>
      <c r="F1378" s="375">
        <v>0.54</v>
      </c>
      <c r="G1378" s="375">
        <v>10446</v>
      </c>
      <c r="H1378" s="376">
        <v>7.1795853618511029E-4</v>
      </c>
      <c r="I1378" s="375">
        <v>5000</v>
      </c>
      <c r="J1378" s="375">
        <v>8000</v>
      </c>
      <c r="K1378" s="375">
        <v>8</v>
      </c>
      <c r="L1378" s="375">
        <v>2600</v>
      </c>
      <c r="M1378" s="375">
        <v>7846</v>
      </c>
      <c r="V1378" s="375" t="s">
        <v>596</v>
      </c>
    </row>
    <row r="1379" spans="1:22" hidden="1" x14ac:dyDescent="0.25">
      <c r="A1379" s="377">
        <v>45754</v>
      </c>
      <c r="B1379" s="375">
        <v>50000</v>
      </c>
      <c r="C1379" s="375">
        <v>23000</v>
      </c>
      <c r="D1379" s="375">
        <v>5</v>
      </c>
      <c r="E1379" s="375">
        <v>10</v>
      </c>
      <c r="F1379" s="375">
        <v>0.54</v>
      </c>
      <c r="G1379" s="375">
        <v>10446</v>
      </c>
      <c r="H1379" s="376">
        <v>5.9829878015425851E-4</v>
      </c>
      <c r="I1379" s="375">
        <v>5000</v>
      </c>
      <c r="J1379" s="375">
        <v>8000</v>
      </c>
      <c r="K1379" s="375">
        <v>6</v>
      </c>
      <c r="L1379" s="375">
        <v>2600</v>
      </c>
      <c r="M1379" s="375">
        <v>7846</v>
      </c>
      <c r="V1379" s="375" t="s">
        <v>596</v>
      </c>
    </row>
    <row r="1380" spans="1:22" hidden="1" x14ac:dyDescent="0.25">
      <c r="A1380" s="377">
        <v>45755</v>
      </c>
      <c r="B1380" s="375">
        <v>50000</v>
      </c>
      <c r="C1380" s="375">
        <v>23000</v>
      </c>
      <c r="D1380" s="375">
        <v>5</v>
      </c>
      <c r="E1380" s="375">
        <v>10</v>
      </c>
      <c r="F1380" s="375">
        <v>0.54</v>
      </c>
      <c r="G1380" s="375">
        <v>10446</v>
      </c>
      <c r="H1380" s="376">
        <v>6.3818536549787577E-4</v>
      </c>
      <c r="I1380" s="375">
        <v>5000</v>
      </c>
      <c r="J1380" s="375">
        <v>7500</v>
      </c>
      <c r="K1380" s="375">
        <v>7</v>
      </c>
      <c r="L1380" s="375">
        <v>2600</v>
      </c>
      <c r="M1380" s="375">
        <v>7846</v>
      </c>
      <c r="V1380" s="375" t="s">
        <v>596</v>
      </c>
    </row>
    <row r="1381" spans="1:22" hidden="1" x14ac:dyDescent="0.25">
      <c r="A1381" s="377">
        <v>45756</v>
      </c>
      <c r="B1381" s="375">
        <v>50000</v>
      </c>
      <c r="C1381" s="375">
        <v>23000</v>
      </c>
      <c r="D1381" s="375">
        <v>5</v>
      </c>
      <c r="E1381" s="375">
        <v>10</v>
      </c>
      <c r="F1381" s="375">
        <v>0.54</v>
      </c>
      <c r="G1381" s="375">
        <v>10446</v>
      </c>
      <c r="H1381" s="376">
        <v>6.3818536549787577E-4</v>
      </c>
      <c r="I1381" s="375">
        <v>5000</v>
      </c>
      <c r="J1381" s="375">
        <v>7500</v>
      </c>
      <c r="K1381" s="375">
        <v>7</v>
      </c>
      <c r="L1381" s="375">
        <v>2600</v>
      </c>
      <c r="M1381" s="375">
        <v>7846</v>
      </c>
      <c r="V1381" s="375" t="s">
        <v>596</v>
      </c>
    </row>
    <row r="1382" spans="1:22" hidden="1" x14ac:dyDescent="0.25">
      <c r="A1382" s="377">
        <v>45757</v>
      </c>
      <c r="B1382" s="375">
        <v>50000</v>
      </c>
      <c r="C1382" s="375">
        <v>23000</v>
      </c>
      <c r="D1382" s="375">
        <v>5</v>
      </c>
      <c r="E1382" s="375">
        <v>10</v>
      </c>
      <c r="F1382" s="375">
        <v>0.54</v>
      </c>
      <c r="G1382" s="375">
        <v>10446</v>
      </c>
      <c r="H1382" s="376">
        <v>6.3818536549787577E-4</v>
      </c>
      <c r="I1382" s="375">
        <v>5000</v>
      </c>
      <c r="J1382" s="375">
        <v>7500</v>
      </c>
      <c r="K1382" s="375">
        <v>7</v>
      </c>
      <c r="L1382" s="375">
        <v>2600</v>
      </c>
      <c r="M1382" s="375">
        <v>7846</v>
      </c>
      <c r="V1382" s="375" t="s">
        <v>596</v>
      </c>
    </row>
    <row r="1383" spans="1:22" hidden="1" x14ac:dyDescent="0.25">
      <c r="A1383" s="377">
        <v>45758</v>
      </c>
      <c r="B1383" s="375">
        <v>50000</v>
      </c>
      <c r="C1383" s="375">
        <v>23000</v>
      </c>
      <c r="D1383" s="375">
        <v>5</v>
      </c>
      <c r="E1383" s="375">
        <v>10</v>
      </c>
      <c r="F1383" s="375">
        <v>0.54</v>
      </c>
      <c r="G1383" s="375">
        <v>10446</v>
      </c>
      <c r="H1383" s="376">
        <v>6.3818536549787577E-4</v>
      </c>
      <c r="I1383" s="375">
        <v>5000</v>
      </c>
      <c r="J1383" s="375">
        <v>7500</v>
      </c>
      <c r="K1383" s="375">
        <v>7</v>
      </c>
      <c r="L1383" s="375">
        <v>2600</v>
      </c>
      <c r="M1383" s="375">
        <v>7846</v>
      </c>
      <c r="V1383" s="375" t="s">
        <v>596</v>
      </c>
    </row>
    <row r="1384" spans="1:22" hidden="1" x14ac:dyDescent="0.25">
      <c r="A1384" s="377">
        <v>45759</v>
      </c>
      <c r="B1384" s="375">
        <v>50000</v>
      </c>
      <c r="C1384" s="375">
        <v>23000</v>
      </c>
      <c r="D1384" s="375">
        <v>5</v>
      </c>
      <c r="E1384" s="375">
        <v>10</v>
      </c>
      <c r="F1384" s="375">
        <v>0.54</v>
      </c>
      <c r="G1384" s="375">
        <v>10446</v>
      </c>
      <c r="H1384" s="376">
        <v>6.3818536549787577E-4</v>
      </c>
      <c r="I1384" s="375">
        <v>5000</v>
      </c>
      <c r="J1384" s="375">
        <v>7500</v>
      </c>
      <c r="K1384" s="375">
        <v>7</v>
      </c>
      <c r="L1384" s="375">
        <v>2600</v>
      </c>
      <c r="M1384" s="375">
        <v>7846</v>
      </c>
      <c r="V1384" s="375" t="s">
        <v>596</v>
      </c>
    </row>
    <row r="1385" spans="1:22" hidden="1" x14ac:dyDescent="0.25">
      <c r="A1385" s="377">
        <v>45760</v>
      </c>
      <c r="B1385" s="375">
        <v>50000</v>
      </c>
      <c r="C1385" s="375">
        <v>23000</v>
      </c>
      <c r="D1385" s="375">
        <v>5</v>
      </c>
      <c r="E1385" s="375">
        <v>10</v>
      </c>
      <c r="F1385" s="375">
        <v>0.54</v>
      </c>
      <c r="G1385" s="375">
        <v>10446</v>
      </c>
      <c r="H1385" s="376">
        <v>6.3818536549787577E-4</v>
      </c>
      <c r="I1385" s="375">
        <v>5000</v>
      </c>
      <c r="J1385" s="375">
        <v>7500</v>
      </c>
      <c r="K1385" s="375">
        <v>7</v>
      </c>
      <c r="L1385" s="375">
        <v>2600</v>
      </c>
      <c r="M1385" s="375">
        <v>7846</v>
      </c>
      <c r="V1385" s="375" t="s">
        <v>596</v>
      </c>
    </row>
    <row r="1386" spans="1:22" hidden="1" x14ac:dyDescent="0.25">
      <c r="A1386" s="377">
        <v>45761</v>
      </c>
      <c r="B1386" s="375">
        <v>50000</v>
      </c>
      <c r="C1386" s="375">
        <v>23000</v>
      </c>
      <c r="D1386" s="375">
        <v>5</v>
      </c>
      <c r="E1386" s="375">
        <v>10</v>
      </c>
      <c r="F1386" s="375">
        <v>0.54</v>
      </c>
      <c r="G1386" s="375">
        <v>10446</v>
      </c>
      <c r="H1386" s="376">
        <v>6.3818536549787577E-4</v>
      </c>
      <c r="I1386" s="375">
        <v>5000</v>
      </c>
      <c r="J1386" s="375">
        <v>7500</v>
      </c>
      <c r="K1386" s="375">
        <v>7</v>
      </c>
      <c r="L1386" s="375">
        <v>2600</v>
      </c>
      <c r="M1386" s="375">
        <v>7846</v>
      </c>
      <c r="V1386" s="375" t="s">
        <v>596</v>
      </c>
    </row>
    <row r="1387" spans="1:22" hidden="1" x14ac:dyDescent="0.25">
      <c r="A1387" s="377">
        <v>45762</v>
      </c>
      <c r="B1387" s="375">
        <v>50000</v>
      </c>
      <c r="C1387" s="375">
        <v>23000</v>
      </c>
      <c r="D1387" s="375">
        <v>5</v>
      </c>
      <c r="E1387" s="375">
        <v>10</v>
      </c>
      <c r="F1387" s="375">
        <v>0.54</v>
      </c>
      <c r="G1387" s="375">
        <v>10446</v>
      </c>
      <c r="H1387" s="376">
        <v>6.3818536549787577E-4</v>
      </c>
      <c r="I1387" s="375">
        <v>5000</v>
      </c>
      <c r="J1387" s="375">
        <v>7500</v>
      </c>
      <c r="K1387" s="375">
        <v>7</v>
      </c>
      <c r="L1387" s="375">
        <v>2600</v>
      </c>
      <c r="M1387" s="375">
        <v>7846</v>
      </c>
      <c r="V1387" s="375" t="s">
        <v>596</v>
      </c>
    </row>
    <row r="1388" spans="1:22" hidden="1" x14ac:dyDescent="0.25">
      <c r="A1388" s="377">
        <v>45763</v>
      </c>
      <c r="B1388" s="375">
        <v>50000</v>
      </c>
      <c r="C1388" s="375">
        <v>23000</v>
      </c>
      <c r="D1388" s="375">
        <v>5</v>
      </c>
      <c r="E1388" s="375">
        <v>10</v>
      </c>
      <c r="F1388" s="375">
        <v>0.54</v>
      </c>
      <c r="G1388" s="375">
        <v>10446</v>
      </c>
      <c r="H1388" s="376">
        <v>6.3818536549787577E-4</v>
      </c>
      <c r="I1388" s="375">
        <v>5000</v>
      </c>
      <c r="J1388" s="375">
        <v>7500</v>
      </c>
      <c r="K1388" s="375">
        <v>7</v>
      </c>
      <c r="L1388" s="375">
        <v>2600</v>
      </c>
      <c r="M1388" s="375">
        <v>7846</v>
      </c>
      <c r="V1388" s="375" t="s">
        <v>596</v>
      </c>
    </row>
    <row r="1389" spans="1:22" hidden="1" x14ac:dyDescent="0.25">
      <c r="A1389" s="377">
        <v>45764</v>
      </c>
      <c r="B1389" s="375">
        <v>50000</v>
      </c>
      <c r="C1389" s="375">
        <v>23000</v>
      </c>
      <c r="D1389" s="375">
        <v>5</v>
      </c>
      <c r="E1389" s="375">
        <v>10</v>
      </c>
      <c r="F1389" s="375">
        <v>0.54</v>
      </c>
      <c r="G1389" s="375">
        <v>10446</v>
      </c>
      <c r="H1389" s="376">
        <v>6.3818536549787577E-4</v>
      </c>
      <c r="I1389" s="375">
        <v>5000</v>
      </c>
      <c r="J1389" s="375">
        <v>7500</v>
      </c>
      <c r="K1389" s="375">
        <v>7</v>
      </c>
      <c r="L1389" s="375">
        <v>2600</v>
      </c>
      <c r="M1389" s="375">
        <v>7846</v>
      </c>
      <c r="V1389" s="375" t="s">
        <v>596</v>
      </c>
    </row>
    <row r="1390" spans="1:22" hidden="1" x14ac:dyDescent="0.25">
      <c r="A1390" s="377">
        <v>45765</v>
      </c>
      <c r="B1390" s="375">
        <v>50000</v>
      </c>
      <c r="C1390" s="375">
        <v>23000</v>
      </c>
      <c r="D1390" s="375">
        <v>5</v>
      </c>
      <c r="E1390" s="375">
        <v>10</v>
      </c>
      <c r="F1390" s="375">
        <v>0.54</v>
      </c>
      <c r="G1390" s="375">
        <v>10446</v>
      </c>
      <c r="H1390" s="376">
        <v>6.3818536549787577E-4</v>
      </c>
      <c r="I1390" s="375">
        <v>5000</v>
      </c>
      <c r="J1390" s="375">
        <v>7500</v>
      </c>
      <c r="K1390" s="375">
        <v>7</v>
      </c>
      <c r="L1390" s="375">
        <v>2600</v>
      </c>
      <c r="M1390" s="375">
        <v>7846</v>
      </c>
      <c r="V1390" s="375" t="s">
        <v>596</v>
      </c>
    </row>
    <row r="1391" spans="1:22" hidden="1" x14ac:dyDescent="0.25">
      <c r="A1391" s="377">
        <v>45766</v>
      </c>
      <c r="B1391" s="375">
        <v>60000</v>
      </c>
      <c r="C1391" s="375">
        <v>27600</v>
      </c>
      <c r="D1391" s="375">
        <v>6</v>
      </c>
      <c r="E1391" s="375">
        <v>12</v>
      </c>
      <c r="F1391" s="375">
        <v>0.54</v>
      </c>
      <c r="G1391" s="375">
        <v>10446</v>
      </c>
      <c r="H1391" s="376">
        <v>7.6582243859745099E-4</v>
      </c>
      <c r="I1391" s="375">
        <v>5000</v>
      </c>
      <c r="J1391" s="375">
        <v>7500</v>
      </c>
      <c r="K1391" s="375">
        <v>8</v>
      </c>
      <c r="L1391" s="375">
        <v>2600</v>
      </c>
      <c r="M1391" s="375">
        <v>7846</v>
      </c>
      <c r="V1391" s="375" t="s">
        <v>596</v>
      </c>
    </row>
    <row r="1392" spans="1:22" hidden="1" x14ac:dyDescent="0.25">
      <c r="A1392" s="377">
        <v>45767</v>
      </c>
      <c r="B1392" s="375">
        <v>50000</v>
      </c>
      <c r="C1392" s="375">
        <v>23000</v>
      </c>
      <c r="D1392" s="375">
        <v>5</v>
      </c>
      <c r="E1392" s="375">
        <v>10</v>
      </c>
      <c r="F1392" s="375">
        <v>0.54</v>
      </c>
      <c r="G1392" s="375">
        <v>10446</v>
      </c>
      <c r="H1392" s="376">
        <v>6.3818536549787577E-4</v>
      </c>
      <c r="I1392" s="375">
        <v>5000</v>
      </c>
      <c r="J1392" s="375">
        <v>7500</v>
      </c>
      <c r="K1392" s="375">
        <v>7</v>
      </c>
      <c r="L1392" s="375">
        <v>2600</v>
      </c>
      <c r="M1392" s="375">
        <v>7846</v>
      </c>
      <c r="V1392" s="375" t="s">
        <v>596</v>
      </c>
    </row>
    <row r="1393" spans="1:22" hidden="1" x14ac:dyDescent="0.25">
      <c r="A1393" s="377">
        <v>45768</v>
      </c>
      <c r="B1393" s="375">
        <v>50000</v>
      </c>
      <c r="C1393" s="375">
        <v>23000</v>
      </c>
      <c r="D1393" s="375">
        <v>5</v>
      </c>
      <c r="E1393" s="375">
        <v>10</v>
      </c>
      <c r="F1393" s="375">
        <v>0.54</v>
      </c>
      <c r="G1393" s="375">
        <v>10446</v>
      </c>
      <c r="H1393" s="376">
        <v>6.3818536549787577E-4</v>
      </c>
      <c r="I1393" s="375">
        <v>5000</v>
      </c>
      <c r="J1393" s="375">
        <v>7500</v>
      </c>
      <c r="K1393" s="375">
        <v>7</v>
      </c>
      <c r="L1393" s="375">
        <v>2600</v>
      </c>
      <c r="M1393" s="375">
        <v>7846</v>
      </c>
      <c r="V1393" s="375" t="s">
        <v>596</v>
      </c>
    </row>
    <row r="1394" spans="1:22" hidden="1" x14ac:dyDescent="0.25">
      <c r="A1394" s="377">
        <v>45769</v>
      </c>
      <c r="B1394" s="375">
        <v>50000</v>
      </c>
      <c r="C1394" s="375">
        <v>23000</v>
      </c>
      <c r="D1394" s="375">
        <v>5</v>
      </c>
      <c r="E1394" s="375">
        <v>10</v>
      </c>
      <c r="F1394" s="375">
        <v>0.54</v>
      </c>
      <c r="G1394" s="375">
        <v>10446</v>
      </c>
      <c r="H1394" s="376">
        <v>6.3818536549787577E-4</v>
      </c>
      <c r="I1394" s="375">
        <v>5000</v>
      </c>
      <c r="J1394" s="375">
        <v>7500</v>
      </c>
      <c r="K1394" s="375">
        <v>7</v>
      </c>
      <c r="L1394" s="375">
        <v>2600</v>
      </c>
      <c r="M1394" s="375">
        <v>7846</v>
      </c>
      <c r="V1394" s="375" t="s">
        <v>596</v>
      </c>
    </row>
    <row r="1395" spans="1:22" hidden="1" x14ac:dyDescent="0.25">
      <c r="A1395" s="377">
        <v>45770</v>
      </c>
      <c r="B1395" s="375">
        <v>50000</v>
      </c>
      <c r="C1395" s="375">
        <v>23000</v>
      </c>
      <c r="D1395" s="375">
        <v>5</v>
      </c>
      <c r="E1395" s="375">
        <v>10</v>
      </c>
      <c r="F1395" s="375">
        <v>0.54</v>
      </c>
      <c r="G1395" s="375">
        <v>10446</v>
      </c>
      <c r="H1395" s="376">
        <v>6.3818536549787577E-4</v>
      </c>
      <c r="I1395" s="375">
        <v>5000</v>
      </c>
      <c r="J1395" s="375">
        <v>7500</v>
      </c>
      <c r="K1395" s="375">
        <v>7</v>
      </c>
      <c r="L1395" s="375">
        <v>2600</v>
      </c>
      <c r="M1395" s="375">
        <v>7846</v>
      </c>
      <c r="V1395" s="375" t="s">
        <v>596</v>
      </c>
    </row>
    <row r="1396" spans="1:22" hidden="1" x14ac:dyDescent="0.25">
      <c r="A1396" s="377">
        <v>45771</v>
      </c>
      <c r="B1396" s="375">
        <v>50000</v>
      </c>
      <c r="C1396" s="375">
        <v>23000</v>
      </c>
      <c r="D1396" s="375">
        <v>5</v>
      </c>
      <c r="E1396" s="375">
        <v>10</v>
      </c>
      <c r="F1396" s="375">
        <v>0.54</v>
      </c>
      <c r="G1396" s="375">
        <v>10446</v>
      </c>
      <c r="H1396" s="376">
        <v>6.3818536549787577E-4</v>
      </c>
      <c r="I1396" s="375">
        <v>5000</v>
      </c>
      <c r="J1396" s="375">
        <v>7500</v>
      </c>
      <c r="K1396" s="375">
        <v>7</v>
      </c>
      <c r="L1396" s="375">
        <v>2600</v>
      </c>
      <c r="M1396" s="375">
        <v>7846</v>
      </c>
      <c r="V1396" s="375" t="s">
        <v>596</v>
      </c>
    </row>
    <row r="1397" spans="1:22" hidden="1" x14ac:dyDescent="0.25">
      <c r="A1397" s="377">
        <v>45772</v>
      </c>
      <c r="B1397" s="375">
        <v>50000</v>
      </c>
      <c r="C1397" s="375">
        <v>23000</v>
      </c>
      <c r="D1397" s="375">
        <v>5</v>
      </c>
      <c r="E1397" s="375">
        <v>10</v>
      </c>
      <c r="F1397" s="375">
        <v>0.54</v>
      </c>
      <c r="G1397" s="375">
        <v>11286</v>
      </c>
      <c r="H1397" s="376">
        <v>5.9068521519993944E-4</v>
      </c>
      <c r="I1397" s="375">
        <v>5000</v>
      </c>
      <c r="J1397" s="375">
        <v>7500</v>
      </c>
      <c r="K1397" s="375">
        <v>7</v>
      </c>
      <c r="L1397" s="375">
        <v>2600</v>
      </c>
      <c r="M1397" s="375">
        <v>8686</v>
      </c>
      <c r="V1397" s="375" t="s">
        <v>596</v>
      </c>
    </row>
    <row r="1398" spans="1:22" hidden="1" x14ac:dyDescent="0.25">
      <c r="A1398" s="377">
        <v>45773</v>
      </c>
      <c r="B1398" s="375">
        <v>50000</v>
      </c>
      <c r="C1398" s="375">
        <v>23000</v>
      </c>
      <c r="D1398" s="375">
        <v>5</v>
      </c>
      <c r="E1398" s="375">
        <v>10</v>
      </c>
      <c r="F1398" s="375">
        <v>0.54</v>
      </c>
      <c r="G1398" s="375">
        <v>11286</v>
      </c>
      <c r="H1398" s="376">
        <v>5.9068521519993944E-4</v>
      </c>
      <c r="I1398" s="375">
        <v>5000</v>
      </c>
      <c r="J1398" s="375">
        <v>7500</v>
      </c>
      <c r="K1398" s="375">
        <v>7</v>
      </c>
      <c r="L1398" s="375">
        <v>2600</v>
      </c>
      <c r="M1398" s="375">
        <v>8686</v>
      </c>
      <c r="V1398" s="375" t="s">
        <v>596</v>
      </c>
    </row>
    <row r="1399" spans="1:22" hidden="1" x14ac:dyDescent="0.25">
      <c r="A1399" s="377">
        <v>45774</v>
      </c>
      <c r="B1399" s="375">
        <v>50000</v>
      </c>
      <c r="C1399" s="375">
        <v>23000</v>
      </c>
      <c r="D1399" s="375">
        <v>5</v>
      </c>
      <c r="E1399" s="375">
        <v>10</v>
      </c>
      <c r="F1399" s="375">
        <v>0.54</v>
      </c>
      <c r="G1399" s="375">
        <v>11294</v>
      </c>
      <c r="H1399" s="376">
        <v>5.9026682093895732E-4</v>
      </c>
      <c r="I1399" s="375">
        <v>5000</v>
      </c>
      <c r="J1399" s="375">
        <v>7500</v>
      </c>
      <c r="K1399" s="375">
        <v>7</v>
      </c>
      <c r="L1399" s="375">
        <v>2608</v>
      </c>
      <c r="M1399" s="375">
        <v>8686</v>
      </c>
      <c r="V1399" s="375" t="s">
        <v>596</v>
      </c>
    </row>
    <row r="1400" spans="1:22" hidden="1" x14ac:dyDescent="0.25">
      <c r="A1400" s="377">
        <v>45775</v>
      </c>
      <c r="B1400" s="375">
        <v>50000</v>
      </c>
      <c r="C1400" s="375">
        <v>23000</v>
      </c>
      <c r="D1400" s="375">
        <v>5</v>
      </c>
      <c r="E1400" s="375">
        <v>10</v>
      </c>
      <c r="F1400" s="375">
        <v>0.54</v>
      </c>
      <c r="G1400" s="375">
        <v>11336</v>
      </c>
      <c r="H1400" s="376">
        <v>5.8807993925887015E-4</v>
      </c>
      <c r="I1400" s="375">
        <v>5000</v>
      </c>
      <c r="J1400" s="375">
        <v>7500</v>
      </c>
      <c r="K1400" s="375">
        <v>7</v>
      </c>
      <c r="L1400" s="375">
        <v>2650</v>
      </c>
      <c r="M1400" s="375">
        <v>8686</v>
      </c>
      <c r="V1400" s="375" t="s">
        <v>596</v>
      </c>
    </row>
    <row r="1401" spans="1:22" hidden="1" x14ac:dyDescent="0.25">
      <c r="A1401" s="377">
        <v>45776</v>
      </c>
      <c r="B1401" s="375">
        <v>49000</v>
      </c>
      <c r="C1401" s="375">
        <v>22540</v>
      </c>
      <c r="D1401" s="375">
        <v>5</v>
      </c>
      <c r="E1401" s="375">
        <v>10</v>
      </c>
      <c r="F1401" s="375">
        <v>0.54</v>
      </c>
      <c r="G1401" s="375">
        <v>11586</v>
      </c>
      <c r="H1401" s="376">
        <v>5.6388302931266899E-4</v>
      </c>
      <c r="I1401" s="375">
        <v>5000</v>
      </c>
      <c r="J1401" s="375">
        <v>7500</v>
      </c>
      <c r="K1401" s="375">
        <v>7</v>
      </c>
      <c r="L1401" s="375">
        <v>2900</v>
      </c>
      <c r="M1401" s="375">
        <v>8686</v>
      </c>
      <c r="V1401" s="375" t="s">
        <v>596</v>
      </c>
    </row>
    <row r="1402" spans="1:22" hidden="1" x14ac:dyDescent="0.25">
      <c r="A1402" s="377">
        <v>45777</v>
      </c>
      <c r="B1402" s="375">
        <v>45848</v>
      </c>
      <c r="C1402" s="375">
        <v>21090</v>
      </c>
      <c r="D1402" s="375">
        <v>4</v>
      </c>
      <c r="E1402" s="375">
        <v>9</v>
      </c>
      <c r="F1402" s="375">
        <v>0.54</v>
      </c>
      <c r="G1402" s="375">
        <v>11686</v>
      </c>
      <c r="H1402" s="376">
        <v>5.2309562386071754E-4</v>
      </c>
      <c r="I1402" s="375">
        <v>5000</v>
      </c>
      <c r="J1402" s="375">
        <v>7500</v>
      </c>
      <c r="K1402" s="375">
        <v>6</v>
      </c>
      <c r="L1402" s="375">
        <v>3000</v>
      </c>
      <c r="M1402" s="375">
        <v>8686</v>
      </c>
      <c r="V1402" s="375" t="s">
        <v>596</v>
      </c>
    </row>
    <row r="1403" spans="1:22" hidden="1" x14ac:dyDescent="0.25">
      <c r="A1403" s="377">
        <v>45778</v>
      </c>
      <c r="B1403" s="375">
        <v>50000</v>
      </c>
      <c r="C1403" s="375">
        <v>25000</v>
      </c>
      <c r="D1403" s="375">
        <v>6</v>
      </c>
      <c r="E1403" s="375">
        <v>12</v>
      </c>
      <c r="F1403" s="375">
        <v>0.5</v>
      </c>
      <c r="G1403" s="375">
        <v>11509</v>
      </c>
      <c r="H1403" s="376">
        <v>7.8202283239312356E-4</v>
      </c>
      <c r="I1403" s="375">
        <v>4274</v>
      </c>
      <c r="J1403" s="375">
        <v>5556</v>
      </c>
      <c r="K1403" s="375">
        <v>9</v>
      </c>
      <c r="L1403" s="375">
        <v>2500</v>
      </c>
      <c r="M1403" s="375">
        <v>9009</v>
      </c>
      <c r="V1403" s="375" t="s">
        <v>596</v>
      </c>
    </row>
    <row r="1404" spans="1:22" hidden="1" x14ac:dyDescent="0.25">
      <c r="A1404" s="377">
        <v>45779</v>
      </c>
      <c r="B1404" s="375">
        <v>50000</v>
      </c>
      <c r="C1404" s="375">
        <v>25000</v>
      </c>
      <c r="D1404" s="375">
        <v>6</v>
      </c>
      <c r="E1404" s="375">
        <v>12</v>
      </c>
      <c r="F1404" s="375">
        <v>0.5</v>
      </c>
      <c r="G1404" s="375">
        <v>11509</v>
      </c>
      <c r="H1404" s="376">
        <v>7.8202283239312356E-4</v>
      </c>
      <c r="I1404" s="375">
        <v>4274</v>
      </c>
      <c r="J1404" s="375">
        <v>5556</v>
      </c>
      <c r="K1404" s="375">
        <v>9</v>
      </c>
      <c r="L1404" s="375">
        <v>2500</v>
      </c>
      <c r="M1404" s="375">
        <v>9009</v>
      </c>
      <c r="V1404" s="375" t="s">
        <v>596</v>
      </c>
    </row>
    <row r="1405" spans="1:22" hidden="1" x14ac:dyDescent="0.25">
      <c r="A1405" s="377">
        <v>45780</v>
      </c>
      <c r="B1405" s="375">
        <v>30000</v>
      </c>
      <c r="C1405" s="375">
        <v>15000</v>
      </c>
      <c r="D1405" s="375">
        <v>4</v>
      </c>
      <c r="E1405" s="375">
        <v>8</v>
      </c>
      <c r="F1405" s="375">
        <v>0.5</v>
      </c>
      <c r="G1405" s="375">
        <v>11509</v>
      </c>
      <c r="H1405" s="376">
        <v>5.2134855492874904E-4</v>
      </c>
      <c r="I1405" s="375">
        <v>3846</v>
      </c>
      <c r="J1405" s="375">
        <v>5000</v>
      </c>
      <c r="K1405" s="375">
        <v>6</v>
      </c>
      <c r="L1405" s="375">
        <v>2500</v>
      </c>
      <c r="M1405" s="375">
        <v>9009</v>
      </c>
      <c r="V1405" s="375" t="s">
        <v>596</v>
      </c>
    </row>
    <row r="1406" spans="1:22" hidden="1" x14ac:dyDescent="0.25">
      <c r="A1406" s="377">
        <v>45781</v>
      </c>
      <c r="B1406" s="375">
        <v>30000</v>
      </c>
      <c r="C1406" s="375">
        <v>15000</v>
      </c>
      <c r="D1406" s="375">
        <v>4</v>
      </c>
      <c r="E1406" s="375">
        <v>8</v>
      </c>
      <c r="F1406" s="375">
        <v>0.5</v>
      </c>
      <c r="G1406" s="375">
        <v>11509</v>
      </c>
      <c r="H1406" s="376">
        <v>5.2134855492874904E-4</v>
      </c>
      <c r="I1406" s="375">
        <v>3846</v>
      </c>
      <c r="J1406" s="375">
        <v>5000</v>
      </c>
      <c r="K1406" s="375">
        <v>6</v>
      </c>
      <c r="L1406" s="375">
        <v>2500</v>
      </c>
      <c r="M1406" s="375">
        <v>9009</v>
      </c>
      <c r="V1406" s="375" t="s">
        <v>596</v>
      </c>
    </row>
    <row r="1407" spans="1:22" hidden="1" x14ac:dyDescent="0.25">
      <c r="A1407" s="377">
        <v>45782</v>
      </c>
      <c r="B1407" s="375">
        <v>50000</v>
      </c>
      <c r="C1407" s="375">
        <v>25000</v>
      </c>
      <c r="D1407" s="375">
        <v>7</v>
      </c>
      <c r="E1407" s="375">
        <v>13</v>
      </c>
      <c r="F1407" s="375">
        <v>0.5</v>
      </c>
      <c r="G1407" s="375">
        <v>11509</v>
      </c>
      <c r="H1407" s="376">
        <v>8.689142582145817E-4</v>
      </c>
      <c r="I1407" s="375">
        <v>3846</v>
      </c>
      <c r="J1407" s="375">
        <v>5000</v>
      </c>
      <c r="K1407" s="375">
        <v>10</v>
      </c>
      <c r="L1407" s="375">
        <v>2500</v>
      </c>
      <c r="M1407" s="375">
        <v>9009</v>
      </c>
      <c r="V1407" s="375" t="s">
        <v>596</v>
      </c>
    </row>
    <row r="1408" spans="1:22" hidden="1" x14ac:dyDescent="0.25">
      <c r="A1408" s="377">
        <v>45783</v>
      </c>
      <c r="B1408" s="375">
        <v>30000</v>
      </c>
      <c r="C1408" s="375">
        <v>15000</v>
      </c>
      <c r="D1408" s="375">
        <v>4</v>
      </c>
      <c r="E1408" s="375">
        <v>8</v>
      </c>
      <c r="F1408" s="375">
        <v>0.5</v>
      </c>
      <c r="G1408" s="375">
        <v>11509</v>
      </c>
      <c r="H1408" s="376">
        <v>5.2134855492874904E-4</v>
      </c>
      <c r="I1408" s="375">
        <v>3846</v>
      </c>
      <c r="J1408" s="375">
        <v>5000</v>
      </c>
      <c r="K1408" s="375">
        <v>6</v>
      </c>
      <c r="L1408" s="375">
        <v>2500</v>
      </c>
      <c r="M1408" s="375">
        <v>9009</v>
      </c>
      <c r="V1408" s="375" t="s">
        <v>596</v>
      </c>
    </row>
    <row r="1409" spans="1:22" hidden="1" x14ac:dyDescent="0.25">
      <c r="A1409" s="377">
        <v>45784</v>
      </c>
      <c r="B1409" s="375">
        <v>30000</v>
      </c>
      <c r="C1409" s="375">
        <v>15000</v>
      </c>
      <c r="D1409" s="375">
        <v>5</v>
      </c>
      <c r="E1409" s="375">
        <v>9</v>
      </c>
      <c r="F1409" s="375">
        <v>0.5</v>
      </c>
      <c r="G1409" s="375">
        <v>14009</v>
      </c>
      <c r="H1409" s="376">
        <v>4.9969249692496931E-4</v>
      </c>
      <c r="I1409" s="375">
        <v>3297</v>
      </c>
      <c r="J1409" s="375">
        <v>4286</v>
      </c>
      <c r="K1409" s="375">
        <v>7</v>
      </c>
      <c r="L1409" s="375">
        <v>5000</v>
      </c>
      <c r="M1409" s="375">
        <v>9009</v>
      </c>
      <c r="V1409" s="375" t="s">
        <v>596</v>
      </c>
    </row>
    <row r="1410" spans="1:22" hidden="1" x14ac:dyDescent="0.25">
      <c r="A1410" s="377">
        <v>45785</v>
      </c>
      <c r="B1410" s="375">
        <v>30000</v>
      </c>
      <c r="C1410" s="375">
        <v>15000</v>
      </c>
      <c r="D1410" s="375">
        <v>5</v>
      </c>
      <c r="E1410" s="375">
        <v>9</v>
      </c>
      <c r="F1410" s="375">
        <v>0.5</v>
      </c>
      <c r="G1410" s="375">
        <v>11509</v>
      </c>
      <c r="H1410" s="376">
        <v>6.0823998075020729E-4</v>
      </c>
      <c r="I1410" s="375">
        <v>3297</v>
      </c>
      <c r="J1410" s="375">
        <v>4286</v>
      </c>
      <c r="K1410" s="375">
        <v>7</v>
      </c>
      <c r="L1410" s="375">
        <v>2500</v>
      </c>
      <c r="M1410" s="375">
        <v>9009</v>
      </c>
      <c r="V1410" s="375" t="s">
        <v>596</v>
      </c>
    </row>
    <row r="1411" spans="1:22" hidden="1" x14ac:dyDescent="0.25">
      <c r="A1411" s="377">
        <v>45786</v>
      </c>
      <c r="B1411" s="375">
        <v>30000</v>
      </c>
      <c r="C1411" s="375">
        <v>15000</v>
      </c>
      <c r="D1411" s="375">
        <v>5</v>
      </c>
      <c r="E1411" s="375">
        <v>9</v>
      </c>
      <c r="F1411" s="375">
        <v>0.5</v>
      </c>
      <c r="G1411" s="375">
        <v>11509</v>
      </c>
      <c r="H1411" s="376">
        <v>6.0823998075020729E-4</v>
      </c>
      <c r="I1411" s="375">
        <v>3297</v>
      </c>
      <c r="J1411" s="375">
        <v>4286</v>
      </c>
      <c r="K1411" s="375">
        <v>7</v>
      </c>
      <c r="L1411" s="375">
        <v>2500</v>
      </c>
      <c r="M1411" s="375">
        <v>9009</v>
      </c>
      <c r="V1411" s="375" t="s">
        <v>596</v>
      </c>
    </row>
    <row r="1412" spans="1:22" hidden="1" x14ac:dyDescent="0.25">
      <c r="A1412" s="377">
        <v>45787</v>
      </c>
      <c r="B1412" s="375">
        <v>30000</v>
      </c>
      <c r="C1412" s="375">
        <v>15000</v>
      </c>
      <c r="D1412" s="375">
        <v>5</v>
      </c>
      <c r="E1412" s="375">
        <v>9</v>
      </c>
      <c r="F1412" s="375">
        <v>0.5</v>
      </c>
      <c r="G1412" s="375">
        <v>14009</v>
      </c>
      <c r="H1412" s="376">
        <v>4.9969249692496931E-4</v>
      </c>
      <c r="I1412" s="375">
        <v>3297</v>
      </c>
      <c r="J1412" s="375">
        <v>4286</v>
      </c>
      <c r="K1412" s="375">
        <v>7</v>
      </c>
      <c r="L1412" s="375">
        <v>5000</v>
      </c>
      <c r="M1412" s="375">
        <v>9009</v>
      </c>
      <c r="V1412" s="375" t="s">
        <v>596</v>
      </c>
    </row>
    <row r="1413" spans="1:22" hidden="1" x14ac:dyDescent="0.25">
      <c r="A1413" s="377">
        <v>45788</v>
      </c>
      <c r="B1413" s="375">
        <v>30000</v>
      </c>
      <c r="C1413" s="375">
        <v>20000</v>
      </c>
      <c r="D1413" s="375">
        <v>6</v>
      </c>
      <c r="E1413" s="375">
        <v>9</v>
      </c>
      <c r="F1413" s="375">
        <v>0.33333333333333337</v>
      </c>
      <c r="G1413" s="375">
        <v>13009</v>
      </c>
      <c r="H1413" s="376">
        <v>5.3810492454704577E-4</v>
      </c>
      <c r="I1413" s="375">
        <v>3297</v>
      </c>
      <c r="J1413" s="375">
        <v>4286</v>
      </c>
      <c r="K1413" s="375">
        <v>7</v>
      </c>
      <c r="L1413" s="375">
        <v>4000</v>
      </c>
      <c r="M1413" s="375">
        <v>9009</v>
      </c>
      <c r="V1413" s="375" t="s">
        <v>596</v>
      </c>
    </row>
    <row r="1414" spans="1:22" hidden="1" x14ac:dyDescent="0.25">
      <c r="A1414" s="377">
        <v>45789</v>
      </c>
      <c r="B1414" s="375">
        <v>280000</v>
      </c>
      <c r="C1414" s="375">
        <v>116667</v>
      </c>
      <c r="D1414" s="375">
        <v>35</v>
      </c>
      <c r="E1414" s="375">
        <v>85</v>
      </c>
      <c r="F1414" s="375">
        <v>0.58333333333333326</v>
      </c>
      <c r="G1414" s="375">
        <v>19138</v>
      </c>
      <c r="H1414" s="376">
        <v>3.3963849377283703E-3</v>
      </c>
      <c r="I1414" s="375">
        <v>3314</v>
      </c>
      <c r="J1414" s="375">
        <v>4308</v>
      </c>
      <c r="K1414" s="375">
        <v>65</v>
      </c>
      <c r="L1414" s="375">
        <v>7000</v>
      </c>
      <c r="M1414" s="375">
        <v>12138</v>
      </c>
      <c r="V1414" s="375" t="s">
        <v>596</v>
      </c>
    </row>
    <row r="1415" spans="1:22" hidden="1" x14ac:dyDescent="0.25">
      <c r="A1415" s="377">
        <v>45790</v>
      </c>
      <c r="B1415" s="375">
        <v>160000</v>
      </c>
      <c r="C1415" s="375">
        <v>72000</v>
      </c>
      <c r="D1415" s="375">
        <v>26</v>
      </c>
      <c r="E1415" s="375">
        <v>57</v>
      </c>
      <c r="F1415" s="375">
        <v>0.55000000000000004</v>
      </c>
      <c r="G1415" s="375">
        <v>19138</v>
      </c>
      <c r="H1415" s="376">
        <v>2.2990913424622813E-3</v>
      </c>
      <c r="I1415" s="375">
        <v>2797</v>
      </c>
      <c r="J1415" s="375">
        <v>3636</v>
      </c>
      <c r="K1415" s="375">
        <v>44</v>
      </c>
      <c r="L1415" s="375">
        <v>7000</v>
      </c>
      <c r="M1415" s="375">
        <v>12138</v>
      </c>
      <c r="V1415" s="375" t="s">
        <v>596</v>
      </c>
    </row>
    <row r="1416" spans="1:22" hidden="1" x14ac:dyDescent="0.25">
      <c r="A1416" s="377">
        <v>45791</v>
      </c>
      <c r="B1416" s="375">
        <v>150000</v>
      </c>
      <c r="C1416" s="375">
        <v>67500</v>
      </c>
      <c r="D1416" s="375">
        <v>24</v>
      </c>
      <c r="E1416" s="375">
        <v>53</v>
      </c>
      <c r="F1416" s="375">
        <v>0.55000000000000004</v>
      </c>
      <c r="G1416" s="375">
        <v>19138</v>
      </c>
      <c r="H1416" s="376">
        <v>2.1423351145671262E-3</v>
      </c>
      <c r="I1416" s="375">
        <v>2814</v>
      </c>
      <c r="J1416" s="375">
        <v>3659</v>
      </c>
      <c r="K1416" s="375">
        <v>41</v>
      </c>
      <c r="L1416" s="375">
        <v>7000</v>
      </c>
      <c r="M1416" s="375">
        <v>12138</v>
      </c>
      <c r="V1416" s="375" t="s">
        <v>596</v>
      </c>
    </row>
    <row r="1417" spans="1:22" hidden="1" x14ac:dyDescent="0.25">
      <c r="A1417" s="377">
        <v>45792</v>
      </c>
      <c r="B1417" s="375">
        <v>150000</v>
      </c>
      <c r="C1417" s="375">
        <v>70000</v>
      </c>
      <c r="D1417" s="375">
        <v>25</v>
      </c>
      <c r="E1417" s="375">
        <v>53</v>
      </c>
      <c r="F1417" s="375">
        <v>0.53333333333333333</v>
      </c>
      <c r="G1417" s="375">
        <v>20138</v>
      </c>
      <c r="H1417" s="376">
        <v>2.0359523763375108E-3</v>
      </c>
      <c r="I1417" s="375">
        <v>2814</v>
      </c>
      <c r="J1417" s="375">
        <v>3659</v>
      </c>
      <c r="K1417" s="375">
        <v>41</v>
      </c>
      <c r="L1417" s="375">
        <v>8000</v>
      </c>
      <c r="M1417" s="375">
        <v>12138</v>
      </c>
      <c r="V1417" s="375" t="s">
        <v>596</v>
      </c>
    </row>
    <row r="1418" spans="1:22" hidden="1" x14ac:dyDescent="0.25">
      <c r="A1418" s="377">
        <v>45793</v>
      </c>
      <c r="B1418" s="375">
        <v>1050000</v>
      </c>
      <c r="C1418" s="375">
        <v>393800</v>
      </c>
      <c r="D1418" s="375">
        <v>147</v>
      </c>
      <c r="E1418" s="375">
        <v>391</v>
      </c>
      <c r="F1418" s="375">
        <v>0.62495238095238093</v>
      </c>
      <c r="G1418" s="375">
        <v>42333</v>
      </c>
      <c r="H1418" s="376">
        <v>7.1102922070252518E-3</v>
      </c>
      <c r="I1418" s="375">
        <v>2685</v>
      </c>
      <c r="J1418" s="375">
        <v>3488</v>
      </c>
      <c r="K1418" s="375">
        <v>301</v>
      </c>
      <c r="L1418" s="375">
        <v>12000</v>
      </c>
      <c r="M1418" s="375">
        <v>30333</v>
      </c>
      <c r="V1418" s="375" t="s">
        <v>596</v>
      </c>
    </row>
    <row r="1419" spans="1:22" hidden="1" x14ac:dyDescent="0.25">
      <c r="A1419" s="377">
        <v>45794</v>
      </c>
      <c r="B1419" s="375">
        <v>570000</v>
      </c>
      <c r="C1419" s="375">
        <v>210900</v>
      </c>
      <c r="D1419" s="375">
        <v>72</v>
      </c>
      <c r="E1419" s="375">
        <v>195</v>
      </c>
      <c r="F1419" s="375">
        <v>0.63</v>
      </c>
      <c r="G1419" s="375">
        <v>21793</v>
      </c>
      <c r="H1419" s="376">
        <v>6.8828236442557431E-3</v>
      </c>
      <c r="I1419" s="375">
        <v>2923</v>
      </c>
      <c r="J1419" s="375">
        <v>3800</v>
      </c>
      <c r="K1419" s="375">
        <v>150</v>
      </c>
      <c r="L1419" s="375">
        <v>5000</v>
      </c>
      <c r="M1419" s="375">
        <v>16793</v>
      </c>
      <c r="V1419" s="375" t="s">
        <v>596</v>
      </c>
    </row>
    <row r="1420" spans="1:22" hidden="1" x14ac:dyDescent="0.25">
      <c r="A1420" s="377">
        <v>45795</v>
      </c>
      <c r="B1420" s="375">
        <v>350000</v>
      </c>
      <c r="C1420" s="375">
        <v>130200</v>
      </c>
      <c r="D1420" s="375">
        <v>44</v>
      </c>
      <c r="E1420" s="375">
        <v>120</v>
      </c>
      <c r="F1420" s="375">
        <v>0.628</v>
      </c>
      <c r="G1420" s="375">
        <v>23781</v>
      </c>
      <c r="H1420" s="376">
        <v>3.8685965478188074E-3</v>
      </c>
      <c r="I1420" s="375">
        <v>2926</v>
      </c>
      <c r="J1420" s="375">
        <v>3804</v>
      </c>
      <c r="K1420" s="375">
        <v>92</v>
      </c>
      <c r="L1420" s="375">
        <v>5000</v>
      </c>
      <c r="M1420" s="375">
        <v>18781</v>
      </c>
      <c r="V1420" s="375" t="s">
        <v>596</v>
      </c>
    </row>
    <row r="1421" spans="1:22" hidden="1" x14ac:dyDescent="0.25">
      <c r="A1421" s="377">
        <v>45796</v>
      </c>
      <c r="B1421" s="375">
        <v>350000</v>
      </c>
      <c r="C1421" s="375">
        <v>147000</v>
      </c>
      <c r="D1421" s="375">
        <v>49</v>
      </c>
      <c r="E1421" s="375">
        <v>117</v>
      </c>
      <c r="F1421" s="375">
        <v>0.57999999999999996</v>
      </c>
      <c r="G1421" s="375">
        <v>28579</v>
      </c>
      <c r="H1421" s="376">
        <v>3.1491744935277571E-3</v>
      </c>
      <c r="I1421" s="375">
        <v>2991</v>
      </c>
      <c r="J1421" s="375">
        <v>3889</v>
      </c>
      <c r="K1421" s="375">
        <v>90</v>
      </c>
      <c r="L1421" s="375">
        <v>7000</v>
      </c>
      <c r="M1421" s="375">
        <v>21579</v>
      </c>
      <c r="V1421" s="375" t="s">
        <v>596</v>
      </c>
    </row>
    <row r="1422" spans="1:22" hidden="1" x14ac:dyDescent="0.25">
      <c r="A1422" s="377">
        <v>45797</v>
      </c>
      <c r="B1422" s="375">
        <v>390000</v>
      </c>
      <c r="C1422" s="375">
        <v>175500</v>
      </c>
      <c r="D1422" s="375">
        <v>60</v>
      </c>
      <c r="E1422" s="375">
        <v>134</v>
      </c>
      <c r="F1422" s="375">
        <v>0.55000000000000004</v>
      </c>
      <c r="G1422" s="375">
        <v>37373</v>
      </c>
      <c r="H1422" s="376">
        <v>2.756000321087416E-3</v>
      </c>
      <c r="I1422" s="375">
        <v>2913</v>
      </c>
      <c r="J1422" s="375">
        <v>3786</v>
      </c>
      <c r="K1422" s="375">
        <v>103</v>
      </c>
      <c r="L1422" s="375">
        <v>14000</v>
      </c>
      <c r="M1422" s="375">
        <v>23373</v>
      </c>
      <c r="V1422" s="375" t="s">
        <v>596</v>
      </c>
    </row>
    <row r="1423" spans="1:22" hidden="1" x14ac:dyDescent="0.25">
      <c r="A1423" s="377">
        <v>45798</v>
      </c>
      <c r="B1423" s="375">
        <v>300000</v>
      </c>
      <c r="C1423" s="375">
        <v>120000</v>
      </c>
      <c r="D1423" s="375">
        <v>40</v>
      </c>
      <c r="E1423" s="375">
        <v>100</v>
      </c>
      <c r="F1423" s="375">
        <v>0.6</v>
      </c>
      <c r="G1423" s="375">
        <v>30540</v>
      </c>
      <c r="H1423" s="376">
        <v>2.5212777226177579E-3</v>
      </c>
      <c r="I1423" s="375">
        <v>2997</v>
      </c>
      <c r="J1423" s="375">
        <v>3896</v>
      </c>
      <c r="K1423" s="375">
        <v>77</v>
      </c>
      <c r="L1423" s="375">
        <v>10000</v>
      </c>
      <c r="M1423" s="375">
        <v>20540</v>
      </c>
      <c r="V1423" s="375" t="s">
        <v>596</v>
      </c>
    </row>
    <row r="1424" spans="1:22" hidden="1" x14ac:dyDescent="0.25">
      <c r="A1424" s="377">
        <v>45799</v>
      </c>
      <c r="B1424" s="375">
        <v>300000</v>
      </c>
      <c r="C1424" s="375">
        <v>111000</v>
      </c>
      <c r="D1424" s="375">
        <v>38</v>
      </c>
      <c r="E1424" s="375">
        <v>101</v>
      </c>
      <c r="F1424" s="375">
        <v>0.63</v>
      </c>
      <c r="G1424" s="375">
        <v>26625</v>
      </c>
      <c r="H1424" s="376">
        <v>2.9295661124198636E-3</v>
      </c>
      <c r="I1424" s="375">
        <v>2959</v>
      </c>
      <c r="J1424" s="375">
        <v>3846</v>
      </c>
      <c r="K1424" s="375">
        <v>78</v>
      </c>
      <c r="L1424" s="375">
        <v>10000</v>
      </c>
      <c r="M1424" s="375">
        <v>16625</v>
      </c>
      <c r="V1424" s="375" t="s">
        <v>596</v>
      </c>
    </row>
    <row r="1425" spans="1:22" hidden="1" x14ac:dyDescent="0.25">
      <c r="A1425" s="377">
        <v>45800</v>
      </c>
      <c r="B1425" s="375">
        <v>300000</v>
      </c>
      <c r="C1425" s="375">
        <v>120000</v>
      </c>
      <c r="D1425" s="375">
        <v>43</v>
      </c>
      <c r="E1425" s="375">
        <v>107</v>
      </c>
      <c r="F1425" s="375">
        <v>0.6</v>
      </c>
      <c r="G1425" s="375">
        <v>25465</v>
      </c>
      <c r="H1425" s="376">
        <v>3.2201540001562073E-3</v>
      </c>
      <c r="I1425" s="375">
        <v>2814</v>
      </c>
      <c r="J1425" s="375">
        <v>3659</v>
      </c>
      <c r="K1425" s="375">
        <v>82</v>
      </c>
      <c r="L1425" s="375">
        <v>10000</v>
      </c>
      <c r="M1425" s="375">
        <v>15465</v>
      </c>
      <c r="V1425" s="375" t="s">
        <v>596</v>
      </c>
    </row>
    <row r="1426" spans="1:22" hidden="1" x14ac:dyDescent="0.25">
      <c r="A1426" s="377">
        <v>45801</v>
      </c>
      <c r="B1426" s="375">
        <v>300000</v>
      </c>
      <c r="C1426" s="375">
        <v>120000</v>
      </c>
      <c r="D1426" s="375">
        <v>42</v>
      </c>
      <c r="E1426" s="375">
        <v>104</v>
      </c>
      <c r="F1426" s="375">
        <v>0.6</v>
      </c>
      <c r="G1426" s="375">
        <v>25427</v>
      </c>
      <c r="H1426" s="376">
        <v>3.1462215845158453E-3</v>
      </c>
      <c r="I1426" s="375">
        <v>2885</v>
      </c>
      <c r="J1426" s="375">
        <v>3750</v>
      </c>
      <c r="K1426" s="375">
        <v>80</v>
      </c>
      <c r="L1426" s="375">
        <v>10000</v>
      </c>
      <c r="M1426" s="375">
        <v>15427</v>
      </c>
      <c r="V1426" s="375" t="s">
        <v>596</v>
      </c>
    </row>
    <row r="1427" spans="1:22" hidden="1" x14ac:dyDescent="0.25">
      <c r="A1427" s="377">
        <v>45802</v>
      </c>
      <c r="B1427" s="375">
        <v>300000</v>
      </c>
      <c r="C1427" s="375">
        <v>110000</v>
      </c>
      <c r="D1427" s="375">
        <v>37</v>
      </c>
      <c r="E1427" s="375">
        <v>100</v>
      </c>
      <c r="F1427" s="375">
        <v>0.6333333333333333</v>
      </c>
      <c r="G1427" s="375">
        <v>23427</v>
      </c>
      <c r="H1427" s="376">
        <v>3.2867601698328805E-3</v>
      </c>
      <c r="I1427" s="375">
        <v>2997</v>
      </c>
      <c r="J1427" s="375">
        <v>3896</v>
      </c>
      <c r="K1427" s="375">
        <v>77</v>
      </c>
      <c r="L1427" s="375">
        <v>8000</v>
      </c>
      <c r="M1427" s="375">
        <v>15427</v>
      </c>
      <c r="V1427" s="375" t="s">
        <v>596</v>
      </c>
    </row>
    <row r="1428" spans="1:22" hidden="1" x14ac:dyDescent="0.25">
      <c r="A1428" s="377">
        <v>45803</v>
      </c>
      <c r="B1428" s="375">
        <v>880000</v>
      </c>
      <c r="C1428" s="375">
        <v>149600</v>
      </c>
      <c r="D1428" s="375">
        <v>51</v>
      </c>
      <c r="E1428" s="375">
        <v>299</v>
      </c>
      <c r="F1428" s="375">
        <v>0.83</v>
      </c>
      <c r="G1428" s="375">
        <v>23427</v>
      </c>
      <c r="H1428" s="376">
        <v>9.817595312487824E-3</v>
      </c>
      <c r="I1428" s="375">
        <v>2943</v>
      </c>
      <c r="J1428" s="375">
        <v>3826</v>
      </c>
      <c r="K1428" s="375">
        <v>230</v>
      </c>
      <c r="L1428" s="375">
        <v>8000</v>
      </c>
      <c r="M1428" s="375">
        <v>15427</v>
      </c>
      <c r="V1428" s="375" t="s">
        <v>596</v>
      </c>
    </row>
    <row r="1429" spans="1:22" hidden="1" x14ac:dyDescent="0.25">
      <c r="A1429" s="377">
        <v>45804</v>
      </c>
      <c r="B1429" s="375">
        <v>100000</v>
      </c>
      <c r="C1429" s="375">
        <v>45000</v>
      </c>
      <c r="D1429" s="375">
        <v>18</v>
      </c>
      <c r="E1429" s="375">
        <v>40</v>
      </c>
      <c r="F1429" s="375">
        <v>0.55000000000000004</v>
      </c>
      <c r="G1429" s="375">
        <v>23427</v>
      </c>
      <c r="H1429" s="376">
        <v>1.3232411073353155E-3</v>
      </c>
      <c r="I1429" s="375">
        <v>2481</v>
      </c>
      <c r="J1429" s="375">
        <v>3226</v>
      </c>
      <c r="K1429" s="375">
        <v>31</v>
      </c>
      <c r="L1429" s="375">
        <v>8000</v>
      </c>
      <c r="M1429" s="375">
        <v>15427</v>
      </c>
      <c r="V1429" s="375" t="s">
        <v>596</v>
      </c>
    </row>
    <row r="1430" spans="1:22" hidden="1" x14ac:dyDescent="0.25">
      <c r="A1430" s="377">
        <v>45805</v>
      </c>
      <c r="B1430" s="375">
        <v>350000</v>
      </c>
      <c r="C1430" s="375">
        <v>175000</v>
      </c>
      <c r="D1430" s="375">
        <v>52</v>
      </c>
      <c r="E1430" s="375">
        <v>104</v>
      </c>
      <c r="F1430" s="375">
        <v>0.5</v>
      </c>
      <c r="G1430" s="375">
        <v>23427</v>
      </c>
      <c r="H1430" s="376">
        <v>3.4148157608653302E-3</v>
      </c>
      <c r="I1430" s="375">
        <v>3365</v>
      </c>
      <c r="J1430" s="375">
        <v>4375</v>
      </c>
      <c r="K1430" s="375">
        <v>80</v>
      </c>
      <c r="L1430" s="375">
        <v>8000</v>
      </c>
      <c r="M1430" s="375">
        <v>15427</v>
      </c>
      <c r="V1430" s="375" t="s">
        <v>596</v>
      </c>
    </row>
    <row r="1431" spans="1:22" hidden="1" x14ac:dyDescent="0.25">
      <c r="A1431" s="377">
        <v>45806</v>
      </c>
      <c r="B1431" s="375">
        <v>230000</v>
      </c>
      <c r="C1431" s="375">
        <v>124200</v>
      </c>
      <c r="D1431" s="375">
        <v>46</v>
      </c>
      <c r="E1431" s="375">
        <v>86</v>
      </c>
      <c r="F1431" s="375">
        <v>0.46</v>
      </c>
      <c r="G1431" s="375">
        <v>24917</v>
      </c>
      <c r="H1431" s="376">
        <v>2.6488167758395801E-3</v>
      </c>
      <c r="I1431" s="375">
        <v>2681</v>
      </c>
      <c r="J1431" s="375">
        <v>3485</v>
      </c>
      <c r="K1431" s="375">
        <v>66</v>
      </c>
      <c r="L1431" s="375">
        <v>10000</v>
      </c>
      <c r="M1431" s="375">
        <v>14917</v>
      </c>
      <c r="V1431" s="375" t="s">
        <v>596</v>
      </c>
    </row>
    <row r="1432" spans="1:22" hidden="1" x14ac:dyDescent="0.25">
      <c r="A1432" s="377">
        <v>45807</v>
      </c>
      <c r="B1432" s="375">
        <v>200000</v>
      </c>
      <c r="C1432" s="375">
        <v>108000</v>
      </c>
      <c r="D1432" s="375">
        <v>39</v>
      </c>
      <c r="E1432" s="375">
        <v>72</v>
      </c>
      <c r="F1432" s="375">
        <v>0.46</v>
      </c>
      <c r="G1432" s="375">
        <v>29323</v>
      </c>
      <c r="H1432" s="376">
        <v>1.8756719095248673E-3</v>
      </c>
      <c r="I1432" s="375">
        <v>2797</v>
      </c>
      <c r="J1432" s="375">
        <v>3636</v>
      </c>
      <c r="K1432" s="375">
        <v>55</v>
      </c>
      <c r="L1432" s="375">
        <v>10000</v>
      </c>
      <c r="M1432" s="375">
        <v>19323</v>
      </c>
      <c r="V1432" s="375" t="s">
        <v>596</v>
      </c>
    </row>
    <row r="1433" spans="1:22" hidden="1" x14ac:dyDescent="0.25">
      <c r="A1433" s="377">
        <v>45808</v>
      </c>
      <c r="B1433" s="375">
        <v>253631</v>
      </c>
      <c r="C1433" s="375">
        <v>126816</v>
      </c>
      <c r="D1433" s="375">
        <v>50</v>
      </c>
      <c r="E1433" s="375">
        <v>100</v>
      </c>
      <c r="F1433" s="375">
        <v>0.5</v>
      </c>
      <c r="G1433" s="375">
        <v>38145</v>
      </c>
      <c r="H1433" s="376">
        <v>2.018614365873981E-3</v>
      </c>
      <c r="I1433" s="375">
        <v>2534</v>
      </c>
      <c r="J1433" s="375">
        <v>3294</v>
      </c>
      <c r="K1433" s="375">
        <v>77</v>
      </c>
      <c r="L1433" s="375">
        <v>20000</v>
      </c>
      <c r="M1433" s="375">
        <v>18145</v>
      </c>
      <c r="V1433" s="375" t="s">
        <v>596</v>
      </c>
    </row>
    <row r="1434" spans="1:22" hidden="1" x14ac:dyDescent="0.25">
      <c r="A1434" s="377">
        <v>45809</v>
      </c>
      <c r="B1434" s="375">
        <v>200000</v>
      </c>
      <c r="C1434" s="375">
        <v>108000</v>
      </c>
      <c r="D1434" s="375">
        <v>42</v>
      </c>
      <c r="E1434" s="375">
        <v>78</v>
      </c>
      <c r="F1434" s="375">
        <v>0.46</v>
      </c>
      <c r="G1434" s="375">
        <v>39341</v>
      </c>
      <c r="H1434" s="376">
        <v>1.5251279352358053E-3</v>
      </c>
      <c r="I1434" s="375">
        <v>2564</v>
      </c>
      <c r="J1434" s="375">
        <v>3333</v>
      </c>
      <c r="K1434" s="375">
        <v>60</v>
      </c>
      <c r="L1434" s="375">
        <v>15000</v>
      </c>
      <c r="M1434" s="375">
        <v>24341</v>
      </c>
      <c r="V1434" s="375" t="s">
        <v>596</v>
      </c>
    </row>
    <row r="1435" spans="1:22" hidden="1" x14ac:dyDescent="0.25">
      <c r="A1435" s="377">
        <v>45810</v>
      </c>
      <c r="B1435" s="375">
        <v>200000</v>
      </c>
      <c r="C1435" s="375">
        <v>108000</v>
      </c>
      <c r="D1435" s="375">
        <v>68</v>
      </c>
      <c r="E1435" s="375">
        <v>125</v>
      </c>
      <c r="F1435" s="375">
        <v>0.46</v>
      </c>
      <c r="G1435" s="375">
        <v>39341</v>
      </c>
      <c r="H1435" s="376">
        <v>1.3980339406328215E-3</v>
      </c>
      <c r="I1435" s="375">
        <v>1600</v>
      </c>
      <c r="J1435" s="375">
        <v>3636</v>
      </c>
      <c r="K1435" s="375">
        <v>55</v>
      </c>
      <c r="L1435" s="375">
        <v>15000</v>
      </c>
      <c r="M1435" s="375">
        <v>24341</v>
      </c>
      <c r="V1435" s="375" t="s">
        <v>596</v>
      </c>
    </row>
    <row r="1436" spans="1:22" hidden="1" x14ac:dyDescent="0.25">
      <c r="A1436" s="377">
        <v>45811</v>
      </c>
      <c r="B1436" s="375">
        <v>200000</v>
      </c>
      <c r="C1436" s="375">
        <v>108000</v>
      </c>
      <c r="D1436" s="375">
        <v>36</v>
      </c>
      <c r="E1436" s="375">
        <v>66</v>
      </c>
      <c r="F1436" s="375">
        <v>0.46</v>
      </c>
      <c r="G1436" s="375">
        <v>37129</v>
      </c>
      <c r="H1436" s="376">
        <v>1.3735912346937293E-3</v>
      </c>
      <c r="I1436" s="375">
        <v>3017</v>
      </c>
      <c r="J1436" s="375">
        <v>3922</v>
      </c>
      <c r="K1436" s="375">
        <v>51</v>
      </c>
      <c r="L1436" s="375">
        <v>15000</v>
      </c>
      <c r="M1436" s="375">
        <v>22129</v>
      </c>
      <c r="V1436" s="375" t="s">
        <v>596</v>
      </c>
    </row>
    <row r="1437" spans="1:22" hidden="1" x14ac:dyDescent="0.25">
      <c r="A1437" s="377">
        <v>45812</v>
      </c>
      <c r="B1437" s="375">
        <v>300000</v>
      </c>
      <c r="C1437" s="375">
        <v>123000</v>
      </c>
      <c r="D1437" s="375">
        <v>53</v>
      </c>
      <c r="E1437" s="375">
        <v>129</v>
      </c>
      <c r="F1437" s="375">
        <v>0.59</v>
      </c>
      <c r="G1437" s="375">
        <v>32129</v>
      </c>
      <c r="H1437" s="376">
        <v>3.081333209247999E-3</v>
      </c>
      <c r="I1437" s="375">
        <v>2331</v>
      </c>
      <c r="J1437" s="375">
        <v>3030</v>
      </c>
      <c r="K1437" s="375">
        <v>99</v>
      </c>
      <c r="L1437" s="375">
        <v>10000</v>
      </c>
      <c r="M1437" s="375">
        <v>22129</v>
      </c>
      <c r="V1437" s="375" t="s">
        <v>596</v>
      </c>
    </row>
    <row r="1438" spans="1:22" hidden="1" x14ac:dyDescent="0.25">
      <c r="A1438" s="377">
        <v>45813</v>
      </c>
      <c r="B1438" s="375">
        <v>150000</v>
      </c>
      <c r="C1438" s="375">
        <v>57000</v>
      </c>
      <c r="D1438" s="375">
        <v>21</v>
      </c>
      <c r="E1438" s="375">
        <v>56</v>
      </c>
      <c r="F1438" s="375">
        <v>0.62</v>
      </c>
      <c r="G1438" s="375">
        <v>37129</v>
      </c>
      <c r="H1438" s="376">
        <v>1.1581259429770659E-3</v>
      </c>
      <c r="I1438" s="375">
        <v>2683</v>
      </c>
      <c r="J1438" s="375">
        <v>3488</v>
      </c>
      <c r="K1438" s="375">
        <v>43</v>
      </c>
      <c r="L1438" s="375">
        <v>15000</v>
      </c>
      <c r="M1438" s="375">
        <v>22129</v>
      </c>
      <c r="V1438" s="375" t="s">
        <v>596</v>
      </c>
    </row>
    <row r="1439" spans="1:22" hidden="1" x14ac:dyDescent="0.25">
      <c r="A1439" s="377">
        <v>45814</v>
      </c>
      <c r="B1439" s="375">
        <v>150000</v>
      </c>
      <c r="C1439" s="375">
        <v>57000</v>
      </c>
      <c r="D1439" s="375">
        <v>22</v>
      </c>
      <c r="E1439" s="375">
        <v>57</v>
      </c>
      <c r="F1439" s="375">
        <v>0.62</v>
      </c>
      <c r="G1439" s="375">
        <v>37129</v>
      </c>
      <c r="H1439" s="376">
        <v>1.1850591044416487E-3</v>
      </c>
      <c r="I1439" s="375">
        <v>2622</v>
      </c>
      <c r="J1439" s="375">
        <v>3409</v>
      </c>
      <c r="K1439" s="375">
        <v>44</v>
      </c>
      <c r="L1439" s="375">
        <v>15000</v>
      </c>
      <c r="M1439" s="375">
        <v>22129</v>
      </c>
      <c r="V1439" s="375" t="s">
        <v>596</v>
      </c>
    </row>
    <row r="1440" spans="1:22" hidden="1" x14ac:dyDescent="0.25">
      <c r="A1440" s="377">
        <v>45815</v>
      </c>
      <c r="B1440" s="375">
        <v>150000</v>
      </c>
      <c r="C1440" s="375">
        <v>57000</v>
      </c>
      <c r="D1440" s="375">
        <v>20</v>
      </c>
      <c r="E1440" s="375">
        <v>53</v>
      </c>
      <c r="F1440" s="375">
        <v>0.62</v>
      </c>
      <c r="G1440" s="375">
        <v>32129</v>
      </c>
      <c r="H1440" s="376">
        <v>1.2761076927188682E-3</v>
      </c>
      <c r="I1440" s="375">
        <v>2814</v>
      </c>
      <c r="J1440" s="375">
        <v>3659</v>
      </c>
      <c r="K1440" s="375">
        <v>41</v>
      </c>
      <c r="L1440" s="375">
        <v>10000</v>
      </c>
      <c r="M1440" s="375">
        <v>22129</v>
      </c>
      <c r="V1440" s="375" t="s">
        <v>596</v>
      </c>
    </row>
    <row r="1441" spans="1:22" hidden="1" x14ac:dyDescent="0.25">
      <c r="A1441" s="377">
        <v>45816</v>
      </c>
      <c r="B1441" s="375">
        <v>150000</v>
      </c>
      <c r="C1441" s="375">
        <v>55500</v>
      </c>
      <c r="D1441" s="375">
        <v>19</v>
      </c>
      <c r="E1441" s="375">
        <v>52</v>
      </c>
      <c r="F1441" s="375">
        <v>0.63</v>
      </c>
      <c r="G1441" s="375">
        <v>32129</v>
      </c>
      <c r="H1441" s="376">
        <v>1.2449831148476764E-3</v>
      </c>
      <c r="I1441" s="375">
        <v>2885</v>
      </c>
      <c r="J1441" s="375">
        <v>3750</v>
      </c>
      <c r="K1441" s="375">
        <v>40</v>
      </c>
      <c r="L1441" s="375">
        <v>10000</v>
      </c>
      <c r="M1441" s="375">
        <v>22129</v>
      </c>
      <c r="V1441" s="375" t="s">
        <v>596</v>
      </c>
    </row>
    <row r="1442" spans="1:22" hidden="1" x14ac:dyDescent="0.25">
      <c r="A1442" s="377">
        <v>45817</v>
      </c>
      <c r="B1442" s="375">
        <v>150000</v>
      </c>
      <c r="C1442" s="375">
        <v>55500</v>
      </c>
      <c r="D1442" s="375">
        <v>19</v>
      </c>
      <c r="E1442" s="375">
        <v>52</v>
      </c>
      <c r="F1442" s="375">
        <v>0.63</v>
      </c>
      <c r="G1442" s="375">
        <v>33098</v>
      </c>
      <c r="H1442" s="376">
        <v>1.2085340705551525E-3</v>
      </c>
      <c r="I1442" s="375">
        <v>2885</v>
      </c>
      <c r="J1442" s="375">
        <v>3750</v>
      </c>
      <c r="K1442" s="375">
        <v>40</v>
      </c>
      <c r="L1442" s="375">
        <v>10969</v>
      </c>
      <c r="M1442" s="375">
        <v>22129</v>
      </c>
      <c r="V1442" s="375" t="s">
        <v>596</v>
      </c>
    </row>
    <row r="1443" spans="1:22" hidden="1" x14ac:dyDescent="0.25">
      <c r="A1443" s="377">
        <v>45818</v>
      </c>
      <c r="B1443" s="375">
        <v>160000</v>
      </c>
      <c r="C1443" s="375">
        <v>56000</v>
      </c>
      <c r="D1443" s="375">
        <v>19</v>
      </c>
      <c r="E1443" s="375">
        <v>55</v>
      </c>
      <c r="F1443" s="375">
        <v>0.65</v>
      </c>
      <c r="G1443" s="375">
        <v>37129</v>
      </c>
      <c r="H1443" s="376">
        <v>1.2119922659062318E-3</v>
      </c>
      <c r="I1443" s="375">
        <v>2909</v>
      </c>
      <c r="J1443" s="375">
        <v>3556</v>
      </c>
      <c r="K1443" s="375">
        <v>45</v>
      </c>
      <c r="L1443" s="375">
        <v>15000</v>
      </c>
      <c r="M1443" s="375">
        <v>22129</v>
      </c>
      <c r="V1443" s="375" t="s">
        <v>596</v>
      </c>
    </row>
    <row r="1444" spans="1:22" hidden="1" x14ac:dyDescent="0.25">
      <c r="A1444" s="377">
        <v>45819</v>
      </c>
      <c r="B1444" s="375">
        <v>180000</v>
      </c>
      <c r="C1444" s="375">
        <v>61200</v>
      </c>
      <c r="D1444" s="375">
        <v>22</v>
      </c>
      <c r="E1444" s="375">
        <v>65</v>
      </c>
      <c r="F1444" s="375">
        <v>0.66</v>
      </c>
      <c r="G1444" s="375">
        <v>37129</v>
      </c>
      <c r="H1444" s="376">
        <v>1.3466580732291464E-3</v>
      </c>
      <c r="I1444" s="375">
        <v>2769</v>
      </c>
      <c r="J1444" s="375">
        <v>3600</v>
      </c>
      <c r="K1444" s="375">
        <v>50</v>
      </c>
      <c r="L1444" s="375">
        <v>15000</v>
      </c>
      <c r="M1444" s="375">
        <v>22129</v>
      </c>
      <c r="V1444" s="375" t="s">
        <v>596</v>
      </c>
    </row>
    <row r="1445" spans="1:22" hidden="1" x14ac:dyDescent="0.25">
      <c r="A1445" s="377">
        <v>45820</v>
      </c>
      <c r="B1445" s="375">
        <v>200000</v>
      </c>
      <c r="C1445" s="375">
        <v>70000</v>
      </c>
      <c r="D1445" s="375">
        <v>25</v>
      </c>
      <c r="E1445" s="375">
        <v>72</v>
      </c>
      <c r="F1445" s="375">
        <v>0.65</v>
      </c>
      <c r="G1445" s="375">
        <v>32129</v>
      </c>
      <c r="H1445" s="376">
        <v>1.711851782915555E-3</v>
      </c>
      <c r="I1445" s="375">
        <v>2797</v>
      </c>
      <c r="J1445" s="375">
        <v>3636</v>
      </c>
      <c r="K1445" s="375">
        <v>55</v>
      </c>
      <c r="L1445" s="375">
        <v>10000</v>
      </c>
      <c r="M1445" s="375">
        <v>22129</v>
      </c>
      <c r="V1445" s="375" t="s">
        <v>596</v>
      </c>
    </row>
    <row r="1446" spans="1:22" hidden="1" x14ac:dyDescent="0.25">
      <c r="A1446" s="377">
        <v>45821</v>
      </c>
      <c r="B1446" s="375">
        <v>180000</v>
      </c>
      <c r="C1446" s="375">
        <v>63000</v>
      </c>
      <c r="D1446" s="375">
        <v>23</v>
      </c>
      <c r="E1446" s="375">
        <v>65</v>
      </c>
      <c r="F1446" s="375">
        <v>0.65</v>
      </c>
      <c r="G1446" s="375">
        <v>37129</v>
      </c>
      <c r="H1446" s="376">
        <v>1.3466580732291464E-3</v>
      </c>
      <c r="I1446" s="375">
        <v>2769</v>
      </c>
      <c r="J1446" s="375">
        <v>3600</v>
      </c>
      <c r="K1446" s="375">
        <v>50</v>
      </c>
      <c r="L1446" s="375">
        <v>15000</v>
      </c>
      <c r="M1446" s="375">
        <v>22129</v>
      </c>
      <c r="V1446" s="375" t="s">
        <v>596</v>
      </c>
    </row>
    <row r="1447" spans="1:22" hidden="1" x14ac:dyDescent="0.25">
      <c r="A1447" s="377">
        <v>45822</v>
      </c>
      <c r="B1447" s="375">
        <v>180000</v>
      </c>
      <c r="C1447" s="375">
        <v>60750</v>
      </c>
      <c r="D1447" s="375">
        <v>22</v>
      </c>
      <c r="E1447" s="375">
        <v>65</v>
      </c>
      <c r="F1447" s="375">
        <v>0.66249999999999998</v>
      </c>
      <c r="G1447" s="375">
        <v>34129</v>
      </c>
      <c r="H1447" s="376">
        <v>1.4650318949625144E-3</v>
      </c>
      <c r="I1447" s="375">
        <v>2769</v>
      </c>
      <c r="J1447" s="375">
        <v>3600</v>
      </c>
      <c r="K1447" s="375">
        <v>50</v>
      </c>
      <c r="L1447" s="375">
        <v>12000</v>
      </c>
      <c r="M1447" s="375">
        <v>22129</v>
      </c>
      <c r="V1447" s="375" t="s">
        <v>596</v>
      </c>
    </row>
    <row r="1448" spans="1:22" hidden="1" x14ac:dyDescent="0.25">
      <c r="A1448" s="377">
        <v>45823</v>
      </c>
      <c r="B1448" s="375">
        <v>300000</v>
      </c>
      <c r="C1448" s="375">
        <v>100020</v>
      </c>
      <c r="D1448" s="375">
        <v>35</v>
      </c>
      <c r="E1448" s="375">
        <v>104</v>
      </c>
      <c r="F1448" s="375">
        <v>0.66659999999999997</v>
      </c>
      <c r="G1448" s="375">
        <v>31129</v>
      </c>
      <c r="H1448" s="376">
        <v>2.5699549940325782E-3</v>
      </c>
      <c r="I1448" s="375">
        <v>2885</v>
      </c>
      <c r="J1448" s="375">
        <v>3750</v>
      </c>
      <c r="K1448" s="375">
        <v>80</v>
      </c>
      <c r="L1448" s="375">
        <v>9000</v>
      </c>
      <c r="M1448" s="375">
        <v>22129</v>
      </c>
      <c r="V1448" s="375" t="s">
        <v>596</v>
      </c>
    </row>
    <row r="1449" spans="1:22" hidden="1" x14ac:dyDescent="0.25">
      <c r="A1449" s="377">
        <v>45824</v>
      </c>
      <c r="B1449" s="375">
        <v>290000</v>
      </c>
      <c r="C1449" s="375">
        <v>94250</v>
      </c>
      <c r="D1449" s="375">
        <v>33</v>
      </c>
      <c r="E1449" s="375">
        <v>100</v>
      </c>
      <c r="F1449" s="375">
        <v>0.67500000000000004</v>
      </c>
      <c r="G1449" s="375">
        <v>37129</v>
      </c>
      <c r="H1449" s="376">
        <v>2.0738534327728853E-3</v>
      </c>
      <c r="I1449" s="375">
        <v>2897</v>
      </c>
      <c r="J1449" s="375">
        <v>3766</v>
      </c>
      <c r="K1449" s="375">
        <v>77</v>
      </c>
      <c r="L1449" s="375">
        <v>15000</v>
      </c>
      <c r="M1449" s="375">
        <v>22129</v>
      </c>
      <c r="V1449" s="375" t="s">
        <v>596</v>
      </c>
    </row>
    <row r="1450" spans="1:22" hidden="1" x14ac:dyDescent="0.25">
      <c r="A1450" s="377">
        <v>45825</v>
      </c>
      <c r="B1450" s="375">
        <v>280000</v>
      </c>
      <c r="C1450" s="375">
        <v>84000</v>
      </c>
      <c r="D1450" s="375">
        <v>29</v>
      </c>
      <c r="E1450" s="375">
        <v>98</v>
      </c>
      <c r="F1450" s="375">
        <v>0.7</v>
      </c>
      <c r="G1450" s="375">
        <v>32129</v>
      </c>
      <c r="H1450" s="376">
        <v>2.3343433403393934E-3</v>
      </c>
      <c r="I1450" s="375">
        <v>2872</v>
      </c>
      <c r="J1450" s="375">
        <v>3733</v>
      </c>
      <c r="K1450" s="375">
        <v>75</v>
      </c>
      <c r="L1450" s="375">
        <v>10000</v>
      </c>
      <c r="M1450" s="375">
        <v>22129</v>
      </c>
      <c r="V1450" s="375" t="s">
        <v>596</v>
      </c>
    </row>
    <row r="1451" spans="1:22" hidden="1" x14ac:dyDescent="0.25">
      <c r="A1451" s="377">
        <v>45826</v>
      </c>
      <c r="B1451" s="375">
        <v>380000</v>
      </c>
      <c r="C1451" s="375">
        <v>95000</v>
      </c>
      <c r="D1451" s="375">
        <v>36</v>
      </c>
      <c r="E1451" s="375">
        <v>143</v>
      </c>
      <c r="F1451" s="375">
        <v>0.75</v>
      </c>
      <c r="G1451" s="375">
        <v>37129</v>
      </c>
      <c r="H1451" s="376">
        <v>2.9626477611041221E-3</v>
      </c>
      <c r="I1451" s="375">
        <v>2657</v>
      </c>
      <c r="J1451" s="375">
        <v>3455</v>
      </c>
      <c r="K1451" s="375">
        <v>110</v>
      </c>
      <c r="L1451" s="375">
        <v>15000</v>
      </c>
      <c r="M1451" s="375">
        <v>22129</v>
      </c>
      <c r="V1451" s="375" t="s">
        <v>596</v>
      </c>
    </row>
    <row r="1452" spans="1:22" hidden="1" x14ac:dyDescent="0.25">
      <c r="A1452" s="377">
        <v>45827</v>
      </c>
      <c r="B1452" s="375">
        <v>320000</v>
      </c>
      <c r="C1452" s="375">
        <v>80605</v>
      </c>
      <c r="D1452" s="375">
        <v>28</v>
      </c>
      <c r="E1452" s="375">
        <v>109</v>
      </c>
      <c r="F1452" s="375">
        <v>0.74811000000000005</v>
      </c>
      <c r="G1452" s="375">
        <v>37129</v>
      </c>
      <c r="H1452" s="376">
        <v>2.2623855630249661E-3</v>
      </c>
      <c r="I1452" s="375">
        <v>2930</v>
      </c>
      <c r="J1452" s="375">
        <v>3810</v>
      </c>
      <c r="K1452" s="375">
        <v>84</v>
      </c>
      <c r="L1452" s="375">
        <v>15000</v>
      </c>
      <c r="M1452" s="375">
        <v>22129</v>
      </c>
      <c r="V1452" s="375" t="s">
        <v>596</v>
      </c>
    </row>
    <row r="1453" spans="1:22" hidden="1" x14ac:dyDescent="0.25">
      <c r="A1453" s="377">
        <v>45828</v>
      </c>
      <c r="B1453" s="375">
        <v>507560</v>
      </c>
      <c r="C1453" s="375">
        <v>114150</v>
      </c>
      <c r="D1453" s="375">
        <v>44</v>
      </c>
      <c r="E1453" s="375">
        <v>195</v>
      </c>
      <c r="F1453" s="375">
        <v>0.77510000000000001</v>
      </c>
      <c r="G1453" s="375">
        <v>37129</v>
      </c>
      <c r="H1453" s="376">
        <v>4.0399742196874392E-3</v>
      </c>
      <c r="I1453" s="375">
        <v>2603</v>
      </c>
      <c r="J1453" s="375">
        <v>3384</v>
      </c>
      <c r="K1453" s="375">
        <v>150</v>
      </c>
      <c r="L1453" s="375">
        <v>15000</v>
      </c>
      <c r="M1453" s="375">
        <v>22129</v>
      </c>
      <c r="V1453" s="375" t="s">
        <v>596</v>
      </c>
    </row>
    <row r="1454" spans="1:22" hidden="1" x14ac:dyDescent="0.25">
      <c r="A1454" s="377">
        <v>45829</v>
      </c>
      <c r="B1454" s="375">
        <v>70000</v>
      </c>
      <c r="C1454" s="375">
        <v>31500</v>
      </c>
      <c r="D1454" s="375">
        <v>11</v>
      </c>
      <c r="E1454" s="375">
        <v>23</v>
      </c>
      <c r="F1454" s="375">
        <v>0.55000000000000004</v>
      </c>
      <c r="G1454" s="375">
        <v>11805</v>
      </c>
      <c r="H1454" s="376">
        <v>1.524807296987282E-3</v>
      </c>
      <c r="I1454" s="375">
        <v>2991</v>
      </c>
      <c r="J1454" s="375">
        <v>3889</v>
      </c>
      <c r="K1454" s="375">
        <v>18</v>
      </c>
      <c r="L1454" s="375">
        <v>3060</v>
      </c>
      <c r="M1454" s="375">
        <v>8745</v>
      </c>
      <c r="V1454" s="375" t="s">
        <v>596</v>
      </c>
    </row>
    <row r="1455" spans="1:22" hidden="1" x14ac:dyDescent="0.25">
      <c r="A1455" s="377">
        <v>45830</v>
      </c>
      <c r="B1455" s="375">
        <v>70000</v>
      </c>
      <c r="C1455" s="375">
        <v>31500</v>
      </c>
      <c r="D1455" s="375">
        <v>11</v>
      </c>
      <c r="E1455" s="375">
        <v>23</v>
      </c>
      <c r="F1455" s="375">
        <v>0.55000000000000004</v>
      </c>
      <c r="G1455" s="375">
        <v>11745</v>
      </c>
      <c r="H1455" s="376">
        <v>1.5325970140216861E-3</v>
      </c>
      <c r="I1455" s="375">
        <v>2991</v>
      </c>
      <c r="J1455" s="375">
        <v>3889</v>
      </c>
      <c r="K1455" s="375">
        <v>18</v>
      </c>
      <c r="L1455" s="375">
        <v>3000</v>
      </c>
      <c r="M1455" s="375">
        <v>8745</v>
      </c>
      <c r="V1455" s="375" t="s">
        <v>596</v>
      </c>
    </row>
    <row r="1456" spans="1:22" hidden="1" x14ac:dyDescent="0.25">
      <c r="A1456" s="377">
        <v>45831</v>
      </c>
      <c r="B1456" s="375">
        <v>70000</v>
      </c>
      <c r="C1456" s="375">
        <v>31500</v>
      </c>
      <c r="D1456" s="375">
        <v>11</v>
      </c>
      <c r="E1456" s="375">
        <v>23</v>
      </c>
      <c r="F1456" s="375">
        <v>0.55000000000000004</v>
      </c>
      <c r="G1456" s="375">
        <v>11245</v>
      </c>
      <c r="H1456" s="376">
        <v>1.6007441154538341E-3</v>
      </c>
      <c r="I1456" s="375">
        <v>2991</v>
      </c>
      <c r="J1456" s="375">
        <v>3889</v>
      </c>
      <c r="K1456" s="375">
        <v>18</v>
      </c>
      <c r="L1456" s="375">
        <v>2500</v>
      </c>
      <c r="M1456" s="375">
        <v>8745</v>
      </c>
      <c r="V1456" s="375" t="s">
        <v>596</v>
      </c>
    </row>
    <row r="1457" spans="1:22" hidden="1" x14ac:dyDescent="0.25">
      <c r="A1457" s="377">
        <v>45832</v>
      </c>
      <c r="B1457" s="375">
        <v>70000</v>
      </c>
      <c r="C1457" s="375">
        <v>31500</v>
      </c>
      <c r="D1457" s="375">
        <v>11</v>
      </c>
      <c r="E1457" s="375">
        <v>23</v>
      </c>
      <c r="F1457" s="375">
        <v>0.55000000000000004</v>
      </c>
      <c r="G1457" s="375">
        <v>11245</v>
      </c>
      <c r="H1457" s="376">
        <v>1.6007441154538341E-3</v>
      </c>
      <c r="I1457" s="375">
        <v>2991</v>
      </c>
      <c r="J1457" s="375">
        <v>3889</v>
      </c>
      <c r="K1457" s="375">
        <v>18</v>
      </c>
      <c r="L1457" s="375">
        <v>2500</v>
      </c>
      <c r="M1457" s="375">
        <v>8745</v>
      </c>
      <c r="V1457" s="375" t="s">
        <v>596</v>
      </c>
    </row>
    <row r="1458" spans="1:22" hidden="1" x14ac:dyDescent="0.25">
      <c r="A1458" s="377">
        <v>45833</v>
      </c>
      <c r="B1458" s="375">
        <v>70000</v>
      </c>
      <c r="C1458" s="375">
        <v>31500</v>
      </c>
      <c r="D1458" s="375">
        <v>11</v>
      </c>
      <c r="E1458" s="375">
        <v>23</v>
      </c>
      <c r="F1458" s="375">
        <v>0.55000000000000004</v>
      </c>
      <c r="G1458" s="375">
        <v>11245</v>
      </c>
      <c r="H1458" s="376">
        <v>1.6007441154538341E-3</v>
      </c>
      <c r="I1458" s="375">
        <v>2991</v>
      </c>
      <c r="J1458" s="375">
        <v>3889</v>
      </c>
      <c r="K1458" s="375">
        <v>18</v>
      </c>
      <c r="L1458" s="375">
        <v>2500</v>
      </c>
      <c r="M1458" s="375">
        <v>8745</v>
      </c>
      <c r="V1458" s="375" t="s">
        <v>596</v>
      </c>
    </row>
    <row r="1459" spans="1:22" hidden="1" x14ac:dyDescent="0.25">
      <c r="A1459" s="377">
        <v>45834</v>
      </c>
      <c r="B1459" s="375">
        <v>70000</v>
      </c>
      <c r="C1459" s="375">
        <v>31500</v>
      </c>
      <c r="D1459" s="375">
        <v>11</v>
      </c>
      <c r="E1459" s="375">
        <v>23</v>
      </c>
      <c r="F1459" s="375">
        <v>0.55000000000000004</v>
      </c>
      <c r="G1459" s="375">
        <v>11245</v>
      </c>
      <c r="H1459" s="376">
        <v>1.6007441154538341E-3</v>
      </c>
      <c r="I1459" s="375">
        <v>2991</v>
      </c>
      <c r="J1459" s="375">
        <v>3889</v>
      </c>
      <c r="K1459" s="375">
        <v>18</v>
      </c>
      <c r="L1459" s="375">
        <v>2500</v>
      </c>
      <c r="M1459" s="375">
        <v>8745</v>
      </c>
      <c r="V1459" s="375" t="s">
        <v>596</v>
      </c>
    </row>
    <row r="1460" spans="1:22" hidden="1" x14ac:dyDescent="0.25">
      <c r="A1460" s="377">
        <v>45835</v>
      </c>
      <c r="B1460" s="375">
        <v>70000</v>
      </c>
      <c r="C1460" s="375">
        <v>31500</v>
      </c>
      <c r="D1460" s="375">
        <v>11</v>
      </c>
      <c r="E1460" s="375">
        <v>23</v>
      </c>
      <c r="F1460" s="375">
        <v>0.55000000000000004</v>
      </c>
      <c r="G1460" s="375">
        <v>11245</v>
      </c>
      <c r="H1460" s="376">
        <v>1.6007441154538341E-3</v>
      </c>
      <c r="I1460" s="375">
        <v>2991</v>
      </c>
      <c r="J1460" s="375">
        <v>3889</v>
      </c>
      <c r="K1460" s="375">
        <v>18</v>
      </c>
      <c r="L1460" s="375">
        <v>2500</v>
      </c>
      <c r="M1460" s="375">
        <v>8745</v>
      </c>
      <c r="V1460" s="375" t="s">
        <v>596</v>
      </c>
    </row>
    <row r="1461" spans="1:22" hidden="1" x14ac:dyDescent="0.25">
      <c r="A1461" s="377">
        <v>45836</v>
      </c>
      <c r="B1461" s="375">
        <v>70000</v>
      </c>
      <c r="C1461" s="375">
        <v>31500</v>
      </c>
      <c r="D1461" s="375">
        <v>10</v>
      </c>
      <c r="E1461" s="375">
        <v>22</v>
      </c>
      <c r="F1461" s="375">
        <v>0.55000000000000004</v>
      </c>
      <c r="G1461" s="375">
        <v>11245</v>
      </c>
      <c r="H1461" s="376">
        <v>1.5118138868175099E-3</v>
      </c>
      <c r="I1461" s="375">
        <v>3167</v>
      </c>
      <c r="J1461" s="375">
        <v>4118</v>
      </c>
      <c r="K1461" s="375">
        <v>17</v>
      </c>
      <c r="L1461" s="375">
        <v>2500</v>
      </c>
      <c r="M1461" s="375">
        <v>8745</v>
      </c>
      <c r="V1461" s="375" t="s">
        <v>596</v>
      </c>
    </row>
    <row r="1462" spans="1:22" hidden="1" x14ac:dyDescent="0.25">
      <c r="A1462" s="377">
        <v>45837</v>
      </c>
      <c r="B1462" s="375">
        <v>80000</v>
      </c>
      <c r="C1462" s="375">
        <v>40000</v>
      </c>
      <c r="D1462" s="375">
        <v>13</v>
      </c>
      <c r="E1462" s="375">
        <v>26</v>
      </c>
      <c r="F1462" s="375">
        <v>0.5</v>
      </c>
      <c r="G1462" s="375">
        <v>11245</v>
      </c>
      <c r="H1462" s="376">
        <v>1.7786045727264824E-3</v>
      </c>
      <c r="I1462" s="375">
        <v>3077</v>
      </c>
      <c r="J1462" s="375">
        <v>4000</v>
      </c>
      <c r="K1462" s="375">
        <v>20</v>
      </c>
      <c r="L1462" s="375">
        <v>2500</v>
      </c>
      <c r="M1462" s="375">
        <v>8745</v>
      </c>
      <c r="V1462" s="375" t="s">
        <v>596</v>
      </c>
    </row>
    <row r="1463" spans="1:22" hidden="1" x14ac:dyDescent="0.25">
      <c r="A1463" s="377">
        <v>45838</v>
      </c>
      <c r="B1463" s="375">
        <v>80000</v>
      </c>
      <c r="C1463" s="375">
        <v>40000</v>
      </c>
      <c r="D1463" s="375">
        <v>13</v>
      </c>
      <c r="E1463" s="375">
        <v>26</v>
      </c>
      <c r="F1463" s="375">
        <v>0.5</v>
      </c>
      <c r="G1463" s="375">
        <v>7940</v>
      </c>
      <c r="H1463" s="376">
        <v>2.5188916876574307E-3</v>
      </c>
      <c r="I1463" s="375">
        <v>3077</v>
      </c>
      <c r="J1463" s="375">
        <v>4000</v>
      </c>
      <c r="K1463" s="375">
        <v>20</v>
      </c>
      <c r="L1463" s="375">
        <v>2500</v>
      </c>
      <c r="M1463" s="375">
        <v>5440</v>
      </c>
      <c r="V1463" s="375" t="s">
        <v>596</v>
      </c>
    </row>
    <row r="1464" spans="1:22" hidden="1" x14ac:dyDescent="0.25">
      <c r="A1464" s="377">
        <v>45839</v>
      </c>
      <c r="B1464" s="375">
        <v>55000</v>
      </c>
      <c r="C1464" s="375">
        <v>24750</v>
      </c>
      <c r="D1464" s="375">
        <v>6</v>
      </c>
      <c r="E1464" s="375">
        <v>13</v>
      </c>
      <c r="F1464" s="375">
        <v>0.55000000000000004</v>
      </c>
      <c r="G1464" s="375">
        <v>10700</v>
      </c>
      <c r="H1464" s="376">
        <v>9.3457943925233649E-4</v>
      </c>
      <c r="I1464" s="375">
        <v>4231</v>
      </c>
      <c r="J1464" s="375">
        <v>5500</v>
      </c>
      <c r="K1464" s="375">
        <v>10</v>
      </c>
      <c r="L1464" s="375">
        <v>3200</v>
      </c>
      <c r="M1464" s="375">
        <v>7500</v>
      </c>
      <c r="V1464" s="375" t="s">
        <v>596</v>
      </c>
    </row>
    <row r="1465" spans="1:22" hidden="1" x14ac:dyDescent="0.25">
      <c r="A1465" s="377">
        <v>45840</v>
      </c>
      <c r="B1465" s="375">
        <v>51000</v>
      </c>
      <c r="C1465" s="375">
        <v>25500</v>
      </c>
      <c r="D1465" s="375">
        <v>7</v>
      </c>
      <c r="E1465" s="375">
        <v>13</v>
      </c>
      <c r="F1465" s="375">
        <v>0.5</v>
      </c>
      <c r="G1465" s="375">
        <v>10700</v>
      </c>
      <c r="H1465" s="376">
        <v>9.3457943925233649E-4</v>
      </c>
      <c r="I1465" s="375">
        <v>3923</v>
      </c>
      <c r="J1465" s="375">
        <v>5100</v>
      </c>
      <c r="K1465" s="375">
        <v>10</v>
      </c>
      <c r="L1465" s="375">
        <v>3200</v>
      </c>
      <c r="M1465" s="375">
        <v>7500</v>
      </c>
      <c r="V1465" s="375" t="s">
        <v>596</v>
      </c>
    </row>
    <row r="1466" spans="1:22" hidden="1" x14ac:dyDescent="0.25">
      <c r="A1466" s="377">
        <v>45841</v>
      </c>
      <c r="B1466" s="375">
        <v>50000</v>
      </c>
      <c r="C1466" s="375">
        <v>25000</v>
      </c>
      <c r="D1466" s="375">
        <v>6</v>
      </c>
      <c r="E1466" s="375">
        <v>12</v>
      </c>
      <c r="F1466" s="375">
        <v>0.5</v>
      </c>
      <c r="G1466" s="375">
        <v>10700</v>
      </c>
      <c r="H1466" s="376">
        <v>8.4112149532710281E-4</v>
      </c>
      <c r="I1466" s="375">
        <v>4274</v>
      </c>
      <c r="J1466" s="375">
        <v>5556</v>
      </c>
      <c r="K1466" s="375">
        <v>9</v>
      </c>
      <c r="L1466" s="375">
        <v>3200</v>
      </c>
      <c r="M1466" s="375">
        <v>7500</v>
      </c>
      <c r="V1466" s="375" t="s">
        <v>596</v>
      </c>
    </row>
    <row r="1467" spans="1:22" hidden="1" x14ac:dyDescent="0.25">
      <c r="A1467" s="377">
        <v>45842</v>
      </c>
      <c r="B1467" s="375">
        <v>60000</v>
      </c>
      <c r="C1467" s="375">
        <v>30000</v>
      </c>
      <c r="D1467" s="375">
        <v>7</v>
      </c>
      <c r="E1467" s="375">
        <v>13</v>
      </c>
      <c r="F1467" s="375">
        <v>0.5</v>
      </c>
      <c r="G1467" s="375">
        <v>10700</v>
      </c>
      <c r="H1467" s="376">
        <v>9.3457943925233649E-4</v>
      </c>
      <c r="I1467" s="375">
        <v>4615</v>
      </c>
      <c r="J1467" s="375">
        <v>6000</v>
      </c>
      <c r="K1467" s="375">
        <v>10</v>
      </c>
      <c r="L1467" s="375">
        <v>3200</v>
      </c>
      <c r="M1467" s="375">
        <v>7500</v>
      </c>
      <c r="V1467" s="375" t="s">
        <v>596</v>
      </c>
    </row>
    <row r="1468" spans="1:22" hidden="1" x14ac:dyDescent="0.25">
      <c r="A1468" s="377">
        <v>45843</v>
      </c>
      <c r="B1468" s="375">
        <v>60000</v>
      </c>
      <c r="C1468" s="375">
        <v>30000</v>
      </c>
      <c r="D1468" s="375">
        <v>8</v>
      </c>
      <c r="E1468" s="375">
        <v>16</v>
      </c>
      <c r="F1468" s="375">
        <v>0.5</v>
      </c>
      <c r="G1468" s="375">
        <v>10700</v>
      </c>
      <c r="H1468" s="376">
        <v>1.1214953271028037E-3</v>
      </c>
      <c r="I1468" s="375">
        <v>3846</v>
      </c>
      <c r="J1468" s="375">
        <v>5000</v>
      </c>
      <c r="K1468" s="375">
        <v>12</v>
      </c>
      <c r="L1468" s="375">
        <v>3200</v>
      </c>
      <c r="M1468" s="375">
        <v>7500</v>
      </c>
      <c r="V1468" s="375" t="s">
        <v>596</v>
      </c>
    </row>
    <row r="1469" spans="1:22" hidden="1" x14ac:dyDescent="0.25">
      <c r="A1469" s="377">
        <v>45844</v>
      </c>
      <c r="B1469" s="375">
        <v>60000</v>
      </c>
      <c r="C1469" s="375">
        <v>30000</v>
      </c>
      <c r="D1469" s="375">
        <v>6</v>
      </c>
      <c r="E1469" s="375">
        <v>12</v>
      </c>
      <c r="F1469" s="375">
        <v>0.5</v>
      </c>
      <c r="G1469" s="375">
        <v>10700</v>
      </c>
      <c r="H1469" s="376">
        <v>8.4112149532710281E-4</v>
      </c>
      <c r="I1469" s="375">
        <v>5128</v>
      </c>
      <c r="J1469" s="375">
        <v>6667</v>
      </c>
      <c r="K1469" s="375">
        <v>9</v>
      </c>
      <c r="L1469" s="375">
        <v>3200</v>
      </c>
      <c r="M1469" s="375">
        <v>7500</v>
      </c>
      <c r="V1469" s="375" t="s">
        <v>596</v>
      </c>
    </row>
    <row r="1470" spans="1:22" hidden="1" x14ac:dyDescent="0.25">
      <c r="A1470" s="377">
        <v>45845</v>
      </c>
      <c r="B1470" s="375">
        <v>60000</v>
      </c>
      <c r="C1470" s="375">
        <v>30000</v>
      </c>
      <c r="D1470" s="375">
        <v>7</v>
      </c>
      <c r="E1470" s="375">
        <v>14</v>
      </c>
      <c r="F1470" s="375">
        <v>0.5</v>
      </c>
      <c r="G1470" s="375">
        <v>10700</v>
      </c>
      <c r="H1470" s="376">
        <v>1.0280373831775701E-3</v>
      </c>
      <c r="I1470" s="375">
        <v>4196</v>
      </c>
      <c r="J1470" s="375">
        <v>5455</v>
      </c>
      <c r="K1470" s="375">
        <v>11</v>
      </c>
      <c r="L1470" s="375">
        <v>3200</v>
      </c>
      <c r="M1470" s="375">
        <v>7500</v>
      </c>
      <c r="V1470" s="375" t="s">
        <v>596</v>
      </c>
    </row>
    <row r="1471" spans="1:22" hidden="1" x14ac:dyDescent="0.25">
      <c r="A1471" s="377">
        <v>45846</v>
      </c>
      <c r="B1471" s="375">
        <v>60000</v>
      </c>
      <c r="C1471" s="375">
        <v>30000</v>
      </c>
      <c r="D1471" s="375">
        <v>6</v>
      </c>
      <c r="E1471" s="375">
        <v>12</v>
      </c>
      <c r="F1471" s="375">
        <v>0.5</v>
      </c>
      <c r="G1471" s="375">
        <v>10700</v>
      </c>
      <c r="H1471" s="376">
        <v>8.4112149532710281E-4</v>
      </c>
      <c r="I1471" s="375">
        <v>5128</v>
      </c>
      <c r="J1471" s="375">
        <v>6667</v>
      </c>
      <c r="K1471" s="375">
        <v>9</v>
      </c>
      <c r="L1471" s="375">
        <v>3200</v>
      </c>
      <c r="M1471" s="375">
        <v>7500</v>
      </c>
      <c r="V1471" s="375" t="s">
        <v>596</v>
      </c>
    </row>
    <row r="1472" spans="1:22" hidden="1" x14ac:dyDescent="0.25">
      <c r="A1472" s="377">
        <v>45847</v>
      </c>
      <c r="B1472" s="375">
        <v>60000</v>
      </c>
      <c r="C1472" s="375">
        <v>30000</v>
      </c>
      <c r="D1472" s="375">
        <v>8</v>
      </c>
      <c r="E1472" s="375">
        <v>16</v>
      </c>
      <c r="F1472" s="375">
        <v>0.5</v>
      </c>
      <c r="G1472" s="375">
        <v>10700</v>
      </c>
      <c r="H1472" s="376">
        <v>1.1214953271028037E-3</v>
      </c>
      <c r="I1472" s="375">
        <v>3846</v>
      </c>
      <c r="J1472" s="375">
        <v>5000</v>
      </c>
      <c r="K1472" s="375">
        <v>12</v>
      </c>
      <c r="L1472" s="375">
        <v>3200</v>
      </c>
      <c r="M1472" s="375">
        <v>7500</v>
      </c>
      <c r="V1472" s="375" t="s">
        <v>596</v>
      </c>
    </row>
    <row r="1473" spans="1:22" hidden="1" x14ac:dyDescent="0.25">
      <c r="A1473" s="377">
        <v>45848</v>
      </c>
      <c r="B1473" s="375">
        <v>50000</v>
      </c>
      <c r="C1473" s="375">
        <v>25000</v>
      </c>
      <c r="D1473" s="375">
        <v>5</v>
      </c>
      <c r="E1473" s="375">
        <v>10</v>
      </c>
      <c r="F1473" s="375">
        <v>0.5</v>
      </c>
      <c r="G1473" s="375">
        <v>10700</v>
      </c>
      <c r="H1473" s="376">
        <v>7.4766355140186912E-4</v>
      </c>
      <c r="I1473" s="375">
        <v>4808</v>
      </c>
      <c r="J1473" s="375">
        <v>6250</v>
      </c>
      <c r="K1473" s="375">
        <v>8</v>
      </c>
      <c r="L1473" s="375">
        <v>3200</v>
      </c>
      <c r="M1473" s="375">
        <v>7500</v>
      </c>
      <c r="V1473" s="375" t="s">
        <v>596</v>
      </c>
    </row>
    <row r="1474" spans="1:22" hidden="1" x14ac:dyDescent="0.25">
      <c r="A1474" s="377">
        <v>45849</v>
      </c>
      <c r="B1474" s="375">
        <v>50000</v>
      </c>
      <c r="C1474" s="375">
        <v>25000</v>
      </c>
      <c r="D1474" s="375">
        <v>6</v>
      </c>
      <c r="E1474" s="375">
        <v>12</v>
      </c>
      <c r="F1474" s="375">
        <v>0.5</v>
      </c>
      <c r="G1474" s="375">
        <v>10700</v>
      </c>
      <c r="H1474" s="376">
        <v>8.4112149532710281E-4</v>
      </c>
      <c r="I1474" s="375">
        <v>4274</v>
      </c>
      <c r="J1474" s="375">
        <v>5556</v>
      </c>
      <c r="K1474" s="375">
        <v>9</v>
      </c>
      <c r="L1474" s="375">
        <v>3200</v>
      </c>
      <c r="M1474" s="375">
        <v>7500</v>
      </c>
      <c r="V1474" s="375" t="s">
        <v>596</v>
      </c>
    </row>
    <row r="1475" spans="1:22" hidden="1" x14ac:dyDescent="0.25">
      <c r="A1475" s="377">
        <v>45850</v>
      </c>
      <c r="B1475" s="375">
        <v>50000</v>
      </c>
      <c r="C1475" s="375">
        <v>25000</v>
      </c>
      <c r="D1475" s="375">
        <v>5</v>
      </c>
      <c r="E1475" s="375">
        <v>10</v>
      </c>
      <c r="F1475" s="375">
        <v>0.5</v>
      </c>
      <c r="G1475" s="375">
        <v>10700</v>
      </c>
      <c r="H1475" s="376">
        <v>7.4766355140186912E-4</v>
      </c>
      <c r="I1475" s="375">
        <v>4808</v>
      </c>
      <c r="J1475" s="375">
        <v>6250</v>
      </c>
      <c r="K1475" s="375">
        <v>8</v>
      </c>
      <c r="L1475" s="375">
        <v>3200</v>
      </c>
      <c r="M1475" s="375">
        <v>7500</v>
      </c>
      <c r="V1475" s="375" t="s">
        <v>596</v>
      </c>
    </row>
    <row r="1476" spans="1:22" hidden="1" x14ac:dyDescent="0.25">
      <c r="A1476" s="377">
        <v>45851</v>
      </c>
      <c r="B1476" s="375">
        <v>50000</v>
      </c>
      <c r="C1476" s="375">
        <v>25000</v>
      </c>
      <c r="D1476" s="375">
        <v>7</v>
      </c>
      <c r="E1476" s="375">
        <v>13</v>
      </c>
      <c r="F1476" s="375">
        <v>0.5</v>
      </c>
      <c r="G1476" s="375">
        <v>10700</v>
      </c>
      <c r="H1476" s="376">
        <v>9.3457943925233649E-4</v>
      </c>
      <c r="I1476" s="375">
        <v>3846</v>
      </c>
      <c r="J1476" s="375">
        <v>5000</v>
      </c>
      <c r="K1476" s="375">
        <v>10</v>
      </c>
      <c r="L1476" s="375">
        <v>3200</v>
      </c>
      <c r="M1476" s="375">
        <v>7500</v>
      </c>
      <c r="V1476" s="375" t="s">
        <v>596</v>
      </c>
    </row>
    <row r="1477" spans="1:22" hidden="1" x14ac:dyDescent="0.25">
      <c r="A1477" s="377">
        <v>45852</v>
      </c>
      <c r="B1477" s="375">
        <v>50000</v>
      </c>
      <c r="C1477" s="375">
        <v>25000</v>
      </c>
      <c r="D1477" s="375">
        <v>7</v>
      </c>
      <c r="E1477" s="375">
        <v>13</v>
      </c>
      <c r="F1477" s="375">
        <v>0.5</v>
      </c>
      <c r="G1477" s="375">
        <v>10700</v>
      </c>
      <c r="H1477" s="376">
        <v>9.3457943925233649E-4</v>
      </c>
      <c r="I1477" s="375">
        <v>3846</v>
      </c>
      <c r="J1477" s="375">
        <v>5000</v>
      </c>
      <c r="K1477" s="375">
        <v>10</v>
      </c>
      <c r="L1477" s="375">
        <v>3200</v>
      </c>
      <c r="M1477" s="375">
        <v>7500</v>
      </c>
      <c r="V1477" s="375" t="s">
        <v>596</v>
      </c>
    </row>
    <row r="1478" spans="1:22" hidden="1" x14ac:dyDescent="0.25">
      <c r="A1478" s="377">
        <v>45853</v>
      </c>
      <c r="B1478" s="375">
        <v>50000</v>
      </c>
      <c r="C1478" s="375">
        <v>25000</v>
      </c>
      <c r="D1478" s="375">
        <v>7</v>
      </c>
      <c r="E1478" s="375">
        <v>13</v>
      </c>
      <c r="F1478" s="375">
        <v>0.5</v>
      </c>
      <c r="G1478" s="375">
        <v>10700</v>
      </c>
      <c r="H1478" s="376">
        <v>9.3457943925233649E-4</v>
      </c>
      <c r="I1478" s="375">
        <v>3846</v>
      </c>
      <c r="J1478" s="375">
        <v>5000</v>
      </c>
      <c r="K1478" s="375">
        <v>10</v>
      </c>
      <c r="L1478" s="375">
        <v>3200</v>
      </c>
      <c r="M1478" s="375">
        <v>7500</v>
      </c>
      <c r="V1478" s="375" t="s">
        <v>596</v>
      </c>
    </row>
    <row r="1479" spans="1:22" hidden="1" x14ac:dyDescent="0.25">
      <c r="A1479" s="377">
        <v>45854</v>
      </c>
      <c r="B1479" s="375">
        <v>50000</v>
      </c>
      <c r="C1479" s="375">
        <v>25000</v>
      </c>
      <c r="D1479" s="375">
        <v>6</v>
      </c>
      <c r="E1479" s="375">
        <v>12</v>
      </c>
      <c r="F1479" s="375">
        <v>0.5</v>
      </c>
      <c r="G1479" s="375">
        <v>10700</v>
      </c>
      <c r="H1479" s="376">
        <v>8.4112149532710281E-4</v>
      </c>
      <c r="I1479" s="375">
        <v>4274</v>
      </c>
      <c r="J1479" s="375">
        <v>5556</v>
      </c>
      <c r="K1479" s="375">
        <v>9</v>
      </c>
      <c r="L1479" s="375">
        <v>3200</v>
      </c>
      <c r="M1479" s="375">
        <v>7500</v>
      </c>
      <c r="V1479" s="375" t="s">
        <v>596</v>
      </c>
    </row>
    <row r="1480" spans="1:22" hidden="1" x14ac:dyDescent="0.25">
      <c r="A1480" s="377">
        <v>45855</v>
      </c>
      <c r="B1480" s="375">
        <v>60000</v>
      </c>
      <c r="C1480" s="375">
        <v>30000</v>
      </c>
      <c r="D1480" s="375">
        <v>8</v>
      </c>
      <c r="E1480" s="375">
        <v>16</v>
      </c>
      <c r="F1480" s="375">
        <v>0.5</v>
      </c>
      <c r="G1480" s="375">
        <v>10700</v>
      </c>
      <c r="H1480" s="376">
        <v>1.1214953271028037E-3</v>
      </c>
      <c r="I1480" s="375">
        <v>3846</v>
      </c>
      <c r="J1480" s="375">
        <v>5000</v>
      </c>
      <c r="K1480" s="375">
        <v>12</v>
      </c>
      <c r="L1480" s="375">
        <v>3200</v>
      </c>
      <c r="M1480" s="375">
        <v>7500</v>
      </c>
      <c r="V1480" s="375" t="s">
        <v>596</v>
      </c>
    </row>
    <row r="1481" spans="1:22" hidden="1" x14ac:dyDescent="0.25">
      <c r="A1481" s="377">
        <v>45856</v>
      </c>
      <c r="B1481" s="375">
        <v>60000</v>
      </c>
      <c r="C1481" s="375">
        <v>30000</v>
      </c>
      <c r="D1481" s="375">
        <v>7</v>
      </c>
      <c r="E1481" s="375">
        <v>13</v>
      </c>
      <c r="F1481" s="375">
        <v>0.5</v>
      </c>
      <c r="G1481" s="375">
        <v>10700</v>
      </c>
      <c r="H1481" s="376">
        <v>9.3457943925233649E-4</v>
      </c>
      <c r="I1481" s="375">
        <v>4615</v>
      </c>
      <c r="J1481" s="375">
        <v>6000</v>
      </c>
      <c r="K1481" s="375">
        <v>10</v>
      </c>
      <c r="L1481" s="375">
        <v>3200</v>
      </c>
      <c r="M1481" s="375">
        <v>7500</v>
      </c>
      <c r="V1481" s="375" t="s">
        <v>596</v>
      </c>
    </row>
    <row r="1482" spans="1:22" hidden="1" x14ac:dyDescent="0.25">
      <c r="A1482" s="377">
        <v>45857</v>
      </c>
      <c r="B1482" s="375">
        <v>60000</v>
      </c>
      <c r="C1482" s="375">
        <v>30000</v>
      </c>
      <c r="D1482" s="375">
        <v>5</v>
      </c>
      <c r="E1482" s="375">
        <v>10</v>
      </c>
      <c r="F1482" s="375">
        <v>0.5</v>
      </c>
      <c r="G1482" s="375">
        <v>10700</v>
      </c>
      <c r="H1482" s="376">
        <v>7.4766355140186912E-4</v>
      </c>
      <c r="I1482" s="375">
        <v>5769</v>
      </c>
      <c r="J1482" s="375">
        <v>7500</v>
      </c>
      <c r="K1482" s="375">
        <v>8</v>
      </c>
      <c r="L1482" s="375">
        <v>3200</v>
      </c>
      <c r="M1482" s="375">
        <v>7500</v>
      </c>
      <c r="V1482" s="375" t="s">
        <v>596</v>
      </c>
    </row>
    <row r="1483" spans="1:22" hidden="1" x14ac:dyDescent="0.25">
      <c r="A1483" s="377">
        <v>45858</v>
      </c>
      <c r="B1483" s="375">
        <v>60000</v>
      </c>
      <c r="C1483" s="375">
        <v>30000</v>
      </c>
      <c r="D1483" s="375">
        <v>8</v>
      </c>
      <c r="E1483" s="375">
        <v>16</v>
      </c>
      <c r="F1483" s="375">
        <v>0.5</v>
      </c>
      <c r="G1483" s="375">
        <v>10700</v>
      </c>
      <c r="H1483" s="376">
        <v>1.1214953271028037E-3</v>
      </c>
      <c r="I1483" s="375">
        <v>3846</v>
      </c>
      <c r="J1483" s="375">
        <v>5000</v>
      </c>
      <c r="K1483" s="375">
        <v>12</v>
      </c>
      <c r="L1483" s="375">
        <v>3200</v>
      </c>
      <c r="M1483" s="375">
        <v>7500</v>
      </c>
      <c r="V1483" s="375" t="s">
        <v>596</v>
      </c>
    </row>
    <row r="1484" spans="1:22" hidden="1" x14ac:dyDescent="0.25">
      <c r="A1484" s="377">
        <v>45859</v>
      </c>
      <c r="B1484" s="375">
        <v>30000</v>
      </c>
      <c r="C1484" s="375">
        <v>15000</v>
      </c>
      <c r="D1484" s="375">
        <v>4</v>
      </c>
      <c r="E1484" s="375">
        <v>8</v>
      </c>
      <c r="F1484" s="375">
        <v>0.5</v>
      </c>
      <c r="G1484" s="375">
        <v>10700</v>
      </c>
      <c r="H1484" s="376">
        <v>5.6074766355140187E-4</v>
      </c>
      <c r="I1484" s="375">
        <v>3846</v>
      </c>
      <c r="J1484" s="375">
        <v>5000</v>
      </c>
      <c r="K1484" s="375">
        <v>6</v>
      </c>
      <c r="L1484" s="375">
        <v>3200</v>
      </c>
      <c r="M1484" s="375">
        <v>7500</v>
      </c>
      <c r="V1484" s="375" t="s">
        <v>596</v>
      </c>
    </row>
    <row r="1485" spans="1:22" hidden="1" x14ac:dyDescent="0.25">
      <c r="A1485" s="377">
        <v>45860</v>
      </c>
      <c r="B1485" s="375">
        <v>30000</v>
      </c>
      <c r="C1485" s="375">
        <v>15000</v>
      </c>
      <c r="D1485" s="375">
        <v>5</v>
      </c>
      <c r="E1485" s="375">
        <v>9</v>
      </c>
      <c r="F1485" s="375">
        <v>0.5</v>
      </c>
      <c r="G1485" s="375">
        <v>10700</v>
      </c>
      <c r="H1485" s="376">
        <v>6.5420560747663555E-4</v>
      </c>
      <c r="I1485" s="375">
        <v>3297</v>
      </c>
      <c r="J1485" s="375">
        <v>4286</v>
      </c>
      <c r="K1485" s="375">
        <v>7</v>
      </c>
      <c r="L1485" s="375">
        <v>3200</v>
      </c>
      <c r="M1485" s="375">
        <v>7500</v>
      </c>
      <c r="V1485" s="375" t="s">
        <v>596</v>
      </c>
    </row>
    <row r="1486" spans="1:22" hidden="1" x14ac:dyDescent="0.25">
      <c r="A1486" s="377">
        <v>45861</v>
      </c>
      <c r="B1486" s="375">
        <v>30000</v>
      </c>
      <c r="C1486" s="375">
        <v>15000</v>
      </c>
      <c r="D1486" s="375">
        <v>3</v>
      </c>
      <c r="E1486" s="375">
        <v>5</v>
      </c>
      <c r="F1486" s="375">
        <v>0.5</v>
      </c>
      <c r="G1486" s="375">
        <v>10700</v>
      </c>
      <c r="H1486" s="376">
        <v>3.7383177570093456E-4</v>
      </c>
      <c r="I1486" s="375">
        <v>5769</v>
      </c>
      <c r="J1486" s="375">
        <v>7500</v>
      </c>
      <c r="K1486" s="375">
        <v>4</v>
      </c>
      <c r="L1486" s="375">
        <v>3200</v>
      </c>
      <c r="M1486" s="375">
        <v>7500</v>
      </c>
      <c r="V1486" s="375" t="s">
        <v>596</v>
      </c>
    </row>
    <row r="1487" spans="1:22" hidden="1" x14ac:dyDescent="0.25">
      <c r="A1487" s="377">
        <v>45862</v>
      </c>
      <c r="B1487" s="375">
        <v>80000</v>
      </c>
      <c r="C1487" s="375">
        <v>40000</v>
      </c>
      <c r="D1487" s="375">
        <v>8</v>
      </c>
      <c r="E1487" s="375">
        <v>16</v>
      </c>
      <c r="F1487" s="375">
        <v>0.5</v>
      </c>
      <c r="G1487" s="375">
        <v>12600</v>
      </c>
      <c r="H1487" s="376">
        <v>9.5238095238095238E-4</v>
      </c>
      <c r="I1487" s="375">
        <v>5128</v>
      </c>
      <c r="J1487" s="375">
        <v>6667</v>
      </c>
      <c r="K1487" s="375">
        <v>12</v>
      </c>
      <c r="L1487" s="375">
        <v>3600</v>
      </c>
      <c r="M1487" s="375">
        <v>9000</v>
      </c>
      <c r="V1487" s="375" t="s">
        <v>596</v>
      </c>
    </row>
    <row r="1488" spans="1:22" hidden="1" x14ac:dyDescent="0.25">
      <c r="A1488" s="377">
        <v>45863</v>
      </c>
      <c r="B1488" s="375">
        <v>70000</v>
      </c>
      <c r="C1488" s="375">
        <v>35000</v>
      </c>
      <c r="D1488" s="375">
        <v>6</v>
      </c>
      <c r="E1488" s="375">
        <v>12</v>
      </c>
      <c r="F1488" s="375">
        <v>0.5</v>
      </c>
      <c r="G1488" s="375">
        <v>12600</v>
      </c>
      <c r="H1488" s="376">
        <v>7.1428571428571429E-4</v>
      </c>
      <c r="I1488" s="375">
        <v>5983</v>
      </c>
      <c r="J1488" s="375">
        <v>7778</v>
      </c>
      <c r="K1488" s="375">
        <v>9</v>
      </c>
      <c r="L1488" s="375">
        <v>3600</v>
      </c>
      <c r="M1488" s="375">
        <v>9000</v>
      </c>
      <c r="V1488" s="375" t="s">
        <v>596</v>
      </c>
    </row>
    <row r="1489" spans="1:22" hidden="1" x14ac:dyDescent="0.25">
      <c r="A1489" s="377">
        <v>45864</v>
      </c>
      <c r="B1489" s="375">
        <v>70000</v>
      </c>
      <c r="C1489" s="375">
        <v>35000</v>
      </c>
      <c r="D1489" s="375">
        <v>7</v>
      </c>
      <c r="E1489" s="375">
        <v>14</v>
      </c>
      <c r="F1489" s="375">
        <v>0.5</v>
      </c>
      <c r="G1489" s="375">
        <v>12600</v>
      </c>
      <c r="H1489" s="376">
        <v>8.7301587301587302E-4</v>
      </c>
      <c r="I1489" s="375">
        <v>4895</v>
      </c>
      <c r="J1489" s="375">
        <v>6364</v>
      </c>
      <c r="K1489" s="375">
        <v>11</v>
      </c>
      <c r="L1489" s="375">
        <v>3600</v>
      </c>
      <c r="M1489" s="375">
        <v>9000</v>
      </c>
      <c r="V1489" s="375" t="s">
        <v>596</v>
      </c>
    </row>
    <row r="1490" spans="1:22" hidden="1" x14ac:dyDescent="0.25">
      <c r="A1490" s="377">
        <v>45865</v>
      </c>
      <c r="B1490" s="375">
        <v>80000</v>
      </c>
      <c r="C1490" s="375">
        <v>40000</v>
      </c>
      <c r="D1490" s="375">
        <v>8</v>
      </c>
      <c r="E1490" s="375">
        <v>16</v>
      </c>
      <c r="F1490" s="375">
        <v>0.5</v>
      </c>
      <c r="G1490" s="375">
        <v>12600</v>
      </c>
      <c r="H1490" s="376">
        <v>9.5238095238095238E-4</v>
      </c>
      <c r="I1490" s="375">
        <v>5128</v>
      </c>
      <c r="J1490" s="375">
        <v>6667</v>
      </c>
      <c r="K1490" s="375">
        <v>12</v>
      </c>
      <c r="L1490" s="375">
        <v>3600</v>
      </c>
      <c r="M1490" s="375">
        <v>9000</v>
      </c>
      <c r="V1490" s="375" t="s">
        <v>596</v>
      </c>
    </row>
    <row r="1491" spans="1:22" hidden="1" x14ac:dyDescent="0.25">
      <c r="A1491" s="377">
        <v>45866</v>
      </c>
      <c r="B1491" s="375">
        <v>80000</v>
      </c>
      <c r="C1491" s="375">
        <v>40000</v>
      </c>
      <c r="D1491" s="375">
        <v>8</v>
      </c>
      <c r="E1491" s="375">
        <v>16</v>
      </c>
      <c r="F1491" s="375">
        <v>0.5</v>
      </c>
      <c r="G1491" s="375">
        <v>12600</v>
      </c>
      <c r="H1491" s="376">
        <v>9.5238095238095238E-4</v>
      </c>
      <c r="I1491" s="375">
        <v>5128</v>
      </c>
      <c r="J1491" s="375">
        <v>6667</v>
      </c>
      <c r="K1491" s="375">
        <v>12</v>
      </c>
      <c r="L1491" s="375">
        <v>3600</v>
      </c>
      <c r="M1491" s="375">
        <v>9000</v>
      </c>
      <c r="V1491" s="375" t="s">
        <v>596</v>
      </c>
    </row>
    <row r="1492" spans="1:22" hidden="1" x14ac:dyDescent="0.25">
      <c r="A1492" s="377">
        <v>45867</v>
      </c>
      <c r="B1492" s="375">
        <v>80000</v>
      </c>
      <c r="C1492" s="375">
        <v>36000</v>
      </c>
      <c r="D1492" s="375">
        <v>7</v>
      </c>
      <c r="E1492" s="375">
        <v>16</v>
      </c>
      <c r="F1492" s="375">
        <v>0.55000000000000004</v>
      </c>
      <c r="G1492" s="375">
        <v>12600</v>
      </c>
      <c r="H1492" s="376">
        <v>9.5238095238095238E-4</v>
      </c>
      <c r="I1492" s="375">
        <v>5128</v>
      </c>
      <c r="J1492" s="375">
        <v>6667</v>
      </c>
      <c r="K1492" s="375">
        <v>12</v>
      </c>
      <c r="L1492" s="375">
        <v>3600</v>
      </c>
      <c r="M1492" s="375">
        <v>9000</v>
      </c>
      <c r="V1492" s="375" t="s">
        <v>596</v>
      </c>
    </row>
    <row r="1493" spans="1:22" hidden="1" x14ac:dyDescent="0.25">
      <c r="A1493" s="377">
        <v>45868</v>
      </c>
      <c r="B1493" s="375">
        <v>80000</v>
      </c>
      <c r="C1493" s="375">
        <v>36000</v>
      </c>
      <c r="D1493" s="375">
        <v>7</v>
      </c>
      <c r="E1493" s="375">
        <v>16</v>
      </c>
      <c r="F1493" s="375">
        <v>0.55000000000000004</v>
      </c>
      <c r="G1493" s="375">
        <v>12600</v>
      </c>
      <c r="H1493" s="376">
        <v>9.5238095238095238E-4</v>
      </c>
      <c r="I1493" s="375">
        <v>5128</v>
      </c>
      <c r="J1493" s="375">
        <v>6667</v>
      </c>
      <c r="K1493" s="375">
        <v>12</v>
      </c>
      <c r="L1493" s="375">
        <v>3600</v>
      </c>
      <c r="M1493" s="375">
        <v>9000</v>
      </c>
      <c r="V1493" s="375" t="s">
        <v>596</v>
      </c>
    </row>
    <row r="1494" spans="1:22" hidden="1" x14ac:dyDescent="0.25">
      <c r="A1494" s="377">
        <v>45869</v>
      </c>
      <c r="B1494" s="375">
        <v>80000</v>
      </c>
      <c r="C1494" s="375">
        <v>36000</v>
      </c>
      <c r="D1494" s="375">
        <v>7</v>
      </c>
      <c r="E1494" s="375">
        <v>16</v>
      </c>
      <c r="F1494" s="375">
        <v>0.55000000000000004</v>
      </c>
      <c r="G1494" s="375">
        <v>12600</v>
      </c>
      <c r="H1494" s="376">
        <v>9.5238095238095238E-4</v>
      </c>
      <c r="I1494" s="375">
        <v>5128</v>
      </c>
      <c r="J1494" s="375">
        <v>6667</v>
      </c>
      <c r="K1494" s="375">
        <v>12</v>
      </c>
      <c r="L1494" s="375">
        <v>3600</v>
      </c>
      <c r="M1494" s="375">
        <v>9000</v>
      </c>
      <c r="V1494" s="375" t="s">
        <v>596</v>
      </c>
    </row>
    <row r="1495" spans="1:22" hidden="1" x14ac:dyDescent="0.25">
      <c r="A1495" s="377">
        <v>45870</v>
      </c>
      <c r="B1495" s="375">
        <v>60000</v>
      </c>
      <c r="C1495" s="375">
        <v>30000</v>
      </c>
      <c r="D1495" s="375">
        <v>8</v>
      </c>
      <c r="E1495" s="375">
        <v>16</v>
      </c>
      <c r="F1495" s="375">
        <v>0.5</v>
      </c>
      <c r="G1495" s="375">
        <v>12600</v>
      </c>
      <c r="H1495" s="376">
        <v>9.5238095238095238E-4</v>
      </c>
      <c r="I1495" s="375">
        <v>3846</v>
      </c>
      <c r="J1495" s="375">
        <v>5000</v>
      </c>
      <c r="K1495" s="375">
        <v>12</v>
      </c>
      <c r="L1495" s="375">
        <v>3600</v>
      </c>
      <c r="M1495" s="375">
        <v>9000</v>
      </c>
      <c r="V1495" s="375" t="s">
        <v>596</v>
      </c>
    </row>
    <row r="1496" spans="1:22" hidden="1" x14ac:dyDescent="0.25">
      <c r="A1496" s="377">
        <v>45871</v>
      </c>
      <c r="B1496" s="375">
        <v>60000</v>
      </c>
      <c r="C1496" s="375">
        <v>30000</v>
      </c>
      <c r="D1496" s="375">
        <v>8</v>
      </c>
      <c r="E1496" s="375">
        <v>16</v>
      </c>
      <c r="F1496" s="375">
        <v>0.5</v>
      </c>
      <c r="G1496" s="375">
        <v>12600</v>
      </c>
      <c r="H1496" s="376">
        <v>9.5238095238095238E-4</v>
      </c>
      <c r="I1496" s="375">
        <v>3846</v>
      </c>
      <c r="J1496" s="375">
        <v>5000</v>
      </c>
      <c r="K1496" s="375">
        <v>12</v>
      </c>
      <c r="L1496" s="375">
        <v>3600</v>
      </c>
      <c r="M1496" s="375">
        <v>9000</v>
      </c>
      <c r="V1496" s="375" t="s">
        <v>596</v>
      </c>
    </row>
    <row r="1497" spans="1:22" hidden="1" x14ac:dyDescent="0.25">
      <c r="A1497" s="377">
        <v>45872</v>
      </c>
      <c r="B1497" s="375">
        <v>60000</v>
      </c>
      <c r="C1497" s="375">
        <v>30000</v>
      </c>
      <c r="D1497" s="375">
        <v>8</v>
      </c>
      <c r="E1497" s="375">
        <v>16</v>
      </c>
      <c r="F1497" s="375">
        <v>0.5</v>
      </c>
      <c r="G1497" s="375">
        <v>12600</v>
      </c>
      <c r="H1497" s="376">
        <v>9.5238095238095238E-4</v>
      </c>
      <c r="I1497" s="375">
        <v>3846</v>
      </c>
      <c r="J1497" s="375">
        <v>5000</v>
      </c>
      <c r="K1497" s="375">
        <v>12</v>
      </c>
      <c r="L1497" s="375">
        <v>3600</v>
      </c>
      <c r="M1497" s="375">
        <v>9000</v>
      </c>
      <c r="V1497" s="375" t="s">
        <v>596</v>
      </c>
    </row>
    <row r="1498" spans="1:22" hidden="1" x14ac:dyDescent="0.25">
      <c r="A1498" s="377">
        <v>45873</v>
      </c>
      <c r="B1498" s="375">
        <v>60000</v>
      </c>
      <c r="C1498" s="375">
        <v>30000</v>
      </c>
      <c r="D1498" s="375">
        <v>8</v>
      </c>
      <c r="E1498" s="375">
        <v>16</v>
      </c>
      <c r="F1498" s="375">
        <v>0.5</v>
      </c>
      <c r="G1498" s="375">
        <v>12600</v>
      </c>
      <c r="H1498" s="376">
        <v>9.5238095238095238E-4</v>
      </c>
      <c r="I1498" s="375">
        <v>3846</v>
      </c>
      <c r="J1498" s="375">
        <v>5000</v>
      </c>
      <c r="K1498" s="375">
        <v>12</v>
      </c>
      <c r="L1498" s="375">
        <v>3600</v>
      </c>
      <c r="M1498" s="375">
        <v>9000</v>
      </c>
      <c r="V1498" s="375" t="s">
        <v>596</v>
      </c>
    </row>
    <row r="1499" spans="1:22" hidden="1" x14ac:dyDescent="0.25">
      <c r="A1499" s="377">
        <v>45874</v>
      </c>
      <c r="B1499" s="375">
        <v>60000</v>
      </c>
      <c r="C1499" s="375">
        <v>30000</v>
      </c>
      <c r="D1499" s="375">
        <v>8</v>
      </c>
      <c r="E1499" s="375">
        <v>16</v>
      </c>
      <c r="F1499" s="375">
        <v>0.5</v>
      </c>
      <c r="G1499" s="375">
        <v>12600</v>
      </c>
      <c r="H1499" s="376">
        <v>9.5238095238095238E-4</v>
      </c>
      <c r="I1499" s="375">
        <v>3846</v>
      </c>
      <c r="J1499" s="375">
        <v>5000</v>
      </c>
      <c r="K1499" s="375">
        <v>12</v>
      </c>
      <c r="L1499" s="375">
        <v>3600</v>
      </c>
      <c r="M1499" s="375">
        <v>9000</v>
      </c>
      <c r="V1499" s="375" t="s">
        <v>596</v>
      </c>
    </row>
    <row r="1500" spans="1:22" hidden="1" x14ac:dyDescent="0.25">
      <c r="A1500" s="377">
        <v>45875</v>
      </c>
      <c r="B1500" s="375">
        <v>60000</v>
      </c>
      <c r="C1500" s="375">
        <v>30000</v>
      </c>
      <c r="D1500" s="375">
        <v>8</v>
      </c>
      <c r="E1500" s="375">
        <v>16</v>
      </c>
      <c r="F1500" s="375">
        <v>0.5</v>
      </c>
      <c r="G1500" s="375">
        <v>12600</v>
      </c>
      <c r="H1500" s="376">
        <v>9.5238095238095238E-4</v>
      </c>
      <c r="I1500" s="375">
        <v>3846</v>
      </c>
      <c r="J1500" s="375">
        <v>5000</v>
      </c>
      <c r="K1500" s="375">
        <v>12</v>
      </c>
      <c r="L1500" s="375">
        <v>3600</v>
      </c>
      <c r="M1500" s="375">
        <v>9000</v>
      </c>
      <c r="V1500" s="375" t="s">
        <v>596</v>
      </c>
    </row>
    <row r="1501" spans="1:22" hidden="1" x14ac:dyDescent="0.25">
      <c r="A1501" s="377">
        <v>45876</v>
      </c>
      <c r="B1501" s="375">
        <v>60000</v>
      </c>
      <c r="C1501" s="375">
        <v>30000</v>
      </c>
      <c r="D1501" s="375">
        <v>8</v>
      </c>
      <c r="E1501" s="375">
        <v>16</v>
      </c>
      <c r="F1501" s="375">
        <v>0.5</v>
      </c>
      <c r="G1501" s="375">
        <v>12600</v>
      </c>
      <c r="H1501" s="376">
        <v>9.5238095238095238E-4</v>
      </c>
      <c r="I1501" s="375">
        <v>3846</v>
      </c>
      <c r="J1501" s="375">
        <v>5000</v>
      </c>
      <c r="K1501" s="375">
        <v>12</v>
      </c>
      <c r="L1501" s="375">
        <v>3600</v>
      </c>
      <c r="M1501" s="375">
        <v>9000</v>
      </c>
      <c r="V1501" s="375" t="s">
        <v>596</v>
      </c>
    </row>
    <row r="1502" spans="1:22" hidden="1" x14ac:dyDescent="0.25">
      <c r="A1502" s="377">
        <v>45877</v>
      </c>
      <c r="B1502" s="375">
        <v>60000</v>
      </c>
      <c r="C1502" s="375">
        <v>30000</v>
      </c>
      <c r="D1502" s="375">
        <v>8</v>
      </c>
      <c r="E1502" s="375">
        <v>16</v>
      </c>
      <c r="F1502" s="375">
        <v>0.5</v>
      </c>
      <c r="G1502" s="375">
        <v>12600</v>
      </c>
      <c r="H1502" s="376">
        <v>9.5238095238095238E-4</v>
      </c>
      <c r="I1502" s="375">
        <v>3846</v>
      </c>
      <c r="J1502" s="375">
        <v>5000</v>
      </c>
      <c r="K1502" s="375">
        <v>12</v>
      </c>
      <c r="L1502" s="375">
        <v>3600</v>
      </c>
      <c r="M1502" s="375">
        <v>9000</v>
      </c>
      <c r="V1502" s="375" t="s">
        <v>596</v>
      </c>
    </row>
    <row r="1503" spans="1:22" hidden="1" x14ac:dyDescent="0.25">
      <c r="A1503" s="377">
        <v>45878</v>
      </c>
      <c r="B1503" s="375">
        <v>60000</v>
      </c>
      <c r="C1503" s="375">
        <v>30000</v>
      </c>
      <c r="D1503" s="375">
        <v>8</v>
      </c>
      <c r="E1503" s="375">
        <v>16</v>
      </c>
      <c r="F1503" s="375">
        <v>0.5</v>
      </c>
      <c r="G1503" s="375">
        <v>12600</v>
      </c>
      <c r="H1503" s="376">
        <v>9.5238095238095238E-4</v>
      </c>
      <c r="I1503" s="375">
        <v>3846</v>
      </c>
      <c r="J1503" s="375">
        <v>5000</v>
      </c>
      <c r="K1503" s="375">
        <v>12</v>
      </c>
      <c r="L1503" s="375">
        <v>3600</v>
      </c>
      <c r="M1503" s="375">
        <v>9000</v>
      </c>
      <c r="V1503" s="375" t="s">
        <v>596</v>
      </c>
    </row>
    <row r="1504" spans="1:22" hidden="1" x14ac:dyDescent="0.25">
      <c r="A1504" s="377">
        <v>45879</v>
      </c>
      <c r="B1504" s="375">
        <v>60000</v>
      </c>
      <c r="C1504" s="375">
        <v>30000</v>
      </c>
      <c r="D1504" s="375">
        <v>8</v>
      </c>
      <c r="E1504" s="375">
        <v>16</v>
      </c>
      <c r="F1504" s="375">
        <v>0.5</v>
      </c>
      <c r="G1504" s="375">
        <v>12600</v>
      </c>
      <c r="H1504" s="376">
        <v>9.5238095238095238E-4</v>
      </c>
      <c r="I1504" s="375">
        <v>3846</v>
      </c>
      <c r="J1504" s="375">
        <v>5000</v>
      </c>
      <c r="K1504" s="375">
        <v>12</v>
      </c>
      <c r="L1504" s="375">
        <v>3600</v>
      </c>
      <c r="M1504" s="375">
        <v>9000</v>
      </c>
      <c r="V1504" s="375" t="s">
        <v>596</v>
      </c>
    </row>
    <row r="1505" spans="1:22" hidden="1" x14ac:dyDescent="0.25">
      <c r="A1505" s="377">
        <v>45880</v>
      </c>
      <c r="B1505" s="375">
        <v>50000</v>
      </c>
      <c r="C1505" s="375">
        <v>25000</v>
      </c>
      <c r="D1505" s="375">
        <v>8</v>
      </c>
      <c r="E1505" s="375">
        <v>16</v>
      </c>
      <c r="F1505" s="375">
        <v>0.5</v>
      </c>
      <c r="G1505" s="375">
        <v>12600</v>
      </c>
      <c r="H1505" s="376">
        <v>9.5238095238095238E-4</v>
      </c>
      <c r="I1505" s="375">
        <v>3205</v>
      </c>
      <c r="J1505" s="375">
        <v>4167</v>
      </c>
      <c r="K1505" s="375">
        <v>12</v>
      </c>
      <c r="L1505" s="375">
        <v>3600</v>
      </c>
      <c r="M1505" s="375">
        <v>9000</v>
      </c>
      <c r="V1505" s="375" t="s">
        <v>596</v>
      </c>
    </row>
    <row r="1506" spans="1:22" hidden="1" x14ac:dyDescent="0.25">
      <c r="A1506" s="377">
        <v>45881</v>
      </c>
      <c r="B1506" s="375">
        <v>50000</v>
      </c>
      <c r="C1506" s="375">
        <v>25000</v>
      </c>
      <c r="D1506" s="375">
        <v>7</v>
      </c>
      <c r="E1506" s="375">
        <v>13</v>
      </c>
      <c r="F1506" s="375">
        <v>0.5</v>
      </c>
      <c r="G1506" s="375">
        <v>12600</v>
      </c>
      <c r="H1506" s="376">
        <v>7.9365079365079365E-4</v>
      </c>
      <c r="I1506" s="375">
        <v>3846</v>
      </c>
      <c r="J1506" s="375">
        <v>5000</v>
      </c>
      <c r="K1506" s="375">
        <v>10</v>
      </c>
      <c r="L1506" s="375">
        <v>3600</v>
      </c>
      <c r="M1506" s="375">
        <v>9000</v>
      </c>
      <c r="V1506" s="375" t="s">
        <v>596</v>
      </c>
    </row>
    <row r="1507" spans="1:22" hidden="1" x14ac:dyDescent="0.25">
      <c r="A1507" s="377">
        <v>45882</v>
      </c>
      <c r="B1507" s="375">
        <v>50000</v>
      </c>
      <c r="C1507" s="375">
        <v>25000</v>
      </c>
      <c r="D1507" s="375">
        <v>7</v>
      </c>
      <c r="E1507" s="375">
        <v>13</v>
      </c>
      <c r="F1507" s="375">
        <v>0.5</v>
      </c>
      <c r="G1507" s="375">
        <v>12600</v>
      </c>
      <c r="H1507" s="376">
        <v>7.9365079365079365E-4</v>
      </c>
      <c r="I1507" s="375">
        <v>3846</v>
      </c>
      <c r="J1507" s="375">
        <v>5000</v>
      </c>
      <c r="K1507" s="375">
        <v>10</v>
      </c>
      <c r="L1507" s="375">
        <v>3600</v>
      </c>
      <c r="M1507" s="375">
        <v>9000</v>
      </c>
      <c r="V1507" s="375" t="s">
        <v>596</v>
      </c>
    </row>
    <row r="1508" spans="1:22" hidden="1" x14ac:dyDescent="0.25">
      <c r="A1508" s="377">
        <v>45883</v>
      </c>
      <c r="B1508" s="375">
        <v>50000</v>
      </c>
      <c r="C1508" s="375">
        <v>25000</v>
      </c>
      <c r="D1508" s="375">
        <v>7</v>
      </c>
      <c r="E1508" s="375">
        <v>13</v>
      </c>
      <c r="F1508" s="375">
        <v>0.5</v>
      </c>
      <c r="G1508" s="375">
        <v>12600</v>
      </c>
      <c r="H1508" s="376">
        <v>7.9365079365079365E-4</v>
      </c>
      <c r="I1508" s="375">
        <v>3846</v>
      </c>
      <c r="J1508" s="375">
        <v>5000</v>
      </c>
      <c r="K1508" s="375">
        <v>10</v>
      </c>
      <c r="L1508" s="375">
        <v>3600</v>
      </c>
      <c r="M1508" s="375">
        <v>9000</v>
      </c>
      <c r="V1508" s="375" t="s">
        <v>596</v>
      </c>
    </row>
    <row r="1509" spans="1:22" hidden="1" x14ac:dyDescent="0.25">
      <c r="A1509" s="377">
        <v>45884</v>
      </c>
      <c r="B1509" s="375">
        <v>50000</v>
      </c>
      <c r="C1509" s="375">
        <v>25000</v>
      </c>
      <c r="D1509" s="375">
        <v>5</v>
      </c>
      <c r="E1509" s="375">
        <v>10</v>
      </c>
      <c r="F1509" s="375">
        <v>0.5</v>
      </c>
      <c r="G1509" s="375">
        <v>12600</v>
      </c>
      <c r="H1509" s="376">
        <v>6.3492063492063492E-4</v>
      </c>
      <c r="I1509" s="375">
        <v>4808</v>
      </c>
      <c r="J1509" s="375">
        <v>6250</v>
      </c>
      <c r="K1509" s="375">
        <v>8</v>
      </c>
      <c r="L1509" s="375">
        <v>3600</v>
      </c>
      <c r="M1509" s="375">
        <v>9000</v>
      </c>
      <c r="V1509" s="375" t="s">
        <v>596</v>
      </c>
    </row>
    <row r="1510" spans="1:22" hidden="1" x14ac:dyDescent="0.25">
      <c r="A1510" s="377">
        <v>45885</v>
      </c>
      <c r="B1510" s="375">
        <v>48000</v>
      </c>
      <c r="C1510" s="375">
        <v>24000</v>
      </c>
      <c r="D1510" s="375">
        <v>5</v>
      </c>
      <c r="E1510" s="375">
        <v>10</v>
      </c>
      <c r="F1510" s="375">
        <v>0.5</v>
      </c>
      <c r="G1510" s="375">
        <v>12600</v>
      </c>
      <c r="H1510" s="376">
        <v>6.3492063492063492E-4</v>
      </c>
      <c r="I1510" s="375">
        <v>4615</v>
      </c>
      <c r="J1510" s="375">
        <v>6000</v>
      </c>
      <c r="K1510" s="375">
        <v>8</v>
      </c>
      <c r="L1510" s="375">
        <v>3600</v>
      </c>
      <c r="M1510" s="375">
        <v>9000</v>
      </c>
      <c r="V1510" s="375" t="s">
        <v>596</v>
      </c>
    </row>
    <row r="1511" spans="1:22" hidden="1" x14ac:dyDescent="0.25">
      <c r="A1511" s="377">
        <v>45886</v>
      </c>
      <c r="B1511" s="375">
        <v>48000</v>
      </c>
      <c r="C1511" s="375">
        <v>24000</v>
      </c>
      <c r="D1511" s="375">
        <v>5</v>
      </c>
      <c r="E1511" s="375">
        <v>10</v>
      </c>
      <c r="F1511" s="375">
        <v>0.5</v>
      </c>
      <c r="G1511" s="375">
        <v>12600</v>
      </c>
      <c r="H1511" s="376">
        <v>6.3492063492063492E-4</v>
      </c>
      <c r="I1511" s="375">
        <v>4615</v>
      </c>
      <c r="J1511" s="375">
        <v>6000</v>
      </c>
      <c r="K1511" s="375">
        <v>8</v>
      </c>
      <c r="L1511" s="375">
        <v>3600</v>
      </c>
      <c r="M1511" s="375">
        <v>9000</v>
      </c>
      <c r="V1511" s="375" t="s">
        <v>596</v>
      </c>
    </row>
    <row r="1512" spans="1:22" hidden="1" x14ac:dyDescent="0.25">
      <c r="A1512" s="377">
        <v>45887</v>
      </c>
      <c r="B1512" s="375">
        <v>48000</v>
      </c>
      <c r="C1512" s="375">
        <v>24000</v>
      </c>
      <c r="D1512" s="375">
        <v>5</v>
      </c>
      <c r="E1512" s="375">
        <v>10</v>
      </c>
      <c r="F1512" s="375">
        <v>0.5</v>
      </c>
      <c r="G1512" s="375">
        <v>12600</v>
      </c>
      <c r="H1512" s="376">
        <v>6.3492063492063492E-4</v>
      </c>
      <c r="I1512" s="375">
        <v>4615</v>
      </c>
      <c r="J1512" s="375">
        <v>6000</v>
      </c>
      <c r="K1512" s="375">
        <v>8</v>
      </c>
      <c r="L1512" s="375">
        <v>3600</v>
      </c>
      <c r="M1512" s="375">
        <v>9000</v>
      </c>
      <c r="V1512" s="375" t="s">
        <v>596</v>
      </c>
    </row>
    <row r="1513" spans="1:22" hidden="1" x14ac:dyDescent="0.25">
      <c r="A1513" s="377">
        <v>45888</v>
      </c>
      <c r="B1513" s="375">
        <v>48000</v>
      </c>
      <c r="C1513" s="375">
        <v>24000</v>
      </c>
      <c r="D1513" s="375">
        <v>5</v>
      </c>
      <c r="E1513" s="375">
        <v>10</v>
      </c>
      <c r="F1513" s="375">
        <v>0.5</v>
      </c>
      <c r="G1513" s="375">
        <v>12600</v>
      </c>
      <c r="H1513" s="376">
        <v>6.3492063492063492E-4</v>
      </c>
      <c r="I1513" s="375">
        <v>4615</v>
      </c>
      <c r="J1513" s="375">
        <v>6000</v>
      </c>
      <c r="K1513" s="375">
        <v>8</v>
      </c>
      <c r="L1513" s="375">
        <v>3600</v>
      </c>
      <c r="M1513" s="375">
        <v>9000</v>
      </c>
      <c r="V1513" s="375" t="s">
        <v>596</v>
      </c>
    </row>
    <row r="1514" spans="1:22" hidden="1" x14ac:dyDescent="0.25">
      <c r="A1514" s="377">
        <v>45889</v>
      </c>
      <c r="B1514" s="375">
        <v>48000</v>
      </c>
      <c r="C1514" s="375">
        <v>24000</v>
      </c>
      <c r="D1514" s="375">
        <v>5</v>
      </c>
      <c r="E1514" s="375">
        <v>10</v>
      </c>
      <c r="F1514" s="375">
        <v>0.5</v>
      </c>
      <c r="G1514" s="375">
        <v>12600</v>
      </c>
      <c r="H1514" s="376">
        <v>6.3492063492063492E-4</v>
      </c>
      <c r="I1514" s="375">
        <v>4615</v>
      </c>
      <c r="J1514" s="375">
        <v>6000</v>
      </c>
      <c r="K1514" s="375">
        <v>8</v>
      </c>
      <c r="L1514" s="375">
        <v>3600</v>
      </c>
      <c r="M1514" s="375">
        <v>9000</v>
      </c>
      <c r="V1514" s="375" t="s">
        <v>596</v>
      </c>
    </row>
    <row r="1515" spans="1:22" hidden="1" x14ac:dyDescent="0.25">
      <c r="A1515" s="377">
        <v>45890</v>
      </c>
      <c r="B1515" s="375">
        <v>48000</v>
      </c>
      <c r="C1515" s="375">
        <v>24000</v>
      </c>
      <c r="D1515" s="375">
        <v>5</v>
      </c>
      <c r="E1515" s="375">
        <v>10</v>
      </c>
      <c r="F1515" s="375">
        <v>0.5</v>
      </c>
      <c r="G1515" s="375">
        <v>12600</v>
      </c>
      <c r="H1515" s="376">
        <v>6.3492063492063492E-4</v>
      </c>
      <c r="I1515" s="375">
        <v>4615</v>
      </c>
      <c r="J1515" s="375">
        <v>6000</v>
      </c>
      <c r="K1515" s="375">
        <v>8</v>
      </c>
      <c r="L1515" s="375">
        <v>3600</v>
      </c>
      <c r="M1515" s="375">
        <v>9000</v>
      </c>
      <c r="V1515" s="375" t="s">
        <v>596</v>
      </c>
    </row>
    <row r="1516" spans="1:22" hidden="1" x14ac:dyDescent="0.25">
      <c r="A1516" s="377">
        <v>45891</v>
      </c>
      <c r="B1516" s="375">
        <v>48000</v>
      </c>
      <c r="C1516" s="375">
        <v>24000</v>
      </c>
      <c r="D1516" s="375">
        <v>5</v>
      </c>
      <c r="E1516" s="375">
        <v>10</v>
      </c>
      <c r="F1516" s="375">
        <v>0.5</v>
      </c>
      <c r="G1516" s="375">
        <v>12600</v>
      </c>
      <c r="H1516" s="376">
        <v>6.3492063492063492E-4</v>
      </c>
      <c r="I1516" s="375">
        <v>4615</v>
      </c>
      <c r="J1516" s="375">
        <v>6000</v>
      </c>
      <c r="K1516" s="375">
        <v>8</v>
      </c>
      <c r="L1516" s="375">
        <v>3600</v>
      </c>
      <c r="M1516" s="375">
        <v>9000</v>
      </c>
      <c r="V1516" s="375" t="s">
        <v>596</v>
      </c>
    </row>
    <row r="1517" spans="1:22" hidden="1" x14ac:dyDescent="0.25">
      <c r="A1517" s="377">
        <v>45892</v>
      </c>
      <c r="B1517" s="375">
        <v>48000</v>
      </c>
      <c r="C1517" s="375">
        <v>24000</v>
      </c>
      <c r="D1517" s="375">
        <v>5</v>
      </c>
      <c r="E1517" s="375">
        <v>10</v>
      </c>
      <c r="F1517" s="375">
        <v>0.5</v>
      </c>
      <c r="G1517" s="375">
        <v>12600</v>
      </c>
      <c r="H1517" s="376">
        <v>6.3492063492063492E-4</v>
      </c>
      <c r="I1517" s="375">
        <v>4615</v>
      </c>
      <c r="J1517" s="375">
        <v>6000</v>
      </c>
      <c r="K1517" s="375">
        <v>8</v>
      </c>
      <c r="L1517" s="375">
        <v>3600</v>
      </c>
      <c r="M1517" s="375">
        <v>9000</v>
      </c>
      <c r="V1517" s="375" t="s">
        <v>596</v>
      </c>
    </row>
    <row r="1518" spans="1:22" hidden="1" x14ac:dyDescent="0.25">
      <c r="A1518" s="377">
        <v>45893</v>
      </c>
      <c r="B1518" s="375">
        <v>48000</v>
      </c>
      <c r="C1518" s="375">
        <v>21600</v>
      </c>
      <c r="D1518" s="375">
        <v>5</v>
      </c>
      <c r="E1518" s="375">
        <v>10</v>
      </c>
      <c r="F1518" s="375">
        <v>0.55000000000000004</v>
      </c>
      <c r="G1518" s="375">
        <v>12600</v>
      </c>
      <c r="H1518" s="376">
        <v>6.3492063492063492E-4</v>
      </c>
      <c r="I1518" s="375">
        <v>4615</v>
      </c>
      <c r="J1518" s="375">
        <v>6000</v>
      </c>
      <c r="K1518" s="375">
        <v>8</v>
      </c>
      <c r="L1518" s="375">
        <v>3600</v>
      </c>
      <c r="M1518" s="375">
        <v>9000</v>
      </c>
      <c r="V1518" s="375" t="s">
        <v>596</v>
      </c>
    </row>
    <row r="1519" spans="1:22" hidden="1" x14ac:dyDescent="0.25">
      <c r="A1519" s="377">
        <v>45894</v>
      </c>
      <c r="B1519" s="375">
        <v>30000</v>
      </c>
      <c r="C1519" s="375">
        <v>15000</v>
      </c>
      <c r="D1519" s="375">
        <v>3</v>
      </c>
      <c r="E1519" s="375">
        <v>7</v>
      </c>
      <c r="F1519" s="375">
        <v>0.5</v>
      </c>
      <c r="G1519" s="375">
        <v>10300</v>
      </c>
      <c r="H1519" s="376">
        <v>4.8543689320388347E-4</v>
      </c>
      <c r="I1519" s="375">
        <v>4615</v>
      </c>
      <c r="J1519" s="375">
        <v>6000</v>
      </c>
      <c r="K1519" s="375">
        <v>5</v>
      </c>
      <c r="L1519" s="375">
        <v>2800</v>
      </c>
      <c r="M1519" s="375">
        <v>7500</v>
      </c>
      <c r="V1519" s="375" t="s">
        <v>596</v>
      </c>
    </row>
    <row r="1520" spans="1:22" hidden="1" x14ac:dyDescent="0.25">
      <c r="A1520" s="377">
        <v>45895</v>
      </c>
      <c r="B1520" s="375">
        <v>30000</v>
      </c>
      <c r="C1520" s="375">
        <v>15000</v>
      </c>
      <c r="D1520" s="375">
        <v>3</v>
      </c>
      <c r="E1520" s="375">
        <v>7</v>
      </c>
      <c r="F1520" s="375">
        <v>0.5</v>
      </c>
      <c r="G1520" s="375">
        <v>10300</v>
      </c>
      <c r="H1520" s="376">
        <v>4.8543689320388347E-4</v>
      </c>
      <c r="I1520" s="375">
        <v>4615</v>
      </c>
      <c r="J1520" s="375">
        <v>6000</v>
      </c>
      <c r="K1520" s="375">
        <v>5</v>
      </c>
      <c r="L1520" s="375">
        <v>2800</v>
      </c>
      <c r="M1520" s="375">
        <v>7500</v>
      </c>
      <c r="V1520" s="375" t="s">
        <v>596</v>
      </c>
    </row>
    <row r="1521" spans="1:22" hidden="1" x14ac:dyDescent="0.25">
      <c r="A1521" s="377">
        <v>45896</v>
      </c>
      <c r="B1521" s="375">
        <v>30000</v>
      </c>
      <c r="C1521" s="375">
        <v>15000</v>
      </c>
      <c r="D1521" s="375">
        <v>3</v>
      </c>
      <c r="E1521" s="375">
        <v>7</v>
      </c>
      <c r="F1521" s="375">
        <v>0.5</v>
      </c>
      <c r="G1521" s="375">
        <v>10300</v>
      </c>
      <c r="H1521" s="376">
        <v>4.8543689320388347E-4</v>
      </c>
      <c r="I1521" s="375">
        <v>4615</v>
      </c>
      <c r="J1521" s="375">
        <v>6000</v>
      </c>
      <c r="K1521" s="375">
        <v>5</v>
      </c>
      <c r="L1521" s="375">
        <v>2800</v>
      </c>
      <c r="M1521" s="375">
        <v>7500</v>
      </c>
      <c r="V1521" s="375" t="s">
        <v>596</v>
      </c>
    </row>
    <row r="1522" spans="1:22" hidden="1" x14ac:dyDescent="0.25">
      <c r="A1522" s="377">
        <v>45897</v>
      </c>
      <c r="B1522" s="375">
        <v>30000</v>
      </c>
      <c r="C1522" s="375">
        <v>15000</v>
      </c>
      <c r="D1522" s="375">
        <v>3</v>
      </c>
      <c r="E1522" s="375">
        <v>7</v>
      </c>
      <c r="F1522" s="375">
        <v>0.5</v>
      </c>
      <c r="G1522" s="375">
        <v>10300</v>
      </c>
      <c r="H1522" s="376">
        <v>4.8543689320388347E-4</v>
      </c>
      <c r="I1522" s="375">
        <v>4615</v>
      </c>
      <c r="J1522" s="375">
        <v>6000</v>
      </c>
      <c r="K1522" s="375">
        <v>5</v>
      </c>
      <c r="L1522" s="375">
        <v>2800</v>
      </c>
      <c r="M1522" s="375">
        <v>7500</v>
      </c>
      <c r="V1522" s="375" t="s">
        <v>596</v>
      </c>
    </row>
    <row r="1523" spans="1:22" hidden="1" x14ac:dyDescent="0.25">
      <c r="A1523" s="377">
        <v>45898</v>
      </c>
      <c r="B1523" s="375">
        <v>30000</v>
      </c>
      <c r="C1523" s="375">
        <v>15000</v>
      </c>
      <c r="D1523" s="375">
        <v>3</v>
      </c>
      <c r="E1523" s="375">
        <v>7</v>
      </c>
      <c r="F1523" s="375">
        <v>0.5</v>
      </c>
      <c r="G1523" s="375">
        <v>10300</v>
      </c>
      <c r="H1523" s="376">
        <v>4.8543689320388347E-4</v>
      </c>
      <c r="I1523" s="375">
        <v>4615</v>
      </c>
      <c r="J1523" s="375">
        <v>6000</v>
      </c>
      <c r="K1523" s="375">
        <v>5</v>
      </c>
      <c r="L1523" s="375">
        <v>2800</v>
      </c>
      <c r="M1523" s="375">
        <v>7500</v>
      </c>
      <c r="V1523" s="375" t="s">
        <v>596</v>
      </c>
    </row>
    <row r="1524" spans="1:22" hidden="1" x14ac:dyDescent="0.25">
      <c r="A1524" s="377">
        <v>45899</v>
      </c>
      <c r="B1524" s="375">
        <v>30000</v>
      </c>
      <c r="C1524" s="375">
        <v>15000</v>
      </c>
      <c r="D1524" s="375">
        <v>3</v>
      </c>
      <c r="E1524" s="375">
        <v>7</v>
      </c>
      <c r="F1524" s="375">
        <v>0.5</v>
      </c>
      <c r="G1524" s="375">
        <v>10300</v>
      </c>
      <c r="H1524" s="376">
        <v>4.8543689320388347E-4</v>
      </c>
      <c r="I1524" s="375">
        <v>4615</v>
      </c>
      <c r="J1524" s="375">
        <v>6000</v>
      </c>
      <c r="K1524" s="375">
        <v>5</v>
      </c>
      <c r="L1524" s="375">
        <v>2800</v>
      </c>
      <c r="M1524" s="375">
        <v>7500</v>
      </c>
      <c r="V1524" s="375" t="s">
        <v>596</v>
      </c>
    </row>
    <row r="1525" spans="1:22" hidden="1" x14ac:dyDescent="0.25">
      <c r="A1525" s="377">
        <v>45900</v>
      </c>
      <c r="B1525" s="375">
        <v>30000</v>
      </c>
      <c r="C1525" s="375">
        <v>15000</v>
      </c>
      <c r="D1525" s="375">
        <v>3</v>
      </c>
      <c r="E1525" s="375">
        <v>7</v>
      </c>
      <c r="F1525" s="375">
        <v>0.5</v>
      </c>
      <c r="G1525" s="375">
        <v>10300</v>
      </c>
      <c r="H1525" s="376">
        <v>4.8543689320388347E-4</v>
      </c>
      <c r="I1525" s="375">
        <v>4615</v>
      </c>
      <c r="J1525" s="375">
        <v>6000</v>
      </c>
      <c r="K1525" s="375">
        <v>5</v>
      </c>
      <c r="L1525" s="375">
        <v>2800</v>
      </c>
      <c r="M1525" s="375">
        <v>7500</v>
      </c>
      <c r="V1525" s="375" t="s">
        <v>596</v>
      </c>
    </row>
    <row r="1526" spans="1:22" hidden="1" x14ac:dyDescent="0.25">
      <c r="A1526" s="377">
        <v>45901</v>
      </c>
      <c r="B1526" s="375">
        <v>50000</v>
      </c>
      <c r="C1526" s="375">
        <v>25000</v>
      </c>
      <c r="D1526" s="375">
        <v>5</v>
      </c>
      <c r="E1526" s="375">
        <v>10</v>
      </c>
      <c r="F1526" s="375">
        <v>0.5</v>
      </c>
      <c r="G1526" s="375">
        <v>9800</v>
      </c>
      <c r="H1526" s="376">
        <v>8.1632653061224493E-4</v>
      </c>
      <c r="I1526" s="375">
        <v>4808</v>
      </c>
      <c r="J1526" s="375">
        <v>6250</v>
      </c>
      <c r="K1526" s="375">
        <v>8</v>
      </c>
      <c r="L1526" s="375">
        <v>1800</v>
      </c>
      <c r="M1526" s="375">
        <v>8000</v>
      </c>
      <c r="V1526" s="375" t="s">
        <v>596</v>
      </c>
    </row>
    <row r="1527" spans="1:22" hidden="1" x14ac:dyDescent="0.25">
      <c r="A1527" s="377">
        <v>45902</v>
      </c>
      <c r="B1527" s="375">
        <v>50000</v>
      </c>
      <c r="C1527" s="375">
        <v>25000</v>
      </c>
      <c r="D1527" s="375">
        <v>5</v>
      </c>
      <c r="E1527" s="375">
        <v>10</v>
      </c>
      <c r="F1527" s="375">
        <v>0.5</v>
      </c>
      <c r="G1527" s="375">
        <v>9800</v>
      </c>
      <c r="H1527" s="376">
        <v>8.1632653061224493E-4</v>
      </c>
      <c r="I1527" s="375">
        <v>4808</v>
      </c>
      <c r="J1527" s="375">
        <v>6250</v>
      </c>
      <c r="K1527" s="375">
        <v>8</v>
      </c>
      <c r="L1527" s="375">
        <v>1800</v>
      </c>
      <c r="M1527" s="375">
        <v>8000</v>
      </c>
      <c r="V1527" s="375" t="s">
        <v>596</v>
      </c>
    </row>
    <row r="1528" spans="1:22" hidden="1" x14ac:dyDescent="0.25">
      <c r="A1528" s="377">
        <v>45903</v>
      </c>
      <c r="B1528" s="375">
        <v>50000</v>
      </c>
      <c r="C1528" s="375">
        <v>25000</v>
      </c>
      <c r="D1528" s="375">
        <v>5</v>
      </c>
      <c r="E1528" s="375">
        <v>10</v>
      </c>
      <c r="F1528" s="375">
        <v>0.5</v>
      </c>
      <c r="G1528" s="375">
        <v>9800</v>
      </c>
      <c r="H1528" s="376">
        <v>8.1632653061224493E-4</v>
      </c>
      <c r="I1528" s="375">
        <v>4808</v>
      </c>
      <c r="J1528" s="375">
        <v>6250</v>
      </c>
      <c r="K1528" s="375">
        <v>8</v>
      </c>
      <c r="L1528" s="375">
        <v>1800</v>
      </c>
      <c r="M1528" s="375">
        <v>8000</v>
      </c>
      <c r="V1528" s="375" t="s">
        <v>596</v>
      </c>
    </row>
    <row r="1529" spans="1:22" hidden="1" x14ac:dyDescent="0.25">
      <c r="A1529" s="377">
        <v>45904</v>
      </c>
      <c r="B1529" s="375">
        <v>50000</v>
      </c>
      <c r="C1529" s="375">
        <v>25000</v>
      </c>
      <c r="D1529" s="375">
        <v>5</v>
      </c>
      <c r="E1529" s="375">
        <v>10</v>
      </c>
      <c r="F1529" s="375">
        <v>0.5</v>
      </c>
      <c r="G1529" s="375">
        <v>9800</v>
      </c>
      <c r="H1529" s="376">
        <v>8.1632653061224493E-4</v>
      </c>
      <c r="I1529" s="375">
        <v>4808</v>
      </c>
      <c r="J1529" s="375">
        <v>6250</v>
      </c>
      <c r="K1529" s="375">
        <v>8</v>
      </c>
      <c r="L1529" s="375">
        <v>1800</v>
      </c>
      <c r="M1529" s="375">
        <v>8000</v>
      </c>
      <c r="V1529" s="375" t="s">
        <v>596</v>
      </c>
    </row>
    <row r="1530" spans="1:22" hidden="1" x14ac:dyDescent="0.25">
      <c r="A1530" s="377">
        <v>45905</v>
      </c>
      <c r="B1530" s="375">
        <v>39000</v>
      </c>
      <c r="C1530" s="375">
        <v>19500</v>
      </c>
      <c r="D1530" s="375">
        <v>5</v>
      </c>
      <c r="E1530" s="375">
        <v>9</v>
      </c>
      <c r="F1530" s="375">
        <v>0.5</v>
      </c>
      <c r="G1530" s="375">
        <v>9800</v>
      </c>
      <c r="H1530" s="376">
        <v>7.1428571428571429E-4</v>
      </c>
      <c r="I1530" s="375">
        <v>4286</v>
      </c>
      <c r="J1530" s="375">
        <v>5571</v>
      </c>
      <c r="K1530" s="375">
        <v>7</v>
      </c>
      <c r="L1530" s="375">
        <v>1800</v>
      </c>
      <c r="M1530" s="375">
        <v>8000</v>
      </c>
      <c r="V1530" s="375" t="s">
        <v>596</v>
      </c>
    </row>
    <row r="1531" spans="1:22" hidden="1" x14ac:dyDescent="0.25">
      <c r="A1531" s="377">
        <v>45906</v>
      </c>
      <c r="B1531" s="375">
        <v>60000</v>
      </c>
      <c r="C1531" s="375">
        <v>30000</v>
      </c>
      <c r="D1531" s="375">
        <v>6</v>
      </c>
      <c r="E1531" s="375">
        <v>12</v>
      </c>
      <c r="F1531" s="375">
        <v>0.5</v>
      </c>
      <c r="G1531" s="375">
        <v>11300</v>
      </c>
      <c r="H1531" s="376">
        <v>7.964601769911505E-4</v>
      </c>
      <c r="I1531" s="375">
        <v>5128</v>
      </c>
      <c r="J1531" s="375">
        <v>6667</v>
      </c>
      <c r="K1531" s="375">
        <v>9</v>
      </c>
      <c r="L1531" s="375">
        <v>2800</v>
      </c>
      <c r="M1531" s="375">
        <v>8500</v>
      </c>
      <c r="V1531" s="375" t="s">
        <v>596</v>
      </c>
    </row>
    <row r="1532" spans="1:22" hidden="1" x14ac:dyDescent="0.25">
      <c r="A1532" s="377">
        <v>45907</v>
      </c>
      <c r="B1532" s="375">
        <v>60000</v>
      </c>
      <c r="C1532" s="375">
        <v>30000</v>
      </c>
      <c r="D1532" s="375">
        <v>6</v>
      </c>
      <c r="E1532" s="375">
        <v>12</v>
      </c>
      <c r="F1532" s="375">
        <v>0.5</v>
      </c>
      <c r="G1532" s="375">
        <v>11300</v>
      </c>
      <c r="H1532" s="376">
        <v>7.964601769911505E-4</v>
      </c>
      <c r="I1532" s="375">
        <v>5128</v>
      </c>
      <c r="J1532" s="375">
        <v>6667</v>
      </c>
      <c r="K1532" s="375">
        <v>9</v>
      </c>
      <c r="L1532" s="375">
        <v>2800</v>
      </c>
      <c r="M1532" s="375">
        <v>8500</v>
      </c>
      <c r="V1532" s="375" t="s">
        <v>596</v>
      </c>
    </row>
    <row r="1533" spans="1:22" hidden="1" x14ac:dyDescent="0.25">
      <c r="A1533" s="377">
        <v>45908</v>
      </c>
      <c r="B1533" s="375">
        <v>60000</v>
      </c>
      <c r="C1533" s="375">
        <v>30000</v>
      </c>
      <c r="D1533" s="375">
        <v>6</v>
      </c>
      <c r="E1533" s="375">
        <v>12</v>
      </c>
      <c r="F1533" s="375">
        <v>0.5</v>
      </c>
      <c r="G1533" s="375">
        <v>11300</v>
      </c>
      <c r="H1533" s="376">
        <v>7.964601769911505E-4</v>
      </c>
      <c r="I1533" s="375">
        <v>5128</v>
      </c>
      <c r="J1533" s="375">
        <v>6667</v>
      </c>
      <c r="K1533" s="375">
        <v>9</v>
      </c>
      <c r="L1533" s="375">
        <v>2800</v>
      </c>
      <c r="M1533" s="375">
        <v>8500</v>
      </c>
      <c r="V1533" s="375" t="s">
        <v>596</v>
      </c>
    </row>
    <row r="1534" spans="1:22" hidden="1" x14ac:dyDescent="0.25">
      <c r="A1534" s="377">
        <v>45909</v>
      </c>
      <c r="B1534" s="375">
        <v>60000</v>
      </c>
      <c r="C1534" s="375">
        <v>30000</v>
      </c>
      <c r="D1534" s="375">
        <v>6</v>
      </c>
      <c r="E1534" s="375">
        <v>12</v>
      </c>
      <c r="F1534" s="375">
        <v>0.5</v>
      </c>
      <c r="G1534" s="375">
        <v>11300</v>
      </c>
      <c r="H1534" s="376">
        <v>7.964601769911505E-4</v>
      </c>
      <c r="I1534" s="375">
        <v>5128</v>
      </c>
      <c r="J1534" s="375">
        <v>6667</v>
      </c>
      <c r="K1534" s="375">
        <v>9</v>
      </c>
      <c r="L1534" s="375">
        <v>2800</v>
      </c>
      <c r="M1534" s="375">
        <v>8500</v>
      </c>
      <c r="V1534" s="375" t="s">
        <v>596</v>
      </c>
    </row>
    <row r="1535" spans="1:22" hidden="1" x14ac:dyDescent="0.25">
      <c r="A1535" s="377">
        <v>45910</v>
      </c>
      <c r="B1535" s="375">
        <v>60000</v>
      </c>
      <c r="C1535" s="375">
        <v>30000</v>
      </c>
      <c r="D1535" s="375">
        <v>7</v>
      </c>
      <c r="E1535" s="375">
        <v>13</v>
      </c>
      <c r="F1535" s="375">
        <v>0.5</v>
      </c>
      <c r="G1535" s="375">
        <v>11300</v>
      </c>
      <c r="H1535" s="376">
        <v>8.8495575221238937E-4</v>
      </c>
      <c r="I1535" s="375">
        <v>4615</v>
      </c>
      <c r="J1535" s="375">
        <v>6000</v>
      </c>
      <c r="K1535" s="375">
        <v>10</v>
      </c>
      <c r="L1535" s="375">
        <v>2800</v>
      </c>
      <c r="M1535" s="375">
        <v>8500</v>
      </c>
      <c r="V1535" s="375" t="s">
        <v>596</v>
      </c>
    </row>
    <row r="1536" spans="1:22" hidden="1" x14ac:dyDescent="0.25">
      <c r="A1536" s="377">
        <v>45911</v>
      </c>
      <c r="B1536" s="375">
        <v>100000</v>
      </c>
      <c r="C1536" s="375">
        <v>50000</v>
      </c>
      <c r="D1536" s="375">
        <v>13</v>
      </c>
      <c r="E1536" s="375">
        <v>26</v>
      </c>
      <c r="F1536" s="375">
        <v>0.5</v>
      </c>
      <c r="G1536" s="375">
        <v>15500</v>
      </c>
      <c r="H1536" s="376">
        <v>1.2903225806451613E-3</v>
      </c>
      <c r="I1536" s="375">
        <v>3846</v>
      </c>
      <c r="J1536" s="375">
        <v>5000</v>
      </c>
      <c r="K1536" s="375">
        <v>20</v>
      </c>
      <c r="L1536" s="375">
        <v>3500</v>
      </c>
      <c r="M1536" s="375">
        <v>12000</v>
      </c>
      <c r="V1536" s="375" t="s">
        <v>596</v>
      </c>
    </row>
    <row r="1537" spans="1:22" hidden="1" x14ac:dyDescent="0.25">
      <c r="A1537" s="377">
        <v>45912</v>
      </c>
      <c r="B1537" s="375">
        <v>80000</v>
      </c>
      <c r="C1537" s="375">
        <v>40000</v>
      </c>
      <c r="D1537" s="375">
        <v>12</v>
      </c>
      <c r="E1537" s="375">
        <v>23</v>
      </c>
      <c r="F1537" s="375">
        <v>0.5</v>
      </c>
      <c r="G1537" s="375">
        <v>15500</v>
      </c>
      <c r="H1537" s="376">
        <v>1.1612903225806451E-3</v>
      </c>
      <c r="I1537" s="375">
        <v>3419</v>
      </c>
      <c r="J1537" s="375">
        <v>4444</v>
      </c>
      <c r="K1537" s="375">
        <v>18</v>
      </c>
      <c r="L1537" s="375">
        <v>3500</v>
      </c>
      <c r="M1537" s="375">
        <v>12000</v>
      </c>
      <c r="V1537" s="375" t="s">
        <v>596</v>
      </c>
    </row>
    <row r="1538" spans="1:22" hidden="1" x14ac:dyDescent="0.25">
      <c r="A1538" s="377">
        <v>45913</v>
      </c>
      <c r="B1538" s="375">
        <v>30000</v>
      </c>
      <c r="C1538" s="375">
        <v>13500</v>
      </c>
      <c r="D1538" s="375">
        <v>3</v>
      </c>
      <c r="E1538" s="375">
        <v>7</v>
      </c>
      <c r="F1538" s="375">
        <v>0.55000000000000004</v>
      </c>
      <c r="G1538" s="375">
        <v>9500</v>
      </c>
      <c r="H1538" s="376">
        <v>5.263157894736842E-4</v>
      </c>
      <c r="I1538" s="375">
        <v>4615</v>
      </c>
      <c r="J1538" s="375">
        <v>6000</v>
      </c>
      <c r="K1538" s="375">
        <v>5</v>
      </c>
      <c r="L1538" s="375">
        <v>1500</v>
      </c>
      <c r="M1538" s="375">
        <v>8000</v>
      </c>
      <c r="V1538" s="375" t="s">
        <v>596</v>
      </c>
    </row>
    <row r="1539" spans="1:22" hidden="1" x14ac:dyDescent="0.25">
      <c r="A1539" s="377">
        <v>45914</v>
      </c>
      <c r="B1539" s="375">
        <v>30000</v>
      </c>
      <c r="C1539" s="375">
        <v>13500</v>
      </c>
      <c r="D1539" s="375">
        <v>3</v>
      </c>
      <c r="E1539" s="375">
        <v>7</v>
      </c>
      <c r="F1539" s="375">
        <v>0.55000000000000004</v>
      </c>
      <c r="G1539" s="375">
        <v>9500</v>
      </c>
      <c r="H1539" s="376">
        <v>5.263157894736842E-4</v>
      </c>
      <c r="I1539" s="375">
        <v>4615</v>
      </c>
      <c r="J1539" s="375">
        <v>6000</v>
      </c>
      <c r="K1539" s="375">
        <v>5</v>
      </c>
      <c r="L1539" s="375">
        <v>1500</v>
      </c>
      <c r="M1539" s="375">
        <v>8000</v>
      </c>
      <c r="V1539" s="375" t="s">
        <v>596</v>
      </c>
    </row>
    <row r="1540" spans="1:22" hidden="1" x14ac:dyDescent="0.25">
      <c r="A1540" s="377">
        <v>45915</v>
      </c>
      <c r="B1540" s="375">
        <v>30000</v>
      </c>
      <c r="C1540" s="375">
        <v>13500</v>
      </c>
      <c r="D1540" s="375">
        <v>3</v>
      </c>
      <c r="E1540" s="375">
        <v>7</v>
      </c>
      <c r="F1540" s="375">
        <v>0.55000000000000004</v>
      </c>
      <c r="G1540" s="375">
        <v>9500</v>
      </c>
      <c r="H1540" s="376">
        <v>5.263157894736842E-4</v>
      </c>
      <c r="I1540" s="375">
        <v>4615</v>
      </c>
      <c r="J1540" s="375">
        <v>6000</v>
      </c>
      <c r="K1540" s="375">
        <v>5</v>
      </c>
      <c r="L1540" s="375">
        <v>1500</v>
      </c>
      <c r="M1540" s="375">
        <v>8000</v>
      </c>
      <c r="V1540" s="375" t="s">
        <v>596</v>
      </c>
    </row>
    <row r="1541" spans="1:22" hidden="1" x14ac:dyDescent="0.25">
      <c r="A1541" s="377">
        <v>45916</v>
      </c>
      <c r="B1541" s="375">
        <v>30000</v>
      </c>
      <c r="C1541" s="375">
        <v>13500</v>
      </c>
      <c r="D1541" s="375">
        <v>3</v>
      </c>
      <c r="E1541" s="375">
        <v>7</v>
      </c>
      <c r="F1541" s="375">
        <v>0.55000000000000004</v>
      </c>
      <c r="G1541" s="375">
        <v>9500</v>
      </c>
      <c r="H1541" s="376">
        <v>5.263157894736842E-4</v>
      </c>
      <c r="I1541" s="375">
        <v>4615</v>
      </c>
      <c r="J1541" s="375">
        <v>6000</v>
      </c>
      <c r="K1541" s="375">
        <v>5</v>
      </c>
      <c r="L1541" s="375">
        <v>1500</v>
      </c>
      <c r="M1541" s="375">
        <v>8000</v>
      </c>
      <c r="V1541" s="375" t="s">
        <v>596</v>
      </c>
    </row>
    <row r="1542" spans="1:22" hidden="1" x14ac:dyDescent="0.25">
      <c r="A1542" s="377">
        <v>45917</v>
      </c>
      <c r="B1542" s="375">
        <v>30000</v>
      </c>
      <c r="C1542" s="375">
        <v>13500</v>
      </c>
      <c r="D1542" s="375">
        <v>3</v>
      </c>
      <c r="E1542" s="375">
        <v>7</v>
      </c>
      <c r="F1542" s="375">
        <v>0.55000000000000004</v>
      </c>
      <c r="G1542" s="375">
        <v>9500</v>
      </c>
      <c r="H1542" s="376">
        <v>5.263157894736842E-4</v>
      </c>
      <c r="I1542" s="375">
        <v>4615</v>
      </c>
      <c r="J1542" s="375">
        <v>6000</v>
      </c>
      <c r="K1542" s="375">
        <v>5</v>
      </c>
      <c r="L1542" s="375">
        <v>1500</v>
      </c>
      <c r="M1542" s="375">
        <v>8000</v>
      </c>
      <c r="V1542" s="375" t="s">
        <v>596</v>
      </c>
    </row>
    <row r="1543" spans="1:22" hidden="1" x14ac:dyDescent="0.25">
      <c r="A1543" s="377">
        <v>45918</v>
      </c>
      <c r="B1543" s="375">
        <v>30000</v>
      </c>
      <c r="C1543" s="375">
        <v>13500</v>
      </c>
      <c r="D1543" s="375">
        <v>3</v>
      </c>
      <c r="E1543" s="375">
        <v>7</v>
      </c>
      <c r="F1543" s="375">
        <v>0.55000000000000004</v>
      </c>
      <c r="G1543" s="375">
        <v>9500</v>
      </c>
      <c r="H1543" s="376">
        <v>5.263157894736842E-4</v>
      </c>
      <c r="I1543" s="375">
        <v>4615</v>
      </c>
      <c r="J1543" s="375">
        <v>6000</v>
      </c>
      <c r="K1543" s="375">
        <v>5</v>
      </c>
      <c r="L1543" s="375">
        <v>1500</v>
      </c>
      <c r="M1543" s="375">
        <v>8000</v>
      </c>
      <c r="V1543" s="375" t="s">
        <v>596</v>
      </c>
    </row>
    <row r="1544" spans="1:22" hidden="1" x14ac:dyDescent="0.25">
      <c r="A1544" s="377">
        <v>45919</v>
      </c>
      <c r="B1544" s="375">
        <v>30000</v>
      </c>
      <c r="C1544" s="375">
        <v>13500</v>
      </c>
      <c r="D1544" s="375">
        <v>3</v>
      </c>
      <c r="E1544" s="375">
        <v>7</v>
      </c>
      <c r="F1544" s="375">
        <v>0.55000000000000004</v>
      </c>
      <c r="G1544" s="375">
        <v>9500</v>
      </c>
      <c r="H1544" s="376">
        <v>5.263157894736842E-4</v>
      </c>
      <c r="I1544" s="375">
        <v>4615</v>
      </c>
      <c r="J1544" s="375">
        <v>6000</v>
      </c>
      <c r="K1544" s="375">
        <v>5</v>
      </c>
      <c r="L1544" s="375">
        <v>1500</v>
      </c>
      <c r="M1544" s="375">
        <v>8000</v>
      </c>
      <c r="V1544" s="375" t="s">
        <v>596</v>
      </c>
    </row>
    <row r="1545" spans="1:22" hidden="1" x14ac:dyDescent="0.25">
      <c r="A1545" s="377">
        <v>45920</v>
      </c>
      <c r="B1545" s="375">
        <v>30000</v>
      </c>
      <c r="C1545" s="375">
        <v>13500</v>
      </c>
      <c r="D1545" s="375">
        <v>3</v>
      </c>
      <c r="E1545" s="375">
        <v>7</v>
      </c>
      <c r="F1545" s="375">
        <v>0.55000000000000004</v>
      </c>
      <c r="G1545" s="375">
        <v>9500</v>
      </c>
      <c r="H1545" s="376">
        <v>5.263157894736842E-4</v>
      </c>
      <c r="I1545" s="375">
        <v>4615</v>
      </c>
      <c r="J1545" s="375">
        <v>6000</v>
      </c>
      <c r="K1545" s="375">
        <v>5</v>
      </c>
      <c r="L1545" s="375">
        <v>1500</v>
      </c>
      <c r="M1545" s="375">
        <v>8000</v>
      </c>
      <c r="V1545" s="375" t="s">
        <v>596</v>
      </c>
    </row>
    <row r="1546" spans="1:22" hidden="1" x14ac:dyDescent="0.25">
      <c r="A1546" s="377">
        <v>45921</v>
      </c>
      <c r="B1546" s="375">
        <v>30000</v>
      </c>
      <c r="C1546" s="375">
        <v>13500</v>
      </c>
      <c r="D1546" s="375">
        <v>3</v>
      </c>
      <c r="E1546" s="375">
        <v>7</v>
      </c>
      <c r="F1546" s="375">
        <v>0.55000000000000004</v>
      </c>
      <c r="G1546" s="375">
        <v>9500</v>
      </c>
      <c r="H1546" s="376">
        <v>5.263157894736842E-4</v>
      </c>
      <c r="I1546" s="375">
        <v>4615</v>
      </c>
      <c r="J1546" s="375">
        <v>6000</v>
      </c>
      <c r="K1546" s="375">
        <v>5</v>
      </c>
      <c r="L1546" s="375">
        <v>1500</v>
      </c>
      <c r="M1546" s="375">
        <v>8000</v>
      </c>
      <c r="V1546" s="375" t="s">
        <v>596</v>
      </c>
    </row>
    <row r="1547" spans="1:22" hidden="1" x14ac:dyDescent="0.25">
      <c r="A1547" s="377">
        <v>45922</v>
      </c>
      <c r="B1547" s="375">
        <v>30000</v>
      </c>
      <c r="C1547" s="375">
        <v>13500</v>
      </c>
      <c r="D1547" s="375">
        <v>3</v>
      </c>
      <c r="E1547" s="375">
        <v>7</v>
      </c>
      <c r="F1547" s="375">
        <v>0.55000000000000004</v>
      </c>
      <c r="G1547" s="375">
        <v>9500</v>
      </c>
      <c r="H1547" s="376">
        <v>5.263157894736842E-4</v>
      </c>
      <c r="I1547" s="375">
        <v>4615</v>
      </c>
      <c r="J1547" s="375">
        <v>6000</v>
      </c>
      <c r="K1547" s="375">
        <v>5</v>
      </c>
      <c r="L1547" s="375">
        <v>1500</v>
      </c>
      <c r="M1547" s="375">
        <v>8000</v>
      </c>
      <c r="V1547" s="375" t="s">
        <v>596</v>
      </c>
    </row>
    <row r="1548" spans="1:22" hidden="1" x14ac:dyDescent="0.25">
      <c r="A1548" s="377">
        <v>45923</v>
      </c>
      <c r="B1548" s="375">
        <v>30000</v>
      </c>
      <c r="C1548" s="375">
        <v>13500</v>
      </c>
      <c r="D1548" s="375">
        <v>3</v>
      </c>
      <c r="E1548" s="375">
        <v>7</v>
      </c>
      <c r="F1548" s="375">
        <v>0.55000000000000004</v>
      </c>
      <c r="G1548" s="375">
        <v>10100</v>
      </c>
      <c r="H1548" s="376">
        <v>4.9504950495049506E-4</v>
      </c>
      <c r="I1548" s="375">
        <v>4615</v>
      </c>
      <c r="J1548" s="375">
        <v>6000</v>
      </c>
      <c r="K1548" s="375">
        <v>5</v>
      </c>
      <c r="L1548" s="375">
        <v>1600</v>
      </c>
      <c r="M1548" s="375">
        <v>8500</v>
      </c>
      <c r="V1548" s="375" t="s">
        <v>596</v>
      </c>
    </row>
    <row r="1549" spans="1:22" hidden="1" x14ac:dyDescent="0.25">
      <c r="A1549" s="377">
        <v>45924</v>
      </c>
      <c r="B1549" s="375">
        <v>30000</v>
      </c>
      <c r="C1549" s="375">
        <v>13500</v>
      </c>
      <c r="D1549" s="375">
        <v>3</v>
      </c>
      <c r="E1549" s="375">
        <v>7</v>
      </c>
      <c r="F1549" s="375">
        <v>0.55000000000000004</v>
      </c>
      <c r="G1549" s="375">
        <v>10100</v>
      </c>
      <c r="H1549" s="376">
        <v>4.9504950495049506E-4</v>
      </c>
      <c r="I1549" s="375">
        <v>4615</v>
      </c>
      <c r="J1549" s="375">
        <v>6000</v>
      </c>
      <c r="K1549" s="375">
        <v>5</v>
      </c>
      <c r="L1549" s="375">
        <v>1600</v>
      </c>
      <c r="M1549" s="375">
        <v>8500</v>
      </c>
      <c r="V1549" s="375" t="s">
        <v>596</v>
      </c>
    </row>
    <row r="1550" spans="1:22" hidden="1" x14ac:dyDescent="0.25">
      <c r="A1550" s="377">
        <v>45925</v>
      </c>
      <c r="B1550" s="375">
        <v>30000</v>
      </c>
      <c r="C1550" s="375">
        <v>13500</v>
      </c>
      <c r="D1550" s="375">
        <v>3</v>
      </c>
      <c r="E1550" s="375">
        <v>7</v>
      </c>
      <c r="F1550" s="375">
        <v>0.55000000000000004</v>
      </c>
      <c r="G1550" s="375">
        <v>10100</v>
      </c>
      <c r="H1550" s="376">
        <v>4.9504950495049506E-4</v>
      </c>
      <c r="I1550" s="375">
        <v>4615</v>
      </c>
      <c r="J1550" s="375">
        <v>6000</v>
      </c>
      <c r="K1550" s="375">
        <v>5</v>
      </c>
      <c r="L1550" s="375">
        <v>1600</v>
      </c>
      <c r="M1550" s="375">
        <v>8500</v>
      </c>
      <c r="V1550" s="375" t="s">
        <v>596</v>
      </c>
    </row>
    <row r="1551" spans="1:22" hidden="1" x14ac:dyDescent="0.25">
      <c r="A1551" s="377">
        <v>45926</v>
      </c>
      <c r="B1551" s="375">
        <v>30000</v>
      </c>
      <c r="C1551" s="375">
        <v>13500</v>
      </c>
      <c r="D1551" s="375">
        <v>3</v>
      </c>
      <c r="E1551" s="375">
        <v>7</v>
      </c>
      <c r="F1551" s="375">
        <v>0.55000000000000004</v>
      </c>
      <c r="G1551" s="375">
        <v>10100</v>
      </c>
      <c r="H1551" s="376">
        <v>4.9504950495049506E-4</v>
      </c>
      <c r="I1551" s="375">
        <v>4615</v>
      </c>
      <c r="J1551" s="375">
        <v>6000</v>
      </c>
      <c r="K1551" s="375">
        <v>5</v>
      </c>
      <c r="L1551" s="375">
        <v>1600</v>
      </c>
      <c r="M1551" s="375">
        <v>8500</v>
      </c>
      <c r="V1551" s="375" t="s">
        <v>596</v>
      </c>
    </row>
    <row r="1552" spans="1:22" hidden="1" x14ac:dyDescent="0.25">
      <c r="A1552" s="377">
        <v>45927</v>
      </c>
      <c r="B1552" s="375">
        <v>30000</v>
      </c>
      <c r="C1552" s="375">
        <v>13500</v>
      </c>
      <c r="D1552" s="375">
        <v>3</v>
      </c>
      <c r="E1552" s="375">
        <v>7</v>
      </c>
      <c r="F1552" s="375">
        <v>0.55000000000000004</v>
      </c>
      <c r="G1552" s="375">
        <v>10100</v>
      </c>
      <c r="H1552" s="376">
        <v>4.9504950495049506E-4</v>
      </c>
      <c r="I1552" s="375">
        <v>4615</v>
      </c>
      <c r="J1552" s="375">
        <v>6000</v>
      </c>
      <c r="K1552" s="375">
        <v>5</v>
      </c>
      <c r="L1552" s="375">
        <v>1600</v>
      </c>
      <c r="M1552" s="375">
        <v>8500</v>
      </c>
      <c r="V1552" s="375" t="s">
        <v>596</v>
      </c>
    </row>
    <row r="1553" spans="1:22" hidden="1" x14ac:dyDescent="0.25">
      <c r="A1553" s="377">
        <v>45928</v>
      </c>
      <c r="B1553" s="375">
        <v>30000</v>
      </c>
      <c r="C1553" s="375">
        <v>13500</v>
      </c>
      <c r="D1553" s="375">
        <v>3</v>
      </c>
      <c r="E1553" s="375">
        <v>7</v>
      </c>
      <c r="F1553" s="375">
        <v>0.55000000000000004</v>
      </c>
      <c r="G1553" s="375">
        <v>10100</v>
      </c>
      <c r="H1553" s="376">
        <v>4.9504950495049506E-4</v>
      </c>
      <c r="I1553" s="375">
        <v>4615</v>
      </c>
      <c r="J1553" s="375">
        <v>6000</v>
      </c>
      <c r="K1553" s="375">
        <v>5</v>
      </c>
      <c r="L1553" s="375">
        <v>1600</v>
      </c>
      <c r="M1553" s="375">
        <v>8500</v>
      </c>
      <c r="V1553" s="375" t="s">
        <v>596</v>
      </c>
    </row>
    <row r="1554" spans="1:22" hidden="1" x14ac:dyDescent="0.25">
      <c r="A1554" s="377">
        <v>45929</v>
      </c>
      <c r="B1554" s="375">
        <v>30000</v>
      </c>
      <c r="C1554" s="375">
        <v>13500</v>
      </c>
      <c r="D1554" s="375">
        <v>3</v>
      </c>
      <c r="E1554" s="375">
        <v>7</v>
      </c>
      <c r="F1554" s="375">
        <v>0.55000000000000004</v>
      </c>
      <c r="G1554" s="375">
        <v>10100</v>
      </c>
      <c r="H1554" s="376">
        <v>4.9504950495049506E-4</v>
      </c>
      <c r="I1554" s="375">
        <v>4615</v>
      </c>
      <c r="J1554" s="375">
        <v>6000</v>
      </c>
      <c r="K1554" s="375">
        <v>5</v>
      </c>
      <c r="L1554" s="375">
        <v>1600</v>
      </c>
      <c r="M1554" s="375">
        <v>8500</v>
      </c>
      <c r="V1554" s="375" t="s">
        <v>596</v>
      </c>
    </row>
    <row r="1555" spans="1:22" hidden="1" x14ac:dyDescent="0.25">
      <c r="A1555" s="377">
        <v>45930</v>
      </c>
      <c r="B1555" s="375">
        <v>30000</v>
      </c>
      <c r="C1555" s="375">
        <v>13500</v>
      </c>
      <c r="D1555" s="375">
        <v>3</v>
      </c>
      <c r="E1555" s="375">
        <v>7</v>
      </c>
      <c r="F1555" s="375">
        <v>0.55000000000000004</v>
      </c>
      <c r="G1555" s="375">
        <v>10100</v>
      </c>
      <c r="H1555" s="376">
        <v>4.9504950495049506E-4</v>
      </c>
      <c r="I1555" s="375">
        <v>4615</v>
      </c>
      <c r="J1555" s="375">
        <v>6000</v>
      </c>
      <c r="K1555" s="375">
        <v>5</v>
      </c>
      <c r="L1555" s="375">
        <v>1600</v>
      </c>
      <c r="M1555" s="375">
        <v>8500</v>
      </c>
      <c r="V1555" s="375" t="s">
        <v>596</v>
      </c>
    </row>
    <row r="1556" spans="1:22" hidden="1" x14ac:dyDescent="0.25">
      <c r="A1556" s="377">
        <v>45931</v>
      </c>
      <c r="B1556" s="375">
        <v>30000</v>
      </c>
      <c r="C1556" s="375">
        <v>13500</v>
      </c>
      <c r="D1556" s="375">
        <v>4</v>
      </c>
      <c r="E1556" s="375">
        <v>8</v>
      </c>
      <c r="F1556" s="375">
        <v>0.55000000000000004</v>
      </c>
      <c r="G1556" s="375">
        <v>21000</v>
      </c>
      <c r="H1556" s="376">
        <v>2.8571428571428574E-4</v>
      </c>
      <c r="I1556" s="375">
        <v>3846</v>
      </c>
      <c r="J1556" s="375">
        <v>5000</v>
      </c>
      <c r="K1556" s="375">
        <v>6</v>
      </c>
      <c r="L1556" s="375">
        <v>3000</v>
      </c>
      <c r="M1556" s="375">
        <v>18000</v>
      </c>
      <c r="V1556" s="375" t="s">
        <v>596</v>
      </c>
    </row>
    <row r="1557" spans="1:22" hidden="1" x14ac:dyDescent="0.25">
      <c r="A1557" s="377">
        <v>45932</v>
      </c>
      <c r="B1557" s="375">
        <v>30000</v>
      </c>
      <c r="C1557" s="375">
        <v>13500</v>
      </c>
      <c r="D1557" s="375">
        <v>4</v>
      </c>
      <c r="E1557" s="375">
        <v>8</v>
      </c>
      <c r="F1557" s="375">
        <v>0.55000000000000004</v>
      </c>
      <c r="G1557" s="375">
        <v>21000</v>
      </c>
      <c r="H1557" s="376">
        <v>2.8571428571428574E-4</v>
      </c>
      <c r="I1557" s="375">
        <v>3846</v>
      </c>
      <c r="J1557" s="375">
        <v>5000</v>
      </c>
      <c r="K1557" s="375">
        <v>6</v>
      </c>
      <c r="L1557" s="375">
        <v>3000</v>
      </c>
      <c r="M1557" s="375">
        <v>18000</v>
      </c>
      <c r="V1557" s="375" t="s">
        <v>596</v>
      </c>
    </row>
    <row r="1558" spans="1:22" hidden="1" x14ac:dyDescent="0.25">
      <c r="A1558" s="377">
        <v>45933</v>
      </c>
      <c r="B1558" s="375">
        <v>30000</v>
      </c>
      <c r="C1558" s="375">
        <v>13500</v>
      </c>
      <c r="D1558" s="375">
        <v>3</v>
      </c>
      <c r="E1558" s="375">
        <v>7</v>
      </c>
      <c r="F1558" s="375">
        <v>0.55000000000000004</v>
      </c>
      <c r="G1558" s="375">
        <v>21000</v>
      </c>
      <c r="H1558" s="376">
        <v>2.380952380952381E-4</v>
      </c>
      <c r="I1558" s="375">
        <v>4615</v>
      </c>
      <c r="J1558" s="375">
        <v>6000</v>
      </c>
      <c r="K1558" s="375">
        <v>5</v>
      </c>
      <c r="L1558" s="375">
        <v>3000</v>
      </c>
      <c r="M1558" s="375">
        <v>18000</v>
      </c>
      <c r="V1558" s="375" t="s">
        <v>596</v>
      </c>
    </row>
    <row r="1559" spans="1:22" hidden="1" x14ac:dyDescent="0.25">
      <c r="A1559" s="377">
        <v>45934</v>
      </c>
      <c r="B1559" s="375">
        <v>30000</v>
      </c>
      <c r="C1559" s="375">
        <v>13500</v>
      </c>
      <c r="D1559" s="375">
        <v>3</v>
      </c>
      <c r="E1559" s="375">
        <v>7</v>
      </c>
      <c r="F1559" s="375">
        <v>0.55000000000000004</v>
      </c>
      <c r="G1559" s="375">
        <v>21000</v>
      </c>
      <c r="H1559" s="376">
        <v>2.380952380952381E-4</v>
      </c>
      <c r="I1559" s="375">
        <v>4615</v>
      </c>
      <c r="J1559" s="375">
        <v>6000</v>
      </c>
      <c r="K1559" s="375">
        <v>5</v>
      </c>
      <c r="L1559" s="375">
        <v>3000</v>
      </c>
      <c r="M1559" s="375">
        <v>18000</v>
      </c>
      <c r="V1559" s="375" t="s">
        <v>596</v>
      </c>
    </row>
    <row r="1560" spans="1:22" hidden="1" x14ac:dyDescent="0.25">
      <c r="A1560" s="377">
        <v>45935</v>
      </c>
      <c r="B1560" s="375">
        <v>30000</v>
      </c>
      <c r="C1560" s="375">
        <v>13500</v>
      </c>
      <c r="D1560" s="375">
        <v>3</v>
      </c>
      <c r="E1560" s="375">
        <v>7</v>
      </c>
      <c r="F1560" s="375">
        <v>0.55000000000000004</v>
      </c>
      <c r="G1560" s="375">
        <v>21000</v>
      </c>
      <c r="H1560" s="376">
        <v>2.380952380952381E-4</v>
      </c>
      <c r="I1560" s="375">
        <v>4615</v>
      </c>
      <c r="J1560" s="375">
        <v>6000</v>
      </c>
      <c r="K1560" s="375">
        <v>5</v>
      </c>
      <c r="L1560" s="375">
        <v>3000</v>
      </c>
      <c r="M1560" s="375">
        <v>18000</v>
      </c>
      <c r="V1560" s="375" t="s">
        <v>596</v>
      </c>
    </row>
    <row r="1561" spans="1:22" hidden="1" x14ac:dyDescent="0.25">
      <c r="A1561" s="377">
        <v>45936</v>
      </c>
      <c r="B1561" s="375">
        <v>30000</v>
      </c>
      <c r="C1561" s="375">
        <v>13500</v>
      </c>
      <c r="D1561" s="375">
        <v>1</v>
      </c>
      <c r="E1561" s="375">
        <v>3</v>
      </c>
      <c r="F1561" s="375">
        <v>0.55000000000000004</v>
      </c>
      <c r="G1561" s="375">
        <v>21500</v>
      </c>
      <c r="H1561" s="376">
        <v>9.3023255813953483E-5</v>
      </c>
      <c r="I1561" s="375">
        <v>11538</v>
      </c>
      <c r="J1561" s="375">
        <v>15000</v>
      </c>
      <c r="K1561" s="375">
        <v>2</v>
      </c>
      <c r="L1561" s="375">
        <v>3500</v>
      </c>
      <c r="M1561" s="375">
        <v>18000</v>
      </c>
      <c r="V1561" s="375" t="s">
        <v>596</v>
      </c>
    </row>
    <row r="1562" spans="1:22" hidden="1" x14ac:dyDescent="0.25">
      <c r="A1562" s="377">
        <v>45937</v>
      </c>
      <c r="B1562" s="375">
        <v>30000</v>
      </c>
      <c r="C1562" s="375">
        <v>13500</v>
      </c>
      <c r="D1562" s="375">
        <v>4</v>
      </c>
      <c r="E1562" s="375">
        <v>8</v>
      </c>
      <c r="F1562" s="375">
        <v>0.55000000000000004</v>
      </c>
      <c r="G1562" s="375">
        <v>21500</v>
      </c>
      <c r="H1562" s="376">
        <v>2.7906976744186045E-4</v>
      </c>
      <c r="I1562" s="375">
        <v>3846</v>
      </c>
      <c r="J1562" s="375">
        <v>5000</v>
      </c>
      <c r="K1562" s="375">
        <v>6</v>
      </c>
      <c r="L1562" s="375">
        <v>3500</v>
      </c>
      <c r="M1562" s="375">
        <v>18000</v>
      </c>
      <c r="V1562" s="375" t="s">
        <v>596</v>
      </c>
    </row>
    <row r="1563" spans="1:22" hidden="1" x14ac:dyDescent="0.25">
      <c r="A1563" s="377">
        <v>45938</v>
      </c>
      <c r="B1563" s="375">
        <v>30000</v>
      </c>
      <c r="C1563" s="375">
        <v>13500</v>
      </c>
      <c r="D1563" s="375">
        <v>4</v>
      </c>
      <c r="E1563" s="375">
        <v>8</v>
      </c>
      <c r="F1563" s="375">
        <v>0.55000000000000004</v>
      </c>
      <c r="G1563" s="375">
        <v>22000</v>
      </c>
      <c r="H1563" s="376">
        <v>2.7272727272727274E-4</v>
      </c>
      <c r="I1563" s="375">
        <v>3846</v>
      </c>
      <c r="J1563" s="375">
        <v>5000</v>
      </c>
      <c r="K1563" s="375">
        <v>6</v>
      </c>
      <c r="L1563" s="375">
        <v>4000</v>
      </c>
      <c r="M1563" s="375">
        <v>18000</v>
      </c>
      <c r="V1563" s="375" t="s">
        <v>596</v>
      </c>
    </row>
    <row r="1564" spans="1:22" hidden="1" x14ac:dyDescent="0.25">
      <c r="A1564" s="377">
        <v>45939</v>
      </c>
      <c r="B1564" s="375">
        <v>30000</v>
      </c>
      <c r="C1564" s="375">
        <v>13500</v>
      </c>
      <c r="D1564" s="375">
        <v>4</v>
      </c>
      <c r="E1564" s="375">
        <v>8</v>
      </c>
      <c r="F1564" s="375">
        <v>0.55000000000000004</v>
      </c>
      <c r="G1564" s="375">
        <v>29000</v>
      </c>
      <c r="H1564" s="376">
        <v>2.0689655172413793E-4</v>
      </c>
      <c r="I1564" s="375">
        <v>3846</v>
      </c>
      <c r="J1564" s="375">
        <v>5000</v>
      </c>
      <c r="K1564" s="375">
        <v>6</v>
      </c>
      <c r="L1564" s="375">
        <v>4000</v>
      </c>
      <c r="M1564" s="375">
        <v>25000</v>
      </c>
      <c r="V1564" s="375" t="s">
        <v>596</v>
      </c>
    </row>
    <row r="1565" spans="1:22" hidden="1" x14ac:dyDescent="0.25">
      <c r="A1565" s="377">
        <v>45940</v>
      </c>
      <c r="B1565" s="375">
        <v>200000</v>
      </c>
      <c r="C1565" s="375">
        <v>82000</v>
      </c>
      <c r="D1565" s="375">
        <v>20</v>
      </c>
      <c r="E1565" s="375">
        <v>48</v>
      </c>
      <c r="F1565" s="375">
        <v>0.59</v>
      </c>
      <c r="G1565" s="375">
        <v>35000</v>
      </c>
      <c r="H1565" s="376">
        <v>1.5714285714285715E-3</v>
      </c>
      <c r="I1565" s="375">
        <v>4196</v>
      </c>
      <c r="J1565" s="375">
        <v>5455</v>
      </c>
      <c r="K1565" s="375">
        <v>55</v>
      </c>
      <c r="L1565" s="375">
        <v>5000</v>
      </c>
      <c r="M1565" s="375">
        <v>30000</v>
      </c>
      <c r="V1565" s="375" t="s">
        <v>596</v>
      </c>
    </row>
    <row r="1566" spans="1:22" hidden="1" x14ac:dyDescent="0.25">
      <c r="A1566" s="377">
        <v>45941</v>
      </c>
      <c r="B1566" s="375">
        <v>230000</v>
      </c>
      <c r="C1566" s="375">
        <v>94300</v>
      </c>
      <c r="D1566" s="375">
        <v>24</v>
      </c>
      <c r="E1566" s="375">
        <v>59</v>
      </c>
      <c r="F1566" s="375">
        <v>0.59</v>
      </c>
      <c r="G1566" s="375">
        <v>35000</v>
      </c>
      <c r="H1566" s="376">
        <v>1.5714285714285715E-3</v>
      </c>
      <c r="I1566" s="375">
        <v>3916</v>
      </c>
      <c r="J1566" s="375">
        <v>5091</v>
      </c>
      <c r="K1566" s="375">
        <v>55</v>
      </c>
      <c r="L1566" s="375">
        <v>5000</v>
      </c>
      <c r="M1566" s="375">
        <v>30000</v>
      </c>
      <c r="V1566" s="375" t="s">
        <v>596</v>
      </c>
    </row>
    <row r="1567" spans="1:22" hidden="1" x14ac:dyDescent="0.25">
      <c r="A1567" s="377">
        <v>45942</v>
      </c>
      <c r="B1567" s="375">
        <v>230000</v>
      </c>
      <c r="C1567" s="375">
        <v>94300</v>
      </c>
      <c r="D1567" s="375">
        <v>23</v>
      </c>
      <c r="E1567" s="375">
        <v>57</v>
      </c>
      <c r="F1567" s="375">
        <v>0.59</v>
      </c>
      <c r="G1567" s="375">
        <v>35000</v>
      </c>
      <c r="H1567" s="376">
        <v>1.5714285714285715E-3</v>
      </c>
      <c r="I1567" s="375">
        <v>4056</v>
      </c>
      <c r="J1567" s="375">
        <v>5273</v>
      </c>
      <c r="K1567" s="375">
        <v>55</v>
      </c>
      <c r="L1567" s="375">
        <v>5000</v>
      </c>
      <c r="M1567" s="375">
        <v>30000</v>
      </c>
      <c r="V1567" s="375" t="s">
        <v>596</v>
      </c>
    </row>
    <row r="1568" spans="1:22" hidden="1" x14ac:dyDescent="0.25">
      <c r="A1568" s="377">
        <v>45943</v>
      </c>
      <c r="B1568" s="375">
        <v>230000</v>
      </c>
      <c r="C1568" s="375">
        <v>94300</v>
      </c>
      <c r="D1568" s="375">
        <v>25</v>
      </c>
      <c r="E1568" s="375">
        <v>60</v>
      </c>
      <c r="F1568" s="375">
        <v>0.59</v>
      </c>
      <c r="G1568" s="375">
        <v>35000</v>
      </c>
      <c r="H1568" s="376">
        <v>1.7142857142857142E-3</v>
      </c>
      <c r="I1568" s="375">
        <v>3846</v>
      </c>
      <c r="J1568" s="375">
        <v>5000</v>
      </c>
      <c r="K1568" s="375">
        <v>60</v>
      </c>
      <c r="L1568" s="375">
        <v>5000</v>
      </c>
      <c r="M1568" s="375">
        <v>30000</v>
      </c>
      <c r="V1568" s="375" t="s">
        <v>596</v>
      </c>
    </row>
    <row r="1569" spans="1:22" hidden="1" x14ac:dyDescent="0.25">
      <c r="A1569" s="377">
        <v>45944</v>
      </c>
      <c r="B1569" s="375">
        <v>210000</v>
      </c>
      <c r="C1569" s="375">
        <v>86100</v>
      </c>
      <c r="D1569" s="375">
        <v>22</v>
      </c>
      <c r="E1569" s="375">
        <v>55</v>
      </c>
      <c r="F1569" s="375">
        <v>0.59</v>
      </c>
      <c r="G1569" s="375">
        <v>35476</v>
      </c>
      <c r="H1569" s="376">
        <v>1.6912842485060323E-3</v>
      </c>
      <c r="I1569" s="375">
        <v>3846</v>
      </c>
      <c r="J1569" s="375">
        <v>5000</v>
      </c>
      <c r="K1569" s="375">
        <v>60</v>
      </c>
      <c r="L1569" s="375">
        <v>5476</v>
      </c>
      <c r="M1569" s="375">
        <v>30000</v>
      </c>
      <c r="V1569" s="375" t="s">
        <v>596</v>
      </c>
    </row>
    <row r="1570" spans="1:22" hidden="1" x14ac:dyDescent="0.25">
      <c r="A1570" s="377">
        <v>45945</v>
      </c>
      <c r="B1570" s="375">
        <v>220000</v>
      </c>
      <c r="C1570" s="375">
        <v>90200</v>
      </c>
      <c r="D1570" s="375">
        <v>23</v>
      </c>
      <c r="E1570" s="375">
        <v>57</v>
      </c>
      <c r="F1570" s="375">
        <v>0.59</v>
      </c>
      <c r="G1570" s="375">
        <v>36438</v>
      </c>
      <c r="H1570" s="376">
        <v>1.3721938635490422E-3</v>
      </c>
      <c r="I1570" s="375">
        <v>3846</v>
      </c>
      <c r="J1570" s="375">
        <v>5000</v>
      </c>
      <c r="K1570" s="375">
        <v>50</v>
      </c>
      <c r="L1570" s="375">
        <v>6438</v>
      </c>
      <c r="M1570" s="375">
        <v>30000</v>
      </c>
      <c r="V1570" s="375" t="s">
        <v>596</v>
      </c>
    </row>
    <row r="1571" spans="1:22" hidden="1" x14ac:dyDescent="0.25">
      <c r="A1571" s="377">
        <v>45946</v>
      </c>
      <c r="B1571" s="375">
        <v>200000</v>
      </c>
      <c r="C1571" s="375">
        <v>82000</v>
      </c>
      <c r="D1571" s="375">
        <v>21</v>
      </c>
      <c r="E1571" s="375">
        <v>52</v>
      </c>
      <c r="F1571" s="375">
        <v>0.59</v>
      </c>
      <c r="G1571" s="375">
        <v>36448</v>
      </c>
      <c r="H1571" s="376">
        <v>1.0974539069359087E-3</v>
      </c>
      <c r="I1571" s="375">
        <v>3846</v>
      </c>
      <c r="J1571" s="375">
        <v>5000</v>
      </c>
      <c r="K1571" s="375">
        <v>40</v>
      </c>
      <c r="L1571" s="375">
        <v>6448</v>
      </c>
      <c r="M1571" s="375">
        <v>30000</v>
      </c>
      <c r="V1571" s="375" t="s">
        <v>596</v>
      </c>
    </row>
    <row r="1572" spans="1:22" hidden="1" x14ac:dyDescent="0.25">
      <c r="A1572" s="377">
        <v>45947</v>
      </c>
      <c r="B1572" s="375">
        <v>200000</v>
      </c>
      <c r="C1572" s="375">
        <v>82000</v>
      </c>
      <c r="D1572" s="375">
        <v>21</v>
      </c>
      <c r="E1572" s="375">
        <v>52</v>
      </c>
      <c r="F1572" s="375">
        <v>0.59</v>
      </c>
      <c r="G1572" s="375">
        <v>36888</v>
      </c>
      <c r="H1572" s="376">
        <v>1.0843634786380394E-3</v>
      </c>
      <c r="I1572" s="375">
        <v>3846</v>
      </c>
      <c r="J1572" s="375">
        <v>5000</v>
      </c>
      <c r="K1572" s="375">
        <v>40</v>
      </c>
      <c r="L1572" s="375">
        <v>6888</v>
      </c>
      <c r="M1572" s="375">
        <v>30000</v>
      </c>
      <c r="V1572" s="375" t="s">
        <v>596</v>
      </c>
    </row>
    <row r="1573" spans="1:22" hidden="1" x14ac:dyDescent="0.25">
      <c r="A1573" s="377">
        <v>45948</v>
      </c>
      <c r="B1573" s="375">
        <v>200000</v>
      </c>
      <c r="C1573" s="375">
        <v>82000</v>
      </c>
      <c r="D1573" s="375">
        <v>21</v>
      </c>
      <c r="E1573" s="375">
        <v>52</v>
      </c>
      <c r="F1573" s="375">
        <v>0.59</v>
      </c>
      <c r="G1573" s="375">
        <v>36705</v>
      </c>
      <c r="H1573" s="376">
        <v>1.0897697861326796E-3</v>
      </c>
      <c r="I1573" s="375">
        <v>3846</v>
      </c>
      <c r="J1573" s="375">
        <v>5000</v>
      </c>
      <c r="K1573" s="375">
        <v>40</v>
      </c>
      <c r="L1573" s="375">
        <v>6705</v>
      </c>
      <c r="M1573" s="375">
        <v>30000</v>
      </c>
      <c r="V1573" s="375" t="s">
        <v>596</v>
      </c>
    </row>
    <row r="1574" spans="1:22" hidden="1" x14ac:dyDescent="0.25">
      <c r="A1574" s="377">
        <v>45949</v>
      </c>
      <c r="B1574" s="375">
        <v>200000</v>
      </c>
      <c r="C1574" s="375">
        <v>82000</v>
      </c>
      <c r="D1574" s="375">
        <v>21</v>
      </c>
      <c r="E1574" s="375">
        <v>52</v>
      </c>
      <c r="F1574" s="375">
        <v>0.59</v>
      </c>
      <c r="G1574" s="375">
        <v>36981</v>
      </c>
      <c r="H1574" s="376">
        <v>1.0816365160487818E-3</v>
      </c>
      <c r="I1574" s="375">
        <v>3846</v>
      </c>
      <c r="J1574" s="375">
        <v>5000</v>
      </c>
      <c r="K1574" s="375">
        <v>40</v>
      </c>
      <c r="L1574" s="375">
        <v>6981</v>
      </c>
      <c r="M1574" s="375">
        <v>30000</v>
      </c>
      <c r="V1574" s="375" t="s">
        <v>596</v>
      </c>
    </row>
    <row r="1575" spans="1:22" hidden="1" x14ac:dyDescent="0.25">
      <c r="A1575" s="377">
        <v>45950</v>
      </c>
      <c r="B1575" s="375">
        <v>2850000</v>
      </c>
      <c r="C1575" s="375">
        <v>997500</v>
      </c>
      <c r="D1575" s="375">
        <v>234</v>
      </c>
      <c r="E1575" s="375">
        <v>670</v>
      </c>
      <c r="F1575" s="375">
        <v>0.65</v>
      </c>
      <c r="G1575" s="375">
        <v>52090</v>
      </c>
      <c r="H1575" s="376">
        <v>1.2670378191591477E-2</v>
      </c>
      <c r="I1575" s="375">
        <v>4254</v>
      </c>
      <c r="J1575" s="375">
        <v>5530</v>
      </c>
      <c r="K1575" s="375">
        <v>660</v>
      </c>
      <c r="L1575" s="375">
        <v>12090</v>
      </c>
      <c r="M1575" s="375">
        <v>40000</v>
      </c>
      <c r="V1575" s="375" t="s">
        <v>596</v>
      </c>
    </row>
    <row r="1576" spans="1:22" hidden="1" x14ac:dyDescent="0.25">
      <c r="A1576" s="377">
        <v>45951</v>
      </c>
      <c r="B1576" s="375">
        <v>1000000</v>
      </c>
      <c r="C1576" s="375">
        <v>400000</v>
      </c>
      <c r="D1576" s="375">
        <v>127</v>
      </c>
      <c r="E1576" s="375">
        <v>319</v>
      </c>
      <c r="F1576" s="375">
        <v>0.6</v>
      </c>
      <c r="G1576" s="375">
        <v>38000</v>
      </c>
      <c r="H1576" s="376">
        <v>0.01</v>
      </c>
      <c r="I1576" s="375">
        <v>3138</v>
      </c>
      <c r="J1576" s="375">
        <v>4079</v>
      </c>
      <c r="K1576" s="375">
        <v>380</v>
      </c>
      <c r="L1576" s="375">
        <v>8000</v>
      </c>
      <c r="M1576" s="375">
        <v>30000</v>
      </c>
      <c r="V1576" s="375" t="s">
        <v>596</v>
      </c>
    </row>
    <row r="1577" spans="1:22" hidden="1" x14ac:dyDescent="0.25">
      <c r="A1577" s="377">
        <v>45952</v>
      </c>
      <c r="B1577" s="375">
        <v>1180000</v>
      </c>
      <c r="C1577" s="375">
        <v>472000</v>
      </c>
      <c r="D1577" s="375">
        <v>112</v>
      </c>
      <c r="E1577" s="375">
        <v>281</v>
      </c>
      <c r="F1577" s="375">
        <v>0.6</v>
      </c>
      <c r="G1577" s="375">
        <v>38718</v>
      </c>
      <c r="H1577" s="376">
        <v>5.6821116793222791E-3</v>
      </c>
      <c r="I1577" s="375">
        <v>4196</v>
      </c>
      <c r="J1577" s="375">
        <v>5455</v>
      </c>
      <c r="K1577" s="375">
        <v>220</v>
      </c>
      <c r="L1577" s="375">
        <v>8718</v>
      </c>
      <c r="M1577" s="375">
        <v>30000</v>
      </c>
      <c r="V1577" s="375" t="s">
        <v>596</v>
      </c>
    </row>
    <row r="1578" spans="1:22" hidden="1" x14ac:dyDescent="0.25">
      <c r="A1578" s="377">
        <v>45953</v>
      </c>
      <c r="B1578" s="375">
        <v>1000000</v>
      </c>
      <c r="C1578" s="375">
        <v>400000</v>
      </c>
      <c r="D1578" s="375">
        <v>100</v>
      </c>
      <c r="E1578" s="375">
        <v>250</v>
      </c>
      <c r="F1578" s="375">
        <v>0.6</v>
      </c>
      <c r="G1578" s="375">
        <v>38185</v>
      </c>
      <c r="H1578" s="376">
        <v>6.5470734581642006E-3</v>
      </c>
      <c r="I1578" s="375">
        <v>4000</v>
      </c>
      <c r="J1578" s="375">
        <v>5200</v>
      </c>
      <c r="K1578" s="375">
        <v>250</v>
      </c>
      <c r="L1578" s="375">
        <v>8185</v>
      </c>
      <c r="M1578" s="375">
        <v>30000</v>
      </c>
      <c r="V1578" s="375" t="s">
        <v>596</v>
      </c>
    </row>
    <row r="1579" spans="1:22" hidden="1" x14ac:dyDescent="0.25">
      <c r="A1579" s="377">
        <v>45954</v>
      </c>
      <c r="B1579" s="375">
        <v>500000</v>
      </c>
      <c r="C1579" s="375">
        <v>200000</v>
      </c>
      <c r="D1579" s="375">
        <v>52</v>
      </c>
      <c r="E1579" s="375">
        <v>129</v>
      </c>
      <c r="F1579" s="375">
        <v>0.6</v>
      </c>
      <c r="G1579" s="375">
        <v>38436</v>
      </c>
      <c r="H1579" s="376">
        <v>3.9025913206369028E-3</v>
      </c>
      <c r="I1579" s="375">
        <v>3875</v>
      </c>
      <c r="J1579" s="375">
        <v>5038</v>
      </c>
      <c r="K1579" s="375">
        <v>150</v>
      </c>
      <c r="L1579" s="375">
        <v>8436</v>
      </c>
      <c r="M1579" s="375">
        <v>30000</v>
      </c>
      <c r="V1579" s="375" t="s">
        <v>596</v>
      </c>
    </row>
    <row r="1580" spans="1:22" hidden="1" x14ac:dyDescent="0.25">
      <c r="A1580" s="377">
        <v>45955</v>
      </c>
      <c r="B1580" s="375">
        <v>500000</v>
      </c>
      <c r="C1580" s="375">
        <v>215000</v>
      </c>
      <c r="D1580" s="375">
        <v>51</v>
      </c>
      <c r="E1580" s="375">
        <v>118</v>
      </c>
      <c r="F1580" s="375">
        <v>0.56999999999999995</v>
      </c>
      <c r="G1580" s="375">
        <v>33086</v>
      </c>
      <c r="H1580" s="376">
        <v>2.9922021398778938E-3</v>
      </c>
      <c r="I1580" s="375">
        <v>4237</v>
      </c>
      <c r="J1580" s="375">
        <v>5508</v>
      </c>
      <c r="K1580" s="375">
        <v>99</v>
      </c>
      <c r="L1580" s="375">
        <v>8086</v>
      </c>
      <c r="M1580" s="375">
        <v>25000</v>
      </c>
      <c r="V1580" s="375" t="s">
        <v>596</v>
      </c>
    </row>
    <row r="1581" spans="1:22" hidden="1" x14ac:dyDescent="0.25">
      <c r="A1581" s="377">
        <v>45956</v>
      </c>
      <c r="B1581" s="375">
        <v>503796</v>
      </c>
      <c r="C1581" s="375">
        <v>216632</v>
      </c>
      <c r="D1581" s="375">
        <v>37</v>
      </c>
      <c r="E1581" s="375">
        <v>86</v>
      </c>
      <c r="F1581" s="375">
        <v>0.56999999999999995</v>
      </c>
      <c r="G1581" s="375">
        <v>33545</v>
      </c>
      <c r="H1581" s="376">
        <v>1.967506334774184E-3</v>
      </c>
      <c r="I1581" s="375">
        <v>5872</v>
      </c>
      <c r="J1581" s="375">
        <v>7633</v>
      </c>
      <c r="K1581" s="375">
        <v>66</v>
      </c>
      <c r="L1581" s="375">
        <v>8545</v>
      </c>
      <c r="M1581" s="375">
        <v>25000</v>
      </c>
      <c r="V1581" s="375" t="s">
        <v>596</v>
      </c>
    </row>
    <row r="1582" spans="1:22" hidden="1" x14ac:dyDescent="0.25">
      <c r="A1582" s="377">
        <v>45957</v>
      </c>
      <c r="B1582" s="375">
        <v>406281</v>
      </c>
      <c r="C1582" s="375">
        <v>174701</v>
      </c>
      <c r="D1582" s="375">
        <v>45</v>
      </c>
      <c r="E1582" s="375">
        <v>104</v>
      </c>
      <c r="F1582" s="375">
        <v>0.56999999999999995</v>
      </c>
      <c r="G1582" s="375">
        <v>33758</v>
      </c>
      <c r="H1582" s="376">
        <v>2.3698086379524853E-3</v>
      </c>
      <c r="I1582" s="375">
        <v>3907</v>
      </c>
      <c r="J1582" s="375">
        <v>5079</v>
      </c>
      <c r="K1582" s="375">
        <v>80</v>
      </c>
      <c r="L1582" s="375">
        <v>8758</v>
      </c>
      <c r="M1582" s="375">
        <v>25000</v>
      </c>
      <c r="V1582" s="375" t="s">
        <v>596</v>
      </c>
    </row>
    <row r="1583" spans="1:22" hidden="1" x14ac:dyDescent="0.25">
      <c r="A1583" s="377">
        <v>45958</v>
      </c>
      <c r="B1583" s="375">
        <v>350000</v>
      </c>
      <c r="C1583" s="375">
        <v>150500</v>
      </c>
      <c r="D1583" s="375">
        <v>36</v>
      </c>
      <c r="E1583" s="375">
        <v>83</v>
      </c>
      <c r="F1583" s="375">
        <v>0.56999999999999995</v>
      </c>
      <c r="G1583" s="375">
        <v>33903</v>
      </c>
      <c r="H1583" s="376">
        <v>1.6222753148688906E-3</v>
      </c>
      <c r="I1583" s="375">
        <v>4196</v>
      </c>
      <c r="J1583" s="375">
        <v>5455</v>
      </c>
      <c r="K1583" s="375">
        <v>55</v>
      </c>
      <c r="L1583" s="375">
        <v>8903</v>
      </c>
      <c r="M1583" s="375">
        <v>25000</v>
      </c>
      <c r="V1583" s="375" t="s">
        <v>596</v>
      </c>
    </row>
    <row r="1584" spans="1:22" hidden="1" x14ac:dyDescent="0.25">
      <c r="A1584" s="377">
        <v>45959</v>
      </c>
      <c r="B1584" s="375">
        <v>350000</v>
      </c>
      <c r="C1584" s="375">
        <v>150500</v>
      </c>
      <c r="D1584" s="375">
        <v>36</v>
      </c>
      <c r="E1584" s="375">
        <v>83</v>
      </c>
      <c r="F1584" s="375">
        <v>0.56999999999999995</v>
      </c>
      <c r="G1584" s="375">
        <v>33000</v>
      </c>
      <c r="H1584" s="376">
        <v>1.6666666666666668E-3</v>
      </c>
      <c r="I1584" s="375">
        <v>4196</v>
      </c>
      <c r="J1584" s="375">
        <v>5455</v>
      </c>
      <c r="K1584" s="375">
        <v>55</v>
      </c>
      <c r="L1584" s="375">
        <v>8000</v>
      </c>
      <c r="M1584" s="375">
        <v>25000</v>
      </c>
      <c r="V1584" s="375" t="s">
        <v>596</v>
      </c>
    </row>
    <row r="1585" spans="1:22" hidden="1" x14ac:dyDescent="0.25">
      <c r="A1585" s="377">
        <v>45960</v>
      </c>
      <c r="B1585" s="375">
        <v>350000</v>
      </c>
      <c r="C1585" s="375">
        <v>150500</v>
      </c>
      <c r="D1585" s="375">
        <v>39</v>
      </c>
      <c r="E1585" s="375">
        <v>91</v>
      </c>
      <c r="F1585" s="375">
        <v>0.56999999999999995</v>
      </c>
      <c r="G1585" s="375">
        <v>33000</v>
      </c>
      <c r="H1585" s="376">
        <v>1.5151515151515152E-3</v>
      </c>
      <c r="I1585" s="375">
        <v>3846</v>
      </c>
      <c r="J1585" s="375">
        <v>5000</v>
      </c>
      <c r="K1585" s="375">
        <v>50</v>
      </c>
      <c r="L1585" s="375">
        <v>8000</v>
      </c>
      <c r="M1585" s="375">
        <v>25000</v>
      </c>
      <c r="V1585" s="375" t="s">
        <v>596</v>
      </c>
    </row>
    <row r="1586" spans="1:22" hidden="1" x14ac:dyDescent="0.25">
      <c r="A1586" s="377">
        <v>45961</v>
      </c>
      <c r="B1586" s="375">
        <v>860000</v>
      </c>
      <c r="C1586" s="375">
        <v>369800</v>
      </c>
      <c r="D1586" s="375">
        <v>91</v>
      </c>
      <c r="E1586" s="375">
        <v>212</v>
      </c>
      <c r="F1586" s="375">
        <v>0.56999999999999995</v>
      </c>
      <c r="G1586" s="375">
        <v>33000</v>
      </c>
      <c r="H1586" s="376">
        <v>1.1515151515151515E-2</v>
      </c>
      <c r="I1586" s="375">
        <v>4049</v>
      </c>
      <c r="J1586" s="375">
        <v>5263</v>
      </c>
      <c r="K1586" s="375">
        <v>380</v>
      </c>
      <c r="L1586" s="375">
        <v>8000</v>
      </c>
      <c r="M1586" s="375">
        <v>25000</v>
      </c>
      <c r="V1586" s="375" t="s">
        <v>596</v>
      </c>
    </row>
    <row r="1587" spans="1:22" hidden="1" x14ac:dyDescent="0.25">
      <c r="A1587" s="377">
        <v>45962</v>
      </c>
      <c r="B1587" s="375">
        <v>550000</v>
      </c>
      <c r="C1587" s="375">
        <v>236500</v>
      </c>
      <c r="D1587" s="375">
        <v>61</v>
      </c>
      <c r="E1587" s="375">
        <v>143</v>
      </c>
      <c r="F1587" s="375">
        <v>0.56999999999999995</v>
      </c>
      <c r="G1587" s="375">
        <v>33000</v>
      </c>
      <c r="H1587" s="376">
        <v>6.6666666666666671E-3</v>
      </c>
      <c r="I1587" s="375">
        <v>3846</v>
      </c>
      <c r="J1587" s="375">
        <v>5000</v>
      </c>
      <c r="K1587" s="375">
        <v>220</v>
      </c>
      <c r="L1587" s="375">
        <v>8000</v>
      </c>
      <c r="M1587" s="375">
        <v>25000</v>
      </c>
      <c r="V1587" s="375" t="s">
        <v>596</v>
      </c>
    </row>
    <row r="1588" spans="1:22" hidden="1" x14ac:dyDescent="0.25">
      <c r="A1588" s="377">
        <v>45963</v>
      </c>
      <c r="B1588" s="375">
        <v>550000</v>
      </c>
      <c r="C1588" s="375">
        <v>236500</v>
      </c>
      <c r="D1588" s="375">
        <v>58</v>
      </c>
      <c r="E1588" s="375">
        <v>136</v>
      </c>
      <c r="F1588" s="375">
        <v>0.56999999999999995</v>
      </c>
      <c r="G1588" s="375">
        <v>33000</v>
      </c>
      <c r="H1588" s="376">
        <v>5.7575757575757574E-3</v>
      </c>
      <c r="I1588" s="375">
        <v>4049</v>
      </c>
      <c r="J1588" s="375">
        <v>5263</v>
      </c>
      <c r="K1588" s="375">
        <v>190</v>
      </c>
      <c r="L1588" s="375">
        <v>8000</v>
      </c>
      <c r="M1588" s="375">
        <v>25000</v>
      </c>
      <c r="V1588" s="375" t="s">
        <v>596</v>
      </c>
    </row>
    <row r="1589" spans="1:22" hidden="1" x14ac:dyDescent="0.25">
      <c r="A1589" s="377">
        <v>45964</v>
      </c>
      <c r="B1589" s="375">
        <v>550000</v>
      </c>
      <c r="C1589" s="375">
        <v>220000</v>
      </c>
      <c r="D1589" s="375">
        <v>51</v>
      </c>
      <c r="E1589" s="375">
        <v>129</v>
      </c>
      <c r="F1589" s="375">
        <v>0.6</v>
      </c>
      <c r="G1589" s="375">
        <v>33000</v>
      </c>
      <c r="H1589" s="376">
        <v>5.454545454545455E-3</v>
      </c>
      <c r="I1589" s="375">
        <v>4274</v>
      </c>
      <c r="J1589" s="375">
        <v>5556</v>
      </c>
      <c r="K1589" s="375">
        <v>180</v>
      </c>
      <c r="L1589" s="375">
        <v>8000</v>
      </c>
      <c r="M1589" s="375">
        <v>25000</v>
      </c>
      <c r="V1589" s="375" t="s">
        <v>596</v>
      </c>
    </row>
    <row r="1590" spans="1:22" hidden="1" x14ac:dyDescent="0.25">
      <c r="A1590" s="377">
        <v>45965</v>
      </c>
      <c r="B1590" s="375">
        <v>450000</v>
      </c>
      <c r="C1590" s="375">
        <v>180000</v>
      </c>
      <c r="D1590" s="375">
        <v>46</v>
      </c>
      <c r="E1590" s="375">
        <v>114</v>
      </c>
      <c r="F1590" s="375">
        <v>0.6</v>
      </c>
      <c r="G1590" s="375">
        <v>31000</v>
      </c>
      <c r="H1590" s="376">
        <v>2.838709677419355E-3</v>
      </c>
      <c r="I1590" s="375">
        <v>3934</v>
      </c>
      <c r="J1590" s="375">
        <v>5114</v>
      </c>
      <c r="K1590" s="375">
        <v>88</v>
      </c>
      <c r="L1590" s="375">
        <v>6000</v>
      </c>
      <c r="M1590" s="375">
        <v>25000</v>
      </c>
      <c r="V1590" s="375" t="s">
        <v>596</v>
      </c>
    </row>
    <row r="1591" spans="1:22" hidden="1" x14ac:dyDescent="0.25">
      <c r="A1591" s="377">
        <v>45966</v>
      </c>
      <c r="B1591" s="375">
        <v>450000</v>
      </c>
      <c r="C1591" s="375">
        <v>180000</v>
      </c>
      <c r="D1591" s="375">
        <v>34</v>
      </c>
      <c r="E1591" s="375">
        <v>86</v>
      </c>
      <c r="F1591" s="375">
        <v>0.6</v>
      </c>
      <c r="G1591" s="375">
        <v>31000</v>
      </c>
      <c r="H1591" s="376">
        <v>2.1290322580645163E-3</v>
      </c>
      <c r="I1591" s="375">
        <v>5245</v>
      </c>
      <c r="J1591" s="375">
        <v>6818</v>
      </c>
      <c r="K1591" s="375">
        <v>66</v>
      </c>
      <c r="L1591" s="375">
        <v>6000</v>
      </c>
      <c r="M1591" s="375">
        <v>25000</v>
      </c>
      <c r="V1591" s="375" t="s">
        <v>596</v>
      </c>
    </row>
    <row r="1592" spans="1:22" hidden="1" x14ac:dyDescent="0.25">
      <c r="A1592" s="377">
        <v>45967</v>
      </c>
      <c r="B1592" s="375">
        <v>400000</v>
      </c>
      <c r="C1592" s="375">
        <v>160000</v>
      </c>
      <c r="D1592" s="375">
        <v>39</v>
      </c>
      <c r="E1592" s="375">
        <v>98</v>
      </c>
      <c r="F1592" s="375">
        <v>0.6</v>
      </c>
      <c r="G1592" s="375">
        <v>31000</v>
      </c>
      <c r="H1592" s="376">
        <v>2.1290322580645163E-3</v>
      </c>
      <c r="I1592" s="375">
        <v>4079</v>
      </c>
      <c r="J1592" s="375">
        <v>5303</v>
      </c>
      <c r="K1592" s="375">
        <v>66</v>
      </c>
      <c r="L1592" s="375">
        <v>6000</v>
      </c>
      <c r="M1592" s="375">
        <v>25000</v>
      </c>
      <c r="V1592" s="375" t="s">
        <v>596</v>
      </c>
    </row>
    <row r="1593" spans="1:22" hidden="1" x14ac:dyDescent="0.25">
      <c r="A1593" s="377">
        <v>45968</v>
      </c>
      <c r="B1593" s="375">
        <v>400000</v>
      </c>
      <c r="C1593" s="375">
        <v>160000</v>
      </c>
      <c r="D1593" s="375">
        <v>39</v>
      </c>
      <c r="E1593" s="375">
        <v>98</v>
      </c>
      <c r="F1593" s="375">
        <v>0.6</v>
      </c>
      <c r="G1593" s="375">
        <v>31000</v>
      </c>
      <c r="H1593" s="376">
        <v>2.1290322580645163E-3</v>
      </c>
      <c r="I1593" s="375">
        <v>4079</v>
      </c>
      <c r="J1593" s="375">
        <v>5303</v>
      </c>
      <c r="K1593" s="375">
        <v>66</v>
      </c>
      <c r="L1593" s="375">
        <v>6000</v>
      </c>
      <c r="M1593" s="375">
        <v>25000</v>
      </c>
      <c r="V1593" s="375" t="s">
        <v>596</v>
      </c>
    </row>
    <row r="1594" spans="1:22" hidden="1" x14ac:dyDescent="0.25">
      <c r="A1594" s="377">
        <v>45969</v>
      </c>
      <c r="B1594" s="375">
        <v>400000</v>
      </c>
      <c r="C1594" s="375">
        <v>160000</v>
      </c>
      <c r="D1594" s="375">
        <v>39</v>
      </c>
      <c r="E1594" s="375">
        <v>97</v>
      </c>
      <c r="F1594" s="375">
        <v>0.6</v>
      </c>
      <c r="G1594" s="375">
        <v>31000</v>
      </c>
      <c r="H1594" s="376">
        <v>1.8064516129032257E-3</v>
      </c>
      <c r="I1594" s="375">
        <v>4121</v>
      </c>
      <c r="J1594" s="375">
        <v>5357</v>
      </c>
      <c r="K1594" s="375">
        <v>56</v>
      </c>
      <c r="L1594" s="375">
        <v>6000</v>
      </c>
      <c r="M1594" s="375">
        <v>25000</v>
      </c>
      <c r="V1594" s="375" t="s">
        <v>596</v>
      </c>
    </row>
    <row r="1595" spans="1:22" hidden="1" x14ac:dyDescent="0.25">
      <c r="A1595" s="377">
        <v>45970</v>
      </c>
      <c r="B1595" s="375">
        <v>400000</v>
      </c>
      <c r="C1595" s="375">
        <v>160000</v>
      </c>
      <c r="D1595" s="375">
        <v>39</v>
      </c>
      <c r="E1595" s="375">
        <v>98</v>
      </c>
      <c r="F1595" s="375">
        <v>0.6</v>
      </c>
      <c r="G1595" s="375">
        <v>31000</v>
      </c>
      <c r="H1595" s="376">
        <v>2.1290322580645163E-3</v>
      </c>
      <c r="I1595" s="375">
        <v>4079</v>
      </c>
      <c r="J1595" s="375">
        <v>5303</v>
      </c>
      <c r="K1595" s="375">
        <v>66</v>
      </c>
      <c r="L1595" s="375">
        <v>6000</v>
      </c>
      <c r="M1595" s="375">
        <v>25000</v>
      </c>
      <c r="V1595" s="375" t="s">
        <v>596</v>
      </c>
    </row>
    <row r="1596" spans="1:22" hidden="1" x14ac:dyDescent="0.25">
      <c r="A1596" s="377">
        <v>45971</v>
      </c>
      <c r="B1596" s="375">
        <v>700000</v>
      </c>
      <c r="C1596" s="375">
        <v>280000</v>
      </c>
      <c r="D1596" s="375">
        <v>62</v>
      </c>
      <c r="E1596" s="375">
        <v>156</v>
      </c>
      <c r="F1596" s="375">
        <v>0.6</v>
      </c>
      <c r="G1596" s="375">
        <v>31000</v>
      </c>
      <c r="H1596" s="376">
        <v>3.8709677419354839E-3</v>
      </c>
      <c r="I1596" s="375">
        <v>4487</v>
      </c>
      <c r="J1596" s="375">
        <v>5833</v>
      </c>
      <c r="K1596" s="375">
        <v>120</v>
      </c>
      <c r="L1596" s="375">
        <v>6000</v>
      </c>
      <c r="M1596" s="375">
        <v>25000</v>
      </c>
      <c r="V1596" s="375" t="s">
        <v>596</v>
      </c>
    </row>
    <row r="1597" spans="1:22" hidden="1" x14ac:dyDescent="0.25">
      <c r="A1597" s="377">
        <v>45972</v>
      </c>
      <c r="B1597" s="375">
        <v>830000</v>
      </c>
      <c r="C1597" s="375">
        <v>332000</v>
      </c>
      <c r="D1597" s="375">
        <v>86</v>
      </c>
      <c r="E1597" s="375">
        <v>216</v>
      </c>
      <c r="F1597" s="375">
        <v>0.6</v>
      </c>
      <c r="G1597" s="375">
        <v>31000</v>
      </c>
      <c r="H1597" s="376">
        <v>5.1612903225806452E-3</v>
      </c>
      <c r="I1597" s="375">
        <v>3846</v>
      </c>
      <c r="J1597" s="375">
        <v>5000</v>
      </c>
      <c r="K1597" s="375">
        <v>160</v>
      </c>
      <c r="L1597" s="375">
        <v>6000</v>
      </c>
      <c r="M1597" s="375">
        <v>25000</v>
      </c>
      <c r="V1597" s="375" t="s">
        <v>596</v>
      </c>
    </row>
    <row r="1598" spans="1:22" hidden="1" x14ac:dyDescent="0.25">
      <c r="A1598" s="377">
        <v>45973</v>
      </c>
      <c r="B1598" s="375">
        <v>550000</v>
      </c>
      <c r="C1598" s="375">
        <v>220000</v>
      </c>
      <c r="D1598" s="375">
        <v>52</v>
      </c>
      <c r="E1598" s="375">
        <v>130</v>
      </c>
      <c r="F1598" s="375">
        <v>0.6</v>
      </c>
      <c r="G1598" s="375">
        <v>28000</v>
      </c>
      <c r="H1598" s="376">
        <v>3.5714285714285713E-3</v>
      </c>
      <c r="I1598" s="375">
        <v>4231</v>
      </c>
      <c r="J1598" s="375">
        <v>5500</v>
      </c>
      <c r="K1598" s="375">
        <v>100</v>
      </c>
      <c r="L1598" s="375">
        <v>3000</v>
      </c>
      <c r="M1598" s="375">
        <v>25000</v>
      </c>
      <c r="V1598" s="375" t="s">
        <v>596</v>
      </c>
    </row>
    <row r="1599" spans="1:22" hidden="1" x14ac:dyDescent="0.25">
      <c r="A1599" s="377">
        <v>45974</v>
      </c>
      <c r="B1599" s="375">
        <v>550000</v>
      </c>
      <c r="C1599" s="375">
        <v>220000</v>
      </c>
      <c r="D1599" s="375">
        <v>51</v>
      </c>
      <c r="E1599" s="375">
        <v>129</v>
      </c>
      <c r="F1599" s="375">
        <v>0.6</v>
      </c>
      <c r="G1599" s="375">
        <v>28000</v>
      </c>
      <c r="H1599" s="376">
        <v>3.5357142857142857E-3</v>
      </c>
      <c r="I1599" s="375">
        <v>4274</v>
      </c>
      <c r="J1599" s="375">
        <v>5556</v>
      </c>
      <c r="K1599" s="375">
        <v>99</v>
      </c>
      <c r="L1599" s="375">
        <v>3000</v>
      </c>
      <c r="M1599" s="375">
        <v>25000</v>
      </c>
      <c r="V1599" s="375" t="s">
        <v>596</v>
      </c>
    </row>
    <row r="1600" spans="1:22" hidden="1" x14ac:dyDescent="0.25">
      <c r="A1600" s="377">
        <v>45975</v>
      </c>
      <c r="B1600" s="375">
        <v>850000</v>
      </c>
      <c r="C1600" s="375">
        <v>340000</v>
      </c>
      <c r="D1600" s="375">
        <v>94</v>
      </c>
      <c r="E1600" s="375">
        <v>234</v>
      </c>
      <c r="F1600" s="375">
        <v>0.6</v>
      </c>
      <c r="G1600" s="375">
        <v>28000</v>
      </c>
      <c r="H1600" s="376">
        <v>6.4285714285714285E-3</v>
      </c>
      <c r="I1600" s="375">
        <v>3632</v>
      </c>
      <c r="J1600" s="375">
        <v>4722</v>
      </c>
      <c r="K1600" s="375">
        <v>180</v>
      </c>
      <c r="L1600" s="375">
        <v>3000</v>
      </c>
      <c r="M1600" s="375">
        <v>25000</v>
      </c>
      <c r="V1600" s="375" t="s">
        <v>596</v>
      </c>
    </row>
    <row r="1601" spans="1:22" hidden="1" x14ac:dyDescent="0.25">
      <c r="A1601" s="377">
        <v>45976</v>
      </c>
      <c r="B1601" s="375">
        <v>50000</v>
      </c>
      <c r="C1601" s="375">
        <v>25000</v>
      </c>
      <c r="D1601" s="375">
        <v>6</v>
      </c>
      <c r="E1601" s="375">
        <v>12</v>
      </c>
      <c r="F1601" s="375">
        <v>0.5</v>
      </c>
      <c r="G1601" s="375">
        <v>11588</v>
      </c>
      <c r="H1601" s="376">
        <v>7.7666551605108734E-4</v>
      </c>
      <c r="I1601" s="375">
        <v>4274</v>
      </c>
      <c r="J1601" s="375">
        <v>5556</v>
      </c>
      <c r="K1601" s="375">
        <v>9</v>
      </c>
      <c r="L1601" s="375">
        <v>3000</v>
      </c>
      <c r="M1601" s="375">
        <v>8588</v>
      </c>
      <c r="V1601" s="375" t="s">
        <v>596</v>
      </c>
    </row>
    <row r="1602" spans="1:22" hidden="1" x14ac:dyDescent="0.25">
      <c r="A1602" s="377">
        <v>45977</v>
      </c>
      <c r="B1602" s="375">
        <v>50000</v>
      </c>
      <c r="C1602" s="375">
        <v>25000</v>
      </c>
      <c r="D1602" s="375">
        <v>6</v>
      </c>
      <c r="E1602" s="375">
        <v>12</v>
      </c>
      <c r="F1602" s="375">
        <v>0.5</v>
      </c>
      <c r="G1602" s="375">
        <v>12169</v>
      </c>
      <c r="H1602" s="376">
        <v>7.3958418933355247E-4</v>
      </c>
      <c r="I1602" s="375">
        <v>4274</v>
      </c>
      <c r="J1602" s="375">
        <v>5556</v>
      </c>
      <c r="K1602" s="375">
        <v>9</v>
      </c>
      <c r="L1602" s="375">
        <v>3000</v>
      </c>
      <c r="M1602" s="375">
        <v>9169</v>
      </c>
      <c r="V1602" s="375" t="s">
        <v>596</v>
      </c>
    </row>
    <row r="1603" spans="1:22" hidden="1" x14ac:dyDescent="0.25">
      <c r="A1603" s="377">
        <v>45978</v>
      </c>
      <c r="B1603" s="375">
        <v>50000</v>
      </c>
      <c r="C1603" s="375">
        <v>25000</v>
      </c>
      <c r="D1603" s="375">
        <v>6</v>
      </c>
      <c r="E1603" s="375">
        <v>12</v>
      </c>
      <c r="F1603" s="375">
        <v>0.5</v>
      </c>
      <c r="G1603" s="375">
        <v>12332</v>
      </c>
      <c r="H1603" s="376">
        <v>7.2980862795977942E-4</v>
      </c>
      <c r="I1603" s="375">
        <v>4274</v>
      </c>
      <c r="J1603" s="375">
        <v>5556</v>
      </c>
      <c r="K1603" s="375">
        <v>9</v>
      </c>
      <c r="L1603" s="375">
        <v>3000</v>
      </c>
      <c r="M1603" s="375">
        <v>9332</v>
      </c>
      <c r="V1603" s="375" t="s">
        <v>596</v>
      </c>
    </row>
    <row r="1604" spans="1:22" hidden="1" x14ac:dyDescent="0.25">
      <c r="A1604" s="377">
        <v>45979</v>
      </c>
      <c r="B1604" s="375">
        <v>60000</v>
      </c>
      <c r="C1604" s="375">
        <v>30000</v>
      </c>
      <c r="D1604" s="375">
        <v>7</v>
      </c>
      <c r="E1604" s="375">
        <v>13</v>
      </c>
      <c r="F1604" s="375">
        <v>0.5</v>
      </c>
      <c r="G1604" s="375">
        <v>12098</v>
      </c>
      <c r="H1604" s="376">
        <v>8.2658290626549838E-4</v>
      </c>
      <c r="I1604" s="375">
        <v>4615</v>
      </c>
      <c r="J1604" s="375">
        <v>6000</v>
      </c>
      <c r="K1604" s="375">
        <v>10</v>
      </c>
      <c r="L1604" s="375">
        <v>3000</v>
      </c>
      <c r="M1604" s="375">
        <v>9098</v>
      </c>
      <c r="V1604" s="375" t="s">
        <v>596</v>
      </c>
    </row>
    <row r="1605" spans="1:22" hidden="1" x14ac:dyDescent="0.25">
      <c r="A1605" s="377">
        <v>45980</v>
      </c>
      <c r="B1605" s="375">
        <v>60000</v>
      </c>
      <c r="C1605" s="375">
        <v>30000</v>
      </c>
      <c r="D1605" s="375">
        <v>7</v>
      </c>
      <c r="E1605" s="375">
        <v>13</v>
      </c>
      <c r="F1605" s="375">
        <v>0.5</v>
      </c>
      <c r="G1605" s="375">
        <v>12553</v>
      </c>
      <c r="H1605" s="376">
        <v>7.9662232135744443E-4</v>
      </c>
      <c r="I1605" s="375">
        <v>4615</v>
      </c>
      <c r="J1605" s="375">
        <v>6000</v>
      </c>
      <c r="K1605" s="375">
        <v>10</v>
      </c>
      <c r="L1605" s="375">
        <v>3000</v>
      </c>
      <c r="M1605" s="375">
        <v>9553</v>
      </c>
      <c r="V1605" s="375" t="s">
        <v>596</v>
      </c>
    </row>
    <row r="1606" spans="1:22" hidden="1" x14ac:dyDescent="0.25">
      <c r="A1606" s="377">
        <v>45981</v>
      </c>
      <c r="B1606" s="375">
        <v>60000</v>
      </c>
      <c r="C1606" s="375">
        <v>30000</v>
      </c>
      <c r="D1606" s="375">
        <v>7</v>
      </c>
      <c r="E1606" s="375">
        <v>13</v>
      </c>
      <c r="F1606" s="375">
        <v>0.5</v>
      </c>
      <c r="G1606" s="375">
        <v>12885</v>
      </c>
      <c r="H1606" s="376">
        <v>7.7609623593325567E-4</v>
      </c>
      <c r="I1606" s="375">
        <v>4615</v>
      </c>
      <c r="J1606" s="375">
        <v>6000</v>
      </c>
      <c r="K1606" s="375">
        <v>10</v>
      </c>
      <c r="L1606" s="375">
        <v>3000</v>
      </c>
      <c r="M1606" s="375">
        <v>9885</v>
      </c>
      <c r="V1606" s="375" t="s">
        <v>596</v>
      </c>
    </row>
    <row r="1607" spans="1:22" hidden="1" x14ac:dyDescent="0.25">
      <c r="A1607" s="377">
        <v>45982</v>
      </c>
      <c r="B1607" s="375">
        <v>60000</v>
      </c>
      <c r="C1607" s="375">
        <v>30000</v>
      </c>
      <c r="D1607" s="375">
        <v>7</v>
      </c>
      <c r="E1607" s="375">
        <v>13</v>
      </c>
      <c r="F1607" s="375">
        <v>0.5</v>
      </c>
      <c r="G1607" s="375">
        <v>12837</v>
      </c>
      <c r="H1607" s="376">
        <v>7.7899820830412095E-4</v>
      </c>
      <c r="I1607" s="375">
        <v>4615</v>
      </c>
      <c r="J1607" s="375">
        <v>6000</v>
      </c>
      <c r="K1607" s="375">
        <v>10</v>
      </c>
      <c r="L1607" s="375">
        <v>3000</v>
      </c>
      <c r="M1607" s="375">
        <v>9837</v>
      </c>
      <c r="V1607" s="375" t="s">
        <v>596</v>
      </c>
    </row>
    <row r="1608" spans="1:22" hidden="1" x14ac:dyDescent="0.25">
      <c r="A1608" s="377">
        <v>45983</v>
      </c>
      <c r="B1608" s="375">
        <v>60000</v>
      </c>
      <c r="C1608" s="375">
        <v>30000</v>
      </c>
      <c r="D1608" s="375">
        <v>7</v>
      </c>
      <c r="E1608" s="375">
        <v>13</v>
      </c>
      <c r="F1608" s="375">
        <v>0.5</v>
      </c>
      <c r="G1608" s="375">
        <v>13580</v>
      </c>
      <c r="H1608" s="376">
        <v>7.3637702503681884E-4</v>
      </c>
      <c r="I1608" s="375">
        <v>4615</v>
      </c>
      <c r="J1608" s="375">
        <v>6000</v>
      </c>
      <c r="K1608" s="375">
        <v>10</v>
      </c>
      <c r="L1608" s="375">
        <v>3000</v>
      </c>
      <c r="M1608" s="375">
        <v>10580</v>
      </c>
      <c r="V1608" s="375" t="s">
        <v>596</v>
      </c>
    </row>
    <row r="1609" spans="1:22" hidden="1" x14ac:dyDescent="0.25">
      <c r="A1609" s="377">
        <v>45984</v>
      </c>
      <c r="B1609" s="375">
        <v>60000</v>
      </c>
      <c r="C1609" s="375">
        <v>30000</v>
      </c>
      <c r="D1609" s="375">
        <v>13</v>
      </c>
      <c r="E1609" s="375">
        <v>26</v>
      </c>
      <c r="F1609" s="375">
        <v>0.5</v>
      </c>
      <c r="G1609" s="375">
        <v>13970</v>
      </c>
      <c r="H1609" s="376">
        <v>1.4316392269148174E-3</v>
      </c>
      <c r="I1609" s="375">
        <v>2308</v>
      </c>
      <c r="J1609" s="375">
        <v>3000</v>
      </c>
      <c r="K1609" s="375">
        <v>20</v>
      </c>
      <c r="L1609" s="375">
        <v>3000</v>
      </c>
      <c r="M1609" s="375">
        <v>10970</v>
      </c>
      <c r="V1609" s="375" t="s">
        <v>596</v>
      </c>
    </row>
    <row r="1610" spans="1:22" hidden="1" x14ac:dyDescent="0.25">
      <c r="A1610" s="377">
        <v>45985</v>
      </c>
      <c r="B1610" s="375">
        <v>100000</v>
      </c>
      <c r="C1610" s="375">
        <v>50000</v>
      </c>
      <c r="D1610" s="375">
        <v>13</v>
      </c>
      <c r="E1610" s="375">
        <v>26</v>
      </c>
      <c r="F1610" s="375">
        <v>0.5</v>
      </c>
      <c r="G1610" s="375">
        <v>14089</v>
      </c>
      <c r="H1610" s="376">
        <v>1.4195471644545389E-3</v>
      </c>
      <c r="I1610" s="375">
        <v>3846</v>
      </c>
      <c r="J1610" s="375">
        <v>5000</v>
      </c>
      <c r="K1610" s="375">
        <v>20</v>
      </c>
      <c r="L1610" s="375">
        <v>3000</v>
      </c>
      <c r="M1610" s="375">
        <v>11089</v>
      </c>
      <c r="V1610" s="375" t="s">
        <v>596</v>
      </c>
    </row>
    <row r="1611" spans="1:22" hidden="1" x14ac:dyDescent="0.25">
      <c r="A1611" s="377">
        <v>45986</v>
      </c>
      <c r="B1611" s="375">
        <v>100000</v>
      </c>
      <c r="C1611" s="375">
        <v>50000</v>
      </c>
      <c r="D1611" s="375">
        <v>13</v>
      </c>
      <c r="E1611" s="375">
        <v>26</v>
      </c>
      <c r="F1611" s="375">
        <v>0.5</v>
      </c>
      <c r="G1611" s="375">
        <v>14131</v>
      </c>
      <c r="H1611" s="376">
        <v>1.4153280022645247E-3</v>
      </c>
      <c r="I1611" s="375">
        <v>3846</v>
      </c>
      <c r="J1611" s="375">
        <v>5000</v>
      </c>
      <c r="K1611" s="375">
        <v>20</v>
      </c>
      <c r="L1611" s="375">
        <v>3000</v>
      </c>
      <c r="M1611" s="375">
        <v>11131</v>
      </c>
      <c r="V1611" s="375" t="s">
        <v>596</v>
      </c>
    </row>
    <row r="1612" spans="1:22" hidden="1" x14ac:dyDescent="0.25">
      <c r="A1612" s="377">
        <v>45987</v>
      </c>
      <c r="B1612" s="375">
        <v>100000</v>
      </c>
      <c r="C1612" s="375">
        <v>50000</v>
      </c>
      <c r="D1612" s="375">
        <v>13</v>
      </c>
      <c r="E1612" s="375">
        <v>26</v>
      </c>
      <c r="F1612" s="375">
        <v>0.5</v>
      </c>
      <c r="G1612" s="375">
        <v>13586</v>
      </c>
      <c r="H1612" s="376">
        <v>1.4721036360959812E-3</v>
      </c>
      <c r="I1612" s="375">
        <v>3846</v>
      </c>
      <c r="J1612" s="375">
        <v>5000</v>
      </c>
      <c r="K1612" s="375">
        <v>20</v>
      </c>
      <c r="L1612" s="375">
        <v>3000</v>
      </c>
      <c r="M1612" s="375">
        <v>10586</v>
      </c>
      <c r="V1612" s="375" t="s">
        <v>596</v>
      </c>
    </row>
    <row r="1613" spans="1:22" hidden="1" x14ac:dyDescent="0.25">
      <c r="A1613" s="377">
        <v>45988</v>
      </c>
      <c r="B1613" s="375">
        <v>100000</v>
      </c>
      <c r="C1613" s="375">
        <v>50000</v>
      </c>
      <c r="D1613" s="375">
        <v>13</v>
      </c>
      <c r="E1613" s="375">
        <v>26</v>
      </c>
      <c r="F1613" s="375">
        <v>0.5</v>
      </c>
      <c r="G1613" s="375">
        <v>16208</v>
      </c>
      <c r="H1613" s="376">
        <v>1.2339585389930898E-3</v>
      </c>
      <c r="I1613" s="375">
        <v>3846</v>
      </c>
      <c r="J1613" s="375">
        <v>5000</v>
      </c>
      <c r="K1613" s="375">
        <v>20</v>
      </c>
      <c r="L1613" s="375">
        <v>3000</v>
      </c>
      <c r="M1613" s="375">
        <v>13208</v>
      </c>
      <c r="V1613" s="375" t="s">
        <v>596</v>
      </c>
    </row>
    <row r="1614" spans="1:22" hidden="1" x14ac:dyDescent="0.25">
      <c r="A1614" s="377">
        <v>45989</v>
      </c>
      <c r="B1614" s="375">
        <v>100000</v>
      </c>
      <c r="C1614" s="375">
        <v>50000</v>
      </c>
      <c r="D1614" s="375">
        <v>13</v>
      </c>
      <c r="E1614" s="375">
        <v>26</v>
      </c>
      <c r="F1614" s="375">
        <v>0.5</v>
      </c>
      <c r="G1614" s="375">
        <v>15793</v>
      </c>
      <c r="H1614" s="376">
        <v>1.2663838409421896E-3</v>
      </c>
      <c r="I1614" s="375">
        <v>3846</v>
      </c>
      <c r="J1614" s="375">
        <v>5000</v>
      </c>
      <c r="K1614" s="375">
        <v>20</v>
      </c>
      <c r="L1614" s="375">
        <v>3000</v>
      </c>
      <c r="M1614" s="375">
        <v>12793</v>
      </c>
      <c r="V1614" s="375" t="s">
        <v>596</v>
      </c>
    </row>
    <row r="1615" spans="1:22" hidden="1" x14ac:dyDescent="0.25">
      <c r="A1615" s="377">
        <v>45990</v>
      </c>
      <c r="B1615" s="375">
        <v>100000</v>
      </c>
      <c r="C1615" s="375">
        <v>50000</v>
      </c>
      <c r="D1615" s="375">
        <v>13</v>
      </c>
      <c r="E1615" s="375">
        <v>26</v>
      </c>
      <c r="F1615" s="375">
        <v>0.5</v>
      </c>
      <c r="G1615" s="375">
        <v>13381</v>
      </c>
      <c r="H1615" s="376">
        <v>1.4946566026455422E-3</v>
      </c>
      <c r="I1615" s="375">
        <v>3846</v>
      </c>
      <c r="J1615" s="375">
        <v>5000</v>
      </c>
      <c r="K1615" s="375">
        <v>20</v>
      </c>
      <c r="L1615" s="375">
        <v>3000</v>
      </c>
      <c r="M1615" s="375">
        <v>10381</v>
      </c>
      <c r="V1615" s="375" t="s">
        <v>596</v>
      </c>
    </row>
    <row r="1616" spans="1:22" hidden="1" x14ac:dyDescent="0.25">
      <c r="A1616" s="377">
        <v>45991</v>
      </c>
      <c r="B1616" s="375">
        <v>100000</v>
      </c>
      <c r="C1616" s="375">
        <v>50000</v>
      </c>
      <c r="D1616" s="375">
        <v>13</v>
      </c>
      <c r="E1616" s="375">
        <v>26</v>
      </c>
      <c r="F1616" s="375">
        <v>0.5</v>
      </c>
      <c r="G1616" s="375">
        <v>13669</v>
      </c>
      <c r="H1616" s="376">
        <v>1.4631648255175945E-3</v>
      </c>
      <c r="I1616" s="375">
        <v>3846</v>
      </c>
      <c r="J1616" s="375">
        <v>5000</v>
      </c>
      <c r="K1616" s="375">
        <v>20</v>
      </c>
      <c r="L1616" s="375">
        <v>3000</v>
      </c>
      <c r="M1616" s="375">
        <v>10669</v>
      </c>
      <c r="V1616" s="375" t="s">
        <v>596</v>
      </c>
    </row>
    <row r="1617" spans="1:22" hidden="1" x14ac:dyDescent="0.25">
      <c r="A1617" s="377">
        <v>45992</v>
      </c>
      <c r="B1617" s="375">
        <v>130000</v>
      </c>
      <c r="C1617" s="375">
        <v>65000</v>
      </c>
      <c r="D1617" s="375">
        <v>20</v>
      </c>
      <c r="E1617" s="375">
        <v>39</v>
      </c>
      <c r="F1617" s="375">
        <v>0.5</v>
      </c>
      <c r="G1617" s="375">
        <v>13280</v>
      </c>
      <c r="H1617" s="376">
        <v>2.2590361445783132E-3</v>
      </c>
      <c r="I1617" s="375">
        <v>3333</v>
      </c>
      <c r="J1617" s="375">
        <v>4333</v>
      </c>
      <c r="K1617" s="375">
        <v>30</v>
      </c>
      <c r="L1617" s="375">
        <v>3500</v>
      </c>
      <c r="M1617" s="375">
        <v>9780</v>
      </c>
      <c r="V1617" s="375" t="s">
        <v>596</v>
      </c>
    </row>
    <row r="1618" spans="1:22" hidden="1" x14ac:dyDescent="0.25">
      <c r="A1618" s="377">
        <v>45993</v>
      </c>
      <c r="B1618" s="375">
        <v>130000</v>
      </c>
      <c r="C1618" s="375">
        <v>65000</v>
      </c>
      <c r="D1618" s="375">
        <v>20</v>
      </c>
      <c r="E1618" s="375">
        <v>39</v>
      </c>
      <c r="F1618" s="375">
        <v>0.5</v>
      </c>
      <c r="G1618" s="375">
        <v>12663</v>
      </c>
      <c r="H1618" s="376">
        <v>2.3691068467187868E-3</v>
      </c>
      <c r="I1618" s="375">
        <v>3333</v>
      </c>
      <c r="J1618" s="375">
        <v>4333</v>
      </c>
      <c r="K1618" s="375">
        <v>30</v>
      </c>
      <c r="L1618" s="375">
        <v>3500</v>
      </c>
      <c r="M1618" s="375">
        <v>9163</v>
      </c>
      <c r="V1618" s="375" t="s">
        <v>596</v>
      </c>
    </row>
    <row r="1619" spans="1:22" hidden="1" x14ac:dyDescent="0.25">
      <c r="A1619" s="377">
        <v>45994</v>
      </c>
      <c r="B1619" s="375">
        <v>130000</v>
      </c>
      <c r="C1619" s="375">
        <v>65000</v>
      </c>
      <c r="D1619" s="375">
        <v>16</v>
      </c>
      <c r="E1619" s="375">
        <v>33</v>
      </c>
      <c r="F1619" s="375">
        <v>0.5</v>
      </c>
      <c r="G1619" s="375">
        <v>12186</v>
      </c>
      <c r="H1619" s="376">
        <v>2.0515345478417856E-3</v>
      </c>
      <c r="I1619" s="375">
        <v>4000</v>
      </c>
      <c r="J1619" s="375">
        <v>5200</v>
      </c>
      <c r="K1619" s="375">
        <v>25</v>
      </c>
      <c r="L1619" s="375">
        <v>3500</v>
      </c>
      <c r="M1619" s="375">
        <v>8686</v>
      </c>
      <c r="V1619" s="375" t="s">
        <v>596</v>
      </c>
    </row>
    <row r="1620" spans="1:22" hidden="1" x14ac:dyDescent="0.25">
      <c r="A1620" s="377">
        <v>45995</v>
      </c>
      <c r="B1620" s="375">
        <v>130000</v>
      </c>
      <c r="C1620" s="375">
        <v>65000</v>
      </c>
      <c r="D1620" s="375">
        <v>17</v>
      </c>
      <c r="E1620" s="375">
        <v>34</v>
      </c>
      <c r="F1620" s="375">
        <v>0.5</v>
      </c>
      <c r="G1620" s="375">
        <v>11925</v>
      </c>
      <c r="H1620" s="376">
        <v>2.1802935010482179E-3</v>
      </c>
      <c r="I1620" s="375">
        <v>3846</v>
      </c>
      <c r="J1620" s="375">
        <v>5000</v>
      </c>
      <c r="K1620" s="375">
        <v>26</v>
      </c>
      <c r="L1620" s="375">
        <v>3500</v>
      </c>
      <c r="M1620" s="375">
        <v>8425</v>
      </c>
      <c r="V1620" s="375" t="s">
        <v>596</v>
      </c>
    </row>
    <row r="1621" spans="1:22" hidden="1" x14ac:dyDescent="0.25">
      <c r="A1621" s="377">
        <v>45996</v>
      </c>
      <c r="B1621" s="375">
        <v>130000</v>
      </c>
      <c r="C1621" s="375">
        <v>65000</v>
      </c>
      <c r="D1621" s="375">
        <v>20</v>
      </c>
      <c r="E1621" s="375">
        <v>39</v>
      </c>
      <c r="F1621" s="375">
        <v>0.5</v>
      </c>
      <c r="G1621" s="375">
        <v>12500</v>
      </c>
      <c r="H1621" s="376">
        <v>2.3999999999999998E-3</v>
      </c>
      <c r="I1621" s="375">
        <v>3333</v>
      </c>
      <c r="J1621" s="375">
        <v>4333</v>
      </c>
      <c r="K1621" s="375">
        <v>30</v>
      </c>
      <c r="L1621" s="375">
        <v>3500</v>
      </c>
      <c r="M1621" s="375">
        <v>9000</v>
      </c>
      <c r="V1621" s="375" t="s">
        <v>596</v>
      </c>
    </row>
    <row r="1622" spans="1:22" hidden="1" x14ac:dyDescent="0.25">
      <c r="A1622" s="377">
        <v>45997</v>
      </c>
      <c r="B1622" s="375">
        <v>110000</v>
      </c>
      <c r="C1622" s="375">
        <v>55000</v>
      </c>
      <c r="D1622" s="375">
        <v>20</v>
      </c>
      <c r="E1622" s="375">
        <v>39</v>
      </c>
      <c r="F1622" s="375">
        <v>0.5</v>
      </c>
      <c r="G1622" s="375">
        <v>12500</v>
      </c>
      <c r="H1622" s="376">
        <v>2.3999999999999998E-3</v>
      </c>
      <c r="I1622" s="375">
        <v>2821</v>
      </c>
      <c r="J1622" s="375">
        <v>3667</v>
      </c>
      <c r="K1622" s="375">
        <v>30</v>
      </c>
      <c r="L1622" s="375">
        <v>3500</v>
      </c>
      <c r="M1622" s="375">
        <v>9000</v>
      </c>
      <c r="V1622" s="375" t="s">
        <v>596</v>
      </c>
    </row>
    <row r="1623" spans="1:22" hidden="1" x14ac:dyDescent="0.25">
      <c r="A1623" s="377">
        <v>45998</v>
      </c>
      <c r="B1623" s="375">
        <v>100000</v>
      </c>
      <c r="C1623" s="375">
        <v>50000</v>
      </c>
      <c r="D1623" s="375">
        <v>14</v>
      </c>
      <c r="E1623" s="375">
        <v>29</v>
      </c>
      <c r="F1623" s="375">
        <v>0.5</v>
      </c>
      <c r="G1623" s="375">
        <v>14943</v>
      </c>
      <c r="H1623" s="376">
        <v>1.4722612594525865E-3</v>
      </c>
      <c r="I1623" s="375">
        <v>3497</v>
      </c>
      <c r="J1623" s="375">
        <v>4545</v>
      </c>
      <c r="K1623" s="375">
        <v>22</v>
      </c>
      <c r="L1623" s="375">
        <v>3500</v>
      </c>
      <c r="M1623" s="375">
        <v>11443</v>
      </c>
      <c r="V1623" s="375" t="s">
        <v>596</v>
      </c>
    </row>
    <row r="1624" spans="1:22" hidden="1" x14ac:dyDescent="0.25">
      <c r="A1624" s="377">
        <v>45999</v>
      </c>
      <c r="B1624" s="375">
        <v>600000</v>
      </c>
      <c r="C1624" s="375">
        <v>300000</v>
      </c>
      <c r="D1624" s="375">
        <v>62</v>
      </c>
      <c r="E1624" s="375">
        <v>124</v>
      </c>
      <c r="F1624" s="375">
        <v>0.5</v>
      </c>
      <c r="G1624" s="375">
        <v>14623</v>
      </c>
      <c r="H1624" s="376">
        <v>6.4966149216986934E-3</v>
      </c>
      <c r="I1624" s="375">
        <v>4858</v>
      </c>
      <c r="J1624" s="375">
        <v>6316</v>
      </c>
      <c r="K1624" s="375">
        <v>95</v>
      </c>
      <c r="L1624" s="375">
        <v>3500</v>
      </c>
      <c r="M1624" s="375">
        <v>11123</v>
      </c>
      <c r="V1624" s="375" t="s">
        <v>596</v>
      </c>
    </row>
    <row r="1625" spans="1:22" hidden="1" x14ac:dyDescent="0.25">
      <c r="A1625" s="377">
        <v>46000</v>
      </c>
      <c r="B1625" s="375">
        <v>350000</v>
      </c>
      <c r="C1625" s="375">
        <v>175000</v>
      </c>
      <c r="D1625" s="375">
        <v>52</v>
      </c>
      <c r="E1625" s="375">
        <v>104</v>
      </c>
      <c r="F1625" s="375">
        <v>0.5</v>
      </c>
      <c r="G1625" s="375">
        <v>18048</v>
      </c>
      <c r="H1625" s="376">
        <v>4.4326241134751776E-3</v>
      </c>
      <c r="I1625" s="375">
        <v>3365</v>
      </c>
      <c r="J1625" s="375">
        <v>4375</v>
      </c>
      <c r="K1625" s="375">
        <v>80</v>
      </c>
      <c r="L1625" s="375">
        <v>3500</v>
      </c>
      <c r="M1625" s="375">
        <v>14548</v>
      </c>
      <c r="V1625" s="375" t="s">
        <v>596</v>
      </c>
    </row>
    <row r="1626" spans="1:22" hidden="1" x14ac:dyDescent="0.25">
      <c r="A1626" s="377">
        <v>46001</v>
      </c>
      <c r="B1626" s="375">
        <v>350000</v>
      </c>
      <c r="C1626" s="375">
        <v>175000</v>
      </c>
      <c r="D1626" s="375">
        <v>52</v>
      </c>
      <c r="E1626" s="375">
        <v>104</v>
      </c>
      <c r="F1626" s="375">
        <v>0.5</v>
      </c>
      <c r="G1626" s="375">
        <v>18451</v>
      </c>
      <c r="H1626" s="376">
        <v>4.335808357270609E-3</v>
      </c>
      <c r="I1626" s="375">
        <v>3365</v>
      </c>
      <c r="J1626" s="375">
        <v>4375</v>
      </c>
      <c r="K1626" s="375">
        <v>80</v>
      </c>
      <c r="L1626" s="375">
        <v>3500</v>
      </c>
      <c r="M1626" s="375">
        <v>14951</v>
      </c>
      <c r="V1626" s="375" t="s">
        <v>596</v>
      </c>
    </row>
    <row r="1627" spans="1:22" hidden="1" x14ac:dyDescent="0.25">
      <c r="A1627" s="377">
        <v>46002</v>
      </c>
      <c r="B1627" s="375">
        <v>350000</v>
      </c>
      <c r="C1627" s="375">
        <v>175000</v>
      </c>
      <c r="D1627" s="375">
        <v>52</v>
      </c>
      <c r="E1627" s="375">
        <v>104</v>
      </c>
      <c r="F1627" s="375">
        <v>0.5</v>
      </c>
      <c r="G1627" s="375">
        <v>17817</v>
      </c>
      <c r="H1627" s="376">
        <v>4.4900937307066286E-3</v>
      </c>
      <c r="I1627" s="375">
        <v>3365</v>
      </c>
      <c r="J1627" s="375">
        <v>4375</v>
      </c>
      <c r="K1627" s="375">
        <v>80</v>
      </c>
      <c r="L1627" s="375">
        <v>3500</v>
      </c>
      <c r="M1627" s="375">
        <v>14317</v>
      </c>
      <c r="V1627" s="375" t="s">
        <v>596</v>
      </c>
    </row>
    <row r="1628" spans="1:22" hidden="1" x14ac:dyDescent="0.25">
      <c r="A1628" s="377">
        <v>46003</v>
      </c>
      <c r="B1628" s="375">
        <v>350000</v>
      </c>
      <c r="C1628" s="375">
        <v>175000</v>
      </c>
      <c r="D1628" s="375">
        <v>52</v>
      </c>
      <c r="E1628" s="375">
        <v>104</v>
      </c>
      <c r="F1628" s="375">
        <v>0.5</v>
      </c>
      <c r="G1628" s="375">
        <v>19499</v>
      </c>
      <c r="H1628" s="376">
        <v>4.1027745012564747E-3</v>
      </c>
      <c r="I1628" s="375">
        <v>3365</v>
      </c>
      <c r="J1628" s="375">
        <v>4375</v>
      </c>
      <c r="K1628" s="375">
        <v>80</v>
      </c>
      <c r="L1628" s="375">
        <v>3500</v>
      </c>
      <c r="M1628" s="375">
        <v>15999</v>
      </c>
      <c r="V1628" s="375" t="s">
        <v>596</v>
      </c>
    </row>
    <row r="1629" spans="1:22" hidden="1" x14ac:dyDescent="0.25">
      <c r="A1629" s="377">
        <v>46004</v>
      </c>
      <c r="B1629" s="375">
        <v>250000</v>
      </c>
      <c r="C1629" s="375">
        <v>125000</v>
      </c>
      <c r="D1629" s="375">
        <v>33</v>
      </c>
      <c r="E1629" s="375">
        <v>65</v>
      </c>
      <c r="F1629" s="375">
        <v>0.5</v>
      </c>
      <c r="G1629" s="375">
        <v>12760</v>
      </c>
      <c r="H1629" s="376">
        <v>3.9184952978056423E-3</v>
      </c>
      <c r="I1629" s="375">
        <v>3846</v>
      </c>
      <c r="J1629" s="375">
        <v>5000</v>
      </c>
      <c r="K1629" s="375">
        <v>50</v>
      </c>
      <c r="L1629" s="375">
        <v>3471</v>
      </c>
      <c r="M1629" s="375">
        <v>9289</v>
      </c>
      <c r="V1629" s="375" t="s">
        <v>596</v>
      </c>
    </row>
    <row r="1630" spans="1:22" hidden="1" x14ac:dyDescent="0.25">
      <c r="A1630" s="377">
        <v>46005</v>
      </c>
      <c r="B1630" s="375">
        <v>250000</v>
      </c>
      <c r="C1630" s="375">
        <v>125000</v>
      </c>
      <c r="D1630" s="375">
        <v>33</v>
      </c>
      <c r="E1630" s="375">
        <v>65</v>
      </c>
      <c r="F1630" s="375">
        <v>0.5</v>
      </c>
      <c r="G1630" s="375">
        <v>13523</v>
      </c>
      <c r="H1630" s="376">
        <v>3.6974044220956888E-3</v>
      </c>
      <c r="I1630" s="375">
        <v>3846</v>
      </c>
      <c r="J1630" s="375">
        <v>5000</v>
      </c>
      <c r="K1630" s="375">
        <v>50</v>
      </c>
      <c r="L1630" s="375">
        <v>3598</v>
      </c>
      <c r="M1630" s="375">
        <v>9925</v>
      </c>
      <c r="V1630" s="375" t="s">
        <v>596</v>
      </c>
    </row>
    <row r="1631" spans="1:22" hidden="1" x14ac:dyDescent="0.25">
      <c r="A1631" s="377">
        <v>46006</v>
      </c>
      <c r="B1631" s="375">
        <v>150000</v>
      </c>
      <c r="C1631" s="375">
        <v>75000</v>
      </c>
      <c r="D1631" s="375">
        <v>18</v>
      </c>
      <c r="E1631" s="375">
        <v>36</v>
      </c>
      <c r="F1631" s="375">
        <v>0.5</v>
      </c>
      <c r="G1631" s="375">
        <v>13561</v>
      </c>
      <c r="H1631" s="376">
        <v>2.0647444878696261E-3</v>
      </c>
      <c r="I1631" s="375">
        <v>4121</v>
      </c>
      <c r="J1631" s="375">
        <v>5357</v>
      </c>
      <c r="K1631" s="375">
        <v>28</v>
      </c>
      <c r="L1631" s="375">
        <v>3237</v>
      </c>
      <c r="M1631" s="375">
        <v>10324</v>
      </c>
      <c r="V1631" s="375" t="s">
        <v>596</v>
      </c>
    </row>
    <row r="1632" spans="1:22" hidden="1" x14ac:dyDescent="0.25">
      <c r="A1632" s="377">
        <v>46007</v>
      </c>
      <c r="B1632" s="375">
        <v>150000</v>
      </c>
      <c r="C1632" s="375">
        <v>75000</v>
      </c>
      <c r="D1632" s="375">
        <v>18</v>
      </c>
      <c r="E1632" s="375">
        <v>36</v>
      </c>
      <c r="F1632" s="375">
        <v>0.5</v>
      </c>
      <c r="G1632" s="375">
        <v>11000</v>
      </c>
      <c r="H1632" s="376">
        <v>2.5454545454545456E-3</v>
      </c>
      <c r="I1632" s="375">
        <v>4121</v>
      </c>
      <c r="J1632" s="375">
        <v>5357</v>
      </c>
      <c r="K1632" s="375">
        <v>28</v>
      </c>
      <c r="L1632" s="375">
        <v>3000</v>
      </c>
      <c r="M1632" s="375">
        <v>8000</v>
      </c>
      <c r="V1632" s="375" t="s">
        <v>596</v>
      </c>
    </row>
    <row r="1633" spans="1:22" hidden="1" x14ac:dyDescent="0.25">
      <c r="A1633" s="377">
        <v>46008</v>
      </c>
      <c r="B1633" s="375">
        <v>150000</v>
      </c>
      <c r="C1633" s="375">
        <v>75000</v>
      </c>
      <c r="D1633" s="375">
        <v>18</v>
      </c>
      <c r="E1633" s="375">
        <v>36</v>
      </c>
      <c r="F1633" s="375">
        <v>0.5</v>
      </c>
      <c r="G1633" s="375">
        <v>11000</v>
      </c>
      <c r="H1633" s="376">
        <v>2.5454545454545456E-3</v>
      </c>
      <c r="I1633" s="375">
        <v>4121</v>
      </c>
      <c r="J1633" s="375">
        <v>5357</v>
      </c>
      <c r="K1633" s="375">
        <v>28</v>
      </c>
      <c r="L1633" s="375">
        <v>3000</v>
      </c>
      <c r="M1633" s="375">
        <v>8000</v>
      </c>
      <c r="V1633" s="375" t="s">
        <v>596</v>
      </c>
    </row>
    <row r="1634" spans="1:22" hidden="1" x14ac:dyDescent="0.25">
      <c r="A1634" s="377">
        <v>46009</v>
      </c>
      <c r="B1634" s="375">
        <v>150000</v>
      </c>
      <c r="C1634" s="375">
        <v>75000</v>
      </c>
      <c r="D1634" s="375">
        <v>18</v>
      </c>
      <c r="E1634" s="375">
        <v>36</v>
      </c>
      <c r="F1634" s="375">
        <v>0.5</v>
      </c>
      <c r="G1634" s="375">
        <v>11000</v>
      </c>
      <c r="H1634" s="376">
        <v>2.5454545454545456E-3</v>
      </c>
      <c r="I1634" s="375">
        <v>4121</v>
      </c>
      <c r="J1634" s="375">
        <v>5357</v>
      </c>
      <c r="K1634" s="375">
        <v>28</v>
      </c>
      <c r="L1634" s="375">
        <v>3000</v>
      </c>
      <c r="M1634" s="375">
        <v>8000</v>
      </c>
      <c r="V1634" s="375" t="s">
        <v>596</v>
      </c>
    </row>
    <row r="1635" spans="1:22" hidden="1" x14ac:dyDescent="0.25">
      <c r="A1635" s="377">
        <v>46010</v>
      </c>
      <c r="B1635" s="375">
        <v>150000</v>
      </c>
      <c r="C1635" s="375">
        <v>75000</v>
      </c>
      <c r="D1635" s="375">
        <v>18</v>
      </c>
      <c r="E1635" s="375">
        <v>36</v>
      </c>
      <c r="F1635" s="375">
        <v>0.5</v>
      </c>
      <c r="G1635" s="375">
        <v>11000</v>
      </c>
      <c r="H1635" s="376">
        <v>2.5454545454545456E-3</v>
      </c>
      <c r="I1635" s="375">
        <v>4121</v>
      </c>
      <c r="J1635" s="375">
        <v>5357</v>
      </c>
      <c r="K1635" s="375">
        <v>28</v>
      </c>
      <c r="L1635" s="375">
        <v>3000</v>
      </c>
      <c r="M1635" s="375">
        <v>8000</v>
      </c>
      <c r="V1635" s="375" t="s">
        <v>596</v>
      </c>
    </row>
    <row r="1636" spans="1:22" hidden="1" x14ac:dyDescent="0.25">
      <c r="A1636" s="377">
        <v>46011</v>
      </c>
      <c r="B1636" s="375">
        <v>200000</v>
      </c>
      <c r="C1636" s="375">
        <v>100000</v>
      </c>
      <c r="D1636" s="375">
        <v>20</v>
      </c>
      <c r="E1636" s="375">
        <v>39</v>
      </c>
      <c r="F1636" s="375">
        <v>0.5</v>
      </c>
      <c r="G1636" s="375">
        <v>11000</v>
      </c>
      <c r="H1636" s="376">
        <v>2.7272727272727275E-3</v>
      </c>
      <c r="I1636" s="375">
        <v>5128</v>
      </c>
      <c r="J1636" s="375">
        <v>6667</v>
      </c>
      <c r="K1636" s="375">
        <v>30</v>
      </c>
      <c r="L1636" s="375">
        <v>3000</v>
      </c>
      <c r="M1636" s="375">
        <v>8000</v>
      </c>
      <c r="V1636" s="375" t="s">
        <v>596</v>
      </c>
    </row>
    <row r="1637" spans="1:22" hidden="1" x14ac:dyDescent="0.25">
      <c r="A1637" s="377">
        <v>46012</v>
      </c>
      <c r="B1637" s="375">
        <v>200000</v>
      </c>
      <c r="C1637" s="375">
        <v>100000</v>
      </c>
      <c r="D1637" s="375">
        <v>20</v>
      </c>
      <c r="E1637" s="375">
        <v>39</v>
      </c>
      <c r="F1637" s="375">
        <v>0.5</v>
      </c>
      <c r="G1637" s="375">
        <v>11000</v>
      </c>
      <c r="H1637" s="376">
        <v>2.7272727272727275E-3</v>
      </c>
      <c r="I1637" s="375">
        <v>5128</v>
      </c>
      <c r="J1637" s="375">
        <v>6667</v>
      </c>
      <c r="K1637" s="375">
        <v>30</v>
      </c>
      <c r="L1637" s="375">
        <v>3000</v>
      </c>
      <c r="M1637" s="375">
        <v>8000</v>
      </c>
      <c r="V1637" s="375" t="s">
        <v>596</v>
      </c>
    </row>
    <row r="1638" spans="1:22" hidden="1" x14ac:dyDescent="0.25">
      <c r="A1638" s="377">
        <v>46013</v>
      </c>
      <c r="B1638" s="375">
        <v>200000</v>
      </c>
      <c r="C1638" s="375">
        <v>100000</v>
      </c>
      <c r="D1638" s="375">
        <v>20</v>
      </c>
      <c r="E1638" s="375">
        <v>39</v>
      </c>
      <c r="F1638" s="375">
        <v>0.5</v>
      </c>
      <c r="G1638" s="375">
        <v>11000</v>
      </c>
      <c r="H1638" s="376">
        <v>2.7272727272727275E-3</v>
      </c>
      <c r="I1638" s="375">
        <v>5128</v>
      </c>
      <c r="J1638" s="375">
        <v>6667</v>
      </c>
      <c r="K1638" s="375">
        <v>30</v>
      </c>
      <c r="L1638" s="375">
        <v>3000</v>
      </c>
      <c r="M1638" s="375">
        <v>8000</v>
      </c>
      <c r="V1638" s="375" t="s">
        <v>596</v>
      </c>
    </row>
    <row r="1639" spans="1:22" hidden="1" x14ac:dyDescent="0.25">
      <c r="A1639" s="377">
        <v>46014</v>
      </c>
      <c r="B1639" s="375">
        <v>150000</v>
      </c>
      <c r="C1639" s="375">
        <v>75000</v>
      </c>
      <c r="D1639" s="375">
        <v>16</v>
      </c>
      <c r="E1639" s="375">
        <v>33</v>
      </c>
      <c r="F1639" s="375">
        <v>0.5</v>
      </c>
      <c r="G1639" s="375">
        <v>11000</v>
      </c>
      <c r="H1639" s="376">
        <v>2.2727272727272726E-3</v>
      </c>
      <c r="I1639" s="375">
        <v>4615</v>
      </c>
      <c r="J1639" s="375">
        <v>6000</v>
      </c>
      <c r="K1639" s="375">
        <v>25</v>
      </c>
      <c r="L1639" s="375">
        <v>3000</v>
      </c>
      <c r="M1639" s="375">
        <v>8000</v>
      </c>
      <c r="V1639" s="375" t="s">
        <v>596</v>
      </c>
    </row>
    <row r="1640" spans="1:22" hidden="1" x14ac:dyDescent="0.25">
      <c r="A1640" s="377">
        <v>46015</v>
      </c>
      <c r="B1640" s="375">
        <v>150000</v>
      </c>
      <c r="C1640" s="375">
        <v>75000</v>
      </c>
      <c r="D1640" s="375">
        <v>16</v>
      </c>
      <c r="E1640" s="375">
        <v>33</v>
      </c>
      <c r="F1640" s="375">
        <v>0.5</v>
      </c>
      <c r="G1640" s="375">
        <v>11000</v>
      </c>
      <c r="H1640" s="376">
        <v>2.2727272727272726E-3</v>
      </c>
      <c r="I1640" s="375">
        <v>4615</v>
      </c>
      <c r="J1640" s="375">
        <v>6000</v>
      </c>
      <c r="K1640" s="375">
        <v>25</v>
      </c>
      <c r="L1640" s="375">
        <v>3000</v>
      </c>
      <c r="M1640" s="375">
        <v>8000</v>
      </c>
      <c r="V1640" s="375" t="s">
        <v>596</v>
      </c>
    </row>
    <row r="1641" spans="1:22" hidden="1" x14ac:dyDescent="0.25">
      <c r="A1641" s="377">
        <v>46016</v>
      </c>
      <c r="B1641" s="375">
        <v>150000</v>
      </c>
      <c r="C1641" s="375">
        <v>75000</v>
      </c>
      <c r="D1641" s="375">
        <v>16</v>
      </c>
      <c r="E1641" s="375">
        <v>33</v>
      </c>
      <c r="F1641" s="375">
        <v>0.5</v>
      </c>
      <c r="G1641" s="375">
        <v>11000</v>
      </c>
      <c r="H1641" s="376">
        <v>2.2727272727272726E-3</v>
      </c>
      <c r="I1641" s="375">
        <v>4615</v>
      </c>
      <c r="J1641" s="375">
        <v>6000</v>
      </c>
      <c r="K1641" s="375">
        <v>25</v>
      </c>
      <c r="L1641" s="375">
        <v>3000</v>
      </c>
      <c r="M1641" s="375">
        <v>8000</v>
      </c>
      <c r="V1641" s="375" t="s">
        <v>596</v>
      </c>
    </row>
    <row r="1642" spans="1:22" hidden="1" x14ac:dyDescent="0.25">
      <c r="A1642" s="377">
        <v>46017</v>
      </c>
      <c r="B1642" s="375">
        <v>100000</v>
      </c>
      <c r="C1642" s="375">
        <v>50000</v>
      </c>
      <c r="D1642" s="375">
        <v>13</v>
      </c>
      <c r="E1642" s="375">
        <v>26</v>
      </c>
      <c r="F1642" s="375">
        <v>0.5</v>
      </c>
      <c r="G1642" s="375">
        <v>11000</v>
      </c>
      <c r="H1642" s="376">
        <v>1.8181818181818182E-3</v>
      </c>
      <c r="I1642" s="375">
        <v>3846</v>
      </c>
      <c r="J1642" s="375">
        <v>5000</v>
      </c>
      <c r="K1642" s="375">
        <v>20</v>
      </c>
      <c r="L1642" s="375">
        <v>3000</v>
      </c>
      <c r="M1642" s="375">
        <v>8000</v>
      </c>
      <c r="V1642" s="375" t="s">
        <v>596</v>
      </c>
    </row>
    <row r="1643" spans="1:22" hidden="1" x14ac:dyDescent="0.25">
      <c r="A1643" s="377">
        <v>46018</v>
      </c>
      <c r="B1643" s="375">
        <v>100000</v>
      </c>
      <c r="C1643" s="375">
        <v>50000</v>
      </c>
      <c r="D1643" s="375">
        <v>13</v>
      </c>
      <c r="E1643" s="375">
        <v>26</v>
      </c>
      <c r="F1643" s="375">
        <v>0.5</v>
      </c>
      <c r="G1643" s="375">
        <v>11000</v>
      </c>
      <c r="H1643" s="376">
        <v>1.8181818181818182E-3</v>
      </c>
      <c r="I1643" s="375">
        <v>3846</v>
      </c>
      <c r="J1643" s="375">
        <v>5000</v>
      </c>
      <c r="K1643" s="375">
        <v>20</v>
      </c>
      <c r="L1643" s="375">
        <v>3000</v>
      </c>
      <c r="M1643" s="375">
        <v>8000</v>
      </c>
      <c r="V1643" s="375" t="s">
        <v>596</v>
      </c>
    </row>
    <row r="1644" spans="1:22" hidden="1" x14ac:dyDescent="0.25">
      <c r="A1644" s="377">
        <v>46019</v>
      </c>
      <c r="B1644" s="375">
        <v>100000</v>
      </c>
      <c r="C1644" s="375">
        <v>50000</v>
      </c>
      <c r="D1644" s="375">
        <v>13</v>
      </c>
      <c r="E1644" s="375">
        <v>26</v>
      </c>
      <c r="F1644" s="375">
        <v>0.5</v>
      </c>
      <c r="G1644" s="375">
        <v>11000</v>
      </c>
      <c r="H1644" s="376">
        <v>1.8181818181818182E-3</v>
      </c>
      <c r="I1644" s="375">
        <v>3846</v>
      </c>
      <c r="J1644" s="375">
        <v>5000</v>
      </c>
      <c r="K1644" s="375">
        <v>20</v>
      </c>
      <c r="L1644" s="375">
        <v>3000</v>
      </c>
      <c r="M1644" s="375">
        <v>8000</v>
      </c>
      <c r="V1644" s="375" t="s">
        <v>596</v>
      </c>
    </row>
    <row r="1645" spans="1:22" hidden="1" x14ac:dyDescent="0.25">
      <c r="A1645" s="377">
        <v>46020</v>
      </c>
      <c r="B1645" s="375">
        <v>100000</v>
      </c>
      <c r="C1645" s="375">
        <v>50000</v>
      </c>
      <c r="D1645" s="375">
        <v>13</v>
      </c>
      <c r="E1645" s="375">
        <v>26</v>
      </c>
      <c r="F1645" s="375">
        <v>0.5</v>
      </c>
      <c r="G1645" s="375">
        <v>11000</v>
      </c>
      <c r="H1645" s="376">
        <v>1.8181818181818182E-3</v>
      </c>
      <c r="I1645" s="375">
        <v>3846</v>
      </c>
      <c r="J1645" s="375">
        <v>5000</v>
      </c>
      <c r="K1645" s="375">
        <v>20</v>
      </c>
      <c r="L1645" s="375">
        <v>3000</v>
      </c>
      <c r="M1645" s="375">
        <v>8000</v>
      </c>
      <c r="V1645" s="375" t="s">
        <v>596</v>
      </c>
    </row>
    <row r="1646" spans="1:22" hidden="1" x14ac:dyDescent="0.25">
      <c r="A1646" s="377">
        <v>46021</v>
      </c>
      <c r="B1646" s="375">
        <v>120000</v>
      </c>
      <c r="C1646" s="375">
        <v>60000</v>
      </c>
      <c r="D1646" s="375">
        <v>13</v>
      </c>
      <c r="E1646" s="375">
        <v>26</v>
      </c>
      <c r="F1646" s="375">
        <v>0.5</v>
      </c>
      <c r="G1646" s="375">
        <v>11000</v>
      </c>
      <c r="H1646" s="376">
        <v>1.8181818181818182E-3</v>
      </c>
      <c r="I1646" s="375">
        <v>4615</v>
      </c>
      <c r="J1646" s="375">
        <v>6000</v>
      </c>
      <c r="K1646" s="375">
        <v>20</v>
      </c>
      <c r="L1646" s="375">
        <v>3000</v>
      </c>
      <c r="M1646" s="375">
        <v>8000</v>
      </c>
      <c r="V1646" s="375" t="s">
        <v>596</v>
      </c>
    </row>
    <row r="1647" spans="1:22" hidden="1" x14ac:dyDescent="0.25">
      <c r="A1647" s="377">
        <v>46022</v>
      </c>
      <c r="B1647" s="375">
        <v>120000</v>
      </c>
      <c r="C1647" s="375">
        <v>60000</v>
      </c>
      <c r="D1647" s="375">
        <v>13</v>
      </c>
      <c r="E1647" s="375">
        <v>26</v>
      </c>
      <c r="F1647" s="375">
        <v>0.5</v>
      </c>
      <c r="G1647" s="375">
        <v>11000</v>
      </c>
      <c r="H1647" s="376">
        <v>1.8181818181818182E-3</v>
      </c>
      <c r="I1647" s="375">
        <v>4615</v>
      </c>
      <c r="J1647" s="375">
        <v>6000</v>
      </c>
      <c r="K1647" s="375">
        <v>20</v>
      </c>
      <c r="L1647" s="375">
        <v>3000</v>
      </c>
      <c r="M1647" s="375">
        <v>8000</v>
      </c>
      <c r="V1647" s="375" t="s">
        <v>596</v>
      </c>
    </row>
    <row r="1648" spans="1:22" hidden="1" x14ac:dyDescent="0.25">
      <c r="A1648" s="377">
        <v>46023</v>
      </c>
      <c r="B1648" s="375">
        <v>120000</v>
      </c>
      <c r="C1648" s="375">
        <v>54000</v>
      </c>
      <c r="D1648" s="375">
        <v>11</v>
      </c>
      <c r="E1648" s="375">
        <v>23</v>
      </c>
      <c r="F1648" s="375">
        <v>0.55000000000000004</v>
      </c>
      <c r="G1648" s="375">
        <v>16623</v>
      </c>
      <c r="H1648" s="376">
        <v>1.0828370330265296E-3</v>
      </c>
      <c r="I1648" s="375">
        <v>5128</v>
      </c>
      <c r="J1648" s="375">
        <v>6667</v>
      </c>
      <c r="K1648" s="375">
        <v>18</v>
      </c>
      <c r="L1648" s="375">
        <v>4500</v>
      </c>
      <c r="M1648" s="375">
        <v>12123</v>
      </c>
      <c r="V1648" s="375" t="s">
        <v>596</v>
      </c>
    </row>
    <row r="1649" spans="1:22" hidden="1" x14ac:dyDescent="0.25">
      <c r="A1649" s="377">
        <v>46024</v>
      </c>
      <c r="B1649" s="375">
        <v>130000</v>
      </c>
      <c r="C1649" s="375">
        <v>58500</v>
      </c>
      <c r="D1649" s="375">
        <v>11</v>
      </c>
      <c r="E1649" s="375">
        <v>23</v>
      </c>
      <c r="F1649" s="375">
        <v>0.55000000000000004</v>
      </c>
      <c r="G1649" s="375">
        <v>16623</v>
      </c>
      <c r="H1649" s="376">
        <v>1.0828370330265296E-3</v>
      </c>
      <c r="I1649" s="375">
        <v>5556</v>
      </c>
      <c r="J1649" s="375">
        <v>7222</v>
      </c>
      <c r="K1649" s="375">
        <v>18</v>
      </c>
      <c r="L1649" s="375">
        <v>4500</v>
      </c>
      <c r="M1649" s="375">
        <v>12123</v>
      </c>
      <c r="V1649" s="375" t="s">
        <v>596</v>
      </c>
    </row>
    <row r="1650" spans="1:22" hidden="1" x14ac:dyDescent="0.25">
      <c r="A1650" s="377">
        <v>46025</v>
      </c>
      <c r="B1650" s="375">
        <v>180000</v>
      </c>
      <c r="C1650" s="375">
        <v>81000</v>
      </c>
      <c r="D1650" s="375">
        <v>13</v>
      </c>
      <c r="E1650" s="375">
        <v>29</v>
      </c>
      <c r="F1650" s="375">
        <v>0.55000000000000004</v>
      </c>
      <c r="G1650" s="375">
        <v>16623</v>
      </c>
      <c r="H1650" s="376">
        <v>1.3234674848102027E-3</v>
      </c>
      <c r="I1650" s="375">
        <v>6294</v>
      </c>
      <c r="J1650" s="375">
        <v>8182</v>
      </c>
      <c r="K1650" s="375">
        <v>22</v>
      </c>
      <c r="L1650" s="375">
        <v>4500</v>
      </c>
      <c r="M1650" s="375">
        <v>12123</v>
      </c>
      <c r="V1650" s="375" t="s">
        <v>596</v>
      </c>
    </row>
    <row r="1651" spans="1:22" hidden="1" x14ac:dyDescent="0.25">
      <c r="A1651" s="377">
        <v>46026</v>
      </c>
      <c r="B1651" s="375">
        <v>120000</v>
      </c>
      <c r="C1651" s="375">
        <v>60000</v>
      </c>
      <c r="D1651" s="375">
        <v>10</v>
      </c>
      <c r="E1651" s="375">
        <v>21</v>
      </c>
      <c r="F1651" s="375">
        <v>0.5</v>
      </c>
      <c r="G1651" s="375">
        <v>15623</v>
      </c>
      <c r="H1651" s="376">
        <v>1.0241310887793638E-3</v>
      </c>
      <c r="I1651" s="375">
        <v>5769</v>
      </c>
      <c r="J1651" s="375">
        <v>7500</v>
      </c>
      <c r="K1651" s="375">
        <v>16</v>
      </c>
      <c r="L1651" s="375">
        <v>3500</v>
      </c>
      <c r="M1651" s="375">
        <v>12123</v>
      </c>
      <c r="V1651" s="375" t="s">
        <v>596</v>
      </c>
    </row>
    <row r="1652" spans="1:22" hidden="1" x14ac:dyDescent="0.25">
      <c r="A1652" s="377">
        <v>46027</v>
      </c>
      <c r="B1652" s="375">
        <v>120000</v>
      </c>
      <c r="C1652" s="375">
        <v>60000</v>
      </c>
      <c r="D1652" s="375">
        <v>10</v>
      </c>
      <c r="E1652" s="375">
        <v>21</v>
      </c>
      <c r="F1652" s="375">
        <v>0.5</v>
      </c>
      <c r="G1652" s="375">
        <v>15623</v>
      </c>
      <c r="H1652" s="376">
        <v>1.0241310887793638E-3</v>
      </c>
      <c r="I1652" s="375">
        <v>5769</v>
      </c>
      <c r="J1652" s="375">
        <v>7500</v>
      </c>
      <c r="K1652" s="375">
        <v>16</v>
      </c>
      <c r="L1652" s="375">
        <v>3500</v>
      </c>
      <c r="M1652" s="375">
        <v>12123</v>
      </c>
      <c r="V1652" s="375" t="s">
        <v>596</v>
      </c>
    </row>
    <row r="1653" spans="1:22" hidden="1" x14ac:dyDescent="0.25">
      <c r="A1653" s="377">
        <v>46028</v>
      </c>
      <c r="B1653" s="375">
        <v>120000</v>
      </c>
      <c r="C1653" s="375">
        <v>60000</v>
      </c>
      <c r="D1653" s="375">
        <v>13</v>
      </c>
      <c r="E1653" s="375">
        <v>26</v>
      </c>
      <c r="F1653" s="375">
        <v>0.5</v>
      </c>
      <c r="G1653" s="375">
        <v>15623</v>
      </c>
      <c r="H1653" s="376">
        <v>1.2801638609742047E-3</v>
      </c>
      <c r="I1653" s="375">
        <v>4615</v>
      </c>
      <c r="J1653" s="375">
        <v>6000</v>
      </c>
      <c r="K1653" s="375">
        <v>20</v>
      </c>
      <c r="L1653" s="375">
        <v>3500</v>
      </c>
      <c r="M1653" s="375">
        <v>12123</v>
      </c>
      <c r="V1653" s="375" t="s">
        <v>596</v>
      </c>
    </row>
    <row r="1654" spans="1:22" hidden="1" x14ac:dyDescent="0.25">
      <c r="A1654" s="377">
        <v>46029</v>
      </c>
      <c r="B1654" s="375">
        <v>120000</v>
      </c>
      <c r="C1654" s="375">
        <v>60000</v>
      </c>
      <c r="D1654" s="375">
        <v>16</v>
      </c>
      <c r="E1654" s="375">
        <v>31</v>
      </c>
      <c r="F1654" s="375">
        <v>0.5</v>
      </c>
      <c r="G1654" s="375">
        <v>15623</v>
      </c>
      <c r="H1654" s="376">
        <v>1.5361966331690457E-3</v>
      </c>
      <c r="I1654" s="375">
        <v>3846</v>
      </c>
      <c r="J1654" s="375">
        <v>5000</v>
      </c>
      <c r="K1654" s="375">
        <v>24</v>
      </c>
      <c r="L1654" s="375">
        <v>3500</v>
      </c>
      <c r="M1654" s="375">
        <v>12123</v>
      </c>
      <c r="V1654" s="375" t="s">
        <v>596</v>
      </c>
    </row>
    <row r="1655" spans="1:22" hidden="1" x14ac:dyDescent="0.25">
      <c r="A1655" s="377">
        <v>46030</v>
      </c>
      <c r="B1655" s="375">
        <v>160000</v>
      </c>
      <c r="C1655" s="375">
        <v>80000</v>
      </c>
      <c r="D1655" s="375">
        <v>15</v>
      </c>
      <c r="E1655" s="375">
        <v>30</v>
      </c>
      <c r="F1655" s="375">
        <v>0.5</v>
      </c>
      <c r="G1655" s="375">
        <v>15623</v>
      </c>
      <c r="H1655" s="376">
        <v>1.4721884401203355E-3</v>
      </c>
      <c r="I1655" s="375">
        <v>5351</v>
      </c>
      <c r="J1655" s="375">
        <v>6957</v>
      </c>
      <c r="K1655" s="375">
        <v>23</v>
      </c>
      <c r="L1655" s="375">
        <v>3500</v>
      </c>
      <c r="M1655" s="375">
        <v>12123</v>
      </c>
      <c r="V1655" s="375" t="s">
        <v>596</v>
      </c>
    </row>
    <row r="1656" spans="1:22" hidden="1" x14ac:dyDescent="0.25">
      <c r="A1656" s="377">
        <v>46031</v>
      </c>
      <c r="B1656" s="375">
        <v>160000</v>
      </c>
      <c r="C1656" s="375">
        <v>80000</v>
      </c>
      <c r="D1656" s="375">
        <v>14</v>
      </c>
      <c r="E1656" s="375">
        <v>29</v>
      </c>
      <c r="F1656" s="375">
        <v>0.5</v>
      </c>
      <c r="G1656" s="375">
        <v>15623</v>
      </c>
      <c r="H1656" s="376">
        <v>1.4081802470716251E-3</v>
      </c>
      <c r="I1656" s="375">
        <v>5594</v>
      </c>
      <c r="J1656" s="375">
        <v>7273</v>
      </c>
      <c r="K1656" s="375">
        <v>22</v>
      </c>
      <c r="L1656" s="375">
        <v>3500</v>
      </c>
      <c r="M1656" s="375">
        <v>12123</v>
      </c>
      <c r="V1656" s="375" t="s">
        <v>596</v>
      </c>
    </row>
    <row r="1657" spans="1:22" hidden="1" x14ac:dyDescent="0.25">
      <c r="A1657" s="377">
        <v>46032</v>
      </c>
      <c r="B1657" s="375">
        <v>160000</v>
      </c>
      <c r="C1657" s="375">
        <v>80000</v>
      </c>
      <c r="D1657" s="375">
        <v>14</v>
      </c>
      <c r="E1657" s="375">
        <v>27</v>
      </c>
      <c r="F1657" s="375">
        <v>0.5</v>
      </c>
      <c r="G1657" s="375">
        <v>15623</v>
      </c>
      <c r="H1657" s="376">
        <v>1.3441720540229149E-3</v>
      </c>
      <c r="I1657" s="375">
        <v>5861</v>
      </c>
      <c r="J1657" s="375">
        <v>7619</v>
      </c>
      <c r="K1657" s="375">
        <v>21</v>
      </c>
      <c r="L1657" s="375">
        <v>3500</v>
      </c>
      <c r="M1657" s="375">
        <v>12123</v>
      </c>
      <c r="V1657" s="375" t="s">
        <v>596</v>
      </c>
    </row>
    <row r="1658" spans="1:22" hidden="1" x14ac:dyDescent="0.25">
      <c r="A1658" s="377">
        <v>46033</v>
      </c>
      <c r="B1658" s="375">
        <v>160000</v>
      </c>
      <c r="C1658" s="375">
        <v>80000</v>
      </c>
      <c r="D1658" s="375">
        <v>14</v>
      </c>
      <c r="E1658" s="375">
        <v>29</v>
      </c>
      <c r="F1658" s="375">
        <v>0.5</v>
      </c>
      <c r="G1658" s="375">
        <v>15623</v>
      </c>
      <c r="H1658" s="376">
        <v>1.4081802470716251E-3</v>
      </c>
      <c r="I1658" s="375">
        <v>5594</v>
      </c>
      <c r="J1658" s="375">
        <v>7273</v>
      </c>
      <c r="K1658" s="375">
        <v>22</v>
      </c>
      <c r="L1658" s="375">
        <v>3500</v>
      </c>
      <c r="M1658" s="375">
        <v>12123</v>
      </c>
      <c r="V1658" s="375" t="s">
        <v>596</v>
      </c>
    </row>
    <row r="1659" spans="1:22" hidden="1" x14ac:dyDescent="0.25">
      <c r="A1659" s="377">
        <v>46034</v>
      </c>
      <c r="B1659" s="375">
        <v>160000</v>
      </c>
      <c r="C1659" s="375">
        <v>80000</v>
      </c>
      <c r="D1659" s="375">
        <v>14</v>
      </c>
      <c r="E1659" s="375">
        <v>29</v>
      </c>
      <c r="F1659" s="375">
        <v>0.5</v>
      </c>
      <c r="G1659" s="375">
        <v>15623</v>
      </c>
      <c r="H1659" s="376">
        <v>1.4081802470716251E-3</v>
      </c>
      <c r="I1659" s="375">
        <v>5594</v>
      </c>
      <c r="J1659" s="375">
        <v>7273</v>
      </c>
      <c r="K1659" s="375">
        <v>22</v>
      </c>
      <c r="L1659" s="375">
        <v>3500</v>
      </c>
      <c r="M1659" s="375">
        <v>12123</v>
      </c>
      <c r="V1659" s="375" t="s">
        <v>596</v>
      </c>
    </row>
    <row r="1660" spans="1:22" hidden="1" x14ac:dyDescent="0.25">
      <c r="A1660" s="377">
        <v>46035</v>
      </c>
      <c r="B1660" s="375">
        <v>130000</v>
      </c>
      <c r="C1660" s="375">
        <v>65000</v>
      </c>
      <c r="D1660" s="375">
        <v>12</v>
      </c>
      <c r="E1660" s="375">
        <v>23</v>
      </c>
      <c r="F1660" s="375">
        <v>0.5</v>
      </c>
      <c r="G1660" s="375">
        <v>15623</v>
      </c>
      <c r="H1660" s="376">
        <v>1.1521474748767842E-3</v>
      </c>
      <c r="I1660" s="375">
        <v>5556</v>
      </c>
      <c r="J1660" s="375">
        <v>7222</v>
      </c>
      <c r="K1660" s="375">
        <v>18</v>
      </c>
      <c r="L1660" s="375">
        <v>3500</v>
      </c>
      <c r="M1660" s="375">
        <v>12123</v>
      </c>
      <c r="V1660" s="375" t="s">
        <v>596</v>
      </c>
    </row>
    <row r="1661" spans="1:22" hidden="1" x14ac:dyDescent="0.25">
      <c r="A1661" s="377">
        <v>46036</v>
      </c>
      <c r="B1661" s="375">
        <v>100000</v>
      </c>
      <c r="C1661" s="375">
        <v>50000</v>
      </c>
      <c r="D1661" s="375">
        <v>10</v>
      </c>
      <c r="E1661" s="375">
        <v>20</v>
      </c>
      <c r="F1661" s="375">
        <v>0.5</v>
      </c>
      <c r="G1661" s="375">
        <v>15623</v>
      </c>
      <c r="H1661" s="376">
        <v>9.6012289573065349E-4</v>
      </c>
      <c r="I1661" s="375">
        <v>5128</v>
      </c>
      <c r="J1661" s="375">
        <v>6667</v>
      </c>
      <c r="K1661" s="375">
        <v>15</v>
      </c>
      <c r="L1661" s="375">
        <v>3500</v>
      </c>
      <c r="M1661" s="375">
        <v>12123</v>
      </c>
      <c r="V1661" s="375" t="s">
        <v>596</v>
      </c>
    </row>
    <row r="1662" spans="1:22" hidden="1" x14ac:dyDescent="0.25">
      <c r="A1662" s="377">
        <v>46037</v>
      </c>
      <c r="B1662" s="375">
        <v>130000</v>
      </c>
      <c r="C1662" s="375">
        <v>65000</v>
      </c>
      <c r="D1662" s="375">
        <v>13</v>
      </c>
      <c r="E1662" s="375">
        <v>26</v>
      </c>
      <c r="F1662" s="375">
        <v>0.5</v>
      </c>
      <c r="G1662" s="375">
        <v>15623</v>
      </c>
      <c r="H1662" s="376">
        <v>1.2801638609742047E-3</v>
      </c>
      <c r="I1662" s="375">
        <v>5000</v>
      </c>
      <c r="J1662" s="375">
        <v>6500</v>
      </c>
      <c r="K1662" s="375">
        <v>20</v>
      </c>
      <c r="L1662" s="375">
        <v>3500</v>
      </c>
      <c r="M1662" s="375">
        <v>12123</v>
      </c>
      <c r="V1662" s="375" t="s">
        <v>596</v>
      </c>
    </row>
    <row r="1663" spans="1:22" hidden="1" x14ac:dyDescent="0.25">
      <c r="A1663" s="377">
        <v>46038</v>
      </c>
      <c r="B1663" s="375">
        <v>100000</v>
      </c>
      <c r="C1663" s="375">
        <v>50000</v>
      </c>
      <c r="D1663" s="375">
        <v>12</v>
      </c>
      <c r="E1663" s="375">
        <v>23</v>
      </c>
      <c r="F1663" s="375">
        <v>0.5</v>
      </c>
      <c r="G1663" s="375">
        <v>15623</v>
      </c>
      <c r="H1663" s="376">
        <v>1.1521474748767842E-3</v>
      </c>
      <c r="I1663" s="375">
        <v>4274</v>
      </c>
      <c r="J1663" s="375">
        <v>5556</v>
      </c>
      <c r="K1663" s="375">
        <v>18</v>
      </c>
      <c r="L1663" s="375">
        <v>3500</v>
      </c>
      <c r="M1663" s="375">
        <v>12123</v>
      </c>
      <c r="V1663" s="375" t="s">
        <v>596</v>
      </c>
    </row>
    <row r="1664" spans="1:22" hidden="1" x14ac:dyDescent="0.25">
      <c r="A1664" s="377">
        <v>46039</v>
      </c>
      <c r="B1664" s="375">
        <v>100000</v>
      </c>
      <c r="C1664" s="375">
        <v>50000</v>
      </c>
      <c r="D1664" s="375">
        <v>8</v>
      </c>
      <c r="E1664" s="375">
        <v>17</v>
      </c>
      <c r="F1664" s="375">
        <v>0.5</v>
      </c>
      <c r="G1664" s="375">
        <v>15623</v>
      </c>
      <c r="H1664" s="376">
        <v>8.3210650963323307E-4</v>
      </c>
      <c r="I1664" s="375">
        <v>5917</v>
      </c>
      <c r="J1664" s="375">
        <v>7692</v>
      </c>
      <c r="K1664" s="375">
        <v>13</v>
      </c>
      <c r="L1664" s="375">
        <v>3500</v>
      </c>
      <c r="M1664" s="375">
        <v>12123</v>
      </c>
      <c r="V1664" s="375" t="s">
        <v>596</v>
      </c>
    </row>
    <row r="1665" spans="1:22" hidden="1" x14ac:dyDescent="0.25">
      <c r="A1665" s="377">
        <v>46040</v>
      </c>
      <c r="B1665" s="375">
        <v>270000</v>
      </c>
      <c r="C1665" s="375">
        <v>135000</v>
      </c>
      <c r="D1665" s="375">
        <v>25</v>
      </c>
      <c r="E1665" s="375">
        <v>49</v>
      </c>
      <c r="F1665" s="375">
        <v>0.5</v>
      </c>
      <c r="G1665" s="375">
        <v>15623</v>
      </c>
      <c r="H1665" s="376">
        <v>2.4323113358509889E-3</v>
      </c>
      <c r="I1665" s="375">
        <v>5466</v>
      </c>
      <c r="J1665" s="375">
        <v>7105</v>
      </c>
      <c r="K1665" s="375">
        <v>38</v>
      </c>
      <c r="L1665" s="375">
        <v>3500</v>
      </c>
      <c r="M1665" s="375">
        <v>12123</v>
      </c>
      <c r="V1665" s="375" t="s">
        <v>596</v>
      </c>
    </row>
    <row r="1666" spans="1:22" hidden="1" x14ac:dyDescent="0.25">
      <c r="A1666" s="377">
        <v>46041</v>
      </c>
      <c r="B1666" s="375">
        <v>100000</v>
      </c>
      <c r="C1666" s="375">
        <v>50000</v>
      </c>
      <c r="D1666" s="375">
        <v>10</v>
      </c>
      <c r="E1666" s="375">
        <v>20</v>
      </c>
      <c r="F1666" s="375">
        <v>0.5</v>
      </c>
      <c r="G1666" s="375">
        <v>15623</v>
      </c>
      <c r="H1666" s="376">
        <v>9.6012289573065349E-4</v>
      </c>
      <c r="I1666" s="375">
        <v>5128</v>
      </c>
      <c r="J1666" s="375">
        <v>6667</v>
      </c>
      <c r="K1666" s="375">
        <v>15</v>
      </c>
      <c r="L1666" s="375">
        <v>3500</v>
      </c>
      <c r="M1666" s="375">
        <v>12123</v>
      </c>
      <c r="V1666" s="375" t="s">
        <v>596</v>
      </c>
    </row>
    <row r="1667" spans="1:22" hidden="1" x14ac:dyDescent="0.25">
      <c r="A1667" s="377">
        <v>46042</v>
      </c>
      <c r="B1667" s="375">
        <v>100000</v>
      </c>
      <c r="C1667" s="375">
        <v>50000</v>
      </c>
      <c r="D1667" s="375">
        <v>12</v>
      </c>
      <c r="E1667" s="375">
        <v>23</v>
      </c>
      <c r="F1667" s="375">
        <v>0.5</v>
      </c>
      <c r="G1667" s="375">
        <v>15623</v>
      </c>
      <c r="H1667" s="376">
        <v>1.1521474748767842E-3</v>
      </c>
      <c r="I1667" s="375">
        <v>4274</v>
      </c>
      <c r="J1667" s="375">
        <v>5556</v>
      </c>
      <c r="K1667" s="375">
        <v>18</v>
      </c>
      <c r="L1667" s="375">
        <v>3500</v>
      </c>
      <c r="M1667" s="375">
        <v>12123</v>
      </c>
      <c r="V1667" s="375" t="s">
        <v>596</v>
      </c>
    </row>
    <row r="1668" spans="1:22" hidden="1" x14ac:dyDescent="0.25">
      <c r="A1668" s="377">
        <v>46043</v>
      </c>
      <c r="B1668" s="375">
        <v>100000</v>
      </c>
      <c r="C1668" s="375">
        <v>50000</v>
      </c>
      <c r="D1668" s="375">
        <v>10</v>
      </c>
      <c r="E1668" s="375">
        <v>20</v>
      </c>
      <c r="F1668" s="375">
        <v>0.5</v>
      </c>
      <c r="G1668" s="375">
        <v>15623</v>
      </c>
      <c r="H1668" s="376">
        <v>9.6012289573065349E-4</v>
      </c>
      <c r="I1668" s="375">
        <v>5128</v>
      </c>
      <c r="J1668" s="375">
        <v>6667</v>
      </c>
      <c r="K1668" s="375">
        <v>15</v>
      </c>
      <c r="L1668" s="375">
        <v>3500</v>
      </c>
      <c r="M1668" s="375">
        <v>12123</v>
      </c>
      <c r="V1668" s="375" t="s">
        <v>596</v>
      </c>
    </row>
    <row r="1669" spans="1:22" hidden="1" x14ac:dyDescent="0.25">
      <c r="A1669" s="377">
        <v>46044</v>
      </c>
      <c r="B1669" s="375">
        <v>100000</v>
      </c>
      <c r="C1669" s="375">
        <v>50000</v>
      </c>
      <c r="D1669" s="375">
        <v>10</v>
      </c>
      <c r="E1669" s="375">
        <v>20</v>
      </c>
      <c r="F1669" s="375">
        <v>0.5</v>
      </c>
      <c r="G1669" s="375">
        <v>15623</v>
      </c>
      <c r="H1669" s="376">
        <v>9.6012289573065349E-4</v>
      </c>
      <c r="I1669" s="375">
        <v>5128</v>
      </c>
      <c r="J1669" s="375">
        <v>6667</v>
      </c>
      <c r="K1669" s="375">
        <v>15</v>
      </c>
      <c r="L1669" s="375">
        <v>3500</v>
      </c>
      <c r="M1669" s="375">
        <v>12123</v>
      </c>
      <c r="V1669" s="375" t="s">
        <v>596</v>
      </c>
    </row>
    <row r="1670" spans="1:22" hidden="1" x14ac:dyDescent="0.25">
      <c r="A1670" s="377">
        <v>46045</v>
      </c>
      <c r="B1670" s="375">
        <v>100000</v>
      </c>
      <c r="C1670" s="375">
        <v>50000</v>
      </c>
      <c r="D1670" s="375">
        <v>10</v>
      </c>
      <c r="E1670" s="375">
        <v>20</v>
      </c>
      <c r="F1670" s="375">
        <v>0.5</v>
      </c>
      <c r="G1670" s="375">
        <v>15623</v>
      </c>
      <c r="H1670" s="376">
        <v>9.6012289573065349E-4</v>
      </c>
      <c r="I1670" s="375">
        <v>5128</v>
      </c>
      <c r="J1670" s="375">
        <v>6667</v>
      </c>
      <c r="K1670" s="375">
        <v>15</v>
      </c>
      <c r="L1670" s="375">
        <v>3500</v>
      </c>
      <c r="M1670" s="375">
        <v>12123</v>
      </c>
      <c r="V1670" s="375" t="s">
        <v>596</v>
      </c>
    </row>
    <row r="1671" spans="1:22" hidden="1" x14ac:dyDescent="0.25">
      <c r="A1671" s="377">
        <v>46046</v>
      </c>
      <c r="B1671" s="375">
        <v>100000</v>
      </c>
      <c r="C1671" s="375">
        <v>50000</v>
      </c>
      <c r="D1671" s="375">
        <v>10</v>
      </c>
      <c r="E1671" s="375">
        <v>20</v>
      </c>
      <c r="F1671" s="375">
        <v>0.5</v>
      </c>
      <c r="G1671" s="375">
        <v>15623</v>
      </c>
      <c r="H1671" s="376">
        <v>9.6012289573065349E-4</v>
      </c>
      <c r="I1671" s="375">
        <v>5128</v>
      </c>
      <c r="J1671" s="375">
        <v>6667</v>
      </c>
      <c r="K1671" s="375">
        <v>15</v>
      </c>
      <c r="L1671" s="375">
        <v>3500</v>
      </c>
      <c r="M1671" s="375">
        <v>12123</v>
      </c>
      <c r="V1671" s="375" t="s">
        <v>596</v>
      </c>
    </row>
    <row r="1672" spans="1:22" hidden="1" x14ac:dyDescent="0.25">
      <c r="A1672" s="377">
        <v>46047</v>
      </c>
      <c r="B1672" s="375">
        <v>100000</v>
      </c>
      <c r="C1672" s="375">
        <v>50000</v>
      </c>
      <c r="D1672" s="375">
        <v>10</v>
      </c>
      <c r="E1672" s="375">
        <v>20</v>
      </c>
      <c r="F1672" s="375">
        <v>0.5</v>
      </c>
      <c r="G1672" s="375">
        <v>15623</v>
      </c>
      <c r="H1672" s="376">
        <v>9.6012289573065349E-4</v>
      </c>
      <c r="I1672" s="375">
        <v>5128</v>
      </c>
      <c r="J1672" s="375">
        <v>6667</v>
      </c>
      <c r="K1672" s="375">
        <v>15</v>
      </c>
      <c r="L1672" s="375">
        <v>3500</v>
      </c>
      <c r="M1672" s="375">
        <v>12123</v>
      </c>
      <c r="V1672" s="375" t="s">
        <v>596</v>
      </c>
    </row>
    <row r="1673" spans="1:22" hidden="1" x14ac:dyDescent="0.25">
      <c r="A1673" s="377">
        <v>46048</v>
      </c>
      <c r="B1673" s="375">
        <v>80000</v>
      </c>
      <c r="C1673" s="375">
        <v>40000</v>
      </c>
      <c r="D1673" s="375">
        <v>10</v>
      </c>
      <c r="E1673" s="375">
        <v>20</v>
      </c>
      <c r="F1673" s="375">
        <v>0.5</v>
      </c>
      <c r="G1673" s="375">
        <v>15623</v>
      </c>
      <c r="H1673" s="376">
        <v>9.6012289573065349E-4</v>
      </c>
      <c r="I1673" s="375">
        <v>4103</v>
      </c>
      <c r="J1673" s="375">
        <v>5333</v>
      </c>
      <c r="K1673" s="375">
        <v>15</v>
      </c>
      <c r="L1673" s="375">
        <v>3500</v>
      </c>
      <c r="M1673" s="375">
        <v>12123</v>
      </c>
      <c r="V1673" s="375" t="s">
        <v>596</v>
      </c>
    </row>
    <row r="1674" spans="1:22" hidden="1" x14ac:dyDescent="0.25">
      <c r="A1674" s="377">
        <v>46049</v>
      </c>
      <c r="B1674" s="375">
        <v>80000</v>
      </c>
      <c r="C1674" s="375">
        <v>40000</v>
      </c>
      <c r="D1674" s="375">
        <v>10</v>
      </c>
      <c r="E1674" s="375">
        <v>21</v>
      </c>
      <c r="F1674" s="375">
        <v>0.5</v>
      </c>
      <c r="G1674" s="375">
        <v>15623</v>
      </c>
      <c r="H1674" s="376">
        <v>1.0241310887793638E-3</v>
      </c>
      <c r="I1674" s="375">
        <v>3846</v>
      </c>
      <c r="J1674" s="375">
        <v>5000</v>
      </c>
      <c r="K1674" s="375">
        <v>16</v>
      </c>
      <c r="L1674" s="375">
        <v>3500</v>
      </c>
      <c r="M1674" s="375">
        <v>12123</v>
      </c>
      <c r="V1674" s="375" t="s">
        <v>596</v>
      </c>
    </row>
    <row r="1675" spans="1:22" hidden="1" x14ac:dyDescent="0.25">
      <c r="A1675" s="377">
        <v>46050</v>
      </c>
      <c r="B1675" s="375">
        <v>80000</v>
      </c>
      <c r="C1675" s="375">
        <v>40000</v>
      </c>
      <c r="D1675" s="375">
        <v>10</v>
      </c>
      <c r="E1675" s="375">
        <v>20</v>
      </c>
      <c r="F1675" s="375">
        <v>0.5</v>
      </c>
      <c r="G1675" s="375">
        <v>15623</v>
      </c>
      <c r="H1675" s="376">
        <v>9.6012289573065349E-4</v>
      </c>
      <c r="I1675" s="375">
        <v>4103</v>
      </c>
      <c r="J1675" s="375">
        <v>5333</v>
      </c>
      <c r="K1675" s="375">
        <v>15</v>
      </c>
      <c r="L1675" s="375">
        <v>3500</v>
      </c>
      <c r="M1675" s="375">
        <v>12123</v>
      </c>
      <c r="V1675" s="375" t="s">
        <v>596</v>
      </c>
    </row>
    <row r="1676" spans="1:22" hidden="1" x14ac:dyDescent="0.25">
      <c r="A1676" s="377">
        <v>46051</v>
      </c>
      <c r="B1676" s="375">
        <v>80000</v>
      </c>
      <c r="C1676" s="375">
        <v>40000</v>
      </c>
      <c r="D1676" s="375">
        <v>10</v>
      </c>
      <c r="E1676" s="375">
        <v>20</v>
      </c>
      <c r="F1676" s="375">
        <v>0.5</v>
      </c>
      <c r="G1676" s="375">
        <v>15623</v>
      </c>
      <c r="H1676" s="376">
        <v>9.6012289573065349E-4</v>
      </c>
      <c r="I1676" s="375">
        <v>4103</v>
      </c>
      <c r="J1676" s="375">
        <v>5333</v>
      </c>
      <c r="K1676" s="375">
        <v>15</v>
      </c>
      <c r="L1676" s="375">
        <v>3500</v>
      </c>
      <c r="M1676" s="375">
        <v>12123</v>
      </c>
      <c r="V1676" s="375" t="s">
        <v>596</v>
      </c>
    </row>
    <row r="1677" spans="1:22" hidden="1" x14ac:dyDescent="0.25">
      <c r="A1677" s="377">
        <v>46052</v>
      </c>
      <c r="B1677" s="375">
        <v>80000</v>
      </c>
      <c r="C1677" s="375">
        <v>40000</v>
      </c>
      <c r="D1677" s="375">
        <v>10</v>
      </c>
      <c r="E1677" s="375">
        <v>20</v>
      </c>
      <c r="F1677" s="375">
        <v>0.5</v>
      </c>
      <c r="G1677" s="375">
        <v>15623</v>
      </c>
      <c r="H1677" s="376">
        <v>9.6012289573065349E-4</v>
      </c>
      <c r="I1677" s="375">
        <v>4103</v>
      </c>
      <c r="J1677" s="375">
        <v>5333</v>
      </c>
      <c r="K1677" s="375">
        <v>15</v>
      </c>
      <c r="L1677" s="375">
        <v>3500</v>
      </c>
      <c r="M1677" s="375">
        <v>12123</v>
      </c>
      <c r="V1677" s="375" t="s">
        <v>596</v>
      </c>
    </row>
    <row r="1678" spans="1:22" hidden="1" x14ac:dyDescent="0.25">
      <c r="A1678" s="377">
        <v>46053</v>
      </c>
      <c r="B1678" s="375">
        <v>80000</v>
      </c>
      <c r="C1678" s="375">
        <v>40000</v>
      </c>
      <c r="D1678" s="375">
        <v>10</v>
      </c>
      <c r="E1678" s="375">
        <v>20</v>
      </c>
      <c r="F1678" s="375">
        <v>0.5</v>
      </c>
      <c r="G1678" s="375">
        <v>15623</v>
      </c>
      <c r="H1678" s="376">
        <v>9.6012289573065349E-4</v>
      </c>
      <c r="I1678" s="375">
        <v>4103</v>
      </c>
      <c r="J1678" s="375">
        <v>5333</v>
      </c>
      <c r="K1678" s="375">
        <v>15</v>
      </c>
      <c r="L1678" s="375">
        <v>3500</v>
      </c>
      <c r="M1678" s="375">
        <v>12123</v>
      </c>
      <c r="V1678" s="375" t="s">
        <v>596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C717-F4B6-47C9-BED0-977D41EB784A}">
  <dimension ref="D1:AN33"/>
  <sheetViews>
    <sheetView showGridLines="0" topLeftCell="D1" zoomScale="85" zoomScaleNormal="85" workbookViewId="0">
      <pane xSplit="1" ySplit="6" topLeftCell="E7" activePane="bottomRight" state="frozen"/>
      <selection activeCell="D1" sqref="D1"/>
      <selection pane="topRight" activeCell="E1" sqref="E1"/>
      <selection pane="bottomLeft" activeCell="D6" sqref="D6"/>
      <selection pane="bottomRight" activeCell="K12" sqref="K12"/>
    </sheetView>
  </sheetViews>
  <sheetFormatPr defaultRowHeight="12.5" outlineLevelRow="1" outlineLevelCol="1" x14ac:dyDescent="0.3"/>
  <cols>
    <col min="1" max="3" width="8.6640625" style="28"/>
    <col min="4" max="4" width="17.75" style="28" customWidth="1"/>
    <col min="5" max="5" width="13.1640625" style="28" customWidth="1" outlineLevel="1"/>
    <col min="6" max="6" width="12.58203125" style="28" customWidth="1" outlineLevel="1"/>
    <col min="7" max="8" width="10.08203125" style="28" customWidth="1" outlineLevel="1"/>
    <col min="9" max="9" width="10.08203125" style="28" customWidth="1"/>
    <col min="10" max="10" width="10.9140625" style="28" bestFit="1" customWidth="1"/>
    <col min="11" max="11" width="10.9140625" style="28" customWidth="1"/>
    <col min="12" max="13" width="11" style="28" customWidth="1"/>
    <col min="14" max="17" width="8.6640625" style="28"/>
    <col min="18" max="18" width="11" style="53" customWidth="1"/>
    <col min="19" max="19" width="11.08203125" style="53" customWidth="1"/>
    <col min="20" max="22" width="8.6640625" style="53" customWidth="1"/>
    <col min="23" max="24" width="10.58203125" style="28" customWidth="1" outlineLevel="1"/>
    <col min="25" max="26" width="9.5" style="28" customWidth="1" outlineLevel="1"/>
    <col min="27" max="27" width="8.6640625" style="28"/>
    <col min="28" max="31" width="9.5" style="28" customWidth="1"/>
    <col min="32" max="32" width="8.6640625" style="28" customWidth="1"/>
    <col min="33" max="33" width="0" style="28" hidden="1" customWidth="1"/>
    <col min="34" max="34" width="8.6640625" style="28" hidden="1" customWidth="1" outlineLevel="1"/>
    <col min="35" max="35" width="0" style="28" hidden="1" customWidth="1" collapsed="1"/>
    <col min="36" max="36" width="11" style="28" bestFit="1" customWidth="1"/>
    <col min="37" max="37" width="11" style="28" customWidth="1"/>
    <col min="38" max="39" width="12.08203125" style="28" customWidth="1"/>
    <col min="40" max="16384" width="8.6640625" style="28"/>
  </cols>
  <sheetData>
    <row r="1" spans="4:40" ht="13" x14ac:dyDescent="0.3">
      <c r="D1" s="250" t="s">
        <v>201</v>
      </c>
      <c r="E1" s="28">
        <v>1.1299999999999999</v>
      </c>
    </row>
    <row r="2" spans="4:40" ht="13.5" thickBot="1" x14ac:dyDescent="0.35">
      <c r="D2" s="250" t="s">
        <v>202</v>
      </c>
      <c r="E2" s="28">
        <v>7.7896999999999998</v>
      </c>
      <c r="G2" s="41"/>
      <c r="H2" s="41"/>
      <c r="K2" s="263"/>
      <c r="L2" s="41"/>
      <c r="M2" s="41"/>
    </row>
    <row r="3" spans="4:40" ht="14.5" customHeight="1" thickBot="1" x14ac:dyDescent="0.35">
      <c r="D3" s="251" t="s">
        <v>405</v>
      </c>
      <c r="E3" s="41">
        <v>16359478</v>
      </c>
      <c r="F3" s="249" t="s">
        <v>406</v>
      </c>
      <c r="G3" s="41">
        <v>17265765</v>
      </c>
      <c r="J3" s="624" t="s">
        <v>777</v>
      </c>
      <c r="K3" s="625"/>
      <c r="L3" s="625"/>
      <c r="M3" s="625"/>
      <c r="N3" s="625"/>
      <c r="O3" s="625"/>
      <c r="P3" s="625"/>
      <c r="Q3" s="626"/>
      <c r="R3" s="624" t="s">
        <v>917</v>
      </c>
      <c r="S3" s="625"/>
      <c r="T3" s="625"/>
      <c r="U3" s="625"/>
      <c r="V3" s="626"/>
      <c r="W3" s="624" t="s">
        <v>203</v>
      </c>
      <c r="X3" s="625"/>
      <c r="Y3" s="625"/>
      <c r="Z3" s="625"/>
      <c r="AA3" s="626"/>
      <c r="AB3" s="624" t="s">
        <v>689</v>
      </c>
      <c r="AC3" s="625"/>
      <c r="AD3" s="625"/>
      <c r="AE3" s="625"/>
      <c r="AF3" s="626"/>
      <c r="AJ3" s="624" t="s">
        <v>403</v>
      </c>
      <c r="AK3" s="625"/>
      <c r="AL3" s="625"/>
      <c r="AM3" s="625"/>
      <c r="AN3" s="626"/>
    </row>
    <row r="4" spans="4:40" ht="27" customHeight="1" thickBot="1" x14ac:dyDescent="0.35">
      <c r="D4" s="630" t="s">
        <v>204</v>
      </c>
      <c r="E4" s="636" t="s">
        <v>205</v>
      </c>
      <c r="F4" s="637"/>
      <c r="G4" s="637"/>
      <c r="H4" s="637"/>
      <c r="I4" s="637"/>
      <c r="J4" s="637"/>
      <c r="K4" s="637"/>
      <c r="L4" s="637"/>
      <c r="M4" s="637"/>
      <c r="N4" s="637"/>
      <c r="O4" s="637"/>
      <c r="P4" s="637"/>
      <c r="Q4" s="637"/>
      <c r="R4" s="637"/>
      <c r="S4" s="637"/>
      <c r="T4" s="637"/>
      <c r="U4" s="637"/>
      <c r="V4" s="637"/>
      <c r="W4" s="632" t="s">
        <v>206</v>
      </c>
      <c r="X4" s="632"/>
      <c r="Y4" s="632"/>
      <c r="Z4" s="632"/>
      <c r="AA4" s="632"/>
      <c r="AB4" s="632"/>
      <c r="AC4" s="632"/>
      <c r="AD4" s="632"/>
      <c r="AE4" s="632"/>
      <c r="AF4" s="632"/>
      <c r="AG4" s="632"/>
      <c r="AH4" s="632"/>
      <c r="AI4" s="632"/>
      <c r="AJ4" s="632"/>
      <c r="AK4" s="632"/>
      <c r="AL4" s="632"/>
      <c r="AM4" s="632"/>
      <c r="AN4" s="632"/>
    </row>
    <row r="5" spans="4:40" ht="14.5" customHeight="1" thickBot="1" x14ac:dyDescent="0.35">
      <c r="D5" s="631"/>
      <c r="E5" s="633">
        <v>618</v>
      </c>
      <c r="F5" s="634"/>
      <c r="G5" s="634"/>
      <c r="H5" s="634"/>
      <c r="I5" s="634"/>
      <c r="J5" s="633" t="s">
        <v>263</v>
      </c>
      <c r="K5" s="634"/>
      <c r="L5" s="634"/>
      <c r="M5" s="634"/>
      <c r="N5" s="634"/>
      <c r="O5" s="634"/>
      <c r="P5" s="634"/>
      <c r="Q5" s="638"/>
      <c r="R5" s="634" t="s">
        <v>341</v>
      </c>
      <c r="S5" s="634"/>
      <c r="T5" s="634"/>
      <c r="U5" s="634"/>
      <c r="V5" s="635"/>
      <c r="W5" s="627">
        <v>520</v>
      </c>
      <c r="X5" s="628"/>
      <c r="Y5" s="628"/>
      <c r="Z5" s="628"/>
      <c r="AA5" s="629"/>
      <c r="AB5" s="627" t="s">
        <v>264</v>
      </c>
      <c r="AC5" s="628"/>
      <c r="AD5" s="628"/>
      <c r="AE5" s="628"/>
      <c r="AF5" s="629"/>
      <c r="AG5" s="29"/>
      <c r="AH5" s="29"/>
      <c r="AI5" s="29"/>
      <c r="AJ5" s="627" t="s">
        <v>265</v>
      </c>
      <c r="AK5" s="628"/>
      <c r="AL5" s="628"/>
      <c r="AM5" s="628"/>
      <c r="AN5" s="629"/>
    </row>
    <row r="6" spans="4:40" ht="33" customHeight="1" thickBot="1" x14ac:dyDescent="0.35">
      <c r="D6" s="631"/>
      <c r="E6" s="81" t="s">
        <v>256</v>
      </c>
      <c r="F6" s="79" t="s">
        <v>258</v>
      </c>
      <c r="G6" s="82" t="s">
        <v>260</v>
      </c>
      <c r="H6" s="79" t="s">
        <v>262</v>
      </c>
      <c r="I6" s="82" t="s">
        <v>75</v>
      </c>
      <c r="J6" s="533" t="s">
        <v>256</v>
      </c>
      <c r="K6" s="534" t="s">
        <v>258</v>
      </c>
      <c r="L6" s="535" t="s">
        <v>260</v>
      </c>
      <c r="M6" s="536" t="s">
        <v>262</v>
      </c>
      <c r="N6" s="535" t="s">
        <v>75</v>
      </c>
      <c r="O6" s="535" t="s">
        <v>780</v>
      </c>
      <c r="P6" s="525" t="s">
        <v>782</v>
      </c>
      <c r="Q6" s="526" t="s">
        <v>781</v>
      </c>
      <c r="R6" s="82" t="s">
        <v>256</v>
      </c>
      <c r="S6" s="80" t="s">
        <v>258</v>
      </c>
      <c r="T6" s="77" t="s">
        <v>260</v>
      </c>
      <c r="U6" s="79" t="s">
        <v>262</v>
      </c>
      <c r="V6" s="78" t="s">
        <v>75</v>
      </c>
      <c r="W6" s="70" t="s">
        <v>255</v>
      </c>
      <c r="X6" s="71" t="s">
        <v>257</v>
      </c>
      <c r="Y6" s="72" t="s">
        <v>259</v>
      </c>
      <c r="Z6" s="71" t="s">
        <v>261</v>
      </c>
      <c r="AA6" s="73" t="s">
        <v>75</v>
      </c>
      <c r="AB6" s="70" t="s">
        <v>255</v>
      </c>
      <c r="AC6" s="71" t="s">
        <v>257</v>
      </c>
      <c r="AD6" s="72" t="s">
        <v>259</v>
      </c>
      <c r="AE6" s="71" t="s">
        <v>261</v>
      </c>
      <c r="AF6" s="73" t="s">
        <v>75</v>
      </c>
      <c r="AG6" s="29" t="s">
        <v>208</v>
      </c>
      <c r="AH6" s="29" t="s">
        <v>207</v>
      </c>
      <c r="AI6" s="29" t="s">
        <v>209</v>
      </c>
      <c r="AJ6" s="83" t="s">
        <v>255</v>
      </c>
      <c r="AK6" s="84" t="s">
        <v>257</v>
      </c>
      <c r="AL6" s="85" t="s">
        <v>259</v>
      </c>
      <c r="AM6" s="84" t="s">
        <v>261</v>
      </c>
      <c r="AN6" s="86" t="s">
        <v>75</v>
      </c>
    </row>
    <row r="7" spans="4:40" ht="13.5" thickBot="1" x14ac:dyDescent="0.35">
      <c r="D7" s="30" t="s">
        <v>210</v>
      </c>
      <c r="E7" s="31">
        <v>11325324</v>
      </c>
      <c r="F7" s="32">
        <f>E7/$E$1</f>
        <v>10022410.619469028</v>
      </c>
      <c r="G7" s="32">
        <v>10119976</v>
      </c>
      <c r="H7" s="32">
        <f>G7/$E$1</f>
        <v>8955730.9734513275</v>
      </c>
      <c r="I7" s="524">
        <f t="shared" ref="I7:I16" si="0">E7/G7-1</f>
        <v>0.11910581606122395</v>
      </c>
      <c r="J7" s="527">
        <v>12523239.699999997</v>
      </c>
      <c r="K7" s="528">
        <f>J7/$E$1</f>
        <v>11082513.008849556</v>
      </c>
      <c r="L7" s="528">
        <v>24599284.5</v>
      </c>
      <c r="M7" s="528">
        <f>L7/$E$1</f>
        <v>21769278.318584073</v>
      </c>
      <c r="N7" s="529">
        <f t="shared" ref="N7:N16" si="1">J7/L7-1</f>
        <v>-0.49091040839013034</v>
      </c>
      <c r="O7" s="528">
        <v>19600076.5</v>
      </c>
      <c r="P7" s="528">
        <f>O7/$E$1</f>
        <v>17345200.442477878</v>
      </c>
      <c r="Q7" s="537">
        <f>J7/O7</f>
        <v>0.63893830720507638</v>
      </c>
      <c r="R7" s="218">
        <v>3578274</v>
      </c>
      <c r="S7" s="32">
        <f>R7/$E$1</f>
        <v>3166614.1592920357</v>
      </c>
      <c r="T7" s="218">
        <v>3487451.5</v>
      </c>
      <c r="U7" s="32">
        <f>T7/$E$1</f>
        <v>3086240.2654867261</v>
      </c>
      <c r="V7" s="247">
        <f t="shared" ref="V7:V16" si="2">R7/T7-1</f>
        <v>2.6042656077081006E-2</v>
      </c>
      <c r="W7" s="36">
        <v>777106.5</v>
      </c>
      <c r="X7" s="37">
        <f>W7/$E$1</f>
        <v>687704.8672566372</v>
      </c>
      <c r="Y7" s="37">
        <v>400829</v>
      </c>
      <c r="Z7" s="37">
        <f>Y7/$E$1</f>
        <v>354715.92920353985</v>
      </c>
      <c r="AA7" s="248">
        <f t="shared" ref="AA7:AA16" si="3">W7/Y7-1</f>
        <v>0.93874819436717405</v>
      </c>
      <c r="AB7" s="31">
        <v>1972930.9999999998</v>
      </c>
      <c r="AC7" s="32">
        <f>AB7/$E$1</f>
        <v>1745956.6371681415</v>
      </c>
      <c r="AD7" s="32">
        <v>1189925</v>
      </c>
      <c r="AE7" s="32">
        <f>AD7/$E$1</f>
        <v>1053030.9734513275</v>
      </c>
      <c r="AF7" s="247">
        <f t="shared" ref="AF7:AF16" si="4">AB7/AD7-1</f>
        <v>0.65802970775469016</v>
      </c>
      <c r="AG7" s="34">
        <v>1264099</v>
      </c>
      <c r="AH7" s="34">
        <v>836139</v>
      </c>
      <c r="AI7" s="33">
        <f t="shared" ref="AI7:AI16" si="5">AG7/AH7-1</f>
        <v>0.51182877488073153</v>
      </c>
      <c r="AJ7" s="218">
        <v>3496040</v>
      </c>
      <c r="AK7" s="32">
        <f>AJ7/$E$1</f>
        <v>3093840.7079646019</v>
      </c>
      <c r="AL7" s="218">
        <v>2728422</v>
      </c>
      <c r="AM7" s="32">
        <f>AL7/$E$1</f>
        <v>2414532.7433628319</v>
      </c>
      <c r="AN7" s="248">
        <f t="shared" ref="AN7:AN16" si="6">AJ7/AL7-1</f>
        <v>0.28134137607745435</v>
      </c>
    </row>
    <row r="8" spans="4:40" ht="13" x14ac:dyDescent="0.3">
      <c r="D8" s="30" t="s">
        <v>778</v>
      </c>
      <c r="E8" s="31"/>
      <c r="F8" s="32"/>
      <c r="G8" s="32"/>
      <c r="H8" s="32"/>
      <c r="I8" s="516"/>
      <c r="J8" s="530">
        <v>10135164.450000001</v>
      </c>
      <c r="K8" s="32">
        <f>J8/$E$1</f>
        <v>8969172.0796460193</v>
      </c>
      <c r="L8" s="32">
        <v>12952860.289999999</v>
      </c>
      <c r="M8" s="32">
        <f>L8/$E$1</f>
        <v>11462708.221238939</v>
      </c>
      <c r="N8" s="519">
        <f t="shared" si="1"/>
        <v>-0.21753464307612003</v>
      </c>
      <c r="O8" s="32">
        <v>13201601.001301654</v>
      </c>
      <c r="P8" s="32">
        <f>O8/$E$1</f>
        <v>11682832.744514739</v>
      </c>
      <c r="Q8" s="538">
        <f t="shared" ref="Q8:Q23" si="7">J8/O8</f>
        <v>0.76772237314252212</v>
      </c>
      <c r="R8" s="218">
        <v>2852723.35</v>
      </c>
      <c r="S8" s="32">
        <f>R8/$E$1</f>
        <v>2524533.9380530976</v>
      </c>
      <c r="T8" s="218">
        <v>2826656.31</v>
      </c>
      <c r="U8" s="32">
        <f>T8/$E$1</f>
        <v>2501465.7610619473</v>
      </c>
      <c r="V8" s="247">
        <f t="shared" si="2"/>
        <v>9.2218639768057997E-3</v>
      </c>
      <c r="W8" s="36"/>
      <c r="X8" s="37"/>
      <c r="Y8" s="37"/>
      <c r="Z8" s="37"/>
      <c r="AA8" s="248"/>
      <c r="AB8" s="31"/>
      <c r="AC8" s="32"/>
      <c r="AD8" s="32"/>
      <c r="AE8" s="32"/>
      <c r="AF8" s="248"/>
      <c r="AG8" s="34"/>
      <c r="AH8" s="34"/>
      <c r="AI8" s="33"/>
      <c r="AJ8" s="218"/>
      <c r="AK8" s="32"/>
      <c r="AL8" s="218"/>
      <c r="AM8" s="32"/>
      <c r="AN8" s="248"/>
    </row>
    <row r="9" spans="4:40" ht="13" x14ac:dyDescent="0.3">
      <c r="D9" s="30" t="s">
        <v>211</v>
      </c>
      <c r="E9" s="39">
        <v>4589188</v>
      </c>
      <c r="F9" s="32">
        <f>E9/$E$1</f>
        <v>4061228.318584071</v>
      </c>
      <c r="G9" s="40">
        <v>4026797</v>
      </c>
      <c r="H9" s="32">
        <f>G9/$E$1</f>
        <v>3563537.1681415932</v>
      </c>
      <c r="I9" s="516">
        <f t="shared" si="0"/>
        <v>0.13966211855228861</v>
      </c>
      <c r="J9" s="530">
        <v>5396622</v>
      </c>
      <c r="K9" s="32">
        <f>J9/$E$1</f>
        <v>4775771.6814159295</v>
      </c>
      <c r="L9" s="32">
        <v>6697736.7699999986</v>
      </c>
      <c r="M9" s="32">
        <f>L9/$E$1</f>
        <v>5927200.6814159285</v>
      </c>
      <c r="N9" s="520">
        <f t="shared" si="1"/>
        <v>-0.19426185511318605</v>
      </c>
      <c r="O9" s="32">
        <v>7851332.8950000005</v>
      </c>
      <c r="P9" s="32">
        <f>O9/$E$1</f>
        <v>6948082.2079646029</v>
      </c>
      <c r="Q9" s="538">
        <f t="shared" si="7"/>
        <v>0.68735106155500747</v>
      </c>
      <c r="R9" s="218">
        <v>1412423.73</v>
      </c>
      <c r="S9" s="32">
        <f>R9/$E$1</f>
        <v>1249932.504424779</v>
      </c>
      <c r="T9" s="218">
        <v>1507445.78</v>
      </c>
      <c r="U9" s="32">
        <f>T9/$E$1</f>
        <v>1334022.8141592923</v>
      </c>
      <c r="V9" s="248">
        <f t="shared" si="2"/>
        <v>-6.3035136162575611E-2</v>
      </c>
      <c r="W9" s="42">
        <f>W7-W19</f>
        <v>406459</v>
      </c>
      <c r="X9" s="37">
        <f>W9/$E$1</f>
        <v>359698.23008849559</v>
      </c>
      <c r="Y9" s="74">
        <f>Y7-Y19</f>
        <v>197392</v>
      </c>
      <c r="Z9" s="37">
        <f>Y9/$E$1</f>
        <v>174683.18584070797</v>
      </c>
      <c r="AA9" s="248">
        <f t="shared" si="3"/>
        <v>1.05914626732593</v>
      </c>
      <c r="AB9" s="39">
        <v>940871</v>
      </c>
      <c r="AC9" s="32">
        <f>AB9/$E$1</f>
        <v>832629.20353982307</v>
      </c>
      <c r="AD9" s="40">
        <v>635874.04</v>
      </c>
      <c r="AE9" s="32">
        <f>AD9/$E$1</f>
        <v>562720.38938053104</v>
      </c>
      <c r="AF9" s="248">
        <f t="shared" si="4"/>
        <v>0.47964996337953969</v>
      </c>
      <c r="AG9" s="34">
        <v>616151</v>
      </c>
      <c r="AH9" s="34">
        <v>356135</v>
      </c>
      <c r="AI9" s="33">
        <f t="shared" si="5"/>
        <v>0.7301051567523551</v>
      </c>
      <c r="AJ9" s="218">
        <v>1709126</v>
      </c>
      <c r="AK9" s="32">
        <f>AJ9/$E$1</f>
        <v>1512500.8849557524</v>
      </c>
      <c r="AL9" s="218">
        <v>1513346</v>
      </c>
      <c r="AM9" s="32">
        <f>AL9/$E$1</f>
        <v>1339244.2477876109</v>
      </c>
      <c r="AN9" s="248">
        <f t="shared" si="6"/>
        <v>0.1293689612289588</v>
      </c>
    </row>
    <row r="10" spans="4:40" ht="13" x14ac:dyDescent="0.3">
      <c r="D10" s="30" t="s">
        <v>48</v>
      </c>
      <c r="E10" s="39">
        <v>1084849</v>
      </c>
      <c r="F10" s="32">
        <f>E10</f>
        <v>1084849</v>
      </c>
      <c r="G10" s="40">
        <v>1352483</v>
      </c>
      <c r="H10" s="32">
        <f>G10</f>
        <v>1352483</v>
      </c>
      <c r="I10" s="516">
        <f t="shared" si="0"/>
        <v>-0.19788344844260519</v>
      </c>
      <c r="J10" s="530">
        <f>1749310-51481</f>
        <v>1697829</v>
      </c>
      <c r="K10" s="32">
        <f>J10</f>
        <v>1697829</v>
      </c>
      <c r="L10" s="32">
        <v>799113</v>
      </c>
      <c r="M10" s="32">
        <f>L10</f>
        <v>799113</v>
      </c>
      <c r="N10" s="520">
        <f t="shared" si="1"/>
        <v>1.1246419467584685</v>
      </c>
      <c r="O10" s="32">
        <v>1228657</v>
      </c>
      <c r="P10" s="32">
        <f>O10</f>
        <v>1228657</v>
      </c>
      <c r="Q10" s="538">
        <f t="shared" si="7"/>
        <v>1.381857589221402</v>
      </c>
      <c r="R10" s="219">
        <v>421317</v>
      </c>
      <c r="S10" s="37">
        <f>R10</f>
        <v>421317</v>
      </c>
      <c r="T10" s="219">
        <v>189099</v>
      </c>
      <c r="U10" s="37">
        <f>T10</f>
        <v>189099</v>
      </c>
      <c r="V10" s="248">
        <f t="shared" si="2"/>
        <v>1.2280234163057444</v>
      </c>
      <c r="W10" s="36">
        <v>220633</v>
      </c>
      <c r="X10" s="37">
        <f>W10</f>
        <v>220633</v>
      </c>
      <c r="Y10" s="37">
        <v>82077</v>
      </c>
      <c r="Z10" s="37">
        <f>Y10</f>
        <v>82077</v>
      </c>
      <c r="AA10" s="248">
        <f t="shared" si="3"/>
        <v>1.6881221292201225</v>
      </c>
      <c r="AB10" s="39">
        <v>405491</v>
      </c>
      <c r="AC10" s="32">
        <f>AB10</f>
        <v>405491</v>
      </c>
      <c r="AD10" s="40">
        <v>457837</v>
      </c>
      <c r="AE10" s="32">
        <f>AD10</f>
        <v>457837</v>
      </c>
      <c r="AF10" s="248">
        <f t="shared" si="4"/>
        <v>-0.11433326707976854</v>
      </c>
      <c r="AG10" s="34">
        <v>485354</v>
      </c>
      <c r="AH10" s="34">
        <v>727771</v>
      </c>
      <c r="AI10" s="33">
        <f t="shared" si="5"/>
        <v>-0.33309516317632881</v>
      </c>
      <c r="AJ10" s="219">
        <v>467429</v>
      </c>
      <c r="AK10" s="37">
        <f>AJ10</f>
        <v>467429</v>
      </c>
      <c r="AL10" s="219">
        <v>377818</v>
      </c>
      <c r="AM10" s="37">
        <f>AL10</f>
        <v>377818</v>
      </c>
      <c r="AN10" s="248">
        <f t="shared" si="6"/>
        <v>0.23718033550545492</v>
      </c>
    </row>
    <row r="11" spans="4:40" ht="13" outlineLevel="1" x14ac:dyDescent="0.3">
      <c r="D11" s="52" t="s">
        <v>212</v>
      </c>
      <c r="E11" s="67">
        <v>3262</v>
      </c>
      <c r="F11" s="43">
        <f>E11</f>
        <v>3262</v>
      </c>
      <c r="G11" s="34">
        <v>3232</v>
      </c>
      <c r="H11" s="43">
        <f>G11</f>
        <v>3232</v>
      </c>
      <c r="I11" s="516">
        <f t="shared" si="0"/>
        <v>9.2821782178218459E-3</v>
      </c>
      <c r="J11" s="45">
        <v>2494</v>
      </c>
      <c r="K11" s="34">
        <f>J11</f>
        <v>2494</v>
      </c>
      <c r="L11" s="34">
        <v>5201</v>
      </c>
      <c r="M11" s="34">
        <f>L11</f>
        <v>5201</v>
      </c>
      <c r="N11" s="520">
        <f t="shared" si="1"/>
        <v>-0.52047683137858103</v>
      </c>
      <c r="O11" s="34">
        <v>4597</v>
      </c>
      <c r="P11" s="34">
        <f>O11</f>
        <v>4597</v>
      </c>
      <c r="Q11" s="538">
        <f t="shared" si="7"/>
        <v>0.5425277354796606</v>
      </c>
      <c r="R11" s="220">
        <v>618</v>
      </c>
      <c r="S11" s="43">
        <f>R11</f>
        <v>618</v>
      </c>
      <c r="T11" s="220">
        <v>651</v>
      </c>
      <c r="U11" s="43">
        <f>T11</f>
        <v>651</v>
      </c>
      <c r="V11" s="248">
        <f t="shared" si="2"/>
        <v>-5.0691244239631339E-2</v>
      </c>
      <c r="W11" s="44">
        <v>228</v>
      </c>
      <c r="X11" s="43">
        <f>W11</f>
        <v>228</v>
      </c>
      <c r="Y11" s="43">
        <v>91</v>
      </c>
      <c r="Z11" s="43">
        <f>Y11</f>
        <v>91</v>
      </c>
      <c r="AA11" s="248">
        <f t="shared" si="3"/>
        <v>1.5054945054945055</v>
      </c>
      <c r="AB11" s="67">
        <v>397</v>
      </c>
      <c r="AC11" s="43">
        <f>AB11</f>
        <v>397</v>
      </c>
      <c r="AD11" s="34">
        <v>262</v>
      </c>
      <c r="AE11" s="43">
        <f>AD11</f>
        <v>262</v>
      </c>
      <c r="AF11" s="248">
        <f t="shared" si="4"/>
        <v>0.51526717557251911</v>
      </c>
      <c r="AG11" s="43">
        <v>197</v>
      </c>
      <c r="AH11" s="43">
        <v>142</v>
      </c>
      <c r="AI11" s="33">
        <f t="shared" si="5"/>
        <v>0.38732394366197176</v>
      </c>
      <c r="AJ11" s="220">
        <v>501</v>
      </c>
      <c r="AK11" s="43">
        <f>AJ11</f>
        <v>501</v>
      </c>
      <c r="AL11" s="220">
        <v>411</v>
      </c>
      <c r="AM11" s="43">
        <f>AL11</f>
        <v>411</v>
      </c>
      <c r="AN11" s="248">
        <f t="shared" si="6"/>
        <v>0.21897810218978098</v>
      </c>
    </row>
    <row r="12" spans="4:40" ht="13" outlineLevel="1" x14ac:dyDescent="0.3">
      <c r="D12" s="52" t="s">
        <v>213</v>
      </c>
      <c r="E12" s="67">
        <v>4089</v>
      </c>
      <c r="F12" s="34">
        <f>E12</f>
        <v>4089</v>
      </c>
      <c r="G12" s="34">
        <v>4171</v>
      </c>
      <c r="H12" s="34">
        <f>G12</f>
        <v>4171</v>
      </c>
      <c r="I12" s="516">
        <f t="shared" si="0"/>
        <v>-1.9659554063773621E-2</v>
      </c>
      <c r="J12" s="45">
        <v>3149</v>
      </c>
      <c r="K12" s="34">
        <f>J12</f>
        <v>3149</v>
      </c>
      <c r="L12" s="34">
        <v>6619</v>
      </c>
      <c r="M12" s="34">
        <f>L12</f>
        <v>6619</v>
      </c>
      <c r="N12" s="520">
        <f t="shared" si="1"/>
        <v>-0.52424837588759632</v>
      </c>
      <c r="O12" s="34">
        <v>5976.1</v>
      </c>
      <c r="P12" s="34">
        <f>O12</f>
        <v>5976.1</v>
      </c>
      <c r="Q12" s="538">
        <f t="shared" si="7"/>
        <v>0.5269322802496611</v>
      </c>
      <c r="R12" s="221">
        <v>768</v>
      </c>
      <c r="S12" s="34">
        <f>R12</f>
        <v>768</v>
      </c>
      <c r="T12" s="221">
        <v>839</v>
      </c>
      <c r="U12" s="34">
        <f>T12</f>
        <v>839</v>
      </c>
      <c r="V12" s="248">
        <f t="shared" si="2"/>
        <v>-8.4624553039332584E-2</v>
      </c>
      <c r="W12" s="45">
        <v>274</v>
      </c>
      <c r="X12" s="34">
        <f>W12</f>
        <v>274</v>
      </c>
      <c r="Y12" s="34">
        <v>105</v>
      </c>
      <c r="Z12" s="34">
        <f>Y12</f>
        <v>105</v>
      </c>
      <c r="AA12" s="248">
        <f t="shared" si="3"/>
        <v>1.6095238095238096</v>
      </c>
      <c r="AB12" s="67">
        <v>515</v>
      </c>
      <c r="AC12" s="34">
        <f>AB12</f>
        <v>515</v>
      </c>
      <c r="AD12" s="34">
        <v>325</v>
      </c>
      <c r="AE12" s="34">
        <f>AD12</f>
        <v>325</v>
      </c>
      <c r="AF12" s="248">
        <f t="shared" si="4"/>
        <v>0.58461538461538454</v>
      </c>
      <c r="AG12" s="43">
        <v>230</v>
      </c>
      <c r="AH12" s="43">
        <v>146</v>
      </c>
      <c r="AI12" s="33">
        <f t="shared" si="5"/>
        <v>0.57534246575342474</v>
      </c>
      <c r="AJ12" s="221">
        <v>631</v>
      </c>
      <c r="AK12" s="34">
        <f>AJ12</f>
        <v>631</v>
      </c>
      <c r="AL12" s="221">
        <v>492</v>
      </c>
      <c r="AM12" s="34">
        <f>AL12</f>
        <v>492</v>
      </c>
      <c r="AN12" s="248">
        <f t="shared" si="6"/>
        <v>0.28252032520325199</v>
      </c>
    </row>
    <row r="13" spans="4:40" ht="13" x14ac:dyDescent="0.3">
      <c r="D13" s="38" t="s">
        <v>214</v>
      </c>
      <c r="E13" s="46">
        <f>E11/E10</f>
        <v>3.006870080536554E-3</v>
      </c>
      <c r="F13" s="46">
        <f>F11/F10</f>
        <v>3.006870080536554E-3</v>
      </c>
      <c r="G13" s="46">
        <f>G11/G10</f>
        <v>2.3896788351498686E-3</v>
      </c>
      <c r="H13" s="46">
        <f>H11/H10</f>
        <v>2.3896788351498686E-3</v>
      </c>
      <c r="I13" s="516">
        <f t="shared" si="0"/>
        <v>0.25827372126680714</v>
      </c>
      <c r="J13" s="75">
        <f>J11/J10</f>
        <v>1.4689347395998066E-3</v>
      </c>
      <c r="K13" s="46">
        <f>K11/K10</f>
        <v>1.4689347395998066E-3</v>
      </c>
      <c r="L13" s="46">
        <f>L11/L10</f>
        <v>6.508466261967957E-3</v>
      </c>
      <c r="M13" s="46">
        <f>M11/M10</f>
        <v>6.508466261967957E-3</v>
      </c>
      <c r="N13" s="520">
        <f t="shared" si="1"/>
        <v>-0.77430400950474521</v>
      </c>
      <c r="O13" s="46">
        <f>O11/O10</f>
        <v>3.7414835873640895E-3</v>
      </c>
      <c r="P13" s="46">
        <f>P11/P10</f>
        <v>3.7414835873640895E-3</v>
      </c>
      <c r="Q13" s="538">
        <f t="shared" si="7"/>
        <v>0.39260755935446584</v>
      </c>
      <c r="R13" s="46">
        <f>R11/R10</f>
        <v>1.4668290147323748E-3</v>
      </c>
      <c r="S13" s="46">
        <f>S11/S10</f>
        <v>1.4668290147323748E-3</v>
      </c>
      <c r="T13" s="46">
        <f>T11/T10</f>
        <v>3.4426411562197578E-3</v>
      </c>
      <c r="U13" s="46">
        <f>U11/U10</f>
        <v>3.4426411562197578E-3</v>
      </c>
      <c r="V13" s="248">
        <f t="shared" si="2"/>
        <v>-0.57392334891416685</v>
      </c>
      <c r="W13" s="75">
        <f>W11/W10</f>
        <v>1.0333902906636814E-3</v>
      </c>
      <c r="X13" s="46">
        <f>X11/X10</f>
        <v>1.0333902906636814E-3</v>
      </c>
      <c r="Y13" s="46">
        <f>Y11/Y10</f>
        <v>1.1087149871462163E-3</v>
      </c>
      <c r="Z13" s="46">
        <f>Z11/Z10</f>
        <v>1.1087149871462163E-3</v>
      </c>
      <c r="AA13" s="248">
        <f t="shared" si="3"/>
        <v>-6.7938737507659552E-2</v>
      </c>
      <c r="AB13" s="46">
        <f>AB11/AB10</f>
        <v>9.7905995447494527E-4</v>
      </c>
      <c r="AC13" s="46">
        <f>AC11/AC10</f>
        <v>9.7905995447494527E-4</v>
      </c>
      <c r="AD13" s="46">
        <f>AD11/AD10</f>
        <v>5.7225606493140567E-4</v>
      </c>
      <c r="AE13" s="46">
        <f>AE11/AE10</f>
        <v>5.7225606493140567E-4</v>
      </c>
      <c r="AF13" s="248">
        <f t="shared" si="4"/>
        <v>0.71087737548452501</v>
      </c>
      <c r="AG13" s="46">
        <f>AG11/AG10</f>
        <v>4.058893096585173E-4</v>
      </c>
      <c r="AH13" s="46">
        <f>AH11/AH10</f>
        <v>1.9511632093062242E-4</v>
      </c>
      <c r="AI13" s="33">
        <f t="shared" si="5"/>
        <v>1.0802427378837236</v>
      </c>
      <c r="AJ13" s="46">
        <f>AJ11/AJ10</f>
        <v>1.0718205331718827E-3</v>
      </c>
      <c r="AK13" s="46">
        <f>AK11/AK10</f>
        <v>1.0718205331718827E-3</v>
      </c>
      <c r="AL13" s="46">
        <f>AL11/AL10</f>
        <v>1.0878253550651372E-3</v>
      </c>
      <c r="AM13" s="46">
        <f>AM11/AM10</f>
        <v>1.0878253550651372E-3</v>
      </c>
      <c r="AN13" s="248">
        <f t="shared" si="6"/>
        <v>-1.47126759077022E-2</v>
      </c>
    </row>
    <row r="14" spans="4:40" ht="13" x14ac:dyDescent="0.3">
      <c r="D14" s="38" t="s">
        <v>215</v>
      </c>
      <c r="E14" s="34">
        <f>E7/E11</f>
        <v>3471.8957694665851</v>
      </c>
      <c r="F14" s="34">
        <f>F7/F11</f>
        <v>3072.4741322713144</v>
      </c>
      <c r="G14" s="34">
        <f>G7/G11</f>
        <v>3131.1806930693069</v>
      </c>
      <c r="H14" s="34">
        <f>H7/H11</f>
        <v>2770.9563655480592</v>
      </c>
      <c r="I14" s="516">
        <f t="shared" si="0"/>
        <v>0.10881361051804905</v>
      </c>
      <c r="J14" s="45">
        <f>J7/J11</f>
        <v>5021.3471130713706</v>
      </c>
      <c r="K14" s="34">
        <f>K7/K11</f>
        <v>4443.6700115675849</v>
      </c>
      <c r="L14" s="34">
        <f>L7/L11</f>
        <v>4729.7220726783307</v>
      </c>
      <c r="M14" s="34">
        <f>M7/M11</f>
        <v>4185.5947545825948</v>
      </c>
      <c r="N14" s="520">
        <f t="shared" si="1"/>
        <v>6.1657965502378786E-2</v>
      </c>
      <c r="O14" s="34">
        <f>O7/O11</f>
        <v>4263.6668479443115</v>
      </c>
      <c r="P14" s="34">
        <f>P7/P11</f>
        <v>3773.156502605586</v>
      </c>
      <c r="Q14" s="538">
        <f t="shared" si="7"/>
        <v>1.177706254299012</v>
      </c>
      <c r="R14" s="34">
        <f>R7/R11</f>
        <v>5790.0873786407765</v>
      </c>
      <c r="S14" s="34">
        <f>S7/S11</f>
        <v>5123.9711315405111</v>
      </c>
      <c r="T14" s="34">
        <f>T7/T11</f>
        <v>5357.068356374808</v>
      </c>
      <c r="U14" s="34">
        <f>U7/U11</f>
        <v>4740.7684569688572</v>
      </c>
      <c r="V14" s="248">
        <f t="shared" si="2"/>
        <v>8.0831341595759998E-2</v>
      </c>
      <c r="W14" s="45">
        <f>W7/W11</f>
        <v>3408.3618421052633</v>
      </c>
      <c r="X14" s="34">
        <f>X7/X11</f>
        <v>3016.2494177922686</v>
      </c>
      <c r="Y14" s="34">
        <f>Y7/Y11</f>
        <v>4404.7142857142853</v>
      </c>
      <c r="Z14" s="34">
        <f>Z7/Z11</f>
        <v>3897.9772439949434</v>
      </c>
      <c r="AA14" s="248">
        <f t="shared" si="3"/>
        <v>-0.22620137856397871</v>
      </c>
      <c r="AB14" s="34">
        <f>AB7/AB11</f>
        <v>4969.5994962216619</v>
      </c>
      <c r="AC14" s="34">
        <f>AC7/AC11</f>
        <v>4397.8756603731526</v>
      </c>
      <c r="AD14" s="34">
        <f>AD7/AD11</f>
        <v>4541.698473282443</v>
      </c>
      <c r="AE14" s="34">
        <f>AE7/AE11</f>
        <v>4019.2021887455248</v>
      </c>
      <c r="AF14" s="248">
        <f t="shared" si="4"/>
        <v>9.421607917312036E-2</v>
      </c>
      <c r="AG14" s="34">
        <f>AG7/AG11</f>
        <v>6416.7461928934008</v>
      </c>
      <c r="AH14" s="34">
        <f>AH7/AH11</f>
        <v>5888.3028169014087</v>
      </c>
      <c r="AI14" s="33">
        <f t="shared" si="5"/>
        <v>8.9744599152608462E-2</v>
      </c>
      <c r="AJ14" s="34">
        <f>AJ7/AJ11</f>
        <v>6978.1237524950102</v>
      </c>
      <c r="AK14" s="34">
        <f>AK7/AK11</f>
        <v>6175.3307544203635</v>
      </c>
      <c r="AL14" s="34">
        <f>AL7/AL11</f>
        <v>6638.4963503649633</v>
      </c>
      <c r="AM14" s="34">
        <f>AM7/AM11</f>
        <v>5874.7755312964282</v>
      </c>
      <c r="AN14" s="248">
        <f t="shared" si="6"/>
        <v>5.1160290554558285E-2</v>
      </c>
    </row>
    <row r="15" spans="4:40" ht="13" x14ac:dyDescent="0.3">
      <c r="D15" s="38" t="s">
        <v>216</v>
      </c>
      <c r="E15" s="48">
        <f>E7/E12</f>
        <v>2769.7050623624359</v>
      </c>
      <c r="F15" s="48">
        <f>F7/F12</f>
        <v>2451.0664268694127</v>
      </c>
      <c r="G15" s="48">
        <f>G7/G12</f>
        <v>2426.2709182450253</v>
      </c>
      <c r="H15" s="48">
        <f>H7/H12</f>
        <v>2147.1424055265711</v>
      </c>
      <c r="I15" s="516">
        <f t="shared" si="0"/>
        <v>0.141548143504858</v>
      </c>
      <c r="J15" s="47">
        <f>J7/J12</f>
        <v>3976.8941568751975</v>
      </c>
      <c r="K15" s="48">
        <f>K7/K12</f>
        <v>3519.3753600665468</v>
      </c>
      <c r="L15" s="48">
        <f>L7/L12</f>
        <v>3716.4654026287958</v>
      </c>
      <c r="M15" s="48">
        <f>M7/M12</f>
        <v>3288.9074359546871</v>
      </c>
      <c r="N15" s="520">
        <f t="shared" si="1"/>
        <v>7.0074311484829233E-2</v>
      </c>
      <c r="O15" s="48">
        <f>O7/O12</f>
        <v>3279.7437291879319</v>
      </c>
      <c r="P15" s="48">
        <f>P7/P12</f>
        <v>2902.4280789273735</v>
      </c>
      <c r="Q15" s="538">
        <f t="shared" si="7"/>
        <v>1.2125624698914756</v>
      </c>
      <c r="R15" s="48">
        <f>R7/R12</f>
        <v>4659.2109375</v>
      </c>
      <c r="S15" s="48">
        <f>S7/S12</f>
        <v>4123.1955199115046</v>
      </c>
      <c r="T15" s="48">
        <f>T7/T12</f>
        <v>4156.6764004767583</v>
      </c>
      <c r="U15" s="48">
        <f>U7/U12</f>
        <v>3678.474690687397</v>
      </c>
      <c r="V15" s="248">
        <f t="shared" si="2"/>
        <v>0.12089816204254022</v>
      </c>
      <c r="W15" s="47">
        <f>W7/W12</f>
        <v>2836.155109489051</v>
      </c>
      <c r="X15" s="48">
        <f>X7/X12</f>
        <v>2509.871778308895</v>
      </c>
      <c r="Y15" s="48">
        <f>Y7/Y12</f>
        <v>3817.4190476190474</v>
      </c>
      <c r="Z15" s="48">
        <f>Z7/Z12</f>
        <v>3378.2469447956178</v>
      </c>
      <c r="AA15" s="248">
        <f t="shared" si="3"/>
        <v>-0.25704904960382013</v>
      </c>
      <c r="AB15" s="48">
        <f>AB7/AB12</f>
        <v>3830.9339805825239</v>
      </c>
      <c r="AC15" s="48">
        <f>AC7/AC12</f>
        <v>3390.2070624624107</v>
      </c>
      <c r="AD15" s="48">
        <f>AD7/AD12</f>
        <v>3661.3076923076924</v>
      </c>
      <c r="AE15" s="48">
        <f>AE7/AE12</f>
        <v>3240.0953029271618</v>
      </c>
      <c r="AF15" s="248">
        <f t="shared" si="4"/>
        <v>4.6329427223833708E-2</v>
      </c>
      <c r="AG15" s="48">
        <f>AG7/AG12</f>
        <v>5496.0826086956522</v>
      </c>
      <c r="AH15" s="48">
        <f>AH7/AH12</f>
        <v>5726.9794520547948</v>
      </c>
      <c r="AI15" s="33">
        <f t="shared" si="5"/>
        <v>-4.0317386380057441E-2</v>
      </c>
      <c r="AJ15" s="48">
        <f>AJ7/AJ12</f>
        <v>5540.4754358161645</v>
      </c>
      <c r="AK15" s="48">
        <f>AK7/AK12</f>
        <v>4903.0756069169602</v>
      </c>
      <c r="AL15" s="48">
        <f>AL7/AL12</f>
        <v>5545.5731707317073</v>
      </c>
      <c r="AM15" s="48">
        <f>AM7/AM12</f>
        <v>4907.5868767537231</v>
      </c>
      <c r="AN15" s="248">
        <f t="shared" si="6"/>
        <v>-9.1924400933840467E-4</v>
      </c>
    </row>
    <row r="16" spans="4:40" ht="13" x14ac:dyDescent="0.3">
      <c r="D16" s="38" t="s">
        <v>217</v>
      </c>
      <c r="E16" s="50">
        <f>ROUND(E12/E11,2)</f>
        <v>1.25</v>
      </c>
      <c r="F16" s="50">
        <f>ROUND(F12/F11,2)</f>
        <v>1.25</v>
      </c>
      <c r="G16" s="50">
        <f>ROUND(G12/G11,2)</f>
        <v>1.29</v>
      </c>
      <c r="H16" s="50">
        <f>ROUND(H12/H11,2)</f>
        <v>1.29</v>
      </c>
      <c r="I16" s="516">
        <f t="shared" si="0"/>
        <v>-3.1007751937984551E-2</v>
      </c>
      <c r="J16" s="49">
        <f>ROUND(J12/J11,2)</f>
        <v>1.26</v>
      </c>
      <c r="K16" s="50">
        <f>ROUND(K12/K11,2)</f>
        <v>1.26</v>
      </c>
      <c r="L16" s="50">
        <f>ROUND(L12/L11,2)</f>
        <v>1.27</v>
      </c>
      <c r="M16" s="50">
        <f>ROUND(M12/M11,2)</f>
        <v>1.27</v>
      </c>
      <c r="N16" s="520">
        <f t="shared" si="1"/>
        <v>-7.8740157480314821E-3</v>
      </c>
      <c r="O16" s="50">
        <f>ROUND(O12/O11,2)</f>
        <v>1.3</v>
      </c>
      <c r="P16" s="50">
        <f>ROUND(P12/P11,2)</f>
        <v>1.3</v>
      </c>
      <c r="Q16" s="538">
        <f t="shared" si="7"/>
        <v>0.96923076923076923</v>
      </c>
      <c r="R16" s="50">
        <f>ROUND(R12/R11,2)</f>
        <v>1.24</v>
      </c>
      <c r="S16" s="50">
        <f>ROUND(S12/S11,2)</f>
        <v>1.24</v>
      </c>
      <c r="T16" s="50">
        <f>ROUND(T12/T11,2)</f>
        <v>1.29</v>
      </c>
      <c r="U16" s="50">
        <f>ROUND(U12/U11,2)</f>
        <v>1.29</v>
      </c>
      <c r="V16" s="248">
        <f t="shared" si="2"/>
        <v>-3.8759689922480689E-2</v>
      </c>
      <c r="W16" s="49">
        <f>ROUND(W12/W11,2)</f>
        <v>1.2</v>
      </c>
      <c r="X16" s="50">
        <f>ROUND(X12/X11,2)</f>
        <v>1.2</v>
      </c>
      <c r="Y16" s="50">
        <f>ROUND(Y12/Y11,2)</f>
        <v>1.1499999999999999</v>
      </c>
      <c r="Z16" s="50">
        <f>ROUND(Z12/Z11,2)</f>
        <v>1.1499999999999999</v>
      </c>
      <c r="AA16" s="248">
        <f t="shared" si="3"/>
        <v>4.3478260869565188E-2</v>
      </c>
      <c r="AB16" s="50">
        <f>ROUND(AB12/AB11,2)</f>
        <v>1.3</v>
      </c>
      <c r="AC16" s="50">
        <f>ROUND(AC12/AC11,2)</f>
        <v>1.3</v>
      </c>
      <c r="AD16" s="50">
        <f>ROUND(AD12/AD11,2)</f>
        <v>1.24</v>
      </c>
      <c r="AE16" s="50">
        <f>ROUND(AE12/AE11,2)</f>
        <v>1.24</v>
      </c>
      <c r="AF16" s="248">
        <f t="shared" si="4"/>
        <v>4.8387096774193505E-2</v>
      </c>
      <c r="AG16" s="50">
        <f>ROUND(AG12/AG11,2)</f>
        <v>1.17</v>
      </c>
      <c r="AH16" s="50">
        <f>ROUND(AH12/AH11,2)</f>
        <v>1.03</v>
      </c>
      <c r="AI16" s="33">
        <f t="shared" si="5"/>
        <v>0.13592233009708732</v>
      </c>
      <c r="AJ16" s="50">
        <f>ROUND(AJ12/AJ11,2)</f>
        <v>1.26</v>
      </c>
      <c r="AK16" s="50">
        <f>ROUND(AK12/AK11,2)</f>
        <v>1.26</v>
      </c>
      <c r="AL16" s="50">
        <f>ROUND(AL12/AL11,2)</f>
        <v>1.2</v>
      </c>
      <c r="AM16" s="50">
        <f>ROUND(AM12/AM11,2)</f>
        <v>1.2</v>
      </c>
      <c r="AN16" s="248">
        <f t="shared" si="6"/>
        <v>5.0000000000000044E-2</v>
      </c>
    </row>
    <row r="17" spans="4:40" ht="13" x14ac:dyDescent="0.3">
      <c r="D17" s="38" t="s">
        <v>218</v>
      </c>
      <c r="E17" s="51">
        <f>1-E9/E7</f>
        <v>0.59478527943218218</v>
      </c>
      <c r="F17" s="51">
        <f>1-F9/F7</f>
        <v>0.59478527943218229</v>
      </c>
      <c r="G17" s="51">
        <f>1-G9/G7</f>
        <v>0.60209421445268252</v>
      </c>
      <c r="H17" s="51">
        <f>1-H9/H7</f>
        <v>0.60209421445268241</v>
      </c>
      <c r="I17" s="517">
        <f>(E17-G17)*100</f>
        <v>-0.73089350205003401</v>
      </c>
      <c r="J17" s="76">
        <f>1-J9/J7</f>
        <v>0.5690714120883591</v>
      </c>
      <c r="K17" s="51">
        <f>1-K9/K7</f>
        <v>0.5690714120883591</v>
      </c>
      <c r="L17" s="51">
        <f>1-L9/L7</f>
        <v>0.72772635846380007</v>
      </c>
      <c r="M17" s="51">
        <f>1-M9/M7</f>
        <v>0.72772635846380007</v>
      </c>
      <c r="N17" s="521">
        <f>(J17-L17)*100</f>
        <v>-15.865494637544098</v>
      </c>
      <c r="O17" s="51">
        <f>1-O9/O7</f>
        <v>0.59942335454660078</v>
      </c>
      <c r="P17" s="51">
        <f>1-P9/P7</f>
        <v>0.59942335454660078</v>
      </c>
      <c r="Q17" s="538">
        <f t="shared" si="7"/>
        <v>0.94936476493946476</v>
      </c>
      <c r="R17" s="51">
        <f>1-R9/R7</f>
        <v>0.60527792729120233</v>
      </c>
      <c r="S17" s="51">
        <f>1-S9/S7</f>
        <v>0.60527792729120233</v>
      </c>
      <c r="T17" s="51">
        <f>1-T9/T7</f>
        <v>0.5677514712390983</v>
      </c>
      <c r="U17" s="51">
        <f>1-U9/U7</f>
        <v>0.56775147123909819</v>
      </c>
      <c r="V17" s="246">
        <f>(R17-T17)*100</f>
        <v>3.7526456052104029</v>
      </c>
      <c r="W17" s="76">
        <f>1-W9/W7</f>
        <v>0.47695843491207446</v>
      </c>
      <c r="X17" s="51">
        <f>1-X9/X7</f>
        <v>0.47695843491207446</v>
      </c>
      <c r="Y17" s="51">
        <f>1-Y9/Y7</f>
        <v>0.50754062206077899</v>
      </c>
      <c r="Z17" s="51">
        <f>1-Z9/Z7</f>
        <v>0.50754062206077899</v>
      </c>
      <c r="AA17" s="246">
        <f>(W17-Y17)*100</f>
        <v>-3.0582187148704532</v>
      </c>
      <c r="AB17" s="51">
        <f>1-AB9/AB7</f>
        <v>0.52311003273809376</v>
      </c>
      <c r="AC17" s="51">
        <f>1-AC9/AC7</f>
        <v>0.52311003273809376</v>
      </c>
      <c r="AD17" s="51">
        <f>1-AD9/AD7</f>
        <v>0.46561838771351127</v>
      </c>
      <c r="AE17" s="51">
        <f>1-AE9/AE7</f>
        <v>0.46561838771351138</v>
      </c>
      <c r="AF17" s="246">
        <f>(AB17-AD17)*100</f>
        <v>5.7491645024582478</v>
      </c>
      <c r="AG17" s="51">
        <f>1-AG9/AG7</f>
        <v>0.51257694215405603</v>
      </c>
      <c r="AH17" s="51">
        <f>1-AH9/AH7</f>
        <v>0.57407201434211297</v>
      </c>
      <c r="AI17" s="33">
        <f>AG17-AH17</f>
        <v>-6.1495072188056943E-2</v>
      </c>
      <c r="AJ17" s="51">
        <f>1-AJ9/AJ7</f>
        <v>0.51112515875104403</v>
      </c>
      <c r="AK17" s="51">
        <f>1-AK9/AK7</f>
        <v>0.51112515875104392</v>
      </c>
      <c r="AL17" s="51">
        <f>1-AL9/AL7</f>
        <v>0.44534020030625765</v>
      </c>
      <c r="AM17" s="51">
        <f>1-AM9/AM7</f>
        <v>0.44534020030625754</v>
      </c>
      <c r="AN17" s="246">
        <f>(AJ17-AL17)*100</f>
        <v>6.5784958444786383</v>
      </c>
    </row>
    <row r="18" spans="4:40" ht="13" x14ac:dyDescent="0.3">
      <c r="D18" s="38" t="s">
        <v>779</v>
      </c>
      <c r="E18" s="51"/>
      <c r="F18" s="51"/>
      <c r="G18" s="51"/>
      <c r="H18" s="51"/>
      <c r="I18" s="517"/>
      <c r="J18" s="76">
        <f>(J19-(J7-J8))/J8</f>
        <v>0.46753483610224011</v>
      </c>
      <c r="K18" s="51">
        <f>(K19-(K7-K8))/K8</f>
        <v>0.46753483610224011</v>
      </c>
      <c r="L18" s="51">
        <f>(L19-(L7-L8))/L8</f>
        <v>0.48291445904262126</v>
      </c>
      <c r="M18" s="51">
        <f>(M19-(M7-M8))/M8</f>
        <v>0.4829144590426212</v>
      </c>
      <c r="N18" s="521">
        <f>(J18-L18)*100</f>
        <v>-1.5379622940381144</v>
      </c>
      <c r="O18" s="51">
        <f>(O19-(O7-O8))/O8</f>
        <v>0.40527418650011671</v>
      </c>
      <c r="P18" s="51">
        <f>(P19-(P7-P8))/P8</f>
        <v>0.40527418650011665</v>
      </c>
      <c r="Q18" s="538">
        <f t="shared" si="7"/>
        <v>1.1536259936508575</v>
      </c>
      <c r="R18" s="76">
        <f>(R19-(R7-R8))/R8</f>
        <v>0.50488583829904154</v>
      </c>
      <c r="S18" s="51">
        <f>(S19-(S7-S8))/S8</f>
        <v>0.50488583829904143</v>
      </c>
      <c r="T18" s="51">
        <f>(T19-(T7-T8))/T8</f>
        <v>0.46670354840557182</v>
      </c>
      <c r="U18" s="51">
        <f>(U19-(U7-U8))/U8</f>
        <v>0.46670354840557182</v>
      </c>
      <c r="V18" s="521">
        <f>(R18-T18)*100</f>
        <v>3.8182289893469723</v>
      </c>
      <c r="W18" s="76"/>
      <c r="X18" s="51"/>
      <c r="Y18" s="51"/>
      <c r="Z18" s="51"/>
      <c r="AA18" s="246"/>
      <c r="AB18" s="51"/>
      <c r="AC18" s="51"/>
      <c r="AD18" s="51"/>
      <c r="AE18" s="51"/>
      <c r="AF18" s="246"/>
      <c r="AG18" s="51"/>
      <c r="AH18" s="51"/>
      <c r="AI18" s="33"/>
      <c r="AJ18" s="51"/>
      <c r="AK18" s="51"/>
      <c r="AL18" s="51"/>
      <c r="AM18" s="51"/>
      <c r="AN18" s="246"/>
    </row>
    <row r="19" spans="4:40" ht="13" x14ac:dyDescent="0.3">
      <c r="D19" s="38" t="s">
        <v>219</v>
      </c>
      <c r="E19" s="32">
        <v>5384247.9199999999</v>
      </c>
      <c r="F19" s="32">
        <f>E19/$E$1</f>
        <v>4764821.1681415932</v>
      </c>
      <c r="G19" s="32">
        <v>2919351.19</v>
      </c>
      <c r="H19" s="32">
        <f>G19/$E$1</f>
        <v>2583496.6283185841</v>
      </c>
      <c r="I19" s="516">
        <f>E19/G19-1</f>
        <v>0.84433032190279245</v>
      </c>
      <c r="J19" s="530">
        <f>J7-J9</f>
        <v>7126617.6999999974</v>
      </c>
      <c r="K19" s="32">
        <f>J19/$E$1</f>
        <v>6306741.3274336262</v>
      </c>
      <c r="L19" s="32">
        <f>L7-L9</f>
        <v>17901547.73</v>
      </c>
      <c r="M19" s="32">
        <f>L19/$E$1</f>
        <v>15842077.637168143</v>
      </c>
      <c r="N19" s="516">
        <f>J19/L19-1</f>
        <v>-0.60189935487773627</v>
      </c>
      <c r="O19" s="32">
        <f>O7-O9</f>
        <v>11748743.605</v>
      </c>
      <c r="P19" s="32">
        <f>O19/$E$1</f>
        <v>10397118.234513275</v>
      </c>
      <c r="Q19" s="538">
        <f t="shared" si="7"/>
        <v>0.60658551583056675</v>
      </c>
      <c r="R19" s="32">
        <f>R7-R9</f>
        <v>2165850.27</v>
      </c>
      <c r="S19" s="32">
        <f>R19/$E$1</f>
        <v>1916681.6548672568</v>
      </c>
      <c r="T19" s="32">
        <f>T7-T9</f>
        <v>1980005.72</v>
      </c>
      <c r="U19" s="32">
        <f>T19/$E$1</f>
        <v>1752217.4513274338</v>
      </c>
      <c r="V19" s="248">
        <f>R19/T19-1</f>
        <v>9.3860612685502831E-2</v>
      </c>
      <c r="W19" s="36">
        <v>370647.5</v>
      </c>
      <c r="X19" s="37">
        <f>W19/$E$1</f>
        <v>328006.63716814161</v>
      </c>
      <c r="Y19" s="37">
        <v>203437</v>
      </c>
      <c r="Z19" s="37">
        <f>Y19/$E$1</f>
        <v>180032.74336283188</v>
      </c>
      <c r="AA19" s="248">
        <f>W19/Y19-1</f>
        <v>0.82192767294051716</v>
      </c>
      <c r="AB19" s="32">
        <f>AB7-AB9</f>
        <v>1032059.9999999998</v>
      </c>
      <c r="AC19" s="32">
        <f>AB19/$E$1</f>
        <v>913327.43362831848</v>
      </c>
      <c r="AD19" s="32">
        <f>AD7-AD9</f>
        <v>554050.96</v>
      </c>
      <c r="AE19" s="32">
        <f>AD19/$E$1</f>
        <v>490310.5840707965</v>
      </c>
      <c r="AF19" s="248">
        <f>AB19/AD19-1</f>
        <v>0.86275284136318398</v>
      </c>
      <c r="AG19" s="34">
        <f>AG7-AG9</f>
        <v>647948</v>
      </c>
      <c r="AH19" s="34">
        <f>AH7-AH9</f>
        <v>480004</v>
      </c>
      <c r="AI19" s="33">
        <f>AG19/AH19-1</f>
        <v>0.34988041766318623</v>
      </c>
      <c r="AJ19" s="32">
        <f>AJ7-AJ9</f>
        <v>1786914</v>
      </c>
      <c r="AK19" s="32">
        <f>AJ19/$E$1</f>
        <v>1581339.8230088498</v>
      </c>
      <c r="AL19" s="32">
        <f>AL7-AL9</f>
        <v>1215076</v>
      </c>
      <c r="AM19" s="32">
        <f>AL19/$E$1</f>
        <v>1075288.4955752213</v>
      </c>
      <c r="AN19" s="248">
        <f>AJ19/AL19-1</f>
        <v>0.47061912176686893</v>
      </c>
    </row>
    <row r="20" spans="4:40" ht="13" hidden="1" outlineLevel="1" x14ac:dyDescent="0.3">
      <c r="D20" s="52" t="s">
        <v>220</v>
      </c>
      <c r="E20" s="68">
        <v>0</v>
      </c>
      <c r="F20" s="32">
        <f>E20/$E$1</f>
        <v>0</v>
      </c>
      <c r="G20" s="32">
        <v>691643</v>
      </c>
      <c r="H20" s="32">
        <f>G20/$E$1</f>
        <v>612073.45132743369</v>
      </c>
      <c r="I20" s="33">
        <f>E20/G20-1</f>
        <v>-1</v>
      </c>
      <c r="J20" s="530">
        <v>61702.1</v>
      </c>
      <c r="K20" s="32">
        <f>J20/$E$1</f>
        <v>54603.628318584073</v>
      </c>
      <c r="L20" s="32">
        <v>2424202.09</v>
      </c>
      <c r="M20" s="32">
        <f>L20/$E$1</f>
        <v>2145311.5840707966</v>
      </c>
      <c r="N20" s="522">
        <f>J20/L20-1</f>
        <v>-0.97454746027382555</v>
      </c>
      <c r="O20" s="32">
        <f>N20/$E$1</f>
        <v>-0.86243138077329706</v>
      </c>
      <c r="P20" s="32">
        <f>O20/$E$1</f>
        <v>-0.76321361130380283</v>
      </c>
      <c r="Q20" s="538">
        <f t="shared" si="7"/>
        <v>-71544.358630219314</v>
      </c>
      <c r="R20" s="218">
        <v>0</v>
      </c>
      <c r="S20" s="32">
        <f>R20/$E$1</f>
        <v>0</v>
      </c>
      <c r="T20" s="218">
        <v>0</v>
      </c>
      <c r="U20" s="32">
        <f>T20/$E$1</f>
        <v>0</v>
      </c>
      <c r="V20" s="35" t="e">
        <f>R20/T20-1</f>
        <v>#DIV/0!</v>
      </c>
      <c r="W20" s="45">
        <v>0</v>
      </c>
      <c r="X20" s="34"/>
      <c r="Y20" s="34">
        <v>0</v>
      </c>
      <c r="Z20" s="34"/>
      <c r="AA20" s="35" t="e">
        <f>W20/Y20-1</f>
        <v>#DIV/0!</v>
      </c>
      <c r="AB20" s="68">
        <v>0</v>
      </c>
      <c r="AC20" s="32">
        <v>0</v>
      </c>
      <c r="AD20" s="32">
        <v>0</v>
      </c>
      <c r="AE20" s="32">
        <v>0</v>
      </c>
      <c r="AF20" s="35" t="e">
        <f>AB20/AD20-1</f>
        <v>#DIV/0!</v>
      </c>
      <c r="AG20" s="43"/>
      <c r="AH20" s="43"/>
      <c r="AI20" s="43"/>
      <c r="AJ20" s="218">
        <v>0</v>
      </c>
      <c r="AK20" s="32">
        <f>AJ20/$E$1</f>
        <v>0</v>
      </c>
      <c r="AL20" s="218">
        <v>0</v>
      </c>
      <c r="AM20" s="32">
        <f>AL20/$E$1</f>
        <v>0</v>
      </c>
      <c r="AN20" s="35" t="e">
        <f>AJ20/AL20-1</f>
        <v>#DIV/0!</v>
      </c>
    </row>
    <row r="21" spans="4:40" ht="13" hidden="1" outlineLevel="1" x14ac:dyDescent="0.3">
      <c r="D21" s="38" t="s">
        <v>221</v>
      </c>
      <c r="E21" s="51">
        <f>E20/E7</f>
        <v>0</v>
      </c>
      <c r="F21" s="51">
        <f>F20/F7</f>
        <v>0</v>
      </c>
      <c r="G21" s="51">
        <f>G20/G7</f>
        <v>6.8344332041894176E-2</v>
      </c>
      <c r="H21" s="51">
        <f>H20/H7</f>
        <v>6.8344332041894176E-2</v>
      </c>
      <c r="I21" s="517">
        <f>(E21-G21)*100</f>
        <v>-6.834433204189418</v>
      </c>
      <c r="J21" s="76">
        <f>J20/J7</f>
        <v>4.9270078252993919E-3</v>
      </c>
      <c r="K21" s="51">
        <f>K20/K7</f>
        <v>4.9270078252993919E-3</v>
      </c>
      <c r="L21" s="51">
        <f>L20/L7</f>
        <v>9.8547666701444089E-2</v>
      </c>
      <c r="M21" s="51">
        <f>M20/M7</f>
        <v>9.8547666701444103E-2</v>
      </c>
      <c r="N21" s="521">
        <f>(J21-L21)*100</f>
        <v>-9.3620658876144702</v>
      </c>
      <c r="O21" s="51">
        <f>O20/O7</f>
        <v>-4.4001429319589494E-8</v>
      </c>
      <c r="P21" s="51">
        <f>P20/P7</f>
        <v>-4.4001429319589494E-8</v>
      </c>
      <c r="Q21" s="538">
        <f t="shared" si="7"/>
        <v>-111973.81315760763</v>
      </c>
      <c r="R21" s="51">
        <f>R20/R7</f>
        <v>0</v>
      </c>
      <c r="S21" s="51">
        <f>S20/S7</f>
        <v>0</v>
      </c>
      <c r="T21" s="51">
        <f>T20/T7</f>
        <v>0</v>
      </c>
      <c r="U21" s="51">
        <f>U20/U7</f>
        <v>0</v>
      </c>
      <c r="V21" s="246">
        <f>(R21-T21)*100</f>
        <v>0</v>
      </c>
      <c r="W21" s="51">
        <f>W20/W7</f>
        <v>0</v>
      </c>
      <c r="X21" s="51">
        <f>X20/X7</f>
        <v>0</v>
      </c>
      <c r="Y21" s="51">
        <f>Y20/Y7</f>
        <v>0</v>
      </c>
      <c r="Z21" s="51">
        <f>Z20/Z7</f>
        <v>0</v>
      </c>
      <c r="AA21" s="246">
        <f>(W21-Y21)*100</f>
        <v>0</v>
      </c>
      <c r="AB21" s="51">
        <f>AB20/AB7</f>
        <v>0</v>
      </c>
      <c r="AC21" s="51">
        <f>AC20/AC7</f>
        <v>0</v>
      </c>
      <c r="AD21" s="51">
        <f>AD20/AD7</f>
        <v>0</v>
      </c>
      <c r="AE21" s="51">
        <f>AE20/AE7</f>
        <v>0</v>
      </c>
      <c r="AF21" s="246">
        <f>(AB21-AD21)*100</f>
        <v>0</v>
      </c>
      <c r="AJ21" s="51">
        <f>AJ20/AJ7</f>
        <v>0</v>
      </c>
      <c r="AK21" s="51">
        <f>AK20/AK7</f>
        <v>0</v>
      </c>
      <c r="AL21" s="51">
        <f>AL20/AL7</f>
        <v>0</v>
      </c>
      <c r="AM21" s="51">
        <f>AM20/AM7</f>
        <v>0</v>
      </c>
      <c r="AN21" s="246">
        <f>(AJ21-AL21)*100</f>
        <v>0</v>
      </c>
    </row>
    <row r="22" spans="4:40" ht="13" hidden="1" outlineLevel="1" x14ac:dyDescent="0.3">
      <c r="D22" s="54" t="s">
        <v>222</v>
      </c>
      <c r="E22" s="68">
        <v>7085063</v>
      </c>
      <c r="F22" s="32">
        <f>E22/$E$1</f>
        <v>6269967.256637169</v>
      </c>
      <c r="G22" s="32">
        <v>6690988</v>
      </c>
      <c r="H22" s="32">
        <f>G22/$E$1</f>
        <v>5921228.3185840715</v>
      </c>
      <c r="I22" s="516">
        <f>E22/G22-1</f>
        <v>5.8896384211120978E-2</v>
      </c>
      <c r="J22" s="530"/>
      <c r="K22" s="32">
        <f>J22/$E$1</f>
        <v>0</v>
      </c>
      <c r="L22" s="32"/>
      <c r="M22" s="32">
        <f>L22/$E$1</f>
        <v>0</v>
      </c>
      <c r="N22" s="520" t="e">
        <f>J22/L22-1</f>
        <v>#DIV/0!</v>
      </c>
      <c r="O22" s="32" t="e">
        <f>N22/$E$1</f>
        <v>#DIV/0!</v>
      </c>
      <c r="P22" s="32" t="e">
        <f>O22/$E$1</f>
        <v>#DIV/0!</v>
      </c>
      <c r="Q22" s="538" t="e">
        <f t="shared" si="7"/>
        <v>#DIV/0!</v>
      </c>
      <c r="R22" s="218">
        <v>2387703</v>
      </c>
      <c r="S22" s="32">
        <f>R22/$E$1</f>
        <v>2113011.5044247787</v>
      </c>
      <c r="T22" s="218">
        <v>1432008</v>
      </c>
      <c r="U22" s="32">
        <f>T22/$E$1</f>
        <v>1267263.7168141594</v>
      </c>
      <c r="V22" s="248">
        <f>R22/T22-1</f>
        <v>0.66738104815056909</v>
      </c>
      <c r="W22" s="37">
        <v>403529.48</v>
      </c>
      <c r="X22" s="37">
        <f>W22/$E$1</f>
        <v>357105.73451327434</v>
      </c>
      <c r="Y22" s="37">
        <v>20825</v>
      </c>
      <c r="Z22" s="37">
        <f>Y22/$E$1</f>
        <v>18429.203539823011</v>
      </c>
      <c r="AA22" s="248">
        <f>W22/Y22-1</f>
        <v>18.377165906362546</v>
      </c>
      <c r="AB22" s="68">
        <v>543440</v>
      </c>
      <c r="AC22" s="32">
        <f>AB22/$E$1</f>
        <v>480920.35398230091</v>
      </c>
      <c r="AD22" s="32">
        <v>148965</v>
      </c>
      <c r="AE22" s="32">
        <f>AD22/$E$1</f>
        <v>131827.4336283186</v>
      </c>
      <c r="AF22" s="248">
        <f>AB22/AD22-1</f>
        <v>2.6481052596247441</v>
      </c>
      <c r="AG22" s="34">
        <v>606933</v>
      </c>
      <c r="AH22" s="34">
        <v>278239</v>
      </c>
      <c r="AI22" s="33">
        <f>AG22/AH22-1</f>
        <v>1.1813369081976286</v>
      </c>
      <c r="AJ22" s="218">
        <v>1822588</v>
      </c>
      <c r="AK22" s="32">
        <f>AJ22/$E$1</f>
        <v>1612909.7345132744</v>
      </c>
      <c r="AL22" s="218">
        <v>701092</v>
      </c>
      <c r="AM22" s="32">
        <f>AL22/$E$1</f>
        <v>620435.39823008853</v>
      </c>
      <c r="AN22" s="248">
        <f>AJ22/AL22-1</f>
        <v>1.599641701802331</v>
      </c>
    </row>
    <row r="23" spans="4:40" ht="13" hidden="1" outlineLevel="1" x14ac:dyDescent="0.3">
      <c r="D23" s="187" t="s">
        <v>376</v>
      </c>
      <c r="E23" s="55">
        <f>E22/E7</f>
        <v>0.62559472912209846</v>
      </c>
      <c r="F23" s="55">
        <f>F22/F7</f>
        <v>0.62559472912209846</v>
      </c>
      <c r="G23" s="55">
        <f>G22/G7</f>
        <v>0.66116639011792122</v>
      </c>
      <c r="H23" s="55">
        <f>H22/H7</f>
        <v>0.66116639011792133</v>
      </c>
      <c r="I23" s="517">
        <f>(E23-G23)*100</f>
        <v>-3.5571660995822763</v>
      </c>
      <c r="J23" s="531">
        <f>J22/J7</f>
        <v>0</v>
      </c>
      <c r="K23" s="55">
        <f>K22/K7</f>
        <v>0</v>
      </c>
      <c r="L23" s="55">
        <f>L22/L7</f>
        <v>0</v>
      </c>
      <c r="M23" s="55">
        <f>M22/M7</f>
        <v>0</v>
      </c>
      <c r="N23" s="521">
        <f>(J23-L23)*100</f>
        <v>0</v>
      </c>
      <c r="O23" s="55" t="e">
        <f>O22/O7</f>
        <v>#DIV/0!</v>
      </c>
      <c r="P23" s="55" t="e">
        <f>P22/P7</f>
        <v>#DIV/0!</v>
      </c>
      <c r="Q23" s="538" t="e">
        <f t="shared" si="7"/>
        <v>#DIV/0!</v>
      </c>
      <c r="R23" s="55">
        <f>R22/R7</f>
        <v>0.66727785518940141</v>
      </c>
      <c r="S23" s="55">
        <f>S22/S7</f>
        <v>0.6672778551894013</v>
      </c>
      <c r="T23" s="55">
        <f>T22/T7</f>
        <v>0.41061732328033806</v>
      </c>
      <c r="U23" s="55">
        <f>U22/U7</f>
        <v>0.41061732328033806</v>
      </c>
      <c r="V23" s="246">
        <f>(R23-T23)*100</f>
        <v>25.666053190906336</v>
      </c>
      <c r="W23" s="55">
        <f>W22/W7</f>
        <v>0.51927178578483124</v>
      </c>
      <c r="X23" s="55">
        <f>X22/X7</f>
        <v>0.51927178578483124</v>
      </c>
      <c r="Y23" s="55">
        <f>Y22/Y7</f>
        <v>5.1954823628030909E-2</v>
      </c>
      <c r="Z23" s="55">
        <f>Z22/Z7</f>
        <v>5.1954823628030909E-2</v>
      </c>
      <c r="AA23" s="246">
        <f>(W23-Y23)*100</f>
        <v>46.731696215680039</v>
      </c>
      <c r="AB23" s="55">
        <f>AB22/AB7</f>
        <v>0.27544805165512631</v>
      </c>
      <c r="AC23" s="55">
        <f>AC22/AC7</f>
        <v>0.27544805165512631</v>
      </c>
      <c r="AD23" s="55">
        <f>AD22/AD7</f>
        <v>0.12518856230434691</v>
      </c>
      <c r="AE23" s="55">
        <f>AE22/AE7</f>
        <v>0.12518856230434691</v>
      </c>
      <c r="AF23" s="246">
        <f>(AB23-AD23)*100</f>
        <v>15.02594893507794</v>
      </c>
      <c r="AG23" s="55">
        <f>AG22/AG7</f>
        <v>0.48013090746848153</v>
      </c>
      <c r="AH23" s="55">
        <f>AH22/AH7</f>
        <v>0.33276644194326543</v>
      </c>
      <c r="AI23" s="33">
        <f>AG23-AH23</f>
        <v>0.14736446552521609</v>
      </c>
      <c r="AJ23" s="55">
        <f>AJ22/AJ7</f>
        <v>0.52132927540874818</v>
      </c>
      <c r="AK23" s="55">
        <f>AK22/AK7</f>
        <v>0.52132927540874818</v>
      </c>
      <c r="AL23" s="55">
        <f>AL22/AL7</f>
        <v>0.25695878423499002</v>
      </c>
      <c r="AM23" s="55">
        <f>AM22/AM7</f>
        <v>0.25695878423499008</v>
      </c>
      <c r="AN23" s="246">
        <f>(AJ23-AL23)*100</f>
        <v>26.437049117375818</v>
      </c>
    </row>
    <row r="24" spans="4:40" ht="13" collapsed="1" x14ac:dyDescent="0.3">
      <c r="D24" s="54" t="s">
        <v>654</v>
      </c>
      <c r="E24" s="68">
        <v>3136625</v>
      </c>
      <c r="F24" s="32">
        <f>E24/$E$1</f>
        <v>2775774.336283186</v>
      </c>
      <c r="G24" s="32">
        <v>2955211</v>
      </c>
      <c r="H24" s="32">
        <f>G24/$E$1</f>
        <v>2615230.9734513275</v>
      </c>
      <c r="I24" s="516">
        <f>E24/G24-1</f>
        <v>6.13878332207074E-2</v>
      </c>
      <c r="J24" s="530">
        <v>4309259</v>
      </c>
      <c r="K24" s="32">
        <f>J24/$E$1</f>
        <v>3813503.5398230092</v>
      </c>
      <c r="L24" s="32">
        <v>5705729.9700000025</v>
      </c>
      <c r="M24" s="32">
        <f>L24/$E$1</f>
        <v>5049318.5575221265</v>
      </c>
      <c r="N24" s="520">
        <f>J24/L24-1</f>
        <v>-0.24474887128245959</v>
      </c>
      <c r="O24" s="32">
        <f>N24/$E$1</f>
        <v>-0.2165919214889023</v>
      </c>
      <c r="P24" s="32">
        <f>O24/$E$1</f>
        <v>-0.19167426680433833</v>
      </c>
      <c r="Q24" s="248"/>
      <c r="R24" s="218">
        <v>964769</v>
      </c>
      <c r="S24" s="32">
        <f>R24/$E$1</f>
        <v>853777.8761061948</v>
      </c>
      <c r="T24" s="218">
        <v>1226011</v>
      </c>
      <c r="U24" s="32">
        <f>T24/$E$1</f>
        <v>1084965.4867256638</v>
      </c>
      <c r="V24" s="248">
        <f>R24/T24-1</f>
        <v>-0.21308291687431846</v>
      </c>
      <c r="W24" s="55"/>
      <c r="X24" s="55"/>
      <c r="Y24" s="55"/>
      <c r="Z24" s="55"/>
      <c r="AA24" s="248" t="e">
        <f>W24/Y24-1</f>
        <v>#DIV/0!</v>
      </c>
      <c r="AB24" s="68">
        <v>200688</v>
      </c>
      <c r="AC24" s="32">
        <f>AB24/$E$1</f>
        <v>177600.00000000003</v>
      </c>
      <c r="AD24" s="32">
        <v>74290</v>
      </c>
      <c r="AE24" s="32">
        <f>AD24/$E$1</f>
        <v>65743.362831858409</v>
      </c>
      <c r="AF24" s="248">
        <f>AB24/AD24-1</f>
        <v>1.7014133799973079</v>
      </c>
      <c r="AG24" s="55"/>
      <c r="AH24" s="55"/>
      <c r="AI24" s="33"/>
      <c r="AJ24" s="218">
        <v>793568</v>
      </c>
      <c r="AK24" s="32">
        <f>AJ24/$E$1</f>
        <v>702272.56637168152</v>
      </c>
      <c r="AL24" s="218">
        <v>333169</v>
      </c>
      <c r="AM24" s="32">
        <f>AL24/$E$1</f>
        <v>294839.82300884958</v>
      </c>
      <c r="AN24" s="248">
        <f>AJ24/AL24-1</f>
        <v>1.3818782659851307</v>
      </c>
    </row>
    <row r="25" spans="4:40" ht="13" x14ac:dyDescent="0.3">
      <c r="D25" s="397" t="s">
        <v>375</v>
      </c>
      <c r="E25" s="55">
        <f>E24/E9</f>
        <v>0.68348147864066588</v>
      </c>
      <c r="F25" s="55">
        <f>F24/F9</f>
        <v>0.68348147864066588</v>
      </c>
      <c r="G25" s="55">
        <f>G24/G9</f>
        <v>0.73388626245624</v>
      </c>
      <c r="H25" s="55">
        <f>H24/H9</f>
        <v>0.73388626245624</v>
      </c>
      <c r="I25" s="517">
        <f>(E25-G25)*100</f>
        <v>-5.0404783815574117</v>
      </c>
      <c r="J25" s="531">
        <f>J24/J9</f>
        <v>0.79851043856694059</v>
      </c>
      <c r="K25" s="55">
        <f>K24/K9</f>
        <v>0.79851043856694059</v>
      </c>
      <c r="L25" s="55">
        <f>L24/L9</f>
        <v>0.851889252434745</v>
      </c>
      <c r="M25" s="55">
        <f>M24/M9</f>
        <v>0.851889252434745</v>
      </c>
      <c r="N25" s="521">
        <f>(J25-L25)*100</f>
        <v>-5.3378813867804409</v>
      </c>
      <c r="O25" s="55">
        <v>0.75</v>
      </c>
      <c r="P25" s="55">
        <f>O25</f>
        <v>0.75</v>
      </c>
      <c r="Q25" s="246"/>
      <c r="R25" s="55">
        <f>R24/R9</f>
        <v>0.68305918366296492</v>
      </c>
      <c r="S25" s="55">
        <f>S24/S9</f>
        <v>0.68305918366296492</v>
      </c>
      <c r="T25" s="55">
        <f>T24/T9</f>
        <v>0.81330354714316822</v>
      </c>
      <c r="U25" s="55">
        <f>U24/U9</f>
        <v>0.8133035471431681</v>
      </c>
      <c r="V25" s="246">
        <f>(R25-T25)*100</f>
        <v>-13.02443634802033</v>
      </c>
      <c r="W25" s="37"/>
      <c r="X25" s="37"/>
      <c r="Y25" s="37"/>
      <c r="Z25" s="37"/>
      <c r="AA25" s="246">
        <f>(W25-Y25)*100</f>
        <v>0</v>
      </c>
      <c r="AB25" s="55">
        <f>AB24/AB9</f>
        <v>0.21330022925565778</v>
      </c>
      <c r="AC25" s="55">
        <f>AC24/AC9</f>
        <v>0.21330022925565781</v>
      </c>
      <c r="AD25" s="55">
        <f>AD24/AD9</f>
        <v>0.11683131457922075</v>
      </c>
      <c r="AE25" s="55">
        <f>AE24/AE9</f>
        <v>0.11683131457922075</v>
      </c>
      <c r="AF25" s="246">
        <f>(AB25-AD25)*100</f>
        <v>9.6468914676437034</v>
      </c>
      <c r="AG25" s="55"/>
      <c r="AH25" s="55"/>
      <c r="AI25" s="33"/>
      <c r="AJ25" s="55">
        <f>AJ24/AJ9</f>
        <v>0.46431216890972343</v>
      </c>
      <c r="AK25" s="55">
        <f>AK24/AK9</f>
        <v>0.46431216890972343</v>
      </c>
      <c r="AL25" s="55">
        <f>AL24/AL9</f>
        <v>0.22015388417453774</v>
      </c>
      <c r="AM25" s="55">
        <f>AM24/AM9</f>
        <v>0.22015388417453771</v>
      </c>
      <c r="AN25" s="246">
        <f>(AJ25-AL25)*100</f>
        <v>24.41582847351857</v>
      </c>
    </row>
    <row r="26" spans="4:40" ht="13.5" thickBot="1" x14ac:dyDescent="0.35">
      <c r="D26" s="398" t="s">
        <v>404</v>
      </c>
      <c r="E26" s="252">
        <f>E9/$E$3</f>
        <v>0.28052166456655891</v>
      </c>
      <c r="F26" s="254">
        <f>E26</f>
        <v>0.28052166456655891</v>
      </c>
      <c r="G26" s="252">
        <f>G9/$G$3</f>
        <v>0.23322436046129436</v>
      </c>
      <c r="H26" s="254">
        <f>G26</f>
        <v>0.23322436046129436</v>
      </c>
      <c r="I26" s="518">
        <f>(E26-G26)*100</f>
        <v>4.7297304105264555</v>
      </c>
      <c r="J26" s="532">
        <f>J9/$E$3</f>
        <v>0.3298773958435593</v>
      </c>
      <c r="K26" s="254">
        <f>J26</f>
        <v>0.3298773958435593</v>
      </c>
      <c r="L26" s="252">
        <f>L9/$G$3</f>
        <v>0.38792007015038132</v>
      </c>
      <c r="M26" s="254">
        <f>L26</f>
        <v>0.38792007015038132</v>
      </c>
      <c r="N26" s="523">
        <f>(J26-L26)*100</f>
        <v>-5.8042674306822031</v>
      </c>
      <c r="O26" s="254"/>
      <c r="P26" s="254"/>
      <c r="Q26" s="253"/>
      <c r="R26" s="252">
        <f>R9/$E$3</f>
        <v>8.6336723580055549E-2</v>
      </c>
      <c r="S26" s="254">
        <f>R26</f>
        <v>8.6336723580055549E-2</v>
      </c>
      <c r="T26" s="252">
        <f>T9/$G$3</f>
        <v>8.7308368902275696E-2</v>
      </c>
      <c r="U26" s="254">
        <f>T26</f>
        <v>8.7308368902275696E-2</v>
      </c>
      <c r="V26" s="253">
        <f>(R26-T26)*100</f>
        <v>-9.7164532222014655E-2</v>
      </c>
      <c r="W26" s="252">
        <f>W9/$E$3</f>
        <v>2.4845474898404461E-2</v>
      </c>
      <c r="X26" s="254">
        <f>W26</f>
        <v>2.4845474898404461E-2</v>
      </c>
      <c r="Y26" s="252">
        <f>Y9/$G$3</f>
        <v>1.1432566121454798E-2</v>
      </c>
      <c r="Z26" s="254">
        <f>Y26</f>
        <v>1.1432566121454798E-2</v>
      </c>
      <c r="AA26" s="253">
        <f>(W26-Y26)*100</f>
        <v>1.3412908776949664</v>
      </c>
      <c r="AB26" s="252">
        <f>AB9/$E$3</f>
        <v>5.7512287372494406E-2</v>
      </c>
      <c r="AC26" s="254">
        <f>AB26</f>
        <v>5.7512287372494406E-2</v>
      </c>
      <c r="AD26" s="252">
        <f>AD9/$G$3</f>
        <v>3.6828605045881257E-2</v>
      </c>
      <c r="AE26" s="254">
        <f>AD26</f>
        <v>3.6828605045881257E-2</v>
      </c>
      <c r="AF26" s="253">
        <f>(AB26-AD26)*100</f>
        <v>2.0683682326613146</v>
      </c>
      <c r="AG26" s="188"/>
      <c r="AH26" s="188"/>
      <c r="AI26" s="188"/>
      <c r="AJ26" s="252">
        <f>AJ9/$E$3</f>
        <v>0.10447313783483801</v>
      </c>
      <c r="AK26" s="254">
        <f>AJ26</f>
        <v>0.10447313783483801</v>
      </c>
      <c r="AL26" s="252">
        <f>AL9/$G$3</f>
        <v>8.7650098330424392E-2</v>
      </c>
      <c r="AM26" s="254">
        <f>AL26</f>
        <v>8.7650098330424392E-2</v>
      </c>
      <c r="AN26" s="253">
        <f>(AJ26-AL26)*100</f>
        <v>1.6823039504413619</v>
      </c>
    </row>
    <row r="27" spans="4:40" x14ac:dyDescent="0.3">
      <c r="AB27" s="96"/>
      <c r="AC27" s="96"/>
      <c r="AE27" s="115"/>
    </row>
    <row r="29" spans="4:40" x14ac:dyDescent="0.3">
      <c r="AE29" s="41"/>
    </row>
    <row r="30" spans="4:40" x14ac:dyDescent="0.3">
      <c r="AE30" s="74"/>
    </row>
    <row r="31" spans="4:40" x14ac:dyDescent="0.3">
      <c r="I31" s="41"/>
      <c r="J31" s="41"/>
      <c r="K31" s="41"/>
      <c r="L31" s="56"/>
      <c r="AA31" s="56"/>
      <c r="AB31" s="41"/>
      <c r="AC31" s="41"/>
      <c r="AE31" s="115"/>
    </row>
    <row r="32" spans="4:40" x14ac:dyDescent="0.3">
      <c r="E32" s="41"/>
      <c r="F32" s="41"/>
      <c r="G32" s="115"/>
      <c r="I32" s="41"/>
      <c r="J32" s="41"/>
      <c r="K32" s="115"/>
    </row>
    <row r="33" spans="5:11" x14ac:dyDescent="0.3">
      <c r="E33" s="41"/>
      <c r="F33" s="41"/>
      <c r="G33" s="115"/>
      <c r="I33" s="41"/>
      <c r="J33" s="41"/>
      <c r="K33" s="115"/>
    </row>
  </sheetData>
  <mergeCells count="14">
    <mergeCell ref="W3:AA3"/>
    <mergeCell ref="AB3:AF3"/>
    <mergeCell ref="AJ5:AN5"/>
    <mergeCell ref="D4:D6"/>
    <mergeCell ref="W4:AN4"/>
    <mergeCell ref="E5:I5"/>
    <mergeCell ref="W5:AA5"/>
    <mergeCell ref="AB5:AF5"/>
    <mergeCell ref="R5:V5"/>
    <mergeCell ref="AJ3:AN3"/>
    <mergeCell ref="E4:V4"/>
    <mergeCell ref="J3:Q3"/>
    <mergeCell ref="J5:Q5"/>
    <mergeCell ref="R3:V3"/>
  </mergeCells>
  <phoneticPr fontId="13" type="noConversion"/>
  <conditionalFormatting sqref="AI7:AI19">
    <cfRule type="expression" dxfId="157" priority="58">
      <formula>AI7&lt;0</formula>
    </cfRule>
    <cfRule type="expression" dxfId="156" priority="59">
      <formula>AI7=0</formula>
    </cfRule>
    <cfRule type="expression" dxfId="155" priority="60">
      <formula>AI7&gt;0</formula>
    </cfRule>
  </conditionalFormatting>
  <conditionalFormatting sqref="AI22:AI25">
    <cfRule type="expression" dxfId="154" priority="49">
      <formula>AI22&lt;0</formula>
    </cfRule>
    <cfRule type="expression" dxfId="153" priority="50">
      <formula>AI22=0</formula>
    </cfRule>
    <cfRule type="expression" dxfId="152" priority="51">
      <formula>AI22&gt;0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B60D-F9DA-4859-B66D-E3E43F12ABB6}">
  <dimension ref="D1:CS272"/>
  <sheetViews>
    <sheetView showGridLines="0" tabSelected="1" topLeftCell="D1" zoomScale="85" zoomScaleNormal="85" workbookViewId="0">
      <pane xSplit="2" ySplit="3" topLeftCell="AN197" activePane="bottomRight" state="frozen"/>
      <selection activeCell="D1" sqref="D1"/>
      <selection pane="topRight" activeCell="E1" sqref="E1"/>
      <selection pane="bottomLeft" activeCell="D5" sqref="D5"/>
      <selection pane="bottomRight" activeCell="AQ206" sqref="AQ206"/>
    </sheetView>
  </sheetViews>
  <sheetFormatPr defaultRowHeight="12.5" x14ac:dyDescent="0.3"/>
  <cols>
    <col min="1" max="3" width="8.6640625" style="28"/>
    <col min="4" max="4" width="5" style="28" customWidth="1"/>
    <col min="5" max="5" width="18.25" style="53" customWidth="1"/>
    <col min="6" max="40" width="9.75" style="28" customWidth="1"/>
    <col min="41" max="41" width="17.83203125" style="28" bestFit="1" customWidth="1"/>
    <col min="42" max="45" width="9.75" style="28" customWidth="1"/>
    <col min="46" max="46" width="9.75" style="28" customWidth="1" collapsed="1"/>
    <col min="47" max="64" width="9.75" style="28" customWidth="1"/>
    <col min="65" max="65" width="8.6640625" style="28"/>
    <col min="66" max="66" width="9.08203125" style="28" customWidth="1"/>
    <col min="67" max="67" width="8.25" style="53" customWidth="1"/>
    <col min="68" max="69" width="2.9140625" style="28" customWidth="1"/>
    <col min="70" max="70" width="8.6640625" style="28"/>
    <col min="71" max="71" width="8.6640625" style="28" hidden="1" customWidth="1"/>
    <col min="72" max="72" width="11" style="28" customWidth="1"/>
    <col min="73" max="77" width="8.6640625" style="28"/>
    <col min="78" max="78" width="8.6640625" style="28" customWidth="1"/>
    <col min="79" max="79" width="7.25" style="28" customWidth="1"/>
    <col min="80" max="81" width="8.6640625" style="28"/>
    <col min="82" max="84" width="8.08203125" style="28" customWidth="1"/>
    <col min="85" max="86" width="8.6640625" style="28"/>
    <col min="87" max="97" width="9.4140625" style="28" customWidth="1"/>
    <col min="98" max="98" width="9.4140625" style="28" bestFit="1" customWidth="1"/>
    <col min="99" max="16384" width="8.6640625" style="28"/>
  </cols>
  <sheetData>
    <row r="1" spans="5:97" s="223" customFormat="1" ht="20" x14ac:dyDescent="0.3">
      <c r="E1" s="57" t="s">
        <v>607</v>
      </c>
      <c r="F1" s="382">
        <v>1.1299999999999999</v>
      </c>
      <c r="G1" s="95" t="s">
        <v>608</v>
      </c>
      <c r="H1" s="382">
        <v>8.1960800000000003</v>
      </c>
      <c r="I1" s="96"/>
      <c r="J1" s="95" t="s">
        <v>332</v>
      </c>
      <c r="K1" s="383">
        <v>45992</v>
      </c>
      <c r="X1" s="225"/>
      <c r="Y1" s="226"/>
      <c r="AR1" s="681"/>
      <c r="BO1" s="224"/>
    </row>
    <row r="2" spans="5:97" s="99" customFormat="1" ht="17.5" customHeight="1" x14ac:dyDescent="0.3">
      <c r="E2" s="100" t="s">
        <v>333</v>
      </c>
      <c r="AG2" s="100"/>
      <c r="AO2" s="100" t="s">
        <v>617</v>
      </c>
      <c r="BO2" s="100"/>
    </row>
    <row r="3" spans="5:97" s="424" customFormat="1" ht="18" customHeight="1" thickBot="1" x14ac:dyDescent="0.35">
      <c r="E3" s="418" t="s">
        <v>266</v>
      </c>
      <c r="F3" s="419" t="s">
        <v>326</v>
      </c>
      <c r="G3" s="420" t="s">
        <v>327</v>
      </c>
      <c r="H3" s="420" t="s">
        <v>328</v>
      </c>
      <c r="I3" s="420" t="s">
        <v>212</v>
      </c>
      <c r="J3" s="420" t="s">
        <v>213</v>
      </c>
      <c r="K3" s="420" t="s">
        <v>214</v>
      </c>
      <c r="L3" s="420" t="s">
        <v>215</v>
      </c>
      <c r="M3" s="420" t="s">
        <v>216</v>
      </c>
      <c r="N3" s="420" t="s">
        <v>217</v>
      </c>
      <c r="O3" s="420" t="s">
        <v>218</v>
      </c>
      <c r="P3" s="420" t="s">
        <v>219</v>
      </c>
      <c r="Q3" s="421" t="s">
        <v>222</v>
      </c>
      <c r="R3" s="422" t="s">
        <v>420</v>
      </c>
      <c r="S3" s="421" t="s">
        <v>374</v>
      </c>
      <c r="T3" s="421" t="s">
        <v>421</v>
      </c>
      <c r="U3" s="421" t="s">
        <v>598</v>
      </c>
      <c r="V3" s="421" t="s">
        <v>599</v>
      </c>
      <c r="W3" s="421" t="s">
        <v>600</v>
      </c>
      <c r="X3" s="421" t="s">
        <v>601</v>
      </c>
      <c r="Y3" s="421" t="s">
        <v>602</v>
      </c>
      <c r="Z3" s="421" t="s">
        <v>603</v>
      </c>
      <c r="AA3" s="421" t="s">
        <v>604</v>
      </c>
      <c r="AB3" s="421" t="s">
        <v>605</v>
      </c>
      <c r="AC3" s="421" t="s">
        <v>606</v>
      </c>
      <c r="AD3" s="421" t="s">
        <v>609</v>
      </c>
      <c r="AE3" s="421" t="s">
        <v>610</v>
      </c>
      <c r="AF3" s="421" t="s">
        <v>611</v>
      </c>
      <c r="AG3" s="421" t="s">
        <v>612</v>
      </c>
      <c r="AH3" s="421" t="s">
        <v>613</v>
      </c>
      <c r="AI3" s="421" t="s">
        <v>614</v>
      </c>
      <c r="AJ3" s="421" t="s">
        <v>615</v>
      </c>
      <c r="AK3" s="421" t="s">
        <v>616</v>
      </c>
      <c r="AL3" s="423" t="s">
        <v>330</v>
      </c>
      <c r="AO3" s="418" t="s">
        <v>266</v>
      </c>
      <c r="AP3" s="419" t="s">
        <v>326</v>
      </c>
      <c r="AQ3" s="420" t="s">
        <v>327</v>
      </c>
      <c r="AR3" s="420" t="s">
        <v>328</v>
      </c>
      <c r="AS3" s="420" t="s">
        <v>212</v>
      </c>
      <c r="AT3" s="420" t="s">
        <v>213</v>
      </c>
      <c r="AU3" s="420" t="s">
        <v>214</v>
      </c>
      <c r="AV3" s="420" t="s">
        <v>215</v>
      </c>
      <c r="AW3" s="420" t="s">
        <v>216</v>
      </c>
      <c r="AX3" s="420" t="s">
        <v>217</v>
      </c>
      <c r="AY3" s="420" t="s">
        <v>218</v>
      </c>
      <c r="AZ3" s="420" t="s">
        <v>219</v>
      </c>
      <c r="BA3" s="421" t="s">
        <v>222</v>
      </c>
      <c r="BB3" s="422" t="s">
        <v>223</v>
      </c>
      <c r="BC3" s="421" t="s">
        <v>598</v>
      </c>
      <c r="BD3" s="421" t="s">
        <v>599</v>
      </c>
      <c r="BE3" s="421" t="s">
        <v>600</v>
      </c>
      <c r="BF3" s="421" t="s">
        <v>601</v>
      </c>
      <c r="BG3" s="421" t="s">
        <v>602</v>
      </c>
      <c r="BH3" s="421" t="s">
        <v>603</v>
      </c>
      <c r="BI3" s="421" t="s">
        <v>604</v>
      </c>
      <c r="BJ3" s="421" t="s">
        <v>605</v>
      </c>
      <c r="BK3" s="421" t="s">
        <v>606</v>
      </c>
      <c r="BL3" s="423" t="s">
        <v>330</v>
      </c>
    </row>
    <row r="4" spans="5:97" ht="14.5" customHeight="1" x14ac:dyDescent="0.3">
      <c r="E4" s="425" t="s">
        <v>570</v>
      </c>
      <c r="F4" s="426">
        <f>SUMIFS(PFS_SalesOverview_InTax[GMV],PFS_SalesOverview_InTax[DATE],"&lt;"&amp;EOMONTH($K$1,0)+1,PFS_SalesOverview_InTax[PayYear],PFS_SalesOverview_InTax[[#This Row],[DATE]])</f>
        <v>38241498.629999995</v>
      </c>
      <c r="G4" s="426">
        <f>SUMIFS(PFS_SalesOverview_InTax[NET],PFS_SalesOverview_InTax[DATE],"&lt;"&amp;EOMONTH($K$1,0)+1,PFS_SalesOverview_InTax[PayYear],PFS_SalesOverview_InTax[[#This Row],[DATE]])</f>
        <v>16357972.92</v>
      </c>
      <c r="H4" s="426">
        <f>SUMIFS(PFS_SalesOverview_InTax[UV],PFS_SalesOverview_InTax[DATE],"&lt;"&amp;EOMONTH($K$1,0)+1,PFS_SalesOverview_InTax[PayYear],PFS_SalesOverview_InTax[[#This Row],[DATE]])</f>
        <v>4035627</v>
      </c>
      <c r="I4" s="426">
        <f>SUMIFS(PFS_SalesOverview_InTax[Buyers],PFS_SalesOverview_InTax[DATE],"&lt;"&amp;EOMONTH($K$1,0)+1,PFS_SalesOverview_InTax[PayYear],PFS_SalesOverview_InTax[[#This Row],[DATE]])</f>
        <v>7235</v>
      </c>
      <c r="J4" s="426">
        <f>SUMIFS(PFS_SalesOverview_InTax[Units],PFS_SalesOverview_InTax[DATE],"&lt;"&amp;EOMONTH($K$1,0)+1,PFS_SalesOverview_InTax[PayYear],PFS_SalesOverview_InTax[[#This Row],[DATE]])</f>
        <v>10565</v>
      </c>
      <c r="K4" s="89">
        <f>PFS_SalesOverview_InTax[[#This Row],[Buyers]]/PFS_SalesOverview_InTax[[#This Row],[UV]]</f>
        <v>1.7927821376950842E-3</v>
      </c>
      <c r="L4" s="426">
        <f>PFS_SalesOverview_InTax[[#This Row],[GMV]]/PFS_SalesOverview_InTax[[#This Row],[Buyers]]</f>
        <v>5285.6252425708353</v>
      </c>
      <c r="M4" s="426">
        <f>PFS_SalesOverview_InTax[[#This Row],[GMV]]/PFS_SalesOverview_InTax[[#This Row],[Units]]</f>
        <v>3619.640192143871</v>
      </c>
      <c r="N4" s="427">
        <f>PFS_SalesOverview_InTax[[#This Row],[Units]]/PFS_SalesOverview_InTax[[#This Row],[Buyers]]</f>
        <v>1.4602626123013132</v>
      </c>
      <c r="O4" s="88">
        <f>PFS_SalesOverview_InTax[[#This Row],[RR]]/PFS_SalesOverview_InTax[[#This Row],[GMV]]</f>
        <v>0.57224550537966201</v>
      </c>
      <c r="P4" s="426">
        <f>SUMIFS(PFS_SalesOverview_InTax[RR],PFS_SalesOverview_InTax[PayYear],PFS_SalesOverview_InTax[[#This Row],[DATE]])</f>
        <v>21883525.710000001</v>
      </c>
      <c r="Q4" s="426">
        <f>SUMIFS(PFS_SalesOverview_InTax[MD GMV],PFS_SalesOverview_InTax[PayYear],PFS_SalesOverview_InTax[[#This Row],[DATE]])</f>
        <v>22303072.280000001</v>
      </c>
      <c r="R4" s="90">
        <f>PFS_SalesOverview_InTax[[#This Row],[MD GMV]]/PFS_SalesOverview_InTax[[#This Row],[GMV]]</f>
        <v>0.58321648154509065</v>
      </c>
      <c r="S4" s="426">
        <f>SUMIFS(PFS_SalesOverview_InTax[MD NET],PFS_SalesOverview_InTax[PayYear],PFS_SalesOverview_InTax[[#This Row],[DATE]])</f>
        <v>9432897.2899999991</v>
      </c>
      <c r="T4" s="90">
        <f>PFS_SalesOverview_InTax[[#This Row],[MD NET]]/PFS_SalesOverview_InTax[[#This Row],[NET]]</f>
        <v>0.57665441409717155</v>
      </c>
      <c r="U4" s="426">
        <f>SUMIFS(PFS_SalesOverview_InTax[GMV_TGT],PFS_SalesOverview_InTax[DATE],"&lt;"&amp;EOMONTH($K$1,0)+1,PFS_SalesOverview_InTax[PayYear],PFS_SalesOverview_InTax[[#This Row],[DATE]])</f>
        <v>45673116</v>
      </c>
      <c r="V4" s="426">
        <f>SUMIFS(PFS_SalesOverview_InTax[NET_TGT],PFS_SalesOverview_InTax[DATE],"&lt;"&amp;EOMONTH($K$1,0)+1,PFS_SalesOverview_InTax[PayYear],PFS_SalesOverview_InTax[[#This Row],[DATE]])</f>
        <v>19251771</v>
      </c>
      <c r="W4" s="426">
        <f>SUMIFS(PFS_SalesOverview_InTax[TRAFFIC_TGT],PFS_SalesOverview_InTax[DATE],"&lt;"&amp;EOMONTH($K$1,0)+1,PFS_SalesOverview_InTax[PayYear],PFS_SalesOverview_InTax[[#This Row],[DATE]])</f>
        <v>4867521</v>
      </c>
      <c r="X4" s="426">
        <f>SUMIFS(PFS_SalesOverview_InTax[BUYERS_TGT],PFS_SalesOverview_InTax[DATE],"&lt;"&amp;EOMONTH($K$1,0)+1,PFS_SalesOverview_InTax[PayYear],PFS_SalesOverview_InTax[[#This Row],[DATE]])</f>
        <v>10441</v>
      </c>
      <c r="Y4" s="384">
        <f>PFS_SalesOverview_InTax[[#This Row],[BUYERS_TGT]]/PFS_SalesOverview_InTax[[#This Row],[TRAFFIC_TGT]]</f>
        <v>2.1450344025223519E-3</v>
      </c>
      <c r="Z4" s="385">
        <f>PFS_SalesOverview_InTax[[#This Row],[GMV_TGT]]/PFS_SalesOverview_InTax[[#This Row],[BUYERS_TGT]]</f>
        <v>4374.4005363470933</v>
      </c>
      <c r="AA4" s="386">
        <f>PFS_SalesOverview_InTax[[#This Row],[UNITS_TGT]]/PFS_SalesOverview_InTax[[#This Row],[BUYERS_TGT]]</f>
        <v>1.2006512786131596</v>
      </c>
      <c r="AB4" s="90">
        <f>1-PFS_SalesOverview_InTax[[#This Row],[NET_TGT]]/PFS_SalesOverview_InTax[[#This Row],[GMV_TGT]]</f>
        <v>0.57848790084740442</v>
      </c>
      <c r="AC4" s="426">
        <f>SUMIFS(PFS_SalesOverview_InTax[UNITS_TGT],PFS_SalesOverview_InTax[DATE],"&lt;"&amp;EOMONTH($K$1,0)+1,PFS_SalesOverview_InTax[PayYear],PFS_SalesOverview_InTax[[#This Row],[DATE]])</f>
        <v>12536</v>
      </c>
      <c r="AD4" s="163">
        <f>PFS_SalesOverview_InTax[[#This Row],[GMV]]/PFS_SalesOverview_InTax[[#This Row],[GMV_TGT]]</f>
        <v>0.83728683258659198</v>
      </c>
      <c r="AE4" s="163">
        <f>PFS_SalesOverview_InTax[[#This Row],[NET]]/PFS_SalesOverview_InTax[[#This Row],[NET_TGT]]</f>
        <v>0.84968665584064962</v>
      </c>
      <c r="AF4" s="163">
        <f>PFS_SalesOverview_InTax[[#This Row],[UV]]/PFS_SalesOverview_InTax[[#This Row],[TRAFFIC_TGT]]</f>
        <v>0.82909287910622265</v>
      </c>
      <c r="AG4" s="163">
        <f>PFS_SalesOverview_InTax[[#This Row],[Buyers]]/PFS_SalesOverview_InTax[[#This Row],[BUYERS_TGT]]</f>
        <v>0.69294128914854902</v>
      </c>
      <c r="AH4" s="163">
        <f>PFS_SalesOverview_InTax[[#This Row],[CR]]/PFS_SalesOverview_InTax[[#This Row],[CVR_TGT]]</f>
        <v>0.83578246371570852</v>
      </c>
      <c r="AI4" s="163">
        <f>PFS_SalesOverview_InTax[[#This Row],[ATV]]/PFS_SalesOverview_InTax[[#This Row],[ATV_TGT]]</f>
        <v>1.2083084753333251</v>
      </c>
      <c r="AJ4" s="163">
        <f>PFS_SalesOverview_InTax[[#This Row],[UPT]]/PFS_SalesOverview_InTax[[#This Row],[UPT_TGT]]</f>
        <v>1.2162254255773781</v>
      </c>
      <c r="AK4" s="163">
        <f>PFS_SalesOverview_InTax[[#This Row],[RRC]]/PFS_SalesOverview_InTax[[#This Row],[RRC_TGT]]</f>
        <v>0.9892091166321747</v>
      </c>
      <c r="AL4" s="95" t="str">
        <f>_xlfn.XLOOKUP(PFS_SalesOverview_InTax[[#This Row],[DATE]],全店核心数据_bymonth[开始日期],全店核心数据_bymonth[jda日历.PayYear],"")</f>
        <v/>
      </c>
      <c r="AO4" s="428" t="str">
        <f>PFS_SalesOverview_InTax[[#This Row],[DATE]]</f>
        <v>BU26</v>
      </c>
      <c r="AP4" s="429">
        <f>PFS_SalesOverview_InTax[[#This Row],[GMV]]/$F$1</f>
        <v>33842034.185840704</v>
      </c>
      <c r="AQ4" s="429">
        <f>PFS_SalesOverview_ExclTax[[#This Row],[GMV]]-PFS_SalesOverview_ExclTax[[#This Row],[RR]]</f>
        <v>14476082.230088487</v>
      </c>
      <c r="AR4" s="429">
        <f>PFS_SalesOverview_InTax[[#This Row],[UV]]</f>
        <v>4035627</v>
      </c>
      <c r="AS4" s="431">
        <f>PFS_SalesOverview_InTax[[#This Row],[Buyers]]</f>
        <v>7235</v>
      </c>
      <c r="AT4" s="431">
        <f>PFS_SalesOverview_InTax[[#This Row],[Units]]</f>
        <v>10565</v>
      </c>
      <c r="AU4" s="92">
        <f>PFS_SalesOverview_ExclTax[[#This Row],[Buyers]]/PFS_SalesOverview_ExclTax[[#This Row],[UV]]</f>
        <v>1.7927821376950842E-3</v>
      </c>
      <c r="AV4" s="431">
        <f>PFS_SalesOverview_ExclTax[[#This Row],[GMV]]/PFS_SalesOverview_ExclTax[[#This Row],[Buyers]]</f>
        <v>4677.5444624520669</v>
      </c>
      <c r="AW4" s="431">
        <f>PFS_SalesOverview_ExclTax[[#This Row],[GMV]]/PFS_SalesOverview_ExclTax[[#This Row],[Units]]</f>
        <v>3203.2214089768768</v>
      </c>
      <c r="AX4" s="432">
        <f>PFS_SalesOverview_ExclTax[[#This Row],[Units]]/PFS_SalesOverview_ExclTax[[#This Row],[Buyers]]</f>
        <v>1.4602626123013132</v>
      </c>
      <c r="AY4" s="93">
        <f>PFS_SalesOverview_ExclTax[[#This Row],[RR]]/PFS_SalesOverview_ExclTax[[#This Row],[GMV]]</f>
        <v>0.57224550537966212</v>
      </c>
      <c r="AZ4" s="429">
        <f>PFS_SalesOverview_InTax[[#This Row],[RR]]/$F$1</f>
        <v>19365951.955752216</v>
      </c>
      <c r="BA4" s="429">
        <f>PFS_SalesOverview_InTax[[#This Row],[MD GMV]]/$F$1</f>
        <v>19737232.106194694</v>
      </c>
      <c r="BB4" s="94">
        <f>PFS_SalesOverview_ExclTax[[#This Row],[MD GMV]]/PFS_SalesOverview_ExclTax[[#This Row],[GMV]]</f>
        <v>0.58321648154509076</v>
      </c>
      <c r="BC4" s="429">
        <f>PFS_SalesOverview_InTax[[#This Row],[GMV_TGT]]/$F$1</f>
        <v>40418686.725663722</v>
      </c>
      <c r="BD4" s="429">
        <f>PFS_SalesOverview_InTax[[#This Row],[NET_TGT]]/$F$1</f>
        <v>17036965.486725666</v>
      </c>
      <c r="BE4" s="429">
        <f>PFS_SalesOverview_InTax[[#This Row],[TRAFFIC_TGT]]</f>
        <v>4867521</v>
      </c>
      <c r="BF4" s="431">
        <f>PFS_SalesOverview_InTax[[#This Row],[BUYERS_TGT]]</f>
        <v>10441</v>
      </c>
      <c r="BG4" s="104">
        <f>PFS_SalesOverview_InTax[[#This Row],[CVR_TGT]]</f>
        <v>2.1450344025223519E-3</v>
      </c>
      <c r="BH4" s="431">
        <f>PFS_SalesOverview_InTax[[#This Row],[ATV_TGT]]/$F$1</f>
        <v>3871.150917121322</v>
      </c>
      <c r="BI4" s="432">
        <f>PFS_SalesOverview_InTax[[#This Row],[UPT_TGT]]</f>
        <v>1.2006512786131596</v>
      </c>
      <c r="BJ4" s="94">
        <f>PFS_SalesOverview_InTax[[#This Row],[RRC_TGT]]</f>
        <v>0.57848790084740442</v>
      </c>
      <c r="BK4" s="431">
        <f>PFS_SalesOverview_InTax[[#This Row],[UNITS_TGT]]</f>
        <v>12536</v>
      </c>
      <c r="BL4" s="28" t="str">
        <f>_xlfn.XLOOKUP(PFS_SalesOverview_ExclTax[[#This Row],[DATE]],全店核心数据_bymonth[开始日期],全店核心数据_bymonth[jda日历.PayYear],"")</f>
        <v/>
      </c>
      <c r="BO4" s="28"/>
      <c r="CN4" s="53"/>
    </row>
    <row r="5" spans="5:97" ht="14.5" customHeight="1" x14ac:dyDescent="0.3">
      <c r="E5" s="425" t="s">
        <v>325</v>
      </c>
      <c r="F5" s="426">
        <f>SUMIFS(PFS_SalesOverview_InTax[GMV],PFS_SalesOverview_InTax[DATE],"&lt;"&amp;EDATE(EOMONTH($K$1,0)+1,-12),PFS_SalesOverview_InTax[PayYear],PFS_SalesOverview_InTax[[#This Row],[DATE]])</f>
        <v>49008971.5</v>
      </c>
      <c r="G5" s="426">
        <f>SUMIFS(PFS_SalesOverview_InTax[NET],PFS_SalesOverview_InTax[DATE],"&lt;"&amp;EDATE(EOMONTH($K$1,0)+1,-12),PFS_SalesOverview_InTax[PayYear],PFS_SalesOverview_InTax[[#This Row],[DATE]])</f>
        <v>17277262.229999997</v>
      </c>
      <c r="H5" s="426">
        <f>SUMIFS(PFS_SalesOverview_InTax[UV],PFS_SalesOverview_InTax[DATE],"&lt;"&amp;EDATE(EOMONTH($K$1,0)+1,-12),PFS_SalesOverview_InTax[PayYear],PFS_SalesOverview_InTax[[#This Row],[DATE]])</f>
        <v>3164908</v>
      </c>
      <c r="I5" s="426">
        <f>SUMIFS(PFS_SalesOverview_InTax[Buyers],PFS_SalesOverview_InTax[DATE],"&lt;"&amp;EDATE(EOMONTH($K$1,0)+1,-12),PFS_SalesOverview_InTax[PayYear],PFS_SalesOverview_InTax[[#This Row],[DATE]])</f>
        <v>9696</v>
      </c>
      <c r="J5" s="426">
        <f>SUMIFS(PFS_SalesOverview_InTax[Units],PFS_SalesOverview_InTax[DATE],"&lt;"&amp;EDATE(EOMONTH($K$1,0)+1,-12),PFS_SalesOverview_InTax[PayYear],PFS_SalesOverview_InTax[[#This Row],[DATE]])</f>
        <v>14163</v>
      </c>
      <c r="K5" s="89">
        <f>PFS_SalesOverview_InTax[[#This Row],[Buyers]]/PFS_SalesOverview_InTax[[#This Row],[UV]]</f>
        <v>3.0635961614050079E-3</v>
      </c>
      <c r="L5" s="426">
        <f>PFS_SalesOverview_InTax[[#This Row],[GMV]]/PFS_SalesOverview_InTax[[#This Row],[Buyers]]</f>
        <v>5054.5556415016499</v>
      </c>
      <c r="M5" s="426">
        <f>PFS_SalesOverview_InTax[[#This Row],[GMV]]/PFS_SalesOverview_InTax[[#This Row],[Units]]</f>
        <v>3460.3524323942665</v>
      </c>
      <c r="N5" s="427">
        <f>PFS_SalesOverview_InTax[[#This Row],[Units]]/PFS_SalesOverview_InTax[[#This Row],[Buyers]]</f>
        <v>1.4607054455445545</v>
      </c>
      <c r="O5" s="88">
        <f>PFS_SalesOverview_InTax[[#This Row],[RR]]/PFS_SalesOverview_InTax[[#This Row],[GMV]]</f>
        <v>0.64746735748168072</v>
      </c>
      <c r="P5" s="426">
        <f>SUMIFS(PFS_SalesOverview_InTax[RR],PFS_SalesOverview_InTax[DATE],"&lt;"&amp;EDATE(EOMONTH($K$1,0)+1,-12),PFS_SalesOverview_InTax[PayYear],PFS_SalesOverview_InTax[[#This Row],[DATE]])</f>
        <v>31731709.27</v>
      </c>
      <c r="Q5" s="426">
        <f>SUMIFS(PFS_SalesOverview_InTax[MD GMV],PFS_SalesOverview_InTax[DATE],"&lt;"&amp;EDATE(EOMONTH($K$1,0)+1,-12),PFS_SalesOverview_InTax[PayYear],PFS_SalesOverview_InTax[[#This Row],[DATE]])</f>
        <v>33201289.349999994</v>
      </c>
      <c r="R5" s="90">
        <f>PFS_SalesOverview_InTax[[#This Row],[MD GMV]]/PFS_SalesOverview_InTax[[#This Row],[GMV]]</f>
        <v>0.67745329750492711</v>
      </c>
      <c r="S5" s="426">
        <f>SUMIFS(PFS_SalesOverview_InTax[MD NET],PFS_SalesOverview_InTax[DATE],"&lt;"&amp;EDATE(EOMONTH($K$1,0)+1,-12),PFS_SalesOverview_InTax[PayYear],PFS_SalesOverview_InTax[[#This Row],[DATE]])</f>
        <v>11114830.529999999</v>
      </c>
      <c r="T5" s="90">
        <f>PFS_SalesOverview_InTax[[#This Row],[MD NET]]/PFS_SalesOverview_InTax[[#This Row],[NET]]</f>
        <v>0.64332128447413173</v>
      </c>
      <c r="U5" s="426">
        <f>SUMIFS(PFS_SalesOverview_InTax[GMV_TGT],PFS_SalesOverview_InTax[DATE],"&lt;"&amp;EDATE(EOMONTH($K$1,0)+1,-12),PFS_SalesOverview_InTax[PayYear],PFS_SalesOverview_InTax[[#This Row],[DATE]])</f>
        <v>50650479</v>
      </c>
      <c r="V5" s="426">
        <f>SUMIFS(PFS_SalesOverview_InTax[NET_TGT],PFS_SalesOverview_InTax[DATE],"&lt;"&amp;EDATE(EOMONTH($K$1,0)+1,-12),PFS_SalesOverview_InTax[PayYear],PFS_SalesOverview_InTax[[#This Row],[DATE]])</f>
        <v>19572320</v>
      </c>
      <c r="W5" s="426">
        <f>SUMIFS(PFS_SalesOverview_InTax[TRAFFIC_TGT],PFS_SalesOverview_InTax[DATE],"&lt;"&amp;EDATE(EOMONTH($K$1,0)+1,-12),PFS_SalesOverview_InTax[PayYear],PFS_SalesOverview_InTax[[#This Row],[DATE]])</f>
        <v>4156844</v>
      </c>
      <c r="X5" s="426">
        <f>SUMIFS(PFS_SalesOverview_InTax[BUYERS_TGT],PFS_SalesOverview_InTax[DATE],"&lt;"&amp;EDATE(EOMONTH($K$1,0)+1,-12),PFS_SalesOverview_InTax[PayYear],PFS_SalesOverview_InTax[[#This Row],[DATE]])</f>
        <v>11374</v>
      </c>
      <c r="Y5" s="384">
        <f>PFS_SalesOverview_InTax[[#This Row],[BUYERS_TGT]]/PFS_SalesOverview_InTax[[#This Row],[TRAFFIC_TGT]]</f>
        <v>2.7362104519678874E-3</v>
      </c>
      <c r="Z5" s="385">
        <f>PFS_SalesOverview_InTax[[#This Row],[GMV_TGT]]/PFS_SalesOverview_InTax[[#This Row],[BUYERS_TGT]]</f>
        <v>4453.1808510638302</v>
      </c>
      <c r="AA5" s="386">
        <f>PFS_SalesOverview_InTax[[#This Row],[UNITS_TGT]]/PFS_SalesOverview_InTax[[#This Row],[BUYERS_TGT]]</f>
        <v>1.304642166344294</v>
      </c>
      <c r="AB5" s="90">
        <f>1-PFS_SalesOverview_InTax[[#This Row],[NET_TGT]]/PFS_SalesOverview_InTax[[#This Row],[GMV_TGT]]</f>
        <v>0.61358075211884966</v>
      </c>
      <c r="AC5" s="426">
        <f>SUMIFS(PFS_SalesOverview_InTax[UNITS_TGT],PFS_SalesOverview_InTax[DATE],"&lt;"&amp;EDATE(EOMONTH($K$1,0)+1,-12),PFS_SalesOverview_InTax[PayYear],PFS_SalesOverview_InTax[[#This Row],[DATE]])</f>
        <v>14839</v>
      </c>
      <c r="AD5" s="163">
        <f>PFS_SalesOverview_InTax[[#This Row],[GMV]]/PFS_SalesOverview_InTax[[#This Row],[GMV_TGT]]</f>
        <v>0.96759147134620382</v>
      </c>
      <c r="AE5" s="163">
        <f>PFS_SalesOverview_InTax[[#This Row],[NET]]/PFS_SalesOverview_InTax[[#This Row],[NET_TGT]]</f>
        <v>0.88273961543649382</v>
      </c>
      <c r="AF5" s="163">
        <f>PFS_SalesOverview_InTax[[#This Row],[UV]]/PFS_SalesOverview_InTax[[#This Row],[TRAFFIC_TGT]]</f>
        <v>0.76137281071890117</v>
      </c>
      <c r="AG5" s="163">
        <f>PFS_SalesOverview_InTax[[#This Row],[Buyers]]/PFS_SalesOverview_InTax[[#This Row],[BUYERS_TGT]]</f>
        <v>0.85247054686126256</v>
      </c>
      <c r="AH5" s="163">
        <f>PFS_SalesOverview_InTax[[#This Row],[CR]]/PFS_SalesOverview_InTax[[#This Row],[CVR_TGT]]</f>
        <v>1.1196493161560961</v>
      </c>
      <c r="AI5" s="163">
        <f>PFS_SalesOverview_InTax[[#This Row],[ATV]]/PFS_SalesOverview_InTax[[#This Row],[ATV_TGT]]</f>
        <v>1.1350438732561594</v>
      </c>
      <c r="AJ5" s="163">
        <f>PFS_SalesOverview_InTax[[#This Row],[UPT]]/PFS_SalesOverview_InTax[[#This Row],[UPT_TGT]]</f>
        <v>1.1196215201579462</v>
      </c>
      <c r="AK5" s="163">
        <f>PFS_SalesOverview_InTax[[#This Row],[RRC]]/PFS_SalesOverview_InTax[[#This Row],[RRC_TGT]]</f>
        <v>1.0552276212149942</v>
      </c>
      <c r="AL5" s="95" t="str">
        <f>_xlfn.XLOOKUP(PFS_SalesOverview_InTax[[#This Row],[DATE]],全店核心数据_bymonth[开始日期],全店核心数据_bymonth[jda日历.PayYear],"")</f>
        <v/>
      </c>
      <c r="AO5" s="428" t="str">
        <f>PFS_SalesOverview_InTax[[#This Row],[DATE]]</f>
        <v>BU25</v>
      </c>
      <c r="AP5" s="429">
        <f>PFS_SalesOverview_InTax[[#This Row],[GMV]]/$F$1</f>
        <v>43370771.238938056</v>
      </c>
      <c r="AQ5" s="429">
        <f>PFS_SalesOverview_ExclTax[[#This Row],[GMV]]-PFS_SalesOverview_ExclTax[[#This Row],[RR]]</f>
        <v>15289612.592920355</v>
      </c>
      <c r="AR5" s="429">
        <f>PFS_SalesOverview_InTax[[#This Row],[UV]]</f>
        <v>3164908</v>
      </c>
      <c r="AS5" s="431">
        <f>PFS_SalesOverview_InTax[[#This Row],[Buyers]]</f>
        <v>9696</v>
      </c>
      <c r="AT5" s="431">
        <f>PFS_SalesOverview_InTax[[#This Row],[Units]]</f>
        <v>14163</v>
      </c>
      <c r="AU5" s="92">
        <f>PFS_SalesOverview_ExclTax[[#This Row],[Buyers]]/PFS_SalesOverview_ExclTax[[#This Row],[UV]]</f>
        <v>3.0635961614050079E-3</v>
      </c>
      <c r="AV5" s="431">
        <f>PFS_SalesOverview_ExclTax[[#This Row],[GMV]]/PFS_SalesOverview_ExclTax[[#This Row],[Buyers]]</f>
        <v>4473.0580898244698</v>
      </c>
      <c r="AW5" s="431">
        <f>PFS_SalesOverview_ExclTax[[#This Row],[GMV]]/PFS_SalesOverview_ExclTax[[#This Row],[Units]]</f>
        <v>3062.2587897294397</v>
      </c>
      <c r="AX5" s="432">
        <f>PFS_SalesOverview_ExclTax[[#This Row],[Units]]/PFS_SalesOverview_ExclTax[[#This Row],[Buyers]]</f>
        <v>1.4607054455445545</v>
      </c>
      <c r="AY5" s="93">
        <f>PFS_SalesOverview_ExclTax[[#This Row],[RR]]/PFS_SalesOverview_ExclTax[[#This Row],[GMV]]</f>
        <v>0.64746735748168072</v>
      </c>
      <c r="AZ5" s="429">
        <f>PFS_SalesOverview_InTax[[#This Row],[RR]]/$F$1</f>
        <v>28081158.6460177</v>
      </c>
      <c r="BA5" s="429">
        <f>PFS_SalesOverview_InTax[[#This Row],[MD GMV]]/$F$1</f>
        <v>29381671.991150439</v>
      </c>
      <c r="BB5" s="94">
        <f>PFS_SalesOverview_ExclTax[[#This Row],[MD GMV]]/PFS_SalesOverview_ExclTax[[#This Row],[GMV]]</f>
        <v>0.67745329750492711</v>
      </c>
      <c r="BC5" s="429">
        <f>PFS_SalesOverview_InTax[[#This Row],[GMV_TGT]]/$F$1</f>
        <v>44823432.743362837</v>
      </c>
      <c r="BD5" s="429">
        <f>PFS_SalesOverview_InTax[[#This Row],[NET_TGT]]/$F$1</f>
        <v>17320637.168141596</v>
      </c>
      <c r="BE5" s="429">
        <f>PFS_SalesOverview_InTax[[#This Row],[TRAFFIC_TGT]]</f>
        <v>4156844</v>
      </c>
      <c r="BF5" s="431">
        <f>PFS_SalesOverview_InTax[[#This Row],[BUYERS_TGT]]</f>
        <v>11374</v>
      </c>
      <c r="BG5" s="104">
        <f>PFS_SalesOverview_InTax[[#This Row],[CVR_TGT]]</f>
        <v>2.7362104519678874E-3</v>
      </c>
      <c r="BH5" s="431">
        <f>PFS_SalesOverview_InTax[[#This Row],[ATV_TGT]]/$F$1</f>
        <v>3940.8680097910005</v>
      </c>
      <c r="BI5" s="432">
        <f>PFS_SalesOverview_InTax[[#This Row],[UPT_TGT]]</f>
        <v>1.304642166344294</v>
      </c>
      <c r="BJ5" s="94">
        <f>PFS_SalesOverview_InTax[[#This Row],[RRC_TGT]]</f>
        <v>0.61358075211884966</v>
      </c>
      <c r="BK5" s="431">
        <f>PFS_SalesOverview_InTax[[#This Row],[UNITS_TGT]]</f>
        <v>14839</v>
      </c>
      <c r="BL5" s="28" t="str">
        <f>_xlfn.XLOOKUP(PFS_SalesOverview_ExclTax[[#This Row],[DATE]],全店核心数据_bymonth[开始日期],全店核心数据_bymonth[jda日历.PayYear],"")</f>
        <v/>
      </c>
      <c r="BO5" s="28"/>
      <c r="CN5" s="53"/>
    </row>
    <row r="6" spans="5:97" ht="14.5" customHeight="1" x14ac:dyDescent="0.3">
      <c r="E6" s="425" t="s">
        <v>232</v>
      </c>
      <c r="F6" s="256">
        <f>F4/F5-1</f>
        <v>-0.21970411825516489</v>
      </c>
      <c r="G6" s="256">
        <f t="shared" ref="G6:Q6" si="0">G4/G5-1</f>
        <v>-5.3208042904144603E-2</v>
      </c>
      <c r="H6" s="256">
        <f t="shared" si="0"/>
        <v>0.27511668585627125</v>
      </c>
      <c r="I6" s="256">
        <f t="shared" si="0"/>
        <v>-0.25381600660066006</v>
      </c>
      <c r="J6" s="256">
        <f t="shared" si="0"/>
        <v>-0.25404222269293231</v>
      </c>
      <c r="K6" s="256">
        <f t="shared" si="0"/>
        <v>-0.41481120773016988</v>
      </c>
      <c r="L6" s="256">
        <f t="shared" si="0"/>
        <v>4.5715116710148163E-2</v>
      </c>
      <c r="M6" s="256">
        <f t="shared" si="0"/>
        <v>4.6032235982214953E-2</v>
      </c>
      <c r="N6" s="256">
        <f t="shared" si="0"/>
        <v>-3.0316395724550027E-4</v>
      </c>
      <c r="O6" s="255">
        <f>(O4-O5)*100</f>
        <v>-7.5221852102018705</v>
      </c>
      <c r="P6" s="222">
        <f t="shared" si="0"/>
        <v>-0.31035780254392831</v>
      </c>
      <c r="Q6" s="222">
        <f t="shared" si="0"/>
        <v>-0.32824680255979255</v>
      </c>
      <c r="R6" s="255">
        <f>(R4-R5)*100</f>
        <v>-9.4236815959836466</v>
      </c>
      <c r="S6" s="222">
        <f>S4/S5-1</f>
        <v>-0.15132333646116336</v>
      </c>
      <c r="T6" s="255">
        <f>(T4-T5)*100</f>
        <v>-6.6666870376960174</v>
      </c>
      <c r="U6" s="256">
        <f>U4/U5-1</f>
        <v>-9.8268823874301359E-2</v>
      </c>
      <c r="V6" s="256">
        <f t="shared" ref="V6:AA6" si="1">V4/V5-1</f>
        <v>-1.6377670097362018E-2</v>
      </c>
      <c r="W6" s="256">
        <f t="shared" si="1"/>
        <v>0.17096552095772655</v>
      </c>
      <c r="X6" s="256">
        <f t="shared" si="1"/>
        <v>-8.2029189379286049E-2</v>
      </c>
      <c r="Y6" s="256">
        <f t="shared" si="1"/>
        <v>-0.21605649851251774</v>
      </c>
      <c r="Z6" s="256">
        <f t="shared" si="1"/>
        <v>-1.7690796163806533E-2</v>
      </c>
      <c r="AA6" s="256">
        <f t="shared" si="1"/>
        <v>-7.9708360203108231E-2</v>
      </c>
      <c r="AB6" s="255">
        <f>(AB4-AB5)*100</f>
        <v>-3.5092851271445236</v>
      </c>
      <c r="AC6" s="256">
        <f>AC4/AC5-1</f>
        <v>-0.15519913740818114</v>
      </c>
      <c r="AD6" s="387">
        <f>(AD4-AD5)*100</f>
        <v>-13.030463875961185</v>
      </c>
      <c r="AE6" s="387">
        <f t="shared" ref="AE6:AK6" si="2">(AE4-AE5)*100</f>
        <v>-3.30529595958442</v>
      </c>
      <c r="AF6" s="387">
        <f t="shared" si="2"/>
        <v>6.7720068387321479</v>
      </c>
      <c r="AG6" s="387">
        <f t="shared" si="2"/>
        <v>-15.952925771271353</v>
      </c>
      <c r="AH6" s="387">
        <f t="shared" si="2"/>
        <v>-28.386685244038755</v>
      </c>
      <c r="AI6" s="387">
        <f t="shared" si="2"/>
        <v>7.3264602077165675</v>
      </c>
      <c r="AJ6" s="387">
        <f t="shared" si="2"/>
        <v>9.6603905419431868</v>
      </c>
      <c r="AK6" s="255">
        <f t="shared" si="2"/>
        <v>-6.6018504582819553</v>
      </c>
      <c r="AL6" s="28" t="str">
        <f>_xlfn.XLOOKUP(PFS_SalesOverview_InTax[[#This Row],[DATE]],全店核心数据_bymonth[开始日期],全店核心数据_bymonth[jda日历.PayYear],"")</f>
        <v/>
      </c>
      <c r="AO6" s="428" t="str">
        <f>PFS_SalesOverview_InTax[[#This Row],[DATE]]</f>
        <v>YOY</v>
      </c>
      <c r="AP6" s="97">
        <f t="shared" ref="AP6:AX6" si="3">AP4/AP5-1</f>
        <v>-0.21970411825516489</v>
      </c>
      <c r="AQ6" s="97">
        <f t="shared" si="3"/>
        <v>-5.3208042904145381E-2</v>
      </c>
      <c r="AR6" s="97">
        <f t="shared" si="3"/>
        <v>0.27511668585627125</v>
      </c>
      <c r="AS6" s="97">
        <f t="shared" si="3"/>
        <v>-0.25381600660066006</v>
      </c>
      <c r="AT6" s="97">
        <f t="shared" si="3"/>
        <v>-0.25404222269293231</v>
      </c>
      <c r="AU6" s="97">
        <f t="shared" si="3"/>
        <v>-0.41481120773016988</v>
      </c>
      <c r="AV6" s="97">
        <f t="shared" si="3"/>
        <v>4.5715116710147941E-2</v>
      </c>
      <c r="AW6" s="97">
        <f t="shared" si="3"/>
        <v>4.6032235982214731E-2</v>
      </c>
      <c r="AX6" s="97">
        <f t="shared" si="3"/>
        <v>-3.0316395724550027E-4</v>
      </c>
      <c r="AY6" s="255">
        <f>(AY4-AY5)*100</f>
        <v>-7.5221852102018598</v>
      </c>
      <c r="AZ6" s="98">
        <f>AZ4/AZ5-1</f>
        <v>-0.3103578025439282</v>
      </c>
      <c r="BA6" s="98">
        <f>BA4/BA5-1</f>
        <v>-0.32824680255979255</v>
      </c>
      <c r="BB6" s="255">
        <f>(BB4-BB5)*100</f>
        <v>-9.4236815959836342</v>
      </c>
      <c r="BC6" s="255"/>
      <c r="BD6" s="255"/>
      <c r="BE6" s="255"/>
      <c r="BF6" s="255"/>
      <c r="BG6" s="255"/>
      <c r="BH6" s="255"/>
      <c r="BI6" s="255"/>
      <c r="BJ6" s="255"/>
      <c r="BK6" s="255"/>
      <c r="BL6" s="28" t="str">
        <f>_xlfn.XLOOKUP(PFS_SalesOverview_ExclTax[[#This Row],[DATE]],全店核心数据_bymonth[开始日期],全店核心数据_bymonth[jda日历.PayYear],"")</f>
        <v/>
      </c>
      <c r="BO6" s="28"/>
      <c r="CN6" s="53"/>
    </row>
    <row r="7" spans="5:97" ht="14.5" customHeight="1" x14ac:dyDescent="0.3">
      <c r="E7" s="428">
        <v>45992</v>
      </c>
      <c r="F7" s="431">
        <f>SUMIFS(全店核心数据_bymonth[支付金额],全店核心数据_bymonth[开始日期],$E7)</f>
        <v>5693669</v>
      </c>
      <c r="G7" s="431">
        <f>PFS_SalesOverview_InTax[[#This Row],[GMV]]-PFS_SalesOverview_InTax[[#This Row],[RR]]</f>
        <v>2418883.59</v>
      </c>
      <c r="H7" s="431">
        <f>SUMIFS(全店核心数据_bymonth[访客数],全店核心数据_bymonth[开始日期],$E7)</f>
        <v>533249</v>
      </c>
      <c r="I7" s="431">
        <f>SUMIFS(全店核心数据_bymonth[支付买家数],全店核心数据_bymonth[开始日期],$E7)</f>
        <v>914</v>
      </c>
      <c r="J7" s="431">
        <f>SUMIFS(全店核心数据_bymonth[支付件数],全店核心数据_bymonth[开始日期],$E7)</f>
        <v>1310</v>
      </c>
      <c r="K7" s="92">
        <f>PFS_SalesOverview_InTax[[#This Row],[Buyers]]/PFS_SalesOverview_InTax[[#This Row],[UV]]</f>
        <v>1.7140210295753017E-3</v>
      </c>
      <c r="L7" s="431">
        <f>PFS_SalesOverview_InTax[[#This Row],[GMV]]/PFS_SalesOverview_InTax[[#This Row],[Buyers]]</f>
        <v>6229.39715536105</v>
      </c>
      <c r="M7" s="431">
        <f>PFS_SalesOverview_InTax[[#This Row],[GMV]]/PFS_SalesOverview_InTax[[#This Row],[Units]]</f>
        <v>4346.312213740458</v>
      </c>
      <c r="N7" s="432">
        <f>PFS_SalesOverview_InTax[[#This Row],[Units]]/PFS_SalesOverview_InTax[[#This Row],[Buyers]]</f>
        <v>1.4332603938730852</v>
      </c>
      <c r="O7" s="93">
        <f>PFS_SalesOverview_InTax[[#This Row],[RR]]/PFS_SalesOverview_InTax[[#This Row],[GMV]]</f>
        <v>0.5751625902383859</v>
      </c>
      <c r="P7" s="431">
        <f>SUMIFS(全店核心数据_bymonth[支付退款金额],全店核心数据_bymonth[开始日期],$E7)</f>
        <v>3274785.41</v>
      </c>
      <c r="Q7" s="431">
        <f>SUMIFS(全店核心数据_bymonth[md_gmv],全店核心数据_bymonth[开始日期],$E7)</f>
        <v>3911164.93</v>
      </c>
      <c r="R7" s="94">
        <f>PFS_SalesOverview_InTax[[#This Row],[MD GMV]]/PFS_SalesOverview_InTax[[#This Row],[GMV]]</f>
        <v>0.6869322628343868</v>
      </c>
      <c r="S7" s="431">
        <f>SUMIFS(全店核心数据_bymonth[md_net],全店核心数据_bymonth[开始日期],$E7)</f>
        <v>1499568.55</v>
      </c>
      <c r="T7" s="94">
        <f>PFS_SalesOverview_InTax[[#This Row],[MD NET]]/PFS_SalesOverview_InTax[[#This Row],[NET]]</f>
        <v>0.61994242145402301</v>
      </c>
      <c r="U7" s="431">
        <f>SUMIFS(目标表[gmv],目标表[Date],"&gt;="&amp;$E7,目标表[Date],"&lt;="&amp;EOMONTH($E7,0),目标表[channel],"PFS")</f>
        <v>5800000</v>
      </c>
      <c r="V7" s="431">
        <f>SUMIFS(目标表[net],目标表[Date],"&gt;="&amp;$E7,目标表[Date],"&lt;="&amp;EOMONTH($E7,0),目标表[channel],"PFS")</f>
        <v>2900000</v>
      </c>
      <c r="W7" s="431">
        <f>SUMIFS(目标表[uv],目标表[Date],"&gt;="&amp;$E7,目标表[Date],"&lt;="&amp;EOMONTH($E7,0),目标表[channel],"PFS")</f>
        <v>394279</v>
      </c>
      <c r="X7" s="431">
        <f>SUMIFS(目标表[buyers],目标表[Date],"&gt;="&amp;$E7,目标表[Date],"&lt;="&amp;EOMONTH($E7,0),目标表[channel],"PFS")</f>
        <v>1133</v>
      </c>
      <c r="Y7" s="378">
        <f>PFS_SalesOverview_InTax[[#This Row],[BUYERS_TGT]]/PFS_SalesOverview_InTax[[#This Row],[TRAFFIC_TGT]]</f>
        <v>2.87359965912463E-3</v>
      </c>
      <c r="Z7" s="379">
        <f>PFS_SalesOverview_InTax[[#This Row],[GMV_TGT]]/PFS_SalesOverview_InTax[[#This Row],[BUYERS_TGT]]</f>
        <v>5119.1526919682256</v>
      </c>
      <c r="AA7" s="380">
        <f>PFS_SalesOverview_InTax[[#This Row],[UNITS_TGT]]/PFS_SalesOverview_InTax[[#This Row],[BUYERS_TGT]]</f>
        <v>1.3009708737864079</v>
      </c>
      <c r="AB7" s="94">
        <f>1-PFS_SalesOverview_InTax[[#This Row],[NET_TGT]]/PFS_SalesOverview_InTax[[#This Row],[GMV_TGT]]</f>
        <v>0.5</v>
      </c>
      <c r="AC7" s="381">
        <f>SUMIFS(目标表[gmv_units],目标表[Date],"&gt;="&amp;$E7,目标表[Date],"&lt;="&amp;EOMONTH($E7,0),目标表[channel],"PFS")</f>
        <v>1474</v>
      </c>
      <c r="AD7" s="105">
        <f>PFS_SalesOverview_InTax[[#This Row],[GMV]]/PFS_SalesOverview_InTax[[#This Row],[GMV_TGT]]</f>
        <v>0.98166706896551725</v>
      </c>
      <c r="AE7" s="105">
        <f>PFS_SalesOverview_InTax[[#This Row],[NET]]/PFS_SalesOverview_InTax[[#This Row],[NET_TGT]]</f>
        <v>0.83409778965517234</v>
      </c>
      <c r="AF7" s="105">
        <f>PFS_SalesOverview_InTax[[#This Row],[UV]]/PFS_SalesOverview_InTax[[#This Row],[TRAFFIC_TGT]]</f>
        <v>1.3524661470684465</v>
      </c>
      <c r="AG7" s="105">
        <f>PFS_SalesOverview_InTax[[#This Row],[Buyers]]/PFS_SalesOverview_InTax[[#This Row],[BUYERS_TGT]]</f>
        <v>0.80670785525154454</v>
      </c>
      <c r="AH7" s="105">
        <f>PFS_SalesOverview_InTax[[#This Row],[CR]]/PFS_SalesOverview_InTax[[#This Row],[CVR_TGT]]</f>
        <v>0.59647175420999154</v>
      </c>
      <c r="AI7" s="105">
        <f>PFS_SalesOverview_InTax[[#This Row],[ATV]]/PFS_SalesOverview_InTax[[#This Row],[ATV_TGT]]</f>
        <v>1.216880513280012</v>
      </c>
      <c r="AJ7" s="105">
        <f>PFS_SalesOverview_InTax[[#This Row],[UPT]]/PFS_SalesOverview_InTax[[#This Row],[UPT_TGT]]</f>
        <v>1.1016852281263267</v>
      </c>
      <c r="AK7" s="105">
        <f>PFS_SalesOverview_InTax[[#This Row],[RRC]]/PFS_SalesOverview_InTax[[#This Row],[RRC_TGT]]</f>
        <v>1.1503251804767718</v>
      </c>
      <c r="AL7" s="28" t="str">
        <f>_xlfn.XLOOKUP(PFS_SalesOverview_InTax[[#This Row],[DATE]],全店核心数据_bymonth[开始日期],全店核心数据_bymonth[jda日历.PayYear],"")</f>
        <v>BU26</v>
      </c>
      <c r="AO7" s="428">
        <f>PFS_SalesOverview_InTax[[#This Row],[DATE]]</f>
        <v>45992</v>
      </c>
      <c r="AP7" s="429">
        <f>PFS_SalesOverview_InTax[[#This Row],[GMV]]/$F$1</f>
        <v>5038645.1327433633</v>
      </c>
      <c r="AQ7" s="429">
        <f>PFS_SalesOverview_ExclTax[[#This Row],[GMV]]-PFS_SalesOverview_ExclTax[[#This Row],[RR]]</f>
        <v>2140604.9469026551</v>
      </c>
      <c r="AR7" s="430">
        <f>PFS_SalesOverview_InTax[[#This Row],[UV]]</f>
        <v>533249</v>
      </c>
      <c r="AS7" s="431">
        <f>PFS_SalesOverview_InTax[[#This Row],[Buyers]]</f>
        <v>914</v>
      </c>
      <c r="AT7" s="431">
        <f>PFS_SalesOverview_InTax[[#This Row],[Units]]</f>
        <v>1310</v>
      </c>
      <c r="AU7" s="92">
        <f>PFS_SalesOverview_ExclTax[[#This Row],[Buyers]]/PFS_SalesOverview_ExclTax[[#This Row],[UV]]</f>
        <v>1.7140210295753017E-3</v>
      </c>
      <c r="AV7" s="431">
        <f>PFS_SalesOverview_ExclTax[[#This Row],[GMV]]/PFS_SalesOverview_ExclTax[[#This Row],[Buyers]]</f>
        <v>5512.7408454522574</v>
      </c>
      <c r="AW7" s="431">
        <f>PFS_SalesOverview_ExclTax[[#This Row],[GMV]]/PFS_SalesOverview_ExclTax[[#This Row],[Units]]</f>
        <v>3846.2939944605828</v>
      </c>
      <c r="AX7" s="432">
        <f>PFS_SalesOverview_ExclTax[[#This Row],[Units]]/PFS_SalesOverview_ExclTax[[#This Row],[Buyers]]</f>
        <v>1.4332603938730852</v>
      </c>
      <c r="AY7" s="93">
        <f>PFS_SalesOverview_ExclTax[[#This Row],[RR]]/PFS_SalesOverview_ExclTax[[#This Row],[GMV]]</f>
        <v>0.57516259023838578</v>
      </c>
      <c r="AZ7" s="429">
        <f>PFS_SalesOverview_InTax[[#This Row],[RR]]/$F$1</f>
        <v>2898040.1858407082</v>
      </c>
      <c r="BA7" s="429">
        <f>PFS_SalesOverview_InTax[[#This Row],[MD GMV]]/$F$1</f>
        <v>3461207.9026548676</v>
      </c>
      <c r="BB7" s="94">
        <f>PFS_SalesOverview_ExclTax[[#This Row],[MD GMV]]/PFS_SalesOverview_ExclTax[[#This Row],[GMV]]</f>
        <v>0.6869322628343868</v>
      </c>
      <c r="BC7" s="429">
        <f>PFS_SalesOverview_InTax[[#This Row],[GMV_TGT]]/$F$1</f>
        <v>5132743.3628318589</v>
      </c>
      <c r="BD7" s="429">
        <f>PFS_SalesOverview_InTax[[#This Row],[NET_TGT]]/$F$1</f>
        <v>2566371.6814159295</v>
      </c>
      <c r="BE7" s="430">
        <f>PFS_SalesOverview_InTax[[#This Row],[TRAFFIC_TGT]]</f>
        <v>394279</v>
      </c>
      <c r="BF7" s="431">
        <f>PFS_SalesOverview_InTax[[#This Row],[BUYERS_TGT]]</f>
        <v>1133</v>
      </c>
      <c r="BG7" s="104">
        <f>PFS_SalesOverview_InTax[[#This Row],[CVR_TGT]]</f>
        <v>2.87359965912463E-3</v>
      </c>
      <c r="BH7" s="431">
        <f>PFS_SalesOverview_InTax[[#This Row],[ATV_TGT]]/$F$1</f>
        <v>4530.2236212108191</v>
      </c>
      <c r="BI7" s="432">
        <f>PFS_SalesOverview_InTax[[#This Row],[UPT_TGT]]</f>
        <v>1.3009708737864079</v>
      </c>
      <c r="BJ7" s="94">
        <f>PFS_SalesOverview_InTax[[#This Row],[RRC_TGT]]</f>
        <v>0.5</v>
      </c>
      <c r="BK7" s="431">
        <f>PFS_SalesOverview_InTax[[#This Row],[UNITS_TGT]]</f>
        <v>1474</v>
      </c>
      <c r="BL7" s="28" t="str">
        <f>_xlfn.XLOOKUP(PFS_SalesOverview_ExclTax[[#This Row],[DATE]],全店核心数据_bymonth[开始日期],全店核心数据_bymonth[jda日历.PayYear],"")</f>
        <v>BU26</v>
      </c>
      <c r="BO7" s="28"/>
      <c r="CO7" s="53"/>
    </row>
    <row r="8" spans="5:97" ht="14.5" customHeight="1" x14ac:dyDescent="0.3">
      <c r="E8" s="428">
        <v>45962</v>
      </c>
      <c r="F8" s="431">
        <f>SUMIFS(全店核心数据_bymonth[支付金额],全店核心数据_bymonth[开始日期],$E8)</f>
        <v>6161292.2300000004</v>
      </c>
      <c r="G8" s="431">
        <f>PFS_SalesOverview_InTax[[#This Row],[GMV]]-PFS_SalesOverview_InTax[[#This Row],[RR]]</f>
        <v>2660913.7700000005</v>
      </c>
      <c r="H8" s="431">
        <f>SUMIFS(全店核心数据_bymonth[访客数],全店核心数据_bymonth[开始日期],$E8)</f>
        <v>576288</v>
      </c>
      <c r="I8" s="431">
        <f>SUMIFS(全店核心数据_bymonth[支付买家数],全店核心数据_bymonth[开始日期],$E8)</f>
        <v>1059</v>
      </c>
      <c r="J8" s="431">
        <f>SUMIFS(全店核心数据_bymonth[支付件数],全店核心数据_bymonth[开始日期],$E8)</f>
        <v>1546</v>
      </c>
      <c r="K8" s="92">
        <f>PFS_SalesOverview_InTax[[#This Row],[Buyers]]/PFS_SalesOverview_InTax[[#This Row],[UV]]</f>
        <v>1.8376228552390472E-3</v>
      </c>
      <c r="L8" s="431">
        <f>PFS_SalesOverview_InTax[[#This Row],[GMV]]/PFS_SalesOverview_InTax[[#This Row],[Buyers]]</f>
        <v>5818.0285457979226</v>
      </c>
      <c r="M8" s="431">
        <f>PFS_SalesOverview_InTax[[#This Row],[GMV]]/PFS_SalesOverview_InTax[[#This Row],[Units]]</f>
        <v>3985.3119210866757</v>
      </c>
      <c r="N8" s="432">
        <f>PFS_SalesOverview_InTax[[#This Row],[Units]]/PFS_SalesOverview_InTax[[#This Row],[Buyers]]</f>
        <v>1.4598677998111427</v>
      </c>
      <c r="O8" s="93">
        <f>PFS_SalesOverview_InTax[[#This Row],[RR]]/PFS_SalesOverview_InTax[[#This Row],[GMV]]</f>
        <v>0.56812407678965093</v>
      </c>
      <c r="P8" s="431">
        <f>SUMIFS(全店核心数据_bymonth[支付退款金额],全店核心数据_bymonth[开始日期],$E8)</f>
        <v>3500378.46</v>
      </c>
      <c r="Q8" s="431">
        <f>SUMIFS(全店核心数据_bymonth[md_gmv],全店核心数据_bymonth[开始日期],$E8)</f>
        <v>4316592.16</v>
      </c>
      <c r="R8" s="94">
        <f>PFS_SalesOverview_InTax[[#This Row],[MD GMV]]/PFS_SalesOverview_InTax[[#This Row],[GMV]]</f>
        <v>0.70059851064717305</v>
      </c>
      <c r="S8" s="431">
        <f>SUMIFS(全店核心数据_bymonth[md_net],全店核心数据_bymonth[开始日期],$E8)</f>
        <v>1798700.55</v>
      </c>
      <c r="T8" s="94">
        <f>PFS_SalesOverview_InTax[[#This Row],[MD NET]]/PFS_SalesOverview_InTax[[#This Row],[NET]]</f>
        <v>0.67597100299871793</v>
      </c>
      <c r="U8" s="431">
        <f>SUMIFS(目标表[gmv],目标表[Date],"&gt;="&amp;$E8,目标表[Date],"&lt;="&amp;EOMONTH($E8,0),目标表[channel],"PFS")</f>
        <v>8840000</v>
      </c>
      <c r="V8" s="431">
        <f>SUMIFS(目标表[net],目标表[Date],"&gt;="&amp;$E8,目标表[Date],"&lt;="&amp;EOMONTH($E8,0),目标表[channel],"PFS")</f>
        <v>3690000</v>
      </c>
      <c r="W8" s="431">
        <f>SUMIFS(目标表[uv],目标表[Date],"&gt;="&amp;$E8,目标表[Date],"&lt;="&amp;EOMONTH($E8,0),目标表[channel],"PFS")</f>
        <v>645869</v>
      </c>
      <c r="X8" s="431">
        <f>SUMIFS(目标表[buyers],目标表[Date],"&gt;="&amp;$E8,目标表[Date],"&lt;="&amp;EOMONTH($E8,0),目标表[channel],"PFS")</f>
        <v>1894</v>
      </c>
      <c r="Y8" s="378">
        <f>PFS_SalesOverview_InTax[[#This Row],[BUYERS_TGT]]/PFS_SalesOverview_InTax[[#This Row],[TRAFFIC_TGT]]</f>
        <v>2.9324832125400043E-3</v>
      </c>
      <c r="Z8" s="379">
        <f>PFS_SalesOverview_InTax[[#This Row],[GMV_TGT]]/PFS_SalesOverview_InTax[[#This Row],[BUYERS_TGT]]</f>
        <v>4667.3706441393879</v>
      </c>
      <c r="AA8" s="380">
        <f>PFS_SalesOverview_InTax[[#This Row],[UNITS_TGT]]/PFS_SalesOverview_InTax[[#This Row],[BUYERS_TGT]]</f>
        <v>1.1473072861668427</v>
      </c>
      <c r="AB8" s="94">
        <f>1-PFS_SalesOverview_InTax[[#This Row],[NET_TGT]]/PFS_SalesOverview_InTax[[#This Row],[GMV_TGT]]</f>
        <v>0.58257918552036192</v>
      </c>
      <c r="AC8" s="381">
        <f>SUMIFS(目标表[gmv_units],目标表[Date],"&gt;="&amp;$E8,目标表[Date],"&lt;="&amp;EOMONTH($E8,0),目标表[channel],"PFS")</f>
        <v>2173</v>
      </c>
      <c r="AD8" s="105">
        <f>PFS_SalesOverview_InTax[[#This Row],[GMV]]/PFS_SalesOverview_InTax[[#This Row],[GMV_TGT]]</f>
        <v>0.6969787590497738</v>
      </c>
      <c r="AE8" s="105">
        <f>PFS_SalesOverview_InTax[[#This Row],[NET]]/PFS_SalesOverview_InTax[[#This Row],[NET_TGT]]</f>
        <v>0.7211148428184283</v>
      </c>
      <c r="AF8" s="105">
        <f>PFS_SalesOverview_InTax[[#This Row],[UV]]/PFS_SalesOverview_InTax[[#This Row],[TRAFFIC_TGT]]</f>
        <v>0.89226762702653328</v>
      </c>
      <c r="AG8" s="105">
        <f>PFS_SalesOverview_InTax[[#This Row],[Buyers]]/PFS_SalesOverview_InTax[[#This Row],[BUYERS_TGT]]</f>
        <v>0.55913410770855332</v>
      </c>
      <c r="AH8" s="105">
        <f>PFS_SalesOverview_InTax[[#This Row],[CR]]/PFS_SalesOverview_InTax[[#This Row],[CVR_TGT]]</f>
        <v>0.62664394714381633</v>
      </c>
      <c r="AI8" s="105">
        <f>PFS_SalesOverview_InTax[[#This Row],[ATV]]/PFS_SalesOverview_InTax[[#This Row],[ATV_TGT]]</f>
        <v>1.246532360377971</v>
      </c>
      <c r="AJ8" s="105">
        <f>PFS_SalesOverview_InTax[[#This Row],[UPT]]/PFS_SalesOverview_InTax[[#This Row],[UPT_TGT]]</f>
        <v>1.2724296423572499</v>
      </c>
      <c r="AK8" s="105">
        <f>PFS_SalesOverview_InTax[[#This Row],[RRC]]/PFS_SalesOverview_InTax[[#This Row],[RRC_TGT]]</f>
        <v>0.97518773569330386</v>
      </c>
      <c r="AL8" s="28" t="str">
        <f>_xlfn.XLOOKUP(PFS_SalesOverview_InTax[[#This Row],[DATE]],全店核心数据_bymonth[开始日期],全店核心数据_bymonth[jda日历.PayYear],"")</f>
        <v>BU26</v>
      </c>
      <c r="AO8" s="428">
        <f>PFS_SalesOverview_InTax[[#This Row],[DATE]]</f>
        <v>45962</v>
      </c>
      <c r="AP8" s="429">
        <f>PFS_SalesOverview_InTax[[#This Row],[GMV]]/$F$1</f>
        <v>5452471.0000000009</v>
      </c>
      <c r="AQ8" s="429">
        <f>PFS_SalesOverview_ExclTax[[#This Row],[GMV]]-PFS_SalesOverview_ExclTax[[#This Row],[RR]]</f>
        <v>2354790.9469026555</v>
      </c>
      <c r="AR8" s="430">
        <f>PFS_SalesOverview_InTax[[#This Row],[UV]]</f>
        <v>576288</v>
      </c>
      <c r="AS8" s="431">
        <f>PFS_SalesOverview_InTax[[#This Row],[Buyers]]</f>
        <v>1059</v>
      </c>
      <c r="AT8" s="431">
        <f>PFS_SalesOverview_InTax[[#This Row],[Units]]</f>
        <v>1546</v>
      </c>
      <c r="AU8" s="92">
        <f>PFS_SalesOverview_ExclTax[[#This Row],[Buyers]]/PFS_SalesOverview_ExclTax[[#This Row],[UV]]</f>
        <v>1.8376228552390472E-3</v>
      </c>
      <c r="AV8" s="431">
        <f>PFS_SalesOverview_ExclTax[[#This Row],[GMV]]/PFS_SalesOverview_ExclTax[[#This Row],[Buyers]]</f>
        <v>5148.6978281397551</v>
      </c>
      <c r="AW8" s="431">
        <f>PFS_SalesOverview_ExclTax[[#This Row],[GMV]]/PFS_SalesOverview_ExclTax[[#This Row],[Units]]</f>
        <v>3526.8247089262618</v>
      </c>
      <c r="AX8" s="432">
        <f>PFS_SalesOverview_ExclTax[[#This Row],[Units]]/PFS_SalesOverview_ExclTax[[#This Row],[Buyers]]</f>
        <v>1.4598677998111427</v>
      </c>
      <c r="AY8" s="93">
        <f>PFS_SalesOverview_ExclTax[[#This Row],[RR]]/PFS_SalesOverview_ExclTax[[#This Row],[GMV]]</f>
        <v>0.56812407678965093</v>
      </c>
      <c r="AZ8" s="429">
        <f>PFS_SalesOverview_InTax[[#This Row],[RR]]/$F$1</f>
        <v>3097680.0530973454</v>
      </c>
      <c r="BA8" s="429">
        <f>PFS_SalesOverview_InTax[[#This Row],[MD GMV]]/$F$1</f>
        <v>3819993.0619469034</v>
      </c>
      <c r="BB8" s="94">
        <f>PFS_SalesOverview_ExclTax[[#This Row],[MD GMV]]/PFS_SalesOverview_ExclTax[[#This Row],[GMV]]</f>
        <v>0.70059851064717316</v>
      </c>
      <c r="BC8" s="429">
        <f>PFS_SalesOverview_InTax[[#This Row],[GMV_TGT]]/$F$1</f>
        <v>7823008.8495575227</v>
      </c>
      <c r="BD8" s="429">
        <f>PFS_SalesOverview_InTax[[#This Row],[NET_TGT]]/$F$1</f>
        <v>3265486.7256637169</v>
      </c>
      <c r="BE8" s="430">
        <f>PFS_SalesOverview_InTax[[#This Row],[TRAFFIC_TGT]]</f>
        <v>645869</v>
      </c>
      <c r="BF8" s="431">
        <f>PFS_SalesOverview_InTax[[#This Row],[BUYERS_TGT]]</f>
        <v>1894</v>
      </c>
      <c r="BG8" s="104">
        <f>PFS_SalesOverview_InTax[[#This Row],[CVR_TGT]]</f>
        <v>2.9324832125400043E-3</v>
      </c>
      <c r="BH8" s="431">
        <f>PFS_SalesOverview_InTax[[#This Row],[ATV_TGT]]/$F$1</f>
        <v>4130.4164992383967</v>
      </c>
      <c r="BI8" s="432">
        <f>PFS_SalesOverview_InTax[[#This Row],[UPT_TGT]]</f>
        <v>1.1473072861668427</v>
      </c>
      <c r="BJ8" s="94">
        <f>PFS_SalesOverview_InTax[[#This Row],[RRC_TGT]]</f>
        <v>0.58257918552036192</v>
      </c>
      <c r="BK8" s="431">
        <f>PFS_SalesOverview_InTax[[#This Row],[UNITS_TGT]]</f>
        <v>2173</v>
      </c>
      <c r="BL8" s="28" t="str">
        <f>_xlfn.XLOOKUP(PFS_SalesOverview_ExclTax[[#This Row],[DATE]],全店核心数据_bymonth[开始日期],全店核心数据_bymonth[jda日历.PayYear],"")</f>
        <v>BU26</v>
      </c>
      <c r="BO8" s="28"/>
      <c r="CO8" s="53"/>
    </row>
    <row r="9" spans="5:97" ht="14.5" customHeight="1" x14ac:dyDescent="0.3">
      <c r="E9" s="428">
        <v>45931</v>
      </c>
      <c r="F9" s="431">
        <f>SUMIFS(全店核心数据_bymonth[支付金额],全店核心数据_bymonth[开始日期],$E9)</f>
        <v>7847277.4699999997</v>
      </c>
      <c r="G9" s="431">
        <f>PFS_SalesOverview_InTax[[#This Row],[GMV]]-PFS_SalesOverview_InTax[[#This Row],[RR]]</f>
        <v>3352883.9899999993</v>
      </c>
      <c r="H9" s="431">
        <f>SUMIFS(全店核心数据_bymonth[访客数],全店核心数据_bymonth[开始日期],$E9)</f>
        <v>791602</v>
      </c>
      <c r="I9" s="431">
        <f>SUMIFS(全店核心数据_bymonth[支付买家数],全店核心数据_bymonth[开始日期],$E9)</f>
        <v>1256</v>
      </c>
      <c r="J9" s="431">
        <f>SUMIFS(全店核心数据_bymonth[支付件数],全店核心数据_bymonth[开始日期],$E9)</f>
        <v>1915</v>
      </c>
      <c r="K9" s="92">
        <f>PFS_SalesOverview_InTax[[#This Row],[Buyers]]/PFS_SalesOverview_InTax[[#This Row],[UV]]</f>
        <v>1.5866559205257188E-3</v>
      </c>
      <c r="L9" s="431">
        <f>PFS_SalesOverview_InTax[[#This Row],[GMV]]/PFS_SalesOverview_InTax[[#This Row],[Buyers]]</f>
        <v>6247.832380573248</v>
      </c>
      <c r="M9" s="431">
        <f>PFS_SalesOverview_InTax[[#This Row],[GMV]]/PFS_SalesOverview_InTax[[#This Row],[Units]]</f>
        <v>4097.7950234986947</v>
      </c>
      <c r="N9" s="432">
        <f>PFS_SalesOverview_InTax[[#This Row],[Units]]/PFS_SalesOverview_InTax[[#This Row],[Buyers]]</f>
        <v>1.5246815286624205</v>
      </c>
      <c r="O9" s="93">
        <f>PFS_SalesOverview_InTax[[#This Row],[RR]]/PFS_SalesOverview_InTax[[#This Row],[GMV]]</f>
        <v>0.57273283596533775</v>
      </c>
      <c r="P9" s="431">
        <f>SUMIFS(全店核心数据_bymonth[支付退款金额],全店核心数据_bymonth[开始日期],$E9)</f>
        <v>4494393.4800000004</v>
      </c>
      <c r="Q9" s="431">
        <f>SUMIFS(全店核心数据_bymonth[md_gmv],全店核心数据_bymonth[开始日期],$E9)</f>
        <v>6081592.6900000004</v>
      </c>
      <c r="R9" s="94">
        <f>PFS_SalesOverview_InTax[[#This Row],[MD GMV]]/PFS_SalesOverview_InTax[[#This Row],[GMV]]</f>
        <v>0.77499396615575522</v>
      </c>
      <c r="S9" s="431">
        <f>SUMIFS(全店核心数据_bymonth[md_net],全店核心数据_bymonth[开始日期],$E9)</f>
        <v>2638500.81</v>
      </c>
      <c r="T9" s="94">
        <f>PFS_SalesOverview_InTax[[#This Row],[MD NET]]/PFS_SalesOverview_InTax[[#This Row],[NET]]</f>
        <v>0.78693471586531116</v>
      </c>
      <c r="U9" s="431">
        <f>SUMIFS(目标表[gmv],目标表[Date],"&gt;="&amp;$E9,目标表[Date],"&lt;="&amp;EOMONTH($E9,0),目标表[channel],"PFS")</f>
        <v>12240077</v>
      </c>
      <c r="V9" s="431">
        <f>SUMIFS(目标表[net],目标表[Date],"&gt;="&amp;$E9,目标表[Date],"&lt;="&amp;EOMONTH($E9,0),目标表[channel],"PFS")</f>
        <v>4887833</v>
      </c>
      <c r="W9" s="431">
        <f>SUMIFS(目标表[uv],目标表[Date],"&gt;="&amp;$E9,目标表[Date],"&lt;="&amp;EOMONTH($E9,0),目标表[channel],"PFS")</f>
        <v>996657</v>
      </c>
      <c r="X9" s="431">
        <f>SUMIFS(目标表[buyers],目标表[Date],"&gt;="&amp;$E9,目标表[Date],"&lt;="&amp;EOMONTH($E9,0),目标表[channel],"PFS")</f>
        <v>2987</v>
      </c>
      <c r="Y9" s="378">
        <f>PFS_SalesOverview_InTax[[#This Row],[BUYERS_TGT]]/PFS_SalesOverview_InTax[[#This Row],[TRAFFIC_TGT]]</f>
        <v>2.9970190346327772E-3</v>
      </c>
      <c r="Z9" s="379">
        <f>PFS_SalesOverview_InTax[[#This Row],[GMV_TGT]]/PFS_SalesOverview_InTax[[#This Row],[BUYERS_TGT]]</f>
        <v>4097.7827251422832</v>
      </c>
      <c r="AA9" s="380">
        <f>PFS_SalesOverview_InTax[[#This Row],[UNITS_TGT]]/PFS_SalesOverview_InTax[[#This Row],[BUYERS_TGT]]</f>
        <v>1.0157348510210913</v>
      </c>
      <c r="AB9" s="94">
        <f>1-PFS_SalesOverview_InTax[[#This Row],[NET_TGT]]/PFS_SalesOverview_InTax[[#This Row],[GMV_TGT]]</f>
        <v>0.60066975068865991</v>
      </c>
      <c r="AC9" s="381">
        <f>SUMIFS(目标表[gmv_units],目标表[Date],"&gt;="&amp;$E9,目标表[Date],"&lt;="&amp;EOMONTH($E9,0),目标表[channel],"PFS")</f>
        <v>3034</v>
      </c>
      <c r="AD9" s="105">
        <f>PFS_SalesOverview_InTax[[#This Row],[GMV]]/PFS_SalesOverview_InTax[[#This Row],[GMV_TGT]]</f>
        <v>0.64111340721140886</v>
      </c>
      <c r="AE9" s="105">
        <f>PFS_SalesOverview_InTax[[#This Row],[NET]]/PFS_SalesOverview_InTax[[#This Row],[NET_TGT]]</f>
        <v>0.68596533269446791</v>
      </c>
      <c r="AF9" s="105">
        <f>PFS_SalesOverview_InTax[[#This Row],[UV]]/PFS_SalesOverview_InTax[[#This Row],[TRAFFIC_TGT]]</f>
        <v>0.79425720182570336</v>
      </c>
      <c r="AG9" s="105">
        <f>PFS_SalesOverview_InTax[[#This Row],[Buyers]]/PFS_SalesOverview_InTax[[#This Row],[BUYERS_TGT]]</f>
        <v>0.42048878473384665</v>
      </c>
      <c r="AH9" s="105">
        <f>PFS_SalesOverview_InTax[[#This Row],[CR]]/PFS_SalesOverview_InTax[[#This Row],[CVR_TGT]]</f>
        <v>0.52941135915078719</v>
      </c>
      <c r="AI9" s="105">
        <f>PFS_SalesOverview_InTax[[#This Row],[ATV]]/PFS_SalesOverview_InTax[[#This Row],[ATV_TGT]]</f>
        <v>1.5246861045704445</v>
      </c>
      <c r="AJ9" s="105">
        <f>PFS_SalesOverview_InTax[[#This Row],[UPT]]/PFS_SalesOverview_InTax[[#This Row],[UPT_TGT]]</f>
        <v>1.5010625333271754</v>
      </c>
      <c r="AK9" s="105">
        <f>PFS_SalesOverview_InTax[[#This Row],[RRC]]/PFS_SalesOverview_InTax[[#This Row],[RRC_TGT]]</f>
        <v>0.95349039186459306</v>
      </c>
      <c r="AL9" s="28" t="str">
        <f>_xlfn.XLOOKUP(PFS_SalesOverview_InTax[[#This Row],[DATE]],全店核心数据_bymonth[开始日期],全店核心数据_bymonth[jda日历.PayYear],"")</f>
        <v>BU26</v>
      </c>
      <c r="AO9" s="428">
        <f>PFS_SalesOverview_InTax[[#This Row],[DATE]]</f>
        <v>45931</v>
      </c>
      <c r="AP9" s="429">
        <f>PFS_SalesOverview_InTax[[#This Row],[GMV]]/$F$1</f>
        <v>6944493.3362831865</v>
      </c>
      <c r="AQ9" s="429">
        <f>PFS_SalesOverview_ExclTax[[#This Row],[GMV]]-PFS_SalesOverview_ExclTax[[#This Row],[RR]]</f>
        <v>2967153.9734513271</v>
      </c>
      <c r="AR9" s="430">
        <f>PFS_SalesOverview_InTax[[#This Row],[UV]]</f>
        <v>791602</v>
      </c>
      <c r="AS9" s="431">
        <f>PFS_SalesOverview_InTax[[#This Row],[Buyers]]</f>
        <v>1256</v>
      </c>
      <c r="AT9" s="431">
        <f>PFS_SalesOverview_InTax[[#This Row],[Units]]</f>
        <v>1915</v>
      </c>
      <c r="AU9" s="92">
        <f>PFS_SalesOverview_ExclTax[[#This Row],[Buyers]]/PFS_SalesOverview_ExclTax[[#This Row],[UV]]</f>
        <v>1.5866559205257188E-3</v>
      </c>
      <c r="AV9" s="431">
        <f>PFS_SalesOverview_ExclTax[[#This Row],[GMV]]/PFS_SalesOverview_ExclTax[[#This Row],[Buyers]]</f>
        <v>5529.055204047123</v>
      </c>
      <c r="AW9" s="431">
        <f>PFS_SalesOverview_ExclTax[[#This Row],[GMV]]/PFS_SalesOverview_ExclTax[[#This Row],[Units]]</f>
        <v>3626.3672774324732</v>
      </c>
      <c r="AX9" s="432">
        <f>PFS_SalesOverview_ExclTax[[#This Row],[Units]]/PFS_SalesOverview_ExclTax[[#This Row],[Buyers]]</f>
        <v>1.5246815286624205</v>
      </c>
      <c r="AY9" s="93">
        <f>PFS_SalesOverview_ExclTax[[#This Row],[RR]]/PFS_SalesOverview_ExclTax[[#This Row],[GMV]]</f>
        <v>0.57273283596533775</v>
      </c>
      <c r="AZ9" s="429">
        <f>PFS_SalesOverview_InTax[[#This Row],[RR]]/$F$1</f>
        <v>3977339.3628318594</v>
      </c>
      <c r="BA9" s="429">
        <f>PFS_SalesOverview_InTax[[#This Row],[MD GMV]]/$F$1</f>
        <v>5381940.4336283198</v>
      </c>
      <c r="BB9" s="94">
        <f>PFS_SalesOverview_ExclTax[[#This Row],[MD GMV]]/PFS_SalesOverview_ExclTax[[#This Row],[GMV]]</f>
        <v>0.77499396615575522</v>
      </c>
      <c r="BC9" s="429">
        <f>PFS_SalesOverview_InTax[[#This Row],[GMV_TGT]]/$F$1</f>
        <v>10831926.548672568</v>
      </c>
      <c r="BD9" s="429">
        <f>PFS_SalesOverview_InTax[[#This Row],[NET_TGT]]/$F$1</f>
        <v>4325515.9292035401</v>
      </c>
      <c r="BE9" s="430">
        <f>PFS_SalesOverview_InTax[[#This Row],[TRAFFIC_TGT]]</f>
        <v>996657</v>
      </c>
      <c r="BF9" s="431">
        <f>PFS_SalesOverview_InTax[[#This Row],[BUYERS_TGT]]</f>
        <v>2987</v>
      </c>
      <c r="BG9" s="104">
        <f>PFS_SalesOverview_InTax[[#This Row],[CVR_TGT]]</f>
        <v>2.9970190346327772E-3</v>
      </c>
      <c r="BH9" s="431">
        <f>PFS_SalesOverview_InTax[[#This Row],[ATV_TGT]]/$F$1</f>
        <v>3626.3563939312244</v>
      </c>
      <c r="BI9" s="432">
        <f>PFS_SalesOverview_InTax[[#This Row],[UPT_TGT]]</f>
        <v>1.0157348510210913</v>
      </c>
      <c r="BJ9" s="94">
        <f>PFS_SalesOverview_InTax[[#This Row],[RRC_TGT]]</f>
        <v>0.60066975068865991</v>
      </c>
      <c r="BK9" s="431">
        <f>PFS_SalesOverview_InTax[[#This Row],[UNITS_TGT]]</f>
        <v>3034</v>
      </c>
      <c r="BL9" s="28" t="str">
        <f>_xlfn.XLOOKUP(PFS_SalesOverview_ExclTax[[#This Row],[DATE]],全店核心数据_bymonth[开始日期],全店核心数据_bymonth[jda日历.PayYear],"")</f>
        <v>BU26</v>
      </c>
      <c r="BO9" s="28"/>
      <c r="CO9" s="53"/>
    </row>
    <row r="10" spans="5:97" ht="14.5" customHeight="1" x14ac:dyDescent="0.3">
      <c r="E10" s="428">
        <v>45901</v>
      </c>
      <c r="F10" s="431">
        <f>SUMIFS(全店核心数据_bymonth[支付金额],全店核心数据_bymonth[开始日期],$E10)</f>
        <v>1442203</v>
      </c>
      <c r="G10" s="431">
        <f>PFS_SalesOverview_InTax[[#This Row],[GMV]]-PFS_SalesOverview_InTax[[#This Row],[RR]]</f>
        <v>599350</v>
      </c>
      <c r="H10" s="431">
        <f>SUMIFS(全店核心数据_bymonth[访客数],全店核心数据_bymonth[开始日期],$E10)</f>
        <v>347204</v>
      </c>
      <c r="I10" s="431">
        <f>SUMIFS(全店核心数据_bymonth[支付买家数],全店核心数据_bymonth[开始日期],$E10)</f>
        <v>206</v>
      </c>
      <c r="J10" s="431">
        <f>SUMIFS(全店核心数据_bymonth[支付件数],全店核心数据_bymonth[开始日期],$E10)</f>
        <v>317</v>
      </c>
      <c r="K10" s="92">
        <f>PFS_SalesOverview_InTax[[#This Row],[Buyers]]/PFS_SalesOverview_InTax[[#This Row],[UV]]</f>
        <v>5.9331113696846815E-4</v>
      </c>
      <c r="L10" s="431">
        <f>PFS_SalesOverview_InTax[[#This Row],[GMV]]/PFS_SalesOverview_InTax[[#This Row],[Buyers]]</f>
        <v>7000.9854368932038</v>
      </c>
      <c r="M10" s="431">
        <f>PFS_SalesOverview_InTax[[#This Row],[GMV]]/PFS_SalesOverview_InTax[[#This Row],[Units]]</f>
        <v>4549.536277602524</v>
      </c>
      <c r="N10" s="432">
        <f>PFS_SalesOverview_InTax[[#This Row],[Units]]/PFS_SalesOverview_InTax[[#This Row],[Buyers]]</f>
        <v>1.5388349514563107</v>
      </c>
      <c r="O10" s="93">
        <f>PFS_SalesOverview_InTax[[#This Row],[RR]]/PFS_SalesOverview_InTax[[#This Row],[GMV]]</f>
        <v>0.58442050113610911</v>
      </c>
      <c r="P10" s="431">
        <f>SUMIFS(全店核心数据_bymonth[支付退款金额],全店核心数据_bymonth[开始日期],$E10)</f>
        <v>842853</v>
      </c>
      <c r="Q10" s="431">
        <f>SUMIFS(全店核心数据_bymonth[md_gmv],全店核心数据_bymonth[开始日期],$E10)</f>
        <v>0</v>
      </c>
      <c r="R10" s="94">
        <f>PFS_SalesOverview_InTax[[#This Row],[MD GMV]]/PFS_SalesOverview_InTax[[#This Row],[GMV]]</f>
        <v>0</v>
      </c>
      <c r="S10" s="431">
        <f>SUMIFS(全店核心数据_bymonth[md_net],全店核心数据_bymonth[开始日期],$E10)</f>
        <v>0</v>
      </c>
      <c r="T10" s="94">
        <f>PFS_SalesOverview_InTax[[#This Row],[MD NET]]/PFS_SalesOverview_InTax[[#This Row],[NET]]</f>
        <v>0</v>
      </c>
      <c r="U10" s="431">
        <f>SUMIFS(目标表[gmv],目标表[Date],"&gt;="&amp;$E10,目标表[Date],"&lt;="&amp;EOMONTH($E10,0),目标表[channel],"PFS")</f>
        <v>1259000</v>
      </c>
      <c r="V10" s="431">
        <f>SUMIFS(目标表[net],目标表[Date],"&gt;="&amp;$E10,目标表[Date],"&lt;="&amp;EOMONTH($E10,0),目标表[channel],"PFS")</f>
        <v>602500</v>
      </c>
      <c r="W10" s="431">
        <f>SUMIFS(目标表[uv],目标表[Date],"&gt;="&amp;$E10,目标表[Date],"&lt;="&amp;EOMONTH($E10,0),目标表[channel],"PFS")</f>
        <v>312300</v>
      </c>
      <c r="X10" s="431">
        <f>SUMIFS(目标表[buyers],目标表[Date],"&gt;="&amp;$E10,目标表[Date],"&lt;="&amp;EOMONTH($E10,0),目标表[channel],"PFS")</f>
        <v>213</v>
      </c>
      <c r="Y10" s="378">
        <f>PFS_SalesOverview_InTax[[#This Row],[BUYERS_TGT]]/PFS_SalesOverview_InTax[[#This Row],[TRAFFIC_TGT]]</f>
        <v>6.8203650336215178E-4</v>
      </c>
      <c r="Z10" s="379">
        <f>PFS_SalesOverview_InTax[[#This Row],[GMV_TGT]]/PFS_SalesOverview_InTax[[#This Row],[BUYERS_TGT]]</f>
        <v>5910.7981220657275</v>
      </c>
      <c r="AA10" s="380">
        <f>PFS_SalesOverview_InTax[[#This Row],[UNITS_TGT]]/PFS_SalesOverview_InTax[[#This Row],[BUYERS_TGT]]</f>
        <v>1.3380281690140845</v>
      </c>
      <c r="AB10" s="94">
        <f>1-PFS_SalesOverview_InTax[[#This Row],[NET_TGT]]/PFS_SalesOverview_InTax[[#This Row],[GMV_TGT]]</f>
        <v>0.5214455917394758</v>
      </c>
      <c r="AC10" s="381">
        <f>SUMIFS(目标表[gmv_units],目标表[Date],"&gt;="&amp;$E10,目标表[Date],"&lt;="&amp;EOMONTH($E10,0),目标表[channel],"PFS")</f>
        <v>285</v>
      </c>
      <c r="AD10" s="105">
        <f>PFS_SalesOverview_InTax[[#This Row],[GMV]]/PFS_SalesOverview_InTax[[#This Row],[GMV_TGT]]</f>
        <v>1.1455146942017473</v>
      </c>
      <c r="AE10" s="105">
        <f>PFS_SalesOverview_InTax[[#This Row],[NET]]/PFS_SalesOverview_InTax[[#This Row],[NET_TGT]]</f>
        <v>0.99477178423236512</v>
      </c>
      <c r="AF10" s="105">
        <f>PFS_SalesOverview_InTax[[#This Row],[UV]]/PFS_SalesOverview_InTax[[#This Row],[TRAFFIC_TGT]]</f>
        <v>1.1117643291706691</v>
      </c>
      <c r="AG10" s="105">
        <f>PFS_SalesOverview_InTax[[#This Row],[Buyers]]/PFS_SalesOverview_InTax[[#This Row],[BUYERS_TGT]]</f>
        <v>0.96713615023474175</v>
      </c>
      <c r="AH10" s="105">
        <f>PFS_SalesOverview_InTax[[#This Row],[CR]]/PFS_SalesOverview_InTax[[#This Row],[CVR_TGT]]</f>
        <v>0.86991111772419061</v>
      </c>
      <c r="AI10" s="105">
        <f>PFS_SalesOverview_InTax[[#This Row],[ATV]]/PFS_SalesOverview_InTax[[#This Row],[ATV_TGT]]</f>
        <v>1.1844399508008359</v>
      </c>
      <c r="AJ10" s="105">
        <f>PFS_SalesOverview_InTax[[#This Row],[UPT]]/PFS_SalesOverview_InTax[[#This Row],[UPT_TGT]]</f>
        <v>1.1500766479305058</v>
      </c>
      <c r="AK10" s="105">
        <f>PFS_SalesOverview_InTax[[#This Row],[RRC]]/PFS_SalesOverview_InTax[[#This Row],[RRC_TGT]]</f>
        <v>1.1207698567103752</v>
      </c>
      <c r="AL10" s="28" t="str">
        <f>_xlfn.XLOOKUP(PFS_SalesOverview_InTax[[#This Row],[DATE]],全店核心数据_bymonth[开始日期],全店核心数据_bymonth[jda日历.PayYear],"")</f>
        <v>BU26</v>
      </c>
      <c r="AO10" s="428">
        <f>PFS_SalesOverview_InTax[[#This Row],[DATE]]</f>
        <v>45901</v>
      </c>
      <c r="AP10" s="429">
        <f>PFS_SalesOverview_InTax[[#This Row],[GMV]]/$F$1</f>
        <v>1276285.8407079647</v>
      </c>
      <c r="AQ10" s="429">
        <f>PFS_SalesOverview_ExclTax[[#This Row],[GMV]]-PFS_SalesOverview_ExclTax[[#This Row],[RR]]</f>
        <v>530398.23008849565</v>
      </c>
      <c r="AR10" s="430">
        <f>PFS_SalesOverview_InTax[[#This Row],[UV]]</f>
        <v>347204</v>
      </c>
      <c r="AS10" s="431">
        <f>PFS_SalesOverview_InTax[[#This Row],[Buyers]]</f>
        <v>206</v>
      </c>
      <c r="AT10" s="431">
        <f>PFS_SalesOverview_InTax[[#This Row],[Units]]</f>
        <v>317</v>
      </c>
      <c r="AU10" s="92">
        <f>PFS_SalesOverview_ExclTax[[#This Row],[Buyers]]/PFS_SalesOverview_ExclTax[[#This Row],[UV]]</f>
        <v>5.9331113696846815E-4</v>
      </c>
      <c r="AV10" s="431">
        <f>PFS_SalesOverview_ExclTax[[#This Row],[GMV]]/PFS_SalesOverview_ExclTax[[#This Row],[Buyers]]</f>
        <v>6195.5623335338096</v>
      </c>
      <c r="AW10" s="431">
        <f>PFS_SalesOverview_ExclTax[[#This Row],[GMV]]/PFS_SalesOverview_ExclTax[[#This Row],[Units]]</f>
        <v>4026.1382987632956</v>
      </c>
      <c r="AX10" s="432">
        <f>PFS_SalesOverview_ExclTax[[#This Row],[Units]]/PFS_SalesOverview_ExclTax[[#This Row],[Buyers]]</f>
        <v>1.5388349514563107</v>
      </c>
      <c r="AY10" s="93">
        <f>PFS_SalesOverview_ExclTax[[#This Row],[RR]]/PFS_SalesOverview_ExclTax[[#This Row],[GMV]]</f>
        <v>0.58442050113610911</v>
      </c>
      <c r="AZ10" s="429">
        <f>PFS_SalesOverview_InTax[[#This Row],[RR]]/$F$1</f>
        <v>745887.61061946908</v>
      </c>
      <c r="BA10" s="429">
        <f>PFS_SalesOverview_InTax[[#This Row],[MD GMV]]/$F$1</f>
        <v>0</v>
      </c>
      <c r="BB10" s="94">
        <f>PFS_SalesOverview_ExclTax[[#This Row],[MD GMV]]/PFS_SalesOverview_ExclTax[[#This Row],[GMV]]</f>
        <v>0</v>
      </c>
      <c r="BC10" s="429">
        <f>PFS_SalesOverview_InTax[[#This Row],[GMV_TGT]]/$F$1</f>
        <v>1114159.2920353983</v>
      </c>
      <c r="BD10" s="429">
        <f>PFS_SalesOverview_InTax[[#This Row],[NET_TGT]]/$F$1</f>
        <v>533185.84070796461</v>
      </c>
      <c r="BE10" s="430">
        <f>PFS_SalesOverview_InTax[[#This Row],[TRAFFIC_TGT]]</f>
        <v>312300</v>
      </c>
      <c r="BF10" s="431">
        <f>PFS_SalesOverview_InTax[[#This Row],[BUYERS_TGT]]</f>
        <v>213</v>
      </c>
      <c r="BG10" s="104">
        <f>PFS_SalesOverview_InTax[[#This Row],[CVR_TGT]]</f>
        <v>6.8203650336215178E-4</v>
      </c>
      <c r="BH10" s="431">
        <f>PFS_SalesOverview_InTax[[#This Row],[ATV_TGT]]/$F$1</f>
        <v>5230.7947982882552</v>
      </c>
      <c r="BI10" s="432">
        <f>PFS_SalesOverview_InTax[[#This Row],[UPT_TGT]]</f>
        <v>1.3380281690140845</v>
      </c>
      <c r="BJ10" s="94">
        <f>PFS_SalesOverview_InTax[[#This Row],[RRC_TGT]]</f>
        <v>0.5214455917394758</v>
      </c>
      <c r="BK10" s="431">
        <f>PFS_SalesOverview_InTax[[#This Row],[UNITS_TGT]]</f>
        <v>285</v>
      </c>
      <c r="BL10" s="28" t="str">
        <f>_xlfn.XLOOKUP(PFS_SalesOverview_ExclTax[[#This Row],[DATE]],全店核心数据_bymonth[开始日期],全店核心数据_bymonth[jda日历.PayYear],"")</f>
        <v>BU26</v>
      </c>
      <c r="BO10" s="28"/>
      <c r="CO10" s="53"/>
    </row>
    <row r="11" spans="5:97" ht="14.5" customHeight="1" x14ac:dyDescent="0.3">
      <c r="E11" s="428">
        <v>45870</v>
      </c>
      <c r="F11" s="431">
        <f>SUMIFS(全店核心数据_bymonth[支付金额],全店核心数据_bymonth[开始日期],$E11)</f>
        <v>1893129</v>
      </c>
      <c r="G11" s="431">
        <f>PFS_SalesOverview_InTax[[#This Row],[GMV]]-PFS_SalesOverview_InTax[[#This Row],[RR]]</f>
        <v>921511.18</v>
      </c>
      <c r="H11" s="431">
        <f>SUMIFS(全店核心数据_bymonth[访客数],全店核心数据_bymonth[开始日期],$E11)</f>
        <v>258134</v>
      </c>
      <c r="I11" s="431">
        <f>SUMIFS(全店核心数据_bymonth[支付买家数],全店核心数据_bymonth[开始日期],$E11)</f>
        <v>340</v>
      </c>
      <c r="J11" s="431">
        <f>SUMIFS(全店核心数据_bymonth[支付件数],全店核心数据_bymonth[开始日期],$E11)</f>
        <v>498</v>
      </c>
      <c r="K11" s="92">
        <f>PFS_SalesOverview_InTax[[#This Row],[Buyers]]/PFS_SalesOverview_InTax[[#This Row],[UV]]</f>
        <v>1.3171453586121936E-3</v>
      </c>
      <c r="L11" s="431">
        <f>PFS_SalesOverview_InTax[[#This Row],[GMV]]/PFS_SalesOverview_InTax[[#This Row],[Buyers]]</f>
        <v>5568.0264705882355</v>
      </c>
      <c r="M11" s="431">
        <f>PFS_SalesOverview_InTax[[#This Row],[GMV]]/PFS_SalesOverview_InTax[[#This Row],[Units]]</f>
        <v>3801.4638554216867</v>
      </c>
      <c r="N11" s="432">
        <f>PFS_SalesOverview_InTax[[#This Row],[Units]]/PFS_SalesOverview_InTax[[#This Row],[Buyers]]</f>
        <v>1.4647058823529411</v>
      </c>
      <c r="O11" s="93">
        <f>PFS_SalesOverview_InTax[[#This Row],[RR]]/PFS_SalesOverview_InTax[[#This Row],[GMV]]</f>
        <v>0.51323381555086844</v>
      </c>
      <c r="P11" s="431">
        <f>SUMIFS(全店核心数据_bymonth[支付退款金额],全店核心数据_bymonth[开始日期],$E11)</f>
        <v>971617.82</v>
      </c>
      <c r="Q11" s="431">
        <f>SUMIFS(全店核心数据_bymonth[md_gmv],全店核心数据_bymonth[开始日期],$E11)</f>
        <v>483039.66</v>
      </c>
      <c r="R11" s="94">
        <f>PFS_SalesOverview_InTax[[#This Row],[MD GMV]]/PFS_SalesOverview_InTax[[#This Row],[GMV]]</f>
        <v>0.2551541178651851</v>
      </c>
      <c r="S11" s="431">
        <f>SUMIFS(全店核心数据_bymonth[md_net],全店核心数据_bymonth[开始日期],$E11)</f>
        <v>199657.88</v>
      </c>
      <c r="T11" s="94">
        <f>PFS_SalesOverview_InTax[[#This Row],[MD NET]]/PFS_SalesOverview_InTax[[#This Row],[NET]]</f>
        <v>0.21666354606788382</v>
      </c>
      <c r="U11" s="431">
        <f>SUMIFS(目标表[gmv],目标表[Date],"&gt;="&amp;$E11,目标表[Date],"&lt;="&amp;EOMONTH($E11,0),目标表[channel],"PFS")</f>
        <v>1492000</v>
      </c>
      <c r="V11" s="431">
        <f>SUMIFS(目标表[net],目标表[Date],"&gt;="&amp;$E11,目标表[Date],"&lt;="&amp;EOMONTH($E11,0),目标表[channel],"PFS")</f>
        <v>743600</v>
      </c>
      <c r="W11" s="431">
        <f>SUMIFS(目标表[uv],目标表[Date],"&gt;="&amp;$E11,目标表[Date],"&lt;="&amp;EOMONTH($E11,0),目标表[channel],"PFS")</f>
        <v>374500</v>
      </c>
      <c r="X11" s="431">
        <f>SUMIFS(目标表[buyers],目标表[Date],"&gt;="&amp;$E11,目标表[Date],"&lt;="&amp;EOMONTH($E11,0),目标表[channel],"PFS")</f>
        <v>277</v>
      </c>
      <c r="Y11" s="378">
        <f>PFS_SalesOverview_InTax[[#This Row],[BUYERS_TGT]]/PFS_SalesOverview_InTax[[#This Row],[TRAFFIC_TGT]]</f>
        <v>7.3965287049399203E-4</v>
      </c>
      <c r="Z11" s="379">
        <f>PFS_SalesOverview_InTax[[#This Row],[GMV_TGT]]/PFS_SalesOverview_InTax[[#This Row],[BUYERS_TGT]]</f>
        <v>5386.2815884476531</v>
      </c>
      <c r="AA11" s="380">
        <f>PFS_SalesOverview_InTax[[#This Row],[UNITS_TGT]]/PFS_SalesOverview_InTax[[#This Row],[BUYERS_TGT]]</f>
        <v>1.3140794223826715</v>
      </c>
      <c r="AB11" s="94">
        <f>1-PFS_SalesOverview_InTax[[#This Row],[NET_TGT]]/PFS_SalesOverview_InTax[[#This Row],[GMV_TGT]]</f>
        <v>0.5016085790884719</v>
      </c>
      <c r="AC11" s="381">
        <f>SUMIFS(目标表[gmv_units],目标表[Date],"&gt;="&amp;$E11,目标表[Date],"&lt;="&amp;EOMONTH($E11,0),目标表[channel],"PFS")</f>
        <v>364</v>
      </c>
      <c r="AD11" s="105">
        <f>PFS_SalesOverview_InTax[[#This Row],[GMV]]/PFS_SalesOverview_InTax[[#This Row],[GMV_TGT]]</f>
        <v>1.268853217158177</v>
      </c>
      <c r="AE11" s="105">
        <f>PFS_SalesOverview_InTax[[#This Row],[NET]]/PFS_SalesOverview_InTax[[#This Row],[NET_TGT]]</f>
        <v>1.2392565626681011</v>
      </c>
      <c r="AF11" s="105">
        <f>PFS_SalesOverview_InTax[[#This Row],[UV]]/PFS_SalesOverview_InTax[[#This Row],[TRAFFIC_TGT]]</f>
        <v>0.68927636849132179</v>
      </c>
      <c r="AG11" s="105">
        <f>PFS_SalesOverview_InTax[[#This Row],[Buyers]]/PFS_SalesOverview_InTax[[#This Row],[BUYERS_TGT]]</f>
        <v>1.227436823104693</v>
      </c>
      <c r="AH11" s="105">
        <f>PFS_SalesOverview_InTax[[#This Row],[CR]]/PFS_SalesOverview_InTax[[#This Row],[CVR_TGT]]</f>
        <v>1.7807615046941028</v>
      </c>
      <c r="AI11" s="105">
        <f>PFS_SalesOverview_InTax[[#This Row],[ATV]]/PFS_SalesOverview_InTax[[#This Row],[ATV_TGT]]</f>
        <v>1.0337421798612207</v>
      </c>
      <c r="AJ11" s="105">
        <f>PFS_SalesOverview_InTax[[#This Row],[UPT]]/PFS_SalesOverview_InTax[[#This Row],[UPT_TGT]]</f>
        <v>1.1146250808015512</v>
      </c>
      <c r="AK11" s="105">
        <f>PFS_SalesOverview_InTax[[#This Row],[RRC]]/PFS_SalesOverview_InTax[[#This Row],[RRC_TGT]]</f>
        <v>1.0231759123488717</v>
      </c>
      <c r="AL11" s="28" t="str">
        <f>_xlfn.XLOOKUP(PFS_SalesOverview_InTax[[#This Row],[DATE]],全店核心数据_bymonth[开始日期],全店核心数据_bymonth[jda日历.PayYear],"")</f>
        <v>BU26</v>
      </c>
      <c r="AO11" s="428">
        <f>PFS_SalesOverview_InTax[[#This Row],[DATE]]</f>
        <v>45870</v>
      </c>
      <c r="AP11" s="429">
        <f>PFS_SalesOverview_InTax[[#This Row],[GMV]]/$F$1</f>
        <v>1675335.3982300886</v>
      </c>
      <c r="AQ11" s="429">
        <f>PFS_SalesOverview_ExclTax[[#This Row],[GMV]]-PFS_SalesOverview_ExclTax[[#This Row],[RR]]</f>
        <v>815496.61946902669</v>
      </c>
      <c r="AR11" s="430">
        <f>PFS_SalesOverview_InTax[[#This Row],[UV]]</f>
        <v>258134</v>
      </c>
      <c r="AS11" s="431">
        <f>PFS_SalesOverview_InTax[[#This Row],[Buyers]]</f>
        <v>340</v>
      </c>
      <c r="AT11" s="431">
        <f>PFS_SalesOverview_InTax[[#This Row],[Units]]</f>
        <v>498</v>
      </c>
      <c r="AU11" s="92">
        <f>PFS_SalesOverview_ExclTax[[#This Row],[Buyers]]/PFS_SalesOverview_ExclTax[[#This Row],[UV]]</f>
        <v>1.3171453586121936E-3</v>
      </c>
      <c r="AV11" s="431">
        <f>PFS_SalesOverview_ExclTax[[#This Row],[GMV]]/PFS_SalesOverview_ExclTax[[#This Row],[Buyers]]</f>
        <v>4927.4570536179081</v>
      </c>
      <c r="AW11" s="431">
        <f>PFS_SalesOverview_ExclTax[[#This Row],[GMV]]/PFS_SalesOverview_ExclTax[[#This Row],[Units]]</f>
        <v>3364.1273056829091</v>
      </c>
      <c r="AX11" s="432">
        <f>PFS_SalesOverview_ExclTax[[#This Row],[Units]]/PFS_SalesOverview_ExclTax[[#This Row],[Buyers]]</f>
        <v>1.4647058823529411</v>
      </c>
      <c r="AY11" s="93">
        <f>PFS_SalesOverview_ExclTax[[#This Row],[RR]]/PFS_SalesOverview_ExclTax[[#This Row],[GMV]]</f>
        <v>0.51323381555086844</v>
      </c>
      <c r="AZ11" s="429">
        <f>PFS_SalesOverview_InTax[[#This Row],[RR]]/$F$1</f>
        <v>859838.77876106196</v>
      </c>
      <c r="BA11" s="429">
        <f>PFS_SalesOverview_InTax[[#This Row],[MD GMV]]/$F$1</f>
        <v>427468.72566371685</v>
      </c>
      <c r="BB11" s="94">
        <f>PFS_SalesOverview_ExclTax[[#This Row],[MD GMV]]/PFS_SalesOverview_ExclTax[[#This Row],[GMV]]</f>
        <v>0.2551541178651851</v>
      </c>
      <c r="BC11" s="429">
        <f>PFS_SalesOverview_InTax[[#This Row],[GMV_TGT]]/$F$1</f>
        <v>1320353.982300885</v>
      </c>
      <c r="BD11" s="429">
        <f>PFS_SalesOverview_InTax[[#This Row],[NET_TGT]]/$F$1</f>
        <v>658053.09734513285</v>
      </c>
      <c r="BE11" s="430">
        <f>PFS_SalesOverview_InTax[[#This Row],[TRAFFIC_TGT]]</f>
        <v>374500</v>
      </c>
      <c r="BF11" s="431">
        <f>PFS_SalesOverview_InTax[[#This Row],[BUYERS_TGT]]</f>
        <v>277</v>
      </c>
      <c r="BG11" s="104">
        <f>PFS_SalesOverview_InTax[[#This Row],[CVR_TGT]]</f>
        <v>7.3965287049399203E-4</v>
      </c>
      <c r="BH11" s="431">
        <f>PFS_SalesOverview_InTax[[#This Row],[ATV_TGT]]/$F$1</f>
        <v>4766.6208747324372</v>
      </c>
      <c r="BI11" s="432">
        <f>PFS_SalesOverview_InTax[[#This Row],[UPT_TGT]]</f>
        <v>1.3140794223826715</v>
      </c>
      <c r="BJ11" s="94">
        <f>PFS_SalesOverview_InTax[[#This Row],[RRC_TGT]]</f>
        <v>0.5016085790884719</v>
      </c>
      <c r="BK11" s="431">
        <f>PFS_SalesOverview_InTax[[#This Row],[UNITS_TGT]]</f>
        <v>364</v>
      </c>
      <c r="BL11" s="28" t="str">
        <f>_xlfn.XLOOKUP(PFS_SalesOverview_ExclTax[[#This Row],[DATE]],全店核心数据_bymonth[开始日期],全店核心数据_bymonth[jda日历.PayYear],"")</f>
        <v>BU26</v>
      </c>
      <c r="BO11" s="28"/>
      <c r="CO11" s="53"/>
    </row>
    <row r="12" spans="5:97" ht="14.5" customHeight="1" x14ac:dyDescent="0.3">
      <c r="E12" s="428">
        <v>45839</v>
      </c>
      <c r="F12" s="431">
        <f>SUMIFS(全店核心数据_bymonth[支付金额],全店核心数据_bymonth[开始日期],$E12)</f>
        <v>1506524</v>
      </c>
      <c r="G12" s="431">
        <f>PFS_SalesOverview_InTax[[#This Row],[GMV]]-PFS_SalesOverview_InTax[[#This Row],[RR]]</f>
        <v>804412</v>
      </c>
      <c r="H12" s="431">
        <f>SUMIFS(全店核心数据_bymonth[访客数],全店核心数据_bymonth[开始日期],$E12)</f>
        <v>281356</v>
      </c>
      <c r="I12" s="431">
        <f>SUMIFS(全店核心数据_bymonth[支付买家数],全店核心数据_bymonth[开始日期],$E12)</f>
        <v>247</v>
      </c>
      <c r="J12" s="431">
        <f>SUMIFS(全店核心数据_bymonth[支付件数],全店核心数据_bymonth[开始日期],$E12)</f>
        <v>383</v>
      </c>
      <c r="K12" s="92">
        <f>PFS_SalesOverview_InTax[[#This Row],[Buyers]]/PFS_SalesOverview_InTax[[#This Row],[UV]]</f>
        <v>8.7789135472497476E-4</v>
      </c>
      <c r="L12" s="431">
        <f>PFS_SalesOverview_InTax[[#This Row],[GMV]]/PFS_SalesOverview_InTax[[#This Row],[Buyers]]</f>
        <v>6099.2874493927129</v>
      </c>
      <c r="M12" s="431">
        <f>PFS_SalesOverview_InTax[[#This Row],[GMV]]/PFS_SalesOverview_InTax[[#This Row],[Units]]</f>
        <v>3933.4830287206264</v>
      </c>
      <c r="N12" s="432">
        <f>PFS_SalesOverview_InTax[[#This Row],[Units]]/PFS_SalesOverview_InTax[[#This Row],[Buyers]]</f>
        <v>1.5506072874493928</v>
      </c>
      <c r="O12" s="93">
        <f>PFS_SalesOverview_InTax[[#This Row],[RR]]/PFS_SalesOverview_InTax[[#This Row],[GMV]]</f>
        <v>0.4660476700006107</v>
      </c>
      <c r="P12" s="431">
        <f>SUMIFS(全店核心数据_bymonth[支付退款金额],全店核心数据_bymonth[开始日期],$E12)</f>
        <v>702112</v>
      </c>
      <c r="Q12" s="431">
        <f>SUMIFS(全店核心数据_bymonth[md_gmv],全店核心数据_bymonth[开始日期],$E12)</f>
        <v>326480</v>
      </c>
      <c r="R12" s="94">
        <f>PFS_SalesOverview_InTax[[#This Row],[MD GMV]]/PFS_SalesOverview_InTax[[#This Row],[GMV]]</f>
        <v>0.21671078588857529</v>
      </c>
      <c r="S12" s="431">
        <f>SUMIFS(全店核心数据_bymonth[md_net],全店核心数据_bymonth[开始日期],$E12)</f>
        <v>133940</v>
      </c>
      <c r="T12" s="94">
        <f>PFS_SalesOverview_InTax[[#This Row],[MD NET]]/PFS_SalesOverview_InTax[[#This Row],[NET]]</f>
        <v>0.16650671546421486</v>
      </c>
      <c r="U12" s="431">
        <f>SUMIFS(目标表[gmv],目标表[Date],"&gt;="&amp;$E12,目标表[Date],"&lt;="&amp;EOMONTH($E12,0),目标表[channel],"PFS")</f>
        <v>1816000</v>
      </c>
      <c r="V12" s="431">
        <f>SUMIFS(目标表[net],目标表[Date],"&gt;="&amp;$E12,目标表[Date],"&lt;="&amp;EOMONTH($E12,0),目标表[channel],"PFS")</f>
        <v>893250</v>
      </c>
      <c r="W12" s="431">
        <f>SUMIFS(目标表[uv],目标表[Date],"&gt;="&amp;$E12,目标表[Date],"&lt;="&amp;EOMONTH($E12,0),目标表[channel],"PFS")</f>
        <v>346900</v>
      </c>
      <c r="X12" s="431">
        <f>SUMIFS(目标表[buyers],目标表[Date],"&gt;="&amp;$E12,目标表[Date],"&lt;="&amp;EOMONTH($E12,0),目标表[channel],"PFS")</f>
        <v>307</v>
      </c>
      <c r="Y12" s="378">
        <f>PFS_SalesOverview_InTax[[#This Row],[BUYERS_TGT]]/PFS_SalesOverview_InTax[[#This Row],[TRAFFIC_TGT]]</f>
        <v>8.8498126261170361E-4</v>
      </c>
      <c r="Z12" s="379">
        <f>PFS_SalesOverview_InTax[[#This Row],[GMV_TGT]]/PFS_SalesOverview_InTax[[#This Row],[BUYERS_TGT]]</f>
        <v>5915.3094462540721</v>
      </c>
      <c r="AA12" s="380">
        <f>PFS_SalesOverview_InTax[[#This Row],[UNITS_TGT]]/PFS_SalesOverview_InTax[[#This Row],[BUYERS_TGT]]</f>
        <v>1.3127035830618892</v>
      </c>
      <c r="AB12" s="94">
        <f>1-PFS_SalesOverview_InTax[[#This Row],[NET_TGT]]/PFS_SalesOverview_InTax[[#This Row],[GMV_TGT]]</f>
        <v>0.50812224669603523</v>
      </c>
      <c r="AC12" s="381">
        <f>SUMIFS(目标表[gmv_units],目标表[Date],"&gt;="&amp;$E12,目标表[Date],"&lt;="&amp;EOMONTH($E12,0),目标表[channel],"PFS")</f>
        <v>403</v>
      </c>
      <c r="AD12" s="105">
        <f>PFS_SalesOverview_InTax[[#This Row],[GMV]]/PFS_SalesOverview_InTax[[#This Row],[GMV_TGT]]</f>
        <v>0.82958370044052865</v>
      </c>
      <c r="AE12" s="105">
        <f>PFS_SalesOverview_InTax[[#This Row],[NET]]/PFS_SalesOverview_InTax[[#This Row],[NET_TGT]]</f>
        <v>0.90054520011195072</v>
      </c>
      <c r="AF12" s="105">
        <f>PFS_SalesOverview_InTax[[#This Row],[UV]]/PFS_SalesOverview_InTax[[#This Row],[TRAFFIC_TGT]]</f>
        <v>0.81105794176996249</v>
      </c>
      <c r="AG12" s="105">
        <f>PFS_SalesOverview_InTax[[#This Row],[Buyers]]/PFS_SalesOverview_InTax[[#This Row],[BUYERS_TGT]]</f>
        <v>0.80456026058631924</v>
      </c>
      <c r="AH12" s="105">
        <f>PFS_SalesOverview_InTax[[#This Row],[CR]]/PFS_SalesOverview_InTax[[#This Row],[CVR_TGT]]</f>
        <v>0.99198863502962142</v>
      </c>
      <c r="AI12" s="105">
        <f>PFS_SalesOverview_InTax[[#This Row],[ATV]]/PFS_SalesOverview_InTax[[#This Row],[ATV_TGT]]</f>
        <v>1.0311020082398472</v>
      </c>
      <c r="AJ12" s="105">
        <f>PFS_SalesOverview_InTax[[#This Row],[UPT]]/PFS_SalesOverview_InTax[[#This Row],[UPT_TGT]]</f>
        <v>1.1812318542108278</v>
      </c>
      <c r="AK12" s="105">
        <f>PFS_SalesOverview_InTax[[#This Row],[RRC]]/PFS_SalesOverview_InTax[[#This Row],[RRC_TGT]]</f>
        <v>0.91719595634907514</v>
      </c>
      <c r="AL12" s="28" t="str">
        <f>_xlfn.XLOOKUP(PFS_SalesOverview_InTax[[#This Row],[DATE]],全店核心数据_bymonth[开始日期],全店核心数据_bymonth[jda日历.PayYear],"")</f>
        <v>BU26</v>
      </c>
      <c r="AO12" s="428">
        <f>PFS_SalesOverview_InTax[[#This Row],[DATE]]</f>
        <v>45839</v>
      </c>
      <c r="AP12" s="429">
        <f>PFS_SalesOverview_InTax[[#This Row],[GMV]]/$F$1</f>
        <v>1333207.0796460179</v>
      </c>
      <c r="AQ12" s="429">
        <f>PFS_SalesOverview_ExclTax[[#This Row],[GMV]]-PFS_SalesOverview_ExclTax[[#This Row],[RR]]</f>
        <v>711869.0265486727</v>
      </c>
      <c r="AR12" s="430">
        <f>PFS_SalesOverview_InTax[[#This Row],[UV]]</f>
        <v>281356</v>
      </c>
      <c r="AS12" s="431">
        <f>PFS_SalesOverview_InTax[[#This Row],[Buyers]]</f>
        <v>247</v>
      </c>
      <c r="AT12" s="431">
        <f>PFS_SalesOverview_InTax[[#This Row],[Units]]</f>
        <v>383</v>
      </c>
      <c r="AU12" s="92">
        <f>PFS_SalesOverview_ExclTax[[#This Row],[Buyers]]/PFS_SalesOverview_ExclTax[[#This Row],[UV]]</f>
        <v>8.7789135472497476E-4</v>
      </c>
      <c r="AV12" s="431">
        <f>PFS_SalesOverview_ExclTax[[#This Row],[GMV]]/PFS_SalesOverview_ExclTax[[#This Row],[Buyers]]</f>
        <v>5397.5995127369142</v>
      </c>
      <c r="AW12" s="431">
        <f>PFS_SalesOverview_ExclTax[[#This Row],[GMV]]/PFS_SalesOverview_ExclTax[[#This Row],[Units]]</f>
        <v>3480.9584324961302</v>
      </c>
      <c r="AX12" s="432">
        <f>PFS_SalesOverview_ExclTax[[#This Row],[Units]]/PFS_SalesOverview_ExclTax[[#This Row],[Buyers]]</f>
        <v>1.5506072874493928</v>
      </c>
      <c r="AY12" s="93">
        <f>PFS_SalesOverview_ExclTax[[#This Row],[RR]]/PFS_SalesOverview_ExclTax[[#This Row],[GMV]]</f>
        <v>0.46604767000061065</v>
      </c>
      <c r="AZ12" s="429">
        <f>PFS_SalesOverview_InTax[[#This Row],[RR]]/$F$1</f>
        <v>621338.05309734517</v>
      </c>
      <c r="BA12" s="429">
        <f>PFS_SalesOverview_InTax[[#This Row],[MD GMV]]/$F$1</f>
        <v>288920.35398230091</v>
      </c>
      <c r="BB12" s="94">
        <f>PFS_SalesOverview_ExclTax[[#This Row],[MD GMV]]/PFS_SalesOverview_ExclTax[[#This Row],[GMV]]</f>
        <v>0.21671078588857529</v>
      </c>
      <c r="BC12" s="429">
        <f>PFS_SalesOverview_InTax[[#This Row],[GMV_TGT]]/$F$1</f>
        <v>1607079.6460176993</v>
      </c>
      <c r="BD12" s="429">
        <f>PFS_SalesOverview_InTax[[#This Row],[NET_TGT]]/$F$1</f>
        <v>790486.7256637169</v>
      </c>
      <c r="BE12" s="430">
        <f>PFS_SalesOverview_InTax[[#This Row],[TRAFFIC_TGT]]</f>
        <v>346900</v>
      </c>
      <c r="BF12" s="431">
        <f>PFS_SalesOverview_InTax[[#This Row],[BUYERS_TGT]]</f>
        <v>307</v>
      </c>
      <c r="BG12" s="104">
        <f>PFS_SalesOverview_InTax[[#This Row],[CVR_TGT]]</f>
        <v>8.8498126261170361E-4</v>
      </c>
      <c r="BH12" s="431">
        <f>PFS_SalesOverview_InTax[[#This Row],[ATV_TGT]]/$F$1</f>
        <v>5234.7871205788251</v>
      </c>
      <c r="BI12" s="432">
        <f>PFS_SalesOverview_InTax[[#This Row],[UPT_TGT]]</f>
        <v>1.3127035830618892</v>
      </c>
      <c r="BJ12" s="94">
        <f>PFS_SalesOverview_InTax[[#This Row],[RRC_TGT]]</f>
        <v>0.50812224669603523</v>
      </c>
      <c r="BK12" s="431">
        <f>PFS_SalesOverview_InTax[[#This Row],[UNITS_TGT]]</f>
        <v>403</v>
      </c>
      <c r="BL12" s="28" t="str">
        <f>_xlfn.XLOOKUP(PFS_SalesOverview_ExclTax[[#This Row],[DATE]],全店核心数据_bymonth[开始日期],全店核心数据_bymonth[jda日历.PayYear],"")</f>
        <v>BU26</v>
      </c>
      <c r="BO12" s="28"/>
      <c r="CO12" s="53"/>
    </row>
    <row r="13" spans="5:97" ht="14.5" customHeight="1" x14ac:dyDescent="0.3">
      <c r="E13" s="428">
        <v>45809</v>
      </c>
      <c r="F13" s="431">
        <f>SUMIFS(全店核心数据_bymonth[支付金额],全店核心数据_bymonth[开始日期],$E13)</f>
        <v>4798825</v>
      </c>
      <c r="G13" s="431">
        <f>PFS_SalesOverview_InTax[[#This Row],[GMV]]-PFS_SalesOverview_InTax[[#This Row],[RR]]</f>
        <v>2282656.7400000002</v>
      </c>
      <c r="H13" s="431">
        <f>SUMIFS(全店核心数据_bymonth[访客数],全店核心数据_bymonth[开始日期],$E13)</f>
        <v>464259</v>
      </c>
      <c r="I13" s="431">
        <f>SUMIFS(全店核心数据_bymonth[支付买家数],全店核心数据_bymonth[开始日期],$E13)</f>
        <v>1188</v>
      </c>
      <c r="J13" s="431">
        <f>SUMIFS(全店核心数据_bymonth[支付件数],全店核心数据_bymonth[开始日期],$E13)</f>
        <v>1685</v>
      </c>
      <c r="K13" s="92">
        <f>PFS_SalesOverview_InTax[[#This Row],[Buyers]]/PFS_SalesOverview_InTax[[#This Row],[UV]]</f>
        <v>2.558916466885941E-3</v>
      </c>
      <c r="L13" s="431">
        <f>PFS_SalesOverview_InTax[[#This Row],[GMV]]/PFS_SalesOverview_InTax[[#This Row],[Buyers]]</f>
        <v>4039.4149831649834</v>
      </c>
      <c r="M13" s="431">
        <f>PFS_SalesOverview_InTax[[#This Row],[GMV]]/PFS_SalesOverview_InTax[[#This Row],[Units]]</f>
        <v>2847.9673590504449</v>
      </c>
      <c r="N13" s="432">
        <f>PFS_SalesOverview_InTax[[#This Row],[Units]]/PFS_SalesOverview_InTax[[#This Row],[Buyers]]</f>
        <v>1.4183501683501682</v>
      </c>
      <c r="O13" s="93">
        <f>PFS_SalesOverview_InTax[[#This Row],[RR]]/PFS_SalesOverview_InTax[[#This Row],[GMV]]</f>
        <v>0.52433007246565566</v>
      </c>
      <c r="P13" s="431">
        <f>SUMIFS(全店核心数据_bymonth[支付退款金额],全店核心数据_bymonth[开始日期],$E13)</f>
        <v>2516168.2599999998</v>
      </c>
      <c r="Q13" s="431">
        <f>SUMIFS(全店核心数据_bymonth[md_gmv],全店核心数据_bymonth[开始日期],$E13)</f>
        <v>2935638.43</v>
      </c>
      <c r="R13" s="94">
        <f>PFS_SalesOverview_InTax[[#This Row],[MD GMV]]/PFS_SalesOverview_InTax[[#This Row],[GMV]]</f>
        <v>0.61174108870400568</v>
      </c>
      <c r="S13" s="431">
        <f>SUMIFS(全店核心数据_bymonth[md_net],全店核心数据_bymonth[开始日期],$E13)</f>
        <v>1375863.63</v>
      </c>
      <c r="T13" s="94">
        <f>PFS_SalesOverview_InTax[[#This Row],[MD NET]]/PFS_SalesOverview_InTax[[#This Row],[NET]]</f>
        <v>0.60274661796061357</v>
      </c>
      <c r="U13" s="431">
        <f>SUMIFS(目标表[gmv],目标表[Date],"&gt;="&amp;$E13,目标表[Date],"&lt;="&amp;EOMONTH($E13,0),目标表[channel],"PFS")</f>
        <v>5347560</v>
      </c>
      <c r="V13" s="431">
        <f>SUMIFS(目标表[net],目标表[Date],"&gt;="&amp;$E13,目标表[Date],"&lt;="&amp;EOMONTH($E13,0),目标表[channel],"PFS")</f>
        <v>1939975</v>
      </c>
      <c r="W13" s="431">
        <f>SUMIFS(目标表[uv],目标表[Date],"&gt;="&amp;$E13,目标表[Date],"&lt;="&amp;EOMONTH($E13,0),目标表[channel],"PFS")</f>
        <v>819178</v>
      </c>
      <c r="X13" s="431">
        <f>SUMIFS(目标表[buyers],目标表[Date],"&gt;="&amp;$E13,目标表[Date],"&lt;="&amp;EOMONTH($E13,0),目标表[channel],"PFS")</f>
        <v>1482</v>
      </c>
      <c r="Y13" s="378">
        <f>PFS_SalesOverview_InTax[[#This Row],[BUYERS_TGT]]/PFS_SalesOverview_InTax[[#This Row],[TRAFFIC_TGT]]</f>
        <v>1.8091306163007307E-3</v>
      </c>
      <c r="Z13" s="379">
        <f>PFS_SalesOverview_InTax[[#This Row],[GMV_TGT]]/PFS_SalesOverview_InTax[[#This Row],[BUYERS_TGT]]</f>
        <v>3608.34008097166</v>
      </c>
      <c r="AA13" s="380">
        <f>PFS_SalesOverview_InTax[[#This Row],[UNITS_TGT]]/PFS_SalesOverview_InTax[[#This Row],[BUYERS_TGT]]</f>
        <v>1.3319838056680162</v>
      </c>
      <c r="AB13" s="94">
        <f>1-PFS_SalesOverview_InTax[[#This Row],[NET_TGT]]/PFS_SalesOverview_InTax[[#This Row],[GMV_TGT]]</f>
        <v>0.63722239675665171</v>
      </c>
      <c r="AC13" s="381">
        <f>SUMIFS(目标表[gmv_units],目标表[Date],"&gt;="&amp;$E13,目标表[Date],"&lt;="&amp;EOMONTH($E13,0),目标表[channel],"PFS")</f>
        <v>1974</v>
      </c>
      <c r="AD13" s="105">
        <f>PFS_SalesOverview_InTax[[#This Row],[GMV]]/PFS_SalesOverview_InTax[[#This Row],[GMV_TGT]]</f>
        <v>0.89738591058351846</v>
      </c>
      <c r="AE13" s="105">
        <f>PFS_SalesOverview_InTax[[#This Row],[NET]]/PFS_SalesOverview_InTax[[#This Row],[NET_TGT]]</f>
        <v>1.1766423484838724</v>
      </c>
      <c r="AF13" s="105">
        <f>PFS_SalesOverview_InTax[[#This Row],[UV]]/PFS_SalesOverview_InTax[[#This Row],[TRAFFIC_TGT]]</f>
        <v>0.56673763211414374</v>
      </c>
      <c r="AG13" s="105">
        <f>PFS_SalesOverview_InTax[[#This Row],[Buyers]]/PFS_SalesOverview_InTax[[#This Row],[BUYERS_TGT]]</f>
        <v>0.80161943319838058</v>
      </c>
      <c r="AH13" s="105">
        <f>PFS_SalesOverview_InTax[[#This Row],[CR]]/PFS_SalesOverview_InTax[[#This Row],[CVR_TGT]]</f>
        <v>1.4144453937319106</v>
      </c>
      <c r="AI13" s="105">
        <f>PFS_SalesOverview_InTax[[#This Row],[ATV]]/PFS_SalesOverview_InTax[[#This Row],[ATV_TGT]]</f>
        <v>1.1194662621925711</v>
      </c>
      <c r="AJ13" s="105">
        <f>PFS_SalesOverview_InTax[[#This Row],[UPT]]/PFS_SalesOverview_InTax[[#This Row],[UPT_TGT]]</f>
        <v>1.0648403999467828</v>
      </c>
      <c r="AK13" s="105">
        <f>PFS_SalesOverview_InTax[[#This Row],[RRC]]/PFS_SalesOverview_InTax[[#This Row],[RRC_TGT]]</f>
        <v>0.82283685434536225</v>
      </c>
      <c r="AL13" s="28" t="str">
        <f>_xlfn.XLOOKUP(PFS_SalesOverview_InTax[[#This Row],[DATE]],全店核心数据_bymonth[开始日期],全店核心数据_bymonth[jda日历.PayYear],"")</f>
        <v>BU26</v>
      </c>
      <c r="AO13" s="428">
        <f>PFS_SalesOverview_InTax[[#This Row],[DATE]]</f>
        <v>45809</v>
      </c>
      <c r="AP13" s="429">
        <f>PFS_SalesOverview_InTax[[#This Row],[GMV]]/$F$1</f>
        <v>4246747.7876106203</v>
      </c>
      <c r="AQ13" s="429">
        <f>PFS_SalesOverview_ExclTax[[#This Row],[GMV]]-PFS_SalesOverview_ExclTax[[#This Row],[RR]]</f>
        <v>2020050.2123893811</v>
      </c>
      <c r="AR13" s="430">
        <f>PFS_SalesOverview_InTax[[#This Row],[UV]]</f>
        <v>464259</v>
      </c>
      <c r="AS13" s="431">
        <f>PFS_SalesOverview_InTax[[#This Row],[Buyers]]</f>
        <v>1188</v>
      </c>
      <c r="AT13" s="431">
        <f>PFS_SalesOverview_InTax[[#This Row],[Units]]</f>
        <v>1685</v>
      </c>
      <c r="AU13" s="92">
        <f>PFS_SalesOverview_ExclTax[[#This Row],[Buyers]]/PFS_SalesOverview_ExclTax[[#This Row],[UV]]</f>
        <v>2.558916466885941E-3</v>
      </c>
      <c r="AV13" s="431">
        <f>PFS_SalesOverview_ExclTax[[#This Row],[GMV]]/PFS_SalesOverview_ExclTax[[#This Row],[Buyers]]</f>
        <v>3574.7035249247647</v>
      </c>
      <c r="AW13" s="431">
        <f>PFS_SalesOverview_ExclTax[[#This Row],[GMV]]/PFS_SalesOverview_ExclTax[[#This Row],[Units]]</f>
        <v>2520.3250965048192</v>
      </c>
      <c r="AX13" s="432">
        <f>PFS_SalesOverview_ExclTax[[#This Row],[Units]]/PFS_SalesOverview_ExclTax[[#This Row],[Buyers]]</f>
        <v>1.4183501683501682</v>
      </c>
      <c r="AY13" s="93">
        <f>PFS_SalesOverview_ExclTax[[#This Row],[RR]]/PFS_SalesOverview_ExclTax[[#This Row],[GMV]]</f>
        <v>0.52433007246565555</v>
      </c>
      <c r="AZ13" s="429">
        <f>PFS_SalesOverview_InTax[[#This Row],[RR]]/$F$1</f>
        <v>2226697.5752212391</v>
      </c>
      <c r="BA13" s="429">
        <f>PFS_SalesOverview_InTax[[#This Row],[MD GMV]]/$F$1</f>
        <v>2597910.1150442483</v>
      </c>
      <c r="BB13" s="94">
        <f>PFS_SalesOverview_ExclTax[[#This Row],[MD GMV]]/PFS_SalesOverview_ExclTax[[#This Row],[GMV]]</f>
        <v>0.61174108870400568</v>
      </c>
      <c r="BC13" s="429">
        <f>PFS_SalesOverview_InTax[[#This Row],[GMV_TGT]]/$F$1</f>
        <v>4732353.982300885</v>
      </c>
      <c r="BD13" s="429">
        <f>PFS_SalesOverview_InTax[[#This Row],[NET_TGT]]/$F$1</f>
        <v>1716792.0353982302</v>
      </c>
      <c r="BE13" s="430">
        <f>PFS_SalesOverview_InTax[[#This Row],[TRAFFIC_TGT]]</f>
        <v>819178</v>
      </c>
      <c r="BF13" s="431">
        <f>PFS_SalesOverview_InTax[[#This Row],[BUYERS_TGT]]</f>
        <v>1482</v>
      </c>
      <c r="BG13" s="104">
        <f>PFS_SalesOverview_InTax[[#This Row],[CVR_TGT]]</f>
        <v>1.8091306163007307E-3</v>
      </c>
      <c r="BH13" s="431">
        <f>PFS_SalesOverview_InTax[[#This Row],[ATV_TGT]]/$F$1</f>
        <v>3193.2213105943897</v>
      </c>
      <c r="BI13" s="432">
        <f>PFS_SalesOverview_InTax[[#This Row],[UPT_TGT]]</f>
        <v>1.3319838056680162</v>
      </c>
      <c r="BJ13" s="94">
        <f>PFS_SalesOverview_InTax[[#This Row],[RRC_TGT]]</f>
        <v>0.63722239675665171</v>
      </c>
      <c r="BK13" s="431">
        <f>PFS_SalesOverview_InTax[[#This Row],[UNITS_TGT]]</f>
        <v>1974</v>
      </c>
      <c r="BL13" s="28" t="str">
        <f>_xlfn.XLOOKUP(PFS_SalesOverview_ExclTax[[#This Row],[DATE]],全店核心数据_bymonth[开始日期],全店核心数据_bymonth[jda日历.PayYear],"")</f>
        <v>BU26</v>
      </c>
      <c r="BO13" s="28"/>
      <c r="CO13" s="53"/>
    </row>
    <row r="14" spans="5:97" ht="14.5" customHeight="1" x14ac:dyDescent="0.3">
      <c r="E14" s="428">
        <v>45778</v>
      </c>
      <c r="F14" s="431">
        <f>SUMIFS(全店核心数据_bymonth[支付金额],全店核心数据_bymonth[开始日期],$E14)</f>
        <v>7629603.9299999997</v>
      </c>
      <c r="G14" s="431">
        <f>PFS_SalesOverview_InTax[[#This Row],[GMV]]-PFS_SalesOverview_InTax[[#This Row],[RR]]</f>
        <v>2731303.67</v>
      </c>
      <c r="H14" s="431">
        <f>SUMIFS(全店核心数据_bymonth[访客数],全店核心数据_bymonth[开始日期],$E14)</f>
        <v>488316</v>
      </c>
      <c r="I14" s="431">
        <f>SUMIFS(全店核心数据_bymonth[支付买家数],全店核心数据_bymonth[开始日期],$E14)</f>
        <v>1823</v>
      </c>
      <c r="J14" s="431">
        <f>SUMIFS(全店核心数据_bymonth[支付件数],全店核心数据_bymonth[开始日期],$E14)</f>
        <v>2646</v>
      </c>
      <c r="K14" s="92">
        <f>PFS_SalesOverview_InTax[[#This Row],[Buyers]]/PFS_SalesOverview_InTax[[#This Row],[UV]]</f>
        <v>3.7332383128957478E-3</v>
      </c>
      <c r="L14" s="431">
        <f>PFS_SalesOverview_InTax[[#This Row],[GMV]]/PFS_SalesOverview_InTax[[#This Row],[Buyers]]</f>
        <v>4185.1914042786611</v>
      </c>
      <c r="M14" s="431">
        <f>PFS_SalesOverview_InTax[[#This Row],[GMV]]/PFS_SalesOverview_InTax[[#This Row],[Units]]</f>
        <v>2883.4481972789113</v>
      </c>
      <c r="N14" s="432">
        <f>PFS_SalesOverview_InTax[[#This Row],[Units]]/PFS_SalesOverview_InTax[[#This Row],[Buyers]]</f>
        <v>1.4514536478332418</v>
      </c>
      <c r="O14" s="93">
        <f>PFS_SalesOverview_InTax[[#This Row],[RR]]/PFS_SalesOverview_InTax[[#This Row],[GMV]]</f>
        <v>0.6420123908057177</v>
      </c>
      <c r="P14" s="431">
        <f>SUMIFS(全店核心数据_bymonth[支付退款金额],全店核心数据_bymonth[开始日期],$E14)</f>
        <v>4898300.26</v>
      </c>
      <c r="Q14" s="431">
        <f>SUMIFS(全店核心数据_bymonth[md_gmv],全店核心数据_bymonth[开始日期],$E14)</f>
        <v>4248564.41</v>
      </c>
      <c r="R14" s="94">
        <f>PFS_SalesOverview_InTax[[#This Row],[MD GMV]]/PFS_SalesOverview_InTax[[#This Row],[GMV]]</f>
        <v>0.55685255079813822</v>
      </c>
      <c r="S14" s="431">
        <f>SUMIFS(全店核心数据_bymonth[md_net],全店核心数据_bymonth[开始日期],$E14)</f>
        <v>1786665.87</v>
      </c>
      <c r="T14" s="94">
        <f>PFS_SalesOverview_InTax[[#This Row],[MD NET]]/PFS_SalesOverview_InTax[[#This Row],[NET]]</f>
        <v>0.65414398612073776</v>
      </c>
      <c r="U14" s="431">
        <f>SUMIFS(目标表[gmv],目标表[Date],"&gt;="&amp;$E14,目标表[Date],"&lt;="&amp;EOMONTH($E14,0),目标表[channel],"PFS")</f>
        <v>7353631</v>
      </c>
      <c r="V14" s="431">
        <f>SUMIFS(目标表[net],目标表[Date],"&gt;="&amp;$E14,目标表[Date],"&lt;="&amp;EOMONTH($E14,0),目标表[channel],"PFS")</f>
        <v>2893183</v>
      </c>
      <c r="W14" s="431">
        <f>SUMIFS(目标表[uv],目标表[Date],"&gt;="&amp;$E14,目标表[Date],"&lt;="&amp;EOMONTH($E14,0),目标表[channel],"PFS")</f>
        <v>658660</v>
      </c>
      <c r="X14" s="431">
        <f>SUMIFS(目标表[buyers],目标表[Date],"&gt;="&amp;$E14,目标表[Date],"&lt;="&amp;EOMONTH($E14,0),目标表[channel],"PFS")</f>
        <v>1941</v>
      </c>
      <c r="Y14" s="378">
        <f>PFS_SalesOverview_InTax[[#This Row],[BUYERS_TGT]]/PFS_SalesOverview_InTax[[#This Row],[TRAFFIC_TGT]]</f>
        <v>2.9468921750220142E-3</v>
      </c>
      <c r="Z14" s="379">
        <f>PFS_SalesOverview_InTax[[#This Row],[GMV_TGT]]/PFS_SalesOverview_InTax[[#This Row],[BUYERS_TGT]]</f>
        <v>3788.5785677485833</v>
      </c>
      <c r="AA14" s="380">
        <f>PFS_SalesOverview_InTax[[#This Row],[UNITS_TGT]]/PFS_SalesOverview_InTax[[#This Row],[BUYERS_TGT]]</f>
        <v>1.3003606388459557</v>
      </c>
      <c r="AB14" s="94">
        <f>1-PFS_SalesOverview_InTax[[#This Row],[NET_TGT]]/PFS_SalesOverview_InTax[[#This Row],[GMV_TGT]]</f>
        <v>0.60656402258965669</v>
      </c>
      <c r="AC14" s="381">
        <f>SUMIFS(目标表[gmv_units],目标表[Date],"&gt;="&amp;$E14,目标表[Date],"&lt;="&amp;EOMONTH($E14,0),目标表[channel],"PFS")</f>
        <v>2524</v>
      </c>
      <c r="AD14" s="105">
        <f>PFS_SalesOverview_InTax[[#This Row],[GMV]]/PFS_SalesOverview_InTax[[#This Row],[GMV_TGT]]</f>
        <v>1.037528797678317</v>
      </c>
      <c r="AE14" s="105">
        <f>PFS_SalesOverview_InTax[[#This Row],[NET]]/PFS_SalesOverview_InTax[[#This Row],[NET_TGT]]</f>
        <v>0.94404801562846175</v>
      </c>
      <c r="AF14" s="105">
        <f>PFS_SalesOverview_InTax[[#This Row],[UV]]/PFS_SalesOverview_InTax[[#This Row],[TRAFFIC_TGT]]</f>
        <v>0.74137794916952604</v>
      </c>
      <c r="AG14" s="105">
        <f>PFS_SalesOverview_InTax[[#This Row],[Buyers]]/PFS_SalesOverview_InTax[[#This Row],[BUYERS_TGT]]</f>
        <v>0.93920659453889743</v>
      </c>
      <c r="AH14" s="105">
        <f>PFS_SalesOverview_InTax[[#This Row],[CR]]/PFS_SalesOverview_InTax[[#This Row],[CVR_TGT]]</f>
        <v>1.2668391278577606</v>
      </c>
      <c r="AI14" s="105">
        <f>PFS_SalesOverview_InTax[[#This Row],[ATV]]/PFS_SalesOverview_InTax[[#This Row],[ATV_TGT]]</f>
        <v>1.1046864488719765</v>
      </c>
      <c r="AJ14" s="105">
        <f>PFS_SalesOverview_InTax[[#This Row],[UPT]]/PFS_SalesOverview_InTax[[#This Row],[UPT_TGT]]</f>
        <v>1.1161931578622515</v>
      </c>
      <c r="AK14" s="105">
        <f>PFS_SalesOverview_InTax[[#This Row],[RRC]]/PFS_SalesOverview_InTax[[#This Row],[RRC_TGT]]</f>
        <v>1.0584412640642915</v>
      </c>
      <c r="AL14" s="28" t="str">
        <f>_xlfn.XLOOKUP(PFS_SalesOverview_InTax[[#This Row],[DATE]],全店核心数据_bymonth[开始日期],全店核心数据_bymonth[jda日历.PayYear],"")</f>
        <v>BU26</v>
      </c>
      <c r="AO14" s="428">
        <f>PFS_SalesOverview_InTax[[#This Row],[DATE]]</f>
        <v>45778</v>
      </c>
      <c r="AP14" s="429">
        <f>PFS_SalesOverview_InTax[[#This Row],[GMV]]/$F$1</f>
        <v>6751861.8849557526</v>
      </c>
      <c r="AQ14" s="429">
        <f>PFS_SalesOverview_ExclTax[[#This Row],[GMV]]-PFS_SalesOverview_ExclTax[[#This Row],[RR]]</f>
        <v>2417082.8938053101</v>
      </c>
      <c r="AR14" s="430">
        <f>PFS_SalesOverview_InTax[[#This Row],[UV]]</f>
        <v>488316</v>
      </c>
      <c r="AS14" s="431">
        <f>PFS_SalesOverview_InTax[[#This Row],[Buyers]]</f>
        <v>1823</v>
      </c>
      <c r="AT14" s="431">
        <f>PFS_SalesOverview_InTax[[#This Row],[Units]]</f>
        <v>2646</v>
      </c>
      <c r="AU14" s="92">
        <f>PFS_SalesOverview_ExclTax[[#This Row],[Buyers]]/PFS_SalesOverview_ExclTax[[#This Row],[UV]]</f>
        <v>3.7332383128957478E-3</v>
      </c>
      <c r="AV14" s="431">
        <f>PFS_SalesOverview_ExclTax[[#This Row],[GMV]]/PFS_SalesOverview_ExclTax[[#This Row],[Buyers]]</f>
        <v>3703.7092073262493</v>
      </c>
      <c r="AW14" s="431">
        <f>PFS_SalesOverview_ExclTax[[#This Row],[GMV]]/PFS_SalesOverview_ExclTax[[#This Row],[Units]]</f>
        <v>2551.7240683884174</v>
      </c>
      <c r="AX14" s="432">
        <f>PFS_SalesOverview_ExclTax[[#This Row],[Units]]/PFS_SalesOverview_ExclTax[[#This Row],[Buyers]]</f>
        <v>1.4514536478332418</v>
      </c>
      <c r="AY14" s="93">
        <f>PFS_SalesOverview_ExclTax[[#This Row],[RR]]/PFS_SalesOverview_ExclTax[[#This Row],[GMV]]</f>
        <v>0.6420123908057177</v>
      </c>
      <c r="AZ14" s="429">
        <f>PFS_SalesOverview_InTax[[#This Row],[RR]]/$F$1</f>
        <v>4334778.9911504425</v>
      </c>
      <c r="BA14" s="429">
        <f>PFS_SalesOverview_InTax[[#This Row],[MD GMV]]/$F$1</f>
        <v>3759791.5132743367</v>
      </c>
      <c r="BB14" s="94">
        <f>PFS_SalesOverview_ExclTax[[#This Row],[MD GMV]]/PFS_SalesOverview_ExclTax[[#This Row],[GMV]]</f>
        <v>0.55685255079813822</v>
      </c>
      <c r="BC14" s="429">
        <f>PFS_SalesOverview_InTax[[#This Row],[GMV_TGT]]/$F$1</f>
        <v>6507638.0530973459</v>
      </c>
      <c r="BD14" s="429">
        <f>PFS_SalesOverview_InTax[[#This Row],[NET_TGT]]/$F$1</f>
        <v>2560338.9380530976</v>
      </c>
      <c r="BE14" s="430">
        <f>PFS_SalesOverview_InTax[[#This Row],[TRAFFIC_TGT]]</f>
        <v>658660</v>
      </c>
      <c r="BF14" s="431">
        <f>PFS_SalesOverview_InTax[[#This Row],[BUYERS_TGT]]</f>
        <v>1941</v>
      </c>
      <c r="BG14" s="104">
        <f>PFS_SalesOverview_InTax[[#This Row],[CVR_TGT]]</f>
        <v>2.9468921750220142E-3</v>
      </c>
      <c r="BH14" s="431">
        <f>PFS_SalesOverview_InTax[[#This Row],[ATV_TGT]]/$F$1</f>
        <v>3352.7243962376847</v>
      </c>
      <c r="BI14" s="432">
        <f>PFS_SalesOverview_InTax[[#This Row],[UPT_TGT]]</f>
        <v>1.3003606388459557</v>
      </c>
      <c r="BJ14" s="94">
        <f>PFS_SalesOverview_InTax[[#This Row],[RRC_TGT]]</f>
        <v>0.60656402258965669</v>
      </c>
      <c r="BK14" s="431">
        <f>PFS_SalesOverview_InTax[[#This Row],[UNITS_TGT]]</f>
        <v>2524</v>
      </c>
      <c r="BL14" s="28" t="str">
        <f>_xlfn.XLOOKUP(PFS_SalesOverview_ExclTax[[#This Row],[DATE]],全店核心数据_bymonth[开始日期],全店核心数据_bymonth[jda日历.PayYear],"")</f>
        <v>BU26</v>
      </c>
      <c r="BO14" s="28"/>
      <c r="CO14" s="53"/>
    </row>
    <row r="15" spans="5:97" ht="14.5" customHeight="1" x14ac:dyDescent="0.3">
      <c r="E15" s="428">
        <v>45748</v>
      </c>
      <c r="F15" s="431">
        <f>SUMIFS(全店核心数据_bymonth[支付金额],全店核心数据_bymonth[开始日期],$E15)</f>
        <v>1268975</v>
      </c>
      <c r="G15" s="431">
        <f>PFS_SalesOverview_InTax[[#This Row],[GMV]]-PFS_SalesOverview_InTax[[#This Row],[RR]]</f>
        <v>586057.98</v>
      </c>
      <c r="H15" s="431">
        <f>SUMIFS(全店核心数据_bymonth[访客数],全店核心数据_bymonth[开始日期],$E15)</f>
        <v>295219</v>
      </c>
      <c r="I15" s="431">
        <f>SUMIFS(全店核心数据_bymonth[支付买家数],全店核心数据_bymonth[开始日期],$E15)</f>
        <v>202</v>
      </c>
      <c r="J15" s="431">
        <f>SUMIFS(全店核心数据_bymonth[支付件数],全店核心数据_bymonth[开始日期],$E15)</f>
        <v>265</v>
      </c>
      <c r="K15" s="92">
        <f>PFS_SalesOverview_InTax[[#This Row],[Buyers]]/PFS_SalesOverview_InTax[[#This Row],[UV]]</f>
        <v>6.842378031224278E-4</v>
      </c>
      <c r="L15" s="431">
        <f>PFS_SalesOverview_InTax[[#This Row],[GMV]]/PFS_SalesOverview_InTax[[#This Row],[Buyers]]</f>
        <v>6282.0544554455446</v>
      </c>
      <c r="M15" s="431">
        <f>PFS_SalesOverview_InTax[[#This Row],[GMV]]/PFS_SalesOverview_InTax[[#This Row],[Units]]</f>
        <v>4788.5849056603774</v>
      </c>
      <c r="N15" s="432">
        <f>PFS_SalesOverview_InTax[[#This Row],[Units]]/PFS_SalesOverview_InTax[[#This Row],[Buyers]]</f>
        <v>1.3118811881188119</v>
      </c>
      <c r="O15" s="93">
        <f>PFS_SalesOverview_InTax[[#This Row],[RR]]/PFS_SalesOverview_InTax[[#This Row],[GMV]]</f>
        <v>0.53816428219626078</v>
      </c>
      <c r="P15" s="431">
        <f>SUMIFS(全店核心数据_bymonth[支付退款金额],全店核心数据_bymonth[开始日期],$E15)</f>
        <v>682917.02</v>
      </c>
      <c r="Q15" s="431">
        <f>SUMIFS(全店核心数据_bymonth[md_gmv],全店核心数据_bymonth[开始日期],$E15)</f>
        <v>0</v>
      </c>
      <c r="R15" s="94">
        <f>PFS_SalesOverview_InTax[[#This Row],[MD GMV]]/PFS_SalesOverview_InTax[[#This Row],[GMV]]</f>
        <v>0</v>
      </c>
      <c r="S15" s="431">
        <f>SUMIFS(全店核心数据_bymonth[md_net],全店核心数据_bymonth[开始日期],$E15)</f>
        <v>0</v>
      </c>
      <c r="T15" s="94">
        <f>PFS_SalesOverview_InTax[[#This Row],[MD NET]]/PFS_SalesOverview_InTax[[#This Row],[NET]]</f>
        <v>0</v>
      </c>
      <c r="U15" s="431">
        <f>SUMIFS(目标表[gmv],目标表[Date],"&gt;="&amp;$E15,目标表[Date],"&lt;="&amp;EOMONTH($E15,0),目标表[channel],"PFS")</f>
        <v>1524848</v>
      </c>
      <c r="V15" s="431">
        <f>SUMIFS(目标表[net],目标表[Date],"&gt;="&amp;$E15,目标表[Date],"&lt;="&amp;EOMONTH($E15,0),目标表[channel],"PFS")</f>
        <v>701430</v>
      </c>
      <c r="W15" s="431">
        <f>SUMIFS(目标表[uv],目标表[Date],"&gt;="&amp;$E15,目标表[Date],"&lt;="&amp;EOMONTH($E15,0),目标表[channel],"PFS")</f>
        <v>319178</v>
      </c>
      <c r="X15" s="431">
        <f>SUMIFS(目标表[buyers],目标表[Date],"&gt;="&amp;$E15,目标表[Date],"&lt;="&amp;EOMONTH($E15,0),目标表[channel],"PFS")</f>
        <v>207</v>
      </c>
      <c r="Y15" s="378">
        <f>PFS_SalesOverview_InTax[[#This Row],[BUYERS_TGT]]/PFS_SalesOverview_InTax[[#This Row],[TRAFFIC_TGT]]</f>
        <v>6.4854093953843942E-4</v>
      </c>
      <c r="Z15" s="379">
        <f>PFS_SalesOverview_InTax[[#This Row],[GMV_TGT]]/PFS_SalesOverview_InTax[[#This Row],[BUYERS_TGT]]</f>
        <v>7366.4154589371983</v>
      </c>
      <c r="AA15" s="380">
        <f>PFS_SalesOverview_InTax[[#This Row],[UNITS_TGT]]/PFS_SalesOverview_InTax[[#This Row],[BUYERS_TGT]]</f>
        <v>1.4734299516908214</v>
      </c>
      <c r="AB15" s="94">
        <f>1-PFS_SalesOverview_InTax[[#This Row],[NET_TGT]]/PFS_SalesOverview_InTax[[#This Row],[GMV_TGT]]</f>
        <v>0.54000005246424565</v>
      </c>
      <c r="AC15" s="381">
        <f>SUMIFS(目标表[gmv_units],目标表[Date],"&gt;="&amp;$E15,目标表[Date],"&lt;="&amp;EOMONTH($E15,0),目标表[channel],"PFS")</f>
        <v>305</v>
      </c>
      <c r="AD15" s="105">
        <f>PFS_SalesOverview_InTax[[#This Row],[GMV]]/PFS_SalesOverview_InTax[[#This Row],[GMV_TGT]]</f>
        <v>0.83219770101675705</v>
      </c>
      <c r="AE15" s="105">
        <f>PFS_SalesOverview_InTax[[#This Row],[NET]]/PFS_SalesOverview_InTax[[#This Row],[NET_TGT]]</f>
        <v>0.83551884008382871</v>
      </c>
      <c r="AF15" s="105">
        <f>PFS_SalesOverview_InTax[[#This Row],[UV]]/PFS_SalesOverview_InTax[[#This Row],[TRAFFIC_TGT]]</f>
        <v>0.92493530255844703</v>
      </c>
      <c r="AG15" s="105">
        <f>PFS_SalesOverview_InTax[[#This Row],[Buyers]]/PFS_SalesOverview_InTax[[#This Row],[BUYERS_TGT]]</f>
        <v>0.97584541062801933</v>
      </c>
      <c r="AH15" s="105">
        <f>PFS_SalesOverview_InTax[[#This Row],[CR]]/PFS_SalesOverview_InTax[[#This Row],[CVR_TGT]]</f>
        <v>1.0550418044686485</v>
      </c>
      <c r="AI15" s="105">
        <f>PFS_SalesOverview_InTax[[#This Row],[ATV]]/PFS_SalesOverview_InTax[[#This Row],[ATV_TGT]]</f>
        <v>0.85279665401222138</v>
      </c>
      <c r="AJ15" s="105">
        <f>PFS_SalesOverview_InTax[[#This Row],[UPT]]/PFS_SalesOverview_InTax[[#This Row],[UPT_TGT]]</f>
        <v>0.89035870800194772</v>
      </c>
      <c r="AK15" s="105">
        <f>PFS_SalesOverview_InTax[[#This Row],[RRC]]/PFS_SalesOverview_InTax[[#This Row],[RRC_TGT]]</f>
        <v>0.99660042575994667</v>
      </c>
      <c r="AL15" s="28" t="str">
        <f>_xlfn.XLOOKUP(PFS_SalesOverview_InTax[[#This Row],[DATE]],全店核心数据_bymonth[开始日期],全店核心数据_bymonth[jda日历.PayYear],"")</f>
        <v>BU26</v>
      </c>
      <c r="AO15" s="428">
        <f>PFS_SalesOverview_InTax[[#This Row],[DATE]]</f>
        <v>45748</v>
      </c>
      <c r="AP15" s="429">
        <f>PFS_SalesOverview_InTax[[#This Row],[GMV]]/$F$1</f>
        <v>1122986.7256637169</v>
      </c>
      <c r="AQ15" s="429">
        <f>PFS_SalesOverview_ExclTax[[#This Row],[GMV]]-PFS_SalesOverview_ExclTax[[#This Row],[RR]]</f>
        <v>518635.38053097343</v>
      </c>
      <c r="AR15" s="430">
        <f>PFS_SalesOverview_InTax[[#This Row],[UV]]</f>
        <v>295219</v>
      </c>
      <c r="AS15" s="431">
        <f>PFS_SalesOverview_InTax[[#This Row],[Buyers]]</f>
        <v>202</v>
      </c>
      <c r="AT15" s="431">
        <f>PFS_SalesOverview_InTax[[#This Row],[Units]]</f>
        <v>265</v>
      </c>
      <c r="AU15" s="92">
        <f>PFS_SalesOverview_ExclTax[[#This Row],[Buyers]]/PFS_SalesOverview_ExclTax[[#This Row],[UV]]</f>
        <v>6.842378031224278E-4</v>
      </c>
      <c r="AV15" s="431">
        <f>PFS_SalesOverview_ExclTax[[#This Row],[GMV]]/PFS_SalesOverview_ExclTax[[#This Row],[Buyers]]</f>
        <v>5559.3402260580042</v>
      </c>
      <c r="AW15" s="431">
        <f>PFS_SalesOverview_ExclTax[[#This Row],[GMV]]/PFS_SalesOverview_ExclTax[[#This Row],[Units]]</f>
        <v>4237.6857572215731</v>
      </c>
      <c r="AX15" s="432">
        <f>PFS_SalesOverview_ExclTax[[#This Row],[Units]]/PFS_SalesOverview_ExclTax[[#This Row],[Buyers]]</f>
        <v>1.3118811881188119</v>
      </c>
      <c r="AY15" s="93">
        <f>PFS_SalesOverview_ExclTax[[#This Row],[RR]]/PFS_SalesOverview_ExclTax[[#This Row],[GMV]]</f>
        <v>0.53816428219626078</v>
      </c>
      <c r="AZ15" s="429">
        <f>PFS_SalesOverview_InTax[[#This Row],[RR]]/$F$1</f>
        <v>604351.34513274347</v>
      </c>
      <c r="BA15" s="429">
        <f>PFS_SalesOverview_InTax[[#This Row],[MD GMV]]/$F$1</f>
        <v>0</v>
      </c>
      <c r="BB15" s="94">
        <f>PFS_SalesOverview_ExclTax[[#This Row],[MD GMV]]/PFS_SalesOverview_ExclTax[[#This Row],[GMV]]</f>
        <v>0</v>
      </c>
      <c r="BC15" s="429">
        <f>PFS_SalesOverview_InTax[[#This Row],[GMV_TGT]]/$F$1</f>
        <v>1349423.0088495577</v>
      </c>
      <c r="BD15" s="429">
        <f>PFS_SalesOverview_InTax[[#This Row],[NET_TGT]]/$F$1</f>
        <v>620734.51327433635</v>
      </c>
      <c r="BE15" s="430">
        <f>PFS_SalesOverview_InTax[[#This Row],[TRAFFIC_TGT]]</f>
        <v>319178</v>
      </c>
      <c r="BF15" s="431">
        <f>PFS_SalesOverview_InTax[[#This Row],[BUYERS_TGT]]</f>
        <v>207</v>
      </c>
      <c r="BG15" s="104">
        <f>PFS_SalesOverview_InTax[[#This Row],[CVR_TGT]]</f>
        <v>6.4854093953843942E-4</v>
      </c>
      <c r="BH15" s="431">
        <f>PFS_SalesOverview_InTax[[#This Row],[ATV_TGT]]/$F$1</f>
        <v>6518.9517335727423</v>
      </c>
      <c r="BI15" s="432">
        <f>PFS_SalesOverview_InTax[[#This Row],[UPT_TGT]]</f>
        <v>1.4734299516908214</v>
      </c>
      <c r="BJ15" s="94">
        <f>PFS_SalesOverview_InTax[[#This Row],[RRC_TGT]]</f>
        <v>0.54000005246424565</v>
      </c>
      <c r="BK15" s="431">
        <f>PFS_SalesOverview_InTax[[#This Row],[UNITS_TGT]]</f>
        <v>305</v>
      </c>
      <c r="BL15" s="28" t="str">
        <f>_xlfn.XLOOKUP(PFS_SalesOverview_ExclTax[[#This Row],[DATE]],全店核心数据_bymonth[开始日期],全店核心数据_bymonth[jda日历.PayYear],"")</f>
        <v>BU26</v>
      </c>
      <c r="BO15" s="28"/>
      <c r="CO15" s="53"/>
    </row>
    <row r="16" spans="5:97" ht="14.5" customHeight="1" x14ac:dyDescent="0.3">
      <c r="E16" s="428">
        <v>45717</v>
      </c>
      <c r="F16" s="431">
        <f>SUMIFS(全店核心数据_bymonth[支付金额],全店核心数据_bymonth[开始日期],$E16)</f>
        <v>1522620</v>
      </c>
      <c r="G16" s="431">
        <f>PFS_SalesOverview_InTax[[#This Row],[GMV]]-PFS_SalesOverview_InTax[[#This Row],[RR]]</f>
        <v>596295</v>
      </c>
      <c r="H16" s="431">
        <f>SUMIFS(全店核心数据_bymonth[访客数],全店核心数据_bymonth[开始日期],$E16)</f>
        <v>333985</v>
      </c>
      <c r="I16" s="431">
        <f>SUMIFS(全店核心数据_bymonth[支付买家数],全店核心数据_bymonth[开始日期],$E16)</f>
        <v>193</v>
      </c>
      <c r="J16" s="431">
        <f>SUMIFS(全店核心数据_bymonth[支付件数],全店核心数据_bymonth[开始日期],$E16)</f>
        <v>258</v>
      </c>
      <c r="K16" s="92">
        <f>PFS_SalesOverview_InTax[[#This Row],[Buyers]]/PFS_SalesOverview_InTax[[#This Row],[UV]]</f>
        <v>5.7787026363459437E-4</v>
      </c>
      <c r="L16" s="431">
        <f>PFS_SalesOverview_InTax[[#This Row],[GMV]]/PFS_SalesOverview_InTax[[#This Row],[Buyers]]</f>
        <v>7889.2227979274612</v>
      </c>
      <c r="M16" s="431">
        <f>PFS_SalesOverview_InTax[[#This Row],[GMV]]/PFS_SalesOverview_InTax[[#This Row],[Units]]</f>
        <v>5901.6279069767443</v>
      </c>
      <c r="N16" s="432">
        <f>PFS_SalesOverview_InTax[[#This Row],[Units]]/PFS_SalesOverview_InTax[[#This Row],[Buyers]]</f>
        <v>1.3367875647668395</v>
      </c>
      <c r="O16" s="93">
        <f>PFS_SalesOverview_InTax[[#This Row],[RR]]/PFS_SalesOverview_InTax[[#This Row],[GMV]]</f>
        <v>0.60837569452653983</v>
      </c>
      <c r="P16" s="431">
        <f>SUMIFS(全店核心数据_bymonth[支付退款金额],全店核心数据_bymonth[开始日期],$E16)</f>
        <v>926325</v>
      </c>
      <c r="Q16" s="431">
        <f>SUMIFS(全店核心数据_bymonth[md_gmv],全店核心数据_bymonth[开始日期],$E16)</f>
        <v>0</v>
      </c>
      <c r="R16" s="94">
        <f>PFS_SalesOverview_InTax[[#This Row],[MD GMV]]/PFS_SalesOverview_InTax[[#This Row],[GMV]]</f>
        <v>0</v>
      </c>
      <c r="S16" s="431">
        <f>SUMIFS(全店核心数据_bymonth[md_net],全店核心数据_bymonth[开始日期],$E16)</f>
        <v>0</v>
      </c>
      <c r="T16" s="94">
        <f>PFS_SalesOverview_InTax[[#This Row],[MD NET]]/PFS_SalesOverview_InTax[[#This Row],[NET]]</f>
        <v>0</v>
      </c>
      <c r="U16" s="431">
        <f>SUMIFS(目标表[gmv],目标表[Date],"&gt;="&amp;$E16,目标表[Date],"&lt;="&amp;EOMONTH($E16,0),目标表[channel],"PFS")</f>
        <v>1690000</v>
      </c>
      <c r="V16" s="431">
        <f>SUMIFS(目标表[net],目标表[Date],"&gt;="&amp;$E16,目标表[Date],"&lt;="&amp;EOMONTH($E16,0),目标表[channel],"PFS")</f>
        <v>821600</v>
      </c>
      <c r="W16" s="431">
        <f>SUMIFS(目标表[uv],目标表[Date],"&gt;="&amp;$E16,目标表[Date],"&lt;="&amp;EOMONTH($E16,0),目标表[channel],"PFS")</f>
        <v>290000</v>
      </c>
      <c r="X16" s="431">
        <f>SUMIFS(目标表[buyers],目标表[Date],"&gt;="&amp;$E16,目标表[Date],"&lt;="&amp;EOMONTH($E16,0),目标表[channel],"PFS")</f>
        <v>262</v>
      </c>
      <c r="Y16" s="378">
        <f>PFS_SalesOverview_InTax[[#This Row],[BUYERS_TGT]]/PFS_SalesOverview_InTax[[#This Row],[TRAFFIC_TGT]]</f>
        <v>9.0344827586206892E-4</v>
      </c>
      <c r="Z16" s="379">
        <f>PFS_SalesOverview_InTax[[#This Row],[GMV_TGT]]/PFS_SalesOverview_InTax[[#This Row],[BUYERS_TGT]]</f>
        <v>6450.3816793893129</v>
      </c>
      <c r="AA16" s="380">
        <f>PFS_SalesOverview_InTax[[#This Row],[UNITS_TGT]]/PFS_SalesOverview_InTax[[#This Row],[BUYERS_TGT]]</f>
        <v>1.2900763358778626</v>
      </c>
      <c r="AB16" s="94">
        <f>1-PFS_SalesOverview_InTax[[#This Row],[NET_TGT]]/PFS_SalesOverview_InTax[[#This Row],[GMV_TGT]]</f>
        <v>0.51384615384615384</v>
      </c>
      <c r="AC16" s="381">
        <f>SUMIFS(目标表[gmv_units],目标表[Date],"&gt;="&amp;$E16,目标表[Date],"&lt;="&amp;EOMONTH($E16,0),目标表[channel],"PFS")</f>
        <v>338</v>
      </c>
      <c r="AD16" s="105">
        <f>PFS_SalesOverview_InTax[[#This Row],[GMV]]/PFS_SalesOverview_InTax[[#This Row],[GMV_TGT]]</f>
        <v>0.90095857988165684</v>
      </c>
      <c r="AE16" s="105">
        <f>PFS_SalesOverview_InTax[[#This Row],[NET]]/PFS_SalesOverview_InTax[[#This Row],[NET_TGT]]</f>
        <v>0.72577288218111002</v>
      </c>
      <c r="AF16" s="105">
        <f>PFS_SalesOverview_InTax[[#This Row],[UV]]/PFS_SalesOverview_InTax[[#This Row],[TRAFFIC_TGT]]</f>
        <v>1.1516724137931034</v>
      </c>
      <c r="AG16" s="105">
        <f>PFS_SalesOverview_InTax[[#This Row],[Buyers]]/PFS_SalesOverview_InTax[[#This Row],[BUYERS_TGT]]</f>
        <v>0.73664122137404575</v>
      </c>
      <c r="AH16" s="105">
        <f>PFS_SalesOverview_InTax[[#This Row],[CR]]/PFS_SalesOverview_InTax[[#This Row],[CVR_TGT]]</f>
        <v>0.63962739104592514</v>
      </c>
      <c r="AI16" s="105">
        <f>PFS_SalesOverview_InTax[[#This Row],[ATV]]/PFS_SalesOverview_InTax[[#This Row],[ATV_TGT]]</f>
        <v>1.223062942637275</v>
      </c>
      <c r="AJ16" s="105">
        <f>PFS_SalesOverview_InTax[[#This Row],[UPT]]/PFS_SalesOverview_InTax[[#This Row],[UPT_TGT]]</f>
        <v>1.036208112334059</v>
      </c>
      <c r="AK16" s="105">
        <f>PFS_SalesOverview_InTax[[#This Row],[RRC]]/PFS_SalesOverview_InTax[[#This Row],[RRC_TGT]]</f>
        <v>1.1839646749767991</v>
      </c>
      <c r="AL16" s="28" t="str">
        <f>_xlfn.XLOOKUP(PFS_SalesOverview_InTax[[#This Row],[DATE]],全店核心数据_bymonth[开始日期],全店核心数据_bymonth[jda日历.PayYear],"")</f>
        <v>BU25</v>
      </c>
      <c r="AO16" s="428">
        <f>PFS_SalesOverview_InTax[[#This Row],[DATE]]</f>
        <v>45717</v>
      </c>
      <c r="AP16" s="429">
        <f>PFS_SalesOverview_InTax[[#This Row],[GMV]]/$F$1</f>
        <v>1347451.3274336285</v>
      </c>
      <c r="AQ16" s="429">
        <f>PFS_SalesOverview_ExclTax[[#This Row],[GMV]]-PFS_SalesOverview_ExclTax[[#This Row],[RR]]</f>
        <v>527694.69026548683</v>
      </c>
      <c r="AR16" s="430">
        <f>PFS_SalesOverview_InTax[[#This Row],[UV]]</f>
        <v>333985</v>
      </c>
      <c r="AS16" s="431">
        <f>PFS_SalesOverview_InTax[[#This Row],[Buyers]]</f>
        <v>193</v>
      </c>
      <c r="AT16" s="431">
        <f>PFS_SalesOverview_InTax[[#This Row],[Units]]</f>
        <v>258</v>
      </c>
      <c r="AU16" s="92">
        <f>PFS_SalesOverview_ExclTax[[#This Row],[Buyers]]/PFS_SalesOverview_ExclTax[[#This Row],[UV]]</f>
        <v>5.7787026363459437E-4</v>
      </c>
      <c r="AV16" s="431">
        <f>PFS_SalesOverview_ExclTax[[#This Row],[GMV]]/PFS_SalesOverview_ExclTax[[#This Row],[Buyers]]</f>
        <v>6981.6130955110284</v>
      </c>
      <c r="AW16" s="431">
        <f>PFS_SalesOverview_ExclTax[[#This Row],[GMV]]/PFS_SalesOverview_ExclTax[[#This Row],[Units]]</f>
        <v>5222.6795636962343</v>
      </c>
      <c r="AX16" s="432">
        <f>PFS_SalesOverview_ExclTax[[#This Row],[Units]]/PFS_SalesOverview_ExclTax[[#This Row],[Buyers]]</f>
        <v>1.3367875647668395</v>
      </c>
      <c r="AY16" s="93">
        <f>PFS_SalesOverview_ExclTax[[#This Row],[RR]]/PFS_SalesOverview_ExclTax[[#This Row],[GMV]]</f>
        <v>0.60837569452653972</v>
      </c>
      <c r="AZ16" s="429">
        <f>PFS_SalesOverview_InTax[[#This Row],[RR]]/$F$1</f>
        <v>819756.63716814166</v>
      </c>
      <c r="BA16" s="429">
        <f>PFS_SalesOverview_InTax[[#This Row],[MD GMV]]/$F$1</f>
        <v>0</v>
      </c>
      <c r="BB16" s="94">
        <f>PFS_SalesOverview_ExclTax[[#This Row],[MD GMV]]/PFS_SalesOverview_ExclTax[[#This Row],[GMV]]</f>
        <v>0</v>
      </c>
      <c r="BC16" s="429">
        <f>PFS_SalesOverview_InTax[[#This Row],[GMV_TGT]]/$F$1</f>
        <v>1495575.2212389382</v>
      </c>
      <c r="BD16" s="429">
        <f>PFS_SalesOverview_InTax[[#This Row],[NET_TGT]]/$F$1</f>
        <v>727079.64601769915</v>
      </c>
      <c r="BE16" s="430">
        <f>PFS_SalesOverview_InTax[[#This Row],[TRAFFIC_TGT]]</f>
        <v>290000</v>
      </c>
      <c r="BF16" s="431">
        <f>PFS_SalesOverview_InTax[[#This Row],[BUYERS_TGT]]</f>
        <v>262</v>
      </c>
      <c r="BG16" s="104">
        <f>PFS_SalesOverview_InTax[[#This Row],[CVR_TGT]]</f>
        <v>9.0344827586206892E-4</v>
      </c>
      <c r="BH16" s="431">
        <f>PFS_SalesOverview_InTax[[#This Row],[ATV_TGT]]/$F$1</f>
        <v>5708.3023711409851</v>
      </c>
      <c r="BI16" s="432">
        <f>PFS_SalesOverview_InTax[[#This Row],[UPT_TGT]]</f>
        <v>1.2900763358778626</v>
      </c>
      <c r="BJ16" s="94">
        <f>PFS_SalesOverview_InTax[[#This Row],[RRC_TGT]]</f>
        <v>0.51384615384615384</v>
      </c>
      <c r="BK16" s="431">
        <f>PFS_SalesOverview_InTax[[#This Row],[UNITS_TGT]]</f>
        <v>338</v>
      </c>
      <c r="BL16" s="28" t="str">
        <f>_xlfn.XLOOKUP(PFS_SalesOverview_ExclTax[[#This Row],[DATE]],全店核心数据_bymonth[开始日期],全店核心数据_bymonth[jda日历.PayYear],"")</f>
        <v>BU25</v>
      </c>
      <c r="BO16" s="28"/>
      <c r="CS16" s="53"/>
    </row>
    <row r="17" spans="5:97" ht="14.5" customHeight="1" x14ac:dyDescent="0.3">
      <c r="E17" s="428">
        <v>45689</v>
      </c>
      <c r="F17" s="431">
        <f>SUMIFS(全店核心数据_bymonth[支付金额],全店核心数据_bymonth[开始日期],$E17)</f>
        <v>1839850</v>
      </c>
      <c r="G17" s="431">
        <f>PFS_SalesOverview_InTax[[#This Row],[GMV]]-PFS_SalesOverview_InTax[[#This Row],[RR]]</f>
        <v>734747.85000000009</v>
      </c>
      <c r="H17" s="431">
        <f>SUMIFS(全店核心数据_bymonth[访客数],全店核心数据_bymonth[开始日期],$E17)</f>
        <v>278775</v>
      </c>
      <c r="I17" s="431">
        <f>SUMIFS(全店核心数据_bymonth[支付买家数],全店核心数据_bymonth[开始日期],$E17)</f>
        <v>254</v>
      </c>
      <c r="J17" s="431">
        <f>SUMIFS(全店核心数据_bymonth[支付件数],全店核心数据_bymonth[开始日期],$E17)</f>
        <v>385</v>
      </c>
      <c r="K17" s="92">
        <f>PFS_SalesOverview_InTax[[#This Row],[Buyers]]/PFS_SalesOverview_InTax[[#This Row],[UV]]</f>
        <v>9.1112904672226711E-4</v>
      </c>
      <c r="L17" s="431">
        <f>PFS_SalesOverview_InTax[[#This Row],[GMV]]/PFS_SalesOverview_InTax[[#This Row],[Buyers]]</f>
        <v>7243.5039370078739</v>
      </c>
      <c r="M17" s="431">
        <f>PFS_SalesOverview_InTax[[#This Row],[GMV]]/PFS_SalesOverview_InTax[[#This Row],[Units]]</f>
        <v>4778.8311688311687</v>
      </c>
      <c r="N17" s="432">
        <f>PFS_SalesOverview_InTax[[#This Row],[Units]]/PFS_SalesOverview_InTax[[#This Row],[Buyers]]</f>
        <v>1.515748031496063</v>
      </c>
      <c r="O17" s="93">
        <f>PFS_SalesOverview_InTax[[#This Row],[RR]]/PFS_SalesOverview_InTax[[#This Row],[GMV]]</f>
        <v>0.60064796043155688</v>
      </c>
      <c r="P17" s="431">
        <f>SUMIFS(全店核心数据_bymonth[支付退款金额],全店核心数据_bymonth[开始日期],$E17)</f>
        <v>1105102.1499999999</v>
      </c>
      <c r="Q17" s="431">
        <f>SUMIFS(全店核心数据_bymonth[md_gmv],全店核心数据_bymonth[开始日期],$E17)</f>
        <v>517590</v>
      </c>
      <c r="R17" s="94">
        <f>PFS_SalesOverview_InTax[[#This Row],[MD GMV]]/PFS_SalesOverview_InTax[[#This Row],[GMV]]</f>
        <v>0.28132184688969208</v>
      </c>
      <c r="S17" s="431">
        <f>SUMIFS(全店核心数据_bymonth[md_net],全店核心数据_bymonth[开始日期],$E17)</f>
        <v>199975</v>
      </c>
      <c r="T17" s="94">
        <f>PFS_SalesOverview_InTax[[#This Row],[MD NET]]/PFS_SalesOverview_InTax[[#This Row],[NET]]</f>
        <v>0.27216820028803074</v>
      </c>
      <c r="U17" s="431">
        <f>SUMIFS(目标表[gmv],目标表[Date],"&gt;="&amp;$E17,目标表[Date],"&lt;="&amp;EOMONTH($E17,0),目标表[channel],"PFS")</f>
        <v>1600000</v>
      </c>
      <c r="V17" s="431">
        <f>SUMIFS(目标表[net],目标表[Date],"&gt;="&amp;$E17,目标表[Date],"&lt;="&amp;EOMONTH($E17,0),目标表[channel],"PFS")</f>
        <v>800000</v>
      </c>
      <c r="W17" s="431">
        <f>SUMIFS(目标表[uv],目标表[Date],"&gt;="&amp;$E17,目标表[Date],"&lt;="&amp;EOMONTH($E17,0),目标表[channel],"PFS")</f>
        <v>299236</v>
      </c>
      <c r="X17" s="431">
        <f>SUMIFS(目标表[buyers],目标表[Date],"&gt;="&amp;$E17,目标表[Date],"&lt;="&amp;EOMONTH($E17,0),目标表[channel],"PFS")</f>
        <v>251</v>
      </c>
      <c r="Y17" s="378">
        <f>PFS_SalesOverview_InTax[[#This Row],[BUYERS_TGT]]/PFS_SalesOverview_InTax[[#This Row],[TRAFFIC_TGT]]</f>
        <v>8.3880281784277293E-4</v>
      </c>
      <c r="Z17" s="379">
        <f>PFS_SalesOverview_InTax[[#This Row],[GMV_TGT]]/PFS_SalesOverview_InTax[[#This Row],[BUYERS_TGT]]</f>
        <v>6374.5019920318728</v>
      </c>
      <c r="AA17" s="380">
        <f>PFS_SalesOverview_InTax[[#This Row],[UNITS_TGT]]/PFS_SalesOverview_InTax[[#This Row],[BUYERS_TGT]]</f>
        <v>1.2749003984063745</v>
      </c>
      <c r="AB17" s="94">
        <f>1-PFS_SalesOverview_InTax[[#This Row],[NET_TGT]]/PFS_SalesOverview_InTax[[#This Row],[GMV_TGT]]</f>
        <v>0.5</v>
      </c>
      <c r="AC17" s="381">
        <f>SUMIFS(目标表[gmv_units],目标表[Date],"&gt;="&amp;$E17,目标表[Date],"&lt;="&amp;EOMONTH($E17,0),目标表[channel],"PFS")</f>
        <v>320</v>
      </c>
      <c r="AD17" s="105">
        <f>PFS_SalesOverview_InTax[[#This Row],[GMV]]/PFS_SalesOverview_InTax[[#This Row],[GMV_TGT]]</f>
        <v>1.1499062499999999</v>
      </c>
      <c r="AE17" s="105">
        <f>PFS_SalesOverview_InTax[[#This Row],[NET]]/PFS_SalesOverview_InTax[[#This Row],[NET_TGT]]</f>
        <v>0.91843481250000014</v>
      </c>
      <c r="AF17" s="105">
        <f>PFS_SalesOverview_InTax[[#This Row],[UV]]/PFS_SalesOverview_InTax[[#This Row],[TRAFFIC_TGT]]</f>
        <v>0.93162253204828294</v>
      </c>
      <c r="AG17" s="105">
        <f>PFS_SalesOverview_InTax[[#This Row],[Buyers]]/PFS_SalesOverview_InTax[[#This Row],[BUYERS_TGT]]</f>
        <v>1.0119521912350598</v>
      </c>
      <c r="AH17" s="105">
        <f>PFS_SalesOverview_InTax[[#This Row],[CR]]/PFS_SalesOverview_InTax[[#This Row],[CVR_TGT]]</f>
        <v>1.0862255435258339</v>
      </c>
      <c r="AI17" s="105">
        <f>PFS_SalesOverview_InTax[[#This Row],[ATV]]/PFS_SalesOverview_InTax[[#This Row],[ATV_TGT]]</f>
        <v>1.1363246801181102</v>
      </c>
      <c r="AJ17" s="105">
        <f>PFS_SalesOverview_InTax[[#This Row],[UPT]]/PFS_SalesOverview_InTax[[#This Row],[UPT_TGT]]</f>
        <v>1.1889148622047243</v>
      </c>
      <c r="AK17" s="105">
        <f>PFS_SalesOverview_InTax[[#This Row],[RRC]]/PFS_SalesOverview_InTax[[#This Row],[RRC_TGT]]</f>
        <v>1.2012959208631138</v>
      </c>
      <c r="AL17" s="28" t="str">
        <f>_xlfn.XLOOKUP(PFS_SalesOverview_InTax[[#This Row],[DATE]],全店核心数据_bymonth[开始日期],全店核心数据_bymonth[jda日历.PayYear],"")</f>
        <v>BU25</v>
      </c>
      <c r="AO17" s="428">
        <f>PFS_SalesOverview_InTax[[#This Row],[DATE]]</f>
        <v>45689</v>
      </c>
      <c r="AP17" s="429">
        <f>PFS_SalesOverview_InTax[[#This Row],[GMV]]/$F$1</f>
        <v>1628185.8407079647</v>
      </c>
      <c r="AQ17" s="429">
        <f>PFS_SalesOverview_ExclTax[[#This Row],[GMV]]-PFS_SalesOverview_ExclTax[[#This Row],[RR]]</f>
        <v>650219.33628318598</v>
      </c>
      <c r="AR17" s="430">
        <f>PFS_SalesOverview_InTax[[#This Row],[UV]]</f>
        <v>278775</v>
      </c>
      <c r="AS17" s="431">
        <f>PFS_SalesOverview_InTax[[#This Row],[Buyers]]</f>
        <v>254</v>
      </c>
      <c r="AT17" s="431">
        <f>PFS_SalesOverview_InTax[[#This Row],[Units]]</f>
        <v>385</v>
      </c>
      <c r="AU17" s="92">
        <f>PFS_SalesOverview_ExclTax[[#This Row],[Buyers]]/PFS_SalesOverview_ExclTax[[#This Row],[UV]]</f>
        <v>9.1112904672226711E-4</v>
      </c>
      <c r="AV17" s="431">
        <f>PFS_SalesOverview_ExclTax[[#This Row],[GMV]]/PFS_SalesOverview_ExclTax[[#This Row],[Buyers]]</f>
        <v>6410.1804752282078</v>
      </c>
      <c r="AW17" s="431">
        <f>PFS_SalesOverview_ExclTax[[#This Row],[GMV]]/PFS_SalesOverview_ExclTax[[#This Row],[Units]]</f>
        <v>4229.0541317089992</v>
      </c>
      <c r="AX17" s="432">
        <f>PFS_SalesOverview_ExclTax[[#This Row],[Units]]/PFS_SalesOverview_ExclTax[[#This Row],[Buyers]]</f>
        <v>1.515748031496063</v>
      </c>
      <c r="AY17" s="93">
        <f>PFS_SalesOverview_ExclTax[[#This Row],[RR]]/PFS_SalesOverview_ExclTax[[#This Row],[GMV]]</f>
        <v>0.60064796043155688</v>
      </c>
      <c r="AZ17" s="429">
        <f>PFS_SalesOverview_InTax[[#This Row],[RR]]/$F$1</f>
        <v>977966.50442477874</v>
      </c>
      <c r="BA17" s="429">
        <f>PFS_SalesOverview_InTax[[#This Row],[MD GMV]]/$F$1</f>
        <v>458044.24778761069</v>
      </c>
      <c r="BB17" s="94">
        <f>PFS_SalesOverview_ExclTax[[#This Row],[MD GMV]]/PFS_SalesOverview_ExclTax[[#This Row],[GMV]]</f>
        <v>0.28132184688969214</v>
      </c>
      <c r="BC17" s="429">
        <f>PFS_SalesOverview_InTax[[#This Row],[GMV_TGT]]/$F$1</f>
        <v>1415929.2035398232</v>
      </c>
      <c r="BD17" s="429">
        <f>PFS_SalesOverview_InTax[[#This Row],[NET_TGT]]/$F$1</f>
        <v>707964.60176991159</v>
      </c>
      <c r="BE17" s="430">
        <f>PFS_SalesOverview_InTax[[#This Row],[TRAFFIC_TGT]]</f>
        <v>299236</v>
      </c>
      <c r="BF17" s="431">
        <f>PFS_SalesOverview_InTax[[#This Row],[BUYERS_TGT]]</f>
        <v>251</v>
      </c>
      <c r="BG17" s="104">
        <f>PFS_SalesOverview_InTax[[#This Row],[CVR_TGT]]</f>
        <v>8.3880281784277293E-4</v>
      </c>
      <c r="BH17" s="431">
        <f>PFS_SalesOverview_InTax[[#This Row],[ATV_TGT]]/$F$1</f>
        <v>5641.1522053379413</v>
      </c>
      <c r="BI17" s="432">
        <f>PFS_SalesOverview_InTax[[#This Row],[UPT_TGT]]</f>
        <v>1.2749003984063745</v>
      </c>
      <c r="BJ17" s="94">
        <f>PFS_SalesOverview_InTax[[#This Row],[RRC_TGT]]</f>
        <v>0.5</v>
      </c>
      <c r="BK17" s="431">
        <f>PFS_SalesOverview_InTax[[#This Row],[UNITS_TGT]]</f>
        <v>320</v>
      </c>
      <c r="BL17" s="28" t="str">
        <f>_xlfn.XLOOKUP(PFS_SalesOverview_ExclTax[[#This Row],[DATE]],全店核心数据_bymonth[开始日期],全店核心数据_bymonth[jda日历.PayYear],"")</f>
        <v>BU25</v>
      </c>
      <c r="BO17" s="28"/>
      <c r="CS17" s="53"/>
    </row>
    <row r="18" spans="5:97" ht="14.5" customHeight="1" x14ac:dyDescent="0.3">
      <c r="E18" s="428">
        <v>45658</v>
      </c>
      <c r="F18" s="431">
        <f>SUMIFS(全店核心数据_bymonth[支付金额],全店核心数据_bymonth[开始日期],$E18)</f>
        <v>3227575</v>
      </c>
      <c r="G18" s="431">
        <f>PFS_SalesOverview_InTax[[#This Row],[GMV]]-PFS_SalesOverview_InTax[[#This Row],[RR]]</f>
        <v>1545471.25</v>
      </c>
      <c r="H18" s="431">
        <f>SUMIFS(全店核心数据_bymonth[访客数],全店核心数据_bymonth[开始日期],$E18)</f>
        <v>296306</v>
      </c>
      <c r="I18" s="431">
        <f>SUMIFS(全店核心数据_bymonth[支付买家数],全店核心数据_bymonth[开始日期],$E18)</f>
        <v>422</v>
      </c>
      <c r="J18" s="431">
        <f>SUMIFS(全店核心数据_bymonth[支付件数],全店核心数据_bymonth[开始日期],$E18)</f>
        <v>586</v>
      </c>
      <c r="K18" s="92">
        <f>PFS_SalesOverview_InTax[[#This Row],[Buyers]]/PFS_SalesOverview_InTax[[#This Row],[UV]]</f>
        <v>1.4242033573400471E-3</v>
      </c>
      <c r="L18" s="431">
        <f>PFS_SalesOverview_InTax[[#This Row],[GMV]]/PFS_SalesOverview_InTax[[#This Row],[Buyers]]</f>
        <v>7648.2819905213273</v>
      </c>
      <c r="M18" s="431">
        <f>PFS_SalesOverview_InTax[[#This Row],[GMV]]/PFS_SalesOverview_InTax[[#This Row],[Units]]</f>
        <v>5507.8071672354945</v>
      </c>
      <c r="N18" s="432">
        <f>PFS_SalesOverview_InTax[[#This Row],[Units]]/PFS_SalesOverview_InTax[[#This Row],[Buyers]]</f>
        <v>1.3886255924170616</v>
      </c>
      <c r="O18" s="93">
        <f>PFS_SalesOverview_InTax[[#This Row],[RR]]/PFS_SalesOverview_InTax[[#This Row],[GMV]]</f>
        <v>0.52116643300310606</v>
      </c>
      <c r="P18" s="431">
        <f>SUMIFS(全店核心数据_bymonth[支付退款金额],全店核心数据_bymonth[开始日期],$E18)</f>
        <v>1682103.75</v>
      </c>
      <c r="Q18" s="431">
        <f>SUMIFS(全店核心数据_bymonth[md_gmv],全店核心数据_bymonth[开始日期],$E18)</f>
        <v>1692093.02</v>
      </c>
      <c r="R18" s="94">
        <f>PFS_SalesOverview_InTax[[#This Row],[MD GMV]]/PFS_SalesOverview_InTax[[#This Row],[GMV]]</f>
        <v>0.52426140988203218</v>
      </c>
      <c r="S18" s="431">
        <f>SUMIFS(全店核心数据_bymonth[md_net],全店核心数据_bymonth[开始日期],$E18)</f>
        <v>723803.15</v>
      </c>
      <c r="T18" s="94">
        <f>PFS_SalesOverview_InTax[[#This Row],[MD NET]]/PFS_SalesOverview_InTax[[#This Row],[NET]]</f>
        <v>0.46833815252143968</v>
      </c>
      <c r="U18" s="431">
        <f>SUMIFS(目标表[gmv],目标表[Date],"&gt;="&amp;$E18,目标表[Date],"&lt;="&amp;EOMONTH($E18,0),目标表[channel],"PFS")</f>
        <v>3370000</v>
      </c>
      <c r="V18" s="431">
        <f>SUMIFS(目标表[net],目标表[Date],"&gt;="&amp;$E18,目标表[Date],"&lt;="&amp;EOMONTH($E18,0),目标表[channel],"PFS")</f>
        <v>1791400</v>
      </c>
      <c r="W18" s="431">
        <f>SUMIFS(目标表[uv],目标表[Date],"&gt;="&amp;$E18,目标表[Date],"&lt;="&amp;EOMONTH($E18,0),目标表[channel],"PFS")</f>
        <v>310841</v>
      </c>
      <c r="X18" s="431">
        <f>SUMIFS(目标表[buyers],目标表[Date],"&gt;="&amp;$E18,目标表[Date],"&lt;="&amp;EOMONTH($E18,0),目标表[channel],"PFS")</f>
        <v>446</v>
      </c>
      <c r="Y18" s="378">
        <f>PFS_SalesOverview_InTax[[#This Row],[BUYERS_TGT]]/PFS_SalesOverview_InTax[[#This Row],[TRAFFIC_TGT]]</f>
        <v>1.4348171573248059E-3</v>
      </c>
      <c r="Z18" s="379">
        <f>PFS_SalesOverview_InTax[[#This Row],[GMV_TGT]]/PFS_SalesOverview_InTax[[#This Row],[BUYERS_TGT]]</f>
        <v>7556.0538116591924</v>
      </c>
      <c r="AA18" s="380">
        <f>PFS_SalesOverview_InTax[[#This Row],[UNITS_TGT]]/PFS_SalesOverview_InTax[[#This Row],[BUYERS_TGT]]</f>
        <v>1.5112107623318385</v>
      </c>
      <c r="AB18" s="94">
        <f>1-PFS_SalesOverview_InTax[[#This Row],[NET_TGT]]/PFS_SalesOverview_InTax[[#This Row],[GMV_TGT]]</f>
        <v>0.46842729970326413</v>
      </c>
      <c r="AC18" s="381">
        <f>SUMIFS(目标表[gmv_units],目标表[Date],"&gt;="&amp;$E18,目标表[Date],"&lt;="&amp;EOMONTH($E18,0),目标表[channel],"PFS")</f>
        <v>674</v>
      </c>
      <c r="AD18" s="105">
        <f>PFS_SalesOverview_InTax[[#This Row],[GMV]]/PFS_SalesOverview_InTax[[#This Row],[GMV_TGT]]</f>
        <v>0.95773738872403558</v>
      </c>
      <c r="AE18" s="105">
        <f>PFS_SalesOverview_InTax[[#This Row],[NET]]/PFS_SalesOverview_InTax[[#This Row],[NET_TGT]]</f>
        <v>0.86271700904320647</v>
      </c>
      <c r="AF18" s="105">
        <f>PFS_SalesOverview_InTax[[#This Row],[UV]]/PFS_SalesOverview_InTax[[#This Row],[TRAFFIC_TGT]]</f>
        <v>0.95323975923382054</v>
      </c>
      <c r="AG18" s="105">
        <f>PFS_SalesOverview_InTax[[#This Row],[Buyers]]/PFS_SalesOverview_InTax[[#This Row],[BUYERS_TGT]]</f>
        <v>0.94618834080717484</v>
      </c>
      <c r="AH18" s="105">
        <f>PFS_SalesOverview_InTax[[#This Row],[CR]]/PFS_SalesOverview_InTax[[#This Row],[CVR_TGT]]</f>
        <v>0.99260268116353723</v>
      </c>
      <c r="AI18" s="105">
        <f>PFS_SalesOverview_InTax[[#This Row],[ATV]]/PFS_SalesOverview_InTax[[#This Row],[ATV_TGT]]</f>
        <v>1.0122058658078672</v>
      </c>
      <c r="AJ18" s="105">
        <f>PFS_SalesOverview_InTax[[#This Row],[UPT]]/PFS_SalesOverview_InTax[[#This Row],[UPT_TGT]]</f>
        <v>0.91888281041247699</v>
      </c>
      <c r="AK18" s="105">
        <f>PFS_SalesOverview_InTax[[#This Row],[RRC]]/PFS_SalesOverview_InTax[[#This Row],[RRC_TGT]]</f>
        <v>1.1125876594580433</v>
      </c>
      <c r="AL18" s="28" t="str">
        <f>_xlfn.XLOOKUP(PFS_SalesOverview_InTax[[#This Row],[DATE]],全店核心数据_bymonth[开始日期],全店核心数据_bymonth[jda日历.PayYear],"")</f>
        <v>BU25</v>
      </c>
      <c r="AO18" s="428">
        <f>PFS_SalesOverview_InTax[[#This Row],[DATE]]</f>
        <v>45658</v>
      </c>
      <c r="AP18" s="429">
        <f>PFS_SalesOverview_InTax[[#This Row],[GMV]]/$F$1</f>
        <v>2856261.0619469029</v>
      </c>
      <c r="AQ18" s="429">
        <f>PFS_SalesOverview_ExclTax[[#This Row],[GMV]]-PFS_SalesOverview_ExclTax[[#This Row],[RR]]</f>
        <v>1367673.6725663717</v>
      </c>
      <c r="AR18" s="430">
        <f>PFS_SalesOverview_InTax[[#This Row],[UV]]</f>
        <v>296306</v>
      </c>
      <c r="AS18" s="431">
        <f>PFS_SalesOverview_InTax[[#This Row],[Buyers]]</f>
        <v>422</v>
      </c>
      <c r="AT18" s="431">
        <f>PFS_SalesOverview_InTax[[#This Row],[Units]]</f>
        <v>586</v>
      </c>
      <c r="AU18" s="92">
        <f>PFS_SalesOverview_ExclTax[[#This Row],[Buyers]]/PFS_SalesOverview_ExclTax[[#This Row],[UV]]</f>
        <v>1.4242033573400471E-3</v>
      </c>
      <c r="AV18" s="431">
        <f>PFS_SalesOverview_ExclTax[[#This Row],[GMV]]/PFS_SalesOverview_ExclTax[[#This Row],[Buyers]]</f>
        <v>6768.3911420542727</v>
      </c>
      <c r="AW18" s="431">
        <f>PFS_SalesOverview_ExclTax[[#This Row],[GMV]]/PFS_SalesOverview_ExclTax[[#This Row],[Units]]</f>
        <v>4874.1656347216776</v>
      </c>
      <c r="AX18" s="432">
        <f>PFS_SalesOverview_ExclTax[[#This Row],[Units]]/PFS_SalesOverview_ExclTax[[#This Row],[Buyers]]</f>
        <v>1.3886255924170616</v>
      </c>
      <c r="AY18" s="93">
        <f>PFS_SalesOverview_ExclTax[[#This Row],[RR]]/PFS_SalesOverview_ExclTax[[#This Row],[GMV]]</f>
        <v>0.52116643300310606</v>
      </c>
      <c r="AZ18" s="429">
        <f>PFS_SalesOverview_InTax[[#This Row],[RR]]/$F$1</f>
        <v>1488587.3893805312</v>
      </c>
      <c r="BA18" s="429">
        <f>PFS_SalesOverview_InTax[[#This Row],[MD GMV]]/$F$1</f>
        <v>1497427.4513274338</v>
      </c>
      <c r="BB18" s="94">
        <f>PFS_SalesOverview_ExclTax[[#This Row],[MD GMV]]/PFS_SalesOverview_ExclTax[[#This Row],[GMV]]</f>
        <v>0.52426140988203218</v>
      </c>
      <c r="BC18" s="429">
        <f>PFS_SalesOverview_InTax[[#This Row],[GMV_TGT]]/$F$1</f>
        <v>2982300.8849557526</v>
      </c>
      <c r="BD18" s="429">
        <f>PFS_SalesOverview_InTax[[#This Row],[NET_TGT]]/$F$1</f>
        <v>1585309.7345132744</v>
      </c>
      <c r="BE18" s="430">
        <f>PFS_SalesOverview_InTax[[#This Row],[TRAFFIC_TGT]]</f>
        <v>310841</v>
      </c>
      <c r="BF18" s="431">
        <f>PFS_SalesOverview_InTax[[#This Row],[BUYERS_TGT]]</f>
        <v>446</v>
      </c>
      <c r="BG18" s="104">
        <f>PFS_SalesOverview_InTax[[#This Row],[CVR_TGT]]</f>
        <v>1.4348171573248059E-3</v>
      </c>
      <c r="BH18" s="431">
        <f>PFS_SalesOverview_InTax[[#This Row],[ATV_TGT]]/$F$1</f>
        <v>6686.773284654153</v>
      </c>
      <c r="BI18" s="432">
        <f>PFS_SalesOverview_InTax[[#This Row],[UPT_TGT]]</f>
        <v>1.5112107623318385</v>
      </c>
      <c r="BJ18" s="94">
        <f>PFS_SalesOverview_InTax[[#This Row],[RRC_TGT]]</f>
        <v>0.46842729970326413</v>
      </c>
      <c r="BK18" s="431">
        <f>PFS_SalesOverview_InTax[[#This Row],[UNITS_TGT]]</f>
        <v>674</v>
      </c>
      <c r="BL18" s="28" t="str">
        <f>_xlfn.XLOOKUP(PFS_SalesOverview_ExclTax[[#This Row],[DATE]],全店核心数据_bymonth[开始日期],全店核心数据_bymonth[jda日历.PayYear],"")</f>
        <v>BU25</v>
      </c>
      <c r="BM18" s="99"/>
      <c r="BN18" s="99"/>
      <c r="BO18" s="99"/>
      <c r="BP18" s="99"/>
      <c r="CS18" s="53"/>
    </row>
    <row r="19" spans="5:97" ht="14.5" customHeight="1" x14ac:dyDescent="0.3">
      <c r="E19" s="428">
        <v>45627</v>
      </c>
      <c r="F19" s="431">
        <f>SUMIFS(全店核心数据_bymonth[支付金额],全店核心数据_bymonth[开始日期],$E19)</f>
        <v>5897138</v>
      </c>
      <c r="G19" s="431">
        <f>PFS_SalesOverview_InTax[[#This Row],[GMV]]-PFS_SalesOverview_InTax[[#This Row],[RR]]</f>
        <v>2509029.7799999998</v>
      </c>
      <c r="H19" s="431">
        <f>SUMIFS(全店核心数据_bymonth[访客数],全店核心数据_bymonth[开始日期],$E19)</f>
        <v>314549</v>
      </c>
      <c r="I19" s="431">
        <f>SUMIFS(全店核心数据_bymonth[支付买家数],全店核心数据_bymonth[开始日期],$E19)</f>
        <v>878</v>
      </c>
      <c r="J19" s="431">
        <f>SUMIFS(全店核心数据_bymonth[支付件数],全店核心数据_bymonth[开始日期],$E19)</f>
        <v>1291</v>
      </c>
      <c r="K19" s="92">
        <f>PFS_SalesOverview_InTax[[#This Row],[Buyers]]/PFS_SalesOverview_InTax[[#This Row],[UV]]</f>
        <v>2.7912980171610783E-3</v>
      </c>
      <c r="L19" s="431">
        <f>PFS_SalesOverview_InTax[[#This Row],[GMV]]/PFS_SalesOverview_InTax[[#This Row],[Buyers]]</f>
        <v>6716.5580865603642</v>
      </c>
      <c r="M19" s="431">
        <f>PFS_SalesOverview_InTax[[#This Row],[GMV]]/PFS_SalesOverview_InTax[[#This Row],[Units]]</f>
        <v>4567.8838109992257</v>
      </c>
      <c r="N19" s="432">
        <f>PFS_SalesOverview_InTax[[#This Row],[Units]]/PFS_SalesOverview_InTax[[#This Row],[Buyers]]</f>
        <v>1.470387243735763</v>
      </c>
      <c r="O19" s="93">
        <f>PFS_SalesOverview_InTax[[#This Row],[RR]]/PFS_SalesOverview_InTax[[#This Row],[GMV]]</f>
        <v>0.57453432834707285</v>
      </c>
      <c r="P19" s="431">
        <f>SUMIFS(全店核心数据_bymonth[支付退款金额],全店核心数据_bymonth[开始日期],$E19)</f>
        <v>3388108.22</v>
      </c>
      <c r="Q19" s="431">
        <f>SUMIFS(全店核心数据_bymonth[md_gmv],全店核心数据_bymonth[开始日期],$E19)</f>
        <v>4133408.13</v>
      </c>
      <c r="R19" s="94">
        <f>PFS_SalesOverview_InTax[[#This Row],[MD GMV]]/PFS_SalesOverview_InTax[[#This Row],[GMV]]</f>
        <v>0.70091765361434644</v>
      </c>
      <c r="S19" s="431">
        <f>SUMIFS(全店核心数据_bymonth[md_net],全店核心数据_bymonth[开始日期],$E19)</f>
        <v>1699757.72</v>
      </c>
      <c r="T19" s="94">
        <f>PFS_SalesOverview_InTax[[#This Row],[MD NET]]/PFS_SalesOverview_InTax[[#This Row],[NET]]</f>
        <v>0.67745617590876106</v>
      </c>
      <c r="U19" s="431">
        <f>SUMIFS(目标表[gmv],目标表[Date],"&gt;="&amp;$E19,目标表[Date],"&lt;="&amp;EOMONTH($E19,0),目标表[channel],"PFS")</f>
        <v>5340000</v>
      </c>
      <c r="V19" s="431">
        <f>SUMIFS(目标表[net],目标表[Date],"&gt;="&amp;$E19,目标表[Date],"&lt;="&amp;EOMONTH($E19,0),目标表[channel],"PFS")</f>
        <v>2472000</v>
      </c>
      <c r="W19" s="431">
        <f>SUMIFS(目标表[uv],目标表[Date],"&gt;="&amp;$E19,目标表[Date],"&lt;="&amp;EOMONTH($E19,0),目标表[channel],"PFS")</f>
        <v>365124</v>
      </c>
      <c r="X19" s="431">
        <f>SUMIFS(目标表[buyers],目标表[Date],"&gt;="&amp;$E19,目标表[Date],"&lt;="&amp;EOMONTH($E19,0),目标表[channel],"PFS")</f>
        <v>823</v>
      </c>
      <c r="Y19" s="378">
        <f>PFS_SalesOverview_InTax[[#This Row],[BUYERS_TGT]]/PFS_SalesOverview_InTax[[#This Row],[TRAFFIC_TGT]]</f>
        <v>2.2540287683088483E-3</v>
      </c>
      <c r="Z19" s="379">
        <f>PFS_SalesOverview_InTax[[#This Row],[GMV_TGT]]/PFS_SalesOverview_InTax[[#This Row],[BUYERS_TGT]]</f>
        <v>6488.4568651275822</v>
      </c>
      <c r="AA19" s="380">
        <f>PFS_SalesOverview_InTax[[#This Row],[UNITS_TGT]]/PFS_SalesOverview_InTax[[#This Row],[BUYERS_TGT]]</f>
        <v>1.4908869987849331</v>
      </c>
      <c r="AB19" s="94">
        <f>1-PFS_SalesOverview_InTax[[#This Row],[NET_TGT]]/PFS_SalesOverview_InTax[[#This Row],[GMV_TGT]]</f>
        <v>0.53707865168539326</v>
      </c>
      <c r="AC19" s="381">
        <f>SUMIFS(目标表[gmv_units],目标表[Date],"&gt;="&amp;$E19,目标表[Date],"&lt;="&amp;EOMONTH($E19,0),目标表[channel],"PFS")</f>
        <v>1227</v>
      </c>
      <c r="AD19" s="105">
        <f>PFS_SalesOverview_InTax[[#This Row],[GMV]]/PFS_SalesOverview_InTax[[#This Row],[GMV_TGT]]</f>
        <v>1.1043329588014981</v>
      </c>
      <c r="AE19" s="105">
        <f>PFS_SalesOverview_InTax[[#This Row],[NET]]/PFS_SalesOverview_InTax[[#This Row],[NET_TGT]]</f>
        <v>1.0149796844660193</v>
      </c>
      <c r="AF19" s="105">
        <f>PFS_SalesOverview_InTax[[#This Row],[UV]]/PFS_SalesOverview_InTax[[#This Row],[TRAFFIC_TGT]]</f>
        <v>0.86148541317470229</v>
      </c>
      <c r="AG19" s="105">
        <f>PFS_SalesOverview_InTax[[#This Row],[Buyers]]/PFS_SalesOverview_InTax[[#This Row],[BUYERS_TGT]]</f>
        <v>1.0668286755771568</v>
      </c>
      <c r="AH19" s="105">
        <f>PFS_SalesOverview_InTax[[#This Row],[CR]]/PFS_SalesOverview_InTax[[#This Row],[CVR_TGT]]</f>
        <v>1.238359534894194</v>
      </c>
      <c r="AI19" s="105">
        <f>PFS_SalesOverview_InTax[[#This Row],[ATV]]/PFS_SalesOverview_InTax[[#This Row],[ATV_TGT]]</f>
        <v>1.0351549260747528</v>
      </c>
      <c r="AJ19" s="105">
        <f>PFS_SalesOverview_InTax[[#This Row],[UPT]]/PFS_SalesOverview_InTax[[#This Row],[UPT_TGT]]</f>
        <v>0.98624996054974168</v>
      </c>
      <c r="AK19" s="105">
        <f>PFS_SalesOverview_InTax[[#This Row],[RRC]]/PFS_SalesOverview_InTax[[#This Row],[RRC_TGT]]</f>
        <v>1.0697396490144244</v>
      </c>
      <c r="AL19" s="28" t="str">
        <f>_xlfn.XLOOKUP(PFS_SalesOverview_InTax[[#This Row],[DATE]],全店核心数据_bymonth[开始日期],全店核心数据_bymonth[jda日历.PayYear],"")</f>
        <v>BU25</v>
      </c>
      <c r="AO19" s="428">
        <f>PFS_SalesOverview_InTax[[#This Row],[DATE]]</f>
        <v>45627</v>
      </c>
      <c r="AP19" s="429">
        <f>PFS_SalesOverview_InTax[[#This Row],[GMV]]/$F$1</f>
        <v>5218706.1946902657</v>
      </c>
      <c r="AQ19" s="429">
        <f>PFS_SalesOverview_ExclTax[[#This Row],[GMV]]-PFS_SalesOverview_ExclTax[[#This Row],[RR]]</f>
        <v>2220380.3362831855</v>
      </c>
      <c r="AR19" s="430">
        <f>PFS_SalesOverview_InTax[[#This Row],[UV]]</f>
        <v>314549</v>
      </c>
      <c r="AS19" s="431">
        <f>PFS_SalesOverview_InTax[[#This Row],[Buyers]]</f>
        <v>878</v>
      </c>
      <c r="AT19" s="431">
        <f>PFS_SalesOverview_InTax[[#This Row],[Units]]</f>
        <v>1291</v>
      </c>
      <c r="AU19" s="92">
        <f>PFS_SalesOverview_ExclTax[[#This Row],[Buyers]]/PFS_SalesOverview_ExclTax[[#This Row],[UV]]</f>
        <v>2.7912980171610783E-3</v>
      </c>
      <c r="AV19" s="431">
        <f>PFS_SalesOverview_ExclTax[[#This Row],[GMV]]/PFS_SalesOverview_ExclTax[[#This Row],[Buyers]]</f>
        <v>5943.8567137702339</v>
      </c>
      <c r="AW19" s="431">
        <f>PFS_SalesOverview_ExclTax[[#This Row],[GMV]]/PFS_SalesOverview_ExclTax[[#This Row],[Units]]</f>
        <v>4042.3750539816156</v>
      </c>
      <c r="AX19" s="432">
        <f>PFS_SalesOverview_ExclTax[[#This Row],[Units]]/PFS_SalesOverview_ExclTax[[#This Row],[Buyers]]</f>
        <v>1.470387243735763</v>
      </c>
      <c r="AY19" s="93">
        <f>PFS_SalesOverview_ExclTax[[#This Row],[RR]]/PFS_SalesOverview_ExclTax[[#This Row],[GMV]]</f>
        <v>0.57453432834707285</v>
      </c>
      <c r="AZ19" s="429">
        <f>PFS_SalesOverview_InTax[[#This Row],[RR]]/$F$1</f>
        <v>2998325.8584070802</v>
      </c>
      <c r="BA19" s="429">
        <f>PFS_SalesOverview_InTax[[#This Row],[MD GMV]]/$F$1</f>
        <v>3657883.300884956</v>
      </c>
      <c r="BB19" s="94">
        <f>PFS_SalesOverview_ExclTax[[#This Row],[MD GMV]]/PFS_SalesOverview_ExclTax[[#This Row],[GMV]]</f>
        <v>0.70091765361434655</v>
      </c>
      <c r="BC19" s="429">
        <f>PFS_SalesOverview_InTax[[#This Row],[GMV_TGT]]/$F$1</f>
        <v>4725663.7168141594</v>
      </c>
      <c r="BD19" s="429">
        <f>PFS_SalesOverview_InTax[[#This Row],[NET_TGT]]/$F$1</f>
        <v>2187610.6194690266</v>
      </c>
      <c r="BE19" s="430">
        <f>PFS_SalesOverview_InTax[[#This Row],[TRAFFIC_TGT]]</f>
        <v>365124</v>
      </c>
      <c r="BF19" s="431">
        <f>PFS_SalesOverview_InTax[[#This Row],[BUYERS_TGT]]</f>
        <v>823</v>
      </c>
      <c r="BG19" s="104">
        <f>PFS_SalesOverview_InTax[[#This Row],[CVR_TGT]]</f>
        <v>2.2540287683088483E-3</v>
      </c>
      <c r="BH19" s="431">
        <f>PFS_SalesOverview_InTax[[#This Row],[ATV_TGT]]/$F$1</f>
        <v>5741.9972257766221</v>
      </c>
      <c r="BI19" s="432">
        <f>PFS_SalesOverview_InTax[[#This Row],[UPT_TGT]]</f>
        <v>1.4908869987849331</v>
      </c>
      <c r="BJ19" s="94">
        <f>PFS_SalesOverview_InTax[[#This Row],[RRC_TGT]]</f>
        <v>0.53707865168539326</v>
      </c>
      <c r="BK19" s="431">
        <f>PFS_SalesOverview_InTax[[#This Row],[UNITS_TGT]]</f>
        <v>1227</v>
      </c>
      <c r="BL19" s="28" t="str">
        <f>_xlfn.XLOOKUP(PFS_SalesOverview_ExclTax[[#This Row],[DATE]],全店核心数据_bymonth[开始日期],全店核心数据_bymonth[jda日历.PayYear],"")</f>
        <v>BU25</v>
      </c>
      <c r="BO19" s="28"/>
      <c r="CO19" s="53"/>
    </row>
    <row r="20" spans="5:97" ht="14.5" customHeight="1" x14ac:dyDescent="0.3">
      <c r="E20" s="428">
        <v>45597</v>
      </c>
      <c r="F20" s="431">
        <f>SUMIFS(全店核心数据_bymonth[支付金额],全店核心数据_bymonth[开始日期],$E20)</f>
        <v>11228068</v>
      </c>
      <c r="G20" s="431">
        <f>PFS_SalesOverview_InTax[[#This Row],[GMV]]-PFS_SalesOverview_InTax[[#This Row],[RR]]</f>
        <v>3807170.0199999996</v>
      </c>
      <c r="H20" s="431">
        <f>SUMIFS(全店核心数据_bymonth[访客数],全店核心数据_bymonth[开始日期],$E20)</f>
        <v>439159</v>
      </c>
      <c r="I20" s="431">
        <f>SUMIFS(全店核心数据_bymonth[支付买家数],全店核心数据_bymonth[开始日期],$E20)</f>
        <v>2190</v>
      </c>
      <c r="J20" s="431">
        <f>SUMIFS(全店核心数据_bymonth[支付件数],全店核心数据_bymonth[开始日期],$E20)</f>
        <v>3062</v>
      </c>
      <c r="K20" s="92">
        <f>PFS_SalesOverview_InTax[[#This Row],[Buyers]]/PFS_SalesOverview_InTax[[#This Row],[UV]]</f>
        <v>4.9868043237187446E-3</v>
      </c>
      <c r="L20" s="431">
        <f>PFS_SalesOverview_InTax[[#This Row],[GMV]]/PFS_SalesOverview_InTax[[#This Row],[Buyers]]</f>
        <v>5126.9716894977173</v>
      </c>
      <c r="M20" s="431">
        <f>PFS_SalesOverview_InTax[[#This Row],[GMV]]/PFS_SalesOverview_InTax[[#This Row],[Units]]</f>
        <v>3666.9065969954277</v>
      </c>
      <c r="N20" s="432">
        <f>PFS_SalesOverview_InTax[[#This Row],[Units]]/PFS_SalesOverview_InTax[[#This Row],[Buyers]]</f>
        <v>1.3981735159817352</v>
      </c>
      <c r="O20" s="93">
        <f>PFS_SalesOverview_InTax[[#This Row],[RR]]/PFS_SalesOverview_InTax[[#This Row],[GMV]]</f>
        <v>0.66092385439774681</v>
      </c>
      <c r="P20" s="431">
        <f>SUMIFS(全店核心数据_bymonth[支付退款金额],全店核心数据_bymonth[开始日期],$E20)</f>
        <v>7420897.9800000004</v>
      </c>
      <c r="Q20" s="431">
        <f>SUMIFS(全店核心数据_bymonth[md_gmv],全店核心数据_bymonth[开始日期],$E20)</f>
        <v>8406686.75</v>
      </c>
      <c r="R20" s="94">
        <f>PFS_SalesOverview_InTax[[#This Row],[MD GMV]]/PFS_SalesOverview_InTax[[#This Row],[GMV]]</f>
        <v>0.74872068373650746</v>
      </c>
      <c r="S20" s="431">
        <f>SUMIFS(全店核心数据_bymonth[md_net],全店核心数据_bymonth[开始日期],$E20)</f>
        <v>2763413.53</v>
      </c>
      <c r="T20" s="94">
        <f>PFS_SalesOverview_InTax[[#This Row],[MD NET]]/PFS_SalesOverview_InTax[[#This Row],[NET]]</f>
        <v>0.72584452900267382</v>
      </c>
      <c r="U20" s="431">
        <f>SUMIFS(目标表[gmv],目标表[Date],"&gt;="&amp;$E20,目标表[Date],"&lt;="&amp;EOMONTH($E20,0),目标表[channel],"PFS")</f>
        <v>10962500</v>
      </c>
      <c r="V20" s="431">
        <f>SUMIFS(目标表[net],目标表[Date],"&gt;="&amp;$E20,目标表[Date],"&lt;="&amp;EOMONTH($E20,0),目标表[channel],"PFS")</f>
        <v>3743500</v>
      </c>
      <c r="W20" s="431">
        <f>SUMIFS(目标表[uv],目标表[Date],"&gt;="&amp;$E20,目标表[Date],"&lt;="&amp;EOMONTH($E20,0),目标表[channel],"PFS")</f>
        <v>522866</v>
      </c>
      <c r="X20" s="431">
        <f>SUMIFS(目标表[buyers],目标表[Date],"&gt;="&amp;$E20,目标表[Date],"&lt;="&amp;EOMONTH($E20,0),目标表[channel],"PFS")</f>
        <v>2303</v>
      </c>
      <c r="Y20" s="378">
        <f>PFS_SalesOverview_InTax[[#This Row],[BUYERS_TGT]]/PFS_SalesOverview_InTax[[#This Row],[TRAFFIC_TGT]]</f>
        <v>4.4045701958054266E-3</v>
      </c>
      <c r="Z20" s="379">
        <f>PFS_SalesOverview_InTax[[#This Row],[GMV_TGT]]/PFS_SalesOverview_InTax[[#This Row],[BUYERS_TGT]]</f>
        <v>4760.095527572731</v>
      </c>
      <c r="AA20" s="380">
        <f>PFS_SalesOverview_InTax[[#This Row],[UNITS_TGT]]/PFS_SalesOverview_InTax[[#This Row],[BUYERS_TGT]]</f>
        <v>1.3030829353017803</v>
      </c>
      <c r="AB20" s="94">
        <f>1-PFS_SalesOverview_InTax[[#This Row],[NET_TGT]]/PFS_SalesOverview_InTax[[#This Row],[GMV_TGT]]</f>
        <v>0.65851767388825544</v>
      </c>
      <c r="AC20" s="381">
        <f>SUMIFS(目标表[gmv_units],目标表[Date],"&gt;="&amp;$E20,目标表[Date],"&lt;="&amp;EOMONTH($E20,0),目标表[channel],"PFS")</f>
        <v>3001</v>
      </c>
      <c r="AD20" s="105">
        <f>PFS_SalesOverview_InTax[[#This Row],[GMV]]/PFS_SalesOverview_InTax[[#This Row],[GMV_TGT]]</f>
        <v>1.0242251311288484</v>
      </c>
      <c r="AE20" s="105">
        <f>PFS_SalesOverview_InTax[[#This Row],[NET]]/PFS_SalesOverview_InTax[[#This Row],[NET_TGT]]</f>
        <v>1.0170081527981834</v>
      </c>
      <c r="AF20" s="105">
        <f>PFS_SalesOverview_InTax[[#This Row],[UV]]/PFS_SalesOverview_InTax[[#This Row],[TRAFFIC_TGT]]</f>
        <v>0.83990735676062322</v>
      </c>
      <c r="AG20" s="105">
        <f>PFS_SalesOverview_InTax[[#This Row],[Buyers]]/PFS_SalesOverview_InTax[[#This Row],[BUYERS_TGT]]</f>
        <v>0.95093356491532788</v>
      </c>
      <c r="AH20" s="105">
        <f>PFS_SalesOverview_InTax[[#This Row],[CR]]/PFS_SalesOverview_InTax[[#This Row],[CVR_TGT]]</f>
        <v>1.1321886363549827</v>
      </c>
      <c r="AI20" s="105">
        <f>PFS_SalesOverview_InTax[[#This Row],[ATV]]/PFS_SalesOverview_InTax[[#This Row],[ATV_TGT]]</f>
        <v>1.0770732771642639</v>
      </c>
      <c r="AJ20" s="105">
        <f>PFS_SalesOverview_InTax[[#This Row],[UPT]]/PFS_SalesOverview_InTax[[#This Row],[UPT_TGT]]</f>
        <v>1.0729735445871162</v>
      </c>
      <c r="AK20" s="105">
        <f>PFS_SalesOverview_InTax[[#This Row],[RRC]]/PFS_SalesOverview_InTax[[#This Row],[RRC_TGT]]</f>
        <v>1.003653934594168</v>
      </c>
      <c r="AL20" s="28" t="str">
        <f>_xlfn.XLOOKUP(PFS_SalesOverview_InTax[[#This Row],[DATE]],全店核心数据_bymonth[开始日期],全店核心数据_bymonth[jda日历.PayYear],"")</f>
        <v>BU25</v>
      </c>
      <c r="AO20" s="428">
        <f>PFS_SalesOverview_InTax[[#This Row],[DATE]]</f>
        <v>45597</v>
      </c>
      <c r="AP20" s="429">
        <f>PFS_SalesOverview_InTax[[#This Row],[GMV]]/$F$1</f>
        <v>9936343.3628318589</v>
      </c>
      <c r="AQ20" s="429">
        <f>PFS_SalesOverview_ExclTax[[#This Row],[GMV]]-PFS_SalesOverview_ExclTax[[#This Row],[RR]]</f>
        <v>3369177.0088495566</v>
      </c>
      <c r="AR20" s="430">
        <f>PFS_SalesOverview_InTax[[#This Row],[UV]]</f>
        <v>439159</v>
      </c>
      <c r="AS20" s="431">
        <f>PFS_SalesOverview_InTax[[#This Row],[Buyers]]</f>
        <v>2190</v>
      </c>
      <c r="AT20" s="431">
        <f>PFS_SalesOverview_InTax[[#This Row],[Units]]</f>
        <v>3062</v>
      </c>
      <c r="AU20" s="92">
        <f>PFS_SalesOverview_ExclTax[[#This Row],[Buyers]]/PFS_SalesOverview_ExclTax[[#This Row],[UV]]</f>
        <v>4.9868043237187446E-3</v>
      </c>
      <c r="AV20" s="431">
        <f>PFS_SalesOverview_ExclTax[[#This Row],[GMV]]/PFS_SalesOverview_ExclTax[[#This Row],[Buyers]]</f>
        <v>4537.143088051077</v>
      </c>
      <c r="AW20" s="431">
        <f>PFS_SalesOverview_ExclTax[[#This Row],[GMV]]/PFS_SalesOverview_ExclTax[[#This Row],[Units]]</f>
        <v>3245.0500858366618</v>
      </c>
      <c r="AX20" s="432">
        <f>PFS_SalesOverview_ExclTax[[#This Row],[Units]]/PFS_SalesOverview_ExclTax[[#This Row],[Buyers]]</f>
        <v>1.3981735159817352</v>
      </c>
      <c r="AY20" s="93">
        <f>PFS_SalesOverview_ExclTax[[#This Row],[RR]]/PFS_SalesOverview_ExclTax[[#This Row],[GMV]]</f>
        <v>0.66092385439774692</v>
      </c>
      <c r="AZ20" s="429">
        <f>PFS_SalesOverview_InTax[[#This Row],[RR]]/$F$1</f>
        <v>6567166.3539823024</v>
      </c>
      <c r="BA20" s="429">
        <f>PFS_SalesOverview_InTax[[#This Row],[MD GMV]]/$F$1</f>
        <v>7439545.7964601777</v>
      </c>
      <c r="BB20" s="94">
        <f>PFS_SalesOverview_ExclTax[[#This Row],[MD GMV]]/PFS_SalesOverview_ExclTax[[#This Row],[GMV]]</f>
        <v>0.74872068373650746</v>
      </c>
      <c r="BC20" s="429">
        <f>PFS_SalesOverview_InTax[[#This Row],[GMV_TGT]]/$F$1</f>
        <v>9701327.4336283188</v>
      </c>
      <c r="BD20" s="429">
        <f>PFS_SalesOverview_InTax[[#This Row],[NET_TGT]]/$F$1</f>
        <v>3312831.8584070802</v>
      </c>
      <c r="BE20" s="430">
        <f>PFS_SalesOverview_InTax[[#This Row],[TRAFFIC_TGT]]</f>
        <v>522866</v>
      </c>
      <c r="BF20" s="431">
        <f>PFS_SalesOverview_InTax[[#This Row],[BUYERS_TGT]]</f>
        <v>2303</v>
      </c>
      <c r="BG20" s="104">
        <f>PFS_SalesOverview_InTax[[#This Row],[CVR_TGT]]</f>
        <v>4.4045701958054266E-3</v>
      </c>
      <c r="BH20" s="431">
        <f>PFS_SalesOverview_InTax[[#This Row],[ATV_TGT]]/$F$1</f>
        <v>4212.4739182059575</v>
      </c>
      <c r="BI20" s="432">
        <f>PFS_SalesOverview_InTax[[#This Row],[UPT_TGT]]</f>
        <v>1.3030829353017803</v>
      </c>
      <c r="BJ20" s="94">
        <f>PFS_SalesOverview_InTax[[#This Row],[RRC_TGT]]</f>
        <v>0.65851767388825544</v>
      </c>
      <c r="BK20" s="431">
        <f>PFS_SalesOverview_InTax[[#This Row],[UNITS_TGT]]</f>
        <v>3001</v>
      </c>
      <c r="BL20" s="28" t="str">
        <f>_xlfn.XLOOKUP(PFS_SalesOverview_ExclTax[[#This Row],[DATE]],全店核心数据_bymonth[开始日期],全店核心数据_bymonth[jda日历.PayYear],"")</f>
        <v>BU25</v>
      </c>
      <c r="BO20" s="28"/>
      <c r="CO20" s="53"/>
    </row>
    <row r="21" spans="5:97" s="433" customFormat="1" ht="14.5" customHeight="1" x14ac:dyDescent="0.3">
      <c r="E21" s="428">
        <v>45566</v>
      </c>
      <c r="F21" s="431">
        <f>SUMIFS(全店核心数据_bymonth[支付金额],全店核心数据_bymonth[开始日期],$E21)</f>
        <v>16373566</v>
      </c>
      <c r="G21" s="431">
        <f>PFS_SalesOverview_InTax[[#This Row],[GMV]]-PFS_SalesOverview_InTax[[#This Row],[RR]]</f>
        <v>4222407.0500000007</v>
      </c>
      <c r="H21" s="431">
        <f>SUMIFS(全店核心数据_bymonth[访客数],全店核心数据_bymonth[开始日期],$E21)</f>
        <v>417716</v>
      </c>
      <c r="I21" s="431">
        <f>SUMIFS(全店核心数据_bymonth[支付买家数],全店核心数据_bymonth[开始日期],$E21)</f>
        <v>2883</v>
      </c>
      <c r="J21" s="431">
        <f>SUMIFS(全店核心数据_bymonth[支付件数],全店核心数据_bymonth[开始日期],$E21)</f>
        <v>4230</v>
      </c>
      <c r="K21" s="92">
        <f>PFS_SalesOverview_InTax[[#This Row],[Buyers]]/PFS_SalesOverview_InTax[[#This Row],[UV]]</f>
        <v>6.9018184603893556E-3</v>
      </c>
      <c r="L21" s="431">
        <f>PFS_SalesOverview_InTax[[#This Row],[GMV]]/PFS_SalesOverview_InTax[[#This Row],[Buyers]]</f>
        <v>5679.3499826569541</v>
      </c>
      <c r="M21" s="431">
        <f>PFS_SalesOverview_InTax[[#This Row],[GMV]]/PFS_SalesOverview_InTax[[#This Row],[Units]]</f>
        <v>3870.8193853427897</v>
      </c>
      <c r="N21" s="432">
        <f>PFS_SalesOverview_InTax[[#This Row],[Units]]/PFS_SalesOverview_InTax[[#This Row],[Buyers]]</f>
        <v>1.4672216441207075</v>
      </c>
      <c r="O21" s="93">
        <f>PFS_SalesOverview_InTax[[#This Row],[RR]]/PFS_SalesOverview_InTax[[#This Row],[GMV]]</f>
        <v>0.74212049775839906</v>
      </c>
      <c r="P21" s="431">
        <f>SUMIFS(全店核心数据_bymonth[支付退款金额],全店核心数据_bymonth[开始日期],$E21)</f>
        <v>12151158.949999999</v>
      </c>
      <c r="Q21" s="431">
        <f>SUMIFS(全店核心数据_bymonth[md_gmv],全店核心数据_bymonth[开始日期],$E21)</f>
        <v>13534028.560000001</v>
      </c>
      <c r="R21" s="94">
        <f>PFS_SalesOverview_InTax[[#This Row],[MD GMV]]/PFS_SalesOverview_InTax[[#This Row],[GMV]]</f>
        <v>0.82657794642901861</v>
      </c>
      <c r="S21" s="431">
        <f>SUMIFS(全店核心数据_bymonth[md_net],全店核心数据_bymonth[开始日期],$E21)</f>
        <v>3447925.6</v>
      </c>
      <c r="T21" s="94">
        <f>PFS_SalesOverview_InTax[[#This Row],[MD NET]]/PFS_SalesOverview_InTax[[#This Row],[NET]]</f>
        <v>0.81657821218349835</v>
      </c>
      <c r="U21" s="431">
        <f>SUMIFS(目标表[gmv],目标表[Date],"&gt;="&amp;$E21,目标表[Date],"&lt;="&amp;EOMONTH($E21,0),目标表[channel],"PFS")</f>
        <v>17315000</v>
      </c>
      <c r="V21" s="431">
        <f>SUMIFS(目标表[net],目标表[Date],"&gt;="&amp;$E21,目标表[Date],"&lt;="&amp;EOMONTH($E21,0),目标表[channel],"PFS")</f>
        <v>5485750</v>
      </c>
      <c r="W21" s="431">
        <f>SUMIFS(目标表[uv],目标表[Date],"&gt;="&amp;$E21,目标表[Date],"&lt;="&amp;EOMONTH($E21,0),目标表[channel],"PFS")</f>
        <v>606843</v>
      </c>
      <c r="X21" s="431">
        <f>SUMIFS(目标表[buyers],目标表[Date],"&gt;="&amp;$E21,目标表[Date],"&lt;="&amp;EOMONTH($E21,0),目标表[channel],"PFS")</f>
        <v>3614</v>
      </c>
      <c r="Y21" s="378">
        <f>PFS_SalesOverview_InTax[[#This Row],[BUYERS_TGT]]/PFS_SalesOverview_InTax[[#This Row],[TRAFFIC_TGT]]</f>
        <v>5.955411861057967E-3</v>
      </c>
      <c r="Z21" s="379">
        <f>PFS_SalesOverview_InTax[[#This Row],[GMV_TGT]]/PFS_SalesOverview_InTax[[#This Row],[BUYERS_TGT]]</f>
        <v>4791.0902047592699</v>
      </c>
      <c r="AA21" s="380">
        <f>PFS_SalesOverview_InTax[[#This Row],[UNITS_TGT]]/PFS_SalesOverview_InTax[[#This Row],[BUYERS_TGT]]</f>
        <v>1.3635860542335363</v>
      </c>
      <c r="AB21" s="94">
        <f>1-PFS_SalesOverview_InTax[[#This Row],[NET_TGT]]/PFS_SalesOverview_InTax[[#This Row],[GMV_TGT]]</f>
        <v>0.6831793242853017</v>
      </c>
      <c r="AC21" s="381">
        <f>SUMIFS(目标表[gmv_units],目标表[Date],"&gt;="&amp;$E21,目标表[Date],"&lt;="&amp;EOMONTH($E21,0),目标表[channel],"PFS")</f>
        <v>4928</v>
      </c>
      <c r="AD21" s="105">
        <f>PFS_SalesOverview_InTax[[#This Row],[GMV]]/PFS_SalesOverview_InTax[[#This Row],[GMV_TGT]]</f>
        <v>0.945628992203292</v>
      </c>
      <c r="AE21" s="105">
        <f>PFS_SalesOverview_InTax[[#This Row],[NET]]/PFS_SalesOverview_InTax[[#This Row],[NET_TGT]]</f>
        <v>0.76970460739187907</v>
      </c>
      <c r="AF21" s="105">
        <f>PFS_SalesOverview_InTax[[#This Row],[UV]]/PFS_SalesOverview_InTax[[#This Row],[TRAFFIC_TGT]]</f>
        <v>0.68834278388314607</v>
      </c>
      <c r="AG21" s="105">
        <f>PFS_SalesOverview_InTax[[#This Row],[Buyers]]/PFS_SalesOverview_InTax[[#This Row],[BUYERS_TGT]]</f>
        <v>0.79773104593248478</v>
      </c>
      <c r="AH21" s="105">
        <f>PFS_SalesOverview_InTax[[#This Row],[CR]]/PFS_SalesOverview_InTax[[#This Row],[CVR_TGT]]</f>
        <v>1.1589153901378135</v>
      </c>
      <c r="AI21" s="105">
        <f>PFS_SalesOverview_InTax[[#This Row],[ATV]]/PFS_SalesOverview_InTax[[#This Row],[ATV_TGT]]</f>
        <v>1.1853982580030165</v>
      </c>
      <c r="AJ21" s="105">
        <f>PFS_SalesOverview_InTax[[#This Row],[UPT]]/PFS_SalesOverview_InTax[[#This Row],[UPT_TGT]]</f>
        <v>1.0760022365771584</v>
      </c>
      <c r="AK21" s="105">
        <f>PFS_SalesOverview_InTax[[#This Row],[RRC]]/PFS_SalesOverview_InTax[[#This Row],[RRC_TGT]]</f>
        <v>1.0862748203551942</v>
      </c>
      <c r="AL21" s="28" t="str">
        <f>_xlfn.XLOOKUP(PFS_SalesOverview_InTax[[#This Row],[DATE]],全店核心数据_bymonth[开始日期],全店核心数据_bymonth[jda日历.PayYear],"")</f>
        <v>BU25</v>
      </c>
      <c r="AM21" s="28"/>
      <c r="AN21" s="28"/>
      <c r="AO21" s="428">
        <f>PFS_SalesOverview_InTax[[#This Row],[DATE]]</f>
        <v>45566</v>
      </c>
      <c r="AP21" s="429">
        <f>PFS_SalesOverview_InTax[[#This Row],[GMV]]/$F$1</f>
        <v>14489881.415929206</v>
      </c>
      <c r="AQ21" s="429">
        <f>PFS_SalesOverview_ExclTax[[#This Row],[GMV]]-PFS_SalesOverview_ExclTax[[#This Row],[RR]]</f>
        <v>3736643.4070796482</v>
      </c>
      <c r="AR21" s="430">
        <f>PFS_SalesOverview_InTax[[#This Row],[UV]]</f>
        <v>417716</v>
      </c>
      <c r="AS21" s="431">
        <f>PFS_SalesOverview_InTax[[#This Row],[Buyers]]</f>
        <v>2883</v>
      </c>
      <c r="AT21" s="431">
        <f>PFS_SalesOverview_InTax[[#This Row],[Units]]</f>
        <v>4230</v>
      </c>
      <c r="AU21" s="92">
        <f>PFS_SalesOverview_ExclTax[[#This Row],[Buyers]]/PFS_SalesOverview_ExclTax[[#This Row],[UV]]</f>
        <v>6.9018184603893556E-3</v>
      </c>
      <c r="AV21" s="431">
        <f>PFS_SalesOverview_ExclTax[[#This Row],[GMV]]/PFS_SalesOverview_ExclTax[[#This Row],[Buyers]]</f>
        <v>5025.9734359796066</v>
      </c>
      <c r="AW21" s="431">
        <f>PFS_SalesOverview_ExclTax[[#This Row],[GMV]]/PFS_SalesOverview_ExclTax[[#This Row],[Units]]</f>
        <v>3425.5038808343274</v>
      </c>
      <c r="AX21" s="432">
        <f>PFS_SalesOverview_ExclTax[[#This Row],[Units]]/PFS_SalesOverview_ExclTax[[#This Row],[Buyers]]</f>
        <v>1.4672216441207075</v>
      </c>
      <c r="AY21" s="93">
        <f>PFS_SalesOverview_ExclTax[[#This Row],[RR]]/PFS_SalesOverview_ExclTax[[#This Row],[GMV]]</f>
        <v>0.74212049775839906</v>
      </c>
      <c r="AZ21" s="429">
        <f>PFS_SalesOverview_InTax[[#This Row],[RR]]/$F$1</f>
        <v>10753238.008849557</v>
      </c>
      <c r="BA21" s="429">
        <f>PFS_SalesOverview_InTax[[#This Row],[MD GMV]]/$F$1</f>
        <v>11977016.424778763</v>
      </c>
      <c r="BB21" s="94">
        <f>PFS_SalesOverview_ExclTax[[#This Row],[MD GMV]]/PFS_SalesOverview_ExclTax[[#This Row],[GMV]]</f>
        <v>0.82657794642901861</v>
      </c>
      <c r="BC21" s="429">
        <f>PFS_SalesOverview_InTax[[#This Row],[GMV_TGT]]/$F$1</f>
        <v>15323008.849557523</v>
      </c>
      <c r="BD21" s="429">
        <f>PFS_SalesOverview_InTax[[#This Row],[NET_TGT]]/$F$1</f>
        <v>4854646.0176991159</v>
      </c>
      <c r="BE21" s="430">
        <f>PFS_SalesOverview_InTax[[#This Row],[TRAFFIC_TGT]]</f>
        <v>606843</v>
      </c>
      <c r="BF21" s="431">
        <f>PFS_SalesOverview_InTax[[#This Row],[BUYERS_TGT]]</f>
        <v>3614</v>
      </c>
      <c r="BG21" s="104">
        <f>PFS_SalesOverview_InTax[[#This Row],[CVR_TGT]]</f>
        <v>5.955411861057967E-3</v>
      </c>
      <c r="BH21" s="431">
        <f>PFS_SalesOverview_InTax[[#This Row],[ATV_TGT]]/$F$1</f>
        <v>4239.9028360701504</v>
      </c>
      <c r="BI21" s="432">
        <f>PFS_SalesOverview_InTax[[#This Row],[UPT_TGT]]</f>
        <v>1.3635860542335363</v>
      </c>
      <c r="BJ21" s="94">
        <f>PFS_SalesOverview_InTax[[#This Row],[RRC_TGT]]</f>
        <v>0.6831793242853017</v>
      </c>
      <c r="BK21" s="431">
        <f>PFS_SalesOverview_InTax[[#This Row],[UNITS_TGT]]</f>
        <v>4928</v>
      </c>
      <c r="BL21" s="28" t="str">
        <f>_xlfn.XLOOKUP(PFS_SalesOverview_ExclTax[[#This Row],[DATE]],全店核心数据_bymonth[开始日期],全店核心数据_bymonth[jda日历.PayYear],"")</f>
        <v>BU25</v>
      </c>
      <c r="CO21" s="424"/>
    </row>
    <row r="22" spans="5:97" ht="14.5" customHeight="1" x14ac:dyDescent="0.3">
      <c r="E22" s="428">
        <v>45536</v>
      </c>
      <c r="F22" s="431">
        <f>SUMIFS(全店核心数据_bymonth[支付金额],全店核心数据_bymonth[开始日期],$E22)</f>
        <v>885540</v>
      </c>
      <c r="G22" s="431">
        <f>PFS_SalesOverview_InTax[[#This Row],[GMV]]-PFS_SalesOverview_InTax[[#This Row],[RR]]</f>
        <v>393009.12</v>
      </c>
      <c r="H22" s="431">
        <f>SUMIFS(全店核心数据_bymonth[访客数],全店核心数据_bymonth[开始日期],$E22)</f>
        <v>204373</v>
      </c>
      <c r="I22" s="431">
        <f>SUMIFS(全店核心数据_bymonth[支付买家数],全店核心数据_bymonth[开始日期],$E22)</f>
        <v>164</v>
      </c>
      <c r="J22" s="431">
        <f>SUMIFS(全店核心数据_bymonth[支付件数],全店核心数据_bymonth[开始日期],$E22)</f>
        <v>239</v>
      </c>
      <c r="K22" s="92">
        <f>PFS_SalesOverview_InTax[[#This Row],[Buyers]]/PFS_SalesOverview_InTax[[#This Row],[UV]]</f>
        <v>8.0245433594457194E-4</v>
      </c>
      <c r="L22" s="431">
        <f>PFS_SalesOverview_InTax[[#This Row],[GMV]]/PFS_SalesOverview_InTax[[#This Row],[Buyers]]</f>
        <v>5399.6341463414637</v>
      </c>
      <c r="M22" s="431">
        <f>PFS_SalesOverview_InTax[[#This Row],[GMV]]/PFS_SalesOverview_InTax[[#This Row],[Units]]</f>
        <v>3705.1882845188284</v>
      </c>
      <c r="N22" s="432">
        <f>PFS_SalesOverview_InTax[[#This Row],[Units]]/PFS_SalesOverview_InTax[[#This Row],[Buyers]]</f>
        <v>1.4573170731707317</v>
      </c>
      <c r="O22" s="93">
        <f>PFS_SalesOverview_InTax[[#This Row],[RR]]/PFS_SalesOverview_InTax[[#This Row],[GMV]]</f>
        <v>0.55619269598211263</v>
      </c>
      <c r="P22" s="431">
        <f>SUMIFS(全店核心数据_bymonth[支付退款金额],全店核心数据_bymonth[开始日期],$E22)</f>
        <v>492530.88</v>
      </c>
      <c r="Q22" s="431">
        <f>SUMIFS(全店核心数据_bymonth[md_gmv],全店核心数据_bymonth[开始日期],$E22)</f>
        <v>0</v>
      </c>
      <c r="R22" s="94">
        <f>PFS_SalesOverview_InTax[[#This Row],[MD GMV]]/PFS_SalesOverview_InTax[[#This Row],[GMV]]</f>
        <v>0</v>
      </c>
      <c r="S22" s="431">
        <f>SUMIFS(全店核心数据_bymonth[md_net],全店核心数据_bymonth[开始日期],$E22)</f>
        <v>0</v>
      </c>
      <c r="T22" s="94">
        <f>PFS_SalesOverview_InTax[[#This Row],[MD NET]]/PFS_SalesOverview_InTax[[#This Row],[NET]]</f>
        <v>0</v>
      </c>
      <c r="U22" s="431">
        <f>SUMIFS(目标表[gmv],目标表[Date],"&gt;="&amp;$E22,目标表[Date],"&lt;="&amp;EOMONTH($E22,0),目标表[channel],"PFS")</f>
        <v>1558000</v>
      </c>
      <c r="V22" s="431">
        <f>SUMIFS(目标表[net],目标表[Date],"&gt;="&amp;$E22,目标表[Date],"&lt;="&amp;EOMONTH($E22,0),目标表[channel],"PFS")</f>
        <v>794580</v>
      </c>
      <c r="W22" s="431">
        <f>SUMIFS(目标表[uv],目标表[Date],"&gt;="&amp;$E22,目标表[Date],"&lt;="&amp;EOMONTH($E22,0),目标表[channel],"PFS")</f>
        <v>288100</v>
      </c>
      <c r="X22" s="431">
        <f>SUMIFS(目标表[buyers],目标表[Date],"&gt;="&amp;$E22,目标表[Date],"&lt;="&amp;EOMONTH($E22,0),目标表[channel],"PFS")</f>
        <v>274</v>
      </c>
      <c r="Y22" s="378">
        <f>PFS_SalesOverview_InTax[[#This Row],[BUYERS_TGT]]/PFS_SalesOverview_InTax[[#This Row],[TRAFFIC_TGT]]</f>
        <v>9.5105866018743495E-4</v>
      </c>
      <c r="Z22" s="379">
        <f>PFS_SalesOverview_InTax[[#This Row],[GMV_TGT]]/PFS_SalesOverview_InTax[[#This Row],[BUYERS_TGT]]</f>
        <v>5686.1313868613142</v>
      </c>
      <c r="AA22" s="380">
        <f>PFS_SalesOverview_InTax[[#This Row],[UNITS_TGT]]/PFS_SalesOverview_InTax[[#This Row],[BUYERS_TGT]]</f>
        <v>1.562043795620438</v>
      </c>
      <c r="AB22" s="94">
        <f>1-PFS_SalesOverview_InTax[[#This Row],[NET_TGT]]/PFS_SalesOverview_InTax[[#This Row],[GMV_TGT]]</f>
        <v>0.49</v>
      </c>
      <c r="AC22" s="381">
        <f>SUMIFS(目标表[gmv_units],目标表[Date],"&gt;="&amp;$E22,目标表[Date],"&lt;="&amp;EOMONTH($E22,0),目标表[channel],"PFS")</f>
        <v>428</v>
      </c>
      <c r="AD22" s="105">
        <f>PFS_SalesOverview_InTax[[#This Row],[GMV]]/PFS_SalesOverview_InTax[[#This Row],[GMV_TGT]]</f>
        <v>0.56838254172015401</v>
      </c>
      <c r="AE22" s="105">
        <f>PFS_SalesOverview_InTax[[#This Row],[NET]]/PFS_SalesOverview_InTax[[#This Row],[NET_TGT]]</f>
        <v>0.49461239900324699</v>
      </c>
      <c r="AF22" s="105">
        <f>PFS_SalesOverview_InTax[[#This Row],[UV]]/PFS_SalesOverview_InTax[[#This Row],[TRAFFIC_TGT]]</f>
        <v>0.70938215897257895</v>
      </c>
      <c r="AG22" s="105">
        <f>PFS_SalesOverview_InTax[[#This Row],[Buyers]]/PFS_SalesOverview_InTax[[#This Row],[BUYERS_TGT]]</f>
        <v>0.59854014598540151</v>
      </c>
      <c r="AH22" s="105">
        <f>PFS_SalesOverview_InTax[[#This Row],[CR]]/PFS_SalesOverview_InTax[[#This Row],[CVR_TGT]]</f>
        <v>0.84374851892566116</v>
      </c>
      <c r="AI22" s="105">
        <f>PFS_SalesOverview_InTax[[#This Row],[ATV]]/PFS_SalesOverview_InTax[[#This Row],[ATV_TGT]]</f>
        <v>0.94961473433733057</v>
      </c>
      <c r="AJ22" s="105">
        <f>PFS_SalesOverview_InTax[[#This Row],[UPT]]/PFS_SalesOverview_InTax[[#This Row],[UPT_TGT]]</f>
        <v>0.93295532254387958</v>
      </c>
      <c r="AK22" s="105">
        <f>PFS_SalesOverview_InTax[[#This Row],[RRC]]/PFS_SalesOverview_InTax[[#This Row],[RRC_TGT]]</f>
        <v>1.1350871346573728</v>
      </c>
      <c r="AL22" s="28" t="str">
        <f>_xlfn.XLOOKUP(PFS_SalesOverview_InTax[[#This Row],[DATE]],全店核心数据_bymonth[开始日期],全店核心数据_bymonth[jda日历.PayYear],"")</f>
        <v>BU25</v>
      </c>
      <c r="AO22" s="428">
        <f>PFS_SalesOverview_InTax[[#This Row],[DATE]]</f>
        <v>45536</v>
      </c>
      <c r="AP22" s="429">
        <f>PFS_SalesOverview_InTax[[#This Row],[GMV]]/$F$1</f>
        <v>783663.71681415942</v>
      </c>
      <c r="AQ22" s="429">
        <f>PFS_SalesOverview_ExclTax[[#This Row],[GMV]]-PFS_SalesOverview_ExclTax[[#This Row],[RR]]</f>
        <v>347795.68141592928</v>
      </c>
      <c r="AR22" s="430">
        <f>PFS_SalesOverview_InTax[[#This Row],[UV]]</f>
        <v>204373</v>
      </c>
      <c r="AS22" s="431">
        <f>PFS_SalesOverview_InTax[[#This Row],[Buyers]]</f>
        <v>164</v>
      </c>
      <c r="AT22" s="431">
        <f>PFS_SalesOverview_InTax[[#This Row],[Units]]</f>
        <v>239</v>
      </c>
      <c r="AU22" s="92">
        <f>PFS_SalesOverview_ExclTax[[#This Row],[Buyers]]/PFS_SalesOverview_ExclTax[[#This Row],[UV]]</f>
        <v>8.0245433594457194E-4</v>
      </c>
      <c r="AV22" s="431">
        <f>PFS_SalesOverview_ExclTax[[#This Row],[GMV]]/PFS_SalesOverview_ExclTax[[#This Row],[Buyers]]</f>
        <v>4778.4372976473132</v>
      </c>
      <c r="AW22" s="431">
        <f>PFS_SalesOverview_ExclTax[[#This Row],[GMV]]/PFS_SalesOverview_ExclTax[[#This Row],[Units]]</f>
        <v>3278.9276854148929</v>
      </c>
      <c r="AX22" s="432">
        <f>PFS_SalesOverview_ExclTax[[#This Row],[Units]]/PFS_SalesOverview_ExclTax[[#This Row],[Buyers]]</f>
        <v>1.4573170731707317</v>
      </c>
      <c r="AY22" s="93">
        <f>PFS_SalesOverview_ExclTax[[#This Row],[RR]]/PFS_SalesOverview_ExclTax[[#This Row],[GMV]]</f>
        <v>0.55619269598211263</v>
      </c>
      <c r="AZ22" s="429">
        <f>PFS_SalesOverview_InTax[[#This Row],[RR]]/$F$1</f>
        <v>435868.03539823013</v>
      </c>
      <c r="BA22" s="429">
        <f>PFS_SalesOverview_InTax[[#This Row],[MD GMV]]/$F$1</f>
        <v>0</v>
      </c>
      <c r="BB22" s="94">
        <f>PFS_SalesOverview_ExclTax[[#This Row],[MD GMV]]/PFS_SalesOverview_ExclTax[[#This Row],[GMV]]</f>
        <v>0</v>
      </c>
      <c r="BC22" s="429">
        <f>PFS_SalesOverview_InTax[[#This Row],[GMV_TGT]]/$F$1</f>
        <v>1378761.0619469029</v>
      </c>
      <c r="BD22" s="429">
        <f>PFS_SalesOverview_InTax[[#This Row],[NET_TGT]]/$F$1</f>
        <v>703168.14159292041</v>
      </c>
      <c r="BE22" s="430">
        <f>PFS_SalesOverview_InTax[[#This Row],[TRAFFIC_TGT]]</f>
        <v>288100</v>
      </c>
      <c r="BF22" s="431">
        <f>PFS_SalesOverview_InTax[[#This Row],[BUYERS_TGT]]</f>
        <v>274</v>
      </c>
      <c r="BG22" s="104">
        <f>PFS_SalesOverview_InTax[[#This Row],[CVR_TGT]]</f>
        <v>9.5105866018743495E-4</v>
      </c>
      <c r="BH22" s="431">
        <f>PFS_SalesOverview_InTax[[#This Row],[ATV_TGT]]/$F$1</f>
        <v>5031.9746786383321</v>
      </c>
      <c r="BI22" s="432">
        <f>PFS_SalesOverview_InTax[[#This Row],[UPT_TGT]]</f>
        <v>1.562043795620438</v>
      </c>
      <c r="BJ22" s="94">
        <f>PFS_SalesOverview_InTax[[#This Row],[RRC_TGT]]</f>
        <v>0.49</v>
      </c>
      <c r="BK22" s="431">
        <f>PFS_SalesOverview_InTax[[#This Row],[UNITS_TGT]]</f>
        <v>428</v>
      </c>
      <c r="BL22" s="28" t="str">
        <f>_xlfn.XLOOKUP(PFS_SalesOverview_ExclTax[[#This Row],[DATE]],全店核心数据_bymonth[开始日期],全店核心数据_bymonth[jda日历.PayYear],"")</f>
        <v>BU25</v>
      </c>
      <c r="BO22" s="28"/>
      <c r="CO22" s="53"/>
    </row>
    <row r="23" spans="5:97" ht="14.5" customHeight="1" x14ac:dyDescent="0.3">
      <c r="E23" s="428">
        <v>45505</v>
      </c>
      <c r="F23" s="431">
        <f>SUMIFS(全店核心数据_bymonth[支付金额],全店核心数据_bymonth[开始日期],$E23)</f>
        <v>1072600</v>
      </c>
      <c r="G23" s="431">
        <f>PFS_SalesOverview_InTax[[#This Row],[GMV]]-PFS_SalesOverview_InTax[[#This Row],[RR]]</f>
        <v>571385</v>
      </c>
      <c r="H23" s="431">
        <f>SUMIFS(全店核心数据_bymonth[访客数],全店核心数据_bymonth[开始日期],$E23)</f>
        <v>219420</v>
      </c>
      <c r="I23" s="431">
        <f>SUMIFS(全店核心数据_bymonth[支付买家数],全店核心数据_bymonth[开始日期],$E23)</f>
        <v>174</v>
      </c>
      <c r="J23" s="431">
        <f>SUMIFS(全店核心数据_bymonth[支付件数],全店核心数据_bymonth[开始日期],$E23)</f>
        <v>244</v>
      </c>
      <c r="K23" s="92">
        <f>PFS_SalesOverview_InTax[[#This Row],[Buyers]]/PFS_SalesOverview_InTax[[#This Row],[UV]]</f>
        <v>7.9299972655181845E-4</v>
      </c>
      <c r="L23" s="431">
        <f>PFS_SalesOverview_InTax[[#This Row],[GMV]]/PFS_SalesOverview_InTax[[#This Row],[Buyers]]</f>
        <v>6164.3678160919544</v>
      </c>
      <c r="M23" s="431">
        <f>PFS_SalesOverview_InTax[[#This Row],[GMV]]/PFS_SalesOverview_InTax[[#This Row],[Units]]</f>
        <v>4395.9016393442625</v>
      </c>
      <c r="N23" s="432">
        <f>PFS_SalesOverview_InTax[[#This Row],[Units]]/PFS_SalesOverview_InTax[[#This Row],[Buyers]]</f>
        <v>1.4022988505747127</v>
      </c>
      <c r="O23" s="93">
        <f>PFS_SalesOverview_InTax[[#This Row],[RR]]/PFS_SalesOverview_InTax[[#This Row],[GMV]]</f>
        <v>0.46728976319224313</v>
      </c>
      <c r="P23" s="431">
        <f>SUMIFS(全店核心数据_bymonth[支付退款金额],全店核心数据_bymonth[开始日期],$E23)</f>
        <v>501215</v>
      </c>
      <c r="Q23" s="431">
        <f>SUMIFS(全店核心数据_bymonth[md_gmv],全店核心数据_bymonth[开始日期],$E23)</f>
        <v>0</v>
      </c>
      <c r="R23" s="94">
        <f>PFS_SalesOverview_InTax[[#This Row],[MD GMV]]/PFS_SalesOverview_InTax[[#This Row],[GMV]]</f>
        <v>0</v>
      </c>
      <c r="S23" s="431">
        <f>SUMIFS(全店核心数据_bymonth[md_net],全店核心数据_bymonth[开始日期],$E23)</f>
        <v>0</v>
      </c>
      <c r="T23" s="94">
        <f>PFS_SalesOverview_InTax[[#This Row],[MD NET]]/PFS_SalesOverview_InTax[[#This Row],[NET]]</f>
        <v>0</v>
      </c>
      <c r="U23" s="431">
        <f>SUMIFS(目标表[gmv],目标表[Date],"&gt;="&amp;$E23,目标表[Date],"&lt;="&amp;EOMONTH($E23,0),目标表[channel],"PFS")</f>
        <v>1437950</v>
      </c>
      <c r="V23" s="431">
        <f>SUMIFS(目标表[net],目标表[Date],"&gt;="&amp;$E23,目标表[Date],"&lt;="&amp;EOMONTH($E23,0),目标表[channel],"PFS")</f>
        <v>718975</v>
      </c>
      <c r="W23" s="431">
        <f>SUMIFS(目标表[uv],目标表[Date],"&gt;="&amp;$E23,目标表[Date],"&lt;="&amp;EOMONTH($E23,0),目标表[channel],"PFS")</f>
        <v>302000</v>
      </c>
      <c r="X23" s="431">
        <f>SUMIFS(目标表[buyers],目标表[Date],"&gt;="&amp;$E23,目标表[Date],"&lt;="&amp;EOMONTH($E23,0),目标表[channel],"PFS")</f>
        <v>298</v>
      </c>
      <c r="Y23" s="378">
        <f>PFS_SalesOverview_InTax[[#This Row],[BUYERS_TGT]]/PFS_SalesOverview_InTax[[#This Row],[TRAFFIC_TGT]]</f>
        <v>9.867549668874172E-4</v>
      </c>
      <c r="Z23" s="379">
        <f>PFS_SalesOverview_InTax[[#This Row],[GMV_TGT]]/PFS_SalesOverview_InTax[[#This Row],[BUYERS_TGT]]</f>
        <v>4825.3355704697988</v>
      </c>
      <c r="AA23" s="380">
        <f>PFS_SalesOverview_InTax[[#This Row],[UNITS_TGT]]/PFS_SalesOverview_InTax[[#This Row],[BUYERS_TGT]]</f>
        <v>1.3154362416107384</v>
      </c>
      <c r="AB23" s="94">
        <f>1-PFS_SalesOverview_InTax[[#This Row],[NET_TGT]]/PFS_SalesOverview_InTax[[#This Row],[GMV_TGT]]</f>
        <v>0.5</v>
      </c>
      <c r="AC23" s="381">
        <f>SUMIFS(目标表[gmv_units],目标表[Date],"&gt;="&amp;$E23,目标表[Date],"&lt;="&amp;EOMONTH($E23,0),目标表[channel],"PFS")</f>
        <v>392</v>
      </c>
      <c r="AD23" s="105">
        <f>PFS_SalesOverview_InTax[[#This Row],[GMV]]/PFS_SalesOverview_InTax[[#This Row],[GMV_TGT]]</f>
        <v>0.74592301540387362</v>
      </c>
      <c r="AE23" s="105">
        <f>PFS_SalesOverview_InTax[[#This Row],[NET]]/PFS_SalesOverview_InTax[[#This Row],[NET_TGT]]</f>
        <v>0.79472165235230707</v>
      </c>
      <c r="AF23" s="105">
        <f>PFS_SalesOverview_InTax[[#This Row],[UV]]/PFS_SalesOverview_InTax[[#This Row],[TRAFFIC_TGT]]</f>
        <v>0.72655629139072853</v>
      </c>
      <c r="AG23" s="105">
        <f>PFS_SalesOverview_InTax[[#This Row],[Buyers]]/PFS_SalesOverview_InTax[[#This Row],[BUYERS_TGT]]</f>
        <v>0.58389261744966447</v>
      </c>
      <c r="AH23" s="105">
        <f>PFS_SalesOverview_InTax[[#This Row],[CR]]/PFS_SalesOverview_InTax[[#This Row],[CVR_TGT]]</f>
        <v>0.80364401818338649</v>
      </c>
      <c r="AI23" s="105">
        <f>PFS_SalesOverview_InTax[[#This Row],[ATV]]/PFS_SalesOverview_InTax[[#This Row],[ATV_TGT]]</f>
        <v>1.2775003367261744</v>
      </c>
      <c r="AJ23" s="105">
        <f>PFS_SalesOverview_InTax[[#This Row],[UPT]]/PFS_SalesOverview_InTax[[#This Row],[UPT_TGT]]</f>
        <v>1.0660333098756745</v>
      </c>
      <c r="AK23" s="105">
        <f>PFS_SalesOverview_InTax[[#This Row],[RRC]]/PFS_SalesOverview_InTax[[#This Row],[RRC_TGT]]</f>
        <v>0.93457952638448627</v>
      </c>
      <c r="AL23" s="28" t="str">
        <f>_xlfn.XLOOKUP(PFS_SalesOverview_InTax[[#This Row],[DATE]],全店核心数据_bymonth[开始日期],全店核心数据_bymonth[jda日历.PayYear],"")</f>
        <v>BU25</v>
      </c>
      <c r="AO23" s="428">
        <f>PFS_SalesOverview_InTax[[#This Row],[DATE]]</f>
        <v>45505</v>
      </c>
      <c r="AP23" s="429">
        <f>PFS_SalesOverview_InTax[[#This Row],[GMV]]/$F$1</f>
        <v>949203.53982300893</v>
      </c>
      <c r="AQ23" s="429">
        <f>PFS_SalesOverview_ExclTax[[#This Row],[GMV]]-PFS_SalesOverview_ExclTax[[#This Row],[RR]]</f>
        <v>505650.44247787615</v>
      </c>
      <c r="AR23" s="430">
        <f>PFS_SalesOverview_InTax[[#This Row],[UV]]</f>
        <v>219420</v>
      </c>
      <c r="AS23" s="431">
        <f>PFS_SalesOverview_InTax[[#This Row],[Buyers]]</f>
        <v>174</v>
      </c>
      <c r="AT23" s="431">
        <f>PFS_SalesOverview_InTax[[#This Row],[Units]]</f>
        <v>244</v>
      </c>
      <c r="AU23" s="92">
        <f>PFS_SalesOverview_ExclTax[[#This Row],[Buyers]]/PFS_SalesOverview_ExclTax[[#This Row],[UV]]</f>
        <v>7.9299972655181845E-4</v>
      </c>
      <c r="AV23" s="431">
        <f>PFS_SalesOverview_ExclTax[[#This Row],[GMV]]/PFS_SalesOverview_ExclTax[[#This Row],[Buyers]]</f>
        <v>5455.1927576034996</v>
      </c>
      <c r="AW23" s="431">
        <f>PFS_SalesOverview_ExclTax[[#This Row],[GMV]]/PFS_SalesOverview_ExclTax[[#This Row],[Units]]</f>
        <v>3890.1784418975776</v>
      </c>
      <c r="AX23" s="432">
        <f>PFS_SalesOverview_ExclTax[[#This Row],[Units]]/PFS_SalesOverview_ExclTax[[#This Row],[Buyers]]</f>
        <v>1.4022988505747127</v>
      </c>
      <c r="AY23" s="93">
        <f>PFS_SalesOverview_ExclTax[[#This Row],[RR]]/PFS_SalesOverview_ExclTax[[#This Row],[GMV]]</f>
        <v>0.46728976319224313</v>
      </c>
      <c r="AZ23" s="429">
        <f>PFS_SalesOverview_InTax[[#This Row],[RR]]/$F$1</f>
        <v>443553.09734513279</v>
      </c>
      <c r="BA23" s="429">
        <f>PFS_SalesOverview_InTax[[#This Row],[MD GMV]]/$F$1</f>
        <v>0</v>
      </c>
      <c r="BB23" s="94">
        <f>PFS_SalesOverview_ExclTax[[#This Row],[MD GMV]]/PFS_SalesOverview_ExclTax[[#This Row],[GMV]]</f>
        <v>0</v>
      </c>
      <c r="BC23" s="429">
        <f>PFS_SalesOverview_InTax[[#This Row],[GMV_TGT]]/$F$1</f>
        <v>1272522.1238938053</v>
      </c>
      <c r="BD23" s="429">
        <f>PFS_SalesOverview_InTax[[#This Row],[NET_TGT]]/$F$1</f>
        <v>636261.06194690266</v>
      </c>
      <c r="BE23" s="430">
        <f>PFS_SalesOverview_InTax[[#This Row],[TRAFFIC_TGT]]</f>
        <v>302000</v>
      </c>
      <c r="BF23" s="431">
        <f>PFS_SalesOverview_InTax[[#This Row],[BUYERS_TGT]]</f>
        <v>298</v>
      </c>
      <c r="BG23" s="104">
        <f>PFS_SalesOverview_InTax[[#This Row],[CVR_TGT]]</f>
        <v>9.867549668874172E-4</v>
      </c>
      <c r="BH23" s="431">
        <f>PFS_SalesOverview_InTax[[#This Row],[ATV_TGT]]/$F$1</f>
        <v>4270.2084694423002</v>
      </c>
      <c r="BI23" s="432">
        <f>PFS_SalesOverview_InTax[[#This Row],[UPT_TGT]]</f>
        <v>1.3154362416107384</v>
      </c>
      <c r="BJ23" s="94">
        <f>PFS_SalesOverview_InTax[[#This Row],[RRC_TGT]]</f>
        <v>0.5</v>
      </c>
      <c r="BK23" s="431">
        <f>PFS_SalesOverview_InTax[[#This Row],[UNITS_TGT]]</f>
        <v>392</v>
      </c>
      <c r="BL23" s="28" t="str">
        <f>_xlfn.XLOOKUP(PFS_SalesOverview_ExclTax[[#This Row],[DATE]],全店核心数据_bymonth[开始日期],全店核心数据_bymonth[jda日历.PayYear],"")</f>
        <v>BU25</v>
      </c>
      <c r="BO23" s="28"/>
      <c r="CO23" s="53"/>
    </row>
    <row r="24" spans="5:97" ht="14.5" customHeight="1" x14ac:dyDescent="0.3">
      <c r="E24" s="428">
        <v>45474</v>
      </c>
      <c r="F24" s="431">
        <f>SUMIFS(全店核心数据_bymonth[支付金额],全店核心数据_bymonth[开始日期],$E24)</f>
        <v>1300035</v>
      </c>
      <c r="G24" s="431">
        <f>PFS_SalesOverview_InTax[[#This Row],[GMV]]-PFS_SalesOverview_InTax[[#This Row],[RR]]</f>
        <v>684684.04</v>
      </c>
      <c r="H24" s="431">
        <f>SUMIFS(全店核心数据_bymonth[访客数],全店核心数据_bymonth[开始日期],$E24)</f>
        <v>255156</v>
      </c>
      <c r="I24" s="431">
        <f>SUMIFS(全店核心数据_bymonth[支付买家数],全店核心数据_bymonth[开始日期],$E24)</f>
        <v>247</v>
      </c>
      <c r="J24" s="431">
        <f>SUMIFS(全店核心数据_bymonth[支付件数],全店核心数据_bymonth[开始日期],$E24)</f>
        <v>334</v>
      </c>
      <c r="K24" s="92">
        <f>PFS_SalesOverview_InTax[[#This Row],[Buyers]]/PFS_SalesOverview_InTax[[#This Row],[UV]]</f>
        <v>9.6803524118578435E-4</v>
      </c>
      <c r="L24" s="431">
        <f>PFS_SalesOverview_InTax[[#This Row],[GMV]]/PFS_SalesOverview_InTax[[#This Row],[Buyers]]</f>
        <v>5263.2995951417006</v>
      </c>
      <c r="M24" s="431">
        <f>PFS_SalesOverview_InTax[[#This Row],[GMV]]/PFS_SalesOverview_InTax[[#This Row],[Units]]</f>
        <v>3892.320359281437</v>
      </c>
      <c r="N24" s="432">
        <f>PFS_SalesOverview_InTax[[#This Row],[Units]]/PFS_SalesOverview_InTax[[#This Row],[Buyers]]</f>
        <v>1.3522267206477734</v>
      </c>
      <c r="O24" s="93">
        <f>PFS_SalesOverview_InTax[[#This Row],[RR]]/PFS_SalesOverview_InTax[[#This Row],[GMV]]</f>
        <v>0.4733341486959966</v>
      </c>
      <c r="P24" s="431">
        <f>SUMIFS(全店核心数据_bymonth[支付退款金额],全店核心数据_bymonth[开始日期],$E24)</f>
        <v>615350.96</v>
      </c>
      <c r="Q24" s="431">
        <f>SUMIFS(全店核心数据_bymonth[md_gmv],全店核心数据_bymonth[开始日期],$E24)</f>
        <v>271625</v>
      </c>
      <c r="R24" s="94">
        <f>PFS_SalesOverview_InTax[[#This Row],[MD GMV]]/PFS_SalesOverview_InTax[[#This Row],[GMV]]</f>
        <v>0.2089366824739334</v>
      </c>
      <c r="S24" s="431">
        <f>SUMIFS(全店核心数据_bymonth[md_net],全店核心数据_bymonth[开始日期],$E24)</f>
        <v>146790</v>
      </c>
      <c r="T24" s="94">
        <f>PFS_SalesOverview_InTax[[#This Row],[MD NET]]/PFS_SalesOverview_InTax[[#This Row],[NET]]</f>
        <v>0.21439085976065689</v>
      </c>
      <c r="U24" s="431">
        <f>SUMIFS(目标表[gmv],目标表[Date],"&gt;="&amp;$E24,目标表[Date],"&lt;="&amp;EOMONTH($E24,0),目标表[channel],"PFS")</f>
        <v>1839857</v>
      </c>
      <c r="V24" s="431">
        <f>SUMIFS(目标表[net],目标表[Date],"&gt;="&amp;$E24,目标表[Date],"&lt;="&amp;EOMONTH($E24,0),目标表[channel],"PFS")</f>
        <v>919929</v>
      </c>
      <c r="W24" s="431">
        <f>SUMIFS(目标表[uv],目标表[Date],"&gt;="&amp;$E24,目标表[Date],"&lt;="&amp;EOMONTH($E24,0),目标表[channel],"PFS")</f>
        <v>300500</v>
      </c>
      <c r="X24" s="431">
        <f>SUMIFS(目标表[buyers],目标表[Date],"&gt;="&amp;$E24,目标表[Date],"&lt;="&amp;EOMONTH($E24,0),目标表[channel],"PFS")</f>
        <v>413</v>
      </c>
      <c r="Y24" s="378">
        <f>PFS_SalesOverview_InTax[[#This Row],[BUYERS_TGT]]/PFS_SalesOverview_InTax[[#This Row],[TRAFFIC_TGT]]</f>
        <v>1.3743760399334442E-3</v>
      </c>
      <c r="Z24" s="379">
        <f>PFS_SalesOverview_InTax[[#This Row],[GMV_TGT]]/PFS_SalesOverview_InTax[[#This Row],[BUYERS_TGT]]</f>
        <v>4454.8595641646489</v>
      </c>
      <c r="AA24" s="380">
        <f>PFS_SalesOverview_InTax[[#This Row],[UNITS_TGT]]/PFS_SalesOverview_InTax[[#This Row],[BUYERS_TGT]]</f>
        <v>1.2372881355932204</v>
      </c>
      <c r="AB24" s="94">
        <f>1-PFS_SalesOverview_InTax[[#This Row],[NET_TGT]]/PFS_SalesOverview_InTax[[#This Row],[GMV_TGT]]</f>
        <v>0.49999972823974903</v>
      </c>
      <c r="AC24" s="381">
        <f>SUMIFS(目标表[gmv_units],目标表[Date],"&gt;="&amp;$E24,目标表[Date],"&lt;="&amp;EOMONTH($E24,0),目标表[channel],"PFS")</f>
        <v>511</v>
      </c>
      <c r="AD24" s="105">
        <f>PFS_SalesOverview_InTax[[#This Row],[GMV]]/PFS_SalesOverview_InTax[[#This Row],[GMV_TGT]]</f>
        <v>0.70659567564218306</v>
      </c>
      <c r="AE24" s="105">
        <f>PFS_SalesOverview_InTax[[#This Row],[NET]]/PFS_SalesOverview_InTax[[#This Row],[NET_TGT]]</f>
        <v>0.74427922154861959</v>
      </c>
      <c r="AF24" s="105">
        <f>PFS_SalesOverview_InTax[[#This Row],[UV]]/PFS_SalesOverview_InTax[[#This Row],[TRAFFIC_TGT]]</f>
        <v>0.84910482529118136</v>
      </c>
      <c r="AG24" s="105">
        <f>PFS_SalesOverview_InTax[[#This Row],[Buyers]]/PFS_SalesOverview_InTax[[#This Row],[BUYERS_TGT]]</f>
        <v>0.59806295399515741</v>
      </c>
      <c r="AH24" s="105">
        <f>PFS_SalesOverview_InTax[[#This Row],[CR]]/PFS_SalesOverview_InTax[[#This Row],[CVR_TGT]]</f>
        <v>0.7043452541799714</v>
      </c>
      <c r="AI24" s="105">
        <f>PFS_SalesOverview_InTax[[#This Row],[ATV]]/PFS_SalesOverview_InTax[[#This Row],[ATV_TGT]]</f>
        <v>1.1814737410535288</v>
      </c>
      <c r="AJ24" s="105">
        <f>PFS_SalesOverview_InTax[[#This Row],[UPT]]/PFS_SalesOverview_InTax[[#This Row],[UPT_TGT]]</f>
        <v>1.0928955687427209</v>
      </c>
      <c r="AK24" s="105">
        <f>PFS_SalesOverview_InTax[[#This Row],[RRC]]/PFS_SalesOverview_InTax[[#This Row],[RRC_TGT]]</f>
        <v>0.94666881192590102</v>
      </c>
      <c r="AL24" s="28" t="str">
        <f>_xlfn.XLOOKUP(PFS_SalesOverview_InTax[[#This Row],[DATE]],全店核心数据_bymonth[开始日期],全店核心数据_bymonth[jda日历.PayYear],"")</f>
        <v>BU25</v>
      </c>
      <c r="AO24" s="428">
        <f>PFS_SalesOverview_InTax[[#This Row],[DATE]]</f>
        <v>45474</v>
      </c>
      <c r="AP24" s="429">
        <f>PFS_SalesOverview_InTax[[#This Row],[GMV]]/$F$1</f>
        <v>1150473.4513274338</v>
      </c>
      <c r="AQ24" s="429">
        <f>PFS_SalesOverview_ExclTax[[#This Row],[GMV]]-PFS_SalesOverview_ExclTax[[#This Row],[RR]]</f>
        <v>605915.07964601787</v>
      </c>
      <c r="AR24" s="430">
        <f>PFS_SalesOverview_InTax[[#This Row],[UV]]</f>
        <v>255156</v>
      </c>
      <c r="AS24" s="431">
        <f>PFS_SalesOverview_InTax[[#This Row],[Buyers]]</f>
        <v>247</v>
      </c>
      <c r="AT24" s="431">
        <f>PFS_SalesOverview_InTax[[#This Row],[Units]]</f>
        <v>334</v>
      </c>
      <c r="AU24" s="92">
        <f>PFS_SalesOverview_ExclTax[[#This Row],[Buyers]]/PFS_SalesOverview_ExclTax[[#This Row],[UV]]</f>
        <v>9.6803524118578435E-4</v>
      </c>
      <c r="AV24" s="431">
        <f>PFS_SalesOverview_ExclTax[[#This Row],[GMV]]/PFS_SalesOverview_ExclTax[[#This Row],[Buyers]]</f>
        <v>4657.7872523377891</v>
      </c>
      <c r="AW24" s="431">
        <f>PFS_SalesOverview_ExclTax[[#This Row],[GMV]]/PFS_SalesOverview_ExclTax[[#This Row],[Units]]</f>
        <v>3444.5312913995026</v>
      </c>
      <c r="AX24" s="432">
        <f>PFS_SalesOverview_ExclTax[[#This Row],[Units]]/PFS_SalesOverview_ExclTax[[#This Row],[Buyers]]</f>
        <v>1.3522267206477734</v>
      </c>
      <c r="AY24" s="93">
        <f>PFS_SalesOverview_ExclTax[[#This Row],[RR]]/PFS_SalesOverview_ExclTax[[#This Row],[GMV]]</f>
        <v>0.4733341486959966</v>
      </c>
      <c r="AZ24" s="429">
        <f>PFS_SalesOverview_InTax[[#This Row],[RR]]/$F$1</f>
        <v>544558.37168141594</v>
      </c>
      <c r="BA24" s="429">
        <f>PFS_SalesOverview_InTax[[#This Row],[MD GMV]]/$F$1</f>
        <v>240376.10619469028</v>
      </c>
      <c r="BB24" s="94">
        <f>PFS_SalesOverview_ExclTax[[#This Row],[MD GMV]]/PFS_SalesOverview_ExclTax[[#This Row],[GMV]]</f>
        <v>0.20893668247393338</v>
      </c>
      <c r="BC24" s="429">
        <f>PFS_SalesOverview_InTax[[#This Row],[GMV_TGT]]/$F$1</f>
        <v>1628192.0353982302</v>
      </c>
      <c r="BD24" s="429">
        <f>PFS_SalesOverview_InTax[[#This Row],[NET_TGT]]/$F$1</f>
        <v>814096.46017699118</v>
      </c>
      <c r="BE24" s="430">
        <f>PFS_SalesOverview_InTax[[#This Row],[TRAFFIC_TGT]]</f>
        <v>300500</v>
      </c>
      <c r="BF24" s="431">
        <f>PFS_SalesOverview_InTax[[#This Row],[BUYERS_TGT]]</f>
        <v>413</v>
      </c>
      <c r="BG24" s="104">
        <f>PFS_SalesOverview_InTax[[#This Row],[CVR_TGT]]</f>
        <v>1.3743760399334442E-3</v>
      </c>
      <c r="BH24" s="431">
        <f>PFS_SalesOverview_InTax[[#This Row],[ATV_TGT]]/$F$1</f>
        <v>3942.3535966058844</v>
      </c>
      <c r="BI24" s="432">
        <f>PFS_SalesOverview_InTax[[#This Row],[UPT_TGT]]</f>
        <v>1.2372881355932204</v>
      </c>
      <c r="BJ24" s="94">
        <f>PFS_SalesOverview_InTax[[#This Row],[RRC_TGT]]</f>
        <v>0.49999972823974903</v>
      </c>
      <c r="BK24" s="431">
        <f>PFS_SalesOverview_InTax[[#This Row],[UNITS_TGT]]</f>
        <v>511</v>
      </c>
      <c r="BL24" s="28" t="str">
        <f>_xlfn.XLOOKUP(PFS_SalesOverview_ExclTax[[#This Row],[DATE]],全店核心数据_bymonth[开始日期],全店核心数据_bymonth[jda日历.PayYear],"")</f>
        <v>BU25</v>
      </c>
      <c r="BO24" s="28"/>
      <c r="CO24" s="53"/>
    </row>
    <row r="25" spans="5:97" ht="14.5" customHeight="1" x14ac:dyDescent="0.3">
      <c r="E25" s="428">
        <v>45444</v>
      </c>
      <c r="F25" s="431">
        <f>SUMIFS(全店核心数据_bymonth[支付金额],全店核心数据_bymonth[开始日期],$E25)</f>
        <v>5232944</v>
      </c>
      <c r="G25" s="431">
        <f>PFS_SalesOverview_InTax[[#This Row],[GMV]]-PFS_SalesOverview_InTax[[#This Row],[RR]]</f>
        <v>1985519.1</v>
      </c>
      <c r="H25" s="431">
        <f>SUMIFS(全店核心数据_bymonth[访客数],全店核心数据_bymonth[开始日期],$E25)</f>
        <v>558983</v>
      </c>
      <c r="I25" s="431">
        <f>SUMIFS(全店核心数据_bymonth[支付买家数],全店核心数据_bymonth[开始日期],$E25)</f>
        <v>1411</v>
      </c>
      <c r="J25" s="431">
        <f>SUMIFS(全店核心数据_bymonth[支付件数],全店核心数据_bymonth[开始日期],$E25)</f>
        <v>2030</v>
      </c>
      <c r="K25" s="92">
        <f>PFS_SalesOverview_InTax[[#This Row],[Buyers]]/PFS_SalesOverview_InTax[[#This Row],[UV]]</f>
        <v>2.5242270337380566E-3</v>
      </c>
      <c r="L25" s="431">
        <f>PFS_SalesOverview_InTax[[#This Row],[GMV]]/PFS_SalesOverview_InTax[[#This Row],[Buyers]]</f>
        <v>3708.6775336640681</v>
      </c>
      <c r="M25" s="431">
        <f>PFS_SalesOverview_InTax[[#This Row],[GMV]]/PFS_SalesOverview_InTax[[#This Row],[Units]]</f>
        <v>2577.8049261083743</v>
      </c>
      <c r="N25" s="432">
        <f>PFS_SalesOverview_InTax[[#This Row],[Units]]/PFS_SalesOverview_InTax[[#This Row],[Buyers]]</f>
        <v>1.4386959603118357</v>
      </c>
      <c r="O25" s="93">
        <f>PFS_SalesOverview_InTax[[#This Row],[RR]]/PFS_SalesOverview_InTax[[#This Row],[GMV]]</f>
        <v>0.62057321844070945</v>
      </c>
      <c r="P25" s="431">
        <f>SUMIFS(全店核心数据_bymonth[支付退款金额],全店核心数据_bymonth[开始日期],$E25)</f>
        <v>3247424.9</v>
      </c>
      <c r="Q25" s="431">
        <f>SUMIFS(全店核心数据_bymonth[md_gmv],全店核心数据_bymonth[开始日期],$E25)</f>
        <v>3192335.58</v>
      </c>
      <c r="R25" s="94">
        <f>PFS_SalesOverview_InTax[[#This Row],[MD GMV]]/PFS_SalesOverview_InTax[[#This Row],[GMV]]</f>
        <v>0.61004581359938115</v>
      </c>
      <c r="S25" s="431">
        <f>SUMIFS(全店核心数据_bymonth[md_net],全店核心数据_bymonth[开始日期],$E25)</f>
        <v>1355349.61</v>
      </c>
      <c r="T25" s="94">
        <f>PFS_SalesOverview_InTax[[#This Row],[MD NET]]/PFS_SalesOverview_InTax[[#This Row],[NET]]</f>
        <v>0.68261726114848253</v>
      </c>
      <c r="U25" s="431">
        <f>SUMIFS(目标表[gmv],目标表[Date],"&gt;="&amp;$E25,目标表[Date],"&lt;="&amp;EOMONTH($E25,0),目标表[channel],"PFS")</f>
        <v>4977172</v>
      </c>
      <c r="V25" s="431">
        <f>SUMIFS(目标表[net],目标表[Date],"&gt;="&amp;$E25,目标表[Date],"&lt;="&amp;EOMONTH($E25,0),目标表[channel],"PFS")</f>
        <v>2145086</v>
      </c>
      <c r="W25" s="431">
        <f>SUMIFS(目标表[uv],目标表[Date],"&gt;="&amp;$E25,目标表[Date],"&lt;="&amp;EOMONTH($E25,0),目标表[channel],"PFS")</f>
        <v>666000</v>
      </c>
      <c r="X25" s="431">
        <f>SUMIFS(目标表[buyers],目标表[Date],"&gt;="&amp;$E25,目标表[Date],"&lt;="&amp;EOMONTH($E25,0),目标表[channel],"PFS")</f>
        <v>1629</v>
      </c>
      <c r="Y25" s="378">
        <f>PFS_SalesOverview_InTax[[#This Row],[BUYERS_TGT]]/PFS_SalesOverview_InTax[[#This Row],[TRAFFIC_TGT]]</f>
        <v>2.4459459459459459E-3</v>
      </c>
      <c r="Z25" s="379">
        <f>PFS_SalesOverview_InTax[[#This Row],[GMV_TGT]]/PFS_SalesOverview_InTax[[#This Row],[BUYERS_TGT]]</f>
        <v>3055.3542050337633</v>
      </c>
      <c r="AA25" s="380">
        <f>PFS_SalesOverview_InTax[[#This Row],[UNITS_TGT]]/PFS_SalesOverview_InTax[[#This Row],[BUYERS_TGT]]</f>
        <v>1.1921424186617557</v>
      </c>
      <c r="AB25" s="94">
        <f>1-PFS_SalesOverview_InTax[[#This Row],[NET_TGT]]/PFS_SalesOverview_InTax[[#This Row],[GMV_TGT]]</f>
        <v>0.56901509531918926</v>
      </c>
      <c r="AC25" s="381">
        <f>SUMIFS(目标表[gmv_units],目标表[Date],"&gt;="&amp;$E25,目标表[Date],"&lt;="&amp;EOMONTH($E25,0),目标表[channel],"PFS")</f>
        <v>1942</v>
      </c>
      <c r="AD25" s="105">
        <f>PFS_SalesOverview_InTax[[#This Row],[GMV]]/PFS_SalesOverview_InTax[[#This Row],[GMV_TGT]]</f>
        <v>1.0513890217175537</v>
      </c>
      <c r="AE25" s="105">
        <f>PFS_SalesOverview_InTax[[#This Row],[NET]]/PFS_SalesOverview_InTax[[#This Row],[NET_TGT]]</f>
        <v>0.92561281925293437</v>
      </c>
      <c r="AF25" s="105">
        <f>PFS_SalesOverview_InTax[[#This Row],[UV]]/PFS_SalesOverview_InTax[[#This Row],[TRAFFIC_TGT]]</f>
        <v>0.83931381381381387</v>
      </c>
      <c r="AG25" s="105">
        <f>PFS_SalesOverview_InTax[[#This Row],[Buyers]]/PFS_SalesOverview_InTax[[#This Row],[BUYERS_TGT]]</f>
        <v>0.86617556783302641</v>
      </c>
      <c r="AH25" s="105">
        <f>PFS_SalesOverview_InTax[[#This Row],[CR]]/PFS_SalesOverview_InTax[[#This Row],[CVR_TGT]]</f>
        <v>1.0320044226332385</v>
      </c>
      <c r="AI25" s="105">
        <f>PFS_SalesOverview_InTax[[#This Row],[ATV]]/PFS_SalesOverview_InTax[[#This Row],[ATV_TGT]]</f>
        <v>1.2138289981416688</v>
      </c>
      <c r="AJ25" s="105">
        <f>PFS_SalesOverview_InTax[[#This Row],[UPT]]/PFS_SalesOverview_InTax[[#This Row],[UPT_TGT]]</f>
        <v>1.2068155094479815</v>
      </c>
      <c r="AK25" s="105">
        <f>PFS_SalesOverview_InTax[[#This Row],[RRC]]/PFS_SalesOverview_InTax[[#This Row],[RRC_TGT]]</f>
        <v>1.0906094118515408</v>
      </c>
      <c r="AL25" s="28" t="str">
        <f>_xlfn.XLOOKUP(PFS_SalesOverview_InTax[[#This Row],[DATE]],全店核心数据_bymonth[开始日期],全店核心数据_bymonth[jda日历.PayYear],"")</f>
        <v>BU25</v>
      </c>
      <c r="AO25" s="428">
        <f>PFS_SalesOverview_InTax[[#This Row],[DATE]]</f>
        <v>45444</v>
      </c>
      <c r="AP25" s="429">
        <f>PFS_SalesOverview_InTax[[#This Row],[GMV]]/$F$1</f>
        <v>4630923.8938053101</v>
      </c>
      <c r="AQ25" s="429">
        <f>PFS_SalesOverview_ExclTax[[#This Row],[GMV]]-PFS_SalesOverview_ExclTax[[#This Row],[RR]]</f>
        <v>1757096.5486725667</v>
      </c>
      <c r="AR25" s="430">
        <f>PFS_SalesOverview_InTax[[#This Row],[UV]]</f>
        <v>558983</v>
      </c>
      <c r="AS25" s="431">
        <f>PFS_SalesOverview_InTax[[#This Row],[Buyers]]</f>
        <v>1411</v>
      </c>
      <c r="AT25" s="431">
        <f>PFS_SalesOverview_InTax[[#This Row],[Units]]</f>
        <v>2030</v>
      </c>
      <c r="AU25" s="92">
        <f>PFS_SalesOverview_ExclTax[[#This Row],[Buyers]]/PFS_SalesOverview_ExclTax[[#This Row],[UV]]</f>
        <v>2.5242270337380566E-3</v>
      </c>
      <c r="AV25" s="431">
        <f>PFS_SalesOverview_ExclTax[[#This Row],[GMV]]/PFS_SalesOverview_ExclTax[[#This Row],[Buyers]]</f>
        <v>3282.0155165168749</v>
      </c>
      <c r="AW25" s="431">
        <f>PFS_SalesOverview_ExclTax[[#This Row],[GMV]]/PFS_SalesOverview_ExclTax[[#This Row],[Units]]</f>
        <v>2281.2432974410394</v>
      </c>
      <c r="AX25" s="432">
        <f>PFS_SalesOverview_ExclTax[[#This Row],[Units]]/PFS_SalesOverview_ExclTax[[#This Row],[Buyers]]</f>
        <v>1.4386959603118357</v>
      </c>
      <c r="AY25" s="93">
        <f>PFS_SalesOverview_ExclTax[[#This Row],[RR]]/PFS_SalesOverview_ExclTax[[#This Row],[GMV]]</f>
        <v>0.62057321844070945</v>
      </c>
      <c r="AZ25" s="429">
        <f>PFS_SalesOverview_InTax[[#This Row],[RR]]/$F$1</f>
        <v>2873827.3451327435</v>
      </c>
      <c r="BA25" s="429">
        <f>PFS_SalesOverview_InTax[[#This Row],[MD GMV]]/$F$1</f>
        <v>2825075.7345132749</v>
      </c>
      <c r="BB25" s="94">
        <f>PFS_SalesOverview_ExclTax[[#This Row],[MD GMV]]/PFS_SalesOverview_ExclTax[[#This Row],[GMV]]</f>
        <v>0.61004581359938126</v>
      </c>
      <c r="BC25" s="429">
        <f>PFS_SalesOverview_InTax[[#This Row],[GMV_TGT]]/$F$1</f>
        <v>4404576.9911504425</v>
      </c>
      <c r="BD25" s="429">
        <f>PFS_SalesOverview_InTax[[#This Row],[NET_TGT]]/$F$1</f>
        <v>1898306.1946902657</v>
      </c>
      <c r="BE25" s="430">
        <f>PFS_SalesOverview_InTax[[#This Row],[TRAFFIC_TGT]]</f>
        <v>666000</v>
      </c>
      <c r="BF25" s="431">
        <f>PFS_SalesOverview_InTax[[#This Row],[BUYERS_TGT]]</f>
        <v>1629</v>
      </c>
      <c r="BG25" s="104">
        <f>PFS_SalesOverview_InTax[[#This Row],[CVR_TGT]]</f>
        <v>2.4459459459459459E-3</v>
      </c>
      <c r="BH25" s="431">
        <f>PFS_SalesOverview_InTax[[#This Row],[ATV_TGT]]/$F$1</f>
        <v>2703.8532787909412</v>
      </c>
      <c r="BI25" s="432">
        <f>PFS_SalesOverview_InTax[[#This Row],[UPT_TGT]]</f>
        <v>1.1921424186617557</v>
      </c>
      <c r="BJ25" s="94">
        <f>PFS_SalesOverview_InTax[[#This Row],[RRC_TGT]]</f>
        <v>0.56901509531918926</v>
      </c>
      <c r="BK25" s="431">
        <f>PFS_SalesOverview_InTax[[#This Row],[UNITS_TGT]]</f>
        <v>1942</v>
      </c>
      <c r="BL25" s="28" t="str">
        <f>_xlfn.XLOOKUP(PFS_SalesOverview_ExclTax[[#This Row],[DATE]],全店核心数据_bymonth[开始日期],全店核心数据_bymonth[jda日历.PayYear],"")</f>
        <v>BU25</v>
      </c>
      <c r="BO25" s="28"/>
      <c r="CO25" s="53"/>
    </row>
    <row r="26" spans="5:97" ht="14.5" customHeight="1" x14ac:dyDescent="0.3">
      <c r="E26" s="428">
        <v>45413</v>
      </c>
      <c r="F26" s="431">
        <f>SUMIFS(全店核心数据_bymonth[支付金额],全店核心数据_bymonth[开始日期],$E26)</f>
        <v>5859405.5</v>
      </c>
      <c r="G26" s="431">
        <f>PFS_SalesOverview_InTax[[#This Row],[GMV]]-PFS_SalesOverview_InTax[[#This Row],[RR]]</f>
        <v>2525154.4700000002</v>
      </c>
      <c r="H26" s="431">
        <f>SUMIFS(全店核心数据_bymonth[访客数],全店核心数据_bymonth[开始日期],$E26)</f>
        <v>585673</v>
      </c>
      <c r="I26" s="431">
        <f>SUMIFS(全店核心数据_bymonth[支付买家数],全店核心数据_bymonth[开始日期],$E26)</f>
        <v>1562</v>
      </c>
      <c r="J26" s="431">
        <f>SUMIFS(全店核心数据_bymonth[支付件数],全店核心数据_bymonth[开始日期],$E26)</f>
        <v>2429</v>
      </c>
      <c r="K26" s="92">
        <f>PFS_SalesOverview_InTax[[#This Row],[Buyers]]/PFS_SalesOverview_InTax[[#This Row],[UV]]</f>
        <v>2.6670172604849464E-3</v>
      </c>
      <c r="L26" s="431">
        <f>PFS_SalesOverview_InTax[[#This Row],[GMV]]/PFS_SalesOverview_InTax[[#This Row],[Buyers]]</f>
        <v>3751.2199103713187</v>
      </c>
      <c r="M26" s="431">
        <f>PFS_SalesOverview_InTax[[#This Row],[GMV]]/PFS_SalesOverview_InTax[[#This Row],[Units]]</f>
        <v>2412.2706875257309</v>
      </c>
      <c r="N26" s="432">
        <f>PFS_SalesOverview_InTax[[#This Row],[Units]]/PFS_SalesOverview_InTax[[#This Row],[Buyers]]</f>
        <v>1.5550576184379001</v>
      </c>
      <c r="O26" s="93">
        <f>PFS_SalesOverview_InTax[[#This Row],[RR]]/PFS_SalesOverview_InTax[[#This Row],[GMV]]</f>
        <v>0.5690425470638617</v>
      </c>
      <c r="P26" s="431">
        <f>SUMIFS(全店核心数据_bymonth[支付退款金额],全店核心数据_bymonth[开始日期],$E26)</f>
        <v>3334251.03</v>
      </c>
      <c r="Q26" s="431">
        <f>SUMIFS(全店核心数据_bymonth[md_gmv],全店核心数据_bymonth[开始日期],$E26)</f>
        <v>3663205.33</v>
      </c>
      <c r="R26" s="94">
        <f>PFS_SalesOverview_InTax[[#This Row],[MD GMV]]/PFS_SalesOverview_InTax[[#This Row],[GMV]]</f>
        <v>0.62518378869665192</v>
      </c>
      <c r="S26" s="431">
        <f>SUMIFS(全店核心数据_bymonth[md_net],全店核心数据_bymonth[开始日期],$E26)</f>
        <v>1701594.07</v>
      </c>
      <c r="T26" s="94">
        <f>PFS_SalesOverview_InTax[[#This Row],[MD NET]]/PFS_SalesOverview_InTax[[#This Row],[NET]]</f>
        <v>0.67385741752265949</v>
      </c>
      <c r="U26" s="431">
        <f>SUMIFS(目标表[gmv],目标表[Date],"&gt;="&amp;$E26,目标表[Date],"&lt;="&amp;EOMONTH($E26,0),目标表[channel],"PFS")</f>
        <v>5850000</v>
      </c>
      <c r="V26" s="431">
        <f>SUMIFS(目标表[net],目标表[Date],"&gt;="&amp;$E26,目标表[Date],"&lt;="&amp;EOMONTH($E26,0),目标表[channel],"PFS")</f>
        <v>2607500</v>
      </c>
      <c r="W26" s="431">
        <f>SUMIFS(目标表[uv],目标表[Date],"&gt;="&amp;$E26,目标表[Date],"&lt;="&amp;EOMONTH($E26,0),目标表[channel],"PFS")</f>
        <v>823041</v>
      </c>
      <c r="X26" s="431">
        <f>SUMIFS(目标表[buyers],目标表[Date],"&gt;="&amp;$E26,目标表[Date],"&lt;="&amp;EOMONTH($E26,0),目标表[channel],"PFS")</f>
        <v>1780</v>
      </c>
      <c r="Y26" s="378">
        <f>PFS_SalesOverview_InTax[[#This Row],[BUYERS_TGT]]/PFS_SalesOverview_InTax[[#This Row],[TRAFFIC_TGT]]</f>
        <v>2.1627112136576427E-3</v>
      </c>
      <c r="Z26" s="379">
        <f>PFS_SalesOverview_InTax[[#This Row],[GMV_TGT]]/PFS_SalesOverview_InTax[[#This Row],[BUYERS_TGT]]</f>
        <v>3286.5168539325841</v>
      </c>
      <c r="AA26" s="380">
        <f>PFS_SalesOverview_InTax[[#This Row],[UNITS_TGT]]/PFS_SalesOverview_InTax[[#This Row],[BUYERS_TGT]]</f>
        <v>1.1814606741573033</v>
      </c>
      <c r="AB26" s="94">
        <f>1-PFS_SalesOverview_InTax[[#This Row],[NET_TGT]]/PFS_SalesOverview_InTax[[#This Row],[GMV_TGT]]</f>
        <v>0.5542735042735043</v>
      </c>
      <c r="AC26" s="381">
        <f>SUMIFS(目标表[gmv_units],目标表[Date],"&gt;="&amp;$E26,目标表[Date],"&lt;="&amp;EOMONTH($E26,0),目标表[channel],"PFS")</f>
        <v>2103</v>
      </c>
      <c r="AD26" s="105">
        <f>PFS_SalesOverview_InTax[[#This Row],[GMV]]/PFS_SalesOverview_InTax[[#This Row],[GMV_TGT]]</f>
        <v>1.0016077777777779</v>
      </c>
      <c r="AE26" s="105">
        <f>PFS_SalesOverview_InTax[[#This Row],[NET]]/PFS_SalesOverview_InTax[[#This Row],[NET_TGT]]</f>
        <v>0.96841973921380642</v>
      </c>
      <c r="AF26" s="105">
        <f>PFS_SalesOverview_InTax[[#This Row],[UV]]/PFS_SalesOverview_InTax[[#This Row],[TRAFFIC_TGT]]</f>
        <v>0.71159638462725427</v>
      </c>
      <c r="AG26" s="105">
        <f>PFS_SalesOverview_InTax[[#This Row],[Buyers]]/PFS_SalesOverview_InTax[[#This Row],[BUYERS_TGT]]</f>
        <v>0.87752808988764042</v>
      </c>
      <c r="AH26" s="105">
        <f>PFS_SalesOverview_InTax[[#This Row],[CR]]/PFS_SalesOverview_InTax[[#This Row],[CVR_TGT]]</f>
        <v>1.2331823331948264</v>
      </c>
      <c r="AI26" s="105">
        <f>PFS_SalesOverview_InTax[[#This Row],[ATV]]/PFS_SalesOverview_InTax[[#This Row],[ATV_TGT]]</f>
        <v>1.1413968274292219</v>
      </c>
      <c r="AJ26" s="105">
        <f>PFS_SalesOverview_InTax[[#This Row],[UPT]]/PFS_SalesOverview_InTax[[#This Row],[UPT_TGT]]</f>
        <v>1.3162161487491499</v>
      </c>
      <c r="AK26" s="105">
        <f>PFS_SalesOverview_InTax[[#This Row],[RRC]]/PFS_SalesOverview_InTax[[#This Row],[RRC_TGT]]</f>
        <v>1.0266457672547697</v>
      </c>
      <c r="AL26" s="28" t="str">
        <f>_xlfn.XLOOKUP(PFS_SalesOverview_InTax[[#This Row],[DATE]],全店核心数据_bymonth[开始日期],全店核心数据_bymonth[jda日历.PayYear],"")</f>
        <v>BU25</v>
      </c>
      <c r="AO26" s="428">
        <f>PFS_SalesOverview_InTax[[#This Row],[DATE]]</f>
        <v>45413</v>
      </c>
      <c r="AP26" s="429">
        <f>PFS_SalesOverview_InTax[[#This Row],[GMV]]/$F$1</f>
        <v>5185314.6017699121</v>
      </c>
      <c r="AQ26" s="429">
        <f>PFS_SalesOverview_ExclTax[[#This Row],[GMV]]-PFS_SalesOverview_ExclTax[[#This Row],[RR]]</f>
        <v>2234649.973451328</v>
      </c>
      <c r="AR26" s="430">
        <f>PFS_SalesOverview_InTax[[#This Row],[UV]]</f>
        <v>585673</v>
      </c>
      <c r="AS26" s="431">
        <f>PFS_SalesOverview_InTax[[#This Row],[Buyers]]</f>
        <v>1562</v>
      </c>
      <c r="AT26" s="431">
        <f>PFS_SalesOverview_InTax[[#This Row],[Units]]</f>
        <v>2429</v>
      </c>
      <c r="AU26" s="92">
        <f>PFS_SalesOverview_ExclTax[[#This Row],[Buyers]]/PFS_SalesOverview_ExclTax[[#This Row],[UV]]</f>
        <v>2.6670172604849464E-3</v>
      </c>
      <c r="AV26" s="431">
        <f>PFS_SalesOverview_ExclTax[[#This Row],[GMV]]/PFS_SalesOverview_ExclTax[[#This Row],[Buyers]]</f>
        <v>3319.6636374967425</v>
      </c>
      <c r="AW26" s="431">
        <f>PFS_SalesOverview_ExclTax[[#This Row],[GMV]]/PFS_SalesOverview_ExclTax[[#This Row],[Units]]</f>
        <v>2134.7528208192311</v>
      </c>
      <c r="AX26" s="432">
        <f>PFS_SalesOverview_ExclTax[[#This Row],[Units]]/PFS_SalesOverview_ExclTax[[#This Row],[Buyers]]</f>
        <v>1.5550576184379001</v>
      </c>
      <c r="AY26" s="93">
        <f>PFS_SalesOverview_ExclTax[[#This Row],[RR]]/PFS_SalesOverview_ExclTax[[#This Row],[GMV]]</f>
        <v>0.56904254706386159</v>
      </c>
      <c r="AZ26" s="429">
        <f>PFS_SalesOverview_InTax[[#This Row],[RR]]/$F$1</f>
        <v>2950664.6283185841</v>
      </c>
      <c r="BA26" s="429">
        <f>PFS_SalesOverview_InTax[[#This Row],[MD GMV]]/$F$1</f>
        <v>3241774.6283185845</v>
      </c>
      <c r="BB26" s="94">
        <f>PFS_SalesOverview_ExclTax[[#This Row],[MD GMV]]/PFS_SalesOverview_ExclTax[[#This Row],[GMV]]</f>
        <v>0.62518378869665192</v>
      </c>
      <c r="BC26" s="429">
        <f>PFS_SalesOverview_InTax[[#This Row],[GMV_TGT]]/$F$1</f>
        <v>5176991.1504424782</v>
      </c>
      <c r="BD26" s="429">
        <f>PFS_SalesOverview_InTax[[#This Row],[NET_TGT]]/$F$1</f>
        <v>2307522.1238938053</v>
      </c>
      <c r="BE26" s="430">
        <f>PFS_SalesOverview_InTax[[#This Row],[TRAFFIC_TGT]]</f>
        <v>823041</v>
      </c>
      <c r="BF26" s="431">
        <f>PFS_SalesOverview_InTax[[#This Row],[BUYERS_TGT]]</f>
        <v>1780</v>
      </c>
      <c r="BG26" s="104">
        <f>PFS_SalesOverview_InTax[[#This Row],[CVR_TGT]]</f>
        <v>2.1627112136576427E-3</v>
      </c>
      <c r="BH26" s="431">
        <f>PFS_SalesOverview_InTax[[#This Row],[ATV_TGT]]/$F$1</f>
        <v>2908.4219946306057</v>
      </c>
      <c r="BI26" s="432">
        <f>PFS_SalesOverview_InTax[[#This Row],[UPT_TGT]]</f>
        <v>1.1814606741573033</v>
      </c>
      <c r="BJ26" s="94">
        <f>PFS_SalesOverview_InTax[[#This Row],[RRC_TGT]]</f>
        <v>0.5542735042735043</v>
      </c>
      <c r="BK26" s="431">
        <f>PFS_SalesOverview_InTax[[#This Row],[UNITS_TGT]]</f>
        <v>2103</v>
      </c>
      <c r="BL26" s="28" t="str">
        <f>_xlfn.XLOOKUP(PFS_SalesOverview_ExclTax[[#This Row],[DATE]],全店核心数据_bymonth[开始日期],全店核心数据_bymonth[jda日历.PayYear],"")</f>
        <v>BU25</v>
      </c>
      <c r="BO26" s="28"/>
      <c r="CO26" s="53"/>
    </row>
    <row r="27" spans="5:97" ht="14.5" customHeight="1" x14ac:dyDescent="0.3">
      <c r="E27" s="428">
        <v>45383</v>
      </c>
      <c r="F27" s="431">
        <f>SUMIFS(全店核心数据_bymonth[支付金额],全店核心数据_bymonth[开始日期],$E27)</f>
        <v>1159675</v>
      </c>
      <c r="G27" s="431">
        <f>PFS_SalesOverview_InTax[[#This Row],[GMV]]-PFS_SalesOverview_InTax[[#This Row],[RR]]</f>
        <v>578903.65</v>
      </c>
      <c r="H27" s="431">
        <f>SUMIFS(全店核心数据_bymonth[访客数],全店核心数据_bymonth[开始日期],$E27)</f>
        <v>169879</v>
      </c>
      <c r="I27" s="431">
        <f>SUMIFS(全店核心数据_bymonth[支付买家数],全店核心数据_bymonth[开始日期],$E27)</f>
        <v>187</v>
      </c>
      <c r="J27" s="431">
        <f>SUMIFS(全店核心数据_bymonth[支付件数],全店核心数据_bymonth[开始日期],$E27)</f>
        <v>304</v>
      </c>
      <c r="K27" s="92">
        <f>PFS_SalesOverview_InTax[[#This Row],[Buyers]]/PFS_SalesOverview_InTax[[#This Row],[UV]]</f>
        <v>1.1007834988432943E-3</v>
      </c>
      <c r="L27" s="431">
        <f>PFS_SalesOverview_InTax[[#This Row],[GMV]]/PFS_SalesOverview_InTax[[#This Row],[Buyers]]</f>
        <v>6201.4705882352937</v>
      </c>
      <c r="M27" s="431">
        <f>PFS_SalesOverview_InTax[[#This Row],[GMV]]/PFS_SalesOverview_InTax[[#This Row],[Units]]</f>
        <v>3814.7203947368421</v>
      </c>
      <c r="N27" s="432">
        <f>PFS_SalesOverview_InTax[[#This Row],[Units]]/PFS_SalesOverview_InTax[[#This Row],[Buyers]]</f>
        <v>1.625668449197861</v>
      </c>
      <c r="O27" s="93">
        <f>PFS_SalesOverview_InTax[[#This Row],[RR]]/PFS_SalesOverview_InTax[[#This Row],[GMV]]</f>
        <v>0.50080526871752862</v>
      </c>
      <c r="P27" s="431">
        <f>SUMIFS(全店核心数据_bymonth[支付退款金额],全店核心数据_bymonth[开始日期],$E27)</f>
        <v>580771.35</v>
      </c>
      <c r="Q27" s="431">
        <f>SUMIFS(全店核心数据_bymonth[md_gmv],全店核心数据_bymonth[开始日期],$E27)</f>
        <v>0</v>
      </c>
      <c r="R27" s="94">
        <f>PFS_SalesOverview_InTax[[#This Row],[MD GMV]]/PFS_SalesOverview_InTax[[#This Row],[GMV]]</f>
        <v>0</v>
      </c>
      <c r="S27" s="431">
        <f>SUMIFS(全店核心数据_bymonth[md_net],全店核心数据_bymonth[开始日期],$E27)</f>
        <v>0</v>
      </c>
      <c r="T27" s="94">
        <f>PFS_SalesOverview_InTax[[#This Row],[MD NET]]/PFS_SalesOverview_InTax[[#This Row],[NET]]</f>
        <v>0</v>
      </c>
      <c r="U27" s="431">
        <f>SUMIFS(目标表[gmv],目标表[Date],"&gt;="&amp;$E27,目标表[Date],"&lt;="&amp;EOMONTH($E27,0),目标表[channel],"PFS")</f>
        <v>1370000</v>
      </c>
      <c r="V27" s="431">
        <f>SUMIFS(目标表[net],目标表[Date],"&gt;="&amp;$E27,目标表[Date],"&lt;="&amp;EOMONTH($E27,0),目标表[channel],"PFS")</f>
        <v>685000</v>
      </c>
      <c r="W27" s="431">
        <f>SUMIFS(目标表[uv],目标表[Date],"&gt;="&amp;$E27,目标表[Date],"&lt;="&amp;EOMONTH($E27,0),目标表[channel],"PFS")</f>
        <v>282370</v>
      </c>
      <c r="X27" s="431">
        <f>SUMIFS(目标表[buyers],目标表[Date],"&gt;="&amp;$E27,目标表[Date],"&lt;="&amp;EOMONTH($E27,0),目标表[channel],"PFS")</f>
        <v>240</v>
      </c>
      <c r="Y27" s="378">
        <f>PFS_SalesOverview_InTax[[#This Row],[BUYERS_TGT]]/PFS_SalesOverview_InTax[[#This Row],[TRAFFIC_TGT]]</f>
        <v>8.4994864893579345E-4</v>
      </c>
      <c r="Z27" s="379">
        <f>PFS_SalesOverview_InTax[[#This Row],[GMV_TGT]]/PFS_SalesOverview_InTax[[#This Row],[BUYERS_TGT]]</f>
        <v>5708.333333333333</v>
      </c>
      <c r="AA27" s="380">
        <f>PFS_SalesOverview_InTax[[#This Row],[UNITS_TGT]]/PFS_SalesOverview_InTax[[#This Row],[BUYERS_TGT]]</f>
        <v>1.2791666666666666</v>
      </c>
      <c r="AB27" s="94">
        <f>1-PFS_SalesOverview_InTax[[#This Row],[NET_TGT]]/PFS_SalesOverview_InTax[[#This Row],[GMV_TGT]]</f>
        <v>0.5</v>
      </c>
      <c r="AC27" s="381">
        <f>SUMIFS(目标表[gmv_units],目标表[Date],"&gt;="&amp;$E27,目标表[Date],"&lt;="&amp;EOMONTH($E27,0),目标表[channel],"PFS")</f>
        <v>307</v>
      </c>
      <c r="AD27" s="105">
        <f>PFS_SalesOverview_InTax[[#This Row],[GMV]]/PFS_SalesOverview_InTax[[#This Row],[GMV_TGT]]</f>
        <v>0.84647810218978103</v>
      </c>
      <c r="AE27" s="105">
        <f>PFS_SalesOverview_InTax[[#This Row],[NET]]/PFS_SalesOverview_InTax[[#This Row],[NET_TGT]]</f>
        <v>0.84511481751824824</v>
      </c>
      <c r="AF27" s="105">
        <f>PFS_SalesOverview_InTax[[#This Row],[UV]]/PFS_SalesOverview_InTax[[#This Row],[TRAFFIC_TGT]]</f>
        <v>0.60161844388568186</v>
      </c>
      <c r="AG27" s="105">
        <f>PFS_SalesOverview_InTax[[#This Row],[Buyers]]/PFS_SalesOverview_InTax[[#This Row],[BUYERS_TGT]]</f>
        <v>0.77916666666666667</v>
      </c>
      <c r="AH27" s="105">
        <f>PFS_SalesOverview_InTax[[#This Row],[CR]]/PFS_SalesOverview_InTax[[#This Row],[CVR_TGT]]</f>
        <v>1.2951176523682542</v>
      </c>
      <c r="AI27" s="105">
        <f>PFS_SalesOverview_InTax[[#This Row],[ATV]]/PFS_SalesOverview_InTax[[#This Row],[ATV_TGT]]</f>
        <v>1.0863890081580077</v>
      </c>
      <c r="AJ27" s="105">
        <f>PFS_SalesOverview_InTax[[#This Row],[UPT]]/PFS_SalesOverview_InTax[[#This Row],[UPT_TGT]]</f>
        <v>1.2708808723370901</v>
      </c>
      <c r="AK27" s="105">
        <f>PFS_SalesOverview_InTax[[#This Row],[RRC]]/PFS_SalesOverview_InTax[[#This Row],[RRC_TGT]]</f>
        <v>1.0016105374350572</v>
      </c>
      <c r="AL27" s="28" t="str">
        <f>_xlfn.XLOOKUP(PFS_SalesOverview_InTax[[#This Row],[DATE]],全店核心数据_bymonth[开始日期],全店核心数据_bymonth[jda日历.PayYear],"")</f>
        <v>BU25</v>
      </c>
      <c r="AO27" s="428">
        <f>PFS_SalesOverview_InTax[[#This Row],[DATE]]</f>
        <v>45383</v>
      </c>
      <c r="AP27" s="429">
        <f>PFS_SalesOverview_InTax[[#This Row],[GMV]]/$F$1</f>
        <v>1026261.0619469028</v>
      </c>
      <c r="AQ27" s="429">
        <f>PFS_SalesOverview_ExclTax[[#This Row],[GMV]]-PFS_SalesOverview_ExclTax[[#This Row],[RR]]</f>
        <v>512304.11504424788</v>
      </c>
      <c r="AR27" s="430">
        <f>PFS_SalesOverview_InTax[[#This Row],[UV]]</f>
        <v>169879</v>
      </c>
      <c r="AS27" s="431">
        <f>PFS_SalesOverview_InTax[[#This Row],[Buyers]]</f>
        <v>187</v>
      </c>
      <c r="AT27" s="431">
        <f>PFS_SalesOverview_InTax[[#This Row],[Units]]</f>
        <v>304</v>
      </c>
      <c r="AU27" s="92">
        <f>PFS_SalesOverview_ExclTax[[#This Row],[Buyers]]/PFS_SalesOverview_ExclTax[[#This Row],[UV]]</f>
        <v>1.1007834988432943E-3</v>
      </c>
      <c r="AV27" s="431">
        <f>PFS_SalesOverview_ExclTax[[#This Row],[GMV]]/PFS_SalesOverview_ExclTax[[#This Row],[Buyers]]</f>
        <v>5488.027069234774</v>
      </c>
      <c r="AW27" s="431">
        <f>PFS_SalesOverview_ExclTax[[#This Row],[GMV]]/PFS_SalesOverview_ExclTax[[#This Row],[Units]]</f>
        <v>3375.8587564042855</v>
      </c>
      <c r="AX27" s="432">
        <f>PFS_SalesOverview_ExclTax[[#This Row],[Units]]/PFS_SalesOverview_ExclTax[[#This Row],[Buyers]]</f>
        <v>1.625668449197861</v>
      </c>
      <c r="AY27" s="93">
        <f>PFS_SalesOverview_ExclTax[[#This Row],[RR]]/PFS_SalesOverview_ExclTax[[#This Row],[GMV]]</f>
        <v>0.50080526871752862</v>
      </c>
      <c r="AZ27" s="429">
        <f>PFS_SalesOverview_InTax[[#This Row],[RR]]/$F$1</f>
        <v>513956.94690265489</v>
      </c>
      <c r="BA27" s="429">
        <f>PFS_SalesOverview_InTax[[#This Row],[MD GMV]]/$F$1</f>
        <v>0</v>
      </c>
      <c r="BB27" s="94">
        <f>PFS_SalesOverview_ExclTax[[#This Row],[MD GMV]]/PFS_SalesOverview_ExclTax[[#This Row],[GMV]]</f>
        <v>0</v>
      </c>
      <c r="BC27" s="429">
        <f>PFS_SalesOverview_InTax[[#This Row],[GMV_TGT]]/$F$1</f>
        <v>1212389.3805309737</v>
      </c>
      <c r="BD27" s="429">
        <f>PFS_SalesOverview_InTax[[#This Row],[NET_TGT]]/$F$1</f>
        <v>606194.69026548683</v>
      </c>
      <c r="BE27" s="430">
        <f>PFS_SalesOverview_InTax[[#This Row],[TRAFFIC_TGT]]</f>
        <v>282370</v>
      </c>
      <c r="BF27" s="431">
        <f>PFS_SalesOverview_InTax[[#This Row],[BUYERS_TGT]]</f>
        <v>240</v>
      </c>
      <c r="BG27" s="104">
        <f>PFS_SalesOverview_InTax[[#This Row],[CVR_TGT]]</f>
        <v>8.4994864893579345E-4</v>
      </c>
      <c r="BH27" s="431">
        <f>PFS_SalesOverview_InTax[[#This Row],[ATV_TGT]]/$F$1</f>
        <v>5051.6224188790566</v>
      </c>
      <c r="BI27" s="432">
        <f>PFS_SalesOverview_InTax[[#This Row],[UPT_TGT]]</f>
        <v>1.2791666666666666</v>
      </c>
      <c r="BJ27" s="94">
        <f>PFS_SalesOverview_InTax[[#This Row],[RRC_TGT]]</f>
        <v>0.5</v>
      </c>
      <c r="BK27" s="431">
        <f>PFS_SalesOverview_InTax[[#This Row],[UNITS_TGT]]</f>
        <v>307</v>
      </c>
      <c r="BL27" s="28" t="str">
        <f>_xlfn.XLOOKUP(PFS_SalesOverview_ExclTax[[#This Row],[DATE]],全店核心数据_bymonth[开始日期],全店核心数据_bymonth[jda日历.PayYear],"")</f>
        <v>BU25</v>
      </c>
      <c r="BO27" s="28"/>
      <c r="CO27" s="53"/>
    </row>
    <row r="28" spans="5:97" ht="14.5" customHeight="1" x14ac:dyDescent="0.3">
      <c r="E28" s="428">
        <v>45352</v>
      </c>
      <c r="F28" s="431">
        <f>SUMIFS(全店核心数据_bymonth[支付金额],全店核心数据_bymonth[开始日期],$E28)</f>
        <v>1344970.01</v>
      </c>
      <c r="G28" s="431">
        <f>PFS_SalesOverview_InTax[[#This Row],[GMV]]-PFS_SalesOverview_InTax[[#This Row],[RR]]</f>
        <v>680358.34</v>
      </c>
      <c r="H28" s="431">
        <f>SUMIFS(全店核心数据_bymonth[访客数],全店核心数据_bymonth[开始日期],$E28)</f>
        <v>162762</v>
      </c>
      <c r="I28" s="431">
        <f>SUMIFS(全店核心数据_bymonth[支付买家数],全店核心数据_bymonth[开始日期],$E28)</f>
        <v>196</v>
      </c>
      <c r="J28" s="431">
        <f>SUMIFS(全店核心数据_bymonth[支付件数],全店核心数据_bymonth[开始日期],$E28)</f>
        <v>281</v>
      </c>
      <c r="K28" s="92">
        <f>PFS_SalesOverview_InTax[[#This Row],[Buyers]]/PFS_SalesOverview_InTax[[#This Row],[UV]]</f>
        <v>1.2042122854228874E-3</v>
      </c>
      <c r="L28" s="431">
        <f>PFS_SalesOverview_InTax[[#This Row],[GMV]]/PFS_SalesOverview_InTax[[#This Row],[Buyers]]</f>
        <v>6862.0918877551021</v>
      </c>
      <c r="M28" s="431">
        <f>PFS_SalesOverview_InTax[[#This Row],[GMV]]/PFS_SalesOverview_InTax[[#This Row],[Units]]</f>
        <v>4786.3701423487546</v>
      </c>
      <c r="N28" s="432">
        <f>PFS_SalesOverview_InTax[[#This Row],[Units]]/PFS_SalesOverview_InTax[[#This Row],[Buyers]]</f>
        <v>1.4336734693877551</v>
      </c>
      <c r="O28" s="93">
        <f>PFS_SalesOverview_InTax[[#This Row],[RR]]/PFS_SalesOverview_InTax[[#This Row],[GMV]]</f>
        <v>0.49414608880386862</v>
      </c>
      <c r="P28" s="431">
        <f>SUMIFS(全店核心数据_bymonth[支付退款金额],全店核心数据_bymonth[开始日期],$E28)</f>
        <v>664611.67000000004</v>
      </c>
      <c r="Q28" s="431">
        <f>SUMIFS(全店核心数据_bymonth[md_gmv],全店核心数据_bymonth[开始日期],$E28)</f>
        <v>0</v>
      </c>
      <c r="R28" s="94">
        <f>PFS_SalesOverview_InTax[[#This Row],[MD GMV]]/PFS_SalesOverview_InTax[[#This Row],[GMV]]</f>
        <v>0</v>
      </c>
      <c r="S28" s="431"/>
      <c r="T28" s="94"/>
      <c r="U28" s="431">
        <f>SUMIFS(目标表[gmv],目标表[Date],"&gt;="&amp;$E28,目标表[Date],"&lt;="&amp;EOMONTH($E28,0),目标表[channel],"PFS")</f>
        <v>2970000</v>
      </c>
      <c r="V28" s="431">
        <f>SUMIFS(目标表[net],目标表[Date],"&gt;="&amp;$E28,目标表[Date],"&lt;="&amp;EOMONTH($E28,0),目标表[channel],"PFS")</f>
        <v>1485000</v>
      </c>
      <c r="W28" s="431">
        <f>SUMIFS(目标表[uv],目标表[Date],"&gt;="&amp;$E28,目标表[Date],"&lt;="&amp;EOMONTH($E28,0),目标表[channel],"PFS")</f>
        <v>275524</v>
      </c>
      <c r="X28" s="431">
        <f>SUMIFS(目标表[buyers],目标表[Date],"&gt;="&amp;$E28,目标表[Date],"&lt;="&amp;EOMONTH($E28,0),目标表[channel],"PFS")</f>
        <v>501</v>
      </c>
      <c r="Y28" s="378">
        <f>PFS_SalesOverview_InTax[[#This Row],[BUYERS_TGT]]/PFS_SalesOverview_InTax[[#This Row],[TRAFFIC_TGT]]</f>
        <v>1.8183533920819964E-3</v>
      </c>
      <c r="Z28" s="379">
        <f>PFS_SalesOverview_InTax[[#This Row],[GMV_TGT]]/PFS_SalesOverview_InTax[[#This Row],[BUYERS_TGT]]</f>
        <v>5928.1437125748507</v>
      </c>
      <c r="AA28" s="380">
        <f>PFS_SalesOverview_InTax[[#This Row],[UNITS_TGT]]/PFS_SalesOverview_InTax[[#This Row],[BUYERS_TGT]]</f>
        <v>1.1876247504990021</v>
      </c>
      <c r="AB28" s="94">
        <f>1-PFS_SalesOverview_InTax[[#This Row],[NET_TGT]]/PFS_SalesOverview_InTax[[#This Row],[GMV_TGT]]</f>
        <v>0.5</v>
      </c>
      <c r="AC28" s="381">
        <f>SUMIFS(目标表[gmv_units],目标表[Date],"&gt;="&amp;$E28,目标表[Date],"&lt;="&amp;EOMONTH($E28,0),目标表[channel],"PFS")</f>
        <v>595</v>
      </c>
      <c r="AD28" s="105">
        <f>PFS_SalesOverview_InTax[[#This Row],[GMV]]/PFS_SalesOverview_InTax[[#This Row],[GMV_TGT]]</f>
        <v>0.45285185521885524</v>
      </c>
      <c r="AE28" s="105">
        <f>PFS_SalesOverview_InTax[[#This Row],[NET]]/PFS_SalesOverview_InTax[[#This Row],[NET_TGT]]</f>
        <v>0.45815376430976429</v>
      </c>
      <c r="AF28" s="105">
        <f>PFS_SalesOverview_InTax[[#This Row],[UV]]/PFS_SalesOverview_InTax[[#This Row],[TRAFFIC_TGT]]</f>
        <v>0.59073619720968051</v>
      </c>
      <c r="AG28" s="105">
        <f>PFS_SalesOverview_InTax[[#This Row],[Buyers]]/PFS_SalesOverview_InTax[[#This Row],[BUYERS_TGT]]</f>
        <v>0.39121756487025949</v>
      </c>
      <c r="AH28" s="105">
        <f>PFS_SalesOverview_InTax[[#This Row],[CR]]/PFS_SalesOverview_InTax[[#This Row],[CVR_TGT]]</f>
        <v>0.66225426293184764</v>
      </c>
      <c r="AI28" s="105">
        <f>PFS_SalesOverview_InTax[[#This Row],[ATV]]/PFS_SalesOverview_InTax[[#This Row],[ATV_TGT]]</f>
        <v>1.1575447931869718</v>
      </c>
      <c r="AJ28" s="105">
        <f>PFS_SalesOverview_InTax[[#This Row],[UPT]]/PFS_SalesOverview_InTax[[#This Row],[UPT_TGT]]</f>
        <v>1.2071771565769165</v>
      </c>
      <c r="AK28" s="105">
        <f>PFS_SalesOverview_InTax[[#This Row],[RRC]]/PFS_SalesOverview_InTax[[#This Row],[RRC_TGT]]</f>
        <v>0.98829217760773724</v>
      </c>
      <c r="AL28" s="28" t="str">
        <f>_xlfn.XLOOKUP(PFS_SalesOverview_InTax[[#This Row],[DATE]],全店核心数据_bymonth[开始日期],全店核心数据_bymonth[jda日历.PayYear],"")</f>
        <v>BU24</v>
      </c>
      <c r="AO28" s="428">
        <f>PFS_SalesOverview_InTax[[#This Row],[DATE]]</f>
        <v>45352</v>
      </c>
      <c r="AP28" s="429">
        <f>PFS_SalesOverview_InTax[[#This Row],[GMV]]/$F$1</f>
        <v>1190238.9469026551</v>
      </c>
      <c r="AQ28" s="429">
        <f>PFS_SalesOverview_ExclTax[[#This Row],[GMV]]-PFS_SalesOverview_ExclTax[[#This Row],[RR]]</f>
        <v>602087.0265486727</v>
      </c>
      <c r="AR28" s="430">
        <f>PFS_SalesOverview_InTax[[#This Row],[UV]]</f>
        <v>162762</v>
      </c>
      <c r="AS28" s="431">
        <f>PFS_SalesOverview_InTax[[#This Row],[Buyers]]</f>
        <v>196</v>
      </c>
      <c r="AT28" s="431">
        <f>PFS_SalesOverview_InTax[[#This Row],[Units]]</f>
        <v>281</v>
      </c>
      <c r="AU28" s="92">
        <f>PFS_SalesOverview_ExclTax[[#This Row],[Buyers]]/PFS_SalesOverview_ExclTax[[#This Row],[UV]]</f>
        <v>1.2042122854228874E-3</v>
      </c>
      <c r="AV28" s="431">
        <f>PFS_SalesOverview_ExclTax[[#This Row],[GMV]]/PFS_SalesOverview_ExclTax[[#This Row],[Buyers]]</f>
        <v>6072.647688278852</v>
      </c>
      <c r="AW28" s="431">
        <f>PFS_SalesOverview_ExclTax[[#This Row],[GMV]]/PFS_SalesOverview_ExclTax[[#This Row],[Units]]</f>
        <v>4235.7257896891642</v>
      </c>
      <c r="AX28" s="432">
        <f>PFS_SalesOverview_ExclTax[[#This Row],[Units]]/PFS_SalesOverview_ExclTax[[#This Row],[Buyers]]</f>
        <v>1.4336734693877551</v>
      </c>
      <c r="AY28" s="93">
        <f>PFS_SalesOverview_ExclTax[[#This Row],[RR]]/PFS_SalesOverview_ExclTax[[#This Row],[GMV]]</f>
        <v>0.49414608880386857</v>
      </c>
      <c r="AZ28" s="429">
        <f>PFS_SalesOverview_InTax[[#This Row],[RR]]/$F$1</f>
        <v>588151.92035398236</v>
      </c>
      <c r="BA28" s="429">
        <f>PFS_SalesOverview_InTax[[#This Row],[MD GMV]]/$F$1</f>
        <v>0</v>
      </c>
      <c r="BB28" s="94">
        <f>PFS_SalesOverview_ExclTax[[#This Row],[MD GMV]]/PFS_SalesOverview_ExclTax[[#This Row],[GMV]]</f>
        <v>0</v>
      </c>
      <c r="BC28" s="429">
        <f>PFS_SalesOverview_InTax[[#This Row],[GMV_TGT]]/$F$1</f>
        <v>2628318.5840707966</v>
      </c>
      <c r="BD28" s="429">
        <f>PFS_SalesOverview_InTax[[#This Row],[NET_TGT]]/$F$1</f>
        <v>1314159.2920353983</v>
      </c>
      <c r="BE28" s="430">
        <f>PFS_SalesOverview_InTax[[#This Row],[TRAFFIC_TGT]]</f>
        <v>275524</v>
      </c>
      <c r="BF28" s="431">
        <f>PFS_SalesOverview_InTax[[#This Row],[BUYERS_TGT]]</f>
        <v>501</v>
      </c>
      <c r="BG28" s="104">
        <f>PFS_SalesOverview_InTax[[#This Row],[CVR_TGT]]</f>
        <v>1.8183533920819964E-3</v>
      </c>
      <c r="BH28" s="431">
        <f>PFS_SalesOverview_InTax[[#This Row],[ATV_TGT]]/$F$1</f>
        <v>5246.1448783848246</v>
      </c>
      <c r="BI28" s="432">
        <f>PFS_SalesOverview_InTax[[#This Row],[UPT_TGT]]</f>
        <v>1.1876247504990021</v>
      </c>
      <c r="BJ28" s="94">
        <f>PFS_SalesOverview_InTax[[#This Row],[RRC_TGT]]</f>
        <v>0.5</v>
      </c>
      <c r="BK28" s="431">
        <f>PFS_SalesOverview_InTax[[#This Row],[UNITS_TGT]]</f>
        <v>595</v>
      </c>
      <c r="BL28" s="28" t="str">
        <f>_xlfn.XLOOKUP(PFS_SalesOverview_ExclTax[[#This Row],[DATE]],全店核心数据_bymonth[开始日期],全店核心数据_bymonth[jda日历.PayYear],"")</f>
        <v>BU24</v>
      </c>
      <c r="BO28" s="28"/>
      <c r="CO28" s="53"/>
    </row>
    <row r="29" spans="5:97" ht="14.5" customHeight="1" x14ac:dyDescent="0.3">
      <c r="E29" s="428">
        <v>45323</v>
      </c>
      <c r="F29" s="431">
        <f>SUMIFS(全店核心数据_bymonth[支付金额],全店核心数据_bymonth[开始日期],$E29)</f>
        <v>1275019</v>
      </c>
      <c r="G29" s="431">
        <f>PFS_SalesOverview_InTax[[#This Row],[GMV]]-PFS_SalesOverview_InTax[[#This Row],[RR]]</f>
        <v>662284</v>
      </c>
      <c r="H29" s="431">
        <f>SUMIFS(全店核心数据_bymonth[访客数],全店核心数据_bymonth[开始日期],$E29)</f>
        <v>185049</v>
      </c>
      <c r="I29" s="431">
        <f>SUMIFS(全店核心数据_bymonth[支付买家数],全店核心数据_bymonth[开始日期],$E29)</f>
        <v>188</v>
      </c>
      <c r="J29" s="431">
        <f>SUMIFS(全店核心数据_bymonth[支付件数],全店核心数据_bymonth[开始日期],$E29)</f>
        <v>237</v>
      </c>
      <c r="K29" s="92">
        <f>PFS_SalesOverview_InTax[[#This Row],[Buyers]]/PFS_SalesOverview_InTax[[#This Row],[UV]]</f>
        <v>1.0159471275175765E-3</v>
      </c>
      <c r="L29" s="431">
        <f>PFS_SalesOverview_InTax[[#This Row],[GMV]]/PFS_SalesOverview_InTax[[#This Row],[Buyers]]</f>
        <v>6782.0159574468089</v>
      </c>
      <c r="M29" s="431">
        <f>PFS_SalesOverview_InTax[[#This Row],[GMV]]/PFS_SalesOverview_InTax[[#This Row],[Units]]</f>
        <v>5379.827004219409</v>
      </c>
      <c r="N29" s="432">
        <f>PFS_SalesOverview_InTax[[#This Row],[Units]]/PFS_SalesOverview_InTax[[#This Row],[Buyers]]</f>
        <v>1.2606382978723405</v>
      </c>
      <c r="O29" s="93">
        <f>PFS_SalesOverview_InTax[[#This Row],[RR]]/PFS_SalesOverview_InTax[[#This Row],[GMV]]</f>
        <v>0.48056930916323598</v>
      </c>
      <c r="P29" s="431">
        <f>SUMIFS(全店核心数据_bymonth[支付退款金额],全店核心数据_bymonth[开始日期],$E29)</f>
        <v>612735</v>
      </c>
      <c r="Q29" s="431">
        <f>SUMIFS(全店核心数据_bymonth[md_gmv],全店核心数据_bymonth[开始日期],$E29)</f>
        <v>0</v>
      </c>
      <c r="R29" s="94">
        <f>PFS_SalesOverview_InTax[[#This Row],[MD GMV]]/PFS_SalesOverview_InTax[[#This Row],[GMV]]</f>
        <v>0</v>
      </c>
      <c r="S29" s="431">
        <f>SUMIFS(全店核心数据_bymonth[md_net],全店核心数据_bymonth[开始日期],$E29)</f>
        <v>0</v>
      </c>
      <c r="T29" s="94">
        <f>PFS_SalesOverview_InTax[[#This Row],[MD NET]]/PFS_SalesOverview_InTax[[#This Row],[NET]]</f>
        <v>0</v>
      </c>
      <c r="U29" s="431">
        <f>SUMIFS(目标表[gmv],目标表[Date],"&gt;="&amp;$E29,目标表[Date],"&lt;="&amp;EOMONTH($E29,0),目标表[channel],"PFS")</f>
        <v>3070000</v>
      </c>
      <c r="V29" s="431">
        <f>SUMIFS(目标表[net],目标表[Date],"&gt;="&amp;$E29,目标表[Date],"&lt;="&amp;EOMONTH($E29,0),目标表[channel],"PFS")</f>
        <v>1535000</v>
      </c>
      <c r="W29" s="431">
        <f>SUMIFS(目标表[uv],目标表[Date],"&gt;="&amp;$E29,目标表[Date],"&lt;="&amp;EOMONTH($E29,0),目标表[channel],"PFS")</f>
        <v>319619</v>
      </c>
      <c r="X29" s="431">
        <f>SUMIFS(目标表[buyers],目标表[Date],"&gt;="&amp;$E29,目标表[Date],"&lt;="&amp;EOMONTH($E29,0),目标表[channel],"PFS")</f>
        <v>475</v>
      </c>
      <c r="Y29" s="378">
        <f>PFS_SalesOverview_InTax[[#This Row],[BUYERS_TGT]]/PFS_SalesOverview_InTax[[#This Row],[TRAFFIC_TGT]]</f>
        <v>1.486144440724738E-3</v>
      </c>
      <c r="Z29" s="379">
        <f>PFS_SalesOverview_InTax[[#This Row],[GMV_TGT]]/PFS_SalesOverview_InTax[[#This Row],[BUYERS_TGT]]</f>
        <v>6463.1578947368425</v>
      </c>
      <c r="AA29" s="380">
        <f>PFS_SalesOverview_InTax[[#This Row],[UNITS_TGT]]/PFS_SalesOverview_InTax[[#This Row],[BUYERS_TGT]]</f>
        <v>1.1473684210526316</v>
      </c>
      <c r="AB29" s="94">
        <f>1-PFS_SalesOverview_InTax[[#This Row],[NET_TGT]]/PFS_SalesOverview_InTax[[#This Row],[GMV_TGT]]</f>
        <v>0.5</v>
      </c>
      <c r="AC29" s="381">
        <f>SUMIFS(目标表[gmv_units],目标表[Date],"&gt;="&amp;$E29,目标表[Date],"&lt;="&amp;EOMONTH($E29,0),目标表[channel],"PFS")</f>
        <v>545</v>
      </c>
      <c r="AD29" s="105">
        <f>PFS_SalesOverview_InTax[[#This Row],[GMV]]/PFS_SalesOverview_InTax[[#This Row],[GMV_TGT]]</f>
        <v>0.4153156351791531</v>
      </c>
      <c r="AE29" s="105">
        <f>PFS_SalesOverview_InTax[[#This Row],[NET]]/PFS_SalesOverview_InTax[[#This Row],[NET_TGT]]</f>
        <v>0.4314553745928339</v>
      </c>
      <c r="AF29" s="105">
        <f>PFS_SalesOverview_InTax[[#This Row],[UV]]/PFS_SalesOverview_InTax[[#This Row],[TRAFFIC_TGT]]</f>
        <v>0.57896745812983585</v>
      </c>
      <c r="AG29" s="105">
        <f>PFS_SalesOverview_InTax[[#This Row],[Buyers]]/PFS_SalesOverview_InTax[[#This Row],[BUYERS_TGT]]</f>
        <v>0.39578947368421052</v>
      </c>
      <c r="AH29" s="105">
        <f>PFS_SalesOverview_InTax[[#This Row],[CR]]/PFS_SalesOverview_InTax[[#This Row],[CVR_TGT]]</f>
        <v>0.68361264200008476</v>
      </c>
      <c r="AI29" s="105">
        <f>PFS_SalesOverview_InTax[[#This Row],[ATV]]/PFS_SalesOverview_InTax[[#This Row],[ATV_TGT]]</f>
        <v>1.0493347165430729</v>
      </c>
      <c r="AJ29" s="105">
        <f>PFS_SalesOverview_InTax[[#This Row],[UPT]]/PFS_SalesOverview_InTax[[#This Row],[UPT_TGT]]</f>
        <v>1.0987214522740583</v>
      </c>
      <c r="AK29" s="105">
        <f>PFS_SalesOverview_InTax[[#This Row],[RRC]]/PFS_SalesOverview_InTax[[#This Row],[RRC_TGT]]</f>
        <v>0.96113861832647196</v>
      </c>
      <c r="AL29" s="28" t="str">
        <f>_xlfn.XLOOKUP(PFS_SalesOverview_InTax[[#This Row],[DATE]],全店核心数据_bymonth[开始日期],全店核心数据_bymonth[jda日历.PayYear],"")</f>
        <v>BU24</v>
      </c>
      <c r="AO29" s="428">
        <f>PFS_SalesOverview_InTax[[#This Row],[DATE]]</f>
        <v>45323</v>
      </c>
      <c r="AP29" s="429">
        <f>PFS_SalesOverview_InTax[[#This Row],[GMV]]/$F$1</f>
        <v>1128335.3982300886</v>
      </c>
      <c r="AQ29" s="429">
        <f>PFS_SalesOverview_ExclTax[[#This Row],[GMV]]-PFS_SalesOverview_ExclTax[[#This Row],[RR]]</f>
        <v>586092.03539823019</v>
      </c>
      <c r="AR29" s="430">
        <f>PFS_SalesOverview_InTax[[#This Row],[UV]]</f>
        <v>185049</v>
      </c>
      <c r="AS29" s="431">
        <f>PFS_SalesOverview_InTax[[#This Row],[Buyers]]</f>
        <v>188</v>
      </c>
      <c r="AT29" s="431">
        <f>PFS_SalesOverview_InTax[[#This Row],[Units]]</f>
        <v>237</v>
      </c>
      <c r="AU29" s="92">
        <f>PFS_SalesOverview_ExclTax[[#This Row],[Buyers]]/PFS_SalesOverview_ExclTax[[#This Row],[UV]]</f>
        <v>1.0159471275175765E-3</v>
      </c>
      <c r="AV29" s="431">
        <f>PFS_SalesOverview_ExclTax[[#This Row],[GMV]]/PFS_SalesOverview_ExclTax[[#This Row],[Buyers]]</f>
        <v>6001.7840331387697</v>
      </c>
      <c r="AW29" s="431">
        <f>PFS_SalesOverview_ExclTax[[#This Row],[GMV]]/PFS_SalesOverview_ExclTax[[#This Row],[Units]]</f>
        <v>4760.908853291513</v>
      </c>
      <c r="AX29" s="432">
        <f>PFS_SalesOverview_ExclTax[[#This Row],[Units]]/PFS_SalesOverview_ExclTax[[#This Row],[Buyers]]</f>
        <v>1.2606382978723405</v>
      </c>
      <c r="AY29" s="93">
        <f>PFS_SalesOverview_ExclTax[[#This Row],[RR]]/PFS_SalesOverview_ExclTax[[#This Row],[GMV]]</f>
        <v>0.48056930916323598</v>
      </c>
      <c r="AZ29" s="429">
        <f>PFS_SalesOverview_InTax[[#This Row],[RR]]/$F$1</f>
        <v>542243.36283185845</v>
      </c>
      <c r="BA29" s="429">
        <f>PFS_SalesOverview_InTax[[#This Row],[MD GMV]]/$F$1</f>
        <v>0</v>
      </c>
      <c r="BB29" s="94">
        <f>PFS_SalesOverview_ExclTax[[#This Row],[MD GMV]]/PFS_SalesOverview_ExclTax[[#This Row],[GMV]]</f>
        <v>0</v>
      </c>
      <c r="BC29" s="429">
        <f>PFS_SalesOverview_InTax[[#This Row],[GMV_TGT]]/$F$1</f>
        <v>2716814.1592920357</v>
      </c>
      <c r="BD29" s="429">
        <f>PFS_SalesOverview_InTax[[#This Row],[NET_TGT]]/$F$1</f>
        <v>1358407.0796460179</v>
      </c>
      <c r="BE29" s="430">
        <f>PFS_SalesOverview_InTax[[#This Row],[TRAFFIC_TGT]]</f>
        <v>319619</v>
      </c>
      <c r="BF29" s="431">
        <f>PFS_SalesOverview_InTax[[#This Row],[BUYERS_TGT]]</f>
        <v>475</v>
      </c>
      <c r="BG29" s="104">
        <f>PFS_SalesOverview_InTax[[#This Row],[CVR_TGT]]</f>
        <v>1.486144440724738E-3</v>
      </c>
      <c r="BH29" s="431">
        <f>PFS_SalesOverview_InTax[[#This Row],[ATV_TGT]]/$F$1</f>
        <v>5719.6087564042864</v>
      </c>
      <c r="BI29" s="432">
        <f>PFS_SalesOverview_InTax[[#This Row],[UPT_TGT]]</f>
        <v>1.1473684210526316</v>
      </c>
      <c r="BJ29" s="94">
        <f>PFS_SalesOverview_InTax[[#This Row],[RRC_TGT]]</f>
        <v>0.5</v>
      </c>
      <c r="BK29" s="431">
        <f>PFS_SalesOverview_InTax[[#This Row],[UNITS_TGT]]</f>
        <v>545</v>
      </c>
      <c r="BL29" s="28" t="str">
        <f>_xlfn.XLOOKUP(PFS_SalesOverview_ExclTax[[#This Row],[DATE]],全店核心数据_bymonth[开始日期],全店核心数据_bymonth[jda日历.PayYear],"")</f>
        <v>BU24</v>
      </c>
      <c r="BO29" s="28"/>
      <c r="CO29" s="53"/>
    </row>
    <row r="30" spans="5:97" ht="14.5" customHeight="1" x14ac:dyDescent="0.3">
      <c r="E30" s="428">
        <v>45292</v>
      </c>
      <c r="F30" s="431">
        <f>SUMIFS(全店核心数据_bymonth[支付金额],全店核心数据_bymonth[开始日期],$E30)</f>
        <v>3130181.5</v>
      </c>
      <c r="G30" s="431">
        <f>PFS_SalesOverview_InTax[[#This Row],[GMV]]-PFS_SalesOverview_InTax[[#This Row],[RR]]</f>
        <v>1754443.85</v>
      </c>
      <c r="H30" s="431">
        <f>SUMIFS(全店核心数据_bymonth[访客数],全店核心数据_bymonth[开始日期],$E30)</f>
        <v>211737</v>
      </c>
      <c r="I30" s="431">
        <f>SUMIFS(全店核心数据_bymonth[支付买家数],全店核心数据_bymonth[开始日期],$E30)</f>
        <v>426</v>
      </c>
      <c r="J30" s="431">
        <f>SUMIFS(全店核心数据_bymonth[支付件数],全店核心数据_bymonth[开始日期],$E30)</f>
        <v>584</v>
      </c>
      <c r="K30" s="92">
        <f>PFS_SalesOverview_InTax[[#This Row],[Buyers]]/PFS_SalesOverview_InTax[[#This Row],[UV]]</f>
        <v>2.0119298941611526E-3</v>
      </c>
      <c r="L30" s="431">
        <f>PFS_SalesOverview_InTax[[#This Row],[GMV]]/PFS_SalesOverview_InTax[[#This Row],[Buyers]]</f>
        <v>7347.8438967136153</v>
      </c>
      <c r="M30" s="431">
        <f>PFS_SalesOverview_InTax[[#This Row],[GMV]]/PFS_SalesOverview_InTax[[#This Row],[Units]]</f>
        <v>5359.8998287671229</v>
      </c>
      <c r="N30" s="432">
        <f>PFS_SalesOverview_InTax[[#This Row],[Units]]/PFS_SalesOverview_InTax[[#This Row],[Buyers]]</f>
        <v>1.3708920187793427</v>
      </c>
      <c r="O30" s="93">
        <f>PFS_SalesOverview_InTax[[#This Row],[RR]]/PFS_SalesOverview_InTax[[#This Row],[GMV]]</f>
        <v>0.4395073097198996</v>
      </c>
      <c r="P30" s="431">
        <f>SUMIFS(全店核心数据_bymonth[支付退款金额],全店核心数据_bymonth[开始日期],$E30)</f>
        <v>1375737.65</v>
      </c>
      <c r="Q30" s="431">
        <f>SUMIFS(全店核心数据_bymonth[md_gmv],全店核心数据_bymonth[开始日期],$E30)</f>
        <v>1232461.5</v>
      </c>
      <c r="R30" s="94">
        <f>PFS_SalesOverview_InTax[[#This Row],[MD GMV]]/PFS_SalesOverview_InTax[[#This Row],[GMV]]</f>
        <v>0.39373483614288818</v>
      </c>
      <c r="S30" s="431">
        <f>SUMIFS(全店核心数据_bymonth[md_net],全店核心数据_bymonth[开始日期],$E30)</f>
        <v>632407.5</v>
      </c>
      <c r="T30" s="94">
        <f>PFS_SalesOverview_InTax[[#This Row],[MD NET]]/PFS_SalesOverview_InTax[[#This Row],[NET]]</f>
        <v>0.360460381789933</v>
      </c>
      <c r="U30" s="431">
        <f>SUMIFS(目标表[gmv],目标表[Date],"&gt;="&amp;$E30,目标表[Date],"&lt;="&amp;EOMONTH($E30,0),目标表[channel],"PFS")</f>
        <v>5400000</v>
      </c>
      <c r="V30" s="431">
        <f>SUMIFS(目标表[net],目标表[Date],"&gt;="&amp;$E30,目标表[Date],"&lt;="&amp;EOMONTH($E30,0),目标表[channel],"PFS")</f>
        <v>2700000</v>
      </c>
      <c r="W30" s="431">
        <f>SUMIFS(目标表[uv],目标表[Date],"&gt;="&amp;$E30,目标表[Date],"&lt;="&amp;EOMONTH($E30,0),目标表[channel],"PFS")</f>
        <v>414173</v>
      </c>
      <c r="X30" s="431">
        <f>SUMIFS(目标表[buyers],目标表[Date],"&gt;="&amp;$E30,目标表[Date],"&lt;="&amp;EOMONTH($E30,0),目标表[channel],"PFS")</f>
        <v>934</v>
      </c>
      <c r="Y30" s="378">
        <f>PFS_SalesOverview_InTax[[#This Row],[BUYERS_TGT]]/PFS_SalesOverview_InTax[[#This Row],[TRAFFIC_TGT]]</f>
        <v>2.2550963003382645E-3</v>
      </c>
      <c r="Z30" s="379">
        <f>PFS_SalesOverview_InTax[[#This Row],[GMV_TGT]]/PFS_SalesOverview_InTax[[#This Row],[BUYERS_TGT]]</f>
        <v>5781.5845824411135</v>
      </c>
      <c r="AA30" s="380">
        <f>PFS_SalesOverview_InTax[[#This Row],[UNITS_TGT]]/PFS_SalesOverview_InTax[[#This Row],[BUYERS_TGT]]</f>
        <v>1.189507494646681</v>
      </c>
      <c r="AB30" s="94">
        <f>1-PFS_SalesOverview_InTax[[#This Row],[NET_TGT]]/PFS_SalesOverview_InTax[[#This Row],[GMV_TGT]]</f>
        <v>0.5</v>
      </c>
      <c r="AC30" s="381">
        <f>SUMIFS(目标表[gmv_units],目标表[Date],"&gt;="&amp;$E30,目标表[Date],"&lt;="&amp;EOMONTH($E30,0),目标表[channel],"PFS")</f>
        <v>1111</v>
      </c>
      <c r="AD30" s="105">
        <f>PFS_SalesOverview_InTax[[#This Row],[GMV]]/PFS_SalesOverview_InTax[[#This Row],[GMV_TGT]]</f>
        <v>0.57966324074074072</v>
      </c>
      <c r="AE30" s="105">
        <f>PFS_SalesOverview_InTax[[#This Row],[NET]]/PFS_SalesOverview_InTax[[#This Row],[NET_TGT]]</f>
        <v>0.64979401851851859</v>
      </c>
      <c r="AF30" s="105">
        <f>PFS_SalesOverview_InTax[[#This Row],[UV]]/PFS_SalesOverview_InTax[[#This Row],[TRAFFIC_TGT]]</f>
        <v>0.51122839972668421</v>
      </c>
      <c r="AG30" s="105">
        <f>PFS_SalesOverview_InTax[[#This Row],[Buyers]]/PFS_SalesOverview_InTax[[#This Row],[BUYERS_TGT]]</f>
        <v>0.45610278372591007</v>
      </c>
      <c r="AH30" s="105">
        <f>PFS_SalesOverview_InTax[[#This Row],[CR]]/PFS_SalesOverview_InTax[[#This Row],[CVR_TGT]]</f>
        <v>0.89217027843084262</v>
      </c>
      <c r="AI30" s="105">
        <f>PFS_SalesOverview_InTax[[#This Row],[ATV]]/PFS_SalesOverview_InTax[[#This Row],[ATV_TGT]]</f>
        <v>1.2709048517649104</v>
      </c>
      <c r="AJ30" s="105">
        <f>PFS_SalesOverview_InTax[[#This Row],[UPT]]/PFS_SalesOverview_InTax[[#This Row],[UPT_TGT]]</f>
        <v>1.1524870796938849</v>
      </c>
      <c r="AK30" s="105">
        <f>PFS_SalesOverview_InTax[[#This Row],[RRC]]/PFS_SalesOverview_InTax[[#This Row],[RRC_TGT]]</f>
        <v>0.87901461943979919</v>
      </c>
      <c r="AL30" s="28" t="str">
        <f>_xlfn.XLOOKUP(PFS_SalesOverview_InTax[[#This Row],[DATE]],全店核心数据_bymonth[开始日期],全店核心数据_bymonth[jda日历.PayYear],"")</f>
        <v>BU24</v>
      </c>
      <c r="AO30" s="428">
        <f>PFS_SalesOverview_InTax[[#This Row],[DATE]]</f>
        <v>45292</v>
      </c>
      <c r="AP30" s="429">
        <f>PFS_SalesOverview_InTax[[#This Row],[GMV]]/$F$1</f>
        <v>2770072.1238938058</v>
      </c>
      <c r="AQ30" s="429">
        <f>PFS_SalesOverview_ExclTax[[#This Row],[GMV]]-PFS_SalesOverview_ExclTax[[#This Row],[RR]]</f>
        <v>1552605.1769911509</v>
      </c>
      <c r="AR30" s="430">
        <f>PFS_SalesOverview_InTax[[#This Row],[UV]]</f>
        <v>211737</v>
      </c>
      <c r="AS30" s="431">
        <f>PFS_SalesOverview_InTax[[#This Row],[Buyers]]</f>
        <v>426</v>
      </c>
      <c r="AT30" s="431">
        <f>PFS_SalesOverview_InTax[[#This Row],[Units]]</f>
        <v>584</v>
      </c>
      <c r="AU30" s="92">
        <f>PFS_SalesOverview_ExclTax[[#This Row],[Buyers]]/PFS_SalesOverview_ExclTax[[#This Row],[UV]]</f>
        <v>2.0119298941611526E-3</v>
      </c>
      <c r="AV30" s="431">
        <f>PFS_SalesOverview_ExclTax[[#This Row],[GMV]]/PFS_SalesOverview_ExclTax[[#This Row],[Buyers]]</f>
        <v>6502.516722755413</v>
      </c>
      <c r="AW30" s="431">
        <f>PFS_SalesOverview_ExclTax[[#This Row],[GMV]]/PFS_SalesOverview_ExclTax[[#This Row],[Units]]</f>
        <v>4743.2741847496673</v>
      </c>
      <c r="AX30" s="432">
        <f>PFS_SalesOverview_ExclTax[[#This Row],[Units]]/PFS_SalesOverview_ExclTax[[#This Row],[Buyers]]</f>
        <v>1.3708920187793427</v>
      </c>
      <c r="AY30" s="93">
        <f>PFS_SalesOverview_ExclTax[[#This Row],[RR]]/PFS_SalesOverview_ExclTax[[#This Row],[GMV]]</f>
        <v>0.43950730971989954</v>
      </c>
      <c r="AZ30" s="429">
        <f>PFS_SalesOverview_InTax[[#This Row],[RR]]/$F$1</f>
        <v>1217466.9469026548</v>
      </c>
      <c r="BA30" s="429">
        <f>PFS_SalesOverview_InTax[[#This Row],[MD GMV]]/$F$1</f>
        <v>1090673.8938053099</v>
      </c>
      <c r="BB30" s="94">
        <f>PFS_SalesOverview_ExclTax[[#This Row],[MD GMV]]/PFS_SalesOverview_ExclTax[[#This Row],[GMV]]</f>
        <v>0.39373483614288818</v>
      </c>
      <c r="BC30" s="429">
        <f>PFS_SalesOverview_InTax[[#This Row],[GMV_TGT]]/$F$1</f>
        <v>4778761.0619469034</v>
      </c>
      <c r="BD30" s="429">
        <f>PFS_SalesOverview_InTax[[#This Row],[NET_TGT]]/$F$1</f>
        <v>2389380.5309734517</v>
      </c>
      <c r="BE30" s="430">
        <f>PFS_SalesOverview_InTax[[#This Row],[TRAFFIC_TGT]]</f>
        <v>414173</v>
      </c>
      <c r="BF30" s="431">
        <f>PFS_SalesOverview_InTax[[#This Row],[BUYERS_TGT]]</f>
        <v>934</v>
      </c>
      <c r="BG30" s="104">
        <f>PFS_SalesOverview_InTax[[#This Row],[CVR_TGT]]</f>
        <v>2.2550963003382645E-3</v>
      </c>
      <c r="BH30" s="431">
        <f>PFS_SalesOverview_InTax[[#This Row],[ATV_TGT]]/$F$1</f>
        <v>5116.4465331337296</v>
      </c>
      <c r="BI30" s="432">
        <f>PFS_SalesOverview_InTax[[#This Row],[UPT_TGT]]</f>
        <v>1.189507494646681</v>
      </c>
      <c r="BJ30" s="94">
        <f>PFS_SalesOverview_InTax[[#This Row],[RRC_TGT]]</f>
        <v>0.5</v>
      </c>
      <c r="BK30" s="431">
        <f>PFS_SalesOverview_InTax[[#This Row],[UNITS_TGT]]</f>
        <v>1111</v>
      </c>
      <c r="BL30" s="28" t="str">
        <f>_xlfn.XLOOKUP(PFS_SalesOverview_ExclTax[[#This Row],[DATE]],全店核心数据_bymonth[开始日期],全店核心数据_bymonth[jda日历.PayYear],"")</f>
        <v>BU24</v>
      </c>
      <c r="BO30" s="28"/>
      <c r="CK30" s="53"/>
    </row>
    <row r="31" spans="5:97" ht="14.5" customHeight="1" x14ac:dyDescent="0.3">
      <c r="E31" s="428">
        <v>45261</v>
      </c>
      <c r="F31" s="431">
        <f>SUMIFS(全店核心数据_bymonth[支付金额],全店核心数据_bymonth[开始日期],$E31)</f>
        <v>4684883.05</v>
      </c>
      <c r="G31" s="431">
        <f>PFS_SalesOverview_InTax[[#This Row],[GMV]]-PFS_SalesOverview_InTax[[#This Row],[RR]]</f>
        <v>2162378.3899999997</v>
      </c>
      <c r="H31" s="431">
        <f>SUMIFS(全店核心数据_bymonth[访客数],全店核心数据_bymonth[开始日期],$E31)</f>
        <v>476633</v>
      </c>
      <c r="I31" s="431">
        <f>SUMIFS(全店核心数据_bymonth[支付买家数],全店核心数据_bymonth[开始日期],$E31)</f>
        <v>726</v>
      </c>
      <c r="J31" s="431">
        <f>SUMIFS(全店核心数据_bymonth[支付件数],全店核心数据_bymonth[开始日期],$E31)</f>
        <v>1055</v>
      </c>
      <c r="K31" s="92">
        <f>PFS_SalesOverview_InTax[[#This Row],[Buyers]]/PFS_SalesOverview_InTax[[#This Row],[UV]]</f>
        <v>1.5231845046398383E-3</v>
      </c>
      <c r="L31" s="431">
        <f>PFS_SalesOverview_InTax[[#This Row],[GMV]]/PFS_SalesOverview_InTax[[#This Row],[Buyers]]</f>
        <v>6453.006955922865</v>
      </c>
      <c r="M31" s="431">
        <f>PFS_SalesOverview_InTax[[#This Row],[GMV]]/PFS_SalesOverview_InTax[[#This Row],[Units]]</f>
        <v>4440.6474407582937</v>
      </c>
      <c r="N31" s="432">
        <f>PFS_SalesOverview_InTax[[#This Row],[Units]]/PFS_SalesOverview_InTax[[#This Row],[Buyers]]</f>
        <v>1.4531680440771351</v>
      </c>
      <c r="O31" s="93">
        <f>PFS_SalesOverview_InTax[[#This Row],[RR]]/PFS_SalesOverview_InTax[[#This Row],[GMV]]</f>
        <v>0.53843492635317769</v>
      </c>
      <c r="P31" s="431">
        <f>SUMIFS(全店核心数据_bymonth[支付退款金额],全店核心数据_bymonth[开始日期],$E31)</f>
        <v>2522504.66</v>
      </c>
      <c r="Q31" s="431">
        <f>SUMIFS(全店核心数据_bymonth[md_gmv],全店核心数据_bymonth[开始日期],$E31)</f>
        <v>2715771.68</v>
      </c>
      <c r="R31" s="94">
        <f>PFS_SalesOverview_InTax[[#This Row],[MD GMV]]/PFS_SalesOverview_InTax[[#This Row],[GMV]]</f>
        <v>0.57968825497148757</v>
      </c>
      <c r="S31" s="431">
        <f>SUMIFS(全店核心数据_bymonth[md_net],全店核心数据_bymonth[开始日期],$E31)</f>
        <v>1291936.02</v>
      </c>
      <c r="T31" s="94">
        <f>PFS_SalesOverview_InTax[[#This Row],[MD NET]]/PFS_SalesOverview_InTax[[#This Row],[NET]]</f>
        <v>0.59746065997265174</v>
      </c>
      <c r="U31" s="431">
        <f>SUMIFS(目标表[gmv],目标表[Date],"&gt;="&amp;$E31,目标表[Date],"&lt;="&amp;EOMONTH($E31,0),目标表[channel],"PFS")</f>
        <v>5635000</v>
      </c>
      <c r="V31" s="431">
        <f>SUMIFS(目标表[net],目标表[Date],"&gt;="&amp;$E31,目标表[Date],"&lt;="&amp;EOMONTH($E31,0),目标表[channel],"PFS")</f>
        <v>2817500</v>
      </c>
      <c r="W31" s="431">
        <f>SUMIFS(目标表[uv],目标表[Date],"&gt;="&amp;$E31,目标表[Date],"&lt;="&amp;EOMONTH($E31,0),目标表[channel],"PFS")</f>
        <v>830474</v>
      </c>
      <c r="X31" s="431">
        <f>SUMIFS(目标表[buyers],目标表[Date],"&gt;="&amp;$E31,目标表[Date],"&lt;="&amp;EOMONTH($E31,0),目标表[channel],"PFS")</f>
        <v>968</v>
      </c>
      <c r="Y31" s="378">
        <f>PFS_SalesOverview_InTax[[#This Row],[BUYERS_TGT]]/PFS_SalesOverview_InTax[[#This Row],[TRAFFIC_TGT]]</f>
        <v>1.1655994046773288E-3</v>
      </c>
      <c r="Z31" s="379">
        <f>PFS_SalesOverview_InTax[[#This Row],[GMV_TGT]]/PFS_SalesOverview_InTax[[#This Row],[BUYERS_TGT]]</f>
        <v>5821.2809917355371</v>
      </c>
      <c r="AA31" s="380">
        <f>PFS_SalesOverview_InTax[[#This Row],[UNITS_TGT]]/PFS_SalesOverview_InTax[[#This Row],[BUYERS_TGT]]</f>
        <v>1.1756198347107438</v>
      </c>
      <c r="AB31" s="94">
        <f>1-PFS_SalesOverview_InTax[[#This Row],[NET_TGT]]/PFS_SalesOverview_InTax[[#This Row],[GMV_TGT]]</f>
        <v>0.5</v>
      </c>
      <c r="AC31" s="381">
        <f>SUMIFS(目标表[gmv_units],目标表[Date],"&gt;="&amp;$E31,目标表[Date],"&lt;="&amp;EOMONTH($E31,0),目标表[channel],"PFS")</f>
        <v>1138</v>
      </c>
      <c r="AD31" s="105">
        <f>PFS_SalesOverview_InTax[[#This Row],[GMV]]/PFS_SalesOverview_InTax[[#This Row],[GMV_TGT]]</f>
        <v>0.83139007098491569</v>
      </c>
      <c r="AE31" s="105">
        <f>PFS_SalesOverview_InTax[[#This Row],[NET]]/PFS_SalesOverview_InTax[[#This Row],[NET_TGT]]</f>
        <v>0.76748123868677898</v>
      </c>
      <c r="AF31" s="105">
        <f>PFS_SalesOverview_InTax[[#This Row],[UV]]/PFS_SalesOverview_InTax[[#This Row],[TRAFFIC_TGT]]</f>
        <v>0.57392886472062943</v>
      </c>
      <c r="AG31" s="105">
        <f>PFS_SalesOverview_InTax[[#This Row],[Buyers]]/PFS_SalesOverview_InTax[[#This Row],[BUYERS_TGT]]</f>
        <v>0.75</v>
      </c>
      <c r="AH31" s="105">
        <f>PFS_SalesOverview_InTax[[#This Row],[CR]]/PFS_SalesOverview_InTax[[#This Row],[CVR_TGT]]</f>
        <v>1.3067821573411831</v>
      </c>
      <c r="AI31" s="105">
        <f>PFS_SalesOverview_InTax[[#This Row],[ATV]]/PFS_SalesOverview_InTax[[#This Row],[ATV_TGT]]</f>
        <v>1.1085200946465543</v>
      </c>
      <c r="AJ31" s="105">
        <f>PFS_SalesOverview_InTax[[#This Row],[UPT]]/PFS_SalesOverview_InTax[[#This Row],[UPT_TGT]]</f>
        <v>1.2360867018160515</v>
      </c>
      <c r="AK31" s="105">
        <f>PFS_SalesOverview_InTax[[#This Row],[RRC]]/PFS_SalesOverview_InTax[[#This Row],[RRC_TGT]]</f>
        <v>1.0768698527063554</v>
      </c>
      <c r="AL31" s="28" t="str">
        <f>_xlfn.XLOOKUP(PFS_SalesOverview_InTax[[#This Row],[DATE]],全店核心数据_bymonth[开始日期],全店核心数据_bymonth[jda日历.PayYear],"")</f>
        <v>BU24</v>
      </c>
      <c r="AO31" s="428">
        <f>PFS_SalesOverview_InTax[[#This Row],[DATE]]</f>
        <v>45261</v>
      </c>
      <c r="AP31" s="429">
        <f>PFS_SalesOverview_InTax[[#This Row],[GMV]]/$F$1</f>
        <v>4145914.2035398232</v>
      </c>
      <c r="AQ31" s="429">
        <f>PFS_SalesOverview_ExclTax[[#This Row],[GMV]]-PFS_SalesOverview_ExclTax[[#This Row],[RR]]</f>
        <v>1913609.1946902652</v>
      </c>
      <c r="AR31" s="430">
        <f>PFS_SalesOverview_InTax[[#This Row],[UV]]</f>
        <v>476633</v>
      </c>
      <c r="AS31" s="431">
        <f>PFS_SalesOverview_InTax[[#This Row],[Buyers]]</f>
        <v>726</v>
      </c>
      <c r="AT31" s="431">
        <f>PFS_SalesOverview_InTax[[#This Row],[Units]]</f>
        <v>1055</v>
      </c>
      <c r="AU31" s="92">
        <f>PFS_SalesOverview_ExclTax[[#This Row],[Buyers]]/PFS_SalesOverview_ExclTax[[#This Row],[UV]]</f>
        <v>1.5231845046398383E-3</v>
      </c>
      <c r="AV31" s="431">
        <f>PFS_SalesOverview_ExclTax[[#This Row],[GMV]]/PFS_SalesOverview_ExclTax[[#This Row],[Buyers]]</f>
        <v>5710.6256247105002</v>
      </c>
      <c r="AW31" s="431">
        <f>PFS_SalesOverview_ExclTax[[#This Row],[GMV]]/PFS_SalesOverview_ExclTax[[#This Row],[Units]]</f>
        <v>3929.7764962462779</v>
      </c>
      <c r="AX31" s="432">
        <f>PFS_SalesOverview_ExclTax[[#This Row],[Units]]/PFS_SalesOverview_ExclTax[[#This Row],[Buyers]]</f>
        <v>1.4531680440771351</v>
      </c>
      <c r="AY31" s="93">
        <f>PFS_SalesOverview_ExclTax[[#This Row],[RR]]/PFS_SalesOverview_ExclTax[[#This Row],[GMV]]</f>
        <v>0.53843492635317769</v>
      </c>
      <c r="AZ31" s="429">
        <f>PFS_SalesOverview_InTax[[#This Row],[RR]]/$F$1</f>
        <v>2232305.008849558</v>
      </c>
      <c r="BA31" s="429">
        <f>PFS_SalesOverview_InTax[[#This Row],[MD GMV]]/$F$1</f>
        <v>2403337.7699115048</v>
      </c>
      <c r="BB31" s="94">
        <f>PFS_SalesOverview_ExclTax[[#This Row],[MD GMV]]/PFS_SalesOverview_ExclTax[[#This Row],[GMV]]</f>
        <v>0.57968825497148757</v>
      </c>
      <c r="BC31" s="429">
        <f>PFS_SalesOverview_InTax[[#This Row],[GMV_TGT]]/$F$1</f>
        <v>4986725.6637168145</v>
      </c>
      <c r="BD31" s="429">
        <f>PFS_SalesOverview_InTax[[#This Row],[NET_TGT]]/$F$1</f>
        <v>2493362.8318584072</v>
      </c>
      <c r="BE31" s="430">
        <f>PFS_SalesOverview_InTax[[#This Row],[TRAFFIC_TGT]]</f>
        <v>830474</v>
      </c>
      <c r="BF31" s="431">
        <f>PFS_SalesOverview_InTax[[#This Row],[BUYERS_TGT]]</f>
        <v>968</v>
      </c>
      <c r="BG31" s="104">
        <f>PFS_SalesOverview_InTax[[#This Row],[CVR_TGT]]</f>
        <v>1.1655994046773288E-3</v>
      </c>
      <c r="BH31" s="431">
        <f>PFS_SalesOverview_InTax[[#This Row],[ATV_TGT]]/$F$1</f>
        <v>5151.5760988810071</v>
      </c>
      <c r="BI31" s="432">
        <f>PFS_SalesOverview_InTax[[#This Row],[UPT_TGT]]</f>
        <v>1.1756198347107438</v>
      </c>
      <c r="BJ31" s="94">
        <f>PFS_SalesOverview_InTax[[#This Row],[RRC_TGT]]</f>
        <v>0.5</v>
      </c>
      <c r="BK31" s="431">
        <f>PFS_SalesOverview_InTax[[#This Row],[UNITS_TGT]]</f>
        <v>1138</v>
      </c>
      <c r="BL31" s="28" t="str">
        <f>_xlfn.XLOOKUP(PFS_SalesOverview_ExclTax[[#This Row],[DATE]],全店核心数据_bymonth[开始日期],全店核心数据_bymonth[jda日历.PayYear],"")</f>
        <v>BU24</v>
      </c>
      <c r="BO31" s="28"/>
      <c r="CK31" s="53"/>
    </row>
    <row r="32" spans="5:97" ht="14.5" customHeight="1" x14ac:dyDescent="0.3">
      <c r="E32" s="428">
        <v>45231</v>
      </c>
      <c r="F32" s="431">
        <f>SUMIFS(全店核心数据_bymonth[支付金额],全店核心数据_bymonth[开始日期],$E32)</f>
        <v>10719855.51</v>
      </c>
      <c r="G32" s="431">
        <f>PFS_SalesOverview_InTax[[#This Row],[GMV]]-PFS_SalesOverview_InTax[[#This Row],[RR]]</f>
        <v>3990716.96</v>
      </c>
      <c r="H32" s="431">
        <f>SUMIFS(全店核心数据_bymonth[访客数],全店核心数据_bymonth[开始日期],$E32)</f>
        <v>417400</v>
      </c>
      <c r="I32" s="431">
        <f>SUMIFS(全店核心数据_bymonth[支付买家数],全店核心数据_bymonth[开始日期],$E32)</f>
        <v>2026</v>
      </c>
      <c r="J32" s="431">
        <f>SUMIFS(全店核心数据_bymonth[支付件数],全店核心数据_bymonth[开始日期],$E32)</f>
        <v>2803</v>
      </c>
      <c r="K32" s="92">
        <f>PFS_SalesOverview_InTax[[#This Row],[Buyers]]/PFS_SalesOverview_InTax[[#This Row],[UV]]</f>
        <v>4.8538572113080974E-3</v>
      </c>
      <c r="L32" s="431">
        <f>PFS_SalesOverview_InTax[[#This Row],[GMV]]/PFS_SalesOverview_InTax[[#This Row],[Buyers]]</f>
        <v>5291.1428973346492</v>
      </c>
      <c r="M32" s="431">
        <f>PFS_SalesOverview_InTax[[#This Row],[GMV]]/PFS_SalesOverview_InTax[[#This Row],[Units]]</f>
        <v>3824.4222297538349</v>
      </c>
      <c r="N32" s="432">
        <f>PFS_SalesOverview_InTax[[#This Row],[Units]]/PFS_SalesOverview_InTax[[#This Row],[Buyers]]</f>
        <v>1.3835143139190522</v>
      </c>
      <c r="O32" s="93">
        <f>PFS_SalesOverview_InTax[[#This Row],[RR]]/PFS_SalesOverview_InTax[[#This Row],[GMV]]</f>
        <v>0.62772660916210432</v>
      </c>
      <c r="P32" s="431">
        <f>SUMIFS(全店核心数据_bymonth[支付退款金额],全店核心数据_bymonth[开始日期],$E32)</f>
        <v>6729138.5499999998</v>
      </c>
      <c r="Q32" s="431">
        <f>SUMIFS(全店核心数据_bymonth[md_gmv],全店核心数据_bymonth[开始日期],$E32)</f>
        <v>7382220.4299999997</v>
      </c>
      <c r="R32" s="94">
        <f>PFS_SalesOverview_InTax[[#This Row],[MD GMV]]/PFS_SalesOverview_InTax[[#This Row],[GMV]]</f>
        <v>0.68864924747479173</v>
      </c>
      <c r="S32" s="431">
        <f>SUMIFS(全店核心数据_bymonth[md_net],全店核心数据_bymonth[开始日期],$E32)</f>
        <v>2997365.22</v>
      </c>
      <c r="T32" s="94">
        <f>PFS_SalesOverview_InTax[[#This Row],[MD NET]]/PFS_SalesOverview_InTax[[#This Row],[NET]]</f>
        <v>0.75108439161267915</v>
      </c>
      <c r="U32" s="431">
        <f>SUMIFS(目标表[gmv],目标表[Date],"&gt;="&amp;$E32,目标表[Date],"&lt;="&amp;EOMONTH($E32,0),目标表[channel],"PFS")</f>
        <v>7670000</v>
      </c>
      <c r="V32" s="431">
        <f>SUMIFS(目标表[net],目标表[Date],"&gt;="&amp;$E32,目标表[Date],"&lt;="&amp;EOMONTH($E32,0),目标表[channel],"PFS")</f>
        <v>3835000</v>
      </c>
      <c r="W32" s="431">
        <f>SUMIFS(目标表[uv],目标表[Date],"&gt;="&amp;$E32,目标表[Date],"&lt;="&amp;EOMONTH($E32,0),目标表[channel],"PFS")</f>
        <v>580500</v>
      </c>
      <c r="X32" s="431">
        <f>SUMIFS(目标表[buyers],目标表[Date],"&gt;="&amp;$E32,目标表[Date],"&lt;="&amp;EOMONTH($E32,0),目标表[channel],"PFS")</f>
        <v>1608</v>
      </c>
      <c r="Y32" s="378">
        <f>PFS_SalesOverview_InTax[[#This Row],[BUYERS_TGT]]/PFS_SalesOverview_InTax[[#This Row],[TRAFFIC_TGT]]</f>
        <v>2.7700258397932815E-3</v>
      </c>
      <c r="Z32" s="379">
        <f>PFS_SalesOverview_InTax[[#This Row],[GMV_TGT]]/PFS_SalesOverview_InTax[[#This Row],[BUYERS_TGT]]</f>
        <v>4769.9004975124381</v>
      </c>
      <c r="AA32" s="380">
        <f>PFS_SalesOverview_InTax[[#This Row],[UNITS_TGT]]/PFS_SalesOverview_InTax[[#This Row],[BUYERS_TGT]]</f>
        <v>1.0970149253731343</v>
      </c>
      <c r="AB32" s="94">
        <f>1-PFS_SalesOverview_InTax[[#This Row],[NET_TGT]]/PFS_SalesOverview_InTax[[#This Row],[GMV_TGT]]</f>
        <v>0.5</v>
      </c>
      <c r="AC32" s="381">
        <f>SUMIFS(目标表[gmv_units],目标表[Date],"&gt;="&amp;$E32,目标表[Date],"&lt;="&amp;EOMONTH($E32,0),目标表[channel],"PFS")</f>
        <v>1764</v>
      </c>
      <c r="AD32" s="105">
        <f>PFS_SalesOverview_InTax[[#This Row],[GMV]]/PFS_SalesOverview_InTax[[#This Row],[GMV_TGT]]</f>
        <v>1.3976343559322033</v>
      </c>
      <c r="AE32" s="105">
        <f>PFS_SalesOverview_InTax[[#This Row],[NET]]/PFS_SalesOverview_InTax[[#This Row],[NET_TGT]]</f>
        <v>1.0406041616688397</v>
      </c>
      <c r="AF32" s="105">
        <f>PFS_SalesOverview_InTax[[#This Row],[UV]]/PFS_SalesOverview_InTax[[#This Row],[TRAFFIC_TGT]]</f>
        <v>0.71903531438415158</v>
      </c>
      <c r="AG32" s="105">
        <f>PFS_SalesOverview_InTax[[#This Row],[Buyers]]/PFS_SalesOverview_InTax[[#This Row],[BUYERS_TGT]]</f>
        <v>1.2599502487562189</v>
      </c>
      <c r="AH32" s="105">
        <f>PFS_SalesOverview_InTax[[#This Row],[CR]]/PFS_SalesOverview_InTax[[#This Row],[CVR_TGT]]</f>
        <v>1.7522786760972331</v>
      </c>
      <c r="AI32" s="105">
        <f>PFS_SalesOverview_InTax[[#This Row],[ATV]]/PFS_SalesOverview_InTax[[#This Row],[ATV_TGT]]</f>
        <v>1.1092774157645522</v>
      </c>
      <c r="AJ32" s="105">
        <f>PFS_SalesOverview_InTax[[#This Row],[UPT]]/PFS_SalesOverview_InTax[[#This Row],[UPT_TGT]]</f>
        <v>1.2611627079262109</v>
      </c>
      <c r="AK32" s="105">
        <f>PFS_SalesOverview_InTax[[#This Row],[RRC]]/PFS_SalesOverview_InTax[[#This Row],[RRC_TGT]]</f>
        <v>1.2554532183242086</v>
      </c>
      <c r="AL32" s="28" t="str">
        <f>_xlfn.XLOOKUP(PFS_SalesOverview_InTax[[#This Row],[DATE]],全店核心数据_bymonth[开始日期],全店核心数据_bymonth[jda日历.PayYear],"")</f>
        <v>BU24</v>
      </c>
      <c r="AO32" s="428">
        <f>PFS_SalesOverview_InTax[[#This Row],[DATE]]</f>
        <v>45231</v>
      </c>
      <c r="AP32" s="429">
        <f>PFS_SalesOverview_InTax[[#This Row],[GMV]]/$F$1</f>
        <v>9486597.7964601777</v>
      </c>
      <c r="AQ32" s="429">
        <f>PFS_SalesOverview_ExclTax[[#This Row],[GMV]]-PFS_SalesOverview_ExclTax[[#This Row],[RR]]</f>
        <v>3531607.9292035401</v>
      </c>
      <c r="AR32" s="430">
        <f>PFS_SalesOverview_InTax[[#This Row],[UV]]</f>
        <v>417400</v>
      </c>
      <c r="AS32" s="431">
        <f>PFS_SalesOverview_InTax[[#This Row],[Buyers]]</f>
        <v>2026</v>
      </c>
      <c r="AT32" s="431">
        <f>PFS_SalesOverview_InTax[[#This Row],[Units]]</f>
        <v>2803</v>
      </c>
      <c r="AU32" s="92">
        <f>PFS_SalesOverview_ExclTax[[#This Row],[Buyers]]/PFS_SalesOverview_ExclTax[[#This Row],[UV]]</f>
        <v>4.8538572113080974E-3</v>
      </c>
      <c r="AV32" s="431">
        <f>PFS_SalesOverview_ExclTax[[#This Row],[GMV]]/PFS_SalesOverview_ExclTax[[#This Row],[Buyers]]</f>
        <v>4682.4273427740263</v>
      </c>
      <c r="AW32" s="431">
        <f>PFS_SalesOverview_ExclTax[[#This Row],[GMV]]/PFS_SalesOverview_ExclTax[[#This Row],[Units]]</f>
        <v>3384.444451109589</v>
      </c>
      <c r="AX32" s="432">
        <f>PFS_SalesOverview_ExclTax[[#This Row],[Units]]/PFS_SalesOverview_ExclTax[[#This Row],[Buyers]]</f>
        <v>1.3835143139190522</v>
      </c>
      <c r="AY32" s="93">
        <f>PFS_SalesOverview_ExclTax[[#This Row],[RR]]/PFS_SalesOverview_ExclTax[[#This Row],[GMV]]</f>
        <v>0.62772660916210432</v>
      </c>
      <c r="AZ32" s="429">
        <f>PFS_SalesOverview_InTax[[#This Row],[RR]]/$F$1</f>
        <v>5954989.8672566377</v>
      </c>
      <c r="BA32" s="429">
        <f>PFS_SalesOverview_InTax[[#This Row],[MD GMV]]/$F$1</f>
        <v>6532938.4336283188</v>
      </c>
      <c r="BB32" s="94">
        <f>PFS_SalesOverview_ExclTax[[#This Row],[MD GMV]]/PFS_SalesOverview_ExclTax[[#This Row],[GMV]]</f>
        <v>0.68864924747479173</v>
      </c>
      <c r="BC32" s="429">
        <f>PFS_SalesOverview_InTax[[#This Row],[GMV_TGT]]/$F$1</f>
        <v>6787610.619469027</v>
      </c>
      <c r="BD32" s="429">
        <f>PFS_SalesOverview_InTax[[#This Row],[NET_TGT]]/$F$1</f>
        <v>3393805.3097345135</v>
      </c>
      <c r="BE32" s="430">
        <f>PFS_SalesOverview_InTax[[#This Row],[TRAFFIC_TGT]]</f>
        <v>580500</v>
      </c>
      <c r="BF32" s="431">
        <f>PFS_SalesOverview_InTax[[#This Row],[BUYERS_TGT]]</f>
        <v>1608</v>
      </c>
      <c r="BG32" s="104">
        <f>PFS_SalesOverview_InTax[[#This Row],[CVR_TGT]]</f>
        <v>2.7700258397932815E-3</v>
      </c>
      <c r="BH32" s="431">
        <f>PFS_SalesOverview_InTax[[#This Row],[ATV_TGT]]/$F$1</f>
        <v>4221.1508827543703</v>
      </c>
      <c r="BI32" s="432">
        <f>PFS_SalesOverview_InTax[[#This Row],[UPT_TGT]]</f>
        <v>1.0970149253731343</v>
      </c>
      <c r="BJ32" s="94">
        <f>PFS_SalesOverview_InTax[[#This Row],[RRC_TGT]]</f>
        <v>0.5</v>
      </c>
      <c r="BK32" s="431">
        <f>PFS_SalesOverview_InTax[[#This Row],[UNITS_TGT]]</f>
        <v>1764</v>
      </c>
      <c r="BL32" s="28" t="str">
        <f>_xlfn.XLOOKUP(PFS_SalesOverview_ExclTax[[#This Row],[DATE]],全店核心数据_bymonth[开始日期],全店核心数据_bymonth[jda日历.PayYear],"")</f>
        <v>BU24</v>
      </c>
      <c r="BO32" s="28"/>
      <c r="CK32" s="53"/>
    </row>
    <row r="33" spans="5:82" ht="14.5" customHeight="1" x14ac:dyDescent="0.3">
      <c r="E33" s="428">
        <v>45200</v>
      </c>
      <c r="F33" s="431">
        <f>SUMIFS(全店核心数据_bymonth[支付金额],全店核心数据_bymonth[开始日期],$E33)</f>
        <v>7114440</v>
      </c>
      <c r="G33" s="431">
        <f>PFS_SalesOverview_InTax[[#This Row],[GMV]]-PFS_SalesOverview_InTax[[#This Row],[RR]]</f>
        <v>3254462.07</v>
      </c>
      <c r="H33" s="431">
        <f>SUMIFS(全店核心数据_bymonth[访客数],全店核心数据_bymonth[开始日期],$E33)</f>
        <v>454936</v>
      </c>
      <c r="I33" s="431">
        <f>SUMIFS(全店核心数据_bymonth[支付买家数],全店核心数据_bymonth[开始日期],$E33)</f>
        <v>1411</v>
      </c>
      <c r="J33" s="431">
        <f>SUMIFS(全店核心数据_bymonth[支付件数],全店核心数据_bymonth[开始日期],$E33)</f>
        <v>2065</v>
      </c>
      <c r="K33" s="92">
        <f>PFS_SalesOverview_InTax[[#This Row],[Buyers]]/PFS_SalesOverview_InTax[[#This Row],[UV]]</f>
        <v>3.1015351609896776E-3</v>
      </c>
      <c r="L33" s="431">
        <f>PFS_SalesOverview_InTax[[#This Row],[GMV]]/PFS_SalesOverview_InTax[[#This Row],[Buyers]]</f>
        <v>5042.1261516654858</v>
      </c>
      <c r="M33" s="431">
        <f>PFS_SalesOverview_InTax[[#This Row],[GMV]]/PFS_SalesOverview_InTax[[#This Row],[Units]]</f>
        <v>3445.2493946731233</v>
      </c>
      <c r="N33" s="432">
        <f>PFS_SalesOverview_InTax[[#This Row],[Units]]/PFS_SalesOverview_InTax[[#This Row],[Buyers]]</f>
        <v>1.4635010630758327</v>
      </c>
      <c r="O33" s="93">
        <f>PFS_SalesOverview_InTax[[#This Row],[RR]]/PFS_SalesOverview_InTax[[#This Row],[GMV]]</f>
        <v>0.54255541265370155</v>
      </c>
      <c r="P33" s="431">
        <f>SUMIFS(全店核心数据_bymonth[支付退款金额],全店核心数据_bymonth[开始日期],$E33)</f>
        <v>3859977.93</v>
      </c>
      <c r="Q33" s="431">
        <f>SUMIFS(全店核心数据_bymonth[md_gmv],全店核心数据_bymonth[开始日期],$E33)</f>
        <v>5039380.08</v>
      </c>
      <c r="R33" s="94">
        <f>PFS_SalesOverview_InTax[[#This Row],[MD GMV]]/PFS_SalesOverview_InTax[[#This Row],[GMV]]</f>
        <v>0.70833123619005856</v>
      </c>
      <c r="S33" s="431">
        <f>SUMIFS(全店核心数据_bymonth[md_net],全店核心数据_bymonth[开始日期],$E33)</f>
        <v>2483763.8199999998</v>
      </c>
      <c r="T33" s="94">
        <f>PFS_SalesOverview_InTax[[#This Row],[MD NET]]/PFS_SalesOverview_InTax[[#This Row],[NET]]</f>
        <v>0.76318720777102189</v>
      </c>
      <c r="U33" s="431">
        <f>SUMIFS(目标表[gmv],目标表[Date],"&gt;="&amp;$E33,目标表[Date],"&lt;="&amp;EOMONTH($E33,0),目标表[channel],"PFS")</f>
        <v>5175628</v>
      </c>
      <c r="V33" s="431">
        <f>SUMIFS(目标表[net],目标表[Date],"&gt;="&amp;$E33,目标表[Date],"&lt;="&amp;EOMONTH($E33,0),目标表[channel],"PFS")</f>
        <v>2587814</v>
      </c>
      <c r="W33" s="431">
        <f>SUMIFS(目标表[uv],目标表[Date],"&gt;="&amp;$E33,目标表[Date],"&lt;="&amp;EOMONTH($E33,0),目标表[channel],"PFS")</f>
        <v>589000</v>
      </c>
      <c r="X33" s="431">
        <f>SUMIFS(目标表[buyers],目标表[Date],"&gt;="&amp;$E33,目标表[Date],"&lt;="&amp;EOMONTH($E33,0),目标表[channel],"PFS")</f>
        <v>1140</v>
      </c>
      <c r="Y33" s="378">
        <f>PFS_SalesOverview_InTax[[#This Row],[BUYERS_TGT]]/PFS_SalesOverview_InTax[[#This Row],[TRAFFIC_TGT]]</f>
        <v>1.9354838709677419E-3</v>
      </c>
      <c r="Z33" s="379">
        <f>PFS_SalesOverview_InTax[[#This Row],[GMV_TGT]]/PFS_SalesOverview_InTax[[#This Row],[BUYERS_TGT]]</f>
        <v>4540.0245614035084</v>
      </c>
      <c r="AA33" s="380">
        <f>PFS_SalesOverview_InTax[[#This Row],[UNITS_TGT]]/PFS_SalesOverview_InTax[[#This Row],[BUYERS_TGT]]</f>
        <v>1.0842105263157895</v>
      </c>
      <c r="AB33" s="94">
        <f>1-PFS_SalesOverview_InTax[[#This Row],[NET_TGT]]/PFS_SalesOverview_InTax[[#This Row],[GMV_TGT]]</f>
        <v>0.5</v>
      </c>
      <c r="AC33" s="381">
        <f>SUMIFS(目标表[gmv_units],目标表[Date],"&gt;="&amp;$E33,目标表[Date],"&lt;="&amp;EOMONTH($E33,0),目标表[channel],"PFS")</f>
        <v>1236</v>
      </c>
      <c r="AD33" s="105">
        <f>PFS_SalesOverview_InTax[[#This Row],[GMV]]/PFS_SalesOverview_InTax[[#This Row],[GMV_TGT]]</f>
        <v>1.3746042026204357</v>
      </c>
      <c r="AE33" s="105">
        <f>PFS_SalesOverview_InTax[[#This Row],[NET]]/PFS_SalesOverview_InTax[[#This Row],[NET_TGT]]</f>
        <v>1.2576105044643857</v>
      </c>
      <c r="AF33" s="105">
        <f>PFS_SalesOverview_InTax[[#This Row],[UV]]/PFS_SalesOverview_InTax[[#This Row],[TRAFFIC_TGT]]</f>
        <v>0.77238709677419359</v>
      </c>
      <c r="AG33" s="105">
        <f>PFS_SalesOverview_InTax[[#This Row],[Buyers]]/PFS_SalesOverview_InTax[[#This Row],[BUYERS_TGT]]</f>
        <v>1.237719298245614</v>
      </c>
      <c r="AH33" s="105">
        <f>PFS_SalesOverview_InTax[[#This Row],[CR]]/PFS_SalesOverview_InTax[[#This Row],[CVR_TGT]]</f>
        <v>1.602459833178</v>
      </c>
      <c r="AI33" s="105">
        <f>PFS_SalesOverview_InTax[[#This Row],[ATV]]/PFS_SalesOverview_InTax[[#This Row],[ATV_TGT]]</f>
        <v>1.1105944656182118</v>
      </c>
      <c r="AJ33" s="105">
        <f>PFS_SalesOverview_InTax[[#This Row],[UPT]]/PFS_SalesOverview_InTax[[#This Row],[UPT_TGT]]</f>
        <v>1.3498310775942146</v>
      </c>
      <c r="AK33" s="105">
        <f>PFS_SalesOverview_InTax[[#This Row],[RRC]]/PFS_SalesOverview_InTax[[#This Row],[RRC_TGT]]</f>
        <v>1.0851108253074031</v>
      </c>
      <c r="AL33" s="28" t="str">
        <f>_xlfn.XLOOKUP(PFS_SalesOverview_InTax[[#This Row],[DATE]],全店核心数据_bymonth[开始日期],全店核心数据_bymonth[jda日历.PayYear],"")</f>
        <v>BU24</v>
      </c>
      <c r="AO33" s="428">
        <f>PFS_SalesOverview_InTax[[#This Row],[DATE]]</f>
        <v>45200</v>
      </c>
      <c r="AP33" s="429">
        <f>PFS_SalesOverview_InTax[[#This Row],[GMV]]/$F$1</f>
        <v>6295964.6017699121</v>
      </c>
      <c r="AQ33" s="429">
        <f>PFS_SalesOverview_ExclTax[[#This Row],[GMV]]-PFS_SalesOverview_ExclTax[[#This Row],[RR]]</f>
        <v>2880054.9292035401</v>
      </c>
      <c r="AR33" s="430">
        <f>PFS_SalesOverview_InTax[[#This Row],[UV]]</f>
        <v>454936</v>
      </c>
      <c r="AS33" s="431">
        <f>PFS_SalesOverview_InTax[[#This Row],[Buyers]]</f>
        <v>1411</v>
      </c>
      <c r="AT33" s="431">
        <f>PFS_SalesOverview_InTax[[#This Row],[Units]]</f>
        <v>2065</v>
      </c>
      <c r="AU33" s="92">
        <f>PFS_SalesOverview_ExclTax[[#This Row],[Buyers]]/PFS_SalesOverview_ExclTax[[#This Row],[UV]]</f>
        <v>3.1015351609896776E-3</v>
      </c>
      <c r="AV33" s="431">
        <f>PFS_SalesOverview_ExclTax[[#This Row],[GMV]]/PFS_SalesOverview_ExclTax[[#This Row],[Buyers]]</f>
        <v>4462.0585412968903</v>
      </c>
      <c r="AW33" s="431">
        <f>PFS_SalesOverview_ExclTax[[#This Row],[GMV]]/PFS_SalesOverview_ExclTax[[#This Row],[Units]]</f>
        <v>3048.8932696222332</v>
      </c>
      <c r="AX33" s="432">
        <f>PFS_SalesOverview_ExclTax[[#This Row],[Units]]/PFS_SalesOverview_ExclTax[[#This Row],[Buyers]]</f>
        <v>1.4635010630758327</v>
      </c>
      <c r="AY33" s="93">
        <f>PFS_SalesOverview_ExclTax[[#This Row],[RR]]/PFS_SalesOverview_ExclTax[[#This Row],[GMV]]</f>
        <v>0.54255541265370144</v>
      </c>
      <c r="AZ33" s="429">
        <f>PFS_SalesOverview_InTax[[#This Row],[RR]]/$F$1</f>
        <v>3415909.672566372</v>
      </c>
      <c r="BA33" s="429">
        <f>PFS_SalesOverview_InTax[[#This Row],[MD GMV]]/$F$1</f>
        <v>4459628.3893805314</v>
      </c>
      <c r="BB33" s="94">
        <f>PFS_SalesOverview_ExclTax[[#This Row],[MD GMV]]/PFS_SalesOverview_ExclTax[[#This Row],[GMV]]</f>
        <v>0.70833123619005856</v>
      </c>
      <c r="BC33" s="429">
        <f>PFS_SalesOverview_InTax[[#This Row],[GMV_TGT]]/$F$1</f>
        <v>4580201.7699115053</v>
      </c>
      <c r="BD33" s="429">
        <f>PFS_SalesOverview_InTax[[#This Row],[NET_TGT]]/$F$1</f>
        <v>2290100.8849557526</v>
      </c>
      <c r="BE33" s="430">
        <f>PFS_SalesOverview_InTax[[#This Row],[TRAFFIC_TGT]]</f>
        <v>589000</v>
      </c>
      <c r="BF33" s="431">
        <f>PFS_SalesOverview_InTax[[#This Row],[BUYERS_TGT]]</f>
        <v>1140</v>
      </c>
      <c r="BG33" s="104">
        <f>PFS_SalesOverview_InTax[[#This Row],[CVR_TGT]]</f>
        <v>1.9354838709677419E-3</v>
      </c>
      <c r="BH33" s="431">
        <f>PFS_SalesOverview_InTax[[#This Row],[ATV_TGT]]/$F$1</f>
        <v>4017.7208507995651</v>
      </c>
      <c r="BI33" s="432">
        <f>PFS_SalesOverview_InTax[[#This Row],[UPT_TGT]]</f>
        <v>1.0842105263157895</v>
      </c>
      <c r="BJ33" s="94">
        <f>PFS_SalesOverview_InTax[[#This Row],[RRC_TGT]]</f>
        <v>0.5</v>
      </c>
      <c r="BK33" s="431">
        <f>PFS_SalesOverview_InTax[[#This Row],[UNITS_TGT]]</f>
        <v>1236</v>
      </c>
      <c r="BL33" s="28" t="str">
        <f>_xlfn.XLOOKUP(PFS_SalesOverview_ExclTax[[#This Row],[DATE]],全店核心数据_bymonth[开始日期],全店核心数据_bymonth[jda日历.PayYear],"")</f>
        <v>BU24</v>
      </c>
      <c r="BO33" s="28"/>
    </row>
    <row r="34" spans="5:82" ht="14.5" customHeight="1" x14ac:dyDescent="0.3">
      <c r="E34" s="428">
        <v>45170</v>
      </c>
      <c r="F34" s="431">
        <f>SUMIFS(全店核心数据_bymonth[支付金额],全店核心数据_bymonth[开始日期],$E34)</f>
        <v>957144.51</v>
      </c>
      <c r="G34" s="431">
        <f>PFS_SalesOverview_InTax[[#This Row],[GMV]]-PFS_SalesOverview_InTax[[#This Row],[RR]]</f>
        <v>513472.51</v>
      </c>
      <c r="H34" s="431">
        <f>SUMIFS(全店核心数据_bymonth[访客数],全店核心数据_bymonth[开始日期],$E34)</f>
        <v>203538</v>
      </c>
      <c r="I34" s="431">
        <f>SUMIFS(全店核心数据_bymonth[支付买家数],全店核心数据_bymonth[开始日期],$E34)</f>
        <v>179</v>
      </c>
      <c r="J34" s="431">
        <f>SUMIFS(全店核心数据_bymonth[支付件数],全店核心数据_bymonth[开始日期],$E34)</f>
        <v>219</v>
      </c>
      <c r="K34" s="92">
        <f>PFS_SalesOverview_InTax[[#This Row],[Buyers]]/PFS_SalesOverview_InTax[[#This Row],[UV]]</f>
        <v>8.7944265935599247E-4</v>
      </c>
      <c r="L34" s="431">
        <f>PFS_SalesOverview_InTax[[#This Row],[GMV]]/PFS_SalesOverview_InTax[[#This Row],[Buyers]]</f>
        <v>5347.1760335195531</v>
      </c>
      <c r="M34" s="431">
        <f>PFS_SalesOverview_InTax[[#This Row],[GMV]]/PFS_SalesOverview_InTax[[#This Row],[Units]]</f>
        <v>4370.522876712329</v>
      </c>
      <c r="N34" s="432">
        <f>PFS_SalesOverview_InTax[[#This Row],[Units]]/PFS_SalesOverview_InTax[[#This Row],[Buyers]]</f>
        <v>1.223463687150838</v>
      </c>
      <c r="O34" s="93">
        <f>PFS_SalesOverview_InTax[[#This Row],[RR]]/PFS_SalesOverview_InTax[[#This Row],[GMV]]</f>
        <v>0.46353710998143843</v>
      </c>
      <c r="P34" s="431">
        <f>SUMIFS(全店核心数据_bymonth[支付退款金额],全店核心数据_bymonth[开始日期],$E34)</f>
        <v>443672</v>
      </c>
      <c r="Q34" s="431">
        <f>SUMIFS(全店核心数据_bymonth[md_gmv],全店核心数据_bymonth[开始日期],$E34)</f>
        <v>43749.5</v>
      </c>
      <c r="R34" s="94">
        <f>PFS_SalesOverview_InTax[[#This Row],[MD GMV]]/PFS_SalesOverview_InTax[[#This Row],[GMV]]</f>
        <v>4.5708353903633633E-2</v>
      </c>
      <c r="S34" s="431">
        <f>SUMIFS(全店核心数据_bymonth[md_net],全店核心数据_bymonth[开始日期],$E34)</f>
        <v>25054.5</v>
      </c>
      <c r="T34" s="94">
        <f>PFS_SalesOverview_InTax[[#This Row],[MD NET]]/PFS_SalesOverview_InTax[[#This Row],[NET]]</f>
        <v>4.8794238273826965E-2</v>
      </c>
      <c r="U34" s="431">
        <f>SUMIFS(目标表[gmv],目标表[Date],"&gt;="&amp;$E34,目标表[Date],"&lt;="&amp;EOMONTH($E34,0),目标表[channel],"PFS")</f>
        <v>1750000</v>
      </c>
      <c r="V34" s="431">
        <f>SUMIFS(目标表[net],目标表[Date],"&gt;="&amp;$E34,目标表[Date],"&lt;="&amp;EOMONTH($E34,0),目标表[channel],"PFS")</f>
        <v>962500</v>
      </c>
      <c r="W34" s="431">
        <f>SUMIFS(目标表[uv],目标表[Date],"&gt;="&amp;$E34,目标表[Date],"&lt;="&amp;EOMONTH($E34,0),目标表[channel],"PFS")</f>
        <v>318000</v>
      </c>
      <c r="X34" s="431">
        <f>SUMIFS(目标表[buyers],目标表[Date],"&gt;="&amp;$E34,目标表[Date],"&lt;="&amp;EOMONTH($E34,0),目标表[channel],"PFS")</f>
        <v>320</v>
      </c>
      <c r="Y34" s="378">
        <f>PFS_SalesOverview_InTax[[#This Row],[BUYERS_TGT]]/PFS_SalesOverview_InTax[[#This Row],[TRAFFIC_TGT]]</f>
        <v>1.0062893081761006E-3</v>
      </c>
      <c r="Z34" s="379">
        <f>PFS_SalesOverview_InTax[[#This Row],[GMV_TGT]]/PFS_SalesOverview_InTax[[#This Row],[BUYERS_TGT]]</f>
        <v>5468.75</v>
      </c>
      <c r="AA34" s="380">
        <f>PFS_SalesOverview_InTax[[#This Row],[UNITS_TGT]]/PFS_SalesOverview_InTax[[#This Row],[BUYERS_TGT]]</f>
        <v>1.09375</v>
      </c>
      <c r="AB34" s="94">
        <f>1-PFS_SalesOverview_InTax[[#This Row],[NET_TGT]]/PFS_SalesOverview_InTax[[#This Row],[GMV_TGT]]</f>
        <v>0.44999999999999996</v>
      </c>
      <c r="AC34" s="381">
        <f>SUMIFS(目标表[gmv_units],目标表[Date],"&gt;="&amp;$E34,目标表[Date],"&lt;="&amp;EOMONTH($E34,0),目标表[channel],"PFS")</f>
        <v>350</v>
      </c>
      <c r="AD34" s="105">
        <f>PFS_SalesOverview_InTax[[#This Row],[GMV]]/PFS_SalesOverview_InTax[[#This Row],[GMV_TGT]]</f>
        <v>0.54693972000000002</v>
      </c>
      <c r="AE34" s="105">
        <f>PFS_SalesOverview_InTax[[#This Row],[NET]]/PFS_SalesOverview_InTax[[#This Row],[NET_TGT]]</f>
        <v>0.5334779324675325</v>
      </c>
      <c r="AF34" s="105">
        <f>PFS_SalesOverview_InTax[[#This Row],[UV]]/PFS_SalesOverview_InTax[[#This Row],[TRAFFIC_TGT]]</f>
        <v>0.64005660377358486</v>
      </c>
      <c r="AG34" s="105">
        <f>PFS_SalesOverview_InTax[[#This Row],[Buyers]]/PFS_SalesOverview_InTax[[#This Row],[BUYERS_TGT]]</f>
        <v>0.55937499999999996</v>
      </c>
      <c r="AH34" s="105">
        <f>PFS_SalesOverview_InTax[[#This Row],[CR]]/PFS_SalesOverview_InTax[[#This Row],[CVR_TGT]]</f>
        <v>0.87394614273501758</v>
      </c>
      <c r="AI34" s="105">
        <f>PFS_SalesOverview_InTax[[#This Row],[ATV]]/PFS_SalesOverview_InTax[[#This Row],[ATV_TGT]]</f>
        <v>0.9777693318435754</v>
      </c>
      <c r="AJ34" s="105">
        <f>PFS_SalesOverview_InTax[[#This Row],[UPT]]/PFS_SalesOverview_InTax[[#This Row],[UPT_TGT]]</f>
        <v>1.1185953711093375</v>
      </c>
      <c r="AK34" s="105">
        <f>PFS_SalesOverview_InTax[[#This Row],[RRC]]/PFS_SalesOverview_InTax[[#This Row],[RRC_TGT]]</f>
        <v>1.0300824666254189</v>
      </c>
      <c r="AL34" s="28" t="str">
        <f>_xlfn.XLOOKUP(PFS_SalesOverview_InTax[[#This Row],[DATE]],全店核心数据_bymonth[开始日期],全店核心数据_bymonth[jda日历.PayYear],"")</f>
        <v>BU24</v>
      </c>
      <c r="AO34" s="428">
        <f>PFS_SalesOverview_InTax[[#This Row],[DATE]]</f>
        <v>45170</v>
      </c>
      <c r="AP34" s="429">
        <f>PFS_SalesOverview_InTax[[#This Row],[GMV]]/$F$1</f>
        <v>847030.53982300893</v>
      </c>
      <c r="AQ34" s="429">
        <f>PFS_SalesOverview_ExclTax[[#This Row],[GMV]]-PFS_SalesOverview_ExclTax[[#This Row],[RR]]</f>
        <v>454400.45132743369</v>
      </c>
      <c r="AR34" s="430">
        <f>PFS_SalesOverview_InTax[[#This Row],[UV]]</f>
        <v>203538</v>
      </c>
      <c r="AS34" s="431">
        <f>PFS_SalesOverview_InTax[[#This Row],[Buyers]]</f>
        <v>179</v>
      </c>
      <c r="AT34" s="431">
        <f>PFS_SalesOverview_InTax[[#This Row],[Units]]</f>
        <v>219</v>
      </c>
      <c r="AU34" s="92">
        <f>PFS_SalesOverview_ExclTax[[#This Row],[Buyers]]/PFS_SalesOverview_ExclTax[[#This Row],[UV]]</f>
        <v>8.7944265935599247E-4</v>
      </c>
      <c r="AV34" s="431">
        <f>PFS_SalesOverview_ExclTax[[#This Row],[GMV]]/PFS_SalesOverview_ExclTax[[#This Row],[Buyers]]</f>
        <v>4732.014188955357</v>
      </c>
      <c r="AW34" s="431">
        <f>PFS_SalesOverview_ExclTax[[#This Row],[GMV]]/PFS_SalesOverview_ExclTax[[#This Row],[Units]]</f>
        <v>3867.7193599224152</v>
      </c>
      <c r="AX34" s="432">
        <f>PFS_SalesOverview_ExclTax[[#This Row],[Units]]/PFS_SalesOverview_ExclTax[[#This Row],[Buyers]]</f>
        <v>1.223463687150838</v>
      </c>
      <c r="AY34" s="93">
        <f>PFS_SalesOverview_ExclTax[[#This Row],[RR]]/PFS_SalesOverview_ExclTax[[#This Row],[GMV]]</f>
        <v>0.46353710998143843</v>
      </c>
      <c r="AZ34" s="429">
        <f>PFS_SalesOverview_InTax[[#This Row],[RR]]/$F$1</f>
        <v>392630.08849557524</v>
      </c>
      <c r="BA34" s="429">
        <f>PFS_SalesOverview_InTax[[#This Row],[MD GMV]]/$F$1</f>
        <v>38716.371681415934</v>
      </c>
      <c r="BB34" s="94">
        <f>PFS_SalesOverview_ExclTax[[#This Row],[MD GMV]]/PFS_SalesOverview_ExclTax[[#This Row],[GMV]]</f>
        <v>4.5708353903633633E-2</v>
      </c>
      <c r="BC34" s="429">
        <f>PFS_SalesOverview_InTax[[#This Row],[GMV_TGT]]/$F$1</f>
        <v>1548672.5663716816</v>
      </c>
      <c r="BD34" s="429">
        <f>PFS_SalesOverview_InTax[[#This Row],[NET_TGT]]/$F$1</f>
        <v>851769.91150442488</v>
      </c>
      <c r="BE34" s="430">
        <f>PFS_SalesOverview_InTax[[#This Row],[TRAFFIC_TGT]]</f>
        <v>318000</v>
      </c>
      <c r="BF34" s="431">
        <f>PFS_SalesOverview_InTax[[#This Row],[BUYERS_TGT]]</f>
        <v>320</v>
      </c>
      <c r="BG34" s="104">
        <f>PFS_SalesOverview_InTax[[#This Row],[CVR_TGT]]</f>
        <v>1.0062893081761006E-3</v>
      </c>
      <c r="BH34" s="431">
        <f>PFS_SalesOverview_InTax[[#This Row],[ATV_TGT]]/$F$1</f>
        <v>4839.6017699115046</v>
      </c>
      <c r="BI34" s="432">
        <f>PFS_SalesOverview_InTax[[#This Row],[UPT_TGT]]</f>
        <v>1.09375</v>
      </c>
      <c r="BJ34" s="94">
        <f>PFS_SalesOverview_InTax[[#This Row],[RRC_TGT]]</f>
        <v>0.44999999999999996</v>
      </c>
      <c r="BK34" s="431">
        <f>PFS_SalesOverview_InTax[[#This Row],[UNITS_TGT]]</f>
        <v>350</v>
      </c>
      <c r="BL34" s="28" t="str">
        <f>_xlfn.XLOOKUP(PFS_SalesOverview_ExclTax[[#This Row],[DATE]],全店核心数据_bymonth[开始日期],全店核心数据_bymonth[jda日历.PayYear],"")</f>
        <v>BU24</v>
      </c>
      <c r="BO34" s="28"/>
    </row>
    <row r="35" spans="5:82" ht="14.5" customHeight="1" x14ac:dyDescent="0.3">
      <c r="E35" s="428">
        <v>45139</v>
      </c>
      <c r="F35" s="431">
        <f>SUMIFS(全店核心数据_bymonth[支付金额],全店核心数据_bymonth[开始日期],$E35)</f>
        <v>1092734.51</v>
      </c>
      <c r="G35" s="431">
        <f>PFS_SalesOverview_InTax[[#This Row],[GMV]]-PFS_SalesOverview_InTax[[#This Row],[RR]]</f>
        <v>586702.51</v>
      </c>
      <c r="H35" s="431">
        <f>SUMIFS(全店核心数据_bymonth[访客数],全店核心数据_bymonth[开始日期],$E35)</f>
        <v>211110</v>
      </c>
      <c r="I35" s="431">
        <f>SUMIFS(全店核心数据_bymonth[支付买家数],全店核心数据_bymonth[开始日期],$E35)</f>
        <v>242</v>
      </c>
      <c r="J35" s="431">
        <f>SUMIFS(全店核心数据_bymonth[支付件数],全店核心数据_bymonth[开始日期],$E35)</f>
        <v>305</v>
      </c>
      <c r="K35" s="92">
        <f>PFS_SalesOverview_InTax[[#This Row],[Buyers]]/PFS_SalesOverview_InTax[[#This Row],[UV]]</f>
        <v>1.1463218227464355E-3</v>
      </c>
      <c r="L35" s="431">
        <f>PFS_SalesOverview_InTax[[#This Row],[GMV]]/PFS_SalesOverview_InTax[[#This Row],[Buyers]]</f>
        <v>4515.4318595041323</v>
      </c>
      <c r="M35" s="431">
        <f>PFS_SalesOverview_InTax[[#This Row],[GMV]]/PFS_SalesOverview_InTax[[#This Row],[Units]]</f>
        <v>3582.7360983606559</v>
      </c>
      <c r="N35" s="432">
        <f>PFS_SalesOverview_InTax[[#This Row],[Units]]/PFS_SalesOverview_InTax[[#This Row],[Buyers]]</f>
        <v>1.2603305785123966</v>
      </c>
      <c r="O35" s="93">
        <f>PFS_SalesOverview_InTax[[#This Row],[RR]]/PFS_SalesOverview_InTax[[#This Row],[GMV]]</f>
        <v>0.46308778149598295</v>
      </c>
      <c r="P35" s="431">
        <f>SUMIFS(全店核心数据_bymonth[支付退款金额],全店核心数据_bymonth[开始日期],$E35)</f>
        <v>506032</v>
      </c>
      <c r="Q35" s="431">
        <f>SUMIFS(全店核心数据_bymonth[md_gmv],全店核心数据_bymonth[开始日期],$E35)</f>
        <v>207105.31</v>
      </c>
      <c r="R35" s="94">
        <f>PFS_SalesOverview_InTax[[#This Row],[MD GMV]]/PFS_SalesOverview_InTax[[#This Row],[GMV]]</f>
        <v>0.18952939447295392</v>
      </c>
      <c r="S35" s="431">
        <f>SUMIFS(全店核心数据_bymonth[md_net],全店核心数据_bymonth[开始日期],$E35)</f>
        <v>118162.5</v>
      </c>
      <c r="T35" s="94">
        <f>PFS_SalesOverview_InTax[[#This Row],[MD NET]]/PFS_SalesOverview_InTax[[#This Row],[NET]]</f>
        <v>0.20140104735532835</v>
      </c>
      <c r="U35" s="431">
        <f>SUMIFS(目标表[gmv],目标表[Date],"&gt;="&amp;$E35,目标表[Date],"&lt;="&amp;EOMONTH($E35,0),目标表[channel],"PFS")</f>
        <v>2400000</v>
      </c>
      <c r="V35" s="431">
        <f>SUMIFS(目标表[net],目标表[Date],"&gt;="&amp;$E35,目标表[Date],"&lt;="&amp;EOMONTH($E35,0),目标表[channel],"PFS")</f>
        <v>1200000</v>
      </c>
      <c r="W35" s="431">
        <f>SUMIFS(目标表[uv],目标表[Date],"&gt;="&amp;$E35,目标表[Date],"&lt;="&amp;EOMONTH($E35,0),目标表[channel],"PFS")</f>
        <v>355500</v>
      </c>
      <c r="X35" s="431">
        <f>SUMIFS(目标表[buyers],目标表[Date],"&gt;="&amp;$E35,目标表[Date],"&lt;="&amp;EOMONTH($E35,0),目标表[channel],"PFS")</f>
        <v>530</v>
      </c>
      <c r="Y35" s="378">
        <f>PFS_SalesOverview_InTax[[#This Row],[BUYERS_TGT]]/PFS_SalesOverview_InTax[[#This Row],[TRAFFIC_TGT]]</f>
        <v>1.490857946554149E-3</v>
      </c>
      <c r="Z35" s="379">
        <f>PFS_SalesOverview_InTax[[#This Row],[GMV_TGT]]/PFS_SalesOverview_InTax[[#This Row],[BUYERS_TGT]]</f>
        <v>4528.3018867924529</v>
      </c>
      <c r="AA35" s="380">
        <f>PFS_SalesOverview_InTax[[#This Row],[UNITS_TGT]]/PFS_SalesOverview_InTax[[#This Row],[BUYERS_TGT]]</f>
        <v>1.1377358490566039</v>
      </c>
      <c r="AB35" s="94">
        <f>1-PFS_SalesOverview_InTax[[#This Row],[NET_TGT]]/PFS_SalesOverview_InTax[[#This Row],[GMV_TGT]]</f>
        <v>0.5</v>
      </c>
      <c r="AC35" s="381">
        <f>SUMIFS(目标表[gmv_units],目标表[Date],"&gt;="&amp;$E35,目标表[Date],"&lt;="&amp;EOMONTH($E35,0),目标表[channel],"PFS")</f>
        <v>603</v>
      </c>
      <c r="AD35" s="105">
        <f>PFS_SalesOverview_InTax[[#This Row],[GMV]]/PFS_SalesOverview_InTax[[#This Row],[GMV_TGT]]</f>
        <v>0.45530604583333334</v>
      </c>
      <c r="AE35" s="105">
        <f>PFS_SalesOverview_InTax[[#This Row],[NET]]/PFS_SalesOverview_InTax[[#This Row],[NET_TGT]]</f>
        <v>0.48891875833333331</v>
      </c>
      <c r="AF35" s="105">
        <f>PFS_SalesOverview_InTax[[#This Row],[UV]]/PFS_SalesOverview_InTax[[#This Row],[TRAFFIC_TGT]]</f>
        <v>0.59383966244725739</v>
      </c>
      <c r="AG35" s="105">
        <f>PFS_SalesOverview_InTax[[#This Row],[Buyers]]/PFS_SalesOverview_InTax[[#This Row],[BUYERS_TGT]]</f>
        <v>0.45660377358490567</v>
      </c>
      <c r="AH35" s="105">
        <f>PFS_SalesOverview_InTax[[#This Row],[CR]]/PFS_SalesOverview_InTax[[#This Row],[CVR_TGT]]</f>
        <v>0.76890076978558086</v>
      </c>
      <c r="AI35" s="105">
        <f>PFS_SalesOverview_InTax[[#This Row],[ATV]]/PFS_SalesOverview_InTax[[#This Row],[ATV_TGT]]</f>
        <v>0.99715786897382919</v>
      </c>
      <c r="AJ35" s="105">
        <f>PFS_SalesOverview_InTax[[#This Row],[UPT]]/PFS_SalesOverview_InTax[[#This Row],[UPT_TGT]]</f>
        <v>1.1077532447953071</v>
      </c>
      <c r="AK35" s="105">
        <f>PFS_SalesOverview_InTax[[#This Row],[RRC]]/PFS_SalesOverview_InTax[[#This Row],[RRC_TGT]]</f>
        <v>0.92617556299196591</v>
      </c>
      <c r="AL35" s="28" t="str">
        <f>_xlfn.XLOOKUP(PFS_SalesOverview_InTax[[#This Row],[DATE]],全店核心数据_bymonth[开始日期],全店核心数据_bymonth[jda日历.PayYear],"")</f>
        <v>BU24</v>
      </c>
      <c r="AO35" s="428">
        <f>PFS_SalesOverview_InTax[[#This Row],[DATE]]</f>
        <v>45139</v>
      </c>
      <c r="AP35" s="429">
        <f>PFS_SalesOverview_InTax[[#This Row],[GMV]]/$F$1</f>
        <v>967021.69026548683</v>
      </c>
      <c r="AQ35" s="429">
        <f>PFS_SalesOverview_ExclTax[[#This Row],[GMV]]-PFS_SalesOverview_ExclTax[[#This Row],[RR]]</f>
        <v>519205.76106194698</v>
      </c>
      <c r="AR35" s="430">
        <f>PFS_SalesOverview_InTax[[#This Row],[UV]]</f>
        <v>211110</v>
      </c>
      <c r="AS35" s="431">
        <f>PFS_SalesOverview_InTax[[#This Row],[Buyers]]</f>
        <v>242</v>
      </c>
      <c r="AT35" s="431">
        <f>PFS_SalesOverview_InTax[[#This Row],[Units]]</f>
        <v>305</v>
      </c>
      <c r="AU35" s="92">
        <f>PFS_SalesOverview_ExclTax[[#This Row],[Buyers]]/PFS_SalesOverview_ExclTax[[#This Row],[UV]]</f>
        <v>1.1463218227464355E-3</v>
      </c>
      <c r="AV35" s="431">
        <f>PFS_SalesOverview_ExclTax[[#This Row],[GMV]]/PFS_SalesOverview_ExclTax[[#This Row],[Buyers]]</f>
        <v>3995.9573977912678</v>
      </c>
      <c r="AW35" s="431">
        <f>PFS_SalesOverview_ExclTax[[#This Row],[GMV]]/PFS_SalesOverview_ExclTax[[#This Row],[Units]]</f>
        <v>3170.5629189032356</v>
      </c>
      <c r="AX35" s="432">
        <f>PFS_SalesOverview_ExclTax[[#This Row],[Units]]/PFS_SalesOverview_ExclTax[[#This Row],[Buyers]]</f>
        <v>1.2603305785123966</v>
      </c>
      <c r="AY35" s="93">
        <f>PFS_SalesOverview_ExclTax[[#This Row],[RR]]/PFS_SalesOverview_ExclTax[[#This Row],[GMV]]</f>
        <v>0.46308778149598295</v>
      </c>
      <c r="AZ35" s="429">
        <f>PFS_SalesOverview_InTax[[#This Row],[RR]]/$F$1</f>
        <v>447815.92920353985</v>
      </c>
      <c r="BA35" s="429">
        <f>PFS_SalesOverview_InTax[[#This Row],[MD GMV]]/$F$1</f>
        <v>183279.0353982301</v>
      </c>
      <c r="BB35" s="94">
        <f>PFS_SalesOverview_ExclTax[[#This Row],[MD GMV]]/PFS_SalesOverview_ExclTax[[#This Row],[GMV]]</f>
        <v>0.18952939447295392</v>
      </c>
      <c r="BC35" s="429">
        <f>PFS_SalesOverview_InTax[[#This Row],[GMV_TGT]]/$F$1</f>
        <v>2123893.8053097348</v>
      </c>
      <c r="BD35" s="429">
        <f>PFS_SalesOverview_InTax[[#This Row],[NET_TGT]]/$F$1</f>
        <v>1061946.9026548674</v>
      </c>
      <c r="BE35" s="430">
        <f>PFS_SalesOverview_InTax[[#This Row],[TRAFFIC_TGT]]</f>
        <v>355500</v>
      </c>
      <c r="BF35" s="431">
        <f>PFS_SalesOverview_InTax[[#This Row],[BUYERS_TGT]]</f>
        <v>530</v>
      </c>
      <c r="BG35" s="104">
        <f>PFS_SalesOverview_InTax[[#This Row],[CVR_TGT]]</f>
        <v>1.490857946554149E-3</v>
      </c>
      <c r="BH35" s="431">
        <f>PFS_SalesOverview_InTax[[#This Row],[ATV_TGT]]/$F$1</f>
        <v>4007.3468024711979</v>
      </c>
      <c r="BI35" s="432">
        <f>PFS_SalesOverview_InTax[[#This Row],[UPT_TGT]]</f>
        <v>1.1377358490566039</v>
      </c>
      <c r="BJ35" s="94">
        <f>PFS_SalesOverview_InTax[[#This Row],[RRC_TGT]]</f>
        <v>0.5</v>
      </c>
      <c r="BK35" s="431">
        <f>PFS_SalesOverview_InTax[[#This Row],[UNITS_TGT]]</f>
        <v>603</v>
      </c>
      <c r="BL35" s="28" t="str">
        <f>_xlfn.XLOOKUP(PFS_SalesOverview_ExclTax[[#This Row],[DATE]],全店核心数据_bymonth[开始日期],全店核心数据_bymonth[jda日历.PayYear],"")</f>
        <v>BU24</v>
      </c>
      <c r="BO35" s="28"/>
    </row>
    <row r="36" spans="5:82" ht="14.5" customHeight="1" x14ac:dyDescent="0.3">
      <c r="E36" s="428">
        <v>45108</v>
      </c>
      <c r="F36" s="431">
        <f>SUMIFS(全店核心数据_bymonth[支付金额],全店核心数据_bymonth[开始日期],$E36)</f>
        <v>1173503</v>
      </c>
      <c r="G36" s="431">
        <f>PFS_SalesOverview_InTax[[#This Row],[GMV]]-PFS_SalesOverview_InTax[[#This Row],[RR]]</f>
        <v>695642.31</v>
      </c>
      <c r="H36" s="431">
        <f>SUMIFS(全店核心数据_bymonth[访客数],全店核心数据_bymonth[开始日期],$E36)</f>
        <v>213515</v>
      </c>
      <c r="I36" s="431">
        <f>SUMIFS(全店核心数据_bymonth[支付买家数],全店核心数据_bymonth[开始日期],$E36)</f>
        <v>284</v>
      </c>
      <c r="J36" s="431">
        <f>SUMIFS(全店核心数据_bymonth[支付件数],全店核心数据_bymonth[开始日期],$E36)</f>
        <v>362</v>
      </c>
      <c r="K36" s="92">
        <f>PFS_SalesOverview_InTax[[#This Row],[Buyers]]/PFS_SalesOverview_InTax[[#This Row],[UV]]</f>
        <v>1.3301173219680115E-3</v>
      </c>
      <c r="L36" s="431">
        <f>PFS_SalesOverview_InTax[[#This Row],[GMV]]/PFS_SalesOverview_InTax[[#This Row],[Buyers]]</f>
        <v>4132.0528169014087</v>
      </c>
      <c r="M36" s="431">
        <f>PFS_SalesOverview_InTax[[#This Row],[GMV]]/PFS_SalesOverview_InTax[[#This Row],[Units]]</f>
        <v>3241.720994475138</v>
      </c>
      <c r="N36" s="432">
        <f>PFS_SalesOverview_InTax[[#This Row],[Units]]/PFS_SalesOverview_InTax[[#This Row],[Buyers]]</f>
        <v>1.2746478873239437</v>
      </c>
      <c r="O36" s="93">
        <f>PFS_SalesOverview_InTax[[#This Row],[RR]]/PFS_SalesOverview_InTax[[#This Row],[GMV]]</f>
        <v>0.40720875021197217</v>
      </c>
      <c r="P36" s="431">
        <f>SUMIFS(全店核心数据_bymonth[支付退款金额],全店核心数据_bymonth[开始日期],$E36)</f>
        <v>477860.69</v>
      </c>
      <c r="Q36" s="431">
        <f>SUMIFS(全店核心数据_bymonth[md_gmv],全店核心数据_bymonth[开始日期],$E36)</f>
        <v>439998</v>
      </c>
      <c r="R36" s="94">
        <f>PFS_SalesOverview_InTax[[#This Row],[MD GMV]]/PFS_SalesOverview_InTax[[#This Row],[GMV]]</f>
        <v>0.37494407768876603</v>
      </c>
      <c r="S36" s="431">
        <f>SUMIFS(全店核心数据_bymonth[md_net],全店核心数据_bymonth[开始日期],$E36)</f>
        <v>258962.31</v>
      </c>
      <c r="T36" s="94">
        <f>PFS_SalesOverview_InTax[[#This Row],[MD NET]]/PFS_SalesOverview_InTax[[#This Row],[NET]]</f>
        <v>0.37226359909017032</v>
      </c>
      <c r="U36" s="431">
        <f>SUMIFS(目标表[gmv],目标表[Date],"&gt;="&amp;$E36,目标表[Date],"&lt;="&amp;EOMONTH($E36,0),目标表[channel],"PFS")</f>
        <v>2000000</v>
      </c>
      <c r="V36" s="431">
        <f>SUMIFS(目标表[net],目标表[Date],"&gt;="&amp;$E36,目标表[Date],"&lt;="&amp;EOMONTH($E36,0),目标表[channel],"PFS")</f>
        <v>1000000</v>
      </c>
      <c r="W36" s="431">
        <f>SUMIFS(目标表[uv],目标表[Date],"&gt;="&amp;$E36,目标表[Date],"&lt;="&amp;EOMONTH($E36,0),目标表[channel],"PFS")</f>
        <v>423000</v>
      </c>
      <c r="X36" s="431">
        <f>SUMIFS(目标表[buyers],目标表[Date],"&gt;="&amp;$E36,目标表[Date],"&lt;="&amp;EOMONTH($E36,0),目标表[channel],"PFS")</f>
        <v>576</v>
      </c>
      <c r="Y36" s="378">
        <f>PFS_SalesOverview_InTax[[#This Row],[BUYERS_TGT]]/PFS_SalesOverview_InTax[[#This Row],[TRAFFIC_TGT]]</f>
        <v>1.3617021276595745E-3</v>
      </c>
      <c r="Z36" s="379">
        <f>PFS_SalesOverview_InTax[[#This Row],[GMV_TGT]]/PFS_SalesOverview_InTax[[#This Row],[BUYERS_TGT]]</f>
        <v>3472.2222222222222</v>
      </c>
      <c r="AA36" s="380">
        <f>PFS_SalesOverview_InTax[[#This Row],[UNITS_TGT]]/PFS_SalesOverview_InTax[[#This Row],[BUYERS_TGT]]</f>
        <v>1.1649305555555556</v>
      </c>
      <c r="AB36" s="94">
        <f>1-PFS_SalesOverview_InTax[[#This Row],[NET_TGT]]/PFS_SalesOverview_InTax[[#This Row],[GMV_TGT]]</f>
        <v>0.5</v>
      </c>
      <c r="AC36" s="381">
        <f>SUMIFS(目标表[gmv_units],目标表[Date],"&gt;="&amp;$E36,目标表[Date],"&lt;="&amp;EOMONTH($E36,0),目标表[channel],"PFS")</f>
        <v>671</v>
      </c>
      <c r="AD36" s="105">
        <f>PFS_SalesOverview_InTax[[#This Row],[GMV]]/PFS_SalesOverview_InTax[[#This Row],[GMV_TGT]]</f>
        <v>0.58675149999999998</v>
      </c>
      <c r="AE36" s="105">
        <f>PFS_SalesOverview_InTax[[#This Row],[NET]]/PFS_SalesOverview_InTax[[#This Row],[NET_TGT]]</f>
        <v>0.6956423100000001</v>
      </c>
      <c r="AF36" s="105">
        <f>PFS_SalesOverview_InTax[[#This Row],[UV]]/PFS_SalesOverview_InTax[[#This Row],[TRAFFIC_TGT]]</f>
        <v>0.50476359338061461</v>
      </c>
      <c r="AG36" s="105">
        <f>PFS_SalesOverview_InTax[[#This Row],[Buyers]]/PFS_SalesOverview_InTax[[#This Row],[BUYERS_TGT]]</f>
        <v>0.49305555555555558</v>
      </c>
      <c r="AH36" s="105">
        <f>PFS_SalesOverview_InTax[[#This Row],[CR]]/PFS_SalesOverview_InTax[[#This Row],[CVR_TGT]]</f>
        <v>0.97680490832025846</v>
      </c>
      <c r="AI36" s="105">
        <f>PFS_SalesOverview_InTax[[#This Row],[ATV]]/PFS_SalesOverview_InTax[[#This Row],[ATV_TGT]]</f>
        <v>1.1900312112676057</v>
      </c>
      <c r="AJ36" s="105">
        <f>PFS_SalesOverview_InTax[[#This Row],[UPT]]/PFS_SalesOverview_InTax[[#This Row],[UPT_TGT]]</f>
        <v>1.0941835813689889</v>
      </c>
      <c r="AK36" s="105">
        <f>PFS_SalesOverview_InTax[[#This Row],[RRC]]/PFS_SalesOverview_InTax[[#This Row],[RRC_TGT]]</f>
        <v>0.81441750042394434</v>
      </c>
      <c r="AL36" s="28" t="str">
        <f>_xlfn.XLOOKUP(PFS_SalesOverview_InTax[[#This Row],[DATE]],全店核心数据_bymonth[开始日期],全店核心数据_bymonth[jda日历.PayYear],"")</f>
        <v>BU24</v>
      </c>
      <c r="AO36" s="428">
        <f>PFS_SalesOverview_InTax[[#This Row],[DATE]]</f>
        <v>45108</v>
      </c>
      <c r="AP36" s="429">
        <f>PFS_SalesOverview_InTax[[#This Row],[GMV]]/$F$1</f>
        <v>1038498.2300884956</v>
      </c>
      <c r="AQ36" s="429">
        <f>PFS_SalesOverview_ExclTax[[#This Row],[GMV]]-PFS_SalesOverview_ExclTax[[#This Row],[RR]]</f>
        <v>615612.66371681425</v>
      </c>
      <c r="AR36" s="430">
        <f>PFS_SalesOverview_InTax[[#This Row],[UV]]</f>
        <v>213515</v>
      </c>
      <c r="AS36" s="431">
        <f>PFS_SalesOverview_InTax[[#This Row],[Buyers]]</f>
        <v>284</v>
      </c>
      <c r="AT36" s="431">
        <f>PFS_SalesOverview_InTax[[#This Row],[Units]]</f>
        <v>362</v>
      </c>
      <c r="AU36" s="92">
        <f>PFS_SalesOverview_ExclTax[[#This Row],[Buyers]]/PFS_SalesOverview_ExclTax[[#This Row],[UV]]</f>
        <v>1.3301173219680115E-3</v>
      </c>
      <c r="AV36" s="431">
        <f>PFS_SalesOverview_ExclTax[[#This Row],[GMV]]/PFS_SalesOverview_ExclTax[[#This Row],[Buyers]]</f>
        <v>3656.6839087623084</v>
      </c>
      <c r="AW36" s="431">
        <f>PFS_SalesOverview_ExclTax[[#This Row],[GMV]]/PFS_SalesOverview_ExclTax[[#This Row],[Units]]</f>
        <v>2868.7796411284412</v>
      </c>
      <c r="AX36" s="432">
        <f>PFS_SalesOverview_ExclTax[[#This Row],[Units]]/PFS_SalesOverview_ExclTax[[#This Row],[Buyers]]</f>
        <v>1.2746478873239437</v>
      </c>
      <c r="AY36" s="93">
        <f>PFS_SalesOverview_ExclTax[[#This Row],[RR]]/PFS_SalesOverview_ExclTax[[#This Row],[GMV]]</f>
        <v>0.40720875021197223</v>
      </c>
      <c r="AZ36" s="429">
        <f>PFS_SalesOverview_InTax[[#This Row],[RR]]/$F$1</f>
        <v>422885.56637168146</v>
      </c>
      <c r="BA36" s="429">
        <f>PFS_SalesOverview_InTax[[#This Row],[MD GMV]]/$F$1</f>
        <v>389378.76106194692</v>
      </c>
      <c r="BB36" s="94">
        <f>PFS_SalesOverview_ExclTax[[#This Row],[MD GMV]]/PFS_SalesOverview_ExclTax[[#This Row],[GMV]]</f>
        <v>0.37494407768876603</v>
      </c>
      <c r="BC36" s="429">
        <f>PFS_SalesOverview_InTax[[#This Row],[GMV_TGT]]/$F$1</f>
        <v>1769911.504424779</v>
      </c>
      <c r="BD36" s="429">
        <f>PFS_SalesOverview_InTax[[#This Row],[NET_TGT]]/$F$1</f>
        <v>884955.75221238949</v>
      </c>
      <c r="BE36" s="430">
        <f>PFS_SalesOverview_InTax[[#This Row],[TRAFFIC_TGT]]</f>
        <v>423000</v>
      </c>
      <c r="BF36" s="431">
        <f>PFS_SalesOverview_InTax[[#This Row],[BUYERS_TGT]]</f>
        <v>576</v>
      </c>
      <c r="BG36" s="104">
        <f>PFS_SalesOverview_InTax[[#This Row],[CVR_TGT]]</f>
        <v>1.3617021276595745E-3</v>
      </c>
      <c r="BH36" s="431">
        <f>PFS_SalesOverview_InTax[[#This Row],[ATV_TGT]]/$F$1</f>
        <v>3072.7630285152413</v>
      </c>
      <c r="BI36" s="432">
        <f>PFS_SalesOverview_InTax[[#This Row],[UPT_TGT]]</f>
        <v>1.1649305555555556</v>
      </c>
      <c r="BJ36" s="94">
        <f>PFS_SalesOverview_InTax[[#This Row],[RRC_TGT]]</f>
        <v>0.5</v>
      </c>
      <c r="BK36" s="431">
        <f>PFS_SalesOverview_InTax[[#This Row],[UNITS_TGT]]</f>
        <v>671</v>
      </c>
      <c r="BL36" s="28" t="str">
        <f>_xlfn.XLOOKUP(PFS_SalesOverview_ExclTax[[#This Row],[DATE]],全店核心数据_bymonth[开始日期],全店核心数据_bymonth[jda日历.PayYear],"")</f>
        <v>BU24</v>
      </c>
    </row>
    <row r="37" spans="5:82" ht="14.5" customHeight="1" x14ac:dyDescent="0.3">
      <c r="E37" s="428">
        <v>45078</v>
      </c>
      <c r="F37" s="431">
        <f>SUMIFS(全店核心数据_bymonth[支付金额],全店核心数据_bymonth[开始日期],$E37)</f>
        <v>4854664.51</v>
      </c>
      <c r="G37" s="431">
        <f>PFS_SalesOverview_InTax[[#This Row],[GMV]]-PFS_SalesOverview_InTax[[#This Row],[RR]]</f>
        <v>2310624.9099999997</v>
      </c>
      <c r="H37" s="431">
        <f>SUMIFS(全店核心数据_bymonth[访客数],全店核心数据_bymonth[开始日期],$E37)</f>
        <v>433980</v>
      </c>
      <c r="I37" s="431">
        <f>SUMIFS(全店核心数据_bymonth[支付买家数],全店核心数据_bymonth[开始日期],$E37)</f>
        <v>1376</v>
      </c>
      <c r="J37" s="431">
        <f>SUMIFS(全店核心数据_bymonth[支付件数],全店核心数据_bymonth[开始日期],$E37)</f>
        <v>1765</v>
      </c>
      <c r="K37" s="92">
        <f>PFS_SalesOverview_InTax[[#This Row],[Buyers]]/PFS_SalesOverview_InTax[[#This Row],[UV]]</f>
        <v>3.1706530254850453E-3</v>
      </c>
      <c r="L37" s="431">
        <f>PFS_SalesOverview_InTax[[#This Row],[GMV]]/PFS_SalesOverview_InTax[[#This Row],[Buyers]]</f>
        <v>3528.0992078488371</v>
      </c>
      <c r="M37" s="431">
        <f>PFS_SalesOverview_InTax[[#This Row],[GMV]]/PFS_SalesOverview_InTax[[#This Row],[Units]]</f>
        <v>2750.5181359773369</v>
      </c>
      <c r="N37" s="432">
        <f>PFS_SalesOverview_InTax[[#This Row],[Units]]/PFS_SalesOverview_InTax[[#This Row],[Buyers]]</f>
        <v>1.2827034883720929</v>
      </c>
      <c r="O37" s="93">
        <f>PFS_SalesOverview_InTax[[#This Row],[RR]]/PFS_SalesOverview_InTax[[#This Row],[GMV]]</f>
        <v>0.52404024928181914</v>
      </c>
      <c r="P37" s="431">
        <f>SUMIFS(全店核心数据_bymonth[支付退款金额],全店核心数据_bymonth[开始日期],$E37)</f>
        <v>2544039.6</v>
      </c>
      <c r="Q37" s="431">
        <f>SUMIFS(全店核心数据_bymonth[md_gmv],全店核心数据_bymonth[开始日期],$E37)</f>
        <v>3243040.92</v>
      </c>
      <c r="R37" s="94">
        <f>PFS_SalesOverview_InTax[[#This Row],[MD GMV]]/PFS_SalesOverview_InTax[[#This Row],[GMV]]</f>
        <v>0.66802575405977949</v>
      </c>
      <c r="S37" s="431">
        <f>SUMIFS(全店核心数据_bymonth[md_net],全店核心数据_bymonth[开始日期],$E37)</f>
        <v>1645091.99</v>
      </c>
      <c r="T37" s="94">
        <f>PFS_SalesOverview_InTax[[#This Row],[MD NET]]/PFS_SalesOverview_InTax[[#This Row],[NET]]</f>
        <v>0.71196843022003087</v>
      </c>
      <c r="U37" s="431">
        <f>SUMIFS(目标表[gmv],目标表[Date],"&gt;="&amp;$E37,目标表[Date],"&lt;="&amp;EOMONTH($E37,0),目标表[channel],"PFS")</f>
        <v>5692420</v>
      </c>
      <c r="V37" s="431">
        <f>SUMIFS(目标表[net],目标表[Date],"&gt;="&amp;$E37,目标表[Date],"&lt;="&amp;EOMONTH($E37,0),目标表[channel],"PFS")</f>
        <v>2732362</v>
      </c>
      <c r="W37" s="431">
        <f>SUMIFS(目标表[uv],目标表[Date],"&gt;="&amp;$E37,目标表[Date],"&lt;="&amp;EOMONTH($E37,0),目标表[channel],"PFS")</f>
        <v>568000</v>
      </c>
      <c r="X37" s="431">
        <f>SUMIFS(目标表[buyers],目标表[Date],"&gt;="&amp;$E37,目标表[Date],"&lt;="&amp;EOMONTH($E37,0),目标表[channel],"PFS")</f>
        <v>1628</v>
      </c>
      <c r="Y37" s="378">
        <f>PFS_SalesOverview_InTax[[#This Row],[BUYERS_TGT]]/PFS_SalesOverview_InTax[[#This Row],[TRAFFIC_TGT]]</f>
        <v>2.8661971830985914E-3</v>
      </c>
      <c r="Z37" s="379">
        <f>PFS_SalesOverview_InTax[[#This Row],[GMV_TGT]]/PFS_SalesOverview_InTax[[#This Row],[BUYERS_TGT]]</f>
        <v>3496.5724815724816</v>
      </c>
      <c r="AA37" s="380">
        <f>PFS_SalesOverview_InTax[[#This Row],[UNITS_TGT]]/PFS_SalesOverview_InTax[[#This Row],[BUYERS_TGT]]</f>
        <v>1.164004914004914</v>
      </c>
      <c r="AB37" s="94">
        <f>1-PFS_SalesOverview_InTax[[#This Row],[NET_TGT]]/PFS_SalesOverview_InTax[[#This Row],[GMV_TGT]]</f>
        <v>0.51999992973111619</v>
      </c>
      <c r="AC37" s="381">
        <f>SUMIFS(目标表[gmv_units],目标表[Date],"&gt;="&amp;$E37,目标表[Date],"&lt;="&amp;EOMONTH($E37,0),目标表[channel],"PFS")</f>
        <v>1895</v>
      </c>
      <c r="AD37" s="105">
        <f>PFS_SalesOverview_InTax[[#This Row],[GMV]]/PFS_SalesOverview_InTax[[#This Row],[GMV_TGT]]</f>
        <v>0.85282964187463328</v>
      </c>
      <c r="AE37" s="105">
        <f>PFS_SalesOverview_InTax[[#This Row],[NET]]/PFS_SalesOverview_InTax[[#This Row],[NET_TGT]]</f>
        <v>0.84565109235159897</v>
      </c>
      <c r="AF37" s="105">
        <f>PFS_SalesOverview_InTax[[#This Row],[UV]]/PFS_SalesOverview_InTax[[#This Row],[TRAFFIC_TGT]]</f>
        <v>0.76404929577464786</v>
      </c>
      <c r="AG37" s="105">
        <f>PFS_SalesOverview_InTax[[#This Row],[Buyers]]/PFS_SalesOverview_InTax[[#This Row],[BUYERS_TGT]]</f>
        <v>0.84520884520884521</v>
      </c>
      <c r="AH37" s="105">
        <f>PFS_SalesOverview_InTax[[#This Row],[CR]]/PFS_SalesOverview_InTax[[#This Row],[CVR_TGT]]</f>
        <v>1.1062229228965024</v>
      </c>
      <c r="AI37" s="105">
        <f>PFS_SalesOverview_InTax[[#This Row],[ATV]]/PFS_SalesOverview_InTax[[#This Row],[ATV_TGT]]</f>
        <v>1.009016465822604</v>
      </c>
      <c r="AJ37" s="105">
        <f>PFS_SalesOverview_InTax[[#This Row],[UPT]]/PFS_SalesOverview_InTax[[#This Row],[UPT_TGT]]</f>
        <v>1.101974289746579</v>
      </c>
      <c r="AK37" s="105">
        <f>PFS_SalesOverview_InTax[[#This Row],[RRC]]/PFS_SalesOverview_InTax[[#This Row],[RRC_TGT]]</f>
        <v>1.007769846339772</v>
      </c>
      <c r="AL37" s="28" t="str">
        <f>_xlfn.XLOOKUP(PFS_SalesOverview_InTax[[#This Row],[DATE]],全店核心数据_bymonth[开始日期],全店核心数据_bymonth[jda日历.PayYear],"")</f>
        <v>BU24</v>
      </c>
      <c r="AO37" s="428">
        <f>PFS_SalesOverview_InTax[[#This Row],[DATE]]</f>
        <v>45078</v>
      </c>
      <c r="AP37" s="429">
        <f>PFS_SalesOverview_InTax[[#This Row],[GMV]]/$F$1</f>
        <v>4296163.2831858406</v>
      </c>
      <c r="AQ37" s="429">
        <f>PFS_SalesOverview_ExclTax[[#This Row],[GMV]]-PFS_SalesOverview_ExclTax[[#This Row],[RR]]</f>
        <v>2044800.8053097343</v>
      </c>
      <c r="AR37" s="430">
        <f>PFS_SalesOverview_InTax[[#This Row],[UV]]</f>
        <v>433980</v>
      </c>
      <c r="AS37" s="431">
        <f>PFS_SalesOverview_InTax[[#This Row],[Buyers]]</f>
        <v>1376</v>
      </c>
      <c r="AT37" s="431">
        <f>PFS_SalesOverview_InTax[[#This Row],[Units]]</f>
        <v>1765</v>
      </c>
      <c r="AU37" s="92">
        <f>PFS_SalesOverview_ExclTax[[#This Row],[Buyers]]/PFS_SalesOverview_ExclTax[[#This Row],[UV]]</f>
        <v>3.1706530254850453E-3</v>
      </c>
      <c r="AV37" s="431">
        <f>PFS_SalesOverview_ExclTax[[#This Row],[GMV]]/PFS_SalesOverview_ExclTax[[#This Row],[Buyers]]</f>
        <v>3122.2116883618028</v>
      </c>
      <c r="AW37" s="431">
        <f>PFS_SalesOverview_ExclTax[[#This Row],[GMV]]/PFS_SalesOverview_ExclTax[[#This Row],[Units]]</f>
        <v>2434.0868459976432</v>
      </c>
      <c r="AX37" s="432">
        <f>PFS_SalesOverview_ExclTax[[#This Row],[Units]]/PFS_SalesOverview_ExclTax[[#This Row],[Buyers]]</f>
        <v>1.2827034883720929</v>
      </c>
      <c r="AY37" s="93">
        <f>PFS_SalesOverview_ExclTax[[#This Row],[RR]]/PFS_SalesOverview_ExclTax[[#This Row],[GMV]]</f>
        <v>0.52404024928181914</v>
      </c>
      <c r="AZ37" s="429">
        <f>PFS_SalesOverview_InTax[[#This Row],[RR]]/$F$1</f>
        <v>2251362.4778761063</v>
      </c>
      <c r="BA37" s="429">
        <f>PFS_SalesOverview_InTax[[#This Row],[MD GMV]]/$F$1</f>
        <v>2869947.7168141594</v>
      </c>
      <c r="BB37" s="94">
        <f>PFS_SalesOverview_ExclTax[[#This Row],[MD GMV]]/PFS_SalesOverview_ExclTax[[#This Row],[GMV]]</f>
        <v>0.6680257540597796</v>
      </c>
      <c r="BC37" s="429">
        <f>PFS_SalesOverview_InTax[[#This Row],[GMV_TGT]]/$F$1</f>
        <v>5037539.8230088502</v>
      </c>
      <c r="BD37" s="429">
        <f>PFS_SalesOverview_InTax[[#This Row],[NET_TGT]]/$F$1</f>
        <v>2418019.4690265488</v>
      </c>
      <c r="BE37" s="430">
        <f>PFS_SalesOverview_InTax[[#This Row],[TRAFFIC_TGT]]</f>
        <v>568000</v>
      </c>
      <c r="BF37" s="431">
        <f>PFS_SalesOverview_InTax[[#This Row],[BUYERS_TGT]]</f>
        <v>1628</v>
      </c>
      <c r="BG37" s="104">
        <f>PFS_SalesOverview_InTax[[#This Row],[CVR_TGT]]</f>
        <v>2.8661971830985914E-3</v>
      </c>
      <c r="BH37" s="431">
        <f>PFS_SalesOverview_InTax[[#This Row],[ATV_TGT]]/$F$1</f>
        <v>3094.3119305951168</v>
      </c>
      <c r="BI37" s="432">
        <f>PFS_SalesOverview_InTax[[#This Row],[UPT_TGT]]</f>
        <v>1.164004914004914</v>
      </c>
      <c r="BJ37" s="94">
        <f>PFS_SalesOverview_InTax[[#This Row],[RRC_TGT]]</f>
        <v>0.51999992973111619</v>
      </c>
      <c r="BK37" s="431">
        <f>PFS_SalesOverview_InTax[[#This Row],[UNITS_TGT]]</f>
        <v>1895</v>
      </c>
      <c r="BL37" s="28" t="str">
        <f>_xlfn.XLOOKUP(PFS_SalesOverview_ExclTax[[#This Row],[DATE]],全店核心数据_bymonth[开始日期],全店核心数据_bymonth[jda日历.PayYear],"")</f>
        <v>BU24</v>
      </c>
      <c r="BO37" s="28"/>
      <c r="BQ37" s="53"/>
    </row>
    <row r="38" spans="5:82" ht="14.5" customHeight="1" x14ac:dyDescent="0.3">
      <c r="E38" s="428">
        <v>45047</v>
      </c>
      <c r="F38" s="431">
        <f>SUMIFS(全店核心数据_bymonth[支付金额],全店核心数据_bymonth[开始日期],$E38)</f>
        <v>2441816.0099999998</v>
      </c>
      <c r="G38" s="431">
        <f>PFS_SalesOverview_InTax[[#This Row],[GMV]]-PFS_SalesOverview_InTax[[#This Row],[RR]]</f>
        <v>1243532.6299999999</v>
      </c>
      <c r="H38" s="431">
        <f>SUMIFS(全店核心数据_bymonth[访客数],全店核心数据_bymonth[开始日期],$E38)</f>
        <v>394042</v>
      </c>
      <c r="I38" s="431">
        <f>SUMIFS(全店核心数据_bymonth[支付买家数],全店核心数据_bymonth[开始日期],$E38)</f>
        <v>604</v>
      </c>
      <c r="J38" s="431">
        <f>SUMIFS(全店核心数据_bymonth[支付件数],全店核心数据_bymonth[开始日期],$E38)</f>
        <v>788</v>
      </c>
      <c r="K38" s="92">
        <f>PFS_SalesOverview_InTax[[#This Row],[Buyers]]/PFS_SalesOverview_InTax[[#This Row],[UV]]</f>
        <v>1.5328315255734161E-3</v>
      </c>
      <c r="L38" s="431">
        <f>PFS_SalesOverview_InTax[[#This Row],[GMV]]/PFS_SalesOverview_InTax[[#This Row],[Buyers]]</f>
        <v>4042.7417384105956</v>
      </c>
      <c r="M38" s="431">
        <f>PFS_SalesOverview_InTax[[#This Row],[GMV]]/PFS_SalesOverview_InTax[[#This Row],[Units]]</f>
        <v>3098.751281725888</v>
      </c>
      <c r="N38" s="432">
        <f>PFS_SalesOverview_InTax[[#This Row],[Units]]/PFS_SalesOverview_InTax[[#This Row],[Buyers]]</f>
        <v>1.304635761589404</v>
      </c>
      <c r="O38" s="93">
        <f>PFS_SalesOverview_InTax[[#This Row],[RR]]/PFS_SalesOverview_InTax[[#This Row],[GMV]]</f>
        <v>0.49073450869871232</v>
      </c>
      <c r="P38" s="431">
        <f>SUMIFS(全店核心数据_bymonth[支付退款金额],全店核心数据_bymonth[开始日期],$E38)</f>
        <v>1198283.3799999999</v>
      </c>
      <c r="Q38" s="431">
        <f>SUMIFS(全店核心数据_bymonth[md_gmv],全店核心数据_bymonth[开始日期],$E38)</f>
        <v>874556</v>
      </c>
      <c r="R38" s="94">
        <f>PFS_SalesOverview_InTax[[#This Row],[MD GMV]]/PFS_SalesOverview_InTax[[#This Row],[GMV]]</f>
        <v>0.35815802518224954</v>
      </c>
      <c r="S38" s="431">
        <f>SUMIFS(全店核心数据_bymonth[md_net],全店核心数据_bymonth[开始日期],$E38)</f>
        <v>540948.72</v>
      </c>
      <c r="T38" s="94">
        <f>PFS_SalesOverview_InTax[[#This Row],[MD NET]]/PFS_SalesOverview_InTax[[#This Row],[NET]]</f>
        <v>0.43500967079569114</v>
      </c>
      <c r="U38" s="431">
        <f>SUMIFS(目标表[gmv],目标表[Date],"&gt;="&amp;$E38,目标表[Date],"&lt;="&amp;EOMONTH($E38,0),目标表[channel],"PFS")</f>
        <v>2941184</v>
      </c>
      <c r="V38" s="431">
        <f>SUMIFS(目标表[net],目标表[Date],"&gt;="&amp;$E38,目标表[Date],"&lt;="&amp;EOMONTH($E38,0),目标表[channel],"PFS")</f>
        <v>1544851</v>
      </c>
      <c r="W38" s="431">
        <f>SUMIFS(目标表[uv],目标表[Date],"&gt;="&amp;$E38,目标表[Date],"&lt;="&amp;EOMONTH($E38,0),目标表[channel],"PFS")</f>
        <v>668000</v>
      </c>
      <c r="X38" s="431">
        <f>SUMIFS(目标表[buyers],目标表[Date],"&gt;="&amp;$E38,目标表[Date],"&lt;="&amp;EOMONTH($E38,0),目标表[channel],"PFS")</f>
        <v>658</v>
      </c>
      <c r="Y38" s="378">
        <f>PFS_SalesOverview_InTax[[#This Row],[BUYERS_TGT]]/PFS_SalesOverview_InTax[[#This Row],[TRAFFIC_TGT]]</f>
        <v>9.8502994011976058E-4</v>
      </c>
      <c r="Z38" s="379">
        <f>PFS_SalesOverview_InTax[[#This Row],[GMV_TGT]]/PFS_SalesOverview_InTax[[#This Row],[BUYERS_TGT]]</f>
        <v>4469.8844984802436</v>
      </c>
      <c r="AA38" s="380">
        <f>PFS_SalesOverview_InTax[[#This Row],[UNITS_TGT]]/PFS_SalesOverview_InTax[[#This Row],[BUYERS_TGT]]</f>
        <v>1.1231003039513678</v>
      </c>
      <c r="AB38" s="94">
        <f>1-PFS_SalesOverview_InTax[[#This Row],[NET_TGT]]/PFS_SalesOverview_InTax[[#This Row],[GMV_TGT]]</f>
        <v>0.47475200463486811</v>
      </c>
      <c r="AC38" s="381">
        <f>SUMIFS(目标表[gmv_units],目标表[Date],"&gt;="&amp;$E38,目标表[Date],"&lt;="&amp;EOMONTH($E38,0),目标表[channel],"PFS")</f>
        <v>739</v>
      </c>
      <c r="AD38" s="105">
        <f>PFS_SalesOverview_InTax[[#This Row],[GMV]]/PFS_SalesOverview_InTax[[#This Row],[GMV_TGT]]</f>
        <v>0.83021531804878568</v>
      </c>
      <c r="AE38" s="105">
        <f>PFS_SalesOverview_InTax[[#This Row],[NET]]/PFS_SalesOverview_InTax[[#This Row],[NET_TGT]]</f>
        <v>0.80495311845608408</v>
      </c>
      <c r="AF38" s="105">
        <f>PFS_SalesOverview_InTax[[#This Row],[UV]]/PFS_SalesOverview_InTax[[#This Row],[TRAFFIC_TGT]]</f>
        <v>0.58988323353293415</v>
      </c>
      <c r="AG38" s="105">
        <f>PFS_SalesOverview_InTax[[#This Row],[Buyers]]/PFS_SalesOverview_InTax[[#This Row],[BUYERS_TGT]]</f>
        <v>0.91793313069908811</v>
      </c>
      <c r="AH38" s="105">
        <f>PFS_SalesOverview_InTax[[#This Row],[CR]]/PFS_SalesOverview_InTax[[#This Row],[CVR_TGT]]</f>
        <v>1.5561268375122217</v>
      </c>
      <c r="AI38" s="105">
        <f>PFS_SalesOverview_InTax[[#This Row],[ATV]]/PFS_SalesOverview_InTax[[#This Row],[ATV_TGT]]</f>
        <v>0.90443986635116047</v>
      </c>
      <c r="AJ38" s="105">
        <f>PFS_SalesOverview_InTax[[#This Row],[UPT]]/PFS_SalesOverview_InTax[[#This Row],[UPT_TGT]]</f>
        <v>1.1616377958400916</v>
      </c>
      <c r="AK38" s="105">
        <f>PFS_SalesOverview_InTax[[#This Row],[RRC]]/PFS_SalesOverview_InTax[[#This Row],[RRC_TGT]]</f>
        <v>1.033664953297325</v>
      </c>
      <c r="AL38" s="28" t="str">
        <f>_xlfn.XLOOKUP(PFS_SalesOverview_InTax[[#This Row],[DATE]],全店核心数据_bymonth[开始日期],全店核心数据_bymonth[jda日历.PayYear],"")</f>
        <v>BU24</v>
      </c>
      <c r="AM38" s="99"/>
      <c r="AN38" s="99"/>
      <c r="AO38" s="428">
        <f>PFS_SalesOverview_InTax[[#This Row],[DATE]]</f>
        <v>45047</v>
      </c>
      <c r="AP38" s="429">
        <f>PFS_SalesOverview_InTax[[#This Row],[GMV]]/$F$1</f>
        <v>2160899.1238938053</v>
      </c>
      <c r="AQ38" s="429">
        <f>PFS_SalesOverview_ExclTax[[#This Row],[GMV]]-PFS_SalesOverview_ExclTax[[#This Row],[RR]]</f>
        <v>1100471.353982301</v>
      </c>
      <c r="AR38" s="430">
        <f>PFS_SalesOverview_InTax[[#This Row],[UV]]</f>
        <v>394042</v>
      </c>
      <c r="AS38" s="431">
        <f>PFS_SalesOverview_InTax[[#This Row],[Buyers]]</f>
        <v>604</v>
      </c>
      <c r="AT38" s="431">
        <f>PFS_SalesOverview_InTax[[#This Row],[Units]]</f>
        <v>788</v>
      </c>
      <c r="AU38" s="92">
        <f>PFS_SalesOverview_ExclTax[[#This Row],[Buyers]]/PFS_SalesOverview_ExclTax[[#This Row],[UV]]</f>
        <v>1.5328315255734161E-3</v>
      </c>
      <c r="AV38" s="431">
        <f>PFS_SalesOverview_ExclTax[[#This Row],[GMV]]/PFS_SalesOverview_ExclTax[[#This Row],[Buyers]]</f>
        <v>3577.6475561155717</v>
      </c>
      <c r="AW38" s="431">
        <f>PFS_SalesOverview_ExclTax[[#This Row],[GMV]]/PFS_SalesOverview_ExclTax[[#This Row],[Units]]</f>
        <v>2742.2577714388394</v>
      </c>
      <c r="AX38" s="432">
        <f>PFS_SalesOverview_ExclTax[[#This Row],[Units]]/PFS_SalesOverview_ExclTax[[#This Row],[Buyers]]</f>
        <v>1.304635761589404</v>
      </c>
      <c r="AY38" s="93">
        <f>PFS_SalesOverview_ExclTax[[#This Row],[RR]]/PFS_SalesOverview_ExclTax[[#This Row],[GMV]]</f>
        <v>0.49073450869871227</v>
      </c>
      <c r="AZ38" s="429">
        <f>PFS_SalesOverview_InTax[[#This Row],[RR]]/$F$1</f>
        <v>1060427.7699115044</v>
      </c>
      <c r="BA38" s="429">
        <f>PFS_SalesOverview_InTax[[#This Row],[MD GMV]]/$F$1</f>
        <v>773943.36283185845</v>
      </c>
      <c r="BB38" s="94">
        <f>PFS_SalesOverview_ExclTax[[#This Row],[MD GMV]]/PFS_SalesOverview_ExclTax[[#This Row],[GMV]]</f>
        <v>0.35815802518224954</v>
      </c>
      <c r="BC38" s="429">
        <f>PFS_SalesOverview_InTax[[#This Row],[GMV_TGT]]/$F$1</f>
        <v>2602817.6991150444</v>
      </c>
      <c r="BD38" s="429">
        <f>PFS_SalesOverview_InTax[[#This Row],[NET_TGT]]/$F$1</f>
        <v>1367124.7787610621</v>
      </c>
      <c r="BE38" s="430">
        <f>PFS_SalesOverview_InTax[[#This Row],[TRAFFIC_TGT]]</f>
        <v>668000</v>
      </c>
      <c r="BF38" s="431">
        <f>PFS_SalesOverview_InTax[[#This Row],[BUYERS_TGT]]</f>
        <v>658</v>
      </c>
      <c r="BG38" s="104">
        <f>PFS_SalesOverview_InTax[[#This Row],[CVR_TGT]]</f>
        <v>9.8502994011976058E-4</v>
      </c>
      <c r="BH38" s="431">
        <f>PFS_SalesOverview_InTax[[#This Row],[ATV_TGT]]/$F$1</f>
        <v>3955.649998655083</v>
      </c>
      <c r="BI38" s="432">
        <f>PFS_SalesOverview_InTax[[#This Row],[UPT_TGT]]</f>
        <v>1.1231003039513678</v>
      </c>
      <c r="BJ38" s="94">
        <f>PFS_SalesOverview_InTax[[#This Row],[RRC_TGT]]</f>
        <v>0.47475200463486811</v>
      </c>
      <c r="BK38" s="431">
        <f>PFS_SalesOverview_InTax[[#This Row],[UNITS_TGT]]</f>
        <v>739</v>
      </c>
      <c r="BL38" s="28" t="str">
        <f>_xlfn.XLOOKUP(PFS_SalesOverview_ExclTax[[#This Row],[DATE]],全店核心数据_bymonth[开始日期],全店核心数据_bymonth[jda日历.PayYear],"")</f>
        <v>BU24</v>
      </c>
      <c r="BO38" s="28"/>
      <c r="BQ38" s="53"/>
    </row>
    <row r="39" spans="5:82" ht="14.5" customHeight="1" x14ac:dyDescent="0.3">
      <c r="E39" s="428">
        <v>45017</v>
      </c>
      <c r="F39" s="431">
        <f>SUMIFS(全店核心数据_bymonth[支付金额],全店核心数据_bymonth[开始日期],$E39)</f>
        <v>1249180.01</v>
      </c>
      <c r="G39" s="431">
        <f>PFS_SalesOverview_InTax[[#This Row],[GMV]]-PFS_SalesOverview_InTax[[#This Row],[RR]]</f>
        <v>642665.01</v>
      </c>
      <c r="H39" s="431">
        <f>SUMIFS(全店核心数据_bymonth[访客数],全店核心数据_bymonth[开始日期],$E39)</f>
        <v>398357</v>
      </c>
      <c r="I39" s="431">
        <f>SUMIFS(全店核心数据_bymonth[支付买家数],全店核心数据_bymonth[开始日期],$E39)</f>
        <v>209</v>
      </c>
      <c r="J39" s="431">
        <f>SUMIFS(全店核心数据_bymonth[支付件数],全店核心数据_bymonth[开始日期],$E39)</f>
        <v>269</v>
      </c>
      <c r="K39" s="92">
        <f>PFS_SalesOverview_InTax[[#This Row],[Buyers]]/PFS_SalesOverview_InTax[[#This Row],[UV]]</f>
        <v>5.2465502049669013E-4</v>
      </c>
      <c r="L39" s="431">
        <f>PFS_SalesOverview_InTax[[#This Row],[GMV]]/PFS_SalesOverview_InTax[[#This Row],[Buyers]]</f>
        <v>5976.9378468899522</v>
      </c>
      <c r="M39" s="431">
        <f>PFS_SalesOverview_InTax[[#This Row],[GMV]]/PFS_SalesOverview_InTax[[#This Row],[Units]]</f>
        <v>4643.7918587360591</v>
      </c>
      <c r="N39" s="432">
        <f>PFS_SalesOverview_InTax[[#This Row],[Units]]/PFS_SalesOverview_InTax[[#This Row],[Buyers]]</f>
        <v>1.2870813397129186</v>
      </c>
      <c r="O39" s="93">
        <f>PFS_SalesOverview_InTax[[#This Row],[RR]]/PFS_SalesOverview_InTax[[#This Row],[GMV]]</f>
        <v>0.48553050412646293</v>
      </c>
      <c r="P39" s="431">
        <f>SUMIFS(全店核心数据_bymonth[支付退款金额],全店核心数据_bymonth[开始日期],$E39)</f>
        <v>606515</v>
      </c>
      <c r="Q39" s="431">
        <f>SUMIFS(全店核心数据_bymonth[md_gmv],全店核心数据_bymonth[开始日期],$E39)</f>
        <v>0</v>
      </c>
      <c r="R39" s="94">
        <f>PFS_SalesOverview_InTax[[#This Row],[MD GMV]]/PFS_SalesOverview_InTax[[#This Row],[GMV]]</f>
        <v>0</v>
      </c>
      <c r="S39" s="431">
        <f>SUMIFS(全店核心数据_bymonth[md_net],全店核心数据_bymonth[开始日期],$E39)</f>
        <v>0</v>
      </c>
      <c r="T39" s="94">
        <f>PFS_SalesOverview_InTax[[#This Row],[MD NET]]/PFS_SalesOverview_InTax[[#This Row],[NET]]</f>
        <v>0</v>
      </c>
      <c r="U39" s="431">
        <f>SUMIFS(目标表[gmv],目标表[Date],"&gt;="&amp;$E39,目标表[Date],"&lt;="&amp;EOMONTH($E39,0),目标表[channel],"PFS")</f>
        <v>2238982</v>
      </c>
      <c r="V39" s="431">
        <f>SUMIFS(目标表[net],目标表[Date],"&gt;="&amp;$E39,目标表[Date],"&lt;="&amp;EOMONTH($E39,0),目标表[channel],"PFS")</f>
        <v>1074711</v>
      </c>
      <c r="W39" s="431">
        <f>SUMIFS(目标表[uv],目标表[Date],"&gt;="&amp;$E39,目标表[Date],"&lt;="&amp;EOMONTH($E39,0),目标表[channel],"PFS")</f>
        <v>498000</v>
      </c>
      <c r="X39" s="431">
        <f>SUMIFS(目标表[buyers],目标表[Date],"&gt;="&amp;$E39,目标表[Date],"&lt;="&amp;EOMONTH($E39,0),目标表[channel],"PFS")</f>
        <v>417</v>
      </c>
      <c r="Y39" s="378">
        <f>PFS_SalesOverview_InTax[[#This Row],[BUYERS_TGT]]/PFS_SalesOverview_InTax[[#This Row],[TRAFFIC_TGT]]</f>
        <v>8.3734939759036149E-4</v>
      </c>
      <c r="Z39" s="379">
        <f>PFS_SalesOverview_InTax[[#This Row],[GMV_TGT]]/PFS_SalesOverview_InTax[[#This Row],[BUYERS_TGT]]</f>
        <v>5369.26139088729</v>
      </c>
      <c r="AA39" s="380">
        <f>PFS_SalesOverview_InTax[[#This Row],[UNITS_TGT]]/PFS_SalesOverview_InTax[[#This Row],[BUYERS_TGT]]</f>
        <v>1.0743405275779376</v>
      </c>
      <c r="AB39" s="94">
        <f>1-PFS_SalesOverview_InTax[[#This Row],[NET_TGT]]/PFS_SalesOverview_InTax[[#This Row],[GMV_TGT]]</f>
        <v>0.52000016078735789</v>
      </c>
      <c r="AC39" s="381">
        <f>SUMIFS(目标表[gmv_units],目标表[Date],"&gt;="&amp;$E39,目标表[Date],"&lt;="&amp;EOMONTH($E39,0),目标表[channel],"PFS")</f>
        <v>448</v>
      </c>
      <c r="AD39" s="105">
        <f>PFS_SalesOverview_InTax[[#This Row],[GMV]]/PFS_SalesOverview_InTax[[#This Row],[GMV_TGT]]</f>
        <v>0.55792320349158686</v>
      </c>
      <c r="AE39" s="105">
        <f>PFS_SalesOverview_InTax[[#This Row],[NET]]/PFS_SalesOverview_InTax[[#This Row],[NET_TGT]]</f>
        <v>0.59798867788642718</v>
      </c>
      <c r="AF39" s="105">
        <f>PFS_SalesOverview_InTax[[#This Row],[UV]]/PFS_SalesOverview_InTax[[#This Row],[TRAFFIC_TGT]]</f>
        <v>0.79991365461847386</v>
      </c>
      <c r="AG39" s="105">
        <f>PFS_SalesOverview_InTax[[#This Row],[Buyers]]/PFS_SalesOverview_InTax[[#This Row],[BUYERS_TGT]]</f>
        <v>0.50119904076738608</v>
      </c>
      <c r="AH39" s="105">
        <f>PFS_SalesOverview_InTax[[#This Row],[CR]]/PFS_SalesOverview_InTax[[#This Row],[CVR_TGT]]</f>
        <v>0.6265664273557594</v>
      </c>
      <c r="AI39" s="105">
        <f>PFS_SalesOverview_InTax[[#This Row],[ATV]]/PFS_SalesOverview_InTax[[#This Row],[ATV_TGT]]</f>
        <v>1.1131769179712523</v>
      </c>
      <c r="AJ39" s="105">
        <f>PFS_SalesOverview_InTax[[#This Row],[UPT]]/PFS_SalesOverview_InTax[[#This Row],[UPT_TGT]]</f>
        <v>1.1980199077238551</v>
      </c>
      <c r="AK39" s="105">
        <f>PFS_SalesOverview_InTax[[#This Row],[RRC]]/PFS_SalesOverview_InTax[[#This Row],[RRC_TGT]]</f>
        <v>0.93371221922565806</v>
      </c>
      <c r="AL39" s="28" t="str">
        <f>_xlfn.XLOOKUP(PFS_SalesOverview_InTax[[#This Row],[DATE]],全店核心数据_bymonth[开始日期],全店核心数据_bymonth[jda日历.PayYear],"")</f>
        <v>BU24</v>
      </c>
      <c r="AO39" s="428">
        <f>PFS_SalesOverview_InTax[[#This Row],[DATE]]</f>
        <v>45017</v>
      </c>
      <c r="AP39" s="429">
        <f>PFS_SalesOverview_InTax[[#This Row],[GMV]]/$F$1</f>
        <v>1105469.0353982302</v>
      </c>
      <c r="AQ39" s="429">
        <f>PFS_SalesOverview_ExclTax[[#This Row],[GMV]]-PFS_SalesOverview_ExclTax[[#This Row],[RR]]</f>
        <v>568730.09734513285</v>
      </c>
      <c r="AR39" s="430">
        <f>PFS_SalesOverview_InTax[[#This Row],[UV]]</f>
        <v>398357</v>
      </c>
      <c r="AS39" s="431">
        <f>PFS_SalesOverview_InTax[[#This Row],[Buyers]]</f>
        <v>209</v>
      </c>
      <c r="AT39" s="431">
        <f>PFS_SalesOverview_InTax[[#This Row],[Units]]</f>
        <v>269</v>
      </c>
      <c r="AU39" s="92">
        <f>PFS_SalesOverview_ExclTax[[#This Row],[Buyers]]/PFS_SalesOverview_ExclTax[[#This Row],[UV]]</f>
        <v>5.2465502049669013E-4</v>
      </c>
      <c r="AV39" s="431">
        <f>PFS_SalesOverview_ExclTax[[#This Row],[GMV]]/PFS_SalesOverview_ExclTax[[#This Row],[Buyers]]</f>
        <v>5289.3255282211967</v>
      </c>
      <c r="AW39" s="431">
        <f>PFS_SalesOverview_ExclTax[[#This Row],[GMV]]/PFS_SalesOverview_ExclTax[[#This Row],[Units]]</f>
        <v>4109.5503174655396</v>
      </c>
      <c r="AX39" s="432">
        <f>PFS_SalesOverview_ExclTax[[#This Row],[Units]]/PFS_SalesOverview_ExclTax[[#This Row],[Buyers]]</f>
        <v>1.2870813397129186</v>
      </c>
      <c r="AY39" s="93">
        <f>PFS_SalesOverview_ExclTax[[#This Row],[RR]]/PFS_SalesOverview_ExclTax[[#This Row],[GMV]]</f>
        <v>0.48553050412646287</v>
      </c>
      <c r="AZ39" s="429">
        <f>PFS_SalesOverview_InTax[[#This Row],[RR]]/$F$1</f>
        <v>536738.93805309734</v>
      </c>
      <c r="BA39" s="429">
        <f>PFS_SalesOverview_InTax[[#This Row],[MD GMV]]/$F$1</f>
        <v>0</v>
      </c>
      <c r="BB39" s="94">
        <f>PFS_SalesOverview_ExclTax[[#This Row],[MD GMV]]/PFS_SalesOverview_ExclTax[[#This Row],[GMV]]</f>
        <v>0</v>
      </c>
      <c r="BC39" s="429">
        <f>PFS_SalesOverview_InTax[[#This Row],[GMV_TGT]]/$F$1</f>
        <v>1981400.0000000002</v>
      </c>
      <c r="BD39" s="429">
        <f>PFS_SalesOverview_InTax[[#This Row],[NET_TGT]]/$F$1</f>
        <v>951071.68141592934</v>
      </c>
      <c r="BE39" s="430">
        <f>PFS_SalesOverview_InTax[[#This Row],[TRAFFIC_TGT]]</f>
        <v>498000</v>
      </c>
      <c r="BF39" s="431">
        <f>PFS_SalesOverview_InTax[[#This Row],[BUYERS_TGT]]</f>
        <v>417</v>
      </c>
      <c r="BG39" s="104">
        <f>PFS_SalesOverview_InTax[[#This Row],[CVR_TGT]]</f>
        <v>8.3734939759036149E-4</v>
      </c>
      <c r="BH39" s="431">
        <f>PFS_SalesOverview_InTax[[#This Row],[ATV_TGT]]/$F$1</f>
        <v>4751.5587529976019</v>
      </c>
      <c r="BI39" s="432">
        <f>PFS_SalesOverview_InTax[[#This Row],[UPT_TGT]]</f>
        <v>1.0743405275779376</v>
      </c>
      <c r="BJ39" s="94">
        <f>PFS_SalesOverview_InTax[[#This Row],[RRC_TGT]]</f>
        <v>0.52000016078735789</v>
      </c>
      <c r="BK39" s="431">
        <f>PFS_SalesOverview_InTax[[#This Row],[UNITS_TGT]]</f>
        <v>448</v>
      </c>
      <c r="BL39" s="28" t="str">
        <f>_xlfn.XLOOKUP(PFS_SalesOverview_ExclTax[[#This Row],[DATE]],全店核心数据_bymonth[开始日期],全店核心数据_bymonth[jda日历.PayYear],"")</f>
        <v>BU24</v>
      </c>
      <c r="BM39" s="53"/>
      <c r="BO39" s="28"/>
    </row>
    <row r="40" spans="5:82" ht="14.5" customHeight="1" x14ac:dyDescent="0.3">
      <c r="E40" s="425" t="s">
        <v>331</v>
      </c>
      <c r="F40" s="256">
        <f>SUMIFS(PFS_SalesOverview_InTax[GMV],PFS_SalesOverview_InTax[DATE],$K$1)/SUMIFS(PFS_SalesOverview_InTax[GMV],PFS_SalesOverview_InTax[DATE],EDATE($K$1,-12))-1</f>
        <v>-3.4503008069338037E-2</v>
      </c>
      <c r="G40" s="256">
        <f>SUMIFS(PFS_SalesOverview_InTax[NET],PFS_SalesOverview_InTax[DATE],$K$1)/SUMIFS(PFS_SalesOverview_InTax[NET],PFS_SalesOverview_InTax[DATE],EDATE($K$1,-12))-1</f>
        <v>-3.5928704680420309E-2</v>
      </c>
      <c r="H40" s="256">
        <f>SUMIFS(PFS_SalesOverview_InTax[UV],PFS_SalesOverview_InTax[DATE],$K$1)/SUMIFS(PFS_SalesOverview_InTax[UV],PFS_SalesOverview_InTax[DATE],EDATE($K$1,-12))-1</f>
        <v>0.69528118035663766</v>
      </c>
      <c r="I40" s="256">
        <f>SUMIFS(PFS_SalesOverview_InTax[Buyers],PFS_SalesOverview_InTax[DATE],$K$1)/SUMIFS(PFS_SalesOverview_InTax[Buyers],PFS_SalesOverview_InTax[DATE],EDATE($K$1,-12))-1</f>
        <v>4.1002277904327977E-2</v>
      </c>
      <c r="J40" s="256">
        <f>SUMIFS(PFS_SalesOverview_InTax[Units],PFS_SalesOverview_InTax[DATE],$K$1)/SUMIFS(PFS_SalesOverview_InTax[Units],PFS_SalesOverview_InTax[DATE],EDATE($K$1,-12))-1</f>
        <v>1.4717273431448463E-2</v>
      </c>
      <c r="K40" s="256">
        <f>SUMIFS(PFS_SalesOverview_InTax[CR],PFS_SalesOverview_InTax[DATE],$K$1)/SUMIFS(PFS_SalesOverview_InTax[CR],PFS_SalesOverview_InTax[DATE],EDATE($K$1,-12))-1</f>
        <v>-0.38594122912086382</v>
      </c>
      <c r="L40" s="256">
        <f>SUMIFS(PFS_SalesOverview_InTax[ATV],PFS_SalesOverview_InTax[DATE],$K$1)/SUMIFS(PFS_SalesOverview_InTax[ATV],PFS_SalesOverview_InTax[DATE],EDATE($K$1,-12))-1</f>
        <v>-7.2531335979079681E-2</v>
      </c>
      <c r="M40" s="256">
        <f>SUMIFS(PFS_SalesOverview_InTax[AUR],PFS_SalesOverview_InTax[DATE],$K$1)/SUMIFS(PFS_SalesOverview_InTax[AUR],PFS_SalesOverview_InTax[DATE],EDATE($K$1,-12))-1</f>
        <v>-4.8506399555355295E-2</v>
      </c>
      <c r="N40" s="256">
        <f>SUMIFS(PFS_SalesOverview_InTax[UPT],PFS_SalesOverview_InTax[DATE],$K$1)/SUMIFS(PFS_SalesOverview_InTax[UPT],PFS_SalesOverview_InTax[DATE],EDATE($K$1,-12))-1</f>
        <v>-2.5249708891890821E-2</v>
      </c>
      <c r="O40" s="255">
        <f>(SUMIFS(PFS_SalesOverview_InTax[RRC],PFS_SalesOverview_InTax[DATE],$K$1)-SUMIFS(PFS_SalesOverview_InTax[RRC],PFS_SalesOverview_InTax[DATE],EDATE($K$1,-12)))*100</f>
        <v>6.2826189131304222E-2</v>
      </c>
      <c r="P40" s="222">
        <f>SUMIFS(PFS_SalesOverview_InTax[RR],PFS_SalesOverview_InTax[DATE],$K$1)/SUMIFS(PFS_SalesOverview_InTax[RR],PFS_SalesOverview_InTax[DATE],EDATE($K$1,-12))-1</f>
        <v>-3.3447222650993091E-2</v>
      </c>
      <c r="Q40" s="222">
        <f>SUMIFS(PFS_SalesOverview_InTax[MD GMV],PFS_SalesOverview_InTax[DATE],$K$1)/SUMIFS(PFS_SalesOverview_InTax[MD GMV],PFS_SalesOverview_InTax[DATE],EDATE($K$1,-12))-1</f>
        <v>-5.3767543153305675E-2</v>
      </c>
      <c r="R40" s="255">
        <f>(SUMIFS(PFS_SalesOverview_InTax[MD GMV %],PFS_SalesOverview_InTax[DATE],$K$1)-SUMIFS(PFS_SalesOverview_InTax[MD GMV %],PFS_SalesOverview_InTax[DATE],EDATE($K$1,-12)))*100</f>
        <v>-1.3985390779959639</v>
      </c>
      <c r="S40" s="222">
        <f>SUMIFS(PFS_SalesOverview_InTax[MD NET],PFS_SalesOverview_InTax[DATE],$K$1)/SUMIFS(PFS_SalesOverview_InTax[MD NET],PFS_SalesOverview_InTax[DATE],EDATE($K$1,-12))-1</f>
        <v>-0.11777512032714865</v>
      </c>
      <c r="T40" s="255">
        <f>(SUMIFS(PFS_SalesOverview_InTax[MD NET%],PFS_SalesOverview_InTax[DATE],$K$1)-SUMIFS(PFS_SalesOverview_InTax[MD NET%],PFS_SalesOverview_InTax[DATE],EDATE($K$1,-12)))*100</f>
        <v>-5.7513754454738049</v>
      </c>
      <c r="U40" s="255"/>
      <c r="V40" s="431"/>
      <c r="W40" s="431"/>
      <c r="X40" s="431"/>
      <c r="Y40" s="378"/>
      <c r="Z40" s="379"/>
      <c r="AA40" s="380"/>
      <c r="AB40" s="94"/>
      <c r="AC40" s="381"/>
      <c r="AD40" s="381"/>
      <c r="AE40" s="381"/>
      <c r="AF40" s="381"/>
      <c r="AG40" s="381"/>
      <c r="AH40" s="381"/>
      <c r="AI40" s="381"/>
      <c r="AJ40" s="381"/>
      <c r="AK40" s="381"/>
      <c r="AL40" s="28" t="str">
        <f>_xlfn.XLOOKUP(PFS_SalesOverview_InTax[[#This Row],[DATE]],全店核心数据_bymonth[开始日期],全店核心数据_bymonth[jda日历.PayYear],"")</f>
        <v/>
      </c>
      <c r="AM40" s="424"/>
      <c r="AN40" s="424"/>
      <c r="AO40" s="428" t="str">
        <f>PFS_SalesOverview_InTax[[#This Row],[DATE]]</f>
        <v>MTD YOY</v>
      </c>
      <c r="AP40" s="97">
        <f>SUMIFS(PFS_SalesOverview_ExclTax[GMV],PFS_SalesOverview_ExclTax[DATE],$K$1)/SUMIFS(PFS_SalesOverview_ExclTax[GMV],PFS_SalesOverview_ExclTax[DATE],EDATE($K$1,-12))-1</f>
        <v>-3.4503008069338037E-2</v>
      </c>
      <c r="AQ40" s="97">
        <f>SUMIFS(PFS_SalesOverview_ExclTax[NET],PFS_SalesOverview_ExclTax[DATE],$K$1)/SUMIFS(PFS_SalesOverview_ExclTax[NET],PFS_SalesOverview_ExclTax[DATE],EDATE($K$1,-12))-1</f>
        <v>-3.5928704680420087E-2</v>
      </c>
      <c r="AR40" s="97">
        <f>SUMIFS(PFS_SalesOverview_ExclTax[UV],PFS_SalesOverview_ExclTax[DATE],$K$1)/SUMIFS(PFS_SalesOverview_ExclTax[UV],PFS_SalesOverview_ExclTax[DATE],EDATE($K$1,-12))-1</f>
        <v>0.69528118035663766</v>
      </c>
      <c r="AS40" s="97">
        <f>SUMIFS(PFS_SalesOverview_ExclTax[Buyers],PFS_SalesOverview_ExclTax[DATE],$K$1)/SUMIFS(PFS_SalesOverview_ExclTax[Buyers],PFS_SalesOverview_ExclTax[DATE],EDATE($K$1,-12))-1</f>
        <v>4.1002277904327977E-2</v>
      </c>
      <c r="AT40" s="97">
        <f>SUMIFS(PFS_SalesOverview_ExclTax[Units],PFS_SalesOverview_ExclTax[DATE],$K$1)/SUMIFS(PFS_SalesOverview_ExclTax[Units],PFS_SalesOverview_ExclTax[DATE],EDATE($K$1,-12))-1</f>
        <v>1.4717273431448463E-2</v>
      </c>
      <c r="AU40" s="97">
        <f>SUMIFS(PFS_SalesOverview_ExclTax[CR],PFS_SalesOverview_ExclTax[DATE],$K$1)/SUMIFS(PFS_SalesOverview_ExclTax[CR],PFS_SalesOverview_ExclTax[DATE],EDATE($K$1,-12))-1</f>
        <v>-0.38594122912086382</v>
      </c>
      <c r="AV40" s="97">
        <f>SUMIFS(PFS_SalesOverview_ExclTax[ATV],PFS_SalesOverview_ExclTax[DATE],$K$1)/SUMIFS(PFS_SalesOverview_ExclTax[ATV],PFS_SalesOverview_ExclTax[DATE],EDATE($K$1,-12))-1</f>
        <v>-7.253133597907957E-2</v>
      </c>
      <c r="AW40" s="97">
        <f>SUMIFS(PFS_SalesOverview_ExclTax[AUR],PFS_SalesOverview_ExclTax[DATE],$K$1)/SUMIFS(PFS_SalesOverview_ExclTax[AUR],PFS_SalesOverview_ExclTax[DATE],EDATE($K$1,-12))-1</f>
        <v>-4.8506399555355184E-2</v>
      </c>
      <c r="AX40" s="97">
        <f>SUMIFS(PFS_SalesOverview_ExclTax[UPT],PFS_SalesOverview_ExclTax[DATE],$K$1)/SUMIFS(PFS_SalesOverview_ExclTax[UPT],PFS_SalesOverview_ExclTax[DATE],EDATE($K$1,-12))-1</f>
        <v>-2.5249708891890821E-2</v>
      </c>
      <c r="AY40" s="255">
        <f>(SUMIFS(PFS_SalesOverview_ExclTax[RRC],PFS_SalesOverview_ExclTax[DATE],$K$1)-SUMIFS(PFS_SalesOverview_ExclTax[RRC],PFS_SalesOverview_ExclTax[DATE],EDATE($K$1,-12)))*100</f>
        <v>6.282618913129312E-2</v>
      </c>
      <c r="AZ40" s="98">
        <f>SUMIFS(PFS_SalesOverview_ExclTax[RR],PFS_SalesOverview_ExclTax[DATE],$K$1)/SUMIFS(PFS_SalesOverview_ExclTax[RR],PFS_SalesOverview_ExclTax[DATE],EDATE($K$1,-12))-1</f>
        <v>-3.3447222650993202E-2</v>
      </c>
      <c r="BA40" s="98">
        <f>SUMIFS(PFS_SalesOverview_ExclTax[MD GMV],PFS_SalesOverview_ExclTax[DATE],$K$1)/SUMIFS(PFS_SalesOverview_ExclTax[MD GMV],PFS_SalesOverview_ExclTax[DATE],EDATE($K$1,-12))-1</f>
        <v>-5.3767543153305786E-2</v>
      </c>
      <c r="BB40" s="255">
        <f>(SUMIFS(PFS_SalesOverview_ExclTax[MD%],PFS_SalesOverview_ExclTax[DATE],$K$1)-SUMIFS(PFS_SalesOverview_ExclTax[MD%],PFS_SalesOverview_ExclTax[DATE],EDATE($K$1,-12)))*100</f>
        <v>-1.398539077995975</v>
      </c>
      <c r="BC40" s="255"/>
      <c r="BD40" s="255"/>
      <c r="BE40" s="255"/>
      <c r="BF40" s="255"/>
      <c r="BG40" s="255"/>
      <c r="BH40" s="255"/>
      <c r="BI40" s="255"/>
      <c r="BJ40" s="255"/>
      <c r="BK40" s="255"/>
      <c r="BL40" s="28" t="str">
        <f>_xlfn.XLOOKUP(PFS_SalesOverview_ExclTax[[#This Row],[DATE]],全店核心数据_bymonth[开始日期],全店核心数据_bymonth[jda日历.PayYear],"")</f>
        <v/>
      </c>
      <c r="BO40" s="28"/>
      <c r="CD40" s="53"/>
    </row>
    <row r="41" spans="5:82" ht="14.5" customHeight="1" x14ac:dyDescent="0.3">
      <c r="E41" s="425"/>
      <c r="F41" s="97"/>
      <c r="G41" s="97"/>
      <c r="H41" s="97"/>
      <c r="I41" s="97"/>
      <c r="J41" s="97"/>
      <c r="K41" s="97"/>
      <c r="L41" s="97"/>
      <c r="M41" s="97"/>
      <c r="N41" s="97"/>
      <c r="O41" s="98"/>
      <c r="P41" s="98"/>
      <c r="Q41" s="98"/>
      <c r="R41" s="98"/>
      <c r="X41" s="97"/>
      <c r="Y41" s="97"/>
      <c r="Z41" s="97"/>
      <c r="AA41" s="97"/>
      <c r="AB41" s="97"/>
      <c r="AC41" s="97"/>
      <c r="AD41" s="97"/>
      <c r="AE41" s="97"/>
      <c r="AF41" s="98"/>
      <c r="AG41" s="98"/>
      <c r="AH41" s="98"/>
      <c r="AI41" s="98"/>
      <c r="BK41" s="53"/>
      <c r="BO41" s="28"/>
      <c r="CD41" s="53"/>
    </row>
    <row r="42" spans="5:82" ht="14.5" customHeight="1" x14ac:dyDescent="0.3">
      <c r="E42" s="425"/>
      <c r="F42" s="97"/>
      <c r="G42" s="97"/>
      <c r="H42" s="97"/>
      <c r="I42" s="97"/>
      <c r="J42" s="97"/>
      <c r="K42" s="97"/>
      <c r="L42" s="97"/>
      <c r="M42" s="97"/>
      <c r="N42" s="97"/>
      <c r="O42" s="98"/>
      <c r="P42" s="98"/>
      <c r="Q42" s="98"/>
      <c r="R42" s="98"/>
      <c r="X42" s="97"/>
      <c r="Y42" s="97"/>
      <c r="Z42" s="97"/>
      <c r="AA42" s="97"/>
      <c r="AB42" s="97"/>
      <c r="AC42" s="97"/>
      <c r="AD42" s="97"/>
      <c r="AE42" s="97"/>
      <c r="AF42" s="98"/>
      <c r="AG42" s="98"/>
      <c r="AH42" s="98"/>
      <c r="AI42" s="98"/>
      <c r="BK42" s="53"/>
      <c r="BO42" s="28"/>
      <c r="CD42" s="53"/>
    </row>
    <row r="43" spans="5:82" s="433" customFormat="1" ht="14.5" customHeight="1" x14ac:dyDescent="0.3">
      <c r="E43" s="425"/>
      <c r="F43" s="97"/>
      <c r="G43" s="97"/>
      <c r="H43" s="97"/>
      <c r="I43" s="97"/>
      <c r="J43" s="97"/>
      <c r="K43" s="97"/>
      <c r="L43" s="97"/>
      <c r="M43" s="97"/>
      <c r="N43" s="97"/>
      <c r="O43" s="98"/>
      <c r="P43" s="98"/>
      <c r="Q43" s="98"/>
      <c r="R43" s="98"/>
      <c r="S43" s="28"/>
      <c r="T43" s="28"/>
      <c r="U43" s="28"/>
      <c r="V43" s="28"/>
      <c r="W43" s="28"/>
      <c r="X43" s="97"/>
      <c r="Y43" s="97"/>
      <c r="Z43" s="97"/>
      <c r="AA43" s="97"/>
      <c r="AB43" s="97"/>
      <c r="AC43" s="97"/>
      <c r="AD43" s="97"/>
      <c r="AE43" s="97"/>
      <c r="AF43" s="98"/>
      <c r="AG43" s="98"/>
      <c r="AH43" s="98"/>
      <c r="AI43" s="9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53"/>
      <c r="BL43" s="28"/>
      <c r="CD43" s="424"/>
    </row>
    <row r="44" spans="5:82" s="433" customFormat="1" ht="14.5" customHeight="1" x14ac:dyDescent="0.3">
      <c r="E44" s="425"/>
      <c r="F44" s="97"/>
      <c r="G44" s="97"/>
      <c r="H44" s="97"/>
      <c r="I44" s="97"/>
      <c r="J44" s="97"/>
      <c r="K44" s="97"/>
      <c r="L44" s="97"/>
      <c r="M44" s="97"/>
      <c r="N44" s="97"/>
      <c r="O44" s="98"/>
      <c r="P44" s="98"/>
      <c r="Q44" s="98"/>
      <c r="R44" s="98"/>
      <c r="S44" s="28"/>
      <c r="T44" s="28"/>
      <c r="U44" s="28"/>
      <c r="V44" s="28"/>
      <c r="W44" s="28"/>
      <c r="X44" s="28"/>
      <c r="Y44" s="97"/>
      <c r="Z44" s="97"/>
      <c r="AA44" s="97"/>
      <c r="AB44" s="97"/>
      <c r="AC44" s="97"/>
      <c r="AD44" s="97"/>
      <c r="AE44" s="97"/>
      <c r="AF44" s="98"/>
      <c r="AG44" s="98"/>
      <c r="AH44" s="98"/>
      <c r="AI44" s="9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CD44" s="424"/>
    </row>
    <row r="45" spans="5:82" s="433" customFormat="1" ht="14.5" customHeight="1" x14ac:dyDescent="0.3">
      <c r="E45" s="53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CD45" s="424"/>
    </row>
    <row r="46" spans="5:82" s="433" customFormat="1" ht="14.5" customHeight="1" x14ac:dyDescent="0.3">
      <c r="E46" s="53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CD46" s="424"/>
    </row>
    <row r="47" spans="5:82" s="433" customFormat="1" ht="14.5" customHeight="1" x14ac:dyDescent="0.3">
      <c r="E47" s="100" t="s">
        <v>334</v>
      </c>
      <c r="F47" s="28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28"/>
      <c r="U47" s="28"/>
      <c r="V47" s="28"/>
      <c r="W47" s="28"/>
      <c r="X47" s="100"/>
      <c r="Y47" s="28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CD47" s="424"/>
    </row>
    <row r="48" spans="5:82" s="433" customFormat="1" ht="14.5" customHeight="1" thickBot="1" x14ac:dyDescent="0.35">
      <c r="E48" s="418" t="s">
        <v>266</v>
      </c>
      <c r="F48" s="419" t="s">
        <v>326</v>
      </c>
      <c r="G48" s="420" t="s">
        <v>327</v>
      </c>
      <c r="H48" s="420" t="s">
        <v>328</v>
      </c>
      <c r="I48" s="420" t="s">
        <v>212</v>
      </c>
      <c r="J48" s="420" t="s">
        <v>213</v>
      </c>
      <c r="K48" s="420" t="s">
        <v>214</v>
      </c>
      <c r="L48" s="420" t="s">
        <v>215</v>
      </c>
      <c r="M48" s="420" t="s">
        <v>216</v>
      </c>
      <c r="N48" s="420" t="s">
        <v>217</v>
      </c>
      <c r="O48" s="420" t="s">
        <v>218</v>
      </c>
      <c r="P48" s="420" t="s">
        <v>219</v>
      </c>
      <c r="Q48" s="421" t="s">
        <v>222</v>
      </c>
      <c r="R48" s="422" t="s">
        <v>420</v>
      </c>
      <c r="S48" s="421" t="s">
        <v>374</v>
      </c>
      <c r="T48" s="421" t="s">
        <v>421</v>
      </c>
      <c r="U48" s="421" t="s">
        <v>598</v>
      </c>
      <c r="V48" s="421" t="s">
        <v>599</v>
      </c>
      <c r="W48" s="421" t="s">
        <v>600</v>
      </c>
      <c r="X48" s="421" t="s">
        <v>601</v>
      </c>
      <c r="Y48" s="421" t="s">
        <v>602</v>
      </c>
      <c r="Z48" s="421" t="s">
        <v>603</v>
      </c>
      <c r="AA48" s="421" t="s">
        <v>604</v>
      </c>
      <c r="AB48" s="421" t="s">
        <v>605</v>
      </c>
      <c r="AC48" s="421" t="s">
        <v>606</v>
      </c>
      <c r="AD48" s="421" t="s">
        <v>609</v>
      </c>
      <c r="AE48" s="421" t="s">
        <v>610</v>
      </c>
      <c r="AF48" s="421" t="s">
        <v>611</v>
      </c>
      <c r="AG48" s="421" t="s">
        <v>612</v>
      </c>
      <c r="AH48" s="421" t="s">
        <v>613</v>
      </c>
      <c r="AI48" s="421" t="s">
        <v>614</v>
      </c>
      <c r="AJ48" s="421" t="s">
        <v>615</v>
      </c>
      <c r="AK48" s="421" t="s">
        <v>616</v>
      </c>
      <c r="AL48" s="423" t="s">
        <v>330</v>
      </c>
      <c r="AM48" s="28"/>
      <c r="AN48" s="28"/>
      <c r="AO48" s="418" t="s">
        <v>266</v>
      </c>
      <c r="AP48" s="419" t="s">
        <v>326</v>
      </c>
      <c r="AQ48" s="420" t="s">
        <v>327</v>
      </c>
      <c r="AR48" s="420" t="s">
        <v>328</v>
      </c>
      <c r="AS48" s="420" t="s">
        <v>212</v>
      </c>
      <c r="AT48" s="420" t="s">
        <v>213</v>
      </c>
      <c r="AU48" s="420" t="s">
        <v>214</v>
      </c>
      <c r="AV48" s="420" t="s">
        <v>215</v>
      </c>
      <c r="AW48" s="420" t="s">
        <v>216</v>
      </c>
      <c r="AX48" s="420" t="s">
        <v>217</v>
      </c>
      <c r="AY48" s="420" t="s">
        <v>218</v>
      </c>
      <c r="AZ48" s="420" t="s">
        <v>219</v>
      </c>
      <c r="BA48" s="421" t="s">
        <v>222</v>
      </c>
      <c r="BB48" s="422" t="s">
        <v>223</v>
      </c>
      <c r="BC48" s="423" t="s">
        <v>330</v>
      </c>
      <c r="BD48" s="423" t="s">
        <v>640</v>
      </c>
      <c r="BE48" s="423" t="s">
        <v>641</v>
      </c>
      <c r="BF48" s="423" t="s">
        <v>642</v>
      </c>
      <c r="BG48" s="423" t="s">
        <v>643</v>
      </c>
      <c r="BH48" s="423" t="s">
        <v>644</v>
      </c>
      <c r="BI48" s="423" t="s">
        <v>645</v>
      </c>
      <c r="BJ48" s="423" t="s">
        <v>646</v>
      </c>
      <c r="BK48" s="423" t="s">
        <v>647</v>
      </c>
      <c r="BL48" s="423" t="s">
        <v>648</v>
      </c>
      <c r="CD48" s="424"/>
    </row>
    <row r="49" spans="5:86" s="433" customFormat="1" ht="14.5" customHeight="1" x14ac:dyDescent="0.3">
      <c r="E49" s="425" t="s">
        <v>560</v>
      </c>
      <c r="F49" s="426">
        <f>SUMIFS(OFS_SalesOverview_InTax[GMV],OFS_SalesOverview_InTax[DATE],"&lt;"&amp;EOMONTH($K$1,0)+1,OFS_SalesOverview_InTax[PayYear],OFS_SalesOverview_InTax[[#This Row],[DATE]])</f>
        <v>523759</v>
      </c>
      <c r="G49" s="426">
        <f>SUMIFS(OFS_SalesOverview_InTax[NET],OFS_SalesOverview_InTax[DATE],"&lt;"&amp;EOMONTH($K$1,0)+1,OFS_SalesOverview_InTax[PayYear],OFS_SalesOverview_InTax[[#This Row],[DATE]])</f>
        <v>389319</v>
      </c>
      <c r="H49" s="426">
        <f>SUMIFS(OFS_SalesOverview_InTax[UV],OFS_SalesOverview_InTax[DATE],"&lt;"&amp;EOMONTH($K$1,0)+1,OFS_SalesOverview_InTax[PayYear],OFS_SalesOverview_InTax[[#This Row],[DATE]])</f>
        <v>127692</v>
      </c>
      <c r="I49" s="426">
        <f>SUMIFS(OFS_SalesOverview_InTax[Buyers],OFS_SalesOverview_InTax[DATE],"&lt;"&amp;EOMONTH($K$1,0)+1,OFS_SalesOverview_InTax[PayYear],OFS_SalesOverview_InTax[[#This Row],[DATE]])</f>
        <v>73</v>
      </c>
      <c r="J49" s="426">
        <f>SUMIFS(OFS_SalesOverview_InTax[Units],OFS_SalesOverview_InTax[DATE],"&lt;"&amp;EOMONTH($K$1,0)+1,OFS_SalesOverview_InTax[PayYear],OFS_SalesOverview_InTax[[#This Row],[DATE]])</f>
        <v>110</v>
      </c>
      <c r="K49" s="89">
        <f>OFS_SalesOverview_InTax[[#This Row],[Buyers]]/OFS_SalesOverview_InTax[[#This Row],[UV]]</f>
        <v>5.716881245496977E-4</v>
      </c>
      <c r="L49" s="426">
        <f>OFS_SalesOverview_InTax[[#This Row],[GMV]]/OFS_SalesOverview_InTax[[#This Row],[Buyers]]</f>
        <v>7174.7808219178078</v>
      </c>
      <c r="M49" s="426">
        <f>OFS_SalesOverview_InTax[[#This Row],[GMV]]/OFS_SalesOverview_InTax[[#This Row],[Units]]</f>
        <v>4761.4454545454546</v>
      </c>
      <c r="N49" s="427">
        <f>OFS_SalesOverview_InTax[[#This Row],[Units]]/OFS_SalesOverview_InTax[[#This Row],[Buyers]]</f>
        <v>1.5068493150684932</v>
      </c>
      <c r="O49" s="88">
        <f>OFS_SalesOverview_InTax[[#This Row],[RR]]/OFS_SalesOverview_InTax[[#This Row],[GMV]]</f>
        <v>0.25668294005449072</v>
      </c>
      <c r="P49" s="426">
        <f>SUMIFS(OFS_SalesOverview_InTax[RR],OFS_SalesOverview_InTax[PayYear],OFS_SalesOverview_InTax[[#This Row],[DATE]])</f>
        <v>134440</v>
      </c>
      <c r="Q49" s="426">
        <f>SUMIFS(OFS_SalesOverview_InTax[MD GMV],OFS_SalesOverview_InTax[PayYear],OFS_SalesOverview_InTax[[#This Row],[DATE]])</f>
        <v>52288</v>
      </c>
      <c r="R49" s="90">
        <f>OFS_SalesOverview_InTax[[#This Row],[MD GMV]]/OFS_SalesOverview_InTax[[#This Row],[GMV]]</f>
        <v>9.9832174721579958E-2</v>
      </c>
      <c r="S49" s="426">
        <f>SUMIFS(OFS_SalesOverview_InTax[MD NET],OFS_SalesOverview_InTax[PayYear],OFS_SalesOverview_InTax[[#This Row],[DATE]])</f>
        <v>30603</v>
      </c>
      <c r="T49" s="90">
        <f>OFS_SalesOverview_InTax[[#This Row],[MD NET]]/OFS_SalesOverview_InTax[[#This Row],[NET]]</f>
        <v>7.8606489793716719E-2</v>
      </c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28" t="str">
        <f>_xlfn.XLOOKUP(OFS_SalesOverview_InTax[[#This Row],[DATE]],全店核心数据_bymonth[开始日期],全店核心数据_bymonth[jda日历.PayYear],"")</f>
        <v/>
      </c>
      <c r="AM49" s="28"/>
      <c r="AN49" s="28"/>
      <c r="AO49" s="425" t="str">
        <f>OFS_SalesOverview_InTax[[#This Row],[DATE]]</f>
        <v>BU26</v>
      </c>
      <c r="AP49" s="434">
        <f>OFS_SalesOverview_InTax[[#This Row],[GMV]]/$F$1</f>
        <v>463503.53982300888</v>
      </c>
      <c r="AQ49" s="434">
        <f>OFS_SalesOverview_InTax[[#This Row],[NET]]/$F$1</f>
        <v>344530.08849557524</v>
      </c>
      <c r="AR49" s="434">
        <f>OFS_SalesOverview_InTax[[#This Row],[UV]]</f>
        <v>127692</v>
      </c>
      <c r="AS49" s="426">
        <f>OFS_SalesOverview_InTax[[#This Row],[Buyers]]</f>
        <v>73</v>
      </c>
      <c r="AT49" s="426">
        <f>OFS_SalesOverview_InTax[[#This Row],[Units]]</f>
        <v>110</v>
      </c>
      <c r="AU49" s="89">
        <f>OFS_SalesOverview_ExclTax[[#This Row],[Buyers]]/OFS_SalesOverview_ExclTax[[#This Row],[UV]]</f>
        <v>5.716881245496977E-4</v>
      </c>
      <c r="AV49" s="426">
        <f>OFS_SalesOverview_ExclTax[[#This Row],[GMV]]/OFS_SalesOverview_ExclTax[[#This Row],[Buyers]]</f>
        <v>6349.3635592192995</v>
      </c>
      <c r="AW49" s="426">
        <f>OFS_SalesOverview_ExclTax[[#This Row],[GMV]]/OFS_SalesOverview_ExclTax[[#This Row],[Units]]</f>
        <v>4213.6685438455352</v>
      </c>
      <c r="AX49" s="427">
        <f>OFS_SalesOverview_ExclTax[[#This Row],[Units]]/OFS_SalesOverview_ExclTax[[#This Row],[Buyers]]</f>
        <v>1.5068493150684932</v>
      </c>
      <c r="AY49" s="88">
        <f>OFS_SalesOverview_ExclTax[[#This Row],[RR]]/OFS_SalesOverview_ExclTax[[#This Row],[GMV]]</f>
        <v>0.25668294005449072</v>
      </c>
      <c r="AZ49" s="434">
        <f>OFS_SalesOverview_InTax[[#This Row],[RR]]/$F$1</f>
        <v>118973.45132743364</v>
      </c>
      <c r="BA49" s="434">
        <f>OFS_SalesOverview_InTax[[#This Row],[MD GMV]]/$F$1</f>
        <v>46272.566371681423</v>
      </c>
      <c r="BB49" s="90">
        <f>OFS_SalesOverview_ExclTax[[#This Row],[MD GMV]]/OFS_SalesOverview_ExclTax[[#This Row],[GMV]]</f>
        <v>9.9832174721579972E-2</v>
      </c>
      <c r="BC49" s="95" t="str">
        <f>_xlfn.XLOOKUP(OFS_SalesOverview_ExclTax[[#This Row],[DATE]],全店核心数据_bymonth[开始日期],全店核心数据_bymonth[jda日历.PayYear],"")</f>
        <v/>
      </c>
      <c r="BD49" s="28"/>
      <c r="BE49" s="28"/>
      <c r="BF49" s="28"/>
      <c r="BG49" s="28"/>
      <c r="BH49" s="28"/>
      <c r="BI49" s="28"/>
      <c r="BJ49" s="28"/>
      <c r="BK49" s="28"/>
      <c r="BL49" s="28"/>
      <c r="CD49" s="424"/>
    </row>
    <row r="50" spans="5:86" s="433" customFormat="1" ht="14.5" customHeight="1" x14ac:dyDescent="0.3">
      <c r="E50" s="425" t="s">
        <v>246</v>
      </c>
      <c r="F50" s="426">
        <f>SUMIFS(OFS_SalesOverview_InTax[GMV],OFS_SalesOverview_InTax[DATE],"&lt;"&amp;EDATE(EOMONTH($K$1,0)+1,-12),OFS_SalesOverview_InTax[PayYear],OFS_SalesOverview_InTax[[#This Row],[DATE]])</f>
        <v>378425</v>
      </c>
      <c r="G50" s="426">
        <f>SUMIFS(OFS_SalesOverview_InTax[NET],OFS_SalesOverview_InTax[DATE],"&lt;"&amp;EDATE(EOMONTH($K$1,0)+1,-12),OFS_SalesOverview_InTax[PayYear],OFS_SalesOverview_InTax[[#This Row],[DATE]])</f>
        <v>320835</v>
      </c>
      <c r="H50" s="426">
        <f>SUMIFS(OFS_SalesOverview_InTax[UV],OFS_SalesOverview_InTax[DATE],"&lt;"&amp;EDATE(EOMONTH($K$1,0)+1,-12),OFS_SalesOverview_InTax[PayYear],OFS_SalesOverview_InTax[[#This Row],[DATE]])</f>
        <v>65622</v>
      </c>
      <c r="I50" s="426">
        <f>SUMIFS(OFS_SalesOverview_InTax[Buyers],OFS_SalesOverview_InTax[DATE],"&lt;"&amp;EDATE(EOMONTH($K$1,0)+1,-12),OFS_SalesOverview_InTax[PayYear],OFS_SalesOverview_InTax[[#This Row],[DATE]])</f>
        <v>57</v>
      </c>
      <c r="J50" s="426">
        <f>SUMIFS(OFS_SalesOverview_InTax[Units],OFS_SalesOverview_InTax[DATE],"&lt;"&amp;EDATE(EOMONTH($K$1,0)+1,-12),OFS_SalesOverview_InTax[PayYear],OFS_SalesOverview_InTax[[#This Row],[DATE]])</f>
        <v>80</v>
      </c>
      <c r="K50" s="89">
        <f>OFS_SalesOverview_InTax[[#This Row],[Buyers]]/OFS_SalesOverview_InTax[[#This Row],[UV]]</f>
        <v>8.6861113650909757E-4</v>
      </c>
      <c r="L50" s="426">
        <f>OFS_SalesOverview_InTax[[#This Row],[GMV]]/OFS_SalesOverview_InTax[[#This Row],[Buyers]]</f>
        <v>6639.0350877192986</v>
      </c>
      <c r="M50" s="426">
        <f>OFS_SalesOverview_InTax[[#This Row],[GMV]]/OFS_SalesOverview_InTax[[#This Row],[Units]]</f>
        <v>4730.3125</v>
      </c>
      <c r="N50" s="427">
        <f>OFS_SalesOverview_InTax[[#This Row],[Units]]/OFS_SalesOverview_InTax[[#This Row],[Buyers]]</f>
        <v>1.4035087719298245</v>
      </c>
      <c r="O50" s="88">
        <f>OFS_SalesOverview_InTax[[#This Row],[RR]]/OFS_SalesOverview_InTax[[#This Row],[GMV]]</f>
        <v>0.15218339168923828</v>
      </c>
      <c r="P50" s="426">
        <f>SUMIFS(OFS_SalesOverview_InTax[RR],OFS_SalesOverview_InTax[DATE],"&lt;"&amp;EDATE(EOMONTH($K$1,0)+1,-12),OFS_SalesOverview_InTax[PayYear],OFS_SalesOverview_InTax[[#This Row],[DATE]])</f>
        <v>57590</v>
      </c>
      <c r="Q50" s="426">
        <f>SUMIFS(OFS_SalesOverview_InTax[MD GMV],OFS_SalesOverview_InTax[DATE],"&lt;"&amp;EDATE(EOMONTH($K$1,0)+1,-12),OFS_SalesOverview_InTax[PayYear],OFS_SalesOverview_InTax[[#This Row],[DATE]])</f>
        <v>144850</v>
      </c>
      <c r="R50" s="90">
        <f>OFS_SalesOverview_InTax[[#This Row],[MD GMV]]/OFS_SalesOverview_InTax[[#This Row],[GMV]]</f>
        <v>0.38277069432516353</v>
      </c>
      <c r="S50" s="426">
        <f>SUMIFS(OFS_SalesOverview_InTax[MD NET],OFS_SalesOverview_InTax[DATE],"&lt;"&amp;EDATE(EOMONTH($K$1,0)+1,-12),OFS_SalesOverview_InTax[PayYear],OFS_SalesOverview_InTax[[#This Row],[DATE]])</f>
        <v>108165</v>
      </c>
      <c r="T50" s="90">
        <f>OFS_SalesOverview_InTax[[#This Row],[MD NET]]/OFS_SalesOverview_InTax[[#This Row],[NET]]</f>
        <v>0.33713591098228063</v>
      </c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28" t="str">
        <f>_xlfn.XLOOKUP(OFS_SalesOverview_InTax[[#This Row],[DATE]],全店核心数据_bymonth[开始日期],全店核心数据_bymonth[jda日历.PayYear],"")</f>
        <v/>
      </c>
      <c r="AM50" s="28"/>
      <c r="AN50" s="28"/>
      <c r="AO50" s="425" t="str">
        <f>OFS_SalesOverview_InTax[[#This Row],[DATE]]</f>
        <v>BU25</v>
      </c>
      <c r="AP50" s="434">
        <f>OFS_SalesOverview_InTax[[#This Row],[GMV]]/$F$1</f>
        <v>334889.38053097349</v>
      </c>
      <c r="AQ50" s="434">
        <f>OFS_SalesOverview_InTax[[#This Row],[NET]]/$F$1</f>
        <v>283924.77876106196</v>
      </c>
      <c r="AR50" s="434">
        <f>OFS_SalesOverview_InTax[[#This Row],[UV]]</f>
        <v>65622</v>
      </c>
      <c r="AS50" s="426">
        <f>OFS_SalesOverview_InTax[[#This Row],[Buyers]]</f>
        <v>57</v>
      </c>
      <c r="AT50" s="426">
        <f>OFS_SalesOverview_InTax[[#This Row],[Units]]</f>
        <v>80</v>
      </c>
      <c r="AU50" s="89">
        <f>OFS_SalesOverview_ExclTax[[#This Row],[Buyers]]/OFS_SalesOverview_ExclTax[[#This Row],[UV]]</f>
        <v>8.6861113650909757E-4</v>
      </c>
      <c r="AV50" s="426">
        <f>OFS_SalesOverview_ExclTax[[#This Row],[GMV]]/OFS_SalesOverview_ExclTax[[#This Row],[Buyers]]</f>
        <v>5875.2522900170788</v>
      </c>
      <c r="AW50" s="426">
        <f>OFS_SalesOverview_ExclTax[[#This Row],[GMV]]/OFS_SalesOverview_ExclTax[[#This Row],[Units]]</f>
        <v>4186.1172566371688</v>
      </c>
      <c r="AX50" s="427">
        <f>OFS_SalesOverview_ExclTax[[#This Row],[Units]]/OFS_SalesOverview_ExclTax[[#This Row],[Buyers]]</f>
        <v>1.4035087719298245</v>
      </c>
      <c r="AY50" s="88">
        <f>OFS_SalesOverview_ExclTax[[#This Row],[RR]]/OFS_SalesOverview_ExclTax[[#This Row],[GMV]]</f>
        <v>0.15218339168923828</v>
      </c>
      <c r="AZ50" s="434">
        <f>OFS_SalesOverview_InTax[[#This Row],[RR]]/$F$1</f>
        <v>50964.601769911511</v>
      </c>
      <c r="BA50" s="434">
        <f>OFS_SalesOverview_InTax[[#This Row],[MD GMV]]/$F$1</f>
        <v>128185.84070796461</v>
      </c>
      <c r="BB50" s="90">
        <f>OFS_SalesOverview_ExclTax[[#This Row],[MD GMV]]/OFS_SalesOverview_ExclTax[[#This Row],[GMV]]</f>
        <v>0.38277069432516347</v>
      </c>
      <c r="BC50" s="95" t="str">
        <f>_xlfn.XLOOKUP(OFS_SalesOverview_ExclTax[[#This Row],[DATE]],全店核心数据_bymonth[开始日期],全店核心数据_bymonth[jda日历.PayYear],"")</f>
        <v/>
      </c>
      <c r="BD50" s="28"/>
      <c r="BE50" s="28"/>
      <c r="BF50" s="28"/>
      <c r="BG50" s="28"/>
      <c r="BH50" s="28"/>
      <c r="BI50" s="28"/>
      <c r="BJ50" s="28"/>
      <c r="BK50" s="28"/>
      <c r="BL50" s="28"/>
      <c r="CD50" s="424"/>
    </row>
    <row r="51" spans="5:86" ht="14.5" customHeight="1" x14ac:dyDescent="0.3">
      <c r="E51" s="425" t="s">
        <v>232</v>
      </c>
      <c r="F51" s="256">
        <f t="shared" ref="F51:N51" si="4">F49/F50-1</f>
        <v>0.38404967959305014</v>
      </c>
      <c r="G51" s="256">
        <f t="shared" si="4"/>
        <v>0.21345551451680778</v>
      </c>
      <c r="H51" s="256">
        <f t="shared" si="4"/>
        <v>0.94587181128280151</v>
      </c>
      <c r="I51" s="256">
        <f t="shared" si="4"/>
        <v>0.2807017543859649</v>
      </c>
      <c r="J51" s="256">
        <f t="shared" si="4"/>
        <v>0.375</v>
      </c>
      <c r="K51" s="256">
        <f t="shared" si="4"/>
        <v>-0.34183652439999546</v>
      </c>
      <c r="L51" s="256">
        <f t="shared" si="4"/>
        <v>8.0696325161696558E-2</v>
      </c>
      <c r="M51" s="256">
        <f t="shared" si="4"/>
        <v>6.5815851585819818E-3</v>
      </c>
      <c r="N51" s="256">
        <f t="shared" si="4"/>
        <v>7.3630136986301498E-2</v>
      </c>
      <c r="O51" s="255">
        <f>(O49-O50)*100</f>
        <v>10.449954836525244</v>
      </c>
      <c r="P51" s="222">
        <f>P49/P50-1</f>
        <v>1.3344330612953637</v>
      </c>
      <c r="Q51" s="222">
        <f>Q49/Q50-1</f>
        <v>-0.63901967552640659</v>
      </c>
      <c r="R51" s="255">
        <f>(R49-R50)*100</f>
        <v>-28.293851960358356</v>
      </c>
      <c r="S51" s="222">
        <f>S49/S50-1</f>
        <v>-0.71707114131188465</v>
      </c>
      <c r="T51" s="255">
        <f>(T49-T50)*100</f>
        <v>-25.852942118856394</v>
      </c>
      <c r="U51" s="255"/>
      <c r="V51" s="255"/>
      <c r="W51" s="255"/>
      <c r="X51" s="255"/>
      <c r="Y51" s="255"/>
      <c r="Z51" s="255"/>
      <c r="AA51" s="255"/>
      <c r="AB51" s="255"/>
      <c r="AC51" s="255"/>
      <c r="AD51" s="255"/>
      <c r="AE51" s="255"/>
      <c r="AF51" s="255"/>
      <c r="AG51" s="255"/>
      <c r="AH51" s="255"/>
      <c r="AI51" s="255"/>
      <c r="AJ51" s="255"/>
      <c r="AK51" s="255"/>
      <c r="AL51" s="28" t="str">
        <f>_xlfn.XLOOKUP(OFS_SalesOverview_InTax[[#This Row],[DATE]],全店核心数据_bymonth[开始日期],全店核心数据_bymonth[jda日历.PayYear],"")</f>
        <v/>
      </c>
      <c r="AO51" s="425" t="str">
        <f>OFS_SalesOverview_InTax[[#This Row],[DATE]]</f>
        <v>YOY</v>
      </c>
      <c r="AP51" s="256">
        <f t="shared" ref="AP51:AX51" si="5">AP49/AP50-1</f>
        <v>0.38404967959305014</v>
      </c>
      <c r="AQ51" s="256">
        <f t="shared" si="5"/>
        <v>0.21345551451680778</v>
      </c>
      <c r="AR51" s="256">
        <f t="shared" si="5"/>
        <v>0.94587181128280151</v>
      </c>
      <c r="AS51" s="256">
        <f t="shared" si="5"/>
        <v>0.2807017543859649</v>
      </c>
      <c r="AT51" s="256">
        <f t="shared" si="5"/>
        <v>0.375</v>
      </c>
      <c r="AU51" s="256">
        <f t="shared" si="5"/>
        <v>-0.34183652439999546</v>
      </c>
      <c r="AV51" s="256">
        <f t="shared" si="5"/>
        <v>8.0696325161696558E-2</v>
      </c>
      <c r="AW51" s="256">
        <f t="shared" si="5"/>
        <v>6.5815851585817597E-3</v>
      </c>
      <c r="AX51" s="256">
        <f t="shared" si="5"/>
        <v>7.3630136986301498E-2</v>
      </c>
      <c r="AY51" s="255">
        <f>(AY49-AY50)*100</f>
        <v>10.449954836525244</v>
      </c>
      <c r="AZ51" s="222">
        <f>AZ49/AZ50-1</f>
        <v>1.3344330612953637</v>
      </c>
      <c r="BA51" s="222">
        <f>BA49/BA50-1</f>
        <v>-0.63901967552640659</v>
      </c>
      <c r="BB51" s="255">
        <f>(BB49-BB50)*100</f>
        <v>-28.293851960358353</v>
      </c>
      <c r="BC51" s="28" t="str">
        <f>_xlfn.XLOOKUP(OFS_SalesOverview_ExclTax[[#This Row],[DATE]],全店核心数据_bymonth[开始日期],全店核心数据_bymonth[jda日历.PayYear],"")</f>
        <v/>
      </c>
      <c r="BD51" s="433"/>
      <c r="BE51" s="433"/>
      <c r="BF51" s="433"/>
      <c r="BG51" s="433"/>
      <c r="BH51" s="433"/>
      <c r="BI51" s="433"/>
      <c r="BJ51" s="433"/>
      <c r="BK51" s="433"/>
      <c r="BL51" s="433"/>
      <c r="BO51" s="28"/>
      <c r="CD51" s="53"/>
    </row>
    <row r="52" spans="5:86" ht="14.5" customHeight="1" x14ac:dyDescent="0.3">
      <c r="E52" s="428">
        <v>45992</v>
      </c>
      <c r="F52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52203</v>
      </c>
      <c r="G52" s="431">
        <f>OFS_SalesOverview_InTax[[#This Row],[GMV]]-OFS_SalesOverview_InTax[[#This Row],[RR]]</f>
        <v>52203</v>
      </c>
      <c r="H52" s="431">
        <v>9756</v>
      </c>
      <c r="I52" s="435" cm="1">
        <f t="array" ref="I52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7</v>
      </c>
      <c r="J52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12</v>
      </c>
      <c r="K52" s="92">
        <f>OFS_SalesOverview_InTax[[#This Row],[Buyers]]/OFS_SalesOverview_InTax[[#This Row],[UV]]</f>
        <v>7.1750717507175076E-4</v>
      </c>
      <c r="L52" s="431">
        <f>OFS_SalesOverview_InTax[[#This Row],[GMV]]/OFS_SalesOverview_InTax[[#This Row],[Buyers]]</f>
        <v>7457.5714285714284</v>
      </c>
      <c r="M52" s="431">
        <f>OFS_SalesOverview_InTax[[#This Row],[GMV]]/OFS_SalesOverview_InTax[[#This Row],[Units]]</f>
        <v>4350.25</v>
      </c>
      <c r="N52" s="432">
        <f>OFS_SalesOverview_InTax[[#This Row],[Units]]/OFS_SalesOverview_InTax[[#This Row],[Buyers]]</f>
        <v>1.7142857142857142</v>
      </c>
      <c r="O52" s="93">
        <f>OFS_SalesOverview_InTax[[#This Row],[RR]]/OFS_SalesOverview_InTax[[#This Row],[GMV]]</f>
        <v>0</v>
      </c>
      <c r="P52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0</v>
      </c>
      <c r="Q52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9618</v>
      </c>
      <c r="R52" s="94">
        <f>OFS_SalesOverview_InTax[[#This Row],[MD GMV]]/OFS_SalesOverview_InTax[[#This Row],[GMV]]</f>
        <v>0.18424228492615366</v>
      </c>
      <c r="S52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9618</v>
      </c>
      <c r="T52" s="94">
        <f>OFS_SalesOverview_InTax[[#This Row],[MD NET]]/OFS_SalesOverview_InTax[[#This Row],[NET]]</f>
        <v>0.18424228492615366</v>
      </c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8" t="str">
        <f>_xlfn.XLOOKUP(OFS_SalesOverview_InTax[[#This Row],[DATE]],全店核心数据_bymonth[开始日期],全店核心数据_bymonth[jda日历.PayYear],"")</f>
        <v>BU26</v>
      </c>
      <c r="AO52" s="428">
        <f>OFS_SalesOverview_InTax[[#This Row],[DATE]]</f>
        <v>45992</v>
      </c>
      <c r="AP52" s="436">
        <f>OFS_SalesOverview_InTax[[#This Row],[GMV]]/$F$1</f>
        <v>46197.345132743365</v>
      </c>
      <c r="AQ52" s="436">
        <f>OFS_SalesOverview_ExclTax[[#This Row],[GMV]]-OFS_SalesOverview_ExclTax[[#This Row],[RR]]</f>
        <v>46197.345132743365</v>
      </c>
      <c r="AR52" s="431">
        <f>OFS_SalesOverview_InTax[[#This Row],[UV]]</f>
        <v>9756</v>
      </c>
      <c r="AS52" s="431">
        <f>OFS_SalesOverview_InTax[[#This Row],[Buyers]]</f>
        <v>7</v>
      </c>
      <c r="AT52" s="431">
        <f>OFS_SalesOverview_InTax[[#This Row],[Units]]</f>
        <v>12</v>
      </c>
      <c r="AU52" s="92">
        <f>OFS_SalesOverview_ExclTax[[#This Row],[Buyers]]/OFS_SalesOverview_ExclTax[[#This Row],[UV]]</f>
        <v>7.1750717507175076E-4</v>
      </c>
      <c r="AV52" s="431">
        <f>OFS_SalesOverview_ExclTax[[#This Row],[GMV]]/OFS_SalesOverview_ExclTax[[#This Row],[Buyers]]</f>
        <v>6599.6207332490521</v>
      </c>
      <c r="AW52" s="431">
        <f>OFS_SalesOverview_ExclTax[[#This Row],[GMV]]/OFS_SalesOverview_ExclTax[[#This Row],[Units]]</f>
        <v>3849.7787610619471</v>
      </c>
      <c r="AX52" s="432">
        <f>OFS_SalesOverview_ExclTax[[#This Row],[Units]]/OFS_SalesOverview_ExclTax[[#This Row],[Buyers]]</f>
        <v>1.7142857142857142</v>
      </c>
      <c r="AY52" s="93">
        <f>OFS_SalesOverview_ExclTax[[#This Row],[RR]]/OFS_SalesOverview_ExclTax[[#This Row],[GMV]]</f>
        <v>0</v>
      </c>
      <c r="AZ52" s="436">
        <f>OFS_SalesOverview_InTax[[#This Row],[RR]]/$F$1</f>
        <v>0</v>
      </c>
      <c r="BA52" s="436">
        <f>OFS_SalesOverview_InTax[[#This Row],[MD GMV]]/$F$1</f>
        <v>8511.5044247787628</v>
      </c>
      <c r="BB52" s="94">
        <f>OFS_SalesOverview_ExclTax[[#This Row],[MD GMV]]/OFS_SalesOverview_ExclTax[[#This Row],[GMV]]</f>
        <v>0.18424228492615369</v>
      </c>
      <c r="BC52" s="28" t="str">
        <f>_xlfn.XLOOKUP(OFS_SalesOverview_ExclTax[[#This Row],[DATE]],全店核心数据_bymonth[开始日期],全店核心数据_bymonth[jda日历.PayYear],"")</f>
        <v>BU26</v>
      </c>
      <c r="BD52" s="433"/>
      <c r="BE52" s="433"/>
      <c r="BF52" s="433"/>
      <c r="BG52" s="433"/>
      <c r="BH52" s="433"/>
      <c r="BI52" s="433"/>
      <c r="BJ52" s="433"/>
      <c r="BK52" s="433"/>
      <c r="BL52" s="433"/>
      <c r="BO52" s="28"/>
      <c r="CD52" s="53"/>
    </row>
    <row r="53" spans="5:86" ht="14.5" customHeight="1" x14ac:dyDescent="0.3">
      <c r="E53" s="428">
        <v>45962</v>
      </c>
      <c r="F53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22315</v>
      </c>
      <c r="G53" s="431">
        <f>OFS_SalesOverview_InTax[[#This Row],[GMV]]-OFS_SalesOverview_InTax[[#This Row],[RR]]</f>
        <v>21325</v>
      </c>
      <c r="H53" s="431">
        <v>9889</v>
      </c>
      <c r="I53" s="435" cm="1">
        <f t="array" ref="I53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6</v>
      </c>
      <c r="J53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17</v>
      </c>
      <c r="K53" s="92">
        <f>OFS_SalesOverview_InTax[[#This Row],[Buyers]]/OFS_SalesOverview_InTax[[#This Row],[UV]]</f>
        <v>6.0673475578926076E-4</v>
      </c>
      <c r="L53" s="431">
        <f>OFS_SalesOverview_InTax[[#This Row],[GMV]]/OFS_SalesOverview_InTax[[#This Row],[Buyers]]</f>
        <v>3719.1666666666665</v>
      </c>
      <c r="M53" s="431">
        <f>OFS_SalesOverview_InTax[[#This Row],[GMV]]/OFS_SalesOverview_InTax[[#This Row],[Units]]</f>
        <v>1312.6470588235295</v>
      </c>
      <c r="N53" s="432">
        <f>OFS_SalesOverview_InTax[[#This Row],[Units]]/OFS_SalesOverview_InTax[[#This Row],[Buyers]]</f>
        <v>2.8333333333333335</v>
      </c>
      <c r="O53" s="93">
        <f>OFS_SalesOverview_InTax[[#This Row],[RR]]/OFS_SalesOverview_InTax[[#This Row],[GMV]]</f>
        <v>4.4364777055792066E-2</v>
      </c>
      <c r="P53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990</v>
      </c>
      <c r="Q53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8950</v>
      </c>
      <c r="R53" s="94">
        <f>OFS_SalesOverview_InTax[[#This Row],[MD GMV]]/OFS_SalesOverview_InTax[[#This Row],[GMV]]</f>
        <v>0.40107550974680706</v>
      </c>
      <c r="S53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7960</v>
      </c>
      <c r="T53" s="94">
        <f>OFS_SalesOverview_InTax[[#This Row],[MD NET]]/OFS_SalesOverview_InTax[[#This Row],[NET]]</f>
        <v>0.37327080890973036</v>
      </c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8" t="str">
        <f>_xlfn.XLOOKUP(OFS_SalesOverview_InTax[[#This Row],[DATE]],全店核心数据_bymonth[开始日期],全店核心数据_bymonth[jda日历.PayYear],"")</f>
        <v>BU26</v>
      </c>
      <c r="AO53" s="428">
        <f>OFS_SalesOverview_InTax[[#This Row],[DATE]]</f>
        <v>45962</v>
      </c>
      <c r="AP53" s="436">
        <f>OFS_SalesOverview_InTax[[#This Row],[GMV]]/$F$1</f>
        <v>19747.787610619471</v>
      </c>
      <c r="AQ53" s="436">
        <f>OFS_SalesOverview_ExclTax[[#This Row],[GMV]]-OFS_SalesOverview_ExclTax[[#This Row],[RR]]</f>
        <v>18871.681415929204</v>
      </c>
      <c r="AR53" s="431">
        <f>OFS_SalesOverview_InTax[[#This Row],[UV]]</f>
        <v>9889</v>
      </c>
      <c r="AS53" s="431">
        <f>OFS_SalesOverview_InTax[[#This Row],[Buyers]]</f>
        <v>6</v>
      </c>
      <c r="AT53" s="431">
        <f>OFS_SalesOverview_InTax[[#This Row],[Units]]</f>
        <v>17</v>
      </c>
      <c r="AU53" s="92">
        <f>OFS_SalesOverview_ExclTax[[#This Row],[Buyers]]/OFS_SalesOverview_ExclTax[[#This Row],[UV]]</f>
        <v>6.0673475578926076E-4</v>
      </c>
      <c r="AV53" s="431">
        <f>OFS_SalesOverview_ExclTax[[#This Row],[GMV]]/OFS_SalesOverview_ExclTax[[#This Row],[Buyers]]</f>
        <v>3291.297935103245</v>
      </c>
      <c r="AW53" s="431">
        <f>OFS_SalesOverview_ExclTax[[#This Row],[GMV]]/OFS_SalesOverview_ExclTax[[#This Row],[Units]]</f>
        <v>1161.6345653305571</v>
      </c>
      <c r="AX53" s="432">
        <f>OFS_SalesOverview_ExclTax[[#This Row],[Units]]/OFS_SalesOverview_ExclTax[[#This Row],[Buyers]]</f>
        <v>2.8333333333333335</v>
      </c>
      <c r="AY53" s="93">
        <f>OFS_SalesOverview_ExclTax[[#This Row],[RR]]/OFS_SalesOverview_ExclTax[[#This Row],[GMV]]</f>
        <v>4.4364777055792073E-2</v>
      </c>
      <c r="AZ53" s="436">
        <f>OFS_SalesOverview_InTax[[#This Row],[RR]]/$F$1</f>
        <v>876.10619469026562</v>
      </c>
      <c r="BA53" s="436">
        <f>OFS_SalesOverview_InTax[[#This Row],[MD GMV]]/$F$1</f>
        <v>7920.3539823008859</v>
      </c>
      <c r="BB53" s="94">
        <f>OFS_SalesOverview_ExclTax[[#This Row],[MD GMV]]/OFS_SalesOverview_ExclTax[[#This Row],[GMV]]</f>
        <v>0.40107550974680711</v>
      </c>
      <c r="BC53" s="28" t="str">
        <f>_xlfn.XLOOKUP(OFS_SalesOverview_ExclTax[[#This Row],[DATE]],全店核心数据_bymonth[开始日期],全店核心数据_bymonth[jda日历.PayYear],"")</f>
        <v>BU26</v>
      </c>
      <c r="BD53" s="433"/>
      <c r="BE53" s="433"/>
      <c r="BF53" s="433"/>
      <c r="BG53" s="433"/>
      <c r="BH53" s="433"/>
      <c r="BI53" s="433"/>
      <c r="BJ53" s="433"/>
      <c r="BK53" s="433"/>
      <c r="BL53" s="433"/>
      <c r="BO53" s="28"/>
      <c r="CD53" s="53"/>
    </row>
    <row r="54" spans="5:86" ht="14.5" customHeight="1" x14ac:dyDescent="0.3">
      <c r="E54" s="428">
        <v>45931</v>
      </c>
      <c r="F54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74100</v>
      </c>
      <c r="G54" s="431">
        <f>OFS_SalesOverview_InTax[[#This Row],[GMV]]-OFS_SalesOverview_InTax[[#This Row],[RR]]</f>
        <v>34700</v>
      </c>
      <c r="H54" s="431">
        <v>9309</v>
      </c>
      <c r="I54" s="435" cm="1">
        <f t="array" ref="I54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6</v>
      </c>
      <c r="J54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8</v>
      </c>
      <c r="K54" s="92">
        <f>OFS_SalesOverview_InTax[[#This Row],[Buyers]]/OFS_SalesOverview_InTax[[#This Row],[UV]]</f>
        <v>6.4453754431195622E-4</v>
      </c>
      <c r="L54" s="431">
        <f>OFS_SalesOverview_InTax[[#This Row],[GMV]]/OFS_SalesOverview_InTax[[#This Row],[Buyers]]</f>
        <v>12350</v>
      </c>
      <c r="M54" s="431">
        <f>OFS_SalesOverview_InTax[[#This Row],[GMV]]/OFS_SalesOverview_InTax[[#This Row],[Units]]</f>
        <v>9262.5</v>
      </c>
      <c r="N54" s="432">
        <f>OFS_SalesOverview_InTax[[#This Row],[Units]]/OFS_SalesOverview_InTax[[#This Row],[Buyers]]</f>
        <v>1.3333333333333333</v>
      </c>
      <c r="O54" s="93">
        <f>OFS_SalesOverview_InTax[[#This Row],[RR]]/OFS_SalesOverview_InTax[[#This Row],[GMV]]</f>
        <v>0.53171390013495279</v>
      </c>
      <c r="P54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39400</v>
      </c>
      <c r="Q54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R54" s="94">
        <f>OFS_SalesOverview_InTax[[#This Row],[MD GMV]]/OFS_SalesOverview_InTax[[#This Row],[GMV]]</f>
        <v>0</v>
      </c>
      <c r="S54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T54" s="94">
        <f>OFS_SalesOverview_InTax[[#This Row],[MD NET]]/OFS_SalesOverview_InTax[[#This Row],[NET]]</f>
        <v>0</v>
      </c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8" t="str">
        <f>_xlfn.XLOOKUP(OFS_SalesOverview_InTax[[#This Row],[DATE]],全店核心数据_bymonth[开始日期],全店核心数据_bymonth[jda日历.PayYear],"")</f>
        <v>BU26</v>
      </c>
      <c r="AO54" s="428">
        <f>OFS_SalesOverview_InTax[[#This Row],[DATE]]</f>
        <v>45931</v>
      </c>
      <c r="AP54" s="436">
        <f>OFS_SalesOverview_InTax[[#This Row],[GMV]]/$F$1</f>
        <v>65575.221238938058</v>
      </c>
      <c r="AQ54" s="436">
        <f>OFS_SalesOverview_ExclTax[[#This Row],[GMV]]-OFS_SalesOverview_ExclTax[[#This Row],[RR]]</f>
        <v>30707.964601769912</v>
      </c>
      <c r="AR54" s="431">
        <f>OFS_SalesOverview_InTax[[#This Row],[UV]]</f>
        <v>9309</v>
      </c>
      <c r="AS54" s="431">
        <f>OFS_SalesOverview_InTax[[#This Row],[Buyers]]</f>
        <v>6</v>
      </c>
      <c r="AT54" s="431">
        <f>OFS_SalesOverview_InTax[[#This Row],[Units]]</f>
        <v>8</v>
      </c>
      <c r="AU54" s="92">
        <f>OFS_SalesOverview_ExclTax[[#This Row],[Buyers]]/OFS_SalesOverview_ExclTax[[#This Row],[UV]]</f>
        <v>6.4453754431195622E-4</v>
      </c>
      <c r="AV54" s="431">
        <f>OFS_SalesOverview_ExclTax[[#This Row],[GMV]]/OFS_SalesOverview_ExclTax[[#This Row],[Buyers]]</f>
        <v>10929.203539823009</v>
      </c>
      <c r="AW54" s="431">
        <f>OFS_SalesOverview_ExclTax[[#This Row],[GMV]]/OFS_SalesOverview_ExclTax[[#This Row],[Units]]</f>
        <v>8196.9026548672573</v>
      </c>
      <c r="AX54" s="432">
        <f>OFS_SalesOverview_ExclTax[[#This Row],[Units]]/OFS_SalesOverview_ExclTax[[#This Row],[Buyers]]</f>
        <v>1.3333333333333333</v>
      </c>
      <c r="AY54" s="93">
        <f>OFS_SalesOverview_ExclTax[[#This Row],[RR]]/OFS_SalesOverview_ExclTax[[#This Row],[GMV]]</f>
        <v>0.53171390013495279</v>
      </c>
      <c r="AZ54" s="436">
        <f>OFS_SalesOverview_InTax[[#This Row],[RR]]/$F$1</f>
        <v>34867.256637168146</v>
      </c>
      <c r="BA54" s="436">
        <f>OFS_SalesOverview_InTax[[#This Row],[MD GMV]]/$F$1</f>
        <v>0</v>
      </c>
      <c r="BB54" s="94">
        <f>OFS_SalesOverview_ExclTax[[#This Row],[MD GMV]]/OFS_SalesOverview_ExclTax[[#This Row],[GMV]]</f>
        <v>0</v>
      </c>
      <c r="BC54" s="28" t="str">
        <f>_xlfn.XLOOKUP(OFS_SalesOverview_ExclTax[[#This Row],[DATE]],全店核心数据_bymonth[开始日期],全店核心数据_bymonth[jda日历.PayYear],"")</f>
        <v>BU26</v>
      </c>
      <c r="BD54" s="433"/>
      <c r="BE54" s="433"/>
      <c r="BF54" s="433"/>
      <c r="BG54" s="433"/>
      <c r="BH54" s="433"/>
      <c r="BI54" s="433"/>
      <c r="BJ54" s="433"/>
      <c r="BK54" s="433"/>
      <c r="BL54" s="433"/>
      <c r="BO54" s="28"/>
      <c r="CD54" s="53"/>
    </row>
    <row r="55" spans="5:86" ht="14.5" customHeight="1" x14ac:dyDescent="0.3">
      <c r="E55" s="428">
        <v>45901</v>
      </c>
      <c r="F55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119531</v>
      </c>
      <c r="G55" s="431">
        <f>OFS_SalesOverview_InTax[[#This Row],[GMV]]-OFS_SalesOverview_InTax[[#This Row],[RR]]</f>
        <v>119531</v>
      </c>
      <c r="H55" s="431">
        <v>7258</v>
      </c>
      <c r="I55" s="435" cm="1">
        <f t="array" ref="I55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10</v>
      </c>
      <c r="J55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14</v>
      </c>
      <c r="K55" s="92">
        <f>OFS_SalesOverview_InTax[[#This Row],[Buyers]]/OFS_SalesOverview_InTax[[#This Row],[UV]]</f>
        <v>1.3777900248002205E-3</v>
      </c>
      <c r="L55" s="431">
        <f>OFS_SalesOverview_InTax[[#This Row],[GMV]]/OFS_SalesOverview_InTax[[#This Row],[Buyers]]</f>
        <v>11953.1</v>
      </c>
      <c r="M55" s="431">
        <f>OFS_SalesOverview_InTax[[#This Row],[GMV]]/OFS_SalesOverview_InTax[[#This Row],[Units]]</f>
        <v>8537.9285714285706</v>
      </c>
      <c r="N55" s="432">
        <f>OFS_SalesOverview_InTax[[#This Row],[Units]]/OFS_SalesOverview_InTax[[#This Row],[Buyers]]</f>
        <v>1.4</v>
      </c>
      <c r="O55" s="93">
        <f>OFS_SalesOverview_InTax[[#This Row],[RR]]/OFS_SalesOverview_InTax[[#This Row],[GMV]]</f>
        <v>0</v>
      </c>
      <c r="P55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0</v>
      </c>
      <c r="Q55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6920</v>
      </c>
      <c r="R55" s="94">
        <f>OFS_SalesOverview_InTax[[#This Row],[MD GMV]]/OFS_SalesOverview_InTax[[#This Row],[GMV]]</f>
        <v>5.7892931540771853E-2</v>
      </c>
      <c r="S55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6920</v>
      </c>
      <c r="T55" s="94">
        <f>OFS_SalesOverview_InTax[[#This Row],[MD NET]]/OFS_SalesOverview_InTax[[#This Row],[NET]]</f>
        <v>5.7892931540771853E-2</v>
      </c>
      <c r="U55" s="255"/>
      <c r="V55" s="255"/>
      <c r="W55" s="255"/>
      <c r="X55" s="255"/>
      <c r="Y55" s="255"/>
      <c r="Z55" s="255"/>
      <c r="AA55" s="255"/>
      <c r="AB55" s="255"/>
      <c r="AC55" s="255"/>
      <c r="AD55" s="255"/>
      <c r="AE55" s="255"/>
      <c r="AF55" s="255"/>
      <c r="AG55" s="255"/>
      <c r="AH55" s="255"/>
      <c r="AI55" s="255"/>
      <c r="AJ55" s="255"/>
      <c r="AK55" s="255"/>
      <c r="AL55" s="28" t="str">
        <f>_xlfn.XLOOKUP(OFS_SalesOverview_InTax[[#This Row],[DATE]],全店核心数据_bymonth[开始日期],全店核心数据_bymonth[jda日历.PayYear],"")</f>
        <v>BU26</v>
      </c>
      <c r="AO55" s="428">
        <f>OFS_SalesOverview_InTax[[#This Row],[DATE]]</f>
        <v>45901</v>
      </c>
      <c r="AP55" s="436">
        <f>OFS_SalesOverview_InTax[[#This Row],[GMV]]/$F$1</f>
        <v>105779.64601769912</v>
      </c>
      <c r="AQ55" s="436">
        <f>OFS_SalesOverview_ExclTax[[#This Row],[GMV]]-OFS_SalesOverview_ExclTax[[#This Row],[RR]]</f>
        <v>105779.64601769912</v>
      </c>
      <c r="AR55" s="431">
        <f>OFS_SalesOverview_InTax[[#This Row],[UV]]</f>
        <v>7258</v>
      </c>
      <c r="AS55" s="431">
        <f>OFS_SalesOverview_InTax[[#This Row],[Buyers]]</f>
        <v>10</v>
      </c>
      <c r="AT55" s="431">
        <f>OFS_SalesOverview_InTax[[#This Row],[Units]]</f>
        <v>14</v>
      </c>
      <c r="AU55" s="92">
        <f>OFS_SalesOverview_ExclTax[[#This Row],[Buyers]]/OFS_SalesOverview_ExclTax[[#This Row],[UV]]</f>
        <v>1.3777900248002205E-3</v>
      </c>
      <c r="AV55" s="431">
        <f>OFS_SalesOverview_ExclTax[[#This Row],[GMV]]/OFS_SalesOverview_ExclTax[[#This Row],[Buyers]]</f>
        <v>10577.964601769912</v>
      </c>
      <c r="AW55" s="431">
        <f>OFS_SalesOverview_ExclTax[[#This Row],[GMV]]/OFS_SalesOverview_ExclTax[[#This Row],[Units]]</f>
        <v>7555.6890012642234</v>
      </c>
      <c r="AX55" s="432">
        <f>OFS_SalesOverview_ExclTax[[#This Row],[Units]]/OFS_SalesOverview_ExclTax[[#This Row],[Buyers]]</f>
        <v>1.4</v>
      </c>
      <c r="AY55" s="93">
        <f>OFS_SalesOverview_ExclTax[[#This Row],[RR]]/OFS_SalesOverview_ExclTax[[#This Row],[GMV]]</f>
        <v>0</v>
      </c>
      <c r="AZ55" s="436">
        <f>OFS_SalesOverview_InTax[[#This Row],[RR]]/$F$1</f>
        <v>0</v>
      </c>
      <c r="BA55" s="436">
        <f>OFS_SalesOverview_InTax[[#This Row],[MD GMV]]/$F$1</f>
        <v>6123.8938053097354</v>
      </c>
      <c r="BB55" s="94">
        <f>OFS_SalesOverview_ExclTax[[#This Row],[MD GMV]]/OFS_SalesOverview_ExclTax[[#This Row],[GMV]]</f>
        <v>5.7892931540771853E-2</v>
      </c>
      <c r="BC55" s="28" t="str">
        <f>_xlfn.XLOOKUP(OFS_SalesOverview_ExclTax[[#This Row],[DATE]],全店核心数据_bymonth[开始日期],全店核心数据_bymonth[jda日历.PayYear],"")</f>
        <v>BU26</v>
      </c>
      <c r="BD55" s="433"/>
      <c r="BE55" s="433"/>
      <c r="BF55" s="433"/>
      <c r="BG55" s="433"/>
      <c r="BH55" s="433"/>
      <c r="BI55" s="433"/>
      <c r="BJ55" s="433"/>
      <c r="BK55" s="433"/>
      <c r="BL55" s="433"/>
      <c r="BO55" s="28"/>
      <c r="CD55" s="53"/>
    </row>
    <row r="56" spans="5:86" ht="14.5" customHeight="1" x14ac:dyDescent="0.3">
      <c r="E56" s="428">
        <v>45870</v>
      </c>
      <c r="F56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30235</v>
      </c>
      <c r="G56" s="431">
        <f>OFS_SalesOverview_InTax[[#This Row],[GMV]]-OFS_SalesOverview_InTax[[#This Row],[RR]]</f>
        <v>22090</v>
      </c>
      <c r="H56" s="431">
        <v>7186</v>
      </c>
      <c r="I56" s="435" cm="1">
        <f t="array" ref="I56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5</v>
      </c>
      <c r="J56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6</v>
      </c>
      <c r="K56" s="92">
        <f>OFS_SalesOverview_InTax[[#This Row],[Buyers]]/OFS_SalesOverview_InTax[[#This Row],[UV]]</f>
        <v>6.9579738380183694E-4</v>
      </c>
      <c r="L56" s="431">
        <f>OFS_SalesOverview_InTax[[#This Row],[GMV]]/OFS_SalesOverview_InTax[[#This Row],[Buyers]]</f>
        <v>6047</v>
      </c>
      <c r="M56" s="431">
        <f>OFS_SalesOverview_InTax[[#This Row],[GMV]]/OFS_SalesOverview_InTax[[#This Row],[Units]]</f>
        <v>5039.166666666667</v>
      </c>
      <c r="N56" s="432">
        <f>OFS_SalesOverview_InTax[[#This Row],[Units]]/OFS_SalesOverview_InTax[[#This Row],[Buyers]]</f>
        <v>1.2</v>
      </c>
      <c r="O56" s="93">
        <f>OFS_SalesOverview_InTax[[#This Row],[RR]]/OFS_SalesOverview_InTax[[#This Row],[GMV]]</f>
        <v>0.26938978005622621</v>
      </c>
      <c r="P56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8145</v>
      </c>
      <c r="Q56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R56" s="94">
        <f>OFS_SalesOverview_InTax[[#This Row],[MD GMV]]/OFS_SalesOverview_InTax[[#This Row],[GMV]]</f>
        <v>0</v>
      </c>
      <c r="S56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T56" s="94">
        <f>OFS_SalesOverview_InTax[[#This Row],[MD NET]]/OFS_SalesOverview_InTax[[#This Row],[NET]]</f>
        <v>0</v>
      </c>
      <c r="U56" s="255"/>
      <c r="V56" s="255"/>
      <c r="W56" s="255"/>
      <c r="X56" s="255"/>
      <c r="Y56" s="255"/>
      <c r="Z56" s="255"/>
      <c r="AA56" s="255"/>
      <c r="AB56" s="255"/>
      <c r="AC56" s="255"/>
      <c r="AD56" s="255"/>
      <c r="AE56" s="255"/>
      <c r="AF56" s="255"/>
      <c r="AG56" s="255"/>
      <c r="AH56" s="255"/>
      <c r="AI56" s="255"/>
      <c r="AJ56" s="255"/>
      <c r="AK56" s="255"/>
      <c r="AL56" s="28" t="str">
        <f>_xlfn.XLOOKUP(OFS_SalesOverview_InTax[[#This Row],[DATE]],全店核心数据_bymonth[开始日期],全店核心数据_bymonth[jda日历.PayYear],"")</f>
        <v>BU26</v>
      </c>
      <c r="AO56" s="428">
        <f>OFS_SalesOverview_InTax[[#This Row],[DATE]]</f>
        <v>45870</v>
      </c>
      <c r="AP56" s="436">
        <f>OFS_SalesOverview_InTax[[#This Row],[GMV]]/$F$1</f>
        <v>26756.637168141595</v>
      </c>
      <c r="AQ56" s="436">
        <f>OFS_SalesOverview_ExclTax[[#This Row],[GMV]]-OFS_SalesOverview_ExclTax[[#This Row],[RR]]</f>
        <v>19548.672566371682</v>
      </c>
      <c r="AR56" s="431">
        <f>OFS_SalesOverview_InTax[[#This Row],[UV]]</f>
        <v>7186</v>
      </c>
      <c r="AS56" s="431">
        <f>OFS_SalesOverview_InTax[[#This Row],[Buyers]]</f>
        <v>5</v>
      </c>
      <c r="AT56" s="431">
        <f>OFS_SalesOverview_InTax[[#This Row],[Units]]</f>
        <v>6</v>
      </c>
      <c r="AU56" s="92">
        <f>OFS_SalesOverview_ExclTax[[#This Row],[Buyers]]/OFS_SalesOverview_ExclTax[[#This Row],[UV]]</f>
        <v>6.9579738380183694E-4</v>
      </c>
      <c r="AV56" s="431">
        <f>OFS_SalesOverview_ExclTax[[#This Row],[GMV]]/OFS_SalesOverview_ExclTax[[#This Row],[Buyers]]</f>
        <v>5351.3274336283193</v>
      </c>
      <c r="AW56" s="431">
        <f>OFS_SalesOverview_ExclTax[[#This Row],[GMV]]/OFS_SalesOverview_ExclTax[[#This Row],[Units]]</f>
        <v>4459.4395280235995</v>
      </c>
      <c r="AX56" s="432">
        <f>OFS_SalesOverview_ExclTax[[#This Row],[Units]]/OFS_SalesOverview_ExclTax[[#This Row],[Buyers]]</f>
        <v>1.2</v>
      </c>
      <c r="AY56" s="93">
        <f>OFS_SalesOverview_ExclTax[[#This Row],[RR]]/OFS_SalesOverview_ExclTax[[#This Row],[GMV]]</f>
        <v>0.26938978005622627</v>
      </c>
      <c r="AZ56" s="436">
        <f>OFS_SalesOverview_InTax[[#This Row],[RR]]/$F$1</f>
        <v>7207.9646017699124</v>
      </c>
      <c r="BA56" s="436">
        <f>OFS_SalesOverview_InTax[[#This Row],[MD GMV]]/$F$1</f>
        <v>0</v>
      </c>
      <c r="BB56" s="94">
        <f>OFS_SalesOverview_ExclTax[[#This Row],[MD GMV]]/OFS_SalesOverview_ExclTax[[#This Row],[GMV]]</f>
        <v>0</v>
      </c>
      <c r="BC56" s="28" t="str">
        <f>_xlfn.XLOOKUP(OFS_SalesOverview_ExclTax[[#This Row],[DATE]],全店核心数据_bymonth[开始日期],全店核心数据_bymonth[jda日历.PayYear],"")</f>
        <v>BU26</v>
      </c>
      <c r="BD56" s="433"/>
      <c r="BE56" s="433"/>
      <c r="BF56" s="433"/>
      <c r="BG56" s="433"/>
      <c r="BH56" s="433"/>
      <c r="BI56" s="433"/>
      <c r="BJ56" s="433"/>
      <c r="BK56" s="433"/>
      <c r="BL56" s="433"/>
      <c r="BO56" s="28"/>
      <c r="CD56" s="53"/>
    </row>
    <row r="57" spans="5:86" ht="14.5" customHeight="1" x14ac:dyDescent="0.3">
      <c r="E57" s="428">
        <v>45839</v>
      </c>
      <c r="F57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71940</v>
      </c>
      <c r="G57" s="431">
        <f>OFS_SalesOverview_InTax[[#This Row],[GMV]]-OFS_SalesOverview_InTax[[#This Row],[RR]]</f>
        <v>25300</v>
      </c>
      <c r="H57" s="431">
        <v>22602</v>
      </c>
      <c r="I57" s="435" cm="1">
        <f t="array" ref="I57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14</v>
      </c>
      <c r="J57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15</v>
      </c>
      <c r="K57" s="92">
        <f>OFS_SalesOverview_InTax[[#This Row],[Buyers]]/OFS_SalesOverview_InTax[[#This Row],[UV]]</f>
        <v>6.1941421113175822E-4</v>
      </c>
      <c r="L57" s="431">
        <f>OFS_SalesOverview_InTax[[#This Row],[GMV]]/OFS_SalesOverview_InTax[[#This Row],[Buyers]]</f>
        <v>5138.5714285714284</v>
      </c>
      <c r="M57" s="431">
        <f>OFS_SalesOverview_InTax[[#This Row],[GMV]]/OFS_SalesOverview_InTax[[#This Row],[Units]]</f>
        <v>4796</v>
      </c>
      <c r="N57" s="432">
        <f>OFS_SalesOverview_InTax[[#This Row],[Units]]/OFS_SalesOverview_InTax[[#This Row],[Buyers]]</f>
        <v>1.0714285714285714</v>
      </c>
      <c r="O57" s="93">
        <f>OFS_SalesOverview_InTax[[#This Row],[RR]]/OFS_SalesOverview_InTax[[#This Row],[GMV]]</f>
        <v>0.64831804281345562</v>
      </c>
      <c r="P57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46640</v>
      </c>
      <c r="Q57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15920</v>
      </c>
      <c r="R57" s="94">
        <f>OFS_SalesOverview_InTax[[#This Row],[MD GMV]]/OFS_SalesOverview_InTax[[#This Row],[GMV]]</f>
        <v>0.22129552404781763</v>
      </c>
      <c r="S57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2815</v>
      </c>
      <c r="T57" s="94">
        <f>OFS_SalesOverview_InTax[[#This Row],[MD NET]]/OFS_SalesOverview_InTax[[#This Row],[NET]]</f>
        <v>0.11126482213438735</v>
      </c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8" t="str">
        <f>_xlfn.XLOOKUP(OFS_SalesOverview_InTax[[#This Row],[DATE]],全店核心数据_bymonth[开始日期],全店核心数据_bymonth[jda日历.PayYear],"")</f>
        <v>BU26</v>
      </c>
      <c r="AO57" s="428">
        <f>OFS_SalesOverview_InTax[[#This Row],[DATE]]</f>
        <v>45839</v>
      </c>
      <c r="AP57" s="436">
        <f>OFS_SalesOverview_InTax[[#This Row],[GMV]]/$F$1</f>
        <v>63663.716814159299</v>
      </c>
      <c r="AQ57" s="436">
        <f>OFS_SalesOverview_ExclTax[[#This Row],[GMV]]-OFS_SalesOverview_ExclTax[[#This Row],[RR]]</f>
        <v>22389.380530973453</v>
      </c>
      <c r="AR57" s="431">
        <f>OFS_SalesOverview_InTax[[#This Row],[UV]]</f>
        <v>22602</v>
      </c>
      <c r="AS57" s="431">
        <f>OFS_SalesOverview_InTax[[#This Row],[Buyers]]</f>
        <v>14</v>
      </c>
      <c r="AT57" s="431">
        <f>OFS_SalesOverview_InTax[[#This Row],[Units]]</f>
        <v>15</v>
      </c>
      <c r="AU57" s="92">
        <f>OFS_SalesOverview_ExclTax[[#This Row],[Buyers]]/OFS_SalesOverview_ExclTax[[#This Row],[UV]]</f>
        <v>6.1941421113175822E-4</v>
      </c>
      <c r="AV57" s="431">
        <f>OFS_SalesOverview_ExclTax[[#This Row],[GMV]]/OFS_SalesOverview_ExclTax[[#This Row],[Buyers]]</f>
        <v>4547.4083438685211</v>
      </c>
      <c r="AW57" s="431">
        <f>OFS_SalesOverview_ExclTax[[#This Row],[GMV]]/OFS_SalesOverview_ExclTax[[#This Row],[Units]]</f>
        <v>4244.2477876106195</v>
      </c>
      <c r="AX57" s="432">
        <f>OFS_SalesOverview_ExclTax[[#This Row],[Units]]/OFS_SalesOverview_ExclTax[[#This Row],[Buyers]]</f>
        <v>1.0714285714285714</v>
      </c>
      <c r="AY57" s="93">
        <f>OFS_SalesOverview_ExclTax[[#This Row],[RR]]/OFS_SalesOverview_ExclTax[[#This Row],[GMV]]</f>
        <v>0.64831804281345573</v>
      </c>
      <c r="AZ57" s="436">
        <f>OFS_SalesOverview_InTax[[#This Row],[RR]]/$F$1</f>
        <v>41274.336283185847</v>
      </c>
      <c r="BA57" s="436">
        <f>OFS_SalesOverview_InTax[[#This Row],[MD GMV]]/$F$1</f>
        <v>14088.495575221241</v>
      </c>
      <c r="BB57" s="94">
        <f>OFS_SalesOverview_ExclTax[[#This Row],[MD GMV]]/OFS_SalesOverview_ExclTax[[#This Row],[GMV]]</f>
        <v>0.22129552404781763</v>
      </c>
      <c r="BC57" s="28" t="str">
        <f>_xlfn.XLOOKUP(OFS_SalesOverview_ExclTax[[#This Row],[DATE]],全店核心数据_bymonth[开始日期],全店核心数据_bymonth[jda日历.PayYear],"")</f>
        <v>BU26</v>
      </c>
      <c r="BD57" s="433"/>
      <c r="BE57" s="433"/>
      <c r="BF57" s="433"/>
      <c r="BG57" s="433"/>
      <c r="BH57" s="433"/>
      <c r="BI57" s="433"/>
      <c r="BJ57" s="433"/>
      <c r="BK57" s="433"/>
      <c r="BL57" s="433"/>
      <c r="BO57" s="28"/>
      <c r="CD57" s="53"/>
    </row>
    <row r="58" spans="5:86" ht="14.5" customHeight="1" x14ac:dyDescent="0.3">
      <c r="E58" s="428">
        <v>45809</v>
      </c>
      <c r="F58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115015</v>
      </c>
      <c r="G58" s="431">
        <f>OFS_SalesOverview_InTax[[#This Row],[GMV]]-OFS_SalesOverview_InTax[[#This Row],[RR]]</f>
        <v>89490</v>
      </c>
      <c r="H58" s="431">
        <v>48564</v>
      </c>
      <c r="I58" s="435" cm="1">
        <f t="array" ref="I58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18</v>
      </c>
      <c r="J58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29</v>
      </c>
      <c r="K58" s="92">
        <f>OFS_SalesOverview_InTax[[#This Row],[Buyers]]/OFS_SalesOverview_InTax[[#This Row],[UV]]</f>
        <v>3.7064492216456633E-4</v>
      </c>
      <c r="L58" s="431">
        <f>OFS_SalesOverview_InTax[[#This Row],[GMV]]/OFS_SalesOverview_InTax[[#This Row],[Buyers]]</f>
        <v>6389.7222222222226</v>
      </c>
      <c r="M58" s="431">
        <f>OFS_SalesOverview_InTax[[#This Row],[GMV]]/OFS_SalesOverview_InTax[[#This Row],[Units]]</f>
        <v>3966.0344827586205</v>
      </c>
      <c r="N58" s="432">
        <f>OFS_SalesOverview_InTax[[#This Row],[Units]]/OFS_SalesOverview_InTax[[#This Row],[Buyers]]</f>
        <v>1.6111111111111112</v>
      </c>
      <c r="O58" s="93">
        <f>OFS_SalesOverview_InTax[[#This Row],[RR]]/OFS_SalesOverview_InTax[[#This Row],[GMV]]</f>
        <v>0.22192757466417423</v>
      </c>
      <c r="P58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25525</v>
      </c>
      <c r="Q58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10880</v>
      </c>
      <c r="R58" s="94">
        <f>OFS_SalesOverview_InTax[[#This Row],[MD GMV]]/OFS_SalesOverview_InTax[[#This Row],[GMV]]</f>
        <v>9.4596356996913447E-2</v>
      </c>
      <c r="S58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3290</v>
      </c>
      <c r="T58" s="94">
        <f>OFS_SalesOverview_InTax[[#This Row],[MD NET]]/OFS_SalesOverview_InTax[[#This Row],[NET]]</f>
        <v>3.6763884232875181E-2</v>
      </c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8" t="str">
        <f>_xlfn.XLOOKUP(OFS_SalesOverview_InTax[[#This Row],[DATE]],全店核心数据_bymonth[开始日期],全店核心数据_bymonth[jda日历.PayYear],"")</f>
        <v>BU26</v>
      </c>
      <c r="AO58" s="428">
        <f>OFS_SalesOverview_InTax[[#This Row],[DATE]]</f>
        <v>45809</v>
      </c>
      <c r="AP58" s="436">
        <f>OFS_SalesOverview_InTax[[#This Row],[GMV]]/$F$1</f>
        <v>101783.18584070797</v>
      </c>
      <c r="AQ58" s="436">
        <f>OFS_SalesOverview_ExclTax[[#This Row],[GMV]]-OFS_SalesOverview_ExclTax[[#This Row],[RR]]</f>
        <v>79194.69026548673</v>
      </c>
      <c r="AR58" s="431">
        <f>OFS_SalesOverview_InTax[[#This Row],[UV]]</f>
        <v>48564</v>
      </c>
      <c r="AS58" s="431">
        <f>OFS_SalesOverview_InTax[[#This Row],[Buyers]]</f>
        <v>18</v>
      </c>
      <c r="AT58" s="431">
        <f>OFS_SalesOverview_InTax[[#This Row],[Units]]</f>
        <v>29</v>
      </c>
      <c r="AU58" s="92">
        <f>OFS_SalesOverview_ExclTax[[#This Row],[Buyers]]/OFS_SalesOverview_ExclTax[[#This Row],[UV]]</f>
        <v>3.7064492216456633E-4</v>
      </c>
      <c r="AV58" s="431">
        <f>OFS_SalesOverview_ExclTax[[#This Row],[GMV]]/OFS_SalesOverview_ExclTax[[#This Row],[Buyers]]</f>
        <v>5654.6214355948869</v>
      </c>
      <c r="AW58" s="431">
        <f>OFS_SalesOverview_ExclTax[[#This Row],[GMV]]/OFS_SalesOverview_ExclTax[[#This Row],[Units]]</f>
        <v>3509.7650289899302</v>
      </c>
      <c r="AX58" s="432">
        <f>OFS_SalesOverview_ExclTax[[#This Row],[Units]]/OFS_SalesOverview_ExclTax[[#This Row],[Buyers]]</f>
        <v>1.6111111111111112</v>
      </c>
      <c r="AY58" s="93">
        <f>OFS_SalesOverview_ExclTax[[#This Row],[RR]]/OFS_SalesOverview_ExclTax[[#This Row],[GMV]]</f>
        <v>0.22192757466417423</v>
      </c>
      <c r="AZ58" s="436">
        <f>OFS_SalesOverview_InTax[[#This Row],[RR]]/$F$1</f>
        <v>22588.495575221241</v>
      </c>
      <c r="BA58" s="436">
        <f>OFS_SalesOverview_InTax[[#This Row],[MD GMV]]/$F$1</f>
        <v>9628.3185840707974</v>
      </c>
      <c r="BB58" s="94">
        <f>OFS_SalesOverview_ExclTax[[#This Row],[MD GMV]]/OFS_SalesOverview_ExclTax[[#This Row],[GMV]]</f>
        <v>9.4596356996913447E-2</v>
      </c>
      <c r="BC58" s="28" t="str">
        <f>_xlfn.XLOOKUP(OFS_SalesOverview_ExclTax[[#This Row],[DATE]],全店核心数据_bymonth[开始日期],全店核心数据_bymonth[jda日历.PayYear],"")</f>
        <v>BU26</v>
      </c>
      <c r="BD58" s="433"/>
      <c r="BE58" s="433"/>
      <c r="BF58" s="433"/>
      <c r="BG58" s="433"/>
      <c r="BH58" s="433"/>
      <c r="BI58" s="433"/>
      <c r="BJ58" s="433"/>
      <c r="BK58" s="433"/>
      <c r="BL58" s="433"/>
      <c r="BO58" s="28"/>
      <c r="CD58" s="53"/>
    </row>
    <row r="59" spans="5:86" ht="14.5" customHeight="1" x14ac:dyDescent="0.3">
      <c r="E59" s="428">
        <v>45778</v>
      </c>
      <c r="F59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11540</v>
      </c>
      <c r="G59" s="431">
        <f>OFS_SalesOverview_InTax[[#This Row],[GMV]]-OFS_SalesOverview_InTax[[#This Row],[RR]]</f>
        <v>0</v>
      </c>
      <c r="H59" s="431">
        <v>6974</v>
      </c>
      <c r="I59" s="435" cm="1">
        <f t="array" ref="I59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1</v>
      </c>
      <c r="J59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3</v>
      </c>
      <c r="K59" s="92">
        <f>OFS_SalesOverview_InTax[[#This Row],[Buyers]]/OFS_SalesOverview_InTax[[#This Row],[UV]]</f>
        <v>1.4338973329509606E-4</v>
      </c>
      <c r="L59" s="431">
        <f>OFS_SalesOverview_InTax[[#This Row],[GMV]]/OFS_SalesOverview_InTax[[#This Row],[Buyers]]</f>
        <v>11540</v>
      </c>
      <c r="M59" s="431">
        <f>OFS_SalesOverview_InTax[[#This Row],[GMV]]/OFS_SalesOverview_InTax[[#This Row],[Units]]</f>
        <v>3846.6666666666665</v>
      </c>
      <c r="N59" s="432">
        <f>OFS_SalesOverview_InTax[[#This Row],[Units]]/OFS_SalesOverview_InTax[[#This Row],[Buyers]]</f>
        <v>3</v>
      </c>
      <c r="O59" s="93">
        <f>OFS_SalesOverview_InTax[[#This Row],[RR]]/OFS_SalesOverview_InTax[[#This Row],[GMV]]</f>
        <v>1</v>
      </c>
      <c r="P59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11540</v>
      </c>
      <c r="Q59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R59" s="94">
        <f>OFS_SalesOverview_InTax[[#This Row],[MD GMV]]/OFS_SalesOverview_InTax[[#This Row],[GMV]]</f>
        <v>0</v>
      </c>
      <c r="S59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T59" s="94" t="e">
        <f>OFS_SalesOverview_InTax[[#This Row],[MD NET]]/OFS_SalesOverview_InTax[[#This Row],[NET]]</f>
        <v>#DIV/0!</v>
      </c>
      <c r="U59" s="255"/>
      <c r="V59" s="255"/>
      <c r="W59" s="255"/>
      <c r="X59" s="255"/>
      <c r="Y59" s="255"/>
      <c r="Z59" s="255"/>
      <c r="AA59" s="255"/>
      <c r="AB59" s="255"/>
      <c r="AC59" s="255"/>
      <c r="AD59" s="255"/>
      <c r="AE59" s="255"/>
      <c r="AF59" s="255"/>
      <c r="AG59" s="255"/>
      <c r="AH59" s="255"/>
      <c r="AI59" s="255"/>
      <c r="AJ59" s="255"/>
      <c r="AK59" s="255"/>
      <c r="AL59" s="28" t="str">
        <f>_xlfn.XLOOKUP(OFS_SalesOverview_InTax[[#This Row],[DATE]],全店核心数据_bymonth[开始日期],全店核心数据_bymonth[jda日历.PayYear],"")</f>
        <v>BU26</v>
      </c>
      <c r="AO59" s="428">
        <f>OFS_SalesOverview_InTax[[#This Row],[DATE]]</f>
        <v>45778</v>
      </c>
      <c r="AP59" s="436">
        <f>OFS_SalesOverview_InTax[[#This Row],[GMV]]/$F$1</f>
        <v>10212.389380530974</v>
      </c>
      <c r="AQ59" s="436">
        <f>OFS_SalesOverview_ExclTax[[#This Row],[GMV]]-OFS_SalesOverview_ExclTax[[#This Row],[RR]]</f>
        <v>0</v>
      </c>
      <c r="AR59" s="431">
        <f>OFS_SalesOverview_InTax[[#This Row],[UV]]</f>
        <v>6974</v>
      </c>
      <c r="AS59" s="431">
        <f>OFS_SalesOverview_InTax[[#This Row],[Buyers]]</f>
        <v>1</v>
      </c>
      <c r="AT59" s="431">
        <f>OFS_SalesOverview_InTax[[#This Row],[Units]]</f>
        <v>3</v>
      </c>
      <c r="AU59" s="92">
        <f>OFS_SalesOverview_ExclTax[[#This Row],[Buyers]]/OFS_SalesOverview_ExclTax[[#This Row],[UV]]</f>
        <v>1.4338973329509606E-4</v>
      </c>
      <c r="AV59" s="431">
        <f>OFS_SalesOverview_ExclTax[[#This Row],[GMV]]/OFS_SalesOverview_ExclTax[[#This Row],[Buyers]]</f>
        <v>10212.389380530974</v>
      </c>
      <c r="AW59" s="431">
        <f>OFS_SalesOverview_ExclTax[[#This Row],[GMV]]/OFS_SalesOverview_ExclTax[[#This Row],[Units]]</f>
        <v>3404.1297935103248</v>
      </c>
      <c r="AX59" s="432">
        <f>OFS_SalesOverview_ExclTax[[#This Row],[Units]]/OFS_SalesOverview_ExclTax[[#This Row],[Buyers]]</f>
        <v>3</v>
      </c>
      <c r="AY59" s="93">
        <f>OFS_SalesOverview_ExclTax[[#This Row],[RR]]/OFS_SalesOverview_ExclTax[[#This Row],[GMV]]</f>
        <v>1</v>
      </c>
      <c r="AZ59" s="436">
        <f>OFS_SalesOverview_InTax[[#This Row],[RR]]/$F$1</f>
        <v>10212.389380530974</v>
      </c>
      <c r="BA59" s="436">
        <f>OFS_SalesOverview_InTax[[#This Row],[MD GMV]]/$F$1</f>
        <v>0</v>
      </c>
      <c r="BB59" s="94">
        <f>OFS_SalesOverview_ExclTax[[#This Row],[MD GMV]]/OFS_SalesOverview_ExclTax[[#This Row],[GMV]]</f>
        <v>0</v>
      </c>
      <c r="BC59" s="28" t="str">
        <f>_xlfn.XLOOKUP(OFS_SalesOverview_ExclTax[[#This Row],[DATE]],全店核心数据_bymonth[开始日期],全店核心数据_bymonth[jda日历.PayYear],"")</f>
        <v>BU26</v>
      </c>
      <c r="BD59" s="433"/>
      <c r="BE59" s="433"/>
      <c r="BF59" s="433"/>
      <c r="BG59" s="433"/>
      <c r="BH59" s="433"/>
      <c r="BI59" s="433"/>
      <c r="BJ59" s="433"/>
      <c r="BK59" s="433"/>
      <c r="BL59" s="433"/>
      <c r="BO59" s="28"/>
      <c r="CF59" s="53"/>
    </row>
    <row r="60" spans="5:86" ht="14.5" customHeight="1" x14ac:dyDescent="0.3">
      <c r="E60" s="428">
        <v>45748</v>
      </c>
      <c r="F60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26880</v>
      </c>
      <c r="G60" s="431">
        <f>OFS_SalesOverview_InTax[[#This Row],[GMV]]-OFS_SalesOverview_InTax[[#This Row],[RR]]</f>
        <v>24680</v>
      </c>
      <c r="H60" s="431">
        <v>6154</v>
      </c>
      <c r="I60" s="435" cm="1">
        <f t="array" ref="I60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6</v>
      </c>
      <c r="J60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6</v>
      </c>
      <c r="K60" s="92">
        <f>OFS_SalesOverview_InTax[[#This Row],[Buyers]]/OFS_SalesOverview_InTax[[#This Row],[UV]]</f>
        <v>9.7497562560935978E-4</v>
      </c>
      <c r="L60" s="431">
        <f>OFS_SalesOverview_InTax[[#This Row],[GMV]]/OFS_SalesOverview_InTax[[#This Row],[Buyers]]</f>
        <v>4480</v>
      </c>
      <c r="M60" s="431">
        <f>OFS_SalesOverview_InTax[[#This Row],[GMV]]/OFS_SalesOverview_InTax[[#This Row],[Units]]</f>
        <v>4480</v>
      </c>
      <c r="N60" s="432">
        <f>OFS_SalesOverview_InTax[[#This Row],[Units]]/OFS_SalesOverview_InTax[[#This Row],[Buyers]]</f>
        <v>1</v>
      </c>
      <c r="O60" s="93">
        <f>OFS_SalesOverview_InTax[[#This Row],[RR]]/OFS_SalesOverview_InTax[[#This Row],[GMV]]</f>
        <v>8.1845238095238096E-2</v>
      </c>
      <c r="P60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2200</v>
      </c>
      <c r="Q60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R60" s="94">
        <f>OFS_SalesOverview_InTax[[#This Row],[MD GMV]]/OFS_SalesOverview_InTax[[#This Row],[GMV]]</f>
        <v>0</v>
      </c>
      <c r="S60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T60" s="94">
        <f>OFS_SalesOverview_InTax[[#This Row],[MD NET]]/OFS_SalesOverview_InTax[[#This Row],[NET]]</f>
        <v>0</v>
      </c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28" t="str">
        <f>_xlfn.XLOOKUP(OFS_SalesOverview_InTax[[#This Row],[DATE]],全店核心数据_bymonth[开始日期],全店核心数据_bymonth[jda日历.PayYear],"")</f>
        <v>BU26</v>
      </c>
      <c r="AO60" s="428">
        <f>OFS_SalesOverview_InTax[[#This Row],[DATE]]</f>
        <v>45748</v>
      </c>
      <c r="AP60" s="436">
        <f>OFS_SalesOverview_InTax[[#This Row],[GMV]]/$F$1</f>
        <v>23787.610619469029</v>
      </c>
      <c r="AQ60" s="436">
        <f>OFS_SalesOverview_ExclTax[[#This Row],[GMV]]-OFS_SalesOverview_ExclTax[[#This Row],[RR]]</f>
        <v>21840.707964601774</v>
      </c>
      <c r="AR60" s="431">
        <f>OFS_SalesOverview_InTax[[#This Row],[UV]]</f>
        <v>6154</v>
      </c>
      <c r="AS60" s="431">
        <f>OFS_SalesOverview_InTax[[#This Row],[Buyers]]</f>
        <v>6</v>
      </c>
      <c r="AT60" s="431">
        <f>OFS_SalesOverview_InTax[[#This Row],[Units]]</f>
        <v>6</v>
      </c>
      <c r="AU60" s="92">
        <f>OFS_SalesOverview_ExclTax[[#This Row],[Buyers]]/OFS_SalesOverview_ExclTax[[#This Row],[UV]]</f>
        <v>9.7497562560935978E-4</v>
      </c>
      <c r="AV60" s="431">
        <f>OFS_SalesOverview_ExclTax[[#This Row],[GMV]]/OFS_SalesOverview_ExclTax[[#This Row],[Buyers]]</f>
        <v>3964.601769911505</v>
      </c>
      <c r="AW60" s="431">
        <f>OFS_SalesOverview_ExclTax[[#This Row],[GMV]]/OFS_SalesOverview_ExclTax[[#This Row],[Units]]</f>
        <v>3964.601769911505</v>
      </c>
      <c r="AX60" s="432">
        <f>OFS_SalesOverview_ExclTax[[#This Row],[Units]]/OFS_SalesOverview_ExclTax[[#This Row],[Buyers]]</f>
        <v>1</v>
      </c>
      <c r="AY60" s="93">
        <f>OFS_SalesOverview_ExclTax[[#This Row],[RR]]/OFS_SalesOverview_ExclTax[[#This Row],[GMV]]</f>
        <v>8.1845238095238096E-2</v>
      </c>
      <c r="AZ60" s="436">
        <f>OFS_SalesOverview_InTax[[#This Row],[RR]]/$F$1</f>
        <v>1946.9026548672568</v>
      </c>
      <c r="BA60" s="436">
        <f>OFS_SalesOverview_InTax[[#This Row],[MD GMV]]/$F$1</f>
        <v>0</v>
      </c>
      <c r="BB60" s="94">
        <f>OFS_SalesOverview_ExclTax[[#This Row],[MD GMV]]/OFS_SalesOverview_ExclTax[[#This Row],[GMV]]</f>
        <v>0</v>
      </c>
      <c r="BC60" s="28" t="str">
        <f>_xlfn.XLOOKUP(OFS_SalesOverview_ExclTax[[#This Row],[DATE]],全店核心数据_bymonth[开始日期],全店核心数据_bymonth[jda日历.PayYear],"")</f>
        <v>BU26</v>
      </c>
      <c r="BD60" s="433"/>
      <c r="BE60" s="433"/>
      <c r="BF60" s="433"/>
      <c r="BG60" s="433"/>
      <c r="BH60" s="433"/>
      <c r="BI60" s="433"/>
      <c r="BJ60" s="433"/>
      <c r="BK60" s="433"/>
      <c r="BL60" s="433"/>
      <c r="BO60" s="28"/>
      <c r="CH60" s="53"/>
    </row>
    <row r="61" spans="5:86" ht="14.5" customHeight="1" x14ac:dyDescent="0.3">
      <c r="E61" s="428">
        <v>45717</v>
      </c>
      <c r="F61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81815</v>
      </c>
      <c r="G61" s="431">
        <f>OFS_SalesOverview_InTax[[#This Row],[GMV]]-OFS_SalesOverview_InTax[[#This Row],[RR]]</f>
        <v>58865</v>
      </c>
      <c r="H61" s="431">
        <v>6824</v>
      </c>
      <c r="I61" s="435" cm="1">
        <f t="array" ref="I61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8</v>
      </c>
      <c r="J61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18</v>
      </c>
      <c r="K61" s="92">
        <f>OFS_SalesOverview_InTax[[#This Row],[Buyers]]/OFS_SalesOverview_InTax[[#This Row],[UV]]</f>
        <v>1.1723329425556857E-3</v>
      </c>
      <c r="L61" s="431">
        <f>OFS_SalesOverview_InTax[[#This Row],[GMV]]/OFS_SalesOverview_InTax[[#This Row],[Buyers]]</f>
        <v>10226.875</v>
      </c>
      <c r="M61" s="431">
        <f>OFS_SalesOverview_InTax[[#This Row],[GMV]]/OFS_SalesOverview_InTax[[#This Row],[Units]]</f>
        <v>4545.2777777777774</v>
      </c>
      <c r="N61" s="432">
        <f>OFS_SalesOverview_InTax[[#This Row],[Units]]/OFS_SalesOverview_InTax[[#This Row],[Buyers]]</f>
        <v>2.25</v>
      </c>
      <c r="O61" s="93">
        <f>OFS_SalesOverview_InTax[[#This Row],[RR]]/OFS_SalesOverview_InTax[[#This Row],[GMV]]</f>
        <v>0.28051090875756279</v>
      </c>
      <c r="P61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22950</v>
      </c>
      <c r="Q61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R61" s="94">
        <f>OFS_SalesOverview_InTax[[#This Row],[MD GMV]]/OFS_SalesOverview_InTax[[#This Row],[GMV]]</f>
        <v>0</v>
      </c>
      <c r="S61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T61" s="94">
        <f>OFS_SalesOverview_InTax[[#This Row],[MD NET]]/OFS_SalesOverview_InTax[[#This Row],[NET]]</f>
        <v>0</v>
      </c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28" t="str">
        <f>_xlfn.XLOOKUP(OFS_SalesOverview_InTax[[#This Row],[DATE]],全店核心数据_bymonth[开始日期],全店核心数据_bymonth[jda日历.PayYear],"")</f>
        <v>BU25</v>
      </c>
      <c r="AO61" s="428">
        <f>OFS_SalesOverview_InTax[[#This Row],[DATE]]</f>
        <v>45717</v>
      </c>
      <c r="AP61" s="436">
        <f>OFS_SalesOverview_InTax[[#This Row],[GMV]]/$F$1</f>
        <v>72402.654867256642</v>
      </c>
      <c r="AQ61" s="436">
        <f>OFS_SalesOverview_ExclTax[[#This Row],[GMV]]-OFS_SalesOverview_ExclTax[[#This Row],[RR]]</f>
        <v>52092.920353982307</v>
      </c>
      <c r="AR61" s="431">
        <f>OFS_SalesOverview_InTax[[#This Row],[UV]]</f>
        <v>6824</v>
      </c>
      <c r="AS61" s="431">
        <f>OFS_SalesOverview_InTax[[#This Row],[Buyers]]</f>
        <v>8</v>
      </c>
      <c r="AT61" s="431">
        <f>OFS_SalesOverview_InTax[[#This Row],[Units]]</f>
        <v>18</v>
      </c>
      <c r="AU61" s="92">
        <f>OFS_SalesOverview_ExclTax[[#This Row],[Buyers]]/OFS_SalesOverview_ExclTax[[#This Row],[UV]]</f>
        <v>1.1723329425556857E-3</v>
      </c>
      <c r="AV61" s="431">
        <f>OFS_SalesOverview_ExclTax[[#This Row],[GMV]]/OFS_SalesOverview_ExclTax[[#This Row],[Buyers]]</f>
        <v>9050.3318584070803</v>
      </c>
      <c r="AW61" s="431">
        <f>OFS_SalesOverview_ExclTax[[#This Row],[GMV]]/OFS_SalesOverview_ExclTax[[#This Row],[Units]]</f>
        <v>4022.3697148475912</v>
      </c>
      <c r="AX61" s="432">
        <f>OFS_SalesOverview_ExclTax[[#This Row],[Units]]/OFS_SalesOverview_ExclTax[[#This Row],[Buyers]]</f>
        <v>2.25</v>
      </c>
      <c r="AY61" s="93">
        <f>OFS_SalesOverview_ExclTax[[#This Row],[RR]]/OFS_SalesOverview_ExclTax[[#This Row],[GMV]]</f>
        <v>0.28051090875756279</v>
      </c>
      <c r="AZ61" s="436">
        <f>OFS_SalesOverview_InTax[[#This Row],[RR]]/$F$1</f>
        <v>20309.734513274339</v>
      </c>
      <c r="BA61" s="436">
        <f>OFS_SalesOverview_InTax[[#This Row],[MD GMV]]/$F$1</f>
        <v>0</v>
      </c>
      <c r="BB61" s="94">
        <f>OFS_SalesOverview_ExclTax[[#This Row],[MD GMV]]/OFS_SalesOverview_ExclTax[[#This Row],[GMV]]</f>
        <v>0</v>
      </c>
      <c r="BC61" s="28" t="str">
        <f>_xlfn.XLOOKUP(OFS_SalesOverview_ExclTax[[#This Row],[DATE]],全店核心数据_bymonth[开始日期],全店核心数据_bymonth[jda日历.PayYear],"")</f>
        <v>BU25</v>
      </c>
      <c r="BD61" s="433"/>
      <c r="BE61" s="433"/>
      <c r="BF61" s="433"/>
      <c r="BG61" s="433"/>
      <c r="BH61" s="433"/>
      <c r="BI61" s="433"/>
      <c r="BJ61" s="433"/>
      <c r="BK61" s="433"/>
      <c r="BL61" s="433"/>
      <c r="BO61" s="28"/>
      <c r="CH61" s="53"/>
    </row>
    <row r="62" spans="5:86" ht="14.5" customHeight="1" x14ac:dyDescent="0.3">
      <c r="E62" s="428">
        <v>45689</v>
      </c>
      <c r="F62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46680</v>
      </c>
      <c r="G62" s="431">
        <f>OFS_SalesOverview_InTax[[#This Row],[GMV]]-OFS_SalesOverview_InTax[[#This Row],[RR]]</f>
        <v>40245</v>
      </c>
      <c r="H62" s="431">
        <v>6280</v>
      </c>
      <c r="I62" s="435" cm="1">
        <f t="array" ref="I62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5</v>
      </c>
      <c r="J62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6</v>
      </c>
      <c r="K62" s="92">
        <f>OFS_SalesOverview_InTax[[#This Row],[Buyers]]/OFS_SalesOverview_InTax[[#This Row],[UV]]</f>
        <v>7.9617834394904463E-4</v>
      </c>
      <c r="L62" s="431">
        <f>OFS_SalesOverview_InTax[[#This Row],[GMV]]/OFS_SalesOverview_InTax[[#This Row],[Buyers]]</f>
        <v>9336</v>
      </c>
      <c r="M62" s="431">
        <f>OFS_SalesOverview_InTax[[#This Row],[GMV]]/OFS_SalesOverview_InTax[[#This Row],[Units]]</f>
        <v>7780</v>
      </c>
      <c r="N62" s="432">
        <f>OFS_SalesOverview_InTax[[#This Row],[Units]]/OFS_SalesOverview_InTax[[#This Row],[Buyers]]</f>
        <v>1.2</v>
      </c>
      <c r="O62" s="93">
        <f>OFS_SalesOverview_InTax[[#This Row],[RR]]/OFS_SalesOverview_InTax[[#This Row],[GMV]]</f>
        <v>0.13785347043701798</v>
      </c>
      <c r="P62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6435</v>
      </c>
      <c r="Q62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R62" s="94">
        <f>OFS_SalesOverview_InTax[[#This Row],[MD GMV]]/OFS_SalesOverview_InTax[[#This Row],[GMV]]</f>
        <v>0</v>
      </c>
      <c r="S62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T62" s="94">
        <f>OFS_SalesOverview_InTax[[#This Row],[MD NET]]/OFS_SalesOverview_InTax[[#This Row],[NET]]</f>
        <v>0</v>
      </c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28" t="str">
        <f>_xlfn.XLOOKUP(OFS_SalesOverview_InTax[[#This Row],[DATE]],全店核心数据_bymonth[开始日期],全店核心数据_bymonth[jda日历.PayYear],"")</f>
        <v>BU25</v>
      </c>
      <c r="AO62" s="428">
        <f>OFS_SalesOverview_InTax[[#This Row],[DATE]]</f>
        <v>45689</v>
      </c>
      <c r="AP62" s="436">
        <f>OFS_SalesOverview_InTax[[#This Row],[GMV]]/$F$1</f>
        <v>41309.734513274343</v>
      </c>
      <c r="AQ62" s="436">
        <f>OFS_SalesOverview_ExclTax[[#This Row],[GMV]]-OFS_SalesOverview_ExclTax[[#This Row],[RR]]</f>
        <v>35615.04424778762</v>
      </c>
      <c r="AR62" s="431">
        <f>OFS_SalesOverview_InTax[[#This Row],[UV]]</f>
        <v>6280</v>
      </c>
      <c r="AS62" s="431">
        <f>OFS_SalesOverview_InTax[[#This Row],[Buyers]]</f>
        <v>5</v>
      </c>
      <c r="AT62" s="431">
        <f>OFS_SalesOverview_InTax[[#This Row],[Units]]</f>
        <v>6</v>
      </c>
      <c r="AU62" s="92">
        <f>OFS_SalesOverview_ExclTax[[#This Row],[Buyers]]/OFS_SalesOverview_ExclTax[[#This Row],[UV]]</f>
        <v>7.9617834394904463E-4</v>
      </c>
      <c r="AV62" s="431">
        <f>OFS_SalesOverview_ExclTax[[#This Row],[GMV]]/OFS_SalesOverview_ExclTax[[#This Row],[Buyers]]</f>
        <v>8261.9469026548686</v>
      </c>
      <c r="AW62" s="431">
        <f>OFS_SalesOverview_ExclTax[[#This Row],[GMV]]/OFS_SalesOverview_ExclTax[[#This Row],[Units]]</f>
        <v>6884.9557522123905</v>
      </c>
      <c r="AX62" s="432">
        <f>OFS_SalesOverview_ExclTax[[#This Row],[Units]]/OFS_SalesOverview_ExclTax[[#This Row],[Buyers]]</f>
        <v>1.2</v>
      </c>
      <c r="AY62" s="93">
        <f>OFS_SalesOverview_ExclTax[[#This Row],[RR]]/OFS_SalesOverview_ExclTax[[#This Row],[GMV]]</f>
        <v>0.13785347043701798</v>
      </c>
      <c r="AZ62" s="436">
        <f>OFS_SalesOverview_InTax[[#This Row],[RR]]/$F$1</f>
        <v>5694.6902654867263</v>
      </c>
      <c r="BA62" s="436">
        <f>OFS_SalesOverview_InTax[[#This Row],[MD GMV]]/$F$1</f>
        <v>0</v>
      </c>
      <c r="BB62" s="94">
        <f>OFS_SalesOverview_ExclTax[[#This Row],[MD GMV]]/OFS_SalesOverview_ExclTax[[#This Row],[GMV]]</f>
        <v>0</v>
      </c>
      <c r="BC62" s="28" t="str">
        <f>_xlfn.XLOOKUP(OFS_SalesOverview_ExclTax[[#This Row],[DATE]],全店核心数据_bymonth[开始日期],全店核心数据_bymonth[jda日历.PayYear],"")</f>
        <v>BU25</v>
      </c>
      <c r="BD62" s="433"/>
      <c r="BE62" s="433"/>
      <c r="BF62" s="433"/>
      <c r="BG62" s="433"/>
      <c r="BH62" s="433"/>
      <c r="BI62" s="433"/>
      <c r="BJ62" s="433"/>
      <c r="BK62" s="433"/>
      <c r="BL62" s="433"/>
      <c r="BO62" s="28"/>
      <c r="CH62" s="53"/>
    </row>
    <row r="63" spans="5:86" ht="14.5" customHeight="1" x14ac:dyDescent="0.3">
      <c r="E63" s="428">
        <v>45658</v>
      </c>
      <c r="F63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62180</v>
      </c>
      <c r="G63" s="431">
        <f>OFS_SalesOverview_InTax[[#This Row],[GMV]]-OFS_SalesOverview_InTax[[#This Row],[RR]]</f>
        <v>35995</v>
      </c>
      <c r="H63" s="431">
        <v>6592</v>
      </c>
      <c r="I63" s="435" cm="1">
        <f t="array" ref="I63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4</v>
      </c>
      <c r="J63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6</v>
      </c>
      <c r="K63" s="92">
        <f>OFS_SalesOverview_InTax[[#This Row],[Buyers]]/OFS_SalesOverview_InTax[[#This Row],[UV]]</f>
        <v>6.0679611650485432E-4</v>
      </c>
      <c r="L63" s="431">
        <f>OFS_SalesOverview_InTax[[#This Row],[GMV]]/OFS_SalesOverview_InTax[[#This Row],[Buyers]]</f>
        <v>15545</v>
      </c>
      <c r="M63" s="431">
        <f>OFS_SalesOverview_InTax[[#This Row],[GMV]]/OFS_SalesOverview_InTax[[#This Row],[Units]]</f>
        <v>10363.333333333334</v>
      </c>
      <c r="N63" s="432">
        <f>OFS_SalesOverview_InTax[[#This Row],[Units]]/OFS_SalesOverview_InTax[[#This Row],[Buyers]]</f>
        <v>1.5</v>
      </c>
      <c r="O63" s="93">
        <f>OFS_SalesOverview_InTax[[#This Row],[RR]]/OFS_SalesOverview_InTax[[#This Row],[GMV]]</f>
        <v>0.42111611450627212</v>
      </c>
      <c r="P63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26185</v>
      </c>
      <c r="Q63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42840</v>
      </c>
      <c r="R63" s="94">
        <f>OFS_SalesOverview_InTax[[#This Row],[MD GMV]]/OFS_SalesOverview_InTax[[#This Row],[GMV]]</f>
        <v>0.68896751366999032</v>
      </c>
      <c r="S63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21350</v>
      </c>
      <c r="T63" s="94">
        <f>OFS_SalesOverview_InTax[[#This Row],[MD NET]]/OFS_SalesOverview_InTax[[#This Row],[NET]]</f>
        <v>0.59313793582442009</v>
      </c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28" t="str">
        <f>_xlfn.XLOOKUP(OFS_SalesOverview_InTax[[#This Row],[DATE]],全店核心数据_bymonth[开始日期],全店核心数据_bymonth[jda日历.PayYear],"")</f>
        <v>BU25</v>
      </c>
      <c r="AO63" s="428">
        <f>OFS_SalesOverview_InTax[[#This Row],[DATE]]</f>
        <v>45658</v>
      </c>
      <c r="AP63" s="436">
        <f>OFS_SalesOverview_InTax[[#This Row],[GMV]]/$F$1</f>
        <v>55026.54867256638</v>
      </c>
      <c r="AQ63" s="436">
        <f>OFS_SalesOverview_ExclTax[[#This Row],[GMV]]-OFS_SalesOverview_ExclTax[[#This Row],[RR]]</f>
        <v>31853.98230088496</v>
      </c>
      <c r="AR63" s="431">
        <f>OFS_SalesOverview_InTax[[#This Row],[UV]]</f>
        <v>6592</v>
      </c>
      <c r="AS63" s="431">
        <f>OFS_SalesOverview_InTax[[#This Row],[Buyers]]</f>
        <v>4</v>
      </c>
      <c r="AT63" s="431">
        <f>OFS_SalesOverview_InTax[[#This Row],[Units]]</f>
        <v>6</v>
      </c>
      <c r="AU63" s="92">
        <f>OFS_SalesOverview_ExclTax[[#This Row],[Buyers]]/OFS_SalesOverview_ExclTax[[#This Row],[UV]]</f>
        <v>6.0679611650485432E-4</v>
      </c>
      <c r="AV63" s="431">
        <f>OFS_SalesOverview_ExclTax[[#This Row],[GMV]]/OFS_SalesOverview_ExclTax[[#This Row],[Buyers]]</f>
        <v>13756.637168141595</v>
      </c>
      <c r="AW63" s="431">
        <f>OFS_SalesOverview_ExclTax[[#This Row],[GMV]]/OFS_SalesOverview_ExclTax[[#This Row],[Units]]</f>
        <v>9171.0914454277299</v>
      </c>
      <c r="AX63" s="432">
        <f>OFS_SalesOverview_ExclTax[[#This Row],[Units]]/OFS_SalesOverview_ExclTax[[#This Row],[Buyers]]</f>
        <v>1.5</v>
      </c>
      <c r="AY63" s="93">
        <f>OFS_SalesOverview_ExclTax[[#This Row],[RR]]/OFS_SalesOverview_ExclTax[[#This Row],[GMV]]</f>
        <v>0.42111611450627212</v>
      </c>
      <c r="AZ63" s="436">
        <f>OFS_SalesOverview_InTax[[#This Row],[RR]]/$F$1</f>
        <v>23172.56637168142</v>
      </c>
      <c r="BA63" s="436">
        <f>OFS_SalesOverview_InTax[[#This Row],[MD GMV]]/$F$1</f>
        <v>37911.504424778766</v>
      </c>
      <c r="BB63" s="94">
        <f>OFS_SalesOverview_ExclTax[[#This Row],[MD GMV]]/OFS_SalesOverview_ExclTax[[#This Row],[GMV]]</f>
        <v>0.68896751366999032</v>
      </c>
      <c r="BC63" s="28" t="str">
        <f>_xlfn.XLOOKUP(OFS_SalesOverview_ExclTax[[#This Row],[DATE]],全店核心数据_bymonth[开始日期],全店核心数据_bymonth[jda日历.PayYear],"")</f>
        <v>BU25</v>
      </c>
      <c r="BD63" s="433"/>
      <c r="BE63" s="433"/>
      <c r="BF63" s="433"/>
      <c r="BG63" s="433"/>
      <c r="BH63" s="433"/>
      <c r="BI63" s="433"/>
      <c r="BJ63" s="433"/>
      <c r="BK63" s="433"/>
      <c r="BL63" s="433"/>
      <c r="BO63" s="28"/>
      <c r="CH63" s="53"/>
    </row>
    <row r="64" spans="5:86" ht="14.5" customHeight="1" x14ac:dyDescent="0.3">
      <c r="E64" s="428">
        <v>45627</v>
      </c>
      <c r="F64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155215</v>
      </c>
      <c r="G64" s="431">
        <f>OFS_SalesOverview_InTax[[#This Row],[GMV]]-OFS_SalesOverview_InTax[[#This Row],[RR]]</f>
        <v>118530</v>
      </c>
      <c r="H64" s="431">
        <v>17053</v>
      </c>
      <c r="I64" s="435" cm="1">
        <f t="array" ref="I64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17</v>
      </c>
      <c r="J64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24</v>
      </c>
      <c r="K64" s="92">
        <f>OFS_SalesOverview_InTax[[#This Row],[Buyers]]/OFS_SalesOverview_InTax[[#This Row],[UV]]</f>
        <v>9.9689204245587289E-4</v>
      </c>
      <c r="L64" s="431">
        <f>OFS_SalesOverview_InTax[[#This Row],[GMV]]/OFS_SalesOverview_InTax[[#This Row],[Buyers]]</f>
        <v>9130.2941176470595</v>
      </c>
      <c r="M64" s="431">
        <f>OFS_SalesOverview_InTax[[#This Row],[GMV]]/OFS_SalesOverview_InTax[[#This Row],[Units]]</f>
        <v>6467.291666666667</v>
      </c>
      <c r="N64" s="432">
        <f>OFS_SalesOverview_InTax[[#This Row],[Units]]/OFS_SalesOverview_InTax[[#This Row],[Buyers]]</f>
        <v>1.411764705882353</v>
      </c>
      <c r="O64" s="93">
        <f>OFS_SalesOverview_InTax[[#This Row],[RR]]/OFS_SalesOverview_InTax[[#This Row],[GMV]]</f>
        <v>0.23634957961537223</v>
      </c>
      <c r="P64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36685</v>
      </c>
      <c r="Q64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95895</v>
      </c>
      <c r="R64" s="94">
        <f>OFS_SalesOverview_InTax[[#This Row],[MD GMV]]/OFS_SalesOverview_InTax[[#This Row],[GMV]]</f>
        <v>0.61782044261186098</v>
      </c>
      <c r="S64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59210</v>
      </c>
      <c r="T64" s="94">
        <f>OFS_SalesOverview_InTax[[#This Row],[MD NET]]/OFS_SalesOverview_InTax[[#This Row],[NET]]</f>
        <v>0.4995359824517</v>
      </c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28" t="str">
        <f>_xlfn.XLOOKUP(OFS_SalesOverview_InTax[[#This Row],[DATE]],全店核心数据_bymonth[开始日期],全店核心数据_bymonth[jda日历.PayYear],"")</f>
        <v>BU25</v>
      </c>
      <c r="AO64" s="428">
        <f>OFS_SalesOverview_InTax[[#This Row],[DATE]]</f>
        <v>45627</v>
      </c>
      <c r="AP64" s="436">
        <f>OFS_SalesOverview_InTax[[#This Row],[GMV]]/$F$1</f>
        <v>137358.40707964604</v>
      </c>
      <c r="AQ64" s="436">
        <f>OFS_SalesOverview_ExclTax[[#This Row],[GMV]]-OFS_SalesOverview_ExclTax[[#This Row],[RR]]</f>
        <v>104893.80530973454</v>
      </c>
      <c r="AR64" s="431">
        <f>OFS_SalesOverview_InTax[[#This Row],[UV]]</f>
        <v>17053</v>
      </c>
      <c r="AS64" s="431">
        <f>OFS_SalesOverview_InTax[[#This Row],[Buyers]]</f>
        <v>17</v>
      </c>
      <c r="AT64" s="431">
        <f>OFS_SalesOverview_InTax[[#This Row],[Units]]</f>
        <v>24</v>
      </c>
      <c r="AU64" s="92">
        <f>OFS_SalesOverview_ExclTax[[#This Row],[Buyers]]/OFS_SalesOverview_ExclTax[[#This Row],[UV]]</f>
        <v>9.9689204245587289E-4</v>
      </c>
      <c r="AV64" s="431">
        <f>OFS_SalesOverview_ExclTax[[#This Row],[GMV]]/OFS_SalesOverview_ExclTax[[#This Row],[Buyers]]</f>
        <v>8079.9062988027081</v>
      </c>
      <c r="AW64" s="431">
        <f>OFS_SalesOverview_ExclTax[[#This Row],[GMV]]/OFS_SalesOverview_ExclTax[[#This Row],[Units]]</f>
        <v>5723.2669616519188</v>
      </c>
      <c r="AX64" s="432">
        <f>OFS_SalesOverview_ExclTax[[#This Row],[Units]]/OFS_SalesOverview_ExclTax[[#This Row],[Buyers]]</f>
        <v>1.411764705882353</v>
      </c>
      <c r="AY64" s="93">
        <f>OFS_SalesOverview_ExclTax[[#This Row],[RR]]/OFS_SalesOverview_ExclTax[[#This Row],[GMV]]</f>
        <v>0.2363495796153722</v>
      </c>
      <c r="AZ64" s="436">
        <f>OFS_SalesOverview_InTax[[#This Row],[RR]]/$F$1</f>
        <v>32464.601769911507</v>
      </c>
      <c r="BA64" s="436">
        <f>OFS_SalesOverview_InTax[[#This Row],[MD GMV]]/$F$1</f>
        <v>84862.831858407095</v>
      </c>
      <c r="BB64" s="94">
        <f>OFS_SalesOverview_ExclTax[[#This Row],[MD GMV]]/OFS_SalesOverview_ExclTax[[#This Row],[GMV]]</f>
        <v>0.61782044261186098</v>
      </c>
      <c r="BC64" s="28" t="str">
        <f>_xlfn.XLOOKUP(OFS_SalesOverview_ExclTax[[#This Row],[DATE]],全店核心数据_bymonth[开始日期],全店核心数据_bymonth[jda日历.PayYear],"")</f>
        <v>BU25</v>
      </c>
      <c r="BD64" s="433"/>
      <c r="BE64" s="433"/>
      <c r="BF64" s="433"/>
      <c r="BG64" s="433"/>
      <c r="BH64" s="433"/>
      <c r="BI64" s="433"/>
      <c r="BJ64" s="433"/>
      <c r="BK64" s="433"/>
      <c r="BL64" s="433"/>
      <c r="BO64" s="28"/>
      <c r="CD64" s="53"/>
    </row>
    <row r="65" spans="5:82" ht="14.5" customHeight="1" x14ac:dyDescent="0.3">
      <c r="E65" s="428">
        <v>45597</v>
      </c>
      <c r="F65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45320</v>
      </c>
      <c r="G65" s="431">
        <f>OFS_SalesOverview_InTax[[#This Row],[GMV]]-OFS_SalesOverview_InTax[[#This Row],[RR]]</f>
        <v>45320</v>
      </c>
      <c r="H65" s="431">
        <v>7318</v>
      </c>
      <c r="I65" s="435" cm="1">
        <f t="array" ref="I65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9</v>
      </c>
      <c r="J65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19</v>
      </c>
      <c r="K65" s="92">
        <f>OFS_SalesOverview_InTax[[#This Row],[Buyers]]/OFS_SalesOverview_InTax[[#This Row],[UV]]</f>
        <v>1.2298442197321673E-3</v>
      </c>
      <c r="L65" s="431">
        <f>OFS_SalesOverview_InTax[[#This Row],[GMV]]/OFS_SalesOverview_InTax[[#This Row],[Buyers]]</f>
        <v>5035.5555555555557</v>
      </c>
      <c r="M65" s="431">
        <f>OFS_SalesOverview_InTax[[#This Row],[GMV]]/OFS_SalesOverview_InTax[[#This Row],[Units]]</f>
        <v>2385.2631578947367</v>
      </c>
      <c r="N65" s="432">
        <f>OFS_SalesOverview_InTax[[#This Row],[Units]]/OFS_SalesOverview_InTax[[#This Row],[Buyers]]</f>
        <v>2.1111111111111112</v>
      </c>
      <c r="O65" s="93">
        <f>OFS_SalesOverview_InTax[[#This Row],[RR]]/OFS_SalesOverview_InTax[[#This Row],[GMV]]</f>
        <v>0</v>
      </c>
      <c r="P65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0</v>
      </c>
      <c r="Q65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26595</v>
      </c>
      <c r="R65" s="94">
        <f>OFS_SalesOverview_InTax[[#This Row],[MD GMV]]/OFS_SalesOverview_InTax[[#This Row],[GMV]]</f>
        <v>0.58682700794351284</v>
      </c>
      <c r="S65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26595</v>
      </c>
      <c r="T65" s="94">
        <f>OFS_SalesOverview_InTax[[#This Row],[MD NET]]/OFS_SalesOverview_InTax[[#This Row],[NET]]</f>
        <v>0.58682700794351284</v>
      </c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28" t="str">
        <f>_xlfn.XLOOKUP(OFS_SalesOverview_InTax[[#This Row],[DATE]],全店核心数据_bymonth[开始日期],全店核心数据_bymonth[jda日历.PayYear],"")</f>
        <v>BU25</v>
      </c>
      <c r="AO65" s="428">
        <f>OFS_SalesOverview_InTax[[#This Row],[DATE]]</f>
        <v>45597</v>
      </c>
      <c r="AP65" s="436">
        <f>OFS_SalesOverview_InTax[[#This Row],[GMV]]/$F$1</f>
        <v>40106.194690265489</v>
      </c>
      <c r="AQ65" s="436">
        <f>OFS_SalesOverview_ExclTax[[#This Row],[GMV]]-OFS_SalesOverview_ExclTax[[#This Row],[RR]]</f>
        <v>40106.194690265489</v>
      </c>
      <c r="AR65" s="431">
        <f>OFS_SalesOverview_InTax[[#This Row],[UV]]</f>
        <v>7318</v>
      </c>
      <c r="AS65" s="431">
        <f>OFS_SalesOverview_InTax[[#This Row],[Buyers]]</f>
        <v>9</v>
      </c>
      <c r="AT65" s="431">
        <f>OFS_SalesOverview_InTax[[#This Row],[Units]]</f>
        <v>19</v>
      </c>
      <c r="AU65" s="92">
        <f>OFS_SalesOverview_ExclTax[[#This Row],[Buyers]]/OFS_SalesOverview_ExclTax[[#This Row],[UV]]</f>
        <v>1.2298442197321673E-3</v>
      </c>
      <c r="AV65" s="431">
        <f>OFS_SalesOverview_ExclTax[[#This Row],[GMV]]/OFS_SalesOverview_ExclTax[[#This Row],[Buyers]]</f>
        <v>4456.2438544739434</v>
      </c>
      <c r="AW65" s="431">
        <f>OFS_SalesOverview_ExclTax[[#This Row],[GMV]]/OFS_SalesOverview_ExclTax[[#This Row],[Units]]</f>
        <v>2110.8523521192365</v>
      </c>
      <c r="AX65" s="432">
        <f>OFS_SalesOverview_ExclTax[[#This Row],[Units]]/OFS_SalesOverview_ExclTax[[#This Row],[Buyers]]</f>
        <v>2.1111111111111112</v>
      </c>
      <c r="AY65" s="93">
        <f>OFS_SalesOverview_ExclTax[[#This Row],[RR]]/OFS_SalesOverview_ExclTax[[#This Row],[GMV]]</f>
        <v>0</v>
      </c>
      <c r="AZ65" s="436">
        <f>OFS_SalesOverview_InTax[[#This Row],[RR]]/$F$1</f>
        <v>0</v>
      </c>
      <c r="BA65" s="436">
        <f>OFS_SalesOverview_InTax[[#This Row],[MD GMV]]/$F$1</f>
        <v>23535.398230088496</v>
      </c>
      <c r="BB65" s="94">
        <f>OFS_SalesOverview_ExclTax[[#This Row],[MD GMV]]/OFS_SalesOverview_ExclTax[[#This Row],[GMV]]</f>
        <v>0.58682700794351284</v>
      </c>
      <c r="BC65" s="28" t="str">
        <f>_xlfn.XLOOKUP(OFS_SalesOverview_ExclTax[[#This Row],[DATE]],全店核心数据_bymonth[开始日期],全店核心数据_bymonth[jda日历.PayYear],"")</f>
        <v>BU25</v>
      </c>
      <c r="BD65" s="433"/>
      <c r="BE65" s="433"/>
      <c r="BF65" s="433"/>
      <c r="BG65" s="433"/>
      <c r="BH65" s="433"/>
      <c r="BI65" s="433"/>
      <c r="BJ65" s="433"/>
      <c r="BK65" s="433"/>
      <c r="BL65" s="433"/>
      <c r="BO65" s="28"/>
      <c r="CD65" s="53"/>
    </row>
    <row r="66" spans="5:82" ht="14.5" customHeight="1" x14ac:dyDescent="0.3">
      <c r="E66" s="428">
        <v>45566</v>
      </c>
      <c r="F66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19110</v>
      </c>
      <c r="G66" s="431">
        <f>OFS_SalesOverview_InTax[[#This Row],[GMV]]-OFS_SalesOverview_InTax[[#This Row],[RR]]</f>
        <v>15760</v>
      </c>
      <c r="H66" s="431">
        <v>5050</v>
      </c>
      <c r="I66" s="435" cm="1">
        <f t="array" ref="I66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5</v>
      </c>
      <c r="J66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5</v>
      </c>
      <c r="K66" s="92">
        <f>OFS_SalesOverview_InTax[[#This Row],[Buyers]]/OFS_SalesOverview_InTax[[#This Row],[UV]]</f>
        <v>9.9009900990099011E-4</v>
      </c>
      <c r="L66" s="431">
        <f>OFS_SalesOverview_InTax[[#This Row],[GMV]]/OFS_SalesOverview_InTax[[#This Row],[Buyers]]</f>
        <v>3822</v>
      </c>
      <c r="M66" s="431">
        <f>OFS_SalesOverview_InTax[[#This Row],[GMV]]/OFS_SalesOverview_InTax[[#This Row],[Units]]</f>
        <v>3822</v>
      </c>
      <c r="N66" s="432">
        <f>OFS_SalesOverview_InTax[[#This Row],[Units]]/OFS_SalesOverview_InTax[[#This Row],[Buyers]]</f>
        <v>1</v>
      </c>
      <c r="O66" s="93">
        <f>OFS_SalesOverview_InTax[[#This Row],[RR]]/OFS_SalesOverview_InTax[[#This Row],[GMV]]</f>
        <v>0.17530088958660386</v>
      </c>
      <c r="P66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3350</v>
      </c>
      <c r="Q66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R66" s="94">
        <f>OFS_SalesOverview_InTax[[#This Row],[MD GMV]]/OFS_SalesOverview_InTax[[#This Row],[GMV]]</f>
        <v>0</v>
      </c>
      <c r="S66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T66" s="94">
        <f>OFS_SalesOverview_InTax[[#This Row],[MD NET]]/OFS_SalesOverview_InTax[[#This Row],[NET]]</f>
        <v>0</v>
      </c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28" t="str">
        <f>_xlfn.XLOOKUP(OFS_SalesOverview_InTax[[#This Row],[DATE]],全店核心数据_bymonth[开始日期],全店核心数据_bymonth[jda日历.PayYear],"")</f>
        <v>BU25</v>
      </c>
      <c r="AO66" s="428">
        <f>OFS_SalesOverview_InTax[[#This Row],[DATE]]</f>
        <v>45566</v>
      </c>
      <c r="AP66" s="436">
        <f>OFS_SalesOverview_InTax[[#This Row],[GMV]]/$F$1</f>
        <v>16911.504424778763</v>
      </c>
      <c r="AQ66" s="436">
        <f>OFS_SalesOverview_ExclTax[[#This Row],[GMV]]-OFS_SalesOverview_ExclTax[[#This Row],[RR]]</f>
        <v>13946.902654867259</v>
      </c>
      <c r="AR66" s="431">
        <f>OFS_SalesOverview_InTax[[#This Row],[UV]]</f>
        <v>5050</v>
      </c>
      <c r="AS66" s="431">
        <f>OFS_SalesOverview_InTax[[#This Row],[Buyers]]</f>
        <v>5</v>
      </c>
      <c r="AT66" s="431">
        <f>OFS_SalesOverview_InTax[[#This Row],[Units]]</f>
        <v>5</v>
      </c>
      <c r="AU66" s="92">
        <f>OFS_SalesOverview_ExclTax[[#This Row],[Buyers]]/OFS_SalesOverview_ExclTax[[#This Row],[UV]]</f>
        <v>9.9009900990099011E-4</v>
      </c>
      <c r="AV66" s="431">
        <f>OFS_SalesOverview_ExclTax[[#This Row],[GMV]]/OFS_SalesOverview_ExclTax[[#This Row],[Buyers]]</f>
        <v>3382.3008849557527</v>
      </c>
      <c r="AW66" s="431">
        <f>OFS_SalesOverview_ExclTax[[#This Row],[GMV]]/OFS_SalesOverview_ExclTax[[#This Row],[Units]]</f>
        <v>3382.3008849557527</v>
      </c>
      <c r="AX66" s="432">
        <f>OFS_SalesOverview_ExclTax[[#This Row],[Units]]/OFS_SalesOverview_ExclTax[[#This Row],[Buyers]]</f>
        <v>1</v>
      </c>
      <c r="AY66" s="93">
        <f>OFS_SalesOverview_ExclTax[[#This Row],[RR]]/OFS_SalesOverview_ExclTax[[#This Row],[GMV]]</f>
        <v>0.17530088958660386</v>
      </c>
      <c r="AZ66" s="436">
        <f>OFS_SalesOverview_InTax[[#This Row],[RR]]/$F$1</f>
        <v>2964.6017699115046</v>
      </c>
      <c r="BA66" s="436">
        <f>OFS_SalesOverview_InTax[[#This Row],[MD GMV]]/$F$1</f>
        <v>0</v>
      </c>
      <c r="BB66" s="94">
        <f>OFS_SalesOverview_ExclTax[[#This Row],[MD GMV]]/OFS_SalesOverview_ExclTax[[#This Row],[GMV]]</f>
        <v>0</v>
      </c>
      <c r="BC66" s="28" t="str">
        <f>_xlfn.XLOOKUP(OFS_SalesOverview_ExclTax[[#This Row],[DATE]],全店核心数据_bymonth[开始日期],全店核心数据_bymonth[jda日历.PayYear],"")</f>
        <v>BU25</v>
      </c>
      <c r="BO66" s="28"/>
      <c r="CD66" s="53"/>
    </row>
    <row r="67" spans="5:82" ht="14.5" customHeight="1" x14ac:dyDescent="0.3">
      <c r="E67" s="428">
        <v>45536</v>
      </c>
      <c r="F67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16340</v>
      </c>
      <c r="G67" s="431">
        <f>OFS_SalesOverview_InTax[[#This Row],[GMV]]-OFS_SalesOverview_InTax[[#This Row],[RR]]</f>
        <v>16340</v>
      </c>
      <c r="H67" s="431">
        <v>5384</v>
      </c>
      <c r="I67" s="435" cm="1">
        <f t="array" ref="I67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2</v>
      </c>
      <c r="J67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3</v>
      </c>
      <c r="K67" s="92">
        <f>OFS_SalesOverview_InTax[[#This Row],[Buyers]]/OFS_SalesOverview_InTax[[#This Row],[UV]]</f>
        <v>3.714710252600297E-4</v>
      </c>
      <c r="L67" s="431">
        <f>OFS_SalesOverview_InTax[[#This Row],[GMV]]/OFS_SalesOverview_InTax[[#This Row],[Buyers]]</f>
        <v>8170</v>
      </c>
      <c r="M67" s="431">
        <f>OFS_SalesOverview_InTax[[#This Row],[GMV]]/OFS_SalesOverview_InTax[[#This Row],[Units]]</f>
        <v>5446.666666666667</v>
      </c>
      <c r="N67" s="432">
        <f>OFS_SalesOverview_InTax[[#This Row],[Units]]/OFS_SalesOverview_InTax[[#This Row],[Buyers]]</f>
        <v>1.5</v>
      </c>
      <c r="O67" s="93">
        <f>OFS_SalesOverview_InTax[[#This Row],[RR]]/OFS_SalesOverview_InTax[[#This Row],[GMV]]</f>
        <v>0</v>
      </c>
      <c r="P67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0</v>
      </c>
      <c r="Q67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R67" s="94">
        <f>OFS_SalesOverview_InTax[[#This Row],[MD GMV]]/OFS_SalesOverview_InTax[[#This Row],[GMV]]</f>
        <v>0</v>
      </c>
      <c r="S67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T67" s="94">
        <f>OFS_SalesOverview_InTax[[#This Row],[MD NET]]/OFS_SalesOverview_InTax[[#This Row],[NET]]</f>
        <v>0</v>
      </c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28" t="str">
        <f>_xlfn.XLOOKUP(OFS_SalesOverview_InTax[[#This Row],[DATE]],全店核心数据_bymonth[开始日期],全店核心数据_bymonth[jda日历.PayYear],"")</f>
        <v>BU25</v>
      </c>
      <c r="AO67" s="428">
        <f>OFS_SalesOverview_InTax[[#This Row],[DATE]]</f>
        <v>45536</v>
      </c>
      <c r="AP67" s="436">
        <f>OFS_SalesOverview_InTax[[#This Row],[GMV]]/$F$1</f>
        <v>14460.176991150443</v>
      </c>
      <c r="AQ67" s="436">
        <f>OFS_SalesOverview_ExclTax[[#This Row],[GMV]]-OFS_SalesOverview_ExclTax[[#This Row],[RR]]</f>
        <v>14460.176991150443</v>
      </c>
      <c r="AR67" s="431">
        <f>OFS_SalesOverview_InTax[[#This Row],[UV]]</f>
        <v>5384</v>
      </c>
      <c r="AS67" s="431">
        <f>OFS_SalesOverview_InTax[[#This Row],[Buyers]]</f>
        <v>2</v>
      </c>
      <c r="AT67" s="431">
        <f>OFS_SalesOverview_InTax[[#This Row],[Units]]</f>
        <v>3</v>
      </c>
      <c r="AU67" s="92">
        <f>OFS_SalesOverview_ExclTax[[#This Row],[Buyers]]/OFS_SalesOverview_ExclTax[[#This Row],[UV]]</f>
        <v>3.714710252600297E-4</v>
      </c>
      <c r="AV67" s="431">
        <f>OFS_SalesOverview_ExclTax[[#This Row],[GMV]]/OFS_SalesOverview_ExclTax[[#This Row],[Buyers]]</f>
        <v>7230.0884955752217</v>
      </c>
      <c r="AW67" s="431">
        <f>OFS_SalesOverview_ExclTax[[#This Row],[GMV]]/OFS_SalesOverview_ExclTax[[#This Row],[Units]]</f>
        <v>4820.0589970501478</v>
      </c>
      <c r="AX67" s="432">
        <f>OFS_SalesOverview_ExclTax[[#This Row],[Units]]/OFS_SalesOverview_ExclTax[[#This Row],[Buyers]]</f>
        <v>1.5</v>
      </c>
      <c r="AY67" s="93">
        <f>OFS_SalesOverview_ExclTax[[#This Row],[RR]]/OFS_SalesOverview_ExclTax[[#This Row],[GMV]]</f>
        <v>0</v>
      </c>
      <c r="AZ67" s="436">
        <f>OFS_SalesOverview_InTax[[#This Row],[RR]]/$F$1</f>
        <v>0</v>
      </c>
      <c r="BA67" s="436">
        <f>OFS_SalesOverview_InTax[[#This Row],[MD GMV]]/$F$1</f>
        <v>0</v>
      </c>
      <c r="BB67" s="94">
        <f>OFS_SalesOverview_ExclTax[[#This Row],[MD GMV]]/OFS_SalesOverview_ExclTax[[#This Row],[GMV]]</f>
        <v>0</v>
      </c>
      <c r="BC67" s="28" t="str">
        <f>_xlfn.XLOOKUP(OFS_SalesOverview_ExclTax[[#This Row],[DATE]],全店核心数据_bymonth[开始日期],全店核心数据_bymonth[jda日历.PayYear],"")</f>
        <v>BU25</v>
      </c>
      <c r="BO67" s="28"/>
      <c r="CD67" s="53"/>
    </row>
    <row r="68" spans="5:82" ht="14.5" customHeight="1" x14ac:dyDescent="0.3">
      <c r="E68" s="428">
        <v>45505</v>
      </c>
      <c r="F68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9145</v>
      </c>
      <c r="G68" s="431">
        <f>OFS_SalesOverview_InTax[[#This Row],[GMV]]-OFS_SalesOverview_InTax[[#This Row],[RR]]</f>
        <v>9145</v>
      </c>
      <c r="H68" s="431">
        <v>5738</v>
      </c>
      <c r="I68" s="435" cm="1">
        <f t="array" ref="I68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2</v>
      </c>
      <c r="J68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3</v>
      </c>
      <c r="K68" s="92">
        <f>OFS_SalesOverview_InTax[[#This Row],[Buyers]]/OFS_SalesOverview_InTax[[#This Row],[UV]]</f>
        <v>3.4855350296270478E-4</v>
      </c>
      <c r="L68" s="431">
        <f>OFS_SalesOverview_InTax[[#This Row],[GMV]]/OFS_SalesOverview_InTax[[#This Row],[Buyers]]</f>
        <v>4572.5</v>
      </c>
      <c r="M68" s="431">
        <f>OFS_SalesOverview_InTax[[#This Row],[GMV]]/OFS_SalesOverview_InTax[[#This Row],[Units]]</f>
        <v>3048.3333333333335</v>
      </c>
      <c r="N68" s="432">
        <f>OFS_SalesOverview_InTax[[#This Row],[Units]]/OFS_SalesOverview_InTax[[#This Row],[Buyers]]</f>
        <v>1.5</v>
      </c>
      <c r="O68" s="93">
        <f>OFS_SalesOverview_InTax[[#This Row],[RR]]/OFS_SalesOverview_InTax[[#This Row],[GMV]]</f>
        <v>0</v>
      </c>
      <c r="P68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0</v>
      </c>
      <c r="Q68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R68" s="94">
        <f>OFS_SalesOverview_InTax[[#This Row],[MD GMV]]/OFS_SalesOverview_InTax[[#This Row],[GMV]]</f>
        <v>0</v>
      </c>
      <c r="S68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T68" s="94">
        <f>OFS_SalesOverview_InTax[[#This Row],[MD NET]]/OFS_SalesOverview_InTax[[#This Row],[NET]]</f>
        <v>0</v>
      </c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28" t="str">
        <f>_xlfn.XLOOKUP(OFS_SalesOverview_InTax[[#This Row],[DATE]],全店核心数据_bymonth[开始日期],全店核心数据_bymonth[jda日历.PayYear],"")</f>
        <v>BU25</v>
      </c>
      <c r="AO68" s="428">
        <f>OFS_SalesOverview_InTax[[#This Row],[DATE]]</f>
        <v>45505</v>
      </c>
      <c r="AP68" s="436">
        <f>OFS_SalesOverview_InTax[[#This Row],[GMV]]/$F$1</f>
        <v>8092.920353982302</v>
      </c>
      <c r="AQ68" s="436">
        <f>OFS_SalesOverview_ExclTax[[#This Row],[GMV]]-OFS_SalesOverview_ExclTax[[#This Row],[RR]]</f>
        <v>8092.920353982302</v>
      </c>
      <c r="AR68" s="431">
        <f>OFS_SalesOverview_InTax[[#This Row],[UV]]</f>
        <v>5738</v>
      </c>
      <c r="AS68" s="431">
        <f>OFS_SalesOverview_InTax[[#This Row],[Buyers]]</f>
        <v>2</v>
      </c>
      <c r="AT68" s="431">
        <f>OFS_SalesOverview_InTax[[#This Row],[Units]]</f>
        <v>3</v>
      </c>
      <c r="AU68" s="92">
        <f>OFS_SalesOverview_ExclTax[[#This Row],[Buyers]]/OFS_SalesOverview_ExclTax[[#This Row],[UV]]</f>
        <v>3.4855350296270478E-4</v>
      </c>
      <c r="AV68" s="431">
        <f>OFS_SalesOverview_ExclTax[[#This Row],[GMV]]/OFS_SalesOverview_ExclTax[[#This Row],[Buyers]]</f>
        <v>4046.460176991151</v>
      </c>
      <c r="AW68" s="431">
        <f>OFS_SalesOverview_ExclTax[[#This Row],[GMV]]/OFS_SalesOverview_ExclTax[[#This Row],[Units]]</f>
        <v>2697.6401179941008</v>
      </c>
      <c r="AX68" s="432">
        <f>OFS_SalesOverview_ExclTax[[#This Row],[Units]]/OFS_SalesOverview_ExclTax[[#This Row],[Buyers]]</f>
        <v>1.5</v>
      </c>
      <c r="AY68" s="93">
        <f>OFS_SalesOverview_ExclTax[[#This Row],[RR]]/OFS_SalesOverview_ExclTax[[#This Row],[GMV]]</f>
        <v>0</v>
      </c>
      <c r="AZ68" s="436">
        <f>OFS_SalesOverview_InTax[[#This Row],[RR]]/$F$1</f>
        <v>0</v>
      </c>
      <c r="BA68" s="436">
        <f>OFS_SalesOverview_InTax[[#This Row],[MD GMV]]/$F$1</f>
        <v>0</v>
      </c>
      <c r="BB68" s="94">
        <f>OFS_SalesOverview_ExclTax[[#This Row],[MD GMV]]/OFS_SalesOverview_ExclTax[[#This Row],[GMV]]</f>
        <v>0</v>
      </c>
      <c r="BC68" s="28" t="str">
        <f>_xlfn.XLOOKUP(OFS_SalesOverview_ExclTax[[#This Row],[DATE]],全店核心数据_bymonth[开始日期],全店核心数据_bymonth[jda日历.PayYear],"")</f>
        <v>BU25</v>
      </c>
      <c r="BO68" s="28"/>
      <c r="CD68" s="53"/>
    </row>
    <row r="69" spans="5:82" ht="14.5" customHeight="1" x14ac:dyDescent="0.3">
      <c r="E69" s="428">
        <v>45474</v>
      </c>
      <c r="F69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29525</v>
      </c>
      <c r="G69" s="431">
        <f>OFS_SalesOverview_InTax[[#This Row],[GMV]]-OFS_SalesOverview_InTax[[#This Row],[RR]]</f>
        <v>24880</v>
      </c>
      <c r="H69" s="431">
        <v>6190</v>
      </c>
      <c r="I69" s="435" cm="1">
        <f t="array" ref="I69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6</v>
      </c>
      <c r="J69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6</v>
      </c>
      <c r="K69" s="92">
        <f>OFS_SalesOverview_InTax[[#This Row],[Buyers]]/OFS_SalesOverview_InTax[[#This Row],[UV]]</f>
        <v>9.6930533117932144E-4</v>
      </c>
      <c r="L69" s="431">
        <f>OFS_SalesOverview_InTax[[#This Row],[GMV]]/OFS_SalesOverview_InTax[[#This Row],[Buyers]]</f>
        <v>4920.833333333333</v>
      </c>
      <c r="M69" s="431">
        <f>OFS_SalesOverview_InTax[[#This Row],[GMV]]/OFS_SalesOverview_InTax[[#This Row],[Units]]</f>
        <v>4920.833333333333</v>
      </c>
      <c r="N69" s="432">
        <f>OFS_SalesOverview_InTax[[#This Row],[Units]]/OFS_SalesOverview_InTax[[#This Row],[Buyers]]</f>
        <v>1</v>
      </c>
      <c r="O69" s="93">
        <f>OFS_SalesOverview_InTax[[#This Row],[RR]]/OFS_SalesOverview_InTax[[#This Row],[GMV]]</f>
        <v>0.15732430143945808</v>
      </c>
      <c r="P69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4645</v>
      </c>
      <c r="Q69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13295</v>
      </c>
      <c r="R69" s="94">
        <f>OFS_SalesOverview_InTax[[#This Row],[MD GMV]]/OFS_SalesOverview_InTax[[#This Row],[GMV]]</f>
        <v>0.45029635901778153</v>
      </c>
      <c r="S69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13295</v>
      </c>
      <c r="T69" s="94">
        <f>OFS_SalesOverview_InTax[[#This Row],[MD NET]]/OFS_SalesOverview_InTax[[#This Row],[NET]]</f>
        <v>0.53436495176848875</v>
      </c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28" t="str">
        <f>_xlfn.XLOOKUP(OFS_SalesOverview_InTax[[#This Row],[DATE]],全店核心数据_bymonth[开始日期],全店核心数据_bymonth[jda日历.PayYear],"")</f>
        <v>BU25</v>
      </c>
      <c r="AO69" s="428">
        <f>OFS_SalesOverview_InTax[[#This Row],[DATE]]</f>
        <v>45474</v>
      </c>
      <c r="AP69" s="436">
        <f>OFS_SalesOverview_InTax[[#This Row],[GMV]]/$F$1</f>
        <v>26128.318584070799</v>
      </c>
      <c r="AQ69" s="436">
        <f>OFS_SalesOverview_ExclTax[[#This Row],[GMV]]-OFS_SalesOverview_ExclTax[[#This Row],[RR]]</f>
        <v>22017.699115044248</v>
      </c>
      <c r="AR69" s="431">
        <f>OFS_SalesOverview_InTax[[#This Row],[UV]]</f>
        <v>6190</v>
      </c>
      <c r="AS69" s="431">
        <f>OFS_SalesOverview_InTax[[#This Row],[Buyers]]</f>
        <v>6</v>
      </c>
      <c r="AT69" s="431">
        <f>OFS_SalesOverview_InTax[[#This Row],[Units]]</f>
        <v>6</v>
      </c>
      <c r="AU69" s="92">
        <f>OFS_SalesOverview_ExclTax[[#This Row],[Buyers]]/OFS_SalesOverview_ExclTax[[#This Row],[UV]]</f>
        <v>9.6930533117932144E-4</v>
      </c>
      <c r="AV69" s="431">
        <f>OFS_SalesOverview_ExclTax[[#This Row],[GMV]]/OFS_SalesOverview_ExclTax[[#This Row],[Buyers]]</f>
        <v>4354.7197640118002</v>
      </c>
      <c r="AW69" s="431">
        <f>OFS_SalesOverview_ExclTax[[#This Row],[GMV]]/OFS_SalesOverview_ExclTax[[#This Row],[Units]]</f>
        <v>4354.7197640118002</v>
      </c>
      <c r="AX69" s="432">
        <f>OFS_SalesOverview_ExclTax[[#This Row],[Units]]/OFS_SalesOverview_ExclTax[[#This Row],[Buyers]]</f>
        <v>1</v>
      </c>
      <c r="AY69" s="93">
        <f>OFS_SalesOverview_ExclTax[[#This Row],[RR]]/OFS_SalesOverview_ExclTax[[#This Row],[GMV]]</f>
        <v>0.15732430143945808</v>
      </c>
      <c r="AZ69" s="436">
        <f>OFS_SalesOverview_InTax[[#This Row],[RR]]/$F$1</f>
        <v>4110.6194690265493</v>
      </c>
      <c r="BA69" s="436">
        <f>OFS_SalesOverview_InTax[[#This Row],[MD GMV]]/$F$1</f>
        <v>11765.486725663717</v>
      </c>
      <c r="BB69" s="94">
        <f>OFS_SalesOverview_ExclTax[[#This Row],[MD GMV]]/OFS_SalesOverview_ExclTax[[#This Row],[GMV]]</f>
        <v>0.45029635901778153</v>
      </c>
      <c r="BC69" s="28" t="str">
        <f>_xlfn.XLOOKUP(OFS_SalesOverview_ExclTax[[#This Row],[DATE]],全店核心数据_bymonth[开始日期],全店核心数据_bymonth[jda日历.PayYear],"")</f>
        <v>BU25</v>
      </c>
      <c r="BO69" s="28"/>
      <c r="CD69" s="53"/>
    </row>
    <row r="70" spans="5:82" ht="14.5" customHeight="1" x14ac:dyDescent="0.3">
      <c r="E70" s="428">
        <v>45444</v>
      </c>
      <c r="F70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57315</v>
      </c>
      <c r="G70" s="431">
        <f>OFS_SalesOverview_InTax[[#This Row],[GMV]]-OFS_SalesOverview_InTax[[#This Row],[RR]]</f>
        <v>50325</v>
      </c>
      <c r="H70" s="437">
        <v>6224</v>
      </c>
      <c r="I70" s="435" cm="1">
        <f t="array" ref="I70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6</v>
      </c>
      <c r="J70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7</v>
      </c>
      <c r="K70" s="92">
        <f>OFS_SalesOverview_InTax[[#This Row],[Buyers]]/OFS_SalesOverview_InTax[[#This Row],[UV]]</f>
        <v>9.640102827763496E-4</v>
      </c>
      <c r="L70" s="431">
        <f>OFS_SalesOverview_InTax[[#This Row],[GMV]]/OFS_SalesOverview_InTax[[#This Row],[Buyers]]</f>
        <v>9552.5</v>
      </c>
      <c r="M70" s="431">
        <f>OFS_SalesOverview_InTax[[#This Row],[GMV]]/OFS_SalesOverview_InTax[[#This Row],[Units]]</f>
        <v>8187.8571428571431</v>
      </c>
      <c r="N70" s="432">
        <f>OFS_SalesOverview_InTax[[#This Row],[Units]]/OFS_SalesOverview_InTax[[#This Row],[Buyers]]</f>
        <v>1.1666666666666667</v>
      </c>
      <c r="O70" s="93">
        <f>OFS_SalesOverview_InTax[[#This Row],[RR]]/OFS_SalesOverview_InTax[[#This Row],[GMV]]</f>
        <v>0.12195760272180058</v>
      </c>
      <c r="P70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6990</v>
      </c>
      <c r="Q70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9065</v>
      </c>
      <c r="R70" s="94">
        <f>OFS_SalesOverview_InTax[[#This Row],[MD GMV]]/OFS_SalesOverview_InTax[[#This Row],[GMV]]</f>
        <v>0.15816103986739946</v>
      </c>
      <c r="S70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9065</v>
      </c>
      <c r="T70" s="94">
        <f>OFS_SalesOverview_InTax[[#This Row],[MD NET]]/OFS_SalesOverview_InTax[[#This Row],[NET]]</f>
        <v>0.18012916045702931</v>
      </c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28" t="str">
        <f>_xlfn.XLOOKUP(OFS_SalesOverview_InTax[[#This Row],[DATE]],全店核心数据_bymonth[开始日期],全店核心数据_bymonth[jda日历.PayYear],"")</f>
        <v>BU25</v>
      </c>
      <c r="AO70" s="428">
        <f>OFS_SalesOverview_InTax[[#This Row],[DATE]]</f>
        <v>45444</v>
      </c>
      <c r="AP70" s="436">
        <f>OFS_SalesOverview_InTax[[#This Row],[GMV]]/$F$1</f>
        <v>50721.238938053102</v>
      </c>
      <c r="AQ70" s="436">
        <f>OFS_SalesOverview_ExclTax[[#This Row],[GMV]]-OFS_SalesOverview_ExclTax[[#This Row],[RR]]</f>
        <v>44535.398230088496</v>
      </c>
      <c r="AR70" s="431">
        <f>OFS_SalesOverview_InTax[[#This Row],[UV]]</f>
        <v>6224</v>
      </c>
      <c r="AS70" s="431">
        <f>OFS_SalesOverview_InTax[[#This Row],[Buyers]]</f>
        <v>6</v>
      </c>
      <c r="AT70" s="431">
        <f>OFS_SalesOverview_InTax[[#This Row],[Units]]</f>
        <v>7</v>
      </c>
      <c r="AU70" s="92">
        <f>OFS_SalesOverview_ExclTax[[#This Row],[Buyers]]/OFS_SalesOverview_ExclTax[[#This Row],[UV]]</f>
        <v>9.640102827763496E-4</v>
      </c>
      <c r="AV70" s="431">
        <f>OFS_SalesOverview_ExclTax[[#This Row],[GMV]]/OFS_SalesOverview_ExclTax[[#This Row],[Buyers]]</f>
        <v>8453.5398230088504</v>
      </c>
      <c r="AW70" s="431">
        <f>OFS_SalesOverview_ExclTax[[#This Row],[GMV]]/OFS_SalesOverview_ExclTax[[#This Row],[Units]]</f>
        <v>7245.8912768647288</v>
      </c>
      <c r="AX70" s="432">
        <f>OFS_SalesOverview_ExclTax[[#This Row],[Units]]/OFS_SalesOverview_ExclTax[[#This Row],[Buyers]]</f>
        <v>1.1666666666666667</v>
      </c>
      <c r="AY70" s="93">
        <f>OFS_SalesOverview_ExclTax[[#This Row],[RR]]/OFS_SalesOverview_ExclTax[[#This Row],[GMV]]</f>
        <v>0.12195760272180058</v>
      </c>
      <c r="AZ70" s="436">
        <f>OFS_SalesOverview_InTax[[#This Row],[RR]]/$F$1</f>
        <v>6185.8407079646022</v>
      </c>
      <c r="BA70" s="436">
        <f>OFS_SalesOverview_InTax[[#This Row],[MD GMV]]/$F$1</f>
        <v>8022.1238938053102</v>
      </c>
      <c r="BB70" s="94">
        <f>OFS_SalesOverview_ExclTax[[#This Row],[MD GMV]]/OFS_SalesOverview_ExclTax[[#This Row],[GMV]]</f>
        <v>0.15816103986739946</v>
      </c>
      <c r="BC70" s="28" t="str">
        <f>_xlfn.XLOOKUP(OFS_SalesOverview_ExclTax[[#This Row],[DATE]],全店核心数据_bymonth[开始日期],全店核心数据_bymonth[jda日历.PayYear],"")</f>
        <v>BU25</v>
      </c>
      <c r="BO70" s="28"/>
      <c r="CD70" s="53"/>
    </row>
    <row r="71" spans="5:82" ht="14.5" customHeight="1" x14ac:dyDescent="0.3">
      <c r="E71" s="428">
        <v>45413</v>
      </c>
      <c r="F71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25620</v>
      </c>
      <c r="G71" s="431">
        <f>OFS_SalesOverview_InTax[[#This Row],[GMV]]-OFS_SalesOverview_InTax[[#This Row],[RR]]</f>
        <v>25620</v>
      </c>
      <c r="H71" s="438">
        <v>6903</v>
      </c>
      <c r="I71" s="435" cm="1">
        <f t="array" ref="I71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7</v>
      </c>
      <c r="J71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7</v>
      </c>
      <c r="K71" s="92">
        <f>OFS_SalesOverview_InTax[[#This Row],[Buyers]]/OFS_SalesOverview_InTax[[#This Row],[UV]]</f>
        <v>1.0140518615094887E-3</v>
      </c>
      <c r="L71" s="431">
        <f>OFS_SalesOverview_InTax[[#This Row],[GMV]]/OFS_SalesOverview_InTax[[#This Row],[Buyers]]</f>
        <v>3660</v>
      </c>
      <c r="M71" s="431">
        <f>OFS_SalesOverview_InTax[[#This Row],[GMV]]/OFS_SalesOverview_InTax[[#This Row],[Units]]</f>
        <v>3660</v>
      </c>
      <c r="N71" s="432">
        <f>OFS_SalesOverview_InTax[[#This Row],[Units]]/OFS_SalesOverview_InTax[[#This Row],[Buyers]]</f>
        <v>1</v>
      </c>
      <c r="O71" s="93">
        <f>OFS_SalesOverview_InTax[[#This Row],[RR]]/OFS_SalesOverview_InTax[[#This Row],[GMV]]</f>
        <v>0</v>
      </c>
      <c r="P71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0</v>
      </c>
      <c r="Q71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R71" s="94">
        <f>OFS_SalesOverview_InTax[[#This Row],[MD GMV]]/OFS_SalesOverview_InTax[[#This Row],[GMV]]</f>
        <v>0</v>
      </c>
      <c r="S71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T71" s="94">
        <f>OFS_SalesOverview_InTax[[#This Row],[MD NET]]/OFS_SalesOverview_InTax[[#This Row],[NET]]</f>
        <v>0</v>
      </c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28" t="str">
        <f>_xlfn.XLOOKUP(OFS_SalesOverview_InTax[[#This Row],[DATE]],全店核心数据_bymonth[开始日期],全店核心数据_bymonth[jda日历.PayYear],"")</f>
        <v>BU25</v>
      </c>
      <c r="AO71" s="428">
        <f>OFS_SalesOverview_InTax[[#This Row],[DATE]]</f>
        <v>45413</v>
      </c>
      <c r="AP71" s="436">
        <f>OFS_SalesOverview_InTax[[#This Row],[GMV]]/$F$1</f>
        <v>22672.56637168142</v>
      </c>
      <c r="AQ71" s="436">
        <f>OFS_SalesOverview_ExclTax[[#This Row],[GMV]]-OFS_SalesOverview_ExclTax[[#This Row],[RR]]</f>
        <v>22672.56637168142</v>
      </c>
      <c r="AR71" s="431">
        <f>OFS_SalesOverview_InTax[[#This Row],[UV]]</f>
        <v>6903</v>
      </c>
      <c r="AS71" s="431">
        <f>OFS_SalesOverview_InTax[[#This Row],[Buyers]]</f>
        <v>7</v>
      </c>
      <c r="AT71" s="431">
        <f>OFS_SalesOverview_InTax[[#This Row],[Units]]</f>
        <v>7</v>
      </c>
      <c r="AU71" s="92">
        <f>OFS_SalesOverview_ExclTax[[#This Row],[Buyers]]/OFS_SalesOverview_ExclTax[[#This Row],[UV]]</f>
        <v>1.0140518615094887E-3</v>
      </c>
      <c r="AV71" s="431">
        <f>OFS_SalesOverview_ExclTax[[#This Row],[GMV]]/OFS_SalesOverview_ExclTax[[#This Row],[Buyers]]</f>
        <v>3238.9380530973458</v>
      </c>
      <c r="AW71" s="431">
        <f>OFS_SalesOverview_ExclTax[[#This Row],[GMV]]/OFS_SalesOverview_ExclTax[[#This Row],[Units]]</f>
        <v>3238.9380530973458</v>
      </c>
      <c r="AX71" s="432">
        <f>OFS_SalesOverview_ExclTax[[#This Row],[Units]]/OFS_SalesOverview_ExclTax[[#This Row],[Buyers]]</f>
        <v>1</v>
      </c>
      <c r="AY71" s="93">
        <f>OFS_SalesOverview_ExclTax[[#This Row],[RR]]/OFS_SalesOverview_ExclTax[[#This Row],[GMV]]</f>
        <v>0</v>
      </c>
      <c r="AZ71" s="436">
        <f>OFS_SalesOverview_InTax[[#This Row],[RR]]/$F$1</f>
        <v>0</v>
      </c>
      <c r="BA71" s="436">
        <f>OFS_SalesOverview_InTax[[#This Row],[MD GMV]]/$F$1</f>
        <v>0</v>
      </c>
      <c r="BB71" s="94">
        <f>OFS_SalesOverview_ExclTax[[#This Row],[MD GMV]]/OFS_SalesOverview_ExclTax[[#This Row],[GMV]]</f>
        <v>0</v>
      </c>
      <c r="BC71" s="28" t="str">
        <f>_xlfn.XLOOKUP(OFS_SalesOverview_ExclTax[[#This Row],[DATE]],全店核心数据_bymonth[开始日期],全店核心数据_bymonth[jda日历.PayYear],"")</f>
        <v>BU25</v>
      </c>
      <c r="BO71" s="28"/>
      <c r="CD71" s="53"/>
    </row>
    <row r="72" spans="5:82" ht="14.5" customHeight="1" x14ac:dyDescent="0.3">
      <c r="E72" s="428">
        <v>45383</v>
      </c>
      <c r="F72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Row],[DATE]],0)+1,[44]!dtc_订单源[店铺名称],"*官方商城*")</f>
        <v>20835</v>
      </c>
      <c r="G72" s="431">
        <f>OFS_SalesOverview_InTax[[#This Row],[GMV]]-OFS_SalesOverview_InTax[[#This Row],[RR]]</f>
        <v>14915</v>
      </c>
      <c r="H72" s="438">
        <v>5762</v>
      </c>
      <c r="I72" s="435" cm="1">
        <f t="array" ref="I72">COUNT(LEN(_xlfn.UNIQUE(_xlfn._xlws.FILTER([44]!dtc_订单源[买家昵称],([44]!dtc_订单源[最后付款时间]&gt;=OFS_SalesOverview_InTax[[#This Row],[DATE]])*([44]!dtc_订单源[最后付款时间]&lt;EOMONTH(OFS_SalesOverview_InTax[[#This Row],[DATE]],0)+1)*([44]!dtc_订单源[店铺名称]="Dunhill官方商城店")))))</f>
        <v>3</v>
      </c>
      <c r="J72" s="431">
        <f>SUMIFS([44]!dtc_订单源[件数],[44]!dtc_订单源[最后付款时间],"&gt;="&amp;OFS_SalesOverview_InTax[[#This Row],[DATE]],[44]!dtc_订单源[最后付款时间],"&lt;"&amp;EOMONTH(OFS_SalesOverview_InTax[[#This Row],[DATE]],0)+1,[44]!dtc_订单源[店铺名称],"*官方商城*")</f>
        <v>6</v>
      </c>
      <c r="K72" s="92">
        <f>OFS_SalesOverview_InTax[[#This Row],[Buyers]]/OFS_SalesOverview_InTax[[#This Row],[UV]]</f>
        <v>5.2065255119750087E-4</v>
      </c>
      <c r="L72" s="431">
        <f>OFS_SalesOverview_InTax[[#This Row],[GMV]]/OFS_SalesOverview_InTax[[#This Row],[Buyers]]</f>
        <v>6945</v>
      </c>
      <c r="M72" s="431">
        <f>OFS_SalesOverview_InTax[[#This Row],[GMV]]/OFS_SalesOverview_InTax[[#This Row],[Units]]</f>
        <v>3472.5</v>
      </c>
      <c r="N72" s="432">
        <f>OFS_SalesOverview_InTax[[#This Row],[Units]]/OFS_SalesOverview_InTax[[#This Row],[Buyers]]</f>
        <v>2</v>
      </c>
      <c r="O72" s="93">
        <f>OFS_SalesOverview_InTax[[#This Row],[RR]]/OFS_SalesOverview_InTax[[#This Row],[GMV]]</f>
        <v>0.28413726901847852</v>
      </c>
      <c r="P72" s="431">
        <f>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Row],[DATE]],0)+1,[44]!dtc_订单源[店铺名称],"*官方商城*")</f>
        <v>5920</v>
      </c>
      <c r="Q72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R72" s="94">
        <f>OFS_SalesOverview_InTax[[#This Row],[MD GMV]]/OFS_SalesOverview_InTax[[#This Row],[GMV]]</f>
        <v>0</v>
      </c>
      <c r="S72" s="431">
        <f>SUMIFS([44]!dtc_订单源[成交总金额],[44]!dtc_订单源[最后付款时间],"&gt;="&amp;OFS_SalesOverview_InTax[[#This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Row],[DATE]],0)+1,[44]!dtc_订单源[店铺名称],"*官方商城*",[44]!dtc_订单源[FP_MD],"MD")-SUMIFS([44]!dtc_订单源[退款金额],[44]!dtc_订单源[最后付款时间],"&gt;="&amp;OFS_SalesOverview_InTax[[#This Row],[DATE]],[44]!dtc_订单源[最后付款时间],"&lt;"&amp;EOMONTH(OFS_SalesOverview_InTax[[#This Row],[DATE]],0)+1,[44]!dtc_订单源[店铺名称],"*官方商城*",[44]!dtc_订单源[FP_MD],"MD")</f>
        <v>0</v>
      </c>
      <c r="T72" s="94">
        <f>OFS_SalesOverview_InTax[[#This Row],[MD NET]]/OFS_SalesOverview_InTax[[#This Row],[NET]]</f>
        <v>0</v>
      </c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28" t="str">
        <f>_xlfn.XLOOKUP(OFS_SalesOverview_InTax[[#This Row],[DATE]],全店核心数据_bymonth[开始日期],全店核心数据_bymonth[jda日历.PayYear],"")</f>
        <v>BU25</v>
      </c>
      <c r="AO72" s="428">
        <f>OFS_SalesOverview_InTax[[#This Row],[DATE]]</f>
        <v>45383</v>
      </c>
      <c r="AP72" s="436">
        <f>OFS_SalesOverview_InTax[[#This Row],[GMV]]/$F$1</f>
        <v>18438.053097345135</v>
      </c>
      <c r="AQ72" s="436">
        <f>OFS_SalesOverview_ExclTax[[#This Row],[GMV]]-OFS_SalesOverview_ExclTax[[#This Row],[RR]]</f>
        <v>13199.115044247788</v>
      </c>
      <c r="AR72" s="431">
        <f>OFS_SalesOverview_InTax[[#This Row],[UV]]</f>
        <v>5762</v>
      </c>
      <c r="AS72" s="431">
        <f>OFS_SalesOverview_InTax[[#This Row],[Buyers]]</f>
        <v>3</v>
      </c>
      <c r="AT72" s="431">
        <f>OFS_SalesOverview_InTax[[#This Row],[Units]]</f>
        <v>6</v>
      </c>
      <c r="AU72" s="92">
        <f>OFS_SalesOverview_ExclTax[[#This Row],[Buyers]]/OFS_SalesOverview_ExclTax[[#This Row],[UV]]</f>
        <v>5.2065255119750087E-4</v>
      </c>
      <c r="AV72" s="431">
        <f>OFS_SalesOverview_ExclTax[[#This Row],[GMV]]/OFS_SalesOverview_ExclTax[[#This Row],[Buyers]]</f>
        <v>6146.0176991150447</v>
      </c>
      <c r="AW72" s="431">
        <f>OFS_SalesOverview_ExclTax[[#This Row],[GMV]]/OFS_SalesOverview_ExclTax[[#This Row],[Units]]</f>
        <v>3073.0088495575224</v>
      </c>
      <c r="AX72" s="432">
        <f>OFS_SalesOverview_ExclTax[[#This Row],[Units]]/OFS_SalesOverview_ExclTax[[#This Row],[Buyers]]</f>
        <v>2</v>
      </c>
      <c r="AY72" s="93">
        <f>OFS_SalesOverview_ExclTax[[#This Row],[RR]]/OFS_SalesOverview_ExclTax[[#This Row],[GMV]]</f>
        <v>0.28413726901847852</v>
      </c>
      <c r="AZ72" s="436">
        <f>OFS_SalesOverview_InTax[[#This Row],[RR]]/$F$1</f>
        <v>5238.9380530973458</v>
      </c>
      <c r="BA72" s="436">
        <f>OFS_SalesOverview_InTax[[#This Row],[MD GMV]]/$F$1</f>
        <v>0</v>
      </c>
      <c r="BB72" s="94">
        <f>OFS_SalesOverview_ExclTax[[#This Row],[MD GMV]]/OFS_SalesOverview_ExclTax[[#This Row],[GMV]]</f>
        <v>0</v>
      </c>
      <c r="BC72" s="28" t="str">
        <f>_xlfn.XLOOKUP(OFS_SalesOverview_ExclTax[[#This Row],[DATE]],全店核心数据_bymonth[开始日期],全店核心数据_bymonth[jda日历.PayYear],"")</f>
        <v>BU25</v>
      </c>
      <c r="BO72" s="28"/>
      <c r="CD72" s="53"/>
    </row>
    <row r="73" spans="5:82" ht="14.5" customHeight="1" x14ac:dyDescent="0.3">
      <c r="E73" s="425" t="s">
        <v>331</v>
      </c>
      <c r="F73" s="256">
        <f>SUMIFS(OFS_SalesOverview_InTax[GMV],OFS_SalesOverview_InTax[DATE],$K$1)/SUMIFS(OFS_SalesOverview_InTax[GMV],OFS_SalesOverview_InTax[DATE],EDATE($K$1,-12))-1</f>
        <v>-0.66367296975163481</v>
      </c>
      <c r="G73" s="256">
        <f>SUMIFS(OFS_SalesOverview_InTax[NET],OFS_SalesOverview_InTax[DATE],$K$1)/SUMIFS(OFS_SalesOverview_InTax[NET],OFS_SalesOverview_InTax[DATE],EDATE($K$1,-12))-1</f>
        <v>-0.5595798532017211</v>
      </c>
      <c r="H73" s="256">
        <f>SUMIFS(OFS_SalesOverview_InTax[UV],OFS_SalesOverview_InTax[DATE],$K$1)/SUMIFS(OFS_SalesOverview_InTax[UV],OFS_SalesOverview_InTax[DATE],EDATE($K$1,-12))-1</f>
        <v>-0.42790124904708848</v>
      </c>
      <c r="I73" s="256">
        <f>SUMIFS(OFS_SalesOverview_InTax[Buyers],OFS_SalesOverview_InTax[DATE],$K$1)/SUMIFS(OFS_SalesOverview_InTax[Buyers],OFS_SalesOverview_InTax[DATE],EDATE($K$1,-12))-1</f>
        <v>-0.58823529411764708</v>
      </c>
      <c r="J73" s="256">
        <f>SUMIFS(OFS_SalesOverview_InTax[Units],OFS_SalesOverview_InTax[DATE],$K$1)/SUMIFS(OFS_SalesOverview_InTax[Units],OFS_SalesOverview_InTax[DATE],EDATE($K$1,-12))-1</f>
        <v>-0.5</v>
      </c>
      <c r="K73" s="256">
        <f>SUMIFS(OFS_SalesOverview_InTax[CR],OFS_SalesOverview_InTax[DATE],$K$1)/SUMIFS(OFS_SalesOverview_InTax[CR],OFS_SalesOverview_InTax[DATE],EDATE($K$1,-12))-1</f>
        <v>-0.28025589079420199</v>
      </c>
      <c r="L73" s="256">
        <f>SUMIFS(OFS_SalesOverview_InTax[ATV],OFS_SalesOverview_InTax[DATE],$K$1)/SUMIFS(OFS_SalesOverview_InTax[ATV],OFS_SalesOverview_InTax[DATE],EDATE($K$1,-12))-1</f>
        <v>-0.18320578368254181</v>
      </c>
      <c r="M73" s="256">
        <f>SUMIFS(OFS_SalesOverview_InTax[AUR],OFS_SalesOverview_InTax[DATE],$K$1)/SUMIFS(OFS_SalesOverview_InTax[AUR],OFS_SalesOverview_InTax[DATE],EDATE($K$1,-12))-1</f>
        <v>-0.32734593950326973</v>
      </c>
      <c r="N73" s="256">
        <f>SUMIFS(OFS_SalesOverview_InTax[UPT],OFS_SalesOverview_InTax[DATE],$K$1)/SUMIFS(OFS_SalesOverview_InTax[UPT],OFS_SalesOverview_InTax[DATE],EDATE($K$1,-12))-1</f>
        <v>0.21428571428571419</v>
      </c>
      <c r="O73" s="255">
        <f>(SUMIFS(OFS_SalesOverview_InTax[RRC],OFS_SalesOverview_InTax[DATE],$K$1)-SUMIFS(OFS_SalesOverview_InTax[RRC],OFS_SalesOverview_InTax[DATE],EDATE($K$1,-12)))*100</f>
        <v>-23.634957961537221</v>
      </c>
      <c r="P73" s="222">
        <f>SUMIFS(OFS_SalesOverview_InTax[RR],OFS_SalesOverview_InTax[DATE],$K$1)/SUMIFS(OFS_SalesOverview_InTax[RR],OFS_SalesOverview_InTax[DATE],EDATE($K$1,-12))-1</f>
        <v>-1</v>
      </c>
      <c r="Q73" s="222">
        <f>SUMIFS(OFS_SalesOverview_InTax[MD GMV],OFS_SalesOverview_InTax[DATE],$K$1)/SUMIFS(OFS_SalesOverview_InTax[MD GMV],OFS_SalesOverview_InTax[DATE],EDATE($K$1,-12))-1</f>
        <v>-0.89970279993743152</v>
      </c>
      <c r="R73" s="255">
        <f>(SUMIFS(OFS_SalesOverview_InTax[MD GMV %],OFS_SalesOverview_InTax[DATE],$K$1)-SUMIFS(OFS_SalesOverview_InTax[MD GMV %],OFS_SalesOverview_InTax[DATE],EDATE($K$1,-12)))*100</f>
        <v>-43.357815768570731</v>
      </c>
      <c r="S73" s="222">
        <f>SUMIFS(OFS_SalesOverview_InTax[MD NET],OFS_SalesOverview_InTax[DATE],$K$1)/SUMIFS(OFS_SalesOverview_InTax[MD NET],OFS_SalesOverview_InTax[DATE],EDATE($K$1,-12))-1</f>
        <v>-0.83756122276642464</v>
      </c>
      <c r="T73" s="255">
        <f>(SUMIFS(OFS_SalesOverview_InTax[MD NET%],OFS_SalesOverview_InTax[DATE],$K$1)-SUMIFS(OFS_SalesOverview_InTax[MD NET%],OFS_SalesOverview_InTax[DATE],EDATE($K$1,-12)))*100</f>
        <v>-31.529369752554636</v>
      </c>
      <c r="U73" s="255"/>
      <c r="V73" s="255"/>
      <c r="W73" s="255"/>
      <c r="X73" s="255"/>
      <c r="Y73" s="255"/>
      <c r="Z73" s="255"/>
      <c r="AA73" s="255"/>
      <c r="AB73" s="255"/>
      <c r="AC73" s="255"/>
      <c r="AD73" s="255"/>
      <c r="AE73" s="255"/>
      <c r="AF73" s="255"/>
      <c r="AG73" s="255"/>
      <c r="AH73" s="255"/>
      <c r="AI73" s="255"/>
      <c r="AJ73" s="255"/>
      <c r="AK73" s="255"/>
      <c r="AL73" s="28" t="str">
        <f>_xlfn.XLOOKUP(OFS_SalesOverview_InTax[[#This Row],[DATE]],全店核心数据_bymonth[开始日期],全店核心数据_bymonth[jda日历.PayYear],"")</f>
        <v/>
      </c>
      <c r="AO73" s="428" t="str">
        <f>OFS_SalesOverview_InTax[[#This Row],[DATE]]</f>
        <v>MTD YOY</v>
      </c>
      <c r="AP73" s="256">
        <f>OFS_SalesOverview_InTax[[#This Row],[GMV]]</f>
        <v>-0.66367296975163481</v>
      </c>
      <c r="AQ73" s="256">
        <f>OFS_SalesOverview_InTax[[#This Row],[NET]]</f>
        <v>-0.5595798532017211</v>
      </c>
      <c r="AR73" s="256">
        <f>OFS_SalesOverview_InTax[[#This Row],[UV]]</f>
        <v>-0.42790124904708848</v>
      </c>
      <c r="AS73" s="256">
        <f>OFS_SalesOverview_InTax[[#This Row],[Buyers]]</f>
        <v>-0.58823529411764708</v>
      </c>
      <c r="AT73" s="256">
        <f>OFS_SalesOverview_InTax[[#This Row],[Units]]</f>
        <v>-0.5</v>
      </c>
      <c r="AU73" s="256">
        <f>OFS_SalesOverview_InTax[[#This Row],[CR]]</f>
        <v>-0.28025589079420199</v>
      </c>
      <c r="AV73" s="256">
        <f>OFS_SalesOverview_InTax[[#This Row],[ATV]]</f>
        <v>-0.18320578368254181</v>
      </c>
      <c r="AW73" s="256">
        <f>OFS_SalesOverview_InTax[[#This Row],[AUR]]</f>
        <v>-0.32734593950326973</v>
      </c>
      <c r="AX73" s="256">
        <f>OFS_SalesOverview_InTax[[#This Row],[UPT]]</f>
        <v>0.21428571428571419</v>
      </c>
      <c r="AY73" s="255">
        <f>OFS_SalesOverview_InTax[[#This Row],[RRC]]</f>
        <v>-23.634957961537221</v>
      </c>
      <c r="AZ73" s="222">
        <f>OFS_SalesOverview_InTax[[#This Row],[RR]]</f>
        <v>-1</v>
      </c>
      <c r="BA73" s="222">
        <f>OFS_SalesOverview_InTax[[#This Row],[MD GMV]]</f>
        <v>-0.89970279993743152</v>
      </c>
      <c r="BB73" s="255">
        <f>OFS_SalesOverview_InTax[[#This Row],[MD GMV %]]</f>
        <v>-43.357815768570731</v>
      </c>
      <c r="BC73" s="28" t="str">
        <f>_xlfn.XLOOKUP(OFS_SalesOverview_ExclTax[[#This Row],[DATE]],全店核心数据_bymonth[开始日期],全店核心数据_bymonth[jda日历.PayYear],"")</f>
        <v/>
      </c>
      <c r="BO73" s="28"/>
      <c r="CD73" s="53"/>
    </row>
    <row r="74" spans="5:82" ht="14.5" customHeight="1" x14ac:dyDescent="0.3">
      <c r="E74" s="428" t="s">
        <v>561</v>
      </c>
      <c r="F74" s="439">
        <f>SUMIFS([44]!dtc_订单源[成交总金额],[44]!dtc_订单源[pay_year],LEFT(OFS_SalesOverview_InTax[[#This Row],[DATE]],4),[44]!dtc_订单源[最后付款时间],"&lt;"&amp;EOMONTH($K$1,0)+1,[44]!dtc_订单源[店铺名称],"*官方商城*",[44]!dtc_订单源[官网导购_flag],1)</f>
        <v>307126</v>
      </c>
      <c r="G74" s="431">
        <f>OFS_SalesOverview_InTax[[#This Row],[GMV]]-OFS_SalesOverview_InTax[[#This Row],[RR]]</f>
        <v>233286</v>
      </c>
      <c r="H74" s="437">
        <v>0</v>
      </c>
      <c r="I74" s="435" cm="1">
        <f t="array" ref="I74">COUNT(LEN(_xlfn.UNIQUE(_xlfn._xlws.FILTER([44]!dtc_订单源[买家昵称],([44]!dtc_订单源[pay_year]=LEFT(OFS_SalesOverview_InTax[[#This Row],[DATE]],4))*([44]!dtc_订单源[最后付款时间]&lt;EOMONTH($K$1,0)+1)*([44]!dtc_订单源[店铺名称]="Dunhill官方商城店")*([44]!dtc_订单源[官网导购_flag]="1")))))</f>
        <v>38</v>
      </c>
      <c r="J74" s="439">
        <f>SUMIFS([44]!dtc_订单源[件数],[44]!dtc_订单源[pay_year],LEFT(OFS_SalesOverview_InTax[[#This Row],[DATE]],4),[44]!dtc_订单源[最后付款时间],"&lt;"&amp;EOMONTH($K$1,0)+1,[44]!dtc_订单源[店铺名称],"*官方商城*",[44]!dtc_订单源[官网导购_flag],1)</f>
        <v>52</v>
      </c>
      <c r="K74" s="92" t="e">
        <f>OFS_SalesOverview_InTax[[#This Row],[Buyers]]/OFS_SalesOverview_InTax[[#This Row],[UV]]</f>
        <v>#DIV/0!</v>
      </c>
      <c r="L74" s="431">
        <f>OFS_SalesOverview_InTax[[#This Row],[GMV]]/OFS_SalesOverview_InTax[[#This Row],[Buyers]]</f>
        <v>8082.2631578947367</v>
      </c>
      <c r="M74" s="431">
        <f>OFS_SalesOverview_InTax[[#This Row],[GMV]]/OFS_SalesOverview_InTax[[#This Row],[Units]]</f>
        <v>5906.2692307692305</v>
      </c>
      <c r="N74" s="432">
        <f>OFS_SalesOverview_InTax[[#This Row],[Units]]/OFS_SalesOverview_InTax[[#This Row],[Buyers]]</f>
        <v>1.368421052631579</v>
      </c>
      <c r="O74" s="93">
        <f>OFS_SalesOverview_InTax[[#This Row],[RR]]/OFS_SalesOverview_InTax[[#This Row],[GMV]]</f>
        <v>0.24042249760684539</v>
      </c>
      <c r="P74" s="439">
        <f>SUMIFS([44]!dtc_订单源[退款金额],[44]!dtc_订单源[pay_year],LEFT(OFS_SalesOverview_InTax[[#This Row],[DATE]],4),[44]!dtc_订单源[最后付款时间],"&lt;"&amp;EOMONTH($K$1,0)+1,[44]!dtc_订单源[店铺名称],"*官方商城*",[44]!dtc_订单源[官网导购_flag],1)</f>
        <v>73840</v>
      </c>
      <c r="Q74" s="439">
        <f>SUMIFS([44]!dtc_订单源[成交总金额],[44]!dtc_订单源[pay_year],LEFT(OFS_SalesOverview_InTax[[#This Row],[DATE]],4),[44]!dtc_订单源[最后付款时间],"&lt;"&amp;EOMONTH($K$1,0)+1,[44]!dtc_订单源[店铺名称],"*官方商城*",[44]!dtc_订单源[官网导购_flag],1,[44]!dtc_订单源[FP_MD],"MD")</f>
        <v>19680</v>
      </c>
      <c r="R74" s="94">
        <f>OFS_SalesOverview_InTax[[#This Row],[MD GMV]]/OFS_SalesOverview_InTax[[#This Row],[GMV]]</f>
        <v>6.4077935440177647E-2</v>
      </c>
      <c r="S74" s="439">
        <f>SUMIFS([44]!dtc_订单源[成交总金额],[44]!dtc_订单源[pay_year],LEFT(OFS_SalesOverview_InTax[[#This Row],[DATE]],4),[44]!dtc_订单源[最后付款时间],"&lt;"&amp;EOMONTH($K$1,0)+1,[44]!dtc_订单源[店铺名称],"*官方商城*",[44]!dtc_订单源[官网导购_flag],1,[44]!dtc_订单源[FP_MD],"MD")-SUMIFS([44]!dtc_订单源[退款金额],[44]!dtc_订单源[pay_year],LEFT(OFS_SalesOverview_InTax[[#This Row],[DATE]],4),[44]!dtc_订单源[最后付款时间],"&lt;"&amp;EOMONTH($K$1,0)+1,[44]!dtc_订单源[店铺名称],"*官方商城*",[44]!dtc_订单源[官网导购_flag],1,[44]!dtc_订单源[FP_MD],"MD")</f>
        <v>14465</v>
      </c>
      <c r="T74" s="94">
        <f>OFS_SalesOverview_InTax[[#This Row],[MD NET]]/OFS_SalesOverview_InTax[[#This Row],[NET]]</f>
        <v>6.2005435388321629E-2</v>
      </c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28" t="str">
        <f>_xlfn.XLOOKUP(OFS_SalesOverview_InTax[[#This Row],[DATE]],全店核心数据_bymonth[开始日期],全店核心数据_bymonth[jda日历.PayYear],"")</f>
        <v/>
      </c>
      <c r="AO74" s="428" t="str">
        <f>OFS_SalesOverview_InTax[[#This Row],[DATE]]</f>
        <v>BU26 YTD导购</v>
      </c>
      <c r="AP74" s="436">
        <f>OFS_SalesOverview_InTax[[#This Row],[GMV]]/$F$1</f>
        <v>271792.92035398231</v>
      </c>
      <c r="AQ74" s="436">
        <f>OFS_SalesOverview_ExclTax[[#This Row],[GMV]]-OFS_SalesOverview_ExclTax[[#This Row],[RR]]</f>
        <v>206447.78761061947</v>
      </c>
      <c r="AR74" s="431">
        <f>OFS_SalesOverview_InTax[[#This Row],[UV]]</f>
        <v>0</v>
      </c>
      <c r="AS74" s="431">
        <f>OFS_SalesOverview_InTax[[#This Row],[Buyers]]</f>
        <v>38</v>
      </c>
      <c r="AT74" s="431">
        <f>OFS_SalesOverview_InTax[[#This Row],[Units]]</f>
        <v>52</v>
      </c>
      <c r="AU74" s="92" t="e">
        <f>OFS_SalesOverview_ExclTax[[#This Row],[Buyers]]/OFS_SalesOverview_ExclTax[[#This Row],[UV]]</f>
        <v>#DIV/0!</v>
      </c>
      <c r="AV74" s="431">
        <f>OFS_SalesOverview_ExclTax[[#This Row],[GMV]]/OFS_SalesOverview_ExclTax[[#This Row],[Buyers]]</f>
        <v>7152.4452724732182</v>
      </c>
      <c r="AW74" s="431">
        <f>OFS_SalesOverview_ExclTax[[#This Row],[GMV]]/OFS_SalesOverview_ExclTax[[#This Row],[Units]]</f>
        <v>5226.7869298842752</v>
      </c>
      <c r="AX74" s="432">
        <f>OFS_SalesOverview_ExclTax[[#This Row],[Units]]/OFS_SalesOverview_ExclTax[[#This Row],[Buyers]]</f>
        <v>1.368421052631579</v>
      </c>
      <c r="AY74" s="93">
        <f>OFS_SalesOverview_ExclTax[[#This Row],[RR]]/OFS_SalesOverview_ExclTax[[#This Row],[GMV]]</f>
        <v>0.24042249760684542</v>
      </c>
      <c r="AZ74" s="436">
        <f>OFS_SalesOverview_InTax[[#This Row],[RR]]/$F$1</f>
        <v>65345.132743362839</v>
      </c>
      <c r="BA74" s="436">
        <f>OFS_SalesOverview_InTax[[#This Row],[MD GMV]]/$F$1</f>
        <v>17415.929203539825</v>
      </c>
      <c r="BB74" s="94">
        <f>OFS_SalesOverview_ExclTax[[#This Row],[MD GMV]]/OFS_SalesOverview_ExclTax[[#This Row],[GMV]]</f>
        <v>6.4077935440177647E-2</v>
      </c>
      <c r="BC74" s="28" t="str">
        <f>_xlfn.XLOOKUP(OFS_SalesOverview_ExclTax[[#This Row],[DATE]],全店核心数据_bymonth[开始日期],全店核心数据_bymonth[jda日历.PayYear],"")</f>
        <v/>
      </c>
      <c r="BD74" s="98"/>
      <c r="BO74" s="28"/>
      <c r="CD74" s="53"/>
    </row>
    <row r="75" spans="5:82" ht="14.5" customHeight="1" x14ac:dyDescent="0.3">
      <c r="E75" s="428" t="s">
        <v>564</v>
      </c>
      <c r="F75" s="439">
        <f>SUMIFS([44]!dtc_订单源[成交总金额],[44]!dtc_订单源[pay_year],LEFT(OFS_SalesOverview_InTax[[#This Row],[DATE]],4),[44]!dtc_订单源[最后付款时间],"&lt;"&amp;EDATE(EOMONTH($K$1,0)+1,-12),[44]!dtc_订单源[店铺名称],"*官方商城*",[44]!dtc_订单源[官网导购_flag],1)</f>
        <v>189355</v>
      </c>
      <c r="G75" s="431">
        <f>OFS_SalesOverview_InTax[[#This Row],[GMV]]-OFS_SalesOverview_InTax[[#This Row],[RR]]</f>
        <v>155995</v>
      </c>
      <c r="H75" s="437">
        <v>0</v>
      </c>
      <c r="I75" s="435" cm="1">
        <f t="array" ref="I75">COUNT(LEN(_xlfn.UNIQUE(_xlfn._xlws.FILTER([44]!dtc_订单源[买家昵称],([44]!dtc_订单源[pay_year]=LEFT(OFS_SalesOverview_InTax[[#This Row],[DATE]],4))*([44]!dtc_订单源[最后付款时间]&lt;EDATE(EOMONTH($K$1,0)+1,-12))*([44]!dtc_订单源[店铺名称]="Dunhill官方商城店")*([44]!dtc_订单源[官网导购_flag]="1")))))</f>
        <v>23</v>
      </c>
      <c r="J75" s="439">
        <f>SUMIFS([44]!dtc_订单源[件数],[44]!dtc_订单源[pay_year],LEFT(OFS_SalesOverview_InTax[[#This Row],[DATE]],4),[44]!dtc_订单源[最后付款时间],"&lt;"&amp;EDATE(EOMONTH($K$1,0)+1,-12),[44]!dtc_订单源[店铺名称],"*官方商城*",[44]!dtc_订单源[官网导购_flag],1)</f>
        <v>31</v>
      </c>
      <c r="K75" s="92" t="e">
        <f>OFS_SalesOverview_InTax[[#This Row],[Buyers]]/OFS_SalesOverview_InTax[[#This Row],[UV]]</f>
        <v>#DIV/0!</v>
      </c>
      <c r="L75" s="431">
        <f>OFS_SalesOverview_InTax[[#This Row],[GMV]]/OFS_SalesOverview_InTax[[#This Row],[Buyers]]</f>
        <v>8232.826086956522</v>
      </c>
      <c r="M75" s="431">
        <f>OFS_SalesOverview_InTax[[#This Row],[GMV]]/OFS_SalesOverview_InTax[[#This Row],[Units]]</f>
        <v>6108.2258064516127</v>
      </c>
      <c r="N75" s="432">
        <f>OFS_SalesOverview_InTax[[#This Row],[Units]]/OFS_SalesOverview_InTax[[#This Row],[Buyers]]</f>
        <v>1.3478260869565217</v>
      </c>
      <c r="O75" s="93">
        <f>OFS_SalesOverview_InTax[[#This Row],[RR]]/OFS_SalesOverview_InTax[[#This Row],[GMV]]</f>
        <v>0.17617702199572233</v>
      </c>
      <c r="P75" s="439">
        <f>SUMIFS([44]!dtc_订单源[退款金额],[44]!dtc_订单源[pay_year],LEFT(OFS_SalesOverview_InTax[[#This Row],[DATE]],4),[44]!dtc_订单源[最后付款时间],"&lt;"&amp;EDATE(EOMONTH($K$1,0)+1,-12),[44]!dtc_订单源[店铺名称],"*官方商城*",[44]!dtc_订单源[官网导购_flag],1)</f>
        <v>33360</v>
      </c>
      <c r="Q75" s="439">
        <f>SUMIFS([44]!dtc_订单源[成交总金额],[44]!dtc_订单源[pay_year],LEFT(OFS_SalesOverview_InTax[[#This Row],[DATE]],4),[44]!dtc_订单源[最后付款时间],"&lt;"&amp;EDATE(EOMONTH($K$1,0)+1,-12),[44]!dtc_订单源[店铺名称],"*官方商城*",[44]!dtc_订单源[官网导购_flag],1,[44]!dtc_订单源[FP_MD],"MD")</f>
        <v>59425</v>
      </c>
      <c r="R75" s="94">
        <f>OFS_SalesOverview_InTax[[#This Row],[MD GMV]]/OFS_SalesOverview_InTax[[#This Row],[GMV]]</f>
        <v>0.3138285231443585</v>
      </c>
      <c r="S75" s="439">
        <f>SUMIFS([44]!dtc_订单源[成交总金额],[44]!dtc_订单源[pay_year],LEFT(OFS_SalesOverview_InTax[[#This Row],[DATE]],4),[44]!dtc_订单源[最后付款时间],"&lt;"&amp;EDATE(EOMONTH($K$1,0)+1,-12),[44]!dtc_订单源[店铺名称],"*官方商城*",[44]!dtc_订单源[官网导购_flag],1,[44]!dtc_订单源[FP_MD],"MD")-SUMIFS([44]!dtc_订单源[退款金额],[44]!dtc_订单源[pay_year],LEFT(OFS_SalesOverview_InTax[[#This Row],[DATE]],4),[44]!dtc_订单源[最后付款时间],"&lt;"&amp;EDATE(EOMONTH($K$1,0)+1,-12),[44]!dtc_订单源[店铺名称],"*官方商城*",[44]!dtc_订单源[官网导购_flag],1,[44]!dtc_订单源[FP_MD],"MD")</f>
        <v>37700</v>
      </c>
      <c r="T75" s="94">
        <f>OFS_SalesOverview_InTax[[#This Row],[MD NET]]/OFS_SalesOverview_InTax[[#This Row],[NET]]</f>
        <v>0.2416744126414308</v>
      </c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28" t="str">
        <f>_xlfn.XLOOKUP(OFS_SalesOverview_InTax[[#This Row],[DATE]],全店核心数据_bymonth[开始日期],全店核心数据_bymonth[jda日历.PayYear],"")</f>
        <v/>
      </c>
      <c r="AO75" s="428" t="str">
        <f>OFS_SalesOverview_InTax[[#This Row],[DATE]]</f>
        <v>BU25 YTD导购</v>
      </c>
      <c r="AP75" s="436">
        <f>OFS_SalesOverview_InTax[[#This Row],[GMV]]/$F$1</f>
        <v>167570.79646017699</v>
      </c>
      <c r="AQ75" s="436">
        <f>OFS_SalesOverview_ExclTax[[#This Row],[GMV]]-OFS_SalesOverview_ExclTax[[#This Row],[RR]]</f>
        <v>138048.67256637168</v>
      </c>
      <c r="AR75" s="431">
        <f>OFS_SalesOverview_InTax[[#This Row],[UV]]</f>
        <v>0</v>
      </c>
      <c r="AS75" s="431">
        <f>OFS_SalesOverview_InTax[[#This Row],[Buyers]]</f>
        <v>23</v>
      </c>
      <c r="AT75" s="431">
        <f>OFS_SalesOverview_InTax[[#This Row],[Units]]</f>
        <v>31</v>
      </c>
      <c r="AU75" s="92" t="e">
        <f>OFS_SalesOverview_ExclTax[[#This Row],[Buyers]]/OFS_SalesOverview_ExclTax[[#This Row],[UV]]</f>
        <v>#DIV/0!</v>
      </c>
      <c r="AV75" s="431">
        <f>OFS_SalesOverview_ExclTax[[#This Row],[GMV]]/OFS_SalesOverview_ExclTax[[#This Row],[Buyers]]</f>
        <v>7285.6868026163911</v>
      </c>
      <c r="AW75" s="431">
        <f>OFS_SalesOverview_ExclTax[[#This Row],[GMV]]/OFS_SalesOverview_ExclTax[[#This Row],[Units]]</f>
        <v>5405.509563231516</v>
      </c>
      <c r="AX75" s="432">
        <f>OFS_SalesOverview_ExclTax[[#This Row],[Units]]/OFS_SalesOverview_ExclTax[[#This Row],[Buyers]]</f>
        <v>1.3478260869565217</v>
      </c>
      <c r="AY75" s="93">
        <f>OFS_SalesOverview_ExclTax[[#This Row],[RR]]/OFS_SalesOverview_ExclTax[[#This Row],[GMV]]</f>
        <v>0.17617702199572235</v>
      </c>
      <c r="AZ75" s="436">
        <f>OFS_SalesOverview_InTax[[#This Row],[RR]]/$F$1</f>
        <v>29522.123893805314</v>
      </c>
      <c r="BA75" s="436">
        <f>OFS_SalesOverview_InTax[[#This Row],[MD GMV]]/$F$1</f>
        <v>52588.495575221241</v>
      </c>
      <c r="BB75" s="94">
        <f>OFS_SalesOverview_ExclTax[[#This Row],[MD GMV]]/OFS_SalesOverview_ExclTax[[#This Row],[GMV]]</f>
        <v>0.3138285231443585</v>
      </c>
      <c r="BC75" s="28" t="str">
        <f>_xlfn.XLOOKUP(OFS_SalesOverview_ExclTax[[#This Row],[DATE]],全店核心数据_bymonth[开始日期],全店核心数据_bymonth[jda日历.PayYear],"")</f>
        <v/>
      </c>
      <c r="BD75" s="97"/>
      <c r="BO75" s="28"/>
      <c r="CD75" s="53"/>
    </row>
    <row r="76" spans="5:82" ht="14.5" customHeight="1" x14ac:dyDescent="0.3">
      <c r="E76" s="428" t="s">
        <v>553</v>
      </c>
      <c r="F76" s="431">
        <f>SUMIFS([44]!dtc_订单源[成交总金额],[44]!dtc_订单源[最后付款时间],"&gt;="&amp;$K$1,[44]!dtc_订单源[最后付款时间],"&lt;"&amp;EOMONTH($K$1,0)+1,[44]!dtc_订单源[店铺名称],"*官方商城*",[44]!dtc_订单源[官网导购_flag],1)</f>
        <v>24065</v>
      </c>
      <c r="G76" s="431">
        <f>OFS_SalesOverview_InTax[[#This Row],[GMV]]-OFS_SalesOverview_InTax[[#This Row],[RR]]</f>
        <v>24065</v>
      </c>
      <c r="H76" s="437">
        <v>0</v>
      </c>
      <c r="I76" s="435" cm="1">
        <f t="array" ref="I76">COUNT(LEN(_xlfn.UNIQUE(_xlfn._xlws.FILTER([44]!dtc_订单源[买家昵称],([44]!dtc_订单源[最后付款时间]&gt;=$K$1)*([44]!dtc_订单源[最后付款时间]&lt;EOMONTH($K$1,0)+1)*([44]!dtc_订单源[店铺名称]="Dunhill官方商城店")*([44]!dtc_订单源[官网导购_flag]="1")))))</f>
        <v>5</v>
      </c>
      <c r="J76" s="431">
        <f>SUMIFS([44]!dtc_订单源[件数],[44]!dtc_订单源[最后付款时间],"&gt;="&amp;$K$1,[44]!dtc_订单源[最后付款时间],"&lt;"&amp;EOMONTH($K$1,0)+1,[44]!dtc_订单源[店铺名称],"*官方商城*",[44]!dtc_订单源[官网导购_flag],1)</f>
        <v>5</v>
      </c>
      <c r="K76" s="92" t="e">
        <f>OFS_SalesOverview_InTax[[#This Row],[Buyers]]/OFS_SalesOverview_InTax[[#This Row],[UV]]</f>
        <v>#DIV/0!</v>
      </c>
      <c r="L76" s="431">
        <f>OFS_SalesOverview_InTax[[#This Row],[GMV]]/OFS_SalesOverview_InTax[[#This Row],[Buyers]]</f>
        <v>4813</v>
      </c>
      <c r="M76" s="431">
        <f>OFS_SalesOverview_InTax[[#This Row],[GMV]]/OFS_SalesOverview_InTax[[#This Row],[Units]]</f>
        <v>4813</v>
      </c>
      <c r="N76" s="432">
        <f>OFS_SalesOverview_InTax[[#This Row],[Units]]/OFS_SalesOverview_InTax[[#This Row],[Buyers]]</f>
        <v>1</v>
      </c>
      <c r="O76" s="93">
        <f>OFS_SalesOverview_InTax[[#This Row],[RR]]/OFS_SalesOverview_InTax[[#This Row],[GMV]]</f>
        <v>0</v>
      </c>
      <c r="P76" s="431">
        <f>SUMIFS([44]!dtc_订单源[退款金额],[44]!dtc_订单源[最后付款时间],"&gt;="&amp;$K$1,[44]!dtc_订单源[最后付款时间],"&lt;"&amp;EOMONTH($K$1,0)+1,[44]!dtc_订单源[店铺名称],"*官方商城*",[44]!dtc_订单源[官网导购_flag],1)</f>
        <v>0</v>
      </c>
      <c r="Q76" s="431">
        <f>SUMIFS([44]!dtc_订单源[成交总金额],[44]!dtc_订单源[最后付款时间],"&gt;="&amp;$K$1,[44]!dtc_订单源[最后付款时间],"&lt;"&amp;EOMONTH($K$1,0)+1,[44]!dtc_订单源[店铺名称],"*官方商城*",[44]!dtc_订单源[官网导购_flag],1,[44]!dtc_订单源[FP_MD],"MD")</f>
        <v>4575</v>
      </c>
      <c r="R76" s="94">
        <f>OFS_SalesOverview_InTax[[#This Row],[MD GMV]]/OFS_SalesOverview_InTax[[#This Row],[GMV]]</f>
        <v>0.1901101184292541</v>
      </c>
      <c r="S76" s="431">
        <f>SUMIFS([44]!dtc_订单源[成交总金额],[44]!dtc_订单源[最后付款时间],"&gt;="&amp;$K$1,[44]!dtc_订单源[最后付款时间],"&lt;"&amp;EOMONTH($K$1,0)+1,[44]!dtc_订单源[店铺名称],"*官方商城*",[44]!dtc_订单源[官网导购_flag],1,[44]!dtc_订单源[FP_MD],"MD")-SUMIFS([44]!dtc_订单源[退款金额],[44]!dtc_订单源[最后付款时间],"&gt;="&amp;$K$1,[44]!dtc_订单源[最后付款时间],"&lt;"&amp;EOMONTH($K$1,0)+1,[44]!dtc_订单源[店铺名称],"*官方商城*",[44]!dtc_订单源[官网导购_flag],1,[44]!dtc_订单源[FP_MD],"MD")</f>
        <v>4575</v>
      </c>
      <c r="T76" s="94">
        <f>OFS_SalesOverview_InTax[[#This Row],[MD NET]]/OFS_SalesOverview_InTax[[#This Row],[NET]]</f>
        <v>0.1901101184292541</v>
      </c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28" t="str">
        <f>_xlfn.XLOOKUP(OFS_SalesOverview_InTax[[#This Row],[DATE]],全店核心数据_bymonth[开始日期],全店核心数据_bymonth[jda日历.PayYear],"")</f>
        <v/>
      </c>
      <c r="AO76" s="428" t="str">
        <f>OFS_SalesOverview_InTax[[#This Row],[DATE]]</f>
        <v>MTD-TY导购</v>
      </c>
      <c r="AP76" s="436">
        <f>OFS_SalesOverview_InTax[[#This Row],[GMV]]/$F$1</f>
        <v>21296.460176991153</v>
      </c>
      <c r="AQ76" s="436">
        <f>OFS_SalesOverview_ExclTax[[#This Row],[GMV]]-OFS_SalesOverview_ExclTax[[#This Row],[RR]]</f>
        <v>21296.460176991153</v>
      </c>
      <c r="AR76" s="431">
        <f>OFS_SalesOverview_InTax[[#This Row],[UV]]</f>
        <v>0</v>
      </c>
      <c r="AS76" s="431">
        <f>OFS_SalesOverview_InTax[[#This Row],[Buyers]]</f>
        <v>5</v>
      </c>
      <c r="AT76" s="431">
        <f>OFS_SalesOverview_InTax[[#This Row],[Units]]</f>
        <v>5</v>
      </c>
      <c r="AU76" s="92" t="e">
        <f>OFS_SalesOverview_ExclTax[[#This Row],[Buyers]]/OFS_SalesOverview_ExclTax[[#This Row],[UV]]</f>
        <v>#DIV/0!</v>
      </c>
      <c r="AV76" s="431">
        <f>OFS_SalesOverview_ExclTax[[#This Row],[GMV]]/OFS_SalesOverview_ExclTax[[#This Row],[Buyers]]</f>
        <v>4259.2920353982308</v>
      </c>
      <c r="AW76" s="431">
        <f>OFS_SalesOverview_ExclTax[[#This Row],[GMV]]/OFS_SalesOverview_ExclTax[[#This Row],[Units]]</f>
        <v>4259.2920353982308</v>
      </c>
      <c r="AX76" s="432">
        <f>OFS_SalesOverview_ExclTax[[#This Row],[Units]]/OFS_SalesOverview_ExclTax[[#This Row],[Buyers]]</f>
        <v>1</v>
      </c>
      <c r="AY76" s="93">
        <f>OFS_SalesOverview_ExclTax[[#This Row],[RR]]/OFS_SalesOverview_ExclTax[[#This Row],[GMV]]</f>
        <v>0</v>
      </c>
      <c r="AZ76" s="436">
        <f>OFS_SalesOverview_InTax[[#This Row],[RR]]/$F$1</f>
        <v>0</v>
      </c>
      <c r="BA76" s="436">
        <f>OFS_SalesOverview_InTax[[#This Row],[MD GMV]]/$F$1</f>
        <v>4048.672566371682</v>
      </c>
      <c r="BB76" s="94">
        <f>OFS_SalesOverview_ExclTax[[#This Row],[MD GMV]]/OFS_SalesOverview_ExclTax[[#This Row],[GMV]]</f>
        <v>0.1901101184292541</v>
      </c>
      <c r="BC76" s="28" t="str">
        <f>_xlfn.XLOOKUP(OFS_SalesOverview_ExclTax[[#This Row],[DATE]],全店核心数据_bymonth[开始日期],全店核心数据_bymonth[jda日历.PayYear],"")</f>
        <v/>
      </c>
      <c r="BO76" s="28"/>
      <c r="CB76" s="53"/>
    </row>
    <row r="77" spans="5:82" ht="14.5" customHeight="1" x14ac:dyDescent="0.3">
      <c r="E77" s="428" t="s">
        <v>554</v>
      </c>
      <c r="F77" s="431">
        <f>SUMIFS([44]!dtc_订单源[成交总金额],[44]!dtc_订单源[最后付款时间],"&gt;="&amp;EDATE($K$1,-12),[44]!dtc_订单源[最后付款时间],"&lt;"&amp;EDATE(EOMONTH($K$1,0),-12)+1,[44]!dtc_订单源[店铺名称],"*官方商城*",[44]!dtc_订单源[官网导购_flag],1)</f>
        <v>41285</v>
      </c>
      <c r="G77" s="431">
        <f>OFS_SalesOverview_InTax[[#This Row],[GMV]]-OFS_SalesOverview_InTax[[#This Row],[RR]]</f>
        <v>19560</v>
      </c>
      <c r="H77" s="437">
        <v>0</v>
      </c>
      <c r="I77" s="435" cm="1">
        <f t="array" ref="I77">COUNT(LEN(_xlfn.UNIQUE(_xlfn._xlws.FILTER([44]!dtc_订单源[买家昵称],([44]!dtc_订单源[最后付款时间]&gt;=EDATE($K$1,-12))*([44]!dtc_订单源[最后付款时间]&lt;EDATE(EOMONTH($K$1,0)+1,-12))*([44]!dtc_订单源[店铺名称]="Dunhill官方商城店")*([44]!dtc_订单源[官网导购_flag]="1")))))</f>
        <v>4</v>
      </c>
      <c r="J77" s="431">
        <f>SUMIFS([44]!dtc_订单源[件数],[44]!dtc_订单源[最后付款时间],"&gt;="&amp;EDATE($K$1,-12),[44]!dtc_订单源[最后付款时间],"&lt;"&amp;EDATE(EOMONTH($K$1,0),-12)+1,[44]!dtc_订单源[店铺名称],"*官方商城*",[44]!dtc_订单源[官网导购_flag],1)</f>
        <v>6</v>
      </c>
      <c r="K77" s="92" t="e">
        <f>OFS_SalesOverview_InTax[[#This Row],[Buyers]]/OFS_SalesOverview_InTax[[#This Row],[UV]]</f>
        <v>#DIV/0!</v>
      </c>
      <c r="L77" s="431">
        <f>OFS_SalesOverview_InTax[[#This Row],[GMV]]/OFS_SalesOverview_InTax[[#This Row],[Buyers]]</f>
        <v>10321.25</v>
      </c>
      <c r="M77" s="431">
        <f>OFS_SalesOverview_InTax[[#This Row],[GMV]]/OFS_SalesOverview_InTax[[#This Row],[Units]]</f>
        <v>6880.833333333333</v>
      </c>
      <c r="N77" s="432">
        <f>OFS_SalesOverview_InTax[[#This Row],[Units]]/OFS_SalesOverview_InTax[[#This Row],[Buyers]]</f>
        <v>1.5</v>
      </c>
      <c r="O77" s="93">
        <f>OFS_SalesOverview_InTax[[#This Row],[RR]]/OFS_SalesOverview_InTax[[#This Row],[GMV]]</f>
        <v>0.52622017681966815</v>
      </c>
      <c r="P77" s="431">
        <f>SUMIFS([44]!dtc_订单源[退款金额],[44]!dtc_订单源[最后付款时间],"&gt;="&amp;EDATE($K$1,-12),[44]!dtc_订单源[最后付款时间],"&lt;"&amp;EDATE(EOMONTH($K$1,0),-12)+1,[44]!dtc_订单源[店铺名称],"*官方商城*",[44]!dtc_订单源[官网导购_flag],1)</f>
        <v>21725</v>
      </c>
      <c r="Q77" s="431">
        <f>SUMIFS([44]!dtc_订单源[成交总金额],[44]!dtc_订单源[最后付款时间],"&gt;="&amp;EDATE($K$1,-12),[44]!dtc_订单源[最后付款时间],"&lt;"&amp;EDATE(EOMONTH($K$1,0),-12)+1,[44]!dtc_订单源[店铺名称],"*官方商城*",[44]!dtc_订单源[官网导购_flag],1,[44]!dtc_订单源[FP_MD],"MD")</f>
        <v>27200</v>
      </c>
      <c r="R77" s="94">
        <f>OFS_SalesOverview_InTax[[#This Row],[MD GMV]]/OFS_SalesOverview_InTax[[#This Row],[GMV]]</f>
        <v>0.6588349279399297</v>
      </c>
      <c r="S77" s="431">
        <f>SUMIFS([44]!dtc_订单源[成交总金额],[44]!dtc_订单源[最后付款时间],"&gt;="&amp;$K$1,[44]!dtc_订单源[最后付款时间],"&lt;"&amp;EOMONTH($K$1,0)+1,[44]!dtc_订单源[店铺名称],"*官方商城*",[44]!dtc_订单源[官网导购_flag],1,[44]!dtc_订单源[FP_MD],"MD")-SUMIFS([44]!dtc_订单源[退款金额],[44]!dtc_订单源[最后付款时间],"&gt;="&amp;$K$1,[44]!dtc_订单源[最后付款时间],"&lt;"&amp;EOMONTH($K$1,0)+1,[44]!dtc_订单源[店铺名称],"*官方商城*",[44]!dtc_订单源[官网导购_flag],1,[44]!dtc_订单源[FP_MD],"MD")</f>
        <v>4575</v>
      </c>
      <c r="T77" s="94">
        <f>OFS_SalesOverview_InTax[[#This Row],[MD NET]]/OFS_SalesOverview_InTax[[#This Row],[NET]]</f>
        <v>0.2338957055214724</v>
      </c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28" t="str">
        <f>_xlfn.XLOOKUP(OFS_SalesOverview_InTax[[#This Row],[DATE]],全店核心数据_bymonth[开始日期],全店核心数据_bymonth[jda日历.PayYear],"")</f>
        <v/>
      </c>
      <c r="AO77" s="428" t="str">
        <f>OFS_SalesOverview_InTax[[#This Row],[DATE]]</f>
        <v>MTD-LY导购</v>
      </c>
      <c r="AP77" s="436">
        <f>OFS_SalesOverview_InTax[[#This Row],[GMV]]/$F$1</f>
        <v>36535.398230088496</v>
      </c>
      <c r="AQ77" s="436">
        <f>OFS_SalesOverview_ExclTax[[#This Row],[GMV]]-OFS_SalesOverview_ExclTax[[#This Row],[RR]]</f>
        <v>17309.734513274336</v>
      </c>
      <c r="AR77" s="431">
        <f>OFS_SalesOverview_InTax[[#This Row],[UV]]</f>
        <v>0</v>
      </c>
      <c r="AS77" s="431">
        <f>OFS_SalesOverview_InTax[[#This Row],[Buyers]]</f>
        <v>4</v>
      </c>
      <c r="AT77" s="431">
        <f>OFS_SalesOverview_InTax[[#This Row],[Units]]</f>
        <v>6</v>
      </c>
      <c r="AU77" s="92" t="e">
        <f>OFS_SalesOverview_ExclTax[[#This Row],[Buyers]]/OFS_SalesOverview_ExclTax[[#This Row],[UV]]</f>
        <v>#DIV/0!</v>
      </c>
      <c r="AV77" s="431">
        <f>OFS_SalesOverview_ExclTax[[#This Row],[GMV]]/OFS_SalesOverview_ExclTax[[#This Row],[Buyers]]</f>
        <v>9133.8495575221241</v>
      </c>
      <c r="AW77" s="431">
        <f>OFS_SalesOverview_ExclTax[[#This Row],[GMV]]/OFS_SalesOverview_ExclTax[[#This Row],[Units]]</f>
        <v>6089.233038348083</v>
      </c>
      <c r="AX77" s="432">
        <f>OFS_SalesOverview_ExclTax[[#This Row],[Units]]/OFS_SalesOverview_ExclTax[[#This Row],[Buyers]]</f>
        <v>1.5</v>
      </c>
      <c r="AY77" s="93">
        <f>OFS_SalesOverview_ExclTax[[#This Row],[RR]]/OFS_SalesOverview_ExclTax[[#This Row],[GMV]]</f>
        <v>0.52622017681966815</v>
      </c>
      <c r="AZ77" s="436">
        <f>OFS_SalesOverview_InTax[[#This Row],[RR]]/$F$1</f>
        <v>19225.663716814161</v>
      </c>
      <c r="BA77" s="436">
        <f>OFS_SalesOverview_InTax[[#This Row],[MD GMV]]/$F$1</f>
        <v>24070.796460176993</v>
      </c>
      <c r="BB77" s="94">
        <f>OFS_SalesOverview_ExclTax[[#This Row],[MD GMV]]/OFS_SalesOverview_ExclTax[[#This Row],[GMV]]</f>
        <v>0.65883492793992982</v>
      </c>
      <c r="BC77" s="28" t="str">
        <f>_xlfn.XLOOKUP(OFS_SalesOverview_ExclTax[[#This Row],[DATE]],全店核心数据_bymonth[开始日期],全店核心数据_bymonth[jda日历.PayYear],"")</f>
        <v/>
      </c>
      <c r="BO77" s="28"/>
      <c r="CB77" s="53"/>
    </row>
    <row r="78" spans="5:82" ht="14.5" customHeight="1" x14ac:dyDescent="0.3">
      <c r="E78" s="428" t="s">
        <v>562</v>
      </c>
      <c r="F78" s="439">
        <f>SUMIFS([44]!dtc_订单源[成交总金额],[44]!dtc_订单源[pay_year],LEFT(OFS_SalesOverview_InTax[[#This Row],[DATE]],4),[44]!dtc_订单源[最后付款时间],"&lt;"&amp;EOMONTH($K$1,0)+1,[44]!dtc_订单源[店铺名称],"*官方商城*",[44]!dtc_订单源[sc_flag],1)</f>
        <v>120360</v>
      </c>
      <c r="G78" s="431">
        <f>OFS_SalesOverview_InTax[[#This Row],[GMV]]-OFS_SalesOverview_InTax[[#This Row],[RR]]</f>
        <v>90405</v>
      </c>
      <c r="H78" s="431">
        <v>58351</v>
      </c>
      <c r="I78" s="439" cm="1">
        <f t="array" ref="I78">COUNT(LEN(_xlfn.UNIQUE(_xlfn._xlws.FILTER([44]!dtc_订单源[买家昵称],([44]!dtc_订单源[pay_year]=LEFT(OFS_SalesOverview_InTax[[#This Row],[DATE]],4))*([44]!dtc_订单源[最后付款时间]&lt;(EOMONTH($K$1,0)+1))*([44]!dtc_订单源[店铺名称]="Dunhill官方商城店")*([44]!dtc_订单源[sc_flag]=1)))))</f>
        <v>17</v>
      </c>
      <c r="J78" s="439">
        <f>SUMIFS([44]!dtc_订单源[件数],[44]!dtc_订单源[pay_year],LEFT(OFS_SalesOverview_InTax[[#This Row],[DATE]],4),[44]!dtc_订单源[最后付款时间],"&lt;"&amp;EOMONTH($K$1,0)+1,[44]!dtc_订单源[店铺名称],"*官方商城*",[44]!dtc_订单源[sc_flag],1)</f>
        <v>26</v>
      </c>
      <c r="K78" s="92">
        <f>OFS_SalesOverview_InTax[[#This Row],[Buyers]]/OFS_SalesOverview_InTax[[#This Row],[UV]]</f>
        <v>2.913403369265308E-4</v>
      </c>
      <c r="L78" s="431">
        <f>OFS_SalesOverview_InTax[[#This Row],[GMV]]/OFS_SalesOverview_InTax[[#This Row],[Buyers]]</f>
        <v>7080</v>
      </c>
      <c r="M78" s="431">
        <f>OFS_SalesOverview_InTax[[#This Row],[GMV]]/OFS_SalesOverview_InTax[[#This Row],[Units]]</f>
        <v>4629.2307692307695</v>
      </c>
      <c r="N78" s="432">
        <f>OFS_SalesOverview_InTax[[#This Row],[Units]]/OFS_SalesOverview_InTax[[#This Row],[Buyers]]</f>
        <v>1.5294117647058822</v>
      </c>
      <c r="O78" s="93">
        <f>OFS_SalesOverview_InTax[[#This Row],[RR]]/OFS_SalesOverview_InTax[[#This Row],[GMV]]</f>
        <v>0.24887836490528414</v>
      </c>
      <c r="P78" s="439">
        <f>SUMIFS([44]!dtc_订单源[退款金额],[44]!dtc_订单源[pay_year],LEFT(OFS_SalesOverview_InTax[[#This Row],[DATE]],4),[44]!dtc_订单源[最后付款时间],"&lt;"&amp;EOMONTH($K$1,0)+1,[44]!dtc_订单源[店铺名称],"*官方商城*",[44]!dtc_订单源[sc_flag],1)</f>
        <v>29955</v>
      </c>
      <c r="Q78" s="439">
        <f>SUMIFS([44]!dtc_订单源[成交总金额],[44]!dtc_订单源[pay_year],LEFT(OFS_SalesOverview_InTax[[#This Row],[DATE]],4),[44]!dtc_订单源[最后付款时间],"&lt;"&amp;EOMONTH($K$1,0)+1,[44]!dtc_订单源[店铺名称],"*官方商城*",[44]!dtc_订单源[sc_flag],1,[44]!dtc_订单源[FP_MD],"MD")</f>
        <v>19070</v>
      </c>
      <c r="R78" s="94">
        <f>OFS_SalesOverview_InTax[[#This Row],[MD GMV]]/OFS_SalesOverview_InTax[[#This Row],[GMV]]</f>
        <v>0.15844134263875043</v>
      </c>
      <c r="S78" s="439">
        <f>SUMIFS([44]!dtc_订单源[成交总金额],[44]!dtc_订单源[pay_year],LEFT(OFS_SalesOverview_InTax[[#This Row],[DATE]],4),[44]!dtc_订单源[最后付款时间],"&lt;"&amp;EOMONTH($K$1,0)+1,[44]!dtc_订单源[店铺名称],"*官方商城*",[44]!dtc_订单源[sc_flag],1,[44]!dtc_订单源[FP_MD],"MD")-SUMIFS([44]!dtc_订单源[退款金额],[44]!dtc_订单源[pay_year],LEFT(OFS_SalesOverview_InTax[[#This Row],[DATE]],4),[44]!dtc_订单源[最后付款时间],"&lt;"&amp;EOMONTH($K$1,0)+1,[44]!dtc_订单源[店铺名称],"*官方商城*",[44]!dtc_订单源[sc_flag],1,[44]!dtc_订单源[FP_MD],"MD")</f>
        <v>6105</v>
      </c>
      <c r="T78" s="94">
        <f>OFS_SalesOverview_InTax[[#This Row],[MD NET]]/OFS_SalesOverview_InTax[[#This Row],[NET]]</f>
        <v>6.7529450804712135E-2</v>
      </c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28" t="str">
        <f>_xlfn.XLOOKUP(OFS_SalesOverview_InTax[[#This Row],[DATE]],全店核心数据_bymonth[开始日期],全店核心数据_bymonth[jda日历.PayYear],"")</f>
        <v/>
      </c>
      <c r="AO78" s="428" t="str">
        <f>OFS_SalesOverview_InTax[[#This Row],[DATE]]</f>
        <v>BU26 SC</v>
      </c>
      <c r="AP78" s="436">
        <f>OFS_SalesOverview_InTax[[#This Row],[GMV]]/$F$1</f>
        <v>106513.2743362832</v>
      </c>
      <c r="AQ78" s="436">
        <f>OFS_SalesOverview_ExclTax[[#This Row],[GMV]]-OFS_SalesOverview_ExclTax[[#This Row],[RR]]</f>
        <v>80004.424778761066</v>
      </c>
      <c r="AR78" s="431">
        <f>OFS_SalesOverview_InTax[[#This Row],[UV]]</f>
        <v>58351</v>
      </c>
      <c r="AS78" s="431">
        <f>OFS_SalesOverview_InTax[[#This Row],[Buyers]]</f>
        <v>17</v>
      </c>
      <c r="AT78" s="431">
        <f>OFS_SalesOverview_InTax[[#This Row],[Units]]</f>
        <v>26</v>
      </c>
      <c r="AU78" s="92">
        <f>OFS_SalesOverview_ExclTax[[#This Row],[Buyers]]/OFS_SalesOverview_ExclTax[[#This Row],[UV]]</f>
        <v>2.913403369265308E-4</v>
      </c>
      <c r="AV78" s="431">
        <f>OFS_SalesOverview_ExclTax[[#This Row],[GMV]]/OFS_SalesOverview_ExclTax[[#This Row],[Buyers]]</f>
        <v>6265.4867256637172</v>
      </c>
      <c r="AW78" s="431">
        <f>OFS_SalesOverview_ExclTax[[#This Row],[GMV]]/OFS_SalesOverview_ExclTax[[#This Row],[Units]]</f>
        <v>4096.6643975493535</v>
      </c>
      <c r="AX78" s="432">
        <f>OFS_SalesOverview_ExclTax[[#This Row],[Units]]/OFS_SalesOverview_ExclTax[[#This Row],[Buyers]]</f>
        <v>1.5294117647058822</v>
      </c>
      <c r="AY78" s="93">
        <f>OFS_SalesOverview_ExclTax[[#This Row],[RR]]/OFS_SalesOverview_ExclTax[[#This Row],[GMV]]</f>
        <v>0.24887836490528414</v>
      </c>
      <c r="AZ78" s="436">
        <f>OFS_SalesOverview_InTax[[#This Row],[RR]]/$F$1</f>
        <v>26508.849557522128</v>
      </c>
      <c r="BA78" s="436">
        <f>OFS_SalesOverview_InTax[[#This Row],[MD GMV]]/$F$1</f>
        <v>16876.106194690266</v>
      </c>
      <c r="BB78" s="94">
        <f>OFS_SalesOverview_ExclTax[[#This Row],[MD GMV]]/OFS_SalesOverview_ExclTax[[#This Row],[GMV]]</f>
        <v>0.1584413426387504</v>
      </c>
      <c r="BC78" s="28" t="str">
        <f>_xlfn.XLOOKUP(OFS_SalesOverview_ExclTax[[#This Row],[DATE]],全店核心数据_bymonth[开始日期],全店核心数据_bymonth[jda日历.PayYear],"")</f>
        <v/>
      </c>
      <c r="BD78" s="99"/>
      <c r="BE78" s="99"/>
      <c r="BO78" s="28"/>
      <c r="CB78" s="53"/>
    </row>
    <row r="79" spans="5:82" ht="14.5" customHeight="1" x14ac:dyDescent="0.3">
      <c r="E79" s="428" t="s">
        <v>565</v>
      </c>
      <c r="F79" s="439">
        <f>SUMIFS([44]!dtc_订单源[成交总金额],[44]!dtc_订单源[pay_year],LEFT(OFS_SalesOverview_InTax[[#This Row],[DATE]],4),[44]!dtc_订单源[最后付款时间],"&lt;"&amp;EDATE(EOMONTH($K$1,0)+1,-12),[44]!dtc_订单源[店铺名称],"*官方商城*",[44]!dtc_订单源[sc_flag],1)</f>
        <v>73145</v>
      </c>
      <c r="G79" s="431">
        <f>OFS_SalesOverview_InTax[[#This Row],[GMV]]-OFS_SalesOverview_InTax[[#This Row],[RR]]</f>
        <v>60580</v>
      </c>
      <c r="H79" s="431">
        <v>12703</v>
      </c>
      <c r="I79" s="439" cm="1">
        <f t="array" ref="I79">COUNT(LEN(_xlfn.UNIQUE(_xlfn._xlws.FILTER([44]!dtc_订单源[买家昵称],([44]!dtc_订单源[pay_year]=LEFT(OFS_SalesOverview_InTax[[#This Row],[DATE]],4))*([44]!dtc_订单源[最后付款时间]&lt;EDATE(EOMONTH($K$1,0)+1,-12))*([44]!dtc_订单源[店铺名称]="Dunhill官方商城店")*([44]!dtc_订单源[sc_flag]=1)))))</f>
        <v>11</v>
      </c>
      <c r="J79" s="439">
        <f>SUMIFS([44]!dtc_订单源[件数],[44]!dtc_订单源[pay_year],LEFT(OFS_SalesOverview_InTax[[#This Row],[DATE]],4),[44]!dtc_订单源[最后付款时间],"&lt;"&amp;EDATE(EOMONTH($K$1,0)+1,-12),[44]!dtc_订单源[店铺名称],"*官方商城*",[44]!dtc_订单源[sc_flag],1)</f>
        <v>14</v>
      </c>
      <c r="K79" s="92">
        <f>OFS_SalesOverview_InTax[[#This Row],[Buyers]]/OFS_SalesOverview_InTax[[#This Row],[UV]]</f>
        <v>8.6593718019365503E-4</v>
      </c>
      <c r="L79" s="431">
        <f>OFS_SalesOverview_InTax[[#This Row],[GMV]]/OFS_SalesOverview_InTax[[#This Row],[Buyers]]</f>
        <v>6649.545454545455</v>
      </c>
      <c r="M79" s="431">
        <f>OFS_SalesOverview_InTax[[#This Row],[GMV]]/OFS_SalesOverview_InTax[[#This Row],[Units]]</f>
        <v>5224.6428571428569</v>
      </c>
      <c r="N79" s="432">
        <f>OFS_SalesOverview_InTax[[#This Row],[Units]]/OFS_SalesOverview_InTax[[#This Row],[Buyers]]</f>
        <v>1.2727272727272727</v>
      </c>
      <c r="O79" s="93">
        <f>OFS_SalesOverview_InTax[[#This Row],[RR]]/OFS_SalesOverview_InTax[[#This Row],[GMV]]</f>
        <v>0.17178207669697176</v>
      </c>
      <c r="P79" s="439">
        <f>SUMIFS([44]!dtc_订单源[退款金额],[44]!dtc_订单源[pay_year],LEFT(OFS_SalesOverview_InTax[[#This Row],[DATE]],4),[44]!dtc_订单源[最后付款时间],"&lt;"&amp;EDATE(EOMONTH($K$1,0)+1,-12),[44]!dtc_订单源[店铺名称],"*官方商城*",[44]!dtc_订单源[sc_flag],1)</f>
        <v>12565</v>
      </c>
      <c r="Q79" s="439">
        <f>SUMIFS([44]!dtc_订单源[成交总金额],[44]!dtc_订单源[pay_year],LEFT(OFS_SalesOverview_InTax[[#This Row],[DATE]],4),[44]!dtc_订单源[最后付款时间],"&lt;"&amp;EDATE(EOMONTH($K$1,0)+1,-12),[44]!dtc_订单源[店铺名称],"*官方商城*",[44]!dtc_订单源[sc_flag],1,[44]!dtc_订单源[FP_MD],"MD")</f>
        <v>66300</v>
      </c>
      <c r="R79" s="94">
        <f>OFS_SalesOverview_InTax[[#This Row],[MD GMV]]/OFS_SalesOverview_InTax[[#This Row],[GMV]]</f>
        <v>0.90641875726297083</v>
      </c>
      <c r="S79" s="439">
        <f>SUMIFS([44]!dtc_订单源[成交总金额],[44]!dtc_订单源[pay_year],LEFT(OFS_SalesOverview_InTax[[#This Row],[DATE]],4),[44]!dtc_订单源[最后付款时间],"&lt;"&amp;EDATE(EOMONTH($K$1,0)+1,-12),[44]!dtc_订单源[店铺名称],"*官方商城*",[44]!dtc_订单源[sc_flag],1,[44]!dtc_订单源[FP_MD],"MD")-SUMIFS([44]!dtc_订单源[退款金额],[44]!dtc_订单源[pay_year],LEFT(OFS_SalesOverview_InTax[[#This Row],[DATE]],4),[44]!dtc_订单源[最后付款时间],"&lt;"&amp;EDATE(EOMONTH($K$1,0)+1,-12),[44]!dtc_订单源[店铺名称],"*官方商城*",[44]!dtc_订单源[sc_flag],1,[44]!dtc_订单源[FP_MD],"MD")</f>
        <v>53735</v>
      </c>
      <c r="T79" s="94">
        <f>OFS_SalesOverview_InTax[[#This Row],[MD NET]]/OFS_SalesOverview_InTax[[#This Row],[NET]]</f>
        <v>0.88700891383294822</v>
      </c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28" t="str">
        <f>_xlfn.XLOOKUP(OFS_SalesOverview_InTax[[#This Row],[DATE]],全店核心数据_bymonth[开始日期],全店核心数据_bymonth[jda日历.PayYear],"")</f>
        <v/>
      </c>
      <c r="AO79" s="428" t="str">
        <f>OFS_SalesOverview_InTax[[#This Row],[DATE]]</f>
        <v>BU25 SC</v>
      </c>
      <c r="AP79" s="436">
        <f>OFS_SalesOverview_InTax[[#This Row],[GMV]]/$F$1</f>
        <v>64730.088495575226</v>
      </c>
      <c r="AQ79" s="436">
        <f>OFS_SalesOverview_ExclTax[[#This Row],[GMV]]-OFS_SalesOverview_ExclTax[[#This Row],[RR]]</f>
        <v>53610.619469026555</v>
      </c>
      <c r="AR79" s="431">
        <f>OFS_SalesOverview_InTax[[#This Row],[UV]]</f>
        <v>12703</v>
      </c>
      <c r="AS79" s="431">
        <f>OFS_SalesOverview_InTax[[#This Row],[Buyers]]</f>
        <v>11</v>
      </c>
      <c r="AT79" s="431">
        <f>OFS_SalesOverview_InTax[[#This Row],[Units]]</f>
        <v>14</v>
      </c>
      <c r="AU79" s="92">
        <f>OFS_SalesOverview_ExclTax[[#This Row],[Buyers]]/OFS_SalesOverview_ExclTax[[#This Row],[UV]]</f>
        <v>8.6593718019365503E-4</v>
      </c>
      <c r="AV79" s="431">
        <f>OFS_SalesOverview_ExclTax[[#This Row],[GMV]]/OFS_SalesOverview_ExclTax[[#This Row],[Buyers]]</f>
        <v>5884.5534995977478</v>
      </c>
      <c r="AW79" s="431">
        <f>OFS_SalesOverview_ExclTax[[#This Row],[GMV]]/OFS_SalesOverview_ExclTax[[#This Row],[Units]]</f>
        <v>4623.5777496839446</v>
      </c>
      <c r="AX79" s="432">
        <f>OFS_SalesOverview_ExclTax[[#This Row],[Units]]/OFS_SalesOverview_ExclTax[[#This Row],[Buyers]]</f>
        <v>1.2727272727272727</v>
      </c>
      <c r="AY79" s="93">
        <f>OFS_SalesOverview_ExclTax[[#This Row],[RR]]/OFS_SalesOverview_ExclTax[[#This Row],[GMV]]</f>
        <v>0.17178207669697176</v>
      </c>
      <c r="AZ79" s="436">
        <f>OFS_SalesOverview_InTax[[#This Row],[RR]]/$F$1</f>
        <v>11119.469026548673</v>
      </c>
      <c r="BA79" s="436">
        <f>OFS_SalesOverview_InTax[[#This Row],[MD GMV]]/$F$1</f>
        <v>58672.566371681423</v>
      </c>
      <c r="BB79" s="94">
        <f>OFS_SalesOverview_ExclTax[[#This Row],[MD GMV]]/OFS_SalesOverview_ExclTax[[#This Row],[GMV]]</f>
        <v>0.90641875726297083</v>
      </c>
      <c r="BC79" s="28" t="str">
        <f>_xlfn.XLOOKUP(OFS_SalesOverview_ExclTax[[#This Row],[DATE]],全店核心数据_bymonth[开始日期],全店核心数据_bymonth[jda日历.PayYear],"")</f>
        <v/>
      </c>
      <c r="BO79" s="28"/>
      <c r="CB79" s="53"/>
    </row>
    <row r="80" spans="5:82" ht="14.5" customHeight="1" x14ac:dyDescent="0.3">
      <c r="E80" s="428" t="s">
        <v>697</v>
      </c>
      <c r="F80" s="439">
        <f>SUMIFS([44]!dtc_订单源[成交总金额],[44]!dtc_订单源[pay_year],LEFT(OFS_SalesOverview_InTax[[#This Row],[DATE]],4),[44]!dtc_订单源[最后付款时间],"&lt;"&amp;EOMONTH($K$1,0)+1,[44]!dtc_订单源[店铺名称],"*官方商城*",[44]!dtc_订单源[ff_flag],1)</f>
        <v>16538</v>
      </c>
      <c r="G80" s="431">
        <f>OFS_SalesOverview_InTax[[#This Row],[GMV]]-OFS_SalesOverview_InTax[[#This Row],[RR]]</f>
        <v>16538</v>
      </c>
      <c r="H80" s="431">
        <v>10</v>
      </c>
      <c r="I80" s="439" cm="1">
        <f t="array" ref="I80">COUNT(LEN(_xlfn.UNIQUE(_xlfn._xlws.FILTER([44]!dtc_订单源[买家昵称],([44]!dtc_订单源[pay_year]=LEFT(OFS_SalesOverview_InTax[[#This Row],[DATE]],4))*([44]!dtc_订单源[最后付款时间]&lt;(EOMONTH($K$1,0)+1))*([44]!dtc_订单源[店铺名称]="Dunhill官方商城店")*([44]!dtc_订单源[ff_flag]=1)))))</f>
        <v>6</v>
      </c>
      <c r="J80" s="439">
        <f>SUMIFS([44]!dtc_订单源[件数],[44]!dtc_订单源[pay_year],LEFT(OFS_SalesOverview_InTax[[#This Row],[DATE]],4),[44]!dtc_订单源[最后付款时间],"&lt;"&amp;EOMONTH($K$1,0)+1,[44]!dtc_订单源[店铺名称],"*官方商城*",[44]!dtc_订单源[ff_flag],1)</f>
        <v>9</v>
      </c>
      <c r="K80" s="92">
        <f>OFS_SalesOverview_InTax[[#This Row],[Buyers]]/OFS_SalesOverview_InTax[[#This Row],[UV]]</f>
        <v>0.6</v>
      </c>
      <c r="L80" s="431">
        <f>OFS_SalesOverview_InTax[[#This Row],[GMV]]/OFS_SalesOverview_InTax[[#This Row],[Buyers]]</f>
        <v>2756.3333333333335</v>
      </c>
      <c r="M80" s="431">
        <f>OFS_SalesOverview_InTax[[#This Row],[GMV]]/OFS_SalesOverview_InTax[[#This Row],[Units]]</f>
        <v>1837.5555555555557</v>
      </c>
      <c r="N80" s="432">
        <f>OFS_SalesOverview_InTax[[#This Row],[Units]]/OFS_SalesOverview_InTax[[#This Row],[Buyers]]</f>
        <v>1.5</v>
      </c>
      <c r="O80" s="93">
        <f>OFS_SalesOverview_InTax[[#This Row],[RR]]/OFS_SalesOverview_InTax[[#This Row],[GMV]]</f>
        <v>0</v>
      </c>
      <c r="P80" s="439">
        <f>SUMIFS([44]!dtc_订单源[退款金额],[44]!dtc_订单源[pay_year],LEFT(OFS_SalesOverview_InTax[[#This Row],[DATE]],4),[44]!dtc_订单源[最后付款时间],"&lt;"&amp;EOMONTH($K$1,0)+1,[44]!dtc_订单源[店铺名称],"*官方商城*",[44]!dtc_订单源[ff_flag],1)</f>
        <v>0</v>
      </c>
      <c r="Q80" s="439">
        <f>SUMIFS([44]!dtc_订单源[成交总金额],[44]!dtc_订单源[pay_year],LEFT(OFS_SalesOverview_InTax[[#This Row],[DATE]],4),[44]!dtc_订单源[最后付款时间],"&lt;"&amp;EOMONTH($K$1,0)+1,[44]!dtc_订单源[店铺名称],"*官方商城*",[44]!dtc_订单源[ff_flag],1,[44]!dtc_订单源[FP_MD],"MD")</f>
        <v>16538</v>
      </c>
      <c r="R80" s="94">
        <f>OFS_SalesOverview_InTax[[#This Row],[MD GMV]]/OFS_SalesOverview_InTax[[#This Row],[GMV]]</f>
        <v>1</v>
      </c>
      <c r="S80" s="439">
        <f>SUMIFS([44]!dtc_订单源[成交总金额],[44]!dtc_订单源[pay_year],LEFT(OFS_SalesOverview_InTax[[#This Row],[DATE]],4),[44]!dtc_订单源[最后付款时间],"&lt;"&amp;EOMONTH($K$1,0)+1,[44]!dtc_订单源[店铺名称],"*官方商城*",[44]!dtc_订单源[ff_flag],1,[44]!dtc_订单源[FP_MD],"MD")-SUMIFS([44]!dtc_订单源[退款金额],[44]!dtc_订单源[pay_year],LEFT(OFS_SalesOverview_InTax[[#This Row],[DATE]],4),[44]!dtc_订单源[最后付款时间],"&lt;"&amp;EOMONTH($K$1,0)+1,[44]!dtc_订单源[店铺名称],"*官方商城*",[44]!dtc_订单源[ff_flag],1,[44]!dtc_订单源[FP_MD],"MD")</f>
        <v>16538</v>
      </c>
      <c r="T80" s="94">
        <f>OFS_SalesOverview_InTax[[#This Row],[MD NET]]/OFS_SalesOverview_InTax[[#This Row],[NET]]</f>
        <v>1</v>
      </c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28" t="str">
        <f>_xlfn.XLOOKUP(OFS_SalesOverview_InTax[[#This Row],[DATE]],全店核心数据_bymonth[开始日期],全店核心数据_bymonth[jda日历.PayYear],"")</f>
        <v/>
      </c>
      <c r="AO80" s="428" t="str">
        <f>OFS_SalesOverview_InTax[[#This Row],[DATE]]</f>
        <v>BU26 FF</v>
      </c>
      <c r="AP80" s="436">
        <f>OFS_SalesOverview_InTax[[#This Row],[GMV]]/$F$1</f>
        <v>14635.398230088496</v>
      </c>
      <c r="AQ80" s="436">
        <f>OFS_SalesOverview_ExclTax[[#This Row],[GMV]]-OFS_SalesOverview_ExclTax[[#This Row],[RR]]</f>
        <v>14635.398230088496</v>
      </c>
      <c r="AR80" s="431">
        <f>OFS_SalesOverview_InTax[[#This Row],[UV]]</f>
        <v>10</v>
      </c>
      <c r="AS80" s="431">
        <f>OFS_SalesOverview_InTax[[#This Row],[Buyers]]</f>
        <v>6</v>
      </c>
      <c r="AT80" s="431">
        <f>OFS_SalesOverview_InTax[[#This Row],[Units]]</f>
        <v>9</v>
      </c>
      <c r="AU80" s="92">
        <f>OFS_SalesOverview_ExclTax[[#This Row],[Buyers]]/OFS_SalesOverview_ExclTax[[#This Row],[UV]]</f>
        <v>0.6</v>
      </c>
      <c r="AV80" s="431">
        <f>OFS_SalesOverview_ExclTax[[#This Row],[GMV]]/OFS_SalesOverview_ExclTax[[#This Row],[Buyers]]</f>
        <v>2439.2330383480826</v>
      </c>
      <c r="AW80" s="431">
        <f>OFS_SalesOverview_ExclTax[[#This Row],[GMV]]/OFS_SalesOverview_ExclTax[[#This Row],[Units]]</f>
        <v>1626.1553588987217</v>
      </c>
      <c r="AX80" s="432">
        <f>OFS_SalesOverview_ExclTax[[#This Row],[Units]]/OFS_SalesOverview_ExclTax[[#This Row],[Buyers]]</f>
        <v>1.5</v>
      </c>
      <c r="AY80" s="93">
        <f>OFS_SalesOverview_ExclTax[[#This Row],[RR]]/OFS_SalesOverview_ExclTax[[#This Row],[GMV]]</f>
        <v>0</v>
      </c>
      <c r="AZ80" s="436">
        <f>OFS_SalesOverview_InTax[[#This Row],[RR]]/$F$1</f>
        <v>0</v>
      </c>
      <c r="BA80" s="436">
        <f>OFS_SalesOverview_InTax[[#This Row],[MD GMV]]/$F$1</f>
        <v>14635.398230088496</v>
      </c>
      <c r="BB80" s="94">
        <f>OFS_SalesOverview_ExclTax[[#This Row],[MD GMV]]/OFS_SalesOverview_ExclTax[[#This Row],[GMV]]</f>
        <v>1</v>
      </c>
      <c r="BC80" s="28" t="str">
        <f>_xlfn.XLOOKUP(OFS_SalesOverview_ExclTax[[#This Row],[DATE]],全店核心数据_bymonth[开始日期],全店核心数据_bymonth[jda日历.PayYear],"")</f>
        <v/>
      </c>
      <c r="BO80" s="28"/>
      <c r="CB80" s="53"/>
    </row>
    <row r="81" spans="4:82" ht="14.5" customHeight="1" x14ac:dyDescent="0.3">
      <c r="E81" s="428" t="s">
        <v>698</v>
      </c>
      <c r="F81" s="439">
        <f>SUMIFS([44]!dtc_订单源[成交总金额],[44]!dtc_订单源[pay_year],LEFT(OFS_SalesOverview_InTax[[#This Row],[DATE]],4),[44]!dtc_订单源[最后付款时间],"&lt;"&amp;EDATE(EOMONTH($K$1,0)+1,-12),[44]!dtc_订单源[店铺名称],"*官方商城*",[44]!dtc_订单源[ff_flag],1)</f>
        <v>0</v>
      </c>
      <c r="G81" s="431">
        <f>OFS_SalesOverview_InTax[[#This Row],[GMV]]-OFS_SalesOverview_InTax[[#This Row],[RR]]</f>
        <v>0</v>
      </c>
      <c r="H81" s="431">
        <v>0</v>
      </c>
      <c r="I81" s="439" cm="1">
        <f t="array" ref="I81">COUNT(LEN(_xlfn.UNIQUE(_xlfn._xlws.FILTER([44]!dtc_订单源[买家昵称],([44]!dtc_订单源[pay_year]=LEFT(OFS_SalesOverview_InTax[[#This Row],[DATE]],4))*([44]!dtc_订单源[最后付款时间]&lt;EDATE(EOMONTH($K$1,0)+1,-12))*([44]!dtc_订单源[店铺名称]="Dunhill官方商城店")*([44]!dtc_订单源[ff_flag]=1)))))</f>
        <v>0</v>
      </c>
      <c r="J81" s="439">
        <f>SUMIFS([44]!dtc_订单源[件数],[44]!dtc_订单源[pay_year],LEFT(OFS_SalesOverview_InTax[[#This Row],[DATE]],4),[44]!dtc_订单源[最后付款时间],"&lt;"&amp;EDATE(EOMONTH($K$1,0)+1,-12),[44]!dtc_订单源[店铺名称],"*官方商城*",[44]!dtc_订单源[ff_flag],1)</f>
        <v>0</v>
      </c>
      <c r="K81" s="92" t="e">
        <f>OFS_SalesOverview_InTax[[#This Row],[Buyers]]/OFS_SalesOverview_InTax[[#This Row],[UV]]</f>
        <v>#DIV/0!</v>
      </c>
      <c r="L81" s="431" t="e">
        <f>OFS_SalesOverview_InTax[[#This Row],[GMV]]/OFS_SalesOverview_InTax[[#This Row],[Buyers]]</f>
        <v>#DIV/0!</v>
      </c>
      <c r="M81" s="431" t="e">
        <f>OFS_SalesOverview_InTax[[#This Row],[GMV]]/OFS_SalesOverview_InTax[[#This Row],[Units]]</f>
        <v>#DIV/0!</v>
      </c>
      <c r="N81" s="432" t="e">
        <f>OFS_SalesOverview_InTax[[#This Row],[Units]]/OFS_SalesOverview_InTax[[#This Row],[Buyers]]</f>
        <v>#DIV/0!</v>
      </c>
      <c r="O81" s="93" t="e">
        <f>OFS_SalesOverview_InTax[[#This Row],[RR]]/OFS_SalesOverview_InTax[[#This Row],[GMV]]</f>
        <v>#DIV/0!</v>
      </c>
      <c r="P81" s="439">
        <f>SUMIFS([44]!dtc_订单源[退款金额],[44]!dtc_订单源[pay_year],LEFT(OFS_SalesOverview_InTax[[#This Row],[DATE]],4),[44]!dtc_订单源[最后付款时间],"&lt;"&amp;EDATE(EOMONTH($K$1,0)+1,-12),[44]!dtc_订单源[店铺名称],"*官方商城*",[44]!dtc_订单源[ff_flag],1)</f>
        <v>0</v>
      </c>
      <c r="Q81" s="439">
        <f>SUMIFS([44]!dtc_订单源[成交总金额],[44]!dtc_订单源[pay_year],LEFT(OFS_SalesOverview_InTax[[#This Row],[DATE]],4),[44]!dtc_订单源[最后付款时间],"&lt;"&amp;EDATE(EOMONTH($K$1,0)+1,-12),[44]!dtc_订单源[店铺名称],"*官方商城*",[44]!dtc_订单源[ff_flag],1,[44]!dtc_订单源[FP_MD],"MD")</f>
        <v>0</v>
      </c>
      <c r="R81" s="94" t="e">
        <f>OFS_SalesOverview_InTax[[#This Row],[MD GMV]]/OFS_SalesOverview_InTax[[#This Row],[GMV]]</f>
        <v>#DIV/0!</v>
      </c>
      <c r="S81" s="439">
        <f>SUMIFS([44]!dtc_订单源[成交总金额],[44]!dtc_订单源[pay_year],LEFT(OFS_SalesOverview_InTax[[#This Row],[DATE]],4),[44]!dtc_订单源[最后付款时间],"&lt;"&amp;EDATE(EOMONTH($K$1,0)+1,-12),[44]!dtc_订单源[店铺名称],"*官方商城*",[44]!dtc_订单源[ff_flag],1,[44]!dtc_订单源[FP_MD],"MD")-SUMIFS([44]!dtc_订单源[退款金额],[44]!dtc_订单源[pay_year],LEFT(OFS_SalesOverview_InTax[[#This Row],[DATE]],4),[44]!dtc_订单源[最后付款时间],"&lt;"&amp;EDATE(EOMONTH($K$1,0)+1,-12),[44]!dtc_订单源[店铺名称],"*官方商城*",[44]!dtc_订单源[ff_flag],1,[44]!dtc_订单源[FP_MD],"MD")</f>
        <v>0</v>
      </c>
      <c r="T81" s="94" t="e">
        <f>OFS_SalesOverview_InTax[[#This Row],[MD NET]]/OFS_SalesOverview_InTax[[#This Row],[NET]]</f>
        <v>#DIV/0!</v>
      </c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28" t="str">
        <f>_xlfn.XLOOKUP(OFS_SalesOverview_InTax[[#This Row],[DATE]],全店核心数据_bymonth[开始日期],全店核心数据_bymonth[jda日历.PayYear],"")</f>
        <v/>
      </c>
      <c r="AO81" s="428" t="str">
        <f>OFS_SalesOverview_InTax[[#This Row],[DATE]]</f>
        <v>BU25 FF</v>
      </c>
      <c r="AP81" s="436">
        <f>OFS_SalesOverview_InTax[[#This Row],[GMV]]/$F$1</f>
        <v>0</v>
      </c>
      <c r="AQ81" s="436">
        <f>OFS_SalesOverview_ExclTax[[#This Row],[GMV]]-OFS_SalesOverview_ExclTax[[#This Row],[RR]]</f>
        <v>0</v>
      </c>
      <c r="AR81" s="431">
        <f>OFS_SalesOverview_InTax[[#This Row],[UV]]</f>
        <v>0</v>
      </c>
      <c r="AS81" s="431">
        <f>OFS_SalesOverview_InTax[[#This Row],[Buyers]]</f>
        <v>0</v>
      </c>
      <c r="AT81" s="431">
        <f>OFS_SalesOverview_InTax[[#This Row],[Units]]</f>
        <v>0</v>
      </c>
      <c r="AU81" s="92" t="e">
        <f>OFS_SalesOverview_ExclTax[[#This Row],[Buyers]]/OFS_SalesOverview_ExclTax[[#This Row],[UV]]</f>
        <v>#DIV/0!</v>
      </c>
      <c r="AV81" s="431" t="e">
        <f>OFS_SalesOverview_ExclTax[[#This Row],[GMV]]/OFS_SalesOverview_ExclTax[[#This Row],[Buyers]]</f>
        <v>#DIV/0!</v>
      </c>
      <c r="AW81" s="431" t="e">
        <f>OFS_SalesOverview_ExclTax[[#This Row],[GMV]]/OFS_SalesOverview_ExclTax[[#This Row],[Units]]</f>
        <v>#DIV/0!</v>
      </c>
      <c r="AX81" s="432" t="e">
        <f>OFS_SalesOverview_ExclTax[[#This Row],[Units]]/OFS_SalesOverview_ExclTax[[#This Row],[Buyers]]</f>
        <v>#DIV/0!</v>
      </c>
      <c r="AY81" s="93" t="e">
        <f>OFS_SalesOverview_ExclTax[[#This Row],[RR]]/OFS_SalesOverview_ExclTax[[#This Row],[GMV]]</f>
        <v>#DIV/0!</v>
      </c>
      <c r="AZ81" s="436">
        <f>OFS_SalesOverview_InTax[[#This Row],[RR]]/$F$1</f>
        <v>0</v>
      </c>
      <c r="BA81" s="436">
        <f>OFS_SalesOverview_InTax[[#This Row],[MD GMV]]/$F$1</f>
        <v>0</v>
      </c>
      <c r="BB81" s="94" t="e">
        <f>OFS_SalesOverview_ExclTax[[#This Row],[MD GMV]]/OFS_SalesOverview_ExclTax[[#This Row],[GMV]]</f>
        <v>#DIV/0!</v>
      </c>
      <c r="BC81" s="28" t="str">
        <f>_xlfn.XLOOKUP(OFS_SalesOverview_ExclTax[[#This Row],[DATE]],全店核心数据_bymonth[开始日期],全店核心数据_bymonth[jda日历.PayYear],"")</f>
        <v/>
      </c>
      <c r="BO81" s="28"/>
      <c r="CB81" s="53"/>
    </row>
    <row r="82" spans="4:82" ht="14.5" customHeight="1" x14ac:dyDescent="0.3">
      <c r="E82" s="428" t="s">
        <v>563</v>
      </c>
      <c r="F82" s="431">
        <f t="shared" ref="F82:J83" si="6">F49-F78-F80</f>
        <v>386861</v>
      </c>
      <c r="G82" s="431">
        <f t="shared" si="6"/>
        <v>282376</v>
      </c>
      <c r="H82" s="431">
        <f t="shared" si="6"/>
        <v>69331</v>
      </c>
      <c r="I82" s="431">
        <f t="shared" si="6"/>
        <v>50</v>
      </c>
      <c r="J82" s="431">
        <f t="shared" si="6"/>
        <v>75</v>
      </c>
      <c r="K82" s="92">
        <f>OFS_SalesOverview_InTax[[#This Row],[Buyers]]/OFS_SalesOverview_InTax[[#This Row],[UV]]</f>
        <v>7.211781165712308E-4</v>
      </c>
      <c r="L82" s="431">
        <f>OFS_SalesOverview_InTax[[#This Row],[GMV]]/OFS_SalesOverview_InTax[[#This Row],[Buyers]]</f>
        <v>7737.22</v>
      </c>
      <c r="M82" s="431">
        <f>OFS_SalesOverview_InTax[[#This Row],[GMV]]/OFS_SalesOverview_InTax[[#This Row],[Units]]</f>
        <v>5158.1466666666665</v>
      </c>
      <c r="N82" s="432">
        <f>OFS_SalesOverview_InTax[[#This Row],[Units]]/OFS_SalesOverview_InTax[[#This Row],[Buyers]]</f>
        <v>1.5</v>
      </c>
      <c r="O82" s="93">
        <f>OFS_SalesOverview_InTax[[#This Row],[RR]]/OFS_SalesOverview_InTax[[#This Row],[GMV]]</f>
        <v>0.27008408704935366</v>
      </c>
      <c r="P82" s="431">
        <f>P49-P78-P80</f>
        <v>104485</v>
      </c>
      <c r="Q82" s="431">
        <f>Q49-Q78-Q80</f>
        <v>16680</v>
      </c>
      <c r="R82" s="94">
        <f>OFS_SalesOverview_InTax[[#This Row],[MD GMV]]/OFS_SalesOverview_InTax[[#This Row],[GMV]]</f>
        <v>4.3116261396212073E-2</v>
      </c>
      <c r="S82" s="431">
        <f>S49-S78-S80</f>
        <v>7960</v>
      </c>
      <c r="T82" s="94">
        <f>OFS_SalesOverview_InTax[[#This Row],[MD NET]]/OFS_SalesOverview_InTax[[#This Row],[NET]]</f>
        <v>2.8189364535229623E-2</v>
      </c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28" t="str">
        <f>_xlfn.XLOOKUP(OFS_SalesOverview_InTax[[#This Row],[DATE]],全店核心数据_bymonth[开始日期],全店核心数据_bymonth[jda日历.PayYear],"")</f>
        <v/>
      </c>
      <c r="AO82" s="428" t="str">
        <f>OFS_SalesOverview_InTax[[#This Row],[DATE]]</f>
        <v>BU26 Organic</v>
      </c>
      <c r="AP82" s="436">
        <f>OFS_SalesOverview_InTax[[#This Row],[GMV]]/$F$1</f>
        <v>342354.8672566372</v>
      </c>
      <c r="AQ82" s="436">
        <f>OFS_SalesOverview_ExclTax[[#This Row],[GMV]]-OFS_SalesOverview_ExclTax[[#This Row],[RR]]</f>
        <v>249890.26548672566</v>
      </c>
      <c r="AR82" s="431">
        <f>OFS_SalesOverview_InTax[[#This Row],[UV]]</f>
        <v>69331</v>
      </c>
      <c r="AS82" s="431">
        <f>OFS_SalesOverview_InTax[[#This Row],[Buyers]]</f>
        <v>50</v>
      </c>
      <c r="AT82" s="431">
        <f>OFS_SalesOverview_InTax[[#This Row],[Units]]</f>
        <v>75</v>
      </c>
      <c r="AU82" s="92">
        <f>OFS_SalesOverview_ExclTax[[#This Row],[Buyers]]/OFS_SalesOverview_ExclTax[[#This Row],[UV]]</f>
        <v>7.211781165712308E-4</v>
      </c>
      <c r="AV82" s="431">
        <f>OFS_SalesOverview_ExclTax[[#This Row],[GMV]]/OFS_SalesOverview_ExclTax[[#This Row],[Buyers]]</f>
        <v>6847.0973451327436</v>
      </c>
      <c r="AW82" s="431">
        <f>OFS_SalesOverview_ExclTax[[#This Row],[GMV]]/OFS_SalesOverview_ExclTax[[#This Row],[Units]]</f>
        <v>4564.7315634218294</v>
      </c>
      <c r="AX82" s="432">
        <f>OFS_SalesOverview_ExclTax[[#This Row],[Units]]/OFS_SalesOverview_ExclTax[[#This Row],[Buyers]]</f>
        <v>1.5</v>
      </c>
      <c r="AY82" s="93">
        <f>OFS_SalesOverview_ExclTax[[#This Row],[RR]]/OFS_SalesOverview_ExclTax[[#This Row],[GMV]]</f>
        <v>0.27008408704935366</v>
      </c>
      <c r="AZ82" s="436">
        <f>OFS_SalesOverview_InTax[[#This Row],[RR]]/$F$1</f>
        <v>92464.601769911518</v>
      </c>
      <c r="BA82" s="436">
        <f>OFS_SalesOverview_InTax[[#This Row],[MD GMV]]/$F$1</f>
        <v>14761.061946902657</v>
      </c>
      <c r="BB82" s="94">
        <f>OFS_SalesOverview_ExclTax[[#This Row],[MD GMV]]/OFS_SalesOverview_ExclTax[[#This Row],[GMV]]</f>
        <v>4.311626139621208E-2</v>
      </c>
      <c r="BC82" s="28" t="str">
        <f>_xlfn.XLOOKUP(OFS_SalesOverview_ExclTax[[#This Row],[DATE]],全店核心数据_bymonth[开始日期],全店核心数据_bymonth[jda日历.PayYear],"")</f>
        <v/>
      </c>
      <c r="BM82" s="53"/>
      <c r="BO82" s="28"/>
    </row>
    <row r="83" spans="4:82" ht="16" customHeight="1" x14ac:dyDescent="0.3">
      <c r="E83" s="428" t="s">
        <v>383</v>
      </c>
      <c r="F83" s="431">
        <f t="shared" si="6"/>
        <v>305280</v>
      </c>
      <c r="G83" s="431">
        <f t="shared" si="6"/>
        <v>260255</v>
      </c>
      <c r="H83" s="431">
        <f t="shared" si="6"/>
        <v>52919</v>
      </c>
      <c r="I83" s="431">
        <f t="shared" si="6"/>
        <v>46</v>
      </c>
      <c r="J83" s="431">
        <f t="shared" si="6"/>
        <v>66</v>
      </c>
      <c r="K83" s="92">
        <f>OFS_SalesOverview_InTax[[#This Row],[Buyers]]/OFS_SalesOverview_InTax[[#This Row],[UV]]</f>
        <v>8.6925300931612465E-4</v>
      </c>
      <c r="L83" s="431">
        <f>OFS_SalesOverview_InTax[[#This Row],[GMV]]/OFS_SalesOverview_InTax[[#This Row],[Buyers]]</f>
        <v>6636.521739130435</v>
      </c>
      <c r="M83" s="431">
        <f>OFS_SalesOverview_InTax[[#This Row],[GMV]]/OFS_SalesOverview_InTax[[#This Row],[Units]]</f>
        <v>4625.454545454545</v>
      </c>
      <c r="N83" s="432">
        <f>OFS_SalesOverview_InTax[[#This Row],[Units]]/OFS_SalesOverview_InTax[[#This Row],[Buyers]]</f>
        <v>1.4347826086956521</v>
      </c>
      <c r="O83" s="93">
        <f>OFS_SalesOverview_InTax[[#This Row],[RR]]/OFS_SalesOverview_InTax[[#This Row],[GMV]]</f>
        <v>0.14748755241090147</v>
      </c>
      <c r="P83" s="431">
        <f>P50-P79-P81</f>
        <v>45025</v>
      </c>
      <c r="Q83" s="431">
        <f>Q50-Q79-Q81</f>
        <v>78550</v>
      </c>
      <c r="R83" s="94">
        <f>OFS_SalesOverview_InTax[[#This Row],[MD GMV]]/OFS_SalesOverview_InTax[[#This Row],[GMV]]</f>
        <v>0.25730476939203356</v>
      </c>
      <c r="S83" s="431">
        <f>S50-S79-S81</f>
        <v>54430</v>
      </c>
      <c r="T83" s="94">
        <f>OFS_SalesOverview_InTax[[#This Row],[MD NET]]/OFS_SalesOverview_InTax[[#This Row],[NET]]</f>
        <v>0.20914103475437551</v>
      </c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28" t="str">
        <f>_xlfn.XLOOKUP(OFS_SalesOverview_InTax[[#This Row],[DATE]],全店核心数据_bymonth[开始日期],全店核心数据_bymonth[jda日历.PayYear],"")</f>
        <v/>
      </c>
      <c r="AO83" s="428" t="str">
        <f>OFS_SalesOverview_InTax[[#This Row],[DATE]]</f>
        <v>BU25 Organic</v>
      </c>
      <c r="AP83" s="436">
        <f>OFS_SalesOverview_InTax[[#This Row],[GMV]]/$F$1</f>
        <v>270159.29203539825</v>
      </c>
      <c r="AQ83" s="436">
        <f>OFS_SalesOverview_ExclTax[[#This Row],[GMV]]-OFS_SalesOverview_ExclTax[[#This Row],[RR]]</f>
        <v>230314.15929203542</v>
      </c>
      <c r="AR83" s="431">
        <f>OFS_SalesOverview_InTax[[#This Row],[UV]]</f>
        <v>52919</v>
      </c>
      <c r="AS83" s="431">
        <f>OFS_SalesOverview_InTax[[#This Row],[Buyers]]</f>
        <v>46</v>
      </c>
      <c r="AT83" s="431">
        <f>OFS_SalesOverview_InTax[[#This Row],[Units]]</f>
        <v>66</v>
      </c>
      <c r="AU83" s="92">
        <f>OFS_SalesOverview_ExclTax[[#This Row],[Buyers]]/OFS_SalesOverview_ExclTax[[#This Row],[UV]]</f>
        <v>8.6925300931612465E-4</v>
      </c>
      <c r="AV83" s="431">
        <f>OFS_SalesOverview_ExclTax[[#This Row],[GMV]]/OFS_SalesOverview_ExclTax[[#This Row],[Buyers]]</f>
        <v>5873.0280877260493</v>
      </c>
      <c r="AW83" s="431">
        <f>OFS_SalesOverview_ExclTax[[#This Row],[GMV]]/OFS_SalesOverview_ExclTax[[#This Row],[Units]]</f>
        <v>4093.3226065969429</v>
      </c>
      <c r="AX83" s="432">
        <f>OFS_SalesOverview_ExclTax[[#This Row],[Units]]/OFS_SalesOverview_ExclTax[[#This Row],[Buyers]]</f>
        <v>1.4347826086956521</v>
      </c>
      <c r="AY83" s="93">
        <f>OFS_SalesOverview_ExclTax[[#This Row],[RR]]/OFS_SalesOverview_ExclTax[[#This Row],[GMV]]</f>
        <v>0.14748755241090145</v>
      </c>
      <c r="AZ83" s="436">
        <f>OFS_SalesOverview_InTax[[#This Row],[RR]]/$F$1</f>
        <v>39845.132743362832</v>
      </c>
      <c r="BA83" s="436">
        <f>OFS_SalesOverview_InTax[[#This Row],[MD GMV]]/$F$1</f>
        <v>69513.274336283197</v>
      </c>
      <c r="BB83" s="94">
        <f>OFS_SalesOverview_ExclTax[[#This Row],[MD GMV]]/OFS_SalesOverview_ExclTax[[#This Row],[GMV]]</f>
        <v>0.25730476939203356</v>
      </c>
      <c r="BC83" s="28" t="str">
        <f>_xlfn.XLOOKUP(OFS_SalesOverview_ExclTax[[#This Row],[DATE]],全店核心数据_bymonth[开始日期],全店核心数据_bymonth[jda日历.PayYear],"")</f>
        <v/>
      </c>
      <c r="BM83" s="53"/>
      <c r="BO83" s="28"/>
    </row>
    <row r="84" spans="4:82" ht="14.5" customHeight="1" x14ac:dyDescent="0.3">
      <c r="E84" s="428" t="s">
        <v>384</v>
      </c>
      <c r="F84" s="256">
        <f t="shared" ref="F84:N84" si="7">F82/F83-1</f>
        <v>0.26723335953878413</v>
      </c>
      <c r="G84" s="256">
        <f t="shared" si="7"/>
        <v>8.4997406389886843E-2</v>
      </c>
      <c r="H84" s="256">
        <f t="shared" si="7"/>
        <v>0.31013435628035291</v>
      </c>
      <c r="I84" s="256">
        <f t="shared" si="7"/>
        <v>8.6956521739130377E-2</v>
      </c>
      <c r="J84" s="256">
        <f t="shared" si="7"/>
        <v>0.13636363636363646</v>
      </c>
      <c r="K84" s="256">
        <f t="shared" si="7"/>
        <v>-0.17034728802537036</v>
      </c>
      <c r="L84" s="256">
        <f t="shared" si="7"/>
        <v>0.16585469077568127</v>
      </c>
      <c r="M84" s="256">
        <f t="shared" si="7"/>
        <v>0.11516535639412995</v>
      </c>
      <c r="N84" s="256">
        <f t="shared" si="7"/>
        <v>4.5454545454545414E-2</v>
      </c>
      <c r="O84" s="255">
        <f>(O82-O83)*100</f>
        <v>12.259653463845218</v>
      </c>
      <c r="P84" s="222">
        <f>P82/P83-1</f>
        <v>1.320599666851749</v>
      </c>
      <c r="Q84" s="222">
        <f>Q82/Q83-1</f>
        <v>-0.78765117759388925</v>
      </c>
      <c r="R84" s="255">
        <f>(R82-R83)*100</f>
        <v>-21.418850799582149</v>
      </c>
      <c r="S84" s="222">
        <f>S82/S83-1</f>
        <v>-0.85375711923571562</v>
      </c>
      <c r="T84" s="255">
        <f>(T82-T83)*100</f>
        <v>-18.095167021914587</v>
      </c>
      <c r="U84" s="255"/>
      <c r="V84" s="255"/>
      <c r="W84" s="255"/>
      <c r="X84" s="255"/>
      <c r="Y84" s="255"/>
      <c r="Z84" s="255"/>
      <c r="AA84" s="255"/>
      <c r="AB84" s="255"/>
      <c r="AC84" s="255"/>
      <c r="AD84" s="255"/>
      <c r="AE84" s="255"/>
      <c r="AF84" s="255"/>
      <c r="AG84" s="255"/>
      <c r="AH84" s="255"/>
      <c r="AI84" s="255"/>
      <c r="AJ84" s="255"/>
      <c r="AK84" s="255"/>
      <c r="AL84" s="28" t="str">
        <f>_xlfn.XLOOKUP(OFS_SalesOverview_InTax[[#This Row],[DATE]],全店核心数据_bymonth[开始日期],全店核心数据_bymonth[jda日历.PayYear],"")</f>
        <v/>
      </c>
      <c r="AO84" s="428" t="str">
        <f>OFS_SalesOverview_InTax[[#This Row],[DATE]]</f>
        <v>YOY Organic</v>
      </c>
      <c r="AP84" s="256">
        <f>OFS_SalesOverview_InTax[[#This Row],[GMV]]</f>
        <v>0.26723335953878413</v>
      </c>
      <c r="AQ84" s="256">
        <f>OFS_SalesOverview_InTax[[#This Row],[NET]]</f>
        <v>8.4997406389886843E-2</v>
      </c>
      <c r="AR84" s="256">
        <f>OFS_SalesOverview_InTax[[#This Row],[UV]]</f>
        <v>0.31013435628035291</v>
      </c>
      <c r="AS84" s="256">
        <f>OFS_SalesOverview_InTax[[#This Row],[Buyers]]</f>
        <v>8.6956521739130377E-2</v>
      </c>
      <c r="AT84" s="256">
        <f>OFS_SalesOverview_InTax[[#This Row],[Units]]</f>
        <v>0.13636363636363646</v>
      </c>
      <c r="AU84" s="256">
        <f>OFS_SalesOverview_InTax[[#This Row],[CR]]</f>
        <v>-0.17034728802537036</v>
      </c>
      <c r="AV84" s="256">
        <f>OFS_SalesOverview_InTax[[#This Row],[ATV]]</f>
        <v>0.16585469077568127</v>
      </c>
      <c r="AW84" s="256">
        <f>OFS_SalesOverview_InTax[[#This Row],[AUR]]</f>
        <v>0.11516535639412995</v>
      </c>
      <c r="AX84" s="256">
        <f>OFS_SalesOverview_InTax[[#This Row],[UPT]]</f>
        <v>4.5454545454545414E-2</v>
      </c>
      <c r="AY84" s="255">
        <f>OFS_SalesOverview_InTax[[#This Row],[RRC]]</f>
        <v>12.259653463845218</v>
      </c>
      <c r="AZ84" s="222">
        <f>OFS_SalesOverview_InTax[[#This Row],[RR]]</f>
        <v>1.320599666851749</v>
      </c>
      <c r="BA84" s="222">
        <f>OFS_SalesOverview_InTax[[#This Row],[MD GMV]]</f>
        <v>-0.78765117759388925</v>
      </c>
      <c r="BB84" s="255">
        <f>OFS_SalesOverview_InTax[[#This Row],[MD GMV %]]</f>
        <v>-21.418850799582149</v>
      </c>
      <c r="BC84" s="28" t="str">
        <f>_xlfn.XLOOKUP(OFS_SalesOverview_ExclTax[[#This Row],[DATE]],全店核心数据_bymonth[开始日期],全店核心数据_bymonth[jda日历.PayYear],"")</f>
        <v/>
      </c>
      <c r="BM84" s="53"/>
      <c r="BO84" s="28"/>
    </row>
    <row r="85" spans="4:82" ht="14.5" customHeight="1" x14ac:dyDescent="0.3">
      <c r="E85" s="428" t="s">
        <v>385</v>
      </c>
      <c r="F85" s="431">
        <f>SUMIFS([44]!dtc_订单源[成交总金额],[44]!dtc_订单源[最后付款时间],"&gt;="&amp;$K$1,[44]!dtc_订单源[最后付款时间],"&lt;"&amp;EOMONTH($K$1,0)+1,[44]!dtc_订单源[店铺名称],"*官方商城*",[44]!dtc_订单源[sc_flag],1)</f>
        <v>0</v>
      </c>
      <c r="G85" s="431">
        <f>OFS_SalesOverview_InTax[[#This Row],[GMV]]-OFS_SalesOverview_InTax[[#This Row],[RR]]</f>
        <v>0</v>
      </c>
      <c r="H85" s="431">
        <v>0</v>
      </c>
      <c r="I85" s="435" cm="1">
        <f t="array" ref="I85">COUNT(LEN(_xlfn.UNIQUE(_xlfn._xlws.FILTER([44]!dtc_订单源[买家昵称],([44]!dtc_订单源[最后付款时间]&gt;=$K$1)*([44]!dtc_订单源[最后付款时间]&lt;EOMONTH($K$1,0)+1)*([44]!dtc_订单源[店铺名称]="Dunhill官方商城店")*([44]!dtc_订单源[sc_flag]=1)))))</f>
        <v>0</v>
      </c>
      <c r="J85" s="431">
        <f>SUMIFS([44]!dtc_订单源[件数],[44]!dtc_订单源[最后付款时间],"&gt;="&amp;$K$1,[44]!dtc_订单源[最后付款时间],"&lt;"&amp;EOMONTH($K$1,0)+1,[44]!dtc_订单源[店铺名称],"*官方商城*",[44]!dtc_订单源[sc_flag],1)</f>
        <v>0</v>
      </c>
      <c r="K85" s="92" t="e">
        <f>OFS_SalesOverview_InTax[[#This Row],[Buyers]]/OFS_SalesOverview_InTax[[#This Row],[UV]]</f>
        <v>#DIV/0!</v>
      </c>
      <c r="L85" s="431" t="e">
        <f>OFS_SalesOverview_InTax[[#This Row],[GMV]]/OFS_SalesOverview_InTax[[#This Row],[Buyers]]</f>
        <v>#DIV/0!</v>
      </c>
      <c r="M85" s="431" t="e">
        <f>OFS_SalesOverview_InTax[[#This Row],[GMV]]/OFS_SalesOverview_InTax[[#This Row],[Units]]</f>
        <v>#DIV/0!</v>
      </c>
      <c r="N85" s="432" t="e">
        <f>OFS_SalesOverview_InTax[[#This Row],[Units]]/OFS_SalesOverview_InTax[[#This Row],[Buyers]]</f>
        <v>#DIV/0!</v>
      </c>
      <c r="O85" s="93" t="e">
        <f>OFS_SalesOverview_InTax[[#This Row],[RR]]/OFS_SalesOverview_InTax[[#This Row],[GMV]]</f>
        <v>#DIV/0!</v>
      </c>
      <c r="P85" s="431">
        <f>SUMIFS([44]!dtc_订单源[退款金额],[44]!dtc_订单源[最后付款时间],"&gt;="&amp;$K$1,[44]!dtc_订单源[最后付款时间],"&lt;"&amp;EOMONTH($K$1,0)+1,[44]!dtc_订单源[店铺名称],"*官方商城*",[44]!dtc_订单源[sc_flag],1)</f>
        <v>0</v>
      </c>
      <c r="Q85" s="431">
        <f>SUMIFS([44]!dtc_订单源[成交总金额],[44]!dtc_订单源[最后付款时间],"&gt;="&amp;$K$1,[44]!dtc_订单源[最后付款时间],"&lt;"&amp;EOMONTH($K$1,0)+1,[44]!dtc_订单源[店铺名称],"*官方商城*",[44]!dtc_订单源[sc_flag],1,[44]!dtc_订单源[FP_MD],"MD")</f>
        <v>0</v>
      </c>
      <c r="R85" s="94" t="e">
        <f>OFS_SalesOverview_InTax[[#This Row],[MD GMV]]/OFS_SalesOverview_InTax[[#This Row],[GMV]]</f>
        <v>#DIV/0!</v>
      </c>
      <c r="S85" s="431">
        <f>SUMIFS([44]!dtc_订单源[成交总金额],[44]!dtc_订单源[最后付款时间],"&gt;="&amp;$K$1,[44]!dtc_订单源[最后付款时间],"&lt;"&amp;EOMONTH($K$1,0)+1,[44]!dtc_订单源[店铺名称],"*官方商城*",[44]!dtc_订单源[sc_flag],1,[44]!dtc_订单源[FP_MD],"MD")-SUMIFS([44]!dtc_订单源[退款金额],[44]!dtc_订单源[最后付款时间],"&gt;="&amp;$K$1,[44]!dtc_订单源[最后付款时间],"&lt;"&amp;EOMONTH($K$1,0)+1,[44]!dtc_订单源[店铺名称],"*官方商城*",[44]!dtc_订单源[sc_flag],1,[44]!dtc_订单源[FP_MD],"MD")</f>
        <v>0</v>
      </c>
      <c r="T85" s="94" t="e">
        <f>OFS_SalesOverview_InTax[[#This Row],[MD NET]]/OFS_SalesOverview_InTax[[#This Row],[NET]]</f>
        <v>#DIV/0!</v>
      </c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28" t="str">
        <f>_xlfn.XLOOKUP(OFS_SalesOverview_InTax[[#This Row],[DATE]],全店核心数据_bymonth[开始日期],全店核心数据_bymonth[jda日历.PayYear],"")</f>
        <v/>
      </c>
      <c r="AO85" s="428" t="str">
        <f>OFS_SalesOverview_InTax[[#This Row],[DATE]]</f>
        <v>MTD-TY SC</v>
      </c>
      <c r="AP85" s="436">
        <f>SUMIFS(OFS_SalesOverview_ExclTax[GMV],OFS_SalesOverview_ExclTax[DATE],$K$1)/SUMIFS(OFS_SalesOverview_ExclTax[GMV],OFS_SalesOverview_ExclTax[DATE],EDATE($K$1,-12))-1</f>
        <v>-0.66367296975163481</v>
      </c>
      <c r="AQ85" s="436">
        <f>SUMIFS(OFS_SalesOverview_ExclTax[NET],OFS_SalesOverview_ExclTax[DATE],$K$1)/SUMIFS(OFS_SalesOverview_ExclTax[NET],OFS_SalesOverview_ExclTax[DATE],EDATE($K$1,-12))-1</f>
        <v>-0.5595798532017211</v>
      </c>
      <c r="AR85" s="431">
        <f>SUMIFS(OFS_SalesOverview_ExclTax[UV],OFS_SalesOverview_ExclTax[DATE],$K$1)/SUMIFS(OFS_SalesOverview_ExclTax[UV],OFS_SalesOverview_ExclTax[DATE],EDATE($K$1,-12))-1</f>
        <v>-0.42790124904708848</v>
      </c>
      <c r="AS85" s="431">
        <f>SUMIFS(OFS_SalesOverview_ExclTax[Buyers],OFS_SalesOverview_ExclTax[DATE],$K$1)/SUMIFS(OFS_SalesOverview_ExclTax[Buyers],OFS_SalesOverview_ExclTax[DATE],EDATE($K$1,-12))-1</f>
        <v>-0.58823529411764708</v>
      </c>
      <c r="AT85" s="431">
        <f>SUMIFS(OFS_SalesOverview_ExclTax[Units],OFS_SalesOverview_ExclTax[DATE],$K$1)/SUMIFS(OFS_SalesOverview_ExclTax[Units],OFS_SalesOverview_ExclTax[DATE],EDATE($K$1,-12))-1</f>
        <v>-0.5</v>
      </c>
      <c r="AU85" s="92">
        <f>SUMIFS(OFS_SalesOverview_ExclTax[CR],OFS_SalesOverview_ExclTax[DATE],$K$1)/SUMIFS(OFS_SalesOverview_ExclTax[CR],OFS_SalesOverview_ExclTax[DATE],EDATE($K$1,-12))-1</f>
        <v>-0.28025589079420199</v>
      </c>
      <c r="AV85" s="431">
        <f>SUMIFS(OFS_SalesOverview_ExclTax[ATV],OFS_SalesOverview_ExclTax[DATE],$K$1)/SUMIFS(OFS_SalesOverview_ExclTax[ATV],OFS_SalesOverview_ExclTax[DATE],EDATE($K$1,-12))-1</f>
        <v>-0.18320578368254181</v>
      </c>
      <c r="AW85" s="431">
        <f>SUMIFS(OFS_SalesOverview_ExclTax[AUR],OFS_SalesOverview_ExclTax[DATE],$K$1)/SUMIFS(OFS_SalesOverview_ExclTax[AUR],OFS_SalesOverview_ExclTax[DATE],EDATE($K$1,-12))-1</f>
        <v>-0.32734593950326984</v>
      </c>
      <c r="AX85" s="432">
        <f>SUMIFS(OFS_SalesOverview_ExclTax[UPT],OFS_SalesOverview_ExclTax[DATE],$K$1)/SUMIFS(OFS_SalesOverview_ExclTax[UPT],OFS_SalesOverview_ExclTax[DATE],EDATE($K$1,-12))-1</f>
        <v>0.21428571428571419</v>
      </c>
      <c r="AY85" s="93">
        <f>(SUMIFS(OFS_SalesOverview_ExclTax[RRC],OFS_SalesOverview_ExclTax[DATE],$K$1)-SUMIFS(OFS_SalesOverview_ExclTax[RRC],OFS_SalesOverview_ExclTax[DATE],EDATE($K$1,-12)))*100</f>
        <v>-23.634957961537221</v>
      </c>
      <c r="AZ85" s="436">
        <f>SUMIFS(OFS_SalesOverview_ExclTax[RR],OFS_SalesOverview_ExclTax[DATE],$K$1)/SUMIFS(OFS_SalesOverview_ExclTax[RR],OFS_SalesOverview_ExclTax[DATE],EDATE($K$1,-12))-1</f>
        <v>-1</v>
      </c>
      <c r="BA85" s="436">
        <f>SUMIFS(OFS_SalesOverview_ExclTax[MD GMV],OFS_SalesOverview_ExclTax[DATE],$K$1)/SUMIFS(OFS_SalesOverview_ExclTax[MD GMV],OFS_SalesOverview_ExclTax[DATE],EDATE($K$1,-12))-1</f>
        <v>-0.89970279993743152</v>
      </c>
      <c r="BB85" s="94">
        <f>(SUMIFS(OFS_SalesOverview_ExclTax[MD%],OFS_SalesOverview_ExclTax[DATE],$K$1)-SUMIFS(OFS_SalesOverview_ExclTax[MD%],OFS_SalesOverview_ExclTax[DATE],EDATE($K$1,-12)))*100</f>
        <v>-43.357815768570731</v>
      </c>
      <c r="BC85" s="28" t="str">
        <f>_xlfn.XLOOKUP(OFS_SalesOverview_ExclTax[[#This Row],[DATE]],全店核心数据_bymonth[开始日期],全店核心数据_bymonth[jda日历.PayYear],"")</f>
        <v/>
      </c>
      <c r="BM85" s="53"/>
      <c r="BO85" s="28"/>
    </row>
    <row r="86" spans="4:82" ht="14.5" customHeight="1" x14ac:dyDescent="0.3">
      <c r="E86" s="428" t="s">
        <v>386</v>
      </c>
      <c r="F86" s="431">
        <f>SUMIFS([44]!dtc_订单源[成交总金额],[44]!dtc_订单源[最后付款时间],"&gt;="&amp;EDATE($K$1,-12),[44]!dtc_订单源[最后付款时间],"&lt;"&amp;EDATE(EOMONTH($K$1,0)+1,-12),[44]!dtc_订单源[店铺名称],"*官方商城*",[44]!dtc_订单源[sc_flag],1)</f>
        <v>69295</v>
      </c>
      <c r="G86" s="431">
        <f>OFS_SalesOverview_InTax[[#This Row],[GMV]]-OFS_SalesOverview_InTax[[#This Row],[RR]]</f>
        <v>56730</v>
      </c>
      <c r="H86" s="431">
        <v>10532</v>
      </c>
      <c r="I86" s="435" cm="1">
        <f t="array" ref="I86">COUNT(LEN(_xlfn.UNIQUE(_xlfn._xlws.FILTER([44]!dtc_订单源[买家昵称],([44]!dtc_订单源[最后付款时间]&gt;=EDATE($K$1,-12))*([44]!dtc_订单源[最后付款时间]&lt;EDATE(EOMONTH($K$1,0)+1,-12))*([44]!dtc_订单源[店铺名称]="Dunhill官方商城店")*([44]!dtc_订单源[sc_flag]=1)))))</f>
        <v>10</v>
      </c>
      <c r="J86" s="431">
        <f>SUMIFS([44]!dtc_订单源[件数],[44]!dtc_订单源[最后付款时间],"&gt;="&amp;EDATE($K$1,-12),[44]!dtc_订单源[最后付款时间],"&lt;"&amp;EDATE(EOMONTH($K$1,0)+1,-12),[44]!dtc_订单源[店铺名称],"*官方商城*",[44]!dtc_订单源[sc_flag],1)</f>
        <v>13</v>
      </c>
      <c r="K86" s="92">
        <f>OFS_SalesOverview_InTax[[#This Row],[Buyers]]/OFS_SalesOverview_InTax[[#This Row],[UV]]</f>
        <v>9.4948727687048991E-4</v>
      </c>
      <c r="L86" s="431">
        <f>OFS_SalesOverview_InTax[[#This Row],[GMV]]/OFS_SalesOverview_InTax[[#This Row],[Buyers]]</f>
        <v>6929.5</v>
      </c>
      <c r="M86" s="431">
        <f>OFS_SalesOverview_InTax[[#This Row],[GMV]]/OFS_SalesOverview_InTax[[#This Row],[Units]]</f>
        <v>5330.3846153846152</v>
      </c>
      <c r="N86" s="432">
        <f>OFS_SalesOverview_InTax[[#This Row],[Units]]/OFS_SalesOverview_InTax[[#This Row],[Buyers]]</f>
        <v>1.3</v>
      </c>
      <c r="O86" s="93">
        <f>OFS_SalesOverview_InTax[[#This Row],[RR]]/OFS_SalesOverview_InTax[[#This Row],[GMV]]</f>
        <v>0.18132621401255503</v>
      </c>
      <c r="P86" s="431">
        <f>SUMIFS([44]!dtc_订单源[退款金额],[44]!dtc_订单源[最后付款时间],"&gt;="&amp;EDATE($K$1,-12),[44]!dtc_订单源[最后付款时间],"&lt;"&amp;EDATE(EOMONTH($K$1,0)+1,-12),[44]!dtc_订单源[店铺名称],"*官方商城*",[44]!dtc_订单源[sc_flag],1)</f>
        <v>12565</v>
      </c>
      <c r="Q86" s="431">
        <f>SUMIFS([44]!dtc_订单源[成交总金额],[44]!dtc_订单源[最后付款时间],"&gt;="&amp;EDATE($K$1,-12),[44]!dtc_订单源[最后付款时间],"&lt;"&amp;EDATE(EOMONTH($K$1,0)+1,-12),[44]!dtc_订单源[店铺名称],"*官方商城*",[44]!dtc_订单源[sc_flag],1,[44]!dtc_订单源[FP_MD],"MD")</f>
        <v>66300</v>
      </c>
      <c r="R86" s="94">
        <f>OFS_SalesOverview_InTax[[#This Row],[MD GMV]]/OFS_SalesOverview_InTax[[#This Row],[GMV]]</f>
        <v>0.95677898838300024</v>
      </c>
      <c r="S86" s="431">
        <f>SUMIFS([44]!dtc_订单源[成交总金额],[44]!dtc_订单源[最后付款时间],"&gt;="&amp;EDATE($K$1,-12),[44]!dtc_订单源[最后付款时间],"&lt;"&amp;EDATE(EOMONTH($K$1,0)+1,-12),[44]!dtc_订单源[店铺名称],"*官方商城*",[44]!dtc_订单源[sc_flag],1,[44]!dtc_订单源[FP_MD],"MD")-SUMIFS([44]!dtc_订单源[退款金额],[44]!dtc_订单源[最后付款时间],"&gt;="&amp;EDATE($K$1,-12),[44]!dtc_订单源[最后付款时间],"&lt;"&amp;EDATE(EOMONTH($K$1,0)+1,-12),[44]!dtc_订单源[店铺名称],"*官方商城*",[44]!dtc_订单源[sc_flag],1,[44]!dtc_订单源[FP_MD],"MD")</f>
        <v>53735</v>
      </c>
      <c r="T86" s="94">
        <f>OFS_SalesOverview_InTax[[#This Row],[MD NET]]/OFS_SalesOverview_InTax[[#This Row],[NET]]</f>
        <v>0.94720606381103467</v>
      </c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28" t="str">
        <f>_xlfn.XLOOKUP(OFS_SalesOverview_InTax[[#This Row],[DATE]],全店核心数据_bymonth[开始日期],全店核心数据_bymonth[jda日历.PayYear],"")</f>
        <v/>
      </c>
      <c r="AO86" s="428" t="str">
        <f>OFS_SalesOverview_InTax[[#This Row],[DATE]]</f>
        <v>MTD-LY SC</v>
      </c>
      <c r="AP86" s="436">
        <f>OFS_SalesOverview_InTax[[#This Row],[GMV]]/$F$1</f>
        <v>61323.008849557526</v>
      </c>
      <c r="AQ86" s="436">
        <f>OFS_SalesOverview_ExclTax[[#This Row],[GMV]]-OFS_SalesOverview_ExclTax[[#This Row],[RR]]</f>
        <v>50203.539823008854</v>
      </c>
      <c r="AR86" s="431">
        <f>OFS_SalesOverview_InTax[[#This Row],[UV]]</f>
        <v>10532</v>
      </c>
      <c r="AS86" s="431">
        <f>OFS_SalesOverview_InTax[[#This Row],[Buyers]]</f>
        <v>10</v>
      </c>
      <c r="AT86" s="431">
        <f>OFS_SalesOverview_InTax[[#This Row],[Units]]</f>
        <v>13</v>
      </c>
      <c r="AU86" s="92">
        <f>OFS_SalesOverview_ExclTax[[#This Row],[Buyers]]/OFS_SalesOverview_ExclTax[[#This Row],[UV]]</f>
        <v>9.4948727687048991E-4</v>
      </c>
      <c r="AV86" s="431">
        <f>OFS_SalesOverview_ExclTax[[#This Row],[GMV]]/OFS_SalesOverview_ExclTax[[#This Row],[Buyers]]</f>
        <v>6132.3008849557527</v>
      </c>
      <c r="AW86" s="431">
        <f>OFS_SalesOverview_ExclTax[[#This Row],[GMV]]/OFS_SalesOverview_ExclTax[[#This Row],[Units]]</f>
        <v>4717.1545268890404</v>
      </c>
      <c r="AX86" s="432">
        <f>OFS_SalesOverview_ExclTax[[#This Row],[Units]]/OFS_SalesOverview_ExclTax[[#This Row],[Buyers]]</f>
        <v>1.3</v>
      </c>
      <c r="AY86" s="93">
        <f>OFS_SalesOverview_ExclTax[[#This Row],[RR]]/OFS_SalesOverview_ExclTax[[#This Row],[GMV]]</f>
        <v>0.18132621401255503</v>
      </c>
      <c r="AZ86" s="436">
        <f>OFS_SalesOverview_InTax[[#This Row],[RR]]/$F$1</f>
        <v>11119.469026548673</v>
      </c>
      <c r="BA86" s="436">
        <f>OFS_SalesOverview_InTax[[#This Row],[MD GMV]]/$F$1</f>
        <v>58672.566371681423</v>
      </c>
      <c r="BB86" s="94">
        <f>OFS_SalesOverview_ExclTax[[#This Row],[MD GMV]]/OFS_SalesOverview_ExclTax[[#This Row],[GMV]]</f>
        <v>0.95677898838300024</v>
      </c>
      <c r="BC86" s="28" t="str">
        <f>_xlfn.XLOOKUP(OFS_SalesOverview_ExclTax[[#This Row],[DATE]],全店核心数据_bymonth[开始日期],全店核心数据_bymonth[jda日历.PayYear],"")</f>
        <v/>
      </c>
      <c r="BM86" s="53"/>
      <c r="BO86" s="28"/>
    </row>
    <row r="87" spans="4:82" ht="14.5" customHeight="1" x14ac:dyDescent="0.3">
      <c r="E87" s="428" t="s">
        <v>699</v>
      </c>
      <c r="F87" s="431">
        <f>SUMIFS([44]!dtc_订单源[成交总金额],[44]!dtc_订单源[最后付款时间],"&gt;="&amp;$K$1,[44]!dtc_订单源[最后付款时间],"&lt;"&amp;EOMONTH($K$1,0)+1,[44]!dtc_订单源[店铺名称],"*官方商城*",[44]!dtc_订单源[ff_flag],1)</f>
        <v>9618</v>
      </c>
      <c r="G87" s="431">
        <f>OFS_SalesOverview_InTax[[#This Row],[GMV]]-OFS_SalesOverview_InTax[[#This Row],[RR]]</f>
        <v>9618</v>
      </c>
      <c r="H87" s="431">
        <v>2</v>
      </c>
      <c r="I87" s="435" cm="1">
        <f t="array" ref="I87">COUNT(LEN(_xlfn.UNIQUE(_xlfn._xlws.FILTER([44]!dtc_订单源[买家昵称],([44]!dtc_订单源[最后付款时间]&gt;=$K$1)*([44]!dtc_订单源[最后付款时间]&lt;EOMONTH($K$1,0)+1)*([44]!dtc_订单源[店铺名称]="Dunhill官方商城店")*([44]!dtc_订单源[ff_flag]=1)))))</f>
        <v>2</v>
      </c>
      <c r="J87" s="431">
        <f>SUMIFS([44]!dtc_订单源[件数],[44]!dtc_订单源[最后付款时间],"&gt;="&amp;$K$1,[44]!dtc_订单源[最后付款时间],"&lt;"&amp;EOMONTH($K$1,0)+1,[44]!dtc_订单源[店铺名称],"*官方商城*",[44]!dtc_订单源[ff_flag],1)</f>
        <v>5</v>
      </c>
      <c r="K87" s="92">
        <f>OFS_SalesOverview_InTax[[#This Row],[Buyers]]/OFS_SalesOverview_InTax[[#This Row],[UV]]</f>
        <v>1</v>
      </c>
      <c r="L87" s="431">
        <f>OFS_SalesOverview_InTax[[#This Row],[GMV]]/OFS_SalesOverview_InTax[[#This Row],[Buyers]]</f>
        <v>4809</v>
      </c>
      <c r="M87" s="431">
        <f>OFS_SalesOverview_InTax[[#This Row],[GMV]]/OFS_SalesOverview_InTax[[#This Row],[Units]]</f>
        <v>1923.6</v>
      </c>
      <c r="N87" s="432">
        <f>OFS_SalesOverview_InTax[[#This Row],[Units]]/OFS_SalesOverview_InTax[[#This Row],[Buyers]]</f>
        <v>2.5</v>
      </c>
      <c r="O87" s="93">
        <f>OFS_SalesOverview_InTax[[#This Row],[RR]]/OFS_SalesOverview_InTax[[#This Row],[GMV]]</f>
        <v>0</v>
      </c>
      <c r="P87" s="431">
        <f>SUMIFS([44]!dtc_订单源[退款金额],[44]!dtc_订单源[最后付款时间],"&gt;="&amp;$K$1,[44]!dtc_订单源[最后付款时间],"&lt;"&amp;EOMONTH($K$1,0)+1,[44]!dtc_订单源[店铺名称],"*官方商城*",[44]!dtc_订单源[ff_flag],1)</f>
        <v>0</v>
      </c>
      <c r="Q87" s="431">
        <f>SUMIFS([44]!dtc_订单源[成交总金额],[44]!dtc_订单源[最后付款时间],"&gt;="&amp;$K$1,[44]!dtc_订单源[最后付款时间],"&lt;"&amp;EOMONTH($K$1,0)+1,[44]!dtc_订单源[店铺名称],"*官方商城*",[44]!dtc_订单源[ff_flag],1,[44]!dtc_订单源[FP_MD],"MD")</f>
        <v>9618</v>
      </c>
      <c r="R87" s="94">
        <f>OFS_SalesOverview_InTax[[#This Row],[MD GMV]]/OFS_SalesOverview_InTax[[#This Row],[GMV]]</f>
        <v>1</v>
      </c>
      <c r="S87" s="431">
        <f>SUMIFS([44]!dtc_订单源[成交总金额],[44]!dtc_订单源[最后付款时间],"&gt;="&amp;$K$1,[44]!dtc_订单源[最后付款时间],"&lt;"&amp;EOMONTH($K$1,0)+1,[44]!dtc_订单源[店铺名称],"*官方商城*",[44]!dtc_订单源[ff_flag],1,[44]!dtc_订单源[FP_MD],"MD")-SUMIFS([44]!dtc_订单源[退款金额],[44]!dtc_订单源[最后付款时间],"&gt;="&amp;$K$1,[44]!dtc_订单源[最后付款时间],"&lt;"&amp;EOMONTH($K$1,0)+1,[44]!dtc_订单源[店铺名称],"*官方商城*",[44]!dtc_订单源[ff_flag],1,[44]!dtc_订单源[FP_MD],"MD")</f>
        <v>9618</v>
      </c>
      <c r="T87" s="94">
        <f>OFS_SalesOverview_InTax[[#This Row],[MD NET]]/OFS_SalesOverview_InTax[[#This Row],[NET]]</f>
        <v>1</v>
      </c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28" t="str">
        <f>_xlfn.XLOOKUP(OFS_SalesOverview_InTax[[#This Row],[DATE]],全店核心数据_bymonth[开始日期],全店核心数据_bymonth[jda日历.PayYear],"")</f>
        <v/>
      </c>
      <c r="AO87" s="428" t="str">
        <f>OFS_SalesOverview_InTax[[#This Row],[DATE]]</f>
        <v>MTD-TY FF</v>
      </c>
      <c r="AP87" s="436">
        <f>OFS_SalesOverview_InTax[[#This Row],[GMV]]/$F$1</f>
        <v>8511.5044247787628</v>
      </c>
      <c r="AQ87" s="436">
        <f>OFS_SalesOverview_ExclTax[[#This Row],[GMV]]-OFS_SalesOverview_ExclTax[[#This Row],[RR]]</f>
        <v>8511.5044247787628</v>
      </c>
      <c r="AR87" s="431">
        <f>OFS_SalesOverview_InTax[[#This Row],[UV]]</f>
        <v>2</v>
      </c>
      <c r="AS87" s="431">
        <f>OFS_SalesOverview_InTax[[#This Row],[Buyers]]</f>
        <v>2</v>
      </c>
      <c r="AT87" s="431">
        <f>OFS_SalesOverview_InTax[[#This Row],[Units]]</f>
        <v>5</v>
      </c>
      <c r="AU87" s="92">
        <f>OFS_SalesOverview_ExclTax[[#This Row],[Buyers]]/OFS_SalesOverview_ExclTax[[#This Row],[UV]]</f>
        <v>1</v>
      </c>
      <c r="AV87" s="431">
        <f>OFS_SalesOverview_ExclTax[[#This Row],[GMV]]/OFS_SalesOverview_ExclTax[[#This Row],[Buyers]]</f>
        <v>4255.7522123893814</v>
      </c>
      <c r="AW87" s="431">
        <f>OFS_SalesOverview_ExclTax[[#This Row],[GMV]]/OFS_SalesOverview_ExclTax[[#This Row],[Units]]</f>
        <v>1702.3008849557525</v>
      </c>
      <c r="AX87" s="432">
        <f>OFS_SalesOverview_ExclTax[[#This Row],[Units]]/OFS_SalesOverview_ExclTax[[#This Row],[Buyers]]</f>
        <v>2.5</v>
      </c>
      <c r="AY87" s="93">
        <f>OFS_SalesOverview_ExclTax[[#This Row],[RR]]/OFS_SalesOverview_ExclTax[[#This Row],[GMV]]</f>
        <v>0</v>
      </c>
      <c r="AZ87" s="436">
        <f>OFS_SalesOverview_InTax[[#This Row],[RR]]/$F$1</f>
        <v>0</v>
      </c>
      <c r="BA87" s="436">
        <f>OFS_SalesOverview_InTax[[#This Row],[MD GMV]]/$F$1</f>
        <v>8511.5044247787628</v>
      </c>
      <c r="BB87" s="94">
        <f>OFS_SalesOverview_ExclTax[[#This Row],[MD GMV]]/OFS_SalesOverview_ExclTax[[#This Row],[GMV]]</f>
        <v>1</v>
      </c>
      <c r="BC87" s="28" t="str">
        <f>_xlfn.XLOOKUP(OFS_SalesOverview_ExclTax[[#This Row],[DATE]],全店核心数据_bymonth[开始日期],全店核心数据_bymonth[jda日历.PayYear],"")</f>
        <v/>
      </c>
      <c r="BM87" s="53"/>
      <c r="BO87" s="28"/>
    </row>
    <row r="88" spans="4:82" ht="14.5" customHeight="1" x14ac:dyDescent="0.3">
      <c r="E88" s="428" t="s">
        <v>700</v>
      </c>
      <c r="F88" s="431">
        <f>SUMIFS([44]!dtc_订单源[成交总金额],[44]!dtc_订单源[最后付款时间],"&gt;="&amp;EDATE($K$1,-12),[44]!dtc_订单源[最后付款时间],"&lt;"&amp;EDATE(EOMONTH($K$1,0)+1,-12),[44]!dtc_订单源[店铺名称],"*官方商城*",[44]!dtc_订单源[ff_flag],1)</f>
        <v>0</v>
      </c>
      <c r="G88" s="431">
        <f>OFS_SalesOverview_InTax[[#This Row],[GMV]]-OFS_SalesOverview_InTax[[#This Row],[RR]]</f>
        <v>0</v>
      </c>
      <c r="H88" s="431">
        <v>0</v>
      </c>
      <c r="I88" s="435" cm="1">
        <f t="array" ref="I88">COUNT(LEN(_xlfn.UNIQUE(_xlfn._xlws.FILTER([44]!dtc_订单源[买家昵称],([44]!dtc_订单源[最后付款时间]&gt;=EDATE($K$1,-12))*([44]!dtc_订单源[最后付款时间]&lt;EDATE(EOMONTH($K$1,0)+1,-12))*([44]!dtc_订单源[店铺名称]="Dunhill官方商城店")*([44]!dtc_订单源[ff_flag]=1)))))</f>
        <v>0</v>
      </c>
      <c r="J88" s="431">
        <f>SUMIFS([44]!dtc_订单源[件数],[44]!dtc_订单源[最后付款时间],"&gt;="&amp;EDATE($K$1,-12),[44]!dtc_订单源[最后付款时间],"&lt;"&amp;EDATE(EOMONTH($K$1,0)+1,-12),[44]!dtc_订单源[店铺名称],"*官方商城*",[44]!dtc_订单源[ff_flag],1)</f>
        <v>0</v>
      </c>
      <c r="K88" s="92" t="e">
        <f>OFS_SalesOverview_InTax[[#This Row],[Buyers]]/OFS_SalesOverview_InTax[[#This Row],[UV]]</f>
        <v>#DIV/0!</v>
      </c>
      <c r="L88" s="431" t="e">
        <f>OFS_SalesOverview_InTax[[#This Row],[GMV]]/OFS_SalesOverview_InTax[[#This Row],[Buyers]]</f>
        <v>#DIV/0!</v>
      </c>
      <c r="M88" s="431" t="e">
        <f>OFS_SalesOverview_InTax[[#This Row],[GMV]]/OFS_SalesOverview_InTax[[#This Row],[Units]]</f>
        <v>#DIV/0!</v>
      </c>
      <c r="N88" s="432" t="e">
        <f>OFS_SalesOverview_InTax[[#This Row],[Units]]/OFS_SalesOverview_InTax[[#This Row],[Buyers]]</f>
        <v>#DIV/0!</v>
      </c>
      <c r="O88" s="93" t="e">
        <f>OFS_SalesOverview_InTax[[#This Row],[RR]]/OFS_SalesOverview_InTax[[#This Row],[GMV]]</f>
        <v>#DIV/0!</v>
      </c>
      <c r="P88" s="431">
        <f>SUMIFS([44]!dtc_订单源[退款金额],[44]!dtc_订单源[最后付款时间],"&gt;="&amp;EDATE($K$1,-12),[44]!dtc_订单源[最后付款时间],"&lt;"&amp;EDATE(EOMONTH($K$1,0)+1,-12),[44]!dtc_订单源[店铺名称],"*官方商城*",[44]!dtc_订单源[ff_flag],1)</f>
        <v>0</v>
      </c>
      <c r="Q88" s="431">
        <f>SUMIFS([44]!dtc_订单源[成交总金额],[44]!dtc_订单源[最后付款时间],"&gt;="&amp;EDATE($K$1,-12),[44]!dtc_订单源[最后付款时间],"&lt;"&amp;EDATE(EOMONTH($K$1,0)+1,-12),[44]!dtc_订单源[店铺名称],"*官方商城*",[44]!dtc_订单源[ff_flag],1,[44]!dtc_订单源[FP_MD],"MD")</f>
        <v>0</v>
      </c>
      <c r="R88" s="94" t="e">
        <f>OFS_SalesOverview_InTax[[#This Row],[MD GMV]]/OFS_SalesOverview_InTax[[#This Row],[GMV]]</f>
        <v>#DIV/0!</v>
      </c>
      <c r="S88" s="431">
        <f>SUMIFS([44]!dtc_订单源[成交总金额],[44]!dtc_订单源[最后付款时间],"&gt;="&amp;EDATE($K$1,-12),[44]!dtc_订单源[最后付款时间],"&lt;"&amp;EDATE(EOMONTH($K$1,0)+1,-12),[44]!dtc_订单源[店铺名称],"*官方商城*",[44]!dtc_订单源[ff_flag],1,[44]!dtc_订单源[FP_MD],"MD")-SUMIFS([44]!dtc_订单源[退款金额],[44]!dtc_订单源[最后付款时间],"&gt;="&amp;EDATE(EOMONTH($K$1,0)+1,-12),[44]!dtc_订单源[最后付款时间],"&lt;"&amp;EDATE(EOMONTH($K$1,0)+1,-12),[44]!dtc_订单源[店铺名称],"*官方商城*",[44]!dtc_订单源[ff_flag],1,[44]!dtc_订单源[FP_MD],"MD")</f>
        <v>0</v>
      </c>
      <c r="T88" s="94" t="e">
        <f>OFS_SalesOverview_InTax[[#This Row],[MD NET]]/OFS_SalesOverview_InTax[[#This Row],[NET]]</f>
        <v>#DIV/0!</v>
      </c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28" t="str">
        <f>_xlfn.XLOOKUP(OFS_SalesOverview_InTax[[#This Row],[DATE]],全店核心数据_bymonth[开始日期],全店核心数据_bymonth[jda日历.PayYear],"")</f>
        <v/>
      </c>
      <c r="AM88" s="424"/>
      <c r="AN88" s="424"/>
      <c r="AO88" s="428" t="str">
        <f>OFS_SalesOverview_InTax[[#This Row],[DATE]]</f>
        <v>MTD-LY FF</v>
      </c>
      <c r="AP88" s="436">
        <f>OFS_SalesOverview_InTax[[#This Row],[GMV]]/$F$1</f>
        <v>0</v>
      </c>
      <c r="AQ88" s="436">
        <f>OFS_SalesOverview_ExclTax[[#This Row],[GMV]]-OFS_SalesOverview_ExclTax[[#This Row],[RR]]</f>
        <v>0</v>
      </c>
      <c r="AR88" s="431">
        <f>OFS_SalesOverview_InTax[[#This Row],[UV]]</f>
        <v>0</v>
      </c>
      <c r="AS88" s="431">
        <f>OFS_SalesOverview_InTax[[#This Row],[Buyers]]</f>
        <v>0</v>
      </c>
      <c r="AT88" s="431">
        <f>OFS_SalesOverview_InTax[[#This Row],[Units]]</f>
        <v>0</v>
      </c>
      <c r="AU88" s="92" t="e">
        <f>OFS_SalesOverview_ExclTax[[#This Row],[Buyers]]/OFS_SalesOverview_ExclTax[[#This Row],[UV]]</f>
        <v>#DIV/0!</v>
      </c>
      <c r="AV88" s="431" t="e">
        <f>OFS_SalesOverview_ExclTax[[#This Row],[GMV]]/OFS_SalesOverview_ExclTax[[#This Row],[Buyers]]</f>
        <v>#DIV/0!</v>
      </c>
      <c r="AW88" s="431" t="e">
        <f>OFS_SalesOverview_ExclTax[[#This Row],[GMV]]/OFS_SalesOverview_ExclTax[[#This Row],[Units]]</f>
        <v>#DIV/0!</v>
      </c>
      <c r="AX88" s="432" t="e">
        <f>OFS_SalesOverview_ExclTax[[#This Row],[Units]]/OFS_SalesOverview_ExclTax[[#This Row],[Buyers]]</f>
        <v>#DIV/0!</v>
      </c>
      <c r="AY88" s="93" t="e">
        <f>OFS_SalesOverview_ExclTax[[#This Row],[RR]]/OFS_SalesOverview_ExclTax[[#This Row],[GMV]]</f>
        <v>#DIV/0!</v>
      </c>
      <c r="AZ88" s="436">
        <f>OFS_SalesOverview_InTax[[#This Row],[RR]]/$F$1</f>
        <v>0</v>
      </c>
      <c r="BA88" s="436">
        <f>OFS_SalesOverview_InTax[[#This Row],[MD GMV]]/$F$1</f>
        <v>0</v>
      </c>
      <c r="BB88" s="94" t="e">
        <f>OFS_SalesOverview_ExclTax[[#This Row],[MD GMV]]/OFS_SalesOverview_ExclTax[[#This Row],[GMV]]</f>
        <v>#DIV/0!</v>
      </c>
      <c r="BC88" s="28" t="str">
        <f>_xlfn.XLOOKUP(OFS_SalesOverview_ExclTax[[#This Row],[DATE]],全店核心数据_bymonth[开始日期],全店核心数据_bymonth[jda日历.PayYear],"")</f>
        <v/>
      </c>
      <c r="BO88" s="28"/>
      <c r="CD88" s="53"/>
    </row>
    <row r="89" spans="4:82" ht="14.5" customHeight="1" x14ac:dyDescent="0.3">
      <c r="E89" s="428" t="s">
        <v>410</v>
      </c>
      <c r="F89" s="431">
        <f>SUMIFS(OFS_SalesOverview_InTax[GMV],OFS_SalesOverview_InTax[DATE],$K$1)-F85-F87</f>
        <v>42585</v>
      </c>
      <c r="G89" s="431">
        <f>OFS_SalesOverview_InTax[[#This Row],[GMV]]-OFS_SalesOverview_InTax[[#This Row],[RR]]</f>
        <v>42585</v>
      </c>
      <c r="H89" s="431">
        <f>SUMIFS(OFS_SalesOverview_InTax[UV],OFS_SalesOverview_InTax[DATE],$K$1)-H85-H87</f>
        <v>9754</v>
      </c>
      <c r="I89" s="431">
        <f>SUMIFS(OFS_SalesOverview_InTax[Buyers],OFS_SalesOverview_InTax[DATE],$K$1)-I85-I87</f>
        <v>5</v>
      </c>
      <c r="J89" s="431">
        <f>SUMIFS(OFS_SalesOverview_InTax[Units],OFS_SalesOverview_InTax[DATE],$K$1)-J85-J87</f>
        <v>7</v>
      </c>
      <c r="K89" s="92">
        <f>OFS_SalesOverview_InTax[[#This Row],[Buyers]]/OFS_SalesOverview_InTax[[#This Row],[UV]]</f>
        <v>5.1261021119540701E-4</v>
      </c>
      <c r="L89" s="431">
        <f>OFS_SalesOverview_InTax[[#This Row],[GMV]]/OFS_SalesOverview_InTax[[#This Row],[Buyers]]</f>
        <v>8517</v>
      </c>
      <c r="M89" s="431">
        <f>OFS_SalesOverview_InTax[[#This Row],[GMV]]/OFS_SalesOverview_InTax[[#This Row],[Units]]</f>
        <v>6083.5714285714284</v>
      </c>
      <c r="N89" s="432">
        <f>OFS_SalesOverview_InTax[[#This Row],[Units]]/OFS_SalesOverview_InTax[[#This Row],[Buyers]]</f>
        <v>1.4</v>
      </c>
      <c r="O89" s="93">
        <f>OFS_SalesOverview_InTax[[#This Row],[RR]]/OFS_SalesOverview_InTax[[#This Row],[GMV]]</f>
        <v>0</v>
      </c>
      <c r="P89" s="431">
        <f>SUMIFS(OFS_SalesOverview_InTax[RR],OFS_SalesOverview_InTax[DATE],$K$1)-P85-P87</f>
        <v>0</v>
      </c>
      <c r="Q89" s="431">
        <f>SUMIFS(OFS_SalesOverview_InTax[MD GMV],OFS_SalesOverview_InTax[DATE],$K$1)-Q85-Q87</f>
        <v>0</v>
      </c>
      <c r="R89" s="94">
        <f>OFS_SalesOverview_InTax[[#This Row],[MD GMV]]/OFS_SalesOverview_InTax[[#This Row],[GMV]]</f>
        <v>0</v>
      </c>
      <c r="S89" s="431">
        <f>SUMIFS(OFS_SalesOverview_InTax[MD NET],OFS_SalesOverview_InTax[DATE],$K$1)-S85-S87</f>
        <v>0</v>
      </c>
      <c r="T89" s="94">
        <f>OFS_SalesOverview_InTax[[#This Row],[MD NET]]/OFS_SalesOverview_InTax[[#This Row],[NET]]</f>
        <v>0</v>
      </c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28" t="str">
        <f>_xlfn.XLOOKUP(OFS_SalesOverview_InTax[[#This Row],[DATE]],全店核心数据_bymonth[开始日期],全店核心数据_bymonth[jda日历.PayYear],"")</f>
        <v/>
      </c>
      <c r="AO89" s="428" t="str">
        <f>OFS_SalesOverview_InTax[[#This Row],[DATE]]</f>
        <v>MTD-TY Organic</v>
      </c>
      <c r="AP89" s="436">
        <f>OFS_SalesOverview_InTax[[#This Row],[GMV]]/$F$1</f>
        <v>37685.840707964606</v>
      </c>
      <c r="AQ89" s="436">
        <f>OFS_SalesOverview_ExclTax[[#This Row],[GMV]]-OFS_SalesOverview_ExclTax[[#This Row],[RR]]</f>
        <v>37685.840707964606</v>
      </c>
      <c r="AR89" s="431">
        <f>OFS_SalesOverview_InTax[[#This Row],[UV]]</f>
        <v>9754</v>
      </c>
      <c r="AS89" s="431">
        <f>OFS_SalesOverview_InTax[[#This Row],[Buyers]]</f>
        <v>5</v>
      </c>
      <c r="AT89" s="431">
        <f>OFS_SalesOverview_InTax[[#This Row],[Units]]</f>
        <v>7</v>
      </c>
      <c r="AU89" s="92">
        <f>OFS_SalesOverview_ExclTax[[#This Row],[Buyers]]/OFS_SalesOverview_ExclTax[[#This Row],[UV]]</f>
        <v>5.1261021119540701E-4</v>
      </c>
      <c r="AV89" s="431">
        <f>OFS_SalesOverview_ExclTax[[#This Row],[GMV]]/OFS_SalesOverview_ExclTax[[#This Row],[Buyers]]</f>
        <v>7537.1681415929215</v>
      </c>
      <c r="AW89" s="431">
        <f>OFS_SalesOverview_ExclTax[[#This Row],[GMV]]/OFS_SalesOverview_ExclTax[[#This Row],[Units]]</f>
        <v>5383.6915297092291</v>
      </c>
      <c r="AX89" s="432">
        <f>OFS_SalesOverview_ExclTax[[#This Row],[Units]]/OFS_SalesOverview_ExclTax[[#This Row],[Buyers]]</f>
        <v>1.4</v>
      </c>
      <c r="AY89" s="93">
        <f>OFS_SalesOverview_ExclTax[[#This Row],[RR]]/OFS_SalesOverview_ExclTax[[#This Row],[GMV]]</f>
        <v>0</v>
      </c>
      <c r="AZ89" s="436">
        <f>OFS_SalesOverview_InTax[[#This Row],[RR]]/$F$1</f>
        <v>0</v>
      </c>
      <c r="BA89" s="436">
        <f>OFS_SalesOverview_InTax[[#This Row],[MD GMV]]/$F$1</f>
        <v>0</v>
      </c>
      <c r="BB89" s="94">
        <f>OFS_SalesOverview_ExclTax[[#This Row],[MD GMV]]/OFS_SalesOverview_ExclTax[[#This Row],[GMV]]</f>
        <v>0</v>
      </c>
      <c r="BC89" s="28" t="str">
        <f>_xlfn.XLOOKUP(OFS_SalesOverview_ExclTax[[#This Row],[DATE]],全店核心数据_bymonth[开始日期],全店核心数据_bymonth[jda日历.PayYear],"")</f>
        <v/>
      </c>
      <c r="BO89" s="28"/>
      <c r="CD89" s="53"/>
    </row>
    <row r="90" spans="4:82" ht="14.5" customHeight="1" x14ac:dyDescent="0.3">
      <c r="E90" s="428" t="s">
        <v>411</v>
      </c>
      <c r="F90" s="431">
        <f>SUMIFS(OFS_SalesOverview_InTax[GMV],OFS_SalesOverview_InTax[DATE],EDATE($K$1,-12))-F86-F88</f>
        <v>85920</v>
      </c>
      <c r="G90" s="431">
        <f>OFS_SalesOverview_InTax[[#This Row],[GMV]]-OFS_SalesOverview_InTax[[#This Row],[RR]]</f>
        <v>61800</v>
      </c>
      <c r="H90" s="431">
        <f>SUMIFS(OFS_SalesOverview_InTax[UV],OFS_SalesOverview_InTax[DATE],EDATE($K$1,-12))-H86-H88</f>
        <v>6521</v>
      </c>
      <c r="I90" s="431">
        <f>SUMIFS(OFS_SalesOverview_InTax[Buyers],OFS_SalesOverview_InTax[DATE],EDATE($K$1,-12))-I86-I88</f>
        <v>7</v>
      </c>
      <c r="J90" s="431">
        <f>SUMIFS(OFS_SalesOverview_InTax[Units],OFS_SalesOverview_InTax[DATE],EDATE($K$1,-12))-J86-J88</f>
        <v>11</v>
      </c>
      <c r="K90" s="92">
        <f>OFS_SalesOverview_InTax[[#This Row],[Buyers]]/OFS_SalesOverview_InTax[[#This Row],[UV]]</f>
        <v>1.0734549915657108E-3</v>
      </c>
      <c r="L90" s="431">
        <f>OFS_SalesOverview_InTax[[#This Row],[GMV]]/OFS_SalesOverview_InTax[[#This Row],[Buyers]]</f>
        <v>12274.285714285714</v>
      </c>
      <c r="M90" s="431">
        <f>OFS_SalesOverview_InTax[[#This Row],[GMV]]/OFS_SalesOverview_InTax[[#This Row],[Units]]</f>
        <v>7810.909090909091</v>
      </c>
      <c r="N90" s="432">
        <f>OFS_SalesOverview_InTax[[#This Row],[Units]]/OFS_SalesOverview_InTax[[#This Row],[Buyers]]</f>
        <v>1.5714285714285714</v>
      </c>
      <c r="O90" s="93">
        <f>OFS_SalesOverview_InTax[[#This Row],[RR]]/OFS_SalesOverview_InTax[[#This Row],[GMV]]</f>
        <v>0.28072625698324022</v>
      </c>
      <c r="P90" s="431">
        <f>SUMIFS(OFS_SalesOverview_InTax[RR],OFS_SalesOverview_InTax[DATE],EDATE($K$1,-12))-P86-P88</f>
        <v>24120</v>
      </c>
      <c r="Q90" s="431">
        <f>SUMIFS(OFS_SalesOverview_InTax[MD GMV],OFS_SalesOverview_InTax[DATE],EDATE($K$1,-12))-Q86-Q88</f>
        <v>29595</v>
      </c>
      <c r="R90" s="94">
        <f>OFS_SalesOverview_InTax[[#This Row],[MD GMV]]/OFS_SalesOverview_InTax[[#This Row],[GMV]]</f>
        <v>0.34444832402234637</v>
      </c>
      <c r="S90" s="431">
        <f>SUMIFS(OFS_SalesOverview_InTax[MD NET],OFS_SalesOverview_InTax[DATE],EDATE($K$1,-12))-S86-S88</f>
        <v>5475</v>
      </c>
      <c r="T90" s="94">
        <f>OFS_SalesOverview_InTax[[#This Row],[MD NET]]/OFS_SalesOverview_InTax[[#This Row],[NET]]</f>
        <v>8.859223300970874E-2</v>
      </c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28" t="str">
        <f>_xlfn.XLOOKUP(OFS_SalesOverview_InTax[[#This Row],[DATE]],全店核心数据_bymonth[开始日期],全店核心数据_bymonth[jda日历.PayYear],"")</f>
        <v/>
      </c>
      <c r="AO90" s="428" t="str">
        <f>OFS_SalesOverview_InTax[[#This Row],[DATE]]</f>
        <v>MTD-LY Organic</v>
      </c>
      <c r="AP90" s="436">
        <f>OFS_SalesOverview_InTax[[#This Row],[GMV]]/$F$1</f>
        <v>76035.398230088496</v>
      </c>
      <c r="AQ90" s="436">
        <f>OFS_SalesOverview_ExclTax[[#This Row],[GMV]]-OFS_SalesOverview_ExclTax[[#This Row],[RR]]</f>
        <v>54690.265486725664</v>
      </c>
      <c r="AR90" s="431">
        <f>OFS_SalesOverview_InTax[[#This Row],[UV]]</f>
        <v>6521</v>
      </c>
      <c r="AS90" s="431">
        <f>OFS_SalesOverview_InTax[[#This Row],[Buyers]]</f>
        <v>7</v>
      </c>
      <c r="AT90" s="431">
        <f>OFS_SalesOverview_InTax[[#This Row],[Units]]</f>
        <v>11</v>
      </c>
      <c r="AU90" s="92">
        <f>OFS_SalesOverview_ExclTax[[#This Row],[Buyers]]/OFS_SalesOverview_ExclTax[[#This Row],[UV]]</f>
        <v>1.0734549915657108E-3</v>
      </c>
      <c r="AV90" s="431">
        <f>OFS_SalesOverview_ExclTax[[#This Row],[GMV]]/OFS_SalesOverview_ExclTax[[#This Row],[Buyers]]</f>
        <v>10862.199747155499</v>
      </c>
      <c r="AW90" s="431">
        <f>OFS_SalesOverview_ExclTax[[#This Row],[GMV]]/OFS_SalesOverview_ExclTax[[#This Row],[Units]]</f>
        <v>6912.3089300080455</v>
      </c>
      <c r="AX90" s="432">
        <f>OFS_SalesOverview_ExclTax[[#This Row],[Units]]/OFS_SalesOverview_ExclTax[[#This Row],[Buyers]]</f>
        <v>1.5714285714285714</v>
      </c>
      <c r="AY90" s="93">
        <f>OFS_SalesOverview_ExclTax[[#This Row],[RR]]/OFS_SalesOverview_ExclTax[[#This Row],[GMV]]</f>
        <v>0.28072625698324022</v>
      </c>
      <c r="AZ90" s="436">
        <f>OFS_SalesOverview_InTax[[#This Row],[RR]]/$F$1</f>
        <v>21345.132743362832</v>
      </c>
      <c r="BA90" s="436">
        <f>OFS_SalesOverview_InTax[[#This Row],[MD GMV]]/$F$1</f>
        <v>26190.265486725668</v>
      </c>
      <c r="BB90" s="94">
        <f>OFS_SalesOverview_ExclTax[[#This Row],[MD GMV]]/OFS_SalesOverview_ExclTax[[#This Row],[GMV]]</f>
        <v>0.34444832402234643</v>
      </c>
      <c r="BC90" s="28" t="str">
        <f>_xlfn.XLOOKUP(OFS_SalesOverview_ExclTax[[#This Row],[DATE]],全店核心数据_bymonth[开始日期],全店核心数据_bymonth[jda日历.PayYear],"")</f>
        <v/>
      </c>
      <c r="BO90" s="28"/>
      <c r="CD90" s="53"/>
    </row>
    <row r="91" spans="4:82" ht="14.5" customHeight="1" x14ac:dyDescent="0.3">
      <c r="E91" s="425" t="s">
        <v>389</v>
      </c>
      <c r="F91" s="256">
        <f>F89/F90-1</f>
        <v>-0.50436452513966479</v>
      </c>
      <c r="G91" s="256">
        <f t="shared" ref="G91:N91" si="8">G89/G90-1</f>
        <v>-0.31092233009708736</v>
      </c>
      <c r="H91" s="256">
        <f t="shared" si="8"/>
        <v>0.49578285539027767</v>
      </c>
      <c r="I91" s="256">
        <f t="shared" si="8"/>
        <v>-0.2857142857142857</v>
      </c>
      <c r="J91" s="256">
        <f t="shared" si="8"/>
        <v>-0.36363636363636365</v>
      </c>
      <c r="K91" s="256">
        <f t="shared" si="8"/>
        <v>-0.52246697325639291</v>
      </c>
      <c r="L91" s="256">
        <f t="shared" si="8"/>
        <v>-0.30611033519553066</v>
      </c>
      <c r="M91" s="256">
        <f t="shared" si="8"/>
        <v>-0.22114425379090186</v>
      </c>
      <c r="N91" s="256">
        <f t="shared" si="8"/>
        <v>-0.10909090909090913</v>
      </c>
      <c r="O91" s="255">
        <f>O89-O90</f>
        <v>-0.28072625698324022</v>
      </c>
      <c r="P91" s="256">
        <f t="shared" ref="P91" si="9">P89/P90-1</f>
        <v>-1</v>
      </c>
      <c r="Q91" s="256">
        <f t="shared" ref="Q91:S91" si="10">Q89/Q90-1</f>
        <v>-1</v>
      </c>
      <c r="R91" s="255">
        <f>R89-R90</f>
        <v>-0.34444832402234637</v>
      </c>
      <c r="S91" s="256">
        <f t="shared" si="10"/>
        <v>-1</v>
      </c>
      <c r="T91" s="255">
        <f>T89-T90</f>
        <v>-8.859223300970874E-2</v>
      </c>
      <c r="U91" s="255"/>
      <c r="V91" s="255"/>
      <c r="W91" s="255"/>
      <c r="X91" s="255"/>
      <c r="Y91" s="255"/>
      <c r="Z91" s="255"/>
      <c r="AA91" s="255"/>
      <c r="AB91" s="255"/>
      <c r="AC91" s="255"/>
      <c r="AD91" s="255"/>
      <c r="AE91" s="255"/>
      <c r="AF91" s="255"/>
      <c r="AG91" s="255"/>
      <c r="AH91" s="255"/>
      <c r="AI91" s="255"/>
      <c r="AJ91" s="255"/>
      <c r="AK91" s="255"/>
      <c r="AL91" s="28" t="str">
        <f>_xlfn.XLOOKUP(OFS_SalesOverview_InTax[[#This Row],[DATE]],全店核心数据_bymonth[开始日期],全店核心数据_bymonth[jda日历.PayYear],"")</f>
        <v/>
      </c>
      <c r="AO91" s="428" t="str">
        <f>OFS_SalesOverview_InTax[[#This Row],[DATE]]</f>
        <v>MTD YOY Organic</v>
      </c>
      <c r="AP91" s="256">
        <f>OFS_SalesOverview_InTax[[#This Row],[GMV]]</f>
        <v>-0.50436452513966479</v>
      </c>
      <c r="AQ91" s="256">
        <f>OFS_SalesOverview_InTax[[#This Row],[NET]]</f>
        <v>-0.31092233009708736</v>
      </c>
      <c r="AR91" s="256">
        <f>OFS_SalesOverview_InTax[[#This Row],[UV]]</f>
        <v>0.49578285539027767</v>
      </c>
      <c r="AS91" s="256">
        <f>OFS_SalesOverview_InTax[[#This Row],[Buyers]]</f>
        <v>-0.2857142857142857</v>
      </c>
      <c r="AT91" s="256">
        <f>OFS_SalesOverview_InTax[[#This Row],[Units]]</f>
        <v>-0.36363636363636365</v>
      </c>
      <c r="AU91" s="256">
        <f>OFS_SalesOverview_InTax[[#This Row],[CR]]</f>
        <v>-0.52246697325639291</v>
      </c>
      <c r="AV91" s="256">
        <f>OFS_SalesOverview_InTax[[#This Row],[ATV]]</f>
        <v>-0.30611033519553066</v>
      </c>
      <c r="AW91" s="256">
        <f>OFS_SalesOverview_InTax[[#This Row],[AUR]]</f>
        <v>-0.22114425379090186</v>
      </c>
      <c r="AX91" s="256">
        <f>OFS_SalesOverview_InTax[[#This Row],[UPT]]</f>
        <v>-0.10909090909090913</v>
      </c>
      <c r="AY91" s="255">
        <f>OFS_SalesOverview_InTax[[#This Row],[RRC]]</f>
        <v>-0.28072625698324022</v>
      </c>
      <c r="AZ91" s="222">
        <f>OFS_SalesOverview_InTax[[#This Row],[RR]]</f>
        <v>-1</v>
      </c>
      <c r="BA91" s="222">
        <f>OFS_SalesOverview_InTax[[#This Row],[MD GMV]]</f>
        <v>-1</v>
      </c>
      <c r="BB91" s="255">
        <f>OFS_SalesOverview_InTax[[#This Row],[MD GMV %]]</f>
        <v>-0.34444832402234637</v>
      </c>
      <c r="BC91" s="28" t="str">
        <f>_xlfn.XLOOKUP(OFS_SalesOverview_ExclTax[[#This Row],[DATE]],全店核心数据_bymonth[开始日期],全店核心数据_bymonth[jda日历.PayYear],"")</f>
        <v/>
      </c>
      <c r="BO91" s="28"/>
      <c r="CD91" s="53"/>
    </row>
    <row r="92" spans="4:82" ht="14.5" customHeight="1" x14ac:dyDescent="0.3">
      <c r="D92" s="443"/>
      <c r="E92" s="428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M92" s="53"/>
      <c r="AN92" s="53"/>
      <c r="BO92" s="28"/>
      <c r="CD92" s="53"/>
    </row>
    <row r="93" spans="4:82" ht="14.5" customHeight="1" x14ac:dyDescent="0.3">
      <c r="E93" s="428"/>
      <c r="F93" s="515"/>
      <c r="G93" s="515"/>
      <c r="H93" s="515"/>
      <c r="I93" s="515"/>
      <c r="J93" s="515"/>
      <c r="K93" s="442"/>
      <c r="L93" s="443"/>
      <c r="M93" s="443"/>
      <c r="N93" s="444"/>
      <c r="O93" s="445"/>
      <c r="P93" s="440"/>
      <c r="Q93" s="440"/>
      <c r="R93" s="106"/>
      <c r="S93" s="440"/>
      <c r="T93" s="106"/>
      <c r="X93" s="106"/>
      <c r="Y93" s="445"/>
      <c r="Z93" s="445"/>
      <c r="AM93" s="53"/>
      <c r="AN93" s="53"/>
      <c r="AP93" s="515"/>
      <c r="AQ93" s="515"/>
      <c r="AR93" s="440"/>
      <c r="AS93" s="515"/>
      <c r="AT93" s="441"/>
      <c r="AU93" s="442"/>
      <c r="AV93" s="443"/>
      <c r="AW93" s="443"/>
      <c r="AX93" s="444"/>
      <c r="AY93" s="445"/>
      <c r="AZ93" s="440"/>
      <c r="BA93" s="440"/>
      <c r="BB93" s="106"/>
      <c r="BO93" s="28"/>
      <c r="CD93" s="53"/>
    </row>
    <row r="94" spans="4:82" ht="14.5" customHeight="1" x14ac:dyDescent="0.3">
      <c r="E94" s="425"/>
      <c r="F94" s="515"/>
      <c r="G94" s="515"/>
      <c r="H94" s="515"/>
      <c r="I94" s="515"/>
      <c r="J94" s="515"/>
      <c r="K94" s="442"/>
      <c r="L94" s="443"/>
      <c r="M94" s="443"/>
      <c r="N94" s="444"/>
      <c r="O94" s="445"/>
      <c r="P94" s="440"/>
      <c r="Q94" s="440"/>
      <c r="R94" s="106"/>
      <c r="S94" s="440"/>
      <c r="T94" s="106"/>
      <c r="X94" s="106"/>
      <c r="Y94" s="445"/>
      <c r="Z94" s="445"/>
      <c r="AM94" s="53"/>
      <c r="AN94" s="53"/>
      <c r="AP94" s="515"/>
      <c r="AQ94" s="515"/>
      <c r="AR94" s="440"/>
      <c r="AS94" s="515"/>
      <c r="AT94" s="441"/>
      <c r="AU94" s="442"/>
      <c r="AV94" s="443"/>
      <c r="AW94" s="443"/>
      <c r="AX94" s="444"/>
      <c r="AY94" s="445"/>
      <c r="AZ94" s="440"/>
      <c r="BA94" s="440"/>
      <c r="BB94" s="106"/>
      <c r="BO94" s="28"/>
      <c r="CD94" s="53"/>
    </row>
    <row r="95" spans="4:82" ht="14.5" customHeight="1" x14ac:dyDescent="0.3">
      <c r="E95" s="425"/>
      <c r="F95" s="445"/>
      <c r="G95" s="445"/>
      <c r="H95" s="445"/>
      <c r="I95" s="445"/>
      <c r="J95" s="445"/>
      <c r="K95" s="445"/>
      <c r="L95" s="445"/>
      <c r="M95" s="445"/>
      <c r="N95" s="445"/>
      <c r="O95" s="445"/>
      <c r="P95" s="445"/>
      <c r="Q95" s="445"/>
      <c r="R95" s="217"/>
      <c r="S95" s="445"/>
      <c r="T95" s="217"/>
      <c r="AM95" s="53"/>
      <c r="AN95" s="53"/>
      <c r="AP95" s="445"/>
      <c r="AQ95" s="445"/>
      <c r="AR95" s="445"/>
      <c r="AS95" s="445"/>
      <c r="AT95" s="445"/>
      <c r="AU95" s="445"/>
      <c r="AV95" s="445"/>
      <c r="AW95" s="445"/>
      <c r="AX95" s="445"/>
      <c r="AY95" s="445"/>
      <c r="AZ95" s="445"/>
      <c r="BA95" s="445"/>
      <c r="BO95" s="28"/>
      <c r="CD95" s="53"/>
    </row>
    <row r="96" spans="4:82" ht="14.5" customHeight="1" x14ac:dyDescent="0.3">
      <c r="E96" s="425"/>
      <c r="F96" s="445"/>
      <c r="G96" s="445"/>
      <c r="H96" s="445"/>
      <c r="I96" s="445"/>
      <c r="J96" s="445"/>
      <c r="K96" s="216"/>
      <c r="L96" s="426"/>
      <c r="M96" s="426"/>
      <c r="N96" s="427"/>
      <c r="O96" s="163"/>
      <c r="P96" s="426"/>
      <c r="Q96" s="426"/>
      <c r="R96" s="217"/>
      <c r="AM96" s="53"/>
      <c r="AN96" s="53"/>
      <c r="BO96" s="28"/>
      <c r="CD96" s="53"/>
    </row>
    <row r="97" spans="5:82" ht="14.5" customHeight="1" x14ac:dyDescent="0.3">
      <c r="E97" s="100" t="s">
        <v>335</v>
      </c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X97" s="100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M97" s="53"/>
      <c r="AN97" s="53"/>
      <c r="AO97" s="100" t="s">
        <v>336</v>
      </c>
      <c r="BO97" s="28"/>
      <c r="CD97" s="53"/>
    </row>
    <row r="98" spans="5:82" ht="14.5" customHeight="1" thickBot="1" x14ac:dyDescent="0.35">
      <c r="E98" s="419" t="s">
        <v>266</v>
      </c>
      <c r="F98" s="419" t="s">
        <v>326</v>
      </c>
      <c r="G98" s="420" t="s">
        <v>327</v>
      </c>
      <c r="H98" s="420" t="s">
        <v>328</v>
      </c>
      <c r="I98" s="420" t="s">
        <v>212</v>
      </c>
      <c r="J98" s="420" t="s">
        <v>213</v>
      </c>
      <c r="K98" s="420" t="s">
        <v>214</v>
      </c>
      <c r="L98" s="420" t="s">
        <v>215</v>
      </c>
      <c r="M98" s="420" t="s">
        <v>216</v>
      </c>
      <c r="N98" s="420" t="s">
        <v>217</v>
      </c>
      <c r="O98" s="420" t="s">
        <v>218</v>
      </c>
      <c r="P98" s="420" t="s">
        <v>219</v>
      </c>
      <c r="Q98" s="421" t="s">
        <v>222</v>
      </c>
      <c r="R98" s="422" t="s">
        <v>223</v>
      </c>
      <c r="S98" s="421" t="s">
        <v>374</v>
      </c>
      <c r="T98" s="421" t="s">
        <v>421</v>
      </c>
      <c r="U98" s="421" t="s">
        <v>598</v>
      </c>
      <c r="V98" s="421" t="s">
        <v>599</v>
      </c>
      <c r="W98" s="421" t="s">
        <v>600</v>
      </c>
      <c r="X98" s="421" t="s">
        <v>601</v>
      </c>
      <c r="Y98" s="421" t="s">
        <v>602</v>
      </c>
      <c r="Z98" s="421" t="s">
        <v>603</v>
      </c>
      <c r="AA98" s="421" t="s">
        <v>604</v>
      </c>
      <c r="AB98" s="421" t="s">
        <v>605</v>
      </c>
      <c r="AC98" s="421" t="s">
        <v>606</v>
      </c>
      <c r="AD98" s="421" t="s">
        <v>609</v>
      </c>
      <c r="AE98" s="421" t="s">
        <v>610</v>
      </c>
      <c r="AF98" s="421" t="s">
        <v>611</v>
      </c>
      <c r="AG98" s="421" t="s">
        <v>612</v>
      </c>
      <c r="AH98" s="421" t="s">
        <v>613</v>
      </c>
      <c r="AI98" s="421" t="s">
        <v>614</v>
      </c>
      <c r="AJ98" s="421" t="s">
        <v>615</v>
      </c>
      <c r="AK98" s="421" t="s">
        <v>616</v>
      </c>
      <c r="AL98" s="423" t="s">
        <v>330</v>
      </c>
      <c r="AM98" s="53"/>
      <c r="AN98" s="53"/>
      <c r="AO98" s="418" t="s">
        <v>266</v>
      </c>
      <c r="AP98" s="419" t="s">
        <v>326</v>
      </c>
      <c r="AQ98" s="420" t="s">
        <v>327</v>
      </c>
      <c r="AR98" s="420" t="s">
        <v>328</v>
      </c>
      <c r="AS98" s="420" t="s">
        <v>212</v>
      </c>
      <c r="AT98" s="420" t="s">
        <v>213</v>
      </c>
      <c r="AU98" s="420" t="s">
        <v>214</v>
      </c>
      <c r="AV98" s="420" t="s">
        <v>215</v>
      </c>
      <c r="AW98" s="420" t="s">
        <v>216</v>
      </c>
      <c r="AX98" s="420" t="s">
        <v>217</v>
      </c>
      <c r="AY98" s="420" t="s">
        <v>218</v>
      </c>
      <c r="AZ98" s="420" t="s">
        <v>219</v>
      </c>
      <c r="BA98" s="421" t="s">
        <v>222</v>
      </c>
      <c r="BB98" s="422" t="s">
        <v>223</v>
      </c>
      <c r="BC98" s="423" t="s">
        <v>330</v>
      </c>
      <c r="BD98" s="423" t="s">
        <v>640</v>
      </c>
      <c r="BE98" s="423" t="s">
        <v>641</v>
      </c>
      <c r="BF98" s="423" t="s">
        <v>642</v>
      </c>
      <c r="BG98" s="423" t="s">
        <v>643</v>
      </c>
      <c r="BH98" s="423" t="s">
        <v>644</v>
      </c>
      <c r="BI98" s="423" t="s">
        <v>645</v>
      </c>
      <c r="BJ98" s="423" t="s">
        <v>646</v>
      </c>
      <c r="BK98" s="423" t="s">
        <v>647</v>
      </c>
      <c r="BL98" s="423" t="s">
        <v>648</v>
      </c>
      <c r="BO98" s="28"/>
      <c r="CD98" s="53"/>
    </row>
    <row r="99" spans="5:82" ht="14.5" customHeight="1" x14ac:dyDescent="0.3">
      <c r="E99" s="425" t="s">
        <v>560</v>
      </c>
      <c r="F99" s="426">
        <f>SUMIFS(WBTQ_SalesOverview_InTax[GMV],WBTQ_SalesOverview_InTax[DATE],"&lt;"&amp;EOMONTH($K$1,0)+1,WBTQ_SalesOverview_InTax[PayYear],WBTQ_SalesOverview_InTax[[#This Row],[DATE]])</f>
        <v>3511548.9999999991</v>
      </c>
      <c r="G99" s="426">
        <f>SUMIFS(WBTQ_SalesOverview_InTax[NET],WBTQ_SalesOverview_InTax[DATE],"&lt;"&amp;EOMONTH($K$1,0)+1,WBTQ_SalesOverview_InTax[PayYear],WBTQ_SalesOverview_InTax[[#This Row],[DATE]])</f>
        <v>3116649.0299999993</v>
      </c>
      <c r="H99" s="426">
        <f>SUMIFS(WBTQ_SalesOverview_InTax[UV],WBTQ_SalesOverview_InTax[DATE],"&lt;"&amp;EOMONTH($K$1,0)+1,WBTQ_SalesOverview_InTax[PayYear],WBTQ_SalesOverview_InTax[[#This Row],[DATE]])</f>
        <v>53646</v>
      </c>
      <c r="I99" s="426">
        <f>SUMIFS(WBTQ_SalesOverview_InTax[Buyers],WBTQ_SalesOverview_InTax[DATE],"&lt;"&amp;EOMONTH($K$1,0)+1,WBTQ_SalesOverview_InTax[PayYear],WBTQ_SalesOverview_InTax[[#This Row],[DATE]])</f>
        <v>1030</v>
      </c>
      <c r="J99" s="426">
        <f>SUMIFS(WBTQ_SalesOverview_InTax[Units],WBTQ_SalesOverview_InTax[DATE],"&lt;"&amp;EOMONTH($K$1,0)+1,WBTQ_SalesOverview_InTax[PayYear],WBTQ_SalesOverview_InTax[[#This Row],[DATE]])</f>
        <v>2688</v>
      </c>
      <c r="K99" s="89">
        <f>WBTQ_SalesOverview_InTax[[#This Row],[Buyers]]/WBTQ_SalesOverview_InTax[[#This Row],[UV]]</f>
        <v>1.9199940349699886E-2</v>
      </c>
      <c r="L99" s="426">
        <f>WBTQ_SalesOverview_InTax[[#This Row],[GMV]]/WBTQ_SalesOverview_InTax[[#This Row],[Buyers]]</f>
        <v>3409.2708737864068</v>
      </c>
      <c r="M99" s="426">
        <f>WBTQ_SalesOverview_InTax[[#This Row],[GMV]]/WBTQ_SalesOverview_InTax[[#This Row],[Units]]</f>
        <v>1306.3798363095234</v>
      </c>
      <c r="N99" s="427">
        <f>WBTQ_SalesOverview_InTax[[#This Row],[Units]]/WBTQ_SalesOverview_InTax[[#This Row],[Buyers]]</f>
        <v>2.6097087378640778</v>
      </c>
      <c r="O99" s="88">
        <f>WBTQ_SalesOverview_InTax[[#This Row],[RR]]/WBTQ_SalesOverview_InTax[[#This Row],[GMV]]</f>
        <v>0.11245748528640784</v>
      </c>
      <c r="P99" s="426">
        <f>SUMIFS(WBTQ_SalesOverview_InTax[RR],WBTQ_SalesOverview_InTax[PayYear],WBTQ_SalesOverview_InTax[[#This Row],[DATE]])</f>
        <v>394899.97000000003</v>
      </c>
      <c r="Q99" s="426">
        <f>SUMIFS(WBTQ_SalesOverview_InTax[MD GMV],WBTQ_SalesOverview_InTax[PayYear],WBTQ_SalesOverview_InTax[[#This Row],[DATE]])</f>
        <v>2377137.0699999998</v>
      </c>
      <c r="R99" s="90">
        <f>WBTQ_SalesOverview_InTax[[#This Row],[MD GMV]]/WBTQ_SalesOverview_InTax[[#This Row],[GMV]]</f>
        <v>0.67694828407634366</v>
      </c>
      <c r="S99" s="426">
        <f>SUMIFS(WBTQ_SalesOverview_InTax[MD NET],WBTQ_SalesOverview_InTax[PayYear],WBTQ_SalesOverview_InTax[[#This Row],[DATE]])</f>
        <v>2221541.6799999997</v>
      </c>
      <c r="T99" s="90">
        <f>WBTQ_SalesOverview_InTax[[#This Row],[MD NET]]/WBTQ_SalesOverview_InTax[[#This Row],[NET]]</f>
        <v>0.71279815552410797</v>
      </c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28" t="str">
        <f>_xlfn.XLOOKUP(WBTQ_SalesOverview_InTax[[#This Row],[DATE]],全店核心数据_bymonth[开始日期],全店核心数据_bymonth[jda日历.PayYear],"")</f>
        <v/>
      </c>
      <c r="AM99" s="53"/>
      <c r="AN99" s="53"/>
      <c r="AO99" s="425" t="str">
        <f>WBTQ_SalesOverview_InTax[[#This Row],[DATE]]</f>
        <v>BU26</v>
      </c>
      <c r="AP99" s="446">
        <f>WBTQ_SalesOverview_InTax[[#This Row],[GMV]]/$F$1</f>
        <v>3107565.4867256633</v>
      </c>
      <c r="AQ99" s="446">
        <f>WBTQ_SalesOverview_ExclTax[[#This Row],[GMV]]-WBTQ_SalesOverview_ExclTax[[#This Row],[RR]]</f>
        <v>2758096.4867256633</v>
      </c>
      <c r="AR99" s="426">
        <f>WBTQ_SalesOverview_InTax[[#This Row],[UV]]</f>
        <v>53646</v>
      </c>
      <c r="AS99" s="426">
        <f>WBTQ_SalesOverview_InTax[[#This Row],[Buyers]]</f>
        <v>1030</v>
      </c>
      <c r="AT99" s="426">
        <f>WBTQ_SalesOverview_InTax[[#This Row],[Units]]</f>
        <v>2688</v>
      </c>
      <c r="AU99" s="89">
        <f>WBTQ_SalesOverview_ExclTax[[#This Row],[Buyers]]/WBTQ_SalesOverview_ExclTax[[#This Row],[UV]]</f>
        <v>1.9199940349699886E-2</v>
      </c>
      <c r="AV99" s="426">
        <f>WBTQ_SalesOverview_ExclTax[[#This Row],[GMV]]/WBTQ_SalesOverview_ExclTax[[#This Row],[Buyers]]</f>
        <v>3017.0538706074399</v>
      </c>
      <c r="AW99" s="426">
        <f>WBTQ_SalesOverview_ExclTax[[#This Row],[GMV]]/WBTQ_SalesOverview_ExclTax[[#This Row],[Units]]</f>
        <v>1156.0883507163926</v>
      </c>
      <c r="AX99" s="427">
        <f>WBTQ_SalesOverview_ExclTax[[#This Row],[Units]]/WBTQ_SalesOverview_ExclTax[[#This Row],[Buyers]]</f>
        <v>2.6097087378640778</v>
      </c>
      <c r="AY99" s="88">
        <f>WBTQ_SalesOverview_ExclTax[[#This Row],[RR]]/WBTQ_SalesOverview_ExclTax[[#This Row],[GMV]]</f>
        <v>0.11245748528640782</v>
      </c>
      <c r="AZ99" s="434">
        <f>WBTQ_SalesOverview_InTax[[#This Row],[RR]]/$F$1</f>
        <v>349469.00000000006</v>
      </c>
      <c r="BA99" s="434">
        <f>WBTQ_SalesOverview_InTax[[#This Row],[MD GMV]]/$F$1</f>
        <v>2103661.1238938053</v>
      </c>
      <c r="BB99" s="90">
        <f>WBTQ_SalesOverview_ExclTax[[#This Row],[MD GMV]]/WBTQ_SalesOverview_ExclTax[[#This Row],[GMV]]</f>
        <v>0.67694828407634355</v>
      </c>
      <c r="BC99" s="95" t="str">
        <f>_xlfn.XLOOKUP(WBTQ_SalesOverview_ExclTax[[#This Row],[DATE]],全店核心数据_bymonth[开始日期],全店核心数据_bymonth[jda日历.PayYear],"")</f>
        <v/>
      </c>
      <c r="BO99" s="28"/>
      <c r="CD99" s="53"/>
    </row>
    <row r="100" spans="5:82" ht="14.5" customHeight="1" x14ac:dyDescent="0.3">
      <c r="E100" s="425" t="s">
        <v>246</v>
      </c>
      <c r="F100" s="426">
        <f>SUMIFS(WBTQ_SalesOverview_InTax[GMV],WBTQ_SalesOverview_InTax[DATE],"&lt;"&amp;EDATE(EOMONTH($K$1,0)+1,-12),WBTQ_SalesOverview_InTax[PayYear],WBTQ_SalesOverview_InTax[[#This Row],[DATE]])</f>
        <v>3996115.0000000005</v>
      </c>
      <c r="G100" s="426">
        <f>SUMIFS(WBTQ_SalesOverview_InTax[NET],WBTQ_SalesOverview_InTax[DATE],"&lt;"&amp;EDATE(EOMONTH($K$1,0)+1,-12),WBTQ_SalesOverview_InTax[PayYear],WBTQ_SalesOverview_InTax[[#This Row],[DATE]])</f>
        <v>3501756.2700000005</v>
      </c>
      <c r="H100" s="426">
        <f>SUMIFS(WBTQ_SalesOverview_InTax[UV],WBTQ_SalesOverview_InTax[DATE],"&lt;"&amp;EDATE(EOMONTH($K$1,0)+1,-12),WBTQ_SalesOverview_InTax[PayYear],WBTQ_SalesOverview_InTax[[#This Row],[DATE]])</f>
        <v>67811</v>
      </c>
      <c r="I100" s="426">
        <f>SUMIFS(WBTQ_SalesOverview_InTax[Buyers],WBTQ_SalesOverview_InTax[DATE],"&lt;"&amp;EDATE(EOMONTH($K$1,0)+1,-12),WBTQ_SalesOverview_InTax[PayYear],WBTQ_SalesOverview_InTax[[#This Row],[DATE]])</f>
        <v>1625</v>
      </c>
      <c r="J100" s="426">
        <f>SUMIFS(WBTQ_SalesOverview_InTax[Units],WBTQ_SalesOverview_InTax[DATE],"&lt;"&amp;EDATE(EOMONTH($K$1,0)+1,-12),WBTQ_SalesOverview_InTax[PayYear],WBTQ_SalesOverview_InTax[[#This Row],[DATE]])</f>
        <v>4368</v>
      </c>
      <c r="K100" s="89">
        <f>WBTQ_SalesOverview_InTax[[#This Row],[Buyers]]/WBTQ_SalesOverview_InTax[[#This Row],[UV]]</f>
        <v>2.3963663712377049E-2</v>
      </c>
      <c r="L100" s="426">
        <f>WBTQ_SalesOverview_InTax[[#This Row],[GMV]]/WBTQ_SalesOverview_InTax[[#This Row],[Buyers]]</f>
        <v>2459.1476923076925</v>
      </c>
      <c r="M100" s="426">
        <f>WBTQ_SalesOverview_InTax[[#This Row],[GMV]]/WBTQ_SalesOverview_InTax[[#This Row],[Units]]</f>
        <v>914.86149267399276</v>
      </c>
      <c r="N100" s="427">
        <f>WBTQ_SalesOverview_InTax[[#This Row],[Units]]/WBTQ_SalesOverview_InTax[[#This Row],[Buyers]]</f>
        <v>2.6880000000000002</v>
      </c>
      <c r="O100" s="88">
        <f>WBTQ_SalesOverview_InTax[[#This Row],[RR]]/WBTQ_SalesOverview_InTax[[#This Row],[GMV]]</f>
        <v>0.12370983567790214</v>
      </c>
      <c r="P100" s="426">
        <f>SUMIFS(WBTQ_SalesOverview_InTax[RR],WBTQ_SalesOverview_InTax[DATE],"&lt;"&amp;EDATE(EOMONTH($K$1,0)+1,-12),WBTQ_SalesOverview_InTax[PayYear],WBTQ_SalesOverview_InTax[[#This Row],[DATE]])</f>
        <v>494358.73</v>
      </c>
      <c r="Q100" s="426">
        <f>SUMIFS(WBTQ_SalesOverview_InTax[MD GMV],WBTQ_SalesOverview_InTax[DATE],"&lt;"&amp;EDATE(EOMONTH($K$1,0)+1,-12),WBTQ_SalesOverview_InTax[PayYear],WBTQ_SalesOverview_InTax[[#This Row],[DATE]])</f>
        <v>3045780.0000000009</v>
      </c>
      <c r="R100" s="90">
        <f>WBTQ_SalesOverview_InTax[[#This Row],[MD GMV]]/WBTQ_SalesOverview_InTax[[#This Row],[GMV]]</f>
        <v>0.7621852724458632</v>
      </c>
      <c r="S100" s="426">
        <f>SUMIFS(WBTQ_SalesOverview_InTax[MD NET],WBTQ_SalesOverview_InTax[DATE],"&lt;"&amp;EDATE(EOMONTH($K$1,0)+1,-12),WBTQ_SalesOverview_InTax[PayYear],WBTQ_SalesOverview_InTax[[#This Row],[DATE]])</f>
        <v>2811511.2700000005</v>
      </c>
      <c r="T100" s="90">
        <f>WBTQ_SalesOverview_InTax[[#This Row],[MD NET]]/WBTQ_SalesOverview_InTax[[#This Row],[NET]]</f>
        <v>0.80288605294622639</v>
      </c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28" t="str">
        <f>_xlfn.XLOOKUP(WBTQ_SalesOverview_InTax[[#This Row],[DATE]],全店核心数据_bymonth[开始日期],全店核心数据_bymonth[jda日历.PayYear],"")</f>
        <v/>
      </c>
      <c r="AM100" s="53"/>
      <c r="AN100" s="53"/>
      <c r="AO100" s="425" t="str">
        <f>WBTQ_SalesOverview_InTax[[#This Row],[DATE]]</f>
        <v>BU25</v>
      </c>
      <c r="AP100" s="446">
        <f>WBTQ_SalesOverview_InTax[[#This Row],[GMV]]/$F$1</f>
        <v>3536384.955752213</v>
      </c>
      <c r="AQ100" s="446">
        <f>WBTQ_SalesOverview_ExclTax[[#This Row],[GMV]]-WBTQ_SalesOverview_ExclTax[[#This Row],[RR]]</f>
        <v>3098899.3539823014</v>
      </c>
      <c r="AR100" s="426">
        <f>WBTQ_SalesOverview_InTax[[#This Row],[UV]]</f>
        <v>67811</v>
      </c>
      <c r="AS100" s="426">
        <f>WBTQ_SalesOverview_InTax[[#This Row],[Buyers]]</f>
        <v>1625</v>
      </c>
      <c r="AT100" s="426">
        <f>WBTQ_SalesOverview_InTax[[#This Row],[Units]]</f>
        <v>4368</v>
      </c>
      <c r="AU100" s="89">
        <f>WBTQ_SalesOverview_ExclTax[[#This Row],[Buyers]]/WBTQ_SalesOverview_ExclTax[[#This Row],[UV]]</f>
        <v>2.3963663712377049E-2</v>
      </c>
      <c r="AV100" s="426">
        <f>WBTQ_SalesOverview_ExclTax[[#This Row],[GMV]]/WBTQ_SalesOverview_ExclTax[[#This Row],[Buyers]]</f>
        <v>2176.2368958475158</v>
      </c>
      <c r="AW100" s="426">
        <f>WBTQ_SalesOverview_ExclTax[[#This Row],[GMV]]/WBTQ_SalesOverview_ExclTax[[#This Row],[Units]]</f>
        <v>809.61194041946271</v>
      </c>
      <c r="AX100" s="427">
        <f>WBTQ_SalesOverview_ExclTax[[#This Row],[Units]]/WBTQ_SalesOverview_ExclTax[[#This Row],[Buyers]]</f>
        <v>2.6880000000000002</v>
      </c>
      <c r="AY100" s="88">
        <f>WBTQ_SalesOverview_ExclTax[[#This Row],[RR]]/WBTQ_SalesOverview_ExclTax[[#This Row],[GMV]]</f>
        <v>0.12370983567790216</v>
      </c>
      <c r="AZ100" s="434">
        <f>WBTQ_SalesOverview_InTax[[#This Row],[RR]]/$F$1</f>
        <v>437485.60176991153</v>
      </c>
      <c r="BA100" s="434">
        <f>WBTQ_SalesOverview_InTax[[#This Row],[MD GMV]]/$F$1</f>
        <v>2695380.5309734526</v>
      </c>
      <c r="BB100" s="90">
        <f>WBTQ_SalesOverview_ExclTax[[#This Row],[MD GMV]]/WBTQ_SalesOverview_ExclTax[[#This Row],[GMV]]</f>
        <v>0.76218527244586332</v>
      </c>
      <c r="BC100" s="95" t="str">
        <f>_xlfn.XLOOKUP(WBTQ_SalesOverview_ExclTax[[#This Row],[DATE]],全店核心数据_bymonth[开始日期],全店核心数据_bymonth[jda日历.PayYear],"")</f>
        <v/>
      </c>
      <c r="BO100" s="28"/>
      <c r="CD100" s="53"/>
    </row>
    <row r="101" spans="5:82" ht="14.5" customHeight="1" x14ac:dyDescent="0.3">
      <c r="E101" s="425" t="s">
        <v>232</v>
      </c>
      <c r="F101" s="256">
        <f t="shared" ref="F101:N101" si="11">F99/F100-1</f>
        <v>-0.12125927306896855</v>
      </c>
      <c r="G101" s="256">
        <f t="shared" si="11"/>
        <v>-0.10997545525919805</v>
      </c>
      <c r="H101" s="256">
        <f t="shared" si="11"/>
        <v>-0.20888941322204357</v>
      </c>
      <c r="I101" s="256">
        <f t="shared" si="11"/>
        <v>-0.36615384615384616</v>
      </c>
      <c r="J101" s="256">
        <f t="shared" si="11"/>
        <v>-0.38461538461538458</v>
      </c>
      <c r="K101" s="256">
        <f t="shared" si="11"/>
        <v>-0.1987894430440007</v>
      </c>
      <c r="L101" s="256">
        <f t="shared" si="11"/>
        <v>0.38636279734264667</v>
      </c>
      <c r="M101" s="256">
        <f t="shared" si="11"/>
        <v>0.4279536812629261</v>
      </c>
      <c r="N101" s="256">
        <f t="shared" si="11"/>
        <v>-2.9126213592232997E-2</v>
      </c>
      <c r="O101" s="255">
        <f>(O99-O100)*100</f>
        <v>-1.1252350391494303</v>
      </c>
      <c r="P101" s="222">
        <f>P99/P100-1</f>
        <v>-0.20118742517200006</v>
      </c>
      <c r="Q101" s="222">
        <f>Q99/Q100-1</f>
        <v>-0.21953093460460071</v>
      </c>
      <c r="R101" s="255">
        <f>(R99-R100)*100</f>
        <v>-8.5236988369519544</v>
      </c>
      <c r="S101" s="222">
        <f>S99/S100-1</f>
        <v>-0.20984073451713414</v>
      </c>
      <c r="T101" s="255">
        <f>(T99-T100)*100</f>
        <v>-9.0087897422118424</v>
      </c>
      <c r="U101" s="255"/>
      <c r="V101" s="255"/>
      <c r="W101" s="255"/>
      <c r="X101" s="255"/>
      <c r="Y101" s="255"/>
      <c r="Z101" s="255"/>
      <c r="AA101" s="255"/>
      <c r="AB101" s="255"/>
      <c r="AC101" s="255"/>
      <c r="AD101" s="255"/>
      <c r="AE101" s="255"/>
      <c r="AF101" s="255"/>
      <c r="AG101" s="255"/>
      <c r="AH101" s="255"/>
      <c r="AI101" s="255"/>
      <c r="AJ101" s="255"/>
      <c r="AK101" s="255"/>
      <c r="AL101" s="28" t="str">
        <f>_xlfn.XLOOKUP(WBTQ_SalesOverview_InTax[[#This Row],[DATE]],全店核心数据_bymonth[开始日期],全店核心数据_bymonth[jda日历.PayYear],"")</f>
        <v/>
      </c>
      <c r="AM101" s="53"/>
      <c r="AN101" s="53"/>
      <c r="AO101" s="425" t="str">
        <f>WBTQ_SalesOverview_InTax[[#This Row],[DATE]]</f>
        <v>YOY</v>
      </c>
      <c r="AP101" s="256">
        <f t="shared" ref="AP101:AX101" si="12">AP99/AP100-1</f>
        <v>-0.12125927306896855</v>
      </c>
      <c r="AQ101" s="256">
        <f t="shared" si="12"/>
        <v>-0.10997545525919794</v>
      </c>
      <c r="AR101" s="256">
        <f t="shared" si="12"/>
        <v>-0.20888941322204357</v>
      </c>
      <c r="AS101" s="256">
        <f t="shared" si="12"/>
        <v>-0.36615384615384616</v>
      </c>
      <c r="AT101" s="256">
        <f t="shared" si="12"/>
        <v>-0.38461538461538458</v>
      </c>
      <c r="AU101" s="256">
        <f t="shared" si="12"/>
        <v>-0.1987894430440007</v>
      </c>
      <c r="AV101" s="256">
        <f t="shared" si="12"/>
        <v>0.38636279734264667</v>
      </c>
      <c r="AW101" s="256">
        <f t="shared" si="12"/>
        <v>0.4279536812629261</v>
      </c>
      <c r="AX101" s="256">
        <f t="shared" si="12"/>
        <v>-2.9126213592232997E-2</v>
      </c>
      <c r="AY101" s="255">
        <f>(AY99-AY100)*100</f>
        <v>-1.125235039149433</v>
      </c>
      <c r="AZ101" s="222">
        <f>AZ99/AZ100-1</f>
        <v>-0.20118742517200006</v>
      </c>
      <c r="BA101" s="222">
        <f>BA99/BA100-1</f>
        <v>-0.21953093460460082</v>
      </c>
      <c r="BB101" s="255">
        <f>(BB99-BB100)*100</f>
        <v>-8.5236988369519757</v>
      </c>
      <c r="BC101" s="28" t="str">
        <f>_xlfn.XLOOKUP(WBTQ_SalesOverview_ExclTax[[#This Row],[DATE]],全店核心数据_bymonth[开始日期],全店核心数据_bymonth[jda日历.PayYear],"")</f>
        <v/>
      </c>
      <c r="BO101" s="28"/>
      <c r="CD101" s="53"/>
    </row>
    <row r="102" spans="5:82" ht="14.5" customHeight="1" x14ac:dyDescent="0.3">
      <c r="E102" s="428">
        <v>45992</v>
      </c>
      <c r="F102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1485322.9999999998</v>
      </c>
      <c r="G102" s="431">
        <f>WBTQ_SalesOverview_InTax[[#This Row],[GMV]]-WBTQ_SalesOverview_InTax[[#This Row],[RR]]</f>
        <v>1292981.9999999998</v>
      </c>
      <c r="H102" s="431">
        <v>9121</v>
      </c>
      <c r="I102" s="435" cm="1">
        <f t="array" ref="I102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508</v>
      </c>
      <c r="J102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1365</v>
      </c>
      <c r="K102" s="92">
        <f>WBTQ_SalesOverview_InTax[[#This Row],[Buyers]]/WBTQ_SalesOverview_InTax[[#This Row],[UV]]</f>
        <v>5.5695647407082556E-2</v>
      </c>
      <c r="L102" s="431">
        <f>WBTQ_SalesOverview_InTax[[#This Row],[GMV]]/WBTQ_SalesOverview_InTax[[#This Row],[Buyers]]</f>
        <v>2923.8641732283459</v>
      </c>
      <c r="M102" s="431">
        <f>WBTQ_SalesOverview_InTax[[#This Row],[GMV]]/WBTQ_SalesOverview_InTax[[#This Row],[Units]]</f>
        <v>1088.1487179487178</v>
      </c>
      <c r="N102" s="432">
        <f>WBTQ_SalesOverview_InTax[[#This Row],[Units]]/WBTQ_SalesOverview_InTax[[#This Row],[Buyers]]</f>
        <v>2.6870078740157481</v>
      </c>
      <c r="O102" s="93">
        <f>WBTQ_SalesOverview_InTax[[#This Row],[RR]]/WBTQ_SalesOverview_InTax[[#This Row],[GMV]]</f>
        <v>0.12949439280210434</v>
      </c>
      <c r="P102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192341</v>
      </c>
      <c r="Q102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1257290.9999999998</v>
      </c>
      <c r="R102" s="94">
        <f>WBTQ_SalesOverview_InTax[[#This Row],[MD GMV]]/WBTQ_SalesOverview_InTax[[#This Row],[GMV]]</f>
        <v>0.84647649029874306</v>
      </c>
      <c r="S102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1177371.9999999998</v>
      </c>
      <c r="T102" s="94">
        <f>WBTQ_SalesOverview_InTax[[#This Row],[MD NET]]/WBTQ_SalesOverview_InTax[[#This Row],[NET]]</f>
        <v>0.91058653562075886</v>
      </c>
      <c r="U102" s="255"/>
      <c r="V102" s="255"/>
      <c r="W102" s="255"/>
      <c r="X102" s="255"/>
      <c r="Y102" s="255"/>
      <c r="Z102" s="255"/>
      <c r="AA102" s="255"/>
      <c r="AB102" s="255"/>
      <c r="AC102" s="255"/>
      <c r="AD102" s="255"/>
      <c r="AE102" s="255"/>
      <c r="AF102" s="255"/>
      <c r="AG102" s="255"/>
      <c r="AH102" s="255"/>
      <c r="AI102" s="255"/>
      <c r="AJ102" s="255"/>
      <c r="AK102" s="255"/>
      <c r="AL102" s="28" t="str">
        <f>_xlfn.XLOOKUP(WBTQ_SalesOverview_InTax[[#This Row],[DATE]],全店核心数据_bymonth[开始日期],全店核心数据_bymonth[jda日历.PayYear],"")</f>
        <v>BU26</v>
      </c>
      <c r="AM102" s="53"/>
      <c r="AN102" s="53"/>
      <c r="AO102" s="428">
        <f>WBTQ_SalesOverview_InTax[[#This Row],[DATE]]</f>
        <v>45992</v>
      </c>
      <c r="AP102" s="429">
        <f>WBTQ_SalesOverview_InTax[[#This Row],[GMV]]/$F$1</f>
        <v>1314445.1327433628</v>
      </c>
      <c r="AQ102" s="429">
        <f>WBTQ_SalesOverview_ExclTax[[#This Row],[GMV]]-WBTQ_SalesOverview_ExclTax[[#This Row],[RR]]</f>
        <v>1144231.8584070797</v>
      </c>
      <c r="AR102" s="431">
        <f>WBTQ_SalesOverview_InTax[[#This Row],[UV]]</f>
        <v>9121</v>
      </c>
      <c r="AS102" s="431">
        <f>WBTQ_SalesOverview_InTax[[#This Row],[Buyers]]</f>
        <v>508</v>
      </c>
      <c r="AT102" s="431">
        <f>WBTQ_SalesOverview_InTax[[#This Row],[Units]]</f>
        <v>1365</v>
      </c>
      <c r="AU102" s="92">
        <f>WBTQ_SalesOverview_ExclTax[[#This Row],[Buyers]]/WBTQ_SalesOverview_ExclTax[[#This Row],[UV]]</f>
        <v>5.5695647407082556E-2</v>
      </c>
      <c r="AV102" s="431">
        <f>WBTQ_SalesOverview_ExclTax[[#This Row],[GMV]]/WBTQ_SalesOverview_ExclTax[[#This Row],[Buyers]]</f>
        <v>2587.4904187861471</v>
      </c>
      <c r="AW102" s="431">
        <f>WBTQ_SalesOverview_ExclTax[[#This Row],[GMV]]/WBTQ_SalesOverview_ExclTax[[#This Row],[Units]]</f>
        <v>962.96346721125485</v>
      </c>
      <c r="AX102" s="432">
        <f>WBTQ_SalesOverview_ExclTax[[#This Row],[Units]]/WBTQ_SalesOverview_ExclTax[[#This Row],[Buyers]]</f>
        <v>2.6870078740157481</v>
      </c>
      <c r="AY102" s="93">
        <f>WBTQ_SalesOverview_ExclTax[[#This Row],[RR]]/WBTQ_SalesOverview_ExclTax[[#This Row],[GMV]]</f>
        <v>0.12949439280210434</v>
      </c>
      <c r="AZ102" s="436">
        <f>WBTQ_SalesOverview_InTax[[#This Row],[RR]]/$F$1</f>
        <v>170213.27433628321</v>
      </c>
      <c r="BA102" s="436">
        <f>WBTQ_SalesOverview_InTax[[#This Row],[MD GMV]]/$F$1</f>
        <v>1112646.9026548672</v>
      </c>
      <c r="BB102" s="94">
        <f>WBTQ_SalesOverview_ExclTax[[#This Row],[MD GMV]]/WBTQ_SalesOverview_ExclTax[[#This Row],[GMV]]</f>
        <v>0.84647649029874306</v>
      </c>
      <c r="BC102" s="28" t="str">
        <f>_xlfn.XLOOKUP(WBTQ_SalesOverview_ExclTax[[#This Row],[DATE]],全店核心数据_bymonth[开始日期],全店核心数据_bymonth[jda日历.PayYear],"")</f>
        <v>BU26</v>
      </c>
      <c r="BO102" s="28"/>
      <c r="CD102" s="53"/>
    </row>
    <row r="103" spans="5:82" ht="14.5" customHeight="1" x14ac:dyDescent="0.3">
      <c r="E103" s="428">
        <v>45962</v>
      </c>
      <c r="F103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141244</v>
      </c>
      <c r="G103" s="431">
        <f>WBTQ_SalesOverview_InTax[[#This Row],[GMV]]-WBTQ_SalesOverview_InTax[[#This Row],[RR]]</f>
        <v>105449</v>
      </c>
      <c r="H103" s="431">
        <v>5137</v>
      </c>
      <c r="I103" s="435" cm="1">
        <f t="array" ref="I103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15</v>
      </c>
      <c r="J103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18</v>
      </c>
      <c r="K103" s="92">
        <f>WBTQ_SalesOverview_InTax[[#This Row],[Buyers]]/WBTQ_SalesOverview_InTax[[#This Row],[UV]]</f>
        <v>2.9199922133540976E-3</v>
      </c>
      <c r="L103" s="431">
        <f>WBTQ_SalesOverview_InTax[[#This Row],[GMV]]/WBTQ_SalesOverview_InTax[[#This Row],[Buyers]]</f>
        <v>9416.2666666666664</v>
      </c>
      <c r="M103" s="431">
        <f>WBTQ_SalesOverview_InTax[[#This Row],[GMV]]/WBTQ_SalesOverview_InTax[[#This Row],[Units]]</f>
        <v>7846.8888888888887</v>
      </c>
      <c r="N103" s="432">
        <f>WBTQ_SalesOverview_InTax[[#This Row],[Units]]/WBTQ_SalesOverview_InTax[[#This Row],[Buyers]]</f>
        <v>1.2</v>
      </c>
      <c r="O103" s="93">
        <f>WBTQ_SalesOverview_InTax[[#This Row],[RR]]/WBTQ_SalesOverview_InTax[[#This Row],[GMV]]</f>
        <v>0.25342669423125941</v>
      </c>
      <c r="P103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35795</v>
      </c>
      <c r="Q103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15405</v>
      </c>
      <c r="R103" s="94">
        <f>WBTQ_SalesOverview_InTax[[#This Row],[MD GMV]]/WBTQ_SalesOverview_InTax[[#This Row],[GMV]]</f>
        <v>0.10906657981931976</v>
      </c>
      <c r="S103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15405</v>
      </c>
      <c r="T103" s="94">
        <f>WBTQ_SalesOverview_InTax[[#This Row],[MD NET]]/WBTQ_SalesOverview_InTax[[#This Row],[NET]]</f>
        <v>0.1460895788485429</v>
      </c>
      <c r="U103" s="255"/>
      <c r="V103" s="255"/>
      <c r="W103" s="255"/>
      <c r="X103" s="255"/>
      <c r="Y103" s="255"/>
      <c r="Z103" s="255"/>
      <c r="AA103" s="255"/>
      <c r="AB103" s="255"/>
      <c r="AC103" s="255"/>
      <c r="AD103" s="255"/>
      <c r="AE103" s="255"/>
      <c r="AF103" s="255"/>
      <c r="AG103" s="255"/>
      <c r="AH103" s="255"/>
      <c r="AI103" s="255"/>
      <c r="AJ103" s="255"/>
      <c r="AK103" s="255"/>
      <c r="AL103" s="53" t="str">
        <f>_xlfn.XLOOKUP(WBTQ_SalesOverview_InTax[[#This Row],[DATE]],全店核心数据_bymonth[开始日期],全店核心数据_bymonth[jda日历.PayYear],"")</f>
        <v>BU26</v>
      </c>
      <c r="AM103" s="53"/>
      <c r="AN103" s="53"/>
      <c r="AO103" s="428">
        <f>WBTQ_SalesOverview_InTax[[#This Row],[DATE]]</f>
        <v>45962</v>
      </c>
      <c r="AP103" s="436">
        <f>WBTQ_SalesOverview_InTax[[#This Row],[GMV]]/$F$1</f>
        <v>124994.69026548674</v>
      </c>
      <c r="AQ103" s="436">
        <f>WBTQ_SalesOverview_ExclTax[[#This Row],[GMV]]-WBTQ_SalesOverview_ExclTax[[#This Row],[RR]]</f>
        <v>93317.699115044263</v>
      </c>
      <c r="AR103" s="431">
        <f>WBTQ_SalesOverview_InTax[[#This Row],[UV]]</f>
        <v>5137</v>
      </c>
      <c r="AS103" s="431">
        <f>WBTQ_SalesOverview_InTax[[#This Row],[Buyers]]</f>
        <v>15</v>
      </c>
      <c r="AT103" s="431">
        <f>WBTQ_SalesOverview_InTax[[#This Row],[Units]]</f>
        <v>18</v>
      </c>
      <c r="AU103" s="92">
        <f>WBTQ_SalesOverview_ExclTax[[#This Row],[Buyers]]/WBTQ_SalesOverview_ExclTax[[#This Row],[UV]]</f>
        <v>2.9199922133540976E-3</v>
      </c>
      <c r="AV103" s="431">
        <f>WBTQ_SalesOverview_ExclTax[[#This Row],[GMV]]/WBTQ_SalesOverview_ExclTax[[#This Row],[Buyers]]</f>
        <v>8332.9793510324489</v>
      </c>
      <c r="AW103" s="431">
        <f>WBTQ_SalesOverview_ExclTax[[#This Row],[GMV]]/WBTQ_SalesOverview_ExclTax[[#This Row],[Units]]</f>
        <v>6944.149459193708</v>
      </c>
      <c r="AX103" s="432">
        <f>WBTQ_SalesOverview_ExclTax[[#This Row],[Units]]/WBTQ_SalesOverview_ExclTax[[#This Row],[Buyers]]</f>
        <v>1.2</v>
      </c>
      <c r="AY103" s="93">
        <f>WBTQ_SalesOverview_ExclTax[[#This Row],[RR]]/WBTQ_SalesOverview_ExclTax[[#This Row],[GMV]]</f>
        <v>0.25342669423125935</v>
      </c>
      <c r="AZ103" s="436">
        <f>WBTQ_SalesOverview_InTax[[#This Row],[RR]]/$F$1</f>
        <v>31676.991150442482</v>
      </c>
      <c r="BA103" s="436">
        <f>WBTQ_SalesOverview_InTax[[#This Row],[MD GMV]]/$F$1</f>
        <v>13632.743362831859</v>
      </c>
      <c r="BB103" s="94">
        <f>WBTQ_SalesOverview_ExclTax[[#This Row],[MD GMV]]/WBTQ_SalesOverview_ExclTax[[#This Row],[GMV]]</f>
        <v>0.10906657981931975</v>
      </c>
      <c r="BC103" s="28" t="str">
        <f>_xlfn.XLOOKUP(WBTQ_SalesOverview_ExclTax[[#This Row],[DATE]],全店核心数据_bymonth[开始日期],全店核心数据_bymonth[jda日历.PayYear],"")</f>
        <v>BU26</v>
      </c>
      <c r="BO103" s="28"/>
      <c r="CD103" s="53"/>
    </row>
    <row r="104" spans="5:82" ht="14.5" customHeight="1" x14ac:dyDescent="0.3">
      <c r="E104" s="428">
        <v>45931</v>
      </c>
      <c r="F104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113030</v>
      </c>
      <c r="G104" s="431">
        <f>WBTQ_SalesOverview_InTax[[#This Row],[GMV]]-WBTQ_SalesOverview_InTax[[#This Row],[RR]]</f>
        <v>88455</v>
      </c>
      <c r="H104" s="431">
        <v>5605</v>
      </c>
      <c r="I104" s="435" cm="1">
        <f t="array" ref="I104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15</v>
      </c>
      <c r="J104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24</v>
      </c>
      <c r="K104" s="92">
        <f>WBTQ_SalesOverview_InTax[[#This Row],[Buyers]]/WBTQ_SalesOverview_InTax[[#This Row],[UV]]</f>
        <v>2.6761819803746653E-3</v>
      </c>
      <c r="L104" s="431">
        <f>WBTQ_SalesOverview_InTax[[#This Row],[GMV]]/WBTQ_SalesOverview_InTax[[#This Row],[Buyers]]</f>
        <v>7535.333333333333</v>
      </c>
      <c r="M104" s="431">
        <f>WBTQ_SalesOverview_InTax[[#This Row],[GMV]]/WBTQ_SalesOverview_InTax[[#This Row],[Units]]</f>
        <v>4709.583333333333</v>
      </c>
      <c r="N104" s="432">
        <f>WBTQ_SalesOverview_InTax[[#This Row],[Units]]/WBTQ_SalesOverview_InTax[[#This Row],[Buyers]]</f>
        <v>1.6</v>
      </c>
      <c r="O104" s="93">
        <f>WBTQ_SalesOverview_InTax[[#This Row],[RR]]/WBTQ_SalesOverview_InTax[[#This Row],[GMV]]</f>
        <v>0.21742015394143147</v>
      </c>
      <c r="P104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24575</v>
      </c>
      <c r="Q104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30865</v>
      </c>
      <c r="R104" s="94">
        <f>WBTQ_SalesOverview_InTax[[#This Row],[MD GMV]]/WBTQ_SalesOverview_InTax[[#This Row],[GMV]]</f>
        <v>0.27306909669999113</v>
      </c>
      <c r="S104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20230</v>
      </c>
      <c r="T104" s="94">
        <f>WBTQ_SalesOverview_InTax[[#This Row],[MD NET]]/WBTQ_SalesOverview_InTax[[#This Row],[NET]]</f>
        <v>0.22870386072014018</v>
      </c>
      <c r="U104" s="255"/>
      <c r="V104" s="255"/>
      <c r="W104" s="255"/>
      <c r="X104" s="255"/>
      <c r="Y104" s="255"/>
      <c r="Z104" s="255"/>
      <c r="AA104" s="255"/>
      <c r="AB104" s="255"/>
      <c r="AC104" s="255"/>
      <c r="AD104" s="255"/>
      <c r="AE104" s="255"/>
      <c r="AF104" s="255"/>
      <c r="AG104" s="255"/>
      <c r="AH104" s="255"/>
      <c r="AI104" s="255"/>
      <c r="AJ104" s="255"/>
      <c r="AK104" s="255"/>
      <c r="AL104" s="53" t="str">
        <f>_xlfn.XLOOKUP(WBTQ_SalesOverview_InTax[[#This Row],[DATE]],全店核心数据_bymonth[开始日期],全店核心数据_bymonth[jda日历.PayYear],"")</f>
        <v>BU26</v>
      </c>
      <c r="AM104" s="53"/>
      <c r="AN104" s="53"/>
      <c r="AO104" s="428">
        <f>WBTQ_SalesOverview_InTax[[#This Row],[DATE]]</f>
        <v>45931</v>
      </c>
      <c r="AP104" s="436">
        <f>WBTQ_SalesOverview_InTax[[#This Row],[GMV]]/$F$1</f>
        <v>100026.54867256638</v>
      </c>
      <c r="AQ104" s="436">
        <f>WBTQ_SalesOverview_ExclTax[[#This Row],[GMV]]-WBTQ_SalesOverview_ExclTax[[#This Row],[RR]]</f>
        <v>78278.761061946905</v>
      </c>
      <c r="AR104" s="431">
        <f>WBTQ_SalesOverview_InTax[[#This Row],[UV]]</f>
        <v>5605</v>
      </c>
      <c r="AS104" s="431">
        <f>WBTQ_SalesOverview_InTax[[#This Row],[Buyers]]</f>
        <v>15</v>
      </c>
      <c r="AT104" s="431">
        <f>WBTQ_SalesOverview_InTax[[#This Row],[Units]]</f>
        <v>24</v>
      </c>
      <c r="AU104" s="92">
        <f>WBTQ_SalesOverview_ExclTax[[#This Row],[Buyers]]/WBTQ_SalesOverview_ExclTax[[#This Row],[UV]]</f>
        <v>2.6761819803746653E-3</v>
      </c>
      <c r="AV104" s="431">
        <f>WBTQ_SalesOverview_ExclTax[[#This Row],[GMV]]/WBTQ_SalesOverview_ExclTax[[#This Row],[Buyers]]</f>
        <v>6668.4365781710922</v>
      </c>
      <c r="AW104" s="431">
        <f>WBTQ_SalesOverview_ExclTax[[#This Row],[GMV]]/WBTQ_SalesOverview_ExclTax[[#This Row],[Units]]</f>
        <v>4167.7728613569325</v>
      </c>
      <c r="AX104" s="432">
        <f>WBTQ_SalesOverview_ExclTax[[#This Row],[Units]]/WBTQ_SalesOverview_ExclTax[[#This Row],[Buyers]]</f>
        <v>1.6</v>
      </c>
      <c r="AY104" s="93">
        <f>WBTQ_SalesOverview_ExclTax[[#This Row],[RR]]/WBTQ_SalesOverview_ExclTax[[#This Row],[GMV]]</f>
        <v>0.21742015394143147</v>
      </c>
      <c r="AZ104" s="436">
        <f>WBTQ_SalesOverview_InTax[[#This Row],[RR]]/$F$1</f>
        <v>21747.787610619471</v>
      </c>
      <c r="BA104" s="436">
        <f>WBTQ_SalesOverview_InTax[[#This Row],[MD GMV]]/$F$1</f>
        <v>27314.159292035401</v>
      </c>
      <c r="BB104" s="94">
        <f>WBTQ_SalesOverview_ExclTax[[#This Row],[MD GMV]]/WBTQ_SalesOverview_ExclTax[[#This Row],[GMV]]</f>
        <v>0.27306909669999119</v>
      </c>
      <c r="BC104" s="28" t="str">
        <f>_xlfn.XLOOKUP(WBTQ_SalesOverview_ExclTax[[#This Row],[DATE]],全店核心数据_bymonth[开始日期],全店核心数据_bymonth[jda日历.PayYear],"")</f>
        <v>BU26</v>
      </c>
      <c r="BO104" s="28"/>
      <c r="CD104" s="53"/>
    </row>
    <row r="105" spans="5:82" ht="14.5" customHeight="1" x14ac:dyDescent="0.3">
      <c r="E105" s="428">
        <v>45901</v>
      </c>
      <c r="F105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142175</v>
      </c>
      <c r="G105" s="431">
        <f>WBTQ_SalesOverview_InTax[[#This Row],[GMV]]-WBTQ_SalesOverview_InTax[[#This Row],[RR]]</f>
        <v>140185</v>
      </c>
      <c r="H105" s="431">
        <v>5701</v>
      </c>
      <c r="I105" s="435" cm="1">
        <f t="array" ref="I105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31</v>
      </c>
      <c r="J105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51</v>
      </c>
      <c r="K105" s="92">
        <f>WBTQ_SalesOverview_InTax[[#This Row],[Buyers]]/WBTQ_SalesOverview_InTax[[#This Row],[UV]]</f>
        <v>5.437642518856341E-3</v>
      </c>
      <c r="L105" s="431">
        <f>WBTQ_SalesOverview_InTax[[#This Row],[GMV]]/WBTQ_SalesOverview_InTax[[#This Row],[Buyers]]</f>
        <v>4586.2903225806449</v>
      </c>
      <c r="M105" s="431">
        <f>WBTQ_SalesOverview_InTax[[#This Row],[GMV]]/WBTQ_SalesOverview_InTax[[#This Row],[Units]]</f>
        <v>2787.7450980392155</v>
      </c>
      <c r="N105" s="432">
        <f>WBTQ_SalesOverview_InTax[[#This Row],[Units]]/WBTQ_SalesOverview_InTax[[#This Row],[Buyers]]</f>
        <v>1.6451612903225807</v>
      </c>
      <c r="O105" s="93">
        <f>WBTQ_SalesOverview_InTax[[#This Row],[RR]]/WBTQ_SalesOverview_InTax[[#This Row],[GMV]]</f>
        <v>1.3996834886583437E-2</v>
      </c>
      <c r="P105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1990</v>
      </c>
      <c r="Q105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35605</v>
      </c>
      <c r="R105" s="94">
        <f>WBTQ_SalesOverview_InTax[[#This Row],[MD GMV]]/WBTQ_SalesOverview_InTax[[#This Row],[GMV]]</f>
        <v>0.25043080710392124</v>
      </c>
      <c r="S105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33615</v>
      </c>
      <c r="T105" s="94">
        <f>WBTQ_SalesOverview_InTax[[#This Row],[MD NET]]/WBTQ_SalesOverview_InTax[[#This Row],[NET]]</f>
        <v>0.2397902771337875</v>
      </c>
      <c r="U105" s="255"/>
      <c r="V105" s="255"/>
      <c r="W105" s="255"/>
      <c r="X105" s="255"/>
      <c r="Y105" s="255"/>
      <c r="Z105" s="255"/>
      <c r="AA105" s="255"/>
      <c r="AB105" s="255"/>
      <c r="AC105" s="255"/>
      <c r="AD105" s="255"/>
      <c r="AE105" s="255"/>
      <c r="AF105" s="255"/>
      <c r="AG105" s="255"/>
      <c r="AH105" s="255"/>
      <c r="AI105" s="255"/>
      <c r="AJ105" s="255"/>
      <c r="AK105" s="255"/>
      <c r="AL105" s="53" t="str">
        <f>_xlfn.XLOOKUP(WBTQ_SalesOverview_InTax[[#This Row],[DATE]],全店核心数据_bymonth[开始日期],全店核心数据_bymonth[jda日历.PayYear],"")</f>
        <v>BU26</v>
      </c>
      <c r="AM105" s="53"/>
      <c r="AN105" s="53"/>
      <c r="AO105" s="428">
        <f>WBTQ_SalesOverview_InTax[[#This Row],[DATE]]</f>
        <v>45901</v>
      </c>
      <c r="AP105" s="436">
        <f>WBTQ_SalesOverview_InTax[[#This Row],[GMV]]/$F$1</f>
        <v>125818.58407079647</v>
      </c>
      <c r="AQ105" s="436">
        <f>WBTQ_SalesOverview_ExclTax[[#This Row],[GMV]]-WBTQ_SalesOverview_ExclTax[[#This Row],[RR]]</f>
        <v>124057.52212389381</v>
      </c>
      <c r="AR105" s="431">
        <f>WBTQ_SalesOverview_InTax[[#This Row],[UV]]</f>
        <v>5701</v>
      </c>
      <c r="AS105" s="431">
        <f>WBTQ_SalesOverview_InTax[[#This Row],[Buyers]]</f>
        <v>31</v>
      </c>
      <c r="AT105" s="431">
        <f>WBTQ_SalesOverview_InTax[[#This Row],[Units]]</f>
        <v>51</v>
      </c>
      <c r="AU105" s="92">
        <f>WBTQ_SalesOverview_ExclTax[[#This Row],[Buyers]]/WBTQ_SalesOverview_ExclTax[[#This Row],[UV]]</f>
        <v>5.437642518856341E-3</v>
      </c>
      <c r="AV105" s="431">
        <f>WBTQ_SalesOverview_ExclTax[[#This Row],[GMV]]/WBTQ_SalesOverview_ExclTax[[#This Row],[Buyers]]</f>
        <v>4058.6640022837569</v>
      </c>
      <c r="AW105" s="431">
        <f>WBTQ_SalesOverview_ExclTax[[#This Row],[GMV]]/WBTQ_SalesOverview_ExclTax[[#This Row],[Units]]</f>
        <v>2467.0310602116956</v>
      </c>
      <c r="AX105" s="432">
        <f>WBTQ_SalesOverview_ExclTax[[#This Row],[Units]]/WBTQ_SalesOverview_ExclTax[[#This Row],[Buyers]]</f>
        <v>1.6451612903225807</v>
      </c>
      <c r="AY105" s="93">
        <f>WBTQ_SalesOverview_ExclTax[[#This Row],[RR]]/WBTQ_SalesOverview_ExclTax[[#This Row],[GMV]]</f>
        <v>1.3996834886583437E-2</v>
      </c>
      <c r="AZ105" s="436">
        <f>WBTQ_SalesOverview_InTax[[#This Row],[RR]]/$F$1</f>
        <v>1761.0619469026551</v>
      </c>
      <c r="BA105" s="436">
        <f>WBTQ_SalesOverview_InTax[[#This Row],[MD GMV]]/$F$1</f>
        <v>31508.849557522128</v>
      </c>
      <c r="BB105" s="94">
        <f>WBTQ_SalesOverview_ExclTax[[#This Row],[MD GMV]]/WBTQ_SalesOverview_ExclTax[[#This Row],[GMV]]</f>
        <v>0.25043080710392124</v>
      </c>
      <c r="BC105" s="28" t="str">
        <f>_xlfn.XLOOKUP(WBTQ_SalesOverview_ExclTax[[#This Row],[DATE]],全店核心数据_bymonth[开始日期],全店核心数据_bymonth[jda日历.PayYear],"")</f>
        <v>BU26</v>
      </c>
      <c r="BO105" s="28"/>
      <c r="CD105" s="53"/>
    </row>
    <row r="106" spans="5:82" ht="14.5" customHeight="1" x14ac:dyDescent="0.3">
      <c r="E106" s="428">
        <v>45870</v>
      </c>
      <c r="F106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1133852.9999999995</v>
      </c>
      <c r="G106" s="431">
        <f>WBTQ_SalesOverview_InTax[[#This Row],[GMV]]-WBTQ_SalesOverview_InTax[[#This Row],[RR]]</f>
        <v>1071147.6099999996</v>
      </c>
      <c r="H106" s="431">
        <v>9661</v>
      </c>
      <c r="I106" s="435" cm="1">
        <f t="array" ref="I106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389</v>
      </c>
      <c r="J106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1131</v>
      </c>
      <c r="K106" s="92">
        <f>WBTQ_SalesOverview_InTax[[#This Row],[Buyers]]/WBTQ_SalesOverview_InTax[[#This Row],[UV]]</f>
        <v>4.0264982921022666E-2</v>
      </c>
      <c r="L106" s="431">
        <f>WBTQ_SalesOverview_InTax[[#This Row],[GMV]]/WBTQ_SalesOverview_InTax[[#This Row],[Buyers]]</f>
        <v>2914.7892030848316</v>
      </c>
      <c r="M106" s="431">
        <f>WBTQ_SalesOverview_InTax[[#This Row],[GMV]]/WBTQ_SalesOverview_InTax[[#This Row],[Units]]</f>
        <v>1002.5225464190977</v>
      </c>
      <c r="N106" s="432">
        <f>WBTQ_SalesOverview_InTax[[#This Row],[Units]]/WBTQ_SalesOverview_InTax[[#This Row],[Buyers]]</f>
        <v>2.9074550128534704</v>
      </c>
      <c r="O106" s="93">
        <f>WBTQ_SalesOverview_InTax[[#This Row],[RR]]/WBTQ_SalesOverview_InTax[[#This Row],[GMV]]</f>
        <v>5.5302927275405214E-2</v>
      </c>
      <c r="P106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62705.39</v>
      </c>
      <c r="Q106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970111.07000000018</v>
      </c>
      <c r="R106" s="94">
        <f>WBTQ_SalesOverview_InTax[[#This Row],[MD GMV]]/WBTQ_SalesOverview_InTax[[#This Row],[GMV]]</f>
        <v>0.85558804360000862</v>
      </c>
      <c r="S106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931024.68000000017</v>
      </c>
      <c r="T106" s="94">
        <f>WBTQ_SalesOverview_InTax[[#This Row],[MD NET]]/WBTQ_SalesOverview_InTax[[#This Row],[NET]]</f>
        <v>0.86918429477707604</v>
      </c>
      <c r="U106" s="255"/>
      <c r="V106" s="255"/>
      <c r="W106" s="255"/>
      <c r="X106" s="255"/>
      <c r="Y106" s="255"/>
      <c r="Z106" s="255"/>
      <c r="AA106" s="255"/>
      <c r="AB106" s="255"/>
      <c r="AC106" s="255"/>
      <c r="AD106" s="255"/>
      <c r="AE106" s="255"/>
      <c r="AF106" s="255"/>
      <c r="AG106" s="255"/>
      <c r="AH106" s="255"/>
      <c r="AI106" s="255"/>
      <c r="AJ106" s="255"/>
      <c r="AK106" s="255"/>
      <c r="AL106" s="53" t="str">
        <f>_xlfn.XLOOKUP(WBTQ_SalesOverview_InTax[[#This Row],[DATE]],全店核心数据_bymonth[开始日期],全店核心数据_bymonth[jda日历.PayYear],"")</f>
        <v>BU26</v>
      </c>
      <c r="AM106" s="53"/>
      <c r="AN106" s="53"/>
      <c r="AO106" s="428">
        <f>WBTQ_SalesOverview_InTax[[#This Row],[DATE]]</f>
        <v>45870</v>
      </c>
      <c r="AP106" s="436">
        <f>WBTQ_SalesOverview_InTax[[#This Row],[GMV]]/$F$1</f>
        <v>1003409.734513274</v>
      </c>
      <c r="AQ106" s="436">
        <f>WBTQ_SalesOverview_ExclTax[[#This Row],[GMV]]-WBTQ_SalesOverview_ExclTax[[#This Row],[RR]]</f>
        <v>947918.23893805279</v>
      </c>
      <c r="AR106" s="431">
        <f>WBTQ_SalesOverview_InTax[[#This Row],[UV]]</f>
        <v>9661</v>
      </c>
      <c r="AS106" s="431">
        <f>WBTQ_SalesOverview_InTax[[#This Row],[Buyers]]</f>
        <v>389</v>
      </c>
      <c r="AT106" s="431">
        <f>WBTQ_SalesOverview_InTax[[#This Row],[Units]]</f>
        <v>1131</v>
      </c>
      <c r="AU106" s="92">
        <f>WBTQ_SalesOverview_ExclTax[[#This Row],[Buyers]]/WBTQ_SalesOverview_ExclTax[[#This Row],[UV]]</f>
        <v>4.0264982921022666E-2</v>
      </c>
      <c r="AV106" s="431">
        <f>WBTQ_SalesOverview_ExclTax[[#This Row],[GMV]]/WBTQ_SalesOverview_ExclTax[[#This Row],[Buyers]]</f>
        <v>2579.4594717564887</v>
      </c>
      <c r="AW106" s="431">
        <f>WBTQ_SalesOverview_ExclTax[[#This Row],[GMV]]/WBTQ_SalesOverview_ExclTax[[#This Row],[Units]]</f>
        <v>887.18809417619275</v>
      </c>
      <c r="AX106" s="432">
        <f>WBTQ_SalesOverview_ExclTax[[#This Row],[Units]]/WBTQ_SalesOverview_ExclTax[[#This Row],[Buyers]]</f>
        <v>2.9074550128534704</v>
      </c>
      <c r="AY106" s="93">
        <f>WBTQ_SalesOverview_ExclTax[[#This Row],[RR]]/WBTQ_SalesOverview_ExclTax[[#This Row],[GMV]]</f>
        <v>5.5302927275405207E-2</v>
      </c>
      <c r="AZ106" s="436">
        <f>WBTQ_SalesOverview_InTax[[#This Row],[RR]]/$F$1</f>
        <v>55491.495575221241</v>
      </c>
      <c r="BA106" s="436">
        <f>WBTQ_SalesOverview_InTax[[#This Row],[MD GMV]]/$F$1</f>
        <v>858505.37168141617</v>
      </c>
      <c r="BB106" s="94">
        <f>WBTQ_SalesOverview_ExclTax[[#This Row],[MD GMV]]/WBTQ_SalesOverview_ExclTax[[#This Row],[GMV]]</f>
        <v>0.85558804360000862</v>
      </c>
      <c r="BC106" s="28" t="str">
        <f>_xlfn.XLOOKUP(WBTQ_SalesOverview_ExclTax[[#This Row],[DATE]],全店核心数据_bymonth[开始日期],全店核心数据_bymonth[jda日历.PayYear],"")</f>
        <v>BU26</v>
      </c>
      <c r="BO106" s="28"/>
      <c r="CD106" s="53"/>
    </row>
    <row r="107" spans="5:82" ht="14.5" customHeight="1" x14ac:dyDescent="0.3">
      <c r="E107" s="428">
        <v>45839</v>
      </c>
      <c r="F107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188509</v>
      </c>
      <c r="G107" s="431">
        <f>WBTQ_SalesOverview_InTax[[#This Row],[GMV]]-WBTQ_SalesOverview_InTax[[#This Row],[RR]]</f>
        <v>145734</v>
      </c>
      <c r="H107" s="431">
        <v>5145</v>
      </c>
      <c r="I107" s="435" cm="1">
        <f t="array" ref="I107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27</v>
      </c>
      <c r="J107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38</v>
      </c>
      <c r="K107" s="92">
        <f>WBTQ_SalesOverview_InTax[[#This Row],[Buyers]]/WBTQ_SalesOverview_InTax[[#This Row],[UV]]</f>
        <v>5.2478134110787176E-3</v>
      </c>
      <c r="L107" s="431">
        <f>WBTQ_SalesOverview_InTax[[#This Row],[GMV]]/WBTQ_SalesOverview_InTax[[#This Row],[Buyers]]</f>
        <v>6981.8148148148148</v>
      </c>
      <c r="M107" s="431">
        <f>WBTQ_SalesOverview_InTax[[#This Row],[GMV]]/WBTQ_SalesOverview_InTax[[#This Row],[Units]]</f>
        <v>4960.7631578947367</v>
      </c>
      <c r="N107" s="432">
        <f>WBTQ_SalesOverview_InTax[[#This Row],[Units]]/WBTQ_SalesOverview_InTax[[#This Row],[Buyers]]</f>
        <v>1.4074074074074074</v>
      </c>
      <c r="O107" s="93">
        <f>WBTQ_SalesOverview_InTax[[#This Row],[RR]]/WBTQ_SalesOverview_InTax[[#This Row],[GMV]]</f>
        <v>0.2269122429167838</v>
      </c>
      <c r="P107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42775</v>
      </c>
      <c r="Q107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52585</v>
      </c>
      <c r="R107" s="94">
        <f>WBTQ_SalesOverview_InTax[[#This Row],[MD GMV]]/WBTQ_SalesOverview_InTax[[#This Row],[GMV]]</f>
        <v>0.27895219856876857</v>
      </c>
      <c r="S107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35585</v>
      </c>
      <c r="T107" s="94">
        <f>WBTQ_SalesOverview_InTax[[#This Row],[MD NET]]/WBTQ_SalesOverview_InTax[[#This Row],[NET]]</f>
        <v>0.24417774850069304</v>
      </c>
      <c r="U107" s="255"/>
      <c r="V107" s="255"/>
      <c r="W107" s="255"/>
      <c r="X107" s="255"/>
      <c r="Y107" s="255"/>
      <c r="Z107" s="255"/>
      <c r="AA107" s="255"/>
      <c r="AB107" s="255"/>
      <c r="AC107" s="255"/>
      <c r="AD107" s="255"/>
      <c r="AE107" s="255"/>
      <c r="AF107" s="255"/>
      <c r="AG107" s="255"/>
      <c r="AH107" s="255"/>
      <c r="AI107" s="255"/>
      <c r="AJ107" s="255"/>
      <c r="AK107" s="255"/>
      <c r="AL107" s="53" t="str">
        <f>_xlfn.XLOOKUP(WBTQ_SalesOverview_InTax[[#This Row],[DATE]],全店核心数据_bymonth[开始日期],全店核心数据_bymonth[jda日历.PayYear],"")</f>
        <v>BU26</v>
      </c>
      <c r="AM107" s="53"/>
      <c r="AN107" s="53"/>
      <c r="AO107" s="428">
        <f>WBTQ_SalesOverview_InTax[[#This Row],[DATE]]</f>
        <v>45839</v>
      </c>
      <c r="AP107" s="436">
        <f>WBTQ_SalesOverview_InTax[[#This Row],[GMV]]/$F$1</f>
        <v>166822.12389380531</v>
      </c>
      <c r="AQ107" s="436">
        <f>WBTQ_SalesOverview_ExclTax[[#This Row],[GMV]]-WBTQ_SalesOverview_ExclTax[[#This Row],[RR]]</f>
        <v>128968.14159292035</v>
      </c>
      <c r="AR107" s="431">
        <f>WBTQ_SalesOverview_InTax[[#This Row],[UV]]</f>
        <v>5145</v>
      </c>
      <c r="AS107" s="431">
        <f>WBTQ_SalesOverview_InTax[[#This Row],[Buyers]]</f>
        <v>27</v>
      </c>
      <c r="AT107" s="431">
        <f>WBTQ_SalesOverview_InTax[[#This Row],[Units]]</f>
        <v>38</v>
      </c>
      <c r="AU107" s="92">
        <f>WBTQ_SalesOverview_ExclTax[[#This Row],[Buyers]]/WBTQ_SalesOverview_ExclTax[[#This Row],[UV]]</f>
        <v>5.2478134110787176E-3</v>
      </c>
      <c r="AV107" s="431">
        <f>WBTQ_SalesOverview_ExclTax[[#This Row],[GMV]]/WBTQ_SalesOverview_ExclTax[[#This Row],[Buyers]]</f>
        <v>6178.5971812520484</v>
      </c>
      <c r="AW107" s="431">
        <f>WBTQ_SalesOverview_ExclTax[[#This Row],[GMV]]/WBTQ_SalesOverview_ExclTax[[#This Row],[Units]]</f>
        <v>4390.0558919422447</v>
      </c>
      <c r="AX107" s="432">
        <f>WBTQ_SalesOverview_ExclTax[[#This Row],[Units]]/WBTQ_SalesOverview_ExclTax[[#This Row],[Buyers]]</f>
        <v>1.4074074074074074</v>
      </c>
      <c r="AY107" s="93">
        <f>WBTQ_SalesOverview_ExclTax[[#This Row],[RR]]/WBTQ_SalesOverview_ExclTax[[#This Row],[GMV]]</f>
        <v>0.2269122429167838</v>
      </c>
      <c r="AZ107" s="436">
        <f>WBTQ_SalesOverview_InTax[[#This Row],[RR]]/$F$1</f>
        <v>37853.982300884956</v>
      </c>
      <c r="BA107" s="436">
        <f>WBTQ_SalesOverview_InTax[[#This Row],[MD GMV]]/$F$1</f>
        <v>46535.398230088496</v>
      </c>
      <c r="BB107" s="94">
        <f>WBTQ_SalesOverview_ExclTax[[#This Row],[MD GMV]]/WBTQ_SalesOverview_ExclTax[[#This Row],[GMV]]</f>
        <v>0.27895219856876857</v>
      </c>
      <c r="BC107" s="28" t="str">
        <f>_xlfn.XLOOKUP(WBTQ_SalesOverview_ExclTax[[#This Row],[DATE]],全店核心数据_bymonth[开始日期],全店核心数据_bymonth[jda日历.PayYear],"")</f>
        <v>BU26</v>
      </c>
      <c r="BO107" s="28"/>
      <c r="CD107" s="53"/>
    </row>
    <row r="108" spans="5:82" ht="14.5" customHeight="1" x14ac:dyDescent="0.3">
      <c r="E108" s="428">
        <v>45809</v>
      </c>
      <c r="F108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56640</v>
      </c>
      <c r="G108" s="431">
        <f>WBTQ_SalesOverview_InTax[[#This Row],[GMV]]-WBTQ_SalesOverview_InTax[[#This Row],[RR]]</f>
        <v>40371.42</v>
      </c>
      <c r="H108" s="431">
        <v>5588</v>
      </c>
      <c r="I108" s="435" cm="1">
        <f t="array" ref="I108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9</v>
      </c>
      <c r="J108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13</v>
      </c>
      <c r="K108" s="92">
        <f>WBTQ_SalesOverview_InTax[[#This Row],[Buyers]]/WBTQ_SalesOverview_InTax[[#This Row],[UV]]</f>
        <v>1.6105941302791697E-3</v>
      </c>
      <c r="L108" s="431">
        <f>WBTQ_SalesOverview_InTax[[#This Row],[GMV]]/WBTQ_SalesOverview_InTax[[#This Row],[Buyers]]</f>
        <v>6293.333333333333</v>
      </c>
      <c r="M108" s="431">
        <f>WBTQ_SalesOverview_InTax[[#This Row],[GMV]]/WBTQ_SalesOverview_InTax[[#This Row],[Units]]</f>
        <v>4356.9230769230771</v>
      </c>
      <c r="N108" s="432">
        <f>WBTQ_SalesOverview_InTax[[#This Row],[Units]]/WBTQ_SalesOverview_InTax[[#This Row],[Buyers]]</f>
        <v>1.4444444444444444</v>
      </c>
      <c r="O108" s="93">
        <f>WBTQ_SalesOverview_InTax[[#This Row],[RR]]/WBTQ_SalesOverview_InTax[[#This Row],[GMV]]</f>
        <v>0.28722775423728814</v>
      </c>
      <c r="P108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16268.58</v>
      </c>
      <c r="Q108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2515</v>
      </c>
      <c r="R108" s="94">
        <f>WBTQ_SalesOverview_InTax[[#This Row],[MD GMV]]/WBTQ_SalesOverview_InTax[[#This Row],[GMV]]</f>
        <v>4.4403248587570623E-2</v>
      </c>
      <c r="S108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2515</v>
      </c>
      <c r="T108" s="94">
        <f>WBTQ_SalesOverview_InTax[[#This Row],[MD NET]]/WBTQ_SalesOverview_InTax[[#This Row],[NET]]</f>
        <v>6.2296545427433569E-2</v>
      </c>
      <c r="U108" s="255"/>
      <c r="V108" s="255"/>
      <c r="W108" s="255"/>
      <c r="X108" s="255"/>
      <c r="Y108" s="255"/>
      <c r="Z108" s="255"/>
      <c r="AA108" s="255"/>
      <c r="AB108" s="255"/>
      <c r="AC108" s="255"/>
      <c r="AD108" s="255"/>
      <c r="AE108" s="255"/>
      <c r="AF108" s="255"/>
      <c r="AG108" s="255"/>
      <c r="AH108" s="255"/>
      <c r="AI108" s="255"/>
      <c r="AJ108" s="255"/>
      <c r="AK108" s="255"/>
      <c r="AL108" s="53" t="str">
        <f>_xlfn.XLOOKUP(WBTQ_SalesOverview_InTax[[#This Row],[DATE]],全店核心数据_bymonth[开始日期],全店核心数据_bymonth[jda日历.PayYear],"")</f>
        <v>BU26</v>
      </c>
      <c r="AM108" s="53"/>
      <c r="AN108" s="53"/>
      <c r="AO108" s="428">
        <f>WBTQ_SalesOverview_InTax[[#This Row],[DATE]]</f>
        <v>45809</v>
      </c>
      <c r="AP108" s="436">
        <f>WBTQ_SalesOverview_InTax[[#This Row],[GMV]]/$F$1</f>
        <v>50123.893805309737</v>
      </c>
      <c r="AQ108" s="436">
        <f>WBTQ_SalesOverview_ExclTax[[#This Row],[GMV]]-WBTQ_SalesOverview_ExclTax[[#This Row],[RR]]</f>
        <v>35726.920353982307</v>
      </c>
      <c r="AR108" s="431">
        <f>WBTQ_SalesOverview_InTax[[#This Row],[UV]]</f>
        <v>5588</v>
      </c>
      <c r="AS108" s="431">
        <f>WBTQ_SalesOverview_InTax[[#This Row],[Buyers]]</f>
        <v>9</v>
      </c>
      <c r="AT108" s="431">
        <f>WBTQ_SalesOverview_InTax[[#This Row],[Units]]</f>
        <v>13</v>
      </c>
      <c r="AU108" s="92">
        <f>WBTQ_SalesOverview_ExclTax[[#This Row],[Buyers]]/WBTQ_SalesOverview_ExclTax[[#This Row],[UV]]</f>
        <v>1.6105941302791697E-3</v>
      </c>
      <c r="AV108" s="431">
        <f>WBTQ_SalesOverview_ExclTax[[#This Row],[GMV]]/WBTQ_SalesOverview_ExclTax[[#This Row],[Buyers]]</f>
        <v>5569.3215339233038</v>
      </c>
      <c r="AW108" s="431">
        <f>WBTQ_SalesOverview_ExclTax[[#This Row],[GMV]]/WBTQ_SalesOverview_ExclTax[[#This Row],[Units]]</f>
        <v>3855.68413886998</v>
      </c>
      <c r="AX108" s="432">
        <f>WBTQ_SalesOverview_ExclTax[[#This Row],[Units]]/WBTQ_SalesOverview_ExclTax[[#This Row],[Buyers]]</f>
        <v>1.4444444444444444</v>
      </c>
      <c r="AY108" s="93">
        <f>WBTQ_SalesOverview_ExclTax[[#This Row],[RR]]/WBTQ_SalesOverview_ExclTax[[#This Row],[GMV]]</f>
        <v>0.28722775423728814</v>
      </c>
      <c r="AZ108" s="436">
        <f>WBTQ_SalesOverview_InTax[[#This Row],[RR]]/$F$1</f>
        <v>14396.973451327434</v>
      </c>
      <c r="BA108" s="436">
        <f>WBTQ_SalesOverview_InTax[[#This Row],[MD GMV]]/$F$1</f>
        <v>2225.6637168141597</v>
      </c>
      <c r="BB108" s="94">
        <f>WBTQ_SalesOverview_ExclTax[[#This Row],[MD GMV]]/WBTQ_SalesOverview_ExclTax[[#This Row],[GMV]]</f>
        <v>4.4403248587570623E-2</v>
      </c>
      <c r="BC108" s="28" t="str">
        <f>_xlfn.XLOOKUP(WBTQ_SalesOverview_ExclTax[[#This Row],[DATE]],全店核心数据_bymonth[开始日期],全店核心数据_bymonth[jda日历.PayYear],"")</f>
        <v>BU26</v>
      </c>
      <c r="BO108" s="28"/>
      <c r="CD108" s="53"/>
    </row>
    <row r="109" spans="5:82" ht="14.5" customHeight="1" x14ac:dyDescent="0.3">
      <c r="E109" s="428">
        <v>45778</v>
      </c>
      <c r="F109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94695</v>
      </c>
      <c r="G109" s="431">
        <f>WBTQ_SalesOverview_InTax[[#This Row],[GMV]]-WBTQ_SalesOverview_InTax[[#This Row],[RR]]</f>
        <v>76245</v>
      </c>
      <c r="H109" s="431">
        <v>3964</v>
      </c>
      <c r="I109" s="435" cm="1">
        <f t="array" ref="I109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17</v>
      </c>
      <c r="J109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20</v>
      </c>
      <c r="K109" s="92">
        <f>WBTQ_SalesOverview_InTax[[#This Row],[Buyers]]/WBTQ_SalesOverview_InTax[[#This Row],[UV]]</f>
        <v>4.288597376387487E-3</v>
      </c>
      <c r="L109" s="431">
        <f>WBTQ_SalesOverview_InTax[[#This Row],[GMV]]/WBTQ_SalesOverview_InTax[[#This Row],[Buyers]]</f>
        <v>5570.2941176470586</v>
      </c>
      <c r="M109" s="431">
        <f>WBTQ_SalesOverview_InTax[[#This Row],[GMV]]/WBTQ_SalesOverview_InTax[[#This Row],[Units]]</f>
        <v>4734.75</v>
      </c>
      <c r="N109" s="432">
        <f>WBTQ_SalesOverview_InTax[[#This Row],[Units]]/WBTQ_SalesOverview_InTax[[#This Row],[Buyers]]</f>
        <v>1.1764705882352942</v>
      </c>
      <c r="O109" s="93">
        <f>WBTQ_SalesOverview_InTax[[#This Row],[RR]]/WBTQ_SalesOverview_InTax[[#This Row],[GMV]]</f>
        <v>0.19483605258989387</v>
      </c>
      <c r="P109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18450</v>
      </c>
      <c r="Q109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12760</v>
      </c>
      <c r="R109" s="94">
        <f>WBTQ_SalesOverview_InTax[[#This Row],[MD GMV]]/WBTQ_SalesOverview_InTax[[#This Row],[GMV]]</f>
        <v>0.13474840276677755</v>
      </c>
      <c r="S109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5795</v>
      </c>
      <c r="T109" s="94">
        <f>WBTQ_SalesOverview_InTax[[#This Row],[MD NET]]/WBTQ_SalesOverview_InTax[[#This Row],[NET]]</f>
        <v>7.6004983933372683E-2</v>
      </c>
      <c r="U109" s="255"/>
      <c r="V109" s="255"/>
      <c r="W109" s="255"/>
      <c r="X109" s="255"/>
      <c r="Y109" s="255"/>
      <c r="Z109" s="255"/>
      <c r="AA109" s="255"/>
      <c r="AB109" s="255"/>
      <c r="AC109" s="255"/>
      <c r="AD109" s="255"/>
      <c r="AE109" s="255"/>
      <c r="AF109" s="255"/>
      <c r="AG109" s="255"/>
      <c r="AH109" s="255"/>
      <c r="AI109" s="255"/>
      <c r="AJ109" s="255"/>
      <c r="AK109" s="255"/>
      <c r="AL109" s="53" t="str">
        <f>_xlfn.XLOOKUP(WBTQ_SalesOverview_InTax[[#This Row],[DATE]],全店核心数据_bymonth[开始日期],全店核心数据_bymonth[jda日历.PayYear],"")</f>
        <v>BU26</v>
      </c>
      <c r="AM109" s="53"/>
      <c r="AN109" s="53"/>
      <c r="AO109" s="428">
        <f>WBTQ_SalesOverview_InTax[[#This Row],[DATE]]</f>
        <v>45778</v>
      </c>
      <c r="AP109" s="436">
        <f>WBTQ_SalesOverview_InTax[[#This Row],[GMV]]/$F$1</f>
        <v>83800.884955752219</v>
      </c>
      <c r="AQ109" s="436">
        <f>WBTQ_SalesOverview_ExclTax[[#This Row],[GMV]]-WBTQ_SalesOverview_ExclTax[[#This Row],[RR]]</f>
        <v>67473.451327433635</v>
      </c>
      <c r="AR109" s="431">
        <f>WBTQ_SalesOverview_InTax[[#This Row],[UV]]</f>
        <v>3964</v>
      </c>
      <c r="AS109" s="431">
        <f>WBTQ_SalesOverview_InTax[[#This Row],[Buyers]]</f>
        <v>17</v>
      </c>
      <c r="AT109" s="431">
        <f>WBTQ_SalesOverview_InTax[[#This Row],[Units]]</f>
        <v>20</v>
      </c>
      <c r="AU109" s="92">
        <f>WBTQ_SalesOverview_ExclTax[[#This Row],[Buyers]]/WBTQ_SalesOverview_ExclTax[[#This Row],[UV]]</f>
        <v>4.288597376387487E-3</v>
      </c>
      <c r="AV109" s="431">
        <f>WBTQ_SalesOverview_ExclTax[[#This Row],[GMV]]/WBTQ_SalesOverview_ExclTax[[#This Row],[Buyers]]</f>
        <v>4929.4638209266013</v>
      </c>
      <c r="AW109" s="431">
        <f>WBTQ_SalesOverview_ExclTax[[#This Row],[GMV]]/WBTQ_SalesOverview_ExclTax[[#This Row],[Units]]</f>
        <v>4190.0442477876113</v>
      </c>
      <c r="AX109" s="432">
        <f>WBTQ_SalesOverview_ExclTax[[#This Row],[Units]]/WBTQ_SalesOverview_ExclTax[[#This Row],[Buyers]]</f>
        <v>1.1764705882352942</v>
      </c>
      <c r="AY109" s="93">
        <f>WBTQ_SalesOverview_ExclTax[[#This Row],[RR]]/WBTQ_SalesOverview_ExclTax[[#This Row],[GMV]]</f>
        <v>0.19483605258989387</v>
      </c>
      <c r="AZ109" s="436">
        <f>WBTQ_SalesOverview_InTax[[#This Row],[RR]]/$F$1</f>
        <v>16327.433628318586</v>
      </c>
      <c r="BA109" s="436">
        <f>WBTQ_SalesOverview_InTax[[#This Row],[MD GMV]]/$F$1</f>
        <v>11292.035398230089</v>
      </c>
      <c r="BB109" s="94">
        <f>WBTQ_SalesOverview_ExclTax[[#This Row],[MD GMV]]/WBTQ_SalesOverview_ExclTax[[#This Row],[GMV]]</f>
        <v>0.13474840276677755</v>
      </c>
      <c r="BC109" s="28" t="str">
        <f>_xlfn.XLOOKUP(WBTQ_SalesOverview_ExclTax[[#This Row],[DATE]],全店核心数据_bymonth[开始日期],全店核心数据_bymonth[jda日历.PayYear],"")</f>
        <v>BU26</v>
      </c>
      <c r="BO109" s="28"/>
      <c r="CD109" s="53"/>
    </row>
    <row r="110" spans="5:82" ht="14.5" customHeight="1" x14ac:dyDescent="0.3">
      <c r="E110" s="428">
        <v>45748</v>
      </c>
      <c r="F110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156080</v>
      </c>
      <c r="G110" s="431">
        <f>WBTQ_SalesOverview_InTax[[#This Row],[GMV]]-WBTQ_SalesOverview_InTax[[#This Row],[RR]]</f>
        <v>156080</v>
      </c>
      <c r="H110" s="431">
        <v>3724</v>
      </c>
      <c r="I110" s="435" cm="1">
        <f t="array" ref="I110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19</v>
      </c>
      <c r="J110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28</v>
      </c>
      <c r="K110" s="92">
        <f>WBTQ_SalesOverview_InTax[[#This Row],[Buyers]]/WBTQ_SalesOverview_InTax[[#This Row],[UV]]</f>
        <v>5.1020408163265302E-3</v>
      </c>
      <c r="L110" s="431">
        <f>WBTQ_SalesOverview_InTax[[#This Row],[GMV]]/WBTQ_SalesOverview_InTax[[#This Row],[Buyers]]</f>
        <v>8214.7368421052633</v>
      </c>
      <c r="M110" s="431">
        <f>WBTQ_SalesOverview_InTax[[#This Row],[GMV]]/WBTQ_SalesOverview_InTax[[#This Row],[Units]]</f>
        <v>5574.2857142857147</v>
      </c>
      <c r="N110" s="432">
        <f>WBTQ_SalesOverview_InTax[[#This Row],[Units]]/WBTQ_SalesOverview_InTax[[#This Row],[Buyers]]</f>
        <v>1.4736842105263157</v>
      </c>
      <c r="O110" s="93">
        <f>WBTQ_SalesOverview_InTax[[#This Row],[RR]]/WBTQ_SalesOverview_InTax[[#This Row],[GMV]]</f>
        <v>0</v>
      </c>
      <c r="P110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0</v>
      </c>
      <c r="Q110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0</v>
      </c>
      <c r="R110" s="94">
        <f>WBTQ_SalesOverview_InTax[[#This Row],[MD GMV]]/WBTQ_SalesOverview_InTax[[#This Row],[GMV]]</f>
        <v>0</v>
      </c>
      <c r="S110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0</v>
      </c>
      <c r="T110" s="94">
        <f>WBTQ_SalesOverview_InTax[[#This Row],[MD NET]]/WBTQ_SalesOverview_InTax[[#This Row],[NET]]</f>
        <v>0</v>
      </c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53" t="str">
        <f>_xlfn.XLOOKUP(WBTQ_SalesOverview_InTax[[#This Row],[DATE]],全店核心数据_bymonth[开始日期],全店核心数据_bymonth[jda日历.PayYear],"")</f>
        <v>BU26</v>
      </c>
      <c r="AM110" s="53"/>
      <c r="AN110" s="53"/>
      <c r="AO110" s="428">
        <f>WBTQ_SalesOverview_InTax[[#This Row],[DATE]]</f>
        <v>45748</v>
      </c>
      <c r="AP110" s="436">
        <f>WBTQ_SalesOverview_InTax[[#This Row],[GMV]]/$F$1</f>
        <v>138123.89380530975</v>
      </c>
      <c r="AQ110" s="436">
        <f>WBTQ_SalesOverview_ExclTax[[#This Row],[GMV]]-WBTQ_SalesOverview_ExclTax[[#This Row],[RR]]</f>
        <v>138123.89380530975</v>
      </c>
      <c r="AR110" s="431">
        <f>WBTQ_SalesOverview_InTax[[#This Row],[UV]]</f>
        <v>3724</v>
      </c>
      <c r="AS110" s="431">
        <f>WBTQ_SalesOverview_InTax[[#This Row],[Buyers]]</f>
        <v>19</v>
      </c>
      <c r="AT110" s="431">
        <f>WBTQ_SalesOverview_InTax[[#This Row],[Units]]</f>
        <v>28</v>
      </c>
      <c r="AU110" s="92">
        <f>WBTQ_SalesOverview_ExclTax[[#This Row],[Buyers]]/WBTQ_SalesOverview_ExclTax[[#This Row],[UV]]</f>
        <v>5.1020408163265302E-3</v>
      </c>
      <c r="AV110" s="431">
        <f>WBTQ_SalesOverview_ExclTax[[#This Row],[GMV]]/WBTQ_SalesOverview_ExclTax[[#This Row],[Buyers]]</f>
        <v>7269.678621332092</v>
      </c>
      <c r="AW110" s="431">
        <f>WBTQ_SalesOverview_ExclTax[[#This Row],[GMV]]/WBTQ_SalesOverview_ExclTax[[#This Row],[Units]]</f>
        <v>4932.9962073324914</v>
      </c>
      <c r="AX110" s="432">
        <f>WBTQ_SalesOverview_ExclTax[[#This Row],[Units]]/WBTQ_SalesOverview_ExclTax[[#This Row],[Buyers]]</f>
        <v>1.4736842105263157</v>
      </c>
      <c r="AY110" s="93">
        <f>WBTQ_SalesOverview_ExclTax[[#This Row],[RR]]/WBTQ_SalesOverview_ExclTax[[#This Row],[GMV]]</f>
        <v>0</v>
      </c>
      <c r="AZ110" s="436">
        <f>WBTQ_SalesOverview_InTax[[#This Row],[RR]]/$F$1</f>
        <v>0</v>
      </c>
      <c r="BA110" s="436">
        <f>WBTQ_SalesOverview_InTax[[#This Row],[MD GMV]]/$F$1</f>
        <v>0</v>
      </c>
      <c r="BB110" s="94">
        <f>WBTQ_SalesOverview_ExclTax[[#This Row],[MD GMV]]/WBTQ_SalesOverview_ExclTax[[#This Row],[GMV]]</f>
        <v>0</v>
      </c>
      <c r="BC110" s="28" t="str">
        <f>_xlfn.XLOOKUP(WBTQ_SalesOverview_ExclTax[[#This Row],[DATE]],全店核心数据_bymonth[开始日期],全店核心数据_bymonth[jda日历.PayYear],"")</f>
        <v>BU26</v>
      </c>
      <c r="BO110" s="28"/>
      <c r="CD110" s="53"/>
    </row>
    <row r="111" spans="5:82" ht="14.5" customHeight="1" x14ac:dyDescent="0.3">
      <c r="E111" s="428">
        <v>45717</v>
      </c>
      <c r="F111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310005</v>
      </c>
      <c r="G111" s="431">
        <f>WBTQ_SalesOverview_InTax[[#This Row],[GMV]]-WBTQ_SalesOverview_InTax[[#This Row],[RR]]</f>
        <v>214180</v>
      </c>
      <c r="H111" s="431">
        <v>5649</v>
      </c>
      <c r="I111" s="435" cm="1">
        <f t="array" ref="I111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37</v>
      </c>
      <c r="J111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51</v>
      </c>
      <c r="K111" s="92">
        <f>WBTQ_SalesOverview_InTax[[#This Row],[Buyers]]/WBTQ_SalesOverview_InTax[[#This Row],[UV]]</f>
        <v>6.5498318286422372E-3</v>
      </c>
      <c r="L111" s="431">
        <f>WBTQ_SalesOverview_InTax[[#This Row],[GMV]]/WBTQ_SalesOverview_InTax[[#This Row],[Buyers]]</f>
        <v>8378.5135135135133</v>
      </c>
      <c r="M111" s="431">
        <f>WBTQ_SalesOverview_InTax[[#This Row],[GMV]]/WBTQ_SalesOverview_InTax[[#This Row],[Units]]</f>
        <v>6078.5294117647063</v>
      </c>
      <c r="N111" s="432">
        <f>WBTQ_SalesOverview_InTax[[#This Row],[Units]]/WBTQ_SalesOverview_InTax[[#This Row],[Buyers]]</f>
        <v>1.3783783783783783</v>
      </c>
      <c r="O111" s="93">
        <f>WBTQ_SalesOverview_InTax[[#This Row],[RR]]/WBTQ_SalesOverview_InTax[[#This Row],[GMV]]</f>
        <v>0.30910791761423201</v>
      </c>
      <c r="P111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95825</v>
      </c>
      <c r="Q111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0</v>
      </c>
      <c r="R111" s="94">
        <f>WBTQ_SalesOverview_InTax[[#This Row],[MD GMV]]/WBTQ_SalesOverview_InTax[[#This Row],[GMV]]</f>
        <v>0</v>
      </c>
      <c r="S111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0</v>
      </c>
      <c r="T111" s="94">
        <f>WBTQ_SalesOverview_InTax[[#This Row],[MD NET]]/WBTQ_SalesOverview_InTax[[#This Row],[NET]]</f>
        <v>0</v>
      </c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53" t="str">
        <f>_xlfn.XLOOKUP(WBTQ_SalesOverview_InTax[[#This Row],[DATE]],全店核心数据_bymonth[开始日期],全店核心数据_bymonth[jda日历.PayYear],"")</f>
        <v>BU25</v>
      </c>
      <c r="AM111" s="53"/>
      <c r="AN111" s="53"/>
      <c r="AO111" s="428">
        <f>WBTQ_SalesOverview_InTax[[#This Row],[DATE]]</f>
        <v>45717</v>
      </c>
      <c r="AP111" s="436">
        <f>WBTQ_SalesOverview_InTax[[#This Row],[GMV]]/$F$1</f>
        <v>274340.70796460181</v>
      </c>
      <c r="AQ111" s="436">
        <f>WBTQ_SalesOverview_ExclTax[[#This Row],[GMV]]-WBTQ_SalesOverview_ExclTax[[#This Row],[RR]]</f>
        <v>189539.82300884958</v>
      </c>
      <c r="AR111" s="431">
        <f>WBTQ_SalesOverview_InTax[[#This Row],[UV]]</f>
        <v>5649</v>
      </c>
      <c r="AS111" s="431">
        <f>WBTQ_SalesOverview_InTax[[#This Row],[Buyers]]</f>
        <v>37</v>
      </c>
      <c r="AT111" s="431">
        <f>WBTQ_SalesOverview_InTax[[#This Row],[Units]]</f>
        <v>51</v>
      </c>
      <c r="AU111" s="92">
        <f>WBTQ_SalesOverview_ExclTax[[#This Row],[Buyers]]/WBTQ_SalesOverview_ExclTax[[#This Row],[UV]]</f>
        <v>6.5498318286422372E-3</v>
      </c>
      <c r="AV111" s="431">
        <f>WBTQ_SalesOverview_ExclTax[[#This Row],[GMV]]/WBTQ_SalesOverview_ExclTax[[#This Row],[Buyers]]</f>
        <v>7414.6137287730216</v>
      </c>
      <c r="AW111" s="431">
        <f>WBTQ_SalesOverview_ExclTax[[#This Row],[GMV]]/WBTQ_SalesOverview_ExclTax[[#This Row],[Units]]</f>
        <v>5379.2295679333693</v>
      </c>
      <c r="AX111" s="432">
        <f>WBTQ_SalesOverview_ExclTax[[#This Row],[Units]]/WBTQ_SalesOverview_ExclTax[[#This Row],[Buyers]]</f>
        <v>1.3783783783783783</v>
      </c>
      <c r="AY111" s="93">
        <f>WBTQ_SalesOverview_ExclTax[[#This Row],[RR]]/WBTQ_SalesOverview_ExclTax[[#This Row],[GMV]]</f>
        <v>0.30910791761423201</v>
      </c>
      <c r="AZ111" s="436">
        <f>WBTQ_SalesOverview_InTax[[#This Row],[RR]]/$F$1</f>
        <v>84800.884955752219</v>
      </c>
      <c r="BA111" s="436">
        <f>WBTQ_SalesOverview_InTax[[#This Row],[MD GMV]]/$F$1</f>
        <v>0</v>
      </c>
      <c r="BB111" s="94">
        <f>WBTQ_SalesOverview_ExclTax[[#This Row],[MD GMV]]/WBTQ_SalesOverview_ExclTax[[#This Row],[GMV]]</f>
        <v>0</v>
      </c>
      <c r="BC111" s="28" t="str">
        <f>_xlfn.XLOOKUP(WBTQ_SalesOverview_ExclTax[[#This Row],[DATE]],全店核心数据_bymonth[开始日期],全店核心数据_bymonth[jda日历.PayYear],"")</f>
        <v>BU25</v>
      </c>
      <c r="BO111" s="28"/>
      <c r="CD111" s="53"/>
    </row>
    <row r="112" spans="5:82" ht="14.5" customHeight="1" x14ac:dyDescent="0.3">
      <c r="E112" s="428">
        <v>45689</v>
      </c>
      <c r="F112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173575</v>
      </c>
      <c r="G112" s="431">
        <f>WBTQ_SalesOverview_InTax[[#This Row],[GMV]]-WBTQ_SalesOverview_InTax[[#This Row],[RR]]</f>
        <v>154995</v>
      </c>
      <c r="H112" s="431">
        <v>3825</v>
      </c>
      <c r="I112" s="435" cm="1">
        <f t="array" ref="I112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37</v>
      </c>
      <c r="J112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52</v>
      </c>
      <c r="K112" s="92">
        <f>WBTQ_SalesOverview_InTax[[#This Row],[Buyers]]/WBTQ_SalesOverview_InTax[[#This Row],[UV]]</f>
        <v>9.6732026143790846E-3</v>
      </c>
      <c r="L112" s="431">
        <f>WBTQ_SalesOverview_InTax[[#This Row],[GMV]]/WBTQ_SalesOverview_InTax[[#This Row],[Buyers]]</f>
        <v>4691.2162162162158</v>
      </c>
      <c r="M112" s="431">
        <f>WBTQ_SalesOverview_InTax[[#This Row],[GMV]]/WBTQ_SalesOverview_InTax[[#This Row],[Units]]</f>
        <v>3337.9807692307691</v>
      </c>
      <c r="N112" s="432">
        <f>WBTQ_SalesOverview_InTax[[#This Row],[Units]]/WBTQ_SalesOverview_InTax[[#This Row],[Buyers]]</f>
        <v>1.4054054054054055</v>
      </c>
      <c r="O112" s="93">
        <f>WBTQ_SalesOverview_InTax[[#This Row],[RR]]/WBTQ_SalesOverview_InTax[[#This Row],[GMV]]</f>
        <v>0.10704306495751116</v>
      </c>
      <c r="P112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18580</v>
      </c>
      <c r="Q112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27280</v>
      </c>
      <c r="R112" s="94">
        <f>WBTQ_SalesOverview_InTax[[#This Row],[MD GMV]]/WBTQ_SalesOverview_InTax[[#This Row],[GMV]]</f>
        <v>0.15716549042200778</v>
      </c>
      <c r="S112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25545</v>
      </c>
      <c r="T112" s="94">
        <f>WBTQ_SalesOverview_InTax[[#This Row],[MD NET]]/WBTQ_SalesOverview_InTax[[#This Row],[NET]]</f>
        <v>0.16481176812155232</v>
      </c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53" t="str">
        <f>_xlfn.XLOOKUP(WBTQ_SalesOverview_InTax[[#This Row],[DATE]],全店核心数据_bymonth[开始日期],全店核心数据_bymonth[jda日历.PayYear],"")</f>
        <v>BU25</v>
      </c>
      <c r="AM112" s="53"/>
      <c r="AN112" s="53"/>
      <c r="AO112" s="428">
        <f>WBTQ_SalesOverview_InTax[[#This Row],[DATE]]</f>
        <v>45689</v>
      </c>
      <c r="AP112" s="436">
        <f>WBTQ_SalesOverview_InTax[[#This Row],[GMV]]/$F$1</f>
        <v>153606.19469026549</v>
      </c>
      <c r="AQ112" s="436">
        <f>WBTQ_SalesOverview_ExclTax[[#This Row],[GMV]]-WBTQ_SalesOverview_ExclTax[[#This Row],[RR]]</f>
        <v>137163.7168141593</v>
      </c>
      <c r="AR112" s="431">
        <f>WBTQ_SalesOverview_InTax[[#This Row],[UV]]</f>
        <v>3825</v>
      </c>
      <c r="AS112" s="431">
        <f>WBTQ_SalesOverview_InTax[[#This Row],[Buyers]]</f>
        <v>37</v>
      </c>
      <c r="AT112" s="431">
        <f>WBTQ_SalesOverview_InTax[[#This Row],[Units]]</f>
        <v>52</v>
      </c>
      <c r="AU112" s="92">
        <f>WBTQ_SalesOverview_ExclTax[[#This Row],[Buyers]]/WBTQ_SalesOverview_ExclTax[[#This Row],[UV]]</f>
        <v>9.6732026143790846E-3</v>
      </c>
      <c r="AV112" s="431">
        <f>WBTQ_SalesOverview_ExclTax[[#This Row],[GMV]]/WBTQ_SalesOverview_ExclTax[[#This Row],[Buyers]]</f>
        <v>4151.5187754125809</v>
      </c>
      <c r="AW112" s="431">
        <f>WBTQ_SalesOverview_ExclTax[[#This Row],[GMV]]/WBTQ_SalesOverview_ExclTax[[#This Row],[Units]]</f>
        <v>2953.9652825051057</v>
      </c>
      <c r="AX112" s="432">
        <f>WBTQ_SalesOverview_ExclTax[[#This Row],[Units]]/WBTQ_SalesOverview_ExclTax[[#This Row],[Buyers]]</f>
        <v>1.4054054054054055</v>
      </c>
      <c r="AY112" s="93">
        <f>WBTQ_SalesOverview_ExclTax[[#This Row],[RR]]/WBTQ_SalesOverview_ExclTax[[#This Row],[GMV]]</f>
        <v>0.10704306495751117</v>
      </c>
      <c r="AZ112" s="436">
        <f>WBTQ_SalesOverview_InTax[[#This Row],[RR]]/$F$1</f>
        <v>16442.477876106197</v>
      </c>
      <c r="BA112" s="436">
        <f>WBTQ_SalesOverview_InTax[[#This Row],[MD GMV]]/$F$1</f>
        <v>24141.592920353985</v>
      </c>
      <c r="BB112" s="94">
        <f>WBTQ_SalesOverview_ExclTax[[#This Row],[MD GMV]]/WBTQ_SalesOverview_ExclTax[[#This Row],[GMV]]</f>
        <v>0.15716549042200781</v>
      </c>
      <c r="BC112" s="28" t="str">
        <f>_xlfn.XLOOKUP(WBTQ_SalesOverview_ExclTax[[#This Row],[DATE]],全店核心数据_bymonth[开始日期],全店核心数据_bymonth[jda日历.PayYear],"")</f>
        <v>BU25</v>
      </c>
      <c r="BO112" s="28"/>
      <c r="CD112" s="53"/>
    </row>
    <row r="113" spans="5:82" ht="14.5" customHeight="1" x14ac:dyDescent="0.3">
      <c r="E113" s="428">
        <v>45658</v>
      </c>
      <c r="F113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125075</v>
      </c>
      <c r="G113" s="431">
        <f>WBTQ_SalesOverview_InTax[[#This Row],[GMV]]-WBTQ_SalesOverview_InTax[[#This Row],[RR]]</f>
        <v>101800</v>
      </c>
      <c r="H113" s="431">
        <v>4641</v>
      </c>
      <c r="I113" s="435" cm="1">
        <f t="array" ref="I113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25</v>
      </c>
      <c r="J113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28</v>
      </c>
      <c r="K113" s="92">
        <f>WBTQ_SalesOverview_InTax[[#This Row],[Buyers]]/WBTQ_SalesOverview_InTax[[#This Row],[UV]]</f>
        <v>5.3867700926524455E-3</v>
      </c>
      <c r="L113" s="431">
        <f>WBTQ_SalesOverview_InTax[[#This Row],[GMV]]/WBTQ_SalesOverview_InTax[[#This Row],[Buyers]]</f>
        <v>5003</v>
      </c>
      <c r="M113" s="431">
        <f>WBTQ_SalesOverview_InTax[[#This Row],[GMV]]/WBTQ_SalesOverview_InTax[[#This Row],[Units]]</f>
        <v>4466.9642857142853</v>
      </c>
      <c r="N113" s="432">
        <f>WBTQ_SalesOverview_InTax[[#This Row],[Units]]/WBTQ_SalesOverview_InTax[[#This Row],[Buyers]]</f>
        <v>1.1200000000000001</v>
      </c>
      <c r="O113" s="93">
        <f>WBTQ_SalesOverview_InTax[[#This Row],[RR]]/WBTQ_SalesOverview_InTax[[#This Row],[GMV]]</f>
        <v>0.1860883469918049</v>
      </c>
      <c r="P113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23275</v>
      </c>
      <c r="Q113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63405</v>
      </c>
      <c r="R113" s="94">
        <f>WBTQ_SalesOverview_InTax[[#This Row],[MD GMV]]/WBTQ_SalesOverview_InTax[[#This Row],[GMV]]</f>
        <v>0.50693583849690182</v>
      </c>
      <c r="S113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48475</v>
      </c>
      <c r="T113" s="94">
        <f>WBTQ_SalesOverview_InTax[[#This Row],[MD NET]]/WBTQ_SalesOverview_InTax[[#This Row],[NET]]</f>
        <v>0.4761787819253438</v>
      </c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53" t="str">
        <f>_xlfn.XLOOKUP(WBTQ_SalesOverview_InTax[[#This Row],[DATE]],全店核心数据_bymonth[开始日期],全店核心数据_bymonth[jda日历.PayYear],"")</f>
        <v>BU25</v>
      </c>
      <c r="AM113" s="53"/>
      <c r="AN113" s="53"/>
      <c r="AO113" s="428">
        <f>WBTQ_SalesOverview_InTax[[#This Row],[DATE]]</f>
        <v>45658</v>
      </c>
      <c r="AP113" s="436">
        <f>WBTQ_SalesOverview_InTax[[#This Row],[GMV]]/$F$1</f>
        <v>110685.84070796461</v>
      </c>
      <c r="AQ113" s="436">
        <f>WBTQ_SalesOverview_ExclTax[[#This Row],[GMV]]-WBTQ_SalesOverview_ExclTax[[#This Row],[RR]]</f>
        <v>90088.495575221255</v>
      </c>
      <c r="AR113" s="431">
        <f>WBTQ_SalesOverview_InTax[[#This Row],[UV]]</f>
        <v>4641</v>
      </c>
      <c r="AS113" s="431">
        <f>WBTQ_SalesOverview_InTax[[#This Row],[Buyers]]</f>
        <v>25</v>
      </c>
      <c r="AT113" s="431">
        <f>WBTQ_SalesOverview_InTax[[#This Row],[Units]]</f>
        <v>28</v>
      </c>
      <c r="AU113" s="92">
        <f>WBTQ_SalesOverview_ExclTax[[#This Row],[Buyers]]/WBTQ_SalesOverview_ExclTax[[#This Row],[UV]]</f>
        <v>5.3867700926524455E-3</v>
      </c>
      <c r="AV113" s="431">
        <f>WBTQ_SalesOverview_ExclTax[[#This Row],[GMV]]/WBTQ_SalesOverview_ExclTax[[#This Row],[Buyers]]</f>
        <v>4427.4336283185849</v>
      </c>
      <c r="AW113" s="431">
        <f>WBTQ_SalesOverview_ExclTax[[#This Row],[GMV]]/WBTQ_SalesOverview_ExclTax[[#This Row],[Units]]</f>
        <v>3953.0657395701646</v>
      </c>
      <c r="AX113" s="432">
        <f>WBTQ_SalesOverview_ExclTax[[#This Row],[Units]]/WBTQ_SalesOverview_ExclTax[[#This Row],[Buyers]]</f>
        <v>1.1200000000000001</v>
      </c>
      <c r="AY113" s="93">
        <f>WBTQ_SalesOverview_ExclTax[[#This Row],[RR]]/WBTQ_SalesOverview_ExclTax[[#This Row],[GMV]]</f>
        <v>0.1860883469918049</v>
      </c>
      <c r="AZ113" s="436">
        <f>WBTQ_SalesOverview_InTax[[#This Row],[RR]]/$F$1</f>
        <v>20597.345132743365</v>
      </c>
      <c r="BA113" s="436">
        <f>WBTQ_SalesOverview_InTax[[#This Row],[MD GMV]]/$F$1</f>
        <v>56110.619469026555</v>
      </c>
      <c r="BB113" s="94">
        <f>WBTQ_SalesOverview_ExclTax[[#This Row],[MD GMV]]/WBTQ_SalesOverview_ExclTax[[#This Row],[GMV]]</f>
        <v>0.50693583849690182</v>
      </c>
      <c r="BC113" s="28" t="str">
        <f>_xlfn.XLOOKUP(WBTQ_SalesOverview_ExclTax[[#This Row],[DATE]],全店核心数据_bymonth[开始日期],全店核心数据_bymonth[jda日历.PayYear],"")</f>
        <v>BU25</v>
      </c>
      <c r="BO113" s="28"/>
      <c r="CD113" s="53"/>
    </row>
    <row r="114" spans="5:82" ht="14.5" customHeight="1" x14ac:dyDescent="0.3">
      <c r="E114" s="428">
        <v>45627</v>
      </c>
      <c r="F114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1521581.0000000005</v>
      </c>
      <c r="G114" s="431">
        <f>WBTQ_SalesOverview_InTax[[#This Row],[GMV]]-WBTQ_SalesOverview_InTax[[#This Row],[RR]]</f>
        <v>1360182.2700000005</v>
      </c>
      <c r="H114" s="431">
        <v>10378</v>
      </c>
      <c r="I114" s="435" cm="1">
        <f t="array" ref="I114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541</v>
      </c>
      <c r="J114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1573</v>
      </c>
      <c r="K114" s="92">
        <f>WBTQ_SalesOverview_InTax[[#This Row],[Buyers]]/WBTQ_SalesOverview_InTax[[#This Row],[UV]]</f>
        <v>5.2129504721526304E-2</v>
      </c>
      <c r="L114" s="431">
        <f>WBTQ_SalesOverview_InTax[[#This Row],[GMV]]/WBTQ_SalesOverview_InTax[[#This Row],[Buyers]]</f>
        <v>2812.5341959334573</v>
      </c>
      <c r="M114" s="431">
        <f>WBTQ_SalesOverview_InTax[[#This Row],[GMV]]/WBTQ_SalesOverview_InTax[[#This Row],[Units]]</f>
        <v>967.31150667514339</v>
      </c>
      <c r="N114" s="432">
        <f>WBTQ_SalesOverview_InTax[[#This Row],[Units]]/WBTQ_SalesOverview_InTax[[#This Row],[Buyers]]</f>
        <v>2.9075785582255085</v>
      </c>
      <c r="O114" s="93">
        <f>WBTQ_SalesOverview_InTax[[#This Row],[RR]]/WBTQ_SalesOverview_InTax[[#This Row],[GMV]]</f>
        <v>0.10607304507614115</v>
      </c>
      <c r="P114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161398.72999999998</v>
      </c>
      <c r="Q114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1499736.0000000007</v>
      </c>
      <c r="R114" s="94">
        <f>WBTQ_SalesOverview_InTax[[#This Row],[MD GMV]]/WBTQ_SalesOverview_InTax[[#This Row],[GMV]]</f>
        <v>0.98564322241142621</v>
      </c>
      <c r="S114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1343102.2700000007</v>
      </c>
      <c r="T114" s="94">
        <f>WBTQ_SalesOverview_InTax[[#This Row],[MD NET]]/WBTQ_SalesOverview_InTax[[#This Row],[NET]]</f>
        <v>0.987442859404424</v>
      </c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53" t="str">
        <f>_xlfn.XLOOKUP(WBTQ_SalesOverview_InTax[[#This Row],[DATE]],全店核心数据_bymonth[开始日期],全店核心数据_bymonth[jda日历.PayYear],"")</f>
        <v>BU25</v>
      </c>
      <c r="AM114" s="53"/>
      <c r="AN114" s="53"/>
      <c r="AO114" s="428">
        <f>WBTQ_SalesOverview_InTax[[#This Row],[DATE]]</f>
        <v>45627</v>
      </c>
      <c r="AP114" s="429">
        <f>WBTQ_SalesOverview_InTax[[#This Row],[GMV]]/$F$1</f>
        <v>1346531.8584070802</v>
      </c>
      <c r="AQ114" s="429">
        <f>WBTQ_SalesOverview_ExclTax[[#This Row],[GMV]]-WBTQ_SalesOverview_ExclTax[[#This Row],[RR]]</f>
        <v>1203701.1238938058</v>
      </c>
      <c r="AR114" s="431">
        <f>WBTQ_SalesOverview_InTax[[#This Row],[UV]]</f>
        <v>10378</v>
      </c>
      <c r="AS114" s="431">
        <f>WBTQ_SalesOverview_InTax[[#This Row],[Buyers]]</f>
        <v>541</v>
      </c>
      <c r="AT114" s="431">
        <f>WBTQ_SalesOverview_InTax[[#This Row],[Units]]</f>
        <v>1573</v>
      </c>
      <c r="AU114" s="92">
        <f>WBTQ_SalesOverview_ExclTax[[#This Row],[Buyers]]/WBTQ_SalesOverview_ExclTax[[#This Row],[UV]]</f>
        <v>5.2129504721526304E-2</v>
      </c>
      <c r="AV114" s="431">
        <f>WBTQ_SalesOverview_ExclTax[[#This Row],[GMV]]/WBTQ_SalesOverview_ExclTax[[#This Row],[Buyers]]</f>
        <v>2488.9683149853608</v>
      </c>
      <c r="AW114" s="431">
        <f>WBTQ_SalesOverview_ExclTax[[#This Row],[GMV]]/WBTQ_SalesOverview_ExclTax[[#This Row],[Units]]</f>
        <v>856.02788201340127</v>
      </c>
      <c r="AX114" s="432">
        <f>WBTQ_SalesOverview_ExclTax[[#This Row],[Units]]/WBTQ_SalesOverview_ExclTax[[#This Row],[Buyers]]</f>
        <v>2.9075785582255085</v>
      </c>
      <c r="AY114" s="93">
        <f>WBTQ_SalesOverview_ExclTax[[#This Row],[RR]]/WBTQ_SalesOverview_ExclTax[[#This Row],[GMV]]</f>
        <v>0.10607304507614115</v>
      </c>
      <c r="AZ114" s="436">
        <f>WBTQ_SalesOverview_InTax[[#This Row],[RR]]/$F$1</f>
        <v>142830.73451327434</v>
      </c>
      <c r="BA114" s="436">
        <f>WBTQ_SalesOverview_InTax[[#This Row],[MD GMV]]/$F$1</f>
        <v>1327200.0000000007</v>
      </c>
      <c r="BB114" s="94">
        <f>WBTQ_SalesOverview_ExclTax[[#This Row],[MD GMV]]/WBTQ_SalesOverview_ExclTax[[#This Row],[GMV]]</f>
        <v>0.9856432224114261</v>
      </c>
      <c r="BC114" s="28" t="str">
        <f>_xlfn.XLOOKUP(WBTQ_SalesOverview_ExclTax[[#This Row],[DATE]],全店核心数据_bymonth[开始日期],全店核心数据_bymonth[jda日历.PayYear],"")</f>
        <v>BU25</v>
      </c>
      <c r="BO114" s="28"/>
      <c r="CD114" s="53"/>
    </row>
    <row r="115" spans="5:82" ht="14.5" customHeight="1" x14ac:dyDescent="0.3">
      <c r="E115" s="428">
        <v>45597</v>
      </c>
      <c r="F115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197030</v>
      </c>
      <c r="G115" s="431">
        <f>WBTQ_SalesOverview_InTax[[#This Row],[GMV]]-WBTQ_SalesOverview_InTax[[#This Row],[RR]]</f>
        <v>168855</v>
      </c>
      <c r="H115" s="431">
        <v>4193</v>
      </c>
      <c r="I115" s="435" cm="1">
        <f t="array" ref="I115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27</v>
      </c>
      <c r="J115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40</v>
      </c>
      <c r="K115" s="92">
        <f>WBTQ_SalesOverview_InTax[[#This Row],[Buyers]]/WBTQ_SalesOverview_InTax[[#This Row],[UV]]</f>
        <v>6.4393036012401622E-3</v>
      </c>
      <c r="L115" s="431">
        <f>WBTQ_SalesOverview_InTax[[#This Row],[GMV]]/WBTQ_SalesOverview_InTax[[#This Row],[Buyers]]</f>
        <v>7297.4074074074078</v>
      </c>
      <c r="M115" s="431">
        <f>WBTQ_SalesOverview_InTax[[#This Row],[GMV]]/WBTQ_SalesOverview_InTax[[#This Row],[Units]]</f>
        <v>4925.75</v>
      </c>
      <c r="N115" s="432">
        <f>WBTQ_SalesOverview_InTax[[#This Row],[Units]]/WBTQ_SalesOverview_InTax[[#This Row],[Buyers]]</f>
        <v>1.4814814814814814</v>
      </c>
      <c r="O115" s="93">
        <f>WBTQ_SalesOverview_InTax[[#This Row],[RR]]/WBTQ_SalesOverview_InTax[[#This Row],[GMV]]</f>
        <v>0.14299852814292241</v>
      </c>
      <c r="P115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28175</v>
      </c>
      <c r="Q115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70485</v>
      </c>
      <c r="R115" s="94">
        <f>WBTQ_SalesOverview_InTax[[#This Row],[MD GMV]]/WBTQ_SalesOverview_InTax[[#This Row],[GMV]]</f>
        <v>0.35773740039587881</v>
      </c>
      <c r="S115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60290</v>
      </c>
      <c r="T115" s="94">
        <f>WBTQ_SalesOverview_InTax[[#This Row],[MD NET]]/WBTQ_SalesOverview_InTax[[#This Row],[NET]]</f>
        <v>0.35705190844215451</v>
      </c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53" t="str">
        <f>_xlfn.XLOOKUP(WBTQ_SalesOverview_InTax[[#This Row],[DATE]],全店核心数据_bymonth[开始日期],全店核心数据_bymonth[jda日历.PayYear],"")</f>
        <v>BU25</v>
      </c>
      <c r="AM115" s="53"/>
      <c r="AN115" s="53"/>
      <c r="AO115" s="428">
        <f>WBTQ_SalesOverview_InTax[[#This Row],[DATE]]</f>
        <v>45597</v>
      </c>
      <c r="AP115" s="436">
        <f>WBTQ_SalesOverview_InTax[[#This Row],[GMV]]/$F$1</f>
        <v>174362.83185840709</v>
      </c>
      <c r="AQ115" s="436">
        <f>WBTQ_SalesOverview_ExclTax[[#This Row],[GMV]]-WBTQ_SalesOverview_ExclTax[[#This Row],[RR]]</f>
        <v>149429.20353982301</v>
      </c>
      <c r="AR115" s="431">
        <f>WBTQ_SalesOverview_InTax[[#This Row],[UV]]</f>
        <v>4193</v>
      </c>
      <c r="AS115" s="431">
        <f>WBTQ_SalesOverview_InTax[[#This Row],[Buyers]]</f>
        <v>27</v>
      </c>
      <c r="AT115" s="431">
        <f>WBTQ_SalesOverview_InTax[[#This Row],[Units]]</f>
        <v>40</v>
      </c>
      <c r="AU115" s="92">
        <f>WBTQ_SalesOverview_ExclTax[[#This Row],[Buyers]]/WBTQ_SalesOverview_ExclTax[[#This Row],[UV]]</f>
        <v>6.4393036012401622E-3</v>
      </c>
      <c r="AV115" s="431">
        <f>WBTQ_SalesOverview_ExclTax[[#This Row],[GMV]]/WBTQ_SalesOverview_ExclTax[[#This Row],[Buyers]]</f>
        <v>6457.8826614224854</v>
      </c>
      <c r="AW115" s="431">
        <f>WBTQ_SalesOverview_ExclTax[[#This Row],[GMV]]/WBTQ_SalesOverview_ExclTax[[#This Row],[Units]]</f>
        <v>4359.070796460177</v>
      </c>
      <c r="AX115" s="432">
        <f>WBTQ_SalesOverview_ExclTax[[#This Row],[Units]]/WBTQ_SalesOverview_ExclTax[[#This Row],[Buyers]]</f>
        <v>1.4814814814814814</v>
      </c>
      <c r="AY115" s="93">
        <f>WBTQ_SalesOverview_ExclTax[[#This Row],[RR]]/WBTQ_SalesOverview_ExclTax[[#This Row],[GMV]]</f>
        <v>0.14299852814292241</v>
      </c>
      <c r="AZ115" s="436">
        <f>WBTQ_SalesOverview_InTax[[#This Row],[RR]]/$F$1</f>
        <v>24933.628318584073</v>
      </c>
      <c r="BA115" s="436">
        <f>WBTQ_SalesOverview_InTax[[#This Row],[MD GMV]]/$F$1</f>
        <v>62376.10619469027</v>
      </c>
      <c r="BB115" s="94">
        <f>WBTQ_SalesOverview_ExclTax[[#This Row],[MD GMV]]/WBTQ_SalesOverview_ExclTax[[#This Row],[GMV]]</f>
        <v>0.35773740039587881</v>
      </c>
      <c r="BC115" s="28" t="str">
        <f>_xlfn.XLOOKUP(WBTQ_SalesOverview_ExclTax[[#This Row],[DATE]],全店核心数据_bymonth[开始日期],全店核心数据_bymonth[jda日历.PayYear],"")</f>
        <v>BU25</v>
      </c>
      <c r="BO115" s="28"/>
      <c r="CD115" s="53"/>
    </row>
    <row r="116" spans="5:82" ht="14.5" customHeight="1" x14ac:dyDescent="0.3">
      <c r="E116" s="428">
        <v>45566</v>
      </c>
      <c r="F116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24585</v>
      </c>
      <c r="G116" s="431">
        <f>WBTQ_SalesOverview_InTax[[#This Row],[GMV]]-WBTQ_SalesOverview_InTax[[#This Row],[RR]]</f>
        <v>15100</v>
      </c>
      <c r="H116" s="431">
        <v>2869</v>
      </c>
      <c r="I116" s="435" cm="1">
        <f t="array" ref="I116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5</v>
      </c>
      <c r="J116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29</v>
      </c>
      <c r="K116" s="92">
        <f>WBTQ_SalesOverview_InTax[[#This Row],[Buyers]]/WBTQ_SalesOverview_InTax[[#This Row],[UV]]</f>
        <v>1.7427675148135239E-3</v>
      </c>
      <c r="L116" s="431">
        <f>WBTQ_SalesOverview_InTax[[#This Row],[GMV]]/WBTQ_SalesOverview_InTax[[#This Row],[Buyers]]</f>
        <v>4917</v>
      </c>
      <c r="M116" s="431">
        <f>WBTQ_SalesOverview_InTax[[#This Row],[GMV]]/WBTQ_SalesOverview_InTax[[#This Row],[Units]]</f>
        <v>847.75862068965512</v>
      </c>
      <c r="N116" s="432">
        <f>WBTQ_SalesOverview_InTax[[#This Row],[Units]]/WBTQ_SalesOverview_InTax[[#This Row],[Buyers]]</f>
        <v>5.8</v>
      </c>
      <c r="O116" s="93">
        <f>WBTQ_SalesOverview_InTax[[#This Row],[RR]]/WBTQ_SalesOverview_InTax[[#This Row],[GMV]]</f>
        <v>0.38580435224730525</v>
      </c>
      <c r="P116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9485</v>
      </c>
      <c r="Q116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8365</v>
      </c>
      <c r="R116" s="94">
        <f>WBTQ_SalesOverview_InTax[[#This Row],[MD GMV]]/WBTQ_SalesOverview_InTax[[#This Row],[GMV]]</f>
        <v>0.34024811877160871</v>
      </c>
      <c r="S116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0</v>
      </c>
      <c r="T116" s="94">
        <f>WBTQ_SalesOverview_InTax[[#This Row],[MD NET]]/WBTQ_SalesOverview_InTax[[#This Row],[NET]]</f>
        <v>0</v>
      </c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53" t="str">
        <f>_xlfn.XLOOKUP(WBTQ_SalesOverview_InTax[[#This Row],[DATE]],全店核心数据_bymonth[开始日期],全店核心数据_bymonth[jda日历.PayYear],"")</f>
        <v>BU25</v>
      </c>
      <c r="AM116" s="53"/>
      <c r="AN116" s="53"/>
      <c r="AO116" s="428">
        <f>WBTQ_SalesOverview_InTax[[#This Row],[DATE]]</f>
        <v>45566</v>
      </c>
      <c r="AP116" s="436">
        <f>WBTQ_SalesOverview_InTax[[#This Row],[GMV]]/$F$1</f>
        <v>21756.637168141595</v>
      </c>
      <c r="AQ116" s="436">
        <f>WBTQ_SalesOverview_ExclTax[[#This Row],[GMV]]-WBTQ_SalesOverview_ExclTax[[#This Row],[RR]]</f>
        <v>13362.83185840708</v>
      </c>
      <c r="AR116" s="431">
        <f>WBTQ_SalesOverview_InTax[[#This Row],[UV]]</f>
        <v>2869</v>
      </c>
      <c r="AS116" s="431">
        <f>WBTQ_SalesOverview_InTax[[#This Row],[Buyers]]</f>
        <v>5</v>
      </c>
      <c r="AT116" s="431">
        <f>WBTQ_SalesOverview_InTax[[#This Row],[Units]]</f>
        <v>29</v>
      </c>
      <c r="AU116" s="92">
        <f>WBTQ_SalesOverview_ExclTax[[#This Row],[Buyers]]/WBTQ_SalesOverview_ExclTax[[#This Row],[UV]]</f>
        <v>1.7427675148135239E-3</v>
      </c>
      <c r="AV116" s="431">
        <f>WBTQ_SalesOverview_ExclTax[[#This Row],[GMV]]/WBTQ_SalesOverview_ExclTax[[#This Row],[Buyers]]</f>
        <v>4351.3274336283193</v>
      </c>
      <c r="AW116" s="431">
        <f>WBTQ_SalesOverview_ExclTax[[#This Row],[GMV]]/WBTQ_SalesOverview_ExclTax[[#This Row],[Units]]</f>
        <v>750.22886786695153</v>
      </c>
      <c r="AX116" s="432">
        <f>WBTQ_SalesOverview_ExclTax[[#This Row],[Units]]/WBTQ_SalesOverview_ExclTax[[#This Row],[Buyers]]</f>
        <v>5.8</v>
      </c>
      <c r="AY116" s="93">
        <f>WBTQ_SalesOverview_ExclTax[[#This Row],[RR]]/WBTQ_SalesOverview_ExclTax[[#This Row],[GMV]]</f>
        <v>0.3858043522473053</v>
      </c>
      <c r="AZ116" s="436">
        <f>WBTQ_SalesOverview_InTax[[#This Row],[RR]]/$F$1</f>
        <v>8393.8053097345146</v>
      </c>
      <c r="BA116" s="436">
        <f>WBTQ_SalesOverview_InTax[[#This Row],[MD GMV]]/$F$1</f>
        <v>7402.6548672566378</v>
      </c>
      <c r="BB116" s="94">
        <f>WBTQ_SalesOverview_ExclTax[[#This Row],[MD GMV]]/WBTQ_SalesOverview_ExclTax[[#This Row],[GMV]]</f>
        <v>0.34024811877160871</v>
      </c>
      <c r="BC116" s="28" t="str">
        <f>_xlfn.XLOOKUP(WBTQ_SalesOverview_ExclTax[[#This Row],[DATE]],全店核心数据_bymonth[开始日期],全店核心数据_bymonth[jda日历.PayYear],"")</f>
        <v>BU25</v>
      </c>
      <c r="BO116" s="28"/>
      <c r="CD116" s="53"/>
    </row>
    <row r="117" spans="5:82" ht="14.5" customHeight="1" x14ac:dyDescent="0.3">
      <c r="E117" s="428">
        <v>45536</v>
      </c>
      <c r="F117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79225</v>
      </c>
      <c r="G117" s="431">
        <f>WBTQ_SalesOverview_InTax[[#This Row],[GMV]]-WBTQ_SalesOverview_InTax[[#This Row],[RR]]</f>
        <v>71335</v>
      </c>
      <c r="H117" s="431">
        <v>2639</v>
      </c>
      <c r="I117" s="435" cm="1">
        <f t="array" ref="I117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8</v>
      </c>
      <c r="J117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9</v>
      </c>
      <c r="K117" s="92">
        <f>WBTQ_SalesOverview_InTax[[#This Row],[Buyers]]/WBTQ_SalesOverview_InTax[[#This Row],[UV]]</f>
        <v>3.0314513073133762E-3</v>
      </c>
      <c r="L117" s="431">
        <f>WBTQ_SalesOverview_InTax[[#This Row],[GMV]]/WBTQ_SalesOverview_InTax[[#This Row],[Buyers]]</f>
        <v>9903.125</v>
      </c>
      <c r="M117" s="431">
        <f>WBTQ_SalesOverview_InTax[[#This Row],[GMV]]/WBTQ_SalesOverview_InTax[[#This Row],[Units]]</f>
        <v>8802.7777777777774</v>
      </c>
      <c r="N117" s="432">
        <f>WBTQ_SalesOverview_InTax[[#This Row],[Units]]/WBTQ_SalesOverview_InTax[[#This Row],[Buyers]]</f>
        <v>1.125</v>
      </c>
      <c r="O117" s="93">
        <f>WBTQ_SalesOverview_InTax[[#This Row],[RR]]/WBTQ_SalesOverview_InTax[[#This Row],[GMV]]</f>
        <v>9.9589775954559798E-2</v>
      </c>
      <c r="P117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7890</v>
      </c>
      <c r="Q117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0</v>
      </c>
      <c r="R117" s="94">
        <f>WBTQ_SalesOverview_InTax[[#This Row],[MD GMV]]/WBTQ_SalesOverview_InTax[[#This Row],[GMV]]</f>
        <v>0</v>
      </c>
      <c r="S117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0</v>
      </c>
      <c r="T117" s="94">
        <f>WBTQ_SalesOverview_InTax[[#This Row],[MD NET]]/WBTQ_SalesOverview_InTax[[#This Row],[NET]]</f>
        <v>0</v>
      </c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53" t="str">
        <f>_xlfn.XLOOKUP(WBTQ_SalesOverview_InTax[[#This Row],[DATE]],全店核心数据_bymonth[开始日期],全店核心数据_bymonth[jda日历.PayYear],"")</f>
        <v>BU25</v>
      </c>
      <c r="AO117" s="428">
        <f>WBTQ_SalesOverview_InTax[[#This Row],[DATE]]</f>
        <v>45536</v>
      </c>
      <c r="AP117" s="436">
        <f>WBTQ_SalesOverview_InTax[[#This Row],[GMV]]/$F$1</f>
        <v>70110.619469026555</v>
      </c>
      <c r="AQ117" s="436">
        <f>WBTQ_SalesOverview_ExclTax[[#This Row],[GMV]]-WBTQ_SalesOverview_ExclTax[[#This Row],[RR]]</f>
        <v>63128.318584070803</v>
      </c>
      <c r="AR117" s="431">
        <f>WBTQ_SalesOverview_InTax[[#This Row],[UV]]</f>
        <v>2639</v>
      </c>
      <c r="AS117" s="431">
        <f>WBTQ_SalesOverview_InTax[[#This Row],[Buyers]]</f>
        <v>8</v>
      </c>
      <c r="AT117" s="431">
        <f>WBTQ_SalesOverview_InTax[[#This Row],[Units]]</f>
        <v>9</v>
      </c>
      <c r="AU117" s="92">
        <f>WBTQ_SalesOverview_ExclTax[[#This Row],[Buyers]]/WBTQ_SalesOverview_ExclTax[[#This Row],[UV]]</f>
        <v>3.0314513073133762E-3</v>
      </c>
      <c r="AV117" s="431">
        <f>WBTQ_SalesOverview_ExclTax[[#This Row],[GMV]]/WBTQ_SalesOverview_ExclTax[[#This Row],[Buyers]]</f>
        <v>8763.8274336283193</v>
      </c>
      <c r="AW117" s="431">
        <f>WBTQ_SalesOverview_ExclTax[[#This Row],[GMV]]/WBTQ_SalesOverview_ExclTax[[#This Row],[Units]]</f>
        <v>7790.0688298918394</v>
      </c>
      <c r="AX117" s="432">
        <f>WBTQ_SalesOverview_ExclTax[[#This Row],[Units]]/WBTQ_SalesOverview_ExclTax[[#This Row],[Buyers]]</f>
        <v>1.125</v>
      </c>
      <c r="AY117" s="93">
        <f>WBTQ_SalesOverview_ExclTax[[#This Row],[RR]]/WBTQ_SalesOverview_ExclTax[[#This Row],[GMV]]</f>
        <v>9.9589775954559798E-2</v>
      </c>
      <c r="AZ117" s="436">
        <f>WBTQ_SalesOverview_InTax[[#This Row],[RR]]/$F$1</f>
        <v>6982.3008849557527</v>
      </c>
      <c r="BA117" s="436">
        <f>WBTQ_SalesOverview_InTax[[#This Row],[MD GMV]]/$F$1</f>
        <v>0</v>
      </c>
      <c r="BB117" s="94">
        <f>WBTQ_SalesOverview_ExclTax[[#This Row],[MD GMV]]/WBTQ_SalesOverview_ExclTax[[#This Row],[GMV]]</f>
        <v>0</v>
      </c>
      <c r="BC117" s="28" t="str">
        <f>_xlfn.XLOOKUP(WBTQ_SalesOverview_ExclTax[[#This Row],[DATE]],全店核心数据_bymonth[开始日期],全店核心数据_bymonth[jda日历.PayYear],"")</f>
        <v>BU25</v>
      </c>
      <c r="BO117" s="28"/>
      <c r="CD117" s="53"/>
    </row>
    <row r="118" spans="5:82" ht="14.5" customHeight="1" x14ac:dyDescent="0.3">
      <c r="E118" s="428">
        <v>45505</v>
      </c>
      <c r="F118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100475</v>
      </c>
      <c r="G118" s="431">
        <f>WBTQ_SalesOverview_InTax[[#This Row],[GMV]]-WBTQ_SalesOverview_InTax[[#This Row],[RR]]</f>
        <v>91485</v>
      </c>
      <c r="H118" s="431">
        <v>3792</v>
      </c>
      <c r="I118" s="435" cm="1">
        <f t="array" ref="I118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14</v>
      </c>
      <c r="J118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15</v>
      </c>
      <c r="K118" s="92">
        <f>WBTQ_SalesOverview_InTax[[#This Row],[Buyers]]/WBTQ_SalesOverview_InTax[[#This Row],[UV]]</f>
        <v>3.6919831223628692E-3</v>
      </c>
      <c r="L118" s="431">
        <f>WBTQ_SalesOverview_InTax[[#This Row],[GMV]]/WBTQ_SalesOverview_InTax[[#This Row],[Buyers]]</f>
        <v>7176.7857142857147</v>
      </c>
      <c r="M118" s="431">
        <f>WBTQ_SalesOverview_InTax[[#This Row],[GMV]]/WBTQ_SalesOverview_InTax[[#This Row],[Units]]</f>
        <v>6698.333333333333</v>
      </c>
      <c r="N118" s="432">
        <f>WBTQ_SalesOverview_InTax[[#This Row],[Units]]/WBTQ_SalesOverview_InTax[[#This Row],[Buyers]]</f>
        <v>1.0714285714285714</v>
      </c>
      <c r="O118" s="93">
        <f>WBTQ_SalesOverview_InTax[[#This Row],[RR]]/WBTQ_SalesOverview_InTax[[#This Row],[GMV]]</f>
        <v>8.9474993779547152E-2</v>
      </c>
      <c r="P118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8990</v>
      </c>
      <c r="Q118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0</v>
      </c>
      <c r="R118" s="94">
        <f>WBTQ_SalesOverview_InTax[[#This Row],[MD GMV]]/WBTQ_SalesOverview_InTax[[#This Row],[GMV]]</f>
        <v>0</v>
      </c>
      <c r="S118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0</v>
      </c>
      <c r="T118" s="94">
        <f>WBTQ_SalesOverview_InTax[[#This Row],[MD NET]]/WBTQ_SalesOverview_InTax[[#This Row],[NET]]</f>
        <v>0</v>
      </c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53" t="str">
        <f>_xlfn.XLOOKUP(WBTQ_SalesOverview_InTax[[#This Row],[DATE]],全店核心数据_bymonth[开始日期],全店核心数据_bymonth[jda日历.PayYear],"")</f>
        <v>BU25</v>
      </c>
      <c r="AM118" s="447"/>
      <c r="AN118" s="447"/>
      <c r="AO118" s="428">
        <f>WBTQ_SalesOverview_InTax[[#This Row],[DATE]]</f>
        <v>45505</v>
      </c>
      <c r="AP118" s="429">
        <f>WBTQ_SalesOverview_InTax[[#This Row],[GMV]]/$F$1</f>
        <v>88915.929203539825</v>
      </c>
      <c r="AQ118" s="429">
        <f>WBTQ_SalesOverview_ExclTax[[#This Row],[GMV]]-WBTQ_SalesOverview_ExclTax[[#This Row],[RR]]</f>
        <v>80960.176991150438</v>
      </c>
      <c r="AR118" s="431">
        <f>WBTQ_SalesOverview_InTax[[#This Row],[UV]]</f>
        <v>3792</v>
      </c>
      <c r="AS118" s="431">
        <f>WBTQ_SalesOverview_InTax[[#This Row],[Buyers]]</f>
        <v>14</v>
      </c>
      <c r="AT118" s="431">
        <f>WBTQ_SalesOverview_InTax[[#This Row],[Units]]</f>
        <v>15</v>
      </c>
      <c r="AU118" s="92">
        <f>WBTQ_SalesOverview_ExclTax[[#This Row],[Buyers]]/WBTQ_SalesOverview_ExclTax[[#This Row],[UV]]</f>
        <v>3.6919831223628692E-3</v>
      </c>
      <c r="AV118" s="431">
        <f>WBTQ_SalesOverview_ExclTax[[#This Row],[GMV]]/WBTQ_SalesOverview_ExclTax[[#This Row],[Buyers]]</f>
        <v>6351.1378002528445</v>
      </c>
      <c r="AW118" s="431">
        <f>WBTQ_SalesOverview_ExclTax[[#This Row],[GMV]]/WBTQ_SalesOverview_ExclTax[[#This Row],[Units]]</f>
        <v>5927.7286135693221</v>
      </c>
      <c r="AX118" s="432">
        <f>WBTQ_SalesOverview_ExclTax[[#This Row],[Units]]/WBTQ_SalesOverview_ExclTax[[#This Row],[Buyers]]</f>
        <v>1.0714285714285714</v>
      </c>
      <c r="AY118" s="93">
        <f>WBTQ_SalesOverview_ExclTax[[#This Row],[RR]]/WBTQ_SalesOverview_ExclTax[[#This Row],[GMV]]</f>
        <v>8.9474993779547166E-2</v>
      </c>
      <c r="AZ118" s="436">
        <f>WBTQ_SalesOverview_InTax[[#This Row],[RR]]/$F$1</f>
        <v>7955.7522123893814</v>
      </c>
      <c r="BA118" s="436">
        <f>WBTQ_SalesOverview_InTax[[#This Row],[MD GMV]]/$F$1</f>
        <v>0</v>
      </c>
      <c r="BB118" s="94">
        <f>WBTQ_SalesOverview_ExclTax[[#This Row],[MD GMV]]/WBTQ_SalesOverview_ExclTax[[#This Row],[GMV]]</f>
        <v>0</v>
      </c>
      <c r="BC118" s="28" t="str">
        <f>_xlfn.XLOOKUP(WBTQ_SalesOverview_ExclTax[[#This Row],[DATE]],全店核心数据_bymonth[开始日期],全店核心数据_bymonth[jda日历.PayYear],"")</f>
        <v>BU25</v>
      </c>
      <c r="BO118" s="28"/>
      <c r="CD118" s="53"/>
    </row>
    <row r="119" spans="5:82" ht="14.5" customHeight="1" x14ac:dyDescent="0.3">
      <c r="E119" s="428">
        <v>45474</v>
      </c>
      <c r="F119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1409939</v>
      </c>
      <c r="G119" s="431">
        <f>WBTQ_SalesOverview_InTax[[#This Row],[GMV]]-WBTQ_SalesOverview_InTax[[#This Row],[RR]]</f>
        <v>1370764</v>
      </c>
      <c r="H119" s="431">
        <v>15189</v>
      </c>
      <c r="I119" s="435" cm="1">
        <f t="array" ref="I119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942</v>
      </c>
      <c r="J119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2559</v>
      </c>
      <c r="K119" s="92">
        <f>WBTQ_SalesOverview_InTax[[#This Row],[Buyers]]/WBTQ_SalesOverview_InTax[[#This Row],[UV]]</f>
        <v>6.2018566067548887E-2</v>
      </c>
      <c r="L119" s="431">
        <f>WBTQ_SalesOverview_InTax[[#This Row],[GMV]]/WBTQ_SalesOverview_InTax[[#This Row],[Buyers]]</f>
        <v>1496.7505307855627</v>
      </c>
      <c r="M119" s="431">
        <f>WBTQ_SalesOverview_InTax[[#This Row],[GMV]]/WBTQ_SalesOverview_InTax[[#This Row],[Units]]</f>
        <v>550.97264556467371</v>
      </c>
      <c r="N119" s="432">
        <f>WBTQ_SalesOverview_InTax[[#This Row],[Units]]/WBTQ_SalesOverview_InTax[[#This Row],[Buyers]]</f>
        <v>2.7165605095541401</v>
      </c>
      <c r="O119" s="93">
        <f>WBTQ_SalesOverview_InTax[[#This Row],[RR]]/WBTQ_SalesOverview_InTax[[#This Row],[GMV]]</f>
        <v>2.7784889984602171E-2</v>
      </c>
      <c r="P119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39175</v>
      </c>
      <c r="Q119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1323704</v>
      </c>
      <c r="R119" s="94">
        <f>WBTQ_SalesOverview_InTax[[#This Row],[MD GMV]]/WBTQ_SalesOverview_InTax[[#This Row],[GMV]]</f>
        <v>0.93883777950677294</v>
      </c>
      <c r="S119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1293414</v>
      </c>
      <c r="T119" s="94">
        <f>WBTQ_SalesOverview_InTax[[#This Row],[MD NET]]/WBTQ_SalesOverview_InTax[[#This Row],[NET]]</f>
        <v>0.94357161407798862</v>
      </c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53" t="str">
        <f>_xlfn.XLOOKUP(WBTQ_SalesOverview_InTax[[#This Row],[DATE]],全店核心数据_bymonth[开始日期],全店核心数据_bymonth[jda日历.PayYear],"")</f>
        <v>BU25</v>
      </c>
      <c r="AM119" s="447"/>
      <c r="AN119" s="447"/>
      <c r="AO119" s="428">
        <f>WBTQ_SalesOverview_InTax[[#This Row],[DATE]]</f>
        <v>45474</v>
      </c>
      <c r="AP119" s="436">
        <f>WBTQ_SalesOverview_InTax[[#This Row],[GMV]]/$F$1</f>
        <v>1247733.6283185843</v>
      </c>
      <c r="AQ119" s="436">
        <f>WBTQ_SalesOverview_ExclTax[[#This Row],[GMV]]-WBTQ_SalesOverview_ExclTax[[#This Row],[RR]]</f>
        <v>1213065.486725664</v>
      </c>
      <c r="AR119" s="431">
        <f>WBTQ_SalesOverview_InTax[[#This Row],[UV]]</f>
        <v>15189</v>
      </c>
      <c r="AS119" s="431">
        <f>WBTQ_SalesOverview_InTax[[#This Row],[Buyers]]</f>
        <v>942</v>
      </c>
      <c r="AT119" s="431">
        <f>WBTQ_SalesOverview_InTax[[#This Row],[Units]]</f>
        <v>2559</v>
      </c>
      <c r="AU119" s="92">
        <f>WBTQ_SalesOverview_ExclTax[[#This Row],[Buyers]]/WBTQ_SalesOverview_ExclTax[[#This Row],[UV]]</f>
        <v>6.2018566067548887E-2</v>
      </c>
      <c r="AV119" s="431">
        <f>WBTQ_SalesOverview_ExclTax[[#This Row],[GMV]]/WBTQ_SalesOverview_ExclTax[[#This Row],[Buyers]]</f>
        <v>1324.5579918456308</v>
      </c>
      <c r="AW119" s="431">
        <f>WBTQ_SalesOverview_ExclTax[[#This Row],[GMV]]/WBTQ_SalesOverview_ExclTax[[#This Row],[Units]]</f>
        <v>487.58641200413609</v>
      </c>
      <c r="AX119" s="432">
        <f>WBTQ_SalesOverview_ExclTax[[#This Row],[Units]]/WBTQ_SalesOverview_ExclTax[[#This Row],[Buyers]]</f>
        <v>2.7165605095541401</v>
      </c>
      <c r="AY119" s="93">
        <f>WBTQ_SalesOverview_ExclTax[[#This Row],[RR]]/WBTQ_SalesOverview_ExclTax[[#This Row],[GMV]]</f>
        <v>2.7784889984602167E-2</v>
      </c>
      <c r="AZ119" s="436">
        <f>WBTQ_SalesOverview_InTax[[#This Row],[RR]]/$F$1</f>
        <v>34668.141592920358</v>
      </c>
      <c r="BA119" s="436">
        <f>WBTQ_SalesOverview_InTax[[#This Row],[MD GMV]]/$F$1</f>
        <v>1171419.4690265488</v>
      </c>
      <c r="BB119" s="94">
        <f>WBTQ_SalesOverview_ExclTax[[#This Row],[MD GMV]]/WBTQ_SalesOverview_ExclTax[[#This Row],[GMV]]</f>
        <v>0.93883777950677294</v>
      </c>
      <c r="BC119" s="28" t="str">
        <f>_xlfn.XLOOKUP(WBTQ_SalesOverview_ExclTax[[#This Row],[DATE]],全店核心数据_bymonth[开始日期],全店核心数据_bymonth[jda日历.PayYear],"")</f>
        <v>BU25</v>
      </c>
      <c r="BO119" s="28"/>
      <c r="CD119" s="53"/>
    </row>
    <row r="120" spans="5:82" ht="14.5" customHeight="1" x14ac:dyDescent="0.3">
      <c r="E120" s="428">
        <v>45444</v>
      </c>
      <c r="F120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526230</v>
      </c>
      <c r="G120" s="431">
        <f>WBTQ_SalesOverview_InTax[[#This Row],[GMV]]-WBTQ_SalesOverview_InTax[[#This Row],[RR]]</f>
        <v>335705</v>
      </c>
      <c r="H120" s="431">
        <v>5770</v>
      </c>
      <c r="I120" s="435" cm="1">
        <f t="array" ref="I120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65</v>
      </c>
      <c r="J120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116</v>
      </c>
      <c r="K120" s="92">
        <f>WBTQ_SalesOverview_InTax[[#This Row],[Buyers]]/WBTQ_SalesOverview_InTax[[#This Row],[UV]]</f>
        <v>1.1265164644714038E-2</v>
      </c>
      <c r="L120" s="431">
        <f>WBTQ_SalesOverview_InTax[[#This Row],[GMV]]/WBTQ_SalesOverview_InTax[[#This Row],[Buyers]]</f>
        <v>8095.8461538461543</v>
      </c>
      <c r="M120" s="431">
        <f>WBTQ_SalesOverview_InTax[[#This Row],[GMV]]/WBTQ_SalesOverview_InTax[[#This Row],[Units]]</f>
        <v>4536.4655172413795</v>
      </c>
      <c r="N120" s="432">
        <f>WBTQ_SalesOverview_InTax[[#This Row],[Units]]/WBTQ_SalesOverview_InTax[[#This Row],[Buyers]]</f>
        <v>1.7846153846153847</v>
      </c>
      <c r="O120" s="93">
        <f>WBTQ_SalesOverview_InTax[[#This Row],[RR]]/WBTQ_SalesOverview_InTax[[#This Row],[GMV]]</f>
        <v>0.36205651521197957</v>
      </c>
      <c r="P120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190525</v>
      </c>
      <c r="Q120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139295</v>
      </c>
      <c r="R120" s="94">
        <f>WBTQ_SalesOverview_InTax[[#This Row],[MD GMV]]/WBTQ_SalesOverview_InTax[[#This Row],[GMV]]</f>
        <v>0.26470364669441121</v>
      </c>
      <c r="S120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110510</v>
      </c>
      <c r="T120" s="94">
        <f>WBTQ_SalesOverview_InTax[[#This Row],[MD NET]]/WBTQ_SalesOverview_InTax[[#This Row],[NET]]</f>
        <v>0.32918782859951445</v>
      </c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53" t="str">
        <f>_xlfn.XLOOKUP(WBTQ_SalesOverview_InTax[[#This Row],[DATE]],全店核心数据_bymonth[开始日期],全店核心数据_bymonth[jda日历.PayYear],"")</f>
        <v>BU25</v>
      </c>
      <c r="AM120" s="107"/>
      <c r="AN120" s="107"/>
      <c r="AO120" s="428">
        <f>WBTQ_SalesOverview_InTax[[#This Row],[DATE]]</f>
        <v>45444</v>
      </c>
      <c r="AP120" s="436">
        <f>WBTQ_SalesOverview_InTax[[#This Row],[GMV]]/$F$1</f>
        <v>465690.26548672572</v>
      </c>
      <c r="AQ120" s="436">
        <f>WBTQ_SalesOverview_ExclTax[[#This Row],[GMV]]-WBTQ_SalesOverview_ExclTax[[#This Row],[RR]]</f>
        <v>297084.07079646026</v>
      </c>
      <c r="AR120" s="431">
        <f>WBTQ_SalesOverview_InTax[[#This Row],[UV]]</f>
        <v>5770</v>
      </c>
      <c r="AS120" s="431">
        <f>WBTQ_SalesOverview_InTax[[#This Row],[Buyers]]</f>
        <v>65</v>
      </c>
      <c r="AT120" s="431">
        <f>WBTQ_SalesOverview_InTax[[#This Row],[Units]]</f>
        <v>116</v>
      </c>
      <c r="AU120" s="92">
        <f>WBTQ_SalesOverview_ExclTax[[#This Row],[Buyers]]/WBTQ_SalesOverview_ExclTax[[#This Row],[UV]]</f>
        <v>1.1265164644714038E-2</v>
      </c>
      <c r="AV120" s="431">
        <f>WBTQ_SalesOverview_ExclTax[[#This Row],[GMV]]/WBTQ_SalesOverview_ExclTax[[#This Row],[Buyers]]</f>
        <v>7164.4656228727035</v>
      </c>
      <c r="AW120" s="431">
        <f>WBTQ_SalesOverview_ExclTax[[#This Row],[GMV]]/WBTQ_SalesOverview_ExclTax[[#This Row],[Units]]</f>
        <v>4014.5712541959115</v>
      </c>
      <c r="AX120" s="432">
        <f>WBTQ_SalesOverview_ExclTax[[#This Row],[Units]]/WBTQ_SalesOverview_ExclTax[[#This Row],[Buyers]]</f>
        <v>1.7846153846153847</v>
      </c>
      <c r="AY120" s="93">
        <f>WBTQ_SalesOverview_ExclTax[[#This Row],[RR]]/WBTQ_SalesOverview_ExclTax[[#This Row],[GMV]]</f>
        <v>0.36205651521197951</v>
      </c>
      <c r="AZ120" s="436">
        <f>WBTQ_SalesOverview_InTax[[#This Row],[RR]]/$F$1</f>
        <v>168606.19469026549</v>
      </c>
      <c r="BA120" s="436">
        <f>WBTQ_SalesOverview_InTax[[#This Row],[MD GMV]]/$F$1</f>
        <v>123269.91150442479</v>
      </c>
      <c r="BB120" s="94">
        <f>WBTQ_SalesOverview_ExclTax[[#This Row],[MD GMV]]/WBTQ_SalesOverview_ExclTax[[#This Row],[GMV]]</f>
        <v>0.26470364669441115</v>
      </c>
      <c r="BC120" s="28" t="str">
        <f>_xlfn.XLOOKUP(WBTQ_SalesOverview_ExclTax[[#This Row],[DATE]],全店核心数据_bymonth[开始日期],全店核心数据_bymonth[jda日历.PayYear],"")</f>
        <v>BU25</v>
      </c>
      <c r="BO120" s="28"/>
      <c r="CD120" s="53"/>
    </row>
    <row r="121" spans="5:82" ht="14.5" customHeight="1" x14ac:dyDescent="0.3">
      <c r="E121" s="428">
        <v>45413</v>
      </c>
      <c r="F121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32760</v>
      </c>
      <c r="G121" s="431">
        <f>WBTQ_SalesOverview_InTax[[#This Row],[GMV]]-WBTQ_SalesOverview_InTax[[#This Row],[RR]]</f>
        <v>23175</v>
      </c>
      <c r="H121" s="438">
        <v>7126</v>
      </c>
      <c r="I121" s="435" cm="1">
        <f t="array" ref="I121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8</v>
      </c>
      <c r="J121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8</v>
      </c>
      <c r="K121" s="92">
        <f>WBTQ_SalesOverview_InTax[[#This Row],[Buyers]]/WBTQ_SalesOverview_InTax[[#This Row],[UV]]</f>
        <v>1.1226494527083919E-3</v>
      </c>
      <c r="L121" s="431">
        <f>WBTQ_SalesOverview_InTax[[#This Row],[GMV]]/WBTQ_SalesOverview_InTax[[#This Row],[Buyers]]</f>
        <v>4095</v>
      </c>
      <c r="M121" s="431">
        <f>WBTQ_SalesOverview_InTax[[#This Row],[GMV]]/WBTQ_SalesOverview_InTax[[#This Row],[Units]]</f>
        <v>4095</v>
      </c>
      <c r="N121" s="432">
        <f>WBTQ_SalesOverview_InTax[[#This Row],[Units]]/WBTQ_SalesOverview_InTax[[#This Row],[Buyers]]</f>
        <v>1</v>
      </c>
      <c r="O121" s="93">
        <f>WBTQ_SalesOverview_InTax[[#This Row],[RR]]/WBTQ_SalesOverview_InTax[[#This Row],[GMV]]</f>
        <v>0.2925824175824176</v>
      </c>
      <c r="P121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9585</v>
      </c>
      <c r="Q121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4195</v>
      </c>
      <c r="R121" s="94">
        <f>WBTQ_SalesOverview_InTax[[#This Row],[MD GMV]]/WBTQ_SalesOverview_InTax[[#This Row],[GMV]]</f>
        <v>0.12805250305250304</v>
      </c>
      <c r="S121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4195</v>
      </c>
      <c r="T121" s="94">
        <f>WBTQ_SalesOverview_InTax[[#This Row],[MD NET]]/WBTQ_SalesOverview_InTax[[#This Row],[NET]]</f>
        <v>0.18101402373247033</v>
      </c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53" t="str">
        <f>_xlfn.XLOOKUP(WBTQ_SalesOverview_InTax[[#This Row],[DATE]],全店核心数据_bymonth[开始日期],全店核心数据_bymonth[jda日历.PayYear],"")</f>
        <v>BU25</v>
      </c>
      <c r="AM121" s="107"/>
      <c r="AN121" s="107"/>
      <c r="AO121" s="428">
        <f>WBTQ_SalesOverview_InTax[[#This Row],[DATE]]</f>
        <v>45413</v>
      </c>
      <c r="AP121" s="436">
        <f>WBTQ_SalesOverview_InTax[[#This Row],[GMV]]/$F$1</f>
        <v>28991.15044247788</v>
      </c>
      <c r="AQ121" s="436">
        <f>WBTQ_SalesOverview_ExclTax[[#This Row],[GMV]]-WBTQ_SalesOverview_ExclTax[[#This Row],[RR]]</f>
        <v>20508.849557522124</v>
      </c>
      <c r="AR121" s="431">
        <f>WBTQ_SalesOverview_InTax[[#This Row],[UV]]</f>
        <v>7126</v>
      </c>
      <c r="AS121" s="431">
        <f>WBTQ_SalesOverview_InTax[[#This Row],[Buyers]]</f>
        <v>8</v>
      </c>
      <c r="AT121" s="431">
        <f>WBTQ_SalesOverview_InTax[[#This Row],[Units]]</f>
        <v>8</v>
      </c>
      <c r="AU121" s="92">
        <f>WBTQ_SalesOverview_ExclTax[[#This Row],[Buyers]]/WBTQ_SalesOverview_ExclTax[[#This Row],[UV]]</f>
        <v>1.1226494527083919E-3</v>
      </c>
      <c r="AV121" s="431">
        <f>WBTQ_SalesOverview_ExclTax[[#This Row],[GMV]]/WBTQ_SalesOverview_ExclTax[[#This Row],[Buyers]]</f>
        <v>3623.8938053097349</v>
      </c>
      <c r="AW121" s="431">
        <f>WBTQ_SalesOverview_ExclTax[[#This Row],[GMV]]/WBTQ_SalesOverview_ExclTax[[#This Row],[Units]]</f>
        <v>3623.8938053097349</v>
      </c>
      <c r="AX121" s="432">
        <f>WBTQ_SalesOverview_ExclTax[[#This Row],[Units]]/WBTQ_SalesOverview_ExclTax[[#This Row],[Buyers]]</f>
        <v>1</v>
      </c>
      <c r="AY121" s="93">
        <f>WBTQ_SalesOverview_ExclTax[[#This Row],[RR]]/WBTQ_SalesOverview_ExclTax[[#This Row],[GMV]]</f>
        <v>0.2925824175824176</v>
      </c>
      <c r="AZ121" s="436">
        <f>WBTQ_SalesOverview_InTax[[#This Row],[RR]]/$F$1</f>
        <v>8482.3008849557536</v>
      </c>
      <c r="BA121" s="436">
        <f>WBTQ_SalesOverview_InTax[[#This Row],[MD GMV]]/$F$1</f>
        <v>3712.389380530974</v>
      </c>
      <c r="BB121" s="94">
        <f>WBTQ_SalesOverview_ExclTax[[#This Row],[MD GMV]]/WBTQ_SalesOverview_ExclTax[[#This Row],[GMV]]</f>
        <v>0.12805250305250307</v>
      </c>
      <c r="BC121" s="28" t="str">
        <f>_xlfn.XLOOKUP(WBTQ_SalesOverview_ExclTax[[#This Row],[DATE]],全店核心数据_bymonth[开始日期],全店核心数据_bymonth[jda日历.PayYear],"")</f>
        <v>BU25</v>
      </c>
      <c r="BO121" s="28"/>
      <c r="CD121" s="53"/>
    </row>
    <row r="122" spans="5:82" ht="14.5" customHeight="1" x14ac:dyDescent="0.3">
      <c r="E122" s="428">
        <v>45383</v>
      </c>
      <c r="F122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Row],[DATE]],0)+1,[44]!dtc_订单源[店铺名称],"*小程序*")</f>
        <v>104290</v>
      </c>
      <c r="G122" s="431">
        <f>WBTQ_SalesOverview_InTax[[#This Row],[GMV]]-WBTQ_SalesOverview_InTax[[#This Row],[RR]]</f>
        <v>65155</v>
      </c>
      <c r="H122" s="438">
        <v>15855</v>
      </c>
      <c r="I122" s="435" cm="1">
        <f t="array" ref="I122">COUNT(LEN(_xlfn.UNIQUE(_xlfn._xlws.FILTER([44]!dtc_订单源[买家昵称],([44]!dtc_订单源[最后付款时间]&gt;=WBTQ_SalesOverview_InTax[[#This Row],[DATE]])*([44]!dtc_订单源[最后付款时间]&lt;EOMONTH(WBTQ_SalesOverview_InTax[[#This Row],[DATE]],0)+1)*([44]!dtc_订单源[店铺名称]="Dunhill微信小程序店")))))</f>
        <v>15</v>
      </c>
      <c r="J122" s="431">
        <f>SUMIFS([44]!dtc_订单源[件数],[44]!dtc_订单源[最后付款时间],"&gt;="&amp;WBTQ_SalesOverview_InTax[[#This Row],[DATE]],[44]!dtc_订单源[最后付款时间],"&lt;"&amp;EOMONTH(WBTQ_SalesOverview_InTax[[#This Row],[DATE]],0)+1,[44]!dtc_订单源[店铺名称],"*小程序*")</f>
        <v>19</v>
      </c>
      <c r="K122" s="92">
        <f>WBTQ_SalesOverview_InTax[[#This Row],[Buyers]]/WBTQ_SalesOverview_InTax[[#This Row],[UV]]</f>
        <v>9.4607379375591296E-4</v>
      </c>
      <c r="L122" s="431">
        <f>WBTQ_SalesOverview_InTax[[#This Row],[GMV]]/WBTQ_SalesOverview_InTax[[#This Row],[Buyers]]</f>
        <v>6952.666666666667</v>
      </c>
      <c r="M122" s="431">
        <f>WBTQ_SalesOverview_InTax[[#This Row],[GMV]]/WBTQ_SalesOverview_InTax[[#This Row],[Units]]</f>
        <v>5488.9473684210525</v>
      </c>
      <c r="N122" s="432">
        <f>WBTQ_SalesOverview_InTax[[#This Row],[Units]]/WBTQ_SalesOverview_InTax[[#This Row],[Buyers]]</f>
        <v>1.2666666666666666</v>
      </c>
      <c r="O122" s="93">
        <f>WBTQ_SalesOverview_InTax[[#This Row],[RR]]/WBTQ_SalesOverview_InTax[[#This Row],[GMV]]</f>
        <v>0.37525170198484992</v>
      </c>
      <c r="P122" s="431">
        <f>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Row],[DATE]],0)+1,[44]!dtc_订单源[店铺名称],"*小程序*")</f>
        <v>39135</v>
      </c>
      <c r="Q122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0</v>
      </c>
      <c r="R122" s="94">
        <f>WBTQ_SalesOverview_InTax[[#This Row],[MD GMV]]/WBTQ_SalesOverview_InTax[[#This Row],[GMV]]</f>
        <v>0</v>
      </c>
      <c r="S122" s="431">
        <f>SUMIFS([44]!dtc_订单源[成交总金额],[44]!dtc_订单源[最后付款时间],"&gt;="&amp;WBTQ_SalesOverview_InTax[[#This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Row],[DATE]],0)+1,[44]!dtc_订单源[店铺名称],"*小程序*",[44]!dtc_订单源[FP_MD],"MD")-SUMIFS([44]!dtc_订单源[退款金额],[44]!dtc_订单源[最后付款时间],"&gt;="&amp;WBTQ_SalesOverview_InTax[[#This Row],[DATE]],[44]!dtc_订单源[最后付款时间],"&lt;"&amp;EOMONTH(WBTQ_SalesOverview_InTax[[#This Row],[DATE]],0)+1,[44]!dtc_订单源[店铺名称],"*小程序*",[44]!dtc_订单源[FP_MD],"MD")</f>
        <v>0</v>
      </c>
      <c r="T122" s="94">
        <f>WBTQ_SalesOverview_InTax[[#This Row],[MD NET]]/WBTQ_SalesOverview_InTax[[#This Row],[NET]]</f>
        <v>0</v>
      </c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53" t="str">
        <f>_xlfn.XLOOKUP(WBTQ_SalesOverview_InTax[[#This Row],[DATE]],全店核心数据_bymonth[开始日期],全店核心数据_bymonth[jda日历.PayYear],"")</f>
        <v>BU25</v>
      </c>
      <c r="AO122" s="428">
        <f>WBTQ_SalesOverview_InTax[[#This Row],[DATE]]</f>
        <v>45383</v>
      </c>
      <c r="AP122" s="436">
        <f>WBTQ_SalesOverview_InTax[[#This Row],[GMV]]/$F$1</f>
        <v>92292.035398230102</v>
      </c>
      <c r="AQ122" s="436">
        <f>WBTQ_SalesOverview_ExclTax[[#This Row],[GMV]]-WBTQ_SalesOverview_ExclTax[[#This Row],[RR]]</f>
        <v>57659.292035398241</v>
      </c>
      <c r="AR122" s="431">
        <f>WBTQ_SalesOverview_InTax[[#This Row],[UV]]</f>
        <v>15855</v>
      </c>
      <c r="AS122" s="431">
        <f>WBTQ_SalesOverview_InTax[[#This Row],[Buyers]]</f>
        <v>15</v>
      </c>
      <c r="AT122" s="431">
        <f>WBTQ_SalesOverview_InTax[[#This Row],[Units]]</f>
        <v>19</v>
      </c>
      <c r="AU122" s="92">
        <f>WBTQ_SalesOverview_ExclTax[[#This Row],[Buyers]]/WBTQ_SalesOverview_ExclTax[[#This Row],[UV]]</f>
        <v>9.4607379375591296E-4</v>
      </c>
      <c r="AV122" s="431">
        <f>WBTQ_SalesOverview_ExclTax[[#This Row],[GMV]]/WBTQ_SalesOverview_ExclTax[[#This Row],[Buyers]]</f>
        <v>6152.8023598820064</v>
      </c>
      <c r="AW122" s="431">
        <f>WBTQ_SalesOverview_ExclTax[[#This Row],[GMV]]/WBTQ_SalesOverview_ExclTax[[#This Row],[Units]]</f>
        <v>4857.4755472752686</v>
      </c>
      <c r="AX122" s="432">
        <f>WBTQ_SalesOverview_ExclTax[[#This Row],[Units]]/WBTQ_SalesOverview_ExclTax[[#This Row],[Buyers]]</f>
        <v>1.2666666666666666</v>
      </c>
      <c r="AY122" s="93">
        <f>WBTQ_SalesOverview_ExclTax[[#This Row],[RR]]/WBTQ_SalesOverview_ExclTax[[#This Row],[GMV]]</f>
        <v>0.37525170198484992</v>
      </c>
      <c r="AZ122" s="436">
        <f>WBTQ_SalesOverview_InTax[[#This Row],[RR]]/$F$1</f>
        <v>34632.743362831861</v>
      </c>
      <c r="BA122" s="436">
        <f>WBTQ_SalesOverview_InTax[[#This Row],[MD GMV]]/$F$1</f>
        <v>0</v>
      </c>
      <c r="BB122" s="94">
        <f>WBTQ_SalesOverview_ExclTax[[#This Row],[MD GMV]]/WBTQ_SalesOverview_ExclTax[[#This Row],[GMV]]</f>
        <v>0</v>
      </c>
      <c r="BC122" s="28" t="str">
        <f>_xlfn.XLOOKUP(WBTQ_SalesOverview_ExclTax[[#This Row],[DATE]],全店核心数据_bymonth[开始日期],全店核心数据_bymonth[jda日历.PayYear],"")</f>
        <v>BU25</v>
      </c>
      <c r="BO122" s="28"/>
      <c r="CD122" s="53"/>
    </row>
    <row r="123" spans="5:82" ht="14.5" customHeight="1" x14ac:dyDescent="0.3">
      <c r="E123" s="425" t="s">
        <v>331</v>
      </c>
      <c r="F123" s="256">
        <f>SUMIFS(WBTQ_SalesOverview_InTax[GMV],WBTQ_SalesOverview_InTax[DATE],$K$1)/SUMIFS(WBTQ_SalesOverview_InTax[GMV],WBTQ_SalesOverview_InTax[DATE],EDATE($K$1,-12))-1</f>
        <v>-2.3829161904624696E-2</v>
      </c>
      <c r="G123" s="256">
        <f>SUMIFS(WBTQ_SalesOverview_InTax[NET],WBTQ_SalesOverview_InTax[DATE],$K$1)/SUMIFS(WBTQ_SalesOverview_InTax[NET],WBTQ_SalesOverview_InTax[DATE],EDATE($K$1,-12))-1</f>
        <v>-4.9405341829665717E-2</v>
      </c>
      <c r="H123" s="256">
        <f>SUMIFS(WBTQ_SalesOverview_InTax[UV],WBTQ_SalesOverview_InTax[DATE],$K$1)/SUMIFS(WBTQ_SalesOverview_InTax[UV],WBTQ_SalesOverview_InTax[DATE],EDATE($K$1,-12))-1</f>
        <v>-0.12112160339179034</v>
      </c>
      <c r="I123" s="256">
        <f>SUMIFS(WBTQ_SalesOverview_InTax[Buyers],WBTQ_SalesOverview_InTax[DATE],$K$1)/SUMIFS(WBTQ_SalesOverview_InTax[Buyers],WBTQ_SalesOverview_InTax[DATE],EDATE($K$1,-12))-1</f>
        <v>-6.0998151571164505E-2</v>
      </c>
      <c r="J123" s="256">
        <f>SUMIFS(WBTQ_SalesOverview_InTax[Units],WBTQ_SalesOverview_InTax[DATE],$K$1)/SUMIFS(WBTQ_SalesOverview_InTax[Units],WBTQ_SalesOverview_InTax[DATE],EDATE($K$1,-12))-1</f>
        <v>-0.13223140495867769</v>
      </c>
      <c r="K123" s="256">
        <f>SUMIFS(WBTQ_SalesOverview_InTax[CR],WBTQ_SalesOverview_InTax[DATE],$K$1)/SUMIFS(WBTQ_SalesOverview_InTax[CR],WBTQ_SalesOverview_InTax[DATE],EDATE($K$1,-12))-1</f>
        <v>6.8409295361742561E-2</v>
      </c>
      <c r="L123" s="256">
        <f>SUMIFS(WBTQ_SalesOverview_InTax[ATV],WBTQ_SalesOverview_InTax[DATE],$K$1)/SUMIFS(WBTQ_SalesOverview_InTax[ATV],WBTQ_SalesOverview_InTax[DATE],EDATE($K$1,-12))-1</f>
        <v>3.9583510648815157E-2</v>
      </c>
      <c r="M123" s="256">
        <f>SUMIFS(WBTQ_SalesOverview_InTax[AUR],WBTQ_SalesOverview_InTax[DATE],$K$1)/SUMIFS(WBTQ_SalesOverview_InTax[AUR],WBTQ_SalesOverview_InTax[DATE],EDATE($K$1,-12))-1</f>
        <v>0.1249206800908611</v>
      </c>
      <c r="N123" s="256">
        <f>SUMIFS(WBTQ_SalesOverview_InTax[UPT],WBTQ_SalesOverview_InTax[DATE],$K$1)/SUMIFS(WBTQ_SalesOverview_InTax[UPT],WBTQ_SalesOverview_InTax[DATE],EDATE($K$1,-12))-1</f>
        <v>-7.5860610398906791E-2</v>
      </c>
      <c r="O123" s="255">
        <f>(SUMIFS(WBTQ_SalesOverview_InTax[RRC],WBTQ_SalesOverview_InTax[DATE],$K$1)-SUMIFS(WBTQ_SalesOverview_InTax[RRC],WBTQ_SalesOverview_InTax[DATE],EDATE($K$1,-12)))*100</f>
        <v>2.3421347725963186</v>
      </c>
      <c r="P123" s="222">
        <f>SUMIFS(WBTQ_SalesOverview_InTax[RR],WBTQ_SalesOverview_InTax[DATE],$K$1)/SUMIFS(WBTQ_SalesOverview_InTax[RR],WBTQ_SalesOverview_InTax[DATE],EDATE($K$1,-12))-1</f>
        <v>0.19171321856126133</v>
      </c>
      <c r="Q123" s="222">
        <f>SUMIFS(WBTQ_SalesOverview_InTax[MD GMV],WBTQ_SalesOverview_InTax[DATE],$K$1)/SUMIFS(WBTQ_SalesOverview_InTax[MD GMV],WBTQ_SalesOverview_InTax[DATE],EDATE($K$1,-12))-1</f>
        <v>-0.16165845188753281</v>
      </c>
      <c r="R123" s="255">
        <f>(SUMIFS(WBTQ_SalesOverview_InTax[MD%],WBTQ_SalesOverview_InTax[DATE],$K$1)-SUMIFS(WBTQ_SalesOverview_InTax[MD%],WBTQ_SalesOverview_InTax[DATE],EDATE($K$1,-12)))*100</f>
        <v>-13.916673211268316</v>
      </c>
      <c r="S123" s="222">
        <f>SUMIFS(WBTQ_SalesOverview_InTax[MD GMV],WBTQ_SalesOverview_InTax[DATE],$K$1)/SUMIFS(WBTQ_SalesOverview_InTax[MD GMV],WBTQ_SalesOverview_InTax[DATE],EDATE($K$1,-12))-1</f>
        <v>-0.16165845188753281</v>
      </c>
      <c r="T123" s="255">
        <f>(SUMIFS(WBTQ_SalesOverview_InTax[MD NET%],WBTQ_SalesOverview_InTax[DATE],$K$1)-SUMIFS(WBTQ_SalesOverview_InTax[MD NET%],WBTQ_SalesOverview_InTax[DATE],EDATE($K$1,-12)))*100</f>
        <v>-7.6856323783665133</v>
      </c>
      <c r="U123" s="255"/>
      <c r="V123" s="255"/>
      <c r="W123" s="255"/>
      <c r="X123" s="255"/>
      <c r="Y123" s="255"/>
      <c r="Z123" s="255"/>
      <c r="AA123" s="255"/>
      <c r="AB123" s="255"/>
      <c r="AC123" s="255"/>
      <c r="AD123" s="255"/>
      <c r="AE123" s="255"/>
      <c r="AF123" s="255"/>
      <c r="AG123" s="255"/>
      <c r="AH123" s="255"/>
      <c r="AI123" s="255"/>
      <c r="AJ123" s="255"/>
      <c r="AK123" s="255"/>
      <c r="AL123" s="28" t="str">
        <f>_xlfn.XLOOKUP(WBTQ_SalesOverview_InTax[[#This Row],[DATE]],全店核心数据_bymonth[开始日期],全店核心数据_bymonth[jda日历.PayYear],"")</f>
        <v/>
      </c>
      <c r="AM123" s="447"/>
      <c r="AN123" s="447"/>
      <c r="AO123" s="428" t="str">
        <f>WBTQ_SalesOverview_InTax[[#This Row],[DATE]]</f>
        <v>MTD YOY</v>
      </c>
      <c r="AP123" s="256">
        <f>WBTQ_SalesOverview_InTax[[#This Row],[GMV]]</f>
        <v>-2.3829161904624696E-2</v>
      </c>
      <c r="AQ123" s="256">
        <f>WBTQ_SalesOverview_InTax[[#This Row],[NET]]</f>
        <v>-4.9405341829665717E-2</v>
      </c>
      <c r="AR123" s="256">
        <f>WBTQ_SalesOverview_InTax[[#This Row],[UV]]</f>
        <v>-0.12112160339179034</v>
      </c>
      <c r="AS123" s="256">
        <f>WBTQ_SalesOverview_InTax[[#This Row],[Buyers]]</f>
        <v>-6.0998151571164505E-2</v>
      </c>
      <c r="AT123" s="256">
        <f>WBTQ_SalesOverview_InTax[[#This Row],[Units]]</f>
        <v>-0.13223140495867769</v>
      </c>
      <c r="AU123" s="256">
        <f>WBTQ_SalesOverview_InTax[[#This Row],[CR]]</f>
        <v>6.8409295361742561E-2</v>
      </c>
      <c r="AV123" s="256">
        <f>WBTQ_SalesOverview_InTax[[#This Row],[ATV]]</f>
        <v>3.9583510648815157E-2</v>
      </c>
      <c r="AW123" s="256">
        <f>WBTQ_SalesOverview_InTax[[#This Row],[AUR]]</f>
        <v>0.1249206800908611</v>
      </c>
      <c r="AX123" s="256">
        <f>WBTQ_SalesOverview_InTax[[#This Row],[UPT]]</f>
        <v>-7.5860610398906791E-2</v>
      </c>
      <c r="AY123" s="255">
        <f>WBTQ_SalesOverview_InTax[[#This Row],[RRC]]</f>
        <v>2.3421347725963186</v>
      </c>
      <c r="AZ123" s="222">
        <f>WBTQ_SalesOverview_InTax[[#This Row],[RR]]</f>
        <v>0.19171321856126133</v>
      </c>
      <c r="BA123" s="222">
        <f>WBTQ_SalesOverview_InTax[[#This Row],[MD GMV]]</f>
        <v>-0.16165845188753281</v>
      </c>
      <c r="BB123" s="255">
        <f>WBTQ_SalesOverview_InTax[[#This Row],[MD%]]</f>
        <v>-13.916673211268316</v>
      </c>
      <c r="BC123" s="28" t="str">
        <f>_xlfn.XLOOKUP(WBTQ_SalesOverview_ExclTax[[#This Row],[DATE]],全店核心数据_bymonth[开始日期],全店核心数据_bymonth[jda日历.PayYear],"")</f>
        <v/>
      </c>
      <c r="BO123" s="28"/>
      <c r="CD123" s="53"/>
    </row>
    <row r="124" spans="5:82" ht="14.5" customHeight="1" x14ac:dyDescent="0.3">
      <c r="E124" s="428" t="s">
        <v>566</v>
      </c>
      <c r="F124" s="439">
        <f>SUMIFS([44]!dtc_订单源[成交总金额],[44]!dtc_订单源[pay_year],LEFT(WBTQ_SalesOverview_InTax[[#This Row],[DATE]],4),[44]!dtc_订单源[最后付款时间],"&lt;"&amp;EOMONTH($K$1,0)+1,[44]!dtc_订单源[店铺名称],"*小程序*",[44]!dtc_订单源[ff_flag],1)</f>
        <v>2116520.0000000005</v>
      </c>
      <c r="G124" s="448">
        <f>WBTQ_SalesOverview_InTax[[#This Row],[GMV]]-WBTQ_SalesOverview_InTax[[#This Row],[RR]]</f>
        <v>2033249.6100000006</v>
      </c>
      <c r="H124" s="437">
        <f>2231+250+3150</f>
        <v>5631</v>
      </c>
      <c r="I124" s="435" cm="1">
        <f t="array" ref="I124">COUNT(LEN(_xlfn.UNIQUE(_xlfn._xlws.FILTER([44]!dtc_订单源[买家昵称],([44]!dtc_订单源[pay_year]=LEFT(WBTQ_SalesOverview_InTax[[#This Row],[DATE]],4))*([44]!dtc_订单源[最后付款时间]&lt;(EOMONTH($K$1,0)+1))*([44]!dtc_订单源[店铺名称]="Dunhill微信小程序店")*([44]!dtc_订单源[ff_flag]=1)))))</f>
        <v>763</v>
      </c>
      <c r="J124" s="439">
        <f>SUMIFS([44]!dtc_订单源[件数],[44]!dtc_订单源[pay_year],LEFT(WBTQ_SalesOverview_InTax[[#This Row],[DATE]],4),[44]!dtc_订单源[最后付款时间],"&lt;"&amp;EOMONTH($K$1,0)+1,[44]!dtc_订单源[店铺名称],"*小程序*",[44]!dtc_订单源[ff_flag],1)</f>
        <v>2419</v>
      </c>
      <c r="K124" s="101">
        <f>WBTQ_SalesOverview_InTax[[#This Row],[Buyers]]/WBTQ_SalesOverview_InTax[[#This Row],[UV]]</f>
        <v>0.13549991120582489</v>
      </c>
      <c r="L124" s="448">
        <f>WBTQ_SalesOverview_InTax[[#This Row],[GMV]]/WBTQ_SalesOverview_InTax[[#This Row],[Buyers]]</f>
        <v>2773.9449541284412</v>
      </c>
      <c r="M124" s="448">
        <f>WBTQ_SalesOverview_InTax[[#This Row],[GMV]]/WBTQ_SalesOverview_InTax[[#This Row],[Units]]</f>
        <v>874.95659363373318</v>
      </c>
      <c r="N124" s="449">
        <f>WBTQ_SalesOverview_InTax[[#This Row],[Units]]/WBTQ_SalesOverview_InTax[[#This Row],[Buyers]]</f>
        <v>3.1703800786369594</v>
      </c>
      <c r="O124" s="102">
        <f>WBTQ_SalesOverview_InTax[[#This Row],[RR]]/WBTQ_SalesOverview_InTax[[#This Row],[GMV]]</f>
        <v>3.9343067866119845E-2</v>
      </c>
      <c r="P124" s="439">
        <f>SUMIFS([44]!dtc_订单源[退款金额],[44]!dtc_订单源[pay_year],LEFT(WBTQ_SalesOverview_InTax[[#This Row],[DATE]],4),[44]!dtc_订单源[最后付款时间],"&lt;"&amp;EOMONTH($K$1,0)+1,[44]!dtc_订单源[店铺名称],"*小程序*",[44]!dtc_订单源[ff_flag],1)</f>
        <v>83270.39</v>
      </c>
      <c r="Q124" s="448">
        <f>WBTQ_SalesOverview_InTax[[#This Row],[GMV]]</f>
        <v>2116520.0000000005</v>
      </c>
      <c r="R124" s="103">
        <f>WBTQ_SalesOverview_InTax[[#This Row],[MD GMV]]/WBTQ_SalesOverview_InTax[[#This Row],[GMV]]</f>
        <v>1</v>
      </c>
      <c r="S124" s="448">
        <f>WBTQ_SalesOverview_InTax[[#This Row],[NET]]</f>
        <v>2033249.6100000006</v>
      </c>
      <c r="T124" s="94">
        <f>WBTQ_SalesOverview_InTax[[#This Row],[MD NET]]/WBTQ_SalesOverview_InTax[[#This Row],[NET]]</f>
        <v>1</v>
      </c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447" t="str">
        <f>_xlfn.XLOOKUP(WBTQ_SalesOverview_InTax[[#This Row],[DATE]],全店核心数据_bymonth[开始日期],全店核心数据_bymonth[jda日历.PayYear],"")</f>
        <v/>
      </c>
      <c r="AM124" s="447"/>
      <c r="AN124" s="447"/>
      <c r="AO124" s="428" t="str">
        <f>WBTQ_SalesOverview_InTax[[#This Row],[DATE]]</f>
        <v>BU26 YTD FF</v>
      </c>
      <c r="AP124" s="429">
        <f>WBTQ_SalesOverview_InTax[[#This Row],[GMV]]/$F$1</f>
        <v>1873026.5486725669</v>
      </c>
      <c r="AQ124" s="429">
        <f>WBTQ_SalesOverview_ExclTax[[#This Row],[GMV]]-WBTQ_SalesOverview_ExclTax[[#This Row],[RR]]</f>
        <v>1799335.9380530978</v>
      </c>
      <c r="AR124" s="431">
        <f>WBTQ_SalesOverview_InTax[[#This Row],[UV]]</f>
        <v>5631</v>
      </c>
      <c r="AS124" s="431">
        <f>WBTQ_SalesOverview_InTax[[#This Row],[Buyers]]</f>
        <v>763</v>
      </c>
      <c r="AT124" s="431">
        <f>WBTQ_SalesOverview_InTax[[#This Row],[Units]]</f>
        <v>2419</v>
      </c>
      <c r="AU124" s="92">
        <f>WBTQ_SalesOverview_ExclTax[[#This Row],[Buyers]]/WBTQ_SalesOverview_ExclTax[[#This Row],[UV]]</f>
        <v>0.13549991120582489</v>
      </c>
      <c r="AV124" s="431">
        <f>WBTQ_SalesOverview_ExclTax[[#This Row],[GMV]]/WBTQ_SalesOverview_ExclTax[[#This Row],[Buyers]]</f>
        <v>2454.8185434764964</v>
      </c>
      <c r="AW124" s="431">
        <f>WBTQ_SalesOverview_ExclTax[[#This Row],[GMV]]/WBTQ_SalesOverview_ExclTax[[#This Row],[Units]]</f>
        <v>774.29787047233026</v>
      </c>
      <c r="AX124" s="432">
        <f>WBTQ_SalesOverview_ExclTax[[#This Row],[Units]]/WBTQ_SalesOverview_ExclTax[[#This Row],[Buyers]]</f>
        <v>3.1703800786369594</v>
      </c>
      <c r="AY124" s="93">
        <f>WBTQ_SalesOverview_ExclTax[[#This Row],[RR]]/WBTQ_SalesOverview_ExclTax[[#This Row],[GMV]]</f>
        <v>3.9343067866119852E-2</v>
      </c>
      <c r="AZ124" s="436">
        <f>WBTQ_SalesOverview_InTax[[#This Row],[RR]]/$F$1</f>
        <v>73690.610619469036</v>
      </c>
      <c r="BA124" s="436">
        <f>WBTQ_SalesOverview_InTax[[#This Row],[MD GMV]]/$F$1</f>
        <v>1873026.5486725669</v>
      </c>
      <c r="BB124" s="94">
        <f>WBTQ_SalesOverview_ExclTax[[#This Row],[MD GMV]]/WBTQ_SalesOverview_ExclTax[[#This Row],[GMV]]</f>
        <v>1</v>
      </c>
      <c r="BC124" s="28" t="str">
        <f>_xlfn.XLOOKUP(WBTQ_SalesOverview_ExclTax[[#This Row],[DATE]],全店核心数据_bymonth[开始日期],全店核心数据_bymonth[jda日历.PayYear],"")</f>
        <v/>
      </c>
      <c r="BO124" s="28"/>
      <c r="CD124" s="53"/>
    </row>
    <row r="125" spans="5:82" ht="14.5" customHeight="1" x14ac:dyDescent="0.3">
      <c r="E125" s="428" t="s">
        <v>555</v>
      </c>
      <c r="F125" s="439">
        <f>SUMIFS([44]!dtc_订单源[成交总金额],[44]!dtc_订单源[pay_year],LEFT(WBTQ_SalesOverview_InTax[[#This Row],[DATE]],4),[44]!dtc_订单源[最后付款时间],"&lt;"&amp;EDATE(EOMONTH($K$1,0)+1,-12),[44]!dtc_订单源[店铺名称],"*小程序*",[44]!dtc_订单源[ff_flag],1)</f>
        <v>2763420.0000000014</v>
      </c>
      <c r="G125" s="448">
        <f>WBTQ_SalesOverview_InTax[[#This Row],[GMV]]-WBTQ_SalesOverview_InTax[[#This Row],[RR]]</f>
        <v>2581286.2700000014</v>
      </c>
      <c r="H125" s="437">
        <f>11127+3894</f>
        <v>15021</v>
      </c>
      <c r="I125" s="435" cm="1">
        <f t="array" ref="I125">COUNT(LEN(_xlfn.UNIQUE(_xlfn._xlws.FILTER([44]!dtc_订单源[买家昵称],([44]!dtc_订单源[pay_year]=LEFT(WBTQ_SalesOverview_InTax[[#This Row],[DATE]],4))*([44]!dtc_订单源[最后付款时间]&lt;(EDATE(EOMONTH($K$1,0)+1,-12)))*([44]!dtc_订单源[店铺名称]="Dunhill微信小程序店")*([44]!dtc_订单源[ff_flag]=1)))))</f>
        <v>1345</v>
      </c>
      <c r="J125" s="439">
        <f>SUMIFS([44]!dtc_订单源[件数],[44]!dtc_订单源[pay_year],LEFT(WBTQ_SalesOverview_InTax[[#This Row],[DATE]],4),[44]!dtc_订单源[最后付款时间],"&lt;"&amp;EDATE(EOMONTH($K$1,0)+1,-12),[44]!dtc_订单源[店铺名称],"*小程序*",[44]!dtc_订单源[ff_flag],1)</f>
        <v>4032</v>
      </c>
      <c r="K125" s="101">
        <f>WBTQ_SalesOverview_InTax[[#This Row],[Buyers]]/WBTQ_SalesOverview_InTax[[#This Row],[UV]]</f>
        <v>8.9541308834298644E-2</v>
      </c>
      <c r="L125" s="448">
        <f>WBTQ_SalesOverview_InTax[[#This Row],[GMV]]/WBTQ_SalesOverview_InTax[[#This Row],[Buyers]]</f>
        <v>2054.5873605947968</v>
      </c>
      <c r="M125" s="448">
        <f>WBTQ_SalesOverview_InTax[[#This Row],[GMV]]/WBTQ_SalesOverview_InTax[[#This Row],[Units]]</f>
        <v>685.37202380952419</v>
      </c>
      <c r="N125" s="449">
        <f>WBTQ_SalesOverview_InTax[[#This Row],[Units]]/WBTQ_SalesOverview_InTax[[#This Row],[Buyers]]</f>
        <v>2.9977695167286247</v>
      </c>
      <c r="O125" s="102">
        <f>WBTQ_SalesOverview_InTax[[#This Row],[RR]]/WBTQ_SalesOverview_InTax[[#This Row],[GMV]]</f>
        <v>6.5908812268855227E-2</v>
      </c>
      <c r="P125" s="439">
        <f>SUMIFS([44]!dtc_订单源[退款金额],[44]!dtc_订单源[pay_year],LEFT(WBTQ_SalesOverview_InTax[[#This Row],[DATE]],4),[44]!dtc_订单源[最后付款时间],"&lt;"&amp;EDATE(EOMONTH($K$1,0)+1,-12),[44]!dtc_订单源[店铺名称],"*小程序*",[44]!dtc_订单源[ff_flag],1)</f>
        <v>182133.73</v>
      </c>
      <c r="Q125" s="448">
        <f>WBTQ_SalesOverview_InTax[[#This Row],[GMV]]</f>
        <v>2763420.0000000014</v>
      </c>
      <c r="R125" s="103">
        <f>WBTQ_SalesOverview_InTax[[#This Row],[MD GMV]]/WBTQ_SalesOverview_InTax[[#This Row],[GMV]]</f>
        <v>1</v>
      </c>
      <c r="S125" s="448">
        <f>WBTQ_SalesOverview_InTax[[#This Row],[NET]]</f>
        <v>2581286.2700000014</v>
      </c>
      <c r="T125" s="94">
        <f>WBTQ_SalesOverview_InTax[[#This Row],[MD NET]]/WBTQ_SalesOverview_InTax[[#This Row],[NET]]</f>
        <v>1</v>
      </c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447" t="str">
        <f>_xlfn.XLOOKUP(WBTQ_SalesOverview_InTax[[#This Row],[DATE]],全店核心数据_bymonth[开始日期],全店核心数据_bymonth[jda日历.PayYear],"")</f>
        <v/>
      </c>
      <c r="AM125" s="447"/>
      <c r="AN125" s="447"/>
      <c r="AO125" s="428" t="str">
        <f>WBTQ_SalesOverview_InTax[[#This Row],[DATE]]</f>
        <v>BU25 YTD FF</v>
      </c>
      <c r="AP125" s="429">
        <f>WBTQ_SalesOverview_InTax[[#This Row],[GMV]]/$F$1</f>
        <v>2445504.4247787627</v>
      </c>
      <c r="AQ125" s="429">
        <f>WBTQ_SalesOverview_ExclTax[[#This Row],[GMV]]-WBTQ_SalesOverview_ExclTax[[#This Row],[RR]]</f>
        <v>2284324.1327433647</v>
      </c>
      <c r="AR125" s="431">
        <f>WBTQ_SalesOverview_InTax[[#This Row],[UV]]</f>
        <v>15021</v>
      </c>
      <c r="AS125" s="431">
        <f>WBTQ_SalesOverview_InTax[[#This Row],[Buyers]]</f>
        <v>1345</v>
      </c>
      <c r="AT125" s="431">
        <f>WBTQ_SalesOverview_InTax[[#This Row],[Units]]</f>
        <v>4032</v>
      </c>
      <c r="AU125" s="92">
        <f>WBTQ_SalesOverview_ExclTax[[#This Row],[Buyers]]/WBTQ_SalesOverview_ExclTax[[#This Row],[UV]]</f>
        <v>8.9541308834298644E-2</v>
      </c>
      <c r="AV125" s="431">
        <f>WBTQ_SalesOverview_ExclTax[[#This Row],[GMV]]/WBTQ_SalesOverview_ExclTax[[#This Row],[Buyers]]</f>
        <v>1818.2189031812363</v>
      </c>
      <c r="AW125" s="431">
        <f>WBTQ_SalesOverview_ExclTax[[#This Row],[GMV]]/WBTQ_SalesOverview_ExclTax[[#This Row],[Units]]</f>
        <v>606.52391487568525</v>
      </c>
      <c r="AX125" s="432">
        <f>WBTQ_SalesOverview_ExclTax[[#This Row],[Units]]/WBTQ_SalesOverview_ExclTax[[#This Row],[Buyers]]</f>
        <v>2.9977695167286247</v>
      </c>
      <c r="AY125" s="93">
        <f>WBTQ_SalesOverview_ExclTax[[#This Row],[RR]]/WBTQ_SalesOverview_ExclTax[[#This Row],[GMV]]</f>
        <v>6.5908812268855227E-2</v>
      </c>
      <c r="AZ125" s="436">
        <f>WBTQ_SalesOverview_InTax[[#This Row],[RR]]/$F$1</f>
        <v>161180.29203539825</v>
      </c>
      <c r="BA125" s="436">
        <f>WBTQ_SalesOverview_InTax[[#This Row],[MD GMV]]/$F$1</f>
        <v>2445504.4247787627</v>
      </c>
      <c r="BB125" s="94">
        <f>WBTQ_SalesOverview_ExclTax[[#This Row],[MD GMV]]/WBTQ_SalesOverview_ExclTax[[#This Row],[GMV]]</f>
        <v>1</v>
      </c>
      <c r="BC125" s="28" t="str">
        <f>_xlfn.XLOOKUP(WBTQ_SalesOverview_ExclTax[[#This Row],[DATE]],全店核心数据_bymonth[开始日期],全店核心数据_bymonth[jda日历.PayYear],"")</f>
        <v/>
      </c>
      <c r="BO125" s="28"/>
      <c r="CD125" s="53"/>
    </row>
    <row r="126" spans="5:82" ht="14.5" customHeight="1" x14ac:dyDescent="0.3">
      <c r="E126" s="428" t="s">
        <v>567</v>
      </c>
      <c r="F126" s="431">
        <f t="shared" ref="F126:J127" si="13">F99-F124</f>
        <v>1395028.9999999986</v>
      </c>
      <c r="G126" s="431">
        <f t="shared" si="13"/>
        <v>1083399.4199999988</v>
      </c>
      <c r="H126" s="431">
        <f t="shared" si="13"/>
        <v>48015</v>
      </c>
      <c r="I126" s="431">
        <f t="shared" si="13"/>
        <v>267</v>
      </c>
      <c r="J126" s="431">
        <f t="shared" si="13"/>
        <v>269</v>
      </c>
      <c r="K126" s="104">
        <f>WBTQ_SalesOverview_InTax[[#This Row],[Buyers]]/WBTQ_SalesOverview_InTax[[#This Row],[UV]]</f>
        <v>5.5607622617931899E-3</v>
      </c>
      <c r="L126" s="431">
        <f>WBTQ_SalesOverview_InTax[[#This Row],[GMV]]/WBTQ_SalesOverview_InTax[[#This Row],[Buyers]]</f>
        <v>5224.8277153558001</v>
      </c>
      <c r="M126" s="431">
        <f>WBTQ_SalesOverview_InTax[[#This Row],[GMV]]/WBTQ_SalesOverview_InTax[[#This Row],[Units]]</f>
        <v>5185.9814126394003</v>
      </c>
      <c r="N126" s="432">
        <f>WBTQ_SalesOverview_InTax[[#This Row],[Units]]/WBTQ_SalesOverview_InTax[[#This Row],[Buyers]]</f>
        <v>1.0074906367041199</v>
      </c>
      <c r="O126" s="105">
        <f>WBTQ_SalesOverview_InTax[[#This Row],[RR]]/WBTQ_SalesOverview_InTax[[#This Row],[GMV]]</f>
        <v>0.22338573606713577</v>
      </c>
      <c r="P126" s="431">
        <f>P99-P124</f>
        <v>311629.58</v>
      </c>
      <c r="Q126" s="431">
        <f>Q99-Q124</f>
        <v>260617.06999999937</v>
      </c>
      <c r="R126" s="106">
        <f>WBTQ_SalesOverview_InTax[[#This Row],[MD GMV]]/WBTQ_SalesOverview_InTax[[#This Row],[GMV]]</f>
        <v>0.18681838872166789</v>
      </c>
      <c r="S126" s="431">
        <f>S99-S124</f>
        <v>188292.06999999913</v>
      </c>
      <c r="T126" s="94">
        <f>WBTQ_SalesOverview_InTax[[#This Row],[MD NET]]/WBTQ_SalesOverview_InTax[[#This Row],[NET]]</f>
        <v>0.17379746243541402</v>
      </c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107" t="str">
        <f>_xlfn.XLOOKUP(WBTQ_SalesOverview_InTax[[#This Row],[DATE]],全店核心数据_bymonth[开始日期],全店核心数据_bymonth[jda日历.PayYear],"")</f>
        <v/>
      </c>
      <c r="AM126" s="447"/>
      <c r="AN126" s="447"/>
      <c r="AO126" s="428" t="str">
        <f>WBTQ_SalesOverview_InTax[[#This Row],[DATE]]</f>
        <v>BU26 YTD Ex FF</v>
      </c>
      <c r="AP126" s="429">
        <f>WBTQ_SalesOverview_InTax[[#This Row],[GMV]]/$F$1</f>
        <v>1234538.9380530962</v>
      </c>
      <c r="AQ126" s="429">
        <f>WBTQ_SalesOverview_ExclTax[[#This Row],[GMV]]-WBTQ_SalesOverview_ExclTax[[#This Row],[RR]]</f>
        <v>958760.54867256514</v>
      </c>
      <c r="AR126" s="431">
        <f>WBTQ_SalesOverview_InTax[[#This Row],[UV]]</f>
        <v>48015</v>
      </c>
      <c r="AS126" s="431">
        <f>WBTQ_SalesOverview_InTax[[#This Row],[Buyers]]</f>
        <v>267</v>
      </c>
      <c r="AT126" s="431">
        <f>WBTQ_SalesOverview_InTax[[#This Row],[Units]]</f>
        <v>269</v>
      </c>
      <c r="AU126" s="92">
        <f>WBTQ_SalesOverview_ExclTax[[#This Row],[Buyers]]/WBTQ_SalesOverview_ExclTax[[#This Row],[UV]]</f>
        <v>5.5607622617931899E-3</v>
      </c>
      <c r="AV126" s="431">
        <f>WBTQ_SalesOverview_ExclTax[[#This Row],[GMV]]/WBTQ_SalesOverview_ExclTax[[#This Row],[Buyers]]</f>
        <v>4623.7413410228319</v>
      </c>
      <c r="AW126" s="431">
        <f>WBTQ_SalesOverview_ExclTax[[#This Row],[GMV]]/WBTQ_SalesOverview_ExclTax[[#This Row],[Units]]</f>
        <v>4589.3640819817701</v>
      </c>
      <c r="AX126" s="432">
        <f>WBTQ_SalesOverview_ExclTax[[#This Row],[Units]]/WBTQ_SalesOverview_ExclTax[[#This Row],[Buyers]]</f>
        <v>1.0074906367041199</v>
      </c>
      <c r="AY126" s="93">
        <f>WBTQ_SalesOverview_ExclTax[[#This Row],[RR]]/WBTQ_SalesOverview_ExclTax[[#This Row],[GMV]]</f>
        <v>0.22338573606713577</v>
      </c>
      <c r="AZ126" s="436">
        <f>WBTQ_SalesOverview_InTax[[#This Row],[RR]]/$F$1</f>
        <v>275778.38938053104</v>
      </c>
      <c r="BA126" s="436">
        <f>WBTQ_SalesOverview_InTax[[#This Row],[MD GMV]]/$F$1</f>
        <v>230634.5752212384</v>
      </c>
      <c r="BB126" s="94">
        <f>WBTQ_SalesOverview_ExclTax[[#This Row],[MD GMV]]/WBTQ_SalesOverview_ExclTax[[#This Row],[GMV]]</f>
        <v>0.18681838872166789</v>
      </c>
      <c r="BC126" s="28" t="str">
        <f>_xlfn.XLOOKUP(WBTQ_SalesOverview_ExclTax[[#This Row],[DATE]],全店核心数据_bymonth[开始日期],全店核心数据_bymonth[jda日历.PayYear],"")</f>
        <v/>
      </c>
      <c r="BO126" s="28"/>
      <c r="CD126" s="53"/>
    </row>
    <row r="127" spans="5:82" ht="14.5" customHeight="1" x14ac:dyDescent="0.3">
      <c r="E127" s="428" t="s">
        <v>556</v>
      </c>
      <c r="F127" s="431">
        <f t="shared" si="13"/>
        <v>1232694.9999999991</v>
      </c>
      <c r="G127" s="431">
        <f t="shared" si="13"/>
        <v>920469.99999999907</v>
      </c>
      <c r="H127" s="431">
        <f t="shared" si="13"/>
        <v>52790</v>
      </c>
      <c r="I127" s="431">
        <f t="shared" si="13"/>
        <v>280</v>
      </c>
      <c r="J127" s="431">
        <f t="shared" si="13"/>
        <v>336</v>
      </c>
      <c r="K127" s="104">
        <f>WBTQ_SalesOverview_InTax[[#This Row],[Buyers]]/WBTQ_SalesOverview_InTax[[#This Row],[UV]]</f>
        <v>5.3040348550861902E-3</v>
      </c>
      <c r="L127" s="431">
        <f>WBTQ_SalesOverview_InTax[[#This Row],[GMV]]/WBTQ_SalesOverview_InTax[[#This Row],[Buyers]]</f>
        <v>4402.4821428571395</v>
      </c>
      <c r="M127" s="431">
        <f>WBTQ_SalesOverview_InTax[[#This Row],[GMV]]/WBTQ_SalesOverview_InTax[[#This Row],[Units]]</f>
        <v>3668.7351190476161</v>
      </c>
      <c r="N127" s="432">
        <f>WBTQ_SalesOverview_InTax[[#This Row],[Units]]/WBTQ_SalesOverview_InTax[[#This Row],[Buyers]]</f>
        <v>1.2</v>
      </c>
      <c r="O127" s="105">
        <f>WBTQ_SalesOverview_InTax[[#This Row],[RR]]/WBTQ_SalesOverview_InTax[[#This Row],[GMV]]</f>
        <v>0.25328649828221922</v>
      </c>
      <c r="P127" s="431">
        <f>P100-P125</f>
        <v>312225</v>
      </c>
      <c r="Q127" s="431">
        <f>Q100-Q125</f>
        <v>282359.99999999953</v>
      </c>
      <c r="R127" s="106">
        <f>WBTQ_SalesOverview_InTax[[#This Row],[MD GMV]]/WBTQ_SalesOverview_InTax[[#This Row],[GMV]]</f>
        <v>0.22905909409870223</v>
      </c>
      <c r="S127" s="431">
        <f>S100-S125</f>
        <v>230224.99999999907</v>
      </c>
      <c r="T127" s="94">
        <f>WBTQ_SalesOverview_InTax[[#This Row],[MD NET]]/WBTQ_SalesOverview_InTax[[#This Row],[NET]]</f>
        <v>0.25011678816256838</v>
      </c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107" t="str">
        <f>_xlfn.XLOOKUP(WBTQ_SalesOverview_InTax[[#This Row],[DATE]],全店核心数据_bymonth[开始日期],全店核心数据_bymonth[jda日历.PayYear],"")</f>
        <v/>
      </c>
      <c r="AM127" s="447"/>
      <c r="AN127" s="447"/>
      <c r="AO127" s="428" t="str">
        <f>WBTQ_SalesOverview_InTax[[#This Row],[DATE]]</f>
        <v>BU25 YTD Ex FF</v>
      </c>
      <c r="AP127" s="429">
        <f>WBTQ_SalesOverview_InTax[[#This Row],[GMV]]/$F$1</f>
        <v>1090880.5309734505</v>
      </c>
      <c r="AQ127" s="429">
        <f>WBTQ_SalesOverview_ExclTax[[#This Row],[GMV]]-WBTQ_SalesOverview_ExclTax[[#This Row],[RR]]</f>
        <v>814575.22123893723</v>
      </c>
      <c r="AR127" s="431">
        <f>WBTQ_SalesOverview_InTax[[#This Row],[UV]]</f>
        <v>52790</v>
      </c>
      <c r="AS127" s="431">
        <f>WBTQ_SalesOverview_InTax[[#This Row],[Buyers]]</f>
        <v>280</v>
      </c>
      <c r="AT127" s="431">
        <f>WBTQ_SalesOverview_InTax[[#This Row],[Units]]</f>
        <v>336</v>
      </c>
      <c r="AU127" s="92">
        <f>WBTQ_SalesOverview_ExclTax[[#This Row],[Buyers]]/WBTQ_SalesOverview_ExclTax[[#This Row],[UV]]</f>
        <v>5.3040348550861902E-3</v>
      </c>
      <c r="AV127" s="431">
        <f>WBTQ_SalesOverview_ExclTax[[#This Row],[GMV]]/WBTQ_SalesOverview_ExclTax[[#This Row],[Buyers]]</f>
        <v>3896.001896333752</v>
      </c>
      <c r="AW127" s="431">
        <f>WBTQ_SalesOverview_ExclTax[[#This Row],[GMV]]/WBTQ_SalesOverview_ExclTax[[#This Row],[Units]]</f>
        <v>3246.6682469447933</v>
      </c>
      <c r="AX127" s="432">
        <f>WBTQ_SalesOverview_ExclTax[[#This Row],[Units]]/WBTQ_SalesOverview_ExclTax[[#This Row],[Buyers]]</f>
        <v>1.2</v>
      </c>
      <c r="AY127" s="93">
        <f>WBTQ_SalesOverview_ExclTax[[#This Row],[RR]]/WBTQ_SalesOverview_ExclTax[[#This Row],[GMV]]</f>
        <v>0.25328649828221922</v>
      </c>
      <c r="AZ127" s="436">
        <f>WBTQ_SalesOverview_InTax[[#This Row],[RR]]/$F$1</f>
        <v>276305.30973451328</v>
      </c>
      <c r="BA127" s="436">
        <f>WBTQ_SalesOverview_InTax[[#This Row],[MD GMV]]/$F$1</f>
        <v>249876.10619468987</v>
      </c>
      <c r="BB127" s="94">
        <f>WBTQ_SalesOverview_ExclTax[[#This Row],[MD GMV]]/WBTQ_SalesOverview_ExclTax[[#This Row],[GMV]]</f>
        <v>0.22905909409870223</v>
      </c>
      <c r="BC127" s="28" t="str">
        <f>_xlfn.XLOOKUP(WBTQ_SalesOverview_ExclTax[[#This Row],[DATE]],全店核心数据_bymonth[开始日期],全店核心数据_bymonth[jda日历.PayYear],"")</f>
        <v/>
      </c>
      <c r="BO127" s="28"/>
      <c r="CD127" s="53"/>
    </row>
    <row r="128" spans="5:82" ht="14.5" customHeight="1" x14ac:dyDescent="0.3">
      <c r="E128" s="425" t="s">
        <v>339</v>
      </c>
      <c r="F128" s="256">
        <f>F126/F127-1</f>
        <v>0.13169032080117105</v>
      </c>
      <c r="G128" s="256">
        <f t="shared" ref="G128:N128" si="14">G126/G127-1</f>
        <v>0.17700676828142137</v>
      </c>
      <c r="H128" s="256">
        <f t="shared" si="14"/>
        <v>-9.0452737260844907E-2</v>
      </c>
      <c r="I128" s="256">
        <f t="shared" si="14"/>
        <v>-4.6428571428571375E-2</v>
      </c>
      <c r="J128" s="256">
        <f t="shared" si="14"/>
        <v>-0.19940476190476186</v>
      </c>
      <c r="K128" s="256">
        <f t="shared" si="14"/>
        <v>4.8402285000223255E-2</v>
      </c>
      <c r="L128" s="256">
        <f t="shared" si="14"/>
        <v>0.18679134765665895</v>
      </c>
      <c r="M128" s="256">
        <f t="shared" si="14"/>
        <v>0.41356114419774559</v>
      </c>
      <c r="N128" s="256">
        <f t="shared" si="14"/>
        <v>-0.16042446941323341</v>
      </c>
      <c r="O128" s="255">
        <f>(O126-O127)*100</f>
        <v>-2.9900762215083447</v>
      </c>
      <c r="P128" s="222">
        <f>P126/P127-1</f>
        <v>-1.907022179517881E-3</v>
      </c>
      <c r="Q128" s="222">
        <f>Q126/Q127-1</f>
        <v>-7.7004285309534626E-2</v>
      </c>
      <c r="R128" s="255">
        <f>(R126-R127)*100</f>
        <v>-4.224070537703434</v>
      </c>
      <c r="S128" s="222">
        <f>S126/S127-1</f>
        <v>-0.18213890759040119</v>
      </c>
      <c r="T128" s="255">
        <f>(T126-T127)*100</f>
        <v>-7.6319325727154359</v>
      </c>
      <c r="U128" s="255"/>
      <c r="V128" s="255"/>
      <c r="W128" s="255"/>
      <c r="X128" s="255"/>
      <c r="Y128" s="255"/>
      <c r="Z128" s="255"/>
      <c r="AA128" s="255"/>
      <c r="AB128" s="255"/>
      <c r="AC128" s="255"/>
      <c r="AD128" s="255"/>
      <c r="AE128" s="255"/>
      <c r="AF128" s="255"/>
      <c r="AG128" s="255"/>
      <c r="AH128" s="255"/>
      <c r="AI128" s="255"/>
      <c r="AJ128" s="255"/>
      <c r="AK128" s="255"/>
      <c r="AL128" s="28" t="str">
        <f>_xlfn.XLOOKUP(WBTQ_SalesOverview_InTax[[#This Row],[DATE]],全店核心数据_bymonth[开始日期],全店核心数据_bymonth[jda日历.PayYear],"")</f>
        <v/>
      </c>
      <c r="AM128" s="447"/>
      <c r="AN128" s="447"/>
      <c r="AO128" s="428" t="str">
        <f>WBTQ_SalesOverview_InTax[[#This Row],[DATE]]</f>
        <v>YOY Ex FF</v>
      </c>
      <c r="AP128" s="256">
        <f>WBTQ_SalesOverview_InTax[[#This Row],[GMV]]</f>
        <v>0.13169032080117105</v>
      </c>
      <c r="AQ128" s="256">
        <f>WBTQ_SalesOverview_InTax[[#This Row],[NET]]</f>
        <v>0.17700676828142137</v>
      </c>
      <c r="AR128" s="256">
        <f>WBTQ_SalesOverview_InTax[[#This Row],[UV]]</f>
        <v>-9.0452737260844907E-2</v>
      </c>
      <c r="AS128" s="256">
        <f>WBTQ_SalesOverview_InTax[[#This Row],[Buyers]]</f>
        <v>-4.6428571428571375E-2</v>
      </c>
      <c r="AT128" s="256">
        <f>WBTQ_SalesOverview_InTax[[#This Row],[Units]]</f>
        <v>-0.19940476190476186</v>
      </c>
      <c r="AU128" s="256">
        <f>WBTQ_SalesOverview_InTax[[#This Row],[CR]]</f>
        <v>4.8402285000223255E-2</v>
      </c>
      <c r="AV128" s="256">
        <f>WBTQ_SalesOverview_InTax[[#This Row],[ATV]]</f>
        <v>0.18679134765665895</v>
      </c>
      <c r="AW128" s="256">
        <f>WBTQ_SalesOverview_InTax[[#This Row],[AUR]]</f>
        <v>0.41356114419774559</v>
      </c>
      <c r="AX128" s="256">
        <f>WBTQ_SalesOverview_InTax[[#This Row],[UPT]]</f>
        <v>-0.16042446941323341</v>
      </c>
      <c r="AY128" s="255">
        <f>WBTQ_SalesOverview_InTax[[#This Row],[RRC]]</f>
        <v>-2.9900762215083447</v>
      </c>
      <c r="AZ128" s="222">
        <f>WBTQ_SalesOverview_InTax[[#This Row],[RR]]</f>
        <v>-1.907022179517881E-3</v>
      </c>
      <c r="BA128" s="222">
        <f>WBTQ_SalesOverview_InTax[[#This Row],[MD GMV]]</f>
        <v>-7.7004285309534626E-2</v>
      </c>
      <c r="BB128" s="255">
        <f>WBTQ_SalesOverview_InTax[[#This Row],[MD%]]</f>
        <v>-4.224070537703434</v>
      </c>
      <c r="BC128" s="28" t="str">
        <f>_xlfn.XLOOKUP(WBTQ_SalesOverview_ExclTax[[#This Row],[DATE]],全店核心数据_bymonth[开始日期],全店核心数据_bymonth[jda日历.PayYear],"")</f>
        <v/>
      </c>
      <c r="BO128" s="28"/>
      <c r="CD128" s="53"/>
    </row>
    <row r="129" spans="5:84" ht="14.5" customHeight="1" x14ac:dyDescent="0.3">
      <c r="E129" s="428" t="s">
        <v>568</v>
      </c>
      <c r="F129" s="439">
        <f>SUMIFS([44]!dtc_订单源[成交总金额],[44]!dtc_订单源[pay_year],LEFT(WBTQ_SalesOverview_InTax[[#This Row],[DATE]],4),[44]!dtc_订单源[最后付款时间],"&lt;"&amp;EOMONTH($K$1,0)+1,[44]!dtc_订单源[店铺名称],"*小程序*",[44]!dtc_订单源[sc_flag],1)</f>
        <v>816315</v>
      </c>
      <c r="G129" s="448">
        <f>WBTQ_SalesOverview_InTax[[#This Row],[GMV]]-WBTQ_SalesOverview_InTax[[#This Row],[RR]]</f>
        <v>742930</v>
      </c>
      <c r="H129" s="448">
        <f>807+211</f>
        <v>1018</v>
      </c>
      <c r="I129" s="435" cm="1">
        <f t="array" ref="I129">COUNT(LEN(_xlfn.UNIQUE(_xlfn._xlws.FILTER([44]!dtc_订单源[买家昵称],([44]!dtc_订单源[pay_year]=LEFT(WBTQ_SalesOverview_InTax[[#This Row],[DATE]],4))*([44]!dtc_订单源[最后付款时间]&lt;(EOMONTH($K$1,0)+1))*([44]!dtc_订单源[店铺名称]="Dunhill微信小程序店")*([44]!dtc_订单源[sc_flag]=1)))))+3</f>
        <v>84</v>
      </c>
      <c r="J129" s="439">
        <f>SUMIFS([44]!dtc_订单源[件数],[44]!dtc_订单源[pay_year],LEFT(WBTQ_SalesOverview_InTax[[#This Row],[DATE]],4),[44]!dtc_订单源[最后付款时间],"&lt;"&amp;EOMONTH($K$1,0)+1,[44]!dtc_订单源[店铺名称],"*小程序*",[44]!dtc_订单源[sc_flag],1)</f>
        <v>159</v>
      </c>
      <c r="K129" s="101">
        <f>WBTQ_SalesOverview_InTax[[#This Row],[Buyers]]/WBTQ_SalesOverview_InTax[[#This Row],[UV]]</f>
        <v>8.2514734774066803E-2</v>
      </c>
      <c r="L129" s="448">
        <f>WBTQ_SalesOverview_InTax[[#This Row],[GMV]]/WBTQ_SalesOverview_InTax[[#This Row],[Buyers]]</f>
        <v>9718.0357142857138</v>
      </c>
      <c r="M129" s="448">
        <f>WBTQ_SalesOverview_InTax[[#This Row],[GMV]]/WBTQ_SalesOverview_InTax[[#This Row],[Units]]</f>
        <v>5134.0566037735853</v>
      </c>
      <c r="N129" s="449">
        <f>WBTQ_SalesOverview_InTax[[#This Row],[Units]]/WBTQ_SalesOverview_InTax[[#This Row],[Buyers]]</f>
        <v>1.8928571428571428</v>
      </c>
      <c r="O129" s="102">
        <f>WBTQ_SalesOverview_InTax[[#This Row],[RR]]/WBTQ_SalesOverview_InTax[[#This Row],[GMV]]</f>
        <v>8.9897894807764153E-2</v>
      </c>
      <c r="P129" s="439">
        <f>SUMIFS([44]!dtc_订单源[退款金额],[44]!dtc_订单源[pay_year],LEFT(WBTQ_SalesOverview_InTax[[#This Row],[DATE]],4),[44]!dtc_订单源[最后付款时间],"&lt;"&amp;EOMONTH($K$1,0)+1,[44]!dtc_订单源[店铺名称],"*小程序*",[44]!dtc_订单源[sc_flag],1)</f>
        <v>73385</v>
      </c>
      <c r="Q129" s="439">
        <f>SUMIFS([44]!dtc_订单源[成交总金额],[44]!dtc_订单源[pay_year],LEFT(WBTQ_SalesOverview_InTax[[#This Row],[DATE]],4),[44]!dtc_订单源[最后付款时间],"&lt;"&amp;EOMONTH($K$1,0)+1,[44]!dtc_订单源[店铺名称],"*小程序*",[44]!dtc_订单源[sc_flag],1,[44]!dtc_订单源[FP_MD],"MD")</f>
        <v>150897.07</v>
      </c>
      <c r="R129" s="103">
        <f>WBTQ_SalesOverview_InTax[[#This Row],[MD GMV]]/WBTQ_SalesOverview_InTax[[#This Row],[GMV]]</f>
        <v>0.18485152177774511</v>
      </c>
      <c r="S129" s="439">
        <f>SUMIFS([44]!dtc_订单源[成交总金额],[44]!dtc_订单源[pay_year],LEFT(WBTQ_SalesOverview_InTax[[#This Row],[DATE]],4),[44]!dtc_订单源[最后付款时间],"&lt;"&amp;EOMONTH($K$1,0)+1,[44]!dtc_订单源[店铺名称],"*小程序*",[44]!dtc_订单源[sc_flag],1,[44]!dtc_订单源[FP_MD],"MD")-SUMIFS([44]!dtc_订单源[退款金额],[44]!dtc_订单源[pay_year],LEFT(WBTQ_SalesOverview_InTax[[#This Row],[DATE]],4),[44]!dtc_订单源[最后付款时间],"&lt;"&amp;EOMONTH($K$1,0)+1,[44]!dtc_订单源[店铺名称],"*小程序*",[44]!dtc_订单源[sc_flag],1,[44]!dtc_订单源[FP_MD],"MD")</f>
        <v>136642.07</v>
      </c>
      <c r="T129" s="94">
        <f>WBTQ_SalesOverview_InTax[[#This Row],[MD NET]]/WBTQ_SalesOverview_InTax[[#This Row],[NET]]</f>
        <v>0.18392320945445736</v>
      </c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447" t="str">
        <f>_xlfn.XLOOKUP(WBTQ_SalesOverview_InTax[[#This Row],[DATE]],全店核心数据_bymonth[开始日期],全店核心数据_bymonth[jda日历.PayYear],"")</f>
        <v/>
      </c>
      <c r="AO129" s="428" t="str">
        <f>WBTQ_SalesOverview_InTax[[#This Row],[DATE]]</f>
        <v>BU26 YTD SC</v>
      </c>
      <c r="AP129" s="436">
        <f>WBTQ_SalesOverview_InTax[[#This Row],[GMV]]/$F$1</f>
        <v>722402.65486725676</v>
      </c>
      <c r="AQ129" s="436">
        <f>WBTQ_SalesOverview_ExclTax[[#This Row],[GMV]]-WBTQ_SalesOverview_ExclTax[[#This Row],[RR]]</f>
        <v>657460.1769911506</v>
      </c>
      <c r="AR129" s="431">
        <f>WBTQ_SalesOverview_InTax[[#This Row],[UV]]</f>
        <v>1018</v>
      </c>
      <c r="AS129" s="431">
        <f>WBTQ_SalesOverview_InTax[[#This Row],[Buyers]]</f>
        <v>84</v>
      </c>
      <c r="AT129" s="431">
        <f>WBTQ_SalesOverview_InTax[[#This Row],[Units]]</f>
        <v>159</v>
      </c>
      <c r="AU129" s="92">
        <f>WBTQ_SalesOverview_ExclTax[[#This Row],[Buyers]]/WBTQ_SalesOverview_ExclTax[[#This Row],[UV]]</f>
        <v>8.2514734774066803E-2</v>
      </c>
      <c r="AV129" s="431">
        <f>WBTQ_SalesOverview_ExclTax[[#This Row],[GMV]]/WBTQ_SalesOverview_ExclTax[[#This Row],[Buyers]]</f>
        <v>8600.0316055625808</v>
      </c>
      <c r="AW129" s="431">
        <f>WBTQ_SalesOverview_ExclTax[[#This Row],[GMV]]/WBTQ_SalesOverview_ExclTax[[#This Row],[Units]]</f>
        <v>4543.4129236934386</v>
      </c>
      <c r="AX129" s="432">
        <f>WBTQ_SalesOverview_ExclTax[[#This Row],[Units]]/WBTQ_SalesOverview_ExclTax[[#This Row],[Buyers]]</f>
        <v>1.8928571428571428</v>
      </c>
      <c r="AY129" s="93">
        <f>WBTQ_SalesOverview_ExclTax[[#This Row],[RR]]/WBTQ_SalesOverview_ExclTax[[#This Row],[GMV]]</f>
        <v>8.9897894807764153E-2</v>
      </c>
      <c r="AZ129" s="436">
        <f>WBTQ_SalesOverview_InTax[[#This Row],[RR]]/$F$1</f>
        <v>64942.477876106204</v>
      </c>
      <c r="BA129" s="436">
        <f>WBTQ_SalesOverview_InTax[[#This Row],[MD GMV]]/$F$1</f>
        <v>133537.23008849559</v>
      </c>
      <c r="BB129" s="94">
        <f>WBTQ_SalesOverview_ExclTax[[#This Row],[MD GMV]]/WBTQ_SalesOverview_ExclTax[[#This Row],[GMV]]</f>
        <v>0.18485152177774511</v>
      </c>
      <c r="BC129" s="28" t="str">
        <f>_xlfn.XLOOKUP(WBTQ_SalesOverview_ExclTax[[#This Row],[DATE]],全店核心数据_bymonth[开始日期],全店核心数据_bymonth[jda日历.PayYear],"")</f>
        <v/>
      </c>
      <c r="BO129" s="28"/>
      <c r="CD129" s="53"/>
    </row>
    <row r="130" spans="5:84" ht="14.5" customHeight="1" x14ac:dyDescent="0.3">
      <c r="E130" s="428" t="s">
        <v>557</v>
      </c>
      <c r="F130" s="439">
        <f>SUMIFS([44]!dtc_订单源[成交总金额],[44]!dtc_订单源[pay_year],LEFT(WBTQ_SalesOverview_InTax[[#This Row],[DATE]],4),[44]!dtc_订单源[最后付款时间],"&lt;"&amp;EDATE(EOMONTH($K$1,0)+1,-12),[44]!dtc_订单源[店铺名称],"*小程序*",[44]!dtc_订单源[sc_flag],1)</f>
        <v>575710</v>
      </c>
      <c r="G130" s="448">
        <f>WBTQ_SalesOverview_InTax[[#This Row],[GMV]]-WBTQ_SalesOverview_InTax[[#This Row],[RR]]</f>
        <v>557275</v>
      </c>
      <c r="H130" s="448">
        <f>7111+125</f>
        <v>7236</v>
      </c>
      <c r="I130" s="435" cm="1">
        <f t="array" ref="I130">COUNT(LEN(_xlfn.UNIQUE(_xlfn._xlws.FILTER([44]!dtc_订单源[买家昵称],([44]!dtc_订单源[pay_year]=LEFT(WBTQ_SalesOverview_InTax[[#This Row],[DATE]],4))*([44]!dtc_订单源[最后付款时间]&lt;(EDATE(EOMONTH($K$1,0)+1,-12)))*([44]!dtc_订单源[店铺名称]="Dunhill微信小程序店")*([44]!dtc_订单源[sc_flag]=1)))))</f>
        <v>90</v>
      </c>
      <c r="J130" s="439">
        <f>SUMIFS([44]!dtc_订单源[件数],[44]!dtc_订单源[pay_year],LEFT(WBTQ_SalesOverview_InTax[[#This Row],[DATE]],4),[44]!dtc_订单源[最后付款时间],"&lt;"&amp;EDATE(EOMONTH($K$1,0)+1,-12),[44]!dtc_订单源[店铺名称],"*小程序*",[44]!dtc_订单源[sc_flag],1)</f>
        <v>142</v>
      </c>
      <c r="K130" s="101">
        <f>WBTQ_SalesOverview_InTax[[#This Row],[Buyers]]/WBTQ_SalesOverview_InTax[[#This Row],[UV]]</f>
        <v>1.2437810945273632E-2</v>
      </c>
      <c r="L130" s="448">
        <f>WBTQ_SalesOverview_InTax[[#This Row],[GMV]]/WBTQ_SalesOverview_InTax[[#This Row],[Buyers]]</f>
        <v>6396.7777777777774</v>
      </c>
      <c r="M130" s="448">
        <f>WBTQ_SalesOverview_InTax[[#This Row],[GMV]]/WBTQ_SalesOverview_InTax[[#This Row],[Units]]</f>
        <v>4054.2957746478874</v>
      </c>
      <c r="N130" s="449">
        <f>WBTQ_SalesOverview_InTax[[#This Row],[Units]]/WBTQ_SalesOverview_InTax[[#This Row],[Buyers]]</f>
        <v>1.5777777777777777</v>
      </c>
      <c r="O130" s="102">
        <f>WBTQ_SalesOverview_InTax[[#This Row],[RR]]/WBTQ_SalesOverview_InTax[[#This Row],[GMV]]</f>
        <v>3.2021330183599379E-2</v>
      </c>
      <c r="P130" s="439">
        <f>SUMIFS([44]!dtc_订单源[退款金额],[44]!dtc_订单源[pay_year],LEFT(WBTQ_SalesOverview_InTax[[#This Row],[DATE]],4),[44]!dtc_订单源[最后付款时间],"&lt;"&amp;EDATE(EOMONTH($K$1,0)+1,-12),[44]!dtc_订单源[店铺名称],"*小程序*",[44]!dtc_订单源[sc_flag],1)</f>
        <v>18435</v>
      </c>
      <c r="Q130" s="439">
        <f>SUMIFS([44]!dtc_订单源[成交总金额],[44]!dtc_订单源[pay_year],LEFT(WBTQ_SalesOverview_InTax[[#This Row],[DATE]],4),[44]!dtc_订单源[最后付款时间],"&lt;"&amp;EDATE(EOMONTH($K$1,0)+1,-12),[44]!dtc_订单源[店铺名称],"*小程序*",[44]!dtc_订单源[sc_flag],1,[44]!dtc_订单源[FP_MD],"MD")</f>
        <v>163995</v>
      </c>
      <c r="R130" s="103">
        <f>WBTQ_SalesOverview_InTax[[#This Row],[MD GMV]]/WBTQ_SalesOverview_InTax[[#This Row],[GMV]]</f>
        <v>0.28485695923294713</v>
      </c>
      <c r="S130" s="439">
        <f>SUMIFS([44]!dtc_订单源[成交总金额],[44]!dtc_订单源[pay_year],LEFT(WBTQ_SalesOverview_InTax[[#This Row],[DATE]],4),[44]!dtc_订单源[最后付款时间],"&lt;"&amp;EDATE(EOMONTH($K$1,0)+1,-12),[44]!dtc_订单源[店铺名称],"*小程序*",[44]!dtc_订单源[sc_flag],1,[44]!dtc_订单源[FP_MD],"MD")-SUMIFS([44]!dtc_订单源[退款金额],[44]!dtc_订单源[pay_year],LEFT(WBTQ_SalesOverview_InTax[[#This Row],[DATE]],4),[44]!dtc_订单源[最后付款时间],"&lt;"&amp;EDATE(EOMONTH($K$1,0)+1,-12),[44]!dtc_订单源[店铺名称],"*小程序*",[44]!dtc_订单源[sc_flag],1,[44]!dtc_订单源[FP_MD],"MD")</f>
        <v>155705</v>
      </c>
      <c r="T130" s="94">
        <f>WBTQ_SalesOverview_InTax[[#This Row],[MD NET]]/WBTQ_SalesOverview_InTax[[#This Row],[NET]]</f>
        <v>0.2794042438652371</v>
      </c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447" t="str">
        <f>_xlfn.XLOOKUP(WBTQ_SalesOverview_InTax[[#This Row],[DATE]],全店核心数据_bymonth[开始日期],全店核心数据_bymonth[jda日历.PayYear],"")</f>
        <v/>
      </c>
      <c r="AO130" s="428" t="str">
        <f>WBTQ_SalesOverview_InTax[[#This Row],[DATE]]</f>
        <v>BU25 YTD SC</v>
      </c>
      <c r="AP130" s="436">
        <f>WBTQ_SalesOverview_InTax[[#This Row],[GMV]]/$F$1</f>
        <v>509477.87610619474</v>
      </c>
      <c r="AQ130" s="436">
        <f>WBTQ_SalesOverview_ExclTax[[#This Row],[GMV]]-WBTQ_SalesOverview_ExclTax[[#This Row],[RR]]</f>
        <v>493163.71681415936</v>
      </c>
      <c r="AR130" s="431">
        <f>WBTQ_SalesOverview_InTax[[#This Row],[UV]]</f>
        <v>7236</v>
      </c>
      <c r="AS130" s="431">
        <f>WBTQ_SalesOverview_InTax[[#This Row],[Buyers]]</f>
        <v>90</v>
      </c>
      <c r="AT130" s="431">
        <f>WBTQ_SalesOverview_InTax[[#This Row],[Units]]</f>
        <v>142</v>
      </c>
      <c r="AU130" s="92">
        <f>WBTQ_SalesOverview_ExclTax[[#This Row],[Buyers]]/WBTQ_SalesOverview_ExclTax[[#This Row],[UV]]</f>
        <v>1.2437810945273632E-2</v>
      </c>
      <c r="AV130" s="431">
        <f>WBTQ_SalesOverview_ExclTax[[#This Row],[GMV]]/WBTQ_SalesOverview_ExclTax[[#This Row],[Buyers]]</f>
        <v>5660.8652900688303</v>
      </c>
      <c r="AW130" s="431">
        <f>WBTQ_SalesOverview_ExclTax[[#This Row],[GMV]]/WBTQ_SalesOverview_ExclTax[[#This Row],[Units]]</f>
        <v>3587.8723669450333</v>
      </c>
      <c r="AX130" s="432">
        <f>WBTQ_SalesOverview_ExclTax[[#This Row],[Units]]/WBTQ_SalesOverview_ExclTax[[#This Row],[Buyers]]</f>
        <v>1.5777777777777777</v>
      </c>
      <c r="AY130" s="93">
        <f>WBTQ_SalesOverview_ExclTax[[#This Row],[RR]]/WBTQ_SalesOverview_ExclTax[[#This Row],[GMV]]</f>
        <v>3.2021330183599379E-2</v>
      </c>
      <c r="AZ130" s="436">
        <f>WBTQ_SalesOverview_InTax[[#This Row],[RR]]/$F$1</f>
        <v>16314.1592920354</v>
      </c>
      <c r="BA130" s="436">
        <f>WBTQ_SalesOverview_InTax[[#This Row],[MD GMV]]/$F$1</f>
        <v>145128.3185840708</v>
      </c>
      <c r="BB130" s="94">
        <f>WBTQ_SalesOverview_ExclTax[[#This Row],[MD GMV]]/WBTQ_SalesOverview_ExclTax[[#This Row],[GMV]]</f>
        <v>0.28485695923294713</v>
      </c>
      <c r="BC130" s="28" t="str">
        <f>_xlfn.XLOOKUP(WBTQ_SalesOverview_ExclTax[[#This Row],[DATE]],全店核心数据_bymonth[开始日期],全店核心数据_bymonth[jda日历.PayYear],"")</f>
        <v/>
      </c>
      <c r="BO130" s="28"/>
      <c r="CD130" s="53"/>
    </row>
    <row r="131" spans="5:84" ht="14.5" customHeight="1" x14ac:dyDescent="0.3">
      <c r="E131" s="425" t="s">
        <v>687</v>
      </c>
      <c r="F131" s="256">
        <f>F129/F130-1</f>
        <v>0.41792742874016442</v>
      </c>
      <c r="G131" s="256">
        <f t="shared" ref="G131:N131" si="15">G129/G130-1</f>
        <v>0.33314790722713195</v>
      </c>
      <c r="H131" s="256">
        <f t="shared" si="15"/>
        <v>-0.85931453841901606</v>
      </c>
      <c r="I131" s="256">
        <f t="shared" si="15"/>
        <v>-6.6666666666666652E-2</v>
      </c>
      <c r="J131" s="256">
        <f t="shared" si="15"/>
        <v>0.11971830985915499</v>
      </c>
      <c r="K131" s="256">
        <f t="shared" si="15"/>
        <v>5.6341846758349705</v>
      </c>
      <c r="L131" s="256">
        <f t="shared" si="15"/>
        <v>0.51920795936446185</v>
      </c>
      <c r="M131" s="256">
        <f t="shared" si="15"/>
        <v>0.26632512503838579</v>
      </c>
      <c r="N131" s="256">
        <f t="shared" si="15"/>
        <v>0.19969818913480886</v>
      </c>
      <c r="O131" s="255">
        <f>(O129-O130)*100</f>
        <v>5.7876564624164777</v>
      </c>
      <c r="P131" s="222">
        <f>P129/P130-1</f>
        <v>2.9807431516137783</v>
      </c>
      <c r="Q131" s="222">
        <f>Q129/Q130-1</f>
        <v>-7.9867861825055564E-2</v>
      </c>
      <c r="R131" s="255">
        <f>(R129-R130)*100</f>
        <v>-10.000543745520202</v>
      </c>
      <c r="S131" s="222">
        <f>S129/S130-1</f>
        <v>-0.12242978709739571</v>
      </c>
      <c r="T131" s="255">
        <f>(T129-T130)*100</f>
        <v>-9.5481034410779735</v>
      </c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447" t="str">
        <f>_xlfn.XLOOKUP(WBTQ_SalesOverview_InTax[[#This Row],[DATE]],全店核心数据_bymonth[开始日期],全店核心数据_bymonth[jda日历.PayYear],"")</f>
        <v/>
      </c>
      <c r="AO131" s="428" t="str">
        <f>WBTQ_SalesOverview_InTax[[#This Row],[DATE]]</f>
        <v>YTD YOY SC</v>
      </c>
      <c r="AP131" s="436">
        <f>WBTQ_SalesOverview_InTax[[#This Row],[GMV]]/$F$1</f>
        <v>0.36984728207094197</v>
      </c>
      <c r="AQ131" s="436">
        <f>WBTQ_SalesOverview_ExclTax[[#This Row],[GMV]]-WBTQ_SalesOverview_ExclTax[[#This Row],[RR]]</f>
        <v>-2.267978515817358</v>
      </c>
      <c r="AR131" s="431">
        <f>WBTQ_SalesOverview_InTax[[#This Row],[UV]]</f>
        <v>-0.85931453841901606</v>
      </c>
      <c r="AS131" s="431">
        <f>WBTQ_SalesOverview_InTax[[#This Row],[Buyers]]</f>
        <v>-6.6666666666666652E-2</v>
      </c>
      <c r="AT131" s="431">
        <f>WBTQ_SalesOverview_InTax[[#This Row],[Units]]</f>
        <v>0.11971830985915499</v>
      </c>
      <c r="AU131" s="92">
        <f>WBTQ_SalesOverview_ExclTax[[#This Row],[Buyers]]/WBTQ_SalesOverview_ExclTax[[#This Row],[UV]]</f>
        <v>7.75812158250241E-2</v>
      </c>
      <c r="AV131" s="431">
        <f>WBTQ_SalesOverview_ExclTax[[#This Row],[GMV]]/WBTQ_SalesOverview_ExclTax[[#This Row],[Buyers]]</f>
        <v>-5.5477092310641307</v>
      </c>
      <c r="AW131" s="431">
        <f>WBTQ_SalesOverview_ExclTax[[#This Row],[GMV]]/WBTQ_SalesOverview_ExclTax[[#This Row],[Units]]</f>
        <v>3.0893125914161019</v>
      </c>
      <c r="AX131" s="432">
        <f>WBTQ_SalesOverview_ExclTax[[#This Row],[Units]]/WBTQ_SalesOverview_ExclTax[[#This Row],[Buyers]]</f>
        <v>-1.7957746478873253</v>
      </c>
      <c r="AY131" s="93">
        <f>WBTQ_SalesOverview_ExclTax[[#This Row],[RR]]/WBTQ_SalesOverview_ExclTax[[#This Row],[GMV]]</f>
        <v>7.132202738162416</v>
      </c>
      <c r="AZ131" s="436">
        <f>WBTQ_SalesOverview_InTax[[#This Row],[RR]]/$F$1</f>
        <v>2.6378257978882997</v>
      </c>
      <c r="BA131" s="436">
        <f>WBTQ_SalesOverview_InTax[[#This Row],[MD GMV]]/$F$1</f>
        <v>-7.0679523738987227E-2</v>
      </c>
      <c r="BB131" s="94">
        <f>WBTQ_SalesOverview_ExclTax[[#This Row],[MD GMV]]/WBTQ_SalesOverview_ExclTax[[#This Row],[GMV]]</f>
        <v>-0.19110461848798957</v>
      </c>
      <c r="BC131" s="28" t="str">
        <f>_xlfn.XLOOKUP(WBTQ_SalesOverview_ExclTax[[#This Row],[DATE]],全店核心数据_bymonth[开始日期],全店核心数据_bymonth[jda日历.PayYear],"")</f>
        <v/>
      </c>
      <c r="BO131" s="28"/>
      <c r="CB131" s="53"/>
    </row>
    <row r="132" spans="5:84" ht="14.5" customHeight="1" x14ac:dyDescent="0.3">
      <c r="E132" s="428" t="s">
        <v>569</v>
      </c>
      <c r="F132" s="448">
        <v>7400</v>
      </c>
      <c r="G132" s="448">
        <v>7400</v>
      </c>
      <c r="H132" s="448">
        <f>259+14+27</f>
        <v>300</v>
      </c>
      <c r="I132" s="448">
        <v>1</v>
      </c>
      <c r="J132" s="448">
        <v>1</v>
      </c>
      <c r="K132" s="101">
        <f>WBTQ_SalesOverview_InTax[[#This Row],[Buyers]]/WBTQ_SalesOverview_InTax[[#This Row],[UV]]</f>
        <v>3.3333333333333335E-3</v>
      </c>
      <c r="L132" s="448">
        <f>WBTQ_SalesOverview_InTax[[#This Row],[GMV]]/WBTQ_SalesOverview_InTax[[#This Row],[Buyers]]</f>
        <v>7400</v>
      </c>
      <c r="M132" s="448">
        <f>WBTQ_SalesOverview_InTax[[#This Row],[GMV]]/WBTQ_SalesOverview_InTax[[#This Row],[Units]]</f>
        <v>7400</v>
      </c>
      <c r="N132" s="449">
        <f>WBTQ_SalesOverview_InTax[[#This Row],[Units]]/WBTQ_SalesOverview_InTax[[#This Row],[Buyers]]</f>
        <v>1</v>
      </c>
      <c r="O132" s="102">
        <f>WBTQ_SalesOverview_InTax[[#This Row],[RR]]/WBTQ_SalesOverview_InTax[[#This Row],[GMV]]</f>
        <v>0</v>
      </c>
      <c r="P132" s="448">
        <v>0</v>
      </c>
      <c r="Q132" s="448">
        <v>0</v>
      </c>
      <c r="R132" s="103">
        <f>WBTQ_SalesOverview_InTax[[#This Row],[MD GMV]]/WBTQ_SalesOverview_InTax[[#This Row],[GMV]]</f>
        <v>0</v>
      </c>
      <c r="S132" s="448">
        <v>0</v>
      </c>
      <c r="T132" s="94">
        <f>WBTQ_SalesOverview_InTax[[#This Row],[MD NET]]/WBTQ_SalesOverview_InTax[[#This Row],[NET]]</f>
        <v>0</v>
      </c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447" t="str">
        <f>_xlfn.XLOOKUP(WBTQ_SalesOverview_InTax[[#This Row],[DATE]],全店核心数据_bymonth[开始日期],全店核心数据_bymonth[jda日历.PayYear],"")</f>
        <v/>
      </c>
      <c r="AM132" s="53"/>
      <c r="AN132" s="53"/>
      <c r="AO132" s="428" t="str">
        <f>WBTQ_SalesOverview_InTax[[#This Row],[DATE]]</f>
        <v>BU26 YTD Ads</v>
      </c>
      <c r="AP132" s="436">
        <f>WBTQ_SalesOverview_InTax[[#This Row],[GMV]]/$F$1</f>
        <v>6548.6725663716825</v>
      </c>
      <c r="AQ132" s="436">
        <f>WBTQ_SalesOverview_ExclTax[[#This Row],[GMV]]-WBTQ_SalesOverview_ExclTax[[#This Row],[RR]]</f>
        <v>6548.6725663716825</v>
      </c>
      <c r="AR132" s="431">
        <f>WBTQ_SalesOverview_InTax[[#This Row],[UV]]</f>
        <v>300</v>
      </c>
      <c r="AS132" s="431">
        <f>WBTQ_SalesOverview_InTax[[#This Row],[Buyers]]</f>
        <v>1</v>
      </c>
      <c r="AT132" s="431">
        <f>WBTQ_SalesOverview_InTax[[#This Row],[Units]]</f>
        <v>1</v>
      </c>
      <c r="AU132" s="92">
        <f>WBTQ_SalesOverview_ExclTax[[#This Row],[Buyers]]/WBTQ_SalesOverview_ExclTax[[#This Row],[UV]]</f>
        <v>3.3333333333333335E-3</v>
      </c>
      <c r="AV132" s="431">
        <f>WBTQ_SalesOverview_ExclTax[[#This Row],[GMV]]/WBTQ_SalesOverview_ExclTax[[#This Row],[Buyers]]</f>
        <v>6548.6725663716825</v>
      </c>
      <c r="AW132" s="431">
        <f>WBTQ_SalesOverview_ExclTax[[#This Row],[GMV]]/WBTQ_SalesOverview_ExclTax[[#This Row],[Units]]</f>
        <v>6548.6725663716825</v>
      </c>
      <c r="AX132" s="432">
        <f>WBTQ_SalesOverview_ExclTax[[#This Row],[Units]]/WBTQ_SalesOverview_ExclTax[[#This Row],[Buyers]]</f>
        <v>1</v>
      </c>
      <c r="AY132" s="93">
        <f>WBTQ_SalesOverview_ExclTax[[#This Row],[RR]]/WBTQ_SalesOverview_ExclTax[[#This Row],[GMV]]</f>
        <v>0</v>
      </c>
      <c r="AZ132" s="436">
        <f>WBTQ_SalesOverview_InTax[[#This Row],[RR]]/$F$1</f>
        <v>0</v>
      </c>
      <c r="BA132" s="436">
        <f>WBTQ_SalesOverview_InTax[[#This Row],[MD GMV]]/$F$1</f>
        <v>0</v>
      </c>
      <c r="BB132" s="94">
        <f>WBTQ_SalesOverview_ExclTax[[#This Row],[MD GMV]]/WBTQ_SalesOverview_ExclTax[[#This Row],[GMV]]</f>
        <v>0</v>
      </c>
      <c r="BC132" s="28" t="str">
        <f>_xlfn.XLOOKUP(WBTQ_SalesOverview_ExclTax[[#This Row],[DATE]],全店核心数据_bymonth[开始日期],全店核心数据_bymonth[jda日历.PayYear],"")</f>
        <v/>
      </c>
      <c r="BO132" s="28"/>
      <c r="CB132" s="53"/>
    </row>
    <row r="133" spans="5:84" ht="14.5" customHeight="1" x14ac:dyDescent="0.3">
      <c r="E133" s="428" t="s">
        <v>558</v>
      </c>
      <c r="F133" s="448">
        <v>0</v>
      </c>
      <c r="G133" s="448">
        <v>0</v>
      </c>
      <c r="H133" s="448">
        <f>11612+570+1052</f>
        <v>13234</v>
      </c>
      <c r="I133" s="448">
        <v>0</v>
      </c>
      <c r="J133" s="448">
        <v>0</v>
      </c>
      <c r="K133" s="101">
        <f>WBTQ_SalesOverview_InTax[[#This Row],[Buyers]]/WBTQ_SalesOverview_InTax[[#This Row],[UV]]</f>
        <v>0</v>
      </c>
      <c r="L133" s="448" t="e">
        <f>WBTQ_SalesOverview_InTax[[#This Row],[GMV]]/WBTQ_SalesOverview_InTax[[#This Row],[Buyers]]</f>
        <v>#DIV/0!</v>
      </c>
      <c r="M133" s="448" t="e">
        <f>WBTQ_SalesOverview_InTax[[#This Row],[GMV]]/WBTQ_SalesOverview_InTax[[#This Row],[Units]]</f>
        <v>#DIV/0!</v>
      </c>
      <c r="N133" s="449" t="e">
        <f>WBTQ_SalesOverview_InTax[[#This Row],[Units]]/WBTQ_SalesOverview_InTax[[#This Row],[Buyers]]</f>
        <v>#DIV/0!</v>
      </c>
      <c r="O133" s="102" t="e">
        <f>WBTQ_SalesOverview_InTax[[#This Row],[RR]]/WBTQ_SalesOverview_InTax[[#This Row],[GMV]]</f>
        <v>#DIV/0!</v>
      </c>
      <c r="P133" s="448">
        <v>0</v>
      </c>
      <c r="Q133" s="448">
        <v>0</v>
      </c>
      <c r="R133" s="103" t="e">
        <f>WBTQ_SalesOverview_InTax[[#This Row],[MD GMV]]/WBTQ_SalesOverview_InTax[[#This Row],[GMV]]</f>
        <v>#DIV/0!</v>
      </c>
      <c r="S133" s="448">
        <v>0</v>
      </c>
      <c r="T133" s="94" t="e">
        <f>WBTQ_SalesOverview_InTax[[#This Row],[MD NET]]/WBTQ_SalesOverview_InTax[[#This Row],[NET]]</f>
        <v>#DIV/0!</v>
      </c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447" t="str">
        <f>_xlfn.XLOOKUP(WBTQ_SalesOverview_InTax[[#This Row],[DATE]],全店核心数据_bymonth[开始日期],全店核心数据_bymonth[jda日历.PayYear],"")</f>
        <v/>
      </c>
      <c r="AM133" s="53"/>
      <c r="AN133" s="53"/>
      <c r="AO133" s="428" t="str">
        <f>WBTQ_SalesOverview_InTax[[#This Row],[DATE]]</f>
        <v>BU25 YTD Ads</v>
      </c>
      <c r="AP133" s="436">
        <f>WBTQ_SalesOverview_InTax[[#This Row],[GMV]]/$F$1</f>
        <v>0</v>
      </c>
      <c r="AQ133" s="436">
        <f>WBTQ_SalesOverview_ExclTax[[#This Row],[GMV]]-WBTQ_SalesOverview_ExclTax[[#This Row],[RR]]</f>
        <v>0</v>
      </c>
      <c r="AR133" s="431">
        <f>WBTQ_SalesOverview_InTax[[#This Row],[UV]]</f>
        <v>13234</v>
      </c>
      <c r="AS133" s="431">
        <f>WBTQ_SalesOverview_InTax[[#This Row],[Buyers]]</f>
        <v>0</v>
      </c>
      <c r="AT133" s="431">
        <f>WBTQ_SalesOverview_InTax[[#This Row],[Units]]</f>
        <v>0</v>
      </c>
      <c r="AU133" s="92">
        <f>WBTQ_SalesOverview_ExclTax[[#This Row],[Buyers]]/WBTQ_SalesOverview_ExclTax[[#This Row],[UV]]</f>
        <v>0</v>
      </c>
      <c r="AV133" s="431" t="e">
        <f>WBTQ_SalesOverview_ExclTax[[#This Row],[GMV]]/WBTQ_SalesOverview_ExclTax[[#This Row],[Buyers]]</f>
        <v>#DIV/0!</v>
      </c>
      <c r="AW133" s="431" t="e">
        <f>WBTQ_SalesOverview_ExclTax[[#This Row],[GMV]]/WBTQ_SalesOverview_ExclTax[[#This Row],[Units]]</f>
        <v>#DIV/0!</v>
      </c>
      <c r="AX133" s="432" t="e">
        <f>WBTQ_SalesOverview_ExclTax[[#This Row],[Units]]/WBTQ_SalesOverview_ExclTax[[#This Row],[Buyers]]</f>
        <v>#DIV/0!</v>
      </c>
      <c r="AY133" s="93" t="e">
        <f>WBTQ_SalesOverview_ExclTax[[#This Row],[RR]]/WBTQ_SalesOverview_ExclTax[[#This Row],[GMV]]</f>
        <v>#DIV/0!</v>
      </c>
      <c r="AZ133" s="436">
        <f>WBTQ_SalesOverview_InTax[[#This Row],[RR]]/$F$1</f>
        <v>0</v>
      </c>
      <c r="BA133" s="436">
        <f>WBTQ_SalesOverview_InTax[[#This Row],[MD GMV]]/$F$1</f>
        <v>0</v>
      </c>
      <c r="BB133" s="94" t="e">
        <f>WBTQ_SalesOverview_ExclTax[[#This Row],[MD GMV]]/WBTQ_SalesOverview_ExclTax[[#This Row],[GMV]]</f>
        <v>#DIV/0!</v>
      </c>
      <c r="BC133" s="28" t="str">
        <f>_xlfn.XLOOKUP(WBTQ_SalesOverview_ExclTax[[#This Row],[DATE]],全店核心数据_bymonth[开始日期],全店核心数据_bymonth[jda日历.PayYear],"")</f>
        <v/>
      </c>
      <c r="BO133" s="28"/>
      <c r="CF133" s="53"/>
    </row>
    <row r="134" spans="5:84" s="95" customFormat="1" ht="14.5" customHeight="1" x14ac:dyDescent="0.3">
      <c r="E134" s="428" t="s">
        <v>563</v>
      </c>
      <c r="F134" s="448">
        <f t="shared" ref="F134:J135" si="16">F126-F129-F132</f>
        <v>571313.9999999986</v>
      </c>
      <c r="G134" s="448">
        <f t="shared" si="16"/>
        <v>333069.41999999876</v>
      </c>
      <c r="H134" s="448">
        <f t="shared" si="16"/>
        <v>46697</v>
      </c>
      <c r="I134" s="448">
        <f t="shared" si="16"/>
        <v>182</v>
      </c>
      <c r="J134" s="448">
        <f t="shared" si="16"/>
        <v>109</v>
      </c>
      <c r="K134" s="101">
        <f>WBTQ_SalesOverview_InTax[[#This Row],[Buyers]]/WBTQ_SalesOverview_InTax[[#This Row],[UV]]</f>
        <v>3.8974666466796582E-3</v>
      </c>
      <c r="L134" s="448">
        <f>WBTQ_SalesOverview_InTax[[#This Row],[GMV]]/WBTQ_SalesOverview_InTax[[#This Row],[Buyers]]</f>
        <v>3139.0879120879044</v>
      </c>
      <c r="M134" s="448">
        <f>WBTQ_SalesOverview_InTax[[#This Row],[GMV]]/WBTQ_SalesOverview_InTax[[#This Row],[Units]]</f>
        <v>5241.4128440366849</v>
      </c>
      <c r="N134" s="449">
        <f>WBTQ_SalesOverview_InTax[[#This Row],[Units]]/WBTQ_SalesOverview_InTax[[#This Row],[Buyers]]</f>
        <v>0.59890109890109888</v>
      </c>
      <c r="O134" s="102">
        <f>WBTQ_SalesOverview_InTax[[#This Row],[RR]]/WBTQ_SalesOverview_InTax[[#This Row],[GMV]]</f>
        <v>0.41701162583098017</v>
      </c>
      <c r="P134" s="448">
        <f>P126-P129-P132</f>
        <v>238244.58000000002</v>
      </c>
      <c r="Q134" s="448">
        <f>Q126-Q129-Q132</f>
        <v>109719.99999999936</v>
      </c>
      <c r="R134" s="103">
        <f>WBTQ_SalesOverview_InTax[[#This Row],[MD GMV]]/WBTQ_SalesOverview_InTax[[#This Row],[GMV]]</f>
        <v>0.19204850572539728</v>
      </c>
      <c r="S134" s="448">
        <f>S126-S129-S132</f>
        <v>51649.999999999127</v>
      </c>
      <c r="T134" s="94">
        <f>WBTQ_SalesOverview_InTax[[#This Row],[MD NET]]/WBTQ_SalesOverview_InTax[[#This Row],[NET]]</f>
        <v>0.15507277732071387</v>
      </c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447" t="str">
        <f>_xlfn.XLOOKUP(WBTQ_SalesOverview_InTax[[#This Row],[DATE]],全店核心数据_bymonth[开始日期],全店核心数据_bymonth[jda日历.PayYear],"")</f>
        <v/>
      </c>
      <c r="AM134" s="28"/>
      <c r="AN134" s="28"/>
      <c r="AO134" s="428" t="str">
        <f>WBTQ_SalesOverview_InTax[[#This Row],[DATE]]</f>
        <v>BU26 Organic</v>
      </c>
      <c r="AP134" s="436">
        <f>WBTQ_SalesOverview_InTax[[#This Row],[GMV]]/$F$1</f>
        <v>505587.61061946786</v>
      </c>
      <c r="AQ134" s="436">
        <f>WBTQ_SalesOverview_ExclTax[[#This Row],[GMV]]-WBTQ_SalesOverview_ExclTax[[#This Row],[RR]]</f>
        <v>294751.69911504304</v>
      </c>
      <c r="AR134" s="431">
        <f>WBTQ_SalesOverview_InTax[[#This Row],[UV]]</f>
        <v>46697</v>
      </c>
      <c r="AS134" s="431">
        <f>WBTQ_SalesOverview_InTax[[#This Row],[Buyers]]</f>
        <v>182</v>
      </c>
      <c r="AT134" s="431">
        <f>WBTQ_SalesOverview_InTax[[#This Row],[Units]]</f>
        <v>109</v>
      </c>
      <c r="AU134" s="92">
        <f>WBTQ_SalesOverview_ExclTax[[#This Row],[Buyers]]/WBTQ_SalesOverview_ExclTax[[#This Row],[UV]]</f>
        <v>3.8974666466796582E-3</v>
      </c>
      <c r="AV134" s="431">
        <f>WBTQ_SalesOverview_ExclTax[[#This Row],[GMV]]/WBTQ_SalesOverview_ExclTax[[#This Row],[Buyers]]</f>
        <v>2777.9539045025708</v>
      </c>
      <c r="AW134" s="431">
        <f>WBTQ_SalesOverview_ExclTax[[#This Row],[GMV]]/WBTQ_SalesOverview_ExclTax[[#This Row],[Units]]</f>
        <v>4638.4184460501638</v>
      </c>
      <c r="AX134" s="432">
        <f>WBTQ_SalesOverview_ExclTax[[#This Row],[Units]]/WBTQ_SalesOverview_ExclTax[[#This Row],[Buyers]]</f>
        <v>0.59890109890109888</v>
      </c>
      <c r="AY134" s="93">
        <f>WBTQ_SalesOverview_ExclTax[[#This Row],[RR]]/WBTQ_SalesOverview_ExclTax[[#This Row],[GMV]]</f>
        <v>0.41701162583098017</v>
      </c>
      <c r="AZ134" s="436">
        <f>WBTQ_SalesOverview_InTax[[#This Row],[RR]]/$F$1</f>
        <v>210835.91150442482</v>
      </c>
      <c r="BA134" s="436">
        <f>WBTQ_SalesOverview_InTax[[#This Row],[MD GMV]]/$F$1</f>
        <v>97097.345132742805</v>
      </c>
      <c r="BB134" s="94">
        <f>WBTQ_SalesOverview_ExclTax[[#This Row],[MD GMV]]/WBTQ_SalesOverview_ExclTax[[#This Row],[GMV]]</f>
        <v>0.19204850572539728</v>
      </c>
      <c r="BC134" s="28" t="str">
        <f>_xlfn.XLOOKUP(WBTQ_SalesOverview_ExclTax[[#This Row],[DATE]],全店核心数据_bymonth[开始日期],全店核心数据_bymonth[jda日历.PayYear],"")</f>
        <v/>
      </c>
      <c r="BD134" s="28"/>
      <c r="BE134" s="28"/>
      <c r="BF134" s="28"/>
      <c r="BG134" s="28"/>
      <c r="BH134" s="28"/>
      <c r="BI134" s="28"/>
      <c r="BJ134" s="28"/>
      <c r="BK134" s="28"/>
      <c r="BL134" s="28"/>
      <c r="CF134" s="57"/>
    </row>
    <row r="135" spans="5:84" ht="14.5" customHeight="1" x14ac:dyDescent="0.3">
      <c r="E135" s="428" t="s">
        <v>383</v>
      </c>
      <c r="F135" s="448">
        <f t="shared" si="16"/>
        <v>656984.99999999907</v>
      </c>
      <c r="G135" s="448">
        <f t="shared" si="16"/>
        <v>363194.99999999907</v>
      </c>
      <c r="H135" s="448">
        <f t="shared" si="16"/>
        <v>32320</v>
      </c>
      <c r="I135" s="448">
        <f t="shared" si="16"/>
        <v>190</v>
      </c>
      <c r="J135" s="448">
        <f t="shared" si="16"/>
        <v>194</v>
      </c>
      <c r="K135" s="101">
        <f>WBTQ_SalesOverview_InTax[[#This Row],[Buyers]]/WBTQ_SalesOverview_InTax[[#This Row],[UV]]</f>
        <v>5.8787128712871287E-3</v>
      </c>
      <c r="L135" s="448">
        <f>WBTQ_SalesOverview_InTax[[#This Row],[GMV]]/WBTQ_SalesOverview_InTax[[#This Row],[Buyers]]</f>
        <v>3457.8157894736792</v>
      </c>
      <c r="M135" s="448">
        <f>WBTQ_SalesOverview_InTax[[#This Row],[GMV]]/WBTQ_SalesOverview_InTax[[#This Row],[Units]]</f>
        <v>3386.5206185566963</v>
      </c>
      <c r="N135" s="449">
        <f>WBTQ_SalesOverview_InTax[[#This Row],[Units]]/WBTQ_SalesOverview_InTax[[#This Row],[Buyers]]</f>
        <v>1.0210526315789474</v>
      </c>
      <c r="O135" s="102">
        <f>WBTQ_SalesOverview_InTax[[#This Row],[RR]]/WBTQ_SalesOverview_InTax[[#This Row],[GMV]]</f>
        <v>0.44717915934153812</v>
      </c>
      <c r="P135" s="448">
        <f>P127-P130-P133</f>
        <v>293790</v>
      </c>
      <c r="Q135" s="448">
        <f>Q127-Q130-Q133</f>
        <v>118364.99999999953</v>
      </c>
      <c r="R135" s="103">
        <f>WBTQ_SalesOverview_InTax[[#This Row],[MD GMV]]/WBTQ_SalesOverview_InTax[[#This Row],[GMV]]</f>
        <v>0.18016393068334849</v>
      </c>
      <c r="S135" s="448">
        <f>S127-S130-S133</f>
        <v>74519.999999999069</v>
      </c>
      <c r="T135" s="94">
        <f>WBTQ_SalesOverview_InTax[[#This Row],[MD NET]]/WBTQ_SalesOverview_InTax[[#This Row],[NET]]</f>
        <v>0.20517903605500973</v>
      </c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447" t="str">
        <f>_xlfn.XLOOKUP(WBTQ_SalesOverview_InTax[[#This Row],[DATE]],全店核心数据_bymonth[开始日期],全店核心数据_bymonth[jda日历.PayYear],"")</f>
        <v/>
      </c>
      <c r="AO135" s="428" t="str">
        <f>WBTQ_SalesOverview_InTax[[#This Row],[DATE]]</f>
        <v>BU25 Organic</v>
      </c>
      <c r="AP135" s="436">
        <f>WBTQ_SalesOverview_InTax[[#This Row],[GMV]]/$F$1</f>
        <v>581402.65486725583</v>
      </c>
      <c r="AQ135" s="436">
        <f>WBTQ_SalesOverview_ExclTax[[#This Row],[GMV]]-WBTQ_SalesOverview_ExclTax[[#This Row],[RR]]</f>
        <v>321411.50442477793</v>
      </c>
      <c r="AR135" s="431">
        <f>WBTQ_SalesOverview_InTax[[#This Row],[UV]]</f>
        <v>32320</v>
      </c>
      <c r="AS135" s="431">
        <f>WBTQ_SalesOverview_InTax[[#This Row],[Buyers]]</f>
        <v>190</v>
      </c>
      <c r="AT135" s="431">
        <f>WBTQ_SalesOverview_InTax[[#This Row],[Units]]</f>
        <v>194</v>
      </c>
      <c r="AU135" s="92">
        <f>WBTQ_SalesOverview_ExclTax[[#This Row],[Buyers]]/WBTQ_SalesOverview_ExclTax[[#This Row],[UV]]</f>
        <v>5.8787128712871287E-3</v>
      </c>
      <c r="AV135" s="431">
        <f>WBTQ_SalesOverview_ExclTax[[#This Row],[GMV]]/WBTQ_SalesOverview_ExclTax[[#This Row],[Buyers]]</f>
        <v>3060.0139729855568</v>
      </c>
      <c r="AW135" s="431">
        <f>WBTQ_SalesOverview_ExclTax[[#This Row],[GMV]]/WBTQ_SalesOverview_ExclTax[[#This Row],[Units]]</f>
        <v>2996.9209013776072</v>
      </c>
      <c r="AX135" s="432">
        <f>WBTQ_SalesOverview_ExclTax[[#This Row],[Units]]/WBTQ_SalesOverview_ExclTax[[#This Row],[Buyers]]</f>
        <v>1.0210526315789474</v>
      </c>
      <c r="AY135" s="93">
        <f>WBTQ_SalesOverview_ExclTax[[#This Row],[RR]]/WBTQ_SalesOverview_ExclTax[[#This Row],[GMV]]</f>
        <v>0.44717915934153812</v>
      </c>
      <c r="AZ135" s="436">
        <f>WBTQ_SalesOverview_InTax[[#This Row],[RR]]/$F$1</f>
        <v>259991.1504424779</v>
      </c>
      <c r="BA135" s="436">
        <f>WBTQ_SalesOverview_InTax[[#This Row],[MD GMV]]/$F$1</f>
        <v>104747.78761061907</v>
      </c>
      <c r="BB135" s="94">
        <f>WBTQ_SalesOverview_ExclTax[[#This Row],[MD GMV]]/WBTQ_SalesOverview_ExclTax[[#This Row],[GMV]]</f>
        <v>0.18016393068334849</v>
      </c>
      <c r="BC135" s="28" t="str">
        <f>_xlfn.XLOOKUP(WBTQ_SalesOverview_ExclTax[[#This Row],[DATE]],全店核心数据_bymonth[开始日期],全店核心数据_bymonth[jda日历.PayYear],"")</f>
        <v/>
      </c>
      <c r="BO135" s="28"/>
      <c r="CB135" s="53"/>
    </row>
    <row r="136" spans="5:84" ht="14.5" customHeight="1" x14ac:dyDescent="0.3">
      <c r="E136" s="425" t="s">
        <v>384</v>
      </c>
      <c r="F136" s="256">
        <f t="shared" ref="F136:N136" si="17">F134/F135-1</f>
        <v>-0.1304002374483445</v>
      </c>
      <c r="G136" s="256">
        <f t="shared" si="17"/>
        <v>-8.2946020732665326E-2</v>
      </c>
      <c r="H136" s="256">
        <f t="shared" si="17"/>
        <v>0.44483292079207915</v>
      </c>
      <c r="I136" s="256">
        <f t="shared" si="17"/>
        <v>-4.2105263157894757E-2</v>
      </c>
      <c r="J136" s="256">
        <f t="shared" si="17"/>
        <v>-0.43814432989690721</v>
      </c>
      <c r="K136" s="256">
        <f t="shared" si="17"/>
        <v>-0.33702041041743924</v>
      </c>
      <c r="L136" s="256">
        <f t="shared" si="17"/>
        <v>-9.2176072061458503E-2</v>
      </c>
      <c r="M136" s="256">
        <f t="shared" si="17"/>
        <v>0.54772801775248792</v>
      </c>
      <c r="N136" s="256">
        <f t="shared" si="17"/>
        <v>-0.41344737736490322</v>
      </c>
      <c r="O136" s="255">
        <f>(O134-O135)*100</f>
        <v>-3.0167533510557956</v>
      </c>
      <c r="P136" s="222">
        <f>P134/P135-1</f>
        <v>-0.18906504646175837</v>
      </c>
      <c r="Q136" s="222">
        <f>Q134/Q135-1</f>
        <v>-7.3036792970896824E-2</v>
      </c>
      <c r="R136" s="255">
        <f>(R134-R135)*100</f>
        <v>1.1884575042048788</v>
      </c>
      <c r="S136" s="222">
        <f>S134/S135-1</f>
        <v>-0.30689747718733529</v>
      </c>
      <c r="T136" s="255">
        <f>(T134-T135)*100</f>
        <v>-5.0106258734295857</v>
      </c>
      <c r="U136" s="255"/>
      <c r="V136" s="255"/>
      <c r="W136" s="255"/>
      <c r="X136" s="255"/>
      <c r="Y136" s="255"/>
      <c r="Z136" s="255"/>
      <c r="AA136" s="255"/>
      <c r="AB136" s="255"/>
      <c r="AC136" s="255"/>
      <c r="AD136" s="255"/>
      <c r="AE136" s="255"/>
      <c r="AF136" s="255"/>
      <c r="AG136" s="255"/>
      <c r="AH136" s="255"/>
      <c r="AI136" s="255"/>
      <c r="AJ136" s="255"/>
      <c r="AK136" s="255"/>
      <c r="AL136" s="28" t="str">
        <f>_xlfn.XLOOKUP(WBTQ_SalesOverview_InTax[[#This Row],[DATE]],全店核心数据_bymonth[开始日期],全店核心数据_bymonth[jda日历.PayYear],"")</f>
        <v/>
      </c>
      <c r="AO136" s="425" t="str">
        <f>WBTQ_SalesOverview_InTax[[#This Row],[DATE]]</f>
        <v>YOY Organic</v>
      </c>
      <c r="AP136" s="256">
        <f>WBTQ_SalesOverview_InTax[[#This Row],[GMV]]</f>
        <v>-0.1304002374483445</v>
      </c>
      <c r="AQ136" s="256">
        <f>WBTQ_SalesOverview_InTax[[#This Row],[NET]]</f>
        <v>-8.2946020732665326E-2</v>
      </c>
      <c r="AR136" s="256">
        <f>WBTQ_SalesOverview_InTax[[#This Row],[UV]]</f>
        <v>0.44483292079207915</v>
      </c>
      <c r="AS136" s="256">
        <f>WBTQ_SalesOverview_InTax[[#This Row],[Buyers]]</f>
        <v>-4.2105263157894757E-2</v>
      </c>
      <c r="AT136" s="256">
        <f>WBTQ_SalesOverview_InTax[[#This Row],[Units]]</f>
        <v>-0.43814432989690721</v>
      </c>
      <c r="AU136" s="256">
        <f>WBTQ_SalesOverview_InTax[[#This Row],[CR]]</f>
        <v>-0.33702041041743924</v>
      </c>
      <c r="AV136" s="256">
        <f>WBTQ_SalesOverview_InTax[[#This Row],[ATV]]</f>
        <v>-9.2176072061458503E-2</v>
      </c>
      <c r="AW136" s="256">
        <f>WBTQ_SalesOverview_InTax[[#This Row],[AUR]]</f>
        <v>0.54772801775248792</v>
      </c>
      <c r="AX136" s="256">
        <f>WBTQ_SalesOverview_InTax[[#This Row],[UPT]]</f>
        <v>-0.41344737736490322</v>
      </c>
      <c r="AY136" s="255">
        <f>WBTQ_SalesOverview_InTax[[#This Row],[RRC]]</f>
        <v>-3.0167533510557956</v>
      </c>
      <c r="AZ136" s="222">
        <f>WBTQ_SalesOverview_InTax[[#This Row],[RR]]</f>
        <v>-0.18906504646175837</v>
      </c>
      <c r="BA136" s="222">
        <f>WBTQ_SalesOverview_InTax[[#This Row],[MD GMV]]</f>
        <v>-7.3036792970896824E-2</v>
      </c>
      <c r="BB136" s="255">
        <f>WBTQ_SalesOverview_InTax[[#This Row],[MD%]]</f>
        <v>1.1884575042048788</v>
      </c>
      <c r="BC136" s="28" t="str">
        <f>_xlfn.XLOOKUP(WBTQ_SalesOverview_ExclTax[[#This Row],[DATE]],全店核心数据_bymonth[开始日期],全店核心数据_bymonth[jda日历.PayYear],"")</f>
        <v/>
      </c>
      <c r="BO136" s="28"/>
      <c r="CF136" s="53"/>
    </row>
    <row r="137" spans="5:84" ht="14.5" customHeight="1" x14ac:dyDescent="0.3">
      <c r="E137" s="428" t="s">
        <v>385</v>
      </c>
      <c r="F137" s="431">
        <f>SUMIFS([44]!dtc_订单源[成交总金额],[44]!dtc_订单源[最后付款时间],"&gt;="&amp;$K$1,[44]!dtc_订单源[最后付款时间],"&lt;"&amp;EOMONTH($K$1,0)+1,[44]!dtc_订单源[店铺名称],"*小程序*",[44]!dtc_订单源[sc_flag],1)</f>
        <v>164710</v>
      </c>
      <c r="G137" s="431">
        <f>WBTQ_SalesOverview_InTax[[#This Row],[GMV]]-WBTQ_SalesOverview_InTax[[#This Row],[RR]]</f>
        <v>117780</v>
      </c>
      <c r="H137" s="437">
        <v>211</v>
      </c>
      <c r="I137" s="435" cm="1">
        <f t="array" ref="I137">COUNT(LEN(_xlfn.UNIQUE(_xlfn._xlws.FILTER([44]!dtc_订单源[买家昵称],([44]!dtc_订单源[最后付款时间]&gt;=$K$1)*([44]!dtc_订单源[最后付款时间]&lt;EOMONTH($K$1,0)+1)*([44]!dtc_订单源[店铺名称]="Dunhill微信小程序店")*([44]!dtc_订单源[sc_flag]=1)))))</f>
        <v>17</v>
      </c>
      <c r="J137" s="431">
        <f>SUMIFS([44]!dtc_订单源[件数],[44]!dtc_订单源[最后付款时间],"&gt;="&amp;$K$1,[44]!dtc_订单源[最后付款时间],"&lt;"&amp;EOMONTH($K$1,0)+1,[44]!dtc_订单源[店铺名称],"*小程序*",[44]!dtc_订单源[sc_flag],1)</f>
        <v>27</v>
      </c>
      <c r="K137" s="92">
        <f>WBTQ_SalesOverview_InTax[[#This Row],[Buyers]]/WBTQ_SalesOverview_InTax[[#This Row],[UV]]</f>
        <v>8.0568720379146919E-2</v>
      </c>
      <c r="L137" s="431">
        <f>WBTQ_SalesOverview_InTax[[#This Row],[GMV]]/WBTQ_SalesOverview_InTax[[#This Row],[Buyers]]</f>
        <v>9688.823529411764</v>
      </c>
      <c r="M137" s="431">
        <f>WBTQ_SalesOverview_InTax[[#This Row],[GMV]]/WBTQ_SalesOverview_InTax[[#This Row],[Units]]</f>
        <v>6100.3703703703704</v>
      </c>
      <c r="N137" s="432">
        <f>WBTQ_SalesOverview_InTax[[#This Row],[Units]]/WBTQ_SalesOverview_InTax[[#This Row],[Buyers]]</f>
        <v>1.588235294117647</v>
      </c>
      <c r="O137" s="93">
        <f>WBTQ_SalesOverview_InTax[[#This Row],[RR]]/WBTQ_SalesOverview_InTax[[#This Row],[GMV]]</f>
        <v>0.28492501973164958</v>
      </c>
      <c r="P137" s="431">
        <f>SUMIFS([44]!dtc_订单源[退款金额],[44]!dtc_订单源[最后付款时间],"&gt;="&amp;$K$1,[44]!dtc_订单源[最后付款时间],"&lt;"&amp;EOMONTH($K$1,0)+1,[44]!dtc_订单源[店铺名称],"*小程序*",[44]!dtc_订单源[sc_flag],1)</f>
        <v>46930</v>
      </c>
      <c r="Q137" s="431">
        <f>SUMIFS([44]!dtc_订单源[成交总金额],[44]!dtc_订单源[最后付款时间],"&gt;="&amp;$K$1,[44]!dtc_订单源[最后付款时间],"&lt;"&amp;EOMONTH($K$1,0)+1,[44]!dtc_订单源[店铺名称],"*小程序*",[44]!dtc_订单源[官网导购_flag],1,[44]!dtc_订单源[FP_MD],"MD")</f>
        <v>0</v>
      </c>
      <c r="R137" s="94">
        <f>WBTQ_SalesOverview_InTax[[#This Row],[MD GMV]]/WBTQ_SalesOverview_InTax[[#This Row],[GMV]]</f>
        <v>0</v>
      </c>
      <c r="S137" s="431">
        <f>SUMIFS([44]!dtc_订单源[成交总金额],[44]!dtc_订单源[最后付款时间],"&gt;="&amp;$K$1,[44]!dtc_订单源[最后付款时间],"&lt;"&amp;EOMONTH($K$1,0)+1,[44]!dtc_订单源[店铺名称],"*小程序*",[44]!dtc_订单源[sc_flag],1,[44]!dtc_订单源[FP_MD],"MD")-SUMIFS([44]!dtc_订单源[退款金额],[44]!dtc_订单源[最后付款时间],"&gt;="&amp;$K$1,[44]!dtc_订单源[最后付款时间],"&lt;"&amp;EOMONTH($K$1,0)+1,[44]!dtc_订单源[店铺名称],"*小程序*",[44]!dtc_订单源[sc_flag],1,[44]!dtc_订单源[FP_MD],"MD")</f>
        <v>43670</v>
      </c>
      <c r="T137" s="94">
        <f>WBTQ_SalesOverview_InTax[[#This Row],[MD NET]]/WBTQ_SalesOverview_InTax[[#This Row],[NET]]</f>
        <v>0.37077602309390389</v>
      </c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28" t="str">
        <f>_xlfn.XLOOKUP(WBTQ_SalesOverview_InTax[[#This Row],[DATE]],全店核心数据_bymonth[开始日期],全店核心数据_bymonth[jda日历.PayYear],"")</f>
        <v/>
      </c>
      <c r="AM137" s="53"/>
      <c r="AN137" s="53"/>
      <c r="AO137" s="428" t="str">
        <f>WBTQ_SalesOverview_InTax[[#This Row],[DATE]]</f>
        <v>MTD-TY SC</v>
      </c>
      <c r="AP137" s="436">
        <f>WBTQ_SalesOverview_InTax[[#This Row],[GMV]]/$F$1</f>
        <v>145761.06194690266</v>
      </c>
      <c r="AQ137" s="436">
        <f>WBTQ_SalesOverview_ExclTax[[#This Row],[GMV]]-WBTQ_SalesOverview_ExclTax[[#This Row],[RR]]</f>
        <v>104230.08849557521</v>
      </c>
      <c r="AR137" s="436">
        <f>WBTQ_SalesOverview_InTax[[#This Row],[UV]]</f>
        <v>211</v>
      </c>
      <c r="AS137" s="431">
        <f>WBTQ_SalesOverview_InTax[[#This Row],[Buyers]]</f>
        <v>17</v>
      </c>
      <c r="AT137" s="431">
        <f>WBTQ_SalesOverview_InTax[[#This Row],[Units]]</f>
        <v>27</v>
      </c>
      <c r="AU137" s="92">
        <f>WBTQ_SalesOverview_ExclTax[[#This Row],[Buyers]]/WBTQ_SalesOverview_ExclTax[[#This Row],[UV]]</f>
        <v>8.0568720379146919E-2</v>
      </c>
      <c r="AV137" s="431">
        <f>WBTQ_SalesOverview_ExclTax[[#This Row],[GMV]]/WBTQ_SalesOverview_ExclTax[[#This Row],[Buyers]]</f>
        <v>8574.1801145236859</v>
      </c>
      <c r="AW137" s="431">
        <f>WBTQ_SalesOverview_ExclTax[[#This Row],[GMV]]/WBTQ_SalesOverview_ExclTax[[#This Row],[Units]]</f>
        <v>5398.5578498852838</v>
      </c>
      <c r="AX137" s="432">
        <f>WBTQ_SalesOverview_ExclTax[[#This Row],[Units]]/WBTQ_SalesOverview_ExclTax[[#This Row],[Buyers]]</f>
        <v>1.588235294117647</v>
      </c>
      <c r="AY137" s="93">
        <f>WBTQ_SalesOverview_ExclTax[[#This Row],[RR]]/WBTQ_SalesOverview_ExclTax[[#This Row],[GMV]]</f>
        <v>0.28492501973164958</v>
      </c>
      <c r="AZ137" s="436">
        <f>WBTQ_SalesOverview_InTax[[#This Row],[RR]]/$F$1</f>
        <v>41530.973451327438</v>
      </c>
      <c r="BA137" s="436">
        <f>WBTQ_SalesOverview_InTax[[#This Row],[MD GMV]]/$F$1</f>
        <v>0</v>
      </c>
      <c r="BB137" s="94">
        <f>WBTQ_SalesOverview_ExclTax[[#This Row],[MD GMV]]/WBTQ_SalesOverview_ExclTax[[#This Row],[GMV]]</f>
        <v>0</v>
      </c>
      <c r="BC137" s="28" t="str">
        <f>_xlfn.XLOOKUP(WBTQ_SalesOverview_ExclTax[[#This Row],[DATE]],全店核心数据_bymonth[开始日期],全店核心数据_bymonth[jda日历.PayYear],"")</f>
        <v/>
      </c>
      <c r="BO137" s="28"/>
      <c r="CF137" s="53"/>
    </row>
    <row r="138" spans="5:84" ht="14.5" customHeight="1" x14ac:dyDescent="0.3">
      <c r="E138" s="428" t="s">
        <v>386</v>
      </c>
      <c r="F138" s="431">
        <f>SUMIFS([44]!dtc_订单源[成交总金额],[44]!dtc_订单源[最后付款时间],"&gt;="&amp;EDATE($K$1,-12),[44]!dtc_订单源[最后付款时间],"&lt;"&amp;EDATE(EOMONTH($K$1,0)+1,-12),[44]!dtc_订单源[店铺名称],"*小程序*",[44]!dtc_订单源[sc_flag],1)</f>
        <v>0</v>
      </c>
      <c r="G138" s="431">
        <f>WBTQ_SalesOverview_InTax[[#This Row],[GMV]]-WBTQ_SalesOverview_InTax[[#This Row],[RR]]</f>
        <v>0</v>
      </c>
      <c r="H138" s="437">
        <v>0</v>
      </c>
      <c r="I138" s="435" cm="1">
        <f t="array" ref="I138">COUNT(LEN(_xlfn.UNIQUE(_xlfn._xlws.FILTER([44]!dtc_订单源[买家昵称],([44]!dtc_订单源[最后付款时间]&gt;=EDATE($K$1,-12))*([44]!dtc_订单源[最后付款时间]&lt;EDATE(EOMONTH($K$1,0)+1,-12))*([44]!dtc_订单源[店铺名称]="Dunhill微信小程序店")*([44]!dtc_订单源[sc_flag]=1)))))</f>
        <v>0</v>
      </c>
      <c r="J138" s="431">
        <f>SUMIFS([44]!dtc_订单源[件数],[44]!dtc_订单源[最后付款时间],"&gt;="&amp;EDATE($K$1,-12),[44]!dtc_订单源[最后付款时间],"&lt;"&amp;EDATE(EOMONTH($K$1,0)+1,-12),[44]!dtc_订单源[店铺名称],"*小程序*",[44]!dtc_订单源[sc_flag],1)</f>
        <v>0</v>
      </c>
      <c r="K138" s="92" t="e">
        <f>WBTQ_SalesOverview_InTax[[#This Row],[Buyers]]/WBTQ_SalesOverview_InTax[[#This Row],[UV]]</f>
        <v>#DIV/0!</v>
      </c>
      <c r="L138" s="431" t="e">
        <f>WBTQ_SalesOverview_InTax[[#This Row],[GMV]]/WBTQ_SalesOverview_InTax[[#This Row],[Buyers]]</f>
        <v>#DIV/0!</v>
      </c>
      <c r="M138" s="431" t="e">
        <f>WBTQ_SalesOverview_InTax[[#This Row],[GMV]]/WBTQ_SalesOverview_InTax[[#This Row],[Units]]</f>
        <v>#DIV/0!</v>
      </c>
      <c r="N138" s="432" t="e">
        <f>WBTQ_SalesOverview_InTax[[#This Row],[Units]]/WBTQ_SalesOverview_InTax[[#This Row],[Buyers]]</f>
        <v>#DIV/0!</v>
      </c>
      <c r="O138" s="93" t="e">
        <f>WBTQ_SalesOverview_InTax[[#This Row],[RR]]/WBTQ_SalesOverview_InTax[[#This Row],[GMV]]</f>
        <v>#DIV/0!</v>
      </c>
      <c r="P138" s="431">
        <f>SUMIFS([44]!dtc_订单源[退款金额],[44]!dtc_订单源[最后付款时间],"&gt;="&amp;EDATE($K$1,-12),[44]!dtc_订单源[最后付款时间],"&lt;"&amp;EDATE(EOMONTH($K$1,0)+1,-12),[44]!dtc_订单源[店铺名称],"*小程序*",[44]!dtc_订单源[sc_flag],1)</f>
        <v>0</v>
      </c>
      <c r="Q138" s="431">
        <f>SUMIFS([44]!dtc_订单源[成交总金额],[44]!dtc_订单源[最后付款时间],"&gt;="&amp;EDATE($K$1,-12),[44]!dtc_订单源[最后付款时间],"&lt;"&amp;EDATE(EOMONTH($K$1,0)+1,-12),[44]!dtc_订单源[店铺名称],"*小程序*",[44]!dtc_订单源[官网导购_flag],1,[44]!dtc_订单源[FP_MD],"MD")</f>
        <v>0</v>
      </c>
      <c r="R138" s="94" t="e">
        <f>WBTQ_SalesOverview_InTax[[#This Row],[MD GMV]]/WBTQ_SalesOverview_InTax[[#This Row],[GMV]]</f>
        <v>#DIV/0!</v>
      </c>
      <c r="S138" s="431">
        <f>SUMIFS([44]!dtc_订单源[成交总金额],[44]!dtc_订单源[最后付款时间],"&gt;="&amp;EDATE($K$1,-12),[44]!dtc_订单源[最后付款时间],"&lt;"&amp;EDATE(EOMONTH($K$1,0)+1,-12),[44]!dtc_订单源[店铺名称],"*小程序*",[44]!dtc_订单源[sc_flag],1,[44]!dtc_订单源[FP_MD],"MD")-SUMIFS([44]!dtc_订单源[退款金额],[44]!dtc_订单源[最后付款时间],"&gt;="&amp;EDATE($K$1,-12),[44]!dtc_订单源[最后付款时间],"&lt;"&amp;EDATE(EOMONTH($K$1,0)+1,-12),[44]!dtc_订单源[店铺名称],"*小程序*",[44]!dtc_订单源[sc_flag],1,[44]!dtc_订单源[FP_MD],"MD")</f>
        <v>0</v>
      </c>
      <c r="T138" s="94" t="e">
        <f>WBTQ_SalesOverview_InTax[[#This Row],[MD NET]]/WBTQ_SalesOverview_InTax[[#This Row],[NET]]</f>
        <v>#DIV/0!</v>
      </c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28" t="str">
        <f>_xlfn.XLOOKUP(WBTQ_SalesOverview_InTax[[#This Row],[DATE]],全店核心数据_bymonth[开始日期],全店核心数据_bymonth[jda日历.PayYear],"")</f>
        <v/>
      </c>
      <c r="AM138" s="53"/>
      <c r="AN138" s="53"/>
      <c r="AO138" s="428" t="str">
        <f>WBTQ_SalesOverview_InTax[[#This Row],[DATE]]</f>
        <v>MTD-LY SC</v>
      </c>
      <c r="AP138" s="436">
        <f>WBTQ_SalesOverview_InTax[[#This Row],[GMV]]/$F$1</f>
        <v>0</v>
      </c>
      <c r="AQ138" s="436">
        <f>WBTQ_SalesOverview_ExclTax[[#This Row],[GMV]]-WBTQ_SalesOverview_ExclTax[[#This Row],[RR]]</f>
        <v>0</v>
      </c>
      <c r="AR138" s="436">
        <f>WBTQ_SalesOverview_InTax[[#This Row],[UV]]</f>
        <v>0</v>
      </c>
      <c r="AS138" s="431">
        <f>WBTQ_SalesOverview_InTax[[#This Row],[Buyers]]</f>
        <v>0</v>
      </c>
      <c r="AT138" s="431">
        <f>WBTQ_SalesOverview_InTax[[#This Row],[Units]]</f>
        <v>0</v>
      </c>
      <c r="AU138" s="92" t="e">
        <f>WBTQ_SalesOverview_ExclTax[[#This Row],[Buyers]]/WBTQ_SalesOverview_ExclTax[[#This Row],[UV]]</f>
        <v>#DIV/0!</v>
      </c>
      <c r="AV138" s="431" t="e">
        <f>WBTQ_SalesOverview_ExclTax[[#This Row],[GMV]]/WBTQ_SalesOverview_ExclTax[[#This Row],[Buyers]]</f>
        <v>#DIV/0!</v>
      </c>
      <c r="AW138" s="431" t="e">
        <f>WBTQ_SalesOverview_ExclTax[[#This Row],[GMV]]/WBTQ_SalesOverview_ExclTax[[#This Row],[Units]]</f>
        <v>#DIV/0!</v>
      </c>
      <c r="AX138" s="432" t="e">
        <f>WBTQ_SalesOverview_ExclTax[[#This Row],[Units]]/WBTQ_SalesOverview_ExclTax[[#This Row],[Buyers]]</f>
        <v>#DIV/0!</v>
      </c>
      <c r="AY138" s="93" t="e">
        <f>WBTQ_SalesOverview_ExclTax[[#This Row],[RR]]/WBTQ_SalesOverview_ExclTax[[#This Row],[GMV]]</f>
        <v>#DIV/0!</v>
      </c>
      <c r="AZ138" s="436">
        <f>WBTQ_SalesOverview_InTax[[#This Row],[RR]]/$F$1</f>
        <v>0</v>
      </c>
      <c r="BA138" s="436">
        <f>WBTQ_SalesOverview_InTax[[#This Row],[MD GMV]]/$F$1</f>
        <v>0</v>
      </c>
      <c r="BB138" s="94" t="e">
        <f>WBTQ_SalesOverview_ExclTax[[#This Row],[MD GMV]]/WBTQ_SalesOverview_ExclTax[[#This Row],[GMV]]</f>
        <v>#DIV/0!</v>
      </c>
      <c r="BC138" s="28" t="str">
        <f>_xlfn.XLOOKUP(WBTQ_SalesOverview_ExclTax[[#This Row],[DATE]],全店核心数据_bymonth[开始日期],全店核心数据_bymonth[jda日历.PayYear],"")</f>
        <v/>
      </c>
      <c r="BO138" s="28"/>
      <c r="CF138" s="53"/>
    </row>
    <row r="139" spans="5:84" ht="14.5" customHeight="1" x14ac:dyDescent="0.3">
      <c r="E139" s="425" t="s">
        <v>688</v>
      </c>
      <c r="F139" s="256" t="e">
        <f t="shared" ref="F139:N139" si="18">F137/F138-1</f>
        <v>#DIV/0!</v>
      </c>
      <c r="G139" s="256" t="e">
        <f t="shared" si="18"/>
        <v>#DIV/0!</v>
      </c>
      <c r="H139" s="256" t="e">
        <f t="shared" si="18"/>
        <v>#DIV/0!</v>
      </c>
      <c r="I139" s="256" t="e">
        <f t="shared" si="18"/>
        <v>#DIV/0!</v>
      </c>
      <c r="J139" s="256" t="e">
        <f t="shared" si="18"/>
        <v>#DIV/0!</v>
      </c>
      <c r="K139" s="256" t="e">
        <f t="shared" si="18"/>
        <v>#DIV/0!</v>
      </c>
      <c r="L139" s="256" t="e">
        <f t="shared" si="18"/>
        <v>#DIV/0!</v>
      </c>
      <c r="M139" s="256" t="e">
        <f t="shared" si="18"/>
        <v>#DIV/0!</v>
      </c>
      <c r="N139" s="256" t="e">
        <f t="shared" si="18"/>
        <v>#DIV/0!</v>
      </c>
      <c r="O139" s="255" t="e">
        <f>(O137-O138)*100</f>
        <v>#DIV/0!</v>
      </c>
      <c r="P139" s="222" t="e">
        <f>P137/P138-1</f>
        <v>#DIV/0!</v>
      </c>
      <c r="Q139" s="222" t="e">
        <f>Q137/Q138-1</f>
        <v>#DIV/0!</v>
      </c>
      <c r="R139" s="255" t="e">
        <f>(R137-R138)*100</f>
        <v>#DIV/0!</v>
      </c>
      <c r="S139" s="222" t="e">
        <f>S137/S138-1</f>
        <v>#DIV/0!</v>
      </c>
      <c r="T139" s="255" t="e">
        <f>(T137-T138)*100</f>
        <v>#DIV/0!</v>
      </c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28" t="str">
        <f>_xlfn.XLOOKUP(WBTQ_SalesOverview_InTax[[#This Row],[DATE]],全店核心数据_bymonth[开始日期],全店核心数据_bymonth[jda日历.PayYear],"")</f>
        <v/>
      </c>
      <c r="AO139" s="425" t="str">
        <f>WBTQ_SalesOverview_InTax[[#This Row],[DATE]]</f>
        <v>MTD YOY SC</v>
      </c>
      <c r="AP139" s="256" t="e">
        <f>WBTQ_SalesOverview_InTax[[#This Row],[GMV]]</f>
        <v>#DIV/0!</v>
      </c>
      <c r="AQ139" s="256" t="e">
        <f>WBTQ_SalesOverview_InTax[[#This Row],[NET]]</f>
        <v>#DIV/0!</v>
      </c>
      <c r="AR139" s="256" t="e">
        <f>WBTQ_SalesOverview_InTax[[#This Row],[UV]]</f>
        <v>#DIV/0!</v>
      </c>
      <c r="AS139" s="256" t="e">
        <f>WBTQ_SalesOverview_InTax[[#This Row],[Buyers]]</f>
        <v>#DIV/0!</v>
      </c>
      <c r="AT139" s="256" t="e">
        <f>WBTQ_SalesOverview_InTax[[#This Row],[Units]]</f>
        <v>#DIV/0!</v>
      </c>
      <c r="AU139" s="256" t="e">
        <f>WBTQ_SalesOverview_InTax[[#This Row],[CR]]</f>
        <v>#DIV/0!</v>
      </c>
      <c r="AV139" s="256" t="e">
        <f>WBTQ_SalesOverview_InTax[[#This Row],[ATV]]</f>
        <v>#DIV/0!</v>
      </c>
      <c r="AW139" s="256" t="e">
        <f>WBTQ_SalesOverview_InTax[[#This Row],[AUR]]</f>
        <v>#DIV/0!</v>
      </c>
      <c r="AX139" s="256" t="e">
        <f>WBTQ_SalesOverview_InTax[[#This Row],[UPT]]</f>
        <v>#DIV/0!</v>
      </c>
      <c r="AY139" s="255" t="e">
        <f>WBTQ_SalesOverview_InTax[[#This Row],[RRC]]</f>
        <v>#DIV/0!</v>
      </c>
      <c r="AZ139" s="222" t="e">
        <f>WBTQ_SalesOverview_InTax[[#This Row],[RR]]</f>
        <v>#DIV/0!</v>
      </c>
      <c r="BA139" s="222" t="e">
        <f>WBTQ_SalesOverview_InTax[[#This Row],[MD GMV]]</f>
        <v>#DIV/0!</v>
      </c>
      <c r="BB139" s="255" t="e">
        <f>WBTQ_SalesOverview_InTax[[#This Row],[MD%]]</f>
        <v>#DIV/0!</v>
      </c>
      <c r="BC139" s="28" t="str">
        <f>_xlfn.XLOOKUP(WBTQ_SalesOverview_ExclTax[[#This Row],[DATE]],全店核心数据_bymonth[开始日期],全店核心数据_bymonth[jda日历.PayYear],"")</f>
        <v/>
      </c>
      <c r="BO139" s="28"/>
      <c r="CF139" s="53"/>
    </row>
    <row r="140" spans="5:84" ht="14.5" customHeight="1" x14ac:dyDescent="0.3">
      <c r="E140" s="428" t="s">
        <v>408</v>
      </c>
      <c r="F140" s="448">
        <v>0</v>
      </c>
      <c r="G140" s="448">
        <v>0</v>
      </c>
      <c r="H140" s="448">
        <v>27</v>
      </c>
      <c r="I140" s="448">
        <v>0</v>
      </c>
      <c r="J140" s="448">
        <v>0</v>
      </c>
      <c r="K140" s="101">
        <f>WBTQ_SalesOverview_InTax[[#This Row],[Buyers]]/WBTQ_SalesOverview_InTax[[#This Row],[UV]]</f>
        <v>0</v>
      </c>
      <c r="L140" s="448" t="e">
        <f>WBTQ_SalesOverview_InTax[[#This Row],[GMV]]/WBTQ_SalesOverview_InTax[[#This Row],[Buyers]]</f>
        <v>#DIV/0!</v>
      </c>
      <c r="M140" s="448" t="e">
        <f>WBTQ_SalesOverview_InTax[[#This Row],[GMV]]/WBTQ_SalesOverview_InTax[[#This Row],[Units]]</f>
        <v>#DIV/0!</v>
      </c>
      <c r="N140" s="449" t="e">
        <f>WBTQ_SalesOverview_InTax[[#This Row],[Units]]/WBTQ_SalesOverview_InTax[[#This Row],[Buyers]]</f>
        <v>#DIV/0!</v>
      </c>
      <c r="O140" s="102" t="e">
        <f>WBTQ_SalesOverview_InTax[[#This Row],[RR]]/WBTQ_SalesOverview_InTax[[#This Row],[GMV]]</f>
        <v>#DIV/0!</v>
      </c>
      <c r="P140" s="431">
        <v>0</v>
      </c>
      <c r="Q140" s="431">
        <v>0</v>
      </c>
      <c r="R140" s="103" t="e">
        <f>WBTQ_SalesOverview_InTax[[#This Row],[MD GMV]]/WBTQ_SalesOverview_InTax[[#This Row],[GMV]]</f>
        <v>#DIV/0!</v>
      </c>
      <c r="S140" s="431">
        <v>0</v>
      </c>
      <c r="T140" s="94" t="e">
        <f>WBTQ_SalesOverview_InTax[[#This Row],[MD NET]]/WBTQ_SalesOverview_InTax[[#This Row],[NET]]</f>
        <v>#DIV/0!</v>
      </c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53" t="str">
        <f>_xlfn.XLOOKUP(WBTQ_SalesOverview_InTax[[#This Row],[DATE]],全店核心数据_bymonth[开始日期],全店核心数据_bymonth[jda日历.PayYear],"")</f>
        <v/>
      </c>
      <c r="AO140" s="428" t="str">
        <f>WBTQ_SalesOverview_InTax[[#This Row],[DATE]]</f>
        <v>MTD-TY Ads</v>
      </c>
      <c r="AP140" s="436">
        <f>WBTQ_SalesOverview_InTax[[#This Row],[GMV]]/$F$1</f>
        <v>0</v>
      </c>
      <c r="AQ140" s="436">
        <f>WBTQ_SalesOverview_ExclTax[[#This Row],[GMV]]-WBTQ_SalesOverview_ExclTax[[#This Row],[RR]]</f>
        <v>0</v>
      </c>
      <c r="AR140" s="436">
        <f>WBTQ_SalesOverview_InTax[[#This Row],[UV]]</f>
        <v>27</v>
      </c>
      <c r="AS140" s="431">
        <f>WBTQ_SalesOverview_InTax[[#This Row],[Buyers]]</f>
        <v>0</v>
      </c>
      <c r="AT140" s="431">
        <f>WBTQ_SalesOverview_InTax[[#This Row],[Units]]</f>
        <v>0</v>
      </c>
      <c r="AU140" s="92">
        <f>WBTQ_SalesOverview_ExclTax[[#This Row],[Buyers]]/WBTQ_SalesOverview_ExclTax[[#This Row],[UV]]</f>
        <v>0</v>
      </c>
      <c r="AV140" s="431" t="e">
        <f>WBTQ_SalesOverview_ExclTax[[#This Row],[GMV]]/WBTQ_SalesOverview_ExclTax[[#This Row],[Buyers]]</f>
        <v>#DIV/0!</v>
      </c>
      <c r="AW140" s="431" t="e">
        <f>WBTQ_SalesOverview_ExclTax[[#This Row],[GMV]]/WBTQ_SalesOverview_ExclTax[[#This Row],[Units]]</f>
        <v>#DIV/0!</v>
      </c>
      <c r="AX140" s="432" t="e">
        <f>WBTQ_SalesOverview_ExclTax[[#This Row],[Units]]/WBTQ_SalesOverview_ExclTax[[#This Row],[Buyers]]</f>
        <v>#DIV/0!</v>
      </c>
      <c r="AY140" s="93" t="e">
        <f>WBTQ_SalesOverview_ExclTax[[#This Row],[RR]]/WBTQ_SalesOverview_ExclTax[[#This Row],[GMV]]</f>
        <v>#DIV/0!</v>
      </c>
      <c r="AZ140" s="436">
        <f>WBTQ_SalesOverview_InTax[[#This Row],[RR]]/$F$1</f>
        <v>0</v>
      </c>
      <c r="BA140" s="436">
        <f>WBTQ_SalesOverview_InTax[[#This Row],[MD GMV]]/$F$1</f>
        <v>0</v>
      </c>
      <c r="BB140" s="94" t="e">
        <f>WBTQ_SalesOverview_ExclTax[[#This Row],[MD GMV]]/WBTQ_SalesOverview_ExclTax[[#This Row],[GMV]]</f>
        <v>#DIV/0!</v>
      </c>
      <c r="BC140" s="28" t="str">
        <f>_xlfn.XLOOKUP(WBTQ_SalesOverview_InTax[[#This Row],[DATE]],全店核心数据_bymonth[开始日期],全店核心数据_bymonth[jda日历.PayYear],"")</f>
        <v/>
      </c>
    </row>
    <row r="141" spans="5:84" ht="14.5" customHeight="1" x14ac:dyDescent="0.3">
      <c r="E141" s="428" t="s">
        <v>409</v>
      </c>
      <c r="F141" s="448">
        <v>0</v>
      </c>
      <c r="G141" s="448">
        <v>0</v>
      </c>
      <c r="H141" s="448">
        <v>1052</v>
      </c>
      <c r="I141" s="448">
        <v>0</v>
      </c>
      <c r="J141" s="448">
        <v>0</v>
      </c>
      <c r="K141" s="101">
        <f>WBTQ_SalesOverview_InTax[[#This Row],[Buyers]]/WBTQ_SalesOverview_InTax[[#This Row],[UV]]</f>
        <v>0</v>
      </c>
      <c r="L141" s="448" t="e">
        <f>WBTQ_SalesOverview_InTax[[#This Row],[GMV]]/WBTQ_SalesOverview_InTax[[#This Row],[Buyers]]</f>
        <v>#DIV/0!</v>
      </c>
      <c r="M141" s="448" t="e">
        <f>WBTQ_SalesOverview_InTax[[#This Row],[GMV]]/WBTQ_SalesOverview_InTax[[#This Row],[Units]]</f>
        <v>#DIV/0!</v>
      </c>
      <c r="N141" s="449" t="e">
        <f>WBTQ_SalesOverview_InTax[[#This Row],[Units]]/WBTQ_SalesOverview_InTax[[#This Row],[Buyers]]</f>
        <v>#DIV/0!</v>
      </c>
      <c r="O141" s="102" t="e">
        <f>WBTQ_SalesOverview_InTax[[#This Row],[RR]]/WBTQ_SalesOverview_InTax[[#This Row],[GMV]]</f>
        <v>#DIV/0!</v>
      </c>
      <c r="P141" s="431">
        <v>0</v>
      </c>
      <c r="Q141" s="431">
        <v>0</v>
      </c>
      <c r="R141" s="103" t="e">
        <f>WBTQ_SalesOverview_InTax[[#This Row],[MD GMV]]/WBTQ_SalesOverview_InTax[[#This Row],[GMV]]</f>
        <v>#DIV/0!</v>
      </c>
      <c r="S141" s="431">
        <v>0</v>
      </c>
      <c r="T141" s="94" t="e">
        <f>WBTQ_SalesOverview_InTax[[#This Row],[MD NET]]/WBTQ_SalesOverview_InTax[[#This Row],[NET]]</f>
        <v>#DIV/0!</v>
      </c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53" t="str">
        <f>_xlfn.XLOOKUP(WBTQ_SalesOverview_InTax[[#This Row],[DATE]],全店核心数据_bymonth[开始日期],全店核心数据_bymonth[jda日历.PayYear],"")</f>
        <v/>
      </c>
      <c r="AO141" s="428" t="str">
        <f>WBTQ_SalesOverview_InTax[[#This Row],[DATE]]</f>
        <v>MTD-LY Ads</v>
      </c>
      <c r="AP141" s="436">
        <f>WBTQ_SalesOverview_InTax[[#This Row],[GMV]]/$F$1</f>
        <v>0</v>
      </c>
      <c r="AQ141" s="436">
        <f>WBTQ_SalesOverview_ExclTax[[#This Row],[GMV]]-WBTQ_SalesOverview_ExclTax[[#This Row],[RR]]</f>
        <v>0</v>
      </c>
      <c r="AR141" s="431">
        <f>WBTQ_SalesOverview_InTax[[#This Row],[UV]]</f>
        <v>1052</v>
      </c>
      <c r="AS141" s="431">
        <f>WBTQ_SalesOverview_InTax[[#This Row],[Buyers]]</f>
        <v>0</v>
      </c>
      <c r="AT141" s="431">
        <f>WBTQ_SalesOverview_InTax[[#This Row],[Units]]</f>
        <v>0</v>
      </c>
      <c r="AU141" s="92">
        <f>WBTQ_SalesOverview_ExclTax[[#This Row],[Buyers]]/WBTQ_SalesOverview_ExclTax[[#This Row],[UV]]</f>
        <v>0</v>
      </c>
      <c r="AV141" s="431" t="e">
        <f>WBTQ_SalesOverview_ExclTax[[#This Row],[GMV]]/WBTQ_SalesOverview_ExclTax[[#This Row],[Buyers]]</f>
        <v>#DIV/0!</v>
      </c>
      <c r="AW141" s="431" t="e">
        <f>WBTQ_SalesOverview_ExclTax[[#This Row],[GMV]]/WBTQ_SalesOverview_ExclTax[[#This Row],[Units]]</f>
        <v>#DIV/0!</v>
      </c>
      <c r="AX141" s="432" t="e">
        <f>WBTQ_SalesOverview_ExclTax[[#This Row],[Units]]/WBTQ_SalesOverview_ExclTax[[#This Row],[Buyers]]</f>
        <v>#DIV/0!</v>
      </c>
      <c r="AY141" s="93" t="e">
        <f>WBTQ_SalesOverview_ExclTax[[#This Row],[RR]]/WBTQ_SalesOverview_ExclTax[[#This Row],[GMV]]</f>
        <v>#DIV/0!</v>
      </c>
      <c r="AZ141" s="436">
        <f>WBTQ_SalesOverview_InTax[[#This Row],[RR]]/$F$1</f>
        <v>0</v>
      </c>
      <c r="BA141" s="436">
        <f>WBTQ_SalesOverview_InTax[[#This Row],[MD GMV]]/$F$1</f>
        <v>0</v>
      </c>
      <c r="BB141" s="94" t="e">
        <f>WBTQ_SalesOverview_ExclTax[[#This Row],[MD GMV]]/WBTQ_SalesOverview_ExclTax[[#This Row],[GMV]]</f>
        <v>#DIV/0!</v>
      </c>
      <c r="BC141" s="28" t="str">
        <f>_xlfn.XLOOKUP(WBTQ_SalesOverview_ExclTax[[#This Row],[DATE]],全店核心数据_bymonth[开始日期],全店核心数据_bymonth[jda日历.PayYear],"")</f>
        <v/>
      </c>
    </row>
    <row r="142" spans="5:84" ht="14.5" customHeight="1" x14ac:dyDescent="0.3">
      <c r="E142" s="428" t="s">
        <v>387</v>
      </c>
      <c r="F142" s="431">
        <f>SUMIFS([44]!dtc_订单源[成交总金额],[44]!dtc_订单源[最后付款时间],"&gt;="&amp;$K$1,[44]!dtc_订单源[最后付款时间],"&lt;"&amp;EOMONTH($K$1,0)+1,[44]!dtc_订单源[店铺名称],"*小程序*",[44]!dtc_订单源[ff_flag],1)</f>
        <v>1170955.9999999998</v>
      </c>
      <c r="G142" s="431">
        <f>WBTQ_SalesOverview_InTax[[#This Row],[GMV]]-WBTQ_SalesOverview_InTax[[#This Row],[RR]]</f>
        <v>1128761.9999999998</v>
      </c>
      <c r="H142" s="431">
        <v>3150</v>
      </c>
      <c r="I142" s="435" cm="1">
        <f t="array" ref="I142">COUNT(LEN(_xlfn.UNIQUE(_xlfn._xlws.FILTER([44]!dtc_订单源[买家昵称],([44]!dtc_订单源[最后付款时间]&gt;=$K$1)*([44]!dtc_订单源[最后付款时间]&lt;EOMONTH($K$1,0)+1)*([44]!dtc_订单源[店铺名称]="Dunhill微信小程序店")*([44]!dtc_订单源[ff_flag]=1)))))</f>
        <v>479</v>
      </c>
      <c r="J142" s="431">
        <f>SUMIFS([44]!dtc_订单源[件数],[44]!dtc_订单源[最后付款时间],"&gt;="&amp;$K$1,[44]!dtc_订单源[最后付款时间],"&lt;"&amp;EOMONTH($K$1,0)+1,[44]!dtc_订单源[店铺名称],"*小程序*",[44]!dtc_订单源[ff_flag],1)</f>
        <v>1318</v>
      </c>
      <c r="K142" s="92">
        <f>WBTQ_SalesOverview_InTax[[#This Row],[Buyers]]/WBTQ_SalesOverview_InTax[[#This Row],[UV]]</f>
        <v>0.15206349206349207</v>
      </c>
      <c r="L142" s="431">
        <f>WBTQ_SalesOverview_InTax[[#This Row],[GMV]]/WBTQ_SalesOverview_InTax[[#This Row],[Buyers]]</f>
        <v>2444.5845511482248</v>
      </c>
      <c r="M142" s="431">
        <f>WBTQ_SalesOverview_InTax[[#This Row],[GMV]]/WBTQ_SalesOverview_InTax[[#This Row],[Units]]</f>
        <v>888.43399089529578</v>
      </c>
      <c r="N142" s="432">
        <f>WBTQ_SalesOverview_InTax[[#This Row],[Units]]/WBTQ_SalesOverview_InTax[[#This Row],[Buyers]]</f>
        <v>2.7515657620041756</v>
      </c>
      <c r="O142" s="93">
        <f>WBTQ_SalesOverview_InTax[[#This Row],[RR]]/WBTQ_SalesOverview_InTax[[#This Row],[GMV]]</f>
        <v>3.6033804856886176E-2</v>
      </c>
      <c r="P142" s="431">
        <f>SUMIFS([44]!dtc_订单源[退款金额],[44]!dtc_订单源[最后付款时间],"&gt;="&amp;$K$1,[44]!dtc_订单源[最后付款时间],"&lt;"&amp;EOMONTH($K$1,0)+1,[44]!dtc_订单源[店铺名称],"*小程序*",[44]!dtc_订单源[ff_flag],1)</f>
        <v>42194</v>
      </c>
      <c r="Q142" s="431">
        <f>SUMIFS([44]!dtc_订单源[成交总金额],[44]!dtc_订单源[最后付款时间],"&gt;="&amp;$K$1,[44]!dtc_订单源[最后付款时间],"&lt;"&amp;EOMONTH($K$1,0)+1,[44]!dtc_订单源[店铺名称],"*小程序*",[44]!dtc_订单源[ff_flag],1,[44]!dtc_订单源[FP_MD],"MD")</f>
        <v>1170955.9999999998</v>
      </c>
      <c r="R142" s="94">
        <f>WBTQ_SalesOverview_InTax[[#This Row],[MD GMV]]/WBTQ_SalesOverview_InTax[[#This Row],[GMV]]</f>
        <v>1</v>
      </c>
      <c r="S142" s="431">
        <f>SUMIFS([44]!dtc_订单源[成交总金额],[44]!dtc_订单源[最后付款时间],"&gt;="&amp;$K$1,[44]!dtc_订单源[最后付款时间],"&lt;"&amp;EOMONTH($K$1,0)+1,[44]!dtc_订单源[店铺名称],"*小程序*",[44]!dtc_订单源[ff_flag],1,[44]!dtc_订单源[FP_MD],"MD")-SUMIFS([44]!dtc_订单源[退款金额],[44]!dtc_订单源[最后付款时间],"&gt;="&amp;$K$1,[44]!dtc_订单源[最后付款时间],"&lt;"&amp;EOMONTH($K$1,0)+1,[44]!dtc_订单源[店铺名称],"*小程序*",[44]!dtc_订单源[ff_flag],1,[44]!dtc_订单源[FP_MD],"MD")</f>
        <v>1128761.9999999998</v>
      </c>
      <c r="T142" s="94">
        <f>WBTQ_SalesOverview_InTax[[#This Row],[MD NET]]/WBTQ_SalesOverview_InTax[[#This Row],[NET]]</f>
        <v>1</v>
      </c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28" t="str">
        <f>_xlfn.XLOOKUP(WBTQ_SalesOverview_InTax[[#This Row],[DATE]],全店核心数据_bymonth[开始日期],全店核心数据_bymonth[jda日历.PayYear],"")</f>
        <v/>
      </c>
      <c r="AO142" s="428" t="str">
        <f>WBTQ_SalesOverview_InTax[[#This Row],[DATE]]</f>
        <v>MTD-TY FF</v>
      </c>
      <c r="AP142" s="429">
        <f>WBTQ_SalesOverview_InTax[[#This Row],[GMV]]/$F$1</f>
        <v>1036244.2477876105</v>
      </c>
      <c r="AQ142" s="429">
        <f>WBTQ_SalesOverview_ExclTax[[#This Row],[GMV]]-WBTQ_SalesOverview_ExclTax[[#This Row],[RR]]</f>
        <v>998904.42477876099</v>
      </c>
      <c r="AR142" s="431">
        <f>WBTQ_SalesOverview_InTax[[#This Row],[UV]]</f>
        <v>3150</v>
      </c>
      <c r="AS142" s="431">
        <f>WBTQ_SalesOverview_InTax[[#This Row],[Buyers]]</f>
        <v>479</v>
      </c>
      <c r="AT142" s="431">
        <f>WBTQ_SalesOverview_InTax[[#This Row],[Units]]</f>
        <v>1318</v>
      </c>
      <c r="AU142" s="92">
        <f>WBTQ_SalesOverview_ExclTax[[#This Row],[Buyers]]/WBTQ_SalesOverview_ExclTax[[#This Row],[UV]]</f>
        <v>0.15206349206349207</v>
      </c>
      <c r="AV142" s="431">
        <f>WBTQ_SalesOverview_ExclTax[[#This Row],[GMV]]/WBTQ_SalesOverview_ExclTax[[#This Row],[Buyers]]</f>
        <v>2163.3491603081638</v>
      </c>
      <c r="AW142" s="431">
        <f>WBTQ_SalesOverview_ExclTax[[#This Row],[GMV]]/WBTQ_SalesOverview_ExclTax[[#This Row],[Units]]</f>
        <v>786.2247707038016</v>
      </c>
      <c r="AX142" s="432">
        <f>WBTQ_SalesOverview_ExclTax[[#This Row],[Units]]/WBTQ_SalesOverview_ExclTax[[#This Row],[Buyers]]</f>
        <v>2.7515657620041756</v>
      </c>
      <c r="AY142" s="93">
        <f>WBTQ_SalesOverview_ExclTax[[#This Row],[RR]]/WBTQ_SalesOverview_ExclTax[[#This Row],[GMV]]</f>
        <v>3.6033804856886176E-2</v>
      </c>
      <c r="AZ142" s="436">
        <f>WBTQ_SalesOverview_InTax[[#This Row],[RR]]/$F$1</f>
        <v>37339.823008849562</v>
      </c>
      <c r="BA142" s="436">
        <f>WBTQ_SalesOverview_InTax[[#This Row],[MD GMV]]/$F$1</f>
        <v>1036244.2477876105</v>
      </c>
      <c r="BB142" s="94">
        <f>WBTQ_SalesOverview_ExclTax[[#This Row],[MD GMV]]/WBTQ_SalesOverview_ExclTax[[#This Row],[GMV]]</f>
        <v>1</v>
      </c>
      <c r="BC142" s="28" t="str">
        <f>_xlfn.XLOOKUP(WBTQ_SalesOverview_ExclTax[[#This Row],[DATE]],全店核心数据_bymonth[开始日期],全店核心数据_bymonth[jda日历.PayYear],"")</f>
        <v/>
      </c>
      <c r="BO142" s="28"/>
      <c r="BQ142" s="53"/>
    </row>
    <row r="143" spans="5:84" ht="14.5" customHeight="1" x14ac:dyDescent="0.3">
      <c r="E143" s="428" t="s">
        <v>388</v>
      </c>
      <c r="F143" s="431">
        <f>SUMIFS([44]!dtc_订单源[成交总金额],[44]!dtc_订单源[最后付款时间],"&gt;="&amp;EDATE($K$1,-12),[44]!dtc_订单源[最后付款时间],"&lt;"&amp;EDATE(EOMONTH($K$1,0)+1,-12),[44]!dtc_订单源[店铺名称],"*小程序*",[44]!dtc_订单源[ff_flag],1)</f>
        <v>1459066.0000000009</v>
      </c>
      <c r="G143" s="431">
        <f>WBTQ_SalesOverview_InTax[[#This Row],[GMV]]-WBTQ_SalesOverview_InTax[[#This Row],[RR]]</f>
        <v>1307222.2700000009</v>
      </c>
      <c r="H143" s="431">
        <v>3894</v>
      </c>
      <c r="I143" s="435" cm="1">
        <f t="array" ref="I143">COUNT(LEN(_xlfn.UNIQUE(_xlfn._xlws.FILTER([44]!dtc_订单源[买家昵称],([44]!dtc_订单源[最后付款时间]&gt;=EDATE($K$1,-12))*([44]!dtc_订单源[最后付款时间]&lt;EDATE(EOMONTH($K$1,0)+1,-12))*([44]!dtc_订单源[店铺名称]="Dunhill微信小程序店")*([44]!dtc_订单源[ff_flag]=1)))))</f>
        <v>532</v>
      </c>
      <c r="J143" s="431">
        <f>SUMIFS([44]!dtc_订单源[件数],[44]!dtc_订单源[最后付款时间],"&gt;="&amp;EDATE($K$1,-12),[44]!dtc_订单源[最后付款时间],"&lt;"&amp;EDATE(EOMONTH($K$1,0)+1,-12),[44]!dtc_订单源[店铺名称],"*小程序*",[44]!dtc_订单源[ff_flag],1)</f>
        <v>1560</v>
      </c>
      <c r="K143" s="92">
        <f>WBTQ_SalesOverview_InTax[[#This Row],[Buyers]]/WBTQ_SalesOverview_InTax[[#This Row],[UV]]</f>
        <v>0.13662044170518747</v>
      </c>
      <c r="L143" s="431">
        <f>WBTQ_SalesOverview_InTax[[#This Row],[GMV]]/WBTQ_SalesOverview_InTax[[#This Row],[Buyers]]</f>
        <v>2742.6052631578964</v>
      </c>
      <c r="M143" s="431">
        <f>WBTQ_SalesOverview_InTax[[#This Row],[GMV]]/WBTQ_SalesOverview_InTax[[#This Row],[Units]]</f>
        <v>935.29871794871849</v>
      </c>
      <c r="N143" s="432">
        <f>WBTQ_SalesOverview_InTax[[#This Row],[Units]]/WBTQ_SalesOverview_InTax[[#This Row],[Buyers]]</f>
        <v>2.9323308270676693</v>
      </c>
      <c r="O143" s="93">
        <f>WBTQ_SalesOverview_InTax[[#This Row],[RR]]/WBTQ_SalesOverview_InTax[[#This Row],[GMV]]</f>
        <v>0.10406913052596653</v>
      </c>
      <c r="P143" s="431">
        <f>SUMIFS([44]!dtc_订单源[退款金额],[44]!dtc_订单源[最后付款时间],"&gt;="&amp;EDATE($K$1,-12),[44]!dtc_订单源[最后付款时间],"&lt;"&amp;EDATE(EOMONTH($K$1,0)+1,-12),[44]!dtc_订单源[店铺名称],"*小程序*",[44]!dtc_订单源[ff_flag],1)</f>
        <v>151843.72999999998</v>
      </c>
      <c r="Q143" s="431">
        <f>SUMIFS([44]!dtc_订单源[成交总金额],[44]!dtc_订单源[最后付款时间],"&gt;="&amp;EDATE($K$1,-12),[44]!dtc_订单源[最后付款时间],"&lt;"&amp;EDATE(EOMONTH($K$1,0)+1,-12),[44]!dtc_订单源[店铺名称],"*小程序*",[44]!dtc_订单源[ff_flag],1,[44]!dtc_订单源[FP_MD],"MD")</f>
        <v>1459066.0000000009</v>
      </c>
      <c r="R143" s="94">
        <f>WBTQ_SalesOverview_InTax[[#This Row],[MD GMV]]/WBTQ_SalesOverview_InTax[[#This Row],[GMV]]</f>
        <v>1</v>
      </c>
      <c r="S143" s="431">
        <f>SUMIFS([44]!dtc_订单源[成交总金额],[44]!dtc_订单源[最后付款时间],"&gt;="&amp;EDATE($K$1,-12),[44]!dtc_订单源[最后付款时间],"&lt;"&amp;EDATE(EOMONTH($K$1,0)+1,-12),[44]!dtc_订单源[店铺名称],"*小程序*",[44]!dtc_订单源[ff_flag],1,[44]!dtc_订单源[FP_MD],"MD")-SUMIFS([44]!dtc_订单源[退款金额],[44]!dtc_订单源[最后付款时间],"&gt;="&amp;EDATE($K$1,-12),[44]!dtc_订单源[最后付款时间],"&lt;"&amp;EDATE(EOMONTH($K$1,0)+1,-12),[44]!dtc_订单源[店铺名称],"*小程序*",[44]!dtc_订单源[ff_flag],1,[44]!dtc_订单源[FP_MD],"MD")</f>
        <v>1307222.2700000009</v>
      </c>
      <c r="T143" s="94">
        <f>WBTQ_SalesOverview_InTax[[#This Row],[MD NET]]/WBTQ_SalesOverview_InTax[[#This Row],[NET]]</f>
        <v>1</v>
      </c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28" t="str">
        <f>_xlfn.XLOOKUP(WBTQ_SalesOverview_InTax[[#This Row],[DATE]],全店核心数据_bymonth[开始日期],全店核心数据_bymonth[jda日历.PayYear],"")</f>
        <v/>
      </c>
      <c r="AO143" s="428" t="str">
        <f>WBTQ_SalesOverview_InTax[[#This Row],[DATE]]</f>
        <v>MTD-LY FF</v>
      </c>
      <c r="AP143" s="429">
        <f>WBTQ_SalesOverview_InTax[[#This Row],[GMV]]/$F$1</f>
        <v>1291208.8495575231</v>
      </c>
      <c r="AQ143" s="429">
        <f>WBTQ_SalesOverview_ExclTax[[#This Row],[GMV]]-WBTQ_SalesOverview_ExclTax[[#This Row],[RR]]</f>
        <v>1156833.8672566381</v>
      </c>
      <c r="AR143" s="431">
        <f>WBTQ_SalesOverview_InTax[[#This Row],[UV]]</f>
        <v>3894</v>
      </c>
      <c r="AS143" s="431">
        <f>WBTQ_SalesOverview_InTax[[#This Row],[Buyers]]</f>
        <v>532</v>
      </c>
      <c r="AT143" s="431">
        <f>WBTQ_SalesOverview_InTax[[#This Row],[Units]]</f>
        <v>1560</v>
      </c>
      <c r="AU143" s="92">
        <f>WBTQ_SalesOverview_ExclTax[[#This Row],[Buyers]]/WBTQ_SalesOverview_ExclTax[[#This Row],[UV]]</f>
        <v>0.13662044170518747</v>
      </c>
      <c r="AV143" s="431">
        <f>WBTQ_SalesOverview_ExclTax[[#This Row],[GMV]]/WBTQ_SalesOverview_ExclTax[[#This Row],[Buyers]]</f>
        <v>2427.084303679555</v>
      </c>
      <c r="AW143" s="431">
        <f>WBTQ_SalesOverview_ExclTax[[#This Row],[GMV]]/WBTQ_SalesOverview_ExclTax[[#This Row],[Units]]</f>
        <v>827.69798048559176</v>
      </c>
      <c r="AX143" s="432">
        <f>WBTQ_SalesOverview_ExclTax[[#This Row],[Units]]/WBTQ_SalesOverview_ExclTax[[#This Row],[Buyers]]</f>
        <v>2.9323308270676693</v>
      </c>
      <c r="AY143" s="93">
        <f>WBTQ_SalesOverview_ExclTax[[#This Row],[RR]]/WBTQ_SalesOverview_ExclTax[[#This Row],[GMV]]</f>
        <v>0.10406913052596653</v>
      </c>
      <c r="AZ143" s="436">
        <f>WBTQ_SalesOverview_InTax[[#This Row],[RR]]/$F$1</f>
        <v>134374.98230088496</v>
      </c>
      <c r="BA143" s="436">
        <f>WBTQ_SalesOverview_InTax[[#This Row],[MD GMV]]/$F$1</f>
        <v>1291208.8495575231</v>
      </c>
      <c r="BB143" s="94">
        <f>WBTQ_SalesOverview_ExclTax[[#This Row],[MD GMV]]/WBTQ_SalesOverview_ExclTax[[#This Row],[GMV]]</f>
        <v>1</v>
      </c>
      <c r="BC143" s="28" t="str">
        <f>_xlfn.XLOOKUP(WBTQ_SalesOverview_InTax[[#This Row],[DATE]],全店核心数据_bymonth[开始日期],全店核心数据_bymonth[jda日历.PayYear],"")</f>
        <v/>
      </c>
      <c r="BO143" s="28"/>
      <c r="BQ143" s="53"/>
    </row>
    <row r="144" spans="5:84" ht="14.5" customHeight="1" x14ac:dyDescent="0.3">
      <c r="E144" s="425" t="s">
        <v>390</v>
      </c>
      <c r="F144" s="256">
        <f>(SUMIFS(WBTQ_SalesOverview_InTax[GMV],WBTQ_SalesOverview_InTax[DATE],$K$1)-F142)/(SUMIFS(WBTQ_SalesOverview_InTax[GMV],WBTQ_SalesOverview_InTax[DATE],EDATE($K$1,-12))-F143)-1</f>
        <v>4.0286651203711488</v>
      </c>
      <c r="G144" s="256">
        <f>(SUMIFS(WBTQ_SalesOverview_InTax[NET],WBTQ_SalesOverview_InTax[DATE],$K$1)-G142)/(SUMIFS(WBTQ_SalesOverview_InTax[NET],WBTQ_SalesOverview_InTax[DATE],EDATE($K$1,-12))-G143)-1</f>
        <v>2.1008308157099971</v>
      </c>
      <c r="H144" s="256">
        <f>(SUMIFS(WBTQ_SalesOverview_InTax[UV],WBTQ_SalesOverview_InTax[DATE],$K$1)-H142)/(SUMIFS(WBTQ_SalesOverview_InTax[UV],WBTQ_SalesOverview_InTax[DATE],EDATE($K$1,-12))-H143)-1</f>
        <v>-7.9117828500925302E-2</v>
      </c>
      <c r="I144" s="256">
        <f>(SUMIFS(WBTQ_SalesOverview_InTax[Buyers],WBTQ_SalesOverview_InTax[DATE],$K$1)-I142)/(SUMIFS(WBTQ_SalesOverview_InTax[Buyers],WBTQ_SalesOverview_InTax[DATE],EDATE($K$1,-12))-I143)-1</f>
        <v>2.2222222222222223</v>
      </c>
      <c r="J144" s="256">
        <f>(SUMIFS(WBTQ_SalesOverview_InTax[Units],WBTQ_SalesOverview_InTax[DATE],$K$1)-J142)/(SUMIFS(WBTQ_SalesOverview_InTax[Units],WBTQ_SalesOverview_InTax[DATE],EDATE($K$1,-12))-J143)-1</f>
        <v>2.6153846153846154</v>
      </c>
      <c r="K144" s="256">
        <f>((SUMIFS(WBTQ_SalesOverview_InTax[Buyers],WBTQ_SalesOverview_InTax[DATE],$K$1)-I142)/(SUMIFS(WBTQ_SalesOverview_InTax[UV],WBTQ_SalesOverview_InTax[DATE],$K$1)-H142))/((SUMIFS(WBTQ_SalesOverview_InTax[Buyers],WBTQ_SalesOverview_InTax[DATE],EDATE($K$1,-12))-I143)/(SUMIFS(WBTQ_SalesOverview_InTax[UV],WBTQ_SalesOverview_InTax[DATE],EDATE($K$1,-12))-H143))-1</f>
        <v>2.4990602728000151</v>
      </c>
      <c r="L144" s="256">
        <f>((SUMIFS(WBTQ_SalesOverview_InTax[GMV],WBTQ_SalesOverview_InTax[DATE],$K$1)-F142)/(SUMIFS(WBTQ_SalesOverview_InTax[Buyers],WBTQ_SalesOverview_InTax[DATE],$K$1)-I142))/((SUMIFS(WBTQ_SalesOverview_InTax[GMV],WBTQ_SalesOverview_InTax[DATE],EDATE($K$1,-12))-F143)/(SUMIFS(WBTQ_SalesOverview_InTax[Buyers],WBTQ_SalesOverview_InTax[DATE],EDATE($K$1,-12))-I143))-1</f>
        <v>0.56062020977035631</v>
      </c>
      <c r="M144" s="256">
        <f>((SUMIFS(WBTQ_SalesOverview_InTax[GMV],WBTQ_SalesOverview_InTax[DATE],$K$1)-F142)/(SUMIFS(WBTQ_SalesOverview_InTax[Units],WBTQ_SalesOverview_InTax[DATE],$K$1)-J142))/((SUMIFS(WBTQ_SalesOverview_InTax[GMV],WBTQ_SalesOverview_InTax[DATE],EDATE($K$1,-12))-F143)/(SUMIFS(WBTQ_SalesOverview_InTax[Units],WBTQ_SalesOverview_InTax[DATE],EDATE($K$1,-12))-J143))-1</f>
        <v>0.39090737371967954</v>
      </c>
      <c r="N144" s="256">
        <f>((SUMIFS(WBTQ_SalesOverview_InTax[Units],WBTQ_SalesOverview_InTax[DATE],$K$1)-J142)/(SUMIFS(WBTQ_SalesOverview_InTax[Buyers],WBTQ_SalesOverview_InTax[DATE],$K$1)-I142))/((SUMIFS(WBTQ_SalesOverview_InTax[Units],WBTQ_SalesOverview_InTax[DATE],EDATE($K$1,-12))-J143)/(SUMIFS(WBTQ_SalesOverview_InTax[Buyers],WBTQ_SalesOverview_InTax[DATE],EDATE($K$1,-12))-I143))-1</f>
        <v>0.12201591511936338</v>
      </c>
      <c r="O144" s="255">
        <f>((SUMIFS(WBTQ_SalesOverview_InTax[RR],WBTQ_SalesOverview_InTax[DATE],$K$1)-P142)/(SUMIFS(WBTQ_SalesOverview_InTax[GMV],WBTQ_SalesOverview_InTax[DATE],$K$1)-F142)-(SUMIFS(WBTQ_SalesOverview_InTax[RR],WBTQ_SalesOverview_InTax[DATE],EDATE($K$1,-12))-P143)/(SUMIFS(WBTQ_SalesOverview_InTax[GMV],WBTQ_SalesOverview_InTax[DATE],EDATE($K$1,-12))-F143))*100</f>
        <v>32.477360783687118</v>
      </c>
      <c r="P144" s="222">
        <f>(SUMIFS(WBTQ_SalesOverview_InTax[RR],WBTQ_SalesOverview_InTax[DATE],$K$1)-P142)/(SUMIFS(WBTQ_SalesOverview_InTax[RR],WBTQ_SalesOverview_InTax[DATE],EDATE($K$1,-12))-P143)-1</f>
        <v>14.713971742543171</v>
      </c>
      <c r="Q144" s="222">
        <f>(SUMIFS(WBTQ_SalesOverview_InTax[MD GMV],WBTQ_SalesOverview_InTax[DATE],$K$1)-Q142)/(SUMIFS(WBTQ_SalesOverview_InTax[MD GMV],WBTQ_SalesOverview_InTax[DATE],EDATE($K$1,-12))-Q143)-1</f>
        <v>1.1228178018195352</v>
      </c>
      <c r="R144" s="255">
        <f>((SUMIFS(WBTQ_SalesOverview_InTax[MD GMV],WBTQ_SalesOverview_InTax[DATE],$K$1)-Q142)/(SUMIFS(WBTQ_SalesOverview_InTax[GMV],WBTQ_SalesOverview_InTax[DATE],$K$1)-F142)-(SUMIFS(WBTQ_SalesOverview_InTax[MD GMV],WBTQ_SalesOverview_InTax[DATE],EDATE($K$1,-12))-Q143)/(SUMIFS(WBTQ_SalesOverview_InTax[GMV],WBTQ_SalesOverview_InTax[DATE],EDATE($K$1,-12))-F143))*100</f>
        <v>-37.593262157126361</v>
      </c>
      <c r="S144" s="222">
        <f>(SUMIFS(WBTQ_SalesOverview_InTax[MD NET],WBTQ_SalesOverview_InTax[DATE],$K$1)-S142)/(SUMIFS(WBTQ_SalesOverview_InTax[MD NET],WBTQ_SalesOverview_InTax[DATE],EDATE($K$1,-12))-S143)-1</f>
        <v>0.3547937569676789</v>
      </c>
      <c r="T144" s="255">
        <f>((SUMIFS(WBTQ_SalesOverview_InTax[MD NET],WBTQ_SalesOverview_InTax[DATE],$K$1)-S142)/(SUMIFS(WBTQ_SalesOverview_InTax[NET],WBTQ_SalesOverview_InTax[DATE],$K$1)-G142)-(SUMIFS(WBTQ_SalesOverview_InTax[MD NET],WBTQ_SalesOverview_InTax[DATE],EDATE($K$1,-12))-S143)/(SUMIFS(WBTQ_SalesOverview_InTax[NET],WBTQ_SalesOverview_InTax[DATE],EDATE($K$1,-12))-G143))*100</f>
        <v>-38.148708846470576</v>
      </c>
      <c r="U144" s="255"/>
      <c r="V144" s="255"/>
      <c r="W144" s="255"/>
      <c r="X144" s="255"/>
      <c r="Y144" s="255"/>
      <c r="Z144" s="255"/>
      <c r="AA144" s="255"/>
      <c r="AB144" s="255"/>
      <c r="AC144" s="255"/>
      <c r="AD144" s="255"/>
      <c r="AE144" s="255"/>
      <c r="AF144" s="255"/>
      <c r="AG144" s="255"/>
      <c r="AH144" s="255"/>
      <c r="AI144" s="255"/>
      <c r="AJ144" s="255"/>
      <c r="AK144" s="255"/>
      <c r="AL144" s="28" t="str">
        <f>_xlfn.XLOOKUP(WBTQ_SalesOverview_InTax[[#This Row],[DATE]],全店核心数据_bymonth[开始日期],全店核心数据_bymonth[jda日历.PayYear],"")</f>
        <v/>
      </c>
      <c r="AO144" s="425" t="str">
        <f>WBTQ_SalesOverview_InTax[[#This Row],[DATE]]</f>
        <v>MTD YOY Ex FF</v>
      </c>
      <c r="AP144" s="256">
        <f>WBTQ_SalesOverview_InTax[[#This Row],[GMV]]</f>
        <v>4.0286651203711488</v>
      </c>
      <c r="AQ144" s="256">
        <f>WBTQ_SalesOverview_InTax[[#This Row],[NET]]</f>
        <v>2.1008308157099971</v>
      </c>
      <c r="AR144" s="256">
        <f>WBTQ_SalesOverview_InTax[[#This Row],[UV]]</f>
        <v>-7.9117828500925302E-2</v>
      </c>
      <c r="AS144" s="256">
        <f>WBTQ_SalesOverview_InTax[[#This Row],[Buyers]]</f>
        <v>2.2222222222222223</v>
      </c>
      <c r="AT144" s="256">
        <f>WBTQ_SalesOverview_InTax[[#This Row],[Units]]</f>
        <v>2.6153846153846154</v>
      </c>
      <c r="AU144" s="256">
        <f>WBTQ_SalesOverview_InTax[[#This Row],[CR]]</f>
        <v>2.4990602728000151</v>
      </c>
      <c r="AV144" s="256">
        <f>WBTQ_SalesOverview_InTax[[#This Row],[ATV]]</f>
        <v>0.56062020977035631</v>
      </c>
      <c r="AW144" s="256">
        <f>WBTQ_SalesOverview_InTax[[#This Row],[AUR]]</f>
        <v>0.39090737371967954</v>
      </c>
      <c r="AX144" s="256">
        <f>WBTQ_SalesOverview_InTax[[#This Row],[UPT]]</f>
        <v>0.12201591511936338</v>
      </c>
      <c r="AY144" s="255">
        <f>WBTQ_SalesOverview_InTax[[#This Row],[RRC]]</f>
        <v>32.477360783687118</v>
      </c>
      <c r="AZ144" s="222">
        <f>WBTQ_SalesOverview_InTax[[#This Row],[RR]]</f>
        <v>14.713971742543171</v>
      </c>
      <c r="BA144" s="222">
        <f>WBTQ_SalesOverview_InTax[[#This Row],[MD GMV]]</f>
        <v>1.1228178018195352</v>
      </c>
      <c r="BB144" s="255">
        <f>WBTQ_SalesOverview_InTax[[#This Row],[MD%]]</f>
        <v>-37.593262157126361</v>
      </c>
      <c r="BC144" s="28" t="str">
        <f>_xlfn.XLOOKUP(WBTQ_SalesOverview_ExclTax[[#This Row],[DATE]],全店核心数据_bymonth[开始日期],全店核心数据_bymonth[jda日历.PayYear],"")</f>
        <v/>
      </c>
      <c r="BO144" s="28"/>
      <c r="BQ144" s="53"/>
    </row>
    <row r="145" spans="5:95" ht="14.5" customHeight="1" x14ac:dyDescent="0.3">
      <c r="E145" s="428" t="s">
        <v>410</v>
      </c>
      <c r="F145" s="431">
        <f>SUMIFS(WBTQ_SalesOverview_InTax[GMV],WBTQ_SalesOverview_InTax[DATE],$K$1)-F137-F140-F142</f>
        <v>149657</v>
      </c>
      <c r="G145" s="431">
        <f>SUMIFS(WBTQ_SalesOverview_InTax[NET],WBTQ_SalesOverview_InTax[DATE],$K$1)-G137-G140-G142</f>
        <v>46440</v>
      </c>
      <c r="H145" s="431">
        <f>SUMIFS(WBTQ_SalesOverview_InTax[UV],WBTQ_SalesOverview_InTax[DATE],$K$1)-H137-H140-H142</f>
        <v>5733</v>
      </c>
      <c r="I145" s="431">
        <f>SUMIFS(WBTQ_SalesOverview_InTax[Buyers],WBTQ_SalesOverview_InTax[DATE],$K$1)-I137-I140-I142</f>
        <v>12</v>
      </c>
      <c r="J145" s="431">
        <f>SUMIFS(WBTQ_SalesOverview_InTax[Units],WBTQ_SalesOverview_InTax[DATE],$K$1)-J137-J140-J142</f>
        <v>20</v>
      </c>
      <c r="K145" s="101">
        <f>WBTQ_SalesOverview_InTax[[#This Row],[Buyers]]/WBTQ_SalesOverview_InTax[[#This Row],[UV]]</f>
        <v>2.0931449502878076E-3</v>
      </c>
      <c r="L145" s="448">
        <f>WBTQ_SalesOverview_InTax[[#This Row],[GMV]]/WBTQ_SalesOverview_InTax[[#This Row],[Buyers]]</f>
        <v>12471.416666666666</v>
      </c>
      <c r="M145" s="448">
        <f>WBTQ_SalesOverview_InTax[[#This Row],[GMV]]/WBTQ_SalesOverview_InTax[[#This Row],[Units]]</f>
        <v>7482.85</v>
      </c>
      <c r="N145" s="449">
        <f>WBTQ_SalesOverview_InTax[[#This Row],[Units]]/WBTQ_SalesOverview_InTax[[#This Row],[Buyers]]</f>
        <v>1.6666666666666667</v>
      </c>
      <c r="O145" s="102">
        <f>WBTQ_SalesOverview_InTax[[#This Row],[RR]]/WBTQ_SalesOverview_InTax[[#This Row],[GMV]]</f>
        <v>0.68969042543950498</v>
      </c>
      <c r="P145" s="431">
        <f>SUMIFS(WBTQ_SalesOverview_InTax[RR],WBTQ_SalesOverview_InTax[DATE],$K$1)-P137-P140-P142</f>
        <v>103217</v>
      </c>
      <c r="Q145" s="431">
        <f>SUMIFS(WBTQ_SalesOverview_InTax[MD GMV],WBTQ_SalesOverview_InTax[DATE],$K$1)-Q137-Q140-Q142</f>
        <v>86335</v>
      </c>
      <c r="R145" s="103">
        <f>WBTQ_SalesOverview_InTax[[#This Row],[MD GMV]]/WBTQ_SalesOverview_InTax[[#This Row],[GMV]]</f>
        <v>0.57688581222395208</v>
      </c>
      <c r="S145" s="431">
        <f>SUMIFS(WBTQ_SalesOverview_InTax[MD NET],WBTQ_SalesOverview_InTax[DATE],$K$1)-S137-S140-S142</f>
        <v>4940</v>
      </c>
      <c r="T145" s="94">
        <f>WBTQ_SalesOverview_InTax[[#This Row],[MD NET]]/WBTQ_SalesOverview_InTax[[#This Row],[NET]]</f>
        <v>0.10637381567614125</v>
      </c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53" t="str">
        <f>_xlfn.XLOOKUP(WBTQ_SalesOverview_InTax[[#This Row],[DATE]],全店核心数据_bymonth[开始日期],全店核心数据_bymonth[jda日历.PayYear],"")</f>
        <v/>
      </c>
      <c r="AO145" s="428" t="str">
        <f>WBTQ_SalesOverview_InTax[[#This Row],[DATE]]</f>
        <v>MTD-TY Organic</v>
      </c>
      <c r="AP145" s="436">
        <f>WBTQ_SalesOverview_InTax[[#This Row],[GMV]]/$F$1</f>
        <v>132439.82300884958</v>
      </c>
      <c r="AQ145" s="436">
        <f>WBTQ_SalesOverview_ExclTax[[#This Row],[GMV]]-WBTQ_SalesOverview_ExclTax[[#This Row],[RR]]</f>
        <v>41097.345132743372</v>
      </c>
      <c r="AR145" s="431">
        <f>WBTQ_SalesOverview_InTax[[#This Row],[UV]]</f>
        <v>5733</v>
      </c>
      <c r="AS145" s="431">
        <f>WBTQ_SalesOverview_InTax[[#This Row],[Buyers]]</f>
        <v>12</v>
      </c>
      <c r="AT145" s="431">
        <f>WBTQ_SalesOverview_InTax[[#This Row],[Units]]</f>
        <v>20</v>
      </c>
      <c r="AU145" s="92">
        <f>WBTQ_SalesOverview_ExclTax[[#This Row],[Buyers]]/WBTQ_SalesOverview_ExclTax[[#This Row],[UV]]</f>
        <v>2.0931449502878076E-3</v>
      </c>
      <c r="AV145" s="431">
        <f>WBTQ_SalesOverview_ExclTax[[#This Row],[GMV]]/WBTQ_SalesOverview_ExclTax[[#This Row],[Buyers]]</f>
        <v>11036.651917404131</v>
      </c>
      <c r="AW145" s="431">
        <f>WBTQ_SalesOverview_ExclTax[[#This Row],[GMV]]/WBTQ_SalesOverview_ExclTax[[#This Row],[Units]]</f>
        <v>6621.991150442479</v>
      </c>
      <c r="AX145" s="432">
        <f>WBTQ_SalesOverview_ExclTax[[#This Row],[Units]]/WBTQ_SalesOverview_ExclTax[[#This Row],[Buyers]]</f>
        <v>1.6666666666666667</v>
      </c>
      <c r="AY145" s="93">
        <f>WBTQ_SalesOverview_ExclTax[[#This Row],[RR]]/WBTQ_SalesOverview_ExclTax[[#This Row],[GMV]]</f>
        <v>0.68969042543950498</v>
      </c>
      <c r="AZ145" s="436">
        <f>WBTQ_SalesOverview_InTax[[#This Row],[RR]]/$F$1</f>
        <v>91342.477876106204</v>
      </c>
      <c r="BA145" s="436">
        <f>WBTQ_SalesOverview_InTax[[#This Row],[MD GMV]]/$F$1</f>
        <v>76402.654867256642</v>
      </c>
      <c r="BB145" s="94">
        <f>WBTQ_SalesOverview_ExclTax[[#This Row],[MD GMV]]/WBTQ_SalesOverview_ExclTax[[#This Row],[GMV]]</f>
        <v>0.57688581222395208</v>
      </c>
      <c r="BC145" s="28" t="str">
        <f>_xlfn.XLOOKUP(WBTQ_SalesOverview_ExclTax[[#This Row],[DATE]],全店核心数据_bymonth[开始日期],全店核心数据_bymonth[jda日历.PayYear],"")</f>
        <v/>
      </c>
      <c r="BO145" s="28"/>
      <c r="BQ145" s="53"/>
    </row>
    <row r="146" spans="5:95" ht="14.5" customHeight="1" x14ac:dyDescent="0.3">
      <c r="E146" s="428" t="s">
        <v>411</v>
      </c>
      <c r="F146" s="431">
        <f>SUMIFS(WBTQ_SalesOverview_InTax[GMV],WBTQ_SalesOverview_InTax[DATE],EDATE($K$1,-12))-F138-F141-F143</f>
        <v>62514.999999999534</v>
      </c>
      <c r="G146" s="431">
        <f>SUMIFS(WBTQ_SalesOverview_InTax[NET],WBTQ_SalesOverview_InTax[DATE],EDATE($K$1,-12))-G138-G141-G143</f>
        <v>52959.999999999534</v>
      </c>
      <c r="H146" s="431">
        <f>SUMIFS(WBTQ_SalesOverview_InTax[UV],WBTQ_SalesOverview_InTax[DATE],EDATE($K$1,-12))-H138-H141-H143</f>
        <v>5432</v>
      </c>
      <c r="I146" s="431">
        <f>SUMIFS(WBTQ_SalesOverview_InTax[Buyers],WBTQ_SalesOverview_InTax[DATE],EDATE($K$1,-12))-I138-I141-I143</f>
        <v>9</v>
      </c>
      <c r="J146" s="431">
        <f>SUMIFS(WBTQ_SalesOverview_InTax[Units],WBTQ_SalesOverview_InTax[DATE],EDATE($K$1,-12))-J138-J141-J143</f>
        <v>13</v>
      </c>
      <c r="K146" s="101">
        <f>WBTQ_SalesOverview_InTax[[#This Row],[Buyers]]/WBTQ_SalesOverview_InTax[[#This Row],[UV]]</f>
        <v>1.6568483063328424E-3</v>
      </c>
      <c r="L146" s="448">
        <f>WBTQ_SalesOverview_InTax[[#This Row],[GMV]]/WBTQ_SalesOverview_InTax[[#This Row],[Buyers]]</f>
        <v>6946.1111111110595</v>
      </c>
      <c r="M146" s="448">
        <f>WBTQ_SalesOverview_InTax[[#This Row],[GMV]]/WBTQ_SalesOverview_InTax[[#This Row],[Units]]</f>
        <v>4808.8461538461179</v>
      </c>
      <c r="N146" s="449">
        <f>WBTQ_SalesOverview_InTax[[#This Row],[Units]]/WBTQ_SalesOverview_InTax[[#This Row],[Buyers]]</f>
        <v>1.4444444444444444</v>
      </c>
      <c r="O146" s="102">
        <f>WBTQ_SalesOverview_InTax[[#This Row],[RR]]/WBTQ_SalesOverview_InTax[[#This Row],[GMV]]</f>
        <v>0.15284331760377623</v>
      </c>
      <c r="P146" s="431">
        <f>SUMIFS(WBTQ_SalesOverview_InTax[RR],WBTQ_SalesOverview_InTax[DATE],EDATE($K$1,-12))-P138-P141-P143</f>
        <v>9555</v>
      </c>
      <c r="Q146" s="431">
        <f>SUMIFS(WBTQ_SalesOverview_InTax[MD GMV],WBTQ_SalesOverview_InTax[DATE],EDATE($K$1,-12))-Q138-Q141-Q143</f>
        <v>40669.999999999767</v>
      </c>
      <c r="R146" s="103">
        <f>WBTQ_SalesOverview_InTax[[#This Row],[MD GMV]]/WBTQ_SalesOverview_InTax[[#This Row],[GMV]]</f>
        <v>0.65056386467247973</v>
      </c>
      <c r="S146" s="431">
        <f>SUMIFS(WBTQ_SalesOverview_InTax[MD NET],WBTQ_SalesOverview_InTax[DATE],EDATE($K$1,-12))-S138-S141-S143</f>
        <v>35879.999999999767</v>
      </c>
      <c r="T146" s="94">
        <f>WBTQ_SalesOverview_InTax[[#This Row],[MD NET]]/WBTQ_SalesOverview_InTax[[#This Row],[NET]]</f>
        <v>0.67749244712991097</v>
      </c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53" t="str">
        <f>_xlfn.XLOOKUP(WBTQ_SalesOverview_InTax[[#This Row],[DATE]],全店核心数据_bymonth[开始日期],全店核心数据_bymonth[jda日历.PayYear],"")</f>
        <v/>
      </c>
      <c r="AO146" s="428" t="str">
        <f>WBTQ_SalesOverview_InTax[[#This Row],[DATE]]</f>
        <v>MTD-LY Organic</v>
      </c>
      <c r="AP146" s="436">
        <f>WBTQ_SalesOverview_InTax[[#This Row],[GMV]]/$F$1</f>
        <v>55323.008849557118</v>
      </c>
      <c r="AQ146" s="436">
        <f>WBTQ_SalesOverview_ExclTax[[#This Row],[GMV]]-WBTQ_SalesOverview_ExclTax[[#This Row],[RR]]</f>
        <v>46867.256637167739</v>
      </c>
      <c r="AR146" s="436">
        <f>WBTQ_SalesOverview_InTax[[#This Row],[UV]]</f>
        <v>5432</v>
      </c>
      <c r="AS146" s="431">
        <f>WBTQ_SalesOverview_InTax[[#This Row],[Buyers]]</f>
        <v>9</v>
      </c>
      <c r="AT146" s="431">
        <f>WBTQ_SalesOverview_InTax[[#This Row],[Units]]</f>
        <v>13</v>
      </c>
      <c r="AU146" s="92">
        <f>WBTQ_SalesOverview_ExclTax[[#This Row],[Buyers]]/WBTQ_SalesOverview_ExclTax[[#This Row],[UV]]</f>
        <v>1.6568483063328424E-3</v>
      </c>
      <c r="AV146" s="431">
        <f>WBTQ_SalesOverview_ExclTax[[#This Row],[GMV]]/WBTQ_SalesOverview_ExclTax[[#This Row],[Buyers]]</f>
        <v>6147.0009832841242</v>
      </c>
      <c r="AW146" s="431">
        <f>WBTQ_SalesOverview_ExclTax[[#This Row],[GMV]]/WBTQ_SalesOverview_ExclTax[[#This Row],[Units]]</f>
        <v>4255.6160653505476</v>
      </c>
      <c r="AX146" s="432">
        <f>WBTQ_SalesOverview_ExclTax[[#This Row],[Units]]/WBTQ_SalesOverview_ExclTax[[#This Row],[Buyers]]</f>
        <v>1.4444444444444444</v>
      </c>
      <c r="AY146" s="93">
        <f>WBTQ_SalesOverview_ExclTax[[#This Row],[RR]]/WBTQ_SalesOverview_ExclTax[[#This Row],[GMV]]</f>
        <v>0.15284331760377623</v>
      </c>
      <c r="AZ146" s="436">
        <f>WBTQ_SalesOverview_InTax[[#This Row],[RR]]/$F$1</f>
        <v>8455.7522123893814</v>
      </c>
      <c r="BA146" s="436">
        <f>WBTQ_SalesOverview_InTax[[#This Row],[MD GMV]]/$F$1</f>
        <v>35991.150442477672</v>
      </c>
      <c r="BB146" s="94">
        <f>WBTQ_SalesOverview_ExclTax[[#This Row],[MD GMV]]/WBTQ_SalesOverview_ExclTax[[#This Row],[GMV]]</f>
        <v>0.65056386467247962</v>
      </c>
      <c r="BC146" s="28" t="str">
        <f>_xlfn.XLOOKUP(WBTQ_SalesOverview_ExclTax[[#This Row],[DATE]],全店核心数据_bymonth[开始日期],全店核心数据_bymonth[jda日历.PayYear],"")</f>
        <v/>
      </c>
      <c r="BO146" s="28"/>
      <c r="BQ146" s="53"/>
    </row>
    <row r="147" spans="5:95" ht="14.5" customHeight="1" x14ac:dyDescent="0.3">
      <c r="E147" s="425" t="s">
        <v>389</v>
      </c>
      <c r="F147" s="256">
        <f>F145/F146-1</f>
        <v>1.3939374550108155</v>
      </c>
      <c r="G147" s="256">
        <f t="shared" ref="G147:N147" si="19">G145/G146-1</f>
        <v>-0.12311178247733368</v>
      </c>
      <c r="H147" s="256">
        <f t="shared" si="19"/>
        <v>5.5412371134020644E-2</v>
      </c>
      <c r="I147" s="256">
        <f t="shared" si="19"/>
        <v>0.33333333333333326</v>
      </c>
      <c r="J147" s="256">
        <f t="shared" si="19"/>
        <v>0.53846153846153855</v>
      </c>
      <c r="K147" s="256">
        <f t="shared" si="19"/>
        <v>0.26332926332926343</v>
      </c>
      <c r="L147" s="256">
        <f t="shared" si="19"/>
        <v>0.79545309125811126</v>
      </c>
      <c r="M147" s="256">
        <f t="shared" si="19"/>
        <v>0.55605934575702998</v>
      </c>
      <c r="N147" s="256">
        <f t="shared" si="19"/>
        <v>0.15384615384615397</v>
      </c>
      <c r="O147" s="255">
        <f>(O145-O146)*100</f>
        <v>53.684710783572875</v>
      </c>
      <c r="P147" s="222">
        <f>P145/P146-1</f>
        <v>9.8024071166928302</v>
      </c>
      <c r="Q147" s="222">
        <f>Q145/Q146-1</f>
        <v>1.1228178018195352</v>
      </c>
      <c r="R147" s="255">
        <f>(R145-R146)*100</f>
        <v>-7.3678052448527653</v>
      </c>
      <c r="S147" s="222">
        <f>S145/S146-1</f>
        <v>-0.86231884057970931</v>
      </c>
      <c r="T147" s="255">
        <f>(T145-T146)*100</f>
        <v>-57.111863145376972</v>
      </c>
      <c r="U147" s="255"/>
      <c r="V147" s="255"/>
      <c r="W147" s="255"/>
      <c r="X147" s="255"/>
      <c r="Y147" s="255"/>
      <c r="Z147" s="255"/>
      <c r="AA147" s="255"/>
      <c r="AB147" s="255"/>
      <c r="AC147" s="255"/>
      <c r="AD147" s="255"/>
      <c r="AE147" s="255"/>
      <c r="AF147" s="255"/>
      <c r="AG147" s="255"/>
      <c r="AH147" s="255"/>
      <c r="AI147" s="255"/>
      <c r="AJ147" s="255"/>
      <c r="AK147" s="255"/>
      <c r="AL147" s="28" t="str">
        <f>_xlfn.XLOOKUP(WBTQ_SalesOverview_InTax[[#This Row],[DATE]],全店核心数据_bymonth[开始日期],全店核心数据_bymonth[jda日历.PayYear],"")</f>
        <v/>
      </c>
      <c r="AO147" s="425" t="str">
        <f>WBTQ_SalesOverview_InTax[[#This Row],[DATE]]</f>
        <v>MTD YOY Organic</v>
      </c>
      <c r="AP147" s="256">
        <f>WBTQ_SalesOverview_InTax[[#This Row],[GMV]]</f>
        <v>1.3939374550108155</v>
      </c>
      <c r="AQ147" s="256">
        <f>WBTQ_SalesOverview_InTax[[#This Row],[NET]]</f>
        <v>-0.12311178247733368</v>
      </c>
      <c r="AR147" s="256">
        <f>WBTQ_SalesOverview_InTax[[#This Row],[UV]]</f>
        <v>5.5412371134020644E-2</v>
      </c>
      <c r="AS147" s="256">
        <f>WBTQ_SalesOverview_InTax[[#This Row],[Buyers]]</f>
        <v>0.33333333333333326</v>
      </c>
      <c r="AT147" s="256">
        <f>WBTQ_SalesOverview_InTax[[#This Row],[Units]]</f>
        <v>0.53846153846153855</v>
      </c>
      <c r="AU147" s="256">
        <f>WBTQ_SalesOverview_InTax[[#This Row],[CR]]</f>
        <v>0.26332926332926343</v>
      </c>
      <c r="AV147" s="256">
        <f>WBTQ_SalesOverview_InTax[[#This Row],[ATV]]</f>
        <v>0.79545309125811126</v>
      </c>
      <c r="AW147" s="256">
        <f>WBTQ_SalesOverview_InTax[[#This Row],[AUR]]</f>
        <v>0.55605934575702998</v>
      </c>
      <c r="AX147" s="256">
        <f>WBTQ_SalesOverview_InTax[[#This Row],[UPT]]</f>
        <v>0.15384615384615397</v>
      </c>
      <c r="AY147" s="255">
        <f>WBTQ_SalesOverview_InTax[[#This Row],[RRC]]</f>
        <v>53.684710783572875</v>
      </c>
      <c r="AZ147" s="222">
        <f>WBTQ_SalesOverview_InTax[[#This Row],[RR]]</f>
        <v>9.8024071166928302</v>
      </c>
      <c r="BA147" s="222">
        <f>WBTQ_SalesOverview_InTax[[#This Row],[MD GMV]]</f>
        <v>1.1228178018195352</v>
      </c>
      <c r="BB147" s="255">
        <f>WBTQ_SalesOverview_InTax[[#This Row],[MD%]]</f>
        <v>-7.3678052448527653</v>
      </c>
      <c r="BC147" s="28" t="str">
        <f>_xlfn.XLOOKUP(WBTQ_SalesOverview_ExclTax[[#This Row],[DATE]],全店核心数据_bymonth[开始日期],全店核心数据_bymonth[jda日历.PayYear],"")</f>
        <v/>
      </c>
      <c r="BO147" s="28"/>
      <c r="BQ147" s="53"/>
    </row>
    <row r="148" spans="5:95" ht="14.5" customHeight="1" x14ac:dyDescent="0.3">
      <c r="E148" s="425"/>
      <c r="F148" s="256"/>
      <c r="G148" s="256"/>
      <c r="H148" s="256"/>
      <c r="I148" s="256"/>
      <c r="J148" s="256"/>
      <c r="K148" s="256"/>
      <c r="L148" s="256"/>
      <c r="M148" s="256"/>
      <c r="N148" s="256"/>
      <c r="O148" s="255"/>
      <c r="P148" s="222"/>
      <c r="Q148" s="222"/>
      <c r="R148" s="255"/>
      <c r="X148" s="256"/>
      <c r="Y148" s="256"/>
      <c r="Z148" s="256"/>
      <c r="AA148" s="256"/>
      <c r="AB148" s="256"/>
      <c r="AC148" s="256"/>
      <c r="AD148" s="256"/>
      <c r="AE148" s="256"/>
      <c r="AF148" s="255"/>
      <c r="AG148" s="222"/>
      <c r="AH148" s="222"/>
      <c r="AI148" s="255"/>
      <c r="BO148" s="28"/>
      <c r="BQ148" s="53"/>
    </row>
    <row r="149" spans="5:95" ht="14.5" customHeight="1" x14ac:dyDescent="0.3"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 s="441"/>
      <c r="Z149" s="441"/>
      <c r="AA149" s="441"/>
      <c r="AB149" s="258"/>
      <c r="AC149" s="441"/>
      <c r="AD149" s="441"/>
      <c r="AE149" s="450"/>
      <c r="AF149" s="259"/>
      <c r="AG149" s="440"/>
      <c r="AH149" s="440"/>
      <c r="AI149" s="260"/>
      <c r="BO149" s="28"/>
      <c r="BQ149" s="53"/>
    </row>
    <row r="150" spans="5:95" ht="14.5" customHeight="1" x14ac:dyDescent="0.3"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 s="441"/>
      <c r="Z150" s="441"/>
      <c r="AA150" s="441"/>
      <c r="AB150" s="258"/>
      <c r="AC150" s="441"/>
      <c r="AD150" s="441"/>
      <c r="AE150" s="450"/>
      <c r="AF150" s="259"/>
      <c r="AG150" s="440"/>
      <c r="AH150" s="440"/>
      <c r="AI150" s="260"/>
      <c r="BO150" s="28"/>
      <c r="BQ150" s="53"/>
    </row>
    <row r="151" spans="5:95" ht="14.5" customHeight="1" x14ac:dyDescent="0.3"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 s="256"/>
      <c r="Z151" s="256"/>
      <c r="AA151" s="256"/>
      <c r="AB151" s="256"/>
      <c r="AC151" s="256"/>
      <c r="AD151" s="256"/>
      <c r="AE151" s="256"/>
      <c r="AF151" s="255"/>
      <c r="AG151" s="222"/>
      <c r="AH151" s="222"/>
      <c r="AI151" s="255"/>
      <c r="AL151" s="95"/>
      <c r="AM151" s="447"/>
      <c r="AN151" s="447"/>
      <c r="BO151" s="28"/>
      <c r="CH151" s="53"/>
    </row>
    <row r="152" spans="5:95" ht="14.5" customHeight="1" x14ac:dyDescent="0.3">
      <c r="E152" s="425"/>
      <c r="F152" s="256"/>
      <c r="G152" s="256"/>
      <c r="H152" s="256"/>
      <c r="I152" s="256"/>
      <c r="J152" s="256"/>
      <c r="K152" s="256"/>
      <c r="L152" s="256"/>
      <c r="M152" s="256"/>
      <c r="N152" s="256"/>
      <c r="O152" s="255"/>
      <c r="P152" s="222"/>
      <c r="Q152" s="222"/>
      <c r="R152" s="255"/>
      <c r="X152" s="256"/>
      <c r="Y152" s="256"/>
      <c r="Z152" s="256"/>
      <c r="AA152" s="256"/>
      <c r="AB152" s="256"/>
      <c r="AC152" s="256"/>
      <c r="AD152" s="256"/>
      <c r="AE152" s="256"/>
      <c r="AF152" s="255"/>
      <c r="AG152" s="222"/>
      <c r="AH152" s="222"/>
      <c r="AI152" s="255"/>
      <c r="AK152" s="95"/>
      <c r="AQ152" s="115">
        <f>14.48/15</f>
        <v>0.96533333333333338</v>
      </c>
      <c r="BO152" s="28"/>
      <c r="CH152" s="53"/>
    </row>
    <row r="153" spans="5:95" ht="14.5" customHeight="1" x14ac:dyDescent="0.3">
      <c r="E153" s="425"/>
      <c r="F153" s="256"/>
      <c r="G153" s="256"/>
      <c r="H153" s="256"/>
      <c r="I153" s="256"/>
      <c r="J153" s="256"/>
      <c r="K153" s="256"/>
      <c r="L153" s="256"/>
      <c r="M153" s="256"/>
      <c r="N153" s="256"/>
      <c r="O153" s="255"/>
      <c r="P153" s="222"/>
      <c r="Q153" s="222"/>
      <c r="R153" s="255"/>
      <c r="X153" s="256"/>
      <c r="Y153" s="256"/>
      <c r="Z153" s="256"/>
      <c r="AA153" s="256"/>
      <c r="AB153" s="256"/>
      <c r="AD153" s="256"/>
      <c r="AE153" s="256"/>
      <c r="AF153" s="255"/>
      <c r="AG153" s="222"/>
      <c r="AH153" s="222"/>
      <c r="AI153" s="255"/>
      <c r="BO153" s="28"/>
      <c r="CH153" s="53"/>
    </row>
    <row r="154" spans="5:95" ht="14.5" customHeight="1" x14ac:dyDescent="0.3">
      <c r="E154" s="425"/>
      <c r="F154" s="256"/>
      <c r="G154" s="256"/>
      <c r="H154" s="256"/>
      <c r="I154" s="256"/>
      <c r="J154" s="256"/>
      <c r="K154" s="256"/>
      <c r="L154" s="256"/>
      <c r="M154" s="256"/>
      <c r="N154" s="256"/>
      <c r="O154" s="255"/>
      <c r="P154" s="222"/>
      <c r="Q154" s="222"/>
      <c r="R154" s="255"/>
      <c r="X154" s="256"/>
      <c r="Y154" s="256"/>
      <c r="Z154" s="256"/>
      <c r="AA154" s="256"/>
      <c r="AB154" s="256"/>
      <c r="AC154" s="256"/>
      <c r="AD154" s="256"/>
      <c r="AE154" s="256"/>
      <c r="AF154" s="255"/>
      <c r="AG154" s="222"/>
      <c r="AH154" s="222"/>
      <c r="AI154" s="255"/>
      <c r="BO154" s="28"/>
      <c r="CQ154" s="53"/>
    </row>
    <row r="155" spans="5:95" ht="14.5" customHeight="1" x14ac:dyDescent="0.3">
      <c r="E155" s="425"/>
      <c r="F155" s="256"/>
      <c r="G155" s="256"/>
      <c r="H155" s="256"/>
      <c r="I155" s="256"/>
      <c r="J155" s="256"/>
      <c r="K155" s="256"/>
      <c r="L155" s="256"/>
      <c r="M155" s="256"/>
      <c r="N155" s="256"/>
      <c r="O155" s="255"/>
      <c r="P155" s="222"/>
      <c r="Q155" s="222"/>
      <c r="R155" s="255"/>
      <c r="X155" s="256"/>
      <c r="Y155" s="256"/>
      <c r="Z155" s="256"/>
      <c r="AA155" s="256"/>
      <c r="AB155" s="256"/>
      <c r="AC155" s="256"/>
      <c r="AD155" s="256"/>
      <c r="AE155" s="256"/>
      <c r="AF155" s="255"/>
      <c r="AG155" s="222"/>
      <c r="AH155" s="222"/>
      <c r="AI155" s="255"/>
      <c r="BO155" s="28"/>
      <c r="CQ155" s="53"/>
    </row>
    <row r="156" spans="5:95" s="451" customFormat="1" ht="14.5" customHeight="1" x14ac:dyDescent="0.3">
      <c r="E156" s="425"/>
      <c r="F156" s="97"/>
      <c r="G156" s="97"/>
      <c r="H156" s="97"/>
      <c r="I156" s="97"/>
      <c r="J156" s="97"/>
      <c r="K156" s="97"/>
      <c r="L156" s="97"/>
      <c r="M156" s="97"/>
      <c r="N156" s="97"/>
      <c r="O156" s="98"/>
      <c r="P156" s="98"/>
      <c r="Q156" s="98"/>
      <c r="R156" s="98"/>
      <c r="S156" s="95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CQ156" s="447"/>
    </row>
    <row r="157" spans="5:95" s="451" customFormat="1" ht="14.5" customHeight="1" x14ac:dyDescent="0.3">
      <c r="E157" s="425"/>
      <c r="F157" s="97"/>
      <c r="G157" s="97"/>
      <c r="H157" s="97"/>
      <c r="I157" s="97"/>
      <c r="J157" s="97"/>
      <c r="K157" s="97"/>
      <c r="L157" s="97"/>
      <c r="M157" s="97"/>
      <c r="N157" s="97"/>
      <c r="O157" s="98"/>
      <c r="P157" s="98"/>
      <c r="Q157" s="98"/>
      <c r="R157" s="98"/>
      <c r="S157" s="95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CQ157" s="447"/>
    </row>
    <row r="158" spans="5:95" s="451" customFormat="1" ht="14.5" customHeight="1" x14ac:dyDescent="0.3">
      <c r="E158" s="100" t="s">
        <v>342</v>
      </c>
      <c r="F158" s="28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28"/>
      <c r="U158" s="28"/>
      <c r="V158" s="28"/>
      <c r="W158" s="28"/>
      <c r="X158" s="100"/>
      <c r="Y158" s="28"/>
      <c r="Z158" s="99"/>
      <c r="AA158" s="99"/>
      <c r="AB158" s="99"/>
      <c r="AC158" s="99"/>
      <c r="AD158" s="99"/>
      <c r="AE158" s="99"/>
      <c r="AF158" s="99"/>
      <c r="AG158" s="99"/>
      <c r="AH158" s="99"/>
      <c r="AI158" s="99"/>
      <c r="AJ158" s="99"/>
      <c r="AK158" s="28"/>
      <c r="AL158" s="28"/>
      <c r="AM158" s="28"/>
      <c r="AN158" s="28"/>
      <c r="AO158" s="100" t="s">
        <v>343</v>
      </c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CQ158" s="447"/>
    </row>
    <row r="159" spans="5:95" s="451" customFormat="1" ht="14.5" customHeight="1" thickBot="1" x14ac:dyDescent="0.35">
      <c r="E159" s="452" t="s">
        <v>266</v>
      </c>
      <c r="F159" s="453" t="s">
        <v>326</v>
      </c>
      <c r="G159" s="454" t="s">
        <v>327</v>
      </c>
      <c r="H159" s="454" t="s">
        <v>328</v>
      </c>
      <c r="I159" s="454" t="s">
        <v>212</v>
      </c>
      <c r="J159" s="454" t="s">
        <v>213</v>
      </c>
      <c r="K159" s="454" t="s">
        <v>214</v>
      </c>
      <c r="L159" s="454" t="s">
        <v>215</v>
      </c>
      <c r="M159" s="454" t="s">
        <v>216</v>
      </c>
      <c r="N159" s="454" t="s">
        <v>217</v>
      </c>
      <c r="O159" s="454" t="s">
        <v>218</v>
      </c>
      <c r="P159" s="454" t="s">
        <v>219</v>
      </c>
      <c r="Q159" s="455" t="s">
        <v>222</v>
      </c>
      <c r="R159" s="456" t="s">
        <v>223</v>
      </c>
      <c r="S159" s="455" t="s">
        <v>374</v>
      </c>
      <c r="T159" s="455" t="s">
        <v>421</v>
      </c>
      <c r="U159" s="455" t="s">
        <v>598</v>
      </c>
      <c r="V159" s="455" t="s">
        <v>599</v>
      </c>
      <c r="W159" s="455" t="s">
        <v>600</v>
      </c>
      <c r="X159" s="455" t="s">
        <v>601</v>
      </c>
      <c r="Y159" s="455" t="s">
        <v>602</v>
      </c>
      <c r="Z159" s="455" t="s">
        <v>603</v>
      </c>
      <c r="AA159" s="455" t="s">
        <v>604</v>
      </c>
      <c r="AB159" s="455" t="s">
        <v>605</v>
      </c>
      <c r="AC159" s="455" t="s">
        <v>606</v>
      </c>
      <c r="AD159" s="455" t="s">
        <v>609</v>
      </c>
      <c r="AE159" s="455" t="s">
        <v>610</v>
      </c>
      <c r="AF159" s="455" t="s">
        <v>611</v>
      </c>
      <c r="AG159" s="455" t="s">
        <v>612</v>
      </c>
      <c r="AH159" s="455" t="s">
        <v>613</v>
      </c>
      <c r="AI159" s="455" t="s">
        <v>614</v>
      </c>
      <c r="AJ159" s="455" t="s">
        <v>615</v>
      </c>
      <c r="AK159" s="455" t="s">
        <v>616</v>
      </c>
      <c r="AL159" s="457" t="s">
        <v>330</v>
      </c>
      <c r="AM159" s="28"/>
      <c r="AN159" s="28"/>
      <c r="AO159" s="452" t="s">
        <v>266</v>
      </c>
      <c r="AP159" s="453" t="s">
        <v>326</v>
      </c>
      <c r="AQ159" s="454" t="s">
        <v>327</v>
      </c>
      <c r="AR159" s="454" t="s">
        <v>328</v>
      </c>
      <c r="AS159" s="454" t="s">
        <v>212</v>
      </c>
      <c r="AT159" s="454" t="s">
        <v>213</v>
      </c>
      <c r="AU159" s="454" t="s">
        <v>214</v>
      </c>
      <c r="AV159" s="454" t="s">
        <v>215</v>
      </c>
      <c r="AW159" s="454" t="s">
        <v>216</v>
      </c>
      <c r="AX159" s="454" t="s">
        <v>217</v>
      </c>
      <c r="AY159" s="454" t="s">
        <v>218</v>
      </c>
      <c r="AZ159" s="454" t="s">
        <v>219</v>
      </c>
      <c r="BA159" s="455" t="s">
        <v>222</v>
      </c>
      <c r="BB159" s="456" t="s">
        <v>223</v>
      </c>
      <c r="BC159" s="455" t="s">
        <v>598</v>
      </c>
      <c r="BD159" s="455" t="s">
        <v>599</v>
      </c>
      <c r="BE159" s="455" t="s">
        <v>600</v>
      </c>
      <c r="BF159" s="455" t="s">
        <v>601</v>
      </c>
      <c r="BG159" s="455" t="s">
        <v>602</v>
      </c>
      <c r="BH159" s="455" t="s">
        <v>603</v>
      </c>
      <c r="BI159" s="455" t="s">
        <v>604</v>
      </c>
      <c r="BJ159" s="455" t="s">
        <v>605</v>
      </c>
      <c r="BK159" s="455" t="s">
        <v>606</v>
      </c>
      <c r="BL159" s="457" t="s">
        <v>330</v>
      </c>
      <c r="CQ159" s="447"/>
    </row>
    <row r="160" spans="5:95" s="451" customFormat="1" ht="14.5" customHeight="1" x14ac:dyDescent="0.3">
      <c r="E160" s="425" t="s">
        <v>560</v>
      </c>
      <c r="F160" s="426">
        <f t="shared" ref="F160:J161" si="20">F49+F99</f>
        <v>4035307.9999999991</v>
      </c>
      <c r="G160" s="426">
        <f t="shared" si="20"/>
        <v>3505968.0299999993</v>
      </c>
      <c r="H160" s="426">
        <f t="shared" si="20"/>
        <v>181338</v>
      </c>
      <c r="I160" s="426">
        <f t="shared" si="20"/>
        <v>1103</v>
      </c>
      <c r="J160" s="426">
        <f t="shared" si="20"/>
        <v>2798</v>
      </c>
      <c r="K160" s="89">
        <f>DTC_SalesOverview_InTax[[#This Row],[Buyers]]/DTC_SalesOverview_InTax[[#This Row],[UV]]</f>
        <v>6.082564051660435E-3</v>
      </c>
      <c r="L160" s="426">
        <f>DTC_SalesOverview_InTax[[#This Row],[GMV]]/DTC_SalesOverview_InTax[[#This Row],[Buyers]]</f>
        <v>3658.4841341795095</v>
      </c>
      <c r="M160" s="426">
        <f>DTC_SalesOverview_InTax[[#This Row],[GMV]]/DTC_SalesOverview_InTax[[#This Row],[Units]]</f>
        <v>1442.2115796997853</v>
      </c>
      <c r="N160" s="427">
        <f>DTC_SalesOverview_InTax[[#This Row],[Units]]/DTC_SalesOverview_InTax[[#This Row],[Buyers]]</f>
        <v>2.5367180417044426</v>
      </c>
      <c r="O160" s="88">
        <f>DTC_SalesOverview_InTax[[#This Row],[RR]]/DTC_SalesOverview_InTax[[#This Row],[GMV]]</f>
        <v>0.13117709230621308</v>
      </c>
      <c r="P160" s="426">
        <f>P49+P99</f>
        <v>529339.97</v>
      </c>
      <c r="Q160" s="426">
        <f>Q49+Q99</f>
        <v>2429425.0699999998</v>
      </c>
      <c r="R160" s="90">
        <f>DTC_SalesOverview_InTax[[#This Row],[MD GMV]]/DTC_SalesOverview_InTax[[#This Row],[GMV]]</f>
        <v>0.60204204239180759</v>
      </c>
      <c r="S160" s="426">
        <f>S49+S99</f>
        <v>2252144.6799999997</v>
      </c>
      <c r="T160" s="90">
        <f>DTC_SalesOverview_InTax[[#This Row],[MD NET]]/DTC_SalesOverview_InTax[[#This Row],[NET]]</f>
        <v>0.64237456266821691</v>
      </c>
      <c r="U160" s="426">
        <f>SUMIFS(DTC_SalesOverview_InTax[GMV_TGT],DTC_SalesOverview_InTax[DATE],"&lt;"&amp;EOMONTH($K$1,0)+1,DTC_SalesOverview_InTax[PayYear],DTC_SalesOverview_InTax[[#This Row],[DATE]])</f>
        <v>4438872</v>
      </c>
      <c r="V160" s="426">
        <f>SUMIFS(DTC_SalesOverview_InTax[NET_TGT],DTC_SalesOverview_InTax[DATE],"&lt;"&amp;EOMONTH($K$1,0)+1,DTC_SalesOverview_InTax[PayYear],DTC_SalesOverview_InTax[[#This Row],[DATE]])</f>
        <v>4172320</v>
      </c>
      <c r="W160" s="426">
        <f>SUMIFS(DTC_SalesOverview_InTax[TRAFFIC_TGT],DTC_SalesOverview_InTax[DATE],"&lt;"&amp;EOMONTH($K$1,0)+1,DTC_SalesOverview_InTax[PayYear],DTC_SalesOverview_InTax[[#This Row],[DATE]])</f>
        <v>195380</v>
      </c>
      <c r="X160" s="426">
        <f>SUMIFS(DTC_SalesOverview_InTax[BUYERS_TGT],DTC_SalesOverview_InTax[DATE],"&lt;"&amp;EOMONTH($K$1,0)+1,DTC_SalesOverview_InTax[PayYear],DTC_SalesOverview_InTax[[#This Row],[DATE]])</f>
        <v>1462</v>
      </c>
      <c r="Y160" s="378">
        <f>DTC_SalesOverview_InTax[[#This Row],[BUYERS_TGT]]/DTC_SalesOverview_InTax[[#This Row],[TRAFFIC_TGT]]</f>
        <v>7.4828539256832837E-3</v>
      </c>
      <c r="Z160" s="379">
        <f>DTC_SalesOverview_InTax[[#This Row],[GMV_TGT]]/DTC_SalesOverview_InTax[[#This Row],[BUYERS_TGT]]</f>
        <v>3036.1641586867304</v>
      </c>
      <c r="AA160" s="380">
        <f>DTC_SalesOverview_InTax[[#This Row],[UNITS_TGT]]/DTC_SalesOverview_InTax[[#This Row],[BUYERS_TGT]]</f>
        <v>2.341997264021888</v>
      </c>
      <c r="AB160" s="94">
        <f>1-DTC_SalesOverview_InTax[[#This Row],[NET_TGT]]/DTC_SalesOverview_InTax[[#This Row],[GMV_TGT]]</f>
        <v>6.0049490050625431E-2</v>
      </c>
      <c r="AC160" s="426">
        <f>SUMIFS(DTC_SalesOverview_InTax[UNITS_TGT],DTC_SalesOverview_InTax[DATE],"&lt;"&amp;EOMONTH($K$1,0)+1,DTC_SalesOverview_InTax[PayYear],DTC_SalesOverview_InTax[[#This Row],[DATE]])</f>
        <v>3424</v>
      </c>
      <c r="AD160" s="105">
        <f>DTC_SalesOverview_InTax[[#This Row],[GMV]]/DTC_SalesOverview_InTax[[#This Row],[GMV_TGT]]</f>
        <v>0.9090841096566874</v>
      </c>
      <c r="AE160" s="105">
        <f>DTC_SalesOverview_InTax[[#This Row],[NET]]/DTC_SalesOverview_InTax[[#This Row],[NET_TGT]]</f>
        <v>0.8402922187176437</v>
      </c>
      <c r="AF160" s="105">
        <f>DTC_SalesOverview_InTax[[#This Row],[UV]]/DTC_SalesOverview_InTax[[#This Row],[TRAFFIC_TGT]]</f>
        <v>0.92812979834169307</v>
      </c>
      <c r="AG160" s="105">
        <f>DTC_SalesOverview_InTax[[#This Row],[Buyers]]/DTC_SalesOverview_InTax[[#This Row],[BUYERS_TGT]]</f>
        <v>0.75444596443228451</v>
      </c>
      <c r="AH160" s="105">
        <f>DTC_SalesOverview_InTax[[#This Row],[CR]]/DTC_SalesOverview_InTax[[#This Row],[CVR_TGT]]</f>
        <v>0.81286687032381377</v>
      </c>
      <c r="AI160" s="105">
        <f>DTC_SalesOverview_InTax[[#This Row],[ATV]]/DTC_SalesOverview_InTax[[#This Row],[ATV_TGT]]</f>
        <v>1.2049691462539229</v>
      </c>
      <c r="AJ160" s="105">
        <f>DTC_SalesOverview_InTax[[#This Row],[UPT]]/DTC_SalesOverview_InTax[[#This Row],[UPT_TGT]]</f>
        <v>1.0831430423399226</v>
      </c>
      <c r="AK160" s="105">
        <f>DTC_SalesOverview_InTax[[#This Row],[RRC]]/DTC_SalesOverview_InTax[[#This Row],[RRC_TGT]]</f>
        <v>2.1844830355032605</v>
      </c>
      <c r="AL160" s="28" t="str">
        <f>_xlfn.XLOOKUP(DTC_SalesOverview_InTax[[#This Row],[DATE]],全店核心数据_bymonth[开始日期],全店核心数据_bymonth[jda日历.PayYear],"")</f>
        <v/>
      </c>
      <c r="AM160" s="28"/>
      <c r="AN160" s="28"/>
      <c r="AO160" s="425" t="str">
        <f>DTC_SalesOverview_InTax[[#This Row],[DATE]]</f>
        <v>BU26</v>
      </c>
      <c r="AP160" s="446">
        <f>DTC_SalesOverview_InTax[[#This Row],[GMV]]/$F$1</f>
        <v>3571069.026548672</v>
      </c>
      <c r="AQ160" s="446">
        <f>DTC_SalesOverview_ExclTax[[#This Row],[GMV]]-DTC_SalesOverview_ExclTax[[#This Row],[RR]]</f>
        <v>3102626.5752212382</v>
      </c>
      <c r="AR160" s="458">
        <f>DTC_SalesOverview_InTax[[#This Row],[UV]]</f>
        <v>181338</v>
      </c>
      <c r="AS160" s="426">
        <f>DTC_SalesOverview_InTax[[#This Row],[Buyers]]</f>
        <v>1103</v>
      </c>
      <c r="AT160" s="426">
        <f>DTC_SalesOverview_InTax[[#This Row],[Units]]</f>
        <v>2798</v>
      </c>
      <c r="AU160" s="89">
        <f>DTC_SalesOverview_ExclTax[[#This Row],[Buyers]]/DTC_SalesOverview_ExclTax[[#This Row],[UV]]</f>
        <v>6.082564051660435E-3</v>
      </c>
      <c r="AV160" s="426">
        <f>DTC_SalesOverview_ExclTax[[#This Row],[GMV]]/DTC_SalesOverview_ExclTax[[#This Row],[Buyers]]</f>
        <v>3237.5965789199204</v>
      </c>
      <c r="AW160" s="426">
        <f>DTC_SalesOverview_ExclTax[[#This Row],[GMV]]/DTC_SalesOverview_ExclTax[[#This Row],[Units]]</f>
        <v>1276.293433362642</v>
      </c>
      <c r="AX160" s="427">
        <f>DTC_SalesOverview_ExclTax[[#This Row],[Units]]/DTC_SalesOverview_ExclTax[[#This Row],[Buyers]]</f>
        <v>2.5367180417044426</v>
      </c>
      <c r="AY160" s="88">
        <f>DTC_SalesOverview_ExclTax[[#This Row],[RR]]/DTC_SalesOverview_ExclTax[[#This Row],[GMV]]</f>
        <v>0.13117709230621308</v>
      </c>
      <c r="AZ160" s="446">
        <f>DTC_SalesOverview_InTax[[#This Row],[RR]]/$F$1</f>
        <v>468442.45132743364</v>
      </c>
      <c r="BA160" s="446">
        <f>DTC_SalesOverview_InTax[[#This Row],[MD GMV]]/$F$1</f>
        <v>2149933.6902654869</v>
      </c>
      <c r="BB160" s="90">
        <f>DTC_SalesOverview_ExclTax[[#This Row],[MD GMV]]/DTC_SalesOverview_ExclTax[[#This Row],[GMV]]</f>
        <v>0.6020420423918077</v>
      </c>
      <c r="BC160" s="446">
        <f>DTC_SalesOverview_InTax[[#This Row],[GMV_TGT]]/$F$1</f>
        <v>3928205.3097345135</v>
      </c>
      <c r="BD160" s="446">
        <f>DTC_SalesOverview_InTax[[#This Row],[NET_TGT]]/$F$1</f>
        <v>3692318.5840707966</v>
      </c>
      <c r="BE160" s="459">
        <f>DTC_SalesOverview_InTax[[#This Row],[TRAFFIC_TGT]]</f>
        <v>195380</v>
      </c>
      <c r="BF160" s="426">
        <f>DTC_SalesOverview_InTax[[#This Row],[BUYERS_TGT]]</f>
        <v>1462</v>
      </c>
      <c r="BG160" s="216">
        <f>DTC_SalesOverview_InTax[[#This Row],[CVR_TGT]]</f>
        <v>7.4828539256832837E-3</v>
      </c>
      <c r="BH160" s="426">
        <f>DTC_SalesOverview_InTax[[#This Row],[ATV_TGT]]/$F$1</f>
        <v>2686.8709368909122</v>
      </c>
      <c r="BI160" s="427">
        <f>DTC_SalesOverview_InTax[[#This Row],[UPT_TGT]]</f>
        <v>2.341997264021888</v>
      </c>
      <c r="BJ160" s="388">
        <f>DTC_SalesOverview_InTax[[#This Row],[RRC_TGT]]</f>
        <v>6.0049490050625431E-2</v>
      </c>
      <c r="BK160" s="426">
        <f>DTC_SalesOverview_InTax[[#This Row],[UNITS_TGT]]</f>
        <v>3424</v>
      </c>
      <c r="BL160" s="95" t="str">
        <f>_xlfn.XLOOKUP(DTC_SalesOverview_ExclTax[[#This Row],[DATE]],全店核心数据_bymonth[开始日期],全店核心数据_bymonth[jda日历.PayYear],"")</f>
        <v/>
      </c>
      <c r="CQ160" s="447"/>
    </row>
    <row r="161" spans="5:95" s="451" customFormat="1" ht="14.5" customHeight="1" x14ac:dyDescent="0.3">
      <c r="E161" s="425" t="s">
        <v>246</v>
      </c>
      <c r="F161" s="426">
        <f t="shared" si="20"/>
        <v>4374540</v>
      </c>
      <c r="G161" s="426">
        <f t="shared" si="20"/>
        <v>3822591.2700000005</v>
      </c>
      <c r="H161" s="426">
        <f t="shared" si="20"/>
        <v>133433</v>
      </c>
      <c r="I161" s="426">
        <f t="shared" si="20"/>
        <v>1682</v>
      </c>
      <c r="J161" s="426">
        <f t="shared" si="20"/>
        <v>4448</v>
      </c>
      <c r="K161" s="89">
        <f>DTC_SalesOverview_InTax[[#This Row],[Buyers]]/DTC_SalesOverview_InTax[[#This Row],[UV]]</f>
        <v>1.2605577330945118E-2</v>
      </c>
      <c r="L161" s="426">
        <f>DTC_SalesOverview_InTax[[#This Row],[GMV]]/DTC_SalesOverview_InTax[[#This Row],[Buyers]]</f>
        <v>2600.7966706302022</v>
      </c>
      <c r="M161" s="426">
        <f>DTC_SalesOverview_InTax[[#This Row],[GMV]]/DTC_SalesOverview_InTax[[#This Row],[Units]]</f>
        <v>983.48471223021579</v>
      </c>
      <c r="N161" s="427">
        <f>DTC_SalesOverview_InTax[[#This Row],[Units]]/DTC_SalesOverview_InTax[[#This Row],[Buyers]]</f>
        <v>2.6444708680142686</v>
      </c>
      <c r="O161" s="88">
        <f>DTC_SalesOverview_InTax[[#This Row],[RR]]/DTC_SalesOverview_InTax[[#This Row],[GMV]]</f>
        <v>0.1261729759014662</v>
      </c>
      <c r="P161" s="426">
        <f>P50+P100</f>
        <v>551948.73</v>
      </c>
      <c r="Q161" s="426">
        <f>Q50+Q100</f>
        <v>3190630.0000000009</v>
      </c>
      <c r="R161" s="90">
        <f>DTC_SalesOverview_InTax[[#This Row],[MD GMV]]/DTC_SalesOverview_InTax[[#This Row],[GMV]]</f>
        <v>0.72936354450982299</v>
      </c>
      <c r="S161" s="426">
        <f>S50+S100</f>
        <v>2919676.2700000005</v>
      </c>
      <c r="T161" s="90">
        <f>DTC_SalesOverview_InTax[[#This Row],[MD NET]]/DTC_SalesOverview_InTax[[#This Row],[NET]]</f>
        <v>0.76379504471583226</v>
      </c>
      <c r="U161" s="426">
        <f>SUMIFS(DTC_SalesOverview_InTax[GMV_TGT],DTC_SalesOverview_InTax[DATE],"&lt;"&amp;EDATE(EOMONTH($K$1,0)+1,-12),DTC_SalesOverview_InTax[PayYear],DTC_SalesOverview_InTax[[#This Row],[DATE]])</f>
        <v>0</v>
      </c>
      <c r="V161" s="426">
        <f>SUMIFS(DTC_SalesOverview_InTax[NET_TGT],DTC_SalesOverview_InTax[DATE],"&lt;"&amp;EDATE(EOMONTH($K$1,0)+1,-12),DTC_SalesOverview_InTax[PayYear],DTC_SalesOverview_InTax[[#This Row],[DATE]])</f>
        <v>0</v>
      </c>
      <c r="W161" s="426">
        <f>SUMIFS(DTC_SalesOverview_InTax[TRAFFIC_TGT],DTC_SalesOverview_InTax[DATE],"&lt;"&amp;EDATE(EOMONTH($K$1,0)+1,-12),DTC_SalesOverview_InTax[PayYear],DTC_SalesOverview_InTax[[#This Row],[DATE]])</f>
        <v>0</v>
      </c>
      <c r="X161" s="426">
        <f>SUMIFS(DTC_SalesOverview_InTax[BUYERS_TGT],DTC_SalesOverview_InTax[DATE],"&lt;"&amp;EDATE(EOMONTH($K$1,0)+1,-12),DTC_SalesOverview_InTax[PayYear],DTC_SalesOverview_InTax[[#This Row],[DATE]])</f>
        <v>0</v>
      </c>
      <c r="Y161" s="378" t="e">
        <f>DTC_SalesOverview_InTax[[#This Row],[BUYERS_TGT]]/DTC_SalesOverview_InTax[[#This Row],[TRAFFIC_TGT]]</f>
        <v>#DIV/0!</v>
      </c>
      <c r="Z161" s="379" t="e">
        <f>DTC_SalesOverview_InTax[[#This Row],[GMV_TGT]]/DTC_SalesOverview_InTax[[#This Row],[BUYERS_TGT]]</f>
        <v>#DIV/0!</v>
      </c>
      <c r="AA161" s="380" t="e">
        <f>DTC_SalesOverview_InTax[[#This Row],[UNITS_TGT]]/DTC_SalesOverview_InTax[[#This Row],[BUYERS_TGT]]</f>
        <v>#DIV/0!</v>
      </c>
      <c r="AB161" s="94" t="e">
        <f>1-DTC_SalesOverview_InTax[[#This Row],[NET_TGT]]/DTC_SalesOverview_InTax[[#This Row],[GMV_TGT]]</f>
        <v>#DIV/0!</v>
      </c>
      <c r="AC161" s="426">
        <f>SUMIFS(DTC_SalesOverview_InTax[UNITS_TGT],DTC_SalesOverview_InTax[DATE],"&lt;"&amp;EOMONTH($K$1,0)+1,DTC_SalesOverview_InTax[PayYear],DTC_SalesOverview_InTax[[#This Row],[DATE]])</f>
        <v>0</v>
      </c>
      <c r="AD161" s="105" t="e">
        <f>DTC_SalesOverview_InTax[[#This Row],[GMV]]/DTC_SalesOverview_InTax[[#This Row],[GMV_TGT]]</f>
        <v>#DIV/0!</v>
      </c>
      <c r="AE161" s="105" t="e">
        <f>DTC_SalesOverview_InTax[[#This Row],[NET]]/DTC_SalesOverview_InTax[[#This Row],[NET_TGT]]</f>
        <v>#DIV/0!</v>
      </c>
      <c r="AF161" s="105" t="e">
        <f>DTC_SalesOverview_InTax[[#This Row],[UV]]/DTC_SalesOverview_InTax[[#This Row],[TRAFFIC_TGT]]</f>
        <v>#DIV/0!</v>
      </c>
      <c r="AG161" s="105" t="e">
        <f>DTC_SalesOverview_InTax[[#This Row],[Buyers]]/DTC_SalesOverview_InTax[[#This Row],[BUYERS_TGT]]</f>
        <v>#DIV/0!</v>
      </c>
      <c r="AH161" s="105" t="e">
        <f>DTC_SalesOverview_InTax[[#This Row],[CR]]/DTC_SalesOverview_InTax[[#This Row],[CVR_TGT]]</f>
        <v>#DIV/0!</v>
      </c>
      <c r="AI161" s="105" t="e">
        <f>DTC_SalesOverview_InTax[[#This Row],[ATV]]/DTC_SalesOverview_InTax[[#This Row],[ATV_TGT]]</f>
        <v>#DIV/0!</v>
      </c>
      <c r="AJ161" s="105" t="e">
        <f>DTC_SalesOverview_InTax[[#This Row],[UPT]]/DTC_SalesOverview_InTax[[#This Row],[UPT_TGT]]</f>
        <v>#DIV/0!</v>
      </c>
      <c r="AK161" s="105" t="e">
        <f>DTC_SalesOverview_InTax[[#This Row],[RRC]]/DTC_SalesOverview_InTax[[#This Row],[RRC_TGT]]</f>
        <v>#DIV/0!</v>
      </c>
      <c r="AL161" s="28" t="str">
        <f>_xlfn.XLOOKUP(DTC_SalesOverview_InTax[[#This Row],[DATE]],全店核心数据_bymonth[开始日期],全店核心数据_bymonth[jda日历.PayYear],"")</f>
        <v/>
      </c>
      <c r="AM161" s="28"/>
      <c r="AN161" s="28"/>
      <c r="AO161" s="425" t="str">
        <f>DTC_SalesOverview_InTax[[#This Row],[DATE]]</f>
        <v>BU25</v>
      </c>
      <c r="AP161" s="446">
        <f>DTC_SalesOverview_InTax[[#This Row],[GMV]]/$F$1</f>
        <v>3871274.336283186</v>
      </c>
      <c r="AQ161" s="446">
        <f>DTC_SalesOverview_ExclTax[[#This Row],[GMV]]-DTC_SalesOverview_ExclTax[[#This Row],[RR]]</f>
        <v>3382824.1327433628</v>
      </c>
      <c r="AR161" s="458">
        <f>DTC_SalesOverview_InTax[[#This Row],[UV]]</f>
        <v>133433</v>
      </c>
      <c r="AS161" s="426">
        <f>DTC_SalesOverview_InTax[[#This Row],[Buyers]]</f>
        <v>1682</v>
      </c>
      <c r="AT161" s="426">
        <f>DTC_SalesOverview_InTax[[#This Row],[Units]]</f>
        <v>4448</v>
      </c>
      <c r="AU161" s="89">
        <f>DTC_SalesOverview_ExclTax[[#This Row],[Buyers]]/DTC_SalesOverview_ExclTax[[#This Row],[UV]]</f>
        <v>1.2605577330945118E-2</v>
      </c>
      <c r="AV161" s="426">
        <f>DTC_SalesOverview_ExclTax[[#This Row],[GMV]]/DTC_SalesOverview_ExclTax[[#This Row],[Buyers]]</f>
        <v>2301.5899740090285</v>
      </c>
      <c r="AW161" s="426">
        <f>DTC_SalesOverview_ExclTax[[#This Row],[GMV]]/DTC_SalesOverview_ExclTax[[#This Row],[Units]]</f>
        <v>870.34045330107597</v>
      </c>
      <c r="AX161" s="427">
        <f>DTC_SalesOverview_ExclTax[[#This Row],[Units]]/DTC_SalesOverview_ExclTax[[#This Row],[Buyers]]</f>
        <v>2.6444708680142686</v>
      </c>
      <c r="AY161" s="88">
        <f>DTC_SalesOverview_ExclTax[[#This Row],[RR]]/DTC_SalesOverview_ExclTax[[#This Row],[GMV]]</f>
        <v>0.12617297590146623</v>
      </c>
      <c r="AZ161" s="446">
        <f>DTC_SalesOverview_InTax[[#This Row],[RR]]/$F$1</f>
        <v>488450.20353982307</v>
      </c>
      <c r="BA161" s="446">
        <f>DTC_SalesOverview_InTax[[#This Row],[MD GMV]]/$F$1</f>
        <v>2823566.3716814169</v>
      </c>
      <c r="BB161" s="90">
        <f>DTC_SalesOverview_ExclTax[[#This Row],[MD GMV]]/DTC_SalesOverview_ExclTax[[#This Row],[GMV]]</f>
        <v>0.72936354450982299</v>
      </c>
      <c r="BC161" s="458">
        <f>DTC_SalesOverview_InTax[[#This Row],[GMV_TGT]]/$F$1</f>
        <v>0</v>
      </c>
      <c r="BD161" s="458">
        <f>DTC_SalesOverview_InTax[[#This Row],[NET_TGT]]/$F$1</f>
        <v>0</v>
      </c>
      <c r="BE161" s="459">
        <f>DTC_SalesOverview_InTax[[#This Row],[TRAFFIC_TGT]]</f>
        <v>0</v>
      </c>
      <c r="BF161" s="426">
        <f>DTC_SalesOverview_InTax[[#This Row],[BUYERS_TGT]]</f>
        <v>0</v>
      </c>
      <c r="BG161" s="216" t="e">
        <f>DTC_SalesOverview_InTax[[#This Row],[CVR_TGT]]</f>
        <v>#DIV/0!</v>
      </c>
      <c r="BH161" s="426" t="e">
        <f>DTC_SalesOverview_InTax[[#This Row],[ATV_TGT]]</f>
        <v>#DIV/0!</v>
      </c>
      <c r="BI161" s="427" t="e">
        <f>DTC_SalesOverview_InTax[[#This Row],[UPT_TGT]]</f>
        <v>#DIV/0!</v>
      </c>
      <c r="BJ161" s="388" t="e">
        <f>DTC_SalesOverview_InTax[[#This Row],[RRC_TGT]]</f>
        <v>#DIV/0!</v>
      </c>
      <c r="BK161" s="426">
        <f>DTC_SalesOverview_InTax[[#This Row],[UNITS_TGT]]</f>
        <v>0</v>
      </c>
      <c r="BL161" s="95" t="str">
        <f>_xlfn.XLOOKUP(DTC_SalesOverview_ExclTax[[#This Row],[DATE]],全店核心数据_bymonth[开始日期],全店核心数据_bymonth[jda日历.PayYear],"")</f>
        <v/>
      </c>
      <c r="CQ161" s="447"/>
    </row>
    <row r="162" spans="5:95" ht="14.5" customHeight="1" x14ac:dyDescent="0.3">
      <c r="E162" s="425" t="s">
        <v>232</v>
      </c>
      <c r="F162" s="256">
        <f>F160/F161-1</f>
        <v>-7.7546896359388828E-2</v>
      </c>
      <c r="G162" s="256">
        <f t="shared" ref="G162:N162" si="21">G160/G161-1</f>
        <v>-8.2829478130420409E-2</v>
      </c>
      <c r="H162" s="256">
        <f t="shared" si="21"/>
        <v>0.35901913319793444</v>
      </c>
      <c r="I162" s="256">
        <f t="shared" si="21"/>
        <v>-0.34423305588585018</v>
      </c>
      <c r="J162" s="256">
        <f t="shared" si="21"/>
        <v>-0.37095323741007191</v>
      </c>
      <c r="K162" s="256">
        <f t="shared" si="21"/>
        <v>-0.51747041075790312</v>
      </c>
      <c r="L162" s="256">
        <f t="shared" si="21"/>
        <v>0.40667825958613579</v>
      </c>
      <c r="M162" s="256">
        <f t="shared" si="21"/>
        <v>0.46643009470816255</v>
      </c>
      <c r="N162" s="256">
        <f t="shared" si="21"/>
        <v>-4.0746459948994396E-2</v>
      </c>
      <c r="O162" s="255">
        <f>(O160-O161)*100</f>
        <v>0.50041164047468778</v>
      </c>
      <c r="P162" s="222">
        <f>P160/P161-1</f>
        <v>-4.0961703091517254E-2</v>
      </c>
      <c r="Q162" s="222">
        <f>Q160/Q161-1</f>
        <v>-0.23857511839354639</v>
      </c>
      <c r="R162" s="255">
        <f>(R160-R161)*100</f>
        <v>-12.732150211801541</v>
      </c>
      <c r="S162" s="222">
        <f>S160/S161-1</f>
        <v>-0.2286320565259109</v>
      </c>
      <c r="T162" s="255">
        <f>(T160-T161)*100</f>
        <v>-12.142048204761535</v>
      </c>
      <c r="U162" s="255"/>
      <c r="V162" s="255"/>
      <c r="W162" s="255"/>
      <c r="X162" s="255"/>
      <c r="Y162" s="255"/>
      <c r="Z162" s="255"/>
      <c r="AA162" s="255"/>
      <c r="AB162" s="255"/>
      <c r="AC162" s="255"/>
      <c r="AD162" s="255"/>
      <c r="AE162" s="255"/>
      <c r="AF162" s="255"/>
      <c r="AG162" s="255"/>
      <c r="AH162" s="255"/>
      <c r="AI162" s="255"/>
      <c r="AJ162" s="255"/>
      <c r="AK162" s="255"/>
      <c r="AL162" s="28" t="str">
        <f>_xlfn.XLOOKUP(DTC_SalesOverview_InTax[[#This Row],[DATE]],全店核心数据_bymonth[开始日期],全店核心数据_bymonth[jda日历.PayYear],"")</f>
        <v/>
      </c>
      <c r="AO162" s="425" t="str">
        <f>DTC_SalesOverview_InTax[[#This Row],[DATE]]</f>
        <v>YOY</v>
      </c>
      <c r="AP162" s="256">
        <f>AP160/AP161-1</f>
        <v>-7.7546896359388828E-2</v>
      </c>
      <c r="AQ162" s="256">
        <f t="shared" ref="AQ162:AX162" si="22">AQ160/AQ161-1</f>
        <v>-8.2829478130420409E-2</v>
      </c>
      <c r="AR162" s="256">
        <f t="shared" si="22"/>
        <v>0.35901913319793444</v>
      </c>
      <c r="AS162" s="256">
        <f t="shared" si="22"/>
        <v>-0.34423305588585018</v>
      </c>
      <c r="AT162" s="256">
        <f t="shared" si="22"/>
        <v>-0.37095323741007191</v>
      </c>
      <c r="AU162" s="256">
        <f t="shared" si="22"/>
        <v>-0.51747041075790312</v>
      </c>
      <c r="AV162" s="256">
        <f t="shared" si="22"/>
        <v>0.40667825958613602</v>
      </c>
      <c r="AW162" s="256">
        <f t="shared" si="22"/>
        <v>0.46643009470816255</v>
      </c>
      <c r="AX162" s="256">
        <f t="shared" si="22"/>
        <v>-4.0746459948994396E-2</v>
      </c>
      <c r="AY162" s="255">
        <f>(AY160-AY161)*100</f>
        <v>0.500411640474685</v>
      </c>
      <c r="AZ162" s="222">
        <f>AZ160/AZ161-1</f>
        <v>-4.0961703091517365E-2</v>
      </c>
      <c r="BA162" s="222">
        <f>BA160/BA161-1</f>
        <v>-0.23857511839354628</v>
      </c>
      <c r="BB162" s="255">
        <f>BB160-BB161</f>
        <v>-0.1273215021180153</v>
      </c>
      <c r="BC162" s="255"/>
      <c r="BD162" s="255"/>
      <c r="BE162" s="255"/>
      <c r="BF162" s="255"/>
      <c r="BG162" s="255"/>
      <c r="BH162" s="255"/>
      <c r="BI162" s="255"/>
      <c r="BJ162" s="255"/>
      <c r="BK162" s="255"/>
      <c r="BL162" s="28" t="str">
        <f>_xlfn.XLOOKUP(DTC_SalesOverview_ExclTax[[#This Row],[DATE]],全店核心数据_bymonth[开始日期],全店核心数据_bymonth[jda日历.PayYear],"")</f>
        <v/>
      </c>
      <c r="BM162" s="451"/>
      <c r="BN162" s="451"/>
      <c r="BO162" s="451"/>
      <c r="BP162" s="451"/>
      <c r="BQ162" s="451"/>
      <c r="BR162" s="451"/>
      <c r="BS162" s="451"/>
      <c r="BT162" s="451"/>
      <c r="BU162" s="451"/>
      <c r="CQ162" s="53"/>
    </row>
    <row r="163" spans="5:95" ht="14.5" customHeight="1" x14ac:dyDescent="0.3">
      <c r="E163" s="428">
        <v>45992</v>
      </c>
      <c r="F163" s="431">
        <f t="shared" ref="F163:J172" si="23">F52+F102</f>
        <v>1537525.9999999998</v>
      </c>
      <c r="G163" s="431">
        <f t="shared" si="23"/>
        <v>1345184.9999999998</v>
      </c>
      <c r="H163" s="431">
        <f t="shared" si="23"/>
        <v>18877</v>
      </c>
      <c r="I163" s="431">
        <f t="shared" si="23"/>
        <v>515</v>
      </c>
      <c r="J163" s="431">
        <f t="shared" si="23"/>
        <v>1377</v>
      </c>
      <c r="K163" s="92">
        <f>DTC_SalesOverview_InTax[[#This Row],[Buyers]]/DTC_SalesOverview_InTax[[#This Row],[UV]]</f>
        <v>2.728187741696244E-2</v>
      </c>
      <c r="L163" s="431">
        <f>DTC_SalesOverview_InTax[[#This Row],[GMV]]/DTC_SalesOverview_InTax[[#This Row],[Buyers]]</f>
        <v>2985.4873786407761</v>
      </c>
      <c r="M163" s="431">
        <f>DTC_SalesOverview_InTax[[#This Row],[GMV]]/DTC_SalesOverview_InTax[[#This Row],[Units]]</f>
        <v>1116.5766158315175</v>
      </c>
      <c r="N163" s="432">
        <f>DTC_SalesOverview_InTax[[#This Row],[Units]]/DTC_SalesOverview_InTax[[#This Row],[Buyers]]</f>
        <v>2.6737864077669902</v>
      </c>
      <c r="O163" s="93">
        <f>DTC_SalesOverview_InTax[[#This Row],[RR]]/DTC_SalesOverview_InTax[[#This Row],[GMV]]</f>
        <v>0.12509772192470242</v>
      </c>
      <c r="P163" s="431">
        <f t="shared" ref="P163:Q183" si="24">P52+P102</f>
        <v>192341</v>
      </c>
      <c r="Q163" s="431">
        <f t="shared" si="24"/>
        <v>1266908.9999999998</v>
      </c>
      <c r="R163" s="94">
        <f>DTC_SalesOverview_InTax[[#This Row],[MD GMV]]/DTC_SalesOverview_InTax[[#This Row],[GMV]]</f>
        <v>0.82399191948623951</v>
      </c>
      <c r="S163" s="431">
        <f t="shared" ref="S163:S183" si="25">S52+S102</f>
        <v>1186989.9999999998</v>
      </c>
      <c r="T163" s="94">
        <f>DTC_SalesOverview_InTax[[#This Row],[MD NET]]/DTC_SalesOverview_InTax[[#This Row],[NET]]</f>
        <v>0.88239907522013694</v>
      </c>
      <c r="U163" s="431">
        <f>SUMIFS(目标表[gmv],目标表[Date],"&gt;="&amp;$E163,目标表[Date],"&lt;="&amp;EOMONTH($E163,0),目标表[channel],"DTC")+1427370</f>
        <v>1642855</v>
      </c>
      <c r="V163" s="431">
        <f>SUMIFS(目标表[net],目标表[Date],"&gt;="&amp;$E163,目标表[Date],"&lt;="&amp;EOMONTH($E163,0),目标表[channel],"DTC")+1356000</f>
        <v>1561000</v>
      </c>
      <c r="W163" s="431">
        <f>SUMIFS(目标表[uv],目标表[Date],"&gt;="&amp;$E163,目标表[Date],"&lt;="&amp;EOMONTH($E163,0),目标表[channel],"DTC")+3500</f>
        <v>16450</v>
      </c>
      <c r="X163" s="431">
        <f>SUMIFS(目标表[buyers],目标表[Date],"&gt;="&amp;$E163,目标表[Date],"&lt;="&amp;EOMONTH($E163,0),目标表[channel],"DTC")+570</f>
        <v>620</v>
      </c>
      <c r="Y163" s="378">
        <f>DTC_SalesOverview_InTax[[#This Row],[BUYERS_TGT]]/DTC_SalesOverview_InTax[[#This Row],[TRAFFIC_TGT]]</f>
        <v>3.7689969604863219E-2</v>
      </c>
      <c r="Z163" s="379">
        <f>DTC_SalesOverview_InTax[[#This Row],[GMV_TGT]]/DTC_SalesOverview_InTax[[#This Row],[BUYERS_TGT]]</f>
        <v>2649.766129032258</v>
      </c>
      <c r="AA163" s="380">
        <f>DTC_SalesOverview_InTax[[#This Row],[UNITS_TGT]]/DTC_SalesOverview_InTax[[#This Row],[BUYERS_TGT]]</f>
        <v>2.6435483870967742</v>
      </c>
      <c r="AB163" s="94">
        <f>1-DTC_SalesOverview_InTax[[#This Row],[NET_TGT]]/DTC_SalesOverview_InTax[[#This Row],[GMV_TGT]]</f>
        <v>4.9824847597627286E-2</v>
      </c>
      <c r="AC163" s="381">
        <f>SUMIFS(目标表[gmv_units],目标表[Date],"&gt;="&amp;$E163,目标表[Date],"&lt;="&amp;EOMONTH($E163,0),目标表[channel],"DTC")+1586</f>
        <v>1639</v>
      </c>
      <c r="AD163" s="105">
        <f>DTC_SalesOverview_InTax[[#This Row],[GMV]]/DTC_SalesOverview_InTax[[#This Row],[GMV_TGT]]</f>
        <v>0.93588661202601553</v>
      </c>
      <c r="AE163" s="105">
        <f>DTC_SalesOverview_InTax[[#This Row],[NET]]/DTC_SalesOverview_InTax[[#This Row],[NET_TGT]]</f>
        <v>0.86174567584881467</v>
      </c>
      <c r="AF163" s="105">
        <f>DTC_SalesOverview_InTax[[#This Row],[UV]]/DTC_SalesOverview_InTax[[#This Row],[TRAFFIC_TGT]]</f>
        <v>1.1475379939209727</v>
      </c>
      <c r="AG163" s="105">
        <f>DTC_SalesOverview_InTax[[#This Row],[Buyers]]/DTC_SalesOverview_InTax[[#This Row],[BUYERS_TGT]]</f>
        <v>0.83064516129032262</v>
      </c>
      <c r="AH163" s="105">
        <f>DTC_SalesOverview_InTax[[#This Row],[CR]]/DTC_SalesOverview_InTax[[#This Row],[CVR_TGT]]</f>
        <v>0.72384981211134225</v>
      </c>
      <c r="AI163" s="105">
        <f>DTC_SalesOverview_InTax[[#This Row],[ATV]]/DTC_SalesOverview_InTax[[#This Row],[ATV_TGT]]</f>
        <v>1.1266984455458828</v>
      </c>
      <c r="AJ163" s="105">
        <f>DTC_SalesOverview_InTax[[#This Row],[UPT]]/DTC_SalesOverview_InTax[[#This Row],[UPT_TGT]]</f>
        <v>1.0114384214859877</v>
      </c>
      <c r="AK163" s="105">
        <f>DTC_SalesOverview_InTax[[#This Row],[RRC]]/DTC_SalesOverview_InTax[[#This Row],[RRC_TGT]]</f>
        <v>2.5107497153821643</v>
      </c>
      <c r="AL163" s="28" t="str">
        <f>_xlfn.XLOOKUP(DTC_SalesOverview_InTax[[#This Row],[DATE]],全店核心数据_bymonth[开始日期],全店核心数据_bymonth[jda日历.PayYear],"")</f>
        <v>BU26</v>
      </c>
      <c r="AO163" s="428">
        <f>DTC_SalesOverview_InTax[[#This Row],[DATE]]</f>
        <v>45992</v>
      </c>
      <c r="AP163" s="429">
        <f>DTC_SalesOverview_InTax[[#This Row],[GMV]]/$F$1</f>
        <v>1360642.477876106</v>
      </c>
      <c r="AQ163" s="429">
        <f>DTC_SalesOverview_ExclTax[[#This Row],[GMV]]-DTC_SalesOverview_ExclTax[[#This Row],[RR]]</f>
        <v>1190429.2035398227</v>
      </c>
      <c r="AR163" s="460">
        <f>DTC_SalesOverview_InTax[[#This Row],[UV]]</f>
        <v>18877</v>
      </c>
      <c r="AS163" s="431">
        <f>DTC_SalesOverview_InTax[[#This Row],[Buyers]]</f>
        <v>515</v>
      </c>
      <c r="AT163" s="431">
        <f>DTC_SalesOverview_InTax[[#This Row],[Units]]</f>
        <v>1377</v>
      </c>
      <c r="AU163" s="92">
        <f>DTC_SalesOverview_ExclTax[[#This Row],[Buyers]]/DTC_SalesOverview_ExclTax[[#This Row],[UV]]</f>
        <v>2.728187741696244E-2</v>
      </c>
      <c r="AV163" s="431">
        <f>DTC_SalesOverview_ExclTax[[#This Row],[GMV]]/DTC_SalesOverview_ExclTax[[#This Row],[Buyers]]</f>
        <v>2642.024228885643</v>
      </c>
      <c r="AW163" s="431">
        <f>DTC_SalesOverview_ExclTax[[#This Row],[GMV]]/DTC_SalesOverview_ExclTax[[#This Row],[Units]]</f>
        <v>988.12089896594489</v>
      </c>
      <c r="AX163" s="432">
        <f>DTC_SalesOverview_ExclTax[[#This Row],[Units]]/DTC_SalesOverview_ExclTax[[#This Row],[Buyers]]</f>
        <v>2.6737864077669902</v>
      </c>
      <c r="AY163" s="93">
        <f>DTC_SalesOverview_ExclTax[[#This Row],[RR]]/DTC_SalesOverview_ExclTax[[#This Row],[GMV]]</f>
        <v>0.12509772192470245</v>
      </c>
      <c r="AZ163" s="436">
        <f>DTC_SalesOverview_InTax[[#This Row],[RR]]/$F$1</f>
        <v>170213.27433628321</v>
      </c>
      <c r="BA163" s="436">
        <f>DTC_SalesOverview_InTax[[#This Row],[MD GMV]]/$F$1</f>
        <v>1121158.4070796459</v>
      </c>
      <c r="BB163" s="94">
        <f>DTC_SalesOverview_ExclTax[[#This Row],[MD GMV]]/DTC_SalesOverview_ExclTax[[#This Row],[GMV]]</f>
        <v>0.82399191948623962</v>
      </c>
      <c r="BC163" s="429">
        <f>DTC_SalesOverview_InTax[[#This Row],[GMV_TGT]]/$F$1</f>
        <v>1453853.982300885</v>
      </c>
      <c r="BD163" s="429">
        <f>DTC_SalesOverview_InTax[[#This Row],[NET_TGT]]/$F$1</f>
        <v>1381415.9292035399</v>
      </c>
      <c r="BE163" s="460">
        <f>DTC_SalesOverview_InTax[[#This Row],[TRAFFIC_TGT]]</f>
        <v>16450</v>
      </c>
      <c r="BF163" s="431">
        <f>DTC_SalesOverview_InTax[[#This Row],[BUYERS_TGT]]</f>
        <v>620</v>
      </c>
      <c r="BG163" s="104">
        <f>DTC_SalesOverview_InTax[[#This Row],[CVR_TGT]]</f>
        <v>3.7689969604863219E-2</v>
      </c>
      <c r="BH163" s="431">
        <f>DTC_SalesOverview_InTax[[#This Row],[ATV_TGT]]/$F$1</f>
        <v>2344.9257779046534</v>
      </c>
      <c r="BI163" s="432">
        <f>DTC_SalesOverview_InTax[[#This Row],[UPT_TGT]]</f>
        <v>2.6435483870967742</v>
      </c>
      <c r="BJ163" s="389">
        <f>DTC_SalesOverview_InTax[[#This Row],[RRC_TGT]]</f>
        <v>4.9824847597627286E-2</v>
      </c>
      <c r="BK163" s="431">
        <f>DTC_SalesOverview_InTax[[#This Row],[UNITS_TGT]]</f>
        <v>1639</v>
      </c>
      <c r="BL163" s="28" t="str">
        <f>_xlfn.XLOOKUP(DTC_SalesOverview_ExclTax[[#This Row],[DATE]],全店核心数据_bymonth[开始日期],全店核心数据_bymonth[jda日历.PayYear],"")</f>
        <v>BU26</v>
      </c>
      <c r="BO163" s="28"/>
      <c r="CQ163" s="53"/>
    </row>
    <row r="164" spans="5:95" x14ac:dyDescent="0.3">
      <c r="E164" s="428">
        <v>45962</v>
      </c>
      <c r="F164" s="431">
        <f t="shared" si="23"/>
        <v>163559</v>
      </c>
      <c r="G164" s="431">
        <f t="shared" si="23"/>
        <v>126774</v>
      </c>
      <c r="H164" s="431">
        <f t="shared" si="23"/>
        <v>15026</v>
      </c>
      <c r="I164" s="431">
        <f t="shared" si="23"/>
        <v>21</v>
      </c>
      <c r="J164" s="431">
        <f t="shared" si="23"/>
        <v>35</v>
      </c>
      <c r="K164" s="92">
        <f>DTC_SalesOverview_InTax[[#This Row],[Buyers]]/DTC_SalesOverview_InTax[[#This Row],[UV]]</f>
        <v>1.3975775322773859E-3</v>
      </c>
      <c r="L164" s="431">
        <f>DTC_SalesOverview_InTax[[#This Row],[GMV]]/DTC_SalesOverview_InTax[[#This Row],[Buyers]]</f>
        <v>7788.5238095238092</v>
      </c>
      <c r="M164" s="431">
        <f>DTC_SalesOverview_InTax[[#This Row],[GMV]]/DTC_SalesOverview_InTax[[#This Row],[Units]]</f>
        <v>4673.1142857142859</v>
      </c>
      <c r="N164" s="432">
        <f>DTC_SalesOverview_InTax[[#This Row],[Units]]/DTC_SalesOverview_InTax[[#This Row],[Buyers]]</f>
        <v>1.6666666666666667</v>
      </c>
      <c r="O164" s="93">
        <f>DTC_SalesOverview_InTax[[#This Row],[RR]]/DTC_SalesOverview_InTax[[#This Row],[GMV]]</f>
        <v>0.22490355162357314</v>
      </c>
      <c r="P164" s="431">
        <f t="shared" si="24"/>
        <v>36785</v>
      </c>
      <c r="Q164" s="431">
        <f t="shared" si="24"/>
        <v>24355</v>
      </c>
      <c r="R164" s="94">
        <f>DTC_SalesOverview_InTax[[#This Row],[MD GMV]]/DTC_SalesOverview_InTax[[#This Row],[GMV]]</f>
        <v>0.14890651080038395</v>
      </c>
      <c r="S164" s="431">
        <f t="shared" si="25"/>
        <v>23365</v>
      </c>
      <c r="T164" s="94">
        <f>DTC_SalesOverview_InTax[[#This Row],[MD NET]]/DTC_SalesOverview_InTax[[#This Row],[NET]]</f>
        <v>0.18430435262751038</v>
      </c>
      <c r="U164" s="431">
        <f>SUMIFS(目标表[gmv],目标表[Date],"&gt;="&amp;$E164,目标表[Date],"&lt;="&amp;EOMONTH($E164,0),目标表[channel],"DTC")</f>
        <v>126322</v>
      </c>
      <c r="V164" s="431">
        <f>SUMIFS(目标表[net],目标表[Date],"&gt;="&amp;$E164,目标表[Date],"&lt;="&amp;EOMONTH($E164,0),目标表[channel],"DTC")</f>
        <v>120000</v>
      </c>
      <c r="W164" s="431">
        <f>SUMIFS(目标表[uv],目标表[Date],"&gt;="&amp;$E164,目标表[Date],"&lt;="&amp;EOMONTH($E164,0),目标表[channel],"DTC")</f>
        <v>12000</v>
      </c>
      <c r="X164" s="431">
        <f>SUMIFS(目标表[buyers],目标表[Date],"&gt;="&amp;$E164,目标表[Date],"&lt;="&amp;EOMONTH($E164,0),目标表[channel],"DTC")</f>
        <v>30</v>
      </c>
      <c r="Y164" s="378">
        <f>DTC_SalesOverview_InTax[[#This Row],[BUYERS_TGT]]/DTC_SalesOverview_InTax[[#This Row],[TRAFFIC_TGT]]</f>
        <v>2.5000000000000001E-3</v>
      </c>
      <c r="Z164" s="379">
        <f>DTC_SalesOverview_InTax[[#This Row],[GMV_TGT]]/DTC_SalesOverview_InTax[[#This Row],[BUYERS_TGT]]</f>
        <v>4210.7333333333336</v>
      </c>
      <c r="AA164" s="380">
        <f>DTC_SalesOverview_InTax[[#This Row],[UNITS_TGT]]/DTC_SalesOverview_InTax[[#This Row],[BUYERS_TGT]]</f>
        <v>1</v>
      </c>
      <c r="AB164" s="94">
        <f>1-DTC_SalesOverview_InTax[[#This Row],[NET_TGT]]/DTC_SalesOverview_InTax[[#This Row],[GMV_TGT]]</f>
        <v>5.0046706036953159E-2</v>
      </c>
      <c r="AC164" s="381">
        <f>SUMIFS(目标表[gmv_units],目标表[Date],"&gt;="&amp;$E164,目标表[Date],"&lt;="&amp;EOMONTH($E164,0),目标表[channel],"DTC")</f>
        <v>30</v>
      </c>
      <c r="AD164" s="105">
        <f>DTC_SalesOverview_InTax[[#This Row],[GMV]]/DTC_SalesOverview_InTax[[#This Row],[GMV_TGT]]</f>
        <v>1.294778423394183</v>
      </c>
      <c r="AE164" s="105">
        <f>DTC_SalesOverview_InTax[[#This Row],[NET]]/DTC_SalesOverview_InTax[[#This Row],[NET_TGT]]</f>
        <v>1.0564499999999999</v>
      </c>
      <c r="AF164" s="105">
        <f>DTC_SalesOverview_InTax[[#This Row],[UV]]/DTC_SalesOverview_InTax[[#This Row],[TRAFFIC_TGT]]</f>
        <v>1.2521666666666667</v>
      </c>
      <c r="AG164" s="105">
        <f>DTC_SalesOverview_InTax[[#This Row],[Buyers]]/DTC_SalesOverview_InTax[[#This Row],[BUYERS_TGT]]</f>
        <v>0.7</v>
      </c>
      <c r="AH164" s="105">
        <f>DTC_SalesOverview_InTax[[#This Row],[CR]]/DTC_SalesOverview_InTax[[#This Row],[CVR_TGT]]</f>
        <v>0.55903101291095436</v>
      </c>
      <c r="AI164" s="105">
        <f>DTC_SalesOverview_InTax[[#This Row],[ATV]]/DTC_SalesOverview_InTax[[#This Row],[ATV_TGT]]</f>
        <v>1.84968346199169</v>
      </c>
      <c r="AJ164" s="105">
        <f>DTC_SalesOverview_InTax[[#This Row],[UPT]]/DTC_SalesOverview_InTax[[#This Row],[UPT_TGT]]</f>
        <v>1.6666666666666667</v>
      </c>
      <c r="AK164" s="105">
        <f>DTC_SalesOverview_InTax[[#This Row],[RRC]]/DTC_SalesOverview_InTax[[#This Row],[RRC_TGT]]</f>
        <v>4.4938732123051279</v>
      </c>
      <c r="AL164" s="28" t="str">
        <f>_xlfn.XLOOKUP(DTC_SalesOverview_InTax[[#This Row],[DATE]],全店核心数据_bymonth[开始日期],全店核心数据_bymonth[jda日历.PayYear],"")</f>
        <v>BU26</v>
      </c>
      <c r="AO164" s="428">
        <f>DTC_SalesOverview_InTax[[#This Row],[DATE]]</f>
        <v>45962</v>
      </c>
      <c r="AP164" s="436">
        <f>DTC_SalesOverview_InTax[[#This Row],[GMV]]/$F$1</f>
        <v>144742.47787610622</v>
      </c>
      <c r="AQ164" s="436">
        <f>DTC_SalesOverview_ExclTax[[#This Row],[GMV]]-DTC_SalesOverview_ExclTax[[#This Row],[RR]]</f>
        <v>112189.38053097347</v>
      </c>
      <c r="AR164" s="431">
        <f>DTC_SalesOverview_InTax[[#This Row],[UV]]</f>
        <v>15026</v>
      </c>
      <c r="AS164" s="431">
        <f>DTC_SalesOverview_InTax[[#This Row],[Buyers]]</f>
        <v>21</v>
      </c>
      <c r="AT164" s="431">
        <f>DTC_SalesOverview_InTax[[#This Row],[Units]]</f>
        <v>35</v>
      </c>
      <c r="AU164" s="92">
        <f>DTC_SalesOverview_ExclTax[[#This Row],[Buyers]]/DTC_SalesOverview_ExclTax[[#This Row],[UV]]</f>
        <v>1.3975775322773859E-3</v>
      </c>
      <c r="AV164" s="431">
        <f>DTC_SalesOverview_ExclTax[[#This Row],[GMV]]/DTC_SalesOverview_ExclTax[[#This Row],[Buyers]]</f>
        <v>6892.4989464812488</v>
      </c>
      <c r="AW164" s="431">
        <f>DTC_SalesOverview_ExclTax[[#This Row],[GMV]]/DTC_SalesOverview_ExclTax[[#This Row],[Units]]</f>
        <v>4135.4993678887495</v>
      </c>
      <c r="AX164" s="432">
        <f>DTC_SalesOverview_ExclTax[[#This Row],[Units]]/DTC_SalesOverview_ExclTax[[#This Row],[Buyers]]</f>
        <v>1.6666666666666667</v>
      </c>
      <c r="AY164" s="93">
        <f>DTC_SalesOverview_ExclTax[[#This Row],[RR]]/DTC_SalesOverview_ExclTax[[#This Row],[GMV]]</f>
        <v>0.22490355162357314</v>
      </c>
      <c r="AZ164" s="436">
        <f>DTC_SalesOverview_InTax[[#This Row],[RR]]/$F$1</f>
        <v>32553.097345132748</v>
      </c>
      <c r="BA164" s="436">
        <f>DTC_SalesOverview_InTax[[#This Row],[MD GMV]]/$F$1</f>
        <v>21553.097345132745</v>
      </c>
      <c r="BB164" s="94">
        <f>DTC_SalesOverview_ExclTax[[#This Row],[MD GMV]]/DTC_SalesOverview_ExclTax[[#This Row],[GMV]]</f>
        <v>0.14890651080038395</v>
      </c>
      <c r="BC164" s="460">
        <f>DTC_SalesOverview_InTax[[#This Row],[GMV_TGT]]/$F$1</f>
        <v>111789.38053097346</v>
      </c>
      <c r="BD164" s="460">
        <f>DTC_SalesOverview_InTax[[#This Row],[NET_TGT]]/$F$1</f>
        <v>106194.69026548673</v>
      </c>
      <c r="BE164" s="431">
        <f>DTC_SalesOverview_InTax[[#This Row],[TRAFFIC_TGT]]</f>
        <v>12000</v>
      </c>
      <c r="BF164" s="431">
        <f>DTC_SalesOverview_InTax[[#This Row],[BUYERS_TGT]]</f>
        <v>30</v>
      </c>
      <c r="BG164" s="104">
        <f>DTC_SalesOverview_InTax[[#This Row],[CVR_TGT]]</f>
        <v>2.5000000000000001E-3</v>
      </c>
      <c r="BH164" s="431">
        <f>DTC_SalesOverview_InTax[[#This Row],[ATV_TGT]]/$F$1</f>
        <v>3726.3126843657824</v>
      </c>
      <c r="BI164" s="432">
        <f>DTC_SalesOverview_InTax[[#This Row],[UPT_TGT]]</f>
        <v>1</v>
      </c>
      <c r="BJ164" s="389">
        <f>DTC_SalesOverview_InTax[[#This Row],[RRC_TGT]]</f>
        <v>5.0046706036953159E-2</v>
      </c>
      <c r="BK164" s="431">
        <f>DTC_SalesOverview_InTax[[#This Row],[UNITS_TGT]]</f>
        <v>30</v>
      </c>
      <c r="BL164" s="28" t="str">
        <f>_xlfn.XLOOKUP(DTC_SalesOverview_ExclTax[[#This Row],[DATE]],全店核心数据_bymonth[开始日期],全店核心数据_bymonth[jda日历.PayYear],"")</f>
        <v>BU26</v>
      </c>
      <c r="BO164" s="28"/>
      <c r="CQ164" s="53"/>
    </row>
    <row r="165" spans="5:95" x14ac:dyDescent="0.3">
      <c r="E165" s="428">
        <v>45931</v>
      </c>
      <c r="F165" s="431">
        <f t="shared" si="23"/>
        <v>187130</v>
      </c>
      <c r="G165" s="431">
        <f t="shared" si="23"/>
        <v>123155</v>
      </c>
      <c r="H165" s="431">
        <f t="shared" si="23"/>
        <v>14914</v>
      </c>
      <c r="I165" s="431">
        <f t="shared" si="23"/>
        <v>21</v>
      </c>
      <c r="J165" s="431">
        <f t="shared" si="23"/>
        <v>32</v>
      </c>
      <c r="K165" s="92">
        <f>DTC_SalesOverview_InTax[[#This Row],[Buyers]]/DTC_SalesOverview_InTax[[#This Row],[UV]]</f>
        <v>1.4080729515891109E-3</v>
      </c>
      <c r="L165" s="431">
        <f>DTC_SalesOverview_InTax[[#This Row],[GMV]]/DTC_SalesOverview_InTax[[#This Row],[Buyers]]</f>
        <v>8910.9523809523816</v>
      </c>
      <c r="M165" s="431">
        <f>DTC_SalesOverview_InTax[[#This Row],[GMV]]/DTC_SalesOverview_InTax[[#This Row],[Units]]</f>
        <v>5847.8125</v>
      </c>
      <c r="N165" s="432">
        <f>DTC_SalesOverview_InTax[[#This Row],[Units]]/DTC_SalesOverview_InTax[[#This Row],[Buyers]]</f>
        <v>1.5238095238095237</v>
      </c>
      <c r="O165" s="93">
        <f>DTC_SalesOverview_InTax[[#This Row],[RR]]/DTC_SalesOverview_InTax[[#This Row],[GMV]]</f>
        <v>0.34187463260834716</v>
      </c>
      <c r="P165" s="431">
        <f t="shared" si="24"/>
        <v>63975</v>
      </c>
      <c r="Q165" s="431">
        <f t="shared" si="24"/>
        <v>30865</v>
      </c>
      <c r="R165" s="94">
        <f>DTC_SalesOverview_InTax[[#This Row],[MD GMV]]/DTC_SalesOverview_InTax[[#This Row],[GMV]]</f>
        <v>0.16493881259017795</v>
      </c>
      <c r="S165" s="431">
        <f t="shared" si="25"/>
        <v>20230</v>
      </c>
      <c r="T165" s="94">
        <f>DTC_SalesOverview_InTax[[#This Row],[MD NET]]/DTC_SalesOverview_InTax[[#This Row],[NET]]</f>
        <v>0.16426454467946897</v>
      </c>
      <c r="U165" s="431">
        <f>SUMIFS(目标表[gmv],目标表[Date],"&gt;="&amp;$E165,目标表[Date],"&lt;="&amp;EOMONTH($E165,0),目标表[channel],"DTC")</f>
        <v>126210</v>
      </c>
      <c r="V165" s="431">
        <f>SUMIFS(目标表[net],目标表[Date],"&gt;="&amp;$E165,目标表[Date],"&lt;="&amp;EOMONTH($E165,0),目标表[channel],"DTC")</f>
        <v>120000</v>
      </c>
      <c r="W165" s="431">
        <f>SUMIFS(目标表[uv],目标表[Date],"&gt;="&amp;$E165,目标表[Date],"&lt;="&amp;EOMONTH($E165,0),目标表[channel],"DTC")</f>
        <v>12650</v>
      </c>
      <c r="X165" s="431">
        <f>SUMIFS(目标表[buyers],目标表[Date],"&gt;="&amp;$E165,目标表[Date],"&lt;="&amp;EOMONTH($E165,0),目标表[channel],"DTC")</f>
        <v>28</v>
      </c>
      <c r="Y165" s="378">
        <f>DTC_SalesOverview_InTax[[#This Row],[BUYERS_TGT]]/DTC_SalesOverview_InTax[[#This Row],[TRAFFIC_TGT]]</f>
        <v>2.2134387351778655E-3</v>
      </c>
      <c r="Z165" s="379">
        <f>DTC_SalesOverview_InTax[[#This Row],[GMV_TGT]]/DTC_SalesOverview_InTax[[#This Row],[BUYERS_TGT]]</f>
        <v>4507.5</v>
      </c>
      <c r="AA165" s="380">
        <f>DTC_SalesOverview_InTax[[#This Row],[UNITS_TGT]]/DTC_SalesOverview_InTax[[#This Row],[BUYERS_TGT]]</f>
        <v>1</v>
      </c>
      <c r="AB165" s="94">
        <f>1-DTC_SalesOverview_InTax[[#This Row],[NET_TGT]]/DTC_SalesOverview_InTax[[#This Row],[GMV_TGT]]</f>
        <v>4.9203708105538424E-2</v>
      </c>
      <c r="AC165" s="381">
        <f>SUMIFS(目标表[gmv_units],目标表[Date],"&gt;="&amp;$E165,目标表[Date],"&lt;="&amp;EOMONTH($E165,0),目标表[channel],"DTC")</f>
        <v>28</v>
      </c>
      <c r="AD165" s="105">
        <f>DTC_SalesOverview_InTax[[#This Row],[GMV]]/DTC_SalesOverview_InTax[[#This Row],[GMV_TGT]]</f>
        <v>1.4826875841850884</v>
      </c>
      <c r="AE165" s="105">
        <f>DTC_SalesOverview_InTax[[#This Row],[NET]]/DTC_SalesOverview_InTax[[#This Row],[NET_TGT]]</f>
        <v>1.0262916666666666</v>
      </c>
      <c r="AF165" s="105">
        <f>DTC_SalesOverview_InTax[[#This Row],[UV]]/DTC_SalesOverview_InTax[[#This Row],[TRAFFIC_TGT]]</f>
        <v>1.1789723320158103</v>
      </c>
      <c r="AG165" s="105">
        <f>DTC_SalesOverview_InTax[[#This Row],[Buyers]]/DTC_SalesOverview_InTax[[#This Row],[BUYERS_TGT]]</f>
        <v>0.75</v>
      </c>
      <c r="AH165" s="105">
        <f>DTC_SalesOverview_InTax[[#This Row],[CR]]/DTC_SalesOverview_InTax[[#This Row],[CVR_TGT]]</f>
        <v>0.63614724420008051</v>
      </c>
      <c r="AI165" s="105">
        <f>DTC_SalesOverview_InTax[[#This Row],[ATV]]/DTC_SalesOverview_InTax[[#This Row],[ATV_TGT]]</f>
        <v>1.9769167789134512</v>
      </c>
      <c r="AJ165" s="105">
        <f>DTC_SalesOverview_InTax[[#This Row],[UPT]]/DTC_SalesOverview_InTax[[#This Row],[UPT_TGT]]</f>
        <v>1.5238095238095237</v>
      </c>
      <c r="AK165" s="105">
        <f>DTC_SalesOverview_InTax[[#This Row],[RRC]]/DTC_SalesOverview_InTax[[#This Row],[RRC_TGT]]</f>
        <v>6.9481477264894469</v>
      </c>
      <c r="AL165" s="28" t="str">
        <f>_xlfn.XLOOKUP(DTC_SalesOverview_InTax[[#This Row],[DATE]],全店核心数据_bymonth[开始日期],全店核心数据_bymonth[jda日历.PayYear],"")</f>
        <v>BU26</v>
      </c>
      <c r="AO165" s="428">
        <f>DTC_SalesOverview_InTax[[#This Row],[DATE]]</f>
        <v>45931</v>
      </c>
      <c r="AP165" s="436">
        <f>DTC_SalesOverview_InTax[[#This Row],[GMV]]/$F$1</f>
        <v>165601.76991150444</v>
      </c>
      <c r="AQ165" s="436">
        <f>DTC_SalesOverview_ExclTax[[#This Row],[GMV]]-DTC_SalesOverview_ExclTax[[#This Row],[RR]]</f>
        <v>108986.72566371682</v>
      </c>
      <c r="AR165" s="431">
        <f>DTC_SalesOverview_InTax[[#This Row],[UV]]</f>
        <v>14914</v>
      </c>
      <c r="AS165" s="431">
        <f>DTC_SalesOverview_InTax[[#This Row],[Buyers]]</f>
        <v>21</v>
      </c>
      <c r="AT165" s="431">
        <f>DTC_SalesOverview_InTax[[#This Row],[Units]]</f>
        <v>32</v>
      </c>
      <c r="AU165" s="92">
        <f>DTC_SalesOverview_ExclTax[[#This Row],[Buyers]]/DTC_SalesOverview_ExclTax[[#This Row],[UV]]</f>
        <v>1.4080729515891109E-3</v>
      </c>
      <c r="AV165" s="431">
        <f>DTC_SalesOverview_ExclTax[[#This Row],[GMV]]/DTC_SalesOverview_ExclTax[[#This Row],[Buyers]]</f>
        <v>7885.7985672144969</v>
      </c>
      <c r="AW165" s="431">
        <f>DTC_SalesOverview_ExclTax[[#This Row],[GMV]]/DTC_SalesOverview_ExclTax[[#This Row],[Units]]</f>
        <v>5175.0553097345137</v>
      </c>
      <c r="AX165" s="432">
        <f>DTC_SalesOverview_ExclTax[[#This Row],[Units]]/DTC_SalesOverview_ExclTax[[#This Row],[Buyers]]</f>
        <v>1.5238095238095237</v>
      </c>
      <c r="AY165" s="93">
        <f>DTC_SalesOverview_ExclTax[[#This Row],[RR]]/DTC_SalesOverview_ExclTax[[#This Row],[GMV]]</f>
        <v>0.34187463260834711</v>
      </c>
      <c r="AZ165" s="436">
        <f>DTC_SalesOverview_InTax[[#This Row],[RR]]/$F$1</f>
        <v>56615.044247787613</v>
      </c>
      <c r="BA165" s="436">
        <f>DTC_SalesOverview_InTax[[#This Row],[MD GMV]]/$F$1</f>
        <v>27314.159292035401</v>
      </c>
      <c r="BB165" s="94">
        <f>DTC_SalesOverview_ExclTax[[#This Row],[MD GMV]]/DTC_SalesOverview_ExclTax[[#This Row],[GMV]]</f>
        <v>0.16493881259017795</v>
      </c>
      <c r="BC165" s="460">
        <f>DTC_SalesOverview_InTax[[#This Row],[GMV_TGT]]/$F$1</f>
        <v>111690.26548672568</v>
      </c>
      <c r="BD165" s="460">
        <f>DTC_SalesOverview_InTax[[#This Row],[NET_TGT]]/$F$1</f>
        <v>106194.69026548673</v>
      </c>
      <c r="BE165" s="431">
        <f>DTC_SalesOverview_InTax[[#This Row],[TRAFFIC_TGT]]</f>
        <v>12650</v>
      </c>
      <c r="BF165" s="431">
        <f>DTC_SalesOverview_InTax[[#This Row],[BUYERS_TGT]]</f>
        <v>28</v>
      </c>
      <c r="BG165" s="104">
        <f>DTC_SalesOverview_InTax[[#This Row],[CVR_TGT]]</f>
        <v>2.2134387351778655E-3</v>
      </c>
      <c r="BH165" s="431">
        <f>DTC_SalesOverview_InTax[[#This Row],[ATV_TGT]]/$F$1</f>
        <v>3988.9380530973453</v>
      </c>
      <c r="BI165" s="432">
        <f>DTC_SalesOverview_InTax[[#This Row],[UPT_TGT]]</f>
        <v>1</v>
      </c>
      <c r="BJ165" s="389">
        <f>DTC_SalesOverview_InTax[[#This Row],[RRC_TGT]]</f>
        <v>4.9203708105538424E-2</v>
      </c>
      <c r="BK165" s="431">
        <f>DTC_SalesOverview_InTax[[#This Row],[UNITS_TGT]]</f>
        <v>28</v>
      </c>
      <c r="BL165" s="28" t="str">
        <f>_xlfn.XLOOKUP(DTC_SalesOverview_ExclTax[[#This Row],[DATE]],全店核心数据_bymonth[开始日期],全店核心数据_bymonth[jda日历.PayYear],"")</f>
        <v>BU26</v>
      </c>
      <c r="BO165" s="28"/>
      <c r="CQ165" s="53"/>
    </row>
    <row r="166" spans="5:95" x14ac:dyDescent="0.3">
      <c r="E166" s="428">
        <v>45901</v>
      </c>
      <c r="F166" s="431">
        <f t="shared" si="23"/>
        <v>261706</v>
      </c>
      <c r="G166" s="431">
        <f t="shared" si="23"/>
        <v>259716</v>
      </c>
      <c r="H166" s="431">
        <f t="shared" si="23"/>
        <v>12959</v>
      </c>
      <c r="I166" s="431">
        <f t="shared" si="23"/>
        <v>41</v>
      </c>
      <c r="J166" s="431">
        <f t="shared" si="23"/>
        <v>65</v>
      </c>
      <c r="K166" s="92">
        <f>DTC_SalesOverview_InTax[[#This Row],[Buyers]]/DTC_SalesOverview_InTax[[#This Row],[UV]]</f>
        <v>3.1638243691642872E-3</v>
      </c>
      <c r="L166" s="431">
        <f>DTC_SalesOverview_InTax[[#This Row],[GMV]]/DTC_SalesOverview_InTax[[#This Row],[Buyers]]</f>
        <v>6383.0731707317073</v>
      </c>
      <c r="M166" s="431">
        <f>DTC_SalesOverview_InTax[[#This Row],[GMV]]/DTC_SalesOverview_InTax[[#This Row],[Units]]</f>
        <v>4026.2461538461539</v>
      </c>
      <c r="N166" s="432">
        <f>DTC_SalesOverview_InTax[[#This Row],[Units]]/DTC_SalesOverview_InTax[[#This Row],[Buyers]]</f>
        <v>1.5853658536585367</v>
      </c>
      <c r="O166" s="93">
        <f>DTC_SalesOverview_InTax[[#This Row],[RR]]/DTC_SalesOverview_InTax[[#This Row],[GMV]]</f>
        <v>7.6039525268813092E-3</v>
      </c>
      <c r="P166" s="431">
        <f t="shared" si="24"/>
        <v>1990</v>
      </c>
      <c r="Q166" s="431">
        <f t="shared" si="24"/>
        <v>42525</v>
      </c>
      <c r="R166" s="94">
        <f>DTC_SalesOverview_InTax[[#This Row],[MD GMV]]/DTC_SalesOverview_InTax[[#This Row],[GMV]]</f>
        <v>0.16249149809328026</v>
      </c>
      <c r="S166" s="431">
        <f t="shared" si="25"/>
        <v>40535</v>
      </c>
      <c r="T166" s="94">
        <f>DTC_SalesOverview_InTax[[#This Row],[MD NET]]/DTC_SalesOverview_InTax[[#This Row],[NET]]</f>
        <v>0.15607432734217375</v>
      </c>
      <c r="U166" s="431">
        <f>SUMIFS(目标表[gmv],目标表[Date],"&gt;="&amp;$E166,目标表[Date],"&lt;="&amp;EOMONTH($E166,0),目标表[channel],"DTC")</f>
        <v>202150</v>
      </c>
      <c r="V166" s="431">
        <f>SUMIFS(目标表[net],目标表[Date],"&gt;="&amp;$E166,目标表[Date],"&lt;="&amp;EOMONTH($E166,0),目标表[channel],"DTC")</f>
        <v>198000</v>
      </c>
      <c r="W166" s="431">
        <f>SUMIFS(目标表[uv],目标表[Date],"&gt;="&amp;$E166,目标表[Date],"&lt;="&amp;EOMONTH($E166,0),目标表[channel],"DTC")</f>
        <v>12260</v>
      </c>
      <c r="X166" s="431">
        <f>SUMIFS(目标表[buyers],目标表[Date],"&gt;="&amp;$E166,目标表[Date],"&lt;="&amp;EOMONTH($E166,0),目标表[channel],"DTC")</f>
        <v>37</v>
      </c>
      <c r="Y166" s="378">
        <f>DTC_SalesOverview_InTax[[#This Row],[BUYERS_TGT]]/DTC_SalesOverview_InTax[[#This Row],[TRAFFIC_TGT]]</f>
        <v>3.0179445350734095E-3</v>
      </c>
      <c r="Z166" s="379">
        <f>DTC_SalesOverview_InTax[[#This Row],[GMV_TGT]]/DTC_SalesOverview_InTax[[#This Row],[BUYERS_TGT]]</f>
        <v>5463.5135135135133</v>
      </c>
      <c r="AA166" s="380">
        <f>DTC_SalesOverview_InTax[[#This Row],[UNITS_TGT]]/DTC_SalesOverview_InTax[[#This Row],[BUYERS_TGT]]</f>
        <v>1.027027027027027</v>
      </c>
      <c r="AB166" s="94">
        <f>1-DTC_SalesOverview_InTax[[#This Row],[NET_TGT]]/DTC_SalesOverview_InTax[[#This Row],[GMV_TGT]]</f>
        <v>2.0529309918377425E-2</v>
      </c>
      <c r="AC166" s="381">
        <f>SUMIFS(目标表[gmv_units],目标表[Date],"&gt;="&amp;$E166,目标表[Date],"&lt;="&amp;EOMONTH($E166,0),目标表[channel],"DTC")</f>
        <v>38</v>
      </c>
      <c r="AD166" s="105">
        <f>DTC_SalesOverview_InTax[[#This Row],[GMV]]/DTC_SalesOverview_InTax[[#This Row],[GMV_TGT]]</f>
        <v>1.294612911204551</v>
      </c>
      <c r="AE166" s="105">
        <f>DTC_SalesOverview_InTax[[#This Row],[NET]]/DTC_SalesOverview_InTax[[#This Row],[NET_TGT]]</f>
        <v>1.3116969696969698</v>
      </c>
      <c r="AF166" s="105">
        <f>DTC_SalesOverview_InTax[[#This Row],[UV]]/DTC_SalesOverview_InTax[[#This Row],[TRAFFIC_TGT]]</f>
        <v>1.0570146818923327</v>
      </c>
      <c r="AG166" s="105">
        <f>DTC_SalesOverview_InTax[[#This Row],[Buyers]]/DTC_SalesOverview_InTax[[#This Row],[BUYERS_TGT]]</f>
        <v>1.1081081081081081</v>
      </c>
      <c r="AH166" s="105">
        <f>DTC_SalesOverview_InTax[[#This Row],[CR]]/DTC_SalesOverview_InTax[[#This Row],[CVR_TGT]]</f>
        <v>1.0483374801609233</v>
      </c>
      <c r="AI166" s="105">
        <f>DTC_SalesOverview_InTax[[#This Row],[ATV]]/DTC_SalesOverview_InTax[[#This Row],[ATV_TGT]]</f>
        <v>1.1683092125504486</v>
      </c>
      <c r="AJ166" s="105">
        <f>DTC_SalesOverview_InTax[[#This Row],[UPT]]/DTC_SalesOverview_InTax[[#This Row],[UPT_TGT]]</f>
        <v>1.5436456996148911</v>
      </c>
      <c r="AK166" s="105">
        <f>DTC_SalesOverview_InTax[[#This Row],[RRC]]/DTC_SalesOverview_InTax[[#This Row],[RRC_TGT]]</f>
        <v>0.37039494055639949</v>
      </c>
      <c r="AL166" s="28" t="str">
        <f>_xlfn.XLOOKUP(DTC_SalesOverview_InTax[[#This Row],[DATE]],全店核心数据_bymonth[开始日期],全店核心数据_bymonth[jda日历.PayYear],"")</f>
        <v>BU26</v>
      </c>
      <c r="AO166" s="428">
        <f>DTC_SalesOverview_InTax[[#This Row],[DATE]]</f>
        <v>45901</v>
      </c>
      <c r="AP166" s="436">
        <f>DTC_SalesOverview_InTax[[#This Row],[GMV]]/$F$1</f>
        <v>231598.23008849559</v>
      </c>
      <c r="AQ166" s="436">
        <f>DTC_SalesOverview_ExclTax[[#This Row],[GMV]]-DTC_SalesOverview_ExclTax[[#This Row],[RR]]</f>
        <v>229837.16814159293</v>
      </c>
      <c r="AR166" s="431">
        <f>DTC_SalesOverview_InTax[[#This Row],[UV]]</f>
        <v>12959</v>
      </c>
      <c r="AS166" s="431">
        <f>DTC_SalesOverview_InTax[[#This Row],[Buyers]]</f>
        <v>41</v>
      </c>
      <c r="AT166" s="431">
        <f>DTC_SalesOverview_InTax[[#This Row],[Units]]</f>
        <v>65</v>
      </c>
      <c r="AU166" s="92">
        <f>DTC_SalesOverview_ExclTax[[#This Row],[Buyers]]/DTC_SalesOverview_ExclTax[[#This Row],[UV]]</f>
        <v>3.1638243691642872E-3</v>
      </c>
      <c r="AV166" s="431">
        <f>DTC_SalesOverview_ExclTax[[#This Row],[GMV]]/DTC_SalesOverview_ExclTax[[#This Row],[Buyers]]</f>
        <v>5648.7373192315999</v>
      </c>
      <c r="AW166" s="431">
        <f>DTC_SalesOverview_ExclTax[[#This Row],[GMV]]/DTC_SalesOverview_ExclTax[[#This Row],[Units]]</f>
        <v>3563.0496936691629</v>
      </c>
      <c r="AX166" s="432">
        <f>DTC_SalesOverview_ExclTax[[#This Row],[Units]]/DTC_SalesOverview_ExclTax[[#This Row],[Buyers]]</f>
        <v>1.5853658536585367</v>
      </c>
      <c r="AY166" s="93">
        <f>DTC_SalesOverview_ExclTax[[#This Row],[RR]]/DTC_SalesOverview_ExclTax[[#This Row],[GMV]]</f>
        <v>7.60395252688131E-3</v>
      </c>
      <c r="AZ166" s="436">
        <f>DTC_SalesOverview_InTax[[#This Row],[RR]]/$F$1</f>
        <v>1761.0619469026551</v>
      </c>
      <c r="BA166" s="436">
        <f>DTC_SalesOverview_InTax[[#This Row],[MD GMV]]/$F$1</f>
        <v>37632.743362831861</v>
      </c>
      <c r="BB166" s="94">
        <f>DTC_SalesOverview_ExclTax[[#This Row],[MD GMV]]/DTC_SalesOverview_ExclTax[[#This Row],[GMV]]</f>
        <v>0.16249149809328026</v>
      </c>
      <c r="BC166" s="460">
        <f>DTC_SalesOverview_InTax[[#This Row],[GMV_TGT]]/$F$1</f>
        <v>178893.80530973454</v>
      </c>
      <c r="BD166" s="460">
        <f>DTC_SalesOverview_InTax[[#This Row],[NET_TGT]]/$F$1</f>
        <v>175221.23893805311</v>
      </c>
      <c r="BE166" s="431">
        <f>DTC_SalesOverview_InTax[[#This Row],[TRAFFIC_TGT]]</f>
        <v>12260</v>
      </c>
      <c r="BF166" s="431">
        <f>DTC_SalesOverview_InTax[[#This Row],[BUYERS_TGT]]</f>
        <v>37</v>
      </c>
      <c r="BG166" s="104">
        <f>DTC_SalesOverview_InTax[[#This Row],[CVR_TGT]]</f>
        <v>3.0179445350734095E-3</v>
      </c>
      <c r="BH166" s="431">
        <f>DTC_SalesOverview_InTax[[#This Row],[ATV_TGT]]/$F$1</f>
        <v>4834.9677110739058</v>
      </c>
      <c r="BI166" s="432">
        <f>DTC_SalesOverview_InTax[[#This Row],[UPT_TGT]]</f>
        <v>1.027027027027027</v>
      </c>
      <c r="BJ166" s="389">
        <f>DTC_SalesOverview_InTax[[#This Row],[RRC_TGT]]</f>
        <v>2.0529309918377425E-2</v>
      </c>
      <c r="BK166" s="431">
        <f>DTC_SalesOverview_InTax[[#This Row],[UNITS_TGT]]</f>
        <v>38</v>
      </c>
      <c r="BL166" s="28" t="str">
        <f>_xlfn.XLOOKUP(DTC_SalesOverview_ExclTax[[#This Row],[DATE]],全店核心数据_bymonth[开始日期],全店核心数据_bymonth[jda日历.PayYear],"")</f>
        <v>BU26</v>
      </c>
      <c r="BO166" s="28"/>
      <c r="CQ166" s="53"/>
    </row>
    <row r="167" spans="5:95" x14ac:dyDescent="0.3">
      <c r="E167" s="428">
        <v>45870</v>
      </c>
      <c r="F167" s="431">
        <f t="shared" si="23"/>
        <v>1164087.9999999995</v>
      </c>
      <c r="G167" s="431">
        <f t="shared" si="23"/>
        <v>1093237.6099999996</v>
      </c>
      <c r="H167" s="431">
        <f t="shared" si="23"/>
        <v>16847</v>
      </c>
      <c r="I167" s="431">
        <f t="shared" si="23"/>
        <v>394</v>
      </c>
      <c r="J167" s="431">
        <f t="shared" si="23"/>
        <v>1137</v>
      </c>
      <c r="K167" s="92">
        <f>DTC_SalesOverview_InTax[[#This Row],[Buyers]]/DTC_SalesOverview_InTax[[#This Row],[UV]]</f>
        <v>2.3386953166735919E-2</v>
      </c>
      <c r="L167" s="431">
        <f>DTC_SalesOverview_InTax[[#This Row],[GMV]]/DTC_SalesOverview_InTax[[#This Row],[Buyers]]</f>
        <v>2954.5380710659888</v>
      </c>
      <c r="M167" s="431">
        <f>DTC_SalesOverview_InTax[[#This Row],[GMV]]/DTC_SalesOverview_InTax[[#This Row],[Units]]</f>
        <v>1023.8240985048369</v>
      </c>
      <c r="N167" s="432">
        <f>DTC_SalesOverview_InTax[[#This Row],[Units]]/DTC_SalesOverview_InTax[[#This Row],[Buyers]]</f>
        <v>2.8857868020304567</v>
      </c>
      <c r="O167" s="93">
        <f>DTC_SalesOverview_InTax[[#This Row],[RR]]/DTC_SalesOverview_InTax[[#This Row],[GMV]]</f>
        <v>6.0863431286981767E-2</v>
      </c>
      <c r="P167" s="431">
        <f t="shared" si="24"/>
        <v>70850.39</v>
      </c>
      <c r="Q167" s="431">
        <f t="shared" si="24"/>
        <v>970111.07000000018</v>
      </c>
      <c r="R167" s="94">
        <f>DTC_SalesOverview_InTax[[#This Row],[MD GMV]]/DTC_SalesOverview_InTax[[#This Row],[GMV]]</f>
        <v>0.83336575069926033</v>
      </c>
      <c r="S167" s="431">
        <f t="shared" si="25"/>
        <v>931024.68000000017</v>
      </c>
      <c r="T167" s="94">
        <f>DTC_SalesOverview_InTax[[#This Row],[MD NET]]/DTC_SalesOverview_InTax[[#This Row],[NET]]</f>
        <v>0.85162152443694328</v>
      </c>
      <c r="U167" s="431">
        <f>SUMIFS(目标表[gmv],目标表[Date],"&gt;="&amp;$E167,目标表[Date],"&lt;="&amp;EOMONTH($E167,0),目标表[channel],"DTC")+1237113</f>
        <v>1430488</v>
      </c>
      <c r="V167" s="431">
        <f>SUMIFS(目标表[net],目标表[Date],"&gt;="&amp;$E167,目标表[Date],"&lt;="&amp;EOMONTH($E167,0),目标表[channel],"DTC")+1200000</f>
        <v>1368800</v>
      </c>
      <c r="W167" s="431">
        <f>SUMIFS(目标表[uv],目标表[Date],"&gt;="&amp;$E167,目标表[Date],"&lt;="&amp;EOMONTH($E167,0),目标表[channel],"DTC")+3500</f>
        <v>16420</v>
      </c>
      <c r="X167" s="431">
        <f>SUMIFS(目标表[buyers],目标表[Date],"&gt;="&amp;$E167,目标表[Date],"&lt;="&amp;EOMONTH($E167,0),目标表[channel],"DTC")+527</f>
        <v>558</v>
      </c>
      <c r="Y167" s="378">
        <f>DTC_SalesOverview_InTax[[#This Row],[BUYERS_TGT]]/DTC_SalesOverview_InTax[[#This Row],[TRAFFIC_TGT]]</f>
        <v>3.3982947624847749E-2</v>
      </c>
      <c r="Z167" s="379">
        <f>DTC_SalesOverview_InTax[[#This Row],[GMV_TGT]]/DTC_SalesOverview_InTax[[#This Row],[BUYERS_TGT]]</f>
        <v>2563.5985663082438</v>
      </c>
      <c r="AA167" s="380">
        <f>DTC_SalesOverview_InTax[[#This Row],[UNITS_TGT]]/DTC_SalesOverview_InTax[[#This Row],[BUYERS_TGT]]</f>
        <v>2.6487455197132617</v>
      </c>
      <c r="AB167" s="94">
        <f>1-DTC_SalesOverview_InTax[[#This Row],[NET_TGT]]/DTC_SalesOverview_InTax[[#This Row],[GMV_TGT]]</f>
        <v>4.3123745183461848E-2</v>
      </c>
      <c r="AC167" s="381">
        <f>SUMIFS(目标表[gmv_units],目标表[Date],"&gt;="&amp;$E167,目标表[Date],"&lt;="&amp;EOMONTH($E167,0),目标表[channel],"DTC")+1440</f>
        <v>1478</v>
      </c>
      <c r="AD167" s="105">
        <f>DTC_SalesOverview_InTax[[#This Row],[GMV]]/DTC_SalesOverview_InTax[[#This Row],[GMV_TGT]]</f>
        <v>0.81376984637410421</v>
      </c>
      <c r="AE167" s="105">
        <f>DTC_SalesOverview_InTax[[#This Row],[NET]]/DTC_SalesOverview_InTax[[#This Row],[NET_TGT]]</f>
        <v>0.79868323348918735</v>
      </c>
      <c r="AF167" s="105">
        <f>DTC_SalesOverview_InTax[[#This Row],[UV]]/DTC_SalesOverview_InTax[[#This Row],[TRAFFIC_TGT]]</f>
        <v>1.0260048721071864</v>
      </c>
      <c r="AG167" s="105">
        <f>DTC_SalesOverview_InTax[[#This Row],[Buyers]]/DTC_SalesOverview_InTax[[#This Row],[BUYERS_TGT]]</f>
        <v>0.70609318996415771</v>
      </c>
      <c r="AH167" s="105">
        <f>DTC_SalesOverview_InTax[[#This Row],[CR]]/DTC_SalesOverview_InTax[[#This Row],[CVR_TGT]]</f>
        <v>0.68819672221828632</v>
      </c>
      <c r="AI167" s="105">
        <f>DTC_SalesOverview_InTax[[#This Row],[ATV]]/DTC_SalesOverview_InTax[[#This Row],[ATV_TGT]]</f>
        <v>1.1524963814130713</v>
      </c>
      <c r="AJ167" s="105">
        <f>DTC_SalesOverview_InTax[[#This Row],[UPT]]/DTC_SalesOverview_InTax[[#This Row],[UPT_TGT]]</f>
        <v>1.0894919049614309</v>
      </c>
      <c r="AK167" s="105">
        <f>DTC_SalesOverview_InTax[[#This Row],[RRC]]/DTC_SalesOverview_InTax[[#This Row],[RRC_TGT]]</f>
        <v>1.4113670097077553</v>
      </c>
      <c r="AL167" s="28" t="str">
        <f>_xlfn.XLOOKUP(DTC_SalesOverview_InTax[[#This Row],[DATE]],全店核心数据_bymonth[开始日期],全店核心数据_bymonth[jda日历.PayYear],"")</f>
        <v>BU26</v>
      </c>
      <c r="AO167" s="428">
        <f>DTC_SalesOverview_InTax[[#This Row],[DATE]]</f>
        <v>45870</v>
      </c>
      <c r="AP167" s="436">
        <f>DTC_SalesOverview_InTax[[#This Row],[GMV]]/$F$1</f>
        <v>1030166.3716814156</v>
      </c>
      <c r="AQ167" s="436">
        <f>DTC_SalesOverview_ExclTax[[#This Row],[GMV]]-DTC_SalesOverview_ExclTax[[#This Row],[RR]]</f>
        <v>967466.91150442441</v>
      </c>
      <c r="AR167" s="431">
        <f>DTC_SalesOverview_InTax[[#This Row],[UV]]</f>
        <v>16847</v>
      </c>
      <c r="AS167" s="431">
        <f>DTC_SalesOverview_InTax[[#This Row],[Buyers]]</f>
        <v>394</v>
      </c>
      <c r="AT167" s="431">
        <f>DTC_SalesOverview_InTax[[#This Row],[Units]]</f>
        <v>1137</v>
      </c>
      <c r="AU167" s="92">
        <f>DTC_SalesOverview_ExclTax[[#This Row],[Buyers]]/DTC_SalesOverview_ExclTax[[#This Row],[UV]]</f>
        <v>2.3386953166735919E-2</v>
      </c>
      <c r="AV167" s="431">
        <f>DTC_SalesOverview_ExclTax[[#This Row],[GMV]]/DTC_SalesOverview_ExclTax[[#This Row],[Buyers]]</f>
        <v>2614.6354611203442</v>
      </c>
      <c r="AW167" s="431">
        <f>DTC_SalesOverview_ExclTax[[#This Row],[GMV]]/DTC_SalesOverview_ExclTax[[#This Row],[Units]]</f>
        <v>906.03902522551948</v>
      </c>
      <c r="AX167" s="432">
        <f>DTC_SalesOverview_ExclTax[[#This Row],[Units]]/DTC_SalesOverview_ExclTax[[#This Row],[Buyers]]</f>
        <v>2.8857868020304567</v>
      </c>
      <c r="AY167" s="93">
        <f>DTC_SalesOverview_ExclTax[[#This Row],[RR]]/DTC_SalesOverview_ExclTax[[#This Row],[GMV]]</f>
        <v>6.086343128698176E-2</v>
      </c>
      <c r="AZ167" s="436">
        <f>DTC_SalesOverview_InTax[[#This Row],[RR]]/$F$1</f>
        <v>62699.460176991153</v>
      </c>
      <c r="BA167" s="436">
        <f>DTC_SalesOverview_InTax[[#This Row],[MD GMV]]/$F$1</f>
        <v>858505.37168141617</v>
      </c>
      <c r="BB167" s="94">
        <f>DTC_SalesOverview_ExclTax[[#This Row],[MD GMV]]/DTC_SalesOverview_ExclTax[[#This Row],[GMV]]</f>
        <v>0.83336575069926033</v>
      </c>
      <c r="BC167" s="460">
        <f>DTC_SalesOverview_InTax[[#This Row],[GMV_TGT]]/$F$1</f>
        <v>1265918.5840707966</v>
      </c>
      <c r="BD167" s="460">
        <f>DTC_SalesOverview_InTax[[#This Row],[NET_TGT]]/$F$1</f>
        <v>1211327.4336283186</v>
      </c>
      <c r="BE167" s="431">
        <f>DTC_SalesOverview_InTax[[#This Row],[TRAFFIC_TGT]]</f>
        <v>16420</v>
      </c>
      <c r="BF167" s="431">
        <f>DTC_SalesOverview_InTax[[#This Row],[BUYERS_TGT]]</f>
        <v>558</v>
      </c>
      <c r="BG167" s="104">
        <f>DTC_SalesOverview_InTax[[#This Row],[CVR_TGT]]</f>
        <v>3.3982947624847749E-2</v>
      </c>
      <c r="BH167" s="431">
        <f>DTC_SalesOverview_InTax[[#This Row],[ATV_TGT]]/$F$1</f>
        <v>2268.6712976179151</v>
      </c>
      <c r="BI167" s="432">
        <f>DTC_SalesOverview_InTax[[#This Row],[UPT_TGT]]</f>
        <v>2.6487455197132617</v>
      </c>
      <c r="BJ167" s="389">
        <f>DTC_SalesOverview_InTax[[#This Row],[RRC_TGT]]</f>
        <v>4.3123745183461848E-2</v>
      </c>
      <c r="BK167" s="431">
        <f>DTC_SalesOverview_InTax[[#This Row],[UNITS_TGT]]</f>
        <v>1478</v>
      </c>
      <c r="BL167" s="28" t="str">
        <f>_xlfn.XLOOKUP(DTC_SalesOverview_ExclTax[[#This Row],[DATE]],全店核心数据_bymonth[开始日期],全店核心数据_bymonth[jda日历.PayYear],"")</f>
        <v>BU26</v>
      </c>
      <c r="BO167" s="28"/>
      <c r="CQ167" s="53"/>
    </row>
    <row r="168" spans="5:95" x14ac:dyDescent="0.3">
      <c r="E168" s="428">
        <v>45839</v>
      </c>
      <c r="F168" s="431">
        <f t="shared" si="23"/>
        <v>260449</v>
      </c>
      <c r="G168" s="431">
        <f t="shared" si="23"/>
        <v>171034</v>
      </c>
      <c r="H168" s="431">
        <f t="shared" si="23"/>
        <v>27747</v>
      </c>
      <c r="I168" s="431">
        <f t="shared" si="23"/>
        <v>41</v>
      </c>
      <c r="J168" s="431">
        <f t="shared" si="23"/>
        <v>53</v>
      </c>
      <c r="K168" s="92">
        <f>DTC_SalesOverview_InTax[[#This Row],[Buyers]]/DTC_SalesOverview_InTax[[#This Row],[UV]]</f>
        <v>1.4776372220420225E-3</v>
      </c>
      <c r="L168" s="431">
        <f>DTC_SalesOverview_InTax[[#This Row],[GMV]]/DTC_SalesOverview_InTax[[#This Row],[Buyers]]</f>
        <v>6352.4146341463411</v>
      </c>
      <c r="M168" s="431">
        <f>DTC_SalesOverview_InTax[[#This Row],[GMV]]/DTC_SalesOverview_InTax[[#This Row],[Units]]</f>
        <v>4914.132075471698</v>
      </c>
      <c r="N168" s="432">
        <f>DTC_SalesOverview_InTax[[#This Row],[Units]]/DTC_SalesOverview_InTax[[#This Row],[Buyers]]</f>
        <v>1.2926829268292683</v>
      </c>
      <c r="O168" s="93">
        <f>DTC_SalesOverview_InTax[[#This Row],[RR]]/DTC_SalesOverview_InTax[[#This Row],[GMV]]</f>
        <v>0.3433109745094049</v>
      </c>
      <c r="P168" s="431">
        <f t="shared" si="24"/>
        <v>89415</v>
      </c>
      <c r="Q168" s="431">
        <f t="shared" si="24"/>
        <v>68505</v>
      </c>
      <c r="R168" s="94">
        <f>DTC_SalesOverview_InTax[[#This Row],[MD GMV]]/DTC_SalesOverview_InTax[[#This Row],[GMV]]</f>
        <v>0.26302654262446773</v>
      </c>
      <c r="S168" s="431">
        <f t="shared" si="25"/>
        <v>38400</v>
      </c>
      <c r="T168" s="94">
        <f>DTC_SalesOverview_InTax[[#This Row],[MD NET]]/DTC_SalesOverview_InTax[[#This Row],[NET]]</f>
        <v>0.22451676274892712</v>
      </c>
      <c r="U168" s="431">
        <f>SUMIFS(目标表[gmv],目标表[Date],"&gt;="&amp;$E168,目标表[Date],"&lt;="&amp;EOMONTH($E168,0),目标表[channel],"DTC")</f>
        <v>245938</v>
      </c>
      <c r="V168" s="431">
        <f>SUMIFS(目标表[net],目标表[Date],"&gt;="&amp;$E168,目标表[Date],"&lt;="&amp;EOMONTH($E168,0),目标表[channel],"DTC")</f>
        <v>223075</v>
      </c>
      <c r="W168" s="431">
        <f>SUMIFS(目标表[uv],目标表[Date],"&gt;="&amp;$E168,目标表[Date],"&lt;="&amp;EOMONTH($E168,0),目标表[channel],"DTC")</f>
        <v>38730</v>
      </c>
      <c r="X168" s="431">
        <f>SUMIFS(目标表[buyers],目标表[Date],"&gt;="&amp;$E168,目标表[Date],"&lt;="&amp;EOMONTH($E168,0),目标表[channel],"DTC")</f>
        <v>46</v>
      </c>
      <c r="Y168" s="378">
        <f>DTC_SalesOverview_InTax[[#This Row],[BUYERS_TGT]]/DTC_SalesOverview_InTax[[#This Row],[TRAFFIC_TGT]]</f>
        <v>1.1877097856958429E-3</v>
      </c>
      <c r="Z168" s="379">
        <f>DTC_SalesOverview_InTax[[#This Row],[GMV_TGT]]/DTC_SalesOverview_InTax[[#This Row],[BUYERS_TGT]]</f>
        <v>5346.478260869565</v>
      </c>
      <c r="AA168" s="380">
        <f>DTC_SalesOverview_InTax[[#This Row],[UNITS_TGT]]/DTC_SalesOverview_InTax[[#This Row],[BUYERS_TGT]]</f>
        <v>1</v>
      </c>
      <c r="AB168" s="94">
        <f>1-DTC_SalesOverview_InTax[[#This Row],[NET_TGT]]/DTC_SalesOverview_InTax[[#This Row],[GMV_TGT]]</f>
        <v>9.2962453951809021E-2</v>
      </c>
      <c r="AC168" s="381">
        <f>SUMIFS(目标表[gmv_units],目标表[Date],"&gt;="&amp;$E168,目标表[Date],"&lt;="&amp;EOMONTH($E168,0),目标表[channel],"DTC")</f>
        <v>46</v>
      </c>
      <c r="AD168" s="105">
        <f>DTC_SalesOverview_InTax[[#This Row],[GMV]]/DTC_SalesOverview_InTax[[#This Row],[GMV_TGT]]</f>
        <v>1.0590026754710538</v>
      </c>
      <c r="AE168" s="105">
        <f>DTC_SalesOverview_InTax[[#This Row],[NET]]/DTC_SalesOverview_InTax[[#This Row],[NET_TGT]]</f>
        <v>0.76671074750644397</v>
      </c>
      <c r="AF168" s="105">
        <f>DTC_SalesOverview_InTax[[#This Row],[UV]]/DTC_SalesOverview_InTax[[#This Row],[TRAFFIC_TGT]]</f>
        <v>0.71642137877614254</v>
      </c>
      <c r="AG168" s="105">
        <f>DTC_SalesOverview_InTax[[#This Row],[Buyers]]/DTC_SalesOverview_InTax[[#This Row],[BUYERS_TGT]]</f>
        <v>0.89130434782608692</v>
      </c>
      <c r="AH168" s="105">
        <f>DTC_SalesOverview_InTax[[#This Row],[CR]]/DTC_SalesOverview_InTax[[#This Row],[CVR_TGT]]</f>
        <v>1.2441062958627724</v>
      </c>
      <c r="AI168" s="105">
        <f>DTC_SalesOverview_InTax[[#This Row],[ATV]]/DTC_SalesOverview_InTax[[#This Row],[ATV_TGT]]</f>
        <v>1.1881493432114261</v>
      </c>
      <c r="AJ168" s="105">
        <f>DTC_SalesOverview_InTax[[#This Row],[UPT]]/DTC_SalesOverview_InTax[[#This Row],[UPT_TGT]]</f>
        <v>1.2926829268292683</v>
      </c>
      <c r="AK168" s="105">
        <f>DTC_SalesOverview_InTax[[#This Row],[RRC]]/DTC_SalesOverview_InTax[[#This Row],[RRC_TGT]]</f>
        <v>3.6930067991468309</v>
      </c>
      <c r="AL168" s="28" t="str">
        <f>_xlfn.XLOOKUP(DTC_SalesOverview_InTax[[#This Row],[DATE]],全店核心数据_bymonth[开始日期],全店核心数据_bymonth[jda日历.PayYear],"")</f>
        <v>BU26</v>
      </c>
      <c r="AO168" s="428">
        <f>DTC_SalesOverview_InTax[[#This Row],[DATE]]</f>
        <v>45839</v>
      </c>
      <c r="AP168" s="436">
        <f>DTC_SalesOverview_InTax[[#This Row],[GMV]]/$F$1</f>
        <v>230485.84070796461</v>
      </c>
      <c r="AQ168" s="436">
        <f>DTC_SalesOverview_ExclTax[[#This Row],[GMV]]-DTC_SalesOverview_ExclTax[[#This Row],[RR]]</f>
        <v>151357.52212389381</v>
      </c>
      <c r="AR168" s="431">
        <f>DTC_SalesOverview_InTax[[#This Row],[UV]]</f>
        <v>27747</v>
      </c>
      <c r="AS168" s="431">
        <f>DTC_SalesOverview_InTax[[#This Row],[Buyers]]</f>
        <v>41</v>
      </c>
      <c r="AT168" s="431">
        <f>DTC_SalesOverview_InTax[[#This Row],[Units]]</f>
        <v>53</v>
      </c>
      <c r="AU168" s="92">
        <f>DTC_SalesOverview_ExclTax[[#This Row],[Buyers]]/DTC_SalesOverview_ExclTax[[#This Row],[UV]]</f>
        <v>1.4776372220420225E-3</v>
      </c>
      <c r="AV168" s="431">
        <f>DTC_SalesOverview_ExclTax[[#This Row],[GMV]]/DTC_SalesOverview_ExclTax[[#This Row],[Buyers]]</f>
        <v>5621.605870925966</v>
      </c>
      <c r="AW168" s="431">
        <f>DTC_SalesOverview_ExclTax[[#This Row],[GMV]]/DTC_SalesOverview_ExclTax[[#This Row],[Units]]</f>
        <v>4348.7894473200868</v>
      </c>
      <c r="AX168" s="432">
        <f>DTC_SalesOverview_ExclTax[[#This Row],[Units]]/DTC_SalesOverview_ExclTax[[#This Row],[Buyers]]</f>
        <v>1.2926829268292683</v>
      </c>
      <c r="AY168" s="93">
        <f>DTC_SalesOverview_ExclTax[[#This Row],[RR]]/DTC_SalesOverview_ExclTax[[#This Row],[GMV]]</f>
        <v>0.3433109745094049</v>
      </c>
      <c r="AZ168" s="436">
        <f>DTC_SalesOverview_InTax[[#This Row],[RR]]/$F$1</f>
        <v>79128.318584070803</v>
      </c>
      <c r="BA168" s="436">
        <f>DTC_SalesOverview_InTax[[#This Row],[MD GMV]]/$F$1</f>
        <v>60623.893805309737</v>
      </c>
      <c r="BB168" s="94">
        <f>DTC_SalesOverview_ExclTax[[#This Row],[MD GMV]]/DTC_SalesOverview_ExclTax[[#This Row],[GMV]]</f>
        <v>0.26302654262446773</v>
      </c>
      <c r="BC168" s="460">
        <f>DTC_SalesOverview_InTax[[#This Row],[GMV_TGT]]/$F$1</f>
        <v>217644.24778761063</v>
      </c>
      <c r="BD168" s="460">
        <f>DTC_SalesOverview_InTax[[#This Row],[NET_TGT]]/$F$1</f>
        <v>197411.50442477877</v>
      </c>
      <c r="BE168" s="431">
        <f>DTC_SalesOverview_InTax[[#This Row],[TRAFFIC_TGT]]</f>
        <v>38730</v>
      </c>
      <c r="BF168" s="431">
        <f>DTC_SalesOverview_InTax[[#This Row],[BUYERS_TGT]]</f>
        <v>46</v>
      </c>
      <c r="BG168" s="104">
        <f>DTC_SalesOverview_InTax[[#This Row],[CVR_TGT]]</f>
        <v>1.1877097856958429E-3</v>
      </c>
      <c r="BH168" s="431">
        <f>DTC_SalesOverview_InTax[[#This Row],[ATV_TGT]]/$F$1</f>
        <v>4731.3966910350136</v>
      </c>
      <c r="BI168" s="432">
        <f>DTC_SalesOverview_InTax[[#This Row],[UPT_TGT]]</f>
        <v>1</v>
      </c>
      <c r="BJ168" s="389">
        <f>DTC_SalesOverview_InTax[[#This Row],[RRC_TGT]]</f>
        <v>9.2962453951809021E-2</v>
      </c>
      <c r="BK168" s="431">
        <f>DTC_SalesOverview_InTax[[#This Row],[UNITS_TGT]]</f>
        <v>46</v>
      </c>
      <c r="BL168" s="28" t="str">
        <f>_xlfn.XLOOKUP(DTC_SalesOverview_ExclTax[[#This Row],[DATE]],全店核心数据_bymonth[开始日期],全店核心数据_bymonth[jda日历.PayYear],"")</f>
        <v>BU26</v>
      </c>
      <c r="BO168" s="28"/>
      <c r="CQ168" s="53"/>
    </row>
    <row r="169" spans="5:95" x14ac:dyDescent="0.3">
      <c r="E169" s="428">
        <v>45809</v>
      </c>
      <c r="F169" s="431">
        <f t="shared" si="23"/>
        <v>171655</v>
      </c>
      <c r="G169" s="431">
        <f t="shared" si="23"/>
        <v>129861.42</v>
      </c>
      <c r="H169" s="431">
        <f t="shared" si="23"/>
        <v>54152</v>
      </c>
      <c r="I169" s="431">
        <f t="shared" si="23"/>
        <v>27</v>
      </c>
      <c r="J169" s="431">
        <f t="shared" si="23"/>
        <v>42</v>
      </c>
      <c r="K169" s="92">
        <f>DTC_SalesOverview_InTax[[#This Row],[Buyers]]/DTC_SalesOverview_InTax[[#This Row],[UV]]</f>
        <v>4.9859654306396806E-4</v>
      </c>
      <c r="L169" s="431">
        <f>DTC_SalesOverview_InTax[[#This Row],[GMV]]/DTC_SalesOverview_InTax[[#This Row],[Buyers]]</f>
        <v>6357.5925925925922</v>
      </c>
      <c r="M169" s="431">
        <f>DTC_SalesOverview_InTax[[#This Row],[GMV]]/DTC_SalesOverview_InTax[[#This Row],[Units]]</f>
        <v>4087.0238095238096</v>
      </c>
      <c r="N169" s="432">
        <f>DTC_SalesOverview_InTax[[#This Row],[Units]]/DTC_SalesOverview_InTax[[#This Row],[Buyers]]</f>
        <v>1.5555555555555556</v>
      </c>
      <c r="O169" s="93">
        <f>DTC_SalesOverview_InTax[[#This Row],[RR]]/DTC_SalesOverview_InTax[[#This Row],[GMV]]</f>
        <v>0.24347429436952026</v>
      </c>
      <c r="P169" s="431">
        <f t="shared" si="24"/>
        <v>41793.58</v>
      </c>
      <c r="Q169" s="431">
        <f t="shared" si="24"/>
        <v>13395</v>
      </c>
      <c r="R169" s="94">
        <f>DTC_SalesOverview_InTax[[#This Row],[MD GMV]]/DTC_SalesOverview_InTax[[#This Row],[GMV]]</f>
        <v>7.8034429524336604E-2</v>
      </c>
      <c r="S169" s="431">
        <f t="shared" si="25"/>
        <v>5805</v>
      </c>
      <c r="T169" s="94">
        <f>DTC_SalesOverview_InTax[[#This Row],[MD NET]]/DTC_SalesOverview_InTax[[#This Row],[NET]]</f>
        <v>4.4701497950661563E-2</v>
      </c>
      <c r="U169" s="431">
        <f>SUMIFS(目标表[gmv],目标表[Date],"&gt;="&amp;$E169,目标表[Date],"&lt;="&amp;EOMONTH($E169,0),目标表[channel],"DTC")</f>
        <v>306339</v>
      </c>
      <c r="V169" s="431">
        <f>SUMIFS(目标表[net],目标表[Date],"&gt;="&amp;$E169,目标表[Date],"&lt;="&amp;EOMONTH($E169,0),目标表[channel],"DTC")</f>
        <v>260951</v>
      </c>
      <c r="W169" s="431">
        <f>SUMIFS(目标表[uv],目标表[Date],"&gt;="&amp;$E169,目标表[Date],"&lt;="&amp;EOMONTH($E169,0),目标表[channel],"DTC")</f>
        <v>60560</v>
      </c>
      <c r="X169" s="431">
        <f>SUMIFS(目标表[buyers],目标表[Date],"&gt;="&amp;$E169,目标表[Date],"&lt;="&amp;EOMONTH($E169,0),目标表[channel],"DTC")</f>
        <v>72</v>
      </c>
      <c r="Y169" s="378">
        <f>DTC_SalesOverview_InTax[[#This Row],[BUYERS_TGT]]/DTC_SalesOverview_InTax[[#This Row],[TRAFFIC_TGT]]</f>
        <v>1.1889035667107001E-3</v>
      </c>
      <c r="Z169" s="379">
        <f>DTC_SalesOverview_InTax[[#This Row],[GMV_TGT]]/DTC_SalesOverview_InTax[[#This Row],[BUYERS_TGT]]</f>
        <v>4254.708333333333</v>
      </c>
      <c r="AA169" s="380">
        <f>DTC_SalesOverview_InTax[[#This Row],[UNITS_TGT]]/DTC_SalesOverview_InTax[[#This Row],[BUYERS_TGT]]</f>
        <v>1.1111111111111112</v>
      </c>
      <c r="AB169" s="94">
        <f>1-DTC_SalesOverview_InTax[[#This Row],[NET_TGT]]/DTC_SalesOverview_InTax[[#This Row],[GMV_TGT]]</f>
        <v>0.14816265640352677</v>
      </c>
      <c r="AC169" s="381">
        <f>SUMIFS(目标表[gmv_units],目标表[Date],"&gt;="&amp;$E169,目标表[Date],"&lt;="&amp;EOMONTH($E169,0),目标表[channel],"DTC")</f>
        <v>80</v>
      </c>
      <c r="AD169" s="105">
        <f>DTC_SalesOverview_InTax[[#This Row],[GMV]]/DTC_SalesOverview_InTax[[#This Row],[GMV_TGT]]</f>
        <v>0.56034327983051457</v>
      </c>
      <c r="AE169" s="105">
        <f>DTC_SalesOverview_InTax[[#This Row],[NET]]/DTC_SalesOverview_InTax[[#This Row],[NET_TGT]]</f>
        <v>0.49764676126935709</v>
      </c>
      <c r="AF169" s="105">
        <f>DTC_SalesOverview_InTax[[#This Row],[UV]]/DTC_SalesOverview_InTax[[#This Row],[TRAFFIC_TGT]]</f>
        <v>0.89418758256274766</v>
      </c>
      <c r="AG169" s="105">
        <f>DTC_SalesOverview_InTax[[#This Row],[Buyers]]/DTC_SalesOverview_InTax[[#This Row],[BUYERS_TGT]]</f>
        <v>0.375</v>
      </c>
      <c r="AH169" s="105">
        <f>DTC_SalesOverview_InTax[[#This Row],[CR]]/DTC_SalesOverview_InTax[[#This Row],[CVR_TGT]]</f>
        <v>0.41937509233269316</v>
      </c>
      <c r="AI169" s="105">
        <f>DTC_SalesOverview_InTax[[#This Row],[ATV]]/DTC_SalesOverview_InTax[[#This Row],[ATV_TGT]]</f>
        <v>1.4942487462147056</v>
      </c>
      <c r="AJ169" s="105">
        <f>DTC_SalesOverview_InTax[[#This Row],[UPT]]/DTC_SalesOverview_InTax[[#This Row],[UPT_TGT]]</f>
        <v>1.4</v>
      </c>
      <c r="AK169" s="105">
        <f>DTC_SalesOverview_InTax[[#This Row],[RRC]]/DTC_SalesOverview_InTax[[#This Row],[RRC_TGT]]</f>
        <v>1.6432905583604585</v>
      </c>
      <c r="AL169" s="28" t="str">
        <f>_xlfn.XLOOKUP(DTC_SalesOverview_InTax[[#This Row],[DATE]],全店核心数据_bymonth[开始日期],全店核心数据_bymonth[jda日历.PayYear],"")</f>
        <v>BU26</v>
      </c>
      <c r="AO169" s="428">
        <f>DTC_SalesOverview_InTax[[#This Row],[DATE]]</f>
        <v>45809</v>
      </c>
      <c r="AP169" s="436">
        <f>DTC_SalesOverview_InTax[[#This Row],[GMV]]/$F$1</f>
        <v>151907.07964601772</v>
      </c>
      <c r="AQ169" s="436">
        <f>DTC_SalesOverview_ExclTax[[#This Row],[GMV]]-DTC_SalesOverview_ExclTax[[#This Row],[RR]]</f>
        <v>114921.61061946905</v>
      </c>
      <c r="AR169" s="431">
        <f>DTC_SalesOverview_InTax[[#This Row],[UV]]</f>
        <v>54152</v>
      </c>
      <c r="AS169" s="431">
        <f>DTC_SalesOverview_InTax[[#This Row],[Buyers]]</f>
        <v>27</v>
      </c>
      <c r="AT169" s="431">
        <f>DTC_SalesOverview_InTax[[#This Row],[Units]]</f>
        <v>42</v>
      </c>
      <c r="AU169" s="92">
        <f>DTC_SalesOverview_ExclTax[[#This Row],[Buyers]]/DTC_SalesOverview_ExclTax[[#This Row],[UV]]</f>
        <v>4.9859654306396806E-4</v>
      </c>
      <c r="AV169" s="431">
        <f>DTC_SalesOverview_ExclTax[[#This Row],[GMV]]/DTC_SalesOverview_ExclTax[[#This Row],[Buyers]]</f>
        <v>5626.1881350376934</v>
      </c>
      <c r="AW169" s="431">
        <f>DTC_SalesOverview_ExclTax[[#This Row],[GMV]]/DTC_SalesOverview_ExclTax[[#This Row],[Units]]</f>
        <v>3616.8352296670887</v>
      </c>
      <c r="AX169" s="432">
        <f>DTC_SalesOverview_ExclTax[[#This Row],[Units]]/DTC_SalesOverview_ExclTax[[#This Row],[Buyers]]</f>
        <v>1.5555555555555556</v>
      </c>
      <c r="AY169" s="93">
        <f>DTC_SalesOverview_ExclTax[[#This Row],[RR]]/DTC_SalesOverview_ExclTax[[#This Row],[GMV]]</f>
        <v>0.24347429436952026</v>
      </c>
      <c r="AZ169" s="436">
        <f>DTC_SalesOverview_InTax[[#This Row],[RR]]/$F$1</f>
        <v>36985.469026548679</v>
      </c>
      <c r="BA169" s="436">
        <f>DTC_SalesOverview_InTax[[#This Row],[MD GMV]]/$F$1</f>
        <v>11853.982300884956</v>
      </c>
      <c r="BB169" s="94">
        <f>DTC_SalesOverview_ExclTax[[#This Row],[MD GMV]]/DTC_SalesOverview_ExclTax[[#This Row],[GMV]]</f>
        <v>7.803442952433659E-2</v>
      </c>
      <c r="BC169" s="460">
        <f>DTC_SalesOverview_InTax[[#This Row],[GMV_TGT]]/$F$1</f>
        <v>271096.46017699118</v>
      </c>
      <c r="BD169" s="460">
        <f>DTC_SalesOverview_InTax[[#This Row],[NET_TGT]]/$F$1</f>
        <v>230930.08849557524</v>
      </c>
      <c r="BE169" s="431">
        <f>DTC_SalesOverview_InTax[[#This Row],[TRAFFIC_TGT]]</f>
        <v>60560</v>
      </c>
      <c r="BF169" s="431">
        <f>DTC_SalesOverview_InTax[[#This Row],[BUYERS_TGT]]</f>
        <v>72</v>
      </c>
      <c r="BG169" s="104">
        <f>DTC_SalesOverview_InTax[[#This Row],[CVR_TGT]]</f>
        <v>1.1889035667107001E-3</v>
      </c>
      <c r="BH169" s="431">
        <f>DTC_SalesOverview_InTax[[#This Row],[ATV_TGT]]/$F$1</f>
        <v>3765.2286135693216</v>
      </c>
      <c r="BI169" s="432">
        <f>DTC_SalesOverview_InTax[[#This Row],[UPT_TGT]]</f>
        <v>1.1111111111111112</v>
      </c>
      <c r="BJ169" s="389">
        <f>DTC_SalesOverview_InTax[[#This Row],[RRC_TGT]]</f>
        <v>0.14816265640352677</v>
      </c>
      <c r="BK169" s="431">
        <f>DTC_SalesOverview_InTax[[#This Row],[UNITS_TGT]]</f>
        <v>80</v>
      </c>
      <c r="BL169" s="28" t="str">
        <f>_xlfn.XLOOKUP(DTC_SalesOverview_ExclTax[[#This Row],[DATE]],全店核心数据_bymonth[开始日期],全店核心数据_bymonth[jda日历.PayYear],"")</f>
        <v>BU26</v>
      </c>
      <c r="BO169" s="28"/>
      <c r="CQ169" s="53"/>
    </row>
    <row r="170" spans="5:95" x14ac:dyDescent="0.3">
      <c r="E170" s="428">
        <v>45778</v>
      </c>
      <c r="F170" s="431">
        <f t="shared" si="23"/>
        <v>106235</v>
      </c>
      <c r="G170" s="431">
        <f t="shared" si="23"/>
        <v>76245</v>
      </c>
      <c r="H170" s="431">
        <f t="shared" si="23"/>
        <v>10938</v>
      </c>
      <c r="I170" s="431">
        <f t="shared" si="23"/>
        <v>18</v>
      </c>
      <c r="J170" s="431">
        <f t="shared" si="23"/>
        <v>23</v>
      </c>
      <c r="K170" s="92">
        <f>DTC_SalesOverview_InTax[[#This Row],[Buyers]]/DTC_SalesOverview_InTax[[#This Row],[UV]]</f>
        <v>1.6456390565002743E-3</v>
      </c>
      <c r="L170" s="431">
        <f>DTC_SalesOverview_InTax[[#This Row],[GMV]]/DTC_SalesOverview_InTax[[#This Row],[Buyers]]</f>
        <v>5901.9444444444443</v>
      </c>
      <c r="M170" s="431">
        <f>DTC_SalesOverview_InTax[[#This Row],[GMV]]/DTC_SalesOverview_InTax[[#This Row],[Units]]</f>
        <v>4618.913043478261</v>
      </c>
      <c r="N170" s="432">
        <f>DTC_SalesOverview_InTax[[#This Row],[Units]]/DTC_SalesOverview_InTax[[#This Row],[Buyers]]</f>
        <v>1.2777777777777777</v>
      </c>
      <c r="O170" s="93">
        <f>DTC_SalesOverview_InTax[[#This Row],[RR]]/DTC_SalesOverview_InTax[[#This Row],[GMV]]</f>
        <v>0.28229867746034737</v>
      </c>
      <c r="P170" s="431">
        <f t="shared" si="24"/>
        <v>29990</v>
      </c>
      <c r="Q170" s="431">
        <f t="shared" si="24"/>
        <v>12760</v>
      </c>
      <c r="R170" s="94">
        <f>DTC_SalesOverview_InTax[[#This Row],[MD GMV]]/DTC_SalesOverview_InTax[[#This Row],[GMV]]</f>
        <v>0.12011107450463594</v>
      </c>
      <c r="S170" s="431">
        <f t="shared" si="25"/>
        <v>5795</v>
      </c>
      <c r="T170" s="94">
        <f>DTC_SalesOverview_InTax[[#This Row],[MD NET]]/DTC_SalesOverview_InTax[[#This Row],[NET]]</f>
        <v>7.6004983933372683E-2</v>
      </c>
      <c r="U170" s="431">
        <f>SUMIFS(目标表[gmv],目标表[Date],"&gt;="&amp;$E170,目标表[Date],"&lt;="&amp;EOMONTH($E170,0),目标表[channel],"DTC")</f>
        <v>180702</v>
      </c>
      <c r="V170" s="431">
        <f>SUMIFS(目标表[net],目标表[Date],"&gt;="&amp;$E170,目标表[Date],"&lt;="&amp;EOMONTH($E170,0),目标表[channel],"DTC")</f>
        <v>157429</v>
      </c>
      <c r="W170" s="431">
        <f>SUMIFS(目标表[uv],目标表[Date],"&gt;="&amp;$E170,目标表[Date],"&lt;="&amp;EOMONTH($E170,0),目标表[channel],"DTC")</f>
        <v>14190</v>
      </c>
      <c r="X170" s="431">
        <f>SUMIFS(目标表[buyers],目标表[Date],"&gt;="&amp;$E170,目标表[Date],"&lt;="&amp;EOMONTH($E170,0),目标表[channel],"DTC")</f>
        <v>37</v>
      </c>
      <c r="Y170" s="378">
        <f>DTC_SalesOverview_InTax[[#This Row],[BUYERS_TGT]]/DTC_SalesOverview_InTax[[#This Row],[TRAFFIC_TGT]]</f>
        <v>2.6074700493305143E-3</v>
      </c>
      <c r="Z170" s="379">
        <f>DTC_SalesOverview_InTax[[#This Row],[GMV_TGT]]/DTC_SalesOverview_InTax[[#This Row],[BUYERS_TGT]]</f>
        <v>4883.8378378378375</v>
      </c>
      <c r="AA170" s="380">
        <f>DTC_SalesOverview_InTax[[#This Row],[UNITS_TGT]]/DTC_SalesOverview_InTax[[#This Row],[BUYERS_TGT]]</f>
        <v>1.2162162162162162</v>
      </c>
      <c r="AB170" s="94">
        <f>1-DTC_SalesOverview_InTax[[#This Row],[NET_TGT]]/DTC_SalesOverview_InTax[[#This Row],[GMV_TGT]]</f>
        <v>0.12879215503978925</v>
      </c>
      <c r="AC170" s="381">
        <f>SUMIFS(目标表[gmv_units],目标表[Date],"&gt;="&amp;$E170,目标表[Date],"&lt;="&amp;EOMONTH($E170,0),目标表[channel],"DTC")</f>
        <v>45</v>
      </c>
      <c r="AD170" s="105">
        <f>DTC_SalesOverview_InTax[[#This Row],[GMV]]/DTC_SalesOverview_InTax[[#This Row],[GMV_TGT]]</f>
        <v>0.58790162809487445</v>
      </c>
      <c r="AE170" s="105">
        <f>DTC_SalesOverview_InTax[[#This Row],[NET]]/DTC_SalesOverview_InTax[[#This Row],[NET_TGT]]</f>
        <v>0.4843135635746908</v>
      </c>
      <c r="AF170" s="105">
        <f>DTC_SalesOverview_InTax[[#This Row],[UV]]/DTC_SalesOverview_InTax[[#This Row],[TRAFFIC_TGT]]</f>
        <v>0.77082452431289639</v>
      </c>
      <c r="AG170" s="105">
        <f>DTC_SalesOverview_InTax[[#This Row],[Buyers]]/DTC_SalesOverview_InTax[[#This Row],[BUYERS_TGT]]</f>
        <v>0.48648648648648651</v>
      </c>
      <c r="AH170" s="105">
        <f>DTC_SalesOverview_InTax[[#This Row],[CR]]/DTC_SalesOverview_InTax[[#This Row],[CVR_TGT]]</f>
        <v>0.63112481653348362</v>
      </c>
      <c r="AI170" s="105">
        <f>DTC_SalesOverview_InTax[[#This Row],[ATV]]/DTC_SalesOverview_InTax[[#This Row],[ATV_TGT]]</f>
        <v>1.2084644577505752</v>
      </c>
      <c r="AJ170" s="105">
        <f>DTC_SalesOverview_InTax[[#This Row],[UPT]]/DTC_SalesOverview_InTax[[#This Row],[UPT_TGT]]</f>
        <v>1.0506172839506172</v>
      </c>
      <c r="AK170" s="105">
        <f>DTC_SalesOverview_InTax[[#This Row],[RRC]]/DTC_SalesOverview_InTax[[#This Row],[RRC_TGT]]</f>
        <v>2.1918934221819146</v>
      </c>
      <c r="AL170" s="28" t="str">
        <f>_xlfn.XLOOKUP(DTC_SalesOverview_InTax[[#This Row],[DATE]],全店核心数据_bymonth[开始日期],全店核心数据_bymonth[jda日历.PayYear],"")</f>
        <v>BU26</v>
      </c>
      <c r="AO170" s="428">
        <f>DTC_SalesOverview_InTax[[#This Row],[DATE]]</f>
        <v>45778</v>
      </c>
      <c r="AP170" s="436">
        <f>DTC_SalesOverview_InTax[[#This Row],[GMV]]/$F$1</f>
        <v>94013.274336283197</v>
      </c>
      <c r="AQ170" s="436">
        <f>DTC_SalesOverview_ExclTax[[#This Row],[GMV]]-DTC_SalesOverview_ExclTax[[#This Row],[RR]]</f>
        <v>67473.451327433635</v>
      </c>
      <c r="AR170" s="431">
        <f>DTC_SalesOverview_InTax[[#This Row],[UV]]</f>
        <v>10938</v>
      </c>
      <c r="AS170" s="431">
        <f>DTC_SalesOverview_InTax[[#This Row],[Buyers]]</f>
        <v>18</v>
      </c>
      <c r="AT170" s="431">
        <f>DTC_SalesOverview_InTax[[#This Row],[Units]]</f>
        <v>23</v>
      </c>
      <c r="AU170" s="92">
        <f>DTC_SalesOverview_ExclTax[[#This Row],[Buyers]]/DTC_SalesOverview_ExclTax[[#This Row],[UV]]</f>
        <v>1.6456390565002743E-3</v>
      </c>
      <c r="AV170" s="431">
        <f>DTC_SalesOverview_ExclTax[[#This Row],[GMV]]/DTC_SalesOverview_ExclTax[[#This Row],[Buyers]]</f>
        <v>5222.9596853490666</v>
      </c>
      <c r="AW170" s="431">
        <f>DTC_SalesOverview_ExclTax[[#This Row],[GMV]]/DTC_SalesOverview_ExclTax[[#This Row],[Units]]</f>
        <v>4087.5336667949218</v>
      </c>
      <c r="AX170" s="432">
        <f>DTC_SalesOverview_ExclTax[[#This Row],[Units]]/DTC_SalesOverview_ExclTax[[#This Row],[Buyers]]</f>
        <v>1.2777777777777777</v>
      </c>
      <c r="AY170" s="93">
        <f>DTC_SalesOverview_ExclTax[[#This Row],[RR]]/DTC_SalesOverview_ExclTax[[#This Row],[GMV]]</f>
        <v>0.28229867746034731</v>
      </c>
      <c r="AZ170" s="436">
        <f>DTC_SalesOverview_InTax[[#This Row],[RR]]/$F$1</f>
        <v>26539.823008849558</v>
      </c>
      <c r="BA170" s="436">
        <f>DTC_SalesOverview_InTax[[#This Row],[MD GMV]]/$F$1</f>
        <v>11292.035398230089</v>
      </c>
      <c r="BB170" s="94">
        <f>DTC_SalesOverview_ExclTax[[#This Row],[MD GMV]]/DTC_SalesOverview_ExclTax[[#This Row],[GMV]]</f>
        <v>0.12011107450463594</v>
      </c>
      <c r="BC170" s="460">
        <f>DTC_SalesOverview_InTax[[#This Row],[GMV_TGT]]/$F$1</f>
        <v>159913.27433628321</v>
      </c>
      <c r="BD170" s="460">
        <f>DTC_SalesOverview_InTax[[#This Row],[NET_TGT]]/$F$1</f>
        <v>139317.69911504426</v>
      </c>
      <c r="BE170" s="431">
        <f>DTC_SalesOverview_InTax[[#This Row],[TRAFFIC_TGT]]</f>
        <v>14190</v>
      </c>
      <c r="BF170" s="431">
        <f>DTC_SalesOverview_InTax[[#This Row],[BUYERS_TGT]]</f>
        <v>37</v>
      </c>
      <c r="BG170" s="104">
        <f>DTC_SalesOverview_InTax[[#This Row],[CVR_TGT]]</f>
        <v>2.6074700493305143E-3</v>
      </c>
      <c r="BH170" s="431">
        <f>DTC_SalesOverview_InTax[[#This Row],[ATV_TGT]]/$F$1</f>
        <v>4321.9803874671134</v>
      </c>
      <c r="BI170" s="432">
        <f>DTC_SalesOverview_InTax[[#This Row],[UPT_TGT]]</f>
        <v>1.2162162162162162</v>
      </c>
      <c r="BJ170" s="389">
        <f>DTC_SalesOverview_InTax[[#This Row],[RRC_TGT]]</f>
        <v>0.12879215503978925</v>
      </c>
      <c r="BK170" s="431">
        <f>DTC_SalesOverview_InTax[[#This Row],[UNITS_TGT]]</f>
        <v>45</v>
      </c>
      <c r="BL170" s="28" t="str">
        <f>_xlfn.XLOOKUP(DTC_SalesOverview_ExclTax[[#This Row],[DATE]],全店核心数据_bymonth[开始日期],全店核心数据_bymonth[jda日历.PayYear],"")</f>
        <v>BU26</v>
      </c>
      <c r="BO170" s="28"/>
      <c r="CQ170" s="53"/>
    </row>
    <row r="171" spans="5:95" x14ac:dyDescent="0.3">
      <c r="E171" s="428">
        <v>45748</v>
      </c>
      <c r="F171" s="431">
        <f t="shared" si="23"/>
        <v>182960</v>
      </c>
      <c r="G171" s="431">
        <f t="shared" si="23"/>
        <v>180760</v>
      </c>
      <c r="H171" s="431">
        <f t="shared" si="23"/>
        <v>9878</v>
      </c>
      <c r="I171" s="431">
        <f t="shared" si="23"/>
        <v>25</v>
      </c>
      <c r="J171" s="431">
        <f t="shared" si="23"/>
        <v>34</v>
      </c>
      <c r="K171" s="92">
        <f>DTC_SalesOverview_InTax[[#This Row],[Buyers]]/DTC_SalesOverview_InTax[[#This Row],[UV]]</f>
        <v>2.5308766956873862E-3</v>
      </c>
      <c r="L171" s="431">
        <f>DTC_SalesOverview_InTax[[#This Row],[GMV]]/DTC_SalesOverview_InTax[[#This Row],[Buyers]]</f>
        <v>7318.4</v>
      </c>
      <c r="M171" s="431">
        <f>DTC_SalesOverview_InTax[[#This Row],[GMV]]/DTC_SalesOverview_InTax[[#This Row],[Units]]</f>
        <v>5381.1764705882351</v>
      </c>
      <c r="N171" s="432">
        <f>DTC_SalesOverview_InTax[[#This Row],[Units]]/DTC_SalesOverview_InTax[[#This Row],[Buyers]]</f>
        <v>1.36</v>
      </c>
      <c r="O171" s="93">
        <f>DTC_SalesOverview_InTax[[#This Row],[RR]]/DTC_SalesOverview_InTax[[#This Row],[GMV]]</f>
        <v>1.2024486226497596E-2</v>
      </c>
      <c r="P171" s="431">
        <f t="shared" si="24"/>
        <v>2200</v>
      </c>
      <c r="Q171" s="431">
        <f t="shared" si="24"/>
        <v>0</v>
      </c>
      <c r="R171" s="94">
        <f>DTC_SalesOverview_InTax[[#This Row],[MD GMV]]/DTC_SalesOverview_InTax[[#This Row],[GMV]]</f>
        <v>0</v>
      </c>
      <c r="S171" s="431">
        <f t="shared" si="25"/>
        <v>0</v>
      </c>
      <c r="T171" s="94">
        <f>DTC_SalesOverview_InTax[[#This Row],[MD NET]]/DTC_SalesOverview_InTax[[#This Row],[NET]]</f>
        <v>0</v>
      </c>
      <c r="U171" s="431">
        <f>SUMIFS(目标表[gmv],目标表[Date],"&gt;="&amp;$E171,目标表[Date],"&lt;="&amp;EOMONTH($E171,0),目标表[channel],"DTC")</f>
        <v>177868</v>
      </c>
      <c r="V171" s="431">
        <f>SUMIFS(目标表[net],目标表[Date],"&gt;="&amp;$E171,目标表[Date],"&lt;="&amp;EOMONTH($E171,0),目标表[channel],"DTC")</f>
        <v>163065</v>
      </c>
      <c r="W171" s="431">
        <f>SUMIFS(目标表[uv],目标表[Date],"&gt;="&amp;$E171,目标表[Date],"&lt;="&amp;EOMONTH($E171,0),目标表[channel],"DTC")</f>
        <v>12120</v>
      </c>
      <c r="X171" s="431">
        <f>SUMIFS(目标表[buyers],目标表[Date],"&gt;="&amp;$E171,目标表[Date],"&lt;="&amp;EOMONTH($E171,0),目标表[channel],"DTC")</f>
        <v>34</v>
      </c>
      <c r="Y171" s="378">
        <f>DTC_SalesOverview_InTax[[#This Row],[BUYERS_TGT]]/DTC_SalesOverview_InTax[[#This Row],[TRAFFIC_TGT]]</f>
        <v>2.8052805280528053E-3</v>
      </c>
      <c r="Z171" s="379">
        <f>DTC_SalesOverview_InTax[[#This Row],[GMV_TGT]]/DTC_SalesOverview_InTax[[#This Row],[BUYERS_TGT]]</f>
        <v>5231.411764705882</v>
      </c>
      <c r="AA171" s="380">
        <f>DTC_SalesOverview_InTax[[#This Row],[UNITS_TGT]]/DTC_SalesOverview_InTax[[#This Row],[BUYERS_TGT]]</f>
        <v>1.1764705882352942</v>
      </c>
      <c r="AB171" s="94">
        <f>1-DTC_SalesOverview_InTax[[#This Row],[NET_TGT]]/DTC_SalesOverview_InTax[[#This Row],[GMV_TGT]]</f>
        <v>8.3224638495963288E-2</v>
      </c>
      <c r="AC171" s="381">
        <f>SUMIFS(目标表[gmv_units],目标表[Date],"&gt;="&amp;$E171,目标表[Date],"&lt;="&amp;EOMONTH($E171,0),目标表[channel],"DTC")</f>
        <v>40</v>
      </c>
      <c r="AD171" s="105">
        <f>DTC_SalesOverview_InTax[[#This Row],[GMV]]/DTC_SalesOverview_InTax[[#This Row],[GMV_TGT]]</f>
        <v>1.028627971304563</v>
      </c>
      <c r="AE171" s="105">
        <f>DTC_SalesOverview_InTax[[#This Row],[NET]]/DTC_SalesOverview_InTax[[#This Row],[NET_TGT]]</f>
        <v>1.1085150093520988</v>
      </c>
      <c r="AF171" s="105">
        <f>DTC_SalesOverview_InTax[[#This Row],[UV]]/DTC_SalesOverview_InTax[[#This Row],[TRAFFIC_TGT]]</f>
        <v>0.81501650165016504</v>
      </c>
      <c r="AG171" s="105">
        <f>DTC_SalesOverview_InTax[[#This Row],[Buyers]]/DTC_SalesOverview_InTax[[#This Row],[BUYERS_TGT]]</f>
        <v>0.73529411764705888</v>
      </c>
      <c r="AH171" s="105">
        <f>DTC_SalesOverview_InTax[[#This Row],[CR]]/DTC_SalesOverview_InTax[[#This Row],[CVR_TGT]]</f>
        <v>0.90218310446268002</v>
      </c>
      <c r="AI171" s="105">
        <f>DTC_SalesOverview_InTax[[#This Row],[ATV]]/DTC_SalesOverview_InTax[[#This Row],[ATV_TGT]]</f>
        <v>1.3989340409742057</v>
      </c>
      <c r="AJ171" s="105">
        <f>DTC_SalesOverview_InTax[[#This Row],[UPT]]/DTC_SalesOverview_InTax[[#This Row],[UPT_TGT]]</f>
        <v>1.1560000000000001</v>
      </c>
      <c r="AK171" s="105">
        <f>DTC_SalesOverview_InTax[[#This Row],[RRC]]/DTC_SalesOverview_InTax[[#This Row],[RRC_TGT]]</f>
        <v>0.14448228846414068</v>
      </c>
      <c r="AL171" s="28" t="str">
        <f>_xlfn.XLOOKUP(DTC_SalesOverview_InTax[[#This Row],[DATE]],全店核心数据_bymonth[开始日期],全店核心数据_bymonth[jda日历.PayYear],"")</f>
        <v>BU26</v>
      </c>
      <c r="AO171" s="428">
        <f>DTC_SalesOverview_InTax[[#This Row],[DATE]]</f>
        <v>45748</v>
      </c>
      <c r="AP171" s="436">
        <f>DTC_SalesOverview_InTax[[#This Row],[GMV]]/$F$1</f>
        <v>161911.50442477877</v>
      </c>
      <c r="AQ171" s="436">
        <f>DTC_SalesOverview_ExclTax[[#This Row],[GMV]]-DTC_SalesOverview_ExclTax[[#This Row],[RR]]</f>
        <v>159964.6017699115</v>
      </c>
      <c r="AR171" s="431">
        <f>DTC_SalesOverview_InTax[[#This Row],[UV]]</f>
        <v>9878</v>
      </c>
      <c r="AS171" s="431">
        <f>DTC_SalesOverview_InTax[[#This Row],[Buyers]]</f>
        <v>25</v>
      </c>
      <c r="AT171" s="431">
        <f>DTC_SalesOverview_InTax[[#This Row],[Units]]</f>
        <v>34</v>
      </c>
      <c r="AU171" s="92">
        <f>DTC_SalesOverview_ExclTax[[#This Row],[Buyers]]/DTC_SalesOverview_ExclTax[[#This Row],[UV]]</f>
        <v>2.5308766956873862E-3</v>
      </c>
      <c r="AV171" s="431">
        <f>DTC_SalesOverview_ExclTax[[#This Row],[GMV]]/DTC_SalesOverview_ExclTax[[#This Row],[Buyers]]</f>
        <v>6476.4601769911505</v>
      </c>
      <c r="AW171" s="431">
        <f>DTC_SalesOverview_ExclTax[[#This Row],[GMV]]/DTC_SalesOverview_ExclTax[[#This Row],[Units]]</f>
        <v>4762.103071317023</v>
      </c>
      <c r="AX171" s="432">
        <f>DTC_SalesOverview_ExclTax[[#This Row],[Units]]/DTC_SalesOverview_ExclTax[[#This Row],[Buyers]]</f>
        <v>1.36</v>
      </c>
      <c r="AY171" s="93">
        <f>DTC_SalesOverview_ExclTax[[#This Row],[RR]]/DTC_SalesOverview_ExclTax[[#This Row],[GMV]]</f>
        <v>1.2024486226497596E-2</v>
      </c>
      <c r="AZ171" s="436">
        <f>DTC_SalesOverview_InTax[[#This Row],[RR]]/$F$1</f>
        <v>1946.9026548672568</v>
      </c>
      <c r="BA171" s="436">
        <f>DTC_SalesOverview_InTax[[#This Row],[MD GMV]]/$F$1</f>
        <v>0</v>
      </c>
      <c r="BB171" s="94">
        <f>DTC_SalesOverview_ExclTax[[#This Row],[MD GMV]]/DTC_SalesOverview_ExclTax[[#This Row],[GMV]]</f>
        <v>0</v>
      </c>
      <c r="BC171" s="460">
        <f>DTC_SalesOverview_InTax[[#This Row],[GMV_TGT]]/$F$1</f>
        <v>157405.30973451328</v>
      </c>
      <c r="BD171" s="460">
        <f>DTC_SalesOverview_InTax[[#This Row],[NET_TGT]]/$F$1</f>
        <v>144305.30973451328</v>
      </c>
      <c r="BE171" s="431">
        <f>DTC_SalesOverview_InTax[[#This Row],[TRAFFIC_TGT]]</f>
        <v>12120</v>
      </c>
      <c r="BF171" s="431">
        <f>DTC_SalesOverview_InTax[[#This Row],[BUYERS_TGT]]</f>
        <v>34</v>
      </c>
      <c r="BG171" s="104">
        <f>DTC_SalesOverview_InTax[[#This Row],[CVR_TGT]]</f>
        <v>2.8052805280528053E-3</v>
      </c>
      <c r="BH171" s="431">
        <f>DTC_SalesOverview_InTax[[#This Row],[ATV_TGT]]/$F$1</f>
        <v>4629.5679333680373</v>
      </c>
      <c r="BI171" s="432">
        <f>DTC_SalesOverview_InTax[[#This Row],[UPT_TGT]]</f>
        <v>1.1764705882352942</v>
      </c>
      <c r="BJ171" s="389">
        <f>DTC_SalesOverview_InTax[[#This Row],[RRC_TGT]]</f>
        <v>8.3224638495963288E-2</v>
      </c>
      <c r="BK171" s="431">
        <f>DTC_SalesOverview_InTax[[#This Row],[UNITS_TGT]]</f>
        <v>40</v>
      </c>
      <c r="BL171" s="28" t="str">
        <f>_xlfn.XLOOKUP(DTC_SalesOverview_ExclTax[[#This Row],[DATE]],全店核心数据_bymonth[开始日期],全店核心数据_bymonth[jda日历.PayYear],"")</f>
        <v>BU26</v>
      </c>
      <c r="BO171" s="28"/>
      <c r="CQ171" s="53"/>
    </row>
    <row r="172" spans="5:95" x14ac:dyDescent="0.3">
      <c r="E172" s="428">
        <v>45717</v>
      </c>
      <c r="F172" s="431">
        <f t="shared" si="23"/>
        <v>391820</v>
      </c>
      <c r="G172" s="431">
        <f t="shared" si="23"/>
        <v>273045</v>
      </c>
      <c r="H172" s="431">
        <f t="shared" si="23"/>
        <v>12473</v>
      </c>
      <c r="I172" s="431">
        <f t="shared" si="23"/>
        <v>45</v>
      </c>
      <c r="J172" s="431">
        <f t="shared" si="23"/>
        <v>69</v>
      </c>
      <c r="K172" s="92">
        <f>DTC_SalesOverview_InTax[[#This Row],[Buyers]]/DTC_SalesOverview_InTax[[#This Row],[UV]]</f>
        <v>3.6077928325182395E-3</v>
      </c>
      <c r="L172" s="431">
        <f>DTC_SalesOverview_InTax[[#This Row],[GMV]]/DTC_SalesOverview_InTax[[#This Row],[Buyers]]</f>
        <v>8707.1111111111113</v>
      </c>
      <c r="M172" s="431">
        <f>DTC_SalesOverview_InTax[[#This Row],[GMV]]/DTC_SalesOverview_InTax[[#This Row],[Units]]</f>
        <v>5678.550724637681</v>
      </c>
      <c r="N172" s="432">
        <f>DTC_SalesOverview_InTax[[#This Row],[Units]]/DTC_SalesOverview_InTax[[#This Row],[Buyers]]</f>
        <v>1.5333333333333334</v>
      </c>
      <c r="O172" s="93">
        <f>DTC_SalesOverview_InTax[[#This Row],[RR]]/DTC_SalesOverview_InTax[[#This Row],[GMV]]</f>
        <v>0.3031366443775203</v>
      </c>
      <c r="P172" s="431">
        <f t="shared" si="24"/>
        <v>118775</v>
      </c>
      <c r="Q172" s="431">
        <f t="shared" si="24"/>
        <v>0</v>
      </c>
      <c r="R172" s="94">
        <f>DTC_SalesOverview_InTax[[#This Row],[MD GMV]]/DTC_SalesOverview_InTax[[#This Row],[GMV]]</f>
        <v>0</v>
      </c>
      <c r="S172" s="431">
        <f t="shared" si="25"/>
        <v>0</v>
      </c>
      <c r="T172" s="94">
        <f>DTC_SalesOverview_InTax[[#This Row],[MD NET]]/DTC_SalesOverview_InTax[[#This Row],[NET]]</f>
        <v>0</v>
      </c>
      <c r="U172" s="431">
        <f>SUMIFS(目标表[gmv],目标表[Date],"&gt;="&amp;$E172,目标表[Date],"&lt;="&amp;EOMONTH($E172,0),目标表[channel],"DTC")</f>
        <v>0</v>
      </c>
      <c r="V172" s="431">
        <f>SUMIFS(目标表[net],目标表[Date],"&gt;="&amp;$E172,目标表[Date],"&lt;="&amp;EOMONTH($E172,0),目标表[channel],"DTC")</f>
        <v>0</v>
      </c>
      <c r="W172" s="431">
        <f>SUMIFS(目标表[uv],目标表[Date],"&gt;="&amp;$E172,目标表[Date],"&lt;="&amp;EOMONTH($E172,0),目标表[channel],"DTC")</f>
        <v>0</v>
      </c>
      <c r="X172" s="431">
        <f>SUMIFS(目标表[buyers],目标表[Date],"&gt;="&amp;$E172,目标表[Date],"&lt;="&amp;EOMONTH($E172,0),目标表[channel],"DTC")</f>
        <v>0</v>
      </c>
      <c r="Y172" s="378" t="e">
        <f>DTC_SalesOverview_InTax[[#This Row],[BUYERS_TGT]]/DTC_SalesOverview_InTax[[#This Row],[TRAFFIC_TGT]]</f>
        <v>#DIV/0!</v>
      </c>
      <c r="Z172" s="379" t="e">
        <f>DTC_SalesOverview_InTax[[#This Row],[GMV_TGT]]/DTC_SalesOverview_InTax[[#This Row],[BUYERS_TGT]]</f>
        <v>#DIV/0!</v>
      </c>
      <c r="AA172" s="380" t="e">
        <f>DTC_SalesOverview_InTax[[#This Row],[UNITS_TGT]]/DTC_SalesOverview_InTax[[#This Row],[BUYERS_TGT]]</f>
        <v>#DIV/0!</v>
      </c>
      <c r="AB172" s="94" t="e">
        <f>1-DTC_SalesOverview_InTax[[#This Row],[NET_TGT]]/DTC_SalesOverview_InTax[[#This Row],[GMV_TGT]]</f>
        <v>#DIV/0!</v>
      </c>
      <c r="AC172" s="381">
        <f>SUMIFS(目标表[gmv_units],目标表[Date],"&gt;="&amp;$E172,目标表[Date],"&lt;="&amp;EOMONTH($E172,0),目标表[channel],"DTC")</f>
        <v>0</v>
      </c>
      <c r="AD172" s="105" t="e">
        <f>DTC_SalesOverview_InTax[[#This Row],[GMV]]/DTC_SalesOverview_InTax[[#This Row],[GMV_TGT]]</f>
        <v>#DIV/0!</v>
      </c>
      <c r="AE172" s="105" t="e">
        <f>DTC_SalesOverview_InTax[[#This Row],[NET]]/DTC_SalesOverview_InTax[[#This Row],[NET_TGT]]</f>
        <v>#DIV/0!</v>
      </c>
      <c r="AF172" s="105" t="e">
        <f>DTC_SalesOverview_InTax[[#This Row],[UV]]/DTC_SalesOverview_InTax[[#This Row],[TRAFFIC_TGT]]</f>
        <v>#DIV/0!</v>
      </c>
      <c r="AG172" s="105" t="e">
        <f>DTC_SalesOverview_InTax[[#This Row],[Buyers]]/DTC_SalesOverview_InTax[[#This Row],[BUYERS_TGT]]</f>
        <v>#DIV/0!</v>
      </c>
      <c r="AH172" s="105" t="e">
        <f>DTC_SalesOverview_InTax[[#This Row],[CR]]/DTC_SalesOverview_InTax[[#This Row],[CVR_TGT]]</f>
        <v>#DIV/0!</v>
      </c>
      <c r="AI172" s="105" t="e">
        <f>DTC_SalesOverview_InTax[[#This Row],[ATV]]/DTC_SalesOverview_InTax[[#This Row],[ATV_TGT]]</f>
        <v>#DIV/0!</v>
      </c>
      <c r="AJ172" s="105" t="e">
        <f>DTC_SalesOverview_InTax[[#This Row],[UPT]]/DTC_SalesOverview_InTax[[#This Row],[UPT_TGT]]</f>
        <v>#DIV/0!</v>
      </c>
      <c r="AK172" s="105" t="e">
        <f>DTC_SalesOverview_InTax[[#This Row],[RRC]]/DTC_SalesOverview_InTax[[#This Row],[RRC_TGT]]</f>
        <v>#DIV/0!</v>
      </c>
      <c r="AL172" s="28" t="str">
        <f>_xlfn.XLOOKUP(DTC_SalesOverview_InTax[[#This Row],[DATE]],全店核心数据_bymonth[开始日期],全店核心数据_bymonth[jda日历.PayYear],"")</f>
        <v>BU25</v>
      </c>
      <c r="AO172" s="428">
        <f>DTC_SalesOverview_InTax[[#This Row],[DATE]]</f>
        <v>45717</v>
      </c>
      <c r="AP172" s="436">
        <f>DTC_SalesOverview_InTax[[#This Row],[GMV]]/$F$1</f>
        <v>346743.36283185845</v>
      </c>
      <c r="AQ172" s="436">
        <f>DTC_SalesOverview_ExclTax[[#This Row],[GMV]]-DTC_SalesOverview_ExclTax[[#This Row],[RR]]</f>
        <v>241632.74336283188</v>
      </c>
      <c r="AR172" s="431">
        <f>DTC_SalesOverview_InTax[[#This Row],[UV]]</f>
        <v>12473</v>
      </c>
      <c r="AS172" s="431">
        <f>DTC_SalesOverview_InTax[[#This Row],[Buyers]]</f>
        <v>45</v>
      </c>
      <c r="AT172" s="431">
        <f>DTC_SalesOverview_InTax[[#This Row],[Units]]</f>
        <v>69</v>
      </c>
      <c r="AU172" s="92">
        <f>DTC_SalesOverview_ExclTax[[#This Row],[Buyers]]/DTC_SalesOverview_ExclTax[[#This Row],[UV]]</f>
        <v>3.6077928325182395E-3</v>
      </c>
      <c r="AV172" s="431">
        <f>DTC_SalesOverview_ExclTax[[#This Row],[GMV]]/DTC_SalesOverview_ExclTax[[#This Row],[Buyers]]</f>
        <v>7705.408062930188</v>
      </c>
      <c r="AW172" s="431">
        <f>DTC_SalesOverview_ExclTax[[#This Row],[GMV]]/DTC_SalesOverview_ExclTax[[#This Row],[Units]]</f>
        <v>5025.2661279979484</v>
      </c>
      <c r="AX172" s="432">
        <f>DTC_SalesOverview_ExclTax[[#This Row],[Units]]/DTC_SalesOverview_ExclTax[[#This Row],[Buyers]]</f>
        <v>1.5333333333333334</v>
      </c>
      <c r="AY172" s="93">
        <f>DTC_SalesOverview_ExclTax[[#This Row],[RR]]/DTC_SalesOverview_ExclTax[[#This Row],[GMV]]</f>
        <v>0.30313664437752025</v>
      </c>
      <c r="AZ172" s="436">
        <f>DTC_SalesOverview_InTax[[#This Row],[RR]]/$F$1</f>
        <v>105110.61946902655</v>
      </c>
      <c r="BA172" s="436">
        <f>DTC_SalesOverview_InTax[[#This Row],[MD GMV]]/$F$1</f>
        <v>0</v>
      </c>
      <c r="BB172" s="94">
        <f>DTC_SalesOverview_ExclTax[[#This Row],[MD GMV]]/DTC_SalesOverview_ExclTax[[#This Row],[GMV]]</f>
        <v>0</v>
      </c>
      <c r="BC172" s="436">
        <f>DTC_SalesOverview_InTax[[#This Row],[GMV_TGT]]/$F$1</f>
        <v>0</v>
      </c>
      <c r="BD172" s="436">
        <f>DTC_SalesOverview_InTax[[#This Row],[NET_TGT]]/$F$1</f>
        <v>0</v>
      </c>
      <c r="BE172" s="430">
        <f>DTC_SalesOverview_InTax[[#This Row],[TRAFFIC_TGT]]</f>
        <v>0</v>
      </c>
      <c r="BF172" s="431">
        <f>DTC_SalesOverview_InTax[[#This Row],[BUYERS_TGT]]</f>
        <v>0</v>
      </c>
      <c r="BG172" s="104" t="e">
        <f>DTC_SalesOverview_InTax[[#This Row],[CVR_TGT]]</f>
        <v>#DIV/0!</v>
      </c>
      <c r="BH172" s="431" t="e">
        <f>DTC_SalesOverview_InTax[[#This Row],[ATV_TGT]]</f>
        <v>#DIV/0!</v>
      </c>
      <c r="BI172" s="432" t="e">
        <f>DTC_SalesOverview_InTax[[#This Row],[UPT_TGT]]</f>
        <v>#DIV/0!</v>
      </c>
      <c r="BJ172" s="389" t="e">
        <f>DTC_SalesOverview_InTax[[#This Row],[RRC_TGT]]</f>
        <v>#DIV/0!</v>
      </c>
      <c r="BK172" s="431">
        <f>DTC_SalesOverview_InTax[[#This Row],[UNITS_TGT]]</f>
        <v>0</v>
      </c>
      <c r="BL172" s="28" t="str">
        <f>_xlfn.XLOOKUP(DTC_SalesOverview_ExclTax[[#This Row],[DATE]],全店核心数据_bymonth[开始日期],全店核心数据_bymonth[jda日历.PayYear],"")</f>
        <v>BU25</v>
      </c>
      <c r="BO172" s="28"/>
      <c r="CQ172" s="53"/>
    </row>
    <row r="173" spans="5:95" x14ac:dyDescent="0.3">
      <c r="E173" s="428">
        <v>45689</v>
      </c>
      <c r="F173" s="431">
        <f t="shared" ref="F173:J182" si="26">F62+F112</f>
        <v>220255</v>
      </c>
      <c r="G173" s="431">
        <f t="shared" si="26"/>
        <v>195240</v>
      </c>
      <c r="H173" s="431">
        <f t="shared" si="26"/>
        <v>10105</v>
      </c>
      <c r="I173" s="431">
        <f t="shared" si="26"/>
        <v>42</v>
      </c>
      <c r="J173" s="431">
        <f t="shared" si="26"/>
        <v>58</v>
      </c>
      <c r="K173" s="92">
        <f>DTC_SalesOverview_InTax[[#This Row],[Buyers]]/DTC_SalesOverview_InTax[[#This Row],[UV]]</f>
        <v>4.156358238495794E-3</v>
      </c>
      <c r="L173" s="431">
        <f>DTC_SalesOverview_InTax[[#This Row],[GMV]]/DTC_SalesOverview_InTax[[#This Row],[Buyers]]</f>
        <v>5244.166666666667</v>
      </c>
      <c r="M173" s="431">
        <f>DTC_SalesOverview_InTax[[#This Row],[GMV]]/DTC_SalesOverview_InTax[[#This Row],[Units]]</f>
        <v>3797.5</v>
      </c>
      <c r="N173" s="432">
        <f>DTC_SalesOverview_InTax[[#This Row],[Units]]/DTC_SalesOverview_InTax[[#This Row],[Buyers]]</f>
        <v>1.3809523809523809</v>
      </c>
      <c r="O173" s="93">
        <f>DTC_SalesOverview_InTax[[#This Row],[RR]]/DTC_SalesOverview_InTax[[#This Row],[GMV]]</f>
        <v>0.11357290413384487</v>
      </c>
      <c r="P173" s="431">
        <f t="shared" si="24"/>
        <v>25015</v>
      </c>
      <c r="Q173" s="431">
        <f t="shared" si="24"/>
        <v>27280</v>
      </c>
      <c r="R173" s="94">
        <f>DTC_SalesOverview_InTax[[#This Row],[MD GMV]]/DTC_SalesOverview_InTax[[#This Row],[GMV]]</f>
        <v>0.12385643912737508</v>
      </c>
      <c r="S173" s="431">
        <f t="shared" si="25"/>
        <v>25545</v>
      </c>
      <c r="T173" s="94">
        <f>DTC_SalesOverview_InTax[[#This Row],[MD NET]]/DTC_SalesOverview_InTax[[#This Row],[NET]]</f>
        <v>0.13083896742470805</v>
      </c>
      <c r="U173" s="431">
        <f>SUMIFS(目标表[gmv],目标表[Date],"&gt;="&amp;$E173,目标表[Date],"&lt;="&amp;EOMONTH($E173,0),目标表[channel],"DTC")</f>
        <v>0</v>
      </c>
      <c r="V173" s="431">
        <f>SUMIFS(目标表[net],目标表[Date],"&gt;="&amp;$E173,目标表[Date],"&lt;="&amp;EOMONTH($E173,0),目标表[channel],"DTC")</f>
        <v>0</v>
      </c>
      <c r="W173" s="431">
        <f>SUMIFS(目标表[uv],目标表[Date],"&gt;="&amp;$E173,目标表[Date],"&lt;="&amp;EOMONTH($E173,0),目标表[channel],"DTC")</f>
        <v>0</v>
      </c>
      <c r="X173" s="431">
        <f>SUMIFS(目标表[buyers],目标表[Date],"&gt;="&amp;$E173,目标表[Date],"&lt;="&amp;EOMONTH($E173,0),目标表[channel],"DTC")</f>
        <v>0</v>
      </c>
      <c r="Y173" s="378" t="e">
        <f>DTC_SalesOverview_InTax[[#This Row],[BUYERS_TGT]]/DTC_SalesOverview_InTax[[#This Row],[TRAFFIC_TGT]]</f>
        <v>#DIV/0!</v>
      </c>
      <c r="Z173" s="379" t="e">
        <f>DTC_SalesOverview_InTax[[#This Row],[GMV_TGT]]/DTC_SalesOverview_InTax[[#This Row],[BUYERS_TGT]]</f>
        <v>#DIV/0!</v>
      </c>
      <c r="AA173" s="380" t="e">
        <f>DTC_SalesOverview_InTax[[#This Row],[UNITS_TGT]]/DTC_SalesOverview_InTax[[#This Row],[BUYERS_TGT]]</f>
        <v>#DIV/0!</v>
      </c>
      <c r="AB173" s="94" t="e">
        <f>1-DTC_SalesOverview_InTax[[#This Row],[NET_TGT]]/DTC_SalesOverview_InTax[[#This Row],[GMV_TGT]]</f>
        <v>#DIV/0!</v>
      </c>
      <c r="AC173" s="381">
        <f>SUMIFS(目标表[gmv_units],目标表[Date],"&gt;="&amp;$E173,目标表[Date],"&lt;="&amp;EOMONTH($E173,0),目标表[channel],"DTC")</f>
        <v>0</v>
      </c>
      <c r="AD173" s="105" t="e">
        <f>DTC_SalesOverview_InTax[[#This Row],[GMV]]/DTC_SalesOverview_InTax[[#This Row],[GMV_TGT]]</f>
        <v>#DIV/0!</v>
      </c>
      <c r="AE173" s="105" t="e">
        <f>DTC_SalesOverview_InTax[[#This Row],[NET]]/DTC_SalesOverview_InTax[[#This Row],[NET_TGT]]</f>
        <v>#DIV/0!</v>
      </c>
      <c r="AF173" s="105" t="e">
        <f>DTC_SalesOverview_InTax[[#This Row],[UV]]/DTC_SalesOverview_InTax[[#This Row],[TRAFFIC_TGT]]</f>
        <v>#DIV/0!</v>
      </c>
      <c r="AG173" s="105" t="e">
        <f>DTC_SalesOverview_InTax[[#This Row],[Buyers]]/DTC_SalesOverview_InTax[[#This Row],[BUYERS_TGT]]</f>
        <v>#DIV/0!</v>
      </c>
      <c r="AH173" s="105" t="e">
        <f>DTC_SalesOverview_InTax[[#This Row],[CR]]/DTC_SalesOverview_InTax[[#This Row],[CVR_TGT]]</f>
        <v>#DIV/0!</v>
      </c>
      <c r="AI173" s="105" t="e">
        <f>DTC_SalesOverview_InTax[[#This Row],[ATV]]/DTC_SalesOverview_InTax[[#This Row],[ATV_TGT]]</f>
        <v>#DIV/0!</v>
      </c>
      <c r="AJ173" s="105" t="e">
        <f>DTC_SalesOverview_InTax[[#This Row],[UPT]]/DTC_SalesOverview_InTax[[#This Row],[UPT_TGT]]</f>
        <v>#DIV/0!</v>
      </c>
      <c r="AK173" s="105" t="e">
        <f>DTC_SalesOverview_InTax[[#This Row],[RRC]]/DTC_SalesOverview_InTax[[#This Row],[RRC_TGT]]</f>
        <v>#DIV/0!</v>
      </c>
      <c r="AL173" s="28" t="str">
        <f>_xlfn.XLOOKUP(DTC_SalesOverview_InTax[[#This Row],[DATE]],全店核心数据_bymonth[开始日期],全店核心数据_bymonth[jda日历.PayYear],"")</f>
        <v>BU25</v>
      </c>
      <c r="AO173" s="428">
        <f>DTC_SalesOverview_InTax[[#This Row],[DATE]]</f>
        <v>45689</v>
      </c>
      <c r="AP173" s="436">
        <f>DTC_SalesOverview_InTax[[#This Row],[GMV]]/$F$1</f>
        <v>194915.92920353985</v>
      </c>
      <c r="AQ173" s="436">
        <f>DTC_SalesOverview_ExclTax[[#This Row],[GMV]]-DTC_SalesOverview_ExclTax[[#This Row],[RR]]</f>
        <v>172778.76106194692</v>
      </c>
      <c r="AR173" s="431">
        <f>DTC_SalesOverview_InTax[[#This Row],[UV]]</f>
        <v>10105</v>
      </c>
      <c r="AS173" s="431">
        <f>DTC_SalesOverview_InTax[[#This Row],[Buyers]]</f>
        <v>42</v>
      </c>
      <c r="AT173" s="431">
        <f>DTC_SalesOverview_InTax[[#This Row],[Units]]</f>
        <v>58</v>
      </c>
      <c r="AU173" s="92">
        <f>DTC_SalesOverview_ExclTax[[#This Row],[Buyers]]/DTC_SalesOverview_ExclTax[[#This Row],[UV]]</f>
        <v>4.156358238495794E-3</v>
      </c>
      <c r="AV173" s="431">
        <f>DTC_SalesOverview_ExclTax[[#This Row],[GMV]]/DTC_SalesOverview_ExclTax[[#This Row],[Buyers]]</f>
        <v>4640.8554572271396</v>
      </c>
      <c r="AW173" s="431">
        <f>DTC_SalesOverview_ExclTax[[#This Row],[GMV]]/DTC_SalesOverview_ExclTax[[#This Row],[Units]]</f>
        <v>3360.6194690265493</v>
      </c>
      <c r="AX173" s="432">
        <f>DTC_SalesOverview_ExclTax[[#This Row],[Units]]/DTC_SalesOverview_ExclTax[[#This Row],[Buyers]]</f>
        <v>1.3809523809523809</v>
      </c>
      <c r="AY173" s="93">
        <f>DTC_SalesOverview_ExclTax[[#This Row],[RR]]/DTC_SalesOverview_ExclTax[[#This Row],[GMV]]</f>
        <v>0.11357290413384485</v>
      </c>
      <c r="AZ173" s="436">
        <f>DTC_SalesOverview_InTax[[#This Row],[RR]]/$F$1</f>
        <v>22137.168141592923</v>
      </c>
      <c r="BA173" s="436">
        <f>DTC_SalesOverview_InTax[[#This Row],[MD GMV]]/$F$1</f>
        <v>24141.592920353985</v>
      </c>
      <c r="BB173" s="94">
        <f>DTC_SalesOverview_ExclTax[[#This Row],[MD GMV]]/DTC_SalesOverview_ExclTax[[#This Row],[GMV]]</f>
        <v>0.12385643912737508</v>
      </c>
      <c r="BC173" s="436">
        <f>DTC_SalesOverview_InTax[[#This Row],[GMV_TGT]]/$F$1</f>
        <v>0</v>
      </c>
      <c r="BD173" s="436">
        <f>DTC_SalesOverview_InTax[[#This Row],[NET_TGT]]/$F$1</f>
        <v>0</v>
      </c>
      <c r="BE173" s="430">
        <f>DTC_SalesOverview_InTax[[#This Row],[TRAFFIC_TGT]]</f>
        <v>0</v>
      </c>
      <c r="BF173" s="431">
        <f>DTC_SalesOverview_InTax[[#This Row],[BUYERS_TGT]]</f>
        <v>0</v>
      </c>
      <c r="BG173" s="104" t="e">
        <f>DTC_SalesOverview_InTax[[#This Row],[CVR_TGT]]</f>
        <v>#DIV/0!</v>
      </c>
      <c r="BH173" s="431" t="e">
        <f>DTC_SalesOverview_InTax[[#This Row],[ATV_TGT]]</f>
        <v>#DIV/0!</v>
      </c>
      <c r="BI173" s="432" t="e">
        <f>DTC_SalesOverview_InTax[[#This Row],[UPT_TGT]]</f>
        <v>#DIV/0!</v>
      </c>
      <c r="BJ173" s="389" t="e">
        <f>DTC_SalesOverview_InTax[[#This Row],[RRC_TGT]]</f>
        <v>#DIV/0!</v>
      </c>
      <c r="BK173" s="431">
        <f>DTC_SalesOverview_InTax[[#This Row],[UNITS_TGT]]</f>
        <v>0</v>
      </c>
      <c r="BL173" s="28" t="str">
        <f>_xlfn.XLOOKUP(DTC_SalesOverview_ExclTax[[#This Row],[DATE]],全店核心数据_bymonth[开始日期],全店核心数据_bymonth[jda日历.PayYear],"")</f>
        <v>BU25</v>
      </c>
      <c r="BO173" s="28"/>
      <c r="CQ173" s="53"/>
    </row>
    <row r="174" spans="5:95" x14ac:dyDescent="0.3">
      <c r="E174" s="428">
        <v>45658</v>
      </c>
      <c r="F174" s="431">
        <f t="shared" si="26"/>
        <v>187255</v>
      </c>
      <c r="G174" s="431">
        <f t="shared" si="26"/>
        <v>137795</v>
      </c>
      <c r="H174" s="431">
        <f t="shared" si="26"/>
        <v>11233</v>
      </c>
      <c r="I174" s="431">
        <f t="shared" si="26"/>
        <v>29</v>
      </c>
      <c r="J174" s="431">
        <f t="shared" si="26"/>
        <v>34</v>
      </c>
      <c r="K174" s="92">
        <f>DTC_SalesOverview_InTax[[#This Row],[Buyers]]/DTC_SalesOverview_InTax[[#This Row],[UV]]</f>
        <v>2.5816789815721534E-3</v>
      </c>
      <c r="L174" s="431">
        <f>DTC_SalesOverview_InTax[[#This Row],[GMV]]/DTC_SalesOverview_InTax[[#This Row],[Buyers]]</f>
        <v>6457.0689655172409</v>
      </c>
      <c r="M174" s="431">
        <f>DTC_SalesOverview_InTax[[#This Row],[GMV]]/DTC_SalesOverview_InTax[[#This Row],[Units]]</f>
        <v>5507.5</v>
      </c>
      <c r="N174" s="432">
        <f>DTC_SalesOverview_InTax[[#This Row],[Units]]/DTC_SalesOverview_InTax[[#This Row],[Buyers]]</f>
        <v>1.1724137931034482</v>
      </c>
      <c r="O174" s="93">
        <f>DTC_SalesOverview_InTax[[#This Row],[RR]]/DTC_SalesOverview_InTax[[#This Row],[GMV]]</f>
        <v>0.26413179888387495</v>
      </c>
      <c r="P174" s="431">
        <f t="shared" si="24"/>
        <v>49460</v>
      </c>
      <c r="Q174" s="431">
        <f t="shared" si="24"/>
        <v>106245</v>
      </c>
      <c r="R174" s="94">
        <f>DTC_SalesOverview_InTax[[#This Row],[MD GMV]]/DTC_SalesOverview_InTax[[#This Row],[GMV]]</f>
        <v>0.56738137833435687</v>
      </c>
      <c r="S174" s="431">
        <f t="shared" si="25"/>
        <v>69825</v>
      </c>
      <c r="T174" s="94">
        <f>DTC_SalesOverview_InTax[[#This Row],[MD NET]]/DTC_SalesOverview_InTax[[#This Row],[NET]]</f>
        <v>0.50673101346202687</v>
      </c>
      <c r="U174" s="431">
        <f>SUMIFS(目标表[gmv],目标表[Date],"&gt;="&amp;$E174,目标表[Date],"&lt;="&amp;EOMONTH($E174,0),目标表[channel],"DTC")</f>
        <v>0</v>
      </c>
      <c r="V174" s="431">
        <f>SUMIFS(目标表[net],目标表[Date],"&gt;="&amp;$E174,目标表[Date],"&lt;="&amp;EOMONTH($E174,0),目标表[channel],"DTC")</f>
        <v>0</v>
      </c>
      <c r="W174" s="431">
        <f>SUMIFS(目标表[uv],目标表[Date],"&gt;="&amp;$E174,目标表[Date],"&lt;="&amp;EOMONTH($E174,0),目标表[channel],"DTC")</f>
        <v>0</v>
      </c>
      <c r="X174" s="431">
        <f>SUMIFS(目标表[buyers],目标表[Date],"&gt;="&amp;$E174,目标表[Date],"&lt;="&amp;EOMONTH($E174,0),目标表[channel],"DTC")</f>
        <v>0</v>
      </c>
      <c r="Y174" s="378" t="e">
        <f>DTC_SalesOverview_InTax[[#This Row],[BUYERS_TGT]]/DTC_SalesOverview_InTax[[#This Row],[TRAFFIC_TGT]]</f>
        <v>#DIV/0!</v>
      </c>
      <c r="Z174" s="379" t="e">
        <f>DTC_SalesOverview_InTax[[#This Row],[GMV_TGT]]/DTC_SalesOverview_InTax[[#This Row],[BUYERS_TGT]]</f>
        <v>#DIV/0!</v>
      </c>
      <c r="AA174" s="380" t="e">
        <f>DTC_SalesOverview_InTax[[#This Row],[UNITS_TGT]]/DTC_SalesOverview_InTax[[#This Row],[BUYERS_TGT]]</f>
        <v>#DIV/0!</v>
      </c>
      <c r="AB174" s="94" t="e">
        <f>1-DTC_SalesOverview_InTax[[#This Row],[NET_TGT]]/DTC_SalesOverview_InTax[[#This Row],[GMV_TGT]]</f>
        <v>#DIV/0!</v>
      </c>
      <c r="AC174" s="381">
        <f>SUMIFS(目标表[gmv_units],目标表[Date],"&gt;="&amp;$E174,目标表[Date],"&lt;="&amp;EOMONTH($E174,0),目标表[channel],"DTC")</f>
        <v>0</v>
      </c>
      <c r="AD174" s="105" t="e">
        <f>DTC_SalesOverview_InTax[[#This Row],[GMV]]/DTC_SalesOverview_InTax[[#This Row],[GMV_TGT]]</f>
        <v>#DIV/0!</v>
      </c>
      <c r="AE174" s="105" t="e">
        <f>DTC_SalesOverview_InTax[[#This Row],[NET]]/DTC_SalesOverview_InTax[[#This Row],[NET_TGT]]</f>
        <v>#DIV/0!</v>
      </c>
      <c r="AF174" s="105" t="e">
        <f>DTC_SalesOverview_InTax[[#This Row],[UV]]/DTC_SalesOverview_InTax[[#This Row],[TRAFFIC_TGT]]</f>
        <v>#DIV/0!</v>
      </c>
      <c r="AG174" s="105" t="e">
        <f>DTC_SalesOverview_InTax[[#This Row],[Buyers]]/DTC_SalesOverview_InTax[[#This Row],[BUYERS_TGT]]</f>
        <v>#DIV/0!</v>
      </c>
      <c r="AH174" s="105" t="e">
        <f>DTC_SalesOverview_InTax[[#This Row],[CR]]/DTC_SalesOverview_InTax[[#This Row],[CVR_TGT]]</f>
        <v>#DIV/0!</v>
      </c>
      <c r="AI174" s="105" t="e">
        <f>DTC_SalesOverview_InTax[[#This Row],[ATV]]/DTC_SalesOverview_InTax[[#This Row],[ATV_TGT]]</f>
        <v>#DIV/0!</v>
      </c>
      <c r="AJ174" s="105" t="e">
        <f>DTC_SalesOverview_InTax[[#This Row],[UPT]]/DTC_SalesOverview_InTax[[#This Row],[UPT_TGT]]</f>
        <v>#DIV/0!</v>
      </c>
      <c r="AK174" s="105" t="e">
        <f>DTC_SalesOverview_InTax[[#This Row],[RRC]]/DTC_SalesOverview_InTax[[#This Row],[RRC_TGT]]</f>
        <v>#DIV/0!</v>
      </c>
      <c r="AL174" s="28" t="str">
        <f>_xlfn.XLOOKUP(DTC_SalesOverview_InTax[[#This Row],[DATE]],全店核心数据_bymonth[开始日期],全店核心数据_bymonth[jda日历.PayYear],"")</f>
        <v>BU25</v>
      </c>
      <c r="AO174" s="428">
        <f>DTC_SalesOverview_InTax[[#This Row],[DATE]]</f>
        <v>45658</v>
      </c>
      <c r="AP174" s="436">
        <f>DTC_SalesOverview_InTax[[#This Row],[GMV]]/$F$1</f>
        <v>165712.38938053098</v>
      </c>
      <c r="AQ174" s="436">
        <f>DTC_SalesOverview_ExclTax[[#This Row],[GMV]]-DTC_SalesOverview_ExclTax[[#This Row],[RR]]</f>
        <v>121942.47787610619</v>
      </c>
      <c r="AR174" s="431">
        <f>DTC_SalesOverview_InTax[[#This Row],[UV]]</f>
        <v>11233</v>
      </c>
      <c r="AS174" s="431">
        <f>DTC_SalesOverview_InTax[[#This Row],[Buyers]]</f>
        <v>29</v>
      </c>
      <c r="AT174" s="431">
        <f>DTC_SalesOverview_InTax[[#This Row],[Units]]</f>
        <v>34</v>
      </c>
      <c r="AU174" s="92">
        <f>DTC_SalesOverview_ExclTax[[#This Row],[Buyers]]/DTC_SalesOverview_ExclTax[[#This Row],[UV]]</f>
        <v>2.5816789815721534E-3</v>
      </c>
      <c r="AV174" s="431">
        <f>DTC_SalesOverview_ExclTax[[#This Row],[GMV]]/DTC_SalesOverview_ExclTax[[#This Row],[Buyers]]</f>
        <v>5714.2203234665858</v>
      </c>
      <c r="AW174" s="431">
        <f>DTC_SalesOverview_ExclTax[[#This Row],[GMV]]/DTC_SalesOverview_ExclTax[[#This Row],[Units]]</f>
        <v>4873.8938053097345</v>
      </c>
      <c r="AX174" s="432">
        <f>DTC_SalesOverview_ExclTax[[#This Row],[Units]]/DTC_SalesOverview_ExclTax[[#This Row],[Buyers]]</f>
        <v>1.1724137931034482</v>
      </c>
      <c r="AY174" s="93">
        <f>DTC_SalesOverview_ExclTax[[#This Row],[RR]]/DTC_SalesOverview_ExclTax[[#This Row],[GMV]]</f>
        <v>0.26413179888387495</v>
      </c>
      <c r="AZ174" s="436">
        <f>DTC_SalesOverview_InTax[[#This Row],[RR]]/$F$1</f>
        <v>43769.911504424781</v>
      </c>
      <c r="BA174" s="436">
        <f>DTC_SalesOverview_InTax[[#This Row],[MD GMV]]/$F$1</f>
        <v>94022.123893805314</v>
      </c>
      <c r="BB174" s="94">
        <f>DTC_SalesOverview_ExclTax[[#This Row],[MD GMV]]/DTC_SalesOverview_ExclTax[[#This Row],[GMV]]</f>
        <v>0.56738137833435687</v>
      </c>
      <c r="BC174" s="436">
        <f>DTC_SalesOverview_InTax[[#This Row],[GMV_TGT]]/$F$1</f>
        <v>0</v>
      </c>
      <c r="BD174" s="436">
        <f>DTC_SalesOverview_InTax[[#This Row],[NET_TGT]]/$F$1</f>
        <v>0</v>
      </c>
      <c r="BE174" s="430">
        <f>DTC_SalesOverview_InTax[[#This Row],[TRAFFIC_TGT]]</f>
        <v>0</v>
      </c>
      <c r="BF174" s="431">
        <f>DTC_SalesOverview_InTax[[#This Row],[BUYERS_TGT]]</f>
        <v>0</v>
      </c>
      <c r="BG174" s="104" t="e">
        <f>DTC_SalesOverview_InTax[[#This Row],[CVR_TGT]]</f>
        <v>#DIV/0!</v>
      </c>
      <c r="BH174" s="431" t="e">
        <f>DTC_SalesOverview_InTax[[#This Row],[ATV_TGT]]</f>
        <v>#DIV/0!</v>
      </c>
      <c r="BI174" s="432" t="e">
        <f>DTC_SalesOverview_InTax[[#This Row],[UPT_TGT]]</f>
        <v>#DIV/0!</v>
      </c>
      <c r="BJ174" s="389" t="e">
        <f>DTC_SalesOverview_InTax[[#This Row],[RRC_TGT]]</f>
        <v>#DIV/0!</v>
      </c>
      <c r="BK174" s="431">
        <f>DTC_SalesOverview_InTax[[#This Row],[UNITS_TGT]]</f>
        <v>0</v>
      </c>
      <c r="BL174" s="28" t="str">
        <f>_xlfn.XLOOKUP(DTC_SalesOverview_ExclTax[[#This Row],[DATE]],全店核心数据_bymonth[开始日期],全店核心数据_bymonth[jda日历.PayYear],"")</f>
        <v>BU25</v>
      </c>
      <c r="BO174" s="28"/>
      <c r="CQ174" s="53"/>
    </row>
    <row r="175" spans="5:95" x14ac:dyDescent="0.3">
      <c r="E175" s="428">
        <v>45627</v>
      </c>
      <c r="F175" s="431">
        <f t="shared" si="26"/>
        <v>1676796.0000000005</v>
      </c>
      <c r="G175" s="431">
        <f t="shared" si="26"/>
        <v>1478712.2700000005</v>
      </c>
      <c r="H175" s="431">
        <f t="shared" si="26"/>
        <v>27431</v>
      </c>
      <c r="I175" s="431">
        <f t="shared" si="26"/>
        <v>558</v>
      </c>
      <c r="J175" s="431">
        <f t="shared" si="26"/>
        <v>1597</v>
      </c>
      <c r="K175" s="92">
        <f>DTC_SalesOverview_InTax[[#This Row],[Buyers]]/DTC_SalesOverview_InTax[[#This Row],[UV]]</f>
        <v>2.0341948889942035E-2</v>
      </c>
      <c r="L175" s="431">
        <f>DTC_SalesOverview_InTax[[#This Row],[GMV]]/DTC_SalesOverview_InTax[[#This Row],[Buyers]]</f>
        <v>3005.0107526881729</v>
      </c>
      <c r="M175" s="431">
        <f>DTC_SalesOverview_InTax[[#This Row],[GMV]]/DTC_SalesOverview_InTax[[#This Row],[Units]]</f>
        <v>1049.9661865998751</v>
      </c>
      <c r="N175" s="432">
        <f>DTC_SalesOverview_InTax[[#This Row],[Units]]/DTC_SalesOverview_InTax[[#This Row],[Buyers]]</f>
        <v>2.8620071684587813</v>
      </c>
      <c r="O175" s="93">
        <f>DTC_SalesOverview_InTax[[#This Row],[RR]]/DTC_SalesOverview_InTax[[#This Row],[GMV]]</f>
        <v>0.11813227727165375</v>
      </c>
      <c r="P175" s="431">
        <f t="shared" si="24"/>
        <v>198083.72999999998</v>
      </c>
      <c r="Q175" s="431">
        <f t="shared" si="24"/>
        <v>1595631.0000000007</v>
      </c>
      <c r="R175" s="94">
        <f>DTC_SalesOverview_InTax[[#This Row],[MD GMV]]/DTC_SalesOverview_InTax[[#This Row],[GMV]]</f>
        <v>0.9515951851030181</v>
      </c>
      <c r="S175" s="431">
        <f t="shared" si="25"/>
        <v>1402312.2700000007</v>
      </c>
      <c r="T175" s="94">
        <f>DTC_SalesOverview_InTax[[#This Row],[MD NET]]/DTC_SalesOverview_InTax[[#This Row],[NET]]</f>
        <v>0.94833342391890763</v>
      </c>
      <c r="U175" s="431">
        <f>SUMIFS(目标表[gmv],目标表[Date],"&gt;="&amp;$E175,目标表[Date],"&lt;="&amp;EOMONTH($E175,0),目标表[channel],"DTC")</f>
        <v>0</v>
      </c>
      <c r="V175" s="431">
        <f>SUMIFS(目标表[net],目标表[Date],"&gt;="&amp;$E175,目标表[Date],"&lt;="&amp;EOMONTH($E175,0),目标表[channel],"DTC")</f>
        <v>0</v>
      </c>
      <c r="W175" s="431">
        <f>SUMIFS(目标表[uv],目标表[Date],"&gt;="&amp;$E175,目标表[Date],"&lt;="&amp;EOMONTH($E175,0),目标表[channel],"DTC")</f>
        <v>0</v>
      </c>
      <c r="X175" s="431">
        <f>SUMIFS(目标表[buyers],目标表[Date],"&gt;="&amp;$E175,目标表[Date],"&lt;="&amp;EOMONTH($E175,0),目标表[channel],"DTC")</f>
        <v>0</v>
      </c>
      <c r="Y175" s="378" t="e">
        <f>DTC_SalesOverview_InTax[[#This Row],[BUYERS_TGT]]/DTC_SalesOverview_InTax[[#This Row],[TRAFFIC_TGT]]</f>
        <v>#DIV/0!</v>
      </c>
      <c r="Z175" s="379" t="e">
        <f>DTC_SalesOverview_InTax[[#This Row],[GMV_TGT]]/DTC_SalesOverview_InTax[[#This Row],[BUYERS_TGT]]</f>
        <v>#DIV/0!</v>
      </c>
      <c r="AA175" s="380" t="e">
        <f>DTC_SalesOverview_InTax[[#This Row],[UNITS_TGT]]/DTC_SalesOverview_InTax[[#This Row],[BUYERS_TGT]]</f>
        <v>#DIV/0!</v>
      </c>
      <c r="AB175" s="94" t="e">
        <f>1-DTC_SalesOverview_InTax[[#This Row],[NET_TGT]]/DTC_SalesOverview_InTax[[#This Row],[GMV_TGT]]</f>
        <v>#DIV/0!</v>
      </c>
      <c r="AC175" s="381">
        <f>SUMIFS(目标表[gmv_units],目标表[Date],"&gt;="&amp;$E175,目标表[Date],"&lt;="&amp;EOMONTH($E175,0),目标表[channel],"DTC")</f>
        <v>0</v>
      </c>
      <c r="AD175" s="105" t="e">
        <f>DTC_SalesOverview_InTax[[#This Row],[GMV]]/DTC_SalesOverview_InTax[[#This Row],[GMV_TGT]]</f>
        <v>#DIV/0!</v>
      </c>
      <c r="AE175" s="105" t="e">
        <f>DTC_SalesOverview_InTax[[#This Row],[NET]]/DTC_SalesOverview_InTax[[#This Row],[NET_TGT]]</f>
        <v>#DIV/0!</v>
      </c>
      <c r="AF175" s="105" t="e">
        <f>DTC_SalesOverview_InTax[[#This Row],[UV]]/DTC_SalesOverview_InTax[[#This Row],[TRAFFIC_TGT]]</f>
        <v>#DIV/0!</v>
      </c>
      <c r="AG175" s="105" t="e">
        <f>DTC_SalesOverview_InTax[[#This Row],[Buyers]]/DTC_SalesOverview_InTax[[#This Row],[BUYERS_TGT]]</f>
        <v>#DIV/0!</v>
      </c>
      <c r="AH175" s="105" t="e">
        <f>DTC_SalesOverview_InTax[[#This Row],[CR]]/DTC_SalesOverview_InTax[[#This Row],[CVR_TGT]]</f>
        <v>#DIV/0!</v>
      </c>
      <c r="AI175" s="105" t="e">
        <f>DTC_SalesOverview_InTax[[#This Row],[ATV]]/DTC_SalesOverview_InTax[[#This Row],[ATV_TGT]]</f>
        <v>#DIV/0!</v>
      </c>
      <c r="AJ175" s="105" t="e">
        <f>DTC_SalesOverview_InTax[[#This Row],[UPT]]/DTC_SalesOverview_InTax[[#This Row],[UPT_TGT]]</f>
        <v>#DIV/0!</v>
      </c>
      <c r="AK175" s="105" t="e">
        <f>DTC_SalesOverview_InTax[[#This Row],[RRC]]/DTC_SalesOverview_InTax[[#This Row],[RRC_TGT]]</f>
        <v>#DIV/0!</v>
      </c>
      <c r="AL175" s="28" t="str">
        <f>_xlfn.XLOOKUP(DTC_SalesOverview_InTax[[#This Row],[DATE]],全店核心数据_bymonth[开始日期],全店核心数据_bymonth[jda日历.PayYear],"")</f>
        <v>BU25</v>
      </c>
      <c r="AO175" s="428">
        <f>DTC_SalesOverview_InTax[[#This Row],[DATE]]</f>
        <v>45627</v>
      </c>
      <c r="AP175" s="429">
        <f>DTC_SalesOverview_InTax[[#This Row],[GMV]]/$F$1</f>
        <v>1483890.2654867263</v>
      </c>
      <c r="AQ175" s="429">
        <f>DTC_SalesOverview_ExclTax[[#This Row],[GMV]]-DTC_SalesOverview_ExclTax[[#This Row],[RR]]</f>
        <v>1308594.9292035406</v>
      </c>
      <c r="AR175" s="460">
        <f>DTC_SalesOverview_InTax[[#This Row],[UV]]</f>
        <v>27431</v>
      </c>
      <c r="AS175" s="431">
        <f>DTC_SalesOverview_InTax[[#This Row],[Buyers]]</f>
        <v>558</v>
      </c>
      <c r="AT175" s="431">
        <f>DTC_SalesOverview_InTax[[#This Row],[Units]]</f>
        <v>1597</v>
      </c>
      <c r="AU175" s="92">
        <f>DTC_SalesOverview_ExclTax[[#This Row],[Buyers]]/DTC_SalesOverview_ExclTax[[#This Row],[UV]]</f>
        <v>2.0341948889942035E-2</v>
      </c>
      <c r="AV175" s="431">
        <f>DTC_SalesOverview_ExclTax[[#This Row],[GMV]]/DTC_SalesOverview_ExclTax[[#This Row],[Buyers]]</f>
        <v>2659.3015510514811</v>
      </c>
      <c r="AW175" s="431">
        <f>DTC_SalesOverview_ExclTax[[#This Row],[GMV]]/DTC_SalesOverview_ExclTax[[#This Row],[Units]]</f>
        <v>929.17361646006657</v>
      </c>
      <c r="AX175" s="432">
        <f>DTC_SalesOverview_ExclTax[[#This Row],[Units]]/DTC_SalesOverview_ExclTax[[#This Row],[Buyers]]</f>
        <v>2.8620071684587813</v>
      </c>
      <c r="AY175" s="93">
        <f>DTC_SalesOverview_ExclTax[[#This Row],[RR]]/DTC_SalesOverview_ExclTax[[#This Row],[GMV]]</f>
        <v>0.11813227727165375</v>
      </c>
      <c r="AZ175" s="436">
        <f>DTC_SalesOverview_InTax[[#This Row],[RR]]/$F$1</f>
        <v>175295.33628318584</v>
      </c>
      <c r="BA175" s="436">
        <f>DTC_SalesOverview_InTax[[#This Row],[MD GMV]]/$F$1</f>
        <v>1412062.8318584079</v>
      </c>
      <c r="BB175" s="94">
        <f>DTC_SalesOverview_ExclTax[[#This Row],[MD GMV]]/DTC_SalesOverview_ExclTax[[#This Row],[GMV]]</f>
        <v>0.9515951851030181</v>
      </c>
      <c r="BC175" s="436">
        <f>DTC_SalesOverview_InTax[[#This Row],[GMV_TGT]]/$F$1</f>
        <v>0</v>
      </c>
      <c r="BD175" s="436">
        <f>DTC_SalesOverview_InTax[[#This Row],[NET_TGT]]/$F$1</f>
        <v>0</v>
      </c>
      <c r="BE175" s="430">
        <f>DTC_SalesOverview_InTax[[#This Row],[TRAFFIC_TGT]]</f>
        <v>0</v>
      </c>
      <c r="BF175" s="431">
        <f>DTC_SalesOverview_InTax[[#This Row],[BUYERS_TGT]]</f>
        <v>0</v>
      </c>
      <c r="BG175" s="104" t="e">
        <f>DTC_SalesOverview_InTax[[#This Row],[CVR_TGT]]</f>
        <v>#DIV/0!</v>
      </c>
      <c r="BH175" s="431" t="e">
        <f>DTC_SalesOverview_InTax[[#This Row],[ATV_TGT]]</f>
        <v>#DIV/0!</v>
      </c>
      <c r="BI175" s="432" t="e">
        <f>DTC_SalesOverview_InTax[[#This Row],[UPT_TGT]]</f>
        <v>#DIV/0!</v>
      </c>
      <c r="BJ175" s="389" t="e">
        <f>DTC_SalesOverview_InTax[[#This Row],[RRC_TGT]]</f>
        <v>#DIV/0!</v>
      </c>
      <c r="BK175" s="431">
        <f>DTC_SalesOverview_InTax[[#This Row],[UNITS_TGT]]</f>
        <v>0</v>
      </c>
      <c r="BL175" s="28" t="str">
        <f>_xlfn.XLOOKUP(DTC_SalesOverview_ExclTax[[#This Row],[DATE]],全店核心数据_bymonth[开始日期],全店核心数据_bymonth[jda日历.PayYear],"")</f>
        <v>BU25</v>
      </c>
      <c r="BO175" s="28"/>
      <c r="CQ175" s="53"/>
    </row>
    <row r="176" spans="5:95" x14ac:dyDescent="0.3">
      <c r="E176" s="428">
        <v>45597</v>
      </c>
      <c r="F176" s="431">
        <f t="shared" si="26"/>
        <v>242350</v>
      </c>
      <c r="G176" s="431">
        <f t="shared" si="26"/>
        <v>214175</v>
      </c>
      <c r="H176" s="431">
        <f t="shared" si="26"/>
        <v>11511</v>
      </c>
      <c r="I176" s="431">
        <f t="shared" si="26"/>
        <v>36</v>
      </c>
      <c r="J176" s="431">
        <f t="shared" si="26"/>
        <v>59</v>
      </c>
      <c r="K176" s="92">
        <f>DTC_SalesOverview_InTax[[#This Row],[Buyers]]/DTC_SalesOverview_InTax[[#This Row],[UV]]</f>
        <v>3.1274433150899139E-3</v>
      </c>
      <c r="L176" s="431">
        <f>DTC_SalesOverview_InTax[[#This Row],[GMV]]/DTC_SalesOverview_InTax[[#This Row],[Buyers]]</f>
        <v>6731.9444444444443</v>
      </c>
      <c r="M176" s="431">
        <f>DTC_SalesOverview_InTax[[#This Row],[GMV]]/DTC_SalesOverview_InTax[[#This Row],[Units]]</f>
        <v>4107.6271186440681</v>
      </c>
      <c r="N176" s="432">
        <f>DTC_SalesOverview_InTax[[#This Row],[Units]]/DTC_SalesOverview_InTax[[#This Row],[Buyers]]</f>
        <v>1.6388888888888888</v>
      </c>
      <c r="O176" s="93">
        <f>DTC_SalesOverview_InTax[[#This Row],[RR]]/DTC_SalesOverview_InTax[[#This Row],[GMV]]</f>
        <v>0.11625747885289869</v>
      </c>
      <c r="P176" s="431">
        <f t="shared" si="24"/>
        <v>28175</v>
      </c>
      <c r="Q176" s="431">
        <f t="shared" si="24"/>
        <v>97080</v>
      </c>
      <c r="R176" s="94">
        <f>DTC_SalesOverview_InTax[[#This Row],[MD GMV]]/DTC_SalesOverview_InTax[[#This Row],[GMV]]</f>
        <v>0.40057767691355478</v>
      </c>
      <c r="S176" s="431">
        <f t="shared" si="25"/>
        <v>86885</v>
      </c>
      <c r="T176" s="94">
        <f>DTC_SalesOverview_InTax[[#This Row],[MD NET]]/DTC_SalesOverview_InTax[[#This Row],[NET]]</f>
        <v>0.40567293101435742</v>
      </c>
      <c r="U176" s="431">
        <f>SUMIFS(目标表[gmv],目标表[Date],"&gt;="&amp;$E176,目标表[Date],"&lt;="&amp;EOMONTH($E176,0),目标表[channel],"DTC")</f>
        <v>0</v>
      </c>
      <c r="V176" s="431">
        <f>SUMIFS(目标表[net],目标表[Date],"&gt;="&amp;$E176,目标表[Date],"&lt;="&amp;EOMONTH($E176,0),目标表[channel],"DTC")</f>
        <v>0</v>
      </c>
      <c r="W176" s="431">
        <f>SUMIFS(目标表[uv],目标表[Date],"&gt;="&amp;$E176,目标表[Date],"&lt;="&amp;EOMONTH($E176,0),目标表[channel],"DTC")</f>
        <v>0</v>
      </c>
      <c r="X176" s="431">
        <f>SUMIFS(目标表[buyers],目标表[Date],"&gt;="&amp;$E176,目标表[Date],"&lt;="&amp;EOMONTH($E176,0),目标表[channel],"DTC")</f>
        <v>0</v>
      </c>
      <c r="Y176" s="378" t="e">
        <f>DTC_SalesOverview_InTax[[#This Row],[BUYERS_TGT]]/DTC_SalesOverview_InTax[[#This Row],[TRAFFIC_TGT]]</f>
        <v>#DIV/0!</v>
      </c>
      <c r="Z176" s="379" t="e">
        <f>DTC_SalesOverview_InTax[[#This Row],[GMV_TGT]]/DTC_SalesOverview_InTax[[#This Row],[BUYERS_TGT]]</f>
        <v>#DIV/0!</v>
      </c>
      <c r="AA176" s="380" t="e">
        <f>DTC_SalesOverview_InTax[[#This Row],[UNITS_TGT]]/DTC_SalesOverview_InTax[[#This Row],[BUYERS_TGT]]</f>
        <v>#DIV/0!</v>
      </c>
      <c r="AB176" s="94" t="e">
        <f>1-DTC_SalesOverview_InTax[[#This Row],[NET_TGT]]/DTC_SalesOverview_InTax[[#This Row],[GMV_TGT]]</f>
        <v>#DIV/0!</v>
      </c>
      <c r="AC176" s="381">
        <f>SUMIFS(目标表[gmv_units],目标表[Date],"&gt;="&amp;$E176,目标表[Date],"&lt;="&amp;EOMONTH($E176,0),目标表[channel],"DTC")</f>
        <v>0</v>
      </c>
      <c r="AD176" s="105" t="e">
        <f>DTC_SalesOverview_InTax[[#This Row],[GMV]]/DTC_SalesOverview_InTax[[#This Row],[GMV_TGT]]</f>
        <v>#DIV/0!</v>
      </c>
      <c r="AE176" s="105" t="e">
        <f>DTC_SalesOverview_InTax[[#This Row],[NET]]/DTC_SalesOverview_InTax[[#This Row],[NET_TGT]]</f>
        <v>#DIV/0!</v>
      </c>
      <c r="AF176" s="105" t="e">
        <f>DTC_SalesOverview_InTax[[#This Row],[UV]]/DTC_SalesOverview_InTax[[#This Row],[TRAFFIC_TGT]]</f>
        <v>#DIV/0!</v>
      </c>
      <c r="AG176" s="105" t="e">
        <f>DTC_SalesOverview_InTax[[#This Row],[Buyers]]/DTC_SalesOverview_InTax[[#This Row],[BUYERS_TGT]]</f>
        <v>#DIV/0!</v>
      </c>
      <c r="AH176" s="105" t="e">
        <f>DTC_SalesOverview_InTax[[#This Row],[CR]]/DTC_SalesOverview_InTax[[#This Row],[CVR_TGT]]</f>
        <v>#DIV/0!</v>
      </c>
      <c r="AI176" s="105" t="e">
        <f>DTC_SalesOverview_InTax[[#This Row],[ATV]]/DTC_SalesOverview_InTax[[#This Row],[ATV_TGT]]</f>
        <v>#DIV/0!</v>
      </c>
      <c r="AJ176" s="105" t="e">
        <f>DTC_SalesOverview_InTax[[#This Row],[UPT]]/DTC_SalesOverview_InTax[[#This Row],[UPT_TGT]]</f>
        <v>#DIV/0!</v>
      </c>
      <c r="AK176" s="105" t="e">
        <f>DTC_SalesOverview_InTax[[#This Row],[RRC]]/DTC_SalesOverview_InTax[[#This Row],[RRC_TGT]]</f>
        <v>#DIV/0!</v>
      </c>
      <c r="AL176" s="28" t="str">
        <f>_xlfn.XLOOKUP(DTC_SalesOverview_InTax[[#This Row],[DATE]],全店核心数据_bymonth[开始日期],全店核心数据_bymonth[jda日历.PayYear],"")</f>
        <v>BU25</v>
      </c>
      <c r="AO176" s="428">
        <f>DTC_SalesOverview_InTax[[#This Row],[DATE]]</f>
        <v>45597</v>
      </c>
      <c r="AP176" s="436">
        <f>DTC_SalesOverview_InTax[[#This Row],[GMV]]/$F$1</f>
        <v>214469.02654867258</v>
      </c>
      <c r="AQ176" s="436">
        <f>DTC_SalesOverview_ExclTax[[#This Row],[GMV]]-DTC_SalesOverview_ExclTax[[#This Row],[RR]]</f>
        <v>189535.39823008853</v>
      </c>
      <c r="AR176" s="431">
        <f>DTC_SalesOverview_InTax[[#This Row],[UV]]</f>
        <v>11511</v>
      </c>
      <c r="AS176" s="431">
        <f>DTC_SalesOverview_InTax[[#This Row],[Buyers]]</f>
        <v>36</v>
      </c>
      <c r="AT176" s="431">
        <f>DTC_SalesOverview_InTax[[#This Row],[Units]]</f>
        <v>59</v>
      </c>
      <c r="AU176" s="92">
        <f>DTC_SalesOverview_ExclTax[[#This Row],[Buyers]]/DTC_SalesOverview_ExclTax[[#This Row],[UV]]</f>
        <v>3.1274433150899139E-3</v>
      </c>
      <c r="AV176" s="431">
        <f>DTC_SalesOverview_ExclTax[[#This Row],[GMV]]/DTC_SalesOverview_ExclTax[[#This Row],[Buyers]]</f>
        <v>5957.4729596853495</v>
      </c>
      <c r="AW176" s="431">
        <f>DTC_SalesOverview_ExclTax[[#This Row],[GMV]]/DTC_SalesOverview_ExclTax[[#This Row],[Units]]</f>
        <v>3635.0682465876707</v>
      </c>
      <c r="AX176" s="432">
        <f>DTC_SalesOverview_ExclTax[[#This Row],[Units]]/DTC_SalesOverview_ExclTax[[#This Row],[Buyers]]</f>
        <v>1.6388888888888888</v>
      </c>
      <c r="AY176" s="93">
        <f>DTC_SalesOverview_ExclTax[[#This Row],[RR]]/DTC_SalesOverview_ExclTax[[#This Row],[GMV]]</f>
        <v>0.11625747885289871</v>
      </c>
      <c r="AZ176" s="436">
        <f>DTC_SalesOverview_InTax[[#This Row],[RR]]/$F$1</f>
        <v>24933.628318584073</v>
      </c>
      <c r="BA176" s="436">
        <f>DTC_SalesOverview_InTax[[#This Row],[MD GMV]]/$F$1</f>
        <v>85911.504424778774</v>
      </c>
      <c r="BB176" s="94">
        <f>DTC_SalesOverview_ExclTax[[#This Row],[MD GMV]]/DTC_SalesOverview_ExclTax[[#This Row],[GMV]]</f>
        <v>0.40057767691355478</v>
      </c>
      <c r="BC176" s="436">
        <f>DTC_SalesOverview_InTax[[#This Row],[GMV_TGT]]/$F$1</f>
        <v>0</v>
      </c>
      <c r="BD176" s="436">
        <f>DTC_SalesOverview_InTax[[#This Row],[NET_TGT]]/$F$1</f>
        <v>0</v>
      </c>
      <c r="BE176" s="430">
        <f>DTC_SalesOverview_InTax[[#This Row],[TRAFFIC_TGT]]</f>
        <v>0</v>
      </c>
      <c r="BF176" s="431">
        <f>DTC_SalesOverview_InTax[[#This Row],[BUYERS_TGT]]</f>
        <v>0</v>
      </c>
      <c r="BG176" s="104" t="e">
        <f>DTC_SalesOverview_InTax[[#This Row],[CVR_TGT]]</f>
        <v>#DIV/0!</v>
      </c>
      <c r="BH176" s="431" t="e">
        <f>DTC_SalesOverview_InTax[[#This Row],[ATV_TGT]]</f>
        <v>#DIV/0!</v>
      </c>
      <c r="BI176" s="432" t="e">
        <f>DTC_SalesOverview_InTax[[#This Row],[UPT_TGT]]</f>
        <v>#DIV/0!</v>
      </c>
      <c r="BJ176" s="389" t="e">
        <f>DTC_SalesOverview_InTax[[#This Row],[RRC_TGT]]</f>
        <v>#DIV/0!</v>
      </c>
      <c r="BK176" s="431">
        <f>DTC_SalesOverview_InTax[[#This Row],[UNITS_TGT]]</f>
        <v>0</v>
      </c>
      <c r="BL176" s="28" t="str">
        <f>_xlfn.XLOOKUP(DTC_SalesOverview_ExclTax[[#This Row],[DATE]],全店核心数据_bymonth[开始日期],全店核心数据_bymonth[jda日历.PayYear],"")</f>
        <v>BU25</v>
      </c>
      <c r="BO176" s="28"/>
      <c r="CQ176" s="53"/>
    </row>
    <row r="177" spans="5:95" x14ac:dyDescent="0.3">
      <c r="E177" s="428">
        <v>45566</v>
      </c>
      <c r="F177" s="431">
        <f t="shared" si="26"/>
        <v>43695</v>
      </c>
      <c r="G177" s="431">
        <f t="shared" si="26"/>
        <v>30860</v>
      </c>
      <c r="H177" s="431">
        <f t="shared" si="26"/>
        <v>7919</v>
      </c>
      <c r="I177" s="431">
        <f t="shared" si="26"/>
        <v>10</v>
      </c>
      <c r="J177" s="431">
        <f t="shared" si="26"/>
        <v>34</v>
      </c>
      <c r="K177" s="92">
        <f>DTC_SalesOverview_InTax[[#This Row],[Buyers]]/DTC_SalesOverview_InTax[[#This Row],[UV]]</f>
        <v>1.2627857052658164E-3</v>
      </c>
      <c r="L177" s="431">
        <f>DTC_SalesOverview_InTax[[#This Row],[GMV]]/DTC_SalesOverview_InTax[[#This Row],[Buyers]]</f>
        <v>4369.5</v>
      </c>
      <c r="M177" s="431">
        <f>DTC_SalesOverview_InTax[[#This Row],[GMV]]/DTC_SalesOverview_InTax[[#This Row],[Units]]</f>
        <v>1285.1470588235295</v>
      </c>
      <c r="N177" s="432">
        <f>DTC_SalesOverview_InTax[[#This Row],[Units]]/DTC_SalesOverview_InTax[[#This Row],[Buyers]]</f>
        <v>3.4</v>
      </c>
      <c r="O177" s="93">
        <f>DTC_SalesOverview_InTax[[#This Row],[RR]]/DTC_SalesOverview_InTax[[#This Row],[GMV]]</f>
        <v>0.2937407025975512</v>
      </c>
      <c r="P177" s="431">
        <f t="shared" si="24"/>
        <v>12835</v>
      </c>
      <c r="Q177" s="431">
        <f t="shared" si="24"/>
        <v>8365</v>
      </c>
      <c r="R177" s="94">
        <f>DTC_SalesOverview_InTax[[#This Row],[MD GMV]]/DTC_SalesOverview_InTax[[#This Row],[GMV]]</f>
        <v>0.19144066826868061</v>
      </c>
      <c r="S177" s="431">
        <f t="shared" si="25"/>
        <v>0</v>
      </c>
      <c r="T177" s="94">
        <f>DTC_SalesOverview_InTax[[#This Row],[MD NET]]/DTC_SalesOverview_InTax[[#This Row],[NET]]</f>
        <v>0</v>
      </c>
      <c r="U177" s="431">
        <f>SUMIFS(目标表[gmv],目标表[Date],"&gt;="&amp;$E177,目标表[Date],"&lt;="&amp;EOMONTH($E177,0),目标表[channel],"DTC")</f>
        <v>0</v>
      </c>
      <c r="V177" s="431">
        <f>SUMIFS(目标表[net],目标表[Date],"&gt;="&amp;$E177,目标表[Date],"&lt;="&amp;EOMONTH($E177,0),目标表[channel],"DTC")</f>
        <v>0</v>
      </c>
      <c r="W177" s="431">
        <f>SUMIFS(目标表[uv],目标表[Date],"&gt;="&amp;$E177,目标表[Date],"&lt;="&amp;EOMONTH($E177,0),目标表[channel],"DTC")</f>
        <v>0</v>
      </c>
      <c r="X177" s="431">
        <f>SUMIFS(目标表[buyers],目标表[Date],"&gt;="&amp;$E177,目标表[Date],"&lt;="&amp;EOMONTH($E177,0),目标表[channel],"DTC")</f>
        <v>0</v>
      </c>
      <c r="Y177" s="378" t="e">
        <f>DTC_SalesOverview_InTax[[#This Row],[BUYERS_TGT]]/DTC_SalesOverview_InTax[[#This Row],[TRAFFIC_TGT]]</f>
        <v>#DIV/0!</v>
      </c>
      <c r="Z177" s="379" t="e">
        <f>DTC_SalesOverview_InTax[[#This Row],[GMV_TGT]]/DTC_SalesOverview_InTax[[#This Row],[BUYERS_TGT]]</f>
        <v>#DIV/0!</v>
      </c>
      <c r="AA177" s="380" t="e">
        <f>DTC_SalesOverview_InTax[[#This Row],[UNITS_TGT]]/DTC_SalesOverview_InTax[[#This Row],[BUYERS_TGT]]</f>
        <v>#DIV/0!</v>
      </c>
      <c r="AB177" s="94" t="e">
        <f>1-DTC_SalesOverview_InTax[[#This Row],[NET_TGT]]/DTC_SalesOverview_InTax[[#This Row],[GMV_TGT]]</f>
        <v>#DIV/0!</v>
      </c>
      <c r="AC177" s="381">
        <f>SUMIFS(目标表[gmv_units],目标表[Date],"&gt;="&amp;$E177,目标表[Date],"&lt;="&amp;EOMONTH($E177,0),目标表[channel],"DTC")</f>
        <v>0</v>
      </c>
      <c r="AD177" s="105" t="e">
        <f>DTC_SalesOverview_InTax[[#This Row],[GMV]]/DTC_SalesOverview_InTax[[#This Row],[GMV_TGT]]</f>
        <v>#DIV/0!</v>
      </c>
      <c r="AE177" s="105" t="e">
        <f>DTC_SalesOverview_InTax[[#This Row],[NET]]/DTC_SalesOverview_InTax[[#This Row],[NET_TGT]]</f>
        <v>#DIV/0!</v>
      </c>
      <c r="AF177" s="105" t="e">
        <f>DTC_SalesOverview_InTax[[#This Row],[UV]]/DTC_SalesOverview_InTax[[#This Row],[TRAFFIC_TGT]]</f>
        <v>#DIV/0!</v>
      </c>
      <c r="AG177" s="105" t="e">
        <f>DTC_SalesOverview_InTax[[#This Row],[Buyers]]/DTC_SalesOverview_InTax[[#This Row],[BUYERS_TGT]]</f>
        <v>#DIV/0!</v>
      </c>
      <c r="AH177" s="105" t="e">
        <f>DTC_SalesOverview_InTax[[#This Row],[CR]]/DTC_SalesOverview_InTax[[#This Row],[CVR_TGT]]</f>
        <v>#DIV/0!</v>
      </c>
      <c r="AI177" s="105" t="e">
        <f>DTC_SalesOverview_InTax[[#This Row],[ATV]]/DTC_SalesOverview_InTax[[#This Row],[ATV_TGT]]</f>
        <v>#DIV/0!</v>
      </c>
      <c r="AJ177" s="105" t="e">
        <f>DTC_SalesOverview_InTax[[#This Row],[UPT]]/DTC_SalesOverview_InTax[[#This Row],[UPT_TGT]]</f>
        <v>#DIV/0!</v>
      </c>
      <c r="AK177" s="105" t="e">
        <f>DTC_SalesOverview_InTax[[#This Row],[RRC]]/DTC_SalesOverview_InTax[[#This Row],[RRC_TGT]]</f>
        <v>#DIV/0!</v>
      </c>
      <c r="AL177" s="28" t="str">
        <f>_xlfn.XLOOKUP(DTC_SalesOverview_InTax[[#This Row],[DATE]],全店核心数据_bymonth[开始日期],全店核心数据_bymonth[jda日历.PayYear],"")</f>
        <v>BU25</v>
      </c>
      <c r="AO177" s="428">
        <f>DTC_SalesOverview_InTax[[#This Row],[DATE]]</f>
        <v>45566</v>
      </c>
      <c r="AP177" s="436">
        <f>DTC_SalesOverview_InTax[[#This Row],[GMV]]/$F$1</f>
        <v>38668.141592920358</v>
      </c>
      <c r="AQ177" s="436">
        <f>DTC_SalesOverview_ExclTax[[#This Row],[GMV]]-DTC_SalesOverview_ExclTax[[#This Row],[RR]]</f>
        <v>27309.734513274339</v>
      </c>
      <c r="AR177" s="431">
        <f>DTC_SalesOverview_InTax[[#This Row],[UV]]</f>
        <v>7919</v>
      </c>
      <c r="AS177" s="431">
        <f>DTC_SalesOverview_InTax[[#This Row],[Buyers]]</f>
        <v>10</v>
      </c>
      <c r="AT177" s="431">
        <f>DTC_SalesOverview_InTax[[#This Row],[Units]]</f>
        <v>34</v>
      </c>
      <c r="AU177" s="92">
        <f>DTC_SalesOverview_ExclTax[[#This Row],[Buyers]]/DTC_SalesOverview_ExclTax[[#This Row],[UV]]</f>
        <v>1.2627857052658164E-3</v>
      </c>
      <c r="AV177" s="431">
        <f>DTC_SalesOverview_ExclTax[[#This Row],[GMV]]/DTC_SalesOverview_ExclTax[[#This Row],[Buyers]]</f>
        <v>3866.8141592920356</v>
      </c>
      <c r="AW177" s="431">
        <f>DTC_SalesOverview_ExclTax[[#This Row],[GMV]]/DTC_SalesOverview_ExclTax[[#This Row],[Units]]</f>
        <v>1137.2982821447165</v>
      </c>
      <c r="AX177" s="432">
        <f>DTC_SalesOverview_ExclTax[[#This Row],[Units]]/DTC_SalesOverview_ExclTax[[#This Row],[Buyers]]</f>
        <v>3.4</v>
      </c>
      <c r="AY177" s="93">
        <f>DTC_SalesOverview_ExclTax[[#This Row],[RR]]/DTC_SalesOverview_ExclTax[[#This Row],[GMV]]</f>
        <v>0.2937407025975512</v>
      </c>
      <c r="AZ177" s="436">
        <f>DTC_SalesOverview_InTax[[#This Row],[RR]]/$F$1</f>
        <v>11358.407079646018</v>
      </c>
      <c r="BA177" s="436">
        <f>DTC_SalesOverview_InTax[[#This Row],[MD GMV]]/$F$1</f>
        <v>7402.6548672566378</v>
      </c>
      <c r="BB177" s="94">
        <f>DTC_SalesOverview_ExclTax[[#This Row],[MD GMV]]/DTC_SalesOverview_ExclTax[[#This Row],[GMV]]</f>
        <v>0.19144066826868061</v>
      </c>
      <c r="BC177" s="436">
        <f>DTC_SalesOverview_InTax[[#This Row],[GMV_TGT]]/$F$1</f>
        <v>0</v>
      </c>
      <c r="BD177" s="436">
        <f>DTC_SalesOverview_InTax[[#This Row],[NET_TGT]]/$F$1</f>
        <v>0</v>
      </c>
      <c r="BE177" s="430">
        <f>DTC_SalesOverview_InTax[[#This Row],[TRAFFIC_TGT]]</f>
        <v>0</v>
      </c>
      <c r="BF177" s="431">
        <f>DTC_SalesOverview_InTax[[#This Row],[BUYERS_TGT]]</f>
        <v>0</v>
      </c>
      <c r="BG177" s="104" t="e">
        <f>DTC_SalesOverview_InTax[[#This Row],[CVR_TGT]]</f>
        <v>#DIV/0!</v>
      </c>
      <c r="BH177" s="431" t="e">
        <f>DTC_SalesOverview_InTax[[#This Row],[ATV_TGT]]</f>
        <v>#DIV/0!</v>
      </c>
      <c r="BI177" s="432" t="e">
        <f>DTC_SalesOverview_InTax[[#This Row],[UPT_TGT]]</f>
        <v>#DIV/0!</v>
      </c>
      <c r="BJ177" s="389" t="e">
        <f>DTC_SalesOverview_InTax[[#This Row],[RRC_TGT]]</f>
        <v>#DIV/0!</v>
      </c>
      <c r="BK177" s="431">
        <f>DTC_SalesOverview_InTax[[#This Row],[UNITS_TGT]]</f>
        <v>0</v>
      </c>
      <c r="BL177" s="28" t="str">
        <f>_xlfn.XLOOKUP(DTC_SalesOverview_ExclTax[[#This Row],[DATE]],全店核心数据_bymonth[开始日期],全店核心数据_bymonth[jda日历.PayYear],"")</f>
        <v>BU25</v>
      </c>
      <c r="BO177" s="28"/>
      <c r="CQ177" s="53"/>
    </row>
    <row r="178" spans="5:95" x14ac:dyDescent="0.3">
      <c r="E178" s="428">
        <v>45536</v>
      </c>
      <c r="F178" s="431">
        <f t="shared" si="26"/>
        <v>95565</v>
      </c>
      <c r="G178" s="431">
        <f t="shared" si="26"/>
        <v>87675</v>
      </c>
      <c r="H178" s="431">
        <f t="shared" si="26"/>
        <v>8023</v>
      </c>
      <c r="I178" s="431">
        <f t="shared" si="26"/>
        <v>10</v>
      </c>
      <c r="J178" s="431">
        <f t="shared" si="26"/>
        <v>12</v>
      </c>
      <c r="K178" s="92">
        <f>DTC_SalesOverview_InTax[[#This Row],[Buyers]]/DTC_SalesOverview_InTax[[#This Row],[UV]]</f>
        <v>1.2464165524118161E-3</v>
      </c>
      <c r="L178" s="431">
        <f>DTC_SalesOverview_InTax[[#This Row],[GMV]]/DTC_SalesOverview_InTax[[#This Row],[Buyers]]</f>
        <v>9556.5</v>
      </c>
      <c r="M178" s="431">
        <f>DTC_SalesOverview_InTax[[#This Row],[GMV]]/DTC_SalesOverview_InTax[[#This Row],[Units]]</f>
        <v>7963.75</v>
      </c>
      <c r="N178" s="432">
        <f>DTC_SalesOverview_InTax[[#This Row],[Units]]/DTC_SalesOverview_InTax[[#This Row],[Buyers]]</f>
        <v>1.2</v>
      </c>
      <c r="O178" s="93">
        <f>DTC_SalesOverview_InTax[[#This Row],[RR]]/DTC_SalesOverview_InTax[[#This Row],[GMV]]</f>
        <v>8.2561607283001104E-2</v>
      </c>
      <c r="P178" s="431">
        <f t="shared" si="24"/>
        <v>7890</v>
      </c>
      <c r="Q178" s="431">
        <f t="shared" si="24"/>
        <v>0</v>
      </c>
      <c r="R178" s="94">
        <f>DTC_SalesOverview_InTax[[#This Row],[MD GMV]]/DTC_SalesOverview_InTax[[#This Row],[GMV]]</f>
        <v>0</v>
      </c>
      <c r="S178" s="431">
        <f t="shared" si="25"/>
        <v>0</v>
      </c>
      <c r="T178" s="94">
        <f>DTC_SalesOverview_InTax[[#This Row],[MD NET]]/DTC_SalesOverview_InTax[[#This Row],[NET]]</f>
        <v>0</v>
      </c>
      <c r="U178" s="431">
        <f>SUMIFS(目标表[gmv],目标表[Date],"&gt;="&amp;$E178,目标表[Date],"&lt;="&amp;EOMONTH($E178,0),目标表[channel],"DTC")</f>
        <v>0</v>
      </c>
      <c r="V178" s="431">
        <f>SUMIFS(目标表[net],目标表[Date],"&gt;="&amp;$E178,目标表[Date],"&lt;="&amp;EOMONTH($E178,0),目标表[channel],"DTC")</f>
        <v>0</v>
      </c>
      <c r="W178" s="431">
        <f>SUMIFS(目标表[uv],目标表[Date],"&gt;="&amp;$E178,目标表[Date],"&lt;="&amp;EOMONTH($E178,0),目标表[channel],"DTC")</f>
        <v>0</v>
      </c>
      <c r="X178" s="431">
        <f>SUMIFS(目标表[buyers],目标表[Date],"&gt;="&amp;$E178,目标表[Date],"&lt;="&amp;EOMONTH($E178,0),目标表[channel],"DTC")</f>
        <v>0</v>
      </c>
      <c r="Y178" s="378" t="e">
        <f>DTC_SalesOverview_InTax[[#This Row],[BUYERS_TGT]]/DTC_SalesOverview_InTax[[#This Row],[TRAFFIC_TGT]]</f>
        <v>#DIV/0!</v>
      </c>
      <c r="Z178" s="379" t="e">
        <f>DTC_SalesOverview_InTax[[#This Row],[GMV_TGT]]/DTC_SalesOverview_InTax[[#This Row],[BUYERS_TGT]]</f>
        <v>#DIV/0!</v>
      </c>
      <c r="AA178" s="380" t="e">
        <f>DTC_SalesOverview_InTax[[#This Row],[UNITS_TGT]]/DTC_SalesOverview_InTax[[#This Row],[BUYERS_TGT]]</f>
        <v>#DIV/0!</v>
      </c>
      <c r="AB178" s="94" t="e">
        <f>1-DTC_SalesOverview_InTax[[#This Row],[NET_TGT]]/DTC_SalesOverview_InTax[[#This Row],[GMV_TGT]]</f>
        <v>#DIV/0!</v>
      </c>
      <c r="AC178" s="381">
        <f>SUMIFS(目标表[gmv_units],目标表[Date],"&gt;="&amp;$E178,目标表[Date],"&lt;="&amp;EOMONTH($E178,0),目标表[channel],"DTC")</f>
        <v>0</v>
      </c>
      <c r="AD178" s="105" t="e">
        <f>DTC_SalesOverview_InTax[[#This Row],[GMV]]/DTC_SalesOverview_InTax[[#This Row],[GMV_TGT]]</f>
        <v>#DIV/0!</v>
      </c>
      <c r="AE178" s="105" t="e">
        <f>DTC_SalesOverview_InTax[[#This Row],[NET]]/DTC_SalesOverview_InTax[[#This Row],[NET_TGT]]</f>
        <v>#DIV/0!</v>
      </c>
      <c r="AF178" s="105" t="e">
        <f>DTC_SalesOverview_InTax[[#This Row],[UV]]/DTC_SalesOverview_InTax[[#This Row],[TRAFFIC_TGT]]</f>
        <v>#DIV/0!</v>
      </c>
      <c r="AG178" s="105" t="e">
        <f>DTC_SalesOverview_InTax[[#This Row],[Buyers]]/DTC_SalesOverview_InTax[[#This Row],[BUYERS_TGT]]</f>
        <v>#DIV/0!</v>
      </c>
      <c r="AH178" s="105" t="e">
        <f>DTC_SalesOverview_InTax[[#This Row],[CR]]/DTC_SalesOverview_InTax[[#This Row],[CVR_TGT]]</f>
        <v>#DIV/0!</v>
      </c>
      <c r="AI178" s="105" t="e">
        <f>DTC_SalesOverview_InTax[[#This Row],[ATV]]/DTC_SalesOverview_InTax[[#This Row],[ATV_TGT]]</f>
        <v>#DIV/0!</v>
      </c>
      <c r="AJ178" s="105" t="e">
        <f>DTC_SalesOverview_InTax[[#This Row],[UPT]]/DTC_SalesOverview_InTax[[#This Row],[UPT_TGT]]</f>
        <v>#DIV/0!</v>
      </c>
      <c r="AK178" s="105" t="e">
        <f>DTC_SalesOverview_InTax[[#This Row],[RRC]]/DTC_SalesOverview_InTax[[#This Row],[RRC_TGT]]</f>
        <v>#DIV/0!</v>
      </c>
      <c r="AL178" s="28" t="str">
        <f>_xlfn.XLOOKUP(DTC_SalesOverview_InTax[[#This Row],[DATE]],全店核心数据_bymonth[开始日期],全店核心数据_bymonth[jda日历.PayYear],"")</f>
        <v>BU25</v>
      </c>
      <c r="AO178" s="428">
        <f>DTC_SalesOverview_InTax[[#This Row],[DATE]]</f>
        <v>45536</v>
      </c>
      <c r="AP178" s="436">
        <f>DTC_SalesOverview_InTax[[#This Row],[GMV]]/$F$1</f>
        <v>84570.796460176993</v>
      </c>
      <c r="AQ178" s="436">
        <f>DTC_SalesOverview_ExclTax[[#This Row],[GMV]]-DTC_SalesOverview_ExclTax[[#This Row],[RR]]</f>
        <v>77588.495575221241</v>
      </c>
      <c r="AR178" s="431">
        <f>DTC_SalesOverview_InTax[[#This Row],[UV]]</f>
        <v>8023</v>
      </c>
      <c r="AS178" s="431">
        <f>DTC_SalesOverview_InTax[[#This Row],[Buyers]]</f>
        <v>10</v>
      </c>
      <c r="AT178" s="431">
        <f>DTC_SalesOverview_InTax[[#This Row],[Units]]</f>
        <v>12</v>
      </c>
      <c r="AU178" s="92">
        <f>DTC_SalesOverview_ExclTax[[#This Row],[Buyers]]/DTC_SalesOverview_ExclTax[[#This Row],[UV]]</f>
        <v>1.2464165524118161E-3</v>
      </c>
      <c r="AV178" s="431">
        <f>DTC_SalesOverview_ExclTax[[#This Row],[GMV]]/DTC_SalesOverview_ExclTax[[#This Row],[Buyers]]</f>
        <v>8457.0796460176989</v>
      </c>
      <c r="AW178" s="431">
        <f>DTC_SalesOverview_ExclTax[[#This Row],[GMV]]/DTC_SalesOverview_ExclTax[[#This Row],[Units]]</f>
        <v>7047.5663716814161</v>
      </c>
      <c r="AX178" s="432">
        <f>DTC_SalesOverview_ExclTax[[#This Row],[Units]]/DTC_SalesOverview_ExclTax[[#This Row],[Buyers]]</f>
        <v>1.2</v>
      </c>
      <c r="AY178" s="93">
        <f>DTC_SalesOverview_ExclTax[[#This Row],[RR]]/DTC_SalesOverview_ExclTax[[#This Row],[GMV]]</f>
        <v>8.2561607283001104E-2</v>
      </c>
      <c r="AZ178" s="436">
        <f>DTC_SalesOverview_InTax[[#This Row],[RR]]/$F$1</f>
        <v>6982.3008849557527</v>
      </c>
      <c r="BA178" s="436">
        <f>DTC_SalesOverview_InTax[[#This Row],[MD GMV]]/$F$1</f>
        <v>0</v>
      </c>
      <c r="BB178" s="94">
        <f>DTC_SalesOverview_ExclTax[[#This Row],[MD GMV]]/DTC_SalesOverview_ExclTax[[#This Row],[GMV]]</f>
        <v>0</v>
      </c>
      <c r="BC178" s="436">
        <f>DTC_SalesOverview_InTax[[#This Row],[GMV_TGT]]/$F$1</f>
        <v>0</v>
      </c>
      <c r="BD178" s="436">
        <f>DTC_SalesOverview_InTax[[#This Row],[NET_TGT]]/$F$1</f>
        <v>0</v>
      </c>
      <c r="BE178" s="430">
        <f>DTC_SalesOverview_InTax[[#This Row],[TRAFFIC_TGT]]</f>
        <v>0</v>
      </c>
      <c r="BF178" s="431">
        <f>DTC_SalesOverview_InTax[[#This Row],[BUYERS_TGT]]</f>
        <v>0</v>
      </c>
      <c r="BG178" s="104" t="e">
        <f>DTC_SalesOverview_InTax[[#This Row],[CVR_TGT]]</f>
        <v>#DIV/0!</v>
      </c>
      <c r="BH178" s="431" t="e">
        <f>DTC_SalesOverview_InTax[[#This Row],[ATV_TGT]]</f>
        <v>#DIV/0!</v>
      </c>
      <c r="BI178" s="432" t="e">
        <f>DTC_SalesOverview_InTax[[#This Row],[UPT_TGT]]</f>
        <v>#DIV/0!</v>
      </c>
      <c r="BJ178" s="389" t="e">
        <f>DTC_SalesOverview_InTax[[#This Row],[RRC_TGT]]</f>
        <v>#DIV/0!</v>
      </c>
      <c r="BK178" s="431">
        <f>DTC_SalesOverview_InTax[[#This Row],[UNITS_TGT]]</f>
        <v>0</v>
      </c>
      <c r="BL178" s="28" t="str">
        <f>_xlfn.XLOOKUP(DTC_SalesOverview_ExclTax[[#This Row],[DATE]],全店核心数据_bymonth[开始日期],全店核心数据_bymonth[jda日历.PayYear],"")</f>
        <v>BU25</v>
      </c>
      <c r="BO178" s="28"/>
      <c r="CQ178" s="53"/>
    </row>
    <row r="179" spans="5:95" x14ac:dyDescent="0.3">
      <c r="E179" s="428">
        <v>45505</v>
      </c>
      <c r="F179" s="431">
        <f t="shared" si="26"/>
        <v>109620</v>
      </c>
      <c r="G179" s="431">
        <f t="shared" si="26"/>
        <v>100630</v>
      </c>
      <c r="H179" s="431">
        <f t="shared" si="26"/>
        <v>9530</v>
      </c>
      <c r="I179" s="431">
        <f t="shared" si="26"/>
        <v>16</v>
      </c>
      <c r="J179" s="431">
        <f t="shared" si="26"/>
        <v>18</v>
      </c>
      <c r="K179" s="92">
        <f>DTC_SalesOverview_InTax[[#This Row],[Buyers]]/DTC_SalesOverview_InTax[[#This Row],[UV]]</f>
        <v>1.6789087093389296E-3</v>
      </c>
      <c r="L179" s="431">
        <f>DTC_SalesOverview_InTax[[#This Row],[GMV]]/DTC_SalesOverview_InTax[[#This Row],[Buyers]]</f>
        <v>6851.25</v>
      </c>
      <c r="M179" s="431">
        <f>DTC_SalesOverview_InTax[[#This Row],[GMV]]/DTC_SalesOverview_InTax[[#This Row],[Units]]</f>
        <v>6090</v>
      </c>
      <c r="N179" s="432">
        <f>DTC_SalesOverview_InTax[[#This Row],[Units]]/DTC_SalesOverview_InTax[[#This Row],[Buyers]]</f>
        <v>1.125</v>
      </c>
      <c r="O179" s="93">
        <f>DTC_SalesOverview_InTax[[#This Row],[RR]]/DTC_SalesOverview_InTax[[#This Row],[GMV]]</f>
        <v>8.2010582010582006E-2</v>
      </c>
      <c r="P179" s="431">
        <f t="shared" si="24"/>
        <v>8990</v>
      </c>
      <c r="Q179" s="431">
        <f t="shared" si="24"/>
        <v>0</v>
      </c>
      <c r="R179" s="94">
        <f>DTC_SalesOverview_InTax[[#This Row],[MD GMV]]/DTC_SalesOverview_InTax[[#This Row],[GMV]]</f>
        <v>0</v>
      </c>
      <c r="S179" s="431">
        <f t="shared" si="25"/>
        <v>0</v>
      </c>
      <c r="T179" s="94">
        <f>DTC_SalesOverview_InTax[[#This Row],[MD NET]]/DTC_SalesOverview_InTax[[#This Row],[NET]]</f>
        <v>0</v>
      </c>
      <c r="U179" s="431">
        <f>SUMIFS(目标表[gmv],目标表[Date],"&gt;="&amp;$E179,目标表[Date],"&lt;="&amp;EOMONTH($E179,0),目标表[channel],"DTC")</f>
        <v>0</v>
      </c>
      <c r="V179" s="431">
        <f>SUMIFS(目标表[net],目标表[Date],"&gt;="&amp;$E179,目标表[Date],"&lt;="&amp;EOMONTH($E179,0),目标表[channel],"DTC")</f>
        <v>0</v>
      </c>
      <c r="W179" s="431">
        <f>SUMIFS(目标表[uv],目标表[Date],"&gt;="&amp;$E179,目标表[Date],"&lt;="&amp;EOMONTH($E179,0),目标表[channel],"DTC")</f>
        <v>0</v>
      </c>
      <c r="X179" s="431">
        <f>SUMIFS(目标表[buyers],目标表[Date],"&gt;="&amp;$E179,目标表[Date],"&lt;="&amp;EOMONTH($E179,0),目标表[channel],"DTC")</f>
        <v>0</v>
      </c>
      <c r="Y179" s="378" t="e">
        <f>DTC_SalesOverview_InTax[[#This Row],[BUYERS_TGT]]/DTC_SalesOverview_InTax[[#This Row],[TRAFFIC_TGT]]</f>
        <v>#DIV/0!</v>
      </c>
      <c r="Z179" s="379" t="e">
        <f>DTC_SalesOverview_InTax[[#This Row],[GMV_TGT]]/DTC_SalesOverview_InTax[[#This Row],[BUYERS_TGT]]</f>
        <v>#DIV/0!</v>
      </c>
      <c r="AA179" s="380" t="e">
        <f>DTC_SalesOverview_InTax[[#This Row],[UNITS_TGT]]/DTC_SalesOverview_InTax[[#This Row],[BUYERS_TGT]]</f>
        <v>#DIV/0!</v>
      </c>
      <c r="AB179" s="94" t="e">
        <f>1-DTC_SalesOverview_InTax[[#This Row],[NET_TGT]]/DTC_SalesOverview_InTax[[#This Row],[GMV_TGT]]</f>
        <v>#DIV/0!</v>
      </c>
      <c r="AC179" s="381">
        <f>SUMIFS(目标表[gmv_units],目标表[Date],"&gt;="&amp;$E179,目标表[Date],"&lt;="&amp;EOMONTH($E179,0),目标表[channel],"DTC")</f>
        <v>0</v>
      </c>
      <c r="AD179" s="105" t="e">
        <f>DTC_SalesOverview_InTax[[#This Row],[GMV]]/DTC_SalesOverview_InTax[[#This Row],[GMV_TGT]]</f>
        <v>#DIV/0!</v>
      </c>
      <c r="AE179" s="105" t="e">
        <f>DTC_SalesOverview_InTax[[#This Row],[NET]]/DTC_SalesOverview_InTax[[#This Row],[NET_TGT]]</f>
        <v>#DIV/0!</v>
      </c>
      <c r="AF179" s="105" t="e">
        <f>DTC_SalesOverview_InTax[[#This Row],[UV]]/DTC_SalesOverview_InTax[[#This Row],[TRAFFIC_TGT]]</f>
        <v>#DIV/0!</v>
      </c>
      <c r="AG179" s="105" t="e">
        <f>DTC_SalesOverview_InTax[[#This Row],[Buyers]]/DTC_SalesOverview_InTax[[#This Row],[BUYERS_TGT]]</f>
        <v>#DIV/0!</v>
      </c>
      <c r="AH179" s="105" t="e">
        <f>DTC_SalesOverview_InTax[[#This Row],[CR]]/DTC_SalesOverview_InTax[[#This Row],[CVR_TGT]]</f>
        <v>#DIV/0!</v>
      </c>
      <c r="AI179" s="105" t="e">
        <f>DTC_SalesOverview_InTax[[#This Row],[ATV]]/DTC_SalesOverview_InTax[[#This Row],[ATV_TGT]]</f>
        <v>#DIV/0!</v>
      </c>
      <c r="AJ179" s="105" t="e">
        <f>DTC_SalesOverview_InTax[[#This Row],[UPT]]/DTC_SalesOverview_InTax[[#This Row],[UPT_TGT]]</f>
        <v>#DIV/0!</v>
      </c>
      <c r="AK179" s="105" t="e">
        <f>DTC_SalesOverview_InTax[[#This Row],[RRC]]/DTC_SalesOverview_InTax[[#This Row],[RRC_TGT]]</f>
        <v>#DIV/0!</v>
      </c>
      <c r="AL179" s="28" t="str">
        <f>_xlfn.XLOOKUP(DTC_SalesOverview_InTax[[#This Row],[DATE]],全店核心数据_bymonth[开始日期],全店核心数据_bymonth[jda日历.PayYear],"")</f>
        <v>BU25</v>
      </c>
      <c r="AO179" s="428">
        <f>DTC_SalesOverview_InTax[[#This Row],[DATE]]</f>
        <v>45505</v>
      </c>
      <c r="AP179" s="429">
        <f>DTC_SalesOverview_InTax[[#This Row],[GMV]]/$F$1</f>
        <v>97008.849557522131</v>
      </c>
      <c r="AQ179" s="429">
        <f>DTC_SalesOverview_ExclTax[[#This Row],[GMV]]-DTC_SalesOverview_ExclTax[[#This Row],[RR]]</f>
        <v>89053.097345132745</v>
      </c>
      <c r="AR179" s="431">
        <f>DTC_SalesOverview_InTax[[#This Row],[UV]]</f>
        <v>9530</v>
      </c>
      <c r="AS179" s="431">
        <f>DTC_SalesOverview_InTax[[#This Row],[Buyers]]</f>
        <v>16</v>
      </c>
      <c r="AT179" s="431">
        <f>DTC_SalesOverview_InTax[[#This Row],[Units]]</f>
        <v>18</v>
      </c>
      <c r="AU179" s="92">
        <f>DTC_SalesOverview_ExclTax[[#This Row],[Buyers]]/DTC_SalesOverview_ExclTax[[#This Row],[UV]]</f>
        <v>1.6789087093389296E-3</v>
      </c>
      <c r="AV179" s="431">
        <f>DTC_SalesOverview_ExclTax[[#This Row],[GMV]]/DTC_SalesOverview_ExclTax[[#This Row],[Buyers]]</f>
        <v>6063.0530973451332</v>
      </c>
      <c r="AW179" s="431">
        <f>DTC_SalesOverview_ExclTax[[#This Row],[GMV]]/DTC_SalesOverview_ExclTax[[#This Row],[Units]]</f>
        <v>5389.3805309734516</v>
      </c>
      <c r="AX179" s="432">
        <f>DTC_SalesOverview_ExclTax[[#This Row],[Units]]/DTC_SalesOverview_ExclTax[[#This Row],[Buyers]]</f>
        <v>1.125</v>
      </c>
      <c r="AY179" s="93">
        <f>DTC_SalesOverview_ExclTax[[#This Row],[RR]]/DTC_SalesOverview_ExclTax[[#This Row],[GMV]]</f>
        <v>8.201058201058202E-2</v>
      </c>
      <c r="AZ179" s="436">
        <f>DTC_SalesOverview_InTax[[#This Row],[RR]]/$F$1</f>
        <v>7955.7522123893814</v>
      </c>
      <c r="BA179" s="436">
        <f>DTC_SalesOverview_InTax[[#This Row],[MD GMV]]/$F$1</f>
        <v>0</v>
      </c>
      <c r="BB179" s="94">
        <f>DTC_SalesOverview_ExclTax[[#This Row],[MD GMV]]/DTC_SalesOverview_ExclTax[[#This Row],[GMV]]</f>
        <v>0</v>
      </c>
      <c r="BC179" s="436">
        <f>DTC_SalesOverview_InTax[[#This Row],[GMV_TGT]]/$F$1</f>
        <v>0</v>
      </c>
      <c r="BD179" s="436">
        <f>DTC_SalesOverview_InTax[[#This Row],[NET_TGT]]/$F$1</f>
        <v>0</v>
      </c>
      <c r="BE179" s="430">
        <f>DTC_SalesOverview_InTax[[#This Row],[TRAFFIC_TGT]]</f>
        <v>0</v>
      </c>
      <c r="BF179" s="431">
        <f>DTC_SalesOverview_InTax[[#This Row],[BUYERS_TGT]]</f>
        <v>0</v>
      </c>
      <c r="BG179" s="104" t="e">
        <f>DTC_SalesOverview_InTax[[#This Row],[CVR_TGT]]</f>
        <v>#DIV/0!</v>
      </c>
      <c r="BH179" s="431" t="e">
        <f>DTC_SalesOverview_InTax[[#This Row],[ATV_TGT]]</f>
        <v>#DIV/0!</v>
      </c>
      <c r="BI179" s="432" t="e">
        <f>DTC_SalesOverview_InTax[[#This Row],[UPT_TGT]]</f>
        <v>#DIV/0!</v>
      </c>
      <c r="BJ179" s="389" t="e">
        <f>DTC_SalesOverview_InTax[[#This Row],[RRC_TGT]]</f>
        <v>#DIV/0!</v>
      </c>
      <c r="BK179" s="431">
        <f>DTC_SalesOverview_InTax[[#This Row],[UNITS_TGT]]</f>
        <v>0</v>
      </c>
      <c r="BL179" s="28" t="str">
        <f>_xlfn.XLOOKUP(DTC_SalesOverview_ExclTax[[#This Row],[DATE]],全店核心数据_bymonth[开始日期],全店核心数据_bymonth[jda日历.PayYear],"")</f>
        <v>BU25</v>
      </c>
      <c r="BO179" s="28"/>
      <c r="CQ179" s="53"/>
    </row>
    <row r="180" spans="5:95" x14ac:dyDescent="0.3">
      <c r="E180" s="428">
        <v>45474</v>
      </c>
      <c r="F180" s="431">
        <f t="shared" si="26"/>
        <v>1439464</v>
      </c>
      <c r="G180" s="431">
        <f t="shared" si="26"/>
        <v>1395644</v>
      </c>
      <c r="H180" s="431">
        <f t="shared" si="26"/>
        <v>21379</v>
      </c>
      <c r="I180" s="431">
        <f t="shared" si="26"/>
        <v>948</v>
      </c>
      <c r="J180" s="431">
        <f t="shared" si="26"/>
        <v>2565</v>
      </c>
      <c r="K180" s="92">
        <f>DTC_SalesOverview_InTax[[#This Row],[Buyers]]/DTC_SalesOverview_InTax[[#This Row],[UV]]</f>
        <v>4.4342579166471774E-2</v>
      </c>
      <c r="L180" s="431">
        <f>DTC_SalesOverview_InTax[[#This Row],[GMV]]/DTC_SalesOverview_InTax[[#This Row],[Buyers]]</f>
        <v>1518.42194092827</v>
      </c>
      <c r="M180" s="431">
        <f>DTC_SalesOverview_InTax[[#This Row],[GMV]]/DTC_SalesOverview_InTax[[#This Row],[Units]]</f>
        <v>561.1945419103314</v>
      </c>
      <c r="N180" s="432">
        <f>DTC_SalesOverview_InTax[[#This Row],[Units]]/DTC_SalesOverview_InTax[[#This Row],[Buyers]]</f>
        <v>2.7056962025316458</v>
      </c>
      <c r="O180" s="93">
        <f>DTC_SalesOverview_InTax[[#This Row],[RR]]/DTC_SalesOverview_InTax[[#This Row],[GMV]]</f>
        <v>3.0441886702272512E-2</v>
      </c>
      <c r="P180" s="431">
        <f t="shared" si="24"/>
        <v>43820</v>
      </c>
      <c r="Q180" s="431">
        <f t="shared" si="24"/>
        <v>1336999</v>
      </c>
      <c r="R180" s="94">
        <f>DTC_SalesOverview_InTax[[#This Row],[MD GMV]]/DTC_SalesOverview_InTax[[#This Row],[GMV]]</f>
        <v>0.92881725420017447</v>
      </c>
      <c r="S180" s="431">
        <f t="shared" si="25"/>
        <v>1306709</v>
      </c>
      <c r="T180" s="94">
        <f>DTC_SalesOverview_InTax[[#This Row],[MD NET]]/DTC_SalesOverview_InTax[[#This Row],[NET]]</f>
        <v>0.93627672959579955</v>
      </c>
      <c r="U180" s="431">
        <f>SUMIFS(目标表[gmv],目标表[Date],"&gt;="&amp;$E180,目标表[Date],"&lt;="&amp;EOMONTH($E180,0),目标表[channel],"DTC")</f>
        <v>0</v>
      </c>
      <c r="V180" s="431">
        <f>SUMIFS(目标表[net],目标表[Date],"&gt;="&amp;$E180,目标表[Date],"&lt;="&amp;EOMONTH($E180,0),目标表[channel],"DTC")</f>
        <v>0</v>
      </c>
      <c r="W180" s="431">
        <f>SUMIFS(目标表[uv],目标表[Date],"&gt;="&amp;$E180,目标表[Date],"&lt;="&amp;EOMONTH($E180,0),目标表[channel],"DTC")</f>
        <v>0</v>
      </c>
      <c r="X180" s="431">
        <f>SUMIFS(目标表[buyers],目标表[Date],"&gt;="&amp;$E180,目标表[Date],"&lt;="&amp;EOMONTH($E180,0),目标表[channel],"DTC")</f>
        <v>0</v>
      </c>
      <c r="Y180" s="378" t="e">
        <f>DTC_SalesOverview_InTax[[#This Row],[BUYERS_TGT]]/DTC_SalesOverview_InTax[[#This Row],[TRAFFIC_TGT]]</f>
        <v>#DIV/0!</v>
      </c>
      <c r="Z180" s="379" t="e">
        <f>DTC_SalesOverview_InTax[[#This Row],[GMV_TGT]]/DTC_SalesOverview_InTax[[#This Row],[BUYERS_TGT]]</f>
        <v>#DIV/0!</v>
      </c>
      <c r="AA180" s="380" t="e">
        <f>DTC_SalesOverview_InTax[[#This Row],[UNITS_TGT]]/DTC_SalesOverview_InTax[[#This Row],[BUYERS_TGT]]</f>
        <v>#DIV/0!</v>
      </c>
      <c r="AB180" s="94" t="e">
        <f>1-DTC_SalesOverview_InTax[[#This Row],[NET_TGT]]/DTC_SalesOverview_InTax[[#This Row],[GMV_TGT]]</f>
        <v>#DIV/0!</v>
      </c>
      <c r="AC180" s="381">
        <f>SUMIFS(目标表[gmv_units],目标表[Date],"&gt;="&amp;$E180,目标表[Date],"&lt;="&amp;EOMONTH($E180,0),目标表[channel],"DTC")</f>
        <v>0</v>
      </c>
      <c r="AD180" s="105" t="e">
        <f>DTC_SalesOverview_InTax[[#This Row],[GMV]]/DTC_SalesOverview_InTax[[#This Row],[GMV_TGT]]</f>
        <v>#DIV/0!</v>
      </c>
      <c r="AE180" s="105" t="e">
        <f>DTC_SalesOverview_InTax[[#This Row],[NET]]/DTC_SalesOverview_InTax[[#This Row],[NET_TGT]]</f>
        <v>#DIV/0!</v>
      </c>
      <c r="AF180" s="105" t="e">
        <f>DTC_SalesOverview_InTax[[#This Row],[UV]]/DTC_SalesOverview_InTax[[#This Row],[TRAFFIC_TGT]]</f>
        <v>#DIV/0!</v>
      </c>
      <c r="AG180" s="105" t="e">
        <f>DTC_SalesOverview_InTax[[#This Row],[Buyers]]/DTC_SalesOverview_InTax[[#This Row],[BUYERS_TGT]]</f>
        <v>#DIV/0!</v>
      </c>
      <c r="AH180" s="105" t="e">
        <f>DTC_SalesOverview_InTax[[#This Row],[CR]]/DTC_SalesOverview_InTax[[#This Row],[CVR_TGT]]</f>
        <v>#DIV/0!</v>
      </c>
      <c r="AI180" s="105" t="e">
        <f>DTC_SalesOverview_InTax[[#This Row],[ATV]]/DTC_SalesOverview_InTax[[#This Row],[ATV_TGT]]</f>
        <v>#DIV/0!</v>
      </c>
      <c r="AJ180" s="105" t="e">
        <f>DTC_SalesOverview_InTax[[#This Row],[UPT]]/DTC_SalesOverview_InTax[[#This Row],[UPT_TGT]]</f>
        <v>#DIV/0!</v>
      </c>
      <c r="AK180" s="105" t="e">
        <f>DTC_SalesOverview_InTax[[#This Row],[RRC]]/DTC_SalesOverview_InTax[[#This Row],[RRC_TGT]]</f>
        <v>#DIV/0!</v>
      </c>
      <c r="AL180" s="28" t="str">
        <f>_xlfn.XLOOKUP(DTC_SalesOverview_InTax[[#This Row],[DATE]],全店核心数据_bymonth[开始日期],全店核心数据_bymonth[jda日历.PayYear],"")</f>
        <v>BU25</v>
      </c>
      <c r="AO180" s="428">
        <f>DTC_SalesOverview_InTax[[#This Row],[DATE]]</f>
        <v>45474</v>
      </c>
      <c r="AP180" s="436">
        <f>DTC_SalesOverview_InTax[[#This Row],[GMV]]/$F$1</f>
        <v>1273861.9469026551</v>
      </c>
      <c r="AQ180" s="436">
        <f>DTC_SalesOverview_ExclTax[[#This Row],[GMV]]-DTC_SalesOverview_ExclTax[[#This Row],[RR]]</f>
        <v>1235083.1858407082</v>
      </c>
      <c r="AR180" s="431">
        <f>DTC_SalesOverview_InTax[[#This Row],[UV]]</f>
        <v>21379</v>
      </c>
      <c r="AS180" s="431">
        <f>DTC_SalesOverview_InTax[[#This Row],[Buyers]]</f>
        <v>948</v>
      </c>
      <c r="AT180" s="431">
        <f>DTC_SalesOverview_InTax[[#This Row],[Units]]</f>
        <v>2565</v>
      </c>
      <c r="AU180" s="92">
        <f>DTC_SalesOverview_ExclTax[[#This Row],[Buyers]]/DTC_SalesOverview_ExclTax[[#This Row],[UV]]</f>
        <v>4.4342579166471774E-2</v>
      </c>
      <c r="AV180" s="431">
        <f>DTC_SalesOverview_ExclTax[[#This Row],[GMV]]/DTC_SalesOverview_ExclTax[[#This Row],[Buyers]]</f>
        <v>1343.7362309099738</v>
      </c>
      <c r="AW180" s="431">
        <f>DTC_SalesOverview_ExclTax[[#This Row],[GMV]]/DTC_SalesOverview_ExclTax[[#This Row],[Units]]</f>
        <v>496.63233797374465</v>
      </c>
      <c r="AX180" s="432">
        <f>DTC_SalesOverview_ExclTax[[#This Row],[Units]]/DTC_SalesOverview_ExclTax[[#This Row],[Buyers]]</f>
        <v>2.7056962025316458</v>
      </c>
      <c r="AY180" s="93">
        <f>DTC_SalesOverview_ExclTax[[#This Row],[RR]]/DTC_SalesOverview_ExclTax[[#This Row],[GMV]]</f>
        <v>3.0441886702272509E-2</v>
      </c>
      <c r="AZ180" s="436">
        <f>DTC_SalesOverview_InTax[[#This Row],[RR]]/$F$1</f>
        <v>38778.761061946905</v>
      </c>
      <c r="BA180" s="436">
        <f>DTC_SalesOverview_InTax[[#This Row],[MD GMV]]/$F$1</f>
        <v>1183184.9557522126</v>
      </c>
      <c r="BB180" s="94">
        <f>DTC_SalesOverview_ExclTax[[#This Row],[MD GMV]]/DTC_SalesOverview_ExclTax[[#This Row],[GMV]]</f>
        <v>0.92881725420017447</v>
      </c>
      <c r="BC180" s="436">
        <f>DTC_SalesOverview_InTax[[#This Row],[GMV_TGT]]/$F$1</f>
        <v>0</v>
      </c>
      <c r="BD180" s="436">
        <f>DTC_SalesOverview_InTax[[#This Row],[NET_TGT]]/$F$1</f>
        <v>0</v>
      </c>
      <c r="BE180" s="430">
        <f>DTC_SalesOverview_InTax[[#This Row],[TRAFFIC_TGT]]</f>
        <v>0</v>
      </c>
      <c r="BF180" s="431">
        <f>DTC_SalesOverview_InTax[[#This Row],[BUYERS_TGT]]</f>
        <v>0</v>
      </c>
      <c r="BG180" s="104" t="e">
        <f>DTC_SalesOverview_InTax[[#This Row],[CVR_TGT]]</f>
        <v>#DIV/0!</v>
      </c>
      <c r="BH180" s="431" t="e">
        <f>DTC_SalesOverview_InTax[[#This Row],[ATV_TGT]]</f>
        <v>#DIV/0!</v>
      </c>
      <c r="BI180" s="432" t="e">
        <f>DTC_SalesOverview_InTax[[#This Row],[UPT_TGT]]</f>
        <v>#DIV/0!</v>
      </c>
      <c r="BJ180" s="389" t="e">
        <f>DTC_SalesOverview_InTax[[#This Row],[RRC_TGT]]</f>
        <v>#DIV/0!</v>
      </c>
      <c r="BK180" s="431">
        <f>DTC_SalesOverview_InTax[[#This Row],[UNITS_TGT]]</f>
        <v>0</v>
      </c>
      <c r="BL180" s="28" t="str">
        <f>_xlfn.XLOOKUP(DTC_SalesOverview_ExclTax[[#This Row],[DATE]],全店核心数据_bymonth[开始日期],全店核心数据_bymonth[jda日历.PayYear],"")</f>
        <v>BU25</v>
      </c>
      <c r="BO180" s="28"/>
      <c r="CQ180" s="53"/>
    </row>
    <row r="181" spans="5:95" x14ac:dyDescent="0.3">
      <c r="E181" s="428">
        <v>45444</v>
      </c>
      <c r="F181" s="431">
        <f t="shared" si="26"/>
        <v>583545</v>
      </c>
      <c r="G181" s="431">
        <f t="shared" si="26"/>
        <v>386030</v>
      </c>
      <c r="H181" s="431">
        <f t="shared" si="26"/>
        <v>11994</v>
      </c>
      <c r="I181" s="431">
        <f t="shared" si="26"/>
        <v>71</v>
      </c>
      <c r="J181" s="431">
        <f t="shared" si="26"/>
        <v>123</v>
      </c>
      <c r="K181" s="92">
        <f>DTC_SalesOverview_InTax[[#This Row],[Buyers]]/DTC_SalesOverview_InTax[[#This Row],[UV]]</f>
        <v>5.9196264799066204E-3</v>
      </c>
      <c r="L181" s="431">
        <f>DTC_SalesOverview_InTax[[#This Row],[GMV]]/DTC_SalesOverview_InTax[[#This Row],[Buyers]]</f>
        <v>8218.9436619718308</v>
      </c>
      <c r="M181" s="431">
        <f>DTC_SalesOverview_InTax[[#This Row],[GMV]]/DTC_SalesOverview_InTax[[#This Row],[Units]]</f>
        <v>4744.2682926829266</v>
      </c>
      <c r="N181" s="432">
        <f>DTC_SalesOverview_InTax[[#This Row],[Units]]/DTC_SalesOverview_InTax[[#This Row],[Buyers]]</f>
        <v>1.732394366197183</v>
      </c>
      <c r="O181" s="93">
        <f>DTC_SalesOverview_InTax[[#This Row],[RR]]/DTC_SalesOverview_InTax[[#This Row],[GMV]]</f>
        <v>0.33847432503063174</v>
      </c>
      <c r="P181" s="431">
        <f t="shared" si="24"/>
        <v>197515</v>
      </c>
      <c r="Q181" s="431">
        <f t="shared" si="24"/>
        <v>148360</v>
      </c>
      <c r="R181" s="94">
        <f>DTC_SalesOverview_InTax[[#This Row],[MD GMV]]/DTC_SalesOverview_InTax[[#This Row],[GMV]]</f>
        <v>0.25423917607039731</v>
      </c>
      <c r="S181" s="431">
        <f t="shared" si="25"/>
        <v>119575</v>
      </c>
      <c r="T181" s="94">
        <f>DTC_SalesOverview_InTax[[#This Row],[MD NET]]/DTC_SalesOverview_InTax[[#This Row],[NET]]</f>
        <v>0.30975571846747663</v>
      </c>
      <c r="U181" s="431">
        <f>SUMIFS(目标表[gmv],目标表[Date],"&gt;="&amp;$E181,目标表[Date],"&lt;="&amp;EOMONTH($E181,0),目标表[channel],"DTC")</f>
        <v>0</v>
      </c>
      <c r="V181" s="431">
        <f>SUMIFS(目标表[net],目标表[Date],"&gt;="&amp;$E181,目标表[Date],"&lt;="&amp;EOMONTH($E181,0),目标表[channel],"DTC")</f>
        <v>0</v>
      </c>
      <c r="W181" s="431">
        <f>SUMIFS(目标表[uv],目标表[Date],"&gt;="&amp;$E181,目标表[Date],"&lt;="&amp;EOMONTH($E181,0),目标表[channel],"DTC")</f>
        <v>0</v>
      </c>
      <c r="X181" s="431">
        <f>SUMIFS(目标表[buyers],目标表[Date],"&gt;="&amp;$E181,目标表[Date],"&lt;="&amp;EOMONTH($E181,0),目标表[channel],"DTC")</f>
        <v>0</v>
      </c>
      <c r="Y181" s="378" t="e">
        <f>DTC_SalesOverview_InTax[[#This Row],[BUYERS_TGT]]/DTC_SalesOverview_InTax[[#This Row],[TRAFFIC_TGT]]</f>
        <v>#DIV/0!</v>
      </c>
      <c r="Z181" s="379" t="e">
        <f>DTC_SalesOverview_InTax[[#This Row],[GMV_TGT]]/DTC_SalesOverview_InTax[[#This Row],[BUYERS_TGT]]</f>
        <v>#DIV/0!</v>
      </c>
      <c r="AA181" s="380" t="e">
        <f>DTC_SalesOverview_InTax[[#This Row],[UNITS_TGT]]/DTC_SalesOverview_InTax[[#This Row],[BUYERS_TGT]]</f>
        <v>#DIV/0!</v>
      </c>
      <c r="AB181" s="94" t="e">
        <f>1-DTC_SalesOverview_InTax[[#This Row],[NET_TGT]]/DTC_SalesOverview_InTax[[#This Row],[GMV_TGT]]</f>
        <v>#DIV/0!</v>
      </c>
      <c r="AC181" s="381">
        <f>SUMIFS(目标表[gmv_units],目标表[Date],"&gt;="&amp;$E181,目标表[Date],"&lt;="&amp;EOMONTH($E181,0),目标表[channel],"DTC")</f>
        <v>0</v>
      </c>
      <c r="AD181" s="105" t="e">
        <f>DTC_SalesOverview_InTax[[#This Row],[GMV]]/DTC_SalesOverview_InTax[[#This Row],[GMV_TGT]]</f>
        <v>#DIV/0!</v>
      </c>
      <c r="AE181" s="105" t="e">
        <f>DTC_SalesOverview_InTax[[#This Row],[NET]]/DTC_SalesOverview_InTax[[#This Row],[NET_TGT]]</f>
        <v>#DIV/0!</v>
      </c>
      <c r="AF181" s="105" t="e">
        <f>DTC_SalesOverview_InTax[[#This Row],[UV]]/DTC_SalesOverview_InTax[[#This Row],[TRAFFIC_TGT]]</f>
        <v>#DIV/0!</v>
      </c>
      <c r="AG181" s="105" t="e">
        <f>DTC_SalesOverview_InTax[[#This Row],[Buyers]]/DTC_SalesOverview_InTax[[#This Row],[BUYERS_TGT]]</f>
        <v>#DIV/0!</v>
      </c>
      <c r="AH181" s="105" t="e">
        <f>DTC_SalesOverview_InTax[[#This Row],[CR]]/DTC_SalesOverview_InTax[[#This Row],[CVR_TGT]]</f>
        <v>#DIV/0!</v>
      </c>
      <c r="AI181" s="105" t="e">
        <f>DTC_SalesOverview_InTax[[#This Row],[ATV]]/DTC_SalesOverview_InTax[[#This Row],[ATV_TGT]]</f>
        <v>#DIV/0!</v>
      </c>
      <c r="AJ181" s="105" t="e">
        <f>DTC_SalesOverview_InTax[[#This Row],[UPT]]/DTC_SalesOverview_InTax[[#This Row],[UPT_TGT]]</f>
        <v>#DIV/0!</v>
      </c>
      <c r="AK181" s="105" t="e">
        <f>DTC_SalesOverview_InTax[[#This Row],[RRC]]/DTC_SalesOverview_InTax[[#This Row],[RRC_TGT]]</f>
        <v>#DIV/0!</v>
      </c>
      <c r="AL181" s="28" t="str">
        <f>_xlfn.XLOOKUP(DTC_SalesOverview_InTax[[#This Row],[DATE]],全店核心数据_bymonth[开始日期],全店核心数据_bymonth[jda日历.PayYear],"")</f>
        <v>BU25</v>
      </c>
      <c r="AO181" s="428">
        <f>DTC_SalesOverview_InTax[[#This Row],[DATE]]</f>
        <v>45444</v>
      </c>
      <c r="AP181" s="436">
        <f>DTC_SalesOverview_InTax[[#This Row],[GMV]]/$F$1</f>
        <v>516411.5044247788</v>
      </c>
      <c r="AQ181" s="436">
        <f>DTC_SalesOverview_ExclTax[[#This Row],[GMV]]-DTC_SalesOverview_ExclTax[[#This Row],[RR]]</f>
        <v>341619.46902654867</v>
      </c>
      <c r="AR181" s="431">
        <f>DTC_SalesOverview_InTax[[#This Row],[UV]]</f>
        <v>11994</v>
      </c>
      <c r="AS181" s="431">
        <f>DTC_SalesOverview_InTax[[#This Row],[Buyers]]</f>
        <v>71</v>
      </c>
      <c r="AT181" s="431">
        <f>DTC_SalesOverview_InTax[[#This Row],[Units]]</f>
        <v>123</v>
      </c>
      <c r="AU181" s="92">
        <f>DTC_SalesOverview_ExclTax[[#This Row],[Buyers]]/DTC_SalesOverview_ExclTax[[#This Row],[UV]]</f>
        <v>5.9196264799066204E-3</v>
      </c>
      <c r="AV181" s="431">
        <f>DTC_SalesOverview_ExclTax[[#This Row],[GMV]]/DTC_SalesOverview_ExclTax[[#This Row],[Buyers]]</f>
        <v>7273.4014707715323</v>
      </c>
      <c r="AW181" s="431">
        <f>DTC_SalesOverview_ExclTax[[#This Row],[GMV]]/DTC_SalesOverview_ExclTax[[#This Row],[Units]]</f>
        <v>4198.4675156486082</v>
      </c>
      <c r="AX181" s="432">
        <f>DTC_SalesOverview_ExclTax[[#This Row],[Units]]/DTC_SalesOverview_ExclTax[[#This Row],[Buyers]]</f>
        <v>1.732394366197183</v>
      </c>
      <c r="AY181" s="93">
        <f>DTC_SalesOverview_ExclTax[[#This Row],[RR]]/DTC_SalesOverview_ExclTax[[#This Row],[GMV]]</f>
        <v>0.33847432503063174</v>
      </c>
      <c r="AZ181" s="436">
        <f>DTC_SalesOverview_InTax[[#This Row],[RR]]/$F$1</f>
        <v>174792.0353982301</v>
      </c>
      <c r="BA181" s="436">
        <f>DTC_SalesOverview_InTax[[#This Row],[MD GMV]]/$F$1</f>
        <v>131292.0353982301</v>
      </c>
      <c r="BB181" s="94">
        <f>DTC_SalesOverview_ExclTax[[#This Row],[MD GMV]]/DTC_SalesOverview_ExclTax[[#This Row],[GMV]]</f>
        <v>0.25423917607039731</v>
      </c>
      <c r="BC181" s="436">
        <f>DTC_SalesOverview_InTax[[#This Row],[GMV_TGT]]/$F$1</f>
        <v>0</v>
      </c>
      <c r="BD181" s="436">
        <f>DTC_SalesOverview_InTax[[#This Row],[NET_TGT]]/$F$1</f>
        <v>0</v>
      </c>
      <c r="BE181" s="430">
        <f>DTC_SalesOverview_InTax[[#This Row],[TRAFFIC_TGT]]</f>
        <v>0</v>
      </c>
      <c r="BF181" s="431">
        <f>DTC_SalesOverview_InTax[[#This Row],[BUYERS_TGT]]</f>
        <v>0</v>
      </c>
      <c r="BG181" s="104" t="e">
        <f>DTC_SalesOverview_InTax[[#This Row],[CVR_TGT]]</f>
        <v>#DIV/0!</v>
      </c>
      <c r="BH181" s="431" t="e">
        <f>DTC_SalesOverview_InTax[[#This Row],[ATV_TGT]]</f>
        <v>#DIV/0!</v>
      </c>
      <c r="BI181" s="432" t="e">
        <f>DTC_SalesOverview_InTax[[#This Row],[UPT_TGT]]</f>
        <v>#DIV/0!</v>
      </c>
      <c r="BJ181" s="389" t="e">
        <f>DTC_SalesOverview_InTax[[#This Row],[RRC_TGT]]</f>
        <v>#DIV/0!</v>
      </c>
      <c r="BK181" s="431">
        <f>DTC_SalesOverview_InTax[[#This Row],[UNITS_TGT]]</f>
        <v>0</v>
      </c>
      <c r="BL181" s="28" t="str">
        <f>_xlfn.XLOOKUP(DTC_SalesOverview_ExclTax[[#This Row],[DATE]],全店核心数据_bymonth[开始日期],全店核心数据_bymonth[jda日历.PayYear],"")</f>
        <v>BU25</v>
      </c>
      <c r="BO181" s="28"/>
      <c r="CQ181" s="53"/>
    </row>
    <row r="182" spans="5:95" x14ac:dyDescent="0.3">
      <c r="E182" s="428">
        <v>45413</v>
      </c>
      <c r="F182" s="431">
        <f t="shared" si="26"/>
        <v>58380</v>
      </c>
      <c r="G182" s="431">
        <f t="shared" si="26"/>
        <v>48795</v>
      </c>
      <c r="H182" s="431">
        <f t="shared" si="26"/>
        <v>14029</v>
      </c>
      <c r="I182" s="431">
        <f t="shared" si="26"/>
        <v>15</v>
      </c>
      <c r="J182" s="431">
        <f t="shared" si="26"/>
        <v>15</v>
      </c>
      <c r="K182" s="92">
        <f>DTC_SalesOverview_InTax[[#This Row],[Buyers]]/DTC_SalesOverview_InTax[[#This Row],[UV]]</f>
        <v>1.0692137714733766E-3</v>
      </c>
      <c r="L182" s="431">
        <f>DTC_SalesOverview_InTax[[#This Row],[GMV]]/DTC_SalesOverview_InTax[[#This Row],[Buyers]]</f>
        <v>3892</v>
      </c>
      <c r="M182" s="431">
        <f>DTC_SalesOverview_InTax[[#This Row],[GMV]]/DTC_SalesOverview_InTax[[#This Row],[Units]]</f>
        <v>3892</v>
      </c>
      <c r="N182" s="432">
        <f>DTC_SalesOverview_InTax[[#This Row],[Units]]/DTC_SalesOverview_InTax[[#This Row],[Buyers]]</f>
        <v>1</v>
      </c>
      <c r="O182" s="93">
        <f>DTC_SalesOverview_InTax[[#This Row],[RR]]/DTC_SalesOverview_InTax[[#This Row],[GMV]]</f>
        <v>0.16418293936279549</v>
      </c>
      <c r="P182" s="431">
        <f t="shared" si="24"/>
        <v>9585</v>
      </c>
      <c r="Q182" s="431">
        <f t="shared" si="24"/>
        <v>4195</v>
      </c>
      <c r="R182" s="94">
        <f>DTC_SalesOverview_InTax[[#This Row],[MD GMV]]/DTC_SalesOverview_InTax[[#This Row],[GMV]]</f>
        <v>7.1856800274066462E-2</v>
      </c>
      <c r="S182" s="431">
        <f t="shared" si="25"/>
        <v>4195</v>
      </c>
      <c r="T182" s="94">
        <f>DTC_SalesOverview_InTax[[#This Row],[MD NET]]/DTC_SalesOverview_InTax[[#This Row],[NET]]</f>
        <v>8.5971923352802543E-2</v>
      </c>
      <c r="U182" s="431">
        <f>SUMIFS(目标表[gmv],目标表[Date],"&gt;="&amp;$E182,目标表[Date],"&lt;="&amp;EOMONTH($E182,0),目标表[channel],"DTC")</f>
        <v>0</v>
      </c>
      <c r="V182" s="431">
        <f>SUMIFS(目标表[net],目标表[Date],"&gt;="&amp;$E182,目标表[Date],"&lt;="&amp;EOMONTH($E182,0),目标表[channel],"DTC")</f>
        <v>0</v>
      </c>
      <c r="W182" s="431">
        <f>SUMIFS(目标表[uv],目标表[Date],"&gt;="&amp;$E182,目标表[Date],"&lt;="&amp;EOMONTH($E182,0),目标表[channel],"DTC")</f>
        <v>0</v>
      </c>
      <c r="X182" s="431">
        <f>SUMIFS(目标表[buyers],目标表[Date],"&gt;="&amp;$E182,目标表[Date],"&lt;="&amp;EOMONTH($E182,0),目标表[channel],"DTC")</f>
        <v>0</v>
      </c>
      <c r="Y182" s="378" t="e">
        <f>DTC_SalesOverview_InTax[[#This Row],[BUYERS_TGT]]/DTC_SalesOverview_InTax[[#This Row],[TRAFFIC_TGT]]</f>
        <v>#DIV/0!</v>
      </c>
      <c r="Z182" s="379" t="e">
        <f>DTC_SalesOverview_InTax[[#This Row],[GMV_TGT]]/DTC_SalesOverview_InTax[[#This Row],[BUYERS_TGT]]</f>
        <v>#DIV/0!</v>
      </c>
      <c r="AA182" s="380" t="e">
        <f>DTC_SalesOverview_InTax[[#This Row],[UNITS_TGT]]/DTC_SalesOverview_InTax[[#This Row],[BUYERS_TGT]]</f>
        <v>#DIV/0!</v>
      </c>
      <c r="AB182" s="94" t="e">
        <f>1-DTC_SalesOverview_InTax[[#This Row],[NET_TGT]]/DTC_SalesOverview_InTax[[#This Row],[GMV_TGT]]</f>
        <v>#DIV/0!</v>
      </c>
      <c r="AC182" s="381">
        <f>SUMIFS(目标表[gmv_units],目标表[Date],"&gt;="&amp;$E182,目标表[Date],"&lt;="&amp;EOMONTH($E182,0),目标表[channel],"DTC")</f>
        <v>0</v>
      </c>
      <c r="AD182" s="105" t="e">
        <f>DTC_SalesOverview_InTax[[#This Row],[GMV]]/DTC_SalesOverview_InTax[[#This Row],[GMV_TGT]]</f>
        <v>#DIV/0!</v>
      </c>
      <c r="AE182" s="105" t="e">
        <f>DTC_SalesOverview_InTax[[#This Row],[NET]]/DTC_SalesOverview_InTax[[#This Row],[NET_TGT]]</f>
        <v>#DIV/0!</v>
      </c>
      <c r="AF182" s="105" t="e">
        <f>DTC_SalesOverview_InTax[[#This Row],[UV]]/DTC_SalesOverview_InTax[[#This Row],[TRAFFIC_TGT]]</f>
        <v>#DIV/0!</v>
      </c>
      <c r="AG182" s="105" t="e">
        <f>DTC_SalesOverview_InTax[[#This Row],[Buyers]]/DTC_SalesOverview_InTax[[#This Row],[BUYERS_TGT]]</f>
        <v>#DIV/0!</v>
      </c>
      <c r="AH182" s="105" t="e">
        <f>DTC_SalesOverview_InTax[[#This Row],[CR]]/DTC_SalesOverview_InTax[[#This Row],[CVR_TGT]]</f>
        <v>#DIV/0!</v>
      </c>
      <c r="AI182" s="105" t="e">
        <f>DTC_SalesOverview_InTax[[#This Row],[ATV]]/DTC_SalesOverview_InTax[[#This Row],[ATV_TGT]]</f>
        <v>#DIV/0!</v>
      </c>
      <c r="AJ182" s="105" t="e">
        <f>DTC_SalesOverview_InTax[[#This Row],[UPT]]/DTC_SalesOverview_InTax[[#This Row],[UPT_TGT]]</f>
        <v>#DIV/0!</v>
      </c>
      <c r="AK182" s="105" t="e">
        <f>DTC_SalesOverview_InTax[[#This Row],[RRC]]/DTC_SalesOverview_InTax[[#This Row],[RRC_TGT]]</f>
        <v>#DIV/0!</v>
      </c>
      <c r="AL182" s="28" t="str">
        <f>_xlfn.XLOOKUP(DTC_SalesOverview_InTax[[#This Row],[DATE]],全店核心数据_bymonth[开始日期],全店核心数据_bymonth[jda日历.PayYear],"")</f>
        <v>BU25</v>
      </c>
      <c r="AO182" s="428">
        <f>DTC_SalesOverview_InTax[[#This Row],[DATE]]</f>
        <v>45413</v>
      </c>
      <c r="AP182" s="436">
        <f>DTC_SalesOverview_InTax[[#This Row],[GMV]]/$F$1</f>
        <v>51663.716814159299</v>
      </c>
      <c r="AQ182" s="436">
        <f>DTC_SalesOverview_ExclTax[[#This Row],[GMV]]-DTC_SalesOverview_ExclTax[[#This Row],[RR]]</f>
        <v>43181.415929203547</v>
      </c>
      <c r="AR182" s="431">
        <f>DTC_SalesOverview_InTax[[#This Row],[UV]]</f>
        <v>14029</v>
      </c>
      <c r="AS182" s="431">
        <f>DTC_SalesOverview_InTax[[#This Row],[Buyers]]</f>
        <v>15</v>
      </c>
      <c r="AT182" s="431">
        <f>DTC_SalesOverview_InTax[[#This Row],[Units]]</f>
        <v>15</v>
      </c>
      <c r="AU182" s="92">
        <f>DTC_SalesOverview_ExclTax[[#This Row],[Buyers]]/DTC_SalesOverview_ExclTax[[#This Row],[UV]]</f>
        <v>1.0692137714733766E-3</v>
      </c>
      <c r="AV182" s="431">
        <f>DTC_SalesOverview_ExclTax[[#This Row],[GMV]]/DTC_SalesOverview_ExclTax[[#This Row],[Buyers]]</f>
        <v>3444.24778761062</v>
      </c>
      <c r="AW182" s="431">
        <f>DTC_SalesOverview_ExclTax[[#This Row],[GMV]]/DTC_SalesOverview_ExclTax[[#This Row],[Units]]</f>
        <v>3444.24778761062</v>
      </c>
      <c r="AX182" s="432">
        <f>DTC_SalesOverview_ExclTax[[#This Row],[Units]]/DTC_SalesOverview_ExclTax[[#This Row],[Buyers]]</f>
        <v>1</v>
      </c>
      <c r="AY182" s="93">
        <f>DTC_SalesOverview_ExclTax[[#This Row],[RR]]/DTC_SalesOverview_ExclTax[[#This Row],[GMV]]</f>
        <v>0.16418293936279549</v>
      </c>
      <c r="AZ182" s="436">
        <f>DTC_SalesOverview_InTax[[#This Row],[RR]]/$F$1</f>
        <v>8482.3008849557536</v>
      </c>
      <c r="BA182" s="436">
        <f>DTC_SalesOverview_InTax[[#This Row],[MD GMV]]/$F$1</f>
        <v>3712.389380530974</v>
      </c>
      <c r="BB182" s="94">
        <f>DTC_SalesOverview_ExclTax[[#This Row],[MD GMV]]/DTC_SalesOverview_ExclTax[[#This Row],[GMV]]</f>
        <v>7.1856800274066462E-2</v>
      </c>
      <c r="BC182" s="436">
        <f>DTC_SalesOverview_InTax[[#This Row],[GMV_TGT]]/$F$1</f>
        <v>0</v>
      </c>
      <c r="BD182" s="436">
        <f>DTC_SalesOverview_InTax[[#This Row],[NET_TGT]]/$F$1</f>
        <v>0</v>
      </c>
      <c r="BE182" s="430">
        <f>DTC_SalesOverview_InTax[[#This Row],[TRAFFIC_TGT]]</f>
        <v>0</v>
      </c>
      <c r="BF182" s="431">
        <f>DTC_SalesOverview_InTax[[#This Row],[BUYERS_TGT]]</f>
        <v>0</v>
      </c>
      <c r="BG182" s="104" t="e">
        <f>DTC_SalesOverview_InTax[[#This Row],[CVR_TGT]]</f>
        <v>#DIV/0!</v>
      </c>
      <c r="BH182" s="431" t="e">
        <f>DTC_SalesOverview_InTax[[#This Row],[ATV_TGT]]</f>
        <v>#DIV/0!</v>
      </c>
      <c r="BI182" s="432" t="e">
        <f>DTC_SalesOverview_InTax[[#This Row],[UPT_TGT]]</f>
        <v>#DIV/0!</v>
      </c>
      <c r="BJ182" s="389" t="e">
        <f>DTC_SalesOverview_InTax[[#This Row],[RRC_TGT]]</f>
        <v>#DIV/0!</v>
      </c>
      <c r="BK182" s="431">
        <f>DTC_SalesOverview_InTax[[#This Row],[UNITS_TGT]]</f>
        <v>0</v>
      </c>
      <c r="BL182" s="28" t="str">
        <f>_xlfn.XLOOKUP(DTC_SalesOverview_ExclTax[[#This Row],[DATE]],全店核心数据_bymonth[开始日期],全店核心数据_bymonth[jda日历.PayYear],"")</f>
        <v>BU25</v>
      </c>
      <c r="BO182" s="28"/>
      <c r="CQ182" s="53"/>
    </row>
    <row r="183" spans="5:95" x14ac:dyDescent="0.3">
      <c r="E183" s="428">
        <v>45383</v>
      </c>
      <c r="F183" s="431">
        <f t="shared" ref="F183:J183" si="27">F72+F122</f>
        <v>125125</v>
      </c>
      <c r="G183" s="431">
        <f t="shared" si="27"/>
        <v>80070</v>
      </c>
      <c r="H183" s="431">
        <f t="shared" si="27"/>
        <v>21617</v>
      </c>
      <c r="I183" s="431">
        <f t="shared" si="27"/>
        <v>18</v>
      </c>
      <c r="J183" s="431">
        <f t="shared" si="27"/>
        <v>25</v>
      </c>
      <c r="K183" s="92">
        <f>DTC_SalesOverview_InTax[[#This Row],[Buyers]]/DTC_SalesOverview_InTax[[#This Row],[UV]]</f>
        <v>8.3267798491927655E-4</v>
      </c>
      <c r="L183" s="431">
        <f>DTC_SalesOverview_InTax[[#This Row],[GMV]]/DTC_SalesOverview_InTax[[#This Row],[Buyers]]</f>
        <v>6951.3888888888887</v>
      </c>
      <c r="M183" s="431">
        <f>DTC_SalesOverview_InTax[[#This Row],[GMV]]/DTC_SalesOverview_InTax[[#This Row],[Units]]</f>
        <v>5005</v>
      </c>
      <c r="N183" s="432">
        <f>DTC_SalesOverview_InTax[[#This Row],[Units]]/DTC_SalesOverview_InTax[[#This Row],[Buyers]]</f>
        <v>1.3888888888888888</v>
      </c>
      <c r="O183" s="93">
        <f>DTC_SalesOverview_InTax[[#This Row],[RR]]/DTC_SalesOverview_InTax[[#This Row],[GMV]]</f>
        <v>0.36007992007992007</v>
      </c>
      <c r="P183" s="431">
        <f t="shared" si="24"/>
        <v>45055</v>
      </c>
      <c r="Q183" s="431">
        <f t="shared" si="24"/>
        <v>0</v>
      </c>
      <c r="R183" s="94">
        <f>DTC_SalesOverview_InTax[[#This Row],[MD GMV]]/DTC_SalesOverview_InTax[[#This Row],[GMV]]</f>
        <v>0</v>
      </c>
      <c r="S183" s="431">
        <f t="shared" si="25"/>
        <v>0</v>
      </c>
      <c r="T183" s="94">
        <f>DTC_SalesOverview_InTax[[#This Row],[MD NET]]/DTC_SalesOverview_InTax[[#This Row],[NET]]</f>
        <v>0</v>
      </c>
      <c r="U183" s="431">
        <f>SUMIFS(目标表[gmv],目标表[Date],"&gt;="&amp;$E183,目标表[Date],"&lt;="&amp;EOMONTH($E183,0),目标表[channel],"DTC")</f>
        <v>0</v>
      </c>
      <c r="V183" s="431">
        <f>SUMIFS(目标表[net],目标表[Date],"&gt;="&amp;$E183,目标表[Date],"&lt;="&amp;EOMONTH($E183,0),目标表[channel],"DTC")</f>
        <v>0</v>
      </c>
      <c r="W183" s="431">
        <f>SUMIFS(目标表[uv],目标表[Date],"&gt;="&amp;$E183,目标表[Date],"&lt;="&amp;EOMONTH($E183,0),目标表[channel],"DTC")</f>
        <v>0</v>
      </c>
      <c r="X183" s="431">
        <f>SUMIFS(目标表[buyers],目标表[Date],"&gt;="&amp;$E183,目标表[Date],"&lt;="&amp;EOMONTH($E183,0),目标表[channel],"DTC")</f>
        <v>0</v>
      </c>
      <c r="Y183" s="378" t="e">
        <f>DTC_SalesOverview_InTax[[#This Row],[BUYERS_TGT]]/DTC_SalesOverview_InTax[[#This Row],[TRAFFIC_TGT]]</f>
        <v>#DIV/0!</v>
      </c>
      <c r="Z183" s="379" t="e">
        <f>DTC_SalesOverview_InTax[[#This Row],[GMV_TGT]]/DTC_SalesOverview_InTax[[#This Row],[BUYERS_TGT]]</f>
        <v>#DIV/0!</v>
      </c>
      <c r="AA183" s="380" t="e">
        <f>DTC_SalesOverview_InTax[[#This Row],[UNITS_TGT]]/DTC_SalesOverview_InTax[[#This Row],[BUYERS_TGT]]</f>
        <v>#DIV/0!</v>
      </c>
      <c r="AB183" s="94" t="e">
        <f>1-DTC_SalesOverview_InTax[[#This Row],[NET_TGT]]/DTC_SalesOverview_InTax[[#This Row],[GMV_TGT]]</f>
        <v>#DIV/0!</v>
      </c>
      <c r="AC183" s="381">
        <f>SUMIFS(目标表[gmv_units],目标表[Date],"&gt;="&amp;$E183,目标表[Date],"&lt;="&amp;EOMONTH($E183,0),目标表[channel],"DTC")</f>
        <v>0</v>
      </c>
      <c r="AD183" s="105" t="e">
        <f>DTC_SalesOverview_InTax[[#This Row],[GMV]]/DTC_SalesOverview_InTax[[#This Row],[GMV_TGT]]</f>
        <v>#DIV/0!</v>
      </c>
      <c r="AE183" s="105" t="e">
        <f>DTC_SalesOverview_InTax[[#This Row],[NET]]/DTC_SalesOverview_InTax[[#This Row],[NET_TGT]]</f>
        <v>#DIV/0!</v>
      </c>
      <c r="AF183" s="105" t="e">
        <f>DTC_SalesOverview_InTax[[#This Row],[UV]]/DTC_SalesOverview_InTax[[#This Row],[TRAFFIC_TGT]]</f>
        <v>#DIV/0!</v>
      </c>
      <c r="AG183" s="105" t="e">
        <f>DTC_SalesOverview_InTax[[#This Row],[Buyers]]/DTC_SalesOverview_InTax[[#This Row],[BUYERS_TGT]]</f>
        <v>#DIV/0!</v>
      </c>
      <c r="AH183" s="105" t="e">
        <f>DTC_SalesOverview_InTax[[#This Row],[CR]]/DTC_SalesOverview_InTax[[#This Row],[CVR_TGT]]</f>
        <v>#DIV/0!</v>
      </c>
      <c r="AI183" s="105" t="e">
        <f>DTC_SalesOverview_InTax[[#This Row],[ATV]]/DTC_SalesOverview_InTax[[#This Row],[ATV_TGT]]</f>
        <v>#DIV/0!</v>
      </c>
      <c r="AJ183" s="105" t="e">
        <f>DTC_SalesOverview_InTax[[#This Row],[UPT]]/DTC_SalesOverview_InTax[[#This Row],[UPT_TGT]]</f>
        <v>#DIV/0!</v>
      </c>
      <c r="AK183" s="105" t="e">
        <f>DTC_SalesOverview_InTax[[#This Row],[RRC]]/DTC_SalesOverview_InTax[[#This Row],[RRC_TGT]]</f>
        <v>#DIV/0!</v>
      </c>
      <c r="AL183" s="28" t="str">
        <f>_xlfn.XLOOKUP(DTC_SalesOverview_InTax[[#This Row],[DATE]],全店核心数据_bymonth[开始日期],全店核心数据_bymonth[jda日历.PayYear],"")</f>
        <v>BU25</v>
      </c>
      <c r="AO183" s="428">
        <f>DTC_SalesOverview_InTax[[#This Row],[DATE]]</f>
        <v>45383</v>
      </c>
      <c r="AP183" s="436">
        <f>DTC_SalesOverview_InTax[[#This Row],[GMV]]/$F$1</f>
        <v>110730.08849557523</v>
      </c>
      <c r="AQ183" s="436">
        <f>DTC_SalesOverview_ExclTax[[#This Row],[GMV]]-DTC_SalesOverview_ExclTax[[#This Row],[RR]]</f>
        <v>70858.407079646015</v>
      </c>
      <c r="AR183" s="431">
        <f>DTC_SalesOverview_InTax[[#This Row],[UV]]</f>
        <v>21617</v>
      </c>
      <c r="AS183" s="431">
        <f>DTC_SalesOverview_InTax[[#This Row],[Buyers]]</f>
        <v>18</v>
      </c>
      <c r="AT183" s="431">
        <f>DTC_SalesOverview_InTax[[#This Row],[Units]]</f>
        <v>25</v>
      </c>
      <c r="AU183" s="92">
        <f>DTC_SalesOverview_ExclTax[[#This Row],[Buyers]]/DTC_SalesOverview_ExclTax[[#This Row],[UV]]</f>
        <v>8.3267798491927655E-4</v>
      </c>
      <c r="AV183" s="431">
        <f>DTC_SalesOverview_ExclTax[[#This Row],[GMV]]/DTC_SalesOverview_ExclTax[[#This Row],[Buyers]]</f>
        <v>6151.6715830875128</v>
      </c>
      <c r="AW183" s="431">
        <f>DTC_SalesOverview_ExclTax[[#This Row],[GMV]]/DTC_SalesOverview_ExclTax[[#This Row],[Units]]</f>
        <v>4429.2035398230091</v>
      </c>
      <c r="AX183" s="432">
        <f>DTC_SalesOverview_ExclTax[[#This Row],[Units]]/DTC_SalesOverview_ExclTax[[#This Row],[Buyers]]</f>
        <v>1.3888888888888888</v>
      </c>
      <c r="AY183" s="93">
        <f>DTC_SalesOverview_ExclTax[[#This Row],[RR]]/DTC_SalesOverview_ExclTax[[#This Row],[GMV]]</f>
        <v>0.36007992007992007</v>
      </c>
      <c r="AZ183" s="436">
        <f>DTC_SalesOverview_InTax[[#This Row],[RR]]/$F$1</f>
        <v>39871.681415929204</v>
      </c>
      <c r="BA183" s="436">
        <f>DTC_SalesOverview_InTax[[#This Row],[MD GMV]]/$F$1</f>
        <v>0</v>
      </c>
      <c r="BB183" s="94">
        <f>DTC_SalesOverview_ExclTax[[#This Row],[MD GMV]]/DTC_SalesOverview_ExclTax[[#This Row],[GMV]]</f>
        <v>0</v>
      </c>
      <c r="BC183" s="436">
        <f>DTC_SalesOverview_InTax[[#This Row],[GMV_TGT]]/$F$1</f>
        <v>0</v>
      </c>
      <c r="BD183" s="436">
        <f>DTC_SalesOverview_InTax[[#This Row],[NET_TGT]]/$F$1</f>
        <v>0</v>
      </c>
      <c r="BE183" s="430">
        <f>DTC_SalesOverview_InTax[[#This Row],[TRAFFIC_TGT]]</f>
        <v>0</v>
      </c>
      <c r="BF183" s="431">
        <f>DTC_SalesOverview_InTax[[#This Row],[BUYERS_TGT]]</f>
        <v>0</v>
      </c>
      <c r="BG183" s="104" t="e">
        <f>DTC_SalesOverview_InTax[[#This Row],[CVR_TGT]]</f>
        <v>#DIV/0!</v>
      </c>
      <c r="BH183" s="431" t="e">
        <f>DTC_SalesOverview_InTax[[#This Row],[ATV_TGT]]</f>
        <v>#DIV/0!</v>
      </c>
      <c r="BI183" s="432" t="e">
        <f>DTC_SalesOverview_InTax[[#This Row],[UPT_TGT]]</f>
        <v>#DIV/0!</v>
      </c>
      <c r="BJ183" s="389" t="e">
        <f>DTC_SalesOverview_InTax[[#This Row],[RRC_TGT]]</f>
        <v>#DIV/0!</v>
      </c>
      <c r="BK183" s="431">
        <f>DTC_SalesOverview_InTax[[#This Row],[UNITS_TGT]]</f>
        <v>0</v>
      </c>
      <c r="BL183" s="28" t="str">
        <f>_xlfn.XLOOKUP(DTC_SalesOverview_ExclTax[[#This Row],[DATE]],全店核心数据_bymonth[开始日期],全店核心数据_bymonth[jda日历.PayYear],"")</f>
        <v>BU25</v>
      </c>
      <c r="BO183" s="28"/>
      <c r="CQ183" s="53"/>
    </row>
    <row r="184" spans="5:95" ht="13" x14ac:dyDescent="0.3">
      <c r="E184" s="425" t="s">
        <v>331</v>
      </c>
      <c r="F184" s="256">
        <f>SUMIFS(DTC_SalesOverview_InTax[GMV],DTC_SalesOverview_InTax[DATE],$K$1)/SUMIFS(DTC_SalesOverview_InTax[GMV],DTC_SalesOverview_InTax[DATE],EDATE($K$1,-12))-1</f>
        <v>-8.3057211491440075E-2</v>
      </c>
      <c r="G184" s="256">
        <f>SUMIFS(DTC_SalesOverview_InTax[NET],DTC_SalesOverview_InTax[DATE],$K$1)/SUMIFS(DTC_SalesOverview_InTax[NET],DTC_SalesOverview_InTax[DATE],EDATE($K$1,-12))-1</f>
        <v>-9.0299697046539507E-2</v>
      </c>
      <c r="H184" s="256">
        <f>SUMIFS(DTC_SalesOverview_InTax[UV],DTC_SalesOverview_InTax[DATE],$K$1)/SUMIFS(DTC_SalesOverview_InTax[UV],DTC_SalesOverview_InTax[DATE],EDATE($K$1,-12))-1</f>
        <v>-0.31183697276803612</v>
      </c>
      <c r="I184" s="256">
        <f>SUMIFS(DTC_SalesOverview_InTax[Buyers],DTC_SalesOverview_InTax[DATE],$K$1)/SUMIFS(DTC_SalesOverview_InTax[Buyers],DTC_SalesOverview_InTax[DATE],EDATE($K$1,-12))-1</f>
        <v>-7.7060931899641583E-2</v>
      </c>
      <c r="J184" s="256">
        <f>SUMIFS(DTC_SalesOverview_InTax[Units],DTC_SalesOverview_InTax[DATE],$K$1)/SUMIFS(DTC_SalesOverview_InTax[Units],DTC_SalesOverview_InTax[DATE],EDATE($K$1,-12))-1</f>
        <v>-0.13775829680651219</v>
      </c>
      <c r="K184" s="256">
        <f>SUMIFS(DTC_SalesOverview_InTax[CR],DTC_SalesOverview_InTax[DATE],$K$1)/SUMIFS(DTC_SalesOverview_InTax[CR],DTC_SalesOverview_InTax[DATE],EDATE($K$1,-12))-1</f>
        <v>0.34116340398691158</v>
      </c>
      <c r="L184" s="256">
        <f>SUMIFS(DTC_SalesOverview_InTax[ATV],DTC_SalesOverview_InTax[DATE],$K$1)/SUMIFS(DTC_SalesOverview_InTax[ATV],DTC_SalesOverview_InTax[DATE],EDATE($K$1,-12))-1</f>
        <v>-6.4969398295603442E-3</v>
      </c>
      <c r="M184" s="256">
        <f>SUMIFS(DTC_SalesOverview_InTax[AUR],DTC_SalesOverview_InTax[DATE],$K$1)/SUMIFS(DTC_SalesOverview_InTax[AUR],DTC_SalesOverview_InTax[DATE],EDATE($K$1,-12))-1</f>
        <v>6.3440547021183846E-2</v>
      </c>
      <c r="N184" s="256">
        <f>SUMIFS(DTC_SalesOverview_InTax[UPT],DTC_SalesOverview_InTax[DATE],$K$1)/SUMIFS(DTC_SalesOverview_InTax[UPT],DTC_SalesOverview_InTax[DATE],EDATE($K$1,-12))-1</f>
        <v>-6.5765300229191914E-2</v>
      </c>
      <c r="O184" s="255">
        <f>(SUMIFS(DTC_SalesOverview_InTax[RRC],DTC_SalesOverview_InTax[DATE],$K$1)-SUMIFS(DTC_SalesOverview_InTax[RRC],DTC_SalesOverview_InTax[DATE],EDATE($K$1,-12)))*100</f>
        <v>0.69654446530486713</v>
      </c>
      <c r="P184" s="222">
        <f>SUMIFS(DTC_SalesOverview_InTax[RR],DTC_SalesOverview_InTax[DATE],$K$1)/SUMIFS(DTC_SalesOverview_InTax[RR],DTC_SalesOverview_InTax[DATE],EDATE($K$1,-12))-1</f>
        <v>-2.8991427009174231E-2</v>
      </c>
      <c r="Q184" s="222">
        <f>SUMIFS(DTC_SalesOverview_InTax[MD GMV],DTC_SalesOverview_InTax[DATE],$K$1)/SUMIFS(DTC_SalesOverview_InTax[MD GMV],DTC_SalesOverview_InTax[DATE],EDATE($K$1,-12))-1</f>
        <v>-0.20601379642285766</v>
      </c>
      <c r="R184" s="255">
        <f>(SUMIFS(DTC_SalesOverview_InTax[MD%],DTC_SalesOverview_InTax[DATE],$K$1)-SUMIFS(DTC_SalesOverview_InTax[MD%],DTC_SalesOverview_InTax[DATE],EDATE($K$1,-12)))*100</f>
        <v>-12.760326561677859</v>
      </c>
      <c r="S184" s="222">
        <f>SUMIFS(DTC_SalesOverview_InTax[MD NET],DTC_SalesOverview_InTax[DATE],$K$1)/SUMIFS(DTC_SalesOverview_InTax[MD NET],DTC_SalesOverview_InTax[DATE],EDATE($K$1,-12))-1</f>
        <v>-0.15354801823134645</v>
      </c>
      <c r="T184" s="255">
        <f>(SUMIFS(DTC_SalesOverview_InTax[MD NET%],DTC_SalesOverview_InTax[DATE],$K$1)-SUMIFS(DTC_SalesOverview_InTax[MD NET%],DTC_SalesOverview_InTax[DATE],EDATE($K$1,-12)))*100</f>
        <v>-6.5934348698770684</v>
      </c>
      <c r="U184" s="255"/>
      <c r="V184" s="255"/>
      <c r="W184" s="255"/>
      <c r="X184" s="255"/>
      <c r="Y184" s="255"/>
      <c r="Z184" s="255"/>
      <c r="AA184" s="255"/>
      <c r="AB184" s="255"/>
      <c r="AC184" s="255"/>
      <c r="AD184" s="255"/>
      <c r="AE184" s="255"/>
      <c r="AF184" s="255"/>
      <c r="AG184" s="255"/>
      <c r="AH184" s="255"/>
      <c r="AI184" s="255"/>
      <c r="AJ184" s="255"/>
      <c r="AK184" s="255"/>
      <c r="AL184" s="28" t="str">
        <f>_xlfn.XLOOKUP(DTC_SalesOverview_InTax[[#This Row],[DATE]],全店核心数据_bymonth[开始日期],全店核心数据_bymonth[jda日历.PayYear],"")</f>
        <v/>
      </c>
      <c r="AO184" s="425" t="str">
        <f>DTC_SalesOverview_InTax[[#This Row],[DATE]]</f>
        <v>MTD YOY</v>
      </c>
      <c r="AP184" s="97">
        <f>SUMIFS(DTC_SalesOverview_ExclTax[GMV],DTC_SalesOverview_ExclTax[DATE],$K$1)/SUMIFS(DTC_SalesOverview_ExclTax[GMV],DTC_SalesOverview_ExclTax[DATE],EDATE($K$1,-12))-1</f>
        <v>-8.3057211491440075E-2</v>
      </c>
      <c r="AQ184" s="97">
        <f>SUMIFS(DTC_SalesOverview_ExclTax[NET],DTC_SalesOverview_ExclTax[DATE],$K$1)/SUMIFS(DTC_SalesOverview_ExclTax[NET],DTC_SalesOverview_ExclTax[DATE],EDATE($K$1,-12))-1</f>
        <v>-9.0299697046539729E-2</v>
      </c>
      <c r="AR184" s="97">
        <f>SUMIFS(DTC_SalesOverview_ExclTax[UV],DTC_SalesOverview_ExclTax[DATE],$K$1)/SUMIFS(DTC_SalesOverview_ExclTax[UV],DTC_SalesOverview_ExclTax[DATE],EDATE($K$1,-12))-1</f>
        <v>-0.31183697276803612</v>
      </c>
      <c r="AS184" s="97">
        <f>SUMIFS(DTC_SalesOverview_ExclTax[Buyers],DTC_SalesOverview_ExclTax[DATE],$K$1)/SUMIFS(DTC_SalesOverview_ExclTax[Buyers],DTC_SalesOverview_ExclTax[DATE],EDATE($K$1,-12))-1</f>
        <v>-7.7060931899641583E-2</v>
      </c>
      <c r="AT184" s="97">
        <f>SUMIFS(DTC_SalesOverview_ExclTax[Units],DTC_SalesOverview_ExclTax[DATE],$K$1)/SUMIFS(DTC_SalesOverview_ExclTax[Units],DTC_SalesOverview_ExclTax[DATE],EDATE($K$1,-12))-1</f>
        <v>-0.13775829680651219</v>
      </c>
      <c r="AU184" s="97">
        <f>SUMIFS(DTC_SalesOverview_ExclTax[CR],DTC_SalesOverview_ExclTax[DATE],$K$1)/SUMIFS(DTC_SalesOverview_ExclTax[CR],DTC_SalesOverview_ExclTax[DATE],EDATE($K$1,-12))-1</f>
        <v>0.34116340398691158</v>
      </c>
      <c r="AV184" s="97">
        <f>SUMIFS(DTC_SalesOverview_ExclTax[ATV],DTC_SalesOverview_ExclTax[DATE],$K$1)/SUMIFS(DTC_SalesOverview_ExclTax[ATV],DTC_SalesOverview_ExclTax[DATE],EDATE($K$1,-12))-1</f>
        <v>-6.4969398295603442E-3</v>
      </c>
      <c r="AW184" s="97">
        <f>SUMIFS(DTC_SalesOverview_ExclTax[AUR],DTC_SalesOverview_ExclTax[DATE],$K$1)/SUMIFS(DTC_SalesOverview_ExclTax[AUR],DTC_SalesOverview_ExclTax[DATE],EDATE($K$1,-12))-1</f>
        <v>6.3440547021183846E-2</v>
      </c>
      <c r="AX184" s="97">
        <f>SUMIFS(DTC_SalesOverview_ExclTax[UPT],DTC_SalesOverview_ExclTax[DATE],$K$1)/SUMIFS(DTC_SalesOverview_ExclTax[UPT],DTC_SalesOverview_ExclTax[DATE],EDATE($K$1,-12))-1</f>
        <v>-6.5765300229191914E-2</v>
      </c>
      <c r="AY184" s="98">
        <f>SUMIFS(DTC_SalesOverview_ExclTax[RRC],DTC_SalesOverview_ExclTax[DATE],$K$1)-SUMIFS(DTC_SalesOverview_ExclTax[RRC],DTC_SalesOverview_ExclTax[DATE],EDATE($K$1,-12))</f>
        <v>6.9654446530486996E-3</v>
      </c>
      <c r="AZ184" s="98">
        <f>SUMIFS(DTC_SalesOverview_ExclTax[RR],DTC_SalesOverview_ExclTax[DATE],$K$1)/SUMIFS(DTC_SalesOverview_ExclTax[RR],DTC_SalesOverview_ExclTax[DATE],EDATE($K$1,-12))-1</f>
        <v>-2.8991427009174231E-2</v>
      </c>
      <c r="BA184" s="98">
        <f>SUMIFS(DTC_SalesOverview_ExclTax[MD GMV],DTC_SalesOverview_ExclTax[DATE],$K$1)/SUMIFS(DTC_SalesOverview_ExclTax[MD GMV],DTC_SalesOverview_ExclTax[DATE],EDATE($K$1,-12))-1</f>
        <v>-0.20601379642285778</v>
      </c>
      <c r="BB184" s="98">
        <f>SUMIFS(DTC_SalesOverview_ExclTax[MD%],DTC_SalesOverview_ExclTax[DATE],$K$1)-SUMIFS(DTC_SalesOverview_ExclTax[MD%],DTC_SalesOverview_ExclTax[DATE],EDATE($K$1,-12))</f>
        <v>-0.12760326561677848</v>
      </c>
      <c r="BC184" s="98"/>
      <c r="BD184" s="98"/>
      <c r="BE184" s="98"/>
      <c r="BF184" s="98"/>
      <c r="BG184" s="98"/>
      <c r="BH184" s="98"/>
      <c r="BI184" s="98"/>
      <c r="BJ184" s="98"/>
      <c r="BK184" s="98"/>
      <c r="BL184" s="28" t="str">
        <f>_xlfn.XLOOKUP(DTC_SalesOverview_ExclTax[[#This Row],[DATE]],全店核心数据_bymonth[开始日期],全店核心数据_bymonth[jda日历.PayYear],"")</f>
        <v/>
      </c>
      <c r="BO184" s="28"/>
      <c r="CQ184" s="53"/>
    </row>
    <row r="185" spans="5:95" x14ac:dyDescent="0.3">
      <c r="E185" s="428" t="s">
        <v>571</v>
      </c>
      <c r="F185" s="431">
        <f t="shared" ref="F185:J186" si="28">F124+F80</f>
        <v>2133058.0000000005</v>
      </c>
      <c r="G185" s="431">
        <f t="shared" si="28"/>
        <v>2049787.6100000006</v>
      </c>
      <c r="H185" s="431">
        <f t="shared" si="28"/>
        <v>5641</v>
      </c>
      <c r="I185" s="431">
        <f t="shared" si="28"/>
        <v>769</v>
      </c>
      <c r="J185" s="431">
        <f t="shared" si="28"/>
        <v>2428</v>
      </c>
      <c r="K185" s="104">
        <f>DTC_SalesOverview_InTax[[#This Row],[Buyers]]/DTC_SalesOverview_InTax[[#This Row],[UV]]</f>
        <v>0.1363233469243042</v>
      </c>
      <c r="L185" s="431">
        <f>DTC_SalesOverview_InTax[[#This Row],[GMV]]/DTC_SalesOverview_InTax[[#This Row],[Buyers]]</f>
        <v>2773.8075422626794</v>
      </c>
      <c r="M185" s="431">
        <f>DTC_SalesOverview_InTax[[#This Row],[GMV]]/DTC_SalesOverview_InTax[[#This Row],[Units]]</f>
        <v>878.5247116968701</v>
      </c>
      <c r="N185" s="432">
        <f>DTC_SalesOverview_InTax[[#This Row],[Units]]/DTC_SalesOverview_InTax[[#This Row],[Buyers]]</f>
        <v>3.1573472041612485</v>
      </c>
      <c r="O185" s="105">
        <f>DTC_SalesOverview_InTax[[#This Row],[RR]]/DTC_SalesOverview_InTax[[#This Row],[GMV]]</f>
        <v>3.9038033658719072E-2</v>
      </c>
      <c r="P185" s="431">
        <f>P124+P80</f>
        <v>83270.39</v>
      </c>
      <c r="Q185" s="431">
        <f>Q124+Q80</f>
        <v>2133058.0000000005</v>
      </c>
      <c r="R185" s="106">
        <f>DTC_SalesOverview_InTax[[#This Row],[MD GMV]]/DTC_SalesOverview_InTax[[#This Row],[GMV]]</f>
        <v>1</v>
      </c>
      <c r="S185" s="431">
        <f>S124+S80</f>
        <v>2049787.6100000006</v>
      </c>
      <c r="T185" s="94">
        <f>DTC_SalesOverview_InTax[[#This Row],[MD NET]]/DTC_SalesOverview_InTax[[#This Row],[NET]]</f>
        <v>1</v>
      </c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28" t="str">
        <f>_xlfn.XLOOKUP(DTC_SalesOverview_InTax[[#This Row],[DATE]],全店核心数据_bymonth[开始日期],全店核心数据_bymonth[jda日历.PayYear],"")</f>
        <v/>
      </c>
      <c r="AO185" s="428" t="str">
        <f>DTC_SalesOverview_InTax[[#This Row],[DATE]]</f>
        <v>BU26 FF</v>
      </c>
      <c r="AP185" s="461">
        <f>DTC_SalesOverview_InTax[[#This Row],[GMV]]/$F$1</f>
        <v>1887661.9469026555</v>
      </c>
      <c r="AQ185" s="461">
        <f>DTC_SalesOverview_ExclTax[[#This Row],[GMV]]-DTC_SalesOverview_ExclTax[[#This Row],[RR]]</f>
        <v>1813971.3362831865</v>
      </c>
      <c r="AR185" s="436">
        <f>DTC_SalesOverview_InTax[[#This Row],[UV]]</f>
        <v>5641</v>
      </c>
      <c r="AS185" s="431">
        <f>DTC_SalesOverview_InTax[[#This Row],[Buyers]]</f>
        <v>769</v>
      </c>
      <c r="AT185" s="431">
        <f>DTC_SalesOverview_InTax[[#This Row],[Units]]</f>
        <v>2428</v>
      </c>
      <c r="AU185" s="92">
        <f>DTC_SalesOverview_ExclTax[[#This Row],[Buyers]]/DTC_SalesOverview_ExclTax[[#This Row],[UV]]</f>
        <v>0.1363233469243042</v>
      </c>
      <c r="AV185" s="431">
        <f>DTC_SalesOverview_ExclTax[[#This Row],[GMV]]/DTC_SalesOverview_ExclTax[[#This Row],[Buyers]]</f>
        <v>2454.696940055469</v>
      </c>
      <c r="AW185" s="431">
        <f>DTC_SalesOverview_ExclTax[[#This Row],[GMV]]/DTC_SalesOverview_ExclTax[[#This Row],[Units]]</f>
        <v>777.45549707687621</v>
      </c>
      <c r="AX185" s="432">
        <f>DTC_SalesOverview_ExclTax[[#This Row],[Units]]/DTC_SalesOverview_ExclTax[[#This Row],[Buyers]]</f>
        <v>3.1573472041612485</v>
      </c>
      <c r="AY185" s="93">
        <f>DTC_SalesOverview_ExclTax[[#This Row],[RR]]/DTC_SalesOverview_ExclTax[[#This Row],[GMV]]</f>
        <v>3.9038033658719072E-2</v>
      </c>
      <c r="AZ185" s="436">
        <f>DTC_SalesOverview_InTax[[#This Row],[RR]]/$F$1</f>
        <v>73690.610619469036</v>
      </c>
      <c r="BA185" s="461">
        <f>DTC_SalesOverview_InTax[[#This Row],[MD GMV]]/$F$1</f>
        <v>1887661.9469026555</v>
      </c>
      <c r="BB185" s="94">
        <f>DTC_SalesOverview_ExclTax[[#This Row],[MD GMV]]/DTC_SalesOverview_ExclTax[[#This Row],[GMV]]</f>
        <v>1</v>
      </c>
      <c r="BC185" s="94"/>
      <c r="BD185" s="94"/>
      <c r="BE185" s="94"/>
      <c r="BF185" s="94"/>
      <c r="BG185" s="94"/>
      <c r="BH185" s="94"/>
      <c r="BI185" s="94"/>
      <c r="BJ185" s="94"/>
      <c r="BK185" s="94"/>
      <c r="BL185" s="28" t="str">
        <f>_xlfn.XLOOKUP(DTC_SalesOverview_ExclTax[[#This Row],[DATE]],全店核心数据_bymonth[开始日期],全店核心数据_bymonth[jda日历.PayYear],"")</f>
        <v/>
      </c>
      <c r="BO185" s="28"/>
      <c r="CQ185" s="53"/>
    </row>
    <row r="186" spans="5:95" x14ac:dyDescent="0.3">
      <c r="E186" s="428" t="s">
        <v>574</v>
      </c>
      <c r="F186" s="431">
        <f t="shared" si="28"/>
        <v>2763420.0000000014</v>
      </c>
      <c r="G186" s="431">
        <f t="shared" si="28"/>
        <v>2581286.2700000014</v>
      </c>
      <c r="H186" s="431">
        <f t="shared" si="28"/>
        <v>15021</v>
      </c>
      <c r="I186" s="431">
        <f t="shared" si="28"/>
        <v>1345</v>
      </c>
      <c r="J186" s="431">
        <f t="shared" si="28"/>
        <v>4032</v>
      </c>
      <c r="K186" s="104">
        <f>DTC_SalesOverview_InTax[[#This Row],[Buyers]]/DTC_SalesOverview_InTax[[#This Row],[UV]]</f>
        <v>8.9541308834298644E-2</v>
      </c>
      <c r="L186" s="431">
        <f>DTC_SalesOverview_InTax[[#This Row],[GMV]]/DTC_SalesOverview_InTax[[#This Row],[Buyers]]</f>
        <v>2054.5873605947968</v>
      </c>
      <c r="M186" s="431">
        <f>DTC_SalesOverview_InTax[[#This Row],[GMV]]/DTC_SalesOverview_InTax[[#This Row],[Units]]</f>
        <v>685.37202380952419</v>
      </c>
      <c r="N186" s="432">
        <f>DTC_SalesOverview_InTax[[#This Row],[Units]]/DTC_SalesOverview_InTax[[#This Row],[Buyers]]</f>
        <v>2.9977695167286247</v>
      </c>
      <c r="O186" s="105">
        <f>DTC_SalesOverview_InTax[[#This Row],[RR]]/DTC_SalesOverview_InTax[[#This Row],[GMV]]</f>
        <v>6.5908812268855227E-2</v>
      </c>
      <c r="P186" s="431">
        <f>P125+P81</f>
        <v>182133.73</v>
      </c>
      <c r="Q186" s="431">
        <f>Q125+Q81</f>
        <v>2763420.0000000014</v>
      </c>
      <c r="R186" s="106">
        <f>DTC_SalesOverview_InTax[[#This Row],[MD GMV]]/DTC_SalesOverview_InTax[[#This Row],[GMV]]</f>
        <v>1</v>
      </c>
      <c r="S186" s="431">
        <f>S125+S81</f>
        <v>2581286.2700000014</v>
      </c>
      <c r="T186" s="94">
        <f>DTC_SalesOverview_InTax[[#This Row],[MD NET]]/DTC_SalesOverview_InTax[[#This Row],[NET]]</f>
        <v>1</v>
      </c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28" t="str">
        <f>_xlfn.XLOOKUP(DTC_SalesOverview_InTax[[#This Row],[DATE]],全店核心数据_bymonth[开始日期],全店核心数据_bymonth[jda日历.PayYear],"")</f>
        <v/>
      </c>
      <c r="AO186" s="428" t="str">
        <f>DTC_SalesOverview_InTax[[#This Row],[DATE]]</f>
        <v>BU25 FF</v>
      </c>
      <c r="AP186" s="461">
        <f>DTC_SalesOverview_InTax[[#This Row],[GMV]]/$F$1</f>
        <v>2445504.4247787627</v>
      </c>
      <c r="AQ186" s="461">
        <f>DTC_SalesOverview_ExclTax[[#This Row],[GMV]]-DTC_SalesOverview_ExclTax[[#This Row],[RR]]</f>
        <v>2284324.1327433647</v>
      </c>
      <c r="AR186" s="436">
        <f>DTC_SalesOverview_InTax[[#This Row],[UV]]</f>
        <v>15021</v>
      </c>
      <c r="AS186" s="431">
        <f>DTC_SalesOverview_InTax[[#This Row],[Buyers]]</f>
        <v>1345</v>
      </c>
      <c r="AT186" s="431">
        <f>DTC_SalesOverview_InTax[[#This Row],[Units]]</f>
        <v>4032</v>
      </c>
      <c r="AU186" s="92">
        <f>DTC_SalesOverview_ExclTax[[#This Row],[Buyers]]/DTC_SalesOverview_ExclTax[[#This Row],[UV]]</f>
        <v>8.9541308834298644E-2</v>
      </c>
      <c r="AV186" s="431">
        <f>DTC_SalesOverview_ExclTax[[#This Row],[GMV]]/DTC_SalesOverview_ExclTax[[#This Row],[Buyers]]</f>
        <v>1818.2189031812363</v>
      </c>
      <c r="AW186" s="431">
        <f>DTC_SalesOverview_ExclTax[[#This Row],[GMV]]/DTC_SalesOverview_ExclTax[[#This Row],[Units]]</f>
        <v>606.52391487568525</v>
      </c>
      <c r="AX186" s="432">
        <f>DTC_SalesOverview_ExclTax[[#This Row],[Units]]/DTC_SalesOverview_ExclTax[[#This Row],[Buyers]]</f>
        <v>2.9977695167286247</v>
      </c>
      <c r="AY186" s="93">
        <f>DTC_SalesOverview_ExclTax[[#This Row],[RR]]/DTC_SalesOverview_ExclTax[[#This Row],[GMV]]</f>
        <v>6.5908812268855227E-2</v>
      </c>
      <c r="AZ186" s="436">
        <f>DTC_SalesOverview_InTax[[#This Row],[RR]]/$F$1</f>
        <v>161180.29203539825</v>
      </c>
      <c r="BA186" s="461">
        <f>DTC_SalesOverview_InTax[[#This Row],[MD GMV]]/$F$1</f>
        <v>2445504.4247787627</v>
      </c>
      <c r="BB186" s="94">
        <f>DTC_SalesOverview_ExclTax[[#This Row],[MD GMV]]/DTC_SalesOverview_ExclTax[[#This Row],[GMV]]</f>
        <v>1</v>
      </c>
      <c r="BC186" s="94"/>
      <c r="BD186" s="94"/>
      <c r="BE186" s="94"/>
      <c r="BF186" s="94"/>
      <c r="BG186" s="94"/>
      <c r="BH186" s="94"/>
      <c r="BI186" s="94"/>
      <c r="BJ186" s="94"/>
      <c r="BK186" s="94"/>
      <c r="BL186" s="28" t="str">
        <f>_xlfn.XLOOKUP(DTC_SalesOverview_ExclTax[[#This Row],[DATE]],全店核心数据_bymonth[开始日期],全店核心数据_bymonth[jda日历.PayYear],"")</f>
        <v/>
      </c>
      <c r="BO186" s="28"/>
      <c r="CQ186" s="53"/>
    </row>
    <row r="187" spans="5:95" x14ac:dyDescent="0.3">
      <c r="E187" s="428" t="s">
        <v>572</v>
      </c>
      <c r="F187" s="431">
        <f t="shared" ref="F187:J188" si="29">F160-F185</f>
        <v>1902249.9999999986</v>
      </c>
      <c r="G187" s="431">
        <f t="shared" si="29"/>
        <v>1456180.4199999988</v>
      </c>
      <c r="H187" s="431">
        <f t="shared" si="29"/>
        <v>175697</v>
      </c>
      <c r="I187" s="431">
        <f t="shared" si="29"/>
        <v>334</v>
      </c>
      <c r="J187" s="431">
        <f t="shared" si="29"/>
        <v>370</v>
      </c>
      <c r="K187" s="104">
        <f>DTC_SalesOverview_InTax[[#This Row],[Buyers]]/DTC_SalesOverview_InTax[[#This Row],[UV]]</f>
        <v>1.9010000170748506E-3</v>
      </c>
      <c r="L187" s="431">
        <f>DTC_SalesOverview_InTax[[#This Row],[GMV]]/DTC_SalesOverview_InTax[[#This Row],[Buyers]]</f>
        <v>5695.3592814371214</v>
      </c>
      <c r="M187" s="431">
        <f>DTC_SalesOverview_InTax[[#This Row],[GMV]]/DTC_SalesOverview_InTax[[#This Row],[Units]]</f>
        <v>5141.2162162162122</v>
      </c>
      <c r="N187" s="432">
        <f>DTC_SalesOverview_InTax[[#This Row],[Units]]/DTC_SalesOverview_InTax[[#This Row],[Buyers]]</f>
        <v>1.1077844311377245</v>
      </c>
      <c r="O187" s="105">
        <f>DTC_SalesOverview_InTax[[#This Row],[RR]]/DTC_SalesOverview_InTax[[#This Row],[GMV]]</f>
        <v>0.23449577079773967</v>
      </c>
      <c r="P187" s="431">
        <f>P160-P185</f>
        <v>446069.57999999996</v>
      </c>
      <c r="Q187" s="431">
        <f>Q160-Q185</f>
        <v>296367.06999999937</v>
      </c>
      <c r="R187" s="106">
        <f>DTC_SalesOverview_InTax[[#This Row],[MD GMV]]/DTC_SalesOverview_InTax[[#This Row],[GMV]]</f>
        <v>0.15579817058746201</v>
      </c>
      <c r="S187" s="431">
        <f>S160-S185</f>
        <v>202357.06999999913</v>
      </c>
      <c r="T187" s="94">
        <f>DTC_SalesOverview_InTax[[#This Row],[MD NET]]/DTC_SalesOverview_InTax[[#This Row],[NET]]</f>
        <v>0.13896428438448535</v>
      </c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28" t="str">
        <f>_xlfn.XLOOKUP(DTC_SalesOverview_InTax[[#This Row],[DATE]],全店核心数据_bymonth[开始日期],全店核心数据_bymonth[jda日历.PayYear],"")</f>
        <v/>
      </c>
      <c r="AO187" s="428" t="str">
        <f>DTC_SalesOverview_InTax[[#This Row],[DATE]]</f>
        <v>BU26 Ex FF</v>
      </c>
      <c r="AP187" s="461">
        <f>DTC_SalesOverview_InTax[[#This Row],[GMV]]/$F$1</f>
        <v>1683407.0796460167</v>
      </c>
      <c r="AQ187" s="461">
        <f>DTC_SalesOverview_ExclTax[[#This Row],[GMV]]-DTC_SalesOverview_ExclTax[[#This Row],[RR]]</f>
        <v>1288655.2389380522</v>
      </c>
      <c r="AR187" s="436">
        <f>DTC_SalesOverview_InTax[[#This Row],[UV]]</f>
        <v>175697</v>
      </c>
      <c r="AS187" s="431">
        <f>DTC_SalesOverview_InTax[[#This Row],[Buyers]]</f>
        <v>334</v>
      </c>
      <c r="AT187" s="431">
        <f>DTC_SalesOverview_InTax[[#This Row],[Units]]</f>
        <v>370</v>
      </c>
      <c r="AU187" s="92">
        <f>DTC_SalesOverview_ExclTax[[#This Row],[Buyers]]/DTC_SalesOverview_ExclTax[[#This Row],[UV]]</f>
        <v>1.9010000170748506E-3</v>
      </c>
      <c r="AV187" s="431">
        <f>DTC_SalesOverview_ExclTax[[#This Row],[GMV]]/DTC_SalesOverview_ExclTax[[#This Row],[Buyers]]</f>
        <v>5040.1409570240021</v>
      </c>
      <c r="AW187" s="431">
        <f>DTC_SalesOverview_ExclTax[[#This Row],[GMV]]/DTC_SalesOverview_ExclTax[[#This Row],[Units]]</f>
        <v>4549.748863908153</v>
      </c>
      <c r="AX187" s="432">
        <f>DTC_SalesOverview_ExclTax[[#This Row],[Units]]/DTC_SalesOverview_ExclTax[[#This Row],[Buyers]]</f>
        <v>1.1077844311377245</v>
      </c>
      <c r="AY187" s="93">
        <f>DTC_SalesOverview_ExclTax[[#This Row],[RR]]/DTC_SalesOverview_ExclTax[[#This Row],[GMV]]</f>
        <v>0.23449577079773967</v>
      </c>
      <c r="AZ187" s="436">
        <f>DTC_SalesOverview_InTax[[#This Row],[RR]]/$F$1</f>
        <v>394751.84070796461</v>
      </c>
      <c r="BA187" s="461">
        <f>DTC_SalesOverview_InTax[[#This Row],[MD GMV]]/$F$1</f>
        <v>262271.7433628313</v>
      </c>
      <c r="BB187" s="94">
        <f>DTC_SalesOverview_ExclTax[[#This Row],[MD GMV]]/DTC_SalesOverview_ExclTax[[#This Row],[GMV]]</f>
        <v>0.15579817058746198</v>
      </c>
      <c r="BC187" s="94"/>
      <c r="BD187" s="94"/>
      <c r="BE187" s="94"/>
      <c r="BF187" s="94"/>
      <c r="BG187" s="94"/>
      <c r="BH187" s="94"/>
      <c r="BI187" s="94"/>
      <c r="BJ187" s="94"/>
      <c r="BK187" s="94"/>
      <c r="BL187" s="28" t="str">
        <f>_xlfn.XLOOKUP(DTC_SalesOverview_InTax[[#This Row],[DATE]],全店核心数据_bymonth[开始日期],全店核心数据_bymonth[jda日历.PayYear],"")</f>
        <v/>
      </c>
      <c r="BO187" s="28"/>
      <c r="CQ187" s="53"/>
    </row>
    <row r="188" spans="5:95" x14ac:dyDescent="0.3">
      <c r="E188" s="428" t="s">
        <v>575</v>
      </c>
      <c r="F188" s="431">
        <f t="shared" si="29"/>
        <v>1611119.9999999986</v>
      </c>
      <c r="G188" s="431">
        <f t="shared" si="29"/>
        <v>1241304.9999999991</v>
      </c>
      <c r="H188" s="431">
        <f t="shared" si="29"/>
        <v>118412</v>
      </c>
      <c r="I188" s="431">
        <f t="shared" si="29"/>
        <v>337</v>
      </c>
      <c r="J188" s="431">
        <f t="shared" si="29"/>
        <v>416</v>
      </c>
      <c r="K188" s="104">
        <f>DTC_SalesOverview_InTax[[#This Row],[Buyers]]/DTC_SalesOverview_InTax[[#This Row],[UV]]</f>
        <v>2.8459953383103065E-3</v>
      </c>
      <c r="L188" s="431">
        <f>DTC_SalesOverview_InTax[[#This Row],[GMV]]/DTC_SalesOverview_InTax[[#This Row],[Buyers]]</f>
        <v>4780.7715133531119</v>
      </c>
      <c r="M188" s="431">
        <f>DTC_SalesOverview_InTax[[#This Row],[GMV]]/DTC_SalesOverview_InTax[[#This Row],[Units]]</f>
        <v>3872.8846153846121</v>
      </c>
      <c r="N188" s="432">
        <f>DTC_SalesOverview_InTax[[#This Row],[Units]]/DTC_SalesOverview_InTax[[#This Row],[Buyers]]</f>
        <v>1.2344213649851632</v>
      </c>
      <c r="O188" s="105">
        <f>DTC_SalesOverview_InTax[[#This Row],[RR]]/DTC_SalesOverview_InTax[[#This Row],[GMV]]</f>
        <v>0.22953907840508486</v>
      </c>
      <c r="P188" s="431">
        <f>P161-P186</f>
        <v>369815</v>
      </c>
      <c r="Q188" s="431">
        <f>Q161-Q186</f>
        <v>427209.99999999953</v>
      </c>
      <c r="R188" s="106">
        <f>DTC_SalesOverview_InTax[[#This Row],[MD GMV]]/DTC_SalesOverview_InTax[[#This Row],[GMV]]</f>
        <v>0.26516336461591933</v>
      </c>
      <c r="S188" s="431">
        <f>S161-S186</f>
        <v>338389.99999999907</v>
      </c>
      <c r="T188" s="94">
        <f>DTC_SalesOverview_InTax[[#This Row],[MD NET]]/DTC_SalesOverview_InTax[[#This Row],[NET]]</f>
        <v>0.27260826307796981</v>
      </c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28" t="str">
        <f>_xlfn.XLOOKUP(DTC_SalesOverview_InTax[[#This Row],[DATE]],全店核心数据_bymonth[开始日期],全店核心数据_bymonth[jda日历.PayYear],"")</f>
        <v/>
      </c>
      <c r="AO188" s="428" t="str">
        <f>DTC_SalesOverview_InTax[[#This Row],[DATE]]</f>
        <v>BU25 Ex FF</v>
      </c>
      <c r="AP188" s="461">
        <f>DTC_SalesOverview_InTax[[#This Row],[GMV]]/$F$1</f>
        <v>1425769.9115044237</v>
      </c>
      <c r="AQ188" s="461">
        <f>DTC_SalesOverview_ExclTax[[#This Row],[GMV]]-DTC_SalesOverview_ExclTax[[#This Row],[RR]]</f>
        <v>1098499.9999999988</v>
      </c>
      <c r="AR188" s="436">
        <f>DTC_SalesOverview_InTax[[#This Row],[UV]]</f>
        <v>118412</v>
      </c>
      <c r="AS188" s="431">
        <f>DTC_SalesOverview_InTax[[#This Row],[Buyers]]</f>
        <v>337</v>
      </c>
      <c r="AT188" s="431">
        <f>DTC_SalesOverview_InTax[[#This Row],[Units]]</f>
        <v>416</v>
      </c>
      <c r="AU188" s="92">
        <f>DTC_SalesOverview_ExclTax[[#This Row],[Buyers]]/DTC_SalesOverview_ExclTax[[#This Row],[UV]]</f>
        <v>2.8459953383103065E-3</v>
      </c>
      <c r="AV188" s="431">
        <f>DTC_SalesOverview_ExclTax[[#This Row],[GMV]]/DTC_SalesOverview_ExclTax[[#This Row],[Buyers]]</f>
        <v>4230.7712507549668</v>
      </c>
      <c r="AW188" s="431">
        <f>DTC_SalesOverview_ExclTax[[#This Row],[GMV]]/DTC_SalesOverview_ExclTax[[#This Row],[Units]]</f>
        <v>3427.3315180394802</v>
      </c>
      <c r="AX188" s="432">
        <f>DTC_SalesOverview_ExclTax[[#This Row],[Units]]/DTC_SalesOverview_ExclTax[[#This Row],[Buyers]]</f>
        <v>1.2344213649851632</v>
      </c>
      <c r="AY188" s="93">
        <f>DTC_SalesOverview_ExclTax[[#This Row],[RR]]/DTC_SalesOverview_ExclTax[[#This Row],[GMV]]</f>
        <v>0.22953907840508486</v>
      </c>
      <c r="AZ188" s="436">
        <f>DTC_SalesOverview_InTax[[#This Row],[RR]]/$F$1</f>
        <v>327269.91150442482</v>
      </c>
      <c r="BA188" s="461">
        <f>DTC_SalesOverview_InTax[[#This Row],[MD GMV]]/$F$1</f>
        <v>378061.94690265448</v>
      </c>
      <c r="BB188" s="94">
        <f>DTC_SalesOverview_ExclTax[[#This Row],[MD GMV]]/DTC_SalesOverview_ExclTax[[#This Row],[GMV]]</f>
        <v>0.26516336461591927</v>
      </c>
      <c r="BC188" s="94"/>
      <c r="BD188" s="94"/>
      <c r="BE188" s="94"/>
      <c r="BF188" s="94"/>
      <c r="BG188" s="94"/>
      <c r="BH188" s="94"/>
      <c r="BI188" s="94"/>
      <c r="BJ188" s="94"/>
      <c r="BK188" s="94"/>
      <c r="BL188" s="28" t="str">
        <f>_xlfn.XLOOKUP(DTC_SalesOverview_InTax[[#This Row],[DATE]],全店核心数据_bymonth[开始日期],全店核心数据_bymonth[jda日历.PayYear],"")</f>
        <v/>
      </c>
      <c r="BO188" s="28"/>
      <c r="CQ188" s="53"/>
    </row>
    <row r="189" spans="5:95" ht="13" x14ac:dyDescent="0.3">
      <c r="E189" s="425" t="s">
        <v>339</v>
      </c>
      <c r="F189" s="256">
        <f>F187/F188-1</f>
        <v>0.18070038234271824</v>
      </c>
      <c r="G189" s="256">
        <f t="shared" ref="G189:Q189" si="30">G187/G188-1</f>
        <v>0.17310445055808188</v>
      </c>
      <c r="H189" s="256">
        <f t="shared" si="30"/>
        <v>0.48377698206262876</v>
      </c>
      <c r="I189" s="256">
        <f t="shared" si="30"/>
        <v>-8.9020771513352859E-3</v>
      </c>
      <c r="J189" s="256">
        <f t="shared" si="30"/>
        <v>-0.11057692307692313</v>
      </c>
      <c r="K189" s="256">
        <f t="shared" si="30"/>
        <v>-0.33204387530603208</v>
      </c>
      <c r="L189" s="256">
        <f t="shared" si="30"/>
        <v>0.19130547559729338</v>
      </c>
      <c r="M189" s="256">
        <f t="shared" si="30"/>
        <v>0.32749015960694794</v>
      </c>
      <c r="N189" s="256">
        <f t="shared" si="30"/>
        <v>-0.10258809304467986</v>
      </c>
      <c r="O189" s="255">
        <f>(O187-O188)*100</f>
        <v>0.49566923926548101</v>
      </c>
      <c r="P189" s="222">
        <f t="shared" si="30"/>
        <v>0.20619655773832846</v>
      </c>
      <c r="Q189" s="222">
        <f t="shared" si="30"/>
        <v>-0.30627309753985232</v>
      </c>
      <c r="R189" s="255">
        <f>(R187-R188)*100</f>
        <v>-10.936519402845732</v>
      </c>
      <c r="S189" s="222">
        <f>S187/S188-1</f>
        <v>-0.40200044327551143</v>
      </c>
      <c r="T189" s="255">
        <f>(T187-T188)*100</f>
        <v>-13.364397869348446</v>
      </c>
      <c r="U189" s="255"/>
      <c r="V189" s="255"/>
      <c r="W189" s="255"/>
      <c r="X189" s="255"/>
      <c r="Y189" s="255"/>
      <c r="Z189" s="255"/>
      <c r="AA189" s="255"/>
      <c r="AB189" s="255"/>
      <c r="AC189" s="255"/>
      <c r="AD189" s="255"/>
      <c r="AE189" s="255"/>
      <c r="AF189" s="255"/>
      <c r="AG189" s="255"/>
      <c r="AH189" s="255"/>
      <c r="AI189" s="255"/>
      <c r="AJ189" s="255"/>
      <c r="AK189" s="255"/>
      <c r="AL189" s="28" t="str">
        <f>_xlfn.XLOOKUP(DTC_SalesOverview_InTax[[#This Row],[DATE]],全店核心数据_bymonth[开始日期],全店核心数据_bymonth[jda日历.PayYear],"")</f>
        <v/>
      </c>
      <c r="AO189" s="425" t="str">
        <f>DTC_SalesOverview_InTax[[#This Row],[DATE]]</f>
        <v>YOY Ex FF</v>
      </c>
      <c r="AP189" s="97">
        <f t="shared" ref="AP189:AX189" si="31">AP187/AP188-1</f>
        <v>0.18070038234271824</v>
      </c>
      <c r="AQ189" s="97">
        <f t="shared" si="31"/>
        <v>0.17310445055808255</v>
      </c>
      <c r="AR189" s="97">
        <f t="shared" si="31"/>
        <v>0.48377698206262876</v>
      </c>
      <c r="AS189" s="97">
        <f t="shared" si="31"/>
        <v>-8.9020771513352859E-3</v>
      </c>
      <c r="AT189" s="97">
        <f t="shared" si="31"/>
        <v>-0.11057692307692313</v>
      </c>
      <c r="AU189" s="97">
        <f t="shared" si="31"/>
        <v>-0.33204387530603208</v>
      </c>
      <c r="AV189" s="97">
        <f t="shared" si="31"/>
        <v>0.19130547559729361</v>
      </c>
      <c r="AW189" s="97">
        <f t="shared" si="31"/>
        <v>0.32749015960694794</v>
      </c>
      <c r="AX189" s="97">
        <f t="shared" si="31"/>
        <v>-0.10258809304467986</v>
      </c>
      <c r="AY189" s="97">
        <f>AY187-AY188</f>
        <v>4.9566923926548101E-3</v>
      </c>
      <c r="AZ189" s="97">
        <f>AZ187/AZ188-1</f>
        <v>0.20619655773832846</v>
      </c>
      <c r="BA189" s="97">
        <f>BA187/BA188-1</f>
        <v>-0.30627309753985232</v>
      </c>
      <c r="BB189" s="97">
        <f>BB187-BB188</f>
        <v>-0.10936519402845729</v>
      </c>
      <c r="BC189" s="97"/>
      <c r="BD189" s="97"/>
      <c r="BE189" s="97"/>
      <c r="BF189" s="97"/>
      <c r="BG189" s="97"/>
      <c r="BH189" s="97"/>
      <c r="BI189" s="97"/>
      <c r="BJ189" s="97"/>
      <c r="BK189" s="97"/>
      <c r="BL189" s="95" t="str">
        <f>_xlfn.XLOOKUP(DTC_SalesOverview_InTax[[#This Row],[DATE]],全店核心数据_bymonth[开始日期],全店核心数据_bymonth[jda日历.PayYear],"")</f>
        <v/>
      </c>
      <c r="BO189" s="28"/>
      <c r="CQ189" s="53"/>
    </row>
    <row r="190" spans="5:95" x14ac:dyDescent="0.3">
      <c r="E190" s="428" t="s">
        <v>562</v>
      </c>
      <c r="F190" s="431">
        <f t="shared" ref="F190:J191" si="32">F129+F78</f>
        <v>936675</v>
      </c>
      <c r="G190" s="431">
        <f t="shared" si="32"/>
        <v>833335</v>
      </c>
      <c r="H190" s="431">
        <f t="shared" si="32"/>
        <v>59369</v>
      </c>
      <c r="I190" s="431">
        <f t="shared" si="32"/>
        <v>101</v>
      </c>
      <c r="J190" s="431">
        <f t="shared" si="32"/>
        <v>185</v>
      </c>
      <c r="K190" s="104">
        <f>DTC_SalesOverview_InTax[[#This Row],[Buyers]]/DTC_SalesOverview_InTax[[#This Row],[UV]]</f>
        <v>1.7012245447961057E-3</v>
      </c>
      <c r="L190" s="431">
        <f>DTC_SalesOverview_InTax[[#This Row],[GMV]]/DTC_SalesOverview_InTax[[#This Row],[Buyers]]</f>
        <v>9274.0099009900987</v>
      </c>
      <c r="M190" s="431">
        <f>DTC_SalesOverview_InTax[[#This Row],[GMV]]/DTC_SalesOverview_InTax[[#This Row],[Units]]</f>
        <v>5063.1081081081084</v>
      </c>
      <c r="N190" s="432">
        <f>DTC_SalesOverview_InTax[[#This Row],[Units]]/DTC_SalesOverview_InTax[[#This Row],[Buyers]]</f>
        <v>1.8316831683168318</v>
      </c>
      <c r="O190" s="105">
        <f>DTC_SalesOverview_InTax[[#This Row],[RR]]/DTC_SalesOverview_InTax[[#This Row],[GMV]]</f>
        <v>0.11032642058344677</v>
      </c>
      <c r="P190" s="431">
        <f>P129+P78</f>
        <v>103340</v>
      </c>
      <c r="Q190" s="431">
        <f>Q129+Q78</f>
        <v>169967.07</v>
      </c>
      <c r="R190" s="106">
        <f>DTC_SalesOverview_InTax[[#This Row],[MD GMV]]/DTC_SalesOverview_InTax[[#This Row],[GMV]]</f>
        <v>0.18145789094403075</v>
      </c>
      <c r="S190" s="431">
        <f>S129+S78</f>
        <v>142747.07</v>
      </c>
      <c r="T190" s="94">
        <f>DTC_SalesOverview_InTax[[#This Row],[MD NET]]/DTC_SalesOverview_InTax[[#This Row],[NET]]</f>
        <v>0.17129614140771721</v>
      </c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28" t="str">
        <f>_xlfn.XLOOKUP(DTC_SalesOverview_InTax[[#This Row],[DATE]],全店核心数据_bymonth[开始日期],全店核心数据_bymonth[jda日历.PayYear],"")</f>
        <v/>
      </c>
      <c r="AO190" s="428" t="str">
        <f>DTC_SalesOverview_InTax[[#This Row],[DATE]]</f>
        <v>BU26 SC</v>
      </c>
      <c r="AP190" s="461">
        <f>DTC_SalesOverview_InTax[[#This Row],[GMV]]/$F$1</f>
        <v>828915.92920353985</v>
      </c>
      <c r="AQ190" s="461">
        <f>DTC_SalesOverview_ExclTax[[#This Row],[GMV]]-DTC_SalesOverview_ExclTax[[#This Row],[RR]]</f>
        <v>737464.60176991159</v>
      </c>
      <c r="AR190" s="436">
        <f>DTC_SalesOverview_InTax[[#This Row],[UV]]</f>
        <v>59369</v>
      </c>
      <c r="AS190" s="431">
        <f>DTC_SalesOverview_InTax[[#This Row],[Buyers]]</f>
        <v>101</v>
      </c>
      <c r="AT190" s="431">
        <f>DTC_SalesOverview_InTax[[#This Row],[Units]]</f>
        <v>185</v>
      </c>
      <c r="AU190" s="92">
        <f>DTC_SalesOverview_ExclTax[[#This Row],[Buyers]]/DTC_SalesOverview_ExclTax[[#This Row],[UV]]</f>
        <v>1.7012245447961057E-3</v>
      </c>
      <c r="AV190" s="431">
        <f>DTC_SalesOverview_ExclTax[[#This Row],[GMV]]/DTC_SalesOverview_ExclTax[[#This Row],[Buyers]]</f>
        <v>8207.08840795584</v>
      </c>
      <c r="AW190" s="431">
        <f>DTC_SalesOverview_ExclTax[[#This Row],[GMV]]/DTC_SalesOverview_ExclTax[[#This Row],[Units]]</f>
        <v>4480.6266443434588</v>
      </c>
      <c r="AX190" s="432">
        <f>DTC_SalesOverview_ExclTax[[#This Row],[Units]]/DTC_SalesOverview_ExclTax[[#This Row],[Buyers]]</f>
        <v>1.8316831683168318</v>
      </c>
      <c r="AY190" s="93">
        <f>DTC_SalesOverview_ExclTax[[#This Row],[RR]]/DTC_SalesOverview_ExclTax[[#This Row],[GMV]]</f>
        <v>0.11032642058344677</v>
      </c>
      <c r="AZ190" s="436">
        <f>DTC_SalesOverview_InTax[[#This Row],[RR]]/$F$1</f>
        <v>91451.327433628321</v>
      </c>
      <c r="BA190" s="461">
        <f>DTC_SalesOverview_InTax[[#This Row],[MD GMV]]/$F$1</f>
        <v>150413.33628318587</v>
      </c>
      <c r="BB190" s="94">
        <f>DTC_SalesOverview_ExclTax[[#This Row],[MD GMV]]/DTC_SalesOverview_ExclTax[[#This Row],[GMV]]</f>
        <v>0.18145789094403078</v>
      </c>
      <c r="BC190" s="94"/>
      <c r="BD190" s="94"/>
      <c r="BE190" s="94"/>
      <c r="BF190" s="94"/>
      <c r="BG190" s="94"/>
      <c r="BH190" s="94"/>
      <c r="BI190" s="94"/>
      <c r="BJ190" s="94"/>
      <c r="BK190" s="94"/>
      <c r="BL190" s="28" t="str">
        <f>_xlfn.XLOOKUP(DTC_SalesOverview_InTax[[#This Row],[DATE]],全店核心数据_bymonth[开始日期],全店核心数据_bymonth[jda日历.PayYear],"")</f>
        <v/>
      </c>
      <c r="BO190" s="28"/>
      <c r="CQ190" s="53"/>
    </row>
    <row r="191" spans="5:95" x14ac:dyDescent="0.3">
      <c r="E191" s="428" t="s">
        <v>565</v>
      </c>
      <c r="F191" s="431">
        <f t="shared" si="32"/>
        <v>648855</v>
      </c>
      <c r="G191" s="431">
        <f t="shared" si="32"/>
        <v>617855</v>
      </c>
      <c r="H191" s="431">
        <f t="shared" si="32"/>
        <v>19939</v>
      </c>
      <c r="I191" s="431">
        <f t="shared" si="32"/>
        <v>101</v>
      </c>
      <c r="J191" s="431">
        <f t="shared" si="32"/>
        <v>156</v>
      </c>
      <c r="K191" s="104">
        <f>DTC_SalesOverview_InTax[[#This Row],[Buyers]]/DTC_SalesOverview_InTax[[#This Row],[UV]]</f>
        <v>5.0654496213451026E-3</v>
      </c>
      <c r="L191" s="431">
        <f>DTC_SalesOverview_InTax[[#This Row],[GMV]]/DTC_SalesOverview_InTax[[#This Row],[Buyers]]</f>
        <v>6424.3069306930693</v>
      </c>
      <c r="M191" s="431">
        <f>DTC_SalesOverview_InTax[[#This Row],[GMV]]/DTC_SalesOverview_InTax[[#This Row],[Units]]</f>
        <v>4159.3269230769229</v>
      </c>
      <c r="N191" s="432">
        <f>DTC_SalesOverview_InTax[[#This Row],[Units]]/DTC_SalesOverview_InTax[[#This Row],[Buyers]]</f>
        <v>1.5445544554455446</v>
      </c>
      <c r="O191" s="105">
        <f>DTC_SalesOverview_InTax[[#This Row],[RR]]/DTC_SalesOverview_InTax[[#This Row],[GMV]]</f>
        <v>4.7776467777854839E-2</v>
      </c>
      <c r="P191" s="431">
        <f>P130+P79</f>
        <v>31000</v>
      </c>
      <c r="Q191" s="431">
        <f>Q130+Q79</f>
        <v>230295</v>
      </c>
      <c r="R191" s="106">
        <f>DTC_SalesOverview_InTax[[#This Row],[MD GMV]]/DTC_SalesOverview_InTax[[#This Row],[GMV]]</f>
        <v>0.35492521441616387</v>
      </c>
      <c r="S191" s="431">
        <f>S130+S79</f>
        <v>209440</v>
      </c>
      <c r="T191" s="94">
        <f>DTC_SalesOverview_InTax[[#This Row],[MD NET]]/DTC_SalesOverview_InTax[[#This Row],[NET]]</f>
        <v>0.33897921033252137</v>
      </c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28" t="str">
        <f>_xlfn.XLOOKUP(DTC_SalesOverview_InTax[[#This Row],[DATE]],全店核心数据_bymonth[开始日期],全店核心数据_bymonth[jda日历.PayYear],"")</f>
        <v/>
      </c>
      <c r="AO191" s="428" t="str">
        <f>DTC_SalesOverview_InTax[[#This Row],[DATE]]</f>
        <v>BU25 SC</v>
      </c>
      <c r="AP191" s="461">
        <f>DTC_SalesOverview_InTax[[#This Row],[GMV]]/$F$1</f>
        <v>574207.96460176993</v>
      </c>
      <c r="AQ191" s="461">
        <f>DTC_SalesOverview_ExclTax[[#This Row],[GMV]]-DTC_SalesOverview_ExclTax[[#This Row],[RR]]</f>
        <v>546774.33628318587</v>
      </c>
      <c r="AR191" s="436">
        <f>DTC_SalesOverview_InTax[[#This Row],[UV]]</f>
        <v>19939</v>
      </c>
      <c r="AS191" s="431">
        <f>DTC_SalesOverview_InTax[[#This Row],[Buyers]]</f>
        <v>101</v>
      </c>
      <c r="AT191" s="431">
        <f>DTC_SalesOverview_InTax[[#This Row],[Units]]</f>
        <v>156</v>
      </c>
      <c r="AU191" s="92">
        <f>DTC_SalesOverview_ExclTax[[#This Row],[Buyers]]/DTC_SalesOverview_ExclTax[[#This Row],[UV]]</f>
        <v>5.0654496213451026E-3</v>
      </c>
      <c r="AV191" s="431">
        <f>DTC_SalesOverview_ExclTax[[#This Row],[GMV]]/DTC_SalesOverview_ExclTax[[#This Row],[Buyers]]</f>
        <v>5685.2273722947521</v>
      </c>
      <c r="AW191" s="431">
        <f>DTC_SalesOverview_ExclTax[[#This Row],[GMV]]/DTC_SalesOverview_ExclTax[[#This Row],[Units]]</f>
        <v>3680.8202859087814</v>
      </c>
      <c r="AX191" s="432">
        <f>DTC_SalesOverview_ExclTax[[#This Row],[Units]]/DTC_SalesOverview_ExclTax[[#This Row],[Buyers]]</f>
        <v>1.5445544554455446</v>
      </c>
      <c r="AY191" s="93">
        <f>DTC_SalesOverview_ExclTax[[#This Row],[RR]]/DTC_SalesOverview_ExclTax[[#This Row],[GMV]]</f>
        <v>4.7776467777854839E-2</v>
      </c>
      <c r="AZ191" s="436">
        <f>DTC_SalesOverview_InTax[[#This Row],[RR]]/$F$1</f>
        <v>27433.628318584073</v>
      </c>
      <c r="BA191" s="461">
        <f>DTC_SalesOverview_InTax[[#This Row],[MD GMV]]/$F$1</f>
        <v>203800.88495575223</v>
      </c>
      <c r="BB191" s="94">
        <f>DTC_SalesOverview_ExclTax[[#This Row],[MD GMV]]/DTC_SalesOverview_ExclTax[[#This Row],[GMV]]</f>
        <v>0.35492521441616387</v>
      </c>
      <c r="BC191" s="94"/>
      <c r="BD191" s="94"/>
      <c r="BE191" s="94"/>
      <c r="BF191" s="94"/>
      <c r="BG191" s="94"/>
      <c r="BH191" s="94"/>
      <c r="BI191" s="94"/>
      <c r="BJ191" s="94"/>
      <c r="BK191" s="94"/>
      <c r="BL191" s="28" t="str">
        <f>_xlfn.XLOOKUP(DTC_SalesOverview_InTax[[#This Row],[DATE]],全店核心数据_bymonth[开始日期],全店核心数据_bymonth[jda日历.PayYear],"")</f>
        <v/>
      </c>
      <c r="BO191" s="28"/>
      <c r="CO191" s="53"/>
    </row>
    <row r="192" spans="5:95" ht="13" x14ac:dyDescent="0.3">
      <c r="E192" s="425" t="s">
        <v>687</v>
      </c>
      <c r="F192" s="256">
        <f>F190/F191-1</f>
        <v>0.44358138567168326</v>
      </c>
      <c r="G192" s="256">
        <f t="shared" ref="G192:S192" si="33">G190/G191-1</f>
        <v>0.34875496678023166</v>
      </c>
      <c r="H192" s="256">
        <f t="shared" si="33"/>
        <v>1.9775314709865088</v>
      </c>
      <c r="I192" s="256">
        <f t="shared" si="33"/>
        <v>0</v>
      </c>
      <c r="J192" s="256">
        <f t="shared" si="33"/>
        <v>0.1858974358974359</v>
      </c>
      <c r="K192" s="256">
        <f t="shared" si="33"/>
        <v>-0.66415132476545002</v>
      </c>
      <c r="L192" s="256">
        <f t="shared" si="33"/>
        <v>0.44358138567168326</v>
      </c>
      <c r="M192" s="256">
        <f t="shared" si="33"/>
        <v>0.21729024953936538</v>
      </c>
      <c r="N192" s="256">
        <f t="shared" si="33"/>
        <v>0.1858974358974359</v>
      </c>
      <c r="O192" s="413">
        <f>(O190-O191)*100</f>
        <v>6.2549952805591928</v>
      </c>
      <c r="P192" s="256">
        <f t="shared" si="33"/>
        <v>2.3335483870967741</v>
      </c>
      <c r="Q192" s="256">
        <f t="shared" si="33"/>
        <v>-0.26195935647756141</v>
      </c>
      <c r="R192" s="413">
        <f>(R190-R191)*100</f>
        <v>-17.346732347213312</v>
      </c>
      <c r="S192" s="256">
        <f t="shared" si="33"/>
        <v>-0.31843453972498081</v>
      </c>
      <c r="T192" s="413">
        <f>(T190-T191)*100</f>
        <v>-16.768306892480418</v>
      </c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28" t="str">
        <f>_xlfn.XLOOKUP(DTC_SalesOverview_InTax[[#This Row],[DATE]],全店核心数据_bymonth[开始日期],全店核心数据_bymonth[jda日历.PayYear],"")</f>
        <v/>
      </c>
      <c r="AO192" s="425" t="str">
        <f>DTC_SalesOverview_InTax[[#This Row],[DATE]]</f>
        <v>YTD YOY SC</v>
      </c>
      <c r="AP192" s="97">
        <f t="shared" ref="AP192:AX192" si="34">AP190/AP191-1</f>
        <v>0.44358138567168326</v>
      </c>
      <c r="AQ192" s="97">
        <f t="shared" si="34"/>
        <v>0.34875496678023166</v>
      </c>
      <c r="AR192" s="97">
        <f t="shared" si="34"/>
        <v>1.9775314709865088</v>
      </c>
      <c r="AS192" s="97">
        <f t="shared" si="34"/>
        <v>0</v>
      </c>
      <c r="AT192" s="97">
        <f t="shared" si="34"/>
        <v>0.1858974358974359</v>
      </c>
      <c r="AU192" s="97">
        <f t="shared" si="34"/>
        <v>-0.66415132476545002</v>
      </c>
      <c r="AV192" s="97">
        <f t="shared" si="34"/>
        <v>0.44358138567168304</v>
      </c>
      <c r="AW192" s="97">
        <f t="shared" si="34"/>
        <v>0.21729024953936538</v>
      </c>
      <c r="AX192" s="97">
        <f t="shared" si="34"/>
        <v>0.1858974358974359</v>
      </c>
      <c r="AY192" s="97">
        <f>AY190-AY191</f>
        <v>6.2549952805591932E-2</v>
      </c>
      <c r="AZ192" s="97">
        <f>AZ190/AZ191-1</f>
        <v>2.3335483870967741</v>
      </c>
      <c r="BA192" s="97">
        <f>BA190/BA191-1</f>
        <v>-0.2619593564775613</v>
      </c>
      <c r="BB192" s="97">
        <f>BB190-BB191</f>
        <v>-0.17346732347213309</v>
      </c>
      <c r="BC192" s="94"/>
      <c r="BD192" s="94"/>
      <c r="BE192" s="94"/>
      <c r="BF192" s="94"/>
      <c r="BG192" s="94"/>
      <c r="BH192" s="94"/>
      <c r="BI192" s="94"/>
      <c r="BJ192" s="94"/>
      <c r="BK192" s="94"/>
      <c r="BL192" s="28" t="str">
        <f>_xlfn.XLOOKUP(DTC_SalesOverview_ExclTax[[#This Row],[DATE]],全店核心数据_bymonth[开始日期],全店核心数据_bymonth[jda日历.PayYear],"")</f>
        <v/>
      </c>
      <c r="BO192" s="28"/>
      <c r="CO192" s="53"/>
    </row>
    <row r="193" spans="5:93" x14ac:dyDescent="0.3">
      <c r="E193" s="428" t="s">
        <v>573</v>
      </c>
      <c r="F193" s="431">
        <f t="shared" ref="F193:J194" si="35">F132</f>
        <v>7400</v>
      </c>
      <c r="G193" s="431">
        <f t="shared" si="35"/>
        <v>7400</v>
      </c>
      <c r="H193" s="431">
        <f t="shared" si="35"/>
        <v>300</v>
      </c>
      <c r="I193" s="431">
        <f t="shared" si="35"/>
        <v>1</v>
      </c>
      <c r="J193" s="431">
        <f t="shared" si="35"/>
        <v>1</v>
      </c>
      <c r="K193" s="104">
        <f>DTC_SalesOverview_InTax[[#This Row],[Buyers]]/DTC_SalesOverview_InTax[[#This Row],[UV]]</f>
        <v>3.3333333333333335E-3</v>
      </c>
      <c r="L193" s="431">
        <f>DTC_SalesOverview_InTax[[#This Row],[GMV]]/DTC_SalesOverview_InTax[[#This Row],[Buyers]]</f>
        <v>7400</v>
      </c>
      <c r="M193" s="431">
        <f>DTC_SalesOverview_InTax[[#This Row],[GMV]]/DTC_SalesOverview_InTax[[#This Row],[Units]]</f>
        <v>7400</v>
      </c>
      <c r="N193" s="432">
        <f>DTC_SalesOverview_InTax[[#This Row],[Units]]/DTC_SalesOverview_InTax[[#This Row],[Buyers]]</f>
        <v>1</v>
      </c>
      <c r="O193" s="105">
        <f>DTC_SalesOverview_InTax[[#This Row],[RR]]/DTC_SalesOverview_InTax[[#This Row],[GMV]]</f>
        <v>0</v>
      </c>
      <c r="P193" s="431">
        <f>P132</f>
        <v>0</v>
      </c>
      <c r="Q193" s="431">
        <f>Q132</f>
        <v>0</v>
      </c>
      <c r="R193" s="106">
        <f>DTC_SalesOverview_InTax[[#This Row],[MD GMV]]/DTC_SalesOverview_InTax[[#This Row],[GMV]]</f>
        <v>0</v>
      </c>
      <c r="S193" s="431">
        <f>S132</f>
        <v>0</v>
      </c>
      <c r="T193" s="94">
        <f>DTC_SalesOverview_InTax[[#This Row],[MD NET]]/DTC_SalesOverview_InTax[[#This Row],[NET]]</f>
        <v>0</v>
      </c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28" t="str">
        <f>_xlfn.XLOOKUP(DTC_SalesOverview_InTax[[#This Row],[DATE]],全店核心数据_bymonth[开始日期],全店核心数据_bymonth[jda日历.PayYear],"")</f>
        <v/>
      </c>
      <c r="AO193" s="428" t="str">
        <f>DTC_SalesOverview_InTax[[#This Row],[DATE]]</f>
        <v>BU26 Ads</v>
      </c>
      <c r="AP193" s="436">
        <f>DTC_SalesOverview_InTax[[#This Row],[GMV]]/$F$1</f>
        <v>6548.6725663716825</v>
      </c>
      <c r="AQ193" s="436">
        <f>DTC_SalesOverview_InTax[[#This Row],[NET]]/$F$1</f>
        <v>6548.6725663716825</v>
      </c>
      <c r="AR193" s="431">
        <f>DTC_SalesOverview_InTax[[#This Row],[UV]]</f>
        <v>300</v>
      </c>
      <c r="AS193" s="431">
        <f>DTC_SalesOverview_InTax[[#This Row],[Buyers]]/$F$1</f>
        <v>0.88495575221238942</v>
      </c>
      <c r="AT193" s="431">
        <f>DTC_SalesOverview_InTax[[#This Row],[Units]]/$F$1</f>
        <v>0.88495575221238942</v>
      </c>
      <c r="AU193" s="92">
        <f>DTC_SalesOverview_InTax[[#This Row],[Buyers]]/DTC_SalesOverview_InTax[[#This Row],[UV]]</f>
        <v>3.3333333333333335E-3</v>
      </c>
      <c r="AV193" s="431">
        <f>DTC_SalesOverview_InTax[[#This Row],[GMV]]/DTC_SalesOverview_InTax[[#This Row],[Buyers]]</f>
        <v>7400</v>
      </c>
      <c r="AW193" s="431">
        <f>DTC_SalesOverview_InTax[[#This Row],[GMV]]/DTC_SalesOverview_InTax[[#This Row],[Units]]</f>
        <v>7400</v>
      </c>
      <c r="AX193" s="432">
        <f>DTC_SalesOverview_InTax[[#This Row],[Units]]/DTC_SalesOverview_InTax[[#This Row],[Buyers]]</f>
        <v>1</v>
      </c>
      <c r="AY193" s="93">
        <f>DTC_SalesOverview_InTax[[#This Row],[RR]]/DTC_SalesOverview_InTax[[#This Row],[GMV]]</f>
        <v>0</v>
      </c>
      <c r="AZ193" s="436">
        <f>DTC_SalesOverview_InTax[[#This Row],[RR]]/$F$1</f>
        <v>0</v>
      </c>
      <c r="BA193" s="436">
        <f>DTC_SalesOverview_InTax[[#This Row],[MD GMV]]/$F$1</f>
        <v>0</v>
      </c>
      <c r="BB193" s="94">
        <f>DTC_SalesOverview_InTax[[#This Row],[MD GMV]]/DTC_SalesOverview_InTax[[#This Row],[GMV]]</f>
        <v>0</v>
      </c>
      <c r="BC193" s="94"/>
      <c r="BD193" s="94"/>
      <c r="BE193" s="94"/>
      <c r="BF193" s="94"/>
      <c r="BG193" s="94"/>
      <c r="BH193" s="94"/>
      <c r="BI193" s="94"/>
      <c r="BJ193" s="94"/>
      <c r="BK193" s="94"/>
      <c r="BL193" s="28" t="str">
        <f>_xlfn.XLOOKUP(DTC_SalesOverview_InTax[[#This Row],[DATE]],全店核心数据_bymonth[开始日期],全店核心数据_bymonth[jda日历.PayYear],"")</f>
        <v/>
      </c>
      <c r="BO193" s="28"/>
      <c r="CO193" s="53"/>
    </row>
    <row r="194" spans="5:93" x14ac:dyDescent="0.3">
      <c r="E194" s="428" t="s">
        <v>576</v>
      </c>
      <c r="F194" s="431">
        <f t="shared" si="35"/>
        <v>0</v>
      </c>
      <c r="G194" s="431">
        <f t="shared" si="35"/>
        <v>0</v>
      </c>
      <c r="H194" s="431">
        <f t="shared" si="35"/>
        <v>13234</v>
      </c>
      <c r="I194" s="431">
        <f t="shared" si="35"/>
        <v>0</v>
      </c>
      <c r="J194" s="431">
        <f t="shared" si="35"/>
        <v>0</v>
      </c>
      <c r="K194" s="104">
        <f>DTC_SalesOverview_InTax[[#This Row],[Buyers]]/DTC_SalesOverview_InTax[[#This Row],[UV]]</f>
        <v>0</v>
      </c>
      <c r="L194" s="431" t="e">
        <f>DTC_SalesOverview_InTax[[#This Row],[GMV]]/DTC_SalesOverview_InTax[[#This Row],[Buyers]]</f>
        <v>#DIV/0!</v>
      </c>
      <c r="M194" s="431" t="e">
        <f>DTC_SalesOverview_InTax[[#This Row],[GMV]]/DTC_SalesOverview_InTax[[#This Row],[Units]]</f>
        <v>#DIV/0!</v>
      </c>
      <c r="N194" s="432" t="e">
        <f>DTC_SalesOverview_InTax[[#This Row],[Units]]/DTC_SalesOverview_InTax[[#This Row],[Buyers]]</f>
        <v>#DIV/0!</v>
      </c>
      <c r="O194" s="105" t="e">
        <f>DTC_SalesOverview_InTax[[#This Row],[RR]]/DTC_SalesOverview_InTax[[#This Row],[GMV]]</f>
        <v>#DIV/0!</v>
      </c>
      <c r="P194" s="431">
        <f>P133</f>
        <v>0</v>
      </c>
      <c r="Q194" s="431">
        <f>Q133</f>
        <v>0</v>
      </c>
      <c r="R194" s="106" t="e">
        <f>DTC_SalesOverview_InTax[[#This Row],[MD GMV]]/DTC_SalesOverview_InTax[[#This Row],[GMV]]</f>
        <v>#DIV/0!</v>
      </c>
      <c r="S194" s="431">
        <f>S133</f>
        <v>0</v>
      </c>
      <c r="T194" s="94" t="e">
        <f>DTC_SalesOverview_InTax[[#This Row],[MD NET]]/DTC_SalesOverview_InTax[[#This Row],[NET]]</f>
        <v>#DIV/0!</v>
      </c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28" t="str">
        <f>_xlfn.XLOOKUP(DTC_SalesOverview_InTax[[#This Row],[DATE]],全店核心数据_bymonth[开始日期],全店核心数据_bymonth[jda日历.PayYear],"")</f>
        <v/>
      </c>
      <c r="AO194" s="428" t="str">
        <f>DTC_SalesOverview_InTax[[#This Row],[DATE]]</f>
        <v>BU25 Ads</v>
      </c>
      <c r="AP194" s="436">
        <f>DTC_SalesOverview_InTax[[#This Row],[GMV]]/$F$1</f>
        <v>0</v>
      </c>
      <c r="AQ194" s="436">
        <f>DTC_SalesOverview_InTax[[#This Row],[NET]]/$F$1</f>
        <v>0</v>
      </c>
      <c r="AR194" s="431">
        <f>DTC_SalesOverview_InTax[[#This Row],[UV]]</f>
        <v>13234</v>
      </c>
      <c r="AS194" s="431">
        <f>DTC_SalesOverview_InTax[[#This Row],[Buyers]]/$F$1</f>
        <v>0</v>
      </c>
      <c r="AT194" s="431">
        <f>DTC_SalesOverview_InTax[[#This Row],[Units]]/$F$1</f>
        <v>0</v>
      </c>
      <c r="AU194" s="92">
        <f>DTC_SalesOverview_InTax[[#This Row],[Buyers]]/DTC_SalesOverview_InTax[[#This Row],[UV]]</f>
        <v>0</v>
      </c>
      <c r="AV194" s="431" t="e">
        <f>DTC_SalesOverview_InTax[[#This Row],[GMV]]/DTC_SalesOverview_InTax[[#This Row],[Buyers]]</f>
        <v>#DIV/0!</v>
      </c>
      <c r="AW194" s="431" t="e">
        <f>DTC_SalesOverview_InTax[[#This Row],[GMV]]/DTC_SalesOverview_InTax[[#This Row],[Units]]</f>
        <v>#DIV/0!</v>
      </c>
      <c r="AX194" s="432" t="e">
        <f>DTC_SalesOverview_InTax[[#This Row],[Units]]/DTC_SalesOverview_InTax[[#This Row],[Buyers]]</f>
        <v>#DIV/0!</v>
      </c>
      <c r="AY194" s="93" t="e">
        <f>DTC_SalesOverview_InTax[[#This Row],[RR]]/DTC_SalesOverview_InTax[[#This Row],[GMV]]</f>
        <v>#DIV/0!</v>
      </c>
      <c r="AZ194" s="436">
        <f>DTC_SalesOverview_InTax[[#This Row],[RR]]/$F$1</f>
        <v>0</v>
      </c>
      <c r="BA194" s="436">
        <f>DTC_SalesOverview_InTax[[#This Row],[MD GMV]]/$F$1</f>
        <v>0</v>
      </c>
      <c r="BB194" s="94" t="e">
        <f>DTC_SalesOverview_InTax[[#This Row],[MD GMV]]/DTC_SalesOverview_InTax[[#This Row],[GMV]]</f>
        <v>#DIV/0!</v>
      </c>
      <c r="BC194" s="94"/>
      <c r="BD194" s="94"/>
      <c r="BE194" s="94"/>
      <c r="BF194" s="94"/>
      <c r="BG194" s="94"/>
      <c r="BH194" s="94"/>
      <c r="BI194" s="94"/>
      <c r="BJ194" s="94"/>
      <c r="BK194" s="94"/>
      <c r="BL194" s="28" t="str">
        <f>_xlfn.XLOOKUP(DTC_SalesOverview_InTax[[#This Row],[DATE]],全店核心数据_bymonth[开始日期],全店核心数据_bymonth[jda日历.PayYear],"")</f>
        <v/>
      </c>
      <c r="BO194" s="28"/>
      <c r="CO194" s="53"/>
    </row>
    <row r="195" spans="5:93" x14ac:dyDescent="0.3">
      <c r="E195" s="428" t="s">
        <v>563</v>
      </c>
      <c r="F195" s="431">
        <f t="shared" ref="F195:J196" si="36">F187-F190-F193</f>
        <v>958174.9999999986</v>
      </c>
      <c r="G195" s="431">
        <f t="shared" si="36"/>
        <v>615445.41999999876</v>
      </c>
      <c r="H195" s="431">
        <f t="shared" si="36"/>
        <v>116028</v>
      </c>
      <c r="I195" s="431">
        <f t="shared" si="36"/>
        <v>232</v>
      </c>
      <c r="J195" s="431">
        <f t="shared" si="36"/>
        <v>184</v>
      </c>
      <c r="K195" s="104">
        <f>DTC_SalesOverview_InTax[[#This Row],[Buyers]]/DTC_SalesOverview_InTax[[#This Row],[UV]]</f>
        <v>1.9995173578791327E-3</v>
      </c>
      <c r="L195" s="431">
        <f>DTC_SalesOverview_InTax[[#This Row],[GMV]]/DTC_SalesOverview_InTax[[#This Row],[Buyers]]</f>
        <v>4130.0646551724076</v>
      </c>
      <c r="M195" s="431">
        <f>DTC_SalesOverview_InTax[[#This Row],[GMV]]/DTC_SalesOverview_InTax[[#This Row],[Units]]</f>
        <v>5207.4728260869488</v>
      </c>
      <c r="N195" s="432">
        <f>DTC_SalesOverview_InTax[[#This Row],[Units]]/DTC_SalesOverview_InTax[[#This Row],[Buyers]]</f>
        <v>0.7931034482758621</v>
      </c>
      <c r="O195" s="105">
        <f>DTC_SalesOverview_InTax[[#This Row],[RR]]/DTC_SalesOverview_InTax[[#This Row],[GMV]]</f>
        <v>0.35768996268948833</v>
      </c>
      <c r="P195" s="431">
        <f>P187-P190-P193</f>
        <v>342729.57999999996</v>
      </c>
      <c r="Q195" s="431">
        <f>Q187-Q190-Q193</f>
        <v>126399.99999999936</v>
      </c>
      <c r="R195" s="106">
        <f>DTC_SalesOverview_InTax[[#This Row],[MD GMV]]/DTC_SalesOverview_InTax[[#This Row],[GMV]]</f>
        <v>0.13191744723041152</v>
      </c>
      <c r="S195" s="431">
        <f>S187-S190-S193</f>
        <v>59609.999999999127</v>
      </c>
      <c r="T195" s="94">
        <f>DTC_SalesOverview_InTax[[#This Row],[MD NET]]/DTC_SalesOverview_InTax[[#This Row],[NET]]</f>
        <v>9.6856679833606116E-2</v>
      </c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28" t="str">
        <f>_xlfn.XLOOKUP(DTC_SalesOverview_InTax[[#This Row],[DATE]],全店核心数据_bymonth[开始日期],全店核心数据_bymonth[jda日历.PayYear],"")</f>
        <v/>
      </c>
      <c r="AO195" s="428" t="str">
        <f>DTC_SalesOverview_InTax[[#This Row],[DATE]]</f>
        <v>BU26 Organic</v>
      </c>
      <c r="AP195" s="460">
        <f t="shared" ref="AP195:AT196" si="37">AP187-AP190-AP193</f>
        <v>847942.47787610511</v>
      </c>
      <c r="AQ195" s="460">
        <f t="shared" si="37"/>
        <v>544641.96460176888</v>
      </c>
      <c r="AR195" s="460">
        <f t="shared" si="37"/>
        <v>116028</v>
      </c>
      <c r="AS195" s="431">
        <f t="shared" si="37"/>
        <v>232.11504424778761</v>
      </c>
      <c r="AT195" s="431">
        <f t="shared" si="37"/>
        <v>184.11504424778761</v>
      </c>
      <c r="AU195" s="92">
        <f>DTC_SalesOverview_InTax[[#This Row],[Buyers]]/DTC_SalesOverview_InTax[[#This Row],[UV]]</f>
        <v>1.9995173578791327E-3</v>
      </c>
      <c r="AV195" s="431">
        <f>DTC_SalesOverview_InTax[[#This Row],[GMV]]/DTC_SalesOverview_InTax[[#This Row],[Buyers]]</f>
        <v>4130.0646551724076</v>
      </c>
      <c r="AW195" s="431">
        <f>DTC_SalesOverview_InTax[[#This Row],[GMV]]/DTC_SalesOverview_InTax[[#This Row],[Units]]</f>
        <v>5207.4728260869488</v>
      </c>
      <c r="AX195" s="432">
        <f>DTC_SalesOverview_InTax[[#This Row],[Units]]/DTC_SalesOverview_InTax[[#This Row],[Buyers]]</f>
        <v>0.7931034482758621</v>
      </c>
      <c r="AY195" s="93">
        <f>DTC_SalesOverview_InTax[[#This Row],[RR]]/DTC_SalesOverview_InTax[[#This Row],[GMV]]</f>
        <v>0.35768996268948833</v>
      </c>
      <c r="AZ195" s="460">
        <f>AZ187-AZ190-AZ193</f>
        <v>303300.51327433629</v>
      </c>
      <c r="BA195" s="460">
        <f>BA187-BA190-BA193</f>
        <v>111858.40707964543</v>
      </c>
      <c r="BB195" s="94">
        <f>DTC_SalesOverview_InTax[[#This Row],[MD GMV]]/DTC_SalesOverview_InTax[[#This Row],[GMV]]</f>
        <v>0.13191744723041152</v>
      </c>
      <c r="BC195" s="94"/>
      <c r="BD195" s="94"/>
      <c r="BE195" s="94"/>
      <c r="BF195" s="94"/>
      <c r="BG195" s="94"/>
      <c r="BH195" s="94"/>
      <c r="BI195" s="94"/>
      <c r="BJ195" s="94"/>
      <c r="BK195" s="94"/>
      <c r="BL195" s="28" t="str">
        <f>_xlfn.XLOOKUP(DTC_SalesOverview_InTax[[#This Row],[DATE]],全店核心数据_bymonth[开始日期],全店核心数据_bymonth[jda日历.PayYear],"")</f>
        <v/>
      </c>
      <c r="BO195" s="28"/>
      <c r="CO195" s="53"/>
    </row>
    <row r="196" spans="5:93" x14ac:dyDescent="0.3">
      <c r="E196" s="428" t="s">
        <v>383</v>
      </c>
      <c r="F196" s="431">
        <f t="shared" si="36"/>
        <v>962264.9999999986</v>
      </c>
      <c r="G196" s="431">
        <f t="shared" si="36"/>
        <v>623449.99999999907</v>
      </c>
      <c r="H196" s="431">
        <f t="shared" si="36"/>
        <v>85239</v>
      </c>
      <c r="I196" s="431">
        <f t="shared" si="36"/>
        <v>236</v>
      </c>
      <c r="J196" s="431">
        <f t="shared" si="36"/>
        <v>260</v>
      </c>
      <c r="K196" s="104">
        <f>DTC_SalesOverview_InTax[[#This Row],[Buyers]]/DTC_SalesOverview_InTax[[#This Row],[UV]]</f>
        <v>2.7686856955149637E-3</v>
      </c>
      <c r="L196" s="431">
        <f>DTC_SalesOverview_InTax[[#This Row],[GMV]]/DTC_SalesOverview_InTax[[#This Row],[Buyers]]</f>
        <v>4077.3940677966043</v>
      </c>
      <c r="M196" s="431">
        <f>DTC_SalesOverview_InTax[[#This Row],[GMV]]/DTC_SalesOverview_InTax[[#This Row],[Units]]</f>
        <v>3701.0192307692255</v>
      </c>
      <c r="N196" s="432">
        <f>DTC_SalesOverview_InTax[[#This Row],[Units]]/DTC_SalesOverview_InTax[[#This Row],[Buyers]]</f>
        <v>1.1016949152542372</v>
      </c>
      <c r="O196" s="105">
        <f>DTC_SalesOverview_InTax[[#This Row],[RR]]/DTC_SalesOverview_InTax[[#This Row],[GMV]]</f>
        <v>0.35210155206725852</v>
      </c>
      <c r="P196" s="431">
        <f>P188-P191-P194</f>
        <v>338815</v>
      </c>
      <c r="Q196" s="431">
        <f>Q188-Q191-Q194</f>
        <v>196914.99999999953</v>
      </c>
      <c r="R196" s="106">
        <f>DTC_SalesOverview_InTax[[#This Row],[MD GMV]]/DTC_SalesOverview_InTax[[#This Row],[GMV]]</f>
        <v>0.20463697630070699</v>
      </c>
      <c r="S196" s="431">
        <f>S188-S191-S194</f>
        <v>128949.99999999907</v>
      </c>
      <c r="T196" s="94">
        <f>DTC_SalesOverview_InTax[[#This Row],[MD NET]]/DTC_SalesOverview_InTax[[#This Row],[NET]]</f>
        <v>0.20683294570534808</v>
      </c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28" t="str">
        <f>_xlfn.XLOOKUP(DTC_SalesOverview_InTax[[#This Row],[DATE]],全店核心数据_bymonth[开始日期],全店核心数据_bymonth[jda日历.PayYear],"")</f>
        <v/>
      </c>
      <c r="AO196" s="428" t="str">
        <f>DTC_SalesOverview_InTax[[#This Row],[DATE]]</f>
        <v>BU25 Organic</v>
      </c>
      <c r="AP196" s="460">
        <f t="shared" si="37"/>
        <v>851561.94690265378</v>
      </c>
      <c r="AQ196" s="460">
        <f t="shared" si="37"/>
        <v>551725.66371681297</v>
      </c>
      <c r="AR196" s="460">
        <f t="shared" si="37"/>
        <v>85239</v>
      </c>
      <c r="AS196" s="431">
        <f t="shared" si="37"/>
        <v>236</v>
      </c>
      <c r="AT196" s="431">
        <f t="shared" si="37"/>
        <v>260</v>
      </c>
      <c r="AU196" s="92">
        <f>DTC_SalesOverview_InTax[[#This Row],[Buyers]]/DTC_SalesOverview_InTax[[#This Row],[UV]]</f>
        <v>2.7686856955149637E-3</v>
      </c>
      <c r="AV196" s="431">
        <f>DTC_SalesOverview_InTax[[#This Row],[GMV]]/DTC_SalesOverview_InTax[[#This Row],[Buyers]]</f>
        <v>4077.3940677966043</v>
      </c>
      <c r="AW196" s="431">
        <f>DTC_SalesOverview_InTax[[#This Row],[GMV]]/DTC_SalesOverview_InTax[[#This Row],[Units]]</f>
        <v>3701.0192307692255</v>
      </c>
      <c r="AX196" s="432">
        <f>DTC_SalesOverview_InTax[[#This Row],[Units]]/DTC_SalesOverview_InTax[[#This Row],[Buyers]]</f>
        <v>1.1016949152542372</v>
      </c>
      <c r="AY196" s="93">
        <f>DTC_SalesOverview_InTax[[#This Row],[RR]]/DTC_SalesOverview_InTax[[#This Row],[GMV]]</f>
        <v>0.35210155206725852</v>
      </c>
      <c r="AZ196" s="460">
        <f>AZ188-AZ191-AZ194</f>
        <v>299836.28318584076</v>
      </c>
      <c r="BA196" s="460">
        <f>BA188-BA191-BA194</f>
        <v>174261.06194690225</v>
      </c>
      <c r="BB196" s="94">
        <f>DTC_SalesOverview_InTax[[#This Row],[MD GMV]]/DTC_SalesOverview_InTax[[#This Row],[GMV]]</f>
        <v>0.20463697630070699</v>
      </c>
      <c r="BC196" s="94"/>
      <c r="BD196" s="94"/>
      <c r="BE196" s="94"/>
      <c r="BF196" s="94"/>
      <c r="BG196" s="94"/>
      <c r="BH196" s="94"/>
      <c r="BI196" s="94"/>
      <c r="BJ196" s="94"/>
      <c r="BK196" s="94"/>
      <c r="BL196" s="28" t="str">
        <f>_xlfn.XLOOKUP(DTC_SalesOverview_InTax[[#This Row],[DATE]],全店核心数据_bymonth[开始日期],全店核心数据_bymonth[jda日历.PayYear],"")</f>
        <v/>
      </c>
      <c r="BO196" s="28"/>
      <c r="CO196" s="53"/>
    </row>
    <row r="197" spans="5:93" ht="13" x14ac:dyDescent="0.3">
      <c r="E197" s="425" t="s">
        <v>384</v>
      </c>
      <c r="F197" s="256">
        <f t="shared" ref="F197:N197" si="38">F195/F196-1</f>
        <v>-4.2503884065200337E-3</v>
      </c>
      <c r="G197" s="256">
        <f t="shared" si="38"/>
        <v>-1.2839169139466367E-2</v>
      </c>
      <c r="H197" s="256">
        <f t="shared" si="38"/>
        <v>0.36120789779326357</v>
      </c>
      <c r="I197" s="256">
        <f t="shared" si="38"/>
        <v>-1.6949152542372836E-2</v>
      </c>
      <c r="J197" s="256">
        <f t="shared" si="38"/>
        <v>-0.29230769230769227</v>
      </c>
      <c r="K197" s="256">
        <f t="shared" si="38"/>
        <v>-0.27780991496500251</v>
      </c>
      <c r="L197" s="256">
        <f t="shared" si="38"/>
        <v>1.2917708345091539E-2</v>
      </c>
      <c r="M197" s="256">
        <f t="shared" si="38"/>
        <v>0.40703749464296068</v>
      </c>
      <c r="N197" s="256">
        <f t="shared" si="38"/>
        <v>-0.28010610079575593</v>
      </c>
      <c r="O197" s="255">
        <f>(O195-O196)*100</f>
        <v>0.55884106222298113</v>
      </c>
      <c r="P197" s="222">
        <f>P195/P196-1</f>
        <v>1.1553738765993193E-2</v>
      </c>
      <c r="Q197" s="222">
        <f>Q195/Q196-1</f>
        <v>-0.35809867201584611</v>
      </c>
      <c r="R197" s="255">
        <f>(R195-R196)*100</f>
        <v>-7.2719529070295472</v>
      </c>
      <c r="S197" s="222">
        <f>S195/S196-1</f>
        <v>-0.53772780147344279</v>
      </c>
      <c r="T197" s="255">
        <f>(T195-T196)*100</f>
        <v>-10.997626587174196</v>
      </c>
      <c r="U197" s="255"/>
      <c r="V197" s="255"/>
      <c r="W197" s="255"/>
      <c r="X197" s="255"/>
      <c r="Y197" s="255"/>
      <c r="Z197" s="255"/>
      <c r="AA197" s="255"/>
      <c r="AB197" s="255"/>
      <c r="AC197" s="255"/>
      <c r="AD197" s="255"/>
      <c r="AE197" s="255"/>
      <c r="AF197" s="255"/>
      <c r="AG197" s="255"/>
      <c r="AH197" s="255"/>
      <c r="AI197" s="255"/>
      <c r="AJ197" s="255"/>
      <c r="AK197" s="255"/>
      <c r="AO197" s="425" t="str">
        <f>DTC_SalesOverview_InTax[[#This Row],[DATE]]</f>
        <v>YOY Organic</v>
      </c>
      <c r="AP197" s="97">
        <f>AP195/AP196-1</f>
        <v>-4.2503884065200337E-3</v>
      </c>
      <c r="AQ197" s="97">
        <f t="shared" ref="AQ197:BA197" si="39">AQ195/AQ196-1</f>
        <v>-1.2839169139465589E-2</v>
      </c>
      <c r="AR197" s="97">
        <f t="shared" si="39"/>
        <v>0.36120789779326357</v>
      </c>
      <c r="AS197" s="97">
        <f t="shared" si="39"/>
        <v>-1.6461676916154189E-2</v>
      </c>
      <c r="AT197" s="97">
        <f t="shared" si="39"/>
        <v>-0.29186521443158608</v>
      </c>
      <c r="AU197" s="97">
        <f t="shared" si="39"/>
        <v>-0.27780991496500251</v>
      </c>
      <c r="AV197" s="97">
        <f t="shared" si="39"/>
        <v>1.2917708345091539E-2</v>
      </c>
      <c r="AW197" s="97">
        <f t="shared" si="39"/>
        <v>0.40703749464296068</v>
      </c>
      <c r="AX197" s="97">
        <f t="shared" si="39"/>
        <v>-0.28010610079575593</v>
      </c>
      <c r="AY197" s="97">
        <f>AY195-AY196</f>
        <v>5.5884106222298113E-3</v>
      </c>
      <c r="AZ197" s="97">
        <f t="shared" si="39"/>
        <v>1.1553738765993193E-2</v>
      </c>
      <c r="BA197" s="97">
        <f t="shared" si="39"/>
        <v>-0.35809867201584622</v>
      </c>
      <c r="BB197" s="97">
        <f>BB195-BB196</f>
        <v>-7.2719529070295469E-2</v>
      </c>
      <c r="BC197" s="97"/>
      <c r="BD197" s="97"/>
      <c r="BE197" s="97"/>
      <c r="BF197" s="97"/>
      <c r="BG197" s="97"/>
      <c r="BH197" s="97"/>
      <c r="BI197" s="97"/>
      <c r="BJ197" s="97"/>
      <c r="BK197" s="97"/>
      <c r="BL197" s="95" t="str">
        <f>_xlfn.XLOOKUP(DTC_SalesOverview_ExclTax[[#This Row],[DATE]],全店核心数据_bymonth[开始日期],全店核心数据_bymonth[jda日历.PayYear],"")</f>
        <v/>
      </c>
      <c r="BO197" s="28"/>
      <c r="CO197" s="53"/>
    </row>
    <row r="198" spans="5:93" x14ac:dyDescent="0.3">
      <c r="E198" s="428" t="s">
        <v>385</v>
      </c>
      <c r="F198" s="431">
        <f t="shared" ref="F198:J199" si="40">F137+F85</f>
        <v>164710</v>
      </c>
      <c r="G198" s="431">
        <f t="shared" si="40"/>
        <v>117780</v>
      </c>
      <c r="H198" s="431">
        <f t="shared" si="40"/>
        <v>211</v>
      </c>
      <c r="I198" s="431">
        <f t="shared" si="40"/>
        <v>17</v>
      </c>
      <c r="J198" s="431">
        <f t="shared" si="40"/>
        <v>27</v>
      </c>
      <c r="K198" s="104">
        <f>DTC_SalesOverview_InTax[[#This Row],[Buyers]]/DTC_SalesOverview_InTax[[#This Row],[UV]]</f>
        <v>8.0568720379146919E-2</v>
      </c>
      <c r="L198" s="431">
        <f>DTC_SalesOverview_InTax[[#This Row],[GMV]]/DTC_SalesOverview_InTax[[#This Row],[Buyers]]</f>
        <v>9688.823529411764</v>
      </c>
      <c r="M198" s="431">
        <f>DTC_SalesOverview_InTax[[#This Row],[GMV]]/DTC_SalesOverview_InTax[[#This Row],[Units]]</f>
        <v>6100.3703703703704</v>
      </c>
      <c r="N198" s="432">
        <f>DTC_SalesOverview_InTax[[#This Row],[Units]]/DTC_SalesOverview_InTax[[#This Row],[Buyers]]</f>
        <v>1.588235294117647</v>
      </c>
      <c r="O198" s="105">
        <f>DTC_SalesOverview_InTax[[#This Row],[RR]]/DTC_SalesOverview_InTax[[#This Row],[GMV]]</f>
        <v>0.28492501973164958</v>
      </c>
      <c r="P198" s="431">
        <f>P137+P85</f>
        <v>46930</v>
      </c>
      <c r="Q198" s="431">
        <f>Q137+Q85</f>
        <v>0</v>
      </c>
      <c r="R198" s="106">
        <f>DTC_SalesOverview_InTax[[#This Row],[MD GMV]]/DTC_SalesOverview_InTax[[#This Row],[GMV]]</f>
        <v>0</v>
      </c>
      <c r="S198" s="431">
        <f>S137+S85</f>
        <v>43670</v>
      </c>
      <c r="T198" s="94">
        <f>DTC_SalesOverview_InTax[[#This Row],[MD NET]]/DTC_SalesOverview_InTax[[#This Row],[NET]]</f>
        <v>0.37077602309390389</v>
      </c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28" t="str">
        <f>_xlfn.XLOOKUP(DTC_SalesOverview_InTax[[#This Row],[DATE]],全店核心数据_bymonth[开始日期],全店核心数据_bymonth[jda日历.PayYear],"")</f>
        <v/>
      </c>
      <c r="AO198" s="428" t="str">
        <f>DTC_SalesOverview_InTax[[#This Row],[DATE]]</f>
        <v>MTD-TY SC</v>
      </c>
      <c r="AP198" s="460">
        <f>DTC_SalesOverview_InTax[[#This Row],[GMV]]/$F$1</f>
        <v>145761.06194690266</v>
      </c>
      <c r="AQ198" s="460">
        <f>DTC_SalesOverview_ExclTax[[#This Row],[GMV]]-DTC_SalesOverview_ExclTax[[#This Row],[RR]]</f>
        <v>104230.08849557521</v>
      </c>
      <c r="AR198" s="431">
        <f>DTC_SalesOverview_InTax[[#This Row],[UV]]</f>
        <v>211</v>
      </c>
      <c r="AS198" s="431">
        <f>DTC_SalesOverview_InTax[[#This Row],[Buyers]]</f>
        <v>17</v>
      </c>
      <c r="AT198" s="431">
        <f>DTC_SalesOverview_InTax[[#This Row],[Units]]</f>
        <v>27</v>
      </c>
      <c r="AU198" s="92">
        <f>DTC_SalesOverview_ExclTax[[#This Row],[Buyers]]/DTC_SalesOverview_ExclTax[[#This Row],[UV]]</f>
        <v>8.0568720379146919E-2</v>
      </c>
      <c r="AV198" s="431">
        <f>DTC_SalesOverview_ExclTax[[#This Row],[GMV]]/DTC_SalesOverview_ExclTax[[#This Row],[Buyers]]</f>
        <v>8574.1801145236859</v>
      </c>
      <c r="AW198" s="431">
        <f>DTC_SalesOverview_ExclTax[[#This Row],[GMV]]/DTC_SalesOverview_ExclTax[[#This Row],[Units]]</f>
        <v>5398.5578498852838</v>
      </c>
      <c r="AX198" s="432">
        <f>DTC_SalesOverview_ExclTax[[#This Row],[Units]]/DTC_SalesOverview_ExclTax[[#This Row],[Buyers]]</f>
        <v>1.588235294117647</v>
      </c>
      <c r="AY198" s="93">
        <f>DTC_SalesOverview_ExclTax[[#This Row],[RR]]/DTC_SalesOverview_ExclTax[[#This Row],[GMV]]</f>
        <v>0.28492501973164958</v>
      </c>
      <c r="AZ198" s="436">
        <f>DTC_SalesOverview_InTax[[#This Row],[RR]]/$F$1</f>
        <v>41530.973451327438</v>
      </c>
      <c r="BA198" s="436">
        <f>DTC_SalesOverview_InTax[[#This Row],[MD GMV]]/$F$1</f>
        <v>0</v>
      </c>
      <c r="BB198" s="94">
        <f>DTC_SalesOverview_ExclTax[[#This Row],[MD GMV]]/DTC_SalesOverview_ExclTax[[#This Row],[GMV]]</f>
        <v>0</v>
      </c>
      <c r="BC198" s="94"/>
      <c r="BD198" s="94"/>
      <c r="BE198" s="94"/>
      <c r="BF198" s="94"/>
      <c r="BG198" s="94"/>
      <c r="BH198" s="94"/>
      <c r="BI198" s="94"/>
      <c r="BJ198" s="94"/>
      <c r="BK198" s="94"/>
      <c r="BL198" s="28" t="str">
        <f>_xlfn.XLOOKUP(DTC_SalesOverview_ExclTax[[#This Row],[DATE]],全店核心数据_bymonth[开始日期],全店核心数据_bymonth[jda日历.PayYear],"")</f>
        <v/>
      </c>
      <c r="BO198" s="28"/>
      <c r="CO198" s="53"/>
    </row>
    <row r="199" spans="5:93" ht="12.5" customHeight="1" x14ac:dyDescent="0.3">
      <c r="E199" s="428" t="s">
        <v>386</v>
      </c>
      <c r="F199" s="431">
        <f t="shared" si="40"/>
        <v>69295</v>
      </c>
      <c r="G199" s="431">
        <f t="shared" si="40"/>
        <v>56730</v>
      </c>
      <c r="H199" s="431">
        <f t="shared" si="40"/>
        <v>10532</v>
      </c>
      <c r="I199" s="431">
        <f t="shared" si="40"/>
        <v>10</v>
      </c>
      <c r="J199" s="431">
        <f t="shared" si="40"/>
        <v>13</v>
      </c>
      <c r="K199" s="104">
        <f>DTC_SalesOverview_InTax[[#This Row],[Buyers]]/DTC_SalesOverview_InTax[[#This Row],[UV]]</f>
        <v>9.4948727687048991E-4</v>
      </c>
      <c r="L199" s="431">
        <f>DTC_SalesOverview_InTax[[#This Row],[GMV]]/DTC_SalesOverview_InTax[[#This Row],[Buyers]]</f>
        <v>6929.5</v>
      </c>
      <c r="M199" s="431">
        <f>DTC_SalesOverview_InTax[[#This Row],[GMV]]/DTC_SalesOverview_InTax[[#This Row],[Units]]</f>
        <v>5330.3846153846152</v>
      </c>
      <c r="N199" s="432">
        <f>DTC_SalesOverview_InTax[[#This Row],[Units]]/DTC_SalesOverview_InTax[[#This Row],[Buyers]]</f>
        <v>1.3</v>
      </c>
      <c r="O199" s="105">
        <f>DTC_SalesOverview_InTax[[#This Row],[RR]]/DTC_SalesOverview_InTax[[#This Row],[GMV]]</f>
        <v>0.18132621401255503</v>
      </c>
      <c r="P199" s="431">
        <f>P138+P86</f>
        <v>12565</v>
      </c>
      <c r="Q199" s="431">
        <f>Q138+Q86</f>
        <v>66300</v>
      </c>
      <c r="R199" s="106">
        <f>DTC_SalesOverview_InTax[[#This Row],[MD GMV]]/DTC_SalesOverview_InTax[[#This Row],[GMV]]</f>
        <v>0.95677898838300024</v>
      </c>
      <c r="S199" s="431">
        <f>S138+S86</f>
        <v>53735</v>
      </c>
      <c r="T199" s="94">
        <f>DTC_SalesOverview_InTax[[#This Row],[MD NET]]/DTC_SalesOverview_InTax[[#This Row],[NET]]</f>
        <v>0.94720606381103467</v>
      </c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28" t="str">
        <f>_xlfn.XLOOKUP(DTC_SalesOverview_InTax[[#This Row],[DATE]],全店核心数据_bymonth[开始日期],全店核心数据_bymonth[jda日历.PayYear],"")</f>
        <v/>
      </c>
      <c r="AO199" s="428" t="str">
        <f>DTC_SalesOverview_InTax[[#This Row],[DATE]]</f>
        <v>MTD-LY SC</v>
      </c>
      <c r="AP199" s="460">
        <f>DTC_SalesOverview_InTax[[#This Row],[GMV]]/$F$1</f>
        <v>61323.008849557526</v>
      </c>
      <c r="AQ199" s="460">
        <f>DTC_SalesOverview_ExclTax[[#This Row],[GMV]]-DTC_SalesOverview_ExclTax[[#This Row],[RR]]</f>
        <v>50203.539823008854</v>
      </c>
      <c r="AR199" s="431">
        <f>DTC_SalesOverview_InTax[[#This Row],[UV]]</f>
        <v>10532</v>
      </c>
      <c r="AS199" s="431">
        <f>DTC_SalesOverview_InTax[[#This Row],[Buyers]]</f>
        <v>10</v>
      </c>
      <c r="AT199" s="431">
        <f>DTC_SalesOverview_InTax[[#This Row],[Units]]</f>
        <v>13</v>
      </c>
      <c r="AU199" s="92">
        <f>DTC_SalesOverview_ExclTax[[#This Row],[Buyers]]/DTC_SalesOverview_ExclTax[[#This Row],[UV]]</f>
        <v>9.4948727687048991E-4</v>
      </c>
      <c r="AV199" s="431">
        <f>DTC_SalesOverview_ExclTax[[#This Row],[GMV]]/DTC_SalesOverview_ExclTax[[#This Row],[Buyers]]</f>
        <v>6132.3008849557527</v>
      </c>
      <c r="AW199" s="431">
        <f>DTC_SalesOverview_ExclTax[[#This Row],[GMV]]/DTC_SalesOverview_ExclTax[[#This Row],[Units]]</f>
        <v>4717.1545268890404</v>
      </c>
      <c r="AX199" s="432">
        <f>DTC_SalesOverview_ExclTax[[#This Row],[Units]]/DTC_SalesOverview_ExclTax[[#This Row],[Buyers]]</f>
        <v>1.3</v>
      </c>
      <c r="AY199" s="93">
        <f>DTC_SalesOverview_ExclTax[[#This Row],[RR]]/DTC_SalesOverview_ExclTax[[#This Row],[GMV]]</f>
        <v>0.18132621401255503</v>
      </c>
      <c r="AZ199" s="436">
        <f>DTC_SalesOverview_InTax[[#This Row],[RR]]/$F$1</f>
        <v>11119.469026548673</v>
      </c>
      <c r="BA199" s="436">
        <f>DTC_SalesOverview_InTax[[#This Row],[MD GMV]]/$F$1</f>
        <v>58672.566371681423</v>
      </c>
      <c r="BB199" s="94">
        <f>DTC_SalesOverview_ExclTax[[#This Row],[MD GMV]]/DTC_SalesOverview_ExclTax[[#This Row],[GMV]]</f>
        <v>0.95677898838300024</v>
      </c>
      <c r="BC199" s="94"/>
      <c r="BD199" s="94"/>
      <c r="BE199" s="94"/>
      <c r="BF199" s="94"/>
      <c r="BG199" s="94"/>
      <c r="BH199" s="94"/>
      <c r="BI199" s="94"/>
      <c r="BJ199" s="94"/>
      <c r="BK199" s="94"/>
      <c r="BL199" s="28" t="str">
        <f>_xlfn.XLOOKUP(DTC_SalesOverview_ExclTax[[#This Row],[DATE]],全店核心数据_bymonth[开始日期],全店核心数据_bymonth[jda日历.PayYear],"")</f>
        <v/>
      </c>
      <c r="BO199" s="28"/>
      <c r="CO199" s="53"/>
    </row>
    <row r="200" spans="5:93" ht="12.5" customHeight="1" x14ac:dyDescent="0.3">
      <c r="E200" s="425" t="s">
        <v>688</v>
      </c>
      <c r="F200" s="256">
        <f t="shared" ref="F200:N200" si="41">F198/F199-1</f>
        <v>1.3769391731005123</v>
      </c>
      <c r="G200" s="256">
        <f t="shared" si="41"/>
        <v>1.0761501850872555</v>
      </c>
      <c r="H200" s="256">
        <f t="shared" si="41"/>
        <v>-0.97996581845803266</v>
      </c>
      <c r="I200" s="256">
        <f t="shared" si="41"/>
        <v>0.7</v>
      </c>
      <c r="J200" s="256">
        <f t="shared" si="41"/>
        <v>1.0769230769230771</v>
      </c>
      <c r="K200" s="256">
        <f t="shared" si="41"/>
        <v>83.854976303317542</v>
      </c>
      <c r="L200" s="256">
        <f t="shared" si="41"/>
        <v>0.39819951358853656</v>
      </c>
      <c r="M200" s="256">
        <f t="shared" si="41"/>
        <v>0.14445219445580215</v>
      </c>
      <c r="N200" s="256">
        <f t="shared" si="41"/>
        <v>0.22171945701357454</v>
      </c>
      <c r="O200" s="255">
        <f>(O198-O199)*100</f>
        <v>10.359880571909455</v>
      </c>
      <c r="P200" s="222">
        <f>P198/P199-1</f>
        <v>2.7349781138081974</v>
      </c>
      <c r="Q200" s="222">
        <f>Q198/Q199-1</f>
        <v>-1</v>
      </c>
      <c r="R200" s="255">
        <f>(R198-R199)*100</f>
        <v>-95.677898838300024</v>
      </c>
      <c r="S200" s="222">
        <f>S198/S199-1</f>
        <v>-0.18730808597748205</v>
      </c>
      <c r="T200" s="255">
        <f>(T198-T199)*100</f>
        <v>-57.643004071713079</v>
      </c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5" t="str">
        <f>_xlfn.XLOOKUP(DTC_SalesOverview_InTax[[#This Row],[DATE]],全店核心数据_bymonth[开始日期],全店核心数据_bymonth[jda日历.PayYear],"")</f>
        <v/>
      </c>
      <c r="AO200" s="425" t="str">
        <f>DTC_SalesOverview_InTax[[#This Row],[DATE]]</f>
        <v>MTD YOY SC</v>
      </c>
      <c r="AP200" s="97">
        <f>AP198/AP199-1</f>
        <v>1.3769391731005123</v>
      </c>
      <c r="AQ200" s="97">
        <f t="shared" ref="AQ200:BA200" si="42">AQ198/AQ199-1</f>
        <v>1.076150185087255</v>
      </c>
      <c r="AR200" s="97">
        <f t="shared" si="42"/>
        <v>-0.97996581845803266</v>
      </c>
      <c r="AS200" s="97">
        <f t="shared" si="42"/>
        <v>0.7</v>
      </c>
      <c r="AT200" s="97">
        <f t="shared" si="42"/>
        <v>1.0769230769230771</v>
      </c>
      <c r="AU200" s="97">
        <f t="shared" si="42"/>
        <v>83.854976303317542</v>
      </c>
      <c r="AV200" s="97">
        <f t="shared" si="42"/>
        <v>0.39819951358853656</v>
      </c>
      <c r="AW200" s="97">
        <f t="shared" si="42"/>
        <v>0.14445219445580215</v>
      </c>
      <c r="AX200" s="97">
        <f t="shared" si="42"/>
        <v>0.22171945701357454</v>
      </c>
      <c r="AY200" s="97">
        <f>AY198-AY199</f>
        <v>0.10359880571909455</v>
      </c>
      <c r="AZ200" s="97">
        <f t="shared" si="42"/>
        <v>2.7349781138081974</v>
      </c>
      <c r="BA200" s="97">
        <f t="shared" si="42"/>
        <v>-1</v>
      </c>
      <c r="BB200" s="97">
        <f>BB198-BB199</f>
        <v>-0.95677898838300024</v>
      </c>
      <c r="BC200" s="97"/>
      <c r="BD200" s="97"/>
      <c r="BE200" s="97"/>
      <c r="BF200" s="90"/>
      <c r="BG200" s="90"/>
      <c r="BH200" s="90"/>
      <c r="BI200" s="90"/>
      <c r="BJ200" s="90"/>
      <c r="BK200" s="90"/>
      <c r="BL200" s="95" t="str">
        <f>_xlfn.XLOOKUP(DTC_SalesOverview_ExclTax[[#This Row],[DATE]],全店核心数据_bymonth[开始日期],全店核心数据_bymonth[jda日历.PayYear],"")</f>
        <v/>
      </c>
      <c r="BO200" s="28"/>
      <c r="CO200" s="53"/>
    </row>
    <row r="201" spans="5:93" ht="12.5" customHeight="1" x14ac:dyDescent="0.3">
      <c r="E201" s="428" t="s">
        <v>408</v>
      </c>
      <c r="F201" s="431">
        <f t="shared" ref="F201:J202" si="43">F140</f>
        <v>0</v>
      </c>
      <c r="G201" s="431">
        <f t="shared" si="43"/>
        <v>0</v>
      </c>
      <c r="H201" s="431">
        <f t="shared" si="43"/>
        <v>27</v>
      </c>
      <c r="I201" s="431">
        <f t="shared" si="43"/>
        <v>0</v>
      </c>
      <c r="J201" s="431">
        <f t="shared" si="43"/>
        <v>0</v>
      </c>
      <c r="K201" s="104">
        <f>DTC_SalesOverview_InTax[[#This Row],[Buyers]]/DTC_SalesOverview_InTax[[#This Row],[UV]]</f>
        <v>0</v>
      </c>
      <c r="L201" s="431" t="e">
        <f>DTC_SalesOverview_InTax[[#This Row],[GMV]]/DTC_SalesOverview_InTax[[#This Row],[Buyers]]</f>
        <v>#DIV/0!</v>
      </c>
      <c r="M201" s="431" t="e">
        <f>DTC_SalesOverview_InTax[[#This Row],[GMV]]/DTC_SalesOverview_InTax[[#This Row],[Units]]</f>
        <v>#DIV/0!</v>
      </c>
      <c r="N201" s="432" t="e">
        <f>DTC_SalesOverview_InTax[[#This Row],[Units]]/DTC_SalesOverview_InTax[[#This Row],[Buyers]]</f>
        <v>#DIV/0!</v>
      </c>
      <c r="O201" s="105" t="e">
        <f>DTC_SalesOverview_InTax[[#This Row],[RR]]/DTC_SalesOverview_InTax[[#This Row],[GMV]]</f>
        <v>#DIV/0!</v>
      </c>
      <c r="P201" s="431">
        <f>P140</f>
        <v>0</v>
      </c>
      <c r="Q201" s="431">
        <f>Q140</f>
        <v>0</v>
      </c>
      <c r="R201" s="106" t="e">
        <f>DTC_SalesOverview_InTax[[#This Row],[MD GMV]]/DTC_SalesOverview_InTax[[#This Row],[GMV]]</f>
        <v>#DIV/0!</v>
      </c>
      <c r="S201" s="431">
        <f>S140</f>
        <v>0</v>
      </c>
      <c r="T201" s="94" t="e">
        <f>DTC_SalesOverview_InTax[[#This Row],[MD NET]]/DTC_SalesOverview_InTax[[#This Row],[NET]]</f>
        <v>#DIV/0!</v>
      </c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28" t="str">
        <f>_xlfn.XLOOKUP(DTC_SalesOverview_InTax[[#This Row],[DATE]],全店核心数据_bymonth[开始日期],全店核心数据_bymonth[jda日历.PayYear],"")</f>
        <v/>
      </c>
      <c r="AO201" s="428" t="str">
        <f>DTC_SalesOverview_InTax[[#This Row],[DATE]]</f>
        <v>MTD-TY Ads</v>
      </c>
      <c r="AP201" s="460">
        <f>DTC_SalesOverview_InTax[[#This Row],[GMV]]/$F$1</f>
        <v>0</v>
      </c>
      <c r="AQ201" s="460">
        <f>DTC_SalesOverview_ExclTax[[#This Row],[GMV]]-DTC_SalesOverview_ExclTax[[#This Row],[RR]]</f>
        <v>0</v>
      </c>
      <c r="AR201" s="431">
        <f>DTC_SalesOverview_InTax[[#This Row],[UV]]</f>
        <v>27</v>
      </c>
      <c r="AS201" s="431">
        <f>DTC_SalesOverview_InTax[[#This Row],[Buyers]]</f>
        <v>0</v>
      </c>
      <c r="AT201" s="431">
        <f>DTC_SalesOverview_InTax[[#This Row],[Units]]</f>
        <v>0</v>
      </c>
      <c r="AU201" s="92">
        <f>DTC_SalesOverview_ExclTax[[#This Row],[Buyers]]/DTC_SalesOverview_ExclTax[[#This Row],[UV]]</f>
        <v>0</v>
      </c>
      <c r="AV201" s="431" t="e">
        <f>DTC_SalesOverview_ExclTax[[#This Row],[GMV]]/DTC_SalesOverview_ExclTax[[#This Row],[Buyers]]</f>
        <v>#DIV/0!</v>
      </c>
      <c r="AW201" s="431" t="e">
        <f>DTC_SalesOverview_ExclTax[[#This Row],[GMV]]/DTC_SalesOverview_ExclTax[[#This Row],[Units]]</f>
        <v>#DIV/0!</v>
      </c>
      <c r="AX201" s="432" t="e">
        <f>DTC_SalesOverview_ExclTax[[#This Row],[Units]]/DTC_SalesOverview_ExclTax[[#This Row],[Buyers]]</f>
        <v>#DIV/0!</v>
      </c>
      <c r="AY201" s="93" t="e">
        <f>DTC_SalesOverview_ExclTax[[#This Row],[RR]]/DTC_SalesOverview_ExclTax[[#This Row],[GMV]]</f>
        <v>#DIV/0!</v>
      </c>
      <c r="AZ201" s="436">
        <f>DTC_SalesOverview_InTax[[#This Row],[RR]]/$F$1</f>
        <v>0</v>
      </c>
      <c r="BA201" s="436">
        <f>DTC_SalesOverview_InTax[[#This Row],[MD GMV]]/$F$1</f>
        <v>0</v>
      </c>
      <c r="BB201" s="94" t="e">
        <f>DTC_SalesOverview_ExclTax[[#This Row],[MD GMV]]/DTC_SalesOverview_ExclTax[[#This Row],[GMV]]</f>
        <v>#DIV/0!</v>
      </c>
      <c r="BC201" s="94"/>
      <c r="BD201" s="94"/>
      <c r="BE201" s="94"/>
      <c r="BF201" s="94"/>
      <c r="BG201" s="94"/>
      <c r="BH201" s="94"/>
      <c r="BI201" s="94"/>
      <c r="BJ201" s="94"/>
      <c r="BK201" s="94"/>
      <c r="BL201" s="28" t="str">
        <f>_xlfn.XLOOKUP(DTC_SalesOverview_ExclTax[[#This Row],[DATE]],全店核心数据_bymonth[开始日期],全店核心数据_bymonth[jda日历.PayYear],"")</f>
        <v/>
      </c>
      <c r="BO201" s="28"/>
      <c r="CO201" s="53"/>
    </row>
    <row r="202" spans="5:93" ht="13" customHeight="1" x14ac:dyDescent="0.3">
      <c r="E202" s="428" t="s">
        <v>409</v>
      </c>
      <c r="F202" s="431">
        <f t="shared" si="43"/>
        <v>0</v>
      </c>
      <c r="G202" s="431">
        <f t="shared" si="43"/>
        <v>0</v>
      </c>
      <c r="H202" s="431">
        <f t="shared" si="43"/>
        <v>1052</v>
      </c>
      <c r="I202" s="431">
        <f t="shared" si="43"/>
        <v>0</v>
      </c>
      <c r="J202" s="431">
        <f t="shared" si="43"/>
        <v>0</v>
      </c>
      <c r="K202" s="104">
        <f>DTC_SalesOverview_InTax[[#This Row],[Buyers]]/DTC_SalesOverview_InTax[[#This Row],[UV]]</f>
        <v>0</v>
      </c>
      <c r="L202" s="431" t="e">
        <f>DTC_SalesOverview_InTax[[#This Row],[GMV]]/DTC_SalesOverview_InTax[[#This Row],[Buyers]]</f>
        <v>#DIV/0!</v>
      </c>
      <c r="M202" s="431" t="e">
        <f>DTC_SalesOverview_InTax[[#This Row],[GMV]]/DTC_SalesOverview_InTax[[#This Row],[Units]]</f>
        <v>#DIV/0!</v>
      </c>
      <c r="N202" s="432" t="e">
        <f>DTC_SalesOverview_InTax[[#This Row],[Units]]/DTC_SalesOverview_InTax[[#This Row],[Buyers]]</f>
        <v>#DIV/0!</v>
      </c>
      <c r="O202" s="105" t="e">
        <f>DTC_SalesOverview_InTax[[#This Row],[RR]]/DTC_SalesOverview_InTax[[#This Row],[GMV]]</f>
        <v>#DIV/0!</v>
      </c>
      <c r="P202" s="431">
        <f>P141</f>
        <v>0</v>
      </c>
      <c r="Q202" s="431">
        <f>Q141</f>
        <v>0</v>
      </c>
      <c r="R202" s="106" t="e">
        <f>DTC_SalesOverview_InTax[[#This Row],[MD GMV]]/DTC_SalesOverview_InTax[[#This Row],[GMV]]</f>
        <v>#DIV/0!</v>
      </c>
      <c r="S202" s="431">
        <f>S141</f>
        <v>0</v>
      </c>
      <c r="T202" s="94" t="e">
        <f>DTC_SalesOverview_InTax[[#This Row],[MD NET]]/DTC_SalesOverview_InTax[[#This Row],[NET]]</f>
        <v>#DIV/0!</v>
      </c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28" t="str">
        <f>_xlfn.XLOOKUP(DTC_SalesOverview_InTax[[#This Row],[DATE]],全店核心数据_bymonth[开始日期],全店核心数据_bymonth[jda日历.PayYear],"")</f>
        <v/>
      </c>
      <c r="AO202" s="428" t="str">
        <f>DTC_SalesOverview_InTax[[#This Row],[DATE]]</f>
        <v>MTD-LY Ads</v>
      </c>
      <c r="AP202" s="460">
        <f>DTC_SalesOverview_InTax[[#This Row],[GMV]]/$F$1</f>
        <v>0</v>
      </c>
      <c r="AQ202" s="460">
        <f>DTC_SalesOverview_ExclTax[[#This Row],[GMV]]-DTC_SalesOverview_ExclTax[[#This Row],[RR]]</f>
        <v>0</v>
      </c>
      <c r="AR202" s="431">
        <f>DTC_SalesOverview_InTax[[#This Row],[UV]]</f>
        <v>1052</v>
      </c>
      <c r="AS202" s="431">
        <f>DTC_SalesOverview_InTax[[#This Row],[Buyers]]</f>
        <v>0</v>
      </c>
      <c r="AT202" s="431">
        <f>DTC_SalesOverview_InTax[[#This Row],[Units]]</f>
        <v>0</v>
      </c>
      <c r="AU202" s="92">
        <f>DTC_SalesOverview_ExclTax[[#This Row],[Buyers]]/DTC_SalesOverview_ExclTax[[#This Row],[UV]]</f>
        <v>0</v>
      </c>
      <c r="AV202" s="431" t="e">
        <f>DTC_SalesOverview_ExclTax[[#This Row],[GMV]]/DTC_SalesOverview_ExclTax[[#This Row],[Buyers]]</f>
        <v>#DIV/0!</v>
      </c>
      <c r="AW202" s="431" t="e">
        <f>DTC_SalesOverview_ExclTax[[#This Row],[GMV]]/DTC_SalesOverview_ExclTax[[#This Row],[Units]]</f>
        <v>#DIV/0!</v>
      </c>
      <c r="AX202" s="432" t="e">
        <f>DTC_SalesOverview_ExclTax[[#This Row],[Units]]/DTC_SalesOverview_ExclTax[[#This Row],[Buyers]]</f>
        <v>#DIV/0!</v>
      </c>
      <c r="AY202" s="93" t="e">
        <f>DTC_SalesOverview_ExclTax[[#This Row],[RR]]/DTC_SalesOverview_ExclTax[[#This Row],[GMV]]</f>
        <v>#DIV/0!</v>
      </c>
      <c r="AZ202" s="436">
        <f>DTC_SalesOverview_InTax[[#This Row],[RR]]/$F$1</f>
        <v>0</v>
      </c>
      <c r="BA202" s="436">
        <f>DTC_SalesOverview_InTax[[#This Row],[MD GMV]]/$F$1</f>
        <v>0</v>
      </c>
      <c r="BB202" s="94" t="e">
        <f>DTC_SalesOverview_ExclTax[[#This Row],[MD GMV]]/DTC_SalesOverview_ExclTax[[#This Row],[GMV]]</f>
        <v>#DIV/0!</v>
      </c>
      <c r="BC202" s="94"/>
      <c r="BD202" s="94"/>
      <c r="BE202" s="94"/>
      <c r="BF202" s="94"/>
      <c r="BG202" s="94"/>
      <c r="BH202" s="94"/>
      <c r="BI202" s="94"/>
      <c r="BJ202" s="94"/>
      <c r="BK202" s="94"/>
      <c r="BL202" s="28" t="str">
        <f>_xlfn.XLOOKUP(DTC_SalesOverview_ExclTax[[#This Row],[DATE]],全店核心数据_bymonth[开始日期],全店核心数据_bymonth[jda日历.PayYear],"")</f>
        <v/>
      </c>
      <c r="BO202" s="28"/>
      <c r="CO202" s="53"/>
    </row>
    <row r="203" spans="5:93" ht="12.5" customHeight="1" x14ac:dyDescent="0.3">
      <c r="E203" s="428" t="s">
        <v>387</v>
      </c>
      <c r="F203" s="431">
        <f t="shared" ref="F203:J204" si="44">F142+F87</f>
        <v>1180573.9999999998</v>
      </c>
      <c r="G203" s="431">
        <f t="shared" si="44"/>
        <v>1138379.9999999998</v>
      </c>
      <c r="H203" s="431">
        <f t="shared" si="44"/>
        <v>3152</v>
      </c>
      <c r="I203" s="431">
        <f t="shared" si="44"/>
        <v>481</v>
      </c>
      <c r="J203" s="431">
        <f t="shared" si="44"/>
        <v>1323</v>
      </c>
      <c r="K203" s="104">
        <f>DTC_SalesOverview_InTax[[#This Row],[Buyers]]/DTC_SalesOverview_InTax[[#This Row],[UV]]</f>
        <v>0.15260152284263959</v>
      </c>
      <c r="L203" s="431">
        <f>DTC_SalesOverview_InTax[[#This Row],[GMV]]/DTC_SalesOverview_InTax[[#This Row],[Buyers]]</f>
        <v>2454.4158004157998</v>
      </c>
      <c r="M203" s="431">
        <f>DTC_SalesOverview_InTax[[#This Row],[GMV]]/DTC_SalesOverview_InTax[[#This Row],[Units]]</f>
        <v>892.34618291761126</v>
      </c>
      <c r="N203" s="432">
        <f>DTC_SalesOverview_InTax[[#This Row],[Units]]/DTC_SalesOverview_InTax[[#This Row],[Buyers]]</f>
        <v>2.7505197505197505</v>
      </c>
      <c r="O203" s="105">
        <f>DTC_SalesOverview_InTax[[#This Row],[RR]]/DTC_SalesOverview_InTax[[#This Row],[GMV]]</f>
        <v>3.5740241611284009E-2</v>
      </c>
      <c r="P203" s="431">
        <f>P142+P87</f>
        <v>42194</v>
      </c>
      <c r="Q203" s="431">
        <f>Q142+Q87</f>
        <v>1180573.9999999998</v>
      </c>
      <c r="R203" s="106">
        <f>DTC_SalesOverview_InTax[[#This Row],[MD GMV]]/DTC_SalesOverview_InTax[[#This Row],[GMV]]</f>
        <v>1</v>
      </c>
      <c r="S203" s="431">
        <f>S142+S87</f>
        <v>1138379.9999999998</v>
      </c>
      <c r="T203" s="94">
        <f>DTC_SalesOverview_InTax[[#This Row],[MD NET]]/DTC_SalesOverview_InTax[[#This Row],[NET]]</f>
        <v>1</v>
      </c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28" t="str">
        <f>_xlfn.XLOOKUP(DTC_SalesOverview_InTax[[#This Row],[DATE]],全店核心数据_bymonth[开始日期],全店核心数据_bymonth[jda日历.PayYear],"")</f>
        <v/>
      </c>
      <c r="AO203" s="428" t="str">
        <f>DTC_SalesOverview_InTax[[#This Row],[DATE]]</f>
        <v>MTD-TY FF</v>
      </c>
      <c r="AP203" s="461">
        <f>DTC_SalesOverview_InTax[[#This Row],[GMV]]/$F$1</f>
        <v>1044755.7522123893</v>
      </c>
      <c r="AQ203" s="461">
        <f>DTC_SalesOverview_ExclTax[[#This Row],[GMV]]-DTC_SalesOverview_ExclTax[[#This Row],[RR]]</f>
        <v>1007415.9292035397</v>
      </c>
      <c r="AR203" s="436">
        <f>DTC_SalesOverview_InTax[[#This Row],[UV]]</f>
        <v>3152</v>
      </c>
      <c r="AS203" s="431">
        <f>DTC_SalesOverview_InTax[[#This Row],[Buyers]]</f>
        <v>481</v>
      </c>
      <c r="AT203" s="431">
        <f>DTC_SalesOverview_InTax[[#This Row],[Units]]</f>
        <v>1323</v>
      </c>
      <c r="AU203" s="92">
        <f>DTC_SalesOverview_ExclTax[[#This Row],[Buyers]]/DTC_SalesOverview_ExclTax[[#This Row],[UV]]</f>
        <v>0.15260152284263959</v>
      </c>
      <c r="AV203" s="431">
        <f>DTC_SalesOverview_ExclTax[[#This Row],[GMV]]/DTC_SalesOverview_ExclTax[[#This Row],[Buyers]]</f>
        <v>2172.0493808989381</v>
      </c>
      <c r="AW203" s="431">
        <f>DTC_SalesOverview_ExclTax[[#This Row],[GMV]]/DTC_SalesOverview_ExclTax[[#This Row],[Units]]</f>
        <v>789.68688753770914</v>
      </c>
      <c r="AX203" s="432">
        <f>DTC_SalesOverview_ExclTax[[#This Row],[Units]]/DTC_SalesOverview_ExclTax[[#This Row],[Buyers]]</f>
        <v>2.7505197505197505</v>
      </c>
      <c r="AY203" s="93">
        <f>DTC_SalesOverview_ExclTax[[#This Row],[RR]]/DTC_SalesOverview_ExclTax[[#This Row],[GMV]]</f>
        <v>3.5740241611284009E-2</v>
      </c>
      <c r="AZ203" s="436">
        <f>DTC_SalesOverview_InTax[[#This Row],[RR]]/$F$1</f>
        <v>37339.823008849562</v>
      </c>
      <c r="BA203" s="436">
        <f>DTC_SalesOverview_InTax[[#This Row],[MD GMV]]/$F$1</f>
        <v>1044755.7522123893</v>
      </c>
      <c r="BB203" s="94">
        <f>DTC_SalesOverview_ExclTax[[#This Row],[MD GMV]]/DTC_SalesOverview_ExclTax[[#This Row],[GMV]]</f>
        <v>1</v>
      </c>
      <c r="BC203" s="94"/>
      <c r="BD203" s="94"/>
      <c r="BE203" s="94"/>
      <c r="BF203" s="94"/>
      <c r="BG203" s="94"/>
      <c r="BH203" s="94"/>
      <c r="BI203" s="94"/>
      <c r="BJ203" s="94"/>
      <c r="BK203" s="94"/>
      <c r="BL203" s="28" t="str">
        <f>_xlfn.XLOOKUP(DTC_SalesOverview_ExclTax[[#This Row],[DATE]],全店核心数据_bymonth[开始日期],全店核心数据_bymonth[jda日历.PayYear],"")</f>
        <v/>
      </c>
      <c r="BO203" s="28"/>
      <c r="BX203" s="53"/>
    </row>
    <row r="204" spans="5:93" ht="12.5" customHeight="1" x14ac:dyDescent="0.3">
      <c r="E204" s="428" t="s">
        <v>388</v>
      </c>
      <c r="F204" s="431">
        <f t="shared" si="44"/>
        <v>1459066.0000000009</v>
      </c>
      <c r="G204" s="431">
        <f t="shared" si="44"/>
        <v>1307222.2700000009</v>
      </c>
      <c r="H204" s="431">
        <f t="shared" si="44"/>
        <v>3894</v>
      </c>
      <c r="I204" s="431">
        <f t="shared" si="44"/>
        <v>532</v>
      </c>
      <c r="J204" s="431">
        <f t="shared" si="44"/>
        <v>1560</v>
      </c>
      <c r="K204" s="104">
        <f>DTC_SalesOverview_InTax[[#This Row],[Buyers]]/DTC_SalesOverview_InTax[[#This Row],[UV]]</f>
        <v>0.13662044170518747</v>
      </c>
      <c r="L204" s="431">
        <f>DTC_SalesOverview_InTax[[#This Row],[GMV]]/DTC_SalesOverview_InTax[[#This Row],[Buyers]]</f>
        <v>2742.6052631578964</v>
      </c>
      <c r="M204" s="431">
        <f>DTC_SalesOverview_InTax[[#This Row],[GMV]]/DTC_SalesOverview_InTax[[#This Row],[Units]]</f>
        <v>935.29871794871849</v>
      </c>
      <c r="N204" s="432">
        <f>DTC_SalesOverview_InTax[[#This Row],[Units]]/DTC_SalesOverview_InTax[[#This Row],[Buyers]]</f>
        <v>2.9323308270676693</v>
      </c>
      <c r="O204" s="105">
        <f>DTC_SalesOverview_InTax[[#This Row],[RR]]/DTC_SalesOverview_InTax[[#This Row],[GMV]]</f>
        <v>0.10406913052596653</v>
      </c>
      <c r="P204" s="431">
        <f>P143+P88</f>
        <v>151843.72999999998</v>
      </c>
      <c r="Q204" s="431">
        <f>Q143+Q88</f>
        <v>1459066.0000000009</v>
      </c>
      <c r="R204" s="106">
        <f>DTC_SalesOverview_InTax[[#This Row],[MD GMV]]/DTC_SalesOverview_InTax[[#This Row],[GMV]]</f>
        <v>1</v>
      </c>
      <c r="S204" s="431">
        <f>S143+S88</f>
        <v>1307222.2700000009</v>
      </c>
      <c r="T204" s="94">
        <f>DTC_SalesOverview_InTax[[#This Row],[MD NET]]/DTC_SalesOverview_InTax[[#This Row],[NET]]</f>
        <v>1</v>
      </c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28" t="str">
        <f>_xlfn.XLOOKUP(DTC_SalesOverview_InTax[[#This Row],[DATE]],全店核心数据_bymonth[开始日期],全店核心数据_bymonth[jda日历.PayYear],"")</f>
        <v/>
      </c>
      <c r="AO204" s="428" t="str">
        <f>DTC_SalesOverview_InTax[[#This Row],[DATE]]</f>
        <v>MTD-LY FF</v>
      </c>
      <c r="AP204" s="461">
        <f>DTC_SalesOverview_InTax[[#This Row],[GMV]]/$F$1</f>
        <v>1291208.8495575231</v>
      </c>
      <c r="AQ204" s="461">
        <f>DTC_SalesOverview_ExclTax[[#This Row],[GMV]]-DTC_SalesOverview_ExclTax[[#This Row],[RR]]</f>
        <v>1156833.8672566381</v>
      </c>
      <c r="AR204" s="436">
        <f>DTC_SalesOverview_InTax[[#This Row],[UV]]</f>
        <v>3894</v>
      </c>
      <c r="AS204" s="431">
        <f>DTC_SalesOverview_InTax[[#This Row],[Buyers]]</f>
        <v>532</v>
      </c>
      <c r="AT204" s="431">
        <f>DTC_SalesOverview_InTax[[#This Row],[Units]]</f>
        <v>1560</v>
      </c>
      <c r="AU204" s="92">
        <f>DTC_SalesOverview_ExclTax[[#This Row],[Buyers]]/DTC_SalesOverview_ExclTax[[#This Row],[UV]]</f>
        <v>0.13662044170518747</v>
      </c>
      <c r="AV204" s="431">
        <f>DTC_SalesOverview_ExclTax[[#This Row],[GMV]]/DTC_SalesOverview_ExclTax[[#This Row],[Buyers]]</f>
        <v>2427.084303679555</v>
      </c>
      <c r="AW204" s="431">
        <f>DTC_SalesOverview_ExclTax[[#This Row],[GMV]]/DTC_SalesOverview_ExclTax[[#This Row],[Units]]</f>
        <v>827.69798048559176</v>
      </c>
      <c r="AX204" s="432">
        <f>DTC_SalesOverview_ExclTax[[#This Row],[Units]]/DTC_SalesOverview_ExclTax[[#This Row],[Buyers]]</f>
        <v>2.9323308270676693</v>
      </c>
      <c r="AY204" s="93">
        <f>DTC_SalesOverview_ExclTax[[#This Row],[RR]]/DTC_SalesOverview_ExclTax[[#This Row],[GMV]]</f>
        <v>0.10406913052596653</v>
      </c>
      <c r="AZ204" s="436">
        <f>DTC_SalesOverview_InTax[[#This Row],[RR]]/$F$1</f>
        <v>134374.98230088496</v>
      </c>
      <c r="BA204" s="436">
        <f>DTC_SalesOverview_InTax[[#This Row],[MD GMV]]/$F$1</f>
        <v>1291208.8495575231</v>
      </c>
      <c r="BB204" s="94">
        <f>DTC_SalesOverview_ExclTax[[#This Row],[MD GMV]]/DTC_SalesOverview_ExclTax[[#This Row],[GMV]]</f>
        <v>1</v>
      </c>
      <c r="BC204" s="94"/>
      <c r="BD204" s="94"/>
      <c r="BE204" s="94"/>
      <c r="BF204" s="94"/>
      <c r="BG204" s="94"/>
      <c r="BH204" s="94"/>
      <c r="BI204" s="94"/>
      <c r="BJ204" s="94"/>
      <c r="BK204" s="94"/>
      <c r="BL204" s="28" t="str">
        <f>_xlfn.XLOOKUP(DTC_SalesOverview_ExclTax[[#This Row],[DATE]],全店核心数据_bymonth[开始日期],全店核心数据_bymonth[jda日历.PayYear],"")</f>
        <v/>
      </c>
      <c r="BO204" s="28"/>
      <c r="BZ204" s="53"/>
    </row>
    <row r="205" spans="5:93" ht="12.5" customHeight="1" x14ac:dyDescent="0.3">
      <c r="E205" s="425" t="s">
        <v>390</v>
      </c>
      <c r="F205" s="256">
        <f>(SUMIFS(DTC_SalesOverview_InTax[GMV],DTC_SalesOverview_InTax[DATE],$K$1)-F203)/(SUMIFS(DTC_SalesOverview_InTax[GMV],DTC_SalesOverview_InTax[DATE],EDATE($K$1,-12))-F204)-1</f>
        <v>0.63942497588757075</v>
      </c>
      <c r="G205" s="256">
        <f>(SUMIFS(DTC_SalesOverview_InTax[NET],DTC_SalesOverview_InTax[DATE],$K$1)-G203)/(SUMIFS(DTC_SalesOverview_InTax[NET],DTC_SalesOverview_InTax[DATE],EDATE($K$1,-12))-G204)-1</f>
        <v>0.20593037494897981</v>
      </c>
      <c r="H205" s="256">
        <f>(SUMIFS(DTC_SalesOverview_InTax[UV],DTC_SalesOverview_InTax[DATE],$K$1)-H203)/(SUMIFS(DTC_SalesOverview_InTax[UV],DTC_SalesOverview_InTax[DATE],EDATE($K$1,-12))-H204)-1</f>
        <v>-0.33190296129498242</v>
      </c>
      <c r="I205" s="256">
        <f>(SUMIFS(DTC_SalesOverview_InTax[Buyers],DTC_SalesOverview_InTax[DATE],$K$1)-I203)/(SUMIFS(DTC_SalesOverview_InTax[Buyers],DTC_SalesOverview_InTax[DATE],EDATE($K$1,-12))-I204)-1</f>
        <v>0.30769230769230771</v>
      </c>
      <c r="J205" s="256">
        <f>(SUMIFS(DTC_SalesOverview_InTax[Units],DTC_SalesOverview_InTax[DATE],$K$1)-J203)/(SUMIFS(DTC_SalesOverview_InTax[Units],DTC_SalesOverview_InTax[DATE],EDATE($K$1,-12))-J204)-1</f>
        <v>0.45945945945945943</v>
      </c>
      <c r="K205" s="256">
        <f>((SUMIFS(DTC_SalesOverview_InTax[Buyers],DTC_SalesOverview_InTax[DATE],$K$1)-I203)/(SUMIFS(DTC_SalesOverview_InTax[UV],DTC_SalesOverview_InTax[DATE],$K$1)-H203))/((SUMIFS(DTC_SalesOverview_InTax[Buyers],DTC_SalesOverview_InTax[DATE],EDATE($K$1,-12))-I204)/(SUMIFS(DTC_SalesOverview_InTax[UV],DTC_SalesOverview_InTax[DATE],EDATE($K$1,-12))-H204))-1</f>
        <v>0.95733887733887757</v>
      </c>
      <c r="L205" s="256">
        <f>((SUMIFS(DTC_SalesOverview_InTax[GMV],DTC_SalesOverview_InTax[DATE],$K$1)-F203)/(SUMIFS(DTC_SalesOverview_InTax[Buyers],DTC_SalesOverview_InTax[DATE],$K$1)-I203))/((SUMIFS(DTC_SalesOverview_InTax[GMV],DTC_SalesOverview_InTax[DATE],EDATE($K$1,-12))-F204)/(SUMIFS(DTC_SalesOverview_InTax[Buyers],DTC_SalesOverview_InTax[DATE],EDATE($K$1,-12))-I204))-1</f>
        <v>0.25367792273755407</v>
      </c>
      <c r="M205" s="256">
        <f>((SUMIFS(DTC_SalesOverview_InTax[GMV],DTC_SalesOverview_InTax[DATE],$K$1)-F203)/(SUMIFS(DTC_SalesOverview_InTax[Units],DTC_SalesOverview_InTax[DATE],$K$1)-J203))/((SUMIFS(DTC_SalesOverview_InTax[GMV],DTC_SalesOverview_InTax[DATE],EDATE($K$1,-12))-F204)/(SUMIFS(DTC_SalesOverview_InTax[Units],DTC_SalesOverview_InTax[DATE],EDATE($K$1,-12))-J204))-1</f>
        <v>0.12330970570074284</v>
      </c>
      <c r="N205" s="256">
        <f>((SUMIFS(DTC_SalesOverview_InTax[Units],DTC_SalesOverview_InTax[DATE],$K$1)-J203)/(SUMIFS(DTC_SalesOverview_InTax[Buyers],DTC_SalesOverview_InTax[DATE],$K$1)-I203))/((SUMIFS(DTC_SalesOverview_InTax[Units],DTC_SalesOverview_InTax[DATE],EDATE($K$1,-12))-J204)/(SUMIFS(DTC_SalesOverview_InTax[Buyers],DTC_SalesOverview_InTax[DATE],EDATE($K$1,-12))-I204))-1</f>
        <v>0.11605723370429244</v>
      </c>
      <c r="O205" s="255">
        <f>((SUMIFS(DTC_SalesOverview_InTax[RR],DTC_SalesOverview_InTax[DATE],$K$1)-P203)/(SUMIFS(DTC_SalesOverview_InTax[GMV],DTC_SalesOverview_InTax[DATE],$K$1)-F203)-(SUMIFS(DTC_SalesOverview_InTax[RR],DTC_SalesOverview_InTax[DATE],EDATE($K$1,-12))-P204)/(SUMIFS(DTC_SalesOverview_InTax[GMV],DTC_SalesOverview_InTax[DATE],EDATE($K$1,-12))-F204))*100</f>
        <v>20.826326541092005</v>
      </c>
      <c r="P205" s="222">
        <f>(SUMIFS(DTC_SalesOverview_InTax[RR],DTC_SalesOverview_InTax[DATE],$K$1)-P203)/(SUMIFS(DTC_SalesOverview_InTax[RR],DTC_SalesOverview_InTax[DATE],EDATE($K$1,-12))-P204)-1</f>
        <v>2.2471237024221455</v>
      </c>
      <c r="Q205" s="222">
        <f>(SUMIFS(DTC_SalesOverview_InTax[MD GMV],DTC_SalesOverview_InTax[DATE],$K$1)-Q203)/(SUMIFS(DTC_SalesOverview_InTax[MD GMV],DTC_SalesOverview_InTax[DATE],EDATE($K$1,-12))-Q204)-1</f>
        <v>-0.36781020027093214</v>
      </c>
      <c r="R205" s="255">
        <f>((SUMIFS(DTC_SalesOverview_InTax[MD GMV],DTC_SalesOverview_InTax[DATE],$K$1)-Q203)/(SUMIFS(DTC_SalesOverview_InTax[GMV],DTC_SalesOverview_InTax[DATE],$K$1)-F203)-(SUMIFS(DTC_SalesOverview_InTax[MD GMV],DTC_SalesOverview_InTax[DATE],EDATE($K$1,-12))-Q204)/(SUMIFS(DTC_SalesOverview_InTax[GMV],DTC_SalesOverview_InTax[DATE],EDATE($K$1,-12))-F204))*100</f>
        <v>-38.535453459312649</v>
      </c>
      <c r="S205" s="222">
        <f>(SUMIFS(DTC_SalesOverview_InTax[MD NET],DTC_SalesOverview_InTax[DATE],$K$1)-S203)/(SUMIFS(DTC_SalesOverview_InTax[MD NET],DTC_SalesOverview_InTax[DATE],EDATE($K$1,-12))-S204)-1</f>
        <v>-0.48880008413082221</v>
      </c>
      <c r="T205" s="255">
        <f>((SUMIFS(DTC_SalesOverview_InTax[MD NET],DTC_SalesOverview_InTax[DATE],$K$1)-S203)/(SUMIFS(DTC_SalesOverview_InTax[NET],DTC_SalesOverview_InTax[DATE],$K$1)-G203)-(SUMIFS(DTC_SalesOverview_InTax[MD NET],DTC_SalesOverview_InTax[DATE],EDATE($K$1,-12))-S204)/(SUMIFS(DTC_SalesOverview_InTax[NET],DTC_SalesOverview_InTax[DATE],EDATE($K$1,-12))-G204))*100</f>
        <v>-31.944062935566457</v>
      </c>
      <c r="U205" s="255"/>
      <c r="V205" s="255"/>
      <c r="W205" s="255"/>
      <c r="X205" s="255"/>
      <c r="Y205" s="255"/>
      <c r="Z205" s="255"/>
      <c r="AA205" s="255"/>
      <c r="AB205" s="255"/>
      <c r="AC205" s="255"/>
      <c r="AD205" s="255"/>
      <c r="AE205" s="255"/>
      <c r="AF205" s="255"/>
      <c r="AG205" s="255"/>
      <c r="AH205" s="255"/>
      <c r="AI205" s="255"/>
      <c r="AJ205" s="255"/>
      <c r="AK205" s="255"/>
      <c r="AL205" s="28" t="str">
        <f>_xlfn.XLOOKUP(DTC_SalesOverview_InTax[[#This Row],[DATE]],全店核心数据_bymonth[开始日期],全店核心数据_bymonth[jda日历.PayYear],"")</f>
        <v/>
      </c>
      <c r="AO205" s="425" t="str">
        <f>DTC_SalesOverview_InTax[[#This Row],[DATE]]</f>
        <v>MTD YOY Ex FF</v>
      </c>
      <c r="AP205" s="97">
        <f>(SUMIFS(DTC_SalesOverview_ExclTax[GMV],DTC_SalesOverview_ExclTax[DATE],$K$1)-AP203)/(SUMIFS(DTC_SalesOverview_ExclTax[GMV],DTC_SalesOverview_ExclTax[DATE],EDATE($K$1,-12))-AP204)-1</f>
        <v>0.6394249758875703</v>
      </c>
      <c r="AQ205" s="97">
        <f>(SUMIFS(DTC_SalesOverview_ExclTax[NET],DTC_SalesOverview_ExclTax[DATE],$K$1)-AQ203)/(SUMIFS(DTC_SalesOverview_ExclTax[NET],DTC_SalesOverview_ExclTax[DATE],EDATE($K$1,-12))-AQ204)-1</f>
        <v>0.20593037494897715</v>
      </c>
      <c r="AR205" s="97">
        <f>(SUMIFS(DTC_SalesOverview_ExclTax[UV],DTC_SalesOverview_ExclTax[DATE],$K$1)-AR203)/(SUMIFS(DTC_SalesOverview_ExclTax[UV],DTC_SalesOverview_ExclTax[DATE],EDATE($K$1,-12))-AR204)-1</f>
        <v>-0.33190296129498242</v>
      </c>
      <c r="AS205" s="97">
        <f>(SUMIFS(DTC_SalesOverview_ExclTax[Buyers],DTC_SalesOverview_ExclTax[DATE],$K$1)-AS203)/(SUMIFS(DTC_SalesOverview_ExclTax[Buyers],DTC_SalesOverview_ExclTax[DATE],EDATE($K$1,-12))-AS204)-1</f>
        <v>0.30769230769230771</v>
      </c>
      <c r="AT205" s="97">
        <f>(SUMIFS(DTC_SalesOverview_ExclTax[Units],DTC_SalesOverview_ExclTax[DATE],$K$1)-AT203)/(SUMIFS(DTC_SalesOverview_ExclTax[Units],DTC_SalesOverview_ExclTax[DATE],EDATE($K$1,-12))-AT204)-1</f>
        <v>0.45945945945945943</v>
      </c>
      <c r="AU205" s="97">
        <f>((SUMIFS(DTC_SalesOverview_ExclTax[Buyers],DTC_SalesOverview_ExclTax[DATE],$K$1)-AS203)/(SUMIFS(DTC_SalesOverview_ExclTax[UV],DTC_SalesOverview_ExclTax[DATE],$K$1)-AR203))/((SUMIFS(DTC_SalesOverview_ExclTax[Buyers],DTC_SalesOverview_ExclTax[DATE],EDATE($K$1,-12))-AS204)/(SUMIFS(DTC_SalesOverview_ExclTax[UV],DTC_SalesOverview_ExclTax[DATE],EDATE($K$1,-12))-AR204))-1</f>
        <v>0.95733887733887757</v>
      </c>
      <c r="AV205" s="97">
        <f>((SUMIFS(DTC_SalesOverview_ExclTax[GMV],DTC_SalesOverview_ExclTax[DATE],$K$1)-AP203)/(SUMIFS(DTC_SalesOverview_ExclTax[Buyers],DTC_SalesOverview_ExclTax[DATE],$K$1)-AS203))/((SUMIFS(DTC_SalesOverview_ExclTax[GMV],DTC_SalesOverview_ExclTax[DATE],EDATE($K$1,-12))-AP204)/(SUMIFS(DTC_SalesOverview_ExclTax[Buyers],DTC_SalesOverview_ExclTax[DATE],EDATE($K$1,-12))-AS204))-1</f>
        <v>0.25367792273755385</v>
      </c>
      <c r="AW205" s="97">
        <f>((SUMIFS(DTC_SalesOverview_ExclTax[GMV],DTC_SalesOverview_ExclTax[DATE],$K$1)-AP203)/(SUMIFS(DTC_SalesOverview_ExclTax[Units],DTC_SalesOverview_ExclTax[DATE],$K$1)-AT203))/((SUMIFS(DTC_SalesOverview_ExclTax[GMV],DTC_SalesOverview_ExclTax[DATE],EDATE($K$1,-12))-AP204)/(SUMIFS(DTC_SalesOverview_ExclTax[Units],DTC_SalesOverview_ExclTax[DATE],EDATE($K$1,-12))-AT204))-1</f>
        <v>0.12330970570074262</v>
      </c>
      <c r="AX205" s="97">
        <f>((SUMIFS(DTC_SalesOverview_ExclTax[Units],DTC_SalesOverview_ExclTax[DATE],$K$1)-AT203)/(SUMIFS(DTC_SalesOverview_ExclTax[Buyers],DTC_SalesOverview_ExclTax[DATE],$K$1)-AS203))/((SUMIFS(DTC_SalesOverview_ExclTax[Units],DTC_SalesOverview_ExclTax[DATE],EDATE($K$1,-12))-AT204)/(SUMIFS(DTC_SalesOverview_ExclTax[Buyers],DTC_SalesOverview_ExclTax[DATE],EDATE($K$1,-12))-AS204))-1</f>
        <v>0.11605723370429244</v>
      </c>
      <c r="AY205" s="98">
        <f>(SUMIFS(DTC_SalesOverview_ExclTax[RR],DTC_SalesOverview_ExclTax[DATE],$K$1)-AZ203)/(SUMIFS(DTC_SalesOverview_ExclTax[GMV],DTC_SalesOverview_ExclTax[DATE],$K$1)-AP203)-(SUMIFS(DTC_SalesOverview_ExclTax[RR],DTC_SalesOverview_ExclTax[DATE],EDATE($K$1,-12))-AZ204)/(SUMIFS(DTC_SalesOverview_ExclTax[GMV],DTC_SalesOverview_ExclTax[DATE],EDATE($K$1,-12))-AP204)</f>
        <v>0.20826326541092019</v>
      </c>
      <c r="AZ205" s="98">
        <f>(SUMIFS(DTC_SalesOverview_ExclTax[RR],DTC_SalesOverview_ExclTax[DATE],$K$1)-AZ203)/(SUMIFS(DTC_SalesOverview_ExclTax[RR],DTC_SalesOverview_ExclTax[DATE],EDATE($K$1,-12))-AZ204)-1</f>
        <v>2.2471237024221464</v>
      </c>
      <c r="BA205" s="98">
        <f>(SUMIFS(DTC_SalesOverview_ExclTax[MD GMV],DTC_SalesOverview_ExclTax[DATE],$K$1)-BA203)/(SUMIFS(DTC_SalesOverview_ExclTax[MD GMV],DTC_SalesOverview_ExclTax[DATE],EDATE($K$1,-12))-BA204)-1</f>
        <v>-0.36781020027093236</v>
      </c>
      <c r="BB205" s="98">
        <f>(SUMIFS(DTC_SalesOverview_ExclTax[MD GMV],DTC_SalesOverview_ExclTax[DATE],$K$1)-BA203)/(SUMIFS(DTC_SalesOverview_ExclTax[GMV],DTC_SalesOverview_ExclTax[DATE],$K$1)-AP203)-(SUMIFS(DTC_SalesOverview_ExclTax[MD GMV],DTC_SalesOverview_ExclTax[DATE],EDATE($K$1,-12))-BA204)/(SUMIFS(DTC_SalesOverview_ExclTax[GMV],DTC_SalesOverview_ExclTax[DATE],EDATE($K$1,-12))-AP204)</f>
        <v>-0.38535453459312663</v>
      </c>
      <c r="BC205" s="98"/>
      <c r="BD205" s="98"/>
      <c r="BE205" s="98"/>
      <c r="BF205" s="98"/>
      <c r="BG205" s="98"/>
      <c r="BH205" s="98"/>
      <c r="BI205" s="98"/>
      <c r="BJ205" s="98"/>
      <c r="BK205" s="98"/>
      <c r="BL205" s="28" t="str">
        <f>_xlfn.XLOOKUP(DTC_SalesOverview_ExclTax[[#This Row],[DATE]],全店核心数据_bymonth[开始日期],全店核心数据_bymonth[jda日历.PayYear],"")</f>
        <v/>
      </c>
      <c r="BO205" s="28"/>
      <c r="BZ205" s="53"/>
    </row>
    <row r="206" spans="5:93" ht="12.5" customHeight="1" x14ac:dyDescent="0.3">
      <c r="E206" s="428" t="s">
        <v>410</v>
      </c>
      <c r="F206" s="431">
        <f>SUMIFS(DTC_SalesOverview_InTax[GMV],DTC_SalesOverview_InTax[DATE],$K$1)-F198-F201-F203</f>
        <v>192242</v>
      </c>
      <c r="G206" s="431">
        <f>SUMIFS(DTC_SalesOverview_InTax[NET],DTC_SalesOverview_InTax[DATE],$K$1)-G198-G201-G203</f>
        <v>89025</v>
      </c>
      <c r="H206" s="431">
        <f>SUMIFS(DTC_SalesOverview_InTax[UV],DTC_SalesOverview_InTax[DATE],$K$1)-H198-H201-H203</f>
        <v>15487</v>
      </c>
      <c r="I206" s="431">
        <f>SUMIFS(DTC_SalesOverview_InTax[Buyers],DTC_SalesOverview_InTax[DATE],$K$1)-I198-I201-I203</f>
        <v>17</v>
      </c>
      <c r="J206" s="431">
        <f>SUMIFS(DTC_SalesOverview_InTax[Units],DTC_SalesOverview_InTax[DATE],$K$1)-J198-J201-J203</f>
        <v>27</v>
      </c>
      <c r="K206" s="104">
        <f>DTC_SalesOverview_InTax[[#This Row],[Buyers]]/DTC_SalesOverview_InTax[[#This Row],[UV]]</f>
        <v>1.0976948408342481E-3</v>
      </c>
      <c r="L206" s="431">
        <f>DTC_SalesOverview_InTax[[#This Row],[GMV]]/DTC_SalesOverview_InTax[[#This Row],[Buyers]]</f>
        <v>11308.35294117647</v>
      </c>
      <c r="M206" s="431">
        <f>DTC_SalesOverview_InTax[[#This Row],[GMV]]/DTC_SalesOverview_InTax[[#This Row],[Units]]</f>
        <v>7120.0740740740739</v>
      </c>
      <c r="N206" s="432">
        <f>DTC_SalesOverview_InTax[[#This Row],[Units]]/DTC_SalesOverview_InTax[[#This Row],[Buyers]]</f>
        <v>1.588235294117647</v>
      </c>
      <c r="O206" s="105">
        <f>DTC_SalesOverview_InTax[[#This Row],[RR]]/DTC_SalesOverview_InTax[[#This Row],[GMV]]</f>
        <v>0.53691180907397962</v>
      </c>
      <c r="P206" s="431">
        <f>SUMIFS(DTC_SalesOverview_InTax[RR],DTC_SalesOverview_InTax[DATE],$K$1)-P198-P201-P203</f>
        <v>103217</v>
      </c>
      <c r="Q206" s="431">
        <f>SUMIFS(DTC_SalesOverview_InTax[MD GMV],DTC_SalesOverview_InTax[DATE],$K$1)-Q198-Q201-Q203</f>
        <v>86335</v>
      </c>
      <c r="R206" s="106">
        <f>DTC_SalesOverview_InTax[[#This Row],[MD GMV]]/DTC_SalesOverview_InTax[[#This Row],[GMV]]</f>
        <v>0.44909541099239503</v>
      </c>
      <c r="S206" s="431">
        <f>SUMIFS(DTC_SalesOverview_InTax[MD NET],DTC_SalesOverview_InTax[DATE],$K$1)-S198-S201-S203</f>
        <v>4940</v>
      </c>
      <c r="T206" s="94">
        <f>DTC_SalesOverview_InTax[[#This Row],[MD NET]]/DTC_SalesOverview_InTax[[#This Row],[NET]]</f>
        <v>5.5490030890199382E-2</v>
      </c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28" t="str">
        <f>_xlfn.XLOOKUP(DTC_SalesOverview_InTax[[#This Row],[DATE]],全店核心数据_bymonth[开始日期],全店核心数据_bymonth[jda日历.PayYear],"")</f>
        <v/>
      </c>
      <c r="AO206" s="428" t="str">
        <f>DTC_SalesOverview_InTax[[#This Row],[DATE]]</f>
        <v>MTD-TY Organic</v>
      </c>
      <c r="AP206" s="460">
        <f>DTC_SalesOverview_InTax[[#This Row],[GMV]]/$F$1</f>
        <v>170125.66371681419</v>
      </c>
      <c r="AQ206" s="460">
        <f>DTC_SalesOverview_ExclTax[[#This Row],[GMV]]-DTC_SalesOverview_ExclTax[[#This Row],[RR]]</f>
        <v>78783.185840707985</v>
      </c>
      <c r="AR206" s="431">
        <f>DTC_SalesOverview_InTax[[#This Row],[UV]]</f>
        <v>15487</v>
      </c>
      <c r="AS206" s="431">
        <f>DTC_SalesOverview_InTax[[#This Row],[Buyers]]</f>
        <v>17</v>
      </c>
      <c r="AT206" s="431">
        <f>DTC_SalesOverview_InTax[[#This Row],[Units]]</f>
        <v>27</v>
      </c>
      <c r="AU206" s="92">
        <f>DTC_SalesOverview_ExclTax[[#This Row],[Buyers]]/DTC_SalesOverview_ExclTax[[#This Row],[UV]]</f>
        <v>1.0976948408342481E-3</v>
      </c>
      <c r="AV206" s="431">
        <f>DTC_SalesOverview_ExclTax[[#This Row],[GMV]]/DTC_SalesOverview_ExclTax[[#This Row],[Buyers]]</f>
        <v>10007.391983342011</v>
      </c>
      <c r="AW206" s="431">
        <f>DTC_SalesOverview_ExclTax[[#This Row],[GMV]]/DTC_SalesOverview_ExclTax[[#This Row],[Units]]</f>
        <v>6300.9505080301551</v>
      </c>
      <c r="AX206" s="432">
        <f>DTC_SalesOverview_ExclTax[[#This Row],[Units]]/DTC_SalesOverview_ExclTax[[#This Row],[Buyers]]</f>
        <v>1.588235294117647</v>
      </c>
      <c r="AY206" s="93">
        <f>DTC_SalesOverview_ExclTax[[#This Row],[RR]]/DTC_SalesOverview_ExclTax[[#This Row],[GMV]]</f>
        <v>0.53691180907397962</v>
      </c>
      <c r="AZ206" s="436">
        <f>DTC_SalesOverview_InTax[[#This Row],[RR]]/$F$1</f>
        <v>91342.477876106204</v>
      </c>
      <c r="BA206" s="436">
        <f>DTC_SalesOverview_InTax[[#This Row],[MD GMV]]/$F$1</f>
        <v>76402.654867256642</v>
      </c>
      <c r="BB206" s="94">
        <f>DTC_SalesOverview_ExclTax[[#This Row],[MD GMV]]/DTC_SalesOverview_ExclTax[[#This Row],[GMV]]</f>
        <v>0.44909541099239497</v>
      </c>
      <c r="BC206" s="94"/>
      <c r="BD206" s="94"/>
      <c r="BE206" s="94"/>
      <c r="BF206" s="94"/>
      <c r="BG206" s="94"/>
      <c r="BH206" s="94"/>
      <c r="BI206" s="94"/>
      <c r="BJ206" s="94"/>
      <c r="BK206" s="94"/>
      <c r="BL206" s="28" t="str">
        <f>_xlfn.XLOOKUP(DTC_SalesOverview_ExclTax[[#This Row],[DATE]],全店核心数据_bymonth[开始日期],全店核心数据_bymonth[jda日历.PayYear],"")</f>
        <v/>
      </c>
      <c r="BO206" s="28"/>
      <c r="BZ206" s="53"/>
    </row>
    <row r="207" spans="5:93" ht="13" customHeight="1" x14ac:dyDescent="0.3">
      <c r="E207" s="428" t="s">
        <v>411</v>
      </c>
      <c r="F207" s="431">
        <f>SUMIFS(DTC_SalesOverview_InTax[GMV],DTC_SalesOverview_InTax[DATE],EDATE($K$1,-12))-F199-F202-F204</f>
        <v>148434.99999999953</v>
      </c>
      <c r="G207" s="431">
        <f>SUMIFS(DTC_SalesOverview_InTax[NET],DTC_SalesOverview_InTax[DATE],EDATE($K$1,-12))-G199-G202-G204</f>
        <v>114759.99999999953</v>
      </c>
      <c r="H207" s="431">
        <f>SUMIFS(DTC_SalesOverview_InTax[UV],DTC_SalesOverview_InTax[DATE],EDATE($K$1,-12))-H199-H202-H204</f>
        <v>11953</v>
      </c>
      <c r="I207" s="431">
        <f>SUMIFS(DTC_SalesOverview_InTax[Buyers],DTC_SalesOverview_InTax[DATE],EDATE($K$1,-12))-I199-I202-I204</f>
        <v>16</v>
      </c>
      <c r="J207" s="431">
        <f>SUMIFS(DTC_SalesOverview_InTax[Units],DTC_SalesOverview_InTax[DATE],EDATE($K$1,-12))-J199-J202-J204</f>
        <v>24</v>
      </c>
      <c r="K207" s="104">
        <f>DTC_SalesOverview_InTax[[#This Row],[Buyers]]/DTC_SalesOverview_InTax[[#This Row],[UV]]</f>
        <v>1.338576089684598E-3</v>
      </c>
      <c r="L207" s="431">
        <f>DTC_SalesOverview_InTax[[#This Row],[GMV]]/DTC_SalesOverview_InTax[[#This Row],[Buyers]]</f>
        <v>9277.1874999999709</v>
      </c>
      <c r="M207" s="431">
        <f>DTC_SalesOverview_InTax[[#This Row],[GMV]]/DTC_SalesOverview_InTax[[#This Row],[Units]]</f>
        <v>6184.791666666647</v>
      </c>
      <c r="N207" s="432">
        <f>DTC_SalesOverview_InTax[[#This Row],[Units]]/DTC_SalesOverview_InTax[[#This Row],[Buyers]]</f>
        <v>1.5</v>
      </c>
      <c r="O207" s="105">
        <f>DTC_SalesOverview_InTax[[#This Row],[RR]]/DTC_SalesOverview_InTax[[#This Row],[GMV]]</f>
        <v>0.22686697881227544</v>
      </c>
      <c r="P207" s="431">
        <f>SUMIFS(DTC_SalesOverview_InTax[RR],DTC_SalesOverview_InTax[DATE],EDATE($K$1,-12))-P199-P202-P204</f>
        <v>33675</v>
      </c>
      <c r="Q207" s="431">
        <f>SUMIFS(DTC_SalesOverview_InTax[MD GMV],DTC_SalesOverview_InTax[DATE],EDATE($K$1,-12))-Q199-Q202-Q204</f>
        <v>70264.999999999767</v>
      </c>
      <c r="R207" s="106">
        <f>DTC_SalesOverview_InTax[[#This Row],[MD GMV]]/DTC_SalesOverview_InTax[[#This Row],[GMV]]</f>
        <v>0.47337218311045232</v>
      </c>
      <c r="S207" s="431">
        <f>SUMIFS(DTC_SalesOverview_InTax[MD NET],DTC_SalesOverview_InTax[DATE],EDATE($K$1,-12))-S199-S202-S204</f>
        <v>41354.999999999767</v>
      </c>
      <c r="T207" s="94">
        <f>DTC_SalesOverview_InTax[[#This Row],[MD NET]]/DTC_SalesOverview_InTax[[#This Row],[NET]]</f>
        <v>0.36036075287556585</v>
      </c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28" t="str">
        <f>_xlfn.XLOOKUP(DTC_SalesOverview_InTax[[#This Row],[DATE]],全店核心数据_bymonth[开始日期],全店核心数据_bymonth[jda日历.PayYear],"")</f>
        <v/>
      </c>
      <c r="AO207" s="428" t="str">
        <f>DTC_SalesOverview_InTax[[#This Row],[DATE]]</f>
        <v>MTD-LY Organic</v>
      </c>
      <c r="AP207" s="460">
        <f>DTC_SalesOverview_InTax[[#This Row],[GMV]]/$F$1</f>
        <v>131358.40707964561</v>
      </c>
      <c r="AQ207" s="460">
        <f>DTC_SalesOverview_ExclTax[[#This Row],[GMV]]-DTC_SalesOverview_ExclTax[[#This Row],[RR]]</f>
        <v>101557.52212389339</v>
      </c>
      <c r="AR207" s="431">
        <f>DTC_SalesOverview_InTax[[#This Row],[UV]]</f>
        <v>11953</v>
      </c>
      <c r="AS207" s="431">
        <f>DTC_SalesOverview_InTax[[#This Row],[Buyers]]</f>
        <v>16</v>
      </c>
      <c r="AT207" s="431">
        <f>DTC_SalesOverview_InTax[[#This Row],[Units]]</f>
        <v>24</v>
      </c>
      <c r="AU207" s="92">
        <f>DTC_SalesOverview_ExclTax[[#This Row],[Buyers]]/DTC_SalesOverview_ExclTax[[#This Row],[UV]]</f>
        <v>1.338576089684598E-3</v>
      </c>
      <c r="AV207" s="431">
        <f>DTC_SalesOverview_ExclTax[[#This Row],[GMV]]/DTC_SalesOverview_ExclTax[[#This Row],[Buyers]]</f>
        <v>8209.9004424778504</v>
      </c>
      <c r="AW207" s="431">
        <f>DTC_SalesOverview_ExclTax[[#This Row],[GMV]]/DTC_SalesOverview_ExclTax[[#This Row],[Units]]</f>
        <v>5473.2669616519006</v>
      </c>
      <c r="AX207" s="432">
        <f>DTC_SalesOverview_ExclTax[[#This Row],[Units]]/DTC_SalesOverview_ExclTax[[#This Row],[Buyers]]</f>
        <v>1.5</v>
      </c>
      <c r="AY207" s="93">
        <f>DTC_SalesOverview_ExclTax[[#This Row],[RR]]/DTC_SalesOverview_ExclTax[[#This Row],[GMV]]</f>
        <v>0.22686697881227547</v>
      </c>
      <c r="AZ207" s="436">
        <f>DTC_SalesOverview_InTax[[#This Row],[RR]]/$F$1</f>
        <v>29800.884955752215</v>
      </c>
      <c r="BA207" s="436">
        <f>DTC_SalesOverview_InTax[[#This Row],[MD GMV]]/$F$1</f>
        <v>62181.415929203336</v>
      </c>
      <c r="BB207" s="94">
        <f>DTC_SalesOverview_ExclTax[[#This Row],[MD GMV]]/DTC_SalesOverview_ExclTax[[#This Row],[GMV]]</f>
        <v>0.47337218311045232</v>
      </c>
      <c r="BC207" s="94"/>
      <c r="BD207" s="94"/>
      <c r="BE207" s="94"/>
      <c r="BF207" s="94"/>
      <c r="BG207" s="94"/>
      <c r="BH207" s="94"/>
      <c r="BI207" s="94"/>
      <c r="BJ207" s="94"/>
      <c r="BK207" s="94"/>
      <c r="BL207" s="28" t="str">
        <f>_xlfn.XLOOKUP(DTC_SalesOverview_ExclTax[[#This Row],[DATE]],全店核心数据_bymonth[开始日期],全店核心数据_bymonth[jda日历.PayYear],"")</f>
        <v/>
      </c>
      <c r="BO207" s="28"/>
      <c r="BQ207" s="53"/>
    </row>
    <row r="208" spans="5:93" ht="13" x14ac:dyDescent="0.3">
      <c r="E208" s="425" t="s">
        <v>389</v>
      </c>
      <c r="F208" s="256">
        <f t="shared" ref="F208:N208" si="45">F206/F207-1</f>
        <v>0.2951258126452696</v>
      </c>
      <c r="G208" s="256">
        <f t="shared" si="45"/>
        <v>-0.224250609968627</v>
      </c>
      <c r="H208" s="256">
        <f t="shared" si="45"/>
        <v>0.29565799380908553</v>
      </c>
      <c r="I208" s="256">
        <f t="shared" si="45"/>
        <v>6.25E-2</v>
      </c>
      <c r="J208" s="256">
        <f t="shared" si="45"/>
        <v>0.125</v>
      </c>
      <c r="K208" s="256">
        <f t="shared" si="45"/>
        <v>-0.17995334796926454</v>
      </c>
      <c r="L208" s="256">
        <f t="shared" si="45"/>
        <v>0.218941941313195</v>
      </c>
      <c r="M208" s="256">
        <f t="shared" si="45"/>
        <v>0.1512229445735731</v>
      </c>
      <c r="N208" s="256">
        <f t="shared" si="45"/>
        <v>5.8823529411764719E-2</v>
      </c>
      <c r="O208" s="255">
        <f>(O206-O207)*100</f>
        <v>31.004483026170416</v>
      </c>
      <c r="P208" s="222">
        <f>P206/P207-1</f>
        <v>2.065092798812175</v>
      </c>
      <c r="Q208" s="222">
        <f>Q206/Q207-1</f>
        <v>0.22870561445955007</v>
      </c>
      <c r="R208" s="255">
        <f>(R206-R207)*100</f>
        <v>-2.4276772118057286</v>
      </c>
      <c r="S208" s="222">
        <f>S206/S207-1</f>
        <v>-0.88054648772820632</v>
      </c>
      <c r="T208" s="255">
        <f>(T206-T207)*100</f>
        <v>-30.487072198536648</v>
      </c>
      <c r="U208" s="255"/>
      <c r="V208" s="255"/>
      <c r="W208" s="255"/>
      <c r="X208" s="255"/>
      <c r="Y208" s="255"/>
      <c r="Z208" s="255"/>
      <c r="AA208" s="255"/>
      <c r="AB208" s="255"/>
      <c r="AC208" s="255"/>
      <c r="AD208" s="255"/>
      <c r="AE208" s="255"/>
      <c r="AF208" s="255"/>
      <c r="AG208" s="255"/>
      <c r="AH208" s="255"/>
      <c r="AI208" s="255"/>
      <c r="AJ208" s="255"/>
      <c r="AK208" s="255"/>
      <c r="AO208" s="425" t="str">
        <f>DTC_SalesOverview_InTax[[#This Row],[DATE]]</f>
        <v>MTD YOY Organic</v>
      </c>
      <c r="AP208" s="256">
        <f t="shared" ref="AP208:AX208" si="46">AP206/AP207-1</f>
        <v>0.29512581264526982</v>
      </c>
      <c r="AQ208" s="256">
        <f t="shared" si="46"/>
        <v>-0.22425060996862678</v>
      </c>
      <c r="AR208" s="256">
        <f t="shared" si="46"/>
        <v>0.29565799380908553</v>
      </c>
      <c r="AS208" s="256">
        <f t="shared" si="46"/>
        <v>6.25E-2</v>
      </c>
      <c r="AT208" s="256">
        <f t="shared" si="46"/>
        <v>0.125</v>
      </c>
      <c r="AU208" s="256">
        <f t="shared" si="46"/>
        <v>-0.17995334796926454</v>
      </c>
      <c r="AV208" s="256">
        <f t="shared" si="46"/>
        <v>0.21894194131319522</v>
      </c>
      <c r="AW208" s="256">
        <f t="shared" si="46"/>
        <v>0.1512229445735731</v>
      </c>
      <c r="AX208" s="256">
        <f t="shared" si="46"/>
        <v>5.8823529411764719E-2</v>
      </c>
      <c r="AY208" s="255">
        <f>(AY206-AY207)*100</f>
        <v>31.004483026170416</v>
      </c>
      <c r="AZ208" s="222">
        <f>AZ206/AZ207-1</f>
        <v>2.0650927988121754</v>
      </c>
      <c r="BA208" s="222">
        <f>BA206/BA207-1</f>
        <v>0.22870561445955007</v>
      </c>
      <c r="BB208" s="255">
        <f>(BB206-BB207)*100</f>
        <v>-2.4276772118057344</v>
      </c>
      <c r="BC208" s="255"/>
      <c r="BD208" s="255"/>
      <c r="BE208" s="255"/>
      <c r="BF208" s="255"/>
      <c r="BG208" s="255"/>
      <c r="BH208" s="255"/>
      <c r="BI208" s="255"/>
      <c r="BJ208" s="255"/>
      <c r="BK208" s="255"/>
      <c r="BO208" s="28"/>
      <c r="BQ208" s="53"/>
    </row>
    <row r="209" spans="5:95" ht="13" x14ac:dyDescent="0.3">
      <c r="E209" s="425"/>
      <c r="F209" s="256"/>
      <c r="G209" s="256"/>
      <c r="H209" s="256"/>
      <c r="I209" s="256"/>
      <c r="J209" s="256"/>
      <c r="K209" s="256"/>
      <c r="L209" s="256"/>
      <c r="M209" s="256"/>
      <c r="N209" s="256"/>
      <c r="O209" s="255"/>
      <c r="P209" s="222"/>
      <c r="Q209" s="222"/>
      <c r="R209" s="255"/>
      <c r="X209" s="97"/>
      <c r="Y209" s="97"/>
      <c r="Z209" s="97"/>
      <c r="AA209" s="97"/>
      <c r="AB209" s="97"/>
      <c r="AC209" s="97"/>
      <c r="AD209" s="97"/>
      <c r="AE209" s="97"/>
      <c r="AF209" s="98"/>
      <c r="AG209" s="98"/>
      <c r="AH209" s="98"/>
      <c r="AI209" s="98"/>
      <c r="BO209" s="28"/>
      <c r="BQ209" s="53"/>
    </row>
    <row r="210" spans="5:95" ht="13" x14ac:dyDescent="0.3">
      <c r="E210" s="425"/>
      <c r="F210" s="256"/>
      <c r="G210" s="256"/>
      <c r="H210" s="256"/>
      <c r="I210" s="256"/>
      <c r="J210" s="256"/>
      <c r="K210" s="256"/>
      <c r="L210" s="256"/>
      <c r="M210" s="256"/>
      <c r="N210" s="256"/>
      <c r="O210" s="255"/>
      <c r="P210" s="222"/>
      <c r="Q210" s="222"/>
      <c r="R210" s="255"/>
      <c r="X210" s="97"/>
      <c r="Y210" s="97"/>
      <c r="Z210" s="97"/>
      <c r="AA210" s="97"/>
      <c r="AB210" s="97"/>
      <c r="AC210" s="97"/>
      <c r="AD210" s="97"/>
      <c r="AE210" s="97"/>
      <c r="AF210" s="98"/>
      <c r="AG210" s="98"/>
      <c r="AH210" s="98"/>
      <c r="AI210" s="98"/>
      <c r="BO210" s="28"/>
      <c r="BQ210" s="53"/>
    </row>
    <row r="211" spans="5:95" ht="13" x14ac:dyDescent="0.3">
      <c r="E211" s="425"/>
      <c r="F211" s="409"/>
      <c r="G211" s="409"/>
      <c r="H211" s="409"/>
      <c r="I211" s="409"/>
      <c r="J211" s="409"/>
      <c r="K211" s="409"/>
      <c r="L211" s="409"/>
      <c r="M211" s="409"/>
      <c r="N211" s="409"/>
      <c r="O211" s="411"/>
      <c r="P211" s="409"/>
      <c r="Q211" s="409"/>
      <c r="R211" s="411"/>
      <c r="S211" s="409"/>
      <c r="T211" s="411"/>
      <c r="X211" s="410"/>
      <c r="Y211" s="410"/>
      <c r="Z211" s="97"/>
      <c r="AA211" s="97"/>
      <c r="AB211" s="97"/>
      <c r="AC211" s="97"/>
      <c r="AD211" s="97"/>
      <c r="AE211" s="97"/>
      <c r="AF211" s="98"/>
      <c r="AG211" s="98"/>
      <c r="AH211" s="98"/>
      <c r="AI211" s="98"/>
      <c r="BO211" s="28"/>
      <c r="BQ211" s="53"/>
    </row>
    <row r="212" spans="5:95" ht="13" x14ac:dyDescent="0.3">
      <c r="E212" s="425"/>
      <c r="F212" s="409"/>
      <c r="G212" s="409"/>
      <c r="H212" s="409"/>
      <c r="I212" s="409"/>
      <c r="J212" s="409"/>
      <c r="K212" s="409"/>
      <c r="L212" s="409"/>
      <c r="M212" s="409"/>
      <c r="N212" s="409"/>
      <c r="O212" s="411"/>
      <c r="P212" s="412"/>
      <c r="Q212" s="412"/>
      <c r="R212" s="411"/>
      <c r="X212" s="410"/>
      <c r="Y212" s="410"/>
      <c r="Z212" s="97"/>
      <c r="AA212" s="97"/>
      <c r="AB212" s="97"/>
      <c r="AC212" s="97"/>
      <c r="AD212" s="97"/>
      <c r="AE212" s="97"/>
      <c r="AF212" s="98"/>
      <c r="AG212" s="98"/>
      <c r="AH212" s="98"/>
      <c r="AI212" s="98"/>
      <c r="BO212" s="28"/>
      <c r="BQ212" s="53"/>
    </row>
    <row r="213" spans="5:95" ht="13" x14ac:dyDescent="0.3">
      <c r="E213" s="425"/>
      <c r="F213" s="256"/>
      <c r="G213" s="256"/>
      <c r="H213" s="256"/>
      <c r="I213" s="256"/>
      <c r="J213" s="256"/>
      <c r="K213" s="256"/>
      <c r="L213" s="256"/>
      <c r="M213" s="256"/>
      <c r="N213" s="256"/>
      <c r="O213" s="255"/>
      <c r="P213" s="222"/>
      <c r="Q213" s="222"/>
      <c r="R213" s="255"/>
      <c r="X213" s="97"/>
      <c r="Y213" s="97"/>
      <c r="Z213" s="97"/>
      <c r="AA213" s="97"/>
      <c r="AB213" s="97"/>
      <c r="AC213" s="97"/>
      <c r="AD213" s="97"/>
      <c r="AE213" s="97"/>
      <c r="AF213" s="98"/>
      <c r="AG213" s="98"/>
      <c r="AH213" s="98"/>
      <c r="AI213" s="98"/>
      <c r="BO213" s="28"/>
      <c r="BQ213" s="53"/>
    </row>
    <row r="214" spans="5:95" ht="13" x14ac:dyDescent="0.3">
      <c r="E214" s="425"/>
      <c r="F214" s="256"/>
      <c r="G214" s="256"/>
      <c r="H214" s="256"/>
      <c r="I214" s="256"/>
      <c r="J214" s="256"/>
      <c r="K214" s="256"/>
      <c r="L214" s="256"/>
      <c r="M214" s="256"/>
      <c r="N214" s="256"/>
      <c r="O214" s="255"/>
      <c r="P214" s="222"/>
      <c r="Q214" s="222"/>
      <c r="R214" s="255"/>
      <c r="X214" s="97"/>
      <c r="Y214" s="97"/>
      <c r="Z214" s="97"/>
      <c r="AA214" s="97"/>
      <c r="AB214" s="97"/>
      <c r="AC214" s="97"/>
      <c r="AD214" s="97"/>
      <c r="AE214" s="97"/>
      <c r="AF214" s="98"/>
      <c r="AG214" s="98"/>
      <c r="AH214" s="98"/>
      <c r="AI214" s="98"/>
      <c r="BO214" s="28"/>
      <c r="BQ214" s="53"/>
    </row>
    <row r="215" spans="5:95" ht="13" x14ac:dyDescent="0.3">
      <c r="E215" s="425"/>
      <c r="F215" s="256"/>
      <c r="G215" s="256"/>
      <c r="H215" s="256"/>
      <c r="I215" s="256"/>
      <c r="J215" s="256"/>
      <c r="K215" s="256"/>
      <c r="L215" s="256"/>
      <c r="M215" s="256"/>
      <c r="N215" s="256"/>
      <c r="O215" s="255"/>
      <c r="P215" s="222"/>
      <c r="Q215" s="222"/>
      <c r="R215" s="255"/>
      <c r="X215" s="97"/>
      <c r="Y215" s="97"/>
      <c r="Z215" s="97"/>
      <c r="AA215" s="97"/>
      <c r="AB215" s="97"/>
      <c r="AC215" s="97"/>
      <c r="AD215" s="97"/>
      <c r="AE215" s="97"/>
      <c r="AF215" s="98"/>
      <c r="AG215" s="98"/>
      <c r="AH215" s="98"/>
      <c r="AI215" s="98"/>
      <c r="BO215" s="28"/>
      <c r="BQ215" s="53"/>
    </row>
    <row r="216" spans="5:95" ht="13" x14ac:dyDescent="0.3">
      <c r="E216" s="425"/>
      <c r="F216" s="256"/>
      <c r="G216" s="256"/>
      <c r="H216" s="256"/>
      <c r="I216" s="256"/>
      <c r="J216" s="256"/>
      <c r="K216" s="256"/>
      <c r="L216" s="256"/>
      <c r="M216" s="256"/>
      <c r="N216" s="256"/>
      <c r="O216" s="255"/>
      <c r="P216" s="222"/>
      <c r="Q216" s="222"/>
      <c r="R216" s="255"/>
      <c r="X216" s="97"/>
      <c r="Y216" s="97"/>
      <c r="Z216" s="97"/>
      <c r="AA216" s="97"/>
      <c r="AB216" s="97"/>
      <c r="AC216" s="97"/>
      <c r="AD216" s="97"/>
      <c r="AE216" s="97"/>
      <c r="AF216" s="98"/>
      <c r="AG216" s="98"/>
      <c r="AH216" s="98"/>
      <c r="AI216" s="98"/>
      <c r="AM216" s="447"/>
      <c r="AN216" s="447"/>
      <c r="BO216" s="28"/>
      <c r="CH216" s="53"/>
    </row>
    <row r="217" spans="5:95" ht="13" x14ac:dyDescent="0.3">
      <c r="E217" s="425"/>
      <c r="F217" s="256"/>
      <c r="G217" s="256"/>
      <c r="H217" s="256"/>
      <c r="I217" s="256"/>
      <c r="J217" s="256"/>
      <c r="K217" s="256"/>
      <c r="L217" s="256"/>
      <c r="M217" s="256"/>
      <c r="N217" s="256"/>
      <c r="O217" s="255"/>
      <c r="P217" s="222"/>
      <c r="Q217" s="222"/>
      <c r="R217" s="255"/>
      <c r="X217" s="97"/>
      <c r="Y217" s="97"/>
      <c r="Z217" s="97"/>
      <c r="AA217" s="97"/>
      <c r="AB217" s="97"/>
      <c r="AC217" s="97"/>
      <c r="AD217" s="97"/>
      <c r="AE217" s="97"/>
      <c r="AF217" s="98"/>
      <c r="AG217" s="98"/>
      <c r="AH217" s="98"/>
      <c r="AI217" s="98"/>
      <c r="BO217" s="28"/>
      <c r="CH217" s="53"/>
    </row>
    <row r="218" spans="5:95" ht="13" x14ac:dyDescent="0.3">
      <c r="E218" s="425"/>
      <c r="F218" s="256"/>
      <c r="G218" s="256"/>
      <c r="H218" s="256"/>
      <c r="I218" s="256"/>
      <c r="J218" s="256"/>
      <c r="K218" s="256"/>
      <c r="L218" s="256"/>
      <c r="M218" s="256"/>
      <c r="N218" s="256"/>
      <c r="O218" s="255"/>
      <c r="P218" s="222"/>
      <c r="Q218" s="222"/>
      <c r="R218" s="255"/>
      <c r="X218" s="97"/>
      <c r="Y218" s="97"/>
      <c r="Z218" s="97"/>
      <c r="AA218" s="97"/>
      <c r="AB218" s="97"/>
      <c r="AC218" s="97"/>
      <c r="AD218" s="97"/>
      <c r="AE218" s="97"/>
      <c r="AF218" s="98"/>
      <c r="AG218" s="98"/>
      <c r="AH218" s="98"/>
      <c r="AI218" s="98"/>
      <c r="BO218" s="28"/>
      <c r="CH218" s="53"/>
    </row>
    <row r="219" spans="5:95" ht="13" x14ac:dyDescent="0.3">
      <c r="E219" s="425"/>
      <c r="F219" s="97"/>
      <c r="G219" s="97"/>
      <c r="H219" s="97"/>
      <c r="I219" s="97"/>
      <c r="J219" s="97"/>
      <c r="K219" s="97"/>
      <c r="L219" s="97"/>
      <c r="M219" s="97"/>
      <c r="N219" s="97"/>
      <c r="O219" s="98"/>
      <c r="P219" s="98"/>
      <c r="Q219" s="98"/>
      <c r="R219" s="98"/>
      <c r="S219" s="95"/>
      <c r="BO219" s="28"/>
      <c r="CH219" s="53"/>
    </row>
    <row r="220" spans="5:95" x14ac:dyDescent="0.3">
      <c r="BO220" s="28"/>
      <c r="CQ220" s="53"/>
    </row>
    <row r="221" spans="5:95" ht="13.5" customHeight="1" x14ac:dyDescent="0.3">
      <c r="E221" s="100" t="s">
        <v>337</v>
      </c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X221" s="100"/>
      <c r="Z221" s="99"/>
      <c r="AA221" s="99"/>
      <c r="AB221" s="99"/>
      <c r="AC221" s="99"/>
      <c r="AD221" s="99"/>
      <c r="AE221" s="99"/>
      <c r="AF221" s="99"/>
      <c r="AG221" s="99"/>
      <c r="AH221" s="99"/>
      <c r="AI221" s="99"/>
      <c r="AJ221" s="99"/>
      <c r="AO221" s="100" t="s">
        <v>338</v>
      </c>
      <c r="BO221" s="28"/>
      <c r="CQ221" s="53"/>
    </row>
    <row r="222" spans="5:95" ht="13.5" customHeight="1" thickBot="1" x14ac:dyDescent="0.35">
      <c r="E222" s="452" t="s">
        <v>266</v>
      </c>
      <c r="F222" s="453" t="s">
        <v>326</v>
      </c>
      <c r="G222" s="454" t="s">
        <v>327</v>
      </c>
      <c r="H222" s="454" t="s">
        <v>328</v>
      </c>
      <c r="I222" s="454" t="s">
        <v>212</v>
      </c>
      <c r="J222" s="454" t="s">
        <v>213</v>
      </c>
      <c r="K222" s="454" t="s">
        <v>214</v>
      </c>
      <c r="L222" s="454" t="s">
        <v>215</v>
      </c>
      <c r="M222" s="454" t="s">
        <v>216</v>
      </c>
      <c r="N222" s="454" t="s">
        <v>217</v>
      </c>
      <c r="O222" s="454" t="s">
        <v>218</v>
      </c>
      <c r="P222" s="454" t="s">
        <v>219</v>
      </c>
      <c r="Q222" s="455" t="s">
        <v>222</v>
      </c>
      <c r="R222" s="456" t="s">
        <v>223</v>
      </c>
      <c r="S222" s="455" t="s">
        <v>374</v>
      </c>
      <c r="T222" s="455" t="s">
        <v>421</v>
      </c>
      <c r="U222" s="455" t="s">
        <v>598</v>
      </c>
      <c r="V222" s="455" t="s">
        <v>599</v>
      </c>
      <c r="W222" s="455" t="s">
        <v>600</v>
      </c>
      <c r="X222" s="455" t="s">
        <v>601</v>
      </c>
      <c r="Y222" s="455" t="s">
        <v>602</v>
      </c>
      <c r="Z222" s="455" t="s">
        <v>603</v>
      </c>
      <c r="AA222" s="455" t="s">
        <v>604</v>
      </c>
      <c r="AB222" s="455" t="s">
        <v>605</v>
      </c>
      <c r="AC222" s="455" t="s">
        <v>606</v>
      </c>
      <c r="AD222" s="455" t="s">
        <v>609</v>
      </c>
      <c r="AE222" s="455" t="s">
        <v>610</v>
      </c>
      <c r="AF222" s="455" t="s">
        <v>611</v>
      </c>
      <c r="AG222" s="455" t="s">
        <v>612</v>
      </c>
      <c r="AH222" s="455" t="s">
        <v>613</v>
      </c>
      <c r="AI222" s="455" t="s">
        <v>614</v>
      </c>
      <c r="AJ222" s="455" t="s">
        <v>615</v>
      </c>
      <c r="AK222" s="455" t="s">
        <v>616</v>
      </c>
      <c r="AL222" s="457" t="s">
        <v>330</v>
      </c>
      <c r="AO222" s="452" t="s">
        <v>266</v>
      </c>
      <c r="AP222" s="453" t="s">
        <v>326</v>
      </c>
      <c r="AQ222" s="454" t="s">
        <v>327</v>
      </c>
      <c r="AR222" s="454" t="s">
        <v>328</v>
      </c>
      <c r="AS222" s="454" t="s">
        <v>212</v>
      </c>
      <c r="AT222" s="454" t="s">
        <v>213</v>
      </c>
      <c r="AU222" s="454" t="s">
        <v>214</v>
      </c>
      <c r="AV222" s="454" t="s">
        <v>215</v>
      </c>
      <c r="AW222" s="454" t="s">
        <v>216</v>
      </c>
      <c r="AX222" s="454" t="s">
        <v>217</v>
      </c>
      <c r="AY222" s="454" t="s">
        <v>218</v>
      </c>
      <c r="AZ222" s="454" t="s">
        <v>219</v>
      </c>
      <c r="BA222" s="455" t="s">
        <v>222</v>
      </c>
      <c r="BB222" s="456" t="s">
        <v>223</v>
      </c>
      <c r="BC222" s="455" t="s">
        <v>598</v>
      </c>
      <c r="BD222" s="455" t="s">
        <v>599</v>
      </c>
      <c r="BE222" s="455" t="s">
        <v>600</v>
      </c>
      <c r="BF222" s="455" t="s">
        <v>601</v>
      </c>
      <c r="BG222" s="455" t="s">
        <v>602</v>
      </c>
      <c r="BH222" s="455" t="s">
        <v>603</v>
      </c>
      <c r="BI222" s="455" t="s">
        <v>604</v>
      </c>
      <c r="BJ222" s="455" t="s">
        <v>605</v>
      </c>
      <c r="BK222" s="455" t="s">
        <v>606</v>
      </c>
      <c r="BL222" s="457" t="s">
        <v>330</v>
      </c>
      <c r="BO222" s="28"/>
      <c r="CQ222" s="53"/>
    </row>
    <row r="223" spans="5:95" ht="13.5" customHeight="1" x14ac:dyDescent="0.3">
      <c r="E223" s="425" t="s">
        <v>560</v>
      </c>
      <c r="F223" s="426">
        <f t="shared" ref="F223:J224" si="47">F4+F160</f>
        <v>42276806.629999995</v>
      </c>
      <c r="G223" s="426">
        <f t="shared" si="47"/>
        <v>19863940.949999999</v>
      </c>
      <c r="H223" s="426">
        <f t="shared" si="47"/>
        <v>4216965</v>
      </c>
      <c r="I223" s="426">
        <f t="shared" si="47"/>
        <v>8338</v>
      </c>
      <c r="J223" s="426">
        <f t="shared" si="47"/>
        <v>13363</v>
      </c>
      <c r="K223" s="89">
        <f>Total_SalesOverview_InTax[[#This Row],[Buyers]]/Total_SalesOverview_InTax[[#This Row],[UV]]</f>
        <v>1.9772514118566314E-3</v>
      </c>
      <c r="L223" s="426">
        <f>Total_SalesOverview_InTax[[#This Row],[GMV]]/Total_SalesOverview_InTax[[#This Row],[Buyers]]</f>
        <v>5070.3773842648116</v>
      </c>
      <c r="M223" s="426">
        <f>Total_SalesOverview_InTax[[#This Row],[GMV]]/Total_SalesOverview_InTax[[#This Row],[Units]]</f>
        <v>3163.7212175409709</v>
      </c>
      <c r="N223" s="427">
        <f>Total_SalesOverview_InTax[[#This Row],[Units]]/Total_SalesOverview_InTax[[#This Row],[Buyers]]</f>
        <v>1.6026625089949629</v>
      </c>
      <c r="O223" s="88">
        <f>Total_SalesOverview_InTax[[#This Row],[RR]]/Total_SalesOverview_InTax[[#This Row],[GMV]]</f>
        <v>0.53014566299091359</v>
      </c>
      <c r="P223" s="426">
        <f>P4+P160</f>
        <v>22412865.68</v>
      </c>
      <c r="Q223" s="426">
        <f>Q4+Q160</f>
        <v>24732497.350000001</v>
      </c>
      <c r="R223" s="90">
        <f>Total_SalesOverview_InTax[[#This Row],[MD GMV]]/Total_SalesOverview_InTax[[#This Row],[GMV]]</f>
        <v>0.58501337545323495</v>
      </c>
      <c r="S223" s="426">
        <f>S4+S160</f>
        <v>11685041.969999999</v>
      </c>
      <c r="T223" s="90">
        <f>Total_SalesOverview_InTax[[#This Row],[MD NET]]/Total_SalesOverview_InTax[[#This Row],[NET]]</f>
        <v>0.58825396226321336</v>
      </c>
      <c r="U223" s="426">
        <f t="shared" ref="U223:X224" si="48">U4+U160</f>
        <v>50111988</v>
      </c>
      <c r="V223" s="426">
        <f t="shared" si="48"/>
        <v>23424091</v>
      </c>
      <c r="W223" s="426">
        <f t="shared" si="48"/>
        <v>5062901</v>
      </c>
      <c r="X223" s="426">
        <f t="shared" si="48"/>
        <v>11903</v>
      </c>
      <c r="Y223" s="378">
        <f>Total_SalesOverview_InTax[[#This Row],[BUYERS_TGT]]/Total_SalesOverview_InTax[[#This Row],[TRAFFIC_TGT]]</f>
        <v>2.3510236522499648E-3</v>
      </c>
      <c r="Z223" s="379">
        <f>Total_SalesOverview_InTax[[#This Row],[GMV_TGT]]/Total_SalesOverview_InTax[[#This Row],[BUYERS_TGT]]</f>
        <v>4210.0300764513149</v>
      </c>
      <c r="AA223" s="380">
        <f>Total_SalesOverview_InTax[[#This Row],[UNITS_TGT]]/Total_SalesOverview_InTax[[#This Row],[BUYERS_TGT]]</f>
        <v>1.3408384440897252</v>
      </c>
      <c r="AB223" s="94">
        <f>1-Total_SalesOverview_InTax[[#This Row],[NET_TGT]]/Total_SalesOverview_InTax[[#This Row],[GMV_TGT]]</f>
        <v>0.53256512194247807</v>
      </c>
      <c r="AC223" s="426">
        <f>AC4+AC160</f>
        <v>15960</v>
      </c>
      <c r="AD223" s="105">
        <f>Total_SalesOverview_InTax[[#This Row],[GMV]]/Total_SalesOverview_InTax[[#This Row],[GMV_TGT]]</f>
        <v>0.84364656676562089</v>
      </c>
      <c r="AE223" s="105">
        <f>Total_SalesOverview_InTax[[#This Row],[NET]]/Total_SalesOverview_InTax[[#This Row],[NET_TGT]]</f>
        <v>0.84801331031372784</v>
      </c>
      <c r="AF223" s="105">
        <f>Total_SalesOverview_InTax[[#This Row],[UV]]/Total_SalesOverview_InTax[[#This Row],[TRAFFIC_TGT]]</f>
        <v>0.83291476566498135</v>
      </c>
      <c r="AG223" s="105">
        <f>Total_SalesOverview_InTax[[#This Row],[Buyers]]/Total_SalesOverview_InTax[[#This Row],[BUYERS_TGT]]</f>
        <v>0.70049567335965723</v>
      </c>
      <c r="AH223" s="105">
        <f>Total_SalesOverview_InTax[[#This Row],[CR]]/Total_SalesOverview_InTax[[#This Row],[CVR_TGT]]</f>
        <v>0.84101723517939608</v>
      </c>
      <c r="AI223" s="105">
        <f>Total_SalesOverview_InTax[[#This Row],[ATV]]/Total_SalesOverview_InTax[[#This Row],[ATV_TGT]]</f>
        <v>1.2043565704259038</v>
      </c>
      <c r="AJ223" s="105">
        <f>Total_SalesOverview_InTax[[#This Row],[UPT]]/Total_SalesOverview_InTax[[#This Row],[UPT_TGT]]</f>
        <v>1.1952689125668574</v>
      </c>
      <c r="AK223" s="105">
        <f>Total_SalesOverview_InTax[[#This Row],[RRC]]/Total_SalesOverview_InTax[[#This Row],[RRC_TGT]]</f>
        <v>0.99545697070296357</v>
      </c>
      <c r="AL223" s="28" t="str">
        <f>_xlfn.XLOOKUP(Total_SalesOverview_InTax[[#This Row],[DATE]],全店核心数据_bymonth[开始日期],全店核心数据_bymonth[jda日历.PayYear],"")</f>
        <v/>
      </c>
      <c r="AO223" s="425" t="str">
        <f>Total_SalesOverview_InTax[[#This Row],[DATE]]</f>
        <v>BU26</v>
      </c>
      <c r="AP223" s="462">
        <f>Total_SalesOverview_InTax[[#This Row],[GMV]]/$F$1</f>
        <v>37413103.21238938</v>
      </c>
      <c r="AQ223" s="462">
        <f>Total_SalesOverview_ExclTax[[#This Row],[GMV]]-Total_SalesOverview_ExclTax[[#This Row],[RR]]</f>
        <v>17578708.805309732</v>
      </c>
      <c r="AR223" s="462">
        <f>Total_SalesOverview_InTax[[#This Row],[UV]]</f>
        <v>4216965</v>
      </c>
      <c r="AS223" s="426">
        <f>Total_SalesOverview_InTax[[#This Row],[Buyers]]</f>
        <v>8338</v>
      </c>
      <c r="AT223" s="426">
        <f>Total_SalesOverview_InTax[[#This Row],[Units]]</f>
        <v>13363</v>
      </c>
      <c r="AU223" s="89">
        <f>Total_SalesOverview_ExclTax[[#This Row],[Buyers]]/Total_SalesOverview_ExclTax[[#This Row],[UV]]</f>
        <v>1.9772514118566314E-3</v>
      </c>
      <c r="AV223" s="426">
        <f>Total_SalesOverview_ExclTax[[#This Row],[GMV]]/Total_SalesOverview_ExclTax[[#This Row],[Buyers]]</f>
        <v>4487.0596320927534</v>
      </c>
      <c r="AW223" s="426">
        <f>Total_SalesOverview_ExclTax[[#This Row],[GMV]]/Total_SalesOverview_ExclTax[[#This Row],[Units]]</f>
        <v>2799.7532898592667</v>
      </c>
      <c r="AX223" s="427">
        <f>Total_SalesOverview_ExclTax[[#This Row],[Units]]/Total_SalesOverview_ExclTax[[#This Row],[Buyers]]</f>
        <v>1.6026625089949629</v>
      </c>
      <c r="AY223" s="88">
        <f>Total_SalesOverview_ExclTax[[#This Row],[RR]]/Total_SalesOverview_ExclTax[[#This Row],[GMV]]</f>
        <v>0.53014566299091359</v>
      </c>
      <c r="AZ223" s="462">
        <f>Total_SalesOverview_InTax[[#This Row],[RR]]/$F$1</f>
        <v>19834394.407079648</v>
      </c>
      <c r="BA223" s="462">
        <f>Total_SalesOverview_InTax[[#This Row],[MD GMV]]/$F$1</f>
        <v>21887165.796460181</v>
      </c>
      <c r="BB223" s="90">
        <f>Total_SalesOverview_ExclTax[[#This Row],[MD GMV]]/Total_SalesOverview_ExclTax[[#This Row],[GMV]]</f>
        <v>0.58501337545323506</v>
      </c>
      <c r="BC223" s="462">
        <f>Total_SalesOverview_InTax[[#This Row],[GMV_TGT]]/$F$1</f>
        <v>44346892.035398237</v>
      </c>
      <c r="BD223" s="462">
        <f>Total_SalesOverview_InTax[[#This Row],[NET_TGT]]/$F$1</f>
        <v>20729284.070796464</v>
      </c>
      <c r="BE223" s="462">
        <f>Total_SalesOverview_InTax[[#This Row],[TRAFFIC_TGT]]</f>
        <v>5062901</v>
      </c>
      <c r="BF223" s="426">
        <f>Total_SalesOverview_InTax[[#This Row],[BUYERS_TGT]]</f>
        <v>11903</v>
      </c>
      <c r="BG223" s="216">
        <f>Total_SalesOverview_InTax[[#This Row],[CVR_TGT]]</f>
        <v>2.3510236522499648E-3</v>
      </c>
      <c r="BH223" s="426">
        <f>Total_SalesOverview_InTax[[#This Row],[ATV_TGT]]/$F$1</f>
        <v>3725.690333142757</v>
      </c>
      <c r="BI223" s="427">
        <f>Total_SalesOverview_InTax[[#This Row],[UPT_TGT]]</f>
        <v>1.3408384440897252</v>
      </c>
      <c r="BJ223" s="388">
        <f>Total_SalesOverview_InTax[[#This Row],[RRC_TGT]]</f>
        <v>0.53256512194247807</v>
      </c>
      <c r="BK223" s="426">
        <f>Total_SalesOverview_InTax[[#This Row],[UNITS_TGT]]</f>
        <v>15960</v>
      </c>
      <c r="BL223" s="95" t="str">
        <f>_xlfn.XLOOKUP(Total_SalesOverview_ExclTax[[#This Row],[DATE]],全店核心数据_bymonth[开始日期],全店核心数据_bymonth[jda日历.PayYear],"")</f>
        <v/>
      </c>
      <c r="BO223" s="28"/>
      <c r="CQ223" s="53"/>
    </row>
    <row r="224" spans="5:95" ht="13.5" customHeight="1" x14ac:dyDescent="0.3">
      <c r="E224" s="425" t="s">
        <v>246</v>
      </c>
      <c r="F224" s="426">
        <f t="shared" si="47"/>
        <v>53383511.5</v>
      </c>
      <c r="G224" s="426">
        <f t="shared" si="47"/>
        <v>21099853.499999996</v>
      </c>
      <c r="H224" s="426">
        <f t="shared" si="47"/>
        <v>3298341</v>
      </c>
      <c r="I224" s="426">
        <f t="shared" si="47"/>
        <v>11378</v>
      </c>
      <c r="J224" s="426">
        <f t="shared" si="47"/>
        <v>18611</v>
      </c>
      <c r="K224" s="89">
        <f>Total_SalesOverview_InTax[[#This Row],[Buyers]]/Total_SalesOverview_InTax[[#This Row],[UV]]</f>
        <v>3.4496130024154565E-3</v>
      </c>
      <c r="L224" s="426">
        <f>Total_SalesOverview_InTax[[#This Row],[GMV]]/Total_SalesOverview_InTax[[#This Row],[Buyers]]</f>
        <v>4691.8185533485675</v>
      </c>
      <c r="M224" s="426">
        <f>Total_SalesOverview_InTax[[#This Row],[GMV]]/Total_SalesOverview_InTax[[#This Row],[Units]]</f>
        <v>2868.3849067755627</v>
      </c>
      <c r="N224" s="427">
        <f>Total_SalesOverview_InTax[[#This Row],[Units]]/Total_SalesOverview_InTax[[#This Row],[Buyers]]</f>
        <v>1.6357004746001054</v>
      </c>
      <c r="O224" s="88">
        <f>Total_SalesOverview_InTax[[#This Row],[RR]]/Total_SalesOverview_InTax[[#This Row],[GMV]]</f>
        <v>0.6047496144947303</v>
      </c>
      <c r="P224" s="426">
        <f>P5+P161</f>
        <v>32283658</v>
      </c>
      <c r="Q224" s="426">
        <f>Q5+Q161</f>
        <v>36391919.349999994</v>
      </c>
      <c r="R224" s="90">
        <f>Total_SalesOverview_InTax[[#This Row],[MD GMV]]/Total_SalesOverview_InTax[[#This Row],[GMV]]</f>
        <v>0.68170711006899565</v>
      </c>
      <c r="S224" s="426">
        <f>S5+S161</f>
        <v>14034506.800000001</v>
      </c>
      <c r="T224" s="90">
        <f>Total_SalesOverview_InTax[[#This Row],[MD NET]]/Total_SalesOverview_InTax[[#This Row],[NET]]</f>
        <v>0.66514712057124015</v>
      </c>
      <c r="U224" s="426">
        <f t="shared" si="48"/>
        <v>50650479</v>
      </c>
      <c r="V224" s="426">
        <f t="shared" si="48"/>
        <v>19572320</v>
      </c>
      <c r="W224" s="426">
        <f t="shared" si="48"/>
        <v>4156844</v>
      </c>
      <c r="X224" s="426">
        <f t="shared" si="48"/>
        <v>11374</v>
      </c>
      <c r="Y224" s="378">
        <f>Total_SalesOverview_InTax[[#This Row],[BUYERS_TGT]]/Total_SalesOverview_InTax[[#This Row],[TRAFFIC_TGT]]</f>
        <v>2.7362104519678874E-3</v>
      </c>
      <c r="Z224" s="379">
        <f>Total_SalesOverview_InTax[[#This Row],[GMV_TGT]]/Total_SalesOverview_InTax[[#This Row],[BUYERS_TGT]]</f>
        <v>4453.1808510638302</v>
      </c>
      <c r="AA224" s="380">
        <f>Total_SalesOverview_InTax[[#This Row],[UNITS_TGT]]/Total_SalesOverview_InTax[[#This Row],[BUYERS_TGT]]</f>
        <v>1.304642166344294</v>
      </c>
      <c r="AB224" s="94">
        <f>1-Total_SalesOverview_InTax[[#This Row],[NET_TGT]]/Total_SalesOverview_InTax[[#This Row],[GMV_TGT]]</f>
        <v>0.61358075211884966</v>
      </c>
      <c r="AC224" s="426">
        <f>AC5+AC161</f>
        <v>14839</v>
      </c>
      <c r="AD224" s="105">
        <f>Total_SalesOverview_InTax[[#This Row],[GMV]]/Total_SalesOverview_InTax[[#This Row],[GMV_TGT]]</f>
        <v>1.0539586703612418</v>
      </c>
      <c r="AE224" s="105">
        <f>Total_SalesOverview_InTax[[#This Row],[NET]]/Total_SalesOverview_InTax[[#This Row],[NET_TGT]]</f>
        <v>1.0780456021565148</v>
      </c>
      <c r="AF224" s="105">
        <f>Total_SalesOverview_InTax[[#This Row],[UV]]/Total_SalesOverview_InTax[[#This Row],[TRAFFIC_TGT]]</f>
        <v>0.793472403583103</v>
      </c>
      <c r="AG224" s="105">
        <f>Total_SalesOverview_InTax[[#This Row],[Buyers]]/Total_SalesOverview_InTax[[#This Row],[BUYERS_TGT]]</f>
        <v>1.0003516792685072</v>
      </c>
      <c r="AH224" s="105">
        <f>Total_SalesOverview_InTax[[#This Row],[CR]]/Total_SalesOverview_InTax[[#This Row],[CVR_TGT]]</f>
        <v>1.2607264912443006</v>
      </c>
      <c r="AI224" s="105">
        <f>Total_SalesOverview_InTax[[#This Row],[ATV]]/Total_SalesOverview_InTax[[#This Row],[ATV_TGT]]</f>
        <v>1.0535881452530114</v>
      </c>
      <c r="AJ224" s="105">
        <f>Total_SalesOverview_InTax[[#This Row],[UPT]]/Total_SalesOverview_InTax[[#This Row],[UPT_TGT]]</f>
        <v>1.2537541072917042</v>
      </c>
      <c r="AK224" s="105">
        <f>Total_SalesOverview_InTax[[#This Row],[RRC]]/Total_SalesOverview_InTax[[#This Row],[RRC_TGT]]</f>
        <v>0.98560721210105895</v>
      </c>
      <c r="AL224" s="28" t="str">
        <f>_xlfn.XLOOKUP(Total_SalesOverview_InTax[[#This Row],[DATE]],全店核心数据_bymonth[开始日期],全店核心数据_bymonth[jda日历.PayYear],"")</f>
        <v/>
      </c>
      <c r="AO224" s="425" t="str">
        <f>Total_SalesOverview_InTax[[#This Row],[DATE]]</f>
        <v>BU25</v>
      </c>
      <c r="AP224" s="462">
        <f>Total_SalesOverview_InTax[[#This Row],[GMV]]/$F$1</f>
        <v>47242045.575221241</v>
      </c>
      <c r="AQ224" s="462">
        <f>Total_SalesOverview_ExclTax[[#This Row],[GMV]]-Total_SalesOverview_ExclTax[[#This Row],[RR]]</f>
        <v>18672436.725663714</v>
      </c>
      <c r="AR224" s="462">
        <f>Total_SalesOverview_InTax[[#This Row],[UV]]</f>
        <v>3298341</v>
      </c>
      <c r="AS224" s="426">
        <f>Total_SalesOverview_InTax[[#This Row],[Buyers]]</f>
        <v>11378</v>
      </c>
      <c r="AT224" s="426">
        <f>Total_SalesOverview_InTax[[#This Row],[Units]]</f>
        <v>18611</v>
      </c>
      <c r="AU224" s="89">
        <f>Total_SalesOverview_ExclTax[[#This Row],[Buyers]]/Total_SalesOverview_ExclTax[[#This Row],[UV]]</f>
        <v>3.4496130024154565E-3</v>
      </c>
      <c r="AV224" s="426">
        <f>Total_SalesOverview_ExclTax[[#This Row],[GMV]]/Total_SalesOverview_ExclTax[[#This Row],[Buyers]]</f>
        <v>4152.0518171226258</v>
      </c>
      <c r="AW224" s="426">
        <f>Total_SalesOverview_ExclTax[[#This Row],[GMV]]/Total_SalesOverview_ExclTax[[#This Row],[Units]]</f>
        <v>2538.3937228102327</v>
      </c>
      <c r="AX224" s="427">
        <f>Total_SalesOverview_ExclTax[[#This Row],[Units]]/Total_SalesOverview_ExclTax[[#This Row],[Buyers]]</f>
        <v>1.6357004746001054</v>
      </c>
      <c r="AY224" s="88">
        <f>Total_SalesOverview_ExclTax[[#This Row],[RR]]/Total_SalesOverview_ExclTax[[#This Row],[GMV]]</f>
        <v>0.6047496144947303</v>
      </c>
      <c r="AZ224" s="462">
        <f>Total_SalesOverview_InTax[[#This Row],[RR]]/$F$1</f>
        <v>28569608.849557526</v>
      </c>
      <c r="BA224" s="462">
        <f>Total_SalesOverview_InTax[[#This Row],[MD GMV]]/$F$1</f>
        <v>32205238.362831857</v>
      </c>
      <c r="BB224" s="90">
        <f>Total_SalesOverview_ExclTax[[#This Row],[MD GMV]]/Total_SalesOverview_ExclTax[[#This Row],[GMV]]</f>
        <v>0.68170711006899565</v>
      </c>
      <c r="BC224" s="462">
        <f>Total_SalesOverview_InTax[[#This Row],[GMV_TGT]]/$F$1</f>
        <v>44823432.743362837</v>
      </c>
      <c r="BD224" s="462">
        <f>Total_SalesOverview_InTax[[#This Row],[NET_TGT]]/$F$1</f>
        <v>17320637.168141596</v>
      </c>
      <c r="BE224" s="462">
        <f>Total_SalesOverview_InTax[[#This Row],[TRAFFIC_TGT]]</f>
        <v>4156844</v>
      </c>
      <c r="BF224" s="426">
        <f>Total_SalesOverview_InTax[[#This Row],[BUYERS_TGT]]</f>
        <v>11374</v>
      </c>
      <c r="BG224" s="216">
        <f>Total_SalesOverview_InTax[[#This Row],[CVR_TGT]]</f>
        <v>2.7362104519678874E-3</v>
      </c>
      <c r="BH224" s="426">
        <f>Total_SalesOverview_InTax[[#This Row],[ATV_TGT]]/$F$1</f>
        <v>3940.8680097910005</v>
      </c>
      <c r="BI224" s="427">
        <f>Total_SalesOverview_InTax[[#This Row],[UPT_TGT]]</f>
        <v>1.304642166344294</v>
      </c>
      <c r="BJ224" s="388">
        <f>Total_SalesOverview_InTax[[#This Row],[RRC_TGT]]</f>
        <v>0.61358075211884966</v>
      </c>
      <c r="BK224" s="426">
        <f>Total_SalesOverview_InTax[[#This Row],[UNITS_TGT]]</f>
        <v>14839</v>
      </c>
      <c r="BL224" s="95" t="str">
        <f>_xlfn.XLOOKUP(Total_SalesOverview_ExclTax[[#This Row],[DATE]],全店核心数据_bymonth[开始日期],全店核心数据_bymonth[jda日历.PayYear],"")</f>
        <v/>
      </c>
      <c r="BO224" s="28"/>
      <c r="CQ224" s="53"/>
    </row>
    <row r="225" spans="5:95" ht="13.5" customHeight="1" x14ac:dyDescent="0.3">
      <c r="E225" s="425" t="s">
        <v>232</v>
      </c>
      <c r="F225" s="256">
        <f t="shared" ref="F225:N225" si="49">F223/F224-1</f>
        <v>-0.20805496974473114</v>
      </c>
      <c r="G225" s="256">
        <f t="shared" si="49"/>
        <v>-5.8574461192348881E-2</v>
      </c>
      <c r="H225" s="256">
        <f t="shared" si="49"/>
        <v>0.27851092412822087</v>
      </c>
      <c r="I225" s="256">
        <f t="shared" si="49"/>
        <v>-0.26718228159606261</v>
      </c>
      <c r="J225" s="256">
        <f t="shared" si="49"/>
        <v>-0.28198377303745092</v>
      </c>
      <c r="K225" s="256">
        <f t="shared" si="49"/>
        <v>-0.42681935322248077</v>
      </c>
      <c r="L225" s="256">
        <f t="shared" si="49"/>
        <v>8.0684882974868088E-2</v>
      </c>
      <c r="M225" s="256">
        <f t="shared" si="49"/>
        <v>0.10296258011530424</v>
      </c>
      <c r="N225" s="256">
        <f t="shared" si="49"/>
        <v>-2.0198053444484998E-2</v>
      </c>
      <c r="O225" s="255">
        <f>(O223-O224)*100</f>
        <v>-7.4603951503816717</v>
      </c>
      <c r="P225" s="222">
        <f>P223/P224-1</f>
        <v>-0.30575197891143568</v>
      </c>
      <c r="Q225" s="222">
        <f>Q223/Q224-1</f>
        <v>-0.32038491533972902</v>
      </c>
      <c r="R225" s="255">
        <f>(R223-R224)*100</f>
        <v>-9.66937346157607</v>
      </c>
      <c r="S225" s="222">
        <f>S223/S224-1</f>
        <v>-0.16740629816788444</v>
      </c>
      <c r="T225" s="255">
        <f>(T223-T224)*100</f>
        <v>-7.6893158308026788</v>
      </c>
      <c r="U225" s="255"/>
      <c r="V225" s="255"/>
      <c r="W225" s="255"/>
      <c r="X225" s="255"/>
      <c r="Y225" s="255"/>
      <c r="Z225" s="255"/>
      <c r="AA225" s="255"/>
      <c r="AB225" s="255"/>
      <c r="AC225" s="255"/>
      <c r="AD225" s="255"/>
      <c r="AE225" s="255"/>
      <c r="AF225" s="255"/>
      <c r="AG225" s="255"/>
      <c r="AH225" s="255"/>
      <c r="AI225" s="255"/>
      <c r="AJ225" s="255"/>
      <c r="AK225" s="255"/>
      <c r="AL225" s="28" t="str">
        <f>_xlfn.XLOOKUP(Total_SalesOverview_InTax[[#This Row],[DATE]],全店核心数据_bymonth[开始日期],全店核心数据_bymonth[jda日历.PayYear],"")</f>
        <v/>
      </c>
      <c r="AO225" s="425" t="str">
        <f>Total_SalesOverview_InTax[[#This Row],[DATE]]</f>
        <v>YOY</v>
      </c>
      <c r="AP225" s="97">
        <f t="shared" ref="AP225:AX225" si="50">AP223/AP224-1</f>
        <v>-0.20805496974473103</v>
      </c>
      <c r="AQ225" s="97">
        <f t="shared" si="50"/>
        <v>-5.8574461192349103E-2</v>
      </c>
      <c r="AR225" s="97">
        <f t="shared" si="50"/>
        <v>0.27851092412822087</v>
      </c>
      <c r="AS225" s="97">
        <f t="shared" si="50"/>
        <v>-0.26718228159606261</v>
      </c>
      <c r="AT225" s="97">
        <f t="shared" si="50"/>
        <v>-0.28198377303745092</v>
      </c>
      <c r="AU225" s="97">
        <f t="shared" si="50"/>
        <v>-0.42681935322248077</v>
      </c>
      <c r="AV225" s="97">
        <f t="shared" si="50"/>
        <v>8.0684882974868088E-2</v>
      </c>
      <c r="AW225" s="97">
        <f t="shared" si="50"/>
        <v>0.10296258011530424</v>
      </c>
      <c r="AX225" s="97">
        <f t="shared" si="50"/>
        <v>-2.0198053444484998E-2</v>
      </c>
      <c r="AY225" s="98">
        <f>AY223-AY224</f>
        <v>-7.4603951503816712E-2</v>
      </c>
      <c r="AZ225" s="98">
        <f>AZ223/AZ224-1</f>
        <v>-0.30575197891143568</v>
      </c>
      <c r="BA225" s="98">
        <f>BA223/BA224-1</f>
        <v>-0.3203849153397289</v>
      </c>
      <c r="BB225" s="98">
        <f>BB223-BB224</f>
        <v>-9.6693734615760585E-2</v>
      </c>
      <c r="BC225" s="98"/>
      <c r="BD225" s="98"/>
      <c r="BE225" s="98"/>
      <c r="BF225" s="98"/>
      <c r="BG225" s="98"/>
      <c r="BH225" s="98"/>
      <c r="BI225" s="98"/>
      <c r="BJ225" s="98"/>
      <c r="BK225" s="98"/>
      <c r="BL225" s="28" t="str">
        <f>_xlfn.XLOOKUP(Total_SalesOverview_ExclTax[[#This Row],[DATE]],全店核心数据_bymonth[开始日期],全店核心数据_bymonth[jda日历.PayYear],"")</f>
        <v/>
      </c>
      <c r="BO225" s="28"/>
      <c r="CQ225" s="53"/>
    </row>
    <row r="226" spans="5:95" ht="13.5" customHeight="1" x14ac:dyDescent="0.3">
      <c r="E226" s="428">
        <v>45992</v>
      </c>
      <c r="F226" s="431">
        <f t="shared" ref="F226:J235" si="51">F7+F163</f>
        <v>7231195</v>
      </c>
      <c r="G226" s="431">
        <f t="shared" si="51"/>
        <v>3764068.59</v>
      </c>
      <c r="H226" s="431">
        <f t="shared" si="51"/>
        <v>552126</v>
      </c>
      <c r="I226" s="431">
        <f t="shared" si="51"/>
        <v>1429</v>
      </c>
      <c r="J226" s="431">
        <f t="shared" si="51"/>
        <v>2687</v>
      </c>
      <c r="K226" s="92">
        <f>Total_SalesOverview_InTax[[#This Row],[Buyers]]/Total_SalesOverview_InTax[[#This Row],[UV]]</f>
        <v>2.5881773363326489E-3</v>
      </c>
      <c r="L226" s="431">
        <f>Total_SalesOverview_InTax[[#This Row],[GMV]]/Total_SalesOverview_InTax[[#This Row],[Buyers]]</f>
        <v>5060.3184044786567</v>
      </c>
      <c r="M226" s="431">
        <f>Total_SalesOverview_InTax[[#This Row],[GMV]]/Total_SalesOverview_InTax[[#This Row],[Units]]</f>
        <v>2691.177893561593</v>
      </c>
      <c r="N226" s="432">
        <f>Total_SalesOverview_InTax[[#This Row],[Units]]/Total_SalesOverview_InTax[[#This Row],[Buyers]]</f>
        <v>1.880335899230231</v>
      </c>
      <c r="O226" s="93">
        <f>Total_SalesOverview_InTax[[#This Row],[RR]]/Total_SalesOverview_InTax[[#This Row],[GMV]]</f>
        <v>0.47946797313583717</v>
      </c>
      <c r="P226" s="431">
        <f t="shared" ref="P226:Q246" si="52">P7+P163</f>
        <v>3467126.41</v>
      </c>
      <c r="Q226" s="431">
        <f t="shared" si="52"/>
        <v>5178073.93</v>
      </c>
      <c r="R226" s="94">
        <f>Total_SalesOverview_InTax[[#This Row],[MD GMV]]/Total_SalesOverview_InTax[[#This Row],[GMV]]</f>
        <v>0.71607444274424903</v>
      </c>
      <c r="S226" s="431">
        <f t="shared" ref="S226:S246" si="53">S7+S163</f>
        <v>2686558.55</v>
      </c>
      <c r="T226" s="94">
        <f>Total_SalesOverview_InTax[[#This Row],[MD NET]]/Total_SalesOverview_InTax[[#This Row],[NET]]</f>
        <v>0.71373793695932619</v>
      </c>
      <c r="U226" s="431">
        <f t="shared" ref="U226:X246" si="54">U7+U163</f>
        <v>7442855</v>
      </c>
      <c r="V226" s="431">
        <f t="shared" si="54"/>
        <v>4461000</v>
      </c>
      <c r="W226" s="431">
        <f t="shared" si="54"/>
        <v>410729</v>
      </c>
      <c r="X226" s="431">
        <f t="shared" si="54"/>
        <v>1753</v>
      </c>
      <c r="Y226" s="378">
        <f>Total_SalesOverview_InTax[[#This Row],[BUYERS_TGT]]/Total_SalesOverview_InTax[[#This Row],[TRAFFIC_TGT]]</f>
        <v>4.2680210065517655E-3</v>
      </c>
      <c r="Z226" s="379">
        <f>Total_SalesOverview_InTax[[#This Row],[GMV_TGT]]/Total_SalesOverview_InTax[[#This Row],[BUYERS_TGT]]</f>
        <v>4245.7815173987447</v>
      </c>
      <c r="AA226" s="380">
        <f>Total_SalesOverview_InTax[[#This Row],[UNITS_TGT]]/Total_SalesOverview_InTax[[#This Row],[BUYERS_TGT]]</f>
        <v>1.775812892184826</v>
      </c>
      <c r="AB226" s="94">
        <f>1-Total_SalesOverview_InTax[[#This Row],[NET_TGT]]/Total_SalesOverview_InTax[[#This Row],[GMV_TGT]]</f>
        <v>0.4006332247504486</v>
      </c>
      <c r="AC226" s="426">
        <f t="shared" ref="AC226:AC246" si="55">AC7+AC163</f>
        <v>3113</v>
      </c>
      <c r="AD226" s="105">
        <f>Total_SalesOverview_InTax[[#This Row],[GMV]]/Total_SalesOverview_InTax[[#This Row],[GMV_TGT]]</f>
        <v>0.97156198797370097</v>
      </c>
      <c r="AE226" s="105">
        <f>Total_SalesOverview_InTax[[#This Row],[NET]]/Total_SalesOverview_InTax[[#This Row],[NET_TGT]]</f>
        <v>0.84377238063214521</v>
      </c>
      <c r="AF226" s="105">
        <f>Total_SalesOverview_InTax[[#This Row],[UV]]/Total_SalesOverview_InTax[[#This Row],[TRAFFIC_TGT]]</f>
        <v>1.344258623082373</v>
      </c>
      <c r="AG226" s="105">
        <f>Total_SalesOverview_InTax[[#This Row],[Buyers]]/Total_SalesOverview_InTax[[#This Row],[BUYERS_TGT]]</f>
        <v>0.81517398745008551</v>
      </c>
      <c r="AH226" s="105">
        <f>Total_SalesOverview_InTax[[#This Row],[CR]]/Total_SalesOverview_InTax[[#This Row],[CVR_TGT]]</f>
        <v>0.60641157397294498</v>
      </c>
      <c r="AI226" s="105">
        <f>Total_SalesOverview_InTax[[#This Row],[ATV]]/Total_SalesOverview_InTax[[#This Row],[ATV_TGT]]</f>
        <v>1.1918461615940503</v>
      </c>
      <c r="AJ226" s="105">
        <f>Total_SalesOverview_InTax[[#This Row],[UPT]]/Total_SalesOverview_InTax[[#This Row],[UPT_TGT]]</f>
        <v>1.058859245535045</v>
      </c>
      <c r="AK226" s="105">
        <f>Total_SalesOverview_InTax[[#This Row],[RRC]]/Total_SalesOverview_InTax[[#This Row],[RRC_TGT]]</f>
        <v>1.1967753633875327</v>
      </c>
      <c r="AL226" s="28" t="str">
        <f>_xlfn.XLOOKUP(Total_SalesOverview_InTax[[#This Row],[DATE]],全店核心数据_bymonth[开始日期],全店核心数据_bymonth[jda日历.PayYear],"")</f>
        <v>BU26</v>
      </c>
      <c r="AO226" s="428">
        <f>Total_SalesOverview_InTax[[#This Row],[DATE]]</f>
        <v>45992</v>
      </c>
      <c r="AP226" s="429">
        <f>Total_SalesOverview_InTax[[#This Row],[GMV]]/$F$1</f>
        <v>6399287.6106194695</v>
      </c>
      <c r="AQ226" s="429">
        <f>Total_SalesOverview_ExclTax[[#This Row],[GMV]]-Total_SalesOverview_ExclTax[[#This Row],[RR]]</f>
        <v>3331034.1504424778</v>
      </c>
      <c r="AR226" s="430">
        <f>Total_SalesOverview_InTax[[#This Row],[UV]]</f>
        <v>552126</v>
      </c>
      <c r="AS226" s="431">
        <f>Total_SalesOverview_InTax[[#This Row],[Buyers]]</f>
        <v>1429</v>
      </c>
      <c r="AT226" s="431">
        <f>Total_SalesOverview_InTax[[#This Row],[Units]]</f>
        <v>2687</v>
      </c>
      <c r="AU226" s="92">
        <f>Total_SalesOverview_ExclTax[[#This Row],[Buyers]]/Total_SalesOverview_ExclTax[[#This Row],[UV]]</f>
        <v>2.5881773363326489E-3</v>
      </c>
      <c r="AV226" s="431">
        <f>Total_SalesOverview_ExclTax[[#This Row],[GMV]]/Total_SalesOverview_ExclTax[[#This Row],[Buyers]]</f>
        <v>4478.1578800696079</v>
      </c>
      <c r="AW226" s="431">
        <f>Total_SalesOverview_ExclTax[[#This Row],[GMV]]/Total_SalesOverview_ExclTax[[#This Row],[Units]]</f>
        <v>2381.573357134153</v>
      </c>
      <c r="AX226" s="432">
        <f>Total_SalesOverview_ExclTax[[#This Row],[Units]]/Total_SalesOverview_ExclTax[[#This Row],[Buyers]]</f>
        <v>1.880335899230231</v>
      </c>
      <c r="AY226" s="93">
        <f>Total_SalesOverview_ExclTax[[#This Row],[RR]]/Total_SalesOverview_ExclTax[[#This Row],[GMV]]</f>
        <v>0.47946797313583722</v>
      </c>
      <c r="AZ226" s="461">
        <f>Total_SalesOverview_InTax[[#This Row],[RR]]/$F$1</f>
        <v>3068253.4601769918</v>
      </c>
      <c r="BA226" s="461">
        <f>Total_SalesOverview_InTax[[#This Row],[MD GMV]]/$F$1</f>
        <v>4582366.3097345131</v>
      </c>
      <c r="BB226" s="94">
        <f>Total_SalesOverview_ExclTax[[#This Row],[MD GMV]]/Total_SalesOverview_ExclTax[[#This Row],[GMV]]</f>
        <v>0.71607444274424892</v>
      </c>
      <c r="BC226" s="429">
        <f>Total_SalesOverview_InTax[[#This Row],[GMV_TGT]]/$F$1</f>
        <v>6586597.3451327439</v>
      </c>
      <c r="BD226" s="429">
        <f>Total_SalesOverview_InTax[[#This Row],[NET_TGT]]/$F$1</f>
        <v>3947787.6106194695</v>
      </c>
      <c r="BE226" s="461">
        <f>Total_SalesOverview_InTax[[#This Row],[TRAFFIC_TGT]]</f>
        <v>410729</v>
      </c>
      <c r="BF226" s="431">
        <f>Total_SalesOverview_InTax[[#This Row],[BUYERS_TGT]]</f>
        <v>1753</v>
      </c>
      <c r="BG226" s="104">
        <f>Total_SalesOverview_InTax[[#This Row],[CVR_TGT]]</f>
        <v>4.2680210065517655E-3</v>
      </c>
      <c r="BH226" s="431">
        <f>Total_SalesOverview_InTax[[#This Row],[ATV_TGT]]/$F$1</f>
        <v>3757.3287764590664</v>
      </c>
      <c r="BI226" s="432">
        <f>Total_SalesOverview_InTax[[#This Row],[UPT_TGT]]</f>
        <v>1.775812892184826</v>
      </c>
      <c r="BJ226" s="389">
        <f>Total_SalesOverview_InTax[[#This Row],[RRC_TGT]]</f>
        <v>0.4006332247504486</v>
      </c>
      <c r="BK226" s="431">
        <f>Total_SalesOverview_InTax[[#This Row],[UNITS_TGT]]</f>
        <v>3113</v>
      </c>
      <c r="BL226" s="28" t="str">
        <f>_xlfn.XLOOKUP(Total_SalesOverview_ExclTax[[#This Row],[DATE]],全店核心数据_bymonth[开始日期],全店核心数据_bymonth[jda日历.PayYear],"")</f>
        <v>BU26</v>
      </c>
      <c r="BO226" s="28"/>
      <c r="CQ226" s="53"/>
    </row>
    <row r="227" spans="5:95" ht="13.5" customHeight="1" x14ac:dyDescent="0.3">
      <c r="E227" s="428">
        <v>45962</v>
      </c>
      <c r="F227" s="431">
        <f t="shared" si="51"/>
        <v>6324851.2300000004</v>
      </c>
      <c r="G227" s="431">
        <f t="shared" si="51"/>
        <v>2787687.7700000005</v>
      </c>
      <c r="H227" s="431">
        <f t="shared" si="51"/>
        <v>591314</v>
      </c>
      <c r="I227" s="431">
        <f t="shared" si="51"/>
        <v>1080</v>
      </c>
      <c r="J227" s="431">
        <f t="shared" si="51"/>
        <v>1581</v>
      </c>
      <c r="K227" s="92">
        <f>Total_SalesOverview_InTax[[#This Row],[Buyers]]/Total_SalesOverview_InTax[[#This Row],[UV]]</f>
        <v>1.8264407742755965E-3</v>
      </c>
      <c r="L227" s="431">
        <f>Total_SalesOverview_InTax[[#This Row],[GMV]]/Total_SalesOverview_InTax[[#This Row],[Buyers]]</f>
        <v>5856.3437314814819</v>
      </c>
      <c r="M227" s="431">
        <f>Total_SalesOverview_InTax[[#This Row],[GMV]]/Total_SalesOverview_InTax[[#This Row],[Units]]</f>
        <v>4000.5384123972171</v>
      </c>
      <c r="N227" s="432">
        <f>Total_SalesOverview_InTax[[#This Row],[Units]]/Total_SalesOverview_InTax[[#This Row],[Buyers]]</f>
        <v>1.4638888888888888</v>
      </c>
      <c r="O227" s="93">
        <f>Total_SalesOverview_InTax[[#This Row],[RR]]/Total_SalesOverview_InTax[[#This Row],[GMV]]</f>
        <v>0.55924848369911773</v>
      </c>
      <c r="P227" s="431">
        <f t="shared" si="52"/>
        <v>3537163.46</v>
      </c>
      <c r="Q227" s="431">
        <f t="shared" si="52"/>
        <v>4340947.16</v>
      </c>
      <c r="R227" s="94">
        <f>Total_SalesOverview_InTax[[#This Row],[MD GMV]]/Total_SalesOverview_InTax[[#This Row],[GMV]]</f>
        <v>0.68633189969908581</v>
      </c>
      <c r="S227" s="431">
        <f t="shared" si="53"/>
        <v>1822065.55</v>
      </c>
      <c r="T227" s="94">
        <f>Total_SalesOverview_InTax[[#This Row],[MD NET]]/Total_SalesOverview_InTax[[#This Row],[NET]]</f>
        <v>0.6536117744635368</v>
      </c>
      <c r="U227" s="431">
        <f t="shared" si="54"/>
        <v>8966322</v>
      </c>
      <c r="V227" s="431">
        <f t="shared" si="54"/>
        <v>3810000</v>
      </c>
      <c r="W227" s="431">
        <f t="shared" si="54"/>
        <v>657869</v>
      </c>
      <c r="X227" s="431">
        <f t="shared" si="54"/>
        <v>1924</v>
      </c>
      <c r="Y227" s="378">
        <f>Total_SalesOverview_InTax[[#This Row],[BUYERS_TGT]]/Total_SalesOverview_InTax[[#This Row],[TRAFFIC_TGT]]</f>
        <v>2.9245944101333244E-3</v>
      </c>
      <c r="Z227" s="379">
        <f>Total_SalesOverview_InTax[[#This Row],[GMV_TGT]]/Total_SalesOverview_InTax[[#This Row],[BUYERS_TGT]]</f>
        <v>4660.2505197505197</v>
      </c>
      <c r="AA227" s="380">
        <f>Total_SalesOverview_InTax[[#This Row],[UNITS_TGT]]/Total_SalesOverview_InTax[[#This Row],[BUYERS_TGT]]</f>
        <v>1.1450103950103949</v>
      </c>
      <c r="AB227" s="94">
        <f>1-Total_SalesOverview_InTax[[#This Row],[NET_TGT]]/Total_SalesOverview_InTax[[#This Row],[GMV_TGT]]</f>
        <v>0.57507660331627619</v>
      </c>
      <c r="AC227" s="426">
        <f t="shared" si="55"/>
        <v>2203</v>
      </c>
      <c r="AD227" s="105">
        <f>Total_SalesOverview_InTax[[#This Row],[GMV]]/Total_SalesOverview_InTax[[#This Row],[GMV_TGT]]</f>
        <v>0.70540085778761907</v>
      </c>
      <c r="AE227" s="105">
        <f>Total_SalesOverview_InTax[[#This Row],[NET]]/Total_SalesOverview_InTax[[#This Row],[NET_TGT]]</f>
        <v>0.73167658005249359</v>
      </c>
      <c r="AF227" s="105">
        <f>Total_SalesOverview_InTax[[#This Row],[UV]]/Total_SalesOverview_InTax[[#This Row],[TRAFFIC_TGT]]</f>
        <v>0.89883244232514381</v>
      </c>
      <c r="AG227" s="105">
        <f>Total_SalesOverview_InTax[[#This Row],[Buyers]]/Total_SalesOverview_InTax[[#This Row],[BUYERS_TGT]]</f>
        <v>0.56133056133056136</v>
      </c>
      <c r="AH227" s="105">
        <f>Total_SalesOverview_InTax[[#This Row],[CR]]/Total_SalesOverview_InTax[[#This Row],[CVR_TGT]]</f>
        <v>0.62451079299995449</v>
      </c>
      <c r="AI227" s="105">
        <f>Total_SalesOverview_InTax[[#This Row],[ATV]]/Total_SalesOverview_InTax[[#This Row],[ATV_TGT]]</f>
        <v>1.2566585651697955</v>
      </c>
      <c r="AJ227" s="105">
        <f>Total_SalesOverview_InTax[[#This Row],[UPT]]/Total_SalesOverview_InTax[[#This Row],[UPT_TGT]]</f>
        <v>1.2784939728652847</v>
      </c>
      <c r="AK227" s="105">
        <f>Total_SalesOverview_InTax[[#This Row],[RRC]]/Total_SalesOverview_InTax[[#This Row],[RRC_TGT]]</f>
        <v>0.97247650221573445</v>
      </c>
      <c r="AL227" s="28" t="str">
        <f>_xlfn.XLOOKUP(Total_SalesOverview_InTax[[#This Row],[DATE]],全店核心数据_bymonth[开始日期],全店核心数据_bymonth[jda日历.PayYear],"")</f>
        <v>BU26</v>
      </c>
      <c r="AO227" s="428">
        <f>Total_SalesOverview_InTax[[#This Row],[DATE]]</f>
        <v>45962</v>
      </c>
      <c r="AP227" s="429">
        <f>Total_SalesOverview_InTax[[#This Row],[GMV]]/$F$1</f>
        <v>5597213.4778761072</v>
      </c>
      <c r="AQ227" s="429">
        <f>Total_SalesOverview_ExclTax[[#This Row],[GMV]]-Total_SalesOverview_ExclTax[[#This Row],[RR]]</f>
        <v>2466980.327433629</v>
      </c>
      <c r="AR227" s="430">
        <f>Total_SalesOverview_InTax[[#This Row],[UV]]</f>
        <v>591314</v>
      </c>
      <c r="AS227" s="431">
        <f>Total_SalesOverview_InTax[[#This Row],[Buyers]]</f>
        <v>1080</v>
      </c>
      <c r="AT227" s="431">
        <f>Total_SalesOverview_InTax[[#This Row],[Units]]</f>
        <v>1581</v>
      </c>
      <c r="AU227" s="92">
        <f>Total_SalesOverview_ExclTax[[#This Row],[Buyers]]/Total_SalesOverview_ExclTax[[#This Row],[UV]]</f>
        <v>1.8264407742755965E-3</v>
      </c>
      <c r="AV227" s="431">
        <f>Total_SalesOverview_ExclTax[[#This Row],[GMV]]/Total_SalesOverview_ExclTax[[#This Row],[Buyers]]</f>
        <v>5182.6050721075071</v>
      </c>
      <c r="AW227" s="431">
        <f>Total_SalesOverview_ExclTax[[#This Row],[GMV]]/Total_SalesOverview_ExclTax[[#This Row],[Units]]</f>
        <v>3540.2994799975377</v>
      </c>
      <c r="AX227" s="432">
        <f>Total_SalesOverview_ExclTax[[#This Row],[Units]]/Total_SalesOverview_ExclTax[[#This Row],[Buyers]]</f>
        <v>1.4638888888888888</v>
      </c>
      <c r="AY227" s="93">
        <f>Total_SalesOverview_ExclTax[[#This Row],[RR]]/Total_SalesOverview_ExclTax[[#This Row],[GMV]]</f>
        <v>0.55924848369911773</v>
      </c>
      <c r="AZ227" s="461">
        <f>Total_SalesOverview_InTax[[#This Row],[RR]]/$F$1</f>
        <v>3130233.1504424782</v>
      </c>
      <c r="BA227" s="461">
        <f>Total_SalesOverview_InTax[[#This Row],[MD GMV]]/$F$1</f>
        <v>3841546.1592920357</v>
      </c>
      <c r="BB227" s="94">
        <f>Total_SalesOverview_ExclTax[[#This Row],[MD GMV]]/Total_SalesOverview_ExclTax[[#This Row],[GMV]]</f>
        <v>0.68633189969908581</v>
      </c>
      <c r="BC227" s="429">
        <f>Total_SalesOverview_InTax[[#This Row],[GMV_TGT]]/$F$1</f>
        <v>7934798.2300884966</v>
      </c>
      <c r="BD227" s="429">
        <f>Total_SalesOverview_InTax[[#This Row],[NET_TGT]]/$F$1</f>
        <v>3371681.4159292039</v>
      </c>
      <c r="BE227" s="461">
        <f>Total_SalesOverview_InTax[[#This Row],[TRAFFIC_TGT]]</f>
        <v>657869</v>
      </c>
      <c r="BF227" s="431">
        <f>Total_SalesOverview_InTax[[#This Row],[BUYERS_TGT]]</f>
        <v>1924</v>
      </c>
      <c r="BG227" s="104">
        <f>Total_SalesOverview_InTax[[#This Row],[CVR_TGT]]</f>
        <v>2.9245944101333244E-3</v>
      </c>
      <c r="BH227" s="431">
        <f>Total_SalesOverview_InTax[[#This Row],[ATV_TGT]]/$F$1</f>
        <v>4124.115504204</v>
      </c>
      <c r="BI227" s="432">
        <f>Total_SalesOverview_InTax[[#This Row],[UPT_TGT]]</f>
        <v>1.1450103950103949</v>
      </c>
      <c r="BJ227" s="389">
        <f>Total_SalesOverview_InTax[[#This Row],[RRC_TGT]]</f>
        <v>0.57507660331627619</v>
      </c>
      <c r="BK227" s="431">
        <f>Total_SalesOverview_InTax[[#This Row],[UNITS_TGT]]</f>
        <v>2203</v>
      </c>
      <c r="BL227" s="28" t="str">
        <f>_xlfn.XLOOKUP(Total_SalesOverview_ExclTax[[#This Row],[DATE]],全店核心数据_bymonth[开始日期],全店核心数据_bymonth[jda日历.PayYear],"")</f>
        <v>BU26</v>
      </c>
      <c r="BO227" s="28"/>
      <c r="CQ227" s="53"/>
    </row>
    <row r="228" spans="5:95" ht="13.5" customHeight="1" x14ac:dyDescent="0.3">
      <c r="E228" s="428">
        <v>45931</v>
      </c>
      <c r="F228" s="431">
        <f t="shared" si="51"/>
        <v>8034407.4699999997</v>
      </c>
      <c r="G228" s="431">
        <f t="shared" si="51"/>
        <v>3476038.9899999993</v>
      </c>
      <c r="H228" s="431">
        <f t="shared" si="51"/>
        <v>806516</v>
      </c>
      <c r="I228" s="431">
        <f t="shared" si="51"/>
        <v>1277</v>
      </c>
      <c r="J228" s="431">
        <f t="shared" si="51"/>
        <v>1947</v>
      </c>
      <c r="K228" s="92">
        <f>Total_SalesOverview_InTax[[#This Row],[Buyers]]/Total_SalesOverview_InTax[[#This Row],[UV]]</f>
        <v>1.5833535850497697E-3</v>
      </c>
      <c r="L228" s="431">
        <f>Total_SalesOverview_InTax[[#This Row],[GMV]]/Total_SalesOverview_InTax[[#This Row],[Buyers]]</f>
        <v>6291.6268363351601</v>
      </c>
      <c r="M228" s="431">
        <f>Total_SalesOverview_InTax[[#This Row],[GMV]]/Total_SalesOverview_InTax[[#This Row],[Units]]</f>
        <v>4126.5575089881868</v>
      </c>
      <c r="N228" s="432">
        <f>Total_SalesOverview_InTax[[#This Row],[Units]]/Total_SalesOverview_InTax[[#This Row],[Buyers]]</f>
        <v>1.5246671887235708</v>
      </c>
      <c r="O228" s="93">
        <f>Total_SalesOverview_InTax[[#This Row],[RR]]/Total_SalesOverview_InTax[[#This Row],[GMV]]</f>
        <v>0.56735589986202184</v>
      </c>
      <c r="P228" s="431">
        <f t="shared" si="52"/>
        <v>4558368.4800000004</v>
      </c>
      <c r="Q228" s="431">
        <f t="shared" si="52"/>
        <v>6112457.6900000004</v>
      </c>
      <c r="R228" s="94">
        <f>Total_SalesOverview_InTax[[#This Row],[MD GMV]]/Total_SalesOverview_InTax[[#This Row],[GMV]]</f>
        <v>0.76078512483012029</v>
      </c>
      <c r="S228" s="431">
        <f t="shared" si="53"/>
        <v>2658730.81</v>
      </c>
      <c r="T228" s="94">
        <f>Total_SalesOverview_InTax[[#This Row],[MD NET]]/Total_SalesOverview_InTax[[#This Row],[NET]]</f>
        <v>0.76487370183382219</v>
      </c>
      <c r="U228" s="431">
        <f t="shared" si="54"/>
        <v>12366287</v>
      </c>
      <c r="V228" s="431">
        <f t="shared" si="54"/>
        <v>5007833</v>
      </c>
      <c r="W228" s="431">
        <f t="shared" si="54"/>
        <v>1009307</v>
      </c>
      <c r="X228" s="431">
        <f t="shared" si="54"/>
        <v>3015</v>
      </c>
      <c r="Y228" s="378">
        <f>Total_SalesOverview_InTax[[#This Row],[BUYERS_TGT]]/Total_SalesOverview_InTax[[#This Row],[TRAFFIC_TGT]]</f>
        <v>2.9871981468472921E-3</v>
      </c>
      <c r="Z228" s="379">
        <f>Total_SalesOverview_InTax[[#This Row],[GMV_TGT]]/Total_SalesOverview_InTax[[#This Row],[BUYERS_TGT]]</f>
        <v>4101.587728026534</v>
      </c>
      <c r="AA228" s="380">
        <f>Total_SalesOverview_InTax[[#This Row],[UNITS_TGT]]/Total_SalesOverview_InTax[[#This Row],[BUYERS_TGT]]</f>
        <v>1.0155887230514096</v>
      </c>
      <c r="AB228" s="94">
        <f>1-Total_SalesOverview_InTax[[#This Row],[NET_TGT]]/Total_SalesOverview_InTax[[#This Row],[GMV_TGT]]</f>
        <v>0.59504150275664802</v>
      </c>
      <c r="AC228" s="426">
        <f t="shared" si="55"/>
        <v>3062</v>
      </c>
      <c r="AD228" s="105">
        <f>Total_SalesOverview_InTax[[#This Row],[GMV]]/Total_SalesOverview_InTax[[#This Row],[GMV_TGT]]</f>
        <v>0.64970249113577905</v>
      </c>
      <c r="AE228" s="105">
        <f>Total_SalesOverview_InTax[[#This Row],[NET]]/Total_SalesOverview_InTax[[#This Row],[NET_TGT]]</f>
        <v>0.69412038899859463</v>
      </c>
      <c r="AF228" s="105">
        <f>Total_SalesOverview_InTax[[#This Row],[UV]]/Total_SalesOverview_InTax[[#This Row],[TRAFFIC_TGT]]</f>
        <v>0.79907897200752598</v>
      </c>
      <c r="AG228" s="105">
        <f>Total_SalesOverview_InTax[[#This Row],[Buyers]]/Total_SalesOverview_InTax[[#This Row],[BUYERS_TGT]]</f>
        <v>0.42354892205638472</v>
      </c>
      <c r="AH228" s="105">
        <f>Total_SalesOverview_InTax[[#This Row],[CR]]/Total_SalesOverview_InTax[[#This Row],[CVR_TGT]]</f>
        <v>0.53004638702017515</v>
      </c>
      <c r="AI228" s="105">
        <f>Total_SalesOverview_InTax[[#This Row],[ATV]]/Total_SalesOverview_InTax[[#This Row],[ATV_TGT]]</f>
        <v>1.5339491078890946</v>
      </c>
      <c r="AJ228" s="105">
        <f>Total_SalesOverview_InTax[[#This Row],[UPT]]/Total_SalesOverview_InTax[[#This Row],[UPT_TGT]]</f>
        <v>1.5012643938607335</v>
      </c>
      <c r="AK228" s="105">
        <f>Total_SalesOverview_InTax[[#This Row],[RRC]]/Total_SalesOverview_InTax[[#This Row],[RRC_TGT]]</f>
        <v>0.95347282035561032</v>
      </c>
      <c r="AL228" s="28" t="str">
        <f>_xlfn.XLOOKUP(Total_SalesOverview_InTax[[#This Row],[DATE]],全店核心数据_bymonth[开始日期],全店核心数据_bymonth[jda日历.PayYear],"")</f>
        <v>BU26</v>
      </c>
      <c r="AO228" s="428">
        <f>Total_SalesOverview_InTax[[#This Row],[DATE]]</f>
        <v>45931</v>
      </c>
      <c r="AP228" s="429">
        <f>Total_SalesOverview_InTax[[#This Row],[GMV]]/$F$1</f>
        <v>7110095.1061946908</v>
      </c>
      <c r="AQ228" s="429">
        <f>Total_SalesOverview_ExclTax[[#This Row],[GMV]]-Total_SalesOverview_ExclTax[[#This Row],[RR]]</f>
        <v>3076140.699115044</v>
      </c>
      <c r="AR228" s="430">
        <f>Total_SalesOverview_InTax[[#This Row],[UV]]</f>
        <v>806516</v>
      </c>
      <c r="AS228" s="431">
        <f>Total_SalesOverview_InTax[[#This Row],[Buyers]]</f>
        <v>1277</v>
      </c>
      <c r="AT228" s="431">
        <f>Total_SalesOverview_InTax[[#This Row],[Units]]</f>
        <v>1947</v>
      </c>
      <c r="AU228" s="92">
        <f>Total_SalesOverview_ExclTax[[#This Row],[Buyers]]/Total_SalesOverview_ExclTax[[#This Row],[UV]]</f>
        <v>1.5833535850497697E-3</v>
      </c>
      <c r="AV228" s="431">
        <f>Total_SalesOverview_ExclTax[[#This Row],[GMV]]/Total_SalesOverview_ExclTax[[#This Row],[Buyers]]</f>
        <v>5567.811359588638</v>
      </c>
      <c r="AW228" s="431">
        <f>Total_SalesOverview_ExclTax[[#This Row],[GMV]]/Total_SalesOverview_ExclTax[[#This Row],[Units]]</f>
        <v>3651.8208044143248</v>
      </c>
      <c r="AX228" s="432">
        <f>Total_SalesOverview_ExclTax[[#This Row],[Units]]/Total_SalesOverview_ExclTax[[#This Row],[Buyers]]</f>
        <v>1.5246671887235708</v>
      </c>
      <c r="AY228" s="93">
        <f>Total_SalesOverview_ExclTax[[#This Row],[RR]]/Total_SalesOverview_ExclTax[[#This Row],[GMV]]</f>
        <v>0.56735589986202184</v>
      </c>
      <c r="AZ228" s="461">
        <f>Total_SalesOverview_InTax[[#This Row],[RR]]/$F$1</f>
        <v>4033954.4070796468</v>
      </c>
      <c r="BA228" s="461">
        <f>Total_SalesOverview_InTax[[#This Row],[MD GMV]]/$F$1</f>
        <v>5409254.5929203546</v>
      </c>
      <c r="BB228" s="94">
        <f>Total_SalesOverview_ExclTax[[#This Row],[MD GMV]]/Total_SalesOverview_ExclTax[[#This Row],[GMV]]</f>
        <v>0.76078512483012017</v>
      </c>
      <c r="BC228" s="429">
        <f>Total_SalesOverview_InTax[[#This Row],[GMV_TGT]]/$F$1</f>
        <v>10943616.814159293</v>
      </c>
      <c r="BD228" s="429">
        <f>Total_SalesOverview_InTax[[#This Row],[NET_TGT]]/$F$1</f>
        <v>4431710.619469027</v>
      </c>
      <c r="BE228" s="461">
        <f>Total_SalesOverview_InTax[[#This Row],[TRAFFIC_TGT]]</f>
        <v>1009307</v>
      </c>
      <c r="BF228" s="431">
        <f>Total_SalesOverview_InTax[[#This Row],[BUYERS_TGT]]</f>
        <v>3015</v>
      </c>
      <c r="BG228" s="104">
        <f>Total_SalesOverview_InTax[[#This Row],[CVR_TGT]]</f>
        <v>2.9871981468472921E-3</v>
      </c>
      <c r="BH228" s="431">
        <f>Total_SalesOverview_InTax[[#This Row],[ATV_TGT]]/$F$1</f>
        <v>3629.7236531208268</v>
      </c>
      <c r="BI228" s="432">
        <f>Total_SalesOverview_InTax[[#This Row],[UPT_TGT]]</f>
        <v>1.0155887230514096</v>
      </c>
      <c r="BJ228" s="389">
        <f>Total_SalesOverview_InTax[[#This Row],[RRC_TGT]]</f>
        <v>0.59504150275664802</v>
      </c>
      <c r="BK228" s="431">
        <f>Total_SalesOverview_InTax[[#This Row],[UNITS_TGT]]</f>
        <v>3062</v>
      </c>
      <c r="BL228" s="28" t="str">
        <f>_xlfn.XLOOKUP(Total_SalesOverview_ExclTax[[#This Row],[DATE]],全店核心数据_bymonth[开始日期],全店核心数据_bymonth[jda日历.PayYear],"")</f>
        <v>BU26</v>
      </c>
      <c r="BO228" s="28"/>
      <c r="CQ228" s="53"/>
    </row>
    <row r="229" spans="5:95" ht="13.5" customHeight="1" x14ac:dyDescent="0.3">
      <c r="E229" s="428">
        <v>45901</v>
      </c>
      <c r="F229" s="431">
        <f t="shared" si="51"/>
        <v>1703909</v>
      </c>
      <c r="G229" s="431">
        <f t="shared" si="51"/>
        <v>859066</v>
      </c>
      <c r="H229" s="431">
        <f t="shared" si="51"/>
        <v>360163</v>
      </c>
      <c r="I229" s="431">
        <f t="shared" si="51"/>
        <v>247</v>
      </c>
      <c r="J229" s="431">
        <f t="shared" si="51"/>
        <v>382</v>
      </c>
      <c r="K229" s="92">
        <f>Total_SalesOverview_InTax[[#This Row],[Buyers]]/Total_SalesOverview_InTax[[#This Row],[UV]]</f>
        <v>6.8580059584132742E-4</v>
      </c>
      <c r="L229" s="431">
        <f>Total_SalesOverview_InTax[[#This Row],[GMV]]/Total_SalesOverview_InTax[[#This Row],[Buyers]]</f>
        <v>6898.4170040485833</v>
      </c>
      <c r="M229" s="431">
        <f>Total_SalesOverview_InTax[[#This Row],[GMV]]/Total_SalesOverview_InTax[[#This Row],[Units]]</f>
        <v>4460.4947643979058</v>
      </c>
      <c r="N229" s="432">
        <f>Total_SalesOverview_InTax[[#This Row],[Units]]/Total_SalesOverview_InTax[[#This Row],[Buyers]]</f>
        <v>1.5465587044534412</v>
      </c>
      <c r="O229" s="93">
        <f>Total_SalesOverview_InTax[[#This Row],[RR]]/Total_SalesOverview_InTax[[#This Row],[GMV]]</f>
        <v>0.49582636161907706</v>
      </c>
      <c r="P229" s="431">
        <f t="shared" si="52"/>
        <v>844843</v>
      </c>
      <c r="Q229" s="431">
        <f t="shared" si="52"/>
        <v>42525</v>
      </c>
      <c r="R229" s="94">
        <f>Total_SalesOverview_InTax[[#This Row],[MD GMV]]/Total_SalesOverview_InTax[[#This Row],[GMV]]</f>
        <v>2.4957318730049551E-2</v>
      </c>
      <c r="S229" s="431">
        <f t="shared" si="53"/>
        <v>40535</v>
      </c>
      <c r="T229" s="94">
        <f>Total_SalesOverview_InTax[[#This Row],[MD NET]]/Total_SalesOverview_InTax[[#This Row],[NET]]</f>
        <v>4.7184965997955922E-2</v>
      </c>
      <c r="U229" s="431">
        <f t="shared" si="54"/>
        <v>1461150</v>
      </c>
      <c r="V229" s="431">
        <f t="shared" si="54"/>
        <v>800500</v>
      </c>
      <c r="W229" s="431">
        <f t="shared" si="54"/>
        <v>324560</v>
      </c>
      <c r="X229" s="431">
        <f t="shared" si="54"/>
        <v>250</v>
      </c>
      <c r="Y229" s="378">
        <f>Total_SalesOverview_InTax[[#This Row],[BUYERS_TGT]]/Total_SalesOverview_InTax[[#This Row],[TRAFFIC_TGT]]</f>
        <v>7.702736011831403E-4</v>
      </c>
      <c r="Z229" s="379">
        <f>Total_SalesOverview_InTax[[#This Row],[GMV_TGT]]/Total_SalesOverview_InTax[[#This Row],[BUYERS_TGT]]</f>
        <v>5844.6</v>
      </c>
      <c r="AA229" s="380">
        <f>Total_SalesOverview_InTax[[#This Row],[UNITS_TGT]]/Total_SalesOverview_InTax[[#This Row],[BUYERS_TGT]]</f>
        <v>1.292</v>
      </c>
      <c r="AB229" s="94">
        <f>1-Total_SalesOverview_InTax[[#This Row],[NET_TGT]]/Total_SalesOverview_InTax[[#This Row],[GMV_TGT]]</f>
        <v>0.45214385928891632</v>
      </c>
      <c r="AC229" s="426">
        <f t="shared" si="55"/>
        <v>323</v>
      </c>
      <c r="AD229" s="105">
        <f>Total_SalesOverview_InTax[[#This Row],[GMV]]/Total_SalesOverview_InTax[[#This Row],[GMV_TGT]]</f>
        <v>1.166142422064812</v>
      </c>
      <c r="AE229" s="105">
        <f>Total_SalesOverview_InTax[[#This Row],[NET]]/Total_SalesOverview_InTax[[#This Row],[NET_TGT]]</f>
        <v>1.0731617738913179</v>
      </c>
      <c r="AF229" s="105">
        <f>Total_SalesOverview_InTax[[#This Row],[UV]]/Total_SalesOverview_InTax[[#This Row],[TRAFFIC_TGT]]</f>
        <v>1.1096962040916933</v>
      </c>
      <c r="AG229" s="105">
        <f>Total_SalesOverview_InTax[[#This Row],[Buyers]]/Total_SalesOverview_InTax[[#This Row],[BUYERS_TGT]]</f>
        <v>0.98799999999999999</v>
      </c>
      <c r="AH229" s="105">
        <f>Total_SalesOverview_InTax[[#This Row],[CR]]/Total_SalesOverview_InTax[[#This Row],[CVR_TGT]]</f>
        <v>0.89033376554504484</v>
      </c>
      <c r="AI229" s="105">
        <f>Total_SalesOverview_InTax[[#This Row],[ATV]]/Total_SalesOverview_InTax[[#This Row],[ATV_TGT]]</f>
        <v>1.1803060952072995</v>
      </c>
      <c r="AJ229" s="105">
        <f>Total_SalesOverview_InTax[[#This Row],[UPT]]/Total_SalesOverview_InTax[[#This Row],[UPT_TGT]]</f>
        <v>1.1970268610320751</v>
      </c>
      <c r="AK229" s="105">
        <f>Total_SalesOverview_InTax[[#This Row],[RRC]]/Total_SalesOverview_InTax[[#This Row],[RRC_TGT]]</f>
        <v>1.0966119553163012</v>
      </c>
      <c r="AL229" s="28" t="str">
        <f>_xlfn.XLOOKUP(Total_SalesOverview_InTax[[#This Row],[DATE]],全店核心数据_bymonth[开始日期],全店核心数据_bymonth[jda日历.PayYear],"")</f>
        <v>BU26</v>
      </c>
      <c r="AO229" s="428">
        <f>Total_SalesOverview_InTax[[#This Row],[DATE]]</f>
        <v>45901</v>
      </c>
      <c r="AP229" s="429">
        <f>Total_SalesOverview_InTax[[#This Row],[GMV]]/$F$1</f>
        <v>1507884.0707964604</v>
      </c>
      <c r="AQ229" s="429">
        <f>Total_SalesOverview_ExclTax[[#This Row],[GMV]]-Total_SalesOverview_ExclTax[[#This Row],[RR]]</f>
        <v>760235.39823008864</v>
      </c>
      <c r="AR229" s="430">
        <f>Total_SalesOverview_InTax[[#This Row],[UV]]</f>
        <v>360163</v>
      </c>
      <c r="AS229" s="431">
        <f>Total_SalesOverview_InTax[[#This Row],[Buyers]]</f>
        <v>247</v>
      </c>
      <c r="AT229" s="431">
        <f>Total_SalesOverview_InTax[[#This Row],[Units]]</f>
        <v>382</v>
      </c>
      <c r="AU229" s="92">
        <f>Total_SalesOverview_ExclTax[[#This Row],[Buyers]]/Total_SalesOverview_ExclTax[[#This Row],[UV]]</f>
        <v>6.8580059584132742E-4</v>
      </c>
      <c r="AV229" s="431">
        <f>Total_SalesOverview_ExclTax[[#This Row],[GMV]]/Total_SalesOverview_ExclTax[[#This Row],[Buyers]]</f>
        <v>6104.7938088925521</v>
      </c>
      <c r="AW229" s="431">
        <f>Total_SalesOverview_ExclTax[[#This Row],[GMV]]/Total_SalesOverview_ExclTax[[#This Row],[Units]]</f>
        <v>3947.3404994671737</v>
      </c>
      <c r="AX229" s="432">
        <f>Total_SalesOverview_ExclTax[[#This Row],[Units]]/Total_SalesOverview_ExclTax[[#This Row],[Buyers]]</f>
        <v>1.5465587044534412</v>
      </c>
      <c r="AY229" s="93">
        <f>Total_SalesOverview_ExclTax[[#This Row],[RR]]/Total_SalesOverview_ExclTax[[#This Row],[GMV]]</f>
        <v>0.49582636161907706</v>
      </c>
      <c r="AZ229" s="461">
        <f>Total_SalesOverview_InTax[[#This Row],[RR]]/$F$1</f>
        <v>747648.67256637174</v>
      </c>
      <c r="BA229" s="461">
        <f>Total_SalesOverview_InTax[[#This Row],[MD GMV]]/$F$1</f>
        <v>37632.743362831861</v>
      </c>
      <c r="BB229" s="94">
        <f>Total_SalesOverview_ExclTax[[#This Row],[MD GMV]]/Total_SalesOverview_ExclTax[[#This Row],[GMV]]</f>
        <v>2.4957318730049548E-2</v>
      </c>
      <c r="BC229" s="429">
        <f>Total_SalesOverview_InTax[[#This Row],[GMV_TGT]]/$F$1</f>
        <v>1293053.0973451328</v>
      </c>
      <c r="BD229" s="429">
        <f>Total_SalesOverview_InTax[[#This Row],[NET_TGT]]/$F$1</f>
        <v>708407.07964601775</v>
      </c>
      <c r="BE229" s="461">
        <f>Total_SalesOverview_InTax[[#This Row],[TRAFFIC_TGT]]</f>
        <v>324560</v>
      </c>
      <c r="BF229" s="431">
        <f>Total_SalesOverview_InTax[[#This Row],[BUYERS_TGT]]</f>
        <v>250</v>
      </c>
      <c r="BG229" s="104">
        <f>Total_SalesOverview_InTax[[#This Row],[CVR_TGT]]</f>
        <v>7.702736011831403E-4</v>
      </c>
      <c r="BH229" s="431">
        <f>Total_SalesOverview_InTax[[#This Row],[ATV_TGT]]/$F$1</f>
        <v>5172.2123893805319</v>
      </c>
      <c r="BI229" s="432">
        <f>Total_SalesOverview_InTax[[#This Row],[UPT_TGT]]</f>
        <v>1.292</v>
      </c>
      <c r="BJ229" s="389">
        <f>Total_SalesOverview_InTax[[#This Row],[RRC_TGT]]</f>
        <v>0.45214385928891632</v>
      </c>
      <c r="BK229" s="431">
        <f>Total_SalesOverview_InTax[[#This Row],[UNITS_TGT]]</f>
        <v>323</v>
      </c>
      <c r="BL229" s="28" t="str">
        <f>_xlfn.XLOOKUP(Total_SalesOverview_ExclTax[[#This Row],[DATE]],全店核心数据_bymonth[开始日期],全店核心数据_bymonth[jda日历.PayYear],"")</f>
        <v>BU26</v>
      </c>
      <c r="BO229" s="28"/>
      <c r="CQ229" s="53"/>
    </row>
    <row r="230" spans="5:95" ht="13.5" customHeight="1" x14ac:dyDescent="0.3">
      <c r="E230" s="428">
        <v>45870</v>
      </c>
      <c r="F230" s="431">
        <f t="shared" si="51"/>
        <v>3057216.9999999995</v>
      </c>
      <c r="G230" s="431">
        <f t="shared" si="51"/>
        <v>2014748.7899999996</v>
      </c>
      <c r="H230" s="431">
        <f t="shared" si="51"/>
        <v>274981</v>
      </c>
      <c r="I230" s="431">
        <f t="shared" si="51"/>
        <v>734</v>
      </c>
      <c r="J230" s="431">
        <f t="shared" si="51"/>
        <v>1635</v>
      </c>
      <c r="K230" s="92">
        <f>Total_SalesOverview_InTax[[#This Row],[Buyers]]/Total_SalesOverview_InTax[[#This Row],[UV]]</f>
        <v>2.6692753317501938E-3</v>
      </c>
      <c r="L230" s="431">
        <f>Total_SalesOverview_InTax[[#This Row],[GMV]]/Total_SalesOverview_InTax[[#This Row],[Buyers]]</f>
        <v>4165.1457765667565</v>
      </c>
      <c r="M230" s="431">
        <f>Total_SalesOverview_InTax[[#This Row],[GMV]]/Total_SalesOverview_InTax[[#This Row],[Units]]</f>
        <v>1869.8574923547399</v>
      </c>
      <c r="N230" s="432">
        <f>Total_SalesOverview_InTax[[#This Row],[Units]]/Total_SalesOverview_InTax[[#This Row],[Buyers]]</f>
        <v>2.2275204359673024</v>
      </c>
      <c r="O230" s="93">
        <f>Total_SalesOverview_InTax[[#This Row],[RR]]/Total_SalesOverview_InTax[[#This Row],[GMV]]</f>
        <v>0.34098600459175782</v>
      </c>
      <c r="P230" s="431">
        <f t="shared" si="52"/>
        <v>1042468.21</v>
      </c>
      <c r="Q230" s="431">
        <f t="shared" si="52"/>
        <v>1453150.7300000002</v>
      </c>
      <c r="R230" s="94">
        <f>Total_SalesOverview_InTax[[#This Row],[MD GMV]]/Total_SalesOverview_InTax[[#This Row],[GMV]]</f>
        <v>0.47531815046167819</v>
      </c>
      <c r="S230" s="431">
        <f t="shared" si="53"/>
        <v>1130682.56</v>
      </c>
      <c r="T230" s="94">
        <f>Total_SalesOverview_InTax[[#This Row],[MD NET]]/Total_SalesOverview_InTax[[#This Row],[NET]]</f>
        <v>0.56120274925193048</v>
      </c>
      <c r="U230" s="431">
        <f t="shared" si="54"/>
        <v>2922488</v>
      </c>
      <c r="V230" s="431">
        <f t="shared" si="54"/>
        <v>2112400</v>
      </c>
      <c r="W230" s="431">
        <f t="shared" si="54"/>
        <v>390920</v>
      </c>
      <c r="X230" s="431">
        <f t="shared" si="54"/>
        <v>835</v>
      </c>
      <c r="Y230" s="378">
        <f>Total_SalesOverview_InTax[[#This Row],[BUYERS_TGT]]/Total_SalesOverview_InTax[[#This Row],[TRAFFIC_TGT]]</f>
        <v>2.1359869026910876E-3</v>
      </c>
      <c r="Z230" s="379">
        <f>Total_SalesOverview_InTax[[#This Row],[GMV_TGT]]/Total_SalesOverview_InTax[[#This Row],[BUYERS_TGT]]</f>
        <v>3499.985628742515</v>
      </c>
      <c r="AA230" s="380">
        <f>Total_SalesOverview_InTax[[#This Row],[UNITS_TGT]]/Total_SalesOverview_InTax[[#This Row],[BUYERS_TGT]]</f>
        <v>2.2059880239520959</v>
      </c>
      <c r="AB230" s="94">
        <f>1-Total_SalesOverview_InTax[[#This Row],[NET_TGT]]/Total_SalesOverview_InTax[[#This Row],[GMV_TGT]]</f>
        <v>0.27719121515640099</v>
      </c>
      <c r="AC230" s="426">
        <f t="shared" si="55"/>
        <v>1842</v>
      </c>
      <c r="AD230" s="105">
        <f>Total_SalesOverview_InTax[[#This Row],[GMV]]/Total_SalesOverview_InTax[[#This Row],[GMV_TGT]]</f>
        <v>1.0461007880956226</v>
      </c>
      <c r="AE230" s="105">
        <f>Total_SalesOverview_InTax[[#This Row],[NET]]/Total_SalesOverview_InTax[[#This Row],[NET_TGT]]</f>
        <v>0.95377238685854926</v>
      </c>
      <c r="AF230" s="105">
        <f>Total_SalesOverview_InTax[[#This Row],[UV]]/Total_SalesOverview_InTax[[#This Row],[TRAFFIC_TGT]]</f>
        <v>0.70342013711245266</v>
      </c>
      <c r="AG230" s="105">
        <f>Total_SalesOverview_InTax[[#This Row],[Buyers]]/Total_SalesOverview_InTax[[#This Row],[BUYERS_TGT]]</f>
        <v>0.87904191616766469</v>
      </c>
      <c r="AH230" s="105">
        <f>Total_SalesOverview_InTax[[#This Row],[CR]]/Total_SalesOverview_InTax[[#This Row],[CVR_TGT]]</f>
        <v>1.249668398428486</v>
      </c>
      <c r="AI230" s="105">
        <f>Total_SalesOverview_InTax[[#This Row],[ATV]]/Total_SalesOverview_InTax[[#This Row],[ATV_TGT]]</f>
        <v>1.1900465368662734</v>
      </c>
      <c r="AJ230" s="105">
        <f>Total_SalesOverview_InTax[[#This Row],[UPT]]/Total_SalesOverview_InTax[[#This Row],[UPT_TGT]]</f>
        <v>1.0097608925258943</v>
      </c>
      <c r="AK230" s="105">
        <f>Total_SalesOverview_InTax[[#This Row],[RRC]]/Total_SalesOverview_InTax[[#This Row],[RRC_TGT]]</f>
        <v>1.2301472267054407</v>
      </c>
      <c r="AL230" s="28" t="str">
        <f>_xlfn.XLOOKUP(Total_SalesOverview_InTax[[#This Row],[DATE]],全店核心数据_bymonth[开始日期],全店核心数据_bymonth[jda日历.PayYear],"")</f>
        <v>BU26</v>
      </c>
      <c r="AO230" s="428">
        <f>Total_SalesOverview_InTax[[#This Row],[DATE]]</f>
        <v>45870</v>
      </c>
      <c r="AP230" s="429">
        <f>Total_SalesOverview_InTax[[#This Row],[GMV]]/$F$1</f>
        <v>2705501.7699115044</v>
      </c>
      <c r="AQ230" s="429">
        <f>Total_SalesOverview_ExclTax[[#This Row],[GMV]]-Total_SalesOverview_ExclTax[[#This Row],[RR]]</f>
        <v>1782963.5309734512</v>
      </c>
      <c r="AR230" s="430">
        <f>Total_SalesOverview_InTax[[#This Row],[UV]]</f>
        <v>274981</v>
      </c>
      <c r="AS230" s="431">
        <f>Total_SalesOverview_InTax[[#This Row],[Buyers]]</f>
        <v>734</v>
      </c>
      <c r="AT230" s="431">
        <f>Total_SalesOverview_InTax[[#This Row],[Units]]</f>
        <v>1635</v>
      </c>
      <c r="AU230" s="92">
        <f>Total_SalesOverview_ExclTax[[#This Row],[Buyers]]/Total_SalesOverview_ExclTax[[#This Row],[UV]]</f>
        <v>2.6692753317501938E-3</v>
      </c>
      <c r="AV230" s="431">
        <f>Total_SalesOverview_ExclTax[[#This Row],[GMV]]/Total_SalesOverview_ExclTax[[#This Row],[Buyers]]</f>
        <v>3685.9697137758917</v>
      </c>
      <c r="AW230" s="431">
        <f>Total_SalesOverview_ExclTax[[#This Row],[GMV]]/Total_SalesOverview_ExclTax[[#This Row],[Units]]</f>
        <v>1654.7411436767611</v>
      </c>
      <c r="AX230" s="432">
        <f>Total_SalesOverview_ExclTax[[#This Row],[Units]]/Total_SalesOverview_ExclTax[[#This Row],[Buyers]]</f>
        <v>2.2275204359673024</v>
      </c>
      <c r="AY230" s="93">
        <f>Total_SalesOverview_ExclTax[[#This Row],[RR]]/Total_SalesOverview_ExclTax[[#This Row],[GMV]]</f>
        <v>0.34098600459175782</v>
      </c>
      <c r="AZ230" s="461">
        <f>Total_SalesOverview_InTax[[#This Row],[RR]]/$F$1</f>
        <v>922538.23893805314</v>
      </c>
      <c r="BA230" s="461">
        <f>Total_SalesOverview_InTax[[#This Row],[MD GMV]]/$F$1</f>
        <v>1285974.0973451331</v>
      </c>
      <c r="BB230" s="94">
        <f>Total_SalesOverview_ExclTax[[#This Row],[MD GMV]]/Total_SalesOverview_ExclTax[[#This Row],[GMV]]</f>
        <v>0.47531815046167819</v>
      </c>
      <c r="BC230" s="429">
        <f>Total_SalesOverview_InTax[[#This Row],[GMV_TGT]]/$F$1</f>
        <v>2586272.5663716816</v>
      </c>
      <c r="BD230" s="429">
        <f>Total_SalesOverview_InTax[[#This Row],[NET_TGT]]/$F$1</f>
        <v>1869380.5309734514</v>
      </c>
      <c r="BE230" s="461">
        <f>Total_SalesOverview_InTax[[#This Row],[TRAFFIC_TGT]]</f>
        <v>390920</v>
      </c>
      <c r="BF230" s="431">
        <f>Total_SalesOverview_InTax[[#This Row],[BUYERS_TGT]]</f>
        <v>835</v>
      </c>
      <c r="BG230" s="104">
        <f>Total_SalesOverview_InTax[[#This Row],[CVR_TGT]]</f>
        <v>2.1359869026910876E-3</v>
      </c>
      <c r="BH230" s="431">
        <f>Total_SalesOverview_InTax[[#This Row],[ATV_TGT]]/$F$1</f>
        <v>3097.3324148163852</v>
      </c>
      <c r="BI230" s="432">
        <f>Total_SalesOverview_InTax[[#This Row],[UPT_TGT]]</f>
        <v>2.2059880239520959</v>
      </c>
      <c r="BJ230" s="389">
        <f>Total_SalesOverview_InTax[[#This Row],[RRC_TGT]]</f>
        <v>0.27719121515640099</v>
      </c>
      <c r="BK230" s="431">
        <f>Total_SalesOverview_InTax[[#This Row],[UNITS_TGT]]</f>
        <v>1842</v>
      </c>
      <c r="BL230" s="28" t="str">
        <f>_xlfn.XLOOKUP(Total_SalesOverview_ExclTax[[#This Row],[DATE]],全店核心数据_bymonth[开始日期],全店核心数据_bymonth[jda日历.PayYear],"")</f>
        <v>BU26</v>
      </c>
      <c r="BO230" s="28"/>
      <c r="CQ230" s="53"/>
    </row>
    <row r="231" spans="5:95" ht="13.5" customHeight="1" x14ac:dyDescent="0.3">
      <c r="E231" s="428">
        <v>45839</v>
      </c>
      <c r="F231" s="431">
        <f t="shared" si="51"/>
        <v>1766973</v>
      </c>
      <c r="G231" s="431">
        <f t="shared" si="51"/>
        <v>975446</v>
      </c>
      <c r="H231" s="431">
        <f t="shared" si="51"/>
        <v>309103</v>
      </c>
      <c r="I231" s="431">
        <f t="shared" si="51"/>
        <v>288</v>
      </c>
      <c r="J231" s="431">
        <f t="shared" si="51"/>
        <v>436</v>
      </c>
      <c r="K231" s="92">
        <f>Total_SalesOverview_InTax[[#This Row],[Buyers]]/Total_SalesOverview_InTax[[#This Row],[UV]]</f>
        <v>9.3172825886516796E-4</v>
      </c>
      <c r="L231" s="431">
        <f>Total_SalesOverview_InTax[[#This Row],[GMV]]/Total_SalesOverview_InTax[[#This Row],[Buyers]]</f>
        <v>6135.322916666667</v>
      </c>
      <c r="M231" s="431">
        <f>Total_SalesOverview_InTax[[#This Row],[GMV]]/Total_SalesOverview_InTax[[#This Row],[Units]]</f>
        <v>4052.690366972477</v>
      </c>
      <c r="N231" s="432">
        <f>Total_SalesOverview_InTax[[#This Row],[Units]]/Total_SalesOverview_InTax[[#This Row],[Buyers]]</f>
        <v>1.5138888888888888</v>
      </c>
      <c r="O231" s="93">
        <f>Total_SalesOverview_InTax[[#This Row],[RR]]/Total_SalesOverview_InTax[[#This Row],[GMV]]</f>
        <v>0.44795647698068958</v>
      </c>
      <c r="P231" s="431">
        <f t="shared" si="52"/>
        <v>791527</v>
      </c>
      <c r="Q231" s="431">
        <f t="shared" si="52"/>
        <v>394985</v>
      </c>
      <c r="R231" s="94">
        <f>Total_SalesOverview_InTax[[#This Row],[MD GMV]]/Total_SalesOverview_InTax[[#This Row],[GMV]]</f>
        <v>0.22353765450858615</v>
      </c>
      <c r="S231" s="431">
        <f t="shared" si="53"/>
        <v>172340</v>
      </c>
      <c r="T231" s="94">
        <f>Total_SalesOverview_InTax[[#This Row],[MD NET]]/Total_SalesOverview_InTax[[#This Row],[NET]]</f>
        <v>0.17667815542838866</v>
      </c>
      <c r="U231" s="431">
        <f t="shared" si="54"/>
        <v>2061938</v>
      </c>
      <c r="V231" s="431">
        <f t="shared" si="54"/>
        <v>1116325</v>
      </c>
      <c r="W231" s="431">
        <f t="shared" si="54"/>
        <v>385630</v>
      </c>
      <c r="X231" s="431">
        <f t="shared" si="54"/>
        <v>353</v>
      </c>
      <c r="Y231" s="378">
        <f>Total_SalesOverview_InTax[[#This Row],[BUYERS_TGT]]/Total_SalesOverview_InTax[[#This Row],[TRAFFIC_TGT]]</f>
        <v>9.1538521380597987E-4</v>
      </c>
      <c r="Z231" s="379">
        <f>Total_SalesOverview_InTax[[#This Row],[GMV_TGT]]/Total_SalesOverview_InTax[[#This Row],[BUYERS_TGT]]</f>
        <v>5841.1841359773371</v>
      </c>
      <c r="AA231" s="380">
        <f>Total_SalesOverview_InTax[[#This Row],[UNITS_TGT]]/Total_SalesOverview_InTax[[#This Row],[BUYERS_TGT]]</f>
        <v>1.2719546742209631</v>
      </c>
      <c r="AB231" s="94">
        <f>1-Total_SalesOverview_InTax[[#This Row],[NET_TGT]]/Total_SalesOverview_InTax[[#This Row],[GMV_TGT]]</f>
        <v>0.45860399294256182</v>
      </c>
      <c r="AC231" s="426">
        <f t="shared" si="55"/>
        <v>449</v>
      </c>
      <c r="AD231" s="105">
        <f>Total_SalesOverview_InTax[[#This Row],[GMV]]/Total_SalesOverview_InTax[[#This Row],[GMV_TGT]]</f>
        <v>0.85694768707885494</v>
      </c>
      <c r="AE231" s="105">
        <f>Total_SalesOverview_InTax[[#This Row],[NET]]/Total_SalesOverview_InTax[[#This Row],[NET_TGT]]</f>
        <v>0.8738010883927172</v>
      </c>
      <c r="AF231" s="105">
        <f>Total_SalesOverview_InTax[[#This Row],[UV]]/Total_SalesOverview_InTax[[#This Row],[TRAFFIC_TGT]]</f>
        <v>0.80155330238829969</v>
      </c>
      <c r="AG231" s="105">
        <f>Total_SalesOverview_InTax[[#This Row],[Buyers]]/Total_SalesOverview_InTax[[#This Row],[BUYERS_TGT]]</f>
        <v>0.81586402266288949</v>
      </c>
      <c r="AH231" s="105">
        <f>Total_SalesOverview_InTax[[#This Row],[CR]]/Total_SalesOverview_InTax[[#This Row],[CVR_TGT]]</f>
        <v>1.0178537350316563</v>
      </c>
      <c r="AI231" s="105">
        <f>Total_SalesOverview_InTax[[#This Row],[ATV]]/Total_SalesOverview_InTax[[#This Row],[ATV_TGT]]</f>
        <v>1.0503560192320689</v>
      </c>
      <c r="AJ231" s="105">
        <f>Total_SalesOverview_InTax[[#This Row],[UPT]]/Total_SalesOverview_InTax[[#This Row],[UPT_TGT]]</f>
        <v>1.1902066320217768</v>
      </c>
      <c r="AK231" s="105">
        <f>Total_SalesOverview_InTax[[#This Row],[RRC]]/Total_SalesOverview_InTax[[#This Row],[RRC_TGT]]</f>
        <v>0.9767827665573644</v>
      </c>
      <c r="AL231" s="28" t="str">
        <f>_xlfn.XLOOKUP(Total_SalesOverview_InTax[[#This Row],[DATE]],全店核心数据_bymonth[开始日期],全店核心数据_bymonth[jda日历.PayYear],"")</f>
        <v>BU26</v>
      </c>
      <c r="AO231" s="428">
        <f>Total_SalesOverview_InTax[[#This Row],[DATE]]</f>
        <v>45839</v>
      </c>
      <c r="AP231" s="429">
        <f>Total_SalesOverview_InTax[[#This Row],[GMV]]/$F$1</f>
        <v>1563692.9203539824</v>
      </c>
      <c r="AQ231" s="429">
        <f>Total_SalesOverview_ExclTax[[#This Row],[GMV]]-Total_SalesOverview_ExclTax[[#This Row],[RR]]</f>
        <v>863226.54867256642</v>
      </c>
      <c r="AR231" s="430">
        <f>Total_SalesOverview_InTax[[#This Row],[UV]]</f>
        <v>309103</v>
      </c>
      <c r="AS231" s="431">
        <f>Total_SalesOverview_InTax[[#This Row],[Buyers]]</f>
        <v>288</v>
      </c>
      <c r="AT231" s="431">
        <f>Total_SalesOverview_InTax[[#This Row],[Units]]</f>
        <v>436</v>
      </c>
      <c r="AU231" s="92">
        <f>Total_SalesOverview_ExclTax[[#This Row],[Buyers]]/Total_SalesOverview_ExclTax[[#This Row],[UV]]</f>
        <v>9.3172825886516796E-4</v>
      </c>
      <c r="AV231" s="431">
        <f>Total_SalesOverview_ExclTax[[#This Row],[GMV]]/Total_SalesOverview_ExclTax[[#This Row],[Buyers]]</f>
        <v>5429.4893067846606</v>
      </c>
      <c r="AW231" s="431">
        <f>Total_SalesOverview_ExclTax[[#This Row],[GMV]]/Total_SalesOverview_ExclTax[[#This Row],[Units]]</f>
        <v>3586.4516521880328</v>
      </c>
      <c r="AX231" s="432">
        <f>Total_SalesOverview_ExclTax[[#This Row],[Units]]/Total_SalesOverview_ExclTax[[#This Row],[Buyers]]</f>
        <v>1.5138888888888888</v>
      </c>
      <c r="AY231" s="93">
        <f>Total_SalesOverview_ExclTax[[#This Row],[RR]]/Total_SalesOverview_ExclTax[[#This Row],[GMV]]</f>
        <v>0.44795647698068958</v>
      </c>
      <c r="AZ231" s="461">
        <f>Total_SalesOverview_InTax[[#This Row],[RR]]/$F$1</f>
        <v>700466.37168141594</v>
      </c>
      <c r="BA231" s="461">
        <f>Total_SalesOverview_InTax[[#This Row],[MD GMV]]/$F$1</f>
        <v>349544.24778761063</v>
      </c>
      <c r="BB231" s="94">
        <f>Total_SalesOverview_ExclTax[[#This Row],[MD GMV]]/Total_SalesOverview_ExclTax[[#This Row],[GMV]]</f>
        <v>0.22353765450858615</v>
      </c>
      <c r="BC231" s="461">
        <f>Total_SalesOverview_InTax[[#This Row],[GMV_TGT]]/$F$1</f>
        <v>1824723.8938053099</v>
      </c>
      <c r="BD231" s="461">
        <f>Total_SalesOverview_InTax[[#This Row],[NET_TGT]]/$F$1</f>
        <v>987898.23008849565</v>
      </c>
      <c r="BE231" s="461">
        <f>Total_SalesOverview_InTax[[#This Row],[TRAFFIC_TGT]]</f>
        <v>385630</v>
      </c>
      <c r="BF231" s="431">
        <f>Total_SalesOverview_InTax[[#This Row],[BUYERS_TGT]]</f>
        <v>353</v>
      </c>
      <c r="BG231" s="104">
        <f>Total_SalesOverview_InTax[[#This Row],[CVR_TGT]]</f>
        <v>9.1538521380597987E-4</v>
      </c>
      <c r="BH231" s="431">
        <f>Total_SalesOverview_InTax[[#This Row],[ATV_TGT]]/$F$1</f>
        <v>5169.1895008649008</v>
      </c>
      <c r="BI231" s="432">
        <f>Total_SalesOverview_InTax[[#This Row],[UPT_TGT]]</f>
        <v>1.2719546742209631</v>
      </c>
      <c r="BJ231" s="389">
        <f>Total_SalesOverview_InTax[[#This Row],[RRC_TGT]]</f>
        <v>0.45860399294256182</v>
      </c>
      <c r="BK231" s="431">
        <f>Total_SalesOverview_InTax[[#This Row],[UNITS_TGT]]</f>
        <v>449</v>
      </c>
      <c r="BL231" s="28" t="str">
        <f>_xlfn.XLOOKUP(Total_SalesOverview_ExclTax[[#This Row],[DATE]],全店核心数据_bymonth[开始日期],全店核心数据_bymonth[jda日历.PayYear],"")</f>
        <v>BU26</v>
      </c>
      <c r="BO231" s="28"/>
      <c r="CQ231" s="53"/>
    </row>
    <row r="232" spans="5:95" ht="13.5" customHeight="1" x14ac:dyDescent="0.3">
      <c r="E232" s="428">
        <v>45809</v>
      </c>
      <c r="F232" s="431">
        <f t="shared" si="51"/>
        <v>4970480</v>
      </c>
      <c r="G232" s="431">
        <f t="shared" si="51"/>
        <v>2412518.16</v>
      </c>
      <c r="H232" s="431">
        <f t="shared" si="51"/>
        <v>518411</v>
      </c>
      <c r="I232" s="431">
        <f t="shared" si="51"/>
        <v>1215</v>
      </c>
      <c r="J232" s="431">
        <f t="shared" si="51"/>
        <v>1727</v>
      </c>
      <c r="K232" s="92">
        <f>Total_SalesOverview_InTax[[#This Row],[Buyers]]/Total_SalesOverview_InTax[[#This Row],[UV]]</f>
        <v>2.343700268705718E-3</v>
      </c>
      <c r="L232" s="431">
        <f>Total_SalesOverview_InTax[[#This Row],[GMV]]/Total_SalesOverview_InTax[[#This Row],[Buyers]]</f>
        <v>4090.9300411522636</v>
      </c>
      <c r="M232" s="431">
        <f>Total_SalesOverview_InTax[[#This Row],[GMV]]/Total_SalesOverview_InTax[[#This Row],[Units]]</f>
        <v>2878.1007527504344</v>
      </c>
      <c r="N232" s="432">
        <f>Total_SalesOverview_InTax[[#This Row],[Units]]/Total_SalesOverview_InTax[[#This Row],[Buyers]]</f>
        <v>1.4213991769547325</v>
      </c>
      <c r="O232" s="93">
        <f>Total_SalesOverview_InTax[[#This Row],[RR]]/Total_SalesOverview_InTax[[#This Row],[GMV]]</f>
        <v>0.51463074793581298</v>
      </c>
      <c r="P232" s="431">
        <f t="shared" si="52"/>
        <v>2557961.84</v>
      </c>
      <c r="Q232" s="431">
        <f t="shared" si="52"/>
        <v>2949033.43</v>
      </c>
      <c r="R232" s="94">
        <f>Total_SalesOverview_InTax[[#This Row],[MD GMV]]/Total_SalesOverview_InTax[[#This Row],[GMV]]</f>
        <v>0.59330958579453097</v>
      </c>
      <c r="S232" s="431">
        <f t="shared" si="53"/>
        <v>1381668.63</v>
      </c>
      <c r="T232" s="94">
        <f>Total_SalesOverview_InTax[[#This Row],[MD NET]]/Total_SalesOverview_InTax[[#This Row],[NET]]</f>
        <v>0.57270807445445293</v>
      </c>
      <c r="U232" s="431">
        <f t="shared" si="54"/>
        <v>5653899</v>
      </c>
      <c r="V232" s="431">
        <f t="shared" si="54"/>
        <v>2200926</v>
      </c>
      <c r="W232" s="431">
        <f t="shared" si="54"/>
        <v>879738</v>
      </c>
      <c r="X232" s="431">
        <f t="shared" si="54"/>
        <v>1554</v>
      </c>
      <c r="Y232" s="378">
        <f>Total_SalesOverview_InTax[[#This Row],[BUYERS_TGT]]/Total_SalesOverview_InTax[[#This Row],[TRAFFIC_TGT]]</f>
        <v>1.7664350067861114E-3</v>
      </c>
      <c r="Z232" s="379">
        <f>Total_SalesOverview_InTax[[#This Row],[GMV_TGT]]/Total_SalesOverview_InTax[[#This Row],[BUYERS_TGT]]</f>
        <v>3638.2876447876447</v>
      </c>
      <c r="AA232" s="380">
        <f>Total_SalesOverview_InTax[[#This Row],[UNITS_TGT]]/Total_SalesOverview_InTax[[#This Row],[BUYERS_TGT]]</f>
        <v>1.3217503217503217</v>
      </c>
      <c r="AB232" s="94">
        <f>1-Total_SalesOverview_InTax[[#This Row],[NET_TGT]]/Total_SalesOverview_InTax[[#This Row],[GMV_TGT]]</f>
        <v>0.61072420996554766</v>
      </c>
      <c r="AC232" s="426">
        <f t="shared" si="55"/>
        <v>2054</v>
      </c>
      <c r="AD232" s="105">
        <f>Total_SalesOverview_InTax[[#This Row],[GMV]]/Total_SalesOverview_InTax[[#This Row],[GMV_TGT]]</f>
        <v>0.87912429988579566</v>
      </c>
      <c r="AE232" s="105">
        <f>Total_SalesOverview_InTax[[#This Row],[NET]]/Total_SalesOverview_InTax[[#This Row],[NET_TGT]]</f>
        <v>1.0961377892759685</v>
      </c>
      <c r="AF232" s="105">
        <f>Total_SalesOverview_InTax[[#This Row],[UV]]/Total_SalesOverview_InTax[[#This Row],[TRAFFIC_TGT]]</f>
        <v>0.58927885347683062</v>
      </c>
      <c r="AG232" s="105">
        <f>Total_SalesOverview_InTax[[#This Row],[Buyers]]/Total_SalesOverview_InTax[[#This Row],[BUYERS_TGT]]</f>
        <v>0.78185328185328185</v>
      </c>
      <c r="AH232" s="105">
        <f>Total_SalesOverview_InTax[[#This Row],[CR]]/Total_SalesOverview_InTax[[#This Row],[CVR_TGT]]</f>
        <v>1.3267967741252451</v>
      </c>
      <c r="AI232" s="105">
        <f>Total_SalesOverview_InTax[[#This Row],[ATV]]/Total_SalesOverview_InTax[[#This Row],[ATV_TGT]]</f>
        <v>1.124410832940351</v>
      </c>
      <c r="AJ232" s="105">
        <f>Total_SalesOverview_InTax[[#This Row],[UPT]]/Total_SalesOverview_InTax[[#This Row],[UPT_TGT]]</f>
        <v>1.0753915876278746</v>
      </c>
      <c r="AK232" s="105">
        <f>Total_SalesOverview_InTax[[#This Row],[RRC]]/Total_SalesOverview_InTax[[#This Row],[RRC_TGT]]</f>
        <v>0.84265653717059041</v>
      </c>
      <c r="AL232" s="28" t="str">
        <f>_xlfn.XLOOKUP(Total_SalesOverview_InTax[[#This Row],[DATE]],全店核心数据_bymonth[开始日期],全店核心数据_bymonth[jda日历.PayYear],"")</f>
        <v>BU26</v>
      </c>
      <c r="AO232" s="428">
        <f>Total_SalesOverview_InTax[[#This Row],[DATE]]</f>
        <v>45809</v>
      </c>
      <c r="AP232" s="429">
        <f>Total_SalesOverview_InTax[[#This Row],[GMV]]/$F$1</f>
        <v>4398654.8672566377</v>
      </c>
      <c r="AQ232" s="429">
        <f>Total_SalesOverview_ExclTax[[#This Row],[GMV]]-Total_SalesOverview_ExclTax[[#This Row],[RR]]</f>
        <v>2134971.8230088498</v>
      </c>
      <c r="AR232" s="430">
        <f>Total_SalesOverview_InTax[[#This Row],[UV]]</f>
        <v>518411</v>
      </c>
      <c r="AS232" s="431">
        <f>Total_SalesOverview_InTax[[#This Row],[Buyers]]</f>
        <v>1215</v>
      </c>
      <c r="AT232" s="431">
        <f>Total_SalesOverview_InTax[[#This Row],[Units]]</f>
        <v>1727</v>
      </c>
      <c r="AU232" s="92">
        <f>Total_SalesOverview_ExclTax[[#This Row],[Buyers]]/Total_SalesOverview_ExclTax[[#This Row],[UV]]</f>
        <v>2.343700268705718E-3</v>
      </c>
      <c r="AV232" s="431">
        <f>Total_SalesOverview_ExclTax[[#This Row],[GMV]]/Total_SalesOverview_ExclTax[[#This Row],[Buyers]]</f>
        <v>3620.2920718161627</v>
      </c>
      <c r="AW232" s="431">
        <f>Total_SalesOverview_ExclTax[[#This Row],[GMV]]/Total_SalesOverview_ExclTax[[#This Row],[Units]]</f>
        <v>2546.991816593305</v>
      </c>
      <c r="AX232" s="432">
        <f>Total_SalesOverview_ExclTax[[#This Row],[Units]]/Total_SalesOverview_ExclTax[[#This Row],[Buyers]]</f>
        <v>1.4213991769547325</v>
      </c>
      <c r="AY232" s="93">
        <f>Total_SalesOverview_ExclTax[[#This Row],[RR]]/Total_SalesOverview_ExclTax[[#This Row],[GMV]]</f>
        <v>0.51463074793581309</v>
      </c>
      <c r="AZ232" s="461">
        <f>Total_SalesOverview_InTax[[#This Row],[RR]]/$F$1</f>
        <v>2263683.0442477879</v>
      </c>
      <c r="BA232" s="461">
        <f>Total_SalesOverview_InTax[[#This Row],[MD GMV]]/$F$1</f>
        <v>2609764.0973451333</v>
      </c>
      <c r="BB232" s="94">
        <f>Total_SalesOverview_ExclTax[[#This Row],[MD GMV]]/Total_SalesOverview_ExclTax[[#This Row],[GMV]]</f>
        <v>0.59330958579453097</v>
      </c>
      <c r="BC232" s="461">
        <f>Total_SalesOverview_InTax[[#This Row],[GMV_TGT]]/$F$1</f>
        <v>5003450.4424778763</v>
      </c>
      <c r="BD232" s="461">
        <f>Total_SalesOverview_InTax[[#This Row],[NET_TGT]]/$F$1</f>
        <v>1947722.1238938055</v>
      </c>
      <c r="BE232" s="461">
        <f>Total_SalesOverview_InTax[[#This Row],[TRAFFIC_TGT]]</f>
        <v>879738</v>
      </c>
      <c r="BF232" s="431">
        <f>Total_SalesOverview_InTax[[#This Row],[BUYERS_TGT]]</f>
        <v>1554</v>
      </c>
      <c r="BG232" s="104">
        <f>Total_SalesOverview_InTax[[#This Row],[CVR_TGT]]</f>
        <v>1.7664350067861114E-3</v>
      </c>
      <c r="BH232" s="431">
        <f>Total_SalesOverview_InTax[[#This Row],[ATV_TGT]]/$F$1</f>
        <v>3219.7235794580929</v>
      </c>
      <c r="BI232" s="432">
        <f>Total_SalesOverview_InTax[[#This Row],[UPT_TGT]]</f>
        <v>1.3217503217503217</v>
      </c>
      <c r="BJ232" s="389">
        <f>Total_SalesOverview_InTax[[#This Row],[RRC_TGT]]</f>
        <v>0.61072420996554766</v>
      </c>
      <c r="BK232" s="431">
        <f>Total_SalesOverview_InTax[[#This Row],[UNITS_TGT]]</f>
        <v>2054</v>
      </c>
      <c r="BL232" s="28" t="str">
        <f>_xlfn.XLOOKUP(Total_SalesOverview_ExclTax[[#This Row],[DATE]],全店核心数据_bymonth[开始日期],全店核心数据_bymonth[jda日历.PayYear],"")</f>
        <v>BU26</v>
      </c>
      <c r="BO232" s="28"/>
      <c r="CQ232" s="53"/>
    </row>
    <row r="233" spans="5:95" ht="13.5" customHeight="1" x14ac:dyDescent="0.3">
      <c r="E233" s="428">
        <v>45778</v>
      </c>
      <c r="F233" s="431">
        <f t="shared" si="51"/>
        <v>7735838.9299999997</v>
      </c>
      <c r="G233" s="431">
        <f t="shared" si="51"/>
        <v>2807548.67</v>
      </c>
      <c r="H233" s="431">
        <f t="shared" si="51"/>
        <v>499254</v>
      </c>
      <c r="I233" s="431">
        <f t="shared" si="51"/>
        <v>1841</v>
      </c>
      <c r="J233" s="431">
        <f t="shared" si="51"/>
        <v>2669</v>
      </c>
      <c r="K233" s="92">
        <f>Total_SalesOverview_InTax[[#This Row],[Buyers]]/Total_SalesOverview_InTax[[#This Row],[UV]]</f>
        <v>3.6875017526149015E-3</v>
      </c>
      <c r="L233" s="431">
        <f>Total_SalesOverview_InTax[[#This Row],[GMV]]/Total_SalesOverview_InTax[[#This Row],[Buyers]]</f>
        <v>4201.9766051059205</v>
      </c>
      <c r="M233" s="431">
        <f>Total_SalesOverview_InTax[[#This Row],[GMV]]/Total_SalesOverview_InTax[[#This Row],[Units]]</f>
        <v>2898.4034956912701</v>
      </c>
      <c r="N233" s="432">
        <f>Total_SalesOverview_InTax[[#This Row],[Units]]/Total_SalesOverview_InTax[[#This Row],[Buyers]]</f>
        <v>1.4497555676262901</v>
      </c>
      <c r="O233" s="93">
        <f>Total_SalesOverview_InTax[[#This Row],[RR]]/Total_SalesOverview_InTax[[#This Row],[GMV]]</f>
        <v>0.63707250171507901</v>
      </c>
      <c r="P233" s="431">
        <f t="shared" si="52"/>
        <v>4928290.26</v>
      </c>
      <c r="Q233" s="431">
        <f t="shared" si="52"/>
        <v>4261324.41</v>
      </c>
      <c r="R233" s="94">
        <f>Total_SalesOverview_InTax[[#This Row],[MD GMV]]/Total_SalesOverview_InTax[[#This Row],[GMV]]</f>
        <v>0.55085485214465291</v>
      </c>
      <c r="S233" s="431">
        <f t="shared" si="53"/>
        <v>1792460.87</v>
      </c>
      <c r="T233" s="94">
        <f>Total_SalesOverview_InTax[[#This Row],[MD NET]]/Total_SalesOverview_InTax[[#This Row],[NET]]</f>
        <v>0.63844338271079737</v>
      </c>
      <c r="U233" s="431">
        <f t="shared" si="54"/>
        <v>7534333</v>
      </c>
      <c r="V233" s="431">
        <f t="shared" si="54"/>
        <v>3050612</v>
      </c>
      <c r="W233" s="431">
        <f t="shared" si="54"/>
        <v>672850</v>
      </c>
      <c r="X233" s="431">
        <f t="shared" si="54"/>
        <v>1978</v>
      </c>
      <c r="Y233" s="378">
        <f>Total_SalesOverview_InTax[[#This Row],[BUYERS_TGT]]/Total_SalesOverview_InTax[[#This Row],[TRAFFIC_TGT]]</f>
        <v>2.9397339674518837E-3</v>
      </c>
      <c r="Z233" s="379">
        <f>Total_SalesOverview_InTax[[#This Row],[GMV_TGT]]/Total_SalesOverview_InTax[[#This Row],[BUYERS_TGT]]</f>
        <v>3809.06622851365</v>
      </c>
      <c r="AA233" s="380">
        <f>Total_SalesOverview_InTax[[#This Row],[UNITS_TGT]]/Total_SalesOverview_InTax[[#This Row],[BUYERS_TGT]]</f>
        <v>1.2987866531850354</v>
      </c>
      <c r="AB233" s="94">
        <f>1-Total_SalesOverview_InTax[[#This Row],[NET_TGT]]/Total_SalesOverview_InTax[[#This Row],[GMV_TGT]]</f>
        <v>0.59510523360196577</v>
      </c>
      <c r="AC233" s="426">
        <f t="shared" si="55"/>
        <v>2569</v>
      </c>
      <c r="AD233" s="105">
        <f>Total_SalesOverview_InTax[[#This Row],[GMV]]/Total_SalesOverview_InTax[[#This Row],[GMV_TGT]]</f>
        <v>1.0267450257375139</v>
      </c>
      <c r="AE233" s="105">
        <f>Total_SalesOverview_InTax[[#This Row],[NET]]/Total_SalesOverview_InTax[[#This Row],[NET_TGT]]</f>
        <v>0.92032309254667588</v>
      </c>
      <c r="AF233" s="105">
        <f>Total_SalesOverview_InTax[[#This Row],[UV]]/Total_SalesOverview_InTax[[#This Row],[TRAFFIC_TGT]]</f>
        <v>0.74199895964925322</v>
      </c>
      <c r="AG233" s="105">
        <f>Total_SalesOverview_InTax[[#This Row],[Buyers]]/Total_SalesOverview_InTax[[#This Row],[BUYERS_TGT]]</f>
        <v>0.93073811931243677</v>
      </c>
      <c r="AH233" s="105">
        <f>Total_SalesOverview_InTax[[#This Row],[CR]]/Total_SalesOverview_InTax[[#This Row],[CVR_TGT]]</f>
        <v>1.2543658009337395</v>
      </c>
      <c r="AI233" s="105">
        <f>Total_SalesOverview_InTax[[#This Row],[ATV]]/Total_SalesOverview_InTax[[#This Row],[ATV_TGT]]</f>
        <v>1.1031513638831083</v>
      </c>
      <c r="AJ233" s="105">
        <f>Total_SalesOverview_InTax[[#This Row],[UPT]]/Total_SalesOverview_InTax[[#This Row],[UPT_TGT]]</f>
        <v>1.1162384245873109</v>
      </c>
      <c r="AK233" s="105">
        <f>Total_SalesOverview_InTax[[#This Row],[RRC]]/Total_SalesOverview_InTax[[#This Row],[RRC_TGT]]</f>
        <v>1.0705207511940367</v>
      </c>
      <c r="AL233" s="28" t="str">
        <f>_xlfn.XLOOKUP(Total_SalesOverview_InTax[[#This Row],[DATE]],全店核心数据_bymonth[开始日期],全店核心数据_bymonth[jda日历.PayYear],"")</f>
        <v>BU26</v>
      </c>
      <c r="AO233" s="428">
        <f>Total_SalesOverview_InTax[[#This Row],[DATE]]</f>
        <v>45778</v>
      </c>
      <c r="AP233" s="429">
        <f>Total_SalesOverview_InTax[[#This Row],[GMV]]/$F$1</f>
        <v>6845875.1592920357</v>
      </c>
      <c r="AQ233" s="429">
        <f>Total_SalesOverview_ExclTax[[#This Row],[GMV]]-Total_SalesOverview_ExclTax[[#This Row],[RR]]</f>
        <v>2484556.3451327439</v>
      </c>
      <c r="AR233" s="430">
        <f>Total_SalesOverview_InTax[[#This Row],[UV]]</f>
        <v>499254</v>
      </c>
      <c r="AS233" s="431">
        <f>Total_SalesOverview_InTax[[#This Row],[Buyers]]</f>
        <v>1841</v>
      </c>
      <c r="AT233" s="431">
        <f>Total_SalesOverview_InTax[[#This Row],[Units]]</f>
        <v>2669</v>
      </c>
      <c r="AU233" s="92">
        <f>Total_SalesOverview_ExclTax[[#This Row],[Buyers]]/Total_SalesOverview_ExclTax[[#This Row],[UV]]</f>
        <v>3.6875017526149015E-3</v>
      </c>
      <c r="AV233" s="431">
        <f>Total_SalesOverview_ExclTax[[#This Row],[GMV]]/Total_SalesOverview_ExclTax[[#This Row],[Buyers]]</f>
        <v>3718.5633673503726</v>
      </c>
      <c r="AW233" s="431">
        <f>Total_SalesOverview_ExclTax[[#This Row],[GMV]]/Total_SalesOverview_ExclTax[[#This Row],[Units]]</f>
        <v>2564.958845744487</v>
      </c>
      <c r="AX233" s="432">
        <f>Total_SalesOverview_ExclTax[[#This Row],[Units]]/Total_SalesOverview_ExclTax[[#This Row],[Buyers]]</f>
        <v>1.4497555676262901</v>
      </c>
      <c r="AY233" s="93">
        <f>Total_SalesOverview_ExclTax[[#This Row],[RR]]/Total_SalesOverview_ExclTax[[#This Row],[GMV]]</f>
        <v>0.6370725017150789</v>
      </c>
      <c r="AZ233" s="461">
        <f>Total_SalesOverview_InTax[[#This Row],[RR]]/$F$1</f>
        <v>4361318.8141592918</v>
      </c>
      <c r="BA233" s="461">
        <f>Total_SalesOverview_InTax[[#This Row],[MD GMV]]/$F$1</f>
        <v>3771083.5486725667</v>
      </c>
      <c r="BB233" s="94">
        <f>Total_SalesOverview_ExclTax[[#This Row],[MD GMV]]/Total_SalesOverview_ExclTax[[#This Row],[GMV]]</f>
        <v>0.55085485214465291</v>
      </c>
      <c r="BC233" s="461">
        <f>Total_SalesOverview_InTax[[#This Row],[GMV_TGT]]/$F$1</f>
        <v>6667551.327433629</v>
      </c>
      <c r="BD233" s="461">
        <f>Total_SalesOverview_InTax[[#This Row],[NET_TGT]]/$F$1</f>
        <v>2699656.637168142</v>
      </c>
      <c r="BE233" s="461">
        <f>Total_SalesOverview_InTax[[#This Row],[TRAFFIC_TGT]]</f>
        <v>672850</v>
      </c>
      <c r="BF233" s="431">
        <f>Total_SalesOverview_InTax[[#This Row],[BUYERS_TGT]]</f>
        <v>1978</v>
      </c>
      <c r="BG233" s="104">
        <f>Total_SalesOverview_InTax[[#This Row],[CVR_TGT]]</f>
        <v>2.9397339674518837E-3</v>
      </c>
      <c r="BH233" s="431">
        <f>Total_SalesOverview_InTax[[#This Row],[ATV_TGT]]/$F$1</f>
        <v>3370.8550694811065</v>
      </c>
      <c r="BI233" s="432">
        <f>Total_SalesOverview_InTax[[#This Row],[UPT_TGT]]</f>
        <v>1.2987866531850354</v>
      </c>
      <c r="BJ233" s="389">
        <f>Total_SalesOverview_InTax[[#This Row],[RRC_TGT]]</f>
        <v>0.59510523360196577</v>
      </c>
      <c r="BK233" s="431">
        <f>Total_SalesOverview_InTax[[#This Row],[UNITS_TGT]]</f>
        <v>2569</v>
      </c>
      <c r="BL233" s="28" t="str">
        <f>_xlfn.XLOOKUP(Total_SalesOverview_ExclTax[[#This Row],[DATE]],全店核心数据_bymonth[开始日期],全店核心数据_bymonth[jda日历.PayYear],"")</f>
        <v>BU26</v>
      </c>
      <c r="BO233" s="28"/>
      <c r="CQ233" s="53"/>
    </row>
    <row r="234" spans="5:95" ht="13.5" customHeight="1" x14ac:dyDescent="0.3">
      <c r="E234" s="428">
        <v>45748</v>
      </c>
      <c r="F234" s="431">
        <f t="shared" si="51"/>
        <v>1451935</v>
      </c>
      <c r="G234" s="431">
        <f t="shared" si="51"/>
        <v>766817.98</v>
      </c>
      <c r="H234" s="431">
        <f t="shared" si="51"/>
        <v>305097</v>
      </c>
      <c r="I234" s="431">
        <f t="shared" si="51"/>
        <v>227</v>
      </c>
      <c r="J234" s="431">
        <f t="shared" si="51"/>
        <v>299</v>
      </c>
      <c r="K234" s="92">
        <f>Total_SalesOverview_InTax[[#This Row],[Buyers]]/Total_SalesOverview_InTax[[#This Row],[UV]]</f>
        <v>7.4402567052445621E-4</v>
      </c>
      <c r="L234" s="431">
        <f>Total_SalesOverview_InTax[[#This Row],[GMV]]/Total_SalesOverview_InTax[[#This Row],[Buyers]]</f>
        <v>6396.1894273127755</v>
      </c>
      <c r="M234" s="431">
        <f>Total_SalesOverview_InTax[[#This Row],[GMV]]/Total_SalesOverview_InTax[[#This Row],[Units]]</f>
        <v>4855.9698996655516</v>
      </c>
      <c r="N234" s="432">
        <f>Total_SalesOverview_InTax[[#This Row],[Units]]/Total_SalesOverview_InTax[[#This Row],[Buyers]]</f>
        <v>1.3171806167400881</v>
      </c>
      <c r="O234" s="93">
        <f>Total_SalesOverview_InTax[[#This Row],[RR]]/Total_SalesOverview_InTax[[#This Row],[GMV]]</f>
        <v>0.47186480111024254</v>
      </c>
      <c r="P234" s="431">
        <f t="shared" si="52"/>
        <v>685117.02</v>
      </c>
      <c r="Q234" s="431">
        <f t="shared" si="52"/>
        <v>0</v>
      </c>
      <c r="R234" s="94">
        <f>Total_SalesOverview_InTax[[#This Row],[MD GMV]]/Total_SalesOverview_InTax[[#This Row],[GMV]]</f>
        <v>0</v>
      </c>
      <c r="S234" s="431">
        <f t="shared" si="53"/>
        <v>0</v>
      </c>
      <c r="T234" s="94">
        <f>Total_SalesOverview_InTax[[#This Row],[MD NET]]/Total_SalesOverview_InTax[[#This Row],[NET]]</f>
        <v>0</v>
      </c>
      <c r="U234" s="431">
        <f t="shared" si="54"/>
        <v>1702716</v>
      </c>
      <c r="V234" s="431">
        <f t="shared" si="54"/>
        <v>864495</v>
      </c>
      <c r="W234" s="431">
        <f t="shared" si="54"/>
        <v>331298</v>
      </c>
      <c r="X234" s="431">
        <f t="shared" si="54"/>
        <v>241</v>
      </c>
      <c r="Y234" s="378">
        <f>Total_SalesOverview_InTax[[#This Row],[BUYERS_TGT]]/Total_SalesOverview_InTax[[#This Row],[TRAFFIC_TGT]]</f>
        <v>7.2744175938279135E-4</v>
      </c>
      <c r="Z234" s="379">
        <f>Total_SalesOverview_InTax[[#This Row],[GMV_TGT]]/Total_SalesOverview_InTax[[#This Row],[BUYERS_TGT]]</f>
        <v>7065.2116182572618</v>
      </c>
      <c r="AA234" s="380">
        <f>Total_SalesOverview_InTax[[#This Row],[UNITS_TGT]]/Total_SalesOverview_InTax[[#This Row],[BUYERS_TGT]]</f>
        <v>1.4315352697095436</v>
      </c>
      <c r="AB234" s="94">
        <f>1-Total_SalesOverview_InTax[[#This Row],[NET_TGT]]/Total_SalesOverview_InTax[[#This Row],[GMV_TGT]]</f>
        <v>0.49228467930059971</v>
      </c>
      <c r="AC234" s="426">
        <f t="shared" si="55"/>
        <v>345</v>
      </c>
      <c r="AD234" s="105">
        <f>Total_SalesOverview_InTax[[#This Row],[GMV]]/Total_SalesOverview_InTax[[#This Row],[GMV_TGT]]</f>
        <v>0.85271707084446258</v>
      </c>
      <c r="AE234" s="105">
        <f>Total_SalesOverview_InTax[[#This Row],[NET]]/Total_SalesOverview_InTax[[#This Row],[NET_TGT]]</f>
        <v>0.88701262586828145</v>
      </c>
      <c r="AF234" s="105">
        <f>Total_SalesOverview_InTax[[#This Row],[UV]]/Total_SalesOverview_InTax[[#This Row],[TRAFFIC_TGT]]</f>
        <v>0.92091410150378206</v>
      </c>
      <c r="AG234" s="105">
        <f>Total_SalesOverview_InTax[[#This Row],[Buyers]]/Total_SalesOverview_InTax[[#This Row],[BUYERS_TGT]]</f>
        <v>0.94190871369294604</v>
      </c>
      <c r="AH234" s="105">
        <f>Total_SalesOverview_InTax[[#This Row],[CR]]/Total_SalesOverview_InTax[[#This Row],[CVR_TGT]]</f>
        <v>1.0227975792257729</v>
      </c>
      <c r="AI234" s="105">
        <f>Total_SalesOverview_InTax[[#This Row],[ATV]]/Total_SalesOverview_InTax[[#This Row],[ATV_TGT]]</f>
        <v>0.90530755098464966</v>
      </c>
      <c r="AJ234" s="105">
        <f>Total_SalesOverview_InTax[[#This Row],[UPT]]/Total_SalesOverview_InTax[[#This Row],[UPT_TGT]]</f>
        <v>0.92011747430249635</v>
      </c>
      <c r="AK234" s="105">
        <f>Total_SalesOverview_InTax[[#This Row],[RRC]]/Total_SalesOverview_InTax[[#This Row],[RRC_TGT]]</f>
        <v>0.95852018344473333</v>
      </c>
      <c r="AL234" s="28" t="str">
        <f>_xlfn.XLOOKUP(Total_SalesOverview_InTax[[#This Row],[DATE]],全店核心数据_bymonth[开始日期],全店核心数据_bymonth[jda日历.PayYear],"")</f>
        <v>BU26</v>
      </c>
      <c r="AO234" s="428">
        <f>Total_SalesOverview_InTax[[#This Row],[DATE]]</f>
        <v>45748</v>
      </c>
      <c r="AP234" s="429">
        <f>Total_SalesOverview_InTax[[#This Row],[GMV]]/$F$1</f>
        <v>1284898.2300884956</v>
      </c>
      <c r="AQ234" s="429">
        <f>Total_SalesOverview_ExclTax[[#This Row],[GMV]]-Total_SalesOverview_ExclTax[[#This Row],[RR]]</f>
        <v>678599.98230088491</v>
      </c>
      <c r="AR234" s="430">
        <f>Total_SalesOverview_InTax[[#This Row],[UV]]</f>
        <v>305097</v>
      </c>
      <c r="AS234" s="431">
        <f>Total_SalesOverview_InTax[[#This Row],[Buyers]]</f>
        <v>227</v>
      </c>
      <c r="AT234" s="431">
        <f>Total_SalesOverview_InTax[[#This Row],[Units]]</f>
        <v>299</v>
      </c>
      <c r="AU234" s="92">
        <f>Total_SalesOverview_ExclTax[[#This Row],[Buyers]]/Total_SalesOverview_ExclTax[[#This Row],[UV]]</f>
        <v>7.4402567052445621E-4</v>
      </c>
      <c r="AV234" s="431">
        <f>Total_SalesOverview_ExclTax[[#This Row],[GMV]]/Total_SalesOverview_ExclTax[[#This Row],[Buyers]]</f>
        <v>5660.3446259405091</v>
      </c>
      <c r="AW234" s="431">
        <f>Total_SalesOverview_ExclTax[[#This Row],[GMV]]/Total_SalesOverview_ExclTax[[#This Row],[Units]]</f>
        <v>4297.3184952792499</v>
      </c>
      <c r="AX234" s="432">
        <f>Total_SalesOverview_ExclTax[[#This Row],[Units]]/Total_SalesOverview_ExclTax[[#This Row],[Buyers]]</f>
        <v>1.3171806167400881</v>
      </c>
      <c r="AY234" s="93">
        <f>Total_SalesOverview_ExclTax[[#This Row],[RR]]/Total_SalesOverview_ExclTax[[#This Row],[GMV]]</f>
        <v>0.47186480111024259</v>
      </c>
      <c r="AZ234" s="461">
        <f>Total_SalesOverview_InTax[[#This Row],[RR]]/$F$1</f>
        <v>606298.24778761074</v>
      </c>
      <c r="BA234" s="461">
        <f>Total_SalesOverview_InTax[[#This Row],[MD GMV]]/$F$1</f>
        <v>0</v>
      </c>
      <c r="BB234" s="94">
        <f>Total_SalesOverview_ExclTax[[#This Row],[MD GMV]]/Total_SalesOverview_ExclTax[[#This Row],[GMV]]</f>
        <v>0</v>
      </c>
      <c r="BC234" s="461">
        <f>Total_SalesOverview_InTax[[#This Row],[GMV_TGT]]/$F$1</f>
        <v>1506828.318584071</v>
      </c>
      <c r="BD234" s="461">
        <f>Total_SalesOverview_InTax[[#This Row],[NET_TGT]]/$F$1</f>
        <v>765039.82300884963</v>
      </c>
      <c r="BE234" s="461">
        <f>Total_SalesOverview_InTax[[#This Row],[TRAFFIC_TGT]]</f>
        <v>331298</v>
      </c>
      <c r="BF234" s="431">
        <f>Total_SalesOverview_InTax[[#This Row],[BUYERS_TGT]]</f>
        <v>241</v>
      </c>
      <c r="BG234" s="104">
        <f>Total_SalesOverview_InTax[[#This Row],[CVR_TGT]]</f>
        <v>7.2744175938279135E-4</v>
      </c>
      <c r="BH234" s="431">
        <f>Total_SalesOverview_InTax[[#This Row],[ATV_TGT]]/$F$1</f>
        <v>6252.3996621745682</v>
      </c>
      <c r="BI234" s="432">
        <f>Total_SalesOverview_InTax[[#This Row],[UPT_TGT]]</f>
        <v>1.4315352697095436</v>
      </c>
      <c r="BJ234" s="389">
        <f>Total_SalesOverview_InTax[[#This Row],[RRC_TGT]]</f>
        <v>0.49228467930059971</v>
      </c>
      <c r="BK234" s="431">
        <f>Total_SalesOverview_InTax[[#This Row],[UNITS_TGT]]</f>
        <v>345</v>
      </c>
      <c r="BL234" s="28" t="str">
        <f>_xlfn.XLOOKUP(Total_SalesOverview_ExclTax[[#This Row],[DATE]],全店核心数据_bymonth[开始日期],全店核心数据_bymonth[jda日历.PayYear],"")</f>
        <v>BU26</v>
      </c>
      <c r="BO234" s="28"/>
      <c r="CQ234" s="53"/>
    </row>
    <row r="235" spans="5:95" ht="13.5" customHeight="1" x14ac:dyDescent="0.3">
      <c r="E235" s="428">
        <v>45717</v>
      </c>
      <c r="F235" s="431">
        <f t="shared" si="51"/>
        <v>1914440</v>
      </c>
      <c r="G235" s="431">
        <f t="shared" si="51"/>
        <v>869340</v>
      </c>
      <c r="H235" s="431">
        <f t="shared" si="51"/>
        <v>346458</v>
      </c>
      <c r="I235" s="431">
        <f t="shared" si="51"/>
        <v>238</v>
      </c>
      <c r="J235" s="431">
        <f t="shared" si="51"/>
        <v>327</v>
      </c>
      <c r="K235" s="92">
        <f>Total_SalesOverview_InTax[[#This Row],[Buyers]]/Total_SalesOverview_InTax[[#This Row],[UV]]</f>
        <v>6.869519537721744E-4</v>
      </c>
      <c r="L235" s="431">
        <f>Total_SalesOverview_InTax[[#This Row],[GMV]]/Total_SalesOverview_InTax[[#This Row],[Buyers]]</f>
        <v>8043.865546218487</v>
      </c>
      <c r="M235" s="431">
        <f>Total_SalesOverview_InTax[[#This Row],[GMV]]/Total_SalesOverview_InTax[[#This Row],[Units]]</f>
        <v>5854.5565749235475</v>
      </c>
      <c r="N235" s="432">
        <f>Total_SalesOverview_InTax[[#This Row],[Units]]/Total_SalesOverview_InTax[[#This Row],[Buyers]]</f>
        <v>1.3739495798319328</v>
      </c>
      <c r="O235" s="93">
        <f>Total_SalesOverview_InTax[[#This Row],[RR]]/Total_SalesOverview_InTax[[#This Row],[GMV]]</f>
        <v>0.54590376298029708</v>
      </c>
      <c r="P235" s="431">
        <f t="shared" si="52"/>
        <v>1045100</v>
      </c>
      <c r="Q235" s="431">
        <f t="shared" si="52"/>
        <v>0</v>
      </c>
      <c r="R235" s="94">
        <f>Total_SalesOverview_InTax[[#This Row],[MD GMV]]/Total_SalesOverview_InTax[[#This Row],[GMV]]</f>
        <v>0</v>
      </c>
      <c r="S235" s="431">
        <f t="shared" si="53"/>
        <v>0</v>
      </c>
      <c r="T235" s="94">
        <f>Total_SalesOverview_InTax[[#This Row],[MD NET]]/Total_SalesOverview_InTax[[#This Row],[NET]]</f>
        <v>0</v>
      </c>
      <c r="U235" s="431">
        <f t="shared" si="54"/>
        <v>1690000</v>
      </c>
      <c r="V235" s="431">
        <f t="shared" si="54"/>
        <v>821600</v>
      </c>
      <c r="W235" s="431">
        <f t="shared" si="54"/>
        <v>290000</v>
      </c>
      <c r="X235" s="431">
        <f t="shared" si="54"/>
        <v>262</v>
      </c>
      <c r="Y235" s="378">
        <f>Total_SalesOverview_InTax[[#This Row],[BUYERS_TGT]]/Total_SalesOverview_InTax[[#This Row],[TRAFFIC_TGT]]</f>
        <v>9.0344827586206892E-4</v>
      </c>
      <c r="Z235" s="379">
        <f>Total_SalesOverview_InTax[[#This Row],[GMV_TGT]]/Total_SalesOverview_InTax[[#This Row],[BUYERS_TGT]]</f>
        <v>6450.3816793893129</v>
      </c>
      <c r="AA235" s="380">
        <f>Total_SalesOverview_InTax[[#This Row],[UNITS_TGT]]/Total_SalesOverview_InTax[[#This Row],[BUYERS_TGT]]</f>
        <v>1.2900763358778626</v>
      </c>
      <c r="AB235" s="94">
        <f>1-Total_SalesOverview_InTax[[#This Row],[NET_TGT]]/Total_SalesOverview_InTax[[#This Row],[GMV_TGT]]</f>
        <v>0.51384615384615384</v>
      </c>
      <c r="AC235" s="426">
        <f t="shared" si="55"/>
        <v>338</v>
      </c>
      <c r="AD235" s="105">
        <f>Total_SalesOverview_InTax[[#This Row],[GMV]]/Total_SalesOverview_InTax[[#This Row],[GMV_TGT]]</f>
        <v>1.1328047337278107</v>
      </c>
      <c r="AE235" s="105">
        <f>Total_SalesOverview_InTax[[#This Row],[NET]]/Total_SalesOverview_InTax[[#This Row],[NET_TGT]]</f>
        <v>1.0581061343719571</v>
      </c>
      <c r="AF235" s="105">
        <f>Total_SalesOverview_InTax[[#This Row],[UV]]/Total_SalesOverview_InTax[[#This Row],[TRAFFIC_TGT]]</f>
        <v>1.1946827586206896</v>
      </c>
      <c r="AG235" s="105">
        <f>Total_SalesOverview_InTax[[#This Row],[Buyers]]/Total_SalesOverview_InTax[[#This Row],[BUYERS_TGT]]</f>
        <v>0.90839694656488545</v>
      </c>
      <c r="AH235" s="105">
        <f>Total_SalesOverview_InTax[[#This Row],[CR]]/Total_SalesOverview_InTax[[#This Row],[CVR_TGT]]</f>
        <v>0.76036666638904804</v>
      </c>
      <c r="AI235" s="105">
        <f>Total_SalesOverview_InTax[[#This Row],[ATV]]/Total_SalesOverview_InTax[[#This Row],[ATV_TGT]]</f>
        <v>1.2470371438516235</v>
      </c>
      <c r="AJ235" s="105">
        <f>Total_SalesOverview_InTax[[#This Row],[UPT]]/Total_SalesOverview_InTax[[#This Row],[UPT_TGT]]</f>
        <v>1.0650141713490129</v>
      </c>
      <c r="AK235" s="105">
        <f>Total_SalesOverview_InTax[[#This Row],[RRC]]/Total_SalesOverview_InTax[[#This Row],[RRC_TGT]]</f>
        <v>1.0623875626862069</v>
      </c>
      <c r="AL235" s="28" t="str">
        <f>_xlfn.XLOOKUP(Total_SalesOverview_InTax[[#This Row],[DATE]],全店核心数据_bymonth[开始日期],全店核心数据_bymonth[jda日历.PayYear],"")</f>
        <v>BU25</v>
      </c>
      <c r="AO235" s="428">
        <f>Total_SalesOverview_InTax[[#This Row],[DATE]]</f>
        <v>45717</v>
      </c>
      <c r="AP235" s="429">
        <f>Total_SalesOverview_InTax[[#This Row],[GMV]]/$F$1</f>
        <v>1694194.6902654869</v>
      </c>
      <c r="AQ235" s="429">
        <f>Total_SalesOverview_ExclTax[[#This Row],[GMV]]-Total_SalesOverview_ExclTax[[#This Row],[RR]]</f>
        <v>769327.43362831871</v>
      </c>
      <c r="AR235" s="430">
        <f>Total_SalesOverview_InTax[[#This Row],[UV]]</f>
        <v>346458</v>
      </c>
      <c r="AS235" s="431">
        <f>Total_SalesOverview_InTax[[#This Row],[Buyers]]</f>
        <v>238</v>
      </c>
      <c r="AT235" s="431">
        <f>Total_SalesOverview_InTax[[#This Row],[Units]]</f>
        <v>327</v>
      </c>
      <c r="AU235" s="92">
        <f>Total_SalesOverview_ExclTax[[#This Row],[Buyers]]/Total_SalesOverview_ExclTax[[#This Row],[UV]]</f>
        <v>6.869519537721744E-4</v>
      </c>
      <c r="AV235" s="431">
        <f>Total_SalesOverview_ExclTax[[#This Row],[GMV]]/Total_SalesOverview_ExclTax[[#This Row],[Buyers]]</f>
        <v>7118.4650851491051</v>
      </c>
      <c r="AW235" s="431">
        <f>Total_SalesOverview_ExclTax[[#This Row],[GMV]]/Total_SalesOverview_ExclTax[[#This Row],[Units]]</f>
        <v>5181.0235176314582</v>
      </c>
      <c r="AX235" s="432">
        <f>Total_SalesOverview_ExclTax[[#This Row],[Units]]/Total_SalesOverview_ExclTax[[#This Row],[Buyers]]</f>
        <v>1.3739495798319328</v>
      </c>
      <c r="AY235" s="93">
        <f>Total_SalesOverview_ExclTax[[#This Row],[RR]]/Total_SalesOverview_ExclTax[[#This Row],[GMV]]</f>
        <v>0.54590376298029708</v>
      </c>
      <c r="AZ235" s="461">
        <f>Total_SalesOverview_InTax[[#This Row],[RR]]/$F$1</f>
        <v>924867.25663716823</v>
      </c>
      <c r="BA235" s="461">
        <f>Total_SalesOverview_InTax[[#This Row],[MD GMV]]/$F$1</f>
        <v>0</v>
      </c>
      <c r="BB235" s="94">
        <f>Total_SalesOverview_ExclTax[[#This Row],[MD GMV]]/Total_SalesOverview_ExclTax[[#This Row],[GMV]]</f>
        <v>0</v>
      </c>
      <c r="BC235" s="461">
        <f>Total_SalesOverview_InTax[[#This Row],[GMV_TGT]]/$F$1</f>
        <v>1495575.2212389382</v>
      </c>
      <c r="BD235" s="461">
        <f>Total_SalesOverview_InTax[[#This Row],[NET_TGT]]/$F$1</f>
        <v>727079.64601769915</v>
      </c>
      <c r="BE235" s="461">
        <f>Total_SalesOverview_InTax[[#This Row],[TRAFFIC_TGT]]</f>
        <v>290000</v>
      </c>
      <c r="BF235" s="431">
        <f>Total_SalesOverview_InTax[[#This Row],[BUYERS_TGT]]</f>
        <v>262</v>
      </c>
      <c r="BG235" s="104">
        <f>Total_SalesOverview_InTax[[#This Row],[CVR_TGT]]</f>
        <v>9.0344827586206892E-4</v>
      </c>
      <c r="BH235" s="431">
        <f>Total_SalesOverview_InTax[[#This Row],[ATV_TGT]]/$F$1</f>
        <v>5708.3023711409851</v>
      </c>
      <c r="BI235" s="432">
        <f>Total_SalesOverview_InTax[[#This Row],[UPT_TGT]]</f>
        <v>1.2900763358778626</v>
      </c>
      <c r="BJ235" s="389">
        <f>Total_SalesOverview_InTax[[#This Row],[RRC_TGT]]</f>
        <v>0.51384615384615384</v>
      </c>
      <c r="BK235" s="431">
        <f>Total_SalesOverview_InTax[[#This Row],[UNITS_TGT]]</f>
        <v>338</v>
      </c>
      <c r="BL235" s="28" t="str">
        <f>_xlfn.XLOOKUP(Total_SalesOverview_ExclTax[[#This Row],[DATE]],全店核心数据_bymonth[开始日期],全店核心数据_bymonth[jda日历.PayYear],"")</f>
        <v>BU25</v>
      </c>
      <c r="BO235" s="28"/>
      <c r="CQ235" s="53"/>
    </row>
    <row r="236" spans="5:95" ht="13.5" customHeight="1" x14ac:dyDescent="0.3">
      <c r="E236" s="428">
        <v>45689</v>
      </c>
      <c r="F236" s="431">
        <f t="shared" ref="F236:J245" si="56">F17+F173</f>
        <v>2060105</v>
      </c>
      <c r="G236" s="431">
        <f t="shared" si="56"/>
        <v>929987.85000000009</v>
      </c>
      <c r="H236" s="431">
        <f t="shared" si="56"/>
        <v>288880</v>
      </c>
      <c r="I236" s="431">
        <f t="shared" si="56"/>
        <v>296</v>
      </c>
      <c r="J236" s="431">
        <f t="shared" si="56"/>
        <v>443</v>
      </c>
      <c r="K236" s="92">
        <f>Total_SalesOverview_InTax[[#This Row],[Buyers]]/Total_SalesOverview_InTax[[#This Row],[UV]]</f>
        <v>1.0246469122126834E-3</v>
      </c>
      <c r="L236" s="431">
        <f>Total_SalesOverview_InTax[[#This Row],[GMV]]/Total_SalesOverview_InTax[[#This Row],[Buyers]]</f>
        <v>6959.8141891891892</v>
      </c>
      <c r="M236" s="431">
        <f>Total_SalesOverview_InTax[[#This Row],[GMV]]/Total_SalesOverview_InTax[[#This Row],[Units]]</f>
        <v>4650.3498871331831</v>
      </c>
      <c r="N236" s="432">
        <f>Total_SalesOverview_InTax[[#This Row],[Units]]/Total_SalesOverview_InTax[[#This Row],[Buyers]]</f>
        <v>1.4966216216216217</v>
      </c>
      <c r="O236" s="93">
        <f>Total_SalesOverview_InTax[[#This Row],[RR]]/Total_SalesOverview_InTax[[#This Row],[GMV]]</f>
        <v>0.54857259702782135</v>
      </c>
      <c r="P236" s="431">
        <f t="shared" si="52"/>
        <v>1130117.1499999999</v>
      </c>
      <c r="Q236" s="431">
        <f t="shared" si="52"/>
        <v>544870</v>
      </c>
      <c r="R236" s="94">
        <f>Total_SalesOverview_InTax[[#This Row],[MD GMV]]/Total_SalesOverview_InTax[[#This Row],[GMV]]</f>
        <v>0.26448651889102742</v>
      </c>
      <c r="S236" s="431">
        <f t="shared" si="53"/>
        <v>225520</v>
      </c>
      <c r="T236" s="94">
        <f>Total_SalesOverview_InTax[[#This Row],[MD NET]]/Total_SalesOverview_InTax[[#This Row],[NET]]</f>
        <v>0.24249779177222583</v>
      </c>
      <c r="U236" s="431">
        <f t="shared" si="54"/>
        <v>1600000</v>
      </c>
      <c r="V236" s="431">
        <f t="shared" si="54"/>
        <v>800000</v>
      </c>
      <c r="W236" s="431">
        <f t="shared" si="54"/>
        <v>299236</v>
      </c>
      <c r="X236" s="431">
        <f t="shared" si="54"/>
        <v>251</v>
      </c>
      <c r="Y236" s="378">
        <f>Total_SalesOverview_InTax[[#This Row],[BUYERS_TGT]]/Total_SalesOverview_InTax[[#This Row],[TRAFFIC_TGT]]</f>
        <v>8.3880281784277293E-4</v>
      </c>
      <c r="Z236" s="379">
        <f>Total_SalesOverview_InTax[[#This Row],[GMV_TGT]]/Total_SalesOverview_InTax[[#This Row],[BUYERS_TGT]]</f>
        <v>6374.5019920318728</v>
      </c>
      <c r="AA236" s="380">
        <f>Total_SalesOverview_InTax[[#This Row],[UNITS_TGT]]/Total_SalesOverview_InTax[[#This Row],[BUYERS_TGT]]</f>
        <v>1.2749003984063745</v>
      </c>
      <c r="AB236" s="94">
        <f>1-Total_SalesOverview_InTax[[#This Row],[NET_TGT]]/Total_SalesOverview_InTax[[#This Row],[GMV_TGT]]</f>
        <v>0.5</v>
      </c>
      <c r="AC236" s="426">
        <f t="shared" si="55"/>
        <v>320</v>
      </c>
      <c r="AD236" s="105">
        <f>Total_SalesOverview_InTax[[#This Row],[GMV]]/Total_SalesOverview_InTax[[#This Row],[GMV_TGT]]</f>
        <v>1.287565625</v>
      </c>
      <c r="AE236" s="105">
        <f>Total_SalesOverview_InTax[[#This Row],[NET]]/Total_SalesOverview_InTax[[#This Row],[NET_TGT]]</f>
        <v>1.1624848125</v>
      </c>
      <c r="AF236" s="105">
        <f>Total_SalesOverview_InTax[[#This Row],[UV]]/Total_SalesOverview_InTax[[#This Row],[TRAFFIC_TGT]]</f>
        <v>0.96539186461522009</v>
      </c>
      <c r="AG236" s="105">
        <f>Total_SalesOverview_InTax[[#This Row],[Buyers]]/Total_SalesOverview_InTax[[#This Row],[BUYERS_TGT]]</f>
        <v>1.1792828685258965</v>
      </c>
      <c r="AH236" s="105">
        <f>Total_SalesOverview_InTax[[#This Row],[CR]]/Total_SalesOverview_InTax[[#This Row],[CVR_TGT]]</f>
        <v>1.2215587387365519</v>
      </c>
      <c r="AI236" s="105">
        <f>Total_SalesOverview_InTax[[#This Row],[ATV]]/Total_SalesOverview_InTax[[#This Row],[ATV_TGT]]</f>
        <v>1.0918208509290539</v>
      </c>
      <c r="AJ236" s="105">
        <f>Total_SalesOverview_InTax[[#This Row],[UPT]]/Total_SalesOverview_InTax[[#This Row],[UPT_TGT]]</f>
        <v>1.1739125844594596</v>
      </c>
      <c r="AK236" s="105">
        <f>Total_SalesOverview_InTax[[#This Row],[RRC]]/Total_SalesOverview_InTax[[#This Row],[RRC_TGT]]</f>
        <v>1.0971451940556427</v>
      </c>
      <c r="AL236" s="28" t="str">
        <f>_xlfn.XLOOKUP(Total_SalesOverview_InTax[[#This Row],[DATE]],全店核心数据_bymonth[开始日期],全店核心数据_bymonth[jda日历.PayYear],"")</f>
        <v>BU25</v>
      </c>
      <c r="AO236" s="428">
        <f>Total_SalesOverview_InTax[[#This Row],[DATE]]</f>
        <v>45689</v>
      </c>
      <c r="AP236" s="429">
        <f>Total_SalesOverview_InTax[[#This Row],[GMV]]/$F$1</f>
        <v>1823101.7699115046</v>
      </c>
      <c r="AQ236" s="429">
        <f>Total_SalesOverview_ExclTax[[#This Row],[GMV]]-Total_SalesOverview_ExclTax[[#This Row],[RR]]</f>
        <v>822998.09734513285</v>
      </c>
      <c r="AR236" s="430">
        <f>Total_SalesOverview_InTax[[#This Row],[UV]]</f>
        <v>288880</v>
      </c>
      <c r="AS236" s="431">
        <f>Total_SalesOverview_InTax[[#This Row],[Buyers]]</f>
        <v>296</v>
      </c>
      <c r="AT236" s="431">
        <f>Total_SalesOverview_InTax[[#This Row],[Units]]</f>
        <v>443</v>
      </c>
      <c r="AU236" s="92">
        <f>Total_SalesOverview_ExclTax[[#This Row],[Buyers]]/Total_SalesOverview_ExclTax[[#This Row],[UV]]</f>
        <v>1.0246469122126834E-3</v>
      </c>
      <c r="AV236" s="431">
        <f>Total_SalesOverview_ExclTax[[#This Row],[GMV]]/Total_SalesOverview_ExclTax[[#This Row],[Buyers]]</f>
        <v>6159.1276010523807</v>
      </c>
      <c r="AW236" s="431">
        <f>Total_SalesOverview_ExclTax[[#This Row],[GMV]]/Total_SalesOverview_ExclTax[[#This Row],[Units]]</f>
        <v>4115.3538824187463</v>
      </c>
      <c r="AX236" s="432">
        <f>Total_SalesOverview_ExclTax[[#This Row],[Units]]/Total_SalesOverview_ExclTax[[#This Row],[Buyers]]</f>
        <v>1.4966216216216217</v>
      </c>
      <c r="AY236" s="93">
        <f>Total_SalesOverview_ExclTax[[#This Row],[RR]]/Total_SalesOverview_ExclTax[[#This Row],[GMV]]</f>
        <v>0.54857259702782135</v>
      </c>
      <c r="AZ236" s="461">
        <f>Total_SalesOverview_InTax[[#This Row],[RR]]/$F$1</f>
        <v>1000103.6725663717</v>
      </c>
      <c r="BA236" s="461">
        <f>Total_SalesOverview_InTax[[#This Row],[MD GMV]]/$F$1</f>
        <v>482185.84070796467</v>
      </c>
      <c r="BB236" s="94">
        <f>Total_SalesOverview_ExclTax[[#This Row],[MD GMV]]/Total_SalesOverview_ExclTax[[#This Row],[GMV]]</f>
        <v>0.26448651889102742</v>
      </c>
      <c r="BC236" s="461">
        <f>Total_SalesOverview_InTax[[#This Row],[GMV_TGT]]/$F$1</f>
        <v>1415929.2035398232</v>
      </c>
      <c r="BD236" s="461">
        <f>Total_SalesOverview_InTax[[#This Row],[NET_TGT]]/$F$1</f>
        <v>707964.60176991159</v>
      </c>
      <c r="BE236" s="461">
        <f>Total_SalesOverview_InTax[[#This Row],[TRAFFIC_TGT]]</f>
        <v>299236</v>
      </c>
      <c r="BF236" s="431">
        <f>Total_SalesOverview_InTax[[#This Row],[BUYERS_TGT]]</f>
        <v>251</v>
      </c>
      <c r="BG236" s="104">
        <f>Total_SalesOverview_InTax[[#This Row],[CVR_TGT]]</f>
        <v>8.3880281784277293E-4</v>
      </c>
      <c r="BH236" s="431">
        <f>Total_SalesOverview_InTax[[#This Row],[ATV_TGT]]/$F$1</f>
        <v>5641.1522053379413</v>
      </c>
      <c r="BI236" s="432">
        <f>Total_SalesOverview_InTax[[#This Row],[UPT_TGT]]</f>
        <v>1.2749003984063745</v>
      </c>
      <c r="BJ236" s="389">
        <f>Total_SalesOverview_InTax[[#This Row],[RRC_TGT]]</f>
        <v>0.5</v>
      </c>
      <c r="BK236" s="431">
        <f>Total_SalesOverview_InTax[[#This Row],[UNITS_TGT]]</f>
        <v>320</v>
      </c>
      <c r="BL236" s="28" t="str">
        <f>_xlfn.XLOOKUP(Total_SalesOverview_ExclTax[[#This Row],[DATE]],全店核心数据_bymonth[开始日期],全店核心数据_bymonth[jda日历.PayYear],"")</f>
        <v>BU25</v>
      </c>
      <c r="BO236" s="28"/>
      <c r="CQ236" s="53"/>
    </row>
    <row r="237" spans="5:95" ht="13.5" customHeight="1" x14ac:dyDescent="0.3">
      <c r="E237" s="428">
        <v>45658</v>
      </c>
      <c r="F237" s="431">
        <f t="shared" si="56"/>
        <v>3414830</v>
      </c>
      <c r="G237" s="431">
        <f t="shared" si="56"/>
        <v>1683266.25</v>
      </c>
      <c r="H237" s="431">
        <f t="shared" si="56"/>
        <v>307539</v>
      </c>
      <c r="I237" s="431">
        <f t="shared" si="56"/>
        <v>451</v>
      </c>
      <c r="J237" s="431">
        <f t="shared" si="56"/>
        <v>620</v>
      </c>
      <c r="K237" s="92">
        <f>Total_SalesOverview_InTax[[#This Row],[Buyers]]/Total_SalesOverview_InTax[[#This Row],[UV]]</f>
        <v>1.4664806739958184E-3</v>
      </c>
      <c r="L237" s="431">
        <f>Total_SalesOverview_InTax[[#This Row],[GMV]]/Total_SalesOverview_InTax[[#This Row],[Buyers]]</f>
        <v>7571.6851441241688</v>
      </c>
      <c r="M237" s="431">
        <f>Total_SalesOverview_InTax[[#This Row],[GMV]]/Total_SalesOverview_InTax[[#This Row],[Units]]</f>
        <v>5507.7903225806449</v>
      </c>
      <c r="N237" s="432">
        <f>Total_SalesOverview_InTax[[#This Row],[Units]]/Total_SalesOverview_InTax[[#This Row],[Buyers]]</f>
        <v>1.3747228381374723</v>
      </c>
      <c r="O237" s="93">
        <f>Total_SalesOverview_InTax[[#This Row],[RR]]/Total_SalesOverview_InTax[[#This Row],[GMV]]</f>
        <v>0.50707172831444025</v>
      </c>
      <c r="P237" s="431">
        <f t="shared" si="52"/>
        <v>1731563.75</v>
      </c>
      <c r="Q237" s="431">
        <f t="shared" si="52"/>
        <v>1798338.02</v>
      </c>
      <c r="R237" s="94">
        <f>Total_SalesOverview_InTax[[#This Row],[MD GMV]]/Total_SalesOverview_InTax[[#This Row],[GMV]]</f>
        <v>0.5266259286699484</v>
      </c>
      <c r="S237" s="431">
        <f t="shared" si="53"/>
        <v>793628.15</v>
      </c>
      <c r="T237" s="94">
        <f>Total_SalesOverview_InTax[[#This Row],[MD NET]]/Total_SalesOverview_InTax[[#This Row],[NET]]</f>
        <v>0.47148105654705547</v>
      </c>
      <c r="U237" s="431">
        <f t="shared" si="54"/>
        <v>3370000</v>
      </c>
      <c r="V237" s="431">
        <f t="shared" si="54"/>
        <v>1791400</v>
      </c>
      <c r="W237" s="431">
        <f t="shared" si="54"/>
        <v>310841</v>
      </c>
      <c r="X237" s="431">
        <f t="shared" si="54"/>
        <v>446</v>
      </c>
      <c r="Y237" s="378">
        <f>Total_SalesOverview_InTax[[#This Row],[BUYERS_TGT]]/Total_SalesOverview_InTax[[#This Row],[TRAFFIC_TGT]]</f>
        <v>1.4348171573248059E-3</v>
      </c>
      <c r="Z237" s="379">
        <f>Total_SalesOverview_InTax[[#This Row],[GMV_TGT]]/Total_SalesOverview_InTax[[#This Row],[BUYERS_TGT]]</f>
        <v>7556.0538116591924</v>
      </c>
      <c r="AA237" s="380">
        <f>Total_SalesOverview_InTax[[#This Row],[UNITS_TGT]]/Total_SalesOverview_InTax[[#This Row],[BUYERS_TGT]]</f>
        <v>1.5112107623318385</v>
      </c>
      <c r="AB237" s="94">
        <f>1-Total_SalesOverview_InTax[[#This Row],[NET_TGT]]/Total_SalesOverview_InTax[[#This Row],[GMV_TGT]]</f>
        <v>0.46842729970326413</v>
      </c>
      <c r="AC237" s="426">
        <f t="shared" si="55"/>
        <v>674</v>
      </c>
      <c r="AD237" s="105">
        <f>Total_SalesOverview_InTax[[#This Row],[GMV]]/Total_SalesOverview_InTax[[#This Row],[GMV_TGT]]</f>
        <v>1.0133026706231454</v>
      </c>
      <c r="AE237" s="105">
        <f>Total_SalesOverview_InTax[[#This Row],[NET]]/Total_SalesOverview_InTax[[#This Row],[NET_TGT]]</f>
        <v>0.93963729485318748</v>
      </c>
      <c r="AF237" s="105">
        <f>Total_SalesOverview_InTax[[#This Row],[UV]]/Total_SalesOverview_InTax[[#This Row],[TRAFFIC_TGT]]</f>
        <v>0.98937720570967147</v>
      </c>
      <c r="AG237" s="105">
        <f>Total_SalesOverview_InTax[[#This Row],[Buyers]]/Total_SalesOverview_InTax[[#This Row],[BUYERS_TGT]]</f>
        <v>1.0112107623318385</v>
      </c>
      <c r="AH237" s="105">
        <f>Total_SalesOverview_InTax[[#This Row],[CR]]/Total_SalesOverview_InTax[[#This Row],[CVR_TGT]]</f>
        <v>1.0220679802366237</v>
      </c>
      <c r="AI237" s="105">
        <f>Total_SalesOverview_InTax[[#This Row],[ATV]]/Total_SalesOverview_InTax[[#This Row],[ATV_TGT]]</f>
        <v>1.0020687164033768</v>
      </c>
      <c r="AJ237" s="105">
        <f>Total_SalesOverview_InTax[[#This Row],[UPT]]/Total_SalesOverview_InTax[[#This Row],[UPT_TGT]]</f>
        <v>0.90968306499898022</v>
      </c>
      <c r="AK237" s="105">
        <f>Total_SalesOverview_InTax[[#This Row],[RRC]]/Total_SalesOverview_InTax[[#This Row],[RRC_TGT]]</f>
        <v>1.0824982417456377</v>
      </c>
      <c r="AL237" s="28" t="str">
        <f>_xlfn.XLOOKUP(Total_SalesOverview_InTax[[#This Row],[DATE]],全店核心数据_bymonth[开始日期],全店核心数据_bymonth[jda日历.PayYear],"")</f>
        <v>BU25</v>
      </c>
      <c r="AO237" s="428">
        <f>Total_SalesOverview_InTax[[#This Row],[DATE]]</f>
        <v>45658</v>
      </c>
      <c r="AP237" s="429">
        <f>Total_SalesOverview_InTax[[#This Row],[GMV]]/$F$1</f>
        <v>3021973.4513274338</v>
      </c>
      <c r="AQ237" s="429">
        <f>Total_SalesOverview_ExclTax[[#This Row],[GMV]]-Total_SalesOverview_ExclTax[[#This Row],[RR]]</f>
        <v>1489616.150442478</v>
      </c>
      <c r="AR237" s="430">
        <f>Total_SalesOverview_InTax[[#This Row],[UV]]</f>
        <v>307539</v>
      </c>
      <c r="AS237" s="431">
        <f>Total_SalesOverview_InTax[[#This Row],[Buyers]]</f>
        <v>451</v>
      </c>
      <c r="AT237" s="431">
        <f>Total_SalesOverview_InTax[[#This Row],[Units]]</f>
        <v>620</v>
      </c>
      <c r="AU237" s="92">
        <f>Total_SalesOverview_ExclTax[[#This Row],[Buyers]]/Total_SalesOverview_ExclTax[[#This Row],[UV]]</f>
        <v>1.4664806739958184E-3</v>
      </c>
      <c r="AV237" s="431">
        <f>Total_SalesOverview_ExclTax[[#This Row],[GMV]]/Total_SalesOverview_ExclTax[[#This Row],[Buyers]]</f>
        <v>6700.606322233778</v>
      </c>
      <c r="AW237" s="431">
        <f>Total_SalesOverview_ExclTax[[#This Row],[GMV]]/Total_SalesOverview_ExclTax[[#This Row],[Units]]</f>
        <v>4874.1507279474736</v>
      </c>
      <c r="AX237" s="432">
        <f>Total_SalesOverview_ExclTax[[#This Row],[Units]]/Total_SalesOverview_ExclTax[[#This Row],[Buyers]]</f>
        <v>1.3747228381374723</v>
      </c>
      <c r="AY237" s="93">
        <f>Total_SalesOverview_ExclTax[[#This Row],[RR]]/Total_SalesOverview_ExclTax[[#This Row],[GMV]]</f>
        <v>0.50707172831444025</v>
      </c>
      <c r="AZ237" s="461">
        <f>Total_SalesOverview_InTax[[#This Row],[RR]]/$F$1</f>
        <v>1532357.3008849558</v>
      </c>
      <c r="BA237" s="461">
        <f>Total_SalesOverview_InTax[[#This Row],[MD GMV]]/$F$1</f>
        <v>1591449.5752212391</v>
      </c>
      <c r="BB237" s="94">
        <f>Total_SalesOverview_ExclTax[[#This Row],[MD GMV]]/Total_SalesOverview_ExclTax[[#This Row],[GMV]]</f>
        <v>0.52662592866994851</v>
      </c>
      <c r="BC237" s="461">
        <f>Total_SalesOverview_InTax[[#This Row],[GMV_TGT]]/$F$1</f>
        <v>2982300.8849557526</v>
      </c>
      <c r="BD237" s="461">
        <f>Total_SalesOverview_InTax[[#This Row],[NET_TGT]]/$F$1</f>
        <v>1585309.7345132744</v>
      </c>
      <c r="BE237" s="461">
        <f>Total_SalesOverview_InTax[[#This Row],[TRAFFIC_TGT]]</f>
        <v>310841</v>
      </c>
      <c r="BF237" s="431">
        <f>Total_SalesOverview_InTax[[#This Row],[BUYERS_TGT]]</f>
        <v>446</v>
      </c>
      <c r="BG237" s="104">
        <f>Total_SalesOverview_InTax[[#This Row],[CVR_TGT]]</f>
        <v>1.4348171573248059E-3</v>
      </c>
      <c r="BH237" s="431">
        <f>Total_SalesOverview_InTax[[#This Row],[ATV_TGT]]/$F$1</f>
        <v>6686.773284654153</v>
      </c>
      <c r="BI237" s="432">
        <f>Total_SalesOverview_InTax[[#This Row],[UPT_TGT]]</f>
        <v>1.5112107623318385</v>
      </c>
      <c r="BJ237" s="389">
        <f>Total_SalesOverview_InTax[[#This Row],[RRC_TGT]]</f>
        <v>0.46842729970326413</v>
      </c>
      <c r="BK237" s="431">
        <f>Total_SalesOverview_InTax[[#This Row],[UNITS_TGT]]</f>
        <v>674</v>
      </c>
      <c r="BL237" s="28" t="str">
        <f>_xlfn.XLOOKUP(Total_SalesOverview_ExclTax[[#This Row],[DATE]],全店核心数据_bymonth[开始日期],全店核心数据_bymonth[jda日历.PayYear],"")</f>
        <v>BU25</v>
      </c>
      <c r="BO237" s="28"/>
      <c r="CQ237" s="53"/>
    </row>
    <row r="238" spans="5:95" ht="13.5" customHeight="1" x14ac:dyDescent="0.3">
      <c r="E238" s="428">
        <v>45627</v>
      </c>
      <c r="F238" s="431">
        <f t="shared" si="56"/>
        <v>7573934</v>
      </c>
      <c r="G238" s="431">
        <f t="shared" si="56"/>
        <v>3987742.0500000003</v>
      </c>
      <c r="H238" s="431">
        <f t="shared" si="56"/>
        <v>341980</v>
      </c>
      <c r="I238" s="431">
        <f t="shared" si="56"/>
        <v>1436</v>
      </c>
      <c r="J238" s="431">
        <f t="shared" si="56"/>
        <v>2888</v>
      </c>
      <c r="K238" s="92">
        <f>Total_SalesOverview_InTax[[#This Row],[Buyers]]/Total_SalesOverview_InTax[[#This Row],[UV]]</f>
        <v>4.1990759693549332E-3</v>
      </c>
      <c r="L238" s="431">
        <f>Total_SalesOverview_InTax[[#This Row],[GMV]]/Total_SalesOverview_InTax[[#This Row],[Buyers]]</f>
        <v>5274.3272980501397</v>
      </c>
      <c r="M238" s="431">
        <f>Total_SalesOverview_InTax[[#This Row],[GMV]]/Total_SalesOverview_InTax[[#This Row],[Units]]</f>
        <v>2622.5533240997229</v>
      </c>
      <c r="N238" s="432">
        <f>Total_SalesOverview_InTax[[#This Row],[Units]]/Total_SalesOverview_InTax[[#This Row],[Buyers]]</f>
        <v>2.0111420612813369</v>
      </c>
      <c r="O238" s="93">
        <f>Total_SalesOverview_InTax[[#This Row],[RR]]/Total_SalesOverview_InTax[[#This Row],[GMV]]</f>
        <v>0.47349131244080028</v>
      </c>
      <c r="P238" s="431">
        <f t="shared" si="52"/>
        <v>3586191.95</v>
      </c>
      <c r="Q238" s="431">
        <f t="shared" si="52"/>
        <v>5729039.1300000008</v>
      </c>
      <c r="R238" s="94">
        <f>Total_SalesOverview_InTax[[#This Row],[MD GMV]]/Total_SalesOverview_InTax[[#This Row],[GMV]]</f>
        <v>0.75641524338606603</v>
      </c>
      <c r="S238" s="431">
        <f t="shared" si="53"/>
        <v>3102069.9900000007</v>
      </c>
      <c r="T238" s="94">
        <f>Total_SalesOverview_InTax[[#This Row],[MD NET]]/Total_SalesOverview_InTax[[#This Row],[NET]]</f>
        <v>0.77790136651391495</v>
      </c>
      <c r="U238" s="431">
        <f t="shared" si="54"/>
        <v>5340000</v>
      </c>
      <c r="V238" s="431">
        <f t="shared" si="54"/>
        <v>2472000</v>
      </c>
      <c r="W238" s="431">
        <f t="shared" si="54"/>
        <v>365124</v>
      </c>
      <c r="X238" s="431">
        <f t="shared" si="54"/>
        <v>823</v>
      </c>
      <c r="Y238" s="378">
        <f>Total_SalesOverview_InTax[[#This Row],[BUYERS_TGT]]/Total_SalesOverview_InTax[[#This Row],[TRAFFIC_TGT]]</f>
        <v>2.2540287683088483E-3</v>
      </c>
      <c r="Z238" s="379">
        <f>Total_SalesOverview_InTax[[#This Row],[GMV_TGT]]/Total_SalesOverview_InTax[[#This Row],[BUYERS_TGT]]</f>
        <v>6488.4568651275822</v>
      </c>
      <c r="AA238" s="380">
        <f>Total_SalesOverview_InTax[[#This Row],[UNITS_TGT]]/Total_SalesOverview_InTax[[#This Row],[BUYERS_TGT]]</f>
        <v>1.4908869987849331</v>
      </c>
      <c r="AB238" s="94">
        <f>1-Total_SalesOverview_InTax[[#This Row],[NET_TGT]]/Total_SalesOverview_InTax[[#This Row],[GMV_TGT]]</f>
        <v>0.53707865168539326</v>
      </c>
      <c r="AC238" s="426">
        <f t="shared" si="55"/>
        <v>1227</v>
      </c>
      <c r="AD238" s="105">
        <f>Total_SalesOverview_InTax[[#This Row],[GMV]]/Total_SalesOverview_InTax[[#This Row],[GMV_TGT]]</f>
        <v>1.4183397003745319</v>
      </c>
      <c r="AE238" s="105">
        <f>Total_SalesOverview_InTax[[#This Row],[NET]]/Total_SalesOverview_InTax[[#This Row],[NET_TGT]]</f>
        <v>1.6131642597087379</v>
      </c>
      <c r="AF238" s="105">
        <f>Total_SalesOverview_InTax[[#This Row],[UV]]/Total_SalesOverview_InTax[[#This Row],[TRAFFIC_TGT]]</f>
        <v>0.93661331492862698</v>
      </c>
      <c r="AG238" s="105">
        <f>Total_SalesOverview_InTax[[#This Row],[Buyers]]/Total_SalesOverview_InTax[[#This Row],[BUYERS_TGT]]</f>
        <v>1.7448359659781287</v>
      </c>
      <c r="AH238" s="105">
        <f>Total_SalesOverview_InTax[[#This Row],[CR]]/Total_SalesOverview_InTax[[#This Row],[CVR_TGT]]</f>
        <v>1.8629203089122124</v>
      </c>
      <c r="AI238" s="105">
        <f>Total_SalesOverview_InTax[[#This Row],[ATV]]/Total_SalesOverview_InTax[[#This Row],[ATV_TGT]]</f>
        <v>0.81287853301409452</v>
      </c>
      <c r="AJ238" s="105">
        <f>Total_SalesOverview_InTax[[#This Row],[UPT]]/Total_SalesOverview_InTax[[#This Row],[UPT_TGT]]</f>
        <v>1.3489567371104647</v>
      </c>
      <c r="AK238" s="105">
        <f>Total_SalesOverview_InTax[[#This Row],[RRC]]/Total_SalesOverview_InTax[[#This Row],[RRC_TGT]]</f>
        <v>0.88160516333119721</v>
      </c>
      <c r="AL238" s="28" t="str">
        <f>_xlfn.XLOOKUP(Total_SalesOverview_InTax[[#This Row],[DATE]],全店核心数据_bymonth[开始日期],全店核心数据_bymonth[jda日历.PayYear],"")</f>
        <v>BU25</v>
      </c>
      <c r="AO238" s="428">
        <f>Total_SalesOverview_InTax[[#This Row],[DATE]]</f>
        <v>45627</v>
      </c>
      <c r="AP238" s="429">
        <f>Total_SalesOverview_InTax[[#This Row],[GMV]]/$F$1</f>
        <v>6702596.4601769922</v>
      </c>
      <c r="AQ238" s="429">
        <f>Total_SalesOverview_ExclTax[[#This Row],[GMV]]-Total_SalesOverview_ExclTax[[#This Row],[RR]]</f>
        <v>3528975.2654867261</v>
      </c>
      <c r="AR238" s="430">
        <f>Total_SalesOverview_InTax[[#This Row],[UV]]</f>
        <v>341980</v>
      </c>
      <c r="AS238" s="431">
        <f>Total_SalesOverview_InTax[[#This Row],[Buyers]]</f>
        <v>1436</v>
      </c>
      <c r="AT238" s="431">
        <f>Total_SalesOverview_InTax[[#This Row],[Units]]</f>
        <v>2888</v>
      </c>
      <c r="AU238" s="92">
        <f>Total_SalesOverview_ExclTax[[#This Row],[Buyers]]/Total_SalesOverview_ExclTax[[#This Row],[UV]]</f>
        <v>4.1990759693549332E-3</v>
      </c>
      <c r="AV238" s="431">
        <f>Total_SalesOverview_ExclTax[[#This Row],[GMV]]/Total_SalesOverview_ExclTax[[#This Row],[Buyers]]</f>
        <v>4667.5462814603006</v>
      </c>
      <c r="AW238" s="431">
        <f>Total_SalesOverview_ExclTax[[#This Row],[GMV]]/Total_SalesOverview_ExclTax[[#This Row],[Units]]</f>
        <v>2320.843649645773</v>
      </c>
      <c r="AX238" s="432">
        <f>Total_SalesOverview_ExclTax[[#This Row],[Units]]/Total_SalesOverview_ExclTax[[#This Row],[Buyers]]</f>
        <v>2.0111420612813369</v>
      </c>
      <c r="AY238" s="93">
        <f>Total_SalesOverview_ExclTax[[#This Row],[RR]]/Total_SalesOverview_ExclTax[[#This Row],[GMV]]</f>
        <v>0.47349131244080028</v>
      </c>
      <c r="AZ238" s="461">
        <f>Total_SalesOverview_InTax[[#This Row],[RR]]/$F$1</f>
        <v>3173621.1946902662</v>
      </c>
      <c r="BA238" s="461">
        <f>Total_SalesOverview_InTax[[#This Row],[MD GMV]]/$F$1</f>
        <v>5069946.1327433642</v>
      </c>
      <c r="BB238" s="94">
        <f>Total_SalesOverview_ExclTax[[#This Row],[MD GMV]]/Total_SalesOverview_ExclTax[[#This Row],[GMV]]</f>
        <v>0.75641524338606603</v>
      </c>
      <c r="BC238" s="461">
        <f>Total_SalesOverview_InTax[[#This Row],[GMV_TGT]]/$F$1</f>
        <v>4725663.7168141594</v>
      </c>
      <c r="BD238" s="461">
        <f>Total_SalesOverview_InTax[[#This Row],[NET_TGT]]/$F$1</f>
        <v>2187610.6194690266</v>
      </c>
      <c r="BE238" s="461">
        <f>Total_SalesOverview_InTax[[#This Row],[TRAFFIC_TGT]]</f>
        <v>365124</v>
      </c>
      <c r="BF238" s="431">
        <f>Total_SalesOverview_InTax[[#This Row],[BUYERS_TGT]]</f>
        <v>823</v>
      </c>
      <c r="BG238" s="104">
        <f>Total_SalesOverview_InTax[[#This Row],[CVR_TGT]]</f>
        <v>2.2540287683088483E-3</v>
      </c>
      <c r="BH238" s="431">
        <f>Total_SalesOverview_InTax[[#This Row],[ATV_TGT]]/$F$1</f>
        <v>5741.9972257766221</v>
      </c>
      <c r="BI238" s="432">
        <f>Total_SalesOverview_InTax[[#This Row],[UPT_TGT]]</f>
        <v>1.4908869987849331</v>
      </c>
      <c r="BJ238" s="389">
        <f>Total_SalesOverview_InTax[[#This Row],[RRC_TGT]]</f>
        <v>0.53707865168539326</v>
      </c>
      <c r="BK238" s="431">
        <f>Total_SalesOverview_InTax[[#This Row],[UNITS_TGT]]</f>
        <v>1227</v>
      </c>
      <c r="BL238" s="28" t="str">
        <f>_xlfn.XLOOKUP(Total_SalesOverview_ExclTax[[#This Row],[DATE]],全店核心数据_bymonth[开始日期],全店核心数据_bymonth[jda日历.PayYear],"")</f>
        <v>BU25</v>
      </c>
      <c r="BO238" s="28"/>
      <c r="CQ238" s="53"/>
    </row>
    <row r="239" spans="5:95" ht="13.5" customHeight="1" x14ac:dyDescent="0.3">
      <c r="E239" s="428">
        <v>45597</v>
      </c>
      <c r="F239" s="431">
        <f t="shared" si="56"/>
        <v>11470418</v>
      </c>
      <c r="G239" s="431">
        <f t="shared" si="56"/>
        <v>4021345.0199999996</v>
      </c>
      <c r="H239" s="431">
        <f t="shared" si="56"/>
        <v>450670</v>
      </c>
      <c r="I239" s="431">
        <f t="shared" si="56"/>
        <v>2226</v>
      </c>
      <c r="J239" s="431">
        <f t="shared" si="56"/>
        <v>3121</v>
      </c>
      <c r="K239" s="92">
        <f>Total_SalesOverview_InTax[[#This Row],[Buyers]]/Total_SalesOverview_InTax[[#This Row],[UV]]</f>
        <v>4.9393125790489715E-3</v>
      </c>
      <c r="L239" s="431">
        <f>Total_SalesOverview_InTax[[#This Row],[GMV]]/Total_SalesOverview_InTax[[#This Row],[Buyers]]</f>
        <v>5152.9281221922729</v>
      </c>
      <c r="M239" s="431">
        <f>Total_SalesOverview_InTax[[#This Row],[GMV]]/Total_SalesOverview_InTax[[#This Row],[Units]]</f>
        <v>3675.2380647228451</v>
      </c>
      <c r="N239" s="432">
        <f>Total_SalesOverview_InTax[[#This Row],[Units]]/Total_SalesOverview_InTax[[#This Row],[Buyers]]</f>
        <v>1.4020664869721473</v>
      </c>
      <c r="O239" s="93">
        <f>Total_SalesOverview_InTax[[#This Row],[RR]]/Total_SalesOverview_InTax[[#This Row],[GMV]]</f>
        <v>0.64941600035848746</v>
      </c>
      <c r="P239" s="431">
        <f t="shared" si="52"/>
        <v>7449072.9800000004</v>
      </c>
      <c r="Q239" s="431">
        <f t="shared" si="52"/>
        <v>8503766.75</v>
      </c>
      <c r="R239" s="94">
        <f>Total_SalesOverview_InTax[[#This Row],[MD GMV]]/Total_SalesOverview_InTax[[#This Row],[GMV]]</f>
        <v>0.7413650269763491</v>
      </c>
      <c r="S239" s="431">
        <f t="shared" si="53"/>
        <v>2850298.53</v>
      </c>
      <c r="T239" s="94">
        <f>Total_SalesOverview_InTax[[#This Row],[MD NET]]/Total_SalesOverview_InTax[[#This Row],[NET]]</f>
        <v>0.70879233585383827</v>
      </c>
      <c r="U239" s="431">
        <f t="shared" si="54"/>
        <v>10962500</v>
      </c>
      <c r="V239" s="431">
        <f t="shared" si="54"/>
        <v>3743500</v>
      </c>
      <c r="W239" s="431">
        <f t="shared" si="54"/>
        <v>522866</v>
      </c>
      <c r="X239" s="431">
        <f t="shared" si="54"/>
        <v>2303</v>
      </c>
      <c r="Y239" s="378">
        <f>Total_SalesOverview_InTax[[#This Row],[BUYERS_TGT]]/Total_SalesOverview_InTax[[#This Row],[TRAFFIC_TGT]]</f>
        <v>4.4045701958054266E-3</v>
      </c>
      <c r="Z239" s="379">
        <f>Total_SalesOverview_InTax[[#This Row],[GMV_TGT]]/Total_SalesOverview_InTax[[#This Row],[BUYERS_TGT]]</f>
        <v>4760.095527572731</v>
      </c>
      <c r="AA239" s="380">
        <f>Total_SalesOverview_InTax[[#This Row],[UNITS_TGT]]/Total_SalesOverview_InTax[[#This Row],[BUYERS_TGT]]</f>
        <v>1.3030829353017803</v>
      </c>
      <c r="AB239" s="94">
        <f>1-Total_SalesOverview_InTax[[#This Row],[NET_TGT]]/Total_SalesOverview_InTax[[#This Row],[GMV_TGT]]</f>
        <v>0.65851767388825544</v>
      </c>
      <c r="AC239" s="426">
        <f t="shared" si="55"/>
        <v>3001</v>
      </c>
      <c r="AD239" s="105">
        <f>Total_SalesOverview_InTax[[#This Row],[GMV]]/Total_SalesOverview_InTax[[#This Row],[GMV_TGT]]</f>
        <v>1.046332314709236</v>
      </c>
      <c r="AE239" s="105">
        <f>Total_SalesOverview_InTax[[#This Row],[NET]]/Total_SalesOverview_InTax[[#This Row],[NET_TGT]]</f>
        <v>1.074220654467744</v>
      </c>
      <c r="AF239" s="105">
        <f>Total_SalesOverview_InTax[[#This Row],[UV]]/Total_SalesOverview_InTax[[#This Row],[TRAFFIC_TGT]]</f>
        <v>0.86192255759601888</v>
      </c>
      <c r="AG239" s="105">
        <f>Total_SalesOverview_InTax[[#This Row],[Buyers]]/Total_SalesOverview_InTax[[#This Row],[BUYERS_TGT]]</f>
        <v>0.96656534954407292</v>
      </c>
      <c r="AH239" s="105">
        <f>Total_SalesOverview_InTax[[#This Row],[CR]]/Total_SalesOverview_InTax[[#This Row],[CVR_TGT]]</f>
        <v>1.1214062574715673</v>
      </c>
      <c r="AI239" s="105">
        <f>Total_SalesOverview_InTax[[#This Row],[ATV]]/Total_SalesOverview_InTax[[#This Row],[ATV_TGT]]</f>
        <v>1.082526199809241</v>
      </c>
      <c r="AJ239" s="105">
        <f>Total_SalesOverview_InTax[[#This Row],[UPT]]/Total_SalesOverview_InTax[[#This Row],[UPT_TGT]]</f>
        <v>1.0759610528146801</v>
      </c>
      <c r="AK239" s="105">
        <f>Total_SalesOverview_InTax[[#This Row],[RRC]]/Total_SalesOverview_InTax[[#This Row],[RRC_TGT]]</f>
        <v>0.98617854327883614</v>
      </c>
      <c r="AL239" s="28" t="str">
        <f>_xlfn.XLOOKUP(Total_SalesOverview_InTax[[#This Row],[DATE]],全店核心数据_bymonth[开始日期],全店核心数据_bymonth[jda日历.PayYear],"")</f>
        <v>BU25</v>
      </c>
      <c r="AO239" s="428">
        <f>Total_SalesOverview_InTax[[#This Row],[DATE]]</f>
        <v>45597</v>
      </c>
      <c r="AP239" s="429">
        <f>Total_SalesOverview_InTax[[#This Row],[GMV]]/$F$1</f>
        <v>10150812.389380531</v>
      </c>
      <c r="AQ239" s="429">
        <f>Total_SalesOverview_ExclTax[[#This Row],[GMV]]-Total_SalesOverview_ExclTax[[#This Row],[RR]]</f>
        <v>3558712.4070796454</v>
      </c>
      <c r="AR239" s="430">
        <f>Total_SalesOverview_InTax[[#This Row],[UV]]</f>
        <v>450670</v>
      </c>
      <c r="AS239" s="431">
        <f>Total_SalesOverview_InTax[[#This Row],[Buyers]]</f>
        <v>2226</v>
      </c>
      <c r="AT239" s="431">
        <f>Total_SalesOverview_InTax[[#This Row],[Units]]</f>
        <v>3121</v>
      </c>
      <c r="AU239" s="92">
        <f>Total_SalesOverview_ExclTax[[#This Row],[Buyers]]/Total_SalesOverview_ExclTax[[#This Row],[UV]]</f>
        <v>4.9393125790489715E-3</v>
      </c>
      <c r="AV239" s="431">
        <f>Total_SalesOverview_ExclTax[[#This Row],[GMV]]/Total_SalesOverview_ExclTax[[#This Row],[Buyers]]</f>
        <v>4560.1133824710387</v>
      </c>
      <c r="AW239" s="431">
        <f>Total_SalesOverview_ExclTax[[#This Row],[GMV]]/Total_SalesOverview_ExclTax[[#This Row],[Units]]</f>
        <v>3252.4230661264119</v>
      </c>
      <c r="AX239" s="432">
        <f>Total_SalesOverview_ExclTax[[#This Row],[Units]]/Total_SalesOverview_ExclTax[[#This Row],[Buyers]]</f>
        <v>1.4020664869721473</v>
      </c>
      <c r="AY239" s="93">
        <f>Total_SalesOverview_ExclTax[[#This Row],[RR]]/Total_SalesOverview_ExclTax[[#This Row],[GMV]]</f>
        <v>0.64941600035848746</v>
      </c>
      <c r="AZ239" s="461">
        <f>Total_SalesOverview_InTax[[#This Row],[RR]]/$F$1</f>
        <v>6592099.982300886</v>
      </c>
      <c r="BA239" s="461">
        <f>Total_SalesOverview_InTax[[#This Row],[MD GMV]]/$F$1</f>
        <v>7525457.3008849565</v>
      </c>
      <c r="BB239" s="94">
        <f>Total_SalesOverview_ExclTax[[#This Row],[MD GMV]]/Total_SalesOverview_ExclTax[[#This Row],[GMV]]</f>
        <v>0.7413650269763491</v>
      </c>
      <c r="BC239" s="461">
        <f>Total_SalesOverview_InTax[[#This Row],[GMV_TGT]]/$F$1</f>
        <v>9701327.4336283188</v>
      </c>
      <c r="BD239" s="461">
        <f>Total_SalesOverview_InTax[[#This Row],[NET_TGT]]/$F$1</f>
        <v>3312831.8584070802</v>
      </c>
      <c r="BE239" s="461">
        <f>Total_SalesOverview_InTax[[#This Row],[TRAFFIC_TGT]]</f>
        <v>522866</v>
      </c>
      <c r="BF239" s="431">
        <f>Total_SalesOverview_InTax[[#This Row],[BUYERS_TGT]]</f>
        <v>2303</v>
      </c>
      <c r="BG239" s="104">
        <f>Total_SalesOverview_InTax[[#This Row],[CVR_TGT]]</f>
        <v>4.4045701958054266E-3</v>
      </c>
      <c r="BH239" s="431">
        <f>Total_SalesOverview_InTax[[#This Row],[ATV_TGT]]/$F$1</f>
        <v>4212.4739182059575</v>
      </c>
      <c r="BI239" s="432">
        <f>Total_SalesOverview_InTax[[#This Row],[UPT_TGT]]</f>
        <v>1.3030829353017803</v>
      </c>
      <c r="BJ239" s="389">
        <f>Total_SalesOverview_InTax[[#This Row],[RRC_TGT]]</f>
        <v>0.65851767388825544</v>
      </c>
      <c r="BK239" s="431">
        <f>Total_SalesOverview_InTax[[#This Row],[UNITS_TGT]]</f>
        <v>3001</v>
      </c>
      <c r="BL239" s="28" t="str">
        <f>_xlfn.XLOOKUP(Total_SalesOverview_ExclTax[[#This Row],[DATE]],全店核心数据_bymonth[开始日期],全店核心数据_bymonth[jda日历.PayYear],"")</f>
        <v>BU25</v>
      </c>
      <c r="BO239" s="28"/>
      <c r="CQ239" s="53"/>
    </row>
    <row r="240" spans="5:95" ht="13.5" customHeight="1" x14ac:dyDescent="0.3">
      <c r="E240" s="428">
        <v>45566</v>
      </c>
      <c r="F240" s="431">
        <f t="shared" si="56"/>
        <v>16417261</v>
      </c>
      <c r="G240" s="431">
        <f t="shared" si="56"/>
        <v>4253267.0500000007</v>
      </c>
      <c r="H240" s="431">
        <f t="shared" si="56"/>
        <v>425635</v>
      </c>
      <c r="I240" s="431">
        <f t="shared" si="56"/>
        <v>2893</v>
      </c>
      <c r="J240" s="431">
        <f t="shared" si="56"/>
        <v>4264</v>
      </c>
      <c r="K240" s="92">
        <f>Total_SalesOverview_InTax[[#This Row],[Buyers]]/Total_SalesOverview_InTax[[#This Row],[UV]]</f>
        <v>6.7969034501392037E-3</v>
      </c>
      <c r="L240" s="431">
        <f>Total_SalesOverview_InTax[[#This Row],[GMV]]/Total_SalesOverview_InTax[[#This Row],[Buyers]]</f>
        <v>5674.8223297614932</v>
      </c>
      <c r="M240" s="431">
        <f>Total_SalesOverview_InTax[[#This Row],[GMV]]/Total_SalesOverview_InTax[[#This Row],[Units]]</f>
        <v>3850.2019230769229</v>
      </c>
      <c r="N240" s="432">
        <f>Total_SalesOverview_InTax[[#This Row],[Units]]/Total_SalesOverview_InTax[[#This Row],[Buyers]]</f>
        <v>1.4739025233321812</v>
      </c>
      <c r="O240" s="93">
        <f>Total_SalesOverview_InTax[[#This Row],[RR]]/Total_SalesOverview_InTax[[#This Row],[GMV]]</f>
        <v>0.74092712237443259</v>
      </c>
      <c r="P240" s="431">
        <f t="shared" si="52"/>
        <v>12163993.949999999</v>
      </c>
      <c r="Q240" s="431">
        <f t="shared" si="52"/>
        <v>13542393.560000001</v>
      </c>
      <c r="R240" s="94">
        <f>Total_SalesOverview_InTax[[#This Row],[MD GMV]]/Total_SalesOverview_InTax[[#This Row],[GMV]]</f>
        <v>0.8248875107729603</v>
      </c>
      <c r="S240" s="431">
        <f t="shared" si="53"/>
        <v>3447925.6</v>
      </c>
      <c r="T240" s="94">
        <f>Total_SalesOverview_InTax[[#This Row],[MD NET]]/Total_SalesOverview_InTax[[#This Row],[NET]]</f>
        <v>0.81065344815346108</v>
      </c>
      <c r="U240" s="431">
        <f t="shared" si="54"/>
        <v>17315000</v>
      </c>
      <c r="V240" s="431">
        <f t="shared" si="54"/>
        <v>5485750</v>
      </c>
      <c r="W240" s="431">
        <f t="shared" si="54"/>
        <v>606843</v>
      </c>
      <c r="X240" s="431">
        <f t="shared" si="54"/>
        <v>3614</v>
      </c>
      <c r="Y240" s="378">
        <f>Total_SalesOverview_InTax[[#This Row],[BUYERS_TGT]]/Total_SalesOverview_InTax[[#This Row],[TRAFFIC_TGT]]</f>
        <v>5.955411861057967E-3</v>
      </c>
      <c r="Z240" s="379">
        <f>Total_SalesOverview_InTax[[#This Row],[GMV_TGT]]/Total_SalesOverview_InTax[[#This Row],[BUYERS_TGT]]</f>
        <v>4791.0902047592699</v>
      </c>
      <c r="AA240" s="380">
        <f>Total_SalesOverview_InTax[[#This Row],[UNITS_TGT]]/Total_SalesOverview_InTax[[#This Row],[BUYERS_TGT]]</f>
        <v>1.3635860542335363</v>
      </c>
      <c r="AB240" s="94">
        <f>1-Total_SalesOverview_InTax[[#This Row],[NET_TGT]]/Total_SalesOverview_InTax[[#This Row],[GMV_TGT]]</f>
        <v>0.6831793242853017</v>
      </c>
      <c r="AC240" s="426">
        <f t="shared" si="55"/>
        <v>4928</v>
      </c>
      <c r="AD240" s="105">
        <f>Total_SalesOverview_InTax[[#This Row],[GMV]]/Total_SalesOverview_InTax[[#This Row],[GMV_TGT]]</f>
        <v>0.9481525267109443</v>
      </c>
      <c r="AE240" s="105">
        <f>Total_SalesOverview_InTax[[#This Row],[NET]]/Total_SalesOverview_InTax[[#This Row],[NET_TGT]]</f>
        <v>0.77533009160096622</v>
      </c>
      <c r="AF240" s="105">
        <f>Total_SalesOverview_InTax[[#This Row],[UV]]/Total_SalesOverview_InTax[[#This Row],[TRAFFIC_TGT]]</f>
        <v>0.7013922876262888</v>
      </c>
      <c r="AG240" s="105">
        <f>Total_SalesOverview_InTax[[#This Row],[Buyers]]/Total_SalesOverview_InTax[[#This Row],[BUYERS_TGT]]</f>
        <v>0.8004980630879911</v>
      </c>
      <c r="AH240" s="105">
        <f>Total_SalesOverview_InTax[[#This Row],[CR]]/Total_SalesOverview_InTax[[#This Row],[CVR_TGT]]</f>
        <v>1.1412986387362549</v>
      </c>
      <c r="AI240" s="105">
        <f>Total_SalesOverview_InTax[[#This Row],[ATV]]/Total_SalesOverview_InTax[[#This Row],[ATV_TGT]]</f>
        <v>1.1844532428390433</v>
      </c>
      <c r="AJ240" s="105">
        <f>Total_SalesOverview_InTax[[#This Row],[UPT]]/Total_SalesOverview_InTax[[#This Row],[UPT_TGT]]</f>
        <v>1.0809017287586247</v>
      </c>
      <c r="AK240" s="105">
        <f>Total_SalesOverview_InTax[[#This Row],[RRC]]/Total_SalesOverview_InTax[[#This Row],[RRC_TGT]]</f>
        <v>1.0845280236628105</v>
      </c>
      <c r="AL240" s="28" t="str">
        <f>_xlfn.XLOOKUP(Total_SalesOverview_InTax[[#This Row],[DATE]],全店核心数据_bymonth[开始日期],全店核心数据_bymonth[jda日历.PayYear],"")</f>
        <v>BU25</v>
      </c>
      <c r="AO240" s="428">
        <f>Total_SalesOverview_InTax[[#This Row],[DATE]]</f>
        <v>45566</v>
      </c>
      <c r="AP240" s="429">
        <f>Total_SalesOverview_InTax[[#This Row],[GMV]]/$F$1</f>
        <v>14528549.557522126</v>
      </c>
      <c r="AQ240" s="429">
        <f>Total_SalesOverview_ExclTax[[#This Row],[GMV]]-Total_SalesOverview_ExclTax[[#This Row],[RR]]</f>
        <v>3763953.1415929217</v>
      </c>
      <c r="AR240" s="430">
        <f>Total_SalesOverview_InTax[[#This Row],[UV]]</f>
        <v>425635</v>
      </c>
      <c r="AS240" s="431">
        <f>Total_SalesOverview_InTax[[#This Row],[Buyers]]</f>
        <v>2893</v>
      </c>
      <c r="AT240" s="431">
        <f>Total_SalesOverview_InTax[[#This Row],[Units]]</f>
        <v>4264</v>
      </c>
      <c r="AU240" s="92">
        <f>Total_SalesOverview_ExclTax[[#This Row],[Buyers]]/Total_SalesOverview_ExclTax[[#This Row],[UV]]</f>
        <v>6.7969034501392037E-3</v>
      </c>
      <c r="AV240" s="431">
        <f>Total_SalesOverview_ExclTax[[#This Row],[GMV]]/Total_SalesOverview_ExclTax[[#This Row],[Buyers]]</f>
        <v>5021.9666635057465</v>
      </c>
      <c r="AW240" s="431">
        <f>Total_SalesOverview_ExclTax[[#This Row],[GMV]]/Total_SalesOverview_ExclTax[[#This Row],[Units]]</f>
        <v>3407.2583390061268</v>
      </c>
      <c r="AX240" s="432">
        <f>Total_SalesOverview_ExclTax[[#This Row],[Units]]/Total_SalesOverview_ExclTax[[#This Row],[Buyers]]</f>
        <v>1.4739025233321812</v>
      </c>
      <c r="AY240" s="93">
        <f>Total_SalesOverview_ExclTax[[#This Row],[RR]]/Total_SalesOverview_ExclTax[[#This Row],[GMV]]</f>
        <v>0.74092712237443259</v>
      </c>
      <c r="AZ240" s="461">
        <f>Total_SalesOverview_InTax[[#This Row],[RR]]/$F$1</f>
        <v>10764596.415929204</v>
      </c>
      <c r="BA240" s="461">
        <f>Total_SalesOverview_InTax[[#This Row],[MD GMV]]/$F$1</f>
        <v>11984419.079646019</v>
      </c>
      <c r="BB240" s="94">
        <f>Total_SalesOverview_ExclTax[[#This Row],[MD GMV]]/Total_SalesOverview_ExclTax[[#This Row],[GMV]]</f>
        <v>0.8248875107729603</v>
      </c>
      <c r="BC240" s="461">
        <f>Total_SalesOverview_InTax[[#This Row],[GMV_TGT]]/$F$1</f>
        <v>15323008.849557523</v>
      </c>
      <c r="BD240" s="461">
        <f>Total_SalesOverview_InTax[[#This Row],[NET_TGT]]/$F$1</f>
        <v>4854646.0176991159</v>
      </c>
      <c r="BE240" s="461">
        <f>Total_SalesOverview_InTax[[#This Row],[TRAFFIC_TGT]]</f>
        <v>606843</v>
      </c>
      <c r="BF240" s="431">
        <f>Total_SalesOverview_InTax[[#This Row],[BUYERS_TGT]]</f>
        <v>3614</v>
      </c>
      <c r="BG240" s="104">
        <f>Total_SalesOverview_InTax[[#This Row],[CVR_TGT]]</f>
        <v>5.955411861057967E-3</v>
      </c>
      <c r="BH240" s="431">
        <f>Total_SalesOverview_InTax[[#This Row],[ATV_TGT]]/$F$1</f>
        <v>4239.9028360701504</v>
      </c>
      <c r="BI240" s="432">
        <f>Total_SalesOverview_InTax[[#This Row],[UPT_TGT]]</f>
        <v>1.3635860542335363</v>
      </c>
      <c r="BJ240" s="389">
        <f>Total_SalesOverview_InTax[[#This Row],[RRC_TGT]]</f>
        <v>0.6831793242853017</v>
      </c>
      <c r="BK240" s="431">
        <f>Total_SalesOverview_InTax[[#This Row],[UNITS_TGT]]</f>
        <v>4928</v>
      </c>
      <c r="BL240" s="28" t="str">
        <f>_xlfn.XLOOKUP(Total_SalesOverview_ExclTax[[#This Row],[DATE]],全店核心数据_bymonth[开始日期],全店核心数据_bymonth[jda日历.PayYear],"")</f>
        <v>BU25</v>
      </c>
      <c r="BO240" s="28"/>
      <c r="CQ240" s="53"/>
    </row>
    <row r="241" spans="5:95" ht="13.5" customHeight="1" x14ac:dyDescent="0.3">
      <c r="E241" s="428">
        <v>45536</v>
      </c>
      <c r="F241" s="431">
        <f t="shared" si="56"/>
        <v>981105</v>
      </c>
      <c r="G241" s="431">
        <f t="shared" si="56"/>
        <v>480684.12</v>
      </c>
      <c r="H241" s="431">
        <f t="shared" si="56"/>
        <v>212396</v>
      </c>
      <c r="I241" s="431">
        <f t="shared" si="56"/>
        <v>174</v>
      </c>
      <c r="J241" s="431">
        <f t="shared" si="56"/>
        <v>251</v>
      </c>
      <c r="K241" s="92">
        <f>Total_SalesOverview_InTax[[#This Row],[Buyers]]/Total_SalesOverview_InTax[[#This Row],[UV]]</f>
        <v>8.1922446750409611E-4</v>
      </c>
      <c r="L241" s="431">
        <f>Total_SalesOverview_InTax[[#This Row],[GMV]]/Total_SalesOverview_InTax[[#This Row],[Buyers]]</f>
        <v>5638.5344827586205</v>
      </c>
      <c r="M241" s="431">
        <f>Total_SalesOverview_InTax[[#This Row],[GMV]]/Total_SalesOverview_InTax[[#This Row],[Units]]</f>
        <v>3908.7848605577688</v>
      </c>
      <c r="N241" s="432">
        <f>Total_SalesOverview_InTax[[#This Row],[Units]]/Total_SalesOverview_InTax[[#This Row],[Buyers]]</f>
        <v>1.4425287356321839</v>
      </c>
      <c r="O241" s="93">
        <f>Total_SalesOverview_InTax[[#This Row],[RR]]/Total_SalesOverview_InTax[[#This Row],[GMV]]</f>
        <v>0.5100584341125568</v>
      </c>
      <c r="P241" s="431">
        <f t="shared" si="52"/>
        <v>500420.88</v>
      </c>
      <c r="Q241" s="431">
        <f t="shared" si="52"/>
        <v>0</v>
      </c>
      <c r="R241" s="94">
        <f>Total_SalesOverview_InTax[[#This Row],[MD GMV]]/Total_SalesOverview_InTax[[#This Row],[GMV]]</f>
        <v>0</v>
      </c>
      <c r="S241" s="431">
        <f t="shared" si="53"/>
        <v>0</v>
      </c>
      <c r="T241" s="94">
        <f>Total_SalesOverview_InTax[[#This Row],[MD NET]]/Total_SalesOverview_InTax[[#This Row],[NET]]</f>
        <v>0</v>
      </c>
      <c r="U241" s="431">
        <f t="shared" si="54"/>
        <v>1558000</v>
      </c>
      <c r="V241" s="431">
        <f t="shared" si="54"/>
        <v>794580</v>
      </c>
      <c r="W241" s="431">
        <f t="shared" si="54"/>
        <v>288100</v>
      </c>
      <c r="X241" s="431">
        <f t="shared" si="54"/>
        <v>274</v>
      </c>
      <c r="Y241" s="378">
        <f>Total_SalesOverview_InTax[[#This Row],[BUYERS_TGT]]/Total_SalesOverview_InTax[[#This Row],[TRAFFIC_TGT]]</f>
        <v>9.5105866018743495E-4</v>
      </c>
      <c r="Z241" s="379">
        <f>Total_SalesOverview_InTax[[#This Row],[GMV_TGT]]/Total_SalesOverview_InTax[[#This Row],[BUYERS_TGT]]</f>
        <v>5686.1313868613142</v>
      </c>
      <c r="AA241" s="380">
        <f>Total_SalesOverview_InTax[[#This Row],[UNITS_TGT]]/Total_SalesOverview_InTax[[#This Row],[BUYERS_TGT]]</f>
        <v>1.562043795620438</v>
      </c>
      <c r="AB241" s="94">
        <f>1-Total_SalesOverview_InTax[[#This Row],[NET_TGT]]/Total_SalesOverview_InTax[[#This Row],[GMV_TGT]]</f>
        <v>0.49</v>
      </c>
      <c r="AC241" s="426">
        <f t="shared" si="55"/>
        <v>428</v>
      </c>
      <c r="AD241" s="105">
        <f>Total_SalesOverview_InTax[[#This Row],[GMV]]/Total_SalesOverview_InTax[[#This Row],[GMV_TGT]]</f>
        <v>0.62972079589216945</v>
      </c>
      <c r="AE241" s="105">
        <f>Total_SalesOverview_InTax[[#This Row],[NET]]/Total_SalesOverview_InTax[[#This Row],[NET_TGT]]</f>
        <v>0.60495371139469911</v>
      </c>
      <c r="AF241" s="105">
        <f>Total_SalesOverview_InTax[[#This Row],[UV]]/Total_SalesOverview_InTax[[#This Row],[TRAFFIC_TGT]]</f>
        <v>0.73723012842762925</v>
      </c>
      <c r="AG241" s="105">
        <f>Total_SalesOverview_InTax[[#This Row],[Buyers]]/Total_SalesOverview_InTax[[#This Row],[BUYERS_TGT]]</f>
        <v>0.63503649635036497</v>
      </c>
      <c r="AH241" s="105">
        <f>Total_SalesOverview_InTax[[#This Row],[CR]]/Total_SalesOverview_InTax[[#This Row],[CVR_TGT]]</f>
        <v>0.86138163900704412</v>
      </c>
      <c r="AI241" s="105">
        <f>Total_SalesOverview_InTax[[#This Row],[ATV]]/Total_SalesOverview_InTax[[#This Row],[ATV_TGT]]</f>
        <v>0.99162929927847365</v>
      </c>
      <c r="AJ241" s="105">
        <f>Total_SalesOverview_InTax[[#This Row],[UPT]]/Total_SalesOverview_InTax[[#This Row],[UPT_TGT]]</f>
        <v>0.9234880223439681</v>
      </c>
      <c r="AK241" s="105">
        <f>Total_SalesOverview_InTax[[#This Row],[RRC]]/Total_SalesOverview_InTax[[#This Row],[RRC_TGT]]</f>
        <v>1.0409355798215445</v>
      </c>
      <c r="AL241" s="28" t="str">
        <f>_xlfn.XLOOKUP(Total_SalesOverview_InTax[[#This Row],[DATE]],全店核心数据_bymonth[开始日期],全店核心数据_bymonth[jda日历.PayYear],"")</f>
        <v>BU25</v>
      </c>
      <c r="AO241" s="428">
        <f>Total_SalesOverview_InTax[[#This Row],[DATE]]</f>
        <v>45536</v>
      </c>
      <c r="AP241" s="429">
        <f>Total_SalesOverview_InTax[[#This Row],[GMV]]/$F$1</f>
        <v>868234.51327433635</v>
      </c>
      <c r="AQ241" s="429">
        <f>Total_SalesOverview_ExclTax[[#This Row],[GMV]]-Total_SalesOverview_ExclTax[[#This Row],[RR]]</f>
        <v>425384.17699115048</v>
      </c>
      <c r="AR241" s="430">
        <f>Total_SalesOverview_InTax[[#This Row],[UV]]</f>
        <v>212396</v>
      </c>
      <c r="AS241" s="431">
        <f>Total_SalesOverview_InTax[[#This Row],[Buyers]]</f>
        <v>174</v>
      </c>
      <c r="AT241" s="431">
        <f>Total_SalesOverview_InTax[[#This Row],[Units]]</f>
        <v>251</v>
      </c>
      <c r="AU241" s="92">
        <f>Total_SalesOverview_ExclTax[[#This Row],[Buyers]]/Total_SalesOverview_ExclTax[[#This Row],[UV]]</f>
        <v>8.1922446750409611E-4</v>
      </c>
      <c r="AV241" s="431">
        <f>Total_SalesOverview_ExclTax[[#This Row],[GMV]]/Total_SalesOverview_ExclTax[[#This Row],[Buyers]]</f>
        <v>4989.853524565151</v>
      </c>
      <c r="AW241" s="431">
        <f>Total_SalesOverview_ExclTax[[#This Row],[GMV]]/Total_SalesOverview_ExclTax[[#This Row],[Units]]</f>
        <v>3459.1016465113003</v>
      </c>
      <c r="AX241" s="432">
        <f>Total_SalesOverview_ExclTax[[#This Row],[Units]]/Total_SalesOverview_ExclTax[[#This Row],[Buyers]]</f>
        <v>1.4425287356321839</v>
      </c>
      <c r="AY241" s="93">
        <f>Total_SalesOverview_ExclTax[[#This Row],[RR]]/Total_SalesOverview_ExclTax[[#This Row],[GMV]]</f>
        <v>0.5100584341125568</v>
      </c>
      <c r="AZ241" s="461">
        <f>Total_SalesOverview_InTax[[#This Row],[RR]]/$F$1</f>
        <v>442850.33628318587</v>
      </c>
      <c r="BA241" s="461">
        <f>Total_SalesOverview_InTax[[#This Row],[MD GMV]]/$F$1</f>
        <v>0</v>
      </c>
      <c r="BB241" s="94">
        <f>Total_SalesOverview_ExclTax[[#This Row],[MD GMV]]/Total_SalesOverview_ExclTax[[#This Row],[GMV]]</f>
        <v>0</v>
      </c>
      <c r="BC241" s="461">
        <f>Total_SalesOverview_InTax[[#This Row],[GMV_TGT]]/$F$1</f>
        <v>1378761.0619469029</v>
      </c>
      <c r="BD241" s="461">
        <f>Total_SalesOverview_InTax[[#This Row],[NET_TGT]]/$F$1</f>
        <v>703168.14159292041</v>
      </c>
      <c r="BE241" s="461">
        <f>Total_SalesOverview_InTax[[#This Row],[TRAFFIC_TGT]]</f>
        <v>288100</v>
      </c>
      <c r="BF241" s="431">
        <f>Total_SalesOverview_InTax[[#This Row],[BUYERS_TGT]]</f>
        <v>274</v>
      </c>
      <c r="BG241" s="104">
        <f>Total_SalesOverview_InTax[[#This Row],[CVR_TGT]]</f>
        <v>9.5105866018743495E-4</v>
      </c>
      <c r="BH241" s="431">
        <f>Total_SalesOverview_InTax[[#This Row],[ATV_TGT]]/$F$1</f>
        <v>5031.9746786383321</v>
      </c>
      <c r="BI241" s="432">
        <f>Total_SalesOverview_InTax[[#This Row],[UPT_TGT]]</f>
        <v>1.562043795620438</v>
      </c>
      <c r="BJ241" s="389">
        <f>Total_SalesOverview_InTax[[#This Row],[RRC_TGT]]</f>
        <v>0.49</v>
      </c>
      <c r="BK241" s="431">
        <f>Total_SalesOverview_InTax[[#This Row],[UNITS_TGT]]</f>
        <v>428</v>
      </c>
      <c r="BL241" s="28" t="str">
        <f>_xlfn.XLOOKUP(Total_SalesOverview_ExclTax[[#This Row],[DATE]],全店核心数据_bymonth[开始日期],全店核心数据_bymonth[jda日历.PayYear],"")</f>
        <v>BU25</v>
      </c>
      <c r="BO241" s="28"/>
      <c r="CQ241" s="53"/>
    </row>
    <row r="242" spans="5:95" ht="13.5" customHeight="1" x14ac:dyDescent="0.3">
      <c r="E242" s="428">
        <v>45505</v>
      </c>
      <c r="F242" s="431">
        <f t="shared" si="56"/>
        <v>1182220</v>
      </c>
      <c r="G242" s="431">
        <f t="shared" si="56"/>
        <v>672015</v>
      </c>
      <c r="H242" s="431">
        <f t="shared" si="56"/>
        <v>228950</v>
      </c>
      <c r="I242" s="431">
        <f t="shared" si="56"/>
        <v>190</v>
      </c>
      <c r="J242" s="431">
        <f t="shared" si="56"/>
        <v>262</v>
      </c>
      <c r="K242" s="92">
        <f>Total_SalesOverview_InTax[[#This Row],[Buyers]]/Total_SalesOverview_InTax[[#This Row],[UV]]</f>
        <v>8.2987551867219915E-4</v>
      </c>
      <c r="L242" s="431">
        <f>Total_SalesOverview_InTax[[#This Row],[GMV]]/Total_SalesOverview_InTax[[#This Row],[Buyers]]</f>
        <v>6222.2105263157891</v>
      </c>
      <c r="M242" s="431">
        <f>Total_SalesOverview_InTax[[#This Row],[GMV]]/Total_SalesOverview_InTax[[#This Row],[Units]]</f>
        <v>4512.2900763358775</v>
      </c>
      <c r="N242" s="432">
        <f>Total_SalesOverview_InTax[[#This Row],[Units]]/Total_SalesOverview_InTax[[#This Row],[Buyers]]</f>
        <v>1.3789473684210527</v>
      </c>
      <c r="O242" s="93">
        <f>Total_SalesOverview_InTax[[#This Row],[RR]]/Total_SalesOverview_InTax[[#This Row],[GMV]]</f>
        <v>0.43156519091201301</v>
      </c>
      <c r="P242" s="431">
        <f t="shared" si="52"/>
        <v>510205</v>
      </c>
      <c r="Q242" s="431">
        <f t="shared" si="52"/>
        <v>0</v>
      </c>
      <c r="R242" s="94">
        <f>Total_SalesOverview_InTax[[#This Row],[MD GMV]]/Total_SalesOverview_InTax[[#This Row],[GMV]]</f>
        <v>0</v>
      </c>
      <c r="S242" s="431">
        <f t="shared" si="53"/>
        <v>0</v>
      </c>
      <c r="T242" s="94">
        <f>Total_SalesOverview_InTax[[#This Row],[MD NET]]/Total_SalesOverview_InTax[[#This Row],[NET]]</f>
        <v>0</v>
      </c>
      <c r="U242" s="431">
        <f t="shared" si="54"/>
        <v>1437950</v>
      </c>
      <c r="V242" s="431">
        <f t="shared" si="54"/>
        <v>718975</v>
      </c>
      <c r="W242" s="431">
        <f t="shared" si="54"/>
        <v>302000</v>
      </c>
      <c r="X242" s="431">
        <f t="shared" si="54"/>
        <v>298</v>
      </c>
      <c r="Y242" s="378">
        <f>Total_SalesOverview_InTax[[#This Row],[BUYERS_TGT]]/Total_SalesOverview_InTax[[#This Row],[TRAFFIC_TGT]]</f>
        <v>9.867549668874172E-4</v>
      </c>
      <c r="Z242" s="379">
        <f>Total_SalesOverview_InTax[[#This Row],[GMV_TGT]]/Total_SalesOverview_InTax[[#This Row],[BUYERS_TGT]]</f>
        <v>4825.3355704697988</v>
      </c>
      <c r="AA242" s="380">
        <f>Total_SalesOverview_InTax[[#This Row],[UNITS_TGT]]/Total_SalesOverview_InTax[[#This Row],[BUYERS_TGT]]</f>
        <v>1.3154362416107384</v>
      </c>
      <c r="AB242" s="94">
        <f>1-Total_SalesOverview_InTax[[#This Row],[NET_TGT]]/Total_SalesOverview_InTax[[#This Row],[GMV_TGT]]</f>
        <v>0.5</v>
      </c>
      <c r="AC242" s="426">
        <f t="shared" si="55"/>
        <v>392</v>
      </c>
      <c r="AD242" s="105">
        <f>Total_SalesOverview_InTax[[#This Row],[GMV]]/Total_SalesOverview_InTax[[#This Row],[GMV_TGT]]</f>
        <v>0.82215654229980184</v>
      </c>
      <c r="AE242" s="105">
        <f>Total_SalesOverview_InTax[[#This Row],[NET]]/Total_SalesOverview_InTax[[#This Row],[NET_TGT]]</f>
        <v>0.93468479432525475</v>
      </c>
      <c r="AF242" s="105">
        <f>Total_SalesOverview_InTax[[#This Row],[UV]]/Total_SalesOverview_InTax[[#This Row],[TRAFFIC_TGT]]</f>
        <v>0.75811258278145699</v>
      </c>
      <c r="AG242" s="105">
        <f>Total_SalesOverview_InTax[[#This Row],[Buyers]]/Total_SalesOverview_InTax[[#This Row],[BUYERS_TGT]]</f>
        <v>0.63758389261744963</v>
      </c>
      <c r="AH242" s="105">
        <f>Total_SalesOverview_InTax[[#This Row],[CR]]/Total_SalesOverview_InTax[[#This Row],[CVR_TGT]]</f>
        <v>0.84101478737920854</v>
      </c>
      <c r="AI242" s="105">
        <f>Total_SalesOverview_InTax[[#This Row],[ATV]]/Total_SalesOverview_InTax[[#This Row],[ATV_TGT]]</f>
        <v>1.2894876295017943</v>
      </c>
      <c r="AJ242" s="105">
        <f>Total_SalesOverview_InTax[[#This Row],[UPT]]/Total_SalesOverview_InTax[[#This Row],[UPT_TGT]]</f>
        <v>1.0482814178302899</v>
      </c>
      <c r="AK242" s="105">
        <f>Total_SalesOverview_InTax[[#This Row],[RRC]]/Total_SalesOverview_InTax[[#This Row],[RRC_TGT]]</f>
        <v>0.86313038182402602</v>
      </c>
      <c r="AL242" s="28" t="str">
        <f>_xlfn.XLOOKUP(Total_SalesOverview_InTax[[#This Row],[DATE]],全店核心数据_bymonth[开始日期],全店核心数据_bymonth[jda日历.PayYear],"")</f>
        <v>BU25</v>
      </c>
      <c r="AO242" s="428">
        <f>Total_SalesOverview_InTax[[#This Row],[DATE]]</f>
        <v>45505</v>
      </c>
      <c r="AP242" s="429">
        <f>Total_SalesOverview_InTax[[#This Row],[GMV]]/$F$1</f>
        <v>1046212.389380531</v>
      </c>
      <c r="AQ242" s="429">
        <f>Total_SalesOverview_ExclTax[[#This Row],[GMV]]-Total_SalesOverview_ExclTax[[#This Row],[RR]]</f>
        <v>594703.53982300893</v>
      </c>
      <c r="AR242" s="430">
        <f>Total_SalesOverview_InTax[[#This Row],[UV]]</f>
        <v>228950</v>
      </c>
      <c r="AS242" s="431">
        <f>Total_SalesOverview_InTax[[#This Row],[Buyers]]</f>
        <v>190</v>
      </c>
      <c r="AT242" s="431">
        <f>Total_SalesOverview_InTax[[#This Row],[Units]]</f>
        <v>262</v>
      </c>
      <c r="AU242" s="92">
        <f>Total_SalesOverview_ExclTax[[#This Row],[Buyers]]/Total_SalesOverview_ExclTax[[#This Row],[UV]]</f>
        <v>8.2987551867219915E-4</v>
      </c>
      <c r="AV242" s="431">
        <f>Total_SalesOverview_ExclTax[[#This Row],[GMV]]/Total_SalesOverview_ExclTax[[#This Row],[Buyers]]</f>
        <v>5506.3809967396373</v>
      </c>
      <c r="AW242" s="431">
        <f>Total_SalesOverview_ExclTax[[#This Row],[GMV]]/Total_SalesOverview_ExclTax[[#This Row],[Units]]</f>
        <v>3993.177058704317</v>
      </c>
      <c r="AX242" s="432">
        <f>Total_SalesOverview_ExclTax[[#This Row],[Units]]/Total_SalesOverview_ExclTax[[#This Row],[Buyers]]</f>
        <v>1.3789473684210527</v>
      </c>
      <c r="AY242" s="93">
        <f>Total_SalesOverview_ExclTax[[#This Row],[RR]]/Total_SalesOverview_ExclTax[[#This Row],[GMV]]</f>
        <v>0.43156519091201301</v>
      </c>
      <c r="AZ242" s="461">
        <f>Total_SalesOverview_InTax[[#This Row],[RR]]/$F$1</f>
        <v>451508.84955752216</v>
      </c>
      <c r="BA242" s="461">
        <f>Total_SalesOverview_InTax[[#This Row],[MD GMV]]/$F$1</f>
        <v>0</v>
      </c>
      <c r="BB242" s="94">
        <f>Total_SalesOverview_ExclTax[[#This Row],[MD GMV]]/Total_SalesOverview_ExclTax[[#This Row],[GMV]]</f>
        <v>0</v>
      </c>
      <c r="BC242" s="461">
        <f>Total_SalesOverview_InTax[[#This Row],[GMV_TGT]]/$F$1</f>
        <v>1272522.1238938053</v>
      </c>
      <c r="BD242" s="461">
        <f>Total_SalesOverview_InTax[[#This Row],[NET_TGT]]/$F$1</f>
        <v>636261.06194690266</v>
      </c>
      <c r="BE242" s="461">
        <f>Total_SalesOverview_InTax[[#This Row],[TRAFFIC_TGT]]</f>
        <v>302000</v>
      </c>
      <c r="BF242" s="431">
        <f>Total_SalesOverview_InTax[[#This Row],[BUYERS_TGT]]</f>
        <v>298</v>
      </c>
      <c r="BG242" s="104">
        <f>Total_SalesOverview_InTax[[#This Row],[CVR_TGT]]</f>
        <v>9.867549668874172E-4</v>
      </c>
      <c r="BH242" s="431">
        <f>Total_SalesOverview_InTax[[#This Row],[ATV_TGT]]/$F$1</f>
        <v>4270.2084694423002</v>
      </c>
      <c r="BI242" s="432">
        <f>Total_SalesOverview_InTax[[#This Row],[UPT_TGT]]</f>
        <v>1.3154362416107384</v>
      </c>
      <c r="BJ242" s="389">
        <f>Total_SalesOverview_InTax[[#This Row],[RRC_TGT]]</f>
        <v>0.5</v>
      </c>
      <c r="BK242" s="431">
        <f>Total_SalesOverview_InTax[[#This Row],[UNITS_TGT]]</f>
        <v>392</v>
      </c>
      <c r="BL242" s="28" t="str">
        <f>_xlfn.XLOOKUP(Total_SalesOverview_ExclTax[[#This Row],[DATE]],全店核心数据_bymonth[开始日期],全店核心数据_bymonth[jda日历.PayYear],"")</f>
        <v>BU25</v>
      </c>
      <c r="BO242" s="28"/>
      <c r="CQ242" s="53"/>
    </row>
    <row r="243" spans="5:95" ht="13.5" customHeight="1" x14ac:dyDescent="0.3">
      <c r="E243" s="428">
        <v>45474</v>
      </c>
      <c r="F243" s="431">
        <f t="shared" si="56"/>
        <v>2739499</v>
      </c>
      <c r="G243" s="431">
        <f t="shared" si="56"/>
        <v>2080328.04</v>
      </c>
      <c r="H243" s="431">
        <f t="shared" si="56"/>
        <v>276535</v>
      </c>
      <c r="I243" s="431">
        <f t="shared" si="56"/>
        <v>1195</v>
      </c>
      <c r="J243" s="431">
        <f t="shared" si="56"/>
        <v>2899</v>
      </c>
      <c r="K243" s="92">
        <f>Total_SalesOverview_InTax[[#This Row],[Buyers]]/Total_SalesOverview_InTax[[#This Row],[UV]]</f>
        <v>4.3213336467354943E-3</v>
      </c>
      <c r="L243" s="431">
        <f>Total_SalesOverview_InTax[[#This Row],[GMV]]/Total_SalesOverview_InTax[[#This Row],[Buyers]]</f>
        <v>2292.4677824267783</v>
      </c>
      <c r="M243" s="431">
        <f>Total_SalesOverview_InTax[[#This Row],[GMV]]/Total_SalesOverview_InTax[[#This Row],[Units]]</f>
        <v>944.98068299413592</v>
      </c>
      <c r="N243" s="432">
        <f>Total_SalesOverview_InTax[[#This Row],[Units]]/Total_SalesOverview_InTax[[#This Row],[Buyers]]</f>
        <v>2.4259414225941422</v>
      </c>
      <c r="O243" s="93">
        <f>Total_SalesOverview_InTax[[#This Row],[RR]]/Total_SalesOverview_InTax[[#This Row],[GMV]]</f>
        <v>0.24061733915580913</v>
      </c>
      <c r="P243" s="431">
        <f t="shared" si="52"/>
        <v>659170.96</v>
      </c>
      <c r="Q243" s="431">
        <f t="shared" si="52"/>
        <v>1608624</v>
      </c>
      <c r="R243" s="94">
        <f>Total_SalesOverview_InTax[[#This Row],[MD GMV]]/Total_SalesOverview_InTax[[#This Row],[GMV]]</f>
        <v>0.58719641803118017</v>
      </c>
      <c r="S243" s="431">
        <f t="shared" si="53"/>
        <v>1453499</v>
      </c>
      <c r="T243" s="94">
        <f>Total_SalesOverview_InTax[[#This Row],[MD NET]]/Total_SalesOverview_InTax[[#This Row],[NET]]</f>
        <v>0.69868740508828597</v>
      </c>
      <c r="U243" s="431">
        <f t="shared" si="54"/>
        <v>1839857</v>
      </c>
      <c r="V243" s="431">
        <f t="shared" si="54"/>
        <v>919929</v>
      </c>
      <c r="W243" s="431">
        <f t="shared" si="54"/>
        <v>300500</v>
      </c>
      <c r="X243" s="431">
        <f t="shared" si="54"/>
        <v>413</v>
      </c>
      <c r="Y243" s="378">
        <f>Total_SalesOverview_InTax[[#This Row],[BUYERS_TGT]]/Total_SalesOverview_InTax[[#This Row],[TRAFFIC_TGT]]</f>
        <v>1.3743760399334442E-3</v>
      </c>
      <c r="Z243" s="379">
        <f>Total_SalesOverview_InTax[[#This Row],[GMV_TGT]]/Total_SalesOverview_InTax[[#This Row],[BUYERS_TGT]]</f>
        <v>4454.8595641646489</v>
      </c>
      <c r="AA243" s="380">
        <f>Total_SalesOverview_InTax[[#This Row],[UNITS_TGT]]/Total_SalesOverview_InTax[[#This Row],[BUYERS_TGT]]</f>
        <v>1.2372881355932204</v>
      </c>
      <c r="AB243" s="94">
        <f>1-Total_SalesOverview_InTax[[#This Row],[NET_TGT]]/Total_SalesOverview_InTax[[#This Row],[GMV_TGT]]</f>
        <v>0.49999972823974903</v>
      </c>
      <c r="AC243" s="426">
        <f t="shared" si="55"/>
        <v>511</v>
      </c>
      <c r="AD243" s="105">
        <f>Total_SalesOverview_InTax[[#This Row],[GMV]]/Total_SalesOverview_InTax[[#This Row],[GMV_TGT]]</f>
        <v>1.4889738713389138</v>
      </c>
      <c r="AE243" s="105">
        <f>Total_SalesOverview_InTax[[#This Row],[NET]]/Total_SalesOverview_InTax[[#This Row],[NET_TGT]]</f>
        <v>2.2614006515720235</v>
      </c>
      <c r="AF243" s="105">
        <f>Total_SalesOverview_InTax[[#This Row],[UV]]/Total_SalesOverview_InTax[[#This Row],[TRAFFIC_TGT]]</f>
        <v>0.92024958402662227</v>
      </c>
      <c r="AG243" s="105">
        <f>Total_SalesOverview_InTax[[#This Row],[Buyers]]/Total_SalesOverview_InTax[[#This Row],[BUYERS_TGT]]</f>
        <v>2.8934624697336564</v>
      </c>
      <c r="AH243" s="105">
        <f>Total_SalesOverview_InTax[[#This Row],[CR]]/Total_SalesOverview_InTax[[#This Row],[CVR_TGT]]</f>
        <v>3.1442149172978597</v>
      </c>
      <c r="AI243" s="105">
        <f>Total_SalesOverview_InTax[[#This Row],[ATV]]/Total_SalesOverview_InTax[[#This Row],[ATV_TGT]]</f>
        <v>0.5145993379606455</v>
      </c>
      <c r="AJ243" s="105">
        <f>Total_SalesOverview_InTax[[#This Row],[UPT]]/Total_SalesOverview_InTax[[#This Row],[UPT_TGT]]</f>
        <v>1.9606923826445806</v>
      </c>
      <c r="AK243" s="105">
        <f>Total_SalesOverview_InTax[[#This Row],[RRC]]/Total_SalesOverview_InTax[[#This Row],[RRC_TGT]]</f>
        <v>0.48123493987267435</v>
      </c>
      <c r="AL243" s="28" t="str">
        <f>_xlfn.XLOOKUP(Total_SalesOverview_InTax[[#This Row],[DATE]],全店核心数据_bymonth[开始日期],全店核心数据_bymonth[jda日历.PayYear],"")</f>
        <v>BU25</v>
      </c>
      <c r="AO243" s="428">
        <f>Total_SalesOverview_InTax[[#This Row],[DATE]]</f>
        <v>45474</v>
      </c>
      <c r="AP243" s="429">
        <f>Total_SalesOverview_InTax[[#This Row],[GMV]]/$F$1</f>
        <v>2424335.3982300889</v>
      </c>
      <c r="AQ243" s="429">
        <f>Total_SalesOverview_ExclTax[[#This Row],[GMV]]-Total_SalesOverview_ExclTax[[#This Row],[RR]]</f>
        <v>1840998.2654867261</v>
      </c>
      <c r="AR243" s="430">
        <f>Total_SalesOverview_InTax[[#This Row],[UV]]</f>
        <v>276535</v>
      </c>
      <c r="AS243" s="431">
        <f>Total_SalesOverview_InTax[[#This Row],[Buyers]]</f>
        <v>1195</v>
      </c>
      <c r="AT243" s="431">
        <f>Total_SalesOverview_InTax[[#This Row],[Units]]</f>
        <v>2899</v>
      </c>
      <c r="AU243" s="92">
        <f>Total_SalesOverview_ExclTax[[#This Row],[Buyers]]/Total_SalesOverview_ExclTax[[#This Row],[UV]]</f>
        <v>4.3213336467354943E-3</v>
      </c>
      <c r="AV243" s="431">
        <f>Total_SalesOverview_ExclTax[[#This Row],[GMV]]/Total_SalesOverview_ExclTax[[#This Row],[Buyers]]</f>
        <v>2028.7325508201582</v>
      </c>
      <c r="AW243" s="431">
        <f>Total_SalesOverview_ExclTax[[#This Row],[GMV]]/Total_SalesOverview_ExclTax[[#This Row],[Units]]</f>
        <v>836.2660911452532</v>
      </c>
      <c r="AX243" s="432">
        <f>Total_SalesOverview_ExclTax[[#This Row],[Units]]/Total_SalesOverview_ExclTax[[#This Row],[Buyers]]</f>
        <v>2.4259414225941422</v>
      </c>
      <c r="AY243" s="93">
        <f>Total_SalesOverview_ExclTax[[#This Row],[RR]]/Total_SalesOverview_ExclTax[[#This Row],[GMV]]</f>
        <v>0.2406173391558091</v>
      </c>
      <c r="AZ243" s="461">
        <f>Total_SalesOverview_InTax[[#This Row],[RR]]/$F$1</f>
        <v>583337.1327433628</v>
      </c>
      <c r="BA243" s="461">
        <f>Total_SalesOverview_InTax[[#This Row],[MD GMV]]/$F$1</f>
        <v>1423561.0619469029</v>
      </c>
      <c r="BB243" s="94">
        <f>Total_SalesOverview_ExclTax[[#This Row],[MD GMV]]/Total_SalesOverview_ExclTax[[#This Row],[GMV]]</f>
        <v>0.58719641803118017</v>
      </c>
      <c r="BC243" s="461">
        <f>Total_SalesOverview_InTax[[#This Row],[GMV_TGT]]/$F$1</f>
        <v>1628192.0353982302</v>
      </c>
      <c r="BD243" s="461">
        <f>Total_SalesOverview_InTax[[#This Row],[NET_TGT]]/$F$1</f>
        <v>814096.46017699118</v>
      </c>
      <c r="BE243" s="461">
        <f>Total_SalesOverview_InTax[[#This Row],[TRAFFIC_TGT]]</f>
        <v>300500</v>
      </c>
      <c r="BF243" s="431">
        <f>Total_SalesOverview_InTax[[#This Row],[BUYERS_TGT]]</f>
        <v>413</v>
      </c>
      <c r="BG243" s="104">
        <f>Total_SalesOverview_InTax[[#This Row],[CVR_TGT]]</f>
        <v>1.3743760399334442E-3</v>
      </c>
      <c r="BH243" s="431">
        <f>Total_SalesOverview_InTax[[#This Row],[ATV_TGT]]/$F$1</f>
        <v>3942.3535966058844</v>
      </c>
      <c r="BI243" s="432">
        <f>Total_SalesOverview_InTax[[#This Row],[UPT_TGT]]</f>
        <v>1.2372881355932204</v>
      </c>
      <c r="BJ243" s="389">
        <f>Total_SalesOverview_InTax[[#This Row],[RRC_TGT]]</f>
        <v>0.49999972823974903</v>
      </c>
      <c r="BK243" s="431">
        <f>Total_SalesOverview_InTax[[#This Row],[UNITS_TGT]]</f>
        <v>511</v>
      </c>
      <c r="BL243" s="28" t="str">
        <f>_xlfn.XLOOKUP(Total_SalesOverview_ExclTax[[#This Row],[DATE]],全店核心数据_bymonth[开始日期],全店核心数据_bymonth[jda日历.PayYear],"")</f>
        <v>BU25</v>
      </c>
      <c r="BO243" s="28"/>
      <c r="CQ243" s="53"/>
    </row>
    <row r="244" spans="5:95" ht="13.5" customHeight="1" x14ac:dyDescent="0.3">
      <c r="E244" s="428">
        <v>45444</v>
      </c>
      <c r="F244" s="431">
        <f t="shared" si="56"/>
        <v>5816489</v>
      </c>
      <c r="G244" s="431">
        <f t="shared" si="56"/>
        <v>2371549.1</v>
      </c>
      <c r="H244" s="431">
        <f t="shared" si="56"/>
        <v>570977</v>
      </c>
      <c r="I244" s="431">
        <f t="shared" si="56"/>
        <v>1482</v>
      </c>
      <c r="J244" s="431">
        <f t="shared" si="56"/>
        <v>2153</v>
      </c>
      <c r="K244" s="92">
        <f>Total_SalesOverview_InTax[[#This Row],[Buyers]]/Total_SalesOverview_InTax[[#This Row],[UV]]</f>
        <v>2.5955511342838676E-3</v>
      </c>
      <c r="L244" s="431">
        <f>Total_SalesOverview_InTax[[#This Row],[GMV]]/Total_SalesOverview_InTax[[#This Row],[Buyers]]</f>
        <v>3924.7564102564102</v>
      </c>
      <c r="M244" s="431">
        <f>Total_SalesOverview_InTax[[#This Row],[GMV]]/Total_SalesOverview_InTax[[#This Row],[Units]]</f>
        <v>2701.5740826753367</v>
      </c>
      <c r="N244" s="432">
        <f>Total_SalesOverview_InTax[[#This Row],[Units]]/Total_SalesOverview_InTax[[#This Row],[Buyers]]</f>
        <v>1.4527665317139002</v>
      </c>
      <c r="O244" s="93">
        <f>Total_SalesOverview_InTax[[#This Row],[RR]]/Total_SalesOverview_InTax[[#This Row],[GMV]]</f>
        <v>0.59227136851801832</v>
      </c>
      <c r="P244" s="431">
        <f t="shared" si="52"/>
        <v>3444939.9</v>
      </c>
      <c r="Q244" s="431">
        <f t="shared" si="52"/>
        <v>3340695.58</v>
      </c>
      <c r="R244" s="94">
        <f>Total_SalesOverview_InTax[[#This Row],[MD GMV]]/Total_SalesOverview_InTax[[#This Row],[GMV]]</f>
        <v>0.57434916149587834</v>
      </c>
      <c r="S244" s="431">
        <f t="shared" si="53"/>
        <v>1474924.61</v>
      </c>
      <c r="T244" s="94">
        <f>Total_SalesOverview_InTax[[#This Row],[MD NET]]/Total_SalesOverview_InTax[[#This Row],[NET]]</f>
        <v>0.621924551340725</v>
      </c>
      <c r="U244" s="431">
        <f t="shared" si="54"/>
        <v>4977172</v>
      </c>
      <c r="V244" s="431">
        <f t="shared" si="54"/>
        <v>2145086</v>
      </c>
      <c r="W244" s="431">
        <f t="shared" si="54"/>
        <v>666000</v>
      </c>
      <c r="X244" s="431">
        <f t="shared" si="54"/>
        <v>1629</v>
      </c>
      <c r="Y244" s="378">
        <f>Total_SalesOverview_InTax[[#This Row],[BUYERS_TGT]]/Total_SalesOverview_InTax[[#This Row],[TRAFFIC_TGT]]</f>
        <v>2.4459459459459459E-3</v>
      </c>
      <c r="Z244" s="379">
        <f>Total_SalesOverview_InTax[[#This Row],[GMV_TGT]]/Total_SalesOverview_InTax[[#This Row],[BUYERS_TGT]]</f>
        <v>3055.3542050337633</v>
      </c>
      <c r="AA244" s="380">
        <f>Total_SalesOverview_InTax[[#This Row],[UNITS_TGT]]/Total_SalesOverview_InTax[[#This Row],[BUYERS_TGT]]</f>
        <v>1.1921424186617557</v>
      </c>
      <c r="AB244" s="94">
        <f>1-Total_SalesOverview_InTax[[#This Row],[NET_TGT]]/Total_SalesOverview_InTax[[#This Row],[GMV_TGT]]</f>
        <v>0.56901509531918926</v>
      </c>
      <c r="AC244" s="426">
        <f t="shared" si="55"/>
        <v>1942</v>
      </c>
      <c r="AD244" s="105">
        <f>Total_SalesOverview_InTax[[#This Row],[GMV]]/Total_SalesOverview_InTax[[#This Row],[GMV_TGT]]</f>
        <v>1.1686333122504104</v>
      </c>
      <c r="AE244" s="105">
        <f>Total_SalesOverview_InTax[[#This Row],[NET]]/Total_SalesOverview_InTax[[#This Row],[NET_TGT]]</f>
        <v>1.1055729700347678</v>
      </c>
      <c r="AF244" s="105">
        <f>Total_SalesOverview_InTax[[#This Row],[UV]]/Total_SalesOverview_InTax[[#This Row],[TRAFFIC_TGT]]</f>
        <v>0.85732282282282279</v>
      </c>
      <c r="AG244" s="105">
        <f>Total_SalesOverview_InTax[[#This Row],[Buyers]]/Total_SalesOverview_InTax[[#This Row],[BUYERS_TGT]]</f>
        <v>0.90976058931860038</v>
      </c>
      <c r="AH244" s="105">
        <f>Total_SalesOverview_InTax[[#This Row],[CR]]/Total_SalesOverview_InTax[[#This Row],[CVR_TGT]]</f>
        <v>1.0611645521381559</v>
      </c>
      <c r="AI244" s="105">
        <f>Total_SalesOverview_InTax[[#This Row],[ATV]]/Total_SalesOverview_InTax[[#This Row],[ATV_TGT]]</f>
        <v>1.2845503816841555</v>
      </c>
      <c r="AJ244" s="105">
        <f>Total_SalesOverview_InTax[[#This Row],[UPT]]/Total_SalesOverview_InTax[[#This Row],[UPT_TGT]]</f>
        <v>1.2186182699083128</v>
      </c>
      <c r="AK244" s="105">
        <f>Total_SalesOverview_InTax[[#This Row],[RRC]]/Total_SalesOverview_InTax[[#This Row],[RRC_TGT]]</f>
        <v>1.0408711005914235</v>
      </c>
      <c r="AL244" s="28" t="str">
        <f>_xlfn.XLOOKUP(Total_SalesOverview_InTax[[#This Row],[DATE]],全店核心数据_bymonth[开始日期],全店核心数据_bymonth[jda日历.PayYear],"")</f>
        <v>BU25</v>
      </c>
      <c r="AO244" s="428">
        <f>Total_SalesOverview_InTax[[#This Row],[DATE]]</f>
        <v>45444</v>
      </c>
      <c r="AP244" s="429">
        <f>Total_SalesOverview_InTax[[#This Row],[GMV]]/$F$1</f>
        <v>5147335.3982300889</v>
      </c>
      <c r="AQ244" s="429">
        <f>Total_SalesOverview_ExclTax[[#This Row],[GMV]]-Total_SalesOverview_ExclTax[[#This Row],[RR]]</f>
        <v>2098716.0176991154</v>
      </c>
      <c r="AR244" s="430">
        <f>Total_SalesOverview_InTax[[#This Row],[UV]]</f>
        <v>570977</v>
      </c>
      <c r="AS244" s="431">
        <f>Total_SalesOverview_InTax[[#This Row],[Buyers]]</f>
        <v>1482</v>
      </c>
      <c r="AT244" s="431">
        <f>Total_SalesOverview_InTax[[#This Row],[Units]]</f>
        <v>2153</v>
      </c>
      <c r="AU244" s="92">
        <f>Total_SalesOverview_ExclTax[[#This Row],[Buyers]]/Total_SalesOverview_ExclTax[[#This Row],[UV]]</f>
        <v>2.5955511342838676E-3</v>
      </c>
      <c r="AV244" s="431">
        <f>Total_SalesOverview_ExclTax[[#This Row],[GMV]]/Total_SalesOverview_ExclTax[[#This Row],[Buyers]]</f>
        <v>3473.2357612888591</v>
      </c>
      <c r="AW244" s="431">
        <f>Total_SalesOverview_ExclTax[[#This Row],[GMV]]/Total_SalesOverview_ExclTax[[#This Row],[Units]]</f>
        <v>2390.7735244914488</v>
      </c>
      <c r="AX244" s="432">
        <f>Total_SalesOverview_ExclTax[[#This Row],[Units]]/Total_SalesOverview_ExclTax[[#This Row],[Buyers]]</f>
        <v>1.4527665317139002</v>
      </c>
      <c r="AY244" s="93">
        <f>Total_SalesOverview_ExclTax[[#This Row],[RR]]/Total_SalesOverview_ExclTax[[#This Row],[GMV]]</f>
        <v>0.59227136851801832</v>
      </c>
      <c r="AZ244" s="461">
        <f>Total_SalesOverview_InTax[[#This Row],[RR]]/$F$1</f>
        <v>3048619.3805309734</v>
      </c>
      <c r="BA244" s="461">
        <f>Total_SalesOverview_InTax[[#This Row],[MD GMV]]/$F$1</f>
        <v>2956367.7699115048</v>
      </c>
      <c r="BB244" s="94">
        <f>Total_SalesOverview_ExclTax[[#This Row],[MD GMV]]/Total_SalesOverview_ExclTax[[#This Row],[GMV]]</f>
        <v>0.57434916149587834</v>
      </c>
      <c r="BC244" s="461">
        <f>Total_SalesOverview_InTax[[#This Row],[GMV_TGT]]/$F$1</f>
        <v>4404576.9911504425</v>
      </c>
      <c r="BD244" s="461">
        <f>Total_SalesOverview_InTax[[#This Row],[NET_TGT]]/$F$1</f>
        <v>1898306.1946902657</v>
      </c>
      <c r="BE244" s="461">
        <f>Total_SalesOverview_InTax[[#This Row],[TRAFFIC_TGT]]</f>
        <v>666000</v>
      </c>
      <c r="BF244" s="431">
        <f>Total_SalesOverview_InTax[[#This Row],[BUYERS_TGT]]</f>
        <v>1629</v>
      </c>
      <c r="BG244" s="104">
        <f>Total_SalesOverview_InTax[[#This Row],[CVR_TGT]]</f>
        <v>2.4459459459459459E-3</v>
      </c>
      <c r="BH244" s="431">
        <f>Total_SalesOverview_InTax[[#This Row],[ATV_TGT]]/$F$1</f>
        <v>2703.8532787909412</v>
      </c>
      <c r="BI244" s="432">
        <f>Total_SalesOverview_InTax[[#This Row],[UPT_TGT]]</f>
        <v>1.1921424186617557</v>
      </c>
      <c r="BJ244" s="389">
        <f>Total_SalesOverview_InTax[[#This Row],[RRC_TGT]]</f>
        <v>0.56901509531918926</v>
      </c>
      <c r="BK244" s="431">
        <f>Total_SalesOverview_InTax[[#This Row],[UNITS_TGT]]</f>
        <v>1942</v>
      </c>
      <c r="BL244" s="28" t="str">
        <f>_xlfn.XLOOKUP(Total_SalesOverview_ExclTax[[#This Row],[DATE]],全店核心数据_bymonth[开始日期],全店核心数据_bymonth[jda日历.PayYear],"")</f>
        <v>BU25</v>
      </c>
      <c r="BO244" s="28"/>
      <c r="CQ244" s="53"/>
    </row>
    <row r="245" spans="5:95" ht="13.5" customHeight="1" x14ac:dyDescent="0.3">
      <c r="E245" s="428">
        <v>45413</v>
      </c>
      <c r="F245" s="431">
        <f t="shared" si="56"/>
        <v>5917785.5</v>
      </c>
      <c r="G245" s="431">
        <f t="shared" si="56"/>
        <v>2573949.4700000002</v>
      </c>
      <c r="H245" s="431">
        <f t="shared" si="56"/>
        <v>599702</v>
      </c>
      <c r="I245" s="431">
        <f t="shared" si="56"/>
        <v>1577</v>
      </c>
      <c r="J245" s="431">
        <f t="shared" si="56"/>
        <v>2444</v>
      </c>
      <c r="K245" s="92">
        <f>Total_SalesOverview_InTax[[#This Row],[Buyers]]/Total_SalesOverview_InTax[[#This Row],[UV]]</f>
        <v>2.6296393875624895E-3</v>
      </c>
      <c r="L245" s="431">
        <f>Total_SalesOverview_InTax[[#This Row],[GMV]]/Total_SalesOverview_InTax[[#This Row],[Buyers]]</f>
        <v>3752.5589727330375</v>
      </c>
      <c r="M245" s="431">
        <f>Total_SalesOverview_InTax[[#This Row],[GMV]]/Total_SalesOverview_InTax[[#This Row],[Units]]</f>
        <v>2421.352495908347</v>
      </c>
      <c r="N245" s="432">
        <f>Total_SalesOverview_InTax[[#This Row],[Units]]/Total_SalesOverview_InTax[[#This Row],[Buyers]]</f>
        <v>1.5497780596068484</v>
      </c>
      <c r="O245" s="93">
        <f>Total_SalesOverview_InTax[[#This Row],[RR]]/Total_SalesOverview_InTax[[#This Row],[GMV]]</f>
        <v>0.56504853546989831</v>
      </c>
      <c r="P245" s="431">
        <f t="shared" si="52"/>
        <v>3343836.03</v>
      </c>
      <c r="Q245" s="431">
        <f t="shared" si="52"/>
        <v>3667400.33</v>
      </c>
      <c r="R245" s="94">
        <f>Total_SalesOverview_InTax[[#This Row],[MD GMV]]/Total_SalesOverview_InTax[[#This Row],[GMV]]</f>
        <v>0.61972512014840686</v>
      </c>
      <c r="S245" s="431">
        <f t="shared" si="53"/>
        <v>1705789.07</v>
      </c>
      <c r="T245" s="94">
        <f>Total_SalesOverview_InTax[[#This Row],[MD NET]]/Total_SalesOverview_InTax[[#This Row],[NET]]</f>
        <v>0.66271272605829357</v>
      </c>
      <c r="U245" s="431">
        <f t="shared" si="54"/>
        <v>5850000</v>
      </c>
      <c r="V245" s="431">
        <f t="shared" si="54"/>
        <v>2607500</v>
      </c>
      <c r="W245" s="431">
        <f t="shared" si="54"/>
        <v>823041</v>
      </c>
      <c r="X245" s="431">
        <f t="shared" si="54"/>
        <v>1780</v>
      </c>
      <c r="Y245" s="378">
        <f>Total_SalesOverview_InTax[[#This Row],[BUYERS_TGT]]/Total_SalesOverview_InTax[[#This Row],[TRAFFIC_TGT]]</f>
        <v>2.1627112136576427E-3</v>
      </c>
      <c r="Z245" s="379">
        <f>Total_SalesOverview_InTax[[#This Row],[GMV_TGT]]/Total_SalesOverview_InTax[[#This Row],[BUYERS_TGT]]</f>
        <v>3286.5168539325841</v>
      </c>
      <c r="AA245" s="380">
        <f>Total_SalesOverview_InTax[[#This Row],[UNITS_TGT]]/Total_SalesOverview_InTax[[#This Row],[BUYERS_TGT]]</f>
        <v>1.1814606741573033</v>
      </c>
      <c r="AB245" s="94">
        <f>1-Total_SalesOverview_InTax[[#This Row],[NET_TGT]]/Total_SalesOverview_InTax[[#This Row],[GMV_TGT]]</f>
        <v>0.5542735042735043</v>
      </c>
      <c r="AC245" s="426">
        <f t="shared" si="55"/>
        <v>2103</v>
      </c>
      <c r="AD245" s="105">
        <f>Total_SalesOverview_InTax[[#This Row],[GMV]]/Total_SalesOverview_InTax[[#This Row],[GMV_TGT]]</f>
        <v>1.011587264957265</v>
      </c>
      <c r="AE245" s="105">
        <f>Total_SalesOverview_InTax[[#This Row],[NET]]/Total_SalesOverview_InTax[[#This Row],[NET_TGT]]</f>
        <v>0.98713306615532126</v>
      </c>
      <c r="AF245" s="105">
        <f>Total_SalesOverview_InTax[[#This Row],[UV]]/Total_SalesOverview_InTax[[#This Row],[TRAFFIC_TGT]]</f>
        <v>0.72864170800725603</v>
      </c>
      <c r="AG245" s="105">
        <f>Total_SalesOverview_InTax[[#This Row],[Buyers]]/Total_SalesOverview_InTax[[#This Row],[BUYERS_TGT]]</f>
        <v>0.88595505617977532</v>
      </c>
      <c r="AH245" s="105">
        <f>Total_SalesOverview_InTax[[#This Row],[CR]]/Total_SalesOverview_InTax[[#This Row],[CVR_TGT]]</f>
        <v>1.2158994557184377</v>
      </c>
      <c r="AI245" s="105">
        <f>Total_SalesOverview_InTax[[#This Row],[ATV]]/Total_SalesOverview_InTax[[#This Row],[ATV_TGT]]</f>
        <v>1.1418042686264627</v>
      </c>
      <c r="AJ245" s="105">
        <f>Total_SalesOverview_InTax[[#This Row],[UPT]]/Total_SalesOverview_InTax[[#This Row],[UPT_TGT]]</f>
        <v>1.311747477936372</v>
      </c>
      <c r="AK245" s="105">
        <f>Total_SalesOverview_InTax[[#This Row],[RRC]]/Total_SalesOverview_InTax[[#This Row],[RRC_TGT]]</f>
        <v>1.0194399175015898</v>
      </c>
      <c r="AL245" s="28" t="str">
        <f>_xlfn.XLOOKUP(Total_SalesOverview_InTax[[#This Row],[DATE]],全店核心数据_bymonth[开始日期],全店核心数据_bymonth[jda日历.PayYear],"")</f>
        <v>BU25</v>
      </c>
      <c r="AO245" s="428">
        <f>Total_SalesOverview_InTax[[#This Row],[DATE]]</f>
        <v>45413</v>
      </c>
      <c r="AP245" s="429">
        <f>Total_SalesOverview_InTax[[#This Row],[GMV]]/$F$1</f>
        <v>5236978.3185840715</v>
      </c>
      <c r="AQ245" s="429">
        <f>Total_SalesOverview_ExclTax[[#This Row],[GMV]]-Total_SalesOverview_ExclTax[[#This Row],[RR]]</f>
        <v>2277831.3893805314</v>
      </c>
      <c r="AR245" s="430">
        <f>Total_SalesOverview_InTax[[#This Row],[UV]]</f>
        <v>599702</v>
      </c>
      <c r="AS245" s="431">
        <f>Total_SalesOverview_InTax[[#This Row],[Buyers]]</f>
        <v>1577</v>
      </c>
      <c r="AT245" s="431">
        <f>Total_SalesOverview_InTax[[#This Row],[Units]]</f>
        <v>2444</v>
      </c>
      <c r="AU245" s="92">
        <f>Total_SalesOverview_ExclTax[[#This Row],[Buyers]]/Total_SalesOverview_ExclTax[[#This Row],[UV]]</f>
        <v>2.6296393875624895E-3</v>
      </c>
      <c r="AV245" s="431">
        <f>Total_SalesOverview_ExclTax[[#This Row],[GMV]]/Total_SalesOverview_ExclTax[[#This Row],[Buyers]]</f>
        <v>3320.8486484363166</v>
      </c>
      <c r="AW245" s="431">
        <f>Total_SalesOverview_ExclTax[[#This Row],[GMV]]/Total_SalesOverview_ExclTax[[#This Row],[Units]]</f>
        <v>2142.7898193879178</v>
      </c>
      <c r="AX245" s="432">
        <f>Total_SalesOverview_ExclTax[[#This Row],[Units]]/Total_SalesOverview_ExclTax[[#This Row],[Buyers]]</f>
        <v>1.5497780596068484</v>
      </c>
      <c r="AY245" s="93">
        <f>Total_SalesOverview_ExclTax[[#This Row],[RR]]/Total_SalesOverview_ExclTax[[#This Row],[GMV]]</f>
        <v>0.56504853546989831</v>
      </c>
      <c r="AZ245" s="461">
        <f>Total_SalesOverview_InTax[[#This Row],[RR]]/$F$1</f>
        <v>2959146.9292035401</v>
      </c>
      <c r="BA245" s="461">
        <f>Total_SalesOverview_InTax[[#This Row],[MD GMV]]/$F$1</f>
        <v>3245487.0176991154</v>
      </c>
      <c r="BB245" s="94">
        <f>Total_SalesOverview_ExclTax[[#This Row],[MD GMV]]/Total_SalesOverview_ExclTax[[#This Row],[GMV]]</f>
        <v>0.61972512014840686</v>
      </c>
      <c r="BC245" s="461">
        <f>Total_SalesOverview_InTax[[#This Row],[GMV_TGT]]/$F$1</f>
        <v>5176991.1504424782</v>
      </c>
      <c r="BD245" s="461">
        <f>Total_SalesOverview_InTax[[#This Row],[NET_TGT]]/$F$1</f>
        <v>2307522.1238938053</v>
      </c>
      <c r="BE245" s="461">
        <f>Total_SalesOverview_InTax[[#This Row],[TRAFFIC_TGT]]</f>
        <v>823041</v>
      </c>
      <c r="BF245" s="431">
        <f>Total_SalesOverview_InTax[[#This Row],[BUYERS_TGT]]</f>
        <v>1780</v>
      </c>
      <c r="BG245" s="104">
        <f>Total_SalesOverview_InTax[[#This Row],[CVR_TGT]]</f>
        <v>2.1627112136576427E-3</v>
      </c>
      <c r="BH245" s="431">
        <f>Total_SalesOverview_InTax[[#This Row],[ATV_TGT]]/$F$1</f>
        <v>2908.4219946306057</v>
      </c>
      <c r="BI245" s="432">
        <f>Total_SalesOverview_InTax[[#This Row],[UPT_TGT]]</f>
        <v>1.1814606741573033</v>
      </c>
      <c r="BJ245" s="389">
        <f>Total_SalesOverview_InTax[[#This Row],[RRC_TGT]]</f>
        <v>0.5542735042735043</v>
      </c>
      <c r="BK245" s="431">
        <f>Total_SalesOverview_InTax[[#This Row],[UNITS_TGT]]</f>
        <v>2103</v>
      </c>
      <c r="BL245" s="28" t="str">
        <f>_xlfn.XLOOKUP(Total_SalesOverview_ExclTax[[#This Row],[DATE]],全店核心数据_bymonth[开始日期],全店核心数据_bymonth[jda日历.PayYear],"")</f>
        <v>BU25</v>
      </c>
      <c r="BO245" s="28"/>
      <c r="CQ245" s="53"/>
    </row>
    <row r="246" spans="5:95" ht="13.5" customHeight="1" x14ac:dyDescent="0.3">
      <c r="E246" s="428">
        <v>45383</v>
      </c>
      <c r="F246" s="431">
        <f t="shared" ref="F246:J246" si="57">F27+F183</f>
        <v>1284800</v>
      </c>
      <c r="G246" s="431">
        <f t="shared" si="57"/>
        <v>658973.65</v>
      </c>
      <c r="H246" s="431">
        <f t="shared" si="57"/>
        <v>191496</v>
      </c>
      <c r="I246" s="431">
        <f t="shared" si="57"/>
        <v>205</v>
      </c>
      <c r="J246" s="431">
        <f t="shared" si="57"/>
        <v>329</v>
      </c>
      <c r="K246" s="92">
        <f>Total_SalesOverview_InTax[[#This Row],[Buyers]]/Total_SalesOverview_InTax[[#This Row],[UV]]</f>
        <v>1.0705184442494882E-3</v>
      </c>
      <c r="L246" s="431">
        <f>Total_SalesOverview_InTax[[#This Row],[GMV]]/Total_SalesOverview_InTax[[#This Row],[Buyers]]</f>
        <v>6267.3170731707314</v>
      </c>
      <c r="M246" s="431">
        <f>Total_SalesOverview_InTax[[#This Row],[GMV]]/Total_SalesOverview_InTax[[#This Row],[Units]]</f>
        <v>3905.1671732522796</v>
      </c>
      <c r="N246" s="432">
        <f>Total_SalesOverview_InTax[[#This Row],[Units]]/Total_SalesOverview_InTax[[#This Row],[Buyers]]</f>
        <v>1.6048780487804879</v>
      </c>
      <c r="O246" s="93">
        <f>Total_SalesOverview_InTax[[#This Row],[RR]]/Total_SalesOverview_InTax[[#This Row],[GMV]]</f>
        <v>0.48710021014943961</v>
      </c>
      <c r="P246" s="431">
        <f t="shared" si="52"/>
        <v>625826.35</v>
      </c>
      <c r="Q246" s="431">
        <f t="shared" si="52"/>
        <v>0</v>
      </c>
      <c r="R246" s="94">
        <f>Total_SalesOverview_InTax[[#This Row],[MD GMV]]/Total_SalesOverview_InTax[[#This Row],[GMV]]</f>
        <v>0</v>
      </c>
      <c r="S246" s="431">
        <f t="shared" si="53"/>
        <v>0</v>
      </c>
      <c r="T246" s="94">
        <f>Total_SalesOverview_InTax[[#This Row],[MD NET]]/Total_SalesOverview_InTax[[#This Row],[NET]]</f>
        <v>0</v>
      </c>
      <c r="U246" s="431">
        <f t="shared" si="54"/>
        <v>1370000</v>
      </c>
      <c r="V246" s="431">
        <f t="shared" si="54"/>
        <v>685000</v>
      </c>
      <c r="W246" s="431">
        <f t="shared" si="54"/>
        <v>282370</v>
      </c>
      <c r="X246" s="431">
        <f t="shared" si="54"/>
        <v>240</v>
      </c>
      <c r="Y246" s="378">
        <f>Total_SalesOverview_InTax[[#This Row],[BUYERS_TGT]]/Total_SalesOverview_InTax[[#This Row],[TRAFFIC_TGT]]</f>
        <v>8.4994864893579345E-4</v>
      </c>
      <c r="Z246" s="379">
        <f>Total_SalesOverview_InTax[[#This Row],[GMV_TGT]]/Total_SalesOverview_InTax[[#This Row],[BUYERS_TGT]]</f>
        <v>5708.333333333333</v>
      </c>
      <c r="AA246" s="380">
        <f>Total_SalesOverview_InTax[[#This Row],[UNITS_TGT]]/Total_SalesOverview_InTax[[#This Row],[BUYERS_TGT]]</f>
        <v>1.2791666666666666</v>
      </c>
      <c r="AB246" s="94">
        <f>1-Total_SalesOverview_InTax[[#This Row],[NET_TGT]]/Total_SalesOverview_InTax[[#This Row],[GMV_TGT]]</f>
        <v>0.5</v>
      </c>
      <c r="AC246" s="426">
        <f t="shared" si="55"/>
        <v>307</v>
      </c>
      <c r="AD246" s="105">
        <f>Total_SalesOverview_InTax[[#This Row],[GMV]]/Total_SalesOverview_InTax[[#This Row],[GMV_TGT]]</f>
        <v>0.93781021897810224</v>
      </c>
      <c r="AE246" s="105">
        <f>Total_SalesOverview_InTax[[#This Row],[NET]]/Total_SalesOverview_InTax[[#This Row],[NET_TGT]]</f>
        <v>0.96200532846715336</v>
      </c>
      <c r="AF246" s="105">
        <f>Total_SalesOverview_InTax[[#This Row],[UV]]/Total_SalesOverview_InTax[[#This Row],[TRAFFIC_TGT]]</f>
        <v>0.67817402698586959</v>
      </c>
      <c r="AG246" s="105">
        <f>Total_SalesOverview_InTax[[#This Row],[Buyers]]/Total_SalesOverview_InTax[[#This Row],[BUYERS_TGT]]</f>
        <v>0.85416666666666663</v>
      </c>
      <c r="AH246" s="105">
        <f>Total_SalesOverview_InTax[[#This Row],[CR]]/Total_SalesOverview_InTax[[#This Row],[CVR_TGT]]</f>
        <v>1.2595095545946999</v>
      </c>
      <c r="AI246" s="105">
        <f>Total_SalesOverview_InTax[[#This Row],[ATV]]/Total_SalesOverview_InTax[[#This Row],[ATV_TGT]]</f>
        <v>1.0979241588036319</v>
      </c>
      <c r="AJ246" s="105">
        <f>Total_SalesOverview_InTax[[#This Row],[UPT]]/Total_SalesOverview_InTax[[#This Row],[UPT_TGT]]</f>
        <v>1.2546277905775802</v>
      </c>
      <c r="AK246" s="105">
        <f>Total_SalesOverview_InTax[[#This Row],[RRC]]/Total_SalesOverview_InTax[[#This Row],[RRC_TGT]]</f>
        <v>0.97420042029887921</v>
      </c>
      <c r="AL246" s="28" t="str">
        <f>_xlfn.XLOOKUP(Total_SalesOverview_InTax[[#This Row],[DATE]],全店核心数据_bymonth[开始日期],全店核心数据_bymonth[jda日历.PayYear],"")</f>
        <v>BU25</v>
      </c>
      <c r="AO246" s="428">
        <f>Total_SalesOverview_InTax[[#This Row],[DATE]]</f>
        <v>45383</v>
      </c>
      <c r="AP246" s="429">
        <f>Total_SalesOverview_InTax[[#This Row],[GMV]]/$F$1</f>
        <v>1136991.150442478</v>
      </c>
      <c r="AQ246" s="429">
        <f>Total_SalesOverview_ExclTax[[#This Row],[GMV]]-Total_SalesOverview_ExclTax[[#This Row],[RR]]</f>
        <v>583162.52212389396</v>
      </c>
      <c r="AR246" s="430">
        <f>Total_SalesOverview_InTax[[#This Row],[UV]]</f>
        <v>191496</v>
      </c>
      <c r="AS246" s="431">
        <f>Total_SalesOverview_InTax[[#This Row],[Buyers]]</f>
        <v>205</v>
      </c>
      <c r="AT246" s="431">
        <f>Total_SalesOverview_InTax[[#This Row],[Units]]</f>
        <v>329</v>
      </c>
      <c r="AU246" s="92">
        <f>Total_SalesOverview_ExclTax[[#This Row],[Buyers]]/Total_SalesOverview_ExclTax[[#This Row],[UV]]</f>
        <v>1.0705184442494882E-3</v>
      </c>
      <c r="AV246" s="431">
        <f>Total_SalesOverview_ExclTax[[#This Row],[GMV]]/Total_SalesOverview_ExclTax[[#This Row],[Buyers]]</f>
        <v>5546.2982948413564</v>
      </c>
      <c r="AW246" s="431">
        <f>Total_SalesOverview_ExclTax[[#This Row],[GMV]]/Total_SalesOverview_ExclTax[[#This Row],[Units]]</f>
        <v>3455.9001533206019</v>
      </c>
      <c r="AX246" s="432">
        <f>Total_SalesOverview_ExclTax[[#This Row],[Units]]/Total_SalesOverview_ExclTax[[#This Row],[Buyers]]</f>
        <v>1.6048780487804879</v>
      </c>
      <c r="AY246" s="93">
        <f>Total_SalesOverview_ExclTax[[#This Row],[RR]]/Total_SalesOverview_ExclTax[[#This Row],[GMV]]</f>
        <v>0.48710021014943955</v>
      </c>
      <c r="AZ246" s="461">
        <f>Total_SalesOverview_InTax[[#This Row],[RR]]/$F$1</f>
        <v>553828.62831858406</v>
      </c>
      <c r="BA246" s="461">
        <f>Total_SalesOverview_InTax[[#This Row],[MD GMV]]/$F$1</f>
        <v>0</v>
      </c>
      <c r="BB246" s="94">
        <f>Total_SalesOverview_ExclTax[[#This Row],[MD GMV]]/Total_SalesOverview_ExclTax[[#This Row],[GMV]]</f>
        <v>0</v>
      </c>
      <c r="BC246" s="461">
        <f>Total_SalesOverview_InTax[[#This Row],[GMV_TGT]]/$F$1</f>
        <v>1212389.3805309737</v>
      </c>
      <c r="BD246" s="461">
        <f>Total_SalesOverview_InTax[[#This Row],[NET_TGT]]/$F$1</f>
        <v>606194.69026548683</v>
      </c>
      <c r="BE246" s="461">
        <f>Total_SalesOverview_InTax[[#This Row],[TRAFFIC_TGT]]</f>
        <v>282370</v>
      </c>
      <c r="BF246" s="431">
        <f>Total_SalesOverview_InTax[[#This Row],[BUYERS_TGT]]</f>
        <v>240</v>
      </c>
      <c r="BG246" s="104">
        <f>Total_SalesOverview_InTax[[#This Row],[CVR_TGT]]</f>
        <v>8.4994864893579345E-4</v>
      </c>
      <c r="BH246" s="431">
        <f>Total_SalesOverview_InTax[[#This Row],[ATV_TGT]]/$F$1</f>
        <v>5051.6224188790566</v>
      </c>
      <c r="BI246" s="432">
        <f>Total_SalesOverview_InTax[[#This Row],[UPT_TGT]]</f>
        <v>1.2791666666666666</v>
      </c>
      <c r="BJ246" s="389">
        <f>Total_SalesOverview_InTax[[#This Row],[RRC_TGT]]</f>
        <v>0.5</v>
      </c>
      <c r="BK246" s="431">
        <f>Total_SalesOverview_InTax[[#This Row],[UNITS_TGT]]</f>
        <v>307</v>
      </c>
      <c r="BL246" s="28" t="str">
        <f>_xlfn.XLOOKUP(Total_SalesOverview_ExclTax[[#This Row],[DATE]],全店核心数据_bymonth[开始日期],全店核心数据_bymonth[jda日历.PayYear],"")</f>
        <v>BU25</v>
      </c>
      <c r="BO246" s="28"/>
      <c r="CQ246" s="53"/>
    </row>
    <row r="247" spans="5:95" ht="13.5" customHeight="1" x14ac:dyDescent="0.3">
      <c r="E247" s="425" t="s">
        <v>331</v>
      </c>
      <c r="F247" s="256">
        <f>SUMIFS(Total_SalesOverview_InTax[GMV],Total_SalesOverview_InTax[DATE],$K$1)/SUMIFS(Total_SalesOverview_InTax[GMV],Total_SalesOverview_InTax[DATE],EDATE($K$1,-12))-1</f>
        <v>-4.5252440805531147E-2</v>
      </c>
      <c r="G247" s="256">
        <f>SUMIFS(Total_SalesOverview_InTax[NET],Total_SalesOverview_InTax[DATE],$K$1)/SUMIFS(Total_SalesOverview_InTax[NET],Total_SalesOverview_InTax[DATE],EDATE($K$1,-12))-1</f>
        <v>-5.609025287881908E-2</v>
      </c>
      <c r="H247" s="256">
        <f>SUMIFS(Total_SalesOverview_InTax[UV],Total_SalesOverview_InTax[DATE],$K$1)/SUMIFS(Total_SalesOverview_InTax[UV],Total_SalesOverview_InTax[DATE],EDATE($K$1,-12))-1</f>
        <v>0.61449792385519619</v>
      </c>
      <c r="I247" s="256">
        <f>SUMIFS(Total_SalesOverview_InTax[Buyers],Total_SalesOverview_InTax[DATE],$K$1)/SUMIFS(Total_SalesOverview_InTax[Buyers],Total_SalesOverview_InTax[DATE],EDATE($K$1,-12))-1</f>
        <v>-4.8746518105849956E-3</v>
      </c>
      <c r="J247" s="256">
        <f>SUMIFS(Total_SalesOverview_InTax[Units],Total_SalesOverview_InTax[DATE],$K$1)/SUMIFS(Total_SalesOverview_InTax[Units],Total_SalesOverview_InTax[DATE],EDATE($K$1,-12))-1</f>
        <v>-6.9598337950138478E-2</v>
      </c>
      <c r="K247" s="256">
        <f>SUMIFS(Total_SalesOverview_InTax[CR],Total_SalesOverview_InTax[DATE],$K$1)/SUMIFS(Total_SalesOverview_InTax[CR],Total_SalesOverview_InTax[DATE],EDATE($K$1,-12))-1</f>
        <v>-0.38363169534885844</v>
      </c>
      <c r="L247" s="256">
        <f>SUMIFS(Total_SalesOverview_InTax[ATV],Total_SalesOverview_InTax[DATE],$K$1)/SUMIFS(Total_SalesOverview_InTax[ATV],Total_SalesOverview_InTax[DATE],EDATE($K$1,-12))-1</f>
        <v>-4.0575580823472901E-2</v>
      </c>
      <c r="M247" s="256">
        <f>SUMIFS(Total_SalesOverview_InTax[AUR],Total_SalesOverview_InTax[DATE],$K$1)/SUMIFS(Total_SalesOverview_InTax[AUR],Total_SalesOverview_InTax[DATE],EDATE($K$1,-12))-1</f>
        <v>2.6167082602763791E-2</v>
      </c>
      <c r="N247" s="256">
        <f>SUMIFS(Total_SalesOverview_InTax[UPT],Total_SalesOverview_InTax[DATE],$K$1)/SUMIFS(Total_SalesOverview_InTax[UPT],Total_SalesOverview_InTax[DATE],EDATE($K$1,-12))-1</f>
        <v>-6.5040737086353162E-2</v>
      </c>
      <c r="O247" s="255">
        <f>(SUMIFS(Total_SalesOverview_InTax[RRC],Total_SalesOverview_InTax[DATE],$K$1)-SUMIFS(Total_SalesOverview_InTax[RRC],Total_SalesOverview_InTax[DATE],EDATE($K$1,-12)))*100</f>
        <v>0.59766606950368839</v>
      </c>
      <c r="P247" s="222">
        <f>SUMIFS(Total_SalesOverview_InTax[RR],Total_SalesOverview_InTax[DATE],$K$1)/SUMIFS(Total_SalesOverview_InTax[RR],Total_SalesOverview_InTax[DATE],EDATE($K$1,-12))-1</f>
        <v>-3.3201106259802993E-2</v>
      </c>
      <c r="Q247" s="222">
        <f>SUMIFS(Total_SalesOverview_InTax[MD GMV],Total_SalesOverview_InTax[DATE],$K$1)/SUMIFS(Total_SalesOverview_InTax[MD GMV],Total_SalesOverview_InTax[DATE],EDATE($K$1,-12))-1</f>
        <v>-9.6170612121478261E-2</v>
      </c>
      <c r="R247" s="255">
        <f>(SUMIFS(Total_SalesOverview_InTax[MD%],Total_SalesOverview_InTax[DATE],$K$1)-SUMIFS(Total_SalesOverview_InTax[MD%],Total_SalesOverview_InTax[DATE],EDATE($K$1,-12)))*100</f>
        <v>-4.0340800641816994</v>
      </c>
      <c r="S247" s="222">
        <f>SUMIFS(Total_SalesOverview_InTax[MD NET],Total_SalesOverview_InTax[DATE],$K$1)/SUMIFS(Total_SalesOverview_InTax[MD NET],Total_SalesOverview_InTax[DATE],EDATE($K$1,-12))-1</f>
        <v>-0.13394650711926737</v>
      </c>
      <c r="T247" s="255">
        <f>(SUMIFS(Total_SalesOverview_InTax[MD NET%],Total_SalesOverview_InTax[DATE],$K$1)-SUMIFS(Total_SalesOverview_InTax[MD NET%],Total_SalesOverview_InTax[DATE],EDATE($K$1,-12)))*100</f>
        <v>-6.4163429554588758</v>
      </c>
      <c r="U247" s="255"/>
      <c r="V247" s="255"/>
      <c r="W247" s="255"/>
      <c r="X247" s="255"/>
      <c r="Y247" s="255"/>
      <c r="Z247" s="255"/>
      <c r="AA247" s="255"/>
      <c r="AB247" s="255"/>
      <c r="AC247" s="255"/>
      <c r="AD247" s="255"/>
      <c r="AE247" s="255"/>
      <c r="AF247" s="255"/>
      <c r="AG247" s="255"/>
      <c r="AH247" s="255"/>
      <c r="AI247" s="255"/>
      <c r="AJ247" s="255"/>
      <c r="AK247" s="255"/>
      <c r="AL247" s="28" t="str">
        <f>_xlfn.XLOOKUP(Total_SalesOverview_InTax[[#This Row],[DATE]],全店核心数据_bymonth[开始日期],全店核心数据_bymonth[jda日历.PayYear],"")</f>
        <v/>
      </c>
      <c r="AO247" s="425" t="str">
        <f>Total_SalesOverview_InTax[[#This Row],[DATE]]</f>
        <v>MTD YOY</v>
      </c>
      <c r="AP247" s="97">
        <f>SUMIFS(Total_SalesOverview_ExclTax[GMV],Total_SalesOverview_ExclTax[DATE],$K$1)/SUMIFS(Total_SalesOverview_ExclTax[GMV],Total_SalesOverview_ExclTax[DATE],EDATE($K$1,-12))-1</f>
        <v>-4.5252440805531258E-2</v>
      </c>
      <c r="AQ247" s="97">
        <f>SUMIFS(Total_SalesOverview_ExclTax[NET],Total_SalesOverview_ExclTax[DATE],$K$1)/SUMIFS(Total_SalesOverview_ExclTax[NET],Total_SalesOverview_ExclTax[DATE],EDATE($K$1,-12))-1</f>
        <v>-5.609025287881908E-2</v>
      </c>
      <c r="AR247" s="97">
        <f>SUMIFS(Total_SalesOverview_ExclTax[UV],Total_SalesOverview_ExclTax[DATE],$K$1)/SUMIFS(Total_SalesOverview_ExclTax[UV],Total_SalesOverview_ExclTax[DATE],EDATE($K$1,-12))-1</f>
        <v>0.61449792385519619</v>
      </c>
      <c r="AS247" s="97">
        <f>SUMIFS(Total_SalesOverview_ExclTax[Buyers],Total_SalesOverview_ExclTax[DATE],$K$1)/SUMIFS(Total_SalesOverview_ExclTax[Buyers],Total_SalesOverview_ExclTax[DATE],EDATE($K$1,-12))-1</f>
        <v>-4.8746518105849956E-3</v>
      </c>
      <c r="AT247" s="97">
        <f>SUMIFS(Total_SalesOverview_ExclTax[Units],Total_SalesOverview_ExclTax[DATE],$K$1)/SUMIFS(Total_SalesOverview_ExclTax[Units],Total_SalesOverview_ExclTax[DATE],EDATE($K$1,-12))-1</f>
        <v>-6.9598337950138478E-2</v>
      </c>
      <c r="AU247" s="97">
        <f>SUMIFS(Total_SalesOverview_ExclTax[CR],Total_SalesOverview_ExclTax[DATE],$K$1)/SUMIFS(Total_SalesOverview_ExclTax[CR],Total_SalesOverview_ExclTax[DATE],EDATE($K$1,-12))-1</f>
        <v>-0.38363169534885844</v>
      </c>
      <c r="AV247" s="97">
        <f>SUMIFS(Total_SalesOverview_ExclTax[ATV],Total_SalesOverview_ExclTax[DATE],$K$1)/SUMIFS(Total_SalesOverview_ExclTax[ATV],Total_SalesOverview_ExclTax[DATE],EDATE($K$1,-12))-1</f>
        <v>-4.0575580823472901E-2</v>
      </c>
      <c r="AW247" s="97">
        <f>SUMIFS(Total_SalesOverview_ExclTax[AUR],Total_SalesOverview_ExclTax[DATE],$K$1)/SUMIFS(Total_SalesOverview_ExclTax[AUR],Total_SalesOverview_ExclTax[DATE],EDATE($K$1,-12))-1</f>
        <v>2.6167082602763569E-2</v>
      </c>
      <c r="AX247" s="97">
        <f>SUMIFS(Total_SalesOverview_ExclTax[UPT],Total_SalesOverview_ExclTax[DATE],$K$1)/SUMIFS(Total_SalesOverview_ExclTax[UPT],Total_SalesOverview_ExclTax[DATE],EDATE($K$1,-12))-1</f>
        <v>-6.5040737086353162E-2</v>
      </c>
      <c r="AY247" s="98">
        <f>SUMIFS(Total_SalesOverview_ExclTax[RRC],Total_SalesOverview_ExclTax[DATE],$K$1)-SUMIFS(Total_SalesOverview_ExclTax[RRC],Total_SalesOverview_ExclTax[DATE],EDATE($K$1,-12))</f>
        <v>5.9766606950369394E-3</v>
      </c>
      <c r="AZ247" s="98">
        <f>SUMIFS(Total_SalesOverview_ExclTax[RR],Total_SalesOverview_ExclTax[DATE],$K$1)/SUMIFS(Total_SalesOverview_ExclTax[RR],Total_SalesOverview_ExclTax[DATE],EDATE($K$1,-12))-1</f>
        <v>-3.3201106259802993E-2</v>
      </c>
      <c r="BA247" s="98">
        <f>SUMIFS(Total_SalesOverview_ExclTax[MD GMV],Total_SalesOverview_ExclTax[DATE],$K$1)/SUMIFS(Total_SalesOverview_ExclTax[MD GMV],Total_SalesOverview_ExclTax[DATE],EDATE($K$1,-12))-1</f>
        <v>-9.6170612121478372E-2</v>
      </c>
      <c r="BB247" s="98">
        <f>SUMIFS(Total_SalesOverview_ExclTax[MD%],Total_SalesOverview_ExclTax[DATE],$K$1)-SUMIFS(Total_SalesOverview_ExclTax[MD%],Total_SalesOverview_ExclTax[DATE],EDATE($K$1,-12))</f>
        <v>-4.0340800641817109E-2</v>
      </c>
      <c r="BC247" s="98"/>
      <c r="BD247" s="98"/>
      <c r="BE247" s="98"/>
      <c r="BF247" s="98"/>
      <c r="BG247" s="98"/>
      <c r="BH247" s="98"/>
      <c r="BI247" s="98"/>
      <c r="BJ247" s="98"/>
      <c r="BK247" s="98"/>
      <c r="BL247" s="28" t="str">
        <f>_xlfn.XLOOKUP(Total_SalesOverview_ExclTax[[#This Row],[DATE]],全店核心数据_bymonth[开始日期],全店核心数据_bymonth[jda日历.PayYear],"")</f>
        <v/>
      </c>
      <c r="BO247" s="28"/>
      <c r="CQ247" s="53"/>
    </row>
    <row r="248" spans="5:95" ht="13.5" customHeight="1" x14ac:dyDescent="0.3">
      <c r="E248" s="428" t="s">
        <v>571</v>
      </c>
      <c r="F248" s="431">
        <f t="shared" ref="F248:S248" si="58">F185</f>
        <v>2133058.0000000005</v>
      </c>
      <c r="G248" s="431">
        <f t="shared" si="58"/>
        <v>2049787.6100000006</v>
      </c>
      <c r="H248" s="431">
        <f t="shared" si="58"/>
        <v>5641</v>
      </c>
      <c r="I248" s="431">
        <f t="shared" si="58"/>
        <v>769</v>
      </c>
      <c r="J248" s="431">
        <f t="shared" si="58"/>
        <v>2428</v>
      </c>
      <c r="K248" s="92">
        <f t="shared" si="58"/>
        <v>0.1363233469243042</v>
      </c>
      <c r="L248" s="431">
        <f t="shared" si="58"/>
        <v>2773.8075422626794</v>
      </c>
      <c r="M248" s="431">
        <f t="shared" si="58"/>
        <v>878.5247116968701</v>
      </c>
      <c r="N248" s="432">
        <f t="shared" si="58"/>
        <v>3.1573472041612485</v>
      </c>
      <c r="O248" s="93">
        <f t="shared" si="58"/>
        <v>3.9038033658719072E-2</v>
      </c>
      <c r="P248" s="431">
        <f t="shared" si="58"/>
        <v>83270.39</v>
      </c>
      <c r="Q248" s="431">
        <f t="shared" si="58"/>
        <v>2133058.0000000005</v>
      </c>
      <c r="R248" s="94">
        <f t="shared" si="58"/>
        <v>1</v>
      </c>
      <c r="S248" s="431">
        <f t="shared" si="58"/>
        <v>2049787.6100000006</v>
      </c>
      <c r="T248" s="94">
        <f>Total_SalesOverview_InTax[[#This Row],[MD NET]]/Total_SalesOverview_InTax[[#This Row],[NET]]</f>
        <v>1</v>
      </c>
      <c r="U248" s="431">
        <f t="shared" ref="U248:X249" si="59">U41+U185</f>
        <v>0</v>
      </c>
      <c r="V248" s="431">
        <f t="shared" si="59"/>
        <v>0</v>
      </c>
      <c r="W248" s="431">
        <f t="shared" si="59"/>
        <v>0</v>
      </c>
      <c r="X248" s="431">
        <f t="shared" si="59"/>
        <v>0</v>
      </c>
      <c r="Y248" s="378" t="e">
        <f>Total_SalesOverview_InTax[[#This Row],[BUYERS_TGT]]/Total_SalesOverview_InTax[[#This Row],[TRAFFIC_TGT]]</f>
        <v>#DIV/0!</v>
      </c>
      <c r="Z248" s="379" t="e">
        <f>Total_SalesOverview_InTax[[#This Row],[GMV_TGT]]/Total_SalesOverview_InTax[[#This Row],[BUYERS_TGT]]</f>
        <v>#DIV/0!</v>
      </c>
      <c r="AA248" s="380" t="e">
        <f>Total_SalesOverview_InTax[[#This Row],[UNITS_TGT]]/Total_SalesOverview_InTax[[#This Row],[BUYERS_TGT]]</f>
        <v>#DIV/0!</v>
      </c>
      <c r="AB248" s="94" t="e">
        <f>1-Total_SalesOverview_InTax[[#This Row],[NET_TGT]]/Total_SalesOverview_InTax[[#This Row],[GMV_TGT]]</f>
        <v>#DIV/0!</v>
      </c>
      <c r="AC248" s="426">
        <f>AC41+AC185</f>
        <v>0</v>
      </c>
      <c r="AD248" s="105" t="e">
        <f>Total_SalesOverview_InTax[[#This Row],[GMV]]/Total_SalesOverview_InTax[[#This Row],[GMV_TGT]]</f>
        <v>#DIV/0!</v>
      </c>
      <c r="AE248" s="105" t="e">
        <f>Total_SalesOverview_InTax[[#This Row],[NET]]/Total_SalesOverview_InTax[[#This Row],[NET_TGT]]</f>
        <v>#DIV/0!</v>
      </c>
      <c r="AF248" s="105" t="e">
        <f>Total_SalesOverview_InTax[[#This Row],[UV]]/Total_SalesOverview_InTax[[#This Row],[TRAFFIC_TGT]]</f>
        <v>#DIV/0!</v>
      </c>
      <c r="AG248" s="105" t="e">
        <f>Total_SalesOverview_InTax[[#This Row],[Buyers]]/Total_SalesOverview_InTax[[#This Row],[BUYERS_TGT]]</f>
        <v>#DIV/0!</v>
      </c>
      <c r="AH248" s="105" t="e">
        <f>Total_SalesOverview_InTax[[#This Row],[CR]]/Total_SalesOverview_InTax[[#This Row],[CVR_TGT]]</f>
        <v>#DIV/0!</v>
      </c>
      <c r="AI248" s="105" t="e">
        <f>Total_SalesOverview_InTax[[#This Row],[ATV]]/Total_SalesOverview_InTax[[#This Row],[ATV_TGT]]</f>
        <v>#DIV/0!</v>
      </c>
      <c r="AJ248" s="105" t="e">
        <f>Total_SalesOverview_InTax[[#This Row],[UPT]]/Total_SalesOverview_InTax[[#This Row],[UPT_TGT]]</f>
        <v>#DIV/0!</v>
      </c>
      <c r="AK248" s="105" t="e">
        <f>Total_SalesOverview_InTax[[#This Row],[RRC]]/Total_SalesOverview_InTax[[#This Row],[RRC_TGT]]</f>
        <v>#DIV/0!</v>
      </c>
      <c r="AL248" s="28" t="str">
        <f>_xlfn.XLOOKUP(Total_SalesOverview_InTax[[#This Row],[DATE]],全店核心数据_bymonth[开始日期],全店核心数据_bymonth[jda日历.PayYear],"")</f>
        <v/>
      </c>
      <c r="AO248" s="428" t="str">
        <f>Total_SalesOverview_InTax[[#This Row],[DATE]]</f>
        <v>BU26 FF</v>
      </c>
      <c r="AP248" s="461">
        <f>Total_SalesOverview_InTax[[#This Row],[GMV]]/$F$1</f>
        <v>1887661.9469026555</v>
      </c>
      <c r="AQ248" s="461">
        <f>Total_SalesOverview_ExclTax[[#This Row],[GMV]]-Total_SalesOverview_ExclTax[[#This Row],[RR]]</f>
        <v>1813971.3362831865</v>
      </c>
      <c r="AR248" s="430">
        <f>Total_SalesOverview_InTax[[#This Row],[UV]]</f>
        <v>5641</v>
      </c>
      <c r="AS248" s="431">
        <f>Total_SalesOverview_InTax[[#This Row],[Buyers]]</f>
        <v>769</v>
      </c>
      <c r="AT248" s="431">
        <f>Total_SalesOverview_InTax[[#This Row],[Units]]</f>
        <v>2428</v>
      </c>
      <c r="AU248" s="92">
        <f>Total_SalesOverview_ExclTax[[#This Row],[Buyers]]/Total_SalesOverview_ExclTax[[#This Row],[UV]]</f>
        <v>0.1363233469243042</v>
      </c>
      <c r="AV248" s="431">
        <f>Total_SalesOverview_ExclTax[[#This Row],[GMV]]/Total_SalesOverview_ExclTax[[#This Row],[Buyers]]</f>
        <v>2454.696940055469</v>
      </c>
      <c r="AW248" s="431">
        <f>Total_SalesOverview_ExclTax[[#This Row],[GMV]]/Total_SalesOverview_ExclTax[[#This Row],[Units]]</f>
        <v>777.45549707687621</v>
      </c>
      <c r="AX248" s="432">
        <f>Total_SalesOverview_ExclTax[[#This Row],[Units]]/Total_SalesOverview_ExclTax[[#This Row],[Buyers]]</f>
        <v>3.1573472041612485</v>
      </c>
      <c r="AY248" s="93">
        <f>Total_SalesOverview_ExclTax[[#This Row],[RR]]/Total_SalesOverview_ExclTax[[#This Row],[GMV]]</f>
        <v>3.9038033658719072E-2</v>
      </c>
      <c r="AZ248" s="461">
        <f>Total_SalesOverview_InTax[[#This Row],[RR]]/$F$1</f>
        <v>73690.610619469036</v>
      </c>
      <c r="BA248" s="461">
        <f>Total_SalesOverview_InTax[[#This Row],[MD GMV]]/$F$1</f>
        <v>1887661.9469026555</v>
      </c>
      <c r="BB248" s="94">
        <f>Total_SalesOverview_ExclTax[[#This Row],[MD GMV]]/Total_SalesOverview_ExclTax[[#This Row],[GMV]]</f>
        <v>1</v>
      </c>
      <c r="BC248" s="461"/>
      <c r="BD248" s="461"/>
      <c r="BE248" s="461"/>
      <c r="BF248" s="431"/>
      <c r="BG248" s="104"/>
      <c r="BH248" s="426"/>
      <c r="BI248" s="432"/>
      <c r="BJ248" s="389"/>
      <c r="BK248" s="431"/>
      <c r="BL248" s="28" t="str">
        <f>_xlfn.XLOOKUP(Total_SalesOverview_ExclTax[[#This Row],[DATE]],全店核心数据_bymonth[开始日期],全店核心数据_bymonth[jda日历.PayYear],"")</f>
        <v/>
      </c>
      <c r="BO248" s="28"/>
      <c r="CQ248" s="53"/>
    </row>
    <row r="249" spans="5:95" ht="13.5" customHeight="1" x14ac:dyDescent="0.3">
      <c r="E249" s="428" t="s">
        <v>574</v>
      </c>
      <c r="F249" s="431">
        <f t="shared" ref="F249:S249" si="60">F186</f>
        <v>2763420.0000000014</v>
      </c>
      <c r="G249" s="431">
        <f t="shared" si="60"/>
        <v>2581286.2700000014</v>
      </c>
      <c r="H249" s="431">
        <f t="shared" si="60"/>
        <v>15021</v>
      </c>
      <c r="I249" s="431">
        <f t="shared" si="60"/>
        <v>1345</v>
      </c>
      <c r="J249" s="431">
        <f t="shared" si="60"/>
        <v>4032</v>
      </c>
      <c r="K249" s="92">
        <f t="shared" si="60"/>
        <v>8.9541308834298644E-2</v>
      </c>
      <c r="L249" s="431">
        <f t="shared" si="60"/>
        <v>2054.5873605947968</v>
      </c>
      <c r="M249" s="431">
        <f t="shared" si="60"/>
        <v>685.37202380952419</v>
      </c>
      <c r="N249" s="432">
        <f t="shared" si="60"/>
        <v>2.9977695167286247</v>
      </c>
      <c r="O249" s="93">
        <f t="shared" si="60"/>
        <v>6.5908812268855227E-2</v>
      </c>
      <c r="P249" s="431">
        <f t="shared" si="60"/>
        <v>182133.73</v>
      </c>
      <c r="Q249" s="431">
        <f t="shared" si="60"/>
        <v>2763420.0000000014</v>
      </c>
      <c r="R249" s="94">
        <f t="shared" si="60"/>
        <v>1</v>
      </c>
      <c r="S249" s="431">
        <f t="shared" si="60"/>
        <v>2581286.2700000014</v>
      </c>
      <c r="T249" s="94">
        <f>Total_SalesOverview_InTax[[#This Row],[MD NET]]/Total_SalesOverview_InTax[[#This Row],[NET]]</f>
        <v>1</v>
      </c>
      <c r="U249" s="431">
        <f t="shared" si="59"/>
        <v>0</v>
      </c>
      <c r="V249" s="431">
        <f t="shared" si="59"/>
        <v>0</v>
      </c>
      <c r="W249" s="431">
        <f t="shared" si="59"/>
        <v>0</v>
      </c>
      <c r="X249" s="431">
        <f t="shared" si="59"/>
        <v>0</v>
      </c>
      <c r="Y249" s="378" t="e">
        <f>Total_SalesOverview_InTax[[#This Row],[BUYERS_TGT]]/Total_SalesOverview_InTax[[#This Row],[TRAFFIC_TGT]]</f>
        <v>#DIV/0!</v>
      </c>
      <c r="Z249" s="379" t="e">
        <f>Total_SalesOverview_InTax[[#This Row],[GMV_TGT]]/Total_SalesOverview_InTax[[#This Row],[BUYERS_TGT]]</f>
        <v>#DIV/0!</v>
      </c>
      <c r="AA249" s="380" t="e">
        <f>Total_SalesOverview_InTax[[#This Row],[UNITS_TGT]]/Total_SalesOverview_InTax[[#This Row],[BUYERS_TGT]]</f>
        <v>#DIV/0!</v>
      </c>
      <c r="AB249" s="94" t="e">
        <f>1-Total_SalesOverview_InTax[[#This Row],[NET_TGT]]/Total_SalesOverview_InTax[[#This Row],[GMV_TGT]]</f>
        <v>#DIV/0!</v>
      </c>
      <c r="AC249" s="426">
        <f>AC42+AC186</f>
        <v>0</v>
      </c>
      <c r="AD249" s="105" t="e">
        <f>Total_SalesOverview_InTax[[#This Row],[GMV]]/Total_SalesOverview_InTax[[#This Row],[GMV_TGT]]</f>
        <v>#DIV/0!</v>
      </c>
      <c r="AE249" s="105" t="e">
        <f>Total_SalesOverview_InTax[[#This Row],[NET]]/Total_SalesOverview_InTax[[#This Row],[NET_TGT]]</f>
        <v>#DIV/0!</v>
      </c>
      <c r="AF249" s="105" t="e">
        <f>Total_SalesOverview_InTax[[#This Row],[UV]]/Total_SalesOverview_InTax[[#This Row],[TRAFFIC_TGT]]</f>
        <v>#DIV/0!</v>
      </c>
      <c r="AG249" s="105" t="e">
        <f>Total_SalesOverview_InTax[[#This Row],[Buyers]]/Total_SalesOverview_InTax[[#This Row],[BUYERS_TGT]]</f>
        <v>#DIV/0!</v>
      </c>
      <c r="AH249" s="105" t="e">
        <f>Total_SalesOverview_InTax[[#This Row],[CR]]/Total_SalesOverview_InTax[[#This Row],[CVR_TGT]]</f>
        <v>#DIV/0!</v>
      </c>
      <c r="AI249" s="105" t="e">
        <f>Total_SalesOverview_InTax[[#This Row],[ATV]]/Total_SalesOverview_InTax[[#This Row],[ATV_TGT]]</f>
        <v>#DIV/0!</v>
      </c>
      <c r="AJ249" s="105" t="e">
        <f>Total_SalesOverview_InTax[[#This Row],[UPT]]/Total_SalesOverview_InTax[[#This Row],[UPT_TGT]]</f>
        <v>#DIV/0!</v>
      </c>
      <c r="AK249" s="105" t="e">
        <f>Total_SalesOverview_InTax[[#This Row],[RRC]]/Total_SalesOverview_InTax[[#This Row],[RRC_TGT]]</f>
        <v>#DIV/0!</v>
      </c>
      <c r="AL249" s="28" t="str">
        <f>_xlfn.XLOOKUP(Total_SalesOverview_InTax[[#This Row],[DATE]],全店核心数据_bymonth[开始日期],全店核心数据_bymonth[jda日历.PayYear],"")</f>
        <v/>
      </c>
      <c r="AO249" s="428" t="str">
        <f>Total_SalesOverview_InTax[[#This Row],[DATE]]</f>
        <v>BU25 FF</v>
      </c>
      <c r="AP249" s="461">
        <f>Total_SalesOverview_InTax[[#This Row],[GMV]]/$F$1</f>
        <v>2445504.4247787627</v>
      </c>
      <c r="AQ249" s="461">
        <f>Total_SalesOverview_ExclTax[[#This Row],[GMV]]-Total_SalesOverview_ExclTax[[#This Row],[RR]]</f>
        <v>2284324.1327433647</v>
      </c>
      <c r="AR249" s="430">
        <f>Total_SalesOverview_InTax[[#This Row],[UV]]</f>
        <v>15021</v>
      </c>
      <c r="AS249" s="431">
        <f>Total_SalesOverview_InTax[[#This Row],[Buyers]]</f>
        <v>1345</v>
      </c>
      <c r="AT249" s="431">
        <f>Total_SalesOverview_InTax[[#This Row],[Units]]</f>
        <v>4032</v>
      </c>
      <c r="AU249" s="92">
        <f>Total_SalesOverview_ExclTax[[#This Row],[Buyers]]/Total_SalesOverview_ExclTax[[#This Row],[UV]]</f>
        <v>8.9541308834298644E-2</v>
      </c>
      <c r="AV249" s="431">
        <f>Total_SalesOverview_ExclTax[[#This Row],[GMV]]/Total_SalesOverview_ExclTax[[#This Row],[Buyers]]</f>
        <v>1818.2189031812363</v>
      </c>
      <c r="AW249" s="431">
        <f>Total_SalesOverview_ExclTax[[#This Row],[GMV]]/Total_SalesOverview_ExclTax[[#This Row],[Units]]</f>
        <v>606.52391487568525</v>
      </c>
      <c r="AX249" s="432">
        <f>Total_SalesOverview_ExclTax[[#This Row],[Units]]/Total_SalesOverview_ExclTax[[#This Row],[Buyers]]</f>
        <v>2.9977695167286247</v>
      </c>
      <c r="AY249" s="93">
        <f>Total_SalesOverview_ExclTax[[#This Row],[RR]]/Total_SalesOverview_ExclTax[[#This Row],[GMV]]</f>
        <v>6.5908812268855227E-2</v>
      </c>
      <c r="AZ249" s="461">
        <f>Total_SalesOverview_InTax[[#This Row],[RR]]/$F$1</f>
        <v>161180.29203539825</v>
      </c>
      <c r="BA249" s="461">
        <f>Total_SalesOverview_InTax[[#This Row],[MD GMV]]/$F$1</f>
        <v>2445504.4247787627</v>
      </c>
      <c r="BB249" s="94">
        <f>Total_SalesOverview_ExclTax[[#This Row],[MD GMV]]/Total_SalesOverview_ExclTax[[#This Row],[GMV]]</f>
        <v>1</v>
      </c>
      <c r="BC249" s="461"/>
      <c r="BD249" s="461"/>
      <c r="BE249" s="461"/>
      <c r="BF249" s="431"/>
      <c r="BG249" s="104"/>
      <c r="BH249" s="426"/>
      <c r="BI249" s="432"/>
      <c r="BJ249" s="389"/>
      <c r="BK249" s="431"/>
      <c r="BL249" s="28" t="str">
        <f>_xlfn.XLOOKUP(Total_SalesOverview_ExclTax[[#This Row],[DATE]],全店核心数据_bymonth[开始日期],全店核心数据_bymonth[jda日历.PayYear],"")</f>
        <v/>
      </c>
      <c r="BO249" s="28"/>
      <c r="CO249" s="53"/>
    </row>
    <row r="250" spans="5:95" ht="13.5" customHeight="1" x14ac:dyDescent="0.3">
      <c r="E250" s="428" t="s">
        <v>572</v>
      </c>
      <c r="F250" s="431">
        <f t="shared" ref="F250:J251" si="61">F223-F248</f>
        <v>40143748.629999995</v>
      </c>
      <c r="G250" s="431">
        <f t="shared" si="61"/>
        <v>17814153.34</v>
      </c>
      <c r="H250" s="431">
        <f t="shared" si="61"/>
        <v>4211324</v>
      </c>
      <c r="I250" s="431">
        <f t="shared" si="61"/>
        <v>7569</v>
      </c>
      <c r="J250" s="431">
        <f t="shared" si="61"/>
        <v>10935</v>
      </c>
      <c r="K250" s="104">
        <f>Total_SalesOverview_InTax[[#This Row],[Buyers]]/Total_SalesOverview_InTax[[#This Row],[UV]]</f>
        <v>1.7972970020829553E-3</v>
      </c>
      <c r="L250" s="431">
        <f>Total_SalesOverview_InTax[[#This Row],[GMV]]/Total_SalesOverview_InTax[[#This Row],[Buyers]]</f>
        <v>5303.7057246664017</v>
      </c>
      <c r="M250" s="431">
        <f>Total_SalesOverview_InTax[[#This Row],[GMV]]/Total_SalesOverview_InTax[[#This Row],[Units]]</f>
        <v>3671.1247032464557</v>
      </c>
      <c r="N250" s="432">
        <f>Total_SalesOverview_InTax[[#This Row],[Units]]/Total_SalesOverview_InTax[[#This Row],[Buyers]]</f>
        <v>1.4447086801426874</v>
      </c>
      <c r="O250" s="105">
        <f>Total_SalesOverview_InTax[[#This Row],[RR]]/Total_SalesOverview_InTax[[#This Row],[GMV]]</f>
        <v>0.55624091052903746</v>
      </c>
      <c r="P250" s="431">
        <f>P223-P248</f>
        <v>22329595.289999999</v>
      </c>
      <c r="Q250" s="431">
        <f>Q223-Q248</f>
        <v>22599439.350000001</v>
      </c>
      <c r="R250" s="106">
        <f>Total_SalesOverview_InTax[[#This Row],[MD GMV]]/Total_SalesOverview_InTax[[#This Row],[GMV]]</f>
        <v>0.56296285527035006</v>
      </c>
      <c r="S250" s="431">
        <f>S223-S248</f>
        <v>9635254.3599999975</v>
      </c>
      <c r="T250" s="94">
        <f>Total_SalesOverview_InTax[[#This Row],[MD NET]]/Total_SalesOverview_InTax[[#This Row],[NET]]</f>
        <v>0.54087635691138591</v>
      </c>
      <c r="U250" s="431">
        <f t="shared" ref="U250:X251" si="62">U223-U248</f>
        <v>50111988</v>
      </c>
      <c r="V250" s="431">
        <f t="shared" si="62"/>
        <v>23424091</v>
      </c>
      <c r="W250" s="431">
        <f t="shared" si="62"/>
        <v>5062901</v>
      </c>
      <c r="X250" s="431">
        <f t="shared" si="62"/>
        <v>11903</v>
      </c>
      <c r="Y250" s="378">
        <f>Total_SalesOverview_InTax[[#This Row],[BUYERS_TGT]]/Total_SalesOverview_InTax[[#This Row],[TRAFFIC_TGT]]</f>
        <v>2.3510236522499648E-3</v>
      </c>
      <c r="Z250" s="379">
        <f>Total_SalesOverview_InTax[[#This Row],[GMV_TGT]]/Total_SalesOverview_InTax[[#This Row],[BUYERS_TGT]]</f>
        <v>4210.0300764513149</v>
      </c>
      <c r="AA250" s="380">
        <f>Total_SalesOverview_InTax[[#This Row],[UNITS_TGT]]/Total_SalesOverview_InTax[[#This Row],[BUYERS_TGT]]</f>
        <v>1.3408384440897252</v>
      </c>
      <c r="AB250" s="94">
        <f>1-Total_SalesOverview_InTax[[#This Row],[NET_TGT]]/Total_SalesOverview_InTax[[#This Row],[GMV_TGT]]</f>
        <v>0.53256512194247807</v>
      </c>
      <c r="AC250" s="426">
        <f>AC223-AC248</f>
        <v>15960</v>
      </c>
      <c r="AD250" s="105">
        <f>Total_SalesOverview_InTax[[#This Row],[GMV]]/Total_SalesOverview_InTax[[#This Row],[GMV_TGT]]</f>
        <v>0.80108074399283447</v>
      </c>
      <c r="AE250" s="105">
        <f>Total_SalesOverview_InTax[[#This Row],[NET]]/Total_SalesOverview_InTax[[#This Row],[NET_TGT]]</f>
        <v>0.76050564096596107</v>
      </c>
      <c r="AF250" s="105">
        <f>Total_SalesOverview_InTax[[#This Row],[UV]]/Total_SalesOverview_InTax[[#This Row],[TRAFFIC_TGT]]</f>
        <v>0.83180058231436882</v>
      </c>
      <c r="AG250" s="105">
        <f>Total_SalesOverview_InTax[[#This Row],[Buyers]]/Total_SalesOverview_InTax[[#This Row],[BUYERS_TGT]]</f>
        <v>0.63589011173653698</v>
      </c>
      <c r="AH250" s="105">
        <f>Total_SalesOverview_InTax[[#This Row],[CR]]/Total_SalesOverview_InTax[[#This Row],[CVR_TGT]]</f>
        <v>0.76447423247440116</v>
      </c>
      <c r="AI250" s="105">
        <f>Total_SalesOverview_InTax[[#This Row],[ATV]]/Total_SalesOverview_InTax[[#This Row],[ATV_TGT]]</f>
        <v>1.2597785831347217</v>
      </c>
      <c r="AJ250" s="105">
        <f>Total_SalesOverview_InTax[[#This Row],[UPT]]/Total_SalesOverview_InTax[[#This Row],[UPT_TGT]]</f>
        <v>1.077466630309424</v>
      </c>
      <c r="AK250" s="105">
        <f>Total_SalesOverview_InTax[[#This Row],[RRC]]/Total_SalesOverview_InTax[[#This Row],[RRC_TGT]]</f>
        <v>1.0444561380591435</v>
      </c>
      <c r="AL250" s="28" t="str">
        <f>_xlfn.XLOOKUP(Total_SalesOverview_InTax[[#This Row],[DATE]],全店核心数据_bymonth[开始日期],全店核心数据_bymonth[jda日历.PayYear],"")</f>
        <v/>
      </c>
      <c r="AO250" s="428" t="str">
        <f>Total_SalesOverview_InTax[[#This Row],[DATE]]</f>
        <v>BU26 Ex FF</v>
      </c>
      <c r="AP250" s="461">
        <f>AP223-AP248</f>
        <v>35525441.265486725</v>
      </c>
      <c r="AQ250" s="461">
        <f>Total_SalesOverview_ExclTax[[#This Row],[GMV]]-Total_SalesOverview_ExclTax[[#This Row],[RR]]</f>
        <v>15764737.469026547</v>
      </c>
      <c r="AR250" s="461">
        <f t="shared" ref="AR250:AT251" si="63">AR223-AR248</f>
        <v>4211324</v>
      </c>
      <c r="AS250" s="431">
        <f t="shared" si="63"/>
        <v>7569</v>
      </c>
      <c r="AT250" s="431">
        <f t="shared" si="63"/>
        <v>10935</v>
      </c>
      <c r="AU250" s="92">
        <f>Total_SalesOverview_ExclTax[[#This Row],[Buyers]]/Total_SalesOverview_ExclTax[[#This Row],[UV]]</f>
        <v>1.7972970020829553E-3</v>
      </c>
      <c r="AV250" s="431">
        <f>Total_SalesOverview_ExclTax[[#This Row],[GMV]]/Total_SalesOverview_ExclTax[[#This Row],[Buyers]]</f>
        <v>4693.5448890853122</v>
      </c>
      <c r="AW250" s="431">
        <f>Total_SalesOverview_ExclTax[[#This Row],[GMV]]/Total_SalesOverview_ExclTax[[#This Row],[Units]]</f>
        <v>3248.7829232269523</v>
      </c>
      <c r="AX250" s="432">
        <f>Total_SalesOverview_ExclTax[[#This Row],[Units]]/Total_SalesOverview_ExclTax[[#This Row],[Buyers]]</f>
        <v>1.4447086801426874</v>
      </c>
      <c r="AY250" s="93">
        <f>Total_SalesOverview_ExclTax[[#This Row],[RR]]/Total_SalesOverview_ExclTax[[#This Row],[GMV]]</f>
        <v>0.55624091052903746</v>
      </c>
      <c r="AZ250" s="461">
        <f>Total_SalesOverview_InTax[[#This Row],[RR]]/$F$1</f>
        <v>19760703.796460178</v>
      </c>
      <c r="BA250" s="461">
        <f>Total_SalesOverview_InTax[[#This Row],[MD GMV]]/$F$1</f>
        <v>19999503.849557526</v>
      </c>
      <c r="BB250" s="94">
        <f>Total_SalesOverview_ExclTax[[#This Row],[MD GMV]]/Total_SalesOverview_ExclTax[[#This Row],[GMV]]</f>
        <v>0.56296285527035006</v>
      </c>
      <c r="BC250" s="461"/>
      <c r="BD250" s="461"/>
      <c r="BE250" s="461"/>
      <c r="BF250" s="431"/>
      <c r="BG250" s="104"/>
      <c r="BH250" s="426"/>
      <c r="BI250" s="432"/>
      <c r="BJ250" s="389"/>
      <c r="BK250" s="431"/>
      <c r="BL250" s="28" t="str">
        <f>_xlfn.XLOOKUP(Total_SalesOverview_InTax[[#This Row],[DATE]],全店核心数据_bymonth[开始日期],全店核心数据_bymonth[jda日历.PayYear],"")</f>
        <v/>
      </c>
      <c r="BO250" s="28"/>
      <c r="CO250" s="53"/>
    </row>
    <row r="251" spans="5:95" ht="13.5" customHeight="1" x14ac:dyDescent="0.3">
      <c r="E251" s="428" t="s">
        <v>575</v>
      </c>
      <c r="F251" s="431">
        <f t="shared" si="61"/>
        <v>50620091.5</v>
      </c>
      <c r="G251" s="431">
        <f t="shared" si="61"/>
        <v>18518567.229999997</v>
      </c>
      <c r="H251" s="431">
        <f t="shared" si="61"/>
        <v>3283320</v>
      </c>
      <c r="I251" s="431">
        <f t="shared" si="61"/>
        <v>10033</v>
      </c>
      <c r="J251" s="431">
        <f t="shared" si="61"/>
        <v>14579</v>
      </c>
      <c r="K251" s="104">
        <f>Total_SalesOverview_InTax[[#This Row],[Buyers]]/Total_SalesOverview_InTax[[#This Row],[UV]]</f>
        <v>3.0557484497398973E-3</v>
      </c>
      <c r="L251" s="431">
        <f>Total_SalesOverview_InTax[[#This Row],[GMV]]/Total_SalesOverview_InTax[[#This Row],[Buyers]]</f>
        <v>5045.3594637695605</v>
      </c>
      <c r="M251" s="431">
        <f>Total_SalesOverview_InTax[[#This Row],[GMV]]/Total_SalesOverview_InTax[[#This Row],[Units]]</f>
        <v>3472.1237053295836</v>
      </c>
      <c r="N251" s="432">
        <f>Total_SalesOverview_InTax[[#This Row],[Units]]/Total_SalesOverview_InTax[[#This Row],[Buyers]]</f>
        <v>1.4531047543107745</v>
      </c>
      <c r="O251" s="105">
        <f>Total_SalesOverview_InTax[[#This Row],[RR]]/Total_SalesOverview_InTax[[#This Row],[GMV]]</f>
        <v>0.6341656705618558</v>
      </c>
      <c r="P251" s="431">
        <f>P224-P249</f>
        <v>32101524.27</v>
      </c>
      <c r="Q251" s="431">
        <f>Q224-Q249</f>
        <v>33628499.349999994</v>
      </c>
      <c r="R251" s="106">
        <f>Total_SalesOverview_InTax[[#This Row],[MD GMV]]/Total_SalesOverview_InTax[[#This Row],[GMV]]</f>
        <v>0.6643310660550662</v>
      </c>
      <c r="S251" s="431">
        <f>S224-S249</f>
        <v>11453220.529999999</v>
      </c>
      <c r="T251" s="94">
        <f>Total_SalesOverview_InTax[[#This Row],[MD NET]]/Total_SalesOverview_InTax[[#This Row],[NET]]</f>
        <v>0.61847228177814062</v>
      </c>
      <c r="U251" s="431">
        <f t="shared" si="62"/>
        <v>50650479</v>
      </c>
      <c r="V251" s="431">
        <f t="shared" si="62"/>
        <v>19572320</v>
      </c>
      <c r="W251" s="431">
        <f t="shared" si="62"/>
        <v>4156844</v>
      </c>
      <c r="X251" s="431">
        <f t="shared" si="62"/>
        <v>11374</v>
      </c>
      <c r="Y251" s="378">
        <f>Total_SalesOverview_InTax[[#This Row],[BUYERS_TGT]]/Total_SalesOverview_InTax[[#This Row],[TRAFFIC_TGT]]</f>
        <v>2.7362104519678874E-3</v>
      </c>
      <c r="Z251" s="379">
        <f>Total_SalesOverview_InTax[[#This Row],[GMV_TGT]]/Total_SalesOverview_InTax[[#This Row],[BUYERS_TGT]]</f>
        <v>4453.1808510638302</v>
      </c>
      <c r="AA251" s="380">
        <f>Total_SalesOverview_InTax[[#This Row],[UNITS_TGT]]/Total_SalesOverview_InTax[[#This Row],[BUYERS_TGT]]</f>
        <v>1.304642166344294</v>
      </c>
      <c r="AB251" s="94">
        <f>1-Total_SalesOverview_InTax[[#This Row],[NET_TGT]]/Total_SalesOverview_InTax[[#This Row],[GMV_TGT]]</f>
        <v>0.61358075211884966</v>
      </c>
      <c r="AC251" s="426">
        <f>AC224-AC249</f>
        <v>14839</v>
      </c>
      <c r="AD251" s="105">
        <f>Total_SalesOverview_InTax[[#This Row],[GMV]]/Total_SalesOverview_InTax[[#This Row],[GMV_TGT]]</f>
        <v>0.99940005503205609</v>
      </c>
      <c r="AE251" s="105">
        <f>Total_SalesOverview_InTax[[#This Row],[NET]]/Total_SalesOverview_InTax[[#This Row],[NET_TGT]]</f>
        <v>0.94616106981696579</v>
      </c>
      <c r="AF251" s="105">
        <f>Total_SalesOverview_InTax[[#This Row],[UV]]/Total_SalesOverview_InTax[[#This Row],[TRAFFIC_TGT]]</f>
        <v>0.78985884483516822</v>
      </c>
      <c r="AG251" s="105">
        <f>Total_SalesOverview_InTax[[#This Row],[Buyers]]/Total_SalesOverview_InTax[[#This Row],[BUYERS_TGT]]</f>
        <v>0.88209952523298751</v>
      </c>
      <c r="AH251" s="105">
        <f>Total_SalesOverview_InTax[[#This Row],[CR]]/Total_SalesOverview_InTax[[#This Row],[CVR_TGT]]</f>
        <v>1.1167812211016874</v>
      </c>
      <c r="AI251" s="105">
        <f>Total_SalesOverview_InTax[[#This Row],[ATV]]/Total_SalesOverview_InTax[[#This Row],[ATV_TGT]]</f>
        <v>1.1329787925779533</v>
      </c>
      <c r="AJ251" s="105">
        <f>Total_SalesOverview_InTax[[#This Row],[UPT]]/Total_SalesOverview_InTax[[#This Row],[UPT_TGT]]</f>
        <v>1.1137956382189331</v>
      </c>
      <c r="AK251" s="105">
        <f>Total_SalesOverview_InTax[[#This Row],[RRC]]/Total_SalesOverview_InTax[[#This Row],[RRC_TGT]]</f>
        <v>1.0335488334207374</v>
      </c>
      <c r="AL251" s="28" t="str">
        <f>_xlfn.XLOOKUP(Total_SalesOverview_InTax[[#This Row],[DATE]],全店核心数据_bymonth[开始日期],全店核心数据_bymonth[jda日历.PayYear],"")</f>
        <v/>
      </c>
      <c r="AO251" s="428" t="str">
        <f>Total_SalesOverview_InTax[[#This Row],[DATE]]</f>
        <v>BU25 Ex FF</v>
      </c>
      <c r="AP251" s="461">
        <f>AP224-AP249</f>
        <v>44796541.150442481</v>
      </c>
      <c r="AQ251" s="461">
        <f>Total_SalesOverview_ExclTax[[#This Row],[GMV]]-Total_SalesOverview_ExclTax[[#This Row],[RR]]</f>
        <v>16388112.592920355</v>
      </c>
      <c r="AR251" s="461">
        <f t="shared" si="63"/>
        <v>3283320</v>
      </c>
      <c r="AS251" s="431">
        <f t="shared" si="63"/>
        <v>10033</v>
      </c>
      <c r="AT251" s="431">
        <f t="shared" si="63"/>
        <v>14579</v>
      </c>
      <c r="AU251" s="92">
        <f>Total_SalesOverview_ExclTax[[#This Row],[Buyers]]/Total_SalesOverview_ExclTax[[#This Row],[UV]]</f>
        <v>3.0557484497398973E-3</v>
      </c>
      <c r="AV251" s="431">
        <f>Total_SalesOverview_ExclTax[[#This Row],[GMV]]/Total_SalesOverview_ExclTax[[#This Row],[Buyers]]</f>
        <v>4464.919879442089</v>
      </c>
      <c r="AW251" s="431">
        <f>Total_SalesOverview_ExclTax[[#This Row],[GMV]]/Total_SalesOverview_ExclTax[[#This Row],[Units]]</f>
        <v>3072.6758454244105</v>
      </c>
      <c r="AX251" s="432">
        <f>Total_SalesOverview_ExclTax[[#This Row],[Units]]/Total_SalesOverview_ExclTax[[#This Row],[Buyers]]</f>
        <v>1.4531047543107745</v>
      </c>
      <c r="AY251" s="93">
        <f>Total_SalesOverview_ExclTax[[#This Row],[RR]]/Total_SalesOverview_ExclTax[[#This Row],[GMV]]</f>
        <v>0.6341656705618558</v>
      </c>
      <c r="AZ251" s="461">
        <f>Total_SalesOverview_InTax[[#This Row],[RR]]/$F$1</f>
        <v>28408428.557522126</v>
      </c>
      <c r="BA251" s="461">
        <f>Total_SalesOverview_InTax[[#This Row],[MD GMV]]/$F$1</f>
        <v>29759733.938053094</v>
      </c>
      <c r="BB251" s="94">
        <f>Total_SalesOverview_ExclTax[[#This Row],[MD GMV]]/Total_SalesOverview_ExclTax[[#This Row],[GMV]]</f>
        <v>0.6643310660550662</v>
      </c>
      <c r="BC251" s="461"/>
      <c r="BD251" s="461"/>
      <c r="BE251" s="461"/>
      <c r="BF251" s="431"/>
      <c r="BG251" s="104"/>
      <c r="BH251" s="426"/>
      <c r="BI251" s="432"/>
      <c r="BJ251" s="389"/>
      <c r="BK251" s="431"/>
      <c r="BL251" s="28" t="str">
        <f>_xlfn.XLOOKUP(Total_SalesOverview_InTax[[#This Row],[DATE]],全店核心数据_bymonth[开始日期],全店核心数据_bymonth[jda日历.PayYear],"")</f>
        <v/>
      </c>
      <c r="BO251" s="28"/>
      <c r="CO251" s="53"/>
    </row>
    <row r="252" spans="5:95" ht="13.5" customHeight="1" x14ac:dyDescent="0.3">
      <c r="E252" s="425" t="s">
        <v>339</v>
      </c>
      <c r="F252" s="256">
        <f t="shared" ref="F252:N252" si="64">F250/F251-1</f>
        <v>-0.20696017252359189</v>
      </c>
      <c r="G252" s="256">
        <f t="shared" si="64"/>
        <v>-3.803825000342631E-2</v>
      </c>
      <c r="H252" s="256">
        <f t="shared" si="64"/>
        <v>0.2826419599673502</v>
      </c>
      <c r="I252" s="256">
        <f t="shared" si="64"/>
        <v>-0.24558955447024822</v>
      </c>
      <c r="J252" s="256">
        <f t="shared" si="64"/>
        <v>-0.24994855614239664</v>
      </c>
      <c r="K252" s="256">
        <f t="shared" si="64"/>
        <v>-0.4118308389435853</v>
      </c>
      <c r="L252" s="256">
        <f t="shared" si="64"/>
        <v>5.1204728375056519E-2</v>
      </c>
      <c r="M252" s="256">
        <f t="shared" si="64"/>
        <v>5.7313913559995822E-2</v>
      </c>
      <c r="N252" s="256">
        <f t="shared" si="64"/>
        <v>-5.7780240159419627E-3</v>
      </c>
      <c r="O252" s="255">
        <f>(O250-O251)*100</f>
        <v>-7.7924760032818341</v>
      </c>
      <c r="P252" s="222">
        <f>P250/P251-1</f>
        <v>-0.30440700877036575</v>
      </c>
      <c r="Q252" s="222">
        <f>Q250/Q251-1</f>
        <v>-0.32796765282956331</v>
      </c>
      <c r="R252" s="255">
        <f>(R250-R251)*100</f>
        <v>-10.136821078471614</v>
      </c>
      <c r="S252" s="222">
        <f>S250/S251-1</f>
        <v>-0.15872969225015021</v>
      </c>
      <c r="T252" s="255">
        <f>(T250-T251)*100</f>
        <v>-7.7595924866754711</v>
      </c>
      <c r="U252" s="255"/>
      <c r="V252" s="255"/>
      <c r="W252" s="255"/>
      <c r="X252" s="255"/>
      <c r="Y252" s="255"/>
      <c r="Z252" s="255"/>
      <c r="AA252" s="255"/>
      <c r="AB252" s="255"/>
      <c r="AC252" s="255"/>
      <c r="AD252" s="255"/>
      <c r="AE252" s="255"/>
      <c r="AF252" s="255"/>
      <c r="AG252" s="255"/>
      <c r="AH252" s="255"/>
      <c r="AI252" s="255"/>
      <c r="AJ252" s="255"/>
      <c r="AK252" s="255"/>
      <c r="AO252" s="425" t="str">
        <f>Total_SalesOverview_InTax[[#This Row],[DATE]]</f>
        <v>YOY Ex FF</v>
      </c>
      <c r="AP252" s="97">
        <f t="shared" ref="AP252:AX252" si="65">AP250/AP251-1</f>
        <v>-0.20696017252359178</v>
      </c>
      <c r="AQ252" s="97">
        <f t="shared" si="65"/>
        <v>-3.8038250003426644E-2</v>
      </c>
      <c r="AR252" s="97">
        <f t="shared" si="65"/>
        <v>0.2826419599673502</v>
      </c>
      <c r="AS252" s="97">
        <f t="shared" si="65"/>
        <v>-0.24558955447024822</v>
      </c>
      <c r="AT252" s="97">
        <f t="shared" si="65"/>
        <v>-0.24994855614239664</v>
      </c>
      <c r="AU252" s="97">
        <f t="shared" si="65"/>
        <v>-0.4118308389435853</v>
      </c>
      <c r="AV252" s="97">
        <f t="shared" si="65"/>
        <v>5.1204728375056741E-2</v>
      </c>
      <c r="AW252" s="97">
        <f t="shared" si="65"/>
        <v>5.7313913559995822E-2</v>
      </c>
      <c r="AX252" s="97">
        <f t="shared" si="65"/>
        <v>-5.7780240159419627E-3</v>
      </c>
      <c r="AY252" s="98">
        <f>AY250-AY251</f>
        <v>-7.7924760032818341E-2</v>
      </c>
      <c r="AZ252" s="98">
        <f>AZ250/AZ251-1</f>
        <v>-0.30440700877036575</v>
      </c>
      <c r="BA252" s="98">
        <f>BA250/BA251-1</f>
        <v>-0.32796765282956319</v>
      </c>
      <c r="BB252" s="98">
        <f>BB250-BB251</f>
        <v>-0.10136821078471614</v>
      </c>
      <c r="BC252" s="98"/>
      <c r="BD252" s="98"/>
      <c r="BE252" s="98"/>
      <c r="BF252" s="98"/>
      <c r="BG252" s="98"/>
      <c r="BH252" s="98"/>
      <c r="BI252" s="98"/>
      <c r="BJ252" s="98"/>
      <c r="BK252" s="98"/>
      <c r="BO252" s="28"/>
      <c r="CO252" s="53"/>
    </row>
    <row r="253" spans="5:95" ht="13.5" customHeight="1" x14ac:dyDescent="0.3">
      <c r="E253" s="428" t="s">
        <v>562</v>
      </c>
      <c r="F253" s="431">
        <f>F190</f>
        <v>936675</v>
      </c>
      <c r="G253" s="431">
        <f>Total_SalesOverview_InTax[[#This Row],[GMV]]-Total_SalesOverview_InTax[[#This Row],[RR]]</f>
        <v>833335</v>
      </c>
      <c r="H253" s="431">
        <f t="shared" ref="H253:J254" si="66">H190</f>
        <v>59369</v>
      </c>
      <c r="I253" s="431">
        <f t="shared" si="66"/>
        <v>101</v>
      </c>
      <c r="J253" s="431">
        <f t="shared" si="66"/>
        <v>185</v>
      </c>
      <c r="K253" s="104">
        <f>Total_SalesOverview_InTax[[#This Row],[Buyers]]/Total_SalesOverview_InTax[[#This Row],[UV]]</f>
        <v>1.7012245447961057E-3</v>
      </c>
      <c r="L253" s="431">
        <f>Total_SalesOverview_InTax[[#This Row],[GMV]]/Total_SalesOverview_InTax[[#This Row],[Buyers]]</f>
        <v>9274.0099009900987</v>
      </c>
      <c r="M253" s="431">
        <f>Total_SalesOverview_InTax[[#This Row],[GMV]]/Total_SalesOverview_InTax[[#This Row],[Units]]</f>
        <v>5063.1081081081084</v>
      </c>
      <c r="N253" s="432">
        <f>Total_SalesOverview_InTax[[#This Row],[Units]]/Total_SalesOverview_InTax[[#This Row],[Buyers]]</f>
        <v>1.8316831683168318</v>
      </c>
      <c r="O253" s="105">
        <f>Total_SalesOverview_InTax[[#This Row],[RR]]/Total_SalesOverview_InTax[[#This Row],[GMV]]</f>
        <v>0.11032642058344677</v>
      </c>
      <c r="P253" s="431">
        <f>P190</f>
        <v>103340</v>
      </c>
      <c r="Q253" s="431">
        <f>Q190</f>
        <v>169967.07</v>
      </c>
      <c r="R253" s="106">
        <f>Total_SalesOverview_InTax[[#This Row],[MD GMV]]/Total_SalesOverview_InTax[[#This Row],[GMV]]</f>
        <v>0.18145789094403075</v>
      </c>
      <c r="S253" s="431">
        <f>S190</f>
        <v>142747.07</v>
      </c>
      <c r="T253" s="94">
        <f>Total_SalesOverview_InTax[[#This Row],[MD NET]]/Total_SalesOverview_InTax[[#This Row],[NET]]</f>
        <v>0.17129614140771721</v>
      </c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28" t="str">
        <f>_xlfn.XLOOKUP(Total_SalesOverview_InTax[[#This Row],[DATE]],全店核心数据_bymonth[开始日期],全店核心数据_bymonth[jda日历.PayYear],"")</f>
        <v/>
      </c>
      <c r="AO253" s="428" t="str">
        <f>Total_SalesOverview_InTax[[#This Row],[DATE]]</f>
        <v>BU26 SC</v>
      </c>
      <c r="AP253" s="461">
        <f>AP190</f>
        <v>828915.92920353985</v>
      </c>
      <c r="AQ253" s="461">
        <f>Total_SalesOverview_ExclTax[[#This Row],[GMV]]-Total_SalesOverview_ExclTax[[#This Row],[RR]]</f>
        <v>737464.60176991159</v>
      </c>
      <c r="AR253" s="430">
        <f t="shared" ref="AR253:AT254" si="67">AR190</f>
        <v>59369</v>
      </c>
      <c r="AS253" s="431">
        <f t="shared" si="67"/>
        <v>101</v>
      </c>
      <c r="AT253" s="431">
        <f t="shared" si="67"/>
        <v>185</v>
      </c>
      <c r="AU253" s="92">
        <f>Total_SalesOverview_InTax[[#This Row],[Buyers]]/Total_SalesOverview_InTax[[#This Row],[UV]]</f>
        <v>1.7012245447961057E-3</v>
      </c>
      <c r="AV253" s="431">
        <f>Total_SalesOverview_InTax[[#This Row],[GMV]]/Total_SalesOverview_InTax[[#This Row],[Buyers]]</f>
        <v>9274.0099009900987</v>
      </c>
      <c r="AW253" s="431">
        <f>Total_SalesOverview_InTax[[#This Row],[GMV]]/Total_SalesOverview_InTax[[#This Row],[Units]]</f>
        <v>5063.1081081081084</v>
      </c>
      <c r="AX253" s="432">
        <f>Total_SalesOverview_InTax[[#This Row],[Units]]/Total_SalesOverview_InTax[[#This Row],[Buyers]]</f>
        <v>1.8316831683168318</v>
      </c>
      <c r="AY253" s="93">
        <f>Total_SalesOverview_InTax[[#This Row],[RR]]/Total_SalesOverview_InTax[[#This Row],[GMV]]</f>
        <v>0.11032642058344677</v>
      </c>
      <c r="AZ253" s="461">
        <f>Total_SalesOverview_InTax[[#This Row],[RR]]/$F$1</f>
        <v>91451.327433628321</v>
      </c>
      <c r="BA253" s="461">
        <f>Total_SalesOverview_InTax[[#This Row],[MD GMV]]/$F$1</f>
        <v>150413.33628318587</v>
      </c>
      <c r="BB253" s="94">
        <f>Total_SalesOverview_InTax[[#This Row],[MD GMV]]/Total_SalesOverview_InTax[[#This Row],[GMV]]</f>
        <v>0.18145789094403075</v>
      </c>
      <c r="BC253" s="94"/>
      <c r="BD253" s="94"/>
      <c r="BE253" s="94"/>
      <c r="BF253" s="94"/>
      <c r="BG253" s="94"/>
      <c r="BH253" s="94"/>
      <c r="BI253" s="94"/>
      <c r="BJ253" s="94"/>
      <c r="BK253" s="94"/>
      <c r="BL253" s="28" t="str">
        <f>_xlfn.XLOOKUP(Total_SalesOverview_InTax[[#This Row],[DATE]],全店核心数据_bymonth[开始日期],全店核心数据_bymonth[jda日历.PayYear],"")</f>
        <v/>
      </c>
      <c r="BO253" s="28"/>
      <c r="CO253" s="53"/>
    </row>
    <row r="254" spans="5:95" ht="13.5" customHeight="1" x14ac:dyDescent="0.3">
      <c r="E254" s="428" t="s">
        <v>565</v>
      </c>
      <c r="F254" s="431">
        <f>F191</f>
        <v>648855</v>
      </c>
      <c r="G254" s="431">
        <f>Total_SalesOverview_InTax[[#This Row],[GMV]]-Total_SalesOverview_InTax[[#This Row],[RR]]</f>
        <v>617855</v>
      </c>
      <c r="H254" s="431">
        <f t="shared" si="66"/>
        <v>19939</v>
      </c>
      <c r="I254" s="431">
        <f t="shared" si="66"/>
        <v>101</v>
      </c>
      <c r="J254" s="431">
        <f t="shared" si="66"/>
        <v>156</v>
      </c>
      <c r="K254" s="104">
        <f>Total_SalesOverview_InTax[[#This Row],[Buyers]]/Total_SalesOverview_InTax[[#This Row],[UV]]</f>
        <v>5.0654496213451026E-3</v>
      </c>
      <c r="L254" s="431">
        <f>Total_SalesOverview_InTax[[#This Row],[GMV]]/Total_SalesOverview_InTax[[#This Row],[Buyers]]</f>
        <v>6424.3069306930693</v>
      </c>
      <c r="M254" s="431">
        <f>Total_SalesOverview_InTax[[#This Row],[GMV]]/Total_SalesOverview_InTax[[#This Row],[Units]]</f>
        <v>4159.3269230769229</v>
      </c>
      <c r="N254" s="432">
        <f>Total_SalesOverview_InTax[[#This Row],[Units]]/Total_SalesOverview_InTax[[#This Row],[Buyers]]</f>
        <v>1.5445544554455446</v>
      </c>
      <c r="O254" s="105">
        <f>Total_SalesOverview_InTax[[#This Row],[RR]]/Total_SalesOverview_InTax[[#This Row],[GMV]]</f>
        <v>4.7776467777854839E-2</v>
      </c>
      <c r="P254" s="431">
        <f>P191</f>
        <v>31000</v>
      </c>
      <c r="Q254" s="431">
        <f>Q191</f>
        <v>230295</v>
      </c>
      <c r="R254" s="106">
        <f>Total_SalesOverview_InTax[[#This Row],[MD GMV]]/Total_SalesOverview_InTax[[#This Row],[GMV]]</f>
        <v>0.35492521441616387</v>
      </c>
      <c r="S254" s="431">
        <f>S191</f>
        <v>209440</v>
      </c>
      <c r="T254" s="94">
        <f>Total_SalesOverview_InTax[[#This Row],[MD NET]]/Total_SalesOverview_InTax[[#This Row],[NET]]</f>
        <v>0.33897921033252137</v>
      </c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28" t="str">
        <f>_xlfn.XLOOKUP(Total_SalesOverview_InTax[[#This Row],[DATE]],全店核心数据_bymonth[开始日期],全店核心数据_bymonth[jda日历.PayYear],"")</f>
        <v/>
      </c>
      <c r="AO254" s="428" t="str">
        <f>Total_SalesOverview_InTax[[#This Row],[DATE]]</f>
        <v>BU25 SC</v>
      </c>
      <c r="AP254" s="461">
        <f>AP191</f>
        <v>574207.96460176993</v>
      </c>
      <c r="AQ254" s="461">
        <f>Total_SalesOverview_ExclTax[[#This Row],[GMV]]-Total_SalesOverview_ExclTax[[#This Row],[RR]]</f>
        <v>546774.33628318587</v>
      </c>
      <c r="AR254" s="430">
        <f t="shared" si="67"/>
        <v>19939</v>
      </c>
      <c r="AS254" s="431">
        <f t="shared" si="67"/>
        <v>101</v>
      </c>
      <c r="AT254" s="431">
        <f t="shared" si="67"/>
        <v>156</v>
      </c>
      <c r="AU254" s="92">
        <f>Total_SalesOverview_InTax[[#This Row],[Buyers]]/Total_SalesOverview_InTax[[#This Row],[UV]]</f>
        <v>5.0654496213451026E-3</v>
      </c>
      <c r="AV254" s="431">
        <f>Total_SalesOverview_InTax[[#This Row],[GMV]]/Total_SalesOverview_InTax[[#This Row],[Buyers]]</f>
        <v>6424.3069306930693</v>
      </c>
      <c r="AW254" s="431">
        <f>Total_SalesOverview_InTax[[#This Row],[GMV]]/Total_SalesOverview_InTax[[#This Row],[Units]]</f>
        <v>4159.3269230769229</v>
      </c>
      <c r="AX254" s="432">
        <f>Total_SalesOverview_InTax[[#This Row],[Units]]/Total_SalesOverview_InTax[[#This Row],[Buyers]]</f>
        <v>1.5445544554455446</v>
      </c>
      <c r="AY254" s="93">
        <f>Total_SalesOverview_InTax[[#This Row],[RR]]/Total_SalesOverview_InTax[[#This Row],[GMV]]</f>
        <v>4.7776467777854839E-2</v>
      </c>
      <c r="AZ254" s="461">
        <f>Total_SalesOverview_InTax[[#This Row],[RR]]/$F$1</f>
        <v>27433.628318584073</v>
      </c>
      <c r="BA254" s="461">
        <f>Total_SalesOverview_InTax[[#This Row],[MD GMV]]/$F$1</f>
        <v>203800.88495575223</v>
      </c>
      <c r="BB254" s="94">
        <f>Total_SalesOverview_InTax[[#This Row],[MD GMV]]/Total_SalesOverview_InTax[[#This Row],[GMV]]</f>
        <v>0.35492521441616387</v>
      </c>
      <c r="BC254" s="94"/>
      <c r="BD254" s="94"/>
      <c r="BE254" s="94"/>
      <c r="BF254" s="94"/>
      <c r="BG254" s="94"/>
      <c r="BH254" s="94"/>
      <c r="BI254" s="94"/>
      <c r="BJ254" s="94"/>
      <c r="BK254" s="94"/>
      <c r="BL254" s="28" t="str">
        <f>_xlfn.XLOOKUP(Total_SalesOverview_InTax[[#This Row],[DATE]],全店核心数据_bymonth[开始日期],全店核心数据_bymonth[jda日历.PayYear],"")</f>
        <v/>
      </c>
      <c r="BO254" s="28"/>
      <c r="CO254" s="53"/>
    </row>
    <row r="255" spans="5:95" ht="13.5" customHeight="1" x14ac:dyDescent="0.3">
      <c r="E255" s="428" t="s">
        <v>563</v>
      </c>
      <c r="F255" s="431">
        <f>F250-F253</f>
        <v>39207073.629999995</v>
      </c>
      <c r="G255" s="431">
        <f>Total_SalesOverview_InTax[[#This Row],[GMV]]-Total_SalesOverview_InTax[[#This Row],[RR]]</f>
        <v>16980818.339999996</v>
      </c>
      <c r="H255" s="431">
        <f t="shared" ref="H255:J256" si="68">H250-H253</f>
        <v>4151955</v>
      </c>
      <c r="I255" s="431">
        <f t="shared" si="68"/>
        <v>7468</v>
      </c>
      <c r="J255" s="431">
        <f t="shared" si="68"/>
        <v>10750</v>
      </c>
      <c r="K255" s="104">
        <f>Total_SalesOverview_InTax[[#This Row],[Buyers]]/Total_SalesOverview_InTax[[#This Row],[UV]]</f>
        <v>1.7986707466723507E-3</v>
      </c>
      <c r="L255" s="431">
        <f>Total_SalesOverview_InTax[[#This Row],[GMV]]/Total_SalesOverview_InTax[[#This Row],[Buyers]]</f>
        <v>5250.0098594001065</v>
      </c>
      <c r="M255" s="431">
        <f>Total_SalesOverview_InTax[[#This Row],[GMV]]/Total_SalesOverview_InTax[[#This Row],[Units]]</f>
        <v>3647.1696399999996</v>
      </c>
      <c r="N255" s="432">
        <f>Total_SalesOverview_InTax[[#This Row],[Units]]/Total_SalesOverview_InTax[[#This Row],[Buyers]]</f>
        <v>1.4394750937332619</v>
      </c>
      <c r="O255" s="105">
        <f>Total_SalesOverview_InTax[[#This Row],[RR]]/Total_SalesOverview_InTax[[#This Row],[GMV]]</f>
        <v>0.56689401253842064</v>
      </c>
      <c r="P255" s="431">
        <f>P250-P253</f>
        <v>22226255.289999999</v>
      </c>
      <c r="Q255" s="431">
        <f>Q250-Q253</f>
        <v>22429472.280000001</v>
      </c>
      <c r="R255" s="106">
        <f>Total_SalesOverview_InTax[[#This Row],[MD GMV]]/Total_SalesOverview_InTax[[#This Row],[GMV]]</f>
        <v>0.5720771841241854</v>
      </c>
      <c r="S255" s="431">
        <f>S250-S253</f>
        <v>9492507.2899999972</v>
      </c>
      <c r="T255" s="94">
        <f>Total_SalesOverview_InTax[[#This Row],[MD NET]]/Total_SalesOverview_InTax[[#This Row],[NET]]</f>
        <v>0.55901353515098018</v>
      </c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28" t="str">
        <f>_xlfn.XLOOKUP(Total_SalesOverview_InTax[[#This Row],[DATE]],全店核心数据_bymonth[开始日期],全店核心数据_bymonth[jda日历.PayYear],"")</f>
        <v/>
      </c>
      <c r="AO255" s="428" t="str">
        <f>Total_SalesOverview_InTax[[#This Row],[DATE]]</f>
        <v>BU26 Organic</v>
      </c>
      <c r="AP255" s="461">
        <f>AP250-AP253</f>
        <v>34696525.336283185</v>
      </c>
      <c r="AQ255" s="461">
        <f>Total_SalesOverview_ExclTax[[#This Row],[GMV]]-Total_SalesOverview_ExclTax[[#This Row],[RR]]</f>
        <v>15027272.867256634</v>
      </c>
      <c r="AR255" s="461">
        <f t="shared" ref="AR255:AT256" si="69">AR250-AR253</f>
        <v>4151955</v>
      </c>
      <c r="AS255" s="431">
        <f t="shared" si="69"/>
        <v>7468</v>
      </c>
      <c r="AT255" s="431">
        <f t="shared" si="69"/>
        <v>10750</v>
      </c>
      <c r="AU255" s="92">
        <f>Total_SalesOverview_InTax[[#This Row],[Buyers]]/Total_SalesOverview_InTax[[#This Row],[UV]]</f>
        <v>1.7986707466723507E-3</v>
      </c>
      <c r="AV255" s="431">
        <f>Total_SalesOverview_InTax[[#This Row],[GMV]]/Total_SalesOverview_InTax[[#This Row],[Buyers]]</f>
        <v>5250.0098594001065</v>
      </c>
      <c r="AW255" s="431">
        <f>Total_SalesOverview_InTax[[#This Row],[GMV]]/Total_SalesOverview_InTax[[#This Row],[Units]]</f>
        <v>3647.1696399999996</v>
      </c>
      <c r="AX255" s="432">
        <f>Total_SalesOverview_InTax[[#This Row],[Units]]/Total_SalesOverview_InTax[[#This Row],[Buyers]]</f>
        <v>1.4394750937332619</v>
      </c>
      <c r="AY255" s="93">
        <f>Total_SalesOverview_InTax[[#This Row],[RR]]/Total_SalesOverview_InTax[[#This Row],[GMV]]</f>
        <v>0.56689401253842064</v>
      </c>
      <c r="AZ255" s="461">
        <f>Total_SalesOverview_InTax[[#This Row],[RR]]/$F$1</f>
        <v>19669252.469026551</v>
      </c>
      <c r="BA255" s="461">
        <f>Total_SalesOverview_InTax[[#This Row],[MD GMV]]/$F$1</f>
        <v>19849090.513274338</v>
      </c>
      <c r="BB255" s="94">
        <f>Total_SalesOverview_InTax[[#This Row],[MD GMV]]/Total_SalesOverview_InTax[[#This Row],[GMV]]</f>
        <v>0.5720771841241854</v>
      </c>
      <c r="BC255" s="94"/>
      <c r="BD255" s="94"/>
      <c r="BE255" s="94"/>
      <c r="BF255" s="94"/>
      <c r="BG255" s="94"/>
      <c r="BH255" s="94"/>
      <c r="BI255" s="94"/>
      <c r="BJ255" s="94"/>
      <c r="BK255" s="94"/>
      <c r="BL255" s="28" t="str">
        <f>_xlfn.XLOOKUP(Total_SalesOverview_InTax[[#This Row],[DATE]],全店核心数据_bymonth[开始日期],全店核心数据_bymonth[jda日历.PayYear],"")</f>
        <v/>
      </c>
      <c r="BO255" s="28"/>
      <c r="CO255" s="53"/>
    </row>
    <row r="256" spans="5:95" ht="13.5" customHeight="1" x14ac:dyDescent="0.3">
      <c r="E256" s="428" t="s">
        <v>383</v>
      </c>
      <c r="F256" s="431">
        <f>F251-F254</f>
        <v>49971236.5</v>
      </c>
      <c r="G256" s="431">
        <f>Total_SalesOverview_InTax[[#This Row],[GMV]]-Total_SalesOverview_InTax[[#This Row],[RR]]</f>
        <v>17900712.23</v>
      </c>
      <c r="H256" s="431">
        <f t="shared" si="68"/>
        <v>3263381</v>
      </c>
      <c r="I256" s="431">
        <f t="shared" si="68"/>
        <v>9932</v>
      </c>
      <c r="J256" s="431">
        <f t="shared" si="68"/>
        <v>14423</v>
      </c>
      <c r="K256" s="104">
        <f>Total_SalesOverview_InTax[[#This Row],[Buyers]]/Total_SalesOverview_InTax[[#This Row],[UV]]</f>
        <v>3.043469334411152E-3</v>
      </c>
      <c r="L256" s="431">
        <f>Total_SalesOverview_InTax[[#This Row],[GMV]]/Total_SalesOverview_InTax[[#This Row],[Buyers]]</f>
        <v>5031.3367398308501</v>
      </c>
      <c r="M256" s="431">
        <f>Total_SalesOverview_InTax[[#This Row],[GMV]]/Total_SalesOverview_InTax[[#This Row],[Units]]</f>
        <v>3464.6908756846701</v>
      </c>
      <c r="N256" s="432">
        <f>Total_SalesOverview_InTax[[#This Row],[Units]]/Total_SalesOverview_InTax[[#This Row],[Buyers]]</f>
        <v>1.4521747885622232</v>
      </c>
      <c r="O256" s="105">
        <f>Total_SalesOverview_InTax[[#This Row],[RR]]/Total_SalesOverview_InTax[[#This Row],[GMV]]</f>
        <v>0.64177968199766278</v>
      </c>
      <c r="P256" s="431">
        <f>P251-P254</f>
        <v>32070524.27</v>
      </c>
      <c r="Q256" s="431">
        <f>Q251-Q254</f>
        <v>33398204.349999994</v>
      </c>
      <c r="R256" s="106">
        <f>Total_SalesOverview_InTax[[#This Row],[MD GMV]]/Total_SalesOverview_InTax[[#This Row],[GMV]]</f>
        <v>0.66834856788064456</v>
      </c>
      <c r="S256" s="431">
        <f>S251-S254</f>
        <v>11243780.529999999</v>
      </c>
      <c r="T256" s="94">
        <f>Total_SalesOverview_InTax[[#This Row],[MD NET]]/Total_SalesOverview_InTax[[#This Row],[NET]]</f>
        <v>0.62811917121132332</v>
      </c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28" t="str">
        <f>_xlfn.XLOOKUP(Total_SalesOverview_InTax[[#This Row],[DATE]],全店核心数据_bymonth[开始日期],全店核心数据_bymonth[jda日历.PayYear],"")</f>
        <v/>
      </c>
      <c r="AO256" s="428" t="str">
        <f>Total_SalesOverview_InTax[[#This Row],[DATE]]</f>
        <v>BU25 Organic</v>
      </c>
      <c r="AP256" s="461">
        <f>AP251-AP254</f>
        <v>44222333.185840711</v>
      </c>
      <c r="AQ256" s="461">
        <f>Total_SalesOverview_ExclTax[[#This Row],[GMV]]-Total_SalesOverview_ExclTax[[#This Row],[RR]]</f>
        <v>15841338.256637167</v>
      </c>
      <c r="AR256" s="461">
        <f t="shared" si="69"/>
        <v>3263381</v>
      </c>
      <c r="AS256" s="431">
        <f t="shared" si="69"/>
        <v>9932</v>
      </c>
      <c r="AT256" s="431">
        <f t="shared" si="69"/>
        <v>14423</v>
      </c>
      <c r="AU256" s="92">
        <f>Total_SalesOverview_InTax[[#This Row],[Buyers]]/Total_SalesOverview_InTax[[#This Row],[UV]]</f>
        <v>3.043469334411152E-3</v>
      </c>
      <c r="AV256" s="431">
        <f>Total_SalesOverview_InTax[[#This Row],[GMV]]/Total_SalesOverview_InTax[[#This Row],[Buyers]]</f>
        <v>5031.3367398308501</v>
      </c>
      <c r="AW256" s="431">
        <f>Total_SalesOverview_InTax[[#This Row],[GMV]]/Total_SalesOverview_InTax[[#This Row],[Units]]</f>
        <v>3464.6908756846701</v>
      </c>
      <c r="AX256" s="432">
        <f>Total_SalesOverview_InTax[[#This Row],[Units]]/Total_SalesOverview_InTax[[#This Row],[Buyers]]</f>
        <v>1.4521747885622232</v>
      </c>
      <c r="AY256" s="93">
        <f>Total_SalesOverview_InTax[[#This Row],[RR]]/Total_SalesOverview_InTax[[#This Row],[GMV]]</f>
        <v>0.64177968199766278</v>
      </c>
      <c r="AZ256" s="461">
        <f>Total_SalesOverview_InTax[[#This Row],[RR]]/$F$1</f>
        <v>28380994.929203544</v>
      </c>
      <c r="BA256" s="461">
        <f>Total_SalesOverview_InTax[[#This Row],[MD GMV]]/$F$1</f>
        <v>29555933.053097341</v>
      </c>
      <c r="BB256" s="94">
        <f>Total_SalesOverview_InTax[[#This Row],[MD GMV]]/Total_SalesOverview_InTax[[#This Row],[GMV]]</f>
        <v>0.66834856788064456</v>
      </c>
      <c r="BC256" s="94"/>
      <c r="BD256" s="94"/>
      <c r="BE256" s="94"/>
      <c r="BF256" s="94"/>
      <c r="BG256" s="94"/>
      <c r="BH256" s="94"/>
      <c r="BI256" s="94"/>
      <c r="BJ256" s="94"/>
      <c r="BK256" s="94"/>
      <c r="BL256" s="28" t="str">
        <f>_xlfn.XLOOKUP(Total_SalesOverview_InTax[[#This Row],[DATE]],全店核心数据_bymonth[开始日期],全店核心数据_bymonth[jda日历.PayYear],"")</f>
        <v/>
      </c>
      <c r="BO256" s="28"/>
      <c r="CO256" s="53"/>
    </row>
    <row r="257" spans="5:93" ht="13.5" customHeight="1" x14ac:dyDescent="0.3">
      <c r="E257" s="425" t="s">
        <v>384</v>
      </c>
      <c r="F257" s="256">
        <f t="shared" ref="F257:N257" si="70">F255/F256-1</f>
        <v>-0.2154071746853814</v>
      </c>
      <c r="G257" s="256">
        <f t="shared" si="70"/>
        <v>-5.1388675387918026E-2</v>
      </c>
      <c r="H257" s="256">
        <f t="shared" si="70"/>
        <v>0.27228631900473776</v>
      </c>
      <c r="I257" s="256">
        <f t="shared" si="70"/>
        <v>-0.24808699154248892</v>
      </c>
      <c r="J257" s="256">
        <f t="shared" si="70"/>
        <v>-0.25466269153435483</v>
      </c>
      <c r="K257" s="256">
        <f t="shared" si="70"/>
        <v>-0.4090064498644419</v>
      </c>
      <c r="L257" s="256">
        <f t="shared" si="70"/>
        <v>4.3462230988858153E-2</v>
      </c>
      <c r="M257" s="256">
        <f t="shared" si="70"/>
        <v>5.2668122745371582E-2</v>
      </c>
      <c r="N257" s="256">
        <f t="shared" si="70"/>
        <v>-8.7452935617585714E-3</v>
      </c>
      <c r="O257" s="255">
        <f>(O255-O256)*100</f>
        <v>-7.4885669459242132</v>
      </c>
      <c r="P257" s="222">
        <f>P255/P256-1</f>
        <v>-0.30695690837859824</v>
      </c>
      <c r="Q257" s="222">
        <f>Q255/Q256-1</f>
        <v>-0.32842280845556882</v>
      </c>
      <c r="R257" s="255">
        <f>(R255-R256)*100</f>
        <v>-9.6271383756459166</v>
      </c>
      <c r="S257" s="222">
        <f>S255/S256-1</f>
        <v>-0.15575484022721331</v>
      </c>
      <c r="T257" s="255">
        <f>(T255-T256)*100</f>
        <v>-6.9105636060343141</v>
      </c>
      <c r="U257" s="255"/>
      <c r="V257" s="255"/>
      <c r="W257" s="255"/>
      <c r="X257" s="255"/>
      <c r="Y257" s="255"/>
      <c r="Z257" s="255"/>
      <c r="AA257" s="255"/>
      <c r="AB257" s="255"/>
      <c r="AC257" s="255"/>
      <c r="AD257" s="255"/>
      <c r="AE257" s="255"/>
      <c r="AF257" s="255"/>
      <c r="AG257" s="255"/>
      <c r="AH257" s="255"/>
      <c r="AI257" s="255"/>
      <c r="AJ257" s="255"/>
      <c r="AK257" s="255"/>
      <c r="AO257" s="428" t="str">
        <f>Total_SalesOverview_InTax[[#This Row],[DATE]]</f>
        <v>YOY Organic</v>
      </c>
      <c r="AP257" s="97">
        <f>AP255/AP256-1</f>
        <v>-0.21540717468538129</v>
      </c>
      <c r="AQ257" s="97">
        <f t="shared" ref="AQ257:AX257" si="71">AQ255/AQ256-1</f>
        <v>-5.1388675387917915E-2</v>
      </c>
      <c r="AR257" s="97">
        <f t="shared" si="71"/>
        <v>0.27228631900473776</v>
      </c>
      <c r="AS257" s="97">
        <f t="shared" si="71"/>
        <v>-0.24808699154248892</v>
      </c>
      <c r="AT257" s="97">
        <f t="shared" si="71"/>
        <v>-0.25466269153435483</v>
      </c>
      <c r="AU257" s="97">
        <f t="shared" si="71"/>
        <v>-0.4090064498644419</v>
      </c>
      <c r="AV257" s="97">
        <f t="shared" si="71"/>
        <v>4.3462230988858153E-2</v>
      </c>
      <c r="AW257" s="97">
        <f t="shared" si="71"/>
        <v>5.2668122745371582E-2</v>
      </c>
      <c r="AX257" s="97">
        <f t="shared" si="71"/>
        <v>-8.7452935617585714E-3</v>
      </c>
      <c r="AY257" s="97">
        <f>AY255-AY256</f>
        <v>-7.4885669459242132E-2</v>
      </c>
      <c r="AZ257" s="97">
        <f>AZ255/AZ256-1</f>
        <v>-0.30695690837859824</v>
      </c>
      <c r="BA257" s="97">
        <f>BA255/BA256-1</f>
        <v>-0.32842280845556882</v>
      </c>
      <c r="BB257" s="97">
        <f>BB255-BB256</f>
        <v>-9.6271383756459161E-2</v>
      </c>
      <c r="BC257" s="97"/>
      <c r="BD257" s="97"/>
      <c r="BE257" s="97"/>
      <c r="BF257" s="97"/>
      <c r="BG257" s="97"/>
      <c r="BH257" s="97"/>
      <c r="BI257" s="97"/>
      <c r="BJ257" s="97"/>
      <c r="BK257" s="97"/>
      <c r="BL257" s="57"/>
      <c r="BO257" s="28"/>
      <c r="CO257" s="53"/>
    </row>
    <row r="258" spans="5:93" ht="13.5" customHeight="1" x14ac:dyDescent="0.3">
      <c r="E258" s="428" t="s">
        <v>385</v>
      </c>
      <c r="F258" s="431">
        <f>F198</f>
        <v>164710</v>
      </c>
      <c r="G258" s="431">
        <f>Total_SalesOverview_InTax[[#This Row],[GMV]]-Total_SalesOverview_InTax[[#This Row],[RR]]</f>
        <v>117780</v>
      </c>
      <c r="H258" s="431">
        <f t="shared" ref="H258:J259" si="72">H198</f>
        <v>211</v>
      </c>
      <c r="I258" s="431">
        <f t="shared" si="72"/>
        <v>17</v>
      </c>
      <c r="J258" s="431">
        <f t="shared" si="72"/>
        <v>27</v>
      </c>
      <c r="K258" s="104">
        <f>Total_SalesOverview_InTax[[#This Row],[Buyers]]/Total_SalesOverview_InTax[[#This Row],[UV]]</f>
        <v>8.0568720379146919E-2</v>
      </c>
      <c r="L258" s="431">
        <f>Total_SalesOverview_InTax[[#This Row],[GMV]]/Total_SalesOverview_InTax[[#This Row],[Buyers]]</f>
        <v>9688.823529411764</v>
      </c>
      <c r="M258" s="431">
        <f>Total_SalesOverview_InTax[[#This Row],[GMV]]/Total_SalesOverview_InTax[[#This Row],[Units]]</f>
        <v>6100.3703703703704</v>
      </c>
      <c r="N258" s="432">
        <f>Total_SalesOverview_InTax[[#This Row],[Units]]/Total_SalesOverview_InTax[[#This Row],[Buyers]]</f>
        <v>1.588235294117647</v>
      </c>
      <c r="O258" s="105">
        <f>Total_SalesOverview_InTax[[#This Row],[RR]]/Total_SalesOverview_InTax[[#This Row],[GMV]]</f>
        <v>0.28492501973164958</v>
      </c>
      <c r="P258" s="431">
        <f>P198</f>
        <v>46930</v>
      </c>
      <c r="Q258" s="431">
        <f>Q198</f>
        <v>0</v>
      </c>
      <c r="R258" s="106">
        <f>Total_SalesOverview_InTax[[#This Row],[MD GMV]]/Total_SalesOverview_InTax[[#This Row],[GMV]]</f>
        <v>0</v>
      </c>
      <c r="S258" s="431">
        <f>S198</f>
        <v>43670</v>
      </c>
      <c r="T258" s="94">
        <f>Total_SalesOverview_InTax[[#This Row],[MD NET]]/Total_SalesOverview_InTax[[#This Row],[NET]]</f>
        <v>0.37077602309390389</v>
      </c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28" t="str">
        <f>_xlfn.XLOOKUP(Total_SalesOverview_InTax[[#This Row],[DATE]],全店核心数据_bymonth[开始日期],全店核心数据_bymonth[jda日历.PayYear],"")</f>
        <v/>
      </c>
      <c r="AO258" s="428" t="str">
        <f>Total_SalesOverview_InTax[[#This Row],[DATE]]</f>
        <v>MTD-TY SC</v>
      </c>
      <c r="AP258" s="429">
        <f>Total_SalesOverview_InTax[[#This Row],[GMV]]/$F$1</f>
        <v>145761.06194690266</v>
      </c>
      <c r="AQ258" s="429">
        <f>Total_SalesOverview_ExclTax[[#This Row],[GMV]]-Total_SalesOverview_ExclTax[[#This Row],[RR]]</f>
        <v>104230.08849557521</v>
      </c>
      <c r="AR258" s="430">
        <f>Total_SalesOverview_InTax[[#This Row],[UV]]</f>
        <v>211</v>
      </c>
      <c r="AS258" s="431">
        <f>Total_SalesOverview_InTax[[#This Row],[Buyers]]</f>
        <v>17</v>
      </c>
      <c r="AT258" s="431">
        <f>Total_SalesOverview_InTax[[#This Row],[Units]]</f>
        <v>27</v>
      </c>
      <c r="AU258" s="92">
        <f>Total_SalesOverview_ExclTax[[#This Row],[Buyers]]/Total_SalesOverview_ExclTax[[#This Row],[UV]]</f>
        <v>8.0568720379146919E-2</v>
      </c>
      <c r="AV258" s="431">
        <f>Total_SalesOverview_ExclTax[[#This Row],[GMV]]/Total_SalesOverview_ExclTax[[#This Row],[Buyers]]</f>
        <v>8574.1801145236859</v>
      </c>
      <c r="AW258" s="431">
        <f>Total_SalesOverview_ExclTax[[#This Row],[GMV]]/Total_SalesOverview_ExclTax[[#This Row],[Units]]</f>
        <v>5398.5578498852838</v>
      </c>
      <c r="AX258" s="432">
        <f>Total_SalesOverview_ExclTax[[#This Row],[Units]]/Total_SalesOverview_ExclTax[[#This Row],[Buyers]]</f>
        <v>1.588235294117647</v>
      </c>
      <c r="AY258" s="93">
        <f>Total_SalesOverview_ExclTax[[#This Row],[RR]]/Total_SalesOverview_ExclTax[[#This Row],[GMV]]</f>
        <v>0.28492501973164958</v>
      </c>
      <c r="AZ258" s="461">
        <f>Total_SalesOverview_InTax[[#This Row],[RR]]/$F$1</f>
        <v>41530.973451327438</v>
      </c>
      <c r="BA258" s="461">
        <f>Total_SalesOverview_InTax[[#This Row],[MD GMV]]/$F$1</f>
        <v>0</v>
      </c>
      <c r="BB258" s="94">
        <f>Total_SalesOverview_ExclTax[[#This Row],[MD GMV]]/Total_SalesOverview_ExclTax[[#This Row],[GMV]]</f>
        <v>0</v>
      </c>
      <c r="BC258" s="94"/>
      <c r="BD258" s="94"/>
      <c r="BE258" s="94"/>
      <c r="BF258" s="94"/>
      <c r="BG258" s="94"/>
      <c r="BH258" s="94"/>
      <c r="BI258" s="94"/>
      <c r="BJ258" s="94"/>
      <c r="BK258" s="94"/>
      <c r="BL258" s="28" t="str">
        <f>_xlfn.XLOOKUP(Total_SalesOverview_ExclTax[[#This Row],[DATE]],全店核心数据_bymonth[开始日期],全店核心数据_bymonth[jda日历.PayYear],"")</f>
        <v/>
      </c>
      <c r="BO258" s="28"/>
      <c r="CO258" s="53"/>
    </row>
    <row r="259" spans="5:93" ht="13.5" customHeight="1" x14ac:dyDescent="0.3">
      <c r="E259" s="428" t="s">
        <v>386</v>
      </c>
      <c r="F259" s="431">
        <f>F199</f>
        <v>69295</v>
      </c>
      <c r="G259" s="431">
        <f>Total_SalesOverview_InTax[[#This Row],[GMV]]-Total_SalesOverview_InTax[[#This Row],[RR]]</f>
        <v>56730</v>
      </c>
      <c r="H259" s="431">
        <f t="shared" si="72"/>
        <v>10532</v>
      </c>
      <c r="I259" s="431">
        <f t="shared" si="72"/>
        <v>10</v>
      </c>
      <c r="J259" s="431">
        <f t="shared" si="72"/>
        <v>13</v>
      </c>
      <c r="K259" s="104">
        <f>Total_SalesOverview_InTax[[#This Row],[Buyers]]/Total_SalesOverview_InTax[[#This Row],[UV]]</f>
        <v>9.4948727687048991E-4</v>
      </c>
      <c r="L259" s="431">
        <f>Total_SalesOverview_InTax[[#This Row],[GMV]]/Total_SalesOverview_InTax[[#This Row],[Buyers]]</f>
        <v>6929.5</v>
      </c>
      <c r="M259" s="431">
        <f>Total_SalesOverview_InTax[[#This Row],[GMV]]/Total_SalesOverview_InTax[[#This Row],[Units]]</f>
        <v>5330.3846153846152</v>
      </c>
      <c r="N259" s="432">
        <f>Total_SalesOverview_InTax[[#This Row],[Units]]/Total_SalesOverview_InTax[[#This Row],[Buyers]]</f>
        <v>1.3</v>
      </c>
      <c r="O259" s="105">
        <f>Total_SalesOverview_InTax[[#This Row],[RR]]/Total_SalesOverview_InTax[[#This Row],[GMV]]</f>
        <v>0.18132621401255503</v>
      </c>
      <c r="P259" s="431">
        <f>P199</f>
        <v>12565</v>
      </c>
      <c r="Q259" s="431">
        <f>Q199</f>
        <v>66300</v>
      </c>
      <c r="R259" s="106">
        <f>Total_SalesOverview_InTax[[#This Row],[MD GMV]]/Total_SalesOverview_InTax[[#This Row],[GMV]]</f>
        <v>0.95677898838300024</v>
      </c>
      <c r="S259" s="431">
        <f>S199</f>
        <v>53735</v>
      </c>
      <c r="T259" s="94">
        <f>Total_SalesOverview_InTax[[#This Row],[MD NET]]/Total_SalesOverview_InTax[[#This Row],[NET]]</f>
        <v>0.94720606381103467</v>
      </c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28" t="str">
        <f>_xlfn.XLOOKUP(Total_SalesOverview_InTax[[#This Row],[DATE]],全店核心数据_bymonth[开始日期],全店核心数据_bymonth[jda日历.PayYear],"")</f>
        <v/>
      </c>
      <c r="AO259" s="428" t="str">
        <f>Total_SalesOverview_InTax[[#This Row],[DATE]]</f>
        <v>MTD-LY SC</v>
      </c>
      <c r="AP259" s="429">
        <f>Total_SalesOverview_InTax[[#This Row],[GMV]]/$F$1</f>
        <v>61323.008849557526</v>
      </c>
      <c r="AQ259" s="429">
        <f>Total_SalesOverview_ExclTax[[#This Row],[GMV]]-Total_SalesOverview_ExclTax[[#This Row],[RR]]</f>
        <v>50203.539823008854</v>
      </c>
      <c r="AR259" s="430">
        <f>Total_SalesOverview_InTax[[#This Row],[UV]]</f>
        <v>10532</v>
      </c>
      <c r="AS259" s="431">
        <f>Total_SalesOverview_InTax[[#This Row],[Buyers]]</f>
        <v>10</v>
      </c>
      <c r="AT259" s="431">
        <f>Total_SalesOverview_InTax[[#This Row],[Units]]</f>
        <v>13</v>
      </c>
      <c r="AU259" s="92">
        <f>Total_SalesOverview_ExclTax[[#This Row],[Buyers]]/Total_SalesOverview_ExclTax[[#This Row],[UV]]</f>
        <v>9.4948727687048991E-4</v>
      </c>
      <c r="AV259" s="431">
        <f>Total_SalesOverview_ExclTax[[#This Row],[GMV]]/Total_SalesOverview_ExclTax[[#This Row],[Buyers]]</f>
        <v>6132.3008849557527</v>
      </c>
      <c r="AW259" s="431">
        <f>Total_SalesOverview_ExclTax[[#This Row],[GMV]]/Total_SalesOverview_ExclTax[[#This Row],[Units]]</f>
        <v>4717.1545268890404</v>
      </c>
      <c r="AX259" s="432">
        <f>Total_SalesOverview_ExclTax[[#This Row],[Units]]/Total_SalesOverview_ExclTax[[#This Row],[Buyers]]</f>
        <v>1.3</v>
      </c>
      <c r="AY259" s="93">
        <f>Total_SalesOverview_ExclTax[[#This Row],[RR]]/Total_SalesOverview_ExclTax[[#This Row],[GMV]]</f>
        <v>0.18132621401255503</v>
      </c>
      <c r="AZ259" s="461">
        <f>Total_SalesOverview_InTax[[#This Row],[RR]]/$F$1</f>
        <v>11119.469026548673</v>
      </c>
      <c r="BA259" s="461">
        <f>Total_SalesOverview_InTax[[#This Row],[MD GMV]]/$F$1</f>
        <v>58672.566371681423</v>
      </c>
      <c r="BB259" s="94">
        <f>Total_SalesOverview_ExclTax[[#This Row],[MD GMV]]/Total_SalesOverview_ExclTax[[#This Row],[GMV]]</f>
        <v>0.95677898838300024</v>
      </c>
      <c r="BC259" s="94"/>
      <c r="BD259" s="94"/>
      <c r="BE259" s="94"/>
      <c r="BF259" s="94"/>
      <c r="BG259" s="94"/>
      <c r="BH259" s="94"/>
      <c r="BI259" s="94"/>
      <c r="BJ259" s="94"/>
      <c r="BK259" s="94"/>
      <c r="BL259" s="28" t="str">
        <f>_xlfn.XLOOKUP(Total_SalesOverview_ExclTax[[#This Row],[DATE]],全店核心数据_bymonth[开始日期],全店核心数据_bymonth[jda日历.PayYear],"")</f>
        <v/>
      </c>
      <c r="BO259" s="28"/>
      <c r="CO259" s="53"/>
    </row>
    <row r="260" spans="5:93" ht="13.5" customHeight="1" x14ac:dyDescent="0.3">
      <c r="E260" s="428" t="s">
        <v>387</v>
      </c>
      <c r="F260" s="431">
        <f>F203</f>
        <v>1180573.9999999998</v>
      </c>
      <c r="G260" s="431">
        <f>Total_SalesOverview_InTax[[#This Row],[GMV]]-Total_SalesOverview_InTax[[#This Row],[RR]]</f>
        <v>1138379.9999999998</v>
      </c>
      <c r="H260" s="431">
        <f t="shared" ref="H260:J261" si="73">H203</f>
        <v>3152</v>
      </c>
      <c r="I260" s="431">
        <f t="shared" si="73"/>
        <v>481</v>
      </c>
      <c r="J260" s="431">
        <f t="shared" si="73"/>
        <v>1323</v>
      </c>
      <c r="K260" s="104">
        <f>Total_SalesOverview_InTax[[#This Row],[Buyers]]/Total_SalesOverview_InTax[[#This Row],[UV]]</f>
        <v>0.15260152284263959</v>
      </c>
      <c r="L260" s="431">
        <f>Total_SalesOverview_InTax[[#This Row],[GMV]]/Total_SalesOverview_InTax[[#This Row],[Buyers]]</f>
        <v>2454.4158004157998</v>
      </c>
      <c r="M260" s="431">
        <f>Total_SalesOverview_InTax[[#This Row],[GMV]]/Total_SalesOverview_InTax[[#This Row],[Units]]</f>
        <v>892.34618291761126</v>
      </c>
      <c r="N260" s="432">
        <f>Total_SalesOverview_InTax[[#This Row],[Units]]/Total_SalesOverview_InTax[[#This Row],[Buyers]]</f>
        <v>2.7505197505197505</v>
      </c>
      <c r="O260" s="105">
        <f>Total_SalesOverview_InTax[[#This Row],[RR]]/Total_SalesOverview_InTax[[#This Row],[GMV]]</f>
        <v>3.5740241611284009E-2</v>
      </c>
      <c r="P260" s="431">
        <f>P203</f>
        <v>42194</v>
      </c>
      <c r="Q260" s="431">
        <f>Q203</f>
        <v>1180573.9999999998</v>
      </c>
      <c r="R260" s="106">
        <f>Total_SalesOverview_InTax[[#This Row],[MD GMV]]/Total_SalesOverview_InTax[[#This Row],[GMV]]</f>
        <v>1</v>
      </c>
      <c r="S260" s="431">
        <f>S203</f>
        <v>1138379.9999999998</v>
      </c>
      <c r="T260" s="94">
        <f>Total_SalesOverview_InTax[[#This Row],[MD NET]]/Total_SalesOverview_InTax[[#This Row],[NET]]</f>
        <v>1</v>
      </c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28" t="str">
        <f>_xlfn.XLOOKUP(Total_SalesOverview_InTax[[#This Row],[DATE]],全店核心数据_bymonth[开始日期],全店核心数据_bymonth[jda日历.PayYear],"")</f>
        <v/>
      </c>
      <c r="AO260" s="428" t="str">
        <f>Total_SalesOverview_InTax[[#This Row],[DATE]]</f>
        <v>MTD-TY FF</v>
      </c>
      <c r="AP260" s="429">
        <f>Total_SalesOverview_InTax[[#This Row],[GMV]]/$F$1</f>
        <v>1044755.7522123893</v>
      </c>
      <c r="AQ260" s="429">
        <f>Total_SalesOverview_ExclTax[[#This Row],[GMV]]-Total_SalesOverview_ExclTax[[#This Row],[RR]]</f>
        <v>1007415.9292035397</v>
      </c>
      <c r="AR260" s="430">
        <f>Total_SalesOverview_InTax[[#This Row],[UV]]</f>
        <v>3152</v>
      </c>
      <c r="AS260" s="431">
        <f>Total_SalesOverview_InTax[[#This Row],[Buyers]]</f>
        <v>481</v>
      </c>
      <c r="AT260" s="431">
        <f>Total_SalesOverview_InTax[[#This Row],[Units]]</f>
        <v>1323</v>
      </c>
      <c r="AU260" s="92">
        <f>Total_SalesOverview_ExclTax[[#This Row],[Buyers]]/Total_SalesOverview_ExclTax[[#This Row],[UV]]</f>
        <v>0.15260152284263959</v>
      </c>
      <c r="AV260" s="431">
        <f>Total_SalesOverview_ExclTax[[#This Row],[GMV]]/Total_SalesOverview_ExclTax[[#This Row],[Buyers]]</f>
        <v>2172.0493808989381</v>
      </c>
      <c r="AW260" s="431">
        <f>Total_SalesOverview_ExclTax[[#This Row],[GMV]]/Total_SalesOverview_ExclTax[[#This Row],[Units]]</f>
        <v>789.68688753770914</v>
      </c>
      <c r="AX260" s="432">
        <f>Total_SalesOverview_ExclTax[[#This Row],[Units]]/Total_SalesOverview_ExclTax[[#This Row],[Buyers]]</f>
        <v>2.7505197505197505</v>
      </c>
      <c r="AY260" s="93">
        <f>Total_SalesOverview_ExclTax[[#This Row],[RR]]/Total_SalesOverview_ExclTax[[#This Row],[GMV]]</f>
        <v>3.5740241611284009E-2</v>
      </c>
      <c r="AZ260" s="461">
        <f>Total_SalesOverview_InTax[[#This Row],[RR]]/$F$1</f>
        <v>37339.823008849562</v>
      </c>
      <c r="BA260" s="461">
        <f>Total_SalesOverview_InTax[[#This Row],[MD GMV]]/$F$1</f>
        <v>1044755.7522123893</v>
      </c>
      <c r="BB260" s="94">
        <f>Total_SalesOverview_ExclTax[[#This Row],[MD GMV]]/Total_SalesOverview_ExclTax[[#This Row],[GMV]]</f>
        <v>1</v>
      </c>
      <c r="BC260" s="94"/>
      <c r="BD260" s="94"/>
      <c r="BE260" s="94"/>
      <c r="BF260" s="94"/>
      <c r="BG260" s="94"/>
      <c r="BH260" s="94"/>
      <c r="BI260" s="94"/>
      <c r="BJ260" s="94"/>
      <c r="BK260" s="94"/>
      <c r="BL260" s="28" t="str">
        <f>_xlfn.XLOOKUP(Total_SalesOverview_ExclTax[[#This Row],[DATE]],全店核心数据_bymonth[开始日期],全店核心数据_bymonth[jda日历.PayYear],"")</f>
        <v/>
      </c>
      <c r="BO260" s="28"/>
      <c r="CO260" s="53"/>
    </row>
    <row r="261" spans="5:93" ht="13.5" customHeight="1" x14ac:dyDescent="0.3">
      <c r="E261" s="428" t="s">
        <v>388</v>
      </c>
      <c r="F261" s="431">
        <f>F204</f>
        <v>1459066.0000000009</v>
      </c>
      <c r="G261" s="431">
        <f>Total_SalesOverview_InTax[[#This Row],[GMV]]-Total_SalesOverview_InTax[[#This Row],[RR]]</f>
        <v>1307222.2700000009</v>
      </c>
      <c r="H261" s="431">
        <f t="shared" si="73"/>
        <v>3894</v>
      </c>
      <c r="I261" s="431">
        <f t="shared" si="73"/>
        <v>532</v>
      </c>
      <c r="J261" s="431">
        <f t="shared" si="73"/>
        <v>1560</v>
      </c>
      <c r="K261" s="104">
        <f>Total_SalesOverview_InTax[[#This Row],[Buyers]]/Total_SalesOverview_InTax[[#This Row],[UV]]</f>
        <v>0.13662044170518747</v>
      </c>
      <c r="L261" s="431">
        <f>Total_SalesOverview_InTax[[#This Row],[GMV]]/Total_SalesOverview_InTax[[#This Row],[Buyers]]</f>
        <v>2742.6052631578964</v>
      </c>
      <c r="M261" s="431">
        <f>Total_SalesOverview_InTax[[#This Row],[GMV]]/Total_SalesOverview_InTax[[#This Row],[Units]]</f>
        <v>935.29871794871849</v>
      </c>
      <c r="N261" s="432">
        <f>Total_SalesOverview_InTax[[#This Row],[Units]]/Total_SalesOverview_InTax[[#This Row],[Buyers]]</f>
        <v>2.9323308270676693</v>
      </c>
      <c r="O261" s="105">
        <f>Total_SalesOverview_InTax[[#This Row],[RR]]/Total_SalesOverview_InTax[[#This Row],[GMV]]</f>
        <v>0.10406913052596653</v>
      </c>
      <c r="P261" s="431">
        <f>P204</f>
        <v>151843.72999999998</v>
      </c>
      <c r="Q261" s="431">
        <f>Q204</f>
        <v>1459066.0000000009</v>
      </c>
      <c r="R261" s="106">
        <f>Total_SalesOverview_InTax[[#This Row],[MD GMV]]/Total_SalesOverview_InTax[[#This Row],[GMV]]</f>
        <v>1</v>
      </c>
      <c r="S261" s="431">
        <f>S204</f>
        <v>1307222.2700000009</v>
      </c>
      <c r="T261" s="94">
        <f>Total_SalesOverview_InTax[[#This Row],[MD NET]]/Total_SalesOverview_InTax[[#This Row],[NET]]</f>
        <v>1</v>
      </c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28" t="str">
        <f>_xlfn.XLOOKUP(Total_SalesOverview_InTax[[#This Row],[DATE]],全店核心数据_bymonth[开始日期],全店核心数据_bymonth[jda日历.PayYear],"")</f>
        <v/>
      </c>
      <c r="AO261" s="428" t="str">
        <f>Total_SalesOverview_InTax[[#This Row],[DATE]]</f>
        <v>MTD-LY FF</v>
      </c>
      <c r="AP261" s="429">
        <f>Total_SalesOverview_InTax[[#This Row],[GMV]]/$F$1</f>
        <v>1291208.8495575231</v>
      </c>
      <c r="AQ261" s="429">
        <f>Total_SalesOverview_ExclTax[[#This Row],[GMV]]-Total_SalesOverview_ExclTax[[#This Row],[RR]]</f>
        <v>1156833.8672566381</v>
      </c>
      <c r="AR261" s="430">
        <f>Total_SalesOverview_InTax[[#This Row],[UV]]</f>
        <v>3894</v>
      </c>
      <c r="AS261" s="431">
        <f>Total_SalesOverview_InTax[[#This Row],[Buyers]]</f>
        <v>532</v>
      </c>
      <c r="AT261" s="431">
        <f>Total_SalesOverview_InTax[[#This Row],[Units]]</f>
        <v>1560</v>
      </c>
      <c r="AU261" s="92">
        <f>Total_SalesOverview_ExclTax[[#This Row],[Buyers]]/Total_SalesOverview_ExclTax[[#This Row],[UV]]</f>
        <v>0.13662044170518747</v>
      </c>
      <c r="AV261" s="431">
        <f>Total_SalesOverview_ExclTax[[#This Row],[GMV]]/Total_SalesOverview_ExclTax[[#This Row],[Buyers]]</f>
        <v>2427.084303679555</v>
      </c>
      <c r="AW261" s="431">
        <f>Total_SalesOverview_ExclTax[[#This Row],[GMV]]/Total_SalesOverview_ExclTax[[#This Row],[Units]]</f>
        <v>827.69798048559176</v>
      </c>
      <c r="AX261" s="432">
        <f>Total_SalesOverview_ExclTax[[#This Row],[Units]]/Total_SalesOverview_ExclTax[[#This Row],[Buyers]]</f>
        <v>2.9323308270676693</v>
      </c>
      <c r="AY261" s="93">
        <f>Total_SalesOverview_ExclTax[[#This Row],[RR]]/Total_SalesOverview_ExclTax[[#This Row],[GMV]]</f>
        <v>0.10406913052596653</v>
      </c>
      <c r="AZ261" s="461">
        <f>Total_SalesOverview_InTax[[#This Row],[RR]]/$F$1</f>
        <v>134374.98230088496</v>
      </c>
      <c r="BA261" s="461">
        <f>Total_SalesOverview_InTax[[#This Row],[MD GMV]]/$F$1</f>
        <v>1291208.8495575231</v>
      </c>
      <c r="BB261" s="94">
        <f>Total_SalesOverview_ExclTax[[#This Row],[MD GMV]]/Total_SalesOverview_ExclTax[[#This Row],[GMV]]</f>
        <v>1</v>
      </c>
      <c r="BC261" s="94"/>
      <c r="BD261" s="94"/>
      <c r="BE261" s="94"/>
      <c r="BF261" s="94"/>
      <c r="BG261" s="94"/>
      <c r="BH261" s="94"/>
      <c r="BI261" s="94"/>
      <c r="BJ261" s="94"/>
      <c r="BK261" s="94"/>
      <c r="BL261" s="28" t="str">
        <f>_xlfn.XLOOKUP(Total_SalesOverview_ExclTax[[#This Row],[DATE]],全店核心数据_bymonth[开始日期],全店核心数据_bymonth[jda日历.PayYear],"")</f>
        <v/>
      </c>
      <c r="BO261" s="28"/>
      <c r="CO261" s="53"/>
    </row>
    <row r="262" spans="5:93" ht="13.5" customHeight="1" x14ac:dyDescent="0.3">
      <c r="E262" s="425" t="s">
        <v>390</v>
      </c>
      <c r="F262" s="97">
        <f>(SUMIFS(Total_SalesOverview_InTax[GMV],Total_SalesOverview_InTax[DATE],$K$1)-F260)/(SUMIFS(Total_SalesOverview_InTax[GMV],Total_SalesOverview_InTax[DATE],EDATE($K$1,-12))-F261)-1</f>
        <v>-1.0506686325853498E-2</v>
      </c>
      <c r="G262" s="97">
        <f>(SUMIFS(Total_SalesOverview_InTax[NET],Total_SalesOverview_InTax[DATE],$K$1)-G260)/(SUMIFS(Total_SalesOverview_InTax[NET],Total_SalesOverview_InTax[DATE],EDATE($K$1,-12))-G261)-1</f>
        <v>-2.045543196849664E-2</v>
      </c>
      <c r="H262" s="97">
        <f>(SUMIFS(Total_SalesOverview_InTax[UV],Total_SalesOverview_InTax[DATE],$K$1)-H260)/(SUMIFS(Total_SalesOverview_InTax[UV],Total_SalesOverview_InTax[DATE],EDATE($K$1,-12))-H261)-1</f>
        <v>0.62377028330069861</v>
      </c>
      <c r="I262" s="97">
        <f>(SUMIFS(Total_SalesOverview_InTax[Buyers],Total_SalesOverview_InTax[DATE],$K$1)-I260)/(SUMIFS(Total_SalesOverview_InTax[Buyers],Total_SalesOverview_InTax[DATE],EDATE($K$1,-12))-I261)-1</f>
        <v>4.8672566371681381E-2</v>
      </c>
      <c r="J262" s="97">
        <f>(SUMIFS(Total_SalesOverview_InTax[Units],Total_SalesOverview_InTax[DATE],$K$1)-J260)/(SUMIFS(Total_SalesOverview_InTax[Units],Total_SalesOverview_InTax[DATE],EDATE($K$1,-12))-J261)-1</f>
        <v>2.7108433734939652E-2</v>
      </c>
      <c r="K262" s="97">
        <f>((SUMIFS(Total_SalesOverview_InTax[Buyers],Total_SalesOverview_InTax[DATE],$K$1)-I260)/(SUMIFS(Total_SalesOverview_InTax[UV],Total_SalesOverview_InTax[DATE],$K$1)-H260))/((SUMIFS(Total_SalesOverview_InTax[Buyers],Total_SalesOverview_InTax[DATE],EDATE($K$1,-12))-I261)/(SUMIFS(Total_SalesOverview_InTax[UV],Total_SalesOverview_InTax[DATE],EDATE($K$1,-12))-H261))-1</f>
        <v>-0.35417430830178431</v>
      </c>
      <c r="L262" s="97">
        <f>((SUMIFS(Total_SalesOverview_InTax[GMV],Total_SalesOverview_InTax[DATE],$K$1)-F260)/(SUMIFS(Total_SalesOverview_InTax[Buyers],Total_SalesOverview_InTax[DATE],$K$1)-I260))/((SUMIFS(Total_SalesOverview_InTax[GMV],Total_SalesOverview_InTax[DATE],EDATE($K$1,-12))-F261)/(SUMIFS(Total_SalesOverview_InTax[Buyers],Total_SalesOverview_InTax[DATE],EDATE($K$1,-12))-I261))-1</f>
        <v>-5.643253632760703E-2</v>
      </c>
      <c r="M262" s="97">
        <f>((SUMIFS(Total_SalesOverview_InTax[GMV],Total_SalesOverview_InTax[DATE],$K$1)-F260)/(SUMIFS(Total_SalesOverview_InTax[Units],Total_SalesOverview_InTax[DATE],$K$1)-J260))/((SUMIFS(Total_SalesOverview_InTax[GMV],Total_SalesOverview_InTax[DATE],EDATE($K$1,-12))-F261)/(SUMIFS(Total_SalesOverview_InTax[Units],Total_SalesOverview_InTax[DATE],EDATE($K$1,-12))-J261))-1</f>
        <v>-3.6622345631036168E-2</v>
      </c>
      <c r="N262" s="97">
        <f>((SUMIFS(Total_SalesOverview_InTax[Units],Total_SalesOverview_InTax[DATE],$K$1)-J260)/(SUMIFS(Total_SalesOverview_InTax[Buyers],Total_SalesOverview_InTax[DATE],$K$1)-I260))/((SUMIFS(Total_SalesOverview_InTax[Units],Total_SalesOverview_InTax[DATE],EDATE($K$1,-12))-J261)/(SUMIFS(Total_SalesOverview_InTax[Buyers],Total_SalesOverview_InTax[DATE],EDATE($K$1,-12))-I261))-1</f>
        <v>-2.0563265721112334E-2</v>
      </c>
      <c r="O262" s="255">
        <f>((SUMIFS(Total_SalesOverview_InTax[RR],Total_SalesOverview_InTax[DATE],$K$1)-P260)/(SUMIFS(Total_SalesOverview_InTax[GMV],Total_SalesOverview_InTax[DATE],$K$1)-F260)-(SUMIFS(Total_SalesOverview_InTax[RR],Total_SalesOverview_InTax[DATE],EDATE($K$1,-12))-P261)/(SUMIFS(Total_SalesOverview_InTax[GMV],Total_SalesOverview_InTax[DATE],EDATE($K$1,-12))-F261))*100</f>
        <v>0.44074499925368382</v>
      </c>
      <c r="P262" s="222">
        <f>(SUMIFS(Total_SalesOverview_InTax[RR],Total_SalesOverview_InTax[DATE],$K$1)-P260)/(SUMIFS(Total_SalesOverview_InTax[RR],Total_SalesOverview_InTax[DATE],EDATE($K$1,-12))-P261)-1</f>
        <v>-2.7416585031089236E-3</v>
      </c>
      <c r="Q262" s="222">
        <f>(SUMIFS(Total_SalesOverview_InTax[MD GMV],Total_SalesOverview_InTax[DATE],$K$1)-Q260)/(SUMIFS(Total_SalesOverview_InTax[MD GMV],Total_SalesOverview_InTax[DATE],EDATE($K$1,-12))-Q261)-1</f>
        <v>-6.381145541306954E-2</v>
      </c>
      <c r="R262" s="255">
        <f>((SUMIFS(Total_SalesOverview_InTax[MD GMV],Total_SalesOverview_InTax[DATE],$K$1)-Q260)/(SUMIFS(Total_SalesOverview_InTax[GMV],Total_SalesOverview_InTax[DATE],$K$1)-F260)-(SUMIFS(Total_SalesOverview_InTax[MD GMV],Total_SalesOverview_InTax[DATE],EDATE($K$1,-12))-Q261)/(SUMIFS(Total_SalesOverview_InTax[GMV],Total_SalesOverview_InTax[DATE],EDATE($K$1,-12))-F261))*100</f>
        <v>-3.7617615068480936</v>
      </c>
      <c r="S262" s="222">
        <f>(SUMIFS(Total_SalesOverview_InTax[MD NET],Total_SalesOverview_InTax[DATE],$K$1)-S260)/(SUMIFS(Total_SalesOverview_InTax[MD NET],Total_SalesOverview_InTax[DATE],EDATE($K$1,-12))-S261)-1</f>
        <v>-0.13743180953535139</v>
      </c>
      <c r="T262" s="255">
        <f>((SUMIFS(Total_SalesOverview_InTax[MD NET],Total_SalesOverview_InTax[DATE],$K$1)-S260)/(SUMIFS(Total_SalesOverview_InTax[NET],Total_SalesOverview_InTax[DATE],$K$1)-G260)-(SUMIFS(Total_SalesOverview_InTax[MD NET],Total_SalesOverview_InTax[DATE],EDATE($K$1,-12))-S261)/(SUMIFS(Total_SalesOverview_InTax[NET],Total_SalesOverview_InTax[DATE],EDATE($K$1,-12))-G261))*100</f>
        <v>-7.9961799494938752</v>
      </c>
      <c r="U262" s="255"/>
      <c r="V262" s="255"/>
      <c r="W262" s="255"/>
      <c r="X262" s="255"/>
      <c r="Y262" s="255"/>
      <c r="Z262" s="255"/>
      <c r="AA262" s="255"/>
      <c r="AB262" s="255"/>
      <c r="AC262" s="255"/>
      <c r="AD262" s="255"/>
      <c r="AE262" s="255"/>
      <c r="AF262" s="255"/>
      <c r="AG262" s="255"/>
      <c r="AH262" s="255"/>
      <c r="AI262" s="255"/>
      <c r="AJ262" s="255"/>
      <c r="AK262" s="255"/>
      <c r="AL262" s="28" t="str">
        <f>_xlfn.XLOOKUP(Total_SalesOverview_InTax[[#This Row],[DATE]],全店核心数据_bymonth[开始日期],全店核心数据_bymonth[jda日历.PayYear],"")</f>
        <v/>
      </c>
      <c r="AO262" s="425" t="str">
        <f>Total_SalesOverview_InTax[[#This Row],[DATE]]</f>
        <v>MTD YOY Ex FF</v>
      </c>
      <c r="AP262" s="97">
        <f>(SUMIFS(Total_SalesOverview_ExclTax[GMV],Total_SalesOverview_ExclTax[DATE],$K$1)-AP260)/(SUMIFS(Total_SalesOverview_ExclTax[GMV],Total_SalesOverview_ExclTax[DATE],EDATE($K$1,-12))-AP261)-1</f>
        <v>-1.0506686325853498E-2</v>
      </c>
      <c r="AQ262" s="97">
        <f>(SUMIFS(Total_SalesOverview_ExclTax[NET],Total_SalesOverview_ExclTax[DATE],$K$1)-AQ260)/(SUMIFS(Total_SalesOverview_ExclTax[NET],Total_SalesOverview_ExclTax[DATE],EDATE($K$1,-12))-AQ261)-1</f>
        <v>-2.0455431968496529E-2</v>
      </c>
      <c r="AR262" s="97">
        <f>(SUMIFS(Total_SalesOverview_ExclTax[UV],Total_SalesOverview_ExclTax[DATE],$K$1)-AR260)/(SUMIFS(Total_SalesOverview_ExclTax[UV],Total_SalesOverview_ExclTax[DATE],EDATE($K$1,-12))-AR261)-1</f>
        <v>0.62377028330069861</v>
      </c>
      <c r="AS262" s="97">
        <f>(SUMIFS(Total_SalesOverview_ExclTax[Buyers],Total_SalesOverview_ExclTax[DATE],$K$1)-AS260)/(SUMIFS(Total_SalesOverview_ExclTax[Buyers],Total_SalesOverview_ExclTax[DATE],EDATE($K$1,-12))-AS261)-1</f>
        <v>4.8672566371681381E-2</v>
      </c>
      <c r="AT262" s="97">
        <f>(SUMIFS(Total_SalesOverview_ExclTax[Units],Total_SalesOverview_ExclTax[DATE],$K$1)-AT260)/(SUMIFS(Total_SalesOverview_ExclTax[Units],Total_SalesOverview_ExclTax[DATE],EDATE($K$1,-12))-AT261)-1</f>
        <v>2.7108433734939652E-2</v>
      </c>
      <c r="AU262" s="97">
        <f>((SUMIFS(Total_SalesOverview_ExclTax[Buyers],Total_SalesOverview_ExclTax[DATE],$K$1)-AS260)/(SUMIFS(Total_SalesOverview_ExclTax[UV],Total_SalesOverview_ExclTax[DATE],$K$1)-AR260))/((SUMIFS(Total_SalesOverview_ExclTax[Buyers],Total_SalesOverview_ExclTax[DATE],EDATE($K$1,-12))-AS261)/(SUMIFS(Total_SalesOverview_ExclTax[UV],Total_SalesOverview_ExclTax[DATE],EDATE($K$1,-12))-AR261))-1</f>
        <v>-0.35417430830178431</v>
      </c>
      <c r="AV262" s="97">
        <f>((SUMIFS(Total_SalesOverview_ExclTax[GMV],Total_SalesOverview_ExclTax[DATE],$K$1)-AP260)/(SUMIFS(Total_SalesOverview_ExclTax[Buyers],Total_SalesOverview_ExclTax[DATE],$K$1)-AS260))/((SUMIFS(Total_SalesOverview_ExclTax[GMV],Total_SalesOverview_ExclTax[DATE],EDATE($K$1,-12))-AP261)/(SUMIFS(Total_SalesOverview_ExclTax[Buyers],Total_SalesOverview_ExclTax[DATE],EDATE($K$1,-12))-AS261))-1</f>
        <v>-5.6432536327607141E-2</v>
      </c>
      <c r="AW262" s="97">
        <f>((SUMIFS(Total_SalesOverview_ExclTax[GMV],Total_SalesOverview_ExclTax[DATE],$K$1)-AP260)/(SUMIFS(Total_SalesOverview_ExclTax[Units],Total_SalesOverview_ExclTax[DATE],$K$1)-AT260))/((SUMIFS(Total_SalesOverview_ExclTax[GMV],Total_SalesOverview_ExclTax[DATE],EDATE($K$1,-12))-AP261)/(SUMIFS(Total_SalesOverview_ExclTax[Units],Total_SalesOverview_ExclTax[DATE],EDATE($K$1,-12))-AT261))-1</f>
        <v>-3.6622345631036279E-2</v>
      </c>
      <c r="AX262" s="97">
        <f>((SUMIFS(Total_SalesOverview_ExclTax[Units],Total_SalesOverview_ExclTax[DATE],$K$1)-AT260)/(SUMIFS(Total_SalesOverview_ExclTax[Buyers],Total_SalesOverview_ExclTax[DATE],$K$1)-AS260))/((SUMIFS(Total_SalesOverview_ExclTax[Units],Total_SalesOverview_ExclTax[DATE],EDATE($K$1,-12))-AT261)/(SUMIFS(Total_SalesOverview_ExclTax[Buyers],Total_SalesOverview_ExclTax[DATE],EDATE($K$1,-12))-AS261))-1</f>
        <v>-2.0563265721112334E-2</v>
      </c>
      <c r="AY262" s="98">
        <f>(SUMIFS(Total_SalesOverview_ExclTax[RR],Total_SalesOverview_ExclTax[DATE],$K$1)-AZ260)/(SUMIFS(Total_SalesOverview_ExclTax[GMV],Total_SalesOverview_ExclTax[DATE],$K$1)-AP260)-(SUMIFS(Total_SalesOverview_ExclTax[RR],Total_SalesOverview_ExclTax[DATE],EDATE($K$1,-12))-AZ261)/(SUMIFS(Total_SalesOverview_ExclTax[GMV],Total_SalesOverview_ExclTax[DATE],EDATE($K$1,-12))-AP261)</f>
        <v>4.4074499925368382E-3</v>
      </c>
      <c r="AZ262" s="98">
        <f>(SUMIFS(Total_SalesOverview_ExclTax[RR],Total_SalesOverview_ExclTax[DATE],$K$1)-AZ260)/(SUMIFS(Total_SalesOverview_ExclTax[RR],Total_SalesOverview_ExclTax[DATE],EDATE($K$1,-12))-AZ261)-1</f>
        <v>-2.7416585031090346E-3</v>
      </c>
      <c r="BA262" s="98">
        <f>(SUMIFS(Total_SalesOverview_ExclTax[MD GMV],Total_SalesOverview_ExclTax[DATE],$K$1)-BA260)/(SUMIFS(Total_SalesOverview_ExclTax[MD GMV],Total_SalesOverview_ExclTax[DATE],EDATE($K$1,-12))-BA261)-1</f>
        <v>-6.3811455413069651E-2</v>
      </c>
      <c r="BB262" s="98">
        <f>(SUMIFS(Total_SalesOverview_ExclTax[MD GMV],Total_SalesOverview_ExclTax[DATE],$K$1)-BA260)/(SUMIFS(Total_SalesOverview_ExclTax[GMV],Total_SalesOverview_ExclTax[DATE],$K$1)-AP260)-(SUMIFS(Total_SalesOverview_ExclTax[MD GMV],Total_SalesOverview_ExclTax[DATE],EDATE($K$1,-12))-BA261)/(SUMIFS(Total_SalesOverview_ExclTax[GMV],Total_SalesOverview_ExclTax[DATE],EDATE($K$1,-12))-AP261)</f>
        <v>-3.7617615068481047E-2</v>
      </c>
      <c r="BC262" s="98"/>
      <c r="BD262" s="98"/>
      <c r="BE262" s="98"/>
      <c r="BF262" s="98"/>
      <c r="BG262" s="98"/>
      <c r="BH262" s="98"/>
      <c r="BI262" s="98"/>
      <c r="BJ262" s="98"/>
      <c r="BK262" s="98"/>
      <c r="BL262" s="28" t="str">
        <f>_xlfn.XLOOKUP(Total_SalesOverview_ExclTax[[#This Row],[DATE]],全店核心数据_bymonth[开始日期],全店核心数据_bymonth[jda日历.PayYear],"")</f>
        <v/>
      </c>
      <c r="BO262" s="28"/>
      <c r="CO262" s="53"/>
    </row>
    <row r="263" spans="5:93" ht="13.5" customHeight="1" x14ac:dyDescent="0.3">
      <c r="E263" s="428" t="s">
        <v>413</v>
      </c>
      <c r="F263" s="431">
        <f>SUMIFS(Total_SalesOverview_InTax[GMV],Total_SalesOverview_InTax[DATE],$K$1)-F258-F260</f>
        <v>5885911</v>
      </c>
      <c r="G263" s="431">
        <f>SUMIFS(Total_SalesOverview_InTax[NET],Total_SalesOverview_InTax[DATE],$K$1)-G258-G260</f>
        <v>2507908.59</v>
      </c>
      <c r="H263" s="431">
        <f>SUMIFS(Total_SalesOverview_InTax[UV],Total_SalesOverview_InTax[DATE],$K$1)-H258-H260</f>
        <v>548763</v>
      </c>
      <c r="I263" s="431">
        <f>SUMIFS(Total_SalesOverview_InTax[Buyers],Total_SalesOverview_InTax[DATE],$K$1)-I258-I260</f>
        <v>931</v>
      </c>
      <c r="J263" s="431">
        <f>SUMIFS(Total_SalesOverview_InTax[Units],Total_SalesOverview_InTax[DATE],$K$1)-J258-J260</f>
        <v>1337</v>
      </c>
      <c r="K263" s="104">
        <f>Total_SalesOverview_InTax[[#This Row],[Buyers]]/Total_SalesOverview_InTax[[#This Row],[UV]]</f>
        <v>1.6965429520576277E-3</v>
      </c>
      <c r="L263" s="431">
        <f>Total_SalesOverview_InTax[[#This Row],[GMV]]/Total_SalesOverview_InTax[[#This Row],[Buyers]]</f>
        <v>6322.1385606874328</v>
      </c>
      <c r="M263" s="431">
        <f>Total_SalesOverview_InTax[[#This Row],[GMV]]/Total_SalesOverview_InTax[[#This Row],[Units]]</f>
        <v>4402.3268511593114</v>
      </c>
      <c r="N263" s="432">
        <f>Total_SalesOverview_InTax[[#This Row],[Units]]/Total_SalesOverview_InTax[[#This Row],[Buyers]]</f>
        <v>1.4360902255639099</v>
      </c>
      <c r="O263" s="105">
        <f>Total_SalesOverview_InTax[[#This Row],[RR]]/Total_SalesOverview_InTax[[#This Row],[GMV]]</f>
        <v>0.57391326678232135</v>
      </c>
      <c r="P263" s="431">
        <f>SUMIFS(Total_SalesOverview_InTax[RR],Total_SalesOverview_InTax[DATE],$K$1)-P258-P260</f>
        <v>3378002.41</v>
      </c>
      <c r="Q263" s="431">
        <f>SUMIFS(Total_SalesOverview_InTax[MD GMV],Total_SalesOverview_InTax[DATE],$K$1)-Q258-Q260</f>
        <v>3997499.9299999997</v>
      </c>
      <c r="R263" s="106">
        <f>Total_SalesOverview_InTax[[#This Row],[MD GMV]]/Total_SalesOverview_InTax[[#This Row],[GMV]]</f>
        <v>0.67916418206119655</v>
      </c>
      <c r="S263" s="431">
        <f>SUMIFS(Total_SalesOverview_InTax[MD NET],Total_SalesOverview_InTax[DATE],$K$1)-S258-S260</f>
        <v>1504508.55</v>
      </c>
      <c r="T263" s="94">
        <f>Total_SalesOverview_InTax[[#This Row],[MD NET]]/Total_SalesOverview_InTax[[#This Row],[NET]]</f>
        <v>0.59990565684852182</v>
      </c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28" t="str">
        <f>_xlfn.XLOOKUP(Total_SalesOverview_InTax[[#This Row],[DATE]],全店核心数据_bymonth[开始日期],全店核心数据_bymonth[jda日历.PayYear],"")</f>
        <v/>
      </c>
      <c r="AO263" s="428" t="str">
        <f>Total_SalesOverview_InTax[[#This Row],[DATE]]</f>
        <v>MTD-TY Ex SC&amp;FF</v>
      </c>
      <c r="AP263" s="429">
        <f>Total_SalesOverview_InTax[[#This Row],[GMV]]/$F$1</f>
        <v>5208770.7964601777</v>
      </c>
      <c r="AQ263" s="429">
        <f>Total_SalesOverview_ExclTax[[#This Row],[GMV]]-Total_SalesOverview_ExclTax[[#This Row],[RR]]</f>
        <v>2219388.1327433633</v>
      </c>
      <c r="AR263" s="430">
        <f>Total_SalesOverview_InTax[[#This Row],[UV]]</f>
        <v>548763</v>
      </c>
      <c r="AS263" s="431">
        <f>Total_SalesOverview_InTax[[#This Row],[Buyers]]</f>
        <v>931</v>
      </c>
      <c r="AT263" s="431">
        <f>Total_SalesOverview_InTax[[#This Row],[Units]]</f>
        <v>1337</v>
      </c>
      <c r="AU263" s="92">
        <f>Total_SalesOverview_ExclTax[[#This Row],[Buyers]]/Total_SalesOverview_ExclTax[[#This Row],[UV]]</f>
        <v>1.6965429520576277E-3</v>
      </c>
      <c r="AV263" s="431">
        <f>Total_SalesOverview_ExclTax[[#This Row],[GMV]]/Total_SalesOverview_ExclTax[[#This Row],[Buyers]]</f>
        <v>5594.8128855641007</v>
      </c>
      <c r="AW263" s="431">
        <f>Total_SalesOverview_ExclTax[[#This Row],[GMV]]/Total_SalesOverview_ExclTax[[#This Row],[Units]]</f>
        <v>3895.8644700524887</v>
      </c>
      <c r="AX263" s="432">
        <f>Total_SalesOverview_ExclTax[[#This Row],[Units]]/Total_SalesOverview_ExclTax[[#This Row],[Buyers]]</f>
        <v>1.4360902255639099</v>
      </c>
      <c r="AY263" s="93">
        <f>Total_SalesOverview_ExclTax[[#This Row],[RR]]/Total_SalesOverview_ExclTax[[#This Row],[GMV]]</f>
        <v>0.57391326678232135</v>
      </c>
      <c r="AZ263" s="461">
        <f>Total_SalesOverview_InTax[[#This Row],[RR]]/$F$1</f>
        <v>2989382.6637168145</v>
      </c>
      <c r="BA263" s="461">
        <f>Total_SalesOverview_InTax[[#This Row],[MD GMV]]/$F$1</f>
        <v>3537610.5575221241</v>
      </c>
      <c r="BB263" s="94">
        <f>Total_SalesOverview_ExclTax[[#This Row],[MD GMV]]/Total_SalesOverview_ExclTax[[#This Row],[GMV]]</f>
        <v>0.67916418206119655</v>
      </c>
      <c r="BC263" s="94"/>
      <c r="BD263" s="94"/>
      <c r="BE263" s="94"/>
      <c r="BF263" s="94"/>
      <c r="BG263" s="94"/>
      <c r="BH263" s="94"/>
      <c r="BI263" s="94"/>
      <c r="BJ263" s="94"/>
      <c r="BK263" s="94"/>
      <c r="BL263" s="28" t="str">
        <f>_xlfn.XLOOKUP(Total_SalesOverview_ExclTax[[#This Row],[DATE]],全店核心数据_bymonth[开始日期],全店核心数据_bymonth[jda日历.PayYear],"")</f>
        <v/>
      </c>
      <c r="BO263" s="28"/>
      <c r="CO263" s="53"/>
    </row>
    <row r="264" spans="5:93" ht="13.5" customHeight="1" x14ac:dyDescent="0.3">
      <c r="E264" s="428" t="s">
        <v>414</v>
      </c>
      <c r="F264" s="431">
        <f>SUMIFS(Total_SalesOverview_InTax[GMV],Total_SalesOverview_InTax[DATE],EDATE($K$1,-12))-F259-F261</f>
        <v>6045572.9999999991</v>
      </c>
      <c r="G264" s="431">
        <f>SUMIFS(Total_SalesOverview_InTax[NET],Total_SalesOverview_InTax[DATE],EDATE($K$1,-12))-G259-G261</f>
        <v>2623789.7799999993</v>
      </c>
      <c r="H264" s="431">
        <f>SUMIFS(Total_SalesOverview_InTax[UV],Total_SalesOverview_InTax[DATE],EDATE($K$1,-12))-H259-H261</f>
        <v>327554</v>
      </c>
      <c r="I264" s="431">
        <f>SUMIFS(Total_SalesOverview_InTax[Buyers],Total_SalesOverview_InTax[DATE],EDATE($K$1,-12))-I259-I261</f>
        <v>894</v>
      </c>
      <c r="J264" s="431">
        <f>SUMIFS(Total_SalesOverview_InTax[Units],Total_SalesOverview_InTax[DATE],EDATE($K$1,-12))-J259-J261</f>
        <v>1315</v>
      </c>
      <c r="K264" s="104">
        <f>Total_SalesOverview_InTax[[#This Row],[Buyers]]/Total_SalesOverview_InTax[[#This Row],[UV]]</f>
        <v>2.7293209669245378E-3</v>
      </c>
      <c r="L264" s="431">
        <f>Total_SalesOverview_InTax[[#This Row],[GMV]]/Total_SalesOverview_InTax[[#This Row],[Buyers]]</f>
        <v>6762.3859060402674</v>
      </c>
      <c r="M264" s="431">
        <f>Total_SalesOverview_InTax[[#This Row],[GMV]]/Total_SalesOverview_InTax[[#This Row],[Units]]</f>
        <v>4597.3939163498089</v>
      </c>
      <c r="N264" s="432">
        <f>Total_SalesOverview_InTax[[#This Row],[Units]]/Total_SalesOverview_InTax[[#This Row],[Buyers]]</f>
        <v>1.470917225950783</v>
      </c>
      <c r="O264" s="105">
        <f>Total_SalesOverview_InTax[[#This Row],[RR]]/Total_SalesOverview_InTax[[#This Row],[GMV]]</f>
        <v>0.56599816427657079</v>
      </c>
      <c r="P264" s="431">
        <f>SUMIFS(Total_SalesOverview_InTax[RR],Total_SalesOverview_InTax[DATE],EDATE($K$1,-12))-P259-P261</f>
        <v>3421783.22</v>
      </c>
      <c r="Q264" s="431">
        <f>SUMIFS(Total_SalesOverview_InTax[MD GMV],Total_SalesOverview_InTax[DATE],EDATE($K$1,-12))-Q259-Q261</f>
        <v>4203673.13</v>
      </c>
      <c r="R264" s="106">
        <f>Total_SalesOverview_InTax[[#This Row],[MD GMV]]/Total_SalesOverview_InTax[[#This Row],[GMV]]</f>
        <v>0.69533080321749496</v>
      </c>
      <c r="S264" s="431">
        <f>SUMIFS(Total_SalesOverview_InTax[MD NET],Total_SalesOverview_InTax[DATE],EDATE($K$1,-12))-S259-S261</f>
        <v>1741112.7199999997</v>
      </c>
      <c r="T264" s="94">
        <f>Total_SalesOverview_InTax[[#This Row],[MD NET]]/Total_SalesOverview_InTax[[#This Row],[NET]]</f>
        <v>0.66358697380092702</v>
      </c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28" t="str">
        <f>_xlfn.XLOOKUP(Total_SalesOverview_InTax[[#This Row],[DATE]],全店核心数据_bymonth[开始日期],全店核心数据_bymonth[jda日历.PayYear],"")</f>
        <v/>
      </c>
      <c r="AO264" s="428" t="str">
        <f>Total_SalesOverview_InTax[[#This Row],[DATE]]</f>
        <v>MTD-LY Ex SC&amp;FF</v>
      </c>
      <c r="AP264" s="429">
        <f>Total_SalesOverview_InTax[[#This Row],[GMV]]/$F$1</f>
        <v>5350064.6017699111</v>
      </c>
      <c r="AQ264" s="429">
        <f>Total_SalesOverview_ExclTax[[#This Row],[GMV]]-Total_SalesOverview_ExclTax[[#This Row],[RR]]</f>
        <v>2321937.8584070788</v>
      </c>
      <c r="AR264" s="430">
        <f>Total_SalesOverview_InTax[[#This Row],[UV]]</f>
        <v>327554</v>
      </c>
      <c r="AS264" s="431">
        <f>Total_SalesOverview_InTax[[#This Row],[Buyers]]</f>
        <v>894</v>
      </c>
      <c r="AT264" s="431">
        <f>Total_SalesOverview_InTax[[#This Row],[Units]]</f>
        <v>1315</v>
      </c>
      <c r="AU264" s="92">
        <f>Total_SalesOverview_ExclTax[[#This Row],[Buyers]]/Total_SalesOverview_ExclTax[[#This Row],[UV]]</f>
        <v>2.7293209669245378E-3</v>
      </c>
      <c r="AV264" s="431">
        <f>Total_SalesOverview_ExclTax[[#This Row],[GMV]]/Total_SalesOverview_ExclTax[[#This Row],[Buyers]]</f>
        <v>5984.4123062303261</v>
      </c>
      <c r="AW264" s="431">
        <f>Total_SalesOverview_ExclTax[[#This Row],[GMV]]/Total_SalesOverview_ExclTax[[#This Row],[Units]]</f>
        <v>4068.4901914600086</v>
      </c>
      <c r="AX264" s="432">
        <f>Total_SalesOverview_ExclTax[[#This Row],[Units]]/Total_SalesOverview_ExclTax[[#This Row],[Buyers]]</f>
        <v>1.470917225950783</v>
      </c>
      <c r="AY264" s="93">
        <f>Total_SalesOverview_ExclTax[[#This Row],[RR]]/Total_SalesOverview_ExclTax[[#This Row],[GMV]]</f>
        <v>0.56599816427657079</v>
      </c>
      <c r="AZ264" s="461">
        <f>Total_SalesOverview_InTax[[#This Row],[RR]]/$F$1</f>
        <v>3028126.7433628323</v>
      </c>
      <c r="BA264" s="461">
        <f>Total_SalesOverview_InTax[[#This Row],[MD GMV]]/$F$1</f>
        <v>3720064.7168141594</v>
      </c>
      <c r="BB264" s="94">
        <f>Total_SalesOverview_ExclTax[[#This Row],[MD GMV]]/Total_SalesOverview_ExclTax[[#This Row],[GMV]]</f>
        <v>0.69533080321749496</v>
      </c>
      <c r="BC264" s="94"/>
      <c r="BD264" s="94"/>
      <c r="BE264" s="94"/>
      <c r="BF264" s="94"/>
      <c r="BG264" s="94"/>
      <c r="BH264" s="94"/>
      <c r="BI264" s="94"/>
      <c r="BJ264" s="94"/>
      <c r="BK264" s="94"/>
      <c r="BL264" s="28" t="str">
        <f>_xlfn.XLOOKUP(Total_SalesOverview_ExclTax[[#This Row],[DATE]],全店核心数据_bymonth[开始日期],全店核心数据_bymonth[jda日历.PayYear],"")</f>
        <v/>
      </c>
      <c r="BO264" s="28"/>
      <c r="BX264" s="53"/>
    </row>
    <row r="265" spans="5:93" ht="13.5" customHeight="1" x14ac:dyDescent="0.3">
      <c r="E265" s="425" t="s">
        <v>412</v>
      </c>
      <c r="F265" s="256">
        <f t="shared" ref="F265:N265" si="74">F263/F264-1</f>
        <v>-2.6409738167085139E-2</v>
      </c>
      <c r="G265" s="256">
        <f t="shared" si="74"/>
        <v>-4.4165577167542547E-2</v>
      </c>
      <c r="H265" s="256">
        <f t="shared" si="74"/>
        <v>0.67533597513692389</v>
      </c>
      <c r="I265" s="256">
        <f t="shared" si="74"/>
        <v>4.1387024608501077E-2</v>
      </c>
      <c r="J265" s="256">
        <f t="shared" si="74"/>
        <v>1.6730038022813698E-2</v>
      </c>
      <c r="K265" s="256">
        <f t="shared" si="74"/>
        <v>-0.3784010848788768</v>
      </c>
      <c r="L265" s="256">
        <f t="shared" si="74"/>
        <v>-6.5102369410713345E-2</v>
      </c>
      <c r="M265" s="256">
        <f t="shared" si="74"/>
        <v>-4.2429921981837704E-2</v>
      </c>
      <c r="N265" s="256">
        <f t="shared" si="74"/>
        <v>-2.3677063380885599E-2</v>
      </c>
      <c r="O265" s="255">
        <f>(O263-O264)*100</f>
        <v>0.79151025057505597</v>
      </c>
      <c r="P265" s="222">
        <f>P263/P264-1</f>
        <v>-1.2794735138130675E-2</v>
      </c>
      <c r="Q265" s="222">
        <f>Q263/Q264-1</f>
        <v>-4.9045963761697231E-2</v>
      </c>
      <c r="R265" s="255">
        <f>(R263-R264)*100</f>
        <v>-1.6166621156298411</v>
      </c>
      <c r="S265" s="222">
        <f>S263/S264-1</f>
        <v>-0.13589250556965649</v>
      </c>
      <c r="T265" s="255">
        <f>(T263-T264)*100</f>
        <v>-6.3681316952405194</v>
      </c>
      <c r="U265" s="255"/>
      <c r="V265" s="255"/>
      <c r="W265" s="255"/>
      <c r="X265" s="255"/>
      <c r="Y265" s="255"/>
      <c r="Z265" s="255"/>
      <c r="AA265" s="255"/>
      <c r="AB265" s="255"/>
      <c r="AC265" s="255"/>
      <c r="AD265" s="255"/>
      <c r="AE265" s="255"/>
      <c r="AF265" s="255"/>
      <c r="AG265" s="255"/>
      <c r="AH265" s="255"/>
      <c r="AI265" s="255"/>
      <c r="AJ265" s="255"/>
      <c r="AK265" s="255"/>
      <c r="AO265" s="425" t="str">
        <f>Total_SalesOverview_InTax[[#This Row],[DATE]]</f>
        <v>MTD YOY Ex SC&amp;FF</v>
      </c>
      <c r="AP265" s="256">
        <f t="shared" ref="AP265:AX265" si="75">AP263/AP264-1</f>
        <v>-2.6409738167085028E-2</v>
      </c>
      <c r="AQ265" s="256">
        <f t="shared" si="75"/>
        <v>-4.4165577167542214E-2</v>
      </c>
      <c r="AR265" s="256">
        <f t="shared" si="75"/>
        <v>0.67533597513692389</v>
      </c>
      <c r="AS265" s="256">
        <f t="shared" si="75"/>
        <v>4.1387024608501077E-2</v>
      </c>
      <c r="AT265" s="256">
        <f t="shared" si="75"/>
        <v>1.6730038022813698E-2</v>
      </c>
      <c r="AU265" s="256">
        <f t="shared" si="75"/>
        <v>-0.3784010848788768</v>
      </c>
      <c r="AV265" s="256">
        <f t="shared" si="75"/>
        <v>-6.5102369410713234E-2</v>
      </c>
      <c r="AW265" s="256">
        <f t="shared" si="75"/>
        <v>-4.2429921981837704E-2</v>
      </c>
      <c r="AX265" s="256">
        <f t="shared" si="75"/>
        <v>-2.3677063380885599E-2</v>
      </c>
      <c r="AY265" s="255">
        <f>(AY263-AY264)*100</f>
        <v>0.79151025057505597</v>
      </c>
      <c r="AZ265" s="222">
        <f>AZ263/AZ264-1</f>
        <v>-1.2794735138130786E-2</v>
      </c>
      <c r="BA265" s="222">
        <f>BA263/BA264-1</f>
        <v>-4.904596376169712E-2</v>
      </c>
      <c r="BB265" s="255">
        <f>(BB263-BB264)*100</f>
        <v>-1.6166621156298411</v>
      </c>
      <c r="BC265" s="255"/>
      <c r="BD265" s="255"/>
      <c r="BE265" s="255"/>
      <c r="BF265" s="255"/>
      <c r="BG265" s="255"/>
      <c r="BH265" s="255"/>
      <c r="BI265" s="255"/>
      <c r="BJ265" s="255"/>
      <c r="BK265" s="255"/>
      <c r="BO265" s="28"/>
      <c r="BX265" s="53"/>
    </row>
    <row r="266" spans="5:93" ht="13.5" customHeight="1" x14ac:dyDescent="0.3">
      <c r="BO266" s="28"/>
      <c r="BX266" s="53"/>
    </row>
    <row r="267" spans="5:93" ht="13.5" customHeight="1" x14ac:dyDescent="0.3">
      <c r="BO267" s="28"/>
      <c r="BX267" s="53"/>
    </row>
    <row r="268" spans="5:93" ht="13.5" customHeight="1" x14ac:dyDescent="0.3">
      <c r="F268" s="443"/>
      <c r="G268" s="443"/>
      <c r="H268" s="443"/>
      <c r="I268" s="443"/>
      <c r="J268" s="443"/>
      <c r="Q268" s="443"/>
      <c r="R268" s="445"/>
      <c r="S268" s="443"/>
      <c r="AQ268" s="445"/>
      <c r="BO268" s="28"/>
      <c r="BX268" s="53"/>
    </row>
    <row r="269" spans="5:93" x14ac:dyDescent="0.3">
      <c r="F269" s="443"/>
      <c r="G269" s="443"/>
      <c r="H269" s="443"/>
      <c r="I269" s="443"/>
      <c r="J269" s="443"/>
      <c r="Q269" s="445"/>
      <c r="R269" s="445"/>
      <c r="S269" s="445"/>
      <c r="T269" s="445"/>
    </row>
    <row r="270" spans="5:93" x14ac:dyDescent="0.3">
      <c r="F270" s="445"/>
      <c r="G270" s="445"/>
      <c r="H270" s="445"/>
      <c r="I270" s="445"/>
      <c r="J270" s="445"/>
    </row>
    <row r="272" spans="5:93" x14ac:dyDescent="0.3">
      <c r="AQ272" s="445"/>
    </row>
  </sheetData>
  <phoneticPr fontId="13" type="noConversion"/>
  <conditionalFormatting sqref="X41:AE43 Y44:AE44 X47 F219:N219">
    <cfRule type="expression" dxfId="151" priority="344">
      <formula>F41=0</formula>
    </cfRule>
    <cfRule type="expression" dxfId="150" priority="343">
      <formula>F41&lt;0</formula>
    </cfRule>
    <cfRule type="expression" dxfId="149" priority="345">
      <formula>F41&gt;0</formula>
    </cfRule>
  </conditionalFormatting>
  <conditionalFormatting sqref="X92:AI92 F156:N157 X209:AE218">
    <cfRule type="expression" dxfId="148" priority="365">
      <formula>F92=0</formula>
    </cfRule>
    <cfRule type="expression" dxfId="147" priority="366">
      <formula>F92&gt;0</formula>
    </cfRule>
    <cfRule type="expression" dxfId="146" priority="364">
      <formula>F92&lt;0</formula>
    </cfRule>
  </conditionalFormatting>
  <conditionalFormatting sqref="AD7:AJ39">
    <cfRule type="expression" dxfId="145" priority="7">
      <formula>AD7&gt;=1</formula>
    </cfRule>
    <cfRule type="expression" dxfId="144" priority="8">
      <formula>AD7&lt;0.95</formula>
    </cfRule>
    <cfRule type="expression" dxfId="143" priority="9">
      <formula>AND(AD7&gt;=0.95,AD7&lt;1)</formula>
    </cfRule>
  </conditionalFormatting>
  <conditionalFormatting sqref="AD160:AJ161">
    <cfRule type="expression" dxfId="142" priority="84">
      <formula>AD160&gt;=1</formula>
    </cfRule>
    <cfRule type="expression" dxfId="141" priority="85">
      <formula>AD160&lt;0.95</formula>
    </cfRule>
    <cfRule type="expression" dxfId="140" priority="86">
      <formula>AND(AD160&gt;=0.95,AD160&lt;1)</formula>
    </cfRule>
  </conditionalFormatting>
  <conditionalFormatting sqref="AD163:AJ183">
    <cfRule type="expression" dxfId="139" priority="4">
      <formula>AD163&gt;=1</formula>
    </cfRule>
    <cfRule type="expression" dxfId="138" priority="5">
      <formula>AD163&lt;0.95</formula>
    </cfRule>
    <cfRule type="expression" dxfId="137" priority="6">
      <formula>AND(AD163&gt;=0.95,AD163&lt;1)</formula>
    </cfRule>
  </conditionalFormatting>
  <conditionalFormatting sqref="AD223:AJ224">
    <cfRule type="expression" dxfId="136" priority="97">
      <formula>AD223&gt;=1</formula>
    </cfRule>
    <cfRule type="expression" dxfId="135" priority="98">
      <formula>AD223&lt;0.95</formula>
    </cfRule>
    <cfRule type="expression" dxfId="134" priority="99">
      <formula>AND(AD223&gt;=0.95,AD223&lt;1)</formula>
    </cfRule>
  </conditionalFormatting>
  <conditionalFormatting sqref="AD226:AJ246">
    <cfRule type="expression" dxfId="133" priority="1">
      <formula>AD226&gt;=1</formula>
    </cfRule>
    <cfRule type="expression" dxfId="132" priority="2">
      <formula>AD226&lt;0.95</formula>
    </cfRule>
    <cfRule type="expression" dxfId="131" priority="3">
      <formula>AND(AD226&gt;=0.95,AD226&lt;1)</formula>
    </cfRule>
  </conditionalFormatting>
  <conditionalFormatting sqref="AD248:AJ251">
    <cfRule type="expression" dxfId="130" priority="87">
      <formula>AD248&gt;=1</formula>
    </cfRule>
    <cfRule type="expression" dxfId="129" priority="88">
      <formula>AD248&lt;0.95</formula>
    </cfRule>
    <cfRule type="expression" dxfId="128" priority="89">
      <formula>AND(AD248&gt;=0.95,AD248&lt;1)</formula>
    </cfRule>
  </conditionalFormatting>
  <conditionalFormatting sqref="AK7:AK39">
    <cfRule type="expression" dxfId="127" priority="118">
      <formula>AK7&lt;=1</formula>
    </cfRule>
    <cfRule type="expression" dxfId="126" priority="119">
      <formula>AK7&gt;1</formula>
    </cfRule>
  </conditionalFormatting>
  <conditionalFormatting sqref="AK160:AK161">
    <cfRule type="expression" dxfId="125" priority="105">
      <formula>AK160&lt;=1</formula>
    </cfRule>
    <cfRule type="expression" dxfId="124" priority="106">
      <formula>AK160&gt;1</formula>
    </cfRule>
  </conditionalFormatting>
  <conditionalFormatting sqref="AK163:AK183">
    <cfRule type="expression" dxfId="123" priority="81">
      <formula>AK163&gt;1</formula>
    </cfRule>
    <cfRule type="expression" dxfId="122" priority="80">
      <formula>AK163&lt;=1</formula>
    </cfRule>
  </conditionalFormatting>
  <conditionalFormatting sqref="AK223:AK224">
    <cfRule type="expression" dxfId="121" priority="100">
      <formula>AK223&lt;=1</formula>
    </cfRule>
    <cfRule type="expression" dxfId="120" priority="101">
      <formula>AK223&gt;1</formula>
    </cfRule>
  </conditionalFormatting>
  <conditionalFormatting sqref="AK226:AK246">
    <cfRule type="expression" dxfId="119" priority="78">
      <formula>AK226&lt;=1</formula>
    </cfRule>
    <cfRule type="expression" dxfId="118" priority="79">
      <formula>AK226&gt;1</formula>
    </cfRule>
  </conditionalFormatting>
  <conditionalFormatting sqref="AK248:AK251">
    <cfRule type="expression" dxfId="117" priority="77">
      <formula>AK248&gt;1</formula>
    </cfRule>
    <cfRule type="expression" dxfId="116" priority="76">
      <formula>AK248&lt;=1</formula>
    </cfRule>
  </conditionalFormatting>
  <conditionalFormatting sqref="AP6:AX6">
    <cfRule type="expression" dxfId="115" priority="419">
      <formula>AP6=0</formula>
    </cfRule>
    <cfRule type="expression" dxfId="114" priority="420">
      <formula>AP6&gt;0</formula>
    </cfRule>
    <cfRule type="expression" dxfId="113" priority="418">
      <formula>AP6&lt;0</formula>
    </cfRule>
  </conditionalFormatting>
  <conditionalFormatting sqref="AP40:AX40 F41:N44">
    <cfRule type="expression" dxfId="112" priority="415">
      <formula>F40&lt;0</formula>
    </cfRule>
    <cfRule type="expression" dxfId="111" priority="417">
      <formula>F40&gt;0</formula>
    </cfRule>
    <cfRule type="expression" dxfId="110" priority="416">
      <formula>F40=0</formula>
    </cfRule>
  </conditionalFormatting>
  <conditionalFormatting sqref="AP184:AX184">
    <cfRule type="expression" dxfId="109" priority="330">
      <formula>AP184&gt;0</formula>
    </cfRule>
    <cfRule type="expression" dxfId="108" priority="329">
      <formula>AP184=0</formula>
    </cfRule>
    <cfRule type="expression" dxfId="107" priority="328">
      <formula>AP184&lt;0</formula>
    </cfRule>
  </conditionalFormatting>
  <conditionalFormatting sqref="AP205:AX205">
    <cfRule type="expression" dxfId="106" priority="147">
      <formula>AP205&gt;0</formula>
    </cfRule>
    <cfRule type="expression" dxfId="105" priority="146">
      <formula>AP205=0</formula>
    </cfRule>
    <cfRule type="expression" dxfId="104" priority="145">
      <formula>AP205&lt;0</formula>
    </cfRule>
  </conditionalFormatting>
  <conditionalFormatting sqref="AP225:AX225">
    <cfRule type="expression" dxfId="103" priority="371">
      <formula>AP225=0</formula>
    </cfRule>
    <cfRule type="expression" dxfId="102" priority="370">
      <formula>AP225&lt;0</formula>
    </cfRule>
    <cfRule type="expression" dxfId="101" priority="372">
      <formula>AP225&gt;0</formula>
    </cfRule>
  </conditionalFormatting>
  <conditionalFormatting sqref="AP247:AX247">
    <cfRule type="expression" dxfId="100" priority="166">
      <formula>AP247&lt;0</formula>
    </cfRule>
    <cfRule type="expression" dxfId="99" priority="167">
      <formula>AP247=0</formula>
    </cfRule>
    <cfRule type="expression" dxfId="98" priority="168">
      <formula>AP247&gt;0</formula>
    </cfRule>
  </conditionalFormatting>
  <conditionalFormatting sqref="AP252:AX252">
    <cfRule type="expression" dxfId="97" priority="164">
      <formula>AP252=0</formula>
    </cfRule>
    <cfRule type="expression" dxfId="96" priority="165">
      <formula>AP252&gt;0</formula>
    </cfRule>
    <cfRule type="expression" dxfId="95" priority="163">
      <formula>AP252&lt;0</formula>
    </cfRule>
  </conditionalFormatting>
  <conditionalFormatting sqref="AP262:AX262">
    <cfRule type="expression" dxfId="94" priority="160">
      <formula>AP262&lt;0</formula>
    </cfRule>
    <cfRule type="expression" dxfId="93" priority="162">
      <formula>AP262&gt;0</formula>
    </cfRule>
    <cfRule type="expression" dxfId="92" priority="161">
      <formula>AP262=0</formula>
    </cfRule>
  </conditionalFormatting>
  <conditionalFormatting sqref="AP189:BB189">
    <cfRule type="expression" dxfId="91" priority="272">
      <formula>AP189=0</formula>
    </cfRule>
    <cfRule type="expression" dxfId="90" priority="273">
      <formula>AP189&gt;0</formula>
    </cfRule>
    <cfRule type="expression" dxfId="89" priority="271">
      <formula>AP189&lt;0</formula>
    </cfRule>
  </conditionalFormatting>
  <conditionalFormatting sqref="AP192:BB192">
    <cfRule type="expression" dxfId="88" priority="57">
      <formula>AP192&gt;0</formula>
    </cfRule>
    <cfRule type="expression" dxfId="87" priority="56">
      <formula>AP192=0</formula>
    </cfRule>
    <cfRule type="expression" dxfId="86" priority="55">
      <formula>AP192&lt;0</formula>
    </cfRule>
  </conditionalFormatting>
  <conditionalFormatting sqref="AP197:BB197">
    <cfRule type="expression" dxfId="85" priority="125">
      <formula>AP197=0</formula>
    </cfRule>
    <cfRule type="expression" dxfId="84" priority="124">
      <formula>AP197&lt;0</formula>
    </cfRule>
    <cfRule type="expression" dxfId="83" priority="126">
      <formula>AP197&gt;0</formula>
    </cfRule>
  </conditionalFormatting>
  <conditionalFormatting sqref="AP200:BB200">
    <cfRule type="expression" dxfId="82" priority="51">
      <formula>AP200&gt;0</formula>
    </cfRule>
    <cfRule type="expression" dxfId="81" priority="50">
      <formula>AP200=0</formula>
    </cfRule>
    <cfRule type="expression" dxfId="80" priority="49">
      <formula>AP200&lt;0</formula>
    </cfRule>
  </conditionalFormatting>
  <conditionalFormatting sqref="AP257:BB257">
    <cfRule type="expression" dxfId="79" priority="261">
      <formula>AP257&gt;0</formula>
    </cfRule>
    <cfRule type="expression" dxfId="78" priority="260">
      <formula>AP257=0</formula>
    </cfRule>
    <cfRule type="expression" dxfId="77" priority="259">
      <formula>AP257&lt;0</formula>
    </cfRule>
  </conditionalFormatting>
  <conditionalFormatting sqref="BC200:BE200">
    <cfRule type="expression" dxfId="76" priority="52">
      <formula>BC200&lt;0</formula>
    </cfRule>
    <cfRule type="expression" dxfId="75" priority="53">
      <formula>BC200=0</formula>
    </cfRule>
    <cfRule type="expression" dxfId="74" priority="54">
      <formula>BC200&gt;0</formula>
    </cfRule>
  </conditionalFormatting>
  <conditionalFormatting sqref="BC189:BK189 BC197:BK197 BC257:BK257 F262:N262">
    <cfRule type="expression" dxfId="73" priority="173">
      <formula>F189=0</formula>
    </cfRule>
    <cfRule type="expression" dxfId="72" priority="174">
      <formula>F189&gt;0</formula>
    </cfRule>
    <cfRule type="expression" dxfId="71" priority="172">
      <formula>F189&lt;0</formula>
    </cfRule>
  </conditionalFormatting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CC2F-97C9-4636-A32B-A2E99FD37139}">
  <sheetPr>
    <tabColor theme="4" tint="-0.499984740745262"/>
  </sheetPr>
  <dimension ref="A1:AN46"/>
  <sheetViews>
    <sheetView topLeftCell="A11" zoomScale="85" zoomScaleNormal="85" workbookViewId="0">
      <selection activeCell="H29" sqref="H29"/>
    </sheetView>
  </sheetViews>
  <sheetFormatPr defaultRowHeight="12.5" x14ac:dyDescent="0.25"/>
  <cols>
    <col min="1" max="3" width="11.25" style="19" bestFit="1" customWidth="1"/>
    <col min="4" max="4" width="20.58203125" style="19" bestFit="1" customWidth="1"/>
    <col min="5" max="6" width="9.5" style="19" bestFit="1" customWidth="1"/>
    <col min="7" max="8" width="13.25" style="19" bestFit="1" customWidth="1"/>
    <col min="9" max="10" width="15.25" style="19" bestFit="1" customWidth="1"/>
    <col min="11" max="11" width="11.25" style="19" bestFit="1" customWidth="1"/>
    <col min="12" max="12" width="11.75" style="19" bestFit="1" customWidth="1"/>
    <col min="13" max="13" width="13.25" style="19" bestFit="1" customWidth="1"/>
    <col min="14" max="15" width="15.25" style="19" bestFit="1" customWidth="1"/>
    <col min="16" max="16" width="11.25" style="19" bestFit="1" customWidth="1"/>
    <col min="17" max="17" width="11.75" style="19" bestFit="1" customWidth="1"/>
    <col min="18" max="18" width="13.25" style="19" bestFit="1" customWidth="1"/>
    <col min="19" max="19" width="9.5" style="19" bestFit="1" customWidth="1"/>
    <col min="20" max="20" width="10" style="19" customWidth="1"/>
    <col min="21" max="23" width="11.25" style="19" bestFit="1" customWidth="1"/>
    <col min="24" max="24" width="15.25" style="19" bestFit="1" customWidth="1"/>
    <col min="25" max="25" width="17.33203125" style="19" bestFit="1" customWidth="1"/>
    <col min="26" max="26" width="13.25" style="19" bestFit="1" customWidth="1"/>
    <col min="27" max="27" width="15.25" style="19" bestFit="1" customWidth="1"/>
    <col min="28" max="28" width="13.25" style="19" bestFit="1" customWidth="1"/>
    <col min="29" max="29" width="15.25" style="19" bestFit="1" customWidth="1"/>
    <col min="30" max="30" width="13.25" style="19" bestFit="1" customWidth="1"/>
    <col min="31" max="31" width="15.25" style="19" bestFit="1" customWidth="1"/>
    <col min="32" max="32" width="19.33203125" style="19" bestFit="1" customWidth="1"/>
    <col min="33" max="34" width="15.25" style="19" bestFit="1" customWidth="1"/>
    <col min="35" max="35" width="11.75" style="19" bestFit="1" customWidth="1"/>
    <col min="36" max="36" width="10.75" style="19" bestFit="1" customWidth="1"/>
    <col min="37" max="37" width="19.33203125" style="19" bestFit="1" customWidth="1"/>
    <col min="38" max="38" width="20.58203125" style="19" bestFit="1" customWidth="1"/>
    <col min="39" max="39" width="19.5" style="19" bestFit="1" customWidth="1"/>
    <col min="40" max="40" width="17.75" style="19" bestFit="1" customWidth="1"/>
    <col min="41" max="16384" width="8.6640625" style="19"/>
  </cols>
  <sheetData>
    <row r="1" spans="1:40" x14ac:dyDescent="0.25">
      <c r="A1" s="19" t="s">
        <v>288</v>
      </c>
      <c r="B1" s="19" t="s">
        <v>289</v>
      </c>
      <c r="C1" s="19" t="s">
        <v>96</v>
      </c>
      <c r="D1" s="19" t="s">
        <v>97</v>
      </c>
      <c r="E1" s="19" t="s">
        <v>100</v>
      </c>
      <c r="F1" s="19" t="s">
        <v>267</v>
      </c>
      <c r="G1" s="19" t="s">
        <v>268</v>
      </c>
      <c r="H1" s="19" t="s">
        <v>269</v>
      </c>
      <c r="I1" s="19" t="s">
        <v>103</v>
      </c>
      <c r="J1" s="19" t="s">
        <v>270</v>
      </c>
      <c r="K1" s="19" t="s">
        <v>102</v>
      </c>
      <c r="L1" s="19" t="s">
        <v>106</v>
      </c>
      <c r="M1" s="19" t="s">
        <v>107</v>
      </c>
      <c r="N1" s="19" t="s">
        <v>271</v>
      </c>
      <c r="O1" s="19" t="s">
        <v>282</v>
      </c>
      <c r="P1" s="19" t="s">
        <v>272</v>
      </c>
      <c r="Q1" s="19" t="s">
        <v>104</v>
      </c>
      <c r="R1" s="19" t="s">
        <v>105</v>
      </c>
      <c r="S1" s="19" t="s">
        <v>273</v>
      </c>
      <c r="T1" s="19" t="s">
        <v>274</v>
      </c>
      <c r="U1" s="19" t="s">
        <v>275</v>
      </c>
      <c r="V1" s="19" t="s">
        <v>101</v>
      </c>
      <c r="W1" s="19" t="s">
        <v>276</v>
      </c>
      <c r="X1" s="19" t="s">
        <v>277</v>
      </c>
      <c r="Y1" s="19" t="s">
        <v>278</v>
      </c>
      <c r="Z1" s="19" t="s">
        <v>279</v>
      </c>
      <c r="AA1" s="19" t="s">
        <v>280</v>
      </c>
      <c r="AB1" s="19" t="s">
        <v>281</v>
      </c>
      <c r="AC1" s="19" t="s">
        <v>290</v>
      </c>
      <c r="AD1" s="19" t="s">
        <v>291</v>
      </c>
      <c r="AE1" s="19" t="s">
        <v>292</v>
      </c>
      <c r="AF1" s="19" t="s">
        <v>293</v>
      </c>
      <c r="AG1" s="19" t="s">
        <v>294</v>
      </c>
      <c r="AH1" s="19" t="s">
        <v>295</v>
      </c>
      <c r="AI1" s="19" t="s">
        <v>323</v>
      </c>
      <c r="AJ1" s="19" t="s">
        <v>324</v>
      </c>
      <c r="AK1" s="19" t="s">
        <v>378</v>
      </c>
      <c r="AL1" s="19" t="s">
        <v>379</v>
      </c>
      <c r="AM1" s="19" t="s">
        <v>380</v>
      </c>
      <c r="AN1" s="19" t="s">
        <v>381</v>
      </c>
    </row>
    <row r="2" spans="1:40" x14ac:dyDescent="0.25">
      <c r="A2" s="87">
        <v>44652</v>
      </c>
      <c r="B2" s="87">
        <v>44681</v>
      </c>
      <c r="C2" s="19" t="s">
        <v>110</v>
      </c>
      <c r="D2" s="19" t="s">
        <v>296</v>
      </c>
      <c r="E2" s="19">
        <v>230693</v>
      </c>
      <c r="F2" s="19">
        <v>705282</v>
      </c>
      <c r="G2" s="19">
        <v>220972</v>
      </c>
      <c r="H2" s="19">
        <v>512489</v>
      </c>
      <c r="I2" s="19">
        <v>3040</v>
      </c>
      <c r="J2" s="19">
        <v>4124</v>
      </c>
      <c r="K2" s="19">
        <v>1965</v>
      </c>
      <c r="L2" s="19">
        <v>519158.25</v>
      </c>
      <c r="M2" s="19">
        <v>97</v>
      </c>
      <c r="N2" s="19">
        <v>117</v>
      </c>
      <c r="O2" s="19">
        <v>110</v>
      </c>
      <c r="P2" s="19">
        <v>118</v>
      </c>
      <c r="Q2" s="19">
        <v>1816037.81</v>
      </c>
      <c r="R2" s="19">
        <v>182</v>
      </c>
      <c r="S2" s="19">
        <v>5352.15</v>
      </c>
      <c r="T2" s="19">
        <v>2.25</v>
      </c>
      <c r="U2" s="19">
        <v>26173</v>
      </c>
      <c r="V2" s="19">
        <v>228949</v>
      </c>
      <c r="W2" s="19">
        <v>2953</v>
      </c>
      <c r="X2" s="19">
        <v>27</v>
      </c>
      <c r="Y2" s="19">
        <v>186272</v>
      </c>
      <c r="Z2" s="19">
        <v>39839.43</v>
      </c>
      <c r="AA2" s="19">
        <v>0</v>
      </c>
      <c r="AB2" s="19">
        <v>1130.95</v>
      </c>
      <c r="AC2" s="19">
        <v>0</v>
      </c>
      <c r="AD2" s="19">
        <v>39302.15</v>
      </c>
      <c r="AE2" s="19">
        <v>43436.09</v>
      </c>
      <c r="AF2" s="19">
        <v>270992</v>
      </c>
      <c r="AG2" s="19">
        <v>1452</v>
      </c>
      <c r="AH2" s="19">
        <v>260679.52</v>
      </c>
      <c r="AI2" s="19">
        <v>0</v>
      </c>
      <c r="AJ2" s="19">
        <v>0</v>
      </c>
      <c r="AL2" s="19" t="s">
        <v>284</v>
      </c>
      <c r="AM2" s="19">
        <v>4</v>
      </c>
      <c r="AN2" s="19" t="s">
        <v>287</v>
      </c>
    </row>
    <row r="3" spans="1:40" x14ac:dyDescent="0.25">
      <c r="A3" s="87">
        <v>44682</v>
      </c>
      <c r="B3" s="87">
        <v>44712</v>
      </c>
      <c r="C3" s="19" t="s">
        <v>110</v>
      </c>
      <c r="D3" s="19" t="s">
        <v>297</v>
      </c>
      <c r="E3" s="19">
        <v>365684</v>
      </c>
      <c r="F3" s="19">
        <v>1259290</v>
      </c>
      <c r="G3" s="19">
        <v>297903</v>
      </c>
      <c r="H3" s="19">
        <v>788622</v>
      </c>
      <c r="I3" s="19">
        <v>4130</v>
      </c>
      <c r="J3" s="19">
        <v>5540</v>
      </c>
      <c r="K3" s="19">
        <v>3308</v>
      </c>
      <c r="L3" s="19">
        <v>1736144.36</v>
      </c>
      <c r="M3" s="19">
        <v>364</v>
      </c>
      <c r="N3" s="19">
        <v>465</v>
      </c>
      <c r="O3" s="19">
        <v>428</v>
      </c>
      <c r="P3" s="19">
        <v>468</v>
      </c>
      <c r="Q3" s="19">
        <v>2974065.82</v>
      </c>
      <c r="R3" s="19">
        <v>486</v>
      </c>
      <c r="S3" s="19">
        <v>4769.63</v>
      </c>
      <c r="T3" s="19">
        <v>4.75</v>
      </c>
      <c r="U3" s="19">
        <v>45217</v>
      </c>
      <c r="V3" s="19">
        <v>363127</v>
      </c>
      <c r="W3" s="19">
        <v>5338</v>
      </c>
      <c r="X3" s="19">
        <v>87</v>
      </c>
      <c r="Y3" s="19">
        <v>489214.33</v>
      </c>
      <c r="Z3" s="19">
        <v>166407</v>
      </c>
      <c r="AA3" s="19">
        <v>0</v>
      </c>
      <c r="AB3" s="19">
        <v>1549.35</v>
      </c>
      <c r="AC3" s="19">
        <v>0</v>
      </c>
      <c r="AD3" s="19">
        <v>128452.7</v>
      </c>
      <c r="AE3" s="19">
        <v>150160.18</v>
      </c>
      <c r="AF3" s="19">
        <v>695671.69</v>
      </c>
      <c r="AG3" s="19">
        <v>7688</v>
      </c>
      <c r="AH3" s="19">
        <v>918444.93</v>
      </c>
      <c r="AI3" s="19">
        <v>502402.17</v>
      </c>
      <c r="AJ3" s="19">
        <v>250978.87</v>
      </c>
      <c r="AL3" s="19" t="s">
        <v>284</v>
      </c>
      <c r="AM3" s="19">
        <v>5</v>
      </c>
      <c r="AN3" s="19" t="s">
        <v>287</v>
      </c>
    </row>
    <row r="4" spans="1:40" x14ac:dyDescent="0.25">
      <c r="A4" s="87">
        <v>44713</v>
      </c>
      <c r="B4" s="87">
        <v>44742</v>
      </c>
      <c r="C4" s="19" t="s">
        <v>110</v>
      </c>
      <c r="D4" s="19" t="s">
        <v>298</v>
      </c>
      <c r="E4" s="19">
        <v>417429</v>
      </c>
      <c r="F4" s="19">
        <v>1603088</v>
      </c>
      <c r="G4" s="19">
        <v>355075</v>
      </c>
      <c r="H4" s="19">
        <v>1081950</v>
      </c>
      <c r="I4" s="19">
        <v>4543</v>
      </c>
      <c r="J4" s="19">
        <v>6084</v>
      </c>
      <c r="K4" s="19">
        <v>5855</v>
      </c>
      <c r="L4" s="19">
        <v>4215934.9000000004</v>
      </c>
      <c r="M4" s="19">
        <v>1142</v>
      </c>
      <c r="N4" s="19">
        <v>1509</v>
      </c>
      <c r="O4" s="19">
        <v>1367</v>
      </c>
      <c r="P4" s="19">
        <v>1534</v>
      </c>
      <c r="Q4" s="19">
        <v>5685754.1600000001</v>
      </c>
      <c r="R4" s="19">
        <v>1324</v>
      </c>
      <c r="S4" s="19">
        <v>3691.71</v>
      </c>
      <c r="T4" s="19">
        <v>10.1</v>
      </c>
      <c r="U4" s="19">
        <v>56699</v>
      </c>
      <c r="V4" s="19">
        <v>409264</v>
      </c>
      <c r="W4" s="19">
        <v>10331</v>
      </c>
      <c r="X4" s="19">
        <v>223</v>
      </c>
      <c r="Y4" s="19">
        <v>1090764.95</v>
      </c>
      <c r="Z4" s="19">
        <v>214178.57</v>
      </c>
      <c r="AA4" s="19">
        <v>0</v>
      </c>
      <c r="AB4" s="19">
        <v>13938.73</v>
      </c>
      <c r="AC4" s="19">
        <v>0</v>
      </c>
      <c r="AD4" s="19">
        <v>242101.57</v>
      </c>
      <c r="AE4" s="19">
        <v>162948.99</v>
      </c>
      <c r="AF4" s="19">
        <v>2133560.06</v>
      </c>
      <c r="AG4" s="19">
        <v>15555</v>
      </c>
      <c r="AH4" s="19">
        <v>2109691.7599999998</v>
      </c>
      <c r="AI4" s="19">
        <v>2253844.56</v>
      </c>
      <c r="AJ4" s="19">
        <v>1185362.8899999999</v>
      </c>
      <c r="AL4" s="19" t="s">
        <v>284</v>
      </c>
      <c r="AM4" s="19">
        <v>6</v>
      </c>
      <c r="AN4" s="19" t="s">
        <v>287</v>
      </c>
    </row>
    <row r="5" spans="1:40" x14ac:dyDescent="0.25">
      <c r="A5" s="87">
        <v>44743</v>
      </c>
      <c r="B5" s="87">
        <v>44773</v>
      </c>
      <c r="C5" s="19" t="s">
        <v>110</v>
      </c>
      <c r="D5" s="19" t="s">
        <v>299</v>
      </c>
      <c r="E5" s="19">
        <v>254292</v>
      </c>
      <c r="F5" s="19">
        <v>1089037</v>
      </c>
      <c r="G5" s="19">
        <v>237780</v>
      </c>
      <c r="H5" s="19">
        <v>774333</v>
      </c>
      <c r="I5" s="19">
        <v>3081</v>
      </c>
      <c r="J5" s="19">
        <v>4529</v>
      </c>
      <c r="K5" s="19">
        <v>3381</v>
      </c>
      <c r="L5" s="19">
        <v>1930879.97</v>
      </c>
      <c r="M5" s="19">
        <v>576</v>
      </c>
      <c r="N5" s="19">
        <v>701</v>
      </c>
      <c r="O5" s="19">
        <v>668</v>
      </c>
      <c r="P5" s="19">
        <v>714</v>
      </c>
      <c r="Q5" s="19">
        <v>2821981.17</v>
      </c>
      <c r="R5" s="19">
        <v>661</v>
      </c>
      <c r="S5" s="19">
        <v>3352.22</v>
      </c>
      <c r="T5" s="19">
        <v>7.59</v>
      </c>
      <c r="U5" s="19">
        <v>38661</v>
      </c>
      <c r="V5" s="19">
        <v>251269</v>
      </c>
      <c r="W5" s="19">
        <v>5574</v>
      </c>
      <c r="X5" s="19">
        <v>108</v>
      </c>
      <c r="Y5" s="19">
        <v>455619.89</v>
      </c>
      <c r="Z5" s="19">
        <v>59626.27</v>
      </c>
      <c r="AA5" s="19">
        <v>0</v>
      </c>
      <c r="AB5" s="19">
        <v>5751.01</v>
      </c>
      <c r="AC5" s="19">
        <v>0</v>
      </c>
      <c r="AD5" s="19">
        <v>120569.42</v>
      </c>
      <c r="AE5" s="19">
        <v>92230.98</v>
      </c>
      <c r="AF5" s="19">
        <v>842366.74</v>
      </c>
      <c r="AG5" s="19">
        <v>8558</v>
      </c>
      <c r="AH5" s="19">
        <v>653785.56000000006</v>
      </c>
      <c r="AI5" s="19">
        <v>1005456.35</v>
      </c>
      <c r="AJ5" s="19">
        <v>708414.79</v>
      </c>
      <c r="AL5" s="19" t="s">
        <v>283</v>
      </c>
      <c r="AM5" s="19">
        <v>7</v>
      </c>
      <c r="AN5" s="19" t="s">
        <v>287</v>
      </c>
    </row>
    <row r="6" spans="1:40" x14ac:dyDescent="0.25">
      <c r="A6" s="87">
        <v>44774</v>
      </c>
      <c r="B6" s="87">
        <v>44804</v>
      </c>
      <c r="C6" s="19" t="s">
        <v>110</v>
      </c>
      <c r="D6" s="19" t="s">
        <v>300</v>
      </c>
      <c r="E6" s="19">
        <v>204424</v>
      </c>
      <c r="F6" s="19">
        <v>892903</v>
      </c>
      <c r="G6" s="19">
        <v>189232</v>
      </c>
      <c r="H6" s="19">
        <v>606192</v>
      </c>
      <c r="I6" s="19">
        <v>2456</v>
      </c>
      <c r="J6" s="19">
        <v>3640</v>
      </c>
      <c r="K6" s="19">
        <v>2401</v>
      </c>
      <c r="L6" s="19">
        <v>1562154.4</v>
      </c>
      <c r="M6" s="19">
        <v>324</v>
      </c>
      <c r="N6" s="19">
        <v>392</v>
      </c>
      <c r="O6" s="19">
        <v>390</v>
      </c>
      <c r="P6" s="19">
        <v>394</v>
      </c>
      <c r="Q6" s="19">
        <v>2089616.9</v>
      </c>
      <c r="R6" s="19">
        <v>385</v>
      </c>
      <c r="S6" s="19">
        <v>4821.46</v>
      </c>
      <c r="T6" s="19">
        <v>7.64</v>
      </c>
      <c r="U6" s="19">
        <v>35347</v>
      </c>
      <c r="V6" s="19">
        <v>200603</v>
      </c>
      <c r="W6" s="19">
        <v>3876</v>
      </c>
      <c r="X6" s="19">
        <v>66</v>
      </c>
      <c r="Y6" s="19">
        <v>427676.9</v>
      </c>
      <c r="Z6" s="19">
        <v>86537.41</v>
      </c>
      <c r="AA6" s="19">
        <v>0</v>
      </c>
      <c r="AB6" s="19">
        <v>6968.53</v>
      </c>
      <c r="AC6" s="19">
        <v>0</v>
      </c>
      <c r="AD6" s="19">
        <v>121028.01</v>
      </c>
      <c r="AE6" s="19">
        <v>116554.15</v>
      </c>
      <c r="AF6" s="19">
        <v>665641.85</v>
      </c>
      <c r="AG6" s="19">
        <v>1338</v>
      </c>
      <c r="AH6" s="19">
        <v>637545.44999999995</v>
      </c>
      <c r="AI6" s="19">
        <v>108845.15</v>
      </c>
      <c r="AJ6" s="19">
        <v>86278.75</v>
      </c>
      <c r="AL6" s="19" t="s">
        <v>283</v>
      </c>
      <c r="AM6" s="19">
        <v>8</v>
      </c>
      <c r="AN6" s="19" t="s">
        <v>287</v>
      </c>
    </row>
    <row r="7" spans="1:40" x14ac:dyDescent="0.25">
      <c r="A7" s="87">
        <v>44805</v>
      </c>
      <c r="B7" s="87">
        <v>44834</v>
      </c>
      <c r="C7" s="19" t="s">
        <v>110</v>
      </c>
      <c r="D7" s="19" t="s">
        <v>301</v>
      </c>
      <c r="E7" s="19">
        <v>227584</v>
      </c>
      <c r="F7" s="19">
        <v>963445</v>
      </c>
      <c r="G7" s="19">
        <v>211769</v>
      </c>
      <c r="H7" s="19">
        <v>687719</v>
      </c>
      <c r="I7" s="19">
        <v>2572</v>
      </c>
      <c r="J7" s="19">
        <v>4268</v>
      </c>
      <c r="K7" s="19">
        <v>2391</v>
      </c>
      <c r="L7" s="19">
        <v>1529786.01</v>
      </c>
      <c r="M7" s="19">
        <v>231</v>
      </c>
      <c r="N7" s="19">
        <v>295</v>
      </c>
      <c r="O7" s="19">
        <v>283</v>
      </c>
      <c r="P7" s="19">
        <v>297</v>
      </c>
      <c r="Q7" s="19">
        <v>2226811.0099999998</v>
      </c>
      <c r="R7" s="19">
        <v>285</v>
      </c>
      <c r="S7" s="19">
        <v>6622.45</v>
      </c>
      <c r="T7" s="19">
        <v>6.72</v>
      </c>
      <c r="U7" s="19">
        <v>38456</v>
      </c>
      <c r="V7" s="19">
        <v>223926</v>
      </c>
      <c r="W7" s="19">
        <v>3808</v>
      </c>
      <c r="X7" s="19">
        <v>65</v>
      </c>
      <c r="Y7" s="19">
        <v>515256</v>
      </c>
      <c r="Z7" s="19">
        <v>56453.55</v>
      </c>
      <c r="AA7" s="19">
        <v>0</v>
      </c>
      <c r="AB7" s="19">
        <v>4365.55</v>
      </c>
      <c r="AC7" s="19">
        <v>0</v>
      </c>
      <c r="AD7" s="19">
        <v>91265.78</v>
      </c>
      <c r="AE7" s="19">
        <v>100384.34</v>
      </c>
      <c r="AF7" s="19">
        <v>610187</v>
      </c>
      <c r="AG7" s="19">
        <v>9422</v>
      </c>
      <c r="AH7" s="19">
        <v>688327</v>
      </c>
      <c r="AI7" s="19">
        <v>95731</v>
      </c>
      <c r="AJ7" s="19">
        <v>58411</v>
      </c>
      <c r="AL7" s="19" t="s">
        <v>283</v>
      </c>
      <c r="AM7" s="19">
        <v>9</v>
      </c>
      <c r="AN7" s="19" t="s">
        <v>287</v>
      </c>
    </row>
    <row r="8" spans="1:40" x14ac:dyDescent="0.25">
      <c r="A8" s="87">
        <v>44835</v>
      </c>
      <c r="B8" s="87">
        <v>44865</v>
      </c>
      <c r="C8" s="19" t="s">
        <v>110</v>
      </c>
      <c r="D8" s="19" t="s">
        <v>302</v>
      </c>
      <c r="E8" s="19">
        <v>492696</v>
      </c>
      <c r="F8" s="19">
        <v>2084834</v>
      </c>
      <c r="G8" s="19">
        <v>450220</v>
      </c>
      <c r="H8" s="19">
        <v>1525994</v>
      </c>
      <c r="I8" s="19">
        <v>4608</v>
      </c>
      <c r="J8" s="19">
        <v>7121</v>
      </c>
      <c r="K8" s="19">
        <v>5586</v>
      </c>
      <c r="L8" s="19">
        <v>4267035.7699999996</v>
      </c>
      <c r="M8" s="19">
        <v>833</v>
      </c>
      <c r="N8" s="19">
        <v>1060</v>
      </c>
      <c r="O8" s="19">
        <v>1016</v>
      </c>
      <c r="P8" s="19">
        <v>1082</v>
      </c>
      <c r="Q8" s="19">
        <v>6452129.4400000004</v>
      </c>
      <c r="R8" s="19">
        <v>1022</v>
      </c>
      <c r="S8" s="19">
        <v>5122.49</v>
      </c>
      <c r="T8" s="19">
        <v>8.66</v>
      </c>
      <c r="U8" s="19">
        <v>78385</v>
      </c>
      <c r="V8" s="19">
        <v>488588</v>
      </c>
      <c r="W8" s="19">
        <v>10344</v>
      </c>
      <c r="X8" s="19">
        <v>170</v>
      </c>
      <c r="Y8" s="19">
        <v>1240139.53</v>
      </c>
      <c r="Z8" s="19">
        <v>188263.38</v>
      </c>
      <c r="AA8" s="19">
        <v>0</v>
      </c>
      <c r="AB8" s="19">
        <v>2139.27</v>
      </c>
      <c r="AC8" s="19">
        <v>0</v>
      </c>
      <c r="AD8" s="19">
        <v>237627.7</v>
      </c>
      <c r="AE8" s="19">
        <v>233454.31</v>
      </c>
      <c r="AF8" s="19">
        <v>1267857.25</v>
      </c>
      <c r="AG8" s="19">
        <v>3243</v>
      </c>
      <c r="AH8" s="19">
        <v>2017244.73</v>
      </c>
      <c r="AI8" s="19">
        <v>2182692.17</v>
      </c>
      <c r="AJ8" s="19">
        <v>1233351.57</v>
      </c>
      <c r="AL8" s="19" t="s">
        <v>286</v>
      </c>
      <c r="AM8" s="19">
        <v>10</v>
      </c>
      <c r="AN8" s="19" t="s">
        <v>287</v>
      </c>
    </row>
    <row r="9" spans="1:40" x14ac:dyDescent="0.25">
      <c r="A9" s="87">
        <v>44866</v>
      </c>
      <c r="B9" s="87">
        <v>44895</v>
      </c>
      <c r="C9" s="19" t="s">
        <v>110</v>
      </c>
      <c r="D9" s="19" t="s">
        <v>303</v>
      </c>
      <c r="E9" s="19">
        <v>528968</v>
      </c>
      <c r="F9" s="19">
        <v>2065757</v>
      </c>
      <c r="G9" s="19">
        <v>487344</v>
      </c>
      <c r="H9" s="19">
        <v>1588246</v>
      </c>
      <c r="I9" s="19">
        <v>3643</v>
      </c>
      <c r="J9" s="19">
        <v>5449</v>
      </c>
      <c r="K9" s="19">
        <v>6040</v>
      </c>
      <c r="L9" s="19">
        <v>5793617.0499999998</v>
      </c>
      <c r="M9" s="19">
        <v>1205</v>
      </c>
      <c r="N9" s="19">
        <v>1529</v>
      </c>
      <c r="O9" s="19">
        <v>1437</v>
      </c>
      <c r="P9" s="19">
        <v>1584</v>
      </c>
      <c r="Q9" s="19">
        <v>8015630.7699999996</v>
      </c>
      <c r="R9" s="19">
        <v>1293</v>
      </c>
      <c r="S9" s="19">
        <v>4807.9799999999996</v>
      </c>
      <c r="T9" s="19">
        <v>10.95</v>
      </c>
      <c r="U9" s="19">
        <v>80230</v>
      </c>
      <c r="V9" s="19">
        <v>515538</v>
      </c>
      <c r="W9" s="19">
        <v>10600</v>
      </c>
      <c r="X9" s="19">
        <v>273</v>
      </c>
      <c r="Y9" s="19">
        <v>1798970.12</v>
      </c>
      <c r="Z9" s="19">
        <v>158461.35</v>
      </c>
      <c r="AA9" s="19">
        <v>0</v>
      </c>
      <c r="AB9" s="19">
        <v>39208.19</v>
      </c>
      <c r="AC9" s="19">
        <v>0</v>
      </c>
      <c r="AD9" s="19">
        <v>195586.13</v>
      </c>
      <c r="AE9" s="19">
        <v>200937.29</v>
      </c>
      <c r="AF9" s="19">
        <v>3440743.16</v>
      </c>
      <c r="AG9" s="19">
        <v>2586</v>
      </c>
      <c r="AH9" s="19">
        <v>2848113.15</v>
      </c>
      <c r="AI9" s="19">
        <v>3268780.87</v>
      </c>
      <c r="AJ9" s="19">
        <v>1915758.5</v>
      </c>
      <c r="AL9" s="19" t="s">
        <v>286</v>
      </c>
      <c r="AM9" s="19">
        <v>11</v>
      </c>
      <c r="AN9" s="19" t="s">
        <v>287</v>
      </c>
    </row>
    <row r="10" spans="1:40" x14ac:dyDescent="0.25">
      <c r="A10" s="87">
        <v>44896</v>
      </c>
      <c r="B10" s="87">
        <v>44926</v>
      </c>
      <c r="C10" s="19" t="s">
        <v>110</v>
      </c>
      <c r="D10" s="19" t="s">
        <v>304</v>
      </c>
      <c r="E10" s="19">
        <v>883450</v>
      </c>
      <c r="F10" s="19">
        <v>2467641</v>
      </c>
      <c r="G10" s="19">
        <v>506106</v>
      </c>
      <c r="H10" s="19">
        <v>1481765</v>
      </c>
      <c r="I10" s="19">
        <v>3201</v>
      </c>
      <c r="J10" s="19">
        <v>4762</v>
      </c>
      <c r="K10" s="19">
        <v>4335</v>
      </c>
      <c r="L10" s="19">
        <v>3875446.01</v>
      </c>
      <c r="M10" s="19">
        <v>648</v>
      </c>
      <c r="N10" s="19">
        <v>832</v>
      </c>
      <c r="O10" s="19">
        <v>769</v>
      </c>
      <c r="P10" s="19">
        <v>848</v>
      </c>
      <c r="Q10" s="19">
        <v>5582637.0099999998</v>
      </c>
      <c r="R10" s="19">
        <v>744</v>
      </c>
      <c r="S10" s="19">
        <v>5980.63</v>
      </c>
      <c r="T10" s="19">
        <v>4.3899999999999997</v>
      </c>
      <c r="U10" s="19">
        <v>151310</v>
      </c>
      <c r="V10" s="19">
        <v>877125</v>
      </c>
      <c r="W10" s="19">
        <v>7920</v>
      </c>
      <c r="X10" s="19">
        <v>169</v>
      </c>
      <c r="Y10" s="19">
        <v>1309020</v>
      </c>
      <c r="Z10" s="19">
        <v>90866.81</v>
      </c>
      <c r="AA10" s="19">
        <v>0</v>
      </c>
      <c r="AB10" s="19">
        <v>13719.87</v>
      </c>
      <c r="AC10" s="19">
        <v>0</v>
      </c>
      <c r="AD10" s="19">
        <v>181039.4</v>
      </c>
      <c r="AE10" s="19">
        <v>160601.72</v>
      </c>
      <c r="AF10" s="19">
        <v>1892925.43</v>
      </c>
      <c r="AG10" s="19">
        <v>3173</v>
      </c>
      <c r="AH10" s="19">
        <v>2000994.72</v>
      </c>
      <c r="AI10" s="19">
        <v>2125368.9500000002</v>
      </c>
      <c r="AJ10" s="19">
        <v>1121929.29</v>
      </c>
      <c r="AL10" s="19" t="s">
        <v>286</v>
      </c>
      <c r="AM10" s="19">
        <v>12</v>
      </c>
      <c r="AN10" s="19" t="s">
        <v>287</v>
      </c>
    </row>
    <row r="11" spans="1:40" x14ac:dyDescent="0.25">
      <c r="A11" s="87">
        <v>44927</v>
      </c>
      <c r="B11" s="87">
        <v>44957</v>
      </c>
      <c r="C11" s="19" t="s">
        <v>110</v>
      </c>
      <c r="D11" s="19" t="s">
        <v>305</v>
      </c>
      <c r="E11" s="19">
        <v>549094</v>
      </c>
      <c r="F11" s="19">
        <v>1809727</v>
      </c>
      <c r="G11" s="19">
        <v>440336</v>
      </c>
      <c r="H11" s="19">
        <v>1212585</v>
      </c>
      <c r="I11" s="19">
        <v>3348</v>
      </c>
      <c r="J11" s="19">
        <v>4852</v>
      </c>
      <c r="K11" s="19">
        <v>4930</v>
      </c>
      <c r="L11" s="19">
        <v>3159936</v>
      </c>
      <c r="M11" s="19">
        <v>856</v>
      </c>
      <c r="N11" s="19">
        <v>953</v>
      </c>
      <c r="O11" s="19">
        <v>931</v>
      </c>
      <c r="P11" s="19">
        <v>957</v>
      </c>
      <c r="Q11" s="19">
        <v>4429461</v>
      </c>
      <c r="R11" s="19">
        <v>1072</v>
      </c>
      <c r="S11" s="19">
        <v>3691.51</v>
      </c>
      <c r="T11" s="19">
        <v>5.75</v>
      </c>
      <c r="U11" s="19">
        <v>63397</v>
      </c>
      <c r="V11" s="19">
        <v>542455</v>
      </c>
      <c r="W11" s="19">
        <v>8617</v>
      </c>
      <c r="X11" s="19">
        <v>86</v>
      </c>
      <c r="Y11" s="19">
        <v>679618</v>
      </c>
      <c r="Z11" s="19">
        <v>84163.31</v>
      </c>
      <c r="AA11" s="19">
        <v>0</v>
      </c>
      <c r="AB11" s="19">
        <v>15463.46</v>
      </c>
      <c r="AC11" s="19">
        <v>0</v>
      </c>
      <c r="AD11" s="19">
        <v>104922.8</v>
      </c>
      <c r="AE11" s="19">
        <v>112896.05</v>
      </c>
      <c r="AF11" s="19">
        <v>1373026.41</v>
      </c>
      <c r="AG11" s="19">
        <v>2638</v>
      </c>
      <c r="AH11" s="19">
        <v>1124295</v>
      </c>
      <c r="AI11" s="19">
        <v>1653899.35</v>
      </c>
      <c r="AJ11" s="19">
        <v>1169761</v>
      </c>
      <c r="AL11" s="19" t="s">
        <v>285</v>
      </c>
      <c r="AM11" s="19">
        <v>1</v>
      </c>
      <c r="AN11" s="19" t="s">
        <v>287</v>
      </c>
    </row>
    <row r="12" spans="1:40" x14ac:dyDescent="0.25">
      <c r="A12" s="87">
        <v>44958</v>
      </c>
      <c r="B12" s="87">
        <v>44985</v>
      </c>
      <c r="C12" s="19" t="s">
        <v>110</v>
      </c>
      <c r="D12" s="19" t="s">
        <v>306</v>
      </c>
      <c r="E12" s="19">
        <v>403746</v>
      </c>
      <c r="F12" s="19">
        <v>1218128</v>
      </c>
      <c r="G12" s="19">
        <v>392115</v>
      </c>
      <c r="H12" s="19">
        <v>966917</v>
      </c>
      <c r="I12" s="19">
        <v>2240</v>
      </c>
      <c r="J12" s="19">
        <v>3355</v>
      </c>
      <c r="K12" s="19">
        <v>2605</v>
      </c>
      <c r="L12" s="19">
        <v>1741875</v>
      </c>
      <c r="M12" s="19">
        <v>258</v>
      </c>
      <c r="N12" s="19">
        <v>323</v>
      </c>
      <c r="O12" s="19">
        <v>310</v>
      </c>
      <c r="P12" s="19">
        <v>332</v>
      </c>
      <c r="Q12" s="19">
        <v>2548480</v>
      </c>
      <c r="R12" s="19">
        <v>332</v>
      </c>
      <c r="S12" s="19">
        <v>6751.45</v>
      </c>
      <c r="T12" s="19">
        <v>4.3099999999999996</v>
      </c>
      <c r="U12" s="19">
        <v>49381</v>
      </c>
      <c r="V12" s="19">
        <v>398030</v>
      </c>
      <c r="W12" s="19">
        <v>4195</v>
      </c>
      <c r="X12" s="19">
        <v>61</v>
      </c>
      <c r="Y12" s="19">
        <v>494460</v>
      </c>
      <c r="Z12" s="19">
        <v>66811</v>
      </c>
      <c r="AA12" s="19">
        <v>0</v>
      </c>
      <c r="AB12" s="19">
        <v>7026.98</v>
      </c>
      <c r="AC12" s="19">
        <v>0</v>
      </c>
      <c r="AD12" s="19">
        <v>96359.49</v>
      </c>
      <c r="AE12" s="19">
        <v>84047.56</v>
      </c>
      <c r="AF12" s="19">
        <v>1062060.5</v>
      </c>
      <c r="AG12" s="19">
        <v>1536</v>
      </c>
      <c r="AH12" s="19">
        <v>875442.5</v>
      </c>
      <c r="AI12" s="19">
        <v>0</v>
      </c>
      <c r="AJ12" s="19">
        <v>0</v>
      </c>
      <c r="AL12" s="19" t="s">
        <v>285</v>
      </c>
      <c r="AM12" s="19">
        <v>2</v>
      </c>
      <c r="AN12" s="19" t="s">
        <v>287</v>
      </c>
    </row>
    <row r="13" spans="1:40" x14ac:dyDescent="0.25">
      <c r="A13" s="87">
        <v>44986</v>
      </c>
      <c r="B13" s="87">
        <v>45016</v>
      </c>
      <c r="C13" s="19" t="s">
        <v>110</v>
      </c>
      <c r="D13" s="19" t="s">
        <v>307</v>
      </c>
      <c r="E13" s="19">
        <v>304480</v>
      </c>
      <c r="F13" s="19">
        <v>1054720</v>
      </c>
      <c r="G13" s="19">
        <v>293989</v>
      </c>
      <c r="H13" s="19">
        <v>824917</v>
      </c>
      <c r="I13" s="19">
        <v>1931</v>
      </c>
      <c r="J13" s="19">
        <v>2931</v>
      </c>
      <c r="K13" s="19">
        <v>2551</v>
      </c>
      <c r="L13" s="19">
        <v>1472378</v>
      </c>
      <c r="M13" s="19">
        <v>236</v>
      </c>
      <c r="N13" s="19">
        <v>301</v>
      </c>
      <c r="O13" s="19">
        <v>290</v>
      </c>
      <c r="P13" s="19">
        <v>303</v>
      </c>
      <c r="Q13" s="19">
        <v>2390061</v>
      </c>
      <c r="R13" s="19">
        <v>332</v>
      </c>
      <c r="S13" s="19">
        <v>6238.89</v>
      </c>
      <c r="T13" s="19">
        <v>4.84</v>
      </c>
      <c r="U13" s="19">
        <v>42873</v>
      </c>
      <c r="V13" s="19">
        <v>300918</v>
      </c>
      <c r="W13" s="19">
        <v>4287</v>
      </c>
      <c r="X13" s="19">
        <v>73</v>
      </c>
      <c r="Y13" s="19">
        <v>545099</v>
      </c>
      <c r="Z13" s="19">
        <v>74551.679999999993</v>
      </c>
      <c r="AA13" s="19">
        <v>0</v>
      </c>
      <c r="AB13" s="19">
        <v>2824.5</v>
      </c>
      <c r="AC13" s="19">
        <v>0</v>
      </c>
      <c r="AD13" s="19">
        <v>90756.33</v>
      </c>
      <c r="AE13" s="19">
        <v>97851.18</v>
      </c>
      <c r="AF13" s="19">
        <v>749191</v>
      </c>
      <c r="AG13" s="19">
        <v>3264</v>
      </c>
      <c r="AH13" s="19">
        <v>741898</v>
      </c>
      <c r="AI13" s="19">
        <v>144262.41</v>
      </c>
      <c r="AJ13" s="19">
        <v>97495</v>
      </c>
      <c r="AK13" s="19">
        <v>108</v>
      </c>
      <c r="AL13" s="19" t="s">
        <v>285</v>
      </c>
      <c r="AM13" s="19">
        <v>3</v>
      </c>
      <c r="AN13" s="19" t="s">
        <v>287</v>
      </c>
    </row>
    <row r="14" spans="1:40" x14ac:dyDescent="0.25">
      <c r="A14" s="87">
        <v>45017</v>
      </c>
      <c r="B14" s="87">
        <v>45046</v>
      </c>
      <c r="C14" s="19" t="s">
        <v>110</v>
      </c>
      <c r="D14" s="19" t="s">
        <v>308</v>
      </c>
      <c r="E14" s="19">
        <v>398357</v>
      </c>
      <c r="F14" s="19">
        <v>1092176</v>
      </c>
      <c r="G14" s="19">
        <v>389444</v>
      </c>
      <c r="H14" s="19">
        <v>898076</v>
      </c>
      <c r="I14" s="19">
        <v>1881</v>
      </c>
      <c r="J14" s="19">
        <v>2707</v>
      </c>
      <c r="K14" s="19">
        <v>2481</v>
      </c>
      <c r="L14" s="19">
        <v>1249180.01</v>
      </c>
      <c r="M14" s="19">
        <v>209</v>
      </c>
      <c r="N14" s="19">
        <v>269</v>
      </c>
      <c r="O14" s="19">
        <v>251</v>
      </c>
      <c r="P14" s="19">
        <v>269</v>
      </c>
      <c r="Q14" s="19">
        <v>2086625.01</v>
      </c>
      <c r="R14" s="19">
        <v>292</v>
      </c>
      <c r="S14" s="19">
        <v>5976.94</v>
      </c>
      <c r="T14" s="19">
        <v>3.14</v>
      </c>
      <c r="U14" s="19">
        <v>40444</v>
      </c>
      <c r="V14" s="19">
        <v>393279</v>
      </c>
      <c r="W14" s="19">
        <v>3872</v>
      </c>
      <c r="X14" s="19">
        <v>62</v>
      </c>
      <c r="Y14" s="19">
        <v>436445</v>
      </c>
      <c r="Z14" s="19">
        <v>85093.37</v>
      </c>
      <c r="AA14" s="19">
        <v>0</v>
      </c>
      <c r="AB14" s="19">
        <v>2480.64</v>
      </c>
      <c r="AC14" s="19">
        <v>0</v>
      </c>
      <c r="AD14" s="19">
        <v>97543.72</v>
      </c>
      <c r="AE14" s="19">
        <v>79805.83</v>
      </c>
      <c r="AF14" s="19">
        <v>591457</v>
      </c>
      <c r="AG14" s="19">
        <v>4196</v>
      </c>
      <c r="AH14" s="19">
        <v>606515</v>
      </c>
      <c r="AI14" s="19">
        <v>0</v>
      </c>
      <c r="AJ14" s="19">
        <v>0</v>
      </c>
      <c r="AK14" s="19">
        <v>86</v>
      </c>
      <c r="AL14" s="19" t="s">
        <v>284</v>
      </c>
      <c r="AM14" s="19">
        <v>4</v>
      </c>
      <c r="AN14" s="19" t="s">
        <v>247</v>
      </c>
    </row>
    <row r="15" spans="1:40" x14ac:dyDescent="0.25">
      <c r="A15" s="87">
        <v>45047</v>
      </c>
      <c r="B15" s="87">
        <v>45077</v>
      </c>
      <c r="C15" s="19" t="s">
        <v>110</v>
      </c>
      <c r="D15" s="19" t="s">
        <v>309</v>
      </c>
      <c r="E15" s="19">
        <v>394042</v>
      </c>
      <c r="F15" s="19">
        <v>1530816</v>
      </c>
      <c r="G15" s="19">
        <v>370504</v>
      </c>
      <c r="H15" s="19">
        <v>1168907</v>
      </c>
      <c r="I15" s="19">
        <v>2658</v>
      </c>
      <c r="J15" s="19">
        <v>3928</v>
      </c>
      <c r="K15" s="19">
        <v>4415</v>
      </c>
      <c r="L15" s="19">
        <v>2441816.0099999998</v>
      </c>
      <c r="M15" s="19">
        <v>604</v>
      </c>
      <c r="N15" s="19">
        <v>786</v>
      </c>
      <c r="O15" s="19">
        <v>736</v>
      </c>
      <c r="P15" s="19">
        <v>788</v>
      </c>
      <c r="Q15" s="19">
        <v>3477227.01</v>
      </c>
      <c r="R15" s="19">
        <v>790</v>
      </c>
      <c r="S15" s="19">
        <v>4042.74</v>
      </c>
      <c r="T15" s="19">
        <v>6.2</v>
      </c>
      <c r="U15" s="19">
        <v>60527</v>
      </c>
      <c r="V15" s="19">
        <v>390697</v>
      </c>
      <c r="W15" s="19">
        <v>7337</v>
      </c>
      <c r="X15" s="19">
        <v>158</v>
      </c>
      <c r="Y15" s="19">
        <v>725746</v>
      </c>
      <c r="Z15" s="19">
        <v>188350.11</v>
      </c>
      <c r="AA15" s="19">
        <v>0</v>
      </c>
      <c r="AB15" s="19">
        <v>3988.27</v>
      </c>
      <c r="AC15" s="19">
        <v>0</v>
      </c>
      <c r="AD15" s="19">
        <v>222322.21</v>
      </c>
      <c r="AE15" s="19">
        <v>209035.04</v>
      </c>
      <c r="AF15" s="19">
        <v>963876.1</v>
      </c>
      <c r="AG15" s="19">
        <v>2722</v>
      </c>
      <c r="AH15" s="19">
        <v>1198283.3799999999</v>
      </c>
      <c r="AI15" s="19">
        <v>874556</v>
      </c>
      <c r="AJ15" s="19">
        <v>540948.72</v>
      </c>
      <c r="AK15" s="19">
        <v>237</v>
      </c>
      <c r="AL15" s="19" t="s">
        <v>284</v>
      </c>
      <c r="AM15" s="19">
        <v>5</v>
      </c>
      <c r="AN15" s="19" t="s">
        <v>247</v>
      </c>
    </row>
    <row r="16" spans="1:40" x14ac:dyDescent="0.25">
      <c r="A16" s="87">
        <v>45078</v>
      </c>
      <c r="B16" s="87">
        <v>45107</v>
      </c>
      <c r="C16" s="19" t="s">
        <v>110</v>
      </c>
      <c r="D16" s="19" t="s">
        <v>310</v>
      </c>
      <c r="E16" s="19">
        <v>433980</v>
      </c>
      <c r="F16" s="19">
        <v>1672916</v>
      </c>
      <c r="G16" s="19">
        <v>395443</v>
      </c>
      <c r="H16" s="19">
        <v>1252249</v>
      </c>
      <c r="I16" s="19">
        <v>2994</v>
      </c>
      <c r="J16" s="19">
        <v>4193</v>
      </c>
      <c r="K16" s="19">
        <v>6144</v>
      </c>
      <c r="L16" s="19">
        <v>4854664.51</v>
      </c>
      <c r="M16" s="19">
        <v>1376</v>
      </c>
      <c r="N16" s="19">
        <v>1744</v>
      </c>
      <c r="O16" s="19">
        <v>1623</v>
      </c>
      <c r="P16" s="19">
        <v>1765</v>
      </c>
      <c r="Q16" s="19">
        <v>6442759.5099999998</v>
      </c>
      <c r="R16" s="19">
        <v>1610</v>
      </c>
      <c r="S16" s="19">
        <v>3528.1</v>
      </c>
      <c r="T16" s="19">
        <v>11.19</v>
      </c>
      <c r="U16" s="19">
        <v>61222</v>
      </c>
      <c r="V16" s="19">
        <v>422746</v>
      </c>
      <c r="W16" s="19">
        <v>10350</v>
      </c>
      <c r="X16" s="19">
        <v>287</v>
      </c>
      <c r="Y16" s="19">
        <v>1292832.5</v>
      </c>
      <c r="Z16" s="19">
        <v>244963.81</v>
      </c>
      <c r="AA16" s="19">
        <v>0</v>
      </c>
      <c r="AB16" s="19">
        <v>17772.580000000002</v>
      </c>
      <c r="AC16" s="19">
        <v>0</v>
      </c>
      <c r="AD16" s="19">
        <v>251972.03</v>
      </c>
      <c r="AE16" s="19">
        <v>222218.78</v>
      </c>
      <c r="AF16" s="19">
        <v>2781908.63</v>
      </c>
      <c r="AG16" s="19">
        <v>2515</v>
      </c>
      <c r="AH16" s="19">
        <v>2544039.6</v>
      </c>
      <c r="AI16" s="19">
        <v>3243040.92</v>
      </c>
      <c r="AJ16" s="19">
        <v>1645091.99</v>
      </c>
      <c r="AK16" s="19">
        <v>445</v>
      </c>
      <c r="AL16" s="19" t="s">
        <v>284</v>
      </c>
      <c r="AM16" s="19">
        <v>6</v>
      </c>
      <c r="AN16" s="19" t="s">
        <v>247</v>
      </c>
    </row>
    <row r="17" spans="1:40" x14ac:dyDescent="0.25">
      <c r="A17" s="87">
        <v>45108</v>
      </c>
      <c r="B17" s="87">
        <v>45138</v>
      </c>
      <c r="C17" s="19" t="s">
        <v>110</v>
      </c>
      <c r="D17" s="19" t="s">
        <v>311</v>
      </c>
      <c r="E17" s="19">
        <v>213515</v>
      </c>
      <c r="F17" s="19">
        <v>883968</v>
      </c>
      <c r="G17" s="19">
        <v>205733</v>
      </c>
      <c r="H17" s="19">
        <v>697707</v>
      </c>
      <c r="I17" s="19">
        <v>1520</v>
      </c>
      <c r="J17" s="19">
        <v>2137</v>
      </c>
      <c r="K17" s="19">
        <v>2294</v>
      </c>
      <c r="L17" s="19">
        <v>1173503</v>
      </c>
      <c r="M17" s="19">
        <v>284</v>
      </c>
      <c r="N17" s="19">
        <v>361</v>
      </c>
      <c r="O17" s="19">
        <v>331</v>
      </c>
      <c r="P17" s="19">
        <v>362</v>
      </c>
      <c r="Q17" s="19">
        <v>1763556.5</v>
      </c>
      <c r="R17" s="19">
        <v>368</v>
      </c>
      <c r="S17" s="19">
        <v>4132.05</v>
      </c>
      <c r="T17" s="19">
        <v>5.5</v>
      </c>
      <c r="U17" s="19">
        <v>32728</v>
      </c>
      <c r="V17" s="19">
        <v>210249</v>
      </c>
      <c r="W17" s="19">
        <v>4027</v>
      </c>
      <c r="X17" s="19">
        <v>84</v>
      </c>
      <c r="Y17" s="19">
        <v>394946.5</v>
      </c>
      <c r="Z17" s="19">
        <v>90638.51</v>
      </c>
      <c r="AA17" s="19">
        <v>0</v>
      </c>
      <c r="AB17" s="19">
        <v>3993.67</v>
      </c>
      <c r="AC17" s="19">
        <v>0</v>
      </c>
      <c r="AD17" s="19">
        <v>108662.06</v>
      </c>
      <c r="AE17" s="19">
        <v>85423.46</v>
      </c>
      <c r="AF17" s="19">
        <v>450481</v>
      </c>
      <c r="AG17" s="19">
        <v>945</v>
      </c>
      <c r="AH17" s="19">
        <v>477860.69</v>
      </c>
      <c r="AI17" s="19">
        <v>439998</v>
      </c>
      <c r="AJ17" s="19">
        <v>258962.31</v>
      </c>
      <c r="AK17" s="19">
        <v>116</v>
      </c>
      <c r="AL17" s="19" t="s">
        <v>283</v>
      </c>
      <c r="AM17" s="19">
        <v>7</v>
      </c>
      <c r="AN17" s="19" t="s">
        <v>247</v>
      </c>
    </row>
    <row r="18" spans="1:40" x14ac:dyDescent="0.25">
      <c r="A18" s="87">
        <v>45139</v>
      </c>
      <c r="B18" s="87">
        <v>45169</v>
      </c>
      <c r="C18" s="19" t="s">
        <v>110</v>
      </c>
      <c r="D18" s="19" t="s">
        <v>312</v>
      </c>
      <c r="E18" s="19">
        <v>211110</v>
      </c>
      <c r="F18" s="19">
        <v>905984</v>
      </c>
      <c r="G18" s="19">
        <v>200423</v>
      </c>
      <c r="H18" s="19">
        <v>689509</v>
      </c>
      <c r="I18" s="19">
        <v>1511</v>
      </c>
      <c r="J18" s="19">
        <v>2129</v>
      </c>
      <c r="K18" s="19">
        <v>2093</v>
      </c>
      <c r="L18" s="19">
        <v>1092734.51</v>
      </c>
      <c r="M18" s="19">
        <v>242</v>
      </c>
      <c r="N18" s="19">
        <v>303</v>
      </c>
      <c r="O18" s="19">
        <v>273</v>
      </c>
      <c r="P18" s="19">
        <v>305</v>
      </c>
      <c r="Q18" s="19">
        <v>1973385.51</v>
      </c>
      <c r="R18" s="19">
        <v>326</v>
      </c>
      <c r="S18" s="19">
        <v>4515.43</v>
      </c>
      <c r="T18" s="19">
        <v>5.18</v>
      </c>
      <c r="U18" s="19">
        <v>32238</v>
      </c>
      <c r="V18" s="19">
        <v>207233</v>
      </c>
      <c r="W18" s="19">
        <v>4110</v>
      </c>
      <c r="X18" s="19">
        <v>55</v>
      </c>
      <c r="Y18" s="19">
        <v>297596.5</v>
      </c>
      <c r="Z18" s="19">
        <v>89823.09</v>
      </c>
      <c r="AA18" s="19">
        <v>0</v>
      </c>
      <c r="AB18" s="19">
        <v>3001.37</v>
      </c>
      <c r="AC18" s="19">
        <v>0</v>
      </c>
      <c r="AD18" s="19">
        <v>100338.97</v>
      </c>
      <c r="AE18" s="19">
        <v>84121.77</v>
      </c>
      <c r="AF18" s="19">
        <v>565753.68999999994</v>
      </c>
      <c r="AG18" s="19">
        <v>1097</v>
      </c>
      <c r="AH18" s="19">
        <v>506032</v>
      </c>
      <c r="AI18" s="19">
        <v>207105.31</v>
      </c>
      <c r="AJ18" s="19">
        <v>118162.5</v>
      </c>
      <c r="AK18" s="19">
        <v>76</v>
      </c>
      <c r="AL18" s="19" t="s">
        <v>283</v>
      </c>
      <c r="AM18" s="19">
        <v>8</v>
      </c>
      <c r="AN18" s="19" t="s">
        <v>247</v>
      </c>
    </row>
    <row r="19" spans="1:40" x14ac:dyDescent="0.25">
      <c r="A19" s="87">
        <v>45170</v>
      </c>
      <c r="B19" s="87">
        <v>45199</v>
      </c>
      <c r="C19" s="19" t="s">
        <v>110</v>
      </c>
      <c r="D19" s="19" t="s">
        <v>313</v>
      </c>
      <c r="E19" s="19">
        <v>203538</v>
      </c>
      <c r="F19" s="19">
        <v>765964</v>
      </c>
      <c r="G19" s="19">
        <v>194717</v>
      </c>
      <c r="H19" s="19">
        <v>567202</v>
      </c>
      <c r="I19" s="19">
        <v>1481</v>
      </c>
      <c r="J19" s="19">
        <v>2082</v>
      </c>
      <c r="K19" s="19">
        <v>1945</v>
      </c>
      <c r="L19" s="19">
        <v>957144.51</v>
      </c>
      <c r="M19" s="19">
        <v>179</v>
      </c>
      <c r="N19" s="19">
        <v>217</v>
      </c>
      <c r="O19" s="19">
        <v>203</v>
      </c>
      <c r="P19" s="19">
        <v>219</v>
      </c>
      <c r="Q19" s="19">
        <v>1906729.51</v>
      </c>
      <c r="R19" s="19">
        <v>253</v>
      </c>
      <c r="S19" s="19">
        <v>5347.18</v>
      </c>
      <c r="T19" s="19">
        <v>4.7</v>
      </c>
      <c r="U19" s="19">
        <v>25668</v>
      </c>
      <c r="V19" s="19">
        <v>200582</v>
      </c>
      <c r="W19" s="19">
        <v>3225</v>
      </c>
      <c r="X19" s="19">
        <v>40</v>
      </c>
      <c r="Y19" s="19">
        <v>240735.5</v>
      </c>
      <c r="Z19" s="19">
        <v>69631.41</v>
      </c>
      <c r="AA19" s="19">
        <v>0</v>
      </c>
      <c r="AB19" s="19">
        <v>1103.95</v>
      </c>
      <c r="AC19" s="19">
        <v>0</v>
      </c>
      <c r="AD19" s="19">
        <v>101330.14</v>
      </c>
      <c r="AE19" s="19">
        <v>61470.080000000002</v>
      </c>
      <c r="AF19" s="19">
        <v>428355</v>
      </c>
      <c r="AG19" s="19">
        <v>2752</v>
      </c>
      <c r="AH19" s="19">
        <v>443672</v>
      </c>
      <c r="AI19" s="19">
        <v>43749.5</v>
      </c>
      <c r="AJ19" s="19">
        <v>25054.5</v>
      </c>
      <c r="AK19" s="19">
        <v>57</v>
      </c>
      <c r="AL19" s="19" t="s">
        <v>283</v>
      </c>
      <c r="AM19" s="19">
        <v>9</v>
      </c>
      <c r="AN19" s="19" t="s">
        <v>247</v>
      </c>
    </row>
    <row r="20" spans="1:40" x14ac:dyDescent="0.25">
      <c r="A20" s="87">
        <v>45200</v>
      </c>
      <c r="B20" s="87">
        <v>45230</v>
      </c>
      <c r="C20" s="19" t="s">
        <v>110</v>
      </c>
      <c r="D20" s="19" t="s">
        <v>314</v>
      </c>
      <c r="E20" s="19">
        <v>454936</v>
      </c>
      <c r="F20" s="19">
        <v>2370721</v>
      </c>
      <c r="G20" s="19">
        <v>322255</v>
      </c>
      <c r="H20" s="19">
        <v>1579049</v>
      </c>
      <c r="I20" s="19">
        <v>3938</v>
      </c>
      <c r="J20" s="19">
        <v>6332</v>
      </c>
      <c r="K20" s="19">
        <v>7462</v>
      </c>
      <c r="L20" s="19">
        <v>7114440</v>
      </c>
      <c r="M20" s="19">
        <v>1411</v>
      </c>
      <c r="N20" s="19">
        <v>2045</v>
      </c>
      <c r="O20" s="19">
        <v>1870</v>
      </c>
      <c r="P20" s="19">
        <v>2065</v>
      </c>
      <c r="Q20" s="19">
        <v>10584095.91</v>
      </c>
      <c r="R20" s="19">
        <v>1686</v>
      </c>
      <c r="S20" s="19">
        <v>5042.13</v>
      </c>
      <c r="T20" s="19">
        <v>15.64</v>
      </c>
      <c r="U20" s="19">
        <v>71024</v>
      </c>
      <c r="V20" s="19">
        <v>452974</v>
      </c>
      <c r="W20" s="19">
        <v>17411</v>
      </c>
      <c r="X20" s="19">
        <v>352</v>
      </c>
      <c r="Y20" s="19">
        <v>2267713</v>
      </c>
      <c r="Z20" s="19">
        <v>163136.54999999999</v>
      </c>
      <c r="AA20" s="19">
        <v>0</v>
      </c>
      <c r="AB20" s="19">
        <v>2893.19</v>
      </c>
      <c r="AC20" s="19">
        <v>0</v>
      </c>
      <c r="AD20" s="19">
        <v>254404.61</v>
      </c>
      <c r="AE20" s="19">
        <v>250991.11</v>
      </c>
      <c r="AF20" s="19">
        <v>2434010</v>
      </c>
      <c r="AG20" s="19">
        <v>3169</v>
      </c>
      <c r="AH20" s="19">
        <v>3859977.93</v>
      </c>
      <c r="AI20" s="19">
        <v>5039380.08</v>
      </c>
      <c r="AJ20" s="19">
        <v>2483763.8199999998</v>
      </c>
      <c r="AK20" s="19">
        <v>649</v>
      </c>
      <c r="AL20" s="19" t="s">
        <v>286</v>
      </c>
      <c r="AM20" s="19">
        <v>10</v>
      </c>
      <c r="AN20" s="19" t="s">
        <v>247</v>
      </c>
    </row>
    <row r="21" spans="1:40" x14ac:dyDescent="0.25">
      <c r="A21" s="87">
        <v>45231</v>
      </c>
      <c r="B21" s="87">
        <v>45260</v>
      </c>
      <c r="C21" s="19" t="s">
        <v>110</v>
      </c>
      <c r="D21" s="19" t="s">
        <v>315</v>
      </c>
      <c r="E21" s="19">
        <v>417400</v>
      </c>
      <c r="F21" s="19">
        <v>2172761</v>
      </c>
      <c r="G21" s="19">
        <v>347100</v>
      </c>
      <c r="H21" s="19">
        <v>1546537</v>
      </c>
      <c r="I21" s="19">
        <v>3657</v>
      </c>
      <c r="J21" s="19">
        <v>5645</v>
      </c>
      <c r="K21" s="19">
        <v>7953</v>
      </c>
      <c r="L21" s="19">
        <v>10719855.51</v>
      </c>
      <c r="M21" s="19">
        <v>2026</v>
      </c>
      <c r="N21" s="19">
        <v>2783</v>
      </c>
      <c r="O21" s="19">
        <v>2543</v>
      </c>
      <c r="P21" s="19">
        <v>2803</v>
      </c>
      <c r="Q21" s="19">
        <v>14757653.51</v>
      </c>
      <c r="R21" s="19">
        <v>2217</v>
      </c>
      <c r="S21" s="19">
        <v>5291.14</v>
      </c>
      <c r="T21" s="19">
        <v>25.68</v>
      </c>
      <c r="U21" s="19">
        <v>72260</v>
      </c>
      <c r="V21" s="19">
        <v>403909</v>
      </c>
      <c r="W21" s="19">
        <v>15070</v>
      </c>
      <c r="X21" s="19">
        <v>529</v>
      </c>
      <c r="Y21" s="19">
        <v>3500066.5</v>
      </c>
      <c r="Z21" s="19">
        <v>181278.03</v>
      </c>
      <c r="AA21" s="19">
        <v>0</v>
      </c>
      <c r="AB21" s="19">
        <v>68181.67</v>
      </c>
      <c r="AC21" s="19">
        <v>0</v>
      </c>
      <c r="AD21" s="19">
        <v>238754.66</v>
      </c>
      <c r="AE21" s="19">
        <v>192367.2</v>
      </c>
      <c r="AF21" s="19">
        <v>8073210.0599999996</v>
      </c>
      <c r="AG21" s="19">
        <v>4643</v>
      </c>
      <c r="AH21" s="19">
        <v>6729138.5499999998</v>
      </c>
      <c r="AI21" s="19">
        <v>7382220.4299999997</v>
      </c>
      <c r="AJ21" s="19">
        <v>2997365.22</v>
      </c>
      <c r="AK21" s="19">
        <v>913</v>
      </c>
      <c r="AL21" s="19" t="s">
        <v>286</v>
      </c>
      <c r="AM21" s="19">
        <v>11</v>
      </c>
      <c r="AN21" s="19" t="s">
        <v>247</v>
      </c>
    </row>
    <row r="22" spans="1:40" x14ac:dyDescent="0.25">
      <c r="A22" s="87">
        <v>45261</v>
      </c>
      <c r="B22" s="87">
        <v>45291</v>
      </c>
      <c r="C22" s="19" t="s">
        <v>110</v>
      </c>
      <c r="D22" s="19" t="s">
        <v>316</v>
      </c>
      <c r="E22" s="19">
        <v>476633</v>
      </c>
      <c r="F22" s="19">
        <v>1982913</v>
      </c>
      <c r="G22" s="19">
        <v>224399</v>
      </c>
      <c r="H22" s="19">
        <v>1032662</v>
      </c>
      <c r="I22" s="19">
        <v>2571</v>
      </c>
      <c r="J22" s="19">
        <v>3919</v>
      </c>
      <c r="K22" s="19">
        <v>4168</v>
      </c>
      <c r="L22" s="19">
        <v>4684883.05</v>
      </c>
      <c r="M22" s="19">
        <v>726</v>
      </c>
      <c r="N22" s="19">
        <v>1051</v>
      </c>
      <c r="O22" s="19">
        <v>932</v>
      </c>
      <c r="P22" s="19">
        <v>1055</v>
      </c>
      <c r="Q22" s="19">
        <v>6777540.0499999998</v>
      </c>
      <c r="R22" s="19">
        <v>855</v>
      </c>
      <c r="S22" s="19">
        <v>6453.01</v>
      </c>
      <c r="T22" s="19">
        <v>9.83</v>
      </c>
      <c r="U22" s="19">
        <v>116945</v>
      </c>
      <c r="V22" s="19">
        <v>471375</v>
      </c>
      <c r="W22" s="19">
        <v>8390</v>
      </c>
      <c r="X22" s="19">
        <v>242</v>
      </c>
      <c r="Y22" s="19">
        <v>1746577.5</v>
      </c>
      <c r="Z22" s="19">
        <v>82743.95</v>
      </c>
      <c r="AA22" s="19">
        <v>0</v>
      </c>
      <c r="AB22" s="19">
        <v>17889.060000000001</v>
      </c>
      <c r="AC22" s="19">
        <v>0</v>
      </c>
      <c r="AD22" s="19">
        <v>103761.41</v>
      </c>
      <c r="AE22" s="19">
        <v>96448.56</v>
      </c>
      <c r="AF22" s="19">
        <v>2392292.16</v>
      </c>
      <c r="AG22" s="19">
        <v>2543</v>
      </c>
      <c r="AH22" s="19">
        <v>2522504.66</v>
      </c>
      <c r="AI22" s="19">
        <v>2715771.68</v>
      </c>
      <c r="AJ22" s="19">
        <v>1291936.02</v>
      </c>
      <c r="AK22" s="19">
        <v>418</v>
      </c>
      <c r="AL22" s="19" t="s">
        <v>286</v>
      </c>
      <c r="AM22" s="19">
        <v>12</v>
      </c>
      <c r="AN22" s="19" t="s">
        <v>247</v>
      </c>
    </row>
    <row r="23" spans="1:40" x14ac:dyDescent="0.25">
      <c r="A23" s="87">
        <v>45292</v>
      </c>
      <c r="B23" s="87">
        <v>45322</v>
      </c>
      <c r="C23" s="19" t="s">
        <v>110</v>
      </c>
      <c r="D23" s="19" t="s">
        <v>317</v>
      </c>
      <c r="E23" s="19">
        <v>211737</v>
      </c>
      <c r="F23" s="19">
        <v>1265528</v>
      </c>
      <c r="G23" s="19">
        <v>201039</v>
      </c>
      <c r="H23" s="19">
        <v>941096</v>
      </c>
      <c r="I23" s="19">
        <v>2053</v>
      </c>
      <c r="J23" s="19">
        <v>3282</v>
      </c>
      <c r="K23" s="19">
        <v>3260</v>
      </c>
      <c r="L23" s="19">
        <v>3130181.5</v>
      </c>
      <c r="M23" s="19">
        <v>426</v>
      </c>
      <c r="N23" s="19">
        <v>548</v>
      </c>
      <c r="O23" s="19">
        <v>510</v>
      </c>
      <c r="P23" s="19">
        <v>584</v>
      </c>
      <c r="Q23" s="19">
        <v>4548767.5</v>
      </c>
      <c r="R23" s="19">
        <v>494</v>
      </c>
      <c r="S23" s="19">
        <v>7347.84</v>
      </c>
      <c r="T23" s="19">
        <v>14.78</v>
      </c>
      <c r="U23" s="19">
        <v>43235</v>
      </c>
      <c r="V23" s="19">
        <v>207907</v>
      </c>
      <c r="W23" s="19">
        <v>6078</v>
      </c>
      <c r="X23" s="19">
        <v>127</v>
      </c>
      <c r="Y23" s="19">
        <v>1229145.5</v>
      </c>
      <c r="Z23" s="19">
        <v>79197.22</v>
      </c>
      <c r="AA23" s="19">
        <v>0</v>
      </c>
      <c r="AB23" s="19">
        <v>10390.98</v>
      </c>
      <c r="AC23" s="19">
        <v>0</v>
      </c>
      <c r="AD23" s="19">
        <v>108720.04</v>
      </c>
      <c r="AE23" s="19">
        <v>95597.23</v>
      </c>
      <c r="AF23" s="19">
        <v>1469305.3</v>
      </c>
      <c r="AG23" s="19">
        <v>1444</v>
      </c>
      <c r="AH23" s="19">
        <v>1375737.65</v>
      </c>
      <c r="AI23" s="19">
        <v>1232461.5</v>
      </c>
      <c r="AJ23" s="19">
        <v>632407.5</v>
      </c>
      <c r="AK23" s="19">
        <v>185</v>
      </c>
      <c r="AL23" s="19" t="s">
        <v>285</v>
      </c>
      <c r="AM23" s="19">
        <v>1</v>
      </c>
      <c r="AN23" s="19" t="s">
        <v>247</v>
      </c>
    </row>
    <row r="24" spans="1:40" x14ac:dyDescent="0.25">
      <c r="A24" s="87">
        <v>45323</v>
      </c>
      <c r="B24" s="87">
        <v>45351</v>
      </c>
      <c r="C24" s="19" t="s">
        <v>110</v>
      </c>
      <c r="D24" s="19" t="s">
        <v>318</v>
      </c>
      <c r="E24" s="19">
        <v>185049</v>
      </c>
      <c r="F24" s="19">
        <v>939134</v>
      </c>
      <c r="G24" s="19">
        <v>175236</v>
      </c>
      <c r="H24" s="19">
        <v>706439</v>
      </c>
      <c r="I24" s="19">
        <v>1482</v>
      </c>
      <c r="J24" s="19">
        <v>2441</v>
      </c>
      <c r="K24" s="19">
        <v>1886</v>
      </c>
      <c r="L24" s="19">
        <v>1275019</v>
      </c>
      <c r="M24" s="19">
        <v>188</v>
      </c>
      <c r="N24" s="19">
        <v>229</v>
      </c>
      <c r="O24" s="19">
        <v>223</v>
      </c>
      <c r="P24" s="19">
        <v>237</v>
      </c>
      <c r="Q24" s="19">
        <v>2273010</v>
      </c>
      <c r="R24" s="19">
        <v>249</v>
      </c>
      <c r="S24" s="19">
        <v>6782.02</v>
      </c>
      <c r="T24" s="19">
        <v>6.89</v>
      </c>
      <c r="U24" s="19">
        <v>39227</v>
      </c>
      <c r="V24" s="19">
        <v>180985</v>
      </c>
      <c r="W24" s="19">
        <v>3179</v>
      </c>
      <c r="X24" s="19">
        <v>49</v>
      </c>
      <c r="Y24" s="19">
        <v>454515</v>
      </c>
      <c r="Z24" s="19">
        <v>56256.92</v>
      </c>
      <c r="AA24" s="19">
        <v>0</v>
      </c>
      <c r="AB24" s="19">
        <v>4047.07</v>
      </c>
      <c r="AC24" s="19">
        <v>0</v>
      </c>
      <c r="AD24" s="19">
        <v>72958.350000000006</v>
      </c>
      <c r="AE24" s="19">
        <v>68689.289999999994</v>
      </c>
      <c r="AF24" s="19">
        <v>793490.5</v>
      </c>
      <c r="AG24" s="19">
        <v>988</v>
      </c>
      <c r="AH24" s="19">
        <v>612735</v>
      </c>
      <c r="AI24" s="19">
        <v>0</v>
      </c>
      <c r="AJ24" s="19">
        <v>0</v>
      </c>
      <c r="AK24" s="19">
        <v>65</v>
      </c>
      <c r="AL24" s="19" t="s">
        <v>285</v>
      </c>
      <c r="AM24" s="19">
        <v>2</v>
      </c>
      <c r="AN24" s="19" t="s">
        <v>247</v>
      </c>
    </row>
    <row r="25" spans="1:40" x14ac:dyDescent="0.25">
      <c r="A25" s="87">
        <v>45352</v>
      </c>
      <c r="B25" s="87">
        <v>45382</v>
      </c>
      <c r="C25" s="19" t="s">
        <v>110</v>
      </c>
      <c r="D25" s="19" t="s">
        <v>538</v>
      </c>
      <c r="E25" s="19">
        <v>162762</v>
      </c>
      <c r="F25" s="19">
        <v>954546</v>
      </c>
      <c r="G25" s="19">
        <v>147924</v>
      </c>
      <c r="H25" s="19">
        <v>678677</v>
      </c>
      <c r="I25" s="19">
        <v>1383</v>
      </c>
      <c r="J25" s="19">
        <v>2214</v>
      </c>
      <c r="K25" s="19">
        <v>2007</v>
      </c>
      <c r="L25" s="19">
        <v>1344970.01</v>
      </c>
      <c r="M25" s="19">
        <v>196</v>
      </c>
      <c r="N25" s="19">
        <v>261</v>
      </c>
      <c r="O25" s="19">
        <v>228</v>
      </c>
      <c r="P25" s="19">
        <v>281</v>
      </c>
      <c r="Q25" s="19">
        <v>2113530.0099999998</v>
      </c>
      <c r="R25" s="19">
        <v>254</v>
      </c>
      <c r="S25" s="19">
        <v>6862.09</v>
      </c>
      <c r="T25" s="19">
        <v>8.26</v>
      </c>
      <c r="U25" s="19">
        <v>34274</v>
      </c>
      <c r="V25" s="19">
        <v>158939</v>
      </c>
      <c r="W25" s="19">
        <v>3537</v>
      </c>
      <c r="X25" s="19">
        <v>60</v>
      </c>
      <c r="Y25" s="19">
        <v>384090</v>
      </c>
      <c r="Z25" s="19">
        <v>71728.2</v>
      </c>
      <c r="AA25" s="19">
        <v>0</v>
      </c>
      <c r="AB25" s="19">
        <v>3656.83</v>
      </c>
      <c r="AD25" s="19">
        <v>84332.62</v>
      </c>
      <c r="AE25" s="19">
        <v>70546.2</v>
      </c>
      <c r="AF25" s="19">
        <v>681992.67</v>
      </c>
      <c r="AG25" s="19">
        <v>1202</v>
      </c>
      <c r="AH25" s="19">
        <v>664611.67000000004</v>
      </c>
      <c r="AI25" s="19">
        <v>0</v>
      </c>
      <c r="AJ25" s="19">
        <v>0</v>
      </c>
      <c r="AK25" s="19">
        <v>87</v>
      </c>
      <c r="AL25" s="19" t="s">
        <v>285</v>
      </c>
      <c r="AM25" s="19">
        <v>3</v>
      </c>
      <c r="AN25" s="19" t="s">
        <v>247</v>
      </c>
    </row>
    <row r="26" spans="1:40" x14ac:dyDescent="0.25">
      <c r="A26" s="87">
        <v>45383</v>
      </c>
      <c r="B26" s="87">
        <v>45412</v>
      </c>
      <c r="C26" s="19" t="s">
        <v>110</v>
      </c>
      <c r="D26" s="19" t="s">
        <v>319</v>
      </c>
      <c r="E26" s="19">
        <v>169879</v>
      </c>
      <c r="F26" s="19">
        <v>886382</v>
      </c>
      <c r="G26" s="19">
        <v>158733</v>
      </c>
      <c r="H26" s="19">
        <v>643596</v>
      </c>
      <c r="I26" s="19">
        <v>1545</v>
      </c>
      <c r="J26" s="19">
        <v>2521</v>
      </c>
      <c r="K26" s="19">
        <v>2074</v>
      </c>
      <c r="L26" s="19">
        <v>1159675</v>
      </c>
      <c r="M26" s="19">
        <v>187</v>
      </c>
      <c r="N26" s="19">
        <v>266</v>
      </c>
      <c r="O26" s="19">
        <v>240</v>
      </c>
      <c r="P26" s="19">
        <v>304</v>
      </c>
      <c r="Q26" s="19">
        <v>1744430</v>
      </c>
      <c r="R26" s="19">
        <v>245</v>
      </c>
      <c r="S26" s="19">
        <v>6201.47</v>
      </c>
      <c r="T26" s="19">
        <v>6.83</v>
      </c>
      <c r="U26" s="19">
        <v>36130</v>
      </c>
      <c r="V26" s="19">
        <v>165639</v>
      </c>
      <c r="W26" s="19">
        <v>3562</v>
      </c>
      <c r="X26" s="19">
        <v>69</v>
      </c>
      <c r="Y26" s="19">
        <v>422115</v>
      </c>
      <c r="Z26" s="19">
        <v>93002.6</v>
      </c>
      <c r="AA26" s="19">
        <v>0</v>
      </c>
      <c r="AB26" s="19">
        <v>3111.35</v>
      </c>
      <c r="AC26" s="19">
        <v>0</v>
      </c>
      <c r="AD26" s="19">
        <v>96809.05</v>
      </c>
      <c r="AE26" s="19">
        <v>65957.740000000005</v>
      </c>
      <c r="AF26" s="19">
        <v>635506.35</v>
      </c>
      <c r="AG26" s="19">
        <v>1103</v>
      </c>
      <c r="AH26" s="19">
        <v>580771.35</v>
      </c>
      <c r="AI26" s="19">
        <v>0</v>
      </c>
      <c r="AJ26" s="19">
        <v>0</v>
      </c>
      <c r="AK26" s="19">
        <v>100</v>
      </c>
      <c r="AL26" s="19" t="s">
        <v>284</v>
      </c>
      <c r="AM26" s="19">
        <v>4</v>
      </c>
      <c r="AN26" s="19" t="s">
        <v>246</v>
      </c>
    </row>
    <row r="27" spans="1:40" x14ac:dyDescent="0.25">
      <c r="A27" s="87">
        <v>45413</v>
      </c>
      <c r="B27" s="87">
        <v>45443</v>
      </c>
      <c r="C27" s="19" t="s">
        <v>110</v>
      </c>
      <c r="D27" s="19" t="s">
        <v>320</v>
      </c>
      <c r="E27" s="19">
        <v>585673</v>
      </c>
      <c r="F27" s="19">
        <v>2590076</v>
      </c>
      <c r="G27" s="19">
        <v>381089</v>
      </c>
      <c r="H27" s="19">
        <v>1769286</v>
      </c>
      <c r="I27" s="19">
        <v>3283</v>
      </c>
      <c r="J27" s="19">
        <v>5455</v>
      </c>
      <c r="K27" s="19">
        <v>6993</v>
      </c>
      <c r="L27" s="19">
        <v>5859405.5</v>
      </c>
      <c r="M27" s="19">
        <v>1562</v>
      </c>
      <c r="N27" s="19">
        <v>2401</v>
      </c>
      <c r="O27" s="19">
        <v>2057</v>
      </c>
      <c r="P27" s="19">
        <v>2429</v>
      </c>
      <c r="Q27" s="19">
        <v>8011063.5</v>
      </c>
      <c r="R27" s="19">
        <v>1843</v>
      </c>
      <c r="S27" s="19">
        <v>3751.22</v>
      </c>
      <c r="T27" s="19">
        <v>10</v>
      </c>
      <c r="U27" s="19">
        <v>99181</v>
      </c>
      <c r="V27" s="19">
        <v>581855</v>
      </c>
      <c r="W27" s="19">
        <v>14706</v>
      </c>
      <c r="X27" s="19">
        <v>473</v>
      </c>
      <c r="Y27" s="19">
        <v>2022697</v>
      </c>
      <c r="Z27" s="19">
        <v>226084.87</v>
      </c>
      <c r="AA27" s="19">
        <v>0</v>
      </c>
      <c r="AB27" s="19">
        <v>14027.21</v>
      </c>
      <c r="AC27" s="19">
        <v>0</v>
      </c>
      <c r="AD27" s="19">
        <v>270214.83</v>
      </c>
      <c r="AE27" s="19">
        <v>175000.57</v>
      </c>
      <c r="AF27" s="19">
        <v>2730239.21</v>
      </c>
      <c r="AG27" s="19">
        <v>2664</v>
      </c>
      <c r="AH27" s="19">
        <v>3334251.03</v>
      </c>
      <c r="AI27" s="19">
        <v>3663205.33</v>
      </c>
      <c r="AJ27" s="19">
        <v>1701594.07</v>
      </c>
      <c r="AK27" s="19">
        <v>911</v>
      </c>
      <c r="AL27" s="19" t="s">
        <v>284</v>
      </c>
      <c r="AM27" s="19">
        <v>5</v>
      </c>
      <c r="AN27" s="19" t="s">
        <v>246</v>
      </c>
    </row>
    <row r="28" spans="1:40" x14ac:dyDescent="0.25">
      <c r="A28" s="87">
        <v>45444</v>
      </c>
      <c r="B28" s="87">
        <v>45473</v>
      </c>
      <c r="C28" s="19" t="s">
        <v>110</v>
      </c>
      <c r="D28" s="19" t="s">
        <v>321</v>
      </c>
      <c r="E28" s="19">
        <v>558983</v>
      </c>
      <c r="F28" s="19">
        <v>2498695</v>
      </c>
      <c r="G28" s="19">
        <v>376977</v>
      </c>
      <c r="H28" s="19">
        <v>1744131</v>
      </c>
      <c r="I28" s="19">
        <v>3625</v>
      </c>
      <c r="J28" s="19">
        <v>5926</v>
      </c>
      <c r="K28" s="19">
        <v>6607</v>
      </c>
      <c r="L28" s="19">
        <v>5232944</v>
      </c>
      <c r="M28" s="19">
        <v>1411</v>
      </c>
      <c r="N28" s="19">
        <v>1953</v>
      </c>
      <c r="O28" s="19">
        <v>1703</v>
      </c>
      <c r="P28" s="19">
        <v>2030</v>
      </c>
      <c r="Q28" s="19">
        <v>7897526</v>
      </c>
      <c r="R28" s="19">
        <v>1728</v>
      </c>
      <c r="S28" s="19">
        <v>3708.68</v>
      </c>
      <c r="T28" s="19">
        <v>9.36</v>
      </c>
      <c r="U28" s="19">
        <v>117059</v>
      </c>
      <c r="V28" s="19">
        <v>545991</v>
      </c>
      <c r="W28" s="19">
        <v>12059</v>
      </c>
      <c r="X28" s="19">
        <v>388</v>
      </c>
      <c r="Y28" s="19">
        <v>1496209.5</v>
      </c>
      <c r="Z28" s="19">
        <v>212153.89</v>
      </c>
      <c r="AA28" s="19">
        <v>0</v>
      </c>
      <c r="AB28" s="19">
        <v>23935.06</v>
      </c>
      <c r="AC28" s="19">
        <v>0</v>
      </c>
      <c r="AD28" s="19">
        <v>186078.91</v>
      </c>
      <c r="AE28" s="19">
        <v>133575.1</v>
      </c>
      <c r="AF28" s="19">
        <v>3808268.51</v>
      </c>
      <c r="AG28" s="19">
        <v>2271</v>
      </c>
      <c r="AH28" s="19">
        <v>3247424.9</v>
      </c>
      <c r="AI28" s="19">
        <v>3192335.58</v>
      </c>
      <c r="AJ28" s="19">
        <v>1355349.61</v>
      </c>
      <c r="AK28" s="19">
        <v>604</v>
      </c>
      <c r="AL28" s="19" t="s">
        <v>284</v>
      </c>
      <c r="AM28" s="19">
        <v>6</v>
      </c>
      <c r="AN28" s="19" t="s">
        <v>246</v>
      </c>
    </row>
    <row r="29" spans="1:40" x14ac:dyDescent="0.25">
      <c r="A29" s="87">
        <v>45474</v>
      </c>
      <c r="B29" s="87">
        <v>45504</v>
      </c>
      <c r="C29" s="19" t="s">
        <v>110</v>
      </c>
      <c r="D29" s="19" t="s">
        <v>322</v>
      </c>
      <c r="E29" s="19">
        <v>255156</v>
      </c>
      <c r="F29" s="19">
        <v>1424723</v>
      </c>
      <c r="G29" s="19">
        <v>194269</v>
      </c>
      <c r="H29" s="19">
        <v>1093412</v>
      </c>
      <c r="I29" s="19">
        <v>2174</v>
      </c>
      <c r="J29" s="19">
        <v>3481</v>
      </c>
      <c r="K29" s="19">
        <v>2598</v>
      </c>
      <c r="L29" s="19">
        <v>1300035</v>
      </c>
      <c r="M29" s="19">
        <v>247</v>
      </c>
      <c r="N29" s="19">
        <v>322</v>
      </c>
      <c r="O29" s="19">
        <v>299</v>
      </c>
      <c r="P29" s="19">
        <v>334</v>
      </c>
      <c r="Q29" s="19">
        <v>2754690</v>
      </c>
      <c r="R29" s="19">
        <v>374</v>
      </c>
      <c r="S29" s="19">
        <v>5263.3</v>
      </c>
      <c r="T29" s="19">
        <v>5.0999999999999996</v>
      </c>
      <c r="U29" s="19">
        <v>56243</v>
      </c>
      <c r="V29" s="19">
        <v>248243</v>
      </c>
      <c r="W29" s="19">
        <v>4606</v>
      </c>
      <c r="X29" s="19">
        <v>70</v>
      </c>
      <c r="Y29" s="19">
        <v>444695</v>
      </c>
      <c r="Z29" s="19">
        <v>94961.44</v>
      </c>
      <c r="AA29" s="19">
        <v>0</v>
      </c>
      <c r="AB29" s="19">
        <v>4922.0600000000004</v>
      </c>
      <c r="AC29" s="19">
        <v>0</v>
      </c>
      <c r="AD29" s="19">
        <v>89532.68</v>
      </c>
      <c r="AE29" s="19">
        <v>73324.14</v>
      </c>
      <c r="AF29" s="19">
        <v>634356.09</v>
      </c>
      <c r="AG29" s="19">
        <v>1250</v>
      </c>
      <c r="AH29" s="19">
        <v>615350.96</v>
      </c>
      <c r="AI29" s="19">
        <v>271625</v>
      </c>
      <c r="AJ29" s="19">
        <v>146790</v>
      </c>
      <c r="AK29" s="19">
        <v>101</v>
      </c>
      <c r="AL29" s="19" t="s">
        <v>283</v>
      </c>
      <c r="AM29" s="19">
        <v>7</v>
      </c>
      <c r="AN29" s="19" t="s">
        <v>246</v>
      </c>
    </row>
    <row r="30" spans="1:40" x14ac:dyDescent="0.25">
      <c r="A30" s="87">
        <v>45505</v>
      </c>
      <c r="B30" s="87">
        <v>45535</v>
      </c>
      <c r="C30" s="19" t="s">
        <v>110</v>
      </c>
      <c r="D30" s="19" t="s">
        <v>340</v>
      </c>
      <c r="E30" s="19">
        <v>219420</v>
      </c>
      <c r="F30" s="19">
        <v>1057984</v>
      </c>
      <c r="G30" s="19">
        <v>190583</v>
      </c>
      <c r="H30" s="19">
        <v>793698</v>
      </c>
      <c r="I30" s="19">
        <v>2604</v>
      </c>
      <c r="J30" s="19">
        <v>4309</v>
      </c>
      <c r="K30" s="19">
        <v>2390</v>
      </c>
      <c r="L30" s="19">
        <v>1072600</v>
      </c>
      <c r="M30" s="19">
        <v>174</v>
      </c>
      <c r="N30" s="19">
        <v>211</v>
      </c>
      <c r="O30" s="19">
        <v>201</v>
      </c>
      <c r="P30" s="19">
        <v>244</v>
      </c>
      <c r="Q30" s="19">
        <v>2716110</v>
      </c>
      <c r="R30" s="19">
        <v>306</v>
      </c>
      <c r="S30" s="19">
        <v>6164.37</v>
      </c>
      <c r="T30" s="19">
        <v>4.8899999999999997</v>
      </c>
      <c r="U30" s="19">
        <v>42268</v>
      </c>
      <c r="V30" s="19">
        <v>211455</v>
      </c>
      <c r="W30" s="19">
        <v>4124</v>
      </c>
      <c r="X30" s="19">
        <v>51</v>
      </c>
      <c r="Y30" s="19">
        <v>406250</v>
      </c>
      <c r="Z30" s="19">
        <v>95617.89</v>
      </c>
      <c r="AA30" s="19">
        <v>0</v>
      </c>
      <c r="AB30" s="19">
        <v>4039.9</v>
      </c>
      <c r="AC30" s="19">
        <v>0</v>
      </c>
      <c r="AD30" s="19">
        <v>85611.66</v>
      </c>
      <c r="AE30" s="19">
        <v>64261.66</v>
      </c>
      <c r="AF30" s="19">
        <v>524851.6</v>
      </c>
      <c r="AG30" s="19">
        <v>1249</v>
      </c>
      <c r="AH30" s="19">
        <v>501215</v>
      </c>
      <c r="AI30" s="19">
        <v>0</v>
      </c>
      <c r="AJ30" s="19">
        <v>0</v>
      </c>
      <c r="AK30" s="19">
        <v>69</v>
      </c>
      <c r="AL30" s="19" t="s">
        <v>283</v>
      </c>
      <c r="AM30" s="19">
        <v>8</v>
      </c>
      <c r="AN30" s="19" t="s">
        <v>246</v>
      </c>
    </row>
    <row r="31" spans="1:40" x14ac:dyDescent="0.25">
      <c r="A31" s="87">
        <v>45536</v>
      </c>
      <c r="B31" s="87">
        <v>45565</v>
      </c>
      <c r="C31" s="19" t="s">
        <v>110</v>
      </c>
      <c r="D31" s="19" t="s">
        <v>357</v>
      </c>
      <c r="E31" s="19">
        <v>204373</v>
      </c>
      <c r="F31" s="19">
        <v>862091</v>
      </c>
      <c r="G31" s="19">
        <v>178928</v>
      </c>
      <c r="H31" s="19">
        <v>611509</v>
      </c>
      <c r="I31" s="19">
        <v>2471</v>
      </c>
      <c r="J31" s="19">
        <v>4533</v>
      </c>
      <c r="K31" s="19">
        <v>2480</v>
      </c>
      <c r="L31" s="19">
        <v>885540</v>
      </c>
      <c r="M31" s="19">
        <v>164</v>
      </c>
      <c r="N31" s="19">
        <v>202</v>
      </c>
      <c r="O31" s="19">
        <v>182</v>
      </c>
      <c r="P31" s="19">
        <v>239</v>
      </c>
      <c r="Q31" s="19">
        <v>2640940</v>
      </c>
      <c r="R31" s="19">
        <v>301</v>
      </c>
      <c r="S31" s="19">
        <v>5399.63</v>
      </c>
      <c r="T31" s="19">
        <v>4.33</v>
      </c>
      <c r="U31" s="19">
        <v>30678</v>
      </c>
      <c r="V31" s="19">
        <v>200282</v>
      </c>
      <c r="W31" s="19">
        <v>4892</v>
      </c>
      <c r="X31" s="19">
        <v>48</v>
      </c>
      <c r="Y31" s="19">
        <v>307330</v>
      </c>
      <c r="Z31" s="19">
        <v>113875.84</v>
      </c>
      <c r="AA31" s="19">
        <v>0</v>
      </c>
      <c r="AB31" s="19">
        <v>2051.9</v>
      </c>
      <c r="AC31" s="19">
        <v>0</v>
      </c>
      <c r="AD31" s="19">
        <v>81455.03</v>
      </c>
      <c r="AE31" s="19">
        <v>67231.62</v>
      </c>
      <c r="AF31" s="19">
        <v>427880</v>
      </c>
      <c r="AG31" s="19">
        <v>1221</v>
      </c>
      <c r="AH31" s="19">
        <v>492530.88</v>
      </c>
      <c r="AI31" s="19">
        <v>0</v>
      </c>
      <c r="AJ31" s="19">
        <v>0</v>
      </c>
      <c r="AK31" s="19">
        <v>63</v>
      </c>
      <c r="AL31" s="19" t="s">
        <v>283</v>
      </c>
      <c r="AM31" s="19">
        <v>9</v>
      </c>
      <c r="AN31" s="19" t="s">
        <v>246</v>
      </c>
    </row>
    <row r="32" spans="1:40" x14ac:dyDescent="0.25">
      <c r="A32" s="87">
        <v>45566</v>
      </c>
      <c r="B32" s="87">
        <v>45596</v>
      </c>
      <c r="C32" s="19" t="s">
        <v>110</v>
      </c>
      <c r="D32" s="19" t="s">
        <v>366</v>
      </c>
      <c r="E32" s="19">
        <v>417716</v>
      </c>
      <c r="F32" s="19">
        <v>2807128</v>
      </c>
      <c r="G32" s="19">
        <v>333384</v>
      </c>
      <c r="H32" s="19">
        <v>2013500</v>
      </c>
      <c r="I32" s="19">
        <v>5541</v>
      </c>
      <c r="J32" s="19">
        <v>10732</v>
      </c>
      <c r="K32" s="19">
        <v>14269</v>
      </c>
      <c r="L32" s="19">
        <v>16373566</v>
      </c>
      <c r="M32" s="19">
        <v>2883</v>
      </c>
      <c r="N32" s="19">
        <v>4121</v>
      </c>
      <c r="O32" s="19">
        <v>3721</v>
      </c>
      <c r="P32" s="19">
        <v>4230</v>
      </c>
      <c r="Q32" s="19">
        <v>24173906.760000002</v>
      </c>
      <c r="R32" s="19">
        <v>3452</v>
      </c>
      <c r="S32" s="19">
        <v>5679.35</v>
      </c>
      <c r="T32" s="19">
        <v>39.200000000000003</v>
      </c>
      <c r="U32" s="19">
        <v>70319</v>
      </c>
      <c r="V32" s="19">
        <v>414927</v>
      </c>
      <c r="W32" s="19">
        <v>32287</v>
      </c>
      <c r="X32" s="19">
        <v>663</v>
      </c>
      <c r="Y32" s="19">
        <v>5088186.5</v>
      </c>
      <c r="Z32" s="19">
        <v>271112.3</v>
      </c>
      <c r="AA32" s="19">
        <v>0</v>
      </c>
      <c r="AB32" s="19">
        <v>24898.78</v>
      </c>
      <c r="AC32" s="19">
        <v>0</v>
      </c>
      <c r="AD32" s="19">
        <v>271496.25</v>
      </c>
      <c r="AE32" s="19">
        <v>240038.69</v>
      </c>
      <c r="AF32" s="19">
        <v>10758163.689999999</v>
      </c>
      <c r="AG32" s="19">
        <v>2793</v>
      </c>
      <c r="AH32" s="19">
        <v>12151158.949999999</v>
      </c>
      <c r="AI32" s="19">
        <v>13534028.560000001</v>
      </c>
      <c r="AJ32" s="19">
        <v>3447925.6</v>
      </c>
      <c r="AK32" s="19">
        <v>1289</v>
      </c>
      <c r="AL32" s="19" t="s">
        <v>286</v>
      </c>
      <c r="AM32" s="19">
        <v>10</v>
      </c>
      <c r="AN32" s="19" t="s">
        <v>246</v>
      </c>
    </row>
    <row r="33" spans="1:40" x14ac:dyDescent="0.25">
      <c r="A33" s="87">
        <v>45597</v>
      </c>
      <c r="B33" s="87">
        <v>45626</v>
      </c>
      <c r="C33" s="19" t="s">
        <v>110</v>
      </c>
      <c r="D33" s="19" t="s">
        <v>373</v>
      </c>
      <c r="E33" s="19">
        <v>439159</v>
      </c>
      <c r="F33" s="19">
        <v>2569134</v>
      </c>
      <c r="G33" s="19">
        <v>324097</v>
      </c>
      <c r="H33" s="19">
        <v>1796266</v>
      </c>
      <c r="I33" s="19">
        <v>5192</v>
      </c>
      <c r="J33" s="19">
        <v>9627</v>
      </c>
      <c r="K33" s="19">
        <v>11594</v>
      </c>
      <c r="L33" s="19">
        <v>11228068</v>
      </c>
      <c r="M33" s="19">
        <v>2190</v>
      </c>
      <c r="N33" s="19">
        <v>2923</v>
      </c>
      <c r="O33" s="19">
        <v>2701</v>
      </c>
      <c r="P33" s="19">
        <v>3062</v>
      </c>
      <c r="Q33" s="19">
        <v>17253971</v>
      </c>
      <c r="R33" s="19">
        <v>2621</v>
      </c>
      <c r="S33" s="19">
        <v>5126.97</v>
      </c>
      <c r="T33" s="19">
        <v>25.57</v>
      </c>
      <c r="U33" s="19">
        <v>70218</v>
      </c>
      <c r="V33" s="19">
        <v>425657</v>
      </c>
      <c r="W33" s="19">
        <v>23091</v>
      </c>
      <c r="X33" s="19">
        <v>515</v>
      </c>
      <c r="Y33" s="19">
        <v>3281346.5</v>
      </c>
      <c r="Z33" s="19">
        <v>213961.13</v>
      </c>
      <c r="AA33" s="19">
        <v>0</v>
      </c>
      <c r="AB33" s="19">
        <v>92291.48</v>
      </c>
      <c r="AC33" s="19">
        <v>0</v>
      </c>
      <c r="AD33" s="19">
        <v>185168.75</v>
      </c>
      <c r="AE33" s="19">
        <v>154597.45000000001</v>
      </c>
      <c r="AF33" s="19">
        <v>8506601.9100000001</v>
      </c>
      <c r="AG33" s="19">
        <v>2645</v>
      </c>
      <c r="AH33" s="19">
        <v>7420897.9800000004</v>
      </c>
      <c r="AI33" s="19">
        <v>8406686.75</v>
      </c>
      <c r="AJ33" s="19">
        <v>2763413.53</v>
      </c>
      <c r="AK33" s="19">
        <v>824</v>
      </c>
      <c r="AL33" s="19" t="s">
        <v>286</v>
      </c>
      <c r="AM33" s="19">
        <v>11</v>
      </c>
      <c r="AN33" s="19" t="s">
        <v>246</v>
      </c>
    </row>
    <row r="34" spans="1:40" x14ac:dyDescent="0.25">
      <c r="A34" s="87">
        <v>45627</v>
      </c>
      <c r="B34" s="87">
        <v>45657</v>
      </c>
      <c r="C34" s="19" t="s">
        <v>110</v>
      </c>
      <c r="D34" s="19" t="s">
        <v>382</v>
      </c>
      <c r="E34" s="19">
        <v>314549</v>
      </c>
      <c r="F34" s="19">
        <v>1773186</v>
      </c>
      <c r="G34" s="19">
        <v>271153</v>
      </c>
      <c r="H34" s="19">
        <v>1203822</v>
      </c>
      <c r="I34" s="19">
        <v>3407</v>
      </c>
      <c r="J34" s="19">
        <v>5806</v>
      </c>
      <c r="K34" s="19">
        <v>5336</v>
      </c>
      <c r="L34" s="19">
        <v>5897138</v>
      </c>
      <c r="M34" s="19">
        <v>878</v>
      </c>
      <c r="N34" s="19">
        <v>1229</v>
      </c>
      <c r="O34" s="19">
        <v>1145</v>
      </c>
      <c r="P34" s="19">
        <v>1291</v>
      </c>
      <c r="Q34" s="19">
        <v>9710169</v>
      </c>
      <c r="R34" s="19">
        <v>1101</v>
      </c>
      <c r="S34" s="19">
        <v>6716.56</v>
      </c>
      <c r="T34" s="19">
        <v>18.75</v>
      </c>
      <c r="U34" s="19">
        <v>48980</v>
      </c>
      <c r="V34" s="19">
        <v>307760</v>
      </c>
      <c r="W34" s="19">
        <v>10139</v>
      </c>
      <c r="X34" s="19">
        <v>289</v>
      </c>
      <c r="Y34" s="19">
        <v>2373055.5</v>
      </c>
      <c r="Z34" s="19">
        <v>124643.4</v>
      </c>
      <c r="AA34" s="19">
        <v>0</v>
      </c>
      <c r="AB34" s="19">
        <v>47274.93</v>
      </c>
      <c r="AC34" s="19">
        <v>0</v>
      </c>
      <c r="AD34" s="19">
        <v>136710.79</v>
      </c>
      <c r="AE34" s="19">
        <v>98860.04</v>
      </c>
      <c r="AF34" s="19">
        <v>3453682.94</v>
      </c>
      <c r="AG34" s="19">
        <v>1923</v>
      </c>
      <c r="AH34" s="19">
        <v>3388108.22</v>
      </c>
      <c r="AI34" s="19">
        <v>4133408.13</v>
      </c>
      <c r="AJ34" s="19">
        <v>1699757.72</v>
      </c>
      <c r="AK34" s="19">
        <v>453</v>
      </c>
      <c r="AL34" s="19" t="s">
        <v>286</v>
      </c>
      <c r="AM34" s="19">
        <v>12</v>
      </c>
      <c r="AN34" s="19" t="s">
        <v>246</v>
      </c>
    </row>
    <row r="35" spans="1:40" x14ac:dyDescent="0.25">
      <c r="A35" s="87">
        <v>45658</v>
      </c>
      <c r="B35" s="87">
        <v>45688</v>
      </c>
      <c r="C35" s="19" t="s">
        <v>110</v>
      </c>
      <c r="D35" s="19" t="s">
        <v>407</v>
      </c>
      <c r="E35" s="19">
        <v>296306</v>
      </c>
      <c r="F35" s="19">
        <v>1357798</v>
      </c>
      <c r="G35" s="19">
        <v>247394</v>
      </c>
      <c r="H35" s="19">
        <v>938706</v>
      </c>
      <c r="I35" s="19">
        <v>2746</v>
      </c>
      <c r="J35" s="19">
        <v>4683</v>
      </c>
      <c r="K35" s="19">
        <v>3469</v>
      </c>
      <c r="L35" s="19">
        <v>3227575</v>
      </c>
      <c r="M35" s="19">
        <v>422</v>
      </c>
      <c r="N35" s="19">
        <v>530</v>
      </c>
      <c r="O35" s="19">
        <v>503</v>
      </c>
      <c r="P35" s="19">
        <v>586</v>
      </c>
      <c r="Q35" s="19">
        <v>5751750</v>
      </c>
      <c r="R35" s="19">
        <v>557</v>
      </c>
      <c r="S35" s="19">
        <v>7648.28</v>
      </c>
      <c r="T35" s="19">
        <v>10.89</v>
      </c>
      <c r="U35" s="19">
        <v>49930</v>
      </c>
      <c r="V35" s="19">
        <v>292209</v>
      </c>
      <c r="W35" s="19">
        <v>6442</v>
      </c>
      <c r="X35" s="19">
        <v>120</v>
      </c>
      <c r="Y35" s="19">
        <v>1182265</v>
      </c>
      <c r="Z35" s="19">
        <v>84961.03</v>
      </c>
      <c r="AA35" s="19">
        <v>0</v>
      </c>
      <c r="AB35" s="19">
        <v>17067.78</v>
      </c>
      <c r="AC35" s="19">
        <v>0</v>
      </c>
      <c r="AD35" s="19">
        <v>99169.39</v>
      </c>
      <c r="AE35" s="19">
        <v>74282.98</v>
      </c>
      <c r="AF35" s="19">
        <v>1824766</v>
      </c>
      <c r="AG35" s="19">
        <v>1573</v>
      </c>
      <c r="AH35" s="19">
        <v>1682103.75</v>
      </c>
      <c r="AI35" s="19">
        <v>1692093.02</v>
      </c>
      <c r="AJ35" s="19">
        <v>723803.15</v>
      </c>
      <c r="AK35" s="19">
        <v>168</v>
      </c>
      <c r="AL35" s="19" t="s">
        <v>285</v>
      </c>
      <c r="AM35" s="19">
        <v>1</v>
      </c>
      <c r="AN35" s="19" t="s">
        <v>246</v>
      </c>
    </row>
    <row r="36" spans="1:40" x14ac:dyDescent="0.25">
      <c r="A36" s="87">
        <v>45689</v>
      </c>
      <c r="B36" s="87">
        <v>45716</v>
      </c>
      <c r="C36" s="19" t="s">
        <v>110</v>
      </c>
      <c r="D36" s="19" t="s">
        <v>419</v>
      </c>
      <c r="E36" s="19">
        <v>278775</v>
      </c>
      <c r="F36" s="19">
        <v>1140484</v>
      </c>
      <c r="G36" s="19">
        <v>255695</v>
      </c>
      <c r="H36" s="19">
        <v>831962</v>
      </c>
      <c r="I36" s="19">
        <v>2106</v>
      </c>
      <c r="J36" s="19">
        <v>3658</v>
      </c>
      <c r="K36" s="19">
        <v>2701</v>
      </c>
      <c r="L36" s="19">
        <v>1839850</v>
      </c>
      <c r="M36" s="19">
        <v>254</v>
      </c>
      <c r="N36" s="19">
        <v>312</v>
      </c>
      <c r="O36" s="19">
        <v>293</v>
      </c>
      <c r="P36" s="19">
        <v>385</v>
      </c>
      <c r="Q36" s="19">
        <v>3474915</v>
      </c>
      <c r="R36" s="19">
        <v>376</v>
      </c>
      <c r="S36" s="19">
        <v>7243.5</v>
      </c>
      <c r="T36" s="19">
        <v>6.6</v>
      </c>
      <c r="U36" s="19">
        <v>50067</v>
      </c>
      <c r="V36" s="19">
        <v>274723</v>
      </c>
      <c r="W36" s="19">
        <v>4999</v>
      </c>
      <c r="X36" s="19">
        <v>63</v>
      </c>
      <c r="Y36" s="19">
        <v>557620</v>
      </c>
      <c r="Z36" s="19">
        <v>73396.149999999994</v>
      </c>
      <c r="AA36" s="19">
        <v>0</v>
      </c>
      <c r="AB36" s="19">
        <v>3028.92</v>
      </c>
      <c r="AC36" s="19">
        <v>0</v>
      </c>
      <c r="AD36" s="19">
        <v>68753.59</v>
      </c>
      <c r="AE36" s="19">
        <v>71086.13</v>
      </c>
      <c r="AF36" s="19">
        <v>1174545.04</v>
      </c>
      <c r="AG36" s="19">
        <v>1383</v>
      </c>
      <c r="AH36" s="19">
        <v>1105102.1499999999</v>
      </c>
      <c r="AI36" s="19">
        <v>517590</v>
      </c>
      <c r="AJ36" s="19">
        <v>199975</v>
      </c>
      <c r="AL36" s="19" t="s">
        <v>285</v>
      </c>
      <c r="AM36" s="19">
        <v>2</v>
      </c>
      <c r="AN36" s="19" t="s">
        <v>246</v>
      </c>
    </row>
    <row r="37" spans="1:40" x14ac:dyDescent="0.25">
      <c r="A37" s="87">
        <v>45717</v>
      </c>
      <c r="B37" s="87">
        <v>45747</v>
      </c>
      <c r="C37" s="19" t="s">
        <v>110</v>
      </c>
      <c r="D37" s="19" t="s">
        <v>537</v>
      </c>
      <c r="E37" s="19">
        <v>333985</v>
      </c>
      <c r="F37" s="19">
        <v>1235609</v>
      </c>
      <c r="G37" s="19">
        <v>299198</v>
      </c>
      <c r="H37" s="19">
        <v>923659</v>
      </c>
      <c r="I37" s="19">
        <v>2673</v>
      </c>
      <c r="J37" s="19">
        <v>4358</v>
      </c>
      <c r="K37" s="19">
        <v>2645</v>
      </c>
      <c r="L37" s="19">
        <v>1522620</v>
      </c>
      <c r="M37" s="19">
        <v>193</v>
      </c>
      <c r="N37" s="19">
        <v>246</v>
      </c>
      <c r="O37" s="19">
        <v>224</v>
      </c>
      <c r="P37" s="19">
        <v>258</v>
      </c>
      <c r="Q37" s="19">
        <v>3903420</v>
      </c>
      <c r="R37" s="19">
        <v>361</v>
      </c>
      <c r="S37" s="19">
        <v>7889.22</v>
      </c>
      <c r="T37" s="19">
        <v>4.5599999999999996</v>
      </c>
      <c r="U37" s="19">
        <v>61305</v>
      </c>
      <c r="V37" s="19">
        <v>327578</v>
      </c>
      <c r="W37" s="19">
        <v>4824</v>
      </c>
      <c r="X37" s="19">
        <v>56</v>
      </c>
      <c r="Y37" s="19">
        <v>423365</v>
      </c>
      <c r="Z37" s="19">
        <v>82762.48</v>
      </c>
      <c r="AA37" s="19">
        <v>0</v>
      </c>
      <c r="AB37" s="19">
        <v>4605.2299999999996</v>
      </c>
      <c r="AC37" s="19">
        <v>0</v>
      </c>
      <c r="AD37" s="19">
        <v>55020.41</v>
      </c>
      <c r="AE37" s="19">
        <v>92009.34</v>
      </c>
      <c r="AF37" s="19">
        <v>936785</v>
      </c>
      <c r="AG37" s="19">
        <v>1364</v>
      </c>
      <c r="AH37" s="19">
        <v>926325</v>
      </c>
      <c r="AI37" s="19">
        <v>0</v>
      </c>
      <c r="AJ37" s="19">
        <v>0</v>
      </c>
      <c r="AL37" s="19" t="s">
        <v>285</v>
      </c>
      <c r="AM37" s="19">
        <v>3</v>
      </c>
      <c r="AN37" s="19" t="s">
        <v>246</v>
      </c>
    </row>
    <row r="38" spans="1:40" x14ac:dyDescent="0.25">
      <c r="A38" s="87">
        <v>45748</v>
      </c>
      <c r="B38" s="87">
        <v>45777</v>
      </c>
      <c r="C38" s="19" t="s">
        <v>110</v>
      </c>
      <c r="D38" s="19" t="s">
        <v>559</v>
      </c>
      <c r="E38" s="19">
        <v>295219</v>
      </c>
      <c r="F38" s="19">
        <v>1073345</v>
      </c>
      <c r="G38" s="19">
        <v>272179</v>
      </c>
      <c r="H38" s="19">
        <v>808601</v>
      </c>
      <c r="I38" s="19">
        <v>2951</v>
      </c>
      <c r="J38" s="19">
        <v>5222</v>
      </c>
      <c r="K38" s="19">
        <v>2582</v>
      </c>
      <c r="L38" s="19">
        <v>1268975</v>
      </c>
      <c r="M38" s="19">
        <v>202</v>
      </c>
      <c r="N38" s="19">
        <v>260</v>
      </c>
      <c r="O38" s="19">
        <v>238</v>
      </c>
      <c r="P38" s="19">
        <v>265</v>
      </c>
      <c r="Q38" s="19">
        <v>2661545</v>
      </c>
      <c r="R38" s="19">
        <v>336</v>
      </c>
      <c r="S38" s="19">
        <v>6282.05</v>
      </c>
      <c r="T38" s="19">
        <v>4.3</v>
      </c>
      <c r="U38" s="19">
        <v>42461</v>
      </c>
      <c r="V38" s="19">
        <v>290598</v>
      </c>
      <c r="W38" s="19">
        <v>4566</v>
      </c>
      <c r="X38" s="19">
        <v>56</v>
      </c>
      <c r="Y38" s="19">
        <v>363960</v>
      </c>
      <c r="Z38" s="19">
        <v>85849.81</v>
      </c>
      <c r="AA38" s="19">
        <v>0</v>
      </c>
      <c r="AB38" s="19">
        <v>4520.3</v>
      </c>
      <c r="AC38" s="19">
        <v>0</v>
      </c>
      <c r="AD38" s="19">
        <v>36382.68</v>
      </c>
      <c r="AE38" s="19">
        <v>90311.08</v>
      </c>
      <c r="AF38" s="19">
        <v>740427.02</v>
      </c>
      <c r="AG38" s="19">
        <v>1337</v>
      </c>
      <c r="AH38" s="19">
        <v>682917.02</v>
      </c>
      <c r="AI38" s="19">
        <v>0</v>
      </c>
      <c r="AJ38" s="19">
        <v>0</v>
      </c>
      <c r="AL38" s="19" t="s">
        <v>284</v>
      </c>
      <c r="AM38" s="19">
        <v>4</v>
      </c>
      <c r="AN38" s="19" t="s">
        <v>560</v>
      </c>
    </row>
    <row r="39" spans="1:40" x14ac:dyDescent="0.25">
      <c r="A39" s="87">
        <v>45778</v>
      </c>
      <c r="B39" s="87">
        <v>45808</v>
      </c>
      <c r="C39" s="19" t="s">
        <v>110</v>
      </c>
      <c r="D39" s="19" t="s">
        <v>582</v>
      </c>
      <c r="E39" s="19">
        <v>488316</v>
      </c>
      <c r="F39" s="19">
        <v>2202413</v>
      </c>
      <c r="G39" s="19">
        <v>437186</v>
      </c>
      <c r="H39" s="19">
        <v>1715184</v>
      </c>
      <c r="I39" s="19">
        <v>6627</v>
      </c>
      <c r="J39" s="19">
        <v>12652</v>
      </c>
      <c r="K39" s="19">
        <v>9865</v>
      </c>
      <c r="L39" s="19">
        <v>7629603.9299999997</v>
      </c>
      <c r="M39" s="19">
        <v>1823</v>
      </c>
      <c r="N39" s="19">
        <v>2633</v>
      </c>
      <c r="O39" s="19">
        <v>2379</v>
      </c>
      <c r="P39" s="19">
        <v>2646</v>
      </c>
      <c r="Q39" s="19">
        <v>12154063.93</v>
      </c>
      <c r="R39" s="19">
        <v>2350</v>
      </c>
      <c r="S39" s="19">
        <v>4185.1899999999996</v>
      </c>
      <c r="T39" s="19">
        <v>15.62</v>
      </c>
      <c r="U39" s="19">
        <v>75691</v>
      </c>
      <c r="V39" s="19">
        <v>484498</v>
      </c>
      <c r="W39" s="19">
        <v>20915</v>
      </c>
      <c r="X39" s="19">
        <v>504</v>
      </c>
      <c r="Y39" s="19">
        <v>2482492.0099999998</v>
      </c>
      <c r="Z39" s="19">
        <v>210436.87</v>
      </c>
      <c r="AA39" s="19">
        <v>0</v>
      </c>
      <c r="AB39" s="19">
        <v>14411.37</v>
      </c>
      <c r="AC39" s="19">
        <v>0</v>
      </c>
      <c r="AD39" s="19">
        <v>240993.01</v>
      </c>
      <c r="AE39" s="19">
        <v>203970.62</v>
      </c>
      <c r="AF39" s="19">
        <v>4491464.28</v>
      </c>
      <c r="AG39" s="19">
        <v>2384</v>
      </c>
      <c r="AH39" s="19">
        <v>4898300.26</v>
      </c>
      <c r="AI39" s="19">
        <v>4248564.41</v>
      </c>
      <c r="AJ39" s="19">
        <v>1786665.87</v>
      </c>
      <c r="AL39" s="19" t="s">
        <v>284</v>
      </c>
      <c r="AM39" s="19">
        <v>5</v>
      </c>
      <c r="AN39" s="19" t="s">
        <v>560</v>
      </c>
    </row>
    <row r="40" spans="1:40" x14ac:dyDescent="0.25">
      <c r="A40" s="87">
        <v>45809</v>
      </c>
      <c r="B40" s="87">
        <v>45838</v>
      </c>
      <c r="C40" s="19" t="s">
        <v>110</v>
      </c>
      <c r="D40" s="19" t="s">
        <v>635</v>
      </c>
      <c r="E40" s="19">
        <v>464259</v>
      </c>
      <c r="F40" s="19">
        <v>2031302</v>
      </c>
      <c r="G40" s="19">
        <v>401484</v>
      </c>
      <c r="H40" s="19">
        <v>1594450</v>
      </c>
      <c r="I40" s="19">
        <v>4981</v>
      </c>
      <c r="J40" s="19">
        <v>9196</v>
      </c>
      <c r="K40" s="19">
        <v>6283</v>
      </c>
      <c r="L40" s="19">
        <v>4798825</v>
      </c>
      <c r="M40" s="19">
        <v>1188</v>
      </c>
      <c r="N40" s="19">
        <v>1576</v>
      </c>
      <c r="O40" s="19">
        <v>1449</v>
      </c>
      <c r="P40" s="19">
        <v>1685</v>
      </c>
      <c r="Q40" s="19">
        <v>7643216</v>
      </c>
      <c r="R40" s="19">
        <v>1528</v>
      </c>
      <c r="S40" s="19">
        <v>4039.41</v>
      </c>
      <c r="T40" s="19">
        <v>10.34</v>
      </c>
      <c r="U40" s="19">
        <v>75676</v>
      </c>
      <c r="V40" s="19">
        <v>453056</v>
      </c>
      <c r="W40" s="19">
        <v>12930</v>
      </c>
      <c r="X40" s="19">
        <v>316</v>
      </c>
      <c r="Y40" s="19">
        <v>1380159</v>
      </c>
      <c r="Z40" s="19">
        <v>141509.98000000001</v>
      </c>
      <c r="AA40" s="19">
        <v>0</v>
      </c>
      <c r="AB40" s="19">
        <v>22506.12</v>
      </c>
      <c r="AC40" s="19">
        <v>0</v>
      </c>
      <c r="AD40" s="19">
        <v>151982.07</v>
      </c>
      <c r="AE40" s="19">
        <v>126643.76</v>
      </c>
      <c r="AF40" s="19">
        <v>2821287.56</v>
      </c>
      <c r="AG40" s="19">
        <v>1876</v>
      </c>
      <c r="AH40" s="19">
        <v>2516168.2599999998</v>
      </c>
      <c r="AI40" s="19">
        <v>2935638.43</v>
      </c>
      <c r="AJ40" s="19">
        <v>1375863.63</v>
      </c>
      <c r="AL40" s="19" t="s">
        <v>284</v>
      </c>
      <c r="AM40" s="19">
        <v>6</v>
      </c>
      <c r="AN40" s="19" t="s">
        <v>560</v>
      </c>
    </row>
    <row r="41" spans="1:40" x14ac:dyDescent="0.25">
      <c r="A41" s="87">
        <v>45839</v>
      </c>
      <c r="B41" s="87">
        <v>45869</v>
      </c>
      <c r="C41" s="19" t="s">
        <v>110</v>
      </c>
      <c r="D41" s="19" t="s">
        <v>653</v>
      </c>
      <c r="E41" s="19">
        <v>281356</v>
      </c>
      <c r="F41" s="19">
        <v>1297541</v>
      </c>
      <c r="G41" s="19">
        <v>266509</v>
      </c>
      <c r="H41" s="19">
        <v>1048203</v>
      </c>
      <c r="I41" s="19">
        <v>2131</v>
      </c>
      <c r="J41" s="19">
        <v>3394</v>
      </c>
      <c r="K41" s="19">
        <v>2508</v>
      </c>
      <c r="L41" s="19">
        <v>1506524</v>
      </c>
      <c r="M41" s="19">
        <v>247</v>
      </c>
      <c r="N41" s="19">
        <v>345</v>
      </c>
      <c r="O41" s="19">
        <v>304</v>
      </c>
      <c r="P41" s="19">
        <v>383</v>
      </c>
      <c r="Q41" s="19">
        <v>3069347</v>
      </c>
      <c r="R41" s="19">
        <v>340</v>
      </c>
      <c r="S41" s="19">
        <v>6099.29</v>
      </c>
      <c r="T41" s="19">
        <v>5.35</v>
      </c>
      <c r="U41" s="19">
        <v>50229</v>
      </c>
      <c r="V41" s="19">
        <v>276284</v>
      </c>
      <c r="W41" s="19">
        <v>4611</v>
      </c>
      <c r="X41" s="19">
        <v>72</v>
      </c>
      <c r="Y41" s="19">
        <v>505817</v>
      </c>
      <c r="Z41" s="19">
        <v>65376.85</v>
      </c>
      <c r="AA41" s="19">
        <v>0</v>
      </c>
      <c r="AB41" s="19">
        <v>5115.87</v>
      </c>
      <c r="AC41" s="19">
        <v>0</v>
      </c>
      <c r="AD41" s="19">
        <v>32495.98</v>
      </c>
      <c r="AE41" s="19">
        <v>81949.899999999994</v>
      </c>
      <c r="AF41" s="19">
        <v>801103.79</v>
      </c>
      <c r="AG41" s="19">
        <v>1147</v>
      </c>
      <c r="AH41" s="19">
        <v>702112</v>
      </c>
      <c r="AI41" s="19">
        <v>326480</v>
      </c>
      <c r="AJ41" s="19">
        <v>133940</v>
      </c>
      <c r="AL41" s="19" t="s">
        <v>283</v>
      </c>
      <c r="AM41" s="19">
        <v>7</v>
      </c>
      <c r="AN41" s="19" t="s">
        <v>560</v>
      </c>
    </row>
    <row r="42" spans="1:40" x14ac:dyDescent="0.25">
      <c r="A42" s="87">
        <v>45870</v>
      </c>
      <c r="B42" s="87">
        <v>45900</v>
      </c>
      <c r="C42" s="19" t="s">
        <v>110</v>
      </c>
      <c r="D42" s="19" t="s">
        <v>690</v>
      </c>
      <c r="E42" s="19">
        <v>258134</v>
      </c>
      <c r="F42" s="19">
        <v>1221545</v>
      </c>
      <c r="G42" s="19">
        <v>241944</v>
      </c>
      <c r="H42" s="19">
        <v>961848</v>
      </c>
      <c r="I42" s="19">
        <v>1846</v>
      </c>
      <c r="J42" s="19">
        <v>3120</v>
      </c>
      <c r="K42" s="19">
        <v>2841</v>
      </c>
      <c r="L42" s="19">
        <v>1893129</v>
      </c>
      <c r="M42" s="19">
        <v>340</v>
      </c>
      <c r="N42" s="19">
        <v>462</v>
      </c>
      <c r="O42" s="19">
        <v>413</v>
      </c>
      <c r="P42" s="19">
        <v>498</v>
      </c>
      <c r="Q42" s="19">
        <v>2785295</v>
      </c>
      <c r="R42" s="19">
        <v>440</v>
      </c>
      <c r="S42" s="19">
        <v>5568.03</v>
      </c>
      <c r="T42" s="19">
        <v>7.33</v>
      </c>
      <c r="U42" s="19">
        <v>44816</v>
      </c>
      <c r="V42" s="19">
        <v>253624</v>
      </c>
      <c r="W42" s="19">
        <v>5143</v>
      </c>
      <c r="X42" s="19">
        <v>89</v>
      </c>
      <c r="Y42" s="19">
        <v>590936</v>
      </c>
      <c r="Z42" s="19">
        <v>67264.69</v>
      </c>
      <c r="AA42" s="19">
        <v>0</v>
      </c>
      <c r="AB42" s="19">
        <v>2769.54</v>
      </c>
      <c r="AC42" s="19">
        <v>0</v>
      </c>
      <c r="AD42" s="19">
        <v>29999.37</v>
      </c>
      <c r="AE42" s="19">
        <v>81804.259999999995</v>
      </c>
      <c r="AF42" s="19">
        <v>920117.82</v>
      </c>
      <c r="AG42" s="19">
        <v>1160</v>
      </c>
      <c r="AH42" s="19">
        <v>971617.82</v>
      </c>
      <c r="AI42" s="19">
        <v>483039.66</v>
      </c>
      <c r="AJ42" s="19">
        <v>199657.88</v>
      </c>
      <c r="AL42" s="19" t="s">
        <v>283</v>
      </c>
      <c r="AM42" s="19">
        <v>8</v>
      </c>
      <c r="AN42" s="19" t="s">
        <v>560</v>
      </c>
    </row>
    <row r="43" spans="1:40" x14ac:dyDescent="0.25">
      <c r="A43" s="87">
        <v>45901</v>
      </c>
      <c r="B43" s="87">
        <v>45930</v>
      </c>
      <c r="C43" s="19" t="s">
        <v>110</v>
      </c>
      <c r="D43" s="19" t="s">
        <v>693</v>
      </c>
      <c r="E43" s="19">
        <v>347204</v>
      </c>
      <c r="F43" s="19">
        <v>1342374</v>
      </c>
      <c r="G43" s="19">
        <v>295301</v>
      </c>
      <c r="H43" s="19">
        <v>1065297</v>
      </c>
      <c r="I43" s="19">
        <v>1780</v>
      </c>
      <c r="J43" s="19">
        <v>3202</v>
      </c>
      <c r="K43" s="19">
        <v>2365</v>
      </c>
      <c r="L43" s="19">
        <v>1442203</v>
      </c>
      <c r="M43" s="19">
        <v>206</v>
      </c>
      <c r="N43" s="19">
        <v>258</v>
      </c>
      <c r="O43" s="19">
        <v>237</v>
      </c>
      <c r="P43" s="19">
        <v>317</v>
      </c>
      <c r="Q43" s="19">
        <v>2910090</v>
      </c>
      <c r="R43" s="19">
        <v>309</v>
      </c>
      <c r="S43" s="19">
        <v>7000.99</v>
      </c>
      <c r="T43" s="19">
        <v>4.1500000000000004</v>
      </c>
      <c r="U43" s="19">
        <v>52960</v>
      </c>
      <c r="V43" s="19">
        <v>343796</v>
      </c>
      <c r="W43" s="19">
        <v>4354</v>
      </c>
      <c r="X43" s="19">
        <v>61</v>
      </c>
      <c r="Y43" s="19">
        <v>457221</v>
      </c>
      <c r="Z43" s="19">
        <v>59682.559999999998</v>
      </c>
      <c r="AA43" s="19">
        <v>0</v>
      </c>
      <c r="AB43" s="19">
        <v>2973.9</v>
      </c>
      <c r="AC43" s="19">
        <v>0</v>
      </c>
      <c r="AD43" s="19">
        <v>31089.24</v>
      </c>
      <c r="AE43" s="19">
        <v>65527.42</v>
      </c>
      <c r="AF43" s="19">
        <v>913248</v>
      </c>
      <c r="AG43" s="19">
        <v>1137</v>
      </c>
      <c r="AH43" s="19">
        <v>842853</v>
      </c>
      <c r="AI43" s="19">
        <v>0</v>
      </c>
      <c r="AJ43" s="19">
        <v>0</v>
      </c>
      <c r="AL43" s="19" t="s">
        <v>283</v>
      </c>
      <c r="AM43" s="19">
        <v>9</v>
      </c>
      <c r="AN43" s="19" t="s">
        <v>560</v>
      </c>
    </row>
    <row r="44" spans="1:40" x14ac:dyDescent="0.25">
      <c r="A44" s="87">
        <v>45931</v>
      </c>
      <c r="B44" s="87">
        <v>45961</v>
      </c>
      <c r="C44" s="19" t="s">
        <v>110</v>
      </c>
      <c r="D44" s="19" t="s">
        <v>774</v>
      </c>
      <c r="E44" s="19">
        <v>791602</v>
      </c>
      <c r="F44" s="19">
        <v>4586357</v>
      </c>
      <c r="G44" s="19">
        <v>674777</v>
      </c>
      <c r="H44" s="19">
        <v>3919565</v>
      </c>
      <c r="I44" s="19">
        <v>4795</v>
      </c>
      <c r="J44" s="19">
        <v>9423</v>
      </c>
      <c r="K44" s="19">
        <v>7653</v>
      </c>
      <c r="L44" s="19">
        <v>7847277.4699999997</v>
      </c>
      <c r="M44" s="19">
        <v>1256</v>
      </c>
      <c r="N44" s="19">
        <v>1838</v>
      </c>
      <c r="O44" s="19">
        <v>1708</v>
      </c>
      <c r="P44" s="19">
        <v>1915</v>
      </c>
      <c r="Q44" s="19">
        <v>11326313.470000001</v>
      </c>
      <c r="R44" s="19">
        <v>1525</v>
      </c>
      <c r="S44" s="19">
        <v>6247.83</v>
      </c>
      <c r="T44" s="19">
        <v>9.91</v>
      </c>
      <c r="U44" s="19">
        <v>174668</v>
      </c>
      <c r="V44" s="19">
        <v>783308</v>
      </c>
      <c r="W44" s="19">
        <v>16986</v>
      </c>
      <c r="X44" s="19">
        <v>445</v>
      </c>
      <c r="Y44" s="19">
        <v>3149204.48</v>
      </c>
      <c r="Z44" s="19">
        <v>171697.92000000001</v>
      </c>
      <c r="AA44" s="19">
        <v>0</v>
      </c>
      <c r="AB44" s="19">
        <v>21993.75</v>
      </c>
      <c r="AC44" s="19">
        <v>0</v>
      </c>
      <c r="AD44" s="19">
        <v>47367.91</v>
      </c>
      <c r="AE44" s="19">
        <v>265746.33</v>
      </c>
      <c r="AF44" s="19">
        <v>3592207.78</v>
      </c>
      <c r="AG44" s="19">
        <v>2312</v>
      </c>
      <c r="AH44" s="19">
        <v>4494393.4800000004</v>
      </c>
      <c r="AI44" s="19">
        <v>6081592.6900000004</v>
      </c>
      <c r="AJ44" s="19">
        <v>2638500.81</v>
      </c>
      <c r="AL44" s="19" t="s">
        <v>286</v>
      </c>
      <c r="AM44" s="19">
        <v>10</v>
      </c>
      <c r="AN44" s="19" t="s">
        <v>560</v>
      </c>
    </row>
    <row r="45" spans="1:40" x14ac:dyDescent="0.25">
      <c r="A45" s="87">
        <v>45962</v>
      </c>
      <c r="B45" s="87">
        <v>45991</v>
      </c>
      <c r="C45" s="19" t="s">
        <v>110</v>
      </c>
      <c r="D45" s="19" t="s">
        <v>820</v>
      </c>
      <c r="E45" s="19">
        <v>576288</v>
      </c>
      <c r="F45" s="19">
        <v>3480709</v>
      </c>
      <c r="G45" s="19">
        <v>530819</v>
      </c>
      <c r="H45" s="19">
        <v>2926178</v>
      </c>
      <c r="I45" s="19">
        <v>4274</v>
      </c>
      <c r="J45" s="19">
        <v>7013</v>
      </c>
      <c r="K45" s="19">
        <v>6563</v>
      </c>
      <c r="L45" s="19">
        <v>6161292.2300000004</v>
      </c>
      <c r="M45" s="19">
        <v>1059</v>
      </c>
      <c r="N45" s="19">
        <v>1484</v>
      </c>
      <c r="O45" s="19">
        <v>1390</v>
      </c>
      <c r="P45" s="19">
        <v>1546</v>
      </c>
      <c r="Q45" s="19">
        <v>10250467.23</v>
      </c>
      <c r="R45" s="19">
        <v>1339</v>
      </c>
      <c r="S45" s="19">
        <v>5818.03</v>
      </c>
      <c r="T45" s="19">
        <v>10.69</v>
      </c>
      <c r="U45" s="19">
        <v>140006</v>
      </c>
      <c r="V45" s="19">
        <v>546885</v>
      </c>
      <c r="W45" s="19">
        <v>12829</v>
      </c>
      <c r="X45" s="19">
        <v>349</v>
      </c>
      <c r="Y45" s="19">
        <v>2452543.69</v>
      </c>
      <c r="Z45" s="19">
        <v>114091.21</v>
      </c>
      <c r="AA45" s="19">
        <v>0</v>
      </c>
      <c r="AB45" s="19">
        <v>38834.76</v>
      </c>
      <c r="AC45" s="19">
        <v>0</v>
      </c>
      <c r="AD45" s="19">
        <v>51340.99</v>
      </c>
      <c r="AE45" s="19">
        <v>122999.91</v>
      </c>
      <c r="AF45" s="19">
        <v>4234576.55</v>
      </c>
      <c r="AG45" s="19">
        <v>2278</v>
      </c>
      <c r="AH45" s="19">
        <v>3500378.46</v>
      </c>
      <c r="AI45" s="19">
        <v>4316592.16</v>
      </c>
      <c r="AJ45" s="19">
        <v>1798700.55</v>
      </c>
      <c r="AL45" s="19" t="s">
        <v>286</v>
      </c>
      <c r="AM45" s="19">
        <v>11</v>
      </c>
      <c r="AN45" s="19" t="s">
        <v>560</v>
      </c>
    </row>
    <row r="46" spans="1:40" x14ac:dyDescent="0.25">
      <c r="A46" s="87">
        <v>45992</v>
      </c>
      <c r="B46" s="87">
        <v>46022</v>
      </c>
      <c r="C46" s="19" t="s">
        <v>110</v>
      </c>
      <c r="D46" s="19" t="s">
        <v>874</v>
      </c>
      <c r="E46" s="19">
        <v>533249</v>
      </c>
      <c r="F46" s="19">
        <v>3088379</v>
      </c>
      <c r="G46" s="19">
        <v>502055</v>
      </c>
      <c r="H46" s="19">
        <v>2601516</v>
      </c>
      <c r="I46" s="19">
        <v>3612</v>
      </c>
      <c r="J46" s="19">
        <v>6014</v>
      </c>
      <c r="K46" s="19">
        <v>5785</v>
      </c>
      <c r="L46" s="19">
        <v>5693669</v>
      </c>
      <c r="M46" s="19">
        <v>914</v>
      </c>
      <c r="N46" s="19">
        <v>1240</v>
      </c>
      <c r="O46" s="19">
        <v>1147</v>
      </c>
      <c r="P46" s="19">
        <v>1310</v>
      </c>
      <c r="Q46" s="19">
        <v>8972739</v>
      </c>
      <c r="R46" s="19">
        <v>1055</v>
      </c>
      <c r="S46" s="19">
        <v>6229.4</v>
      </c>
      <c r="T46" s="19">
        <v>10.68</v>
      </c>
      <c r="U46" s="19">
        <v>114666</v>
      </c>
      <c r="V46" s="19">
        <v>524439</v>
      </c>
      <c r="W46" s="19">
        <v>10943</v>
      </c>
      <c r="X46" s="19">
        <v>273</v>
      </c>
      <c r="Y46" s="19">
        <v>2148282</v>
      </c>
      <c r="Z46" s="19">
        <v>59581.35</v>
      </c>
      <c r="AA46" s="19">
        <v>0</v>
      </c>
      <c r="AB46" s="19">
        <v>19273.55</v>
      </c>
      <c r="AC46" s="19">
        <v>0</v>
      </c>
      <c r="AD46" s="19">
        <v>49238.43</v>
      </c>
      <c r="AE46" s="19">
        <v>80441.42</v>
      </c>
      <c r="AF46" s="19">
        <v>3413502.64</v>
      </c>
      <c r="AG46" s="19">
        <v>1924</v>
      </c>
      <c r="AH46" s="19">
        <v>3274785.41</v>
      </c>
      <c r="AI46" s="19">
        <v>3911164.93</v>
      </c>
      <c r="AJ46" s="19">
        <v>1499568.55</v>
      </c>
      <c r="AL46" s="19" t="s">
        <v>286</v>
      </c>
      <c r="AM46" s="19">
        <v>12</v>
      </c>
      <c r="AN46" s="19" t="s">
        <v>560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2CB2-6806-45CA-B20F-7C6811CC4708}">
  <dimension ref="A1:AJ29"/>
  <sheetViews>
    <sheetView showGridLines="0" topLeftCell="B1" zoomScaleNormal="100" workbookViewId="0">
      <selection activeCell="N28" sqref="N28:P29"/>
    </sheetView>
  </sheetViews>
  <sheetFormatPr defaultRowHeight="14" x14ac:dyDescent="0.3"/>
  <cols>
    <col min="1" max="1" width="8.6640625" style="91"/>
    <col min="2" max="2" width="11.83203125" style="91" customWidth="1"/>
    <col min="3" max="3" width="15.6640625" style="91" bestFit="1" customWidth="1"/>
    <col min="4" max="5" width="9.58203125" style="91" bestFit="1" customWidth="1"/>
    <col min="6" max="7" width="11" style="91" bestFit="1" customWidth="1"/>
    <col min="8" max="9" width="7.33203125" style="91" customWidth="1"/>
    <col min="10" max="10" width="7.33203125" style="390" customWidth="1"/>
    <col min="11" max="12" width="9" style="91" bestFit="1" customWidth="1"/>
    <col min="13" max="13" width="9" style="91" customWidth="1"/>
    <col min="14" max="18" width="7.33203125" style="91" customWidth="1"/>
    <col min="19" max="20" width="8.6640625" style="91"/>
    <col min="21" max="21" width="31.08203125" style="91" bestFit="1" customWidth="1"/>
    <col min="22" max="22" width="8.6640625" style="91"/>
    <col min="23" max="24" width="9.58203125" style="91" bestFit="1" customWidth="1"/>
    <col min="25" max="26" width="9.83203125" style="91" bestFit="1" customWidth="1"/>
    <col min="27" max="16384" width="8.6640625" style="91"/>
  </cols>
  <sheetData>
    <row r="1" spans="1:36" s="375" customFormat="1" ht="15" customHeight="1" x14ac:dyDescent="0.4">
      <c r="B1" s="616" t="s">
        <v>876</v>
      </c>
      <c r="C1" s="617"/>
      <c r="D1" s="512">
        <v>46022</v>
      </c>
      <c r="E1" s="512">
        <f>EDATE(D1,-12)</f>
        <v>45657</v>
      </c>
      <c r="F1" s="547">
        <v>45748</v>
      </c>
      <c r="G1" s="547">
        <f>EDATE(F1,-12)</f>
        <v>45383</v>
      </c>
      <c r="H1" s="548" t="s">
        <v>229</v>
      </c>
      <c r="J1" s="414"/>
      <c r="K1" s="377"/>
      <c r="L1" s="377"/>
      <c r="M1" s="377"/>
      <c r="U1" s="587" t="s">
        <v>822</v>
      </c>
      <c r="V1" s="511"/>
      <c r="W1" s="512">
        <v>46022</v>
      </c>
      <c r="X1" s="512">
        <f>EDATE(W1,-12)</f>
        <v>45657</v>
      </c>
      <c r="Y1" s="547">
        <v>45992</v>
      </c>
      <c r="Z1" s="547">
        <f>EDATE(Y1,-12)</f>
        <v>45627</v>
      </c>
      <c r="AA1" s="548" t="s">
        <v>229</v>
      </c>
      <c r="AC1" s="414"/>
      <c r="AD1" s="377"/>
      <c r="AE1" s="377"/>
      <c r="AF1" s="377"/>
    </row>
    <row r="2" spans="1:36" ht="23.5" thickBot="1" x14ac:dyDescent="0.35">
      <c r="B2" s="415" t="s">
        <v>74</v>
      </c>
      <c r="C2" s="415" t="s">
        <v>237</v>
      </c>
      <c r="D2" s="415" t="s">
        <v>238</v>
      </c>
      <c r="E2" s="415" t="s">
        <v>239</v>
      </c>
      <c r="F2" s="415" t="s">
        <v>254</v>
      </c>
      <c r="G2" s="415" t="s">
        <v>75</v>
      </c>
      <c r="H2" s="415" t="s">
        <v>240</v>
      </c>
      <c r="I2" s="415" t="s">
        <v>241</v>
      </c>
      <c r="J2" s="416" t="s">
        <v>242</v>
      </c>
      <c r="K2" s="415" t="s">
        <v>363</v>
      </c>
      <c r="L2" s="415" t="s">
        <v>364</v>
      </c>
      <c r="M2" s="415" t="s">
        <v>813</v>
      </c>
      <c r="N2" s="415" t="s">
        <v>808</v>
      </c>
      <c r="O2" s="415" t="s">
        <v>809</v>
      </c>
      <c r="P2" s="415" t="s">
        <v>810</v>
      </c>
      <c r="Q2" s="417"/>
      <c r="U2" s="415" t="s">
        <v>74</v>
      </c>
      <c r="V2" s="415" t="s">
        <v>237</v>
      </c>
      <c r="W2" s="415" t="s">
        <v>238</v>
      </c>
      <c r="X2" s="415" t="s">
        <v>239</v>
      </c>
      <c r="Y2" s="415" t="s">
        <v>254</v>
      </c>
      <c r="Z2" s="415" t="s">
        <v>75</v>
      </c>
      <c r="AA2" s="415" t="s">
        <v>240</v>
      </c>
      <c r="AB2" s="415" t="s">
        <v>241</v>
      </c>
      <c r="AC2" s="416" t="s">
        <v>242</v>
      </c>
      <c r="AD2" s="415" t="s">
        <v>363</v>
      </c>
      <c r="AE2" s="415" t="s">
        <v>364</v>
      </c>
      <c r="AF2" s="415" t="s">
        <v>232</v>
      </c>
      <c r="AG2" s="415" t="s">
        <v>808</v>
      </c>
      <c r="AH2" s="415" t="s">
        <v>809</v>
      </c>
      <c r="AI2" s="415" t="s">
        <v>810</v>
      </c>
      <c r="AJ2" s="417"/>
    </row>
    <row r="3" spans="1:36" ht="14.5" thickTop="1" x14ac:dyDescent="0.3">
      <c r="B3" s="119" t="s">
        <v>49</v>
      </c>
      <c r="C3" s="257" t="s">
        <v>77</v>
      </c>
      <c r="D3" s="233">
        <f>SUMIFS('dunhill traffic pivot'!$AD$8:$AD$25,'dunhill traffic pivot'!$AC$8:$AC$25,$C3)</f>
        <v>1987603</v>
      </c>
      <c r="E3" s="233">
        <f>SUMIFS('dunhill traffic pivot'!$AE$8:$AE$25,'dunhill traffic pivot'!$AC$8:$AC$25,$C3)</f>
        <v>829271</v>
      </c>
      <c r="F3" s="229">
        <f t="shared" ref="F3:F10" si="0">D3-E3</f>
        <v>1158332</v>
      </c>
      <c r="G3" s="551">
        <f t="shared" ref="G3:G10" si="1">IFERROR(D3/E3-1,"-")</f>
        <v>1.3968075574812095</v>
      </c>
      <c r="H3" s="230">
        <f t="shared" ref="H3:I10" si="2">D3/D$29</f>
        <v>0.40668583464386809</v>
      </c>
      <c r="I3" s="230">
        <f t="shared" si="2"/>
        <v>0.20263951288576285</v>
      </c>
      <c r="J3" s="391">
        <f t="shared" ref="J3:J10" si="3">(H3-I3)*100</f>
        <v>20.404632175810526</v>
      </c>
      <c r="K3" s="231">
        <f>SUMIFS('dunhill traffic pivot'!$AH$8:$AH$24,'dunhill traffic pivot'!$AC$8:$AC$24,$C3)</f>
        <v>986</v>
      </c>
      <c r="L3" s="231">
        <f>SUMIFS('dunhill traffic pivot'!$AI$8:$AI$24,'dunhill traffic pivot'!$AC$8:$AC$24,$C3)</f>
        <v>1053</v>
      </c>
      <c r="M3" s="551">
        <f t="shared" ref="M3:M10" si="4">IFERROR(K3/L3-1,"-")</f>
        <v>-6.3627730294396945E-2</v>
      </c>
      <c r="N3" s="232">
        <f t="shared" ref="N3:O10" si="5">IFERROR(K3/D3,0)</f>
        <v>4.9607492039406261E-4</v>
      </c>
      <c r="O3" s="232">
        <f t="shared" si="5"/>
        <v>1.2697899721562673E-3</v>
      </c>
      <c r="P3" s="551">
        <f t="shared" ref="P3:P10" si="6">IFERROR(N3/O3-1,"-")</f>
        <v>-0.60932521812905538</v>
      </c>
      <c r="Q3" s="234"/>
      <c r="U3" s="119" t="s">
        <v>49</v>
      </c>
      <c r="V3" s="257" t="s">
        <v>77</v>
      </c>
      <c r="W3" s="233">
        <f>SUMIFS('dunhill traffic pivot'!$AD$8:$AD$25,'dunhill traffic pivot'!$AC$8:$AC$25,$C3)</f>
        <v>1987603</v>
      </c>
      <c r="X3" s="233">
        <f>SUMIFS('dunhill traffic pivot'!$AE$8:$AE$25,'dunhill traffic pivot'!$AC$8:$AC$25,$C3)</f>
        <v>829271</v>
      </c>
      <c r="Y3" s="229">
        <f t="shared" ref="Y3:Y10" si="7">W3-X3</f>
        <v>1158332</v>
      </c>
      <c r="Z3" s="551">
        <f t="shared" ref="Z3:Z10" si="8">IFERROR(W3/X3-1,"-")</f>
        <v>1.3968075574812095</v>
      </c>
      <c r="AA3" s="230">
        <f t="shared" ref="AA3:AA10" ca="1" si="9">W3/W$29</f>
        <v>0.40668583464386809</v>
      </c>
      <c r="AB3" s="230">
        <f t="shared" ref="AB3:AB10" ca="1" si="10">X3/X$29</f>
        <v>0.20087435357883995</v>
      </c>
      <c r="AC3" s="391">
        <f t="shared" ref="AC3:AC10" ca="1" si="11">(AA3-AB3)*100</f>
        <v>20.581148106502813</v>
      </c>
      <c r="AD3" s="231">
        <f>SUMIFS('dunhill traffic pivot'!$AH$8:$AH$24,'dunhill traffic pivot'!$AC$8:$AC$24,$C3)</f>
        <v>986</v>
      </c>
      <c r="AE3" s="231">
        <f>SUMIFS('dunhill traffic pivot'!$AI$8:$AI$24,'dunhill traffic pivot'!$AC$8:$AC$24,$C3)</f>
        <v>1053</v>
      </c>
      <c r="AF3" s="551">
        <f t="shared" ref="AF3:AF10" si="12">IFERROR(AD3/AE3-1,"-")</f>
        <v>-6.3627730294396945E-2</v>
      </c>
      <c r="AG3" s="232">
        <f t="shared" ref="AG3:AG10" si="13">IFERROR(AD3/W3,0)</f>
        <v>4.9607492039406261E-4</v>
      </c>
      <c r="AH3" s="232">
        <f t="shared" ref="AH3:AH10" si="14">IFERROR(AE3/X3,0)</f>
        <v>1.2697899721562673E-3</v>
      </c>
      <c r="AI3" s="551">
        <f t="shared" ref="AI3:AI10" si="15">IFERROR(AG3/AH3-1,"-")</f>
        <v>-0.60932521812905538</v>
      </c>
      <c r="AJ3" s="234"/>
    </row>
    <row r="4" spans="1:36" x14ac:dyDescent="0.3">
      <c r="B4" s="120"/>
      <c r="C4" s="228" t="s">
        <v>78</v>
      </c>
      <c r="D4" s="233">
        <f>SUMIFS('dunhill traffic pivot'!$AD$8:$AD$25,'dunhill traffic pivot'!$AC$8:$AC$25,$C4)</f>
        <v>728698</v>
      </c>
      <c r="E4" s="233">
        <f>SUMIFS('dunhill traffic pivot'!$AE$8:$AE$25,'dunhill traffic pivot'!$AC$8:$AC$25,$C4)</f>
        <v>719056</v>
      </c>
      <c r="F4" s="233">
        <f t="shared" si="0"/>
        <v>9642</v>
      </c>
      <c r="G4" s="552">
        <f t="shared" si="1"/>
        <v>1.3409247680291836E-2</v>
      </c>
      <c r="H4" s="235">
        <f t="shared" si="2"/>
        <v>0.14909977210404562</v>
      </c>
      <c r="I4" s="235">
        <f t="shared" si="2"/>
        <v>0.17570752815133422</v>
      </c>
      <c r="J4" s="392">
        <f t="shared" si="3"/>
        <v>-2.66077560472886</v>
      </c>
      <c r="K4" s="231">
        <f>SUMIFS('dunhill traffic pivot'!$AH$8:$AH$24,'dunhill traffic pivot'!$AC$8:$AC$24,$C4)</f>
        <v>1498</v>
      </c>
      <c r="L4" s="231">
        <f>SUMIFS('dunhill traffic pivot'!$AI$8:$AI$24,'dunhill traffic pivot'!$AC$8:$AC$24,$C4)</f>
        <v>2718</v>
      </c>
      <c r="M4" s="552">
        <f t="shared" si="4"/>
        <v>-0.44885945548197204</v>
      </c>
      <c r="N4" s="236">
        <f t="shared" si="5"/>
        <v>2.0557213001819682E-3</v>
      </c>
      <c r="O4" s="236">
        <f t="shared" si="5"/>
        <v>3.7799559422353754E-3</v>
      </c>
      <c r="P4" s="552">
        <f t="shared" si="6"/>
        <v>-0.45615204737908566</v>
      </c>
      <c r="Q4" s="234"/>
      <c r="U4" s="120"/>
      <c r="V4" s="228" t="s">
        <v>78</v>
      </c>
      <c r="W4" s="233">
        <f>SUMIFS('dunhill traffic pivot'!$AD$8:$AD$25,'dunhill traffic pivot'!$AC$8:$AC$25,$C4)</f>
        <v>728698</v>
      </c>
      <c r="X4" s="233">
        <f>SUMIFS('dunhill traffic pivot'!$AE$8:$AE$25,'dunhill traffic pivot'!$AC$8:$AC$25,$C4)</f>
        <v>719056</v>
      </c>
      <c r="Y4" s="233">
        <f t="shared" si="7"/>
        <v>9642</v>
      </c>
      <c r="Z4" s="552">
        <f t="shared" si="8"/>
        <v>1.3409247680291836E-2</v>
      </c>
      <c r="AA4" s="235">
        <f t="shared" ca="1" si="9"/>
        <v>0.14909977210404562</v>
      </c>
      <c r="AB4" s="235">
        <f t="shared" ca="1" si="10"/>
        <v>0.17417696891243795</v>
      </c>
      <c r="AC4" s="392">
        <f t="shared" ca="1" si="11"/>
        <v>-2.5077196808392319</v>
      </c>
      <c r="AD4" s="231">
        <f>SUMIFS('dunhill traffic pivot'!$AH$8:$AH$24,'dunhill traffic pivot'!$AC$8:$AC$24,$C4)</f>
        <v>1498</v>
      </c>
      <c r="AE4" s="231">
        <f>SUMIFS('dunhill traffic pivot'!$AI$8:$AI$24,'dunhill traffic pivot'!$AC$8:$AC$24,$C4)</f>
        <v>2718</v>
      </c>
      <c r="AF4" s="552">
        <f t="shared" si="12"/>
        <v>-0.44885945548197204</v>
      </c>
      <c r="AG4" s="236">
        <f t="shared" si="13"/>
        <v>2.0557213001819682E-3</v>
      </c>
      <c r="AH4" s="236">
        <f t="shared" si="14"/>
        <v>3.7799559422353754E-3</v>
      </c>
      <c r="AI4" s="552">
        <f t="shared" si="15"/>
        <v>-0.45615204737908566</v>
      </c>
      <c r="AJ4" s="234"/>
    </row>
    <row r="5" spans="1:36" x14ac:dyDescent="0.3">
      <c r="B5" s="120"/>
      <c r="C5" s="228" t="s">
        <v>79</v>
      </c>
      <c r="D5" s="233">
        <f>SUMIFS('dunhill traffic pivot'!$AD$8:$AD$25,'dunhill traffic pivot'!$AC$8:$AC$25,$C5)+SUMIFS('dunhill traffic pivot'!$AD$8:$AD$25,'dunhill traffic pivot'!$AC$8:$AC$25,"BRANDZONE")</f>
        <v>304015</v>
      </c>
      <c r="E5" s="233">
        <f>SUMIFS('dunhill traffic pivot'!$AE$8:$AE$25,'dunhill traffic pivot'!$AC$8:$AC$25,$C5)+SUMIFS('dunhill traffic pivot'!$AE$8:$AE$25,'dunhill traffic pivot'!$AC$8:$AC$25,"BRANDZONE")</f>
        <v>639972</v>
      </c>
      <c r="F5" s="233">
        <f t="shared" si="0"/>
        <v>-335957</v>
      </c>
      <c r="G5" s="552">
        <f t="shared" si="1"/>
        <v>-0.52495577931534498</v>
      </c>
      <c r="H5" s="235">
        <f t="shared" si="2"/>
        <v>6.2204873920624765E-2</v>
      </c>
      <c r="I5" s="235">
        <f t="shared" si="2"/>
        <v>0.15638267145544391</v>
      </c>
      <c r="J5" s="392">
        <f t="shared" si="3"/>
        <v>-9.4177797534819145</v>
      </c>
      <c r="K5" s="231">
        <f>SUMIFS('dunhill traffic pivot'!$AH$8:$AH$24,'dunhill traffic pivot'!$AC$8:$AC$24,$C5)+SUMIFS('dunhill traffic pivot'!$AH$8:$AH$24,'dunhill traffic pivot'!$AC$8:$AC$24,"BRANDZONE")</f>
        <v>1613</v>
      </c>
      <c r="L5" s="231">
        <f>SUMIFS('dunhill traffic pivot'!$AI$8:$AI$24,'dunhill traffic pivot'!$AC$8:$AC$24,$C5)+SUMIFS('dunhill traffic pivot'!$AI$8:$AI$24,'dunhill traffic pivot'!$AC$8:$AC$24,"BRANDZONE")</f>
        <v>3216</v>
      </c>
      <c r="M5" s="552">
        <f t="shared" si="4"/>
        <v>-0.49844527363184077</v>
      </c>
      <c r="N5" s="236">
        <f t="shared" si="5"/>
        <v>5.3056592602338699E-3</v>
      </c>
      <c r="O5" s="236">
        <f t="shared" si="5"/>
        <v>5.025219853368585E-3</v>
      </c>
      <c r="P5" s="552">
        <f t="shared" si="6"/>
        <v>5.5806395550494381E-2</v>
      </c>
      <c r="Q5" s="234"/>
      <c r="U5" s="120"/>
      <c r="V5" s="228" t="s">
        <v>82</v>
      </c>
      <c r="W5" s="233">
        <f>SUMIFS('dunhill traffic pivot'!$AD$8:$AD$25,'dunhill traffic pivot'!$AC$8:$AC$25,$C5)</f>
        <v>304001</v>
      </c>
      <c r="X5" s="233">
        <f>SUMIFS('dunhill traffic pivot'!$AE$8:$AE$25,'dunhill traffic pivot'!$AC$8:$AC$25,$C5)</f>
        <v>486368</v>
      </c>
      <c r="Y5" s="233">
        <f t="shared" si="7"/>
        <v>-182367</v>
      </c>
      <c r="Z5" s="552">
        <f t="shared" si="8"/>
        <v>-0.37495682281729059</v>
      </c>
      <c r="AA5" s="235">
        <f t="shared" ca="1" si="9"/>
        <v>6.220200936382695E-2</v>
      </c>
      <c r="AB5" s="235">
        <f t="shared" ca="1" si="10"/>
        <v>0.11781294365947106</v>
      </c>
      <c r="AC5" s="392">
        <f t="shared" ca="1" si="11"/>
        <v>-5.5610934295644112</v>
      </c>
      <c r="AD5" s="231">
        <f>SUMIFS('dunhill traffic pivot'!$AH$8:$AH$24,'dunhill traffic pivot'!$AC$8:$AC$24,$C5)</f>
        <v>1613</v>
      </c>
      <c r="AE5" s="231">
        <f>SUMIFS('dunhill traffic pivot'!$AI$8:$AI$24,'dunhill traffic pivot'!$AC$8:$AC$24,$C5)</f>
        <v>2468</v>
      </c>
      <c r="AF5" s="552">
        <f t="shared" si="12"/>
        <v>-0.34643435980551052</v>
      </c>
      <c r="AG5" s="236">
        <f t="shared" si="13"/>
        <v>5.3059035990013189E-3</v>
      </c>
      <c r="AH5" s="236">
        <f t="shared" si="14"/>
        <v>5.0743469965129281E-3</v>
      </c>
      <c r="AI5" s="552">
        <f t="shared" si="15"/>
        <v>4.5632788346464226E-2</v>
      </c>
      <c r="AJ5" s="234"/>
    </row>
    <row r="6" spans="1:36" x14ac:dyDescent="0.3">
      <c r="B6" s="120"/>
      <c r="C6" s="228" t="s">
        <v>82</v>
      </c>
      <c r="D6" s="233">
        <f>SUMIFS('dunhill traffic pivot'!$AD$8:$AD$25,'dunhill traffic pivot'!$AC$8:$AC$25,$C6)</f>
        <v>101919</v>
      </c>
      <c r="E6" s="233">
        <f>SUMIFS('dunhill traffic pivot'!$AE$8:$AE$25,'dunhill traffic pivot'!$AC$8:$AC$25,$C6)</f>
        <v>218359</v>
      </c>
      <c r="F6" s="233">
        <f t="shared" si="0"/>
        <v>-116440</v>
      </c>
      <c r="G6" s="552">
        <f t="shared" si="1"/>
        <v>-0.53325028966060484</v>
      </c>
      <c r="H6" s="235">
        <f t="shared" si="2"/>
        <v>2.0853768876917769E-2</v>
      </c>
      <c r="I6" s="235">
        <f t="shared" si="2"/>
        <v>5.3357902777526632E-2</v>
      </c>
      <c r="J6" s="392">
        <f t="shared" si="3"/>
        <v>-3.2504133900608863</v>
      </c>
      <c r="K6" s="231">
        <f>SUMIFS('dunhill traffic pivot'!$AH$8:$AH$24,'dunhill traffic pivot'!$AC$8:$AC$24,$C6)</f>
        <v>0</v>
      </c>
      <c r="L6" s="231">
        <f>SUMIFS('dunhill traffic pivot'!$AI$8:$AI$24,'dunhill traffic pivot'!$AC$8:$AC$24,$C6)</f>
        <v>0</v>
      </c>
      <c r="M6" s="552" t="str">
        <f t="shared" si="4"/>
        <v>-</v>
      </c>
      <c r="N6" s="236">
        <f t="shared" si="5"/>
        <v>0</v>
      </c>
      <c r="O6" s="236">
        <f t="shared" si="5"/>
        <v>0</v>
      </c>
      <c r="P6" s="552" t="str">
        <f t="shared" si="6"/>
        <v>-</v>
      </c>
      <c r="Q6" s="234"/>
      <c r="U6" s="120"/>
      <c r="V6" s="228" t="s">
        <v>79</v>
      </c>
      <c r="W6" s="233">
        <f>SUMIFS('dunhill traffic pivot'!$AD$8:$AD$25,'dunhill traffic pivot'!$AC$8:$AC$25,$C6)+SUMIFS('dunhill traffic pivot'!$AD$8:$AD$25,'dunhill traffic pivot'!$AC$8:$AC$25,"BRANDZONE")</f>
        <v>101933</v>
      </c>
      <c r="X6" s="233">
        <f>SUMIFS('dunhill traffic pivot'!$AE$8:$AE$25,'dunhill traffic pivot'!$AC$8:$AC$25,$C6)+SUMIFS('dunhill traffic pivot'!$AE$8:$AE$25,'dunhill traffic pivot'!$AC$8:$AC$25,"BRANDZONE")</f>
        <v>371963</v>
      </c>
      <c r="Y6" s="233">
        <f t="shared" si="7"/>
        <v>-270030</v>
      </c>
      <c r="Z6" s="552">
        <f t="shared" si="8"/>
        <v>-0.72595930240373363</v>
      </c>
      <c r="AA6" s="235">
        <f t="shared" ca="1" si="9"/>
        <v>2.0856633433715587E-2</v>
      </c>
      <c r="AB6" s="235">
        <f t="shared" ca="1" si="10"/>
        <v>9.0100615094759182E-2</v>
      </c>
      <c r="AC6" s="392">
        <f t="shared" ca="1" si="11"/>
        <v>-6.9243981661043588</v>
      </c>
      <c r="AD6" s="231">
        <f>SUMIFS('dunhill traffic pivot'!$AH$8:$AH$24,'dunhill traffic pivot'!$AC$8:$AC$24,$C6)+SUMIFS('dunhill traffic pivot'!$AH$8:$AH$24,'dunhill traffic pivot'!$AC$8:$AC$24,"BRANDZONE")</f>
        <v>0</v>
      </c>
      <c r="AE6" s="231">
        <f>SUMIFS('dunhill traffic pivot'!$AI$8:$AI$24,'dunhill traffic pivot'!$AC$8:$AC$24,$C6)+SUMIFS('dunhill traffic pivot'!$AI$8:$AI$24,'dunhill traffic pivot'!$AC$8:$AC$24,"BRANDZONE")</f>
        <v>748</v>
      </c>
      <c r="AF6" s="552">
        <f t="shared" si="12"/>
        <v>-1</v>
      </c>
      <c r="AG6" s="236">
        <f t="shared" si="13"/>
        <v>0</v>
      </c>
      <c r="AH6" s="236">
        <f t="shared" si="14"/>
        <v>2.0109527022849046E-3</v>
      </c>
      <c r="AI6" s="552">
        <f t="shared" si="15"/>
        <v>-1</v>
      </c>
      <c r="AJ6" s="234"/>
    </row>
    <row r="7" spans="1:36" x14ac:dyDescent="0.3">
      <c r="B7" s="120"/>
      <c r="C7" s="228" t="s">
        <v>81</v>
      </c>
      <c r="D7" s="233">
        <f>SUMIFS('dunhill traffic pivot'!$AD$8:$AD$25,'dunhill traffic pivot'!$AC$8:$AC$25,$C7)</f>
        <v>37973</v>
      </c>
      <c r="E7" s="233">
        <f>SUMIFS('dunhill traffic pivot'!$AE$8:$AE$25,'dunhill traffic pivot'!$AC$8:$AC$25,$C7)</f>
        <v>48142</v>
      </c>
      <c r="F7" s="233">
        <f t="shared" si="0"/>
        <v>-10169</v>
      </c>
      <c r="G7" s="552">
        <f t="shared" si="1"/>
        <v>-0.21122928004652897</v>
      </c>
      <c r="H7" s="235">
        <f t="shared" si="2"/>
        <v>7.7697010916825959E-3</v>
      </c>
      <c r="I7" s="235">
        <f t="shared" si="2"/>
        <v>1.1763912435556525E-2</v>
      </c>
      <c r="J7" s="392">
        <f t="shared" si="3"/>
        <v>-0.39942113438739285</v>
      </c>
      <c r="K7" s="231">
        <f>SUMIFS('dunhill traffic pivot'!$AH$8:$AH$24,'dunhill traffic pivot'!$AC$8:$AC$24,$C7)</f>
        <v>455</v>
      </c>
      <c r="L7" s="231">
        <f>SUMIFS('dunhill traffic pivot'!$AI$8:$AI$24,'dunhill traffic pivot'!$AC$8:$AC$24,$C7)</f>
        <v>302</v>
      </c>
      <c r="M7" s="552">
        <f t="shared" si="4"/>
        <v>0.50662251655629142</v>
      </c>
      <c r="N7" s="236">
        <f t="shared" si="5"/>
        <v>1.1982197877439232E-2</v>
      </c>
      <c r="O7" s="236">
        <f t="shared" si="5"/>
        <v>6.2731087200365585E-3</v>
      </c>
      <c r="P7" s="552">
        <f t="shared" si="6"/>
        <v>0.91008930534993215</v>
      </c>
      <c r="Q7" s="234"/>
      <c r="U7" s="120"/>
      <c r="V7" s="228" t="s">
        <v>81</v>
      </c>
      <c r="W7" s="233">
        <f>SUMIFS('dunhill traffic pivot'!$AD$8:$AD$25,'dunhill traffic pivot'!$AC$8:$AC$25,$C7)</f>
        <v>37973</v>
      </c>
      <c r="X7" s="233">
        <f>SUMIFS('dunhill traffic pivot'!$AE$8:$AE$25,'dunhill traffic pivot'!$AC$8:$AC$25,$C7)</f>
        <v>48142</v>
      </c>
      <c r="Y7" s="233">
        <f t="shared" si="7"/>
        <v>-10169</v>
      </c>
      <c r="Z7" s="552">
        <f t="shared" si="8"/>
        <v>-0.21122928004652897</v>
      </c>
      <c r="AA7" s="235">
        <f t="shared" ca="1" si="9"/>
        <v>7.7697010916825959E-3</v>
      </c>
      <c r="AB7" s="235">
        <f t="shared" ca="1" si="10"/>
        <v>1.1661438938528555E-2</v>
      </c>
      <c r="AC7" s="392">
        <f t="shared" ca="1" si="11"/>
        <v>-0.3891737846845959</v>
      </c>
      <c r="AD7" s="231">
        <f>SUMIFS('dunhill traffic pivot'!$AH$8:$AH$24,'dunhill traffic pivot'!$AC$8:$AC$24,$C7)</f>
        <v>455</v>
      </c>
      <c r="AE7" s="231">
        <f>SUMIFS('dunhill traffic pivot'!$AI$8:$AI$24,'dunhill traffic pivot'!$AC$8:$AC$24,$C7)</f>
        <v>302</v>
      </c>
      <c r="AF7" s="552">
        <f t="shared" si="12"/>
        <v>0.50662251655629142</v>
      </c>
      <c r="AG7" s="236">
        <f t="shared" si="13"/>
        <v>1.1982197877439232E-2</v>
      </c>
      <c r="AH7" s="236">
        <f t="shared" si="14"/>
        <v>6.2731087200365585E-3</v>
      </c>
      <c r="AI7" s="552">
        <f t="shared" si="15"/>
        <v>0.91008930534993215</v>
      </c>
      <c r="AJ7" s="234"/>
    </row>
    <row r="8" spans="1:36" ht="20" x14ac:dyDescent="0.3">
      <c r="B8" s="120"/>
      <c r="C8" s="228" t="s">
        <v>660</v>
      </c>
      <c r="D8" s="233">
        <f>SUMIFS('dunhill traffic pivot'!$AD$8:$AD$25,'dunhill traffic pivot'!$AC$8:$AC$25,$C8)</f>
        <v>19624</v>
      </c>
      <c r="E8" s="233">
        <f>SUMIFS('dunhill traffic pivot'!$AE$8:$AE$25,'dunhill traffic pivot'!$AC$8:$AC$25,$C8)</f>
        <v>211086</v>
      </c>
      <c r="F8" s="233">
        <f t="shared" si="0"/>
        <v>-191462</v>
      </c>
      <c r="G8" s="552">
        <f t="shared" si="1"/>
        <v>-0.90703315236443915</v>
      </c>
      <c r="H8" s="235">
        <f t="shared" si="2"/>
        <v>4.0152901857419552E-3</v>
      </c>
      <c r="I8" s="235">
        <f t="shared" si="2"/>
        <v>5.1580682571806001E-2</v>
      </c>
      <c r="J8" s="392">
        <f t="shared" si="3"/>
        <v>-4.7565392386064049</v>
      </c>
      <c r="K8" s="231">
        <f>SUMIFS('dunhill traffic pivot'!$AH$8:$AH$24,'dunhill traffic pivot'!$AC$8:$AC$24,$C8)</f>
        <v>6</v>
      </c>
      <c r="L8" s="231">
        <f>SUMIFS('dunhill traffic pivot'!$AI$8:$AI$24,'dunhill traffic pivot'!$AC$8:$AC$24,$C8)</f>
        <v>0</v>
      </c>
      <c r="M8" s="552" t="str">
        <f t="shared" si="4"/>
        <v>-</v>
      </c>
      <c r="N8" s="236">
        <f t="shared" si="5"/>
        <v>3.0574806359559721E-4</v>
      </c>
      <c r="O8" s="236">
        <f t="shared" si="5"/>
        <v>0</v>
      </c>
      <c r="P8" s="552" t="str">
        <f t="shared" si="6"/>
        <v>-</v>
      </c>
      <c r="Q8" s="234"/>
      <c r="U8" s="120"/>
      <c r="V8" s="228" t="s">
        <v>660</v>
      </c>
      <c r="W8" s="233">
        <f>SUMIFS('dunhill traffic pivot'!$AD$8:$AD$25,'dunhill traffic pivot'!$AC$8:$AC$25,$C8)</f>
        <v>19624</v>
      </c>
      <c r="X8" s="233">
        <f>SUMIFS('dunhill traffic pivot'!$AE$8:$AE$25,'dunhill traffic pivot'!$AC$8:$AC$25,$C8)</f>
        <v>211086</v>
      </c>
      <c r="Y8" s="233">
        <f t="shared" si="7"/>
        <v>-191462</v>
      </c>
      <c r="Z8" s="552">
        <f t="shared" si="8"/>
        <v>-0.90703315236443915</v>
      </c>
      <c r="AA8" s="235">
        <f t="shared" ca="1" si="9"/>
        <v>4.0152901857419552E-3</v>
      </c>
      <c r="AB8" s="235">
        <f t="shared" ca="1" si="10"/>
        <v>5.113137177055873E-2</v>
      </c>
      <c r="AC8" s="392">
        <f t="shared" ca="1" si="11"/>
        <v>-4.7116081584816776</v>
      </c>
      <c r="AD8" s="231">
        <f>SUMIFS('dunhill traffic pivot'!$AH$8:$AH$24,'dunhill traffic pivot'!$AC$8:$AC$24,$C8)</f>
        <v>6</v>
      </c>
      <c r="AE8" s="231">
        <f>SUMIFS('dunhill traffic pivot'!$AI$8:$AI$24,'dunhill traffic pivot'!$AC$8:$AC$24,$C8)</f>
        <v>0</v>
      </c>
      <c r="AF8" s="552" t="str">
        <f t="shared" si="12"/>
        <v>-</v>
      </c>
      <c r="AG8" s="236">
        <f t="shared" si="13"/>
        <v>3.0574806359559721E-4</v>
      </c>
      <c r="AH8" s="236">
        <f t="shared" si="14"/>
        <v>0</v>
      </c>
      <c r="AI8" s="552" t="str">
        <f t="shared" si="15"/>
        <v>-</v>
      </c>
      <c r="AJ8" s="234"/>
    </row>
    <row r="9" spans="1:36" x14ac:dyDescent="0.3">
      <c r="B9" s="120"/>
      <c r="C9" s="228" t="s">
        <v>71</v>
      </c>
      <c r="D9" s="233">
        <f>SUMIFS('dunhill traffic pivot'!$AD$8:$AD$25,'dunhill traffic pivot'!$AC$8:$AC$25,$C9)</f>
        <v>0</v>
      </c>
      <c r="E9" s="233">
        <f>SUMIFS('dunhill traffic pivot'!$AE$8:$AE$25,'dunhill traffic pivot'!$AC$8:$AC$25,$C9)</f>
        <v>136253</v>
      </c>
      <c r="F9" s="233">
        <f t="shared" si="0"/>
        <v>-136253</v>
      </c>
      <c r="G9" s="552">
        <f t="shared" si="1"/>
        <v>-1</v>
      </c>
      <c r="H9" s="235">
        <f t="shared" si="2"/>
        <v>0</v>
      </c>
      <c r="I9" s="235">
        <f t="shared" si="2"/>
        <v>3.3294594347594263E-2</v>
      </c>
      <c r="J9" s="392">
        <f t="shared" si="3"/>
        <v>-3.3294594347594262</v>
      </c>
      <c r="K9" s="231">
        <f>SUMIFS('dunhill traffic pivot'!$AH$8:$AH$24,'dunhill traffic pivot'!$AC$8:$AC$24,$C9)</f>
        <v>0</v>
      </c>
      <c r="L9" s="231">
        <f>SUMIFS('dunhill traffic pivot'!$AI$8:$AI$24,'dunhill traffic pivot'!$AC$8:$AC$24,$C9)</f>
        <v>88</v>
      </c>
      <c r="M9" s="552">
        <f t="shared" si="4"/>
        <v>-1</v>
      </c>
      <c r="N9" s="236">
        <f t="shared" si="5"/>
        <v>0</v>
      </c>
      <c r="O9" s="236">
        <f t="shared" si="5"/>
        <v>6.4585733892097788E-4</v>
      </c>
      <c r="P9" s="552">
        <f t="shared" si="6"/>
        <v>-1</v>
      </c>
      <c r="Q9" s="234"/>
      <c r="U9" s="120"/>
      <c r="V9" s="228" t="s">
        <v>71</v>
      </c>
      <c r="W9" s="233">
        <f>SUMIFS('dunhill traffic pivot'!$AD$8:$AD$25,'dunhill traffic pivot'!$AC$8:$AC$25,$C9)</f>
        <v>0</v>
      </c>
      <c r="X9" s="233">
        <f>SUMIFS('dunhill traffic pivot'!$AE$8:$AE$25,'dunhill traffic pivot'!$AC$8:$AC$25,$C9)</f>
        <v>136253</v>
      </c>
      <c r="Y9" s="233">
        <f t="shared" si="7"/>
        <v>-136253</v>
      </c>
      <c r="Z9" s="552">
        <f t="shared" si="8"/>
        <v>-1</v>
      </c>
      <c r="AA9" s="235">
        <f t="shared" ca="1" si="9"/>
        <v>0</v>
      </c>
      <c r="AB9" s="235">
        <f t="shared" ca="1" si="10"/>
        <v>3.300457063876306E-2</v>
      </c>
      <c r="AC9" s="392">
        <f t="shared" ca="1" si="11"/>
        <v>-3.3004570638763062</v>
      </c>
      <c r="AD9" s="231">
        <f>SUMIFS('dunhill traffic pivot'!$AH$8:$AH$24,'dunhill traffic pivot'!$AC$8:$AC$24,$C9)</f>
        <v>0</v>
      </c>
      <c r="AE9" s="231">
        <f>SUMIFS('dunhill traffic pivot'!$AI$8:$AI$24,'dunhill traffic pivot'!$AC$8:$AC$24,$C9)</f>
        <v>88</v>
      </c>
      <c r="AF9" s="552">
        <f t="shared" si="12"/>
        <v>-1</v>
      </c>
      <c r="AG9" s="236">
        <f t="shared" si="13"/>
        <v>0</v>
      </c>
      <c r="AH9" s="236">
        <f t="shared" si="14"/>
        <v>6.4585733892097788E-4</v>
      </c>
      <c r="AI9" s="552">
        <f t="shared" si="15"/>
        <v>-1</v>
      </c>
      <c r="AJ9" s="234"/>
    </row>
    <row r="10" spans="1:36" x14ac:dyDescent="0.3">
      <c r="B10" s="120"/>
      <c r="C10" s="228" t="s">
        <v>397</v>
      </c>
      <c r="D10" s="233">
        <f>SUMIFS('dunhill traffic pivot'!$AD$8:$AD$25,'dunhill traffic pivot'!$AC$8:$AC$25,$C10)</f>
        <v>0</v>
      </c>
      <c r="E10" s="233">
        <f>SUMIFS('dunhill traffic pivot'!$AE$8:$AE$25,'dunhill traffic pivot'!$AC$8:$AC$25,$C10)</f>
        <v>0</v>
      </c>
      <c r="F10" s="233">
        <f t="shared" si="0"/>
        <v>0</v>
      </c>
      <c r="G10" s="552" t="str">
        <f t="shared" si="1"/>
        <v>-</v>
      </c>
      <c r="H10" s="235">
        <f t="shared" si="2"/>
        <v>0</v>
      </c>
      <c r="I10" s="235">
        <f t="shared" si="2"/>
        <v>0</v>
      </c>
      <c r="J10" s="392">
        <f t="shared" si="3"/>
        <v>0</v>
      </c>
      <c r="K10" s="231">
        <f>SUMIFS('dunhill traffic pivot'!$F$8:$F$43,'dunhill traffic pivot'!$A$8:$A$43,$C10)</f>
        <v>0</v>
      </c>
      <c r="L10" s="231">
        <f>SUMIFS('dunhill traffic pivot'!$G$8:$G$43,'dunhill traffic pivot'!$A$8:$A$43,$C10)</f>
        <v>0</v>
      </c>
      <c r="M10" s="552" t="str">
        <f t="shared" si="4"/>
        <v>-</v>
      </c>
      <c r="N10" s="236">
        <f t="shared" si="5"/>
        <v>0</v>
      </c>
      <c r="O10" s="236">
        <f t="shared" si="5"/>
        <v>0</v>
      </c>
      <c r="P10" s="552" t="str">
        <f t="shared" si="6"/>
        <v>-</v>
      </c>
      <c r="Q10" s="234"/>
      <c r="U10" s="120"/>
      <c r="V10" s="228" t="s">
        <v>397</v>
      </c>
      <c r="W10" s="233">
        <f>SUMIFS('dunhill traffic pivot'!$AD$8:$AD$25,'dunhill traffic pivot'!$AC$8:$AC$25,$C10)</f>
        <v>0</v>
      </c>
      <c r="X10" s="233">
        <f>SUMIFS('dunhill traffic pivot'!$AE$8:$AE$25,'dunhill traffic pivot'!$AC$8:$AC$25,$C10)</f>
        <v>0</v>
      </c>
      <c r="Y10" s="233">
        <f t="shared" si="7"/>
        <v>0</v>
      </c>
      <c r="Z10" s="552" t="str">
        <f t="shared" si="8"/>
        <v>-</v>
      </c>
      <c r="AA10" s="235">
        <f t="shared" ca="1" si="9"/>
        <v>0</v>
      </c>
      <c r="AB10" s="235">
        <f t="shared" ca="1" si="10"/>
        <v>0</v>
      </c>
      <c r="AC10" s="392">
        <f t="shared" ca="1" si="11"/>
        <v>0</v>
      </c>
      <c r="AD10" s="231">
        <f>SUMIFS('dunhill traffic pivot'!$F$8:$F$43,'dunhill traffic pivot'!$A$8:$A$43,$C10)</f>
        <v>0</v>
      </c>
      <c r="AE10" s="231">
        <f>SUMIFS('dunhill traffic pivot'!$G$8:$G$43,'dunhill traffic pivot'!$A$8:$A$43,$C10)</f>
        <v>0</v>
      </c>
      <c r="AF10" s="552" t="str">
        <f t="shared" si="12"/>
        <v>-</v>
      </c>
      <c r="AG10" s="236">
        <f t="shared" si="13"/>
        <v>0</v>
      </c>
      <c r="AH10" s="236">
        <f t="shared" si="14"/>
        <v>0</v>
      </c>
      <c r="AI10" s="552" t="str">
        <f t="shared" si="15"/>
        <v>-</v>
      </c>
      <c r="AJ10" s="234"/>
    </row>
    <row r="11" spans="1:36" x14ac:dyDescent="0.3">
      <c r="B11" s="120"/>
      <c r="C11" s="228"/>
      <c r="D11" s="233"/>
      <c r="E11" s="233"/>
      <c r="F11" s="233"/>
      <c r="G11" s="552"/>
      <c r="H11" s="235"/>
      <c r="I11" s="235"/>
      <c r="J11" s="392"/>
      <c r="K11" s="231"/>
      <c r="L11" s="231"/>
      <c r="M11" s="231"/>
      <c r="N11" s="236"/>
      <c r="O11" s="236"/>
      <c r="P11" s="552"/>
      <c r="Q11" s="234"/>
      <c r="U11" s="120"/>
      <c r="V11" s="228"/>
      <c r="W11" s="233"/>
      <c r="X11" s="233"/>
      <c r="Y11" s="233"/>
      <c r="Z11" s="552"/>
      <c r="AA11" s="235"/>
      <c r="AB11" s="235"/>
      <c r="AC11" s="392"/>
      <c r="AD11" s="231"/>
      <c r="AE11" s="231"/>
      <c r="AF11" s="231"/>
      <c r="AG11" s="236"/>
      <c r="AH11" s="236"/>
      <c r="AI11" s="552"/>
      <c r="AJ11" s="234"/>
    </row>
    <row r="12" spans="1:36" x14ac:dyDescent="0.3">
      <c r="B12" s="237" t="s">
        <v>83</v>
      </c>
      <c r="C12" s="237"/>
      <c r="D12" s="238">
        <f>SUM(D3:D10)</f>
        <v>3179832</v>
      </c>
      <c r="E12" s="238">
        <f>SUM(E3:E10)</f>
        <v>2802139</v>
      </c>
      <c r="F12" s="239">
        <f t="shared" ref="F12" si="16">D12-E12</f>
        <v>377693</v>
      </c>
      <c r="G12" s="553">
        <f t="shared" ref="G12" si="17">IFERROR(D12/E12-1,"-")</f>
        <v>0.13478738920517497</v>
      </c>
      <c r="H12" s="165">
        <f t="shared" ref="H12" si="18">D12/D$29</f>
        <v>0.65062924082288076</v>
      </c>
      <c r="I12" s="165">
        <f t="shared" ref="I12" si="19">E12/E$29</f>
        <v>0.68472680462502433</v>
      </c>
      <c r="J12" s="393">
        <f t="shared" ref="J12" si="20">(H12-I12)*100</f>
        <v>-3.4097563802143571</v>
      </c>
      <c r="K12" s="164">
        <f>SUM(K3:K10)</f>
        <v>4558</v>
      </c>
      <c r="L12" s="164">
        <f>SUM(L3:L10)</f>
        <v>7377</v>
      </c>
      <c r="M12" s="556">
        <f t="shared" ref="M12" si="21">IFERROR(K12/L12-1,"-")</f>
        <v>-0.38213365866883553</v>
      </c>
      <c r="N12" s="168">
        <f t="shared" ref="N12" si="22">IFERROR(K12/D12,0)</f>
        <v>1.4334090606044597E-3</v>
      </c>
      <c r="O12" s="168">
        <f t="shared" ref="O12" si="23">IFERROR(L12/E12,0)</f>
        <v>2.6326317145580571E-3</v>
      </c>
      <c r="P12" s="555">
        <f t="shared" ref="P12" si="24">IFERROR(N12/O12-1,"-")</f>
        <v>-0.45552237607792867</v>
      </c>
      <c r="Q12" s="165"/>
      <c r="U12" s="237" t="s">
        <v>83</v>
      </c>
      <c r="V12" s="237"/>
      <c r="W12" s="238">
        <f>SUM(W3:W10)</f>
        <v>3179832</v>
      </c>
      <c r="X12" s="238">
        <f>SUM(X3:X10)</f>
        <v>2802139</v>
      </c>
      <c r="Y12" s="239">
        <f t="shared" ref="Y12:Y26" si="25">W12-X12</f>
        <v>377693</v>
      </c>
      <c r="Z12" s="553">
        <f t="shared" ref="Z12:Z26" si="26">IFERROR(W12/X12-1,"-")</f>
        <v>0.13478738920517497</v>
      </c>
      <c r="AA12" s="165">
        <f t="shared" ref="AA12:AA26" ca="1" si="27">W12/W$29</f>
        <v>0.65062924082288076</v>
      </c>
      <c r="AB12" s="165">
        <f t="shared" ref="AB12:AB26" ca="1" si="28">X12/X$29</f>
        <v>0.67876226259335848</v>
      </c>
      <c r="AC12" s="393">
        <f t="shared" ref="AC12:AC26" ca="1" si="29">(AA12-AB12)*100</f>
        <v>-2.8133021770477717</v>
      </c>
      <c r="AD12" s="164">
        <f>SUM(AD3:AD10)</f>
        <v>4558</v>
      </c>
      <c r="AE12" s="164">
        <f>SUM(AE3:AE10)</f>
        <v>7377</v>
      </c>
      <c r="AF12" s="556">
        <f t="shared" ref="AF12:AF26" si="30">IFERROR(AD12/AE12-1,"-")</f>
        <v>-0.38213365866883553</v>
      </c>
      <c r="AG12" s="168">
        <f t="shared" ref="AG12:AG26" si="31">IFERROR(AD12/W12,0)</f>
        <v>1.4334090606044597E-3</v>
      </c>
      <c r="AH12" s="168">
        <f t="shared" ref="AH12:AH26" si="32">IFERROR(AE12/X12,0)</f>
        <v>2.6326317145580571E-3</v>
      </c>
      <c r="AI12" s="555">
        <f t="shared" ref="AI12:AI26" si="33">IFERROR(AG12/AH12-1,"-")</f>
        <v>-0.45552237607792867</v>
      </c>
      <c r="AJ12" s="165"/>
    </row>
    <row r="13" spans="1:36" s="169" customFormat="1" ht="20" x14ac:dyDescent="0.3">
      <c r="A13" s="91"/>
      <c r="B13" s="120" t="s">
        <v>243</v>
      </c>
      <c r="C13" s="228" t="s">
        <v>85</v>
      </c>
      <c r="D13" s="233">
        <f>SUMIFS('dunhill traffic pivot'!$B$8:$B$61,'dunhill traffic pivot'!$A$8:$A$61,$C13)-SUMIFS(三级流量源!F:F,三级流量源!R:R,"其他猜你喜欢",三级流量源!E:E,"品牌特秀",三级流量源!B:B,"&gt;="&amp;$F$1,三级流量源!B:B,"&lt;="&amp;$D$1,三级流量源!A:A,$H$1)</f>
        <v>705494</v>
      </c>
      <c r="E13" s="233">
        <f>SUMIFS('dunhill traffic pivot'!$C$8:$C$61,'dunhill traffic pivot'!$A$8:$A$61,$C13)-SUMIFS(三级流量源!F:F,三级流量源!R:R,"其他猜你喜欢",三级流量源!E:E,"品牌特秀",三级流量源!B:B,"&gt;="&amp;$G$1,三级流量源!B:B,"&lt;="&amp;$E$1,三级流量源!A:A,$H$1)</f>
        <v>390041</v>
      </c>
      <c r="F13" s="233">
        <f t="shared" ref="F13:F26" si="34">D13-E13</f>
        <v>315453</v>
      </c>
      <c r="G13" s="552">
        <f t="shared" ref="G13:G26" si="35">IFERROR(D13/E13-1,"-")</f>
        <v>0.80876882173925302</v>
      </c>
      <c r="H13" s="235">
        <f t="shared" ref="H13:H26" si="36">D13/D$29</f>
        <v>0.14435197382286152</v>
      </c>
      <c r="I13" s="235">
        <f t="shared" ref="I13:I26" si="37">E13/E$29</f>
        <v>9.5309878490235186E-2</v>
      </c>
      <c r="J13" s="392">
        <f t="shared" ref="J13:J26" si="38">(H13-I13)*100</f>
        <v>4.9042095332626339</v>
      </c>
      <c r="K13" s="231">
        <f>SUMIFS('dunhill traffic pivot'!$F$8:$F$43,'dunhill traffic pivot'!$A$8:$A$43,$C13)-SUMIFS(三级流量源!M:M,三级流量源!R:R,"其他猜你喜欢",三级流量源!E:E,"品牌特秀",三级流量源!B:B,"&gt;="&amp;$F$1,三级流量源!B:B,"&lt;="&amp;$D$1,三级流量源!A:A,$H$1)</f>
        <v>1193</v>
      </c>
      <c r="L13" s="231">
        <f>SUMIFS('dunhill traffic pivot'!$G$8:$G$43,'dunhill traffic pivot'!$A$8:$A$43,$C13)-SUMIFS(三级流量源!M:M,三级流量源!R:R,"其他猜你喜欢",三级流量源!E:E,"品牌特秀",三级流量源!B:B,"&gt;="&amp;$G$1,三级流量源!B:B,"&lt;="&amp;$E$1,三级流量源!A:A,$H$1)</f>
        <v>950</v>
      </c>
      <c r="M13" s="552">
        <f t="shared" ref="M13:M26" si="39">IFERROR(K13/L13-1,"-")</f>
        <v>0.25578947368421057</v>
      </c>
      <c r="N13" s="236">
        <f t="shared" ref="N13:N26" si="40">IFERROR(K13/D13,0)</f>
        <v>1.6910136726889244E-3</v>
      </c>
      <c r="O13" s="236">
        <f t="shared" ref="O13:O26" si="41">IFERROR(L13/E13,0)</f>
        <v>2.4356413812906849E-3</v>
      </c>
      <c r="P13" s="552">
        <f t="shared" ref="P13:P26" si="42">IFERROR(N13/O13-1,"-")</f>
        <v>-0.30572140641130452</v>
      </c>
      <c r="Q13" s="234"/>
      <c r="R13" s="91"/>
      <c r="U13" s="120" t="s">
        <v>243</v>
      </c>
      <c r="V13" s="228" t="s">
        <v>85</v>
      </c>
      <c r="W13" s="233">
        <f ca="1">SUMIFS('dunhill traffic pivot'!$B$8:$B$61,'dunhill traffic pivot'!$A$8:$A$61,$C13)-SUMIFS(三级流量源!Y:Y,三级流量源!AK:AK,"其他猜你喜欢",三级流量源!X:X,"品牌特秀",三级流量源!U:U,"&gt;="&amp;$F$1,三级流量源!U:U,"&lt;="&amp;$D$1,三级流量源!T:T,$H$1)</f>
        <v>705494</v>
      </c>
      <c r="X13" s="233">
        <f ca="1">SUMIFS('dunhill traffic pivot'!$C$8:$C$61,'dunhill traffic pivot'!$A$8:$A$61,$C13)-SUMIFS(三级流量源!Y:Y,三级流量源!AK:AK,"其他猜你喜欢",三级流量源!X:X,"品牌特秀",三级流量源!U:U,"&gt;="&amp;$G$1,三级流量源!U:U,"&lt;="&amp;$E$1,三级流量源!T:T,$H$1)</f>
        <v>426002</v>
      </c>
      <c r="Y13" s="233">
        <f t="shared" ca="1" si="25"/>
        <v>279492</v>
      </c>
      <c r="Z13" s="552">
        <f t="shared" ca="1" si="26"/>
        <v>0.65608142684776127</v>
      </c>
      <c r="AA13" s="235">
        <f t="shared" ca="1" si="27"/>
        <v>0.14435197382286152</v>
      </c>
      <c r="AB13" s="235">
        <f t="shared" ca="1" si="28"/>
        <v>0.10319048462238879</v>
      </c>
      <c r="AC13" s="392">
        <f t="shared" ca="1" si="29"/>
        <v>4.116148920047273</v>
      </c>
      <c r="AD13" s="231">
        <f ca="1">SUMIFS('dunhill traffic pivot'!$F$8:$F$43,'dunhill traffic pivot'!$A$8:$A$43,$C13)-SUMIFS(三级流量源!AF:AF,三级流量源!AK:AK,"其他猜你喜欢",三级流量源!X:X,"品牌特秀",三级流量源!U:U,"&gt;="&amp;$F$1,三级流量源!U:U,"&lt;="&amp;$D$1,三级流量源!T:T,$H$1)</f>
        <v>1193</v>
      </c>
      <c r="AE13" s="231">
        <f ca="1">SUMIFS('dunhill traffic pivot'!$G$8:$G$43,'dunhill traffic pivot'!$A$8:$A$43,$C13)-SUMIFS(三级流量源!AF:AF,三级流量源!AK:AK,"其他猜你喜欢",三级流量源!X:X,"品牌特秀",三级流量源!U:U,"&gt;="&amp;$G$1,三级流量源!U:U,"&lt;="&amp;$E$1,三级流量源!T:T,$H$1)</f>
        <v>1022</v>
      </c>
      <c r="AF13" s="552">
        <f t="shared" ca="1" si="30"/>
        <v>0.16731898238747545</v>
      </c>
      <c r="AG13" s="236">
        <f t="shared" ca="1" si="31"/>
        <v>1.6910136726889244E-3</v>
      </c>
      <c r="AH13" s="236">
        <f t="shared" ca="1" si="32"/>
        <v>2.399049769719391E-3</v>
      </c>
      <c r="AI13" s="552">
        <f t="shared" ca="1" si="33"/>
        <v>-0.29513189178784038</v>
      </c>
      <c r="AJ13" s="234"/>
    </row>
    <row r="14" spans="1:36" ht="30" x14ac:dyDescent="0.3">
      <c r="A14" s="169"/>
      <c r="B14" s="122"/>
      <c r="C14" s="228" t="s">
        <v>84</v>
      </c>
      <c r="D14" s="233">
        <f>SUMIFS('dunhill traffic pivot'!$B$8:$B$61,'dunhill traffic pivot'!$A$8:$A$61,$C14)</f>
        <v>273193</v>
      </c>
      <c r="E14" s="233">
        <f>SUMIFS('dunhill traffic pivot'!$C$8:$C$61,'dunhill traffic pivot'!$A$8:$A$61,$C14)</f>
        <v>161342</v>
      </c>
      <c r="F14" s="233">
        <f t="shared" si="34"/>
        <v>111851</v>
      </c>
      <c r="G14" s="552">
        <f t="shared" si="35"/>
        <v>0.69325408139232181</v>
      </c>
      <c r="H14" s="235">
        <f t="shared" si="36"/>
        <v>5.5898347519027822E-2</v>
      </c>
      <c r="I14" s="235">
        <f t="shared" si="37"/>
        <v>3.9425307635278149E-2</v>
      </c>
      <c r="J14" s="392">
        <f t="shared" si="38"/>
        <v>1.6473039883749672</v>
      </c>
      <c r="K14" s="231">
        <f>SUMIFS('dunhill traffic pivot'!$F$8:$F$43,'dunhill traffic pivot'!$A$8:$A$43,$C14)</f>
        <v>1078</v>
      </c>
      <c r="L14" s="231">
        <f>SUMIFS('dunhill traffic pivot'!$G$8:$G$43,'dunhill traffic pivot'!$A$8:$A$43,$C14)</f>
        <v>1742</v>
      </c>
      <c r="M14" s="552">
        <f t="shared" si="39"/>
        <v>-0.38117106773823195</v>
      </c>
      <c r="N14" s="236">
        <f t="shared" si="40"/>
        <v>3.945928336377579E-3</v>
      </c>
      <c r="O14" s="236">
        <f t="shared" si="41"/>
        <v>1.0796940660212468E-2</v>
      </c>
      <c r="P14" s="552">
        <f t="shared" si="42"/>
        <v>-0.63453273843408076</v>
      </c>
      <c r="Q14" s="234"/>
      <c r="R14" s="169"/>
      <c r="U14" s="121"/>
      <c r="V14" s="228" t="s">
        <v>89</v>
      </c>
      <c r="W14" s="233">
        <f>SUMIFS('dunhill traffic pivot'!$B$8:$B$61,'dunhill traffic pivot'!$A$8:$A$61,$C14)</f>
        <v>273193</v>
      </c>
      <c r="X14" s="233">
        <f>SUMIFS('dunhill traffic pivot'!$C$8:$C$61,'dunhill traffic pivot'!$A$8:$A$61,$C14)</f>
        <v>161342</v>
      </c>
      <c r="Y14" s="233">
        <f t="shared" si="25"/>
        <v>111851</v>
      </c>
      <c r="Z14" s="552">
        <f t="shared" si="26"/>
        <v>0.69325408139232181</v>
      </c>
      <c r="AA14" s="235">
        <f t="shared" ca="1" si="27"/>
        <v>5.5898347519027822E-2</v>
      </c>
      <c r="AB14" s="235">
        <f t="shared" ca="1" si="28"/>
        <v>3.9081880296208592E-2</v>
      </c>
      <c r="AC14" s="392">
        <f t="shared" ca="1" si="29"/>
        <v>1.6816467222819229</v>
      </c>
      <c r="AD14" s="231">
        <f>SUMIFS('dunhill traffic pivot'!$F$8:$F$43,'dunhill traffic pivot'!$A$8:$A$43,$C14)</f>
        <v>1078</v>
      </c>
      <c r="AE14" s="231">
        <f>SUMIFS('dunhill traffic pivot'!$G$8:$G$43,'dunhill traffic pivot'!$A$8:$A$43,$C14)</f>
        <v>1742</v>
      </c>
      <c r="AF14" s="552">
        <f t="shared" si="30"/>
        <v>-0.38117106773823195</v>
      </c>
      <c r="AG14" s="236">
        <f t="shared" si="31"/>
        <v>3.945928336377579E-3</v>
      </c>
      <c r="AH14" s="236">
        <f t="shared" si="32"/>
        <v>1.0796940660212468E-2</v>
      </c>
      <c r="AI14" s="552">
        <f t="shared" si="33"/>
        <v>-0.63453273843408076</v>
      </c>
      <c r="AJ14" s="234"/>
    </row>
    <row r="15" spans="1:36" ht="20" x14ac:dyDescent="0.3">
      <c r="B15" s="121"/>
      <c r="C15" s="228" t="s">
        <v>89</v>
      </c>
      <c r="D15" s="233">
        <f>SUMIFS('dunhill traffic pivot'!$B$8:$B$61,'dunhill traffic pivot'!$A$8:$A$61,$C15)</f>
        <v>209415</v>
      </c>
      <c r="E15" s="233">
        <f>SUMIFS('dunhill traffic pivot'!$C$8:$C$61,'dunhill traffic pivot'!$A$8:$A$61,$C15)</f>
        <v>307387</v>
      </c>
      <c r="F15" s="233">
        <f t="shared" si="34"/>
        <v>-97972</v>
      </c>
      <c r="G15" s="552">
        <f t="shared" si="35"/>
        <v>-0.31872525513440708</v>
      </c>
      <c r="H15" s="235">
        <f t="shared" si="36"/>
        <v>4.2848654415366463E-2</v>
      </c>
      <c r="I15" s="235">
        <f t="shared" si="37"/>
        <v>7.5112661539371309E-2</v>
      </c>
      <c r="J15" s="392">
        <f t="shared" si="38"/>
        <v>-3.2264007124004843</v>
      </c>
      <c r="K15" s="231">
        <f>SUMIFS('dunhill traffic pivot'!$F$8:$F$43,'dunhill traffic pivot'!$A$8:$A$43,$C15)</f>
        <v>841</v>
      </c>
      <c r="L15" s="231">
        <f>SUMIFS('dunhill traffic pivot'!$G$8:$G$43,'dunhill traffic pivot'!$A$8:$A$43,$C15)</f>
        <v>604</v>
      </c>
      <c r="M15" s="552">
        <f t="shared" si="39"/>
        <v>0.39238410596026485</v>
      </c>
      <c r="N15" s="236">
        <f t="shared" si="40"/>
        <v>4.0159491917961939E-3</v>
      </c>
      <c r="O15" s="236">
        <f t="shared" si="41"/>
        <v>1.9649497213610205E-3</v>
      </c>
      <c r="P15" s="552">
        <f t="shared" si="42"/>
        <v>1.043792341421617</v>
      </c>
      <c r="Q15" s="234"/>
      <c r="U15" s="122"/>
      <c r="V15" s="228" t="s">
        <v>84</v>
      </c>
      <c r="W15" s="233">
        <f>SUMIFS('dunhill traffic pivot'!$B$8:$B$61,'dunhill traffic pivot'!$A$8:$A$61,$C15)</f>
        <v>209415</v>
      </c>
      <c r="X15" s="233">
        <f>SUMIFS('dunhill traffic pivot'!$C$8:$C$61,'dunhill traffic pivot'!$A$8:$A$61,$C15)</f>
        <v>307387</v>
      </c>
      <c r="Y15" s="233">
        <f t="shared" si="25"/>
        <v>-97972</v>
      </c>
      <c r="Z15" s="552">
        <f t="shared" si="26"/>
        <v>-0.31872525513440708</v>
      </c>
      <c r="AA15" s="235">
        <f t="shared" ca="1" si="27"/>
        <v>4.2848654415366463E-2</v>
      </c>
      <c r="AB15" s="235">
        <f t="shared" ca="1" si="28"/>
        <v>7.4458367558420432E-2</v>
      </c>
      <c r="AC15" s="392">
        <f t="shared" ca="1" si="29"/>
        <v>-3.1609713143053968</v>
      </c>
      <c r="AD15" s="231">
        <f>SUMIFS('dunhill traffic pivot'!$F$8:$F$43,'dunhill traffic pivot'!$A$8:$A$43,$C15)</f>
        <v>841</v>
      </c>
      <c r="AE15" s="231">
        <f>SUMIFS('dunhill traffic pivot'!$G$8:$G$43,'dunhill traffic pivot'!$A$8:$A$43,$C15)</f>
        <v>604</v>
      </c>
      <c r="AF15" s="552">
        <f t="shared" si="30"/>
        <v>0.39238410596026485</v>
      </c>
      <c r="AG15" s="236">
        <f t="shared" si="31"/>
        <v>4.0159491917961939E-3</v>
      </c>
      <c r="AH15" s="236">
        <f t="shared" si="32"/>
        <v>1.9649497213610205E-3</v>
      </c>
      <c r="AI15" s="552">
        <f t="shared" si="33"/>
        <v>1.043792341421617</v>
      </c>
      <c r="AJ15" s="234"/>
    </row>
    <row r="16" spans="1:36" ht="20" x14ac:dyDescent="0.3">
      <c r="B16" s="122"/>
      <c r="C16" s="228" t="s">
        <v>86</v>
      </c>
      <c r="D16" s="233">
        <f>SUMIFS('dunhill traffic pivot'!$B$8:$B$61,'dunhill traffic pivot'!$A$8:$A$61,$C16)</f>
        <v>149039</v>
      </c>
      <c r="E16" s="233">
        <f>SUMIFS('dunhill traffic pivot'!$C$8:$C$61,'dunhill traffic pivot'!$A$8:$A$61,$C16)</f>
        <v>120498</v>
      </c>
      <c r="F16" s="233">
        <f t="shared" si="34"/>
        <v>28541</v>
      </c>
      <c r="G16" s="552">
        <f t="shared" si="35"/>
        <v>0.23685870304901324</v>
      </c>
      <c r="H16" s="235">
        <f t="shared" si="36"/>
        <v>3.0495048613574972E-2</v>
      </c>
      <c r="I16" s="235">
        <f t="shared" si="37"/>
        <v>2.9444724370813219E-2</v>
      </c>
      <c r="J16" s="392">
        <f t="shared" si="38"/>
        <v>0.10503242427617535</v>
      </c>
      <c r="K16" s="231">
        <f>SUMIFS('dunhill traffic pivot'!$F$8:$F$43,'dunhill traffic pivot'!$A$8:$A$43,$C16)</f>
        <v>1722</v>
      </c>
      <c r="L16" s="231">
        <f>SUMIFS('dunhill traffic pivot'!$G$8:$G$43,'dunhill traffic pivot'!$A$8:$A$43,$C16)</f>
        <v>1970</v>
      </c>
      <c r="M16" s="552">
        <f t="shared" si="39"/>
        <v>-0.12588832487309642</v>
      </c>
      <c r="N16" s="236">
        <f t="shared" si="40"/>
        <v>1.1554022772562886E-2</v>
      </c>
      <c r="O16" s="236">
        <f t="shared" si="41"/>
        <v>1.634881906753639E-2</v>
      </c>
      <c r="P16" s="552">
        <f t="shared" si="42"/>
        <v>-0.29328089540696312</v>
      </c>
      <c r="Q16" s="234"/>
      <c r="U16" s="122"/>
      <c r="V16" s="228" t="s">
        <v>86</v>
      </c>
      <c r="W16" s="233">
        <f>SUMIFS('dunhill traffic pivot'!$B$8:$B$61,'dunhill traffic pivot'!$A$8:$A$61,$C16)</f>
        <v>149039</v>
      </c>
      <c r="X16" s="233">
        <f>SUMIFS('dunhill traffic pivot'!$C$8:$C$61,'dunhill traffic pivot'!$A$8:$A$61,$C16)</f>
        <v>120498</v>
      </c>
      <c r="Y16" s="233">
        <f t="shared" si="25"/>
        <v>28541</v>
      </c>
      <c r="Z16" s="552">
        <f t="shared" si="26"/>
        <v>0.23685870304901324</v>
      </c>
      <c r="AA16" s="235">
        <f t="shared" ca="1" si="27"/>
        <v>3.0495048613574972E-2</v>
      </c>
      <c r="AB16" s="235">
        <f t="shared" ca="1" si="28"/>
        <v>2.9188236243089478E-2</v>
      </c>
      <c r="AC16" s="392">
        <f t="shared" ca="1" si="29"/>
        <v>0.13068123704854939</v>
      </c>
      <c r="AD16" s="231">
        <f>SUMIFS('dunhill traffic pivot'!$F$8:$F$43,'dunhill traffic pivot'!$A$8:$A$43,$C16)</f>
        <v>1722</v>
      </c>
      <c r="AE16" s="231">
        <f>SUMIFS('dunhill traffic pivot'!$G$8:$G$43,'dunhill traffic pivot'!$A$8:$A$43,$C16)</f>
        <v>1970</v>
      </c>
      <c r="AF16" s="552">
        <f t="shared" si="30"/>
        <v>-0.12588832487309642</v>
      </c>
      <c r="AG16" s="236">
        <f t="shared" si="31"/>
        <v>1.1554022772562886E-2</v>
      </c>
      <c r="AH16" s="236">
        <f t="shared" si="32"/>
        <v>1.634881906753639E-2</v>
      </c>
      <c r="AI16" s="552">
        <f t="shared" si="33"/>
        <v>-0.29328089540696312</v>
      </c>
      <c r="AJ16" s="234"/>
    </row>
    <row r="17" spans="2:36" x14ac:dyDescent="0.3">
      <c r="B17" s="122"/>
      <c r="C17" s="228" t="s">
        <v>87</v>
      </c>
      <c r="D17" s="233">
        <f>SUMIFS('dunhill traffic pivot'!$B$8:$B$61,'dunhill traffic pivot'!$A$8:$A$61,$C17)</f>
        <v>59302</v>
      </c>
      <c r="E17" s="233">
        <f>SUMIFS('dunhill traffic pivot'!$C$8:$C$61,'dunhill traffic pivot'!$A$8:$A$61,$C17)</f>
        <v>73259</v>
      </c>
      <c r="F17" s="233">
        <f t="shared" si="34"/>
        <v>-13957</v>
      </c>
      <c r="G17" s="552">
        <f t="shared" si="35"/>
        <v>-0.19051584105707153</v>
      </c>
      <c r="H17" s="235">
        <f t="shared" si="36"/>
        <v>1.2133853373158858E-2</v>
      </c>
      <c r="I17" s="235">
        <f t="shared" si="37"/>
        <v>1.7901467764455888E-2</v>
      </c>
      <c r="J17" s="392">
        <f t="shared" si="38"/>
        <v>-0.57676143912970301</v>
      </c>
      <c r="K17" s="231">
        <f>SUMIFS('dunhill traffic pivot'!$F$8:$F$43,'dunhill traffic pivot'!$A$8:$A$43,$C17)</f>
        <v>4718</v>
      </c>
      <c r="L17" s="231">
        <f>SUMIFS('dunhill traffic pivot'!$G$8:$G$43,'dunhill traffic pivot'!$A$8:$A$43,$C17)</f>
        <v>6382</v>
      </c>
      <c r="M17" s="552">
        <f t="shared" si="39"/>
        <v>-0.26073331244124098</v>
      </c>
      <c r="N17" s="236">
        <f t="shared" si="40"/>
        <v>7.9558868166335034E-2</v>
      </c>
      <c r="O17" s="236">
        <f t="shared" si="41"/>
        <v>8.7115576243191967E-2</v>
      </c>
      <c r="P17" s="552">
        <f t="shared" si="42"/>
        <v>-8.6743478063688761E-2</v>
      </c>
      <c r="Q17" s="234"/>
      <c r="U17" s="122"/>
      <c r="V17" s="228" t="s">
        <v>87</v>
      </c>
      <c r="W17" s="233">
        <f>SUMIFS('dunhill traffic pivot'!$B$8:$B$61,'dunhill traffic pivot'!$A$8:$A$61,$C17)</f>
        <v>59302</v>
      </c>
      <c r="X17" s="233">
        <f>SUMIFS('dunhill traffic pivot'!$C$8:$C$61,'dunhill traffic pivot'!$A$8:$A$61,$C17)</f>
        <v>73259</v>
      </c>
      <c r="Y17" s="233">
        <f t="shared" si="25"/>
        <v>-13957</v>
      </c>
      <c r="Z17" s="552">
        <f t="shared" si="26"/>
        <v>-0.19051584105707153</v>
      </c>
      <c r="AA17" s="235">
        <f t="shared" ca="1" si="27"/>
        <v>1.2133853373158858E-2</v>
      </c>
      <c r="AB17" s="235">
        <f t="shared" ca="1" si="28"/>
        <v>1.7745531037299308E-2</v>
      </c>
      <c r="AC17" s="392">
        <f t="shared" ca="1" si="29"/>
        <v>-0.56116776641404498</v>
      </c>
      <c r="AD17" s="231">
        <f>SUMIFS('dunhill traffic pivot'!$F$8:$F$43,'dunhill traffic pivot'!$A$8:$A$43,$C17)</f>
        <v>4718</v>
      </c>
      <c r="AE17" s="231">
        <f>SUMIFS('dunhill traffic pivot'!$G$8:$G$43,'dunhill traffic pivot'!$A$8:$A$43,$C17)</f>
        <v>6382</v>
      </c>
      <c r="AF17" s="552">
        <f t="shared" si="30"/>
        <v>-0.26073331244124098</v>
      </c>
      <c r="AG17" s="236">
        <f t="shared" si="31"/>
        <v>7.9558868166335034E-2</v>
      </c>
      <c r="AH17" s="236">
        <f t="shared" si="32"/>
        <v>8.7115576243191967E-2</v>
      </c>
      <c r="AI17" s="552">
        <f t="shared" si="33"/>
        <v>-8.6743478063688761E-2</v>
      </c>
      <c r="AJ17" s="234"/>
    </row>
    <row r="18" spans="2:36" ht="20" x14ac:dyDescent="0.3">
      <c r="B18" s="122"/>
      <c r="C18" s="228" t="s">
        <v>88</v>
      </c>
      <c r="D18" s="233">
        <f>SUMIFS('dunhill traffic pivot'!$B$8:$B$61,'dunhill traffic pivot'!$A$8:$A$61,$C18)</f>
        <v>60507</v>
      </c>
      <c r="E18" s="233">
        <f>SUMIFS('dunhill traffic pivot'!$C$8:$C$61,'dunhill traffic pivot'!$A$8:$A$61,$C18)</f>
        <v>36455</v>
      </c>
      <c r="F18" s="233">
        <f t="shared" si="34"/>
        <v>24052</v>
      </c>
      <c r="G18" s="552">
        <f t="shared" si="35"/>
        <v>0.65977232204087222</v>
      </c>
      <c r="H18" s="235">
        <f t="shared" si="36"/>
        <v>1.2380409868971079E-2</v>
      </c>
      <c r="I18" s="235">
        <f t="shared" si="37"/>
        <v>8.9080933039386214E-3</v>
      </c>
      <c r="J18" s="392">
        <f t="shared" si="38"/>
        <v>0.34723165650324578</v>
      </c>
      <c r="K18" s="231">
        <f>SUMIFS('dunhill traffic pivot'!$F$8:$F$43,'dunhill traffic pivot'!$A$8:$A$43,$C18)</f>
        <v>415</v>
      </c>
      <c r="L18" s="231">
        <f>SUMIFS('dunhill traffic pivot'!$G$8:$G$43,'dunhill traffic pivot'!$A$8:$A$43,$C18)</f>
        <v>241</v>
      </c>
      <c r="M18" s="552">
        <f t="shared" si="39"/>
        <v>0.72199170124481338</v>
      </c>
      <c r="N18" s="236">
        <f t="shared" si="40"/>
        <v>6.8587105624142658E-3</v>
      </c>
      <c r="O18" s="236">
        <f t="shared" si="41"/>
        <v>6.6108901385269507E-3</v>
      </c>
      <c r="P18" s="552">
        <f t="shared" si="42"/>
        <v>3.7486695239884238E-2</v>
      </c>
      <c r="Q18" s="234"/>
      <c r="U18" s="122"/>
      <c r="V18" s="228" t="s">
        <v>88</v>
      </c>
      <c r="W18" s="233">
        <f>SUMIFS('dunhill traffic pivot'!$B$8:$B$61,'dunhill traffic pivot'!$A$8:$A$61,$C18)</f>
        <v>60507</v>
      </c>
      <c r="X18" s="233">
        <f>SUMIFS('dunhill traffic pivot'!$C$8:$C$61,'dunhill traffic pivot'!$A$8:$A$61,$C18)</f>
        <v>36455</v>
      </c>
      <c r="Y18" s="233">
        <f t="shared" si="25"/>
        <v>24052</v>
      </c>
      <c r="Z18" s="552">
        <f t="shared" si="26"/>
        <v>0.65977232204087222</v>
      </c>
      <c r="AA18" s="235">
        <f t="shared" ca="1" si="27"/>
        <v>1.2380409868971079E-2</v>
      </c>
      <c r="AB18" s="235">
        <f t="shared" ca="1" si="28"/>
        <v>8.8304963753906875E-3</v>
      </c>
      <c r="AC18" s="392">
        <f t="shared" ca="1" si="29"/>
        <v>0.35499134935803917</v>
      </c>
      <c r="AD18" s="231">
        <f>SUMIFS('dunhill traffic pivot'!$F$8:$F$43,'dunhill traffic pivot'!$A$8:$A$43,$C18)</f>
        <v>415</v>
      </c>
      <c r="AE18" s="231">
        <f>SUMIFS('dunhill traffic pivot'!$G$8:$G$43,'dunhill traffic pivot'!$A$8:$A$43,$C18)</f>
        <v>241</v>
      </c>
      <c r="AF18" s="552">
        <f t="shared" si="30"/>
        <v>0.72199170124481338</v>
      </c>
      <c r="AG18" s="236">
        <f t="shared" si="31"/>
        <v>6.8587105624142658E-3</v>
      </c>
      <c r="AH18" s="236">
        <f t="shared" si="32"/>
        <v>6.6108901385269507E-3</v>
      </c>
      <c r="AI18" s="552">
        <f t="shared" si="33"/>
        <v>3.7486695239884238E-2</v>
      </c>
      <c r="AJ18" s="234"/>
    </row>
    <row r="19" spans="2:36" ht="20" x14ac:dyDescent="0.3">
      <c r="B19" s="122"/>
      <c r="C19" s="228" t="s">
        <v>93</v>
      </c>
      <c r="D19" s="233">
        <f>SUMIFS('dunhill traffic pivot'!$B$8:$B$61,'dunhill traffic pivot'!$A$8:$A$61,$C19)</f>
        <v>18882</v>
      </c>
      <c r="E19" s="233">
        <f>SUMIFS('dunhill traffic pivot'!$C$8:$C$61,'dunhill traffic pivot'!$A$8:$A$61,$C19)</f>
        <v>20179</v>
      </c>
      <c r="F19" s="233">
        <f t="shared" si="34"/>
        <v>-1297</v>
      </c>
      <c r="G19" s="552">
        <f t="shared" si="35"/>
        <v>-6.427474106744635E-2</v>
      </c>
      <c r="H19" s="235">
        <f t="shared" si="36"/>
        <v>3.8634686754575823E-3</v>
      </c>
      <c r="I19" s="235">
        <f t="shared" si="37"/>
        <v>4.9309124888267022E-3</v>
      </c>
      <c r="J19" s="392">
        <f t="shared" si="38"/>
        <v>-0.10674438133691198</v>
      </c>
      <c r="K19" s="231">
        <f>SUMIFS('dunhill traffic pivot'!$F$8:$F$43,'dunhill traffic pivot'!$A$8:$A$43,$C19)</f>
        <v>120</v>
      </c>
      <c r="L19" s="231">
        <f>SUMIFS('dunhill traffic pivot'!$G$8:$G$43,'dunhill traffic pivot'!$A$8:$A$43,$C19)</f>
        <v>91</v>
      </c>
      <c r="M19" s="552">
        <f t="shared" si="39"/>
        <v>0.31868131868131866</v>
      </c>
      <c r="N19" s="236">
        <f t="shared" si="40"/>
        <v>6.3552589768033048E-3</v>
      </c>
      <c r="O19" s="236">
        <f t="shared" si="41"/>
        <v>4.5096387333366369E-3</v>
      </c>
      <c r="P19" s="552">
        <f t="shared" si="42"/>
        <v>0.40926121860344944</v>
      </c>
      <c r="Q19" s="234"/>
      <c r="U19" s="122"/>
      <c r="V19" s="228" t="s">
        <v>578</v>
      </c>
      <c r="W19" s="233">
        <f>SUMIFS('dunhill traffic pivot'!$B$8:$B$61,'dunhill traffic pivot'!$A$8:$A$61,$C19)</f>
        <v>18882</v>
      </c>
      <c r="X19" s="233">
        <f>SUMIFS('dunhill traffic pivot'!$C$8:$C$61,'dunhill traffic pivot'!$A$8:$A$61,$C19)</f>
        <v>20179</v>
      </c>
      <c r="Y19" s="233">
        <f t="shared" si="25"/>
        <v>-1297</v>
      </c>
      <c r="Z19" s="552">
        <f t="shared" si="26"/>
        <v>-6.427474106744635E-2</v>
      </c>
      <c r="AA19" s="235">
        <f t="shared" ca="1" si="27"/>
        <v>3.8634686754575823E-3</v>
      </c>
      <c r="AB19" s="235">
        <f t="shared" ca="1" si="28"/>
        <v>4.8879601250585289E-3</v>
      </c>
      <c r="AC19" s="392">
        <f t="shared" ca="1" si="29"/>
        <v>-0.10244914496009465</v>
      </c>
      <c r="AD19" s="231">
        <f>SUMIFS('dunhill traffic pivot'!$F$8:$F$43,'dunhill traffic pivot'!$A$8:$A$43,$C19)</f>
        <v>120</v>
      </c>
      <c r="AE19" s="231">
        <f>SUMIFS('dunhill traffic pivot'!$G$8:$G$43,'dunhill traffic pivot'!$A$8:$A$43,$C19)</f>
        <v>91</v>
      </c>
      <c r="AF19" s="552">
        <f t="shared" si="30"/>
        <v>0.31868131868131866</v>
      </c>
      <c r="AG19" s="236">
        <f t="shared" si="31"/>
        <v>6.3552589768033048E-3</v>
      </c>
      <c r="AH19" s="236">
        <f t="shared" si="32"/>
        <v>4.5096387333366369E-3</v>
      </c>
      <c r="AI19" s="552">
        <f t="shared" si="33"/>
        <v>0.40926121860344944</v>
      </c>
      <c r="AJ19" s="234"/>
    </row>
    <row r="20" spans="2:36" x14ac:dyDescent="0.3">
      <c r="B20" s="122"/>
      <c r="C20" s="228" t="s">
        <v>578</v>
      </c>
      <c r="D20" s="233">
        <f>SUMIFS('dunhill traffic pivot'!$B$8:$B$61,'dunhill traffic pivot'!$A$8:$A$61,$C20)</f>
        <v>37106</v>
      </c>
      <c r="E20" s="233">
        <f>SUMIFS('dunhill traffic pivot'!$C$8:$C$61,'dunhill traffic pivot'!$A$8:$A$61,$C20)</f>
        <v>623</v>
      </c>
      <c r="F20" s="233">
        <f t="shared" si="34"/>
        <v>36483</v>
      </c>
      <c r="G20" s="552">
        <f t="shared" si="35"/>
        <v>58.56019261637239</v>
      </c>
      <c r="H20" s="235">
        <f t="shared" si="36"/>
        <v>7.5923031814177019E-3</v>
      </c>
      <c r="I20" s="235">
        <f t="shared" si="37"/>
        <v>1.5223541704440435E-4</v>
      </c>
      <c r="J20" s="392">
        <f t="shared" si="38"/>
        <v>0.74400677643732971</v>
      </c>
      <c r="K20" s="231">
        <f>SUMIFS('dunhill traffic pivot'!$F$8:$F$43,'dunhill traffic pivot'!$A$8:$A$43,$C20)</f>
        <v>12</v>
      </c>
      <c r="L20" s="231">
        <f>SUMIFS('dunhill traffic pivot'!$G$8:$G$43,'dunhill traffic pivot'!$A$8:$A$43,$C20)</f>
        <v>15</v>
      </c>
      <c r="M20" s="552">
        <f t="shared" si="39"/>
        <v>-0.19999999999999996</v>
      </c>
      <c r="N20" s="236">
        <f t="shared" si="40"/>
        <v>3.2339783323451731E-4</v>
      </c>
      <c r="O20" s="236">
        <f t="shared" si="41"/>
        <v>2.4077046548956663E-2</v>
      </c>
      <c r="P20" s="552">
        <f t="shared" si="42"/>
        <v>-0.98656820999299299</v>
      </c>
      <c r="Q20" s="234"/>
      <c r="U20" s="122"/>
      <c r="V20" s="228" t="s">
        <v>93</v>
      </c>
      <c r="W20" s="233">
        <f>SUMIFS('dunhill traffic pivot'!$B$8:$B$61,'dunhill traffic pivot'!$A$8:$A$61,$C20)</f>
        <v>37106</v>
      </c>
      <c r="X20" s="233">
        <f>SUMIFS('dunhill traffic pivot'!$C$8:$C$61,'dunhill traffic pivot'!$A$8:$A$61,$C20)</f>
        <v>623</v>
      </c>
      <c r="Y20" s="233">
        <f t="shared" si="25"/>
        <v>36483</v>
      </c>
      <c r="Z20" s="552">
        <f t="shared" si="26"/>
        <v>58.56019261637239</v>
      </c>
      <c r="AA20" s="235">
        <f t="shared" ca="1" si="27"/>
        <v>7.5923031814177019E-3</v>
      </c>
      <c r="AB20" s="235">
        <f t="shared" ca="1" si="28"/>
        <v>1.5090931948617194E-4</v>
      </c>
      <c r="AC20" s="392">
        <f t="shared" ca="1" si="29"/>
        <v>0.74413938619315301</v>
      </c>
      <c r="AD20" s="231">
        <f>SUMIFS('dunhill traffic pivot'!$F$8:$F$43,'dunhill traffic pivot'!$A$8:$A$43,$C20)</f>
        <v>12</v>
      </c>
      <c r="AE20" s="231">
        <f>SUMIFS('dunhill traffic pivot'!$G$8:$G$43,'dunhill traffic pivot'!$A$8:$A$43,$C20)</f>
        <v>15</v>
      </c>
      <c r="AF20" s="552">
        <f t="shared" si="30"/>
        <v>-0.19999999999999996</v>
      </c>
      <c r="AG20" s="236">
        <f t="shared" si="31"/>
        <v>3.2339783323451731E-4</v>
      </c>
      <c r="AH20" s="236">
        <f t="shared" si="32"/>
        <v>2.4077046548956663E-2</v>
      </c>
      <c r="AI20" s="552">
        <f t="shared" si="33"/>
        <v>-0.98656820999299299</v>
      </c>
      <c r="AJ20" s="234"/>
    </row>
    <row r="21" spans="2:36" x14ac:dyDescent="0.3">
      <c r="B21" s="122"/>
      <c r="C21" s="228" t="s">
        <v>231</v>
      </c>
      <c r="D21" s="233">
        <f>SUMIFS('dunhill traffic pivot'!$B$8:$B$61,'dunhill traffic pivot'!$A$8:$A$61,$C21)</f>
        <v>106821</v>
      </c>
      <c r="E21" s="233">
        <f>SUMIFS('dunhill traffic pivot'!$C$8:$C$61,'dunhill traffic pivot'!$A$8:$A$61,$C21)</f>
        <v>89974</v>
      </c>
      <c r="F21" s="233">
        <f t="shared" si="34"/>
        <v>16847</v>
      </c>
      <c r="G21" s="552">
        <f t="shared" si="35"/>
        <v>0.1872429813057106</v>
      </c>
      <c r="H21" s="235">
        <f t="shared" si="36"/>
        <v>2.185677297855388E-2</v>
      </c>
      <c r="I21" s="235">
        <f t="shared" si="37"/>
        <v>2.1985922011481921E-2</v>
      </c>
      <c r="J21" s="392">
        <f t="shared" si="38"/>
        <v>-1.2914903292804078E-2</v>
      </c>
      <c r="K21" s="231">
        <f>SUMIFS('dunhill traffic pivot'!$F$8:$F$43,'dunhill traffic pivot'!$A$8:$A$43,$C21)</f>
        <v>76</v>
      </c>
      <c r="L21" s="231">
        <f>SUMIFS('dunhill traffic pivot'!$G$8:$G$43,'dunhill traffic pivot'!$A$8:$A$43,$C21)</f>
        <v>106</v>
      </c>
      <c r="M21" s="552">
        <f t="shared" si="39"/>
        <v>-0.28301886792452835</v>
      </c>
      <c r="N21" s="236">
        <f t="shared" si="40"/>
        <v>7.1147059098866324E-4</v>
      </c>
      <c r="O21" s="236">
        <f t="shared" si="41"/>
        <v>1.1781181230133149E-3</v>
      </c>
      <c r="P21" s="552">
        <f t="shared" si="42"/>
        <v>-0.39609570798477367</v>
      </c>
      <c r="Q21" s="234"/>
      <c r="R21" s="169"/>
      <c r="U21" s="122"/>
      <c r="V21" s="228" t="s">
        <v>231</v>
      </c>
      <c r="W21" s="233">
        <f>SUMIFS('dunhill traffic pivot'!$B$8:$B$61,'dunhill traffic pivot'!$A$8:$A$61,$C21)</f>
        <v>106821</v>
      </c>
      <c r="X21" s="233">
        <f>SUMIFS('dunhill traffic pivot'!$C$8:$C$61,'dunhill traffic pivot'!$A$8:$A$61,$C21)</f>
        <v>89974</v>
      </c>
      <c r="Y21" s="233">
        <f t="shared" si="25"/>
        <v>16847</v>
      </c>
      <c r="Z21" s="552">
        <f t="shared" si="26"/>
        <v>0.1872429813057106</v>
      </c>
      <c r="AA21" s="235">
        <f t="shared" ca="1" si="27"/>
        <v>2.185677297855388E-2</v>
      </c>
      <c r="AB21" s="235">
        <f t="shared" ca="1" si="28"/>
        <v>2.1794406278409041E-2</v>
      </c>
      <c r="AC21" s="392">
        <f t="shared" ca="1" si="29"/>
        <v>6.2366700144839138E-3</v>
      </c>
      <c r="AD21" s="231">
        <f>SUMIFS('dunhill traffic pivot'!$F$8:$F$43,'dunhill traffic pivot'!$A$8:$A$43,$C21)</f>
        <v>76</v>
      </c>
      <c r="AE21" s="231">
        <f>SUMIFS('dunhill traffic pivot'!$G$8:$G$43,'dunhill traffic pivot'!$A$8:$A$43,$C21)</f>
        <v>106</v>
      </c>
      <c r="AF21" s="552">
        <f t="shared" si="30"/>
        <v>-0.28301886792452835</v>
      </c>
      <c r="AG21" s="236">
        <f t="shared" si="31"/>
        <v>7.1147059098866324E-4</v>
      </c>
      <c r="AH21" s="236">
        <f t="shared" si="32"/>
        <v>1.1781181230133149E-3</v>
      </c>
      <c r="AI21" s="552">
        <f t="shared" si="33"/>
        <v>-0.39609570798477367</v>
      </c>
      <c r="AJ21" s="234"/>
    </row>
    <row r="22" spans="2:36" x14ac:dyDescent="0.3">
      <c r="B22" s="122"/>
      <c r="C22" s="228" t="s">
        <v>91</v>
      </c>
      <c r="D22" s="233">
        <f>SUMIFS('dunhill traffic pivot'!$B$8:$B$61,'dunhill traffic pivot'!$A$8:$A$61,$C22)</f>
        <v>21652</v>
      </c>
      <c r="E22" s="233">
        <f>SUMIFS('dunhill traffic pivot'!$C$8:$C$61,'dunhill traffic pivot'!$A$8:$A$61,$C22)</f>
        <v>22787</v>
      </c>
      <c r="F22" s="233">
        <f t="shared" si="34"/>
        <v>-1135</v>
      </c>
      <c r="G22" s="552">
        <f t="shared" si="35"/>
        <v>-4.9809101680782897E-2</v>
      </c>
      <c r="H22" s="235">
        <f t="shared" si="36"/>
        <v>4.430241699025928E-3</v>
      </c>
      <c r="I22" s="235">
        <f t="shared" si="37"/>
        <v>5.5681997563255892E-3</v>
      </c>
      <c r="J22" s="392">
        <f t="shared" si="38"/>
        <v>-0.11379580572996612</v>
      </c>
      <c r="K22" s="231">
        <f>SUMIFS('dunhill traffic pivot'!$F$8:$F$43,'dunhill traffic pivot'!$A$8:$A$43,$C22)</f>
        <v>143</v>
      </c>
      <c r="L22" s="231">
        <f>SUMIFS('dunhill traffic pivot'!$G$8:$G$43,'dunhill traffic pivot'!$A$8:$A$43,$C22)</f>
        <v>142</v>
      </c>
      <c r="M22" s="552">
        <f t="shared" si="39"/>
        <v>7.0422535211267512E-3</v>
      </c>
      <c r="N22" s="236">
        <f t="shared" si="40"/>
        <v>6.6044707186403108E-3</v>
      </c>
      <c r="O22" s="236">
        <f t="shared" si="41"/>
        <v>6.2316232939834118E-3</v>
      </c>
      <c r="P22" s="552">
        <f t="shared" si="42"/>
        <v>5.9831508913075648E-2</v>
      </c>
      <c r="Q22" s="234"/>
      <c r="U22" s="122"/>
      <c r="V22" s="228" t="s">
        <v>91</v>
      </c>
      <c r="W22" s="233">
        <f>SUMIFS('dunhill traffic pivot'!$B$8:$B$61,'dunhill traffic pivot'!$A$8:$A$61,$C22)</f>
        <v>21652</v>
      </c>
      <c r="X22" s="233">
        <f>SUMIFS('dunhill traffic pivot'!$C$8:$C$61,'dunhill traffic pivot'!$A$8:$A$61,$C22)</f>
        <v>22787</v>
      </c>
      <c r="Y22" s="233">
        <f t="shared" si="25"/>
        <v>-1135</v>
      </c>
      <c r="Z22" s="552">
        <f t="shared" si="26"/>
        <v>-4.9809101680782897E-2</v>
      </c>
      <c r="AA22" s="235">
        <f t="shared" ca="1" si="27"/>
        <v>4.430241699025928E-3</v>
      </c>
      <c r="AB22" s="235">
        <f t="shared" ca="1" si="28"/>
        <v>5.5196960884934185E-3</v>
      </c>
      <c r="AC22" s="392">
        <f t="shared" ca="1" si="29"/>
        <v>-0.10894543894674905</v>
      </c>
      <c r="AD22" s="231">
        <f>SUMIFS('dunhill traffic pivot'!$F$8:$F$43,'dunhill traffic pivot'!$A$8:$A$43,$C22)</f>
        <v>143</v>
      </c>
      <c r="AE22" s="231">
        <f>SUMIFS('dunhill traffic pivot'!$G$8:$G$43,'dunhill traffic pivot'!$A$8:$A$43,$C22)</f>
        <v>142</v>
      </c>
      <c r="AF22" s="552">
        <f t="shared" si="30"/>
        <v>7.0422535211267512E-3</v>
      </c>
      <c r="AG22" s="236">
        <f t="shared" si="31"/>
        <v>6.6044707186403108E-3</v>
      </c>
      <c r="AH22" s="236">
        <f t="shared" si="32"/>
        <v>6.2316232939834118E-3</v>
      </c>
      <c r="AI22" s="552">
        <f t="shared" si="33"/>
        <v>5.9831508913075648E-2</v>
      </c>
      <c r="AJ22" s="234"/>
    </row>
    <row r="23" spans="2:36" x14ac:dyDescent="0.3">
      <c r="B23" s="122"/>
      <c r="C23" s="228" t="s">
        <v>92</v>
      </c>
      <c r="D23" s="233">
        <f>SUMIFS('dunhill traffic pivot'!$B$8:$B$61,'dunhill traffic pivot'!$A$8:$A$61,$C23)</f>
        <v>20697</v>
      </c>
      <c r="E23" s="233">
        <f>SUMIFS('dunhill traffic pivot'!$C$8:$C$61,'dunhill traffic pivot'!$A$8:$A$61,$C23)</f>
        <v>24621</v>
      </c>
      <c r="F23" s="233">
        <f t="shared" si="34"/>
        <v>-3924</v>
      </c>
      <c r="G23" s="552">
        <f t="shared" si="35"/>
        <v>-0.15937614231753383</v>
      </c>
      <c r="H23" s="235">
        <f t="shared" si="36"/>
        <v>4.2348380031747472E-3</v>
      </c>
      <c r="I23" s="235">
        <f t="shared" si="37"/>
        <v>6.0163534559394541E-3</v>
      </c>
      <c r="J23" s="392">
        <f t="shared" si="38"/>
        <v>-0.17815154527647067</v>
      </c>
      <c r="K23" s="231">
        <f>SUMIFS('dunhill traffic pivot'!$F$8:$F$43,'dunhill traffic pivot'!$A$8:$A$43,$C23)</f>
        <v>972</v>
      </c>
      <c r="L23" s="231">
        <f>SUMIFS('dunhill traffic pivot'!$G$8:$G$43,'dunhill traffic pivot'!$A$8:$A$43,$C23)</f>
        <v>1384</v>
      </c>
      <c r="M23" s="552">
        <f t="shared" si="39"/>
        <v>-0.29768786127167635</v>
      </c>
      <c r="N23" s="236">
        <f t="shared" si="40"/>
        <v>4.6963328018553414E-2</v>
      </c>
      <c r="O23" s="236">
        <f t="shared" si="41"/>
        <v>5.621217659721376E-2</v>
      </c>
      <c r="P23" s="552">
        <f t="shared" si="42"/>
        <v>-0.16453461044450601</v>
      </c>
      <c r="Q23" s="234"/>
      <c r="U23" s="122"/>
      <c r="V23" s="228" t="s">
        <v>92</v>
      </c>
      <c r="W23" s="233">
        <f>SUMIFS('dunhill traffic pivot'!$B$8:$B$61,'dunhill traffic pivot'!$A$8:$A$61,$C23)</f>
        <v>20697</v>
      </c>
      <c r="X23" s="233">
        <f>SUMIFS('dunhill traffic pivot'!$C$8:$C$61,'dunhill traffic pivot'!$A$8:$A$61,$C23)</f>
        <v>24621</v>
      </c>
      <c r="Y23" s="233">
        <f t="shared" si="25"/>
        <v>-3924</v>
      </c>
      <c r="Z23" s="552">
        <f t="shared" si="26"/>
        <v>-0.15937614231753383</v>
      </c>
      <c r="AA23" s="235">
        <f t="shared" ca="1" si="27"/>
        <v>4.2348380031747472E-3</v>
      </c>
      <c r="AB23" s="235">
        <f t="shared" ca="1" si="28"/>
        <v>5.9639459952954077E-3</v>
      </c>
      <c r="AC23" s="392">
        <f t="shared" ca="1" si="29"/>
        <v>-0.17291079921206604</v>
      </c>
      <c r="AD23" s="231">
        <f>SUMIFS('dunhill traffic pivot'!$F$8:$F$43,'dunhill traffic pivot'!$A$8:$A$43,$C23)</f>
        <v>972</v>
      </c>
      <c r="AE23" s="231">
        <f>SUMIFS('dunhill traffic pivot'!$G$8:$G$43,'dunhill traffic pivot'!$A$8:$A$43,$C23)</f>
        <v>1384</v>
      </c>
      <c r="AF23" s="552">
        <f t="shared" si="30"/>
        <v>-0.29768786127167635</v>
      </c>
      <c r="AG23" s="236">
        <f t="shared" si="31"/>
        <v>4.6963328018553414E-2</v>
      </c>
      <c r="AH23" s="236">
        <f t="shared" si="32"/>
        <v>5.621217659721376E-2</v>
      </c>
      <c r="AI23" s="552">
        <f t="shared" si="33"/>
        <v>-0.16453461044450601</v>
      </c>
      <c r="AJ23" s="234"/>
    </row>
    <row r="24" spans="2:36" ht="20" x14ac:dyDescent="0.3">
      <c r="B24" s="122"/>
      <c r="C24" s="228" t="s">
        <v>416</v>
      </c>
      <c r="D24" s="233">
        <f>SUMIFS('dunhill traffic pivot'!$B$8:$B$61,'dunhill traffic pivot'!$A$8:$A$61,$C24)</f>
        <v>10618</v>
      </c>
      <c r="E24" s="233">
        <f>SUMIFS('dunhill traffic pivot'!$C$8:$C$61,'dunhill traffic pivot'!$A$8:$A$61,$C24)</f>
        <v>6339</v>
      </c>
      <c r="F24" s="233">
        <f t="shared" si="34"/>
        <v>4279</v>
      </c>
      <c r="G24" s="552">
        <f t="shared" si="35"/>
        <v>0.67502760687805652</v>
      </c>
      <c r="H24" s="235">
        <f t="shared" si="36"/>
        <v>2.1725617199453771E-3</v>
      </c>
      <c r="I24" s="235">
        <f t="shared" si="37"/>
        <v>1.5489892594614434E-3</v>
      </c>
      <c r="J24" s="392">
        <f t="shared" si="38"/>
        <v>6.2357246048393371E-2</v>
      </c>
      <c r="K24" s="231">
        <f>SUMIFS('dunhill traffic pivot'!$F$8:$F$43,'dunhill traffic pivot'!$A$8:$A$43,$C24)</f>
        <v>251</v>
      </c>
      <c r="L24" s="231">
        <f>SUMIFS('dunhill traffic pivot'!$G$8:$G$43,'dunhill traffic pivot'!$A$8:$A$43,$C24)</f>
        <v>314</v>
      </c>
      <c r="M24" s="552">
        <f t="shared" si="39"/>
        <v>-0.20063694267515919</v>
      </c>
      <c r="N24" s="236">
        <f t="shared" si="40"/>
        <v>2.3639103409304953E-2</v>
      </c>
      <c r="O24" s="236">
        <f t="shared" si="41"/>
        <v>4.9534626912762267E-2</v>
      </c>
      <c r="P24" s="552">
        <f t="shared" si="42"/>
        <v>-0.52277618945355386</v>
      </c>
      <c r="Q24" s="234"/>
      <c r="U24" s="122"/>
      <c r="V24" s="228" t="s">
        <v>416</v>
      </c>
      <c r="W24" s="233">
        <f>SUMIFS('dunhill traffic pivot'!$B$8:$B$61,'dunhill traffic pivot'!$A$8:$A$61,$C24)</f>
        <v>10618</v>
      </c>
      <c r="X24" s="233">
        <f>SUMIFS('dunhill traffic pivot'!$C$8:$C$61,'dunhill traffic pivot'!$A$8:$A$61,$C24)</f>
        <v>6339</v>
      </c>
      <c r="Y24" s="233">
        <f t="shared" si="25"/>
        <v>4279</v>
      </c>
      <c r="Z24" s="552">
        <f t="shared" si="26"/>
        <v>0.67502760687805652</v>
      </c>
      <c r="AA24" s="235">
        <f t="shared" ca="1" si="27"/>
        <v>2.1725617199453771E-3</v>
      </c>
      <c r="AB24" s="235">
        <f t="shared" ca="1" si="28"/>
        <v>1.5354962700206162E-3</v>
      </c>
      <c r="AC24" s="392">
        <f t="shared" ca="1" si="29"/>
        <v>6.3706544992476091E-2</v>
      </c>
      <c r="AD24" s="231">
        <f>SUMIFS('dunhill traffic pivot'!$F$8:$F$43,'dunhill traffic pivot'!$A$8:$A$43,$C24)</f>
        <v>251</v>
      </c>
      <c r="AE24" s="231">
        <f>SUMIFS('dunhill traffic pivot'!$G$8:$G$43,'dunhill traffic pivot'!$A$8:$A$43,$C24)</f>
        <v>314</v>
      </c>
      <c r="AF24" s="552">
        <f t="shared" si="30"/>
        <v>-0.20063694267515919</v>
      </c>
      <c r="AG24" s="236">
        <f t="shared" si="31"/>
        <v>2.3639103409304953E-2</v>
      </c>
      <c r="AH24" s="236">
        <f t="shared" si="32"/>
        <v>4.9534626912762267E-2</v>
      </c>
      <c r="AI24" s="552">
        <f t="shared" si="33"/>
        <v>-0.52277618945355386</v>
      </c>
      <c r="AJ24" s="234"/>
    </row>
    <row r="25" spans="2:36" ht="15.5" customHeight="1" x14ac:dyDescent="0.3">
      <c r="B25" s="122"/>
      <c r="C25" s="228" t="s">
        <v>90</v>
      </c>
      <c r="D25" s="233">
        <f>SUMIFS('dunhill traffic pivot'!$B$8:$B$61,'dunhill traffic pivot'!$A$8:$A$61,$C25)</f>
        <v>17715</v>
      </c>
      <c r="E25" s="233">
        <f>SUMIFS('dunhill traffic pivot'!$C$8:$C$61,'dunhill traffic pivot'!$A$8:$A$61,$C25)</f>
        <v>29902</v>
      </c>
      <c r="F25" s="233">
        <f t="shared" si="34"/>
        <v>-12187</v>
      </c>
      <c r="G25" s="552">
        <f t="shared" si="35"/>
        <v>-0.4075647113905424</v>
      </c>
      <c r="H25" s="235">
        <f t="shared" si="36"/>
        <v>3.6246874052394381E-3</v>
      </c>
      <c r="I25" s="235">
        <f t="shared" si="37"/>
        <v>7.3068113009017322E-3</v>
      </c>
      <c r="J25" s="392">
        <f t="shared" si="38"/>
        <v>-0.36821238956622943</v>
      </c>
      <c r="K25" s="231">
        <f>SUMIFS('dunhill traffic pivot'!$F$8:$F$43,'dunhill traffic pivot'!$A$8:$A$43,$C25)</f>
        <v>185</v>
      </c>
      <c r="L25" s="231">
        <f>SUMIFS('dunhill traffic pivot'!$G$8:$G$43,'dunhill traffic pivot'!$A$8:$A$43,$C25)</f>
        <v>398</v>
      </c>
      <c r="M25" s="552">
        <f t="shared" si="39"/>
        <v>-0.53517587939698497</v>
      </c>
      <c r="N25" s="236">
        <f t="shared" si="40"/>
        <v>1.0443127293254304E-2</v>
      </c>
      <c r="O25" s="236">
        <f t="shared" si="41"/>
        <v>1.3310146478496421E-2</v>
      </c>
      <c r="P25" s="552">
        <f t="shared" si="42"/>
        <v>-0.21540102431434616</v>
      </c>
      <c r="Q25" s="234"/>
      <c r="U25" s="122"/>
      <c r="V25" s="228" t="s">
        <v>90</v>
      </c>
      <c r="W25" s="233">
        <f>SUMIFS('dunhill traffic pivot'!$B$8:$B$61,'dunhill traffic pivot'!$A$8:$A$61,$C25)</f>
        <v>17715</v>
      </c>
      <c r="X25" s="233">
        <f>SUMIFS('dunhill traffic pivot'!$C$8:$C$61,'dunhill traffic pivot'!$A$8:$A$61,$C25)</f>
        <v>29902</v>
      </c>
      <c r="Y25" s="233">
        <f t="shared" si="25"/>
        <v>-12187</v>
      </c>
      <c r="Z25" s="552">
        <f t="shared" si="26"/>
        <v>-0.4075647113905424</v>
      </c>
      <c r="AA25" s="235">
        <f t="shared" ca="1" si="27"/>
        <v>3.6246874052394381E-3</v>
      </c>
      <c r="AB25" s="235">
        <f t="shared" ca="1" si="28"/>
        <v>7.2431628752415945E-3</v>
      </c>
      <c r="AC25" s="392">
        <f t="shared" ca="1" si="29"/>
        <v>-0.36184754700021565</v>
      </c>
      <c r="AD25" s="231">
        <f>SUMIFS('dunhill traffic pivot'!$F$8:$F$43,'dunhill traffic pivot'!$A$8:$A$43,$C25)</f>
        <v>185</v>
      </c>
      <c r="AE25" s="231">
        <f>SUMIFS('dunhill traffic pivot'!$G$8:$G$43,'dunhill traffic pivot'!$A$8:$A$43,$C25)</f>
        <v>398</v>
      </c>
      <c r="AF25" s="552">
        <f t="shared" si="30"/>
        <v>-0.53517587939698497</v>
      </c>
      <c r="AG25" s="236">
        <f t="shared" si="31"/>
        <v>1.0443127293254304E-2</v>
      </c>
      <c r="AH25" s="236">
        <f t="shared" si="32"/>
        <v>1.3310146478496421E-2</v>
      </c>
      <c r="AI25" s="552">
        <f t="shared" si="33"/>
        <v>-0.21540102431434616</v>
      </c>
      <c r="AJ25" s="234"/>
    </row>
    <row r="26" spans="2:36" s="169" customFormat="1" ht="20" x14ac:dyDescent="0.3">
      <c r="B26" s="122"/>
      <c r="C26" s="228" t="s">
        <v>398</v>
      </c>
      <c r="D26" s="233">
        <f>SUMIFS('dunhill traffic pivot'!$B$8:$B$61,'dunhill traffic pivot'!$A$8:$A$61,$C26)</f>
        <v>17045</v>
      </c>
      <c r="E26" s="233">
        <f>SUMIFS('dunhill traffic pivot'!$C$8:$C$61,'dunhill traffic pivot'!$A$8:$A$61,$C26)</f>
        <v>6800</v>
      </c>
      <c r="F26" s="233">
        <f t="shared" si="34"/>
        <v>10245</v>
      </c>
      <c r="G26" s="552">
        <f t="shared" si="35"/>
        <v>1.5066176470588237</v>
      </c>
      <c r="H26" s="235">
        <f t="shared" si="36"/>
        <v>3.4875979013438453E-3</v>
      </c>
      <c r="I26" s="235">
        <f t="shared" si="37"/>
        <v>1.6616385809020058E-3</v>
      </c>
      <c r="J26" s="392">
        <f t="shared" si="38"/>
        <v>0.18259593204418395</v>
      </c>
      <c r="K26" s="231">
        <f>SUMIFS('dunhill traffic pivot'!$F$8:$F$43,'dunhill traffic pivot'!$A$8:$A$43,$C26)</f>
        <v>0</v>
      </c>
      <c r="L26" s="231">
        <f>SUMIFS('dunhill traffic pivot'!$G$8:$G$43,'dunhill traffic pivot'!$A$8:$A$43,$C26)</f>
        <v>0</v>
      </c>
      <c r="M26" s="552" t="str">
        <f t="shared" si="39"/>
        <v>-</v>
      </c>
      <c r="N26" s="236">
        <f t="shared" si="40"/>
        <v>0</v>
      </c>
      <c r="O26" s="236">
        <f t="shared" si="41"/>
        <v>0</v>
      </c>
      <c r="P26" s="552" t="str">
        <f t="shared" si="42"/>
        <v>-</v>
      </c>
      <c r="Q26" s="234"/>
      <c r="R26" s="91"/>
      <c r="U26" s="122"/>
      <c r="V26" s="228" t="s">
        <v>398</v>
      </c>
      <c r="W26" s="233">
        <f>SUMIFS('dunhill traffic pivot'!$B$8:$B$61,'dunhill traffic pivot'!$A$8:$A$61,$C26)</f>
        <v>17045</v>
      </c>
      <c r="X26" s="233">
        <f>SUMIFS('dunhill traffic pivot'!$C$8:$C$61,'dunhill traffic pivot'!$A$8:$A$61,$C26)</f>
        <v>6800</v>
      </c>
      <c r="Y26" s="233">
        <f t="shared" si="25"/>
        <v>10245</v>
      </c>
      <c r="Z26" s="552">
        <f t="shared" si="26"/>
        <v>1.5066176470588237</v>
      </c>
      <c r="AA26" s="235">
        <f t="shared" ca="1" si="27"/>
        <v>3.4875979013438453E-3</v>
      </c>
      <c r="AB26" s="235">
        <f t="shared" ca="1" si="28"/>
        <v>1.6471643218394368E-3</v>
      </c>
      <c r="AC26" s="392">
        <f t="shared" ca="1" si="29"/>
        <v>0.18404335795044086</v>
      </c>
      <c r="AD26" s="231">
        <f>SUMIFS('dunhill traffic pivot'!$F$8:$F$43,'dunhill traffic pivot'!$A$8:$A$43,$C26)</f>
        <v>0</v>
      </c>
      <c r="AE26" s="231">
        <f>SUMIFS('dunhill traffic pivot'!$G$8:$G$43,'dunhill traffic pivot'!$A$8:$A$43,$C26)</f>
        <v>0</v>
      </c>
      <c r="AF26" s="552" t="str">
        <f t="shared" si="30"/>
        <v>-</v>
      </c>
      <c r="AG26" s="236">
        <f t="shared" si="31"/>
        <v>0</v>
      </c>
      <c r="AH26" s="236">
        <f t="shared" si="32"/>
        <v>0</v>
      </c>
      <c r="AI26" s="552" t="str">
        <f t="shared" si="33"/>
        <v>-</v>
      </c>
      <c r="AJ26" s="234"/>
    </row>
    <row r="27" spans="2:36" s="169" customFormat="1" x14ac:dyDescent="0.3">
      <c r="B27" s="122"/>
      <c r="C27" s="228"/>
      <c r="D27" s="233"/>
      <c r="E27" s="233"/>
      <c r="F27" s="233"/>
      <c r="G27" s="552"/>
      <c r="H27" s="235"/>
      <c r="I27" s="235"/>
      <c r="J27" s="392"/>
      <c r="K27" s="231"/>
      <c r="L27" s="231"/>
      <c r="M27" s="552"/>
      <c r="N27" s="236"/>
      <c r="O27" s="236"/>
      <c r="P27" s="552"/>
      <c r="Q27" s="234"/>
      <c r="U27" s="122"/>
      <c r="V27" s="228"/>
      <c r="W27" s="233"/>
      <c r="X27" s="233"/>
      <c r="Y27" s="233"/>
      <c r="Z27" s="552"/>
      <c r="AA27" s="235"/>
      <c r="AB27" s="235"/>
      <c r="AC27" s="392"/>
      <c r="AD27" s="231"/>
      <c r="AE27" s="231"/>
      <c r="AF27" s="552"/>
      <c r="AG27" s="236"/>
      <c r="AH27" s="236"/>
      <c r="AI27" s="552"/>
      <c r="AJ27" s="234"/>
    </row>
    <row r="28" spans="2:36" x14ac:dyDescent="0.3">
      <c r="B28" s="241" t="s">
        <v>94</v>
      </c>
      <c r="C28" s="241"/>
      <c r="D28" s="238">
        <f>SUM(D13:D26)</f>
        <v>1707486</v>
      </c>
      <c r="E28" s="238">
        <f>SUM(E13:E26)</f>
        <v>1290207</v>
      </c>
      <c r="F28" s="239">
        <f>SUM(F13:F25)</f>
        <v>407034</v>
      </c>
      <c r="G28" s="553">
        <f>IFERROR(D28/E28-1,"-")</f>
        <v>0.32342019536399969</v>
      </c>
      <c r="H28" s="165">
        <f>D28/D$29</f>
        <v>0.34937075917711924</v>
      </c>
      <c r="I28" s="165">
        <f>E28/E$29</f>
        <v>0.31527319537497561</v>
      </c>
      <c r="J28" s="393">
        <f>(H28-I28)*100</f>
        <v>3.4097563802143629</v>
      </c>
      <c r="K28" s="240">
        <f>SUM(K13:K25)</f>
        <v>11726</v>
      </c>
      <c r="L28" s="240">
        <f>SUM(L13:L25)</f>
        <v>14339</v>
      </c>
      <c r="M28" s="556">
        <f t="shared" ref="M28" si="43">IFERROR(K28/L28-1,"-")</f>
        <v>-0.18223028105167727</v>
      </c>
      <c r="N28" s="168">
        <f>IFERROR(K28/D28,0)</f>
        <v>6.8674062334918122E-3</v>
      </c>
      <c r="O28" s="168">
        <f>IFERROR(L28/E28,0)</f>
        <v>1.1113720511514819E-2</v>
      </c>
      <c r="P28" s="555">
        <f>IFERROR(N28/O28-1,"-")</f>
        <v>-0.38207855538776969</v>
      </c>
      <c r="Q28" s="165"/>
      <c r="U28" s="241" t="s">
        <v>94</v>
      </c>
      <c r="V28" s="241"/>
      <c r="W28" s="238">
        <f ca="1">SUM(W13:W26)</f>
        <v>1707486</v>
      </c>
      <c r="X28" s="238">
        <f ca="1">SUM(X13:X26)</f>
        <v>1326168</v>
      </c>
      <c r="Y28" s="239">
        <f ca="1">SUM(Y13:Y25)</f>
        <v>371073</v>
      </c>
      <c r="Z28" s="553">
        <f ca="1">IFERROR(W28/X28-1,"-")</f>
        <v>0.28753370613677909</v>
      </c>
      <c r="AA28" s="165">
        <f ca="1">W28/W$29</f>
        <v>0.34937075917711924</v>
      </c>
      <c r="AB28" s="165">
        <f ca="1">X28/X$29</f>
        <v>0.32123773740664152</v>
      </c>
      <c r="AC28" s="393">
        <f ca="1">(AA28-AB28)*100</f>
        <v>2.8133021770477717</v>
      </c>
      <c r="AD28" s="240">
        <f ca="1">SUM(AD13:AD25)</f>
        <v>11726</v>
      </c>
      <c r="AE28" s="240">
        <f ca="1">SUM(AE13:AE25)</f>
        <v>14411</v>
      </c>
      <c r="AF28" s="556">
        <f t="shared" ref="AF28" ca="1" si="44">IFERROR(AD28/AE28-1,"-")</f>
        <v>-0.18631600860453823</v>
      </c>
      <c r="AG28" s="168">
        <f ca="1">IFERROR(AD28/W28,0)</f>
        <v>6.8674062334918122E-3</v>
      </c>
      <c r="AH28" s="168">
        <f ca="1">IFERROR(AE28/X28,0)</f>
        <v>1.0866647362928377E-2</v>
      </c>
      <c r="AI28" s="555">
        <f ca="1">IFERROR(AG28/AH28-1,"-")</f>
        <v>-0.36802897856794325</v>
      </c>
      <c r="AJ28" s="165"/>
    </row>
    <row r="29" spans="2:36" ht="14.5" thickBot="1" x14ac:dyDescent="0.35">
      <c r="B29" s="639" t="s">
        <v>95</v>
      </c>
      <c r="C29" s="639"/>
      <c r="D29" s="192">
        <f>D12+D28</f>
        <v>4887318</v>
      </c>
      <c r="E29" s="192">
        <f>E12+E28</f>
        <v>4092346</v>
      </c>
      <c r="F29" s="195">
        <f>D29-E29</f>
        <v>794972</v>
      </c>
      <c r="G29" s="554">
        <f>IFERROR(D29/E29-1,"-")</f>
        <v>0.19425825675541608</v>
      </c>
      <c r="H29" s="196">
        <f>D29/D$29</f>
        <v>1</v>
      </c>
      <c r="I29" s="196">
        <f>E29/E$29</f>
        <v>1</v>
      </c>
      <c r="J29" s="583">
        <f>(H29-I29)*100</f>
        <v>0</v>
      </c>
      <c r="K29" s="193">
        <f>K12+K28</f>
        <v>16284</v>
      </c>
      <c r="L29" s="193">
        <f>L12+L28</f>
        <v>21716</v>
      </c>
      <c r="M29" s="554">
        <f>IFERROR(K29/L29-1,"-")</f>
        <v>-0.25013814698839565</v>
      </c>
      <c r="N29" s="194">
        <f>IFERROR(K29/D29,0)</f>
        <v>3.3318887782624335E-3</v>
      </c>
      <c r="O29" s="194">
        <f>IFERROR(L29/E29,0)</f>
        <v>5.3064916798335237E-3</v>
      </c>
      <c r="P29" s="554">
        <f>IFERROR(N29/O29-1,"-")</f>
        <v>-0.37211080704700883</v>
      </c>
      <c r="Q29" s="264"/>
      <c r="U29" s="639" t="s">
        <v>95</v>
      </c>
      <c r="V29" s="639"/>
      <c r="W29" s="192">
        <f ca="1">W12+W28</f>
        <v>4887318</v>
      </c>
      <c r="X29" s="192">
        <f ca="1">X12+X28</f>
        <v>4128307</v>
      </c>
      <c r="Y29" s="195">
        <f ca="1">W29-X29</f>
        <v>759011</v>
      </c>
      <c r="Z29" s="554">
        <f ca="1">IFERROR(W29/X29-1,"-")</f>
        <v>0.18385527045348127</v>
      </c>
      <c r="AA29" s="196">
        <f ca="1">W29/W$29</f>
        <v>1</v>
      </c>
      <c r="AB29" s="196">
        <f ca="1">X29/X$29</f>
        <v>1</v>
      </c>
      <c r="AC29" s="583">
        <f ca="1">(AA29-AB29)*100</f>
        <v>0</v>
      </c>
      <c r="AD29" s="193">
        <f ca="1">AD12+AD28</f>
        <v>16284</v>
      </c>
      <c r="AE29" s="193">
        <f ca="1">AE12+AE28</f>
        <v>21788</v>
      </c>
      <c r="AF29" s="554">
        <f ca="1">IFERROR(AD29/AE29-1,"-")</f>
        <v>-0.2526161189645677</v>
      </c>
      <c r="AG29" s="194">
        <f ca="1">IFERROR(AD29/W29,0)</f>
        <v>3.3318887782624335E-3</v>
      </c>
      <c r="AH29" s="194">
        <f ca="1">IFERROR(AE29/X29,0)</f>
        <v>5.2777082712114195E-3</v>
      </c>
      <c r="AI29" s="554">
        <f ca="1">IFERROR(AG29/AH29-1,"-")</f>
        <v>-0.36868644361473057</v>
      </c>
      <c r="AJ29" s="264"/>
    </row>
  </sheetData>
  <mergeCells count="2">
    <mergeCell ref="B29:C29"/>
    <mergeCell ref="U29:V29"/>
  </mergeCells>
  <phoneticPr fontId="13" type="noConversion"/>
  <conditionalFormatting sqref="F3:F10 F13:F26">
    <cfRule type="expression" dxfId="70" priority="37">
      <formula>F3&lt;0</formula>
    </cfRule>
    <cfRule type="expression" dxfId="69" priority="38">
      <formula>F3&gt;0</formula>
    </cfRule>
    <cfRule type="expression" dxfId="68" priority="39">
      <formula>F3=0</formula>
    </cfRule>
  </conditionalFormatting>
  <conditionalFormatting sqref="G3:G29 J3:J29 P3:Q29">
    <cfRule type="expression" dxfId="67" priority="64">
      <formula>G3&lt;0</formula>
    </cfRule>
    <cfRule type="expression" dxfId="66" priority="65">
      <formula>G3=0</formula>
    </cfRule>
    <cfRule type="expression" dxfId="65" priority="66">
      <formula>G3&gt;0</formula>
    </cfRule>
  </conditionalFormatting>
  <conditionalFormatting sqref="M3:M10">
    <cfRule type="expression" dxfId="64" priority="22">
      <formula>M3&lt;0</formula>
    </cfRule>
    <cfRule type="expression" dxfId="63" priority="23">
      <formula>M3=0</formula>
    </cfRule>
    <cfRule type="expression" dxfId="62" priority="24">
      <formula>M3&gt;0</formula>
    </cfRule>
  </conditionalFormatting>
  <conditionalFormatting sqref="M13:M27">
    <cfRule type="expression" dxfId="61" priority="19">
      <formula>M13&lt;0</formula>
    </cfRule>
    <cfRule type="expression" dxfId="60" priority="20">
      <formula>M13=0</formula>
    </cfRule>
    <cfRule type="expression" dxfId="59" priority="21">
      <formula>M13&gt;0</formula>
    </cfRule>
  </conditionalFormatting>
  <conditionalFormatting sqref="M29">
    <cfRule type="expression" dxfId="58" priority="16">
      <formula>M29&lt;0</formula>
    </cfRule>
    <cfRule type="expression" dxfId="57" priority="17">
      <formula>M29=0</formula>
    </cfRule>
    <cfRule type="expression" dxfId="56" priority="18">
      <formula>M29&gt;0</formula>
    </cfRule>
  </conditionalFormatting>
  <conditionalFormatting sqref="Y3:Y10 Y13:Y26">
    <cfRule type="expression" dxfId="55" priority="10">
      <formula>Y3&lt;0</formula>
    </cfRule>
    <cfRule type="expression" dxfId="54" priority="11">
      <formula>Y3&gt;0</formula>
    </cfRule>
    <cfRule type="expression" dxfId="53" priority="12">
      <formula>Y3=0</formula>
    </cfRule>
  </conditionalFormatting>
  <conditionalFormatting sqref="Z3:Z29 AC3:AC29 AI3:AJ29">
    <cfRule type="expression" dxfId="52" priority="13">
      <formula>Z3&lt;0</formula>
    </cfRule>
    <cfRule type="expression" dxfId="51" priority="14">
      <formula>Z3=0</formula>
    </cfRule>
    <cfRule type="expression" dxfId="50" priority="15">
      <formula>Z3&gt;0</formula>
    </cfRule>
  </conditionalFormatting>
  <conditionalFormatting sqref="AF3:AF10">
    <cfRule type="expression" dxfId="49" priority="7">
      <formula>AF3&lt;0</formula>
    </cfRule>
    <cfRule type="expression" dxfId="48" priority="8">
      <formula>AF3=0</formula>
    </cfRule>
    <cfRule type="expression" dxfId="47" priority="9">
      <formula>AF3&gt;0</formula>
    </cfRule>
  </conditionalFormatting>
  <conditionalFormatting sqref="AF13:AF27">
    <cfRule type="expression" dxfId="46" priority="4">
      <formula>AF13&lt;0</formula>
    </cfRule>
    <cfRule type="expression" dxfId="45" priority="5">
      <formula>AF13=0</formula>
    </cfRule>
    <cfRule type="expression" dxfId="44" priority="6">
      <formula>AF13&gt;0</formula>
    </cfRule>
  </conditionalFormatting>
  <conditionalFormatting sqref="AF29">
    <cfRule type="expression" dxfId="43" priority="1">
      <formula>AF29&lt;0</formula>
    </cfRule>
    <cfRule type="expression" dxfId="42" priority="2">
      <formula>AF29=0</formula>
    </cfRule>
    <cfRule type="expression" dxfId="41" priority="3">
      <formula>AF29&gt;0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77BB-5713-484B-96C1-486FD652128C}">
  <dimension ref="A1:BC144"/>
  <sheetViews>
    <sheetView showGridLines="0" zoomScaleNormal="100" workbookViewId="0">
      <pane xSplit="1" ySplit="7" topLeftCell="B97" activePane="bottomRight" state="frozen"/>
      <selection pane="topRight" activeCell="B1" sqref="B1"/>
      <selection pane="bottomLeft" activeCell="A8" sqref="A8"/>
      <selection pane="bottomRight" activeCell="AE14" sqref="AE14"/>
    </sheetView>
  </sheetViews>
  <sheetFormatPr defaultRowHeight="12.5" x14ac:dyDescent="0.25"/>
  <cols>
    <col min="1" max="1" width="23.58203125" style="19" bestFit="1" customWidth="1"/>
    <col min="2" max="2" width="8.25" style="19" bestFit="1" customWidth="1"/>
    <col min="3" max="3" width="6" style="19" bestFit="1" customWidth="1"/>
    <col min="4" max="5" width="5.33203125" style="19" bestFit="1" customWidth="1"/>
    <col min="6" max="6" width="7.9140625" style="19" bestFit="1" customWidth="1"/>
    <col min="7" max="7" width="5.75" style="19" bestFit="1" customWidth="1"/>
    <col min="8" max="9" width="6.75" style="19" bestFit="1" customWidth="1"/>
    <col min="10" max="10" width="8.58203125" style="19" bestFit="1" customWidth="1"/>
    <col min="11" max="11" width="5.33203125" style="19" bestFit="1" customWidth="1"/>
    <col min="12" max="40" width="10.1640625" style="19" customWidth="1"/>
    <col min="41" max="41" width="8.33203125" style="19" bestFit="1" customWidth="1"/>
    <col min="42" max="42" width="5.9140625" style="19" bestFit="1" customWidth="1"/>
    <col min="43" max="43" width="10.75" style="19" bestFit="1" customWidth="1"/>
    <col min="44" max="44" width="8.33203125" style="19" bestFit="1" customWidth="1"/>
    <col min="45" max="45" width="5.9140625" style="19" bestFit="1" customWidth="1"/>
    <col min="46" max="46" width="10.75" style="19" bestFit="1" customWidth="1"/>
    <col min="47" max="47" width="9.08203125" style="19" bestFit="1" customWidth="1"/>
    <col min="48" max="48" width="4.83203125" style="19" bestFit="1" customWidth="1"/>
    <col min="49" max="49" width="11.4140625" style="19" bestFit="1" customWidth="1"/>
    <col min="50" max="50" width="8.33203125" style="19" bestFit="1" customWidth="1"/>
    <col min="51" max="51" width="4.83203125" style="19" bestFit="1" customWidth="1"/>
    <col min="52" max="52" width="10.75" style="19" bestFit="1" customWidth="1"/>
    <col min="53" max="53" width="8.33203125" style="19" bestFit="1" customWidth="1"/>
    <col min="54" max="54" width="4.83203125" style="19" bestFit="1" customWidth="1"/>
    <col min="55" max="55" width="10.75" style="19" bestFit="1" customWidth="1"/>
    <col min="56" max="16384" width="8.6640625" style="19"/>
  </cols>
  <sheetData>
    <row r="1" spans="1:40" x14ac:dyDescent="0.25">
      <c r="A1" s="18" t="s">
        <v>800</v>
      </c>
      <c r="B1" s="19" t="s">
        <v>821</v>
      </c>
      <c r="AC1" s="18" t="s">
        <v>800</v>
      </c>
      <c r="AD1" s="19" t="s">
        <v>821</v>
      </c>
    </row>
    <row r="2" spans="1:40" x14ac:dyDescent="0.25">
      <c r="A2" s="18" t="s">
        <v>96</v>
      </c>
      <c r="B2" s="19" t="s">
        <v>110</v>
      </c>
      <c r="AC2" s="18" t="s">
        <v>96</v>
      </c>
      <c r="AD2" s="19" t="s">
        <v>110</v>
      </c>
    </row>
    <row r="3" spans="1:40" x14ac:dyDescent="0.25">
      <c r="A3" s="18" t="s">
        <v>97</v>
      </c>
      <c r="B3" s="19" t="s">
        <v>234</v>
      </c>
      <c r="AC3" s="18" t="s">
        <v>98</v>
      </c>
      <c r="AD3" s="19" t="s">
        <v>369</v>
      </c>
    </row>
    <row r="4" spans="1:40" ht="14" x14ac:dyDescent="0.3">
      <c r="A4" s="18" t="s">
        <v>110</v>
      </c>
      <c r="B4" s="19" t="s">
        <v>369</v>
      </c>
      <c r="C4"/>
      <c r="D4"/>
      <c r="E4"/>
      <c r="F4"/>
      <c r="G4"/>
      <c r="H4"/>
      <c r="I4"/>
      <c r="J4"/>
      <c r="K4"/>
      <c r="AC4" s="18" t="s">
        <v>97</v>
      </c>
      <c r="AD4" s="19" t="s">
        <v>234</v>
      </c>
      <c r="AE4"/>
      <c r="AF4"/>
      <c r="AG4"/>
      <c r="AH4"/>
      <c r="AI4"/>
      <c r="AJ4"/>
      <c r="AK4"/>
      <c r="AL4"/>
      <c r="AM4"/>
      <c r="AN4"/>
    </row>
    <row r="5" spans="1:40" ht="14" x14ac:dyDescent="0.3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AC5" s="18" t="s">
        <v>110</v>
      </c>
      <c r="AD5" s="19" t="s">
        <v>369</v>
      </c>
      <c r="AE5"/>
      <c r="AF5"/>
      <c r="AG5"/>
      <c r="AH5"/>
      <c r="AI5"/>
      <c r="AJ5"/>
      <c r="AK5"/>
      <c r="AL5"/>
      <c r="AM5"/>
      <c r="AN5"/>
    </row>
    <row r="6" spans="1:40" ht="14" x14ac:dyDescent="0.3">
      <c r="B6" s="18" t="s">
        <v>200</v>
      </c>
      <c r="L6"/>
      <c r="M6"/>
      <c r="N6"/>
      <c r="O6"/>
      <c r="P6"/>
      <c r="Q6"/>
      <c r="R6" s="170"/>
      <c r="S6" s="170"/>
      <c r="T6" s="170"/>
      <c r="U6" s="170"/>
      <c r="AC6"/>
      <c r="AD6"/>
      <c r="AE6"/>
      <c r="AF6"/>
      <c r="AG6"/>
      <c r="AH6"/>
      <c r="AI6"/>
      <c r="AJ6"/>
      <c r="AK6"/>
      <c r="AL6"/>
      <c r="AM6"/>
      <c r="AN6"/>
    </row>
    <row r="7" spans="1:40" ht="14" x14ac:dyDescent="0.3">
      <c r="B7" s="19" t="s">
        <v>48</v>
      </c>
      <c r="D7" s="19" t="s">
        <v>76</v>
      </c>
      <c r="F7" s="19" t="s">
        <v>362</v>
      </c>
      <c r="H7" s="19" t="s">
        <v>807</v>
      </c>
      <c r="J7" s="19" t="s">
        <v>806</v>
      </c>
      <c r="L7"/>
      <c r="M7"/>
      <c r="N7"/>
      <c r="O7"/>
      <c r="P7"/>
      <c r="Q7"/>
      <c r="R7" s="170"/>
      <c r="S7" s="170"/>
      <c r="T7" s="170"/>
      <c r="U7" s="170"/>
      <c r="AD7" s="18" t="s">
        <v>200</v>
      </c>
      <c r="AL7"/>
      <c r="AM7"/>
      <c r="AN7"/>
    </row>
    <row r="8" spans="1:40" ht="14" x14ac:dyDescent="0.3">
      <c r="A8" s="18" t="s">
        <v>199</v>
      </c>
      <c r="B8" s="19" t="s">
        <v>560</v>
      </c>
      <c r="C8" s="19" t="s">
        <v>246</v>
      </c>
      <c r="D8" s="19" t="s">
        <v>560</v>
      </c>
      <c r="E8" s="19" t="s">
        <v>246</v>
      </c>
      <c r="F8" s="19" t="s">
        <v>560</v>
      </c>
      <c r="G8" s="19" t="s">
        <v>246</v>
      </c>
      <c r="H8" s="19" t="s">
        <v>560</v>
      </c>
      <c r="I8" s="19" t="s">
        <v>246</v>
      </c>
      <c r="J8" s="19" t="s">
        <v>560</v>
      </c>
      <c r="K8" s="19" t="s">
        <v>246</v>
      </c>
      <c r="L8"/>
      <c r="M8"/>
      <c r="N8"/>
      <c r="O8"/>
      <c r="P8"/>
      <c r="Q8"/>
      <c r="R8" s="170"/>
      <c r="S8" s="170"/>
      <c r="T8" s="170"/>
      <c r="U8" s="170"/>
      <c r="AD8" s="19" t="s">
        <v>48</v>
      </c>
      <c r="AF8" s="19" t="s">
        <v>76</v>
      </c>
      <c r="AH8" s="19" t="s">
        <v>362</v>
      </c>
      <c r="AJ8" s="19" t="s">
        <v>799</v>
      </c>
      <c r="AL8"/>
      <c r="AM8"/>
      <c r="AN8"/>
    </row>
    <row r="9" spans="1:40" ht="14" x14ac:dyDescent="0.3">
      <c r="A9" s="20" t="s">
        <v>2</v>
      </c>
      <c r="B9" s="22">
        <v>3027876</v>
      </c>
      <c r="C9" s="22">
        <v>2608144</v>
      </c>
      <c r="D9" s="23">
        <v>0.63937269648529105</v>
      </c>
      <c r="E9" s="23">
        <v>0.66273822827936935</v>
      </c>
      <c r="F9" s="680">
        <v>3068</v>
      </c>
      <c r="G9" s="680">
        <v>5223</v>
      </c>
      <c r="H9" s="545">
        <v>1.0132515334181453E-3</v>
      </c>
      <c r="I9" s="545">
        <v>2.00257347753805E-3</v>
      </c>
      <c r="J9" s="545">
        <v>-0.4940252905657026</v>
      </c>
      <c r="K9" s="545"/>
      <c r="L9"/>
      <c r="M9"/>
      <c r="N9"/>
      <c r="O9"/>
      <c r="P9"/>
      <c r="Q9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18" t="s">
        <v>199</v>
      </c>
      <c r="AD9" s="19" t="s">
        <v>560</v>
      </c>
      <c r="AE9" s="19" t="s">
        <v>246</v>
      </c>
      <c r="AF9" s="19" t="s">
        <v>560</v>
      </c>
      <c r="AG9" s="19" t="s">
        <v>246</v>
      </c>
      <c r="AH9" s="19" t="s">
        <v>560</v>
      </c>
      <c r="AI9" s="19" t="s">
        <v>246</v>
      </c>
      <c r="AJ9" s="19" t="s">
        <v>560</v>
      </c>
      <c r="AK9" s="19" t="s">
        <v>246</v>
      </c>
      <c r="AL9"/>
      <c r="AM9"/>
      <c r="AN9"/>
    </row>
    <row r="10" spans="1:40" ht="14" x14ac:dyDescent="0.3">
      <c r="A10" s="21" t="s">
        <v>55</v>
      </c>
      <c r="B10" s="22">
        <v>120743</v>
      </c>
      <c r="C10" s="22">
        <v>424658</v>
      </c>
      <c r="D10" s="23">
        <v>2.5496347106593369E-2</v>
      </c>
      <c r="E10" s="23">
        <v>0.10790703678349832</v>
      </c>
      <c r="F10" s="680">
        <v>1</v>
      </c>
      <c r="G10" s="680">
        <v>0</v>
      </c>
      <c r="H10" s="545">
        <v>8.2820536180151229E-6</v>
      </c>
      <c r="I10" s="545">
        <v>0</v>
      </c>
      <c r="J10" s="545" t="e">
        <v>#DIV/0!</v>
      </c>
      <c r="K10" s="545"/>
      <c r="L10"/>
      <c r="M10"/>
      <c r="N10"/>
      <c r="O10"/>
      <c r="P10"/>
      <c r="Q10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0" t="s">
        <v>55</v>
      </c>
      <c r="AD10" s="22">
        <v>121543</v>
      </c>
      <c r="AE10" s="22">
        <v>429445</v>
      </c>
      <c r="AF10" s="23">
        <v>3.8222427400722105E-2</v>
      </c>
      <c r="AG10" s="23">
        <v>0.15325416863686245</v>
      </c>
      <c r="AH10" s="680">
        <v>6</v>
      </c>
      <c r="AI10" s="680">
        <v>0</v>
      </c>
      <c r="AJ10" s="545">
        <v>8.2275408703092736E-6</v>
      </c>
      <c r="AK10" s="545">
        <v>0</v>
      </c>
      <c r="AL10"/>
      <c r="AM10"/>
      <c r="AN10"/>
    </row>
    <row r="11" spans="1:40" ht="14" x14ac:dyDescent="0.3">
      <c r="A11" s="21" t="s">
        <v>52</v>
      </c>
      <c r="B11" s="22">
        <v>69</v>
      </c>
      <c r="C11" s="22">
        <v>250310</v>
      </c>
      <c r="D11" s="23">
        <v>1.4570185852222841E-5</v>
      </c>
      <c r="E11" s="23">
        <v>6.3604619193038781E-2</v>
      </c>
      <c r="F11" s="680">
        <v>0</v>
      </c>
      <c r="G11" s="680">
        <v>646</v>
      </c>
      <c r="H11" s="545">
        <v>0</v>
      </c>
      <c r="I11" s="545">
        <v>2.5807998082377852E-3</v>
      </c>
      <c r="J11" s="545">
        <v>-1</v>
      </c>
      <c r="K11" s="545"/>
      <c r="L11"/>
      <c r="M11"/>
      <c r="N11"/>
      <c r="O11"/>
      <c r="P11"/>
      <c r="Q1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1" t="s">
        <v>82</v>
      </c>
      <c r="AD11" s="22">
        <v>101919</v>
      </c>
      <c r="AE11" s="22">
        <v>218359</v>
      </c>
      <c r="AF11" s="23">
        <v>3.2051138924119003E-2</v>
      </c>
      <c r="AG11" s="23">
        <v>7.7924826251037138E-2</v>
      </c>
      <c r="AH11" s="680">
        <v>0</v>
      </c>
      <c r="AI11" s="680">
        <v>0</v>
      </c>
      <c r="AJ11" s="545">
        <v>0</v>
      </c>
      <c r="AK11" s="545">
        <v>0</v>
      </c>
      <c r="AL11"/>
      <c r="AM11"/>
      <c r="AN11"/>
    </row>
    <row r="12" spans="1:40" ht="14" x14ac:dyDescent="0.3">
      <c r="A12" s="21" t="s">
        <v>57</v>
      </c>
      <c r="B12" s="22">
        <v>2868697</v>
      </c>
      <c r="C12" s="22">
        <v>1884677</v>
      </c>
      <c r="D12" s="23">
        <v>0.60576012237266819</v>
      </c>
      <c r="E12" s="23">
        <v>0.47890281206055996</v>
      </c>
      <c r="F12" s="680">
        <v>2677</v>
      </c>
      <c r="G12" s="680">
        <v>4302</v>
      </c>
      <c r="H12" s="545">
        <v>9.3317628177531475E-4</v>
      </c>
      <c r="I12" s="545">
        <v>2.2826192498767695E-3</v>
      </c>
      <c r="J12" s="545">
        <v>-0.59118180492620764</v>
      </c>
      <c r="K12" s="545"/>
      <c r="L12"/>
      <c r="M12"/>
      <c r="N12"/>
      <c r="O12"/>
      <c r="P12"/>
      <c r="Q12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1" t="s">
        <v>235</v>
      </c>
      <c r="AD12" s="22">
        <v>19624</v>
      </c>
      <c r="AE12" s="22">
        <v>211086</v>
      </c>
      <c r="AF12" s="23">
        <v>6.1712884766030995E-3</v>
      </c>
      <c r="AG12" s="23">
        <v>7.5329342385825296E-2</v>
      </c>
      <c r="AH12" s="680">
        <v>6</v>
      </c>
      <c r="AI12" s="680">
        <v>0</v>
      </c>
      <c r="AJ12" s="545">
        <v>5.0958010599266205E-5</v>
      </c>
      <c r="AK12" s="545">
        <v>0</v>
      </c>
      <c r="AL12"/>
      <c r="AM12"/>
      <c r="AN12"/>
    </row>
    <row r="13" spans="1:40" ht="14" x14ac:dyDescent="0.3">
      <c r="A13" s="21" t="s">
        <v>4</v>
      </c>
      <c r="B13" s="22">
        <v>38367</v>
      </c>
      <c r="C13" s="22">
        <v>48499</v>
      </c>
      <c r="D13" s="23">
        <v>8.1016568201772998E-3</v>
      </c>
      <c r="E13" s="23">
        <v>1.2323760242272335E-2</v>
      </c>
      <c r="F13" s="680">
        <v>390</v>
      </c>
      <c r="G13" s="680">
        <v>275</v>
      </c>
      <c r="H13" s="545">
        <v>1.0164985534443663E-2</v>
      </c>
      <c r="I13" s="545">
        <v>5.6702200045361762E-3</v>
      </c>
      <c r="J13" s="545">
        <v>0.79269684885448422</v>
      </c>
      <c r="K13" s="545"/>
      <c r="L13"/>
      <c r="M13"/>
      <c r="N13"/>
      <c r="O13"/>
      <c r="P13"/>
      <c r="Q1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0" t="s">
        <v>52</v>
      </c>
      <c r="AD13" s="22">
        <v>69</v>
      </c>
      <c r="AE13" s="22">
        <v>289893</v>
      </c>
      <c r="AF13" s="23">
        <v>2.1698884268529037E-5</v>
      </c>
      <c r="AG13" s="23">
        <v>0.10345285358694585</v>
      </c>
      <c r="AH13" s="680">
        <v>0</v>
      </c>
      <c r="AI13" s="680">
        <v>836</v>
      </c>
      <c r="AJ13" s="545">
        <v>0</v>
      </c>
      <c r="AK13" s="545">
        <v>2.4767759138716698E-3</v>
      </c>
      <c r="AL13"/>
      <c r="AM13"/>
      <c r="AN13"/>
    </row>
    <row r="14" spans="1:40" ht="14" x14ac:dyDescent="0.3">
      <c r="A14" s="20" t="s">
        <v>3</v>
      </c>
      <c r="B14" s="22">
        <v>1707822</v>
      </c>
      <c r="C14" s="22">
        <v>1327262</v>
      </c>
      <c r="D14" s="23">
        <v>0.3606273035147089</v>
      </c>
      <c r="E14" s="23">
        <v>0.3372617717206306</v>
      </c>
      <c r="F14" s="680">
        <v>11768</v>
      </c>
      <c r="G14" s="680">
        <v>14439</v>
      </c>
      <c r="H14" s="545">
        <v>6.890647854401688E-3</v>
      </c>
      <c r="I14" s="545">
        <v>1.0878786554576263E-2</v>
      </c>
      <c r="J14" s="545">
        <v>-0.36659775243930376</v>
      </c>
      <c r="K14" s="545"/>
      <c r="L14"/>
      <c r="M14"/>
      <c r="N14"/>
      <c r="O14"/>
      <c r="P14"/>
      <c r="Q14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1" t="s">
        <v>236</v>
      </c>
      <c r="AD14" s="22">
        <v>55</v>
      </c>
      <c r="AE14" s="22">
        <v>36</v>
      </c>
      <c r="AF14" s="23">
        <v>1.7296212098102856E-5</v>
      </c>
      <c r="AG14" s="23">
        <v>1.2847163364172473E-5</v>
      </c>
      <c r="AH14" s="680">
        <v>0</v>
      </c>
      <c r="AI14" s="680">
        <v>0</v>
      </c>
      <c r="AJ14" s="545">
        <v>0</v>
      </c>
      <c r="AK14" s="545">
        <v>0</v>
      </c>
      <c r="AL14"/>
      <c r="AM14"/>
      <c r="AN14"/>
    </row>
    <row r="15" spans="1:40" ht="14" x14ac:dyDescent="0.3">
      <c r="A15" s="21" t="s">
        <v>146</v>
      </c>
      <c r="B15" s="22">
        <v>22</v>
      </c>
      <c r="C15" s="22">
        <v>20</v>
      </c>
      <c r="D15" s="23">
        <v>4.6455665036072822E-6</v>
      </c>
      <c r="E15" s="23">
        <v>5.082067771406559E-6</v>
      </c>
      <c r="F15" s="680">
        <v>0</v>
      </c>
      <c r="G15" s="680">
        <v>0</v>
      </c>
      <c r="H15" s="545">
        <v>0</v>
      </c>
      <c r="I15" s="545">
        <v>0</v>
      </c>
      <c r="J15" s="545" t="e">
        <v>#DIV/0!</v>
      </c>
      <c r="K15" s="545"/>
      <c r="L15"/>
      <c r="M15"/>
      <c r="N15"/>
      <c r="O15"/>
      <c r="P15"/>
      <c r="Q15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1" t="s">
        <v>80</v>
      </c>
      <c r="AD15" s="22">
        <v>14</v>
      </c>
      <c r="AE15" s="22">
        <v>153604</v>
      </c>
      <c r="AF15" s="23">
        <v>4.4026721704261819E-6</v>
      </c>
      <c r="AG15" s="23">
        <v>5.4815991149731902E-2</v>
      </c>
      <c r="AH15" s="680">
        <v>0</v>
      </c>
      <c r="AI15" s="680">
        <v>748</v>
      </c>
      <c r="AJ15" s="545">
        <v>0</v>
      </c>
      <c r="AK15" s="545">
        <v>4.205619645321736E-3</v>
      </c>
      <c r="AL15"/>
      <c r="AM15"/>
      <c r="AN15"/>
    </row>
    <row r="16" spans="1:40" ht="14" x14ac:dyDescent="0.3">
      <c r="A16" s="21" t="s">
        <v>121</v>
      </c>
      <c r="B16" s="22">
        <v>196</v>
      </c>
      <c r="C16" s="22">
        <v>303</v>
      </c>
      <c r="D16" s="23">
        <v>4.1387774304864877E-5</v>
      </c>
      <c r="E16" s="23">
        <v>7.6993326736809361E-5</v>
      </c>
      <c r="F16" s="680">
        <v>0</v>
      </c>
      <c r="G16" s="680">
        <v>2</v>
      </c>
      <c r="H16" s="545">
        <v>0</v>
      </c>
      <c r="I16" s="545">
        <v>6.6006600660066007E-3</v>
      </c>
      <c r="J16" s="545">
        <v>-1</v>
      </c>
      <c r="K16" s="545"/>
      <c r="L16"/>
      <c r="M16"/>
      <c r="N16"/>
      <c r="O16"/>
      <c r="P16"/>
      <c r="Q16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1" t="s">
        <v>71</v>
      </c>
      <c r="AD16" s="22">
        <v>0</v>
      </c>
      <c r="AE16" s="22">
        <v>136253</v>
      </c>
      <c r="AF16" s="23">
        <v>0</v>
      </c>
      <c r="AG16" s="23">
        <v>4.8624015273849776E-2</v>
      </c>
      <c r="AH16" s="680">
        <v>0</v>
      </c>
      <c r="AI16" s="680">
        <v>88</v>
      </c>
      <c r="AJ16" s="545" t="e">
        <v>#DIV/0!</v>
      </c>
      <c r="AK16" s="545">
        <v>5.2842873184443646E-4</v>
      </c>
      <c r="AL16"/>
      <c r="AM16"/>
      <c r="AN16"/>
    </row>
    <row r="17" spans="1:40" ht="14" x14ac:dyDescent="0.3">
      <c r="A17" s="21" t="s">
        <v>90</v>
      </c>
      <c r="B17" s="22">
        <v>17715</v>
      </c>
      <c r="C17" s="22">
        <v>29902</v>
      </c>
      <c r="D17" s="23">
        <v>3.740736845972864E-3</v>
      </c>
      <c r="E17" s="23">
        <v>7.5981995250299457E-3</v>
      </c>
      <c r="F17" s="680">
        <v>185</v>
      </c>
      <c r="G17" s="680">
        <v>398</v>
      </c>
      <c r="H17" s="545">
        <v>1.0443127293254304E-2</v>
      </c>
      <c r="I17" s="545">
        <v>1.3310146478496421E-2</v>
      </c>
      <c r="J17" s="545">
        <v>-0.21540102431434618</v>
      </c>
      <c r="K17" s="545"/>
      <c r="L17"/>
      <c r="M17"/>
      <c r="N17"/>
      <c r="O17"/>
      <c r="P17"/>
      <c r="Q17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0" t="s">
        <v>57</v>
      </c>
      <c r="AD17" s="22">
        <v>3020302</v>
      </c>
      <c r="AE17" s="22">
        <v>2034695</v>
      </c>
      <c r="AF17" s="23">
        <v>0.94981425440589551</v>
      </c>
      <c r="AG17" s="23">
        <v>0.72611275170180312</v>
      </c>
      <c r="AH17" s="680">
        <v>4097</v>
      </c>
      <c r="AI17" s="680">
        <v>6239</v>
      </c>
      <c r="AJ17" s="545">
        <v>9.5189156581030633E-4</v>
      </c>
      <c r="AK17" s="545">
        <v>2.3010819803459485E-3</v>
      </c>
      <c r="AL17"/>
      <c r="AM17"/>
      <c r="AN17"/>
    </row>
    <row r="18" spans="1:40" ht="14" x14ac:dyDescent="0.3">
      <c r="A18" s="69" t="s">
        <v>84</v>
      </c>
      <c r="B18" s="22">
        <v>273193</v>
      </c>
      <c r="C18" s="22">
        <v>161342</v>
      </c>
      <c r="D18" s="23">
        <v>5.768801135545383E-2</v>
      </c>
      <c r="E18" s="23">
        <v>4.099754891871385E-2</v>
      </c>
      <c r="F18" s="680">
        <v>1078</v>
      </c>
      <c r="G18" s="680">
        <v>1742</v>
      </c>
      <c r="H18" s="545">
        <v>3.945928336377579E-3</v>
      </c>
      <c r="I18" s="545">
        <v>1.0796940660212468E-2</v>
      </c>
      <c r="J18" s="545">
        <v>-0.63453273843408076</v>
      </c>
      <c r="K18" s="545"/>
      <c r="L18"/>
      <c r="M18"/>
      <c r="N18"/>
      <c r="O18"/>
      <c r="P18"/>
      <c r="Q18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1" t="s">
        <v>79</v>
      </c>
      <c r="AD18" s="22">
        <v>304001</v>
      </c>
      <c r="AE18" s="22">
        <v>486368</v>
      </c>
      <c r="AF18" s="23">
        <v>9.5601195891552124E-2</v>
      </c>
      <c r="AG18" s="23">
        <v>0.17356803197516216</v>
      </c>
      <c r="AH18" s="680">
        <v>1613</v>
      </c>
      <c r="AI18" s="680">
        <v>2468</v>
      </c>
      <c r="AJ18" s="545">
        <v>4.2565649455100479E-3</v>
      </c>
      <c r="AK18" s="545">
        <v>3.787255740509244E-3</v>
      </c>
      <c r="AL18"/>
      <c r="AM18"/>
      <c r="AN18"/>
    </row>
    <row r="19" spans="1:40" ht="14" x14ac:dyDescent="0.3">
      <c r="A19" s="21" t="s">
        <v>85</v>
      </c>
      <c r="B19" s="22">
        <v>705494</v>
      </c>
      <c r="C19" s="22">
        <v>426002</v>
      </c>
      <c r="D19" s="23">
        <v>0.14897360431345072</v>
      </c>
      <c r="E19" s="23">
        <v>0.10824855173773684</v>
      </c>
      <c r="F19" s="680">
        <v>1193</v>
      </c>
      <c r="G19" s="680">
        <v>1022</v>
      </c>
      <c r="H19" s="545">
        <v>1.6910136726889244E-3</v>
      </c>
      <c r="I19" s="545">
        <v>2.399049769719391E-3</v>
      </c>
      <c r="J19" s="545">
        <v>-0.29513189178784033</v>
      </c>
      <c r="K19" s="545"/>
      <c r="L19"/>
      <c r="M19"/>
      <c r="N19"/>
      <c r="O19"/>
      <c r="P19"/>
      <c r="Q19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1" t="s">
        <v>77</v>
      </c>
      <c r="AD19" s="22">
        <v>1987603</v>
      </c>
      <c r="AE19" s="22">
        <v>829271</v>
      </c>
      <c r="AF19" s="23">
        <v>0.62505460099682786</v>
      </c>
      <c r="AG19" s="23">
        <v>0.29593833361585198</v>
      </c>
      <c r="AH19" s="680">
        <v>986</v>
      </c>
      <c r="AI19" s="680">
        <v>1053</v>
      </c>
      <c r="AJ19" s="545">
        <v>3.3859880469087639E-4</v>
      </c>
      <c r="AK19" s="545">
        <v>8.8390887900336563E-4</v>
      </c>
      <c r="AL19"/>
      <c r="AM19"/>
      <c r="AN19"/>
    </row>
    <row r="20" spans="1:40" ht="14" x14ac:dyDescent="0.3">
      <c r="A20" s="21" t="s">
        <v>86</v>
      </c>
      <c r="B20" s="22">
        <v>149039</v>
      </c>
      <c r="C20" s="22">
        <v>120498</v>
      </c>
      <c r="D20" s="23">
        <v>3.1471390278687533E-2</v>
      </c>
      <c r="E20" s="23">
        <v>3.0618950115947376E-2</v>
      </c>
      <c r="F20" s="680">
        <v>1722</v>
      </c>
      <c r="G20" s="680">
        <v>1970</v>
      </c>
      <c r="H20" s="545">
        <v>1.1554022772562886E-2</v>
      </c>
      <c r="I20" s="545">
        <v>1.634881906753639E-2</v>
      </c>
      <c r="J20" s="545">
        <v>-0.29328089540696312</v>
      </c>
      <c r="K20" s="545"/>
      <c r="L20"/>
      <c r="M20"/>
      <c r="N20"/>
      <c r="O20"/>
      <c r="P20"/>
      <c r="Q20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1" t="s">
        <v>78</v>
      </c>
      <c r="AD20" s="22">
        <v>728698</v>
      </c>
      <c r="AE20" s="22">
        <v>719056</v>
      </c>
      <c r="AF20" s="23">
        <v>0.22915845751751557</v>
      </c>
      <c r="AG20" s="23">
        <v>0.25660638611078895</v>
      </c>
      <c r="AH20" s="680">
        <v>1498</v>
      </c>
      <c r="AI20" s="680">
        <v>2718</v>
      </c>
      <c r="AJ20" s="545">
        <v>1.2460580377604989E-3</v>
      </c>
      <c r="AK20" s="545">
        <v>2.9302307469793731E-3</v>
      </c>
      <c r="AL20"/>
      <c r="AM20"/>
      <c r="AN20"/>
    </row>
    <row r="21" spans="1:40" ht="14" x14ac:dyDescent="0.3">
      <c r="A21" s="21" t="s">
        <v>577</v>
      </c>
      <c r="B21" s="22">
        <v>37106</v>
      </c>
      <c r="C21" s="22">
        <v>623</v>
      </c>
      <c r="D21" s="23">
        <v>7.8353813946750832E-3</v>
      </c>
      <c r="E21" s="23">
        <v>1.5830641107931432E-4</v>
      </c>
      <c r="F21" s="680">
        <v>12</v>
      </c>
      <c r="G21" s="680">
        <v>15</v>
      </c>
      <c r="H21" s="545">
        <v>3.2339783323451731E-4</v>
      </c>
      <c r="I21" s="545">
        <v>2.4077046548956663E-2</v>
      </c>
      <c r="J21" s="545">
        <v>-0.98656820999299311</v>
      </c>
      <c r="K21" s="545"/>
      <c r="L21"/>
      <c r="M21"/>
      <c r="N21"/>
      <c r="O21"/>
      <c r="P21"/>
      <c r="Q21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0" t="s">
        <v>4</v>
      </c>
      <c r="AD21" s="22">
        <v>37973</v>
      </c>
      <c r="AE21" s="22">
        <v>48142</v>
      </c>
      <c r="AF21" s="23">
        <v>1.1941619309113815E-2</v>
      </c>
      <c r="AG21" s="23">
        <v>1.7180226074388644E-2</v>
      </c>
      <c r="AH21" s="680">
        <v>455</v>
      </c>
      <c r="AI21" s="680">
        <v>302</v>
      </c>
      <c r="AJ21" s="545">
        <v>1.0270455323519343E-2</v>
      </c>
      <c r="AK21" s="545">
        <v>5.7122678742054754E-3</v>
      </c>
      <c r="AL21"/>
      <c r="AM21"/>
      <c r="AN21"/>
    </row>
    <row r="22" spans="1:40" ht="14" x14ac:dyDescent="0.3">
      <c r="A22" s="21" t="s">
        <v>918</v>
      </c>
      <c r="B22" s="22">
        <v>0</v>
      </c>
      <c r="C22" s="22">
        <v>216</v>
      </c>
      <c r="D22" s="23">
        <v>0</v>
      </c>
      <c r="E22" s="23">
        <v>5.4886331931190836E-5</v>
      </c>
      <c r="F22" s="680">
        <v>0</v>
      </c>
      <c r="G22" s="680">
        <v>0</v>
      </c>
      <c r="H22" s="545" t="e">
        <v>#DIV/0!</v>
      </c>
      <c r="I22" s="545">
        <v>0</v>
      </c>
      <c r="J22" s="545" t="e">
        <v>#DIV/0!</v>
      </c>
      <c r="K22" s="545"/>
      <c r="L22"/>
      <c r="M22"/>
      <c r="N22"/>
      <c r="O22"/>
      <c r="P22"/>
      <c r="Q22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1" t="s">
        <v>81</v>
      </c>
      <c r="AD22" s="22">
        <v>37973</v>
      </c>
      <c r="AE22" s="22">
        <v>48142</v>
      </c>
      <c r="AF22" s="23">
        <v>1.1941619309113815E-2</v>
      </c>
      <c r="AG22" s="23">
        <v>1.7180226074388644E-2</v>
      </c>
      <c r="AH22" s="680">
        <v>455</v>
      </c>
      <c r="AI22" s="680">
        <v>302</v>
      </c>
      <c r="AJ22" s="545">
        <v>1.0270455323519343E-2</v>
      </c>
      <c r="AK22" s="545">
        <v>5.7122678742054754E-3</v>
      </c>
      <c r="AL22"/>
      <c r="AM22"/>
      <c r="AN22"/>
    </row>
    <row r="23" spans="1:40" ht="14" x14ac:dyDescent="0.3">
      <c r="A23" s="21" t="s">
        <v>89</v>
      </c>
      <c r="B23" s="22">
        <v>209415</v>
      </c>
      <c r="C23" s="22">
        <v>307387</v>
      </c>
      <c r="D23" s="23">
        <v>4.4220514061496317E-2</v>
      </c>
      <c r="E23" s="23">
        <v>7.8108078302467396E-2</v>
      </c>
      <c r="F23" s="680">
        <v>841</v>
      </c>
      <c r="G23" s="680">
        <v>604</v>
      </c>
      <c r="H23" s="545">
        <v>4.0159491917961939E-3</v>
      </c>
      <c r="I23" s="545">
        <v>1.9649497213610205E-3</v>
      </c>
      <c r="J23" s="545">
        <v>1.043792341421617</v>
      </c>
      <c r="K23" s="545"/>
      <c r="L23"/>
      <c r="M23"/>
      <c r="N23"/>
      <c r="O23"/>
      <c r="P23"/>
      <c r="Q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0" t="s">
        <v>0</v>
      </c>
      <c r="AD23" s="22">
        <v>3179887</v>
      </c>
      <c r="AE23" s="22">
        <v>2802175</v>
      </c>
      <c r="AF23" s="23">
        <v>1</v>
      </c>
      <c r="AG23" s="23">
        <v>1</v>
      </c>
      <c r="AH23" s="680">
        <v>4558</v>
      </c>
      <c r="AI23" s="680">
        <v>7377</v>
      </c>
      <c r="AJ23" s="545">
        <v>1.0270805220437078E-3</v>
      </c>
      <c r="AK23" s="545">
        <v>2.0252125581021884E-3</v>
      </c>
      <c r="AL23"/>
      <c r="AM23"/>
      <c r="AN23"/>
    </row>
    <row r="24" spans="1:40" ht="14" x14ac:dyDescent="0.3">
      <c r="A24" s="21" t="s">
        <v>344</v>
      </c>
      <c r="B24" s="22">
        <v>10618</v>
      </c>
      <c r="C24" s="22">
        <v>6339</v>
      </c>
      <c r="D24" s="23">
        <v>2.2421193243319149E-3</v>
      </c>
      <c r="E24" s="23">
        <v>1.6107613801473089E-3</v>
      </c>
      <c r="F24" s="680">
        <v>251</v>
      </c>
      <c r="G24" s="680">
        <v>314</v>
      </c>
      <c r="H24" s="545">
        <v>2.3639103409304953E-2</v>
      </c>
      <c r="I24" s="545">
        <v>4.9534626912762267E-2</v>
      </c>
      <c r="J24" s="545">
        <v>-0.52277618945355386</v>
      </c>
      <c r="K24" s="545"/>
      <c r="L24"/>
      <c r="M24"/>
      <c r="N24"/>
      <c r="O24"/>
      <c r="P24"/>
      <c r="Q24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/>
      <c r="AD24"/>
      <c r="AE24"/>
      <c r="AF24"/>
      <c r="AG24"/>
      <c r="AH24"/>
      <c r="AI24"/>
      <c r="AJ24"/>
      <c r="AK24"/>
      <c r="AL24"/>
      <c r="AM24"/>
      <c r="AN24"/>
    </row>
    <row r="25" spans="1:40" ht="14" x14ac:dyDescent="0.3">
      <c r="A25" s="21" t="s">
        <v>92</v>
      </c>
      <c r="B25" s="22">
        <v>20697</v>
      </c>
      <c r="C25" s="22">
        <v>24621</v>
      </c>
      <c r="D25" s="23">
        <v>4.3704222693254514E-3</v>
      </c>
      <c r="E25" s="23">
        <v>6.256279529990044E-3</v>
      </c>
      <c r="F25" s="680">
        <v>972</v>
      </c>
      <c r="G25" s="680">
        <v>1384</v>
      </c>
      <c r="H25" s="545">
        <v>4.6963328018553414E-2</v>
      </c>
      <c r="I25" s="545">
        <v>5.621217659721376E-2</v>
      </c>
      <c r="J25" s="545">
        <v>-0.16453461044450604</v>
      </c>
      <c r="K25" s="545"/>
      <c r="L25"/>
      <c r="M25"/>
      <c r="N25"/>
      <c r="O25"/>
      <c r="P25"/>
      <c r="Q25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/>
      <c r="AD25"/>
      <c r="AE25"/>
      <c r="AF25"/>
      <c r="AG25"/>
      <c r="AH25"/>
      <c r="AI25"/>
      <c r="AJ25"/>
      <c r="AK25"/>
      <c r="AL25"/>
      <c r="AM25"/>
      <c r="AN25"/>
    </row>
    <row r="26" spans="1:40" ht="14" x14ac:dyDescent="0.3">
      <c r="A26" s="21" t="s">
        <v>88</v>
      </c>
      <c r="B26" s="22">
        <v>60507</v>
      </c>
      <c r="C26" s="22">
        <v>36455</v>
      </c>
      <c r="D26" s="23">
        <v>1.2776786019716629E-2</v>
      </c>
      <c r="E26" s="23">
        <v>9.2633390303313058E-3</v>
      </c>
      <c r="F26" s="680">
        <v>415</v>
      </c>
      <c r="G26" s="680">
        <v>241</v>
      </c>
      <c r="H26" s="545">
        <v>6.8587105624142658E-3</v>
      </c>
      <c r="I26" s="545">
        <v>6.6108901385269507E-3</v>
      </c>
      <c r="J26" s="545">
        <v>3.7486695239884127E-2</v>
      </c>
      <c r="K26" s="545"/>
      <c r="L26"/>
      <c r="M26"/>
      <c r="N26"/>
      <c r="O26"/>
      <c r="P26"/>
      <c r="Q26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/>
      <c r="AD26"/>
      <c r="AE26"/>
      <c r="AF26"/>
      <c r="AG26"/>
      <c r="AH26"/>
      <c r="AI26"/>
      <c r="AJ26"/>
      <c r="AK26"/>
      <c r="AL26"/>
      <c r="AM26"/>
      <c r="AN26"/>
    </row>
    <row r="27" spans="1:40" ht="14" x14ac:dyDescent="0.3">
      <c r="A27" s="21" t="s">
        <v>231</v>
      </c>
      <c r="B27" s="22">
        <v>106821</v>
      </c>
      <c r="C27" s="22">
        <v>89974</v>
      </c>
      <c r="D27" s="23">
        <v>2.2556548158265161E-2</v>
      </c>
      <c r="E27" s="23">
        <v>2.2862698283226686E-2</v>
      </c>
      <c r="F27" s="680">
        <v>76</v>
      </c>
      <c r="G27" s="680">
        <v>106</v>
      </c>
      <c r="H27" s="545">
        <v>7.1147059098866324E-4</v>
      </c>
      <c r="I27" s="545">
        <v>1.1781181230133149E-3</v>
      </c>
      <c r="J27" s="545">
        <v>-0.39609570798477373</v>
      </c>
      <c r="K27" s="545"/>
      <c r="L27"/>
      <c r="M27"/>
      <c r="N27"/>
      <c r="O27"/>
      <c r="P27"/>
      <c r="Q27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/>
      <c r="AD27"/>
      <c r="AE27"/>
      <c r="AF27"/>
      <c r="AG27"/>
      <c r="AH27"/>
      <c r="AI27"/>
      <c r="AJ27"/>
      <c r="AK27"/>
      <c r="AL27"/>
      <c r="AM27"/>
      <c r="AN27"/>
    </row>
    <row r="28" spans="1:40" ht="14" x14ac:dyDescent="0.3">
      <c r="A28" s="21" t="s">
        <v>93</v>
      </c>
      <c r="B28" s="22">
        <v>18882</v>
      </c>
      <c r="C28" s="22">
        <v>20179</v>
      </c>
      <c r="D28" s="23">
        <v>3.98716303277785E-3</v>
      </c>
      <c r="E28" s="23">
        <v>5.1275522779606472E-3</v>
      </c>
      <c r="F28" s="680">
        <v>120</v>
      </c>
      <c r="G28" s="680">
        <v>91</v>
      </c>
      <c r="H28" s="545">
        <v>6.3552589768033048E-3</v>
      </c>
      <c r="I28" s="545">
        <v>4.5096387333366369E-3</v>
      </c>
      <c r="J28" s="545">
        <v>0.40926121860344938</v>
      </c>
      <c r="K28" s="545"/>
      <c r="L28"/>
      <c r="M28"/>
      <c r="N28"/>
      <c r="O28"/>
      <c r="P28"/>
      <c r="Q28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/>
      <c r="AD28"/>
      <c r="AE28"/>
      <c r="AF28"/>
      <c r="AG28"/>
      <c r="AH28"/>
      <c r="AI28"/>
      <c r="AJ28"/>
      <c r="AK28"/>
      <c r="AL28"/>
      <c r="AM28"/>
      <c r="AN28"/>
    </row>
    <row r="29" spans="1:40" ht="14" x14ac:dyDescent="0.3">
      <c r="A29" s="21" t="s">
        <v>91</v>
      </c>
      <c r="B29" s="22">
        <v>21652</v>
      </c>
      <c r="C29" s="22">
        <v>22787</v>
      </c>
      <c r="D29" s="23">
        <v>4.5720820880047674E-3</v>
      </c>
      <c r="E29" s="23">
        <v>5.7902539153520628E-3</v>
      </c>
      <c r="F29" s="680">
        <v>143</v>
      </c>
      <c r="G29" s="680">
        <v>142</v>
      </c>
      <c r="H29" s="545">
        <v>6.6044707186403108E-3</v>
      </c>
      <c r="I29" s="545">
        <v>6.2316232939834118E-3</v>
      </c>
      <c r="J29" s="545">
        <v>5.9831508913075752E-2</v>
      </c>
      <c r="K29" s="545"/>
      <c r="L29"/>
      <c r="M29"/>
      <c r="N29"/>
      <c r="O29"/>
      <c r="P29"/>
      <c r="Q29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/>
      <c r="AD29"/>
      <c r="AE29"/>
      <c r="AF29"/>
      <c r="AG29"/>
      <c r="AH29"/>
      <c r="AI29"/>
      <c r="AJ29"/>
      <c r="AK29"/>
      <c r="AL29"/>
      <c r="AM29"/>
      <c r="AN29"/>
    </row>
    <row r="30" spans="1:40" ht="14" x14ac:dyDescent="0.3">
      <c r="A30" s="21" t="s">
        <v>87</v>
      </c>
      <c r="B30" s="22">
        <v>59302</v>
      </c>
      <c r="C30" s="22">
        <v>73259</v>
      </c>
      <c r="D30" s="23">
        <v>1.252233567258723E-2</v>
      </c>
      <c r="E30" s="23">
        <v>1.8615360143273654E-2</v>
      </c>
      <c r="F30" s="680">
        <v>4718</v>
      </c>
      <c r="G30" s="680">
        <v>6382</v>
      </c>
      <c r="H30" s="545">
        <v>7.9558868166335034E-2</v>
      </c>
      <c r="I30" s="545">
        <v>8.7115576243191967E-2</v>
      </c>
      <c r="J30" s="545">
        <v>-8.6743478063688817E-2</v>
      </c>
      <c r="K30" s="545"/>
      <c r="L30"/>
      <c r="M30"/>
      <c r="N30"/>
      <c r="O30"/>
      <c r="P30"/>
      <c r="Q30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/>
      <c r="AD30"/>
      <c r="AE30"/>
      <c r="AF30"/>
      <c r="AG30"/>
      <c r="AH30"/>
      <c r="AI30"/>
      <c r="AJ30"/>
      <c r="AK30"/>
      <c r="AL30"/>
      <c r="AM30"/>
      <c r="AN30"/>
    </row>
    <row r="31" spans="1:40" ht="14" x14ac:dyDescent="0.3">
      <c r="A31" s="21" t="s">
        <v>583</v>
      </c>
      <c r="B31" s="22">
        <v>88</v>
      </c>
      <c r="C31" s="22">
        <v>0</v>
      </c>
      <c r="D31" s="23">
        <v>1.8582266014429129E-5</v>
      </c>
      <c r="E31" s="23">
        <v>0</v>
      </c>
      <c r="F31" s="680">
        <v>0</v>
      </c>
      <c r="G31" s="680">
        <v>0</v>
      </c>
      <c r="H31" s="545">
        <v>0</v>
      </c>
      <c r="I31" s="545" t="e">
        <v>#DIV/0!</v>
      </c>
      <c r="J31" s="545"/>
      <c r="K31" s="545"/>
      <c r="L31"/>
      <c r="M31"/>
      <c r="N31"/>
      <c r="O31"/>
      <c r="P31"/>
      <c r="Q31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/>
      <c r="AD31"/>
      <c r="AE31"/>
      <c r="AF31"/>
      <c r="AG31"/>
      <c r="AH31"/>
      <c r="AI31"/>
      <c r="AJ31"/>
      <c r="AK31"/>
      <c r="AL31"/>
      <c r="AM31"/>
      <c r="AN31"/>
    </row>
    <row r="32" spans="1:40" ht="14" x14ac:dyDescent="0.3">
      <c r="A32" s="21" t="s">
        <v>198</v>
      </c>
      <c r="B32" s="22">
        <v>27</v>
      </c>
      <c r="C32" s="22">
        <v>1</v>
      </c>
      <c r="D32" s="23">
        <v>5.7013770726089371E-6</v>
      </c>
      <c r="E32" s="23">
        <v>2.5410338857032792E-7</v>
      </c>
      <c r="F32" s="680">
        <v>0</v>
      </c>
      <c r="G32" s="680">
        <v>0</v>
      </c>
      <c r="H32" s="545">
        <v>0</v>
      </c>
      <c r="I32" s="545">
        <v>0</v>
      </c>
      <c r="J32" s="545" t="e">
        <v>#DIV/0!</v>
      </c>
      <c r="K32" s="545"/>
      <c r="L32"/>
      <c r="M32"/>
      <c r="N32"/>
      <c r="O32"/>
      <c r="P32"/>
      <c r="Q32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/>
      <c r="AD32"/>
      <c r="AE32"/>
      <c r="AF32"/>
      <c r="AG32"/>
      <c r="AH32"/>
      <c r="AI32"/>
      <c r="AJ32"/>
      <c r="AK32"/>
      <c r="AL32"/>
      <c r="AM32"/>
      <c r="AN32"/>
    </row>
    <row r="33" spans="1:40" ht="14" x14ac:dyDescent="0.3">
      <c r="A33" s="21" t="s">
        <v>691</v>
      </c>
      <c r="B33" s="22">
        <v>1</v>
      </c>
      <c r="C33" s="22">
        <v>0</v>
      </c>
      <c r="D33" s="23">
        <v>2.1116211380033103E-7</v>
      </c>
      <c r="E33" s="23">
        <v>0</v>
      </c>
      <c r="F33" s="680">
        <v>0</v>
      </c>
      <c r="G33" s="680">
        <v>0</v>
      </c>
      <c r="H33" s="545">
        <v>0</v>
      </c>
      <c r="I33" s="545" t="e">
        <v>#DIV/0!</v>
      </c>
      <c r="J33" s="545"/>
      <c r="K33" s="545"/>
      <c r="L33"/>
      <c r="M33"/>
      <c r="N33"/>
      <c r="O33"/>
      <c r="P33"/>
      <c r="Q3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/>
      <c r="AD33"/>
      <c r="AE33"/>
      <c r="AF33"/>
      <c r="AG33"/>
      <c r="AH33"/>
      <c r="AI33"/>
      <c r="AJ33"/>
      <c r="AK33"/>
      <c r="AL33"/>
      <c r="AM33"/>
      <c r="AN33"/>
    </row>
    <row r="34" spans="1:40" ht="14" x14ac:dyDescent="0.3">
      <c r="A34" s="21" t="s">
        <v>151</v>
      </c>
      <c r="B34" s="22">
        <v>0</v>
      </c>
      <c r="C34" s="22">
        <v>17</v>
      </c>
      <c r="D34" s="23">
        <v>0</v>
      </c>
      <c r="E34" s="23">
        <v>4.319757605695575E-6</v>
      </c>
      <c r="F34" s="680">
        <v>0</v>
      </c>
      <c r="G34" s="680">
        <v>0</v>
      </c>
      <c r="H34" s="545" t="e">
        <v>#DIV/0!</v>
      </c>
      <c r="I34" s="545">
        <v>0</v>
      </c>
      <c r="J34" s="545" t="e">
        <v>#DIV/0!</v>
      </c>
      <c r="K34" s="545"/>
      <c r="L34"/>
      <c r="M34"/>
      <c r="N34"/>
      <c r="O34"/>
      <c r="P34"/>
      <c r="Q34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/>
      <c r="AD34"/>
      <c r="AE34"/>
      <c r="AF34"/>
      <c r="AG34"/>
      <c r="AH34"/>
      <c r="AI34"/>
      <c r="AJ34"/>
      <c r="AK34"/>
      <c r="AL34"/>
      <c r="AM34"/>
      <c r="AN34"/>
    </row>
    <row r="35" spans="1:40" ht="14" x14ac:dyDescent="0.3">
      <c r="A35" s="596" t="s">
        <v>151</v>
      </c>
      <c r="B35" s="22">
        <v>0</v>
      </c>
      <c r="C35" s="22">
        <v>17</v>
      </c>
      <c r="D35" s="23">
        <v>0</v>
      </c>
      <c r="E35" s="23">
        <v>4.319757605695575E-6</v>
      </c>
      <c r="F35" s="680">
        <v>0</v>
      </c>
      <c r="G35" s="680">
        <v>0</v>
      </c>
      <c r="H35" s="545" t="e">
        <v>#DIV/0!</v>
      </c>
      <c r="I35" s="545">
        <v>0</v>
      </c>
      <c r="J35" s="545" t="e">
        <v>#DIV/0!</v>
      </c>
      <c r="K35" s="545"/>
      <c r="L35"/>
      <c r="M35"/>
      <c r="N35"/>
      <c r="O35"/>
      <c r="P35"/>
      <c r="Q35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14" x14ac:dyDescent="0.3">
      <c r="A36" s="21" t="s">
        <v>129</v>
      </c>
      <c r="B36" s="22">
        <v>0</v>
      </c>
      <c r="C36" s="22">
        <v>53</v>
      </c>
      <c r="D36" s="23">
        <v>0</v>
      </c>
      <c r="E36" s="23">
        <v>1.3467479594227381E-5</v>
      </c>
      <c r="F36" s="680">
        <v>0</v>
      </c>
      <c r="G36" s="680">
        <v>0</v>
      </c>
      <c r="H36" s="545" t="e">
        <v>#DIV/0!</v>
      </c>
      <c r="I36" s="545">
        <v>0</v>
      </c>
      <c r="J36" s="545" t="e">
        <v>#DIV/0!</v>
      </c>
      <c r="K36" s="545"/>
      <c r="L36"/>
      <c r="M36"/>
      <c r="N36"/>
      <c r="O36"/>
      <c r="P36"/>
      <c r="Q36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/>
      <c r="AD36"/>
      <c r="AE36"/>
      <c r="AF36"/>
      <c r="AG36"/>
      <c r="AH36"/>
      <c r="AI36"/>
      <c r="AJ36"/>
      <c r="AK36"/>
      <c r="AL36"/>
      <c r="AM36"/>
      <c r="AN36"/>
    </row>
    <row r="37" spans="1:40" ht="14" x14ac:dyDescent="0.3">
      <c r="A37" s="596" t="s">
        <v>129</v>
      </c>
      <c r="B37" s="22">
        <v>0</v>
      </c>
      <c r="C37" s="22">
        <v>53</v>
      </c>
      <c r="D37" s="23">
        <v>0</v>
      </c>
      <c r="E37" s="23">
        <v>1.3467479594227381E-5</v>
      </c>
      <c r="F37" s="680">
        <v>0</v>
      </c>
      <c r="G37" s="680">
        <v>0</v>
      </c>
      <c r="H37" s="545" t="e">
        <v>#DIV/0!</v>
      </c>
      <c r="I37" s="545">
        <v>0</v>
      </c>
      <c r="J37" s="545" t="e">
        <v>#DIV/0!</v>
      </c>
      <c r="K37" s="545"/>
      <c r="L37"/>
      <c r="M37"/>
      <c r="N37"/>
      <c r="O37"/>
      <c r="P37"/>
      <c r="Q37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/>
      <c r="AD37"/>
      <c r="AE37"/>
      <c r="AF37"/>
      <c r="AG37"/>
      <c r="AH37"/>
      <c r="AI37"/>
      <c r="AJ37"/>
      <c r="AK37"/>
      <c r="AL37"/>
      <c r="AM37"/>
      <c r="AN37"/>
    </row>
    <row r="38" spans="1:40" ht="14" x14ac:dyDescent="0.3">
      <c r="A38" s="21" t="s">
        <v>132</v>
      </c>
      <c r="B38" s="22">
        <v>0</v>
      </c>
      <c r="C38" s="22">
        <v>65</v>
      </c>
      <c r="D38" s="23">
        <v>0</v>
      </c>
      <c r="E38" s="23">
        <v>1.6516720257071317E-5</v>
      </c>
      <c r="F38" s="680">
        <v>0</v>
      </c>
      <c r="G38" s="680">
        <v>0</v>
      </c>
      <c r="H38" s="545" t="e">
        <v>#DIV/0!</v>
      </c>
      <c r="I38" s="545">
        <v>0</v>
      </c>
      <c r="J38" s="545" t="e">
        <v>#DIV/0!</v>
      </c>
      <c r="K38" s="545"/>
      <c r="L38"/>
      <c r="M38"/>
      <c r="N38"/>
      <c r="O38"/>
      <c r="P38"/>
      <c r="Q38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/>
      <c r="AD38"/>
      <c r="AE38"/>
      <c r="AF38"/>
      <c r="AG38"/>
      <c r="AH38"/>
      <c r="AI38"/>
      <c r="AJ38"/>
      <c r="AK38"/>
      <c r="AL38"/>
      <c r="AM38"/>
      <c r="AN38"/>
    </row>
    <row r="39" spans="1:40" ht="14" x14ac:dyDescent="0.3">
      <c r="A39" s="596" t="s">
        <v>132</v>
      </c>
      <c r="B39" s="22">
        <v>0</v>
      </c>
      <c r="C39" s="22">
        <v>65</v>
      </c>
      <c r="D39" s="23">
        <v>0</v>
      </c>
      <c r="E39" s="23">
        <v>1.6516720257071317E-5</v>
      </c>
      <c r="F39" s="680">
        <v>0</v>
      </c>
      <c r="G39" s="680">
        <v>0</v>
      </c>
      <c r="H39" s="545" t="e">
        <v>#DIV/0!</v>
      </c>
      <c r="I39" s="545">
        <v>0</v>
      </c>
      <c r="J39" s="545" t="e">
        <v>#DIV/0!</v>
      </c>
      <c r="K39" s="545"/>
      <c r="L39"/>
      <c r="M39"/>
      <c r="N39"/>
      <c r="O39"/>
      <c r="P39"/>
      <c r="Q39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/>
      <c r="AD39"/>
      <c r="AE39"/>
      <c r="AF39"/>
      <c r="AG39"/>
      <c r="AH39"/>
      <c r="AI39"/>
      <c r="AJ39"/>
      <c r="AK39"/>
      <c r="AL39"/>
      <c r="AM39"/>
      <c r="AN39"/>
    </row>
    <row r="40" spans="1:40" ht="14" x14ac:dyDescent="0.3">
      <c r="A40" s="21" t="s">
        <v>131</v>
      </c>
      <c r="B40" s="22">
        <v>0</v>
      </c>
      <c r="C40" s="22">
        <v>14</v>
      </c>
      <c r="D40" s="23">
        <v>0</v>
      </c>
      <c r="E40" s="23">
        <v>3.5574474399845914E-6</v>
      </c>
      <c r="F40" s="680">
        <v>0</v>
      </c>
      <c r="G40" s="680">
        <v>0</v>
      </c>
      <c r="H40" s="545" t="e">
        <v>#DIV/0!</v>
      </c>
      <c r="I40" s="545">
        <v>0</v>
      </c>
      <c r="J40" s="545" t="e">
        <v>#DIV/0!</v>
      </c>
      <c r="K40" s="545"/>
      <c r="L40"/>
      <c r="M40"/>
      <c r="N40"/>
      <c r="O40"/>
      <c r="P40"/>
      <c r="Q40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/>
      <c r="AD40"/>
      <c r="AE40"/>
      <c r="AF40"/>
      <c r="AG40"/>
      <c r="AH40"/>
      <c r="AI40"/>
      <c r="AJ40"/>
      <c r="AK40"/>
      <c r="AL40"/>
      <c r="AM40"/>
      <c r="AN40"/>
    </row>
    <row r="41" spans="1:40" ht="14" x14ac:dyDescent="0.3">
      <c r="A41" s="596" t="s">
        <v>131</v>
      </c>
      <c r="B41" s="22">
        <v>0</v>
      </c>
      <c r="C41" s="22">
        <v>14</v>
      </c>
      <c r="D41" s="23">
        <v>0</v>
      </c>
      <c r="E41" s="23">
        <v>3.5574474399845914E-6</v>
      </c>
      <c r="F41" s="680">
        <v>0</v>
      </c>
      <c r="G41" s="680">
        <v>0</v>
      </c>
      <c r="H41" s="545" t="e">
        <v>#DIV/0!</v>
      </c>
      <c r="I41" s="545">
        <v>0</v>
      </c>
      <c r="J41" s="545" t="e">
        <v>#DIV/0!</v>
      </c>
      <c r="K41" s="545"/>
      <c r="L41"/>
      <c r="M41"/>
      <c r="N41"/>
      <c r="O41"/>
      <c r="P41"/>
      <c r="Q41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/>
      <c r="AD41"/>
      <c r="AE41"/>
      <c r="AF41"/>
      <c r="AG41"/>
      <c r="AH41"/>
      <c r="AI41"/>
      <c r="AJ41"/>
      <c r="AK41"/>
      <c r="AL41"/>
      <c r="AM41"/>
      <c r="AN41"/>
    </row>
    <row r="42" spans="1:40" ht="14" x14ac:dyDescent="0.3">
      <c r="A42" s="21" t="s">
        <v>142</v>
      </c>
      <c r="B42" s="22">
        <v>0</v>
      </c>
      <c r="C42" s="22">
        <v>397</v>
      </c>
      <c r="D42" s="23">
        <v>0</v>
      </c>
      <c r="E42" s="23">
        <v>1.0087904526242019E-4</v>
      </c>
      <c r="F42" s="680">
        <v>0</v>
      </c>
      <c r="G42" s="680">
        <v>4</v>
      </c>
      <c r="H42" s="545" t="e">
        <v>#DIV/0!</v>
      </c>
      <c r="I42" s="545">
        <v>1.0075566750629723E-2</v>
      </c>
      <c r="J42" s="545" t="e">
        <v>#DIV/0!</v>
      </c>
      <c r="K42" s="545"/>
      <c r="L42"/>
      <c r="M42"/>
      <c r="N42"/>
      <c r="O42"/>
      <c r="P42"/>
      <c r="Q42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/>
      <c r="AD42"/>
      <c r="AE42"/>
      <c r="AF42"/>
      <c r="AG42"/>
      <c r="AH42"/>
      <c r="AI42"/>
      <c r="AJ42"/>
      <c r="AK42"/>
      <c r="AL42"/>
      <c r="AM42"/>
      <c r="AN42"/>
    </row>
    <row r="43" spans="1:40" ht="14" x14ac:dyDescent="0.3">
      <c r="A43" s="596" t="s">
        <v>142</v>
      </c>
      <c r="B43" s="22">
        <v>0</v>
      </c>
      <c r="C43" s="22">
        <v>397</v>
      </c>
      <c r="D43" s="23">
        <v>0</v>
      </c>
      <c r="E43" s="23">
        <v>1.0087904526242019E-4</v>
      </c>
      <c r="F43" s="680">
        <v>0</v>
      </c>
      <c r="G43" s="680">
        <v>4</v>
      </c>
      <c r="H43" s="545" t="e">
        <v>#DIV/0!</v>
      </c>
      <c r="I43" s="545">
        <v>1.0075566750629723E-2</v>
      </c>
      <c r="J43" s="545" t="e">
        <v>#DIV/0!</v>
      </c>
      <c r="K43" s="545"/>
      <c r="L43"/>
      <c r="M43"/>
      <c r="N43"/>
      <c r="O43"/>
      <c r="P43"/>
      <c r="Q4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/>
      <c r="AD43"/>
      <c r="AE43"/>
      <c r="AF43"/>
      <c r="AG43"/>
      <c r="AH43"/>
      <c r="AI43"/>
      <c r="AJ43"/>
      <c r="AK43"/>
      <c r="AL43"/>
      <c r="AM43"/>
      <c r="AN43"/>
    </row>
    <row r="44" spans="1:40" ht="14" x14ac:dyDescent="0.3">
      <c r="A44" s="21" t="s">
        <v>144</v>
      </c>
      <c r="B44" s="22">
        <v>0</v>
      </c>
      <c r="C44" s="22">
        <v>8</v>
      </c>
      <c r="D44" s="23">
        <v>0</v>
      </c>
      <c r="E44" s="23">
        <v>2.0328271085626233E-6</v>
      </c>
      <c r="F44" s="680">
        <v>0</v>
      </c>
      <c r="G44" s="680">
        <v>0</v>
      </c>
      <c r="H44" s="545" t="e">
        <v>#DIV/0!</v>
      </c>
      <c r="I44" s="545">
        <v>0</v>
      </c>
      <c r="J44" s="545" t="e">
        <v>#DIV/0!</v>
      </c>
      <c r="K44" s="545"/>
      <c r="L44"/>
      <c r="M44"/>
      <c r="N44"/>
      <c r="O44"/>
      <c r="P44"/>
      <c r="Q44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/>
      <c r="AD44"/>
      <c r="AE44"/>
      <c r="AF44"/>
      <c r="AG44"/>
      <c r="AH44"/>
      <c r="AI44"/>
      <c r="AJ44"/>
      <c r="AK44"/>
      <c r="AL44"/>
      <c r="AM44"/>
      <c r="AN44"/>
    </row>
    <row r="45" spans="1:40" ht="14" x14ac:dyDescent="0.3">
      <c r="A45" s="596" t="s">
        <v>144</v>
      </c>
      <c r="B45" s="22">
        <v>0</v>
      </c>
      <c r="C45" s="22">
        <v>8</v>
      </c>
      <c r="D45" s="23">
        <v>0</v>
      </c>
      <c r="E45" s="23">
        <v>2.0328271085626233E-6</v>
      </c>
      <c r="F45" s="680">
        <v>0</v>
      </c>
      <c r="G45" s="680">
        <v>0</v>
      </c>
      <c r="H45" s="545" t="e">
        <v>#DIV/0!</v>
      </c>
      <c r="I45" s="545">
        <v>0</v>
      </c>
      <c r="J45" s="545" t="e">
        <v>#DIV/0!</v>
      </c>
      <c r="K45" s="545"/>
      <c r="L45"/>
      <c r="M45"/>
      <c r="N45"/>
      <c r="O45"/>
      <c r="P45"/>
      <c r="Q45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/>
      <c r="AD45"/>
      <c r="AE45"/>
      <c r="AF45"/>
      <c r="AG45"/>
      <c r="AH45"/>
      <c r="AI45"/>
      <c r="AJ45"/>
      <c r="AK45"/>
      <c r="AL45"/>
      <c r="AM45"/>
      <c r="AN45"/>
    </row>
    <row r="46" spans="1:40" ht="14" x14ac:dyDescent="0.3">
      <c r="A46" s="21" t="s">
        <v>186</v>
      </c>
      <c r="B46" s="22">
        <v>2</v>
      </c>
      <c r="C46" s="22">
        <v>0</v>
      </c>
      <c r="D46" s="23">
        <v>4.2232422760066205E-7</v>
      </c>
      <c r="E46" s="23">
        <v>0</v>
      </c>
      <c r="F46" s="680">
        <v>0</v>
      </c>
      <c r="G46" s="680">
        <v>0</v>
      </c>
      <c r="H46" s="545">
        <v>0</v>
      </c>
      <c r="I46" s="545" t="e">
        <v>#DIV/0!</v>
      </c>
      <c r="J46" s="545"/>
      <c r="K46" s="545"/>
      <c r="L46"/>
      <c r="M46"/>
      <c r="N46"/>
      <c r="O46"/>
      <c r="P46"/>
      <c r="Q46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/>
      <c r="AD46"/>
      <c r="AE46"/>
      <c r="AF46"/>
      <c r="AG46"/>
      <c r="AH46"/>
      <c r="AI46"/>
      <c r="AJ46"/>
      <c r="AK46"/>
      <c r="AL46"/>
      <c r="AM46"/>
      <c r="AN46"/>
    </row>
    <row r="47" spans="1:40" ht="14" x14ac:dyDescent="0.3">
      <c r="A47" s="596" t="s">
        <v>186</v>
      </c>
      <c r="B47" s="22">
        <v>2</v>
      </c>
      <c r="C47" s="22">
        <v>0</v>
      </c>
      <c r="D47" s="23">
        <v>4.2232422760066205E-7</v>
      </c>
      <c r="E47" s="23">
        <v>0</v>
      </c>
      <c r="F47" s="680">
        <v>0</v>
      </c>
      <c r="G47" s="680">
        <v>0</v>
      </c>
      <c r="H47" s="545">
        <v>0</v>
      </c>
      <c r="I47" s="545" t="e">
        <v>#DIV/0!</v>
      </c>
      <c r="J47" s="545"/>
      <c r="K47" s="545"/>
      <c r="L47"/>
      <c r="M47"/>
      <c r="N47"/>
      <c r="O47"/>
      <c r="P47"/>
      <c r="Q47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/>
      <c r="AD47"/>
      <c r="AE47"/>
      <c r="AF47"/>
      <c r="AG47"/>
      <c r="AH47"/>
      <c r="AI47"/>
      <c r="AJ47"/>
      <c r="AK47"/>
      <c r="AL47"/>
      <c r="AM47"/>
      <c r="AN47"/>
    </row>
    <row r="48" spans="1:40" ht="14" x14ac:dyDescent="0.3">
      <c r="A48" s="21" t="s">
        <v>398</v>
      </c>
      <c r="B48" s="22">
        <v>17045</v>
      </c>
      <c r="C48" s="22">
        <v>6800</v>
      </c>
      <c r="D48" s="23">
        <v>3.5992582297266424E-3</v>
      </c>
      <c r="E48" s="23">
        <v>1.72790304227823E-3</v>
      </c>
      <c r="F48" s="680">
        <v>42</v>
      </c>
      <c r="G48" s="680">
        <v>22</v>
      </c>
      <c r="H48" s="545">
        <v>2.4640657084188913E-3</v>
      </c>
      <c r="I48" s="545">
        <v>3.2352941176470589E-3</v>
      </c>
      <c r="J48" s="545">
        <v>-0.23837969012506996</v>
      </c>
      <c r="K48" s="545"/>
      <c r="L48"/>
      <c r="M48"/>
      <c r="N48"/>
      <c r="O48"/>
      <c r="P48"/>
      <c r="Q48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/>
      <c r="AD48"/>
      <c r="AE48"/>
      <c r="AF48"/>
      <c r="AG48"/>
      <c r="AH48"/>
      <c r="AI48"/>
      <c r="AJ48"/>
      <c r="AK48"/>
      <c r="AL48"/>
      <c r="AM48"/>
      <c r="AN48"/>
    </row>
    <row r="49" spans="1:40" ht="14" x14ac:dyDescent="0.3">
      <c r="A49" s="20" t="s">
        <v>0</v>
      </c>
      <c r="B49" s="22">
        <v>4735698</v>
      </c>
      <c r="C49" s="22">
        <v>3935406</v>
      </c>
      <c r="D49" s="23">
        <v>1</v>
      </c>
      <c r="E49" s="23">
        <v>1</v>
      </c>
      <c r="F49" s="680">
        <v>14836</v>
      </c>
      <c r="G49" s="680">
        <v>19662</v>
      </c>
      <c r="H49" s="545">
        <v>3.1328011203417112E-3</v>
      </c>
      <c r="I49" s="545">
        <v>4.9961808260697883E-3</v>
      </c>
      <c r="J49" s="545">
        <v>-0.37296082159498062</v>
      </c>
      <c r="K49" s="545"/>
      <c r="L49"/>
      <c r="M49"/>
      <c r="N49"/>
      <c r="O49"/>
      <c r="P49"/>
      <c r="Q49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/>
      <c r="AD49"/>
      <c r="AE49"/>
      <c r="AF49"/>
      <c r="AG49"/>
      <c r="AH49"/>
      <c r="AI49"/>
      <c r="AJ49"/>
      <c r="AK49"/>
      <c r="AL49"/>
      <c r="AM49"/>
      <c r="AN49"/>
    </row>
    <row r="50" spans="1:40" ht="14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/>
      <c r="AD50"/>
      <c r="AE50"/>
      <c r="AF50"/>
      <c r="AG50"/>
      <c r="AH50"/>
      <c r="AI50"/>
      <c r="AJ50"/>
      <c r="AK50"/>
      <c r="AL50"/>
      <c r="AM50"/>
      <c r="AN50"/>
    </row>
    <row r="51" spans="1:40" ht="14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/>
      <c r="AD51"/>
      <c r="AE51"/>
      <c r="AF51"/>
      <c r="AG51"/>
      <c r="AH51"/>
      <c r="AI51"/>
      <c r="AJ51"/>
      <c r="AK51"/>
      <c r="AL51"/>
      <c r="AM51"/>
      <c r="AN51"/>
    </row>
    <row r="52" spans="1:40" ht="14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/>
      <c r="AD52"/>
      <c r="AE52"/>
      <c r="AF52"/>
      <c r="AG52"/>
      <c r="AH52"/>
      <c r="AI52"/>
      <c r="AJ52"/>
      <c r="AK52"/>
      <c r="AL52"/>
      <c r="AM52"/>
      <c r="AN52"/>
    </row>
    <row r="53" spans="1:40" ht="14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/>
      <c r="AD53"/>
      <c r="AE53"/>
      <c r="AF53"/>
      <c r="AG53"/>
      <c r="AH53"/>
      <c r="AI53"/>
      <c r="AJ53"/>
      <c r="AK53"/>
      <c r="AL53"/>
      <c r="AM53"/>
      <c r="AN53"/>
    </row>
    <row r="54" spans="1:40" ht="14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/>
      <c r="AD54"/>
      <c r="AE54"/>
      <c r="AF54"/>
      <c r="AG54"/>
      <c r="AH54"/>
      <c r="AI54"/>
      <c r="AJ54"/>
      <c r="AK54"/>
      <c r="AL54"/>
      <c r="AM54"/>
      <c r="AN54"/>
    </row>
    <row r="55" spans="1:40" ht="14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/>
      <c r="AD55"/>
      <c r="AE55"/>
      <c r="AF55"/>
      <c r="AG55"/>
      <c r="AH55"/>
      <c r="AI55"/>
      <c r="AJ55"/>
      <c r="AK55"/>
      <c r="AL55"/>
      <c r="AM55"/>
      <c r="AN55"/>
    </row>
    <row r="56" spans="1:40" ht="14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/>
      <c r="AD56"/>
      <c r="AE56"/>
      <c r="AF56"/>
      <c r="AG56"/>
      <c r="AH56"/>
      <c r="AI56"/>
      <c r="AJ56"/>
      <c r="AK56"/>
      <c r="AL56"/>
      <c r="AM56"/>
      <c r="AN56"/>
    </row>
    <row r="57" spans="1:40" ht="14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/>
      <c r="AD57"/>
      <c r="AE57"/>
      <c r="AF57"/>
      <c r="AG57"/>
      <c r="AH57"/>
      <c r="AI57"/>
      <c r="AJ57"/>
      <c r="AK57"/>
      <c r="AL57"/>
      <c r="AM57"/>
      <c r="AN57"/>
    </row>
    <row r="58" spans="1:40" ht="14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/>
      <c r="AD58"/>
      <c r="AE58"/>
      <c r="AF58"/>
      <c r="AG58"/>
      <c r="AH58"/>
      <c r="AI58"/>
      <c r="AJ58"/>
      <c r="AK58"/>
      <c r="AL58"/>
      <c r="AM58"/>
      <c r="AN58"/>
    </row>
    <row r="59" spans="1:40" ht="14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/>
      <c r="AD59"/>
      <c r="AE59"/>
      <c r="AF59"/>
      <c r="AG59"/>
      <c r="AH59"/>
      <c r="AI59"/>
      <c r="AJ59"/>
      <c r="AK59"/>
      <c r="AL59"/>
      <c r="AM59"/>
      <c r="AN59"/>
    </row>
    <row r="60" spans="1:40" ht="14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/>
      <c r="AD60"/>
      <c r="AE60"/>
      <c r="AF60"/>
      <c r="AG60"/>
      <c r="AH60"/>
      <c r="AI60"/>
      <c r="AJ60"/>
      <c r="AK60"/>
      <c r="AL60"/>
      <c r="AM60"/>
      <c r="AN60"/>
    </row>
    <row r="61" spans="1:40" ht="14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/>
      <c r="AD61"/>
      <c r="AE61"/>
      <c r="AF61"/>
      <c r="AG61"/>
      <c r="AH61"/>
      <c r="AI61"/>
      <c r="AJ61"/>
      <c r="AK61"/>
      <c r="AL61"/>
      <c r="AM61"/>
      <c r="AN61"/>
    </row>
    <row r="62" spans="1:40" ht="14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/>
      <c r="AD62"/>
      <c r="AE62"/>
      <c r="AF62"/>
      <c r="AG62"/>
      <c r="AH62"/>
      <c r="AI62"/>
      <c r="AJ62"/>
      <c r="AK62"/>
      <c r="AL62"/>
      <c r="AM62"/>
      <c r="AN62"/>
    </row>
    <row r="63" spans="1:40" ht="14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/>
      <c r="AD63"/>
      <c r="AE63"/>
      <c r="AF63"/>
      <c r="AG63"/>
      <c r="AH63"/>
      <c r="AI63"/>
      <c r="AJ63"/>
      <c r="AK63"/>
      <c r="AL63"/>
      <c r="AM63"/>
      <c r="AN63"/>
    </row>
    <row r="64" spans="1:40" ht="14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/>
      <c r="AD64"/>
      <c r="AE64"/>
      <c r="AF64"/>
      <c r="AG64"/>
      <c r="AH64"/>
      <c r="AI64"/>
      <c r="AJ64"/>
      <c r="AK64"/>
      <c r="AL64"/>
      <c r="AM64"/>
      <c r="AN64"/>
    </row>
    <row r="65" spans="1:55" ht="14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/>
      <c r="AD65"/>
      <c r="AE65"/>
      <c r="AF65"/>
      <c r="AG65"/>
      <c r="AH65"/>
      <c r="AI65"/>
      <c r="AJ65"/>
      <c r="AK65"/>
      <c r="AL65"/>
      <c r="AM65"/>
      <c r="AN65"/>
    </row>
    <row r="66" spans="1:55" ht="14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/>
      <c r="AD66"/>
      <c r="AE66"/>
      <c r="AF66"/>
      <c r="AG66"/>
      <c r="AH66"/>
      <c r="AI66"/>
      <c r="AJ66"/>
      <c r="AK66"/>
      <c r="AL66"/>
      <c r="AM66"/>
      <c r="AN66"/>
    </row>
    <row r="67" spans="1:55" ht="14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/>
      <c r="AD67"/>
      <c r="AE67"/>
      <c r="AF67"/>
      <c r="AG67"/>
      <c r="AH67"/>
      <c r="AI67"/>
      <c r="AJ67"/>
      <c r="AK67"/>
      <c r="AL67"/>
      <c r="AM67"/>
      <c r="AN67"/>
    </row>
    <row r="68" spans="1:55" ht="14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/>
      <c r="AD68"/>
      <c r="AE68"/>
      <c r="AF68"/>
      <c r="AG68"/>
      <c r="AH68"/>
      <c r="AI68"/>
      <c r="AJ68"/>
      <c r="AK68"/>
      <c r="AL68"/>
      <c r="AM68"/>
      <c r="AN68"/>
    </row>
    <row r="69" spans="1:55" ht="14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 s="23"/>
      <c r="X69" s="23"/>
      <c r="Y69" s="23"/>
      <c r="Z69" s="23"/>
      <c r="AA69" s="23"/>
      <c r="AB69" s="23"/>
      <c r="AC69"/>
      <c r="AD69"/>
      <c r="AE69"/>
      <c r="AF69"/>
      <c r="AG69"/>
      <c r="AH69"/>
      <c r="AI69"/>
      <c r="AJ69"/>
      <c r="AK69"/>
      <c r="AL69"/>
      <c r="AM69"/>
      <c r="AN69"/>
    </row>
    <row r="70" spans="1:55" ht="14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 s="23"/>
      <c r="X70" s="23"/>
      <c r="Y70" s="23"/>
      <c r="Z70" s="23"/>
      <c r="AA70" s="23"/>
      <c r="AB70" s="23"/>
      <c r="AC70"/>
      <c r="AD70"/>
      <c r="AE70"/>
      <c r="AF70"/>
      <c r="AG70"/>
      <c r="AH70"/>
      <c r="AI70"/>
      <c r="AJ70"/>
      <c r="AK70"/>
      <c r="AL70"/>
      <c r="AM70"/>
      <c r="AN70"/>
    </row>
    <row r="71" spans="1:55" ht="14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 s="23"/>
      <c r="X71" s="23"/>
      <c r="Y71" s="23"/>
      <c r="Z71" s="23"/>
      <c r="AA71" s="23"/>
      <c r="AB71" s="23"/>
      <c r="AC71"/>
      <c r="AD71"/>
      <c r="AE71"/>
      <c r="AF71"/>
      <c r="AG71"/>
      <c r="AH71"/>
      <c r="AI71"/>
      <c r="AJ71"/>
      <c r="AK71"/>
      <c r="AL71"/>
      <c r="AM71"/>
      <c r="AN71"/>
    </row>
    <row r="72" spans="1:55" ht="14" x14ac:dyDescent="0.3">
      <c r="A72" s="18" t="s">
        <v>800</v>
      </c>
      <c r="B72" s="19" t="s">
        <v>821</v>
      </c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AC72"/>
      <c r="AD72"/>
      <c r="AE72"/>
      <c r="AF72"/>
      <c r="AG72"/>
      <c r="AH72"/>
      <c r="AI72"/>
      <c r="AJ72"/>
      <c r="AK72"/>
      <c r="AL72"/>
      <c r="AM72"/>
      <c r="AN72"/>
    </row>
    <row r="73" spans="1:55" ht="14" x14ac:dyDescent="0.3">
      <c r="A73" s="18" t="s">
        <v>96</v>
      </c>
      <c r="B73" s="19" t="s">
        <v>110</v>
      </c>
      <c r="AC73"/>
      <c r="AD73"/>
      <c r="AE73"/>
      <c r="AF73"/>
      <c r="AG73"/>
      <c r="AH73"/>
      <c r="AI73"/>
      <c r="AJ73"/>
      <c r="AK73"/>
      <c r="AL73"/>
      <c r="AM73"/>
      <c r="AN73"/>
    </row>
    <row r="74" spans="1:55" ht="14" x14ac:dyDescent="0.3">
      <c r="A74" s="18" t="s">
        <v>97</v>
      </c>
      <c r="B74" s="19" t="s">
        <v>369</v>
      </c>
      <c r="AC74"/>
      <c r="AD74"/>
      <c r="AE74"/>
      <c r="AF74"/>
      <c r="AG74"/>
      <c r="AH74"/>
      <c r="AI74"/>
      <c r="AJ74"/>
      <c r="AK74"/>
      <c r="AL74"/>
      <c r="AM74"/>
      <c r="AN74"/>
    </row>
    <row r="75" spans="1:55" ht="14" x14ac:dyDescent="0.3">
      <c r="A75"/>
      <c r="B75"/>
      <c r="C75"/>
      <c r="D75"/>
      <c r="E75"/>
      <c r="F75"/>
      <c r="G75"/>
      <c r="H75"/>
      <c r="I75"/>
      <c r="J75"/>
      <c r="K75"/>
      <c r="AC75"/>
      <c r="AD75"/>
      <c r="AE75"/>
      <c r="AF75"/>
      <c r="AG75"/>
      <c r="AH75"/>
      <c r="AI75"/>
      <c r="AJ75"/>
      <c r="AK75"/>
      <c r="AL75"/>
      <c r="AM75"/>
      <c r="AN75"/>
    </row>
    <row r="76" spans="1:55" ht="14" x14ac:dyDescent="0.3">
      <c r="A76" s="513"/>
      <c r="B76" s="513"/>
      <c r="C76" s="558" t="s">
        <v>1</v>
      </c>
      <c r="D76" s="558" t="s">
        <v>632</v>
      </c>
      <c r="E76" s="513"/>
      <c r="F76" s="513"/>
      <c r="G76" s="513"/>
      <c r="H76" s="513"/>
      <c r="I76" s="513"/>
      <c r="J76" s="513"/>
      <c r="K76" s="513"/>
      <c r="L76" s="513"/>
      <c r="M76" s="513"/>
      <c r="N76" s="513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</row>
    <row r="77" spans="1:55" ht="14" x14ac:dyDescent="0.3">
      <c r="A77" s="513"/>
      <c r="B77" s="513"/>
      <c r="C77" s="640" t="s">
        <v>48</v>
      </c>
      <c r="D77" s="641"/>
      <c r="E77" s="640" t="s">
        <v>76</v>
      </c>
      <c r="F77" s="641"/>
      <c r="G77" s="640" t="s">
        <v>230</v>
      </c>
      <c r="H77" s="641"/>
      <c r="I77" s="640" t="s">
        <v>798</v>
      </c>
      <c r="J77" s="641"/>
      <c r="K77" s="640" t="s">
        <v>799</v>
      </c>
      <c r="L77" s="641"/>
      <c r="M77" s="640" t="s">
        <v>806</v>
      </c>
      <c r="N77" s="641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</row>
    <row r="78" spans="1:55" ht="14" x14ac:dyDescent="0.3">
      <c r="A78" s="558" t="s">
        <v>815</v>
      </c>
      <c r="B78" s="558" t="s">
        <v>98</v>
      </c>
      <c r="C78" s="480">
        <v>2025</v>
      </c>
      <c r="D78" s="480">
        <v>2024</v>
      </c>
      <c r="E78" s="480">
        <v>2025</v>
      </c>
      <c r="F78" s="480">
        <v>2024</v>
      </c>
      <c r="G78" s="480">
        <v>2025</v>
      </c>
      <c r="H78" s="480">
        <v>2024</v>
      </c>
      <c r="I78" s="480">
        <v>2025</v>
      </c>
      <c r="J78" s="480">
        <v>2024</v>
      </c>
      <c r="K78" s="480">
        <v>2025</v>
      </c>
      <c r="L78" s="480">
        <v>2024</v>
      </c>
      <c r="M78" s="480">
        <v>2025</v>
      </c>
      <c r="N78" s="480">
        <v>2024</v>
      </c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</row>
    <row r="79" spans="1:55" ht="14" x14ac:dyDescent="0.3">
      <c r="A79" s="640" t="s">
        <v>821</v>
      </c>
      <c r="B79" s="480" t="s">
        <v>2</v>
      </c>
      <c r="C79" s="595">
        <v>378635</v>
      </c>
      <c r="D79" s="595">
        <v>219663</v>
      </c>
      <c r="E79" s="23">
        <v>0.63528829456128721</v>
      </c>
      <c r="F79" s="23">
        <v>0.61662212690463625</v>
      </c>
      <c r="G79" s="23">
        <v>0.72370858997646392</v>
      </c>
      <c r="H79" s="23"/>
      <c r="I79" s="186">
        <v>280</v>
      </c>
      <c r="J79" s="186">
        <v>411</v>
      </c>
      <c r="K79" s="545">
        <v>7.3949846157909331E-4</v>
      </c>
      <c r="L79" s="545">
        <v>1.8710479234099507E-3</v>
      </c>
      <c r="M79" s="23">
        <v>-0.60476776018041756</v>
      </c>
      <c r="N79" s="23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</row>
    <row r="80" spans="1:55" ht="14" x14ac:dyDescent="0.3">
      <c r="A80" s="641"/>
      <c r="B80" s="480" t="s">
        <v>3</v>
      </c>
      <c r="C80" s="595">
        <v>217370</v>
      </c>
      <c r="D80" s="595">
        <v>136573</v>
      </c>
      <c r="E80" s="23">
        <v>0.36471170543871279</v>
      </c>
      <c r="F80" s="23">
        <v>0.38337787309536375</v>
      </c>
      <c r="G80" s="23">
        <v>0.59160302548820043</v>
      </c>
      <c r="H80" s="23"/>
      <c r="I80" s="186">
        <v>789</v>
      </c>
      <c r="J80" s="186">
        <v>744</v>
      </c>
      <c r="K80" s="545">
        <v>3.629755716060174E-3</v>
      </c>
      <c r="L80" s="545">
        <v>5.4476360627649682E-3</v>
      </c>
      <c r="M80" s="23">
        <v>-0.33370076961090572</v>
      </c>
      <c r="N80" s="23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</row>
    <row r="81" spans="1:55" ht="14" x14ac:dyDescent="0.3">
      <c r="A81" s="640" t="s">
        <v>872</v>
      </c>
      <c r="B81" s="641"/>
      <c r="C81" s="595">
        <v>596005</v>
      </c>
      <c r="D81" s="595">
        <v>356236</v>
      </c>
      <c r="E81" s="23">
        <v>1</v>
      </c>
      <c r="F81" s="23">
        <v>1</v>
      </c>
      <c r="G81" s="23">
        <v>0.67306223963889111</v>
      </c>
      <c r="H81" s="23"/>
      <c r="I81" s="186">
        <v>1069</v>
      </c>
      <c r="J81" s="186">
        <v>1155</v>
      </c>
      <c r="K81" s="545">
        <v>1.7936091140174999E-3</v>
      </c>
      <c r="L81" s="545">
        <v>3.2422326772139818E-3</v>
      </c>
      <c r="M81" s="23">
        <v>-0.44679815035399301</v>
      </c>
      <c r="N81" s="23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</row>
    <row r="82" spans="1:55" ht="14" x14ac:dyDescent="0.3">
      <c r="A82" s="640" t="s">
        <v>0</v>
      </c>
      <c r="B82" s="641"/>
      <c r="C82" s="595">
        <v>596005</v>
      </c>
      <c r="D82" s="595">
        <v>356236</v>
      </c>
      <c r="E82" s="23">
        <v>1</v>
      </c>
      <c r="F82" s="23">
        <v>1</v>
      </c>
      <c r="G82" s="23">
        <v>0.67306223963889111</v>
      </c>
      <c r="H82" s="23"/>
      <c r="I82" s="186">
        <v>1069</v>
      </c>
      <c r="J82" s="186">
        <v>1155</v>
      </c>
      <c r="K82" s="545">
        <v>1.7936091140174999E-3</v>
      </c>
      <c r="L82" s="545">
        <v>3.2422326772139818E-3</v>
      </c>
      <c r="M82" s="23">
        <v>-0.44679815035399301</v>
      </c>
      <c r="N82" s="23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</row>
    <row r="83" spans="1:55" ht="14" x14ac:dyDescent="0.3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</row>
    <row r="84" spans="1:55" ht="14" x14ac:dyDescent="0.3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 s="23"/>
      <c r="AC84"/>
      <c r="AD84"/>
      <c r="AE84"/>
      <c r="AF84"/>
      <c r="AG84"/>
      <c r="AH84"/>
      <c r="AI84"/>
      <c r="AJ84"/>
      <c r="AK84"/>
      <c r="AL84"/>
      <c r="AM84"/>
      <c r="AN84"/>
    </row>
    <row r="85" spans="1:55" ht="14" x14ac:dyDescent="0.3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 s="23"/>
      <c r="AC85"/>
      <c r="AD85"/>
      <c r="AE85"/>
      <c r="AF85"/>
      <c r="AG85"/>
      <c r="AH85"/>
      <c r="AI85"/>
      <c r="AJ85"/>
      <c r="AK85"/>
      <c r="AL85"/>
      <c r="AM85"/>
      <c r="AN85"/>
    </row>
    <row r="86" spans="1:55" ht="14" x14ac:dyDescent="0.3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 s="23"/>
      <c r="AC86"/>
      <c r="AD86"/>
      <c r="AE86"/>
      <c r="AF86"/>
      <c r="AG86"/>
      <c r="AH86"/>
      <c r="AI86"/>
      <c r="AJ86"/>
      <c r="AK86"/>
      <c r="AL86"/>
      <c r="AM86"/>
      <c r="AN86"/>
    </row>
    <row r="87" spans="1:55" ht="14" x14ac:dyDescent="0.3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 s="23"/>
      <c r="AC87"/>
      <c r="AD87"/>
      <c r="AE87"/>
      <c r="AF87"/>
      <c r="AG87"/>
      <c r="AH87"/>
      <c r="AI87"/>
      <c r="AJ87"/>
      <c r="AK87"/>
      <c r="AL87"/>
      <c r="AM87"/>
      <c r="AN87"/>
    </row>
    <row r="88" spans="1:55" ht="14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 s="23"/>
      <c r="AC88"/>
      <c r="AD88"/>
      <c r="AE88"/>
      <c r="AF88"/>
      <c r="AG88"/>
      <c r="AH88"/>
      <c r="AI88"/>
      <c r="AJ88"/>
      <c r="AK88"/>
      <c r="AL88"/>
      <c r="AM88"/>
      <c r="AN88"/>
    </row>
    <row r="89" spans="1:55" ht="14" x14ac:dyDescent="0.3">
      <c r="A89" s="20"/>
      <c r="B89" s="22"/>
      <c r="C89" s="22"/>
      <c r="D89" s="23"/>
      <c r="E89" s="23"/>
      <c r="F89" s="23"/>
      <c r="G89" s="23"/>
      <c r="H89" s="186"/>
      <c r="I89" s="186"/>
      <c r="J89" s="545"/>
      <c r="K89" s="545"/>
      <c r="L89" s="545"/>
      <c r="M89" s="545"/>
      <c r="N89"/>
      <c r="O89"/>
      <c r="P89"/>
      <c r="Q89"/>
      <c r="R89" s="23"/>
      <c r="AC89"/>
      <c r="AD89"/>
      <c r="AE89"/>
      <c r="AF89"/>
      <c r="AG89"/>
      <c r="AH89"/>
      <c r="AI89"/>
      <c r="AJ89"/>
      <c r="AK89"/>
      <c r="AL89"/>
      <c r="AM89"/>
      <c r="AN89"/>
    </row>
    <row r="90" spans="1:55" ht="14" x14ac:dyDescent="0.3">
      <c r="A90"/>
      <c r="B90"/>
      <c r="C90" t="s">
        <v>244</v>
      </c>
      <c r="D90"/>
      <c r="E90" t="s">
        <v>245</v>
      </c>
      <c r="F90"/>
      <c r="H90" t="s">
        <v>649</v>
      </c>
      <c r="I90"/>
      <c r="J90" t="s">
        <v>659</v>
      </c>
      <c r="K90"/>
      <c r="L90" t="s">
        <v>692</v>
      </c>
      <c r="M90"/>
      <c r="N90" t="s">
        <v>695</v>
      </c>
      <c r="O90"/>
      <c r="Q90" t="s">
        <v>775</v>
      </c>
      <c r="R90"/>
      <c r="T90" t="s">
        <v>873</v>
      </c>
      <c r="U90"/>
      <c r="W90" t="s">
        <v>911</v>
      </c>
      <c r="X90"/>
    </row>
    <row r="91" spans="1:55" ht="14" x14ac:dyDescent="0.3">
      <c r="A91"/>
      <c r="B91"/>
      <c r="C91" t="s">
        <v>570</v>
      </c>
      <c r="D91" t="s">
        <v>246</v>
      </c>
      <c r="E91" t="s">
        <v>570</v>
      </c>
      <c r="F91" t="s">
        <v>246</v>
      </c>
      <c r="G91" t="s">
        <v>232</v>
      </c>
      <c r="H91" t="s">
        <v>570</v>
      </c>
      <c r="I91" t="s">
        <v>246</v>
      </c>
      <c r="J91" t="s">
        <v>570</v>
      </c>
      <c r="K91" t="s">
        <v>246</v>
      </c>
      <c r="L91" t="s">
        <v>570</v>
      </c>
      <c r="M91" t="s">
        <v>246</v>
      </c>
      <c r="N91" t="s">
        <v>570</v>
      </c>
      <c r="O91" t="s">
        <v>246</v>
      </c>
      <c r="P91" t="s">
        <v>232</v>
      </c>
      <c r="Q91" t="s">
        <v>570</v>
      </c>
      <c r="R91" t="s">
        <v>246</v>
      </c>
      <c r="S91" t="s">
        <v>232</v>
      </c>
      <c r="T91" t="s">
        <v>570</v>
      </c>
      <c r="U91" t="s">
        <v>246</v>
      </c>
      <c r="V91" t="s">
        <v>232</v>
      </c>
      <c r="W91" t="s">
        <v>570</v>
      </c>
      <c r="X91" t="s">
        <v>246</v>
      </c>
      <c r="Y91" t="s">
        <v>232</v>
      </c>
    </row>
    <row r="92" spans="1:55" ht="14" x14ac:dyDescent="0.3">
      <c r="A92"/>
      <c r="B92" t="s">
        <v>49</v>
      </c>
      <c r="C92" s="10">
        <v>247903</v>
      </c>
      <c r="D92" s="10">
        <v>153058</v>
      </c>
      <c r="E92" s="10">
        <v>376615</v>
      </c>
      <c r="F92" s="10">
        <v>432046</v>
      </c>
      <c r="G92" s="13">
        <f>C92/E92-1</f>
        <v>-0.34176015294133266</v>
      </c>
      <c r="H92" s="10">
        <v>312346</v>
      </c>
      <c r="I92" s="10">
        <v>504663</v>
      </c>
      <c r="J92" s="10">
        <v>226815</v>
      </c>
      <c r="K92" s="10">
        <v>222116</v>
      </c>
      <c r="L92" s="10">
        <v>202927</v>
      </c>
      <c r="M92" s="10">
        <v>195033</v>
      </c>
      <c r="N92" s="10">
        <v>259239</v>
      </c>
      <c r="O92" s="10">
        <v>182722</v>
      </c>
      <c r="P92" s="13">
        <f>N92/O92-1</f>
        <v>0.41876183491861951</v>
      </c>
      <c r="Q92" s="10">
        <v>598138</v>
      </c>
      <c r="R92" s="10">
        <v>308792</v>
      </c>
      <c r="S92" s="13">
        <f>Q92/R92-1</f>
        <v>0.93702557061063763</v>
      </c>
      <c r="T92" s="10">
        <v>368855</v>
      </c>
      <c r="U92" s="10">
        <v>270714</v>
      </c>
      <c r="V92" s="13">
        <f>T92/U92-1</f>
        <v>0.36252650398575614</v>
      </c>
      <c r="W92" s="10">
        <v>378635</v>
      </c>
      <c r="X92" s="10">
        <v>219663</v>
      </c>
      <c r="Y92" s="13">
        <f>W92/X92-1</f>
        <v>0.72370858997646392</v>
      </c>
    </row>
    <row r="93" spans="1:55" ht="14" x14ac:dyDescent="0.3">
      <c r="A93"/>
      <c r="B93" t="s">
        <v>248</v>
      </c>
      <c r="C93" s="10">
        <v>73175</v>
      </c>
      <c r="D93" s="10">
        <v>31202</v>
      </c>
      <c r="E93" s="10">
        <v>165316</v>
      </c>
      <c r="F93" s="10">
        <v>241898</v>
      </c>
      <c r="G93" s="13">
        <f>C93/E93-1</f>
        <v>-0.55736286868784624</v>
      </c>
      <c r="H93" s="10">
        <v>199169</v>
      </c>
      <c r="I93" s="10">
        <v>126364</v>
      </c>
      <c r="J93" s="10">
        <v>78885</v>
      </c>
      <c r="K93" s="10">
        <v>60621</v>
      </c>
      <c r="L93" s="10">
        <v>83953</v>
      </c>
      <c r="M93" s="10">
        <v>47039</v>
      </c>
      <c r="N93" s="10">
        <v>118847</v>
      </c>
      <c r="O93" s="10">
        <v>45068</v>
      </c>
      <c r="P93" s="13">
        <f>N93/O93-1</f>
        <v>1.6370595544510516</v>
      </c>
      <c r="Q93" s="10">
        <v>273124</v>
      </c>
      <c r="R93" s="10">
        <v>179310</v>
      </c>
      <c r="S93" s="13">
        <f>Q93/R93-1</f>
        <v>0.52319446768166866</v>
      </c>
      <c r="T93" s="10">
        <v>279314</v>
      </c>
      <c r="U93" s="10">
        <v>250883</v>
      </c>
      <c r="V93" s="13">
        <f>T93/U93-1</f>
        <v>0.11332374054838312</v>
      </c>
      <c r="W93" s="10">
        <v>217370</v>
      </c>
      <c r="X93" s="10">
        <v>136573</v>
      </c>
      <c r="Y93" s="13">
        <f>W93/X93-1</f>
        <v>0.59160302548820054</v>
      </c>
    </row>
    <row r="94" spans="1:55" ht="14" x14ac:dyDescent="0.3">
      <c r="A94"/>
      <c r="B94"/>
      <c r="C94" s="13">
        <f>C92/D92-1</f>
        <v>0.61966705431927771</v>
      </c>
      <c r="D94" s="10"/>
      <c r="E94" s="13">
        <f>E92/F92-1</f>
        <v>-0.12829883854959889</v>
      </c>
      <c r="F94" s="10"/>
      <c r="G94" s="13"/>
      <c r="H94" s="227"/>
      <c r="K94" s="10"/>
      <c r="L94" s="10"/>
      <c r="M94" s="10"/>
      <c r="N94"/>
      <c r="O94" s="10"/>
      <c r="P94"/>
      <c r="Q94"/>
    </row>
    <row r="95" spans="1:55" ht="14" x14ac:dyDescent="0.3">
      <c r="A95"/>
      <c r="B95"/>
      <c r="C95" s="13">
        <f>C93/D93-1</f>
        <v>1.3452022306262421</v>
      </c>
      <c r="D95" s="10"/>
      <c r="E95" s="13">
        <f>E93/F93-1</f>
        <v>-0.31658798336488936</v>
      </c>
      <c r="F95" s="10"/>
      <c r="G95" s="13"/>
      <c r="H95" s="227"/>
      <c r="K95" s="10"/>
      <c r="L95" s="10"/>
      <c r="M95" s="10"/>
      <c r="N95"/>
      <c r="O95" s="10"/>
      <c r="P95"/>
      <c r="Q95"/>
    </row>
    <row r="96" spans="1:55" ht="14" x14ac:dyDescent="0.3">
      <c r="A96"/>
      <c r="B96"/>
      <c r="C96" t="s">
        <v>570</v>
      </c>
      <c r="D96" t="s">
        <v>246</v>
      </c>
      <c r="E96" t="s">
        <v>377</v>
      </c>
      <c r="F96"/>
      <c r="G96"/>
      <c r="H96"/>
      <c r="I96"/>
      <c r="J96"/>
      <c r="K96"/>
      <c r="L96"/>
      <c r="M96"/>
      <c r="N96"/>
      <c r="O96"/>
      <c r="P96"/>
      <c r="Q96"/>
      <c r="R96" s="23"/>
      <c r="AC96"/>
      <c r="AD96"/>
      <c r="AE96"/>
      <c r="AF96"/>
      <c r="AG96"/>
      <c r="AH96" s="22"/>
      <c r="AI96" s="22"/>
      <c r="AJ96"/>
      <c r="AK96"/>
      <c r="AL96"/>
      <c r="AM96"/>
      <c r="AN96"/>
    </row>
    <row r="97" spans="1:40" ht="14" x14ac:dyDescent="0.3">
      <c r="A97"/>
      <c r="B97" t="s">
        <v>49</v>
      </c>
      <c r="C97" s="108">
        <f>SUMIFS($C$92:$XFD$92,$C$91:$XFD$91,"BU26")</f>
        <v>2971473</v>
      </c>
      <c r="D97" s="108">
        <f>SUMIFS($C$92:$XFD$92,$C$91:$XFD$91,"BU25")</f>
        <v>2488807</v>
      </c>
      <c r="E97" s="13">
        <f>C97/D97-1</f>
        <v>0.1939346843688563</v>
      </c>
      <c r="F97"/>
      <c r="G97"/>
      <c r="H97"/>
      <c r="I97"/>
      <c r="J97"/>
      <c r="K97"/>
      <c r="L97"/>
      <c r="M97"/>
      <c r="N97"/>
      <c r="O97"/>
      <c r="P97" s="227"/>
      <c r="Q97" s="227"/>
      <c r="R97"/>
      <c r="S97" s="227"/>
      <c r="T97" s="10"/>
      <c r="AC97"/>
      <c r="AD97"/>
      <c r="AE97"/>
      <c r="AF97"/>
      <c r="AG97"/>
      <c r="AH97"/>
      <c r="AI97"/>
      <c r="AJ97"/>
      <c r="AK97"/>
      <c r="AL97"/>
      <c r="AM97"/>
      <c r="AN97"/>
    </row>
    <row r="98" spans="1:40" ht="14" x14ac:dyDescent="0.3">
      <c r="A98"/>
      <c r="B98" t="s">
        <v>248</v>
      </c>
      <c r="C98" s="108">
        <f>SUMIFS($C$93:$XFD$93,$C$91:$XFD$91,"BU26")</f>
        <v>1489153</v>
      </c>
      <c r="D98" s="108">
        <f>SUMIFS($C$93:$XFD$93,$C$91:$XFD$91,"BU25")</f>
        <v>1118958</v>
      </c>
      <c r="E98" s="13">
        <f>C98/D98-1</f>
        <v>0.33083904847188195</v>
      </c>
      <c r="F98"/>
      <c r="G98"/>
      <c r="H98"/>
      <c r="I98"/>
      <c r="J98"/>
      <c r="K98"/>
      <c r="L98"/>
      <c r="M98"/>
      <c r="N98"/>
      <c r="O98"/>
      <c r="P98" s="227"/>
      <c r="Q98" s="227"/>
      <c r="R98"/>
      <c r="S98" s="227"/>
      <c r="T98" s="10"/>
      <c r="AC98"/>
      <c r="AD98"/>
      <c r="AE98"/>
      <c r="AF98"/>
      <c r="AG98"/>
      <c r="AH98"/>
      <c r="AI98"/>
      <c r="AJ98"/>
      <c r="AK98"/>
      <c r="AL98"/>
      <c r="AM98"/>
      <c r="AN98"/>
    </row>
    <row r="99" spans="1:40" ht="14" x14ac:dyDescent="0.3">
      <c r="A99"/>
      <c r="B99" t="s">
        <v>249</v>
      </c>
      <c r="C99" s="13">
        <f>C97/SUM(C$97:C$98)</f>
        <v>0.6661560507426536</v>
      </c>
      <c r="D99" s="13">
        <f>D97/SUM(D$97:D$98)</f>
        <v>0.68984731544321765</v>
      </c>
      <c r="E99"/>
      <c r="F99"/>
      <c r="G99"/>
      <c r="H99"/>
      <c r="I99"/>
      <c r="J99"/>
      <c r="K99"/>
      <c r="L99"/>
      <c r="M99"/>
      <c r="N99"/>
      <c r="O99"/>
      <c r="P99"/>
      <c r="Q99"/>
      <c r="R99" s="23"/>
      <c r="AC99"/>
      <c r="AD99"/>
      <c r="AE99"/>
      <c r="AF99"/>
      <c r="AG99"/>
      <c r="AH99"/>
      <c r="AI99"/>
      <c r="AJ99"/>
      <c r="AK99"/>
      <c r="AL99"/>
      <c r="AM99"/>
      <c r="AN99"/>
    </row>
    <row r="100" spans="1:40" ht="14" x14ac:dyDescent="0.3">
      <c r="A100"/>
      <c r="B100" t="s">
        <v>250</v>
      </c>
      <c r="C100" s="13">
        <f>C98/SUM(C$97:C$98)</f>
        <v>0.3338439492573464</v>
      </c>
      <c r="D100" s="13">
        <f>D98/SUM(D$97:D$98)</f>
        <v>0.31015268455678241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 s="23"/>
      <c r="T100" s="10"/>
      <c r="AC100"/>
      <c r="AD100"/>
      <c r="AE100"/>
      <c r="AF100"/>
      <c r="AG100"/>
      <c r="AH100"/>
      <c r="AI100"/>
      <c r="AJ100"/>
      <c r="AK100"/>
      <c r="AL100"/>
      <c r="AM100"/>
      <c r="AN100"/>
    </row>
    <row r="101" spans="1:40" ht="14" x14ac:dyDescent="0.3">
      <c r="A101"/>
      <c r="B101" s="613" t="s">
        <v>233</v>
      </c>
      <c r="C101" s="614">
        <f>C97+C98</f>
        <v>4460626</v>
      </c>
      <c r="D101" s="614">
        <f>D97+D98</f>
        <v>3607765</v>
      </c>
      <c r="E101" s="615">
        <f>C101/D101-1</f>
        <v>0.23639594042294876</v>
      </c>
      <c r="F101"/>
      <c r="G101"/>
      <c r="H101"/>
      <c r="I101"/>
      <c r="J101"/>
      <c r="K101"/>
      <c r="L101"/>
      <c r="M101"/>
      <c r="N101"/>
      <c r="O101"/>
      <c r="P101"/>
      <c r="Q101"/>
      <c r="R101" s="23"/>
      <c r="T101" s="10"/>
      <c r="AC101"/>
      <c r="AD101"/>
      <c r="AE101"/>
      <c r="AF101"/>
      <c r="AG101"/>
      <c r="AH101"/>
      <c r="AI101"/>
      <c r="AJ101"/>
      <c r="AK101"/>
      <c r="AL101"/>
      <c r="AM101"/>
      <c r="AN101"/>
    </row>
    <row r="102" spans="1:40" ht="14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 s="23"/>
      <c r="Y102" s="22"/>
      <c r="Z102" s="22"/>
      <c r="AC102"/>
      <c r="AD102"/>
      <c r="AE102"/>
      <c r="AF102"/>
      <c r="AG102"/>
      <c r="AH102"/>
      <c r="AI102"/>
      <c r="AJ102"/>
      <c r="AK102"/>
      <c r="AL102"/>
      <c r="AM102"/>
      <c r="AN102"/>
    </row>
    <row r="103" spans="1:40" ht="14" x14ac:dyDescent="0.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 s="23"/>
      <c r="Y103" s="22"/>
      <c r="AC103"/>
      <c r="AD103"/>
      <c r="AE103"/>
      <c r="AF103"/>
      <c r="AG103"/>
      <c r="AH103"/>
      <c r="AI103"/>
      <c r="AJ103"/>
      <c r="AK103"/>
      <c r="AL103"/>
      <c r="AM103"/>
      <c r="AN103"/>
    </row>
    <row r="104" spans="1:40" ht="14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 s="23"/>
      <c r="Y104" s="22"/>
      <c r="AC104"/>
      <c r="AD104"/>
      <c r="AE104"/>
      <c r="AF104"/>
      <c r="AG104"/>
      <c r="AH104"/>
      <c r="AI104"/>
      <c r="AJ104"/>
      <c r="AK104"/>
      <c r="AL104"/>
      <c r="AM104"/>
      <c r="AN104"/>
    </row>
    <row r="105" spans="1:40" ht="14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 s="23"/>
      <c r="Y105" s="22"/>
      <c r="AC105"/>
      <c r="AD105"/>
      <c r="AE105"/>
      <c r="AF105"/>
      <c r="AG105"/>
      <c r="AH105"/>
      <c r="AI105"/>
      <c r="AJ105"/>
      <c r="AK105"/>
      <c r="AL105"/>
      <c r="AM105"/>
      <c r="AN105"/>
    </row>
    <row r="106" spans="1:40" ht="14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 s="23"/>
      <c r="Y106" s="22"/>
      <c r="AC106"/>
      <c r="AD106"/>
      <c r="AE106"/>
      <c r="AF106"/>
      <c r="AG106"/>
      <c r="AH106"/>
      <c r="AI106"/>
      <c r="AJ106"/>
      <c r="AK106"/>
      <c r="AL106"/>
      <c r="AM106"/>
      <c r="AN106"/>
    </row>
    <row r="107" spans="1:40" ht="14" x14ac:dyDescent="0.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 s="23"/>
      <c r="AC107"/>
      <c r="AD107"/>
      <c r="AE107"/>
      <c r="AF107"/>
      <c r="AG107"/>
      <c r="AH107"/>
      <c r="AI107"/>
      <c r="AJ107"/>
      <c r="AK107"/>
      <c r="AL107"/>
      <c r="AM107"/>
      <c r="AN107"/>
    </row>
    <row r="108" spans="1:40" ht="14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 s="23"/>
      <c r="AC108"/>
      <c r="AD108"/>
      <c r="AE108"/>
      <c r="AF108"/>
      <c r="AG108"/>
      <c r="AH108"/>
      <c r="AI108"/>
      <c r="AJ108"/>
      <c r="AK108"/>
      <c r="AL108"/>
      <c r="AM108"/>
      <c r="AN108"/>
    </row>
    <row r="109" spans="1:40" ht="14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 s="23"/>
      <c r="AC109"/>
      <c r="AD109"/>
      <c r="AE109"/>
      <c r="AF109"/>
      <c r="AG109"/>
      <c r="AH109"/>
      <c r="AI109"/>
      <c r="AJ109"/>
      <c r="AK109"/>
      <c r="AL109"/>
      <c r="AM109"/>
      <c r="AN109"/>
    </row>
    <row r="110" spans="1:40" ht="14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 s="23"/>
      <c r="AC110"/>
      <c r="AD110"/>
      <c r="AE110"/>
      <c r="AF110"/>
      <c r="AG110"/>
      <c r="AH110"/>
      <c r="AI110"/>
      <c r="AJ110"/>
      <c r="AK110"/>
      <c r="AL110"/>
      <c r="AM110"/>
      <c r="AN110"/>
    </row>
    <row r="111" spans="1:40" ht="14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 s="23"/>
      <c r="AC111"/>
      <c r="AD111"/>
      <c r="AE111"/>
      <c r="AF111"/>
      <c r="AG111"/>
      <c r="AH111"/>
      <c r="AI111"/>
      <c r="AJ111"/>
      <c r="AK111"/>
      <c r="AL111"/>
      <c r="AM111"/>
      <c r="AN111"/>
    </row>
    <row r="112" spans="1:40" ht="14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 s="23"/>
      <c r="AC112"/>
      <c r="AD112"/>
      <c r="AE112"/>
      <c r="AF112"/>
      <c r="AG112"/>
      <c r="AH112"/>
      <c r="AI112"/>
      <c r="AJ112"/>
      <c r="AK112"/>
      <c r="AL112"/>
      <c r="AM112"/>
      <c r="AN112"/>
    </row>
    <row r="113" spans="1:40" ht="14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 s="23"/>
      <c r="AC113"/>
      <c r="AD113"/>
      <c r="AE113"/>
      <c r="AF113"/>
      <c r="AG113"/>
      <c r="AH113"/>
      <c r="AI113"/>
      <c r="AJ113"/>
      <c r="AK113"/>
      <c r="AL113"/>
      <c r="AM113"/>
      <c r="AN113"/>
    </row>
    <row r="114" spans="1:40" ht="14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 s="23"/>
      <c r="AC114"/>
      <c r="AD114"/>
      <c r="AE114"/>
      <c r="AF114"/>
      <c r="AG114"/>
      <c r="AH114"/>
      <c r="AI114"/>
      <c r="AJ114"/>
      <c r="AK114"/>
      <c r="AL114"/>
      <c r="AM114"/>
      <c r="AN114"/>
    </row>
    <row r="115" spans="1:40" ht="14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 s="23"/>
      <c r="AC115"/>
      <c r="AD115"/>
      <c r="AE115"/>
      <c r="AF115"/>
      <c r="AG115"/>
      <c r="AH115"/>
      <c r="AI115"/>
      <c r="AJ115"/>
      <c r="AK115"/>
      <c r="AL115"/>
      <c r="AM115"/>
      <c r="AN115"/>
    </row>
    <row r="116" spans="1:40" ht="14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 s="23"/>
      <c r="AC116"/>
      <c r="AD116"/>
      <c r="AE116"/>
      <c r="AF116"/>
      <c r="AG116"/>
      <c r="AH116"/>
      <c r="AI116"/>
      <c r="AJ116"/>
      <c r="AK116"/>
      <c r="AL116"/>
      <c r="AM116"/>
      <c r="AN116"/>
    </row>
    <row r="117" spans="1:40" ht="14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 s="23"/>
      <c r="AC117"/>
      <c r="AD117"/>
      <c r="AE117"/>
      <c r="AF117"/>
      <c r="AG117"/>
      <c r="AH117"/>
      <c r="AI117"/>
      <c r="AJ117"/>
      <c r="AK117"/>
      <c r="AL117"/>
      <c r="AM117"/>
      <c r="AN117"/>
    </row>
    <row r="118" spans="1:40" ht="14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 s="23"/>
      <c r="AC118"/>
      <c r="AD118"/>
      <c r="AE118"/>
      <c r="AF118"/>
      <c r="AG118"/>
      <c r="AH118"/>
      <c r="AI118"/>
      <c r="AJ118"/>
      <c r="AK118"/>
      <c r="AL118"/>
      <c r="AM118"/>
      <c r="AN118"/>
    </row>
    <row r="119" spans="1:40" ht="14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 s="23"/>
      <c r="AC119"/>
      <c r="AD119"/>
      <c r="AE119"/>
      <c r="AF119"/>
      <c r="AG119"/>
      <c r="AH119"/>
      <c r="AI119"/>
      <c r="AJ119"/>
      <c r="AK119"/>
      <c r="AL119"/>
      <c r="AM119"/>
      <c r="AN119"/>
    </row>
    <row r="120" spans="1:40" ht="14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 s="23"/>
      <c r="AC120"/>
      <c r="AD120"/>
      <c r="AE120"/>
      <c r="AF120"/>
      <c r="AG120"/>
      <c r="AH120"/>
      <c r="AI120"/>
      <c r="AJ120"/>
      <c r="AK120"/>
      <c r="AL120"/>
      <c r="AM120"/>
      <c r="AN120"/>
    </row>
    <row r="121" spans="1:40" ht="14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 s="23"/>
      <c r="AC121"/>
      <c r="AD121"/>
      <c r="AE121"/>
      <c r="AF121"/>
      <c r="AG121"/>
      <c r="AH121"/>
      <c r="AI121"/>
      <c r="AJ121"/>
      <c r="AK121"/>
      <c r="AL121"/>
      <c r="AM121"/>
      <c r="AN121"/>
    </row>
    <row r="122" spans="1:40" ht="14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 s="23"/>
      <c r="AC122"/>
      <c r="AD122"/>
      <c r="AE122"/>
      <c r="AF122"/>
      <c r="AG122"/>
      <c r="AH122"/>
      <c r="AI122"/>
      <c r="AJ122"/>
      <c r="AK122"/>
      <c r="AL122"/>
      <c r="AM122"/>
      <c r="AN122"/>
    </row>
    <row r="123" spans="1:40" ht="14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 s="23"/>
      <c r="AC123"/>
      <c r="AD123"/>
      <c r="AE123"/>
      <c r="AF123"/>
      <c r="AG123"/>
      <c r="AH123"/>
      <c r="AI123"/>
      <c r="AJ123"/>
      <c r="AK123"/>
      <c r="AL123"/>
      <c r="AM123"/>
      <c r="AN123"/>
    </row>
    <row r="124" spans="1:40" ht="14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 s="23"/>
      <c r="AC124"/>
      <c r="AD124"/>
      <c r="AE124"/>
      <c r="AF124"/>
      <c r="AG124"/>
      <c r="AH124"/>
      <c r="AI124"/>
      <c r="AJ124"/>
      <c r="AK124"/>
      <c r="AL124"/>
      <c r="AM124"/>
      <c r="AN124"/>
    </row>
    <row r="125" spans="1:40" ht="14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 s="23"/>
      <c r="AC125"/>
      <c r="AD125"/>
      <c r="AE125"/>
      <c r="AF125"/>
      <c r="AG125"/>
      <c r="AH125"/>
      <c r="AI125"/>
      <c r="AJ125"/>
      <c r="AK125"/>
      <c r="AL125"/>
      <c r="AM125"/>
      <c r="AN125"/>
    </row>
    <row r="126" spans="1:40" ht="14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 s="23"/>
      <c r="AC126"/>
      <c r="AD126"/>
      <c r="AE126"/>
      <c r="AF126"/>
      <c r="AG126"/>
      <c r="AH126"/>
      <c r="AI126"/>
      <c r="AJ126"/>
      <c r="AK126"/>
      <c r="AL126"/>
      <c r="AM126"/>
      <c r="AN126"/>
    </row>
    <row r="127" spans="1:40" ht="14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 s="23"/>
      <c r="AC127"/>
      <c r="AD127"/>
      <c r="AE127"/>
      <c r="AF127"/>
      <c r="AG127"/>
      <c r="AH127"/>
      <c r="AI127"/>
      <c r="AJ127"/>
      <c r="AK127"/>
      <c r="AL127"/>
      <c r="AM127"/>
      <c r="AN127"/>
    </row>
    <row r="128" spans="1:40" ht="14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 s="23"/>
    </row>
    <row r="129" spans="1:18" ht="14" x14ac:dyDescent="0.3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 s="23"/>
    </row>
    <row r="130" spans="1:18" ht="14" x14ac:dyDescent="0.3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 s="23"/>
    </row>
    <row r="131" spans="1:18" ht="14" x14ac:dyDescent="0.3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 s="23"/>
    </row>
    <row r="132" spans="1:18" ht="14" x14ac:dyDescent="0.3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 s="23"/>
    </row>
    <row r="133" spans="1:18" ht="14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 s="23"/>
    </row>
    <row r="134" spans="1:18" ht="14" x14ac:dyDescent="0.3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 s="23"/>
    </row>
    <row r="135" spans="1:18" ht="14" x14ac:dyDescent="0.3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 s="23"/>
    </row>
    <row r="136" spans="1:18" ht="14" x14ac:dyDescent="0.3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 s="23"/>
    </row>
    <row r="137" spans="1:18" ht="14" x14ac:dyDescent="0.3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 s="23"/>
    </row>
    <row r="138" spans="1:18" ht="14" x14ac:dyDescent="0.3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 s="23"/>
    </row>
    <row r="139" spans="1:18" ht="14" x14ac:dyDescent="0.3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 s="23"/>
    </row>
    <row r="140" spans="1:18" ht="14" x14ac:dyDescent="0.3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 s="23"/>
    </row>
    <row r="141" spans="1:18" ht="14" x14ac:dyDescent="0.3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 s="23"/>
    </row>
    <row r="142" spans="1:18" ht="14" x14ac:dyDescent="0.3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 s="23"/>
    </row>
    <row r="143" spans="1:18" ht="14" x14ac:dyDescent="0.3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 s="23"/>
    </row>
    <row r="144" spans="1:18" ht="14" x14ac:dyDescent="0.3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 s="23"/>
    </row>
  </sheetData>
  <mergeCells count="9">
    <mergeCell ref="I77:J77"/>
    <mergeCell ref="K77:L77"/>
    <mergeCell ref="M77:N77"/>
    <mergeCell ref="A79:A80"/>
    <mergeCell ref="A81:B81"/>
    <mergeCell ref="A82:B82"/>
    <mergeCell ref="C77:D77"/>
    <mergeCell ref="E77:F77"/>
    <mergeCell ref="G77:H77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EBE96-8B9B-4FF2-982A-D3F55E00C3C0}">
  <dimension ref="B1:AM179"/>
  <sheetViews>
    <sheetView showGridLines="0" zoomScale="85" zoomScaleNormal="85" workbookViewId="0">
      <pane xSplit="3" ySplit="5" topLeftCell="AB6" activePane="bottomRight" state="frozen"/>
      <selection pane="topRight" activeCell="D1" sqref="D1"/>
      <selection pane="bottomLeft" activeCell="A6" sqref="A6"/>
      <selection pane="bottomRight" activeCell="V11" sqref="V11:AM12"/>
    </sheetView>
  </sheetViews>
  <sheetFormatPr defaultRowHeight="14" outlineLevelRow="1" x14ac:dyDescent="0.3"/>
  <cols>
    <col min="1" max="1" width="3.1640625" customWidth="1"/>
    <col min="2" max="2" width="13.25" customWidth="1"/>
    <col min="3" max="3" width="41.58203125" customWidth="1"/>
    <col min="4" max="12" width="10.83203125" customWidth="1"/>
    <col min="13" max="21" width="10.9140625" customWidth="1"/>
  </cols>
  <sheetData>
    <row r="1" spans="2:39" ht="32" customHeight="1" x14ac:dyDescent="0.6">
      <c r="B1" s="124" t="s">
        <v>350</v>
      </c>
      <c r="I1" s="10"/>
    </row>
    <row r="2" spans="2:39" x14ac:dyDescent="0.3">
      <c r="H2" s="13"/>
    </row>
    <row r="4" spans="2:39" s="166" customFormat="1" ht="28" customHeight="1" x14ac:dyDescent="0.3">
      <c r="B4" s="642" t="s">
        <v>266</v>
      </c>
      <c r="C4" s="643" t="s">
        <v>46</v>
      </c>
      <c r="D4" s="642" t="s">
        <v>238</v>
      </c>
      <c r="E4" s="643"/>
      <c r="F4" s="644"/>
      <c r="G4" s="642" t="s">
        <v>239</v>
      </c>
      <c r="H4" s="643"/>
      <c r="I4" s="644"/>
      <c r="J4" s="642" t="s">
        <v>232</v>
      </c>
      <c r="K4" s="643"/>
      <c r="L4" s="644"/>
      <c r="M4" s="642" t="s">
        <v>400</v>
      </c>
      <c r="N4" s="643"/>
      <c r="O4" s="644"/>
      <c r="P4" s="643" t="s">
        <v>401</v>
      </c>
      <c r="Q4" s="643"/>
      <c r="R4" s="644"/>
      <c r="S4" s="642" t="s">
        <v>402</v>
      </c>
      <c r="T4" s="643"/>
      <c r="U4" s="644"/>
      <c r="V4" s="642" t="s">
        <v>363</v>
      </c>
      <c r="W4" s="643"/>
      <c r="X4" s="644"/>
      <c r="Y4" s="642" t="s">
        <v>364</v>
      </c>
      <c r="Z4" s="643"/>
      <c r="AA4" s="644"/>
      <c r="AB4" s="642" t="s">
        <v>232</v>
      </c>
      <c r="AC4" s="643"/>
      <c r="AD4" s="644"/>
      <c r="AE4" s="642" t="s">
        <v>808</v>
      </c>
      <c r="AF4" s="643"/>
      <c r="AG4" s="644"/>
      <c r="AH4" s="642" t="s">
        <v>809</v>
      </c>
      <c r="AI4" s="643"/>
      <c r="AJ4" s="644"/>
      <c r="AK4" s="642" t="s">
        <v>232</v>
      </c>
      <c r="AL4" s="643"/>
      <c r="AM4" s="644"/>
    </row>
    <row r="5" spans="2:39" ht="17.5" customHeight="1" x14ac:dyDescent="0.3">
      <c r="B5" s="649"/>
      <c r="C5" s="650"/>
      <c r="D5" s="132" t="s">
        <v>47</v>
      </c>
      <c r="E5" s="125" t="s">
        <v>345</v>
      </c>
      <c r="F5" s="126" t="s">
        <v>346</v>
      </c>
      <c r="G5" s="132" t="s">
        <v>47</v>
      </c>
      <c r="H5" s="125" t="s">
        <v>345</v>
      </c>
      <c r="I5" s="126" t="s">
        <v>346</v>
      </c>
      <c r="J5" s="132" t="s">
        <v>47</v>
      </c>
      <c r="K5" s="125" t="s">
        <v>345</v>
      </c>
      <c r="L5" s="126" t="s">
        <v>346</v>
      </c>
      <c r="M5" s="132" t="s">
        <v>47</v>
      </c>
      <c r="N5" s="125" t="s">
        <v>345</v>
      </c>
      <c r="O5" s="126" t="s">
        <v>346</v>
      </c>
      <c r="P5" s="125" t="s">
        <v>47</v>
      </c>
      <c r="Q5" s="125" t="s">
        <v>345</v>
      </c>
      <c r="R5" s="126" t="s">
        <v>346</v>
      </c>
      <c r="S5" s="132" t="s">
        <v>47</v>
      </c>
      <c r="T5" s="125" t="s">
        <v>345</v>
      </c>
      <c r="U5" s="125" t="s">
        <v>346</v>
      </c>
      <c r="V5" s="132" t="s">
        <v>47</v>
      </c>
      <c r="W5" s="125" t="s">
        <v>345</v>
      </c>
      <c r="X5" s="126" t="s">
        <v>346</v>
      </c>
      <c r="Y5" s="132" t="s">
        <v>47</v>
      </c>
      <c r="Z5" s="125" t="s">
        <v>345</v>
      </c>
      <c r="AA5" s="126" t="s">
        <v>346</v>
      </c>
      <c r="AB5" s="132" t="s">
        <v>47</v>
      </c>
      <c r="AC5" s="125" t="s">
        <v>345</v>
      </c>
      <c r="AD5" s="126" t="s">
        <v>346</v>
      </c>
      <c r="AE5" s="132" t="s">
        <v>47</v>
      </c>
      <c r="AF5" s="125" t="s">
        <v>345</v>
      </c>
      <c r="AG5" s="126" t="s">
        <v>346</v>
      </c>
      <c r="AH5" s="132" t="s">
        <v>47</v>
      </c>
      <c r="AI5" s="125" t="s">
        <v>345</v>
      </c>
      <c r="AJ5" s="126" t="s">
        <v>346</v>
      </c>
      <c r="AK5" s="132" t="s">
        <v>47</v>
      </c>
      <c r="AL5" s="125" t="s">
        <v>345</v>
      </c>
      <c r="AM5" s="126" t="s">
        <v>346</v>
      </c>
    </row>
    <row r="6" spans="2:39" ht="19.5" customHeight="1" x14ac:dyDescent="0.3">
      <c r="B6" s="645">
        <v>45992</v>
      </c>
      <c r="C6" s="280" t="s">
        <v>49</v>
      </c>
      <c r="D6" s="281">
        <v>378635</v>
      </c>
      <c r="E6" s="282">
        <v>281359</v>
      </c>
      <c r="F6" s="283">
        <v>622141</v>
      </c>
      <c r="G6" s="281">
        <v>219663</v>
      </c>
      <c r="H6" s="282">
        <v>426783</v>
      </c>
      <c r="I6" s="283">
        <v>518682</v>
      </c>
      <c r="J6" s="144">
        <f t="shared" ref="J6:J7" si="0">D6/G6-1</f>
        <v>0.72370858997646392</v>
      </c>
      <c r="K6" s="145">
        <f t="shared" ref="K6:K7" si="1">E6/H6-1</f>
        <v>-0.3407445938568312</v>
      </c>
      <c r="L6" s="207">
        <f t="shared" ref="L6:L7" si="2">F6/I6-1</f>
        <v>0.19946518290590376</v>
      </c>
      <c r="M6" s="281">
        <f t="shared" ref="M6" si="3">D6-D9-D10</f>
        <v>368756</v>
      </c>
      <c r="N6" s="282">
        <f t="shared" ref="N6" si="4">E6-E9-E10</f>
        <v>256872</v>
      </c>
      <c r="O6" s="283">
        <f t="shared" ref="O6" si="5">F6-F9-F10</f>
        <v>536335</v>
      </c>
      <c r="P6" s="284">
        <f t="shared" ref="P6" si="6">G6-G9-G10</f>
        <v>200342</v>
      </c>
      <c r="Q6" s="285">
        <f t="shared" ref="Q6" si="7">H6-H9-H10</f>
        <v>426783</v>
      </c>
      <c r="R6" s="286">
        <f t="shared" ref="R6" si="8">I6-I9-I10</f>
        <v>431847</v>
      </c>
      <c r="S6" s="144">
        <f t="shared" ref="S6:S7" si="9">M6/P6-1</f>
        <v>0.84063251839354702</v>
      </c>
      <c r="T6" s="145">
        <f t="shared" ref="T6:T7" si="10">N6/Q6-1</f>
        <v>-0.39812035624661712</v>
      </c>
      <c r="U6" s="145">
        <f t="shared" ref="U6:U7" si="11">O6/R6-1</f>
        <v>0.24195606314273332</v>
      </c>
      <c r="V6" s="559">
        <v>280</v>
      </c>
      <c r="W6" s="560">
        <v>292</v>
      </c>
      <c r="X6" s="561">
        <v>322</v>
      </c>
      <c r="Y6" s="559">
        <v>411</v>
      </c>
      <c r="Z6" s="560">
        <v>317</v>
      </c>
      <c r="AA6" s="561">
        <v>282</v>
      </c>
      <c r="AB6" s="144">
        <f t="shared" ref="AB6:AB7" si="12">V6/Y6-1</f>
        <v>-0.31873479318734799</v>
      </c>
      <c r="AC6" s="145">
        <f t="shared" ref="AC6:AC7" si="13">W6/Z6-1</f>
        <v>-7.8864353312302793E-2</v>
      </c>
      <c r="AD6" s="207">
        <f t="shared" ref="AD6:AD7" si="14">X6/AA6-1</f>
        <v>0.14184397163120566</v>
      </c>
      <c r="AE6" s="571">
        <f>V6/D6</f>
        <v>7.3949846157909331E-4</v>
      </c>
      <c r="AF6" s="572">
        <f t="shared" ref="AF6:AF7" si="15">W6/E6</f>
        <v>1.0378200093119467E-3</v>
      </c>
      <c r="AG6" s="573">
        <f t="shared" ref="AG6:AG7" si="16">X6/F6</f>
        <v>5.1756756105127296E-4</v>
      </c>
      <c r="AH6" s="571">
        <f>Y6/G6</f>
        <v>1.8710479234099507E-3</v>
      </c>
      <c r="AI6" s="572">
        <f t="shared" ref="AI6:AI7" si="17">Z6/H6</f>
        <v>7.4276623014506203E-4</v>
      </c>
      <c r="AJ6" s="573">
        <f t="shared" ref="AJ6:AJ7" si="18">AA6/I6</f>
        <v>5.4368572651451177E-4</v>
      </c>
      <c r="AK6" s="144">
        <f t="shared" ref="AK6:AK7" si="19">AE6/AH6-1</f>
        <v>-0.60476776018041756</v>
      </c>
      <c r="AL6" s="145">
        <f t="shared" ref="AL6:AL7" si="20">AF6/AI6-1</f>
        <v>0.39723639442959158</v>
      </c>
      <c r="AM6" s="207">
        <f t="shared" ref="AM6:AM7" si="21">AG6/AJ6-1</f>
        <v>-4.8039086165970302E-2</v>
      </c>
    </row>
    <row r="7" spans="2:39" ht="19.5" customHeight="1" x14ac:dyDescent="0.3">
      <c r="B7" s="646"/>
      <c r="C7" s="287" t="s">
        <v>50</v>
      </c>
      <c r="D7" s="266">
        <v>217370</v>
      </c>
      <c r="E7" s="267">
        <v>242179</v>
      </c>
      <c r="F7" s="268">
        <v>548176</v>
      </c>
      <c r="G7" s="266">
        <v>136573</v>
      </c>
      <c r="H7" s="267">
        <v>211581</v>
      </c>
      <c r="I7" s="268">
        <v>172934</v>
      </c>
      <c r="J7" s="288">
        <f t="shared" si="0"/>
        <v>0.59160302548820054</v>
      </c>
      <c r="K7" s="289">
        <f t="shared" si="1"/>
        <v>0.14461600994418222</v>
      </c>
      <c r="L7" s="290">
        <f t="shared" si="2"/>
        <v>2.1698567083395979</v>
      </c>
      <c r="M7" s="266">
        <f t="shared" ref="M7" si="22">D7</f>
        <v>217370</v>
      </c>
      <c r="N7" s="267">
        <f t="shared" ref="N7" si="23">E7</f>
        <v>242179</v>
      </c>
      <c r="O7" s="268">
        <f t="shared" ref="O7" si="24">F7</f>
        <v>548176</v>
      </c>
      <c r="P7" s="269">
        <f t="shared" ref="P7" si="25">G7</f>
        <v>136573</v>
      </c>
      <c r="Q7" s="269">
        <f t="shared" ref="Q7" si="26">H7</f>
        <v>211581</v>
      </c>
      <c r="R7" s="270">
        <f t="shared" ref="R7" si="27">I7</f>
        <v>172934</v>
      </c>
      <c r="S7" s="288">
        <f t="shared" si="9"/>
        <v>0.59160302548820054</v>
      </c>
      <c r="T7" s="289">
        <f t="shared" si="10"/>
        <v>0.14461600994418222</v>
      </c>
      <c r="U7" s="289">
        <f t="shared" si="11"/>
        <v>2.1698567083395979</v>
      </c>
      <c r="V7" s="562">
        <v>789</v>
      </c>
      <c r="W7" s="563">
        <v>576</v>
      </c>
      <c r="X7" s="564">
        <v>758</v>
      </c>
      <c r="Y7" s="562">
        <v>744</v>
      </c>
      <c r="Z7" s="563">
        <v>500</v>
      </c>
      <c r="AA7" s="564">
        <v>551</v>
      </c>
      <c r="AB7" s="288">
        <f t="shared" si="12"/>
        <v>6.0483870967741993E-2</v>
      </c>
      <c r="AC7" s="289">
        <f t="shared" si="13"/>
        <v>0.15199999999999991</v>
      </c>
      <c r="AD7" s="290">
        <f t="shared" si="14"/>
        <v>0.37568058076225053</v>
      </c>
      <c r="AE7" s="574">
        <f>V7/D7</f>
        <v>3.629755716060174E-3</v>
      </c>
      <c r="AF7" s="575">
        <f t="shared" si="15"/>
        <v>2.3784060550254152E-3</v>
      </c>
      <c r="AG7" s="576">
        <f t="shared" si="16"/>
        <v>1.3827675782960218E-3</v>
      </c>
      <c r="AH7" s="574">
        <f>Y7/G7</f>
        <v>5.4476360627649682E-3</v>
      </c>
      <c r="AI7" s="575">
        <f t="shared" si="17"/>
        <v>2.3631611534116956E-3</v>
      </c>
      <c r="AJ7" s="576">
        <f t="shared" si="18"/>
        <v>3.1861866376768017E-3</v>
      </c>
      <c r="AK7" s="288">
        <f t="shared" si="19"/>
        <v>-0.33370076961090578</v>
      </c>
      <c r="AL7" s="289">
        <f t="shared" si="20"/>
        <v>6.4510630566647631E-3</v>
      </c>
      <c r="AM7" s="290">
        <f t="shared" si="21"/>
        <v>-0.56601174521770559</v>
      </c>
    </row>
    <row r="8" spans="2:39" ht="19.5" customHeight="1" x14ac:dyDescent="0.3">
      <c r="B8" s="646"/>
      <c r="C8" s="291" t="s">
        <v>347</v>
      </c>
      <c r="D8" s="292">
        <f t="shared" ref="D8:I8" si="28">D6/SUM(D6:D7)</f>
        <v>0.63528829456128721</v>
      </c>
      <c r="E8" s="293">
        <f t="shared" si="28"/>
        <v>0.53741848729223096</v>
      </c>
      <c r="F8" s="294">
        <f t="shared" si="28"/>
        <v>0.53160041253779955</v>
      </c>
      <c r="G8" s="292">
        <f t="shared" si="28"/>
        <v>0.61662212690463625</v>
      </c>
      <c r="H8" s="293">
        <f t="shared" si="28"/>
        <v>0.66855743744948026</v>
      </c>
      <c r="I8" s="294">
        <f t="shared" si="28"/>
        <v>0.74995662332855229</v>
      </c>
      <c r="J8" s="295">
        <f>(D8-G8)*100</f>
        <v>1.8666167656650967</v>
      </c>
      <c r="K8" s="296">
        <f>(E8-H8)*100</f>
        <v>-13.11389501572493</v>
      </c>
      <c r="L8" s="296">
        <f>(F8-I8)*100</f>
        <v>-21.835621079075274</v>
      </c>
      <c r="M8" s="292">
        <f t="shared" ref="M8:R8" si="29">M6/SUM(M6:M7)</f>
        <v>0.62914117442324691</v>
      </c>
      <c r="N8" s="293">
        <f t="shared" si="29"/>
        <v>0.51472094034477434</v>
      </c>
      <c r="O8" s="294">
        <f t="shared" si="29"/>
        <v>0.4945408575846626</v>
      </c>
      <c r="P8" s="293">
        <f t="shared" si="29"/>
        <v>0.5946366294169152</v>
      </c>
      <c r="Q8" s="293">
        <f t="shared" si="29"/>
        <v>0.66855743744948026</v>
      </c>
      <c r="R8" s="294">
        <f t="shared" si="29"/>
        <v>0.71405517038399025</v>
      </c>
      <c r="S8" s="295">
        <f t="shared" ref="S8:S11" si="30">(M8-P8)*100</f>
        <v>3.4504545006331711</v>
      </c>
      <c r="T8" s="296">
        <f t="shared" ref="T8:T11" si="31">(N8-Q8)*100</f>
        <v>-15.383649710470593</v>
      </c>
      <c r="U8" s="296">
        <f t="shared" ref="U8:U11" si="32">(O8-R8)*100</f>
        <v>-21.951431279932766</v>
      </c>
      <c r="V8" s="292">
        <f t="shared" ref="V8:AA8" si="33">V6/SUM(V6:V7)</f>
        <v>0.26192703461178674</v>
      </c>
      <c r="W8" s="293">
        <f t="shared" si="33"/>
        <v>0.33640552995391704</v>
      </c>
      <c r="X8" s="294">
        <f t="shared" si="33"/>
        <v>0.29814814814814816</v>
      </c>
      <c r="Y8" s="292">
        <f t="shared" si="33"/>
        <v>0.35584415584415585</v>
      </c>
      <c r="Z8" s="293">
        <f t="shared" si="33"/>
        <v>0.38800489596083232</v>
      </c>
      <c r="AA8" s="294">
        <f t="shared" si="33"/>
        <v>0.33853541416566629</v>
      </c>
      <c r="AB8" s="295">
        <f>(V8-Y8)*100</f>
        <v>-9.3917121232369123</v>
      </c>
      <c r="AC8" s="296">
        <f>(W8-Z8)*100</f>
        <v>-5.1599366006915286</v>
      </c>
      <c r="AD8" s="296">
        <f>(X8-AA8)*100</f>
        <v>-4.0387266017518133</v>
      </c>
      <c r="AE8" s="292">
        <f t="shared" ref="AE8:AJ8" si="34">AE6/SUM(AE6:AE7)</f>
        <v>0.16925050169057651</v>
      </c>
      <c r="AF8" s="293">
        <f t="shared" si="34"/>
        <v>0.30379137380454663</v>
      </c>
      <c r="AG8" s="294">
        <f t="shared" si="34"/>
        <v>0.2723559388735195</v>
      </c>
      <c r="AH8" s="292">
        <f t="shared" si="34"/>
        <v>0.25565360206075061</v>
      </c>
      <c r="AI8" s="293">
        <f t="shared" si="34"/>
        <v>0.2391447508004782</v>
      </c>
      <c r="AJ8" s="294">
        <f t="shared" si="34"/>
        <v>0.14576523629445701</v>
      </c>
      <c r="AK8" s="295">
        <f>(AE8-AH8)*100</f>
        <v>-8.6403100370174091</v>
      </c>
      <c r="AL8" s="296">
        <f>(AF8-AI8)*100</f>
        <v>6.4646623004068431</v>
      </c>
      <c r="AM8" s="296">
        <f>(AG8-AJ8)*100</f>
        <v>12.659070257906249</v>
      </c>
    </row>
    <row r="9" spans="2:39" ht="19.5" customHeight="1" x14ac:dyDescent="0.3">
      <c r="B9" s="646"/>
      <c r="C9" s="297" t="s">
        <v>633</v>
      </c>
      <c r="D9" s="369">
        <v>0</v>
      </c>
      <c r="E9" s="370">
        <v>0</v>
      </c>
      <c r="F9" s="371">
        <v>0</v>
      </c>
      <c r="G9" s="369">
        <v>0</v>
      </c>
      <c r="H9" s="370">
        <v>0</v>
      </c>
      <c r="I9" s="371">
        <v>0</v>
      </c>
      <c r="J9" s="305" t="str">
        <f t="shared" ref="J9:J10" si="35">IFERROR(D9/G9-1,"-")</f>
        <v>-</v>
      </c>
      <c r="K9" s="306" t="str">
        <f t="shared" ref="K9:K10" si="36">IFERROR(E9/H9-1,"-")</f>
        <v>-</v>
      </c>
      <c r="L9" s="307" t="str">
        <f t="shared" ref="L9:L10" si="37">IFERROR(F9/I9-1,"-")</f>
        <v>-</v>
      </c>
      <c r="M9" s="302">
        <f t="shared" ref="M9" si="38">D9/D12</f>
        <v>0</v>
      </c>
      <c r="N9" s="303">
        <f t="shared" ref="N9" si="39">E9/E12</f>
        <v>0</v>
      </c>
      <c r="O9" s="304">
        <f t="shared" ref="O9" si="40">F9/F12</f>
        <v>0</v>
      </c>
      <c r="P9" s="302">
        <f t="shared" ref="P9" si="41">G9/G12</f>
        <v>0</v>
      </c>
      <c r="Q9" s="303">
        <f t="shared" ref="Q9" si="42">H9/H12</f>
        <v>0</v>
      </c>
      <c r="R9" s="304">
        <f t="shared" ref="R9" si="43">I9/I12</f>
        <v>0</v>
      </c>
      <c r="S9" s="311">
        <f t="shared" si="30"/>
        <v>0</v>
      </c>
      <c r="T9" s="312">
        <f t="shared" si="31"/>
        <v>0</v>
      </c>
      <c r="U9" s="312">
        <f t="shared" si="32"/>
        <v>0</v>
      </c>
      <c r="V9" s="369"/>
      <c r="W9" s="370"/>
      <c r="X9" s="371"/>
      <c r="Y9" s="369"/>
      <c r="Z9" s="370"/>
      <c r="AA9" s="371"/>
      <c r="AB9" s="305" t="str">
        <f t="shared" ref="AB9:AB10" si="44">IFERROR(V9/Y9-1,"-")</f>
        <v>-</v>
      </c>
      <c r="AC9" s="306" t="str">
        <f t="shared" ref="AC9:AC10" si="45">IFERROR(W9/Z9-1,"-")</f>
        <v>-</v>
      </c>
      <c r="AD9" s="307" t="str">
        <f t="shared" ref="AD9:AD10" si="46">IFERROR(X9/AA9-1,"-")</f>
        <v>-</v>
      </c>
      <c r="AE9" s="369"/>
      <c r="AF9" s="370"/>
      <c r="AG9" s="371"/>
      <c r="AH9" s="369"/>
      <c r="AI9" s="370"/>
      <c r="AJ9" s="371"/>
      <c r="AK9" s="305" t="str">
        <f t="shared" ref="AK9:AK10" si="47">IFERROR(AE9/AH9-1,"-")</f>
        <v>-</v>
      </c>
      <c r="AL9" s="306" t="str">
        <f t="shared" ref="AL9:AL10" si="48">IFERROR(AF9/AI9-1,"-")</f>
        <v>-</v>
      </c>
      <c r="AM9" s="307" t="str">
        <f t="shared" ref="AM9:AM10" si="49">IFERROR(AG9/AJ9-1,"-")</f>
        <v>-</v>
      </c>
    </row>
    <row r="10" spans="2:39" ht="29.5" customHeight="1" x14ac:dyDescent="0.3">
      <c r="B10" s="646"/>
      <c r="C10" s="297" t="s">
        <v>634</v>
      </c>
      <c r="D10" s="369">
        <v>9879</v>
      </c>
      <c r="E10" s="370">
        <v>24487</v>
      </c>
      <c r="F10" s="371">
        <v>85806</v>
      </c>
      <c r="G10" s="369">
        <v>19321</v>
      </c>
      <c r="H10" s="370">
        <v>0</v>
      </c>
      <c r="I10" s="371">
        <v>86835</v>
      </c>
      <c r="J10" s="305">
        <f t="shared" si="35"/>
        <v>-0.48869106153925779</v>
      </c>
      <c r="K10" s="306" t="str">
        <f t="shared" si="36"/>
        <v>-</v>
      </c>
      <c r="L10" s="307">
        <f t="shared" si="37"/>
        <v>-1.1850060459492107E-2</v>
      </c>
      <c r="M10" s="302">
        <f t="shared" ref="M10" si="50">D10/D12</f>
        <v>1.6575364300635061E-2</v>
      </c>
      <c r="N10" s="303">
        <f t="shared" ref="N10" si="51">E10/E12</f>
        <v>4.6772154074775855E-2</v>
      </c>
      <c r="O10" s="304">
        <f t="shared" ref="O10" si="52">F10/F12</f>
        <v>7.33185965853696E-2</v>
      </c>
      <c r="P10" s="302">
        <f t="shared" ref="P10" si="53">G10/G12</f>
        <v>5.4236517364892933E-2</v>
      </c>
      <c r="Q10" s="303">
        <f t="shared" ref="Q10" si="54">H10/H12</f>
        <v>0</v>
      </c>
      <c r="R10" s="304">
        <f t="shared" ref="R10" si="55">I10/I12</f>
        <v>0.1255537755054828</v>
      </c>
      <c r="S10" s="311">
        <f t="shared" si="30"/>
        <v>-3.7661153064257871</v>
      </c>
      <c r="T10" s="312">
        <f t="shared" si="31"/>
        <v>4.6772154074775854</v>
      </c>
      <c r="U10" s="312">
        <f t="shared" si="32"/>
        <v>-5.2235178920113201</v>
      </c>
      <c r="V10" s="369"/>
      <c r="W10" s="370"/>
      <c r="X10" s="371"/>
      <c r="Y10" s="369"/>
      <c r="Z10" s="370"/>
      <c r="AA10" s="371"/>
      <c r="AB10" s="305" t="str">
        <f t="shared" si="44"/>
        <v>-</v>
      </c>
      <c r="AC10" s="306" t="str">
        <f t="shared" si="45"/>
        <v>-</v>
      </c>
      <c r="AD10" s="307" t="str">
        <f t="shared" si="46"/>
        <v>-</v>
      </c>
      <c r="AE10" s="369"/>
      <c r="AF10" s="370"/>
      <c r="AG10" s="371"/>
      <c r="AH10" s="369"/>
      <c r="AI10" s="370"/>
      <c r="AJ10" s="371"/>
      <c r="AK10" s="305" t="str">
        <f t="shared" si="47"/>
        <v>-</v>
      </c>
      <c r="AL10" s="306" t="str">
        <f t="shared" si="48"/>
        <v>-</v>
      </c>
      <c r="AM10" s="307" t="str">
        <f t="shared" si="49"/>
        <v>-</v>
      </c>
    </row>
    <row r="11" spans="2:39" ht="19.5" customHeight="1" x14ac:dyDescent="0.3">
      <c r="B11" s="647"/>
      <c r="C11" s="291" t="s">
        <v>349</v>
      </c>
      <c r="D11" s="292">
        <f t="shared" ref="D11:I11" si="56">D7/SUM(D6:D7)</f>
        <v>0.36471170543871279</v>
      </c>
      <c r="E11" s="293">
        <f t="shared" si="56"/>
        <v>0.46258151270776904</v>
      </c>
      <c r="F11" s="294">
        <f t="shared" si="56"/>
        <v>0.4683995874622004</v>
      </c>
      <c r="G11" s="292">
        <f t="shared" si="56"/>
        <v>0.38337787309536375</v>
      </c>
      <c r="H11" s="293">
        <f t="shared" si="56"/>
        <v>0.33144256255051979</v>
      </c>
      <c r="I11" s="294">
        <f t="shared" si="56"/>
        <v>0.25004337667144771</v>
      </c>
      <c r="J11" s="300">
        <f>(D11-G11)*100</f>
        <v>-1.8666167656650967</v>
      </c>
      <c r="K11" s="301">
        <f>(E11-H11)*100</f>
        <v>13.113895015724925</v>
      </c>
      <c r="L11" s="301">
        <f>(F11-I11)*100</f>
        <v>21.835621079075267</v>
      </c>
      <c r="M11" s="292">
        <f t="shared" ref="M11:R11" si="57">M7/SUM(M6:M7)</f>
        <v>0.37085882557675315</v>
      </c>
      <c r="N11" s="293">
        <f t="shared" si="57"/>
        <v>0.48527905965522561</v>
      </c>
      <c r="O11" s="294">
        <f t="shared" si="57"/>
        <v>0.5054591424153374</v>
      </c>
      <c r="P11" s="293">
        <f t="shared" si="57"/>
        <v>0.40536337058308475</v>
      </c>
      <c r="Q11" s="293">
        <f t="shared" si="57"/>
        <v>0.33144256255051979</v>
      </c>
      <c r="R11" s="294">
        <f t="shared" si="57"/>
        <v>0.28594482961600975</v>
      </c>
      <c r="S11" s="300">
        <f t="shared" si="30"/>
        <v>-3.4504545006331599</v>
      </c>
      <c r="T11" s="301">
        <f t="shared" si="31"/>
        <v>15.383649710470582</v>
      </c>
      <c r="U11" s="301">
        <f t="shared" si="32"/>
        <v>21.951431279932766</v>
      </c>
      <c r="V11" s="292">
        <f t="shared" ref="V11:AA11" si="58">V7/SUM(V6:V7)</f>
        <v>0.73807296538821332</v>
      </c>
      <c r="W11" s="293">
        <f t="shared" si="58"/>
        <v>0.66359447004608296</v>
      </c>
      <c r="X11" s="294">
        <f t="shared" si="58"/>
        <v>0.70185185185185184</v>
      </c>
      <c r="Y11" s="292">
        <f t="shared" si="58"/>
        <v>0.64415584415584415</v>
      </c>
      <c r="Z11" s="293">
        <f t="shared" si="58"/>
        <v>0.61199510403916768</v>
      </c>
      <c r="AA11" s="294">
        <f t="shared" si="58"/>
        <v>0.66146458583433376</v>
      </c>
      <c r="AB11" s="300">
        <f>(V11-Y11)*100</f>
        <v>9.3917121232369176</v>
      </c>
      <c r="AC11" s="301">
        <f>(W11-Z11)*100</f>
        <v>5.1599366006915286</v>
      </c>
      <c r="AD11" s="301">
        <f>(X11-AA11)*100</f>
        <v>4.038726601751808</v>
      </c>
      <c r="AE11" s="292">
        <f t="shared" ref="AE11:AJ11" si="59">AE7/SUM(AE6:AE7)</f>
        <v>0.83074949830942346</v>
      </c>
      <c r="AF11" s="293">
        <f t="shared" si="59"/>
        <v>0.69620862619545332</v>
      </c>
      <c r="AG11" s="294">
        <f t="shared" si="59"/>
        <v>0.7276440611264805</v>
      </c>
      <c r="AH11" s="292">
        <f t="shared" si="59"/>
        <v>0.74434639793924939</v>
      </c>
      <c r="AI11" s="293">
        <f t="shared" si="59"/>
        <v>0.76085524919952185</v>
      </c>
      <c r="AJ11" s="294">
        <f t="shared" si="59"/>
        <v>0.85423476370554308</v>
      </c>
      <c r="AK11" s="300">
        <f>(AE11-AH11)*100</f>
        <v>8.6403100370174073</v>
      </c>
      <c r="AL11" s="301">
        <f>(AF11-AI11)*100</f>
        <v>-6.4646623004068537</v>
      </c>
      <c r="AM11" s="301">
        <f>(AG11-AJ11)*100</f>
        <v>-12.659070257906258</v>
      </c>
    </row>
    <row r="12" spans="2:39" ht="19.5" customHeight="1" x14ac:dyDescent="0.3">
      <c r="B12" s="648" t="s">
        <v>233</v>
      </c>
      <c r="C12" s="651"/>
      <c r="D12" s="271">
        <f t="shared" ref="D12:I12" si="60">D6+D7</f>
        <v>596005</v>
      </c>
      <c r="E12" s="272">
        <f t="shared" si="60"/>
        <v>523538</v>
      </c>
      <c r="F12" s="273">
        <f t="shared" si="60"/>
        <v>1170317</v>
      </c>
      <c r="G12" s="274">
        <f t="shared" si="60"/>
        <v>356236</v>
      </c>
      <c r="H12" s="275">
        <f t="shared" si="60"/>
        <v>638364</v>
      </c>
      <c r="I12" s="276">
        <f t="shared" si="60"/>
        <v>691616</v>
      </c>
      <c r="J12" s="149">
        <f t="shared" ref="J12" si="61">D12/G12-1</f>
        <v>0.673062239638891</v>
      </c>
      <c r="K12" s="212">
        <f t="shared" ref="K12" si="62">E12/H12-1</f>
        <v>-0.17987543157195585</v>
      </c>
      <c r="L12" s="213">
        <f t="shared" ref="L12" si="63">F12/I12-1</f>
        <v>0.69214853329014936</v>
      </c>
      <c r="M12" s="271">
        <f t="shared" ref="M12:R12" si="64">M6+M7</f>
        <v>586126</v>
      </c>
      <c r="N12" s="272">
        <f t="shared" si="64"/>
        <v>499051</v>
      </c>
      <c r="O12" s="273">
        <f t="shared" si="64"/>
        <v>1084511</v>
      </c>
      <c r="P12" s="275">
        <f t="shared" si="64"/>
        <v>336915</v>
      </c>
      <c r="Q12" s="275">
        <f t="shared" si="64"/>
        <v>638364</v>
      </c>
      <c r="R12" s="276">
        <f t="shared" si="64"/>
        <v>604781</v>
      </c>
      <c r="S12" s="149">
        <f t="shared" ref="S12" si="65">M12/P12-1</f>
        <v>0.73968508377483944</v>
      </c>
      <c r="T12" s="150">
        <f t="shared" ref="T12" si="66">N12/Q12-1</f>
        <v>-0.21823442424698136</v>
      </c>
      <c r="U12" s="150">
        <f t="shared" ref="U12" si="67">O12/R12-1</f>
        <v>0.79322928465014608</v>
      </c>
      <c r="V12" s="565">
        <f t="shared" ref="V12:AA12" si="68">V6+V7</f>
        <v>1069</v>
      </c>
      <c r="W12" s="566">
        <f t="shared" si="68"/>
        <v>868</v>
      </c>
      <c r="X12" s="567">
        <f t="shared" si="68"/>
        <v>1080</v>
      </c>
      <c r="Y12" s="568">
        <f t="shared" si="68"/>
        <v>1155</v>
      </c>
      <c r="Z12" s="569">
        <f t="shared" si="68"/>
        <v>817</v>
      </c>
      <c r="AA12" s="570">
        <f t="shared" si="68"/>
        <v>833</v>
      </c>
      <c r="AB12" s="149">
        <f t="shared" ref="AB12" si="69">V12/Y12-1</f>
        <v>-7.4458874458874447E-2</v>
      </c>
      <c r="AC12" s="212">
        <f t="shared" ref="AC12" si="70">W12/Z12-1</f>
        <v>6.2423500611995086E-2</v>
      </c>
      <c r="AD12" s="213">
        <f t="shared" ref="AD12" si="71">X12/AA12-1</f>
        <v>0.29651860744297709</v>
      </c>
      <c r="AE12" s="577">
        <f>V12/D12</f>
        <v>1.7936091140174999E-3</v>
      </c>
      <c r="AF12" s="578">
        <f t="shared" ref="AF12" si="72">W12/E12</f>
        <v>1.6579503302530092E-3</v>
      </c>
      <c r="AG12" s="579">
        <f t="shared" ref="AG12" si="73">X12/F12</f>
        <v>9.2282689220100195E-4</v>
      </c>
      <c r="AH12" s="580">
        <f>Y12/G12</f>
        <v>3.2422326772139818E-3</v>
      </c>
      <c r="AI12" s="581">
        <f t="shared" ref="AI12" si="74">Z12/H12</f>
        <v>1.2798340758564078E-3</v>
      </c>
      <c r="AJ12" s="582">
        <f t="shared" ref="AJ12" si="75">AA12/I12</f>
        <v>1.2044255771989081E-3</v>
      </c>
      <c r="AK12" s="149">
        <f t="shared" ref="AK12" si="76">AE12/AH12-1</f>
        <v>-0.44679815035399295</v>
      </c>
      <c r="AL12" s="212">
        <f t="shared" ref="AL12" si="77">AF12/AI12-1</f>
        <v>0.29544162132390706</v>
      </c>
      <c r="AM12" s="213">
        <f t="shared" ref="AM12" si="78">AG12/AJ12-1</f>
        <v>-0.23380330867168286</v>
      </c>
    </row>
    <row r="13" spans="2:39" ht="19.5" customHeight="1" x14ac:dyDescent="0.3">
      <c r="B13" s="645">
        <v>45962</v>
      </c>
      <c r="C13" s="280" t="s">
        <v>49</v>
      </c>
      <c r="D13" s="281">
        <v>3364648</v>
      </c>
      <c r="E13" s="282">
        <v>3571644</v>
      </c>
      <c r="F13" s="283">
        <v>3692877</v>
      </c>
      <c r="G13" s="281">
        <v>2942970</v>
      </c>
      <c r="H13" s="282">
        <v>6573703</v>
      </c>
      <c r="I13" s="283">
        <v>2936640</v>
      </c>
      <c r="J13" s="144">
        <f t="shared" ref="J13:J14" si="79">D13/G13-1</f>
        <v>0.14328314593760716</v>
      </c>
      <c r="K13" s="145">
        <f t="shared" ref="K13:K14" si="80">E13/H13-1</f>
        <v>-0.45667700533474054</v>
      </c>
      <c r="L13" s="207">
        <f t="shared" ref="L13:L14" si="81">F13/I13-1</f>
        <v>0.25751777541680299</v>
      </c>
      <c r="M13" s="281">
        <f t="shared" ref="M13" si="82">D13-D16-D17</f>
        <v>3227781</v>
      </c>
      <c r="N13" s="282">
        <f t="shared" ref="N13" si="83">E13-E16-E17</f>
        <v>2703940</v>
      </c>
      <c r="O13" s="283">
        <f t="shared" ref="O13" si="84">F13-F16-F17</f>
        <v>3252377</v>
      </c>
      <c r="P13" s="284">
        <f t="shared" ref="P13" si="85">G13-G16-G17</f>
        <v>2413187</v>
      </c>
      <c r="Q13" s="285">
        <f t="shared" ref="Q13" si="86">H13-H16-H17</f>
        <v>3377727</v>
      </c>
      <c r="R13" s="286">
        <f t="shared" ref="R13" si="87">I13-I16-I17</f>
        <v>2543872</v>
      </c>
      <c r="S13" s="144">
        <f t="shared" ref="S13:S14" si="88">M13/P13-1</f>
        <v>0.33755941831279546</v>
      </c>
      <c r="T13" s="145">
        <f t="shared" ref="T13:T14" si="89">N13/Q13-1</f>
        <v>-0.19947941322670537</v>
      </c>
      <c r="U13" s="145">
        <f t="shared" ref="U13:U14" si="90">O13/R13-1</f>
        <v>0.27851440638522695</v>
      </c>
      <c r="V13" s="559">
        <v>3128</v>
      </c>
      <c r="W13" s="560">
        <v>3052</v>
      </c>
      <c r="X13" s="561">
        <v>2182</v>
      </c>
      <c r="Y13" s="559">
        <v>5395</v>
      </c>
      <c r="Z13" s="560">
        <v>3611</v>
      </c>
      <c r="AA13" s="561">
        <v>2262</v>
      </c>
      <c r="AB13" s="144">
        <f t="shared" ref="AB13:AB14" si="91">V13/Y13-1</f>
        <v>-0.42020389249304912</v>
      </c>
      <c r="AC13" s="145">
        <f t="shared" ref="AC13:AC14" si="92">W13/Z13-1</f>
        <v>-0.1548047632234838</v>
      </c>
      <c r="AD13" s="207">
        <f t="shared" ref="AD13:AD14" si="93">X13/AA13-1</f>
        <v>-3.536693191865603E-2</v>
      </c>
      <c r="AE13" s="571">
        <f>V13/D13</f>
        <v>9.296663425119061E-4</v>
      </c>
      <c r="AF13" s="572">
        <f t="shared" ref="AF13:AF14" si="94">W13/E13</f>
        <v>8.5450845604993103E-4</v>
      </c>
      <c r="AG13" s="573">
        <f t="shared" ref="AG13:AG14" si="95">X13/F13</f>
        <v>5.9086722899246303E-4</v>
      </c>
      <c r="AH13" s="571">
        <f>Y13/G13</f>
        <v>1.8331821255398457E-3</v>
      </c>
      <c r="AI13" s="572">
        <f t="shared" ref="AI13:AI14" si="96">Z13/H13</f>
        <v>5.4930987907424471E-4</v>
      </c>
      <c r="AJ13" s="573">
        <f t="shared" ref="AJ13:AJ14" si="97">AA13/I13</f>
        <v>7.7026806145799283E-4</v>
      </c>
      <c r="AK13" s="144">
        <f t="shared" ref="AK13:AK14" si="98">AE13/AH13-1</f>
        <v>-0.49286744095972856</v>
      </c>
      <c r="AL13" s="145">
        <f t="shared" ref="AL13:AL14" si="99">AF13/AI13-1</f>
        <v>0.55560365579086124</v>
      </c>
      <c r="AM13" s="207">
        <f t="shared" ref="AM13:AM14" si="100">AG13/AJ13-1</f>
        <v>-0.23290701178230477</v>
      </c>
    </row>
    <row r="14" spans="2:39" ht="19.5" customHeight="1" x14ac:dyDescent="0.3">
      <c r="B14" s="646"/>
      <c r="C14" s="287" t="s">
        <v>50</v>
      </c>
      <c r="D14" s="266">
        <v>1550643</v>
      </c>
      <c r="E14" s="267">
        <v>1777524</v>
      </c>
      <c r="F14" s="268">
        <v>2567304</v>
      </c>
      <c r="G14" s="266">
        <v>1284418</v>
      </c>
      <c r="H14" s="267">
        <v>1497395</v>
      </c>
      <c r="I14" s="268">
        <v>1117333</v>
      </c>
      <c r="J14" s="288">
        <f t="shared" si="79"/>
        <v>0.20727286599845218</v>
      </c>
      <c r="K14" s="289">
        <f t="shared" si="80"/>
        <v>0.18707755802577153</v>
      </c>
      <c r="L14" s="290">
        <f t="shared" si="81"/>
        <v>1.2977071293875686</v>
      </c>
      <c r="M14" s="266">
        <f t="shared" ref="M14" si="101">D14</f>
        <v>1550643</v>
      </c>
      <c r="N14" s="267">
        <f t="shared" ref="N14" si="102">E14</f>
        <v>1777524</v>
      </c>
      <c r="O14" s="268">
        <f t="shared" ref="O14" si="103">F14</f>
        <v>2567304</v>
      </c>
      <c r="P14" s="269">
        <f t="shared" ref="P14" si="104">G14</f>
        <v>1284418</v>
      </c>
      <c r="Q14" s="269">
        <f t="shared" ref="Q14" si="105">H14</f>
        <v>1497395</v>
      </c>
      <c r="R14" s="270">
        <f t="shared" ref="R14" si="106">I14</f>
        <v>1117333</v>
      </c>
      <c r="S14" s="288">
        <f t="shared" si="88"/>
        <v>0.20727286599845218</v>
      </c>
      <c r="T14" s="289">
        <f t="shared" si="89"/>
        <v>0.18707755802577153</v>
      </c>
      <c r="U14" s="289">
        <f t="shared" si="90"/>
        <v>1.2977071293875686</v>
      </c>
      <c r="V14" s="562">
        <v>5861</v>
      </c>
      <c r="W14" s="563">
        <v>5331</v>
      </c>
      <c r="X14" s="564">
        <v>5280</v>
      </c>
      <c r="Y14" s="562">
        <v>8349</v>
      </c>
      <c r="Z14" s="563">
        <v>5806</v>
      </c>
      <c r="AA14" s="564">
        <v>4497</v>
      </c>
      <c r="AB14" s="288">
        <f t="shared" si="91"/>
        <v>-0.29799976045035337</v>
      </c>
      <c r="AC14" s="289">
        <f t="shared" si="92"/>
        <v>-8.18119187047881E-2</v>
      </c>
      <c r="AD14" s="290">
        <f t="shared" si="93"/>
        <v>0.1741160773849233</v>
      </c>
      <c r="AE14" s="574">
        <f>V14/D14</f>
        <v>3.7797223474390945E-3</v>
      </c>
      <c r="AF14" s="575">
        <f t="shared" si="94"/>
        <v>2.999115623755291E-3</v>
      </c>
      <c r="AG14" s="576">
        <f t="shared" si="95"/>
        <v>2.0566321713361567E-3</v>
      </c>
      <c r="AH14" s="574">
        <f>Y14/G14</f>
        <v>6.5002203332559958E-3</v>
      </c>
      <c r="AI14" s="575">
        <f t="shared" si="96"/>
        <v>3.8774004187271897E-3</v>
      </c>
      <c r="AJ14" s="576">
        <f t="shared" si="97"/>
        <v>4.0247625372203276E-3</v>
      </c>
      <c r="AK14" s="288">
        <f t="shared" si="98"/>
        <v>-0.41852396477985065</v>
      </c>
      <c r="AL14" s="289">
        <f t="shared" si="99"/>
        <v>-0.22651382372837514</v>
      </c>
      <c r="AM14" s="290">
        <f t="shared" si="100"/>
        <v>-0.48900533824871206</v>
      </c>
    </row>
    <row r="15" spans="2:39" ht="19.5" customHeight="1" x14ac:dyDescent="0.3">
      <c r="B15" s="646"/>
      <c r="C15" s="291" t="s">
        <v>347</v>
      </c>
      <c r="D15" s="292">
        <f t="shared" ref="D15:I15" si="107">D13/SUM(D13:D14)</f>
        <v>0.68452671469502013</v>
      </c>
      <c r="E15" s="293">
        <f t="shared" si="107"/>
        <v>0.66770084618766878</v>
      </c>
      <c r="F15" s="294">
        <f t="shared" si="107"/>
        <v>0.5898993974774851</v>
      </c>
      <c r="G15" s="292">
        <f t="shared" si="107"/>
        <v>0.69616746794947615</v>
      </c>
      <c r="H15" s="293">
        <f t="shared" si="107"/>
        <v>0.81447443705924527</v>
      </c>
      <c r="I15" s="294">
        <f t="shared" si="107"/>
        <v>0.72438568288441985</v>
      </c>
      <c r="J15" s="295">
        <f>(D15-G15)*100</f>
        <v>-1.1640753254456015</v>
      </c>
      <c r="K15" s="296">
        <f>(E15-H15)*100</f>
        <v>-14.677359087157649</v>
      </c>
      <c r="L15" s="296">
        <f>(F15-I15)*100</f>
        <v>-13.448628540693475</v>
      </c>
      <c r="M15" s="292">
        <f t="shared" ref="M15:R15" si="108">M13/SUM(M13:M14)</f>
        <v>0.67549070572222136</v>
      </c>
      <c r="N15" s="293">
        <f t="shared" si="108"/>
        <v>0.60336086600271699</v>
      </c>
      <c r="O15" s="294">
        <f t="shared" si="108"/>
        <v>0.5588582948103169</v>
      </c>
      <c r="P15" s="293">
        <f t="shared" si="108"/>
        <v>0.65263515167250152</v>
      </c>
      <c r="Q15" s="293">
        <f t="shared" si="108"/>
        <v>0.6928497379142512</v>
      </c>
      <c r="R15" s="294">
        <f t="shared" si="108"/>
        <v>0.69481823607254989</v>
      </c>
      <c r="S15" s="295">
        <f t="shared" ref="S15:S18" si="109">(M15-P15)*100</f>
        <v>2.285555404971984</v>
      </c>
      <c r="T15" s="296">
        <f t="shared" ref="T15:T18" si="110">(N15-Q15)*100</f>
        <v>-8.9488871911534211</v>
      </c>
      <c r="U15" s="296">
        <f t="shared" ref="U15:U18" si="111">(O15-R15)*100</f>
        <v>-13.5959941262233</v>
      </c>
      <c r="V15" s="292">
        <f t="shared" ref="V15:AA15" si="112">V13/SUM(V13:V14)</f>
        <v>0.34798086550228058</v>
      </c>
      <c r="W15" s="293">
        <f t="shared" si="112"/>
        <v>0.36407014195395443</v>
      </c>
      <c r="X15" s="294">
        <f t="shared" si="112"/>
        <v>0.29241490217099975</v>
      </c>
      <c r="Y15" s="292">
        <f t="shared" si="112"/>
        <v>0.39253492433061699</v>
      </c>
      <c r="Z15" s="293">
        <f t="shared" si="112"/>
        <v>0.38345545290432198</v>
      </c>
      <c r="AA15" s="294">
        <f t="shared" si="112"/>
        <v>0.33466489125610299</v>
      </c>
      <c r="AB15" s="295">
        <f>(V15-Y15)*100</f>
        <v>-4.4554058828336407</v>
      </c>
      <c r="AC15" s="296">
        <f>(W15-Z15)*100</f>
        <v>-1.9385310950367551</v>
      </c>
      <c r="AD15" s="296">
        <f>(X15-AA15)*100</f>
        <v>-4.2249989085103241</v>
      </c>
      <c r="AE15" s="292">
        <f t="shared" ref="AE15:AJ15" si="113">AE13/SUM(AE13:AE14)</f>
        <v>0.19740701048856912</v>
      </c>
      <c r="AF15" s="293">
        <f t="shared" si="113"/>
        <v>0.22174151872466016</v>
      </c>
      <c r="AG15" s="294">
        <f t="shared" si="113"/>
        <v>0.22317936272964664</v>
      </c>
      <c r="AH15" s="292">
        <f t="shared" si="113"/>
        <v>0.21998003031822089</v>
      </c>
      <c r="AI15" s="293">
        <f t="shared" si="113"/>
        <v>0.12408986405707743</v>
      </c>
      <c r="AJ15" s="294">
        <f t="shared" si="113"/>
        <v>0.16063882088058123</v>
      </c>
      <c r="AK15" s="295">
        <f>(AE15-AH15)*100</f>
        <v>-2.2573019829651764</v>
      </c>
      <c r="AL15" s="296">
        <f>(AF15-AI15)*100</f>
        <v>9.7651654667582726</v>
      </c>
      <c r="AM15" s="296">
        <f>(AG15-AJ15)*100</f>
        <v>6.2540541849065407</v>
      </c>
    </row>
    <row r="16" spans="2:39" ht="19.5" customHeight="1" x14ac:dyDescent="0.3">
      <c r="B16" s="646"/>
      <c r="C16" s="297" t="s">
        <v>633</v>
      </c>
      <c r="D16" s="369">
        <v>0</v>
      </c>
      <c r="E16" s="370">
        <v>588797</v>
      </c>
      <c r="F16" s="371">
        <v>0</v>
      </c>
      <c r="G16" s="369">
        <v>0</v>
      </c>
      <c r="H16" s="370">
        <v>2808291</v>
      </c>
      <c r="I16" s="371">
        <v>0</v>
      </c>
      <c r="J16" s="305" t="str">
        <f t="shared" ref="J16:J17" si="114">IFERROR(D16/G16-1,"-")</f>
        <v>-</v>
      </c>
      <c r="K16" s="306">
        <f t="shared" ref="K16:K17" si="115">IFERROR(E16/H16-1,"-")</f>
        <v>-0.79033618667011363</v>
      </c>
      <c r="L16" s="307" t="str">
        <f t="shared" ref="L16:L17" si="116">IFERROR(F16/I16-1,"-")</f>
        <v>-</v>
      </c>
      <c r="M16" s="302">
        <f t="shared" ref="M16" si="117">D16/D19</f>
        <v>0</v>
      </c>
      <c r="N16" s="303">
        <f t="shared" ref="N16" si="118">E16/E19</f>
        <v>0.11007263185601948</v>
      </c>
      <c r="O16" s="304">
        <f t="shared" ref="O16" si="119">F16/F19</f>
        <v>0</v>
      </c>
      <c r="P16" s="302">
        <f t="shared" ref="P16" si="120">G16/G19</f>
        <v>0</v>
      </c>
      <c r="Q16" s="303">
        <f t="shared" ref="Q16" si="121">H16/H19</f>
        <v>0.34794410871978015</v>
      </c>
      <c r="R16" s="304">
        <f t="shared" ref="R16" si="122">I16/I19</f>
        <v>0</v>
      </c>
      <c r="S16" s="311">
        <f t="shared" si="109"/>
        <v>0</v>
      </c>
      <c r="T16" s="312">
        <f t="shared" si="110"/>
        <v>-23.787147686376066</v>
      </c>
      <c r="U16" s="312">
        <f t="shared" si="111"/>
        <v>0</v>
      </c>
      <c r="V16" s="369"/>
      <c r="W16" s="370"/>
      <c r="X16" s="371"/>
      <c r="Y16" s="369"/>
      <c r="Z16" s="370"/>
      <c r="AA16" s="371"/>
      <c r="AB16" s="305" t="str">
        <f t="shared" ref="AB16:AB17" si="123">IFERROR(V16/Y16-1,"-")</f>
        <v>-</v>
      </c>
      <c r="AC16" s="306" t="str">
        <f t="shared" ref="AC16:AC17" si="124">IFERROR(W16/Z16-1,"-")</f>
        <v>-</v>
      </c>
      <c r="AD16" s="307" t="str">
        <f t="shared" ref="AD16:AD17" si="125">IFERROR(X16/AA16-1,"-")</f>
        <v>-</v>
      </c>
      <c r="AE16" s="369"/>
      <c r="AF16" s="370"/>
      <c r="AG16" s="371"/>
      <c r="AH16" s="369"/>
      <c r="AI16" s="370"/>
      <c r="AJ16" s="371"/>
      <c r="AK16" s="305" t="str">
        <f t="shared" ref="AK16:AK17" si="126">IFERROR(AE16/AH16-1,"-")</f>
        <v>-</v>
      </c>
      <c r="AL16" s="306" t="str">
        <f t="shared" ref="AL16:AL17" si="127">IFERROR(AF16/AI16-1,"-")</f>
        <v>-</v>
      </c>
      <c r="AM16" s="307" t="str">
        <f t="shared" ref="AM16:AM17" si="128">IFERROR(AG16/AJ16-1,"-")</f>
        <v>-</v>
      </c>
    </row>
    <row r="17" spans="2:39" ht="29.5" customHeight="1" x14ac:dyDescent="0.3">
      <c r="B17" s="646"/>
      <c r="C17" s="297" t="s">
        <v>634</v>
      </c>
      <c r="D17" s="369">
        <v>136867</v>
      </c>
      <c r="E17" s="370">
        <v>278907</v>
      </c>
      <c r="F17" s="371">
        <v>440500</v>
      </c>
      <c r="G17" s="369">
        <v>529783</v>
      </c>
      <c r="H17" s="370">
        <v>387685</v>
      </c>
      <c r="I17" s="371">
        <v>392768</v>
      </c>
      <c r="J17" s="305">
        <f t="shared" si="114"/>
        <v>-0.74165460197854594</v>
      </c>
      <c r="K17" s="306">
        <f t="shared" si="115"/>
        <v>-0.28058346337877405</v>
      </c>
      <c r="L17" s="307">
        <f t="shared" si="116"/>
        <v>0.12152721199283034</v>
      </c>
      <c r="M17" s="302">
        <f t="shared" ref="M17" si="129">D17/D19</f>
        <v>2.7845146909918458E-2</v>
      </c>
      <c r="N17" s="303">
        <f t="shared" ref="N17" si="130">E17/E19</f>
        <v>5.214025807377895E-2</v>
      </c>
      <c r="O17" s="304">
        <f t="shared" ref="O17" si="131">F17/F19</f>
        <v>7.0365377614481112E-2</v>
      </c>
      <c r="P17" s="302">
        <f t="shared" ref="P17" si="132">G17/G19</f>
        <v>0.12532159338106652</v>
      </c>
      <c r="Q17" s="303">
        <f t="shared" ref="Q17" si="133">H17/H19</f>
        <v>4.803373716934177E-2</v>
      </c>
      <c r="R17" s="304">
        <f t="shared" ref="R17" si="134">I17/I19</f>
        <v>9.6884710381642897E-2</v>
      </c>
      <c r="S17" s="311">
        <f t="shared" si="109"/>
        <v>-9.7476446471148055</v>
      </c>
      <c r="T17" s="312">
        <f t="shared" si="110"/>
        <v>0.41065209044371803</v>
      </c>
      <c r="U17" s="312">
        <f t="shared" si="111"/>
        <v>-2.6519332767161785</v>
      </c>
      <c r="V17" s="369"/>
      <c r="W17" s="370"/>
      <c r="X17" s="371"/>
      <c r="Y17" s="369"/>
      <c r="Z17" s="370"/>
      <c r="AA17" s="371"/>
      <c r="AB17" s="305" t="str">
        <f t="shared" si="123"/>
        <v>-</v>
      </c>
      <c r="AC17" s="306" t="str">
        <f t="shared" si="124"/>
        <v>-</v>
      </c>
      <c r="AD17" s="307" t="str">
        <f t="shared" si="125"/>
        <v>-</v>
      </c>
      <c r="AE17" s="369"/>
      <c r="AF17" s="370"/>
      <c r="AG17" s="371"/>
      <c r="AH17" s="369"/>
      <c r="AI17" s="370"/>
      <c r="AJ17" s="371"/>
      <c r="AK17" s="305" t="str">
        <f t="shared" si="126"/>
        <v>-</v>
      </c>
      <c r="AL17" s="306" t="str">
        <f t="shared" si="127"/>
        <v>-</v>
      </c>
      <c r="AM17" s="307" t="str">
        <f t="shared" si="128"/>
        <v>-</v>
      </c>
    </row>
    <row r="18" spans="2:39" ht="19.5" customHeight="1" x14ac:dyDescent="0.3">
      <c r="B18" s="647"/>
      <c r="C18" s="291" t="s">
        <v>349</v>
      </c>
      <c r="D18" s="292">
        <f t="shared" ref="D18:I18" si="135">D14/SUM(D13:D14)</f>
        <v>0.31547328530497992</v>
      </c>
      <c r="E18" s="293">
        <f t="shared" si="135"/>
        <v>0.33229915381233122</v>
      </c>
      <c r="F18" s="294">
        <f t="shared" si="135"/>
        <v>0.4101006025225149</v>
      </c>
      <c r="G18" s="292">
        <f t="shared" si="135"/>
        <v>0.30383253205052385</v>
      </c>
      <c r="H18" s="293">
        <f t="shared" si="135"/>
        <v>0.18552556294075478</v>
      </c>
      <c r="I18" s="294">
        <f t="shared" si="135"/>
        <v>0.27561431711558021</v>
      </c>
      <c r="J18" s="300">
        <f>(D18-G18)*100</f>
        <v>1.1640753254456071</v>
      </c>
      <c r="K18" s="301">
        <f>(E18-H18)*100</f>
        <v>14.677359087157644</v>
      </c>
      <c r="L18" s="301">
        <f>(F18-I18)*100</f>
        <v>13.44862854069347</v>
      </c>
      <c r="M18" s="292">
        <f t="shared" ref="M18:R18" si="136">M14/SUM(M13:M14)</f>
        <v>0.32450929427777864</v>
      </c>
      <c r="N18" s="293">
        <f t="shared" si="136"/>
        <v>0.39663913399728301</v>
      </c>
      <c r="O18" s="294">
        <f t="shared" si="136"/>
        <v>0.4411417051896831</v>
      </c>
      <c r="P18" s="293">
        <f t="shared" si="136"/>
        <v>0.34736484832749848</v>
      </c>
      <c r="Q18" s="293">
        <f t="shared" si="136"/>
        <v>0.3071502620857488</v>
      </c>
      <c r="R18" s="294">
        <f t="shared" si="136"/>
        <v>0.30518176392745011</v>
      </c>
      <c r="S18" s="300">
        <f t="shared" si="109"/>
        <v>-2.285555404971984</v>
      </c>
      <c r="T18" s="301">
        <f t="shared" si="110"/>
        <v>8.9488871911534211</v>
      </c>
      <c r="U18" s="301">
        <f t="shared" si="111"/>
        <v>13.5959941262233</v>
      </c>
      <c r="V18" s="292">
        <f t="shared" ref="V18:AA18" si="137">V14/SUM(V13:V14)</f>
        <v>0.65201913449771942</v>
      </c>
      <c r="W18" s="293">
        <f t="shared" si="137"/>
        <v>0.63592985804604552</v>
      </c>
      <c r="X18" s="294">
        <f t="shared" si="137"/>
        <v>0.70758509782900025</v>
      </c>
      <c r="Y18" s="292">
        <f t="shared" si="137"/>
        <v>0.60746507566938301</v>
      </c>
      <c r="Z18" s="293">
        <f t="shared" si="137"/>
        <v>0.61654454709567807</v>
      </c>
      <c r="AA18" s="294">
        <f t="shared" si="137"/>
        <v>0.66533510874389701</v>
      </c>
      <c r="AB18" s="300">
        <f>(V18-Y18)*100</f>
        <v>4.4554058828336407</v>
      </c>
      <c r="AC18" s="301">
        <f>(W18-Z18)*100</f>
        <v>1.938531095036744</v>
      </c>
      <c r="AD18" s="301">
        <f>(X18-AA18)*100</f>
        <v>4.2249989085103241</v>
      </c>
      <c r="AE18" s="292">
        <f t="shared" ref="AE18:AJ18" si="138">AE14/SUM(AE13:AE14)</f>
        <v>0.80259298951143077</v>
      </c>
      <c r="AF18" s="293">
        <f t="shared" si="138"/>
        <v>0.77825848127533981</v>
      </c>
      <c r="AG18" s="294">
        <f t="shared" si="138"/>
        <v>0.77682063727035333</v>
      </c>
      <c r="AH18" s="292">
        <f t="shared" si="138"/>
        <v>0.78001996968177911</v>
      </c>
      <c r="AI18" s="293">
        <f t="shared" si="138"/>
        <v>0.87591013594292266</v>
      </c>
      <c r="AJ18" s="294">
        <f t="shared" si="138"/>
        <v>0.83936117911941888</v>
      </c>
      <c r="AK18" s="300">
        <f>(AE18-AH18)*100</f>
        <v>2.2573019829651653</v>
      </c>
      <c r="AL18" s="301">
        <f>(AF18-AI18)*100</f>
        <v>-9.765165466758285</v>
      </c>
      <c r="AM18" s="301">
        <f>(AG18-AJ18)*100</f>
        <v>-6.2540541849065541</v>
      </c>
    </row>
    <row r="19" spans="2:39" ht="19.5" customHeight="1" x14ac:dyDescent="0.3">
      <c r="B19" s="648" t="s">
        <v>233</v>
      </c>
      <c r="C19" s="651"/>
      <c r="D19" s="271">
        <f t="shared" ref="D19:I19" si="139">D13+D14</f>
        <v>4915291</v>
      </c>
      <c r="E19" s="272">
        <f t="shared" si="139"/>
        <v>5349168</v>
      </c>
      <c r="F19" s="273">
        <f t="shared" si="139"/>
        <v>6260181</v>
      </c>
      <c r="G19" s="274">
        <f t="shared" si="139"/>
        <v>4227388</v>
      </c>
      <c r="H19" s="275">
        <f t="shared" si="139"/>
        <v>8071098</v>
      </c>
      <c r="I19" s="276">
        <f t="shared" si="139"/>
        <v>4053973</v>
      </c>
      <c r="J19" s="149">
        <f t="shared" ref="J19" si="140">D19/G19-1</f>
        <v>0.16272530460889789</v>
      </c>
      <c r="K19" s="212">
        <f t="shared" ref="K19" si="141">E19/H19-1</f>
        <v>-0.3372440775716018</v>
      </c>
      <c r="L19" s="213">
        <f t="shared" ref="L19" si="142">F19/I19-1</f>
        <v>0.54420885388235196</v>
      </c>
      <c r="M19" s="271">
        <f t="shared" ref="M19:R19" si="143">M13+M14</f>
        <v>4778424</v>
      </c>
      <c r="N19" s="272">
        <f t="shared" si="143"/>
        <v>4481464</v>
      </c>
      <c r="O19" s="273">
        <f t="shared" si="143"/>
        <v>5819681</v>
      </c>
      <c r="P19" s="275">
        <f t="shared" si="143"/>
        <v>3697605</v>
      </c>
      <c r="Q19" s="275">
        <f t="shared" si="143"/>
        <v>4875122</v>
      </c>
      <c r="R19" s="276">
        <f t="shared" si="143"/>
        <v>3661205</v>
      </c>
      <c r="S19" s="149">
        <f t="shared" ref="S19" si="144">M19/P19-1</f>
        <v>0.29230244982901099</v>
      </c>
      <c r="T19" s="150">
        <f t="shared" ref="T19" si="145">N19/Q19-1</f>
        <v>-8.0748338195433922E-2</v>
      </c>
      <c r="U19" s="150">
        <f t="shared" ref="U19" si="146">O19/R19-1</f>
        <v>0.58955343937310256</v>
      </c>
      <c r="V19" s="565">
        <f t="shared" ref="V19:AA19" si="147">V13+V14</f>
        <v>8989</v>
      </c>
      <c r="W19" s="566">
        <f t="shared" si="147"/>
        <v>8383</v>
      </c>
      <c r="X19" s="567">
        <f t="shared" si="147"/>
        <v>7462</v>
      </c>
      <c r="Y19" s="568">
        <f t="shared" si="147"/>
        <v>13744</v>
      </c>
      <c r="Z19" s="569">
        <f t="shared" si="147"/>
        <v>9417</v>
      </c>
      <c r="AA19" s="570">
        <f t="shared" si="147"/>
        <v>6759</v>
      </c>
      <c r="AB19" s="149">
        <f t="shared" ref="AB19" si="148">V19/Y19-1</f>
        <v>-0.3459691501746216</v>
      </c>
      <c r="AC19" s="212">
        <f t="shared" ref="AC19" si="149">W19/Z19-1</f>
        <v>-0.10980142295847939</v>
      </c>
      <c r="AD19" s="213">
        <f t="shared" ref="AD19" si="150">X19/AA19-1</f>
        <v>0.10400946885633977</v>
      </c>
      <c r="AE19" s="577">
        <f>V19/D19</f>
        <v>1.8287828736894723E-3</v>
      </c>
      <c r="AF19" s="578">
        <f t="shared" ref="AF19" si="151">W19/E19</f>
        <v>1.5671596031382824E-3</v>
      </c>
      <c r="AG19" s="579">
        <f t="shared" ref="AG19" si="152">X19/F19</f>
        <v>1.191978315003991E-3</v>
      </c>
      <c r="AH19" s="580">
        <f>Y19/G19</f>
        <v>3.2511801613667826E-3</v>
      </c>
      <c r="AI19" s="581">
        <f t="shared" ref="AI19" si="153">Z19/H19</f>
        <v>1.1667557499611576E-3</v>
      </c>
      <c r="AJ19" s="582">
        <f t="shared" ref="AJ19" si="154">AA19/I19</f>
        <v>1.6672533339516567E-3</v>
      </c>
      <c r="AK19" s="149">
        <f t="shared" ref="AK19" si="155">AE19/AH19-1</f>
        <v>-0.43750183535794596</v>
      </c>
      <c r="AL19" s="212">
        <f t="shared" ref="AL19" si="156">AF19/AI19-1</f>
        <v>0.34317709871192381</v>
      </c>
      <c r="AM19" s="213">
        <f t="shared" ref="AM19" si="157">AG19/AJ19-1</f>
        <v>-0.28506466849953027</v>
      </c>
    </row>
    <row r="20" spans="2:39" ht="19.5" customHeight="1" x14ac:dyDescent="0.3">
      <c r="B20" s="645" t="s">
        <v>814</v>
      </c>
      <c r="C20" s="280" t="s">
        <v>49</v>
      </c>
      <c r="D20" s="281">
        <v>1274981</v>
      </c>
      <c r="E20" s="282">
        <v>1250400</v>
      </c>
      <c r="F20" s="283">
        <v>1484822</v>
      </c>
      <c r="G20" s="281">
        <v>558839</v>
      </c>
      <c r="H20" s="282">
        <v>499749</v>
      </c>
      <c r="I20" s="283">
        <v>443874</v>
      </c>
      <c r="J20" s="144">
        <f t="shared" ref="J20:J21" si="158">D20/G20-1</f>
        <v>1.2814817863463359</v>
      </c>
      <c r="K20" s="145">
        <f t="shared" ref="K20:K21" si="159">E20/H20-1</f>
        <v>1.5020560321281282</v>
      </c>
      <c r="L20" s="207">
        <f t="shared" ref="L20:L21" si="160">F20/I20-1</f>
        <v>2.3451429910289856</v>
      </c>
      <c r="M20" s="281">
        <f t="shared" ref="M20" si="161">D20-D23-D24</f>
        <v>1233143</v>
      </c>
      <c r="N20" s="282">
        <f t="shared" ref="N20" si="162">E20-E23-E24</f>
        <v>944591</v>
      </c>
      <c r="O20" s="283">
        <f t="shared" ref="O20" si="163">F20-F23-F24</f>
        <v>1350954</v>
      </c>
      <c r="P20" s="284">
        <f t="shared" ref="P20" si="164">G20-G23-G24</f>
        <v>504031</v>
      </c>
      <c r="Q20" s="285">
        <f t="shared" ref="Q20" si="165">H20-H23-H24</f>
        <v>390988</v>
      </c>
      <c r="R20" s="286">
        <f t="shared" ref="R20" si="166">I20-I23-I24</f>
        <v>338362</v>
      </c>
      <c r="S20" s="144">
        <f t="shared" ref="S20:S21" si="167">M20/P20-1</f>
        <v>1.4465618186182994</v>
      </c>
      <c r="T20" s="145">
        <f t="shared" ref="T20:T21" si="168">N20/Q20-1</f>
        <v>1.415907905101947</v>
      </c>
      <c r="U20" s="145">
        <f t="shared" ref="U20:U21" si="169">O20/R20-1</f>
        <v>2.9926291959498998</v>
      </c>
      <c r="V20" s="559">
        <v>747</v>
      </c>
      <c r="W20" s="560">
        <v>366</v>
      </c>
      <c r="X20" s="561">
        <v>231</v>
      </c>
      <c r="Y20" s="559">
        <f>2560+71</f>
        <v>2631</v>
      </c>
      <c r="Z20" s="560">
        <v>528</v>
      </c>
      <c r="AA20" s="561">
        <v>279</v>
      </c>
      <c r="AB20" s="144">
        <f t="shared" ref="AB20:AB21" si="170">V20/Y20-1</f>
        <v>-0.7160775370581528</v>
      </c>
      <c r="AC20" s="145">
        <f t="shared" ref="AC20:AC21" si="171">W20/Z20-1</f>
        <v>-0.30681818181818177</v>
      </c>
      <c r="AD20" s="207">
        <f t="shared" ref="AD20:AD21" si="172">X20/AA20-1</f>
        <v>-0.17204301075268813</v>
      </c>
      <c r="AE20" s="571">
        <f>V20/D20</f>
        <v>5.8589108386713216E-4</v>
      </c>
      <c r="AF20" s="572">
        <f t="shared" ref="AF20:AG20" si="173">W20/E20</f>
        <v>2.9270633397312861E-4</v>
      </c>
      <c r="AG20" s="573">
        <f t="shared" si="173"/>
        <v>1.5557420350722175E-4</v>
      </c>
      <c r="AH20" s="571">
        <f>Y20/G20</f>
        <v>4.7079749265888744E-3</v>
      </c>
      <c r="AI20" s="572">
        <f t="shared" ref="AI20:AI21" si="174">Z20/H20</f>
        <v>1.0565303782498815E-3</v>
      </c>
      <c r="AJ20" s="573">
        <f t="shared" ref="AJ20:AJ21" si="175">AA20/I20</f>
        <v>6.2855675259195182E-4</v>
      </c>
      <c r="AK20" s="144">
        <f t="shared" ref="AK20:AK21" si="176">AE20/AH20-1</f>
        <v>-0.87555348254761522</v>
      </c>
      <c r="AL20" s="145">
        <f t="shared" ref="AL20:AL21" si="177">AF20/AI20-1</f>
        <v>-0.72295511799860401</v>
      </c>
      <c r="AM20" s="207">
        <f t="shared" ref="AM20:AM21" si="178">AG20/AJ20-1</f>
        <v>-0.75248980642449981</v>
      </c>
    </row>
    <row r="21" spans="2:39" ht="19.5" customHeight="1" x14ac:dyDescent="0.3">
      <c r="B21" s="646"/>
      <c r="C21" s="287" t="s">
        <v>50</v>
      </c>
      <c r="D21" s="266">
        <v>543636</v>
      </c>
      <c r="E21" s="267">
        <v>614402</v>
      </c>
      <c r="F21" s="268">
        <v>1106047</v>
      </c>
      <c r="G21" s="266">
        <v>353172</v>
      </c>
      <c r="H21" s="267">
        <v>231829</v>
      </c>
      <c r="I21" s="268">
        <v>152065</v>
      </c>
      <c r="J21" s="288">
        <f t="shared" si="158"/>
        <v>0.53929530087322886</v>
      </c>
      <c r="K21" s="289">
        <f t="shared" si="159"/>
        <v>1.650237890859211</v>
      </c>
      <c r="L21" s="290">
        <f t="shared" si="160"/>
        <v>6.2735146154604937</v>
      </c>
      <c r="M21" s="266">
        <f t="shared" ref="M21" si="179">D21</f>
        <v>543636</v>
      </c>
      <c r="N21" s="267">
        <f t="shared" ref="N21" si="180">E21</f>
        <v>614402</v>
      </c>
      <c r="O21" s="268">
        <f t="shared" ref="O21" si="181">F21</f>
        <v>1106047</v>
      </c>
      <c r="P21" s="269">
        <f t="shared" ref="P21" si="182">G21</f>
        <v>353172</v>
      </c>
      <c r="Q21" s="269">
        <f t="shared" ref="Q21" si="183">H21</f>
        <v>231829</v>
      </c>
      <c r="R21" s="270">
        <f t="shared" ref="R21" si="184">I21</f>
        <v>152065</v>
      </c>
      <c r="S21" s="288">
        <f t="shared" si="167"/>
        <v>0.53929530087322886</v>
      </c>
      <c r="T21" s="289">
        <f t="shared" si="168"/>
        <v>1.650237890859211</v>
      </c>
      <c r="U21" s="289">
        <f t="shared" si="169"/>
        <v>6.2735146154604937</v>
      </c>
      <c r="V21" s="562">
        <v>2204</v>
      </c>
      <c r="W21" s="563">
        <v>923</v>
      </c>
      <c r="X21" s="564">
        <v>763</v>
      </c>
      <c r="Y21" s="562">
        <f>4010-71</f>
        <v>3939</v>
      </c>
      <c r="Z21" s="563">
        <v>928</v>
      </c>
      <c r="AA21" s="564">
        <v>591</v>
      </c>
      <c r="AB21" s="288">
        <f t="shared" si="170"/>
        <v>-0.44046712363544049</v>
      </c>
      <c r="AC21" s="289">
        <f t="shared" si="171"/>
        <v>-5.3879310344827624E-3</v>
      </c>
      <c r="AD21" s="290">
        <f t="shared" si="172"/>
        <v>0.29103214890016926</v>
      </c>
      <c r="AE21" s="574">
        <f>V21/D21</f>
        <v>4.0541833138349921E-3</v>
      </c>
      <c r="AF21" s="575">
        <f t="shared" ref="AF21" si="185">W21/E21</f>
        <v>1.5022737556192852E-3</v>
      </c>
      <c r="AG21" s="576">
        <f t="shared" ref="AG21" si="186">X21/F21</f>
        <v>6.8984410246580841E-4</v>
      </c>
      <c r="AH21" s="574">
        <f>Y21/G21</f>
        <v>1.1153205803404573E-2</v>
      </c>
      <c r="AI21" s="575">
        <f t="shared" si="174"/>
        <v>4.0029504505476017E-3</v>
      </c>
      <c r="AJ21" s="576">
        <f t="shared" si="175"/>
        <v>3.8864959063558348E-3</v>
      </c>
      <c r="AK21" s="288">
        <f t="shared" si="176"/>
        <v>-0.63650062723693024</v>
      </c>
      <c r="AL21" s="289">
        <f t="shared" si="177"/>
        <v>-0.62470838093592318</v>
      </c>
      <c r="AM21" s="290">
        <f t="shared" si="178"/>
        <v>-0.82250229536131447</v>
      </c>
    </row>
    <row r="22" spans="2:39" ht="19.5" customHeight="1" x14ac:dyDescent="0.3">
      <c r="B22" s="646"/>
      <c r="C22" s="291" t="s">
        <v>347</v>
      </c>
      <c r="D22" s="292">
        <f t="shared" ref="D22:I22" si="187">D20/SUM(D20:D21)</f>
        <v>0.70107174847700204</v>
      </c>
      <c r="E22" s="293">
        <f t="shared" si="187"/>
        <v>0.67052695138679608</v>
      </c>
      <c r="F22" s="294">
        <f t="shared" si="187"/>
        <v>0.57309806092087245</v>
      </c>
      <c r="G22" s="292">
        <f t="shared" si="187"/>
        <v>0.61275467072217327</v>
      </c>
      <c r="H22" s="293">
        <f t="shared" si="187"/>
        <v>0.68311102848910166</v>
      </c>
      <c r="I22" s="294">
        <f t="shared" si="187"/>
        <v>0.74483126628732133</v>
      </c>
      <c r="J22" s="295">
        <f>(D22-G22)*100</f>
        <v>8.8317077754828777</v>
      </c>
      <c r="K22" s="296">
        <f>(E22-H22)*100</f>
        <v>-1.258407710230558</v>
      </c>
      <c r="L22" s="296">
        <f>(F22-I22)*100</f>
        <v>-17.173320536644887</v>
      </c>
      <c r="M22" s="292">
        <f t="shared" ref="M22:R22" si="188">M20/SUM(M20:M21)</f>
        <v>0.69403285383269386</v>
      </c>
      <c r="N22" s="293">
        <f t="shared" si="188"/>
        <v>0.60589816631633364</v>
      </c>
      <c r="O22" s="294">
        <f t="shared" si="188"/>
        <v>0.54983860405429219</v>
      </c>
      <c r="P22" s="293">
        <f t="shared" si="188"/>
        <v>0.58799490902388352</v>
      </c>
      <c r="Q22" s="293">
        <f t="shared" si="188"/>
        <v>0.62777348723621862</v>
      </c>
      <c r="R22" s="294">
        <f t="shared" si="188"/>
        <v>0.68993346614276951</v>
      </c>
      <c r="S22" s="295">
        <f t="shared" ref="S22:S25" si="189">(M22-P22)*100</f>
        <v>10.603794480881035</v>
      </c>
      <c r="T22" s="296">
        <f t="shared" ref="T22:T25" si="190">(N22-Q22)*100</f>
        <v>-2.1875320919884977</v>
      </c>
      <c r="U22" s="296">
        <f t="shared" ref="U22:U25" si="191">(O22-R22)*100</f>
        <v>-14.009486208847733</v>
      </c>
      <c r="V22" s="292">
        <f t="shared" ref="V22:AA22" si="192">V20/SUM(V20:V21)</f>
        <v>0.2531345306675703</v>
      </c>
      <c r="W22" s="293">
        <f t="shared" si="192"/>
        <v>0.28394103956555472</v>
      </c>
      <c r="X22" s="294">
        <f t="shared" si="192"/>
        <v>0.23239436619718309</v>
      </c>
      <c r="Y22" s="292">
        <f t="shared" si="192"/>
        <v>0.40045662100456619</v>
      </c>
      <c r="Z22" s="293">
        <f t="shared" si="192"/>
        <v>0.36263736263736263</v>
      </c>
      <c r="AA22" s="294">
        <f t="shared" si="192"/>
        <v>0.32068965517241377</v>
      </c>
      <c r="AB22" s="295">
        <f>(V22-Y22)*100</f>
        <v>-14.73220903369959</v>
      </c>
      <c r="AC22" s="296">
        <f>(W22-Z22)*100</f>
        <v>-7.8696323071807903</v>
      </c>
      <c r="AD22" s="296">
        <f>(X22-AA22)*100</f>
        <v>-8.8295288975230672</v>
      </c>
      <c r="AE22" s="292">
        <f t="shared" ref="AE22:AJ22" si="193">AE20/SUM(AE20:AE21)</f>
        <v>0.12626760557056574</v>
      </c>
      <c r="AF22" s="293">
        <f t="shared" si="193"/>
        <v>0.16306940431834732</v>
      </c>
      <c r="AG22" s="294">
        <f t="shared" si="193"/>
        <v>0.18402038660395975</v>
      </c>
      <c r="AH22" s="292">
        <f t="shared" si="193"/>
        <v>0.29682373631151604</v>
      </c>
      <c r="AI22" s="293">
        <f t="shared" si="193"/>
        <v>0.20882189576375829</v>
      </c>
      <c r="AJ22" s="294">
        <f t="shared" si="193"/>
        <v>0.13921360393135132</v>
      </c>
      <c r="AK22" s="295">
        <f>(AE22-AH22)*100</f>
        <v>-17.055613074095032</v>
      </c>
      <c r="AL22" s="296">
        <f>(AF22-AI22)*100</f>
        <v>-4.5752491445410968</v>
      </c>
      <c r="AM22" s="296">
        <f>(AG22-AJ22)*100</f>
        <v>4.480678267260843</v>
      </c>
    </row>
    <row r="23" spans="2:39" ht="19.5" customHeight="1" x14ac:dyDescent="0.3">
      <c r="B23" s="646"/>
      <c r="C23" s="297" t="s">
        <v>633</v>
      </c>
      <c r="D23" s="369">
        <v>0</v>
      </c>
      <c r="E23" s="370">
        <v>0</v>
      </c>
      <c r="F23" s="371">
        <v>0</v>
      </c>
      <c r="G23" s="369">
        <v>0</v>
      </c>
      <c r="H23" s="370">
        <v>0</v>
      </c>
      <c r="I23" s="371">
        <v>0</v>
      </c>
      <c r="J23" s="305" t="str">
        <f t="shared" ref="J23:J24" si="194">IFERROR(D23/G23-1,"-")</f>
        <v>-</v>
      </c>
      <c r="K23" s="306" t="str">
        <f t="shared" ref="K23:K24" si="195">IFERROR(E23/H23-1,"-")</f>
        <v>-</v>
      </c>
      <c r="L23" s="307" t="str">
        <f t="shared" ref="L23:L24" si="196">IFERROR(F23/I23-1,"-")</f>
        <v>-</v>
      </c>
      <c r="M23" s="302">
        <f t="shared" ref="M23" si="197">D23/D26</f>
        <v>0</v>
      </c>
      <c r="N23" s="303">
        <f t="shared" ref="N23" si="198">E23/E26</f>
        <v>0</v>
      </c>
      <c r="O23" s="304">
        <f t="shared" ref="O23" si="199">F23/F26</f>
        <v>0</v>
      </c>
      <c r="P23" s="302">
        <f t="shared" ref="P23" si="200">G23/G26</f>
        <v>0</v>
      </c>
      <c r="Q23" s="303">
        <f t="shared" ref="Q23" si="201">H23/H26</f>
        <v>0</v>
      </c>
      <c r="R23" s="304">
        <f t="shared" ref="R23" si="202">I23/I26</f>
        <v>0</v>
      </c>
      <c r="S23" s="311">
        <f t="shared" si="189"/>
        <v>0</v>
      </c>
      <c r="T23" s="312">
        <f t="shared" si="190"/>
        <v>0</v>
      </c>
      <c r="U23" s="312">
        <f t="shared" si="191"/>
        <v>0</v>
      </c>
      <c r="V23" s="369"/>
      <c r="W23" s="370"/>
      <c r="X23" s="371"/>
      <c r="Y23" s="369"/>
      <c r="Z23" s="370"/>
      <c r="AA23" s="371"/>
      <c r="AB23" s="305" t="str">
        <f t="shared" ref="AB23:AB24" si="203">IFERROR(V23/Y23-1,"-")</f>
        <v>-</v>
      </c>
      <c r="AC23" s="306" t="str">
        <f t="shared" ref="AC23:AC24" si="204">IFERROR(W23/Z23-1,"-")</f>
        <v>-</v>
      </c>
      <c r="AD23" s="307" t="str">
        <f t="shared" ref="AD23:AD24" si="205">IFERROR(X23/AA23-1,"-")</f>
        <v>-</v>
      </c>
      <c r="AE23" s="369"/>
      <c r="AF23" s="370"/>
      <c r="AG23" s="371"/>
      <c r="AH23" s="369"/>
      <c r="AI23" s="370"/>
      <c r="AJ23" s="371"/>
      <c r="AK23" s="305" t="str">
        <f t="shared" ref="AK23:AK24" si="206">IFERROR(AE23/AH23-1,"-")</f>
        <v>-</v>
      </c>
      <c r="AL23" s="306" t="str">
        <f t="shared" ref="AL23:AL24" si="207">IFERROR(AF23/AI23-1,"-")</f>
        <v>-</v>
      </c>
      <c r="AM23" s="307" t="str">
        <f t="shared" ref="AM23:AM24" si="208">IFERROR(AG23/AJ23-1,"-")</f>
        <v>-</v>
      </c>
    </row>
    <row r="24" spans="2:39" ht="29.5" customHeight="1" x14ac:dyDescent="0.3">
      <c r="B24" s="646"/>
      <c r="C24" s="297" t="s">
        <v>634</v>
      </c>
      <c r="D24" s="369">
        <v>41838</v>
      </c>
      <c r="E24" s="370">
        <v>305809</v>
      </c>
      <c r="F24" s="371">
        <v>133868</v>
      </c>
      <c r="G24" s="369">
        <v>54808</v>
      </c>
      <c r="H24" s="370">
        <v>108761</v>
      </c>
      <c r="I24" s="371">
        <v>105512</v>
      </c>
      <c r="J24" s="305">
        <f t="shared" si="194"/>
        <v>-0.23664428550576555</v>
      </c>
      <c r="K24" s="306">
        <f t="shared" si="195"/>
        <v>1.8117523744724671</v>
      </c>
      <c r="L24" s="307">
        <f t="shared" si="196"/>
        <v>0.26874668284176217</v>
      </c>
      <c r="M24" s="302">
        <f t="shared" ref="M24" si="209">D24/D26</f>
        <v>2.3005393659027713E-2</v>
      </c>
      <c r="N24" s="303">
        <f t="shared" ref="N24" si="210">E24/E26</f>
        <v>0.16399006436072033</v>
      </c>
      <c r="O24" s="304">
        <f t="shared" ref="O24" si="211">F24/F26</f>
        <v>5.1669150389309533E-2</v>
      </c>
      <c r="P24" s="302">
        <f t="shared" ref="P24" si="212">G24/G26</f>
        <v>6.0095766388782591E-2</v>
      </c>
      <c r="Q24" s="303">
        <f t="shared" ref="Q24" si="213">H24/H26</f>
        <v>0.14866630762543434</v>
      </c>
      <c r="R24" s="304">
        <f t="shared" ref="R24" si="214">I24/I26</f>
        <v>0.17705167810799427</v>
      </c>
      <c r="S24" s="311">
        <f t="shared" si="189"/>
        <v>-3.7090372729754879</v>
      </c>
      <c r="T24" s="312">
        <f t="shared" si="190"/>
        <v>1.5323756735285992</v>
      </c>
      <c r="U24" s="312">
        <f t="shared" si="191"/>
        <v>-12.538252771868475</v>
      </c>
      <c r="V24" s="369"/>
      <c r="W24" s="370"/>
      <c r="X24" s="371"/>
      <c r="Y24" s="369"/>
      <c r="Z24" s="370"/>
      <c r="AA24" s="371"/>
      <c r="AB24" s="305" t="str">
        <f t="shared" si="203"/>
        <v>-</v>
      </c>
      <c r="AC24" s="306" t="str">
        <f t="shared" si="204"/>
        <v>-</v>
      </c>
      <c r="AD24" s="307" t="str">
        <f t="shared" si="205"/>
        <v>-</v>
      </c>
      <c r="AE24" s="369"/>
      <c r="AF24" s="370"/>
      <c r="AG24" s="371"/>
      <c r="AH24" s="369"/>
      <c r="AI24" s="370"/>
      <c r="AJ24" s="371"/>
      <c r="AK24" s="305" t="str">
        <f t="shared" si="206"/>
        <v>-</v>
      </c>
      <c r="AL24" s="306" t="str">
        <f t="shared" si="207"/>
        <v>-</v>
      </c>
      <c r="AM24" s="307" t="str">
        <f t="shared" si="208"/>
        <v>-</v>
      </c>
    </row>
    <row r="25" spans="2:39" ht="19.5" customHeight="1" x14ac:dyDescent="0.3">
      <c r="B25" s="647"/>
      <c r="C25" s="291" t="s">
        <v>349</v>
      </c>
      <c r="D25" s="292">
        <f t="shared" ref="D25:I25" si="215">D21/SUM(D20:D21)</f>
        <v>0.29892825152299796</v>
      </c>
      <c r="E25" s="293">
        <f t="shared" si="215"/>
        <v>0.32947304861320398</v>
      </c>
      <c r="F25" s="294">
        <f t="shared" si="215"/>
        <v>0.42690193907912749</v>
      </c>
      <c r="G25" s="292">
        <f t="shared" si="215"/>
        <v>0.38724532927782668</v>
      </c>
      <c r="H25" s="293">
        <f t="shared" si="215"/>
        <v>0.31688897151089834</v>
      </c>
      <c r="I25" s="294">
        <f t="shared" si="215"/>
        <v>0.25516873371267862</v>
      </c>
      <c r="J25" s="300">
        <f>(D25-G25)*100</f>
        <v>-8.8317077754828723</v>
      </c>
      <c r="K25" s="301">
        <f>(E25-H25)*100</f>
        <v>1.2584077102305635</v>
      </c>
      <c r="L25" s="301">
        <f>(F25-I25)*100</f>
        <v>17.173320536644887</v>
      </c>
      <c r="M25" s="292">
        <f t="shared" ref="M25:R25" si="216">M21/SUM(M20:M21)</f>
        <v>0.30596714616730614</v>
      </c>
      <c r="N25" s="293">
        <f t="shared" si="216"/>
        <v>0.3941018336836663</v>
      </c>
      <c r="O25" s="294">
        <f t="shared" si="216"/>
        <v>0.45016139594570781</v>
      </c>
      <c r="P25" s="293">
        <f t="shared" si="216"/>
        <v>0.41200509097611648</v>
      </c>
      <c r="Q25" s="293">
        <f t="shared" si="216"/>
        <v>0.37222651276378133</v>
      </c>
      <c r="R25" s="294">
        <f t="shared" si="216"/>
        <v>0.31006653385723054</v>
      </c>
      <c r="S25" s="300">
        <f t="shared" si="189"/>
        <v>-10.603794480881035</v>
      </c>
      <c r="T25" s="301">
        <f t="shared" si="190"/>
        <v>2.1875320919884977</v>
      </c>
      <c r="U25" s="301">
        <f t="shared" si="191"/>
        <v>14.009486208847727</v>
      </c>
      <c r="V25" s="292">
        <f t="shared" ref="V25:AA25" si="217">V21/SUM(V20:V21)</f>
        <v>0.7468654693324297</v>
      </c>
      <c r="W25" s="293">
        <f t="shared" si="217"/>
        <v>0.71605896043444528</v>
      </c>
      <c r="X25" s="294">
        <f t="shared" si="217"/>
        <v>0.76760563380281688</v>
      </c>
      <c r="Y25" s="292">
        <f t="shared" si="217"/>
        <v>0.59954337899543375</v>
      </c>
      <c r="Z25" s="293">
        <f t="shared" si="217"/>
        <v>0.63736263736263732</v>
      </c>
      <c r="AA25" s="294">
        <f t="shared" si="217"/>
        <v>0.67931034482758623</v>
      </c>
      <c r="AB25" s="300">
        <f>(V25-Y25)*100</f>
        <v>14.732209033699595</v>
      </c>
      <c r="AC25" s="301">
        <f>(W25-Z25)*100</f>
        <v>7.8696323071807956</v>
      </c>
      <c r="AD25" s="301">
        <f>(X25-AA25)*100</f>
        <v>8.8295288975230655</v>
      </c>
      <c r="AE25" s="292">
        <f t="shared" ref="AE25:AJ25" si="218">AE21/SUM(AE20:AE21)</f>
        <v>0.87373239442943429</v>
      </c>
      <c r="AF25" s="293">
        <f t="shared" si="218"/>
        <v>0.83693059568165262</v>
      </c>
      <c r="AG25" s="294">
        <f t="shared" si="218"/>
        <v>0.8159796133960403</v>
      </c>
      <c r="AH25" s="292">
        <f t="shared" si="218"/>
        <v>0.70317626368848396</v>
      </c>
      <c r="AI25" s="293">
        <f t="shared" si="218"/>
        <v>0.79117810423624169</v>
      </c>
      <c r="AJ25" s="294">
        <f t="shared" si="218"/>
        <v>0.86078639606864871</v>
      </c>
      <c r="AK25" s="300">
        <f>(AE25-AH25)*100</f>
        <v>17.055613074095032</v>
      </c>
      <c r="AL25" s="301">
        <f>(AF25-AI25)*100</f>
        <v>4.5752491445410932</v>
      </c>
      <c r="AM25" s="301">
        <f>(AG25-AJ25)*100</f>
        <v>-4.4806782672608403</v>
      </c>
    </row>
    <row r="26" spans="2:39" ht="19.5" customHeight="1" x14ac:dyDescent="0.3">
      <c r="B26" s="648" t="s">
        <v>233</v>
      </c>
      <c r="C26" s="651"/>
      <c r="D26" s="271">
        <f t="shared" ref="D26:I26" si="219">D20+D21</f>
        <v>1818617</v>
      </c>
      <c r="E26" s="272">
        <f t="shared" si="219"/>
        <v>1864802</v>
      </c>
      <c r="F26" s="273">
        <f t="shared" si="219"/>
        <v>2590869</v>
      </c>
      <c r="G26" s="274">
        <f t="shared" si="219"/>
        <v>912011</v>
      </c>
      <c r="H26" s="275">
        <f t="shared" si="219"/>
        <v>731578</v>
      </c>
      <c r="I26" s="276">
        <f t="shared" si="219"/>
        <v>595939</v>
      </c>
      <c r="J26" s="149">
        <f t="shared" ref="J26" si="220">D26/G26-1</f>
        <v>0.99407353639374962</v>
      </c>
      <c r="K26" s="212">
        <f t="shared" ref="K26" si="221">E26/H26-1</f>
        <v>1.5490132289379943</v>
      </c>
      <c r="L26" s="213">
        <f t="shared" ref="L26" si="222">F26/I26-1</f>
        <v>3.3475406039879925</v>
      </c>
      <c r="M26" s="271">
        <f t="shared" ref="M26:R26" si="223">M20+M21</f>
        <v>1776779</v>
      </c>
      <c r="N26" s="272">
        <f t="shared" si="223"/>
        <v>1558993</v>
      </c>
      <c r="O26" s="273">
        <f t="shared" si="223"/>
        <v>2457001</v>
      </c>
      <c r="P26" s="275">
        <f t="shared" si="223"/>
        <v>857203</v>
      </c>
      <c r="Q26" s="275">
        <f t="shared" si="223"/>
        <v>622817</v>
      </c>
      <c r="R26" s="276">
        <f t="shared" si="223"/>
        <v>490427</v>
      </c>
      <c r="S26" s="149">
        <f t="shared" ref="S26" si="224">M26/P26-1</f>
        <v>1.0727633944351571</v>
      </c>
      <c r="T26" s="150">
        <f t="shared" ref="T26" si="225">N26/Q26-1</f>
        <v>1.5031317385363598</v>
      </c>
      <c r="U26" s="150">
        <f t="shared" ref="U26" si="226">O26/R26-1</f>
        <v>4.0099219659602756</v>
      </c>
      <c r="V26" s="565">
        <f t="shared" ref="V26:AA26" si="227">V20+V21</f>
        <v>2951</v>
      </c>
      <c r="W26" s="566">
        <f t="shared" si="227"/>
        <v>1289</v>
      </c>
      <c r="X26" s="567">
        <f t="shared" si="227"/>
        <v>994</v>
      </c>
      <c r="Y26" s="568">
        <f t="shared" si="227"/>
        <v>6570</v>
      </c>
      <c r="Z26" s="569">
        <f t="shared" si="227"/>
        <v>1456</v>
      </c>
      <c r="AA26" s="570">
        <f t="shared" si="227"/>
        <v>870</v>
      </c>
      <c r="AB26" s="149">
        <f t="shared" ref="AB26" si="228">V26/Y26-1</f>
        <v>-0.55083713850837146</v>
      </c>
      <c r="AC26" s="212">
        <f t="shared" ref="AC26" si="229">W26/Z26-1</f>
        <v>-0.11469780219780223</v>
      </c>
      <c r="AD26" s="213">
        <f t="shared" ref="AD26" si="230">X26/AA26-1</f>
        <v>0.14252873563218382</v>
      </c>
      <c r="AE26" s="577">
        <f>V26/D26</f>
        <v>1.6226616159422242E-3</v>
      </c>
      <c r="AF26" s="578">
        <f t="shared" ref="AF26" si="231">W26/E26</f>
        <v>6.9122619988610048E-4</v>
      </c>
      <c r="AG26" s="579">
        <f t="shared" ref="AG26" si="232">X26/F26</f>
        <v>3.836550593642519E-4</v>
      </c>
      <c r="AH26" s="580">
        <f>Y26/G26</f>
        <v>7.203860479752985E-3</v>
      </c>
      <c r="AI26" s="581">
        <f t="shared" ref="AI26" si="233">Z26/H26</f>
        <v>1.9902184045993729E-3</v>
      </c>
      <c r="AJ26" s="582">
        <f t="shared" ref="AJ26" si="234">AA26/I26</f>
        <v>1.4598809609708376E-3</v>
      </c>
      <c r="AK26" s="149">
        <f t="shared" ref="AK26" si="235">AE26/AH26-1</f>
        <v>-0.77475110456360974</v>
      </c>
      <c r="AL26" s="212">
        <f t="shared" ref="AL26" si="236">AF26/AI26-1</f>
        <v>-0.65268826863992202</v>
      </c>
      <c r="AM26" s="213">
        <f t="shared" ref="AM26" si="237">AG26/AJ26-1</f>
        <v>-0.73720113514658281</v>
      </c>
    </row>
    <row r="27" spans="2:39" ht="19.5" customHeight="1" x14ac:dyDescent="0.3">
      <c r="B27" s="645">
        <v>45931</v>
      </c>
      <c r="C27" s="280" t="s">
        <v>49</v>
      </c>
      <c r="D27" s="281">
        <v>598138</v>
      </c>
      <c r="E27" s="282">
        <v>427769</v>
      </c>
      <c r="F27" s="283">
        <v>570819</v>
      </c>
      <c r="G27" s="281">
        <v>308792</v>
      </c>
      <c r="H27" s="282">
        <v>284809</v>
      </c>
      <c r="I27" s="283">
        <v>284692</v>
      </c>
      <c r="J27" s="144">
        <f t="shared" ref="J27:J28" si="238">D27/G27-1</f>
        <v>0.93702557061063763</v>
      </c>
      <c r="K27" s="145">
        <f t="shared" ref="K27:K28" si="239">E27/H27-1</f>
        <v>0.50195042993725614</v>
      </c>
      <c r="L27" s="207">
        <f t="shared" ref="L27:L28" si="240">F27/I27-1</f>
        <v>1.005040535034353</v>
      </c>
      <c r="M27" s="281">
        <f t="shared" ref="M27" si="241">D27-D30-D31</f>
        <v>570992</v>
      </c>
      <c r="N27" s="282">
        <f t="shared" ref="N27" si="242">E27-E30-E31</f>
        <v>345414</v>
      </c>
      <c r="O27" s="283">
        <f t="shared" ref="O27" si="243">F27-F30-F31</f>
        <v>494496</v>
      </c>
      <c r="P27" s="284">
        <f t="shared" ref="P27" si="244">G27-G30-G31</f>
        <v>267732</v>
      </c>
      <c r="Q27" s="285">
        <f t="shared" ref="Q27" si="245">H27-H30-H31</f>
        <v>241636</v>
      </c>
      <c r="R27" s="286">
        <f t="shared" ref="R27" si="246">I27-I30-I31</f>
        <v>221767</v>
      </c>
      <c r="S27" s="144">
        <f t="shared" ref="S27:S28" si="247">M27/P27-1</f>
        <v>1.1326998640431478</v>
      </c>
      <c r="T27" s="145">
        <f t="shared" ref="T27:T28" si="248">N27/Q27-1</f>
        <v>0.4294807065172408</v>
      </c>
      <c r="U27" s="145">
        <f t="shared" ref="U27:U28" si="249">O27/R27-1</f>
        <v>1.2297997447771762</v>
      </c>
    </row>
    <row r="28" spans="2:39" ht="19.5" customHeight="1" x14ac:dyDescent="0.3">
      <c r="B28" s="646"/>
      <c r="C28" s="287" t="s">
        <v>50</v>
      </c>
      <c r="D28" s="266">
        <v>273124</v>
      </c>
      <c r="E28" s="267">
        <v>300884</v>
      </c>
      <c r="F28" s="268">
        <v>306790</v>
      </c>
      <c r="G28" s="266">
        <v>179310</v>
      </c>
      <c r="H28" s="267">
        <v>133441</v>
      </c>
      <c r="I28" s="268">
        <v>84284</v>
      </c>
      <c r="J28" s="288">
        <f t="shared" si="238"/>
        <v>0.52319446768166866</v>
      </c>
      <c r="K28" s="289">
        <f t="shared" si="239"/>
        <v>1.2548092415374583</v>
      </c>
      <c r="L28" s="290">
        <f t="shared" si="240"/>
        <v>2.6399553889231644</v>
      </c>
      <c r="M28" s="266">
        <f t="shared" ref="M28" si="250">D28</f>
        <v>273124</v>
      </c>
      <c r="N28" s="267">
        <f t="shared" ref="N28" si="251">E28</f>
        <v>300884</v>
      </c>
      <c r="O28" s="268">
        <f t="shared" ref="O28" si="252">F28</f>
        <v>306790</v>
      </c>
      <c r="P28" s="269">
        <f t="shared" ref="P28" si="253">G28</f>
        <v>179310</v>
      </c>
      <c r="Q28" s="269">
        <f t="shared" ref="Q28" si="254">H28</f>
        <v>133441</v>
      </c>
      <c r="R28" s="270">
        <f t="shared" ref="R28" si="255">I28</f>
        <v>84284</v>
      </c>
      <c r="S28" s="288">
        <f t="shared" si="247"/>
        <v>0.52319446768166866</v>
      </c>
      <c r="T28" s="289">
        <f t="shared" si="248"/>
        <v>1.2548092415374583</v>
      </c>
      <c r="U28" s="289">
        <f t="shared" si="249"/>
        <v>2.6399553889231644</v>
      </c>
    </row>
    <row r="29" spans="2:39" ht="19.5" customHeight="1" x14ac:dyDescent="0.3">
      <c r="B29" s="646"/>
      <c r="C29" s="291" t="s">
        <v>347</v>
      </c>
      <c r="D29" s="292">
        <f t="shared" ref="D29:I29" si="256">D27/SUM(D27:D28)</f>
        <v>0.68651909528936184</v>
      </c>
      <c r="E29" s="293">
        <f t="shared" si="256"/>
        <v>0.58706819295329871</v>
      </c>
      <c r="F29" s="294">
        <f t="shared" si="256"/>
        <v>0.65042518934969906</v>
      </c>
      <c r="G29" s="292">
        <f t="shared" si="256"/>
        <v>0.63263826003581214</v>
      </c>
      <c r="H29" s="293">
        <f t="shared" si="256"/>
        <v>0.68095397489539744</v>
      </c>
      <c r="I29" s="294">
        <f t="shared" si="256"/>
        <v>0.77157321885434282</v>
      </c>
      <c r="J29" s="295">
        <f>(D29-G29)*100</f>
        <v>5.3880835253549701</v>
      </c>
      <c r="K29" s="296">
        <f>(E29-H29)*100</f>
        <v>-9.3885781942098738</v>
      </c>
      <c r="L29" s="296">
        <f>(F29-I29)*100</f>
        <v>-12.114802950464377</v>
      </c>
      <c r="M29" s="292">
        <f t="shared" ref="M29:R29" si="257">M27/SUM(M27:M28)</f>
        <v>0.67643783555814607</v>
      </c>
      <c r="N29" s="293">
        <f t="shared" si="257"/>
        <v>0.53445005245258381</v>
      </c>
      <c r="O29" s="294">
        <f t="shared" si="257"/>
        <v>0.61712796679337967</v>
      </c>
      <c r="P29" s="293">
        <f t="shared" si="257"/>
        <v>0.59889674795656789</v>
      </c>
      <c r="Q29" s="293">
        <f t="shared" si="257"/>
        <v>0.64423038469434279</v>
      </c>
      <c r="R29" s="294">
        <f t="shared" si="257"/>
        <v>0.72460799017157274</v>
      </c>
      <c r="S29" s="295">
        <f t="shared" ref="S29:S32" si="258">(M29-P29)*100</f>
        <v>7.754108760157818</v>
      </c>
      <c r="T29" s="296">
        <f t="shared" ref="T29:T32" si="259">(N29-Q29)*100</f>
        <v>-10.978033224175899</v>
      </c>
      <c r="U29" s="296">
        <f t="shared" ref="U29:U32" si="260">(O29-R29)*100</f>
        <v>-10.748002337819306</v>
      </c>
    </row>
    <row r="30" spans="2:39" ht="19.5" customHeight="1" x14ac:dyDescent="0.3">
      <c r="B30" s="646"/>
      <c r="C30" s="297" t="s">
        <v>633</v>
      </c>
      <c r="D30" s="369">
        <v>0</v>
      </c>
      <c r="E30" s="370">
        <v>0</v>
      </c>
      <c r="F30" s="371">
        <v>0</v>
      </c>
      <c r="G30" s="369">
        <v>0</v>
      </c>
      <c r="H30" s="370">
        <v>0</v>
      </c>
      <c r="I30" s="371">
        <v>0</v>
      </c>
      <c r="J30" s="305" t="str">
        <f t="shared" ref="J30:J31" si="261">IFERROR(D30/G30-1,"-")</f>
        <v>-</v>
      </c>
      <c r="K30" s="306" t="str">
        <f t="shared" ref="K30:K31" si="262">IFERROR(E30/H30-1,"-")</f>
        <v>-</v>
      </c>
      <c r="L30" s="307" t="str">
        <f t="shared" ref="L30:L31" si="263">IFERROR(F30/I30-1,"-")</f>
        <v>-</v>
      </c>
      <c r="M30" s="302">
        <f t="shared" ref="M30:R30" si="264">D30/D33</f>
        <v>0</v>
      </c>
      <c r="N30" s="303">
        <f t="shared" si="264"/>
        <v>0</v>
      </c>
      <c r="O30" s="304">
        <f t="shared" si="264"/>
        <v>0</v>
      </c>
      <c r="P30" s="302">
        <f t="shared" si="264"/>
        <v>0</v>
      </c>
      <c r="Q30" s="303">
        <f t="shared" si="264"/>
        <v>0</v>
      </c>
      <c r="R30" s="304">
        <f t="shared" si="264"/>
        <v>0</v>
      </c>
      <c r="S30" s="311">
        <f t="shared" si="258"/>
        <v>0</v>
      </c>
      <c r="T30" s="312">
        <f t="shared" si="259"/>
        <v>0</v>
      </c>
      <c r="U30" s="312">
        <f t="shared" si="260"/>
        <v>0</v>
      </c>
    </row>
    <row r="31" spans="2:39" ht="29.5" customHeight="1" x14ac:dyDescent="0.3">
      <c r="B31" s="646"/>
      <c r="C31" s="297" t="s">
        <v>634</v>
      </c>
      <c r="D31" s="369">
        <v>27146</v>
      </c>
      <c r="E31" s="370">
        <v>82355</v>
      </c>
      <c r="F31" s="371">
        <v>76323</v>
      </c>
      <c r="G31" s="369">
        <v>41060</v>
      </c>
      <c r="H31" s="370">
        <v>43173</v>
      </c>
      <c r="I31" s="371">
        <v>62925</v>
      </c>
      <c r="J31" s="305">
        <f t="shared" si="261"/>
        <v>-0.33886994641987334</v>
      </c>
      <c r="K31" s="306">
        <f t="shared" si="262"/>
        <v>0.90755796446853365</v>
      </c>
      <c r="L31" s="307">
        <f t="shared" si="263"/>
        <v>0.21292014302741369</v>
      </c>
      <c r="M31" s="302">
        <f t="shared" ref="M31:R31" si="265">D31/D33</f>
        <v>3.1157103144633876E-2</v>
      </c>
      <c r="N31" s="303">
        <f t="shared" si="265"/>
        <v>0.11302362029662953</v>
      </c>
      <c r="O31" s="304">
        <f t="shared" si="265"/>
        <v>8.6966975042416378E-2</v>
      </c>
      <c r="P31" s="302">
        <f t="shared" si="265"/>
        <v>8.4121761435109868E-2</v>
      </c>
      <c r="Q31" s="303">
        <f t="shared" si="265"/>
        <v>0.10322295277943813</v>
      </c>
      <c r="R31" s="304">
        <f t="shared" si="265"/>
        <v>0.17053954728762846</v>
      </c>
      <c r="S31" s="311">
        <f t="shared" si="258"/>
        <v>-5.296465829047599</v>
      </c>
      <c r="T31" s="312">
        <f t="shared" si="259"/>
        <v>0.98006675171913993</v>
      </c>
      <c r="U31" s="312">
        <f t="shared" si="260"/>
        <v>-8.3572572245212093</v>
      </c>
    </row>
    <row r="32" spans="2:39" ht="19.5" customHeight="1" x14ac:dyDescent="0.3">
      <c r="B32" s="647"/>
      <c r="C32" s="291" t="s">
        <v>349</v>
      </c>
      <c r="D32" s="292">
        <f t="shared" ref="D32:I32" si="266">D28/SUM(D27:D28)</f>
        <v>0.31348090471063811</v>
      </c>
      <c r="E32" s="293">
        <f t="shared" si="266"/>
        <v>0.41293180704670124</v>
      </c>
      <c r="F32" s="294">
        <f t="shared" si="266"/>
        <v>0.34957481065030099</v>
      </c>
      <c r="G32" s="292">
        <f t="shared" si="266"/>
        <v>0.36736173996418781</v>
      </c>
      <c r="H32" s="293">
        <f t="shared" si="266"/>
        <v>0.3190460251046025</v>
      </c>
      <c r="I32" s="294">
        <f t="shared" si="266"/>
        <v>0.22842678114565718</v>
      </c>
      <c r="J32" s="300">
        <f>(D32-G32)*100</f>
        <v>-5.3880835253549701</v>
      </c>
      <c r="K32" s="301">
        <f>(E32-H32)*100</f>
        <v>9.3885781942098738</v>
      </c>
      <c r="L32" s="301">
        <f>(F32-I32)*100</f>
        <v>12.114802950464382</v>
      </c>
      <c r="M32" s="292">
        <f t="shared" ref="M32:R32" si="267">M28/SUM(M27:M28)</f>
        <v>0.32356216444185398</v>
      </c>
      <c r="N32" s="293">
        <f t="shared" si="267"/>
        <v>0.46554994754741619</v>
      </c>
      <c r="O32" s="294">
        <f t="shared" si="267"/>
        <v>0.38287203320662033</v>
      </c>
      <c r="P32" s="293">
        <f t="shared" si="267"/>
        <v>0.40110325204343217</v>
      </c>
      <c r="Q32" s="293">
        <f t="shared" si="267"/>
        <v>0.35576961530565726</v>
      </c>
      <c r="R32" s="294">
        <f t="shared" si="267"/>
        <v>0.27539200982842726</v>
      </c>
      <c r="S32" s="300">
        <f t="shared" si="258"/>
        <v>-7.754108760157818</v>
      </c>
      <c r="T32" s="301">
        <f t="shared" si="259"/>
        <v>10.978033224175892</v>
      </c>
      <c r="U32" s="301">
        <f t="shared" si="260"/>
        <v>10.748002337819306</v>
      </c>
    </row>
    <row r="33" spans="2:21" ht="19.5" customHeight="1" x14ac:dyDescent="0.3">
      <c r="B33" s="648" t="s">
        <v>233</v>
      </c>
      <c r="C33" s="651"/>
      <c r="D33" s="271">
        <f t="shared" ref="D33:I33" si="268">D27+D28</f>
        <v>871262</v>
      </c>
      <c r="E33" s="272">
        <f t="shared" si="268"/>
        <v>728653</v>
      </c>
      <c r="F33" s="273">
        <f t="shared" si="268"/>
        <v>877609</v>
      </c>
      <c r="G33" s="274">
        <f t="shared" si="268"/>
        <v>488102</v>
      </c>
      <c r="H33" s="275">
        <f t="shared" si="268"/>
        <v>418250</v>
      </c>
      <c r="I33" s="276">
        <f t="shared" si="268"/>
        <v>368976</v>
      </c>
      <c r="J33" s="149">
        <f t="shared" ref="J33" si="269">D33/G33-1</f>
        <v>0.78499985658735261</v>
      </c>
      <c r="K33" s="212">
        <f t="shared" ref="K33" si="270">E33/H33-1</f>
        <v>0.74214704124327557</v>
      </c>
      <c r="L33" s="213">
        <f t="shared" ref="L33" si="271">F33/I33-1</f>
        <v>1.3784988725553964</v>
      </c>
      <c r="M33" s="271">
        <f t="shared" ref="M33:R33" si="272">M27+M28</f>
        <v>844116</v>
      </c>
      <c r="N33" s="272">
        <f t="shared" si="272"/>
        <v>646298</v>
      </c>
      <c r="O33" s="273">
        <f t="shared" si="272"/>
        <v>801286</v>
      </c>
      <c r="P33" s="275">
        <f t="shared" si="272"/>
        <v>447042</v>
      </c>
      <c r="Q33" s="275">
        <f t="shared" si="272"/>
        <v>375077</v>
      </c>
      <c r="R33" s="276">
        <f t="shared" si="272"/>
        <v>306051</v>
      </c>
      <c r="S33" s="149">
        <f t="shared" ref="S33" si="273">M33/P33-1</f>
        <v>0.88822526742453722</v>
      </c>
      <c r="T33" s="150">
        <f t="shared" ref="T33" si="274">N33/Q33-1</f>
        <v>0.72310752192216521</v>
      </c>
      <c r="U33" s="150">
        <f t="shared" ref="U33" si="275">O33/R33-1</f>
        <v>1.6181453417894405</v>
      </c>
    </row>
    <row r="34" spans="2:21" ht="19.5" customHeight="1" x14ac:dyDescent="0.3">
      <c r="B34" s="645">
        <v>45901</v>
      </c>
      <c r="C34" s="280" t="s">
        <v>49</v>
      </c>
      <c r="D34" s="281">
        <v>259239</v>
      </c>
      <c r="E34" s="282">
        <v>320129</v>
      </c>
      <c r="F34" s="283">
        <v>163911</v>
      </c>
      <c r="G34" s="281">
        <v>182722</v>
      </c>
      <c r="H34" s="282">
        <v>262362</v>
      </c>
      <c r="I34" s="283">
        <v>156342</v>
      </c>
      <c r="J34" s="144">
        <f t="shared" ref="J34:J35" si="276">D34/G34-1</f>
        <v>0.41876183491861951</v>
      </c>
      <c r="K34" s="145">
        <f t="shared" ref="K34:K35" si="277">E34/H34-1</f>
        <v>0.2201805139463795</v>
      </c>
      <c r="L34" s="207">
        <f t="shared" ref="L34:L35" si="278">F34/I34-1</f>
        <v>4.8413094370034937E-2</v>
      </c>
      <c r="M34" s="281">
        <f t="shared" ref="M34" si="279">D34-D37-D38</f>
        <v>231393</v>
      </c>
      <c r="N34" s="282">
        <f t="shared" ref="N34" si="280">E34-E37-E38</f>
        <v>263745</v>
      </c>
      <c r="O34" s="283">
        <f t="shared" ref="O34" si="281">F34-F37-F38</f>
        <v>163503</v>
      </c>
      <c r="P34" s="284">
        <f t="shared" ref="P34" si="282">G34-G37-G38</f>
        <v>169321</v>
      </c>
      <c r="Q34" s="285">
        <f t="shared" ref="Q34" si="283">H34-H37-H38</f>
        <v>254075</v>
      </c>
      <c r="R34" s="286">
        <f t="shared" ref="R34" si="284">I34-I37-I38</f>
        <v>156342</v>
      </c>
      <c r="S34" s="144">
        <f t="shared" ref="S34:S35" si="285">M34/P34-1</f>
        <v>0.36659362985099309</v>
      </c>
      <c r="T34" s="145">
        <f t="shared" ref="T34:T35" si="286">N34/Q34-1</f>
        <v>3.8059628062580009E-2</v>
      </c>
      <c r="U34" s="145">
        <f t="shared" ref="U34:U35" si="287">O34/R34-1</f>
        <v>4.5803430939862499E-2</v>
      </c>
    </row>
    <row r="35" spans="2:21" ht="19.5" customHeight="1" x14ac:dyDescent="0.3">
      <c r="B35" s="646"/>
      <c r="C35" s="287" t="s">
        <v>50</v>
      </c>
      <c r="D35" s="266">
        <v>118847</v>
      </c>
      <c r="E35" s="267">
        <v>187778</v>
      </c>
      <c r="F35" s="268">
        <v>187068</v>
      </c>
      <c r="G35" s="266">
        <v>45068</v>
      </c>
      <c r="H35" s="267">
        <v>85865</v>
      </c>
      <c r="I35" s="268">
        <v>51198</v>
      </c>
      <c r="J35" s="288">
        <f t="shared" si="276"/>
        <v>1.6370595544510516</v>
      </c>
      <c r="K35" s="289">
        <f t="shared" si="277"/>
        <v>1.1868980376171896</v>
      </c>
      <c r="L35" s="290">
        <f t="shared" si="278"/>
        <v>2.6538146021328957</v>
      </c>
      <c r="M35" s="266">
        <f t="shared" ref="M35" si="288">D35</f>
        <v>118847</v>
      </c>
      <c r="N35" s="267">
        <f t="shared" ref="N35" si="289">E35</f>
        <v>187778</v>
      </c>
      <c r="O35" s="268">
        <f t="shared" ref="O35" si="290">F35</f>
        <v>187068</v>
      </c>
      <c r="P35" s="269">
        <f t="shared" ref="P35" si="291">G35</f>
        <v>45068</v>
      </c>
      <c r="Q35" s="269">
        <f t="shared" ref="Q35" si="292">H35</f>
        <v>85865</v>
      </c>
      <c r="R35" s="270">
        <f t="shared" ref="R35" si="293">I35</f>
        <v>51198</v>
      </c>
      <c r="S35" s="288">
        <f t="shared" si="285"/>
        <v>1.6370595544510516</v>
      </c>
      <c r="T35" s="289">
        <f t="shared" si="286"/>
        <v>1.1868980376171896</v>
      </c>
      <c r="U35" s="289">
        <f t="shared" si="287"/>
        <v>2.6538146021328957</v>
      </c>
    </row>
    <row r="36" spans="2:21" ht="19.5" customHeight="1" x14ac:dyDescent="0.3">
      <c r="B36" s="646"/>
      <c r="C36" s="291" t="s">
        <v>347</v>
      </c>
      <c r="D36" s="292">
        <f t="shared" ref="D36:I36" si="294">D34/SUM(D34:D35)</f>
        <v>0.68566146326497146</v>
      </c>
      <c r="E36" s="293">
        <f t="shared" si="294"/>
        <v>0.63029058469365451</v>
      </c>
      <c r="F36" s="294">
        <f t="shared" si="294"/>
        <v>0.46701084680280019</v>
      </c>
      <c r="G36" s="292">
        <f t="shared" si="294"/>
        <v>0.80215110408709778</v>
      </c>
      <c r="H36" s="293">
        <f t="shared" si="294"/>
        <v>0.75342233657930024</v>
      </c>
      <c r="I36" s="294">
        <f t="shared" si="294"/>
        <v>0.75331020526163628</v>
      </c>
      <c r="J36" s="295">
        <f>(D36-G36)*100</f>
        <v>-11.648964082212633</v>
      </c>
      <c r="K36" s="296">
        <f>(E36-H36)*100</f>
        <v>-12.313175188564573</v>
      </c>
      <c r="L36" s="296">
        <f>(F36-I36)*100</f>
        <v>-28.629935845883608</v>
      </c>
      <c r="M36" s="292">
        <f t="shared" ref="M36:R36" si="295">M34/SUM(M34:M35)</f>
        <v>0.66066982640475103</v>
      </c>
      <c r="N36" s="293">
        <f t="shared" si="295"/>
        <v>0.5841230679278796</v>
      </c>
      <c r="O36" s="294">
        <f t="shared" si="295"/>
        <v>0.46639054570971356</v>
      </c>
      <c r="P36" s="293">
        <f t="shared" si="295"/>
        <v>0.78978399078310924</v>
      </c>
      <c r="Q36" s="293">
        <f t="shared" si="295"/>
        <v>0.74741130787786081</v>
      </c>
      <c r="R36" s="294">
        <f t="shared" si="295"/>
        <v>0.75331020526163628</v>
      </c>
      <c r="S36" s="295">
        <f t="shared" ref="S36:S39" si="296">(M36-P36)*100</f>
        <v>-12.911416437835822</v>
      </c>
      <c r="T36" s="296">
        <f t="shared" ref="T36:T39" si="297">(N36-Q36)*100</f>
        <v>-16.328823994998121</v>
      </c>
      <c r="U36" s="296">
        <f t="shared" ref="U36:U39" si="298">(O36-R36)*100</f>
        <v>-28.691965955192273</v>
      </c>
    </row>
    <row r="37" spans="2:21" ht="19.5" customHeight="1" x14ac:dyDescent="0.3">
      <c r="B37" s="646"/>
      <c r="C37" s="297" t="s">
        <v>633</v>
      </c>
      <c r="D37" s="369">
        <v>0</v>
      </c>
      <c r="E37" s="370">
        <v>0</v>
      </c>
      <c r="F37" s="371">
        <v>0</v>
      </c>
      <c r="G37" s="369">
        <v>0</v>
      </c>
      <c r="H37" s="370">
        <v>8287</v>
      </c>
      <c r="I37" s="371">
        <v>0</v>
      </c>
      <c r="J37" s="305" t="str">
        <f t="shared" ref="J37:J38" si="299">IFERROR(D37/G37-1,"-")</f>
        <v>-</v>
      </c>
      <c r="K37" s="306">
        <f t="shared" ref="K37:K38" si="300">IFERROR(E37/H37-1,"-")</f>
        <v>-1</v>
      </c>
      <c r="L37" s="307" t="str">
        <f t="shared" ref="L37:L38" si="301">IFERROR(F37/I37-1,"-")</f>
        <v>-</v>
      </c>
      <c r="M37" s="302">
        <f t="shared" ref="M37:R37" si="302">D37/D40</f>
        <v>0</v>
      </c>
      <c r="N37" s="303">
        <f t="shared" si="302"/>
        <v>0</v>
      </c>
      <c r="O37" s="304">
        <f t="shared" si="302"/>
        <v>0</v>
      </c>
      <c r="P37" s="302">
        <f t="shared" si="302"/>
        <v>0</v>
      </c>
      <c r="Q37" s="303">
        <f t="shared" si="302"/>
        <v>2.3797695181591319E-2</v>
      </c>
      <c r="R37" s="304">
        <f t="shared" si="302"/>
        <v>0</v>
      </c>
      <c r="S37" s="311">
        <f t="shared" si="296"/>
        <v>0</v>
      </c>
      <c r="T37" s="312">
        <f t="shared" si="297"/>
        <v>-2.3797695181591321</v>
      </c>
      <c r="U37" s="312">
        <f t="shared" si="298"/>
        <v>0</v>
      </c>
    </row>
    <row r="38" spans="2:21" ht="29.5" customHeight="1" x14ac:dyDescent="0.3">
      <c r="B38" s="646"/>
      <c r="C38" s="297" t="s">
        <v>634</v>
      </c>
      <c r="D38" s="369">
        <v>27846</v>
      </c>
      <c r="E38" s="370">
        <v>56384</v>
      </c>
      <c r="F38" s="371">
        <v>408</v>
      </c>
      <c r="G38" s="369">
        <v>13401</v>
      </c>
      <c r="H38" s="370">
        <v>0</v>
      </c>
      <c r="I38" s="371">
        <v>0</v>
      </c>
      <c r="J38" s="305">
        <f t="shared" si="299"/>
        <v>1.0779046339825387</v>
      </c>
      <c r="K38" s="306" t="str">
        <f t="shared" si="300"/>
        <v>-</v>
      </c>
      <c r="L38" s="307" t="str">
        <f t="shared" si="301"/>
        <v>-</v>
      </c>
      <c r="M38" s="302">
        <f t="shared" ref="M38:R38" si="303">D38/D40</f>
        <v>7.3649910337859642E-2</v>
      </c>
      <c r="N38" s="303">
        <f t="shared" si="303"/>
        <v>0.11101244912946662</v>
      </c>
      <c r="O38" s="304">
        <f t="shared" si="303"/>
        <v>1.1624627114442745E-3</v>
      </c>
      <c r="P38" s="302">
        <f t="shared" si="303"/>
        <v>5.8830501777953376E-2</v>
      </c>
      <c r="Q38" s="303">
        <f t="shared" si="303"/>
        <v>0</v>
      </c>
      <c r="R38" s="304">
        <f t="shared" si="303"/>
        <v>0</v>
      </c>
      <c r="S38" s="311">
        <f t="shared" si="296"/>
        <v>1.4819408559906266</v>
      </c>
      <c r="T38" s="312">
        <f t="shared" si="297"/>
        <v>11.101244912946662</v>
      </c>
      <c r="U38" s="312">
        <f t="shared" si="298"/>
        <v>0.11624627114442745</v>
      </c>
    </row>
    <row r="39" spans="2:21" ht="19.5" customHeight="1" x14ac:dyDescent="0.3">
      <c r="B39" s="647"/>
      <c r="C39" s="291" t="s">
        <v>349</v>
      </c>
      <c r="D39" s="292">
        <f t="shared" ref="D39:I39" si="304">D35/SUM(D34:D35)</f>
        <v>0.31433853673502854</v>
      </c>
      <c r="E39" s="293">
        <f t="shared" si="304"/>
        <v>0.36970941530634543</v>
      </c>
      <c r="F39" s="294">
        <f t="shared" si="304"/>
        <v>0.53298915319719986</v>
      </c>
      <c r="G39" s="292">
        <f t="shared" si="304"/>
        <v>0.19784889591290222</v>
      </c>
      <c r="H39" s="293">
        <f t="shared" si="304"/>
        <v>0.24657766342069973</v>
      </c>
      <c r="I39" s="294">
        <f t="shared" si="304"/>
        <v>0.24668979473836369</v>
      </c>
      <c r="J39" s="300">
        <f>(D39-G39)*100</f>
        <v>11.648964082212633</v>
      </c>
      <c r="K39" s="301">
        <f>(E39-H39)*100</f>
        <v>12.313175188564571</v>
      </c>
      <c r="L39" s="301">
        <f>(F39-I39)*100</f>
        <v>28.629935845883615</v>
      </c>
      <c r="M39" s="292">
        <f t="shared" ref="M39:R39" si="305">M35/SUM(M34:M35)</f>
        <v>0.33933017359524897</v>
      </c>
      <c r="N39" s="293">
        <f t="shared" si="305"/>
        <v>0.41587693207212034</v>
      </c>
      <c r="O39" s="294">
        <f t="shared" si="305"/>
        <v>0.53360945429028639</v>
      </c>
      <c r="P39" s="293">
        <f t="shared" si="305"/>
        <v>0.21021600921689079</v>
      </c>
      <c r="Q39" s="293">
        <f t="shared" si="305"/>
        <v>0.25258869212213919</v>
      </c>
      <c r="R39" s="294">
        <f t="shared" si="305"/>
        <v>0.24668979473836369</v>
      </c>
      <c r="S39" s="300">
        <f t="shared" si="296"/>
        <v>12.911416437835818</v>
      </c>
      <c r="T39" s="301">
        <f t="shared" si="297"/>
        <v>16.328823994998114</v>
      </c>
      <c r="U39" s="301">
        <f t="shared" si="298"/>
        <v>28.691965955192266</v>
      </c>
    </row>
    <row r="40" spans="2:21" ht="19.5" customHeight="1" x14ac:dyDescent="0.3">
      <c r="B40" s="648" t="s">
        <v>233</v>
      </c>
      <c r="C40" s="651"/>
      <c r="D40" s="271">
        <f t="shared" ref="D40:I40" si="306">D34+D35</f>
        <v>378086</v>
      </c>
      <c r="E40" s="272">
        <f t="shared" si="306"/>
        <v>507907</v>
      </c>
      <c r="F40" s="273">
        <f t="shared" si="306"/>
        <v>350979</v>
      </c>
      <c r="G40" s="274">
        <f t="shared" si="306"/>
        <v>227790</v>
      </c>
      <c r="H40" s="275">
        <f t="shared" si="306"/>
        <v>348227</v>
      </c>
      <c r="I40" s="276">
        <f t="shared" si="306"/>
        <v>207540</v>
      </c>
      <c r="J40" s="149">
        <f t="shared" ref="J40" si="307">D40/G40-1</f>
        <v>0.65980069362131788</v>
      </c>
      <c r="K40" s="212">
        <f t="shared" ref="K40" si="308">E40/H40-1</f>
        <v>0.45855146212097275</v>
      </c>
      <c r="L40" s="213">
        <f t="shared" ref="L40" si="309">F40/I40-1</f>
        <v>0.69113905753107829</v>
      </c>
      <c r="M40" s="271">
        <f t="shared" ref="M40:R40" si="310">M34+M35</f>
        <v>350240</v>
      </c>
      <c r="N40" s="272">
        <f t="shared" si="310"/>
        <v>451523</v>
      </c>
      <c r="O40" s="273">
        <f t="shared" si="310"/>
        <v>350571</v>
      </c>
      <c r="P40" s="275">
        <f t="shared" si="310"/>
        <v>214389</v>
      </c>
      <c r="Q40" s="275">
        <f t="shared" si="310"/>
        <v>339940</v>
      </c>
      <c r="R40" s="276">
        <f t="shared" si="310"/>
        <v>207540</v>
      </c>
      <c r="S40" s="149">
        <f t="shared" ref="S40" si="311">M40/P40-1</f>
        <v>0.63366590636646469</v>
      </c>
      <c r="T40" s="150">
        <f t="shared" ref="T40" si="312">N40/Q40-1</f>
        <v>0.32824321939165735</v>
      </c>
      <c r="U40" s="150">
        <f t="shared" ref="U40" si="313">O40/R40-1</f>
        <v>0.68917317143683143</v>
      </c>
    </row>
    <row r="41" spans="2:21" ht="19.5" customHeight="1" x14ac:dyDescent="0.3">
      <c r="B41" s="645">
        <v>45870</v>
      </c>
      <c r="C41" s="280" t="s">
        <v>49</v>
      </c>
      <c r="D41" s="281">
        <v>202927</v>
      </c>
      <c r="E41" s="282">
        <v>204995</v>
      </c>
      <c r="F41" s="283">
        <v>167532</v>
      </c>
      <c r="G41" s="281">
        <v>195033</v>
      </c>
      <c r="H41" s="282">
        <v>324247</v>
      </c>
      <c r="I41" s="283">
        <v>212881</v>
      </c>
      <c r="J41" s="144">
        <f t="shared" ref="J41:J42" si="314">D41/G41-1</f>
        <v>4.0475201632544255E-2</v>
      </c>
      <c r="K41" s="145">
        <f t="shared" ref="K41:K42" si="315">E41/H41-1</f>
        <v>-0.36778135187064187</v>
      </c>
      <c r="L41" s="207">
        <f t="shared" ref="L41:L42" si="316">F41/I41-1</f>
        <v>-0.21302511731906559</v>
      </c>
      <c r="M41" s="281">
        <f t="shared" ref="M41" si="317">D41-D44-D45</f>
        <v>195995</v>
      </c>
      <c r="N41" s="282">
        <f t="shared" ref="N41" si="318">E41-E44-E45</f>
        <v>191009</v>
      </c>
      <c r="O41" s="283">
        <f t="shared" ref="O41" si="319">F41-F44-F45</f>
        <v>167532</v>
      </c>
      <c r="P41" s="284">
        <f t="shared" ref="P41" si="320">G41-G44-G45</f>
        <v>174551</v>
      </c>
      <c r="Q41" s="285">
        <f t="shared" ref="Q41" si="321">H41-H44-H45</f>
        <v>323084</v>
      </c>
      <c r="R41" s="286">
        <f t="shared" ref="R41" si="322">I41-I44-I45</f>
        <v>212881</v>
      </c>
      <c r="S41" s="144">
        <f t="shared" ref="S41:S42" si="323">M41/P41-1</f>
        <v>0.12285234687856272</v>
      </c>
      <c r="T41" s="145">
        <f t="shared" ref="T41:T42" si="324">N41/Q41-1</f>
        <v>-0.40879461687982077</v>
      </c>
      <c r="U41" s="145">
        <f t="shared" ref="U41:U42" si="325">O41/R41-1</f>
        <v>-0.21302511731906559</v>
      </c>
    </row>
    <row r="42" spans="2:21" ht="19.5" customHeight="1" x14ac:dyDescent="0.3">
      <c r="B42" s="646"/>
      <c r="C42" s="287" t="s">
        <v>50</v>
      </c>
      <c r="D42" s="266">
        <v>83953</v>
      </c>
      <c r="E42" s="267">
        <v>134268</v>
      </c>
      <c r="F42" s="268">
        <v>215563</v>
      </c>
      <c r="G42" s="266">
        <v>47039</v>
      </c>
      <c r="H42" s="267">
        <v>85276</v>
      </c>
      <c r="I42" s="268">
        <v>57773</v>
      </c>
      <c r="J42" s="288">
        <f t="shared" si="314"/>
        <v>0.78475307723378473</v>
      </c>
      <c r="K42" s="289">
        <f t="shared" si="315"/>
        <v>0.57451099957784146</v>
      </c>
      <c r="L42" s="290">
        <f t="shared" si="316"/>
        <v>2.7312066190088795</v>
      </c>
      <c r="M42" s="266">
        <f t="shared" ref="M42" si="326">D42</f>
        <v>83953</v>
      </c>
      <c r="N42" s="267">
        <f t="shared" ref="N42" si="327">E42</f>
        <v>134268</v>
      </c>
      <c r="O42" s="268">
        <f t="shared" ref="O42" si="328">F42</f>
        <v>215563</v>
      </c>
      <c r="P42" s="269">
        <f t="shared" ref="P42" si="329">G42</f>
        <v>47039</v>
      </c>
      <c r="Q42" s="269">
        <f t="shared" ref="Q42" si="330">H42</f>
        <v>85276</v>
      </c>
      <c r="R42" s="270">
        <f t="shared" ref="R42" si="331">I42</f>
        <v>57773</v>
      </c>
      <c r="S42" s="288">
        <f t="shared" si="323"/>
        <v>0.78475307723378473</v>
      </c>
      <c r="T42" s="289">
        <f t="shared" si="324"/>
        <v>0.57451099957784146</v>
      </c>
      <c r="U42" s="289">
        <f t="shared" si="325"/>
        <v>2.7312066190088795</v>
      </c>
    </row>
    <row r="43" spans="2:21" ht="19.5" customHeight="1" x14ac:dyDescent="0.3">
      <c r="B43" s="646"/>
      <c r="C43" s="291" t="s">
        <v>347</v>
      </c>
      <c r="D43" s="292">
        <f t="shared" ref="D43:I43" si="332">D41/SUM(D41:D42)</f>
        <v>0.7073584774121584</v>
      </c>
      <c r="E43" s="293">
        <f t="shared" si="332"/>
        <v>0.60423624149995725</v>
      </c>
      <c r="F43" s="294">
        <f t="shared" si="332"/>
        <v>0.43731189391665254</v>
      </c>
      <c r="G43" s="292">
        <f t="shared" si="332"/>
        <v>0.80568178062725138</v>
      </c>
      <c r="H43" s="293">
        <f t="shared" si="332"/>
        <v>0.79176749535435131</v>
      </c>
      <c r="I43" s="294">
        <f t="shared" si="332"/>
        <v>0.78654296629645226</v>
      </c>
      <c r="J43" s="295">
        <f>(D43-G43)*100</f>
        <v>-9.8323303215092963</v>
      </c>
      <c r="K43" s="296">
        <f>(E43-H43)*100</f>
        <v>-18.753125385439407</v>
      </c>
      <c r="L43" s="296">
        <f>(F43-I43)*100</f>
        <v>-34.92310723797997</v>
      </c>
      <c r="M43" s="292">
        <f t="shared" ref="M43:R43" si="333">M41/SUM(M41:M42)</f>
        <v>0.70011216368754192</v>
      </c>
      <c r="N43" s="293">
        <f t="shared" si="333"/>
        <v>0.58721950829600622</v>
      </c>
      <c r="O43" s="294">
        <f t="shared" si="333"/>
        <v>0.43731189391665254</v>
      </c>
      <c r="P43" s="293">
        <f t="shared" si="333"/>
        <v>0.78772056500744614</v>
      </c>
      <c r="Q43" s="293">
        <f t="shared" si="333"/>
        <v>0.79117445391321384</v>
      </c>
      <c r="R43" s="294">
        <f t="shared" si="333"/>
        <v>0.78654296629645226</v>
      </c>
      <c r="S43" s="295">
        <f t="shared" ref="S43:S46" si="334">(M43-P43)*100</f>
        <v>-8.7608401319904221</v>
      </c>
      <c r="T43" s="296">
        <f t="shared" ref="T43:T46" si="335">(N43-Q43)*100</f>
        <v>-20.39549456172076</v>
      </c>
      <c r="U43" s="296">
        <f t="shared" ref="U43:U46" si="336">(O43-R43)*100</f>
        <v>-34.92310723797997</v>
      </c>
    </row>
    <row r="44" spans="2:21" ht="19.5" customHeight="1" x14ac:dyDescent="0.3">
      <c r="B44" s="646"/>
      <c r="C44" s="297" t="s">
        <v>633</v>
      </c>
      <c r="D44" s="369">
        <v>0</v>
      </c>
      <c r="E44" s="370">
        <v>0</v>
      </c>
      <c r="F44" s="371">
        <v>0</v>
      </c>
      <c r="G44" s="369">
        <v>0</v>
      </c>
      <c r="H44" s="370">
        <v>1163</v>
      </c>
      <c r="I44" s="371">
        <v>0</v>
      </c>
      <c r="J44" s="305" t="str">
        <f t="shared" ref="J44:J45" si="337">IFERROR(D44/G44-1,"-")</f>
        <v>-</v>
      </c>
      <c r="K44" s="306">
        <f t="shared" ref="K44:K45" si="338">IFERROR(E44/H44-1,"-")</f>
        <v>-1</v>
      </c>
      <c r="L44" s="307" t="str">
        <f t="shared" ref="L44:L45" si="339">IFERROR(F44/I44-1,"-")</f>
        <v>-</v>
      </c>
      <c r="M44" s="302">
        <f t="shared" ref="M44:R44" si="340">D44/D47</f>
        <v>0</v>
      </c>
      <c r="N44" s="303">
        <f t="shared" si="340"/>
        <v>0</v>
      </c>
      <c r="O44" s="304">
        <f t="shared" si="340"/>
        <v>0</v>
      </c>
      <c r="P44" s="302">
        <f t="shared" si="340"/>
        <v>0</v>
      </c>
      <c r="Q44" s="303">
        <f t="shared" si="340"/>
        <v>2.8398893346649637E-3</v>
      </c>
      <c r="R44" s="304">
        <f t="shared" si="340"/>
        <v>0</v>
      </c>
      <c r="S44" s="311">
        <f t="shared" si="334"/>
        <v>0</v>
      </c>
      <c r="T44" s="312">
        <f t="shared" si="335"/>
        <v>-0.28398893346649634</v>
      </c>
      <c r="U44" s="312">
        <f t="shared" si="336"/>
        <v>0</v>
      </c>
    </row>
    <row r="45" spans="2:21" ht="29.5" customHeight="1" x14ac:dyDescent="0.3">
      <c r="B45" s="646"/>
      <c r="C45" s="297" t="s">
        <v>634</v>
      </c>
      <c r="D45" s="369">
        <v>6932</v>
      </c>
      <c r="E45" s="370">
        <v>13986</v>
      </c>
      <c r="F45" s="371">
        <v>0</v>
      </c>
      <c r="G45" s="369">
        <v>20482</v>
      </c>
      <c r="H45" s="370">
        <v>0</v>
      </c>
      <c r="I45" s="371">
        <v>0</v>
      </c>
      <c r="J45" s="305">
        <f t="shared" si="337"/>
        <v>-0.66155648862415783</v>
      </c>
      <c r="K45" s="306" t="str">
        <f t="shared" si="338"/>
        <v>-</v>
      </c>
      <c r="L45" s="307" t="str">
        <f t="shared" si="339"/>
        <v>-</v>
      </c>
      <c r="M45" s="302">
        <f t="shared" ref="M45:R45" si="341">D45/D47</f>
        <v>2.4163413273842721E-2</v>
      </c>
      <c r="N45" s="303">
        <f t="shared" si="341"/>
        <v>4.1224654618982913E-2</v>
      </c>
      <c r="O45" s="304">
        <f t="shared" si="341"/>
        <v>0</v>
      </c>
      <c r="P45" s="302">
        <f t="shared" si="341"/>
        <v>8.4611190059155947E-2</v>
      </c>
      <c r="Q45" s="303">
        <f t="shared" si="341"/>
        <v>0</v>
      </c>
      <c r="R45" s="304">
        <f t="shared" si="341"/>
        <v>0</v>
      </c>
      <c r="S45" s="311">
        <f t="shared" si="334"/>
        <v>-6.0447776785313225</v>
      </c>
      <c r="T45" s="312">
        <f t="shared" si="335"/>
        <v>4.1224654618982912</v>
      </c>
      <c r="U45" s="312">
        <f t="shared" si="336"/>
        <v>0</v>
      </c>
    </row>
    <row r="46" spans="2:21" ht="19.5" customHeight="1" x14ac:dyDescent="0.3">
      <c r="B46" s="647"/>
      <c r="C46" s="291" t="s">
        <v>349</v>
      </c>
      <c r="D46" s="292">
        <f t="shared" ref="D46:I46" si="342">D42/SUM(D41:D42)</f>
        <v>0.2926415225878416</v>
      </c>
      <c r="E46" s="293">
        <f t="shared" si="342"/>
        <v>0.39576375850004275</v>
      </c>
      <c r="F46" s="294">
        <f t="shared" si="342"/>
        <v>0.56268810608334752</v>
      </c>
      <c r="G46" s="292">
        <f t="shared" si="342"/>
        <v>0.1943182193727486</v>
      </c>
      <c r="H46" s="293">
        <f t="shared" si="342"/>
        <v>0.20823250464564871</v>
      </c>
      <c r="I46" s="294">
        <f t="shared" si="342"/>
        <v>0.21345703370354771</v>
      </c>
      <c r="J46" s="300">
        <f>(D46-G46)*100</f>
        <v>9.8323303215092999</v>
      </c>
      <c r="K46" s="301">
        <f>(E46-H46)*100</f>
        <v>18.753125385439404</v>
      </c>
      <c r="L46" s="301">
        <f>(F46-I46)*100</f>
        <v>34.923107237979977</v>
      </c>
      <c r="M46" s="292">
        <f t="shared" ref="M46:R46" si="343">M42/SUM(M41:M42)</f>
        <v>0.29988783631245802</v>
      </c>
      <c r="N46" s="293">
        <f t="shared" si="343"/>
        <v>0.41278049170399383</v>
      </c>
      <c r="O46" s="294">
        <f t="shared" si="343"/>
        <v>0.56268810608334752</v>
      </c>
      <c r="P46" s="293">
        <f t="shared" si="343"/>
        <v>0.21227943499255381</v>
      </c>
      <c r="Q46" s="293">
        <f t="shared" si="343"/>
        <v>0.20882554608678616</v>
      </c>
      <c r="R46" s="294">
        <f t="shared" si="343"/>
        <v>0.21345703370354771</v>
      </c>
      <c r="S46" s="300">
        <f t="shared" si="334"/>
        <v>8.7608401319904221</v>
      </c>
      <c r="T46" s="301">
        <f t="shared" si="335"/>
        <v>20.395494561720767</v>
      </c>
      <c r="U46" s="301">
        <f t="shared" si="336"/>
        <v>34.923107237979977</v>
      </c>
    </row>
    <row r="47" spans="2:21" ht="19.5" customHeight="1" x14ac:dyDescent="0.3">
      <c r="B47" s="648" t="s">
        <v>233</v>
      </c>
      <c r="C47" s="651"/>
      <c r="D47" s="271">
        <f t="shared" ref="D47:I47" si="344">D41+D42</f>
        <v>286880</v>
      </c>
      <c r="E47" s="272">
        <f t="shared" si="344"/>
        <v>339263</v>
      </c>
      <c r="F47" s="273">
        <f t="shared" si="344"/>
        <v>383095</v>
      </c>
      <c r="G47" s="274">
        <f t="shared" si="344"/>
        <v>242072</v>
      </c>
      <c r="H47" s="275">
        <f t="shared" si="344"/>
        <v>409523</v>
      </c>
      <c r="I47" s="276">
        <f t="shared" si="344"/>
        <v>270654</v>
      </c>
      <c r="J47" s="149">
        <f t="shared" ref="J47" si="345">D47/G47-1</f>
        <v>0.18510195313790945</v>
      </c>
      <c r="K47" s="212">
        <f t="shared" ref="K47" si="346">E47/H47-1</f>
        <v>-0.17156545542008628</v>
      </c>
      <c r="L47" s="213">
        <f t="shared" ref="L47" si="347">F47/I47-1</f>
        <v>0.41544185565334346</v>
      </c>
      <c r="M47" s="271">
        <f t="shared" ref="M47:R47" si="348">M41+M42</f>
        <v>279948</v>
      </c>
      <c r="N47" s="272">
        <f t="shared" si="348"/>
        <v>325277</v>
      </c>
      <c r="O47" s="273">
        <f t="shared" si="348"/>
        <v>383095</v>
      </c>
      <c r="P47" s="275">
        <f t="shared" si="348"/>
        <v>221590</v>
      </c>
      <c r="Q47" s="275">
        <f t="shared" si="348"/>
        <v>408360</v>
      </c>
      <c r="R47" s="276">
        <f t="shared" si="348"/>
        <v>270654</v>
      </c>
      <c r="S47" s="149">
        <f t="shared" ref="S47" si="349">M47/P47-1</f>
        <v>0.26336025993952794</v>
      </c>
      <c r="T47" s="150">
        <f t="shared" ref="T47" si="350">N47/Q47-1</f>
        <v>-0.20345528455284556</v>
      </c>
      <c r="U47" s="150">
        <f t="shared" ref="U47" si="351">O47/R47-1</f>
        <v>0.41544185565334346</v>
      </c>
    </row>
    <row r="48" spans="2:21" ht="19.5" customHeight="1" x14ac:dyDescent="0.3">
      <c r="B48" s="645">
        <v>45839</v>
      </c>
      <c r="C48" s="280" t="s">
        <v>49</v>
      </c>
      <c r="D48" s="281">
        <v>226815</v>
      </c>
      <c r="E48" s="282">
        <v>183883</v>
      </c>
      <c r="F48" s="283">
        <v>213203</v>
      </c>
      <c r="G48" s="281">
        <v>222116</v>
      </c>
      <c r="H48" s="282">
        <v>304717</v>
      </c>
      <c r="I48" s="283">
        <v>180309</v>
      </c>
      <c r="J48" s="144">
        <f t="shared" ref="J48:J49" si="352">D48/G48-1</f>
        <v>2.1155612382719013E-2</v>
      </c>
      <c r="K48" s="145">
        <f t="shared" ref="K48:K49" si="353">E48/H48-1</f>
        <v>-0.3965449909260067</v>
      </c>
      <c r="L48" s="207">
        <f t="shared" ref="L48:L49" si="354">F48/I48-1</f>
        <v>0.18243127076296806</v>
      </c>
      <c r="M48" s="281">
        <f t="shared" ref="M48" si="355">D48-D51-D52</f>
        <v>222425</v>
      </c>
      <c r="N48" s="282">
        <f t="shared" ref="N48" si="356">E48-E51-E52</f>
        <v>166028</v>
      </c>
      <c r="O48" s="283">
        <f t="shared" ref="O48" si="357">F48-F51-F52</f>
        <v>213203</v>
      </c>
      <c r="P48" s="284">
        <f t="shared" ref="P48" si="358">G48-G51-G52</f>
        <v>178158</v>
      </c>
      <c r="Q48" s="285">
        <f t="shared" ref="Q48" si="359">H48-H51-H52</f>
        <v>302315</v>
      </c>
      <c r="R48" s="286">
        <f t="shared" ref="R48" si="360">I48-I51-I52</f>
        <v>180309</v>
      </c>
      <c r="S48" s="144">
        <f t="shared" ref="S48:S49" si="361">M48/P48-1</f>
        <v>0.24847045880622809</v>
      </c>
      <c r="T48" s="145">
        <f t="shared" ref="T48:T49" si="362">N48/Q48-1</f>
        <v>-0.45081123993185912</v>
      </c>
      <c r="U48" s="145">
        <f t="shared" ref="U48:U49" si="363">O48/R48-1</f>
        <v>0.18243127076296806</v>
      </c>
    </row>
    <row r="49" spans="2:21" ht="19.5" customHeight="1" x14ac:dyDescent="0.3">
      <c r="B49" s="646"/>
      <c r="C49" s="287" t="s">
        <v>50</v>
      </c>
      <c r="D49" s="266">
        <v>78885</v>
      </c>
      <c r="E49" s="267">
        <v>156623</v>
      </c>
      <c r="F49" s="268">
        <v>183959</v>
      </c>
      <c r="G49" s="266">
        <v>60621</v>
      </c>
      <c r="H49" s="267">
        <v>66971</v>
      </c>
      <c r="I49" s="268">
        <v>59120</v>
      </c>
      <c r="J49" s="288">
        <f t="shared" si="352"/>
        <v>0.30128173405255598</v>
      </c>
      <c r="K49" s="289">
        <f t="shared" si="353"/>
        <v>1.3386689761239938</v>
      </c>
      <c r="L49" s="290">
        <f t="shared" si="354"/>
        <v>2.1116204330175914</v>
      </c>
      <c r="M49" s="266">
        <f t="shared" ref="M49" si="364">D49</f>
        <v>78885</v>
      </c>
      <c r="N49" s="267">
        <f t="shared" ref="N49" si="365">E49</f>
        <v>156623</v>
      </c>
      <c r="O49" s="268">
        <f t="shared" ref="O49" si="366">F49</f>
        <v>183959</v>
      </c>
      <c r="P49" s="269">
        <f t="shared" ref="P49" si="367">G49</f>
        <v>60621</v>
      </c>
      <c r="Q49" s="269">
        <f t="shared" ref="Q49" si="368">H49</f>
        <v>66971</v>
      </c>
      <c r="R49" s="270">
        <f t="shared" ref="R49" si="369">I49</f>
        <v>59120</v>
      </c>
      <c r="S49" s="288">
        <f t="shared" si="361"/>
        <v>0.30128173405255598</v>
      </c>
      <c r="T49" s="289">
        <f t="shared" si="362"/>
        <v>1.3386689761239938</v>
      </c>
      <c r="U49" s="289">
        <f t="shared" si="363"/>
        <v>2.1116204330175914</v>
      </c>
    </row>
    <row r="50" spans="2:21" ht="19.5" customHeight="1" x14ac:dyDescent="0.3">
      <c r="B50" s="646"/>
      <c r="C50" s="291" t="s">
        <v>347</v>
      </c>
      <c r="D50" s="292">
        <f t="shared" ref="D50:I50" si="370">D48/SUM(D48:D49)</f>
        <v>0.7419528949950932</v>
      </c>
      <c r="E50" s="293">
        <f t="shared" si="370"/>
        <v>0.54002866322473031</v>
      </c>
      <c r="F50" s="294">
        <f t="shared" si="370"/>
        <v>0.53681621101716681</v>
      </c>
      <c r="G50" s="292">
        <f t="shared" si="370"/>
        <v>0.78559226418898132</v>
      </c>
      <c r="H50" s="293">
        <f t="shared" si="370"/>
        <v>0.8198193108198274</v>
      </c>
      <c r="I50" s="294">
        <f t="shared" si="370"/>
        <v>0.75307920093221792</v>
      </c>
      <c r="J50" s="295">
        <f>(D50-G50)*100</f>
        <v>-4.3639369193888111</v>
      </c>
      <c r="K50" s="296">
        <f>(E50-H50)*100</f>
        <v>-27.979064759509708</v>
      </c>
      <c r="L50" s="296">
        <f>(F50-I50)*100</f>
        <v>-21.626298991505109</v>
      </c>
      <c r="M50" s="292">
        <f t="shared" ref="M50:R50" si="371">M48/SUM(M48:M49)</f>
        <v>0.73819322292655409</v>
      </c>
      <c r="N50" s="293">
        <f t="shared" si="371"/>
        <v>0.51457457128600248</v>
      </c>
      <c r="O50" s="294">
        <f t="shared" si="371"/>
        <v>0.53681621101716681</v>
      </c>
      <c r="P50" s="293">
        <f t="shared" si="371"/>
        <v>0.74612089002801751</v>
      </c>
      <c r="Q50" s="293">
        <f t="shared" si="371"/>
        <v>0.81864733566937276</v>
      </c>
      <c r="R50" s="294">
        <f t="shared" si="371"/>
        <v>0.75307920093221792</v>
      </c>
      <c r="S50" s="295">
        <f t="shared" ref="S50:S53" si="372">(M50-P50)*100</f>
        <v>-0.79276671014634204</v>
      </c>
      <c r="T50" s="296">
        <f t="shared" ref="T50:T53" si="373">(N50-Q50)*100</f>
        <v>-30.407276438337028</v>
      </c>
      <c r="U50" s="296">
        <f t="shared" ref="U50:U53" si="374">(O50-R50)*100</f>
        <v>-21.626298991505109</v>
      </c>
    </row>
    <row r="51" spans="2:21" ht="19.5" customHeight="1" x14ac:dyDescent="0.3">
      <c r="B51" s="646"/>
      <c r="C51" s="297" t="s">
        <v>633</v>
      </c>
      <c r="D51" s="369">
        <v>7</v>
      </c>
      <c r="E51" s="370">
        <v>0</v>
      </c>
      <c r="F51" s="371">
        <v>0</v>
      </c>
      <c r="G51" s="369">
        <v>0</v>
      </c>
      <c r="H51" s="370">
        <v>2402</v>
      </c>
      <c r="I51" s="371">
        <v>0</v>
      </c>
      <c r="J51" s="305" t="str">
        <f t="shared" ref="J51:J52" si="375">IFERROR(D51/G51-1,"-")</f>
        <v>-</v>
      </c>
      <c r="K51" s="306">
        <f t="shared" ref="K51:K52" si="376">IFERROR(E51/H51-1,"-")</f>
        <v>-1</v>
      </c>
      <c r="L51" s="307" t="str">
        <f t="shared" ref="L51:L52" si="377">IFERROR(F51/I51-1,"-")</f>
        <v>-</v>
      </c>
      <c r="M51" s="302">
        <f t="shared" ref="M51:R52" si="378">D51/D$54</f>
        <v>2.2898266274124959E-5</v>
      </c>
      <c r="N51" s="303">
        <f t="shared" si="378"/>
        <v>0</v>
      </c>
      <c r="O51" s="304">
        <f t="shared" si="378"/>
        <v>0</v>
      </c>
      <c r="P51" s="302">
        <f t="shared" si="378"/>
        <v>0</v>
      </c>
      <c r="Q51" s="303">
        <f t="shared" si="378"/>
        <v>6.46240933255849E-3</v>
      </c>
      <c r="R51" s="304">
        <f t="shared" si="378"/>
        <v>0</v>
      </c>
      <c r="S51" s="311">
        <f t="shared" si="372"/>
        <v>2.2898266274124957E-3</v>
      </c>
      <c r="T51" s="312">
        <f t="shared" si="373"/>
        <v>-0.64624093325584897</v>
      </c>
      <c r="U51" s="312">
        <f t="shared" si="374"/>
        <v>0</v>
      </c>
    </row>
    <row r="52" spans="2:21" ht="29.5" customHeight="1" x14ac:dyDescent="0.3">
      <c r="B52" s="646"/>
      <c r="C52" s="297" t="s">
        <v>634</v>
      </c>
      <c r="D52" s="369">
        <v>4383</v>
      </c>
      <c r="E52" s="370">
        <v>17855</v>
      </c>
      <c r="F52" s="371">
        <v>0</v>
      </c>
      <c r="G52" s="369">
        <v>43958</v>
      </c>
      <c r="H52" s="370">
        <v>0</v>
      </c>
      <c r="I52" s="371">
        <v>0</v>
      </c>
      <c r="J52" s="305">
        <f t="shared" si="375"/>
        <v>-0.90029118704217659</v>
      </c>
      <c r="K52" s="306" t="str">
        <f t="shared" si="376"/>
        <v>-</v>
      </c>
      <c r="L52" s="307" t="str">
        <f t="shared" si="377"/>
        <v>-</v>
      </c>
      <c r="M52" s="302">
        <f t="shared" si="378"/>
        <v>1.4337585868498528E-2</v>
      </c>
      <c r="N52" s="303">
        <f t="shared" si="378"/>
        <v>5.2436667782652872E-2</v>
      </c>
      <c r="O52" s="304">
        <f t="shared" si="378"/>
        <v>0</v>
      </c>
      <c r="P52" s="302">
        <f t="shared" si="378"/>
        <v>0.15547310751687965</v>
      </c>
      <c r="Q52" s="303">
        <f t="shared" si="378"/>
        <v>0</v>
      </c>
      <c r="R52" s="304">
        <f t="shared" si="378"/>
        <v>0</v>
      </c>
      <c r="S52" s="311">
        <f t="shared" si="372"/>
        <v>-14.113552164838111</v>
      </c>
      <c r="T52" s="312">
        <f t="shared" si="373"/>
        <v>5.243666778265287</v>
      </c>
      <c r="U52" s="312">
        <f t="shared" si="374"/>
        <v>0</v>
      </c>
    </row>
    <row r="53" spans="2:21" ht="19.5" customHeight="1" x14ac:dyDescent="0.3">
      <c r="B53" s="647"/>
      <c r="C53" s="291" t="s">
        <v>349</v>
      </c>
      <c r="D53" s="292">
        <f t="shared" ref="D53:I53" si="379">D49/SUM(D48:D49)</f>
        <v>0.2580471050049068</v>
      </c>
      <c r="E53" s="293">
        <f t="shared" si="379"/>
        <v>0.45997133677526975</v>
      </c>
      <c r="F53" s="294">
        <f t="shared" si="379"/>
        <v>0.46318378898283319</v>
      </c>
      <c r="G53" s="292">
        <f t="shared" si="379"/>
        <v>0.21440773581101871</v>
      </c>
      <c r="H53" s="293">
        <f t="shared" si="379"/>
        <v>0.1801806891801726</v>
      </c>
      <c r="I53" s="294">
        <f t="shared" si="379"/>
        <v>0.24692079906778211</v>
      </c>
      <c r="J53" s="300">
        <f>(D53-G53)*100</f>
        <v>4.3639369193888085</v>
      </c>
      <c r="K53" s="301">
        <f>(E53-H53)*100</f>
        <v>27.979064759509715</v>
      </c>
      <c r="L53" s="301">
        <f>(F53-I53)*100</f>
        <v>21.626298991505109</v>
      </c>
      <c r="M53" s="292">
        <f t="shared" ref="M53:R53" si="380">M49/SUM(M48:M49)</f>
        <v>0.26180677707344596</v>
      </c>
      <c r="N53" s="293">
        <f t="shared" si="380"/>
        <v>0.48542542871399746</v>
      </c>
      <c r="O53" s="294">
        <f t="shared" si="380"/>
        <v>0.46318378898283319</v>
      </c>
      <c r="P53" s="293">
        <f t="shared" si="380"/>
        <v>0.25387910997198249</v>
      </c>
      <c r="Q53" s="293">
        <f t="shared" si="380"/>
        <v>0.18135266433062722</v>
      </c>
      <c r="R53" s="294">
        <f t="shared" si="380"/>
        <v>0.24692079906778211</v>
      </c>
      <c r="S53" s="300">
        <f t="shared" si="372"/>
        <v>0.79276671014634759</v>
      </c>
      <c r="T53" s="301">
        <f t="shared" si="373"/>
        <v>30.407276438337028</v>
      </c>
      <c r="U53" s="301">
        <f t="shared" si="374"/>
        <v>21.626298991505109</v>
      </c>
    </row>
    <row r="54" spans="2:21" ht="19.5" customHeight="1" x14ac:dyDescent="0.3">
      <c r="B54" s="648" t="s">
        <v>233</v>
      </c>
      <c r="C54" s="651"/>
      <c r="D54" s="271">
        <f t="shared" ref="D54:I54" si="381">D48+D49</f>
        <v>305700</v>
      </c>
      <c r="E54" s="272">
        <f t="shared" si="381"/>
        <v>340506</v>
      </c>
      <c r="F54" s="273">
        <f t="shared" si="381"/>
        <v>397162</v>
      </c>
      <c r="G54" s="274">
        <f t="shared" si="381"/>
        <v>282737</v>
      </c>
      <c r="H54" s="275">
        <f t="shared" si="381"/>
        <v>371688</v>
      </c>
      <c r="I54" s="276">
        <f t="shared" si="381"/>
        <v>239429</v>
      </c>
      <c r="J54" s="149">
        <f t="shared" ref="J54" si="382">D54/G54-1</f>
        <v>8.1216819871470669E-2</v>
      </c>
      <c r="K54" s="212">
        <f t="shared" ref="K54" si="383">E54/H54-1</f>
        <v>-8.3892942467876264E-2</v>
      </c>
      <c r="L54" s="213">
        <f t="shared" ref="L54" si="384">F54/I54-1</f>
        <v>0.65878820025978468</v>
      </c>
      <c r="M54" s="271">
        <f t="shared" ref="M54:R54" si="385">M48+M49</f>
        <v>301310</v>
      </c>
      <c r="N54" s="272">
        <f t="shared" si="385"/>
        <v>322651</v>
      </c>
      <c r="O54" s="273">
        <f t="shared" si="385"/>
        <v>397162</v>
      </c>
      <c r="P54" s="275">
        <f t="shared" si="385"/>
        <v>238779</v>
      </c>
      <c r="Q54" s="275">
        <f t="shared" si="385"/>
        <v>369286</v>
      </c>
      <c r="R54" s="276">
        <f t="shared" si="385"/>
        <v>239429</v>
      </c>
      <c r="S54" s="149">
        <f t="shared" ref="S54" si="386">M54/P54-1</f>
        <v>0.26187813836225127</v>
      </c>
      <c r="T54" s="150">
        <f t="shared" ref="T54" si="387">N54/Q54-1</f>
        <v>-0.12628423498318375</v>
      </c>
      <c r="U54" s="150">
        <f t="shared" ref="U54" si="388">O54/R54-1</f>
        <v>0.65878820025978468</v>
      </c>
    </row>
    <row r="55" spans="2:21" ht="19.5" customHeight="1" x14ac:dyDescent="0.3">
      <c r="B55" s="645">
        <v>45809</v>
      </c>
      <c r="C55" s="280" t="s">
        <v>49</v>
      </c>
      <c r="D55" s="281">
        <v>312346</v>
      </c>
      <c r="E55" s="282">
        <v>248741</v>
      </c>
      <c r="F55" s="283">
        <v>421555</v>
      </c>
      <c r="G55" s="281">
        <v>504663</v>
      </c>
      <c r="H55" s="282">
        <v>1520790</v>
      </c>
      <c r="I55" s="283">
        <v>310398</v>
      </c>
      <c r="J55" s="144">
        <f t="shared" ref="J55:J56" si="389">D55/G55-1</f>
        <v>-0.38108004747722735</v>
      </c>
      <c r="K55" s="145">
        <f t="shared" ref="K55:K56" si="390">E55/H55-1</f>
        <v>-0.83643961362186758</v>
      </c>
      <c r="L55" s="207">
        <f t="shared" ref="L55:L56" si="391">F55/I55-1</f>
        <v>0.35811119917009782</v>
      </c>
      <c r="M55" s="281">
        <f t="shared" ref="M55" si="392">D55-D58-D59</f>
        <v>299679</v>
      </c>
      <c r="N55" s="282">
        <f t="shared" ref="N55" si="393">E55-E58-E59</f>
        <v>248697</v>
      </c>
      <c r="O55" s="283">
        <f t="shared" ref="O55" si="394">F55-F58-F59</f>
        <v>377610</v>
      </c>
      <c r="P55" s="284">
        <f t="shared" ref="P55" si="395">G55-G58-G59</f>
        <v>277750</v>
      </c>
      <c r="Q55" s="285">
        <f t="shared" ref="Q55" si="396">H55-H58-H59</f>
        <v>340948</v>
      </c>
      <c r="R55" s="286">
        <f t="shared" ref="R55" si="397">I55-I58-I59</f>
        <v>212317</v>
      </c>
      <c r="S55" s="144">
        <f t="shared" ref="S55:S56" si="398">M55/P55-1</f>
        <v>7.8952295229522962E-2</v>
      </c>
      <c r="T55" s="145">
        <f t="shared" ref="T55:T56" si="399">N55/Q55-1</f>
        <v>-0.27057205204312684</v>
      </c>
      <c r="U55" s="145">
        <f t="shared" ref="U55:U56" si="400">O55/R55-1</f>
        <v>0.77851985474549856</v>
      </c>
    </row>
    <row r="56" spans="2:21" ht="19.5" customHeight="1" x14ac:dyDescent="0.3">
      <c r="B56" s="646"/>
      <c r="C56" s="287" t="s">
        <v>50</v>
      </c>
      <c r="D56" s="266">
        <v>199169</v>
      </c>
      <c r="E56" s="267">
        <v>141195</v>
      </c>
      <c r="F56" s="268">
        <v>136694</v>
      </c>
      <c r="G56" s="266">
        <v>126364</v>
      </c>
      <c r="H56" s="267">
        <v>171700</v>
      </c>
      <c r="I56" s="268">
        <v>113158</v>
      </c>
      <c r="J56" s="288">
        <f t="shared" si="389"/>
        <v>0.57615301826469567</v>
      </c>
      <c r="K56" s="289">
        <f t="shared" si="390"/>
        <v>-0.17766453115899827</v>
      </c>
      <c r="L56" s="290">
        <f t="shared" si="391"/>
        <v>0.20799236465826554</v>
      </c>
      <c r="M56" s="266">
        <f t="shared" ref="M56" si="401">D56</f>
        <v>199169</v>
      </c>
      <c r="N56" s="267">
        <f t="shared" ref="N56" si="402">E56</f>
        <v>141195</v>
      </c>
      <c r="O56" s="268">
        <f t="shared" ref="O56" si="403">F56</f>
        <v>136694</v>
      </c>
      <c r="P56" s="269">
        <f t="shared" ref="P56" si="404">G56</f>
        <v>126364</v>
      </c>
      <c r="Q56" s="269">
        <f t="shared" ref="Q56" si="405">H56</f>
        <v>171700</v>
      </c>
      <c r="R56" s="270">
        <f t="shared" ref="R56" si="406">I56</f>
        <v>113158</v>
      </c>
      <c r="S56" s="288">
        <f t="shared" si="398"/>
        <v>0.57615301826469567</v>
      </c>
      <c r="T56" s="289">
        <f t="shared" si="399"/>
        <v>-0.17766453115899827</v>
      </c>
      <c r="U56" s="289">
        <f t="shared" si="400"/>
        <v>0.20799236465826554</v>
      </c>
    </row>
    <row r="57" spans="2:21" ht="19.5" customHeight="1" x14ac:dyDescent="0.3">
      <c r="B57" s="646"/>
      <c r="C57" s="291" t="s">
        <v>347</v>
      </c>
      <c r="D57" s="292">
        <f t="shared" ref="D57:I57" si="407">D55/SUM(D55:D56)</f>
        <v>0.61062920930959996</v>
      </c>
      <c r="E57" s="293">
        <f t="shared" si="407"/>
        <v>0.63790211727052648</v>
      </c>
      <c r="F57" s="294">
        <f t="shared" si="407"/>
        <v>0.75513794023813752</v>
      </c>
      <c r="G57" s="292">
        <f t="shared" si="407"/>
        <v>0.7997486636863399</v>
      </c>
      <c r="H57" s="293">
        <f t="shared" si="407"/>
        <v>0.89855183782474346</v>
      </c>
      <c r="I57" s="294">
        <f t="shared" si="407"/>
        <v>0.73283816071546615</v>
      </c>
      <c r="J57" s="295">
        <f>(D57-G57)*100</f>
        <v>-18.911945437673992</v>
      </c>
      <c r="K57" s="296">
        <f>(E57-H57)*100</f>
        <v>-26.064972055421698</v>
      </c>
      <c r="L57" s="296">
        <f>(F57-I57)*100</f>
        <v>2.229977952267137</v>
      </c>
      <c r="M57" s="292">
        <f t="shared" ref="M57:R57" si="408">M55/SUM(M55:M56)</f>
        <v>0.6007421098210276</v>
      </c>
      <c r="N57" s="293">
        <f t="shared" si="408"/>
        <v>0.63786125388569137</v>
      </c>
      <c r="O57" s="294">
        <f t="shared" si="408"/>
        <v>0.73421556122448983</v>
      </c>
      <c r="P57" s="293">
        <f t="shared" si="408"/>
        <v>0.6873060572016807</v>
      </c>
      <c r="Q57" s="293">
        <f t="shared" si="408"/>
        <v>0.6650723303319237</v>
      </c>
      <c r="R57" s="294">
        <f t="shared" si="408"/>
        <v>0.65232967201782011</v>
      </c>
      <c r="S57" s="295">
        <f t="shared" ref="S57:S60" si="409">(M57-P57)*100</f>
        <v>-8.656394738065309</v>
      </c>
      <c r="T57" s="296">
        <f t="shared" ref="T57:T60" si="410">(N57-Q57)*100</f>
        <v>-2.721107644623233</v>
      </c>
      <c r="U57" s="296">
        <f t="shared" ref="U57:U60" si="411">(O57-R57)*100</f>
        <v>8.1885889206669731</v>
      </c>
    </row>
    <row r="58" spans="2:21" ht="19.5" customHeight="1" x14ac:dyDescent="0.3">
      <c r="B58" s="646"/>
      <c r="C58" s="297" t="s">
        <v>633</v>
      </c>
      <c r="D58" s="369">
        <v>0</v>
      </c>
      <c r="E58" s="370">
        <v>0</v>
      </c>
      <c r="F58" s="371">
        <v>0</v>
      </c>
      <c r="G58" s="369">
        <v>0</v>
      </c>
      <c r="H58" s="360">
        <v>1000428</v>
      </c>
      <c r="I58" s="371">
        <v>0</v>
      </c>
      <c r="J58" s="305" t="str">
        <f t="shared" ref="J58:J59" si="412">IFERROR(D58/G58-1,"-")</f>
        <v>-</v>
      </c>
      <c r="K58" s="306">
        <f t="shared" ref="K58:K59" si="413">IFERROR(E58/H58-1,"-")</f>
        <v>-1</v>
      </c>
      <c r="L58" s="307" t="str">
        <f t="shared" ref="L58:L59" si="414">IFERROR(F58/I58-1,"-")</f>
        <v>-</v>
      </c>
      <c r="M58" s="302">
        <f t="shared" ref="M58:R59" si="415">D58/D$61</f>
        <v>0</v>
      </c>
      <c r="N58" s="303">
        <f t="shared" si="415"/>
        <v>0</v>
      </c>
      <c r="O58" s="304">
        <f t="shared" si="415"/>
        <v>0</v>
      </c>
      <c r="P58" s="302">
        <f t="shared" si="415"/>
        <v>0</v>
      </c>
      <c r="Q58" s="303">
        <f t="shared" si="415"/>
        <v>0.59109832258979378</v>
      </c>
      <c r="R58" s="304">
        <f t="shared" si="415"/>
        <v>0</v>
      </c>
      <c r="S58" s="311">
        <f t="shared" si="409"/>
        <v>0</v>
      </c>
      <c r="T58" s="312">
        <f t="shared" si="410"/>
        <v>-59.109832258979381</v>
      </c>
      <c r="U58" s="312">
        <f t="shared" si="411"/>
        <v>0</v>
      </c>
    </row>
    <row r="59" spans="2:21" ht="29.5" customHeight="1" x14ac:dyDescent="0.3">
      <c r="B59" s="646"/>
      <c r="C59" s="297" t="s">
        <v>634</v>
      </c>
      <c r="D59" s="369">
        <v>12667</v>
      </c>
      <c r="E59" s="370">
        <v>44</v>
      </c>
      <c r="F59" s="371">
        <v>43945</v>
      </c>
      <c r="G59" s="369">
        <v>226913</v>
      </c>
      <c r="H59" s="370">
        <v>179414</v>
      </c>
      <c r="I59" s="371">
        <v>98081</v>
      </c>
      <c r="J59" s="305">
        <f t="shared" si="412"/>
        <v>-0.94417684310727024</v>
      </c>
      <c r="K59" s="306">
        <f t="shared" si="413"/>
        <v>-0.99975475715384532</v>
      </c>
      <c r="L59" s="307">
        <f t="shared" si="414"/>
        <v>-0.55195195807546826</v>
      </c>
      <c r="M59" s="302">
        <f t="shared" si="415"/>
        <v>2.4763692169340098E-2</v>
      </c>
      <c r="N59" s="303">
        <f t="shared" si="415"/>
        <v>1.1283902999466579E-4</v>
      </c>
      <c r="O59" s="304">
        <f t="shared" si="415"/>
        <v>7.8719352833592174E-2</v>
      </c>
      <c r="P59" s="302">
        <f t="shared" si="415"/>
        <v>0.35959317113213857</v>
      </c>
      <c r="Q59" s="303">
        <f t="shared" si="415"/>
        <v>0.10600594390513386</v>
      </c>
      <c r="R59" s="304">
        <f t="shared" si="415"/>
        <v>0.23156560171500346</v>
      </c>
      <c r="S59" s="311">
        <f t="shared" si="409"/>
        <v>-33.482947896279846</v>
      </c>
      <c r="T59" s="312">
        <f t="shared" si="410"/>
        <v>-10.58931048751392</v>
      </c>
      <c r="U59" s="312">
        <f t="shared" si="411"/>
        <v>-15.28462488814113</v>
      </c>
    </row>
    <row r="60" spans="2:21" ht="19.5" customHeight="1" x14ac:dyDescent="0.3">
      <c r="B60" s="647"/>
      <c r="C60" s="291" t="s">
        <v>349</v>
      </c>
      <c r="D60" s="292">
        <f t="shared" ref="D60:I60" si="416">D56/SUM(D55:D56)</f>
        <v>0.38937079069040009</v>
      </c>
      <c r="E60" s="293">
        <f t="shared" si="416"/>
        <v>0.36209788272947357</v>
      </c>
      <c r="F60" s="294">
        <f t="shared" si="416"/>
        <v>0.24486205976186254</v>
      </c>
      <c r="G60" s="292">
        <f t="shared" si="416"/>
        <v>0.2002513363136601</v>
      </c>
      <c r="H60" s="293">
        <f t="shared" si="416"/>
        <v>0.10144816217525658</v>
      </c>
      <c r="I60" s="294">
        <f t="shared" si="416"/>
        <v>0.2671618392845338</v>
      </c>
      <c r="J60" s="300">
        <f>(D60-G60)*100</f>
        <v>18.911945437673999</v>
      </c>
      <c r="K60" s="301">
        <f>(E60-H60)*100</f>
        <v>26.064972055421698</v>
      </c>
      <c r="L60" s="301">
        <f>(F60-I60)*100</f>
        <v>-2.2299779522671259</v>
      </c>
      <c r="M60" s="292">
        <f t="shared" ref="M60:R60" si="417">M56/SUM(M55:M56)</f>
        <v>0.39925789017897234</v>
      </c>
      <c r="N60" s="293">
        <f t="shared" si="417"/>
        <v>0.36213874611430857</v>
      </c>
      <c r="O60" s="294">
        <f t="shared" si="417"/>
        <v>0.26578443877551022</v>
      </c>
      <c r="P60" s="293">
        <f t="shared" si="417"/>
        <v>0.3126939427983193</v>
      </c>
      <c r="Q60" s="293">
        <f t="shared" si="417"/>
        <v>0.33492766966807636</v>
      </c>
      <c r="R60" s="294">
        <f t="shared" si="417"/>
        <v>0.34767032798217989</v>
      </c>
      <c r="S60" s="300">
        <f t="shared" si="409"/>
        <v>8.6563947380653037</v>
      </c>
      <c r="T60" s="301">
        <f t="shared" si="410"/>
        <v>2.7211076446232219</v>
      </c>
      <c r="U60" s="301">
        <f t="shared" si="411"/>
        <v>-8.1885889206669678</v>
      </c>
    </row>
    <row r="61" spans="2:21" ht="19.5" customHeight="1" x14ac:dyDescent="0.3">
      <c r="B61" s="648" t="s">
        <v>233</v>
      </c>
      <c r="C61" s="648"/>
      <c r="D61" s="271">
        <f t="shared" ref="D61:I61" si="418">D55+D56</f>
        <v>511515</v>
      </c>
      <c r="E61" s="272">
        <f t="shared" si="418"/>
        <v>389936</v>
      </c>
      <c r="F61" s="273">
        <f t="shared" si="418"/>
        <v>558249</v>
      </c>
      <c r="G61" s="274">
        <f t="shared" si="418"/>
        <v>631027</v>
      </c>
      <c r="H61" s="275">
        <f t="shared" si="418"/>
        <v>1692490</v>
      </c>
      <c r="I61" s="276">
        <f t="shared" si="418"/>
        <v>423556</v>
      </c>
      <c r="J61" s="149">
        <f t="shared" ref="J61" si="419">D61/G61-1</f>
        <v>-0.18939284689878566</v>
      </c>
      <c r="K61" s="212">
        <f t="shared" ref="K61" si="420">E61/H61-1</f>
        <v>-0.76960809221915638</v>
      </c>
      <c r="L61" s="213">
        <f t="shared" ref="L61" si="421">F61/I61-1</f>
        <v>0.31800517523066607</v>
      </c>
      <c r="M61" s="271">
        <f t="shared" ref="M61:R61" si="422">M55+M56</f>
        <v>498848</v>
      </c>
      <c r="N61" s="272">
        <f t="shared" si="422"/>
        <v>389892</v>
      </c>
      <c r="O61" s="273">
        <f t="shared" si="422"/>
        <v>514304</v>
      </c>
      <c r="P61" s="275">
        <f t="shared" si="422"/>
        <v>404114</v>
      </c>
      <c r="Q61" s="275">
        <f t="shared" si="422"/>
        <v>512648</v>
      </c>
      <c r="R61" s="276">
        <f t="shared" si="422"/>
        <v>325475</v>
      </c>
      <c r="S61" s="149">
        <f t="shared" ref="S61" si="423">M61/P61-1</f>
        <v>0.23442394967756619</v>
      </c>
      <c r="T61" s="150">
        <f t="shared" ref="T61" si="424">N61/Q61-1</f>
        <v>-0.23945475257876747</v>
      </c>
      <c r="U61" s="150">
        <f t="shared" ref="U61" si="425">O61/R61-1</f>
        <v>0.58016437514402019</v>
      </c>
    </row>
    <row r="62" spans="2:21" ht="22" customHeight="1" outlineLevel="1" x14ac:dyDescent="0.3">
      <c r="B62" s="645" t="s">
        <v>651</v>
      </c>
      <c r="C62" s="280" t="s">
        <v>49</v>
      </c>
      <c r="D62" s="281">
        <v>774905</v>
      </c>
      <c r="E62" s="282">
        <v>593891</v>
      </c>
      <c r="F62" s="283">
        <v>850666</v>
      </c>
      <c r="G62" s="281">
        <v>1152427</v>
      </c>
      <c r="H62" s="282">
        <v>2978398</v>
      </c>
      <c r="I62" s="283">
        <v>539801</v>
      </c>
      <c r="J62" s="144">
        <f t="shared" ref="J62:J63" si="426">D62/G62-1</f>
        <v>-0.32758864552808986</v>
      </c>
      <c r="K62" s="145">
        <f t="shared" ref="K62:K63" si="427">E62/H62-1</f>
        <v>-0.80060052417440519</v>
      </c>
      <c r="L62" s="207">
        <f t="shared" ref="L62:L63" si="428">F62/I62-1</f>
        <v>0.57588815137430283</v>
      </c>
      <c r="M62" s="281">
        <f t="shared" ref="M62" si="429">D62-D65-D66</f>
        <v>750495</v>
      </c>
      <c r="N62" s="282">
        <f t="shared" ref="N62" si="430">E62-E65-E66</f>
        <v>593891</v>
      </c>
      <c r="O62" s="283">
        <f t="shared" ref="O62" si="431">F62-F65-F66</f>
        <v>693154</v>
      </c>
      <c r="P62" s="284">
        <f t="shared" ref="P62" si="432">G62-G65-G66</f>
        <v>814097</v>
      </c>
      <c r="Q62" s="285">
        <f t="shared" ref="Q62" si="433">H62-H65-H66</f>
        <v>672843</v>
      </c>
      <c r="R62" s="286">
        <f t="shared" ref="R62" si="434">I62-I65-I66</f>
        <v>426687</v>
      </c>
      <c r="S62" s="144">
        <f t="shared" ref="S62:S63" si="435">M62/P62-1</f>
        <v>-7.8125825300916274E-2</v>
      </c>
      <c r="T62" s="145">
        <f t="shared" ref="T62:T63" si="436">N62/Q62-1</f>
        <v>-0.11734089527571812</v>
      </c>
      <c r="U62" s="145">
        <f t="shared" ref="U62:U63" si="437">O62/R62-1</f>
        <v>0.62450226981370416</v>
      </c>
    </row>
    <row r="63" spans="2:21" ht="22" customHeight="1" outlineLevel="1" x14ac:dyDescent="0.3">
      <c r="B63" s="646"/>
      <c r="C63" s="287" t="s">
        <v>50</v>
      </c>
      <c r="D63" s="266">
        <v>390450</v>
      </c>
      <c r="E63" s="267">
        <v>240585</v>
      </c>
      <c r="F63" s="268">
        <v>268679</v>
      </c>
      <c r="G63" s="266">
        <v>338627</v>
      </c>
      <c r="H63" s="267">
        <v>288243</v>
      </c>
      <c r="I63" s="268">
        <v>186417</v>
      </c>
      <c r="J63" s="288">
        <f t="shared" si="426"/>
        <v>0.15303859408729958</v>
      </c>
      <c r="K63" s="289">
        <f t="shared" si="427"/>
        <v>-0.16533966132742162</v>
      </c>
      <c r="L63" s="290">
        <f t="shared" si="428"/>
        <v>0.44127949704157876</v>
      </c>
      <c r="M63" s="266">
        <f t="shared" ref="M63" si="438">D63</f>
        <v>390450</v>
      </c>
      <c r="N63" s="267">
        <f t="shared" ref="N63" si="439">E63</f>
        <v>240585</v>
      </c>
      <c r="O63" s="268">
        <f t="shared" ref="O63" si="440">F63</f>
        <v>268679</v>
      </c>
      <c r="P63" s="269">
        <f t="shared" ref="P63" si="441">G63</f>
        <v>338627</v>
      </c>
      <c r="Q63" s="269">
        <f t="shared" ref="Q63" si="442">H63</f>
        <v>288243</v>
      </c>
      <c r="R63" s="270">
        <f t="shared" ref="R63" si="443">I63</f>
        <v>186417</v>
      </c>
      <c r="S63" s="288">
        <f t="shared" si="435"/>
        <v>0.15303859408729958</v>
      </c>
      <c r="T63" s="289">
        <f t="shared" si="436"/>
        <v>-0.16533966132742162</v>
      </c>
      <c r="U63" s="289">
        <f t="shared" si="437"/>
        <v>0.44127949704157876</v>
      </c>
    </row>
    <row r="64" spans="2:21" ht="22" customHeight="1" outlineLevel="1" x14ac:dyDescent="0.3">
      <c r="B64" s="646"/>
      <c r="C64" s="291" t="s">
        <v>347</v>
      </c>
      <c r="D64" s="292">
        <f t="shared" ref="D64:I64" si="444">D62/SUM(D62:D63)</f>
        <v>0.66495188161547336</v>
      </c>
      <c r="E64" s="293">
        <f t="shared" si="444"/>
        <v>0.71169332611123626</v>
      </c>
      <c r="F64" s="294">
        <f t="shared" si="444"/>
        <v>0.75996765965810364</v>
      </c>
      <c r="G64" s="292">
        <f t="shared" si="444"/>
        <v>0.77289420772151785</v>
      </c>
      <c r="H64" s="293">
        <f t="shared" si="444"/>
        <v>0.91176165363748263</v>
      </c>
      <c r="I64" s="294">
        <f t="shared" si="444"/>
        <v>0.74330435213668622</v>
      </c>
      <c r="J64" s="295">
        <f>(D64-G64)*100</f>
        <v>-10.794232610604448</v>
      </c>
      <c r="K64" s="296">
        <f>(E64-H64)*100</f>
        <v>-20.006832752624636</v>
      </c>
      <c r="L64" s="296">
        <f>(F64-I64)*100</f>
        <v>1.6663307521417425</v>
      </c>
      <c r="M64" s="292">
        <f t="shared" ref="M64:R64" si="445">M62/SUM(M62:M63)</f>
        <v>0.65778367931845971</v>
      </c>
      <c r="N64" s="293">
        <f t="shared" si="445"/>
        <v>0.71169332611123626</v>
      </c>
      <c r="O64" s="294">
        <f t="shared" si="445"/>
        <v>0.72065940761026082</v>
      </c>
      <c r="P64" s="293">
        <f t="shared" si="445"/>
        <v>0.70623757291424483</v>
      </c>
      <c r="Q64" s="293">
        <f t="shared" si="445"/>
        <v>0.70008615253993922</v>
      </c>
      <c r="R64" s="294">
        <f t="shared" si="445"/>
        <v>0.69594554920535501</v>
      </c>
      <c r="S64" s="295">
        <f t="shared" ref="S64:S67" si="446">(M64-P64)*100</f>
        <v>-4.8453893595785118</v>
      </c>
      <c r="T64" s="296">
        <f t="shared" ref="T64:T67" si="447">(N64-Q64)*100</f>
        <v>1.1607173571297036</v>
      </c>
      <c r="U64" s="296">
        <f t="shared" ref="U64:U67" si="448">(O64-R64)*100</f>
        <v>2.4713858404905809</v>
      </c>
    </row>
    <row r="65" spans="2:21" ht="22" customHeight="1" outlineLevel="1" x14ac:dyDescent="0.3">
      <c r="B65" s="646"/>
      <c r="C65" s="297" t="s">
        <v>633</v>
      </c>
      <c r="D65" s="369">
        <v>0</v>
      </c>
      <c r="E65" s="370">
        <v>0</v>
      </c>
      <c r="F65" s="371">
        <v>0</v>
      </c>
      <c r="G65" s="369">
        <v>0</v>
      </c>
      <c r="H65" s="360">
        <v>2027752</v>
      </c>
      <c r="I65" s="371">
        <v>0</v>
      </c>
      <c r="J65" s="305" t="str">
        <f t="shared" ref="J65:J66" si="449">IFERROR(D65/G65-1,"-")</f>
        <v>-</v>
      </c>
      <c r="K65" s="306">
        <f t="shared" ref="K65:K66" si="450">IFERROR(E65/H65-1,"-")</f>
        <v>-1</v>
      </c>
      <c r="L65" s="307" t="str">
        <f t="shared" ref="L65:L66" si="451">IFERROR(F65/I65-1,"-")</f>
        <v>-</v>
      </c>
      <c r="M65" s="302">
        <f t="shared" ref="M65:R66" si="452">D65/D$68</f>
        <v>0</v>
      </c>
      <c r="N65" s="303">
        <f t="shared" si="452"/>
        <v>0</v>
      </c>
      <c r="O65" s="304">
        <f t="shared" si="452"/>
        <v>0</v>
      </c>
      <c r="P65" s="302">
        <f t="shared" si="452"/>
        <v>0</v>
      </c>
      <c r="Q65" s="303">
        <f t="shared" si="452"/>
        <v>0.62074528544765095</v>
      </c>
      <c r="R65" s="304">
        <f t="shared" si="452"/>
        <v>0</v>
      </c>
      <c r="S65" s="311">
        <f t="shared" si="446"/>
        <v>0</v>
      </c>
      <c r="T65" s="312">
        <f t="shared" si="447"/>
        <v>-62.074528544765094</v>
      </c>
      <c r="U65" s="312">
        <f t="shared" si="448"/>
        <v>0</v>
      </c>
    </row>
    <row r="66" spans="2:21" ht="22" customHeight="1" outlineLevel="1" x14ac:dyDescent="0.3">
      <c r="B66" s="646"/>
      <c r="C66" s="297" t="s">
        <v>634</v>
      </c>
      <c r="D66" s="369">
        <v>24410</v>
      </c>
      <c r="E66" s="370">
        <v>0</v>
      </c>
      <c r="F66" s="371">
        <v>157512</v>
      </c>
      <c r="G66" s="369">
        <v>338330</v>
      </c>
      <c r="H66" s="370">
        <v>277803</v>
      </c>
      <c r="I66" s="371">
        <v>113114</v>
      </c>
      <c r="J66" s="305">
        <f t="shared" si="449"/>
        <v>-0.92785150592616672</v>
      </c>
      <c r="K66" s="306">
        <f t="shared" si="450"/>
        <v>-1</v>
      </c>
      <c r="L66" s="307">
        <f t="shared" si="451"/>
        <v>0.39250667468217904</v>
      </c>
      <c r="M66" s="302">
        <f t="shared" si="452"/>
        <v>2.0946406888887936E-2</v>
      </c>
      <c r="N66" s="303">
        <f t="shared" si="452"/>
        <v>0</v>
      </c>
      <c r="O66" s="304">
        <f t="shared" si="452"/>
        <v>0.14071800919287619</v>
      </c>
      <c r="P66" s="302">
        <f t="shared" si="452"/>
        <v>0.22690660432150681</v>
      </c>
      <c r="Q66" s="303">
        <f t="shared" si="452"/>
        <v>8.5042402884185922E-2</v>
      </c>
      <c r="R66" s="304">
        <f t="shared" si="452"/>
        <v>0.15575763751380439</v>
      </c>
      <c r="S66" s="311">
        <f t="shared" si="446"/>
        <v>-20.596019743261888</v>
      </c>
      <c r="T66" s="312">
        <f t="shared" si="447"/>
        <v>-8.5042402884185915</v>
      </c>
      <c r="U66" s="312">
        <f t="shared" si="448"/>
        <v>-1.50396283209282</v>
      </c>
    </row>
    <row r="67" spans="2:21" ht="22" customHeight="1" outlineLevel="1" x14ac:dyDescent="0.3">
      <c r="B67" s="647"/>
      <c r="C67" s="291" t="s">
        <v>349</v>
      </c>
      <c r="D67" s="292">
        <f t="shared" ref="D67:I67" si="453">D63/SUM(D62:D63)</f>
        <v>0.33504811838452658</v>
      </c>
      <c r="E67" s="293">
        <f t="shared" si="453"/>
        <v>0.28830667388876374</v>
      </c>
      <c r="F67" s="294">
        <f t="shared" si="453"/>
        <v>0.24003234034189638</v>
      </c>
      <c r="G67" s="292">
        <f t="shared" si="453"/>
        <v>0.22710579227848221</v>
      </c>
      <c r="H67" s="293">
        <f t="shared" si="453"/>
        <v>8.8238346362517345E-2</v>
      </c>
      <c r="I67" s="294">
        <f t="shared" si="453"/>
        <v>0.25669564786331378</v>
      </c>
      <c r="J67" s="300">
        <f>(D67-G67)*100</f>
        <v>10.794232610604437</v>
      </c>
      <c r="K67" s="301">
        <f>(E67-H67)*100</f>
        <v>20.006832752624639</v>
      </c>
      <c r="L67" s="301">
        <f>(F67-I67)*100</f>
        <v>-1.6663307521417399</v>
      </c>
      <c r="M67" s="292">
        <f t="shared" ref="M67:R67" si="454">M63/SUM(M62:M63)</f>
        <v>0.34221632068154029</v>
      </c>
      <c r="N67" s="293">
        <f t="shared" si="454"/>
        <v>0.28830667388876374</v>
      </c>
      <c r="O67" s="294">
        <f t="shared" si="454"/>
        <v>0.27934059238973918</v>
      </c>
      <c r="P67" s="293">
        <f t="shared" si="454"/>
        <v>0.29376242708575512</v>
      </c>
      <c r="Q67" s="293">
        <f t="shared" si="454"/>
        <v>0.29991384746006083</v>
      </c>
      <c r="R67" s="294">
        <f t="shared" si="454"/>
        <v>0.30405445079464494</v>
      </c>
      <c r="S67" s="300">
        <f t="shared" si="446"/>
        <v>4.8453893595785171</v>
      </c>
      <c r="T67" s="301">
        <f t="shared" si="447"/>
        <v>-1.1607173571297091</v>
      </c>
      <c r="U67" s="301">
        <f t="shared" si="448"/>
        <v>-2.4713858404905755</v>
      </c>
    </row>
    <row r="68" spans="2:21" ht="22" customHeight="1" outlineLevel="1" x14ac:dyDescent="0.3">
      <c r="B68" s="648" t="s">
        <v>233</v>
      </c>
      <c r="C68" s="648"/>
      <c r="D68" s="271">
        <f t="shared" ref="D68:I68" si="455">D62+D63</f>
        <v>1165355</v>
      </c>
      <c r="E68" s="272">
        <f t="shared" si="455"/>
        <v>834476</v>
      </c>
      <c r="F68" s="273">
        <f t="shared" si="455"/>
        <v>1119345</v>
      </c>
      <c r="G68" s="274">
        <f t="shared" si="455"/>
        <v>1491054</v>
      </c>
      <c r="H68" s="275">
        <f t="shared" si="455"/>
        <v>3266641</v>
      </c>
      <c r="I68" s="276">
        <f t="shared" si="455"/>
        <v>726218</v>
      </c>
      <c r="J68" s="149">
        <f t="shared" ref="J68" si="456">D68/G68-1</f>
        <v>-0.21843541548461687</v>
      </c>
      <c r="K68" s="212">
        <f t="shared" ref="K68" si="457">E68/H68-1</f>
        <v>-0.74454615612796138</v>
      </c>
      <c r="L68" s="213">
        <f t="shared" ref="L68" si="458">F68/I68-1</f>
        <v>0.54133469564235526</v>
      </c>
      <c r="M68" s="271">
        <f t="shared" ref="M68:R68" si="459">M62+M63</f>
        <v>1140945</v>
      </c>
      <c r="N68" s="272">
        <f t="shared" si="459"/>
        <v>834476</v>
      </c>
      <c r="O68" s="273">
        <f t="shared" si="459"/>
        <v>961833</v>
      </c>
      <c r="P68" s="275">
        <f t="shared" si="459"/>
        <v>1152724</v>
      </c>
      <c r="Q68" s="275">
        <f t="shared" si="459"/>
        <v>961086</v>
      </c>
      <c r="R68" s="276">
        <f t="shared" si="459"/>
        <v>613104</v>
      </c>
      <c r="S68" s="149">
        <f t="shared" ref="S68" si="460">M68/P68-1</f>
        <v>-1.0218404405564541E-2</v>
      </c>
      <c r="T68" s="150">
        <f t="shared" ref="T68" si="461">N68/Q68-1</f>
        <v>-0.13173638987561986</v>
      </c>
      <c r="U68" s="150">
        <f t="shared" ref="U68" si="462">O68/R68-1</f>
        <v>0.56879257026540353</v>
      </c>
    </row>
    <row r="69" spans="2:21" ht="17.5" customHeight="1" x14ac:dyDescent="0.3">
      <c r="B69" s="645">
        <v>45778</v>
      </c>
      <c r="C69" s="280" t="s">
        <v>49</v>
      </c>
      <c r="D69" s="141">
        <v>376615</v>
      </c>
      <c r="E69" s="142">
        <v>266489</v>
      </c>
      <c r="F69" s="143">
        <v>362945</v>
      </c>
      <c r="G69" s="157">
        <v>432046</v>
      </c>
      <c r="H69" s="158">
        <v>1258520</v>
      </c>
      <c r="I69" s="159">
        <v>162284</v>
      </c>
      <c r="J69" s="144">
        <f t="shared" ref="J69:J70" si="463">D69/G69-1</f>
        <v>-0.12829883854959889</v>
      </c>
      <c r="K69" s="145">
        <f t="shared" ref="K69:K70" si="464">E69/H69-1</f>
        <v>-0.78825207386453933</v>
      </c>
      <c r="L69" s="207">
        <f t="shared" ref="L69:L70" si="465">F69/I69-1</f>
        <v>1.2364804909911018</v>
      </c>
      <c r="M69" s="141">
        <f t="shared" ref="M69" si="466">D69-D72-D73</f>
        <v>363105</v>
      </c>
      <c r="N69" s="142">
        <f t="shared" ref="N69" si="467">E69-E72-E73</f>
        <v>266489</v>
      </c>
      <c r="O69" s="143">
        <f t="shared" ref="O69" si="468">F69-F72-F73</f>
        <v>362945</v>
      </c>
      <c r="P69" s="158">
        <f t="shared" ref="P69" si="469">G69-G72-G73</f>
        <v>346606</v>
      </c>
      <c r="Q69" s="158">
        <f t="shared" ref="Q69" si="470">H69-H72-H73</f>
        <v>331289</v>
      </c>
      <c r="R69" s="158">
        <f t="shared" ref="R69" si="471">I69-I72-I73</f>
        <v>162284</v>
      </c>
      <c r="S69" s="144">
        <f t="shared" ref="S69:S70" si="472">M69/P69-1</f>
        <v>4.7601599510683545E-2</v>
      </c>
      <c r="T69" s="145">
        <f t="shared" ref="T69:T70" si="473">N69/Q69-1</f>
        <v>-0.19559961242299018</v>
      </c>
      <c r="U69" s="145">
        <f t="shared" ref="U69:U70" si="474">O69/R69-1</f>
        <v>1.2364804909911018</v>
      </c>
    </row>
    <row r="70" spans="2:21" ht="17.5" customHeight="1" x14ac:dyDescent="0.3">
      <c r="B70" s="646"/>
      <c r="C70" s="287" t="s">
        <v>50</v>
      </c>
      <c r="D70" s="363">
        <v>165316</v>
      </c>
      <c r="E70" s="364">
        <v>124578</v>
      </c>
      <c r="F70" s="365">
        <v>137603</v>
      </c>
      <c r="G70" s="366">
        <v>241898</v>
      </c>
      <c r="H70" s="367">
        <v>122781</v>
      </c>
      <c r="I70" s="368">
        <v>55791</v>
      </c>
      <c r="J70" s="288">
        <f t="shared" si="463"/>
        <v>-0.31658798336488936</v>
      </c>
      <c r="K70" s="289">
        <f t="shared" si="464"/>
        <v>1.4635814987660867E-2</v>
      </c>
      <c r="L70" s="290">
        <f t="shared" si="465"/>
        <v>1.466401390905343</v>
      </c>
      <c r="M70" s="363">
        <f t="shared" ref="M70" si="475">D70</f>
        <v>165316</v>
      </c>
      <c r="N70" s="364">
        <f t="shared" ref="N70" si="476">E70</f>
        <v>124578</v>
      </c>
      <c r="O70" s="365">
        <f t="shared" ref="O70" si="477">F70</f>
        <v>137603</v>
      </c>
      <c r="P70" s="367">
        <f t="shared" ref="P70" si="478">G70</f>
        <v>241898</v>
      </c>
      <c r="Q70" s="367">
        <f t="shared" ref="Q70" si="479">H70</f>
        <v>122781</v>
      </c>
      <c r="R70" s="368">
        <f t="shared" ref="R70" si="480">I70</f>
        <v>55791</v>
      </c>
      <c r="S70" s="288">
        <f t="shared" si="472"/>
        <v>-0.31658798336488936</v>
      </c>
      <c r="T70" s="289">
        <f t="shared" si="473"/>
        <v>1.4635814987660867E-2</v>
      </c>
      <c r="U70" s="289">
        <f t="shared" si="474"/>
        <v>1.466401390905343</v>
      </c>
    </row>
    <row r="71" spans="2:21" ht="17.5" customHeight="1" x14ac:dyDescent="0.3">
      <c r="B71" s="646"/>
      <c r="C71" s="291" t="s">
        <v>347</v>
      </c>
      <c r="D71" s="292">
        <f t="shared" ref="D71:I71" si="481">D69/SUM(D69:D70)</f>
        <v>0.69495009512281081</v>
      </c>
      <c r="E71" s="293">
        <f t="shared" si="481"/>
        <v>0.68144077613299003</v>
      </c>
      <c r="F71" s="294">
        <f t="shared" si="481"/>
        <v>0.72509529555607055</v>
      </c>
      <c r="G71" s="292">
        <f t="shared" si="481"/>
        <v>0.64107106821931792</v>
      </c>
      <c r="H71" s="293">
        <f t="shared" si="481"/>
        <v>0.91111206029677816</v>
      </c>
      <c r="I71" s="294">
        <f t="shared" si="481"/>
        <v>0.74416599793648974</v>
      </c>
      <c r="J71" s="295">
        <f>(D71-G71)*100</f>
        <v>5.3879026903492893</v>
      </c>
      <c r="K71" s="296">
        <f>(E71-H71)*100</f>
        <v>-22.967128416378813</v>
      </c>
      <c r="L71" s="296">
        <f>(F71-I71)*100</f>
        <v>-1.9070702380419191</v>
      </c>
      <c r="M71" s="292">
        <f t="shared" ref="M71:R71" si="482">M69/SUM(M69:M70)</f>
        <v>0.68715096485567384</v>
      </c>
      <c r="N71" s="293">
        <f t="shared" si="482"/>
        <v>0.68144077613299003</v>
      </c>
      <c r="O71" s="294">
        <f t="shared" si="482"/>
        <v>0.72509529555607055</v>
      </c>
      <c r="P71" s="293">
        <f t="shared" si="482"/>
        <v>0.58896116254095132</v>
      </c>
      <c r="Q71" s="293">
        <f t="shared" si="482"/>
        <v>0.72959896051269624</v>
      </c>
      <c r="R71" s="294">
        <f t="shared" si="482"/>
        <v>0.74416599793648974</v>
      </c>
      <c r="S71" s="295">
        <f>(M71-P71)*100</f>
        <v>9.8189802314722527</v>
      </c>
      <c r="T71" s="296">
        <f>(N71-Q71)*100</f>
        <v>-4.8158184379706199</v>
      </c>
      <c r="U71" s="296">
        <f>(O71-R71)*100</f>
        <v>-1.9070702380419191</v>
      </c>
    </row>
    <row r="72" spans="2:21" ht="17.5" customHeight="1" x14ac:dyDescent="0.3">
      <c r="B72" s="646"/>
      <c r="C72" s="297" t="s">
        <v>348</v>
      </c>
      <c r="D72" s="369">
        <v>0</v>
      </c>
      <c r="E72" s="370">
        <v>0</v>
      </c>
      <c r="F72" s="371">
        <v>0</v>
      </c>
      <c r="G72" s="369">
        <v>0</v>
      </c>
      <c r="H72" s="370">
        <v>897980</v>
      </c>
      <c r="I72" s="371">
        <v>0</v>
      </c>
      <c r="J72" s="372" t="str">
        <f t="shared" ref="J72:J73" si="483">IFERROR(D72/G72-1,"-")</f>
        <v>-</v>
      </c>
      <c r="K72" s="373">
        <f t="shared" ref="K72:K73" si="484">IFERROR(E72/H72-1,"-")</f>
        <v>-1</v>
      </c>
      <c r="L72" s="374" t="str">
        <f t="shared" ref="L72:L73" si="485">IFERROR(F72/I72-1,"-")</f>
        <v>-</v>
      </c>
      <c r="M72" s="302">
        <f>D72/D$75</f>
        <v>0</v>
      </c>
      <c r="N72" s="303">
        <f t="shared" ref="N72:O73" si="486">E72/E$75</f>
        <v>0</v>
      </c>
      <c r="O72" s="304">
        <f t="shared" si="486"/>
        <v>0</v>
      </c>
      <c r="P72" s="302">
        <f>G72/G$75</f>
        <v>0</v>
      </c>
      <c r="Q72" s="303">
        <f t="shared" ref="Q72:Q73" si="487">H72/H$75</f>
        <v>0.65009726337706264</v>
      </c>
      <c r="R72" s="304">
        <f t="shared" ref="R72:R73" si="488">I72/I$75</f>
        <v>0</v>
      </c>
      <c r="S72" s="372" t="str">
        <f t="shared" ref="S72:S73" si="489">IFERROR(D72/G72-1,"-")</f>
        <v>-</v>
      </c>
      <c r="T72" s="373">
        <f t="shared" ref="T72:T73" si="490">IFERROR(E72/H72-1,"-")</f>
        <v>-1</v>
      </c>
      <c r="U72" s="373" t="str">
        <f t="shared" ref="U72:U73" si="491">IFERROR(F72/I72-1,"-")</f>
        <v>-</v>
      </c>
    </row>
    <row r="73" spans="2:21" ht="17.5" customHeight="1" x14ac:dyDescent="0.3">
      <c r="B73" s="646"/>
      <c r="C73" s="297" t="s">
        <v>618</v>
      </c>
      <c r="D73" s="369">
        <v>13510</v>
      </c>
      <c r="E73" s="370">
        <v>0</v>
      </c>
      <c r="F73" s="371">
        <v>0</v>
      </c>
      <c r="G73" s="369">
        <v>85440</v>
      </c>
      <c r="H73" s="370">
        <v>29251</v>
      </c>
      <c r="I73" s="371">
        <v>0</v>
      </c>
      <c r="J73" s="372">
        <f t="shared" si="483"/>
        <v>-0.84187734082397003</v>
      </c>
      <c r="K73" s="373">
        <f t="shared" si="484"/>
        <v>-1</v>
      </c>
      <c r="L73" s="374" t="str">
        <f t="shared" si="485"/>
        <v>-</v>
      </c>
      <c r="M73" s="302">
        <f>D73/D$75</f>
        <v>2.4929372927549816E-2</v>
      </c>
      <c r="N73" s="303">
        <f t="shared" si="486"/>
        <v>0</v>
      </c>
      <c r="O73" s="304">
        <f t="shared" si="486"/>
        <v>0</v>
      </c>
      <c r="P73" s="302">
        <f>G73/G$75</f>
        <v>0.12677611196182473</v>
      </c>
      <c r="Q73" s="303">
        <f t="shared" si="487"/>
        <v>2.1176412671821711E-2</v>
      </c>
      <c r="R73" s="304">
        <f t="shared" si="488"/>
        <v>0</v>
      </c>
      <c r="S73" s="372">
        <f t="shared" si="489"/>
        <v>-0.84187734082397003</v>
      </c>
      <c r="T73" s="373">
        <f t="shared" si="490"/>
        <v>-1</v>
      </c>
      <c r="U73" s="373" t="str">
        <f t="shared" si="491"/>
        <v>-</v>
      </c>
    </row>
    <row r="74" spans="2:21" ht="17.5" customHeight="1" x14ac:dyDescent="0.3">
      <c r="B74" s="647"/>
      <c r="C74" s="291" t="s">
        <v>349</v>
      </c>
      <c r="D74" s="292">
        <f t="shared" ref="D74:I74" si="492">D70/SUM(D69:D70)</f>
        <v>0.30504990487718914</v>
      </c>
      <c r="E74" s="293">
        <f t="shared" si="492"/>
        <v>0.31855922386701002</v>
      </c>
      <c r="F74" s="294">
        <f t="shared" si="492"/>
        <v>0.27490470444392945</v>
      </c>
      <c r="G74" s="292">
        <f t="shared" si="492"/>
        <v>0.35892893178068208</v>
      </c>
      <c r="H74" s="293">
        <f t="shared" si="492"/>
        <v>8.8887939703221813E-2</v>
      </c>
      <c r="I74" s="294">
        <f t="shared" si="492"/>
        <v>0.25583400206351026</v>
      </c>
      <c r="J74" s="300">
        <f>(D74-G74)*100</f>
        <v>-5.3879026903492946</v>
      </c>
      <c r="K74" s="301">
        <f>(E74-H74)*100</f>
        <v>22.96712841637882</v>
      </c>
      <c r="L74" s="301">
        <f>(F74-I74)*100</f>
        <v>1.9070702380419191</v>
      </c>
      <c r="M74" s="292">
        <f t="shared" ref="M74:R74" si="493">M70/SUM(M69:M70)</f>
        <v>0.31284903514432622</v>
      </c>
      <c r="N74" s="293">
        <f t="shared" si="493"/>
        <v>0.31855922386701002</v>
      </c>
      <c r="O74" s="294">
        <f t="shared" si="493"/>
        <v>0.27490470444392945</v>
      </c>
      <c r="P74" s="293">
        <f t="shared" si="493"/>
        <v>0.41103883745904873</v>
      </c>
      <c r="Q74" s="293">
        <f t="shared" si="493"/>
        <v>0.27040103948730371</v>
      </c>
      <c r="R74" s="294">
        <f t="shared" si="493"/>
        <v>0.25583400206351026</v>
      </c>
      <c r="S74" s="300">
        <f>(M74-P74)*100</f>
        <v>-9.8189802314722527</v>
      </c>
      <c r="T74" s="301">
        <f>(N74-Q74)*100</f>
        <v>4.8158184379706315</v>
      </c>
      <c r="U74" s="301">
        <f>(O74-R74)*100</f>
        <v>1.9070702380419191</v>
      </c>
    </row>
    <row r="75" spans="2:21" ht="17.5" customHeight="1" x14ac:dyDescent="0.3">
      <c r="B75" s="648" t="s">
        <v>233</v>
      </c>
      <c r="C75" s="648"/>
      <c r="D75" s="141">
        <f t="shared" ref="D75:I75" si="494">D69+D70</f>
        <v>541931</v>
      </c>
      <c r="E75" s="142">
        <f t="shared" si="494"/>
        <v>391067</v>
      </c>
      <c r="F75" s="143">
        <f t="shared" si="494"/>
        <v>500548</v>
      </c>
      <c r="G75" s="157">
        <f t="shared" si="494"/>
        <v>673944</v>
      </c>
      <c r="H75" s="158">
        <f t="shared" si="494"/>
        <v>1381301</v>
      </c>
      <c r="I75" s="159">
        <f t="shared" si="494"/>
        <v>218075</v>
      </c>
      <c r="J75" s="149">
        <f t="shared" ref="J75" si="495">D75/G75-1</f>
        <v>-0.19588126016404928</v>
      </c>
      <c r="K75" s="212">
        <f t="shared" ref="K75" si="496">E75/H75-1</f>
        <v>-0.71688502361179784</v>
      </c>
      <c r="L75" s="213">
        <f t="shared" ref="L75" si="497">F75/I75-1</f>
        <v>1.2953020749742059</v>
      </c>
      <c r="M75" s="141">
        <f t="shared" ref="M75:R75" si="498">M69+M70</f>
        <v>528421</v>
      </c>
      <c r="N75" s="142">
        <f t="shared" si="498"/>
        <v>391067</v>
      </c>
      <c r="O75" s="143">
        <f t="shared" si="498"/>
        <v>500548</v>
      </c>
      <c r="P75" s="158">
        <f t="shared" si="498"/>
        <v>588504</v>
      </c>
      <c r="Q75" s="158">
        <f t="shared" si="498"/>
        <v>454070</v>
      </c>
      <c r="R75" s="159">
        <f t="shared" si="498"/>
        <v>218075</v>
      </c>
      <c r="S75" s="144">
        <f t="shared" ref="S75" si="499">M75/P75-1</f>
        <v>-0.10209446324918781</v>
      </c>
      <c r="T75" s="145">
        <f t="shared" ref="T75" si="500">N75/Q75-1</f>
        <v>-0.13875173431409249</v>
      </c>
      <c r="U75" s="145">
        <f t="shared" ref="U75" si="501">O75/R75-1</f>
        <v>1.2953020749742059</v>
      </c>
    </row>
    <row r="76" spans="2:21" ht="17.5" customHeight="1" x14ac:dyDescent="0.3">
      <c r="B76" s="645">
        <v>45748</v>
      </c>
      <c r="C76" s="280" t="s">
        <v>49</v>
      </c>
      <c r="D76" s="141">
        <v>247903</v>
      </c>
      <c r="E76" s="142">
        <v>346628</v>
      </c>
      <c r="F76" s="143">
        <v>216750</v>
      </c>
      <c r="G76" s="157">
        <v>153058</v>
      </c>
      <c r="H76" s="158">
        <v>211540</v>
      </c>
      <c r="I76" s="159">
        <v>95957</v>
      </c>
      <c r="J76" s="144">
        <f t="shared" ref="J76:J77" si="502">D76/G76-1</f>
        <v>0.61966705431927771</v>
      </c>
      <c r="K76" s="145">
        <f t="shared" ref="K76:K77" si="503">E76/H76-1</f>
        <v>0.63859317386782632</v>
      </c>
      <c r="L76" s="207">
        <f t="shared" ref="L76:L77" si="504">F76/I76-1</f>
        <v>1.2588242650353805</v>
      </c>
      <c r="M76" s="141">
        <f t="shared" ref="M76" si="505">D76-D79-D80</f>
        <v>241536</v>
      </c>
      <c r="N76" s="142">
        <f t="shared" ref="N76" si="506">E76-E79-E80</f>
        <v>167639</v>
      </c>
      <c r="O76" s="143">
        <f t="shared" ref="O76" si="507">F76-F79-F80</f>
        <v>216750</v>
      </c>
      <c r="P76" s="158">
        <f t="shared" ref="P76" si="508">G76-G79-G80</f>
        <v>153058</v>
      </c>
      <c r="Q76" s="158">
        <f t="shared" ref="Q76" si="509">H76-H79-H80</f>
        <v>211540</v>
      </c>
      <c r="R76" s="158">
        <f t="shared" ref="R76" si="510">I76-I79-I80</f>
        <v>95957</v>
      </c>
      <c r="S76" s="144">
        <f t="shared" ref="S76:S77" si="511">M76/P76-1</f>
        <v>0.57806844464190044</v>
      </c>
      <c r="T76" s="145">
        <f t="shared" ref="T76:T77" si="512">N76/Q76-1</f>
        <v>-0.20753049068734042</v>
      </c>
      <c r="U76" s="145">
        <f t="shared" ref="U76:U77" si="513">O76/R76-1</f>
        <v>1.2588242650353805</v>
      </c>
    </row>
    <row r="77" spans="2:21" ht="17.5" customHeight="1" x14ac:dyDescent="0.3">
      <c r="B77" s="646"/>
      <c r="C77" s="287" t="s">
        <v>50</v>
      </c>
      <c r="D77" s="363">
        <v>73175</v>
      </c>
      <c r="E77" s="364">
        <v>103668</v>
      </c>
      <c r="F77" s="365">
        <v>88887</v>
      </c>
      <c r="G77" s="366">
        <v>31202</v>
      </c>
      <c r="H77" s="367">
        <v>93607</v>
      </c>
      <c r="I77" s="368">
        <v>43192</v>
      </c>
      <c r="J77" s="288">
        <f t="shared" si="502"/>
        <v>1.3452022306262421</v>
      </c>
      <c r="K77" s="289">
        <f t="shared" si="503"/>
        <v>0.10748127810954311</v>
      </c>
      <c r="L77" s="290">
        <f t="shared" si="504"/>
        <v>1.057950546397481</v>
      </c>
      <c r="M77" s="363">
        <f t="shared" ref="M77" si="514">D77</f>
        <v>73175</v>
      </c>
      <c r="N77" s="364">
        <f t="shared" ref="N77" si="515">E77</f>
        <v>103668</v>
      </c>
      <c r="O77" s="365">
        <f t="shared" ref="O77" si="516">F77</f>
        <v>88887</v>
      </c>
      <c r="P77" s="367">
        <f t="shared" ref="P77" si="517">G77</f>
        <v>31202</v>
      </c>
      <c r="Q77" s="367">
        <f t="shared" ref="Q77" si="518">H77</f>
        <v>93607</v>
      </c>
      <c r="R77" s="368">
        <f t="shared" ref="R77" si="519">I77</f>
        <v>43192</v>
      </c>
      <c r="S77" s="288">
        <f t="shared" si="511"/>
        <v>1.3452022306262421</v>
      </c>
      <c r="T77" s="289">
        <f t="shared" si="512"/>
        <v>0.10748127810954311</v>
      </c>
      <c r="U77" s="289">
        <f t="shared" si="513"/>
        <v>1.057950546397481</v>
      </c>
    </row>
    <row r="78" spans="2:21" ht="17.5" customHeight="1" x14ac:dyDescent="0.3">
      <c r="B78" s="646"/>
      <c r="C78" s="291" t="s">
        <v>347</v>
      </c>
      <c r="D78" s="292">
        <f t="shared" ref="D78:I78" si="520">D76/SUM(D76:D77)</f>
        <v>0.77209587701430804</v>
      </c>
      <c r="E78" s="293">
        <f t="shared" si="520"/>
        <v>0.76977810151544757</v>
      </c>
      <c r="F78" s="294">
        <f t="shared" si="520"/>
        <v>0.70917460909510299</v>
      </c>
      <c r="G78" s="292">
        <f t="shared" si="520"/>
        <v>0.83066319331379568</v>
      </c>
      <c r="H78" s="293">
        <f t="shared" si="520"/>
        <v>0.69323965170884849</v>
      </c>
      <c r="I78" s="294">
        <f t="shared" si="520"/>
        <v>0.68959891914422666</v>
      </c>
      <c r="J78" s="295">
        <f>(D78-G78)*100</f>
        <v>-5.8567316299487633</v>
      </c>
      <c r="K78" s="296">
        <f>(E78-H78)*100</f>
        <v>7.6538449806599074</v>
      </c>
      <c r="L78" s="296">
        <f>(F78-I78)*100</f>
        <v>1.9575689950876329</v>
      </c>
      <c r="M78" s="292">
        <f t="shared" ref="M78:R78" si="521">M76/SUM(M76:M77)</f>
        <v>0.76748508949480632</v>
      </c>
      <c r="N78" s="293">
        <f t="shared" si="521"/>
        <v>0.61789411994530186</v>
      </c>
      <c r="O78" s="294">
        <f t="shared" si="521"/>
        <v>0.70917460909510299</v>
      </c>
      <c r="P78" s="293">
        <f t="shared" si="521"/>
        <v>0.83066319331379568</v>
      </c>
      <c r="Q78" s="293">
        <f t="shared" si="521"/>
        <v>0.69323965170884849</v>
      </c>
      <c r="R78" s="294">
        <f t="shared" si="521"/>
        <v>0.68959891914422666</v>
      </c>
      <c r="S78" s="295">
        <f>(M78-P78)*100</f>
        <v>-6.3178103818989362</v>
      </c>
      <c r="T78" s="296">
        <f>(N78-Q78)*100</f>
        <v>-7.5345531763546632</v>
      </c>
      <c r="U78" s="296">
        <f>(O78-R78)*100</f>
        <v>1.9575689950876329</v>
      </c>
    </row>
    <row r="79" spans="2:21" ht="17.5" customHeight="1" x14ac:dyDescent="0.3">
      <c r="B79" s="646"/>
      <c r="C79" s="297" t="s">
        <v>348</v>
      </c>
      <c r="D79" s="369">
        <v>0</v>
      </c>
      <c r="E79" s="370">
        <v>178989</v>
      </c>
      <c r="F79" s="371">
        <v>0</v>
      </c>
      <c r="G79" s="369">
        <v>0</v>
      </c>
      <c r="H79" s="370">
        <v>0</v>
      </c>
      <c r="I79" s="371">
        <v>0</v>
      </c>
      <c r="J79" s="372" t="str">
        <f t="shared" ref="J79:J80" si="522">IFERROR(D79/G79-1,"-")</f>
        <v>-</v>
      </c>
      <c r="K79" s="373" t="str">
        <f t="shared" ref="K79:K80" si="523">IFERROR(E79/H79-1,"-")</f>
        <v>-</v>
      </c>
      <c r="L79" s="374" t="str">
        <f t="shared" ref="L79:L80" si="524">IFERROR(F79/I79-1,"-")</f>
        <v>-</v>
      </c>
      <c r="M79" s="302">
        <f>D79/D$82</f>
        <v>0</v>
      </c>
      <c r="N79" s="303">
        <f t="shared" ref="N79:R80" si="525">E79/E$82</f>
        <v>0.39749187201307584</v>
      </c>
      <c r="O79" s="304">
        <f t="shared" si="525"/>
        <v>0</v>
      </c>
      <c r="P79" s="302">
        <f t="shared" si="525"/>
        <v>0</v>
      </c>
      <c r="Q79" s="303">
        <f t="shared" si="525"/>
        <v>0</v>
      </c>
      <c r="R79" s="304">
        <f t="shared" si="525"/>
        <v>0</v>
      </c>
      <c r="S79" s="372" t="str">
        <f t="shared" ref="S79:S80" si="526">IFERROR(D79/G79-1,"-")</f>
        <v>-</v>
      </c>
      <c r="T79" s="373" t="str">
        <f t="shared" ref="T79:T80" si="527">IFERROR(E79/H79-1,"-")</f>
        <v>-</v>
      </c>
      <c r="U79" s="373" t="str">
        <f t="shared" ref="U79:U80" si="528">IFERROR(F79/I79-1,"-")</f>
        <v>-</v>
      </c>
    </row>
    <row r="80" spans="2:21" ht="17.5" customHeight="1" x14ac:dyDescent="0.3">
      <c r="B80" s="646"/>
      <c r="C80" s="297" t="s">
        <v>618</v>
      </c>
      <c r="D80" s="369">
        <v>6367</v>
      </c>
      <c r="E80" s="370">
        <v>0</v>
      </c>
      <c r="F80" s="371">
        <v>0</v>
      </c>
      <c r="G80" s="369">
        <v>0</v>
      </c>
      <c r="H80" s="370">
        <v>0</v>
      </c>
      <c r="I80" s="371">
        <v>0</v>
      </c>
      <c r="J80" s="372" t="str">
        <f t="shared" si="522"/>
        <v>-</v>
      </c>
      <c r="K80" s="373" t="str">
        <f t="shared" si="523"/>
        <v>-</v>
      </c>
      <c r="L80" s="374" t="str">
        <f t="shared" si="524"/>
        <v>-</v>
      </c>
      <c r="M80" s="302">
        <f>D80/D$82</f>
        <v>1.9830072443456106E-2</v>
      </c>
      <c r="N80" s="303">
        <f t="shared" si="525"/>
        <v>0</v>
      </c>
      <c r="O80" s="304">
        <f t="shared" si="525"/>
        <v>0</v>
      </c>
      <c r="P80" s="302">
        <f t="shared" si="525"/>
        <v>0</v>
      </c>
      <c r="Q80" s="303">
        <f t="shared" si="525"/>
        <v>0</v>
      </c>
      <c r="R80" s="304">
        <f t="shared" si="525"/>
        <v>0</v>
      </c>
      <c r="S80" s="372" t="str">
        <f t="shared" si="526"/>
        <v>-</v>
      </c>
      <c r="T80" s="373" t="str">
        <f t="shared" si="527"/>
        <v>-</v>
      </c>
      <c r="U80" s="373" t="str">
        <f t="shared" si="528"/>
        <v>-</v>
      </c>
    </row>
    <row r="81" spans="2:21" ht="17.5" customHeight="1" x14ac:dyDescent="0.3">
      <c r="B81" s="647"/>
      <c r="C81" s="291" t="s">
        <v>349</v>
      </c>
      <c r="D81" s="292">
        <f t="shared" ref="D81:I81" si="529">D77/SUM(D76:D77)</f>
        <v>0.22790412298569196</v>
      </c>
      <c r="E81" s="293">
        <f t="shared" si="529"/>
        <v>0.23022189848455238</v>
      </c>
      <c r="F81" s="294">
        <f t="shared" si="529"/>
        <v>0.29082539090489701</v>
      </c>
      <c r="G81" s="292">
        <f t="shared" si="529"/>
        <v>0.16933680668620427</v>
      </c>
      <c r="H81" s="293">
        <f t="shared" si="529"/>
        <v>0.30676034829115145</v>
      </c>
      <c r="I81" s="294">
        <f t="shared" si="529"/>
        <v>0.31040108085577328</v>
      </c>
      <c r="J81" s="300">
        <f>(D81-G81)*100</f>
        <v>5.8567316299487695</v>
      </c>
      <c r="K81" s="301">
        <f>(E81-H81)*100</f>
        <v>-7.6538449806599074</v>
      </c>
      <c r="L81" s="301">
        <f>(F81-I81)*100</f>
        <v>-1.9575689950876274</v>
      </c>
      <c r="M81" s="292">
        <f t="shared" ref="M81:R81" si="530">M77/SUM(M76:M77)</f>
        <v>0.23251491050519366</v>
      </c>
      <c r="N81" s="293">
        <f t="shared" si="530"/>
        <v>0.3821058800546982</v>
      </c>
      <c r="O81" s="294">
        <f t="shared" si="530"/>
        <v>0.29082539090489701</v>
      </c>
      <c r="P81" s="293">
        <f t="shared" si="530"/>
        <v>0.16933680668620427</v>
      </c>
      <c r="Q81" s="293">
        <f t="shared" si="530"/>
        <v>0.30676034829115145</v>
      </c>
      <c r="R81" s="294">
        <f t="shared" si="530"/>
        <v>0.31040108085577328</v>
      </c>
      <c r="S81" s="300">
        <f>(M81-P81)*100</f>
        <v>6.3178103818989388</v>
      </c>
      <c r="T81" s="301">
        <f>(N81-Q81)*100</f>
        <v>7.5345531763546747</v>
      </c>
      <c r="U81" s="301">
        <f>(O81-R81)*100</f>
        <v>-1.9575689950876274</v>
      </c>
    </row>
    <row r="82" spans="2:21" ht="17.5" customHeight="1" x14ac:dyDescent="0.3">
      <c r="B82" s="648" t="s">
        <v>233</v>
      </c>
      <c r="C82" s="648"/>
      <c r="D82" s="141">
        <f t="shared" ref="D82:I82" si="531">D76+D77</f>
        <v>321078</v>
      </c>
      <c r="E82" s="142">
        <f t="shared" si="531"/>
        <v>450296</v>
      </c>
      <c r="F82" s="143">
        <f t="shared" si="531"/>
        <v>305637</v>
      </c>
      <c r="G82" s="157">
        <f t="shared" si="531"/>
        <v>184260</v>
      </c>
      <c r="H82" s="158">
        <f t="shared" si="531"/>
        <v>305147</v>
      </c>
      <c r="I82" s="159">
        <f t="shared" si="531"/>
        <v>139149</v>
      </c>
      <c r="J82" s="149">
        <f t="shared" ref="J82" si="532">D82/G82-1</f>
        <v>0.74252686421361114</v>
      </c>
      <c r="K82" s="212">
        <f t="shared" ref="K82" si="533">E82/H82-1</f>
        <v>0.47566910374344173</v>
      </c>
      <c r="L82" s="213">
        <f t="shared" ref="L82" si="534">F82/I82-1</f>
        <v>1.1964728456546578</v>
      </c>
      <c r="M82" s="141">
        <f t="shared" ref="M82:R82" si="535">M76+M77</f>
        <v>314711</v>
      </c>
      <c r="N82" s="142">
        <f t="shared" si="535"/>
        <v>271307</v>
      </c>
      <c r="O82" s="143">
        <f t="shared" si="535"/>
        <v>305637</v>
      </c>
      <c r="P82" s="158">
        <f t="shared" si="535"/>
        <v>184260</v>
      </c>
      <c r="Q82" s="158">
        <f t="shared" si="535"/>
        <v>305147</v>
      </c>
      <c r="R82" s="159">
        <f t="shared" si="535"/>
        <v>139149</v>
      </c>
      <c r="S82" s="144">
        <f t="shared" ref="S82" si="536">M82/P82-1</f>
        <v>0.70797243026158685</v>
      </c>
      <c r="T82" s="145">
        <f t="shared" ref="T82" si="537">N82/Q82-1</f>
        <v>-0.11089737077539674</v>
      </c>
      <c r="U82" s="145">
        <f t="shared" ref="U82" si="538">O82/R82-1</f>
        <v>1.1964728456546578</v>
      </c>
    </row>
    <row r="83" spans="2:21" ht="17.5" customHeight="1" outlineLevel="1" x14ac:dyDescent="0.3">
      <c r="B83" s="645" t="s">
        <v>325</v>
      </c>
      <c r="C83" s="280" t="s">
        <v>49</v>
      </c>
      <c r="D83" s="281">
        <f t="shared" ref="D83:I84" si="539">SUM(D97,D104,D111,D118,D131,D138,D145,D152,D159,D166,D173,D90)</f>
        <v>3277107</v>
      </c>
      <c r="E83" s="282">
        <f t="shared" si="539"/>
        <v>6075457</v>
      </c>
      <c r="F83" s="283">
        <f t="shared" si="539"/>
        <v>3273424</v>
      </c>
      <c r="G83" s="281">
        <f t="shared" si="539"/>
        <v>2527782</v>
      </c>
      <c r="H83" s="282">
        <f t="shared" si="539"/>
        <v>10538395</v>
      </c>
      <c r="I83" s="283">
        <f t="shared" si="539"/>
        <v>3607099</v>
      </c>
      <c r="J83" s="144">
        <f t="shared" ref="J83:L84" si="540">D83/G83-1</f>
        <v>0.29643576859080412</v>
      </c>
      <c r="K83" s="145">
        <f t="shared" si="540"/>
        <v>-0.42349314103333568</v>
      </c>
      <c r="L83" s="207">
        <f t="shared" si="540"/>
        <v>-9.250508511133182E-2</v>
      </c>
      <c r="M83" s="281">
        <f t="shared" ref="M83:R83" si="541">D83-D86-D87</f>
        <v>2750849</v>
      </c>
      <c r="N83" s="282">
        <f t="shared" si="541"/>
        <v>3380221</v>
      </c>
      <c r="O83" s="283">
        <f t="shared" si="541"/>
        <v>2841044</v>
      </c>
      <c r="P83" s="284">
        <f t="shared" si="541"/>
        <v>2181624</v>
      </c>
      <c r="Q83" s="285">
        <f t="shared" si="541"/>
        <v>3181250</v>
      </c>
      <c r="R83" s="286">
        <f t="shared" si="541"/>
        <v>2782459</v>
      </c>
      <c r="S83" s="144">
        <f t="shared" ref="S83:U84" si="542">M83/P83-1</f>
        <v>0.26091801336985654</v>
      </c>
      <c r="T83" s="145">
        <f t="shared" si="542"/>
        <v>6.2544911591355667E-2</v>
      </c>
      <c r="U83" s="145">
        <f t="shared" si="542"/>
        <v>2.1055117074501473E-2</v>
      </c>
    </row>
    <row r="84" spans="2:21" ht="17.5" customHeight="1" outlineLevel="1" x14ac:dyDescent="0.3">
      <c r="B84" s="646"/>
      <c r="C84" s="287" t="s">
        <v>50</v>
      </c>
      <c r="D84" s="266">
        <f t="shared" si="539"/>
        <v>1381328</v>
      </c>
      <c r="E84" s="267">
        <f t="shared" si="539"/>
        <v>1448178</v>
      </c>
      <c r="F84" s="268">
        <f t="shared" si="539"/>
        <v>1436284</v>
      </c>
      <c r="G84" s="266">
        <f t="shared" si="539"/>
        <v>1641748</v>
      </c>
      <c r="H84" s="267">
        <f t="shared" si="539"/>
        <v>2239046</v>
      </c>
      <c r="I84" s="268">
        <f t="shared" si="539"/>
        <v>1949145</v>
      </c>
      <c r="J84" s="288">
        <f t="shared" si="540"/>
        <v>-0.15862361336819053</v>
      </c>
      <c r="K84" s="289">
        <f t="shared" si="540"/>
        <v>-0.35321650381457104</v>
      </c>
      <c r="L84" s="290">
        <f t="shared" si="540"/>
        <v>-0.26312100946825401</v>
      </c>
      <c r="M84" s="266">
        <f t="shared" ref="M84:R84" si="543">D84</f>
        <v>1381328</v>
      </c>
      <c r="N84" s="267">
        <f t="shared" si="543"/>
        <v>1448178</v>
      </c>
      <c r="O84" s="268">
        <f t="shared" si="543"/>
        <v>1436284</v>
      </c>
      <c r="P84" s="269">
        <f t="shared" si="543"/>
        <v>1641748</v>
      </c>
      <c r="Q84" s="269">
        <f t="shared" si="543"/>
        <v>2239046</v>
      </c>
      <c r="R84" s="270">
        <f t="shared" si="543"/>
        <v>1949145</v>
      </c>
      <c r="S84" s="288">
        <f t="shared" si="542"/>
        <v>-0.15862361336819053</v>
      </c>
      <c r="T84" s="289">
        <f t="shared" si="542"/>
        <v>-0.35321650381457104</v>
      </c>
      <c r="U84" s="289">
        <f t="shared" si="542"/>
        <v>-0.26312100946825401</v>
      </c>
    </row>
    <row r="85" spans="2:21" ht="17.5" customHeight="1" outlineLevel="1" x14ac:dyDescent="0.3">
      <c r="B85" s="646"/>
      <c r="C85" s="291" t="s">
        <v>347</v>
      </c>
      <c r="D85" s="292">
        <f t="shared" ref="D85:I85" si="544">D83/SUM(D83:D84)</f>
        <v>0.70347809940462835</v>
      </c>
      <c r="E85" s="293">
        <f t="shared" si="544"/>
        <v>0.8075161806759632</v>
      </c>
      <c r="F85" s="294">
        <f t="shared" si="544"/>
        <v>0.69503756920811222</v>
      </c>
      <c r="G85" s="292">
        <f t="shared" si="544"/>
        <v>0.60625106426863462</v>
      </c>
      <c r="H85" s="293">
        <f t="shared" si="544"/>
        <v>0.82476569447669534</v>
      </c>
      <c r="I85" s="294">
        <f t="shared" si="544"/>
        <v>0.64919737146172851</v>
      </c>
      <c r="J85" s="295">
        <f>(D85-G85)*100</f>
        <v>9.7227035135993738</v>
      </c>
      <c r="K85" s="296">
        <f>(E85-H85)*100</f>
        <v>-1.7249513800732141</v>
      </c>
      <c r="L85" s="296">
        <f>(F85-I85)*100</f>
        <v>4.5840197746383708</v>
      </c>
      <c r="M85" s="292">
        <f t="shared" ref="M85:R85" si="545">M83/SUM(M83:M84)</f>
        <v>0.66571422279345727</v>
      </c>
      <c r="N85" s="293">
        <f t="shared" si="545"/>
        <v>0.70007076879934738</v>
      </c>
      <c r="O85" s="294">
        <f t="shared" si="545"/>
        <v>0.6642099927805396</v>
      </c>
      <c r="P85" s="293">
        <f t="shared" si="545"/>
        <v>0.57060207586392331</v>
      </c>
      <c r="Q85" s="293">
        <f t="shared" si="545"/>
        <v>0.5869144415729326</v>
      </c>
      <c r="R85" s="294">
        <f t="shared" si="545"/>
        <v>0.58805829904615858</v>
      </c>
      <c r="S85" s="295">
        <f t="shared" ref="S85:U88" si="546">(M85-P85)*100</f>
        <v>9.5112146929533949</v>
      </c>
      <c r="T85" s="296">
        <f t="shared" si="546"/>
        <v>11.315632722641478</v>
      </c>
      <c r="U85" s="296">
        <f t="shared" si="546"/>
        <v>7.6151693734381016</v>
      </c>
    </row>
    <row r="86" spans="2:21" ht="17.5" customHeight="1" outlineLevel="1" x14ac:dyDescent="0.3">
      <c r="B86" s="646"/>
      <c r="C86" s="297" t="s">
        <v>348</v>
      </c>
      <c r="D86" s="298">
        <f>SUM(D100,D107,D114,D121,D134,D141,D148,D155,D162,D169,D176,D93)</f>
        <v>0</v>
      </c>
      <c r="E86" s="360">
        <f t="shared" ref="E86:I87" si="547">SUM(E100,E107,E114,E121,E134,E141,E148,E155,E162,E169,E176,E93)</f>
        <v>2317871</v>
      </c>
      <c r="F86" s="299">
        <f t="shared" si="547"/>
        <v>0</v>
      </c>
      <c r="G86" s="298">
        <f>SUM(G100,G107,G114,G121,G134,G141,G148,G155,G162,G169,G176,G93)</f>
        <v>0</v>
      </c>
      <c r="H86" s="360">
        <f t="shared" si="547"/>
        <v>7208554</v>
      </c>
      <c r="I86" s="299">
        <f t="shared" si="547"/>
        <v>545509</v>
      </c>
      <c r="J86" s="305" t="str">
        <f t="shared" ref="J86:L87" si="548">IFERROR(D86/G86-1,"-")</f>
        <v>-</v>
      </c>
      <c r="K86" s="306">
        <f t="shared" si="548"/>
        <v>-0.67845548496966246</v>
      </c>
      <c r="L86" s="307">
        <f t="shared" si="548"/>
        <v>-1</v>
      </c>
      <c r="M86" s="302">
        <f t="shared" ref="M86:R87" si="549">D86/D$89</f>
        <v>0</v>
      </c>
      <c r="N86" s="303">
        <f t="shared" si="549"/>
        <v>0.30807860827910977</v>
      </c>
      <c r="O86" s="304">
        <f t="shared" si="549"/>
        <v>0</v>
      </c>
      <c r="P86" s="303">
        <f t="shared" si="549"/>
        <v>0</v>
      </c>
      <c r="Q86" s="303">
        <f t="shared" si="549"/>
        <v>0.56416257371096445</v>
      </c>
      <c r="R86" s="304">
        <f t="shared" si="549"/>
        <v>9.8179453602109626E-2</v>
      </c>
      <c r="S86" s="311">
        <f t="shared" si="546"/>
        <v>0</v>
      </c>
      <c r="T86" s="312">
        <f t="shared" si="546"/>
        <v>-25.608396543185467</v>
      </c>
      <c r="U86" s="312">
        <f t="shared" si="546"/>
        <v>-9.8179453602109632</v>
      </c>
    </row>
    <row r="87" spans="2:21" ht="17.5" customHeight="1" outlineLevel="1" x14ac:dyDescent="0.3">
      <c r="B87" s="646"/>
      <c r="C87" s="297" t="s">
        <v>418</v>
      </c>
      <c r="D87" s="298">
        <f>SUM(D101,D108,D115,D122,D135,D142,D149,D156,D163,D170,D177,D94)</f>
        <v>526258</v>
      </c>
      <c r="E87" s="360">
        <f t="shared" si="547"/>
        <v>377365</v>
      </c>
      <c r="F87" s="299">
        <f t="shared" si="547"/>
        <v>432380</v>
      </c>
      <c r="G87" s="298">
        <f>SUM(G101,G108,G115,G122,G135,G142,G149,G156,G163,G170,G177,G94)</f>
        <v>346158</v>
      </c>
      <c r="H87" s="360">
        <f t="shared" si="547"/>
        <v>148591</v>
      </c>
      <c r="I87" s="299">
        <f t="shared" si="547"/>
        <v>279131</v>
      </c>
      <c r="J87" s="305">
        <f t="shared" si="548"/>
        <v>0.52028264549714298</v>
      </c>
      <c r="K87" s="306">
        <f t="shared" si="548"/>
        <v>1.5396221843853262</v>
      </c>
      <c r="L87" s="307">
        <f t="shared" si="548"/>
        <v>0.54902178546990488</v>
      </c>
      <c r="M87" s="302">
        <f t="shared" si="549"/>
        <v>0.11296884039382325</v>
      </c>
      <c r="N87" s="303">
        <f t="shared" si="549"/>
        <v>5.0157271053154491E-2</v>
      </c>
      <c r="O87" s="304">
        <f t="shared" si="549"/>
        <v>9.1806116217820727E-2</v>
      </c>
      <c r="P87" s="303">
        <f t="shared" si="549"/>
        <v>8.3020868059469538E-2</v>
      </c>
      <c r="Q87" s="303">
        <f t="shared" si="549"/>
        <v>1.1629167373967917E-2</v>
      </c>
      <c r="R87" s="304">
        <f t="shared" si="549"/>
        <v>5.0237354587019577E-2</v>
      </c>
      <c r="S87" s="311">
        <f t="shared" si="546"/>
        <v>2.9947972334353716</v>
      </c>
      <c r="T87" s="312">
        <f t="shared" si="546"/>
        <v>3.8528103679186576</v>
      </c>
      <c r="U87" s="312">
        <f t="shared" si="546"/>
        <v>4.1568761630801152</v>
      </c>
    </row>
    <row r="88" spans="2:21" ht="17.5" customHeight="1" outlineLevel="1" x14ac:dyDescent="0.3">
      <c r="B88" s="647"/>
      <c r="C88" s="291" t="s">
        <v>349</v>
      </c>
      <c r="D88" s="292">
        <f t="shared" ref="D88:I88" si="550">D84/SUM(D83:D84)</f>
        <v>0.29652190059537165</v>
      </c>
      <c r="E88" s="293">
        <f t="shared" si="550"/>
        <v>0.19248381932403685</v>
      </c>
      <c r="F88" s="294">
        <f t="shared" si="550"/>
        <v>0.30496243079188773</v>
      </c>
      <c r="G88" s="292">
        <f t="shared" si="550"/>
        <v>0.39374893573136538</v>
      </c>
      <c r="H88" s="293">
        <f t="shared" si="550"/>
        <v>0.17523430552330471</v>
      </c>
      <c r="I88" s="294">
        <f t="shared" si="550"/>
        <v>0.35080262853827154</v>
      </c>
      <c r="J88" s="300">
        <f>(D88-G88)*100</f>
        <v>-9.7227035135993738</v>
      </c>
      <c r="K88" s="301">
        <f>(E88-H88)*100</f>
        <v>1.7249513800732141</v>
      </c>
      <c r="L88" s="301">
        <f>(F88-I88)*100</f>
        <v>-4.5840197746383815</v>
      </c>
      <c r="M88" s="292">
        <f t="shared" ref="M88:R88" si="551">M84/SUM(M83:M84)</f>
        <v>0.33428577720654268</v>
      </c>
      <c r="N88" s="293">
        <f t="shared" si="551"/>
        <v>0.29992923120065262</v>
      </c>
      <c r="O88" s="294">
        <f t="shared" si="551"/>
        <v>0.3357900072194604</v>
      </c>
      <c r="P88" s="293">
        <f t="shared" si="551"/>
        <v>0.42939792413607675</v>
      </c>
      <c r="Q88" s="293">
        <f t="shared" si="551"/>
        <v>0.41308555842706746</v>
      </c>
      <c r="R88" s="294">
        <f t="shared" si="551"/>
        <v>0.41194170095384147</v>
      </c>
      <c r="S88" s="300">
        <f t="shared" si="546"/>
        <v>-9.5112146929534074</v>
      </c>
      <c r="T88" s="301">
        <f t="shared" si="546"/>
        <v>-11.315632722641483</v>
      </c>
      <c r="U88" s="301">
        <f t="shared" si="546"/>
        <v>-7.6151693734381078</v>
      </c>
    </row>
    <row r="89" spans="2:21" ht="17.5" customHeight="1" outlineLevel="1" x14ac:dyDescent="0.3">
      <c r="B89" s="648" t="s">
        <v>233</v>
      </c>
      <c r="C89" s="648"/>
      <c r="D89" s="271">
        <f t="shared" ref="D89:I89" si="552">D83+D84</f>
        <v>4658435</v>
      </c>
      <c r="E89" s="272">
        <f t="shared" si="552"/>
        <v>7523635</v>
      </c>
      <c r="F89" s="273">
        <f t="shared" si="552"/>
        <v>4709708</v>
      </c>
      <c r="G89" s="274">
        <f t="shared" si="552"/>
        <v>4169530</v>
      </c>
      <c r="H89" s="275">
        <f t="shared" si="552"/>
        <v>12777441</v>
      </c>
      <c r="I89" s="276">
        <f t="shared" si="552"/>
        <v>5556244</v>
      </c>
      <c r="J89" s="149">
        <f t="shared" ref="J89:L91" si="553">D89/G89-1</f>
        <v>0.11725662124987712</v>
      </c>
      <c r="K89" s="212">
        <f t="shared" si="553"/>
        <v>-0.41117826331579221</v>
      </c>
      <c r="L89" s="213">
        <f t="shared" si="553"/>
        <v>-0.1523575998462271</v>
      </c>
      <c r="M89" s="271">
        <f t="shared" ref="M89:R89" si="554">M83+M84</f>
        <v>4132177</v>
      </c>
      <c r="N89" s="272">
        <f t="shared" si="554"/>
        <v>4828399</v>
      </c>
      <c r="O89" s="273">
        <f t="shared" si="554"/>
        <v>4277328</v>
      </c>
      <c r="P89" s="275">
        <f t="shared" si="554"/>
        <v>3823372</v>
      </c>
      <c r="Q89" s="275">
        <f t="shared" si="554"/>
        <v>5420296</v>
      </c>
      <c r="R89" s="276">
        <f t="shared" si="554"/>
        <v>4731604</v>
      </c>
      <c r="S89" s="149">
        <f t="shared" ref="S89:U91" si="555">M89/P89-1</f>
        <v>8.0767709759866468E-2</v>
      </c>
      <c r="T89" s="150">
        <f t="shared" si="555"/>
        <v>-0.10920012486402952</v>
      </c>
      <c r="U89" s="150">
        <f t="shared" si="555"/>
        <v>-9.6008879863995422E-2</v>
      </c>
    </row>
    <row r="90" spans="2:21" ht="17.5" customHeight="1" x14ac:dyDescent="0.3">
      <c r="B90" s="645">
        <v>45717</v>
      </c>
      <c r="C90" s="127" t="s">
        <v>49</v>
      </c>
      <c r="D90" s="133">
        <v>287495</v>
      </c>
      <c r="E90" s="129">
        <v>459470</v>
      </c>
      <c r="F90" s="134">
        <v>249049</v>
      </c>
      <c r="G90" s="151">
        <v>143350</v>
      </c>
      <c r="H90" s="152">
        <v>259184</v>
      </c>
      <c r="I90" s="153">
        <v>134077</v>
      </c>
      <c r="J90" s="139">
        <f t="shared" si="553"/>
        <v>1.0055458667596793</v>
      </c>
      <c r="K90" s="128">
        <f t="shared" si="553"/>
        <v>0.77275603432310636</v>
      </c>
      <c r="L90" s="201">
        <f t="shared" si="553"/>
        <v>0.85750725329474853</v>
      </c>
      <c r="M90" s="133">
        <f t="shared" ref="M90:R90" si="556">D90-D93-D94</f>
        <v>282534</v>
      </c>
      <c r="N90" s="129">
        <f t="shared" si="556"/>
        <v>182398</v>
      </c>
      <c r="O90" s="134">
        <f t="shared" si="556"/>
        <v>249049</v>
      </c>
      <c r="P90" s="152">
        <f t="shared" si="556"/>
        <v>143350</v>
      </c>
      <c r="Q90" s="152">
        <f t="shared" si="556"/>
        <v>259184</v>
      </c>
      <c r="R90" s="152">
        <f t="shared" si="556"/>
        <v>134077</v>
      </c>
      <c r="S90" s="139">
        <f t="shared" si="555"/>
        <v>0.97093826299267527</v>
      </c>
      <c r="T90" s="128">
        <f t="shared" si="555"/>
        <v>-0.29626057164022468</v>
      </c>
      <c r="U90" s="128">
        <f t="shared" si="555"/>
        <v>0.85750725329474853</v>
      </c>
    </row>
    <row r="91" spans="2:21" ht="17.5" customHeight="1" x14ac:dyDescent="0.3">
      <c r="B91" s="646"/>
      <c r="C91" s="117" t="s">
        <v>50</v>
      </c>
      <c r="D91" s="135">
        <v>101654</v>
      </c>
      <c r="E91" s="130">
        <v>105919</v>
      </c>
      <c r="F91" s="136">
        <v>98506</v>
      </c>
      <c r="G91" s="154">
        <v>34220</v>
      </c>
      <c r="H91" s="155">
        <v>110031</v>
      </c>
      <c r="I91" s="156">
        <v>57535</v>
      </c>
      <c r="J91" s="140">
        <f t="shared" si="553"/>
        <v>1.9706019871420222</v>
      </c>
      <c r="K91" s="123">
        <f t="shared" si="553"/>
        <v>-3.737128627386832E-2</v>
      </c>
      <c r="L91" s="202">
        <f t="shared" si="553"/>
        <v>0.71210567480663944</v>
      </c>
      <c r="M91" s="135">
        <f t="shared" ref="M91:R91" si="557">D91</f>
        <v>101654</v>
      </c>
      <c r="N91" s="130">
        <f t="shared" si="557"/>
        <v>105919</v>
      </c>
      <c r="O91" s="136">
        <f t="shared" si="557"/>
        <v>98506</v>
      </c>
      <c r="P91" s="155">
        <f t="shared" si="557"/>
        <v>34220</v>
      </c>
      <c r="Q91" s="155">
        <f t="shared" si="557"/>
        <v>110031</v>
      </c>
      <c r="R91" s="156">
        <f t="shared" si="557"/>
        <v>57535</v>
      </c>
      <c r="S91" s="140">
        <f t="shared" si="555"/>
        <v>1.9706019871420222</v>
      </c>
      <c r="T91" s="123">
        <f t="shared" si="555"/>
        <v>-3.737128627386832E-2</v>
      </c>
      <c r="U91" s="123">
        <f t="shared" si="555"/>
        <v>0.71210567480663944</v>
      </c>
    </row>
    <row r="92" spans="2:21" ht="17.5" customHeight="1" x14ac:dyDescent="0.3">
      <c r="B92" s="646"/>
      <c r="C92" s="171" t="s">
        <v>347</v>
      </c>
      <c r="D92" s="172">
        <f t="shared" ref="D92:I92" si="558">D90/SUM(D90:D91)</f>
        <v>0.73877871971918208</v>
      </c>
      <c r="E92" s="173">
        <f t="shared" si="558"/>
        <v>0.81266172493628286</v>
      </c>
      <c r="F92" s="174">
        <f t="shared" si="558"/>
        <v>0.71657435513803569</v>
      </c>
      <c r="G92" s="172">
        <f t="shared" si="558"/>
        <v>0.80728726699329845</v>
      </c>
      <c r="H92" s="173">
        <f t="shared" si="558"/>
        <v>0.70198664734639704</v>
      </c>
      <c r="I92" s="174">
        <f t="shared" si="558"/>
        <v>0.69973174957727069</v>
      </c>
      <c r="J92" s="242">
        <f>(D92-G92)*100</f>
        <v>-6.8508547274116367</v>
      </c>
      <c r="K92" s="243">
        <f>(E92-H92)*100</f>
        <v>11.067507758988581</v>
      </c>
      <c r="L92" s="243">
        <f>(F92-I92)*100</f>
        <v>1.6842605560765</v>
      </c>
      <c r="M92" s="172">
        <f t="shared" ref="M92:R92" si="559">M90/SUM(M90:M91)</f>
        <v>0.73540558268347789</v>
      </c>
      <c r="N92" s="173">
        <f t="shared" si="559"/>
        <v>0.63263005650031046</v>
      </c>
      <c r="O92" s="174">
        <f t="shared" si="559"/>
        <v>0.71657435513803569</v>
      </c>
      <c r="P92" s="173">
        <f t="shared" si="559"/>
        <v>0.80728726699329845</v>
      </c>
      <c r="Q92" s="173">
        <f t="shared" si="559"/>
        <v>0.70198664734639704</v>
      </c>
      <c r="R92" s="174">
        <f t="shared" si="559"/>
        <v>0.69973174957727069</v>
      </c>
      <c r="S92" s="242">
        <f>(M92-P92)*100</f>
        <v>-7.1881684309820564</v>
      </c>
      <c r="T92" s="243">
        <f>(N92-Q92)*100</f>
        <v>-6.935659084608659</v>
      </c>
      <c r="U92" s="243">
        <f>(O92-R92)*100</f>
        <v>1.6842605560765</v>
      </c>
    </row>
    <row r="93" spans="2:21" ht="17.5" customHeight="1" x14ac:dyDescent="0.3">
      <c r="B93" s="646"/>
      <c r="C93" s="118" t="s">
        <v>348</v>
      </c>
      <c r="D93" s="137">
        <v>0</v>
      </c>
      <c r="E93" s="131">
        <v>277072</v>
      </c>
      <c r="F93" s="138">
        <v>0</v>
      </c>
      <c r="G93" s="137">
        <v>0</v>
      </c>
      <c r="H93" s="131">
        <v>0</v>
      </c>
      <c r="I93" s="138">
        <v>0</v>
      </c>
      <c r="J93" s="183" t="str">
        <f t="shared" ref="J93:L94" si="560">IFERROR(D93/G93-1,"-")</f>
        <v>-</v>
      </c>
      <c r="K93" s="184" t="str">
        <f t="shared" si="560"/>
        <v>-</v>
      </c>
      <c r="L93" s="204" t="str">
        <f t="shared" si="560"/>
        <v>-</v>
      </c>
      <c r="M93" s="209">
        <f t="shared" ref="M93:R94" si="561">D93/D$110</f>
        <v>0</v>
      </c>
      <c r="N93" s="210">
        <f t="shared" si="561"/>
        <v>0.63472631390857737</v>
      </c>
      <c r="O93" s="211">
        <f t="shared" si="561"/>
        <v>0</v>
      </c>
      <c r="P93" s="209">
        <f t="shared" si="561"/>
        <v>0</v>
      </c>
      <c r="Q93" s="210">
        <f t="shared" si="561"/>
        <v>0</v>
      </c>
      <c r="R93" s="211">
        <f t="shared" si="561"/>
        <v>0</v>
      </c>
      <c r="S93" s="183" t="str">
        <f t="shared" ref="S93:U94" si="562">IFERROR(D93/G93-1,"-")</f>
        <v>-</v>
      </c>
      <c r="T93" s="184" t="str">
        <f t="shared" si="562"/>
        <v>-</v>
      </c>
      <c r="U93" s="184" t="str">
        <f t="shared" si="562"/>
        <v>-</v>
      </c>
    </row>
    <row r="94" spans="2:21" ht="17.5" customHeight="1" x14ac:dyDescent="0.3">
      <c r="B94" s="646"/>
      <c r="C94" s="118" t="s">
        <v>418</v>
      </c>
      <c r="D94" s="137">
        <v>4961</v>
      </c>
      <c r="E94" s="131">
        <v>0</v>
      </c>
      <c r="F94" s="138">
        <v>0</v>
      </c>
      <c r="G94" s="137">
        <v>0</v>
      </c>
      <c r="H94" s="131">
        <v>0</v>
      </c>
      <c r="I94" s="138">
        <v>0</v>
      </c>
      <c r="J94" s="183" t="str">
        <f t="shared" si="560"/>
        <v>-</v>
      </c>
      <c r="K94" s="184" t="str">
        <f t="shared" si="560"/>
        <v>-</v>
      </c>
      <c r="L94" s="204" t="str">
        <f t="shared" si="560"/>
        <v>-</v>
      </c>
      <c r="M94" s="209">
        <f t="shared" si="561"/>
        <v>1.444233546043132E-2</v>
      </c>
      <c r="N94" s="210">
        <f t="shared" si="561"/>
        <v>0</v>
      </c>
      <c r="O94" s="211">
        <f t="shared" si="561"/>
        <v>0</v>
      </c>
      <c r="P94" s="209">
        <f t="shared" si="561"/>
        <v>0</v>
      </c>
      <c r="Q94" s="210">
        <f t="shared" si="561"/>
        <v>0</v>
      </c>
      <c r="R94" s="211">
        <f t="shared" si="561"/>
        <v>0</v>
      </c>
      <c r="S94" s="183" t="str">
        <f t="shared" si="562"/>
        <v>-</v>
      </c>
      <c r="T94" s="184" t="str">
        <f t="shared" si="562"/>
        <v>-</v>
      </c>
      <c r="U94" s="184" t="str">
        <f t="shared" si="562"/>
        <v>-</v>
      </c>
    </row>
    <row r="95" spans="2:21" ht="17.5" customHeight="1" x14ac:dyDescent="0.3">
      <c r="B95" s="647"/>
      <c r="C95" s="171" t="s">
        <v>349</v>
      </c>
      <c r="D95" s="172">
        <f t="shared" ref="D95:I95" si="563">D91/SUM(D90:D91)</f>
        <v>0.26122128028081787</v>
      </c>
      <c r="E95" s="173">
        <f t="shared" si="563"/>
        <v>0.1873382750637172</v>
      </c>
      <c r="F95" s="174">
        <f t="shared" si="563"/>
        <v>0.28342564486196431</v>
      </c>
      <c r="G95" s="172">
        <f t="shared" si="563"/>
        <v>0.19271273300670158</v>
      </c>
      <c r="H95" s="173">
        <f t="shared" si="563"/>
        <v>0.2980133526536029</v>
      </c>
      <c r="I95" s="174">
        <f t="shared" si="563"/>
        <v>0.30026825042272925</v>
      </c>
      <c r="J95" s="244">
        <f>(D95-G95)*100</f>
        <v>6.8508547274116287</v>
      </c>
      <c r="K95" s="245">
        <f>(E95-H95)*100</f>
        <v>-11.067507758988571</v>
      </c>
      <c r="L95" s="245">
        <f>(F95-I95)*100</f>
        <v>-1.6842605560764945</v>
      </c>
      <c r="M95" s="172">
        <f t="shared" ref="M95:R95" si="564">M91/SUM(M90:M91)</f>
        <v>0.26459441731652211</v>
      </c>
      <c r="N95" s="173">
        <f t="shared" si="564"/>
        <v>0.3673699434996896</v>
      </c>
      <c r="O95" s="174">
        <f t="shared" si="564"/>
        <v>0.28342564486196431</v>
      </c>
      <c r="P95" s="173">
        <f t="shared" si="564"/>
        <v>0.19271273300670158</v>
      </c>
      <c r="Q95" s="173">
        <f t="shared" si="564"/>
        <v>0.2980133526536029</v>
      </c>
      <c r="R95" s="174">
        <f t="shared" si="564"/>
        <v>0.30026825042272925</v>
      </c>
      <c r="S95" s="244">
        <f>(M95-P95)*100</f>
        <v>7.1881684309820528</v>
      </c>
      <c r="T95" s="245">
        <f>(N95-Q95)*100</f>
        <v>6.9356590846086696</v>
      </c>
      <c r="U95" s="245">
        <f>(O95-R95)*100</f>
        <v>-1.6842605560764945</v>
      </c>
    </row>
    <row r="96" spans="2:21" ht="17.5" customHeight="1" x14ac:dyDescent="0.3">
      <c r="B96" s="657" t="s">
        <v>233</v>
      </c>
      <c r="C96" s="657"/>
      <c r="D96" s="133">
        <f t="shared" ref="D96:I96" si="565">D90+D91</f>
        <v>389149</v>
      </c>
      <c r="E96" s="129">
        <f t="shared" si="565"/>
        <v>565389</v>
      </c>
      <c r="F96" s="134">
        <f t="shared" si="565"/>
        <v>347555</v>
      </c>
      <c r="G96" s="151">
        <f t="shared" si="565"/>
        <v>177570</v>
      </c>
      <c r="H96" s="152">
        <f t="shared" si="565"/>
        <v>369215</v>
      </c>
      <c r="I96" s="153">
        <f t="shared" si="565"/>
        <v>191612</v>
      </c>
      <c r="J96" s="277">
        <f t="shared" ref="J96:L98" si="566">D96/G96-1</f>
        <v>1.1915244692234048</v>
      </c>
      <c r="K96" s="278">
        <f t="shared" si="566"/>
        <v>0.53132727543572167</v>
      </c>
      <c r="L96" s="279">
        <f t="shared" si="566"/>
        <v>0.81384777571342082</v>
      </c>
      <c r="M96" s="133">
        <f t="shared" ref="M96:R96" si="567">M90+M91</f>
        <v>384188</v>
      </c>
      <c r="N96" s="129">
        <f t="shared" si="567"/>
        <v>288317</v>
      </c>
      <c r="O96" s="134">
        <f t="shared" si="567"/>
        <v>347555</v>
      </c>
      <c r="P96" s="152">
        <f t="shared" si="567"/>
        <v>177570</v>
      </c>
      <c r="Q96" s="152">
        <f t="shared" si="567"/>
        <v>369215</v>
      </c>
      <c r="R96" s="153">
        <f t="shared" si="567"/>
        <v>191612</v>
      </c>
      <c r="S96" s="139">
        <f t="shared" ref="S96:U98" si="568">M96/P96-1</f>
        <v>1.1635861913611532</v>
      </c>
      <c r="T96" s="128">
        <f t="shared" si="568"/>
        <v>-0.21910810774210143</v>
      </c>
      <c r="U96" s="128">
        <f t="shared" si="568"/>
        <v>0.81384777571342082</v>
      </c>
    </row>
    <row r="97" spans="2:21" ht="17.5" customHeight="1" x14ac:dyDescent="0.3">
      <c r="B97" s="645">
        <v>45689</v>
      </c>
      <c r="C97" s="127" t="s">
        <v>49</v>
      </c>
      <c r="D97" s="133">
        <v>247354</v>
      </c>
      <c r="E97" s="129">
        <v>371051</v>
      </c>
      <c r="F97" s="134">
        <v>255088</v>
      </c>
      <c r="G97" s="151">
        <v>163017</v>
      </c>
      <c r="H97" s="152">
        <v>540872</v>
      </c>
      <c r="I97" s="153">
        <v>286614</v>
      </c>
      <c r="J97" s="139">
        <f t="shared" si="566"/>
        <v>0.5173509511277965</v>
      </c>
      <c r="K97" s="128">
        <f t="shared" si="566"/>
        <v>-0.31397631972074724</v>
      </c>
      <c r="L97" s="201">
        <f t="shared" si="566"/>
        <v>-0.10999462691982942</v>
      </c>
      <c r="M97" s="133">
        <f t="shared" ref="M97:R97" si="569">D97-D100-D101</f>
        <v>243009</v>
      </c>
      <c r="N97" s="129">
        <f t="shared" si="569"/>
        <v>239349</v>
      </c>
      <c r="O97" s="134">
        <f t="shared" si="569"/>
        <v>255088</v>
      </c>
      <c r="P97" s="152">
        <f t="shared" si="569"/>
        <v>163017</v>
      </c>
      <c r="Q97" s="152">
        <f t="shared" si="569"/>
        <v>166908</v>
      </c>
      <c r="R97" s="152">
        <f t="shared" si="569"/>
        <v>192565</v>
      </c>
      <c r="S97" s="139">
        <f t="shared" si="568"/>
        <v>0.49069728923977252</v>
      </c>
      <c r="T97" s="128">
        <f t="shared" si="568"/>
        <v>0.43401754259831771</v>
      </c>
      <c r="U97" s="128">
        <f t="shared" si="568"/>
        <v>0.32468517124087981</v>
      </c>
    </row>
    <row r="98" spans="2:21" ht="17.5" customHeight="1" x14ac:dyDescent="0.3">
      <c r="B98" s="646"/>
      <c r="C98" s="117" t="s">
        <v>50</v>
      </c>
      <c r="D98" s="135">
        <v>70663</v>
      </c>
      <c r="E98" s="130">
        <v>103641</v>
      </c>
      <c r="F98" s="136">
        <v>326335</v>
      </c>
      <c r="G98" s="154">
        <v>38029</v>
      </c>
      <c r="H98" s="155">
        <v>95660</v>
      </c>
      <c r="I98" s="156">
        <v>100040</v>
      </c>
      <c r="J98" s="140">
        <f t="shared" si="566"/>
        <v>0.85813458150358946</v>
      </c>
      <c r="K98" s="123">
        <f t="shared" si="566"/>
        <v>8.3430901108091149E-2</v>
      </c>
      <c r="L98" s="202">
        <f t="shared" si="566"/>
        <v>2.2620451819272289</v>
      </c>
      <c r="M98" s="135">
        <f t="shared" ref="M98:R98" si="570">D98</f>
        <v>70663</v>
      </c>
      <c r="N98" s="130">
        <f t="shared" si="570"/>
        <v>103641</v>
      </c>
      <c r="O98" s="136">
        <f t="shared" si="570"/>
        <v>326335</v>
      </c>
      <c r="P98" s="155">
        <f t="shared" si="570"/>
        <v>38029</v>
      </c>
      <c r="Q98" s="155">
        <f t="shared" si="570"/>
        <v>95660</v>
      </c>
      <c r="R98" s="156">
        <f t="shared" si="570"/>
        <v>100040</v>
      </c>
      <c r="S98" s="140">
        <f t="shared" si="568"/>
        <v>0.85813458150358946</v>
      </c>
      <c r="T98" s="123">
        <f t="shared" si="568"/>
        <v>8.3430901108091149E-2</v>
      </c>
      <c r="U98" s="123">
        <f t="shared" si="568"/>
        <v>2.2620451819272289</v>
      </c>
    </row>
    <row r="99" spans="2:21" ht="17.5" customHeight="1" x14ac:dyDescent="0.3">
      <c r="B99" s="646"/>
      <c r="C99" s="171" t="s">
        <v>347</v>
      </c>
      <c r="D99" s="172">
        <f t="shared" ref="D99:I99" si="571">D97/SUM(D97:D98)</f>
        <v>0.77780118672901133</v>
      </c>
      <c r="E99" s="173">
        <f t="shared" si="571"/>
        <v>0.78166684924119223</v>
      </c>
      <c r="F99" s="174">
        <f t="shared" si="571"/>
        <v>0.43873049397770641</v>
      </c>
      <c r="G99" s="172">
        <f t="shared" si="571"/>
        <v>0.81084428439262657</v>
      </c>
      <c r="H99" s="173">
        <f t="shared" si="571"/>
        <v>0.84971690347068174</v>
      </c>
      <c r="I99" s="174">
        <f t="shared" si="571"/>
        <v>0.74126738634541478</v>
      </c>
      <c r="J99" s="242">
        <f>(D99-G99)*100</f>
        <v>-3.304309766361524</v>
      </c>
      <c r="K99" s="243">
        <f>(E99-H99)*100</f>
        <v>-6.8050054229489509</v>
      </c>
      <c r="L99" s="243">
        <f>(F99-I99)*100</f>
        <v>-30.253689236770835</v>
      </c>
      <c r="M99" s="172">
        <f t="shared" ref="M99:R99" si="572">M97/SUM(M97:M98)</f>
        <v>0.77472327781886807</v>
      </c>
      <c r="N99" s="173">
        <f t="shared" si="572"/>
        <v>0.69783084054928712</v>
      </c>
      <c r="O99" s="174">
        <f t="shared" si="572"/>
        <v>0.43873049397770641</v>
      </c>
      <c r="P99" s="173">
        <f t="shared" si="572"/>
        <v>0.81084428439262657</v>
      </c>
      <c r="Q99" s="173">
        <f t="shared" si="572"/>
        <v>0.63567532981932295</v>
      </c>
      <c r="R99" s="174">
        <f t="shared" si="572"/>
        <v>0.65810563729259586</v>
      </c>
      <c r="S99" s="242">
        <f>(M99-P99)*100</f>
        <v>-3.6121006573758496</v>
      </c>
      <c r="T99" s="243">
        <f>(N99-Q99)*100</f>
        <v>6.2155510729964174</v>
      </c>
      <c r="U99" s="243">
        <f>(O99-R99)*100</f>
        <v>-21.937514331488945</v>
      </c>
    </row>
    <row r="100" spans="2:21" ht="17.5" customHeight="1" x14ac:dyDescent="0.3">
      <c r="B100" s="646"/>
      <c r="C100" s="118" t="s">
        <v>348</v>
      </c>
      <c r="D100" s="137">
        <v>0</v>
      </c>
      <c r="E100" s="131">
        <v>131702</v>
      </c>
      <c r="F100" s="138">
        <v>0</v>
      </c>
      <c r="G100" s="137">
        <v>0</v>
      </c>
      <c r="H100" s="131">
        <v>373964</v>
      </c>
      <c r="I100" s="138">
        <v>0</v>
      </c>
      <c r="J100" s="183" t="str">
        <f t="shared" ref="J100:L101" si="573">IFERROR(D100/G100-1,"-")</f>
        <v>-</v>
      </c>
      <c r="K100" s="184">
        <f t="shared" si="573"/>
        <v>-0.64782171545924205</v>
      </c>
      <c r="L100" s="204" t="str">
        <f t="shared" si="573"/>
        <v>-</v>
      </c>
      <c r="M100" s="209">
        <f t="shared" ref="M100:R101" si="574">D100/D$110</f>
        <v>0</v>
      </c>
      <c r="N100" s="210">
        <f t="shared" si="574"/>
        <v>0.30170758862096297</v>
      </c>
      <c r="O100" s="211">
        <f t="shared" si="574"/>
        <v>0</v>
      </c>
      <c r="P100" s="209">
        <f t="shared" si="574"/>
        <v>0</v>
      </c>
      <c r="Q100" s="210">
        <f t="shared" si="574"/>
        <v>0.36723659285548044</v>
      </c>
      <c r="R100" s="211">
        <f t="shared" si="574"/>
        <v>0</v>
      </c>
      <c r="S100" s="183" t="str">
        <f t="shared" ref="S100:U101" si="575">IFERROR(D100/G100-1,"-")</f>
        <v>-</v>
      </c>
      <c r="T100" s="184">
        <f t="shared" si="575"/>
        <v>-0.64782171545924205</v>
      </c>
      <c r="U100" s="184" t="str">
        <f t="shared" si="575"/>
        <v>-</v>
      </c>
    </row>
    <row r="101" spans="2:21" ht="17.5" customHeight="1" x14ac:dyDescent="0.3">
      <c r="B101" s="646"/>
      <c r="C101" s="118" t="s">
        <v>418</v>
      </c>
      <c r="D101" s="137">
        <v>4345</v>
      </c>
      <c r="E101" s="131">
        <v>0</v>
      </c>
      <c r="F101" s="138">
        <v>0</v>
      </c>
      <c r="G101" s="137">
        <v>0</v>
      </c>
      <c r="H101" s="131">
        <v>0</v>
      </c>
      <c r="I101" s="138">
        <v>94049</v>
      </c>
      <c r="J101" s="183" t="str">
        <f t="shared" si="573"/>
        <v>-</v>
      </c>
      <c r="K101" s="184" t="str">
        <f t="shared" si="573"/>
        <v>-</v>
      </c>
      <c r="L101" s="204">
        <f t="shared" si="573"/>
        <v>-1</v>
      </c>
      <c r="M101" s="209">
        <f t="shared" si="574"/>
        <v>1.2649052121663795E-2</v>
      </c>
      <c r="N101" s="210">
        <f t="shared" si="574"/>
        <v>0</v>
      </c>
      <c r="O101" s="211">
        <f t="shared" si="574"/>
        <v>0</v>
      </c>
      <c r="P101" s="209">
        <f t="shared" si="574"/>
        <v>0</v>
      </c>
      <c r="Q101" s="210">
        <f t="shared" si="574"/>
        <v>0</v>
      </c>
      <c r="R101" s="211">
        <f t="shared" si="574"/>
        <v>0.18722031118118262</v>
      </c>
      <c r="S101" s="183" t="str">
        <f t="shared" si="575"/>
        <v>-</v>
      </c>
      <c r="T101" s="184" t="str">
        <f t="shared" si="575"/>
        <v>-</v>
      </c>
      <c r="U101" s="184">
        <f t="shared" si="575"/>
        <v>-1</v>
      </c>
    </row>
    <row r="102" spans="2:21" ht="17.5" customHeight="1" x14ac:dyDescent="0.3">
      <c r="B102" s="647"/>
      <c r="C102" s="171" t="s">
        <v>349</v>
      </c>
      <c r="D102" s="172">
        <f t="shared" ref="D102:I102" si="576">D98/SUM(D97:D98)</f>
        <v>0.22219881327098867</v>
      </c>
      <c r="E102" s="173">
        <f t="shared" si="576"/>
        <v>0.21833315075880783</v>
      </c>
      <c r="F102" s="174">
        <f t="shared" si="576"/>
        <v>0.56126950602229353</v>
      </c>
      <c r="G102" s="172">
        <f t="shared" si="576"/>
        <v>0.18915571560737343</v>
      </c>
      <c r="H102" s="173">
        <f t="shared" si="576"/>
        <v>0.15028309652931823</v>
      </c>
      <c r="I102" s="174">
        <f t="shared" si="576"/>
        <v>0.25873261365458522</v>
      </c>
      <c r="J102" s="244">
        <f>(D102-G102)*100</f>
        <v>3.304309766361524</v>
      </c>
      <c r="K102" s="245">
        <f>(E102-H102)*100</f>
        <v>6.8050054229489589</v>
      </c>
      <c r="L102" s="245">
        <f>(F102-I102)*100</f>
        <v>30.253689236770832</v>
      </c>
      <c r="M102" s="172">
        <f t="shared" ref="M102:R102" si="577">M98/SUM(M97:M98)</f>
        <v>0.22527672218113187</v>
      </c>
      <c r="N102" s="173">
        <f t="shared" si="577"/>
        <v>0.30216915945071288</v>
      </c>
      <c r="O102" s="174">
        <f t="shared" si="577"/>
        <v>0.56126950602229353</v>
      </c>
      <c r="P102" s="173">
        <f t="shared" si="577"/>
        <v>0.18915571560737343</v>
      </c>
      <c r="Q102" s="173">
        <f t="shared" si="577"/>
        <v>0.36432467018067699</v>
      </c>
      <c r="R102" s="174">
        <f t="shared" si="577"/>
        <v>0.3418943627074042</v>
      </c>
      <c r="S102" s="244">
        <f>(M102-P102)*100</f>
        <v>3.6121006573758443</v>
      </c>
      <c r="T102" s="245">
        <f>(N102-Q102)*100</f>
        <v>-6.2155510729964112</v>
      </c>
      <c r="U102" s="245">
        <f>(O102-R102)*100</f>
        <v>21.937514331488934</v>
      </c>
    </row>
    <row r="103" spans="2:21" ht="17.5" customHeight="1" x14ac:dyDescent="0.3">
      <c r="B103" s="657" t="s">
        <v>233</v>
      </c>
      <c r="C103" s="657"/>
      <c r="D103" s="133">
        <f t="shared" ref="D103:I103" si="578">D97+D98</f>
        <v>318017</v>
      </c>
      <c r="E103" s="129">
        <f t="shared" si="578"/>
        <v>474692</v>
      </c>
      <c r="F103" s="134">
        <f t="shared" si="578"/>
        <v>581423</v>
      </c>
      <c r="G103" s="151">
        <f t="shared" si="578"/>
        <v>201046</v>
      </c>
      <c r="H103" s="152">
        <f t="shared" si="578"/>
        <v>636532</v>
      </c>
      <c r="I103" s="153">
        <f t="shared" si="578"/>
        <v>386654</v>
      </c>
      <c r="J103" s="277">
        <f t="shared" ref="J103:L105" si="579">D103/G103-1</f>
        <v>0.58181212259880821</v>
      </c>
      <c r="K103" s="278">
        <f t="shared" si="579"/>
        <v>-0.2542527319914788</v>
      </c>
      <c r="L103" s="279">
        <f t="shared" si="579"/>
        <v>0.50372943251589275</v>
      </c>
      <c r="M103" s="133">
        <f t="shared" ref="M103:R103" si="580">M97+M98</f>
        <v>313672</v>
      </c>
      <c r="N103" s="129">
        <f t="shared" si="580"/>
        <v>342990</v>
      </c>
      <c r="O103" s="134">
        <f t="shared" si="580"/>
        <v>581423</v>
      </c>
      <c r="P103" s="152">
        <f t="shared" si="580"/>
        <v>201046</v>
      </c>
      <c r="Q103" s="152">
        <f t="shared" si="580"/>
        <v>262568</v>
      </c>
      <c r="R103" s="153">
        <f t="shared" si="580"/>
        <v>292605</v>
      </c>
      <c r="S103" s="139">
        <f t="shared" ref="S103:U105" si="581">M103/P103-1</f>
        <v>0.56020015319877037</v>
      </c>
      <c r="T103" s="128">
        <f t="shared" si="581"/>
        <v>0.30629018006763964</v>
      </c>
      <c r="U103" s="128">
        <f t="shared" si="581"/>
        <v>0.98705763742929897</v>
      </c>
    </row>
    <row r="104" spans="2:21" ht="17.5" customHeight="1" x14ac:dyDescent="0.3">
      <c r="B104" s="645">
        <v>45658</v>
      </c>
      <c r="C104" s="127" t="s">
        <v>49</v>
      </c>
      <c r="D104" s="133">
        <v>236961</v>
      </c>
      <c r="E104" s="129">
        <v>314786</v>
      </c>
      <c r="F104" s="134">
        <v>549714</v>
      </c>
      <c r="G104" s="151">
        <v>147796</v>
      </c>
      <c r="H104" s="152">
        <v>843497</v>
      </c>
      <c r="I104" s="153">
        <v>296376</v>
      </c>
      <c r="J104" s="139">
        <f t="shared" si="579"/>
        <v>0.60329778884408247</v>
      </c>
      <c r="K104" s="128">
        <f t="shared" si="579"/>
        <v>-0.62680839410217226</v>
      </c>
      <c r="L104" s="201">
        <f t="shared" si="579"/>
        <v>0.85478581261640629</v>
      </c>
      <c r="M104" s="133">
        <f t="shared" ref="M104:R104" si="582">D104-D107-D108</f>
        <v>221064</v>
      </c>
      <c r="N104" s="129">
        <f t="shared" si="582"/>
        <v>314786</v>
      </c>
      <c r="O104" s="134">
        <f t="shared" si="582"/>
        <v>399192</v>
      </c>
      <c r="P104" s="152">
        <f t="shared" si="582"/>
        <v>147796</v>
      </c>
      <c r="Q104" s="152">
        <f t="shared" si="582"/>
        <v>310835</v>
      </c>
      <c r="R104" s="152">
        <f t="shared" si="582"/>
        <v>279538</v>
      </c>
      <c r="S104" s="139">
        <f t="shared" si="581"/>
        <v>0.49573736772307786</v>
      </c>
      <c r="T104" s="128">
        <f t="shared" si="581"/>
        <v>1.2710923802017104E-2</v>
      </c>
      <c r="U104" s="128">
        <f t="shared" si="581"/>
        <v>0.42804198355858603</v>
      </c>
    </row>
    <row r="105" spans="2:21" ht="17.5" customHeight="1" x14ac:dyDescent="0.3">
      <c r="B105" s="646"/>
      <c r="C105" s="117" t="s">
        <v>50</v>
      </c>
      <c r="D105" s="135">
        <v>106543</v>
      </c>
      <c r="E105" s="130">
        <v>121736</v>
      </c>
      <c r="F105" s="136">
        <v>257653</v>
      </c>
      <c r="G105" s="154">
        <v>93211</v>
      </c>
      <c r="H105" s="155">
        <v>174822</v>
      </c>
      <c r="I105" s="156">
        <v>205968</v>
      </c>
      <c r="J105" s="140">
        <f t="shared" si="579"/>
        <v>0.14303032903841828</v>
      </c>
      <c r="K105" s="123">
        <f t="shared" si="579"/>
        <v>-0.30365743441900905</v>
      </c>
      <c r="L105" s="202">
        <f t="shared" si="579"/>
        <v>0.25093703876330298</v>
      </c>
      <c r="M105" s="135">
        <f t="shared" ref="M105:R105" si="583">D105</f>
        <v>106543</v>
      </c>
      <c r="N105" s="130">
        <f t="shared" si="583"/>
        <v>121736</v>
      </c>
      <c r="O105" s="136">
        <f t="shared" si="583"/>
        <v>257653</v>
      </c>
      <c r="P105" s="155">
        <f t="shared" si="583"/>
        <v>93211</v>
      </c>
      <c r="Q105" s="155">
        <f t="shared" si="583"/>
        <v>174822</v>
      </c>
      <c r="R105" s="156">
        <f t="shared" si="583"/>
        <v>205968</v>
      </c>
      <c r="S105" s="140">
        <f t="shared" si="581"/>
        <v>0.14303032903841828</v>
      </c>
      <c r="T105" s="123">
        <f t="shared" si="581"/>
        <v>-0.30365743441900905</v>
      </c>
      <c r="U105" s="123">
        <f t="shared" si="581"/>
        <v>0.25093703876330298</v>
      </c>
    </row>
    <row r="106" spans="2:21" ht="17.5" customHeight="1" x14ac:dyDescent="0.3">
      <c r="B106" s="646"/>
      <c r="C106" s="171" t="s">
        <v>347</v>
      </c>
      <c r="D106" s="172">
        <f t="shared" ref="D106:I106" si="584">D104/SUM(D104:D105)</f>
        <v>0.68983476174949931</v>
      </c>
      <c r="E106" s="173">
        <f t="shared" si="584"/>
        <v>0.72112287582298262</v>
      </c>
      <c r="F106" s="174">
        <f t="shared" si="584"/>
        <v>0.68087251522541792</v>
      </c>
      <c r="G106" s="172">
        <f t="shared" si="584"/>
        <v>0.61324359873364676</v>
      </c>
      <c r="H106" s="173">
        <f t="shared" si="584"/>
        <v>0.8283229518451487</v>
      </c>
      <c r="I106" s="174">
        <f t="shared" si="584"/>
        <v>0.58998614495246282</v>
      </c>
      <c r="J106" s="242">
        <f>(D106-G106)*100</f>
        <v>7.6591163015852555</v>
      </c>
      <c r="K106" s="243">
        <f>(E106-H106)*100</f>
        <v>-10.720007602216608</v>
      </c>
      <c r="L106" s="243">
        <f>(F106-I106)*100</f>
        <v>9.0886370272955102</v>
      </c>
      <c r="M106" s="172">
        <f t="shared" ref="M106:R106" si="585">M104/SUM(M104:M105)</f>
        <v>0.67478411633451052</v>
      </c>
      <c r="N106" s="173">
        <f t="shared" si="585"/>
        <v>0.72112287582298262</v>
      </c>
      <c r="O106" s="174">
        <f t="shared" si="585"/>
        <v>0.607741552421043</v>
      </c>
      <c r="P106" s="173">
        <f t="shared" si="585"/>
        <v>0.61324359873364676</v>
      </c>
      <c r="Q106" s="173">
        <f t="shared" si="585"/>
        <v>0.64002989764381035</v>
      </c>
      <c r="R106" s="174">
        <f t="shared" si="585"/>
        <v>0.57576631390755217</v>
      </c>
      <c r="S106" s="242">
        <f>(M106-P106)*100</f>
        <v>6.1540517600863769</v>
      </c>
      <c r="T106" s="243">
        <f>(N106-Q106)*100</f>
        <v>8.109297817917227</v>
      </c>
      <c r="U106" s="243">
        <f>(O106-R106)*100</f>
        <v>3.1975238513490822</v>
      </c>
    </row>
    <row r="107" spans="2:21" ht="17.5" customHeight="1" x14ac:dyDescent="0.3">
      <c r="B107" s="646"/>
      <c r="C107" s="118" t="s">
        <v>348</v>
      </c>
      <c r="D107" s="137">
        <v>0</v>
      </c>
      <c r="E107" s="131">
        <v>0</v>
      </c>
      <c r="F107" s="138">
        <v>0</v>
      </c>
      <c r="G107" s="137">
        <v>0</v>
      </c>
      <c r="H107" s="131">
        <v>522514</v>
      </c>
      <c r="I107" s="138">
        <v>0</v>
      </c>
      <c r="J107" s="183" t="str">
        <f t="shared" ref="J107:L108" si="586">IFERROR(D107/G107-1,"-")</f>
        <v>-</v>
      </c>
      <c r="K107" s="184">
        <f t="shared" si="586"/>
        <v>-1</v>
      </c>
      <c r="L107" s="204" t="str">
        <f t="shared" si="586"/>
        <v>-</v>
      </c>
      <c r="M107" s="209">
        <f t="shared" ref="M107:R108" si="587">D107/D$110</f>
        <v>0</v>
      </c>
      <c r="N107" s="210">
        <f t="shared" si="587"/>
        <v>0</v>
      </c>
      <c r="O107" s="211">
        <f t="shared" si="587"/>
        <v>0</v>
      </c>
      <c r="P107" s="209">
        <f t="shared" si="587"/>
        <v>0</v>
      </c>
      <c r="Q107" s="210">
        <f t="shared" si="587"/>
        <v>0.51311425987337955</v>
      </c>
      <c r="R107" s="211">
        <f t="shared" si="587"/>
        <v>0</v>
      </c>
      <c r="S107" s="183" t="str">
        <f t="shared" ref="S107:U108" si="588">IFERROR(D107/G107-1,"-")</f>
        <v>-</v>
      </c>
      <c r="T107" s="184">
        <f t="shared" si="588"/>
        <v>-1</v>
      </c>
      <c r="U107" s="184" t="str">
        <f t="shared" si="588"/>
        <v>-</v>
      </c>
    </row>
    <row r="108" spans="2:21" ht="17.5" customHeight="1" x14ac:dyDescent="0.3">
      <c r="B108" s="646"/>
      <c r="C108" s="118" t="s">
        <v>418</v>
      </c>
      <c r="D108" s="137">
        <v>15897</v>
      </c>
      <c r="E108" s="131">
        <v>0</v>
      </c>
      <c r="F108" s="138">
        <v>150522</v>
      </c>
      <c r="G108" s="137">
        <v>0</v>
      </c>
      <c r="H108" s="131">
        <v>10148</v>
      </c>
      <c r="I108" s="138">
        <v>16838</v>
      </c>
      <c r="J108" s="183" t="str">
        <f t="shared" si="586"/>
        <v>-</v>
      </c>
      <c r="K108" s="184">
        <f t="shared" si="586"/>
        <v>-1</v>
      </c>
      <c r="L108" s="204">
        <f t="shared" si="586"/>
        <v>7.9394227342914832</v>
      </c>
      <c r="M108" s="209">
        <f t="shared" si="587"/>
        <v>4.6278937072057387E-2</v>
      </c>
      <c r="N108" s="210">
        <f t="shared" si="587"/>
        <v>0</v>
      </c>
      <c r="O108" s="211">
        <f t="shared" si="587"/>
        <v>0.18643566061035441</v>
      </c>
      <c r="P108" s="209">
        <f t="shared" si="587"/>
        <v>0</v>
      </c>
      <c r="Q108" s="210">
        <f t="shared" si="587"/>
        <v>9.9654430487892305E-3</v>
      </c>
      <c r="R108" s="211">
        <f t="shared" si="587"/>
        <v>3.3518863567595113E-2</v>
      </c>
      <c r="S108" s="183" t="str">
        <f t="shared" si="588"/>
        <v>-</v>
      </c>
      <c r="T108" s="184">
        <f t="shared" si="588"/>
        <v>-1</v>
      </c>
      <c r="U108" s="184">
        <f t="shared" si="588"/>
        <v>7.9394227342914832</v>
      </c>
    </row>
    <row r="109" spans="2:21" ht="17.5" customHeight="1" x14ac:dyDescent="0.3">
      <c r="B109" s="647"/>
      <c r="C109" s="171" t="s">
        <v>349</v>
      </c>
      <c r="D109" s="172">
        <f t="shared" ref="D109:I109" si="589">D105/SUM(D104:D105)</f>
        <v>0.31016523825050074</v>
      </c>
      <c r="E109" s="173">
        <f t="shared" si="589"/>
        <v>0.27887712417701743</v>
      </c>
      <c r="F109" s="174">
        <f t="shared" si="589"/>
        <v>0.31912748477458208</v>
      </c>
      <c r="G109" s="172">
        <f t="shared" si="589"/>
        <v>0.38675640126635324</v>
      </c>
      <c r="H109" s="173">
        <f t="shared" si="589"/>
        <v>0.17167704815485127</v>
      </c>
      <c r="I109" s="174">
        <f t="shared" si="589"/>
        <v>0.41001385504753712</v>
      </c>
      <c r="J109" s="244">
        <f>(D109-G109)*100</f>
        <v>-7.6591163015852501</v>
      </c>
      <c r="K109" s="245">
        <f>(E109-H109)*100</f>
        <v>10.720007602216617</v>
      </c>
      <c r="L109" s="245">
        <f>(F109-I109)*100</f>
        <v>-9.0886370272955048</v>
      </c>
      <c r="M109" s="172">
        <f t="shared" ref="M109:R109" si="590">M105/SUM(M104:M105)</f>
        <v>0.32521588366548942</v>
      </c>
      <c r="N109" s="173">
        <f t="shared" si="590"/>
        <v>0.27887712417701743</v>
      </c>
      <c r="O109" s="174">
        <f t="shared" si="590"/>
        <v>0.392258447578957</v>
      </c>
      <c r="P109" s="173">
        <f t="shared" si="590"/>
        <v>0.38675640126635324</v>
      </c>
      <c r="Q109" s="173">
        <f t="shared" si="590"/>
        <v>0.35997010235618965</v>
      </c>
      <c r="R109" s="174">
        <f t="shared" si="590"/>
        <v>0.42423368609244788</v>
      </c>
      <c r="S109" s="244">
        <f>(M109-P109)*100</f>
        <v>-6.1540517600863822</v>
      </c>
      <c r="T109" s="245">
        <f>(N109-Q109)*100</f>
        <v>-8.1092978179172217</v>
      </c>
      <c r="U109" s="245">
        <f>(O109-R109)*100</f>
        <v>-3.1975238513490876</v>
      </c>
    </row>
    <row r="110" spans="2:21" ht="17.5" customHeight="1" x14ac:dyDescent="0.3">
      <c r="B110" s="657" t="s">
        <v>233</v>
      </c>
      <c r="C110" s="657"/>
      <c r="D110" s="133">
        <f t="shared" ref="D110:I110" si="591">D104+D105</f>
        <v>343504</v>
      </c>
      <c r="E110" s="129">
        <f t="shared" si="591"/>
        <v>436522</v>
      </c>
      <c r="F110" s="134">
        <f t="shared" si="591"/>
        <v>807367</v>
      </c>
      <c r="G110" s="151">
        <f t="shared" si="591"/>
        <v>241007</v>
      </c>
      <c r="H110" s="152">
        <f t="shared" si="591"/>
        <v>1018319</v>
      </c>
      <c r="I110" s="153">
        <f t="shared" si="591"/>
        <v>502344</v>
      </c>
      <c r="J110" s="277">
        <f t="shared" ref="J110:L112" si="592">D110/G110-1</f>
        <v>0.42528640246963789</v>
      </c>
      <c r="K110" s="278">
        <f t="shared" si="592"/>
        <v>-0.57133079123535946</v>
      </c>
      <c r="L110" s="279">
        <f t="shared" si="592"/>
        <v>0.60719944898316691</v>
      </c>
      <c r="M110" s="133">
        <f t="shared" ref="M110:R110" si="593">M104+M105</f>
        <v>327607</v>
      </c>
      <c r="N110" s="129">
        <f t="shared" si="593"/>
        <v>436522</v>
      </c>
      <c r="O110" s="134">
        <f t="shared" si="593"/>
        <v>656845</v>
      </c>
      <c r="P110" s="152">
        <f t="shared" si="593"/>
        <v>241007</v>
      </c>
      <c r="Q110" s="152">
        <f t="shared" si="593"/>
        <v>485657</v>
      </c>
      <c r="R110" s="153">
        <f t="shared" si="593"/>
        <v>485506</v>
      </c>
      <c r="S110" s="139">
        <f t="shared" ref="S110:U112" si="594">M110/P110-1</f>
        <v>0.35932566274008648</v>
      </c>
      <c r="T110" s="128">
        <f t="shared" si="594"/>
        <v>-0.10117222648906532</v>
      </c>
      <c r="U110" s="128">
        <f t="shared" si="594"/>
        <v>0.35290810000288353</v>
      </c>
    </row>
    <row r="111" spans="2:21" ht="17.5" customHeight="1" x14ac:dyDescent="0.3">
      <c r="B111" s="645">
        <v>45627</v>
      </c>
      <c r="C111" s="127" t="s">
        <v>49</v>
      </c>
      <c r="D111" s="133">
        <v>219663</v>
      </c>
      <c r="E111" s="129">
        <v>426783</v>
      </c>
      <c r="F111" s="134">
        <v>518682</v>
      </c>
      <c r="G111" s="151">
        <v>362869</v>
      </c>
      <c r="H111" s="152">
        <v>341397</v>
      </c>
      <c r="I111" s="153">
        <v>996018</v>
      </c>
      <c r="J111" s="139">
        <f t="shared" si="592"/>
        <v>-0.39464930870369197</v>
      </c>
      <c r="K111" s="128">
        <f t="shared" si="592"/>
        <v>0.25010764593713475</v>
      </c>
      <c r="L111" s="201">
        <f t="shared" si="592"/>
        <v>-0.47924435100570473</v>
      </c>
      <c r="M111" s="133">
        <f t="shared" ref="M111:R111" si="595">D111-D114-D115</f>
        <v>219663</v>
      </c>
      <c r="N111" s="129">
        <f t="shared" si="595"/>
        <v>426783</v>
      </c>
      <c r="O111" s="134">
        <f t="shared" si="595"/>
        <v>431857</v>
      </c>
      <c r="P111" s="152">
        <f t="shared" si="595"/>
        <v>144219</v>
      </c>
      <c r="Q111" s="152">
        <f t="shared" si="595"/>
        <v>340457</v>
      </c>
      <c r="R111" s="152">
        <f t="shared" si="595"/>
        <v>380798</v>
      </c>
      <c r="S111" s="139">
        <f t="shared" si="594"/>
        <v>0.52312108668067325</v>
      </c>
      <c r="T111" s="128">
        <f t="shared" si="594"/>
        <v>0.25355918662268651</v>
      </c>
      <c r="U111" s="128">
        <f t="shared" si="594"/>
        <v>0.13408421262716708</v>
      </c>
    </row>
    <row r="112" spans="2:21" ht="17.5" customHeight="1" x14ac:dyDescent="0.3">
      <c r="B112" s="646"/>
      <c r="C112" s="117" t="s">
        <v>50</v>
      </c>
      <c r="D112" s="135">
        <v>136573</v>
      </c>
      <c r="E112" s="130">
        <v>211581</v>
      </c>
      <c r="F112" s="136">
        <v>172934</v>
      </c>
      <c r="G112" s="154">
        <v>167328</v>
      </c>
      <c r="H112" s="155">
        <v>169079</v>
      </c>
      <c r="I112" s="156">
        <v>304993</v>
      </c>
      <c r="J112" s="140">
        <f t="shared" si="592"/>
        <v>-0.18380067890610063</v>
      </c>
      <c r="K112" s="123">
        <f t="shared" si="592"/>
        <v>0.25137361824945725</v>
      </c>
      <c r="L112" s="202">
        <f t="shared" si="592"/>
        <v>-0.43299026535035234</v>
      </c>
      <c r="M112" s="135">
        <f t="shared" ref="M112:R112" si="596">D112</f>
        <v>136573</v>
      </c>
      <c r="N112" s="130">
        <f t="shared" si="596"/>
        <v>211581</v>
      </c>
      <c r="O112" s="136">
        <f t="shared" si="596"/>
        <v>172934</v>
      </c>
      <c r="P112" s="155">
        <f t="shared" si="596"/>
        <v>167328</v>
      </c>
      <c r="Q112" s="155">
        <f t="shared" si="596"/>
        <v>169079</v>
      </c>
      <c r="R112" s="156">
        <f t="shared" si="596"/>
        <v>304993</v>
      </c>
      <c r="S112" s="140">
        <f t="shared" si="594"/>
        <v>-0.18380067890610063</v>
      </c>
      <c r="T112" s="123">
        <f t="shared" si="594"/>
        <v>0.25137361824945725</v>
      </c>
      <c r="U112" s="123">
        <f t="shared" si="594"/>
        <v>-0.43299026535035234</v>
      </c>
    </row>
    <row r="113" spans="2:21" ht="17.5" customHeight="1" x14ac:dyDescent="0.3">
      <c r="B113" s="646"/>
      <c r="C113" s="171" t="s">
        <v>347</v>
      </c>
      <c r="D113" s="172">
        <f t="shared" ref="D113:I113" si="597">D111/SUM(D111:D112)</f>
        <v>0.61662212690463625</v>
      </c>
      <c r="E113" s="173">
        <f t="shared" si="597"/>
        <v>0.66855743744948026</v>
      </c>
      <c r="F113" s="174">
        <f t="shared" si="597"/>
        <v>0.74995662332855229</v>
      </c>
      <c r="G113" s="172">
        <f t="shared" si="597"/>
        <v>0.68440409885382225</v>
      </c>
      <c r="H113" s="173">
        <f t="shared" si="597"/>
        <v>0.6687816861125695</v>
      </c>
      <c r="I113" s="174">
        <f t="shared" si="597"/>
        <v>0.76557231260919389</v>
      </c>
      <c r="J113" s="242">
        <f>(D113-G113)*100</f>
        <v>-6.7781971949186008</v>
      </c>
      <c r="K113" s="243">
        <f>(E113-H113)*100</f>
        <v>-2.2424866308923264E-2</v>
      </c>
      <c r="L113" s="243">
        <f>(F113-I113)*100</f>
        <v>-1.5615689280641609</v>
      </c>
      <c r="M113" s="172">
        <f t="shared" ref="M113:R113" si="598">M111/SUM(M111:M112)</f>
        <v>0.61662212690463625</v>
      </c>
      <c r="N113" s="173">
        <f t="shared" si="598"/>
        <v>0.66855743744948026</v>
      </c>
      <c r="O113" s="174">
        <f t="shared" si="598"/>
        <v>0.71405989837811745</v>
      </c>
      <c r="P113" s="173">
        <f t="shared" si="598"/>
        <v>0.46291249795375977</v>
      </c>
      <c r="Q113" s="173">
        <f t="shared" si="598"/>
        <v>0.66817064937511772</v>
      </c>
      <c r="R113" s="174">
        <f t="shared" si="598"/>
        <v>0.55526829602604877</v>
      </c>
      <c r="S113" s="242">
        <f>(M113-P113)*100</f>
        <v>15.370962895087647</v>
      </c>
      <c r="T113" s="243">
        <f>(N113-Q113)*100</f>
        <v>3.8678807436254292E-2</v>
      </c>
      <c r="U113" s="243">
        <f>(O113-R113)*100</f>
        <v>15.879160235206868</v>
      </c>
    </row>
    <row r="114" spans="2:21" ht="17.5" customHeight="1" x14ac:dyDescent="0.3">
      <c r="B114" s="646"/>
      <c r="C114" s="118" t="s">
        <v>348</v>
      </c>
      <c r="D114" s="137">
        <v>0</v>
      </c>
      <c r="E114" s="131">
        <v>0</v>
      </c>
      <c r="F114" s="138">
        <v>0</v>
      </c>
      <c r="G114" s="137">
        <v>0</v>
      </c>
      <c r="H114" s="131">
        <v>940</v>
      </c>
      <c r="I114" s="138">
        <v>545509</v>
      </c>
      <c r="J114" s="183" t="str">
        <f t="shared" ref="J114:L115" si="599">IFERROR(D114/G114-1,"-")</f>
        <v>-</v>
      </c>
      <c r="K114" s="184">
        <f t="shared" si="599"/>
        <v>-1</v>
      </c>
      <c r="L114" s="204">
        <f t="shared" si="599"/>
        <v>-1</v>
      </c>
      <c r="M114" s="209">
        <f t="shared" ref="M114:R115" si="600">D114/D$117</f>
        <v>0</v>
      </c>
      <c r="N114" s="210">
        <f t="shared" si="600"/>
        <v>0</v>
      </c>
      <c r="O114" s="211">
        <f t="shared" si="600"/>
        <v>0</v>
      </c>
      <c r="P114" s="209">
        <f t="shared" si="600"/>
        <v>0</v>
      </c>
      <c r="Q114" s="210">
        <f t="shared" si="600"/>
        <v>1.8414185975442528E-3</v>
      </c>
      <c r="R114" s="211">
        <f t="shared" si="600"/>
        <v>0.41929622424406865</v>
      </c>
      <c r="S114" s="183" t="str">
        <f t="shared" ref="S114:U115" si="601">IFERROR(D114/G114-1,"-")</f>
        <v>-</v>
      </c>
      <c r="T114" s="184">
        <f t="shared" si="601"/>
        <v>-1</v>
      </c>
      <c r="U114" s="184">
        <f t="shared" si="601"/>
        <v>-1</v>
      </c>
    </row>
    <row r="115" spans="2:21" ht="17.5" customHeight="1" x14ac:dyDescent="0.3">
      <c r="B115" s="646"/>
      <c r="C115" s="118" t="s">
        <v>399</v>
      </c>
      <c r="D115" s="137">
        <v>0</v>
      </c>
      <c r="E115" s="131">
        <v>0</v>
      </c>
      <c r="F115" s="138">
        <v>86825</v>
      </c>
      <c r="G115" s="137">
        <v>218650</v>
      </c>
      <c r="H115" s="131">
        <v>0</v>
      </c>
      <c r="I115" s="138">
        <v>69711</v>
      </c>
      <c r="J115" s="183">
        <f t="shared" si="599"/>
        <v>-1</v>
      </c>
      <c r="K115" s="184" t="str">
        <f t="shared" si="599"/>
        <v>-</v>
      </c>
      <c r="L115" s="204">
        <f t="shared" si="599"/>
        <v>0.24549927558061135</v>
      </c>
      <c r="M115" s="209">
        <f t="shared" si="600"/>
        <v>0</v>
      </c>
      <c r="N115" s="210">
        <f t="shared" si="600"/>
        <v>0</v>
      </c>
      <c r="O115" s="211">
        <f t="shared" si="600"/>
        <v>0.12553931661500023</v>
      </c>
      <c r="P115" s="209">
        <f t="shared" si="600"/>
        <v>0.41239388378282033</v>
      </c>
      <c r="Q115" s="210">
        <f t="shared" si="600"/>
        <v>0</v>
      </c>
      <c r="R115" s="211">
        <f t="shared" si="600"/>
        <v>5.3582175707968652E-2</v>
      </c>
      <c r="S115" s="183">
        <f t="shared" si="601"/>
        <v>-1</v>
      </c>
      <c r="T115" s="184" t="str">
        <f t="shared" si="601"/>
        <v>-</v>
      </c>
      <c r="U115" s="184">
        <f t="shared" si="601"/>
        <v>0.24549927558061135</v>
      </c>
    </row>
    <row r="116" spans="2:21" ht="17.5" customHeight="1" x14ac:dyDescent="0.3">
      <c r="B116" s="647"/>
      <c r="C116" s="171" t="s">
        <v>349</v>
      </c>
      <c r="D116" s="172">
        <f t="shared" ref="D116:I116" si="602">D112/SUM(D111:D112)</f>
        <v>0.38337787309536375</v>
      </c>
      <c r="E116" s="173">
        <f t="shared" si="602"/>
        <v>0.33144256255051979</v>
      </c>
      <c r="F116" s="174">
        <f t="shared" si="602"/>
        <v>0.25004337667144771</v>
      </c>
      <c r="G116" s="172">
        <f t="shared" si="602"/>
        <v>0.31559590114617775</v>
      </c>
      <c r="H116" s="173">
        <f t="shared" si="602"/>
        <v>0.33121831388743056</v>
      </c>
      <c r="I116" s="174">
        <f t="shared" si="602"/>
        <v>0.23442768739080608</v>
      </c>
      <c r="J116" s="242">
        <f>(D116-G116)*100</f>
        <v>6.7781971949186008</v>
      </c>
      <c r="K116" s="243">
        <f>(E116-H116)*100</f>
        <v>2.2424866308923264E-2</v>
      </c>
      <c r="L116" s="243">
        <f>(F116-I116)*100</f>
        <v>1.5615689280641636</v>
      </c>
      <c r="M116" s="172">
        <f t="shared" ref="M116:R116" si="603">M112/SUM(M111:M112)</f>
        <v>0.38337787309536375</v>
      </c>
      <c r="N116" s="173">
        <f t="shared" si="603"/>
        <v>0.33144256255051979</v>
      </c>
      <c r="O116" s="174">
        <f t="shared" si="603"/>
        <v>0.2859401016218826</v>
      </c>
      <c r="P116" s="173">
        <f t="shared" si="603"/>
        <v>0.53708750204624023</v>
      </c>
      <c r="Q116" s="173">
        <f t="shared" si="603"/>
        <v>0.33182935062488222</v>
      </c>
      <c r="R116" s="174">
        <f t="shared" si="603"/>
        <v>0.44473170397395123</v>
      </c>
      <c r="S116" s="244">
        <f>(M116-P116)*100</f>
        <v>-15.370962895087647</v>
      </c>
      <c r="T116" s="245">
        <f>(N116-Q116)*100</f>
        <v>-3.867880743624319E-2</v>
      </c>
      <c r="U116" s="245">
        <f>(O116-R116)*100</f>
        <v>-15.879160235206863</v>
      </c>
    </row>
    <row r="117" spans="2:21" ht="17.5" customHeight="1" x14ac:dyDescent="0.3">
      <c r="B117" s="657" t="s">
        <v>233</v>
      </c>
      <c r="C117" s="657"/>
      <c r="D117" s="133">
        <f t="shared" ref="D117:I117" si="604">D111+D112</f>
        <v>356236</v>
      </c>
      <c r="E117" s="129">
        <f t="shared" si="604"/>
        <v>638364</v>
      </c>
      <c r="F117" s="134">
        <f t="shared" si="604"/>
        <v>691616</v>
      </c>
      <c r="G117" s="151">
        <f t="shared" si="604"/>
        <v>530197</v>
      </c>
      <c r="H117" s="152">
        <f t="shared" si="604"/>
        <v>510476</v>
      </c>
      <c r="I117" s="153">
        <f t="shared" si="604"/>
        <v>1301011</v>
      </c>
      <c r="J117" s="277">
        <f t="shared" ref="J117:L119" si="605">D117/G117-1</f>
        <v>-0.32810634537728434</v>
      </c>
      <c r="K117" s="278">
        <f t="shared" si="605"/>
        <v>0.25052695915185041</v>
      </c>
      <c r="L117" s="279">
        <f t="shared" si="605"/>
        <v>-0.46840111267314422</v>
      </c>
      <c r="M117" s="133">
        <f t="shared" ref="M117:R117" si="606">M111+M112</f>
        <v>356236</v>
      </c>
      <c r="N117" s="129">
        <f t="shared" si="606"/>
        <v>638364</v>
      </c>
      <c r="O117" s="134">
        <f t="shared" si="606"/>
        <v>604791</v>
      </c>
      <c r="P117" s="152">
        <f t="shared" si="606"/>
        <v>311547</v>
      </c>
      <c r="Q117" s="152">
        <f t="shared" si="606"/>
        <v>509536</v>
      </c>
      <c r="R117" s="153">
        <f t="shared" si="606"/>
        <v>685791</v>
      </c>
      <c r="S117" s="139">
        <f t="shared" ref="S117:U119" si="607">M117/P117-1</f>
        <v>0.14344224145955509</v>
      </c>
      <c r="T117" s="128">
        <f t="shared" si="607"/>
        <v>0.25283395088865168</v>
      </c>
      <c r="U117" s="128">
        <f t="shared" si="607"/>
        <v>-0.11811178624391394</v>
      </c>
    </row>
    <row r="118" spans="2:21" ht="17.5" customHeight="1" x14ac:dyDescent="0.3">
      <c r="B118" s="645">
        <v>45597</v>
      </c>
      <c r="C118" s="127" t="s">
        <v>49</v>
      </c>
      <c r="D118" s="133">
        <v>287204</v>
      </c>
      <c r="E118" s="129">
        <v>336382</v>
      </c>
      <c r="F118" s="134">
        <v>298028</v>
      </c>
      <c r="G118" s="151">
        <v>269947</v>
      </c>
      <c r="H118" s="152">
        <v>1493522</v>
      </c>
      <c r="I118" s="153">
        <v>346293</v>
      </c>
      <c r="J118" s="139">
        <f t="shared" si="605"/>
        <v>6.3927363519505676E-2</v>
      </c>
      <c r="K118" s="128">
        <f t="shared" si="605"/>
        <v>-0.77477265149090535</v>
      </c>
      <c r="L118" s="201">
        <f t="shared" si="605"/>
        <v>-0.13937619299263915</v>
      </c>
      <c r="M118" s="133">
        <f t="shared" ref="M118:R118" si="608">D118-D121-D122</f>
        <v>241022</v>
      </c>
      <c r="N118" s="129">
        <f t="shared" si="608"/>
        <v>271519</v>
      </c>
      <c r="O118" s="134">
        <f t="shared" si="608"/>
        <v>264012</v>
      </c>
      <c r="P118" s="152">
        <f t="shared" si="608"/>
        <v>224097</v>
      </c>
      <c r="Q118" s="152">
        <f t="shared" si="608"/>
        <v>476054</v>
      </c>
      <c r="R118" s="152">
        <f t="shared" si="608"/>
        <v>289800</v>
      </c>
      <c r="S118" s="139">
        <f t="shared" si="607"/>
        <v>7.5525330548824821E-2</v>
      </c>
      <c r="T118" s="128">
        <f t="shared" si="607"/>
        <v>-0.42964663672608572</v>
      </c>
      <c r="U118" s="128">
        <f t="shared" si="607"/>
        <v>-8.8985507246376772E-2</v>
      </c>
    </row>
    <row r="119" spans="2:21" ht="17.5" customHeight="1" x14ac:dyDescent="0.3">
      <c r="B119" s="646"/>
      <c r="C119" s="117" t="s">
        <v>50</v>
      </c>
      <c r="D119" s="135">
        <v>234393</v>
      </c>
      <c r="E119" s="130">
        <v>145660</v>
      </c>
      <c r="F119" s="136">
        <v>116340</v>
      </c>
      <c r="G119" s="154">
        <v>207714</v>
      </c>
      <c r="H119" s="155">
        <v>184222</v>
      </c>
      <c r="I119" s="156">
        <v>257604</v>
      </c>
      <c r="J119" s="140">
        <f t="shared" si="605"/>
        <v>0.12844102949247516</v>
      </c>
      <c r="K119" s="123">
        <f t="shared" si="605"/>
        <v>-0.20932353356276667</v>
      </c>
      <c r="L119" s="202">
        <f t="shared" si="605"/>
        <v>-0.54837657800344708</v>
      </c>
      <c r="M119" s="135">
        <f t="shared" ref="M119:R119" si="609">D119</f>
        <v>234393</v>
      </c>
      <c r="N119" s="130">
        <f t="shared" si="609"/>
        <v>145660</v>
      </c>
      <c r="O119" s="136">
        <f t="shared" si="609"/>
        <v>116340</v>
      </c>
      <c r="P119" s="155">
        <f t="shared" si="609"/>
        <v>207714</v>
      </c>
      <c r="Q119" s="155">
        <f t="shared" si="609"/>
        <v>184222</v>
      </c>
      <c r="R119" s="156">
        <f t="shared" si="609"/>
        <v>257604</v>
      </c>
      <c r="S119" s="140">
        <f t="shared" si="607"/>
        <v>0.12844102949247516</v>
      </c>
      <c r="T119" s="123">
        <f t="shared" si="607"/>
        <v>-0.20932353356276667</v>
      </c>
      <c r="U119" s="123">
        <f t="shared" si="607"/>
        <v>-0.54837657800344708</v>
      </c>
    </row>
    <row r="120" spans="2:21" ht="17.5" customHeight="1" x14ac:dyDescent="0.3">
      <c r="B120" s="646"/>
      <c r="C120" s="171" t="s">
        <v>347</v>
      </c>
      <c r="D120" s="172">
        <f t="shared" ref="D120:I120" si="610">D118/SUM(D118:D119)</f>
        <v>0.5506243325786</v>
      </c>
      <c r="E120" s="173">
        <f t="shared" si="610"/>
        <v>0.69782716028893743</v>
      </c>
      <c r="F120" s="174">
        <f t="shared" si="610"/>
        <v>0.71923507606765003</v>
      </c>
      <c r="G120" s="172">
        <f t="shared" si="610"/>
        <v>0.56514348041812079</v>
      </c>
      <c r="H120" s="173">
        <f t="shared" si="610"/>
        <v>0.89019659733546952</v>
      </c>
      <c r="I120" s="174">
        <f t="shared" si="610"/>
        <v>0.57343056845786611</v>
      </c>
      <c r="J120" s="242">
        <f>(D120-G120)*100</f>
        <v>-1.4519147839520796</v>
      </c>
      <c r="K120" s="243">
        <f>(E120-H120)*100</f>
        <v>-19.236943704653207</v>
      </c>
      <c r="L120" s="243">
        <f>(F120-I120)*100</f>
        <v>14.580450760978392</v>
      </c>
      <c r="M120" s="172">
        <f t="shared" ref="M120:R120" si="611">M118/SUM(M118:M119)</f>
        <v>0.50697180358213345</v>
      </c>
      <c r="N120" s="173">
        <f t="shared" si="611"/>
        <v>0.65084532059379785</v>
      </c>
      <c r="O120" s="174">
        <f t="shared" si="611"/>
        <v>0.69412544169611312</v>
      </c>
      <c r="P120" s="173">
        <f t="shared" si="611"/>
        <v>0.51897010497648277</v>
      </c>
      <c r="Q120" s="173">
        <f t="shared" si="611"/>
        <v>0.72099243346721675</v>
      </c>
      <c r="R120" s="174">
        <f t="shared" si="611"/>
        <v>0.52940789617905604</v>
      </c>
      <c r="S120" s="242">
        <f>(M120-P120)*100</f>
        <v>-1.199830139434932</v>
      </c>
      <c r="T120" s="243">
        <f>(N120-Q120)*100</f>
        <v>-7.0147112873418909</v>
      </c>
      <c r="U120" s="243">
        <f>(O120-R120)*100</f>
        <v>16.471754551705708</v>
      </c>
    </row>
    <row r="121" spans="2:21" ht="17.5" customHeight="1" x14ac:dyDescent="0.3">
      <c r="B121" s="646"/>
      <c r="C121" s="118" t="s">
        <v>348</v>
      </c>
      <c r="D121" s="137">
        <v>0</v>
      </c>
      <c r="E121" s="131">
        <v>0</v>
      </c>
      <c r="F121" s="138">
        <v>0</v>
      </c>
      <c r="G121" s="137">
        <v>0</v>
      </c>
      <c r="H121" s="131">
        <v>981907</v>
      </c>
      <c r="I121" s="138">
        <v>0</v>
      </c>
      <c r="J121" s="183" t="str">
        <f t="shared" ref="J121:L122" si="612">IFERROR(D121/G121-1,"-")</f>
        <v>-</v>
      </c>
      <c r="K121" s="184">
        <f t="shared" si="612"/>
        <v>-1</v>
      </c>
      <c r="L121" s="204" t="str">
        <f t="shared" si="612"/>
        <v>-</v>
      </c>
      <c r="M121" s="209">
        <f t="shared" ref="M121:R122" si="613">D121/D$124</f>
        <v>0</v>
      </c>
      <c r="N121" s="210">
        <f t="shared" si="613"/>
        <v>0</v>
      </c>
      <c r="O121" s="211">
        <f t="shared" si="613"/>
        <v>0</v>
      </c>
      <c r="P121" s="185">
        <f t="shared" si="613"/>
        <v>0</v>
      </c>
      <c r="Q121" s="185">
        <f t="shared" si="613"/>
        <v>0.58525436538589914</v>
      </c>
      <c r="R121" s="185">
        <f t="shared" si="613"/>
        <v>0</v>
      </c>
      <c r="S121" s="183" t="str">
        <f t="shared" ref="S121:U122" si="614">IFERROR(D121/G121-1,"-")</f>
        <v>-</v>
      </c>
      <c r="T121" s="184">
        <f t="shared" si="614"/>
        <v>-1</v>
      </c>
      <c r="U121" s="184" t="str">
        <f t="shared" si="614"/>
        <v>-</v>
      </c>
    </row>
    <row r="122" spans="2:21" ht="17.5" customHeight="1" x14ac:dyDescent="0.3">
      <c r="B122" s="646"/>
      <c r="C122" s="118" t="s">
        <v>399</v>
      </c>
      <c r="D122" s="137">
        <v>46182</v>
      </c>
      <c r="E122" s="131">
        <v>64863</v>
      </c>
      <c r="F122" s="138">
        <v>34016</v>
      </c>
      <c r="G122" s="137">
        <v>45850</v>
      </c>
      <c r="H122" s="131">
        <v>35561</v>
      </c>
      <c r="I122" s="138">
        <v>56493</v>
      </c>
      <c r="J122" s="183">
        <f t="shared" si="612"/>
        <v>7.2410032715375383E-3</v>
      </c>
      <c r="K122" s="184">
        <f t="shared" si="612"/>
        <v>0.82399257613677901</v>
      </c>
      <c r="L122" s="204">
        <f t="shared" si="612"/>
        <v>-0.3978723027631742</v>
      </c>
      <c r="M122" s="209">
        <f t="shared" si="613"/>
        <v>8.8539619668057901E-2</v>
      </c>
      <c r="N122" s="210">
        <f t="shared" si="613"/>
        <v>0.13455881437717046</v>
      </c>
      <c r="O122" s="211">
        <f t="shared" si="613"/>
        <v>8.2091281180013895E-2</v>
      </c>
      <c r="P122" s="185">
        <f t="shared" si="613"/>
        <v>9.5988577673287126E-2</v>
      </c>
      <c r="Q122" s="185">
        <f t="shared" si="613"/>
        <v>2.1195724735120495E-2</v>
      </c>
      <c r="R122" s="185">
        <f t="shared" si="613"/>
        <v>9.3547409574811599E-2</v>
      </c>
      <c r="S122" s="183">
        <f t="shared" si="614"/>
        <v>7.2410032715375383E-3</v>
      </c>
      <c r="T122" s="184">
        <f t="shared" si="614"/>
        <v>0.82399257613677901</v>
      </c>
      <c r="U122" s="184">
        <f t="shared" si="614"/>
        <v>-0.3978723027631742</v>
      </c>
    </row>
    <row r="123" spans="2:21" ht="17.5" customHeight="1" x14ac:dyDescent="0.3">
      <c r="B123" s="647"/>
      <c r="C123" s="171" t="s">
        <v>349</v>
      </c>
      <c r="D123" s="172">
        <f t="shared" ref="D123:I123" si="615">D119/SUM(D118:D119)</f>
        <v>0.44937566742140006</v>
      </c>
      <c r="E123" s="173">
        <f t="shared" si="615"/>
        <v>0.30217283971106251</v>
      </c>
      <c r="F123" s="174">
        <f t="shared" si="615"/>
        <v>0.28076492393234997</v>
      </c>
      <c r="G123" s="172">
        <f t="shared" si="615"/>
        <v>0.43485651958187921</v>
      </c>
      <c r="H123" s="173">
        <f t="shared" si="615"/>
        <v>0.10980340266453047</v>
      </c>
      <c r="I123" s="174">
        <f t="shared" si="615"/>
        <v>0.42656943154213384</v>
      </c>
      <c r="J123" s="242">
        <f>(D123-G123)*100</f>
        <v>1.4519147839520852</v>
      </c>
      <c r="K123" s="243">
        <f>(E123-H123)*100</f>
        <v>19.236943704653203</v>
      </c>
      <c r="L123" s="243">
        <f>(F123-I123)*100</f>
        <v>-14.580450760978387</v>
      </c>
      <c r="M123" s="172">
        <f t="shared" ref="M123:R123" si="616">M119/SUM(M118:M119)</f>
        <v>0.49302819641786649</v>
      </c>
      <c r="N123" s="173">
        <f t="shared" si="616"/>
        <v>0.34915467940620215</v>
      </c>
      <c r="O123" s="174">
        <f t="shared" si="616"/>
        <v>0.30587455830388693</v>
      </c>
      <c r="P123" s="173">
        <f t="shared" si="616"/>
        <v>0.48102989502351723</v>
      </c>
      <c r="Q123" s="173">
        <f t="shared" si="616"/>
        <v>0.27900756653278325</v>
      </c>
      <c r="R123" s="174">
        <f t="shared" si="616"/>
        <v>0.47059210382094396</v>
      </c>
      <c r="S123" s="242">
        <f>(M123-P123)*100</f>
        <v>1.1998301394349264</v>
      </c>
      <c r="T123" s="243">
        <f>(N123-Q123)*100</f>
        <v>7.0147112873418909</v>
      </c>
      <c r="U123" s="243">
        <f>(O123-R123)*100</f>
        <v>-16.471754551705704</v>
      </c>
    </row>
    <row r="124" spans="2:21" ht="17.5" customHeight="1" x14ac:dyDescent="0.3">
      <c r="B124" s="657" t="s">
        <v>233</v>
      </c>
      <c r="C124" s="657"/>
      <c r="D124" s="133">
        <f t="shared" ref="D124:I124" si="617">D118+D119</f>
        <v>521597</v>
      </c>
      <c r="E124" s="129">
        <f t="shared" si="617"/>
        <v>482042</v>
      </c>
      <c r="F124" s="134">
        <f t="shared" si="617"/>
        <v>414368</v>
      </c>
      <c r="G124" s="151">
        <f t="shared" si="617"/>
        <v>477661</v>
      </c>
      <c r="H124" s="152">
        <f t="shared" si="617"/>
        <v>1677744</v>
      </c>
      <c r="I124" s="153">
        <f t="shared" si="617"/>
        <v>603897</v>
      </c>
      <c r="J124" s="277">
        <f t="shared" ref="J124:L126" si="618">D124/G124-1</f>
        <v>9.1981551769979131E-2</v>
      </c>
      <c r="K124" s="278">
        <f t="shared" si="618"/>
        <v>-0.71268441430873841</v>
      </c>
      <c r="L124" s="279">
        <f t="shared" si="618"/>
        <v>-0.31384325472721342</v>
      </c>
      <c r="M124" s="133">
        <f t="shared" ref="M124:R124" si="619">M118+M119</f>
        <v>475415</v>
      </c>
      <c r="N124" s="129">
        <f t="shared" si="619"/>
        <v>417179</v>
      </c>
      <c r="O124" s="134">
        <f t="shared" si="619"/>
        <v>380352</v>
      </c>
      <c r="P124" s="152">
        <f t="shared" si="619"/>
        <v>431811</v>
      </c>
      <c r="Q124" s="152">
        <f t="shared" si="619"/>
        <v>660276</v>
      </c>
      <c r="R124" s="153">
        <f t="shared" si="619"/>
        <v>547404</v>
      </c>
      <c r="S124" s="139">
        <f t="shared" ref="S124:U126" si="620">M124/P124-1</f>
        <v>0.10097936365678506</v>
      </c>
      <c r="T124" s="128">
        <f t="shared" si="620"/>
        <v>-0.36817482386153666</v>
      </c>
      <c r="U124" s="128">
        <f t="shared" si="620"/>
        <v>-0.30517131771050265</v>
      </c>
    </row>
    <row r="125" spans="2:21" ht="17.5" customHeight="1" outlineLevel="1" x14ac:dyDescent="0.3">
      <c r="B125" s="652" t="s">
        <v>371</v>
      </c>
      <c r="C125" s="127" t="s">
        <v>49</v>
      </c>
      <c r="D125" s="133">
        <v>526088</v>
      </c>
      <c r="E125" s="129">
        <v>499749</v>
      </c>
      <c r="F125" s="134">
        <v>443874</v>
      </c>
      <c r="G125" s="151">
        <v>591579</v>
      </c>
      <c r="H125" s="152">
        <v>3152194</v>
      </c>
      <c r="I125" s="153">
        <v>580877</v>
      </c>
      <c r="J125" s="139">
        <f t="shared" si="618"/>
        <v>-0.11070541719702698</v>
      </c>
      <c r="K125" s="128">
        <f t="shared" si="618"/>
        <v>-0.84145994821384718</v>
      </c>
      <c r="L125" s="201">
        <f t="shared" si="618"/>
        <v>-0.23585543927544039</v>
      </c>
      <c r="M125" s="133">
        <f t="shared" ref="M125:R125" si="621">D125-D128</f>
        <v>526088</v>
      </c>
      <c r="N125" s="129">
        <f t="shared" si="621"/>
        <v>499749</v>
      </c>
      <c r="O125" s="134">
        <f t="shared" si="621"/>
        <v>443874</v>
      </c>
      <c r="P125" s="152">
        <f t="shared" si="621"/>
        <v>591579</v>
      </c>
      <c r="Q125" s="152">
        <f t="shared" si="621"/>
        <v>717630</v>
      </c>
      <c r="R125" s="153">
        <f t="shared" si="621"/>
        <v>580877</v>
      </c>
      <c r="S125" s="139">
        <f t="shared" si="620"/>
        <v>-0.11070541719702698</v>
      </c>
      <c r="T125" s="128">
        <f t="shared" si="620"/>
        <v>-0.30361188913506965</v>
      </c>
      <c r="U125" s="128">
        <f t="shared" si="620"/>
        <v>-0.23585543927544039</v>
      </c>
    </row>
    <row r="126" spans="2:21" ht="17.5" customHeight="1" outlineLevel="1" x14ac:dyDescent="0.3">
      <c r="B126" s="653"/>
      <c r="C126" s="117" t="s">
        <v>50</v>
      </c>
      <c r="D126" s="135">
        <v>385923</v>
      </c>
      <c r="E126" s="130">
        <v>231829</v>
      </c>
      <c r="F126" s="136">
        <v>152065</v>
      </c>
      <c r="G126" s="154">
        <v>415871</v>
      </c>
      <c r="H126" s="155">
        <v>334001</v>
      </c>
      <c r="I126" s="156">
        <v>415286</v>
      </c>
      <c r="J126" s="140">
        <f t="shared" si="618"/>
        <v>-7.2012715481483469E-2</v>
      </c>
      <c r="K126" s="123">
        <f t="shared" si="618"/>
        <v>-0.30590327573869536</v>
      </c>
      <c r="L126" s="202">
        <f t="shared" si="618"/>
        <v>-0.63383066127921484</v>
      </c>
      <c r="M126" s="135">
        <f t="shared" ref="M126:R126" si="622">D126</f>
        <v>385923</v>
      </c>
      <c r="N126" s="130">
        <f t="shared" si="622"/>
        <v>231829</v>
      </c>
      <c r="O126" s="136">
        <f t="shared" si="622"/>
        <v>152065</v>
      </c>
      <c r="P126" s="155">
        <f t="shared" si="622"/>
        <v>415871</v>
      </c>
      <c r="Q126" s="155">
        <f t="shared" si="622"/>
        <v>334001</v>
      </c>
      <c r="R126" s="156">
        <f t="shared" si="622"/>
        <v>415286</v>
      </c>
      <c r="S126" s="140">
        <f t="shared" si="620"/>
        <v>-7.2012715481483469E-2</v>
      </c>
      <c r="T126" s="123">
        <f t="shared" si="620"/>
        <v>-0.30590327573869536</v>
      </c>
      <c r="U126" s="123">
        <f t="shared" si="620"/>
        <v>-0.63383066127921484</v>
      </c>
    </row>
    <row r="127" spans="2:21" ht="17.5" customHeight="1" outlineLevel="1" x14ac:dyDescent="0.3">
      <c r="B127" s="653"/>
      <c r="C127" s="171" t="s">
        <v>347</v>
      </c>
      <c r="D127" s="172">
        <f t="shared" ref="D127:I127" si="623">D125/SUM(D125:D126)</f>
        <v>0.57684391964570603</v>
      </c>
      <c r="E127" s="173">
        <f t="shared" si="623"/>
        <v>0.68311102848910166</v>
      </c>
      <c r="F127" s="174">
        <f t="shared" si="623"/>
        <v>0.74483126628732133</v>
      </c>
      <c r="G127" s="172">
        <f t="shared" si="623"/>
        <v>0.58720432775820142</v>
      </c>
      <c r="H127" s="173">
        <f t="shared" si="623"/>
        <v>0.904193253676286</v>
      </c>
      <c r="I127" s="174">
        <f t="shared" si="623"/>
        <v>0.58311440999113595</v>
      </c>
      <c r="J127" s="175">
        <f>D127-G127</f>
        <v>-1.036040811249539E-2</v>
      </c>
      <c r="K127" s="176">
        <f>E127-H127</f>
        <v>-0.22108222518718434</v>
      </c>
      <c r="L127" s="203">
        <f>F127-I127</f>
        <v>0.16171685629618537</v>
      </c>
      <c r="M127" s="172">
        <f t="shared" ref="M127:R127" si="624">M125/SUM(M125:M126)</f>
        <v>0.57684391964570603</v>
      </c>
      <c r="N127" s="173">
        <f t="shared" si="624"/>
        <v>0.68311102848910166</v>
      </c>
      <c r="O127" s="174">
        <f t="shared" si="624"/>
        <v>0.74483126628732133</v>
      </c>
      <c r="P127" s="173">
        <f t="shared" si="624"/>
        <v>0.58720432775820142</v>
      </c>
      <c r="Q127" s="173">
        <f t="shared" si="624"/>
        <v>0.68239715261341671</v>
      </c>
      <c r="R127" s="174">
        <f t="shared" si="624"/>
        <v>0.58311440999113595</v>
      </c>
      <c r="S127" s="175">
        <f>M127-P127</f>
        <v>-1.036040811249539E-2</v>
      </c>
      <c r="T127" s="176">
        <f>N127-Q127</f>
        <v>7.1387587568494393E-4</v>
      </c>
      <c r="U127" s="176">
        <f>O127-R127</f>
        <v>0.16171685629618537</v>
      </c>
    </row>
    <row r="128" spans="2:21" ht="17.5" customHeight="1" outlineLevel="1" x14ac:dyDescent="0.3">
      <c r="B128" s="653"/>
      <c r="C128" s="118" t="s">
        <v>348</v>
      </c>
      <c r="D128" s="137">
        <v>0</v>
      </c>
      <c r="E128" s="131">
        <v>0</v>
      </c>
      <c r="F128" s="138">
        <v>0</v>
      </c>
      <c r="G128" s="137">
        <v>0</v>
      </c>
      <c r="H128" s="131">
        <v>2434564</v>
      </c>
      <c r="I128" s="138">
        <v>0</v>
      </c>
      <c r="J128" s="183" t="str">
        <f>IFERROR(D128/G128-1,"-")</f>
        <v>-</v>
      </c>
      <c r="K128" s="184">
        <f>IFERROR(E128/H128-1,"-")</f>
        <v>-1</v>
      </c>
      <c r="L128" s="204" t="str">
        <f>IFERROR(F128/I128-1,"-")</f>
        <v>-</v>
      </c>
      <c r="M128" s="209">
        <f t="shared" ref="M128:R128" si="625">D128/D130</f>
        <v>0</v>
      </c>
      <c r="N128" s="210">
        <f t="shared" si="625"/>
        <v>0</v>
      </c>
      <c r="O128" s="211">
        <f t="shared" si="625"/>
        <v>0</v>
      </c>
      <c r="P128" s="185">
        <f t="shared" si="625"/>
        <v>0</v>
      </c>
      <c r="Q128" s="185">
        <f t="shared" si="625"/>
        <v>0.69834418327144643</v>
      </c>
      <c r="R128" s="185">
        <f t="shared" si="625"/>
        <v>0</v>
      </c>
      <c r="S128" s="183" t="str">
        <f>IFERROR(M128/P128-1,"-")</f>
        <v>-</v>
      </c>
      <c r="T128" s="184">
        <f>IFERROR(N128/Q128-1,"-")</f>
        <v>-1</v>
      </c>
      <c r="U128" s="184" t="str">
        <f>IFERROR(O128/R128-1,"-")</f>
        <v>-</v>
      </c>
    </row>
    <row r="129" spans="2:21" ht="17.5" customHeight="1" outlineLevel="1" x14ac:dyDescent="0.3">
      <c r="B129" s="654"/>
      <c r="C129" s="171" t="s">
        <v>349</v>
      </c>
      <c r="D129" s="172">
        <f t="shared" ref="D129:I129" si="626">D126/SUM(D125:D126)</f>
        <v>0.42315608035429397</v>
      </c>
      <c r="E129" s="173">
        <f t="shared" si="626"/>
        <v>0.31688897151089834</v>
      </c>
      <c r="F129" s="174">
        <f t="shared" si="626"/>
        <v>0.25516873371267862</v>
      </c>
      <c r="G129" s="172">
        <f t="shared" si="626"/>
        <v>0.41279567224179858</v>
      </c>
      <c r="H129" s="173">
        <f t="shared" si="626"/>
        <v>9.5806746323713957E-2</v>
      </c>
      <c r="I129" s="174">
        <f t="shared" si="626"/>
        <v>0.41688559000886399</v>
      </c>
      <c r="J129" s="177">
        <f>D129-G129</f>
        <v>1.036040811249539E-2</v>
      </c>
      <c r="K129" s="178">
        <f>E129-H129</f>
        <v>0.2210822251871844</v>
      </c>
      <c r="L129" s="205">
        <f>F129-I129</f>
        <v>-0.16171685629618537</v>
      </c>
      <c r="M129" s="172">
        <f t="shared" ref="M129:R129" si="627">M126/SUM(M125:M126)</f>
        <v>0.42315608035429397</v>
      </c>
      <c r="N129" s="173">
        <f t="shared" si="627"/>
        <v>0.31688897151089834</v>
      </c>
      <c r="O129" s="174">
        <f t="shared" si="627"/>
        <v>0.25516873371267862</v>
      </c>
      <c r="P129" s="173">
        <f t="shared" si="627"/>
        <v>0.41279567224179858</v>
      </c>
      <c r="Q129" s="173">
        <f t="shared" si="627"/>
        <v>0.31760284738658334</v>
      </c>
      <c r="R129" s="174">
        <f t="shared" si="627"/>
        <v>0.41688559000886399</v>
      </c>
      <c r="S129" s="177">
        <f>M129-P129</f>
        <v>1.036040811249539E-2</v>
      </c>
      <c r="T129" s="178">
        <f>N129-Q129</f>
        <v>-7.1387587568499944E-4</v>
      </c>
      <c r="U129" s="178">
        <f>O129-R129</f>
        <v>-0.16171685629618537</v>
      </c>
    </row>
    <row r="130" spans="2:21" ht="17.5" customHeight="1" outlineLevel="1" x14ac:dyDescent="0.3">
      <c r="B130" s="655" t="s">
        <v>372</v>
      </c>
      <c r="C130" s="656"/>
      <c r="D130" s="141">
        <f t="shared" ref="D130:I130" si="628">D125+D126</f>
        <v>912011</v>
      </c>
      <c r="E130" s="142">
        <f t="shared" si="628"/>
        <v>731578</v>
      </c>
      <c r="F130" s="143">
        <f t="shared" si="628"/>
        <v>595939</v>
      </c>
      <c r="G130" s="157">
        <f t="shared" si="628"/>
        <v>1007450</v>
      </c>
      <c r="H130" s="158">
        <f t="shared" si="628"/>
        <v>3486195</v>
      </c>
      <c r="I130" s="159">
        <f t="shared" si="628"/>
        <v>996163</v>
      </c>
      <c r="J130" s="144">
        <f t="shared" ref="J130:L132" si="629">D130/G130-1</f>
        <v>-9.473323738150774E-2</v>
      </c>
      <c r="K130" s="167">
        <f t="shared" si="629"/>
        <v>-0.79015000595204798</v>
      </c>
      <c r="L130" s="206">
        <f t="shared" si="629"/>
        <v>-0.40176557450939254</v>
      </c>
      <c r="M130" s="141">
        <f t="shared" ref="M130:R130" si="630">M125+M126</f>
        <v>912011</v>
      </c>
      <c r="N130" s="142">
        <f t="shared" si="630"/>
        <v>731578</v>
      </c>
      <c r="O130" s="143">
        <f t="shared" si="630"/>
        <v>595939</v>
      </c>
      <c r="P130" s="158">
        <f t="shared" si="630"/>
        <v>1007450</v>
      </c>
      <c r="Q130" s="158">
        <f t="shared" si="630"/>
        <v>1051631</v>
      </c>
      <c r="R130" s="159">
        <f t="shared" si="630"/>
        <v>996163</v>
      </c>
      <c r="S130" s="144">
        <f t="shared" ref="S130:U132" si="631">M130/P130-1</f>
        <v>-9.473323738150774E-2</v>
      </c>
      <c r="T130" s="145">
        <f t="shared" si="631"/>
        <v>-0.30433964004484459</v>
      </c>
      <c r="U130" s="145">
        <f t="shared" si="631"/>
        <v>-0.40176557450939254</v>
      </c>
    </row>
    <row r="131" spans="2:21" ht="17.5" customHeight="1" x14ac:dyDescent="0.3">
      <c r="B131" s="645">
        <v>45589</v>
      </c>
      <c r="C131" s="127" t="s">
        <v>49</v>
      </c>
      <c r="D131" s="133">
        <v>308792</v>
      </c>
      <c r="E131" s="129">
        <v>284809</v>
      </c>
      <c r="F131" s="134">
        <v>284692</v>
      </c>
      <c r="G131" s="151">
        <v>284957</v>
      </c>
      <c r="H131" s="152">
        <v>1707678</v>
      </c>
      <c r="I131" s="153">
        <v>323646</v>
      </c>
      <c r="J131" s="139">
        <f t="shared" si="629"/>
        <v>8.3644198949315074E-2</v>
      </c>
      <c r="K131" s="128">
        <f t="shared" si="629"/>
        <v>-0.83321855759692398</v>
      </c>
      <c r="L131" s="201">
        <f t="shared" si="629"/>
        <v>-0.12035989939625391</v>
      </c>
      <c r="M131" s="133">
        <f t="shared" ref="M131:R131" si="632">D131-D134-D135</f>
        <v>267732</v>
      </c>
      <c r="N131" s="129">
        <f t="shared" si="632"/>
        <v>241636</v>
      </c>
      <c r="O131" s="134">
        <f t="shared" si="632"/>
        <v>221767</v>
      </c>
      <c r="P131" s="152">
        <f t="shared" si="632"/>
        <v>209285</v>
      </c>
      <c r="Q131" s="152">
        <f t="shared" si="632"/>
        <v>282143</v>
      </c>
      <c r="R131" s="152">
        <f t="shared" si="632"/>
        <v>281606</v>
      </c>
      <c r="S131" s="139">
        <f t="shared" si="631"/>
        <v>0.27926989511909595</v>
      </c>
      <c r="T131" s="128">
        <f t="shared" si="631"/>
        <v>-0.14356904123086522</v>
      </c>
      <c r="U131" s="128">
        <f t="shared" si="631"/>
        <v>-0.21249192133690331</v>
      </c>
    </row>
    <row r="132" spans="2:21" ht="17.5" customHeight="1" x14ac:dyDescent="0.3">
      <c r="B132" s="646"/>
      <c r="C132" s="117" t="s">
        <v>50</v>
      </c>
      <c r="D132" s="135">
        <v>179310</v>
      </c>
      <c r="E132" s="130">
        <v>133441</v>
      </c>
      <c r="F132" s="136">
        <v>84284</v>
      </c>
      <c r="G132" s="154">
        <v>239418</v>
      </c>
      <c r="H132" s="155">
        <v>225565</v>
      </c>
      <c r="I132" s="156">
        <v>300385</v>
      </c>
      <c r="J132" s="140">
        <f t="shared" si="629"/>
        <v>-0.25105881763275939</v>
      </c>
      <c r="K132" s="123">
        <f t="shared" si="629"/>
        <v>-0.408414425996941</v>
      </c>
      <c r="L132" s="202">
        <f t="shared" si="629"/>
        <v>-0.71941341944504544</v>
      </c>
      <c r="M132" s="135">
        <f t="shared" ref="M132:R132" si="633">D132</f>
        <v>179310</v>
      </c>
      <c r="N132" s="130">
        <f t="shared" si="633"/>
        <v>133441</v>
      </c>
      <c r="O132" s="136">
        <f t="shared" si="633"/>
        <v>84284</v>
      </c>
      <c r="P132" s="155">
        <f t="shared" si="633"/>
        <v>239418</v>
      </c>
      <c r="Q132" s="155">
        <f t="shared" si="633"/>
        <v>225565</v>
      </c>
      <c r="R132" s="156">
        <f t="shared" si="633"/>
        <v>300385</v>
      </c>
      <c r="S132" s="140">
        <f t="shared" si="631"/>
        <v>-0.25105881763275939</v>
      </c>
      <c r="T132" s="123">
        <f t="shared" si="631"/>
        <v>-0.408414425996941</v>
      </c>
      <c r="U132" s="123">
        <f t="shared" si="631"/>
        <v>-0.71941341944504544</v>
      </c>
    </row>
    <row r="133" spans="2:21" ht="17.5" customHeight="1" x14ac:dyDescent="0.3">
      <c r="B133" s="646"/>
      <c r="C133" s="171" t="s">
        <v>347</v>
      </c>
      <c r="D133" s="172">
        <f t="shared" ref="D133:I133" si="634">D131/SUM(D131:D132)</f>
        <v>0.63263826003581214</v>
      </c>
      <c r="E133" s="173">
        <f t="shared" si="634"/>
        <v>0.68095397489539744</v>
      </c>
      <c r="F133" s="174">
        <f t="shared" si="634"/>
        <v>0.77157321885434282</v>
      </c>
      <c r="G133" s="172">
        <f t="shared" si="634"/>
        <v>0.54342216924910602</v>
      </c>
      <c r="H133" s="173">
        <f t="shared" si="634"/>
        <v>0.88332299664346381</v>
      </c>
      <c r="I133" s="174">
        <f t="shared" si="634"/>
        <v>0.51863769588369812</v>
      </c>
      <c r="J133" s="242">
        <f>(D133-G133)*100</f>
        <v>8.9216090786706115</v>
      </c>
      <c r="K133" s="243">
        <f>(E133-H133)*100</f>
        <v>-20.236902174806637</v>
      </c>
      <c r="L133" s="243">
        <f>(F133-I133)*100</f>
        <v>25.293552297064469</v>
      </c>
      <c r="M133" s="172">
        <f t="shared" ref="M133:R133" si="635">M131/SUM(M131:M132)</f>
        <v>0.59889674795656789</v>
      </c>
      <c r="N133" s="173">
        <f t="shared" si="635"/>
        <v>0.64423038469434279</v>
      </c>
      <c r="O133" s="174">
        <f t="shared" si="635"/>
        <v>0.72460799017157274</v>
      </c>
      <c r="P133" s="173">
        <f t="shared" si="635"/>
        <v>0.4664221099480057</v>
      </c>
      <c r="Q133" s="173">
        <f t="shared" si="635"/>
        <v>0.55571903535102851</v>
      </c>
      <c r="R133" s="174">
        <f t="shared" si="635"/>
        <v>0.48386658900223545</v>
      </c>
      <c r="S133" s="242">
        <f>(M133-P133)*100</f>
        <v>13.247463800856218</v>
      </c>
      <c r="T133" s="243">
        <f>(N133-Q133)*100</f>
        <v>8.8511349343314283</v>
      </c>
      <c r="U133" s="243">
        <f>(O133-R133)*100</f>
        <v>24.07414011693373</v>
      </c>
    </row>
    <row r="134" spans="2:21" ht="17.5" customHeight="1" x14ac:dyDescent="0.3">
      <c r="B134" s="646"/>
      <c r="C134" s="118" t="s">
        <v>348</v>
      </c>
      <c r="D134" s="137">
        <v>0</v>
      </c>
      <c r="E134" s="131">
        <v>0</v>
      </c>
      <c r="F134" s="138">
        <v>0</v>
      </c>
      <c r="G134" s="137">
        <v>0</v>
      </c>
      <c r="H134" s="131">
        <v>1368905</v>
      </c>
      <c r="I134" s="138">
        <v>0</v>
      </c>
      <c r="J134" s="183" t="str">
        <f t="shared" ref="J134:L135" si="636">IFERROR(D134/G134-1,"-")</f>
        <v>-</v>
      </c>
      <c r="K134" s="184">
        <f t="shared" si="636"/>
        <v>-1</v>
      </c>
      <c r="L134" s="204" t="str">
        <f t="shared" si="636"/>
        <v>-</v>
      </c>
      <c r="M134" s="209">
        <f t="shared" ref="M134:R134" si="637">D134/D137</f>
        <v>0</v>
      </c>
      <c r="N134" s="210">
        <f t="shared" si="637"/>
        <v>0</v>
      </c>
      <c r="O134" s="211">
        <f t="shared" si="637"/>
        <v>0</v>
      </c>
      <c r="P134" s="185">
        <f t="shared" si="637"/>
        <v>0</v>
      </c>
      <c r="Q134" s="185">
        <f t="shared" si="637"/>
        <v>0.70808739511794427</v>
      </c>
      <c r="R134" s="185">
        <f t="shared" si="637"/>
        <v>0</v>
      </c>
      <c r="S134" s="183" t="str">
        <f t="shared" ref="S134:U135" si="638">IFERROR(D134/G134-1,"-")</f>
        <v>-</v>
      </c>
      <c r="T134" s="184">
        <f t="shared" si="638"/>
        <v>-1</v>
      </c>
      <c r="U134" s="184" t="str">
        <f t="shared" si="638"/>
        <v>-</v>
      </c>
    </row>
    <row r="135" spans="2:21" ht="17.5" customHeight="1" x14ac:dyDescent="0.3">
      <c r="B135" s="646"/>
      <c r="C135" s="118" t="s">
        <v>399</v>
      </c>
      <c r="D135" s="137">
        <v>41060</v>
      </c>
      <c r="E135" s="131">
        <v>43173</v>
      </c>
      <c r="F135" s="138">
        <v>62925</v>
      </c>
      <c r="G135" s="137">
        <v>75672</v>
      </c>
      <c r="H135" s="131">
        <v>56630</v>
      </c>
      <c r="I135" s="138">
        <v>42040</v>
      </c>
      <c r="J135" s="183">
        <f t="shared" si="636"/>
        <v>-0.4573950734749973</v>
      </c>
      <c r="K135" s="184">
        <f t="shared" si="636"/>
        <v>-0.23763023132615224</v>
      </c>
      <c r="L135" s="204">
        <f t="shared" si="636"/>
        <v>0.49678877259752618</v>
      </c>
      <c r="M135" s="209">
        <f t="shared" ref="M135:R135" si="639">D135/D$137</f>
        <v>8.4121761435109868E-2</v>
      </c>
      <c r="N135" s="210">
        <f t="shared" si="639"/>
        <v>0.10322295277943813</v>
      </c>
      <c r="O135" s="211">
        <f t="shared" si="639"/>
        <v>0.17053954728762846</v>
      </c>
      <c r="P135" s="185">
        <f t="shared" si="639"/>
        <v>0.14430893921334922</v>
      </c>
      <c r="Q135" s="185">
        <f t="shared" si="639"/>
        <v>2.9292747988742231E-2</v>
      </c>
      <c r="R135" s="185">
        <f t="shared" si="639"/>
        <v>6.7368448041844081E-2</v>
      </c>
      <c r="S135" s="183">
        <f t="shared" si="638"/>
        <v>-0.4573950734749973</v>
      </c>
      <c r="T135" s="184">
        <f t="shared" si="638"/>
        <v>-0.23763023132615224</v>
      </c>
      <c r="U135" s="184">
        <f t="shared" si="638"/>
        <v>0.49678877259752618</v>
      </c>
    </row>
    <row r="136" spans="2:21" ht="17.5" customHeight="1" x14ac:dyDescent="0.3">
      <c r="B136" s="647"/>
      <c r="C136" s="171" t="s">
        <v>349</v>
      </c>
      <c r="D136" s="172">
        <f t="shared" ref="D136:I136" si="640">D132/SUM(D131:D132)</f>
        <v>0.36736173996418781</v>
      </c>
      <c r="E136" s="173">
        <f t="shared" si="640"/>
        <v>0.3190460251046025</v>
      </c>
      <c r="F136" s="174">
        <f t="shared" si="640"/>
        <v>0.22842678114565718</v>
      </c>
      <c r="G136" s="172">
        <f t="shared" si="640"/>
        <v>0.45657783075089392</v>
      </c>
      <c r="H136" s="173">
        <f t="shared" si="640"/>
        <v>0.11667700335653614</v>
      </c>
      <c r="I136" s="174">
        <f t="shared" si="640"/>
        <v>0.48136230411630193</v>
      </c>
      <c r="J136" s="242">
        <f>(D136-G136)*100</f>
        <v>-8.9216090786706115</v>
      </c>
      <c r="K136" s="243">
        <f>(E136-H136)*100</f>
        <v>20.236902174806637</v>
      </c>
      <c r="L136" s="243">
        <f>(F136-I136)*100</f>
        <v>-25.293552297064476</v>
      </c>
      <c r="M136" s="172">
        <f t="shared" ref="M136:R136" si="641">M132/SUM(M131:M132)</f>
        <v>0.40110325204343217</v>
      </c>
      <c r="N136" s="173">
        <f t="shared" si="641"/>
        <v>0.35576961530565726</v>
      </c>
      <c r="O136" s="174">
        <f t="shared" si="641"/>
        <v>0.27539200982842726</v>
      </c>
      <c r="P136" s="173">
        <f t="shared" si="641"/>
        <v>0.5335778900519943</v>
      </c>
      <c r="Q136" s="173">
        <f t="shared" si="641"/>
        <v>0.44428096464897143</v>
      </c>
      <c r="R136" s="174">
        <f t="shared" si="641"/>
        <v>0.51613341099776455</v>
      </c>
      <c r="S136" s="242">
        <f>(M136-P136)*100</f>
        <v>-13.247463800856213</v>
      </c>
      <c r="T136" s="243">
        <f>(N136-Q136)*100</f>
        <v>-8.8511349343314176</v>
      </c>
      <c r="U136" s="243">
        <f>(O136-R136)*100</f>
        <v>-24.07414011693373</v>
      </c>
    </row>
    <row r="137" spans="2:21" ht="17.5" customHeight="1" x14ac:dyDescent="0.3">
      <c r="B137" s="657" t="s">
        <v>233</v>
      </c>
      <c r="C137" s="657"/>
      <c r="D137" s="133">
        <f t="shared" ref="D137:I137" si="642">D131+D132</f>
        <v>488102</v>
      </c>
      <c r="E137" s="129">
        <f t="shared" si="642"/>
        <v>418250</v>
      </c>
      <c r="F137" s="134">
        <f t="shared" si="642"/>
        <v>368976</v>
      </c>
      <c r="G137" s="151">
        <f t="shared" si="642"/>
        <v>524375</v>
      </c>
      <c r="H137" s="152">
        <f t="shared" si="642"/>
        <v>1933243</v>
      </c>
      <c r="I137" s="153">
        <f t="shared" si="642"/>
        <v>624031</v>
      </c>
      <c r="J137" s="139">
        <f t="shared" ref="J137:L139" si="643">D137/G137-1</f>
        <v>-6.9173778307508926E-2</v>
      </c>
      <c r="K137" s="308">
        <f t="shared" si="643"/>
        <v>-0.78365368450836237</v>
      </c>
      <c r="L137" s="309">
        <f t="shared" si="643"/>
        <v>-0.40872168209592152</v>
      </c>
      <c r="M137" s="133">
        <f t="shared" ref="M137:R137" si="644">M131+M132</f>
        <v>447042</v>
      </c>
      <c r="N137" s="129">
        <f t="shared" si="644"/>
        <v>375077</v>
      </c>
      <c r="O137" s="310">
        <f t="shared" si="644"/>
        <v>306051</v>
      </c>
      <c r="P137" s="152">
        <f t="shared" si="644"/>
        <v>448703</v>
      </c>
      <c r="Q137" s="152">
        <f t="shared" si="644"/>
        <v>507708</v>
      </c>
      <c r="R137" s="153">
        <f t="shared" si="644"/>
        <v>581991</v>
      </c>
      <c r="S137" s="139">
        <f t="shared" ref="S137:U139" si="645">M137/P137-1</f>
        <v>-3.7017804650292252E-3</v>
      </c>
      <c r="T137" s="128">
        <f t="shared" si="645"/>
        <v>-0.2612348042575654</v>
      </c>
      <c r="U137" s="128">
        <f t="shared" si="645"/>
        <v>-0.4741310432635556</v>
      </c>
    </row>
    <row r="138" spans="2:21" ht="17.5" customHeight="1" x14ac:dyDescent="0.3">
      <c r="B138" s="645">
        <v>45559</v>
      </c>
      <c r="C138" s="127" t="s">
        <v>49</v>
      </c>
      <c r="D138" s="133">
        <v>182722</v>
      </c>
      <c r="E138" s="129">
        <v>262362</v>
      </c>
      <c r="F138" s="134">
        <v>156342</v>
      </c>
      <c r="G138" s="151">
        <v>114536</v>
      </c>
      <c r="H138" s="152">
        <v>2591841</v>
      </c>
      <c r="I138" s="153">
        <v>230873</v>
      </c>
      <c r="J138" s="139">
        <f t="shared" si="643"/>
        <v>0.59532374100719432</v>
      </c>
      <c r="K138" s="128">
        <f t="shared" si="643"/>
        <v>-0.89877388312014506</v>
      </c>
      <c r="L138" s="201">
        <f t="shared" si="643"/>
        <v>-0.32282250414730174</v>
      </c>
      <c r="M138" s="133">
        <f t="shared" ref="M138:R138" si="646">D138-D141-D142</f>
        <v>178675</v>
      </c>
      <c r="N138" s="129">
        <f t="shared" si="646"/>
        <v>254075</v>
      </c>
      <c r="O138" s="134">
        <f t="shared" si="646"/>
        <v>156342</v>
      </c>
      <c r="P138" s="129">
        <f t="shared" si="646"/>
        <v>108550</v>
      </c>
      <c r="Q138" s="129">
        <f t="shared" si="646"/>
        <v>252879</v>
      </c>
      <c r="R138" s="134">
        <f t="shared" si="646"/>
        <v>230873</v>
      </c>
      <c r="S138" s="139">
        <f t="shared" si="645"/>
        <v>0.64601566098572083</v>
      </c>
      <c r="T138" s="128">
        <f t="shared" si="645"/>
        <v>4.7295346786406789E-3</v>
      </c>
      <c r="U138" s="128">
        <f t="shared" si="645"/>
        <v>-0.32282250414730174</v>
      </c>
    </row>
    <row r="139" spans="2:21" ht="17.5" customHeight="1" x14ac:dyDescent="0.3">
      <c r="B139" s="646"/>
      <c r="C139" s="117" t="s">
        <v>50</v>
      </c>
      <c r="D139" s="135">
        <v>45068</v>
      </c>
      <c r="E139" s="130">
        <v>85865</v>
      </c>
      <c r="F139" s="136">
        <v>51198</v>
      </c>
      <c r="G139" s="154">
        <v>107753</v>
      </c>
      <c r="H139" s="155">
        <v>269144</v>
      </c>
      <c r="I139" s="156">
        <v>126045</v>
      </c>
      <c r="J139" s="140">
        <f t="shared" si="643"/>
        <v>-0.58174714393102744</v>
      </c>
      <c r="K139" s="123">
        <f t="shared" si="643"/>
        <v>-0.68097003834378622</v>
      </c>
      <c r="L139" s="202">
        <f t="shared" si="643"/>
        <v>-0.59381173390455788</v>
      </c>
      <c r="M139" s="135">
        <f t="shared" ref="M139:R139" si="647">D139</f>
        <v>45068</v>
      </c>
      <c r="N139" s="130">
        <f t="shared" si="647"/>
        <v>85865</v>
      </c>
      <c r="O139" s="136">
        <f t="shared" si="647"/>
        <v>51198</v>
      </c>
      <c r="P139" s="155">
        <f t="shared" si="647"/>
        <v>107753</v>
      </c>
      <c r="Q139" s="155">
        <f t="shared" si="647"/>
        <v>269144</v>
      </c>
      <c r="R139" s="156">
        <f t="shared" si="647"/>
        <v>126045</v>
      </c>
      <c r="S139" s="140">
        <f t="shared" si="645"/>
        <v>-0.58174714393102744</v>
      </c>
      <c r="T139" s="123">
        <f t="shared" si="645"/>
        <v>-0.68097003834378622</v>
      </c>
      <c r="U139" s="123">
        <f t="shared" si="645"/>
        <v>-0.59381173390455788</v>
      </c>
    </row>
    <row r="140" spans="2:21" ht="17.5" customHeight="1" x14ac:dyDescent="0.3">
      <c r="B140" s="646"/>
      <c r="C140" s="171" t="s">
        <v>347</v>
      </c>
      <c r="D140" s="172">
        <f t="shared" ref="D140:I140" si="648">D138/SUM(D138:D139)</f>
        <v>0.80215110408709778</v>
      </c>
      <c r="E140" s="173">
        <f t="shared" si="648"/>
        <v>0.75342233657930024</v>
      </c>
      <c r="F140" s="174">
        <f t="shared" si="648"/>
        <v>0.75331020526163628</v>
      </c>
      <c r="G140" s="172">
        <f t="shared" si="648"/>
        <v>0.51525716522185083</v>
      </c>
      <c r="H140" s="173">
        <f t="shared" si="648"/>
        <v>0.90592610586913247</v>
      </c>
      <c r="I140" s="174">
        <f t="shared" si="648"/>
        <v>0.6468516578037532</v>
      </c>
      <c r="J140" s="242">
        <f>(D140-G140)*100</f>
        <v>28.689393886524694</v>
      </c>
      <c r="K140" s="243">
        <f>(E140-H140)*100</f>
        <v>-15.250376928983222</v>
      </c>
      <c r="L140" s="243">
        <f>(F140-I140)*100</f>
        <v>10.645854745788307</v>
      </c>
      <c r="M140" s="172">
        <f t="shared" ref="M140:R140" si="649">M138/SUM(M138:M139)</f>
        <v>0.79857246930630232</v>
      </c>
      <c r="N140" s="173">
        <f t="shared" si="649"/>
        <v>0.74741130787786081</v>
      </c>
      <c r="O140" s="174">
        <f t="shared" si="649"/>
        <v>0.75331020526163628</v>
      </c>
      <c r="P140" s="173">
        <f t="shared" si="649"/>
        <v>0.5018423230375908</v>
      </c>
      <c r="Q140" s="173">
        <f t="shared" si="649"/>
        <v>0.48442118450719607</v>
      </c>
      <c r="R140" s="174">
        <f t="shared" si="649"/>
        <v>0.6468516578037532</v>
      </c>
      <c r="S140" s="242">
        <f>(M140-P140)*100</f>
        <v>29.673014626871151</v>
      </c>
      <c r="T140" s="243">
        <f>(N140-Q140)*100</f>
        <v>26.299012337066475</v>
      </c>
      <c r="U140" s="243">
        <f>(O140-R140)*100</f>
        <v>10.645854745788307</v>
      </c>
    </row>
    <row r="141" spans="2:21" ht="17.5" customHeight="1" x14ac:dyDescent="0.3">
      <c r="B141" s="646"/>
      <c r="C141" s="118" t="s">
        <v>348</v>
      </c>
      <c r="D141" s="137">
        <v>0</v>
      </c>
      <c r="E141" s="131">
        <v>8287</v>
      </c>
      <c r="F141" s="138">
        <v>0</v>
      </c>
      <c r="G141" s="137">
        <v>0</v>
      </c>
      <c r="H141" s="131">
        <v>2336711</v>
      </c>
      <c r="I141" s="138">
        <v>0</v>
      </c>
      <c r="J141" s="183" t="str">
        <f t="shared" ref="J141:L142" si="650">IFERROR(D141/G141-1,"-")</f>
        <v>-</v>
      </c>
      <c r="K141" s="184">
        <f t="shared" si="650"/>
        <v>-0.99645356229332593</v>
      </c>
      <c r="L141" s="204" t="str">
        <f t="shared" si="650"/>
        <v>-</v>
      </c>
      <c r="M141" s="209">
        <f t="shared" ref="M141:R142" si="651">D141/D$144</f>
        <v>0</v>
      </c>
      <c r="N141" s="210">
        <f t="shared" si="651"/>
        <v>2.3797695181591319E-2</v>
      </c>
      <c r="O141" s="211">
        <f t="shared" si="651"/>
        <v>0</v>
      </c>
      <c r="P141" s="210">
        <f t="shared" si="651"/>
        <v>0</v>
      </c>
      <c r="Q141" s="210">
        <f t="shared" si="651"/>
        <v>0.81675052473186682</v>
      </c>
      <c r="R141" s="211">
        <f t="shared" si="651"/>
        <v>0</v>
      </c>
      <c r="S141" s="183" t="str">
        <f t="shared" ref="S141:U142" si="652">IFERROR(D141/G141-1,"-")</f>
        <v>-</v>
      </c>
      <c r="T141" s="184">
        <f t="shared" si="652"/>
        <v>-0.99645356229332593</v>
      </c>
      <c r="U141" s="184" t="str">
        <f t="shared" si="652"/>
        <v>-</v>
      </c>
    </row>
    <row r="142" spans="2:21" ht="17.5" customHeight="1" x14ac:dyDescent="0.3">
      <c r="B142" s="646"/>
      <c r="C142" s="118" t="s">
        <v>399</v>
      </c>
      <c r="D142" s="137">
        <v>4047</v>
      </c>
      <c r="E142" s="131">
        <v>0</v>
      </c>
      <c r="F142" s="138">
        <v>0</v>
      </c>
      <c r="G142" s="137">
        <v>5986</v>
      </c>
      <c r="H142" s="131">
        <v>2251</v>
      </c>
      <c r="I142" s="138">
        <v>0</v>
      </c>
      <c r="J142" s="183">
        <f t="shared" si="650"/>
        <v>-0.32392248580020044</v>
      </c>
      <c r="K142" s="184">
        <f t="shared" si="650"/>
        <v>-1</v>
      </c>
      <c r="L142" s="204" t="str">
        <f t="shared" si="650"/>
        <v>-</v>
      </c>
      <c r="M142" s="209">
        <f t="shared" si="651"/>
        <v>1.7766363756091138E-2</v>
      </c>
      <c r="N142" s="210">
        <f t="shared" si="651"/>
        <v>0</v>
      </c>
      <c r="O142" s="211">
        <f t="shared" si="651"/>
        <v>0</v>
      </c>
      <c r="P142" s="210">
        <f t="shared" si="651"/>
        <v>2.6928907863187114E-2</v>
      </c>
      <c r="Q142" s="210">
        <f t="shared" si="651"/>
        <v>7.8679196150975973E-4</v>
      </c>
      <c r="R142" s="211">
        <f t="shared" si="651"/>
        <v>0</v>
      </c>
      <c r="S142" s="183">
        <f t="shared" si="652"/>
        <v>-0.32392248580020044</v>
      </c>
      <c r="T142" s="184">
        <f t="shared" si="652"/>
        <v>-1</v>
      </c>
      <c r="U142" s="184" t="str">
        <f t="shared" si="652"/>
        <v>-</v>
      </c>
    </row>
    <row r="143" spans="2:21" ht="17.5" customHeight="1" x14ac:dyDescent="0.3">
      <c r="B143" s="647"/>
      <c r="C143" s="171" t="s">
        <v>349</v>
      </c>
      <c r="D143" s="172">
        <f t="shared" ref="D143:I143" si="653">D139/SUM(D138:D139)</f>
        <v>0.19784889591290222</v>
      </c>
      <c r="E143" s="173">
        <f t="shared" si="653"/>
        <v>0.24657766342069973</v>
      </c>
      <c r="F143" s="174">
        <f t="shared" si="653"/>
        <v>0.24668979473836369</v>
      </c>
      <c r="G143" s="172">
        <f t="shared" si="653"/>
        <v>0.48474283477814917</v>
      </c>
      <c r="H143" s="173">
        <f t="shared" si="653"/>
        <v>9.4073894130867516E-2</v>
      </c>
      <c r="I143" s="174">
        <f t="shared" si="653"/>
        <v>0.35314834219624675</v>
      </c>
      <c r="J143" s="242">
        <f>(D143-G143)*100</f>
        <v>-28.689393886524694</v>
      </c>
      <c r="K143" s="243">
        <f>(E143-H143)*100</f>
        <v>15.250376928983222</v>
      </c>
      <c r="L143" s="243">
        <f>(F143-I143)*100</f>
        <v>-10.645854745788306</v>
      </c>
      <c r="M143" s="172">
        <f t="shared" ref="M143:R143" si="654">M139/SUM(M138:M139)</f>
        <v>0.20142753069369768</v>
      </c>
      <c r="N143" s="173">
        <f t="shared" si="654"/>
        <v>0.25258869212213919</v>
      </c>
      <c r="O143" s="174">
        <f t="shared" si="654"/>
        <v>0.24668979473836369</v>
      </c>
      <c r="P143" s="173">
        <f t="shared" si="654"/>
        <v>0.4981576769624092</v>
      </c>
      <c r="Q143" s="173">
        <f t="shared" si="654"/>
        <v>0.51557881549280393</v>
      </c>
      <c r="R143" s="174">
        <f t="shared" si="654"/>
        <v>0.35314834219624675</v>
      </c>
      <c r="S143" s="242">
        <f>(M143-P143)*100</f>
        <v>-29.673014626871151</v>
      </c>
      <c r="T143" s="243">
        <f>(N143-Q143)*100</f>
        <v>-26.299012337066475</v>
      </c>
      <c r="U143" s="243">
        <f>(O143-R143)*100</f>
        <v>-10.645854745788306</v>
      </c>
    </row>
    <row r="144" spans="2:21" ht="17.5" customHeight="1" x14ac:dyDescent="0.3">
      <c r="B144" s="648" t="s">
        <v>233</v>
      </c>
      <c r="C144" s="648"/>
      <c r="D144" s="141">
        <f t="shared" ref="D144:I144" si="655">D138+D139</f>
        <v>227790</v>
      </c>
      <c r="E144" s="142">
        <f t="shared" si="655"/>
        <v>348227</v>
      </c>
      <c r="F144" s="143">
        <f t="shared" si="655"/>
        <v>207540</v>
      </c>
      <c r="G144" s="157">
        <f t="shared" si="655"/>
        <v>222289</v>
      </c>
      <c r="H144" s="158">
        <f t="shared" si="655"/>
        <v>2860985</v>
      </c>
      <c r="I144" s="159">
        <f t="shared" si="655"/>
        <v>356918</v>
      </c>
      <c r="J144" s="144">
        <f t="shared" ref="J144:L146" si="656">D144/G144-1</f>
        <v>2.4747063507416067E-2</v>
      </c>
      <c r="K144" s="214">
        <f t="shared" si="656"/>
        <v>-0.87828422728535804</v>
      </c>
      <c r="L144" s="215">
        <f t="shared" si="656"/>
        <v>-0.4185219013891146</v>
      </c>
      <c r="M144" s="141">
        <f t="shared" ref="M144:R144" si="657">M138+M139</f>
        <v>223743</v>
      </c>
      <c r="N144" s="142">
        <f t="shared" si="657"/>
        <v>339940</v>
      </c>
      <c r="O144" s="143">
        <f t="shared" si="657"/>
        <v>207540</v>
      </c>
      <c r="P144" s="158">
        <f t="shared" si="657"/>
        <v>216303</v>
      </c>
      <c r="Q144" s="158">
        <f t="shared" si="657"/>
        <v>522023</v>
      </c>
      <c r="R144" s="159">
        <f t="shared" si="657"/>
        <v>356918</v>
      </c>
      <c r="S144" s="144">
        <f t="shared" ref="S144:U146" si="658">M144/P144-1</f>
        <v>3.4396194227541921E-2</v>
      </c>
      <c r="T144" s="145">
        <f t="shared" si="658"/>
        <v>-0.34880263896418362</v>
      </c>
      <c r="U144" s="145">
        <f t="shared" si="658"/>
        <v>-0.4185219013891146</v>
      </c>
    </row>
    <row r="145" spans="2:21" ht="17.5" customHeight="1" x14ac:dyDescent="0.3">
      <c r="B145" s="645">
        <v>45528</v>
      </c>
      <c r="C145" s="127" t="s">
        <v>49</v>
      </c>
      <c r="D145" s="133">
        <v>195033</v>
      </c>
      <c r="E145" s="129">
        <v>324247</v>
      </c>
      <c r="F145" s="134">
        <v>212881</v>
      </c>
      <c r="G145" s="151">
        <v>148545</v>
      </c>
      <c r="H145" s="152">
        <v>179903</v>
      </c>
      <c r="I145" s="153">
        <v>245036</v>
      </c>
      <c r="J145" s="139">
        <f t="shared" si="656"/>
        <v>0.31295566999899016</v>
      </c>
      <c r="K145" s="128">
        <f t="shared" si="656"/>
        <v>0.80234348510030395</v>
      </c>
      <c r="L145" s="201">
        <f t="shared" si="656"/>
        <v>-0.13122561582787839</v>
      </c>
      <c r="M145" s="133">
        <f t="shared" ref="M145:R145" si="659">D145-D148-D149</f>
        <v>174551</v>
      </c>
      <c r="N145" s="129">
        <f t="shared" si="659"/>
        <v>324247</v>
      </c>
      <c r="O145" s="134">
        <f t="shared" si="659"/>
        <v>212881</v>
      </c>
      <c r="P145" s="129">
        <f t="shared" si="659"/>
        <v>148545</v>
      </c>
      <c r="Q145" s="129">
        <f t="shared" si="659"/>
        <v>142937</v>
      </c>
      <c r="R145" s="134">
        <f t="shared" si="659"/>
        <v>245036</v>
      </c>
      <c r="S145" s="139">
        <f t="shared" si="658"/>
        <v>0.17507152714665586</v>
      </c>
      <c r="T145" s="128">
        <f t="shared" si="658"/>
        <v>1.2684609303399399</v>
      </c>
      <c r="U145" s="128">
        <f t="shared" si="658"/>
        <v>-0.13122561582787839</v>
      </c>
    </row>
    <row r="146" spans="2:21" ht="17.5" customHeight="1" x14ac:dyDescent="0.3">
      <c r="B146" s="646"/>
      <c r="C146" s="117" t="s">
        <v>50</v>
      </c>
      <c r="D146" s="135">
        <v>47039</v>
      </c>
      <c r="E146" s="130">
        <v>85276</v>
      </c>
      <c r="F146" s="136">
        <v>57773</v>
      </c>
      <c r="G146" s="154">
        <v>80273</v>
      </c>
      <c r="H146" s="155">
        <v>161797</v>
      </c>
      <c r="I146" s="156">
        <v>86182</v>
      </c>
      <c r="J146" s="140">
        <f t="shared" si="656"/>
        <v>-0.41401218342406543</v>
      </c>
      <c r="K146" s="123">
        <f t="shared" si="656"/>
        <v>-0.47294449217228995</v>
      </c>
      <c r="L146" s="202">
        <f t="shared" si="656"/>
        <v>-0.32963959991645586</v>
      </c>
      <c r="M146" s="135">
        <f t="shared" ref="M146:R146" si="660">D146</f>
        <v>47039</v>
      </c>
      <c r="N146" s="130">
        <f t="shared" si="660"/>
        <v>85276</v>
      </c>
      <c r="O146" s="136">
        <f t="shared" si="660"/>
        <v>57773</v>
      </c>
      <c r="P146" s="155">
        <f t="shared" si="660"/>
        <v>80273</v>
      </c>
      <c r="Q146" s="155">
        <f t="shared" si="660"/>
        <v>161797</v>
      </c>
      <c r="R146" s="156">
        <f t="shared" si="660"/>
        <v>86182</v>
      </c>
      <c r="S146" s="140">
        <f t="shared" si="658"/>
        <v>-0.41401218342406543</v>
      </c>
      <c r="T146" s="123">
        <f t="shared" si="658"/>
        <v>-0.47294449217228995</v>
      </c>
      <c r="U146" s="123">
        <f t="shared" si="658"/>
        <v>-0.32963959991645586</v>
      </c>
    </row>
    <row r="147" spans="2:21" ht="17.5" customHeight="1" x14ac:dyDescent="0.3">
      <c r="B147" s="646"/>
      <c r="C147" s="171" t="s">
        <v>347</v>
      </c>
      <c r="D147" s="172">
        <f t="shared" ref="D147:I147" si="661">D145/SUM(D145:D146)</f>
        <v>0.80568178062725138</v>
      </c>
      <c r="E147" s="173">
        <f t="shared" si="661"/>
        <v>0.79176749535435131</v>
      </c>
      <c r="F147" s="174">
        <f t="shared" si="661"/>
        <v>0.78654296629645226</v>
      </c>
      <c r="G147" s="172">
        <f t="shared" si="661"/>
        <v>0.64918406768698267</v>
      </c>
      <c r="H147" s="173">
        <f t="shared" si="661"/>
        <v>0.52649400058530871</v>
      </c>
      <c r="I147" s="174">
        <f t="shared" si="661"/>
        <v>0.73980278849579428</v>
      </c>
      <c r="J147" s="242">
        <f>(D147-G147)*100</f>
        <v>15.64977129402687</v>
      </c>
      <c r="K147" s="243">
        <f>(E147-H147)*100</f>
        <v>26.527349476904259</v>
      </c>
      <c r="L147" s="243">
        <f>(F147-I147)*100</f>
        <v>4.6740177800657978</v>
      </c>
      <c r="M147" s="172">
        <f t="shared" ref="M147:R147" si="662">M145/SUM(M145:M146)</f>
        <v>0.78772056500744614</v>
      </c>
      <c r="N147" s="173">
        <f t="shared" si="662"/>
        <v>0.79176749535435131</v>
      </c>
      <c r="O147" s="174">
        <f t="shared" si="662"/>
        <v>0.78654296629645226</v>
      </c>
      <c r="P147" s="173">
        <f t="shared" si="662"/>
        <v>0.64918406768698267</v>
      </c>
      <c r="Q147" s="173">
        <f t="shared" si="662"/>
        <v>0.46905497909652355</v>
      </c>
      <c r="R147" s="174">
        <f t="shared" si="662"/>
        <v>0.73980278849579428</v>
      </c>
      <c r="S147" s="242">
        <f>(M147-P147)*100</f>
        <v>13.853649732046346</v>
      </c>
      <c r="T147" s="243">
        <f>(N147-Q147)*100</f>
        <v>32.271251625782774</v>
      </c>
      <c r="U147" s="243">
        <f>(O147-R147)*100</f>
        <v>4.6740177800657978</v>
      </c>
    </row>
    <row r="148" spans="2:21" ht="17.5" customHeight="1" x14ac:dyDescent="0.3">
      <c r="B148" s="646"/>
      <c r="C148" s="118" t="s">
        <v>348</v>
      </c>
      <c r="D148" s="137">
        <v>0</v>
      </c>
      <c r="E148" s="131">
        <v>0</v>
      </c>
      <c r="F148" s="138">
        <v>0</v>
      </c>
      <c r="G148" s="137">
        <v>0</v>
      </c>
      <c r="H148" s="131">
        <v>0</v>
      </c>
      <c r="I148" s="138">
        <v>0</v>
      </c>
      <c r="J148" s="183" t="str">
        <f t="shared" ref="J148:L149" si="663">IFERROR(D148/G148-1,"-")</f>
        <v>-</v>
      </c>
      <c r="K148" s="184" t="str">
        <f t="shared" si="663"/>
        <v>-</v>
      </c>
      <c r="L148" s="204" t="str">
        <f t="shared" si="663"/>
        <v>-</v>
      </c>
      <c r="M148" s="209">
        <f t="shared" ref="M148:R149" si="664">D148/D$151</f>
        <v>0</v>
      </c>
      <c r="N148" s="210">
        <f t="shared" si="664"/>
        <v>0</v>
      </c>
      <c r="O148" s="211">
        <f t="shared" si="664"/>
        <v>0</v>
      </c>
      <c r="P148" s="210">
        <f t="shared" si="664"/>
        <v>0</v>
      </c>
      <c r="Q148" s="210">
        <f t="shared" si="664"/>
        <v>0</v>
      </c>
      <c r="R148" s="211">
        <f t="shared" si="664"/>
        <v>0</v>
      </c>
      <c r="S148" s="183" t="str">
        <f t="shared" ref="S148:U149" si="665">IFERROR(D148/G148-1,"-")</f>
        <v>-</v>
      </c>
      <c r="T148" s="184" t="str">
        <f t="shared" si="665"/>
        <v>-</v>
      </c>
      <c r="U148" s="184" t="str">
        <f t="shared" si="665"/>
        <v>-</v>
      </c>
    </row>
    <row r="149" spans="2:21" ht="17.5" customHeight="1" x14ac:dyDescent="0.3">
      <c r="B149" s="646"/>
      <c r="C149" s="118" t="s">
        <v>399</v>
      </c>
      <c r="D149" s="137">
        <v>20482</v>
      </c>
      <c r="E149" s="131">
        <v>0</v>
      </c>
      <c r="F149" s="138">
        <v>0</v>
      </c>
      <c r="G149" s="137">
        <v>0</v>
      </c>
      <c r="H149" s="131">
        <v>36966</v>
      </c>
      <c r="I149" s="138">
        <v>0</v>
      </c>
      <c r="J149" s="183" t="str">
        <f t="shared" si="663"/>
        <v>-</v>
      </c>
      <c r="K149" s="184">
        <f t="shared" si="663"/>
        <v>-1</v>
      </c>
      <c r="L149" s="204" t="str">
        <f t="shared" si="663"/>
        <v>-</v>
      </c>
      <c r="M149" s="209">
        <f t="shared" si="664"/>
        <v>8.4611190059155947E-2</v>
      </c>
      <c r="N149" s="210">
        <f t="shared" si="664"/>
        <v>0</v>
      </c>
      <c r="O149" s="211">
        <f t="shared" si="664"/>
        <v>0</v>
      </c>
      <c r="P149" s="210">
        <f t="shared" si="664"/>
        <v>0</v>
      </c>
      <c r="Q149" s="210">
        <f t="shared" si="664"/>
        <v>0.10818261633011414</v>
      </c>
      <c r="R149" s="211">
        <f t="shared" si="664"/>
        <v>0</v>
      </c>
      <c r="S149" s="183" t="str">
        <f t="shared" si="665"/>
        <v>-</v>
      </c>
      <c r="T149" s="184">
        <f t="shared" si="665"/>
        <v>-1</v>
      </c>
      <c r="U149" s="184" t="str">
        <f t="shared" si="665"/>
        <v>-</v>
      </c>
    </row>
    <row r="150" spans="2:21" ht="17.5" customHeight="1" x14ac:dyDescent="0.3">
      <c r="B150" s="647"/>
      <c r="C150" s="171" t="s">
        <v>349</v>
      </c>
      <c r="D150" s="172">
        <f t="shared" ref="D150:I150" si="666">D146/SUM(D145:D146)</f>
        <v>0.1943182193727486</v>
      </c>
      <c r="E150" s="173">
        <f t="shared" si="666"/>
        <v>0.20823250464564871</v>
      </c>
      <c r="F150" s="174">
        <f t="shared" si="666"/>
        <v>0.21345703370354771</v>
      </c>
      <c r="G150" s="172">
        <f t="shared" si="666"/>
        <v>0.35081593231301733</v>
      </c>
      <c r="H150" s="173">
        <f t="shared" si="666"/>
        <v>0.47350599941469124</v>
      </c>
      <c r="I150" s="174">
        <f t="shared" si="666"/>
        <v>0.26019721150420572</v>
      </c>
      <c r="J150" s="242">
        <f>(D150-G150)*100</f>
        <v>-15.649771294026873</v>
      </c>
      <c r="K150" s="243">
        <f>(E150-H150)*100</f>
        <v>-26.527349476904249</v>
      </c>
      <c r="L150" s="243">
        <f>(F150-I150)*100</f>
        <v>-4.6740177800658005</v>
      </c>
      <c r="M150" s="172">
        <f t="shared" ref="M150:R150" si="667">M146/SUM(M145:M146)</f>
        <v>0.21227943499255381</v>
      </c>
      <c r="N150" s="173">
        <f t="shared" si="667"/>
        <v>0.20823250464564871</v>
      </c>
      <c r="O150" s="265">
        <f t="shared" si="667"/>
        <v>0.21345703370354771</v>
      </c>
      <c r="P150" s="173">
        <f t="shared" si="667"/>
        <v>0.35081593231301733</v>
      </c>
      <c r="Q150" s="173">
        <f t="shared" si="667"/>
        <v>0.53094502090347651</v>
      </c>
      <c r="R150" s="174">
        <f t="shared" si="667"/>
        <v>0.26019721150420572</v>
      </c>
      <c r="S150" s="242">
        <f>(M150-P150)*100</f>
        <v>-13.853649732046353</v>
      </c>
      <c r="T150" s="243">
        <f>(N150-Q150)*100</f>
        <v>-32.271251625782782</v>
      </c>
      <c r="U150" s="243">
        <f>(O150-R150)*100</f>
        <v>-4.6740177800658005</v>
      </c>
    </row>
    <row r="151" spans="2:21" ht="17.5" customHeight="1" x14ac:dyDescent="0.3">
      <c r="B151" s="648" t="s">
        <v>233</v>
      </c>
      <c r="C151" s="648"/>
      <c r="D151" s="141">
        <f t="shared" ref="D151:I151" si="668">D145+D146</f>
        <v>242072</v>
      </c>
      <c r="E151" s="142">
        <f t="shared" si="668"/>
        <v>409523</v>
      </c>
      <c r="F151" s="143">
        <f t="shared" si="668"/>
        <v>270654</v>
      </c>
      <c r="G151" s="157">
        <f t="shared" si="668"/>
        <v>228818</v>
      </c>
      <c r="H151" s="158">
        <f t="shared" si="668"/>
        <v>341700</v>
      </c>
      <c r="I151" s="159">
        <f t="shared" si="668"/>
        <v>331218</v>
      </c>
      <c r="J151" s="144">
        <f t="shared" ref="J151:L153" si="669">D151/G151-1</f>
        <v>5.7923764738788019E-2</v>
      </c>
      <c r="K151" s="145">
        <f t="shared" si="669"/>
        <v>0.19848697688030437</v>
      </c>
      <c r="L151" s="207">
        <f t="shared" si="669"/>
        <v>-0.18285238121116609</v>
      </c>
      <c r="M151" s="141">
        <f t="shared" ref="M151:R151" si="670">M145+M146</f>
        <v>221590</v>
      </c>
      <c r="N151" s="142">
        <f t="shared" si="670"/>
        <v>409523</v>
      </c>
      <c r="O151" s="143">
        <f t="shared" si="670"/>
        <v>270654</v>
      </c>
      <c r="P151" s="158">
        <f t="shared" si="670"/>
        <v>228818</v>
      </c>
      <c r="Q151" s="158">
        <f t="shared" si="670"/>
        <v>304734</v>
      </c>
      <c r="R151" s="159">
        <f t="shared" si="670"/>
        <v>331218</v>
      </c>
      <c r="S151" s="144">
        <f t="shared" ref="S151:U153" si="671">M151/P151-1</f>
        <v>-3.1588423987623404E-2</v>
      </c>
      <c r="T151" s="145">
        <f t="shared" si="671"/>
        <v>0.34387039188275681</v>
      </c>
      <c r="U151" s="145">
        <f t="shared" si="671"/>
        <v>-0.18285238121116609</v>
      </c>
    </row>
    <row r="152" spans="2:21" ht="17.5" customHeight="1" x14ac:dyDescent="0.3">
      <c r="B152" s="645">
        <v>45497</v>
      </c>
      <c r="C152" s="127" t="s">
        <v>49</v>
      </c>
      <c r="D152" s="133">
        <v>222116</v>
      </c>
      <c r="E152" s="129">
        <v>304717</v>
      </c>
      <c r="F152" s="134">
        <v>180309</v>
      </c>
      <c r="G152" s="151">
        <v>158166</v>
      </c>
      <c r="H152" s="152">
        <v>192915</v>
      </c>
      <c r="I152" s="153">
        <v>183278</v>
      </c>
      <c r="J152" s="139">
        <f t="shared" si="669"/>
        <v>0.40432204139954231</v>
      </c>
      <c r="K152" s="128">
        <f t="shared" si="669"/>
        <v>0.5795402120104709</v>
      </c>
      <c r="L152" s="201">
        <f t="shared" si="669"/>
        <v>-1.619943473848473E-2</v>
      </c>
      <c r="M152" s="133">
        <f t="shared" ref="M152:R152" si="672">D152-D155-D156</f>
        <v>178158</v>
      </c>
      <c r="N152" s="129">
        <f t="shared" si="672"/>
        <v>302315</v>
      </c>
      <c r="O152" s="134">
        <f t="shared" si="672"/>
        <v>180298</v>
      </c>
      <c r="P152" s="129">
        <f t="shared" si="672"/>
        <v>158166</v>
      </c>
      <c r="Q152" s="129">
        <f t="shared" si="672"/>
        <v>192915</v>
      </c>
      <c r="R152" s="134">
        <f t="shared" si="672"/>
        <v>183278</v>
      </c>
      <c r="S152" s="139">
        <f t="shared" si="671"/>
        <v>0.12639884678122981</v>
      </c>
      <c r="T152" s="128">
        <f t="shared" si="671"/>
        <v>0.56708913251950333</v>
      </c>
      <c r="U152" s="128">
        <f t="shared" si="671"/>
        <v>-1.6259452853042866E-2</v>
      </c>
    </row>
    <row r="153" spans="2:21" ht="17.5" customHeight="1" x14ac:dyDescent="0.3">
      <c r="B153" s="646"/>
      <c r="C153" s="117" t="s">
        <v>50</v>
      </c>
      <c r="D153" s="135">
        <v>60621</v>
      </c>
      <c r="E153" s="130">
        <v>66971</v>
      </c>
      <c r="F153" s="136">
        <v>59120</v>
      </c>
      <c r="G153" s="154">
        <v>73376</v>
      </c>
      <c r="H153" s="155">
        <v>141089</v>
      </c>
      <c r="I153" s="156">
        <v>77802</v>
      </c>
      <c r="J153" s="140">
        <f t="shared" si="669"/>
        <v>-0.17383068033144355</v>
      </c>
      <c r="K153" s="123">
        <f t="shared" si="669"/>
        <v>-0.52532798446370732</v>
      </c>
      <c r="L153" s="202">
        <f t="shared" si="669"/>
        <v>-0.24012236189301051</v>
      </c>
      <c r="M153" s="135">
        <f t="shared" ref="M153:R153" si="673">D153</f>
        <v>60621</v>
      </c>
      <c r="N153" s="130">
        <f t="shared" si="673"/>
        <v>66971</v>
      </c>
      <c r="O153" s="136">
        <f t="shared" si="673"/>
        <v>59120</v>
      </c>
      <c r="P153" s="155">
        <f t="shared" si="673"/>
        <v>73376</v>
      </c>
      <c r="Q153" s="155">
        <f t="shared" si="673"/>
        <v>141089</v>
      </c>
      <c r="R153" s="156">
        <f t="shared" si="673"/>
        <v>77802</v>
      </c>
      <c r="S153" s="140">
        <f t="shared" si="671"/>
        <v>-0.17383068033144355</v>
      </c>
      <c r="T153" s="123">
        <f t="shared" si="671"/>
        <v>-0.52532798446370732</v>
      </c>
      <c r="U153" s="123">
        <f t="shared" si="671"/>
        <v>-0.24012236189301051</v>
      </c>
    </row>
    <row r="154" spans="2:21" ht="17.5" customHeight="1" x14ac:dyDescent="0.3">
      <c r="B154" s="646"/>
      <c r="C154" s="171" t="s">
        <v>347</v>
      </c>
      <c r="D154" s="172">
        <f t="shared" ref="D154:I154" si="674">D152/SUM(D152:D153)</f>
        <v>0.78559226418898132</v>
      </c>
      <c r="E154" s="173">
        <f t="shared" si="674"/>
        <v>0.8198193108198274</v>
      </c>
      <c r="F154" s="174">
        <f t="shared" si="674"/>
        <v>0.75307920093221792</v>
      </c>
      <c r="G154" s="172">
        <f t="shared" si="674"/>
        <v>0.68309853072012849</v>
      </c>
      <c r="H154" s="173">
        <f t="shared" si="674"/>
        <v>0.57758290319876404</v>
      </c>
      <c r="I154" s="174">
        <f t="shared" si="674"/>
        <v>0.70199938716102339</v>
      </c>
      <c r="J154" s="242">
        <f>(D154-G154)*100</f>
        <v>10.249373346885282</v>
      </c>
      <c r="K154" s="243">
        <f>(E154-H154)*100</f>
        <v>24.223640762106335</v>
      </c>
      <c r="L154" s="243">
        <f>(F154-I154)*100</f>
        <v>5.1079813771194527</v>
      </c>
      <c r="M154" s="172">
        <f t="shared" ref="M154:R154" si="675">M152/SUM(M152:M153)</f>
        <v>0.74612089002801751</v>
      </c>
      <c r="N154" s="173">
        <f t="shared" si="675"/>
        <v>0.81864733566937276</v>
      </c>
      <c r="O154" s="174">
        <f t="shared" si="675"/>
        <v>0.75306785621799532</v>
      </c>
      <c r="P154" s="173">
        <f t="shared" si="675"/>
        <v>0.68309853072012849</v>
      </c>
      <c r="Q154" s="173">
        <f t="shared" si="675"/>
        <v>0.57758290319876404</v>
      </c>
      <c r="R154" s="174">
        <f t="shared" si="675"/>
        <v>0.70199938716102339</v>
      </c>
      <c r="S154" s="242">
        <f>(M154-P154)*100</f>
        <v>6.3022359307889015</v>
      </c>
      <c r="T154" s="243">
        <f>(N154-Q154)*100</f>
        <v>24.10644324706087</v>
      </c>
      <c r="U154" s="243">
        <f>(O154-R154)*100</f>
        <v>5.1068469056971928</v>
      </c>
    </row>
    <row r="155" spans="2:21" ht="17.5" customHeight="1" x14ac:dyDescent="0.3">
      <c r="B155" s="646"/>
      <c r="C155" s="118" t="s">
        <v>348</v>
      </c>
      <c r="D155" s="137">
        <v>0</v>
      </c>
      <c r="E155" s="131">
        <v>2402</v>
      </c>
      <c r="F155" s="138">
        <v>0</v>
      </c>
      <c r="G155" s="137">
        <v>0</v>
      </c>
      <c r="H155" s="131">
        <v>0</v>
      </c>
      <c r="I155" s="138">
        <v>0</v>
      </c>
      <c r="J155" s="183" t="str">
        <f t="shared" ref="J155:L156" si="676">IFERROR(D155/G155-1,"-")</f>
        <v>-</v>
      </c>
      <c r="K155" s="184" t="str">
        <f t="shared" si="676"/>
        <v>-</v>
      </c>
      <c r="L155" s="204" t="str">
        <f t="shared" si="676"/>
        <v>-</v>
      </c>
      <c r="M155" s="209">
        <f t="shared" ref="M155:R156" si="677">D155/D$158</f>
        <v>0</v>
      </c>
      <c r="N155" s="210">
        <f t="shared" si="677"/>
        <v>6.46240933255849E-3</v>
      </c>
      <c r="O155" s="211">
        <f t="shared" si="677"/>
        <v>0</v>
      </c>
      <c r="P155" s="210">
        <f t="shared" si="677"/>
        <v>0</v>
      </c>
      <c r="Q155" s="210">
        <f t="shared" si="677"/>
        <v>0</v>
      </c>
      <c r="R155" s="211">
        <f t="shared" si="677"/>
        <v>0</v>
      </c>
      <c r="S155" s="183" t="str">
        <f t="shared" ref="S155:U156" si="678">IFERROR(D155/G155-1,"-")</f>
        <v>-</v>
      </c>
      <c r="T155" s="184" t="str">
        <f t="shared" si="678"/>
        <v>-</v>
      </c>
      <c r="U155" s="184" t="str">
        <f t="shared" si="678"/>
        <v>-</v>
      </c>
    </row>
    <row r="156" spans="2:21" ht="17.5" customHeight="1" x14ac:dyDescent="0.3">
      <c r="B156" s="646"/>
      <c r="C156" s="118" t="s">
        <v>399</v>
      </c>
      <c r="D156" s="137">
        <v>43958</v>
      </c>
      <c r="E156" s="131">
        <v>0</v>
      </c>
      <c r="F156" s="138">
        <v>11</v>
      </c>
      <c r="G156" s="137">
        <v>0</v>
      </c>
      <c r="H156" s="131">
        <v>0</v>
      </c>
      <c r="I156" s="138">
        <v>0</v>
      </c>
      <c r="J156" s="183" t="str">
        <f t="shared" si="676"/>
        <v>-</v>
      </c>
      <c r="K156" s="184" t="str">
        <f t="shared" si="676"/>
        <v>-</v>
      </c>
      <c r="L156" s="204" t="str">
        <f t="shared" si="676"/>
        <v>-</v>
      </c>
      <c r="M156" s="209">
        <f t="shared" si="677"/>
        <v>0.15547310751687965</v>
      </c>
      <c r="N156" s="210">
        <f t="shared" si="677"/>
        <v>0</v>
      </c>
      <c r="O156" s="211">
        <f t="shared" si="677"/>
        <v>4.5942638527496666E-5</v>
      </c>
      <c r="P156" s="210">
        <f t="shared" si="677"/>
        <v>0</v>
      </c>
      <c r="Q156" s="210">
        <f t="shared" si="677"/>
        <v>0</v>
      </c>
      <c r="R156" s="211">
        <f t="shared" si="677"/>
        <v>0</v>
      </c>
      <c r="S156" s="183" t="str">
        <f t="shared" si="678"/>
        <v>-</v>
      </c>
      <c r="T156" s="184" t="str">
        <f t="shared" si="678"/>
        <v>-</v>
      </c>
      <c r="U156" s="184" t="str">
        <f t="shared" si="678"/>
        <v>-</v>
      </c>
    </row>
    <row r="157" spans="2:21" ht="17.5" customHeight="1" x14ac:dyDescent="0.3">
      <c r="B157" s="647"/>
      <c r="C157" s="171" t="s">
        <v>349</v>
      </c>
      <c r="D157" s="172">
        <f t="shared" ref="D157:I157" si="679">D153/SUM(D152:D153)</f>
        <v>0.21440773581101871</v>
      </c>
      <c r="E157" s="173">
        <f t="shared" si="679"/>
        <v>0.1801806891801726</v>
      </c>
      <c r="F157" s="174">
        <f t="shared" si="679"/>
        <v>0.24692079906778211</v>
      </c>
      <c r="G157" s="172">
        <f t="shared" si="679"/>
        <v>0.31690146927987145</v>
      </c>
      <c r="H157" s="173">
        <f t="shared" si="679"/>
        <v>0.4224170968012359</v>
      </c>
      <c r="I157" s="174">
        <f t="shared" si="679"/>
        <v>0.29800061283897655</v>
      </c>
      <c r="J157" s="242">
        <f>(D157-G157)*100</f>
        <v>-10.249373346885275</v>
      </c>
      <c r="K157" s="243">
        <f>(E157-H157)*100</f>
        <v>-24.223640762106331</v>
      </c>
      <c r="L157" s="243">
        <f>(F157-I157)*100</f>
        <v>-5.1079813771194447</v>
      </c>
      <c r="M157" s="172">
        <f t="shared" ref="M157:R157" si="680">M153/SUM(M152:M153)</f>
        <v>0.25387910997198249</v>
      </c>
      <c r="N157" s="173">
        <f t="shared" si="680"/>
        <v>0.18135266433062722</v>
      </c>
      <c r="O157" s="174">
        <f t="shared" si="680"/>
        <v>0.2469321437820047</v>
      </c>
      <c r="P157" s="173">
        <f t="shared" si="680"/>
        <v>0.31690146927987145</v>
      </c>
      <c r="Q157" s="173">
        <f t="shared" si="680"/>
        <v>0.4224170968012359</v>
      </c>
      <c r="R157" s="174">
        <f t="shared" si="680"/>
        <v>0.29800061283897655</v>
      </c>
      <c r="S157" s="242">
        <f>(M157-P157)*100</f>
        <v>-6.3022359307888962</v>
      </c>
      <c r="T157" s="243">
        <f>(N157-Q157)*100</f>
        <v>-24.10644324706087</v>
      </c>
      <c r="U157" s="243">
        <f>(O157-R157)*100</f>
        <v>-5.1068469056971848</v>
      </c>
    </row>
    <row r="158" spans="2:21" ht="17.5" customHeight="1" x14ac:dyDescent="0.3">
      <c r="B158" s="648" t="s">
        <v>233</v>
      </c>
      <c r="C158" s="648"/>
      <c r="D158" s="141">
        <f t="shared" ref="D158:I158" si="681">D152+D153</f>
        <v>282737</v>
      </c>
      <c r="E158" s="142">
        <f t="shared" si="681"/>
        <v>371688</v>
      </c>
      <c r="F158" s="143">
        <f t="shared" si="681"/>
        <v>239429</v>
      </c>
      <c r="G158" s="157">
        <f t="shared" si="681"/>
        <v>231542</v>
      </c>
      <c r="H158" s="158">
        <f t="shared" si="681"/>
        <v>334004</v>
      </c>
      <c r="I158" s="159">
        <f t="shared" si="681"/>
        <v>261080</v>
      </c>
      <c r="J158" s="144">
        <f t="shared" ref="J158:L160" si="682">D158/G158-1</f>
        <v>0.22110459441483621</v>
      </c>
      <c r="K158" s="145">
        <f t="shared" si="682"/>
        <v>0.11282499610783114</v>
      </c>
      <c r="L158" s="207">
        <f t="shared" si="682"/>
        <v>-8.2928604259230876E-2</v>
      </c>
      <c r="M158" s="141">
        <f t="shared" ref="M158:R158" si="683">M152+M153</f>
        <v>238779</v>
      </c>
      <c r="N158" s="142">
        <f t="shared" si="683"/>
        <v>369286</v>
      </c>
      <c r="O158" s="143">
        <f t="shared" si="683"/>
        <v>239418</v>
      </c>
      <c r="P158" s="158">
        <f t="shared" si="683"/>
        <v>231542</v>
      </c>
      <c r="Q158" s="158">
        <f t="shared" si="683"/>
        <v>334004</v>
      </c>
      <c r="R158" s="159">
        <f t="shared" si="683"/>
        <v>261080</v>
      </c>
      <c r="S158" s="144">
        <f t="shared" ref="S158:U160" si="684">M158/P158-1</f>
        <v>3.125566851802275E-2</v>
      </c>
      <c r="T158" s="145">
        <f t="shared" si="684"/>
        <v>0.10563346546747954</v>
      </c>
      <c r="U158" s="145">
        <f t="shared" si="684"/>
        <v>-8.2970736938869361E-2</v>
      </c>
    </row>
    <row r="159" spans="2:21" ht="17.5" customHeight="1" x14ac:dyDescent="0.3">
      <c r="B159" s="645">
        <v>45467</v>
      </c>
      <c r="C159" s="127" t="s">
        <v>49</v>
      </c>
      <c r="D159" s="133">
        <v>504663</v>
      </c>
      <c r="E159" s="129">
        <v>1520790</v>
      </c>
      <c r="F159" s="134">
        <v>310398</v>
      </c>
      <c r="G159" s="151">
        <v>313902</v>
      </c>
      <c r="H159" s="152">
        <f>247418+38000</f>
        <v>285418</v>
      </c>
      <c r="I159" s="153">
        <f>186064+48000</f>
        <v>234064</v>
      </c>
      <c r="J159" s="139">
        <f t="shared" si="682"/>
        <v>0.60770877535026857</v>
      </c>
      <c r="K159" s="128">
        <f t="shared" si="682"/>
        <v>4.3282904371833588</v>
      </c>
      <c r="L159" s="201">
        <f t="shared" si="682"/>
        <v>0.32612447877503592</v>
      </c>
      <c r="M159" s="133">
        <f t="shared" ref="M159:R159" si="685">D159-D162-D163</f>
        <v>277750</v>
      </c>
      <c r="N159" s="129">
        <f t="shared" si="685"/>
        <v>340948</v>
      </c>
      <c r="O159" s="134">
        <f t="shared" si="685"/>
        <v>212317</v>
      </c>
      <c r="P159" s="129">
        <f t="shared" si="685"/>
        <v>313902</v>
      </c>
      <c r="Q159" s="129">
        <f t="shared" si="685"/>
        <v>271364</v>
      </c>
      <c r="R159" s="134">
        <f t="shared" si="685"/>
        <v>234064</v>
      </c>
      <c r="S159" s="139">
        <f t="shared" si="684"/>
        <v>-0.11516970264604875</v>
      </c>
      <c r="T159" s="128">
        <f t="shared" si="684"/>
        <v>0.25642310697071102</v>
      </c>
      <c r="U159" s="128">
        <f t="shared" si="684"/>
        <v>-9.2910486020917338E-2</v>
      </c>
    </row>
    <row r="160" spans="2:21" ht="17.5" customHeight="1" x14ac:dyDescent="0.3">
      <c r="B160" s="646"/>
      <c r="C160" s="117" t="s">
        <v>50</v>
      </c>
      <c r="D160" s="135">
        <v>126364</v>
      </c>
      <c r="E160" s="130">
        <v>171700</v>
      </c>
      <c r="F160" s="136">
        <v>113158</v>
      </c>
      <c r="G160" s="154">
        <v>156802</v>
      </c>
      <c r="H160" s="155">
        <f>223370-38000</f>
        <v>185370</v>
      </c>
      <c r="I160" s="156">
        <f>132705-48000</f>
        <v>84705</v>
      </c>
      <c r="J160" s="140">
        <f t="shared" si="682"/>
        <v>-0.19411742197165849</v>
      </c>
      <c r="K160" s="123">
        <f t="shared" si="682"/>
        <v>-7.37444030857205E-2</v>
      </c>
      <c r="L160" s="202">
        <f t="shared" si="682"/>
        <v>0.33590697125317281</v>
      </c>
      <c r="M160" s="135">
        <f t="shared" ref="M160:R160" si="686">D160</f>
        <v>126364</v>
      </c>
      <c r="N160" s="130">
        <f t="shared" si="686"/>
        <v>171700</v>
      </c>
      <c r="O160" s="136">
        <f t="shared" si="686"/>
        <v>113158</v>
      </c>
      <c r="P160" s="155">
        <f t="shared" si="686"/>
        <v>156802</v>
      </c>
      <c r="Q160" s="155">
        <f t="shared" si="686"/>
        <v>185370</v>
      </c>
      <c r="R160" s="156">
        <f t="shared" si="686"/>
        <v>84705</v>
      </c>
      <c r="S160" s="140">
        <f t="shared" si="684"/>
        <v>-0.19411742197165849</v>
      </c>
      <c r="T160" s="123">
        <f t="shared" si="684"/>
        <v>-7.37444030857205E-2</v>
      </c>
      <c r="U160" s="123">
        <f t="shared" si="684"/>
        <v>0.33590697125317281</v>
      </c>
    </row>
    <row r="161" spans="2:21" ht="17.5" customHeight="1" x14ac:dyDescent="0.3">
      <c r="B161" s="646"/>
      <c r="C161" s="171" t="s">
        <v>347</v>
      </c>
      <c r="D161" s="172">
        <f t="shared" ref="D161:I161" si="687">D159/SUM(D159:D160)</f>
        <v>0.7997486636863399</v>
      </c>
      <c r="E161" s="173">
        <f t="shared" si="687"/>
        <v>0.89855183782474346</v>
      </c>
      <c r="F161" s="174">
        <f t="shared" si="687"/>
        <v>0.73283816071546615</v>
      </c>
      <c r="G161" s="172">
        <f t="shared" si="687"/>
        <v>0.66687769808627073</v>
      </c>
      <c r="H161" s="173">
        <f t="shared" si="687"/>
        <v>0.60625589437283878</v>
      </c>
      <c r="I161" s="174">
        <f t="shared" si="687"/>
        <v>0.73427466284362652</v>
      </c>
      <c r="J161" s="242">
        <f>(D161-G161)*100</f>
        <v>13.287096560006917</v>
      </c>
      <c r="K161" s="243">
        <f>(E161-H161)*100</f>
        <v>29.229594345190467</v>
      </c>
      <c r="L161" s="243">
        <f>(F161-I161)*100</f>
        <v>-0.14365021281603774</v>
      </c>
      <c r="M161" s="172">
        <f t="shared" ref="M161:R161" si="688">M159/SUM(M159:M160)</f>
        <v>0.6873060572016807</v>
      </c>
      <c r="N161" s="173">
        <f t="shared" si="688"/>
        <v>0.6650723303319237</v>
      </c>
      <c r="O161" s="174">
        <f t="shared" si="688"/>
        <v>0.65232967201782011</v>
      </c>
      <c r="P161" s="173">
        <f t="shared" si="688"/>
        <v>0.66687769808627073</v>
      </c>
      <c r="Q161" s="173">
        <f t="shared" si="688"/>
        <v>0.59414013408241995</v>
      </c>
      <c r="R161" s="174">
        <f t="shared" si="688"/>
        <v>0.73427466284362652</v>
      </c>
      <c r="S161" s="242">
        <f>(M161-P161)*100</f>
        <v>2.0428359115409966</v>
      </c>
      <c r="T161" s="243">
        <f>(N161-Q161)*100</f>
        <v>7.0932196249503754</v>
      </c>
      <c r="U161" s="243">
        <f>(O161-R161)*100</f>
        <v>-8.1944990825806414</v>
      </c>
    </row>
    <row r="162" spans="2:21" ht="17.5" customHeight="1" x14ac:dyDescent="0.3">
      <c r="B162" s="646"/>
      <c r="C162" s="118" t="s">
        <v>348</v>
      </c>
      <c r="D162" s="137">
        <v>0</v>
      </c>
      <c r="E162" s="131">
        <v>1000428</v>
      </c>
      <c r="F162" s="138">
        <v>0</v>
      </c>
      <c r="G162" s="137">
        <v>0</v>
      </c>
      <c r="H162" s="131">
        <v>7019</v>
      </c>
      <c r="I162" s="138">
        <v>0</v>
      </c>
      <c r="J162" s="183" t="str">
        <f t="shared" ref="J162:L163" si="689">IFERROR(D162/G162-1,"-")</f>
        <v>-</v>
      </c>
      <c r="K162" s="184">
        <f t="shared" si="689"/>
        <v>141.53141473144322</v>
      </c>
      <c r="L162" s="204" t="str">
        <f t="shared" si="689"/>
        <v>-</v>
      </c>
      <c r="M162" s="209">
        <f t="shared" ref="M162:R163" si="690">D162/D$165</f>
        <v>0</v>
      </c>
      <c r="N162" s="210">
        <f t="shared" si="690"/>
        <v>0.59109832258979378</v>
      </c>
      <c r="O162" s="211">
        <f t="shared" si="690"/>
        <v>0</v>
      </c>
      <c r="P162" s="210">
        <f t="shared" si="690"/>
        <v>0</v>
      </c>
      <c r="Q162" s="210">
        <f t="shared" si="690"/>
        <v>1.4909046109926336E-2</v>
      </c>
      <c r="R162" s="211">
        <f t="shared" si="690"/>
        <v>0</v>
      </c>
      <c r="S162" s="183" t="str">
        <f t="shared" ref="S162:U163" si="691">IFERROR(M162/P162-1,"-")</f>
        <v>-</v>
      </c>
      <c r="T162" s="184">
        <f t="shared" si="691"/>
        <v>38.646957842342758</v>
      </c>
      <c r="U162" s="184" t="str">
        <f t="shared" si="691"/>
        <v>-</v>
      </c>
    </row>
    <row r="163" spans="2:21" ht="17.5" customHeight="1" x14ac:dyDescent="0.3">
      <c r="B163" s="646"/>
      <c r="C163" s="118" t="s">
        <v>399</v>
      </c>
      <c r="D163" s="137">
        <v>226913</v>
      </c>
      <c r="E163" s="131">
        <v>179414</v>
      </c>
      <c r="F163" s="138">
        <v>98081</v>
      </c>
      <c r="G163" s="137">
        <v>0</v>
      </c>
      <c r="H163" s="131">
        <v>7035</v>
      </c>
      <c r="I163" s="138">
        <v>0</v>
      </c>
      <c r="J163" s="183" t="str">
        <f t="shared" si="689"/>
        <v>-</v>
      </c>
      <c r="K163" s="184">
        <f t="shared" si="689"/>
        <v>24.503056147832268</v>
      </c>
      <c r="L163" s="204" t="str">
        <f t="shared" si="689"/>
        <v>-</v>
      </c>
      <c r="M163" s="209">
        <f t="shared" si="690"/>
        <v>0.35959317113213857</v>
      </c>
      <c r="N163" s="210">
        <f t="shared" si="690"/>
        <v>0.10600594390513386</v>
      </c>
      <c r="O163" s="211">
        <f t="shared" si="690"/>
        <v>0.23156560171500346</v>
      </c>
      <c r="P163" s="210">
        <f t="shared" si="690"/>
        <v>0</v>
      </c>
      <c r="Q163" s="210">
        <f t="shared" si="690"/>
        <v>1.4943031683050546E-2</v>
      </c>
      <c r="R163" s="211">
        <f t="shared" si="690"/>
        <v>0</v>
      </c>
      <c r="S163" s="183" t="str">
        <f t="shared" si="691"/>
        <v>-</v>
      </c>
      <c r="T163" s="184">
        <f t="shared" si="691"/>
        <v>6.0940051626453675</v>
      </c>
      <c r="U163" s="184" t="str">
        <f t="shared" si="691"/>
        <v>-</v>
      </c>
    </row>
    <row r="164" spans="2:21" ht="17.5" customHeight="1" x14ac:dyDescent="0.3">
      <c r="B164" s="647"/>
      <c r="C164" s="171" t="s">
        <v>349</v>
      </c>
      <c r="D164" s="172">
        <f t="shared" ref="D164:I164" si="692">D160/SUM(D159:D160)</f>
        <v>0.2002513363136601</v>
      </c>
      <c r="E164" s="173">
        <f t="shared" si="692"/>
        <v>0.10144816217525658</v>
      </c>
      <c r="F164" s="174">
        <f t="shared" si="692"/>
        <v>0.2671618392845338</v>
      </c>
      <c r="G164" s="172">
        <f t="shared" si="692"/>
        <v>0.33312230191372921</v>
      </c>
      <c r="H164" s="173">
        <f t="shared" si="692"/>
        <v>0.39374410562716128</v>
      </c>
      <c r="I164" s="174">
        <f t="shared" si="692"/>
        <v>0.26572533715637342</v>
      </c>
      <c r="J164" s="242">
        <f>(D164-G164)*100</f>
        <v>-13.287096560006912</v>
      </c>
      <c r="K164" s="243">
        <f>(E164-H164)*100</f>
        <v>-29.229594345190467</v>
      </c>
      <c r="L164" s="243">
        <f>(F164-I164)*100</f>
        <v>0.14365021281603774</v>
      </c>
      <c r="M164" s="172">
        <f t="shared" ref="M164:R164" si="693">M160/SUM(M159:M160)</f>
        <v>0.3126939427983193</v>
      </c>
      <c r="N164" s="173">
        <f t="shared" si="693"/>
        <v>0.33492766966807636</v>
      </c>
      <c r="O164" s="174">
        <f t="shared" si="693"/>
        <v>0.34767032798217989</v>
      </c>
      <c r="P164" s="173">
        <f t="shared" si="693"/>
        <v>0.33312230191372921</v>
      </c>
      <c r="Q164" s="173">
        <f t="shared" si="693"/>
        <v>0.40585986591758005</v>
      </c>
      <c r="R164" s="174">
        <f t="shared" si="693"/>
        <v>0.26572533715637342</v>
      </c>
      <c r="S164" s="242">
        <f>(M164-P164)*100</f>
        <v>-2.0428359115409913</v>
      </c>
      <c r="T164" s="243">
        <f>(N164-Q164)*100</f>
        <v>-7.0932196249503701</v>
      </c>
      <c r="U164" s="243">
        <f>(O164-R164)*100</f>
        <v>8.1944990825806467</v>
      </c>
    </row>
    <row r="165" spans="2:21" ht="17.5" customHeight="1" x14ac:dyDescent="0.3">
      <c r="B165" s="648" t="s">
        <v>233</v>
      </c>
      <c r="C165" s="648"/>
      <c r="D165" s="141">
        <f t="shared" ref="D165:I165" si="694">D159+D160</f>
        <v>631027</v>
      </c>
      <c r="E165" s="142">
        <f t="shared" si="694"/>
        <v>1692490</v>
      </c>
      <c r="F165" s="143">
        <f t="shared" si="694"/>
        <v>423556</v>
      </c>
      <c r="G165" s="157">
        <f t="shared" si="694"/>
        <v>470704</v>
      </c>
      <c r="H165" s="158">
        <f t="shared" si="694"/>
        <v>470788</v>
      </c>
      <c r="I165" s="159">
        <f t="shared" si="694"/>
        <v>318769</v>
      </c>
      <c r="J165" s="144">
        <f t="shared" ref="J165:L167" si="695">D165/G165-1</f>
        <v>0.34060258676365618</v>
      </c>
      <c r="K165" s="145">
        <f t="shared" si="695"/>
        <v>2.5950151660620069</v>
      </c>
      <c r="L165" s="207">
        <f t="shared" si="695"/>
        <v>0.32872393488701857</v>
      </c>
      <c r="M165" s="141">
        <f t="shared" ref="M165:R165" si="696">M159+M160</f>
        <v>404114</v>
      </c>
      <c r="N165" s="142">
        <f t="shared" si="696"/>
        <v>512648</v>
      </c>
      <c r="O165" s="143">
        <f t="shared" si="696"/>
        <v>325475</v>
      </c>
      <c r="P165" s="158">
        <f t="shared" si="696"/>
        <v>470704</v>
      </c>
      <c r="Q165" s="158">
        <f t="shared" si="696"/>
        <v>456734</v>
      </c>
      <c r="R165" s="159">
        <f t="shared" si="696"/>
        <v>318769</v>
      </c>
      <c r="S165" s="144">
        <f t="shared" ref="S165:U167" si="697">M165/P165-1</f>
        <v>-0.14146894863863491</v>
      </c>
      <c r="T165" s="145">
        <f t="shared" si="697"/>
        <v>0.12242136560886641</v>
      </c>
      <c r="U165" s="145">
        <f t="shared" si="697"/>
        <v>2.1037177391779016E-2</v>
      </c>
    </row>
    <row r="166" spans="2:21" ht="17.5" customHeight="1" x14ac:dyDescent="0.3">
      <c r="B166" s="645">
        <v>45436</v>
      </c>
      <c r="C166" s="127" t="s">
        <v>49</v>
      </c>
      <c r="D166" s="133">
        <v>432046</v>
      </c>
      <c r="E166" s="129">
        <v>1258520</v>
      </c>
      <c r="F166" s="134">
        <v>162284</v>
      </c>
      <c r="G166" s="151">
        <v>292884</v>
      </c>
      <c r="H166" s="152">
        <f>1550183+33000</f>
        <v>1583183</v>
      </c>
      <c r="I166" s="153">
        <f>193403+41000</f>
        <v>234403</v>
      </c>
      <c r="J166" s="139">
        <f t="shared" si="695"/>
        <v>0.47514374291528383</v>
      </c>
      <c r="K166" s="128">
        <f t="shared" si="695"/>
        <v>-0.20506978662605646</v>
      </c>
      <c r="L166" s="201">
        <f t="shared" si="695"/>
        <v>-0.30767097690729217</v>
      </c>
      <c r="M166" s="133">
        <f t="shared" ref="M166:R166" si="698">D166-D169-D170</f>
        <v>313633</v>
      </c>
      <c r="N166" s="129">
        <f t="shared" si="698"/>
        <v>270625</v>
      </c>
      <c r="O166" s="134">
        <f t="shared" si="698"/>
        <v>162284</v>
      </c>
      <c r="P166" s="129">
        <f t="shared" si="698"/>
        <v>292884</v>
      </c>
      <c r="Q166" s="129">
        <f t="shared" si="698"/>
        <v>265964</v>
      </c>
      <c r="R166" s="134">
        <f t="shared" si="698"/>
        <v>234403</v>
      </c>
      <c r="S166" s="139">
        <f t="shared" si="697"/>
        <v>7.0843747012469205E-2</v>
      </c>
      <c r="T166" s="128">
        <f t="shared" si="697"/>
        <v>1.7524928185769451E-2</v>
      </c>
      <c r="U166" s="128">
        <f t="shared" si="697"/>
        <v>-0.30767097690729217</v>
      </c>
    </row>
    <row r="167" spans="2:21" ht="17.5" customHeight="1" x14ac:dyDescent="0.3">
      <c r="B167" s="646"/>
      <c r="C167" s="117" t="s">
        <v>50</v>
      </c>
      <c r="D167" s="135">
        <v>241898</v>
      </c>
      <c r="E167" s="130">
        <v>122781</v>
      </c>
      <c r="F167" s="136">
        <v>55791</v>
      </c>
      <c r="G167" s="154">
        <v>141781</v>
      </c>
      <c r="H167" s="155">
        <f>261079-33000</f>
        <v>228079</v>
      </c>
      <c r="I167" s="156">
        <f>178648-41000</f>
        <v>137648</v>
      </c>
      <c r="J167" s="140">
        <f t="shared" si="695"/>
        <v>0.70613834011609455</v>
      </c>
      <c r="K167" s="123">
        <f t="shared" si="695"/>
        <v>-0.46167336756123978</v>
      </c>
      <c r="L167" s="202">
        <f t="shared" si="695"/>
        <v>-0.59468354062536322</v>
      </c>
      <c r="M167" s="135">
        <f t="shared" ref="M167:R167" si="699">D167</f>
        <v>241898</v>
      </c>
      <c r="N167" s="130">
        <f t="shared" si="699"/>
        <v>122781</v>
      </c>
      <c r="O167" s="136">
        <f t="shared" si="699"/>
        <v>55791</v>
      </c>
      <c r="P167" s="155">
        <f t="shared" si="699"/>
        <v>141781</v>
      </c>
      <c r="Q167" s="155">
        <f t="shared" si="699"/>
        <v>228079</v>
      </c>
      <c r="R167" s="156">
        <f t="shared" si="699"/>
        <v>137648</v>
      </c>
      <c r="S167" s="140">
        <f t="shared" si="697"/>
        <v>0.70613834011609455</v>
      </c>
      <c r="T167" s="123">
        <f t="shared" si="697"/>
        <v>-0.46167336756123978</v>
      </c>
      <c r="U167" s="123">
        <f t="shared" si="697"/>
        <v>-0.59468354062536322</v>
      </c>
    </row>
    <row r="168" spans="2:21" ht="17.5" customHeight="1" x14ac:dyDescent="0.3">
      <c r="B168" s="646"/>
      <c r="C168" s="171" t="s">
        <v>347</v>
      </c>
      <c r="D168" s="172">
        <f t="shared" ref="D168:I168" si="700">D166/SUM(D166:D167)</f>
        <v>0.64107106821931792</v>
      </c>
      <c r="E168" s="173">
        <f t="shared" si="700"/>
        <v>0.91111206029677816</v>
      </c>
      <c r="F168" s="174">
        <f t="shared" si="700"/>
        <v>0.74416599793648974</v>
      </c>
      <c r="G168" s="172">
        <f t="shared" si="700"/>
        <v>0.67381546708384621</v>
      </c>
      <c r="H168" s="173">
        <f t="shared" si="700"/>
        <v>0.87407730079911139</v>
      </c>
      <c r="I168" s="174">
        <f t="shared" si="700"/>
        <v>0.63002921642462995</v>
      </c>
      <c r="J168" s="175">
        <f>D168-G168</f>
        <v>-3.274439886452829E-2</v>
      </c>
      <c r="K168" s="176">
        <f>E168-H168</f>
        <v>3.7034759497666769E-2</v>
      </c>
      <c r="L168" s="203">
        <f>F168-I168</f>
        <v>0.1141367815118598</v>
      </c>
      <c r="M168" s="172">
        <f t="shared" ref="M168:R168" si="701">M166/SUM(M166:M167)</f>
        <v>0.56456435374443548</v>
      </c>
      <c r="N168" s="173">
        <f t="shared" si="701"/>
        <v>0.68790257393125676</v>
      </c>
      <c r="O168" s="174">
        <f t="shared" si="701"/>
        <v>0.74416599793648974</v>
      </c>
      <c r="P168" s="173">
        <f t="shared" si="701"/>
        <v>0.67381546708384621</v>
      </c>
      <c r="Q168" s="173">
        <f t="shared" si="701"/>
        <v>0.53834180425590483</v>
      </c>
      <c r="R168" s="174">
        <f t="shared" si="701"/>
        <v>0.63002921642462995</v>
      </c>
      <c r="S168" s="175">
        <f>M168-P168</f>
        <v>-0.10925111333941073</v>
      </c>
      <c r="T168" s="176">
        <f>N168-Q168</f>
        <v>0.14956076967535192</v>
      </c>
      <c r="U168" s="176">
        <f>O168-R168</f>
        <v>0.1141367815118598</v>
      </c>
    </row>
    <row r="169" spans="2:21" ht="17.5" customHeight="1" x14ac:dyDescent="0.3">
      <c r="B169" s="646"/>
      <c r="C169" s="179" t="s">
        <v>348</v>
      </c>
      <c r="D169" s="180">
        <v>0</v>
      </c>
      <c r="E169" s="181">
        <v>897980</v>
      </c>
      <c r="F169" s="182">
        <v>0</v>
      </c>
      <c r="G169" s="180">
        <v>0</v>
      </c>
      <c r="H169" s="181">
        <v>1317219</v>
      </c>
      <c r="I169" s="182">
        <v>0</v>
      </c>
      <c r="J169" s="183" t="str">
        <f t="shared" ref="J169:L170" si="702">IFERROR(D169/G169-1,"-")</f>
        <v>-</v>
      </c>
      <c r="K169" s="184">
        <f t="shared" si="702"/>
        <v>-0.3182758523829371</v>
      </c>
      <c r="L169" s="204" t="str">
        <f t="shared" si="702"/>
        <v>-</v>
      </c>
      <c r="M169" s="209">
        <f>D169/D$172</f>
        <v>0</v>
      </c>
      <c r="N169" s="210">
        <f t="shared" ref="N169:R170" si="703">E169/E$172</f>
        <v>0.65009726337706264</v>
      </c>
      <c r="O169" s="211">
        <f t="shared" si="703"/>
        <v>0</v>
      </c>
      <c r="P169" s="210">
        <f t="shared" si="703"/>
        <v>0</v>
      </c>
      <c r="Q169" s="210">
        <f t="shared" si="703"/>
        <v>0.72723824604060594</v>
      </c>
      <c r="R169" s="211">
        <f t="shared" si="703"/>
        <v>0</v>
      </c>
      <c r="S169" s="183" t="str">
        <f t="shared" ref="S169:U170" si="704">IFERROR(M169/P169-1,"-")</f>
        <v>-</v>
      </c>
      <c r="T169" s="184">
        <f t="shared" si="704"/>
        <v>-0.10607388030474418</v>
      </c>
      <c r="U169" s="184" t="str">
        <f t="shared" si="704"/>
        <v>-</v>
      </c>
    </row>
    <row r="170" spans="2:21" ht="17.5" customHeight="1" x14ac:dyDescent="0.3">
      <c r="B170" s="646"/>
      <c r="C170" s="118" t="s">
        <v>399</v>
      </c>
      <c r="D170" s="180">
        <v>118413</v>
      </c>
      <c r="E170" s="181">
        <v>89915</v>
      </c>
      <c r="F170" s="182">
        <v>0</v>
      </c>
      <c r="G170" s="180">
        <v>0</v>
      </c>
      <c r="H170" s="181">
        <v>0</v>
      </c>
      <c r="I170" s="182">
        <v>0</v>
      </c>
      <c r="J170" s="183" t="str">
        <f t="shared" si="702"/>
        <v>-</v>
      </c>
      <c r="K170" s="184" t="str">
        <f t="shared" si="702"/>
        <v>-</v>
      </c>
      <c r="L170" s="204" t="str">
        <f t="shared" si="702"/>
        <v>-</v>
      </c>
      <c r="M170" s="209">
        <f>D170/D$172</f>
        <v>0.17570154196787863</v>
      </c>
      <c r="N170" s="210">
        <f t="shared" si="703"/>
        <v>6.5094429092572875E-2</v>
      </c>
      <c r="O170" s="211">
        <f t="shared" si="703"/>
        <v>0</v>
      </c>
      <c r="P170" s="210">
        <f t="shared" si="703"/>
        <v>0</v>
      </c>
      <c r="Q170" s="210">
        <f t="shared" si="703"/>
        <v>0</v>
      </c>
      <c r="R170" s="211">
        <f t="shared" si="703"/>
        <v>0</v>
      </c>
      <c r="S170" s="183" t="str">
        <f t="shared" si="704"/>
        <v>-</v>
      </c>
      <c r="T170" s="184" t="str">
        <f t="shared" si="704"/>
        <v>-</v>
      </c>
      <c r="U170" s="184" t="str">
        <f t="shared" si="704"/>
        <v>-</v>
      </c>
    </row>
    <row r="171" spans="2:21" ht="17.5" customHeight="1" x14ac:dyDescent="0.3">
      <c r="B171" s="647"/>
      <c r="C171" s="171" t="s">
        <v>349</v>
      </c>
      <c r="D171" s="172">
        <f t="shared" ref="D171:I171" si="705">D167/SUM(D166:D167)</f>
        <v>0.35892893178068208</v>
      </c>
      <c r="E171" s="173">
        <f t="shared" si="705"/>
        <v>8.8887939703221813E-2</v>
      </c>
      <c r="F171" s="174">
        <f t="shared" si="705"/>
        <v>0.25583400206351026</v>
      </c>
      <c r="G171" s="172">
        <f t="shared" si="705"/>
        <v>0.32618453291615385</v>
      </c>
      <c r="H171" s="173">
        <f t="shared" si="705"/>
        <v>0.12592269920088867</v>
      </c>
      <c r="I171" s="174">
        <f t="shared" si="705"/>
        <v>0.36997078357537005</v>
      </c>
      <c r="J171" s="177">
        <f>D171-G171</f>
        <v>3.2744398864528235E-2</v>
      </c>
      <c r="K171" s="178">
        <f>E171-H171</f>
        <v>-3.7034759497666853E-2</v>
      </c>
      <c r="L171" s="205">
        <f>F171-I171</f>
        <v>-0.1141367815118598</v>
      </c>
      <c r="M171" s="172">
        <f t="shared" ref="M171:R171" si="706">M167/SUM(M166:M167)</f>
        <v>0.43543564625556452</v>
      </c>
      <c r="N171" s="173">
        <f t="shared" si="706"/>
        <v>0.31209742606874324</v>
      </c>
      <c r="O171" s="174">
        <f t="shared" si="706"/>
        <v>0.25583400206351026</v>
      </c>
      <c r="P171" s="173">
        <f t="shared" si="706"/>
        <v>0.32618453291615385</v>
      </c>
      <c r="Q171" s="173">
        <f t="shared" si="706"/>
        <v>0.46165819574409517</v>
      </c>
      <c r="R171" s="174">
        <f t="shared" si="706"/>
        <v>0.36997078357537005</v>
      </c>
      <c r="S171" s="177">
        <f>M171-P171</f>
        <v>0.10925111333941068</v>
      </c>
      <c r="T171" s="178">
        <f>N171-Q171</f>
        <v>-0.14956076967535192</v>
      </c>
      <c r="U171" s="178">
        <f>O171-R171</f>
        <v>-0.1141367815118598</v>
      </c>
    </row>
    <row r="172" spans="2:21" ht="17.5" customHeight="1" x14ac:dyDescent="0.3">
      <c r="B172" s="648" t="s">
        <v>233</v>
      </c>
      <c r="C172" s="648"/>
      <c r="D172" s="141">
        <f t="shared" ref="D172:I172" si="707">D166+D167</f>
        <v>673944</v>
      </c>
      <c r="E172" s="142">
        <f t="shared" si="707"/>
        <v>1381301</v>
      </c>
      <c r="F172" s="143">
        <f t="shared" si="707"/>
        <v>218075</v>
      </c>
      <c r="G172" s="157">
        <f t="shared" si="707"/>
        <v>434665</v>
      </c>
      <c r="H172" s="158">
        <f t="shared" si="707"/>
        <v>1811262</v>
      </c>
      <c r="I172" s="159">
        <f t="shared" si="707"/>
        <v>372051</v>
      </c>
      <c r="J172" s="144">
        <f t="shared" ref="J172:L174" si="708">D172/G172-1</f>
        <v>0.5504906077093854</v>
      </c>
      <c r="K172" s="145">
        <f t="shared" si="708"/>
        <v>-0.23738200216202843</v>
      </c>
      <c r="L172" s="207">
        <f t="shared" si="708"/>
        <v>-0.41385724000204271</v>
      </c>
      <c r="M172" s="141">
        <f t="shared" ref="M172:R172" si="709">M166+M167</f>
        <v>555531</v>
      </c>
      <c r="N172" s="142">
        <f t="shared" si="709"/>
        <v>393406</v>
      </c>
      <c r="O172" s="148">
        <f t="shared" si="709"/>
        <v>218075</v>
      </c>
      <c r="P172" s="158">
        <f t="shared" si="709"/>
        <v>434665</v>
      </c>
      <c r="Q172" s="158">
        <f t="shared" si="709"/>
        <v>494043</v>
      </c>
      <c r="R172" s="159">
        <f t="shared" si="709"/>
        <v>372051</v>
      </c>
      <c r="S172" s="144">
        <f t="shared" ref="S172:U174" si="710">M172/P172-1</f>
        <v>0.2780670171281332</v>
      </c>
      <c r="T172" s="145">
        <f t="shared" si="710"/>
        <v>-0.20370089243244005</v>
      </c>
      <c r="U172" s="145">
        <f t="shared" si="710"/>
        <v>-0.41385724000204271</v>
      </c>
    </row>
    <row r="173" spans="2:21" ht="17.5" customHeight="1" x14ac:dyDescent="0.3">
      <c r="B173" s="645">
        <v>45406</v>
      </c>
      <c r="C173" s="127" t="s">
        <v>49</v>
      </c>
      <c r="D173" s="133">
        <v>153058</v>
      </c>
      <c r="E173" s="129">
        <v>211540</v>
      </c>
      <c r="F173" s="134">
        <v>95957</v>
      </c>
      <c r="G173" s="151">
        <v>127813</v>
      </c>
      <c r="H173" s="152">
        <v>518985</v>
      </c>
      <c r="I173" s="153">
        <v>96421</v>
      </c>
      <c r="J173" s="139">
        <f t="shared" si="708"/>
        <v>0.19751511974525293</v>
      </c>
      <c r="K173" s="128">
        <f t="shared" si="708"/>
        <v>-0.59239669739973211</v>
      </c>
      <c r="L173" s="201">
        <f t="shared" si="708"/>
        <v>-4.8122297009987047E-3</v>
      </c>
      <c r="M173" s="133">
        <f t="shared" ref="M173:R173" si="711">D173-D176</f>
        <v>153058</v>
      </c>
      <c r="N173" s="129">
        <f t="shared" si="711"/>
        <v>211540</v>
      </c>
      <c r="O173" s="134">
        <f t="shared" si="711"/>
        <v>95957</v>
      </c>
      <c r="P173" s="129">
        <f t="shared" si="711"/>
        <v>127813</v>
      </c>
      <c r="Q173" s="129">
        <f t="shared" si="711"/>
        <v>219610</v>
      </c>
      <c r="R173" s="134">
        <f t="shared" si="711"/>
        <v>96421</v>
      </c>
      <c r="S173" s="139">
        <f t="shared" si="710"/>
        <v>0.19751511974525293</v>
      </c>
      <c r="T173" s="128">
        <f t="shared" si="710"/>
        <v>-3.6746960520923411E-2</v>
      </c>
      <c r="U173" s="128">
        <f t="shared" si="710"/>
        <v>-4.8122297009987047E-3</v>
      </c>
    </row>
    <row r="174" spans="2:21" ht="17.5" customHeight="1" x14ac:dyDescent="0.3">
      <c r="B174" s="646"/>
      <c r="C174" s="117" t="s">
        <v>50</v>
      </c>
      <c r="D174" s="135">
        <v>31202</v>
      </c>
      <c r="E174" s="130">
        <v>93607</v>
      </c>
      <c r="F174" s="136">
        <v>43192</v>
      </c>
      <c r="G174" s="154">
        <v>301843</v>
      </c>
      <c r="H174" s="155">
        <v>294188</v>
      </c>
      <c r="I174" s="156">
        <v>210238</v>
      </c>
      <c r="J174" s="140">
        <f t="shared" si="708"/>
        <v>-0.89662837965432363</v>
      </c>
      <c r="K174" s="123">
        <f t="shared" si="708"/>
        <v>-0.68181231049532953</v>
      </c>
      <c r="L174" s="202">
        <f t="shared" si="708"/>
        <v>-0.79455664532577364</v>
      </c>
      <c r="M174" s="135">
        <f t="shared" ref="M174:R174" si="712">D174</f>
        <v>31202</v>
      </c>
      <c r="N174" s="130">
        <f t="shared" si="712"/>
        <v>93607</v>
      </c>
      <c r="O174" s="136">
        <f t="shared" si="712"/>
        <v>43192</v>
      </c>
      <c r="P174" s="155">
        <f t="shared" si="712"/>
        <v>301843</v>
      </c>
      <c r="Q174" s="155">
        <f t="shared" si="712"/>
        <v>294188</v>
      </c>
      <c r="R174" s="156">
        <f t="shared" si="712"/>
        <v>210238</v>
      </c>
      <c r="S174" s="140">
        <f t="shared" si="710"/>
        <v>-0.89662837965432363</v>
      </c>
      <c r="T174" s="123">
        <f t="shared" si="710"/>
        <v>-0.68181231049532953</v>
      </c>
      <c r="U174" s="123">
        <f t="shared" si="710"/>
        <v>-0.79455664532577364</v>
      </c>
    </row>
    <row r="175" spans="2:21" ht="17.5" customHeight="1" x14ac:dyDescent="0.3">
      <c r="B175" s="646"/>
      <c r="C175" s="171" t="s">
        <v>347</v>
      </c>
      <c r="D175" s="172">
        <f t="shared" ref="D175:I175" si="713">D173/SUM(D173:D174)</f>
        <v>0.83066319331379568</v>
      </c>
      <c r="E175" s="173">
        <f t="shared" si="713"/>
        <v>0.69323965170884849</v>
      </c>
      <c r="F175" s="174">
        <f t="shared" si="713"/>
        <v>0.68959891914422666</v>
      </c>
      <c r="G175" s="172">
        <f t="shared" si="713"/>
        <v>0.29747751689723873</v>
      </c>
      <c r="H175" s="173">
        <f t="shared" si="713"/>
        <v>0.63822212493528441</v>
      </c>
      <c r="I175" s="174">
        <f t="shared" si="713"/>
        <v>0.31442416495194986</v>
      </c>
      <c r="J175" s="175">
        <f>D175-G175</f>
        <v>0.53318567641655701</v>
      </c>
      <c r="K175" s="176">
        <f>E175-H175</f>
        <v>5.5017526773564085E-2</v>
      </c>
      <c r="L175" s="203">
        <f>F175-I175</f>
        <v>0.3751747541922768</v>
      </c>
      <c r="M175" s="172">
        <f t="shared" ref="M175:R175" si="714">M173/SUM(M173:M174)</f>
        <v>0.83066319331379568</v>
      </c>
      <c r="N175" s="173">
        <f t="shared" si="714"/>
        <v>0.69323965170884849</v>
      </c>
      <c r="O175" s="174">
        <f t="shared" si="714"/>
        <v>0.68959891914422666</v>
      </c>
      <c r="P175" s="173">
        <f t="shared" si="714"/>
        <v>0.29747751689723873</v>
      </c>
      <c r="Q175" s="173">
        <f t="shared" si="714"/>
        <v>0.42742478561613706</v>
      </c>
      <c r="R175" s="174">
        <f t="shared" si="714"/>
        <v>0.31442416495194986</v>
      </c>
      <c r="S175" s="175">
        <f>M175-P175</f>
        <v>0.53318567641655701</v>
      </c>
      <c r="T175" s="176">
        <f>N175-Q175</f>
        <v>0.26581486609271143</v>
      </c>
      <c r="U175" s="176">
        <f>O175-R175</f>
        <v>0.3751747541922768</v>
      </c>
    </row>
    <row r="176" spans="2:21" ht="17.5" customHeight="1" x14ac:dyDescent="0.3">
      <c r="B176" s="646"/>
      <c r="C176" s="179" t="s">
        <v>348</v>
      </c>
      <c r="D176" s="180">
        <v>0</v>
      </c>
      <c r="E176" s="181">
        <v>0</v>
      </c>
      <c r="F176" s="182">
        <v>0</v>
      </c>
      <c r="G176" s="180">
        <v>0</v>
      </c>
      <c r="H176" s="181">
        <v>299375</v>
      </c>
      <c r="I176" s="182">
        <v>0</v>
      </c>
      <c r="J176" s="183" t="str">
        <f t="shared" ref="J176:L177" si="715">IFERROR(D176/G176-1,"-")</f>
        <v>-</v>
      </c>
      <c r="K176" s="184">
        <f t="shared" si="715"/>
        <v>-1</v>
      </c>
      <c r="L176" s="204" t="str">
        <f t="shared" si="715"/>
        <v>-</v>
      </c>
      <c r="M176" s="209">
        <f t="shared" ref="M176:R177" si="716">D176/D$179</f>
        <v>0</v>
      </c>
      <c r="N176" s="210">
        <f t="shared" si="716"/>
        <v>0</v>
      </c>
      <c r="O176" s="211">
        <f t="shared" si="716"/>
        <v>0</v>
      </c>
      <c r="P176" s="210">
        <f t="shared" si="716"/>
        <v>0</v>
      </c>
      <c r="Q176" s="210">
        <f t="shared" si="716"/>
        <v>0.36815659152480468</v>
      </c>
      <c r="R176" s="211">
        <f t="shared" si="716"/>
        <v>0</v>
      </c>
      <c r="S176" s="183" t="str">
        <f t="shared" ref="S176:U177" si="717">IFERROR(M176/P176-1,"-")</f>
        <v>-</v>
      </c>
      <c r="T176" s="184">
        <f t="shared" si="717"/>
        <v>-1</v>
      </c>
      <c r="U176" s="184" t="str">
        <f t="shared" si="717"/>
        <v>-</v>
      </c>
    </row>
    <row r="177" spans="2:21" ht="17.5" customHeight="1" x14ac:dyDescent="0.3">
      <c r="B177" s="646"/>
      <c r="C177" s="118" t="s">
        <v>399</v>
      </c>
      <c r="D177" s="180">
        <v>0</v>
      </c>
      <c r="E177" s="181">
        <v>0</v>
      </c>
      <c r="F177" s="182">
        <v>0</v>
      </c>
      <c r="G177" s="180">
        <v>0</v>
      </c>
      <c r="H177" s="181">
        <v>0</v>
      </c>
      <c r="I177" s="182">
        <v>0</v>
      </c>
      <c r="J177" s="183" t="str">
        <f t="shared" si="715"/>
        <v>-</v>
      </c>
      <c r="K177" s="184" t="str">
        <f t="shared" si="715"/>
        <v>-</v>
      </c>
      <c r="L177" s="204" t="str">
        <f t="shared" si="715"/>
        <v>-</v>
      </c>
      <c r="M177" s="209">
        <f t="shared" si="716"/>
        <v>0</v>
      </c>
      <c r="N177" s="210">
        <f t="shared" si="716"/>
        <v>0</v>
      </c>
      <c r="O177" s="211">
        <f t="shared" si="716"/>
        <v>0</v>
      </c>
      <c r="P177" s="210">
        <f t="shared" si="716"/>
        <v>0</v>
      </c>
      <c r="Q177" s="210">
        <f t="shared" si="716"/>
        <v>0</v>
      </c>
      <c r="R177" s="211">
        <f t="shared" si="716"/>
        <v>0</v>
      </c>
      <c r="S177" s="183" t="str">
        <f t="shared" si="717"/>
        <v>-</v>
      </c>
      <c r="T177" s="184" t="str">
        <f t="shared" si="717"/>
        <v>-</v>
      </c>
      <c r="U177" s="184" t="str">
        <f t="shared" si="717"/>
        <v>-</v>
      </c>
    </row>
    <row r="178" spans="2:21" ht="17.5" customHeight="1" x14ac:dyDescent="0.3">
      <c r="B178" s="647"/>
      <c r="C178" s="171" t="s">
        <v>349</v>
      </c>
      <c r="D178" s="172">
        <f t="shared" ref="D178:I178" si="718">D174/SUM(D173:D174)</f>
        <v>0.16933680668620427</v>
      </c>
      <c r="E178" s="173">
        <f t="shared" si="718"/>
        <v>0.30676034829115145</v>
      </c>
      <c r="F178" s="174">
        <f t="shared" si="718"/>
        <v>0.31040108085577328</v>
      </c>
      <c r="G178" s="172">
        <f t="shared" si="718"/>
        <v>0.70252248310276133</v>
      </c>
      <c r="H178" s="173">
        <f t="shared" si="718"/>
        <v>0.36177787506471565</v>
      </c>
      <c r="I178" s="174">
        <f t="shared" si="718"/>
        <v>0.68557583504805009</v>
      </c>
      <c r="J178" s="177">
        <f>D178-G178</f>
        <v>-0.53318567641655701</v>
      </c>
      <c r="K178" s="178">
        <f>E178-H178</f>
        <v>-5.5017526773564196E-2</v>
      </c>
      <c r="L178" s="205">
        <f>F178-I178</f>
        <v>-0.3751747541922768</v>
      </c>
      <c r="M178" s="172">
        <f t="shared" ref="M178:R178" si="719">M174/SUM(M173:M174)</f>
        <v>0.16933680668620427</v>
      </c>
      <c r="N178" s="173">
        <f t="shared" si="719"/>
        <v>0.30676034829115145</v>
      </c>
      <c r="O178" s="174">
        <f t="shared" si="719"/>
        <v>0.31040108085577328</v>
      </c>
      <c r="P178" s="173">
        <f t="shared" si="719"/>
        <v>0.70252248310276133</v>
      </c>
      <c r="Q178" s="173">
        <f t="shared" si="719"/>
        <v>0.57257521438386294</v>
      </c>
      <c r="R178" s="174">
        <f t="shared" si="719"/>
        <v>0.68557583504805009</v>
      </c>
      <c r="S178" s="177">
        <f>M178-P178</f>
        <v>-0.53318567641655701</v>
      </c>
      <c r="T178" s="178">
        <f>N178-Q178</f>
        <v>-0.26581486609271149</v>
      </c>
      <c r="U178" s="178">
        <f>O178-R178</f>
        <v>-0.3751747541922768</v>
      </c>
    </row>
    <row r="179" spans="2:21" ht="17.5" customHeight="1" x14ac:dyDescent="0.3">
      <c r="B179" s="648" t="s">
        <v>233</v>
      </c>
      <c r="C179" s="648"/>
      <c r="D179" s="146">
        <f t="shared" ref="D179:I179" si="720">D173+D174</f>
        <v>184260</v>
      </c>
      <c r="E179" s="147">
        <f t="shared" si="720"/>
        <v>305147</v>
      </c>
      <c r="F179" s="148">
        <f t="shared" si="720"/>
        <v>139149</v>
      </c>
      <c r="G179" s="160">
        <f t="shared" si="720"/>
        <v>429656</v>
      </c>
      <c r="H179" s="161">
        <f t="shared" si="720"/>
        <v>813173</v>
      </c>
      <c r="I179" s="162">
        <f t="shared" si="720"/>
        <v>306659</v>
      </c>
      <c r="J179" s="149">
        <f>D179/G179-1</f>
        <v>-0.57114528832368228</v>
      </c>
      <c r="K179" s="150">
        <f>E179/H179-1</f>
        <v>-0.62474528790306616</v>
      </c>
      <c r="L179" s="208">
        <f>F179/I179-1</f>
        <v>-0.54624191691748814</v>
      </c>
      <c r="M179" s="146">
        <f t="shared" ref="M179:R179" si="721">M173+M174</f>
        <v>184260</v>
      </c>
      <c r="N179" s="147">
        <f t="shared" si="721"/>
        <v>305147</v>
      </c>
      <c r="O179" s="148">
        <f t="shared" si="721"/>
        <v>139149</v>
      </c>
      <c r="P179" s="161">
        <f t="shared" si="721"/>
        <v>429656</v>
      </c>
      <c r="Q179" s="161">
        <f t="shared" si="721"/>
        <v>513798</v>
      </c>
      <c r="R179" s="162">
        <f t="shared" si="721"/>
        <v>306659</v>
      </c>
      <c r="S179" s="149">
        <f>M179/P179-1</f>
        <v>-0.57114528832368228</v>
      </c>
      <c r="T179" s="150">
        <f>N179/Q179-1</f>
        <v>-0.40609539157412056</v>
      </c>
      <c r="U179" s="150">
        <f>O179/R179-1</f>
        <v>-0.54624191691748814</v>
      </c>
    </row>
  </sheetData>
  <mergeCells count="64">
    <mergeCell ref="B104:B109"/>
    <mergeCell ref="B110:C110"/>
    <mergeCell ref="B97:B102"/>
    <mergeCell ref="B103:C103"/>
    <mergeCell ref="B173:B178"/>
    <mergeCell ref="B179:C179"/>
    <mergeCell ref="B151:C151"/>
    <mergeCell ref="B158:C158"/>
    <mergeCell ref="B165:C165"/>
    <mergeCell ref="B172:C172"/>
    <mergeCell ref="B152:B157"/>
    <mergeCell ref="B159:B164"/>
    <mergeCell ref="B166:B171"/>
    <mergeCell ref="S4:U4"/>
    <mergeCell ref="B48:B53"/>
    <mergeCell ref="B54:C54"/>
    <mergeCell ref="B83:B88"/>
    <mergeCell ref="B76:B81"/>
    <mergeCell ref="B82:C82"/>
    <mergeCell ref="B69:B74"/>
    <mergeCell ref="B75:C75"/>
    <mergeCell ref="B34:B39"/>
    <mergeCell ref="B40:C40"/>
    <mergeCell ref="G4:I4"/>
    <mergeCell ref="B55:B60"/>
    <mergeCell ref="B61:C61"/>
    <mergeCell ref="M4:O4"/>
    <mergeCell ref="B62:B67"/>
    <mergeCell ref="B68:C68"/>
    <mergeCell ref="P4:R4"/>
    <mergeCell ref="B145:B150"/>
    <mergeCell ref="J4:L4"/>
    <mergeCell ref="B138:B143"/>
    <mergeCell ref="B144:C144"/>
    <mergeCell ref="D4:F4"/>
    <mergeCell ref="B131:B136"/>
    <mergeCell ref="B125:B129"/>
    <mergeCell ref="B130:C130"/>
    <mergeCell ref="B137:C137"/>
    <mergeCell ref="B118:B123"/>
    <mergeCell ref="B124:C124"/>
    <mergeCell ref="B111:B116"/>
    <mergeCell ref="B96:C96"/>
    <mergeCell ref="B117:C117"/>
    <mergeCell ref="B47:C47"/>
    <mergeCell ref="B90:B95"/>
    <mergeCell ref="B41:B46"/>
    <mergeCell ref="B89:C89"/>
    <mergeCell ref="B4:B5"/>
    <mergeCell ref="C4:C5"/>
    <mergeCell ref="B27:B32"/>
    <mergeCell ref="B33:C33"/>
    <mergeCell ref="B20:B25"/>
    <mergeCell ref="B26:C26"/>
    <mergeCell ref="B13:B18"/>
    <mergeCell ref="B19:C19"/>
    <mergeCell ref="B6:B11"/>
    <mergeCell ref="B12:C12"/>
    <mergeCell ref="AK4:AM4"/>
    <mergeCell ref="V4:X4"/>
    <mergeCell ref="Y4:AA4"/>
    <mergeCell ref="AB4:AD4"/>
    <mergeCell ref="AE4:AG4"/>
    <mergeCell ref="AH4:AJ4"/>
  </mergeCells>
  <phoneticPr fontId="13" type="noConversion"/>
  <conditionalFormatting sqref="J6:L179">
    <cfRule type="expression" dxfId="40" priority="10">
      <formula>J6&gt;0</formula>
    </cfRule>
    <cfRule type="expression" dxfId="39" priority="11">
      <formula>J6&lt;0</formula>
    </cfRule>
    <cfRule type="expression" dxfId="38" priority="12">
      <formula>J6=0</formula>
    </cfRule>
  </conditionalFormatting>
  <conditionalFormatting sqref="S6:U179">
    <cfRule type="expression" dxfId="37" priority="7">
      <formula>S6&gt;0</formula>
    </cfRule>
    <cfRule type="expression" dxfId="36" priority="8">
      <formula>S6&lt;0</formula>
    </cfRule>
    <cfRule type="expression" dxfId="35" priority="9">
      <formula>S6=0</formula>
    </cfRule>
  </conditionalFormatting>
  <conditionalFormatting sqref="AB6:AD26">
    <cfRule type="expression" dxfId="34" priority="4">
      <formula>AB6&gt;0</formula>
    </cfRule>
    <cfRule type="expression" dxfId="33" priority="5">
      <formula>AB6&lt;0</formula>
    </cfRule>
    <cfRule type="expression" dxfId="32" priority="6">
      <formula>AB6=0</formula>
    </cfRule>
  </conditionalFormatting>
  <conditionalFormatting sqref="AK6:AM26">
    <cfRule type="expression" dxfId="31" priority="1">
      <formula>AK6&gt;0</formula>
    </cfRule>
    <cfRule type="expression" dxfId="30" priority="2">
      <formula>AK6&lt;0</formula>
    </cfRule>
    <cfRule type="expression" dxfId="29" priority="3">
      <formula>AK6=0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02978-1044-47E1-9C7D-A91B0E562D9B}">
  <dimension ref="A3:BGG93"/>
  <sheetViews>
    <sheetView showGridLines="0" zoomScale="85" zoomScaleNormal="85" workbookViewId="0">
      <pane xSplit="1" ySplit="11" topLeftCell="B36" activePane="bottomRight" state="frozen"/>
      <selection pane="topRight" activeCell="B1" sqref="B1"/>
      <selection pane="bottomLeft" activeCell="A11" sqref="A11"/>
      <selection pane="bottomRight" activeCell="C50" sqref="C50:H50"/>
    </sheetView>
  </sheetViews>
  <sheetFormatPr defaultRowHeight="14.5" x14ac:dyDescent="0.3"/>
  <cols>
    <col min="1" max="1" width="12.1640625" style="1" customWidth="1"/>
    <col min="2" max="2" width="20.33203125" style="1" bestFit="1" customWidth="1"/>
    <col min="3" max="13" width="11.9140625" style="1" customWidth="1"/>
    <col min="14" max="20" width="10.6640625" style="1" customWidth="1"/>
    <col min="21" max="29" width="12.1640625" style="1" customWidth="1"/>
    <col min="30" max="37" width="11.83203125" style="1" customWidth="1"/>
    <col min="38" max="321" width="17.75" style="1" bestFit="1" customWidth="1"/>
    <col min="322" max="322" width="7.33203125" style="1" bestFit="1" customWidth="1"/>
    <col min="323" max="323" width="8.33203125" style="1" bestFit="1" customWidth="1"/>
    <col min="324" max="324" width="21.83203125" style="1" bestFit="1" customWidth="1"/>
    <col min="325" max="325" width="13.33203125" style="1" bestFit="1" customWidth="1"/>
    <col min="326" max="961" width="17.75" style="1" bestFit="1" customWidth="1"/>
    <col min="962" max="962" width="7.33203125" style="1" bestFit="1" customWidth="1"/>
    <col min="963" max="963" width="8.33203125" style="1" bestFit="1" customWidth="1"/>
    <col min="964" max="964" width="21.83203125" style="1" bestFit="1" customWidth="1"/>
    <col min="965" max="965" width="13.33203125" style="1" bestFit="1" customWidth="1"/>
    <col min="966" max="966" width="11.1640625" style="1" bestFit="1" customWidth="1"/>
    <col min="967" max="967" width="14.08203125" style="1" bestFit="1" customWidth="1"/>
    <col min="968" max="968" width="11.1640625" style="1" bestFit="1" customWidth="1"/>
    <col min="969" max="969" width="14.08203125" style="1" bestFit="1" customWidth="1"/>
    <col min="970" max="970" width="11.1640625" style="1" bestFit="1" customWidth="1"/>
    <col min="971" max="971" width="14.08203125" style="1" bestFit="1" customWidth="1"/>
    <col min="972" max="972" width="11.1640625" style="1" bestFit="1" customWidth="1"/>
    <col min="973" max="973" width="14.08203125" style="1" bestFit="1" customWidth="1"/>
    <col min="974" max="974" width="11.1640625" style="1" bestFit="1" customWidth="1"/>
    <col min="975" max="975" width="14.08203125" style="1" bestFit="1" customWidth="1"/>
    <col min="976" max="976" width="11.1640625" style="1" bestFit="1" customWidth="1"/>
    <col min="977" max="977" width="14.08203125" style="1" bestFit="1" customWidth="1"/>
    <col min="978" max="978" width="11.1640625" style="1" bestFit="1" customWidth="1"/>
    <col min="979" max="979" width="14.08203125" style="1" bestFit="1" customWidth="1"/>
    <col min="980" max="980" width="11.1640625" style="1" bestFit="1" customWidth="1"/>
    <col min="981" max="981" width="14.08203125" style="1" bestFit="1" customWidth="1"/>
    <col min="982" max="982" width="11.1640625" style="1" bestFit="1" customWidth="1"/>
    <col min="983" max="983" width="14.08203125" style="1" bestFit="1" customWidth="1"/>
    <col min="984" max="984" width="11.1640625" style="1" bestFit="1" customWidth="1"/>
    <col min="985" max="985" width="14.08203125" style="1" bestFit="1" customWidth="1"/>
    <col min="986" max="986" width="11.1640625" style="1" bestFit="1" customWidth="1"/>
    <col min="987" max="987" width="14.08203125" style="1" bestFit="1" customWidth="1"/>
    <col min="988" max="988" width="11.1640625" style="1" bestFit="1" customWidth="1"/>
    <col min="989" max="989" width="14.08203125" style="1" bestFit="1" customWidth="1"/>
    <col min="990" max="990" width="11.1640625" style="1" bestFit="1" customWidth="1"/>
    <col min="991" max="991" width="14.08203125" style="1" bestFit="1" customWidth="1"/>
    <col min="992" max="992" width="11.1640625" style="1" bestFit="1" customWidth="1"/>
    <col min="993" max="993" width="14.08203125" style="1" bestFit="1" customWidth="1"/>
    <col min="994" max="994" width="11.1640625" style="1" bestFit="1" customWidth="1"/>
    <col min="995" max="995" width="14.08203125" style="1" bestFit="1" customWidth="1"/>
    <col min="996" max="996" width="11.1640625" style="1" bestFit="1" customWidth="1"/>
    <col min="997" max="997" width="14.08203125" style="1" bestFit="1" customWidth="1"/>
    <col min="998" max="998" width="11.1640625" style="1" bestFit="1" customWidth="1"/>
    <col min="999" max="999" width="14.08203125" style="1" bestFit="1" customWidth="1"/>
    <col min="1000" max="1000" width="11.1640625" style="1" bestFit="1" customWidth="1"/>
    <col min="1001" max="1001" width="14.08203125" style="1" bestFit="1" customWidth="1"/>
    <col min="1002" max="1002" width="11.1640625" style="1" bestFit="1" customWidth="1"/>
    <col min="1003" max="1003" width="14.08203125" style="1" bestFit="1" customWidth="1"/>
    <col min="1004" max="1004" width="11.1640625" style="1" bestFit="1" customWidth="1"/>
    <col min="1005" max="1005" width="14.08203125" style="1" bestFit="1" customWidth="1"/>
    <col min="1006" max="1006" width="11.1640625" style="1" bestFit="1" customWidth="1"/>
    <col min="1007" max="1007" width="14.08203125" style="1" bestFit="1" customWidth="1"/>
    <col min="1008" max="1008" width="11.1640625" style="1" bestFit="1" customWidth="1"/>
    <col min="1009" max="1009" width="14.08203125" style="1" bestFit="1" customWidth="1"/>
    <col min="1010" max="1010" width="11.1640625" style="1" bestFit="1" customWidth="1"/>
    <col min="1011" max="1011" width="14.08203125" style="1" bestFit="1" customWidth="1"/>
    <col min="1012" max="1012" width="11.1640625" style="1" bestFit="1" customWidth="1"/>
    <col min="1013" max="1013" width="14.08203125" style="1" bestFit="1" customWidth="1"/>
    <col min="1014" max="1014" width="11.1640625" style="1" bestFit="1" customWidth="1"/>
    <col min="1015" max="1015" width="14.08203125" style="1" bestFit="1" customWidth="1"/>
    <col min="1016" max="1016" width="11.1640625" style="1" bestFit="1" customWidth="1"/>
    <col min="1017" max="1017" width="14.08203125" style="1" bestFit="1" customWidth="1"/>
    <col min="1018" max="1018" width="11.1640625" style="1" bestFit="1" customWidth="1"/>
    <col min="1019" max="1019" width="14.08203125" style="1" bestFit="1" customWidth="1"/>
    <col min="1020" max="1020" width="11.1640625" style="1" bestFit="1" customWidth="1"/>
    <col min="1021" max="1021" width="14.08203125" style="1" bestFit="1" customWidth="1"/>
    <col min="1022" max="1022" width="11.1640625" style="1" bestFit="1" customWidth="1"/>
    <col min="1023" max="1023" width="14.08203125" style="1" bestFit="1" customWidth="1"/>
    <col min="1024" max="1024" width="11.1640625" style="1" bestFit="1" customWidth="1"/>
    <col min="1025" max="1025" width="14.08203125" style="1" bestFit="1" customWidth="1"/>
    <col min="1026" max="1026" width="11.1640625" style="1" bestFit="1" customWidth="1"/>
    <col min="1027" max="1027" width="14.08203125" style="1" bestFit="1" customWidth="1"/>
    <col min="1028" max="1028" width="11.1640625" style="1" bestFit="1" customWidth="1"/>
    <col min="1029" max="1029" width="14.08203125" style="1" bestFit="1" customWidth="1"/>
    <col min="1030" max="1030" width="11.1640625" style="1" bestFit="1" customWidth="1"/>
    <col min="1031" max="1031" width="14.08203125" style="1" bestFit="1" customWidth="1"/>
    <col min="1032" max="1032" width="11.1640625" style="1" bestFit="1" customWidth="1"/>
    <col min="1033" max="1033" width="14.08203125" style="1" bestFit="1" customWidth="1"/>
    <col min="1034" max="1034" width="11.1640625" style="1" bestFit="1" customWidth="1"/>
    <col min="1035" max="1035" width="14.08203125" style="1" bestFit="1" customWidth="1"/>
    <col min="1036" max="1036" width="11.1640625" style="1" bestFit="1" customWidth="1"/>
    <col min="1037" max="1037" width="14.08203125" style="1" bestFit="1" customWidth="1"/>
    <col min="1038" max="1038" width="11.1640625" style="1" bestFit="1" customWidth="1"/>
    <col min="1039" max="1039" width="14.08203125" style="1" bestFit="1" customWidth="1"/>
    <col min="1040" max="1040" width="11.1640625" style="1" bestFit="1" customWidth="1"/>
    <col min="1041" max="1041" width="14.08203125" style="1" bestFit="1" customWidth="1"/>
    <col min="1042" max="1042" width="11.1640625" style="1" bestFit="1" customWidth="1"/>
    <col min="1043" max="1043" width="14.08203125" style="1" bestFit="1" customWidth="1"/>
    <col min="1044" max="1044" width="11.1640625" style="1" bestFit="1" customWidth="1"/>
    <col min="1045" max="1045" width="14.08203125" style="1" bestFit="1" customWidth="1"/>
    <col min="1046" max="1046" width="11.1640625" style="1" bestFit="1" customWidth="1"/>
    <col min="1047" max="1047" width="14.08203125" style="1" bestFit="1" customWidth="1"/>
    <col min="1048" max="1048" width="11.1640625" style="1" bestFit="1" customWidth="1"/>
    <col min="1049" max="1049" width="14.08203125" style="1" bestFit="1" customWidth="1"/>
    <col min="1050" max="1050" width="11.1640625" style="1" bestFit="1" customWidth="1"/>
    <col min="1051" max="1051" width="14.08203125" style="1" bestFit="1" customWidth="1"/>
    <col min="1052" max="1052" width="11.1640625" style="1" bestFit="1" customWidth="1"/>
    <col min="1053" max="1053" width="14.08203125" style="1" bestFit="1" customWidth="1"/>
    <col min="1054" max="1054" width="11.1640625" style="1" bestFit="1" customWidth="1"/>
    <col min="1055" max="1055" width="14.08203125" style="1" bestFit="1" customWidth="1"/>
    <col min="1056" max="1056" width="11.1640625" style="1" bestFit="1" customWidth="1"/>
    <col min="1057" max="1057" width="14.08203125" style="1" bestFit="1" customWidth="1"/>
    <col min="1058" max="1058" width="11.1640625" style="1" bestFit="1" customWidth="1"/>
    <col min="1059" max="1059" width="14.08203125" style="1" bestFit="1" customWidth="1"/>
    <col min="1060" max="1060" width="11.1640625" style="1" bestFit="1" customWidth="1"/>
    <col min="1061" max="1061" width="14.08203125" style="1" bestFit="1" customWidth="1"/>
    <col min="1062" max="1062" width="11.1640625" style="1" bestFit="1" customWidth="1"/>
    <col min="1063" max="1063" width="14.08203125" style="1" bestFit="1" customWidth="1"/>
    <col min="1064" max="1064" width="11.1640625" style="1" bestFit="1" customWidth="1"/>
    <col min="1065" max="1065" width="14.08203125" style="1" bestFit="1" customWidth="1"/>
    <col min="1066" max="1066" width="11.1640625" style="1" bestFit="1" customWidth="1"/>
    <col min="1067" max="1067" width="14.08203125" style="1" bestFit="1" customWidth="1"/>
    <col min="1068" max="1068" width="11.1640625" style="1" bestFit="1" customWidth="1"/>
    <col min="1069" max="1069" width="14.08203125" style="1" bestFit="1" customWidth="1"/>
    <col min="1070" max="1070" width="11.1640625" style="1" bestFit="1" customWidth="1"/>
    <col min="1071" max="1071" width="14.08203125" style="1" bestFit="1" customWidth="1"/>
    <col min="1072" max="1072" width="11.1640625" style="1" bestFit="1" customWidth="1"/>
    <col min="1073" max="1073" width="14.08203125" style="1" bestFit="1" customWidth="1"/>
    <col min="1074" max="1074" width="11.1640625" style="1" bestFit="1" customWidth="1"/>
    <col min="1075" max="1075" width="14.08203125" style="1" bestFit="1" customWidth="1"/>
    <col min="1076" max="1076" width="11.1640625" style="1" bestFit="1" customWidth="1"/>
    <col min="1077" max="1077" width="14.08203125" style="1" bestFit="1" customWidth="1"/>
    <col min="1078" max="1078" width="11.1640625" style="1" bestFit="1" customWidth="1"/>
    <col min="1079" max="1079" width="14.08203125" style="1" bestFit="1" customWidth="1"/>
    <col min="1080" max="1080" width="11.1640625" style="1" bestFit="1" customWidth="1"/>
    <col min="1081" max="1081" width="14.08203125" style="1" bestFit="1" customWidth="1"/>
    <col min="1082" max="1082" width="11.1640625" style="1" bestFit="1" customWidth="1"/>
    <col min="1083" max="1083" width="14.08203125" style="1" bestFit="1" customWidth="1"/>
    <col min="1084" max="1084" width="11.1640625" style="1" bestFit="1" customWidth="1"/>
    <col min="1085" max="1085" width="14.08203125" style="1" bestFit="1" customWidth="1"/>
    <col min="1086" max="1086" width="11.1640625" style="1" bestFit="1" customWidth="1"/>
    <col min="1087" max="1087" width="14.08203125" style="1" bestFit="1" customWidth="1"/>
    <col min="1088" max="1088" width="11.1640625" style="1" bestFit="1" customWidth="1"/>
    <col min="1089" max="1089" width="14.08203125" style="1" bestFit="1" customWidth="1"/>
    <col min="1090" max="1090" width="11.1640625" style="1" bestFit="1" customWidth="1"/>
    <col min="1091" max="1091" width="14.08203125" style="1" bestFit="1" customWidth="1"/>
    <col min="1092" max="1092" width="11.1640625" style="1" bestFit="1" customWidth="1"/>
    <col min="1093" max="1093" width="14.08203125" style="1" bestFit="1" customWidth="1"/>
    <col min="1094" max="1094" width="11.1640625" style="1" bestFit="1" customWidth="1"/>
    <col min="1095" max="1095" width="14.08203125" style="1" bestFit="1" customWidth="1"/>
    <col min="1096" max="1096" width="11.1640625" style="1" bestFit="1" customWidth="1"/>
    <col min="1097" max="1097" width="14.08203125" style="1" bestFit="1" customWidth="1"/>
    <col min="1098" max="1098" width="11.1640625" style="1" bestFit="1" customWidth="1"/>
    <col min="1099" max="1099" width="14.08203125" style="1" bestFit="1" customWidth="1"/>
    <col min="1100" max="1100" width="11.1640625" style="1" bestFit="1" customWidth="1"/>
    <col min="1101" max="1101" width="14.08203125" style="1" bestFit="1" customWidth="1"/>
    <col min="1102" max="1102" width="11.1640625" style="1" bestFit="1" customWidth="1"/>
    <col min="1103" max="1103" width="14.08203125" style="1" bestFit="1" customWidth="1"/>
    <col min="1104" max="1104" width="11.1640625" style="1" bestFit="1" customWidth="1"/>
    <col min="1105" max="1105" width="14.08203125" style="1" bestFit="1" customWidth="1"/>
    <col min="1106" max="1106" width="11.1640625" style="1" bestFit="1" customWidth="1"/>
    <col min="1107" max="1107" width="14.08203125" style="1" bestFit="1" customWidth="1"/>
    <col min="1108" max="1108" width="11.1640625" style="1" bestFit="1" customWidth="1"/>
    <col min="1109" max="1109" width="14.08203125" style="1" bestFit="1" customWidth="1"/>
    <col min="1110" max="1110" width="11.1640625" style="1" bestFit="1" customWidth="1"/>
    <col min="1111" max="1111" width="14.08203125" style="1" bestFit="1" customWidth="1"/>
    <col min="1112" max="1112" width="11.1640625" style="1" bestFit="1" customWidth="1"/>
    <col min="1113" max="1113" width="14.08203125" style="1" bestFit="1" customWidth="1"/>
    <col min="1114" max="1114" width="11.1640625" style="1" bestFit="1" customWidth="1"/>
    <col min="1115" max="1115" width="14.08203125" style="1" bestFit="1" customWidth="1"/>
    <col min="1116" max="1116" width="11.1640625" style="1" bestFit="1" customWidth="1"/>
    <col min="1117" max="1117" width="14.08203125" style="1" bestFit="1" customWidth="1"/>
    <col min="1118" max="1118" width="11.1640625" style="1" bestFit="1" customWidth="1"/>
    <col min="1119" max="1119" width="14.08203125" style="1" bestFit="1" customWidth="1"/>
    <col min="1120" max="1120" width="11.1640625" style="1" bestFit="1" customWidth="1"/>
    <col min="1121" max="1121" width="14.08203125" style="1" bestFit="1" customWidth="1"/>
    <col min="1122" max="1122" width="11.1640625" style="1" bestFit="1" customWidth="1"/>
    <col min="1123" max="1123" width="14.08203125" style="1" bestFit="1" customWidth="1"/>
    <col min="1124" max="1124" width="11.1640625" style="1" bestFit="1" customWidth="1"/>
    <col min="1125" max="1125" width="14.08203125" style="1" bestFit="1" customWidth="1"/>
    <col min="1126" max="1126" width="11.1640625" style="1" bestFit="1" customWidth="1"/>
    <col min="1127" max="1127" width="14.08203125" style="1" bestFit="1" customWidth="1"/>
    <col min="1128" max="1128" width="11.1640625" style="1" bestFit="1" customWidth="1"/>
    <col min="1129" max="1129" width="14.08203125" style="1" bestFit="1" customWidth="1"/>
    <col min="1130" max="1130" width="11.1640625" style="1" bestFit="1" customWidth="1"/>
    <col min="1131" max="1131" width="14.08203125" style="1" bestFit="1" customWidth="1"/>
    <col min="1132" max="1132" width="11.1640625" style="1" bestFit="1" customWidth="1"/>
    <col min="1133" max="1133" width="14.08203125" style="1" bestFit="1" customWidth="1"/>
    <col min="1134" max="1134" width="11.1640625" style="1" bestFit="1" customWidth="1"/>
    <col min="1135" max="1135" width="14.08203125" style="1" bestFit="1" customWidth="1"/>
    <col min="1136" max="1136" width="11.1640625" style="1" bestFit="1" customWidth="1"/>
    <col min="1137" max="1137" width="14.08203125" style="1" bestFit="1" customWidth="1"/>
    <col min="1138" max="1138" width="11.1640625" style="1" bestFit="1" customWidth="1"/>
    <col min="1139" max="1139" width="14.08203125" style="1" bestFit="1" customWidth="1"/>
    <col min="1140" max="1140" width="11.1640625" style="1" bestFit="1" customWidth="1"/>
    <col min="1141" max="1141" width="14.08203125" style="1" bestFit="1" customWidth="1"/>
    <col min="1142" max="1142" width="11.1640625" style="1" bestFit="1" customWidth="1"/>
    <col min="1143" max="1143" width="14.08203125" style="1" bestFit="1" customWidth="1"/>
    <col min="1144" max="1144" width="11.1640625" style="1" bestFit="1" customWidth="1"/>
    <col min="1145" max="1145" width="14.08203125" style="1" bestFit="1" customWidth="1"/>
    <col min="1146" max="1146" width="11.1640625" style="1" bestFit="1" customWidth="1"/>
    <col min="1147" max="1147" width="14.08203125" style="1" bestFit="1" customWidth="1"/>
    <col min="1148" max="1148" width="11.1640625" style="1" bestFit="1" customWidth="1"/>
    <col min="1149" max="1149" width="14.08203125" style="1" bestFit="1" customWidth="1"/>
    <col min="1150" max="1150" width="11.1640625" style="1" bestFit="1" customWidth="1"/>
    <col min="1151" max="1151" width="14.08203125" style="1" bestFit="1" customWidth="1"/>
    <col min="1152" max="1152" width="11.1640625" style="1" bestFit="1" customWidth="1"/>
    <col min="1153" max="1153" width="14.08203125" style="1" bestFit="1" customWidth="1"/>
    <col min="1154" max="1154" width="11.1640625" style="1" bestFit="1" customWidth="1"/>
    <col min="1155" max="1155" width="14.08203125" style="1" bestFit="1" customWidth="1"/>
    <col min="1156" max="1156" width="11.1640625" style="1" bestFit="1" customWidth="1"/>
    <col min="1157" max="1157" width="14.08203125" style="1" bestFit="1" customWidth="1"/>
    <col min="1158" max="1158" width="11.1640625" style="1" bestFit="1" customWidth="1"/>
    <col min="1159" max="1159" width="14.08203125" style="1" bestFit="1" customWidth="1"/>
    <col min="1160" max="1160" width="11.1640625" style="1" bestFit="1" customWidth="1"/>
    <col min="1161" max="1161" width="14.08203125" style="1" bestFit="1" customWidth="1"/>
    <col min="1162" max="1162" width="11.1640625" style="1" bestFit="1" customWidth="1"/>
    <col min="1163" max="1163" width="14.08203125" style="1" bestFit="1" customWidth="1"/>
    <col min="1164" max="1164" width="11.1640625" style="1" bestFit="1" customWidth="1"/>
    <col min="1165" max="1165" width="14.08203125" style="1" bestFit="1" customWidth="1"/>
    <col min="1166" max="1166" width="11.1640625" style="1" bestFit="1" customWidth="1"/>
    <col min="1167" max="1167" width="14.08203125" style="1" bestFit="1" customWidth="1"/>
    <col min="1168" max="1168" width="11.1640625" style="1" bestFit="1" customWidth="1"/>
    <col min="1169" max="1169" width="14.08203125" style="1" bestFit="1" customWidth="1"/>
    <col min="1170" max="1170" width="11.1640625" style="1" bestFit="1" customWidth="1"/>
    <col min="1171" max="1171" width="14.08203125" style="1" bestFit="1" customWidth="1"/>
    <col min="1172" max="1172" width="11.1640625" style="1" bestFit="1" customWidth="1"/>
    <col min="1173" max="1173" width="14.08203125" style="1" bestFit="1" customWidth="1"/>
    <col min="1174" max="1174" width="11.1640625" style="1" bestFit="1" customWidth="1"/>
    <col min="1175" max="1175" width="14.08203125" style="1" bestFit="1" customWidth="1"/>
    <col min="1176" max="1176" width="11.1640625" style="1" bestFit="1" customWidth="1"/>
    <col min="1177" max="1177" width="14.08203125" style="1" bestFit="1" customWidth="1"/>
    <col min="1178" max="1178" width="11.1640625" style="1" bestFit="1" customWidth="1"/>
    <col min="1179" max="1179" width="14.08203125" style="1" bestFit="1" customWidth="1"/>
    <col min="1180" max="1180" width="11.1640625" style="1" bestFit="1" customWidth="1"/>
    <col min="1181" max="1181" width="14.08203125" style="1" bestFit="1" customWidth="1"/>
    <col min="1182" max="1182" width="11.1640625" style="1" bestFit="1" customWidth="1"/>
    <col min="1183" max="1183" width="14.08203125" style="1" bestFit="1" customWidth="1"/>
    <col min="1184" max="1184" width="11.1640625" style="1" bestFit="1" customWidth="1"/>
    <col min="1185" max="1185" width="14.08203125" style="1" bestFit="1" customWidth="1"/>
    <col min="1186" max="1186" width="11.1640625" style="1" bestFit="1" customWidth="1"/>
    <col min="1187" max="1187" width="14.08203125" style="1" bestFit="1" customWidth="1"/>
    <col min="1188" max="1188" width="11.1640625" style="1" bestFit="1" customWidth="1"/>
    <col min="1189" max="1189" width="14.08203125" style="1" bestFit="1" customWidth="1"/>
    <col min="1190" max="1190" width="11.1640625" style="1" bestFit="1" customWidth="1"/>
    <col min="1191" max="1191" width="14.08203125" style="1" bestFit="1" customWidth="1"/>
    <col min="1192" max="1192" width="11.1640625" style="1" bestFit="1" customWidth="1"/>
    <col min="1193" max="1193" width="14.08203125" style="1" bestFit="1" customWidth="1"/>
    <col min="1194" max="1194" width="11.1640625" style="1" bestFit="1" customWidth="1"/>
    <col min="1195" max="1195" width="14.08203125" style="1" bestFit="1" customWidth="1"/>
    <col min="1196" max="1196" width="11.1640625" style="1" bestFit="1" customWidth="1"/>
    <col min="1197" max="1197" width="14.08203125" style="1" bestFit="1" customWidth="1"/>
    <col min="1198" max="1198" width="11.1640625" style="1" bestFit="1" customWidth="1"/>
    <col min="1199" max="1199" width="14.08203125" style="1" bestFit="1" customWidth="1"/>
    <col min="1200" max="1200" width="11.1640625" style="1" bestFit="1" customWidth="1"/>
    <col min="1201" max="1201" width="14.08203125" style="1" bestFit="1" customWidth="1"/>
    <col min="1202" max="1202" width="11.1640625" style="1" bestFit="1" customWidth="1"/>
    <col min="1203" max="1203" width="14.08203125" style="1" bestFit="1" customWidth="1"/>
    <col min="1204" max="1204" width="11.1640625" style="1" bestFit="1" customWidth="1"/>
    <col min="1205" max="1205" width="14.08203125" style="1" bestFit="1" customWidth="1"/>
    <col min="1206" max="1206" width="11.1640625" style="1" bestFit="1" customWidth="1"/>
    <col min="1207" max="1207" width="14.08203125" style="1" bestFit="1" customWidth="1"/>
    <col min="1208" max="1208" width="11.1640625" style="1" bestFit="1" customWidth="1"/>
    <col min="1209" max="1209" width="14.08203125" style="1" bestFit="1" customWidth="1"/>
    <col min="1210" max="1210" width="11.1640625" style="1" bestFit="1" customWidth="1"/>
    <col min="1211" max="1211" width="14.08203125" style="1" bestFit="1" customWidth="1"/>
    <col min="1212" max="1212" width="11.1640625" style="1" bestFit="1" customWidth="1"/>
    <col min="1213" max="1213" width="14.08203125" style="1" bestFit="1" customWidth="1"/>
    <col min="1214" max="1214" width="11.1640625" style="1" bestFit="1" customWidth="1"/>
    <col min="1215" max="1215" width="14.08203125" style="1" bestFit="1" customWidth="1"/>
    <col min="1216" max="1216" width="11.1640625" style="1" bestFit="1" customWidth="1"/>
    <col min="1217" max="1217" width="14.08203125" style="1" bestFit="1" customWidth="1"/>
    <col min="1218" max="1218" width="11.1640625" style="1" bestFit="1" customWidth="1"/>
    <col min="1219" max="1219" width="14.08203125" style="1" bestFit="1" customWidth="1"/>
    <col min="1220" max="1220" width="11.1640625" style="1" bestFit="1" customWidth="1"/>
    <col min="1221" max="1221" width="14.08203125" style="1" bestFit="1" customWidth="1"/>
    <col min="1222" max="1222" width="11.1640625" style="1" bestFit="1" customWidth="1"/>
    <col min="1223" max="1223" width="14.08203125" style="1" bestFit="1" customWidth="1"/>
    <col min="1224" max="1224" width="11.1640625" style="1" bestFit="1" customWidth="1"/>
    <col min="1225" max="1225" width="14.08203125" style="1" bestFit="1" customWidth="1"/>
    <col min="1226" max="1226" width="11.1640625" style="1" bestFit="1" customWidth="1"/>
    <col min="1227" max="1227" width="14.08203125" style="1" bestFit="1" customWidth="1"/>
    <col min="1228" max="1228" width="11.1640625" style="1" bestFit="1" customWidth="1"/>
    <col min="1229" max="1229" width="14.08203125" style="1" bestFit="1" customWidth="1"/>
    <col min="1230" max="1230" width="11.1640625" style="1" bestFit="1" customWidth="1"/>
    <col min="1231" max="1231" width="14.08203125" style="1" bestFit="1" customWidth="1"/>
    <col min="1232" max="1232" width="11.1640625" style="1" bestFit="1" customWidth="1"/>
    <col min="1233" max="1233" width="14.08203125" style="1" bestFit="1" customWidth="1"/>
    <col min="1234" max="1234" width="11.1640625" style="1" bestFit="1" customWidth="1"/>
    <col min="1235" max="1235" width="14.08203125" style="1" bestFit="1" customWidth="1"/>
    <col min="1236" max="1236" width="11.1640625" style="1" bestFit="1" customWidth="1"/>
    <col min="1237" max="1237" width="14.08203125" style="1" bestFit="1" customWidth="1"/>
    <col min="1238" max="1238" width="11.1640625" style="1" bestFit="1" customWidth="1"/>
    <col min="1239" max="1239" width="14.08203125" style="1" bestFit="1" customWidth="1"/>
    <col min="1240" max="1240" width="11.1640625" style="1" bestFit="1" customWidth="1"/>
    <col min="1241" max="1241" width="14.08203125" style="1" bestFit="1" customWidth="1"/>
    <col min="1242" max="1242" width="11.1640625" style="1" bestFit="1" customWidth="1"/>
    <col min="1243" max="1243" width="14.08203125" style="1" bestFit="1" customWidth="1"/>
    <col min="1244" max="1244" width="11.1640625" style="1" bestFit="1" customWidth="1"/>
    <col min="1245" max="1245" width="14.08203125" style="1" bestFit="1" customWidth="1"/>
    <col min="1246" max="1246" width="11.1640625" style="1" bestFit="1" customWidth="1"/>
    <col min="1247" max="1247" width="14.08203125" style="1" bestFit="1" customWidth="1"/>
    <col min="1248" max="1248" width="11.1640625" style="1" bestFit="1" customWidth="1"/>
    <col min="1249" max="1249" width="14.08203125" style="1" bestFit="1" customWidth="1"/>
    <col min="1250" max="1250" width="11.1640625" style="1" bestFit="1" customWidth="1"/>
    <col min="1251" max="1251" width="14.08203125" style="1" bestFit="1" customWidth="1"/>
    <col min="1252" max="1252" width="11.1640625" style="1" bestFit="1" customWidth="1"/>
    <col min="1253" max="1253" width="14.08203125" style="1" bestFit="1" customWidth="1"/>
    <col min="1254" max="1254" width="11.1640625" style="1" bestFit="1" customWidth="1"/>
    <col min="1255" max="1255" width="14.08203125" style="1" bestFit="1" customWidth="1"/>
    <col min="1256" max="1256" width="11.1640625" style="1" bestFit="1" customWidth="1"/>
    <col min="1257" max="1257" width="14.08203125" style="1" bestFit="1" customWidth="1"/>
    <col min="1258" max="1258" width="11.1640625" style="1" bestFit="1" customWidth="1"/>
    <col min="1259" max="1259" width="14.08203125" style="1" bestFit="1" customWidth="1"/>
    <col min="1260" max="1260" width="11.1640625" style="1" bestFit="1" customWidth="1"/>
    <col min="1261" max="1261" width="14.08203125" style="1" bestFit="1" customWidth="1"/>
    <col min="1262" max="1262" width="11.1640625" style="1" bestFit="1" customWidth="1"/>
    <col min="1263" max="1263" width="14.08203125" style="1" bestFit="1" customWidth="1"/>
    <col min="1264" max="1264" width="11.1640625" style="1" bestFit="1" customWidth="1"/>
    <col min="1265" max="1265" width="14.08203125" style="1" bestFit="1" customWidth="1"/>
    <col min="1266" max="1266" width="11.1640625" style="1" bestFit="1" customWidth="1"/>
    <col min="1267" max="1267" width="14.08203125" style="1" bestFit="1" customWidth="1"/>
    <col min="1268" max="1268" width="11.1640625" style="1" bestFit="1" customWidth="1"/>
    <col min="1269" max="1269" width="14.08203125" style="1" bestFit="1" customWidth="1"/>
    <col min="1270" max="1270" width="11.1640625" style="1" bestFit="1" customWidth="1"/>
    <col min="1271" max="1271" width="14.08203125" style="1" bestFit="1" customWidth="1"/>
    <col min="1272" max="1272" width="11.1640625" style="1" bestFit="1" customWidth="1"/>
    <col min="1273" max="1273" width="14.08203125" style="1" bestFit="1" customWidth="1"/>
    <col min="1274" max="1274" width="11.1640625" style="1" bestFit="1" customWidth="1"/>
    <col min="1275" max="1275" width="14.08203125" style="1" bestFit="1" customWidth="1"/>
    <col min="1276" max="1276" width="11.1640625" style="1" bestFit="1" customWidth="1"/>
    <col min="1277" max="1277" width="14.08203125" style="1" bestFit="1" customWidth="1"/>
    <col min="1278" max="1278" width="11.1640625" style="1" bestFit="1" customWidth="1"/>
    <col min="1279" max="1279" width="14.08203125" style="1" bestFit="1" customWidth="1"/>
    <col min="1280" max="1280" width="11.1640625" style="1" bestFit="1" customWidth="1"/>
    <col min="1281" max="1281" width="14.08203125" style="1" bestFit="1" customWidth="1"/>
    <col min="1282" max="1282" width="11.1640625" style="1" bestFit="1" customWidth="1"/>
    <col min="1283" max="1283" width="14.08203125" style="1" bestFit="1" customWidth="1"/>
    <col min="1284" max="1284" width="11.1640625" style="1" bestFit="1" customWidth="1"/>
    <col min="1285" max="1285" width="14.08203125" style="1" bestFit="1" customWidth="1"/>
    <col min="1286" max="1286" width="11.1640625" style="1" bestFit="1" customWidth="1"/>
    <col min="1287" max="1287" width="14.08203125" style="1" bestFit="1" customWidth="1"/>
    <col min="1288" max="1288" width="11.1640625" style="1" bestFit="1" customWidth="1"/>
    <col min="1289" max="1289" width="14.08203125" style="1" bestFit="1" customWidth="1"/>
    <col min="1290" max="1290" width="11.1640625" style="1" bestFit="1" customWidth="1"/>
    <col min="1291" max="1291" width="14.08203125" style="1" bestFit="1" customWidth="1"/>
    <col min="1292" max="1292" width="11.1640625" style="1" bestFit="1" customWidth="1"/>
    <col min="1293" max="1293" width="14.08203125" style="1" bestFit="1" customWidth="1"/>
    <col min="1294" max="1294" width="11.1640625" style="1" bestFit="1" customWidth="1"/>
    <col min="1295" max="1295" width="14.08203125" style="1" bestFit="1" customWidth="1"/>
    <col min="1296" max="1296" width="11.1640625" style="1" bestFit="1" customWidth="1"/>
    <col min="1297" max="1297" width="14.08203125" style="1" bestFit="1" customWidth="1"/>
    <col min="1298" max="1298" width="11.1640625" style="1" bestFit="1" customWidth="1"/>
    <col min="1299" max="1299" width="14.08203125" style="1" bestFit="1" customWidth="1"/>
    <col min="1300" max="1300" width="11.1640625" style="1" bestFit="1" customWidth="1"/>
    <col min="1301" max="1301" width="14.08203125" style="1" bestFit="1" customWidth="1"/>
    <col min="1302" max="1302" width="11.1640625" style="1" bestFit="1" customWidth="1"/>
    <col min="1303" max="1303" width="14.08203125" style="1" bestFit="1" customWidth="1"/>
    <col min="1304" max="1304" width="11.1640625" style="1" bestFit="1" customWidth="1"/>
    <col min="1305" max="1305" width="14.08203125" style="1" bestFit="1" customWidth="1"/>
    <col min="1306" max="1306" width="11.1640625" style="1" bestFit="1" customWidth="1"/>
    <col min="1307" max="1307" width="14.08203125" style="1" bestFit="1" customWidth="1"/>
    <col min="1308" max="1308" width="11.1640625" style="1" bestFit="1" customWidth="1"/>
    <col min="1309" max="1309" width="14.08203125" style="1" bestFit="1" customWidth="1"/>
    <col min="1310" max="1310" width="11.1640625" style="1" bestFit="1" customWidth="1"/>
    <col min="1311" max="1311" width="14.08203125" style="1" bestFit="1" customWidth="1"/>
    <col min="1312" max="1312" width="11.1640625" style="1" bestFit="1" customWidth="1"/>
    <col min="1313" max="1313" width="14.08203125" style="1" bestFit="1" customWidth="1"/>
    <col min="1314" max="1314" width="11.1640625" style="1" bestFit="1" customWidth="1"/>
    <col min="1315" max="1315" width="14.08203125" style="1" bestFit="1" customWidth="1"/>
    <col min="1316" max="1316" width="11.1640625" style="1" bestFit="1" customWidth="1"/>
    <col min="1317" max="1317" width="14.08203125" style="1" bestFit="1" customWidth="1"/>
    <col min="1318" max="1318" width="11.1640625" style="1" bestFit="1" customWidth="1"/>
    <col min="1319" max="1319" width="14.08203125" style="1" bestFit="1" customWidth="1"/>
    <col min="1320" max="1320" width="11.1640625" style="1" bestFit="1" customWidth="1"/>
    <col min="1321" max="1321" width="14.08203125" style="1" bestFit="1" customWidth="1"/>
    <col min="1322" max="1322" width="11.1640625" style="1" bestFit="1" customWidth="1"/>
    <col min="1323" max="1323" width="14.08203125" style="1" bestFit="1" customWidth="1"/>
    <col min="1324" max="1324" width="11.1640625" style="1" bestFit="1" customWidth="1"/>
    <col min="1325" max="1325" width="14.08203125" style="1" bestFit="1" customWidth="1"/>
    <col min="1326" max="1326" width="11.1640625" style="1" bestFit="1" customWidth="1"/>
    <col min="1327" max="1327" width="14.08203125" style="1" bestFit="1" customWidth="1"/>
    <col min="1328" max="1328" width="11.1640625" style="1" bestFit="1" customWidth="1"/>
    <col min="1329" max="1329" width="14.08203125" style="1" bestFit="1" customWidth="1"/>
    <col min="1330" max="1330" width="11.1640625" style="1" bestFit="1" customWidth="1"/>
    <col min="1331" max="1331" width="14.08203125" style="1" bestFit="1" customWidth="1"/>
    <col min="1332" max="1332" width="11.1640625" style="1" bestFit="1" customWidth="1"/>
    <col min="1333" max="1333" width="14.08203125" style="1" bestFit="1" customWidth="1"/>
    <col min="1334" max="1334" width="11.1640625" style="1" bestFit="1" customWidth="1"/>
    <col min="1335" max="1335" width="14.08203125" style="1" bestFit="1" customWidth="1"/>
    <col min="1336" max="1336" width="11.1640625" style="1" bestFit="1" customWidth="1"/>
    <col min="1337" max="1337" width="14.08203125" style="1" bestFit="1" customWidth="1"/>
    <col min="1338" max="1338" width="11.1640625" style="1" bestFit="1" customWidth="1"/>
    <col min="1339" max="1339" width="14.08203125" style="1" bestFit="1" customWidth="1"/>
    <col min="1340" max="1340" width="11.1640625" style="1" bestFit="1" customWidth="1"/>
    <col min="1341" max="1341" width="14.08203125" style="1" bestFit="1" customWidth="1"/>
    <col min="1342" max="1342" width="11.1640625" style="1" bestFit="1" customWidth="1"/>
    <col min="1343" max="1343" width="14.08203125" style="1" bestFit="1" customWidth="1"/>
    <col min="1344" max="1344" width="11.1640625" style="1" bestFit="1" customWidth="1"/>
    <col min="1345" max="1345" width="14.08203125" style="1" bestFit="1" customWidth="1"/>
    <col min="1346" max="1346" width="11.1640625" style="1" bestFit="1" customWidth="1"/>
    <col min="1347" max="1347" width="14.08203125" style="1" bestFit="1" customWidth="1"/>
    <col min="1348" max="1348" width="11.1640625" style="1" bestFit="1" customWidth="1"/>
    <col min="1349" max="1349" width="14.08203125" style="1" bestFit="1" customWidth="1"/>
    <col min="1350" max="1350" width="11.1640625" style="1" bestFit="1" customWidth="1"/>
    <col min="1351" max="1351" width="14.08203125" style="1" bestFit="1" customWidth="1"/>
    <col min="1352" max="1352" width="11.1640625" style="1" bestFit="1" customWidth="1"/>
    <col min="1353" max="1353" width="14.08203125" style="1" bestFit="1" customWidth="1"/>
    <col min="1354" max="1354" width="11.1640625" style="1" bestFit="1" customWidth="1"/>
    <col min="1355" max="1355" width="14.08203125" style="1" bestFit="1" customWidth="1"/>
    <col min="1356" max="1356" width="11.1640625" style="1" bestFit="1" customWidth="1"/>
    <col min="1357" max="1357" width="14.08203125" style="1" bestFit="1" customWidth="1"/>
    <col min="1358" max="1358" width="11.1640625" style="1" bestFit="1" customWidth="1"/>
    <col min="1359" max="1359" width="14.08203125" style="1" bestFit="1" customWidth="1"/>
    <col min="1360" max="1360" width="11.1640625" style="1" bestFit="1" customWidth="1"/>
    <col min="1361" max="1361" width="14.08203125" style="1" bestFit="1" customWidth="1"/>
    <col min="1362" max="1362" width="11.1640625" style="1" bestFit="1" customWidth="1"/>
    <col min="1363" max="1363" width="14.08203125" style="1" bestFit="1" customWidth="1"/>
    <col min="1364" max="1364" width="11.1640625" style="1" bestFit="1" customWidth="1"/>
    <col min="1365" max="1365" width="14.08203125" style="1" bestFit="1" customWidth="1"/>
    <col min="1366" max="1366" width="11.1640625" style="1" bestFit="1" customWidth="1"/>
    <col min="1367" max="1367" width="14.08203125" style="1" bestFit="1" customWidth="1"/>
    <col min="1368" max="1368" width="11.1640625" style="1" bestFit="1" customWidth="1"/>
    <col min="1369" max="1369" width="14.08203125" style="1" bestFit="1" customWidth="1"/>
    <col min="1370" max="1370" width="11.1640625" style="1" bestFit="1" customWidth="1"/>
    <col min="1371" max="1371" width="14.08203125" style="1" bestFit="1" customWidth="1"/>
    <col min="1372" max="1372" width="11.1640625" style="1" bestFit="1" customWidth="1"/>
    <col min="1373" max="1373" width="14.08203125" style="1" bestFit="1" customWidth="1"/>
    <col min="1374" max="1374" width="11.1640625" style="1" bestFit="1" customWidth="1"/>
    <col min="1375" max="1375" width="14.08203125" style="1" bestFit="1" customWidth="1"/>
    <col min="1376" max="1376" width="11.1640625" style="1" bestFit="1" customWidth="1"/>
    <col min="1377" max="1377" width="14.08203125" style="1" bestFit="1" customWidth="1"/>
    <col min="1378" max="1378" width="11.1640625" style="1" bestFit="1" customWidth="1"/>
    <col min="1379" max="1379" width="14.08203125" style="1" bestFit="1" customWidth="1"/>
    <col min="1380" max="1380" width="11.1640625" style="1" bestFit="1" customWidth="1"/>
    <col min="1381" max="1381" width="14.08203125" style="1" bestFit="1" customWidth="1"/>
    <col min="1382" max="1382" width="11.1640625" style="1" bestFit="1" customWidth="1"/>
    <col min="1383" max="1383" width="14.08203125" style="1" bestFit="1" customWidth="1"/>
    <col min="1384" max="1384" width="11.1640625" style="1" bestFit="1" customWidth="1"/>
    <col min="1385" max="1385" width="14.08203125" style="1" bestFit="1" customWidth="1"/>
    <col min="1386" max="1386" width="11.1640625" style="1" bestFit="1" customWidth="1"/>
    <col min="1387" max="1387" width="14.08203125" style="1" bestFit="1" customWidth="1"/>
    <col min="1388" max="1388" width="11.1640625" style="1" bestFit="1" customWidth="1"/>
    <col min="1389" max="1389" width="14.08203125" style="1" bestFit="1" customWidth="1"/>
    <col min="1390" max="1390" width="11.1640625" style="1" bestFit="1" customWidth="1"/>
    <col min="1391" max="1391" width="14.08203125" style="1" bestFit="1" customWidth="1"/>
    <col min="1392" max="1392" width="11.1640625" style="1" bestFit="1" customWidth="1"/>
    <col min="1393" max="1393" width="14.08203125" style="1" bestFit="1" customWidth="1"/>
    <col min="1394" max="1394" width="11.1640625" style="1" bestFit="1" customWidth="1"/>
    <col min="1395" max="1395" width="14.08203125" style="1" bestFit="1" customWidth="1"/>
    <col min="1396" max="1396" width="11.1640625" style="1" bestFit="1" customWidth="1"/>
    <col min="1397" max="1397" width="14.08203125" style="1" bestFit="1" customWidth="1"/>
    <col min="1398" max="1398" width="11.1640625" style="1" bestFit="1" customWidth="1"/>
    <col min="1399" max="1399" width="14.08203125" style="1" bestFit="1" customWidth="1"/>
    <col min="1400" max="1400" width="11.1640625" style="1" bestFit="1" customWidth="1"/>
    <col min="1401" max="1401" width="14.08203125" style="1" bestFit="1" customWidth="1"/>
    <col min="1402" max="1402" width="11.1640625" style="1" bestFit="1" customWidth="1"/>
    <col min="1403" max="1403" width="14.08203125" style="1" bestFit="1" customWidth="1"/>
    <col min="1404" max="1404" width="11.1640625" style="1" bestFit="1" customWidth="1"/>
    <col min="1405" max="1405" width="14.08203125" style="1" bestFit="1" customWidth="1"/>
    <col min="1406" max="1406" width="11.1640625" style="1" bestFit="1" customWidth="1"/>
    <col min="1407" max="1407" width="14.08203125" style="1" bestFit="1" customWidth="1"/>
    <col min="1408" max="1408" width="11.1640625" style="1" bestFit="1" customWidth="1"/>
    <col min="1409" max="1409" width="14.08203125" style="1" bestFit="1" customWidth="1"/>
    <col min="1410" max="1410" width="11.1640625" style="1" bestFit="1" customWidth="1"/>
    <col min="1411" max="1411" width="14.08203125" style="1" bestFit="1" customWidth="1"/>
    <col min="1412" max="1412" width="11.1640625" style="1" bestFit="1" customWidth="1"/>
    <col min="1413" max="1413" width="14.08203125" style="1" bestFit="1" customWidth="1"/>
    <col min="1414" max="1414" width="11.1640625" style="1" bestFit="1" customWidth="1"/>
    <col min="1415" max="1415" width="14.08203125" style="1" bestFit="1" customWidth="1"/>
    <col min="1416" max="1416" width="11.1640625" style="1" bestFit="1" customWidth="1"/>
    <col min="1417" max="1417" width="14.08203125" style="1" bestFit="1" customWidth="1"/>
    <col min="1418" max="1418" width="11.1640625" style="1" bestFit="1" customWidth="1"/>
    <col min="1419" max="1419" width="14.08203125" style="1" bestFit="1" customWidth="1"/>
    <col min="1420" max="1420" width="11.1640625" style="1" bestFit="1" customWidth="1"/>
    <col min="1421" max="1421" width="14.08203125" style="1" bestFit="1" customWidth="1"/>
    <col min="1422" max="1422" width="11.1640625" style="1" bestFit="1" customWidth="1"/>
    <col min="1423" max="1423" width="14.08203125" style="1" bestFit="1" customWidth="1"/>
    <col min="1424" max="1424" width="11.1640625" style="1" bestFit="1" customWidth="1"/>
    <col min="1425" max="1425" width="14.08203125" style="1" bestFit="1" customWidth="1"/>
    <col min="1426" max="1426" width="11.1640625" style="1" bestFit="1" customWidth="1"/>
    <col min="1427" max="1427" width="14.08203125" style="1" bestFit="1" customWidth="1"/>
    <col min="1428" max="1428" width="11.1640625" style="1" bestFit="1" customWidth="1"/>
    <col min="1429" max="1429" width="14.08203125" style="1" bestFit="1" customWidth="1"/>
    <col min="1430" max="1430" width="11.1640625" style="1" bestFit="1" customWidth="1"/>
    <col min="1431" max="1431" width="14.08203125" style="1" bestFit="1" customWidth="1"/>
    <col min="1432" max="1432" width="11.1640625" style="1" bestFit="1" customWidth="1"/>
    <col min="1433" max="1433" width="14.08203125" style="1" bestFit="1" customWidth="1"/>
    <col min="1434" max="1434" width="11.1640625" style="1" bestFit="1" customWidth="1"/>
    <col min="1435" max="1435" width="14.08203125" style="1" bestFit="1" customWidth="1"/>
    <col min="1436" max="1436" width="11.1640625" style="1" bestFit="1" customWidth="1"/>
    <col min="1437" max="1437" width="14.08203125" style="1" bestFit="1" customWidth="1"/>
    <col min="1438" max="1438" width="11.1640625" style="1" bestFit="1" customWidth="1"/>
    <col min="1439" max="1439" width="14.08203125" style="1" bestFit="1" customWidth="1"/>
    <col min="1440" max="1440" width="11.1640625" style="1" bestFit="1" customWidth="1"/>
    <col min="1441" max="1441" width="14.08203125" style="1" bestFit="1" customWidth="1"/>
    <col min="1442" max="1442" width="11.1640625" style="1" bestFit="1" customWidth="1"/>
    <col min="1443" max="1443" width="14.08203125" style="1" bestFit="1" customWidth="1"/>
    <col min="1444" max="1444" width="11.1640625" style="1" bestFit="1" customWidth="1"/>
    <col min="1445" max="1445" width="14.08203125" style="1" bestFit="1" customWidth="1"/>
    <col min="1446" max="1446" width="11.1640625" style="1" bestFit="1" customWidth="1"/>
    <col min="1447" max="1447" width="14.08203125" style="1" bestFit="1" customWidth="1"/>
    <col min="1448" max="1448" width="11.1640625" style="1" bestFit="1" customWidth="1"/>
    <col min="1449" max="1449" width="14.08203125" style="1" bestFit="1" customWidth="1"/>
    <col min="1450" max="1450" width="11.1640625" style="1" bestFit="1" customWidth="1"/>
    <col min="1451" max="1451" width="14.08203125" style="1" bestFit="1" customWidth="1"/>
    <col min="1452" max="1452" width="11.1640625" style="1" bestFit="1" customWidth="1"/>
    <col min="1453" max="1453" width="14.08203125" style="1" bestFit="1" customWidth="1"/>
    <col min="1454" max="1454" width="11.1640625" style="1" bestFit="1" customWidth="1"/>
    <col min="1455" max="1455" width="14.08203125" style="1" bestFit="1" customWidth="1"/>
    <col min="1456" max="1456" width="11.1640625" style="1" bestFit="1" customWidth="1"/>
    <col min="1457" max="1457" width="14.08203125" style="1" bestFit="1" customWidth="1"/>
    <col min="1458" max="1458" width="11.1640625" style="1" bestFit="1" customWidth="1"/>
    <col min="1459" max="1459" width="14.08203125" style="1" bestFit="1" customWidth="1"/>
    <col min="1460" max="1460" width="11.1640625" style="1" bestFit="1" customWidth="1"/>
    <col min="1461" max="1461" width="14.08203125" style="1" bestFit="1" customWidth="1"/>
    <col min="1462" max="1462" width="11.1640625" style="1" bestFit="1" customWidth="1"/>
    <col min="1463" max="1463" width="14.08203125" style="1" bestFit="1" customWidth="1"/>
    <col min="1464" max="1464" width="11.1640625" style="1" bestFit="1" customWidth="1"/>
    <col min="1465" max="1465" width="14.08203125" style="1" bestFit="1" customWidth="1"/>
    <col min="1466" max="1466" width="11.1640625" style="1" bestFit="1" customWidth="1"/>
    <col min="1467" max="1467" width="14.08203125" style="1" bestFit="1" customWidth="1"/>
    <col min="1468" max="1468" width="11.1640625" style="1" bestFit="1" customWidth="1"/>
    <col min="1469" max="1469" width="14.08203125" style="1" bestFit="1" customWidth="1"/>
    <col min="1470" max="1470" width="11.1640625" style="1" bestFit="1" customWidth="1"/>
    <col min="1471" max="1471" width="14.08203125" style="1" bestFit="1" customWidth="1"/>
    <col min="1472" max="1472" width="11.1640625" style="1" bestFit="1" customWidth="1"/>
    <col min="1473" max="1473" width="14.08203125" style="1" bestFit="1" customWidth="1"/>
    <col min="1474" max="1474" width="11.1640625" style="1" bestFit="1" customWidth="1"/>
    <col min="1475" max="1475" width="14.08203125" style="1" bestFit="1" customWidth="1"/>
    <col min="1476" max="1476" width="11.1640625" style="1" bestFit="1" customWidth="1"/>
    <col min="1477" max="1477" width="14.08203125" style="1" bestFit="1" customWidth="1"/>
    <col min="1478" max="1478" width="11.1640625" style="1" bestFit="1" customWidth="1"/>
    <col min="1479" max="1479" width="14.08203125" style="1" bestFit="1" customWidth="1"/>
    <col min="1480" max="1480" width="11.1640625" style="1" bestFit="1" customWidth="1"/>
    <col min="1481" max="1481" width="14.08203125" style="1" bestFit="1" customWidth="1"/>
    <col min="1482" max="1482" width="11.1640625" style="1" bestFit="1" customWidth="1"/>
    <col min="1483" max="1483" width="14.08203125" style="1" bestFit="1" customWidth="1"/>
    <col min="1484" max="1484" width="11.1640625" style="1" bestFit="1" customWidth="1"/>
    <col min="1485" max="1485" width="14.08203125" style="1" bestFit="1" customWidth="1"/>
    <col min="1486" max="1486" width="11.1640625" style="1" bestFit="1" customWidth="1"/>
    <col min="1487" max="1487" width="14.08203125" style="1" bestFit="1" customWidth="1"/>
    <col min="1488" max="1488" width="11.1640625" style="1" bestFit="1" customWidth="1"/>
    <col min="1489" max="1489" width="14.08203125" style="1" bestFit="1" customWidth="1"/>
    <col min="1490" max="1490" width="11.1640625" style="1" bestFit="1" customWidth="1"/>
    <col min="1491" max="1491" width="14.08203125" style="1" bestFit="1" customWidth="1"/>
    <col min="1492" max="1492" width="11.1640625" style="1" bestFit="1" customWidth="1"/>
    <col min="1493" max="1493" width="14.08203125" style="1" bestFit="1" customWidth="1"/>
    <col min="1494" max="1494" width="11.1640625" style="1" bestFit="1" customWidth="1"/>
    <col min="1495" max="1495" width="14.08203125" style="1" bestFit="1" customWidth="1"/>
    <col min="1496" max="1496" width="11.1640625" style="1" bestFit="1" customWidth="1"/>
    <col min="1497" max="1497" width="14.08203125" style="1" bestFit="1" customWidth="1"/>
    <col min="1498" max="1498" width="11.1640625" style="1" bestFit="1" customWidth="1"/>
    <col min="1499" max="1499" width="14.08203125" style="1" bestFit="1" customWidth="1"/>
    <col min="1500" max="1500" width="11.1640625" style="1" bestFit="1" customWidth="1"/>
    <col min="1501" max="1501" width="14.08203125" style="1" bestFit="1" customWidth="1"/>
    <col min="1502" max="1502" width="11.1640625" style="1" bestFit="1" customWidth="1"/>
    <col min="1503" max="1503" width="14.08203125" style="1" bestFit="1" customWidth="1"/>
    <col min="1504" max="1504" width="11.1640625" style="1" bestFit="1" customWidth="1"/>
    <col min="1505" max="1505" width="14.08203125" style="1" bestFit="1" customWidth="1"/>
    <col min="1506" max="1506" width="11.1640625" style="1" bestFit="1" customWidth="1"/>
    <col min="1507" max="1507" width="14.08203125" style="1" bestFit="1" customWidth="1"/>
    <col min="1508" max="1508" width="11.1640625" style="1" bestFit="1" customWidth="1"/>
    <col min="1509" max="1509" width="14.08203125" style="1" bestFit="1" customWidth="1"/>
    <col min="1510" max="1510" width="11.1640625" style="1" bestFit="1" customWidth="1"/>
    <col min="1511" max="1511" width="14.08203125" style="1" bestFit="1" customWidth="1"/>
    <col min="1512" max="1512" width="11.1640625" style="1" bestFit="1" customWidth="1"/>
    <col min="1513" max="1513" width="14.08203125" style="1" bestFit="1" customWidth="1"/>
    <col min="1514" max="1514" width="11.1640625" style="1" bestFit="1" customWidth="1"/>
    <col min="1515" max="1515" width="14.08203125" style="1" bestFit="1" customWidth="1"/>
    <col min="1516" max="1516" width="11.1640625" style="1" bestFit="1" customWidth="1"/>
    <col min="1517" max="1517" width="14.08203125" style="1" bestFit="1" customWidth="1"/>
    <col min="1518" max="1518" width="11.1640625" style="1" bestFit="1" customWidth="1"/>
    <col min="1519" max="1519" width="14.08203125" style="1" bestFit="1" customWidth="1"/>
    <col min="1520" max="1520" width="11.1640625" style="1" bestFit="1" customWidth="1"/>
    <col min="1521" max="1521" width="14.08203125" style="1" bestFit="1" customWidth="1"/>
    <col min="1522" max="1522" width="11.1640625" style="1" bestFit="1" customWidth="1"/>
    <col min="1523" max="1523" width="14.08203125" style="1" bestFit="1" customWidth="1"/>
    <col min="1524" max="1524" width="11.1640625" style="1" bestFit="1" customWidth="1"/>
    <col min="1525" max="1525" width="14.08203125" style="1" bestFit="1" customWidth="1"/>
    <col min="1526" max="1526" width="11.1640625" style="1" bestFit="1" customWidth="1"/>
    <col min="1527" max="1527" width="14.08203125" style="1" bestFit="1" customWidth="1"/>
    <col min="1528" max="1528" width="11.1640625" style="1" bestFit="1" customWidth="1"/>
    <col min="1529" max="1529" width="14.08203125" style="1" bestFit="1" customWidth="1"/>
    <col min="1530" max="1530" width="11.1640625" style="1" bestFit="1" customWidth="1"/>
    <col min="1531" max="1531" width="14.08203125" style="1" bestFit="1" customWidth="1"/>
    <col min="1532" max="1532" width="11.1640625" style="1" bestFit="1" customWidth="1"/>
    <col min="1533" max="1533" width="14.08203125" style="1" bestFit="1" customWidth="1"/>
    <col min="1534" max="1534" width="11.1640625" style="1" bestFit="1" customWidth="1"/>
    <col min="1535" max="1535" width="14.08203125" style="1" bestFit="1" customWidth="1"/>
    <col min="1536" max="1536" width="11.1640625" style="1" bestFit="1" customWidth="1"/>
    <col min="1537" max="1537" width="14.08203125" style="1" bestFit="1" customWidth="1"/>
    <col min="1538" max="1538" width="7.33203125" style="1" bestFit="1" customWidth="1"/>
    <col min="1539" max="1539" width="8.33203125" style="1" bestFit="1" customWidth="1"/>
    <col min="1540" max="1540" width="21.83203125" style="1" bestFit="1" customWidth="1"/>
    <col min="1541" max="1541" width="13.33203125" style="1" bestFit="1" customWidth="1"/>
    <col min="1542" max="16384" width="8.6640625" style="1"/>
  </cols>
  <sheetData>
    <row r="3" spans="1:1541" x14ac:dyDescent="0.3">
      <c r="A3" s="197"/>
    </row>
    <row r="4" spans="1:1541" x14ac:dyDescent="0.3">
      <c r="A4"/>
      <c r="B4"/>
    </row>
    <row r="5" spans="1:1541" x14ac:dyDescent="0.3">
      <c r="A5" s="58" t="s">
        <v>888</v>
      </c>
      <c r="B5" s="14" t="s">
        <v>110</v>
      </c>
    </row>
    <row r="6" spans="1:1541" x14ac:dyDescent="0.3">
      <c r="A6" s="58" t="s">
        <v>110</v>
      </c>
      <c r="B6" s="608">
        <v>12</v>
      </c>
    </row>
    <row r="7" spans="1:1541" x14ac:dyDescent="0.3">
      <c r="A7" s="12"/>
    </row>
    <row r="8" spans="1:1541" ht="14" customHeight="1" x14ac:dyDescent="0.3">
      <c r="A8" s="2"/>
      <c r="B8" s="3" t="s">
        <v>1</v>
      </c>
      <c r="C8" s="3" t="s">
        <v>900</v>
      </c>
      <c r="D8" s="3" t="s">
        <v>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</row>
    <row r="9" spans="1:1541" ht="14" customHeight="1" x14ac:dyDescent="0.3">
      <c r="A9" s="2"/>
      <c r="B9" s="658" t="s">
        <v>5</v>
      </c>
      <c r="C9" s="660"/>
      <c r="D9" s="660"/>
      <c r="E9" s="660"/>
      <c r="F9" s="660"/>
      <c r="G9" s="660"/>
      <c r="H9" s="658" t="s">
        <v>650</v>
      </c>
      <c r="I9" s="660"/>
      <c r="J9" s="660"/>
      <c r="K9" s="660"/>
      <c r="L9" s="660"/>
      <c r="M9" s="660"/>
      <c r="N9" s="658" t="s">
        <v>592</v>
      </c>
      <c r="O9" s="660"/>
      <c r="P9" s="660"/>
      <c r="Q9" s="660"/>
      <c r="R9" s="660"/>
      <c r="S9" s="660"/>
      <c r="T9" s="658" t="s">
        <v>904</v>
      </c>
      <c r="U9" s="660"/>
      <c r="V9" s="660"/>
      <c r="W9" s="660"/>
      <c r="X9" s="660"/>
      <c r="Y9" s="660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</row>
    <row r="10" spans="1:1541" ht="14" customHeight="1" x14ac:dyDescent="0.3">
      <c r="A10" s="2"/>
      <c r="B10" s="658" t="s">
        <v>560</v>
      </c>
      <c r="C10" s="660"/>
      <c r="D10" s="660"/>
      <c r="E10" s="658" t="s">
        <v>246</v>
      </c>
      <c r="F10" s="660"/>
      <c r="G10" s="660"/>
      <c r="H10" s="658" t="s">
        <v>560</v>
      </c>
      <c r="I10" s="660"/>
      <c r="J10" s="660"/>
      <c r="K10" s="658" t="s">
        <v>246</v>
      </c>
      <c r="L10" s="660"/>
      <c r="M10" s="660"/>
      <c r="N10" s="658" t="s">
        <v>560</v>
      </c>
      <c r="O10" s="660"/>
      <c r="P10" s="660"/>
      <c r="Q10" s="658" t="s">
        <v>246</v>
      </c>
      <c r="R10" s="660"/>
      <c r="S10" s="660"/>
      <c r="T10" s="658" t="s">
        <v>560</v>
      </c>
      <c r="U10" s="660"/>
      <c r="V10" s="660"/>
      <c r="W10" s="658" t="s">
        <v>246</v>
      </c>
      <c r="X10" s="660"/>
      <c r="Y10" s="66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</row>
    <row r="11" spans="1:1541" ht="14" customHeight="1" x14ac:dyDescent="0.3">
      <c r="A11" s="3" t="s">
        <v>13</v>
      </c>
      <c r="B11" s="5" t="s">
        <v>10</v>
      </c>
      <c r="C11" s="5" t="s">
        <v>11</v>
      </c>
      <c r="D11" s="5" t="s">
        <v>12</v>
      </c>
      <c r="E11" s="5" t="s">
        <v>10</v>
      </c>
      <c r="F11" s="5" t="s">
        <v>11</v>
      </c>
      <c r="G11" s="5" t="s">
        <v>12</v>
      </c>
      <c r="H11" s="5" t="s">
        <v>10</v>
      </c>
      <c r="I11" s="5" t="s">
        <v>11</v>
      </c>
      <c r="J11" s="5" t="s">
        <v>12</v>
      </c>
      <c r="K11" s="5" t="s">
        <v>10</v>
      </c>
      <c r="L11" s="5" t="s">
        <v>11</v>
      </c>
      <c r="M11" s="5" t="s">
        <v>12</v>
      </c>
      <c r="N11" s="5" t="s">
        <v>10</v>
      </c>
      <c r="O11" s="5" t="s">
        <v>11</v>
      </c>
      <c r="P11" s="5" t="s">
        <v>12</v>
      </c>
      <c r="Q11" s="5" t="s">
        <v>10</v>
      </c>
      <c r="R11" s="5" t="s">
        <v>11</v>
      </c>
      <c r="S11" s="5" t="s">
        <v>12</v>
      </c>
      <c r="T11" s="5" t="s">
        <v>10</v>
      </c>
      <c r="U11" s="5" t="s">
        <v>11</v>
      </c>
      <c r="V11" s="5" t="s">
        <v>12</v>
      </c>
      <c r="W11" s="5" t="s">
        <v>10</v>
      </c>
      <c r="X11" s="5" t="s">
        <v>11</v>
      </c>
      <c r="Y11" s="5" t="s">
        <v>12</v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</row>
    <row r="12" spans="1:1541" ht="14" customHeight="1" x14ac:dyDescent="0.3">
      <c r="A12" s="5" t="s">
        <v>2</v>
      </c>
      <c r="B12" s="334">
        <v>378635</v>
      </c>
      <c r="C12" s="334">
        <v>281359</v>
      </c>
      <c r="D12" s="334">
        <v>622141</v>
      </c>
      <c r="E12" s="334">
        <v>219663</v>
      </c>
      <c r="F12" s="334">
        <v>426783</v>
      </c>
      <c r="G12" s="334">
        <v>518682</v>
      </c>
      <c r="H12" s="4">
        <v>0.63528829456128721</v>
      </c>
      <c r="I12" s="4">
        <v>0.53741848729223096</v>
      </c>
      <c r="J12" s="4">
        <v>0.53160041253779955</v>
      </c>
      <c r="K12" s="4">
        <v>0.61662212690463625</v>
      </c>
      <c r="L12" s="4">
        <v>0.66855743744948026</v>
      </c>
      <c r="M12" s="4">
        <v>0.74995662332855229</v>
      </c>
      <c r="N12" s="334">
        <v>280</v>
      </c>
      <c r="O12" s="334">
        <v>292</v>
      </c>
      <c r="P12" s="334">
        <v>322</v>
      </c>
      <c r="Q12" s="334">
        <v>411</v>
      </c>
      <c r="R12" s="334">
        <v>317</v>
      </c>
      <c r="S12" s="334">
        <v>282</v>
      </c>
      <c r="T12" s="334">
        <v>1567903</v>
      </c>
      <c r="U12" s="334">
        <v>4283260</v>
      </c>
      <c r="V12" s="334">
        <v>4393670</v>
      </c>
      <c r="W12" s="334">
        <v>2431414.5</v>
      </c>
      <c r="X12" s="334">
        <v>4152320</v>
      </c>
      <c r="Y12" s="334">
        <v>4660465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</row>
    <row r="13" spans="1:1541" ht="14" customHeight="1" x14ac:dyDescent="0.3">
      <c r="A13" s="5" t="s">
        <v>3</v>
      </c>
      <c r="B13" s="334">
        <v>217370</v>
      </c>
      <c r="C13" s="334">
        <v>242179</v>
      </c>
      <c r="D13" s="334">
        <v>548176</v>
      </c>
      <c r="E13" s="334">
        <v>136573</v>
      </c>
      <c r="F13" s="334">
        <v>211581</v>
      </c>
      <c r="G13" s="334">
        <v>172934</v>
      </c>
      <c r="H13" s="4">
        <v>0.36471170543871279</v>
      </c>
      <c r="I13" s="4">
        <v>0.46258151270776904</v>
      </c>
      <c r="J13" s="4">
        <v>0.4683995874622004</v>
      </c>
      <c r="K13" s="4">
        <v>0.38337787309536375</v>
      </c>
      <c r="L13" s="4">
        <v>0.33144256255051979</v>
      </c>
      <c r="M13" s="4">
        <v>0.25004337667144771</v>
      </c>
      <c r="N13" s="334">
        <v>789</v>
      </c>
      <c r="O13" s="334">
        <v>576</v>
      </c>
      <c r="P13" s="334">
        <v>758</v>
      </c>
      <c r="Q13" s="334">
        <v>744</v>
      </c>
      <c r="R13" s="334">
        <v>500</v>
      </c>
      <c r="S13" s="334">
        <v>551</v>
      </c>
      <c r="T13" s="334">
        <v>4749986.17</v>
      </c>
      <c r="U13" s="334">
        <v>8615940</v>
      </c>
      <c r="V13" s="334">
        <v>11811460</v>
      </c>
      <c r="W13" s="334">
        <v>5056362.8000000007</v>
      </c>
      <c r="X13" s="334">
        <v>7546360</v>
      </c>
      <c r="Y13" s="334">
        <v>9778415.0699999984</v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</row>
    <row r="14" spans="1:1541" ht="14" customHeight="1" x14ac:dyDescent="0.3">
      <c r="A14" s="5" t="s">
        <v>0</v>
      </c>
      <c r="B14" s="334">
        <v>596005</v>
      </c>
      <c r="C14" s="334">
        <v>523538</v>
      </c>
      <c r="D14" s="334">
        <v>1170317</v>
      </c>
      <c r="E14" s="334">
        <v>356236</v>
      </c>
      <c r="F14" s="334">
        <v>638364</v>
      </c>
      <c r="G14" s="334">
        <v>691616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334">
        <v>1069</v>
      </c>
      <c r="O14" s="334">
        <v>868</v>
      </c>
      <c r="P14" s="334">
        <v>1080</v>
      </c>
      <c r="Q14" s="334">
        <v>1155</v>
      </c>
      <c r="R14" s="334">
        <v>817</v>
      </c>
      <c r="S14" s="334">
        <v>833</v>
      </c>
      <c r="T14" s="334">
        <v>6317889.1699999999</v>
      </c>
      <c r="U14" s="334">
        <v>12899200</v>
      </c>
      <c r="V14" s="334">
        <v>16205130</v>
      </c>
      <c r="W14" s="334">
        <v>7487777.3000000007</v>
      </c>
      <c r="X14" s="334">
        <v>11698680</v>
      </c>
      <c r="Y14" s="334">
        <v>14438880.069999998</v>
      </c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</row>
    <row r="15" spans="1:1541" ht="14" customHeigh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</row>
    <row r="16" spans="1:1541" x14ac:dyDescent="0.3">
      <c r="A16" s="61"/>
      <c r="B16" s="13"/>
      <c r="C16" s="10"/>
      <c r="D16" s="13"/>
      <c r="E16" s="10"/>
      <c r="F16" s="13"/>
      <c r="G16" s="10"/>
      <c r="H16" s="62"/>
      <c r="I16" s="62"/>
      <c r="J16" s="62"/>
      <c r="K16" s="62"/>
      <c r="L16" s="62"/>
      <c r="M16" s="62"/>
      <c r="N16"/>
      <c r="O16"/>
      <c r="P16"/>
      <c r="Q16"/>
      <c r="R16"/>
      <c r="S16"/>
      <c r="T16" s="63"/>
      <c r="U16" s="63"/>
      <c r="V16" s="63"/>
      <c r="W16" s="63"/>
      <c r="X16" s="63"/>
      <c r="Y16" s="63"/>
      <c r="Z16" s="10"/>
      <c r="AA16" s="62"/>
      <c r="AB16"/>
      <c r="AC16" s="63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</row>
    <row r="17" spans="1:1541" x14ac:dyDescent="0.3">
      <c r="A17" s="61"/>
      <c r="B17" s="13"/>
      <c r="C17" s="557"/>
      <c r="D17" s="13"/>
      <c r="E17" s="10"/>
      <c r="F17" s="13"/>
      <c r="G17" s="10"/>
      <c r="H17" s="62"/>
      <c r="I17" s="62"/>
      <c r="J17" s="62"/>
      <c r="K17" s="62"/>
      <c r="L17" s="62"/>
      <c r="M17" s="62"/>
      <c r="N17"/>
      <c r="O17"/>
      <c r="P17"/>
      <c r="Q17"/>
      <c r="R17"/>
      <c r="S17"/>
      <c r="T17" s="63"/>
      <c r="U17" s="63"/>
      <c r="V17" s="63"/>
      <c r="W17" s="63"/>
      <c r="X17" s="63"/>
      <c r="Y17" s="63"/>
      <c r="Z17" s="10"/>
      <c r="AA17" s="62"/>
      <c r="AB17"/>
      <c r="AC17" s="63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</row>
    <row r="18" spans="1:1541" x14ac:dyDescent="0.3">
      <c r="A18" s="61"/>
      <c r="B18" s="13"/>
      <c r="C18" s="10"/>
      <c r="D18" s="13"/>
      <c r="E18" s="10"/>
      <c r="F18" s="13"/>
      <c r="G18" s="10"/>
      <c r="H18" s="62"/>
      <c r="I18" s="62"/>
      <c r="J18" s="62"/>
      <c r="K18" s="62"/>
      <c r="L18" s="62"/>
      <c r="M18" s="62"/>
      <c r="N18"/>
      <c r="O18"/>
      <c r="P18"/>
      <c r="Q18"/>
      <c r="R18"/>
      <c r="S18"/>
      <c r="T18" s="63"/>
      <c r="U18" s="63"/>
      <c r="V18" s="63"/>
      <c r="W18" s="63"/>
      <c r="X18" s="63"/>
      <c r="Y18" s="63"/>
      <c r="Z18" s="10"/>
      <c r="AA18" s="62"/>
      <c r="AB18"/>
      <c r="AC18" s="63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  <c r="AMK18"/>
      <c r="AML18"/>
      <c r="AMM18"/>
      <c r="AMN18"/>
      <c r="AMO18"/>
      <c r="AMP18"/>
      <c r="AMQ18"/>
      <c r="AMR18"/>
      <c r="AMS18"/>
      <c r="AMT18"/>
      <c r="AMU18"/>
      <c r="AMV18"/>
      <c r="AMW18"/>
      <c r="AMX18"/>
      <c r="AMY18"/>
      <c r="AMZ18"/>
      <c r="ANA18"/>
      <c r="ANB18"/>
      <c r="ANC18"/>
      <c r="AND18"/>
      <c r="ANE18"/>
      <c r="ANF18"/>
      <c r="ANG18"/>
      <c r="ANH18"/>
      <c r="ANI18"/>
      <c r="ANJ18"/>
      <c r="ANK18"/>
      <c r="ANL18"/>
      <c r="ANM18"/>
      <c r="ANN18"/>
      <c r="ANO18"/>
      <c r="ANP18"/>
      <c r="ANQ18"/>
      <c r="ANR18"/>
      <c r="ANS18"/>
      <c r="ANT18"/>
      <c r="ANU18"/>
      <c r="ANV18"/>
      <c r="ANW18"/>
      <c r="ANX18"/>
      <c r="ANY18"/>
      <c r="ANZ18"/>
      <c r="AOA18"/>
      <c r="AOB18"/>
      <c r="AOC18"/>
      <c r="AOD18"/>
      <c r="AOE18"/>
      <c r="AOF18"/>
      <c r="AOG18"/>
      <c r="AOH18"/>
      <c r="AOI18"/>
      <c r="AOJ18"/>
      <c r="AOK18"/>
      <c r="AOL18"/>
      <c r="AOM18"/>
      <c r="AON18"/>
      <c r="AOO18"/>
      <c r="AOP18"/>
      <c r="AOQ18"/>
      <c r="AOR18"/>
      <c r="AOS18"/>
      <c r="AOT18"/>
      <c r="AOU18"/>
      <c r="AOV18"/>
      <c r="AOW18"/>
      <c r="AOX18"/>
      <c r="AOY18"/>
      <c r="AOZ18"/>
      <c r="APA18"/>
      <c r="APB18"/>
      <c r="APC18"/>
      <c r="APD18"/>
      <c r="APE18"/>
      <c r="APF18"/>
      <c r="APG18"/>
      <c r="APH18"/>
      <c r="API18"/>
      <c r="APJ18"/>
      <c r="APK18"/>
      <c r="APL18"/>
      <c r="APM18"/>
      <c r="APN18"/>
      <c r="APO18"/>
      <c r="APP18"/>
      <c r="APQ18"/>
      <c r="APR18"/>
      <c r="APS18"/>
      <c r="APT18"/>
      <c r="APU18"/>
      <c r="APV18"/>
      <c r="APW18"/>
      <c r="APX18"/>
      <c r="APY18"/>
      <c r="APZ18"/>
      <c r="AQA18"/>
      <c r="AQB18"/>
      <c r="AQC18"/>
      <c r="AQD18"/>
      <c r="AQE18"/>
      <c r="AQF18"/>
      <c r="AQG18"/>
      <c r="AQH18"/>
      <c r="AQI18"/>
      <c r="AQJ18"/>
      <c r="AQK18"/>
      <c r="AQL18"/>
      <c r="AQM18"/>
      <c r="AQN18"/>
      <c r="AQO18"/>
      <c r="AQP18"/>
      <c r="AQQ18"/>
      <c r="AQR18"/>
      <c r="AQS18"/>
      <c r="AQT18"/>
      <c r="AQU18"/>
      <c r="AQV18"/>
      <c r="AQW18"/>
      <c r="AQX18"/>
      <c r="AQY18"/>
      <c r="AQZ18"/>
      <c r="ARA18"/>
      <c r="ARB18"/>
      <c r="ARC18"/>
      <c r="ARD18"/>
      <c r="ARE18"/>
      <c r="ARF18"/>
      <c r="ARG18"/>
      <c r="ARH18"/>
      <c r="ARI18"/>
      <c r="ARJ18"/>
      <c r="ARK18"/>
      <c r="ARL18"/>
      <c r="ARM18"/>
      <c r="ARN18"/>
      <c r="ARO18"/>
      <c r="ARP18"/>
      <c r="ARQ18"/>
      <c r="ARR18"/>
      <c r="ARS18"/>
      <c r="ART18"/>
      <c r="ARU18"/>
      <c r="ARV18"/>
      <c r="ARW18"/>
      <c r="ARX18"/>
      <c r="ARY18"/>
      <c r="ARZ18"/>
      <c r="ASA18"/>
      <c r="ASB18"/>
      <c r="ASC18"/>
      <c r="ASD18"/>
      <c r="ASE18"/>
      <c r="ASF18"/>
      <c r="ASG18"/>
      <c r="ASH18"/>
      <c r="ASI18"/>
      <c r="ASJ18"/>
      <c r="ASK18"/>
      <c r="ASL18"/>
      <c r="ASM18"/>
      <c r="ASN18"/>
      <c r="ASO18"/>
      <c r="ASP18"/>
      <c r="ASQ18"/>
      <c r="ASR18"/>
      <c r="ASS18"/>
      <c r="AST18"/>
      <c r="ASU18"/>
      <c r="ASV18"/>
      <c r="ASW18"/>
      <c r="ASX18"/>
      <c r="ASY18"/>
      <c r="ASZ18"/>
      <c r="ATA18"/>
      <c r="ATB18"/>
      <c r="ATC18"/>
      <c r="ATD18"/>
      <c r="ATE18"/>
      <c r="ATF18"/>
      <c r="ATG18"/>
      <c r="ATH18"/>
      <c r="ATI18"/>
      <c r="ATJ18"/>
      <c r="ATK18"/>
      <c r="ATL18"/>
      <c r="ATM18"/>
      <c r="ATN18"/>
      <c r="ATO18"/>
      <c r="ATP18"/>
      <c r="ATQ18"/>
      <c r="ATR18"/>
      <c r="ATS18"/>
      <c r="ATT18"/>
      <c r="ATU18"/>
      <c r="ATV18"/>
      <c r="ATW18"/>
      <c r="ATX18"/>
      <c r="ATY18"/>
      <c r="ATZ18"/>
      <c r="AUA18"/>
      <c r="AUB18"/>
      <c r="AUC18"/>
      <c r="AUD18"/>
      <c r="AUE18"/>
      <c r="AUF18"/>
      <c r="AUG18"/>
      <c r="AUH18"/>
      <c r="AUI18"/>
      <c r="AUJ18"/>
      <c r="AUK18"/>
      <c r="AUL18"/>
      <c r="AUM18"/>
      <c r="AUN18"/>
      <c r="AUO18"/>
      <c r="AUP18"/>
      <c r="AUQ18"/>
      <c r="AUR18"/>
      <c r="AUS18"/>
      <c r="AUT18"/>
      <c r="AUU18"/>
      <c r="AUV18"/>
      <c r="AUW18"/>
      <c r="AUX18"/>
      <c r="AUY18"/>
      <c r="AUZ18"/>
      <c r="AVA18"/>
      <c r="AVB18"/>
      <c r="AVC18"/>
      <c r="AVD18"/>
      <c r="AVE18"/>
      <c r="AVF18"/>
      <c r="AVG18"/>
      <c r="AVH18"/>
      <c r="AVI18"/>
      <c r="AVJ18"/>
      <c r="AVK18"/>
      <c r="AVL18"/>
      <c r="AVM18"/>
      <c r="AVN18"/>
      <c r="AVO18"/>
      <c r="AVP18"/>
      <c r="AVQ18"/>
      <c r="AVR18"/>
      <c r="AVS18"/>
      <c r="AVT18"/>
      <c r="AVU18"/>
      <c r="AVV18"/>
      <c r="AVW18"/>
      <c r="AVX18"/>
      <c r="AVY18"/>
      <c r="AVZ18"/>
      <c r="AWA18"/>
      <c r="AWB18"/>
      <c r="AWC18"/>
      <c r="AWD18"/>
      <c r="AWE18"/>
      <c r="AWF18"/>
      <c r="AWG18"/>
      <c r="AWH18"/>
      <c r="AWI18"/>
      <c r="AWJ18"/>
      <c r="AWK18"/>
      <c r="AWL18"/>
      <c r="AWM18"/>
      <c r="AWN18"/>
      <c r="AWO18"/>
      <c r="AWP18"/>
      <c r="AWQ18"/>
      <c r="AWR18"/>
      <c r="AWS18"/>
      <c r="AWT18"/>
      <c r="AWU18"/>
      <c r="AWV18"/>
      <c r="AWW18"/>
      <c r="AWX18"/>
      <c r="AWY18"/>
      <c r="AWZ18"/>
      <c r="AXA18"/>
      <c r="AXB18"/>
      <c r="AXC18"/>
      <c r="AXD18"/>
      <c r="AXE18"/>
      <c r="AXF18"/>
      <c r="AXG18"/>
      <c r="AXH18"/>
      <c r="AXI18"/>
      <c r="AXJ18"/>
      <c r="AXK18"/>
      <c r="AXL18"/>
      <c r="AXM18"/>
      <c r="AXN18"/>
      <c r="AXO18"/>
      <c r="AXP18"/>
      <c r="AXQ18"/>
      <c r="AXR18"/>
      <c r="AXS18"/>
      <c r="AXT18"/>
      <c r="AXU18"/>
      <c r="AXV18"/>
      <c r="AXW18"/>
      <c r="AXX18"/>
      <c r="AXY18"/>
      <c r="AXZ18"/>
      <c r="AYA18"/>
      <c r="AYB18"/>
      <c r="AYC18"/>
      <c r="AYD18"/>
      <c r="AYE18"/>
      <c r="AYF18"/>
      <c r="AYG18"/>
      <c r="AYH18"/>
      <c r="AYI18"/>
      <c r="AYJ18"/>
      <c r="AYK18"/>
      <c r="AYL18"/>
      <c r="AYM18"/>
      <c r="AYN18"/>
      <c r="AYO18"/>
      <c r="AYP18"/>
      <c r="AYQ18"/>
      <c r="AYR18"/>
      <c r="AYS18"/>
      <c r="AYT18"/>
      <c r="AYU18"/>
      <c r="AYV18"/>
      <c r="AYW18"/>
      <c r="AYX18"/>
      <c r="AYY18"/>
      <c r="AYZ18"/>
      <c r="AZA18"/>
      <c r="AZB18"/>
      <c r="AZC18"/>
      <c r="AZD18"/>
      <c r="AZE18"/>
      <c r="AZF18"/>
      <c r="AZG18"/>
      <c r="AZH18"/>
      <c r="AZI18"/>
      <c r="AZJ18"/>
      <c r="AZK18"/>
      <c r="AZL18"/>
      <c r="AZM18"/>
      <c r="AZN18"/>
      <c r="AZO18"/>
      <c r="AZP18"/>
      <c r="AZQ18"/>
      <c r="AZR18"/>
      <c r="AZS18"/>
      <c r="AZT18"/>
      <c r="AZU18"/>
      <c r="AZV18"/>
      <c r="AZW18"/>
      <c r="AZX18"/>
      <c r="AZY18"/>
      <c r="AZZ18"/>
      <c r="BAA18"/>
      <c r="BAB18"/>
      <c r="BAC18"/>
      <c r="BAD18"/>
      <c r="BAE18"/>
      <c r="BAF18"/>
      <c r="BAG18"/>
      <c r="BAH18"/>
      <c r="BAI18"/>
      <c r="BAJ18"/>
      <c r="BAK18"/>
      <c r="BAL18"/>
      <c r="BAM18"/>
      <c r="BAN18"/>
      <c r="BAO18"/>
      <c r="BAP18"/>
      <c r="BAQ18"/>
      <c r="BAR18"/>
      <c r="BAS18"/>
      <c r="BAT18"/>
      <c r="BAU18"/>
      <c r="BAV18"/>
      <c r="BAW18"/>
      <c r="BAX18"/>
      <c r="BAY18"/>
      <c r="BAZ18"/>
      <c r="BBA18"/>
      <c r="BBB18"/>
      <c r="BBC18"/>
      <c r="BBD18"/>
      <c r="BBE18"/>
      <c r="BBF18"/>
      <c r="BBG18"/>
      <c r="BBH18"/>
      <c r="BBI18"/>
      <c r="BBJ18"/>
      <c r="BBK18"/>
      <c r="BBL18"/>
      <c r="BBM18"/>
      <c r="BBN18"/>
      <c r="BBO18"/>
      <c r="BBP18"/>
      <c r="BBQ18"/>
      <c r="BBR18"/>
      <c r="BBS18"/>
      <c r="BBT18"/>
      <c r="BBU18"/>
      <c r="BBV18"/>
      <c r="BBW18"/>
      <c r="BBX18"/>
      <c r="BBY18"/>
      <c r="BBZ18"/>
      <c r="BCA18"/>
      <c r="BCB18"/>
      <c r="BCC18"/>
      <c r="BCD18"/>
      <c r="BCE18"/>
      <c r="BCF18"/>
      <c r="BCG18"/>
      <c r="BCH18"/>
      <c r="BCI18"/>
      <c r="BCJ18"/>
      <c r="BCK18"/>
      <c r="BCL18"/>
      <c r="BCM18"/>
      <c r="BCN18"/>
      <c r="BCO18"/>
      <c r="BCP18"/>
      <c r="BCQ18"/>
      <c r="BCR18"/>
      <c r="BCS18"/>
      <c r="BCT18"/>
      <c r="BCU18"/>
      <c r="BCV18"/>
      <c r="BCW18"/>
      <c r="BCX18"/>
      <c r="BCY18"/>
      <c r="BCZ18"/>
      <c r="BDA18"/>
      <c r="BDB18"/>
      <c r="BDC18"/>
      <c r="BDD18"/>
      <c r="BDE18"/>
      <c r="BDF18"/>
      <c r="BDG18"/>
      <c r="BDH18"/>
      <c r="BDI18"/>
      <c r="BDJ18"/>
      <c r="BDK18"/>
      <c r="BDL18"/>
      <c r="BDM18"/>
      <c r="BDN18"/>
      <c r="BDO18"/>
      <c r="BDP18"/>
      <c r="BDQ18"/>
      <c r="BDR18"/>
      <c r="BDS18"/>
      <c r="BDT18"/>
      <c r="BDU18"/>
      <c r="BDV18"/>
      <c r="BDW18"/>
      <c r="BDX18"/>
      <c r="BDY18"/>
      <c r="BDZ18"/>
      <c r="BEA18"/>
      <c r="BEB18"/>
      <c r="BEC18"/>
      <c r="BED18"/>
      <c r="BEE18"/>
      <c r="BEF18"/>
      <c r="BEG18"/>
      <c r="BEH18"/>
      <c r="BEI18"/>
      <c r="BEJ18"/>
      <c r="BEK18"/>
      <c r="BEL18"/>
      <c r="BEM18"/>
      <c r="BEN18"/>
      <c r="BEO18"/>
      <c r="BEP18"/>
      <c r="BEQ18"/>
      <c r="BER18"/>
      <c r="BES18"/>
      <c r="BET18"/>
      <c r="BEU18"/>
      <c r="BEV18"/>
      <c r="BEW18"/>
      <c r="BEX18"/>
      <c r="BEY18"/>
      <c r="BEZ18"/>
      <c r="BFA18"/>
      <c r="BFB18"/>
      <c r="BFC18"/>
      <c r="BFD18"/>
      <c r="BFE18"/>
      <c r="BFF18"/>
      <c r="BFG18"/>
      <c r="BFH18"/>
      <c r="BFI18"/>
      <c r="BFJ18"/>
      <c r="BFK18"/>
      <c r="BFL18"/>
      <c r="BFM18"/>
      <c r="BFN18"/>
      <c r="BFO18"/>
      <c r="BFP18"/>
      <c r="BFQ18"/>
      <c r="BFR18"/>
      <c r="BFS18"/>
      <c r="BFT18"/>
      <c r="BFU18"/>
      <c r="BFV18"/>
      <c r="BFW18"/>
      <c r="BFX18"/>
      <c r="BFY18"/>
      <c r="BFZ18"/>
      <c r="BGA18"/>
      <c r="BGB18"/>
      <c r="BGC18"/>
      <c r="BGD18"/>
      <c r="BGE18"/>
      <c r="BGF18"/>
      <c r="BGG18"/>
    </row>
    <row r="19" spans="1:1541" x14ac:dyDescent="0.3">
      <c r="A19" s="61"/>
      <c r="B19" s="13"/>
      <c r="C19" s="10"/>
      <c r="D19" s="13"/>
      <c r="E19" s="10"/>
      <c r="F19" s="13"/>
      <c r="G19" s="10"/>
      <c r="H19" s="62"/>
      <c r="I19" s="62"/>
      <c r="J19" s="62"/>
      <c r="K19" s="62"/>
      <c r="L19" s="62"/>
      <c r="M19" s="62"/>
      <c r="N19"/>
      <c r="O19"/>
      <c r="P19"/>
      <c r="Q19"/>
      <c r="R19"/>
      <c r="S19"/>
      <c r="T19" s="63"/>
      <c r="U19" s="63"/>
      <c r="V19" s="63"/>
      <c r="W19" s="63"/>
      <c r="X19" s="63"/>
      <c r="Y19" s="63"/>
      <c r="Z19" s="10"/>
      <c r="AA19" s="62"/>
      <c r="AB19"/>
      <c r="AC19" s="63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</row>
    <row r="20" spans="1:1541" x14ac:dyDescent="0.3">
      <c r="A20" s="61"/>
      <c r="B20" s="13"/>
      <c r="C20" s="10"/>
      <c r="D20" s="13"/>
      <c r="E20" s="10"/>
      <c r="F20" s="13"/>
      <c r="G20" s="10"/>
      <c r="H20" s="62"/>
      <c r="I20" s="62"/>
      <c r="J20" s="62"/>
      <c r="K20" s="62"/>
      <c r="L20" s="62"/>
      <c r="M20" s="62"/>
      <c r="N20"/>
      <c r="O20"/>
      <c r="P20"/>
      <c r="Q20"/>
      <c r="R20"/>
      <c r="S20"/>
      <c r="T20" s="63"/>
      <c r="U20" s="63"/>
      <c r="V20" s="63"/>
      <c r="W20" s="63"/>
      <c r="X20" s="63"/>
      <c r="Y20" s="63"/>
      <c r="Z20" s="10"/>
      <c r="AA20" s="62"/>
      <c r="AB20"/>
      <c r="AC20" s="63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  <c r="AMK20"/>
      <c r="AML20"/>
      <c r="AMM20"/>
      <c r="AMN20"/>
      <c r="AMO20"/>
      <c r="AMP20"/>
      <c r="AMQ20"/>
      <c r="AMR20"/>
      <c r="AMS20"/>
      <c r="AMT20"/>
      <c r="AMU20"/>
      <c r="AMV20"/>
      <c r="AMW20"/>
      <c r="AMX20"/>
      <c r="AMY20"/>
      <c r="AMZ20"/>
      <c r="ANA20"/>
      <c r="ANB20"/>
      <c r="ANC20"/>
      <c r="AND20"/>
      <c r="ANE20"/>
      <c r="ANF20"/>
      <c r="ANG20"/>
      <c r="ANH20"/>
      <c r="ANI20"/>
      <c r="ANJ20"/>
      <c r="ANK20"/>
      <c r="ANL20"/>
      <c r="ANM20"/>
      <c r="ANN20"/>
      <c r="ANO20"/>
      <c r="ANP20"/>
      <c r="ANQ20"/>
      <c r="ANR20"/>
      <c r="ANS20"/>
      <c r="ANT20"/>
      <c r="ANU20"/>
      <c r="ANV20"/>
      <c r="ANW20"/>
      <c r="ANX20"/>
      <c r="ANY20"/>
      <c r="ANZ20"/>
      <c r="AOA20"/>
      <c r="AOB20"/>
      <c r="AOC20"/>
      <c r="AOD20"/>
      <c r="AOE20"/>
      <c r="AOF20"/>
      <c r="AOG20"/>
      <c r="AOH20"/>
      <c r="AOI20"/>
      <c r="AOJ20"/>
      <c r="AOK20"/>
      <c r="AOL20"/>
      <c r="AOM20"/>
      <c r="AON20"/>
      <c r="AOO20"/>
      <c r="AOP20"/>
      <c r="AOQ20"/>
      <c r="AOR20"/>
      <c r="AOS20"/>
      <c r="AOT20"/>
      <c r="AOU20"/>
      <c r="AOV20"/>
      <c r="AOW20"/>
      <c r="AOX20"/>
      <c r="AOY20"/>
      <c r="AOZ20"/>
      <c r="APA20"/>
      <c r="APB20"/>
      <c r="APC20"/>
      <c r="APD20"/>
      <c r="APE20"/>
      <c r="APF20"/>
      <c r="APG20"/>
      <c r="APH20"/>
      <c r="API20"/>
      <c r="APJ20"/>
      <c r="APK20"/>
      <c r="APL20"/>
      <c r="APM20"/>
      <c r="APN20"/>
      <c r="APO20"/>
      <c r="APP20"/>
      <c r="APQ20"/>
      <c r="APR20"/>
      <c r="APS20"/>
      <c r="APT20"/>
      <c r="APU20"/>
      <c r="APV20"/>
      <c r="APW20"/>
      <c r="APX20"/>
      <c r="APY20"/>
      <c r="APZ20"/>
      <c r="AQA20"/>
      <c r="AQB20"/>
      <c r="AQC20"/>
      <c r="AQD20"/>
      <c r="AQE20"/>
      <c r="AQF20"/>
      <c r="AQG20"/>
      <c r="AQH20"/>
      <c r="AQI20"/>
      <c r="AQJ20"/>
      <c r="AQK20"/>
      <c r="AQL20"/>
      <c r="AQM20"/>
      <c r="AQN20"/>
      <c r="AQO20"/>
      <c r="AQP20"/>
      <c r="AQQ20"/>
      <c r="AQR20"/>
      <c r="AQS20"/>
      <c r="AQT20"/>
      <c r="AQU20"/>
      <c r="AQV20"/>
      <c r="AQW20"/>
      <c r="AQX20"/>
      <c r="AQY20"/>
      <c r="AQZ20"/>
      <c r="ARA20"/>
      <c r="ARB20"/>
      <c r="ARC20"/>
      <c r="ARD20"/>
      <c r="ARE20"/>
      <c r="ARF20"/>
      <c r="ARG20"/>
      <c r="ARH20"/>
      <c r="ARI20"/>
      <c r="ARJ20"/>
      <c r="ARK20"/>
      <c r="ARL20"/>
      <c r="ARM20"/>
      <c r="ARN20"/>
      <c r="ARO20"/>
      <c r="ARP20"/>
      <c r="ARQ20"/>
      <c r="ARR20"/>
      <c r="ARS20"/>
      <c r="ART20"/>
      <c r="ARU20"/>
      <c r="ARV20"/>
      <c r="ARW20"/>
      <c r="ARX20"/>
      <c r="ARY20"/>
      <c r="ARZ20"/>
      <c r="ASA20"/>
      <c r="ASB20"/>
      <c r="ASC20"/>
      <c r="ASD20"/>
      <c r="ASE20"/>
      <c r="ASF20"/>
      <c r="ASG20"/>
      <c r="ASH20"/>
      <c r="ASI20"/>
      <c r="ASJ20"/>
      <c r="ASK20"/>
      <c r="ASL20"/>
      <c r="ASM20"/>
      <c r="ASN20"/>
      <c r="ASO20"/>
      <c r="ASP20"/>
      <c r="ASQ20"/>
      <c r="ASR20"/>
      <c r="ASS20"/>
      <c r="AST20"/>
      <c r="ASU20"/>
      <c r="ASV20"/>
      <c r="ASW20"/>
      <c r="ASX20"/>
      <c r="ASY20"/>
      <c r="ASZ20"/>
      <c r="ATA20"/>
      <c r="ATB20"/>
      <c r="ATC20"/>
      <c r="ATD20"/>
      <c r="ATE20"/>
      <c r="ATF20"/>
      <c r="ATG20"/>
      <c r="ATH20"/>
      <c r="ATI20"/>
      <c r="ATJ20"/>
      <c r="ATK20"/>
      <c r="ATL20"/>
      <c r="ATM20"/>
      <c r="ATN20"/>
      <c r="ATO20"/>
      <c r="ATP20"/>
      <c r="ATQ20"/>
      <c r="ATR20"/>
      <c r="ATS20"/>
      <c r="ATT20"/>
      <c r="ATU20"/>
      <c r="ATV20"/>
      <c r="ATW20"/>
      <c r="ATX20"/>
      <c r="ATY20"/>
      <c r="ATZ20"/>
      <c r="AUA20"/>
      <c r="AUB20"/>
      <c r="AUC20"/>
      <c r="AUD20"/>
      <c r="AUE20"/>
      <c r="AUF20"/>
      <c r="AUG20"/>
      <c r="AUH20"/>
      <c r="AUI20"/>
      <c r="AUJ20"/>
      <c r="AUK20"/>
      <c r="AUL20"/>
      <c r="AUM20"/>
      <c r="AUN20"/>
      <c r="AUO20"/>
      <c r="AUP20"/>
      <c r="AUQ20"/>
      <c r="AUR20"/>
      <c r="AUS20"/>
      <c r="AUT20"/>
      <c r="AUU20"/>
      <c r="AUV20"/>
      <c r="AUW20"/>
      <c r="AUX20"/>
      <c r="AUY20"/>
      <c r="AUZ20"/>
      <c r="AVA20"/>
      <c r="AVB20"/>
      <c r="AVC20"/>
      <c r="AVD20"/>
      <c r="AVE20"/>
      <c r="AVF20"/>
      <c r="AVG20"/>
      <c r="AVH20"/>
      <c r="AVI20"/>
      <c r="AVJ20"/>
      <c r="AVK20"/>
      <c r="AVL20"/>
      <c r="AVM20"/>
      <c r="AVN20"/>
      <c r="AVO20"/>
      <c r="AVP20"/>
      <c r="AVQ20"/>
      <c r="AVR20"/>
      <c r="AVS20"/>
      <c r="AVT20"/>
      <c r="AVU20"/>
      <c r="AVV20"/>
      <c r="AVW20"/>
      <c r="AVX20"/>
      <c r="AVY20"/>
      <c r="AVZ20"/>
      <c r="AWA20"/>
      <c r="AWB20"/>
      <c r="AWC20"/>
      <c r="AWD20"/>
      <c r="AWE20"/>
      <c r="AWF20"/>
      <c r="AWG20"/>
      <c r="AWH20"/>
      <c r="AWI20"/>
      <c r="AWJ20"/>
      <c r="AWK20"/>
      <c r="AWL20"/>
      <c r="AWM20"/>
      <c r="AWN20"/>
      <c r="AWO20"/>
      <c r="AWP20"/>
      <c r="AWQ20"/>
      <c r="AWR20"/>
      <c r="AWS20"/>
      <c r="AWT20"/>
      <c r="AWU20"/>
      <c r="AWV20"/>
      <c r="AWW20"/>
      <c r="AWX20"/>
      <c r="AWY20"/>
      <c r="AWZ20"/>
      <c r="AXA20"/>
      <c r="AXB20"/>
      <c r="AXC20"/>
      <c r="AXD20"/>
      <c r="AXE20"/>
      <c r="AXF20"/>
      <c r="AXG20"/>
      <c r="AXH20"/>
      <c r="AXI20"/>
      <c r="AXJ20"/>
      <c r="AXK20"/>
      <c r="AXL20"/>
      <c r="AXM20"/>
      <c r="AXN20"/>
      <c r="AXO20"/>
      <c r="AXP20"/>
      <c r="AXQ20"/>
      <c r="AXR20"/>
      <c r="AXS20"/>
      <c r="AXT20"/>
      <c r="AXU20"/>
      <c r="AXV20"/>
      <c r="AXW20"/>
      <c r="AXX20"/>
      <c r="AXY20"/>
      <c r="AXZ20"/>
      <c r="AYA20"/>
      <c r="AYB20"/>
      <c r="AYC20"/>
      <c r="AYD20"/>
      <c r="AYE20"/>
      <c r="AYF20"/>
      <c r="AYG20"/>
      <c r="AYH20"/>
      <c r="AYI20"/>
      <c r="AYJ20"/>
      <c r="AYK20"/>
      <c r="AYL20"/>
      <c r="AYM20"/>
      <c r="AYN20"/>
      <c r="AYO20"/>
      <c r="AYP20"/>
      <c r="AYQ20"/>
      <c r="AYR20"/>
      <c r="AYS20"/>
      <c r="AYT20"/>
      <c r="AYU20"/>
      <c r="AYV20"/>
      <c r="AYW20"/>
      <c r="AYX20"/>
      <c r="AYY20"/>
      <c r="AYZ20"/>
      <c r="AZA20"/>
      <c r="AZB20"/>
      <c r="AZC20"/>
      <c r="AZD20"/>
      <c r="AZE20"/>
      <c r="AZF20"/>
      <c r="AZG20"/>
      <c r="AZH20"/>
      <c r="AZI20"/>
      <c r="AZJ20"/>
      <c r="AZK20"/>
      <c r="AZL20"/>
      <c r="AZM20"/>
      <c r="AZN20"/>
      <c r="AZO20"/>
      <c r="AZP20"/>
      <c r="AZQ20"/>
      <c r="AZR20"/>
      <c r="AZS20"/>
      <c r="AZT20"/>
      <c r="AZU20"/>
      <c r="AZV20"/>
      <c r="AZW20"/>
      <c r="AZX20"/>
      <c r="AZY20"/>
      <c r="AZZ20"/>
      <c r="BAA20"/>
      <c r="BAB20"/>
      <c r="BAC20"/>
      <c r="BAD20"/>
      <c r="BAE20"/>
      <c r="BAF20"/>
      <c r="BAG20"/>
      <c r="BAH20"/>
      <c r="BAI20"/>
      <c r="BAJ20"/>
      <c r="BAK20"/>
      <c r="BAL20"/>
      <c r="BAM20"/>
      <c r="BAN20"/>
      <c r="BAO20"/>
      <c r="BAP20"/>
      <c r="BAQ20"/>
      <c r="BAR20"/>
      <c r="BAS20"/>
      <c r="BAT20"/>
      <c r="BAU20"/>
      <c r="BAV20"/>
      <c r="BAW20"/>
      <c r="BAX20"/>
      <c r="BAY20"/>
      <c r="BAZ20"/>
      <c r="BBA20"/>
      <c r="BBB20"/>
      <c r="BBC20"/>
      <c r="BBD20"/>
      <c r="BBE20"/>
      <c r="BBF20"/>
      <c r="BBG20"/>
      <c r="BBH20"/>
      <c r="BBI20"/>
      <c r="BBJ20"/>
      <c r="BBK20"/>
      <c r="BBL20"/>
      <c r="BBM20"/>
      <c r="BBN20"/>
      <c r="BBO20"/>
      <c r="BBP20"/>
      <c r="BBQ20"/>
      <c r="BBR20"/>
      <c r="BBS20"/>
      <c r="BBT20"/>
      <c r="BBU20"/>
      <c r="BBV20"/>
      <c r="BBW20"/>
      <c r="BBX20"/>
      <c r="BBY20"/>
      <c r="BBZ20"/>
      <c r="BCA20"/>
      <c r="BCB20"/>
      <c r="BCC20"/>
      <c r="BCD20"/>
      <c r="BCE20"/>
      <c r="BCF20"/>
      <c r="BCG20"/>
      <c r="BCH20"/>
      <c r="BCI20"/>
      <c r="BCJ20"/>
      <c r="BCK20"/>
      <c r="BCL20"/>
      <c r="BCM20"/>
      <c r="BCN20"/>
      <c r="BCO20"/>
      <c r="BCP20"/>
      <c r="BCQ20"/>
      <c r="BCR20"/>
      <c r="BCS20"/>
      <c r="BCT20"/>
      <c r="BCU20"/>
      <c r="BCV20"/>
      <c r="BCW20"/>
      <c r="BCX20"/>
      <c r="BCY20"/>
      <c r="BCZ20"/>
      <c r="BDA20"/>
      <c r="BDB20"/>
      <c r="BDC20"/>
      <c r="BDD20"/>
      <c r="BDE20"/>
      <c r="BDF20"/>
      <c r="BDG20"/>
      <c r="BDH20"/>
      <c r="BDI20"/>
      <c r="BDJ20"/>
      <c r="BDK20"/>
      <c r="BDL20"/>
      <c r="BDM20"/>
      <c r="BDN20"/>
      <c r="BDO20"/>
      <c r="BDP20"/>
      <c r="BDQ20"/>
      <c r="BDR20"/>
      <c r="BDS20"/>
      <c r="BDT20"/>
      <c r="BDU20"/>
      <c r="BDV20"/>
      <c r="BDW20"/>
      <c r="BDX20"/>
      <c r="BDY20"/>
      <c r="BDZ20"/>
      <c r="BEA20"/>
      <c r="BEB20"/>
      <c r="BEC20"/>
      <c r="BED20"/>
      <c r="BEE20"/>
      <c r="BEF20"/>
      <c r="BEG20"/>
      <c r="BEH20"/>
      <c r="BEI20"/>
      <c r="BEJ20"/>
      <c r="BEK20"/>
      <c r="BEL20"/>
      <c r="BEM20"/>
      <c r="BEN20"/>
      <c r="BEO20"/>
      <c r="BEP20"/>
      <c r="BEQ20"/>
      <c r="BER20"/>
      <c r="BES20"/>
      <c r="BET20"/>
      <c r="BEU20"/>
      <c r="BEV20"/>
      <c r="BEW20"/>
      <c r="BEX20"/>
      <c r="BEY20"/>
      <c r="BEZ20"/>
      <c r="BFA20"/>
      <c r="BFB20"/>
      <c r="BFC20"/>
      <c r="BFD20"/>
      <c r="BFE20"/>
      <c r="BFF20"/>
      <c r="BFG20"/>
      <c r="BFH20"/>
      <c r="BFI20"/>
      <c r="BFJ20"/>
      <c r="BFK20"/>
      <c r="BFL20"/>
      <c r="BFM20"/>
      <c r="BFN20"/>
      <c r="BFO20"/>
      <c r="BFP20"/>
      <c r="BFQ20"/>
      <c r="BFR20"/>
      <c r="BFS20"/>
      <c r="BFT20"/>
      <c r="BFU20"/>
      <c r="BFV20"/>
      <c r="BFW20"/>
      <c r="BFX20"/>
      <c r="BFY20"/>
      <c r="BFZ20"/>
      <c r="BGA20"/>
      <c r="BGB20"/>
      <c r="BGC20"/>
      <c r="BGD20"/>
      <c r="BGE20"/>
      <c r="BGF20"/>
      <c r="BGG20"/>
    </row>
    <row r="21" spans="1:1541" x14ac:dyDescent="0.3">
      <c r="A21" s="61"/>
      <c r="B21" s="13"/>
      <c r="C21" s="10"/>
      <c r="D21" s="13"/>
      <c r="E21" s="10"/>
      <c r="F21" s="13"/>
      <c r="G21" s="10"/>
      <c r="H21" s="62"/>
      <c r="I21" s="62"/>
      <c r="J21" s="62"/>
      <c r="K21" s="62"/>
      <c r="L21" s="62"/>
      <c r="M21" s="62"/>
      <c r="N21"/>
      <c r="O21"/>
      <c r="P21"/>
      <c r="Q21"/>
      <c r="R21"/>
      <c r="S21"/>
      <c r="T21" s="63"/>
      <c r="U21" s="63"/>
      <c r="V21" s="63"/>
      <c r="W21" s="63"/>
      <c r="X21" s="63"/>
      <c r="Y21" s="63"/>
      <c r="Z21" s="10"/>
      <c r="AA21" s="62"/>
      <c r="AB21"/>
      <c r="AC21" s="63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</row>
    <row r="22" spans="1:1541" x14ac:dyDescent="0.3">
      <c r="A22" s="61"/>
      <c r="B22" s="13"/>
      <c r="C22" s="10"/>
      <c r="D22" s="13"/>
      <c r="E22" s="10"/>
      <c r="F22" s="13"/>
      <c r="G22" s="10"/>
      <c r="H22" s="62"/>
      <c r="I22" s="62"/>
      <c r="J22" s="62"/>
      <c r="K22" s="62"/>
      <c r="L22" s="62"/>
      <c r="M22" s="62"/>
      <c r="N22"/>
      <c r="O22"/>
      <c r="P22"/>
      <c r="Q22"/>
      <c r="R22"/>
      <c r="S22"/>
      <c r="T22" s="63"/>
      <c r="U22" s="63"/>
      <c r="V22" s="63"/>
      <c r="W22" s="63"/>
      <c r="X22" s="63"/>
      <c r="Y22" s="63"/>
      <c r="Z22" s="10"/>
      <c r="AA22" s="62"/>
      <c r="AB22"/>
      <c r="AC22" s="63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</row>
    <row r="23" spans="1:1541" x14ac:dyDescent="0.3">
      <c r="A23" s="61"/>
      <c r="B23" s="13"/>
      <c r="C23" s="10"/>
      <c r="D23" s="13"/>
      <c r="E23" s="10"/>
      <c r="F23" s="13"/>
      <c r="G23" s="10"/>
      <c r="H23" s="62"/>
      <c r="I23" s="62"/>
      <c r="J23" s="62"/>
      <c r="K23" s="62"/>
      <c r="L23" s="62"/>
      <c r="M23" s="62"/>
      <c r="N23"/>
      <c r="O23"/>
      <c r="P23"/>
      <c r="Q23"/>
      <c r="R23"/>
      <c r="S23"/>
      <c r="T23" s="63"/>
      <c r="U23" s="63"/>
      <c r="V23" s="63"/>
      <c r="W23" s="63"/>
      <c r="X23" s="63"/>
      <c r="Y23" s="63"/>
      <c r="Z23" s="10"/>
      <c r="AA23" s="62"/>
      <c r="AB23"/>
      <c r="AC23" s="6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/>
      <c r="BEN23"/>
      <c r="BEO23"/>
      <c r="BEP23"/>
      <c r="BEQ23"/>
      <c r="BER23"/>
      <c r="BES23"/>
      <c r="BET23"/>
      <c r="BEU23"/>
      <c r="BEV23"/>
      <c r="BEW23"/>
      <c r="BEX23"/>
      <c r="BEY23"/>
      <c r="BEZ23"/>
      <c r="BFA23"/>
      <c r="BFB23"/>
      <c r="BFC23"/>
      <c r="BFD23"/>
      <c r="BFE23"/>
      <c r="BFF23"/>
      <c r="BFG23"/>
      <c r="BFH23"/>
      <c r="BFI23"/>
      <c r="BFJ23"/>
      <c r="BFK23"/>
      <c r="BFL23"/>
      <c r="BFM23"/>
      <c r="BFN23"/>
      <c r="BFO23"/>
      <c r="BFP23"/>
      <c r="BFQ23"/>
      <c r="BFR23"/>
      <c r="BFS23"/>
      <c r="BFT23"/>
      <c r="BFU23"/>
      <c r="BFV23"/>
      <c r="BFW23"/>
      <c r="BFX23"/>
      <c r="BFY23"/>
      <c r="BFZ23"/>
      <c r="BGA23"/>
      <c r="BGB23"/>
      <c r="BGC23"/>
      <c r="BGD23"/>
      <c r="BGE23"/>
      <c r="BGF23"/>
      <c r="BGG23"/>
    </row>
    <row r="24" spans="1:1541" x14ac:dyDescent="0.3">
      <c r="A24" s="61"/>
      <c r="B24" s="13"/>
      <c r="C24" s="10"/>
      <c r="D24" s="13"/>
      <c r="E24" s="10"/>
      <c r="F24" s="13"/>
      <c r="G24" s="10"/>
      <c r="H24" s="62"/>
      <c r="I24" s="62"/>
      <c r="J24" s="62"/>
      <c r="K24" s="62"/>
      <c r="L24" s="62"/>
      <c r="M24" s="62"/>
      <c r="N24"/>
      <c r="O24"/>
      <c r="P24"/>
      <c r="Q24"/>
      <c r="R24"/>
      <c r="S24"/>
      <c r="T24" s="63"/>
      <c r="U24" s="63"/>
      <c r="V24" s="63"/>
      <c r="W24" s="63"/>
      <c r="X24" s="63"/>
      <c r="Y24" s="63"/>
      <c r="Z24" s="10"/>
      <c r="AA24" s="62"/>
      <c r="AB24"/>
      <c r="AC24" s="63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/>
      <c r="BDZ24"/>
      <c r="BEA24"/>
      <c r="BEB24"/>
      <c r="BEC24"/>
      <c r="BED24"/>
      <c r="BEE24"/>
      <c r="BEF24"/>
      <c r="BEG24"/>
      <c r="BEH24"/>
      <c r="BEI24"/>
      <c r="BEJ24"/>
      <c r="BEK24"/>
      <c r="BEL24"/>
      <c r="BEM24"/>
      <c r="BEN24"/>
      <c r="BEO24"/>
      <c r="BEP24"/>
      <c r="BEQ24"/>
      <c r="BER24"/>
      <c r="BES24"/>
      <c r="BET24"/>
      <c r="BEU24"/>
      <c r="BEV24"/>
      <c r="BEW24"/>
      <c r="BEX24"/>
      <c r="BEY24"/>
      <c r="BEZ24"/>
      <c r="BFA24"/>
      <c r="BFB24"/>
      <c r="BFC24"/>
      <c r="BFD24"/>
      <c r="BFE24"/>
      <c r="BFF24"/>
      <c r="BFG24"/>
      <c r="BFH24"/>
      <c r="BFI24"/>
      <c r="BFJ24"/>
      <c r="BFK24"/>
      <c r="BFL24"/>
      <c r="BFM24"/>
      <c r="BFN24"/>
      <c r="BFO24"/>
      <c r="BFP24"/>
      <c r="BFQ24"/>
      <c r="BFR24"/>
      <c r="BFS24"/>
      <c r="BFT24"/>
      <c r="BFU24"/>
      <c r="BFV24"/>
      <c r="BFW24"/>
      <c r="BFX24"/>
      <c r="BFY24"/>
      <c r="BFZ24"/>
      <c r="BGA24"/>
      <c r="BGB24"/>
      <c r="BGC24"/>
      <c r="BGD24"/>
      <c r="BGE24"/>
      <c r="BGF24"/>
      <c r="BGG24"/>
    </row>
    <row r="25" spans="1:1541" x14ac:dyDescent="0.3">
      <c r="A25"/>
      <c r="B25"/>
      <c r="C25" s="10"/>
      <c r="D25" s="13"/>
      <c r="E25" s="10"/>
      <c r="F25" s="13"/>
      <c r="G25" s="10"/>
      <c r="H25" s="62"/>
      <c r="I25" s="62"/>
      <c r="J25" s="62"/>
      <c r="K25" s="62"/>
      <c r="L25" s="62"/>
      <c r="M25" s="62"/>
      <c r="N25"/>
      <c r="O25"/>
      <c r="P25"/>
      <c r="Q25"/>
      <c r="R25"/>
      <c r="S25"/>
      <c r="T25" s="63"/>
      <c r="U25" s="63"/>
      <c r="V25" s="63"/>
      <c r="W25" s="63"/>
      <c r="X25" s="63"/>
      <c r="Y25" s="63"/>
      <c r="Z25" s="10"/>
      <c r="AA25" s="62"/>
      <c r="AB25"/>
      <c r="AC25" s="63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/>
      <c r="BEB25"/>
      <c r="BEC25"/>
      <c r="BED25"/>
      <c r="BEE25"/>
      <c r="BEF25"/>
      <c r="BEG25"/>
      <c r="BEH25"/>
      <c r="BEI25"/>
      <c r="BEJ25"/>
      <c r="BEK25"/>
      <c r="BEL25"/>
      <c r="BEM25"/>
      <c r="BEN25"/>
      <c r="BEO25"/>
      <c r="BEP25"/>
      <c r="BEQ25"/>
      <c r="BER25"/>
      <c r="BES25"/>
      <c r="BET25"/>
      <c r="BEU25"/>
      <c r="BEV25"/>
      <c r="BEW25"/>
      <c r="BEX25"/>
      <c r="BEY25"/>
      <c r="BEZ25"/>
      <c r="BFA25"/>
      <c r="BFB25"/>
      <c r="BFC25"/>
      <c r="BFD25"/>
      <c r="BFE25"/>
      <c r="BFF25"/>
      <c r="BFG25"/>
      <c r="BFH25"/>
      <c r="BFI25"/>
      <c r="BFJ25"/>
      <c r="BFK25"/>
      <c r="BFL25"/>
      <c r="BFM25"/>
      <c r="BFN25"/>
      <c r="BFO25"/>
      <c r="BFP25"/>
      <c r="BFQ25"/>
      <c r="BFR25"/>
      <c r="BFS25"/>
      <c r="BFT25"/>
      <c r="BFU25"/>
      <c r="BFV25"/>
      <c r="BFW25"/>
      <c r="BFX25"/>
      <c r="BFY25"/>
      <c r="BFZ25"/>
      <c r="BGA25"/>
      <c r="BGB25"/>
      <c r="BGC25"/>
      <c r="BGD25"/>
      <c r="BGE25"/>
      <c r="BGF25"/>
      <c r="BGG25"/>
    </row>
    <row r="26" spans="1:1541" x14ac:dyDescent="0.3">
      <c r="A26" s="60" t="s">
        <v>888</v>
      </c>
      <c r="B26" s="59" t="s">
        <v>234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541" x14ac:dyDescent="0.3">
      <c r="A27" s="60" t="s">
        <v>9</v>
      </c>
      <c r="B27" s="59" t="s">
        <v>234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541" x14ac:dyDescent="0.3">
      <c r="A28" s="60" t="s">
        <v>110</v>
      </c>
      <c r="B28" s="612">
        <v>12</v>
      </c>
      <c r="C28"/>
      <c r="E28" s="6"/>
    </row>
    <row r="29" spans="1:1541" x14ac:dyDescent="0.3">
      <c r="A29" t="s">
        <v>68</v>
      </c>
      <c r="B29"/>
      <c r="C29"/>
    </row>
    <row r="30" spans="1:1541" x14ac:dyDescent="0.3">
      <c r="A30" s="8"/>
      <c r="B30" s="8"/>
      <c r="C30" s="7" t="s">
        <v>1</v>
      </c>
      <c r="D30" s="7" t="s">
        <v>900</v>
      </c>
      <c r="E30" s="7" t="s">
        <v>8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</row>
    <row r="31" spans="1:1541" x14ac:dyDescent="0.3">
      <c r="A31" s="8"/>
      <c r="B31" s="8"/>
      <c r="C31" s="658" t="s">
        <v>5</v>
      </c>
      <c r="D31" s="659"/>
      <c r="E31" s="659"/>
      <c r="F31" s="659"/>
      <c r="G31" s="659"/>
      <c r="H31" s="659"/>
      <c r="I31" s="658" t="s">
        <v>650</v>
      </c>
      <c r="J31" s="659"/>
      <c r="K31" s="659"/>
      <c r="L31" s="659"/>
      <c r="M31" s="659"/>
      <c r="N31" s="659"/>
      <c r="O31" s="658" t="s">
        <v>908</v>
      </c>
      <c r="P31" s="659"/>
      <c r="Q31" s="659"/>
      <c r="R31" s="659"/>
      <c r="S31" s="659"/>
      <c r="T31" s="659"/>
      <c r="U31" s="658" t="s">
        <v>904</v>
      </c>
      <c r="V31" s="659"/>
      <c r="W31" s="659"/>
      <c r="X31" s="659"/>
      <c r="Y31" s="659"/>
      <c r="Z31" s="659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</row>
    <row r="32" spans="1:1541" x14ac:dyDescent="0.3">
      <c r="A32" s="8"/>
      <c r="B32" s="8"/>
      <c r="C32" s="658" t="s">
        <v>560</v>
      </c>
      <c r="D32" s="659"/>
      <c r="E32" s="659"/>
      <c r="F32" s="658" t="s">
        <v>246</v>
      </c>
      <c r="G32" s="659"/>
      <c r="H32" s="659"/>
      <c r="I32" s="658" t="s">
        <v>560</v>
      </c>
      <c r="J32" s="659"/>
      <c r="K32" s="659"/>
      <c r="L32" s="658" t="s">
        <v>246</v>
      </c>
      <c r="M32" s="659"/>
      <c r="N32" s="659"/>
      <c r="O32" s="658" t="s">
        <v>560</v>
      </c>
      <c r="P32" s="659"/>
      <c r="Q32" s="659"/>
      <c r="R32" s="658" t="s">
        <v>246</v>
      </c>
      <c r="S32" s="659"/>
      <c r="T32" s="659"/>
      <c r="U32" s="658" t="s">
        <v>560</v>
      </c>
      <c r="V32" s="659"/>
      <c r="W32" s="659"/>
      <c r="X32" s="658" t="s">
        <v>246</v>
      </c>
      <c r="Y32" s="659"/>
      <c r="Z32" s="659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</row>
    <row r="33" spans="1:440" x14ac:dyDescent="0.3">
      <c r="A33" s="7" t="s">
        <v>45</v>
      </c>
      <c r="B33" s="7" t="s">
        <v>13</v>
      </c>
      <c r="C33" s="189" t="s">
        <v>10</v>
      </c>
      <c r="D33" s="190" t="s">
        <v>11</v>
      </c>
      <c r="E33" s="191" t="s">
        <v>12</v>
      </c>
      <c r="F33" s="189" t="s">
        <v>10</v>
      </c>
      <c r="G33" s="190" t="s">
        <v>11</v>
      </c>
      <c r="H33" s="191" t="s">
        <v>12</v>
      </c>
      <c r="I33" s="189" t="s">
        <v>10</v>
      </c>
      <c r="J33" s="190" t="s">
        <v>11</v>
      </c>
      <c r="K33" s="191" t="s">
        <v>12</v>
      </c>
      <c r="L33" s="189" t="s">
        <v>10</v>
      </c>
      <c r="M33" s="190" t="s">
        <v>11</v>
      </c>
      <c r="N33" s="191" t="s">
        <v>12</v>
      </c>
      <c r="O33" s="189" t="s">
        <v>10</v>
      </c>
      <c r="P33" s="190" t="s">
        <v>11</v>
      </c>
      <c r="Q33" s="191" t="s">
        <v>12</v>
      </c>
      <c r="R33" s="189" t="s">
        <v>10</v>
      </c>
      <c r="S33" s="190" t="s">
        <v>11</v>
      </c>
      <c r="T33" s="191" t="s">
        <v>12</v>
      </c>
      <c r="U33" s="189" t="s">
        <v>10</v>
      </c>
      <c r="V33" s="190" t="s">
        <v>11</v>
      </c>
      <c r="W33" s="191" t="s">
        <v>12</v>
      </c>
      <c r="X33" s="189" t="s">
        <v>10</v>
      </c>
      <c r="Y33" s="190" t="s">
        <v>11</v>
      </c>
      <c r="Z33" s="191" t="s">
        <v>12</v>
      </c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</row>
    <row r="34" spans="1:440" x14ac:dyDescent="0.3">
      <c r="A34" s="658" t="s">
        <v>909</v>
      </c>
      <c r="B34" s="5" t="s">
        <v>64</v>
      </c>
      <c r="C34" s="611">
        <v>308634</v>
      </c>
      <c r="D34" s="609">
        <v>140236</v>
      </c>
      <c r="E34" s="610">
        <v>471954</v>
      </c>
      <c r="F34" s="611">
        <v>51362</v>
      </c>
      <c r="G34" s="609">
        <v>157060</v>
      </c>
      <c r="H34" s="610">
        <v>260479</v>
      </c>
      <c r="I34" s="114">
        <v>0.77909941384655002</v>
      </c>
      <c r="J34" s="66">
        <v>0.44109219354006712</v>
      </c>
      <c r="K34" s="113">
        <v>0.72657938653480225</v>
      </c>
      <c r="L34" s="114">
        <v>0.20578219027700986</v>
      </c>
      <c r="M34" s="66">
        <v>0.32229468232242603</v>
      </c>
      <c r="N34" s="113">
        <v>0.45543780630880298</v>
      </c>
      <c r="O34" s="611">
        <v>95</v>
      </c>
      <c r="P34" s="609">
        <v>60</v>
      </c>
      <c r="Q34" s="610">
        <v>227</v>
      </c>
      <c r="R34" s="611">
        <v>74</v>
      </c>
      <c r="S34" s="609">
        <v>11</v>
      </c>
      <c r="T34" s="610">
        <v>69</v>
      </c>
      <c r="U34" s="611">
        <v>609475</v>
      </c>
      <c r="V34" s="609">
        <v>765500</v>
      </c>
      <c r="W34" s="610">
        <v>3099920</v>
      </c>
      <c r="X34" s="611">
        <v>413338.65</v>
      </c>
      <c r="Y34" s="609">
        <v>91700</v>
      </c>
      <c r="Z34" s="610">
        <v>987775</v>
      </c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</row>
    <row r="35" spans="1:440" x14ac:dyDescent="0.3">
      <c r="A35" s="659"/>
      <c r="B35" s="5" t="s">
        <v>65</v>
      </c>
      <c r="C35" s="611">
        <v>47916</v>
      </c>
      <c r="D35" s="609">
        <v>69425</v>
      </c>
      <c r="E35" s="610">
        <v>68632</v>
      </c>
      <c r="F35" s="611">
        <v>90026</v>
      </c>
      <c r="G35" s="609">
        <v>83283</v>
      </c>
      <c r="H35" s="610">
        <v>30923</v>
      </c>
      <c r="I35" s="114">
        <v>0.12095662666417598</v>
      </c>
      <c r="J35" s="66">
        <v>0.21836636481730198</v>
      </c>
      <c r="K35" s="113">
        <v>0.10565986612393696</v>
      </c>
      <c r="L35" s="114">
        <v>0.3606897601705169</v>
      </c>
      <c r="M35" s="66">
        <v>0.17090072601463521</v>
      </c>
      <c r="N35" s="113">
        <v>5.4067710965133908E-2</v>
      </c>
      <c r="O35" s="611">
        <v>81</v>
      </c>
      <c r="P35" s="609">
        <v>70</v>
      </c>
      <c r="Q35" s="610">
        <v>68</v>
      </c>
      <c r="R35" s="611">
        <v>105</v>
      </c>
      <c r="S35" s="609">
        <v>38</v>
      </c>
      <c r="T35" s="610">
        <v>28</v>
      </c>
      <c r="U35" s="611">
        <v>400787</v>
      </c>
      <c r="V35" s="609">
        <v>732880</v>
      </c>
      <c r="W35" s="610">
        <v>915990</v>
      </c>
      <c r="X35" s="611">
        <v>543609.5</v>
      </c>
      <c r="Y35" s="609">
        <v>312780</v>
      </c>
      <c r="Z35" s="610">
        <v>355465</v>
      </c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</row>
    <row r="36" spans="1:440" x14ac:dyDescent="0.3">
      <c r="A36" s="659"/>
      <c r="B36" s="5" t="s">
        <v>63</v>
      </c>
      <c r="C36" s="611">
        <v>24954</v>
      </c>
      <c r="D36" s="609">
        <v>11</v>
      </c>
      <c r="E36" s="610">
        <v>25</v>
      </c>
      <c r="F36" s="611">
        <v>65599</v>
      </c>
      <c r="G36" s="609">
        <v>164089</v>
      </c>
      <c r="H36" s="610">
        <v>168071</v>
      </c>
      <c r="I36" s="114">
        <v>6.2992563272765825E-2</v>
      </c>
      <c r="J36" s="66">
        <v>3.4598919884628332E-5</v>
      </c>
      <c r="K36" s="113">
        <v>3.8487828609080661E-5</v>
      </c>
      <c r="L36" s="114">
        <v>0.26282282426660897</v>
      </c>
      <c r="M36" s="66">
        <v>0.3367185287635589</v>
      </c>
      <c r="N36" s="113">
        <v>0.29386586843517837</v>
      </c>
      <c r="O36" s="611">
        <v>85</v>
      </c>
      <c r="P36" s="609">
        <v>0</v>
      </c>
      <c r="Q36" s="610">
        <v>0</v>
      </c>
      <c r="R36" s="611">
        <v>173</v>
      </c>
      <c r="S36" s="609">
        <v>105</v>
      </c>
      <c r="T36" s="610">
        <v>152</v>
      </c>
      <c r="U36" s="611">
        <v>522441</v>
      </c>
      <c r="V36" s="609">
        <v>0</v>
      </c>
      <c r="W36" s="610">
        <v>0</v>
      </c>
      <c r="X36" s="611">
        <v>1064223.82</v>
      </c>
      <c r="Y36" s="609">
        <v>1337280</v>
      </c>
      <c r="Z36" s="610">
        <v>2759830</v>
      </c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</row>
    <row r="37" spans="1:440" x14ac:dyDescent="0.3">
      <c r="A37" s="659"/>
      <c r="B37" s="5" t="s">
        <v>43</v>
      </c>
      <c r="C37" s="611">
        <v>4701</v>
      </c>
      <c r="D37" s="609">
        <v>5064</v>
      </c>
      <c r="E37" s="610">
        <v>2107</v>
      </c>
      <c r="F37" s="611">
        <v>3493</v>
      </c>
      <c r="G37" s="609">
        <v>998</v>
      </c>
      <c r="H37" s="610">
        <v>5062</v>
      </c>
      <c r="I37" s="114">
        <v>1.1866956798319794E-2</v>
      </c>
      <c r="J37" s="66">
        <v>1.5928084572341624E-2</v>
      </c>
      <c r="K37" s="113">
        <v>3.2437541951733182E-3</v>
      </c>
      <c r="L37" s="114">
        <v>1.399472743735827E-2</v>
      </c>
      <c r="M37" s="66">
        <v>2.0479440529592588E-3</v>
      </c>
      <c r="N37" s="113">
        <v>8.8507180061930552E-3</v>
      </c>
      <c r="O37" s="611">
        <v>41</v>
      </c>
      <c r="P37" s="609">
        <v>9</v>
      </c>
      <c r="Q37" s="610">
        <v>2</v>
      </c>
      <c r="R37" s="611">
        <v>43</v>
      </c>
      <c r="S37" s="609">
        <v>0</v>
      </c>
      <c r="T37" s="610">
        <v>6</v>
      </c>
      <c r="U37" s="611">
        <v>133775</v>
      </c>
      <c r="V37" s="609">
        <v>107100</v>
      </c>
      <c r="W37" s="610">
        <v>11380</v>
      </c>
      <c r="X37" s="611">
        <v>231421.03000000003</v>
      </c>
      <c r="Y37" s="609">
        <v>0</v>
      </c>
      <c r="Z37" s="610">
        <v>251720</v>
      </c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</row>
    <row r="38" spans="1:440" x14ac:dyDescent="0.3">
      <c r="A38" s="659"/>
      <c r="B38" s="5" t="s">
        <v>61</v>
      </c>
      <c r="C38" s="611">
        <v>1</v>
      </c>
      <c r="D38" s="609">
        <v>78624</v>
      </c>
      <c r="E38" s="610">
        <v>20755</v>
      </c>
      <c r="F38" s="611">
        <v>19739</v>
      </c>
      <c r="G38" s="609">
        <v>81619</v>
      </c>
      <c r="H38" s="610">
        <v>1</v>
      </c>
      <c r="I38" s="114">
        <v>2.5243473299978291E-6</v>
      </c>
      <c r="J38" s="66">
        <v>0.24730049790991071</v>
      </c>
      <c r="K38" s="113">
        <v>3.1952595311258769E-2</v>
      </c>
      <c r="L38" s="114">
        <v>7.9084433119385886E-2</v>
      </c>
      <c r="M38" s="66">
        <v>0.16748611789427026</v>
      </c>
      <c r="N38" s="113">
        <v>1.7484626642024999E-6</v>
      </c>
      <c r="O38" s="611">
        <v>0</v>
      </c>
      <c r="P38" s="609">
        <v>173</v>
      </c>
      <c r="Q38" s="610">
        <v>42</v>
      </c>
      <c r="R38" s="611">
        <v>80</v>
      </c>
      <c r="S38" s="609">
        <v>199</v>
      </c>
      <c r="T38" s="610">
        <v>0</v>
      </c>
      <c r="U38" s="611">
        <v>0</v>
      </c>
      <c r="V38" s="609">
        <v>2829880</v>
      </c>
      <c r="W38" s="610">
        <v>613870</v>
      </c>
      <c r="X38" s="611">
        <v>500637</v>
      </c>
      <c r="Y38" s="609">
        <v>2703760</v>
      </c>
      <c r="Z38" s="610">
        <v>0</v>
      </c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</row>
    <row r="39" spans="1:440" x14ac:dyDescent="0.3">
      <c r="A39" s="659"/>
      <c r="B39" s="5" t="s">
        <v>67</v>
      </c>
      <c r="C39" s="611">
        <v>0</v>
      </c>
      <c r="D39" s="609">
        <v>0</v>
      </c>
      <c r="E39" s="610">
        <v>3</v>
      </c>
      <c r="F39" s="611">
        <v>0</v>
      </c>
      <c r="G39" s="609">
        <v>1</v>
      </c>
      <c r="H39" s="610">
        <v>20456</v>
      </c>
      <c r="I39" s="114">
        <v>0</v>
      </c>
      <c r="J39" s="66">
        <v>0</v>
      </c>
      <c r="K39" s="113">
        <v>4.6185394330896797E-6</v>
      </c>
      <c r="L39" s="114">
        <v>0</v>
      </c>
      <c r="M39" s="66">
        <v>2.0520481492577742E-6</v>
      </c>
      <c r="N39" s="113">
        <v>3.5766552258926339E-2</v>
      </c>
      <c r="O39" s="611">
        <v>0</v>
      </c>
      <c r="P39" s="609">
        <v>0</v>
      </c>
      <c r="Q39" s="610">
        <v>0</v>
      </c>
      <c r="R39" s="611">
        <v>0</v>
      </c>
      <c r="S39" s="609">
        <v>0</v>
      </c>
      <c r="T39" s="610">
        <v>54</v>
      </c>
      <c r="U39" s="611">
        <v>0</v>
      </c>
      <c r="V39" s="609">
        <v>0</v>
      </c>
      <c r="W39" s="610">
        <v>0</v>
      </c>
      <c r="X39" s="611">
        <v>0</v>
      </c>
      <c r="Y39" s="609">
        <v>0</v>
      </c>
      <c r="Z39" s="610">
        <v>756015</v>
      </c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</row>
    <row r="40" spans="1:440" x14ac:dyDescent="0.3">
      <c r="A40" s="658" t="s">
        <v>910</v>
      </c>
      <c r="B40" s="659"/>
      <c r="C40" s="611">
        <v>386206</v>
      </c>
      <c r="D40" s="609">
        <v>293360</v>
      </c>
      <c r="E40" s="610">
        <v>563476</v>
      </c>
      <c r="F40" s="611">
        <v>230219</v>
      </c>
      <c r="G40" s="609">
        <v>487050</v>
      </c>
      <c r="H40" s="610">
        <v>484992</v>
      </c>
      <c r="I40" s="114">
        <v>0.97491808492914156</v>
      </c>
      <c r="J40" s="66">
        <v>0.922721739759506</v>
      </c>
      <c r="K40" s="113">
        <v>0.86747870853321341</v>
      </c>
      <c r="L40" s="114">
        <v>0.92237393527087996</v>
      </c>
      <c r="M40" s="66">
        <v>0.99945005109599894</v>
      </c>
      <c r="N40" s="113">
        <v>0.84799040443689888</v>
      </c>
      <c r="O40" s="611">
        <v>302</v>
      </c>
      <c r="P40" s="609">
        <v>312</v>
      </c>
      <c r="Q40" s="610">
        <v>339</v>
      </c>
      <c r="R40" s="611">
        <v>475</v>
      </c>
      <c r="S40" s="609">
        <v>353</v>
      </c>
      <c r="T40" s="610">
        <v>309</v>
      </c>
      <c r="U40" s="611">
        <v>1666478</v>
      </c>
      <c r="V40" s="609">
        <v>4435360</v>
      </c>
      <c r="W40" s="610">
        <v>4641160</v>
      </c>
      <c r="X40" s="611">
        <v>2753230</v>
      </c>
      <c r="Y40" s="609">
        <v>4445520</v>
      </c>
      <c r="Z40" s="610">
        <v>5110805</v>
      </c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</row>
    <row r="41" spans="1:440" x14ac:dyDescent="0.3">
      <c r="A41" s="658" t="s">
        <v>72</v>
      </c>
      <c r="B41" s="5" t="s">
        <v>54</v>
      </c>
      <c r="C41" s="611">
        <v>9554</v>
      </c>
      <c r="D41" s="609">
        <v>4</v>
      </c>
      <c r="E41" s="610">
        <v>5</v>
      </c>
      <c r="F41" s="611">
        <v>5334</v>
      </c>
      <c r="G41" s="609">
        <v>0</v>
      </c>
      <c r="H41" s="610">
        <v>0</v>
      </c>
      <c r="I41" s="114">
        <v>2.411761439079926E-2</v>
      </c>
      <c r="J41" s="66">
        <v>1.258142541259212E-5</v>
      </c>
      <c r="K41" s="113">
        <v>7.6975657218161326E-6</v>
      </c>
      <c r="L41" s="114">
        <v>2.1370706026587177E-2</v>
      </c>
      <c r="M41" s="66">
        <v>0</v>
      </c>
      <c r="N41" s="113">
        <v>0</v>
      </c>
      <c r="O41" s="611">
        <v>0</v>
      </c>
      <c r="P41" s="609">
        <v>0</v>
      </c>
      <c r="Q41" s="610">
        <v>0</v>
      </c>
      <c r="R41" s="611">
        <v>0</v>
      </c>
      <c r="S41" s="609">
        <v>0</v>
      </c>
      <c r="T41" s="610">
        <v>0</v>
      </c>
      <c r="U41" s="611">
        <v>0</v>
      </c>
      <c r="V41" s="609">
        <v>0</v>
      </c>
      <c r="W41" s="610">
        <v>0</v>
      </c>
      <c r="X41" s="611">
        <v>0</v>
      </c>
      <c r="Y41" s="609">
        <v>0</v>
      </c>
      <c r="Z41" s="610">
        <v>0</v>
      </c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</row>
    <row r="42" spans="1:440" ht="15" customHeight="1" x14ac:dyDescent="0.3">
      <c r="A42" s="659"/>
      <c r="B42" s="5" t="s">
        <v>56</v>
      </c>
      <c r="C42" s="611">
        <v>311</v>
      </c>
      <c r="D42" s="609">
        <v>24477</v>
      </c>
      <c r="E42" s="610">
        <v>24834</v>
      </c>
      <c r="F42" s="611">
        <v>13986</v>
      </c>
      <c r="G42" s="609">
        <v>4</v>
      </c>
      <c r="H42" s="610">
        <v>9</v>
      </c>
      <c r="I42" s="114">
        <v>7.850720196293248E-4</v>
      </c>
      <c r="J42" s="66">
        <v>7.6988887456004323E-2</v>
      </c>
      <c r="K42" s="113">
        <v>3.8232269427116369E-2</v>
      </c>
      <c r="L42" s="114">
        <v>5.6035000841366381E-2</v>
      </c>
      <c r="M42" s="66">
        <v>8.2081925970310969E-6</v>
      </c>
      <c r="N42" s="113">
        <v>1.5736163977822501E-5</v>
      </c>
      <c r="O42" s="611">
        <v>0</v>
      </c>
      <c r="P42" s="609">
        <v>0</v>
      </c>
      <c r="Q42" s="610">
        <v>0</v>
      </c>
      <c r="R42" s="611">
        <v>0</v>
      </c>
      <c r="S42" s="609">
        <v>0</v>
      </c>
      <c r="T42" s="610">
        <v>0</v>
      </c>
      <c r="U42" s="611">
        <v>0</v>
      </c>
      <c r="V42" s="609">
        <v>0</v>
      </c>
      <c r="W42" s="610">
        <v>0</v>
      </c>
      <c r="X42" s="611">
        <v>0</v>
      </c>
      <c r="Y42" s="609">
        <v>0</v>
      </c>
      <c r="Z42" s="610">
        <v>0</v>
      </c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</row>
    <row r="43" spans="1:440" x14ac:dyDescent="0.3">
      <c r="A43" s="659"/>
      <c r="B43" s="5" t="s">
        <v>66</v>
      </c>
      <c r="C43" s="611">
        <v>14</v>
      </c>
      <c r="D43" s="609">
        <v>6</v>
      </c>
      <c r="E43" s="610">
        <v>4</v>
      </c>
      <c r="F43" s="611">
        <v>0</v>
      </c>
      <c r="G43" s="609">
        <v>0</v>
      </c>
      <c r="H43" s="610">
        <v>1</v>
      </c>
      <c r="I43" s="114">
        <v>3.5340862619969606E-5</v>
      </c>
      <c r="J43" s="66">
        <v>1.8872138118888178E-5</v>
      </c>
      <c r="K43" s="113">
        <v>6.1580525774529066E-6</v>
      </c>
      <c r="L43" s="114">
        <v>0</v>
      </c>
      <c r="M43" s="66">
        <v>0</v>
      </c>
      <c r="N43" s="113">
        <v>1.7484626642024999E-6</v>
      </c>
      <c r="O43" s="611">
        <v>0</v>
      </c>
      <c r="P43" s="609">
        <v>0</v>
      </c>
      <c r="Q43" s="610">
        <v>0</v>
      </c>
      <c r="R43" s="611">
        <v>0</v>
      </c>
      <c r="S43" s="609">
        <v>0</v>
      </c>
      <c r="T43" s="610">
        <v>0</v>
      </c>
      <c r="U43" s="611">
        <v>0</v>
      </c>
      <c r="V43" s="609">
        <v>0</v>
      </c>
      <c r="W43" s="610">
        <v>0</v>
      </c>
      <c r="X43" s="611">
        <v>0</v>
      </c>
      <c r="Y43" s="609">
        <v>0</v>
      </c>
      <c r="Z43" s="610">
        <v>0</v>
      </c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</row>
    <row r="44" spans="1:440" x14ac:dyDescent="0.3">
      <c r="A44" s="659"/>
      <c r="B44" s="5" t="s">
        <v>60</v>
      </c>
      <c r="C44" s="611">
        <v>0</v>
      </c>
      <c r="D44" s="609">
        <v>0</v>
      </c>
      <c r="E44" s="610">
        <v>0</v>
      </c>
      <c r="F44" s="611">
        <v>0</v>
      </c>
      <c r="G44" s="609">
        <v>22</v>
      </c>
      <c r="H44" s="610">
        <v>0</v>
      </c>
      <c r="I44" s="114">
        <v>0</v>
      </c>
      <c r="J44" s="66">
        <v>0</v>
      </c>
      <c r="K44" s="113">
        <v>0</v>
      </c>
      <c r="L44" s="114">
        <v>0</v>
      </c>
      <c r="M44" s="66">
        <v>4.5145059283671033E-5</v>
      </c>
      <c r="N44" s="113">
        <v>0</v>
      </c>
      <c r="O44" s="611">
        <v>0</v>
      </c>
      <c r="P44" s="609">
        <v>0</v>
      </c>
      <c r="Q44" s="610">
        <v>0</v>
      </c>
      <c r="R44" s="611">
        <v>0</v>
      </c>
      <c r="S44" s="609">
        <v>0</v>
      </c>
      <c r="T44" s="610">
        <v>0</v>
      </c>
      <c r="U44" s="611">
        <v>0</v>
      </c>
      <c r="V44" s="609">
        <v>0</v>
      </c>
      <c r="W44" s="610">
        <v>0</v>
      </c>
      <c r="X44" s="611">
        <v>0</v>
      </c>
      <c r="Y44" s="609">
        <v>0</v>
      </c>
      <c r="Z44" s="610">
        <v>0</v>
      </c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</row>
    <row r="45" spans="1:440" x14ac:dyDescent="0.3">
      <c r="A45" s="658" t="s">
        <v>73</v>
      </c>
      <c r="B45" s="659"/>
      <c r="C45" s="611">
        <v>9879</v>
      </c>
      <c r="D45" s="609">
        <v>24487</v>
      </c>
      <c r="E45" s="610">
        <v>24843</v>
      </c>
      <c r="F45" s="611">
        <v>19320</v>
      </c>
      <c r="G45" s="609">
        <v>26</v>
      </c>
      <c r="H45" s="610">
        <v>10</v>
      </c>
      <c r="I45" s="114">
        <v>2.4938027273048554E-2</v>
      </c>
      <c r="J45" s="66">
        <v>7.702034101953581E-2</v>
      </c>
      <c r="K45" s="113">
        <v>3.8246125045415635E-2</v>
      </c>
      <c r="L45" s="114">
        <v>7.7405706867953561E-2</v>
      </c>
      <c r="M45" s="66">
        <v>5.335325188070213E-5</v>
      </c>
      <c r="N45" s="113">
        <v>1.7484626642025E-5</v>
      </c>
      <c r="O45" s="611">
        <v>0</v>
      </c>
      <c r="P45" s="609">
        <v>0</v>
      </c>
      <c r="Q45" s="610">
        <v>0</v>
      </c>
      <c r="R45" s="611">
        <v>0</v>
      </c>
      <c r="S45" s="609">
        <v>0</v>
      </c>
      <c r="T45" s="610">
        <v>0</v>
      </c>
      <c r="U45" s="611">
        <v>0</v>
      </c>
      <c r="V45" s="609">
        <v>0</v>
      </c>
      <c r="W45" s="610">
        <v>0</v>
      </c>
      <c r="X45" s="611">
        <v>0</v>
      </c>
      <c r="Y45" s="609">
        <v>0</v>
      </c>
      <c r="Z45" s="610">
        <v>0</v>
      </c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</row>
    <row r="46" spans="1:440" x14ac:dyDescent="0.3">
      <c r="A46" s="658" t="s">
        <v>69</v>
      </c>
      <c r="B46" s="5" t="s">
        <v>41</v>
      </c>
      <c r="C46" s="611">
        <v>49</v>
      </c>
      <c r="D46" s="609">
        <v>46</v>
      </c>
      <c r="E46" s="610">
        <v>248</v>
      </c>
      <c r="F46" s="611">
        <v>51</v>
      </c>
      <c r="G46" s="609">
        <v>109</v>
      </c>
      <c r="H46" s="610">
        <v>100</v>
      </c>
      <c r="I46" s="114">
        <v>1.2369301916989361E-4</v>
      </c>
      <c r="J46" s="66">
        <v>1.4468639224480938E-4</v>
      </c>
      <c r="K46" s="113">
        <v>3.8179925980208018E-4</v>
      </c>
      <c r="L46" s="114">
        <v>2.043318348998774E-4</v>
      </c>
      <c r="M46" s="66">
        <v>2.2367324826909739E-4</v>
      </c>
      <c r="N46" s="113">
        <v>1.7484626642025E-4</v>
      </c>
      <c r="O46" s="611">
        <v>0</v>
      </c>
      <c r="P46" s="609">
        <v>0</v>
      </c>
      <c r="Q46" s="610">
        <v>0</v>
      </c>
      <c r="R46" s="611">
        <v>0</v>
      </c>
      <c r="S46" s="609">
        <v>0</v>
      </c>
      <c r="T46" s="610">
        <v>0</v>
      </c>
      <c r="U46" s="611">
        <v>0</v>
      </c>
      <c r="V46" s="609">
        <v>0</v>
      </c>
      <c r="W46" s="610">
        <v>0</v>
      </c>
      <c r="X46" s="611">
        <v>0</v>
      </c>
      <c r="Y46" s="609">
        <v>0</v>
      </c>
      <c r="Z46" s="610">
        <v>0</v>
      </c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</row>
    <row r="47" spans="1:440" x14ac:dyDescent="0.3">
      <c r="A47" s="659"/>
      <c r="B47" s="5" t="s">
        <v>42</v>
      </c>
      <c r="C47" s="611">
        <v>4</v>
      </c>
      <c r="D47" s="609">
        <v>7</v>
      </c>
      <c r="E47" s="610">
        <v>15</v>
      </c>
      <c r="F47" s="611">
        <v>1</v>
      </c>
      <c r="G47" s="609">
        <v>0</v>
      </c>
      <c r="H47" s="610">
        <v>1</v>
      </c>
      <c r="I47" s="114">
        <v>1.0097389319991317E-5</v>
      </c>
      <c r="J47" s="66">
        <v>2.2017494472036209E-5</v>
      </c>
      <c r="K47" s="113">
        <v>2.30926971654484E-5</v>
      </c>
      <c r="L47" s="114">
        <v>4.0065065666642627E-6</v>
      </c>
      <c r="M47" s="66">
        <v>0</v>
      </c>
      <c r="N47" s="113">
        <v>1.7484626642024999E-6</v>
      </c>
      <c r="O47" s="611">
        <v>0</v>
      </c>
      <c r="P47" s="609">
        <v>0</v>
      </c>
      <c r="Q47" s="610">
        <v>0</v>
      </c>
      <c r="R47" s="611">
        <v>0</v>
      </c>
      <c r="S47" s="609">
        <v>0</v>
      </c>
      <c r="T47" s="610">
        <v>0</v>
      </c>
      <c r="U47" s="611">
        <v>0</v>
      </c>
      <c r="V47" s="609">
        <v>0</v>
      </c>
      <c r="W47" s="610">
        <v>0</v>
      </c>
      <c r="X47" s="611">
        <v>0</v>
      </c>
      <c r="Y47" s="609">
        <v>0</v>
      </c>
      <c r="Z47" s="610">
        <v>0</v>
      </c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</row>
    <row r="48" spans="1:440" x14ac:dyDescent="0.3">
      <c r="A48" s="659"/>
      <c r="B48" s="5" t="s">
        <v>58</v>
      </c>
      <c r="C48" s="611">
        <v>4</v>
      </c>
      <c r="D48" s="609">
        <v>7</v>
      </c>
      <c r="E48" s="610">
        <v>7</v>
      </c>
      <c r="F48" s="611">
        <v>2</v>
      </c>
      <c r="G48" s="609">
        <v>2</v>
      </c>
      <c r="H48" s="610">
        <v>0</v>
      </c>
      <c r="I48" s="114">
        <v>1.0097389319991317E-5</v>
      </c>
      <c r="J48" s="66">
        <v>2.2017494472036209E-5</v>
      </c>
      <c r="K48" s="113">
        <v>1.0776592010542586E-5</v>
      </c>
      <c r="L48" s="114">
        <v>8.0130131333285254E-6</v>
      </c>
      <c r="M48" s="66">
        <v>4.1040962985155484E-6</v>
      </c>
      <c r="N48" s="113">
        <v>0</v>
      </c>
      <c r="O48" s="611">
        <v>0</v>
      </c>
      <c r="P48" s="609">
        <v>0</v>
      </c>
      <c r="Q48" s="610">
        <v>0</v>
      </c>
      <c r="R48" s="611">
        <v>0</v>
      </c>
      <c r="S48" s="609">
        <v>0</v>
      </c>
      <c r="T48" s="610">
        <v>0</v>
      </c>
      <c r="U48" s="611">
        <v>0</v>
      </c>
      <c r="V48" s="609">
        <v>0</v>
      </c>
      <c r="W48" s="610">
        <v>0</v>
      </c>
      <c r="X48" s="611">
        <v>0</v>
      </c>
      <c r="Y48" s="609">
        <v>0</v>
      </c>
      <c r="Z48" s="610">
        <v>0</v>
      </c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</row>
    <row r="49" spans="1:440" x14ac:dyDescent="0.3">
      <c r="A49" s="659"/>
      <c r="B49" s="5" t="s">
        <v>51</v>
      </c>
      <c r="C49" s="611">
        <v>0</v>
      </c>
      <c r="D49" s="609">
        <v>22</v>
      </c>
      <c r="E49" s="610">
        <v>4</v>
      </c>
      <c r="F49" s="611">
        <v>0</v>
      </c>
      <c r="G49" s="609">
        <v>117</v>
      </c>
      <c r="H49" s="610">
        <v>3</v>
      </c>
      <c r="I49" s="114">
        <v>0</v>
      </c>
      <c r="J49" s="66">
        <v>6.9197839769256664E-5</v>
      </c>
      <c r="K49" s="113">
        <v>6.1580525774529066E-6</v>
      </c>
      <c r="L49" s="114">
        <v>0</v>
      </c>
      <c r="M49" s="66">
        <v>2.4008963346315958E-4</v>
      </c>
      <c r="N49" s="113">
        <v>5.2453879926074999E-6</v>
      </c>
      <c r="O49" s="611">
        <v>0</v>
      </c>
      <c r="P49" s="609">
        <v>0</v>
      </c>
      <c r="Q49" s="610">
        <v>0</v>
      </c>
      <c r="R49" s="611">
        <v>0</v>
      </c>
      <c r="S49" s="609">
        <v>0</v>
      </c>
      <c r="T49" s="610">
        <v>0</v>
      </c>
      <c r="U49" s="611">
        <v>0</v>
      </c>
      <c r="V49" s="609">
        <v>0</v>
      </c>
      <c r="W49" s="610">
        <v>0</v>
      </c>
      <c r="X49" s="611">
        <v>0</v>
      </c>
      <c r="Y49" s="609">
        <v>0</v>
      </c>
      <c r="Z49" s="610">
        <v>0</v>
      </c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</row>
    <row r="50" spans="1:440" x14ac:dyDescent="0.3">
      <c r="A50" s="658" t="s">
        <v>70</v>
      </c>
      <c r="B50" s="659"/>
      <c r="C50" s="611">
        <v>57</v>
      </c>
      <c r="D50" s="609">
        <v>82</v>
      </c>
      <c r="E50" s="610">
        <v>274</v>
      </c>
      <c r="F50" s="611">
        <v>54</v>
      </c>
      <c r="G50" s="609">
        <v>228</v>
      </c>
      <c r="H50" s="610">
        <v>104</v>
      </c>
      <c r="I50" s="114">
        <v>1.4388779780987625E-4</v>
      </c>
      <c r="J50" s="66">
        <v>2.5791922095813846E-4</v>
      </c>
      <c r="K50" s="113">
        <v>4.2182660155552407E-4</v>
      </c>
      <c r="L50" s="114">
        <v>2.1635135459987018E-4</v>
      </c>
      <c r="M50" s="66">
        <v>4.6786697803077252E-4</v>
      </c>
      <c r="N50" s="113">
        <v>1.8184011707706E-4</v>
      </c>
      <c r="O50" s="611">
        <v>0</v>
      </c>
      <c r="P50" s="609">
        <v>0</v>
      </c>
      <c r="Q50" s="610">
        <v>0</v>
      </c>
      <c r="R50" s="611">
        <v>0</v>
      </c>
      <c r="S50" s="609">
        <v>0</v>
      </c>
      <c r="T50" s="610">
        <v>0</v>
      </c>
      <c r="U50" s="611">
        <v>0</v>
      </c>
      <c r="V50" s="609">
        <v>0</v>
      </c>
      <c r="W50" s="610">
        <v>0</v>
      </c>
      <c r="X50" s="611">
        <v>0</v>
      </c>
      <c r="Y50" s="609">
        <v>0</v>
      </c>
      <c r="Z50" s="610">
        <v>0</v>
      </c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</row>
    <row r="51" spans="1:440" x14ac:dyDescent="0.3">
      <c r="A51" s="658" t="s">
        <v>71</v>
      </c>
      <c r="B51" s="5" t="s">
        <v>59</v>
      </c>
      <c r="C51" s="611">
        <v>0</v>
      </c>
      <c r="D51" s="609">
        <v>0</v>
      </c>
      <c r="E51" s="610">
        <v>0</v>
      </c>
      <c r="F51" s="611">
        <v>1</v>
      </c>
      <c r="G51" s="609">
        <v>14</v>
      </c>
      <c r="H51" s="610">
        <v>2</v>
      </c>
      <c r="I51" s="114">
        <v>0</v>
      </c>
      <c r="J51" s="66">
        <v>0</v>
      </c>
      <c r="K51" s="113">
        <v>0</v>
      </c>
      <c r="L51" s="114">
        <v>4.0065065666642627E-6</v>
      </c>
      <c r="M51" s="66">
        <v>2.8728674089608839E-5</v>
      </c>
      <c r="N51" s="113">
        <v>3.4969253284049998E-6</v>
      </c>
      <c r="O51" s="611">
        <v>0</v>
      </c>
      <c r="P51" s="609">
        <v>0</v>
      </c>
      <c r="Q51" s="610">
        <v>0</v>
      </c>
      <c r="R51" s="611">
        <v>0</v>
      </c>
      <c r="S51" s="609">
        <v>0</v>
      </c>
      <c r="T51" s="610">
        <v>0</v>
      </c>
      <c r="U51" s="611">
        <v>0</v>
      </c>
      <c r="V51" s="609">
        <v>0</v>
      </c>
      <c r="W51" s="610">
        <v>0</v>
      </c>
      <c r="X51" s="611">
        <v>0</v>
      </c>
      <c r="Y51" s="609">
        <v>0</v>
      </c>
      <c r="Z51" s="610">
        <v>0</v>
      </c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</row>
    <row r="52" spans="1:440" x14ac:dyDescent="0.3">
      <c r="A52" s="659"/>
      <c r="B52" s="5" t="s">
        <v>53</v>
      </c>
      <c r="C52" s="611">
        <v>0</v>
      </c>
      <c r="D52" s="609">
        <v>0</v>
      </c>
      <c r="E52" s="610">
        <v>60963</v>
      </c>
      <c r="F52" s="611">
        <v>0</v>
      </c>
      <c r="G52" s="609">
        <v>0</v>
      </c>
      <c r="H52" s="610">
        <v>86823</v>
      </c>
      <c r="I52" s="114">
        <v>0</v>
      </c>
      <c r="J52" s="66">
        <v>0</v>
      </c>
      <c r="K52" s="113">
        <v>9.3853339819815376E-2</v>
      </c>
      <c r="L52" s="114">
        <v>0</v>
      </c>
      <c r="M52" s="66">
        <v>0</v>
      </c>
      <c r="N52" s="113">
        <v>0.15180677389405364</v>
      </c>
      <c r="O52" s="611">
        <v>0</v>
      </c>
      <c r="P52" s="609">
        <v>0</v>
      </c>
      <c r="Q52" s="610">
        <v>0</v>
      </c>
      <c r="R52" s="611">
        <v>0</v>
      </c>
      <c r="S52" s="609">
        <v>0</v>
      </c>
      <c r="T52" s="610">
        <v>0</v>
      </c>
      <c r="U52" s="611">
        <v>0</v>
      </c>
      <c r="V52" s="609">
        <v>0</v>
      </c>
      <c r="W52" s="610">
        <v>0</v>
      </c>
      <c r="X52" s="611">
        <v>0</v>
      </c>
      <c r="Y52" s="609">
        <v>0</v>
      </c>
      <c r="Z52" s="610">
        <v>0</v>
      </c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</row>
    <row r="53" spans="1:440" x14ac:dyDescent="0.3">
      <c r="A53" s="658" t="s">
        <v>776</v>
      </c>
      <c r="B53" s="659"/>
      <c r="C53" s="611">
        <v>0</v>
      </c>
      <c r="D53" s="609">
        <v>0</v>
      </c>
      <c r="E53" s="610">
        <v>60963</v>
      </c>
      <c r="F53" s="611">
        <v>1</v>
      </c>
      <c r="G53" s="609">
        <v>14</v>
      </c>
      <c r="H53" s="610">
        <v>86825</v>
      </c>
      <c r="I53" s="114">
        <v>0</v>
      </c>
      <c r="J53" s="66">
        <v>0</v>
      </c>
      <c r="K53" s="113">
        <v>9.3853339819815376E-2</v>
      </c>
      <c r="L53" s="114">
        <v>4.0065065666642627E-6</v>
      </c>
      <c r="M53" s="66">
        <v>2.8728674089608839E-5</v>
      </c>
      <c r="N53" s="113">
        <v>0.15181027081938206</v>
      </c>
      <c r="O53" s="611">
        <v>0</v>
      </c>
      <c r="P53" s="609">
        <v>0</v>
      </c>
      <c r="Q53" s="610">
        <v>0</v>
      </c>
      <c r="R53" s="611">
        <v>0</v>
      </c>
      <c r="S53" s="609">
        <v>0</v>
      </c>
      <c r="T53" s="610">
        <v>0</v>
      </c>
      <c r="U53" s="611">
        <v>0</v>
      </c>
      <c r="V53" s="609">
        <v>0</v>
      </c>
      <c r="W53" s="610">
        <v>0</v>
      </c>
      <c r="X53" s="611">
        <v>0</v>
      </c>
      <c r="Y53" s="609">
        <v>0</v>
      </c>
      <c r="Z53" s="610">
        <v>0</v>
      </c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</row>
    <row r="54" spans="1:440" x14ac:dyDescent="0.3">
      <c r="A54" s="658" t="s">
        <v>0</v>
      </c>
      <c r="B54" s="659"/>
      <c r="C54" s="611">
        <v>396142</v>
      </c>
      <c r="D54" s="609">
        <v>317929</v>
      </c>
      <c r="E54" s="610">
        <v>649556</v>
      </c>
      <c r="F54" s="611">
        <v>249594</v>
      </c>
      <c r="G54" s="609">
        <v>487318</v>
      </c>
      <c r="H54" s="610">
        <v>571931</v>
      </c>
      <c r="I54" s="114">
        <v>1</v>
      </c>
      <c r="J54" s="66">
        <v>1</v>
      </c>
      <c r="K54" s="113">
        <v>1</v>
      </c>
      <c r="L54" s="114">
        <v>1</v>
      </c>
      <c r="M54" s="66">
        <v>1</v>
      </c>
      <c r="N54" s="113">
        <v>1</v>
      </c>
      <c r="O54" s="611">
        <v>302</v>
      </c>
      <c r="P54" s="609">
        <v>312</v>
      </c>
      <c r="Q54" s="610">
        <v>339</v>
      </c>
      <c r="R54" s="611">
        <v>475</v>
      </c>
      <c r="S54" s="609">
        <v>353</v>
      </c>
      <c r="T54" s="610">
        <v>309</v>
      </c>
      <c r="U54" s="611">
        <v>1666478</v>
      </c>
      <c r="V54" s="609">
        <v>4435360</v>
      </c>
      <c r="W54" s="610">
        <v>4641160</v>
      </c>
      <c r="X54" s="611">
        <v>2753230</v>
      </c>
      <c r="Y54" s="609">
        <v>4445520</v>
      </c>
      <c r="Z54" s="610">
        <v>5110805</v>
      </c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</row>
    <row r="55" spans="1:440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</row>
    <row r="56" spans="1:440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</row>
    <row r="57" spans="1:440" x14ac:dyDescent="0.3">
      <c r="A57"/>
      <c r="B57"/>
      <c r="C57" s="557">
        <f>C45+C53</f>
        <v>9879</v>
      </c>
      <c r="D57" s="557">
        <f t="shared" ref="D57:H57" si="0">D45+D53</f>
        <v>24487</v>
      </c>
      <c r="E57" s="557">
        <f t="shared" si="0"/>
        <v>85806</v>
      </c>
      <c r="F57" s="557">
        <f t="shared" si="0"/>
        <v>19321</v>
      </c>
      <c r="G57" s="557">
        <f t="shared" si="0"/>
        <v>40</v>
      </c>
      <c r="H57" s="557">
        <f t="shared" si="0"/>
        <v>86835</v>
      </c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</row>
    <row r="58" spans="1:440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</row>
    <row r="59" spans="1:440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</row>
    <row r="60" spans="1:440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</row>
    <row r="61" spans="1:440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</row>
    <row r="62" spans="1:440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</row>
    <row r="63" spans="1:440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1:440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1:7" x14ac:dyDescent="0.3">
      <c r="A65"/>
      <c r="B65"/>
      <c r="C65"/>
      <c r="D65"/>
      <c r="E65"/>
      <c r="F65"/>
      <c r="G65"/>
    </row>
    <row r="66" spans="1:7" x14ac:dyDescent="0.3">
      <c r="A66"/>
      <c r="B66"/>
      <c r="C66"/>
      <c r="D66"/>
      <c r="E66"/>
      <c r="F66"/>
      <c r="G66"/>
    </row>
    <row r="67" spans="1:7" x14ac:dyDescent="0.3">
      <c r="A67"/>
      <c r="B67"/>
      <c r="C67"/>
      <c r="D67"/>
      <c r="E67"/>
      <c r="F67"/>
      <c r="G67"/>
    </row>
    <row r="68" spans="1:7" x14ac:dyDescent="0.3">
      <c r="A68"/>
      <c r="B68"/>
      <c r="C68"/>
      <c r="D68"/>
      <c r="E68"/>
      <c r="F68"/>
      <c r="G68"/>
    </row>
    <row r="69" spans="1:7" x14ac:dyDescent="0.3">
      <c r="A69"/>
      <c r="B69"/>
      <c r="C69"/>
      <c r="D69"/>
      <c r="E69"/>
      <c r="F69"/>
      <c r="G69"/>
    </row>
    <row r="70" spans="1:7" x14ac:dyDescent="0.3">
      <c r="A70"/>
      <c r="B70"/>
      <c r="C70"/>
      <c r="D70"/>
      <c r="E70"/>
      <c r="F70"/>
      <c r="G70"/>
    </row>
    <row r="71" spans="1:7" x14ac:dyDescent="0.3">
      <c r="A71"/>
      <c r="B71"/>
      <c r="C71"/>
      <c r="D71"/>
      <c r="E71"/>
      <c r="F71"/>
      <c r="G71"/>
    </row>
    <row r="72" spans="1:7" x14ac:dyDescent="0.3">
      <c r="A72"/>
      <c r="B72"/>
      <c r="C72"/>
      <c r="D72"/>
      <c r="E72"/>
      <c r="F72"/>
      <c r="G72"/>
    </row>
    <row r="73" spans="1:7" x14ac:dyDescent="0.3">
      <c r="A73"/>
      <c r="B73"/>
      <c r="C73"/>
      <c r="D73"/>
      <c r="E73"/>
      <c r="F73"/>
      <c r="G73"/>
    </row>
    <row r="74" spans="1:7" x14ac:dyDescent="0.3">
      <c r="A74"/>
      <c r="B74"/>
      <c r="C74"/>
      <c r="D74"/>
      <c r="E74"/>
      <c r="F74"/>
      <c r="G74"/>
    </row>
    <row r="75" spans="1:7" x14ac:dyDescent="0.3">
      <c r="A75"/>
      <c r="B75"/>
      <c r="C75"/>
      <c r="D75"/>
      <c r="E75"/>
      <c r="F75"/>
      <c r="G75"/>
    </row>
    <row r="76" spans="1:7" x14ac:dyDescent="0.3">
      <c r="A76"/>
      <c r="B76"/>
      <c r="C76"/>
      <c r="D76"/>
      <c r="E76"/>
      <c r="F76"/>
      <c r="G76"/>
    </row>
    <row r="77" spans="1:7" x14ac:dyDescent="0.3">
      <c r="A77"/>
      <c r="B77"/>
      <c r="C77"/>
      <c r="D77"/>
      <c r="E77"/>
      <c r="F77"/>
      <c r="G77"/>
    </row>
    <row r="78" spans="1:7" x14ac:dyDescent="0.3">
      <c r="A78"/>
      <c r="B78"/>
      <c r="C78"/>
      <c r="D78"/>
      <c r="E78"/>
      <c r="F78"/>
      <c r="G78"/>
    </row>
    <row r="79" spans="1:7" x14ac:dyDescent="0.3">
      <c r="A79"/>
      <c r="B79"/>
      <c r="C79"/>
      <c r="D79"/>
      <c r="E79"/>
      <c r="F79"/>
      <c r="G79"/>
    </row>
    <row r="80" spans="1:7" x14ac:dyDescent="0.3">
      <c r="A80"/>
      <c r="B80"/>
      <c r="C80"/>
      <c r="D80"/>
      <c r="E80"/>
      <c r="F80"/>
      <c r="G80"/>
    </row>
    <row r="81" spans="1:7" x14ac:dyDescent="0.3">
      <c r="A81"/>
      <c r="B81"/>
      <c r="C81"/>
      <c r="D81"/>
      <c r="E81"/>
      <c r="F81"/>
      <c r="G81"/>
    </row>
    <row r="82" spans="1:7" x14ac:dyDescent="0.3">
      <c r="A82"/>
      <c r="B82"/>
      <c r="C82"/>
      <c r="D82"/>
      <c r="E82"/>
      <c r="F82"/>
      <c r="G82"/>
    </row>
    <row r="83" spans="1:7" x14ac:dyDescent="0.3">
      <c r="A83"/>
      <c r="B83"/>
      <c r="C83"/>
      <c r="D83"/>
      <c r="E83"/>
      <c r="F83"/>
      <c r="G83"/>
    </row>
    <row r="84" spans="1:7" x14ac:dyDescent="0.3">
      <c r="A84"/>
      <c r="B84"/>
      <c r="C84"/>
      <c r="D84"/>
      <c r="E84"/>
      <c r="F84"/>
      <c r="G84"/>
    </row>
    <row r="85" spans="1:7" x14ac:dyDescent="0.3">
      <c r="A85"/>
      <c r="B85"/>
      <c r="C85"/>
      <c r="D85"/>
      <c r="E85"/>
      <c r="F85"/>
      <c r="G85"/>
    </row>
    <row r="86" spans="1:7" x14ac:dyDescent="0.3">
      <c r="A86"/>
      <c r="B86"/>
      <c r="C86"/>
      <c r="D86"/>
      <c r="E86"/>
      <c r="F86"/>
      <c r="G86"/>
    </row>
    <row r="87" spans="1:7" x14ac:dyDescent="0.3">
      <c r="A87"/>
      <c r="B87"/>
      <c r="C87"/>
      <c r="D87"/>
      <c r="E87"/>
      <c r="F87"/>
      <c r="G87"/>
    </row>
    <row r="88" spans="1:7" x14ac:dyDescent="0.3">
      <c r="A88"/>
      <c r="B88"/>
      <c r="C88"/>
      <c r="D88"/>
      <c r="E88"/>
      <c r="F88"/>
      <c r="G88"/>
    </row>
    <row r="89" spans="1:7" x14ac:dyDescent="0.3">
      <c r="A89"/>
      <c r="B89"/>
      <c r="C89"/>
      <c r="D89"/>
      <c r="E89"/>
      <c r="F89"/>
      <c r="G89"/>
    </row>
    <row r="90" spans="1:7" x14ac:dyDescent="0.3">
      <c r="A90"/>
      <c r="B90"/>
      <c r="C90"/>
      <c r="D90"/>
      <c r="E90"/>
      <c r="F90"/>
      <c r="G90"/>
    </row>
    <row r="91" spans="1:7" x14ac:dyDescent="0.3">
      <c r="A91"/>
      <c r="B91"/>
      <c r="C91"/>
      <c r="D91"/>
      <c r="E91"/>
      <c r="F91"/>
      <c r="G91"/>
    </row>
    <row r="92" spans="1:7" x14ac:dyDescent="0.3">
      <c r="A92"/>
      <c r="B92"/>
      <c r="C92"/>
      <c r="D92"/>
      <c r="E92"/>
      <c r="F92"/>
      <c r="G92"/>
    </row>
    <row r="93" spans="1:7" x14ac:dyDescent="0.3">
      <c r="A93"/>
      <c r="B93"/>
      <c r="C93"/>
      <c r="D93"/>
      <c r="E93"/>
      <c r="F93"/>
      <c r="G93"/>
    </row>
  </sheetData>
  <mergeCells count="33">
    <mergeCell ref="A45:B45"/>
    <mergeCell ref="A41:A44"/>
    <mergeCell ref="A40:B40"/>
    <mergeCell ref="A34:A39"/>
    <mergeCell ref="T9:Y9"/>
    <mergeCell ref="B10:D10"/>
    <mergeCell ref="E10:G10"/>
    <mergeCell ref="H10:J10"/>
    <mergeCell ref="K10:M10"/>
    <mergeCell ref="N10:P10"/>
    <mergeCell ref="Q10:S10"/>
    <mergeCell ref="T10:V10"/>
    <mergeCell ref="W10:Y10"/>
    <mergeCell ref="B9:G9"/>
    <mergeCell ref="H9:M9"/>
    <mergeCell ref="N9:S9"/>
    <mergeCell ref="A54:B54"/>
    <mergeCell ref="A53:B53"/>
    <mergeCell ref="A51:A52"/>
    <mergeCell ref="A50:B50"/>
    <mergeCell ref="A46:A49"/>
    <mergeCell ref="U31:Z31"/>
    <mergeCell ref="O31:T31"/>
    <mergeCell ref="I31:N31"/>
    <mergeCell ref="C31:H31"/>
    <mergeCell ref="X32:Z32"/>
    <mergeCell ref="U32:W32"/>
    <mergeCell ref="R32:T32"/>
    <mergeCell ref="O32:Q32"/>
    <mergeCell ref="L32:N32"/>
    <mergeCell ref="I32:K32"/>
    <mergeCell ref="F32:H32"/>
    <mergeCell ref="C32:E32"/>
  </mergeCells>
  <phoneticPr fontId="1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ACAC2-386D-46AB-AFD7-B56FB9F4D828}">
  <dimension ref="A1:S233"/>
  <sheetViews>
    <sheetView topLeftCell="A54" zoomScale="115" zoomScaleNormal="115" workbookViewId="0">
      <selection activeCell="I85" sqref="I85"/>
    </sheetView>
  </sheetViews>
  <sheetFormatPr defaultRowHeight="14" x14ac:dyDescent="0.3"/>
  <cols>
    <col min="1" max="1" width="10.83203125" customWidth="1"/>
    <col min="2" max="2" width="8.83203125" customWidth="1"/>
    <col min="3" max="3" width="8.83203125" bestFit="1" customWidth="1"/>
    <col min="4" max="4" width="7.6640625" bestFit="1" customWidth="1"/>
    <col min="5" max="6" width="8.83203125" bestFit="1" customWidth="1"/>
    <col min="7" max="7" width="12.75" bestFit="1" customWidth="1"/>
    <col min="8" max="8" width="12.58203125" bestFit="1" customWidth="1"/>
    <col min="9" max="9" width="10.75" bestFit="1" customWidth="1"/>
    <col min="10" max="10" width="11.5" bestFit="1" customWidth="1"/>
    <col min="11" max="11" width="10.75" bestFit="1" customWidth="1"/>
    <col min="12" max="12" width="16.83203125" bestFit="1" customWidth="1"/>
    <col min="13" max="13" width="14.75" bestFit="1" customWidth="1"/>
  </cols>
  <sheetData>
    <row r="1" spans="1:19" x14ac:dyDescent="0.3">
      <c r="A1" t="s">
        <v>97</v>
      </c>
      <c r="B1" t="s">
        <v>98</v>
      </c>
      <c r="C1" t="s">
        <v>96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228</v>
      </c>
      <c r="O1" t="s">
        <v>229</v>
      </c>
      <c r="P1" t="s">
        <v>801</v>
      </c>
      <c r="Q1" t="s">
        <v>811</v>
      </c>
      <c r="R1" t="s">
        <v>812</v>
      </c>
      <c r="S1" t="s">
        <v>816</v>
      </c>
    </row>
    <row r="2" spans="1:19" x14ac:dyDescent="0.3">
      <c r="A2" s="24">
        <v>44652</v>
      </c>
      <c r="B2" s="25" t="s">
        <v>3</v>
      </c>
      <c r="C2" s="25" t="s">
        <v>110</v>
      </c>
      <c r="D2" s="26">
        <v>130151</v>
      </c>
      <c r="E2" s="26">
        <v>123724</v>
      </c>
      <c r="F2" s="25">
        <v>941</v>
      </c>
      <c r="G2" s="26">
        <v>1051</v>
      </c>
      <c r="H2" s="27">
        <v>831916.81</v>
      </c>
      <c r="I2" s="25">
        <v>108</v>
      </c>
      <c r="J2" s="27">
        <v>447857.5</v>
      </c>
      <c r="K2" s="25">
        <v>84</v>
      </c>
      <c r="L2" s="25" t="s">
        <v>184</v>
      </c>
      <c r="M2" s="26">
        <v>136072</v>
      </c>
      <c r="N2">
        <f t="shared" ref="N2:N33" si="0">YEAR(A2)</f>
        <v>2022</v>
      </c>
      <c r="O2">
        <f t="shared" ref="O2:O33" si="1">MONTH(A2)</f>
        <v>4</v>
      </c>
    </row>
    <row r="3" spans="1:19" x14ac:dyDescent="0.3">
      <c r="A3" s="24">
        <v>44652</v>
      </c>
      <c r="B3" s="25" t="s">
        <v>2</v>
      </c>
      <c r="C3" s="25" t="s">
        <v>110</v>
      </c>
      <c r="D3" s="26">
        <v>124976</v>
      </c>
      <c r="E3" s="26">
        <v>119118</v>
      </c>
      <c r="F3" s="26">
        <v>1053</v>
      </c>
      <c r="G3" s="26">
        <v>1605</v>
      </c>
      <c r="H3" s="27">
        <v>1055934.17</v>
      </c>
      <c r="I3" s="25">
        <v>91</v>
      </c>
      <c r="J3" s="27">
        <v>145158.42000000001</v>
      </c>
      <c r="K3" s="25">
        <v>29</v>
      </c>
      <c r="L3" s="25" t="s">
        <v>184</v>
      </c>
      <c r="M3" s="26">
        <v>127873</v>
      </c>
      <c r="N3">
        <f t="shared" si="0"/>
        <v>2022</v>
      </c>
      <c r="O3">
        <f t="shared" si="1"/>
        <v>4</v>
      </c>
    </row>
    <row r="4" spans="1:19" x14ac:dyDescent="0.3">
      <c r="A4" s="24">
        <v>44682</v>
      </c>
      <c r="B4" s="25" t="s">
        <v>3</v>
      </c>
      <c r="C4" s="25" t="s">
        <v>110</v>
      </c>
      <c r="D4" s="26">
        <v>204931</v>
      </c>
      <c r="E4" s="26">
        <v>196345</v>
      </c>
      <c r="F4" s="26">
        <v>1621</v>
      </c>
      <c r="G4" s="26">
        <v>1583</v>
      </c>
      <c r="H4" s="27">
        <v>1955807.34</v>
      </c>
      <c r="I4" s="25">
        <v>363</v>
      </c>
      <c r="J4" s="26">
        <v>1394358</v>
      </c>
      <c r="K4" s="25">
        <v>303</v>
      </c>
      <c r="L4" s="25" t="s">
        <v>184</v>
      </c>
      <c r="M4" s="26">
        <v>154665</v>
      </c>
      <c r="N4">
        <f t="shared" si="0"/>
        <v>2022</v>
      </c>
      <c r="O4">
        <f t="shared" si="1"/>
        <v>5</v>
      </c>
    </row>
    <row r="5" spans="1:19" x14ac:dyDescent="0.3">
      <c r="A5" s="24">
        <v>44682</v>
      </c>
      <c r="B5" s="25" t="s">
        <v>2</v>
      </c>
      <c r="C5" s="25" t="s">
        <v>110</v>
      </c>
      <c r="D5" s="26">
        <v>204200</v>
      </c>
      <c r="E5" s="26">
        <v>192898</v>
      </c>
      <c r="F5" s="26">
        <v>1981</v>
      </c>
      <c r="G5" s="26">
        <v>2373</v>
      </c>
      <c r="H5" s="27">
        <v>1242864.48</v>
      </c>
      <c r="I5" s="25">
        <v>201</v>
      </c>
      <c r="J5" s="27">
        <v>565934.69999999995</v>
      </c>
      <c r="K5" s="25">
        <v>122</v>
      </c>
      <c r="L5" s="25" t="s">
        <v>184</v>
      </c>
      <c r="M5" s="26">
        <v>216453</v>
      </c>
      <c r="N5">
        <f t="shared" si="0"/>
        <v>2022</v>
      </c>
      <c r="O5">
        <f t="shared" si="1"/>
        <v>5</v>
      </c>
    </row>
    <row r="6" spans="1:19" x14ac:dyDescent="0.3">
      <c r="A6" s="24">
        <v>44713</v>
      </c>
      <c r="B6" s="25" t="s">
        <v>3</v>
      </c>
      <c r="C6" s="25" t="s">
        <v>110</v>
      </c>
      <c r="D6" s="26">
        <v>242814</v>
      </c>
      <c r="E6" s="26">
        <v>228467</v>
      </c>
      <c r="F6" s="26">
        <v>3188</v>
      </c>
      <c r="G6" s="26">
        <v>1987</v>
      </c>
      <c r="H6" s="27">
        <v>4259443.42</v>
      </c>
      <c r="I6" s="26">
        <v>1019</v>
      </c>
      <c r="J6" s="27">
        <v>3455863.81</v>
      </c>
      <c r="K6" s="25">
        <v>926</v>
      </c>
      <c r="L6" s="25" t="s">
        <v>184</v>
      </c>
      <c r="M6" s="26">
        <v>203043</v>
      </c>
      <c r="N6">
        <f t="shared" si="0"/>
        <v>2022</v>
      </c>
      <c r="O6">
        <f t="shared" si="1"/>
        <v>6</v>
      </c>
    </row>
    <row r="7" spans="1:19" x14ac:dyDescent="0.3">
      <c r="A7" s="24">
        <v>44713</v>
      </c>
      <c r="B7" s="25" t="s">
        <v>2</v>
      </c>
      <c r="C7" s="25" t="s">
        <v>110</v>
      </c>
      <c r="D7" s="26">
        <v>228873</v>
      </c>
      <c r="E7" s="26">
        <v>213596</v>
      </c>
      <c r="F7" s="26">
        <v>3397</v>
      </c>
      <c r="G7" s="26">
        <v>2397</v>
      </c>
      <c r="H7" s="27">
        <v>2262618.63</v>
      </c>
      <c r="I7" s="25">
        <v>590</v>
      </c>
      <c r="J7" s="27">
        <v>1558691.6</v>
      </c>
      <c r="K7" s="25">
        <v>466</v>
      </c>
      <c r="L7" s="25" t="s">
        <v>184</v>
      </c>
      <c r="M7" s="26">
        <v>242985</v>
      </c>
      <c r="N7">
        <f t="shared" si="0"/>
        <v>2022</v>
      </c>
      <c r="O7">
        <f t="shared" si="1"/>
        <v>6</v>
      </c>
    </row>
    <row r="8" spans="1:19" x14ac:dyDescent="0.3">
      <c r="A8" s="24">
        <v>44743</v>
      </c>
      <c r="B8" s="25" t="s">
        <v>3</v>
      </c>
      <c r="C8" s="25" t="s">
        <v>110</v>
      </c>
      <c r="D8" s="26">
        <v>162135</v>
      </c>
      <c r="E8" s="26">
        <v>153382</v>
      </c>
      <c r="F8" s="26">
        <v>1700</v>
      </c>
      <c r="G8" s="26">
        <v>1351</v>
      </c>
      <c r="H8" s="27">
        <v>2179795.4700000002</v>
      </c>
      <c r="I8" s="25">
        <v>537</v>
      </c>
      <c r="J8" s="27">
        <v>1617423.32</v>
      </c>
      <c r="K8" s="25">
        <v>489</v>
      </c>
      <c r="L8" s="25" t="s">
        <v>184</v>
      </c>
      <c r="M8" s="26">
        <v>169853</v>
      </c>
      <c r="N8">
        <f t="shared" si="0"/>
        <v>2022</v>
      </c>
      <c r="O8">
        <f t="shared" si="1"/>
        <v>7</v>
      </c>
    </row>
    <row r="9" spans="1:19" x14ac:dyDescent="0.3">
      <c r="A9" s="24">
        <v>44743</v>
      </c>
      <c r="B9" s="25" t="s">
        <v>2</v>
      </c>
      <c r="C9" s="25" t="s">
        <v>110</v>
      </c>
      <c r="D9" s="26">
        <v>135746</v>
      </c>
      <c r="E9" s="26">
        <v>125621</v>
      </c>
      <c r="F9" s="26">
        <v>1515</v>
      </c>
      <c r="G9" s="26">
        <v>1599</v>
      </c>
      <c r="H9" s="27">
        <v>1120451.78</v>
      </c>
      <c r="I9" s="25">
        <v>284</v>
      </c>
      <c r="J9" s="27">
        <v>757167.08</v>
      </c>
      <c r="K9" s="25">
        <v>239</v>
      </c>
      <c r="L9" s="25" t="s">
        <v>184</v>
      </c>
      <c r="M9" s="26">
        <v>140029</v>
      </c>
      <c r="N9">
        <f t="shared" si="0"/>
        <v>2022</v>
      </c>
      <c r="O9">
        <f t="shared" si="1"/>
        <v>7</v>
      </c>
    </row>
    <row r="10" spans="1:19" x14ac:dyDescent="0.3">
      <c r="A10" s="24">
        <v>44774</v>
      </c>
      <c r="B10" s="25" t="s">
        <v>3</v>
      </c>
      <c r="C10" s="25" t="s">
        <v>110</v>
      </c>
      <c r="D10" s="26">
        <v>102361</v>
      </c>
      <c r="E10" s="26">
        <v>95352</v>
      </c>
      <c r="F10" s="26">
        <v>1031</v>
      </c>
      <c r="G10" s="26">
        <v>1006</v>
      </c>
      <c r="H10" s="27">
        <v>1538585.4</v>
      </c>
      <c r="I10" s="25">
        <v>297</v>
      </c>
      <c r="J10" s="27">
        <v>1214052.6499999999</v>
      </c>
      <c r="K10" s="25">
        <v>264</v>
      </c>
      <c r="L10" s="25" t="s">
        <v>184</v>
      </c>
      <c r="M10" s="26">
        <v>107751</v>
      </c>
      <c r="N10">
        <f t="shared" si="0"/>
        <v>2022</v>
      </c>
      <c r="O10">
        <f t="shared" si="1"/>
        <v>8</v>
      </c>
    </row>
    <row r="11" spans="1:19" x14ac:dyDescent="0.3">
      <c r="A11" s="24">
        <v>44774</v>
      </c>
      <c r="B11" s="25" t="s">
        <v>2</v>
      </c>
      <c r="C11" s="25" t="s">
        <v>110</v>
      </c>
      <c r="D11" s="26">
        <v>134360</v>
      </c>
      <c r="E11" s="26">
        <v>125697</v>
      </c>
      <c r="F11" s="26">
        <v>1141</v>
      </c>
      <c r="G11" s="26">
        <v>1264</v>
      </c>
      <c r="H11" s="27">
        <v>933400.25</v>
      </c>
      <c r="I11" s="25">
        <v>171</v>
      </c>
      <c r="J11" s="27">
        <v>678447.25</v>
      </c>
      <c r="K11" s="25">
        <v>142</v>
      </c>
      <c r="L11" s="25" t="s">
        <v>184</v>
      </c>
      <c r="M11" s="26">
        <v>137514</v>
      </c>
      <c r="N11">
        <f t="shared" si="0"/>
        <v>2022</v>
      </c>
      <c r="O11">
        <f t="shared" si="1"/>
        <v>8</v>
      </c>
    </row>
    <row r="12" spans="1:19" x14ac:dyDescent="0.3">
      <c r="A12" s="24">
        <v>44805</v>
      </c>
      <c r="B12" s="25" t="s">
        <v>3</v>
      </c>
      <c r="C12" s="25" t="s">
        <v>110</v>
      </c>
      <c r="D12" s="26">
        <v>138635</v>
      </c>
      <c r="E12" s="26">
        <v>131669</v>
      </c>
      <c r="F12" s="26">
        <v>1345</v>
      </c>
      <c r="G12" s="26">
        <v>1162</v>
      </c>
      <c r="H12" s="27">
        <v>1850782.01</v>
      </c>
      <c r="I12" s="25">
        <v>227</v>
      </c>
      <c r="J12" s="27">
        <v>1345472.01</v>
      </c>
      <c r="K12" s="25">
        <v>199</v>
      </c>
      <c r="L12" s="25" t="s">
        <v>184</v>
      </c>
      <c r="M12" s="26">
        <v>145822</v>
      </c>
      <c r="N12">
        <f t="shared" si="0"/>
        <v>2022</v>
      </c>
      <c r="O12">
        <f t="shared" si="1"/>
        <v>9</v>
      </c>
    </row>
    <row r="13" spans="1:19" x14ac:dyDescent="0.3">
      <c r="A13" s="24">
        <v>44805</v>
      </c>
      <c r="B13" s="25" t="s">
        <v>2</v>
      </c>
      <c r="C13" s="25" t="s">
        <v>110</v>
      </c>
      <c r="D13" s="26">
        <v>123190</v>
      </c>
      <c r="E13" s="26">
        <v>115624</v>
      </c>
      <c r="F13" s="26">
        <v>1304</v>
      </c>
      <c r="G13" s="26">
        <v>1298</v>
      </c>
      <c r="H13" s="26">
        <v>583157</v>
      </c>
      <c r="I13" s="25">
        <v>105</v>
      </c>
      <c r="J13" s="26">
        <v>405022</v>
      </c>
      <c r="K13" s="25">
        <v>81</v>
      </c>
      <c r="L13" s="25" t="s">
        <v>184</v>
      </c>
      <c r="M13" s="26">
        <v>126521</v>
      </c>
      <c r="N13">
        <f t="shared" si="0"/>
        <v>2022</v>
      </c>
      <c r="O13">
        <f t="shared" si="1"/>
        <v>9</v>
      </c>
    </row>
    <row r="14" spans="1:19" x14ac:dyDescent="0.3">
      <c r="A14" s="24">
        <v>44835</v>
      </c>
      <c r="B14" s="25" t="s">
        <v>3</v>
      </c>
      <c r="C14" s="25" t="s">
        <v>110</v>
      </c>
      <c r="D14" s="26">
        <v>333753</v>
      </c>
      <c r="E14" s="26">
        <v>321179</v>
      </c>
      <c r="F14" s="26">
        <v>3240</v>
      </c>
      <c r="G14" s="26">
        <v>2198</v>
      </c>
      <c r="H14" s="27">
        <v>5332367.53</v>
      </c>
      <c r="I14" s="25">
        <v>868</v>
      </c>
      <c r="J14" s="27">
        <v>3181389.55</v>
      </c>
      <c r="K14" s="25">
        <v>595</v>
      </c>
      <c r="L14" s="25" t="s">
        <v>184</v>
      </c>
      <c r="M14" s="26">
        <v>334937</v>
      </c>
      <c r="N14">
        <f t="shared" si="0"/>
        <v>2022</v>
      </c>
      <c r="O14">
        <f t="shared" si="1"/>
        <v>10</v>
      </c>
    </row>
    <row r="15" spans="1:19" x14ac:dyDescent="0.3">
      <c r="A15" s="24">
        <v>44835</v>
      </c>
      <c r="B15" s="25" t="s">
        <v>2</v>
      </c>
      <c r="C15" s="25" t="s">
        <v>110</v>
      </c>
      <c r="D15" s="26">
        <v>233610</v>
      </c>
      <c r="E15" s="26">
        <v>219565</v>
      </c>
      <c r="F15" s="26">
        <v>3420</v>
      </c>
      <c r="G15" s="26">
        <v>2615</v>
      </c>
      <c r="H15" s="27">
        <v>2411309.16</v>
      </c>
      <c r="I15" s="25">
        <v>478</v>
      </c>
      <c r="J15" s="27">
        <v>1045617.03</v>
      </c>
      <c r="K15" s="25">
        <v>202</v>
      </c>
      <c r="L15" s="25" t="s">
        <v>184</v>
      </c>
      <c r="M15" s="26">
        <v>251993</v>
      </c>
      <c r="N15">
        <f t="shared" si="0"/>
        <v>2022</v>
      </c>
      <c r="O15">
        <f t="shared" si="1"/>
        <v>10</v>
      </c>
    </row>
    <row r="16" spans="1:19" x14ac:dyDescent="0.3">
      <c r="A16" s="24">
        <v>44866</v>
      </c>
      <c r="B16" s="25" t="s">
        <v>3</v>
      </c>
      <c r="C16" s="25" t="s">
        <v>110</v>
      </c>
      <c r="D16" s="26">
        <v>397135</v>
      </c>
      <c r="E16" s="26">
        <v>379310</v>
      </c>
      <c r="F16" s="26">
        <v>3803</v>
      </c>
      <c r="G16" s="26">
        <v>2085</v>
      </c>
      <c r="H16" s="27">
        <v>6312181.0300000003</v>
      </c>
      <c r="I16" s="26">
        <v>1067</v>
      </c>
      <c r="J16" s="27">
        <v>4678422.95</v>
      </c>
      <c r="K16" s="25">
        <v>990</v>
      </c>
      <c r="L16" s="25" t="s">
        <v>184</v>
      </c>
      <c r="M16" s="26">
        <v>400414</v>
      </c>
      <c r="N16">
        <f t="shared" si="0"/>
        <v>2022</v>
      </c>
      <c r="O16">
        <f t="shared" si="1"/>
        <v>11</v>
      </c>
    </row>
    <row r="17" spans="1:15" x14ac:dyDescent="0.3">
      <c r="A17" s="24">
        <v>44866</v>
      </c>
      <c r="B17" s="25" t="s">
        <v>2</v>
      </c>
      <c r="C17" s="25" t="s">
        <v>110</v>
      </c>
      <c r="D17" s="26">
        <v>191015</v>
      </c>
      <c r="E17" s="26">
        <v>172526</v>
      </c>
      <c r="F17" s="26">
        <v>3168</v>
      </c>
      <c r="G17" s="26">
        <v>1668</v>
      </c>
      <c r="H17" s="27">
        <v>3372971.3</v>
      </c>
      <c r="I17" s="25">
        <v>604</v>
      </c>
      <c r="J17" s="27">
        <v>2374636.6800000002</v>
      </c>
      <c r="K17" s="25">
        <v>517</v>
      </c>
      <c r="L17" s="25" t="s">
        <v>184</v>
      </c>
      <c r="M17" s="26">
        <v>202342</v>
      </c>
      <c r="N17">
        <f t="shared" si="0"/>
        <v>2022</v>
      </c>
      <c r="O17">
        <f t="shared" si="1"/>
        <v>11</v>
      </c>
    </row>
    <row r="18" spans="1:15" x14ac:dyDescent="0.3">
      <c r="A18" s="24">
        <v>44896</v>
      </c>
      <c r="B18" s="25" t="s">
        <v>3</v>
      </c>
      <c r="C18" s="25" t="s">
        <v>110</v>
      </c>
      <c r="D18" s="26">
        <v>588936</v>
      </c>
      <c r="E18" s="26">
        <v>576375</v>
      </c>
      <c r="F18" s="26">
        <v>2713</v>
      </c>
      <c r="G18" s="26">
        <v>1700</v>
      </c>
      <c r="H18" s="27">
        <v>4497932.01</v>
      </c>
      <c r="I18" s="25">
        <v>639</v>
      </c>
      <c r="J18" s="27">
        <v>3267416.01</v>
      </c>
      <c r="K18" s="25">
        <v>566</v>
      </c>
      <c r="L18" s="25" t="s">
        <v>184</v>
      </c>
      <c r="M18" s="26">
        <v>412403</v>
      </c>
      <c r="N18">
        <f t="shared" si="0"/>
        <v>2022</v>
      </c>
      <c r="O18">
        <f t="shared" si="1"/>
        <v>12</v>
      </c>
    </row>
    <row r="19" spans="1:15" x14ac:dyDescent="0.3">
      <c r="A19" s="24">
        <v>44896</v>
      </c>
      <c r="B19" s="25" t="s">
        <v>2</v>
      </c>
      <c r="C19" s="25" t="s">
        <v>110</v>
      </c>
      <c r="D19" s="26">
        <v>362883</v>
      </c>
      <c r="E19" s="26">
        <v>349069</v>
      </c>
      <c r="F19" s="26">
        <v>2293</v>
      </c>
      <c r="G19" s="26">
        <v>1588</v>
      </c>
      <c r="H19" s="27">
        <v>2290200.54</v>
      </c>
      <c r="I19" s="25">
        <v>356</v>
      </c>
      <c r="J19" s="27">
        <v>1648125.54</v>
      </c>
      <c r="K19" s="25">
        <v>311</v>
      </c>
      <c r="L19" s="25" t="s">
        <v>184</v>
      </c>
      <c r="M19" s="26">
        <v>154241</v>
      </c>
      <c r="N19">
        <f t="shared" si="0"/>
        <v>2022</v>
      </c>
      <c r="O19">
        <f t="shared" si="1"/>
        <v>12</v>
      </c>
    </row>
    <row r="20" spans="1:15" x14ac:dyDescent="0.3">
      <c r="A20" s="24">
        <v>44927</v>
      </c>
      <c r="B20" s="25" t="s">
        <v>3</v>
      </c>
      <c r="C20" s="25" t="s">
        <v>110</v>
      </c>
      <c r="D20" s="26">
        <v>434883</v>
      </c>
      <c r="E20" s="26">
        <v>422117</v>
      </c>
      <c r="F20" s="26">
        <v>2929</v>
      </c>
      <c r="G20" s="26">
        <v>1613</v>
      </c>
      <c r="H20" s="26">
        <v>3796309</v>
      </c>
      <c r="I20" s="25">
        <v>979</v>
      </c>
      <c r="J20" s="26">
        <v>2848803</v>
      </c>
      <c r="K20" s="25">
        <v>795</v>
      </c>
      <c r="L20" s="25" t="s">
        <v>184</v>
      </c>
      <c r="M20" s="26">
        <v>339510</v>
      </c>
      <c r="N20">
        <f t="shared" si="0"/>
        <v>2023</v>
      </c>
      <c r="O20">
        <f t="shared" si="1"/>
        <v>1</v>
      </c>
    </row>
    <row r="21" spans="1:15" x14ac:dyDescent="0.3">
      <c r="A21" s="24">
        <v>44927</v>
      </c>
      <c r="B21" s="25" t="s">
        <v>2</v>
      </c>
      <c r="C21" s="25" t="s">
        <v>110</v>
      </c>
      <c r="D21" s="26">
        <v>200871</v>
      </c>
      <c r="E21" s="26">
        <v>189248</v>
      </c>
      <c r="F21" s="26">
        <v>2331</v>
      </c>
      <c r="G21" s="26">
        <v>1844</v>
      </c>
      <c r="H21" s="26">
        <v>1661092</v>
      </c>
      <c r="I21" s="25">
        <v>325</v>
      </c>
      <c r="J21" s="26">
        <v>1269456</v>
      </c>
      <c r="K21" s="25">
        <v>280</v>
      </c>
      <c r="L21" s="25" t="s">
        <v>184</v>
      </c>
      <c r="M21" s="26">
        <v>149661</v>
      </c>
      <c r="N21">
        <f t="shared" si="0"/>
        <v>2023</v>
      </c>
      <c r="O21">
        <f t="shared" si="1"/>
        <v>1</v>
      </c>
    </row>
    <row r="22" spans="1:15" x14ac:dyDescent="0.3">
      <c r="A22" s="24">
        <v>44958</v>
      </c>
      <c r="B22" s="25" t="s">
        <v>3</v>
      </c>
      <c r="C22" s="25" t="s">
        <v>110</v>
      </c>
      <c r="D22" s="26">
        <v>312694</v>
      </c>
      <c r="E22" s="26">
        <v>303404</v>
      </c>
      <c r="F22" s="26">
        <v>1383</v>
      </c>
      <c r="G22" s="26">
        <v>1027</v>
      </c>
      <c r="H22" s="26">
        <v>1982975</v>
      </c>
      <c r="I22" s="25">
        <v>257</v>
      </c>
      <c r="J22" s="26">
        <v>1451345</v>
      </c>
      <c r="K22" s="25">
        <v>211</v>
      </c>
      <c r="L22" s="25" t="s">
        <v>184</v>
      </c>
      <c r="M22" s="26">
        <v>307919</v>
      </c>
      <c r="N22">
        <f t="shared" si="0"/>
        <v>2023</v>
      </c>
      <c r="O22">
        <f t="shared" si="1"/>
        <v>2</v>
      </c>
    </row>
    <row r="23" spans="1:15" x14ac:dyDescent="0.3">
      <c r="A23" s="24">
        <v>44958</v>
      </c>
      <c r="B23" s="25" t="s">
        <v>2</v>
      </c>
      <c r="C23" s="25" t="s">
        <v>110</v>
      </c>
      <c r="D23" s="26">
        <v>135558</v>
      </c>
      <c r="E23" s="26">
        <v>126760</v>
      </c>
      <c r="F23" s="26">
        <v>1557</v>
      </c>
      <c r="G23" s="26">
        <v>1238</v>
      </c>
      <c r="H23" s="26">
        <v>1207590</v>
      </c>
      <c r="I23" s="25">
        <v>178</v>
      </c>
      <c r="J23" s="26">
        <v>784250</v>
      </c>
      <c r="K23" s="25">
        <v>134</v>
      </c>
      <c r="L23" s="25" t="s">
        <v>184</v>
      </c>
      <c r="M23" s="26">
        <v>126168</v>
      </c>
      <c r="N23">
        <f t="shared" si="0"/>
        <v>2023</v>
      </c>
      <c r="O23">
        <f t="shared" si="1"/>
        <v>2</v>
      </c>
    </row>
    <row r="24" spans="1:15" x14ac:dyDescent="0.3">
      <c r="A24" s="16">
        <v>45017</v>
      </c>
      <c r="B24" t="s">
        <v>3</v>
      </c>
      <c r="C24" t="s">
        <v>110</v>
      </c>
      <c r="D24" s="15">
        <v>301843</v>
      </c>
      <c r="E24" s="15">
        <v>293972</v>
      </c>
      <c r="F24" s="15">
        <v>1125</v>
      </c>
      <c r="G24">
        <v>773</v>
      </c>
      <c r="H24" s="17">
        <v>1468520.01</v>
      </c>
      <c r="I24">
        <v>215</v>
      </c>
      <c r="J24" s="17">
        <v>978505.01</v>
      </c>
      <c r="K24">
        <v>177</v>
      </c>
      <c r="L24" t="s">
        <v>184</v>
      </c>
      <c r="M24" s="15">
        <v>298516</v>
      </c>
      <c r="N24">
        <f t="shared" si="0"/>
        <v>2023</v>
      </c>
      <c r="O24">
        <f t="shared" si="1"/>
        <v>4</v>
      </c>
    </row>
    <row r="25" spans="1:15" x14ac:dyDescent="0.3">
      <c r="A25" s="16">
        <v>45017</v>
      </c>
      <c r="B25" t="s">
        <v>2</v>
      </c>
      <c r="C25" t="s">
        <v>110</v>
      </c>
      <c r="D25" s="15">
        <v>127813</v>
      </c>
      <c r="E25" s="15">
        <v>120498</v>
      </c>
      <c r="F25" s="15">
        <v>1370</v>
      </c>
      <c r="G25" s="15">
        <v>1062</v>
      </c>
      <c r="H25" s="15">
        <v>1046065</v>
      </c>
      <c r="I25">
        <v>167</v>
      </c>
      <c r="J25" s="15">
        <v>609635</v>
      </c>
      <c r="K25">
        <v>113</v>
      </c>
      <c r="L25" t="s">
        <v>184</v>
      </c>
      <c r="M25" s="15">
        <v>120349</v>
      </c>
      <c r="N25">
        <f t="shared" si="0"/>
        <v>2023</v>
      </c>
      <c r="O25">
        <f t="shared" si="1"/>
        <v>4</v>
      </c>
    </row>
    <row r="26" spans="1:15" x14ac:dyDescent="0.3">
      <c r="A26" s="16">
        <v>45047</v>
      </c>
      <c r="B26" t="s">
        <v>3</v>
      </c>
      <c r="C26" t="s">
        <v>110</v>
      </c>
      <c r="D26" s="15">
        <v>161848</v>
      </c>
      <c r="E26" s="15">
        <v>152586</v>
      </c>
      <c r="F26" s="15">
        <v>1932</v>
      </c>
      <c r="G26" s="15">
        <v>1056</v>
      </c>
      <c r="H26" s="17">
        <v>2459662.0099999998</v>
      </c>
      <c r="I26">
        <v>587</v>
      </c>
      <c r="J26" s="17">
        <v>1718197.01</v>
      </c>
      <c r="K26">
        <v>421</v>
      </c>
      <c r="L26" t="s">
        <v>184</v>
      </c>
      <c r="M26" s="15">
        <v>143950</v>
      </c>
      <c r="N26">
        <f t="shared" si="0"/>
        <v>2023</v>
      </c>
      <c r="O26">
        <f t="shared" si="1"/>
        <v>5</v>
      </c>
    </row>
    <row r="27" spans="1:15" x14ac:dyDescent="0.3">
      <c r="A27" s="16">
        <v>45047</v>
      </c>
      <c r="B27" t="s">
        <v>2</v>
      </c>
      <c r="C27" t="s">
        <v>110</v>
      </c>
      <c r="D27" s="15">
        <v>272817</v>
      </c>
      <c r="E27" s="15">
        <v>264533</v>
      </c>
      <c r="F27" s="15">
        <v>2950</v>
      </c>
      <c r="G27" s="15">
        <v>1634</v>
      </c>
      <c r="H27" s="15">
        <v>1764782</v>
      </c>
      <c r="I27">
        <v>439</v>
      </c>
      <c r="J27" s="15">
        <v>971183</v>
      </c>
      <c r="K27">
        <v>255</v>
      </c>
      <c r="L27" t="s">
        <v>184</v>
      </c>
      <c r="M27" s="15">
        <v>264102</v>
      </c>
      <c r="N27">
        <f t="shared" si="0"/>
        <v>2023</v>
      </c>
      <c r="O27">
        <f t="shared" si="1"/>
        <v>5</v>
      </c>
    </row>
    <row r="28" spans="1:15" x14ac:dyDescent="0.3">
      <c r="A28" s="16">
        <v>45078</v>
      </c>
      <c r="B28" t="s">
        <v>3</v>
      </c>
      <c r="C28" t="s">
        <v>110</v>
      </c>
      <c r="D28">
        <v>189802</v>
      </c>
      <c r="E28">
        <v>178252</v>
      </c>
      <c r="F28">
        <v>3154</v>
      </c>
      <c r="G28">
        <v>1214</v>
      </c>
      <c r="H28">
        <v>4627959.76</v>
      </c>
      <c r="I28">
        <v>1226</v>
      </c>
      <c r="J28">
        <v>3668162.26</v>
      </c>
      <c r="K28">
        <v>1061</v>
      </c>
      <c r="M28">
        <v>155822</v>
      </c>
      <c r="N28">
        <f t="shared" si="0"/>
        <v>2023</v>
      </c>
      <c r="O28">
        <f t="shared" si="1"/>
        <v>6</v>
      </c>
    </row>
    <row r="29" spans="1:15" x14ac:dyDescent="0.3">
      <c r="A29" s="16">
        <v>45078</v>
      </c>
      <c r="B29" t="s">
        <v>2</v>
      </c>
      <c r="C29" t="s">
        <v>110</v>
      </c>
      <c r="D29">
        <v>280902</v>
      </c>
      <c r="E29">
        <v>264142</v>
      </c>
      <c r="F29">
        <v>3341</v>
      </c>
      <c r="G29">
        <v>1707</v>
      </c>
      <c r="H29">
        <v>2965026.75</v>
      </c>
      <c r="I29">
        <v>767</v>
      </c>
      <c r="J29">
        <v>2141052.25</v>
      </c>
      <c r="K29">
        <v>626</v>
      </c>
      <c r="M29">
        <v>273160</v>
      </c>
      <c r="N29">
        <f t="shared" si="0"/>
        <v>2023</v>
      </c>
      <c r="O29">
        <f t="shared" si="1"/>
        <v>6</v>
      </c>
    </row>
    <row r="30" spans="1:15" x14ac:dyDescent="0.3">
      <c r="A30" s="24">
        <v>45108</v>
      </c>
      <c r="B30" s="25" t="s">
        <v>3</v>
      </c>
      <c r="C30" s="25" t="s">
        <v>110</v>
      </c>
      <c r="D30" s="26">
        <v>73376</v>
      </c>
      <c r="E30" s="26">
        <v>68278</v>
      </c>
      <c r="F30" s="25">
        <v>969</v>
      </c>
      <c r="G30" s="25">
        <v>523</v>
      </c>
      <c r="H30" s="26">
        <v>1156289</v>
      </c>
      <c r="I30" s="25">
        <v>250</v>
      </c>
      <c r="J30" s="26">
        <v>951219</v>
      </c>
      <c r="K30" s="25">
        <v>227</v>
      </c>
      <c r="L30" s="25" t="s">
        <v>184</v>
      </c>
      <c r="M30" s="26">
        <v>70573</v>
      </c>
      <c r="N30">
        <f t="shared" si="0"/>
        <v>2023</v>
      </c>
      <c r="O30">
        <f t="shared" si="1"/>
        <v>7</v>
      </c>
    </row>
    <row r="31" spans="1:15" x14ac:dyDescent="0.3">
      <c r="A31" s="24">
        <v>45108</v>
      </c>
      <c r="B31" s="25" t="s">
        <v>2</v>
      </c>
      <c r="C31" s="25" t="s">
        <v>110</v>
      </c>
      <c r="D31" s="26">
        <v>158166</v>
      </c>
      <c r="E31" s="26">
        <v>152676</v>
      </c>
      <c r="F31" s="26">
        <v>1484</v>
      </c>
      <c r="G31" s="25">
        <v>922</v>
      </c>
      <c r="H31" s="27">
        <v>909631.18</v>
      </c>
      <c r="I31" s="25">
        <v>216</v>
      </c>
      <c r="J31" s="27">
        <v>530811.68000000005</v>
      </c>
      <c r="K31" s="25">
        <v>150</v>
      </c>
      <c r="L31" s="25" t="s">
        <v>184</v>
      </c>
      <c r="M31" s="26">
        <v>151592</v>
      </c>
      <c r="N31">
        <f t="shared" si="0"/>
        <v>2023</v>
      </c>
      <c r="O31">
        <f t="shared" si="1"/>
        <v>7</v>
      </c>
    </row>
    <row r="32" spans="1:15" x14ac:dyDescent="0.3">
      <c r="A32" s="24">
        <v>45139</v>
      </c>
      <c r="B32" s="25" t="s">
        <v>3</v>
      </c>
      <c r="C32" s="25" t="s">
        <v>110</v>
      </c>
      <c r="D32" s="26">
        <v>80273</v>
      </c>
      <c r="E32" s="26">
        <v>75237</v>
      </c>
      <c r="F32" s="25">
        <v>925</v>
      </c>
      <c r="G32" s="25">
        <v>524</v>
      </c>
      <c r="H32" s="27">
        <v>1271078.7</v>
      </c>
      <c r="I32" s="25">
        <v>234</v>
      </c>
      <c r="J32" s="27">
        <v>881003.7</v>
      </c>
      <c r="K32" s="25">
        <v>196</v>
      </c>
      <c r="L32" s="25" t="s">
        <v>184</v>
      </c>
      <c r="M32" s="26">
        <v>74937</v>
      </c>
      <c r="N32">
        <f t="shared" si="0"/>
        <v>2023</v>
      </c>
      <c r="O32">
        <f t="shared" si="1"/>
        <v>8</v>
      </c>
    </row>
    <row r="33" spans="1:15" x14ac:dyDescent="0.3">
      <c r="A33" s="24">
        <v>45139</v>
      </c>
      <c r="B33" s="25" t="s">
        <v>2</v>
      </c>
      <c r="C33" s="25" t="s">
        <v>110</v>
      </c>
      <c r="D33" s="26">
        <v>148545</v>
      </c>
      <c r="E33" s="26">
        <v>142631</v>
      </c>
      <c r="F33" s="26">
        <v>1216</v>
      </c>
      <c r="G33" s="25">
        <v>910</v>
      </c>
      <c r="H33" s="27">
        <v>1048155.98</v>
      </c>
      <c r="I33" s="25">
        <v>177</v>
      </c>
      <c r="J33" s="27">
        <v>488271.5</v>
      </c>
      <c r="K33" s="25">
        <v>123</v>
      </c>
      <c r="L33" s="25" t="s">
        <v>184</v>
      </c>
      <c r="M33" s="26">
        <v>140991</v>
      </c>
      <c r="N33">
        <f t="shared" si="0"/>
        <v>2023</v>
      </c>
      <c r="O33">
        <f t="shared" si="1"/>
        <v>8</v>
      </c>
    </row>
    <row r="34" spans="1:15" x14ac:dyDescent="0.3">
      <c r="A34" s="24">
        <v>45170</v>
      </c>
      <c r="B34" s="25" t="s">
        <v>3</v>
      </c>
      <c r="C34" s="25" t="s">
        <v>110</v>
      </c>
      <c r="D34" s="26">
        <v>107753</v>
      </c>
      <c r="E34" s="26">
        <v>102903</v>
      </c>
      <c r="F34" s="25">
        <v>845</v>
      </c>
      <c r="G34" s="25">
        <v>575</v>
      </c>
      <c r="H34" s="27">
        <v>1177117.01</v>
      </c>
      <c r="I34" s="25">
        <v>168</v>
      </c>
      <c r="J34" s="27">
        <v>741177.01</v>
      </c>
      <c r="K34" s="25">
        <v>140</v>
      </c>
      <c r="L34" s="25" t="s">
        <v>184</v>
      </c>
      <c r="M34" s="26">
        <v>103577</v>
      </c>
      <c r="N34">
        <f t="shared" ref="N34:N51" si="2">YEAR(A34)</f>
        <v>2023</v>
      </c>
      <c r="O34">
        <f t="shared" ref="O34:O51" si="3">MONTH(A34)</f>
        <v>9</v>
      </c>
    </row>
    <row r="35" spans="1:15" x14ac:dyDescent="0.3">
      <c r="A35" s="24">
        <v>45170</v>
      </c>
      <c r="B35" s="25" t="s">
        <v>2</v>
      </c>
      <c r="C35" s="25" t="s">
        <v>110</v>
      </c>
      <c r="D35" s="26">
        <v>114536</v>
      </c>
      <c r="E35" s="26">
        <v>108992</v>
      </c>
      <c r="F35" s="26">
        <v>1161</v>
      </c>
      <c r="G35" s="25">
        <v>869</v>
      </c>
      <c r="H35" s="26">
        <v>900539</v>
      </c>
      <c r="I35" s="25">
        <v>138</v>
      </c>
      <c r="J35" s="26">
        <v>370193</v>
      </c>
      <c r="K35" s="25">
        <v>87</v>
      </c>
      <c r="L35" s="25" t="s">
        <v>184</v>
      </c>
      <c r="M35" s="26">
        <v>107455</v>
      </c>
      <c r="N35">
        <f t="shared" si="2"/>
        <v>2023</v>
      </c>
      <c r="O35">
        <f t="shared" si="3"/>
        <v>9</v>
      </c>
    </row>
    <row r="36" spans="1:15" x14ac:dyDescent="0.3">
      <c r="A36" s="24">
        <v>45200</v>
      </c>
      <c r="B36" s="25" t="s">
        <v>3</v>
      </c>
      <c r="C36" s="25" t="s">
        <v>110</v>
      </c>
      <c r="D36" s="26">
        <v>239418</v>
      </c>
      <c r="E36" s="26">
        <v>226442</v>
      </c>
      <c r="F36" s="26">
        <v>3681</v>
      </c>
      <c r="G36" s="26">
        <v>1496</v>
      </c>
      <c r="H36" s="27">
        <v>8205361.7599999998</v>
      </c>
      <c r="I36" s="26">
        <v>1408</v>
      </c>
      <c r="J36" s="27">
        <v>5410308.7599999998</v>
      </c>
      <c r="K36" s="26">
        <v>1089</v>
      </c>
      <c r="L36" s="25" t="s">
        <v>184</v>
      </c>
      <c r="M36" s="26">
        <v>152339</v>
      </c>
      <c r="N36">
        <f t="shared" si="2"/>
        <v>2023</v>
      </c>
      <c r="O36">
        <f t="shared" si="3"/>
        <v>10</v>
      </c>
    </row>
    <row r="37" spans="1:15" x14ac:dyDescent="0.3">
      <c r="A37" s="24">
        <v>45200</v>
      </c>
      <c r="B37" s="25" t="s">
        <v>2</v>
      </c>
      <c r="C37" s="25" t="s">
        <v>110</v>
      </c>
      <c r="D37" s="26">
        <v>284957</v>
      </c>
      <c r="E37" s="26">
        <v>271355</v>
      </c>
      <c r="F37" s="26">
        <v>4488</v>
      </c>
      <c r="G37" s="26">
        <v>2461</v>
      </c>
      <c r="H37" s="27">
        <v>4440324.5999999996</v>
      </c>
      <c r="I37" s="25">
        <v>791</v>
      </c>
      <c r="J37" s="27">
        <v>2228973.9</v>
      </c>
      <c r="K37" s="25">
        <v>504</v>
      </c>
      <c r="L37" s="25" t="s">
        <v>184</v>
      </c>
      <c r="M37" s="26">
        <v>216710</v>
      </c>
      <c r="N37">
        <f t="shared" si="2"/>
        <v>2023</v>
      </c>
      <c r="O37">
        <f t="shared" si="3"/>
        <v>10</v>
      </c>
    </row>
    <row r="38" spans="1:15" x14ac:dyDescent="0.3">
      <c r="A38" s="24">
        <v>45231</v>
      </c>
      <c r="B38" s="25" t="s">
        <v>3</v>
      </c>
      <c r="C38" s="25" t="s">
        <v>110</v>
      </c>
      <c r="D38" s="26">
        <v>207714</v>
      </c>
      <c r="E38" s="26">
        <v>191426</v>
      </c>
      <c r="F38" s="26">
        <v>4155</v>
      </c>
      <c r="G38" s="26">
        <v>1489</v>
      </c>
      <c r="H38" s="27">
        <v>11315357.65</v>
      </c>
      <c r="I38" s="26">
        <v>1769</v>
      </c>
      <c r="J38" s="27">
        <v>8506726.0399999991</v>
      </c>
      <c r="K38" s="26">
        <v>1603</v>
      </c>
      <c r="L38" s="25" t="s">
        <v>184</v>
      </c>
      <c r="M38" s="26">
        <v>169201</v>
      </c>
      <c r="N38">
        <f t="shared" si="2"/>
        <v>2023</v>
      </c>
      <c r="O38">
        <f t="shared" si="3"/>
        <v>11</v>
      </c>
    </row>
    <row r="39" spans="1:15" x14ac:dyDescent="0.3">
      <c r="A39" s="24">
        <v>45231</v>
      </c>
      <c r="B39" s="25" t="s">
        <v>2</v>
      </c>
      <c r="C39" s="25" t="s">
        <v>110</v>
      </c>
      <c r="D39" s="26">
        <v>269947</v>
      </c>
      <c r="E39" s="26">
        <v>245584</v>
      </c>
      <c r="F39" s="26">
        <v>3998</v>
      </c>
      <c r="G39" s="26">
        <v>2056</v>
      </c>
      <c r="H39" s="27">
        <v>5981123.0700000003</v>
      </c>
      <c r="I39" s="25">
        <v>983</v>
      </c>
      <c r="J39" s="27">
        <v>4228594.45</v>
      </c>
      <c r="K39" s="25">
        <v>835</v>
      </c>
      <c r="L39" s="25" t="s">
        <v>184</v>
      </c>
      <c r="M39" s="26">
        <v>226037</v>
      </c>
      <c r="N39">
        <f t="shared" si="2"/>
        <v>2023</v>
      </c>
      <c r="O39">
        <f t="shared" si="3"/>
        <v>11</v>
      </c>
    </row>
    <row r="40" spans="1:15" x14ac:dyDescent="0.3">
      <c r="A40" s="24">
        <v>45261</v>
      </c>
      <c r="B40" s="25" t="s">
        <v>3</v>
      </c>
      <c r="C40" s="25" t="s">
        <v>110</v>
      </c>
      <c r="D40" s="26">
        <v>291381</v>
      </c>
      <c r="E40" s="26">
        <v>280736</v>
      </c>
      <c r="F40" s="26">
        <v>2040</v>
      </c>
      <c r="G40" s="25">
        <v>949</v>
      </c>
      <c r="H40" s="27">
        <v>5274353.53</v>
      </c>
      <c r="I40" s="25">
        <v>717</v>
      </c>
      <c r="J40" s="27">
        <v>4007762.53</v>
      </c>
      <c r="K40" s="25">
        <v>633</v>
      </c>
      <c r="L40" s="25" t="s">
        <v>184</v>
      </c>
      <c r="M40" s="26">
        <v>106794</v>
      </c>
      <c r="N40">
        <f t="shared" si="2"/>
        <v>2023</v>
      </c>
      <c r="O40">
        <f t="shared" si="3"/>
        <v>12</v>
      </c>
    </row>
    <row r="41" spans="1:15" x14ac:dyDescent="0.3">
      <c r="A41" s="24">
        <v>45261</v>
      </c>
      <c r="B41" s="25" t="s">
        <v>2</v>
      </c>
      <c r="C41" s="25" t="s">
        <v>110</v>
      </c>
      <c r="D41" s="26">
        <v>238816</v>
      </c>
      <c r="E41" s="26">
        <v>219746</v>
      </c>
      <c r="F41" s="26">
        <v>1997</v>
      </c>
      <c r="G41" s="26">
        <v>1298</v>
      </c>
      <c r="H41" s="27">
        <v>2787417.5</v>
      </c>
      <c r="I41" s="25">
        <v>362</v>
      </c>
      <c r="J41" s="26">
        <v>1775913</v>
      </c>
      <c r="K41" s="25">
        <v>294</v>
      </c>
      <c r="L41" s="25" t="s">
        <v>184</v>
      </c>
      <c r="M41" s="26">
        <v>147762</v>
      </c>
      <c r="N41">
        <f t="shared" si="2"/>
        <v>2023</v>
      </c>
      <c r="O41">
        <f t="shared" si="3"/>
        <v>12</v>
      </c>
    </row>
    <row r="42" spans="1:15" x14ac:dyDescent="0.3">
      <c r="A42" s="24">
        <v>45292</v>
      </c>
      <c r="B42" s="25" t="s">
        <v>3</v>
      </c>
      <c r="C42" s="25" t="s">
        <v>110</v>
      </c>
      <c r="D42" s="26">
        <v>93211</v>
      </c>
      <c r="E42" s="26">
        <v>85137</v>
      </c>
      <c r="F42" s="26">
        <v>1446</v>
      </c>
      <c r="G42" s="25">
        <v>758</v>
      </c>
      <c r="H42" s="26">
        <v>3394440</v>
      </c>
      <c r="I42" s="25">
        <v>396</v>
      </c>
      <c r="J42" s="26">
        <v>2612332</v>
      </c>
      <c r="K42" s="25">
        <v>364</v>
      </c>
      <c r="L42" s="25" t="s">
        <v>184</v>
      </c>
      <c r="M42" s="26">
        <v>88666</v>
      </c>
      <c r="N42">
        <f t="shared" si="2"/>
        <v>2024</v>
      </c>
      <c r="O42">
        <f t="shared" si="3"/>
        <v>1</v>
      </c>
    </row>
    <row r="43" spans="1:15" x14ac:dyDescent="0.3">
      <c r="A43" s="24">
        <v>45292</v>
      </c>
      <c r="B43" s="25" t="s">
        <v>2</v>
      </c>
      <c r="C43" s="25" t="s">
        <v>110</v>
      </c>
      <c r="D43" s="26">
        <v>147796</v>
      </c>
      <c r="E43" s="26">
        <v>137809</v>
      </c>
      <c r="F43" s="26">
        <v>1962</v>
      </c>
      <c r="G43" s="26">
        <v>1225</v>
      </c>
      <c r="H43" s="27">
        <v>2038209.5</v>
      </c>
      <c r="I43" s="25">
        <v>258</v>
      </c>
      <c r="J43" s="27">
        <v>1343681.5</v>
      </c>
      <c r="K43" s="25">
        <v>208</v>
      </c>
      <c r="L43" s="25" t="s">
        <v>184</v>
      </c>
      <c r="M43" s="26">
        <v>138726</v>
      </c>
      <c r="N43">
        <f t="shared" si="2"/>
        <v>2024</v>
      </c>
      <c r="O43">
        <f t="shared" si="3"/>
        <v>1</v>
      </c>
    </row>
    <row r="44" spans="1:15" x14ac:dyDescent="0.3">
      <c r="A44" s="24">
        <v>45323</v>
      </c>
      <c r="B44" s="25" t="s">
        <v>3</v>
      </c>
      <c r="C44" s="25" t="s">
        <v>110</v>
      </c>
      <c r="D44" s="26">
        <v>38029</v>
      </c>
      <c r="E44" s="26">
        <v>33010</v>
      </c>
      <c r="F44" s="25">
        <v>732</v>
      </c>
      <c r="G44" s="25">
        <v>469</v>
      </c>
      <c r="H44" s="26">
        <v>1579970</v>
      </c>
      <c r="I44" s="25">
        <v>189</v>
      </c>
      <c r="J44" s="26">
        <v>1065464</v>
      </c>
      <c r="K44" s="25">
        <v>161</v>
      </c>
      <c r="L44" s="25" t="s">
        <v>184</v>
      </c>
      <c r="M44" s="26">
        <v>34071</v>
      </c>
      <c r="N44">
        <f t="shared" si="2"/>
        <v>2024</v>
      </c>
      <c r="O44">
        <f t="shared" si="3"/>
        <v>2</v>
      </c>
    </row>
    <row r="45" spans="1:15" x14ac:dyDescent="0.3">
      <c r="A45" s="24">
        <v>45323</v>
      </c>
      <c r="B45" s="25" t="s">
        <v>2</v>
      </c>
      <c r="C45" s="25" t="s">
        <v>110</v>
      </c>
      <c r="D45" s="26">
        <v>163017</v>
      </c>
      <c r="E45" s="26">
        <v>157626</v>
      </c>
      <c r="F45" s="26">
        <v>1243</v>
      </c>
      <c r="G45" s="25">
        <v>978</v>
      </c>
      <c r="H45" s="26">
        <v>1169210</v>
      </c>
      <c r="I45" s="25">
        <v>137</v>
      </c>
      <c r="J45" s="26">
        <v>537650</v>
      </c>
      <c r="K45" s="25">
        <v>97</v>
      </c>
      <c r="L45" s="25" t="s">
        <v>184</v>
      </c>
      <c r="M45" s="26">
        <v>154950</v>
      </c>
      <c r="N45">
        <f t="shared" si="2"/>
        <v>2024</v>
      </c>
      <c r="O45">
        <f t="shared" si="3"/>
        <v>2</v>
      </c>
    </row>
    <row r="46" spans="1:15" x14ac:dyDescent="0.3">
      <c r="A46" s="16">
        <v>45383</v>
      </c>
      <c r="B46" t="s">
        <v>3</v>
      </c>
      <c r="C46" t="s">
        <v>110</v>
      </c>
      <c r="D46">
        <v>31202</v>
      </c>
      <c r="E46">
        <v>26530</v>
      </c>
      <c r="F46">
        <v>731</v>
      </c>
      <c r="G46">
        <v>374</v>
      </c>
      <c r="H46">
        <v>1082515</v>
      </c>
      <c r="I46">
        <v>169</v>
      </c>
      <c r="J46">
        <v>950410</v>
      </c>
      <c r="K46">
        <v>152</v>
      </c>
      <c r="M46">
        <v>26810</v>
      </c>
      <c r="N46">
        <f t="shared" si="2"/>
        <v>2024</v>
      </c>
      <c r="O46">
        <f t="shared" si="3"/>
        <v>4</v>
      </c>
    </row>
    <row r="47" spans="1:15" x14ac:dyDescent="0.3">
      <c r="A47" s="16">
        <v>45383</v>
      </c>
      <c r="B47" t="s">
        <v>2</v>
      </c>
      <c r="C47" t="s">
        <v>110</v>
      </c>
      <c r="D47">
        <v>153058</v>
      </c>
      <c r="E47">
        <v>147096</v>
      </c>
      <c r="F47">
        <v>1489</v>
      </c>
      <c r="G47">
        <v>1096</v>
      </c>
      <c r="H47">
        <v>1026350</v>
      </c>
      <c r="I47">
        <v>142</v>
      </c>
      <c r="J47">
        <v>545295</v>
      </c>
      <c r="K47">
        <v>96</v>
      </c>
      <c r="M47">
        <v>143890</v>
      </c>
      <c r="N47">
        <f t="shared" si="2"/>
        <v>2024</v>
      </c>
      <c r="O47">
        <f t="shared" si="3"/>
        <v>4</v>
      </c>
    </row>
    <row r="48" spans="1:15" x14ac:dyDescent="0.3">
      <c r="A48" s="16">
        <v>45413</v>
      </c>
      <c r="B48" t="s">
        <v>3</v>
      </c>
      <c r="C48" t="s">
        <v>110</v>
      </c>
      <c r="D48" s="15">
        <v>241898</v>
      </c>
      <c r="E48" s="15">
        <v>229936</v>
      </c>
      <c r="F48" s="15">
        <v>3585</v>
      </c>
      <c r="G48" s="15">
        <v>1234</v>
      </c>
      <c r="H48" s="17">
        <v>5641244.54</v>
      </c>
      <c r="I48" s="15">
        <v>1398</v>
      </c>
      <c r="J48" s="17">
        <v>4556993.8899999997</v>
      </c>
      <c r="K48" s="15">
        <v>1260</v>
      </c>
      <c r="L48" s="15">
        <v>22795</v>
      </c>
      <c r="M48" s="15">
        <v>75218</v>
      </c>
      <c r="N48">
        <f t="shared" si="2"/>
        <v>2024</v>
      </c>
      <c r="O48">
        <f t="shared" si="3"/>
        <v>5</v>
      </c>
    </row>
    <row r="49" spans="1:15" x14ac:dyDescent="0.3">
      <c r="A49" s="16">
        <v>45413</v>
      </c>
      <c r="B49" t="s">
        <v>2</v>
      </c>
      <c r="C49" t="s">
        <v>110</v>
      </c>
      <c r="D49" s="15">
        <v>432046</v>
      </c>
      <c r="E49" s="15">
        <v>414317</v>
      </c>
      <c r="F49" s="15">
        <v>4282</v>
      </c>
      <c r="G49" s="15">
        <v>2036</v>
      </c>
      <c r="H49" s="17">
        <v>4448641.4400000004</v>
      </c>
      <c r="I49" s="15">
        <v>1049</v>
      </c>
      <c r="J49" s="17">
        <v>3052220.73</v>
      </c>
      <c r="K49">
        <v>868</v>
      </c>
      <c r="L49" s="15">
        <v>69012</v>
      </c>
      <c r="M49" s="15">
        <v>342379</v>
      </c>
      <c r="N49">
        <f t="shared" si="2"/>
        <v>2024</v>
      </c>
      <c r="O49">
        <f t="shared" si="3"/>
        <v>5</v>
      </c>
    </row>
    <row r="50" spans="1:15" x14ac:dyDescent="0.3">
      <c r="A50" s="16">
        <v>45444</v>
      </c>
      <c r="B50" t="s">
        <v>3</v>
      </c>
      <c r="C50" t="s">
        <v>110</v>
      </c>
      <c r="D50">
        <v>126364</v>
      </c>
      <c r="E50">
        <v>111458</v>
      </c>
      <c r="F50">
        <v>3345</v>
      </c>
      <c r="G50">
        <v>1159</v>
      </c>
      <c r="H50">
        <v>5196279.1500000004</v>
      </c>
      <c r="I50">
        <v>1279</v>
      </c>
      <c r="J50">
        <v>3991461.15</v>
      </c>
      <c r="K50">
        <v>1119</v>
      </c>
      <c r="L50">
        <v>21957</v>
      </c>
      <c r="M50">
        <v>79578</v>
      </c>
      <c r="N50">
        <f t="shared" si="2"/>
        <v>2024</v>
      </c>
      <c r="O50">
        <f t="shared" si="3"/>
        <v>6</v>
      </c>
    </row>
    <row r="51" spans="1:15" x14ac:dyDescent="0.3">
      <c r="A51" s="16">
        <v>45444</v>
      </c>
      <c r="B51" t="s">
        <v>2</v>
      </c>
      <c r="C51" t="s">
        <v>110</v>
      </c>
      <c r="D51">
        <v>504663</v>
      </c>
      <c r="E51">
        <v>479155</v>
      </c>
      <c r="F51">
        <v>3700</v>
      </c>
      <c r="G51">
        <v>2364</v>
      </c>
      <c r="H51">
        <v>3897463.35</v>
      </c>
      <c r="I51">
        <v>817</v>
      </c>
      <c r="J51">
        <v>2372679.2400000002</v>
      </c>
      <c r="K51">
        <v>636</v>
      </c>
      <c r="L51">
        <v>71567</v>
      </c>
      <c r="M51">
        <v>335126</v>
      </c>
      <c r="N51">
        <f t="shared" si="2"/>
        <v>2024</v>
      </c>
      <c r="O51">
        <f t="shared" si="3"/>
        <v>6</v>
      </c>
    </row>
    <row r="52" spans="1:15" x14ac:dyDescent="0.3">
      <c r="A52" s="16">
        <v>45474</v>
      </c>
      <c r="B52" t="s">
        <v>3</v>
      </c>
      <c r="C52" t="s">
        <v>110</v>
      </c>
      <c r="D52">
        <v>60621</v>
      </c>
      <c r="E52">
        <v>54282</v>
      </c>
      <c r="F52">
        <v>747</v>
      </c>
      <c r="G52">
        <v>457</v>
      </c>
      <c r="H52">
        <v>1326765</v>
      </c>
      <c r="I52">
        <v>223</v>
      </c>
      <c r="J52">
        <v>1012150</v>
      </c>
      <c r="K52">
        <v>194</v>
      </c>
      <c r="M52">
        <v>27991</v>
      </c>
      <c r="N52">
        <f t="shared" ref="N52:N71" si="4">YEAR(A52)</f>
        <v>2024</v>
      </c>
      <c r="O52">
        <f t="shared" ref="O52:O71" si="5">MONTH(A52)</f>
        <v>7</v>
      </c>
    </row>
    <row r="53" spans="1:15" x14ac:dyDescent="0.3">
      <c r="A53" s="16">
        <v>45474</v>
      </c>
      <c r="B53" t="s">
        <v>2</v>
      </c>
      <c r="C53" t="s">
        <v>110</v>
      </c>
      <c r="D53">
        <v>222116</v>
      </c>
      <c r="E53">
        <v>211205</v>
      </c>
      <c r="F53">
        <v>2047</v>
      </c>
      <c r="G53">
        <v>1702</v>
      </c>
      <c r="H53">
        <v>1993270</v>
      </c>
      <c r="I53">
        <v>250</v>
      </c>
      <c r="J53">
        <v>762495</v>
      </c>
      <c r="K53">
        <v>139</v>
      </c>
      <c r="M53">
        <v>183088</v>
      </c>
      <c r="N53">
        <f t="shared" si="4"/>
        <v>2024</v>
      </c>
      <c r="O53">
        <f t="shared" si="5"/>
        <v>7</v>
      </c>
    </row>
    <row r="54" spans="1:15" x14ac:dyDescent="0.3">
      <c r="A54" s="16">
        <v>45505</v>
      </c>
      <c r="B54" t="s">
        <v>3</v>
      </c>
      <c r="C54" t="s">
        <v>110</v>
      </c>
      <c r="D54">
        <v>47039</v>
      </c>
      <c r="E54">
        <v>41517</v>
      </c>
      <c r="F54">
        <v>665</v>
      </c>
      <c r="G54">
        <v>439</v>
      </c>
      <c r="H54">
        <v>1128745</v>
      </c>
      <c r="I54">
        <v>154</v>
      </c>
      <c r="J54">
        <v>858725</v>
      </c>
      <c r="K54">
        <v>136</v>
      </c>
      <c r="M54">
        <v>30165</v>
      </c>
      <c r="N54">
        <f t="shared" si="4"/>
        <v>2024</v>
      </c>
      <c r="O54">
        <f t="shared" si="5"/>
        <v>8</v>
      </c>
    </row>
    <row r="55" spans="1:15" x14ac:dyDescent="0.3">
      <c r="A55" s="16">
        <v>45505</v>
      </c>
      <c r="B55" t="s">
        <v>2</v>
      </c>
      <c r="C55" t="s">
        <v>110</v>
      </c>
      <c r="D55">
        <v>195033</v>
      </c>
      <c r="E55">
        <v>185113</v>
      </c>
      <c r="F55">
        <v>1870</v>
      </c>
      <c r="G55">
        <v>2079</v>
      </c>
      <c r="H55">
        <v>1804400</v>
      </c>
      <c r="I55">
        <v>210</v>
      </c>
      <c r="J55">
        <v>478985</v>
      </c>
      <c r="K55">
        <v>94</v>
      </c>
      <c r="M55">
        <v>176193</v>
      </c>
      <c r="N55">
        <f t="shared" si="4"/>
        <v>2024</v>
      </c>
      <c r="O55">
        <f t="shared" si="5"/>
        <v>8</v>
      </c>
    </row>
    <row r="56" spans="1:15" x14ac:dyDescent="0.3">
      <c r="A56" s="16">
        <v>45536</v>
      </c>
      <c r="B56" t="s">
        <v>3</v>
      </c>
      <c r="C56" t="s">
        <v>110</v>
      </c>
      <c r="D56">
        <v>45068</v>
      </c>
      <c r="E56">
        <v>40687</v>
      </c>
      <c r="F56">
        <v>742</v>
      </c>
      <c r="G56">
        <v>405</v>
      </c>
      <c r="H56">
        <v>1115975</v>
      </c>
      <c r="I56">
        <v>162</v>
      </c>
      <c r="J56">
        <v>729980</v>
      </c>
      <c r="K56">
        <v>135</v>
      </c>
      <c r="M56">
        <v>31261</v>
      </c>
      <c r="N56">
        <f t="shared" si="4"/>
        <v>2024</v>
      </c>
      <c r="O56">
        <f t="shared" si="5"/>
        <v>9</v>
      </c>
    </row>
    <row r="57" spans="1:15" x14ac:dyDescent="0.3">
      <c r="A57" s="16">
        <v>45536</v>
      </c>
      <c r="B57" t="s">
        <v>2</v>
      </c>
      <c r="C57" t="s">
        <v>110</v>
      </c>
      <c r="D57">
        <v>182722</v>
      </c>
      <c r="E57">
        <v>175127</v>
      </c>
      <c r="F57">
        <v>1968</v>
      </c>
      <c r="G57">
        <v>1973</v>
      </c>
      <c r="H57">
        <v>1915675</v>
      </c>
      <c r="I57">
        <v>213</v>
      </c>
      <c r="J57">
        <v>432645</v>
      </c>
      <c r="K57">
        <v>90</v>
      </c>
      <c r="M57">
        <v>164512</v>
      </c>
      <c r="N57">
        <f t="shared" si="4"/>
        <v>2024</v>
      </c>
      <c r="O57">
        <f t="shared" si="5"/>
        <v>9</v>
      </c>
    </row>
    <row r="58" spans="1:15" x14ac:dyDescent="0.3">
      <c r="A58" s="16">
        <v>45566</v>
      </c>
      <c r="B58" t="s">
        <v>3</v>
      </c>
      <c r="C58" t="s">
        <v>110</v>
      </c>
      <c r="D58">
        <v>179310</v>
      </c>
      <c r="E58">
        <v>166340</v>
      </c>
      <c r="F58">
        <v>7104</v>
      </c>
      <c r="G58">
        <v>1903</v>
      </c>
      <c r="H58">
        <v>17011176.390000001</v>
      </c>
      <c r="I58">
        <v>2485</v>
      </c>
      <c r="J58">
        <v>12848413.74</v>
      </c>
      <c r="K58">
        <v>2221</v>
      </c>
      <c r="M58">
        <v>110941</v>
      </c>
      <c r="N58">
        <f t="shared" si="4"/>
        <v>2024</v>
      </c>
      <c r="O58">
        <f t="shared" si="5"/>
        <v>10</v>
      </c>
    </row>
    <row r="59" spans="1:15" x14ac:dyDescent="0.3">
      <c r="A59" s="16">
        <v>45566</v>
      </c>
      <c r="B59" t="s">
        <v>2</v>
      </c>
      <c r="C59" t="s">
        <v>110</v>
      </c>
      <c r="D59">
        <v>308792</v>
      </c>
      <c r="E59">
        <v>294904</v>
      </c>
      <c r="F59">
        <v>9529</v>
      </c>
      <c r="G59">
        <v>3751</v>
      </c>
      <c r="H59">
        <v>13044715.76</v>
      </c>
      <c r="I59">
        <v>1952</v>
      </c>
      <c r="J59">
        <v>8237501.4800000004</v>
      </c>
      <c r="K59">
        <v>1553</v>
      </c>
      <c r="M59">
        <v>272246</v>
      </c>
      <c r="N59">
        <f t="shared" si="4"/>
        <v>2024</v>
      </c>
      <c r="O59">
        <f t="shared" si="5"/>
        <v>10</v>
      </c>
    </row>
    <row r="60" spans="1:15" x14ac:dyDescent="0.3">
      <c r="A60" s="16">
        <v>45597</v>
      </c>
      <c r="B60" t="s">
        <v>3</v>
      </c>
      <c r="C60" t="s">
        <v>110</v>
      </c>
      <c r="D60">
        <v>250883</v>
      </c>
      <c r="E60">
        <v>232440</v>
      </c>
      <c r="F60">
        <v>6091</v>
      </c>
      <c r="G60">
        <v>2005</v>
      </c>
      <c r="H60">
        <v>12764575.18</v>
      </c>
      <c r="I60">
        <v>1961</v>
      </c>
      <c r="J60">
        <v>8899624.6799999997</v>
      </c>
      <c r="K60">
        <v>1713</v>
      </c>
      <c r="L60">
        <v>36709</v>
      </c>
      <c r="M60">
        <v>149544</v>
      </c>
      <c r="N60">
        <f t="shared" si="4"/>
        <v>2024</v>
      </c>
      <c r="O60">
        <f t="shared" si="5"/>
        <v>11</v>
      </c>
    </row>
    <row r="61" spans="1:15" x14ac:dyDescent="0.3">
      <c r="A61" s="16">
        <v>45597</v>
      </c>
      <c r="B61" t="s">
        <v>2</v>
      </c>
      <c r="C61" t="s">
        <v>110</v>
      </c>
      <c r="D61">
        <v>270714</v>
      </c>
      <c r="E61">
        <v>249407</v>
      </c>
      <c r="F61">
        <v>7275</v>
      </c>
      <c r="G61">
        <v>3200</v>
      </c>
      <c r="H61">
        <v>7518291.4900000002</v>
      </c>
      <c r="I61">
        <v>1328</v>
      </c>
      <c r="J61">
        <v>4880668.12</v>
      </c>
      <c r="K61">
        <v>1085</v>
      </c>
      <c r="L61">
        <v>44123</v>
      </c>
      <c r="M61">
        <v>227027</v>
      </c>
      <c r="N61">
        <f t="shared" si="4"/>
        <v>2024</v>
      </c>
      <c r="O61">
        <f t="shared" si="5"/>
        <v>11</v>
      </c>
    </row>
    <row r="62" spans="1:15" x14ac:dyDescent="0.3">
      <c r="A62" s="16">
        <v>45627</v>
      </c>
      <c r="B62" t="s">
        <v>3</v>
      </c>
      <c r="C62" t="s">
        <v>110</v>
      </c>
      <c r="D62">
        <v>136573</v>
      </c>
      <c r="E62">
        <v>124707</v>
      </c>
      <c r="F62">
        <v>2809</v>
      </c>
      <c r="G62">
        <v>1082</v>
      </c>
      <c r="H62">
        <v>6958738.2999999998</v>
      </c>
      <c r="I62">
        <v>846</v>
      </c>
      <c r="J62">
        <v>5056362.8</v>
      </c>
      <c r="K62">
        <v>744</v>
      </c>
      <c r="L62">
        <v>21192</v>
      </c>
      <c r="M62">
        <v>103186</v>
      </c>
      <c r="N62">
        <f t="shared" si="4"/>
        <v>2024</v>
      </c>
      <c r="O62">
        <f t="shared" si="5"/>
        <v>12</v>
      </c>
    </row>
    <row r="63" spans="1:15" x14ac:dyDescent="0.3">
      <c r="A63" s="16">
        <v>45627</v>
      </c>
      <c r="B63" t="s">
        <v>2</v>
      </c>
      <c r="C63" t="s">
        <v>110</v>
      </c>
      <c r="D63">
        <v>219663</v>
      </c>
      <c r="E63">
        <v>209554</v>
      </c>
      <c r="F63">
        <v>3320</v>
      </c>
      <c r="G63">
        <v>2296</v>
      </c>
      <c r="H63">
        <v>4625539.5</v>
      </c>
      <c r="I63">
        <v>569</v>
      </c>
      <c r="J63">
        <v>2431414.5</v>
      </c>
      <c r="K63">
        <v>411</v>
      </c>
      <c r="L63">
        <v>34146</v>
      </c>
      <c r="M63">
        <v>204524</v>
      </c>
      <c r="N63">
        <f t="shared" si="4"/>
        <v>2024</v>
      </c>
      <c r="O63">
        <f t="shared" si="5"/>
        <v>12</v>
      </c>
    </row>
    <row r="64" spans="1:15" x14ac:dyDescent="0.3">
      <c r="A64" s="16">
        <v>45658</v>
      </c>
      <c r="B64" t="s">
        <v>3</v>
      </c>
      <c r="C64" t="s">
        <v>110</v>
      </c>
      <c r="D64">
        <v>106543</v>
      </c>
      <c r="E64">
        <v>98256</v>
      </c>
      <c r="F64">
        <v>1562</v>
      </c>
      <c r="G64">
        <v>706</v>
      </c>
      <c r="H64">
        <v>3683575</v>
      </c>
      <c r="I64">
        <v>401</v>
      </c>
      <c r="J64">
        <v>2717000</v>
      </c>
      <c r="K64">
        <v>360</v>
      </c>
      <c r="L64">
        <v>20052</v>
      </c>
      <c r="M64">
        <v>60584</v>
      </c>
      <c r="N64">
        <f t="shared" si="4"/>
        <v>2025</v>
      </c>
      <c r="O64">
        <f t="shared" si="5"/>
        <v>1</v>
      </c>
    </row>
    <row r="65" spans="1:15" x14ac:dyDescent="0.3">
      <c r="A65" s="16">
        <v>45658</v>
      </c>
      <c r="B65" t="s">
        <v>2</v>
      </c>
      <c r="C65" t="s">
        <v>110</v>
      </c>
      <c r="D65">
        <v>236961</v>
      </c>
      <c r="E65">
        <v>228367</v>
      </c>
      <c r="F65">
        <v>2432</v>
      </c>
      <c r="G65">
        <v>2046</v>
      </c>
      <c r="H65">
        <v>3151249.72</v>
      </c>
      <c r="I65">
        <v>304</v>
      </c>
      <c r="J65">
        <v>1486523.05</v>
      </c>
      <c r="K65">
        <v>194</v>
      </c>
      <c r="L65">
        <v>30229</v>
      </c>
      <c r="M65">
        <v>219269</v>
      </c>
      <c r="N65">
        <f t="shared" si="4"/>
        <v>2025</v>
      </c>
      <c r="O65">
        <f t="shared" si="5"/>
        <v>1</v>
      </c>
    </row>
    <row r="66" spans="1:15" x14ac:dyDescent="0.3">
      <c r="A66" s="16">
        <v>45689</v>
      </c>
      <c r="B66" t="s">
        <v>3</v>
      </c>
      <c r="C66" t="s">
        <v>110</v>
      </c>
      <c r="D66">
        <v>70663</v>
      </c>
      <c r="E66">
        <v>63396</v>
      </c>
      <c r="F66">
        <v>1141</v>
      </c>
      <c r="G66">
        <v>548</v>
      </c>
      <c r="H66">
        <v>2228850</v>
      </c>
      <c r="I66">
        <v>256</v>
      </c>
      <c r="J66">
        <v>1536350</v>
      </c>
      <c r="K66">
        <v>211</v>
      </c>
      <c r="L66">
        <v>16265</v>
      </c>
      <c r="M66">
        <v>50356</v>
      </c>
      <c r="N66">
        <f t="shared" si="4"/>
        <v>2025</v>
      </c>
      <c r="O66">
        <f t="shared" si="5"/>
        <v>2</v>
      </c>
    </row>
    <row r="67" spans="1:15" x14ac:dyDescent="0.3">
      <c r="A67" s="16">
        <v>45689</v>
      </c>
      <c r="B67" t="s">
        <v>2</v>
      </c>
      <c r="C67" t="s">
        <v>110</v>
      </c>
      <c r="D67">
        <v>247354</v>
      </c>
      <c r="E67">
        <v>240089</v>
      </c>
      <c r="F67">
        <v>1912</v>
      </c>
      <c r="G67">
        <v>1439</v>
      </c>
      <c r="H67">
        <v>1903525</v>
      </c>
      <c r="I67">
        <v>222</v>
      </c>
      <c r="J67">
        <v>879500</v>
      </c>
      <c r="K67">
        <v>132</v>
      </c>
      <c r="L67">
        <v>26272</v>
      </c>
      <c r="M67">
        <v>237172</v>
      </c>
      <c r="N67">
        <f t="shared" si="4"/>
        <v>2025</v>
      </c>
      <c r="O67">
        <f t="shared" si="5"/>
        <v>2</v>
      </c>
    </row>
    <row r="68" spans="1:15" x14ac:dyDescent="0.3">
      <c r="A68" s="16">
        <v>45352</v>
      </c>
      <c r="B68" t="s">
        <v>3</v>
      </c>
      <c r="C68" t="s">
        <v>110</v>
      </c>
      <c r="D68">
        <v>34220</v>
      </c>
      <c r="E68">
        <v>29807</v>
      </c>
      <c r="F68">
        <v>832</v>
      </c>
      <c r="G68">
        <v>394</v>
      </c>
      <c r="H68">
        <v>1444140</v>
      </c>
      <c r="I68">
        <v>174</v>
      </c>
      <c r="J68">
        <v>1049900</v>
      </c>
      <c r="K68">
        <v>150</v>
      </c>
      <c r="M68">
        <v>29948</v>
      </c>
      <c r="N68">
        <f t="shared" si="4"/>
        <v>2024</v>
      </c>
      <c r="O68">
        <f t="shared" si="5"/>
        <v>3</v>
      </c>
    </row>
    <row r="69" spans="1:15" x14ac:dyDescent="0.3">
      <c r="A69" s="16">
        <v>45352</v>
      </c>
      <c r="B69" t="s">
        <v>2</v>
      </c>
      <c r="C69" t="s">
        <v>110</v>
      </c>
      <c r="D69">
        <v>143350</v>
      </c>
      <c r="E69">
        <v>138132</v>
      </c>
      <c r="F69">
        <v>1380</v>
      </c>
      <c r="G69">
        <v>905</v>
      </c>
      <c r="H69">
        <v>1184981.67</v>
      </c>
      <c r="I69">
        <v>157</v>
      </c>
      <c r="J69">
        <v>824371.67</v>
      </c>
      <c r="K69">
        <v>118</v>
      </c>
      <c r="M69">
        <v>130239</v>
      </c>
      <c r="N69">
        <f t="shared" si="4"/>
        <v>2024</v>
      </c>
      <c r="O69">
        <f t="shared" si="5"/>
        <v>3</v>
      </c>
    </row>
    <row r="70" spans="1:15" x14ac:dyDescent="0.3">
      <c r="A70" s="16">
        <v>45717</v>
      </c>
      <c r="B70" t="s">
        <v>3</v>
      </c>
      <c r="C70" t="s">
        <v>110</v>
      </c>
      <c r="D70">
        <v>101654</v>
      </c>
      <c r="E70">
        <v>92257</v>
      </c>
      <c r="F70">
        <v>1130</v>
      </c>
      <c r="G70">
        <v>671</v>
      </c>
      <c r="H70">
        <v>1747090</v>
      </c>
      <c r="I70">
        <v>203</v>
      </c>
      <c r="J70">
        <v>1215290</v>
      </c>
      <c r="K70">
        <v>158</v>
      </c>
      <c r="L70">
        <v>15567</v>
      </c>
      <c r="M70">
        <v>69044</v>
      </c>
      <c r="N70">
        <f t="shared" si="4"/>
        <v>2025</v>
      </c>
      <c r="O70">
        <f t="shared" si="5"/>
        <v>3</v>
      </c>
    </row>
    <row r="71" spans="1:15" x14ac:dyDescent="0.3">
      <c r="A71" s="16">
        <v>45717</v>
      </c>
      <c r="B71" t="s">
        <v>2</v>
      </c>
      <c r="C71" t="s">
        <v>110</v>
      </c>
      <c r="D71">
        <v>287495</v>
      </c>
      <c r="E71">
        <v>276113</v>
      </c>
      <c r="F71">
        <v>1771</v>
      </c>
      <c r="G71">
        <v>1833</v>
      </c>
      <c r="H71">
        <v>2220245</v>
      </c>
      <c r="I71">
        <v>213</v>
      </c>
      <c r="J71">
        <v>657010</v>
      </c>
      <c r="K71">
        <v>92</v>
      </c>
      <c r="L71">
        <v>25956</v>
      </c>
      <c r="M71">
        <v>275853</v>
      </c>
      <c r="N71">
        <f t="shared" si="4"/>
        <v>2025</v>
      </c>
      <c r="O71">
        <f t="shared" si="5"/>
        <v>3</v>
      </c>
    </row>
    <row r="72" spans="1:15" x14ac:dyDescent="0.3">
      <c r="A72" s="16">
        <v>45748</v>
      </c>
      <c r="B72" t="s">
        <v>3</v>
      </c>
      <c r="C72" t="s">
        <v>110</v>
      </c>
      <c r="D72">
        <v>73175</v>
      </c>
      <c r="E72">
        <v>67694</v>
      </c>
      <c r="F72">
        <v>1044</v>
      </c>
      <c r="G72">
        <v>594</v>
      </c>
      <c r="H72">
        <v>1359560</v>
      </c>
      <c r="I72">
        <v>183</v>
      </c>
      <c r="J72">
        <v>912185</v>
      </c>
      <c r="K72">
        <v>142</v>
      </c>
      <c r="L72">
        <v>13855</v>
      </c>
      <c r="M72">
        <v>53157</v>
      </c>
      <c r="N72">
        <f t="shared" ref="N72:N73" si="6">YEAR(A72)</f>
        <v>2025</v>
      </c>
      <c r="O72">
        <f t="shared" ref="O72:O73" si="7">MONTH(A72)</f>
        <v>4</v>
      </c>
    </row>
    <row r="73" spans="1:15" x14ac:dyDescent="0.3">
      <c r="A73" s="16">
        <v>45748</v>
      </c>
      <c r="B73" t="s">
        <v>2</v>
      </c>
      <c r="C73" t="s">
        <v>110</v>
      </c>
      <c r="D73">
        <v>247903</v>
      </c>
      <c r="E73">
        <v>239963</v>
      </c>
      <c r="F73">
        <v>1798</v>
      </c>
      <c r="G73">
        <v>2216</v>
      </c>
      <c r="H73">
        <v>1327990</v>
      </c>
      <c r="I73">
        <v>195</v>
      </c>
      <c r="J73">
        <v>604670</v>
      </c>
      <c r="K73">
        <v>107</v>
      </c>
      <c r="L73">
        <v>22419</v>
      </c>
      <c r="M73">
        <v>237066</v>
      </c>
      <c r="N73">
        <f t="shared" si="6"/>
        <v>2025</v>
      </c>
      <c r="O73">
        <f t="shared" si="7"/>
        <v>4</v>
      </c>
    </row>
    <row r="74" spans="1:15" x14ac:dyDescent="0.3">
      <c r="A74" s="16">
        <v>45778</v>
      </c>
      <c r="B74" t="s">
        <v>3</v>
      </c>
      <c r="C74" t="s">
        <v>110</v>
      </c>
      <c r="D74">
        <v>165316</v>
      </c>
      <c r="E74">
        <v>153676</v>
      </c>
      <c r="F74">
        <v>4488</v>
      </c>
      <c r="G74">
        <v>1424</v>
      </c>
      <c r="H74">
        <v>7587072.3799999999</v>
      </c>
      <c r="I74">
        <v>1564</v>
      </c>
      <c r="J74">
        <v>5604881.3799999999</v>
      </c>
      <c r="K74">
        <v>1355</v>
      </c>
      <c r="L74">
        <v>23910</v>
      </c>
      <c r="M74">
        <v>116996</v>
      </c>
      <c r="N74">
        <f t="shared" ref="N74:N75" si="8">YEAR(A74)</f>
        <v>2025</v>
      </c>
      <c r="O74">
        <f t="shared" ref="O74:O75" si="9">MONTH(A74)</f>
        <v>5</v>
      </c>
    </row>
    <row r="75" spans="1:15" x14ac:dyDescent="0.3">
      <c r="A75" s="16">
        <v>45778</v>
      </c>
      <c r="B75" t="s">
        <v>2</v>
      </c>
      <c r="C75" t="s">
        <v>110</v>
      </c>
      <c r="D75">
        <v>376615</v>
      </c>
      <c r="E75">
        <v>364498</v>
      </c>
      <c r="F75">
        <v>7272</v>
      </c>
      <c r="G75">
        <v>5230</v>
      </c>
      <c r="H75">
        <v>6546902.1299999999</v>
      </c>
      <c r="I75">
        <v>1394</v>
      </c>
      <c r="J75">
        <v>3695697.13</v>
      </c>
      <c r="K75">
        <v>970</v>
      </c>
      <c r="L75">
        <v>31063</v>
      </c>
      <c r="M75">
        <v>359697</v>
      </c>
      <c r="N75">
        <f t="shared" si="8"/>
        <v>2025</v>
      </c>
      <c r="O75">
        <f t="shared" si="9"/>
        <v>5</v>
      </c>
    </row>
    <row r="76" spans="1:15" x14ac:dyDescent="0.3">
      <c r="A76" s="16">
        <v>45809</v>
      </c>
      <c r="B76" t="s">
        <v>3</v>
      </c>
      <c r="C76" t="s">
        <v>110</v>
      </c>
      <c r="D76">
        <v>199169</v>
      </c>
      <c r="E76">
        <v>187216</v>
      </c>
      <c r="F76">
        <v>3156</v>
      </c>
      <c r="G76">
        <v>1288</v>
      </c>
      <c r="H76">
        <v>5265139.43</v>
      </c>
      <c r="I76">
        <v>1098</v>
      </c>
      <c r="J76">
        <v>3864749.43</v>
      </c>
      <c r="K76">
        <v>956</v>
      </c>
      <c r="L76">
        <v>22617</v>
      </c>
      <c r="M76">
        <v>138094</v>
      </c>
      <c r="N76">
        <f t="shared" ref="N76:N77" si="10">YEAR(A76)</f>
        <v>2025</v>
      </c>
      <c r="O76">
        <f t="shared" ref="O76:O77" si="11">MONTH(A76)</f>
        <v>6</v>
      </c>
    </row>
    <row r="77" spans="1:15" x14ac:dyDescent="0.3">
      <c r="A77" s="16">
        <v>45809</v>
      </c>
      <c r="B77" t="s">
        <v>2</v>
      </c>
      <c r="C77" t="s">
        <v>110</v>
      </c>
      <c r="D77">
        <v>312346</v>
      </c>
      <c r="E77">
        <v>295104</v>
      </c>
      <c r="F77">
        <v>4154</v>
      </c>
      <c r="G77">
        <v>3746</v>
      </c>
      <c r="H77">
        <v>3579621.71</v>
      </c>
      <c r="I77">
        <v>818</v>
      </c>
      <c r="J77">
        <v>2037644.86</v>
      </c>
      <c r="K77">
        <v>573</v>
      </c>
      <c r="L77">
        <v>25141</v>
      </c>
      <c r="M77">
        <v>297365</v>
      </c>
      <c r="N77">
        <f t="shared" si="10"/>
        <v>2025</v>
      </c>
      <c r="O77">
        <f t="shared" si="11"/>
        <v>6</v>
      </c>
    </row>
    <row r="78" spans="1:15" x14ac:dyDescent="0.3">
      <c r="A78" s="16">
        <v>45839</v>
      </c>
      <c r="B78" t="s">
        <v>3</v>
      </c>
      <c r="C78" t="s">
        <v>110</v>
      </c>
      <c r="D78">
        <v>78885</v>
      </c>
      <c r="E78">
        <v>72504</v>
      </c>
      <c r="F78">
        <v>1292</v>
      </c>
      <c r="G78">
        <v>646</v>
      </c>
      <c r="H78">
        <v>1859757</v>
      </c>
      <c r="I78">
        <v>221</v>
      </c>
      <c r="J78">
        <v>1137566</v>
      </c>
      <c r="K78">
        <v>190</v>
      </c>
      <c r="L78">
        <v>14345</v>
      </c>
      <c r="M78">
        <v>66266</v>
      </c>
      <c r="N78">
        <f t="shared" ref="N78:N79" si="12">YEAR(A78)</f>
        <v>2025</v>
      </c>
      <c r="O78">
        <f t="shared" ref="O78:O79" si="13">MONTH(A78)</f>
        <v>7</v>
      </c>
    </row>
    <row r="79" spans="1:15" x14ac:dyDescent="0.3">
      <c r="A79" s="16">
        <v>45839</v>
      </c>
      <c r="B79" t="s">
        <v>2</v>
      </c>
      <c r="C79" t="s">
        <v>110</v>
      </c>
      <c r="D79">
        <v>226815</v>
      </c>
      <c r="E79">
        <v>218417</v>
      </c>
      <c r="F79">
        <v>1535</v>
      </c>
      <c r="G79">
        <v>1444</v>
      </c>
      <c r="H79">
        <v>1390937</v>
      </c>
      <c r="I79">
        <v>164</v>
      </c>
      <c r="J79">
        <v>568537</v>
      </c>
      <c r="K79">
        <v>99</v>
      </c>
      <c r="L79">
        <v>18732</v>
      </c>
      <c r="M79">
        <v>219589</v>
      </c>
      <c r="N79">
        <f t="shared" si="12"/>
        <v>2025</v>
      </c>
      <c r="O79">
        <f t="shared" si="13"/>
        <v>7</v>
      </c>
    </row>
    <row r="80" spans="1:15" x14ac:dyDescent="0.3">
      <c r="A80" s="16">
        <v>45870</v>
      </c>
      <c r="B80" t="s">
        <v>3</v>
      </c>
      <c r="C80" t="s">
        <v>110</v>
      </c>
      <c r="D80">
        <v>83953</v>
      </c>
      <c r="E80">
        <v>76889</v>
      </c>
      <c r="F80">
        <v>1605</v>
      </c>
      <c r="G80">
        <v>718</v>
      </c>
      <c r="H80">
        <v>2035765.59</v>
      </c>
      <c r="I80">
        <v>343</v>
      </c>
      <c r="J80">
        <v>1591464.59</v>
      </c>
      <c r="K80">
        <v>289</v>
      </c>
      <c r="L80">
        <v>15819</v>
      </c>
      <c r="M80">
        <v>71185</v>
      </c>
      <c r="N80">
        <f t="shared" ref="N80:N81" si="14">YEAR(A80)</f>
        <v>2025</v>
      </c>
      <c r="O80">
        <f t="shared" ref="O80:O81" si="15">MONTH(A80)</f>
        <v>8</v>
      </c>
    </row>
    <row r="81" spans="1:19" x14ac:dyDescent="0.3">
      <c r="A81" s="16">
        <v>45870</v>
      </c>
      <c r="B81" t="s">
        <v>2</v>
      </c>
      <c r="C81" t="s">
        <v>110</v>
      </c>
      <c r="D81">
        <v>202927</v>
      </c>
      <c r="E81">
        <v>194828</v>
      </c>
      <c r="F81">
        <v>1586</v>
      </c>
      <c r="G81">
        <v>1109</v>
      </c>
      <c r="H81">
        <v>937443</v>
      </c>
      <c r="I81">
        <v>166</v>
      </c>
      <c r="J81">
        <v>470548</v>
      </c>
      <c r="K81">
        <v>110</v>
      </c>
      <c r="L81">
        <v>20844</v>
      </c>
      <c r="M81">
        <v>194049</v>
      </c>
      <c r="N81">
        <f t="shared" si="14"/>
        <v>2025</v>
      </c>
      <c r="O81">
        <f t="shared" si="15"/>
        <v>8</v>
      </c>
    </row>
    <row r="82" spans="1:19" x14ac:dyDescent="0.3">
      <c r="A82" s="16">
        <v>45901</v>
      </c>
      <c r="B82" t="s">
        <v>3</v>
      </c>
      <c r="C82" t="s">
        <v>110</v>
      </c>
      <c r="D82">
        <v>118847</v>
      </c>
      <c r="E82">
        <v>111654</v>
      </c>
      <c r="F82">
        <v>1241</v>
      </c>
      <c r="G82">
        <v>637</v>
      </c>
      <c r="H82">
        <v>1927879</v>
      </c>
      <c r="I82">
        <v>219</v>
      </c>
      <c r="J82">
        <v>1185159</v>
      </c>
      <c r="K82">
        <v>170</v>
      </c>
      <c r="L82">
        <v>11059</v>
      </c>
      <c r="M82">
        <v>77456</v>
      </c>
      <c r="N82">
        <f t="shared" ref="N82:N83" si="16">YEAR(A82)</f>
        <v>2025</v>
      </c>
      <c r="O82">
        <f t="shared" ref="O82:O83" si="17">MONTH(A82)</f>
        <v>9</v>
      </c>
    </row>
    <row r="83" spans="1:19" x14ac:dyDescent="0.3">
      <c r="A83" s="16">
        <v>45901</v>
      </c>
      <c r="B83" t="s">
        <v>2</v>
      </c>
      <c r="C83" t="s">
        <v>110</v>
      </c>
      <c r="D83">
        <v>259239</v>
      </c>
      <c r="E83">
        <v>251214</v>
      </c>
      <c r="F83">
        <v>1358</v>
      </c>
      <c r="G83">
        <v>1103</v>
      </c>
      <c r="H83">
        <v>1308555</v>
      </c>
      <c r="I83">
        <v>138</v>
      </c>
      <c r="J83">
        <v>546918</v>
      </c>
      <c r="K83">
        <v>77</v>
      </c>
      <c r="L83">
        <v>22118</v>
      </c>
      <c r="M83">
        <v>239437</v>
      </c>
      <c r="N83">
        <f t="shared" si="16"/>
        <v>2025</v>
      </c>
      <c r="O83">
        <f t="shared" si="17"/>
        <v>9</v>
      </c>
    </row>
    <row r="84" spans="1:19" x14ac:dyDescent="0.3">
      <c r="A84" s="16">
        <v>45931</v>
      </c>
      <c r="B84" t="s">
        <v>3</v>
      </c>
      <c r="C84" t="s">
        <v>110</v>
      </c>
      <c r="D84">
        <v>273124</v>
      </c>
      <c r="E84">
        <v>247608</v>
      </c>
      <c r="F84">
        <v>4570</v>
      </c>
      <c r="G84">
        <v>1525</v>
      </c>
      <c r="H84">
        <v>8734491.5299999993</v>
      </c>
      <c r="I84">
        <v>1223</v>
      </c>
      <c r="J84">
        <v>6888557.5300000003</v>
      </c>
      <c r="K84">
        <v>1085</v>
      </c>
      <c r="L84">
        <v>22482</v>
      </c>
      <c r="M84">
        <v>163044</v>
      </c>
      <c r="N84">
        <f t="shared" ref="N84:N85" si="18">YEAR(A84)</f>
        <v>2025</v>
      </c>
      <c r="O84">
        <f t="shared" ref="O84:O85" si="19">MONTH(A84)</f>
        <v>10</v>
      </c>
    </row>
    <row r="85" spans="1:19" x14ac:dyDescent="0.3">
      <c r="A85" s="16">
        <v>45931</v>
      </c>
      <c r="B85" t="s">
        <v>2</v>
      </c>
      <c r="C85" t="s">
        <v>110</v>
      </c>
      <c r="D85">
        <v>598138</v>
      </c>
      <c r="E85">
        <v>576781</v>
      </c>
      <c r="F85">
        <v>4374</v>
      </c>
      <c r="G85">
        <v>3372</v>
      </c>
      <c r="H85">
        <v>4421049.32</v>
      </c>
      <c r="I85">
        <v>604</v>
      </c>
      <c r="J85">
        <v>2667026.4500000002</v>
      </c>
      <c r="K85">
        <v>461</v>
      </c>
      <c r="L85">
        <v>38662</v>
      </c>
      <c r="M85">
        <v>576611</v>
      </c>
      <c r="N85">
        <f t="shared" si="18"/>
        <v>2025</v>
      </c>
      <c r="O85">
        <f t="shared" si="19"/>
        <v>10</v>
      </c>
    </row>
    <row r="86" spans="1:19" x14ac:dyDescent="0.3">
      <c r="A86" s="16">
        <v>45575</v>
      </c>
      <c r="B86" t="s">
        <v>3</v>
      </c>
      <c r="C86" t="s">
        <v>627</v>
      </c>
      <c r="D86">
        <v>3622</v>
      </c>
      <c r="E86">
        <v>2644</v>
      </c>
      <c r="F86">
        <v>92</v>
      </c>
      <c r="G86">
        <v>29</v>
      </c>
      <c r="H86">
        <v>168795</v>
      </c>
      <c r="I86">
        <v>13</v>
      </c>
      <c r="J86">
        <v>103395</v>
      </c>
      <c r="K86">
        <v>10</v>
      </c>
      <c r="L86">
        <v>826</v>
      </c>
      <c r="M86">
        <v>2476</v>
      </c>
      <c r="N86">
        <f t="shared" ref="N86:N149" si="20">YEAR(A86)</f>
        <v>2024</v>
      </c>
      <c r="O86">
        <f t="shared" ref="O86:O149" si="21">MONTH(A86)</f>
        <v>10</v>
      </c>
      <c r="P86" t="s">
        <v>802</v>
      </c>
      <c r="Q86">
        <f>SUMIFS(三级流量源!F:F,三级流量源!R:R,"其他猜你喜欢",三级流量源!E:E,"品牌特秀",三级流量源!B:B,A86,三级流量源!A:A,C86)</f>
        <v>0</v>
      </c>
    </row>
    <row r="87" spans="1:19" x14ac:dyDescent="0.3">
      <c r="A87" s="16">
        <v>45575</v>
      </c>
      <c r="B87" t="s">
        <v>2</v>
      </c>
      <c r="C87" t="s">
        <v>627</v>
      </c>
      <c r="D87">
        <v>18638</v>
      </c>
      <c r="E87">
        <v>14040</v>
      </c>
      <c r="F87">
        <v>258</v>
      </c>
      <c r="G87">
        <v>164</v>
      </c>
      <c r="H87">
        <v>177170</v>
      </c>
      <c r="I87">
        <v>16</v>
      </c>
      <c r="J87">
        <v>56905</v>
      </c>
      <c r="K87">
        <v>7</v>
      </c>
      <c r="L87">
        <v>4090</v>
      </c>
      <c r="M87">
        <v>15968</v>
      </c>
      <c r="N87">
        <f t="shared" si="20"/>
        <v>2024</v>
      </c>
      <c r="O87">
        <f t="shared" si="21"/>
        <v>10</v>
      </c>
      <c r="P87" t="s">
        <v>802</v>
      </c>
      <c r="Q87">
        <f>SUMIFS(三级流量源!F:F,三级流量源!R:R,"其他猜你喜欢",三级流量源!E:E,"品牌特秀",三级流量源!B:B,A87,三级流量源!A:A,C87)</f>
        <v>0</v>
      </c>
    </row>
    <row r="88" spans="1:19" x14ac:dyDescent="0.3">
      <c r="A88" s="16">
        <v>45576</v>
      </c>
      <c r="B88" t="s">
        <v>3</v>
      </c>
      <c r="C88" t="s">
        <v>627</v>
      </c>
      <c r="D88">
        <v>3090</v>
      </c>
      <c r="E88">
        <v>2114</v>
      </c>
      <c r="F88">
        <v>71</v>
      </c>
      <c r="G88">
        <v>36</v>
      </c>
      <c r="H88">
        <v>39085</v>
      </c>
      <c r="I88">
        <v>6</v>
      </c>
      <c r="J88">
        <v>10645</v>
      </c>
      <c r="K88">
        <v>2</v>
      </c>
      <c r="L88">
        <v>792</v>
      </c>
      <c r="M88">
        <v>2605</v>
      </c>
      <c r="N88">
        <f t="shared" si="20"/>
        <v>2024</v>
      </c>
      <c r="O88">
        <f t="shared" si="21"/>
        <v>10</v>
      </c>
      <c r="P88" t="s">
        <v>802</v>
      </c>
      <c r="Q88">
        <f>SUMIFS(三级流量源!F:F,三级流量源!R:R,"其他猜你喜欢",三级流量源!E:E,"品牌特秀",三级流量源!B:B,A88,三级流量源!A:A,C88)</f>
        <v>0</v>
      </c>
    </row>
    <row r="89" spans="1:19" x14ac:dyDescent="0.3">
      <c r="A89" s="16">
        <v>45576</v>
      </c>
      <c r="B89" t="s">
        <v>2</v>
      </c>
      <c r="C89" t="s">
        <v>627</v>
      </c>
      <c r="D89">
        <v>17135</v>
      </c>
      <c r="E89">
        <v>12179</v>
      </c>
      <c r="F89">
        <v>224</v>
      </c>
      <c r="G89">
        <v>139</v>
      </c>
      <c r="H89">
        <v>81035</v>
      </c>
      <c r="I89">
        <v>10</v>
      </c>
      <c r="J89">
        <v>12145</v>
      </c>
      <c r="K89">
        <v>2</v>
      </c>
      <c r="L89">
        <v>4107</v>
      </c>
      <c r="M89">
        <v>14743</v>
      </c>
      <c r="N89">
        <f t="shared" si="20"/>
        <v>2024</v>
      </c>
      <c r="O89">
        <f t="shared" si="21"/>
        <v>10</v>
      </c>
      <c r="P89" t="s">
        <v>802</v>
      </c>
      <c r="Q89">
        <f>SUMIFS(三级流量源!F:F,三级流量源!R:R,"其他猜你喜欢",三级流量源!E:E,"品牌特秀",三级流量源!B:B,A89,三级流量源!A:A,C89)</f>
        <v>0</v>
      </c>
    </row>
    <row r="90" spans="1:19" x14ac:dyDescent="0.3">
      <c r="A90" s="16">
        <v>45577</v>
      </c>
      <c r="B90" t="s">
        <v>3</v>
      </c>
      <c r="C90" t="s">
        <v>627</v>
      </c>
      <c r="D90">
        <v>4519</v>
      </c>
      <c r="E90">
        <v>3099</v>
      </c>
      <c r="F90">
        <v>181</v>
      </c>
      <c r="G90">
        <v>55</v>
      </c>
      <c r="H90">
        <v>440874.79</v>
      </c>
      <c r="I90">
        <v>71</v>
      </c>
      <c r="J90">
        <v>328707.78999999998</v>
      </c>
      <c r="K90">
        <v>62</v>
      </c>
      <c r="L90">
        <v>1247</v>
      </c>
      <c r="M90">
        <v>3132</v>
      </c>
      <c r="N90">
        <f t="shared" si="20"/>
        <v>2024</v>
      </c>
      <c r="O90">
        <f t="shared" si="21"/>
        <v>10</v>
      </c>
      <c r="P90" t="s">
        <v>802</v>
      </c>
      <c r="Q90">
        <f>SUMIFS(三级流量源!F:F,三级流量源!R:R,"其他猜你喜欢",三级流量源!E:E,"品牌特秀",三级流量源!B:B,A90,三级流量源!A:A,C90)</f>
        <v>0</v>
      </c>
      <c r="S90" t="s">
        <v>817</v>
      </c>
    </row>
    <row r="91" spans="1:19" x14ac:dyDescent="0.3">
      <c r="A91" s="16">
        <v>45577</v>
      </c>
      <c r="B91" t="s">
        <v>2</v>
      </c>
      <c r="C91" t="s">
        <v>627</v>
      </c>
      <c r="D91">
        <v>17660</v>
      </c>
      <c r="E91">
        <v>12583</v>
      </c>
      <c r="F91">
        <v>386</v>
      </c>
      <c r="G91">
        <v>162</v>
      </c>
      <c r="H91">
        <v>284108.83</v>
      </c>
      <c r="I91">
        <v>44</v>
      </c>
      <c r="J91">
        <v>176873.83</v>
      </c>
      <c r="K91">
        <v>37</v>
      </c>
      <c r="L91">
        <v>3790</v>
      </c>
      <c r="M91">
        <v>15071</v>
      </c>
      <c r="N91">
        <f t="shared" si="20"/>
        <v>2024</v>
      </c>
      <c r="O91">
        <f t="shared" si="21"/>
        <v>10</v>
      </c>
      <c r="P91" t="s">
        <v>802</v>
      </c>
      <c r="Q91">
        <f>SUMIFS(三级流量源!F:F,三级流量源!R:R,"其他猜你喜欢",三级流量源!E:E,"品牌特秀",三级流量源!B:B,A91,三级流量源!A:A,C91)</f>
        <v>0</v>
      </c>
      <c r="S91" t="s">
        <v>817</v>
      </c>
    </row>
    <row r="92" spans="1:19" x14ac:dyDescent="0.3">
      <c r="A92" s="16">
        <v>45578</v>
      </c>
      <c r="B92" t="s">
        <v>3</v>
      </c>
      <c r="C92" t="s">
        <v>627</v>
      </c>
      <c r="D92">
        <v>3689</v>
      </c>
      <c r="E92">
        <v>2189</v>
      </c>
      <c r="F92">
        <v>177</v>
      </c>
      <c r="G92">
        <v>55</v>
      </c>
      <c r="H92">
        <v>294415</v>
      </c>
      <c r="I92">
        <v>56</v>
      </c>
      <c r="J92">
        <v>248773</v>
      </c>
      <c r="K92">
        <v>49</v>
      </c>
      <c r="L92">
        <v>1046</v>
      </c>
      <c r="M92">
        <v>3270</v>
      </c>
      <c r="N92">
        <f t="shared" si="20"/>
        <v>2024</v>
      </c>
      <c r="O92">
        <f t="shared" si="21"/>
        <v>10</v>
      </c>
      <c r="P92" t="s">
        <v>802</v>
      </c>
      <c r="Q92">
        <f>SUMIFS(三级流量源!F:F,三级流量源!R:R,"其他猜你喜欢",三级流量源!E:E,"品牌特秀",三级流量源!B:B,A92,三级流量源!A:A,C92)</f>
        <v>0</v>
      </c>
      <c r="S92" t="s">
        <v>817</v>
      </c>
    </row>
    <row r="93" spans="1:19" x14ac:dyDescent="0.3">
      <c r="A93" s="16">
        <v>45578</v>
      </c>
      <c r="B93" t="s">
        <v>2</v>
      </c>
      <c r="C93" t="s">
        <v>627</v>
      </c>
      <c r="D93">
        <v>17265</v>
      </c>
      <c r="E93">
        <v>11201</v>
      </c>
      <c r="F93">
        <v>390</v>
      </c>
      <c r="G93">
        <v>164</v>
      </c>
      <c r="H93">
        <v>258926</v>
      </c>
      <c r="I93">
        <v>50</v>
      </c>
      <c r="J93">
        <v>155187</v>
      </c>
      <c r="K93">
        <v>35</v>
      </c>
      <c r="L93">
        <v>3762</v>
      </c>
      <c r="M93">
        <v>15304</v>
      </c>
      <c r="N93">
        <f t="shared" si="20"/>
        <v>2024</v>
      </c>
      <c r="O93">
        <f t="shared" si="21"/>
        <v>10</v>
      </c>
      <c r="P93" t="s">
        <v>802</v>
      </c>
      <c r="Q93">
        <f>SUMIFS(三级流量源!F:F,三级流量源!R:R,"其他猜你喜欢",三级流量源!E:E,"品牌特秀",三级流量源!B:B,A93,三级流量源!A:A,C93)</f>
        <v>0</v>
      </c>
      <c r="S93" t="s">
        <v>817</v>
      </c>
    </row>
    <row r="94" spans="1:19" x14ac:dyDescent="0.3">
      <c r="A94" s="16">
        <v>45579</v>
      </c>
      <c r="B94" t="s">
        <v>3</v>
      </c>
      <c r="C94" t="s">
        <v>627</v>
      </c>
      <c r="D94">
        <v>5476</v>
      </c>
      <c r="E94">
        <v>3586</v>
      </c>
      <c r="F94">
        <v>221</v>
      </c>
      <c r="G94">
        <v>73</v>
      </c>
      <c r="H94">
        <v>304340</v>
      </c>
      <c r="I94">
        <v>51</v>
      </c>
      <c r="J94">
        <v>261470</v>
      </c>
      <c r="K94">
        <v>43</v>
      </c>
      <c r="L94">
        <v>1303</v>
      </c>
      <c r="M94">
        <v>3642</v>
      </c>
      <c r="N94">
        <f t="shared" si="20"/>
        <v>2024</v>
      </c>
      <c r="O94">
        <f t="shared" si="21"/>
        <v>10</v>
      </c>
      <c r="P94" t="s">
        <v>802</v>
      </c>
      <c r="Q94">
        <f>SUMIFS(三级流量源!F:F,三级流量源!R:R,"其他猜你喜欢",三级流量源!E:E,"品牌特秀",三级流量源!B:B,A94,三级流量源!A:A,C94)</f>
        <v>0</v>
      </c>
      <c r="S94" t="s">
        <v>817</v>
      </c>
    </row>
    <row r="95" spans="1:19" x14ac:dyDescent="0.3">
      <c r="A95" s="16">
        <v>45579</v>
      </c>
      <c r="B95" t="s">
        <v>2</v>
      </c>
      <c r="C95" t="s">
        <v>627</v>
      </c>
      <c r="D95">
        <v>18800</v>
      </c>
      <c r="E95">
        <v>12146</v>
      </c>
      <c r="F95">
        <v>380</v>
      </c>
      <c r="G95">
        <v>181</v>
      </c>
      <c r="H95">
        <v>190169</v>
      </c>
      <c r="I95">
        <v>38</v>
      </c>
      <c r="J95">
        <v>145379</v>
      </c>
      <c r="K95">
        <v>29</v>
      </c>
      <c r="L95">
        <v>3523</v>
      </c>
      <c r="M95">
        <v>15909</v>
      </c>
      <c r="N95">
        <f t="shared" si="20"/>
        <v>2024</v>
      </c>
      <c r="O95">
        <f t="shared" si="21"/>
        <v>10</v>
      </c>
      <c r="P95" t="s">
        <v>802</v>
      </c>
      <c r="Q95">
        <f>SUMIFS(三级流量源!F:F,三级流量源!R:R,"其他猜你喜欢",三级流量源!E:E,"品牌特秀",三级流量源!B:B,A95,三级流量源!A:A,C95)</f>
        <v>0</v>
      </c>
      <c r="S95" t="s">
        <v>817</v>
      </c>
    </row>
    <row r="96" spans="1:19" x14ac:dyDescent="0.3">
      <c r="A96" s="16">
        <v>45580</v>
      </c>
      <c r="B96" t="s">
        <v>3</v>
      </c>
      <c r="C96" t="s">
        <v>627</v>
      </c>
      <c r="D96">
        <v>6438</v>
      </c>
      <c r="E96">
        <v>4257</v>
      </c>
      <c r="F96">
        <v>242</v>
      </c>
      <c r="G96">
        <v>61</v>
      </c>
      <c r="H96">
        <v>251987</v>
      </c>
      <c r="I96">
        <v>49</v>
      </c>
      <c r="J96">
        <v>191317</v>
      </c>
      <c r="K96">
        <v>38</v>
      </c>
      <c r="L96">
        <v>1135</v>
      </c>
      <c r="M96">
        <v>4427</v>
      </c>
      <c r="N96">
        <f t="shared" si="20"/>
        <v>2024</v>
      </c>
      <c r="O96">
        <f t="shared" si="21"/>
        <v>10</v>
      </c>
      <c r="P96" t="s">
        <v>802</v>
      </c>
      <c r="Q96">
        <f>SUMIFS(三级流量源!F:F,三级流量源!R:R,"其他猜你喜欢",三级流量源!E:E,"品牌特秀",三级流量源!B:B,A96,三级流量源!A:A,C96)</f>
        <v>0</v>
      </c>
      <c r="S96" t="s">
        <v>817</v>
      </c>
    </row>
    <row r="97" spans="1:19" x14ac:dyDescent="0.3">
      <c r="A97" s="16">
        <v>45580</v>
      </c>
      <c r="B97" t="s">
        <v>2</v>
      </c>
      <c r="C97" t="s">
        <v>627</v>
      </c>
      <c r="D97">
        <v>21031</v>
      </c>
      <c r="E97">
        <v>13533</v>
      </c>
      <c r="F97">
        <v>357</v>
      </c>
      <c r="G97">
        <v>206</v>
      </c>
      <c r="H97">
        <v>194376</v>
      </c>
      <c r="I97">
        <v>31</v>
      </c>
      <c r="J97">
        <v>123086</v>
      </c>
      <c r="K97">
        <v>22</v>
      </c>
      <c r="L97">
        <v>3860</v>
      </c>
      <c r="M97">
        <v>18054</v>
      </c>
      <c r="N97">
        <f t="shared" si="20"/>
        <v>2024</v>
      </c>
      <c r="O97">
        <f t="shared" si="21"/>
        <v>10</v>
      </c>
      <c r="P97" t="s">
        <v>802</v>
      </c>
      <c r="Q97">
        <f>SUMIFS(三级流量源!F:F,三级流量源!R:R,"其他猜你喜欢",三级流量源!E:E,"品牌特秀",三级流量源!B:B,A97,三级流量源!A:A,C97)</f>
        <v>0</v>
      </c>
      <c r="S97" t="s">
        <v>817</v>
      </c>
    </row>
    <row r="98" spans="1:19" x14ac:dyDescent="0.3">
      <c r="A98" s="16">
        <v>45581</v>
      </c>
      <c r="B98" t="s">
        <v>3</v>
      </c>
      <c r="C98" t="s">
        <v>627</v>
      </c>
      <c r="D98">
        <v>6448</v>
      </c>
      <c r="E98">
        <v>4171</v>
      </c>
      <c r="F98">
        <v>214</v>
      </c>
      <c r="G98">
        <v>63</v>
      </c>
      <c r="H98">
        <v>192610</v>
      </c>
      <c r="I98">
        <v>45</v>
      </c>
      <c r="J98">
        <v>134137</v>
      </c>
      <c r="K98">
        <v>34</v>
      </c>
      <c r="L98">
        <v>1167</v>
      </c>
      <c r="M98">
        <v>4794</v>
      </c>
      <c r="N98">
        <f t="shared" si="20"/>
        <v>2024</v>
      </c>
      <c r="O98">
        <f t="shared" si="21"/>
        <v>10</v>
      </c>
      <c r="P98" t="s">
        <v>802</v>
      </c>
      <c r="Q98">
        <f>SUMIFS(三级流量源!F:F,三级流量源!R:R,"其他猜你喜欢",三级流量源!E:E,"品牌特秀",三级流量源!B:B,A98,三级流量源!A:A,C98)</f>
        <v>0</v>
      </c>
      <c r="S98" t="s">
        <v>817</v>
      </c>
    </row>
    <row r="99" spans="1:19" x14ac:dyDescent="0.3">
      <c r="A99" s="16">
        <v>45581</v>
      </c>
      <c r="B99" t="s">
        <v>2</v>
      </c>
      <c r="C99" t="s">
        <v>627</v>
      </c>
      <c r="D99">
        <v>20151</v>
      </c>
      <c r="E99">
        <v>12480</v>
      </c>
      <c r="F99">
        <v>349</v>
      </c>
      <c r="G99">
        <v>187</v>
      </c>
      <c r="H99">
        <v>175551</v>
      </c>
      <c r="I99">
        <v>26</v>
      </c>
      <c r="J99">
        <v>68314</v>
      </c>
      <c r="K99">
        <v>15</v>
      </c>
      <c r="L99">
        <v>2662</v>
      </c>
      <c r="M99">
        <v>17979</v>
      </c>
      <c r="N99">
        <f t="shared" si="20"/>
        <v>2024</v>
      </c>
      <c r="O99">
        <f t="shared" si="21"/>
        <v>10</v>
      </c>
      <c r="P99" t="s">
        <v>802</v>
      </c>
      <c r="Q99">
        <f>SUMIFS(三级流量源!F:F,三级流量源!R:R,"其他猜你喜欢",三级流量源!E:E,"品牌特秀",三级流量源!B:B,A99,三级流量源!A:A,C99)</f>
        <v>0</v>
      </c>
      <c r="S99" t="s">
        <v>817</v>
      </c>
    </row>
    <row r="100" spans="1:19" x14ac:dyDescent="0.3">
      <c r="A100" s="16">
        <v>45582</v>
      </c>
      <c r="B100" t="s">
        <v>3</v>
      </c>
      <c r="C100" t="s">
        <v>627</v>
      </c>
      <c r="D100">
        <v>5879</v>
      </c>
      <c r="E100">
        <v>4366</v>
      </c>
      <c r="F100">
        <v>253</v>
      </c>
      <c r="G100">
        <v>84</v>
      </c>
      <c r="H100">
        <v>229768</v>
      </c>
      <c r="I100">
        <v>41</v>
      </c>
      <c r="J100">
        <v>144613</v>
      </c>
      <c r="K100">
        <v>25</v>
      </c>
      <c r="L100">
        <v>1987</v>
      </c>
      <c r="M100">
        <v>5854</v>
      </c>
      <c r="N100">
        <f t="shared" si="20"/>
        <v>2024</v>
      </c>
      <c r="O100">
        <f t="shared" si="21"/>
        <v>10</v>
      </c>
      <c r="P100" t="s">
        <v>802</v>
      </c>
      <c r="Q100">
        <f>SUMIFS(三级流量源!F:F,三级流量源!R:R,"其他猜你喜欢",三级流量源!E:E,"品牌特秀",三级流量源!B:B,A100,三级流量源!A:A,C100)</f>
        <v>1009</v>
      </c>
      <c r="R100">
        <f>SUMIFS(三级流量源!M:M,三级流量源!R:R,"其他猜你喜欢",三级流量源!E:E,"品牌特秀",三级流量源!B:B,A100,三级流量源!A:A,C100)</f>
        <v>0</v>
      </c>
      <c r="S100" t="s">
        <v>817</v>
      </c>
    </row>
    <row r="101" spans="1:19" x14ac:dyDescent="0.3">
      <c r="A101" s="16">
        <v>45582</v>
      </c>
      <c r="B101" t="s">
        <v>2</v>
      </c>
      <c r="C101" t="s">
        <v>627</v>
      </c>
      <c r="D101">
        <v>16021</v>
      </c>
      <c r="E101">
        <v>9266</v>
      </c>
      <c r="F101">
        <v>354</v>
      </c>
      <c r="G101">
        <v>167</v>
      </c>
      <c r="H101">
        <v>239991</v>
      </c>
      <c r="I101">
        <v>34</v>
      </c>
      <c r="J101">
        <v>87550</v>
      </c>
      <c r="K101">
        <v>18</v>
      </c>
      <c r="L101">
        <v>1594</v>
      </c>
      <c r="M101">
        <v>14671</v>
      </c>
      <c r="N101">
        <f t="shared" si="20"/>
        <v>2024</v>
      </c>
      <c r="O101">
        <f t="shared" si="21"/>
        <v>10</v>
      </c>
      <c r="P101" t="s">
        <v>802</v>
      </c>
      <c r="Q101">
        <f>SUMIFS(三级流量源!F:F,三级流量源!R:R,"其他猜你喜欢",三级流量源!E:E,"品牌特秀",三级流量源!B:B,A101,三级流量源!A:A,C101)</f>
        <v>1009</v>
      </c>
      <c r="R101">
        <f>SUMIFS(三级流量源!M:M,三级流量源!R:R,"其他猜你喜欢",三级流量源!E:E,"品牌特秀",三级流量源!B:B,A101,三级流量源!A:A,C101)</f>
        <v>0</v>
      </c>
      <c r="S101" t="s">
        <v>817</v>
      </c>
    </row>
    <row r="102" spans="1:19" x14ac:dyDescent="0.3">
      <c r="A102" s="16">
        <v>45583</v>
      </c>
      <c r="B102" t="s">
        <v>3</v>
      </c>
      <c r="C102" t="s">
        <v>627</v>
      </c>
      <c r="D102">
        <v>8527</v>
      </c>
      <c r="E102">
        <v>6593</v>
      </c>
      <c r="F102">
        <v>367</v>
      </c>
      <c r="G102">
        <v>92</v>
      </c>
      <c r="H102">
        <v>772533.86</v>
      </c>
      <c r="I102">
        <v>47</v>
      </c>
      <c r="J102">
        <v>137442</v>
      </c>
      <c r="K102">
        <v>29</v>
      </c>
      <c r="L102">
        <v>2280</v>
      </c>
      <c r="M102">
        <v>7020</v>
      </c>
      <c r="N102">
        <f t="shared" si="20"/>
        <v>2024</v>
      </c>
      <c r="O102">
        <f t="shared" si="21"/>
        <v>10</v>
      </c>
      <c r="P102" t="s">
        <v>802</v>
      </c>
      <c r="Q102">
        <f>SUMIFS(三级流量源!F:F,三级流量源!R:R,"其他猜你喜欢",三级流量源!E:E,"品牌特秀",三级流量源!B:B,A102,三级流量源!A:A,C102)</f>
        <v>1178</v>
      </c>
      <c r="R102">
        <f>SUMIFS(三级流量源!M:M,三级流量源!R:R,"其他猜你喜欢",三级流量源!E:E,"品牌特秀",三级流量源!B:B,A102,三级流量源!A:A,C102)</f>
        <v>1</v>
      </c>
      <c r="S102" t="s">
        <v>817</v>
      </c>
    </row>
    <row r="103" spans="1:19" x14ac:dyDescent="0.3">
      <c r="A103" s="16">
        <v>45583</v>
      </c>
      <c r="B103" t="s">
        <v>2</v>
      </c>
      <c r="C103" t="s">
        <v>627</v>
      </c>
      <c r="D103">
        <v>16648</v>
      </c>
      <c r="E103">
        <v>9729</v>
      </c>
      <c r="F103">
        <v>422</v>
      </c>
      <c r="G103">
        <v>145</v>
      </c>
      <c r="H103">
        <v>810845.86</v>
      </c>
      <c r="I103">
        <v>33</v>
      </c>
      <c r="J103">
        <v>86060</v>
      </c>
      <c r="K103">
        <v>17</v>
      </c>
      <c r="L103">
        <v>1482</v>
      </c>
      <c r="M103">
        <v>13977</v>
      </c>
      <c r="N103">
        <f t="shared" si="20"/>
        <v>2024</v>
      </c>
      <c r="O103">
        <f t="shared" si="21"/>
        <v>10</v>
      </c>
      <c r="P103" t="s">
        <v>802</v>
      </c>
      <c r="Q103">
        <f>SUMIFS(三级流量源!F:F,三级流量源!R:R,"其他猜你喜欢",三级流量源!E:E,"品牌特秀",三级流量源!B:B,A103,三级流量源!A:A,C103)</f>
        <v>1178</v>
      </c>
      <c r="R103">
        <f>SUMIFS(三级流量源!M:M,三级流量源!R:R,"其他猜你喜欢",三级流量源!E:E,"品牌特秀",三级流量源!B:B,A103,三级流量源!A:A,C103)</f>
        <v>1</v>
      </c>
      <c r="S103" t="s">
        <v>817</v>
      </c>
    </row>
    <row r="104" spans="1:19" x14ac:dyDescent="0.3">
      <c r="A104" s="16">
        <v>45584</v>
      </c>
      <c r="B104" t="s">
        <v>3</v>
      </c>
      <c r="C104" t="s">
        <v>627</v>
      </c>
      <c r="D104">
        <v>8719</v>
      </c>
      <c r="E104">
        <v>6503</v>
      </c>
      <c r="F104">
        <v>385</v>
      </c>
      <c r="G104">
        <v>122</v>
      </c>
      <c r="H104">
        <v>264726.92</v>
      </c>
      <c r="I104">
        <v>41</v>
      </c>
      <c r="J104">
        <v>122638.92</v>
      </c>
      <c r="K104">
        <v>22</v>
      </c>
      <c r="L104">
        <v>2555</v>
      </c>
      <c r="M104">
        <v>8822</v>
      </c>
      <c r="N104">
        <f t="shared" si="20"/>
        <v>2024</v>
      </c>
      <c r="O104">
        <f t="shared" si="21"/>
        <v>10</v>
      </c>
      <c r="P104" t="s">
        <v>802</v>
      </c>
      <c r="Q104">
        <f>SUMIFS(三级流量源!F:F,三级流量源!R:R,"其他猜你喜欢",三级流量源!E:E,"品牌特秀",三级流量源!B:B,A104,三级流量源!A:A,C104)</f>
        <v>1262</v>
      </c>
      <c r="R104">
        <f>SUMIFS(三级流量源!M:M,三级流量源!R:R,"其他猜你喜欢",三级流量源!E:E,"品牌特秀",三级流量源!B:B,A104,三级流量源!A:A,C104)</f>
        <v>1</v>
      </c>
      <c r="S104" t="s">
        <v>817</v>
      </c>
    </row>
    <row r="105" spans="1:19" x14ac:dyDescent="0.3">
      <c r="A105" s="16">
        <v>45584</v>
      </c>
      <c r="B105" t="s">
        <v>2</v>
      </c>
      <c r="C105" t="s">
        <v>627</v>
      </c>
      <c r="D105">
        <v>16498</v>
      </c>
      <c r="E105">
        <v>9524</v>
      </c>
      <c r="F105">
        <v>423</v>
      </c>
      <c r="G105">
        <v>155</v>
      </c>
      <c r="H105">
        <v>262234</v>
      </c>
      <c r="I105">
        <v>39</v>
      </c>
      <c r="J105">
        <v>115458</v>
      </c>
      <c r="K105">
        <v>19</v>
      </c>
      <c r="L105">
        <v>1689</v>
      </c>
      <c r="M105">
        <v>14896</v>
      </c>
      <c r="N105">
        <f t="shared" si="20"/>
        <v>2024</v>
      </c>
      <c r="O105">
        <f t="shared" si="21"/>
        <v>10</v>
      </c>
      <c r="P105" t="s">
        <v>802</v>
      </c>
      <c r="Q105">
        <f>SUMIFS(三级流量源!F:F,三级流量源!R:R,"其他猜你喜欢",三级流量源!E:E,"品牌特秀",三级流量源!B:B,A105,三级流量源!A:A,C105)</f>
        <v>1262</v>
      </c>
      <c r="R105">
        <f>SUMIFS(三级流量源!M:M,三级流量源!R:R,"其他猜你喜欢",三级流量源!E:E,"品牌特秀",三级流量源!B:B,A105,三级流量源!A:A,C105)</f>
        <v>1</v>
      </c>
      <c r="S105" t="s">
        <v>817</v>
      </c>
    </row>
    <row r="106" spans="1:19" x14ac:dyDescent="0.3">
      <c r="A106" s="16">
        <v>45585</v>
      </c>
      <c r="B106" t="s">
        <v>3</v>
      </c>
      <c r="C106" t="s">
        <v>627</v>
      </c>
      <c r="D106">
        <v>10784</v>
      </c>
      <c r="E106">
        <v>7980</v>
      </c>
      <c r="F106">
        <v>464</v>
      </c>
      <c r="G106">
        <v>119</v>
      </c>
      <c r="H106">
        <v>400027</v>
      </c>
      <c r="I106">
        <v>60</v>
      </c>
      <c r="J106">
        <v>152408</v>
      </c>
      <c r="K106">
        <v>30</v>
      </c>
      <c r="L106">
        <v>2742</v>
      </c>
      <c r="M106">
        <v>9632</v>
      </c>
      <c r="N106">
        <f t="shared" si="20"/>
        <v>2024</v>
      </c>
      <c r="O106">
        <f t="shared" si="21"/>
        <v>10</v>
      </c>
      <c r="P106" t="s">
        <v>802</v>
      </c>
      <c r="Q106">
        <f>SUMIFS(三级流量源!F:F,三级流量源!R:R,"其他猜你喜欢",三级流量源!E:E,"品牌特秀",三级流量源!B:B,A106,三级流量源!A:A,C106)</f>
        <v>1306</v>
      </c>
      <c r="R106">
        <f>SUMIFS(三级流量源!M:M,三级流量源!R:R,"其他猜你喜欢",三级流量源!E:E,"品牌特秀",三级流量源!B:B,A106,三级流量源!A:A,C106)</f>
        <v>0</v>
      </c>
      <c r="S106" t="s">
        <v>817</v>
      </c>
    </row>
    <row r="107" spans="1:19" x14ac:dyDescent="0.3">
      <c r="A107" s="16">
        <v>45585</v>
      </c>
      <c r="B107" t="s">
        <v>2</v>
      </c>
      <c r="C107" t="s">
        <v>627</v>
      </c>
      <c r="D107">
        <v>17318</v>
      </c>
      <c r="E107">
        <v>10489</v>
      </c>
      <c r="F107">
        <v>428</v>
      </c>
      <c r="G107">
        <v>159</v>
      </c>
      <c r="H107">
        <v>324186</v>
      </c>
      <c r="I107">
        <v>42</v>
      </c>
      <c r="J107">
        <v>102558</v>
      </c>
      <c r="K107">
        <v>19</v>
      </c>
      <c r="L107">
        <v>1684</v>
      </c>
      <c r="M107">
        <v>14811</v>
      </c>
      <c r="N107">
        <f t="shared" si="20"/>
        <v>2024</v>
      </c>
      <c r="O107">
        <f t="shared" si="21"/>
        <v>10</v>
      </c>
      <c r="P107" t="s">
        <v>802</v>
      </c>
      <c r="Q107">
        <f>SUMIFS(三级流量源!F:F,三级流量源!R:R,"其他猜你喜欢",三级流量源!E:E,"品牌特秀",三级流量源!B:B,A107,三级流量源!A:A,C107)</f>
        <v>1306</v>
      </c>
      <c r="R107">
        <f>SUMIFS(三级流量源!M:M,三级流量源!R:R,"其他猜你喜欢",三级流量源!E:E,"品牌特秀",三级流量源!B:B,A107,三级流量源!A:A,C107)</f>
        <v>0</v>
      </c>
      <c r="S107" t="s">
        <v>817</v>
      </c>
    </row>
    <row r="108" spans="1:19" x14ac:dyDescent="0.3">
      <c r="A108" s="16">
        <v>45586</v>
      </c>
      <c r="B108" t="s">
        <v>3</v>
      </c>
      <c r="C108" t="s">
        <v>627</v>
      </c>
      <c r="D108">
        <v>11134</v>
      </c>
      <c r="E108">
        <v>8213</v>
      </c>
      <c r="F108">
        <v>1025</v>
      </c>
      <c r="G108">
        <v>92</v>
      </c>
      <c r="H108">
        <v>3477444.16</v>
      </c>
      <c r="I108">
        <v>607</v>
      </c>
      <c r="J108">
        <v>2956570.16</v>
      </c>
      <c r="K108">
        <v>557</v>
      </c>
      <c r="L108">
        <v>3199</v>
      </c>
      <c r="M108">
        <v>9454</v>
      </c>
      <c r="N108">
        <f t="shared" si="20"/>
        <v>2024</v>
      </c>
      <c r="O108">
        <f t="shared" si="21"/>
        <v>10</v>
      </c>
      <c r="P108" t="s">
        <v>802</v>
      </c>
      <c r="Q108">
        <f>SUMIFS(三级流量源!F:F,三级流量源!R:R,"其他猜你喜欢",三级流量源!E:E,"品牌特秀",三级流量源!B:B,A108,三级流量源!A:A,C108)</f>
        <v>1353</v>
      </c>
      <c r="R108">
        <f>SUMIFS(三级流量源!M:M,三级流量源!R:R,"其他猜你喜欢",三级流量源!E:E,"品牌特秀",三级流量源!B:B,A108,三级流量源!A:A,C108)</f>
        <v>8</v>
      </c>
      <c r="S108" t="s">
        <v>818</v>
      </c>
    </row>
    <row r="109" spans="1:19" x14ac:dyDescent="0.3">
      <c r="A109" s="16">
        <v>45586</v>
      </c>
      <c r="B109" t="s">
        <v>2</v>
      </c>
      <c r="C109" t="s">
        <v>627</v>
      </c>
      <c r="D109">
        <v>20241</v>
      </c>
      <c r="E109">
        <v>12944</v>
      </c>
      <c r="F109">
        <v>1219</v>
      </c>
      <c r="G109">
        <v>178</v>
      </c>
      <c r="H109">
        <v>2223179.12</v>
      </c>
      <c r="I109">
        <v>413</v>
      </c>
      <c r="J109">
        <v>1862068.12</v>
      </c>
      <c r="K109">
        <v>379</v>
      </c>
      <c r="L109">
        <v>2082</v>
      </c>
      <c r="M109">
        <v>17170</v>
      </c>
      <c r="N109">
        <f t="shared" si="20"/>
        <v>2024</v>
      </c>
      <c r="O109">
        <f t="shared" si="21"/>
        <v>10</v>
      </c>
      <c r="P109" t="s">
        <v>802</v>
      </c>
      <c r="Q109">
        <f>SUMIFS(三级流量源!F:F,三级流量源!R:R,"其他猜你喜欢",三级流量源!E:E,"品牌特秀",三级流量源!B:B,A109,三级流量源!A:A,C109)</f>
        <v>1353</v>
      </c>
      <c r="R109">
        <f>SUMIFS(三级流量源!M:M,三级流量源!R:R,"其他猜你喜欢",三级流量源!E:E,"品牌特秀",三级流量源!B:B,A109,三级流量源!A:A,C109)</f>
        <v>8</v>
      </c>
      <c r="S109" t="s">
        <v>818</v>
      </c>
    </row>
    <row r="110" spans="1:19" x14ac:dyDescent="0.3">
      <c r="A110" s="16">
        <v>45587</v>
      </c>
      <c r="B110" t="s">
        <v>3</v>
      </c>
      <c r="C110" t="s">
        <v>627</v>
      </c>
      <c r="D110">
        <v>12353</v>
      </c>
      <c r="E110">
        <v>9283</v>
      </c>
      <c r="F110">
        <v>836</v>
      </c>
      <c r="G110">
        <v>119</v>
      </c>
      <c r="H110">
        <v>1968732.17</v>
      </c>
      <c r="I110">
        <v>330</v>
      </c>
      <c r="J110">
        <v>1363283.23</v>
      </c>
      <c r="K110">
        <v>288</v>
      </c>
      <c r="L110">
        <v>2978</v>
      </c>
      <c r="M110">
        <v>9345</v>
      </c>
      <c r="N110">
        <f t="shared" si="20"/>
        <v>2024</v>
      </c>
      <c r="O110">
        <f t="shared" si="21"/>
        <v>10</v>
      </c>
      <c r="P110" t="s">
        <v>802</v>
      </c>
      <c r="Q110">
        <f>SUMIFS(三级流量源!F:F,三级流量源!R:R,"其他猜你喜欢",三级流量源!E:E,"品牌特秀",三级流量源!B:B,A110,三级流量源!A:A,C110)</f>
        <v>1365</v>
      </c>
      <c r="R110">
        <f>SUMIFS(三级流量源!M:M,三级流量源!R:R,"其他猜你喜欢",三级流量源!E:E,"品牌特秀",三级流量源!B:B,A110,三级流量源!A:A,C110)</f>
        <v>3</v>
      </c>
      <c r="S110" t="s">
        <v>818</v>
      </c>
    </row>
    <row r="111" spans="1:19" x14ac:dyDescent="0.3">
      <c r="A111" s="16">
        <v>45587</v>
      </c>
      <c r="B111" t="s">
        <v>2</v>
      </c>
      <c r="C111" t="s">
        <v>627</v>
      </c>
      <c r="D111">
        <v>20662</v>
      </c>
      <c r="E111">
        <v>12566</v>
      </c>
      <c r="F111">
        <v>843</v>
      </c>
      <c r="G111">
        <v>209</v>
      </c>
      <c r="H111">
        <v>1621793.89</v>
      </c>
      <c r="I111">
        <v>248</v>
      </c>
      <c r="J111">
        <v>1007865.39</v>
      </c>
      <c r="K111">
        <v>210</v>
      </c>
      <c r="L111">
        <v>1993</v>
      </c>
      <c r="M111">
        <v>17528</v>
      </c>
      <c r="N111">
        <f t="shared" si="20"/>
        <v>2024</v>
      </c>
      <c r="O111">
        <f t="shared" si="21"/>
        <v>10</v>
      </c>
      <c r="P111" t="s">
        <v>802</v>
      </c>
      <c r="Q111">
        <f>SUMIFS(三级流量源!F:F,三级流量源!R:R,"其他猜你喜欢",三级流量源!E:E,"品牌特秀",三级流量源!B:B,A111,三级流量源!A:A,C111)</f>
        <v>1365</v>
      </c>
      <c r="R111">
        <f>SUMIFS(三级流量源!M:M,三级流量源!R:R,"其他猜你喜欢",三级流量源!E:E,"品牌特秀",三级流量源!B:B,A111,三级流量源!A:A,C111)</f>
        <v>3</v>
      </c>
      <c r="S111" t="s">
        <v>818</v>
      </c>
    </row>
    <row r="112" spans="1:19" x14ac:dyDescent="0.3">
      <c r="A112" s="16">
        <v>45588</v>
      </c>
      <c r="B112" t="s">
        <v>3</v>
      </c>
      <c r="C112" t="s">
        <v>627</v>
      </c>
      <c r="D112">
        <v>11964</v>
      </c>
      <c r="E112">
        <v>8725</v>
      </c>
      <c r="F112">
        <v>626</v>
      </c>
      <c r="G112">
        <v>104</v>
      </c>
      <c r="H112">
        <v>1160083.5</v>
      </c>
      <c r="I112">
        <v>215</v>
      </c>
      <c r="J112">
        <v>946936</v>
      </c>
      <c r="K112">
        <v>193</v>
      </c>
      <c r="L112">
        <v>2630</v>
      </c>
      <c r="M112">
        <v>9232</v>
      </c>
      <c r="N112">
        <f t="shared" si="20"/>
        <v>2024</v>
      </c>
      <c r="O112">
        <f t="shared" si="21"/>
        <v>10</v>
      </c>
      <c r="P112" t="s">
        <v>802</v>
      </c>
      <c r="Q112">
        <f>SUMIFS(三级流量源!F:F,三级流量源!R:R,"其他猜你喜欢",三级流量源!E:E,"品牌特秀",三级流量源!B:B,A112,三级流量源!A:A,C112)</f>
        <v>1221</v>
      </c>
      <c r="R112">
        <f>SUMIFS(三级流量源!M:M,三级流量源!R:R,"其他猜你喜欢",三级流量源!E:E,"品牌特秀",三级流量源!B:B,A112,三级流量源!A:A,C112)</f>
        <v>1</v>
      </c>
      <c r="S112" t="s">
        <v>818</v>
      </c>
    </row>
    <row r="113" spans="1:19" x14ac:dyDescent="0.3">
      <c r="A113" s="16">
        <v>45588</v>
      </c>
      <c r="B113" t="s">
        <v>2</v>
      </c>
      <c r="C113" t="s">
        <v>627</v>
      </c>
      <c r="D113">
        <v>20856</v>
      </c>
      <c r="E113">
        <v>12824</v>
      </c>
      <c r="F113">
        <v>695</v>
      </c>
      <c r="G113">
        <v>206</v>
      </c>
      <c r="H113">
        <v>927140.29</v>
      </c>
      <c r="I113">
        <v>172</v>
      </c>
      <c r="J113">
        <v>684372.87</v>
      </c>
      <c r="K113">
        <v>143</v>
      </c>
      <c r="L113">
        <v>1891</v>
      </c>
      <c r="M113">
        <v>17744</v>
      </c>
      <c r="N113">
        <f t="shared" si="20"/>
        <v>2024</v>
      </c>
      <c r="O113">
        <f t="shared" si="21"/>
        <v>10</v>
      </c>
      <c r="P113" t="s">
        <v>802</v>
      </c>
      <c r="Q113">
        <f>SUMIFS(三级流量源!F:F,三级流量源!R:R,"其他猜你喜欢",三级流量源!E:E,"品牌特秀",三级流量源!B:B,A113,三级流量源!A:A,C113)</f>
        <v>1221</v>
      </c>
      <c r="R113">
        <f>SUMIFS(三级流量源!M:M,三级流量源!R:R,"其他猜你喜欢",三级流量源!E:E,"品牌特秀",三级流量源!B:B,A113,三级流量源!A:A,C113)</f>
        <v>1</v>
      </c>
      <c r="S113" t="s">
        <v>818</v>
      </c>
    </row>
    <row r="114" spans="1:19" x14ac:dyDescent="0.3">
      <c r="A114" s="16">
        <v>45589</v>
      </c>
      <c r="B114" t="s">
        <v>3</v>
      </c>
      <c r="C114" t="s">
        <v>627</v>
      </c>
      <c r="D114">
        <v>22955</v>
      </c>
      <c r="E114">
        <v>19474</v>
      </c>
      <c r="F114">
        <v>1042</v>
      </c>
      <c r="G114">
        <v>134</v>
      </c>
      <c r="H114">
        <v>2441150.96</v>
      </c>
      <c r="I114">
        <v>467</v>
      </c>
      <c r="J114">
        <v>2103895.44</v>
      </c>
      <c r="K114">
        <v>424</v>
      </c>
      <c r="L114">
        <v>3050</v>
      </c>
      <c r="M114">
        <v>11094</v>
      </c>
      <c r="N114">
        <f t="shared" si="20"/>
        <v>2024</v>
      </c>
      <c r="O114">
        <f t="shared" si="21"/>
        <v>10</v>
      </c>
      <c r="P114" t="s">
        <v>802</v>
      </c>
      <c r="Q114">
        <f>SUMIFS(三级流量源!F:F,三级流量源!R:R,"其他猜你喜欢",三级流量源!E:E,"品牌特秀",三级流量源!B:B,A114,三级流量源!A:A,C114)</f>
        <v>1481</v>
      </c>
      <c r="R114">
        <f>SUMIFS(三级流量源!M:M,三级流量源!R:R,"其他猜你喜欢",三级流量源!E:E,"品牌特秀",三级流量源!B:B,A114,三级流量源!A:A,C114)</f>
        <v>5</v>
      </c>
      <c r="S114" t="s">
        <v>818</v>
      </c>
    </row>
    <row r="115" spans="1:19" x14ac:dyDescent="0.3">
      <c r="A115" s="16">
        <v>45589</v>
      </c>
      <c r="B115" t="s">
        <v>2</v>
      </c>
      <c r="C115" t="s">
        <v>627</v>
      </c>
      <c r="D115">
        <v>24719</v>
      </c>
      <c r="E115">
        <v>16518</v>
      </c>
      <c r="F115">
        <v>1138</v>
      </c>
      <c r="G115">
        <v>217</v>
      </c>
      <c r="H115">
        <v>1683686.84</v>
      </c>
      <c r="I115">
        <v>306</v>
      </c>
      <c r="J115">
        <v>1364913.34</v>
      </c>
      <c r="K115">
        <v>276</v>
      </c>
      <c r="L115">
        <v>1979</v>
      </c>
      <c r="M115">
        <v>21364</v>
      </c>
      <c r="N115">
        <f t="shared" si="20"/>
        <v>2024</v>
      </c>
      <c r="O115">
        <f t="shared" si="21"/>
        <v>10</v>
      </c>
      <c r="P115" t="s">
        <v>802</v>
      </c>
      <c r="Q115">
        <f>SUMIFS(三级流量源!F:F,三级流量源!R:R,"其他猜你喜欢",三级流量源!E:E,"品牌特秀",三级流量源!B:B,A115,三级流量源!A:A,C115)</f>
        <v>1481</v>
      </c>
      <c r="R115">
        <f>SUMIFS(三级流量源!M:M,三级流量源!R:R,"其他猜你喜欢",三级流量源!E:E,"品牌特秀",三级流量源!B:B,A115,三级流量源!A:A,C115)</f>
        <v>5</v>
      </c>
      <c r="S115" t="s">
        <v>818</v>
      </c>
    </row>
    <row r="116" spans="1:19" x14ac:dyDescent="0.3">
      <c r="A116" s="16">
        <v>45590</v>
      </c>
      <c r="B116" t="s">
        <v>3</v>
      </c>
      <c r="C116" t="s">
        <v>627</v>
      </c>
      <c r="D116">
        <v>7678</v>
      </c>
      <c r="E116">
        <v>5013</v>
      </c>
      <c r="F116">
        <v>323</v>
      </c>
      <c r="G116">
        <v>100</v>
      </c>
      <c r="H116">
        <v>649380.5</v>
      </c>
      <c r="I116">
        <v>85</v>
      </c>
      <c r="J116">
        <v>497043.5</v>
      </c>
      <c r="K116">
        <v>68</v>
      </c>
      <c r="L116">
        <v>2428</v>
      </c>
      <c r="M116">
        <v>7895</v>
      </c>
      <c r="N116">
        <f t="shared" si="20"/>
        <v>2024</v>
      </c>
      <c r="O116">
        <f t="shared" si="21"/>
        <v>10</v>
      </c>
      <c r="P116" t="s">
        <v>802</v>
      </c>
      <c r="Q116">
        <f>SUMIFS(三级流量源!F:F,三级流量源!R:R,"其他猜你喜欢",三级流量源!E:E,"品牌特秀",三级流量源!B:B,A116,三级流量源!A:A,C116)</f>
        <v>1408</v>
      </c>
      <c r="R116">
        <f>SUMIFS(三级流量源!M:M,三级流量源!R:R,"其他猜你喜欢",三级流量源!E:E,"品牌特秀",三级流量源!B:B,A116,三级流量源!A:A,C116)</f>
        <v>1</v>
      </c>
      <c r="S116" t="s">
        <v>818</v>
      </c>
    </row>
    <row r="117" spans="1:19" x14ac:dyDescent="0.3">
      <c r="A117" s="16">
        <v>45590</v>
      </c>
      <c r="B117" t="s">
        <v>2</v>
      </c>
      <c r="C117" t="s">
        <v>627</v>
      </c>
      <c r="D117">
        <v>14359</v>
      </c>
      <c r="E117">
        <v>7490</v>
      </c>
      <c r="F117">
        <v>366</v>
      </c>
      <c r="G117">
        <v>138</v>
      </c>
      <c r="H117">
        <v>392421</v>
      </c>
      <c r="I117">
        <v>53</v>
      </c>
      <c r="J117">
        <v>255540</v>
      </c>
      <c r="K117">
        <v>39</v>
      </c>
      <c r="L117">
        <v>1442</v>
      </c>
      <c r="M117">
        <v>12625</v>
      </c>
      <c r="N117">
        <f t="shared" si="20"/>
        <v>2024</v>
      </c>
      <c r="O117">
        <f t="shared" si="21"/>
        <v>10</v>
      </c>
      <c r="P117" t="s">
        <v>802</v>
      </c>
      <c r="Q117">
        <f>SUMIFS(三级流量源!F:F,三级流量源!R:R,"其他猜你喜欢",三级流量源!E:E,"品牌特秀",三级流量源!B:B,A117,三级流量源!A:A,C117)</f>
        <v>1408</v>
      </c>
      <c r="R117">
        <f>SUMIFS(三级流量源!M:M,三级流量源!R:R,"其他猜你喜欢",三级流量源!E:E,"品牌特秀",三级流量源!B:B,A117,三级流量源!A:A,C117)</f>
        <v>1</v>
      </c>
      <c r="S117" t="s">
        <v>818</v>
      </c>
    </row>
    <row r="118" spans="1:19" x14ac:dyDescent="0.3">
      <c r="A118" s="16">
        <v>45591</v>
      </c>
      <c r="B118" t="s">
        <v>3</v>
      </c>
      <c r="C118" t="s">
        <v>627</v>
      </c>
      <c r="D118">
        <v>10094</v>
      </c>
      <c r="E118">
        <v>7363</v>
      </c>
      <c r="F118">
        <v>335</v>
      </c>
      <c r="G118">
        <v>118</v>
      </c>
      <c r="H118">
        <v>375863</v>
      </c>
      <c r="I118">
        <v>73</v>
      </c>
      <c r="J118">
        <v>309936</v>
      </c>
      <c r="K118">
        <v>59</v>
      </c>
      <c r="L118">
        <v>2567</v>
      </c>
      <c r="M118">
        <v>7818</v>
      </c>
      <c r="N118">
        <f t="shared" si="20"/>
        <v>2024</v>
      </c>
      <c r="O118">
        <f t="shared" si="21"/>
        <v>10</v>
      </c>
      <c r="P118" t="s">
        <v>802</v>
      </c>
      <c r="Q118">
        <f>SUMIFS(三级流量源!F:F,三级流量源!R:R,"其他猜你喜欢",三级流量源!E:E,"品牌特秀",三级流量源!B:B,A118,三级流量源!A:A,C118)</f>
        <v>1451</v>
      </c>
      <c r="R118">
        <f>SUMIFS(三级流量源!M:M,三级流量源!R:R,"其他猜你喜欢",三级流量源!E:E,"品牌特秀",三级流量源!B:B,A118,三级流量源!A:A,C118)</f>
        <v>1</v>
      </c>
      <c r="S118" t="s">
        <v>818</v>
      </c>
    </row>
    <row r="119" spans="1:19" x14ac:dyDescent="0.3">
      <c r="A119" s="16">
        <v>45591</v>
      </c>
      <c r="B119" t="s">
        <v>2</v>
      </c>
      <c r="C119" t="s">
        <v>627</v>
      </c>
      <c r="D119">
        <v>15736</v>
      </c>
      <c r="E119">
        <v>8467</v>
      </c>
      <c r="F119">
        <v>409</v>
      </c>
      <c r="G119">
        <v>173</v>
      </c>
      <c r="H119">
        <v>351563.5</v>
      </c>
      <c r="I119">
        <v>55</v>
      </c>
      <c r="J119">
        <v>193786.5</v>
      </c>
      <c r="K119">
        <v>41</v>
      </c>
      <c r="L119">
        <v>1682</v>
      </c>
      <c r="M119">
        <v>13224</v>
      </c>
      <c r="N119">
        <f t="shared" si="20"/>
        <v>2024</v>
      </c>
      <c r="O119">
        <f t="shared" si="21"/>
        <v>10</v>
      </c>
      <c r="P119" t="s">
        <v>802</v>
      </c>
      <c r="Q119">
        <f>SUMIFS(三级流量源!F:F,三级流量源!R:R,"其他猜你喜欢",三级流量源!E:E,"品牌特秀",三级流量源!B:B,A119,三级流量源!A:A,C119)</f>
        <v>1451</v>
      </c>
      <c r="R119">
        <f>SUMIFS(三级流量源!M:M,三级流量源!R:R,"其他猜你喜欢",三级流量源!E:E,"品牌特秀",三级流量源!B:B,A119,三级流量源!A:A,C119)</f>
        <v>1</v>
      </c>
      <c r="S119" t="s">
        <v>818</v>
      </c>
    </row>
    <row r="120" spans="1:19" x14ac:dyDescent="0.3">
      <c r="A120" s="16">
        <v>45592</v>
      </c>
      <c r="B120" t="s">
        <v>3</v>
      </c>
      <c r="C120" t="s">
        <v>627</v>
      </c>
      <c r="D120">
        <v>7347</v>
      </c>
      <c r="E120">
        <v>4945</v>
      </c>
      <c r="F120">
        <v>336</v>
      </c>
      <c r="G120">
        <v>114</v>
      </c>
      <c r="H120">
        <v>460037.03</v>
      </c>
      <c r="I120">
        <v>88</v>
      </c>
      <c r="J120">
        <v>344578.53</v>
      </c>
      <c r="K120">
        <v>69</v>
      </c>
      <c r="L120">
        <v>2644</v>
      </c>
      <c r="M120">
        <v>7489</v>
      </c>
      <c r="N120">
        <f t="shared" si="20"/>
        <v>2024</v>
      </c>
      <c r="O120">
        <f t="shared" si="21"/>
        <v>10</v>
      </c>
      <c r="P120" t="s">
        <v>802</v>
      </c>
      <c r="Q120">
        <f>SUMIFS(三级流量源!F:F,三级流量源!R:R,"其他猜你喜欢",三级流量源!E:E,"品牌特秀",三级流量源!B:B,A120,三级流量源!A:A,C120)</f>
        <v>1411</v>
      </c>
      <c r="R120">
        <f>SUMIFS(三级流量源!M:M,三级流量源!R:R,"其他猜你喜欢",三级流量源!E:E,"品牌特秀",三级流量源!B:B,A120,三级流量源!A:A,C120)</f>
        <v>2</v>
      </c>
      <c r="S120" t="s">
        <v>818</v>
      </c>
    </row>
    <row r="121" spans="1:19" x14ac:dyDescent="0.3">
      <c r="A121" s="16">
        <v>45592</v>
      </c>
      <c r="B121" t="s">
        <v>2</v>
      </c>
      <c r="C121" t="s">
        <v>627</v>
      </c>
      <c r="D121">
        <v>15092</v>
      </c>
      <c r="E121">
        <v>7873</v>
      </c>
      <c r="F121">
        <v>400</v>
      </c>
      <c r="G121">
        <v>185</v>
      </c>
      <c r="H121">
        <v>279607.43</v>
      </c>
      <c r="I121">
        <v>50</v>
      </c>
      <c r="J121">
        <v>188661.93</v>
      </c>
      <c r="K121">
        <v>38</v>
      </c>
      <c r="L121">
        <v>1655</v>
      </c>
      <c r="M121">
        <v>13344</v>
      </c>
      <c r="N121">
        <f t="shared" si="20"/>
        <v>2024</v>
      </c>
      <c r="O121">
        <f t="shared" si="21"/>
        <v>10</v>
      </c>
      <c r="P121" t="s">
        <v>802</v>
      </c>
      <c r="Q121">
        <f>SUMIFS(三级流量源!F:F,三级流量源!R:R,"其他猜你喜欢",三级流量源!E:E,"品牌特秀",三级流量源!B:B,A121,三级流量源!A:A,C121)</f>
        <v>1411</v>
      </c>
      <c r="R121">
        <f>SUMIFS(三级流量源!M:M,三级流量源!R:R,"其他猜你喜欢",三级流量源!E:E,"品牌特秀",三级流量源!B:B,A121,三级流量源!A:A,C121)</f>
        <v>2</v>
      </c>
      <c r="S121" t="s">
        <v>818</v>
      </c>
    </row>
    <row r="122" spans="1:19" x14ac:dyDescent="0.3">
      <c r="A122" s="16">
        <v>45593</v>
      </c>
      <c r="B122" t="s">
        <v>3</v>
      </c>
      <c r="C122" t="s">
        <v>627</v>
      </c>
      <c r="D122">
        <v>17561</v>
      </c>
      <c r="E122">
        <v>14305</v>
      </c>
      <c r="F122">
        <v>360</v>
      </c>
      <c r="G122">
        <v>126</v>
      </c>
      <c r="H122">
        <v>316492.58</v>
      </c>
      <c r="I122">
        <v>62</v>
      </c>
      <c r="J122">
        <v>237449.08</v>
      </c>
      <c r="K122">
        <v>43</v>
      </c>
      <c r="L122">
        <v>2644</v>
      </c>
      <c r="M122">
        <v>9040</v>
      </c>
      <c r="N122">
        <f t="shared" si="20"/>
        <v>2024</v>
      </c>
      <c r="O122">
        <f t="shared" si="21"/>
        <v>10</v>
      </c>
      <c r="P122" t="s">
        <v>802</v>
      </c>
      <c r="Q122">
        <f>SUMIFS(三级流量源!F:F,三级流量源!R:R,"其他猜你喜欢",三级流量源!E:E,"品牌特秀",三级流量源!B:B,A122,三级流量源!A:A,C122)</f>
        <v>1342</v>
      </c>
      <c r="R122">
        <f>SUMIFS(三级流量源!M:M,三级流量源!R:R,"其他猜你喜欢",三级流量源!E:E,"品牌特秀",三级流量源!B:B,A122,三级流量源!A:A,C122)</f>
        <v>2</v>
      </c>
      <c r="S122" t="s">
        <v>818</v>
      </c>
    </row>
    <row r="123" spans="1:19" x14ac:dyDescent="0.3">
      <c r="A123" s="16">
        <v>45593</v>
      </c>
      <c r="B123" t="s">
        <v>2</v>
      </c>
      <c r="C123" t="s">
        <v>627</v>
      </c>
      <c r="D123">
        <v>19930</v>
      </c>
      <c r="E123">
        <v>12202</v>
      </c>
      <c r="F123">
        <v>411</v>
      </c>
      <c r="G123">
        <v>193</v>
      </c>
      <c r="H123">
        <v>249911</v>
      </c>
      <c r="I123">
        <v>38</v>
      </c>
      <c r="J123">
        <v>91750.5</v>
      </c>
      <c r="K123">
        <v>18</v>
      </c>
      <c r="L123">
        <v>1807</v>
      </c>
      <c r="M123">
        <v>16630</v>
      </c>
      <c r="N123">
        <f t="shared" si="20"/>
        <v>2024</v>
      </c>
      <c r="O123">
        <f t="shared" si="21"/>
        <v>10</v>
      </c>
      <c r="P123" t="s">
        <v>802</v>
      </c>
      <c r="Q123">
        <f>SUMIFS(三级流量源!F:F,三级流量源!R:R,"其他猜你喜欢",三级流量源!E:E,"品牌特秀",三级流量源!B:B,A123,三级流量源!A:A,C123)</f>
        <v>1342</v>
      </c>
      <c r="R123">
        <f>SUMIFS(三级流量源!M:M,三级流量源!R:R,"其他猜你喜欢",三级流量源!E:E,"品牌特秀",三级流量源!B:B,A123,三级流量源!A:A,C123)</f>
        <v>2</v>
      </c>
      <c r="S123" t="s">
        <v>818</v>
      </c>
    </row>
    <row r="124" spans="1:19" x14ac:dyDescent="0.3">
      <c r="A124" s="16">
        <v>45594</v>
      </c>
      <c r="B124" t="s">
        <v>3</v>
      </c>
      <c r="C124" t="s">
        <v>627</v>
      </c>
      <c r="D124">
        <v>9032</v>
      </c>
      <c r="E124">
        <v>6087</v>
      </c>
      <c r="F124">
        <v>330</v>
      </c>
      <c r="G124">
        <v>123</v>
      </c>
      <c r="H124">
        <v>326322</v>
      </c>
      <c r="I124">
        <v>60</v>
      </c>
      <c r="J124">
        <v>253793</v>
      </c>
      <c r="K124">
        <v>50</v>
      </c>
      <c r="L124">
        <v>2503</v>
      </c>
      <c r="M124">
        <v>9145</v>
      </c>
      <c r="N124">
        <f t="shared" si="20"/>
        <v>2024</v>
      </c>
      <c r="O124">
        <f t="shared" si="21"/>
        <v>10</v>
      </c>
      <c r="P124" t="s">
        <v>802</v>
      </c>
      <c r="Q124">
        <f>SUMIFS(三级流量源!F:F,三级流量源!R:R,"其他猜你喜欢",三级流量源!E:E,"品牌特秀",三级流量源!B:B,A124,三级流量源!A:A,C124)</f>
        <v>1294</v>
      </c>
      <c r="R124">
        <f>SUMIFS(三级流量源!M:M,三级流量源!R:R,"其他猜你喜欢",三级流量源!E:E,"品牌特秀",三级流量源!B:B,A124,三级流量源!A:A,C124)</f>
        <v>1</v>
      </c>
      <c r="S124" t="s">
        <v>818</v>
      </c>
    </row>
    <row r="125" spans="1:19" x14ac:dyDescent="0.3">
      <c r="A125" s="16">
        <v>45594</v>
      </c>
      <c r="B125" t="s">
        <v>2</v>
      </c>
      <c r="C125" t="s">
        <v>627</v>
      </c>
      <c r="D125">
        <v>15797</v>
      </c>
      <c r="E125">
        <v>8826</v>
      </c>
      <c r="F125">
        <v>357</v>
      </c>
      <c r="G125">
        <v>172</v>
      </c>
      <c r="H125">
        <v>252562</v>
      </c>
      <c r="I125">
        <v>38</v>
      </c>
      <c r="J125">
        <v>119342</v>
      </c>
      <c r="K125">
        <v>26</v>
      </c>
      <c r="L125">
        <v>1562</v>
      </c>
      <c r="M125">
        <v>14176</v>
      </c>
      <c r="N125">
        <f t="shared" si="20"/>
        <v>2024</v>
      </c>
      <c r="O125">
        <f t="shared" si="21"/>
        <v>10</v>
      </c>
      <c r="P125" t="s">
        <v>802</v>
      </c>
      <c r="Q125">
        <f>SUMIFS(三级流量源!F:F,三级流量源!R:R,"其他猜你喜欢",三级流量源!E:E,"品牌特秀",三级流量源!B:B,A125,三级流量源!A:A,C125)</f>
        <v>1294</v>
      </c>
      <c r="R125">
        <f>SUMIFS(三级流量源!M:M,三级流量源!R:R,"其他猜你喜欢",三级流量源!E:E,"品牌特秀",三级流量源!B:B,A125,三级流量源!A:A,C125)</f>
        <v>1</v>
      </c>
      <c r="S125" t="s">
        <v>818</v>
      </c>
    </row>
    <row r="126" spans="1:19" x14ac:dyDescent="0.3">
      <c r="A126" s="16">
        <v>45595</v>
      </c>
      <c r="B126" t="s">
        <v>3</v>
      </c>
      <c r="C126" t="s">
        <v>627</v>
      </c>
      <c r="D126">
        <v>17954</v>
      </c>
      <c r="E126">
        <v>14365</v>
      </c>
      <c r="F126">
        <v>363</v>
      </c>
      <c r="G126">
        <v>111</v>
      </c>
      <c r="H126">
        <v>319247.5</v>
      </c>
      <c r="I126">
        <v>55</v>
      </c>
      <c r="J126">
        <v>192883.5</v>
      </c>
      <c r="K126">
        <v>37</v>
      </c>
      <c r="L126">
        <v>2587</v>
      </c>
      <c r="M126">
        <v>10389</v>
      </c>
      <c r="N126">
        <f t="shared" si="20"/>
        <v>2024</v>
      </c>
      <c r="O126">
        <f t="shared" si="21"/>
        <v>10</v>
      </c>
      <c r="P126" t="s">
        <v>802</v>
      </c>
      <c r="Q126">
        <f>SUMIFS(三级流量源!F:F,三级流量源!R:R,"其他猜你喜欢",三级流量源!E:E,"品牌特秀",三级流量源!B:B,A126,三级流量源!A:A,C126)</f>
        <v>1374</v>
      </c>
      <c r="R126">
        <f>SUMIFS(三级流量源!M:M,三级流量源!R:R,"其他猜你喜欢",三级流量源!E:E,"品牌特秀",三级流量源!B:B,A126,三级流量源!A:A,C126)</f>
        <v>0</v>
      </c>
      <c r="S126" t="s">
        <v>818</v>
      </c>
    </row>
    <row r="127" spans="1:19" x14ac:dyDescent="0.3">
      <c r="A127" s="16">
        <v>45595</v>
      </c>
      <c r="B127" t="s">
        <v>2</v>
      </c>
      <c r="C127" t="s">
        <v>627</v>
      </c>
      <c r="D127">
        <v>18403</v>
      </c>
      <c r="E127">
        <v>10931</v>
      </c>
      <c r="F127">
        <v>420</v>
      </c>
      <c r="G127">
        <v>166</v>
      </c>
      <c r="H127">
        <v>222960</v>
      </c>
      <c r="I127">
        <v>43</v>
      </c>
      <c r="J127">
        <v>113452.5</v>
      </c>
      <c r="K127">
        <v>25</v>
      </c>
      <c r="L127">
        <v>1750</v>
      </c>
      <c r="M127">
        <v>15358</v>
      </c>
      <c r="N127">
        <f t="shared" si="20"/>
        <v>2024</v>
      </c>
      <c r="O127">
        <f t="shared" si="21"/>
        <v>10</v>
      </c>
      <c r="P127" t="s">
        <v>802</v>
      </c>
      <c r="Q127">
        <f>SUMIFS(三级流量源!F:F,三级流量源!R:R,"其他猜你喜欢",三级流量源!E:E,"品牌特秀",三级流量源!B:B,A127,三级流量源!A:A,C127)</f>
        <v>1374</v>
      </c>
      <c r="R127">
        <f>SUMIFS(三级流量源!M:M,三级流量源!R:R,"其他猜你喜欢",三级流量源!E:E,"品牌特秀",三级流量源!B:B,A127,三级流量源!A:A,C127)</f>
        <v>0</v>
      </c>
      <c r="S127" t="s">
        <v>818</v>
      </c>
    </row>
    <row r="128" spans="1:19" x14ac:dyDescent="0.3">
      <c r="A128" s="16">
        <v>45596</v>
      </c>
      <c r="B128" t="s">
        <v>3</v>
      </c>
      <c r="C128" t="s">
        <v>627</v>
      </c>
      <c r="D128">
        <v>13267</v>
      </c>
      <c r="E128">
        <v>9396</v>
      </c>
      <c r="F128">
        <v>677</v>
      </c>
      <c r="G128">
        <v>125</v>
      </c>
      <c r="H128">
        <v>1691386.42</v>
      </c>
      <c r="I128">
        <v>356</v>
      </c>
      <c r="J128">
        <v>1471755.59</v>
      </c>
      <c r="K128">
        <v>329</v>
      </c>
      <c r="L128">
        <v>3247</v>
      </c>
      <c r="M128">
        <v>11480</v>
      </c>
      <c r="N128">
        <f t="shared" si="20"/>
        <v>2024</v>
      </c>
      <c r="O128">
        <f t="shared" si="21"/>
        <v>10</v>
      </c>
      <c r="P128" t="s">
        <v>802</v>
      </c>
      <c r="Q128">
        <f>SUMIFS(三级流量源!F:F,三级流量源!R:R,"其他猜你喜欢",三级流量源!E:E,"品牌特秀",三级流量源!B:B,A128,三级流量源!A:A,C128)</f>
        <v>1529</v>
      </c>
      <c r="R128">
        <f>SUMIFS(三级流量源!M:M,三级流量源!R:R,"其他猜你喜欢",三级流量源!E:E,"品牌特秀",三级流量源!B:B,A128,三级流量源!A:A,C128)</f>
        <v>7</v>
      </c>
      <c r="S128" t="s">
        <v>819</v>
      </c>
    </row>
    <row r="129" spans="1:19" x14ac:dyDescent="0.3">
      <c r="A129" s="16">
        <v>45596</v>
      </c>
      <c r="B129" t="s">
        <v>2</v>
      </c>
      <c r="C129" t="s">
        <v>627</v>
      </c>
      <c r="D129">
        <v>18811</v>
      </c>
      <c r="E129">
        <v>11150</v>
      </c>
      <c r="F129">
        <v>825</v>
      </c>
      <c r="G129">
        <v>184</v>
      </c>
      <c r="H129">
        <v>1169593</v>
      </c>
      <c r="I129">
        <v>267</v>
      </c>
      <c r="J129">
        <v>1001777.5</v>
      </c>
      <c r="K129">
        <v>250</v>
      </c>
      <c r="L129">
        <v>2070</v>
      </c>
      <c r="M129">
        <v>15477</v>
      </c>
      <c r="N129">
        <f t="shared" si="20"/>
        <v>2024</v>
      </c>
      <c r="O129">
        <f t="shared" si="21"/>
        <v>10</v>
      </c>
      <c r="P129" t="s">
        <v>802</v>
      </c>
      <c r="Q129">
        <f>SUMIFS(三级流量源!F:F,三级流量源!R:R,"其他猜你喜欢",三级流量源!E:E,"品牌特秀",三级流量源!B:B,A129,三级流量源!A:A,C129)</f>
        <v>1529</v>
      </c>
      <c r="R129">
        <f>SUMIFS(三级流量源!M:M,三级流量源!R:R,"其他猜你喜欢",三级流量源!E:E,"品牌特秀",三级流量源!B:B,A129,三级流量源!A:A,C129)</f>
        <v>7</v>
      </c>
      <c r="S129" t="s">
        <v>819</v>
      </c>
    </row>
    <row r="130" spans="1:19" x14ac:dyDescent="0.3">
      <c r="A130" s="16">
        <v>45597</v>
      </c>
      <c r="B130" t="s">
        <v>3</v>
      </c>
      <c r="C130" t="s">
        <v>627</v>
      </c>
      <c r="D130">
        <v>13777</v>
      </c>
      <c r="E130">
        <v>9631</v>
      </c>
      <c r="F130">
        <v>526</v>
      </c>
      <c r="G130">
        <v>150</v>
      </c>
      <c r="H130">
        <v>903866.2</v>
      </c>
      <c r="I130">
        <v>179</v>
      </c>
      <c r="J130">
        <v>718683.2</v>
      </c>
      <c r="K130">
        <v>154</v>
      </c>
      <c r="L130">
        <v>2916</v>
      </c>
      <c r="M130">
        <v>11339</v>
      </c>
      <c r="N130">
        <f t="shared" si="20"/>
        <v>2024</v>
      </c>
      <c r="O130">
        <f t="shared" si="21"/>
        <v>11</v>
      </c>
      <c r="P130" t="s">
        <v>802</v>
      </c>
      <c r="Q130">
        <f>SUMIFS(三级流量源!F:F,三级流量源!R:R,"其他猜你喜欢",三级流量源!E:E,"品牌特秀",三级流量源!B:B,A130,三级流量源!A:A,C130)</f>
        <v>1259</v>
      </c>
      <c r="R130">
        <f>SUMIFS(三级流量源!M:M,三级流量源!R:R,"其他猜你喜欢",三级流量源!E:E,"品牌特秀",三级流量源!B:B,A130,三级流量源!A:A,C130)</f>
        <v>3</v>
      </c>
      <c r="S130" t="s">
        <v>819</v>
      </c>
    </row>
    <row r="131" spans="1:19" x14ac:dyDescent="0.3">
      <c r="A131" s="16">
        <v>45597</v>
      </c>
      <c r="B131" t="s">
        <v>2</v>
      </c>
      <c r="C131" t="s">
        <v>627</v>
      </c>
      <c r="D131">
        <v>19622</v>
      </c>
      <c r="E131">
        <v>11643</v>
      </c>
      <c r="F131">
        <v>724</v>
      </c>
      <c r="G131">
        <v>202</v>
      </c>
      <c r="H131">
        <v>719815.24</v>
      </c>
      <c r="I131">
        <v>153</v>
      </c>
      <c r="J131">
        <v>601067.87</v>
      </c>
      <c r="K131">
        <v>139</v>
      </c>
      <c r="L131">
        <v>2220</v>
      </c>
      <c r="M131">
        <v>16678</v>
      </c>
      <c r="N131">
        <f t="shared" si="20"/>
        <v>2024</v>
      </c>
      <c r="O131">
        <f t="shared" si="21"/>
        <v>11</v>
      </c>
      <c r="P131" t="s">
        <v>802</v>
      </c>
      <c r="Q131">
        <f>SUMIFS(三级流量源!F:F,三级流量源!R:R,"其他猜你喜欢",三级流量源!E:E,"品牌特秀",三级流量源!B:B,A131,三级流量源!A:A,C131)</f>
        <v>1259</v>
      </c>
      <c r="R131">
        <f>SUMIFS(三级流量源!M:M,三级流量源!R:R,"其他猜你喜欢",三级流量源!E:E,"品牌特秀",三级流量源!B:B,A131,三级流量源!A:A,C131)</f>
        <v>3</v>
      </c>
      <c r="S131" t="s">
        <v>819</v>
      </c>
    </row>
    <row r="132" spans="1:19" x14ac:dyDescent="0.3">
      <c r="A132" s="16">
        <v>45598</v>
      </c>
      <c r="B132" t="s">
        <v>3</v>
      </c>
      <c r="C132" t="s">
        <v>627</v>
      </c>
      <c r="D132">
        <v>15049</v>
      </c>
      <c r="E132">
        <v>10336</v>
      </c>
      <c r="F132">
        <v>504</v>
      </c>
      <c r="G132">
        <v>143</v>
      </c>
      <c r="H132">
        <v>859754.31</v>
      </c>
      <c r="I132">
        <v>176</v>
      </c>
      <c r="J132">
        <v>680902.31</v>
      </c>
      <c r="K132">
        <v>156</v>
      </c>
      <c r="L132">
        <v>2362</v>
      </c>
      <c r="M132">
        <v>11214</v>
      </c>
      <c r="N132">
        <f t="shared" si="20"/>
        <v>2024</v>
      </c>
      <c r="O132">
        <f t="shared" si="21"/>
        <v>11</v>
      </c>
      <c r="P132" t="s">
        <v>802</v>
      </c>
      <c r="Q132">
        <f>SUMIFS(三级流量源!F:F,三级流量源!R:R,"其他猜你喜欢",三级流量源!E:E,"品牌特秀",三级流量源!B:B,A132,三级流量源!A:A,C132)</f>
        <v>801</v>
      </c>
      <c r="R132">
        <f>SUMIFS(三级流量源!M:M,三级流量源!R:R,"其他猜你喜欢",三级流量源!E:E,"品牌特秀",三级流量源!B:B,A132,三级流量源!A:A,C132)</f>
        <v>4</v>
      </c>
      <c r="S132" t="s">
        <v>819</v>
      </c>
    </row>
    <row r="133" spans="1:19" x14ac:dyDescent="0.3">
      <c r="A133" s="16">
        <v>45598</v>
      </c>
      <c r="B133" t="s">
        <v>2</v>
      </c>
      <c r="C133" t="s">
        <v>627</v>
      </c>
      <c r="D133">
        <v>19023</v>
      </c>
      <c r="E133">
        <v>11215</v>
      </c>
      <c r="F133">
        <v>566</v>
      </c>
      <c r="G133">
        <v>202</v>
      </c>
      <c r="H133">
        <v>527804.18999999994</v>
      </c>
      <c r="I133">
        <v>118</v>
      </c>
      <c r="J133">
        <v>436000.19</v>
      </c>
      <c r="K133">
        <v>110</v>
      </c>
      <c r="L133">
        <v>2772</v>
      </c>
      <c r="M133">
        <v>16309</v>
      </c>
      <c r="N133">
        <f t="shared" si="20"/>
        <v>2024</v>
      </c>
      <c r="O133">
        <f t="shared" si="21"/>
        <v>11</v>
      </c>
      <c r="P133" t="s">
        <v>802</v>
      </c>
      <c r="Q133">
        <f>SUMIFS(三级流量源!F:F,三级流量源!R:R,"其他猜你喜欢",三级流量源!E:E,"品牌特秀",三级流量源!B:B,A133,三级流量源!A:A,C133)</f>
        <v>801</v>
      </c>
      <c r="R133">
        <f>SUMIFS(三级流量源!M:M,三级流量源!R:R,"其他猜你喜欢",三级流量源!E:E,"品牌特秀",三级流量源!B:B,A133,三级流量源!A:A,C133)</f>
        <v>4</v>
      </c>
      <c r="S133" t="s">
        <v>819</v>
      </c>
    </row>
    <row r="134" spans="1:19" x14ac:dyDescent="0.3">
      <c r="A134" s="16">
        <v>45599</v>
      </c>
      <c r="B134" t="s">
        <v>3</v>
      </c>
      <c r="C134" t="s">
        <v>627</v>
      </c>
      <c r="D134">
        <v>13892</v>
      </c>
      <c r="E134">
        <v>9315</v>
      </c>
      <c r="F134">
        <v>625</v>
      </c>
      <c r="G134">
        <v>114</v>
      </c>
      <c r="H134">
        <v>1305260.98</v>
      </c>
      <c r="I134">
        <v>247</v>
      </c>
      <c r="J134">
        <v>1041994.48</v>
      </c>
      <c r="K134">
        <v>224</v>
      </c>
      <c r="L134">
        <v>2480</v>
      </c>
      <c r="M134">
        <v>10403</v>
      </c>
      <c r="N134">
        <f t="shared" si="20"/>
        <v>2024</v>
      </c>
      <c r="O134">
        <f t="shared" si="21"/>
        <v>11</v>
      </c>
      <c r="P134" t="s">
        <v>802</v>
      </c>
      <c r="Q134">
        <f>SUMIFS(三级流量源!F:F,三级流量源!R:R,"其他猜你喜欢",三级流量源!E:E,"品牌特秀",三级流量源!B:B,A134,三级流量源!A:A,C134)</f>
        <v>969</v>
      </c>
      <c r="R134">
        <f>SUMIFS(三级流量源!M:M,三级流量源!R:R,"其他猜你喜欢",三级流量源!E:E,"品牌特秀",三级流量源!B:B,A134,三级流量源!A:A,C134)</f>
        <v>2</v>
      </c>
      <c r="S134" t="s">
        <v>819</v>
      </c>
    </row>
    <row r="135" spans="1:19" x14ac:dyDescent="0.3">
      <c r="A135" s="16">
        <v>45599</v>
      </c>
      <c r="B135" t="s">
        <v>2</v>
      </c>
      <c r="C135" t="s">
        <v>627</v>
      </c>
      <c r="D135">
        <v>20489</v>
      </c>
      <c r="E135">
        <v>11889</v>
      </c>
      <c r="F135">
        <v>688</v>
      </c>
      <c r="G135">
        <v>196</v>
      </c>
      <c r="H135">
        <v>823786.29</v>
      </c>
      <c r="I135">
        <v>162</v>
      </c>
      <c r="J135">
        <v>630940.79</v>
      </c>
      <c r="K135">
        <v>145</v>
      </c>
      <c r="L135">
        <v>2702</v>
      </c>
      <c r="M135">
        <v>17581</v>
      </c>
      <c r="N135">
        <f t="shared" si="20"/>
        <v>2024</v>
      </c>
      <c r="O135">
        <f t="shared" si="21"/>
        <v>11</v>
      </c>
      <c r="P135" t="s">
        <v>802</v>
      </c>
      <c r="Q135">
        <f>SUMIFS(三级流量源!F:F,三级流量源!R:R,"其他猜你喜欢",三级流量源!E:E,"品牌特秀",三级流量源!B:B,A135,三级流量源!A:A,C135)</f>
        <v>969</v>
      </c>
      <c r="R135">
        <f>SUMIFS(三级流量源!M:M,三级流量源!R:R,"其他猜你喜欢",三级流量源!E:E,"品牌特秀",三级流量源!B:B,A135,三级流量源!A:A,C135)</f>
        <v>2</v>
      </c>
      <c r="S135" t="s">
        <v>819</v>
      </c>
    </row>
    <row r="136" spans="1:19" x14ac:dyDescent="0.3">
      <c r="A136" s="16">
        <v>45600</v>
      </c>
      <c r="B136" t="s">
        <v>3</v>
      </c>
      <c r="C136" t="s">
        <v>627</v>
      </c>
      <c r="D136">
        <v>9386</v>
      </c>
      <c r="E136">
        <v>5626</v>
      </c>
      <c r="F136">
        <v>313</v>
      </c>
      <c r="G136">
        <v>108</v>
      </c>
      <c r="H136">
        <v>348547.5</v>
      </c>
      <c r="I136">
        <v>69</v>
      </c>
      <c r="J136">
        <v>218470</v>
      </c>
      <c r="K136">
        <v>52</v>
      </c>
      <c r="L136">
        <v>1858</v>
      </c>
      <c r="M136">
        <v>9401</v>
      </c>
      <c r="N136">
        <f t="shared" si="20"/>
        <v>2024</v>
      </c>
      <c r="O136">
        <f t="shared" si="21"/>
        <v>11</v>
      </c>
      <c r="P136" t="s">
        <v>802</v>
      </c>
      <c r="Q136">
        <f>SUMIFS(三级流量源!F:F,三级流量源!R:R,"其他猜你喜欢",三级流量源!E:E,"品牌特秀",三级流量源!B:B,A136,三级流量源!A:A,C136)</f>
        <v>628</v>
      </c>
      <c r="R136">
        <f>SUMIFS(三级流量源!M:M,三级流量源!R:R,"其他猜你喜欢",三级流量源!E:E,"品牌特秀",三级流量源!B:B,A136,三级流量源!A:A,C136)</f>
        <v>0</v>
      </c>
      <c r="S136" t="s">
        <v>819</v>
      </c>
    </row>
    <row r="137" spans="1:19" x14ac:dyDescent="0.3">
      <c r="A137" s="16">
        <v>45600</v>
      </c>
      <c r="B137" t="s">
        <v>2</v>
      </c>
      <c r="C137" t="s">
        <v>627</v>
      </c>
      <c r="D137">
        <v>15120</v>
      </c>
      <c r="E137">
        <v>8506</v>
      </c>
      <c r="F137">
        <v>327</v>
      </c>
      <c r="G137">
        <v>169</v>
      </c>
      <c r="H137">
        <v>242101</v>
      </c>
      <c r="I137">
        <v>45</v>
      </c>
      <c r="J137">
        <v>102104</v>
      </c>
      <c r="K137">
        <v>28</v>
      </c>
      <c r="L137">
        <v>2349</v>
      </c>
      <c r="M137">
        <v>13464</v>
      </c>
      <c r="N137">
        <f t="shared" si="20"/>
        <v>2024</v>
      </c>
      <c r="O137">
        <f t="shared" si="21"/>
        <v>11</v>
      </c>
      <c r="P137" t="s">
        <v>802</v>
      </c>
      <c r="Q137">
        <f>SUMIFS(三级流量源!F:F,三级流量源!R:R,"其他猜你喜欢",三级流量源!E:E,"品牌特秀",三级流量源!B:B,A137,三级流量源!A:A,C137)</f>
        <v>628</v>
      </c>
      <c r="R137">
        <f>SUMIFS(三级流量源!M:M,三级流量源!R:R,"其他猜你喜欢",三级流量源!E:E,"品牌特秀",三级流量源!B:B,A137,三级流量源!A:A,C137)</f>
        <v>0</v>
      </c>
      <c r="S137" t="s">
        <v>819</v>
      </c>
    </row>
    <row r="138" spans="1:19" x14ac:dyDescent="0.3">
      <c r="A138" s="16">
        <v>45601</v>
      </c>
      <c r="B138" t="s">
        <v>3</v>
      </c>
      <c r="C138" t="s">
        <v>627</v>
      </c>
      <c r="D138">
        <v>9371</v>
      </c>
      <c r="E138">
        <v>6164</v>
      </c>
      <c r="F138">
        <v>344</v>
      </c>
      <c r="G138">
        <v>123</v>
      </c>
      <c r="H138">
        <v>410886.5</v>
      </c>
      <c r="I138">
        <v>74</v>
      </c>
      <c r="J138">
        <v>279598</v>
      </c>
      <c r="K138">
        <v>55</v>
      </c>
      <c r="L138">
        <v>2491</v>
      </c>
      <c r="M138">
        <v>9486</v>
      </c>
      <c r="N138">
        <f t="shared" si="20"/>
        <v>2024</v>
      </c>
      <c r="O138">
        <f t="shared" si="21"/>
        <v>11</v>
      </c>
      <c r="P138" t="s">
        <v>802</v>
      </c>
      <c r="Q138">
        <f>SUMIFS(三级流量源!F:F,三级流量源!R:R,"其他猜你喜欢",三级流量源!E:E,"品牌特秀",三级流量源!B:B,A138,三级流量源!A:A,C138)</f>
        <v>1214</v>
      </c>
      <c r="R138">
        <f>SUMIFS(三级流量源!M:M,三级流量源!R:R,"其他猜你喜欢",三级流量源!E:E,"品牌特秀",三级流量源!B:B,A138,三级流量源!A:A,C138)</f>
        <v>0</v>
      </c>
      <c r="S138" t="s">
        <v>819</v>
      </c>
    </row>
    <row r="139" spans="1:19" x14ac:dyDescent="0.3">
      <c r="A139" s="16">
        <v>45601</v>
      </c>
      <c r="B139" t="s">
        <v>2</v>
      </c>
      <c r="C139" t="s">
        <v>627</v>
      </c>
      <c r="D139">
        <v>14044</v>
      </c>
      <c r="E139">
        <v>7640</v>
      </c>
      <c r="F139">
        <v>316</v>
      </c>
      <c r="G139">
        <v>156</v>
      </c>
      <c r="H139">
        <v>219263</v>
      </c>
      <c r="I139">
        <v>38</v>
      </c>
      <c r="J139">
        <v>120709.5</v>
      </c>
      <c r="K139">
        <v>25</v>
      </c>
      <c r="L139">
        <v>1976</v>
      </c>
      <c r="M139">
        <v>12060</v>
      </c>
      <c r="N139">
        <f t="shared" si="20"/>
        <v>2024</v>
      </c>
      <c r="O139">
        <f t="shared" si="21"/>
        <v>11</v>
      </c>
      <c r="P139" t="s">
        <v>802</v>
      </c>
      <c r="Q139">
        <f>SUMIFS(三级流量源!F:F,三级流量源!R:R,"其他猜你喜欢",三级流量源!E:E,"品牌特秀",三级流量源!B:B,A139,三级流量源!A:A,C139)</f>
        <v>1214</v>
      </c>
      <c r="R139">
        <f>SUMIFS(三级流量源!M:M,三级流量源!R:R,"其他猜你喜欢",三级流量源!E:E,"品牌特秀",三级流量源!B:B,A139,三级流量源!A:A,C139)</f>
        <v>0</v>
      </c>
      <c r="S139" t="s">
        <v>819</v>
      </c>
    </row>
    <row r="140" spans="1:19" x14ac:dyDescent="0.3">
      <c r="A140" s="16">
        <v>45602</v>
      </c>
      <c r="B140" t="s">
        <v>3</v>
      </c>
      <c r="C140" t="s">
        <v>627</v>
      </c>
      <c r="D140">
        <v>15482</v>
      </c>
      <c r="E140">
        <v>11833</v>
      </c>
      <c r="F140">
        <v>323</v>
      </c>
      <c r="G140">
        <v>121</v>
      </c>
      <c r="H140">
        <v>325392</v>
      </c>
      <c r="I140">
        <v>63</v>
      </c>
      <c r="J140">
        <v>218907</v>
      </c>
      <c r="K140">
        <v>42</v>
      </c>
      <c r="L140">
        <v>2353</v>
      </c>
      <c r="M140">
        <v>9264</v>
      </c>
      <c r="N140">
        <f t="shared" si="20"/>
        <v>2024</v>
      </c>
      <c r="O140">
        <f t="shared" si="21"/>
        <v>11</v>
      </c>
      <c r="P140" t="s">
        <v>802</v>
      </c>
      <c r="Q140">
        <f>SUMIFS(三级流量源!F:F,三级流量源!R:R,"其他猜你喜欢",三级流量源!E:E,"品牌特秀",三级流量源!B:B,A140,三级流量源!A:A,C140)</f>
        <v>1202</v>
      </c>
      <c r="R140">
        <f>SUMIFS(三级流量源!M:M,三级流量源!R:R,"其他猜你喜欢",三级流量源!E:E,"品牌特秀",三级流量源!B:B,A140,三级流量源!A:A,C140)</f>
        <v>2</v>
      </c>
      <c r="S140" t="s">
        <v>819</v>
      </c>
    </row>
    <row r="141" spans="1:19" x14ac:dyDescent="0.3">
      <c r="A141" s="16">
        <v>45602</v>
      </c>
      <c r="B141" t="s">
        <v>2</v>
      </c>
      <c r="C141" t="s">
        <v>627</v>
      </c>
      <c r="D141">
        <v>15538</v>
      </c>
      <c r="E141">
        <v>8675</v>
      </c>
      <c r="F141">
        <v>299</v>
      </c>
      <c r="G141">
        <v>141</v>
      </c>
      <c r="H141">
        <v>182976.5</v>
      </c>
      <c r="I141">
        <v>31</v>
      </c>
      <c r="J141">
        <v>97861.5</v>
      </c>
      <c r="K141">
        <v>24</v>
      </c>
      <c r="L141">
        <v>2050</v>
      </c>
      <c r="M141">
        <v>12205</v>
      </c>
      <c r="N141">
        <f t="shared" si="20"/>
        <v>2024</v>
      </c>
      <c r="O141">
        <f t="shared" si="21"/>
        <v>11</v>
      </c>
      <c r="P141" t="s">
        <v>802</v>
      </c>
      <c r="Q141">
        <f>SUMIFS(三级流量源!F:F,三级流量源!R:R,"其他猜你喜欢",三级流量源!E:E,"品牌特秀",三级流量源!B:B,A141,三级流量源!A:A,C141)</f>
        <v>1202</v>
      </c>
      <c r="R141">
        <f>SUMIFS(三级流量源!M:M,三级流量源!R:R,"其他猜你喜欢",三级流量源!E:E,"品牌特秀",三级流量源!B:B,A141,三级流量源!A:A,C141)</f>
        <v>2</v>
      </c>
      <c r="S141" t="s">
        <v>819</v>
      </c>
    </row>
    <row r="142" spans="1:19" x14ac:dyDescent="0.3">
      <c r="A142" s="16">
        <v>45603</v>
      </c>
      <c r="B142" t="s">
        <v>3</v>
      </c>
      <c r="C142" t="s">
        <v>627</v>
      </c>
      <c r="D142">
        <v>20109</v>
      </c>
      <c r="E142">
        <v>16443</v>
      </c>
      <c r="F142">
        <v>264</v>
      </c>
      <c r="G142">
        <v>93</v>
      </c>
      <c r="H142">
        <v>300232.5</v>
      </c>
      <c r="I142">
        <v>60</v>
      </c>
      <c r="J142">
        <v>214087.5</v>
      </c>
      <c r="K142">
        <v>44</v>
      </c>
      <c r="L142">
        <v>2261</v>
      </c>
      <c r="M142">
        <v>8674</v>
      </c>
      <c r="N142">
        <f t="shared" si="20"/>
        <v>2024</v>
      </c>
      <c r="O142">
        <f t="shared" si="21"/>
        <v>11</v>
      </c>
      <c r="P142" t="s">
        <v>802</v>
      </c>
      <c r="Q142">
        <f>SUMIFS(三级流量源!F:F,三级流量源!R:R,"其他猜你喜欢",三级流量源!E:E,"品牌特秀",三级流量源!B:B,A142,三级流量源!A:A,C142)</f>
        <v>1142</v>
      </c>
      <c r="R142">
        <f>SUMIFS(三级流量源!M:M,三级流量源!R:R,"其他猜你喜欢",三级流量源!E:E,"品牌特秀",三级流量源!B:B,A142,三级流量源!A:A,C142)</f>
        <v>1</v>
      </c>
      <c r="S142" t="s">
        <v>819</v>
      </c>
    </row>
    <row r="143" spans="1:19" x14ac:dyDescent="0.3">
      <c r="A143" s="16">
        <v>45603</v>
      </c>
      <c r="B143" t="s">
        <v>2</v>
      </c>
      <c r="C143" t="s">
        <v>627</v>
      </c>
      <c r="D143">
        <v>14997</v>
      </c>
      <c r="E143">
        <v>8250</v>
      </c>
      <c r="F143">
        <v>293</v>
      </c>
      <c r="G143">
        <v>144</v>
      </c>
      <c r="H143">
        <v>200020</v>
      </c>
      <c r="I143">
        <v>42</v>
      </c>
      <c r="J143">
        <v>111877.5</v>
      </c>
      <c r="K143">
        <v>31</v>
      </c>
      <c r="L143">
        <v>2005</v>
      </c>
      <c r="M143">
        <v>11851</v>
      </c>
      <c r="N143">
        <f t="shared" si="20"/>
        <v>2024</v>
      </c>
      <c r="O143">
        <f t="shared" si="21"/>
        <v>11</v>
      </c>
      <c r="P143" t="s">
        <v>802</v>
      </c>
      <c r="Q143">
        <f>SUMIFS(三级流量源!F:F,三级流量源!R:R,"其他猜你喜欢",三级流量源!E:E,"品牌特秀",三级流量源!B:B,A143,三级流量源!A:A,C143)</f>
        <v>1142</v>
      </c>
      <c r="R143">
        <f>SUMIFS(三级流量源!M:M,三级流量源!R:R,"其他猜你喜欢",三级流量源!E:E,"品牌特秀",三级流量源!B:B,A143,三级流量源!A:A,C143)</f>
        <v>1</v>
      </c>
      <c r="S143" t="s">
        <v>819</v>
      </c>
    </row>
    <row r="144" spans="1:19" x14ac:dyDescent="0.3">
      <c r="A144" s="16">
        <v>45604</v>
      </c>
      <c r="B144" t="s">
        <v>3</v>
      </c>
      <c r="C144" t="s">
        <v>627</v>
      </c>
      <c r="D144">
        <v>7345</v>
      </c>
      <c r="E144">
        <v>4841</v>
      </c>
      <c r="F144">
        <v>299</v>
      </c>
      <c r="G144">
        <v>88</v>
      </c>
      <c r="H144">
        <v>325388.51</v>
      </c>
      <c r="I144">
        <v>56</v>
      </c>
      <c r="J144">
        <v>226414.01</v>
      </c>
      <c r="K144">
        <v>47</v>
      </c>
      <c r="L144">
        <v>2376</v>
      </c>
      <c r="M144">
        <v>7463</v>
      </c>
      <c r="N144">
        <f t="shared" si="20"/>
        <v>2024</v>
      </c>
      <c r="O144">
        <f t="shared" si="21"/>
        <v>11</v>
      </c>
      <c r="P144" t="s">
        <v>802</v>
      </c>
      <c r="Q144">
        <f>SUMIFS(三级流量源!F:F,三级流量源!R:R,"其他猜你喜欢",三级流量源!E:E,"品牌特秀",三级流量源!B:B,A144,三级流量源!A:A,C144)</f>
        <v>1278</v>
      </c>
      <c r="R144">
        <f>SUMIFS(三级流量源!M:M,三级流量源!R:R,"其他猜你喜欢",三级流量源!E:E,"品牌特秀",三级流量源!B:B,A144,三级流量源!A:A,C144)</f>
        <v>0</v>
      </c>
      <c r="S144" t="s">
        <v>819</v>
      </c>
    </row>
    <row r="145" spans="1:19" x14ac:dyDescent="0.3">
      <c r="A145" s="16">
        <v>45604</v>
      </c>
      <c r="B145" t="s">
        <v>2</v>
      </c>
      <c r="C145" t="s">
        <v>627</v>
      </c>
      <c r="D145">
        <v>14388</v>
      </c>
      <c r="E145">
        <v>7760</v>
      </c>
      <c r="F145">
        <v>389</v>
      </c>
      <c r="G145">
        <v>179</v>
      </c>
      <c r="H145">
        <v>338505.5</v>
      </c>
      <c r="I145">
        <v>42</v>
      </c>
      <c r="J145">
        <v>180441</v>
      </c>
      <c r="K145">
        <v>31</v>
      </c>
      <c r="L145">
        <v>2136</v>
      </c>
      <c r="M145">
        <v>12304</v>
      </c>
      <c r="N145">
        <f t="shared" si="20"/>
        <v>2024</v>
      </c>
      <c r="O145">
        <f t="shared" si="21"/>
        <v>11</v>
      </c>
      <c r="P145" t="s">
        <v>802</v>
      </c>
      <c r="Q145">
        <f>SUMIFS(三级流量源!F:F,三级流量源!R:R,"其他猜你喜欢",三级流量源!E:E,"品牌特秀",三级流量源!B:B,A145,三级流量源!A:A,C145)</f>
        <v>1278</v>
      </c>
      <c r="R145">
        <f>SUMIFS(三级流量源!M:M,三级流量源!R:R,"其他猜你喜欢",三级流量源!E:E,"品牌特秀",三级流量源!B:B,A145,三级流量源!A:A,C145)</f>
        <v>0</v>
      </c>
      <c r="S145" t="s">
        <v>819</v>
      </c>
    </row>
    <row r="146" spans="1:19" x14ac:dyDescent="0.3">
      <c r="A146" s="16">
        <v>45605</v>
      </c>
      <c r="B146" t="s">
        <v>3</v>
      </c>
      <c r="C146" t="s">
        <v>627</v>
      </c>
      <c r="D146">
        <v>11897</v>
      </c>
      <c r="E146">
        <v>8516</v>
      </c>
      <c r="F146">
        <v>369</v>
      </c>
      <c r="G146">
        <v>94</v>
      </c>
      <c r="H146">
        <v>376289</v>
      </c>
      <c r="I146">
        <v>68</v>
      </c>
      <c r="J146">
        <v>212368</v>
      </c>
      <c r="K146">
        <v>46</v>
      </c>
      <c r="L146">
        <v>2684</v>
      </c>
      <c r="M146">
        <v>9292</v>
      </c>
      <c r="N146">
        <f t="shared" si="20"/>
        <v>2024</v>
      </c>
      <c r="O146">
        <f t="shared" si="21"/>
        <v>11</v>
      </c>
      <c r="P146" t="s">
        <v>802</v>
      </c>
      <c r="Q146">
        <f>SUMIFS(三级流量源!F:F,三级流量源!R:R,"其他猜你喜欢",三级流量源!E:E,"品牌特秀",三级流量源!B:B,A146,三级流量源!A:A,C146)</f>
        <v>1318</v>
      </c>
      <c r="R146">
        <f>SUMIFS(三级流量源!M:M,三级流量源!R:R,"其他猜你喜欢",三级流量源!E:E,"品牌特秀",三级流量源!B:B,A146,三级流量源!A:A,C146)</f>
        <v>5</v>
      </c>
      <c r="S146" t="s">
        <v>819</v>
      </c>
    </row>
    <row r="147" spans="1:19" x14ac:dyDescent="0.3">
      <c r="A147" s="16">
        <v>45605</v>
      </c>
      <c r="B147" t="s">
        <v>2</v>
      </c>
      <c r="C147" t="s">
        <v>627</v>
      </c>
      <c r="D147">
        <v>18481</v>
      </c>
      <c r="E147">
        <v>10879</v>
      </c>
      <c r="F147">
        <v>431</v>
      </c>
      <c r="G147">
        <v>219</v>
      </c>
      <c r="H147">
        <v>204878</v>
      </c>
      <c r="I147">
        <v>45</v>
      </c>
      <c r="J147">
        <v>122636</v>
      </c>
      <c r="K147">
        <v>37</v>
      </c>
      <c r="L147">
        <v>2764</v>
      </c>
      <c r="M147">
        <v>14941</v>
      </c>
      <c r="N147">
        <f t="shared" si="20"/>
        <v>2024</v>
      </c>
      <c r="O147">
        <f t="shared" si="21"/>
        <v>11</v>
      </c>
      <c r="P147" t="s">
        <v>802</v>
      </c>
      <c r="Q147">
        <f>SUMIFS(三级流量源!F:F,三级流量源!R:R,"其他猜你喜欢",三级流量源!E:E,"品牌特秀",三级流量源!B:B,A147,三级流量源!A:A,C147)</f>
        <v>1318</v>
      </c>
      <c r="R147">
        <f>SUMIFS(三级流量源!M:M,三级流量源!R:R,"其他猜你喜欢",三级流量源!E:E,"品牌特秀",三级流量源!B:B,A147,三级流量源!A:A,C147)</f>
        <v>5</v>
      </c>
      <c r="S147" t="s">
        <v>819</v>
      </c>
    </row>
    <row r="148" spans="1:19" x14ac:dyDescent="0.3">
      <c r="A148" s="16">
        <v>45606</v>
      </c>
      <c r="B148" t="s">
        <v>3</v>
      </c>
      <c r="C148" t="s">
        <v>627</v>
      </c>
      <c r="D148">
        <v>13497</v>
      </c>
      <c r="E148">
        <v>9594</v>
      </c>
      <c r="F148">
        <v>738</v>
      </c>
      <c r="G148">
        <v>140</v>
      </c>
      <c r="H148">
        <v>1552768.76</v>
      </c>
      <c r="I148">
        <v>342</v>
      </c>
      <c r="J148">
        <v>1315538.76</v>
      </c>
      <c r="K148">
        <v>309</v>
      </c>
      <c r="L148">
        <v>3465</v>
      </c>
      <c r="M148">
        <v>12092</v>
      </c>
      <c r="N148">
        <f t="shared" si="20"/>
        <v>2024</v>
      </c>
      <c r="O148">
        <f t="shared" si="21"/>
        <v>11</v>
      </c>
      <c r="P148" t="s">
        <v>802</v>
      </c>
      <c r="Q148">
        <f>SUMIFS(三级流量源!F:F,三级流量源!R:R,"其他猜你喜欢",三级流量源!E:E,"品牌特秀",三级流量源!B:B,A148,三级流量源!A:A,C148)</f>
        <v>1571</v>
      </c>
      <c r="R148">
        <f>SUMIFS(三级流量源!M:M,三级流量源!R:R,"其他猜你喜欢",三级流量源!E:E,"品牌特秀",三级流量源!B:B,A148,三级流量源!A:A,C148)</f>
        <v>2</v>
      </c>
      <c r="S148" t="s">
        <v>819</v>
      </c>
    </row>
    <row r="149" spans="1:19" x14ac:dyDescent="0.3">
      <c r="A149" s="16">
        <v>45606</v>
      </c>
      <c r="B149" t="s">
        <v>2</v>
      </c>
      <c r="C149" t="s">
        <v>627</v>
      </c>
      <c r="D149">
        <v>21148</v>
      </c>
      <c r="E149">
        <v>12720</v>
      </c>
      <c r="F149">
        <v>839</v>
      </c>
      <c r="G149">
        <v>224</v>
      </c>
      <c r="H149">
        <v>832207</v>
      </c>
      <c r="I149">
        <v>218</v>
      </c>
      <c r="J149">
        <v>692964</v>
      </c>
      <c r="K149">
        <v>198</v>
      </c>
      <c r="L149">
        <v>3544</v>
      </c>
      <c r="M149">
        <v>17362</v>
      </c>
      <c r="N149">
        <f t="shared" si="20"/>
        <v>2024</v>
      </c>
      <c r="O149">
        <f t="shared" si="21"/>
        <v>11</v>
      </c>
      <c r="P149" t="s">
        <v>802</v>
      </c>
      <c r="Q149">
        <f>SUMIFS(三级流量源!F:F,三级流量源!R:R,"其他猜你喜欢",三级流量源!E:E,"品牌特秀",三级流量源!B:B,A149,三级流量源!A:A,C149)</f>
        <v>1571</v>
      </c>
      <c r="R149">
        <f>SUMIFS(三级流量源!M:M,三级流量源!R:R,"其他猜你喜欢",三级流量源!E:E,"品牌特秀",三级流量源!B:B,A149,三级流量源!A:A,C149)</f>
        <v>2</v>
      </c>
      <c r="S149" t="s">
        <v>819</v>
      </c>
    </row>
    <row r="150" spans="1:19" x14ac:dyDescent="0.3">
      <c r="A150" s="16">
        <v>45607</v>
      </c>
      <c r="B150" t="s">
        <v>3</v>
      </c>
      <c r="C150" t="s">
        <v>627</v>
      </c>
      <c r="D150">
        <v>21549</v>
      </c>
      <c r="E150">
        <v>16973</v>
      </c>
      <c r="F150">
        <v>766</v>
      </c>
      <c r="G150">
        <v>114</v>
      </c>
      <c r="H150">
        <v>2220276.42</v>
      </c>
      <c r="I150">
        <v>438</v>
      </c>
      <c r="J150">
        <v>1664441.92</v>
      </c>
      <c r="K150">
        <v>373</v>
      </c>
      <c r="L150">
        <v>3179</v>
      </c>
      <c r="M150">
        <v>13122</v>
      </c>
      <c r="N150">
        <f t="shared" ref="N150:N213" si="22">YEAR(A150)</f>
        <v>2024</v>
      </c>
      <c r="O150">
        <f t="shared" ref="O150:O213" si="23">MONTH(A150)</f>
        <v>11</v>
      </c>
      <c r="P150" t="s">
        <v>802</v>
      </c>
      <c r="Q150">
        <f>SUMIFS(三级流量源!F:F,三级流量源!R:R,"其他猜你喜欢",三级流量源!E:E,"品牌特秀",三级流量源!B:B,A150,三级流量源!A:A,C150)</f>
        <v>1385</v>
      </c>
      <c r="R150">
        <f>SUMIFS(三级流量源!M:M,三级流量源!R:R,"其他猜你喜欢",三级流量源!E:E,"品牌特秀",三级流量源!B:B,A150,三级流量源!A:A,C150)</f>
        <v>7</v>
      </c>
      <c r="S150" t="s">
        <v>819</v>
      </c>
    </row>
    <row r="151" spans="1:19" x14ac:dyDescent="0.3">
      <c r="A151" s="16">
        <v>45607</v>
      </c>
      <c r="B151" t="s">
        <v>2</v>
      </c>
      <c r="C151" t="s">
        <v>627</v>
      </c>
      <c r="D151">
        <v>19991</v>
      </c>
      <c r="E151">
        <v>11794</v>
      </c>
      <c r="F151">
        <v>755</v>
      </c>
      <c r="G151">
        <v>170</v>
      </c>
      <c r="H151">
        <v>934732.27</v>
      </c>
      <c r="I151">
        <v>208</v>
      </c>
      <c r="J151">
        <v>778858.27</v>
      </c>
      <c r="K151">
        <v>195</v>
      </c>
      <c r="L151">
        <v>3420</v>
      </c>
      <c r="M151">
        <v>16413</v>
      </c>
      <c r="N151">
        <f t="shared" si="22"/>
        <v>2024</v>
      </c>
      <c r="O151">
        <f t="shared" si="23"/>
        <v>11</v>
      </c>
      <c r="P151" t="s">
        <v>802</v>
      </c>
      <c r="Q151">
        <f>SUMIFS(三级流量源!F:F,三级流量源!R:R,"其他猜你喜欢",三级流量源!E:E,"品牌特秀",三级流量源!B:B,A151,三级流量源!A:A,C151)</f>
        <v>1385</v>
      </c>
      <c r="R151">
        <f>SUMIFS(三级流量源!M:M,三级流量源!R:R,"其他猜你喜欢",三级流量源!E:E,"品牌特秀",三级流量源!B:B,A151,三级流量源!A:A,C151)</f>
        <v>7</v>
      </c>
      <c r="S151" t="s">
        <v>819</v>
      </c>
    </row>
    <row r="152" spans="1:19" x14ac:dyDescent="0.3">
      <c r="A152" s="16">
        <v>45608</v>
      </c>
      <c r="B152" t="s">
        <v>3</v>
      </c>
      <c r="C152" t="s">
        <v>627</v>
      </c>
      <c r="D152">
        <v>6787</v>
      </c>
      <c r="E152">
        <v>3213</v>
      </c>
      <c r="F152">
        <v>145</v>
      </c>
      <c r="G152">
        <v>57</v>
      </c>
      <c r="H152">
        <v>253744</v>
      </c>
      <c r="I152">
        <v>34</v>
      </c>
      <c r="J152">
        <v>168914</v>
      </c>
      <c r="K152">
        <v>29</v>
      </c>
      <c r="L152">
        <v>1000</v>
      </c>
      <c r="M152">
        <v>6511</v>
      </c>
      <c r="N152">
        <f t="shared" si="22"/>
        <v>2024</v>
      </c>
      <c r="O152">
        <f t="shared" si="23"/>
        <v>11</v>
      </c>
      <c r="P152" t="s">
        <v>802</v>
      </c>
      <c r="Q152">
        <f>SUMIFS(三级流量源!F:F,三级流量源!R:R,"其他猜你喜欢",三级流量源!E:E,"品牌特秀",三级流量源!B:B,A152,三级流量源!A:A,C152)</f>
        <v>0</v>
      </c>
    </row>
    <row r="153" spans="1:19" x14ac:dyDescent="0.3">
      <c r="A153" s="16">
        <v>45608</v>
      </c>
      <c r="B153" t="s">
        <v>2</v>
      </c>
      <c r="C153" t="s">
        <v>627</v>
      </c>
      <c r="D153">
        <v>8207</v>
      </c>
      <c r="E153">
        <v>4477</v>
      </c>
      <c r="F153">
        <v>188</v>
      </c>
      <c r="G153">
        <v>92</v>
      </c>
      <c r="H153">
        <v>100569</v>
      </c>
      <c r="I153">
        <v>20</v>
      </c>
      <c r="J153">
        <v>54724</v>
      </c>
      <c r="K153">
        <v>17</v>
      </c>
      <c r="L153">
        <v>1181</v>
      </c>
      <c r="M153">
        <v>7867</v>
      </c>
      <c r="N153">
        <f t="shared" si="22"/>
        <v>2024</v>
      </c>
      <c r="O153">
        <f t="shared" si="23"/>
        <v>11</v>
      </c>
      <c r="P153" t="s">
        <v>802</v>
      </c>
      <c r="Q153">
        <f>SUMIFS(三级流量源!F:F,三级流量源!R:R,"其他猜你喜欢",三级流量源!E:E,"品牌特秀",三级流量源!B:B,A153,三级流量源!A:A,C153)</f>
        <v>0</v>
      </c>
    </row>
    <row r="154" spans="1:19" x14ac:dyDescent="0.3">
      <c r="A154" s="16">
        <v>45609</v>
      </c>
      <c r="B154" t="s">
        <v>3</v>
      </c>
      <c r="C154" t="s">
        <v>627</v>
      </c>
      <c r="D154">
        <v>6357</v>
      </c>
      <c r="E154">
        <v>2986</v>
      </c>
      <c r="F154">
        <v>139</v>
      </c>
      <c r="G154">
        <v>53</v>
      </c>
      <c r="H154">
        <v>155555</v>
      </c>
      <c r="I154">
        <v>30</v>
      </c>
      <c r="J154">
        <v>139887</v>
      </c>
      <c r="K154">
        <v>28</v>
      </c>
      <c r="L154">
        <v>936</v>
      </c>
      <c r="M154">
        <v>6144</v>
      </c>
      <c r="N154">
        <f t="shared" si="22"/>
        <v>2024</v>
      </c>
      <c r="O154">
        <f t="shared" si="23"/>
        <v>11</v>
      </c>
      <c r="P154" t="s">
        <v>802</v>
      </c>
      <c r="Q154">
        <f>SUMIFS(三级流量源!F:F,三级流量源!R:R,"其他猜你喜欢",三级流量源!E:E,"品牌特秀",三级流量源!B:B,A154,三级流量源!A:A,C154)</f>
        <v>0</v>
      </c>
    </row>
    <row r="155" spans="1:19" x14ac:dyDescent="0.3">
      <c r="A155" s="16">
        <v>45609</v>
      </c>
      <c r="B155" t="s">
        <v>2</v>
      </c>
      <c r="C155" t="s">
        <v>627</v>
      </c>
      <c r="D155">
        <v>8687</v>
      </c>
      <c r="E155">
        <v>5212</v>
      </c>
      <c r="F155">
        <v>203</v>
      </c>
      <c r="G155">
        <v>96</v>
      </c>
      <c r="H155">
        <v>185943</v>
      </c>
      <c r="I155">
        <v>19</v>
      </c>
      <c r="J155">
        <v>89770</v>
      </c>
      <c r="K155">
        <v>13</v>
      </c>
      <c r="L155">
        <v>1158</v>
      </c>
      <c r="M155">
        <v>8393</v>
      </c>
      <c r="N155">
        <f t="shared" si="22"/>
        <v>2024</v>
      </c>
      <c r="O155">
        <f t="shared" si="23"/>
        <v>11</v>
      </c>
      <c r="P155" t="s">
        <v>802</v>
      </c>
      <c r="Q155">
        <f>SUMIFS(三级流量源!F:F,三级流量源!R:R,"其他猜你喜欢",三级流量源!E:E,"品牌特秀",三级流量源!B:B,A155,三级流量源!A:A,C155)</f>
        <v>0</v>
      </c>
    </row>
    <row r="156" spans="1:19" x14ac:dyDescent="0.3">
      <c r="A156" s="16">
        <v>45610</v>
      </c>
      <c r="B156" t="s">
        <v>3</v>
      </c>
      <c r="C156" t="s">
        <v>627</v>
      </c>
      <c r="D156">
        <v>6010</v>
      </c>
      <c r="E156">
        <v>3036</v>
      </c>
      <c r="F156">
        <v>134</v>
      </c>
      <c r="G156">
        <v>62</v>
      </c>
      <c r="H156">
        <v>91727</v>
      </c>
      <c r="I156">
        <v>19</v>
      </c>
      <c r="J156">
        <v>74112</v>
      </c>
      <c r="K156">
        <v>15</v>
      </c>
      <c r="L156">
        <v>885</v>
      </c>
      <c r="M156">
        <v>5780</v>
      </c>
      <c r="N156">
        <f t="shared" si="22"/>
        <v>2024</v>
      </c>
      <c r="O156">
        <f t="shared" si="23"/>
        <v>11</v>
      </c>
      <c r="P156" t="s">
        <v>802</v>
      </c>
      <c r="Q156">
        <f>SUMIFS(三级流量源!F:F,三级流量源!R:R,"其他猜你喜欢",三级流量源!E:E,"品牌特秀",三级流量源!B:B,A156,三级流量源!A:A,C156)</f>
        <v>0</v>
      </c>
    </row>
    <row r="157" spans="1:19" x14ac:dyDescent="0.3">
      <c r="A157" s="16">
        <v>45610</v>
      </c>
      <c r="B157" t="s">
        <v>2</v>
      </c>
      <c r="C157" t="s">
        <v>627</v>
      </c>
      <c r="D157">
        <v>8749</v>
      </c>
      <c r="E157">
        <v>5143</v>
      </c>
      <c r="F157">
        <v>180</v>
      </c>
      <c r="G157">
        <v>126</v>
      </c>
      <c r="H157">
        <v>80302</v>
      </c>
      <c r="I157">
        <v>16</v>
      </c>
      <c r="J157">
        <v>31782</v>
      </c>
      <c r="K157">
        <v>8</v>
      </c>
      <c r="L157">
        <v>1150</v>
      </c>
      <c r="M157">
        <v>8464</v>
      </c>
      <c r="N157">
        <f t="shared" si="22"/>
        <v>2024</v>
      </c>
      <c r="O157">
        <f t="shared" si="23"/>
        <v>11</v>
      </c>
      <c r="P157" t="s">
        <v>802</v>
      </c>
      <c r="Q157">
        <f>SUMIFS(三级流量源!F:F,三级流量源!R:R,"其他猜你喜欢",三级流量源!E:E,"品牌特秀",三级流量源!B:B,A157,三级流量源!A:A,C157)</f>
        <v>0</v>
      </c>
    </row>
    <row r="158" spans="1:19" x14ac:dyDescent="0.3">
      <c r="A158" s="16">
        <v>45940</v>
      </c>
      <c r="B158" t="s">
        <v>3</v>
      </c>
      <c r="C158" t="s">
        <v>627</v>
      </c>
      <c r="D158">
        <v>8819</v>
      </c>
      <c r="E158">
        <v>6744</v>
      </c>
      <c r="F158">
        <v>136</v>
      </c>
      <c r="G158">
        <v>32</v>
      </c>
      <c r="H158">
        <v>267261</v>
      </c>
      <c r="I158">
        <v>47</v>
      </c>
      <c r="J158">
        <v>189331</v>
      </c>
      <c r="K158">
        <v>43</v>
      </c>
      <c r="L158">
        <v>1006</v>
      </c>
      <c r="M158">
        <v>3848</v>
      </c>
      <c r="N158">
        <f t="shared" si="22"/>
        <v>2025</v>
      </c>
      <c r="O158">
        <f t="shared" si="23"/>
        <v>10</v>
      </c>
      <c r="P158" t="s">
        <v>802</v>
      </c>
      <c r="S158" t="s">
        <v>817</v>
      </c>
    </row>
    <row r="159" spans="1:19" x14ac:dyDescent="0.3">
      <c r="A159" s="16">
        <v>45940</v>
      </c>
      <c r="B159" t="s">
        <v>2</v>
      </c>
      <c r="C159" t="s">
        <v>627</v>
      </c>
      <c r="D159">
        <v>46077</v>
      </c>
      <c r="E159">
        <v>31583</v>
      </c>
      <c r="F159">
        <v>192</v>
      </c>
      <c r="G159">
        <v>95</v>
      </c>
      <c r="H159">
        <v>113254.39</v>
      </c>
      <c r="I159">
        <v>23</v>
      </c>
      <c r="J159">
        <v>83584.39</v>
      </c>
      <c r="K159">
        <v>19</v>
      </c>
      <c r="L159">
        <v>1652</v>
      </c>
      <c r="M159">
        <v>44702</v>
      </c>
      <c r="N159">
        <f t="shared" si="22"/>
        <v>2025</v>
      </c>
      <c r="O159">
        <f t="shared" si="23"/>
        <v>10</v>
      </c>
      <c r="P159" t="s">
        <v>802</v>
      </c>
      <c r="S159" t="s">
        <v>817</v>
      </c>
    </row>
    <row r="160" spans="1:19" x14ac:dyDescent="0.3">
      <c r="A160" s="16">
        <v>45941</v>
      </c>
      <c r="B160" t="s">
        <v>3</v>
      </c>
      <c r="C160" t="s">
        <v>627</v>
      </c>
      <c r="D160">
        <v>8894</v>
      </c>
      <c r="E160">
        <v>6103</v>
      </c>
      <c r="F160">
        <v>148</v>
      </c>
      <c r="G160">
        <v>26</v>
      </c>
      <c r="H160">
        <v>262820</v>
      </c>
      <c r="I160">
        <v>40</v>
      </c>
      <c r="J160">
        <v>204135</v>
      </c>
      <c r="K160">
        <v>35</v>
      </c>
      <c r="L160">
        <v>836</v>
      </c>
      <c r="M160">
        <v>4831</v>
      </c>
      <c r="N160">
        <f t="shared" si="22"/>
        <v>2025</v>
      </c>
      <c r="O160">
        <f t="shared" si="23"/>
        <v>10</v>
      </c>
      <c r="P160" t="s">
        <v>802</v>
      </c>
      <c r="S160" t="s">
        <v>817</v>
      </c>
    </row>
    <row r="161" spans="1:19" x14ac:dyDescent="0.3">
      <c r="A161" s="16">
        <v>45941</v>
      </c>
      <c r="B161" t="s">
        <v>2</v>
      </c>
      <c r="C161" t="s">
        <v>627</v>
      </c>
      <c r="D161">
        <v>46108</v>
      </c>
      <c r="E161">
        <v>31856</v>
      </c>
      <c r="F161">
        <v>133</v>
      </c>
      <c r="G161">
        <v>88</v>
      </c>
      <c r="H161">
        <v>170660</v>
      </c>
      <c r="I161">
        <v>24</v>
      </c>
      <c r="J161">
        <v>94105</v>
      </c>
      <c r="K161">
        <v>17</v>
      </c>
      <c r="L161">
        <v>1335</v>
      </c>
      <c r="M161">
        <v>44664</v>
      </c>
      <c r="N161">
        <f t="shared" si="22"/>
        <v>2025</v>
      </c>
      <c r="O161">
        <f t="shared" si="23"/>
        <v>10</v>
      </c>
      <c r="P161" t="s">
        <v>802</v>
      </c>
      <c r="S161" t="s">
        <v>817</v>
      </c>
    </row>
    <row r="162" spans="1:19" x14ac:dyDescent="0.3">
      <c r="A162" s="16">
        <v>45942</v>
      </c>
      <c r="B162" t="s">
        <v>3</v>
      </c>
      <c r="C162" t="s">
        <v>627</v>
      </c>
      <c r="D162">
        <v>6293</v>
      </c>
      <c r="E162">
        <v>3914</v>
      </c>
      <c r="F162">
        <v>192</v>
      </c>
      <c r="G162">
        <v>52</v>
      </c>
      <c r="H162">
        <v>199804</v>
      </c>
      <c r="I162">
        <v>32</v>
      </c>
      <c r="J162">
        <v>155719</v>
      </c>
      <c r="K162">
        <v>26</v>
      </c>
      <c r="L162">
        <v>932</v>
      </c>
      <c r="M162">
        <v>6008</v>
      </c>
      <c r="N162">
        <f t="shared" si="22"/>
        <v>2025</v>
      </c>
      <c r="O162">
        <f t="shared" si="23"/>
        <v>10</v>
      </c>
      <c r="P162" t="s">
        <v>802</v>
      </c>
      <c r="S162" t="s">
        <v>817</v>
      </c>
    </row>
    <row r="163" spans="1:19" x14ac:dyDescent="0.3">
      <c r="A163" s="16">
        <v>45942</v>
      </c>
      <c r="B163" t="s">
        <v>2</v>
      </c>
      <c r="C163" t="s">
        <v>627</v>
      </c>
      <c r="D163">
        <v>26815</v>
      </c>
      <c r="E163">
        <v>15152</v>
      </c>
      <c r="F163">
        <v>148</v>
      </c>
      <c r="G163">
        <v>99</v>
      </c>
      <c r="H163">
        <v>150575</v>
      </c>
      <c r="I163">
        <v>23</v>
      </c>
      <c r="J163">
        <v>95460</v>
      </c>
      <c r="K163">
        <v>16</v>
      </c>
      <c r="L163">
        <v>1305</v>
      </c>
      <c r="M163">
        <v>26195</v>
      </c>
      <c r="N163">
        <f t="shared" si="22"/>
        <v>2025</v>
      </c>
      <c r="O163">
        <f t="shared" si="23"/>
        <v>10</v>
      </c>
      <c r="P163" t="s">
        <v>802</v>
      </c>
      <c r="S163" t="s">
        <v>817</v>
      </c>
    </row>
    <row r="164" spans="1:19" x14ac:dyDescent="0.3">
      <c r="A164" s="16">
        <v>45943</v>
      </c>
      <c r="B164" t="s">
        <v>3</v>
      </c>
      <c r="C164" t="s">
        <v>627</v>
      </c>
      <c r="D164">
        <v>7242</v>
      </c>
      <c r="E164">
        <v>4650</v>
      </c>
      <c r="F164">
        <v>169</v>
      </c>
      <c r="G164">
        <v>48</v>
      </c>
      <c r="H164">
        <v>197167</v>
      </c>
      <c r="I164">
        <v>38</v>
      </c>
      <c r="J164">
        <v>153657</v>
      </c>
      <c r="K164">
        <v>32</v>
      </c>
      <c r="L164">
        <v>992</v>
      </c>
      <c r="M164">
        <v>7029</v>
      </c>
      <c r="N164">
        <f t="shared" si="22"/>
        <v>2025</v>
      </c>
      <c r="O164">
        <f t="shared" si="23"/>
        <v>10</v>
      </c>
      <c r="P164" t="s">
        <v>802</v>
      </c>
      <c r="S164" t="s">
        <v>817</v>
      </c>
    </row>
    <row r="165" spans="1:19" x14ac:dyDescent="0.3">
      <c r="A165" s="16">
        <v>45943</v>
      </c>
      <c r="B165" t="s">
        <v>2</v>
      </c>
      <c r="C165" t="s">
        <v>627</v>
      </c>
      <c r="D165">
        <v>27473</v>
      </c>
      <c r="E165">
        <v>16334</v>
      </c>
      <c r="F165">
        <v>154</v>
      </c>
      <c r="G165">
        <v>88</v>
      </c>
      <c r="H165">
        <v>130632</v>
      </c>
      <c r="I165">
        <v>23</v>
      </c>
      <c r="J165">
        <v>61122</v>
      </c>
      <c r="K165">
        <v>15</v>
      </c>
      <c r="L165">
        <v>1377</v>
      </c>
      <c r="M165">
        <v>26867</v>
      </c>
      <c r="N165">
        <f t="shared" si="22"/>
        <v>2025</v>
      </c>
      <c r="O165">
        <f t="shared" si="23"/>
        <v>10</v>
      </c>
      <c r="P165" t="s">
        <v>802</v>
      </c>
      <c r="S165" t="s">
        <v>817</v>
      </c>
    </row>
    <row r="166" spans="1:19" x14ac:dyDescent="0.3">
      <c r="A166" s="16">
        <v>45944</v>
      </c>
      <c r="B166" t="s">
        <v>3</v>
      </c>
      <c r="C166" t="s">
        <v>627</v>
      </c>
      <c r="D166">
        <v>11674</v>
      </c>
      <c r="E166">
        <v>8266</v>
      </c>
      <c r="F166">
        <v>180</v>
      </c>
      <c r="G166">
        <v>53</v>
      </c>
      <c r="H166">
        <v>295160</v>
      </c>
      <c r="I166">
        <v>41</v>
      </c>
      <c r="J166">
        <v>198120</v>
      </c>
      <c r="K166">
        <v>34</v>
      </c>
      <c r="L166">
        <v>1005</v>
      </c>
      <c r="M166">
        <v>6206</v>
      </c>
      <c r="N166">
        <f t="shared" si="22"/>
        <v>2025</v>
      </c>
      <c r="O166">
        <f t="shared" si="23"/>
        <v>10</v>
      </c>
      <c r="P166" t="s">
        <v>802</v>
      </c>
      <c r="S166" t="s">
        <v>817</v>
      </c>
    </row>
    <row r="167" spans="1:19" x14ac:dyDescent="0.3">
      <c r="A167" s="16">
        <v>45944</v>
      </c>
      <c r="B167" t="s">
        <v>2</v>
      </c>
      <c r="C167" t="s">
        <v>627</v>
      </c>
      <c r="D167">
        <v>26099</v>
      </c>
      <c r="E167">
        <v>13916</v>
      </c>
      <c r="F167">
        <v>173</v>
      </c>
      <c r="G167">
        <v>106</v>
      </c>
      <c r="H167">
        <v>145380</v>
      </c>
      <c r="I167">
        <v>17</v>
      </c>
      <c r="J167">
        <v>59380</v>
      </c>
      <c r="K167">
        <v>11</v>
      </c>
      <c r="L167">
        <v>1499</v>
      </c>
      <c r="M167">
        <v>24621</v>
      </c>
      <c r="N167">
        <f t="shared" si="22"/>
        <v>2025</v>
      </c>
      <c r="O167">
        <f t="shared" si="23"/>
        <v>10</v>
      </c>
      <c r="P167" t="s">
        <v>802</v>
      </c>
      <c r="S167" t="s">
        <v>817</v>
      </c>
    </row>
    <row r="168" spans="1:19" x14ac:dyDescent="0.3">
      <c r="A168" s="16">
        <v>45945</v>
      </c>
      <c r="B168" t="s">
        <v>3</v>
      </c>
      <c r="C168" t="s">
        <v>627</v>
      </c>
      <c r="D168">
        <v>8729</v>
      </c>
      <c r="E168">
        <v>4883</v>
      </c>
      <c r="F168">
        <v>205</v>
      </c>
      <c r="G168">
        <v>57</v>
      </c>
      <c r="H168">
        <v>141166</v>
      </c>
      <c r="I168">
        <v>28</v>
      </c>
      <c r="J168">
        <v>115696</v>
      </c>
      <c r="K168">
        <v>25</v>
      </c>
      <c r="L168">
        <v>1102</v>
      </c>
      <c r="M168">
        <v>6109</v>
      </c>
      <c r="N168">
        <f t="shared" si="22"/>
        <v>2025</v>
      </c>
      <c r="O168">
        <f t="shared" si="23"/>
        <v>10</v>
      </c>
      <c r="P168" t="s">
        <v>802</v>
      </c>
      <c r="S168" t="s">
        <v>817</v>
      </c>
    </row>
    <row r="169" spans="1:19" x14ac:dyDescent="0.3">
      <c r="A169" s="16">
        <v>45945</v>
      </c>
      <c r="B169" t="s">
        <v>2</v>
      </c>
      <c r="C169" t="s">
        <v>627</v>
      </c>
      <c r="D169">
        <v>32262</v>
      </c>
      <c r="E169">
        <v>20820</v>
      </c>
      <c r="F169">
        <v>185</v>
      </c>
      <c r="G169">
        <v>145</v>
      </c>
      <c r="H169">
        <v>133239</v>
      </c>
      <c r="I169">
        <v>14</v>
      </c>
      <c r="J169">
        <v>29304</v>
      </c>
      <c r="K169">
        <v>7</v>
      </c>
      <c r="L169">
        <v>1514</v>
      </c>
      <c r="M169">
        <v>30818</v>
      </c>
      <c r="N169">
        <f t="shared" si="22"/>
        <v>2025</v>
      </c>
      <c r="O169">
        <f t="shared" si="23"/>
        <v>10</v>
      </c>
      <c r="P169" t="s">
        <v>802</v>
      </c>
      <c r="S169" t="s">
        <v>817</v>
      </c>
    </row>
    <row r="170" spans="1:19" x14ac:dyDescent="0.3">
      <c r="A170" s="16">
        <v>45946</v>
      </c>
      <c r="B170" t="s">
        <v>3</v>
      </c>
      <c r="C170" t="s">
        <v>627</v>
      </c>
      <c r="D170">
        <v>10052</v>
      </c>
      <c r="E170">
        <v>6164</v>
      </c>
      <c r="F170">
        <v>216</v>
      </c>
      <c r="G170">
        <v>57</v>
      </c>
      <c r="H170">
        <v>109075</v>
      </c>
      <c r="I170">
        <v>24</v>
      </c>
      <c r="J170">
        <v>87805</v>
      </c>
      <c r="K170">
        <v>20</v>
      </c>
      <c r="L170">
        <v>1022</v>
      </c>
      <c r="M170">
        <v>6148</v>
      </c>
      <c r="N170">
        <f t="shared" si="22"/>
        <v>2025</v>
      </c>
      <c r="O170">
        <f t="shared" si="23"/>
        <v>10</v>
      </c>
      <c r="P170" t="s">
        <v>802</v>
      </c>
      <c r="S170" t="s">
        <v>817</v>
      </c>
    </row>
    <row r="171" spans="1:19" x14ac:dyDescent="0.3">
      <c r="A171" s="16">
        <v>45946</v>
      </c>
      <c r="B171" t="s">
        <v>2</v>
      </c>
      <c r="C171" t="s">
        <v>627</v>
      </c>
      <c r="D171">
        <v>27830</v>
      </c>
      <c r="E171">
        <v>15308</v>
      </c>
      <c r="F171">
        <v>199</v>
      </c>
      <c r="G171">
        <v>159</v>
      </c>
      <c r="H171">
        <v>108185</v>
      </c>
      <c r="I171">
        <v>16</v>
      </c>
      <c r="J171">
        <v>38410</v>
      </c>
      <c r="K171">
        <v>9</v>
      </c>
      <c r="L171">
        <v>1583</v>
      </c>
      <c r="M171">
        <v>26027</v>
      </c>
      <c r="N171">
        <f t="shared" si="22"/>
        <v>2025</v>
      </c>
      <c r="O171">
        <f t="shared" si="23"/>
        <v>10</v>
      </c>
      <c r="P171" t="s">
        <v>802</v>
      </c>
      <c r="S171" t="s">
        <v>817</v>
      </c>
    </row>
    <row r="172" spans="1:19" x14ac:dyDescent="0.3">
      <c r="A172" s="16">
        <v>45947</v>
      </c>
      <c r="B172" t="s">
        <v>3</v>
      </c>
      <c r="C172" t="s">
        <v>627</v>
      </c>
      <c r="D172">
        <v>12807</v>
      </c>
      <c r="E172">
        <v>8549</v>
      </c>
      <c r="F172">
        <v>247</v>
      </c>
      <c r="G172">
        <v>59</v>
      </c>
      <c r="H172">
        <v>136285</v>
      </c>
      <c r="I172">
        <v>17</v>
      </c>
      <c r="J172">
        <v>84120</v>
      </c>
      <c r="K172">
        <v>11</v>
      </c>
      <c r="L172">
        <v>1105</v>
      </c>
      <c r="M172">
        <v>7494</v>
      </c>
      <c r="N172">
        <f t="shared" si="22"/>
        <v>2025</v>
      </c>
      <c r="O172">
        <f t="shared" si="23"/>
        <v>10</v>
      </c>
      <c r="P172" t="s">
        <v>802</v>
      </c>
      <c r="S172" t="s">
        <v>817</v>
      </c>
    </row>
    <row r="173" spans="1:19" x14ac:dyDescent="0.3">
      <c r="A173" s="16">
        <v>45947</v>
      </c>
      <c r="B173" t="s">
        <v>2</v>
      </c>
      <c r="C173" t="s">
        <v>627</v>
      </c>
      <c r="D173">
        <v>38423</v>
      </c>
      <c r="E173">
        <v>26315</v>
      </c>
      <c r="F173">
        <v>195</v>
      </c>
      <c r="G173">
        <v>158</v>
      </c>
      <c r="H173">
        <v>54745</v>
      </c>
      <c r="I173">
        <v>7</v>
      </c>
      <c r="J173">
        <v>25175</v>
      </c>
      <c r="K173">
        <v>4</v>
      </c>
      <c r="L173">
        <v>1629</v>
      </c>
      <c r="M173">
        <v>36517</v>
      </c>
      <c r="N173">
        <f t="shared" si="22"/>
        <v>2025</v>
      </c>
      <c r="O173">
        <f t="shared" si="23"/>
        <v>10</v>
      </c>
      <c r="P173" t="s">
        <v>802</v>
      </c>
      <c r="S173" t="s">
        <v>817</v>
      </c>
    </row>
    <row r="174" spans="1:19" x14ac:dyDescent="0.3">
      <c r="A174" s="16">
        <v>45948</v>
      </c>
      <c r="B174" t="s">
        <v>3</v>
      </c>
      <c r="C174" t="s">
        <v>627</v>
      </c>
      <c r="D174">
        <v>14134</v>
      </c>
      <c r="E174">
        <v>9583</v>
      </c>
      <c r="F174">
        <v>281</v>
      </c>
      <c r="G174">
        <v>79</v>
      </c>
      <c r="H174">
        <v>172620</v>
      </c>
      <c r="I174">
        <v>22</v>
      </c>
      <c r="J174">
        <v>80110</v>
      </c>
      <c r="K174">
        <v>15</v>
      </c>
      <c r="L174">
        <v>1278</v>
      </c>
      <c r="M174">
        <v>8608</v>
      </c>
      <c r="N174">
        <f t="shared" si="22"/>
        <v>2025</v>
      </c>
      <c r="O174">
        <f t="shared" si="23"/>
        <v>10</v>
      </c>
      <c r="P174" t="s">
        <v>802</v>
      </c>
      <c r="S174" t="s">
        <v>817</v>
      </c>
    </row>
    <row r="175" spans="1:19" x14ac:dyDescent="0.3">
      <c r="A175" s="16">
        <v>45948</v>
      </c>
      <c r="B175" t="s">
        <v>2</v>
      </c>
      <c r="C175" t="s">
        <v>627</v>
      </c>
      <c r="D175">
        <v>46650</v>
      </c>
      <c r="E175">
        <v>30826</v>
      </c>
      <c r="F175">
        <v>306</v>
      </c>
      <c r="G175">
        <v>252</v>
      </c>
      <c r="H175">
        <v>133130</v>
      </c>
      <c r="I175">
        <v>13</v>
      </c>
      <c r="J175">
        <v>33095</v>
      </c>
      <c r="K175">
        <v>5</v>
      </c>
      <c r="L175">
        <v>2077</v>
      </c>
      <c r="M175">
        <v>45259</v>
      </c>
      <c r="N175">
        <f t="shared" si="22"/>
        <v>2025</v>
      </c>
      <c r="O175">
        <f t="shared" si="23"/>
        <v>10</v>
      </c>
      <c r="P175" t="s">
        <v>802</v>
      </c>
      <c r="S175" t="s">
        <v>817</v>
      </c>
    </row>
    <row r="176" spans="1:19" x14ac:dyDescent="0.3">
      <c r="A176" s="16">
        <v>45949</v>
      </c>
      <c r="B176" t="s">
        <v>3</v>
      </c>
      <c r="C176" t="s">
        <v>627</v>
      </c>
      <c r="D176">
        <v>8692</v>
      </c>
      <c r="E176">
        <v>4510</v>
      </c>
      <c r="F176">
        <v>299</v>
      </c>
      <c r="G176">
        <v>100</v>
      </c>
      <c r="H176">
        <v>118920</v>
      </c>
      <c r="I176">
        <v>18</v>
      </c>
      <c r="J176">
        <v>70715</v>
      </c>
      <c r="K176">
        <v>12</v>
      </c>
      <c r="L176">
        <v>1466</v>
      </c>
      <c r="M176">
        <v>8437</v>
      </c>
      <c r="N176">
        <f t="shared" si="22"/>
        <v>2025</v>
      </c>
      <c r="O176">
        <f t="shared" si="23"/>
        <v>10</v>
      </c>
      <c r="P176" t="s">
        <v>802</v>
      </c>
      <c r="S176" t="s">
        <v>817</v>
      </c>
    </row>
    <row r="177" spans="1:19" x14ac:dyDescent="0.3">
      <c r="A177" s="16">
        <v>45949</v>
      </c>
      <c r="B177" t="s">
        <v>2</v>
      </c>
      <c r="C177" t="s">
        <v>627</v>
      </c>
      <c r="D177">
        <v>54670</v>
      </c>
      <c r="E177">
        <v>34303</v>
      </c>
      <c r="F177">
        <v>387</v>
      </c>
      <c r="G177">
        <v>422</v>
      </c>
      <c r="H177">
        <v>120615</v>
      </c>
      <c r="I177">
        <v>13</v>
      </c>
      <c r="J177">
        <v>71860</v>
      </c>
      <c r="K177">
        <v>7</v>
      </c>
      <c r="L177">
        <v>2474</v>
      </c>
      <c r="M177">
        <v>53985</v>
      </c>
      <c r="N177">
        <f t="shared" si="22"/>
        <v>2025</v>
      </c>
      <c r="O177">
        <f t="shared" si="23"/>
        <v>10</v>
      </c>
      <c r="P177" t="s">
        <v>802</v>
      </c>
      <c r="S177" t="s">
        <v>817</v>
      </c>
    </row>
    <row r="178" spans="1:19" x14ac:dyDescent="0.3">
      <c r="A178" s="16">
        <v>45950</v>
      </c>
      <c r="B178" t="s">
        <v>3</v>
      </c>
      <c r="C178" t="s">
        <v>627</v>
      </c>
      <c r="D178">
        <v>14271</v>
      </c>
      <c r="E178">
        <v>8446</v>
      </c>
      <c r="F178">
        <v>452</v>
      </c>
      <c r="G178">
        <v>95</v>
      </c>
      <c r="H178">
        <v>1492842.72</v>
      </c>
      <c r="I178">
        <v>265</v>
      </c>
      <c r="J178">
        <v>1280877.72</v>
      </c>
      <c r="K178">
        <v>241</v>
      </c>
      <c r="L178">
        <v>1979</v>
      </c>
      <c r="M178">
        <v>11283</v>
      </c>
      <c r="N178">
        <f t="shared" si="22"/>
        <v>2025</v>
      </c>
      <c r="O178">
        <f t="shared" si="23"/>
        <v>10</v>
      </c>
      <c r="P178" t="s">
        <v>802</v>
      </c>
      <c r="S178" t="s">
        <v>818</v>
      </c>
    </row>
    <row r="179" spans="1:19" x14ac:dyDescent="0.3">
      <c r="A179" s="16">
        <v>45950</v>
      </c>
      <c r="B179" t="s">
        <v>2</v>
      </c>
      <c r="C179" t="s">
        <v>627</v>
      </c>
      <c r="D179">
        <v>43994</v>
      </c>
      <c r="E179">
        <v>26165</v>
      </c>
      <c r="F179">
        <v>352</v>
      </c>
      <c r="G179">
        <v>284</v>
      </c>
      <c r="H179">
        <v>655209.21</v>
      </c>
      <c r="I179">
        <v>92</v>
      </c>
      <c r="J179">
        <v>494846.34</v>
      </c>
      <c r="K179">
        <v>82</v>
      </c>
      <c r="L179">
        <v>2159</v>
      </c>
      <c r="M179">
        <v>42379</v>
      </c>
      <c r="N179">
        <f t="shared" si="22"/>
        <v>2025</v>
      </c>
      <c r="O179">
        <f t="shared" si="23"/>
        <v>10</v>
      </c>
      <c r="P179" t="s">
        <v>802</v>
      </c>
      <c r="S179" t="s">
        <v>818</v>
      </c>
    </row>
    <row r="180" spans="1:19" x14ac:dyDescent="0.3">
      <c r="A180" s="16">
        <v>45951</v>
      </c>
      <c r="B180" t="s">
        <v>3</v>
      </c>
      <c r="C180" t="s">
        <v>627</v>
      </c>
      <c r="D180">
        <v>17504</v>
      </c>
      <c r="E180">
        <v>11116</v>
      </c>
      <c r="F180">
        <v>374</v>
      </c>
      <c r="G180">
        <v>90</v>
      </c>
      <c r="H180">
        <v>663131.18000000005</v>
      </c>
      <c r="I180">
        <v>116</v>
      </c>
      <c r="J180">
        <v>550161.18000000005</v>
      </c>
      <c r="K180">
        <v>110</v>
      </c>
      <c r="L180">
        <v>1595</v>
      </c>
      <c r="M180">
        <v>10931</v>
      </c>
      <c r="N180">
        <f t="shared" si="22"/>
        <v>2025</v>
      </c>
      <c r="O180">
        <f t="shared" si="23"/>
        <v>10</v>
      </c>
      <c r="P180" t="s">
        <v>802</v>
      </c>
      <c r="S180" t="s">
        <v>818</v>
      </c>
    </row>
    <row r="181" spans="1:19" x14ac:dyDescent="0.3">
      <c r="A181" s="16">
        <v>45951</v>
      </c>
      <c r="B181" t="s">
        <v>2</v>
      </c>
      <c r="C181" t="s">
        <v>627</v>
      </c>
      <c r="D181">
        <v>45054</v>
      </c>
      <c r="E181">
        <v>26141</v>
      </c>
      <c r="F181">
        <v>317</v>
      </c>
      <c r="G181">
        <v>322</v>
      </c>
      <c r="H181">
        <v>315616.26</v>
      </c>
      <c r="I181">
        <v>50</v>
      </c>
      <c r="J181">
        <v>202366.26</v>
      </c>
      <c r="K181">
        <v>42</v>
      </c>
      <c r="L181">
        <v>2027</v>
      </c>
      <c r="M181">
        <v>42857</v>
      </c>
      <c r="N181">
        <f t="shared" si="22"/>
        <v>2025</v>
      </c>
      <c r="O181">
        <f t="shared" si="23"/>
        <v>10</v>
      </c>
      <c r="P181" t="s">
        <v>802</v>
      </c>
      <c r="S181" t="s">
        <v>818</v>
      </c>
    </row>
    <row r="182" spans="1:19" x14ac:dyDescent="0.3">
      <c r="A182" s="16">
        <v>45952</v>
      </c>
      <c r="B182" t="s">
        <v>3</v>
      </c>
      <c r="C182" t="s">
        <v>627</v>
      </c>
      <c r="D182">
        <v>13830</v>
      </c>
      <c r="E182">
        <v>7879</v>
      </c>
      <c r="F182">
        <v>311</v>
      </c>
      <c r="G182">
        <v>102</v>
      </c>
      <c r="H182">
        <v>598285.43999999994</v>
      </c>
      <c r="I182">
        <v>99</v>
      </c>
      <c r="J182">
        <v>504475.44</v>
      </c>
      <c r="K182">
        <v>86</v>
      </c>
      <c r="L182">
        <v>1616</v>
      </c>
      <c r="M182">
        <v>10785</v>
      </c>
      <c r="N182">
        <f t="shared" si="22"/>
        <v>2025</v>
      </c>
      <c r="O182">
        <f t="shared" si="23"/>
        <v>10</v>
      </c>
      <c r="P182" t="s">
        <v>802</v>
      </c>
      <c r="S182" t="s">
        <v>818</v>
      </c>
    </row>
    <row r="183" spans="1:19" x14ac:dyDescent="0.3">
      <c r="A183" s="16">
        <v>45952</v>
      </c>
      <c r="B183" t="s">
        <v>2</v>
      </c>
      <c r="C183" t="s">
        <v>627</v>
      </c>
      <c r="D183">
        <v>53820</v>
      </c>
      <c r="E183">
        <v>32027</v>
      </c>
      <c r="F183">
        <v>313</v>
      </c>
      <c r="G183">
        <v>349</v>
      </c>
      <c r="H183">
        <v>267850</v>
      </c>
      <c r="I183">
        <v>44</v>
      </c>
      <c r="J183">
        <v>166380</v>
      </c>
      <c r="K183">
        <v>32</v>
      </c>
      <c r="L183">
        <v>2073</v>
      </c>
      <c r="M183">
        <v>52547</v>
      </c>
      <c r="N183">
        <f t="shared" si="22"/>
        <v>2025</v>
      </c>
      <c r="O183">
        <f t="shared" si="23"/>
        <v>10</v>
      </c>
      <c r="P183" t="s">
        <v>802</v>
      </c>
      <c r="S183" t="s">
        <v>818</v>
      </c>
    </row>
    <row r="184" spans="1:19" x14ac:dyDescent="0.3">
      <c r="A184" s="16">
        <v>45953</v>
      </c>
      <c r="B184" t="s">
        <v>3</v>
      </c>
      <c r="C184" t="s">
        <v>627</v>
      </c>
      <c r="D184">
        <v>11681</v>
      </c>
      <c r="E184">
        <v>6040</v>
      </c>
      <c r="F184">
        <v>322</v>
      </c>
      <c r="G184">
        <v>98</v>
      </c>
      <c r="H184">
        <v>458115</v>
      </c>
      <c r="I184">
        <v>89</v>
      </c>
      <c r="J184">
        <v>385365</v>
      </c>
      <c r="K184">
        <v>79</v>
      </c>
      <c r="L184">
        <v>1445</v>
      </c>
      <c r="M184">
        <v>9568</v>
      </c>
      <c r="N184">
        <f t="shared" si="22"/>
        <v>2025</v>
      </c>
      <c r="O184">
        <f t="shared" si="23"/>
        <v>10</v>
      </c>
      <c r="P184" t="s">
        <v>802</v>
      </c>
      <c r="S184" t="s">
        <v>818</v>
      </c>
    </row>
    <row r="185" spans="1:19" x14ac:dyDescent="0.3">
      <c r="A185" s="16">
        <v>45953</v>
      </c>
      <c r="B185" t="s">
        <v>2</v>
      </c>
      <c r="C185" t="s">
        <v>627</v>
      </c>
      <c r="D185">
        <v>50348</v>
      </c>
      <c r="E185">
        <v>28467</v>
      </c>
      <c r="F185">
        <v>269</v>
      </c>
      <c r="G185">
        <v>320</v>
      </c>
      <c r="H185">
        <v>257575</v>
      </c>
      <c r="I185">
        <v>41</v>
      </c>
      <c r="J185">
        <v>204395</v>
      </c>
      <c r="K185">
        <v>37</v>
      </c>
      <c r="L185">
        <v>1857</v>
      </c>
      <c r="M185">
        <v>49300</v>
      </c>
      <c r="N185">
        <f t="shared" si="22"/>
        <v>2025</v>
      </c>
      <c r="O185">
        <f t="shared" si="23"/>
        <v>10</v>
      </c>
      <c r="P185" t="s">
        <v>802</v>
      </c>
      <c r="S185" t="s">
        <v>818</v>
      </c>
    </row>
    <row r="186" spans="1:19" x14ac:dyDescent="0.3">
      <c r="A186" s="16">
        <v>45954</v>
      </c>
      <c r="B186" t="s">
        <v>3</v>
      </c>
      <c r="C186" t="s">
        <v>627</v>
      </c>
      <c r="D186">
        <v>8728</v>
      </c>
      <c r="E186">
        <v>3834</v>
      </c>
      <c r="F186">
        <v>250</v>
      </c>
      <c r="G186">
        <v>81</v>
      </c>
      <c r="H186">
        <v>320545.33</v>
      </c>
      <c r="I186">
        <v>58</v>
      </c>
      <c r="J186">
        <v>251695.33</v>
      </c>
      <c r="K186">
        <v>49</v>
      </c>
      <c r="L186">
        <v>1176</v>
      </c>
      <c r="M186">
        <v>8547</v>
      </c>
      <c r="N186">
        <f t="shared" si="22"/>
        <v>2025</v>
      </c>
      <c r="O186">
        <f t="shared" si="23"/>
        <v>10</v>
      </c>
      <c r="P186" t="s">
        <v>802</v>
      </c>
      <c r="S186" t="s">
        <v>818</v>
      </c>
    </row>
    <row r="187" spans="1:19" x14ac:dyDescent="0.3">
      <c r="A187" s="16">
        <v>45954</v>
      </c>
      <c r="B187" t="s">
        <v>2</v>
      </c>
      <c r="C187" t="s">
        <v>627</v>
      </c>
      <c r="D187">
        <v>29499</v>
      </c>
      <c r="E187">
        <v>16317</v>
      </c>
      <c r="F187">
        <v>141</v>
      </c>
      <c r="G187">
        <v>122</v>
      </c>
      <c r="H187">
        <v>145070</v>
      </c>
      <c r="I187">
        <v>24</v>
      </c>
      <c r="J187">
        <v>97190</v>
      </c>
      <c r="K187">
        <v>19</v>
      </c>
      <c r="L187">
        <v>1611</v>
      </c>
      <c r="M187">
        <v>29020</v>
      </c>
      <c r="N187">
        <f t="shared" si="22"/>
        <v>2025</v>
      </c>
      <c r="O187">
        <f t="shared" si="23"/>
        <v>10</v>
      </c>
      <c r="P187" t="s">
        <v>802</v>
      </c>
      <c r="S187" t="s">
        <v>818</v>
      </c>
    </row>
    <row r="188" spans="1:19" x14ac:dyDescent="0.3">
      <c r="A188" s="16">
        <v>45955</v>
      </c>
      <c r="B188" t="s">
        <v>3</v>
      </c>
      <c r="C188" t="s">
        <v>627</v>
      </c>
      <c r="D188">
        <v>12376</v>
      </c>
      <c r="E188">
        <v>7264</v>
      </c>
      <c r="F188">
        <v>281</v>
      </c>
      <c r="G188">
        <v>70</v>
      </c>
      <c r="H188">
        <v>244399.83</v>
      </c>
      <c r="I188">
        <v>56</v>
      </c>
      <c r="J188">
        <v>205534.83</v>
      </c>
      <c r="K188">
        <v>48</v>
      </c>
      <c r="L188">
        <v>1148</v>
      </c>
      <c r="M188">
        <v>10216</v>
      </c>
      <c r="N188">
        <f t="shared" si="22"/>
        <v>2025</v>
      </c>
      <c r="O188">
        <f t="shared" si="23"/>
        <v>10</v>
      </c>
      <c r="P188" t="s">
        <v>802</v>
      </c>
      <c r="S188" t="s">
        <v>818</v>
      </c>
    </row>
    <row r="189" spans="1:19" x14ac:dyDescent="0.3">
      <c r="A189" s="16">
        <v>45955</v>
      </c>
      <c r="B189" t="s">
        <v>2</v>
      </c>
      <c r="C189" t="s">
        <v>627</v>
      </c>
      <c r="D189">
        <v>25691</v>
      </c>
      <c r="E189">
        <v>13870</v>
      </c>
      <c r="F189">
        <v>205</v>
      </c>
      <c r="G189">
        <v>150</v>
      </c>
      <c r="H189">
        <v>86360</v>
      </c>
      <c r="I189">
        <v>17</v>
      </c>
      <c r="J189">
        <v>47400</v>
      </c>
      <c r="K189">
        <v>12</v>
      </c>
      <c r="L189">
        <v>1627</v>
      </c>
      <c r="M189">
        <v>24659</v>
      </c>
      <c r="N189">
        <f t="shared" si="22"/>
        <v>2025</v>
      </c>
      <c r="O189">
        <f t="shared" si="23"/>
        <v>10</v>
      </c>
      <c r="P189" t="s">
        <v>802</v>
      </c>
      <c r="S189" t="s">
        <v>818</v>
      </c>
    </row>
    <row r="190" spans="1:19" x14ac:dyDescent="0.3">
      <c r="A190" s="16">
        <v>45956</v>
      </c>
      <c r="B190" t="s">
        <v>3</v>
      </c>
      <c r="C190" t="s">
        <v>627</v>
      </c>
      <c r="D190">
        <v>10016</v>
      </c>
      <c r="E190">
        <v>4560</v>
      </c>
      <c r="F190">
        <v>326</v>
      </c>
      <c r="G190">
        <v>93</v>
      </c>
      <c r="H190">
        <v>365000</v>
      </c>
      <c r="I190">
        <v>70</v>
      </c>
      <c r="J190">
        <v>317840</v>
      </c>
      <c r="K190">
        <v>63</v>
      </c>
      <c r="L190">
        <v>1365</v>
      </c>
      <c r="M190">
        <v>9752</v>
      </c>
      <c r="N190">
        <f t="shared" si="22"/>
        <v>2025</v>
      </c>
      <c r="O190">
        <f t="shared" si="23"/>
        <v>10</v>
      </c>
      <c r="P190" t="s">
        <v>802</v>
      </c>
      <c r="S190" t="s">
        <v>818</v>
      </c>
    </row>
    <row r="191" spans="1:19" x14ac:dyDescent="0.3">
      <c r="A191" s="16">
        <v>45956</v>
      </c>
      <c r="B191" t="s">
        <v>2</v>
      </c>
      <c r="C191" t="s">
        <v>627</v>
      </c>
      <c r="D191">
        <v>29898</v>
      </c>
      <c r="E191">
        <v>17169</v>
      </c>
      <c r="F191">
        <v>195</v>
      </c>
      <c r="G191">
        <v>163</v>
      </c>
      <c r="H191">
        <v>102930</v>
      </c>
      <c r="I191">
        <v>21</v>
      </c>
      <c r="J191">
        <v>70590</v>
      </c>
      <c r="K191">
        <v>17</v>
      </c>
      <c r="L191">
        <v>1787</v>
      </c>
      <c r="M191">
        <v>29387</v>
      </c>
      <c r="N191">
        <f t="shared" si="22"/>
        <v>2025</v>
      </c>
      <c r="O191">
        <f t="shared" si="23"/>
        <v>10</v>
      </c>
      <c r="P191" t="s">
        <v>802</v>
      </c>
      <c r="S191" t="s">
        <v>818</v>
      </c>
    </row>
    <row r="192" spans="1:19" x14ac:dyDescent="0.3">
      <c r="A192" s="16">
        <v>45957</v>
      </c>
      <c r="B192" t="s">
        <v>3</v>
      </c>
      <c r="C192" t="s">
        <v>627</v>
      </c>
      <c r="D192">
        <v>15126</v>
      </c>
      <c r="E192">
        <v>30995</v>
      </c>
      <c r="F192">
        <v>279</v>
      </c>
      <c r="G192">
        <v>87</v>
      </c>
      <c r="H192">
        <v>434434.46</v>
      </c>
      <c r="I192">
        <v>64</v>
      </c>
      <c r="J192">
        <v>306764.46000000002</v>
      </c>
      <c r="K192">
        <v>54</v>
      </c>
      <c r="L192">
        <v>1227</v>
      </c>
      <c r="M192">
        <v>11114</v>
      </c>
      <c r="N192">
        <f t="shared" si="22"/>
        <v>2025</v>
      </c>
      <c r="O192">
        <f t="shared" si="23"/>
        <v>10</v>
      </c>
      <c r="P192" t="s">
        <v>802</v>
      </c>
      <c r="S192" t="s">
        <v>818</v>
      </c>
    </row>
    <row r="193" spans="1:19" x14ac:dyDescent="0.3">
      <c r="A193" s="16">
        <v>45957</v>
      </c>
      <c r="B193" t="s">
        <v>2</v>
      </c>
      <c r="C193" t="s">
        <v>627</v>
      </c>
      <c r="D193">
        <v>29909</v>
      </c>
      <c r="E193">
        <v>16680</v>
      </c>
      <c r="F193">
        <v>200</v>
      </c>
      <c r="G193">
        <v>140</v>
      </c>
      <c r="H193">
        <v>171754.46</v>
      </c>
      <c r="I193">
        <v>17</v>
      </c>
      <c r="J193">
        <v>59024.46</v>
      </c>
      <c r="K193">
        <v>12</v>
      </c>
      <c r="L193">
        <v>1745</v>
      </c>
      <c r="M193">
        <v>28495</v>
      </c>
      <c r="N193">
        <f t="shared" si="22"/>
        <v>2025</v>
      </c>
      <c r="O193">
        <f t="shared" si="23"/>
        <v>10</v>
      </c>
      <c r="P193" t="s">
        <v>802</v>
      </c>
      <c r="S193" t="s">
        <v>818</v>
      </c>
    </row>
    <row r="194" spans="1:19" x14ac:dyDescent="0.3">
      <c r="A194" s="16">
        <v>45958</v>
      </c>
      <c r="B194" t="s">
        <v>3</v>
      </c>
      <c r="C194" t="s">
        <v>627</v>
      </c>
      <c r="D194">
        <v>11893</v>
      </c>
      <c r="E194">
        <v>6607</v>
      </c>
      <c r="F194">
        <v>323</v>
      </c>
      <c r="G194">
        <v>71</v>
      </c>
      <c r="H194">
        <v>481844</v>
      </c>
      <c r="I194">
        <v>76</v>
      </c>
      <c r="J194">
        <v>427574</v>
      </c>
      <c r="K194">
        <v>68</v>
      </c>
      <c r="L194">
        <v>1317</v>
      </c>
      <c r="M194">
        <v>11610</v>
      </c>
      <c r="N194">
        <f t="shared" si="22"/>
        <v>2025</v>
      </c>
      <c r="O194">
        <f t="shared" si="23"/>
        <v>10</v>
      </c>
      <c r="P194" t="s">
        <v>802</v>
      </c>
      <c r="S194" t="s">
        <v>818</v>
      </c>
    </row>
    <row r="195" spans="1:19" x14ac:dyDescent="0.3">
      <c r="A195" s="16">
        <v>45958</v>
      </c>
      <c r="B195" t="s">
        <v>2</v>
      </c>
      <c r="C195" t="s">
        <v>627</v>
      </c>
      <c r="D195">
        <v>31085</v>
      </c>
      <c r="E195">
        <v>18213</v>
      </c>
      <c r="F195">
        <v>177</v>
      </c>
      <c r="G195">
        <v>139</v>
      </c>
      <c r="H195">
        <v>256837</v>
      </c>
      <c r="I195">
        <v>32</v>
      </c>
      <c r="J195">
        <v>158892</v>
      </c>
      <c r="K195">
        <v>25</v>
      </c>
      <c r="L195">
        <v>1502</v>
      </c>
      <c r="M195">
        <v>30669</v>
      </c>
      <c r="N195">
        <f t="shared" si="22"/>
        <v>2025</v>
      </c>
      <c r="O195">
        <f t="shared" si="23"/>
        <v>10</v>
      </c>
      <c r="P195" t="s">
        <v>802</v>
      </c>
      <c r="S195" t="s">
        <v>818</v>
      </c>
    </row>
    <row r="196" spans="1:19" x14ac:dyDescent="0.3">
      <c r="A196" s="16">
        <v>45959</v>
      </c>
      <c r="B196" t="s">
        <v>3</v>
      </c>
      <c r="C196" t="s">
        <v>627</v>
      </c>
      <c r="D196">
        <v>20485</v>
      </c>
      <c r="E196">
        <v>13473</v>
      </c>
      <c r="F196">
        <v>304</v>
      </c>
      <c r="G196">
        <v>95</v>
      </c>
      <c r="H196">
        <v>348496.09</v>
      </c>
      <c r="I196">
        <v>67</v>
      </c>
      <c r="J196">
        <v>311077.09000000003</v>
      </c>
      <c r="K196">
        <v>58</v>
      </c>
      <c r="L196">
        <v>1282</v>
      </c>
      <c r="M196">
        <v>17478</v>
      </c>
      <c r="N196">
        <f t="shared" si="22"/>
        <v>2025</v>
      </c>
      <c r="O196">
        <f t="shared" si="23"/>
        <v>10</v>
      </c>
      <c r="P196" t="s">
        <v>802</v>
      </c>
      <c r="S196" t="s">
        <v>818</v>
      </c>
    </row>
    <row r="197" spans="1:19" x14ac:dyDescent="0.3">
      <c r="A197" s="16">
        <v>45959</v>
      </c>
      <c r="B197" t="s">
        <v>2</v>
      </c>
      <c r="C197" t="s">
        <v>627</v>
      </c>
      <c r="D197">
        <v>33081</v>
      </c>
      <c r="E197">
        <v>18605</v>
      </c>
      <c r="F197">
        <v>192</v>
      </c>
      <c r="G197">
        <v>148</v>
      </c>
      <c r="H197">
        <v>186330</v>
      </c>
      <c r="I197">
        <v>27</v>
      </c>
      <c r="J197">
        <v>154050</v>
      </c>
      <c r="K197">
        <v>24</v>
      </c>
      <c r="L197">
        <v>1459</v>
      </c>
      <c r="M197">
        <v>32092</v>
      </c>
      <c r="N197">
        <f t="shared" si="22"/>
        <v>2025</v>
      </c>
      <c r="O197">
        <f t="shared" si="23"/>
        <v>10</v>
      </c>
      <c r="P197" t="s">
        <v>802</v>
      </c>
      <c r="S197" t="s">
        <v>818</v>
      </c>
    </row>
    <row r="198" spans="1:19" x14ac:dyDescent="0.3">
      <c r="A198" s="16">
        <v>45960</v>
      </c>
      <c r="B198" t="s">
        <v>3</v>
      </c>
      <c r="C198" t="s">
        <v>627</v>
      </c>
      <c r="D198">
        <v>19881</v>
      </c>
      <c r="E198">
        <v>12954</v>
      </c>
      <c r="F198">
        <v>297</v>
      </c>
      <c r="G198">
        <v>70</v>
      </c>
      <c r="H198">
        <v>419462</v>
      </c>
      <c r="I198">
        <v>75</v>
      </c>
      <c r="J198">
        <v>363782</v>
      </c>
      <c r="K198">
        <v>69</v>
      </c>
      <c r="L198">
        <v>1194</v>
      </c>
      <c r="M198">
        <v>14527</v>
      </c>
      <c r="N198">
        <f t="shared" si="22"/>
        <v>2025</v>
      </c>
      <c r="O198">
        <f t="shared" si="23"/>
        <v>10</v>
      </c>
      <c r="P198" t="s">
        <v>802</v>
      </c>
      <c r="S198" t="s">
        <v>818</v>
      </c>
    </row>
    <row r="199" spans="1:19" x14ac:dyDescent="0.3">
      <c r="A199" s="16">
        <v>45960</v>
      </c>
      <c r="B199" t="s">
        <v>2</v>
      </c>
      <c r="C199" t="s">
        <v>627</v>
      </c>
      <c r="D199">
        <v>49392</v>
      </c>
      <c r="E199">
        <v>31416</v>
      </c>
      <c r="F199">
        <v>207</v>
      </c>
      <c r="G199">
        <v>193</v>
      </c>
      <c r="H199">
        <v>178820</v>
      </c>
      <c r="I199">
        <v>34</v>
      </c>
      <c r="J199">
        <v>114565</v>
      </c>
      <c r="K199">
        <v>28</v>
      </c>
      <c r="L199">
        <v>1577</v>
      </c>
      <c r="M199">
        <v>48453</v>
      </c>
      <c r="N199">
        <f t="shared" si="22"/>
        <v>2025</v>
      </c>
      <c r="O199">
        <f t="shared" si="23"/>
        <v>10</v>
      </c>
      <c r="P199" t="s">
        <v>802</v>
      </c>
      <c r="S199" t="s">
        <v>818</v>
      </c>
    </row>
    <row r="200" spans="1:19" x14ac:dyDescent="0.3">
      <c r="A200" s="16">
        <v>45961</v>
      </c>
      <c r="B200" t="s">
        <v>3</v>
      </c>
      <c r="C200" t="s">
        <v>627</v>
      </c>
      <c r="D200">
        <v>18833</v>
      </c>
      <c r="E200">
        <v>11665</v>
      </c>
      <c r="F200">
        <v>314</v>
      </c>
      <c r="G200">
        <v>93</v>
      </c>
      <c r="H200">
        <v>593460.47999999998</v>
      </c>
      <c r="I200">
        <v>94</v>
      </c>
      <c r="J200">
        <v>374150.48</v>
      </c>
      <c r="K200">
        <v>78</v>
      </c>
      <c r="L200">
        <v>1257</v>
      </c>
      <c r="M200">
        <v>15423</v>
      </c>
      <c r="N200">
        <f t="shared" si="22"/>
        <v>2025</v>
      </c>
      <c r="O200">
        <f t="shared" si="23"/>
        <v>10</v>
      </c>
      <c r="P200" t="s">
        <v>802</v>
      </c>
      <c r="S200" t="s">
        <v>818</v>
      </c>
    </row>
    <row r="201" spans="1:19" x14ac:dyDescent="0.3">
      <c r="A201" s="16">
        <v>45961</v>
      </c>
      <c r="B201" t="s">
        <v>2</v>
      </c>
      <c r="C201" t="s">
        <v>627</v>
      </c>
      <c r="D201">
        <v>26638</v>
      </c>
      <c r="E201">
        <v>14169</v>
      </c>
      <c r="F201">
        <v>151</v>
      </c>
      <c r="G201">
        <v>136</v>
      </c>
      <c r="H201">
        <v>207145</v>
      </c>
      <c r="I201">
        <v>33</v>
      </c>
      <c r="J201">
        <v>129405</v>
      </c>
      <c r="K201">
        <v>27</v>
      </c>
      <c r="L201">
        <v>1299</v>
      </c>
      <c r="M201">
        <v>25559</v>
      </c>
      <c r="N201">
        <f t="shared" si="22"/>
        <v>2025</v>
      </c>
      <c r="O201">
        <f t="shared" si="23"/>
        <v>10</v>
      </c>
      <c r="P201" t="s">
        <v>802</v>
      </c>
      <c r="S201" t="s">
        <v>818</v>
      </c>
    </row>
    <row r="202" spans="1:19" x14ac:dyDescent="0.3">
      <c r="A202" s="16">
        <v>45962</v>
      </c>
      <c r="B202" t="s">
        <v>3</v>
      </c>
      <c r="C202" t="s">
        <v>627</v>
      </c>
      <c r="D202">
        <v>22005</v>
      </c>
      <c r="E202">
        <v>13927</v>
      </c>
      <c r="F202">
        <v>355</v>
      </c>
      <c r="G202">
        <v>87</v>
      </c>
      <c r="H202">
        <v>522763.52000000002</v>
      </c>
      <c r="I202">
        <v>93</v>
      </c>
      <c r="J202">
        <v>380158.52</v>
      </c>
      <c r="K202">
        <v>75</v>
      </c>
      <c r="L202">
        <v>1326</v>
      </c>
      <c r="M202">
        <v>18535</v>
      </c>
      <c r="N202">
        <f t="shared" si="22"/>
        <v>2025</v>
      </c>
      <c r="O202">
        <f t="shared" si="23"/>
        <v>11</v>
      </c>
      <c r="P202" t="s">
        <v>802</v>
      </c>
      <c r="S202" t="s">
        <v>819</v>
      </c>
    </row>
    <row r="203" spans="1:19" x14ac:dyDescent="0.3">
      <c r="A203" s="16">
        <v>45962</v>
      </c>
      <c r="B203" t="s">
        <v>2</v>
      </c>
      <c r="C203" t="s">
        <v>627</v>
      </c>
      <c r="D203">
        <v>31137</v>
      </c>
      <c r="E203">
        <v>18628</v>
      </c>
      <c r="F203">
        <v>132</v>
      </c>
      <c r="G203">
        <v>151</v>
      </c>
      <c r="H203">
        <v>148480</v>
      </c>
      <c r="I203">
        <v>21</v>
      </c>
      <c r="J203">
        <v>82560</v>
      </c>
      <c r="K203">
        <v>15</v>
      </c>
      <c r="L203">
        <v>1406</v>
      </c>
      <c r="M203">
        <v>29848</v>
      </c>
      <c r="N203">
        <f t="shared" si="22"/>
        <v>2025</v>
      </c>
      <c r="O203">
        <f t="shared" si="23"/>
        <v>11</v>
      </c>
      <c r="P203" t="s">
        <v>802</v>
      </c>
      <c r="S203" t="s">
        <v>819</v>
      </c>
    </row>
    <row r="204" spans="1:19" x14ac:dyDescent="0.3">
      <c r="A204" s="16">
        <v>45963</v>
      </c>
      <c r="B204" t="s">
        <v>3</v>
      </c>
      <c r="C204" t="s">
        <v>627</v>
      </c>
      <c r="D204">
        <v>23723</v>
      </c>
      <c r="E204">
        <v>15551</v>
      </c>
      <c r="F204">
        <v>323</v>
      </c>
      <c r="G204">
        <v>88</v>
      </c>
      <c r="H204">
        <v>525391.91</v>
      </c>
      <c r="I204">
        <v>80</v>
      </c>
      <c r="J204">
        <v>420531.91</v>
      </c>
      <c r="K204">
        <v>67</v>
      </c>
      <c r="L204">
        <v>1355</v>
      </c>
      <c r="M204">
        <v>17907</v>
      </c>
      <c r="N204">
        <f t="shared" si="22"/>
        <v>2025</v>
      </c>
      <c r="O204">
        <f t="shared" si="23"/>
        <v>11</v>
      </c>
      <c r="P204" t="s">
        <v>802</v>
      </c>
      <c r="S204" t="s">
        <v>819</v>
      </c>
    </row>
    <row r="205" spans="1:19" x14ac:dyDescent="0.3">
      <c r="A205" s="16">
        <v>45963</v>
      </c>
      <c r="B205" t="s">
        <v>2</v>
      </c>
      <c r="C205" t="s">
        <v>627</v>
      </c>
      <c r="D205">
        <v>35079</v>
      </c>
      <c r="E205">
        <v>21273</v>
      </c>
      <c r="F205">
        <v>184</v>
      </c>
      <c r="G205">
        <v>168</v>
      </c>
      <c r="H205">
        <v>215540</v>
      </c>
      <c r="I205">
        <v>28</v>
      </c>
      <c r="J205">
        <v>122680</v>
      </c>
      <c r="K205">
        <v>22</v>
      </c>
      <c r="L205">
        <v>1653</v>
      </c>
      <c r="M205">
        <v>34024</v>
      </c>
      <c r="N205">
        <f t="shared" si="22"/>
        <v>2025</v>
      </c>
      <c r="O205">
        <f t="shared" si="23"/>
        <v>11</v>
      </c>
      <c r="P205" t="s">
        <v>802</v>
      </c>
      <c r="S205" t="s">
        <v>819</v>
      </c>
    </row>
    <row r="206" spans="1:19" x14ac:dyDescent="0.3">
      <c r="A206" s="16">
        <v>45964</v>
      </c>
      <c r="B206" t="s">
        <v>3</v>
      </c>
      <c r="C206" t="s">
        <v>627</v>
      </c>
      <c r="D206">
        <v>25175</v>
      </c>
      <c r="E206">
        <v>16421</v>
      </c>
      <c r="F206">
        <v>322</v>
      </c>
      <c r="G206">
        <v>91</v>
      </c>
      <c r="H206">
        <v>404330</v>
      </c>
      <c r="I206">
        <v>58</v>
      </c>
      <c r="J206">
        <v>200435</v>
      </c>
      <c r="K206">
        <v>44</v>
      </c>
      <c r="L206">
        <v>1401</v>
      </c>
      <c r="M206">
        <v>16683</v>
      </c>
      <c r="N206">
        <f t="shared" si="22"/>
        <v>2025</v>
      </c>
      <c r="O206">
        <f t="shared" si="23"/>
        <v>11</v>
      </c>
      <c r="P206" t="s">
        <v>802</v>
      </c>
      <c r="S206" t="s">
        <v>819</v>
      </c>
    </row>
    <row r="207" spans="1:19" x14ac:dyDescent="0.3">
      <c r="A207" s="16">
        <v>45964</v>
      </c>
      <c r="B207" t="s">
        <v>2</v>
      </c>
      <c r="C207" t="s">
        <v>627</v>
      </c>
      <c r="D207">
        <v>32913</v>
      </c>
      <c r="E207">
        <v>18068</v>
      </c>
      <c r="F207">
        <v>194</v>
      </c>
      <c r="G207">
        <v>156</v>
      </c>
      <c r="H207">
        <v>113600</v>
      </c>
      <c r="I207">
        <v>18</v>
      </c>
      <c r="J207">
        <v>72920</v>
      </c>
      <c r="K207">
        <v>15</v>
      </c>
      <c r="L207">
        <v>1624</v>
      </c>
      <c r="M207">
        <v>31497</v>
      </c>
      <c r="N207">
        <f t="shared" si="22"/>
        <v>2025</v>
      </c>
      <c r="O207">
        <f t="shared" si="23"/>
        <v>11</v>
      </c>
      <c r="P207" t="s">
        <v>802</v>
      </c>
      <c r="S207" t="s">
        <v>819</v>
      </c>
    </row>
    <row r="208" spans="1:19" x14ac:dyDescent="0.3">
      <c r="A208" s="16">
        <v>45965</v>
      </c>
      <c r="B208" t="s">
        <v>3</v>
      </c>
      <c r="C208" t="s">
        <v>627</v>
      </c>
      <c r="D208">
        <v>28316</v>
      </c>
      <c r="E208">
        <v>17463</v>
      </c>
      <c r="F208">
        <v>287</v>
      </c>
      <c r="G208">
        <v>90</v>
      </c>
      <c r="H208">
        <v>288469</v>
      </c>
      <c r="I208">
        <v>57</v>
      </c>
      <c r="J208">
        <v>206079</v>
      </c>
      <c r="K208">
        <v>49</v>
      </c>
      <c r="L208">
        <v>1375</v>
      </c>
      <c r="M208">
        <v>28079</v>
      </c>
      <c r="N208">
        <f t="shared" si="22"/>
        <v>2025</v>
      </c>
      <c r="O208">
        <f t="shared" si="23"/>
        <v>11</v>
      </c>
      <c r="P208" t="s">
        <v>802</v>
      </c>
      <c r="S208" t="s">
        <v>819</v>
      </c>
    </row>
    <row r="209" spans="1:19" x14ac:dyDescent="0.3">
      <c r="A209" s="16">
        <v>45965</v>
      </c>
      <c r="B209" t="s">
        <v>2</v>
      </c>
      <c r="C209" t="s">
        <v>627</v>
      </c>
      <c r="D209">
        <v>33919</v>
      </c>
      <c r="E209">
        <v>18516</v>
      </c>
      <c r="F209">
        <v>166</v>
      </c>
      <c r="G209">
        <v>170</v>
      </c>
      <c r="H209">
        <v>116980</v>
      </c>
      <c r="I209">
        <v>23</v>
      </c>
      <c r="J209">
        <v>66630</v>
      </c>
      <c r="K209">
        <v>15</v>
      </c>
      <c r="L209">
        <v>1539</v>
      </c>
      <c r="M209">
        <v>33522</v>
      </c>
      <c r="N209">
        <f t="shared" si="22"/>
        <v>2025</v>
      </c>
      <c r="O209">
        <f t="shared" si="23"/>
        <v>11</v>
      </c>
      <c r="P209" t="s">
        <v>802</v>
      </c>
      <c r="S209" t="s">
        <v>819</v>
      </c>
    </row>
    <row r="210" spans="1:19" x14ac:dyDescent="0.3">
      <c r="A210" s="16">
        <v>45966</v>
      </c>
      <c r="B210" t="s">
        <v>3</v>
      </c>
      <c r="C210" t="s">
        <v>627</v>
      </c>
      <c r="D210">
        <v>21810</v>
      </c>
      <c r="E210">
        <v>14117</v>
      </c>
      <c r="F210">
        <v>328</v>
      </c>
      <c r="G210">
        <v>92</v>
      </c>
      <c r="H210">
        <v>615534.99</v>
      </c>
      <c r="I210">
        <v>94</v>
      </c>
      <c r="J210">
        <v>416174.99</v>
      </c>
      <c r="K210">
        <v>76</v>
      </c>
      <c r="L210">
        <v>1277</v>
      </c>
      <c r="M210">
        <v>14871</v>
      </c>
      <c r="N210">
        <f t="shared" si="22"/>
        <v>2025</v>
      </c>
      <c r="O210">
        <f t="shared" si="23"/>
        <v>11</v>
      </c>
      <c r="P210" t="s">
        <v>802</v>
      </c>
      <c r="S210" t="s">
        <v>819</v>
      </c>
    </row>
    <row r="211" spans="1:19" x14ac:dyDescent="0.3">
      <c r="A211" s="16">
        <v>45966</v>
      </c>
      <c r="B211" t="s">
        <v>2</v>
      </c>
      <c r="C211" t="s">
        <v>627</v>
      </c>
      <c r="D211">
        <v>37737</v>
      </c>
      <c r="E211">
        <v>20838</v>
      </c>
      <c r="F211">
        <v>196</v>
      </c>
      <c r="G211">
        <v>182</v>
      </c>
      <c r="H211">
        <v>156885</v>
      </c>
      <c r="I211">
        <v>31</v>
      </c>
      <c r="J211">
        <v>74015</v>
      </c>
      <c r="K211">
        <v>20</v>
      </c>
      <c r="L211">
        <v>1650</v>
      </c>
      <c r="M211">
        <v>36313</v>
      </c>
      <c r="N211">
        <f t="shared" si="22"/>
        <v>2025</v>
      </c>
      <c r="O211">
        <f t="shared" si="23"/>
        <v>11</v>
      </c>
      <c r="P211" t="s">
        <v>802</v>
      </c>
      <c r="S211" t="s">
        <v>819</v>
      </c>
    </row>
    <row r="212" spans="1:19" x14ac:dyDescent="0.3">
      <c r="A212" s="16">
        <v>45967</v>
      </c>
      <c r="B212" t="s">
        <v>3</v>
      </c>
      <c r="C212" t="s">
        <v>627</v>
      </c>
      <c r="D212">
        <v>15198</v>
      </c>
      <c r="E212">
        <v>8218</v>
      </c>
      <c r="F212">
        <v>322</v>
      </c>
      <c r="G212">
        <v>102</v>
      </c>
      <c r="H212">
        <v>328004.06</v>
      </c>
      <c r="I212">
        <v>61</v>
      </c>
      <c r="J212">
        <v>233664.06</v>
      </c>
      <c r="K212">
        <v>53</v>
      </c>
      <c r="L212">
        <v>1412</v>
      </c>
      <c r="M212">
        <v>13624</v>
      </c>
      <c r="N212">
        <f t="shared" si="22"/>
        <v>2025</v>
      </c>
      <c r="O212">
        <f t="shared" si="23"/>
        <v>11</v>
      </c>
      <c r="P212" t="s">
        <v>802</v>
      </c>
      <c r="S212" t="s">
        <v>819</v>
      </c>
    </row>
    <row r="213" spans="1:19" x14ac:dyDescent="0.3">
      <c r="A213" s="16">
        <v>45967</v>
      </c>
      <c r="B213" t="s">
        <v>2</v>
      </c>
      <c r="C213" t="s">
        <v>627</v>
      </c>
      <c r="D213">
        <v>33228</v>
      </c>
      <c r="E213">
        <v>18245</v>
      </c>
      <c r="F213">
        <v>143</v>
      </c>
      <c r="G213">
        <v>137</v>
      </c>
      <c r="H213">
        <v>89835.44</v>
      </c>
      <c r="I213">
        <v>17</v>
      </c>
      <c r="J213">
        <v>54525.440000000002</v>
      </c>
      <c r="K213">
        <v>13</v>
      </c>
      <c r="L213">
        <v>1435</v>
      </c>
      <c r="M213">
        <v>32478</v>
      </c>
      <c r="N213">
        <f t="shared" si="22"/>
        <v>2025</v>
      </c>
      <c r="O213">
        <f t="shared" si="23"/>
        <v>11</v>
      </c>
      <c r="P213" t="s">
        <v>802</v>
      </c>
      <c r="S213" t="s">
        <v>819</v>
      </c>
    </row>
    <row r="214" spans="1:19" x14ac:dyDescent="0.3">
      <c r="A214" s="16">
        <v>45968</v>
      </c>
      <c r="B214" t="s">
        <v>3</v>
      </c>
      <c r="C214" t="s">
        <v>627</v>
      </c>
      <c r="D214">
        <v>17552</v>
      </c>
      <c r="E214">
        <v>11302</v>
      </c>
      <c r="F214">
        <v>306</v>
      </c>
      <c r="G214">
        <v>88</v>
      </c>
      <c r="H214">
        <v>403171.42</v>
      </c>
      <c r="I214">
        <v>65</v>
      </c>
      <c r="J214">
        <v>329111.42</v>
      </c>
      <c r="K214">
        <v>60</v>
      </c>
      <c r="L214">
        <v>1382</v>
      </c>
      <c r="M214">
        <v>16317</v>
      </c>
      <c r="N214">
        <f t="shared" ref="N214:N229" si="24">YEAR(A214)</f>
        <v>2025</v>
      </c>
      <c r="O214">
        <f t="shared" ref="O214:O229" si="25">MONTH(A214)</f>
        <v>11</v>
      </c>
      <c r="P214" t="s">
        <v>802</v>
      </c>
      <c r="S214" t="s">
        <v>819</v>
      </c>
    </row>
    <row r="215" spans="1:19" x14ac:dyDescent="0.3">
      <c r="A215" s="16">
        <v>45968</v>
      </c>
      <c r="B215" t="s">
        <v>2</v>
      </c>
      <c r="C215" t="s">
        <v>627</v>
      </c>
      <c r="D215">
        <v>33562</v>
      </c>
      <c r="E215">
        <v>18995</v>
      </c>
      <c r="F215">
        <v>166</v>
      </c>
      <c r="G215">
        <v>170</v>
      </c>
      <c r="H215">
        <v>78874</v>
      </c>
      <c r="I215">
        <v>19</v>
      </c>
      <c r="J215">
        <v>40244</v>
      </c>
      <c r="K215">
        <v>13</v>
      </c>
      <c r="L215">
        <v>1494</v>
      </c>
      <c r="M215">
        <v>32690</v>
      </c>
      <c r="N215">
        <f t="shared" si="24"/>
        <v>2025</v>
      </c>
      <c r="O215">
        <f t="shared" si="25"/>
        <v>11</v>
      </c>
      <c r="P215" t="s">
        <v>802</v>
      </c>
      <c r="S215" t="s">
        <v>819</v>
      </c>
    </row>
    <row r="216" spans="1:19" x14ac:dyDescent="0.3">
      <c r="A216" s="16">
        <v>45969</v>
      </c>
      <c r="B216" t="s">
        <v>3</v>
      </c>
      <c r="C216" t="s">
        <v>627</v>
      </c>
      <c r="D216">
        <v>15412</v>
      </c>
      <c r="E216">
        <v>8661</v>
      </c>
      <c r="F216">
        <v>347</v>
      </c>
      <c r="G216">
        <v>104</v>
      </c>
      <c r="H216">
        <v>535483.84</v>
      </c>
      <c r="I216">
        <v>91</v>
      </c>
      <c r="J216">
        <v>326820.42</v>
      </c>
      <c r="K216">
        <v>73</v>
      </c>
      <c r="L216">
        <v>1607</v>
      </c>
      <c r="M216">
        <v>14975</v>
      </c>
      <c r="N216">
        <f t="shared" si="24"/>
        <v>2025</v>
      </c>
      <c r="O216">
        <f t="shared" si="25"/>
        <v>11</v>
      </c>
      <c r="P216" t="s">
        <v>802</v>
      </c>
      <c r="S216" t="s">
        <v>819</v>
      </c>
    </row>
    <row r="217" spans="1:19" x14ac:dyDescent="0.3">
      <c r="A217" s="16">
        <v>45969</v>
      </c>
      <c r="B217" t="s">
        <v>2</v>
      </c>
      <c r="C217" t="s">
        <v>627</v>
      </c>
      <c r="D217">
        <v>31293</v>
      </c>
      <c r="E217">
        <v>16774</v>
      </c>
      <c r="F217">
        <v>200</v>
      </c>
      <c r="G217">
        <v>157</v>
      </c>
      <c r="H217">
        <v>184175</v>
      </c>
      <c r="I217">
        <v>32</v>
      </c>
      <c r="J217">
        <v>117950</v>
      </c>
      <c r="K217">
        <v>26</v>
      </c>
      <c r="L217">
        <v>1700</v>
      </c>
      <c r="M217">
        <v>30775</v>
      </c>
      <c r="N217">
        <f t="shared" si="24"/>
        <v>2025</v>
      </c>
      <c r="O217">
        <f t="shared" si="25"/>
        <v>11</v>
      </c>
      <c r="P217" t="s">
        <v>802</v>
      </c>
      <c r="S217" t="s">
        <v>819</v>
      </c>
    </row>
    <row r="218" spans="1:19" x14ac:dyDescent="0.3">
      <c r="A218" s="16">
        <v>45970</v>
      </c>
      <c r="B218" t="s">
        <v>3</v>
      </c>
      <c r="C218" t="s">
        <v>627</v>
      </c>
      <c r="D218">
        <v>20149</v>
      </c>
      <c r="E218">
        <v>13171</v>
      </c>
      <c r="F218">
        <v>316</v>
      </c>
      <c r="G218">
        <v>103</v>
      </c>
      <c r="H218">
        <v>441603.96</v>
      </c>
      <c r="I218">
        <v>76</v>
      </c>
      <c r="J218">
        <v>298198.46000000002</v>
      </c>
      <c r="K218">
        <v>61</v>
      </c>
      <c r="L218">
        <v>1703</v>
      </c>
      <c r="M218">
        <v>17756</v>
      </c>
      <c r="N218">
        <f t="shared" si="24"/>
        <v>2025</v>
      </c>
      <c r="O218">
        <f t="shared" si="25"/>
        <v>11</v>
      </c>
      <c r="P218" t="s">
        <v>802</v>
      </c>
      <c r="S218" t="s">
        <v>819</v>
      </c>
    </row>
    <row r="219" spans="1:19" x14ac:dyDescent="0.3">
      <c r="A219" s="16">
        <v>45970</v>
      </c>
      <c r="B219" t="s">
        <v>2</v>
      </c>
      <c r="C219" t="s">
        <v>627</v>
      </c>
      <c r="D219">
        <v>32207</v>
      </c>
      <c r="E219">
        <v>17449</v>
      </c>
      <c r="F219">
        <v>207</v>
      </c>
      <c r="G219">
        <v>156</v>
      </c>
      <c r="H219">
        <v>126458</v>
      </c>
      <c r="I219">
        <v>25</v>
      </c>
      <c r="J219">
        <v>79188</v>
      </c>
      <c r="K219">
        <v>22</v>
      </c>
      <c r="L219">
        <v>2028</v>
      </c>
      <c r="M219">
        <v>30830</v>
      </c>
      <c r="N219">
        <f t="shared" si="24"/>
        <v>2025</v>
      </c>
      <c r="O219">
        <f t="shared" si="25"/>
        <v>11</v>
      </c>
      <c r="P219" t="s">
        <v>802</v>
      </c>
      <c r="S219" t="s">
        <v>819</v>
      </c>
    </row>
    <row r="220" spans="1:19" x14ac:dyDescent="0.3">
      <c r="A220" s="16">
        <v>45971</v>
      </c>
      <c r="B220" t="s">
        <v>3</v>
      </c>
      <c r="C220" t="s">
        <v>627</v>
      </c>
      <c r="D220">
        <v>18451</v>
      </c>
      <c r="E220">
        <v>11731</v>
      </c>
      <c r="F220">
        <v>320</v>
      </c>
      <c r="G220">
        <v>161</v>
      </c>
      <c r="H220">
        <v>474418.76</v>
      </c>
      <c r="I220">
        <v>86</v>
      </c>
      <c r="J220">
        <v>327918.51</v>
      </c>
      <c r="K220">
        <v>66</v>
      </c>
      <c r="L220">
        <v>1730</v>
      </c>
      <c r="M220">
        <v>17476</v>
      </c>
      <c r="N220">
        <f t="shared" si="24"/>
        <v>2025</v>
      </c>
      <c r="O220">
        <f t="shared" si="25"/>
        <v>11</v>
      </c>
      <c r="P220" t="s">
        <v>802</v>
      </c>
      <c r="S220" t="s">
        <v>819</v>
      </c>
    </row>
    <row r="221" spans="1:19" x14ac:dyDescent="0.3">
      <c r="A221" s="16">
        <v>45971</v>
      </c>
      <c r="B221" t="s">
        <v>2</v>
      </c>
      <c r="C221" t="s">
        <v>627</v>
      </c>
      <c r="D221">
        <v>32906</v>
      </c>
      <c r="E221">
        <v>17451</v>
      </c>
      <c r="F221">
        <v>186</v>
      </c>
      <c r="G221">
        <v>170</v>
      </c>
      <c r="H221">
        <v>135362</v>
      </c>
      <c r="I221">
        <v>26</v>
      </c>
      <c r="J221">
        <v>71512</v>
      </c>
      <c r="K221">
        <v>20</v>
      </c>
      <c r="L221">
        <v>1781</v>
      </c>
      <c r="M221">
        <v>32045</v>
      </c>
      <c r="N221">
        <f t="shared" si="24"/>
        <v>2025</v>
      </c>
      <c r="O221">
        <f t="shared" si="25"/>
        <v>11</v>
      </c>
      <c r="P221" t="s">
        <v>802</v>
      </c>
      <c r="S221" t="s">
        <v>819</v>
      </c>
    </row>
    <row r="222" spans="1:19" x14ac:dyDescent="0.3">
      <c r="A222" s="16">
        <v>45972</v>
      </c>
      <c r="B222" t="s">
        <v>3</v>
      </c>
      <c r="C222" t="s">
        <v>627</v>
      </c>
      <c r="D222">
        <v>20589</v>
      </c>
      <c r="E222">
        <v>12544</v>
      </c>
      <c r="F222">
        <v>349</v>
      </c>
      <c r="G222">
        <v>124</v>
      </c>
      <c r="H222">
        <v>693089.17</v>
      </c>
      <c r="I222">
        <v>137</v>
      </c>
      <c r="J222">
        <v>481866.77</v>
      </c>
      <c r="K222">
        <v>114</v>
      </c>
      <c r="L222">
        <v>1856</v>
      </c>
      <c r="M222">
        <v>19361</v>
      </c>
      <c r="N222">
        <f t="shared" si="24"/>
        <v>2025</v>
      </c>
      <c r="O222">
        <f t="shared" si="25"/>
        <v>11</v>
      </c>
      <c r="P222" t="s">
        <v>802</v>
      </c>
      <c r="S222" t="s">
        <v>819</v>
      </c>
    </row>
    <row r="223" spans="1:19" x14ac:dyDescent="0.3">
      <c r="A223" s="16">
        <v>45972</v>
      </c>
      <c r="B223" t="s">
        <v>2</v>
      </c>
      <c r="C223" t="s">
        <v>627</v>
      </c>
      <c r="D223">
        <v>28909</v>
      </c>
      <c r="E223">
        <v>15178</v>
      </c>
      <c r="F223">
        <v>184</v>
      </c>
      <c r="G223">
        <v>152</v>
      </c>
      <c r="H223">
        <v>238356.18</v>
      </c>
      <c r="I223">
        <v>42</v>
      </c>
      <c r="J223">
        <v>156926.18</v>
      </c>
      <c r="K223">
        <v>36</v>
      </c>
      <c r="L223">
        <v>1634</v>
      </c>
      <c r="M223">
        <v>27869</v>
      </c>
      <c r="N223">
        <f t="shared" si="24"/>
        <v>2025</v>
      </c>
      <c r="O223">
        <f t="shared" si="25"/>
        <v>11</v>
      </c>
      <c r="P223" t="s">
        <v>802</v>
      </c>
      <c r="S223" t="s">
        <v>819</v>
      </c>
    </row>
    <row r="224" spans="1:19" x14ac:dyDescent="0.3">
      <c r="A224" s="16">
        <v>45973</v>
      </c>
      <c r="B224" t="s">
        <v>3</v>
      </c>
      <c r="C224" t="s">
        <v>627</v>
      </c>
      <c r="D224">
        <v>17503</v>
      </c>
      <c r="E224">
        <v>10178</v>
      </c>
      <c r="F224">
        <v>309</v>
      </c>
      <c r="G224">
        <v>103</v>
      </c>
      <c r="H224">
        <v>394196</v>
      </c>
      <c r="I224">
        <v>75</v>
      </c>
      <c r="J224">
        <v>315211.40999999997</v>
      </c>
      <c r="K224">
        <v>69</v>
      </c>
      <c r="L224">
        <v>1542</v>
      </c>
      <c r="M224">
        <v>17200</v>
      </c>
      <c r="N224">
        <f t="shared" si="24"/>
        <v>2025</v>
      </c>
      <c r="O224">
        <f t="shared" si="25"/>
        <v>11</v>
      </c>
      <c r="P224" t="s">
        <v>802</v>
      </c>
      <c r="S224" t="s">
        <v>819</v>
      </c>
    </row>
    <row r="225" spans="1:19" x14ac:dyDescent="0.3">
      <c r="A225" s="16">
        <v>45973</v>
      </c>
      <c r="B225" t="s">
        <v>2</v>
      </c>
      <c r="C225" t="s">
        <v>627</v>
      </c>
      <c r="D225">
        <v>36529</v>
      </c>
      <c r="E225">
        <v>21181</v>
      </c>
      <c r="F225">
        <v>159</v>
      </c>
      <c r="G225">
        <v>186</v>
      </c>
      <c r="H225">
        <v>142589</v>
      </c>
      <c r="I225">
        <v>24</v>
      </c>
      <c r="J225">
        <v>87674</v>
      </c>
      <c r="K225">
        <v>18</v>
      </c>
      <c r="L225">
        <v>1547</v>
      </c>
      <c r="M225">
        <v>36139</v>
      </c>
      <c r="N225">
        <f t="shared" si="24"/>
        <v>2025</v>
      </c>
      <c r="O225">
        <f t="shared" si="25"/>
        <v>11</v>
      </c>
      <c r="P225" t="s">
        <v>802</v>
      </c>
      <c r="S225" t="s">
        <v>819</v>
      </c>
    </row>
    <row r="226" spans="1:19" x14ac:dyDescent="0.3">
      <c r="A226" s="16">
        <v>45974</v>
      </c>
      <c r="B226" t="s">
        <v>3</v>
      </c>
      <c r="C226" t="s">
        <v>627</v>
      </c>
      <c r="D226">
        <v>13981</v>
      </c>
      <c r="E226">
        <v>7545</v>
      </c>
      <c r="F226">
        <v>274</v>
      </c>
      <c r="G226">
        <v>82</v>
      </c>
      <c r="H226">
        <v>525219.83999999997</v>
      </c>
      <c r="I226">
        <v>76</v>
      </c>
      <c r="J226">
        <v>317904.84000000003</v>
      </c>
      <c r="K226">
        <v>64</v>
      </c>
      <c r="L226">
        <v>1525</v>
      </c>
      <c r="M226">
        <v>13695</v>
      </c>
      <c r="N226">
        <f t="shared" si="24"/>
        <v>2025</v>
      </c>
      <c r="O226">
        <f t="shared" si="25"/>
        <v>11</v>
      </c>
      <c r="P226" t="s">
        <v>802</v>
      </c>
      <c r="S226" t="s">
        <v>819</v>
      </c>
    </row>
    <row r="227" spans="1:19" x14ac:dyDescent="0.3">
      <c r="A227" s="16">
        <v>45974</v>
      </c>
      <c r="B227" t="s">
        <v>2</v>
      </c>
      <c r="C227" t="s">
        <v>627</v>
      </c>
      <c r="D227">
        <v>35426</v>
      </c>
      <c r="E227">
        <v>19026</v>
      </c>
      <c r="F227">
        <v>179</v>
      </c>
      <c r="G227">
        <v>232</v>
      </c>
      <c r="H227">
        <v>217852</v>
      </c>
      <c r="I227">
        <v>29</v>
      </c>
      <c r="J227">
        <v>162920</v>
      </c>
      <c r="K227">
        <v>23</v>
      </c>
      <c r="L227">
        <v>1640</v>
      </c>
      <c r="M227">
        <v>35016</v>
      </c>
      <c r="N227">
        <f t="shared" si="24"/>
        <v>2025</v>
      </c>
      <c r="O227">
        <f t="shared" si="25"/>
        <v>11</v>
      </c>
      <c r="P227" t="s">
        <v>802</v>
      </c>
      <c r="S227" t="s">
        <v>819</v>
      </c>
    </row>
    <row r="228" spans="1:19" x14ac:dyDescent="0.3">
      <c r="A228" s="16">
        <v>45975</v>
      </c>
      <c r="B228" t="s">
        <v>3</v>
      </c>
      <c r="C228" t="s">
        <v>627</v>
      </c>
      <c r="D228">
        <v>11812</v>
      </c>
      <c r="E228">
        <v>5967</v>
      </c>
      <c r="F228">
        <v>260</v>
      </c>
      <c r="G228">
        <v>64</v>
      </c>
      <c r="H228">
        <v>497530.24</v>
      </c>
      <c r="I228">
        <v>92</v>
      </c>
      <c r="J228">
        <v>383630.24</v>
      </c>
      <c r="K228">
        <v>77</v>
      </c>
      <c r="L228">
        <v>1361</v>
      </c>
      <c r="M228">
        <v>11559</v>
      </c>
      <c r="N228">
        <f t="shared" si="24"/>
        <v>2025</v>
      </c>
      <c r="O228">
        <f t="shared" si="25"/>
        <v>11</v>
      </c>
      <c r="P228" t="s">
        <v>802</v>
      </c>
      <c r="S228" t="s">
        <v>819</v>
      </c>
    </row>
    <row r="229" spans="1:19" x14ac:dyDescent="0.3">
      <c r="A229" s="16">
        <v>45975</v>
      </c>
      <c r="B229" t="s">
        <v>2</v>
      </c>
      <c r="C229" t="s">
        <v>627</v>
      </c>
      <c r="D229">
        <v>19320</v>
      </c>
      <c r="E229">
        <v>9270</v>
      </c>
      <c r="F229">
        <v>92</v>
      </c>
      <c r="G229">
        <v>94</v>
      </c>
      <c r="H229">
        <v>210660.48000000001</v>
      </c>
      <c r="I229">
        <v>26</v>
      </c>
      <c r="J229">
        <v>100470.48</v>
      </c>
      <c r="K229">
        <v>22</v>
      </c>
      <c r="L229">
        <v>1197</v>
      </c>
      <c r="M229">
        <v>18956</v>
      </c>
      <c r="N229">
        <f t="shared" si="24"/>
        <v>2025</v>
      </c>
      <c r="O229">
        <f t="shared" si="25"/>
        <v>11</v>
      </c>
      <c r="P229" t="s">
        <v>802</v>
      </c>
      <c r="S229" t="s">
        <v>819</v>
      </c>
    </row>
    <row r="230" spans="1:19" x14ac:dyDescent="0.3">
      <c r="A230" s="16">
        <v>45962</v>
      </c>
      <c r="B230" t="s">
        <v>3</v>
      </c>
      <c r="C230" t="s">
        <v>110</v>
      </c>
      <c r="D230">
        <v>279314</v>
      </c>
      <c r="E230">
        <v>251321</v>
      </c>
      <c r="F230">
        <v>4588</v>
      </c>
      <c r="G230">
        <v>1989</v>
      </c>
      <c r="H230">
        <v>8602154.7100000009</v>
      </c>
      <c r="I230">
        <v>1147</v>
      </c>
      <c r="J230">
        <v>5575508.5499999998</v>
      </c>
      <c r="K230">
        <v>945</v>
      </c>
      <c r="L230">
        <v>25868</v>
      </c>
      <c r="M230">
        <v>241948</v>
      </c>
      <c r="N230">
        <f t="shared" ref="N230:N231" si="26">YEAR(A230)</f>
        <v>2025</v>
      </c>
      <c r="O230">
        <f t="shared" ref="O230:O231" si="27">MONTH(A230)</f>
        <v>11</v>
      </c>
    </row>
    <row r="231" spans="1:19" x14ac:dyDescent="0.3">
      <c r="A231" s="16">
        <v>45962</v>
      </c>
      <c r="B231" t="s">
        <v>2</v>
      </c>
      <c r="C231" t="s">
        <v>110</v>
      </c>
      <c r="D231">
        <v>368855</v>
      </c>
      <c r="E231">
        <v>328801</v>
      </c>
      <c r="F231">
        <v>2672</v>
      </c>
      <c r="G231">
        <v>2213</v>
      </c>
      <c r="H231">
        <v>2763461.1</v>
      </c>
      <c r="I231">
        <v>408</v>
      </c>
      <c r="J231">
        <v>1552499.1</v>
      </c>
      <c r="K231">
        <v>313</v>
      </c>
      <c r="L231">
        <v>34263</v>
      </c>
      <c r="M231">
        <v>351886</v>
      </c>
      <c r="N231">
        <f t="shared" si="26"/>
        <v>2025</v>
      </c>
      <c r="O231">
        <f t="shared" si="27"/>
        <v>11</v>
      </c>
    </row>
    <row r="232" spans="1:19" x14ac:dyDescent="0.3">
      <c r="A232" s="16">
        <v>45992</v>
      </c>
      <c r="B232" t="s">
        <v>3</v>
      </c>
      <c r="C232" t="s">
        <v>110</v>
      </c>
      <c r="D232">
        <v>217370</v>
      </c>
      <c r="E232">
        <v>197580</v>
      </c>
      <c r="F232">
        <v>3942</v>
      </c>
      <c r="G232">
        <v>2292</v>
      </c>
      <c r="H232">
        <v>6943288.0499999998</v>
      </c>
      <c r="I232">
        <v>881</v>
      </c>
      <c r="J232">
        <v>4749986.17</v>
      </c>
      <c r="K232">
        <v>789</v>
      </c>
      <c r="L232">
        <v>21570</v>
      </c>
      <c r="M232">
        <v>195347</v>
      </c>
      <c r="N232">
        <f t="shared" ref="N232:N233" si="28">YEAR(A232)</f>
        <v>2025</v>
      </c>
      <c r="O232">
        <f t="shared" ref="O232:O233" si="29">MONTH(A232)</f>
        <v>12</v>
      </c>
    </row>
    <row r="233" spans="1:19" x14ac:dyDescent="0.3">
      <c r="A233" s="16">
        <v>45992</v>
      </c>
      <c r="B233" t="s">
        <v>2</v>
      </c>
      <c r="C233" t="s">
        <v>110</v>
      </c>
      <c r="D233">
        <v>378635</v>
      </c>
      <c r="E233">
        <v>356040</v>
      </c>
      <c r="F233">
        <v>2435</v>
      </c>
      <c r="G233">
        <v>1149</v>
      </c>
      <c r="H233">
        <v>2906866.12</v>
      </c>
      <c r="I233">
        <v>355</v>
      </c>
      <c r="J233">
        <v>1567903</v>
      </c>
      <c r="K233">
        <v>280</v>
      </c>
      <c r="L233">
        <v>34248</v>
      </c>
      <c r="M233">
        <v>362420</v>
      </c>
      <c r="N233">
        <f t="shared" si="28"/>
        <v>2025</v>
      </c>
      <c r="O233">
        <f t="shared" si="29"/>
        <v>12</v>
      </c>
    </row>
  </sheetData>
  <sortState xmlns:xlrd2="http://schemas.microsoft.com/office/spreadsheetml/2017/richdata2" ref="A2:O51">
    <sortCondition descending="1" ref="C2:C51"/>
    <sortCondition ref="A2:A51"/>
  </sortState>
  <phoneticPr fontId="1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D35B-CE7E-47F6-8384-725831BC2398}">
  <dimension ref="A1:R6476"/>
  <sheetViews>
    <sheetView topLeftCell="A6441" zoomScaleNormal="100" workbookViewId="0">
      <selection activeCell="G6473" sqref="G6473"/>
    </sheetView>
  </sheetViews>
  <sheetFormatPr defaultRowHeight="14" x14ac:dyDescent="0.3"/>
  <cols>
    <col min="1" max="1" width="8.5" bestFit="1" customWidth="1"/>
    <col min="2" max="2" width="11.08203125" bestFit="1" customWidth="1"/>
    <col min="3" max="3" width="8.5" bestFit="1" customWidth="1"/>
    <col min="4" max="4" width="18.25" bestFit="1" customWidth="1"/>
    <col min="5" max="5" width="7.58203125" bestFit="1" customWidth="1"/>
    <col min="6" max="7" width="8.5" bestFit="1" customWidth="1"/>
    <col min="8" max="8" width="12.33203125" bestFit="1" customWidth="1"/>
    <col min="9" max="9" width="11.5" bestFit="1" customWidth="1"/>
    <col min="10" max="10" width="10.4140625" bestFit="1" customWidth="1"/>
    <col min="11" max="11" width="11.5" bestFit="1" customWidth="1"/>
    <col min="12" max="12" width="10.4140625" bestFit="1" customWidth="1"/>
    <col min="13" max="13" width="16.25" bestFit="1" customWidth="1"/>
    <col min="14" max="14" width="14.33203125" bestFit="1" customWidth="1"/>
  </cols>
  <sheetData>
    <row r="1" spans="1:18" x14ac:dyDescent="0.3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228</v>
      </c>
      <c r="P1" t="s">
        <v>229</v>
      </c>
      <c r="Q1" t="s">
        <v>417</v>
      </c>
      <c r="R1" t="s">
        <v>803</v>
      </c>
    </row>
    <row r="2" spans="1:18" x14ac:dyDescent="0.3">
      <c r="A2" t="s">
        <v>110</v>
      </c>
      <c r="B2" s="16">
        <v>45444</v>
      </c>
      <c r="C2" t="s">
        <v>2</v>
      </c>
      <c r="D2" t="s">
        <v>4</v>
      </c>
      <c r="E2">
        <v>11882</v>
      </c>
      <c r="F2">
        <v>7290</v>
      </c>
      <c r="G2">
        <v>71</v>
      </c>
      <c r="H2">
        <v>25</v>
      </c>
      <c r="I2">
        <v>136022.03</v>
      </c>
      <c r="J2">
        <v>46</v>
      </c>
      <c r="K2">
        <v>120522.03</v>
      </c>
      <c r="L2">
        <v>41</v>
      </c>
      <c r="M2">
        <v>410</v>
      </c>
      <c r="N2">
        <v>11626</v>
      </c>
      <c r="O2">
        <f t="shared" ref="O2:O65" si="0">YEAR(B2)</f>
        <v>2024</v>
      </c>
      <c r="P2">
        <f t="shared" ref="P2:P65" si="1">MONTH(B2)</f>
        <v>6</v>
      </c>
      <c r="Q2" t="str">
        <f>_xlfn.XLOOKUP(B2,全店核心数据_bymonth!A:A,全店核心数据_bymonth!AN:AN)</f>
        <v>BU25</v>
      </c>
    </row>
    <row r="3" spans="1:18" x14ac:dyDescent="0.3">
      <c r="A3" t="s">
        <v>110</v>
      </c>
      <c r="B3" s="16">
        <v>45444</v>
      </c>
      <c r="C3" t="s">
        <v>2</v>
      </c>
      <c r="D3" t="s">
        <v>57</v>
      </c>
      <c r="E3">
        <v>296971</v>
      </c>
      <c r="F3">
        <v>271865</v>
      </c>
      <c r="G3">
        <v>3217</v>
      </c>
      <c r="H3">
        <v>2197</v>
      </c>
      <c r="I3">
        <v>3459429.03</v>
      </c>
      <c r="J3">
        <v>713</v>
      </c>
      <c r="K3">
        <v>2041084.44</v>
      </c>
      <c r="L3">
        <v>540</v>
      </c>
      <c r="M3">
        <v>16831</v>
      </c>
      <c r="N3">
        <v>296116</v>
      </c>
      <c r="O3">
        <f t="shared" si="0"/>
        <v>2024</v>
      </c>
      <c r="P3">
        <f t="shared" si="1"/>
        <v>6</v>
      </c>
      <c r="Q3" t="str">
        <f>_xlfn.XLOOKUP(B3,全店核心数据_bymonth!A:A,全店核心数据_bymonth!AN:AN)</f>
        <v>BU25</v>
      </c>
    </row>
    <row r="4" spans="1:18" x14ac:dyDescent="0.3">
      <c r="A4" t="s">
        <v>110</v>
      </c>
      <c r="B4" s="16">
        <v>45444</v>
      </c>
      <c r="C4" t="s">
        <v>2</v>
      </c>
      <c r="D4" t="s">
        <v>52</v>
      </c>
      <c r="E4">
        <v>55460</v>
      </c>
      <c r="F4">
        <v>49718</v>
      </c>
      <c r="G4">
        <v>420</v>
      </c>
      <c r="H4">
        <v>132</v>
      </c>
      <c r="I4">
        <v>414069.29</v>
      </c>
      <c r="J4">
        <v>97</v>
      </c>
      <c r="K4">
        <v>319104.77</v>
      </c>
      <c r="L4">
        <v>90</v>
      </c>
      <c r="M4">
        <v>55457</v>
      </c>
      <c r="N4">
        <v>13355</v>
      </c>
      <c r="O4">
        <f t="shared" si="0"/>
        <v>2024</v>
      </c>
      <c r="P4">
        <f t="shared" si="1"/>
        <v>6</v>
      </c>
      <c r="Q4" t="str">
        <f>_xlfn.XLOOKUP(B4,全店核心数据_bymonth!A:A,全店核心数据_bymonth!AN:AN)</f>
        <v>BU25</v>
      </c>
    </row>
    <row r="5" spans="1:18" x14ac:dyDescent="0.3">
      <c r="A5" t="s">
        <v>110</v>
      </c>
      <c r="B5" s="16">
        <v>45444</v>
      </c>
      <c r="C5" t="s">
        <v>2</v>
      </c>
      <c r="D5" t="s">
        <v>55</v>
      </c>
      <c r="E5">
        <v>182027</v>
      </c>
      <c r="F5">
        <v>165948</v>
      </c>
      <c r="G5">
        <v>74</v>
      </c>
      <c r="H5">
        <v>47</v>
      </c>
      <c r="I5">
        <v>0</v>
      </c>
      <c r="J5">
        <v>0</v>
      </c>
      <c r="K5">
        <v>0</v>
      </c>
      <c r="L5">
        <v>0</v>
      </c>
      <c r="M5">
        <v>360</v>
      </c>
      <c r="N5">
        <v>27069</v>
      </c>
      <c r="O5">
        <f t="shared" si="0"/>
        <v>2024</v>
      </c>
      <c r="P5">
        <f t="shared" si="1"/>
        <v>6</v>
      </c>
      <c r="Q5" t="str">
        <f>_xlfn.XLOOKUP(B5,全店核心数据_bymonth!A:A,全店核心数据_bymonth!AN:AN)</f>
        <v>BU25</v>
      </c>
    </row>
    <row r="6" spans="1:18" x14ac:dyDescent="0.3">
      <c r="A6" t="s">
        <v>110</v>
      </c>
      <c r="B6" s="16">
        <v>45444</v>
      </c>
      <c r="C6" t="s">
        <v>3</v>
      </c>
      <c r="D6" t="s">
        <v>156</v>
      </c>
      <c r="E6">
        <v>3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2</v>
      </c>
      <c r="O6">
        <f t="shared" si="0"/>
        <v>2024</v>
      </c>
      <c r="P6">
        <f t="shared" si="1"/>
        <v>6</v>
      </c>
      <c r="Q6" t="str">
        <f>_xlfn.XLOOKUP(B6,全店核心数据_bymonth!A:A,全店核心数据_bymonth!AN:AN)</f>
        <v>BU25</v>
      </c>
    </row>
    <row r="7" spans="1:18" x14ac:dyDescent="0.3">
      <c r="A7" t="s">
        <v>110</v>
      </c>
      <c r="B7" s="16">
        <v>45444</v>
      </c>
      <c r="C7" t="s">
        <v>3</v>
      </c>
      <c r="D7" t="s">
        <v>155</v>
      </c>
      <c r="E7">
        <v>108</v>
      </c>
      <c r="F7">
        <v>85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7</v>
      </c>
      <c r="N7">
        <v>108</v>
      </c>
      <c r="O7">
        <f t="shared" si="0"/>
        <v>2024</v>
      </c>
      <c r="P7">
        <f t="shared" si="1"/>
        <v>6</v>
      </c>
      <c r="Q7" t="str">
        <f>_xlfn.XLOOKUP(B7,全店核心数据_bymonth!A:A,全店核心数据_bymonth!AN:AN)</f>
        <v>BU25</v>
      </c>
    </row>
    <row r="8" spans="1:18" x14ac:dyDescent="0.3">
      <c r="A8" t="s">
        <v>110</v>
      </c>
      <c r="B8" s="16">
        <v>45444</v>
      </c>
      <c r="C8" t="s">
        <v>3</v>
      </c>
      <c r="D8" t="s">
        <v>154</v>
      </c>
      <c r="E8">
        <v>15273</v>
      </c>
      <c r="F8">
        <v>14661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163</v>
      </c>
      <c r="N8">
        <v>136</v>
      </c>
      <c r="O8">
        <f t="shared" si="0"/>
        <v>2024</v>
      </c>
      <c r="P8">
        <f t="shared" si="1"/>
        <v>6</v>
      </c>
      <c r="Q8" t="str">
        <f>_xlfn.XLOOKUP(B8,全店核心数据_bymonth!A:A,全店核心数据_bymonth!AN:AN)</f>
        <v>BU25</v>
      </c>
    </row>
    <row r="9" spans="1:18" x14ac:dyDescent="0.3">
      <c r="A9" t="s">
        <v>110</v>
      </c>
      <c r="B9" s="16">
        <v>45444</v>
      </c>
      <c r="C9" t="s">
        <v>3</v>
      </c>
      <c r="D9" t="s">
        <v>153</v>
      </c>
      <c r="E9">
        <v>4653</v>
      </c>
      <c r="F9">
        <v>2474</v>
      </c>
      <c r="G9">
        <v>616</v>
      </c>
      <c r="H9">
        <v>58</v>
      </c>
      <c r="I9">
        <v>2481503.44</v>
      </c>
      <c r="J9">
        <v>691</v>
      </c>
      <c r="K9">
        <v>2177818.96</v>
      </c>
      <c r="L9">
        <v>654</v>
      </c>
      <c r="M9">
        <v>1596</v>
      </c>
      <c r="N9">
        <v>4444</v>
      </c>
      <c r="O9">
        <f t="shared" si="0"/>
        <v>2024</v>
      </c>
      <c r="P9">
        <f t="shared" si="1"/>
        <v>6</v>
      </c>
      <c r="Q9" t="str">
        <f>_xlfn.XLOOKUP(B9,全店核心数据_bymonth!A:A,全店核心数据_bymonth!AN:AN)</f>
        <v>BU25</v>
      </c>
    </row>
    <row r="10" spans="1:18" x14ac:dyDescent="0.3">
      <c r="A10" t="s">
        <v>110</v>
      </c>
      <c r="B10" s="16">
        <v>45444</v>
      </c>
      <c r="C10" t="s">
        <v>3</v>
      </c>
      <c r="D10" t="s">
        <v>152</v>
      </c>
      <c r="E10">
        <v>211</v>
      </c>
      <c r="F10">
        <v>68</v>
      </c>
      <c r="G10">
        <v>2</v>
      </c>
      <c r="H10">
        <v>4</v>
      </c>
      <c r="I10">
        <v>5740</v>
      </c>
      <c r="J10">
        <v>1</v>
      </c>
      <c r="K10">
        <v>2235</v>
      </c>
      <c r="L10">
        <v>1</v>
      </c>
      <c r="M10">
        <v>5</v>
      </c>
      <c r="N10">
        <v>151</v>
      </c>
      <c r="O10">
        <f t="shared" si="0"/>
        <v>2024</v>
      </c>
      <c r="P10">
        <f t="shared" si="1"/>
        <v>6</v>
      </c>
      <c r="Q10" t="str">
        <f>_xlfn.XLOOKUP(B10,全店核心数据_bymonth!A:A,全店核心数据_bymonth!AN:AN)</f>
        <v>BU25</v>
      </c>
    </row>
    <row r="11" spans="1:18" x14ac:dyDescent="0.3">
      <c r="A11" t="s">
        <v>110</v>
      </c>
      <c r="B11" s="16">
        <v>45444</v>
      </c>
      <c r="C11" t="s">
        <v>3</v>
      </c>
      <c r="D11" t="s">
        <v>150</v>
      </c>
      <c r="E11">
        <v>63</v>
      </c>
      <c r="F11">
        <v>30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7</v>
      </c>
      <c r="N11">
        <v>63</v>
      </c>
      <c r="O11">
        <f t="shared" si="0"/>
        <v>2024</v>
      </c>
      <c r="P11">
        <f t="shared" si="1"/>
        <v>6</v>
      </c>
      <c r="Q11" t="str">
        <f>_xlfn.XLOOKUP(B11,全店核心数据_bymonth!A:A,全店核心数据_bymonth!AN:AN)</f>
        <v>BU25</v>
      </c>
    </row>
    <row r="12" spans="1:18" x14ac:dyDescent="0.3">
      <c r="A12" t="s">
        <v>110</v>
      </c>
      <c r="B12" s="16">
        <v>45444</v>
      </c>
      <c r="C12" t="s">
        <v>3</v>
      </c>
      <c r="D12" t="s">
        <v>149</v>
      </c>
      <c r="E12">
        <v>9850</v>
      </c>
      <c r="F12">
        <v>7909</v>
      </c>
      <c r="G12">
        <v>105</v>
      </c>
      <c r="H12">
        <v>82</v>
      </c>
      <c r="I12">
        <v>127921.38</v>
      </c>
      <c r="J12">
        <v>27</v>
      </c>
      <c r="K12">
        <v>58691.38</v>
      </c>
      <c r="L12">
        <v>20</v>
      </c>
      <c r="M12">
        <v>2360</v>
      </c>
      <c r="N12">
        <v>8682</v>
      </c>
      <c r="O12">
        <f t="shared" si="0"/>
        <v>2024</v>
      </c>
      <c r="P12">
        <f t="shared" si="1"/>
        <v>6</v>
      </c>
      <c r="Q12" t="str">
        <f>_xlfn.XLOOKUP(B12,全店核心数据_bymonth!A:A,全店核心数据_bymonth!AN:AN)</f>
        <v>BU25</v>
      </c>
    </row>
    <row r="13" spans="1:18" x14ac:dyDescent="0.3">
      <c r="A13" t="s">
        <v>110</v>
      </c>
      <c r="B13" s="16">
        <v>45444</v>
      </c>
      <c r="C13" t="s">
        <v>3</v>
      </c>
      <c r="D13" t="s">
        <v>148</v>
      </c>
      <c r="E13">
        <v>40</v>
      </c>
      <c r="F13">
        <v>37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17</v>
      </c>
      <c r="N13">
        <v>23</v>
      </c>
      <c r="O13">
        <f t="shared" si="0"/>
        <v>2024</v>
      </c>
      <c r="P13">
        <f t="shared" si="1"/>
        <v>6</v>
      </c>
      <c r="Q13" t="str">
        <f>_xlfn.XLOOKUP(B13,全店核心数据_bymonth!A:A,全店核心数据_bymonth!AN:AN)</f>
        <v>BU25</v>
      </c>
    </row>
    <row r="14" spans="1:18" x14ac:dyDescent="0.3">
      <c r="A14" t="s">
        <v>110</v>
      </c>
      <c r="B14" s="16">
        <v>45444</v>
      </c>
      <c r="C14" t="s">
        <v>3</v>
      </c>
      <c r="D14" t="s">
        <v>226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f t="shared" si="0"/>
        <v>2024</v>
      </c>
      <c r="P14">
        <f t="shared" si="1"/>
        <v>6</v>
      </c>
      <c r="Q14" t="str">
        <f>_xlfn.XLOOKUP(B14,全店核心数据_bymonth!A:A,全店核心数据_bymonth!AN:AN)</f>
        <v>BU25</v>
      </c>
    </row>
    <row r="15" spans="1:18" x14ac:dyDescent="0.3">
      <c r="A15" t="s">
        <v>110</v>
      </c>
      <c r="B15" s="16">
        <v>45444</v>
      </c>
      <c r="C15" t="s">
        <v>3</v>
      </c>
      <c r="D15" t="s">
        <v>147</v>
      </c>
      <c r="E15">
        <v>756</v>
      </c>
      <c r="F15">
        <v>637</v>
      </c>
      <c r="G15">
        <v>34</v>
      </c>
      <c r="H15">
        <v>0</v>
      </c>
      <c r="I15">
        <v>16169.5</v>
      </c>
      <c r="J15">
        <v>7</v>
      </c>
      <c r="K15">
        <v>11695.5</v>
      </c>
      <c r="L15">
        <v>5</v>
      </c>
      <c r="M15">
        <v>3</v>
      </c>
      <c r="N15">
        <v>756</v>
      </c>
      <c r="O15">
        <f t="shared" si="0"/>
        <v>2024</v>
      </c>
      <c r="P15">
        <f t="shared" si="1"/>
        <v>6</v>
      </c>
      <c r="Q15" t="str">
        <f>_xlfn.XLOOKUP(B15,全店核心数据_bymonth!A:A,全店核心数据_bymonth!AN:AN)</f>
        <v>BU25</v>
      </c>
    </row>
    <row r="16" spans="1:18" x14ac:dyDescent="0.3">
      <c r="A16" t="s">
        <v>110</v>
      </c>
      <c r="B16" s="16">
        <v>45444</v>
      </c>
      <c r="C16" t="s">
        <v>3</v>
      </c>
      <c r="D16" t="s">
        <v>145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f t="shared" si="0"/>
        <v>2024</v>
      </c>
      <c r="P16">
        <f t="shared" si="1"/>
        <v>6</v>
      </c>
      <c r="Q16" t="str">
        <f>_xlfn.XLOOKUP(B16,全店核心数据_bymonth!A:A,全店核心数据_bymonth!AN:AN)</f>
        <v>BU25</v>
      </c>
    </row>
    <row r="17" spans="1:17" x14ac:dyDescent="0.3">
      <c r="A17" t="s">
        <v>110</v>
      </c>
      <c r="B17" s="16">
        <v>45444</v>
      </c>
      <c r="C17" t="s">
        <v>3</v>
      </c>
      <c r="D17" t="s">
        <v>143</v>
      </c>
      <c r="E17">
        <v>313</v>
      </c>
      <c r="F17">
        <v>297</v>
      </c>
      <c r="G17">
        <v>2</v>
      </c>
      <c r="H17">
        <v>3</v>
      </c>
      <c r="I17">
        <v>0</v>
      </c>
      <c r="J17">
        <v>0</v>
      </c>
      <c r="K17">
        <v>0</v>
      </c>
      <c r="L17">
        <v>0</v>
      </c>
      <c r="M17">
        <v>6</v>
      </c>
      <c r="N17">
        <v>313</v>
      </c>
      <c r="O17">
        <f t="shared" si="0"/>
        <v>2024</v>
      </c>
      <c r="P17">
        <f t="shared" si="1"/>
        <v>6</v>
      </c>
      <c r="Q17" t="str">
        <f>_xlfn.XLOOKUP(B17,全店核心数据_bymonth!A:A,全店核心数据_bymonth!AN:AN)</f>
        <v>BU25</v>
      </c>
    </row>
    <row r="18" spans="1:17" x14ac:dyDescent="0.3">
      <c r="A18" t="s">
        <v>110</v>
      </c>
      <c r="B18" s="16">
        <v>45444</v>
      </c>
      <c r="C18" t="s">
        <v>3</v>
      </c>
      <c r="D18" t="s">
        <v>142</v>
      </c>
      <c r="E18">
        <v>85</v>
      </c>
      <c r="F18">
        <v>24</v>
      </c>
      <c r="G18">
        <v>1</v>
      </c>
      <c r="H18">
        <v>0</v>
      </c>
      <c r="I18">
        <v>3145</v>
      </c>
      <c r="J18">
        <v>1</v>
      </c>
      <c r="K18">
        <v>3145</v>
      </c>
      <c r="L18">
        <v>1</v>
      </c>
      <c r="M18">
        <v>6</v>
      </c>
      <c r="N18">
        <v>85</v>
      </c>
      <c r="O18">
        <f t="shared" si="0"/>
        <v>2024</v>
      </c>
      <c r="P18">
        <f t="shared" si="1"/>
        <v>6</v>
      </c>
      <c r="Q18" t="str">
        <f>_xlfn.XLOOKUP(B18,全店核心数据_bymonth!A:A,全店核心数据_bymonth!AN:AN)</f>
        <v>BU25</v>
      </c>
    </row>
    <row r="19" spans="1:17" x14ac:dyDescent="0.3">
      <c r="A19" t="s">
        <v>110</v>
      </c>
      <c r="B19" s="16">
        <v>45444</v>
      </c>
      <c r="C19" t="s">
        <v>3</v>
      </c>
      <c r="D19" t="s">
        <v>141</v>
      </c>
      <c r="E19">
        <v>41</v>
      </c>
      <c r="F19">
        <v>38</v>
      </c>
      <c r="G19">
        <v>1</v>
      </c>
      <c r="H19">
        <v>0</v>
      </c>
      <c r="I19">
        <v>8190</v>
      </c>
      <c r="J19">
        <v>1</v>
      </c>
      <c r="K19">
        <v>8190</v>
      </c>
      <c r="L19">
        <v>1</v>
      </c>
      <c r="M19">
        <v>9</v>
      </c>
      <c r="N19">
        <v>32</v>
      </c>
      <c r="O19">
        <f t="shared" si="0"/>
        <v>2024</v>
      </c>
      <c r="P19">
        <f t="shared" si="1"/>
        <v>6</v>
      </c>
      <c r="Q19" t="str">
        <f>_xlfn.XLOOKUP(B19,全店核心数据_bymonth!A:A,全店核心数据_bymonth!AN:AN)</f>
        <v>BU25</v>
      </c>
    </row>
    <row r="20" spans="1:17" x14ac:dyDescent="0.3">
      <c r="A20" t="s">
        <v>110</v>
      </c>
      <c r="B20" s="16">
        <v>45444</v>
      </c>
      <c r="C20" t="s">
        <v>3</v>
      </c>
      <c r="D20" t="s">
        <v>140</v>
      </c>
      <c r="E20">
        <v>131</v>
      </c>
      <c r="F20">
        <v>105</v>
      </c>
      <c r="G20">
        <v>23</v>
      </c>
      <c r="H20">
        <v>3</v>
      </c>
      <c r="I20">
        <v>91098.61</v>
      </c>
      <c r="J20">
        <v>14</v>
      </c>
      <c r="K20">
        <v>41504.61</v>
      </c>
      <c r="L20">
        <v>12</v>
      </c>
      <c r="M20">
        <v>24</v>
      </c>
      <c r="N20">
        <v>124</v>
      </c>
      <c r="O20">
        <f t="shared" si="0"/>
        <v>2024</v>
      </c>
      <c r="P20">
        <f t="shared" si="1"/>
        <v>6</v>
      </c>
      <c r="Q20" t="str">
        <f>_xlfn.XLOOKUP(B20,全店核心数据_bymonth!A:A,全店核心数据_bymonth!AN:AN)</f>
        <v>BU25</v>
      </c>
    </row>
    <row r="21" spans="1:17" x14ac:dyDescent="0.3">
      <c r="A21" t="s">
        <v>110</v>
      </c>
      <c r="B21" s="16">
        <v>45444</v>
      </c>
      <c r="C21" t="s">
        <v>3</v>
      </c>
      <c r="D21" t="s">
        <v>139</v>
      </c>
      <c r="E21">
        <v>12335</v>
      </c>
      <c r="F21">
        <v>8917</v>
      </c>
      <c r="G21">
        <v>428</v>
      </c>
      <c r="H21">
        <v>147</v>
      </c>
      <c r="I21">
        <v>1028422.63</v>
      </c>
      <c r="J21">
        <v>273</v>
      </c>
      <c r="K21">
        <v>691500.87</v>
      </c>
      <c r="L21">
        <v>224</v>
      </c>
      <c r="M21">
        <v>6124</v>
      </c>
      <c r="N21">
        <v>8731</v>
      </c>
      <c r="O21">
        <f t="shared" si="0"/>
        <v>2024</v>
      </c>
      <c r="P21">
        <f t="shared" si="1"/>
        <v>6</v>
      </c>
      <c r="Q21" t="str">
        <f>_xlfn.XLOOKUP(B21,全店核心数据_bymonth!A:A,全店核心数据_bymonth!AN:AN)</f>
        <v>BU25</v>
      </c>
    </row>
    <row r="22" spans="1:17" x14ac:dyDescent="0.3">
      <c r="A22" t="s">
        <v>110</v>
      </c>
      <c r="B22" s="16">
        <v>45444</v>
      </c>
      <c r="C22" t="s">
        <v>3</v>
      </c>
      <c r="D22" t="s">
        <v>138</v>
      </c>
      <c r="E22">
        <v>769</v>
      </c>
      <c r="F22">
        <v>524</v>
      </c>
      <c r="G22">
        <v>10</v>
      </c>
      <c r="H22">
        <v>10</v>
      </c>
      <c r="I22">
        <v>8404.69</v>
      </c>
      <c r="J22">
        <v>5</v>
      </c>
      <c r="K22">
        <v>4864.6899999999996</v>
      </c>
      <c r="L22">
        <v>3</v>
      </c>
      <c r="M22">
        <v>117</v>
      </c>
      <c r="N22">
        <v>747</v>
      </c>
      <c r="O22">
        <f t="shared" si="0"/>
        <v>2024</v>
      </c>
      <c r="P22">
        <f t="shared" si="1"/>
        <v>6</v>
      </c>
      <c r="Q22" t="str">
        <f>_xlfn.XLOOKUP(B22,全店核心数据_bymonth!A:A,全店核心数据_bymonth!AN:AN)</f>
        <v>BU25</v>
      </c>
    </row>
    <row r="23" spans="1:17" x14ac:dyDescent="0.3">
      <c r="A23" t="s">
        <v>110</v>
      </c>
      <c r="B23" s="16">
        <v>45444</v>
      </c>
      <c r="C23" t="s">
        <v>3</v>
      </c>
      <c r="D23" t="s">
        <v>137</v>
      </c>
      <c r="E23">
        <v>102</v>
      </c>
      <c r="F23">
        <v>61</v>
      </c>
      <c r="G23">
        <v>2</v>
      </c>
      <c r="H23">
        <v>4</v>
      </c>
      <c r="I23">
        <v>29258.55</v>
      </c>
      <c r="J23">
        <v>5</v>
      </c>
      <c r="K23">
        <v>7093.35</v>
      </c>
      <c r="L23">
        <v>4</v>
      </c>
      <c r="M23">
        <v>21</v>
      </c>
      <c r="N23">
        <v>102</v>
      </c>
      <c r="O23">
        <f t="shared" si="0"/>
        <v>2024</v>
      </c>
      <c r="P23">
        <f t="shared" si="1"/>
        <v>6</v>
      </c>
      <c r="Q23" t="str">
        <f>_xlfn.XLOOKUP(B23,全店核心数据_bymonth!A:A,全店核心数据_bymonth!AN:AN)</f>
        <v>BU25</v>
      </c>
    </row>
    <row r="24" spans="1:17" x14ac:dyDescent="0.3">
      <c r="A24" t="s">
        <v>110</v>
      </c>
      <c r="B24" s="16">
        <v>45444</v>
      </c>
      <c r="C24" t="s">
        <v>3</v>
      </c>
      <c r="D24" t="s">
        <v>135</v>
      </c>
      <c r="E24">
        <v>53</v>
      </c>
      <c r="F24">
        <v>44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</v>
      </c>
      <c r="O24">
        <f t="shared" si="0"/>
        <v>2024</v>
      </c>
      <c r="P24">
        <f t="shared" si="1"/>
        <v>6</v>
      </c>
      <c r="Q24" t="str">
        <f>_xlfn.XLOOKUP(B24,全店核心数据_bymonth!A:A,全店核心数据_bymonth!AN:AN)</f>
        <v>BU25</v>
      </c>
    </row>
    <row r="25" spans="1:17" x14ac:dyDescent="0.3">
      <c r="A25" t="s">
        <v>110</v>
      </c>
      <c r="B25" s="16">
        <v>45444</v>
      </c>
      <c r="C25" t="s">
        <v>3</v>
      </c>
      <c r="D25" t="s">
        <v>134</v>
      </c>
      <c r="E25">
        <v>30631</v>
      </c>
      <c r="F25">
        <v>27243</v>
      </c>
      <c r="G25">
        <v>148</v>
      </c>
      <c r="H25">
        <v>95</v>
      </c>
      <c r="I25">
        <v>275869.59999999998</v>
      </c>
      <c r="J25">
        <v>88</v>
      </c>
      <c r="K25">
        <v>230193.6</v>
      </c>
      <c r="L25">
        <v>80</v>
      </c>
      <c r="M25">
        <v>1457</v>
      </c>
      <c r="N25">
        <v>6828</v>
      </c>
      <c r="O25">
        <f t="shared" si="0"/>
        <v>2024</v>
      </c>
      <c r="P25">
        <f t="shared" si="1"/>
        <v>6</v>
      </c>
      <c r="Q25" t="str">
        <f>_xlfn.XLOOKUP(B25,全店核心数据_bymonth!A:A,全店核心数据_bymonth!AN:AN)</f>
        <v>BU25</v>
      </c>
    </row>
    <row r="26" spans="1:17" x14ac:dyDescent="0.3">
      <c r="A26" t="s">
        <v>110</v>
      </c>
      <c r="B26" s="16">
        <v>45444</v>
      </c>
      <c r="C26" t="s">
        <v>3</v>
      </c>
      <c r="D26" t="s">
        <v>133</v>
      </c>
      <c r="E26">
        <v>603</v>
      </c>
      <c r="F26">
        <v>339</v>
      </c>
      <c r="G26">
        <v>26</v>
      </c>
      <c r="H26">
        <v>3</v>
      </c>
      <c r="I26">
        <v>66373</v>
      </c>
      <c r="J26">
        <v>18</v>
      </c>
      <c r="K26">
        <v>57490.5</v>
      </c>
      <c r="L26">
        <v>17</v>
      </c>
      <c r="M26">
        <v>136</v>
      </c>
      <c r="N26">
        <v>519</v>
      </c>
      <c r="O26">
        <f t="shared" si="0"/>
        <v>2024</v>
      </c>
      <c r="P26">
        <f t="shared" si="1"/>
        <v>6</v>
      </c>
      <c r="Q26" t="str">
        <f>_xlfn.XLOOKUP(B26,全店核心数据_bymonth!A:A,全店核心数据_bymonth!AN:AN)</f>
        <v>BU25</v>
      </c>
    </row>
    <row r="27" spans="1:17" x14ac:dyDescent="0.3">
      <c r="A27" t="s">
        <v>110</v>
      </c>
      <c r="B27" s="16">
        <v>45444</v>
      </c>
      <c r="C27" t="s">
        <v>3</v>
      </c>
      <c r="D27" t="s">
        <v>132</v>
      </c>
      <c r="E27">
        <v>20</v>
      </c>
      <c r="F27">
        <v>15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3</v>
      </c>
      <c r="N27">
        <v>20</v>
      </c>
      <c r="O27">
        <f t="shared" si="0"/>
        <v>2024</v>
      </c>
      <c r="P27">
        <f t="shared" si="1"/>
        <v>6</v>
      </c>
      <c r="Q27" t="str">
        <f>_xlfn.XLOOKUP(B27,全店核心数据_bymonth!A:A,全店核心数据_bymonth!AN:AN)</f>
        <v>BU25</v>
      </c>
    </row>
    <row r="28" spans="1:17" x14ac:dyDescent="0.3">
      <c r="A28" t="s">
        <v>110</v>
      </c>
      <c r="B28" s="16">
        <v>45444</v>
      </c>
      <c r="C28" t="s">
        <v>3</v>
      </c>
      <c r="D28" t="s">
        <v>131</v>
      </c>
      <c r="E28">
        <v>10</v>
      </c>
      <c r="F28">
        <v>4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10</v>
      </c>
      <c r="O28">
        <f t="shared" si="0"/>
        <v>2024</v>
      </c>
      <c r="P28">
        <f t="shared" si="1"/>
        <v>6</v>
      </c>
      <c r="Q28" t="str">
        <f>_xlfn.XLOOKUP(B28,全店核心数据_bymonth!A:A,全店核心数据_bymonth!AN:AN)</f>
        <v>BU25</v>
      </c>
    </row>
    <row r="29" spans="1:17" x14ac:dyDescent="0.3">
      <c r="A29" t="s">
        <v>110</v>
      </c>
      <c r="B29" s="16">
        <v>45444</v>
      </c>
      <c r="C29" t="s">
        <v>3</v>
      </c>
      <c r="D29" t="s">
        <v>130</v>
      </c>
      <c r="E29">
        <v>2435</v>
      </c>
      <c r="F29">
        <v>1422</v>
      </c>
      <c r="G29">
        <v>210</v>
      </c>
      <c r="H29">
        <v>51</v>
      </c>
      <c r="I29">
        <v>726639.96</v>
      </c>
      <c r="J29">
        <v>189</v>
      </c>
      <c r="K29">
        <v>612323.46</v>
      </c>
      <c r="L29">
        <v>178</v>
      </c>
      <c r="M29">
        <v>924</v>
      </c>
      <c r="N29">
        <v>2256</v>
      </c>
      <c r="O29">
        <f t="shared" si="0"/>
        <v>2024</v>
      </c>
      <c r="P29">
        <f t="shared" si="1"/>
        <v>6</v>
      </c>
      <c r="Q29" t="str">
        <f>_xlfn.XLOOKUP(B29,全店核心数据_bymonth!A:A,全店核心数据_bymonth!AN:AN)</f>
        <v>BU25</v>
      </c>
    </row>
    <row r="30" spans="1:17" x14ac:dyDescent="0.3">
      <c r="A30" t="s">
        <v>110</v>
      </c>
      <c r="B30" s="16">
        <v>45444</v>
      </c>
      <c r="C30" t="s">
        <v>3</v>
      </c>
      <c r="D30" t="s">
        <v>129</v>
      </c>
      <c r="E30">
        <v>7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</v>
      </c>
      <c r="O30">
        <f t="shared" si="0"/>
        <v>2024</v>
      </c>
      <c r="P30">
        <f t="shared" si="1"/>
        <v>6</v>
      </c>
      <c r="Q30" t="str">
        <f>_xlfn.XLOOKUP(B30,全店核心数据_bymonth!A:A,全店核心数据_bymonth!AN:AN)</f>
        <v>BU25</v>
      </c>
    </row>
    <row r="31" spans="1:17" x14ac:dyDescent="0.3">
      <c r="A31" t="s">
        <v>110</v>
      </c>
      <c r="B31" s="16">
        <v>45444</v>
      </c>
      <c r="C31" t="s">
        <v>3</v>
      </c>
      <c r="D31" t="s">
        <v>128</v>
      </c>
      <c r="E31">
        <v>19224</v>
      </c>
      <c r="F31">
        <v>16473</v>
      </c>
      <c r="G31">
        <v>1270</v>
      </c>
      <c r="H31">
        <v>278</v>
      </c>
      <c r="I31">
        <v>1291383.6599999999</v>
      </c>
      <c r="J31">
        <v>362</v>
      </c>
      <c r="K31">
        <v>1013566.18</v>
      </c>
      <c r="L31">
        <v>324</v>
      </c>
      <c r="M31">
        <v>6062</v>
      </c>
      <c r="N31">
        <v>17051</v>
      </c>
      <c r="O31">
        <f t="shared" si="0"/>
        <v>2024</v>
      </c>
      <c r="P31">
        <f t="shared" si="1"/>
        <v>6</v>
      </c>
      <c r="Q31" t="str">
        <f>_xlfn.XLOOKUP(B31,全店核心数据_bymonth!A:A,全店核心数据_bymonth!AN:AN)</f>
        <v>BU25</v>
      </c>
    </row>
    <row r="32" spans="1:17" x14ac:dyDescent="0.3">
      <c r="A32" t="s">
        <v>110</v>
      </c>
      <c r="B32" s="16">
        <v>45444</v>
      </c>
      <c r="C32" t="s">
        <v>3</v>
      </c>
      <c r="D32" t="s">
        <v>127</v>
      </c>
      <c r="E32">
        <v>32118</v>
      </c>
      <c r="F32">
        <v>24229</v>
      </c>
      <c r="G32">
        <v>800</v>
      </c>
      <c r="H32">
        <v>338</v>
      </c>
      <c r="I32">
        <v>489639.04</v>
      </c>
      <c r="J32">
        <v>168</v>
      </c>
      <c r="K32">
        <v>391783</v>
      </c>
      <c r="L32">
        <v>145</v>
      </c>
      <c r="M32">
        <v>4253</v>
      </c>
      <c r="N32">
        <v>28951</v>
      </c>
      <c r="O32">
        <f t="shared" si="0"/>
        <v>2024</v>
      </c>
      <c r="P32">
        <f t="shared" si="1"/>
        <v>6</v>
      </c>
      <c r="Q32" t="str">
        <f>_xlfn.XLOOKUP(B32,全店核心数据_bymonth!A:A,全店核心数据_bymonth!AN:AN)</f>
        <v>BU25</v>
      </c>
    </row>
    <row r="33" spans="1:17" x14ac:dyDescent="0.3">
      <c r="A33" t="s">
        <v>110</v>
      </c>
      <c r="B33" s="16">
        <v>45444</v>
      </c>
      <c r="C33" t="s">
        <v>3</v>
      </c>
      <c r="D33" t="s">
        <v>126</v>
      </c>
      <c r="E33">
        <v>2740</v>
      </c>
      <c r="F33">
        <v>2264</v>
      </c>
      <c r="G33">
        <v>85</v>
      </c>
      <c r="H33">
        <v>61</v>
      </c>
      <c r="I33">
        <v>114835.2</v>
      </c>
      <c r="J33">
        <v>24</v>
      </c>
      <c r="K33">
        <v>61602.2</v>
      </c>
      <c r="L33">
        <v>18</v>
      </c>
      <c r="M33">
        <v>417</v>
      </c>
      <c r="N33">
        <v>2668</v>
      </c>
      <c r="O33">
        <f t="shared" si="0"/>
        <v>2024</v>
      </c>
      <c r="P33">
        <f t="shared" si="1"/>
        <v>6</v>
      </c>
      <c r="Q33" t="str">
        <f>_xlfn.XLOOKUP(B33,全店核心数据_bymonth!A:A,全店核心数据_bymonth!AN:AN)</f>
        <v>BU25</v>
      </c>
    </row>
    <row r="34" spans="1:17" x14ac:dyDescent="0.3">
      <c r="A34" t="s">
        <v>110</v>
      </c>
      <c r="B34" s="16">
        <v>45444</v>
      </c>
      <c r="C34" t="s">
        <v>3</v>
      </c>
      <c r="D34" t="s">
        <v>125</v>
      </c>
      <c r="E34">
        <v>84</v>
      </c>
      <c r="F34">
        <v>50</v>
      </c>
      <c r="G34">
        <v>4</v>
      </c>
      <c r="H34">
        <v>3</v>
      </c>
      <c r="I34">
        <v>11443</v>
      </c>
      <c r="J34">
        <v>3</v>
      </c>
      <c r="K34">
        <v>11443</v>
      </c>
      <c r="L34">
        <v>3</v>
      </c>
      <c r="M34">
        <v>39</v>
      </c>
      <c r="N34">
        <v>77</v>
      </c>
      <c r="O34">
        <f t="shared" si="0"/>
        <v>2024</v>
      </c>
      <c r="P34">
        <f t="shared" si="1"/>
        <v>6</v>
      </c>
      <c r="Q34" t="str">
        <f>_xlfn.XLOOKUP(B34,全店核心数据_bymonth!A:A,全店核心数据_bymonth!AN:AN)</f>
        <v>BU25</v>
      </c>
    </row>
    <row r="35" spans="1:17" x14ac:dyDescent="0.3">
      <c r="A35" t="s">
        <v>110</v>
      </c>
      <c r="B35" s="16">
        <v>45444</v>
      </c>
      <c r="C35" t="s">
        <v>3</v>
      </c>
      <c r="D35" t="s">
        <v>124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f t="shared" si="0"/>
        <v>2024</v>
      </c>
      <c r="P35">
        <f t="shared" si="1"/>
        <v>6</v>
      </c>
      <c r="Q35" t="str">
        <f>_xlfn.XLOOKUP(B35,全店核心数据_bymonth!A:A,全店核心数据_bymonth!AN:AN)</f>
        <v>BU25</v>
      </c>
    </row>
    <row r="36" spans="1:17" x14ac:dyDescent="0.3">
      <c r="A36" t="s">
        <v>110</v>
      </c>
      <c r="B36" s="16">
        <v>45444</v>
      </c>
      <c r="C36" t="s">
        <v>3</v>
      </c>
      <c r="D36" t="s">
        <v>123</v>
      </c>
      <c r="E36">
        <v>3697</v>
      </c>
      <c r="F36">
        <v>2148</v>
      </c>
      <c r="G36">
        <v>135</v>
      </c>
      <c r="H36">
        <v>59</v>
      </c>
      <c r="I36">
        <v>187416.64</v>
      </c>
      <c r="J36">
        <v>54</v>
      </c>
      <c r="K36">
        <v>143420.48000000001</v>
      </c>
      <c r="L36">
        <v>46</v>
      </c>
      <c r="M36">
        <v>1460</v>
      </c>
      <c r="N36">
        <v>2970</v>
      </c>
      <c r="O36">
        <f t="shared" si="0"/>
        <v>2024</v>
      </c>
      <c r="P36">
        <f t="shared" si="1"/>
        <v>6</v>
      </c>
      <c r="Q36" t="str">
        <f>_xlfn.XLOOKUP(B36,全店核心数据_bymonth!A:A,全店核心数据_bymonth!AN:AN)</f>
        <v>BU25</v>
      </c>
    </row>
    <row r="37" spans="1:17" x14ac:dyDescent="0.3">
      <c r="A37" t="s">
        <v>110</v>
      </c>
      <c r="B37" s="16">
        <v>45444</v>
      </c>
      <c r="C37" t="s">
        <v>3</v>
      </c>
      <c r="D37" t="s">
        <v>122</v>
      </c>
      <c r="E37">
        <v>3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</v>
      </c>
      <c r="O37">
        <f t="shared" si="0"/>
        <v>2024</v>
      </c>
      <c r="P37">
        <f t="shared" si="1"/>
        <v>6</v>
      </c>
      <c r="Q37" t="str">
        <f>_xlfn.XLOOKUP(B37,全店核心数据_bymonth!A:A,全店核心数据_bymonth!AN:AN)</f>
        <v>BU25</v>
      </c>
    </row>
    <row r="38" spans="1:17" x14ac:dyDescent="0.3">
      <c r="A38" t="s">
        <v>110</v>
      </c>
      <c r="B38" s="16">
        <v>45444</v>
      </c>
      <c r="C38" t="s">
        <v>3</v>
      </c>
      <c r="D38" t="s">
        <v>121</v>
      </c>
      <c r="E38">
        <v>15</v>
      </c>
      <c r="F38">
        <v>14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7</v>
      </c>
      <c r="N38">
        <v>10</v>
      </c>
      <c r="O38">
        <f t="shared" si="0"/>
        <v>2024</v>
      </c>
      <c r="P38">
        <f t="shared" si="1"/>
        <v>6</v>
      </c>
      <c r="Q38" t="str">
        <f>_xlfn.XLOOKUP(B38,全店核心数据_bymonth!A:A,全店核心数据_bymonth!AN:AN)</f>
        <v>BU25</v>
      </c>
    </row>
    <row r="39" spans="1:17" x14ac:dyDescent="0.3">
      <c r="A39" t="s">
        <v>110</v>
      </c>
      <c r="B39" s="16">
        <v>45444</v>
      </c>
      <c r="C39" t="s">
        <v>3</v>
      </c>
      <c r="D39" t="s">
        <v>120</v>
      </c>
      <c r="E39">
        <v>7198</v>
      </c>
      <c r="F39">
        <v>6225</v>
      </c>
      <c r="G39">
        <v>86</v>
      </c>
      <c r="H39">
        <v>4</v>
      </c>
      <c r="I39">
        <v>272871.44</v>
      </c>
      <c r="J39">
        <v>77</v>
      </c>
      <c r="K39">
        <v>225309.44</v>
      </c>
      <c r="L39">
        <v>71</v>
      </c>
      <c r="M39">
        <v>1040</v>
      </c>
      <c r="N39">
        <v>7077</v>
      </c>
      <c r="O39">
        <f t="shared" si="0"/>
        <v>2024</v>
      </c>
      <c r="P39">
        <f t="shared" si="1"/>
        <v>6</v>
      </c>
      <c r="Q39" t="str">
        <f>_xlfn.XLOOKUP(B39,全店核心数据_bymonth!A:A,全店核心数据_bymonth!AN:AN)</f>
        <v>BU25</v>
      </c>
    </row>
    <row r="40" spans="1:17" x14ac:dyDescent="0.3">
      <c r="A40" t="s">
        <v>110</v>
      </c>
      <c r="B40" s="16">
        <v>45444</v>
      </c>
      <c r="C40" t="s">
        <v>3</v>
      </c>
      <c r="D40" t="s">
        <v>119</v>
      </c>
      <c r="E40">
        <v>4618</v>
      </c>
      <c r="F40">
        <v>2491</v>
      </c>
      <c r="G40">
        <v>399</v>
      </c>
      <c r="H40">
        <v>107</v>
      </c>
      <c r="I40">
        <v>1062693.3500000001</v>
      </c>
      <c r="J40">
        <v>255</v>
      </c>
      <c r="K40">
        <v>786684.17</v>
      </c>
      <c r="L40">
        <v>226</v>
      </c>
      <c r="M40">
        <v>1429</v>
      </c>
      <c r="N40">
        <v>4361</v>
      </c>
      <c r="O40">
        <f t="shared" si="0"/>
        <v>2024</v>
      </c>
      <c r="P40">
        <f t="shared" si="1"/>
        <v>6</v>
      </c>
      <c r="Q40" t="str">
        <f>_xlfn.XLOOKUP(B40,全店核心数据_bymonth!A:A,全店核心数据_bymonth!AN:AN)</f>
        <v>BU25</v>
      </c>
    </row>
    <row r="41" spans="1:17" x14ac:dyDescent="0.3">
      <c r="A41" t="s">
        <v>110</v>
      </c>
      <c r="B41" s="16">
        <v>45444</v>
      </c>
      <c r="C41" t="s">
        <v>3</v>
      </c>
      <c r="D41" t="s">
        <v>117</v>
      </c>
      <c r="E41">
        <v>161</v>
      </c>
      <c r="F41">
        <v>154</v>
      </c>
      <c r="G41">
        <v>2</v>
      </c>
      <c r="H41">
        <v>5</v>
      </c>
      <c r="I41">
        <v>0</v>
      </c>
      <c r="J41">
        <v>0</v>
      </c>
      <c r="K41">
        <v>0</v>
      </c>
      <c r="L41">
        <v>0</v>
      </c>
      <c r="M41">
        <v>15</v>
      </c>
      <c r="N41">
        <v>161</v>
      </c>
      <c r="O41">
        <f t="shared" si="0"/>
        <v>2024</v>
      </c>
      <c r="P41">
        <f t="shared" si="1"/>
        <v>6</v>
      </c>
      <c r="Q41" t="str">
        <f>_xlfn.XLOOKUP(B41,全店核心数据_bymonth!A:A,全店核心数据_bymonth!AN:AN)</f>
        <v>BU25</v>
      </c>
    </row>
    <row r="42" spans="1:17" x14ac:dyDescent="0.3">
      <c r="A42" t="s">
        <v>110</v>
      </c>
      <c r="B42" s="16">
        <v>45444</v>
      </c>
      <c r="C42" t="s">
        <v>3</v>
      </c>
      <c r="D42" t="s">
        <v>116</v>
      </c>
      <c r="E42">
        <v>67</v>
      </c>
      <c r="F42">
        <v>49</v>
      </c>
      <c r="G42">
        <v>3</v>
      </c>
      <c r="H42">
        <v>1</v>
      </c>
      <c r="I42">
        <v>0</v>
      </c>
      <c r="J42">
        <v>0</v>
      </c>
      <c r="K42">
        <v>0</v>
      </c>
      <c r="L42">
        <v>0</v>
      </c>
      <c r="M42">
        <v>8</v>
      </c>
      <c r="N42">
        <v>67</v>
      </c>
      <c r="O42">
        <f t="shared" si="0"/>
        <v>2024</v>
      </c>
      <c r="P42">
        <f t="shared" si="1"/>
        <v>6</v>
      </c>
      <c r="Q42" t="str">
        <f>_xlfn.XLOOKUP(B42,全店核心数据_bymonth!A:A,全店核心数据_bymonth!AN:AN)</f>
        <v>BU25</v>
      </c>
    </row>
    <row r="43" spans="1:17" x14ac:dyDescent="0.3">
      <c r="A43" t="s">
        <v>110</v>
      </c>
      <c r="B43" s="16">
        <v>45444</v>
      </c>
      <c r="C43" t="s">
        <v>3</v>
      </c>
      <c r="D43" t="s">
        <v>115</v>
      </c>
      <c r="E43">
        <v>58</v>
      </c>
      <c r="F43">
        <v>33</v>
      </c>
      <c r="G43">
        <v>0</v>
      </c>
      <c r="H43">
        <v>0</v>
      </c>
      <c r="I43">
        <v>4755</v>
      </c>
      <c r="J43">
        <v>1</v>
      </c>
      <c r="K43">
        <v>4755</v>
      </c>
      <c r="L43">
        <v>1</v>
      </c>
      <c r="M43">
        <v>15</v>
      </c>
      <c r="N43">
        <v>54</v>
      </c>
      <c r="O43">
        <f t="shared" si="0"/>
        <v>2024</v>
      </c>
      <c r="P43">
        <f t="shared" si="1"/>
        <v>6</v>
      </c>
      <c r="Q43" t="str">
        <f>_xlfn.XLOOKUP(B43,全店核心数据_bymonth!A:A,全店核心数据_bymonth!AN:AN)</f>
        <v>BU25</v>
      </c>
    </row>
    <row r="44" spans="1:17" x14ac:dyDescent="0.3">
      <c r="A44" t="s">
        <v>110</v>
      </c>
      <c r="B44" s="16">
        <v>45444</v>
      </c>
      <c r="C44" t="s">
        <v>3</v>
      </c>
      <c r="D44" t="s">
        <v>114</v>
      </c>
      <c r="E44">
        <v>1771</v>
      </c>
      <c r="F44">
        <v>953</v>
      </c>
      <c r="G44">
        <v>51</v>
      </c>
      <c r="H44">
        <v>24</v>
      </c>
      <c r="I44">
        <v>36319.360000000001</v>
      </c>
      <c r="J44">
        <v>13</v>
      </c>
      <c r="K44">
        <v>20502</v>
      </c>
      <c r="L44">
        <v>7</v>
      </c>
      <c r="M44">
        <v>255</v>
      </c>
      <c r="N44">
        <v>1650</v>
      </c>
      <c r="O44">
        <f t="shared" si="0"/>
        <v>2024</v>
      </c>
      <c r="P44">
        <f t="shared" si="1"/>
        <v>6</v>
      </c>
      <c r="Q44" t="str">
        <f>_xlfn.XLOOKUP(B44,全店核心数据_bymonth!A:A,全店核心数据_bymonth!AN:AN)</f>
        <v>BU25</v>
      </c>
    </row>
    <row r="45" spans="1:17" x14ac:dyDescent="0.3">
      <c r="A45" t="s">
        <v>110</v>
      </c>
      <c r="B45" s="16">
        <v>45444</v>
      </c>
      <c r="C45" t="s">
        <v>3</v>
      </c>
      <c r="D45" t="s">
        <v>113</v>
      </c>
      <c r="E45">
        <v>2050</v>
      </c>
      <c r="F45">
        <v>1475</v>
      </c>
      <c r="G45">
        <v>76</v>
      </c>
      <c r="H45">
        <v>25</v>
      </c>
      <c r="I45">
        <v>35461.160000000003</v>
      </c>
      <c r="J45">
        <v>14</v>
      </c>
      <c r="K45">
        <v>31375.66</v>
      </c>
      <c r="L45">
        <v>13</v>
      </c>
      <c r="M45">
        <v>1682</v>
      </c>
      <c r="N45">
        <v>1064</v>
      </c>
      <c r="O45">
        <f t="shared" si="0"/>
        <v>2024</v>
      </c>
      <c r="P45">
        <f t="shared" si="1"/>
        <v>6</v>
      </c>
      <c r="Q45" t="str">
        <f>_xlfn.XLOOKUP(B45,全店核心数据_bymonth!A:A,全店核心数据_bymonth!AN:AN)</f>
        <v>BU25</v>
      </c>
    </row>
    <row r="46" spans="1:17" x14ac:dyDescent="0.3">
      <c r="A46" t="s">
        <v>110</v>
      </c>
      <c r="B46" s="16">
        <v>45444</v>
      </c>
      <c r="C46" t="s">
        <v>3</v>
      </c>
      <c r="D46" t="s">
        <v>112</v>
      </c>
      <c r="E46">
        <v>408</v>
      </c>
      <c r="F46">
        <v>137</v>
      </c>
      <c r="G46">
        <v>8</v>
      </c>
      <c r="H46">
        <v>2</v>
      </c>
      <c r="I46">
        <v>149122</v>
      </c>
      <c r="J46">
        <v>39</v>
      </c>
      <c r="K46">
        <v>144627</v>
      </c>
      <c r="L46">
        <v>38</v>
      </c>
      <c r="M46">
        <v>7</v>
      </c>
      <c r="N46">
        <v>408</v>
      </c>
      <c r="O46">
        <f t="shared" si="0"/>
        <v>2024</v>
      </c>
      <c r="P46">
        <f t="shared" si="1"/>
        <v>6</v>
      </c>
      <c r="Q46" t="str">
        <f>_xlfn.XLOOKUP(B46,全店核心数据_bymonth!A:A,全店核心数据_bymonth!AN:AN)</f>
        <v>BU25</v>
      </c>
    </row>
    <row r="47" spans="1:17" x14ac:dyDescent="0.3">
      <c r="A47" t="s">
        <v>110</v>
      </c>
      <c r="B47" s="16">
        <v>45444</v>
      </c>
      <c r="C47" t="s">
        <v>3</v>
      </c>
      <c r="D47" t="s">
        <v>111</v>
      </c>
      <c r="E47">
        <v>89</v>
      </c>
      <c r="F47">
        <v>67</v>
      </c>
      <c r="G47">
        <v>2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89</v>
      </c>
      <c r="O47">
        <f t="shared" si="0"/>
        <v>2024</v>
      </c>
      <c r="P47">
        <f t="shared" si="1"/>
        <v>6</v>
      </c>
      <c r="Q47" t="str">
        <f>_xlfn.XLOOKUP(B47,全店核心数据_bymonth!A:A,全店核心数据_bymonth!AN:AN)</f>
        <v>BU25</v>
      </c>
    </row>
    <row r="48" spans="1:17" x14ac:dyDescent="0.3">
      <c r="A48" t="s">
        <v>110</v>
      </c>
      <c r="B48" s="16">
        <v>45413</v>
      </c>
      <c r="C48" t="s">
        <v>2</v>
      </c>
      <c r="D48" t="s">
        <v>4</v>
      </c>
      <c r="E48">
        <v>5003</v>
      </c>
      <c r="F48">
        <v>2741</v>
      </c>
      <c r="G48">
        <v>44</v>
      </c>
      <c r="H48">
        <v>12</v>
      </c>
      <c r="I48">
        <v>154077.32999999999</v>
      </c>
      <c r="J48">
        <v>41</v>
      </c>
      <c r="K48">
        <v>144705.32999999999</v>
      </c>
      <c r="L48">
        <v>40</v>
      </c>
      <c r="M48">
        <v>347</v>
      </c>
      <c r="N48">
        <v>4641</v>
      </c>
      <c r="O48">
        <f t="shared" si="0"/>
        <v>2024</v>
      </c>
      <c r="P48">
        <f t="shared" si="1"/>
        <v>5</v>
      </c>
      <c r="Q48" t="str">
        <f>_xlfn.XLOOKUP(B48,全店核心数据_bymonth!A:A,全店核心数据_bymonth!AN:AN)</f>
        <v>BU25</v>
      </c>
    </row>
    <row r="49" spans="1:17" x14ac:dyDescent="0.3">
      <c r="A49" t="s">
        <v>110</v>
      </c>
      <c r="B49" s="16">
        <v>45413</v>
      </c>
      <c r="C49" t="s">
        <v>2</v>
      </c>
      <c r="D49" t="s">
        <v>57</v>
      </c>
      <c r="E49">
        <v>305525</v>
      </c>
      <c r="F49">
        <v>291958</v>
      </c>
      <c r="G49">
        <v>3880</v>
      </c>
      <c r="H49">
        <v>1883</v>
      </c>
      <c r="I49">
        <v>3930297.2</v>
      </c>
      <c r="J49">
        <v>951</v>
      </c>
      <c r="K49">
        <v>2700227.49</v>
      </c>
      <c r="L49">
        <v>778</v>
      </c>
      <c r="M49">
        <v>18287</v>
      </c>
      <c r="N49">
        <v>301884</v>
      </c>
      <c r="O49">
        <f t="shared" si="0"/>
        <v>2024</v>
      </c>
      <c r="P49">
        <f t="shared" si="1"/>
        <v>5</v>
      </c>
      <c r="Q49" t="str">
        <f>_xlfn.XLOOKUP(B49,全店核心数据_bymonth!A:A,全店核心数据_bymonth!AN:AN)</f>
        <v>BU25</v>
      </c>
    </row>
    <row r="50" spans="1:17" x14ac:dyDescent="0.3">
      <c r="A50" t="s">
        <v>110</v>
      </c>
      <c r="B50" s="16">
        <v>45413</v>
      </c>
      <c r="C50" t="s">
        <v>2</v>
      </c>
      <c r="D50" t="s">
        <v>52</v>
      </c>
      <c r="E50">
        <v>52240</v>
      </c>
      <c r="F50">
        <v>47588</v>
      </c>
      <c r="G50">
        <v>461</v>
      </c>
      <c r="H50">
        <v>155</v>
      </c>
      <c r="I50">
        <v>529123</v>
      </c>
      <c r="J50">
        <v>104</v>
      </c>
      <c r="K50">
        <v>352213.5</v>
      </c>
      <c r="L50">
        <v>93</v>
      </c>
      <c r="M50">
        <v>52233</v>
      </c>
      <c r="N50">
        <v>16370</v>
      </c>
      <c r="O50">
        <f t="shared" si="0"/>
        <v>2024</v>
      </c>
      <c r="P50">
        <f t="shared" si="1"/>
        <v>5</v>
      </c>
      <c r="Q50" t="str">
        <f>_xlfn.XLOOKUP(B50,全店核心数据_bymonth!A:A,全店核心数据_bymonth!AN:AN)</f>
        <v>BU25</v>
      </c>
    </row>
    <row r="51" spans="1:17" x14ac:dyDescent="0.3">
      <c r="A51" t="s">
        <v>110</v>
      </c>
      <c r="B51" s="16">
        <v>45413</v>
      </c>
      <c r="C51" t="s">
        <v>2</v>
      </c>
      <c r="D51" t="s">
        <v>55</v>
      </c>
      <c r="E51">
        <v>85436</v>
      </c>
      <c r="F51">
        <v>78567</v>
      </c>
      <c r="G51">
        <v>34</v>
      </c>
      <c r="H51">
        <v>15</v>
      </c>
      <c r="I51">
        <v>0</v>
      </c>
      <c r="J51">
        <v>0</v>
      </c>
      <c r="K51">
        <v>0</v>
      </c>
      <c r="L51">
        <v>0</v>
      </c>
      <c r="M51">
        <v>211</v>
      </c>
      <c r="N51">
        <v>29504</v>
      </c>
      <c r="O51">
        <f t="shared" si="0"/>
        <v>2024</v>
      </c>
      <c r="P51">
        <f t="shared" si="1"/>
        <v>5</v>
      </c>
      <c r="Q51" t="str">
        <f>_xlfn.XLOOKUP(B51,全店核心数据_bymonth!A:A,全店核心数据_bymonth!AN:AN)</f>
        <v>BU25</v>
      </c>
    </row>
    <row r="52" spans="1:17" x14ac:dyDescent="0.3">
      <c r="A52" t="s">
        <v>110</v>
      </c>
      <c r="B52" s="16">
        <v>45413</v>
      </c>
      <c r="C52" t="s">
        <v>3</v>
      </c>
      <c r="D52" t="s">
        <v>157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f t="shared" si="0"/>
        <v>2024</v>
      </c>
      <c r="P52">
        <f t="shared" si="1"/>
        <v>5</v>
      </c>
      <c r="Q52" t="str">
        <f>_xlfn.XLOOKUP(B52,全店核心数据_bymonth!A:A,全店核心数据_bymonth!AN:AN)</f>
        <v>BU25</v>
      </c>
    </row>
    <row r="53" spans="1:17" x14ac:dyDescent="0.3">
      <c r="A53" t="s">
        <v>110</v>
      </c>
      <c r="B53" s="16">
        <v>45413</v>
      </c>
      <c r="C53" t="s">
        <v>3</v>
      </c>
      <c r="D53" t="s">
        <v>156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f t="shared" si="0"/>
        <v>2024</v>
      </c>
      <c r="P53">
        <f t="shared" si="1"/>
        <v>5</v>
      </c>
      <c r="Q53" t="str">
        <f>_xlfn.XLOOKUP(B53,全店核心数据_bymonth!A:A,全店核心数据_bymonth!AN:AN)</f>
        <v>BU25</v>
      </c>
    </row>
    <row r="54" spans="1:17" x14ac:dyDescent="0.3">
      <c r="A54" t="s">
        <v>110</v>
      </c>
      <c r="B54" s="16">
        <v>45413</v>
      </c>
      <c r="C54" t="s">
        <v>3</v>
      </c>
      <c r="D54" t="s">
        <v>155</v>
      </c>
      <c r="E54">
        <v>102</v>
      </c>
      <c r="F54">
        <v>80</v>
      </c>
      <c r="G54">
        <v>1</v>
      </c>
      <c r="H54">
        <v>2</v>
      </c>
      <c r="I54">
        <v>0</v>
      </c>
      <c r="J54">
        <v>0</v>
      </c>
      <c r="K54">
        <v>0</v>
      </c>
      <c r="L54">
        <v>0</v>
      </c>
      <c r="M54">
        <v>8</v>
      </c>
      <c r="N54">
        <v>102</v>
      </c>
      <c r="O54">
        <f t="shared" si="0"/>
        <v>2024</v>
      </c>
      <c r="P54">
        <f t="shared" si="1"/>
        <v>5</v>
      </c>
      <c r="Q54" t="str">
        <f>_xlfn.XLOOKUP(B54,全店核心数据_bymonth!A:A,全店核心数据_bymonth!AN:AN)</f>
        <v>BU25</v>
      </c>
    </row>
    <row r="55" spans="1:17" x14ac:dyDescent="0.3">
      <c r="A55" t="s">
        <v>110</v>
      </c>
      <c r="B55" s="16">
        <v>45413</v>
      </c>
      <c r="C55" t="s">
        <v>3</v>
      </c>
      <c r="D55" t="s">
        <v>154</v>
      </c>
      <c r="E55">
        <v>13415</v>
      </c>
      <c r="F55">
        <v>13170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12</v>
      </c>
      <c r="N55">
        <v>43</v>
      </c>
      <c r="O55">
        <f t="shared" si="0"/>
        <v>2024</v>
      </c>
      <c r="P55">
        <f t="shared" si="1"/>
        <v>5</v>
      </c>
      <c r="Q55" t="str">
        <f>_xlfn.XLOOKUP(B55,全店核心数据_bymonth!A:A,全店核心数据_bymonth!AN:AN)</f>
        <v>BU25</v>
      </c>
    </row>
    <row r="56" spans="1:17" x14ac:dyDescent="0.3">
      <c r="A56" t="s">
        <v>110</v>
      </c>
      <c r="B56" s="16">
        <v>45413</v>
      </c>
      <c r="C56" t="s">
        <v>3</v>
      </c>
      <c r="D56" t="s">
        <v>153</v>
      </c>
      <c r="E56">
        <v>4692</v>
      </c>
      <c r="F56">
        <v>2429</v>
      </c>
      <c r="G56">
        <v>769</v>
      </c>
      <c r="H56">
        <v>65</v>
      </c>
      <c r="I56">
        <v>3328360.82</v>
      </c>
      <c r="J56">
        <v>886</v>
      </c>
      <c r="K56">
        <v>2837909.32</v>
      </c>
      <c r="L56">
        <v>831</v>
      </c>
      <c r="M56">
        <v>1743</v>
      </c>
      <c r="N56">
        <v>4472</v>
      </c>
      <c r="O56">
        <f t="shared" si="0"/>
        <v>2024</v>
      </c>
      <c r="P56">
        <f t="shared" si="1"/>
        <v>5</v>
      </c>
      <c r="Q56" t="str">
        <f>_xlfn.XLOOKUP(B56,全店核心数据_bymonth!A:A,全店核心数据_bymonth!AN:AN)</f>
        <v>BU25</v>
      </c>
    </row>
    <row r="57" spans="1:17" x14ac:dyDescent="0.3">
      <c r="A57" t="s">
        <v>110</v>
      </c>
      <c r="B57" s="16">
        <v>45413</v>
      </c>
      <c r="C57" t="s">
        <v>3</v>
      </c>
      <c r="D57" t="s">
        <v>152</v>
      </c>
      <c r="E57">
        <v>365</v>
      </c>
      <c r="F57">
        <v>247</v>
      </c>
      <c r="G57">
        <v>2</v>
      </c>
      <c r="H57">
        <v>0</v>
      </c>
      <c r="I57">
        <v>8526</v>
      </c>
      <c r="J57">
        <v>2</v>
      </c>
      <c r="K57">
        <v>3354</v>
      </c>
      <c r="L57">
        <v>1</v>
      </c>
      <c r="M57">
        <v>4</v>
      </c>
      <c r="N57">
        <v>120</v>
      </c>
      <c r="O57">
        <f t="shared" si="0"/>
        <v>2024</v>
      </c>
      <c r="P57">
        <f t="shared" si="1"/>
        <v>5</v>
      </c>
      <c r="Q57" t="str">
        <f>_xlfn.XLOOKUP(B57,全店核心数据_bymonth!A:A,全店核心数据_bymonth!AN:AN)</f>
        <v>BU25</v>
      </c>
    </row>
    <row r="58" spans="1:17" x14ac:dyDescent="0.3">
      <c r="A58" t="s">
        <v>110</v>
      </c>
      <c r="B58" s="16">
        <v>45413</v>
      </c>
      <c r="C58" t="s">
        <v>3</v>
      </c>
      <c r="D58" t="s">
        <v>151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f t="shared" si="0"/>
        <v>2024</v>
      </c>
      <c r="P58">
        <f t="shared" si="1"/>
        <v>5</v>
      </c>
      <c r="Q58" t="str">
        <f>_xlfn.XLOOKUP(B58,全店核心数据_bymonth!A:A,全店核心数据_bymonth!AN:AN)</f>
        <v>BU25</v>
      </c>
    </row>
    <row r="59" spans="1:17" x14ac:dyDescent="0.3">
      <c r="A59" t="s">
        <v>110</v>
      </c>
      <c r="B59" s="16">
        <v>45413</v>
      </c>
      <c r="C59" t="s">
        <v>3</v>
      </c>
      <c r="D59" t="s">
        <v>150</v>
      </c>
      <c r="E59">
        <v>63</v>
      </c>
      <c r="F59">
        <v>27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4</v>
      </c>
      <c r="N59">
        <v>63</v>
      </c>
      <c r="O59">
        <f t="shared" si="0"/>
        <v>2024</v>
      </c>
      <c r="P59">
        <f t="shared" si="1"/>
        <v>5</v>
      </c>
      <c r="Q59" t="str">
        <f>_xlfn.XLOOKUP(B59,全店核心数据_bymonth!A:A,全店核心数据_bymonth!AN:AN)</f>
        <v>BU25</v>
      </c>
    </row>
    <row r="60" spans="1:17" x14ac:dyDescent="0.3">
      <c r="A60" t="s">
        <v>110</v>
      </c>
      <c r="B60" s="16">
        <v>45413</v>
      </c>
      <c r="C60" t="s">
        <v>3</v>
      </c>
      <c r="D60" t="s">
        <v>149</v>
      </c>
      <c r="E60">
        <v>1094</v>
      </c>
      <c r="F60">
        <v>849</v>
      </c>
      <c r="G60">
        <v>27</v>
      </c>
      <c r="H60">
        <v>6</v>
      </c>
      <c r="I60">
        <v>35441.5</v>
      </c>
      <c r="J60">
        <v>10</v>
      </c>
      <c r="K60">
        <v>21596.5</v>
      </c>
      <c r="L60">
        <v>9</v>
      </c>
      <c r="M60">
        <v>90</v>
      </c>
      <c r="N60">
        <v>380</v>
      </c>
      <c r="O60">
        <f t="shared" si="0"/>
        <v>2024</v>
      </c>
      <c r="P60">
        <f t="shared" si="1"/>
        <v>5</v>
      </c>
      <c r="Q60" t="str">
        <f>_xlfn.XLOOKUP(B60,全店核心数据_bymonth!A:A,全店核心数据_bymonth!AN:AN)</f>
        <v>BU25</v>
      </c>
    </row>
    <row r="61" spans="1:17" x14ac:dyDescent="0.3">
      <c r="A61" t="s">
        <v>110</v>
      </c>
      <c r="B61" s="16">
        <v>45413</v>
      </c>
      <c r="C61" t="s">
        <v>3</v>
      </c>
      <c r="D61" t="s">
        <v>148</v>
      </c>
      <c r="E61">
        <v>57</v>
      </c>
      <c r="F61">
        <v>47</v>
      </c>
      <c r="G61">
        <v>0</v>
      </c>
      <c r="H61">
        <v>2</v>
      </c>
      <c r="I61">
        <v>3360</v>
      </c>
      <c r="J61">
        <v>1</v>
      </c>
      <c r="K61">
        <v>3360</v>
      </c>
      <c r="L61">
        <v>1</v>
      </c>
      <c r="M61">
        <v>27</v>
      </c>
      <c r="N61">
        <v>30</v>
      </c>
      <c r="O61">
        <f t="shared" si="0"/>
        <v>2024</v>
      </c>
      <c r="P61">
        <f t="shared" si="1"/>
        <v>5</v>
      </c>
      <c r="Q61" t="str">
        <f>_xlfn.XLOOKUP(B61,全店核心数据_bymonth!A:A,全店核心数据_bymonth!AN:AN)</f>
        <v>BU25</v>
      </c>
    </row>
    <row r="62" spans="1:17" x14ac:dyDescent="0.3">
      <c r="A62" t="s">
        <v>110</v>
      </c>
      <c r="B62" s="16">
        <v>45413</v>
      </c>
      <c r="C62" t="s">
        <v>3</v>
      </c>
      <c r="D62" t="s">
        <v>147</v>
      </c>
      <c r="E62">
        <v>578</v>
      </c>
      <c r="F62">
        <v>454</v>
      </c>
      <c r="G62">
        <v>18</v>
      </c>
      <c r="H62">
        <v>1</v>
      </c>
      <c r="I62">
        <v>0</v>
      </c>
      <c r="J62">
        <v>0</v>
      </c>
      <c r="K62">
        <v>0</v>
      </c>
      <c r="L62">
        <v>0</v>
      </c>
      <c r="M62">
        <v>12</v>
      </c>
      <c r="N62">
        <v>577</v>
      </c>
      <c r="O62">
        <f t="shared" si="0"/>
        <v>2024</v>
      </c>
      <c r="P62">
        <f t="shared" si="1"/>
        <v>5</v>
      </c>
      <c r="Q62" t="str">
        <f>_xlfn.XLOOKUP(B62,全店核心数据_bymonth!A:A,全店核心数据_bymonth!AN:AN)</f>
        <v>BU25</v>
      </c>
    </row>
    <row r="63" spans="1:17" x14ac:dyDescent="0.3">
      <c r="A63" t="s">
        <v>110</v>
      </c>
      <c r="B63" s="16">
        <v>45413</v>
      </c>
      <c r="C63" t="s">
        <v>3</v>
      </c>
      <c r="D63" t="s">
        <v>146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f t="shared" si="0"/>
        <v>2024</v>
      </c>
      <c r="P63">
        <f t="shared" si="1"/>
        <v>5</v>
      </c>
      <c r="Q63" t="str">
        <f>_xlfn.XLOOKUP(B63,全店核心数据_bymonth!A:A,全店核心数据_bymonth!AN:AN)</f>
        <v>BU25</v>
      </c>
    </row>
    <row r="64" spans="1:17" x14ac:dyDescent="0.3">
      <c r="A64" t="s">
        <v>110</v>
      </c>
      <c r="B64" s="16">
        <v>45413</v>
      </c>
      <c r="C64" t="s">
        <v>3</v>
      </c>
      <c r="D64" t="s">
        <v>145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f t="shared" si="0"/>
        <v>2024</v>
      </c>
      <c r="P64">
        <f t="shared" si="1"/>
        <v>5</v>
      </c>
      <c r="Q64" t="str">
        <f>_xlfn.XLOOKUP(B64,全店核心数据_bymonth!A:A,全店核心数据_bymonth!AN:AN)</f>
        <v>BU25</v>
      </c>
    </row>
    <row r="65" spans="1:17" x14ac:dyDescent="0.3">
      <c r="A65" t="s">
        <v>110</v>
      </c>
      <c r="B65" s="16">
        <v>45413</v>
      </c>
      <c r="C65" t="s">
        <v>3</v>
      </c>
      <c r="D65" t="s">
        <v>144</v>
      </c>
      <c r="E65">
        <v>7</v>
      </c>
      <c r="F65">
        <v>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f t="shared" si="0"/>
        <v>2024</v>
      </c>
      <c r="P65">
        <f t="shared" si="1"/>
        <v>5</v>
      </c>
      <c r="Q65" t="str">
        <f>_xlfn.XLOOKUP(B65,全店核心数据_bymonth!A:A,全店核心数据_bymonth!AN:AN)</f>
        <v>BU25</v>
      </c>
    </row>
    <row r="66" spans="1:17" x14ac:dyDescent="0.3">
      <c r="A66" t="s">
        <v>110</v>
      </c>
      <c r="B66" s="16">
        <v>45413</v>
      </c>
      <c r="C66" t="s">
        <v>3</v>
      </c>
      <c r="D66" t="s">
        <v>143</v>
      </c>
      <c r="E66">
        <v>313</v>
      </c>
      <c r="F66">
        <v>310</v>
      </c>
      <c r="G66">
        <v>0</v>
      </c>
      <c r="H66">
        <v>2</v>
      </c>
      <c r="I66">
        <v>0</v>
      </c>
      <c r="J66">
        <v>0</v>
      </c>
      <c r="K66">
        <v>0</v>
      </c>
      <c r="L66">
        <v>0</v>
      </c>
      <c r="M66">
        <v>6</v>
      </c>
      <c r="N66">
        <v>313</v>
      </c>
      <c r="O66">
        <f t="shared" ref="O66:O129" si="2">YEAR(B66)</f>
        <v>2024</v>
      </c>
      <c r="P66">
        <f t="shared" ref="P66:P129" si="3">MONTH(B66)</f>
        <v>5</v>
      </c>
      <c r="Q66" t="str">
        <f>_xlfn.XLOOKUP(B66,全店核心数据_bymonth!A:A,全店核心数据_bymonth!AN:AN)</f>
        <v>BU25</v>
      </c>
    </row>
    <row r="67" spans="1:17" x14ac:dyDescent="0.3">
      <c r="A67" t="s">
        <v>110</v>
      </c>
      <c r="B67" s="16">
        <v>45413</v>
      </c>
      <c r="C67" t="s">
        <v>3</v>
      </c>
      <c r="D67" t="s">
        <v>142</v>
      </c>
      <c r="E67">
        <v>245</v>
      </c>
      <c r="F67">
        <v>89</v>
      </c>
      <c r="G67">
        <v>4</v>
      </c>
      <c r="H67">
        <v>1</v>
      </c>
      <c r="I67">
        <v>17353</v>
      </c>
      <c r="J67">
        <v>3</v>
      </c>
      <c r="K67">
        <v>13269</v>
      </c>
      <c r="L67">
        <v>3</v>
      </c>
      <c r="M67">
        <v>22</v>
      </c>
      <c r="N67">
        <v>244</v>
      </c>
      <c r="O67">
        <f t="shared" si="2"/>
        <v>2024</v>
      </c>
      <c r="P67">
        <f t="shared" si="3"/>
        <v>5</v>
      </c>
      <c r="Q67" t="str">
        <f>_xlfn.XLOOKUP(B67,全店核心数据_bymonth!A:A,全店核心数据_bymonth!AN:AN)</f>
        <v>BU25</v>
      </c>
    </row>
    <row r="68" spans="1:17" x14ac:dyDescent="0.3">
      <c r="A68" t="s">
        <v>110</v>
      </c>
      <c r="B68" s="16">
        <v>45413</v>
      </c>
      <c r="C68" t="s">
        <v>3</v>
      </c>
      <c r="D68" t="s">
        <v>141</v>
      </c>
      <c r="E68">
        <v>63</v>
      </c>
      <c r="F68">
        <v>58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30</v>
      </c>
      <c r="N68">
        <v>33</v>
      </c>
      <c r="O68">
        <f t="shared" si="2"/>
        <v>2024</v>
      </c>
      <c r="P68">
        <f t="shared" si="3"/>
        <v>5</v>
      </c>
      <c r="Q68" t="str">
        <f>_xlfn.XLOOKUP(B68,全店核心数据_bymonth!A:A,全店核心数据_bymonth!AN:AN)</f>
        <v>BU25</v>
      </c>
    </row>
    <row r="69" spans="1:17" x14ac:dyDescent="0.3">
      <c r="A69" t="s">
        <v>110</v>
      </c>
      <c r="B69" s="16">
        <v>45413</v>
      </c>
      <c r="C69" t="s">
        <v>3</v>
      </c>
      <c r="D69" t="s">
        <v>140</v>
      </c>
      <c r="E69">
        <v>181</v>
      </c>
      <c r="F69">
        <v>160</v>
      </c>
      <c r="G69">
        <v>26</v>
      </c>
      <c r="H69">
        <v>4</v>
      </c>
      <c r="I69">
        <v>68125.440000000002</v>
      </c>
      <c r="J69">
        <v>19</v>
      </c>
      <c r="K69">
        <v>60295.94</v>
      </c>
      <c r="L69">
        <v>18</v>
      </c>
      <c r="M69">
        <v>43</v>
      </c>
      <c r="N69">
        <v>130</v>
      </c>
      <c r="O69">
        <f t="shared" si="2"/>
        <v>2024</v>
      </c>
      <c r="P69">
        <f t="shared" si="3"/>
        <v>5</v>
      </c>
      <c r="Q69" t="str">
        <f>_xlfn.XLOOKUP(B69,全店核心数据_bymonth!A:A,全店核心数据_bymonth!AN:AN)</f>
        <v>BU25</v>
      </c>
    </row>
    <row r="70" spans="1:17" x14ac:dyDescent="0.3">
      <c r="A70" t="s">
        <v>110</v>
      </c>
      <c r="B70" s="16">
        <v>45413</v>
      </c>
      <c r="C70" t="s">
        <v>3</v>
      </c>
      <c r="D70" t="s">
        <v>139</v>
      </c>
      <c r="E70">
        <v>12618</v>
      </c>
      <c r="F70">
        <v>9347</v>
      </c>
      <c r="G70">
        <v>553</v>
      </c>
      <c r="H70">
        <v>134</v>
      </c>
      <c r="I70">
        <v>1115286.19</v>
      </c>
      <c r="J70">
        <v>288</v>
      </c>
      <c r="K70">
        <v>830003.4</v>
      </c>
      <c r="L70">
        <v>256</v>
      </c>
      <c r="M70">
        <v>6926</v>
      </c>
      <c r="N70">
        <v>7304</v>
      </c>
      <c r="O70">
        <f t="shared" si="2"/>
        <v>2024</v>
      </c>
      <c r="P70">
        <f t="shared" si="3"/>
        <v>5</v>
      </c>
      <c r="Q70" t="str">
        <f>_xlfn.XLOOKUP(B70,全店核心数据_bymonth!A:A,全店核心数据_bymonth!AN:AN)</f>
        <v>BU25</v>
      </c>
    </row>
    <row r="71" spans="1:17" x14ac:dyDescent="0.3">
      <c r="A71" t="s">
        <v>110</v>
      </c>
      <c r="B71" s="16">
        <v>45413</v>
      </c>
      <c r="C71" t="s">
        <v>3</v>
      </c>
      <c r="D71" t="s">
        <v>138</v>
      </c>
      <c r="E71">
        <v>565</v>
      </c>
      <c r="F71">
        <v>311</v>
      </c>
      <c r="G71">
        <v>17</v>
      </c>
      <c r="H71">
        <v>3</v>
      </c>
      <c r="I71">
        <v>16286</v>
      </c>
      <c r="J71">
        <v>5</v>
      </c>
      <c r="K71">
        <v>9116.5</v>
      </c>
      <c r="L71">
        <v>4</v>
      </c>
      <c r="M71">
        <v>96</v>
      </c>
      <c r="N71">
        <v>535</v>
      </c>
      <c r="O71">
        <f t="shared" si="2"/>
        <v>2024</v>
      </c>
      <c r="P71">
        <f t="shared" si="3"/>
        <v>5</v>
      </c>
      <c r="Q71" t="str">
        <f>_xlfn.XLOOKUP(B71,全店核心数据_bymonth!A:A,全店核心数据_bymonth!AN:AN)</f>
        <v>BU25</v>
      </c>
    </row>
    <row r="72" spans="1:17" x14ac:dyDescent="0.3">
      <c r="A72" t="s">
        <v>110</v>
      </c>
      <c r="B72" s="16">
        <v>45413</v>
      </c>
      <c r="C72" t="s">
        <v>3</v>
      </c>
      <c r="D72" t="s">
        <v>137</v>
      </c>
      <c r="E72">
        <v>111</v>
      </c>
      <c r="F72">
        <v>56</v>
      </c>
      <c r="G72">
        <v>5</v>
      </c>
      <c r="H72">
        <v>3</v>
      </c>
      <c r="I72">
        <v>16801</v>
      </c>
      <c r="J72">
        <v>4</v>
      </c>
      <c r="K72">
        <v>10658</v>
      </c>
      <c r="L72">
        <v>4</v>
      </c>
      <c r="M72">
        <v>16</v>
      </c>
      <c r="N72">
        <v>111</v>
      </c>
      <c r="O72">
        <f t="shared" si="2"/>
        <v>2024</v>
      </c>
      <c r="P72">
        <f t="shared" si="3"/>
        <v>5</v>
      </c>
      <c r="Q72" t="str">
        <f>_xlfn.XLOOKUP(B72,全店核心数据_bymonth!A:A,全店核心数据_bymonth!AN:AN)</f>
        <v>BU25</v>
      </c>
    </row>
    <row r="73" spans="1:17" x14ac:dyDescent="0.3">
      <c r="A73" t="s">
        <v>110</v>
      </c>
      <c r="B73" s="16">
        <v>45413</v>
      </c>
      <c r="C73" t="s">
        <v>3</v>
      </c>
      <c r="D73" t="s">
        <v>136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f t="shared" si="2"/>
        <v>2024</v>
      </c>
      <c r="P73">
        <f t="shared" si="3"/>
        <v>5</v>
      </c>
      <c r="Q73" t="str">
        <f>_xlfn.XLOOKUP(B73,全店核心数据_bymonth!A:A,全店核心数据_bymonth!AN:AN)</f>
        <v>BU25</v>
      </c>
    </row>
    <row r="74" spans="1:17" x14ac:dyDescent="0.3">
      <c r="A74" t="s">
        <v>110</v>
      </c>
      <c r="B74" s="16">
        <v>45413</v>
      </c>
      <c r="C74" t="s">
        <v>3</v>
      </c>
      <c r="D74" t="s">
        <v>135</v>
      </c>
      <c r="E74">
        <v>11</v>
      </c>
      <c r="F74">
        <v>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f t="shared" si="2"/>
        <v>2024</v>
      </c>
      <c r="P74">
        <f t="shared" si="3"/>
        <v>5</v>
      </c>
      <c r="Q74" t="str">
        <f>_xlfn.XLOOKUP(B74,全店核心数据_bymonth!A:A,全店核心数据_bymonth!AN:AN)</f>
        <v>BU25</v>
      </c>
    </row>
    <row r="75" spans="1:17" x14ac:dyDescent="0.3">
      <c r="A75" t="s">
        <v>110</v>
      </c>
      <c r="B75" s="16">
        <v>45413</v>
      </c>
      <c r="C75" t="s">
        <v>3</v>
      </c>
      <c r="D75" t="s">
        <v>134</v>
      </c>
      <c r="E75">
        <v>104063</v>
      </c>
      <c r="F75">
        <v>100334</v>
      </c>
      <c r="G75">
        <v>190</v>
      </c>
      <c r="H75">
        <v>102</v>
      </c>
      <c r="I75">
        <v>359196.11</v>
      </c>
      <c r="J75">
        <v>109</v>
      </c>
      <c r="K75">
        <v>260942.02</v>
      </c>
      <c r="L75">
        <v>95</v>
      </c>
      <c r="M75">
        <v>1261</v>
      </c>
      <c r="N75">
        <v>6678</v>
      </c>
      <c r="O75">
        <f t="shared" si="2"/>
        <v>2024</v>
      </c>
      <c r="P75">
        <f t="shared" si="3"/>
        <v>5</v>
      </c>
      <c r="Q75" t="str">
        <f>_xlfn.XLOOKUP(B75,全店核心数据_bymonth!A:A,全店核心数据_bymonth!AN:AN)</f>
        <v>BU25</v>
      </c>
    </row>
    <row r="76" spans="1:17" x14ac:dyDescent="0.3">
      <c r="A76" t="s">
        <v>110</v>
      </c>
      <c r="B76" s="16">
        <v>45413</v>
      </c>
      <c r="C76" t="s">
        <v>3</v>
      </c>
      <c r="D76" t="s">
        <v>133</v>
      </c>
      <c r="E76">
        <v>410</v>
      </c>
      <c r="F76">
        <v>242</v>
      </c>
      <c r="G76">
        <v>38</v>
      </c>
      <c r="H76">
        <v>1</v>
      </c>
      <c r="I76">
        <v>70481.52</v>
      </c>
      <c r="J76">
        <v>27</v>
      </c>
      <c r="K76">
        <v>61709.52</v>
      </c>
      <c r="L76">
        <v>25</v>
      </c>
      <c r="M76">
        <v>116</v>
      </c>
      <c r="N76">
        <v>339</v>
      </c>
      <c r="O76">
        <f t="shared" si="2"/>
        <v>2024</v>
      </c>
      <c r="P76">
        <f t="shared" si="3"/>
        <v>5</v>
      </c>
      <c r="Q76" t="str">
        <f>_xlfn.XLOOKUP(B76,全店核心数据_bymonth!A:A,全店核心数据_bymonth!AN:AN)</f>
        <v>BU25</v>
      </c>
    </row>
    <row r="77" spans="1:17" x14ac:dyDescent="0.3">
      <c r="A77" t="s">
        <v>110</v>
      </c>
      <c r="B77" s="16">
        <v>45413</v>
      </c>
      <c r="C77" t="s">
        <v>3</v>
      </c>
      <c r="D77" t="s">
        <v>132</v>
      </c>
      <c r="E77">
        <v>17</v>
      </c>
      <c r="F77">
        <v>12</v>
      </c>
      <c r="G77">
        <v>1</v>
      </c>
      <c r="H77">
        <v>2</v>
      </c>
      <c r="I77">
        <v>0</v>
      </c>
      <c r="J77">
        <v>0</v>
      </c>
      <c r="K77">
        <v>0</v>
      </c>
      <c r="L77">
        <v>0</v>
      </c>
      <c r="M77">
        <v>3</v>
      </c>
      <c r="N77">
        <v>17</v>
      </c>
      <c r="O77">
        <f t="shared" si="2"/>
        <v>2024</v>
      </c>
      <c r="P77">
        <f t="shared" si="3"/>
        <v>5</v>
      </c>
      <c r="Q77" t="str">
        <f>_xlfn.XLOOKUP(B77,全店核心数据_bymonth!A:A,全店核心数据_bymonth!AN:AN)</f>
        <v>BU25</v>
      </c>
    </row>
    <row r="78" spans="1:17" x14ac:dyDescent="0.3">
      <c r="A78" t="s">
        <v>110</v>
      </c>
      <c r="B78" s="16">
        <v>45413</v>
      </c>
      <c r="C78" t="s">
        <v>3</v>
      </c>
      <c r="D78" t="s">
        <v>131</v>
      </c>
      <c r="E78">
        <v>4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4</v>
      </c>
      <c r="O78">
        <f t="shared" si="2"/>
        <v>2024</v>
      </c>
      <c r="P78">
        <f t="shared" si="3"/>
        <v>5</v>
      </c>
      <c r="Q78" t="str">
        <f>_xlfn.XLOOKUP(B78,全店核心数据_bymonth!A:A,全店核心数据_bymonth!AN:AN)</f>
        <v>BU25</v>
      </c>
    </row>
    <row r="79" spans="1:17" x14ac:dyDescent="0.3">
      <c r="A79" t="s">
        <v>110</v>
      </c>
      <c r="B79" s="16">
        <v>45413</v>
      </c>
      <c r="C79" t="s">
        <v>3</v>
      </c>
      <c r="D79" t="s">
        <v>130</v>
      </c>
      <c r="E79">
        <v>2394</v>
      </c>
      <c r="F79">
        <v>1368</v>
      </c>
      <c r="G79">
        <v>324</v>
      </c>
      <c r="H79">
        <v>51</v>
      </c>
      <c r="I79">
        <v>773851.14</v>
      </c>
      <c r="J79">
        <v>214</v>
      </c>
      <c r="K79">
        <v>624749.64</v>
      </c>
      <c r="L79">
        <v>195</v>
      </c>
      <c r="M79">
        <v>1000</v>
      </c>
      <c r="N79">
        <v>2200</v>
      </c>
      <c r="O79">
        <f t="shared" si="2"/>
        <v>2024</v>
      </c>
      <c r="P79">
        <f t="shared" si="3"/>
        <v>5</v>
      </c>
      <c r="Q79" t="str">
        <f>_xlfn.XLOOKUP(B79,全店核心数据_bymonth!A:A,全店核心数据_bymonth!AN:AN)</f>
        <v>BU25</v>
      </c>
    </row>
    <row r="80" spans="1:17" x14ac:dyDescent="0.3">
      <c r="A80" t="s">
        <v>110</v>
      </c>
      <c r="B80" s="16">
        <v>45413</v>
      </c>
      <c r="C80" t="s">
        <v>3</v>
      </c>
      <c r="D80" t="s">
        <v>129</v>
      </c>
      <c r="E80">
        <v>9</v>
      </c>
      <c r="F80">
        <v>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5</v>
      </c>
      <c r="O80">
        <f t="shared" si="2"/>
        <v>2024</v>
      </c>
      <c r="P80">
        <f t="shared" si="3"/>
        <v>5</v>
      </c>
      <c r="Q80" t="str">
        <f>_xlfn.XLOOKUP(B80,全店核心数据_bymonth!A:A,全店核心数据_bymonth!AN:AN)</f>
        <v>BU25</v>
      </c>
    </row>
    <row r="81" spans="1:17" x14ac:dyDescent="0.3">
      <c r="A81" t="s">
        <v>110</v>
      </c>
      <c r="B81" s="16">
        <v>45413</v>
      </c>
      <c r="C81" t="s">
        <v>3</v>
      </c>
      <c r="D81" t="s">
        <v>128</v>
      </c>
      <c r="E81">
        <v>15951</v>
      </c>
      <c r="F81">
        <v>13660</v>
      </c>
      <c r="G81">
        <v>909</v>
      </c>
      <c r="H81">
        <v>204</v>
      </c>
      <c r="I81">
        <v>760485.34</v>
      </c>
      <c r="J81">
        <v>229</v>
      </c>
      <c r="K81">
        <v>618933.61</v>
      </c>
      <c r="L81">
        <v>205</v>
      </c>
      <c r="M81">
        <v>5713</v>
      </c>
      <c r="N81">
        <v>13289</v>
      </c>
      <c r="O81">
        <f t="shared" si="2"/>
        <v>2024</v>
      </c>
      <c r="P81">
        <f t="shared" si="3"/>
        <v>5</v>
      </c>
      <c r="Q81" t="str">
        <f>_xlfn.XLOOKUP(B81,全店核心数据_bymonth!A:A,全店核心数据_bymonth!AN:AN)</f>
        <v>BU25</v>
      </c>
    </row>
    <row r="82" spans="1:17" x14ac:dyDescent="0.3">
      <c r="A82" t="s">
        <v>110</v>
      </c>
      <c r="B82" s="16">
        <v>45413</v>
      </c>
      <c r="C82" t="s">
        <v>3</v>
      </c>
      <c r="D82" t="s">
        <v>127</v>
      </c>
      <c r="E82">
        <v>86761</v>
      </c>
      <c r="F82">
        <v>79801</v>
      </c>
      <c r="G82">
        <v>1352</v>
      </c>
      <c r="H82">
        <v>584</v>
      </c>
      <c r="I82">
        <v>636323.11</v>
      </c>
      <c r="J82">
        <v>252</v>
      </c>
      <c r="K82">
        <v>495983.6</v>
      </c>
      <c r="L82">
        <v>202</v>
      </c>
      <c r="M82">
        <v>7498</v>
      </c>
      <c r="N82">
        <v>38631</v>
      </c>
      <c r="O82">
        <f t="shared" si="2"/>
        <v>2024</v>
      </c>
      <c r="P82">
        <f t="shared" si="3"/>
        <v>5</v>
      </c>
      <c r="Q82" t="str">
        <f>_xlfn.XLOOKUP(B82,全店核心数据_bymonth!A:A,全店核心数据_bymonth!AN:AN)</f>
        <v>BU25</v>
      </c>
    </row>
    <row r="83" spans="1:17" x14ac:dyDescent="0.3">
      <c r="A83" t="s">
        <v>110</v>
      </c>
      <c r="B83" s="16">
        <v>45413</v>
      </c>
      <c r="C83" t="s">
        <v>3</v>
      </c>
      <c r="D83" t="s">
        <v>126</v>
      </c>
      <c r="E83">
        <v>2031</v>
      </c>
      <c r="F83">
        <v>1585</v>
      </c>
      <c r="G83">
        <v>87</v>
      </c>
      <c r="H83">
        <v>52</v>
      </c>
      <c r="I83">
        <v>93213.87</v>
      </c>
      <c r="J83">
        <v>30</v>
      </c>
      <c r="K83">
        <v>68368.87</v>
      </c>
      <c r="L83">
        <v>24</v>
      </c>
      <c r="M83">
        <v>403</v>
      </c>
      <c r="N83">
        <v>1946</v>
      </c>
      <c r="O83">
        <f t="shared" si="2"/>
        <v>2024</v>
      </c>
      <c r="P83">
        <f t="shared" si="3"/>
        <v>5</v>
      </c>
      <c r="Q83" t="str">
        <f>_xlfn.XLOOKUP(B83,全店核心数据_bymonth!A:A,全店核心数据_bymonth!AN:AN)</f>
        <v>BU25</v>
      </c>
    </row>
    <row r="84" spans="1:17" x14ac:dyDescent="0.3">
      <c r="A84" t="s">
        <v>110</v>
      </c>
      <c r="B84" s="16">
        <v>45413</v>
      </c>
      <c r="C84" t="s">
        <v>3</v>
      </c>
      <c r="D84" t="s">
        <v>125</v>
      </c>
      <c r="E84">
        <v>89</v>
      </c>
      <c r="F84">
        <v>47</v>
      </c>
      <c r="G84">
        <v>5</v>
      </c>
      <c r="H84">
        <v>3</v>
      </c>
      <c r="I84">
        <v>13029</v>
      </c>
      <c r="J84">
        <v>2</v>
      </c>
      <c r="K84">
        <v>3834</v>
      </c>
      <c r="L84">
        <v>1</v>
      </c>
      <c r="M84">
        <v>45</v>
      </c>
      <c r="N84">
        <v>82</v>
      </c>
      <c r="O84">
        <f t="shared" si="2"/>
        <v>2024</v>
      </c>
      <c r="P84">
        <f t="shared" si="3"/>
        <v>5</v>
      </c>
      <c r="Q84" t="str">
        <f>_xlfn.XLOOKUP(B84,全店核心数据_bymonth!A:A,全店核心数据_bymonth!AN:AN)</f>
        <v>BU25</v>
      </c>
    </row>
    <row r="85" spans="1:17" x14ac:dyDescent="0.3">
      <c r="A85" t="s">
        <v>110</v>
      </c>
      <c r="B85" s="16">
        <v>45413</v>
      </c>
      <c r="C85" t="s">
        <v>3</v>
      </c>
      <c r="D85" t="s">
        <v>124</v>
      </c>
      <c r="E85">
        <v>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f t="shared" si="2"/>
        <v>2024</v>
      </c>
      <c r="P85">
        <f t="shared" si="3"/>
        <v>5</v>
      </c>
      <c r="Q85" t="str">
        <f>_xlfn.XLOOKUP(B85,全店核心数据_bymonth!A:A,全店核心数据_bymonth!AN:AN)</f>
        <v>BU25</v>
      </c>
    </row>
    <row r="86" spans="1:17" x14ac:dyDescent="0.3">
      <c r="A86" t="s">
        <v>110</v>
      </c>
      <c r="B86" s="16">
        <v>45413</v>
      </c>
      <c r="C86" t="s">
        <v>3</v>
      </c>
      <c r="D86" t="s">
        <v>123</v>
      </c>
      <c r="E86">
        <v>3664</v>
      </c>
      <c r="F86">
        <v>2151</v>
      </c>
      <c r="G86">
        <v>280</v>
      </c>
      <c r="H86">
        <v>82</v>
      </c>
      <c r="I86">
        <v>281074.84999999998</v>
      </c>
      <c r="J86">
        <v>79</v>
      </c>
      <c r="K86">
        <v>222197.85</v>
      </c>
      <c r="L86">
        <v>67</v>
      </c>
      <c r="M86">
        <v>1637</v>
      </c>
      <c r="N86">
        <v>3043</v>
      </c>
      <c r="O86">
        <f t="shared" si="2"/>
        <v>2024</v>
      </c>
      <c r="P86">
        <f t="shared" si="3"/>
        <v>5</v>
      </c>
      <c r="Q86" t="str">
        <f>_xlfn.XLOOKUP(B86,全店核心数据_bymonth!A:A,全店核心数据_bymonth!AN:AN)</f>
        <v>BU25</v>
      </c>
    </row>
    <row r="87" spans="1:17" x14ac:dyDescent="0.3">
      <c r="A87" t="s">
        <v>110</v>
      </c>
      <c r="B87" s="16">
        <v>45413</v>
      </c>
      <c r="C87" t="s">
        <v>3</v>
      </c>
      <c r="D87" t="s">
        <v>122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f t="shared" si="2"/>
        <v>2024</v>
      </c>
      <c r="P87">
        <f t="shared" si="3"/>
        <v>5</v>
      </c>
      <c r="Q87" t="str">
        <f>_xlfn.XLOOKUP(B87,全店核心数据_bymonth!A:A,全店核心数据_bymonth!AN:AN)</f>
        <v>BU25</v>
      </c>
    </row>
    <row r="88" spans="1:17" x14ac:dyDescent="0.3">
      <c r="A88" t="s">
        <v>110</v>
      </c>
      <c r="B88" s="16">
        <v>45413</v>
      </c>
      <c r="C88" t="s">
        <v>3</v>
      </c>
      <c r="D88" t="s">
        <v>121</v>
      </c>
      <c r="E88">
        <v>40</v>
      </c>
      <c r="F88">
        <v>35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27</v>
      </c>
      <c r="N88">
        <v>13</v>
      </c>
      <c r="O88">
        <f t="shared" si="2"/>
        <v>2024</v>
      </c>
      <c r="P88">
        <f t="shared" si="3"/>
        <v>5</v>
      </c>
      <c r="Q88" t="str">
        <f>_xlfn.XLOOKUP(B88,全店核心数据_bymonth!A:A,全店核心数据_bymonth!AN:AN)</f>
        <v>BU25</v>
      </c>
    </row>
    <row r="89" spans="1:17" x14ac:dyDescent="0.3">
      <c r="A89" t="s">
        <v>110</v>
      </c>
      <c r="B89" s="16">
        <v>45413</v>
      </c>
      <c r="C89" t="s">
        <v>3</v>
      </c>
      <c r="D89" t="s">
        <v>120</v>
      </c>
      <c r="E89">
        <v>7677</v>
      </c>
      <c r="F89">
        <v>6941</v>
      </c>
      <c r="G89">
        <v>82</v>
      </c>
      <c r="H89">
        <v>0</v>
      </c>
      <c r="I89">
        <v>240896.01</v>
      </c>
      <c r="J89">
        <v>73</v>
      </c>
      <c r="K89">
        <v>222862.51</v>
      </c>
      <c r="L89">
        <v>68</v>
      </c>
      <c r="M89">
        <v>1073</v>
      </c>
      <c r="N89">
        <v>7526</v>
      </c>
      <c r="O89">
        <f t="shared" si="2"/>
        <v>2024</v>
      </c>
      <c r="P89">
        <f t="shared" si="3"/>
        <v>5</v>
      </c>
      <c r="Q89" t="str">
        <f>_xlfn.XLOOKUP(B89,全店核心数据_bymonth!A:A,全店核心数据_bymonth!AN:AN)</f>
        <v>BU25</v>
      </c>
    </row>
    <row r="90" spans="1:17" x14ac:dyDescent="0.3">
      <c r="A90" t="s">
        <v>110</v>
      </c>
      <c r="B90" s="16">
        <v>45413</v>
      </c>
      <c r="C90" t="s">
        <v>3</v>
      </c>
      <c r="D90" t="s">
        <v>119</v>
      </c>
      <c r="E90">
        <v>4810</v>
      </c>
      <c r="F90">
        <v>2674</v>
      </c>
      <c r="G90">
        <v>402</v>
      </c>
      <c r="H90">
        <v>104</v>
      </c>
      <c r="I90">
        <v>1138070</v>
      </c>
      <c r="J90">
        <v>289</v>
      </c>
      <c r="K90">
        <v>914718.86</v>
      </c>
      <c r="L90">
        <v>267</v>
      </c>
      <c r="M90">
        <v>1506</v>
      </c>
      <c r="N90">
        <v>4045</v>
      </c>
      <c r="O90">
        <f t="shared" si="2"/>
        <v>2024</v>
      </c>
      <c r="P90">
        <f t="shared" si="3"/>
        <v>5</v>
      </c>
      <c r="Q90" t="str">
        <f>_xlfn.XLOOKUP(B90,全店核心数据_bymonth!A:A,全店核心数据_bymonth!AN:AN)</f>
        <v>BU25</v>
      </c>
    </row>
    <row r="91" spans="1:17" x14ac:dyDescent="0.3">
      <c r="A91" t="s">
        <v>110</v>
      </c>
      <c r="B91" s="16">
        <v>45413</v>
      </c>
      <c r="C91" t="s">
        <v>3</v>
      </c>
      <c r="D91" t="s">
        <v>118</v>
      </c>
      <c r="E91">
        <v>7</v>
      </c>
      <c r="F91">
        <v>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>
        <v>4</v>
      </c>
      <c r="O91">
        <f t="shared" si="2"/>
        <v>2024</v>
      </c>
      <c r="P91">
        <f t="shared" si="3"/>
        <v>5</v>
      </c>
      <c r="Q91" t="str">
        <f>_xlfn.XLOOKUP(B91,全店核心数据_bymonth!A:A,全店核心数据_bymonth!AN:AN)</f>
        <v>BU25</v>
      </c>
    </row>
    <row r="92" spans="1:17" x14ac:dyDescent="0.3">
      <c r="A92" t="s">
        <v>110</v>
      </c>
      <c r="B92" s="16">
        <v>45413</v>
      </c>
      <c r="C92" t="s">
        <v>3</v>
      </c>
      <c r="D92" t="s">
        <v>117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f t="shared" si="2"/>
        <v>2024</v>
      </c>
      <c r="P92">
        <f t="shared" si="3"/>
        <v>5</v>
      </c>
      <c r="Q92" t="str">
        <f>_xlfn.XLOOKUP(B92,全店核心数据_bymonth!A:A,全店核心数据_bymonth!AN:AN)</f>
        <v>BU25</v>
      </c>
    </row>
    <row r="93" spans="1:17" x14ac:dyDescent="0.3">
      <c r="A93" t="s">
        <v>110</v>
      </c>
      <c r="B93" s="16">
        <v>45413</v>
      </c>
      <c r="C93" t="s">
        <v>3</v>
      </c>
      <c r="D93" t="s">
        <v>116</v>
      </c>
      <c r="E93">
        <v>127</v>
      </c>
      <c r="F93">
        <v>109</v>
      </c>
      <c r="G93">
        <v>3</v>
      </c>
      <c r="H93">
        <v>0</v>
      </c>
      <c r="I93">
        <v>0</v>
      </c>
      <c r="J93">
        <v>0</v>
      </c>
      <c r="K93">
        <v>0</v>
      </c>
      <c r="L93">
        <v>0</v>
      </c>
      <c r="M93">
        <v>2</v>
      </c>
      <c r="N93">
        <v>126</v>
      </c>
      <c r="O93">
        <f t="shared" si="2"/>
        <v>2024</v>
      </c>
      <c r="P93">
        <f t="shared" si="3"/>
        <v>5</v>
      </c>
      <c r="Q93" t="str">
        <f>_xlfn.XLOOKUP(B93,全店核心数据_bymonth!A:A,全店核心数据_bymonth!AN:AN)</f>
        <v>BU25</v>
      </c>
    </row>
    <row r="94" spans="1:17" x14ac:dyDescent="0.3">
      <c r="A94" t="s">
        <v>110</v>
      </c>
      <c r="B94" s="16">
        <v>45413</v>
      </c>
      <c r="C94" t="s">
        <v>3</v>
      </c>
      <c r="D94" t="s">
        <v>115</v>
      </c>
      <c r="E94">
        <v>42</v>
      </c>
      <c r="F94">
        <v>27</v>
      </c>
      <c r="G94">
        <v>3</v>
      </c>
      <c r="H94">
        <v>0</v>
      </c>
      <c r="I94">
        <v>0</v>
      </c>
      <c r="J94">
        <v>0</v>
      </c>
      <c r="K94">
        <v>0</v>
      </c>
      <c r="L94">
        <v>0</v>
      </c>
      <c r="M94">
        <v>13</v>
      </c>
      <c r="N94">
        <v>40</v>
      </c>
      <c r="O94">
        <f t="shared" si="2"/>
        <v>2024</v>
      </c>
      <c r="P94">
        <f t="shared" si="3"/>
        <v>5</v>
      </c>
      <c r="Q94" t="str">
        <f>_xlfn.XLOOKUP(B94,全店核心数据_bymonth!A:A,全店核心数据_bymonth!AN:AN)</f>
        <v>BU25</v>
      </c>
    </row>
    <row r="95" spans="1:17" x14ac:dyDescent="0.3">
      <c r="A95" t="s">
        <v>110</v>
      </c>
      <c r="B95" s="16">
        <v>45413</v>
      </c>
      <c r="C95" t="s">
        <v>3</v>
      </c>
      <c r="D95" t="s">
        <v>114</v>
      </c>
      <c r="E95">
        <v>1198</v>
      </c>
      <c r="F95">
        <v>574</v>
      </c>
      <c r="G95">
        <v>39</v>
      </c>
      <c r="H95">
        <v>19</v>
      </c>
      <c r="I95">
        <v>24540.5</v>
      </c>
      <c r="J95">
        <v>10</v>
      </c>
      <c r="K95">
        <v>13088</v>
      </c>
      <c r="L95">
        <v>7</v>
      </c>
      <c r="M95">
        <v>175</v>
      </c>
      <c r="N95">
        <v>1083</v>
      </c>
      <c r="O95">
        <f t="shared" si="2"/>
        <v>2024</v>
      </c>
      <c r="P95">
        <f t="shared" si="3"/>
        <v>5</v>
      </c>
      <c r="Q95" t="str">
        <f>_xlfn.XLOOKUP(B95,全店核心数据_bymonth!A:A,全店核心数据_bymonth!AN:AN)</f>
        <v>BU25</v>
      </c>
    </row>
    <row r="96" spans="1:17" x14ac:dyDescent="0.3">
      <c r="A96" t="s">
        <v>110</v>
      </c>
      <c r="B96" s="16">
        <v>45413</v>
      </c>
      <c r="C96" t="s">
        <v>3</v>
      </c>
      <c r="D96" t="s">
        <v>113</v>
      </c>
      <c r="E96">
        <v>3608</v>
      </c>
      <c r="F96">
        <v>2917</v>
      </c>
      <c r="G96">
        <v>68</v>
      </c>
      <c r="H96">
        <v>27</v>
      </c>
      <c r="I96">
        <v>49682</v>
      </c>
      <c r="J96">
        <v>20</v>
      </c>
      <c r="K96">
        <v>36543</v>
      </c>
      <c r="L96">
        <v>16</v>
      </c>
      <c r="M96">
        <v>1646</v>
      </c>
      <c r="N96">
        <v>1247</v>
      </c>
      <c r="O96">
        <f t="shared" si="2"/>
        <v>2024</v>
      </c>
      <c r="P96">
        <f t="shared" si="3"/>
        <v>5</v>
      </c>
      <c r="Q96" t="str">
        <f>_xlfn.XLOOKUP(B96,全店核心数据_bymonth!A:A,全店核心数据_bymonth!AN:AN)</f>
        <v>BU25</v>
      </c>
    </row>
    <row r="97" spans="1:17" x14ac:dyDescent="0.3">
      <c r="A97" t="s">
        <v>110</v>
      </c>
      <c r="B97" s="16">
        <v>45413</v>
      </c>
      <c r="C97" t="s">
        <v>3</v>
      </c>
      <c r="D97" t="s">
        <v>112</v>
      </c>
      <c r="E97">
        <v>213</v>
      </c>
      <c r="F97">
        <v>92</v>
      </c>
      <c r="G97">
        <v>12</v>
      </c>
      <c r="H97">
        <v>3</v>
      </c>
      <c r="I97">
        <v>136911.20000000001</v>
      </c>
      <c r="J97">
        <v>54</v>
      </c>
      <c r="K97">
        <v>130568.2</v>
      </c>
      <c r="L97">
        <v>53</v>
      </c>
      <c r="M97">
        <v>2</v>
      </c>
      <c r="N97">
        <v>213</v>
      </c>
      <c r="O97">
        <f t="shared" si="2"/>
        <v>2024</v>
      </c>
      <c r="P97">
        <f t="shared" si="3"/>
        <v>5</v>
      </c>
      <c r="Q97" t="str">
        <f>_xlfn.XLOOKUP(B97,全店核心数据_bymonth!A:A,全店核心数据_bymonth!AN:AN)</f>
        <v>BU25</v>
      </c>
    </row>
    <row r="98" spans="1:17" x14ac:dyDescent="0.3">
      <c r="A98" t="s">
        <v>110</v>
      </c>
      <c r="B98" s="16">
        <v>45413</v>
      </c>
      <c r="C98" t="s">
        <v>3</v>
      </c>
      <c r="D98" t="s">
        <v>111</v>
      </c>
      <c r="E98">
        <v>256</v>
      </c>
      <c r="F98">
        <v>183</v>
      </c>
      <c r="G98">
        <v>10</v>
      </c>
      <c r="H98">
        <v>0</v>
      </c>
      <c r="I98">
        <v>11684.5</v>
      </c>
      <c r="J98">
        <v>4</v>
      </c>
      <c r="K98">
        <v>9447.5</v>
      </c>
      <c r="L98">
        <v>3</v>
      </c>
      <c r="M98">
        <v>4</v>
      </c>
      <c r="N98">
        <v>256</v>
      </c>
      <c r="O98">
        <f t="shared" si="2"/>
        <v>2024</v>
      </c>
      <c r="P98">
        <f t="shared" si="3"/>
        <v>5</v>
      </c>
      <c r="Q98" t="str">
        <f>_xlfn.XLOOKUP(B98,全店核心数据_bymonth!A:A,全店核心数据_bymonth!AN:AN)</f>
        <v>BU25</v>
      </c>
    </row>
    <row r="99" spans="1:17" x14ac:dyDescent="0.3">
      <c r="A99" t="s">
        <v>110</v>
      </c>
      <c r="B99" s="16">
        <v>45383</v>
      </c>
      <c r="C99" t="s">
        <v>2</v>
      </c>
      <c r="D99" t="s">
        <v>4</v>
      </c>
      <c r="E99">
        <v>2445</v>
      </c>
      <c r="F99">
        <v>1294</v>
      </c>
      <c r="G99">
        <v>10</v>
      </c>
      <c r="H99">
        <v>5</v>
      </c>
      <c r="I99">
        <v>37325</v>
      </c>
      <c r="J99">
        <v>4</v>
      </c>
      <c r="K99">
        <v>37325</v>
      </c>
      <c r="L99">
        <v>4</v>
      </c>
      <c r="N99">
        <v>2293</v>
      </c>
      <c r="O99">
        <f t="shared" si="2"/>
        <v>2024</v>
      </c>
      <c r="P99">
        <f t="shared" si="3"/>
        <v>4</v>
      </c>
      <c r="Q99" t="str">
        <f>_xlfn.XLOOKUP(B99,全店核心数据_bymonth!A:A,全店核心数据_bymonth!AN:AN)</f>
        <v>BU25</v>
      </c>
    </row>
    <row r="100" spans="1:17" x14ac:dyDescent="0.3">
      <c r="A100" t="s">
        <v>110</v>
      </c>
      <c r="B100" s="16">
        <v>45383</v>
      </c>
      <c r="C100" t="s">
        <v>2</v>
      </c>
      <c r="D100" t="s">
        <v>57</v>
      </c>
      <c r="E100">
        <v>137359</v>
      </c>
      <c r="F100">
        <v>131160</v>
      </c>
      <c r="G100">
        <v>1223</v>
      </c>
      <c r="H100">
        <v>997</v>
      </c>
      <c r="I100">
        <v>832220</v>
      </c>
      <c r="J100">
        <v>117</v>
      </c>
      <c r="K100">
        <v>398860</v>
      </c>
      <c r="L100">
        <v>73</v>
      </c>
      <c r="N100">
        <v>136880</v>
      </c>
      <c r="O100">
        <f t="shared" si="2"/>
        <v>2024</v>
      </c>
      <c r="P100">
        <f t="shared" si="3"/>
        <v>4</v>
      </c>
      <c r="Q100" t="str">
        <f>_xlfn.XLOOKUP(B100,全店核心数据_bymonth!A:A,全店核心数据_bymonth!AN:AN)</f>
        <v>BU25</v>
      </c>
    </row>
    <row r="101" spans="1:17" x14ac:dyDescent="0.3">
      <c r="A101" t="s">
        <v>110</v>
      </c>
      <c r="B101" s="16">
        <v>45383</v>
      </c>
      <c r="C101" t="s">
        <v>2</v>
      </c>
      <c r="D101" t="s">
        <v>52</v>
      </c>
      <c r="E101">
        <v>17559</v>
      </c>
      <c r="F101">
        <v>16793</v>
      </c>
      <c r="G101">
        <v>289</v>
      </c>
      <c r="H101">
        <v>106</v>
      </c>
      <c r="I101">
        <v>175080</v>
      </c>
      <c r="J101">
        <v>27</v>
      </c>
      <c r="K101">
        <v>127385</v>
      </c>
      <c r="L101">
        <v>25</v>
      </c>
      <c r="N101">
        <v>8415</v>
      </c>
      <c r="O101">
        <f t="shared" si="2"/>
        <v>2024</v>
      </c>
      <c r="P101">
        <f t="shared" si="3"/>
        <v>4</v>
      </c>
      <c r="Q101" t="str">
        <f>_xlfn.XLOOKUP(B101,全店核心数据_bymonth!A:A,全店核心数据_bymonth!AN:AN)</f>
        <v>BU25</v>
      </c>
    </row>
    <row r="102" spans="1:17" x14ac:dyDescent="0.3">
      <c r="A102" t="s">
        <v>110</v>
      </c>
      <c r="B102" s="16">
        <v>45383</v>
      </c>
      <c r="C102" t="s">
        <v>2</v>
      </c>
      <c r="D102" t="s">
        <v>55</v>
      </c>
      <c r="E102">
        <v>5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N102">
        <v>0</v>
      </c>
      <c r="O102">
        <f t="shared" si="2"/>
        <v>2024</v>
      </c>
      <c r="P102">
        <f t="shared" si="3"/>
        <v>4</v>
      </c>
      <c r="Q102" t="str">
        <f>_xlfn.XLOOKUP(B102,全店核心数据_bymonth!A:A,全店核心数据_bymonth!AN:AN)</f>
        <v>BU25</v>
      </c>
    </row>
    <row r="103" spans="1:17" x14ac:dyDescent="0.3">
      <c r="A103" t="s">
        <v>110</v>
      </c>
      <c r="B103" s="16">
        <v>45383</v>
      </c>
      <c r="C103" t="s">
        <v>3</v>
      </c>
      <c r="D103" t="s">
        <v>156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N103">
        <v>0</v>
      </c>
      <c r="O103">
        <f t="shared" si="2"/>
        <v>2024</v>
      </c>
      <c r="P103">
        <f t="shared" si="3"/>
        <v>4</v>
      </c>
      <c r="Q103" t="str">
        <f>_xlfn.XLOOKUP(B103,全店核心数据_bymonth!A:A,全店核心数据_bymonth!AN:AN)</f>
        <v>BU25</v>
      </c>
    </row>
    <row r="104" spans="1:17" x14ac:dyDescent="0.3">
      <c r="A104" t="s">
        <v>110</v>
      </c>
      <c r="B104" s="16">
        <v>45383</v>
      </c>
      <c r="C104" t="s">
        <v>3</v>
      </c>
      <c r="D104" t="s">
        <v>155</v>
      </c>
      <c r="E104">
        <v>99</v>
      </c>
      <c r="F104">
        <v>78</v>
      </c>
      <c r="G104">
        <v>1</v>
      </c>
      <c r="H104">
        <v>4</v>
      </c>
      <c r="I104">
        <v>0</v>
      </c>
      <c r="J104">
        <v>0</v>
      </c>
      <c r="K104">
        <v>0</v>
      </c>
      <c r="L104">
        <v>0</v>
      </c>
      <c r="N104">
        <v>99</v>
      </c>
      <c r="O104">
        <f t="shared" si="2"/>
        <v>2024</v>
      </c>
      <c r="P104">
        <f t="shared" si="3"/>
        <v>4</v>
      </c>
      <c r="Q104" t="str">
        <f>_xlfn.XLOOKUP(B104,全店核心数据_bymonth!A:A,全店核心数据_bymonth!AN:AN)</f>
        <v>BU25</v>
      </c>
    </row>
    <row r="105" spans="1:17" x14ac:dyDescent="0.3">
      <c r="A105" t="s">
        <v>110</v>
      </c>
      <c r="B105" s="16">
        <v>45383</v>
      </c>
      <c r="C105" t="s">
        <v>3</v>
      </c>
      <c r="D105" t="s">
        <v>154</v>
      </c>
      <c r="E105">
        <v>8</v>
      </c>
      <c r="F105">
        <v>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N105">
        <v>3</v>
      </c>
      <c r="O105">
        <f t="shared" si="2"/>
        <v>2024</v>
      </c>
      <c r="P105">
        <f t="shared" si="3"/>
        <v>4</v>
      </c>
      <c r="Q105" t="str">
        <f>_xlfn.XLOOKUP(B105,全店核心数据_bymonth!A:A,全店核心数据_bymonth!AN:AN)</f>
        <v>BU25</v>
      </c>
    </row>
    <row r="106" spans="1:17" x14ac:dyDescent="0.3">
      <c r="A106" t="s">
        <v>110</v>
      </c>
      <c r="B106" s="16">
        <v>45383</v>
      </c>
      <c r="C106" t="s">
        <v>3</v>
      </c>
      <c r="D106" t="s">
        <v>153</v>
      </c>
      <c r="E106">
        <v>1886</v>
      </c>
      <c r="F106">
        <v>1145</v>
      </c>
      <c r="G106">
        <v>152</v>
      </c>
      <c r="H106">
        <v>18</v>
      </c>
      <c r="I106">
        <v>528145</v>
      </c>
      <c r="J106">
        <v>84</v>
      </c>
      <c r="K106">
        <v>491245</v>
      </c>
      <c r="L106">
        <v>79</v>
      </c>
      <c r="N106">
        <v>1786</v>
      </c>
      <c r="O106">
        <f t="shared" si="2"/>
        <v>2024</v>
      </c>
      <c r="P106">
        <f t="shared" si="3"/>
        <v>4</v>
      </c>
      <c r="Q106" t="str">
        <f>_xlfn.XLOOKUP(B106,全店核心数据_bymonth!A:A,全店核心数据_bymonth!AN:AN)</f>
        <v>BU25</v>
      </c>
    </row>
    <row r="107" spans="1:17" x14ac:dyDescent="0.3">
      <c r="A107" t="s">
        <v>110</v>
      </c>
      <c r="B107" s="16">
        <v>45383</v>
      </c>
      <c r="C107" t="s">
        <v>3</v>
      </c>
      <c r="D107" t="s">
        <v>152</v>
      </c>
      <c r="E107">
        <v>21</v>
      </c>
      <c r="F107">
        <v>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N107">
        <v>21</v>
      </c>
      <c r="O107">
        <f t="shared" si="2"/>
        <v>2024</v>
      </c>
      <c r="P107">
        <f t="shared" si="3"/>
        <v>4</v>
      </c>
      <c r="Q107" t="str">
        <f>_xlfn.XLOOKUP(B107,全店核心数据_bymonth!A:A,全店核心数据_bymonth!AN:AN)</f>
        <v>BU25</v>
      </c>
    </row>
    <row r="108" spans="1:17" x14ac:dyDescent="0.3">
      <c r="A108" t="s">
        <v>110</v>
      </c>
      <c r="B108" s="16">
        <v>45383</v>
      </c>
      <c r="C108" t="s">
        <v>3</v>
      </c>
      <c r="D108" t="s">
        <v>151</v>
      </c>
      <c r="E108">
        <v>16</v>
      </c>
      <c r="F108">
        <v>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N108">
        <v>16</v>
      </c>
      <c r="O108">
        <f t="shared" si="2"/>
        <v>2024</v>
      </c>
      <c r="P108">
        <f t="shared" si="3"/>
        <v>4</v>
      </c>
      <c r="Q108" t="str">
        <f>_xlfn.XLOOKUP(B108,全店核心数据_bymonth!A:A,全店核心数据_bymonth!AN:AN)</f>
        <v>BU25</v>
      </c>
    </row>
    <row r="109" spans="1:17" x14ac:dyDescent="0.3">
      <c r="A109" t="s">
        <v>110</v>
      </c>
      <c r="B109" s="16">
        <v>45383</v>
      </c>
      <c r="C109" t="s">
        <v>3</v>
      </c>
      <c r="D109" t="s">
        <v>149</v>
      </c>
      <c r="E109">
        <v>148</v>
      </c>
      <c r="F109">
        <v>109</v>
      </c>
      <c r="G109">
        <v>4</v>
      </c>
      <c r="H109">
        <v>1</v>
      </c>
      <c r="I109">
        <v>0</v>
      </c>
      <c r="J109">
        <v>0</v>
      </c>
      <c r="K109">
        <v>0</v>
      </c>
      <c r="L109">
        <v>0</v>
      </c>
      <c r="N109">
        <v>90</v>
      </c>
      <c r="O109">
        <f t="shared" si="2"/>
        <v>2024</v>
      </c>
      <c r="P109">
        <f t="shared" si="3"/>
        <v>4</v>
      </c>
      <c r="Q109" t="str">
        <f>_xlfn.XLOOKUP(B109,全店核心数据_bymonth!A:A,全店核心数据_bymonth!AN:AN)</f>
        <v>BU25</v>
      </c>
    </row>
    <row r="110" spans="1:17" x14ac:dyDescent="0.3">
      <c r="A110" t="s">
        <v>110</v>
      </c>
      <c r="B110" s="16">
        <v>45383</v>
      </c>
      <c r="C110" t="s">
        <v>3</v>
      </c>
      <c r="D110" t="s">
        <v>148</v>
      </c>
      <c r="E110">
        <v>152</v>
      </c>
      <c r="F110">
        <v>79</v>
      </c>
      <c r="G110">
        <v>1</v>
      </c>
      <c r="H110">
        <v>0</v>
      </c>
      <c r="I110">
        <v>3195</v>
      </c>
      <c r="J110">
        <v>1</v>
      </c>
      <c r="K110">
        <v>3195</v>
      </c>
      <c r="L110">
        <v>1</v>
      </c>
      <c r="N110">
        <v>149</v>
      </c>
      <c r="O110">
        <f t="shared" si="2"/>
        <v>2024</v>
      </c>
      <c r="P110">
        <f t="shared" si="3"/>
        <v>4</v>
      </c>
      <c r="Q110" t="str">
        <f>_xlfn.XLOOKUP(B110,全店核心数据_bymonth!A:A,全店核心数据_bymonth!AN:AN)</f>
        <v>BU25</v>
      </c>
    </row>
    <row r="111" spans="1:17" x14ac:dyDescent="0.3">
      <c r="A111" t="s">
        <v>110</v>
      </c>
      <c r="B111" s="16">
        <v>45383</v>
      </c>
      <c r="C111" t="s">
        <v>3</v>
      </c>
      <c r="D111" t="s">
        <v>144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N111">
        <v>0</v>
      </c>
      <c r="O111">
        <f t="shared" si="2"/>
        <v>2024</v>
      </c>
      <c r="P111">
        <f t="shared" si="3"/>
        <v>4</v>
      </c>
      <c r="Q111" t="str">
        <f>_xlfn.XLOOKUP(B111,全店核心数据_bymonth!A:A,全店核心数据_bymonth!AN:AN)</f>
        <v>BU25</v>
      </c>
    </row>
    <row r="112" spans="1:17" x14ac:dyDescent="0.3">
      <c r="A112" t="s">
        <v>110</v>
      </c>
      <c r="B112" s="16">
        <v>45383</v>
      </c>
      <c r="C112" t="s">
        <v>3</v>
      </c>
      <c r="D112" t="s">
        <v>143</v>
      </c>
      <c r="E112">
        <v>235</v>
      </c>
      <c r="F112">
        <v>227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N112">
        <v>234</v>
      </c>
      <c r="O112">
        <f t="shared" si="2"/>
        <v>2024</v>
      </c>
      <c r="P112">
        <f t="shared" si="3"/>
        <v>4</v>
      </c>
      <c r="Q112" t="str">
        <f>_xlfn.XLOOKUP(B112,全店核心数据_bymonth!A:A,全店核心数据_bymonth!AN:AN)</f>
        <v>BU25</v>
      </c>
    </row>
    <row r="113" spans="1:17" x14ac:dyDescent="0.3">
      <c r="A113" t="s">
        <v>110</v>
      </c>
      <c r="B113" s="16">
        <v>45383</v>
      </c>
      <c r="C113" t="s">
        <v>3</v>
      </c>
      <c r="D113" t="s">
        <v>142</v>
      </c>
      <c r="E113">
        <v>67</v>
      </c>
      <c r="F113">
        <v>38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N113">
        <v>67</v>
      </c>
      <c r="O113">
        <f t="shared" si="2"/>
        <v>2024</v>
      </c>
      <c r="P113">
        <f t="shared" si="3"/>
        <v>4</v>
      </c>
      <c r="Q113" t="str">
        <f>_xlfn.XLOOKUP(B113,全店核心数据_bymonth!A:A,全店核心数据_bymonth!AN:AN)</f>
        <v>BU25</v>
      </c>
    </row>
    <row r="114" spans="1:17" x14ac:dyDescent="0.3">
      <c r="A114" t="s">
        <v>110</v>
      </c>
      <c r="B114" s="16">
        <v>45383</v>
      </c>
      <c r="C114" t="s">
        <v>3</v>
      </c>
      <c r="D114" t="s">
        <v>141</v>
      </c>
      <c r="E114">
        <v>21</v>
      </c>
      <c r="F114">
        <v>21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N114">
        <v>14</v>
      </c>
      <c r="O114">
        <f t="shared" si="2"/>
        <v>2024</v>
      </c>
      <c r="P114">
        <f t="shared" si="3"/>
        <v>4</v>
      </c>
      <c r="Q114" t="str">
        <f>_xlfn.XLOOKUP(B114,全店核心数据_bymonth!A:A,全店核心数据_bymonth!AN:AN)</f>
        <v>BU25</v>
      </c>
    </row>
    <row r="115" spans="1:17" x14ac:dyDescent="0.3">
      <c r="A115" t="s">
        <v>110</v>
      </c>
      <c r="B115" s="16">
        <v>45383</v>
      </c>
      <c r="C115" t="s">
        <v>3</v>
      </c>
      <c r="D115" t="s">
        <v>140</v>
      </c>
      <c r="E115">
        <v>57</v>
      </c>
      <c r="F115">
        <v>52</v>
      </c>
      <c r="G115">
        <v>6</v>
      </c>
      <c r="H115">
        <v>0</v>
      </c>
      <c r="I115">
        <v>56880</v>
      </c>
      <c r="J115">
        <v>5</v>
      </c>
      <c r="K115">
        <v>56880</v>
      </c>
      <c r="L115">
        <v>5</v>
      </c>
      <c r="N115">
        <v>55</v>
      </c>
      <c r="O115">
        <f t="shared" si="2"/>
        <v>2024</v>
      </c>
      <c r="P115">
        <f t="shared" si="3"/>
        <v>4</v>
      </c>
      <c r="Q115" t="str">
        <f>_xlfn.XLOOKUP(B115,全店核心数据_bymonth!A:A,全店核心数据_bymonth!AN:AN)</f>
        <v>BU25</v>
      </c>
    </row>
    <row r="116" spans="1:17" x14ac:dyDescent="0.3">
      <c r="A116" t="s">
        <v>110</v>
      </c>
      <c r="B116" s="16">
        <v>45383</v>
      </c>
      <c r="C116" t="s">
        <v>3</v>
      </c>
      <c r="D116" t="s">
        <v>139</v>
      </c>
      <c r="E116">
        <v>5100</v>
      </c>
      <c r="F116">
        <v>3754</v>
      </c>
      <c r="G116">
        <v>103</v>
      </c>
      <c r="H116">
        <v>42</v>
      </c>
      <c r="I116">
        <v>258021.1</v>
      </c>
      <c r="J116">
        <v>37</v>
      </c>
      <c r="K116">
        <v>234801.1</v>
      </c>
      <c r="L116">
        <v>36</v>
      </c>
      <c r="N116">
        <v>3001</v>
      </c>
      <c r="O116">
        <f t="shared" si="2"/>
        <v>2024</v>
      </c>
      <c r="P116">
        <f t="shared" si="3"/>
        <v>4</v>
      </c>
      <c r="Q116" t="str">
        <f>_xlfn.XLOOKUP(B116,全店核心数据_bymonth!A:A,全店核心数据_bymonth!AN:AN)</f>
        <v>BU25</v>
      </c>
    </row>
    <row r="117" spans="1:17" x14ac:dyDescent="0.3">
      <c r="A117" t="s">
        <v>110</v>
      </c>
      <c r="B117" s="16">
        <v>45383</v>
      </c>
      <c r="C117" t="s">
        <v>3</v>
      </c>
      <c r="D117" t="s">
        <v>138</v>
      </c>
      <c r="E117">
        <v>917</v>
      </c>
      <c r="F117">
        <v>663</v>
      </c>
      <c r="G117">
        <v>14</v>
      </c>
      <c r="H117">
        <v>14</v>
      </c>
      <c r="I117">
        <v>20555</v>
      </c>
      <c r="J117">
        <v>2</v>
      </c>
      <c r="K117">
        <v>20555</v>
      </c>
      <c r="L117">
        <v>2</v>
      </c>
      <c r="N117">
        <v>789</v>
      </c>
      <c r="O117">
        <f t="shared" si="2"/>
        <v>2024</v>
      </c>
      <c r="P117">
        <f t="shared" si="3"/>
        <v>4</v>
      </c>
      <c r="Q117" t="str">
        <f>_xlfn.XLOOKUP(B117,全店核心数据_bymonth!A:A,全店核心数据_bymonth!AN:AN)</f>
        <v>BU25</v>
      </c>
    </row>
    <row r="118" spans="1:17" x14ac:dyDescent="0.3">
      <c r="A118" t="s">
        <v>110</v>
      </c>
      <c r="B118" s="16">
        <v>45383</v>
      </c>
      <c r="C118" t="s">
        <v>3</v>
      </c>
      <c r="D118" t="s">
        <v>137</v>
      </c>
      <c r="E118">
        <v>34</v>
      </c>
      <c r="F118">
        <v>20</v>
      </c>
      <c r="G118">
        <v>2</v>
      </c>
      <c r="H118">
        <v>0</v>
      </c>
      <c r="I118">
        <v>14995</v>
      </c>
      <c r="J118">
        <v>1</v>
      </c>
      <c r="K118">
        <v>14995</v>
      </c>
      <c r="L118">
        <v>1</v>
      </c>
      <c r="N118">
        <v>34</v>
      </c>
      <c r="O118">
        <f t="shared" si="2"/>
        <v>2024</v>
      </c>
      <c r="P118">
        <f t="shared" si="3"/>
        <v>4</v>
      </c>
      <c r="Q118" t="str">
        <f>_xlfn.XLOOKUP(B118,全店核心数据_bymonth!A:A,全店核心数据_bymonth!AN:AN)</f>
        <v>BU25</v>
      </c>
    </row>
    <row r="119" spans="1:17" x14ac:dyDescent="0.3">
      <c r="A119" t="s">
        <v>110</v>
      </c>
      <c r="B119" s="16">
        <v>45383</v>
      </c>
      <c r="C119" t="s">
        <v>3</v>
      </c>
      <c r="D119" t="s">
        <v>135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N119">
        <v>1</v>
      </c>
      <c r="O119">
        <f t="shared" si="2"/>
        <v>2024</v>
      </c>
      <c r="P119">
        <f t="shared" si="3"/>
        <v>4</v>
      </c>
      <c r="Q119" t="str">
        <f>_xlfn.XLOOKUP(B119,全店核心数据_bymonth!A:A,全店核心数据_bymonth!AN:AN)</f>
        <v>BU25</v>
      </c>
    </row>
    <row r="120" spans="1:17" x14ac:dyDescent="0.3">
      <c r="A120" t="s">
        <v>110</v>
      </c>
      <c r="B120" s="16">
        <v>45383</v>
      </c>
      <c r="C120" t="s">
        <v>3</v>
      </c>
      <c r="D120" t="s">
        <v>134</v>
      </c>
      <c r="E120">
        <v>2220</v>
      </c>
      <c r="F120">
        <v>1402</v>
      </c>
      <c r="G120">
        <v>23</v>
      </c>
      <c r="H120">
        <v>32</v>
      </c>
      <c r="I120">
        <v>76710</v>
      </c>
      <c r="J120">
        <v>7</v>
      </c>
      <c r="K120">
        <v>51875</v>
      </c>
      <c r="L120">
        <v>4</v>
      </c>
      <c r="N120">
        <v>1814</v>
      </c>
      <c r="O120">
        <f t="shared" si="2"/>
        <v>2024</v>
      </c>
      <c r="P120">
        <f t="shared" si="3"/>
        <v>4</v>
      </c>
      <c r="Q120" t="str">
        <f>_xlfn.XLOOKUP(B120,全店核心数据_bymonth!A:A,全店核心数据_bymonth!AN:AN)</f>
        <v>BU25</v>
      </c>
    </row>
    <row r="121" spans="1:17" x14ac:dyDescent="0.3">
      <c r="A121" t="s">
        <v>110</v>
      </c>
      <c r="B121" s="16">
        <v>45383</v>
      </c>
      <c r="C121" t="s">
        <v>3</v>
      </c>
      <c r="D121" t="s">
        <v>133</v>
      </c>
      <c r="E121">
        <v>118</v>
      </c>
      <c r="F121">
        <v>95</v>
      </c>
      <c r="G121">
        <v>3</v>
      </c>
      <c r="H121">
        <v>0</v>
      </c>
      <c r="I121">
        <v>4015</v>
      </c>
      <c r="J121">
        <v>2</v>
      </c>
      <c r="K121">
        <v>3195</v>
      </c>
      <c r="L121">
        <v>1</v>
      </c>
      <c r="N121">
        <v>80</v>
      </c>
      <c r="O121">
        <f t="shared" si="2"/>
        <v>2024</v>
      </c>
      <c r="P121">
        <f t="shared" si="3"/>
        <v>4</v>
      </c>
      <c r="Q121" t="str">
        <f>_xlfn.XLOOKUP(B121,全店核心数据_bymonth!A:A,全店核心数据_bymonth!AN:AN)</f>
        <v>BU25</v>
      </c>
    </row>
    <row r="122" spans="1:17" x14ac:dyDescent="0.3">
      <c r="A122" t="s">
        <v>110</v>
      </c>
      <c r="B122" s="16">
        <v>45383</v>
      </c>
      <c r="C122" t="s">
        <v>3</v>
      </c>
      <c r="D122" t="s">
        <v>132</v>
      </c>
      <c r="E122">
        <v>18</v>
      </c>
      <c r="F122">
        <v>16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N122">
        <v>18</v>
      </c>
      <c r="O122">
        <f t="shared" si="2"/>
        <v>2024</v>
      </c>
      <c r="P122">
        <f t="shared" si="3"/>
        <v>4</v>
      </c>
      <c r="Q122" t="str">
        <f>_xlfn.XLOOKUP(B122,全店核心数据_bymonth!A:A,全店核心数据_bymonth!AN:AN)</f>
        <v>BU25</v>
      </c>
    </row>
    <row r="123" spans="1:17" x14ac:dyDescent="0.3">
      <c r="A123" t="s">
        <v>110</v>
      </c>
      <c r="B123" s="16">
        <v>45383</v>
      </c>
      <c r="C123" t="s">
        <v>3</v>
      </c>
      <c r="D123" t="s">
        <v>130</v>
      </c>
      <c r="E123">
        <v>1028</v>
      </c>
      <c r="F123">
        <v>740</v>
      </c>
      <c r="G123">
        <v>49</v>
      </c>
      <c r="H123">
        <v>19</v>
      </c>
      <c r="I123">
        <v>219205</v>
      </c>
      <c r="J123">
        <v>33</v>
      </c>
      <c r="K123">
        <v>214510</v>
      </c>
      <c r="L123">
        <v>33</v>
      </c>
      <c r="N123">
        <v>897</v>
      </c>
      <c r="O123">
        <f t="shared" si="2"/>
        <v>2024</v>
      </c>
      <c r="P123">
        <f t="shared" si="3"/>
        <v>4</v>
      </c>
      <c r="Q123" t="str">
        <f>_xlfn.XLOOKUP(B123,全店核心数据_bymonth!A:A,全店核心数据_bymonth!AN:AN)</f>
        <v>BU25</v>
      </c>
    </row>
    <row r="124" spans="1:17" x14ac:dyDescent="0.3">
      <c r="A124" t="s">
        <v>110</v>
      </c>
      <c r="B124" s="16">
        <v>45383</v>
      </c>
      <c r="C124" t="s">
        <v>3</v>
      </c>
      <c r="D124" t="s">
        <v>129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N124">
        <v>1</v>
      </c>
      <c r="O124">
        <f t="shared" si="2"/>
        <v>2024</v>
      </c>
      <c r="P124">
        <f t="shared" si="3"/>
        <v>4</v>
      </c>
      <c r="Q124" t="str">
        <f>_xlfn.XLOOKUP(B124,全店核心数据_bymonth!A:A,全店核心数据_bymonth!AN:AN)</f>
        <v>BU25</v>
      </c>
    </row>
    <row r="125" spans="1:17" x14ac:dyDescent="0.3">
      <c r="A125" t="s">
        <v>110</v>
      </c>
      <c r="B125" s="16">
        <v>45383</v>
      </c>
      <c r="C125" t="s">
        <v>3</v>
      </c>
      <c r="D125" t="s">
        <v>128</v>
      </c>
      <c r="E125">
        <v>9015</v>
      </c>
      <c r="F125">
        <v>8088</v>
      </c>
      <c r="G125">
        <v>218</v>
      </c>
      <c r="H125">
        <v>110</v>
      </c>
      <c r="I125">
        <v>132600</v>
      </c>
      <c r="J125">
        <v>21</v>
      </c>
      <c r="K125">
        <v>103875</v>
      </c>
      <c r="L125">
        <v>19</v>
      </c>
      <c r="N125">
        <v>7492</v>
      </c>
      <c r="O125">
        <f t="shared" si="2"/>
        <v>2024</v>
      </c>
      <c r="P125">
        <f t="shared" si="3"/>
        <v>4</v>
      </c>
      <c r="Q125" t="str">
        <f>_xlfn.XLOOKUP(B125,全店核心数据_bymonth!A:A,全店核心数据_bymonth!AN:AN)</f>
        <v>BU25</v>
      </c>
    </row>
    <row r="126" spans="1:17" x14ac:dyDescent="0.3">
      <c r="A126" t="s">
        <v>110</v>
      </c>
      <c r="B126" s="16">
        <v>45383</v>
      </c>
      <c r="C126" t="s">
        <v>3</v>
      </c>
      <c r="D126" t="s">
        <v>127</v>
      </c>
      <c r="E126">
        <v>7265</v>
      </c>
      <c r="F126">
        <v>5322</v>
      </c>
      <c r="G126">
        <v>115</v>
      </c>
      <c r="H126">
        <v>78</v>
      </c>
      <c r="I126">
        <v>118170</v>
      </c>
      <c r="J126">
        <v>18</v>
      </c>
      <c r="K126">
        <v>87185</v>
      </c>
      <c r="L126">
        <v>16</v>
      </c>
      <c r="N126">
        <v>6794</v>
      </c>
      <c r="O126">
        <f t="shared" si="2"/>
        <v>2024</v>
      </c>
      <c r="P126">
        <f t="shared" si="3"/>
        <v>4</v>
      </c>
      <c r="Q126" t="str">
        <f>_xlfn.XLOOKUP(B126,全店核心数据_bymonth!A:A,全店核心数据_bymonth!AN:AN)</f>
        <v>BU25</v>
      </c>
    </row>
    <row r="127" spans="1:17" x14ac:dyDescent="0.3">
      <c r="A127" t="s">
        <v>110</v>
      </c>
      <c r="B127" s="16">
        <v>45383</v>
      </c>
      <c r="C127" t="s">
        <v>3</v>
      </c>
      <c r="D127" t="s">
        <v>126</v>
      </c>
      <c r="E127">
        <v>1101</v>
      </c>
      <c r="F127">
        <v>910</v>
      </c>
      <c r="G127">
        <v>53</v>
      </c>
      <c r="H127">
        <v>22</v>
      </c>
      <c r="I127">
        <v>16430</v>
      </c>
      <c r="J127">
        <v>6</v>
      </c>
      <c r="K127">
        <v>16430</v>
      </c>
      <c r="L127">
        <v>6</v>
      </c>
      <c r="N127">
        <v>1043</v>
      </c>
      <c r="O127">
        <f t="shared" si="2"/>
        <v>2024</v>
      </c>
      <c r="P127">
        <f t="shared" si="3"/>
        <v>4</v>
      </c>
      <c r="Q127" t="str">
        <f>_xlfn.XLOOKUP(B127,全店核心数据_bymonth!A:A,全店核心数据_bymonth!AN:AN)</f>
        <v>BU25</v>
      </c>
    </row>
    <row r="128" spans="1:17" x14ac:dyDescent="0.3">
      <c r="A128" t="s">
        <v>110</v>
      </c>
      <c r="B128" s="16">
        <v>45383</v>
      </c>
      <c r="C128" t="s">
        <v>3</v>
      </c>
      <c r="D128" t="s">
        <v>125</v>
      </c>
      <c r="E128">
        <v>16</v>
      </c>
      <c r="F128">
        <v>7</v>
      </c>
      <c r="G128">
        <v>3</v>
      </c>
      <c r="H128">
        <v>0</v>
      </c>
      <c r="I128">
        <v>2200</v>
      </c>
      <c r="J128">
        <v>1</v>
      </c>
      <c r="K128">
        <v>2200</v>
      </c>
      <c r="L128">
        <v>1</v>
      </c>
      <c r="N128">
        <v>15</v>
      </c>
      <c r="O128">
        <f t="shared" si="2"/>
        <v>2024</v>
      </c>
      <c r="P128">
        <f t="shared" si="3"/>
        <v>4</v>
      </c>
      <c r="Q128" t="str">
        <f>_xlfn.XLOOKUP(B128,全店核心数据_bymonth!A:A,全店核心数据_bymonth!AN:AN)</f>
        <v>BU25</v>
      </c>
    </row>
    <row r="129" spans="1:17" x14ac:dyDescent="0.3">
      <c r="A129" t="s">
        <v>110</v>
      </c>
      <c r="B129" s="16">
        <v>45383</v>
      </c>
      <c r="C129" t="s">
        <v>3</v>
      </c>
      <c r="D129" t="s">
        <v>123</v>
      </c>
      <c r="E129">
        <v>1141</v>
      </c>
      <c r="F129">
        <v>730</v>
      </c>
      <c r="G129">
        <v>30</v>
      </c>
      <c r="H129">
        <v>16</v>
      </c>
      <c r="I129">
        <v>31470</v>
      </c>
      <c r="J129">
        <v>7</v>
      </c>
      <c r="K129">
        <v>31470</v>
      </c>
      <c r="L129">
        <v>7</v>
      </c>
      <c r="N129">
        <v>870</v>
      </c>
      <c r="O129">
        <f t="shared" si="2"/>
        <v>2024</v>
      </c>
      <c r="P129">
        <f t="shared" si="3"/>
        <v>4</v>
      </c>
      <c r="Q129" t="str">
        <f>_xlfn.XLOOKUP(B129,全店核心数据_bymonth!A:A,全店核心数据_bymonth!AN:AN)</f>
        <v>BU25</v>
      </c>
    </row>
    <row r="130" spans="1:17" x14ac:dyDescent="0.3">
      <c r="A130" t="s">
        <v>110</v>
      </c>
      <c r="B130" s="16">
        <v>45383</v>
      </c>
      <c r="C130" t="s">
        <v>3</v>
      </c>
      <c r="D130" t="s">
        <v>122</v>
      </c>
      <c r="E130">
        <v>2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N130">
        <v>0</v>
      </c>
      <c r="O130">
        <f t="shared" ref="O130:O193" si="4">YEAR(B130)</f>
        <v>2024</v>
      </c>
      <c r="P130">
        <f t="shared" ref="P130:P193" si="5">MONTH(B130)</f>
        <v>4</v>
      </c>
      <c r="Q130" t="str">
        <f>_xlfn.XLOOKUP(B130,全店核心数据_bymonth!A:A,全店核心数据_bymonth!AN:AN)</f>
        <v>BU25</v>
      </c>
    </row>
    <row r="131" spans="1:17" x14ac:dyDescent="0.3">
      <c r="A131" t="s">
        <v>110</v>
      </c>
      <c r="B131" s="16">
        <v>45383</v>
      </c>
      <c r="C131" t="s">
        <v>3</v>
      </c>
      <c r="D131" t="s">
        <v>121</v>
      </c>
      <c r="E131">
        <v>11</v>
      </c>
      <c r="F131">
        <v>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N131">
        <v>7</v>
      </c>
      <c r="O131">
        <f t="shared" si="4"/>
        <v>2024</v>
      </c>
      <c r="P131">
        <f t="shared" si="5"/>
        <v>4</v>
      </c>
      <c r="Q131" t="str">
        <f>_xlfn.XLOOKUP(B131,全店核心数据_bymonth!A:A,全店核心数据_bymonth!AN:AN)</f>
        <v>BU25</v>
      </c>
    </row>
    <row r="132" spans="1:17" x14ac:dyDescent="0.3">
      <c r="A132" t="s">
        <v>110</v>
      </c>
      <c r="B132" s="16">
        <v>45383</v>
      </c>
      <c r="C132" t="s">
        <v>3</v>
      </c>
      <c r="D132" t="s">
        <v>120</v>
      </c>
      <c r="E132">
        <v>4033</v>
      </c>
      <c r="F132">
        <v>3565</v>
      </c>
      <c r="G132">
        <v>32</v>
      </c>
      <c r="H132">
        <v>0</v>
      </c>
      <c r="I132">
        <v>116603.9</v>
      </c>
      <c r="J132">
        <v>13</v>
      </c>
      <c r="K132">
        <v>113408.9</v>
      </c>
      <c r="L132">
        <v>12</v>
      </c>
      <c r="N132">
        <v>3911</v>
      </c>
      <c r="O132">
        <f t="shared" si="4"/>
        <v>2024</v>
      </c>
      <c r="P132">
        <f t="shared" si="5"/>
        <v>4</v>
      </c>
      <c r="Q132" t="str">
        <f>_xlfn.XLOOKUP(B132,全店核心数据_bymonth!A:A,全店核心数据_bymonth!AN:AN)</f>
        <v>BU25</v>
      </c>
    </row>
    <row r="133" spans="1:17" x14ac:dyDescent="0.3">
      <c r="A133" t="s">
        <v>110</v>
      </c>
      <c r="B133" s="16">
        <v>45383</v>
      </c>
      <c r="C133" t="s">
        <v>3</v>
      </c>
      <c r="D133" t="s">
        <v>119</v>
      </c>
      <c r="E133">
        <v>2324</v>
      </c>
      <c r="F133">
        <v>1509</v>
      </c>
      <c r="G133">
        <v>86</v>
      </c>
      <c r="H133">
        <v>49</v>
      </c>
      <c r="I133">
        <v>301240</v>
      </c>
      <c r="J133">
        <v>46</v>
      </c>
      <c r="K133">
        <v>264575</v>
      </c>
      <c r="L133">
        <v>42</v>
      </c>
      <c r="N133">
        <v>2219</v>
      </c>
      <c r="O133">
        <f t="shared" si="4"/>
        <v>2024</v>
      </c>
      <c r="P133">
        <f t="shared" si="5"/>
        <v>4</v>
      </c>
      <c r="Q133" t="str">
        <f>_xlfn.XLOOKUP(B133,全店核心数据_bymonth!A:A,全店核心数据_bymonth!AN:AN)</f>
        <v>BU25</v>
      </c>
    </row>
    <row r="134" spans="1:17" x14ac:dyDescent="0.3">
      <c r="A134" t="s">
        <v>110</v>
      </c>
      <c r="B134" s="16">
        <v>45383</v>
      </c>
      <c r="C134" t="s">
        <v>3</v>
      </c>
      <c r="D134" t="s">
        <v>117</v>
      </c>
      <c r="E134">
        <v>10</v>
      </c>
      <c r="F134">
        <v>10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N134">
        <v>10</v>
      </c>
      <c r="O134">
        <f t="shared" si="4"/>
        <v>2024</v>
      </c>
      <c r="P134">
        <f t="shared" si="5"/>
        <v>4</v>
      </c>
      <c r="Q134" t="str">
        <f>_xlfn.XLOOKUP(B134,全店核心数据_bymonth!A:A,全店核心数据_bymonth!AN:AN)</f>
        <v>BU25</v>
      </c>
    </row>
    <row r="135" spans="1:17" x14ac:dyDescent="0.3">
      <c r="A135" t="s">
        <v>110</v>
      </c>
      <c r="B135" s="16">
        <v>45383</v>
      </c>
      <c r="C135" t="s">
        <v>3</v>
      </c>
      <c r="D135" t="s">
        <v>116</v>
      </c>
      <c r="E135">
        <v>22</v>
      </c>
      <c r="F135">
        <v>15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N135">
        <v>22</v>
      </c>
      <c r="O135">
        <f t="shared" si="4"/>
        <v>2024</v>
      </c>
      <c r="P135">
        <f t="shared" si="5"/>
        <v>4</v>
      </c>
      <c r="Q135" t="str">
        <f>_xlfn.XLOOKUP(B135,全店核心数据_bymonth!A:A,全店核心数据_bymonth!AN:AN)</f>
        <v>BU25</v>
      </c>
    </row>
    <row r="136" spans="1:17" x14ac:dyDescent="0.3">
      <c r="A136" t="s">
        <v>110</v>
      </c>
      <c r="B136" s="16">
        <v>45383</v>
      </c>
      <c r="C136" t="s">
        <v>3</v>
      </c>
      <c r="D136" t="s">
        <v>115</v>
      </c>
      <c r="E136">
        <v>29</v>
      </c>
      <c r="F136">
        <v>23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N136">
        <v>27</v>
      </c>
      <c r="O136">
        <f t="shared" si="4"/>
        <v>2024</v>
      </c>
      <c r="P136">
        <f t="shared" si="5"/>
        <v>4</v>
      </c>
      <c r="Q136" t="str">
        <f>_xlfn.XLOOKUP(B136,全店核心数据_bymonth!A:A,全店核心数据_bymonth!AN:AN)</f>
        <v>BU25</v>
      </c>
    </row>
    <row r="137" spans="1:17" x14ac:dyDescent="0.3">
      <c r="A137" t="s">
        <v>110</v>
      </c>
      <c r="B137" s="16">
        <v>45383</v>
      </c>
      <c r="C137" t="s">
        <v>3</v>
      </c>
      <c r="D137" t="s">
        <v>114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N137">
        <v>1</v>
      </c>
      <c r="O137">
        <f t="shared" si="4"/>
        <v>2024</v>
      </c>
      <c r="P137">
        <f t="shared" si="5"/>
        <v>4</v>
      </c>
      <c r="Q137" t="str">
        <f>_xlfn.XLOOKUP(B137,全店核心数据_bymonth!A:A,全店核心数据_bymonth!AN:AN)</f>
        <v>BU25</v>
      </c>
    </row>
    <row r="138" spans="1:17" x14ac:dyDescent="0.3">
      <c r="A138" t="s">
        <v>110</v>
      </c>
      <c r="B138" s="16">
        <v>45383</v>
      </c>
      <c r="C138" t="s">
        <v>3</v>
      </c>
      <c r="D138" t="s">
        <v>113</v>
      </c>
      <c r="E138">
        <v>1817</v>
      </c>
      <c r="F138">
        <v>1467</v>
      </c>
      <c r="G138">
        <v>27</v>
      </c>
      <c r="H138">
        <v>16</v>
      </c>
      <c r="I138">
        <v>34710</v>
      </c>
      <c r="J138">
        <v>5</v>
      </c>
      <c r="K138">
        <v>32215</v>
      </c>
      <c r="L138">
        <v>4</v>
      </c>
      <c r="N138">
        <v>853</v>
      </c>
      <c r="O138">
        <f t="shared" si="4"/>
        <v>2024</v>
      </c>
      <c r="P138">
        <f t="shared" si="5"/>
        <v>4</v>
      </c>
      <c r="Q138" t="str">
        <f>_xlfn.XLOOKUP(B138,全店核心数据_bymonth!A:A,全店核心数据_bymonth!AN:AN)</f>
        <v>BU25</v>
      </c>
    </row>
    <row r="139" spans="1:17" x14ac:dyDescent="0.3">
      <c r="A139" t="s">
        <v>110</v>
      </c>
      <c r="B139" s="16">
        <v>45383</v>
      </c>
      <c r="C139" t="s">
        <v>3</v>
      </c>
      <c r="D139" t="s">
        <v>112</v>
      </c>
      <c r="E139">
        <v>46</v>
      </c>
      <c r="F139">
        <v>19</v>
      </c>
      <c r="G139">
        <v>1</v>
      </c>
      <c r="H139">
        <v>0</v>
      </c>
      <c r="I139">
        <v>13260</v>
      </c>
      <c r="J139">
        <v>2</v>
      </c>
      <c r="K139">
        <v>13260</v>
      </c>
      <c r="L139">
        <v>2</v>
      </c>
      <c r="N139">
        <v>46</v>
      </c>
      <c r="O139">
        <f t="shared" si="4"/>
        <v>2024</v>
      </c>
      <c r="P139">
        <f t="shared" si="5"/>
        <v>4</v>
      </c>
      <c r="Q139" t="str">
        <f>_xlfn.XLOOKUP(B139,全店核心数据_bymonth!A:A,全店核心数据_bymonth!AN:AN)</f>
        <v>BU25</v>
      </c>
    </row>
    <row r="140" spans="1:17" x14ac:dyDescent="0.3">
      <c r="A140" t="s">
        <v>110</v>
      </c>
      <c r="B140" s="16">
        <v>45383</v>
      </c>
      <c r="C140" t="s">
        <v>3</v>
      </c>
      <c r="D140" t="s">
        <v>111</v>
      </c>
      <c r="E140">
        <v>2</v>
      </c>
      <c r="F140">
        <v>1</v>
      </c>
      <c r="G140">
        <v>0</v>
      </c>
      <c r="H140">
        <v>0</v>
      </c>
      <c r="I140">
        <v>4695</v>
      </c>
      <c r="J140">
        <v>1</v>
      </c>
      <c r="K140">
        <v>0</v>
      </c>
      <c r="L140">
        <v>0</v>
      </c>
      <c r="N140">
        <v>1</v>
      </c>
      <c r="O140">
        <f t="shared" si="4"/>
        <v>2024</v>
      </c>
      <c r="P140">
        <f t="shared" si="5"/>
        <v>4</v>
      </c>
      <c r="Q140" t="str">
        <f>_xlfn.XLOOKUP(B140,全店核心数据_bymonth!A:A,全店核心数据_bymonth!AN:AN)</f>
        <v>BU25</v>
      </c>
    </row>
    <row r="141" spans="1:17" x14ac:dyDescent="0.3">
      <c r="A141" t="s">
        <v>110</v>
      </c>
      <c r="B141" s="16">
        <v>45078</v>
      </c>
      <c r="C141" t="s">
        <v>2</v>
      </c>
      <c r="D141" t="s">
        <v>4</v>
      </c>
      <c r="E141">
        <v>4979</v>
      </c>
      <c r="F141">
        <v>2716</v>
      </c>
      <c r="G141">
        <v>72</v>
      </c>
      <c r="H141">
        <v>11</v>
      </c>
      <c r="I141">
        <v>180142.65</v>
      </c>
      <c r="J141">
        <v>51</v>
      </c>
      <c r="K141">
        <v>154378.65</v>
      </c>
      <c r="L141">
        <v>47</v>
      </c>
      <c r="N141">
        <v>4666</v>
      </c>
      <c r="O141">
        <f t="shared" si="4"/>
        <v>2023</v>
      </c>
      <c r="P141">
        <f t="shared" si="5"/>
        <v>6</v>
      </c>
      <c r="Q141" t="str">
        <f>_xlfn.XLOOKUP(B141,全店核心数据_bymonth!A:A,全店核心数据_bymonth!AN:AN)</f>
        <v>BU24</v>
      </c>
    </row>
    <row r="142" spans="1:17" x14ac:dyDescent="0.3">
      <c r="A142" t="s">
        <v>110</v>
      </c>
      <c r="B142" s="16">
        <v>45078</v>
      </c>
      <c r="C142" t="s">
        <v>2</v>
      </c>
      <c r="D142" t="s">
        <v>57</v>
      </c>
      <c r="E142">
        <v>268979</v>
      </c>
      <c r="F142">
        <v>252246</v>
      </c>
      <c r="G142">
        <v>2998</v>
      </c>
      <c r="H142">
        <v>1577</v>
      </c>
      <c r="I142">
        <v>2566044.75</v>
      </c>
      <c r="J142">
        <v>659</v>
      </c>
      <c r="K142">
        <v>1822149.25</v>
      </c>
      <c r="L142">
        <v>529</v>
      </c>
      <c r="N142">
        <v>267505</v>
      </c>
      <c r="O142">
        <f t="shared" si="4"/>
        <v>2023</v>
      </c>
      <c r="P142">
        <f t="shared" si="5"/>
        <v>6</v>
      </c>
      <c r="Q142" t="str">
        <f>_xlfn.XLOOKUP(B142,全店核心数据_bymonth!A:A,全店核心数据_bymonth!AN:AN)</f>
        <v>BU24</v>
      </c>
    </row>
    <row r="143" spans="1:17" x14ac:dyDescent="0.3">
      <c r="A143" t="s">
        <v>110</v>
      </c>
      <c r="B143" s="16">
        <v>45078</v>
      </c>
      <c r="C143" t="s">
        <v>2</v>
      </c>
      <c r="D143" t="s">
        <v>52</v>
      </c>
      <c r="E143">
        <v>13121</v>
      </c>
      <c r="F143">
        <v>11895</v>
      </c>
      <c r="G143">
        <v>362</v>
      </c>
      <c r="H143">
        <v>135</v>
      </c>
      <c r="I143">
        <v>338258</v>
      </c>
      <c r="J143">
        <v>98</v>
      </c>
      <c r="K143">
        <v>268787</v>
      </c>
      <c r="L143">
        <v>87</v>
      </c>
      <c r="N143">
        <v>6405</v>
      </c>
      <c r="O143">
        <f t="shared" si="4"/>
        <v>2023</v>
      </c>
      <c r="P143">
        <f t="shared" si="5"/>
        <v>6</v>
      </c>
      <c r="Q143" t="str">
        <f>_xlfn.XLOOKUP(B143,全店核心数据_bymonth!A:A,全店核心数据_bymonth!AN:AN)</f>
        <v>BU24</v>
      </c>
    </row>
    <row r="144" spans="1:17" x14ac:dyDescent="0.3">
      <c r="A144" t="s">
        <v>110</v>
      </c>
      <c r="B144" s="16">
        <v>45078</v>
      </c>
      <c r="C144" t="s">
        <v>2</v>
      </c>
      <c r="D144" t="s">
        <v>55</v>
      </c>
      <c r="E144">
        <v>351</v>
      </c>
      <c r="F144">
        <v>349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N144">
        <v>351</v>
      </c>
      <c r="O144">
        <f t="shared" si="4"/>
        <v>2023</v>
      </c>
      <c r="P144">
        <f t="shared" si="5"/>
        <v>6</v>
      </c>
      <c r="Q144" t="str">
        <f>_xlfn.XLOOKUP(B144,全店核心数据_bymonth!A:A,全店核心数据_bymonth!AN:AN)</f>
        <v>BU24</v>
      </c>
    </row>
    <row r="145" spans="1:17" x14ac:dyDescent="0.3">
      <c r="A145" t="s">
        <v>110</v>
      </c>
      <c r="B145" s="16">
        <v>45078</v>
      </c>
      <c r="C145" t="s">
        <v>3</v>
      </c>
      <c r="D145" t="s">
        <v>155</v>
      </c>
      <c r="E145">
        <v>893</v>
      </c>
      <c r="F145">
        <v>663</v>
      </c>
      <c r="G145">
        <v>6</v>
      </c>
      <c r="H145">
        <v>6</v>
      </c>
      <c r="I145">
        <v>8445</v>
      </c>
      <c r="J145">
        <v>2</v>
      </c>
      <c r="K145">
        <v>2975</v>
      </c>
      <c r="L145">
        <v>1</v>
      </c>
      <c r="N145">
        <v>858</v>
      </c>
      <c r="O145">
        <f t="shared" si="4"/>
        <v>2023</v>
      </c>
      <c r="P145">
        <f t="shared" si="5"/>
        <v>6</v>
      </c>
      <c r="Q145" t="str">
        <f>_xlfn.XLOOKUP(B145,全店核心数据_bymonth!A:A,全店核心数据_bymonth!AN:AN)</f>
        <v>BU24</v>
      </c>
    </row>
    <row r="146" spans="1:17" x14ac:dyDescent="0.3">
      <c r="A146" t="s">
        <v>110</v>
      </c>
      <c r="B146" s="16">
        <v>45078</v>
      </c>
      <c r="C146" t="s">
        <v>3</v>
      </c>
      <c r="D146" t="s">
        <v>154</v>
      </c>
      <c r="E146">
        <v>112</v>
      </c>
      <c r="F146">
        <v>70</v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N146">
        <v>64</v>
      </c>
      <c r="O146">
        <f t="shared" si="4"/>
        <v>2023</v>
      </c>
      <c r="P146">
        <f t="shared" si="5"/>
        <v>6</v>
      </c>
      <c r="Q146" t="str">
        <f>_xlfn.XLOOKUP(B146,全店核心数据_bymonth!A:A,全店核心数据_bymonth!AN:AN)</f>
        <v>BU24</v>
      </c>
    </row>
    <row r="147" spans="1:17" x14ac:dyDescent="0.3">
      <c r="A147" t="s">
        <v>110</v>
      </c>
      <c r="B147" s="16">
        <v>45078</v>
      </c>
      <c r="C147" t="s">
        <v>3</v>
      </c>
      <c r="D147" t="s">
        <v>153</v>
      </c>
      <c r="E147">
        <v>5399</v>
      </c>
      <c r="F147">
        <v>3151</v>
      </c>
      <c r="G147">
        <v>497</v>
      </c>
      <c r="H147">
        <v>59</v>
      </c>
      <c r="I147">
        <v>2325709.0699999998</v>
      </c>
      <c r="J147">
        <v>642</v>
      </c>
      <c r="K147">
        <v>2068066.57</v>
      </c>
      <c r="L147">
        <v>606</v>
      </c>
      <c r="N147">
        <v>4937</v>
      </c>
      <c r="O147">
        <f t="shared" si="4"/>
        <v>2023</v>
      </c>
      <c r="P147">
        <f t="shared" si="5"/>
        <v>6</v>
      </c>
      <c r="Q147" t="str">
        <f>_xlfn.XLOOKUP(B147,全店核心数据_bymonth!A:A,全店核心数据_bymonth!AN:AN)</f>
        <v>BU24</v>
      </c>
    </row>
    <row r="148" spans="1:17" x14ac:dyDescent="0.3">
      <c r="A148" t="s">
        <v>110</v>
      </c>
      <c r="B148" s="16">
        <v>45078</v>
      </c>
      <c r="C148" t="s">
        <v>3</v>
      </c>
      <c r="D148" t="s">
        <v>152</v>
      </c>
      <c r="E148">
        <v>355</v>
      </c>
      <c r="F148">
        <v>242</v>
      </c>
      <c r="G148">
        <v>2</v>
      </c>
      <c r="H148">
        <v>2</v>
      </c>
      <c r="I148">
        <v>0</v>
      </c>
      <c r="J148">
        <v>0</v>
      </c>
      <c r="K148">
        <v>0</v>
      </c>
      <c r="L148">
        <v>0</v>
      </c>
      <c r="N148">
        <v>355</v>
      </c>
      <c r="O148">
        <f t="shared" si="4"/>
        <v>2023</v>
      </c>
      <c r="P148">
        <f t="shared" si="5"/>
        <v>6</v>
      </c>
      <c r="Q148" t="str">
        <f>_xlfn.XLOOKUP(B148,全店核心数据_bymonth!A:A,全店核心数据_bymonth!AN:AN)</f>
        <v>BU24</v>
      </c>
    </row>
    <row r="149" spans="1:17" x14ac:dyDescent="0.3">
      <c r="A149" t="s">
        <v>110</v>
      </c>
      <c r="B149" s="16">
        <v>45078</v>
      </c>
      <c r="C149" t="s">
        <v>3</v>
      </c>
      <c r="D149" t="s">
        <v>151</v>
      </c>
      <c r="E149">
        <v>17</v>
      </c>
      <c r="F149">
        <v>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N149">
        <v>17</v>
      </c>
      <c r="O149">
        <f t="shared" si="4"/>
        <v>2023</v>
      </c>
      <c r="P149">
        <f t="shared" si="5"/>
        <v>6</v>
      </c>
      <c r="Q149" t="str">
        <f>_xlfn.XLOOKUP(B149,全店核心数据_bymonth!A:A,全店核心数据_bymonth!AN:AN)</f>
        <v>BU24</v>
      </c>
    </row>
    <row r="150" spans="1:17" x14ac:dyDescent="0.3">
      <c r="A150" t="s">
        <v>110</v>
      </c>
      <c r="B150" s="16">
        <v>45078</v>
      </c>
      <c r="C150" t="s">
        <v>3</v>
      </c>
      <c r="D150" t="s">
        <v>198</v>
      </c>
      <c r="E150">
        <v>4</v>
      </c>
      <c r="F150">
        <v>2</v>
      </c>
      <c r="G150">
        <v>0</v>
      </c>
      <c r="H150">
        <v>0</v>
      </c>
      <c r="I150">
        <v>2795</v>
      </c>
      <c r="J150">
        <v>1</v>
      </c>
      <c r="K150">
        <v>2795</v>
      </c>
      <c r="L150">
        <v>1</v>
      </c>
      <c r="N150">
        <v>4</v>
      </c>
      <c r="O150">
        <f t="shared" si="4"/>
        <v>2023</v>
      </c>
      <c r="P150">
        <f t="shared" si="5"/>
        <v>6</v>
      </c>
      <c r="Q150" t="str">
        <f>_xlfn.XLOOKUP(B150,全店核心数据_bymonth!A:A,全店核心数据_bymonth!AN:AN)</f>
        <v>BU24</v>
      </c>
    </row>
    <row r="151" spans="1:17" x14ac:dyDescent="0.3">
      <c r="A151" t="s">
        <v>110</v>
      </c>
      <c r="B151" s="16">
        <v>45078</v>
      </c>
      <c r="C151" t="s">
        <v>3</v>
      </c>
      <c r="D151" t="s">
        <v>149</v>
      </c>
      <c r="E151">
        <v>325</v>
      </c>
      <c r="F151">
        <v>235</v>
      </c>
      <c r="G151">
        <v>7</v>
      </c>
      <c r="H151">
        <v>4</v>
      </c>
      <c r="I151">
        <v>4695</v>
      </c>
      <c r="J151">
        <v>1</v>
      </c>
      <c r="K151">
        <v>4695</v>
      </c>
      <c r="L151">
        <v>1</v>
      </c>
      <c r="N151">
        <v>303</v>
      </c>
      <c r="O151">
        <f t="shared" si="4"/>
        <v>2023</v>
      </c>
      <c r="P151">
        <f t="shared" si="5"/>
        <v>6</v>
      </c>
      <c r="Q151" t="str">
        <f>_xlfn.XLOOKUP(B151,全店核心数据_bymonth!A:A,全店核心数据_bymonth!AN:AN)</f>
        <v>BU24</v>
      </c>
    </row>
    <row r="152" spans="1:17" x14ac:dyDescent="0.3">
      <c r="A152" t="s">
        <v>110</v>
      </c>
      <c r="B152" s="16">
        <v>45078</v>
      </c>
      <c r="C152" t="s">
        <v>3</v>
      </c>
      <c r="D152" t="s">
        <v>148</v>
      </c>
      <c r="E152">
        <v>21</v>
      </c>
      <c r="F152">
        <v>19</v>
      </c>
      <c r="G152">
        <v>0</v>
      </c>
      <c r="H152">
        <v>0</v>
      </c>
      <c r="I152">
        <v>2697</v>
      </c>
      <c r="J152">
        <v>1</v>
      </c>
      <c r="K152">
        <v>0</v>
      </c>
      <c r="L152">
        <v>0</v>
      </c>
      <c r="N152">
        <v>16</v>
      </c>
      <c r="O152">
        <f t="shared" si="4"/>
        <v>2023</v>
      </c>
      <c r="P152">
        <f t="shared" si="5"/>
        <v>6</v>
      </c>
      <c r="Q152" t="str">
        <f>_xlfn.XLOOKUP(B152,全店核心数据_bymonth!A:A,全店核心数据_bymonth!AN:AN)</f>
        <v>BU24</v>
      </c>
    </row>
    <row r="153" spans="1:17" x14ac:dyDescent="0.3">
      <c r="A153" t="s">
        <v>110</v>
      </c>
      <c r="B153" s="16">
        <v>45078</v>
      </c>
      <c r="C153" t="s">
        <v>3</v>
      </c>
      <c r="D153" t="s">
        <v>143</v>
      </c>
      <c r="E153">
        <v>207</v>
      </c>
      <c r="F153">
        <v>165</v>
      </c>
      <c r="G153">
        <v>2</v>
      </c>
      <c r="H153">
        <v>0</v>
      </c>
      <c r="I153">
        <v>41656.5</v>
      </c>
      <c r="J153">
        <v>2</v>
      </c>
      <c r="K153">
        <v>41656.5</v>
      </c>
      <c r="L153">
        <v>2</v>
      </c>
      <c r="N153">
        <v>207</v>
      </c>
      <c r="O153">
        <f t="shared" si="4"/>
        <v>2023</v>
      </c>
      <c r="P153">
        <f t="shared" si="5"/>
        <v>6</v>
      </c>
      <c r="Q153" t="str">
        <f>_xlfn.XLOOKUP(B153,全店核心数据_bymonth!A:A,全店核心数据_bymonth!AN:AN)</f>
        <v>BU24</v>
      </c>
    </row>
    <row r="154" spans="1:17" x14ac:dyDescent="0.3">
      <c r="A154" t="s">
        <v>110</v>
      </c>
      <c r="B154" s="16">
        <v>45078</v>
      </c>
      <c r="C154" t="s">
        <v>3</v>
      </c>
      <c r="D154" t="s">
        <v>142</v>
      </c>
      <c r="E154">
        <v>2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N154">
        <v>2</v>
      </c>
      <c r="O154">
        <f t="shared" si="4"/>
        <v>2023</v>
      </c>
      <c r="P154">
        <f t="shared" si="5"/>
        <v>6</v>
      </c>
      <c r="Q154" t="str">
        <f>_xlfn.XLOOKUP(B154,全店核心数据_bymonth!A:A,全店核心数据_bymonth!AN:AN)</f>
        <v>BU24</v>
      </c>
    </row>
    <row r="155" spans="1:17" x14ac:dyDescent="0.3">
      <c r="A155" t="s">
        <v>110</v>
      </c>
      <c r="B155" s="16">
        <v>45078</v>
      </c>
      <c r="C155" t="s">
        <v>3</v>
      </c>
      <c r="D155" t="s">
        <v>141</v>
      </c>
      <c r="E155">
        <v>124</v>
      </c>
      <c r="F155">
        <v>116</v>
      </c>
      <c r="G155">
        <v>2</v>
      </c>
      <c r="H155">
        <v>2</v>
      </c>
      <c r="I155">
        <v>0</v>
      </c>
      <c r="J155">
        <v>0</v>
      </c>
      <c r="K155">
        <v>0</v>
      </c>
      <c r="L155">
        <v>0</v>
      </c>
      <c r="N155">
        <v>112</v>
      </c>
      <c r="O155">
        <f t="shared" si="4"/>
        <v>2023</v>
      </c>
      <c r="P155">
        <f t="shared" si="5"/>
        <v>6</v>
      </c>
      <c r="Q155" t="str">
        <f>_xlfn.XLOOKUP(B155,全店核心数据_bymonth!A:A,全店核心数据_bymonth!AN:AN)</f>
        <v>BU24</v>
      </c>
    </row>
    <row r="156" spans="1:17" x14ac:dyDescent="0.3">
      <c r="A156" t="s">
        <v>110</v>
      </c>
      <c r="B156" s="16">
        <v>45078</v>
      </c>
      <c r="C156" t="s">
        <v>3</v>
      </c>
      <c r="D156" t="s">
        <v>140</v>
      </c>
      <c r="E156">
        <v>164</v>
      </c>
      <c r="F156">
        <v>138</v>
      </c>
      <c r="G156">
        <v>25</v>
      </c>
      <c r="H156">
        <v>7</v>
      </c>
      <c r="I156">
        <v>92182.41</v>
      </c>
      <c r="J156">
        <v>20</v>
      </c>
      <c r="K156">
        <v>82901.41</v>
      </c>
      <c r="L156">
        <v>20</v>
      </c>
      <c r="N156">
        <v>162</v>
      </c>
      <c r="O156">
        <f t="shared" si="4"/>
        <v>2023</v>
      </c>
      <c r="P156">
        <f t="shared" si="5"/>
        <v>6</v>
      </c>
      <c r="Q156" t="str">
        <f>_xlfn.XLOOKUP(B156,全店核心数据_bymonth!A:A,全店核心数据_bymonth!AN:AN)</f>
        <v>BU24</v>
      </c>
    </row>
    <row r="157" spans="1:17" x14ac:dyDescent="0.3">
      <c r="A157" t="s">
        <v>110</v>
      </c>
      <c r="B157" s="16">
        <v>45078</v>
      </c>
      <c r="C157" t="s">
        <v>3</v>
      </c>
      <c r="D157" t="s">
        <v>139</v>
      </c>
      <c r="E157">
        <v>9511</v>
      </c>
      <c r="F157">
        <v>6983</v>
      </c>
      <c r="G157">
        <v>242</v>
      </c>
      <c r="H157">
        <v>78</v>
      </c>
      <c r="I157">
        <v>409896.93</v>
      </c>
      <c r="J157">
        <v>110</v>
      </c>
      <c r="K157">
        <v>326996.43</v>
      </c>
      <c r="L157">
        <v>101</v>
      </c>
      <c r="N157">
        <v>7165</v>
      </c>
      <c r="O157">
        <f t="shared" si="4"/>
        <v>2023</v>
      </c>
      <c r="P157">
        <f t="shared" si="5"/>
        <v>6</v>
      </c>
      <c r="Q157" t="str">
        <f>_xlfn.XLOOKUP(B157,全店核心数据_bymonth!A:A,全店核心数据_bymonth!AN:AN)</f>
        <v>BU24</v>
      </c>
    </row>
    <row r="158" spans="1:17" x14ac:dyDescent="0.3">
      <c r="A158" t="s">
        <v>110</v>
      </c>
      <c r="B158" s="16">
        <v>45078</v>
      </c>
      <c r="C158" t="s">
        <v>3</v>
      </c>
      <c r="D158" t="s">
        <v>187</v>
      </c>
      <c r="E158">
        <v>74</v>
      </c>
      <c r="F158">
        <v>41</v>
      </c>
      <c r="G158">
        <v>2</v>
      </c>
      <c r="H158">
        <v>0</v>
      </c>
      <c r="I158">
        <v>3483</v>
      </c>
      <c r="J158">
        <v>2</v>
      </c>
      <c r="K158">
        <v>2488</v>
      </c>
      <c r="L158">
        <v>1</v>
      </c>
      <c r="N158">
        <v>47</v>
      </c>
      <c r="O158">
        <f t="shared" si="4"/>
        <v>2023</v>
      </c>
      <c r="P158">
        <f t="shared" si="5"/>
        <v>6</v>
      </c>
      <c r="Q158" t="str">
        <f>_xlfn.XLOOKUP(B158,全店核心数据_bymonth!A:A,全店核心数据_bymonth!AN:AN)</f>
        <v>BU24</v>
      </c>
    </row>
    <row r="159" spans="1:17" x14ac:dyDescent="0.3">
      <c r="A159" t="s">
        <v>110</v>
      </c>
      <c r="B159" s="16">
        <v>45078</v>
      </c>
      <c r="C159" t="s">
        <v>3</v>
      </c>
      <c r="D159" t="s">
        <v>138</v>
      </c>
      <c r="E159">
        <v>3497</v>
      </c>
      <c r="F159">
        <v>3006</v>
      </c>
      <c r="G159">
        <v>46</v>
      </c>
      <c r="H159">
        <v>25</v>
      </c>
      <c r="I159">
        <v>42869.42</v>
      </c>
      <c r="J159">
        <v>14</v>
      </c>
      <c r="K159">
        <v>37474.42</v>
      </c>
      <c r="L159">
        <v>13</v>
      </c>
      <c r="N159">
        <v>2136</v>
      </c>
      <c r="O159">
        <f t="shared" si="4"/>
        <v>2023</v>
      </c>
      <c r="P159">
        <f t="shared" si="5"/>
        <v>6</v>
      </c>
      <c r="Q159" t="str">
        <f>_xlfn.XLOOKUP(B159,全店核心数据_bymonth!A:A,全店核心数据_bymonth!AN:AN)</f>
        <v>BU24</v>
      </c>
    </row>
    <row r="160" spans="1:17" x14ac:dyDescent="0.3">
      <c r="A160" t="s">
        <v>110</v>
      </c>
      <c r="B160" s="16">
        <v>45078</v>
      </c>
      <c r="C160" t="s">
        <v>3</v>
      </c>
      <c r="D160" t="s">
        <v>137</v>
      </c>
      <c r="E160">
        <v>105</v>
      </c>
      <c r="F160">
        <v>66</v>
      </c>
      <c r="G160">
        <v>6</v>
      </c>
      <c r="H160">
        <v>2</v>
      </c>
      <c r="I160">
        <v>16083</v>
      </c>
      <c r="J160">
        <v>3</v>
      </c>
      <c r="K160">
        <v>16083</v>
      </c>
      <c r="L160">
        <v>3</v>
      </c>
      <c r="N160">
        <v>104</v>
      </c>
      <c r="O160">
        <f t="shared" si="4"/>
        <v>2023</v>
      </c>
      <c r="P160">
        <f t="shared" si="5"/>
        <v>6</v>
      </c>
      <c r="Q160" t="str">
        <f>_xlfn.XLOOKUP(B160,全店核心数据_bymonth!A:A,全店核心数据_bymonth!AN:AN)</f>
        <v>BU24</v>
      </c>
    </row>
    <row r="161" spans="1:17" x14ac:dyDescent="0.3">
      <c r="A161" t="s">
        <v>110</v>
      </c>
      <c r="B161" s="16">
        <v>45078</v>
      </c>
      <c r="C161" t="s">
        <v>3</v>
      </c>
      <c r="D161" t="s">
        <v>227</v>
      </c>
      <c r="E161">
        <v>2</v>
      </c>
      <c r="F161">
        <v>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N161">
        <v>1</v>
      </c>
      <c r="O161">
        <f t="shared" si="4"/>
        <v>2023</v>
      </c>
      <c r="P161">
        <f t="shared" si="5"/>
        <v>6</v>
      </c>
      <c r="Q161" t="str">
        <f>_xlfn.XLOOKUP(B161,全店核心数据_bymonth!A:A,全店核心数据_bymonth!AN:AN)</f>
        <v>BU24</v>
      </c>
    </row>
    <row r="162" spans="1:17" x14ac:dyDescent="0.3">
      <c r="A162" t="s">
        <v>110</v>
      </c>
      <c r="B162" s="16">
        <v>45078</v>
      </c>
      <c r="C162" t="s">
        <v>3</v>
      </c>
      <c r="D162" t="s">
        <v>135</v>
      </c>
      <c r="E162">
        <v>16</v>
      </c>
      <c r="F162">
        <v>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N162">
        <v>16</v>
      </c>
      <c r="O162">
        <f t="shared" si="4"/>
        <v>2023</v>
      </c>
      <c r="P162">
        <f t="shared" si="5"/>
        <v>6</v>
      </c>
      <c r="Q162" t="str">
        <f>_xlfn.XLOOKUP(B162,全店核心数据_bymonth!A:A,全店核心数据_bymonth!AN:AN)</f>
        <v>BU24</v>
      </c>
    </row>
    <row r="163" spans="1:17" x14ac:dyDescent="0.3">
      <c r="A163" t="s">
        <v>110</v>
      </c>
      <c r="B163" s="16">
        <v>45078</v>
      </c>
      <c r="C163" t="s">
        <v>3</v>
      </c>
      <c r="D163" t="s">
        <v>134</v>
      </c>
      <c r="E163">
        <v>52002</v>
      </c>
      <c r="F163">
        <v>51276</v>
      </c>
      <c r="G163">
        <v>455</v>
      </c>
      <c r="H163">
        <v>102</v>
      </c>
      <c r="I163">
        <v>735187.91</v>
      </c>
      <c r="J163">
        <v>237</v>
      </c>
      <c r="K163">
        <v>499920.91</v>
      </c>
      <c r="L163">
        <v>178</v>
      </c>
      <c r="N163">
        <v>51648</v>
      </c>
      <c r="O163">
        <f t="shared" si="4"/>
        <v>2023</v>
      </c>
      <c r="P163">
        <f t="shared" si="5"/>
        <v>6</v>
      </c>
      <c r="Q163" t="str">
        <f>_xlfn.XLOOKUP(B163,全店核心数据_bymonth!A:A,全店核心数据_bymonth!AN:AN)</f>
        <v>BU24</v>
      </c>
    </row>
    <row r="164" spans="1:17" x14ac:dyDescent="0.3">
      <c r="A164" t="s">
        <v>110</v>
      </c>
      <c r="B164" s="16">
        <v>45078</v>
      </c>
      <c r="C164" t="s">
        <v>3</v>
      </c>
      <c r="D164" t="s">
        <v>133</v>
      </c>
      <c r="E164">
        <v>329</v>
      </c>
      <c r="F164">
        <v>237</v>
      </c>
      <c r="G164">
        <v>32</v>
      </c>
      <c r="H164">
        <v>2</v>
      </c>
      <c r="I164">
        <v>74307.350000000006</v>
      </c>
      <c r="J164">
        <v>19</v>
      </c>
      <c r="K164">
        <v>59857.35</v>
      </c>
      <c r="L164">
        <v>17</v>
      </c>
      <c r="N164">
        <v>261</v>
      </c>
      <c r="O164">
        <f t="shared" si="4"/>
        <v>2023</v>
      </c>
      <c r="P164">
        <f t="shared" si="5"/>
        <v>6</v>
      </c>
      <c r="Q164" t="str">
        <f>_xlfn.XLOOKUP(B164,全店核心数据_bymonth!A:A,全店核心数据_bymonth!AN:AN)</f>
        <v>BU24</v>
      </c>
    </row>
    <row r="165" spans="1:17" x14ac:dyDescent="0.3">
      <c r="A165" t="s">
        <v>110</v>
      </c>
      <c r="B165" s="16">
        <v>45078</v>
      </c>
      <c r="C165" t="s">
        <v>3</v>
      </c>
      <c r="D165" t="s">
        <v>132</v>
      </c>
      <c r="E165">
        <v>666</v>
      </c>
      <c r="F165">
        <v>567</v>
      </c>
      <c r="G165">
        <v>4</v>
      </c>
      <c r="H165">
        <v>7</v>
      </c>
      <c r="I165">
        <v>0</v>
      </c>
      <c r="J165">
        <v>0</v>
      </c>
      <c r="K165">
        <v>0</v>
      </c>
      <c r="L165">
        <v>0</v>
      </c>
      <c r="N165">
        <v>665</v>
      </c>
      <c r="O165">
        <f t="shared" si="4"/>
        <v>2023</v>
      </c>
      <c r="P165">
        <f t="shared" si="5"/>
        <v>6</v>
      </c>
      <c r="Q165" t="str">
        <f>_xlfn.XLOOKUP(B165,全店核心数据_bymonth!A:A,全店核心数据_bymonth!AN:AN)</f>
        <v>BU24</v>
      </c>
    </row>
    <row r="166" spans="1:17" x14ac:dyDescent="0.3">
      <c r="A166" t="s">
        <v>110</v>
      </c>
      <c r="B166" s="16">
        <v>45078</v>
      </c>
      <c r="C166" t="s">
        <v>3</v>
      </c>
      <c r="D166" t="s">
        <v>131</v>
      </c>
      <c r="E166">
        <v>320</v>
      </c>
      <c r="F166">
        <v>110</v>
      </c>
      <c r="G166">
        <v>6</v>
      </c>
      <c r="H166">
        <v>9</v>
      </c>
      <c r="I166">
        <v>9735</v>
      </c>
      <c r="J166">
        <v>4</v>
      </c>
      <c r="K166">
        <v>6737</v>
      </c>
      <c r="L166">
        <v>3</v>
      </c>
      <c r="N166">
        <v>320</v>
      </c>
      <c r="O166">
        <f t="shared" si="4"/>
        <v>2023</v>
      </c>
      <c r="P166">
        <f t="shared" si="5"/>
        <v>6</v>
      </c>
      <c r="Q166" t="str">
        <f>_xlfn.XLOOKUP(B166,全店核心数据_bymonth!A:A,全店核心数据_bymonth!AN:AN)</f>
        <v>BU24</v>
      </c>
    </row>
    <row r="167" spans="1:17" x14ac:dyDescent="0.3">
      <c r="A167" t="s">
        <v>110</v>
      </c>
      <c r="B167" s="16">
        <v>45078</v>
      </c>
      <c r="C167" t="s">
        <v>3</v>
      </c>
      <c r="D167" t="s">
        <v>130</v>
      </c>
      <c r="E167">
        <v>1512</v>
      </c>
      <c r="F167">
        <v>761</v>
      </c>
      <c r="G167">
        <v>143</v>
      </c>
      <c r="H167">
        <v>39</v>
      </c>
      <c r="I167">
        <v>492578.5</v>
      </c>
      <c r="J167">
        <v>139</v>
      </c>
      <c r="K167">
        <v>430024.5</v>
      </c>
      <c r="L167">
        <v>131</v>
      </c>
      <c r="N167">
        <v>1431</v>
      </c>
      <c r="O167">
        <f t="shared" si="4"/>
        <v>2023</v>
      </c>
      <c r="P167">
        <f t="shared" si="5"/>
        <v>6</v>
      </c>
      <c r="Q167" t="str">
        <f>_xlfn.XLOOKUP(B167,全店核心数据_bymonth!A:A,全店核心数据_bymonth!AN:AN)</f>
        <v>BU24</v>
      </c>
    </row>
    <row r="168" spans="1:17" x14ac:dyDescent="0.3">
      <c r="A168" t="s">
        <v>110</v>
      </c>
      <c r="B168" s="16">
        <v>45078</v>
      </c>
      <c r="C168" t="s">
        <v>3</v>
      </c>
      <c r="D168" t="s">
        <v>128</v>
      </c>
      <c r="E168">
        <v>20150</v>
      </c>
      <c r="F168">
        <v>17471</v>
      </c>
      <c r="G168">
        <v>985</v>
      </c>
      <c r="H168">
        <v>377</v>
      </c>
      <c r="I168">
        <v>774667</v>
      </c>
      <c r="J168">
        <v>256</v>
      </c>
      <c r="K168">
        <v>579735</v>
      </c>
      <c r="L168">
        <v>210</v>
      </c>
      <c r="N168">
        <v>18546</v>
      </c>
      <c r="O168">
        <f t="shared" si="4"/>
        <v>2023</v>
      </c>
      <c r="P168">
        <f t="shared" si="5"/>
        <v>6</v>
      </c>
      <c r="Q168" t="str">
        <f>_xlfn.XLOOKUP(B168,全店核心数据_bymonth!A:A,全店核心数据_bymonth!AN:AN)</f>
        <v>BU24</v>
      </c>
    </row>
    <row r="169" spans="1:17" x14ac:dyDescent="0.3">
      <c r="A169" t="s">
        <v>110</v>
      </c>
      <c r="B169" s="16">
        <v>45078</v>
      </c>
      <c r="C169" t="s">
        <v>3</v>
      </c>
      <c r="D169" t="s">
        <v>127</v>
      </c>
      <c r="E169">
        <v>91925</v>
      </c>
      <c r="F169">
        <v>83574</v>
      </c>
      <c r="G169">
        <v>606</v>
      </c>
      <c r="H169">
        <v>375</v>
      </c>
      <c r="I169">
        <v>347387.08</v>
      </c>
      <c r="J169">
        <v>99</v>
      </c>
      <c r="K169">
        <v>235392.08</v>
      </c>
      <c r="L169">
        <v>83</v>
      </c>
      <c r="N169">
        <v>65456</v>
      </c>
      <c r="O169">
        <f t="shared" si="4"/>
        <v>2023</v>
      </c>
      <c r="P169">
        <f t="shared" si="5"/>
        <v>6</v>
      </c>
      <c r="Q169" t="str">
        <f>_xlfn.XLOOKUP(B169,全店核心数据_bymonth!A:A,全店核心数据_bymonth!AN:AN)</f>
        <v>BU24</v>
      </c>
    </row>
    <row r="170" spans="1:17" x14ac:dyDescent="0.3">
      <c r="A170" t="s">
        <v>110</v>
      </c>
      <c r="B170" s="16">
        <v>45078</v>
      </c>
      <c r="C170" t="s">
        <v>3</v>
      </c>
      <c r="D170" t="s">
        <v>126</v>
      </c>
      <c r="E170">
        <v>1311</v>
      </c>
      <c r="F170">
        <v>1046</v>
      </c>
      <c r="G170">
        <v>50</v>
      </c>
      <c r="H170">
        <v>34</v>
      </c>
      <c r="I170">
        <v>70682.5</v>
      </c>
      <c r="J170">
        <v>16</v>
      </c>
      <c r="K170">
        <v>40593</v>
      </c>
      <c r="L170">
        <v>12</v>
      </c>
      <c r="N170">
        <v>1262</v>
      </c>
      <c r="O170">
        <f t="shared" si="4"/>
        <v>2023</v>
      </c>
      <c r="P170">
        <f t="shared" si="5"/>
        <v>6</v>
      </c>
      <c r="Q170" t="str">
        <f>_xlfn.XLOOKUP(B170,全店核心数据_bymonth!A:A,全店核心数据_bymonth!AN:AN)</f>
        <v>BU24</v>
      </c>
    </row>
    <row r="171" spans="1:17" x14ac:dyDescent="0.3">
      <c r="A171" t="s">
        <v>110</v>
      </c>
      <c r="B171" s="16">
        <v>45078</v>
      </c>
      <c r="C171" t="s">
        <v>3</v>
      </c>
      <c r="D171" t="s">
        <v>125</v>
      </c>
      <c r="E171">
        <v>5</v>
      </c>
      <c r="F171">
        <v>1</v>
      </c>
      <c r="G171">
        <v>0</v>
      </c>
      <c r="H171">
        <v>0</v>
      </c>
      <c r="I171">
        <v>2488</v>
      </c>
      <c r="J171">
        <v>1</v>
      </c>
      <c r="K171">
        <v>2488</v>
      </c>
      <c r="L171">
        <v>1</v>
      </c>
      <c r="N171">
        <v>3</v>
      </c>
      <c r="O171">
        <f t="shared" si="4"/>
        <v>2023</v>
      </c>
      <c r="P171">
        <f t="shared" si="5"/>
        <v>6</v>
      </c>
      <c r="Q171" t="str">
        <f>_xlfn.XLOOKUP(B171,全店核心数据_bymonth!A:A,全店核心数据_bymonth!AN:AN)</f>
        <v>BU24</v>
      </c>
    </row>
    <row r="172" spans="1:17" x14ac:dyDescent="0.3">
      <c r="A172" t="s">
        <v>110</v>
      </c>
      <c r="B172" s="16">
        <v>45078</v>
      </c>
      <c r="C172" t="s">
        <v>3</v>
      </c>
      <c r="D172" t="s">
        <v>123</v>
      </c>
      <c r="E172">
        <v>2747</v>
      </c>
      <c r="F172">
        <v>1554</v>
      </c>
      <c r="G172">
        <v>132</v>
      </c>
      <c r="H172">
        <v>56</v>
      </c>
      <c r="I172">
        <v>138478.10999999999</v>
      </c>
      <c r="J172">
        <v>40</v>
      </c>
      <c r="K172">
        <v>111566.11</v>
      </c>
      <c r="L172">
        <v>31</v>
      </c>
      <c r="N172">
        <v>2474</v>
      </c>
      <c r="O172">
        <f t="shared" si="4"/>
        <v>2023</v>
      </c>
      <c r="P172">
        <f t="shared" si="5"/>
        <v>6</v>
      </c>
      <c r="Q172" t="str">
        <f>_xlfn.XLOOKUP(B172,全店核心数据_bymonth!A:A,全店核心数据_bymonth!AN:AN)</f>
        <v>BU24</v>
      </c>
    </row>
    <row r="173" spans="1:17" x14ac:dyDescent="0.3">
      <c r="A173" t="s">
        <v>110</v>
      </c>
      <c r="B173" s="16">
        <v>45078</v>
      </c>
      <c r="C173" t="s">
        <v>3</v>
      </c>
      <c r="D173" t="s">
        <v>121</v>
      </c>
      <c r="E173">
        <v>33</v>
      </c>
      <c r="F173">
        <v>26</v>
      </c>
      <c r="G173">
        <v>0</v>
      </c>
      <c r="H173">
        <v>0</v>
      </c>
      <c r="I173">
        <v>1810</v>
      </c>
      <c r="J173">
        <v>1</v>
      </c>
      <c r="K173">
        <v>1810</v>
      </c>
      <c r="L173">
        <v>1</v>
      </c>
      <c r="N173">
        <v>18</v>
      </c>
      <c r="O173">
        <f t="shared" si="4"/>
        <v>2023</v>
      </c>
      <c r="P173">
        <f t="shared" si="5"/>
        <v>6</v>
      </c>
      <c r="Q173" t="str">
        <f>_xlfn.XLOOKUP(B173,全店核心数据_bymonth!A:A,全店核心数据_bymonth!AN:AN)</f>
        <v>BU24</v>
      </c>
    </row>
    <row r="174" spans="1:17" x14ac:dyDescent="0.3">
      <c r="A174" t="s">
        <v>110</v>
      </c>
      <c r="B174" s="16">
        <v>45078</v>
      </c>
      <c r="C174" t="s">
        <v>3</v>
      </c>
      <c r="D174" t="s">
        <v>120</v>
      </c>
      <c r="E174">
        <v>5606</v>
      </c>
      <c r="F174">
        <v>4734</v>
      </c>
      <c r="G174">
        <v>245</v>
      </c>
      <c r="H174">
        <v>1</v>
      </c>
      <c r="I174">
        <v>175681.5</v>
      </c>
      <c r="J174">
        <v>53</v>
      </c>
      <c r="K174">
        <v>163301.5</v>
      </c>
      <c r="L174">
        <v>51</v>
      </c>
      <c r="N174">
        <v>5455</v>
      </c>
      <c r="O174">
        <f t="shared" si="4"/>
        <v>2023</v>
      </c>
      <c r="P174">
        <f t="shared" si="5"/>
        <v>6</v>
      </c>
      <c r="Q174" t="str">
        <f>_xlfn.XLOOKUP(B174,全店核心数据_bymonth!A:A,全店核心数据_bymonth!AN:AN)</f>
        <v>BU24</v>
      </c>
    </row>
    <row r="175" spans="1:17" x14ac:dyDescent="0.3">
      <c r="A175" t="s">
        <v>110</v>
      </c>
      <c r="B175" s="16">
        <v>45078</v>
      </c>
      <c r="C175" t="s">
        <v>3</v>
      </c>
      <c r="D175" t="s">
        <v>119</v>
      </c>
      <c r="E175">
        <v>10731</v>
      </c>
      <c r="F175">
        <v>8030</v>
      </c>
      <c r="G175">
        <v>403</v>
      </c>
      <c r="H175">
        <v>141</v>
      </c>
      <c r="I175">
        <v>951794.21</v>
      </c>
      <c r="J175">
        <v>238</v>
      </c>
      <c r="K175">
        <v>802042.21</v>
      </c>
      <c r="L175">
        <v>220</v>
      </c>
      <c r="N175">
        <v>6795</v>
      </c>
      <c r="O175">
        <f t="shared" si="4"/>
        <v>2023</v>
      </c>
      <c r="P175">
        <f t="shared" si="5"/>
        <v>6</v>
      </c>
      <c r="Q175" t="str">
        <f>_xlfn.XLOOKUP(B175,全店核心数据_bymonth!A:A,全店核心数据_bymonth!AN:AN)</f>
        <v>BU24</v>
      </c>
    </row>
    <row r="176" spans="1:17" x14ac:dyDescent="0.3">
      <c r="A176" t="s">
        <v>110</v>
      </c>
      <c r="B176" s="16">
        <v>45078</v>
      </c>
      <c r="C176" t="s">
        <v>3</v>
      </c>
      <c r="D176" t="s">
        <v>117</v>
      </c>
      <c r="E176">
        <v>201</v>
      </c>
      <c r="F176">
        <v>147</v>
      </c>
      <c r="G176">
        <v>2</v>
      </c>
      <c r="H176">
        <v>1</v>
      </c>
      <c r="I176">
        <v>0</v>
      </c>
      <c r="J176">
        <v>0</v>
      </c>
      <c r="K176">
        <v>0</v>
      </c>
      <c r="L176">
        <v>0</v>
      </c>
      <c r="N176">
        <v>201</v>
      </c>
      <c r="O176">
        <f t="shared" si="4"/>
        <v>2023</v>
      </c>
      <c r="P176">
        <f t="shared" si="5"/>
        <v>6</v>
      </c>
      <c r="Q176" t="str">
        <f>_xlfn.XLOOKUP(B176,全店核心数据_bymonth!A:A,全店核心数据_bymonth!AN:AN)</f>
        <v>BU24</v>
      </c>
    </row>
    <row r="177" spans="1:17" x14ac:dyDescent="0.3">
      <c r="A177" t="s">
        <v>110</v>
      </c>
      <c r="B177" s="16">
        <v>45078</v>
      </c>
      <c r="C177" t="s">
        <v>3</v>
      </c>
      <c r="D177" t="s">
        <v>116</v>
      </c>
      <c r="E177">
        <v>36</v>
      </c>
      <c r="F177">
        <v>17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N177">
        <v>36</v>
      </c>
      <c r="O177">
        <f t="shared" si="4"/>
        <v>2023</v>
      </c>
      <c r="P177">
        <f t="shared" si="5"/>
        <v>6</v>
      </c>
      <c r="Q177" t="str">
        <f>_xlfn.XLOOKUP(B177,全店核心数据_bymonth!A:A,全店核心数据_bymonth!AN:AN)</f>
        <v>BU24</v>
      </c>
    </row>
    <row r="178" spans="1:17" x14ac:dyDescent="0.3">
      <c r="A178" t="s">
        <v>110</v>
      </c>
      <c r="B178" s="16">
        <v>45078</v>
      </c>
      <c r="C178" t="s">
        <v>3</v>
      </c>
      <c r="D178" t="s">
        <v>115</v>
      </c>
      <c r="E178">
        <v>61</v>
      </c>
      <c r="F178">
        <v>40</v>
      </c>
      <c r="G178">
        <v>3</v>
      </c>
      <c r="H178">
        <v>0</v>
      </c>
      <c r="I178">
        <v>0</v>
      </c>
      <c r="J178">
        <v>0</v>
      </c>
      <c r="K178">
        <v>0</v>
      </c>
      <c r="L178">
        <v>0</v>
      </c>
      <c r="N178">
        <v>54</v>
      </c>
      <c r="O178">
        <f t="shared" si="4"/>
        <v>2023</v>
      </c>
      <c r="P178">
        <f t="shared" si="5"/>
        <v>6</v>
      </c>
      <c r="Q178" t="str">
        <f>_xlfn.XLOOKUP(B178,全店核心数据_bymonth!A:A,全店核心数据_bymonth!AN:AN)</f>
        <v>BU24</v>
      </c>
    </row>
    <row r="179" spans="1:17" x14ac:dyDescent="0.3">
      <c r="A179" t="s">
        <v>110</v>
      </c>
      <c r="B179" s="16">
        <v>45078</v>
      </c>
      <c r="C179" t="s">
        <v>3</v>
      </c>
      <c r="D179" t="s">
        <v>186</v>
      </c>
      <c r="E179">
        <v>3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N179">
        <v>3</v>
      </c>
      <c r="O179">
        <f t="shared" si="4"/>
        <v>2023</v>
      </c>
      <c r="P179">
        <f t="shared" si="5"/>
        <v>6</v>
      </c>
      <c r="Q179" t="str">
        <f>_xlfn.XLOOKUP(B179,全店核心数据_bymonth!A:A,全店核心数据_bymonth!AN:AN)</f>
        <v>BU24</v>
      </c>
    </row>
    <row r="180" spans="1:17" x14ac:dyDescent="0.3">
      <c r="A180" t="s">
        <v>110</v>
      </c>
      <c r="B180" s="16">
        <v>45078</v>
      </c>
      <c r="C180" t="s">
        <v>3</v>
      </c>
      <c r="D180" t="s">
        <v>185</v>
      </c>
      <c r="E180">
        <v>51</v>
      </c>
      <c r="F180">
        <v>34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N180">
        <v>51</v>
      </c>
      <c r="O180">
        <f t="shared" si="4"/>
        <v>2023</v>
      </c>
      <c r="P180">
        <f t="shared" si="5"/>
        <v>6</v>
      </c>
      <c r="Q180" t="str">
        <f>_xlfn.XLOOKUP(B180,全店核心数据_bymonth!A:A,全店核心数据_bymonth!AN:AN)</f>
        <v>BU24</v>
      </c>
    </row>
    <row r="181" spans="1:17" x14ac:dyDescent="0.3">
      <c r="A181" t="s">
        <v>110</v>
      </c>
      <c r="B181" s="16">
        <v>45078</v>
      </c>
      <c r="C181" t="s">
        <v>3</v>
      </c>
      <c r="D181" t="s">
        <v>114</v>
      </c>
      <c r="E181">
        <v>1661</v>
      </c>
      <c r="F181">
        <v>1106</v>
      </c>
      <c r="G181">
        <v>39</v>
      </c>
      <c r="H181">
        <v>21</v>
      </c>
      <c r="I181">
        <v>62091</v>
      </c>
      <c r="J181">
        <v>17</v>
      </c>
      <c r="K181">
        <v>50305</v>
      </c>
      <c r="L181">
        <v>14</v>
      </c>
      <c r="N181">
        <v>1554</v>
      </c>
      <c r="O181">
        <f t="shared" si="4"/>
        <v>2023</v>
      </c>
      <c r="P181">
        <f t="shared" si="5"/>
        <v>6</v>
      </c>
      <c r="Q181" t="str">
        <f>_xlfn.XLOOKUP(B181,全店核心数据_bymonth!A:A,全店核心数据_bymonth!AN:AN)</f>
        <v>BU24</v>
      </c>
    </row>
    <row r="182" spans="1:17" x14ac:dyDescent="0.3">
      <c r="A182" t="s">
        <v>110</v>
      </c>
      <c r="B182" s="16">
        <v>45078</v>
      </c>
      <c r="C182" t="s">
        <v>3</v>
      </c>
      <c r="D182" t="s">
        <v>113</v>
      </c>
      <c r="E182">
        <v>2383</v>
      </c>
      <c r="F182">
        <v>1684</v>
      </c>
      <c r="G182">
        <v>84</v>
      </c>
      <c r="H182">
        <v>31</v>
      </c>
      <c r="I182">
        <v>86315.08</v>
      </c>
      <c r="J182">
        <v>23</v>
      </c>
      <c r="K182">
        <v>52736.08</v>
      </c>
      <c r="L182">
        <v>18</v>
      </c>
      <c r="N182">
        <v>1376</v>
      </c>
      <c r="O182">
        <f t="shared" si="4"/>
        <v>2023</v>
      </c>
      <c r="P182">
        <f t="shared" si="5"/>
        <v>6</v>
      </c>
      <c r="Q182" t="str">
        <f>_xlfn.XLOOKUP(B182,全店核心数据_bymonth!A:A,全店核心数据_bymonth!AN:AN)</f>
        <v>BU24</v>
      </c>
    </row>
    <row r="183" spans="1:17" x14ac:dyDescent="0.3">
      <c r="A183" t="s">
        <v>110</v>
      </c>
      <c r="B183" s="16">
        <v>45078</v>
      </c>
      <c r="C183" t="s">
        <v>3</v>
      </c>
      <c r="D183" t="s">
        <v>112</v>
      </c>
      <c r="E183">
        <v>164</v>
      </c>
      <c r="F183">
        <v>86</v>
      </c>
      <c r="G183">
        <v>17</v>
      </c>
      <c r="H183">
        <v>0</v>
      </c>
      <c r="I183">
        <v>151103.5</v>
      </c>
      <c r="J183">
        <v>48</v>
      </c>
      <c r="K183">
        <v>134328.5</v>
      </c>
      <c r="L183">
        <v>45</v>
      </c>
      <c r="N183">
        <v>163</v>
      </c>
      <c r="O183">
        <f t="shared" si="4"/>
        <v>2023</v>
      </c>
      <c r="P183">
        <f t="shared" si="5"/>
        <v>6</v>
      </c>
      <c r="Q183" t="str">
        <f>_xlfn.XLOOKUP(B183,全店核心数据_bymonth!A:A,全店核心数据_bymonth!AN:AN)</f>
        <v>BU24</v>
      </c>
    </row>
    <row r="184" spans="1:17" x14ac:dyDescent="0.3">
      <c r="A184" t="s">
        <v>110</v>
      </c>
      <c r="B184" s="16">
        <v>45047</v>
      </c>
      <c r="C184" t="s">
        <v>2</v>
      </c>
      <c r="D184" t="s">
        <v>4</v>
      </c>
      <c r="E184">
        <v>3908</v>
      </c>
      <c r="F184">
        <v>2195</v>
      </c>
      <c r="G184">
        <v>23</v>
      </c>
      <c r="H184">
        <v>12</v>
      </c>
      <c r="I184">
        <v>66722</v>
      </c>
      <c r="J184">
        <v>15</v>
      </c>
      <c r="K184">
        <v>32481</v>
      </c>
      <c r="L184">
        <v>11</v>
      </c>
      <c r="N184">
        <v>3555</v>
      </c>
      <c r="O184">
        <f t="shared" si="4"/>
        <v>2023</v>
      </c>
      <c r="P184">
        <f t="shared" si="5"/>
        <v>5</v>
      </c>
      <c r="Q184" t="str">
        <f>_xlfn.XLOOKUP(B184,全店核心数据_bymonth!A:A,全店核心数据_bymonth!AN:AN)</f>
        <v>BU24</v>
      </c>
    </row>
    <row r="185" spans="1:17" x14ac:dyDescent="0.3">
      <c r="A185" t="s">
        <v>110</v>
      </c>
      <c r="B185" s="16">
        <v>45047</v>
      </c>
      <c r="C185" t="s">
        <v>2</v>
      </c>
      <c r="D185" t="s">
        <v>57</v>
      </c>
      <c r="E185">
        <v>261101</v>
      </c>
      <c r="F185">
        <v>252463</v>
      </c>
      <c r="G185">
        <v>2642</v>
      </c>
      <c r="H185">
        <v>1518</v>
      </c>
      <c r="I185">
        <v>1466214</v>
      </c>
      <c r="J185">
        <v>391</v>
      </c>
      <c r="K185">
        <v>733642</v>
      </c>
      <c r="L185">
        <v>215</v>
      </c>
      <c r="N185">
        <v>258889</v>
      </c>
      <c r="O185">
        <f t="shared" si="4"/>
        <v>2023</v>
      </c>
      <c r="P185">
        <f t="shared" si="5"/>
        <v>5</v>
      </c>
      <c r="Q185" t="str">
        <f>_xlfn.XLOOKUP(B185,全店核心数据_bymonth!A:A,全店核心数据_bymonth!AN:AN)</f>
        <v>BU24</v>
      </c>
    </row>
    <row r="186" spans="1:17" x14ac:dyDescent="0.3">
      <c r="A186" t="s">
        <v>110</v>
      </c>
      <c r="B186" s="16">
        <v>45047</v>
      </c>
      <c r="C186" t="s">
        <v>2</v>
      </c>
      <c r="D186" t="s">
        <v>52</v>
      </c>
      <c r="E186">
        <v>13751</v>
      </c>
      <c r="F186">
        <v>12789</v>
      </c>
      <c r="G186">
        <v>358</v>
      </c>
      <c r="H186">
        <v>127</v>
      </c>
      <c r="I186">
        <v>309046</v>
      </c>
      <c r="J186">
        <v>52</v>
      </c>
      <c r="K186">
        <v>243145</v>
      </c>
      <c r="L186">
        <v>41</v>
      </c>
      <c r="N186">
        <v>6777</v>
      </c>
      <c r="O186">
        <f t="shared" si="4"/>
        <v>2023</v>
      </c>
      <c r="P186">
        <f t="shared" si="5"/>
        <v>5</v>
      </c>
      <c r="Q186" t="str">
        <f>_xlfn.XLOOKUP(B186,全店核心数据_bymonth!A:A,全店核心数据_bymonth!AN:AN)</f>
        <v>BU24</v>
      </c>
    </row>
    <row r="187" spans="1:17" x14ac:dyDescent="0.3">
      <c r="A187" t="s">
        <v>110</v>
      </c>
      <c r="B187" s="16">
        <v>45047</v>
      </c>
      <c r="C187" t="s">
        <v>2</v>
      </c>
      <c r="D187" t="s">
        <v>55</v>
      </c>
      <c r="E187">
        <v>3</v>
      </c>
      <c r="F187">
        <v>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N187">
        <v>3</v>
      </c>
      <c r="O187">
        <f t="shared" si="4"/>
        <v>2023</v>
      </c>
      <c r="P187">
        <f t="shared" si="5"/>
        <v>5</v>
      </c>
      <c r="Q187" t="str">
        <f>_xlfn.XLOOKUP(B187,全店核心数据_bymonth!A:A,全店核心数据_bymonth!AN:AN)</f>
        <v>BU24</v>
      </c>
    </row>
    <row r="188" spans="1:17" x14ac:dyDescent="0.3">
      <c r="A188" t="s">
        <v>110</v>
      </c>
      <c r="B188" s="16">
        <v>45047</v>
      </c>
      <c r="C188" t="s">
        <v>3</v>
      </c>
      <c r="D188" t="s">
        <v>189</v>
      </c>
      <c r="E188">
        <v>14</v>
      </c>
      <c r="F188">
        <v>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14</v>
      </c>
      <c r="O188">
        <f t="shared" si="4"/>
        <v>2023</v>
      </c>
      <c r="P188">
        <f t="shared" si="5"/>
        <v>5</v>
      </c>
      <c r="Q188" t="str">
        <f>_xlfn.XLOOKUP(B188,全店核心数据_bymonth!A:A,全店核心数据_bymonth!AN:AN)</f>
        <v>BU24</v>
      </c>
    </row>
    <row r="189" spans="1:17" x14ac:dyDescent="0.3">
      <c r="A189" t="s">
        <v>110</v>
      </c>
      <c r="B189" s="16">
        <v>45047</v>
      </c>
      <c r="C189" t="s">
        <v>3</v>
      </c>
      <c r="D189" t="s">
        <v>155</v>
      </c>
      <c r="E189">
        <v>1360</v>
      </c>
      <c r="F189">
        <v>1116</v>
      </c>
      <c r="G189">
        <v>4</v>
      </c>
      <c r="H189">
        <v>9</v>
      </c>
      <c r="I189">
        <v>2998</v>
      </c>
      <c r="J189">
        <v>1</v>
      </c>
      <c r="K189">
        <v>0</v>
      </c>
      <c r="L189">
        <v>0</v>
      </c>
      <c r="N189">
        <v>1318</v>
      </c>
      <c r="O189">
        <f t="shared" si="4"/>
        <v>2023</v>
      </c>
      <c r="P189">
        <f t="shared" si="5"/>
        <v>5</v>
      </c>
      <c r="Q189" t="str">
        <f>_xlfn.XLOOKUP(B189,全店核心数据_bymonth!A:A,全店核心数据_bymonth!AN:AN)</f>
        <v>BU24</v>
      </c>
    </row>
    <row r="190" spans="1:17" x14ac:dyDescent="0.3">
      <c r="A190" t="s">
        <v>110</v>
      </c>
      <c r="B190" s="16">
        <v>45047</v>
      </c>
      <c r="C190" t="s">
        <v>3</v>
      </c>
      <c r="D190" t="s">
        <v>154</v>
      </c>
      <c r="E190">
        <v>166</v>
      </c>
      <c r="F190">
        <v>79</v>
      </c>
      <c r="G190">
        <v>1</v>
      </c>
      <c r="H190">
        <v>2</v>
      </c>
      <c r="I190">
        <v>0</v>
      </c>
      <c r="J190">
        <v>0</v>
      </c>
      <c r="K190">
        <v>0</v>
      </c>
      <c r="L190">
        <v>0</v>
      </c>
      <c r="N190">
        <v>78</v>
      </c>
      <c r="O190">
        <f t="shared" si="4"/>
        <v>2023</v>
      </c>
      <c r="P190">
        <f t="shared" si="5"/>
        <v>5</v>
      </c>
      <c r="Q190" t="str">
        <f>_xlfn.XLOOKUP(B190,全店核心数据_bymonth!A:A,全店核心数据_bymonth!AN:AN)</f>
        <v>BU24</v>
      </c>
    </row>
    <row r="191" spans="1:17" x14ac:dyDescent="0.3">
      <c r="A191" t="s">
        <v>110</v>
      </c>
      <c r="B191" s="16">
        <v>45047</v>
      </c>
      <c r="C191" t="s">
        <v>3</v>
      </c>
      <c r="D191" t="s">
        <v>153</v>
      </c>
      <c r="E191">
        <v>3731</v>
      </c>
      <c r="F191">
        <v>2131</v>
      </c>
      <c r="G191">
        <v>340</v>
      </c>
      <c r="H191">
        <v>50</v>
      </c>
      <c r="I191">
        <v>1445432</v>
      </c>
      <c r="J191">
        <v>354</v>
      </c>
      <c r="K191">
        <v>1037703</v>
      </c>
      <c r="L191">
        <v>257</v>
      </c>
      <c r="N191">
        <v>3624</v>
      </c>
      <c r="O191">
        <f t="shared" si="4"/>
        <v>2023</v>
      </c>
      <c r="P191">
        <f t="shared" si="5"/>
        <v>5</v>
      </c>
      <c r="Q191" t="str">
        <f>_xlfn.XLOOKUP(B191,全店核心数据_bymonth!A:A,全店核心数据_bymonth!AN:AN)</f>
        <v>BU24</v>
      </c>
    </row>
    <row r="192" spans="1:17" x14ac:dyDescent="0.3">
      <c r="A192" t="s">
        <v>110</v>
      </c>
      <c r="B192" s="16">
        <v>45047</v>
      </c>
      <c r="C192" t="s">
        <v>3</v>
      </c>
      <c r="D192" t="s">
        <v>152</v>
      </c>
      <c r="E192">
        <v>161</v>
      </c>
      <c r="F192">
        <v>100</v>
      </c>
      <c r="G192">
        <v>3</v>
      </c>
      <c r="H192">
        <v>0</v>
      </c>
      <c r="I192">
        <v>3195</v>
      </c>
      <c r="J192">
        <v>1</v>
      </c>
      <c r="K192">
        <v>3195</v>
      </c>
      <c r="L192">
        <v>1</v>
      </c>
      <c r="N192">
        <v>161</v>
      </c>
      <c r="O192">
        <f t="shared" si="4"/>
        <v>2023</v>
      </c>
      <c r="P192">
        <f t="shared" si="5"/>
        <v>5</v>
      </c>
      <c r="Q192" t="str">
        <f>_xlfn.XLOOKUP(B192,全店核心数据_bymonth!A:A,全店核心数据_bymonth!AN:AN)</f>
        <v>BU24</v>
      </c>
    </row>
    <row r="193" spans="1:17" x14ac:dyDescent="0.3">
      <c r="A193" t="s">
        <v>110</v>
      </c>
      <c r="B193" s="16">
        <v>45047</v>
      </c>
      <c r="C193" t="s">
        <v>3</v>
      </c>
      <c r="D193" t="s">
        <v>151</v>
      </c>
      <c r="E193">
        <v>12</v>
      </c>
      <c r="F193">
        <v>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N193">
        <v>12</v>
      </c>
      <c r="O193">
        <f t="shared" si="4"/>
        <v>2023</v>
      </c>
      <c r="P193">
        <f t="shared" si="5"/>
        <v>5</v>
      </c>
      <c r="Q193" t="str">
        <f>_xlfn.XLOOKUP(B193,全店核心数据_bymonth!A:A,全店核心数据_bymonth!AN:AN)</f>
        <v>BU24</v>
      </c>
    </row>
    <row r="194" spans="1:17" x14ac:dyDescent="0.3">
      <c r="A194" t="s">
        <v>110</v>
      </c>
      <c r="B194" s="16">
        <v>45047</v>
      </c>
      <c r="C194" t="s">
        <v>3</v>
      </c>
      <c r="D194" t="s">
        <v>188</v>
      </c>
      <c r="E194">
        <v>12</v>
      </c>
      <c r="F194">
        <v>6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12</v>
      </c>
      <c r="O194">
        <f t="shared" ref="O194:O257" si="6">YEAR(B194)</f>
        <v>2023</v>
      </c>
      <c r="P194">
        <f t="shared" ref="P194:P257" si="7">MONTH(B194)</f>
        <v>5</v>
      </c>
      <c r="Q194" t="str">
        <f>_xlfn.XLOOKUP(B194,全店核心数据_bymonth!A:A,全店核心数据_bymonth!AN:AN)</f>
        <v>BU24</v>
      </c>
    </row>
    <row r="195" spans="1:17" x14ac:dyDescent="0.3">
      <c r="A195" t="s">
        <v>110</v>
      </c>
      <c r="B195" s="16">
        <v>45047</v>
      </c>
      <c r="C195" t="s">
        <v>3</v>
      </c>
      <c r="D195" t="s">
        <v>149</v>
      </c>
      <c r="E195">
        <v>287</v>
      </c>
      <c r="F195">
        <v>217</v>
      </c>
      <c r="G195">
        <v>4</v>
      </c>
      <c r="H195">
        <v>11</v>
      </c>
      <c r="I195">
        <v>0</v>
      </c>
      <c r="J195">
        <v>0</v>
      </c>
      <c r="K195">
        <v>0</v>
      </c>
      <c r="L195">
        <v>0</v>
      </c>
      <c r="N195">
        <v>266</v>
      </c>
      <c r="O195">
        <f t="shared" si="6"/>
        <v>2023</v>
      </c>
      <c r="P195">
        <f t="shared" si="7"/>
        <v>5</v>
      </c>
      <c r="Q195" t="str">
        <f>_xlfn.XLOOKUP(B195,全店核心数据_bymonth!A:A,全店核心数据_bymonth!AN:AN)</f>
        <v>BU24</v>
      </c>
    </row>
    <row r="196" spans="1:17" x14ac:dyDescent="0.3">
      <c r="A196" t="s">
        <v>110</v>
      </c>
      <c r="B196" s="16">
        <v>45047</v>
      </c>
      <c r="C196" t="s">
        <v>3</v>
      </c>
      <c r="D196" t="s">
        <v>148</v>
      </c>
      <c r="E196">
        <v>29</v>
      </c>
      <c r="F196">
        <v>24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N196">
        <v>24</v>
      </c>
      <c r="O196">
        <f t="shared" si="6"/>
        <v>2023</v>
      </c>
      <c r="P196">
        <f t="shared" si="7"/>
        <v>5</v>
      </c>
      <c r="Q196" t="str">
        <f>_xlfn.XLOOKUP(B196,全店核心数据_bymonth!A:A,全店核心数据_bymonth!AN:AN)</f>
        <v>BU24</v>
      </c>
    </row>
    <row r="197" spans="1:17" x14ac:dyDescent="0.3">
      <c r="A197" t="s">
        <v>110</v>
      </c>
      <c r="B197" s="16">
        <v>45047</v>
      </c>
      <c r="C197" t="s">
        <v>3</v>
      </c>
      <c r="D197" t="s">
        <v>143</v>
      </c>
      <c r="E197">
        <v>72</v>
      </c>
      <c r="F197">
        <v>57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N197">
        <v>72</v>
      </c>
      <c r="O197">
        <f t="shared" si="6"/>
        <v>2023</v>
      </c>
      <c r="P197">
        <f t="shared" si="7"/>
        <v>5</v>
      </c>
      <c r="Q197" t="str">
        <f>_xlfn.XLOOKUP(B197,全店核心数据_bymonth!A:A,全店核心数据_bymonth!AN:AN)</f>
        <v>BU24</v>
      </c>
    </row>
    <row r="198" spans="1:17" x14ac:dyDescent="0.3">
      <c r="A198" t="s">
        <v>110</v>
      </c>
      <c r="B198" s="16">
        <v>45047</v>
      </c>
      <c r="C198" t="s">
        <v>3</v>
      </c>
      <c r="D198" t="s">
        <v>141</v>
      </c>
      <c r="E198">
        <v>115</v>
      </c>
      <c r="F198">
        <v>112</v>
      </c>
      <c r="G198">
        <v>2</v>
      </c>
      <c r="H198">
        <v>1</v>
      </c>
      <c r="I198">
        <v>995</v>
      </c>
      <c r="J198">
        <v>1</v>
      </c>
      <c r="K198">
        <v>970</v>
      </c>
      <c r="L198">
        <v>1</v>
      </c>
      <c r="N198">
        <v>103</v>
      </c>
      <c r="O198">
        <f t="shared" si="6"/>
        <v>2023</v>
      </c>
      <c r="P198">
        <f t="shared" si="7"/>
        <v>5</v>
      </c>
      <c r="Q198" t="str">
        <f>_xlfn.XLOOKUP(B198,全店核心数据_bymonth!A:A,全店核心数据_bymonth!AN:AN)</f>
        <v>BU24</v>
      </c>
    </row>
    <row r="199" spans="1:17" x14ac:dyDescent="0.3">
      <c r="A199" t="s">
        <v>110</v>
      </c>
      <c r="B199" s="16">
        <v>45047</v>
      </c>
      <c r="C199" t="s">
        <v>3</v>
      </c>
      <c r="D199" t="s">
        <v>140</v>
      </c>
      <c r="E199">
        <v>109</v>
      </c>
      <c r="F199">
        <v>102</v>
      </c>
      <c r="G199">
        <v>7</v>
      </c>
      <c r="H199">
        <v>3</v>
      </c>
      <c r="I199">
        <v>23025.54</v>
      </c>
      <c r="J199">
        <v>8</v>
      </c>
      <c r="K199">
        <v>17626.54</v>
      </c>
      <c r="L199">
        <v>6</v>
      </c>
      <c r="N199">
        <v>107</v>
      </c>
      <c r="O199">
        <f t="shared" si="6"/>
        <v>2023</v>
      </c>
      <c r="P199">
        <f t="shared" si="7"/>
        <v>5</v>
      </c>
      <c r="Q199" t="str">
        <f>_xlfn.XLOOKUP(B199,全店核心数据_bymonth!A:A,全店核心数据_bymonth!AN:AN)</f>
        <v>BU24</v>
      </c>
    </row>
    <row r="200" spans="1:17" x14ac:dyDescent="0.3">
      <c r="A200" t="s">
        <v>110</v>
      </c>
      <c r="B200" s="16">
        <v>45047</v>
      </c>
      <c r="C200" t="s">
        <v>3</v>
      </c>
      <c r="D200" t="s">
        <v>139</v>
      </c>
      <c r="E200">
        <v>8171</v>
      </c>
      <c r="F200">
        <v>6180</v>
      </c>
      <c r="G200">
        <v>183</v>
      </c>
      <c r="H200">
        <v>75</v>
      </c>
      <c r="I200">
        <v>236826.64</v>
      </c>
      <c r="J200">
        <v>69</v>
      </c>
      <c r="K200">
        <v>195803.64</v>
      </c>
      <c r="L200">
        <v>54</v>
      </c>
      <c r="N200">
        <v>6012</v>
      </c>
      <c r="O200">
        <f t="shared" si="6"/>
        <v>2023</v>
      </c>
      <c r="P200">
        <f t="shared" si="7"/>
        <v>5</v>
      </c>
      <c r="Q200" t="str">
        <f>_xlfn.XLOOKUP(B200,全店核心数据_bymonth!A:A,全店核心数据_bymonth!AN:AN)</f>
        <v>BU24</v>
      </c>
    </row>
    <row r="201" spans="1:17" x14ac:dyDescent="0.3">
      <c r="A201" t="s">
        <v>110</v>
      </c>
      <c r="B201" s="16">
        <v>45047</v>
      </c>
      <c r="C201" t="s">
        <v>3</v>
      </c>
      <c r="D201" t="s">
        <v>187</v>
      </c>
      <c r="E201">
        <v>107</v>
      </c>
      <c r="F201">
        <v>85</v>
      </c>
      <c r="G201">
        <v>2</v>
      </c>
      <c r="H201">
        <v>1</v>
      </c>
      <c r="I201">
        <v>0</v>
      </c>
      <c r="J201">
        <v>0</v>
      </c>
      <c r="K201">
        <v>0</v>
      </c>
      <c r="L201">
        <v>0</v>
      </c>
      <c r="N201">
        <v>53</v>
      </c>
      <c r="O201">
        <f t="shared" si="6"/>
        <v>2023</v>
      </c>
      <c r="P201">
        <f t="shared" si="7"/>
        <v>5</v>
      </c>
      <c r="Q201" t="str">
        <f>_xlfn.XLOOKUP(B201,全店核心数据_bymonth!A:A,全店核心数据_bymonth!AN:AN)</f>
        <v>BU24</v>
      </c>
    </row>
    <row r="202" spans="1:17" x14ac:dyDescent="0.3">
      <c r="A202" t="s">
        <v>110</v>
      </c>
      <c r="B202" s="16">
        <v>45047</v>
      </c>
      <c r="C202" t="s">
        <v>3</v>
      </c>
      <c r="D202" t="s">
        <v>138</v>
      </c>
      <c r="E202">
        <v>4027</v>
      </c>
      <c r="F202">
        <v>3277</v>
      </c>
      <c r="G202">
        <v>43</v>
      </c>
      <c r="H202">
        <v>38</v>
      </c>
      <c r="I202">
        <v>45576.01</v>
      </c>
      <c r="J202">
        <v>7</v>
      </c>
      <c r="K202">
        <v>24828.01</v>
      </c>
      <c r="L202">
        <v>5</v>
      </c>
      <c r="N202">
        <v>2898</v>
      </c>
      <c r="O202">
        <f t="shared" si="6"/>
        <v>2023</v>
      </c>
      <c r="P202">
        <f t="shared" si="7"/>
        <v>5</v>
      </c>
      <c r="Q202" t="str">
        <f>_xlfn.XLOOKUP(B202,全店核心数据_bymonth!A:A,全店核心数据_bymonth!AN:AN)</f>
        <v>BU24</v>
      </c>
    </row>
    <row r="203" spans="1:17" x14ac:dyDescent="0.3">
      <c r="A203" t="s">
        <v>110</v>
      </c>
      <c r="B203" s="16">
        <v>45047</v>
      </c>
      <c r="C203" t="s">
        <v>3</v>
      </c>
      <c r="D203" t="s">
        <v>137</v>
      </c>
      <c r="E203">
        <v>105</v>
      </c>
      <c r="F203">
        <v>72</v>
      </c>
      <c r="G203">
        <v>4</v>
      </c>
      <c r="H203">
        <v>1</v>
      </c>
      <c r="I203">
        <v>7295</v>
      </c>
      <c r="J203">
        <v>2</v>
      </c>
      <c r="K203">
        <v>7295</v>
      </c>
      <c r="L203">
        <v>2</v>
      </c>
      <c r="N203">
        <v>105</v>
      </c>
      <c r="O203">
        <f t="shared" si="6"/>
        <v>2023</v>
      </c>
      <c r="P203">
        <f t="shared" si="7"/>
        <v>5</v>
      </c>
      <c r="Q203" t="str">
        <f>_xlfn.XLOOKUP(B203,全店核心数据_bymonth!A:A,全店核心数据_bymonth!AN:AN)</f>
        <v>BU24</v>
      </c>
    </row>
    <row r="204" spans="1:17" x14ac:dyDescent="0.3">
      <c r="A204" t="s">
        <v>110</v>
      </c>
      <c r="B204" s="16">
        <v>45047</v>
      </c>
      <c r="C204" t="s">
        <v>3</v>
      </c>
      <c r="D204" t="s">
        <v>135</v>
      </c>
      <c r="E204">
        <v>18</v>
      </c>
      <c r="F204">
        <v>11</v>
      </c>
      <c r="G204">
        <v>3</v>
      </c>
      <c r="H204">
        <v>0</v>
      </c>
      <c r="I204">
        <v>1188</v>
      </c>
      <c r="J204">
        <v>1</v>
      </c>
      <c r="K204">
        <v>0</v>
      </c>
      <c r="L204">
        <v>0</v>
      </c>
      <c r="N204">
        <v>16</v>
      </c>
      <c r="O204">
        <f t="shared" si="6"/>
        <v>2023</v>
      </c>
      <c r="P204">
        <f t="shared" si="7"/>
        <v>5</v>
      </c>
      <c r="Q204" t="str">
        <f>_xlfn.XLOOKUP(B204,全店核心数据_bymonth!A:A,全店核心数据_bymonth!AN:AN)</f>
        <v>BU24</v>
      </c>
    </row>
    <row r="205" spans="1:17" x14ac:dyDescent="0.3">
      <c r="A205" t="s">
        <v>110</v>
      </c>
      <c r="B205" s="16">
        <v>45047</v>
      </c>
      <c r="C205" t="s">
        <v>3</v>
      </c>
      <c r="D205" t="s">
        <v>134</v>
      </c>
      <c r="E205">
        <v>1898</v>
      </c>
      <c r="F205">
        <v>1411</v>
      </c>
      <c r="G205">
        <v>36</v>
      </c>
      <c r="H205">
        <v>12</v>
      </c>
      <c r="I205">
        <v>46938</v>
      </c>
      <c r="J205">
        <v>13</v>
      </c>
      <c r="K205">
        <v>33892</v>
      </c>
      <c r="L205">
        <v>10</v>
      </c>
      <c r="N205">
        <v>1545</v>
      </c>
      <c r="O205">
        <f t="shared" si="6"/>
        <v>2023</v>
      </c>
      <c r="P205">
        <f t="shared" si="7"/>
        <v>5</v>
      </c>
      <c r="Q205" t="str">
        <f>_xlfn.XLOOKUP(B205,全店核心数据_bymonth!A:A,全店核心数据_bymonth!AN:AN)</f>
        <v>BU24</v>
      </c>
    </row>
    <row r="206" spans="1:17" x14ac:dyDescent="0.3">
      <c r="A206" t="s">
        <v>110</v>
      </c>
      <c r="B206" s="16">
        <v>45047</v>
      </c>
      <c r="C206" t="s">
        <v>3</v>
      </c>
      <c r="D206" t="s">
        <v>133</v>
      </c>
      <c r="E206">
        <v>278</v>
      </c>
      <c r="F206">
        <v>197</v>
      </c>
      <c r="G206">
        <v>11</v>
      </c>
      <c r="H206">
        <v>3</v>
      </c>
      <c r="I206">
        <v>21975</v>
      </c>
      <c r="J206">
        <v>7</v>
      </c>
      <c r="K206">
        <v>14765</v>
      </c>
      <c r="L206">
        <v>4</v>
      </c>
      <c r="N206">
        <v>228</v>
      </c>
      <c r="O206">
        <f t="shared" si="6"/>
        <v>2023</v>
      </c>
      <c r="P206">
        <f t="shared" si="7"/>
        <v>5</v>
      </c>
      <c r="Q206" t="str">
        <f>_xlfn.XLOOKUP(B206,全店核心数据_bymonth!A:A,全店核心数据_bymonth!AN:AN)</f>
        <v>BU24</v>
      </c>
    </row>
    <row r="207" spans="1:17" x14ac:dyDescent="0.3">
      <c r="A207" t="s">
        <v>110</v>
      </c>
      <c r="B207" s="16">
        <v>45047</v>
      </c>
      <c r="C207" t="s">
        <v>3</v>
      </c>
      <c r="D207" t="s">
        <v>132</v>
      </c>
      <c r="E207">
        <v>1575</v>
      </c>
      <c r="F207">
        <v>1386</v>
      </c>
      <c r="G207">
        <v>15</v>
      </c>
      <c r="H207">
        <v>20</v>
      </c>
      <c r="I207">
        <v>4250</v>
      </c>
      <c r="J207">
        <v>1</v>
      </c>
      <c r="K207">
        <v>0</v>
      </c>
      <c r="L207">
        <v>0</v>
      </c>
      <c r="N207">
        <v>1573</v>
      </c>
      <c r="O207">
        <f t="shared" si="6"/>
        <v>2023</v>
      </c>
      <c r="P207">
        <f t="shared" si="7"/>
        <v>5</v>
      </c>
      <c r="Q207" t="str">
        <f>_xlfn.XLOOKUP(B207,全店核心数据_bymonth!A:A,全店核心数据_bymonth!AN:AN)</f>
        <v>BU24</v>
      </c>
    </row>
    <row r="208" spans="1:17" x14ac:dyDescent="0.3">
      <c r="A208" t="s">
        <v>110</v>
      </c>
      <c r="B208" s="16">
        <v>45047</v>
      </c>
      <c r="C208" t="s">
        <v>3</v>
      </c>
      <c r="D208" t="s">
        <v>131</v>
      </c>
      <c r="E208">
        <v>61</v>
      </c>
      <c r="F208">
        <v>24</v>
      </c>
      <c r="G208">
        <v>1</v>
      </c>
      <c r="H208">
        <v>1</v>
      </c>
      <c r="I208">
        <v>5940</v>
      </c>
      <c r="J208">
        <v>1</v>
      </c>
      <c r="K208">
        <v>2945</v>
      </c>
      <c r="L208">
        <v>1</v>
      </c>
      <c r="N208">
        <v>61</v>
      </c>
      <c r="O208">
        <f t="shared" si="6"/>
        <v>2023</v>
      </c>
      <c r="P208">
        <f t="shared" si="7"/>
        <v>5</v>
      </c>
      <c r="Q208" t="str">
        <f>_xlfn.XLOOKUP(B208,全店核心数据_bymonth!A:A,全店核心数据_bymonth!AN:AN)</f>
        <v>BU24</v>
      </c>
    </row>
    <row r="209" spans="1:17" x14ac:dyDescent="0.3">
      <c r="A209" t="s">
        <v>110</v>
      </c>
      <c r="B209" s="16">
        <v>45047</v>
      </c>
      <c r="C209" t="s">
        <v>3</v>
      </c>
      <c r="D209" t="s">
        <v>130</v>
      </c>
      <c r="E209">
        <v>1297</v>
      </c>
      <c r="F209">
        <v>735</v>
      </c>
      <c r="G209">
        <v>95</v>
      </c>
      <c r="H209">
        <v>33</v>
      </c>
      <c r="I209">
        <v>411206.11</v>
      </c>
      <c r="J209">
        <v>100</v>
      </c>
      <c r="K209">
        <v>272380.11</v>
      </c>
      <c r="L209">
        <v>72</v>
      </c>
      <c r="N209">
        <v>1225</v>
      </c>
      <c r="O209">
        <f t="shared" si="6"/>
        <v>2023</v>
      </c>
      <c r="P209">
        <f t="shared" si="7"/>
        <v>5</v>
      </c>
      <c r="Q209" t="str">
        <f>_xlfn.XLOOKUP(B209,全店核心数据_bymonth!A:A,全店核心数据_bymonth!AN:AN)</f>
        <v>BU24</v>
      </c>
    </row>
    <row r="210" spans="1:17" x14ac:dyDescent="0.3">
      <c r="A210" t="s">
        <v>110</v>
      </c>
      <c r="B210" s="16">
        <v>45047</v>
      </c>
      <c r="C210" t="s">
        <v>3</v>
      </c>
      <c r="D210" t="s">
        <v>128</v>
      </c>
      <c r="E210">
        <v>16243</v>
      </c>
      <c r="F210">
        <v>14249</v>
      </c>
      <c r="G210">
        <v>498</v>
      </c>
      <c r="H210">
        <v>286</v>
      </c>
      <c r="I210">
        <v>338536</v>
      </c>
      <c r="J210">
        <v>83</v>
      </c>
      <c r="K210">
        <v>209192</v>
      </c>
      <c r="L210">
        <v>54</v>
      </c>
      <c r="N210">
        <v>14511</v>
      </c>
      <c r="O210">
        <f t="shared" si="6"/>
        <v>2023</v>
      </c>
      <c r="P210">
        <f t="shared" si="7"/>
        <v>5</v>
      </c>
      <c r="Q210" t="str">
        <f>_xlfn.XLOOKUP(B210,全店核心数据_bymonth!A:A,全店核心数据_bymonth!AN:AN)</f>
        <v>BU24</v>
      </c>
    </row>
    <row r="211" spans="1:17" x14ac:dyDescent="0.3">
      <c r="A211" t="s">
        <v>110</v>
      </c>
      <c r="B211" s="16">
        <v>45047</v>
      </c>
      <c r="C211" t="s">
        <v>3</v>
      </c>
      <c r="D211" t="s">
        <v>127</v>
      </c>
      <c r="E211">
        <v>122025</v>
      </c>
      <c r="F211">
        <v>114661</v>
      </c>
      <c r="G211">
        <v>510</v>
      </c>
      <c r="H211">
        <v>412</v>
      </c>
      <c r="I211">
        <v>181323</v>
      </c>
      <c r="J211">
        <v>54</v>
      </c>
      <c r="K211">
        <v>90994</v>
      </c>
      <c r="L211">
        <v>26</v>
      </c>
      <c r="N211">
        <v>109063</v>
      </c>
      <c r="O211">
        <f t="shared" si="6"/>
        <v>2023</v>
      </c>
      <c r="P211">
        <f t="shared" si="7"/>
        <v>5</v>
      </c>
      <c r="Q211" t="str">
        <f>_xlfn.XLOOKUP(B211,全店核心数据_bymonth!A:A,全店核心数据_bymonth!AN:AN)</f>
        <v>BU24</v>
      </c>
    </row>
    <row r="212" spans="1:17" x14ac:dyDescent="0.3">
      <c r="A212" t="s">
        <v>110</v>
      </c>
      <c r="B212" s="16">
        <v>45047</v>
      </c>
      <c r="C212" t="s">
        <v>3</v>
      </c>
      <c r="D212" t="s">
        <v>126</v>
      </c>
      <c r="E212">
        <v>1739</v>
      </c>
      <c r="F212">
        <v>1427</v>
      </c>
      <c r="G212">
        <v>57</v>
      </c>
      <c r="H212">
        <v>40</v>
      </c>
      <c r="I212">
        <v>65970</v>
      </c>
      <c r="J212">
        <v>10</v>
      </c>
      <c r="K212">
        <v>33230</v>
      </c>
      <c r="L212">
        <v>6</v>
      </c>
      <c r="N212">
        <v>1673</v>
      </c>
      <c r="O212">
        <f t="shared" si="6"/>
        <v>2023</v>
      </c>
      <c r="P212">
        <f t="shared" si="7"/>
        <v>5</v>
      </c>
      <c r="Q212" t="str">
        <f>_xlfn.XLOOKUP(B212,全店核心数据_bymonth!A:A,全店核心数据_bymonth!AN:AN)</f>
        <v>BU24</v>
      </c>
    </row>
    <row r="213" spans="1:17" x14ac:dyDescent="0.3">
      <c r="A213" t="s">
        <v>110</v>
      </c>
      <c r="B213" s="16">
        <v>45047</v>
      </c>
      <c r="C213" t="s">
        <v>3</v>
      </c>
      <c r="D213" t="s">
        <v>125</v>
      </c>
      <c r="E213">
        <v>3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N213">
        <v>1</v>
      </c>
      <c r="O213">
        <f t="shared" si="6"/>
        <v>2023</v>
      </c>
      <c r="P213">
        <f t="shared" si="7"/>
        <v>5</v>
      </c>
      <c r="Q213" t="str">
        <f>_xlfn.XLOOKUP(B213,全店核心数据_bymonth!A:A,全店核心数据_bymonth!AN:AN)</f>
        <v>BU24</v>
      </c>
    </row>
    <row r="214" spans="1:17" x14ac:dyDescent="0.3">
      <c r="A214" t="s">
        <v>110</v>
      </c>
      <c r="B214" s="16">
        <v>45047</v>
      </c>
      <c r="C214" t="s">
        <v>3</v>
      </c>
      <c r="D214" t="s">
        <v>123</v>
      </c>
      <c r="E214">
        <v>3066</v>
      </c>
      <c r="F214">
        <v>1866</v>
      </c>
      <c r="G214">
        <v>125</v>
      </c>
      <c r="H214">
        <v>51</v>
      </c>
      <c r="I214">
        <v>84261</v>
      </c>
      <c r="J214">
        <v>30</v>
      </c>
      <c r="K214">
        <v>33158</v>
      </c>
      <c r="L214">
        <v>10</v>
      </c>
      <c r="N214">
        <v>2764</v>
      </c>
      <c r="O214">
        <f t="shared" si="6"/>
        <v>2023</v>
      </c>
      <c r="P214">
        <f t="shared" si="7"/>
        <v>5</v>
      </c>
      <c r="Q214" t="str">
        <f>_xlfn.XLOOKUP(B214,全店核心数据_bymonth!A:A,全店核心数据_bymonth!AN:AN)</f>
        <v>BU24</v>
      </c>
    </row>
    <row r="215" spans="1:17" x14ac:dyDescent="0.3">
      <c r="A215" t="s">
        <v>110</v>
      </c>
      <c r="B215" s="16">
        <v>45047</v>
      </c>
      <c r="C215" t="s">
        <v>3</v>
      </c>
      <c r="D215" t="s">
        <v>121</v>
      </c>
      <c r="E215">
        <v>36</v>
      </c>
      <c r="F215">
        <v>33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N215">
        <v>16</v>
      </c>
      <c r="O215">
        <f t="shared" si="6"/>
        <v>2023</v>
      </c>
      <c r="P215">
        <f t="shared" si="7"/>
        <v>5</v>
      </c>
      <c r="Q215" t="str">
        <f>_xlfn.XLOOKUP(B215,全店核心数据_bymonth!A:A,全店核心数据_bymonth!AN:AN)</f>
        <v>BU24</v>
      </c>
    </row>
    <row r="216" spans="1:17" x14ac:dyDescent="0.3">
      <c r="A216" t="s">
        <v>110</v>
      </c>
      <c r="B216" s="16">
        <v>45047</v>
      </c>
      <c r="C216" t="s">
        <v>3</v>
      </c>
      <c r="D216" t="s">
        <v>120</v>
      </c>
      <c r="E216">
        <v>4990</v>
      </c>
      <c r="F216">
        <v>4437</v>
      </c>
      <c r="G216">
        <v>208</v>
      </c>
      <c r="H216">
        <v>3</v>
      </c>
      <c r="I216">
        <v>137111</v>
      </c>
      <c r="J216">
        <v>33</v>
      </c>
      <c r="K216">
        <v>107308</v>
      </c>
      <c r="L216">
        <v>23</v>
      </c>
      <c r="N216">
        <v>4837</v>
      </c>
      <c r="O216">
        <f t="shared" si="6"/>
        <v>2023</v>
      </c>
      <c r="P216">
        <f t="shared" si="7"/>
        <v>5</v>
      </c>
      <c r="Q216" t="str">
        <f>_xlfn.XLOOKUP(B216,全店核心数据_bymonth!A:A,全店核心数据_bymonth!AN:AN)</f>
        <v>BU24</v>
      </c>
    </row>
    <row r="217" spans="1:17" x14ac:dyDescent="0.3">
      <c r="A217" t="s">
        <v>110</v>
      </c>
      <c r="B217" s="16">
        <v>45047</v>
      </c>
      <c r="C217" t="s">
        <v>3</v>
      </c>
      <c r="D217" t="s">
        <v>119</v>
      </c>
      <c r="E217">
        <v>4335</v>
      </c>
      <c r="F217">
        <v>2797</v>
      </c>
      <c r="G217">
        <v>187</v>
      </c>
      <c r="H217">
        <v>85</v>
      </c>
      <c r="I217">
        <v>472291.44</v>
      </c>
      <c r="J217">
        <v>114</v>
      </c>
      <c r="K217">
        <v>426541.44</v>
      </c>
      <c r="L217">
        <v>117</v>
      </c>
      <c r="N217">
        <v>4219</v>
      </c>
      <c r="O217">
        <f t="shared" si="6"/>
        <v>2023</v>
      </c>
      <c r="P217">
        <f t="shared" si="7"/>
        <v>5</v>
      </c>
      <c r="Q217" t="str">
        <f>_xlfn.XLOOKUP(B217,全店核心数据_bymonth!A:A,全店核心数据_bymonth!AN:AN)</f>
        <v>BU24</v>
      </c>
    </row>
    <row r="218" spans="1:17" x14ac:dyDescent="0.3">
      <c r="A218" t="s">
        <v>110</v>
      </c>
      <c r="B218" s="16">
        <v>45047</v>
      </c>
      <c r="C218" t="s">
        <v>3</v>
      </c>
      <c r="D218" t="s">
        <v>117</v>
      </c>
      <c r="E218">
        <v>42</v>
      </c>
      <c r="F218">
        <v>25</v>
      </c>
      <c r="G218">
        <v>2</v>
      </c>
      <c r="H218">
        <v>1</v>
      </c>
      <c r="I218">
        <v>3718</v>
      </c>
      <c r="J218">
        <v>1</v>
      </c>
      <c r="K218">
        <v>0</v>
      </c>
      <c r="L218">
        <v>0</v>
      </c>
      <c r="N218">
        <v>42</v>
      </c>
      <c r="O218">
        <f t="shared" si="6"/>
        <v>2023</v>
      </c>
      <c r="P218">
        <f t="shared" si="7"/>
        <v>5</v>
      </c>
      <c r="Q218" t="str">
        <f>_xlfn.XLOOKUP(B218,全店核心数据_bymonth!A:A,全店核心数据_bymonth!AN:AN)</f>
        <v>BU24</v>
      </c>
    </row>
    <row r="219" spans="1:17" x14ac:dyDescent="0.3">
      <c r="A219" t="s">
        <v>110</v>
      </c>
      <c r="B219" s="16">
        <v>45047</v>
      </c>
      <c r="C219" t="s">
        <v>3</v>
      </c>
      <c r="D219" t="s">
        <v>116</v>
      </c>
      <c r="E219">
        <v>80</v>
      </c>
      <c r="F219">
        <v>35</v>
      </c>
      <c r="G219">
        <v>3</v>
      </c>
      <c r="H219">
        <v>0</v>
      </c>
      <c r="I219">
        <v>0</v>
      </c>
      <c r="J219">
        <v>0</v>
      </c>
      <c r="K219">
        <v>0</v>
      </c>
      <c r="L219">
        <v>0</v>
      </c>
      <c r="N219">
        <v>80</v>
      </c>
      <c r="O219">
        <f t="shared" si="6"/>
        <v>2023</v>
      </c>
      <c r="P219">
        <f t="shared" si="7"/>
        <v>5</v>
      </c>
      <c r="Q219" t="str">
        <f>_xlfn.XLOOKUP(B219,全店核心数据_bymonth!A:A,全店核心数据_bymonth!AN:AN)</f>
        <v>BU24</v>
      </c>
    </row>
    <row r="220" spans="1:17" x14ac:dyDescent="0.3">
      <c r="A220" t="s">
        <v>110</v>
      </c>
      <c r="B220" s="16">
        <v>45047</v>
      </c>
      <c r="C220" t="s">
        <v>3</v>
      </c>
      <c r="D220" t="s">
        <v>115</v>
      </c>
      <c r="E220">
        <v>48</v>
      </c>
      <c r="F220">
        <v>40</v>
      </c>
      <c r="G220">
        <v>3</v>
      </c>
      <c r="H220">
        <v>0</v>
      </c>
      <c r="I220">
        <v>1980</v>
      </c>
      <c r="J220">
        <v>1</v>
      </c>
      <c r="K220">
        <v>0</v>
      </c>
      <c r="L220">
        <v>0</v>
      </c>
      <c r="N220">
        <v>45</v>
      </c>
      <c r="O220">
        <f t="shared" si="6"/>
        <v>2023</v>
      </c>
      <c r="P220">
        <f t="shared" si="7"/>
        <v>5</v>
      </c>
      <c r="Q220" t="str">
        <f>_xlfn.XLOOKUP(B220,全店核心数据_bymonth!A:A,全店核心数据_bymonth!AN:AN)</f>
        <v>BU24</v>
      </c>
    </row>
    <row r="221" spans="1:17" x14ac:dyDescent="0.3">
      <c r="A221" t="s">
        <v>110</v>
      </c>
      <c r="B221" s="16">
        <v>45047</v>
      </c>
      <c r="C221" t="s">
        <v>3</v>
      </c>
      <c r="D221" t="s">
        <v>186</v>
      </c>
      <c r="E221">
        <v>6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N221">
        <v>6</v>
      </c>
      <c r="O221">
        <f t="shared" si="6"/>
        <v>2023</v>
      </c>
      <c r="P221">
        <f t="shared" si="7"/>
        <v>5</v>
      </c>
      <c r="Q221" t="str">
        <f>_xlfn.XLOOKUP(B221,全店核心数据_bymonth!A:A,全店核心数据_bymonth!AN:AN)</f>
        <v>BU24</v>
      </c>
    </row>
    <row r="222" spans="1:17" x14ac:dyDescent="0.3">
      <c r="A222" t="s">
        <v>110</v>
      </c>
      <c r="B222" s="16">
        <v>45047</v>
      </c>
      <c r="C222" t="s">
        <v>3</v>
      </c>
      <c r="D222" t="s">
        <v>185</v>
      </c>
      <c r="E222">
        <v>14</v>
      </c>
      <c r="F222">
        <v>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N222">
        <v>14</v>
      </c>
      <c r="O222">
        <f t="shared" si="6"/>
        <v>2023</v>
      </c>
      <c r="P222">
        <f t="shared" si="7"/>
        <v>5</v>
      </c>
      <c r="Q222" t="str">
        <f>_xlfn.XLOOKUP(B222,全店核心数据_bymonth!A:A,全店核心数据_bymonth!AN:AN)</f>
        <v>BU24</v>
      </c>
    </row>
    <row r="223" spans="1:17" x14ac:dyDescent="0.3">
      <c r="A223" t="s">
        <v>110</v>
      </c>
      <c r="B223" s="16">
        <v>45047</v>
      </c>
      <c r="C223" t="s">
        <v>3</v>
      </c>
      <c r="D223" t="s">
        <v>114</v>
      </c>
      <c r="E223">
        <v>1432</v>
      </c>
      <c r="F223">
        <v>1128</v>
      </c>
      <c r="G223">
        <v>15</v>
      </c>
      <c r="H223">
        <v>14</v>
      </c>
      <c r="I223">
        <v>16359</v>
      </c>
      <c r="J223">
        <v>6</v>
      </c>
      <c r="K223">
        <v>7518</v>
      </c>
      <c r="L223">
        <v>3</v>
      </c>
      <c r="N223">
        <v>1409</v>
      </c>
      <c r="O223">
        <f t="shared" si="6"/>
        <v>2023</v>
      </c>
      <c r="P223">
        <f t="shared" si="7"/>
        <v>5</v>
      </c>
      <c r="Q223" t="str">
        <f>_xlfn.XLOOKUP(B223,全店核心数据_bymonth!A:A,全店核心数据_bymonth!AN:AN)</f>
        <v>BU24</v>
      </c>
    </row>
    <row r="224" spans="1:17" x14ac:dyDescent="0.3">
      <c r="A224" t="s">
        <v>110</v>
      </c>
      <c r="B224" s="16">
        <v>45047</v>
      </c>
      <c r="C224" t="s">
        <v>3</v>
      </c>
      <c r="D224" t="s">
        <v>113</v>
      </c>
      <c r="E224">
        <v>2885</v>
      </c>
      <c r="F224">
        <v>2246</v>
      </c>
      <c r="G224">
        <v>87</v>
      </c>
      <c r="H224">
        <v>41</v>
      </c>
      <c r="I224">
        <v>35807</v>
      </c>
      <c r="J224">
        <v>12</v>
      </c>
      <c r="K224">
        <v>22884</v>
      </c>
      <c r="L224">
        <v>7</v>
      </c>
      <c r="N224">
        <v>1614</v>
      </c>
      <c r="O224">
        <f t="shared" si="6"/>
        <v>2023</v>
      </c>
      <c r="P224">
        <f t="shared" si="7"/>
        <v>5</v>
      </c>
      <c r="Q224" t="str">
        <f>_xlfn.XLOOKUP(B224,全店核心数据_bymonth!A:A,全店核心数据_bymonth!AN:AN)</f>
        <v>BU24</v>
      </c>
    </row>
    <row r="225" spans="1:17" x14ac:dyDescent="0.3">
      <c r="A225" t="s">
        <v>110</v>
      </c>
      <c r="B225" s="16">
        <v>45047</v>
      </c>
      <c r="C225" t="s">
        <v>3</v>
      </c>
      <c r="D225" t="s">
        <v>112</v>
      </c>
      <c r="E225">
        <v>148</v>
      </c>
      <c r="F225">
        <v>93</v>
      </c>
      <c r="G225">
        <v>6</v>
      </c>
      <c r="H225">
        <v>1</v>
      </c>
      <c r="I225">
        <v>90269</v>
      </c>
      <c r="J225">
        <v>16</v>
      </c>
      <c r="K225">
        <v>85158</v>
      </c>
      <c r="L225">
        <v>17</v>
      </c>
      <c r="N225">
        <v>148</v>
      </c>
      <c r="O225">
        <f t="shared" si="6"/>
        <v>2023</v>
      </c>
      <c r="P225">
        <f t="shared" si="7"/>
        <v>5</v>
      </c>
      <c r="Q225" t="str">
        <f>_xlfn.XLOOKUP(B225,全店核心数据_bymonth!A:A,全店核心数据_bymonth!AN:AN)</f>
        <v>BU24</v>
      </c>
    </row>
    <row r="226" spans="1:17" x14ac:dyDescent="0.3">
      <c r="A226" t="s">
        <v>110</v>
      </c>
      <c r="B226" s="16">
        <v>45017</v>
      </c>
      <c r="C226" t="s">
        <v>2</v>
      </c>
      <c r="D226" t="s">
        <v>4</v>
      </c>
      <c r="E226">
        <v>4911</v>
      </c>
      <c r="F226">
        <v>3942</v>
      </c>
      <c r="G226">
        <v>6</v>
      </c>
      <c r="H226">
        <v>5</v>
      </c>
      <c r="I226">
        <v>84255</v>
      </c>
      <c r="J226">
        <v>6</v>
      </c>
      <c r="K226">
        <v>70470</v>
      </c>
      <c r="L226">
        <v>6</v>
      </c>
      <c r="N226">
        <v>4682</v>
      </c>
      <c r="O226">
        <f t="shared" si="6"/>
        <v>2023</v>
      </c>
      <c r="P226">
        <f t="shared" si="7"/>
        <v>4</v>
      </c>
      <c r="Q226" t="str">
        <f>_xlfn.XLOOKUP(B226,全店核心数据_bymonth!A:A,全店核心数据_bymonth!AN:AN)</f>
        <v>BU24</v>
      </c>
    </row>
    <row r="227" spans="1:17" x14ac:dyDescent="0.3">
      <c r="A227" t="s">
        <v>110</v>
      </c>
      <c r="B227" s="16">
        <v>45017</v>
      </c>
      <c r="C227" t="s">
        <v>2</v>
      </c>
      <c r="D227" t="s">
        <v>57</v>
      </c>
      <c r="E227">
        <v>113691</v>
      </c>
      <c r="F227">
        <v>106338</v>
      </c>
      <c r="G227">
        <v>1164</v>
      </c>
      <c r="H227">
        <v>964</v>
      </c>
      <c r="I227">
        <v>726885</v>
      </c>
      <c r="J227">
        <v>132</v>
      </c>
      <c r="K227">
        <v>371485</v>
      </c>
      <c r="L227">
        <v>81</v>
      </c>
      <c r="N227">
        <v>112492</v>
      </c>
      <c r="O227">
        <f t="shared" si="6"/>
        <v>2023</v>
      </c>
      <c r="P227">
        <f t="shared" si="7"/>
        <v>4</v>
      </c>
      <c r="Q227" t="str">
        <f>_xlfn.XLOOKUP(B227,全店核心数据_bymonth!A:A,全店核心数据_bymonth!AN:AN)</f>
        <v>BU24</v>
      </c>
    </row>
    <row r="228" spans="1:17" x14ac:dyDescent="0.3">
      <c r="A228" t="s">
        <v>110</v>
      </c>
      <c r="B228" s="16">
        <v>45017</v>
      </c>
      <c r="C228" t="s">
        <v>2</v>
      </c>
      <c r="D228" t="s">
        <v>52</v>
      </c>
      <c r="E228">
        <v>12614</v>
      </c>
      <c r="F228">
        <v>11910</v>
      </c>
      <c r="G228">
        <v>230</v>
      </c>
      <c r="H228">
        <v>102</v>
      </c>
      <c r="I228">
        <v>245210</v>
      </c>
      <c r="J228">
        <v>33</v>
      </c>
      <c r="K228">
        <v>177965</v>
      </c>
      <c r="L228">
        <v>30</v>
      </c>
      <c r="N228">
        <v>6043</v>
      </c>
      <c r="O228">
        <f t="shared" si="6"/>
        <v>2023</v>
      </c>
      <c r="P228">
        <f t="shared" si="7"/>
        <v>4</v>
      </c>
      <c r="Q228" t="str">
        <f>_xlfn.XLOOKUP(B228,全店核心数据_bymonth!A:A,全店核心数据_bymonth!AN:AN)</f>
        <v>BU24</v>
      </c>
    </row>
    <row r="229" spans="1:17" x14ac:dyDescent="0.3">
      <c r="A229" t="s">
        <v>110</v>
      </c>
      <c r="B229" s="16">
        <v>45017</v>
      </c>
      <c r="C229" t="s">
        <v>2</v>
      </c>
      <c r="D229" t="s">
        <v>55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N229">
        <v>1</v>
      </c>
      <c r="O229">
        <f t="shared" si="6"/>
        <v>2023</v>
      </c>
      <c r="P229">
        <f t="shared" si="7"/>
        <v>4</v>
      </c>
      <c r="Q229" t="str">
        <f>_xlfn.XLOOKUP(B229,全店核心数据_bymonth!A:A,全店核心数据_bymonth!AN:AN)</f>
        <v>BU24</v>
      </c>
    </row>
    <row r="230" spans="1:17" x14ac:dyDescent="0.3">
      <c r="A230" t="s">
        <v>110</v>
      </c>
      <c r="B230" s="16">
        <v>45017</v>
      </c>
      <c r="C230" t="s">
        <v>3</v>
      </c>
      <c r="D230" t="s">
        <v>155</v>
      </c>
      <c r="E230">
        <v>1130</v>
      </c>
      <c r="F230">
        <v>993</v>
      </c>
      <c r="G230">
        <v>2</v>
      </c>
      <c r="H230">
        <v>3</v>
      </c>
      <c r="I230">
        <v>11740</v>
      </c>
      <c r="J230">
        <v>3</v>
      </c>
      <c r="K230">
        <v>11740</v>
      </c>
      <c r="L230">
        <v>3</v>
      </c>
      <c r="N230">
        <v>1113</v>
      </c>
      <c r="O230">
        <f t="shared" si="6"/>
        <v>2023</v>
      </c>
      <c r="P230">
        <f t="shared" si="7"/>
        <v>4</v>
      </c>
      <c r="Q230" t="str">
        <f>_xlfn.XLOOKUP(B230,全店核心数据_bymonth!A:A,全店核心数据_bymonth!AN:AN)</f>
        <v>BU24</v>
      </c>
    </row>
    <row r="231" spans="1:17" x14ac:dyDescent="0.3">
      <c r="A231" t="s">
        <v>110</v>
      </c>
      <c r="B231" s="16">
        <v>45017</v>
      </c>
      <c r="C231" t="s">
        <v>3</v>
      </c>
      <c r="D231" t="s">
        <v>154</v>
      </c>
      <c r="E231">
        <v>184</v>
      </c>
      <c r="F231">
        <v>97</v>
      </c>
      <c r="G231">
        <v>2</v>
      </c>
      <c r="H231">
        <v>0</v>
      </c>
      <c r="I231">
        <v>0</v>
      </c>
      <c r="J231">
        <v>0</v>
      </c>
      <c r="K231">
        <v>0</v>
      </c>
      <c r="L231">
        <v>0</v>
      </c>
      <c r="N231">
        <v>96</v>
      </c>
      <c r="O231">
        <f t="shared" si="6"/>
        <v>2023</v>
      </c>
      <c r="P231">
        <f t="shared" si="7"/>
        <v>4</v>
      </c>
      <c r="Q231" t="str">
        <f>_xlfn.XLOOKUP(B231,全店核心数据_bymonth!A:A,全店核心数据_bymonth!AN:AN)</f>
        <v>BU24</v>
      </c>
    </row>
    <row r="232" spans="1:17" x14ac:dyDescent="0.3">
      <c r="A232" t="s">
        <v>110</v>
      </c>
      <c r="B232" s="16">
        <v>45017</v>
      </c>
      <c r="C232" t="s">
        <v>3</v>
      </c>
      <c r="D232" t="s">
        <v>153</v>
      </c>
      <c r="E232">
        <v>2508</v>
      </c>
      <c r="F232">
        <v>1615</v>
      </c>
      <c r="G232">
        <v>145</v>
      </c>
      <c r="H232">
        <v>23</v>
      </c>
      <c r="I232">
        <v>704945</v>
      </c>
      <c r="J232">
        <v>116</v>
      </c>
      <c r="K232">
        <v>570195</v>
      </c>
      <c r="L232">
        <v>108</v>
      </c>
      <c r="N232">
        <v>2436</v>
      </c>
      <c r="O232">
        <f t="shared" si="6"/>
        <v>2023</v>
      </c>
      <c r="P232">
        <f t="shared" si="7"/>
        <v>4</v>
      </c>
      <c r="Q232" t="str">
        <f>_xlfn.XLOOKUP(B232,全店核心数据_bymonth!A:A,全店核心数据_bymonth!AN:AN)</f>
        <v>BU24</v>
      </c>
    </row>
    <row r="233" spans="1:17" x14ac:dyDescent="0.3">
      <c r="A233" t="s">
        <v>110</v>
      </c>
      <c r="B233" s="16">
        <v>45017</v>
      </c>
      <c r="C233" t="s">
        <v>3</v>
      </c>
      <c r="D233" t="s">
        <v>152</v>
      </c>
      <c r="E233">
        <v>73</v>
      </c>
      <c r="F233">
        <v>50</v>
      </c>
      <c r="G233">
        <v>2</v>
      </c>
      <c r="H233">
        <v>0</v>
      </c>
      <c r="I233">
        <v>0</v>
      </c>
      <c r="J233">
        <v>0</v>
      </c>
      <c r="K233">
        <v>0</v>
      </c>
      <c r="L233">
        <v>0</v>
      </c>
      <c r="N233">
        <v>73</v>
      </c>
      <c r="O233">
        <f t="shared" si="6"/>
        <v>2023</v>
      </c>
      <c r="P233">
        <f t="shared" si="7"/>
        <v>4</v>
      </c>
      <c r="Q233" t="str">
        <f>_xlfn.XLOOKUP(B233,全店核心数据_bymonth!A:A,全店核心数据_bymonth!AN:AN)</f>
        <v>BU24</v>
      </c>
    </row>
    <row r="234" spans="1:17" x14ac:dyDescent="0.3">
      <c r="A234" t="s">
        <v>110</v>
      </c>
      <c r="B234" s="16">
        <v>45017</v>
      </c>
      <c r="C234" t="s">
        <v>3</v>
      </c>
      <c r="D234" t="s">
        <v>151</v>
      </c>
      <c r="E234">
        <v>16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N234">
        <v>16</v>
      </c>
      <c r="O234">
        <f t="shared" si="6"/>
        <v>2023</v>
      </c>
      <c r="P234">
        <f t="shared" si="7"/>
        <v>4</v>
      </c>
      <c r="Q234" t="str">
        <f>_xlfn.XLOOKUP(B234,全店核心数据_bymonth!A:A,全店核心数据_bymonth!AN:AN)</f>
        <v>BU24</v>
      </c>
    </row>
    <row r="235" spans="1:17" x14ac:dyDescent="0.3">
      <c r="A235" t="s">
        <v>110</v>
      </c>
      <c r="B235" s="16">
        <v>45017</v>
      </c>
      <c r="C235" t="s">
        <v>3</v>
      </c>
      <c r="D235" t="s">
        <v>188</v>
      </c>
      <c r="E235">
        <v>16</v>
      </c>
      <c r="F235">
        <v>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16</v>
      </c>
      <c r="O235">
        <f t="shared" si="6"/>
        <v>2023</v>
      </c>
      <c r="P235">
        <f t="shared" si="7"/>
        <v>4</v>
      </c>
      <c r="Q235" t="str">
        <f>_xlfn.XLOOKUP(B235,全店核心数据_bymonth!A:A,全店核心数据_bymonth!AN:AN)</f>
        <v>BU24</v>
      </c>
    </row>
    <row r="236" spans="1:17" x14ac:dyDescent="0.3">
      <c r="A236" t="s">
        <v>110</v>
      </c>
      <c r="B236" s="16">
        <v>45017</v>
      </c>
      <c r="C236" t="s">
        <v>3</v>
      </c>
      <c r="D236" t="s">
        <v>198</v>
      </c>
      <c r="E236">
        <v>2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N236">
        <v>2</v>
      </c>
      <c r="O236">
        <f t="shared" si="6"/>
        <v>2023</v>
      </c>
      <c r="P236">
        <f t="shared" si="7"/>
        <v>4</v>
      </c>
      <c r="Q236" t="str">
        <f>_xlfn.XLOOKUP(B236,全店核心数据_bymonth!A:A,全店核心数据_bymonth!AN:AN)</f>
        <v>BU24</v>
      </c>
    </row>
    <row r="237" spans="1:17" x14ac:dyDescent="0.3">
      <c r="A237" t="s">
        <v>110</v>
      </c>
      <c r="B237" s="16">
        <v>45017</v>
      </c>
      <c r="C237" t="s">
        <v>3</v>
      </c>
      <c r="D237" t="s">
        <v>149</v>
      </c>
      <c r="E237">
        <v>85</v>
      </c>
      <c r="F237">
        <v>64</v>
      </c>
      <c r="G237">
        <v>3</v>
      </c>
      <c r="H237">
        <v>3</v>
      </c>
      <c r="I237">
        <v>0</v>
      </c>
      <c r="J237">
        <v>0</v>
      </c>
      <c r="K237">
        <v>0</v>
      </c>
      <c r="L237">
        <v>0</v>
      </c>
      <c r="N237">
        <v>83</v>
      </c>
      <c r="O237">
        <f t="shared" si="6"/>
        <v>2023</v>
      </c>
      <c r="P237">
        <f t="shared" si="7"/>
        <v>4</v>
      </c>
      <c r="Q237" t="str">
        <f>_xlfn.XLOOKUP(B237,全店核心数据_bymonth!A:A,全店核心数据_bymonth!AN:AN)</f>
        <v>BU24</v>
      </c>
    </row>
    <row r="238" spans="1:17" x14ac:dyDescent="0.3">
      <c r="A238" t="s">
        <v>110</v>
      </c>
      <c r="B238" s="16">
        <v>45017</v>
      </c>
      <c r="C238" t="s">
        <v>3</v>
      </c>
      <c r="D238" t="s">
        <v>148</v>
      </c>
      <c r="E238">
        <v>22</v>
      </c>
      <c r="F238">
        <v>18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N238">
        <v>12</v>
      </c>
      <c r="O238">
        <f t="shared" si="6"/>
        <v>2023</v>
      </c>
      <c r="P238">
        <f t="shared" si="7"/>
        <v>4</v>
      </c>
      <c r="Q238" t="str">
        <f>_xlfn.XLOOKUP(B238,全店核心数据_bymonth!A:A,全店核心数据_bymonth!AN:AN)</f>
        <v>BU24</v>
      </c>
    </row>
    <row r="239" spans="1:17" x14ac:dyDescent="0.3">
      <c r="A239" t="s">
        <v>110</v>
      </c>
      <c r="B239" s="16">
        <v>45017</v>
      </c>
      <c r="C239" t="s">
        <v>3</v>
      </c>
      <c r="D239" t="s">
        <v>143</v>
      </c>
      <c r="E239">
        <v>52</v>
      </c>
      <c r="F239">
        <v>45</v>
      </c>
      <c r="G239">
        <v>0</v>
      </c>
      <c r="H239">
        <v>0</v>
      </c>
      <c r="I239">
        <v>19500</v>
      </c>
      <c r="J239">
        <v>1</v>
      </c>
      <c r="K239">
        <v>19500</v>
      </c>
      <c r="L239">
        <v>1</v>
      </c>
      <c r="N239">
        <v>52</v>
      </c>
      <c r="O239">
        <f t="shared" si="6"/>
        <v>2023</v>
      </c>
      <c r="P239">
        <f t="shared" si="7"/>
        <v>4</v>
      </c>
      <c r="Q239" t="str">
        <f>_xlfn.XLOOKUP(B239,全店核心数据_bymonth!A:A,全店核心数据_bymonth!AN:AN)</f>
        <v>BU24</v>
      </c>
    </row>
    <row r="240" spans="1:17" x14ac:dyDescent="0.3">
      <c r="A240" t="s">
        <v>110</v>
      </c>
      <c r="B240" s="16">
        <v>45017</v>
      </c>
      <c r="C240" t="s">
        <v>3</v>
      </c>
      <c r="D240" t="s">
        <v>141</v>
      </c>
      <c r="E240">
        <v>64</v>
      </c>
      <c r="F240">
        <v>63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N240">
        <v>58</v>
      </c>
      <c r="O240">
        <f t="shared" si="6"/>
        <v>2023</v>
      </c>
      <c r="P240">
        <f t="shared" si="7"/>
        <v>4</v>
      </c>
      <c r="Q240" t="str">
        <f>_xlfn.XLOOKUP(B240,全店核心数据_bymonth!A:A,全店核心数据_bymonth!AN:AN)</f>
        <v>BU24</v>
      </c>
    </row>
    <row r="241" spans="1:17" x14ac:dyDescent="0.3">
      <c r="A241" t="s">
        <v>110</v>
      </c>
      <c r="B241" s="16">
        <v>45017</v>
      </c>
      <c r="C241" t="s">
        <v>3</v>
      </c>
      <c r="D241" t="s">
        <v>140</v>
      </c>
      <c r="E241">
        <v>62</v>
      </c>
      <c r="F241">
        <v>57</v>
      </c>
      <c r="G241">
        <v>3</v>
      </c>
      <c r="H241">
        <v>3</v>
      </c>
      <c r="I241">
        <v>19430</v>
      </c>
      <c r="J241">
        <v>3</v>
      </c>
      <c r="K241">
        <v>16035</v>
      </c>
      <c r="L241">
        <v>3</v>
      </c>
      <c r="N241">
        <v>60</v>
      </c>
      <c r="O241">
        <f t="shared" si="6"/>
        <v>2023</v>
      </c>
      <c r="P241">
        <f t="shared" si="7"/>
        <v>4</v>
      </c>
      <c r="Q241" t="str">
        <f>_xlfn.XLOOKUP(B241,全店核心数据_bymonth!A:A,全店核心数据_bymonth!AN:AN)</f>
        <v>BU24</v>
      </c>
    </row>
    <row r="242" spans="1:17" x14ac:dyDescent="0.3">
      <c r="A242" t="s">
        <v>110</v>
      </c>
      <c r="B242" s="16">
        <v>45017</v>
      </c>
      <c r="C242" t="s">
        <v>3</v>
      </c>
      <c r="D242" t="s">
        <v>139</v>
      </c>
      <c r="E242">
        <v>5652</v>
      </c>
      <c r="F242">
        <v>4352</v>
      </c>
      <c r="G242">
        <v>106</v>
      </c>
      <c r="H242">
        <v>46</v>
      </c>
      <c r="I242">
        <v>259735.01</v>
      </c>
      <c r="J242">
        <v>37</v>
      </c>
      <c r="K242">
        <v>153615.01</v>
      </c>
      <c r="L242">
        <v>30</v>
      </c>
      <c r="N242">
        <v>4613</v>
      </c>
      <c r="O242">
        <f t="shared" si="6"/>
        <v>2023</v>
      </c>
      <c r="P242">
        <f t="shared" si="7"/>
        <v>4</v>
      </c>
      <c r="Q242" t="str">
        <f>_xlfn.XLOOKUP(B242,全店核心数据_bymonth!A:A,全店核心数据_bymonth!AN:AN)</f>
        <v>BU24</v>
      </c>
    </row>
    <row r="243" spans="1:17" x14ac:dyDescent="0.3">
      <c r="A243" t="s">
        <v>110</v>
      </c>
      <c r="B243" s="16">
        <v>45017</v>
      </c>
      <c r="C243" t="s">
        <v>3</v>
      </c>
      <c r="D243" t="s">
        <v>187</v>
      </c>
      <c r="E243">
        <v>82</v>
      </c>
      <c r="F243">
        <v>49</v>
      </c>
      <c r="G243">
        <v>1</v>
      </c>
      <c r="H243">
        <v>1</v>
      </c>
      <c r="I243">
        <v>0</v>
      </c>
      <c r="J243">
        <v>0</v>
      </c>
      <c r="K243">
        <v>0</v>
      </c>
      <c r="L243">
        <v>0</v>
      </c>
      <c r="N243">
        <v>60</v>
      </c>
      <c r="O243">
        <f t="shared" si="6"/>
        <v>2023</v>
      </c>
      <c r="P243">
        <f t="shared" si="7"/>
        <v>4</v>
      </c>
      <c r="Q243" t="str">
        <f>_xlfn.XLOOKUP(B243,全店核心数据_bymonth!A:A,全店核心数据_bymonth!AN:AN)</f>
        <v>BU24</v>
      </c>
    </row>
    <row r="244" spans="1:17" x14ac:dyDescent="0.3">
      <c r="A244" t="s">
        <v>110</v>
      </c>
      <c r="B244" s="16">
        <v>45017</v>
      </c>
      <c r="C244" t="s">
        <v>3</v>
      </c>
      <c r="D244" t="s">
        <v>138</v>
      </c>
      <c r="E244">
        <v>3643</v>
      </c>
      <c r="F244">
        <v>2917</v>
      </c>
      <c r="G244">
        <v>50</v>
      </c>
      <c r="H244">
        <v>30</v>
      </c>
      <c r="I244">
        <v>30220.01</v>
      </c>
      <c r="J244">
        <v>8</v>
      </c>
      <c r="K244">
        <v>22430.01</v>
      </c>
      <c r="L244">
        <v>6</v>
      </c>
      <c r="N244">
        <v>3606</v>
      </c>
      <c r="O244">
        <f t="shared" si="6"/>
        <v>2023</v>
      </c>
      <c r="P244">
        <f t="shared" si="7"/>
        <v>4</v>
      </c>
      <c r="Q244" t="str">
        <f>_xlfn.XLOOKUP(B244,全店核心数据_bymonth!A:A,全店核心数据_bymonth!AN:AN)</f>
        <v>BU24</v>
      </c>
    </row>
    <row r="245" spans="1:17" x14ac:dyDescent="0.3">
      <c r="A245" t="s">
        <v>110</v>
      </c>
      <c r="B245" s="16">
        <v>45017</v>
      </c>
      <c r="C245" t="s">
        <v>3</v>
      </c>
      <c r="D245" t="s">
        <v>137</v>
      </c>
      <c r="E245">
        <v>75</v>
      </c>
      <c r="F245">
        <v>51</v>
      </c>
      <c r="G245">
        <v>3</v>
      </c>
      <c r="H245">
        <v>0</v>
      </c>
      <c r="I245">
        <v>0</v>
      </c>
      <c r="J245">
        <v>0</v>
      </c>
      <c r="K245">
        <v>0</v>
      </c>
      <c r="L245">
        <v>0</v>
      </c>
      <c r="N245">
        <v>73</v>
      </c>
      <c r="O245">
        <f t="shared" si="6"/>
        <v>2023</v>
      </c>
      <c r="P245">
        <f t="shared" si="7"/>
        <v>4</v>
      </c>
      <c r="Q245" t="str">
        <f>_xlfn.XLOOKUP(B245,全店核心数据_bymonth!A:A,全店核心数据_bymonth!AN:AN)</f>
        <v>BU24</v>
      </c>
    </row>
    <row r="246" spans="1:17" x14ac:dyDescent="0.3">
      <c r="A246" t="s">
        <v>110</v>
      </c>
      <c r="B246" s="16">
        <v>45017</v>
      </c>
      <c r="C246" t="s">
        <v>3</v>
      </c>
      <c r="D246" t="s">
        <v>135</v>
      </c>
      <c r="E246">
        <v>6</v>
      </c>
      <c r="F246">
        <v>4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N246">
        <v>6</v>
      </c>
      <c r="O246">
        <f t="shared" si="6"/>
        <v>2023</v>
      </c>
      <c r="P246">
        <f t="shared" si="7"/>
        <v>4</v>
      </c>
      <c r="Q246" t="str">
        <f>_xlfn.XLOOKUP(B246,全店核心数据_bymonth!A:A,全店核心数据_bymonth!AN:AN)</f>
        <v>BU24</v>
      </c>
    </row>
    <row r="247" spans="1:17" x14ac:dyDescent="0.3">
      <c r="A247" t="s">
        <v>110</v>
      </c>
      <c r="B247" s="16">
        <v>45017</v>
      </c>
      <c r="C247" t="s">
        <v>3</v>
      </c>
      <c r="D247" t="s">
        <v>134</v>
      </c>
      <c r="E247">
        <v>1066</v>
      </c>
      <c r="F247">
        <v>791</v>
      </c>
      <c r="G247">
        <v>15</v>
      </c>
      <c r="H247">
        <v>9</v>
      </c>
      <c r="I247">
        <v>21790</v>
      </c>
      <c r="J247">
        <v>4</v>
      </c>
      <c r="K247">
        <v>7390</v>
      </c>
      <c r="L247">
        <v>2</v>
      </c>
      <c r="N247">
        <v>914</v>
      </c>
      <c r="O247">
        <f t="shared" si="6"/>
        <v>2023</v>
      </c>
      <c r="P247">
        <f t="shared" si="7"/>
        <v>4</v>
      </c>
      <c r="Q247" t="str">
        <f>_xlfn.XLOOKUP(B247,全店核心数据_bymonth!A:A,全店核心数据_bymonth!AN:AN)</f>
        <v>BU24</v>
      </c>
    </row>
    <row r="248" spans="1:17" x14ac:dyDescent="0.3">
      <c r="A248" t="s">
        <v>110</v>
      </c>
      <c r="B248" s="16">
        <v>45017</v>
      </c>
      <c r="C248" t="s">
        <v>3</v>
      </c>
      <c r="D248" t="s">
        <v>133</v>
      </c>
      <c r="E248">
        <v>110</v>
      </c>
      <c r="F248">
        <v>85</v>
      </c>
      <c r="G248">
        <v>5</v>
      </c>
      <c r="H248">
        <v>1</v>
      </c>
      <c r="I248">
        <v>7545</v>
      </c>
      <c r="J248">
        <v>2</v>
      </c>
      <c r="K248">
        <v>7545</v>
      </c>
      <c r="L248">
        <v>2</v>
      </c>
      <c r="N248">
        <v>92</v>
      </c>
      <c r="O248">
        <f t="shared" si="6"/>
        <v>2023</v>
      </c>
      <c r="P248">
        <f t="shared" si="7"/>
        <v>4</v>
      </c>
      <c r="Q248" t="str">
        <f>_xlfn.XLOOKUP(B248,全店核心数据_bymonth!A:A,全店核心数据_bymonth!AN:AN)</f>
        <v>BU24</v>
      </c>
    </row>
    <row r="249" spans="1:17" x14ac:dyDescent="0.3">
      <c r="A249" t="s">
        <v>110</v>
      </c>
      <c r="B249" s="16">
        <v>45017</v>
      </c>
      <c r="C249" t="s">
        <v>3</v>
      </c>
      <c r="D249" t="s">
        <v>132</v>
      </c>
      <c r="E249">
        <v>2585</v>
      </c>
      <c r="F249">
        <v>2397</v>
      </c>
      <c r="G249">
        <v>29</v>
      </c>
      <c r="H249">
        <v>41</v>
      </c>
      <c r="I249">
        <v>2150</v>
      </c>
      <c r="J249">
        <v>1</v>
      </c>
      <c r="K249">
        <v>0</v>
      </c>
      <c r="L249">
        <v>0</v>
      </c>
      <c r="N249">
        <v>2581</v>
      </c>
      <c r="O249">
        <f t="shared" si="6"/>
        <v>2023</v>
      </c>
      <c r="P249">
        <f t="shared" si="7"/>
        <v>4</v>
      </c>
      <c r="Q249" t="str">
        <f>_xlfn.XLOOKUP(B249,全店核心数据_bymonth!A:A,全店核心数据_bymonth!AN:AN)</f>
        <v>BU24</v>
      </c>
    </row>
    <row r="250" spans="1:17" x14ac:dyDescent="0.3">
      <c r="A250" t="s">
        <v>110</v>
      </c>
      <c r="B250" s="16">
        <v>45017</v>
      </c>
      <c r="C250" t="s">
        <v>3</v>
      </c>
      <c r="D250" t="s">
        <v>131</v>
      </c>
      <c r="E250">
        <v>4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N250">
        <v>4</v>
      </c>
      <c r="O250">
        <f t="shared" si="6"/>
        <v>2023</v>
      </c>
      <c r="P250">
        <f t="shared" si="7"/>
        <v>4</v>
      </c>
      <c r="Q250" t="str">
        <f>_xlfn.XLOOKUP(B250,全店核心数据_bymonth!A:A,全店核心数据_bymonth!AN:AN)</f>
        <v>BU24</v>
      </c>
    </row>
    <row r="251" spans="1:17" x14ac:dyDescent="0.3">
      <c r="A251" t="s">
        <v>110</v>
      </c>
      <c r="B251" s="16">
        <v>45017</v>
      </c>
      <c r="C251" t="s">
        <v>3</v>
      </c>
      <c r="D251" t="s">
        <v>130</v>
      </c>
      <c r="E251">
        <v>905</v>
      </c>
      <c r="F251">
        <v>564</v>
      </c>
      <c r="G251">
        <v>47</v>
      </c>
      <c r="H251">
        <v>15</v>
      </c>
      <c r="I251">
        <v>289645</v>
      </c>
      <c r="J251">
        <v>57</v>
      </c>
      <c r="K251">
        <v>251520</v>
      </c>
      <c r="L251">
        <v>54</v>
      </c>
      <c r="N251">
        <v>857</v>
      </c>
      <c r="O251">
        <f t="shared" si="6"/>
        <v>2023</v>
      </c>
      <c r="P251">
        <f t="shared" si="7"/>
        <v>4</v>
      </c>
      <c r="Q251" t="str">
        <f>_xlfn.XLOOKUP(B251,全店核心数据_bymonth!A:A,全店核心数据_bymonth!AN:AN)</f>
        <v>BU24</v>
      </c>
    </row>
    <row r="252" spans="1:17" x14ac:dyDescent="0.3">
      <c r="A252" t="s">
        <v>110</v>
      </c>
      <c r="B252" s="16">
        <v>45017</v>
      </c>
      <c r="C252" t="s">
        <v>3</v>
      </c>
      <c r="D252" t="s">
        <v>128</v>
      </c>
      <c r="E252">
        <v>11445</v>
      </c>
      <c r="F252">
        <v>10131</v>
      </c>
      <c r="G252">
        <v>269</v>
      </c>
      <c r="H252">
        <v>210</v>
      </c>
      <c r="I252">
        <v>168885</v>
      </c>
      <c r="J252">
        <v>31</v>
      </c>
      <c r="K252">
        <v>92765</v>
      </c>
      <c r="L252">
        <v>21</v>
      </c>
      <c r="N252">
        <v>9896</v>
      </c>
      <c r="O252">
        <f t="shared" si="6"/>
        <v>2023</v>
      </c>
      <c r="P252">
        <f t="shared" si="7"/>
        <v>4</v>
      </c>
      <c r="Q252" t="str">
        <f>_xlfn.XLOOKUP(B252,全店核心数据_bymonth!A:A,全店核心数据_bymonth!AN:AN)</f>
        <v>BU24</v>
      </c>
    </row>
    <row r="253" spans="1:17" x14ac:dyDescent="0.3">
      <c r="A253" t="s">
        <v>110</v>
      </c>
      <c r="B253" s="16">
        <v>45017</v>
      </c>
      <c r="C253" t="s">
        <v>3</v>
      </c>
      <c r="D253" t="s">
        <v>127</v>
      </c>
      <c r="E253">
        <v>271884</v>
      </c>
      <c r="F253">
        <v>264540</v>
      </c>
      <c r="G253">
        <v>318</v>
      </c>
      <c r="H253">
        <v>321</v>
      </c>
      <c r="I253">
        <v>216475</v>
      </c>
      <c r="J253">
        <v>25</v>
      </c>
      <c r="K253">
        <v>85955</v>
      </c>
      <c r="L253">
        <v>16</v>
      </c>
      <c r="N253">
        <v>271722</v>
      </c>
      <c r="O253">
        <f t="shared" si="6"/>
        <v>2023</v>
      </c>
      <c r="P253">
        <f t="shared" si="7"/>
        <v>4</v>
      </c>
      <c r="Q253" t="str">
        <f>_xlfn.XLOOKUP(B253,全店核心数据_bymonth!A:A,全店核心数据_bymonth!AN:AN)</f>
        <v>BU24</v>
      </c>
    </row>
    <row r="254" spans="1:17" x14ac:dyDescent="0.3">
      <c r="A254" t="s">
        <v>110</v>
      </c>
      <c r="B254" s="16">
        <v>45017</v>
      </c>
      <c r="C254" t="s">
        <v>3</v>
      </c>
      <c r="D254" t="s">
        <v>126</v>
      </c>
      <c r="E254">
        <v>1463</v>
      </c>
      <c r="F254">
        <v>1202</v>
      </c>
      <c r="G254">
        <v>35</v>
      </c>
      <c r="H254">
        <v>34</v>
      </c>
      <c r="I254">
        <v>47120</v>
      </c>
      <c r="J254">
        <v>9</v>
      </c>
      <c r="K254">
        <v>28130</v>
      </c>
      <c r="L254">
        <v>6</v>
      </c>
      <c r="N254">
        <v>1413</v>
      </c>
      <c r="O254">
        <f t="shared" si="6"/>
        <v>2023</v>
      </c>
      <c r="P254">
        <f t="shared" si="7"/>
        <v>4</v>
      </c>
      <c r="Q254" t="str">
        <f>_xlfn.XLOOKUP(B254,全店核心数据_bymonth!A:A,全店核心数据_bymonth!AN:AN)</f>
        <v>BU24</v>
      </c>
    </row>
    <row r="255" spans="1:17" x14ac:dyDescent="0.3">
      <c r="A255" t="s">
        <v>110</v>
      </c>
      <c r="B255" s="16">
        <v>45017</v>
      </c>
      <c r="C255" t="s">
        <v>3</v>
      </c>
      <c r="D255" t="s">
        <v>125</v>
      </c>
      <c r="E255">
        <v>3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N255">
        <v>2</v>
      </c>
      <c r="O255">
        <f t="shared" si="6"/>
        <v>2023</v>
      </c>
      <c r="P255">
        <f t="shared" si="7"/>
        <v>4</v>
      </c>
      <c r="Q255" t="str">
        <f>_xlfn.XLOOKUP(B255,全店核心数据_bymonth!A:A,全店核心数据_bymonth!AN:AN)</f>
        <v>BU24</v>
      </c>
    </row>
    <row r="256" spans="1:17" x14ac:dyDescent="0.3">
      <c r="A256" t="s">
        <v>110</v>
      </c>
      <c r="B256" s="16">
        <v>45017</v>
      </c>
      <c r="C256" t="s">
        <v>3</v>
      </c>
      <c r="D256" t="s">
        <v>123</v>
      </c>
      <c r="E256">
        <v>1945</v>
      </c>
      <c r="F256">
        <v>1288</v>
      </c>
      <c r="G256">
        <v>50</v>
      </c>
      <c r="H256">
        <v>34</v>
      </c>
      <c r="I256">
        <v>33595</v>
      </c>
      <c r="J256">
        <v>7</v>
      </c>
      <c r="K256">
        <v>29445</v>
      </c>
      <c r="L256">
        <v>6</v>
      </c>
      <c r="N256">
        <v>1687</v>
      </c>
      <c r="O256">
        <f t="shared" si="6"/>
        <v>2023</v>
      </c>
      <c r="P256">
        <f t="shared" si="7"/>
        <v>4</v>
      </c>
      <c r="Q256" t="str">
        <f>_xlfn.XLOOKUP(B256,全店核心数据_bymonth!A:A,全店核心数据_bymonth!AN:AN)</f>
        <v>BU24</v>
      </c>
    </row>
    <row r="257" spans="1:17" x14ac:dyDescent="0.3">
      <c r="A257" t="s">
        <v>110</v>
      </c>
      <c r="B257" s="16">
        <v>45017</v>
      </c>
      <c r="C257" t="s">
        <v>3</v>
      </c>
      <c r="D257" t="s">
        <v>121</v>
      </c>
      <c r="E257">
        <v>14</v>
      </c>
      <c r="F257">
        <v>11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N257">
        <v>7</v>
      </c>
      <c r="O257">
        <f t="shared" si="6"/>
        <v>2023</v>
      </c>
      <c r="P257">
        <f t="shared" si="7"/>
        <v>4</v>
      </c>
      <c r="Q257" t="str">
        <f>_xlfn.XLOOKUP(B257,全店核心数据_bymonth!A:A,全店核心数据_bymonth!AN:AN)</f>
        <v>BU24</v>
      </c>
    </row>
    <row r="258" spans="1:17" x14ac:dyDescent="0.3">
      <c r="A258" t="s">
        <v>110</v>
      </c>
      <c r="B258" s="16">
        <v>45017</v>
      </c>
      <c r="C258" t="s">
        <v>3</v>
      </c>
      <c r="D258" t="s">
        <v>120</v>
      </c>
      <c r="E258">
        <v>4013</v>
      </c>
      <c r="F258">
        <v>3616</v>
      </c>
      <c r="G258">
        <v>115</v>
      </c>
      <c r="H258">
        <v>1</v>
      </c>
      <c r="I258">
        <v>137165</v>
      </c>
      <c r="J258">
        <v>14</v>
      </c>
      <c r="K258">
        <v>91025</v>
      </c>
      <c r="L258">
        <v>11</v>
      </c>
      <c r="N258">
        <v>3869</v>
      </c>
      <c r="O258">
        <f t="shared" ref="O258:O321" si="8">YEAR(B258)</f>
        <v>2023</v>
      </c>
      <c r="P258">
        <f t="shared" ref="P258:P321" si="9">MONTH(B258)</f>
        <v>4</v>
      </c>
      <c r="Q258" t="str">
        <f>_xlfn.XLOOKUP(B258,全店核心数据_bymonth!A:A,全店核心数据_bymonth!AN:AN)</f>
        <v>BU24</v>
      </c>
    </row>
    <row r="259" spans="1:17" x14ac:dyDescent="0.3">
      <c r="A259" t="s">
        <v>110</v>
      </c>
      <c r="B259" s="16">
        <v>45017</v>
      </c>
      <c r="C259" t="s">
        <v>3</v>
      </c>
      <c r="D259" t="s">
        <v>119</v>
      </c>
      <c r="E259">
        <v>4285</v>
      </c>
      <c r="F259">
        <v>3096</v>
      </c>
      <c r="G259">
        <v>107</v>
      </c>
      <c r="H259">
        <v>66</v>
      </c>
      <c r="I259">
        <v>290475</v>
      </c>
      <c r="J259">
        <v>49</v>
      </c>
      <c r="K259">
        <v>216155</v>
      </c>
      <c r="L259">
        <v>38</v>
      </c>
      <c r="N259">
        <v>4222</v>
      </c>
      <c r="O259">
        <f t="shared" si="8"/>
        <v>2023</v>
      </c>
      <c r="P259">
        <f t="shared" si="9"/>
        <v>4</v>
      </c>
      <c r="Q259" t="str">
        <f>_xlfn.XLOOKUP(B259,全店核心数据_bymonth!A:A,全店核心数据_bymonth!AN:AN)</f>
        <v>BU24</v>
      </c>
    </row>
    <row r="260" spans="1:17" x14ac:dyDescent="0.3">
      <c r="A260" t="s">
        <v>110</v>
      </c>
      <c r="B260" s="16">
        <v>45017</v>
      </c>
      <c r="C260" t="s">
        <v>3</v>
      </c>
      <c r="D260" t="s">
        <v>117</v>
      </c>
      <c r="E260">
        <v>2</v>
      </c>
      <c r="F260">
        <v>2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N260">
        <v>2</v>
      </c>
      <c r="O260">
        <f t="shared" si="8"/>
        <v>2023</v>
      </c>
      <c r="P260">
        <f t="shared" si="9"/>
        <v>4</v>
      </c>
      <c r="Q260" t="str">
        <f>_xlfn.XLOOKUP(B260,全店核心数据_bymonth!A:A,全店核心数据_bymonth!AN:AN)</f>
        <v>BU24</v>
      </c>
    </row>
    <row r="261" spans="1:17" x14ac:dyDescent="0.3">
      <c r="A261" t="s">
        <v>110</v>
      </c>
      <c r="B261" s="16">
        <v>45017</v>
      </c>
      <c r="C261" t="s">
        <v>3</v>
      </c>
      <c r="D261" t="s">
        <v>116</v>
      </c>
      <c r="E261">
        <v>128</v>
      </c>
      <c r="F261">
        <v>64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N261">
        <v>128</v>
      </c>
      <c r="O261">
        <f t="shared" si="8"/>
        <v>2023</v>
      </c>
      <c r="P261">
        <f t="shared" si="9"/>
        <v>4</v>
      </c>
      <c r="Q261" t="str">
        <f>_xlfn.XLOOKUP(B261,全店核心数据_bymonth!A:A,全店核心数据_bymonth!AN:AN)</f>
        <v>BU24</v>
      </c>
    </row>
    <row r="262" spans="1:17" x14ac:dyDescent="0.3">
      <c r="A262" t="s">
        <v>110</v>
      </c>
      <c r="B262" s="16">
        <v>45017</v>
      </c>
      <c r="C262" t="s">
        <v>3</v>
      </c>
      <c r="D262" t="s">
        <v>115</v>
      </c>
      <c r="E262">
        <v>43</v>
      </c>
      <c r="F262">
        <v>38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0</v>
      </c>
      <c r="N262">
        <v>38</v>
      </c>
      <c r="O262">
        <f t="shared" si="8"/>
        <v>2023</v>
      </c>
      <c r="P262">
        <f t="shared" si="9"/>
        <v>4</v>
      </c>
      <c r="Q262" t="str">
        <f>_xlfn.XLOOKUP(B262,全店核心数据_bymonth!A:A,全店核心数据_bymonth!AN:AN)</f>
        <v>BU24</v>
      </c>
    </row>
    <row r="263" spans="1:17" x14ac:dyDescent="0.3">
      <c r="A263" t="s">
        <v>110</v>
      </c>
      <c r="B263" s="16">
        <v>45017</v>
      </c>
      <c r="C263" t="s">
        <v>3</v>
      </c>
      <c r="D263" t="s">
        <v>186</v>
      </c>
      <c r="E263">
        <v>13</v>
      </c>
      <c r="F263">
        <v>10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N263">
        <v>13</v>
      </c>
      <c r="O263">
        <f t="shared" si="8"/>
        <v>2023</v>
      </c>
      <c r="P263">
        <f t="shared" si="9"/>
        <v>4</v>
      </c>
      <c r="Q263" t="str">
        <f>_xlfn.XLOOKUP(B263,全店核心数据_bymonth!A:A,全店核心数据_bymonth!AN:AN)</f>
        <v>BU24</v>
      </c>
    </row>
    <row r="264" spans="1:17" x14ac:dyDescent="0.3">
      <c r="A264" t="s">
        <v>110</v>
      </c>
      <c r="B264" s="16">
        <v>45017</v>
      </c>
      <c r="C264" t="s">
        <v>3</v>
      </c>
      <c r="D264" t="s">
        <v>113</v>
      </c>
      <c r="E264">
        <v>2649</v>
      </c>
      <c r="F264">
        <v>2160</v>
      </c>
      <c r="G264">
        <v>46</v>
      </c>
      <c r="H264">
        <v>34</v>
      </c>
      <c r="I264">
        <v>6390</v>
      </c>
      <c r="J264">
        <v>1</v>
      </c>
      <c r="K264">
        <v>3195</v>
      </c>
      <c r="L264">
        <v>1</v>
      </c>
      <c r="N264">
        <v>1390</v>
      </c>
      <c r="O264">
        <f t="shared" si="8"/>
        <v>2023</v>
      </c>
      <c r="P264">
        <f t="shared" si="9"/>
        <v>4</v>
      </c>
      <c r="Q264" t="str">
        <f>_xlfn.XLOOKUP(B264,全店核心数据_bymonth!A:A,全店核心数据_bymonth!AN:AN)</f>
        <v>BU24</v>
      </c>
    </row>
    <row r="265" spans="1:17" x14ac:dyDescent="0.3">
      <c r="A265" t="s">
        <v>110</v>
      </c>
      <c r="B265" s="16">
        <v>45017</v>
      </c>
      <c r="C265" t="s">
        <v>3</v>
      </c>
      <c r="D265" t="s">
        <v>112</v>
      </c>
      <c r="E265">
        <v>37</v>
      </c>
      <c r="F265">
        <v>11</v>
      </c>
      <c r="G265">
        <v>1</v>
      </c>
      <c r="H265">
        <v>1</v>
      </c>
      <c r="I265">
        <v>4595</v>
      </c>
      <c r="J265">
        <v>1</v>
      </c>
      <c r="K265">
        <v>4595</v>
      </c>
      <c r="L265">
        <v>1</v>
      </c>
      <c r="N265">
        <v>36</v>
      </c>
      <c r="O265">
        <f t="shared" si="8"/>
        <v>2023</v>
      </c>
      <c r="P265">
        <f t="shared" si="9"/>
        <v>4</v>
      </c>
      <c r="Q265" t="str">
        <f>_xlfn.XLOOKUP(B265,全店核心数据_bymonth!A:A,全店核心数据_bymonth!AN:AN)</f>
        <v>BU24</v>
      </c>
    </row>
    <row r="266" spans="1:17" x14ac:dyDescent="0.3">
      <c r="A266" t="s">
        <v>110</v>
      </c>
      <c r="B266" s="16">
        <v>45474</v>
      </c>
      <c r="C266" t="s">
        <v>2</v>
      </c>
      <c r="D266" t="s">
        <v>4</v>
      </c>
      <c r="E266">
        <v>3774</v>
      </c>
      <c r="F266">
        <v>1959</v>
      </c>
      <c r="G266">
        <v>12</v>
      </c>
      <c r="H266">
        <v>19</v>
      </c>
      <c r="I266">
        <v>71870</v>
      </c>
      <c r="J266">
        <v>7</v>
      </c>
      <c r="K266">
        <v>53370</v>
      </c>
      <c r="L266">
        <v>6</v>
      </c>
      <c r="N266">
        <v>3574</v>
      </c>
      <c r="O266">
        <f t="shared" si="8"/>
        <v>2024</v>
      </c>
      <c r="P266">
        <f t="shared" si="9"/>
        <v>7</v>
      </c>
      <c r="Q266" t="str">
        <f>_xlfn.XLOOKUP(B266,全店核心数据_bymonth!A:A,全店核心数据_bymonth!AN:AN)</f>
        <v>BU25</v>
      </c>
    </row>
    <row r="267" spans="1:17" x14ac:dyDescent="0.3">
      <c r="A267" t="s">
        <v>110</v>
      </c>
      <c r="B267" s="16">
        <v>45474</v>
      </c>
      <c r="C267" t="s">
        <v>2</v>
      </c>
      <c r="D267" t="s">
        <v>57</v>
      </c>
      <c r="E267">
        <v>172139</v>
      </c>
      <c r="F267">
        <v>161536</v>
      </c>
      <c r="G267">
        <v>1794</v>
      </c>
      <c r="H267">
        <v>1579</v>
      </c>
      <c r="I267">
        <v>1794305</v>
      </c>
      <c r="J267">
        <v>220</v>
      </c>
      <c r="K267">
        <v>641295</v>
      </c>
      <c r="L267">
        <v>112</v>
      </c>
      <c r="N267">
        <v>171538</v>
      </c>
      <c r="O267">
        <f t="shared" si="8"/>
        <v>2024</v>
      </c>
      <c r="P267">
        <f t="shared" si="9"/>
        <v>7</v>
      </c>
      <c r="Q267" t="str">
        <f>_xlfn.XLOOKUP(B267,全店核心数据_bymonth!A:A,全店核心数据_bymonth!AN:AN)</f>
        <v>BU25</v>
      </c>
    </row>
    <row r="268" spans="1:17" x14ac:dyDescent="0.3">
      <c r="A268" t="s">
        <v>110</v>
      </c>
      <c r="B268" s="16">
        <v>45474</v>
      </c>
      <c r="C268" t="s">
        <v>2</v>
      </c>
      <c r="D268" t="s">
        <v>52</v>
      </c>
      <c r="E268">
        <v>14358</v>
      </c>
      <c r="F268">
        <v>13599</v>
      </c>
      <c r="G268">
        <v>254</v>
      </c>
      <c r="H268">
        <v>113</v>
      </c>
      <c r="I268">
        <v>171965</v>
      </c>
      <c r="J268">
        <v>35</v>
      </c>
      <c r="K268">
        <v>102770</v>
      </c>
      <c r="L268">
        <v>30</v>
      </c>
      <c r="N268">
        <v>7173</v>
      </c>
      <c r="O268">
        <f t="shared" si="8"/>
        <v>2024</v>
      </c>
      <c r="P268">
        <f t="shared" si="9"/>
        <v>7</v>
      </c>
      <c r="Q268" t="str">
        <f>_xlfn.XLOOKUP(B268,全店核心数据_bymonth!A:A,全店核心数据_bymonth!AN:AN)</f>
        <v>BU25</v>
      </c>
    </row>
    <row r="269" spans="1:17" x14ac:dyDescent="0.3">
      <c r="A269" t="s">
        <v>110</v>
      </c>
      <c r="B269" s="16">
        <v>45474</v>
      </c>
      <c r="C269" t="s">
        <v>2</v>
      </c>
      <c r="D269" t="s">
        <v>55</v>
      </c>
      <c r="E269">
        <v>42999</v>
      </c>
      <c r="F269">
        <v>38571</v>
      </c>
      <c r="G269">
        <v>29</v>
      </c>
      <c r="H269">
        <v>21</v>
      </c>
      <c r="I269">
        <v>0</v>
      </c>
      <c r="J269">
        <v>0</v>
      </c>
      <c r="K269">
        <v>0</v>
      </c>
      <c r="L269">
        <v>0</v>
      </c>
      <c r="N269">
        <v>6535</v>
      </c>
      <c r="O269">
        <f t="shared" si="8"/>
        <v>2024</v>
      </c>
      <c r="P269">
        <f t="shared" si="9"/>
        <v>7</v>
      </c>
      <c r="Q269" t="str">
        <f>_xlfn.XLOOKUP(B269,全店核心数据_bymonth!A:A,全店核心数据_bymonth!AN:AN)</f>
        <v>BU25</v>
      </c>
    </row>
    <row r="270" spans="1:17" x14ac:dyDescent="0.3">
      <c r="A270" t="s">
        <v>110</v>
      </c>
      <c r="B270" s="16">
        <v>45474</v>
      </c>
      <c r="C270" t="s">
        <v>3</v>
      </c>
      <c r="D270" t="s">
        <v>155</v>
      </c>
      <c r="E270">
        <v>79</v>
      </c>
      <c r="F270">
        <v>68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N270">
        <v>79</v>
      </c>
      <c r="O270">
        <f t="shared" si="8"/>
        <v>2024</v>
      </c>
      <c r="P270">
        <f t="shared" si="9"/>
        <v>7</v>
      </c>
      <c r="Q270" t="str">
        <f>_xlfn.XLOOKUP(B270,全店核心数据_bymonth!A:A,全店核心数据_bymonth!AN:AN)</f>
        <v>BU25</v>
      </c>
    </row>
    <row r="271" spans="1:17" x14ac:dyDescent="0.3">
      <c r="A271" t="s">
        <v>110</v>
      </c>
      <c r="B271" s="16">
        <v>45474</v>
      </c>
      <c r="C271" t="s">
        <v>3</v>
      </c>
      <c r="D271" t="s">
        <v>154</v>
      </c>
      <c r="E271">
        <v>4782</v>
      </c>
      <c r="F271">
        <v>4539</v>
      </c>
      <c r="G271">
        <v>1</v>
      </c>
      <c r="H271">
        <v>2</v>
      </c>
      <c r="I271">
        <v>0</v>
      </c>
      <c r="J271">
        <v>0</v>
      </c>
      <c r="K271">
        <v>0</v>
      </c>
      <c r="L271">
        <v>0</v>
      </c>
      <c r="N271">
        <v>60</v>
      </c>
      <c r="O271">
        <f t="shared" si="8"/>
        <v>2024</v>
      </c>
      <c r="P271">
        <f t="shared" si="9"/>
        <v>7</v>
      </c>
      <c r="Q271" t="str">
        <f>_xlfn.XLOOKUP(B271,全店核心数据_bymonth!A:A,全店核心数据_bymonth!AN:AN)</f>
        <v>BU25</v>
      </c>
    </row>
    <row r="272" spans="1:17" x14ac:dyDescent="0.3">
      <c r="A272" t="s">
        <v>110</v>
      </c>
      <c r="B272" s="16">
        <v>45474</v>
      </c>
      <c r="C272" t="s">
        <v>3</v>
      </c>
      <c r="D272" t="s">
        <v>153</v>
      </c>
      <c r="E272">
        <v>2046</v>
      </c>
      <c r="F272">
        <v>1202</v>
      </c>
      <c r="G272">
        <v>155</v>
      </c>
      <c r="H272">
        <v>25</v>
      </c>
      <c r="I272">
        <v>594795</v>
      </c>
      <c r="J272">
        <v>108</v>
      </c>
      <c r="K272">
        <v>534070</v>
      </c>
      <c r="L272">
        <v>100</v>
      </c>
      <c r="N272">
        <v>1938</v>
      </c>
      <c r="O272">
        <f t="shared" si="8"/>
        <v>2024</v>
      </c>
      <c r="P272">
        <f t="shared" si="9"/>
        <v>7</v>
      </c>
      <c r="Q272" t="str">
        <f>_xlfn.XLOOKUP(B272,全店核心数据_bymonth!A:A,全店核心数据_bymonth!AN:AN)</f>
        <v>BU25</v>
      </c>
    </row>
    <row r="273" spans="1:17" x14ac:dyDescent="0.3">
      <c r="A273" t="s">
        <v>110</v>
      </c>
      <c r="B273" s="16">
        <v>45474</v>
      </c>
      <c r="C273" t="s">
        <v>3</v>
      </c>
      <c r="D273" t="s">
        <v>152</v>
      </c>
      <c r="E273">
        <v>82</v>
      </c>
      <c r="F273">
        <v>35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0</v>
      </c>
      <c r="N273">
        <v>58</v>
      </c>
      <c r="O273">
        <f t="shared" si="8"/>
        <v>2024</v>
      </c>
      <c r="P273">
        <f t="shared" si="9"/>
        <v>7</v>
      </c>
      <c r="Q273" t="str">
        <f>_xlfn.XLOOKUP(B273,全店核心数据_bymonth!A:A,全店核心数据_bymonth!AN:AN)</f>
        <v>BU25</v>
      </c>
    </row>
    <row r="274" spans="1:17" x14ac:dyDescent="0.3">
      <c r="A274" t="s">
        <v>110</v>
      </c>
      <c r="B274" s="16">
        <v>45474</v>
      </c>
      <c r="C274" t="s">
        <v>3</v>
      </c>
      <c r="D274" t="s">
        <v>150</v>
      </c>
      <c r="E274">
        <v>67</v>
      </c>
      <c r="F274">
        <v>28</v>
      </c>
      <c r="G274">
        <v>1</v>
      </c>
      <c r="H274">
        <v>1</v>
      </c>
      <c r="I274">
        <v>0</v>
      </c>
      <c r="J274">
        <v>0</v>
      </c>
      <c r="K274">
        <v>0</v>
      </c>
      <c r="L274">
        <v>0</v>
      </c>
      <c r="N274">
        <v>67</v>
      </c>
      <c r="O274">
        <f t="shared" si="8"/>
        <v>2024</v>
      </c>
      <c r="P274">
        <f t="shared" si="9"/>
        <v>7</v>
      </c>
      <c r="Q274" t="str">
        <f>_xlfn.XLOOKUP(B274,全店核心数据_bymonth!A:A,全店核心数据_bymonth!AN:AN)</f>
        <v>BU25</v>
      </c>
    </row>
    <row r="275" spans="1:17" x14ac:dyDescent="0.3">
      <c r="A275" t="s">
        <v>110</v>
      </c>
      <c r="B275" s="16">
        <v>45474</v>
      </c>
      <c r="C275" t="s">
        <v>3</v>
      </c>
      <c r="D275" t="s">
        <v>149</v>
      </c>
      <c r="E275">
        <v>1231</v>
      </c>
      <c r="F275">
        <v>887</v>
      </c>
      <c r="G275">
        <v>16</v>
      </c>
      <c r="H275">
        <v>20</v>
      </c>
      <c r="I275">
        <v>3195</v>
      </c>
      <c r="J275">
        <v>1</v>
      </c>
      <c r="K275">
        <v>3195</v>
      </c>
      <c r="L275">
        <v>1</v>
      </c>
      <c r="N275">
        <v>951</v>
      </c>
      <c r="O275">
        <f t="shared" si="8"/>
        <v>2024</v>
      </c>
      <c r="P275">
        <f t="shared" si="9"/>
        <v>7</v>
      </c>
      <c r="Q275" t="str">
        <f>_xlfn.XLOOKUP(B275,全店核心数据_bymonth!A:A,全店核心数据_bymonth!AN:AN)</f>
        <v>BU25</v>
      </c>
    </row>
    <row r="276" spans="1:17" x14ac:dyDescent="0.3">
      <c r="A276" t="s">
        <v>110</v>
      </c>
      <c r="B276" s="16">
        <v>45474</v>
      </c>
      <c r="C276" t="s">
        <v>3</v>
      </c>
      <c r="D276" t="s">
        <v>148</v>
      </c>
      <c r="E276">
        <v>18</v>
      </c>
      <c r="F276">
        <v>16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N276">
        <v>5</v>
      </c>
      <c r="O276">
        <f t="shared" si="8"/>
        <v>2024</v>
      </c>
      <c r="P276">
        <f t="shared" si="9"/>
        <v>7</v>
      </c>
      <c r="Q276" t="str">
        <f>_xlfn.XLOOKUP(B276,全店核心数据_bymonth!A:A,全店核心数据_bymonth!AN:AN)</f>
        <v>BU25</v>
      </c>
    </row>
    <row r="277" spans="1:17" x14ac:dyDescent="0.3">
      <c r="A277" t="s">
        <v>110</v>
      </c>
      <c r="B277" s="16">
        <v>45474</v>
      </c>
      <c r="C277" t="s">
        <v>3</v>
      </c>
      <c r="D277" t="s">
        <v>226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N277">
        <v>0</v>
      </c>
      <c r="O277">
        <f t="shared" si="8"/>
        <v>2024</v>
      </c>
      <c r="P277">
        <f t="shared" si="9"/>
        <v>7</v>
      </c>
      <c r="Q277" t="str">
        <f>_xlfn.XLOOKUP(B277,全店核心数据_bymonth!A:A,全店核心数据_bymonth!AN:AN)</f>
        <v>BU25</v>
      </c>
    </row>
    <row r="278" spans="1:17" x14ac:dyDescent="0.3">
      <c r="A278" t="s">
        <v>110</v>
      </c>
      <c r="B278" s="16">
        <v>45474</v>
      </c>
      <c r="C278" t="s">
        <v>3</v>
      </c>
      <c r="D278" t="s">
        <v>146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N278">
        <v>1</v>
      </c>
      <c r="O278">
        <f t="shared" si="8"/>
        <v>2024</v>
      </c>
      <c r="P278">
        <f t="shared" si="9"/>
        <v>7</v>
      </c>
      <c r="Q278" t="str">
        <f>_xlfn.XLOOKUP(B278,全店核心数据_bymonth!A:A,全店核心数据_bymonth!AN:AN)</f>
        <v>BU25</v>
      </c>
    </row>
    <row r="279" spans="1:17" x14ac:dyDescent="0.3">
      <c r="A279" t="s">
        <v>110</v>
      </c>
      <c r="B279" s="16">
        <v>45474</v>
      </c>
      <c r="C279" t="s">
        <v>3</v>
      </c>
      <c r="D279" t="s">
        <v>251</v>
      </c>
      <c r="E279">
        <v>15713</v>
      </c>
      <c r="F279">
        <v>14222</v>
      </c>
      <c r="G279">
        <v>65</v>
      </c>
      <c r="H279">
        <v>65</v>
      </c>
      <c r="I279">
        <v>123840</v>
      </c>
      <c r="J279">
        <v>20</v>
      </c>
      <c r="K279">
        <v>111450</v>
      </c>
      <c r="L279">
        <v>19</v>
      </c>
      <c r="N279">
        <v>2783</v>
      </c>
      <c r="O279">
        <f t="shared" si="8"/>
        <v>2024</v>
      </c>
      <c r="P279">
        <f t="shared" si="9"/>
        <v>7</v>
      </c>
      <c r="Q279" t="str">
        <f>_xlfn.XLOOKUP(B279,全店核心数据_bymonth!A:A,全店核心数据_bymonth!AN:AN)</f>
        <v>BU25</v>
      </c>
    </row>
    <row r="280" spans="1:17" x14ac:dyDescent="0.3">
      <c r="A280" t="s">
        <v>110</v>
      </c>
      <c r="B280" s="16">
        <v>45474</v>
      </c>
      <c r="C280" t="s">
        <v>3</v>
      </c>
      <c r="D280" t="s">
        <v>143</v>
      </c>
      <c r="E280">
        <v>179</v>
      </c>
      <c r="F280">
        <v>168</v>
      </c>
      <c r="G280">
        <v>2</v>
      </c>
      <c r="H280">
        <v>2</v>
      </c>
      <c r="I280">
        <v>0</v>
      </c>
      <c r="J280">
        <v>0</v>
      </c>
      <c r="K280">
        <v>0</v>
      </c>
      <c r="L280">
        <v>0</v>
      </c>
      <c r="N280">
        <v>179</v>
      </c>
      <c r="O280">
        <f t="shared" si="8"/>
        <v>2024</v>
      </c>
      <c r="P280">
        <f t="shared" si="9"/>
        <v>7</v>
      </c>
      <c r="Q280" t="str">
        <f>_xlfn.XLOOKUP(B280,全店核心数据_bymonth!A:A,全店核心数据_bymonth!AN:AN)</f>
        <v>BU25</v>
      </c>
    </row>
    <row r="281" spans="1:17" x14ac:dyDescent="0.3">
      <c r="A281" t="s">
        <v>110</v>
      </c>
      <c r="B281" s="16">
        <v>45474</v>
      </c>
      <c r="C281" t="s">
        <v>3</v>
      </c>
      <c r="D281" t="s">
        <v>141</v>
      </c>
      <c r="E281">
        <v>45</v>
      </c>
      <c r="F281">
        <v>44</v>
      </c>
      <c r="G281">
        <v>0</v>
      </c>
      <c r="H281">
        <v>0</v>
      </c>
      <c r="I281">
        <v>4765</v>
      </c>
      <c r="J281">
        <v>2</v>
      </c>
      <c r="K281">
        <v>4765</v>
      </c>
      <c r="L281">
        <v>2</v>
      </c>
      <c r="N281">
        <v>35</v>
      </c>
      <c r="O281">
        <f t="shared" si="8"/>
        <v>2024</v>
      </c>
      <c r="P281">
        <f t="shared" si="9"/>
        <v>7</v>
      </c>
      <c r="Q281" t="str">
        <f>_xlfn.XLOOKUP(B281,全店核心数据_bymonth!A:A,全店核心数据_bymonth!AN:AN)</f>
        <v>BU25</v>
      </c>
    </row>
    <row r="282" spans="1:17" x14ac:dyDescent="0.3">
      <c r="A282" t="s">
        <v>110</v>
      </c>
      <c r="B282" s="16">
        <v>45474</v>
      </c>
      <c r="C282" t="s">
        <v>3</v>
      </c>
      <c r="D282" t="s">
        <v>140</v>
      </c>
      <c r="E282">
        <v>65</v>
      </c>
      <c r="F282">
        <v>58</v>
      </c>
      <c r="G282">
        <v>4</v>
      </c>
      <c r="H282">
        <v>4</v>
      </c>
      <c r="I282">
        <v>12645</v>
      </c>
      <c r="J282">
        <v>2</v>
      </c>
      <c r="K282">
        <v>12645</v>
      </c>
      <c r="L282">
        <v>2</v>
      </c>
      <c r="N282">
        <v>60</v>
      </c>
      <c r="O282">
        <f t="shared" si="8"/>
        <v>2024</v>
      </c>
      <c r="P282">
        <f t="shared" si="9"/>
        <v>7</v>
      </c>
      <c r="Q282" t="str">
        <f>_xlfn.XLOOKUP(B282,全店核心数据_bymonth!A:A,全店核心数据_bymonth!AN:AN)</f>
        <v>BU25</v>
      </c>
    </row>
    <row r="283" spans="1:17" x14ac:dyDescent="0.3">
      <c r="A283" t="s">
        <v>110</v>
      </c>
      <c r="B283" s="16">
        <v>45474</v>
      </c>
      <c r="C283" t="s">
        <v>3</v>
      </c>
      <c r="D283" t="s">
        <v>139</v>
      </c>
      <c r="E283">
        <v>7240</v>
      </c>
      <c r="F283">
        <v>5239</v>
      </c>
      <c r="G283">
        <v>133</v>
      </c>
      <c r="H283">
        <v>72</v>
      </c>
      <c r="I283">
        <v>364310</v>
      </c>
      <c r="J283">
        <v>70</v>
      </c>
      <c r="K283">
        <v>284355</v>
      </c>
      <c r="L283">
        <v>60</v>
      </c>
      <c r="N283">
        <v>4718</v>
      </c>
      <c r="O283">
        <f t="shared" si="8"/>
        <v>2024</v>
      </c>
      <c r="P283">
        <f t="shared" si="9"/>
        <v>7</v>
      </c>
      <c r="Q283" t="str">
        <f>_xlfn.XLOOKUP(B283,全店核心数据_bymonth!A:A,全店核心数据_bymonth!AN:AN)</f>
        <v>BU25</v>
      </c>
    </row>
    <row r="284" spans="1:17" x14ac:dyDescent="0.3">
      <c r="A284" t="s">
        <v>110</v>
      </c>
      <c r="B284" s="16">
        <v>45474</v>
      </c>
      <c r="C284" t="s">
        <v>3</v>
      </c>
      <c r="D284" t="s">
        <v>138</v>
      </c>
      <c r="E284">
        <v>219</v>
      </c>
      <c r="F284">
        <v>141</v>
      </c>
      <c r="G284">
        <v>3</v>
      </c>
      <c r="H284">
        <v>2</v>
      </c>
      <c r="I284">
        <v>0</v>
      </c>
      <c r="J284">
        <v>0</v>
      </c>
      <c r="K284">
        <v>0</v>
      </c>
      <c r="L284">
        <v>0</v>
      </c>
      <c r="N284">
        <v>204</v>
      </c>
      <c r="O284">
        <f t="shared" si="8"/>
        <v>2024</v>
      </c>
      <c r="P284">
        <f t="shared" si="9"/>
        <v>7</v>
      </c>
      <c r="Q284" t="str">
        <f>_xlfn.XLOOKUP(B284,全店核心数据_bymonth!A:A,全店核心数据_bymonth!AN:AN)</f>
        <v>BU25</v>
      </c>
    </row>
    <row r="285" spans="1:17" x14ac:dyDescent="0.3">
      <c r="A285" t="s">
        <v>110</v>
      </c>
      <c r="B285" s="16">
        <v>45474</v>
      </c>
      <c r="C285" t="s">
        <v>3</v>
      </c>
      <c r="D285" t="s">
        <v>137</v>
      </c>
      <c r="E285">
        <v>54</v>
      </c>
      <c r="F285">
        <v>35</v>
      </c>
      <c r="G285">
        <v>1</v>
      </c>
      <c r="H285">
        <v>1</v>
      </c>
      <c r="I285">
        <v>9530</v>
      </c>
      <c r="J285">
        <v>2</v>
      </c>
      <c r="K285">
        <v>7295</v>
      </c>
      <c r="L285">
        <v>1</v>
      </c>
      <c r="N285">
        <v>54</v>
      </c>
      <c r="O285">
        <f t="shared" si="8"/>
        <v>2024</v>
      </c>
      <c r="P285">
        <f t="shared" si="9"/>
        <v>7</v>
      </c>
      <c r="Q285" t="str">
        <f>_xlfn.XLOOKUP(B285,全店核心数据_bymonth!A:A,全店核心数据_bymonth!AN:AN)</f>
        <v>BU25</v>
      </c>
    </row>
    <row r="286" spans="1:17" x14ac:dyDescent="0.3">
      <c r="A286" t="s">
        <v>110</v>
      </c>
      <c r="B286" s="16">
        <v>45474</v>
      </c>
      <c r="C286" t="s">
        <v>3</v>
      </c>
      <c r="D286" t="s">
        <v>135</v>
      </c>
      <c r="E286">
        <v>20</v>
      </c>
      <c r="F286">
        <v>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N286">
        <v>15</v>
      </c>
      <c r="O286">
        <f t="shared" si="8"/>
        <v>2024</v>
      </c>
      <c r="P286">
        <f t="shared" si="9"/>
        <v>7</v>
      </c>
      <c r="Q286" t="str">
        <f>_xlfn.XLOOKUP(B286,全店核心数据_bymonth!A:A,全店核心数据_bymonth!AN:AN)</f>
        <v>BU25</v>
      </c>
    </row>
    <row r="287" spans="1:17" x14ac:dyDescent="0.3">
      <c r="A287" t="s">
        <v>110</v>
      </c>
      <c r="B287" s="16">
        <v>45474</v>
      </c>
      <c r="C287" t="s">
        <v>3</v>
      </c>
      <c r="D287" t="s">
        <v>133</v>
      </c>
      <c r="E287">
        <v>236</v>
      </c>
      <c r="F287">
        <v>163</v>
      </c>
      <c r="G287">
        <v>6</v>
      </c>
      <c r="H287">
        <v>0</v>
      </c>
      <c r="I287">
        <v>28640</v>
      </c>
      <c r="J287">
        <v>4</v>
      </c>
      <c r="K287">
        <v>15140</v>
      </c>
      <c r="L287">
        <v>3</v>
      </c>
      <c r="N287">
        <v>211</v>
      </c>
      <c r="O287">
        <f t="shared" si="8"/>
        <v>2024</v>
      </c>
      <c r="P287">
        <f t="shared" si="9"/>
        <v>7</v>
      </c>
      <c r="Q287" t="str">
        <f>_xlfn.XLOOKUP(B287,全店核心数据_bymonth!A:A,全店核心数据_bymonth!AN:AN)</f>
        <v>BU25</v>
      </c>
    </row>
    <row r="288" spans="1:17" x14ac:dyDescent="0.3">
      <c r="A288" t="s">
        <v>110</v>
      </c>
      <c r="B288" s="16">
        <v>45474</v>
      </c>
      <c r="C288" t="s">
        <v>3</v>
      </c>
      <c r="D288" t="s">
        <v>132</v>
      </c>
      <c r="E288">
        <v>8</v>
      </c>
      <c r="F288">
        <v>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N288">
        <v>8</v>
      </c>
      <c r="O288">
        <f t="shared" si="8"/>
        <v>2024</v>
      </c>
      <c r="P288">
        <f t="shared" si="9"/>
        <v>7</v>
      </c>
      <c r="Q288" t="str">
        <f>_xlfn.XLOOKUP(B288,全店核心数据_bymonth!A:A,全店核心数据_bymonth!AN:AN)</f>
        <v>BU25</v>
      </c>
    </row>
    <row r="289" spans="1:17" x14ac:dyDescent="0.3">
      <c r="A289" t="s">
        <v>110</v>
      </c>
      <c r="B289" s="16">
        <v>45474</v>
      </c>
      <c r="C289" t="s">
        <v>3</v>
      </c>
      <c r="D289" t="s">
        <v>130</v>
      </c>
      <c r="E289">
        <v>1853</v>
      </c>
      <c r="F289">
        <v>1336</v>
      </c>
      <c r="G289">
        <v>71</v>
      </c>
      <c r="H289">
        <v>22</v>
      </c>
      <c r="I289">
        <v>216095.96</v>
      </c>
      <c r="J289">
        <v>47</v>
      </c>
      <c r="K289">
        <v>212560.96</v>
      </c>
      <c r="L289">
        <v>47</v>
      </c>
      <c r="N289">
        <v>1672</v>
      </c>
      <c r="O289">
        <f t="shared" si="8"/>
        <v>2024</v>
      </c>
      <c r="P289">
        <f t="shared" si="9"/>
        <v>7</v>
      </c>
      <c r="Q289" t="str">
        <f>_xlfn.XLOOKUP(B289,全店核心数据_bymonth!A:A,全店核心数据_bymonth!AN:AN)</f>
        <v>BU25</v>
      </c>
    </row>
    <row r="290" spans="1:17" x14ac:dyDescent="0.3">
      <c r="A290" t="s">
        <v>110</v>
      </c>
      <c r="B290" s="16">
        <v>45474</v>
      </c>
      <c r="C290" t="s">
        <v>3</v>
      </c>
      <c r="D290" t="s">
        <v>129</v>
      </c>
      <c r="E290">
        <v>3</v>
      </c>
      <c r="F290">
        <v>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N290">
        <v>3</v>
      </c>
      <c r="O290">
        <f t="shared" si="8"/>
        <v>2024</v>
      </c>
      <c r="P290">
        <f t="shared" si="9"/>
        <v>7</v>
      </c>
      <c r="Q290" t="str">
        <f>_xlfn.XLOOKUP(B290,全店核心数据_bymonth!A:A,全店核心数据_bymonth!AN:AN)</f>
        <v>BU25</v>
      </c>
    </row>
    <row r="291" spans="1:17" x14ac:dyDescent="0.3">
      <c r="A291" t="s">
        <v>110</v>
      </c>
      <c r="B291" s="16">
        <v>45474</v>
      </c>
      <c r="C291" t="s">
        <v>3</v>
      </c>
      <c r="D291" t="s">
        <v>128</v>
      </c>
      <c r="E291">
        <v>8885</v>
      </c>
      <c r="F291">
        <v>7837</v>
      </c>
      <c r="G291">
        <v>220</v>
      </c>
      <c r="H291">
        <v>104</v>
      </c>
      <c r="I291">
        <v>239845</v>
      </c>
      <c r="J291">
        <v>50</v>
      </c>
      <c r="K291">
        <v>150365</v>
      </c>
      <c r="L291">
        <v>40</v>
      </c>
      <c r="N291">
        <v>7348</v>
      </c>
      <c r="O291">
        <f t="shared" si="8"/>
        <v>2024</v>
      </c>
      <c r="P291">
        <f t="shared" si="9"/>
        <v>7</v>
      </c>
      <c r="Q291" t="str">
        <f>_xlfn.XLOOKUP(B291,全店核心数据_bymonth!A:A,全店核心数据_bymonth!AN:AN)</f>
        <v>BU25</v>
      </c>
    </row>
    <row r="292" spans="1:17" x14ac:dyDescent="0.3">
      <c r="A292" t="s">
        <v>110</v>
      </c>
      <c r="B292" s="16">
        <v>45474</v>
      </c>
      <c r="C292" t="s">
        <v>3</v>
      </c>
      <c r="D292" t="s">
        <v>127</v>
      </c>
      <c r="E292">
        <v>16326</v>
      </c>
      <c r="F292">
        <v>13933</v>
      </c>
      <c r="G292">
        <v>90</v>
      </c>
      <c r="H292">
        <v>54</v>
      </c>
      <c r="I292">
        <v>57280</v>
      </c>
      <c r="J292">
        <v>15</v>
      </c>
      <c r="K292">
        <v>51780</v>
      </c>
      <c r="L292">
        <v>14</v>
      </c>
      <c r="N292">
        <v>4882</v>
      </c>
      <c r="O292">
        <f t="shared" si="8"/>
        <v>2024</v>
      </c>
      <c r="P292">
        <f t="shared" si="9"/>
        <v>7</v>
      </c>
      <c r="Q292" t="str">
        <f>_xlfn.XLOOKUP(B292,全店核心数据_bymonth!A:A,全店核心数据_bymonth!AN:AN)</f>
        <v>BU25</v>
      </c>
    </row>
    <row r="293" spans="1:17" x14ac:dyDescent="0.3">
      <c r="A293" t="s">
        <v>110</v>
      </c>
      <c r="B293" s="16">
        <v>45474</v>
      </c>
      <c r="C293" t="s">
        <v>3</v>
      </c>
      <c r="D293" t="s">
        <v>126</v>
      </c>
      <c r="E293">
        <v>2673</v>
      </c>
      <c r="F293">
        <v>2367</v>
      </c>
      <c r="G293">
        <v>57</v>
      </c>
      <c r="H293">
        <v>55</v>
      </c>
      <c r="I293">
        <v>81320</v>
      </c>
      <c r="J293">
        <v>7</v>
      </c>
      <c r="K293">
        <v>47635</v>
      </c>
      <c r="L293">
        <v>6</v>
      </c>
      <c r="N293">
        <v>2585</v>
      </c>
      <c r="O293">
        <f t="shared" si="8"/>
        <v>2024</v>
      </c>
      <c r="P293">
        <f t="shared" si="9"/>
        <v>7</v>
      </c>
      <c r="Q293" t="str">
        <f>_xlfn.XLOOKUP(B293,全店核心数据_bymonth!A:A,全店核心数据_bymonth!AN:AN)</f>
        <v>BU25</v>
      </c>
    </row>
    <row r="294" spans="1:17" x14ac:dyDescent="0.3">
      <c r="A294" t="s">
        <v>110</v>
      </c>
      <c r="B294" s="16">
        <v>45474</v>
      </c>
      <c r="C294" t="s">
        <v>3</v>
      </c>
      <c r="D294" t="s">
        <v>125</v>
      </c>
      <c r="E294">
        <v>39</v>
      </c>
      <c r="F294">
        <v>26</v>
      </c>
      <c r="G294">
        <v>1</v>
      </c>
      <c r="H294">
        <v>1</v>
      </c>
      <c r="I294">
        <v>2995</v>
      </c>
      <c r="J294">
        <v>1</v>
      </c>
      <c r="K294">
        <v>2995</v>
      </c>
      <c r="L294">
        <v>1</v>
      </c>
      <c r="N294">
        <v>31</v>
      </c>
      <c r="O294">
        <f t="shared" si="8"/>
        <v>2024</v>
      </c>
      <c r="P294">
        <f t="shared" si="9"/>
        <v>7</v>
      </c>
      <c r="Q294" t="str">
        <f>_xlfn.XLOOKUP(B294,全店核心数据_bymonth!A:A,全店核心数据_bymonth!AN:AN)</f>
        <v>BU25</v>
      </c>
    </row>
    <row r="295" spans="1:17" x14ac:dyDescent="0.3">
      <c r="A295" t="s">
        <v>110</v>
      </c>
      <c r="B295" s="16">
        <v>45474</v>
      </c>
      <c r="C295" t="s">
        <v>3</v>
      </c>
      <c r="D295" t="s">
        <v>123</v>
      </c>
      <c r="E295">
        <v>1486</v>
      </c>
      <c r="F295">
        <v>876</v>
      </c>
      <c r="G295">
        <v>34</v>
      </c>
      <c r="H295">
        <v>27</v>
      </c>
      <c r="I295">
        <v>15135</v>
      </c>
      <c r="J295">
        <v>5</v>
      </c>
      <c r="K295">
        <v>12340</v>
      </c>
      <c r="L295">
        <v>4</v>
      </c>
      <c r="N295">
        <v>1172</v>
      </c>
      <c r="O295">
        <f t="shared" si="8"/>
        <v>2024</v>
      </c>
      <c r="P295">
        <f t="shared" si="9"/>
        <v>7</v>
      </c>
      <c r="Q295" t="str">
        <f>_xlfn.XLOOKUP(B295,全店核心数据_bymonth!A:A,全店核心数据_bymonth!AN:AN)</f>
        <v>BU25</v>
      </c>
    </row>
    <row r="296" spans="1:17" x14ac:dyDescent="0.3">
      <c r="A296" t="s">
        <v>110</v>
      </c>
      <c r="B296" s="16">
        <v>45474</v>
      </c>
      <c r="C296" t="s">
        <v>3</v>
      </c>
      <c r="D296" t="s">
        <v>121</v>
      </c>
      <c r="E296">
        <v>18</v>
      </c>
      <c r="F296">
        <v>17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N296">
        <v>15</v>
      </c>
      <c r="O296">
        <f t="shared" si="8"/>
        <v>2024</v>
      </c>
      <c r="P296">
        <f t="shared" si="9"/>
        <v>7</v>
      </c>
      <c r="Q296" t="str">
        <f>_xlfn.XLOOKUP(B296,全店核心数据_bymonth!A:A,全店核心数据_bymonth!AN:AN)</f>
        <v>BU25</v>
      </c>
    </row>
    <row r="297" spans="1:17" x14ac:dyDescent="0.3">
      <c r="A297" t="s">
        <v>110</v>
      </c>
      <c r="B297" s="16">
        <v>45474</v>
      </c>
      <c r="C297" t="s">
        <v>3</v>
      </c>
      <c r="D297" t="s">
        <v>120</v>
      </c>
      <c r="E297">
        <v>2874</v>
      </c>
      <c r="F297">
        <v>2510</v>
      </c>
      <c r="G297">
        <v>13</v>
      </c>
      <c r="H297">
        <v>0</v>
      </c>
      <c r="I297">
        <v>73700</v>
      </c>
      <c r="J297">
        <v>10</v>
      </c>
      <c r="K297">
        <v>65850</v>
      </c>
      <c r="L297">
        <v>10</v>
      </c>
      <c r="N297">
        <v>2740</v>
      </c>
      <c r="O297">
        <f t="shared" si="8"/>
        <v>2024</v>
      </c>
      <c r="P297">
        <f t="shared" si="9"/>
        <v>7</v>
      </c>
      <c r="Q297" t="str">
        <f>_xlfn.XLOOKUP(B297,全店核心数据_bymonth!A:A,全店核心数据_bymonth!AN:AN)</f>
        <v>BU25</v>
      </c>
    </row>
    <row r="298" spans="1:17" x14ac:dyDescent="0.3">
      <c r="A298" t="s">
        <v>110</v>
      </c>
      <c r="B298" s="16">
        <v>45474</v>
      </c>
      <c r="C298" t="s">
        <v>3</v>
      </c>
      <c r="D298" t="s">
        <v>119</v>
      </c>
      <c r="E298">
        <v>2088</v>
      </c>
      <c r="F298">
        <v>1265</v>
      </c>
      <c r="G298">
        <v>62</v>
      </c>
      <c r="H298">
        <v>54</v>
      </c>
      <c r="I298">
        <v>212455</v>
      </c>
      <c r="J298">
        <v>42</v>
      </c>
      <c r="K298">
        <v>183285</v>
      </c>
      <c r="L298">
        <v>39</v>
      </c>
      <c r="N298">
        <v>1983</v>
      </c>
      <c r="O298">
        <f t="shared" si="8"/>
        <v>2024</v>
      </c>
      <c r="P298">
        <f t="shared" si="9"/>
        <v>7</v>
      </c>
      <c r="Q298" t="str">
        <f>_xlfn.XLOOKUP(B298,全店核心数据_bymonth!A:A,全店核心数据_bymonth!AN:AN)</f>
        <v>BU25</v>
      </c>
    </row>
    <row r="299" spans="1:17" x14ac:dyDescent="0.3">
      <c r="A299" t="s">
        <v>110</v>
      </c>
      <c r="B299" s="16">
        <v>45474</v>
      </c>
      <c r="C299" t="s">
        <v>3</v>
      </c>
      <c r="D299" t="s">
        <v>252</v>
      </c>
      <c r="E299">
        <v>76</v>
      </c>
      <c r="F299">
        <v>64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0</v>
      </c>
      <c r="N299">
        <v>76</v>
      </c>
      <c r="O299">
        <f t="shared" si="8"/>
        <v>2024</v>
      </c>
      <c r="P299">
        <f t="shared" si="9"/>
        <v>7</v>
      </c>
      <c r="Q299" t="str">
        <f>_xlfn.XLOOKUP(B299,全店核心数据_bymonth!A:A,全店核心数据_bymonth!AN:AN)</f>
        <v>BU25</v>
      </c>
    </row>
    <row r="300" spans="1:17" x14ac:dyDescent="0.3">
      <c r="A300" t="s">
        <v>110</v>
      </c>
      <c r="B300" s="16">
        <v>45474</v>
      </c>
      <c r="C300" t="s">
        <v>3</v>
      </c>
      <c r="D300" t="s">
        <v>117</v>
      </c>
      <c r="E300">
        <v>39</v>
      </c>
      <c r="F300">
        <v>39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N300">
        <v>39</v>
      </c>
      <c r="O300">
        <f t="shared" si="8"/>
        <v>2024</v>
      </c>
      <c r="P300">
        <f t="shared" si="9"/>
        <v>7</v>
      </c>
      <c r="Q300" t="str">
        <f>_xlfn.XLOOKUP(B300,全店核心数据_bymonth!A:A,全店核心数据_bymonth!AN:AN)</f>
        <v>BU25</v>
      </c>
    </row>
    <row r="301" spans="1:17" x14ac:dyDescent="0.3">
      <c r="A301" t="s">
        <v>110</v>
      </c>
      <c r="B301" s="16">
        <v>45474</v>
      </c>
      <c r="C301" t="s">
        <v>3</v>
      </c>
      <c r="D301" t="s">
        <v>115</v>
      </c>
      <c r="E301">
        <v>43</v>
      </c>
      <c r="F301">
        <v>26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N301">
        <v>41</v>
      </c>
      <c r="O301">
        <f t="shared" si="8"/>
        <v>2024</v>
      </c>
      <c r="P301">
        <f t="shared" si="9"/>
        <v>7</v>
      </c>
      <c r="Q301" t="str">
        <f>_xlfn.XLOOKUP(B301,全店核心数据_bymonth!A:A,全店核心数据_bymonth!AN:AN)</f>
        <v>BU25</v>
      </c>
    </row>
    <row r="302" spans="1:17" x14ac:dyDescent="0.3">
      <c r="A302" t="s">
        <v>110</v>
      </c>
      <c r="B302" s="16">
        <v>45474</v>
      </c>
      <c r="C302" t="s">
        <v>3</v>
      </c>
      <c r="D302" t="s">
        <v>113</v>
      </c>
      <c r="E302">
        <v>1621</v>
      </c>
      <c r="F302">
        <v>1322</v>
      </c>
      <c r="G302">
        <v>19</v>
      </c>
      <c r="H302">
        <v>12</v>
      </c>
      <c r="I302">
        <v>11510</v>
      </c>
      <c r="J302">
        <v>2</v>
      </c>
      <c r="K302">
        <v>2445</v>
      </c>
      <c r="L302">
        <v>1</v>
      </c>
      <c r="N302">
        <v>700</v>
      </c>
      <c r="O302">
        <f t="shared" si="8"/>
        <v>2024</v>
      </c>
      <c r="P302">
        <f t="shared" si="9"/>
        <v>7</v>
      </c>
      <c r="Q302" t="str">
        <f>_xlfn.XLOOKUP(B302,全店核心数据_bymonth!A:A,全店核心数据_bymonth!AN:AN)</f>
        <v>BU25</v>
      </c>
    </row>
    <row r="303" spans="1:17" x14ac:dyDescent="0.3">
      <c r="A303" t="s">
        <v>110</v>
      </c>
      <c r="B303" s="16">
        <v>45474</v>
      </c>
      <c r="C303" t="s">
        <v>3</v>
      </c>
      <c r="D303" t="s">
        <v>112</v>
      </c>
      <c r="E303">
        <v>64</v>
      </c>
      <c r="F303">
        <v>27</v>
      </c>
      <c r="G303">
        <v>1</v>
      </c>
      <c r="H303">
        <v>0</v>
      </c>
      <c r="I303">
        <v>17480</v>
      </c>
      <c r="J303">
        <v>4</v>
      </c>
      <c r="K303">
        <v>15035</v>
      </c>
      <c r="L303">
        <v>3</v>
      </c>
      <c r="N303">
        <v>64</v>
      </c>
      <c r="O303">
        <f t="shared" si="8"/>
        <v>2024</v>
      </c>
      <c r="P303">
        <f t="shared" si="9"/>
        <v>7</v>
      </c>
      <c r="Q303" t="str">
        <f>_xlfn.XLOOKUP(B303,全店核心数据_bymonth!A:A,全店核心数据_bymonth!AN:AN)</f>
        <v>BU25</v>
      </c>
    </row>
    <row r="304" spans="1:17" x14ac:dyDescent="0.3">
      <c r="A304" t="s">
        <v>110</v>
      </c>
      <c r="B304" s="16">
        <v>45108</v>
      </c>
      <c r="C304" t="s">
        <v>2</v>
      </c>
      <c r="D304" t="s">
        <v>4</v>
      </c>
      <c r="E304">
        <v>2991</v>
      </c>
      <c r="F304">
        <v>1712</v>
      </c>
      <c r="G304">
        <v>14</v>
      </c>
      <c r="H304">
        <v>5</v>
      </c>
      <c r="I304">
        <v>27028</v>
      </c>
      <c r="J304">
        <v>7</v>
      </c>
      <c r="K304">
        <v>27028</v>
      </c>
      <c r="L304">
        <v>7</v>
      </c>
      <c r="N304">
        <v>2757</v>
      </c>
      <c r="O304">
        <f t="shared" si="8"/>
        <v>2023</v>
      </c>
      <c r="P304">
        <f t="shared" si="9"/>
        <v>7</v>
      </c>
      <c r="Q304" t="str">
        <f>_xlfn.XLOOKUP(B304,全店核心数据_bymonth!A:A,全店核心数据_bymonth!AN:AN)</f>
        <v>BU24</v>
      </c>
    </row>
    <row r="305" spans="1:17" x14ac:dyDescent="0.3">
      <c r="A305" t="s">
        <v>110</v>
      </c>
      <c r="B305" s="16">
        <v>45108</v>
      </c>
      <c r="C305" t="s">
        <v>2</v>
      </c>
      <c r="D305" t="s">
        <v>57</v>
      </c>
      <c r="E305">
        <v>148142</v>
      </c>
      <c r="F305">
        <v>142569</v>
      </c>
      <c r="G305">
        <v>1305</v>
      </c>
      <c r="H305">
        <v>849</v>
      </c>
      <c r="I305">
        <v>759735.68</v>
      </c>
      <c r="J305">
        <v>190</v>
      </c>
      <c r="K305">
        <v>418472.68</v>
      </c>
      <c r="L305">
        <v>127</v>
      </c>
      <c r="N305">
        <v>147285</v>
      </c>
      <c r="O305">
        <f t="shared" si="8"/>
        <v>2023</v>
      </c>
      <c r="P305">
        <f t="shared" si="9"/>
        <v>7</v>
      </c>
      <c r="Q305" t="str">
        <f>_xlfn.XLOOKUP(B305,全店核心数据_bymonth!A:A,全店核心数据_bymonth!AN:AN)</f>
        <v>BU24</v>
      </c>
    </row>
    <row r="306" spans="1:17" x14ac:dyDescent="0.3">
      <c r="A306" t="s">
        <v>110</v>
      </c>
      <c r="B306" s="16">
        <v>45108</v>
      </c>
      <c r="C306" t="s">
        <v>2</v>
      </c>
      <c r="D306" t="s">
        <v>52</v>
      </c>
      <c r="E306">
        <v>10861</v>
      </c>
      <c r="F306">
        <v>10262</v>
      </c>
      <c r="G306">
        <v>199</v>
      </c>
      <c r="H306">
        <v>76</v>
      </c>
      <c r="I306">
        <v>184851.5</v>
      </c>
      <c r="J306">
        <v>36</v>
      </c>
      <c r="K306">
        <v>142883</v>
      </c>
      <c r="L306">
        <v>31</v>
      </c>
      <c r="N306">
        <v>4839</v>
      </c>
      <c r="O306">
        <f t="shared" si="8"/>
        <v>2023</v>
      </c>
      <c r="P306">
        <f t="shared" si="9"/>
        <v>7</v>
      </c>
      <c r="Q306" t="str">
        <f>_xlfn.XLOOKUP(B306,全店核心数据_bymonth!A:A,全店核心数据_bymonth!AN:AN)</f>
        <v>BU24</v>
      </c>
    </row>
    <row r="307" spans="1:17" x14ac:dyDescent="0.3">
      <c r="A307" t="s">
        <v>110</v>
      </c>
      <c r="B307" s="16">
        <v>45108</v>
      </c>
      <c r="C307" t="s">
        <v>3</v>
      </c>
      <c r="D307" t="s">
        <v>155</v>
      </c>
      <c r="E307">
        <v>683</v>
      </c>
      <c r="F307">
        <v>584</v>
      </c>
      <c r="G307">
        <v>2</v>
      </c>
      <c r="H307">
        <v>2</v>
      </c>
      <c r="I307">
        <v>2125</v>
      </c>
      <c r="J307">
        <v>1</v>
      </c>
      <c r="K307">
        <v>2125</v>
      </c>
      <c r="L307">
        <v>1</v>
      </c>
      <c r="N307">
        <v>671</v>
      </c>
      <c r="O307">
        <f t="shared" si="8"/>
        <v>2023</v>
      </c>
      <c r="P307">
        <f t="shared" si="9"/>
        <v>7</v>
      </c>
      <c r="Q307" t="str">
        <f>_xlfn.XLOOKUP(B307,全店核心数据_bymonth!A:A,全店核心数据_bymonth!AN:AN)</f>
        <v>BU24</v>
      </c>
    </row>
    <row r="308" spans="1:17" x14ac:dyDescent="0.3">
      <c r="A308" t="s">
        <v>110</v>
      </c>
      <c r="B308" s="16">
        <v>45108</v>
      </c>
      <c r="C308" t="s">
        <v>3</v>
      </c>
      <c r="D308" t="s">
        <v>154</v>
      </c>
      <c r="E308">
        <v>48</v>
      </c>
      <c r="F308">
        <v>32</v>
      </c>
      <c r="G308">
        <v>2</v>
      </c>
      <c r="H308">
        <v>1</v>
      </c>
      <c r="I308">
        <v>0</v>
      </c>
      <c r="J308">
        <v>0</v>
      </c>
      <c r="K308">
        <v>0</v>
      </c>
      <c r="L308">
        <v>0</v>
      </c>
      <c r="N308">
        <v>32</v>
      </c>
      <c r="O308">
        <f t="shared" si="8"/>
        <v>2023</v>
      </c>
      <c r="P308">
        <f t="shared" si="9"/>
        <v>7</v>
      </c>
      <c r="Q308" t="str">
        <f>_xlfn.XLOOKUP(B308,全店核心数据_bymonth!A:A,全店核心数据_bymonth!AN:AN)</f>
        <v>BU24</v>
      </c>
    </row>
    <row r="309" spans="1:17" x14ac:dyDescent="0.3">
      <c r="A309" t="s">
        <v>110</v>
      </c>
      <c r="B309" s="16">
        <v>45108</v>
      </c>
      <c r="C309" t="s">
        <v>3</v>
      </c>
      <c r="D309" t="s">
        <v>153</v>
      </c>
      <c r="E309">
        <v>2265</v>
      </c>
      <c r="F309">
        <v>1440</v>
      </c>
      <c r="G309">
        <v>146</v>
      </c>
      <c r="H309">
        <v>24</v>
      </c>
      <c r="I309">
        <v>673722</v>
      </c>
      <c r="J309">
        <v>141</v>
      </c>
      <c r="K309">
        <v>597714.5</v>
      </c>
      <c r="L309">
        <v>135</v>
      </c>
      <c r="N309">
        <v>2193</v>
      </c>
      <c r="O309">
        <f t="shared" si="8"/>
        <v>2023</v>
      </c>
      <c r="P309">
        <f t="shared" si="9"/>
        <v>7</v>
      </c>
      <c r="Q309" t="str">
        <f>_xlfn.XLOOKUP(B309,全店核心数据_bymonth!A:A,全店核心数据_bymonth!AN:AN)</f>
        <v>BU24</v>
      </c>
    </row>
    <row r="310" spans="1:17" x14ac:dyDescent="0.3">
      <c r="A310" t="s">
        <v>110</v>
      </c>
      <c r="B310" s="16">
        <v>45108</v>
      </c>
      <c r="C310" t="s">
        <v>3</v>
      </c>
      <c r="D310" t="s">
        <v>152</v>
      </c>
      <c r="E310">
        <v>446</v>
      </c>
      <c r="F310">
        <v>290</v>
      </c>
      <c r="G310">
        <v>6</v>
      </c>
      <c r="H310">
        <v>1</v>
      </c>
      <c r="I310">
        <v>7700</v>
      </c>
      <c r="J310">
        <v>1</v>
      </c>
      <c r="K310">
        <v>0</v>
      </c>
      <c r="L310">
        <v>0</v>
      </c>
      <c r="N310">
        <v>446</v>
      </c>
      <c r="O310">
        <f t="shared" si="8"/>
        <v>2023</v>
      </c>
      <c r="P310">
        <f t="shared" si="9"/>
        <v>7</v>
      </c>
      <c r="Q310" t="str">
        <f>_xlfn.XLOOKUP(B310,全店核心数据_bymonth!A:A,全店核心数据_bymonth!AN:AN)</f>
        <v>BU24</v>
      </c>
    </row>
    <row r="311" spans="1:17" x14ac:dyDescent="0.3">
      <c r="A311" t="s">
        <v>110</v>
      </c>
      <c r="B311" s="16">
        <v>45108</v>
      </c>
      <c r="C311" t="s">
        <v>3</v>
      </c>
      <c r="D311" t="s">
        <v>151</v>
      </c>
      <c r="E311">
        <v>12</v>
      </c>
      <c r="F311">
        <v>5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0</v>
      </c>
      <c r="N311">
        <v>12</v>
      </c>
      <c r="O311">
        <f t="shared" si="8"/>
        <v>2023</v>
      </c>
      <c r="P311">
        <f t="shared" si="9"/>
        <v>7</v>
      </c>
      <c r="Q311" t="str">
        <f>_xlfn.XLOOKUP(B311,全店核心数据_bymonth!A:A,全店核心数据_bymonth!AN:AN)</f>
        <v>BU24</v>
      </c>
    </row>
    <row r="312" spans="1:17" x14ac:dyDescent="0.3">
      <c r="A312" t="s">
        <v>110</v>
      </c>
      <c r="B312" s="16">
        <v>45108</v>
      </c>
      <c r="C312" t="s">
        <v>3</v>
      </c>
      <c r="D312" t="s">
        <v>198</v>
      </c>
      <c r="E312">
        <v>5</v>
      </c>
      <c r="F312">
        <v>3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N312">
        <v>5</v>
      </c>
      <c r="O312">
        <f t="shared" si="8"/>
        <v>2023</v>
      </c>
      <c r="P312">
        <f t="shared" si="9"/>
        <v>7</v>
      </c>
      <c r="Q312" t="str">
        <f>_xlfn.XLOOKUP(B312,全店核心数据_bymonth!A:A,全店核心数据_bymonth!AN:AN)</f>
        <v>BU24</v>
      </c>
    </row>
    <row r="313" spans="1:17" x14ac:dyDescent="0.3">
      <c r="A313" t="s">
        <v>110</v>
      </c>
      <c r="B313" s="16">
        <v>45108</v>
      </c>
      <c r="C313" t="s">
        <v>3</v>
      </c>
      <c r="D313" t="s">
        <v>149</v>
      </c>
      <c r="E313">
        <v>100</v>
      </c>
      <c r="F313">
        <v>79</v>
      </c>
      <c r="G313">
        <v>1</v>
      </c>
      <c r="H313">
        <v>6</v>
      </c>
      <c r="I313">
        <v>0</v>
      </c>
      <c r="J313">
        <v>0</v>
      </c>
      <c r="K313">
        <v>0</v>
      </c>
      <c r="L313">
        <v>0</v>
      </c>
      <c r="N313">
        <v>80</v>
      </c>
      <c r="O313">
        <f t="shared" si="8"/>
        <v>2023</v>
      </c>
      <c r="P313">
        <f t="shared" si="9"/>
        <v>7</v>
      </c>
      <c r="Q313" t="str">
        <f>_xlfn.XLOOKUP(B313,全店核心数据_bymonth!A:A,全店核心数据_bymonth!AN:AN)</f>
        <v>BU24</v>
      </c>
    </row>
    <row r="314" spans="1:17" x14ac:dyDescent="0.3">
      <c r="A314" t="s">
        <v>110</v>
      </c>
      <c r="B314" s="16">
        <v>45108</v>
      </c>
      <c r="C314" t="s">
        <v>3</v>
      </c>
      <c r="D314" t="s">
        <v>148</v>
      </c>
      <c r="E314">
        <v>14</v>
      </c>
      <c r="F314">
        <v>11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N314">
        <v>7</v>
      </c>
      <c r="O314">
        <f t="shared" si="8"/>
        <v>2023</v>
      </c>
      <c r="P314">
        <f t="shared" si="9"/>
        <v>7</v>
      </c>
      <c r="Q314" t="str">
        <f>_xlfn.XLOOKUP(B314,全店核心数据_bymonth!A:A,全店核心数据_bymonth!AN:AN)</f>
        <v>BU24</v>
      </c>
    </row>
    <row r="315" spans="1:17" x14ac:dyDescent="0.3">
      <c r="A315" t="s">
        <v>110</v>
      </c>
      <c r="B315" s="16">
        <v>45108</v>
      </c>
      <c r="C315" t="s">
        <v>3</v>
      </c>
      <c r="D315" t="s">
        <v>143</v>
      </c>
      <c r="E315">
        <v>77</v>
      </c>
      <c r="F315">
        <v>62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N315">
        <v>77</v>
      </c>
      <c r="O315">
        <f t="shared" si="8"/>
        <v>2023</v>
      </c>
      <c r="P315">
        <f t="shared" si="9"/>
        <v>7</v>
      </c>
      <c r="Q315" t="str">
        <f>_xlfn.XLOOKUP(B315,全店核心数据_bymonth!A:A,全店核心数据_bymonth!AN:AN)</f>
        <v>BU24</v>
      </c>
    </row>
    <row r="316" spans="1:17" x14ac:dyDescent="0.3">
      <c r="A316" t="s">
        <v>110</v>
      </c>
      <c r="B316" s="16">
        <v>45108</v>
      </c>
      <c r="C316" t="s">
        <v>3</v>
      </c>
      <c r="D316" t="s">
        <v>142</v>
      </c>
      <c r="E316">
        <v>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N316">
        <v>2</v>
      </c>
      <c r="O316">
        <f t="shared" si="8"/>
        <v>2023</v>
      </c>
      <c r="P316">
        <f t="shared" si="9"/>
        <v>7</v>
      </c>
      <c r="Q316" t="str">
        <f>_xlfn.XLOOKUP(B316,全店核心数据_bymonth!A:A,全店核心数据_bymonth!AN:AN)</f>
        <v>BU24</v>
      </c>
    </row>
    <row r="317" spans="1:17" x14ac:dyDescent="0.3">
      <c r="A317" t="s">
        <v>110</v>
      </c>
      <c r="B317" s="16">
        <v>45108</v>
      </c>
      <c r="C317" t="s">
        <v>3</v>
      </c>
      <c r="D317" t="s">
        <v>141</v>
      </c>
      <c r="E317">
        <v>58</v>
      </c>
      <c r="F317">
        <v>57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N317">
        <v>41</v>
      </c>
      <c r="O317">
        <f t="shared" si="8"/>
        <v>2023</v>
      </c>
      <c r="P317">
        <f t="shared" si="9"/>
        <v>7</v>
      </c>
      <c r="Q317" t="str">
        <f>_xlfn.XLOOKUP(B317,全店核心数据_bymonth!A:A,全店核心数据_bymonth!AN:AN)</f>
        <v>BU24</v>
      </c>
    </row>
    <row r="318" spans="1:17" x14ac:dyDescent="0.3">
      <c r="A318" t="s">
        <v>110</v>
      </c>
      <c r="B318" s="16">
        <v>45108</v>
      </c>
      <c r="C318" t="s">
        <v>3</v>
      </c>
      <c r="D318" t="s">
        <v>140</v>
      </c>
      <c r="E318">
        <v>47</v>
      </c>
      <c r="F318">
        <v>43</v>
      </c>
      <c r="G318">
        <v>5</v>
      </c>
      <c r="H318">
        <v>3</v>
      </c>
      <c r="I318">
        <v>31195.5</v>
      </c>
      <c r="J318">
        <v>7</v>
      </c>
      <c r="K318">
        <v>25700.5</v>
      </c>
      <c r="L318">
        <v>7</v>
      </c>
      <c r="N318">
        <v>45</v>
      </c>
      <c r="O318">
        <f t="shared" si="8"/>
        <v>2023</v>
      </c>
      <c r="P318">
        <f t="shared" si="9"/>
        <v>7</v>
      </c>
      <c r="Q318" t="str">
        <f>_xlfn.XLOOKUP(B318,全店核心数据_bymonth!A:A,全店核心数据_bymonth!AN:AN)</f>
        <v>BU24</v>
      </c>
    </row>
    <row r="319" spans="1:17" x14ac:dyDescent="0.3">
      <c r="A319" t="s">
        <v>110</v>
      </c>
      <c r="B319" s="16">
        <v>45108</v>
      </c>
      <c r="C319" t="s">
        <v>3</v>
      </c>
      <c r="D319" t="s">
        <v>139</v>
      </c>
      <c r="E319">
        <v>3766</v>
      </c>
      <c r="F319">
        <v>2688</v>
      </c>
      <c r="G319">
        <v>115</v>
      </c>
      <c r="H319">
        <v>42</v>
      </c>
      <c r="I319">
        <v>137352.5</v>
      </c>
      <c r="J319">
        <v>30</v>
      </c>
      <c r="K319">
        <v>116811</v>
      </c>
      <c r="L319">
        <v>27</v>
      </c>
      <c r="N319">
        <v>2833</v>
      </c>
      <c r="O319">
        <f t="shared" si="8"/>
        <v>2023</v>
      </c>
      <c r="P319">
        <f t="shared" si="9"/>
        <v>7</v>
      </c>
      <c r="Q319" t="str">
        <f>_xlfn.XLOOKUP(B319,全店核心数据_bymonth!A:A,全店核心数据_bymonth!AN:AN)</f>
        <v>BU24</v>
      </c>
    </row>
    <row r="320" spans="1:17" x14ac:dyDescent="0.3">
      <c r="A320" t="s">
        <v>110</v>
      </c>
      <c r="B320" s="16">
        <v>45108</v>
      </c>
      <c r="C320" t="s">
        <v>3</v>
      </c>
      <c r="D320" t="s">
        <v>187</v>
      </c>
      <c r="E320">
        <v>123</v>
      </c>
      <c r="F320">
        <v>109</v>
      </c>
      <c r="G320">
        <v>4</v>
      </c>
      <c r="H320">
        <v>1</v>
      </c>
      <c r="I320">
        <v>0</v>
      </c>
      <c r="J320">
        <v>0</v>
      </c>
      <c r="K320">
        <v>0</v>
      </c>
      <c r="L320">
        <v>0</v>
      </c>
      <c r="N320">
        <v>66</v>
      </c>
      <c r="O320">
        <f t="shared" si="8"/>
        <v>2023</v>
      </c>
      <c r="P320">
        <f t="shared" si="9"/>
        <v>7</v>
      </c>
      <c r="Q320" t="str">
        <f>_xlfn.XLOOKUP(B320,全店核心数据_bymonth!A:A,全店核心数据_bymonth!AN:AN)</f>
        <v>BU24</v>
      </c>
    </row>
    <row r="321" spans="1:17" x14ac:dyDescent="0.3">
      <c r="A321" t="s">
        <v>110</v>
      </c>
      <c r="B321" s="16">
        <v>45108</v>
      </c>
      <c r="C321" t="s">
        <v>3</v>
      </c>
      <c r="D321" t="s">
        <v>138</v>
      </c>
      <c r="E321">
        <v>2011</v>
      </c>
      <c r="F321">
        <v>1494</v>
      </c>
      <c r="G321">
        <v>31</v>
      </c>
      <c r="H321">
        <v>23</v>
      </c>
      <c r="I321">
        <v>23498.5</v>
      </c>
      <c r="J321">
        <v>7</v>
      </c>
      <c r="K321">
        <v>23498.5</v>
      </c>
      <c r="L321">
        <v>7</v>
      </c>
      <c r="N321">
        <v>1995</v>
      </c>
      <c r="O321">
        <f t="shared" si="8"/>
        <v>2023</v>
      </c>
      <c r="P321">
        <f t="shared" si="9"/>
        <v>7</v>
      </c>
      <c r="Q321" t="str">
        <f>_xlfn.XLOOKUP(B321,全店核心数据_bymonth!A:A,全店核心数据_bymonth!AN:AN)</f>
        <v>BU24</v>
      </c>
    </row>
    <row r="322" spans="1:17" x14ac:dyDescent="0.3">
      <c r="A322" t="s">
        <v>110</v>
      </c>
      <c r="B322" s="16">
        <v>45108</v>
      </c>
      <c r="C322" t="s">
        <v>3</v>
      </c>
      <c r="D322" t="s">
        <v>137</v>
      </c>
      <c r="E322">
        <v>63</v>
      </c>
      <c r="F322">
        <v>42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N322">
        <v>61</v>
      </c>
      <c r="O322">
        <f t="shared" ref="O322:O385" si="10">YEAR(B322)</f>
        <v>2023</v>
      </c>
      <c r="P322">
        <f t="shared" ref="P322:P385" si="11">MONTH(B322)</f>
        <v>7</v>
      </c>
      <c r="Q322" t="str">
        <f>_xlfn.XLOOKUP(B322,全店核心数据_bymonth!A:A,全店核心数据_bymonth!AN:AN)</f>
        <v>BU24</v>
      </c>
    </row>
    <row r="323" spans="1:17" x14ac:dyDescent="0.3">
      <c r="A323" t="s">
        <v>110</v>
      </c>
      <c r="B323" s="16">
        <v>45108</v>
      </c>
      <c r="C323" t="s">
        <v>3</v>
      </c>
      <c r="D323" t="s">
        <v>135</v>
      </c>
      <c r="E323">
        <v>15</v>
      </c>
      <c r="F323">
        <v>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N323">
        <v>15</v>
      </c>
      <c r="O323">
        <f t="shared" si="10"/>
        <v>2023</v>
      </c>
      <c r="P323">
        <f t="shared" si="11"/>
        <v>7</v>
      </c>
      <c r="Q323" t="str">
        <f>_xlfn.XLOOKUP(B323,全店核心数据_bymonth!A:A,全店核心数据_bymonth!AN:AN)</f>
        <v>BU24</v>
      </c>
    </row>
    <row r="324" spans="1:17" x14ac:dyDescent="0.3">
      <c r="A324" t="s">
        <v>110</v>
      </c>
      <c r="B324" s="16">
        <v>45108</v>
      </c>
      <c r="C324" t="s">
        <v>3</v>
      </c>
      <c r="D324" t="s">
        <v>134</v>
      </c>
      <c r="E324">
        <v>3249</v>
      </c>
      <c r="F324">
        <v>2746</v>
      </c>
      <c r="G324">
        <v>25</v>
      </c>
      <c r="H324">
        <v>21</v>
      </c>
      <c r="I324">
        <v>34627</v>
      </c>
      <c r="J324">
        <v>9</v>
      </c>
      <c r="K324">
        <v>19825.5</v>
      </c>
      <c r="L324">
        <v>7</v>
      </c>
      <c r="N324">
        <v>3067</v>
      </c>
      <c r="O324">
        <f t="shared" si="10"/>
        <v>2023</v>
      </c>
      <c r="P324">
        <f t="shared" si="11"/>
        <v>7</v>
      </c>
      <c r="Q324" t="str">
        <f>_xlfn.XLOOKUP(B324,全店核心数据_bymonth!A:A,全店核心数据_bymonth!AN:AN)</f>
        <v>BU24</v>
      </c>
    </row>
    <row r="325" spans="1:17" x14ac:dyDescent="0.3">
      <c r="A325" t="s">
        <v>110</v>
      </c>
      <c r="B325" s="16">
        <v>45108</v>
      </c>
      <c r="C325" t="s">
        <v>3</v>
      </c>
      <c r="D325" t="s">
        <v>133</v>
      </c>
      <c r="E325">
        <v>143</v>
      </c>
      <c r="F325">
        <v>113</v>
      </c>
      <c r="G325">
        <v>5</v>
      </c>
      <c r="H325">
        <v>3</v>
      </c>
      <c r="I325">
        <v>2488</v>
      </c>
      <c r="J325">
        <v>1</v>
      </c>
      <c r="K325">
        <v>2488</v>
      </c>
      <c r="L325">
        <v>1</v>
      </c>
      <c r="N325">
        <v>128</v>
      </c>
      <c r="O325">
        <f t="shared" si="10"/>
        <v>2023</v>
      </c>
      <c r="P325">
        <f t="shared" si="11"/>
        <v>7</v>
      </c>
      <c r="Q325" t="str">
        <f>_xlfn.XLOOKUP(B325,全店核心数据_bymonth!A:A,全店核心数据_bymonth!AN:AN)</f>
        <v>BU24</v>
      </c>
    </row>
    <row r="326" spans="1:17" x14ac:dyDescent="0.3">
      <c r="A326" t="s">
        <v>110</v>
      </c>
      <c r="B326" s="16">
        <v>45108</v>
      </c>
      <c r="C326" t="s">
        <v>3</v>
      </c>
      <c r="D326" t="s">
        <v>132</v>
      </c>
      <c r="E326">
        <v>585</v>
      </c>
      <c r="F326">
        <v>537</v>
      </c>
      <c r="G326">
        <v>2</v>
      </c>
      <c r="H326">
        <v>9</v>
      </c>
      <c r="I326">
        <v>2488</v>
      </c>
      <c r="J326">
        <v>1</v>
      </c>
      <c r="K326">
        <v>2488</v>
      </c>
      <c r="L326">
        <v>1</v>
      </c>
      <c r="N326">
        <v>585</v>
      </c>
      <c r="O326">
        <f t="shared" si="10"/>
        <v>2023</v>
      </c>
      <c r="P326">
        <f t="shared" si="11"/>
        <v>7</v>
      </c>
      <c r="Q326" t="str">
        <f>_xlfn.XLOOKUP(B326,全店核心数据_bymonth!A:A,全店核心数据_bymonth!AN:AN)</f>
        <v>BU24</v>
      </c>
    </row>
    <row r="327" spans="1:17" x14ac:dyDescent="0.3">
      <c r="A327" t="s">
        <v>110</v>
      </c>
      <c r="B327" s="16">
        <v>45108</v>
      </c>
      <c r="C327" t="s">
        <v>3</v>
      </c>
      <c r="D327" t="s">
        <v>131</v>
      </c>
      <c r="E327">
        <v>85</v>
      </c>
      <c r="F327">
        <v>34</v>
      </c>
      <c r="G327">
        <v>2</v>
      </c>
      <c r="H327">
        <v>0</v>
      </c>
      <c r="I327">
        <v>4976</v>
      </c>
      <c r="J327">
        <v>1</v>
      </c>
      <c r="K327">
        <v>2488</v>
      </c>
      <c r="L327">
        <v>1</v>
      </c>
      <c r="N327">
        <v>85</v>
      </c>
      <c r="O327">
        <f t="shared" si="10"/>
        <v>2023</v>
      </c>
      <c r="P327">
        <f t="shared" si="11"/>
        <v>7</v>
      </c>
      <c r="Q327" t="str">
        <f>_xlfn.XLOOKUP(B327,全店核心数据_bymonth!A:A,全店核心数据_bymonth!AN:AN)</f>
        <v>BU24</v>
      </c>
    </row>
    <row r="328" spans="1:17" x14ac:dyDescent="0.3">
      <c r="A328" t="s">
        <v>110</v>
      </c>
      <c r="B328" s="16">
        <v>45108</v>
      </c>
      <c r="C328" t="s">
        <v>3</v>
      </c>
      <c r="D328" t="s">
        <v>130</v>
      </c>
      <c r="E328">
        <v>704</v>
      </c>
      <c r="F328">
        <v>408</v>
      </c>
      <c r="G328">
        <v>62</v>
      </c>
      <c r="H328">
        <v>22</v>
      </c>
      <c r="I328">
        <v>199896.5</v>
      </c>
      <c r="J328">
        <v>55</v>
      </c>
      <c r="K328">
        <v>178028</v>
      </c>
      <c r="L328">
        <v>52</v>
      </c>
      <c r="N328">
        <v>650</v>
      </c>
      <c r="O328">
        <f t="shared" si="10"/>
        <v>2023</v>
      </c>
      <c r="P328">
        <f t="shared" si="11"/>
        <v>7</v>
      </c>
      <c r="Q328" t="str">
        <f>_xlfn.XLOOKUP(B328,全店核心数据_bymonth!A:A,全店核心数据_bymonth!AN:AN)</f>
        <v>BU24</v>
      </c>
    </row>
    <row r="329" spans="1:17" x14ac:dyDescent="0.3">
      <c r="A329" t="s">
        <v>110</v>
      </c>
      <c r="B329" s="16">
        <v>45108</v>
      </c>
      <c r="C329" t="s">
        <v>3</v>
      </c>
      <c r="D329" t="s">
        <v>128</v>
      </c>
      <c r="E329">
        <v>8519</v>
      </c>
      <c r="F329">
        <v>7525</v>
      </c>
      <c r="G329">
        <v>219</v>
      </c>
      <c r="H329">
        <v>117</v>
      </c>
      <c r="I329">
        <v>136914.5</v>
      </c>
      <c r="J329">
        <v>35</v>
      </c>
      <c r="K329">
        <v>87789</v>
      </c>
      <c r="L329">
        <v>27</v>
      </c>
      <c r="N329">
        <v>7176</v>
      </c>
      <c r="O329">
        <f t="shared" si="10"/>
        <v>2023</v>
      </c>
      <c r="P329">
        <f t="shared" si="11"/>
        <v>7</v>
      </c>
      <c r="Q329" t="str">
        <f>_xlfn.XLOOKUP(B329,全店核心数据_bymonth!A:A,全店核心数据_bymonth!AN:AN)</f>
        <v>BU24</v>
      </c>
    </row>
    <row r="330" spans="1:17" x14ac:dyDescent="0.3">
      <c r="A330" t="s">
        <v>110</v>
      </c>
      <c r="B330" s="16">
        <v>45108</v>
      </c>
      <c r="C330" t="s">
        <v>3</v>
      </c>
      <c r="D330" t="s">
        <v>127</v>
      </c>
      <c r="E330">
        <v>47947</v>
      </c>
      <c r="F330">
        <v>44553</v>
      </c>
      <c r="G330">
        <v>239</v>
      </c>
      <c r="H330">
        <v>179</v>
      </c>
      <c r="I330">
        <v>113070</v>
      </c>
      <c r="J330">
        <v>29</v>
      </c>
      <c r="K330">
        <v>85185</v>
      </c>
      <c r="L330">
        <v>25</v>
      </c>
      <c r="N330">
        <v>47793</v>
      </c>
      <c r="O330">
        <f t="shared" si="10"/>
        <v>2023</v>
      </c>
      <c r="P330">
        <f t="shared" si="11"/>
        <v>7</v>
      </c>
      <c r="Q330" t="str">
        <f>_xlfn.XLOOKUP(B330,全店核心数据_bymonth!A:A,全店核心数据_bymonth!AN:AN)</f>
        <v>BU24</v>
      </c>
    </row>
    <row r="331" spans="1:17" x14ac:dyDescent="0.3">
      <c r="A331" t="s">
        <v>110</v>
      </c>
      <c r="B331" s="16">
        <v>45108</v>
      </c>
      <c r="C331" t="s">
        <v>3</v>
      </c>
      <c r="D331" t="s">
        <v>126</v>
      </c>
      <c r="E331">
        <v>914</v>
      </c>
      <c r="F331">
        <v>794</v>
      </c>
      <c r="G331">
        <v>32</v>
      </c>
      <c r="H331">
        <v>26</v>
      </c>
      <c r="I331">
        <v>31425.5</v>
      </c>
      <c r="J331">
        <v>6</v>
      </c>
      <c r="K331">
        <v>31425.5</v>
      </c>
      <c r="L331">
        <v>6</v>
      </c>
      <c r="N331">
        <v>866</v>
      </c>
      <c r="O331">
        <f t="shared" si="10"/>
        <v>2023</v>
      </c>
      <c r="P331">
        <f t="shared" si="11"/>
        <v>7</v>
      </c>
      <c r="Q331" t="str">
        <f>_xlfn.XLOOKUP(B331,全店核心数据_bymonth!A:A,全店核心数据_bymonth!AN:AN)</f>
        <v>BU24</v>
      </c>
    </row>
    <row r="332" spans="1:17" x14ac:dyDescent="0.3">
      <c r="A332" t="s">
        <v>110</v>
      </c>
      <c r="B332" s="16">
        <v>45108</v>
      </c>
      <c r="C332" t="s">
        <v>3</v>
      </c>
      <c r="D332" t="s">
        <v>125</v>
      </c>
      <c r="E332">
        <v>2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N332">
        <v>0</v>
      </c>
      <c r="O332">
        <f t="shared" si="10"/>
        <v>2023</v>
      </c>
      <c r="P332">
        <f t="shared" si="11"/>
        <v>7</v>
      </c>
      <c r="Q332" t="str">
        <f>_xlfn.XLOOKUP(B332,全店核心数据_bymonth!A:A,全店核心数据_bymonth!AN:AN)</f>
        <v>BU24</v>
      </c>
    </row>
    <row r="333" spans="1:17" x14ac:dyDescent="0.3">
      <c r="A333" t="s">
        <v>110</v>
      </c>
      <c r="B333" s="16">
        <v>45108</v>
      </c>
      <c r="C333" t="s">
        <v>3</v>
      </c>
      <c r="D333" t="s">
        <v>124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N333">
        <v>0</v>
      </c>
      <c r="O333">
        <f t="shared" si="10"/>
        <v>2023</v>
      </c>
      <c r="P333">
        <f t="shared" si="11"/>
        <v>7</v>
      </c>
      <c r="Q333" t="str">
        <f>_xlfn.XLOOKUP(B333,全店核心数据_bymonth!A:A,全店核心数据_bymonth!AN:AN)</f>
        <v>BU24</v>
      </c>
    </row>
    <row r="334" spans="1:17" x14ac:dyDescent="0.3">
      <c r="A334" t="s">
        <v>110</v>
      </c>
      <c r="B334" s="16">
        <v>45108</v>
      </c>
      <c r="C334" t="s">
        <v>3</v>
      </c>
      <c r="D334" t="s">
        <v>123</v>
      </c>
      <c r="E334">
        <v>1477</v>
      </c>
      <c r="F334">
        <v>922</v>
      </c>
      <c r="G334">
        <v>57</v>
      </c>
      <c r="H334">
        <v>28</v>
      </c>
      <c r="I334">
        <v>41629</v>
      </c>
      <c r="J334">
        <v>13</v>
      </c>
      <c r="K334">
        <v>41629</v>
      </c>
      <c r="L334">
        <v>13</v>
      </c>
      <c r="N334">
        <v>1244</v>
      </c>
      <c r="O334">
        <f t="shared" si="10"/>
        <v>2023</v>
      </c>
      <c r="P334">
        <f t="shared" si="11"/>
        <v>7</v>
      </c>
      <c r="Q334" t="str">
        <f>_xlfn.XLOOKUP(B334,全店核心数据_bymonth!A:A,全店核心数据_bymonth!AN:AN)</f>
        <v>BU24</v>
      </c>
    </row>
    <row r="335" spans="1:17" x14ac:dyDescent="0.3">
      <c r="A335" t="s">
        <v>110</v>
      </c>
      <c r="B335" s="16">
        <v>45108</v>
      </c>
      <c r="C335" t="s">
        <v>3</v>
      </c>
      <c r="D335" t="s">
        <v>121</v>
      </c>
      <c r="E335">
        <v>16</v>
      </c>
      <c r="F335">
        <v>13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N335">
        <v>11</v>
      </c>
      <c r="O335">
        <f t="shared" si="10"/>
        <v>2023</v>
      </c>
      <c r="P335">
        <f t="shared" si="11"/>
        <v>7</v>
      </c>
      <c r="Q335" t="str">
        <f>_xlfn.XLOOKUP(B335,全店核心数据_bymonth!A:A,全店核心数据_bymonth!AN:AN)</f>
        <v>BU24</v>
      </c>
    </row>
    <row r="336" spans="1:17" x14ac:dyDescent="0.3">
      <c r="A336" t="s">
        <v>110</v>
      </c>
      <c r="B336" s="16">
        <v>45108</v>
      </c>
      <c r="C336" t="s">
        <v>3</v>
      </c>
      <c r="D336" t="s">
        <v>120</v>
      </c>
      <c r="E336">
        <v>4347</v>
      </c>
      <c r="F336">
        <v>3901</v>
      </c>
      <c r="G336">
        <v>133</v>
      </c>
      <c r="H336">
        <v>0</v>
      </c>
      <c r="I336">
        <v>85944.5</v>
      </c>
      <c r="J336">
        <v>21</v>
      </c>
      <c r="K336">
        <v>85944.5</v>
      </c>
      <c r="L336">
        <v>21</v>
      </c>
      <c r="N336">
        <v>4207</v>
      </c>
      <c r="O336">
        <f t="shared" si="10"/>
        <v>2023</v>
      </c>
      <c r="P336">
        <f t="shared" si="11"/>
        <v>7</v>
      </c>
      <c r="Q336" t="str">
        <f>_xlfn.XLOOKUP(B336,全店核心数据_bymonth!A:A,全店核心数据_bymonth!AN:AN)</f>
        <v>BU24</v>
      </c>
    </row>
    <row r="337" spans="1:17" x14ac:dyDescent="0.3">
      <c r="A337" t="s">
        <v>110</v>
      </c>
      <c r="B337" s="16">
        <v>45108</v>
      </c>
      <c r="C337" t="s">
        <v>3</v>
      </c>
      <c r="D337" t="s">
        <v>119</v>
      </c>
      <c r="E337">
        <v>3011</v>
      </c>
      <c r="F337">
        <v>2196</v>
      </c>
      <c r="G337">
        <v>107</v>
      </c>
      <c r="H337">
        <v>53</v>
      </c>
      <c r="I337">
        <v>261030.5</v>
      </c>
      <c r="J337">
        <v>59</v>
      </c>
      <c r="K337">
        <v>200100.5</v>
      </c>
      <c r="L337">
        <v>54</v>
      </c>
      <c r="N337">
        <v>2938</v>
      </c>
      <c r="O337">
        <f t="shared" si="10"/>
        <v>2023</v>
      </c>
      <c r="P337">
        <f t="shared" si="11"/>
        <v>7</v>
      </c>
      <c r="Q337" t="str">
        <f>_xlfn.XLOOKUP(B337,全店核心数据_bymonth!A:A,全店核心数据_bymonth!AN:AN)</f>
        <v>BU24</v>
      </c>
    </row>
    <row r="338" spans="1:17" x14ac:dyDescent="0.3">
      <c r="A338" t="s">
        <v>110</v>
      </c>
      <c r="B338" s="16">
        <v>45108</v>
      </c>
      <c r="C338" t="s">
        <v>3</v>
      </c>
      <c r="D338" t="s">
        <v>117</v>
      </c>
      <c r="E338">
        <v>136</v>
      </c>
      <c r="F338">
        <v>92</v>
      </c>
      <c r="G338">
        <v>2</v>
      </c>
      <c r="H338">
        <v>4</v>
      </c>
      <c r="I338">
        <v>0</v>
      </c>
      <c r="J338">
        <v>0</v>
      </c>
      <c r="K338">
        <v>0</v>
      </c>
      <c r="L338">
        <v>0</v>
      </c>
      <c r="N338">
        <v>136</v>
      </c>
      <c r="O338">
        <f t="shared" si="10"/>
        <v>2023</v>
      </c>
      <c r="P338">
        <f t="shared" si="11"/>
        <v>7</v>
      </c>
      <c r="Q338" t="str">
        <f>_xlfn.XLOOKUP(B338,全店核心数据_bymonth!A:A,全店核心数据_bymonth!AN:AN)</f>
        <v>BU24</v>
      </c>
    </row>
    <row r="339" spans="1:17" x14ac:dyDescent="0.3">
      <c r="A339" t="s">
        <v>110</v>
      </c>
      <c r="B339" s="16">
        <v>45108</v>
      </c>
      <c r="C339" t="s">
        <v>3</v>
      </c>
      <c r="D339" t="s">
        <v>116</v>
      </c>
      <c r="E339">
        <v>88</v>
      </c>
      <c r="F339">
        <v>64</v>
      </c>
      <c r="G339">
        <v>0</v>
      </c>
      <c r="H339">
        <v>2</v>
      </c>
      <c r="I339">
        <v>0</v>
      </c>
      <c r="J339">
        <v>0</v>
      </c>
      <c r="K339">
        <v>0</v>
      </c>
      <c r="L339">
        <v>0</v>
      </c>
      <c r="N339">
        <v>88</v>
      </c>
      <c r="O339">
        <f t="shared" si="10"/>
        <v>2023</v>
      </c>
      <c r="P339">
        <f t="shared" si="11"/>
        <v>7</v>
      </c>
      <c r="Q339" t="str">
        <f>_xlfn.XLOOKUP(B339,全店核心数据_bymonth!A:A,全店核心数据_bymonth!AN:AN)</f>
        <v>BU24</v>
      </c>
    </row>
    <row r="340" spans="1:17" x14ac:dyDescent="0.3">
      <c r="A340" t="s">
        <v>110</v>
      </c>
      <c r="B340" s="16">
        <v>45108</v>
      </c>
      <c r="C340" t="s">
        <v>3</v>
      </c>
      <c r="D340" t="s">
        <v>115</v>
      </c>
      <c r="E340">
        <v>42</v>
      </c>
      <c r="F340">
        <v>35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N340">
        <v>38</v>
      </c>
      <c r="O340">
        <f t="shared" si="10"/>
        <v>2023</v>
      </c>
      <c r="P340">
        <f t="shared" si="11"/>
        <v>7</v>
      </c>
      <c r="Q340" t="str">
        <f>_xlfn.XLOOKUP(B340,全店核心数据_bymonth!A:A,全店核心数据_bymonth!AN:AN)</f>
        <v>BU24</v>
      </c>
    </row>
    <row r="341" spans="1:17" x14ac:dyDescent="0.3">
      <c r="A341" t="s">
        <v>110</v>
      </c>
      <c r="B341" s="16">
        <v>45108</v>
      </c>
      <c r="C341" t="s">
        <v>3</v>
      </c>
      <c r="D341" t="s">
        <v>186</v>
      </c>
      <c r="E341">
        <v>4</v>
      </c>
      <c r="F341">
        <v>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N341">
        <v>4</v>
      </c>
      <c r="O341">
        <f t="shared" si="10"/>
        <v>2023</v>
      </c>
      <c r="P341">
        <f t="shared" si="11"/>
        <v>7</v>
      </c>
      <c r="Q341" t="str">
        <f>_xlfn.XLOOKUP(B341,全店核心数据_bymonth!A:A,全店核心数据_bymonth!AN:AN)</f>
        <v>BU24</v>
      </c>
    </row>
    <row r="342" spans="1:17" x14ac:dyDescent="0.3">
      <c r="A342" t="s">
        <v>110</v>
      </c>
      <c r="B342" s="16">
        <v>45108</v>
      </c>
      <c r="C342" t="s">
        <v>3</v>
      </c>
      <c r="D342" t="s">
        <v>113</v>
      </c>
      <c r="E342">
        <v>1814</v>
      </c>
      <c r="F342">
        <v>1403</v>
      </c>
      <c r="G342">
        <v>43</v>
      </c>
      <c r="H342">
        <v>23</v>
      </c>
      <c r="I342">
        <v>23402.5</v>
      </c>
      <c r="J342">
        <v>8</v>
      </c>
      <c r="K342">
        <v>23402.5</v>
      </c>
      <c r="L342">
        <v>8</v>
      </c>
      <c r="N342">
        <v>998</v>
      </c>
      <c r="O342">
        <f t="shared" si="10"/>
        <v>2023</v>
      </c>
      <c r="P342">
        <f t="shared" si="11"/>
        <v>7</v>
      </c>
      <c r="Q342" t="str">
        <f>_xlfn.XLOOKUP(B342,全店核心数据_bymonth!A:A,全店核心数据_bymonth!AN:AN)</f>
        <v>BU24</v>
      </c>
    </row>
    <row r="343" spans="1:17" x14ac:dyDescent="0.3">
      <c r="A343" t="s">
        <v>110</v>
      </c>
      <c r="B343" s="16">
        <v>45108</v>
      </c>
      <c r="C343" t="s">
        <v>3</v>
      </c>
      <c r="D343" t="s">
        <v>112</v>
      </c>
      <c r="E343">
        <v>28</v>
      </c>
      <c r="F343">
        <v>13</v>
      </c>
      <c r="G343">
        <v>1</v>
      </c>
      <c r="H343">
        <v>0</v>
      </c>
      <c r="I343">
        <v>33329</v>
      </c>
      <c r="J343">
        <v>7</v>
      </c>
      <c r="K343">
        <v>33329</v>
      </c>
      <c r="L343">
        <v>7</v>
      </c>
      <c r="N343">
        <v>28</v>
      </c>
      <c r="O343">
        <f t="shared" si="10"/>
        <v>2023</v>
      </c>
      <c r="P343">
        <f t="shared" si="11"/>
        <v>7</v>
      </c>
      <c r="Q343" t="str">
        <f>_xlfn.XLOOKUP(B343,全店核心数据_bymonth!A:A,全店核心数据_bymonth!AN:AN)</f>
        <v>BU24</v>
      </c>
    </row>
    <row r="344" spans="1:17" x14ac:dyDescent="0.3">
      <c r="A344" t="s">
        <v>110</v>
      </c>
      <c r="B344" s="16">
        <v>45505</v>
      </c>
      <c r="C344" t="s">
        <v>2</v>
      </c>
      <c r="D344" t="s">
        <v>4</v>
      </c>
      <c r="E344">
        <v>3061</v>
      </c>
      <c r="F344">
        <v>1893</v>
      </c>
      <c r="G344">
        <v>16</v>
      </c>
      <c r="H344">
        <v>6</v>
      </c>
      <c r="I344">
        <v>55085</v>
      </c>
      <c r="J344">
        <v>5</v>
      </c>
      <c r="K344">
        <v>22135</v>
      </c>
      <c r="L344">
        <v>4</v>
      </c>
      <c r="N344">
        <v>2846</v>
      </c>
      <c r="O344">
        <f t="shared" si="10"/>
        <v>2024</v>
      </c>
      <c r="P344">
        <f t="shared" si="11"/>
        <v>8</v>
      </c>
      <c r="Q344" t="str">
        <f>_xlfn.XLOOKUP(B344,全店核心数据_bymonth!A:A,全店核心数据_bymonth!AN:AN)</f>
        <v>BU25</v>
      </c>
    </row>
    <row r="345" spans="1:17" x14ac:dyDescent="0.3">
      <c r="A345" t="s">
        <v>110</v>
      </c>
      <c r="B345" s="16">
        <v>45505</v>
      </c>
      <c r="C345" t="s">
        <v>2</v>
      </c>
      <c r="D345" t="s">
        <v>57</v>
      </c>
      <c r="E345">
        <v>163458</v>
      </c>
      <c r="F345">
        <v>153925</v>
      </c>
      <c r="G345">
        <v>1649</v>
      </c>
      <c r="H345">
        <v>1979</v>
      </c>
      <c r="I345">
        <v>1629430</v>
      </c>
      <c r="J345">
        <v>178</v>
      </c>
      <c r="K345">
        <v>372215</v>
      </c>
      <c r="L345">
        <v>66</v>
      </c>
      <c r="N345">
        <v>162819</v>
      </c>
      <c r="O345">
        <f t="shared" si="10"/>
        <v>2024</v>
      </c>
      <c r="P345">
        <f t="shared" si="11"/>
        <v>8</v>
      </c>
      <c r="Q345" t="str">
        <f>_xlfn.XLOOKUP(B345,全店核心数据_bymonth!A:A,全店核心数据_bymonth!AN:AN)</f>
        <v>BU25</v>
      </c>
    </row>
    <row r="346" spans="1:17" x14ac:dyDescent="0.3">
      <c r="A346" t="s">
        <v>110</v>
      </c>
      <c r="B346" s="16">
        <v>45505</v>
      </c>
      <c r="C346" t="s">
        <v>2</v>
      </c>
      <c r="D346" t="s">
        <v>52</v>
      </c>
      <c r="E346">
        <v>15304</v>
      </c>
      <c r="F346">
        <v>14661</v>
      </c>
      <c r="G346">
        <v>221</v>
      </c>
      <c r="H346">
        <v>91</v>
      </c>
      <c r="I346">
        <v>170045</v>
      </c>
      <c r="J346">
        <v>38</v>
      </c>
      <c r="K346">
        <v>126700</v>
      </c>
      <c r="L346">
        <v>33</v>
      </c>
      <c r="N346">
        <v>7486</v>
      </c>
      <c r="O346">
        <f t="shared" si="10"/>
        <v>2024</v>
      </c>
      <c r="P346">
        <f t="shared" si="11"/>
        <v>8</v>
      </c>
      <c r="Q346" t="str">
        <f>_xlfn.XLOOKUP(B346,全店核心数据_bymonth!A:A,全店核心数据_bymonth!AN:AN)</f>
        <v>BU25</v>
      </c>
    </row>
    <row r="347" spans="1:17" x14ac:dyDescent="0.3">
      <c r="A347" t="s">
        <v>110</v>
      </c>
      <c r="B347" s="16">
        <v>45505</v>
      </c>
      <c r="C347" t="s">
        <v>2</v>
      </c>
      <c r="D347" t="s">
        <v>55</v>
      </c>
      <c r="E347">
        <v>20144</v>
      </c>
      <c r="F347">
        <v>17728</v>
      </c>
      <c r="G347">
        <v>22</v>
      </c>
      <c r="H347">
        <v>24</v>
      </c>
      <c r="I347">
        <v>0</v>
      </c>
      <c r="J347">
        <v>0</v>
      </c>
      <c r="K347">
        <v>0</v>
      </c>
      <c r="L347">
        <v>0</v>
      </c>
      <c r="N347">
        <v>8270</v>
      </c>
      <c r="O347">
        <f t="shared" si="10"/>
        <v>2024</v>
      </c>
      <c r="P347">
        <f t="shared" si="11"/>
        <v>8</v>
      </c>
      <c r="Q347" t="str">
        <f>_xlfn.XLOOKUP(B347,全店核心数据_bymonth!A:A,全店核心数据_bymonth!AN:AN)</f>
        <v>BU25</v>
      </c>
    </row>
    <row r="348" spans="1:17" x14ac:dyDescent="0.3">
      <c r="A348" t="s">
        <v>110</v>
      </c>
      <c r="B348" s="16">
        <v>45505</v>
      </c>
      <c r="C348" t="s">
        <v>3</v>
      </c>
      <c r="D348" t="s">
        <v>155</v>
      </c>
      <c r="E348">
        <v>67</v>
      </c>
      <c r="F348">
        <v>55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N348">
        <v>67</v>
      </c>
      <c r="O348">
        <f t="shared" si="10"/>
        <v>2024</v>
      </c>
      <c r="P348">
        <f t="shared" si="11"/>
        <v>8</v>
      </c>
      <c r="Q348" t="str">
        <f>_xlfn.XLOOKUP(B348,全店核心数据_bymonth!A:A,全店核心数据_bymonth!AN:AN)</f>
        <v>BU25</v>
      </c>
    </row>
    <row r="349" spans="1:17" x14ac:dyDescent="0.3">
      <c r="A349" t="s">
        <v>110</v>
      </c>
      <c r="B349" s="16">
        <v>45505</v>
      </c>
      <c r="C349" t="s">
        <v>3</v>
      </c>
      <c r="D349" t="s">
        <v>154</v>
      </c>
      <c r="E349">
        <v>2684</v>
      </c>
      <c r="F349">
        <v>2515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N349">
        <v>20</v>
      </c>
      <c r="O349">
        <f t="shared" si="10"/>
        <v>2024</v>
      </c>
      <c r="P349">
        <f t="shared" si="11"/>
        <v>8</v>
      </c>
      <c r="Q349" t="str">
        <f>_xlfn.XLOOKUP(B349,全店核心数据_bymonth!A:A,全店核心数据_bymonth!AN:AN)</f>
        <v>BU25</v>
      </c>
    </row>
    <row r="350" spans="1:17" x14ac:dyDescent="0.3">
      <c r="A350" t="s">
        <v>110</v>
      </c>
      <c r="B350" s="16">
        <v>45505</v>
      </c>
      <c r="C350" t="s">
        <v>3</v>
      </c>
      <c r="D350" t="s">
        <v>153</v>
      </c>
      <c r="E350">
        <v>1806</v>
      </c>
      <c r="F350">
        <v>1141</v>
      </c>
      <c r="G350">
        <v>114</v>
      </c>
      <c r="H350">
        <v>26</v>
      </c>
      <c r="I350">
        <v>385910</v>
      </c>
      <c r="J350">
        <v>73</v>
      </c>
      <c r="K350">
        <v>341935</v>
      </c>
      <c r="L350">
        <v>68</v>
      </c>
      <c r="N350">
        <v>1674</v>
      </c>
      <c r="O350">
        <f t="shared" si="10"/>
        <v>2024</v>
      </c>
      <c r="P350">
        <f t="shared" si="11"/>
        <v>8</v>
      </c>
      <c r="Q350" t="str">
        <f>_xlfn.XLOOKUP(B350,全店核心数据_bymonth!A:A,全店核心数据_bymonth!AN:AN)</f>
        <v>BU25</v>
      </c>
    </row>
    <row r="351" spans="1:17" x14ac:dyDescent="0.3">
      <c r="A351" t="s">
        <v>110</v>
      </c>
      <c r="B351" s="16">
        <v>45505</v>
      </c>
      <c r="C351" t="s">
        <v>3</v>
      </c>
      <c r="D351" t="s">
        <v>152</v>
      </c>
      <c r="E351">
        <v>59</v>
      </c>
      <c r="F351">
        <v>31</v>
      </c>
      <c r="G351">
        <v>1</v>
      </c>
      <c r="H351">
        <v>3</v>
      </c>
      <c r="I351">
        <v>0</v>
      </c>
      <c r="J351">
        <v>0</v>
      </c>
      <c r="K351">
        <v>0</v>
      </c>
      <c r="L351">
        <v>0</v>
      </c>
      <c r="N351">
        <v>41</v>
      </c>
      <c r="O351">
        <f t="shared" si="10"/>
        <v>2024</v>
      </c>
      <c r="P351">
        <f t="shared" si="11"/>
        <v>8</v>
      </c>
      <c r="Q351" t="str">
        <f>_xlfn.XLOOKUP(B351,全店核心数据_bymonth!A:A,全店核心数据_bymonth!AN:AN)</f>
        <v>BU25</v>
      </c>
    </row>
    <row r="352" spans="1:17" x14ac:dyDescent="0.3">
      <c r="A352" t="s">
        <v>110</v>
      </c>
      <c r="B352" s="16">
        <v>45505</v>
      </c>
      <c r="C352" t="s">
        <v>3</v>
      </c>
      <c r="D352" t="s">
        <v>150</v>
      </c>
      <c r="E352">
        <v>123</v>
      </c>
      <c r="F352">
        <v>81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N352">
        <v>60</v>
      </c>
      <c r="O352">
        <f t="shared" si="10"/>
        <v>2024</v>
      </c>
      <c r="P352">
        <f t="shared" si="11"/>
        <v>8</v>
      </c>
      <c r="Q352" t="str">
        <f>_xlfn.XLOOKUP(B352,全店核心数据_bymonth!A:A,全店核心数据_bymonth!AN:AN)</f>
        <v>BU25</v>
      </c>
    </row>
    <row r="353" spans="1:17" x14ac:dyDescent="0.3">
      <c r="A353" t="s">
        <v>110</v>
      </c>
      <c r="B353" s="16">
        <v>45505</v>
      </c>
      <c r="C353" t="s">
        <v>3</v>
      </c>
      <c r="D353" t="s">
        <v>149</v>
      </c>
      <c r="E353">
        <v>407</v>
      </c>
      <c r="F353">
        <v>296</v>
      </c>
      <c r="G353">
        <v>4</v>
      </c>
      <c r="H353">
        <v>7</v>
      </c>
      <c r="I353">
        <v>0</v>
      </c>
      <c r="J353">
        <v>0</v>
      </c>
      <c r="K353">
        <v>0</v>
      </c>
      <c r="L353">
        <v>0</v>
      </c>
      <c r="N353">
        <v>342</v>
      </c>
      <c r="O353">
        <f t="shared" si="10"/>
        <v>2024</v>
      </c>
      <c r="P353">
        <f t="shared" si="11"/>
        <v>8</v>
      </c>
      <c r="Q353" t="str">
        <f>_xlfn.XLOOKUP(B353,全店核心数据_bymonth!A:A,全店核心数据_bymonth!AN:AN)</f>
        <v>BU25</v>
      </c>
    </row>
    <row r="354" spans="1:17" x14ac:dyDescent="0.3">
      <c r="A354" t="s">
        <v>110</v>
      </c>
      <c r="B354" s="16">
        <v>45505</v>
      </c>
      <c r="C354" t="s">
        <v>3</v>
      </c>
      <c r="D354" t="s">
        <v>148</v>
      </c>
      <c r="E354">
        <v>22</v>
      </c>
      <c r="F354">
        <v>22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N354">
        <v>12</v>
      </c>
      <c r="O354">
        <f t="shared" si="10"/>
        <v>2024</v>
      </c>
      <c r="P354">
        <f t="shared" si="11"/>
        <v>8</v>
      </c>
      <c r="Q354" t="str">
        <f>_xlfn.XLOOKUP(B354,全店核心数据_bymonth!A:A,全店核心数据_bymonth!AN:AN)</f>
        <v>BU25</v>
      </c>
    </row>
    <row r="355" spans="1:17" x14ac:dyDescent="0.3">
      <c r="A355" t="s">
        <v>110</v>
      </c>
      <c r="B355" s="16">
        <v>45505</v>
      </c>
      <c r="C355" t="s">
        <v>3</v>
      </c>
      <c r="D355" t="s">
        <v>146</v>
      </c>
      <c r="E355">
        <v>2</v>
      </c>
      <c r="F355">
        <v>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N355">
        <v>2</v>
      </c>
      <c r="O355">
        <f t="shared" si="10"/>
        <v>2024</v>
      </c>
      <c r="P355">
        <f t="shared" si="11"/>
        <v>8</v>
      </c>
      <c r="Q355" t="str">
        <f>_xlfn.XLOOKUP(B355,全店核心数据_bymonth!A:A,全店核心数据_bymonth!AN:AN)</f>
        <v>BU25</v>
      </c>
    </row>
    <row r="356" spans="1:17" x14ac:dyDescent="0.3">
      <c r="A356" t="s">
        <v>110</v>
      </c>
      <c r="B356" s="16">
        <v>45505</v>
      </c>
      <c r="C356" t="s">
        <v>3</v>
      </c>
      <c r="D356" t="s">
        <v>251</v>
      </c>
      <c r="E356">
        <v>10639</v>
      </c>
      <c r="F356">
        <v>9193</v>
      </c>
      <c r="G356">
        <v>45</v>
      </c>
      <c r="H356">
        <v>49</v>
      </c>
      <c r="I356">
        <v>103800</v>
      </c>
      <c r="J356">
        <v>17</v>
      </c>
      <c r="K356">
        <v>78865</v>
      </c>
      <c r="L356">
        <v>15</v>
      </c>
      <c r="N356">
        <v>2682</v>
      </c>
      <c r="O356">
        <f t="shared" si="10"/>
        <v>2024</v>
      </c>
      <c r="P356">
        <f t="shared" si="11"/>
        <v>8</v>
      </c>
      <c r="Q356" t="str">
        <f>_xlfn.XLOOKUP(B356,全店核心数据_bymonth!A:A,全店核心数据_bymonth!AN:AN)</f>
        <v>BU25</v>
      </c>
    </row>
    <row r="357" spans="1:17" x14ac:dyDescent="0.3">
      <c r="A357" t="s">
        <v>110</v>
      </c>
      <c r="B357" s="16">
        <v>45505</v>
      </c>
      <c r="C357" t="s">
        <v>3</v>
      </c>
      <c r="D357" t="s">
        <v>143</v>
      </c>
      <c r="E357">
        <v>263</v>
      </c>
      <c r="F357">
        <v>254</v>
      </c>
      <c r="G357">
        <v>0</v>
      </c>
      <c r="H357">
        <v>2</v>
      </c>
      <c r="I357">
        <v>0</v>
      </c>
      <c r="J357">
        <v>0</v>
      </c>
      <c r="K357">
        <v>0</v>
      </c>
      <c r="L357">
        <v>0</v>
      </c>
      <c r="N357">
        <v>263</v>
      </c>
      <c r="O357">
        <f t="shared" si="10"/>
        <v>2024</v>
      </c>
      <c r="P357">
        <f t="shared" si="11"/>
        <v>8</v>
      </c>
      <c r="Q357" t="str">
        <f>_xlfn.XLOOKUP(B357,全店核心数据_bymonth!A:A,全店核心数据_bymonth!AN:AN)</f>
        <v>BU25</v>
      </c>
    </row>
    <row r="358" spans="1:17" x14ac:dyDescent="0.3">
      <c r="A358" t="s">
        <v>110</v>
      </c>
      <c r="B358" s="16">
        <v>45505</v>
      </c>
      <c r="C358" t="s">
        <v>3</v>
      </c>
      <c r="D358" t="s">
        <v>141</v>
      </c>
      <c r="E358">
        <v>22</v>
      </c>
      <c r="F358">
        <v>22</v>
      </c>
      <c r="G358">
        <v>1</v>
      </c>
      <c r="H358">
        <v>0</v>
      </c>
      <c r="I358">
        <v>820</v>
      </c>
      <c r="J358">
        <v>1</v>
      </c>
      <c r="K358">
        <v>820</v>
      </c>
      <c r="L358">
        <v>1</v>
      </c>
      <c r="N358">
        <v>13</v>
      </c>
      <c r="O358">
        <f t="shared" si="10"/>
        <v>2024</v>
      </c>
      <c r="P358">
        <f t="shared" si="11"/>
        <v>8</v>
      </c>
      <c r="Q358" t="str">
        <f>_xlfn.XLOOKUP(B358,全店核心数据_bymonth!A:A,全店核心数据_bymonth!AN:AN)</f>
        <v>BU25</v>
      </c>
    </row>
    <row r="359" spans="1:17" x14ac:dyDescent="0.3">
      <c r="A359" t="s">
        <v>110</v>
      </c>
      <c r="B359" s="16">
        <v>45505</v>
      </c>
      <c r="C359" t="s">
        <v>3</v>
      </c>
      <c r="D359" t="s">
        <v>140</v>
      </c>
      <c r="E359">
        <v>83</v>
      </c>
      <c r="F359">
        <v>73</v>
      </c>
      <c r="G359">
        <v>8</v>
      </c>
      <c r="H359">
        <v>1</v>
      </c>
      <c r="I359">
        <v>5585</v>
      </c>
      <c r="J359">
        <v>4</v>
      </c>
      <c r="K359">
        <v>5585</v>
      </c>
      <c r="L359">
        <v>4</v>
      </c>
      <c r="N359">
        <v>69</v>
      </c>
      <c r="O359">
        <f t="shared" si="10"/>
        <v>2024</v>
      </c>
      <c r="P359">
        <f t="shared" si="11"/>
        <v>8</v>
      </c>
      <c r="Q359" t="str">
        <f>_xlfn.XLOOKUP(B359,全店核心数据_bymonth!A:A,全店核心数据_bymonth!AN:AN)</f>
        <v>BU25</v>
      </c>
    </row>
    <row r="360" spans="1:17" x14ac:dyDescent="0.3">
      <c r="A360" t="s">
        <v>110</v>
      </c>
      <c r="B360" s="16">
        <v>45505</v>
      </c>
      <c r="C360" t="s">
        <v>3</v>
      </c>
      <c r="D360" t="s">
        <v>139</v>
      </c>
      <c r="E360">
        <v>5754</v>
      </c>
      <c r="F360">
        <v>4298</v>
      </c>
      <c r="G360">
        <v>106</v>
      </c>
      <c r="H360">
        <v>88</v>
      </c>
      <c r="I360">
        <v>338540</v>
      </c>
      <c r="J360">
        <v>49</v>
      </c>
      <c r="K360">
        <v>295775</v>
      </c>
      <c r="L360">
        <v>48</v>
      </c>
      <c r="N360">
        <v>3625</v>
      </c>
      <c r="O360">
        <f t="shared" si="10"/>
        <v>2024</v>
      </c>
      <c r="P360">
        <f t="shared" si="11"/>
        <v>8</v>
      </c>
      <c r="Q360" t="str">
        <f>_xlfn.XLOOKUP(B360,全店核心数据_bymonth!A:A,全店核心数据_bymonth!AN:AN)</f>
        <v>BU25</v>
      </c>
    </row>
    <row r="361" spans="1:17" x14ac:dyDescent="0.3">
      <c r="A361" t="s">
        <v>110</v>
      </c>
      <c r="B361" s="16">
        <v>45505</v>
      </c>
      <c r="C361" t="s">
        <v>3</v>
      </c>
      <c r="D361" t="s">
        <v>138</v>
      </c>
      <c r="E361">
        <v>352</v>
      </c>
      <c r="F361">
        <v>199</v>
      </c>
      <c r="G361">
        <v>15</v>
      </c>
      <c r="H361">
        <v>6</v>
      </c>
      <c r="I361">
        <v>14095</v>
      </c>
      <c r="J361">
        <v>2</v>
      </c>
      <c r="K361">
        <v>14095</v>
      </c>
      <c r="L361">
        <v>2</v>
      </c>
      <c r="N361">
        <v>344</v>
      </c>
      <c r="O361">
        <f t="shared" si="10"/>
        <v>2024</v>
      </c>
      <c r="P361">
        <f t="shared" si="11"/>
        <v>8</v>
      </c>
      <c r="Q361" t="str">
        <f>_xlfn.XLOOKUP(B361,全店核心数据_bymonth!A:A,全店核心数据_bymonth!AN:AN)</f>
        <v>BU25</v>
      </c>
    </row>
    <row r="362" spans="1:17" x14ac:dyDescent="0.3">
      <c r="A362" t="s">
        <v>110</v>
      </c>
      <c r="B362" s="16">
        <v>45505</v>
      </c>
      <c r="C362" t="s">
        <v>3</v>
      </c>
      <c r="D362" t="s">
        <v>137</v>
      </c>
      <c r="E362">
        <v>40</v>
      </c>
      <c r="F362">
        <v>30</v>
      </c>
      <c r="G362">
        <v>0</v>
      </c>
      <c r="H362">
        <v>0</v>
      </c>
      <c r="I362">
        <v>3195</v>
      </c>
      <c r="J362">
        <v>1</v>
      </c>
      <c r="K362">
        <v>3195</v>
      </c>
      <c r="L362">
        <v>1</v>
      </c>
      <c r="N362">
        <v>40</v>
      </c>
      <c r="O362">
        <f t="shared" si="10"/>
        <v>2024</v>
      </c>
      <c r="P362">
        <f t="shared" si="11"/>
        <v>8</v>
      </c>
      <c r="Q362" t="str">
        <f>_xlfn.XLOOKUP(B362,全店核心数据_bymonth!A:A,全店核心数据_bymonth!AN:AN)</f>
        <v>BU25</v>
      </c>
    </row>
    <row r="363" spans="1:17" x14ac:dyDescent="0.3">
      <c r="A363" t="s">
        <v>110</v>
      </c>
      <c r="B363" s="16">
        <v>45505</v>
      </c>
      <c r="C363" t="s">
        <v>3</v>
      </c>
      <c r="D363" t="s">
        <v>135</v>
      </c>
      <c r="E363">
        <v>46</v>
      </c>
      <c r="F363">
        <v>32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N363">
        <v>10</v>
      </c>
      <c r="O363">
        <f t="shared" si="10"/>
        <v>2024</v>
      </c>
      <c r="P363">
        <f t="shared" si="11"/>
        <v>8</v>
      </c>
      <c r="Q363" t="str">
        <f>_xlfn.XLOOKUP(B363,全店核心数据_bymonth!A:A,全店核心数据_bymonth!AN:AN)</f>
        <v>BU25</v>
      </c>
    </row>
    <row r="364" spans="1:17" x14ac:dyDescent="0.3">
      <c r="A364" t="s">
        <v>110</v>
      </c>
      <c r="B364" s="16">
        <v>45505</v>
      </c>
      <c r="C364" t="s">
        <v>3</v>
      </c>
      <c r="D364" t="s">
        <v>133</v>
      </c>
      <c r="E364">
        <v>194</v>
      </c>
      <c r="F364">
        <v>167</v>
      </c>
      <c r="G364">
        <v>3</v>
      </c>
      <c r="H364">
        <v>4</v>
      </c>
      <c r="I364">
        <v>43540</v>
      </c>
      <c r="J364">
        <v>4</v>
      </c>
      <c r="K364">
        <v>30040</v>
      </c>
      <c r="L364">
        <v>3</v>
      </c>
      <c r="N364">
        <v>163</v>
      </c>
      <c r="O364">
        <f t="shared" si="10"/>
        <v>2024</v>
      </c>
      <c r="P364">
        <f t="shared" si="11"/>
        <v>8</v>
      </c>
      <c r="Q364" t="str">
        <f>_xlfn.XLOOKUP(B364,全店核心数据_bymonth!A:A,全店核心数据_bymonth!AN:AN)</f>
        <v>BU25</v>
      </c>
    </row>
    <row r="365" spans="1:17" x14ac:dyDescent="0.3">
      <c r="A365" t="s">
        <v>110</v>
      </c>
      <c r="B365" s="16">
        <v>45505</v>
      </c>
      <c r="C365" t="s">
        <v>3</v>
      </c>
      <c r="D365" t="s">
        <v>132</v>
      </c>
      <c r="E365">
        <v>1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N365">
        <v>1</v>
      </c>
      <c r="O365">
        <f t="shared" si="10"/>
        <v>2024</v>
      </c>
      <c r="P365">
        <f t="shared" si="11"/>
        <v>8</v>
      </c>
      <c r="Q365" t="str">
        <f>_xlfn.XLOOKUP(B365,全店核心数据_bymonth!A:A,全店核心数据_bymonth!AN:AN)</f>
        <v>BU25</v>
      </c>
    </row>
    <row r="366" spans="1:17" x14ac:dyDescent="0.3">
      <c r="A366" t="s">
        <v>110</v>
      </c>
      <c r="B366" s="16">
        <v>45505</v>
      </c>
      <c r="C366" t="s">
        <v>3</v>
      </c>
      <c r="D366" t="s">
        <v>130</v>
      </c>
      <c r="E366">
        <v>1251</v>
      </c>
      <c r="F366">
        <v>915</v>
      </c>
      <c r="G366">
        <v>39</v>
      </c>
      <c r="H366">
        <v>24</v>
      </c>
      <c r="I366">
        <v>313965</v>
      </c>
      <c r="J366">
        <v>35</v>
      </c>
      <c r="K366">
        <v>271275</v>
      </c>
      <c r="L366">
        <v>34</v>
      </c>
      <c r="N366">
        <v>1106</v>
      </c>
      <c r="O366">
        <f t="shared" si="10"/>
        <v>2024</v>
      </c>
      <c r="P366">
        <f t="shared" si="11"/>
        <v>8</v>
      </c>
      <c r="Q366" t="str">
        <f>_xlfn.XLOOKUP(B366,全店核心数据_bymonth!A:A,全店核心数据_bymonth!AN:AN)</f>
        <v>BU25</v>
      </c>
    </row>
    <row r="367" spans="1:17" x14ac:dyDescent="0.3">
      <c r="A367" t="s">
        <v>110</v>
      </c>
      <c r="B367" s="16">
        <v>45505</v>
      </c>
      <c r="C367" t="s">
        <v>3</v>
      </c>
      <c r="D367" t="s">
        <v>129</v>
      </c>
      <c r="E367">
        <v>33</v>
      </c>
      <c r="F367">
        <v>24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N367">
        <v>5</v>
      </c>
      <c r="O367">
        <f t="shared" si="10"/>
        <v>2024</v>
      </c>
      <c r="P367">
        <f t="shared" si="11"/>
        <v>8</v>
      </c>
      <c r="Q367" t="str">
        <f>_xlfn.XLOOKUP(B367,全店核心数据_bymonth!A:A,全店核心数据_bymonth!AN:AN)</f>
        <v>BU25</v>
      </c>
    </row>
    <row r="368" spans="1:17" x14ac:dyDescent="0.3">
      <c r="A368" t="s">
        <v>110</v>
      </c>
      <c r="B368" s="16">
        <v>45505</v>
      </c>
      <c r="C368" t="s">
        <v>3</v>
      </c>
      <c r="D368" t="s">
        <v>128</v>
      </c>
      <c r="E368">
        <v>8440</v>
      </c>
      <c r="F368">
        <v>7557</v>
      </c>
      <c r="G368">
        <v>209</v>
      </c>
      <c r="H368">
        <v>105</v>
      </c>
      <c r="I368">
        <v>153570</v>
      </c>
      <c r="J368">
        <v>23</v>
      </c>
      <c r="K368">
        <v>78890</v>
      </c>
      <c r="L368">
        <v>18</v>
      </c>
      <c r="N368">
        <v>6867</v>
      </c>
      <c r="O368">
        <f t="shared" si="10"/>
        <v>2024</v>
      </c>
      <c r="P368">
        <f t="shared" si="11"/>
        <v>8</v>
      </c>
      <c r="Q368" t="str">
        <f>_xlfn.XLOOKUP(B368,全店核心数据_bymonth!A:A,全店核心数据_bymonth!AN:AN)</f>
        <v>BU25</v>
      </c>
    </row>
    <row r="369" spans="1:17" x14ac:dyDescent="0.3">
      <c r="A369" t="s">
        <v>110</v>
      </c>
      <c r="B369" s="16">
        <v>45505</v>
      </c>
      <c r="C369" t="s">
        <v>3</v>
      </c>
      <c r="D369" t="s">
        <v>127</v>
      </c>
      <c r="E369">
        <v>12151</v>
      </c>
      <c r="F369">
        <v>10178</v>
      </c>
      <c r="G369">
        <v>102</v>
      </c>
      <c r="H369">
        <v>73</v>
      </c>
      <c r="I369">
        <v>129910</v>
      </c>
      <c r="J369">
        <v>18</v>
      </c>
      <c r="K369">
        <v>96180</v>
      </c>
      <c r="L369">
        <v>16</v>
      </c>
      <c r="N369">
        <v>9102</v>
      </c>
      <c r="O369">
        <f t="shared" si="10"/>
        <v>2024</v>
      </c>
      <c r="P369">
        <f t="shared" si="11"/>
        <v>8</v>
      </c>
      <c r="Q369" t="str">
        <f>_xlfn.XLOOKUP(B369,全店核心数据_bymonth!A:A,全店核心数据_bymonth!AN:AN)</f>
        <v>BU25</v>
      </c>
    </row>
    <row r="370" spans="1:17" x14ac:dyDescent="0.3">
      <c r="A370" t="s">
        <v>110</v>
      </c>
      <c r="B370" s="16">
        <v>45505</v>
      </c>
      <c r="C370" t="s">
        <v>3</v>
      </c>
      <c r="D370" t="s">
        <v>126</v>
      </c>
      <c r="E370">
        <v>2030</v>
      </c>
      <c r="F370">
        <v>1803</v>
      </c>
      <c r="G370">
        <v>44</v>
      </c>
      <c r="H370">
        <v>47</v>
      </c>
      <c r="I370">
        <v>82890</v>
      </c>
      <c r="J370">
        <v>7</v>
      </c>
      <c r="K370">
        <v>52890</v>
      </c>
      <c r="L370">
        <v>5</v>
      </c>
      <c r="N370">
        <v>1944</v>
      </c>
      <c r="O370">
        <f t="shared" si="10"/>
        <v>2024</v>
      </c>
      <c r="P370">
        <f t="shared" si="11"/>
        <v>8</v>
      </c>
      <c r="Q370" t="str">
        <f>_xlfn.XLOOKUP(B370,全店核心数据_bymonth!A:A,全店核心数据_bymonth!AN:AN)</f>
        <v>BU25</v>
      </c>
    </row>
    <row r="371" spans="1:17" x14ac:dyDescent="0.3">
      <c r="A371" t="s">
        <v>110</v>
      </c>
      <c r="B371" s="16">
        <v>45505</v>
      </c>
      <c r="C371" t="s">
        <v>3</v>
      </c>
      <c r="D371" t="s">
        <v>125</v>
      </c>
      <c r="E371">
        <v>34</v>
      </c>
      <c r="F371">
        <v>29</v>
      </c>
      <c r="G371">
        <v>1</v>
      </c>
      <c r="H371">
        <v>1</v>
      </c>
      <c r="I371">
        <v>0</v>
      </c>
      <c r="J371">
        <v>0</v>
      </c>
      <c r="K371">
        <v>0</v>
      </c>
      <c r="L371">
        <v>0</v>
      </c>
      <c r="N371">
        <v>31</v>
      </c>
      <c r="O371">
        <f t="shared" si="10"/>
        <v>2024</v>
      </c>
      <c r="P371">
        <f t="shared" si="11"/>
        <v>8</v>
      </c>
      <c r="Q371" t="str">
        <f>_xlfn.XLOOKUP(B371,全店核心数据_bymonth!A:A,全店核心数据_bymonth!AN:AN)</f>
        <v>BU25</v>
      </c>
    </row>
    <row r="372" spans="1:17" x14ac:dyDescent="0.3">
      <c r="A372" t="s">
        <v>110</v>
      </c>
      <c r="B372" s="16">
        <v>45505</v>
      </c>
      <c r="C372" t="s">
        <v>3</v>
      </c>
      <c r="D372" t="s">
        <v>123</v>
      </c>
      <c r="E372">
        <v>1569</v>
      </c>
      <c r="F372">
        <v>1068</v>
      </c>
      <c r="G372">
        <v>42</v>
      </c>
      <c r="H372">
        <v>32</v>
      </c>
      <c r="I372">
        <v>47025</v>
      </c>
      <c r="J372">
        <v>5</v>
      </c>
      <c r="K372">
        <v>42080</v>
      </c>
      <c r="L372">
        <v>5</v>
      </c>
      <c r="N372">
        <v>1316</v>
      </c>
      <c r="O372">
        <f t="shared" si="10"/>
        <v>2024</v>
      </c>
      <c r="P372">
        <f t="shared" si="11"/>
        <v>8</v>
      </c>
      <c r="Q372" t="str">
        <f>_xlfn.XLOOKUP(B372,全店核心数据_bymonth!A:A,全店核心数据_bymonth!AN:AN)</f>
        <v>BU25</v>
      </c>
    </row>
    <row r="373" spans="1:17" x14ac:dyDescent="0.3">
      <c r="A373" t="s">
        <v>110</v>
      </c>
      <c r="B373" s="16">
        <v>45505</v>
      </c>
      <c r="C373" t="s">
        <v>3</v>
      </c>
      <c r="D373" t="s">
        <v>121</v>
      </c>
      <c r="E373">
        <v>9</v>
      </c>
      <c r="F373">
        <v>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N373">
        <v>7</v>
      </c>
      <c r="O373">
        <f t="shared" si="10"/>
        <v>2024</v>
      </c>
      <c r="P373">
        <f t="shared" si="11"/>
        <v>8</v>
      </c>
      <c r="Q373" t="str">
        <f>_xlfn.XLOOKUP(B373,全店核心数据_bymonth!A:A,全店核心数据_bymonth!AN:AN)</f>
        <v>BU25</v>
      </c>
    </row>
    <row r="374" spans="1:17" x14ac:dyDescent="0.3">
      <c r="A374" t="s">
        <v>110</v>
      </c>
      <c r="B374" s="16">
        <v>45505</v>
      </c>
      <c r="C374" t="s">
        <v>3</v>
      </c>
      <c r="D374" t="s">
        <v>120</v>
      </c>
      <c r="E374">
        <v>3178</v>
      </c>
      <c r="F374">
        <v>2886</v>
      </c>
      <c r="G374">
        <v>15</v>
      </c>
      <c r="H374">
        <v>0</v>
      </c>
      <c r="I374">
        <v>44335</v>
      </c>
      <c r="J374">
        <v>10</v>
      </c>
      <c r="K374">
        <v>43985</v>
      </c>
      <c r="L374">
        <v>9</v>
      </c>
      <c r="N374">
        <v>3060</v>
      </c>
      <c r="O374">
        <f t="shared" si="10"/>
        <v>2024</v>
      </c>
      <c r="P374">
        <f t="shared" si="11"/>
        <v>8</v>
      </c>
      <c r="Q374" t="str">
        <f>_xlfn.XLOOKUP(B374,全店核心数据_bymonth!A:A,全店核心数据_bymonth!AN:AN)</f>
        <v>BU25</v>
      </c>
    </row>
    <row r="375" spans="1:17" x14ac:dyDescent="0.3">
      <c r="A375" t="s">
        <v>110</v>
      </c>
      <c r="B375" s="16">
        <v>45505</v>
      </c>
      <c r="C375" t="s">
        <v>3</v>
      </c>
      <c r="D375" t="s">
        <v>119</v>
      </c>
      <c r="E375">
        <v>1730</v>
      </c>
      <c r="F375">
        <v>1144</v>
      </c>
      <c r="G375">
        <v>51</v>
      </c>
      <c r="H375">
        <v>36</v>
      </c>
      <c r="I375">
        <v>242465</v>
      </c>
      <c r="J375">
        <v>34</v>
      </c>
      <c r="K375">
        <v>218570</v>
      </c>
      <c r="L375">
        <v>32</v>
      </c>
      <c r="N375">
        <v>1615</v>
      </c>
      <c r="O375">
        <f t="shared" si="10"/>
        <v>2024</v>
      </c>
      <c r="P375">
        <f t="shared" si="11"/>
        <v>8</v>
      </c>
      <c r="Q375" t="str">
        <f>_xlfn.XLOOKUP(B375,全店核心数据_bymonth!A:A,全店核心数据_bymonth!AN:AN)</f>
        <v>BU25</v>
      </c>
    </row>
    <row r="376" spans="1:17" x14ac:dyDescent="0.3">
      <c r="A376" t="s">
        <v>110</v>
      </c>
      <c r="B376" s="16">
        <v>45505</v>
      </c>
      <c r="C376" t="s">
        <v>3</v>
      </c>
      <c r="D376" t="s">
        <v>252</v>
      </c>
      <c r="E376">
        <v>51</v>
      </c>
      <c r="F376">
        <v>43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0</v>
      </c>
      <c r="N376">
        <v>51</v>
      </c>
      <c r="O376">
        <f t="shared" si="10"/>
        <v>2024</v>
      </c>
      <c r="P376">
        <f t="shared" si="11"/>
        <v>8</v>
      </c>
      <c r="Q376" t="str">
        <f>_xlfn.XLOOKUP(B376,全店核心数据_bymonth!A:A,全店核心数据_bymonth!AN:AN)</f>
        <v>BU25</v>
      </c>
    </row>
    <row r="377" spans="1:17" x14ac:dyDescent="0.3">
      <c r="A377" t="s">
        <v>110</v>
      </c>
      <c r="B377" s="16">
        <v>45505</v>
      </c>
      <c r="C377" t="s">
        <v>3</v>
      </c>
      <c r="D377" t="s">
        <v>117</v>
      </c>
      <c r="E377">
        <v>1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N377">
        <v>1</v>
      </c>
      <c r="O377">
        <f t="shared" si="10"/>
        <v>2024</v>
      </c>
      <c r="P377">
        <f t="shared" si="11"/>
        <v>8</v>
      </c>
      <c r="Q377" t="str">
        <f>_xlfn.XLOOKUP(B377,全店核心数据_bymonth!A:A,全店核心数据_bymonth!AN:AN)</f>
        <v>BU25</v>
      </c>
    </row>
    <row r="378" spans="1:17" x14ac:dyDescent="0.3">
      <c r="A378" t="s">
        <v>110</v>
      </c>
      <c r="B378" s="16">
        <v>45505</v>
      </c>
      <c r="C378" t="s">
        <v>3</v>
      </c>
      <c r="D378" t="s">
        <v>115</v>
      </c>
      <c r="E378">
        <v>27</v>
      </c>
      <c r="F378">
        <v>27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N378">
        <v>24</v>
      </c>
      <c r="O378">
        <f t="shared" si="10"/>
        <v>2024</v>
      </c>
      <c r="P378">
        <f t="shared" si="11"/>
        <v>8</v>
      </c>
      <c r="Q378" t="str">
        <f>_xlfn.XLOOKUP(B378,全店核心数据_bymonth!A:A,全店核心数据_bymonth!AN:AN)</f>
        <v>BU25</v>
      </c>
    </row>
    <row r="379" spans="1:17" x14ac:dyDescent="0.3">
      <c r="A379" t="s">
        <v>110</v>
      </c>
      <c r="B379" s="16">
        <v>45505</v>
      </c>
      <c r="C379" t="s">
        <v>3</v>
      </c>
      <c r="D379" t="s">
        <v>113</v>
      </c>
      <c r="E379">
        <v>1477</v>
      </c>
      <c r="F379">
        <v>1218</v>
      </c>
      <c r="G379">
        <v>28</v>
      </c>
      <c r="H379">
        <v>15</v>
      </c>
      <c r="I379">
        <v>6570</v>
      </c>
      <c r="J379">
        <v>2</v>
      </c>
      <c r="K379">
        <v>6570</v>
      </c>
      <c r="L379">
        <v>2</v>
      </c>
      <c r="N379">
        <v>721</v>
      </c>
      <c r="O379">
        <f t="shared" si="10"/>
        <v>2024</v>
      </c>
      <c r="P379">
        <f t="shared" si="11"/>
        <v>8</v>
      </c>
      <c r="Q379" t="str">
        <f>_xlfn.XLOOKUP(B379,全店核心数据_bymonth!A:A,全店核心数据_bymonth!AN:AN)</f>
        <v>BU25</v>
      </c>
    </row>
    <row r="380" spans="1:17" x14ac:dyDescent="0.3">
      <c r="A380" t="s">
        <v>110</v>
      </c>
      <c r="B380" s="16">
        <v>45505</v>
      </c>
      <c r="C380" t="s">
        <v>3</v>
      </c>
      <c r="D380" t="s">
        <v>112</v>
      </c>
      <c r="E380">
        <v>147</v>
      </c>
      <c r="F380">
        <v>87</v>
      </c>
      <c r="G380">
        <v>0</v>
      </c>
      <c r="H380">
        <v>0</v>
      </c>
      <c r="I380">
        <v>11295</v>
      </c>
      <c r="J380">
        <v>3</v>
      </c>
      <c r="K380">
        <v>11295</v>
      </c>
      <c r="L380">
        <v>3</v>
      </c>
      <c r="N380">
        <v>147</v>
      </c>
      <c r="O380">
        <f t="shared" si="10"/>
        <v>2024</v>
      </c>
      <c r="P380">
        <f t="shared" si="11"/>
        <v>8</v>
      </c>
      <c r="Q380" t="str">
        <f>_xlfn.XLOOKUP(B380,全店核心数据_bymonth!A:A,全店核心数据_bymonth!AN:AN)</f>
        <v>BU25</v>
      </c>
    </row>
    <row r="381" spans="1:17" x14ac:dyDescent="0.3">
      <c r="A381" t="s">
        <v>110</v>
      </c>
      <c r="B381" s="16">
        <v>45139</v>
      </c>
      <c r="C381" t="s">
        <v>2</v>
      </c>
      <c r="D381" t="s">
        <v>4</v>
      </c>
      <c r="E381">
        <v>3477</v>
      </c>
      <c r="F381">
        <v>2004</v>
      </c>
      <c r="G381">
        <v>13</v>
      </c>
      <c r="H381">
        <v>10</v>
      </c>
      <c r="I381">
        <v>13439</v>
      </c>
      <c r="J381">
        <v>4</v>
      </c>
      <c r="K381">
        <v>13439</v>
      </c>
      <c r="L381">
        <v>4</v>
      </c>
      <c r="N381">
        <v>3184</v>
      </c>
      <c r="O381">
        <f t="shared" si="10"/>
        <v>2023</v>
      </c>
      <c r="P381">
        <f t="shared" si="11"/>
        <v>8</v>
      </c>
      <c r="Q381" t="str">
        <f>_xlfn.XLOOKUP(B381,全店核心数据_bymonth!A:A,全店核心数据_bymonth!AN:AN)</f>
        <v>BU24</v>
      </c>
    </row>
    <row r="382" spans="1:17" x14ac:dyDescent="0.3">
      <c r="A382" t="s">
        <v>110</v>
      </c>
      <c r="B382" s="16">
        <v>45139</v>
      </c>
      <c r="C382" t="s">
        <v>2</v>
      </c>
      <c r="D382" t="s">
        <v>57</v>
      </c>
      <c r="E382">
        <v>136414</v>
      </c>
      <c r="F382">
        <v>130406</v>
      </c>
      <c r="G382">
        <v>1033</v>
      </c>
      <c r="H382">
        <v>829</v>
      </c>
      <c r="I382">
        <v>881135.98</v>
      </c>
      <c r="J382">
        <v>148</v>
      </c>
      <c r="K382">
        <v>332046.5</v>
      </c>
      <c r="L382">
        <v>94</v>
      </c>
      <c r="N382">
        <v>135381</v>
      </c>
      <c r="O382">
        <f t="shared" si="10"/>
        <v>2023</v>
      </c>
      <c r="P382">
        <f t="shared" si="11"/>
        <v>8</v>
      </c>
      <c r="Q382" t="str">
        <f>_xlfn.XLOOKUP(B382,全店核心数据_bymonth!A:A,全店核心数据_bymonth!AN:AN)</f>
        <v>BU24</v>
      </c>
    </row>
    <row r="383" spans="1:17" x14ac:dyDescent="0.3">
      <c r="A383" t="s">
        <v>110</v>
      </c>
      <c r="B383" s="16">
        <v>45139</v>
      </c>
      <c r="C383" t="s">
        <v>2</v>
      </c>
      <c r="D383" t="s">
        <v>52</v>
      </c>
      <c r="E383">
        <v>12963</v>
      </c>
      <c r="F383">
        <v>12340</v>
      </c>
      <c r="G383">
        <v>206</v>
      </c>
      <c r="H383">
        <v>84</v>
      </c>
      <c r="I383">
        <v>194399.5</v>
      </c>
      <c r="J383">
        <v>38</v>
      </c>
      <c r="K383">
        <v>176504.5</v>
      </c>
      <c r="L383">
        <v>36</v>
      </c>
      <c r="N383">
        <v>6180</v>
      </c>
      <c r="O383">
        <f t="shared" si="10"/>
        <v>2023</v>
      </c>
      <c r="P383">
        <f t="shared" si="11"/>
        <v>8</v>
      </c>
      <c r="Q383" t="str">
        <f>_xlfn.XLOOKUP(B383,全店核心数据_bymonth!A:A,全店核心数据_bymonth!AN:AN)</f>
        <v>BU24</v>
      </c>
    </row>
    <row r="384" spans="1:17" x14ac:dyDescent="0.3">
      <c r="A384" t="s">
        <v>110</v>
      </c>
      <c r="B384" s="16">
        <v>45139</v>
      </c>
      <c r="C384" t="s">
        <v>2</v>
      </c>
      <c r="D384" t="s">
        <v>55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N384">
        <v>1</v>
      </c>
      <c r="O384">
        <f t="shared" si="10"/>
        <v>2023</v>
      </c>
      <c r="P384">
        <f t="shared" si="11"/>
        <v>8</v>
      </c>
      <c r="Q384" t="str">
        <f>_xlfn.XLOOKUP(B384,全店核心数据_bymonth!A:A,全店核心数据_bymonth!AN:AN)</f>
        <v>BU24</v>
      </c>
    </row>
    <row r="385" spans="1:17" x14ac:dyDescent="0.3">
      <c r="A385" t="s">
        <v>110</v>
      </c>
      <c r="B385" s="16">
        <v>45139</v>
      </c>
      <c r="C385" t="s">
        <v>3</v>
      </c>
      <c r="D385" t="s">
        <v>155</v>
      </c>
      <c r="E385">
        <v>640</v>
      </c>
      <c r="F385">
        <v>546</v>
      </c>
      <c r="G385">
        <v>1</v>
      </c>
      <c r="H385">
        <v>2</v>
      </c>
      <c r="I385">
        <v>3935.5</v>
      </c>
      <c r="J385">
        <v>2</v>
      </c>
      <c r="K385">
        <v>3935.5</v>
      </c>
      <c r="L385">
        <v>2</v>
      </c>
      <c r="N385">
        <v>631</v>
      </c>
      <c r="O385">
        <f t="shared" si="10"/>
        <v>2023</v>
      </c>
      <c r="P385">
        <f t="shared" si="11"/>
        <v>8</v>
      </c>
      <c r="Q385" t="str">
        <f>_xlfn.XLOOKUP(B385,全店核心数据_bymonth!A:A,全店核心数据_bymonth!AN:AN)</f>
        <v>BU24</v>
      </c>
    </row>
    <row r="386" spans="1:17" x14ac:dyDescent="0.3">
      <c r="A386" t="s">
        <v>110</v>
      </c>
      <c r="B386" s="16">
        <v>45139</v>
      </c>
      <c r="C386" t="s">
        <v>3</v>
      </c>
      <c r="D386" t="s">
        <v>154</v>
      </c>
      <c r="E386">
        <v>50</v>
      </c>
      <c r="F386">
        <v>25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N386">
        <v>25</v>
      </c>
      <c r="O386">
        <f t="shared" ref="O386:O449" si="12">YEAR(B386)</f>
        <v>2023</v>
      </c>
      <c r="P386">
        <f t="shared" ref="P386:P449" si="13">MONTH(B386)</f>
        <v>8</v>
      </c>
      <c r="Q386" t="str">
        <f>_xlfn.XLOOKUP(B386,全店核心数据_bymonth!A:A,全店核心数据_bymonth!AN:AN)</f>
        <v>BU24</v>
      </c>
    </row>
    <row r="387" spans="1:17" x14ac:dyDescent="0.3">
      <c r="A387" t="s">
        <v>110</v>
      </c>
      <c r="B387" s="16">
        <v>45139</v>
      </c>
      <c r="C387" t="s">
        <v>3</v>
      </c>
      <c r="D387" t="s">
        <v>153</v>
      </c>
      <c r="E387">
        <v>2182</v>
      </c>
      <c r="F387">
        <v>1377</v>
      </c>
      <c r="G387">
        <v>161</v>
      </c>
      <c r="H387">
        <v>22</v>
      </c>
      <c r="I387">
        <v>610950.68999999994</v>
      </c>
      <c r="J387">
        <v>123</v>
      </c>
      <c r="K387">
        <v>479067.19</v>
      </c>
      <c r="L387">
        <v>110</v>
      </c>
      <c r="N387">
        <v>2082</v>
      </c>
      <c r="O387">
        <f t="shared" si="12"/>
        <v>2023</v>
      </c>
      <c r="P387">
        <f t="shared" si="13"/>
        <v>8</v>
      </c>
      <c r="Q387" t="str">
        <f>_xlfn.XLOOKUP(B387,全店核心数据_bymonth!A:A,全店核心数据_bymonth!AN:AN)</f>
        <v>BU24</v>
      </c>
    </row>
    <row r="388" spans="1:17" x14ac:dyDescent="0.3">
      <c r="A388" t="s">
        <v>110</v>
      </c>
      <c r="B388" s="16">
        <v>45139</v>
      </c>
      <c r="C388" t="s">
        <v>3</v>
      </c>
      <c r="D388" t="s">
        <v>152</v>
      </c>
      <c r="E388">
        <v>555</v>
      </c>
      <c r="F388">
        <v>377</v>
      </c>
      <c r="G388">
        <v>4</v>
      </c>
      <c r="H388">
        <v>3</v>
      </c>
      <c r="I388">
        <v>0</v>
      </c>
      <c r="J388">
        <v>0</v>
      </c>
      <c r="K388">
        <v>0</v>
      </c>
      <c r="L388">
        <v>0</v>
      </c>
      <c r="N388">
        <v>552</v>
      </c>
      <c r="O388">
        <f t="shared" si="12"/>
        <v>2023</v>
      </c>
      <c r="P388">
        <f t="shared" si="13"/>
        <v>8</v>
      </c>
      <c r="Q388" t="str">
        <f>_xlfn.XLOOKUP(B388,全店核心数据_bymonth!A:A,全店核心数据_bymonth!AN:AN)</f>
        <v>BU24</v>
      </c>
    </row>
    <row r="389" spans="1:17" x14ac:dyDescent="0.3">
      <c r="A389" t="s">
        <v>110</v>
      </c>
      <c r="B389" s="16">
        <v>45139</v>
      </c>
      <c r="C389" t="s">
        <v>3</v>
      </c>
      <c r="D389" t="s">
        <v>151</v>
      </c>
      <c r="E389">
        <v>16</v>
      </c>
      <c r="F389">
        <v>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N389">
        <v>16</v>
      </c>
      <c r="O389">
        <f t="shared" si="12"/>
        <v>2023</v>
      </c>
      <c r="P389">
        <f t="shared" si="13"/>
        <v>8</v>
      </c>
      <c r="Q389" t="str">
        <f>_xlfn.XLOOKUP(B389,全店核心数据_bymonth!A:A,全店核心数据_bymonth!AN:AN)</f>
        <v>BU24</v>
      </c>
    </row>
    <row r="390" spans="1:17" x14ac:dyDescent="0.3">
      <c r="A390" t="s">
        <v>110</v>
      </c>
      <c r="B390" s="16">
        <v>45139</v>
      </c>
      <c r="C390" t="s">
        <v>3</v>
      </c>
      <c r="D390" t="s">
        <v>198</v>
      </c>
      <c r="E390">
        <v>3</v>
      </c>
      <c r="F390">
        <v>2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N390">
        <v>3</v>
      </c>
      <c r="O390">
        <f t="shared" si="12"/>
        <v>2023</v>
      </c>
      <c r="P390">
        <f t="shared" si="13"/>
        <v>8</v>
      </c>
      <c r="Q390" t="str">
        <f>_xlfn.XLOOKUP(B390,全店核心数据_bymonth!A:A,全店核心数据_bymonth!AN:AN)</f>
        <v>BU24</v>
      </c>
    </row>
    <row r="391" spans="1:17" x14ac:dyDescent="0.3">
      <c r="A391" t="s">
        <v>110</v>
      </c>
      <c r="B391" s="16">
        <v>45139</v>
      </c>
      <c r="C391" t="s">
        <v>3</v>
      </c>
      <c r="D391" t="s">
        <v>149</v>
      </c>
      <c r="E391">
        <v>22</v>
      </c>
      <c r="F391">
        <v>15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N391">
        <v>17</v>
      </c>
      <c r="O391">
        <f t="shared" si="12"/>
        <v>2023</v>
      </c>
      <c r="P391">
        <f t="shared" si="13"/>
        <v>8</v>
      </c>
      <c r="Q391" t="str">
        <f>_xlfn.XLOOKUP(B391,全店核心数据_bymonth!A:A,全店核心数据_bymonth!AN:AN)</f>
        <v>BU24</v>
      </c>
    </row>
    <row r="392" spans="1:17" x14ac:dyDescent="0.3">
      <c r="A392" t="s">
        <v>110</v>
      </c>
      <c r="B392" s="16">
        <v>45139</v>
      </c>
      <c r="C392" t="s">
        <v>3</v>
      </c>
      <c r="D392" t="s">
        <v>148</v>
      </c>
      <c r="E392">
        <v>19</v>
      </c>
      <c r="F392">
        <v>13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N392">
        <v>13</v>
      </c>
      <c r="O392">
        <f t="shared" si="12"/>
        <v>2023</v>
      </c>
      <c r="P392">
        <f t="shared" si="13"/>
        <v>8</v>
      </c>
      <c r="Q392" t="str">
        <f>_xlfn.XLOOKUP(B392,全店核心数据_bymonth!A:A,全店核心数据_bymonth!AN:AN)</f>
        <v>BU24</v>
      </c>
    </row>
    <row r="393" spans="1:17" x14ac:dyDescent="0.3">
      <c r="A393" t="s">
        <v>110</v>
      </c>
      <c r="B393" s="16">
        <v>45139</v>
      </c>
      <c r="C393" t="s">
        <v>3</v>
      </c>
      <c r="D393" t="s">
        <v>251</v>
      </c>
      <c r="E393">
        <v>5189</v>
      </c>
      <c r="F393">
        <v>4498</v>
      </c>
      <c r="G393">
        <v>16</v>
      </c>
      <c r="H393">
        <v>27</v>
      </c>
      <c r="I393">
        <v>20204</v>
      </c>
      <c r="J393">
        <v>4</v>
      </c>
      <c r="K393">
        <v>15228</v>
      </c>
      <c r="L393">
        <v>3</v>
      </c>
      <c r="N393">
        <v>4929</v>
      </c>
      <c r="O393">
        <f t="shared" si="12"/>
        <v>2023</v>
      </c>
      <c r="P393">
        <f t="shared" si="13"/>
        <v>8</v>
      </c>
      <c r="Q393" t="str">
        <f>_xlfn.XLOOKUP(B393,全店核心数据_bymonth!A:A,全店核心数据_bymonth!AN:AN)</f>
        <v>BU24</v>
      </c>
    </row>
    <row r="394" spans="1:17" x14ac:dyDescent="0.3">
      <c r="A394" t="s">
        <v>110</v>
      </c>
      <c r="B394" s="16">
        <v>45139</v>
      </c>
      <c r="C394" t="s">
        <v>3</v>
      </c>
      <c r="D394" t="s">
        <v>143</v>
      </c>
      <c r="E394">
        <v>65</v>
      </c>
      <c r="F394">
        <v>51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N394">
        <v>65</v>
      </c>
      <c r="O394">
        <f t="shared" si="12"/>
        <v>2023</v>
      </c>
      <c r="P394">
        <f t="shared" si="13"/>
        <v>8</v>
      </c>
      <c r="Q394" t="str">
        <f>_xlfn.XLOOKUP(B394,全店核心数据_bymonth!A:A,全店核心数据_bymonth!AN:AN)</f>
        <v>BU24</v>
      </c>
    </row>
    <row r="395" spans="1:17" x14ac:dyDescent="0.3">
      <c r="A395" t="s">
        <v>110</v>
      </c>
      <c r="B395" s="16">
        <v>45139</v>
      </c>
      <c r="C395" t="s">
        <v>3</v>
      </c>
      <c r="D395" t="s">
        <v>142</v>
      </c>
      <c r="E395">
        <v>8</v>
      </c>
      <c r="F395">
        <v>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N395">
        <v>8</v>
      </c>
      <c r="O395">
        <f t="shared" si="12"/>
        <v>2023</v>
      </c>
      <c r="P395">
        <f t="shared" si="13"/>
        <v>8</v>
      </c>
      <c r="Q395" t="str">
        <f>_xlfn.XLOOKUP(B395,全店核心数据_bymonth!A:A,全店核心数据_bymonth!AN:AN)</f>
        <v>BU24</v>
      </c>
    </row>
    <row r="396" spans="1:17" x14ac:dyDescent="0.3">
      <c r="A396" t="s">
        <v>110</v>
      </c>
      <c r="B396" s="16">
        <v>45139</v>
      </c>
      <c r="C396" t="s">
        <v>3</v>
      </c>
      <c r="D396" t="s">
        <v>141</v>
      </c>
      <c r="E396">
        <v>101</v>
      </c>
      <c r="F396">
        <v>99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N396">
        <v>89</v>
      </c>
      <c r="O396">
        <f t="shared" si="12"/>
        <v>2023</v>
      </c>
      <c r="P396">
        <f t="shared" si="13"/>
        <v>8</v>
      </c>
      <c r="Q396" t="str">
        <f>_xlfn.XLOOKUP(B396,全店核心数据_bymonth!A:A,全店核心数据_bymonth!AN:AN)</f>
        <v>BU24</v>
      </c>
    </row>
    <row r="397" spans="1:17" x14ac:dyDescent="0.3">
      <c r="A397" t="s">
        <v>110</v>
      </c>
      <c r="B397" s="16">
        <v>45139</v>
      </c>
      <c r="C397" t="s">
        <v>3</v>
      </c>
      <c r="D397" t="s">
        <v>140</v>
      </c>
      <c r="E397">
        <v>51</v>
      </c>
      <c r="F397">
        <v>44</v>
      </c>
      <c r="G397">
        <v>1</v>
      </c>
      <c r="H397">
        <v>0</v>
      </c>
      <c r="I397">
        <v>15978</v>
      </c>
      <c r="J397">
        <v>4</v>
      </c>
      <c r="K397">
        <v>15978</v>
      </c>
      <c r="L397">
        <v>4</v>
      </c>
      <c r="N397">
        <v>49</v>
      </c>
      <c r="O397">
        <f t="shared" si="12"/>
        <v>2023</v>
      </c>
      <c r="P397">
        <f t="shared" si="13"/>
        <v>8</v>
      </c>
      <c r="Q397" t="str">
        <f>_xlfn.XLOOKUP(B397,全店核心数据_bymonth!A:A,全店核心数据_bymonth!AN:AN)</f>
        <v>BU24</v>
      </c>
    </row>
    <row r="398" spans="1:17" x14ac:dyDescent="0.3">
      <c r="A398" t="s">
        <v>110</v>
      </c>
      <c r="B398" s="16">
        <v>45139</v>
      </c>
      <c r="C398" t="s">
        <v>3</v>
      </c>
      <c r="D398" t="s">
        <v>139</v>
      </c>
      <c r="E398">
        <v>4479</v>
      </c>
      <c r="F398">
        <v>3333</v>
      </c>
      <c r="G398">
        <v>104</v>
      </c>
      <c r="H398">
        <v>38</v>
      </c>
      <c r="I398">
        <v>189778.01</v>
      </c>
      <c r="J398">
        <v>38</v>
      </c>
      <c r="K398">
        <v>130370.01</v>
      </c>
      <c r="L398">
        <v>32</v>
      </c>
      <c r="N398">
        <v>3021</v>
      </c>
      <c r="O398">
        <f t="shared" si="12"/>
        <v>2023</v>
      </c>
      <c r="P398">
        <f t="shared" si="13"/>
        <v>8</v>
      </c>
      <c r="Q398" t="str">
        <f>_xlfn.XLOOKUP(B398,全店核心数据_bymonth!A:A,全店核心数据_bymonth!AN:AN)</f>
        <v>BU24</v>
      </c>
    </row>
    <row r="399" spans="1:17" x14ac:dyDescent="0.3">
      <c r="A399" t="s">
        <v>110</v>
      </c>
      <c r="B399" s="16">
        <v>45139</v>
      </c>
      <c r="C399" t="s">
        <v>3</v>
      </c>
      <c r="D399" t="s">
        <v>187</v>
      </c>
      <c r="E399">
        <v>118</v>
      </c>
      <c r="F399">
        <v>111</v>
      </c>
      <c r="G399">
        <v>3</v>
      </c>
      <c r="H399">
        <v>1</v>
      </c>
      <c r="I399">
        <v>0</v>
      </c>
      <c r="J399">
        <v>0</v>
      </c>
      <c r="K399">
        <v>0</v>
      </c>
      <c r="L399">
        <v>0</v>
      </c>
      <c r="N399">
        <v>49</v>
      </c>
      <c r="O399">
        <f t="shared" si="12"/>
        <v>2023</v>
      </c>
      <c r="P399">
        <f t="shared" si="13"/>
        <v>8</v>
      </c>
      <c r="Q399" t="str">
        <f>_xlfn.XLOOKUP(B399,全店核心数据_bymonth!A:A,全店核心数据_bymonth!AN:AN)</f>
        <v>BU24</v>
      </c>
    </row>
    <row r="400" spans="1:17" x14ac:dyDescent="0.3">
      <c r="A400" t="s">
        <v>110</v>
      </c>
      <c r="B400" s="16">
        <v>45139</v>
      </c>
      <c r="C400" t="s">
        <v>3</v>
      </c>
      <c r="D400" t="s">
        <v>138</v>
      </c>
      <c r="E400">
        <v>3771</v>
      </c>
      <c r="F400">
        <v>3123</v>
      </c>
      <c r="G400">
        <v>37</v>
      </c>
      <c r="H400">
        <v>23</v>
      </c>
      <c r="I400">
        <v>39465.01</v>
      </c>
      <c r="J400">
        <v>8</v>
      </c>
      <c r="K400">
        <v>13025.01</v>
      </c>
      <c r="L400">
        <v>3</v>
      </c>
      <c r="N400">
        <v>2096</v>
      </c>
      <c r="O400">
        <f t="shared" si="12"/>
        <v>2023</v>
      </c>
      <c r="P400">
        <f t="shared" si="13"/>
        <v>8</v>
      </c>
      <c r="Q400" t="str">
        <f>_xlfn.XLOOKUP(B400,全店核心数据_bymonth!A:A,全店核心数据_bymonth!AN:AN)</f>
        <v>BU24</v>
      </c>
    </row>
    <row r="401" spans="1:17" x14ac:dyDescent="0.3">
      <c r="A401" t="s">
        <v>110</v>
      </c>
      <c r="B401" s="16">
        <v>45139</v>
      </c>
      <c r="C401" t="s">
        <v>3</v>
      </c>
      <c r="D401" t="s">
        <v>137</v>
      </c>
      <c r="E401">
        <v>56</v>
      </c>
      <c r="F401">
        <v>35</v>
      </c>
      <c r="G401">
        <v>2</v>
      </c>
      <c r="H401">
        <v>1</v>
      </c>
      <c r="I401">
        <v>5683</v>
      </c>
      <c r="J401">
        <v>2</v>
      </c>
      <c r="K401">
        <v>2488</v>
      </c>
      <c r="L401">
        <v>1</v>
      </c>
      <c r="N401">
        <v>55</v>
      </c>
      <c r="O401">
        <f t="shared" si="12"/>
        <v>2023</v>
      </c>
      <c r="P401">
        <f t="shared" si="13"/>
        <v>8</v>
      </c>
      <c r="Q401" t="str">
        <f>_xlfn.XLOOKUP(B401,全店核心数据_bymonth!A:A,全店核心数据_bymonth!AN:AN)</f>
        <v>BU24</v>
      </c>
    </row>
    <row r="402" spans="1:17" x14ac:dyDescent="0.3">
      <c r="A402" t="s">
        <v>110</v>
      </c>
      <c r="B402" s="16">
        <v>45139</v>
      </c>
      <c r="C402" t="s">
        <v>3</v>
      </c>
      <c r="D402" t="s">
        <v>135</v>
      </c>
      <c r="E402">
        <v>7</v>
      </c>
      <c r="F402">
        <v>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N402">
        <v>7</v>
      </c>
      <c r="O402">
        <f t="shared" si="12"/>
        <v>2023</v>
      </c>
      <c r="P402">
        <f t="shared" si="13"/>
        <v>8</v>
      </c>
      <c r="Q402" t="str">
        <f>_xlfn.XLOOKUP(B402,全店核心数据_bymonth!A:A,全店核心数据_bymonth!AN:AN)</f>
        <v>BU24</v>
      </c>
    </row>
    <row r="403" spans="1:17" x14ac:dyDescent="0.3">
      <c r="A403" t="s">
        <v>110</v>
      </c>
      <c r="B403" s="16">
        <v>45139</v>
      </c>
      <c r="C403" t="s">
        <v>3</v>
      </c>
      <c r="D403" t="s">
        <v>133</v>
      </c>
      <c r="E403">
        <v>127</v>
      </c>
      <c r="F403">
        <v>93</v>
      </c>
      <c r="G403">
        <v>4</v>
      </c>
      <c r="H403">
        <v>1</v>
      </c>
      <c r="I403">
        <v>17935</v>
      </c>
      <c r="J403">
        <v>4</v>
      </c>
      <c r="K403">
        <v>17935</v>
      </c>
      <c r="L403">
        <v>4</v>
      </c>
      <c r="N403">
        <v>101</v>
      </c>
      <c r="O403">
        <f t="shared" si="12"/>
        <v>2023</v>
      </c>
      <c r="P403">
        <f t="shared" si="13"/>
        <v>8</v>
      </c>
      <c r="Q403" t="str">
        <f>_xlfn.XLOOKUP(B403,全店核心数据_bymonth!A:A,全店核心数据_bymonth!AN:AN)</f>
        <v>BU24</v>
      </c>
    </row>
    <row r="404" spans="1:17" x14ac:dyDescent="0.3">
      <c r="A404" t="s">
        <v>110</v>
      </c>
      <c r="B404" s="16">
        <v>45139</v>
      </c>
      <c r="C404" t="s">
        <v>3</v>
      </c>
      <c r="D404" t="s">
        <v>132</v>
      </c>
      <c r="E404">
        <v>271</v>
      </c>
      <c r="F404">
        <v>251</v>
      </c>
      <c r="G404">
        <v>3</v>
      </c>
      <c r="H404">
        <v>1</v>
      </c>
      <c r="I404">
        <v>0</v>
      </c>
      <c r="J404">
        <v>0</v>
      </c>
      <c r="K404">
        <v>0</v>
      </c>
      <c r="L404">
        <v>0</v>
      </c>
      <c r="N404">
        <v>271</v>
      </c>
      <c r="O404">
        <f t="shared" si="12"/>
        <v>2023</v>
      </c>
      <c r="P404">
        <f t="shared" si="13"/>
        <v>8</v>
      </c>
      <c r="Q404" t="str">
        <f>_xlfn.XLOOKUP(B404,全店核心数据_bymonth!A:A,全店核心数据_bymonth!AN:AN)</f>
        <v>BU24</v>
      </c>
    </row>
    <row r="405" spans="1:17" x14ac:dyDescent="0.3">
      <c r="A405" t="s">
        <v>110</v>
      </c>
      <c r="B405" s="16">
        <v>45139</v>
      </c>
      <c r="C405" t="s">
        <v>3</v>
      </c>
      <c r="D405" t="s">
        <v>131</v>
      </c>
      <c r="E405">
        <v>19</v>
      </c>
      <c r="F405">
        <v>5</v>
      </c>
      <c r="G405">
        <v>2</v>
      </c>
      <c r="H405">
        <v>1</v>
      </c>
      <c r="I405">
        <v>0</v>
      </c>
      <c r="J405">
        <v>0</v>
      </c>
      <c r="K405">
        <v>0</v>
      </c>
      <c r="L405">
        <v>0</v>
      </c>
      <c r="N405">
        <v>19</v>
      </c>
      <c r="O405">
        <f t="shared" si="12"/>
        <v>2023</v>
      </c>
      <c r="P405">
        <f t="shared" si="13"/>
        <v>8</v>
      </c>
      <c r="Q405" t="str">
        <f>_xlfn.XLOOKUP(B405,全店核心数据_bymonth!A:A,全店核心数据_bymonth!AN:AN)</f>
        <v>BU24</v>
      </c>
    </row>
    <row r="406" spans="1:17" x14ac:dyDescent="0.3">
      <c r="A406" t="s">
        <v>110</v>
      </c>
      <c r="B406" s="16">
        <v>45139</v>
      </c>
      <c r="C406" t="s">
        <v>3</v>
      </c>
      <c r="D406" t="s">
        <v>130</v>
      </c>
      <c r="E406">
        <v>635</v>
      </c>
      <c r="F406">
        <v>374</v>
      </c>
      <c r="G406">
        <v>43</v>
      </c>
      <c r="H406">
        <v>23</v>
      </c>
      <c r="I406">
        <v>233714</v>
      </c>
      <c r="J406">
        <v>40</v>
      </c>
      <c r="K406">
        <v>200694</v>
      </c>
      <c r="L406">
        <v>37</v>
      </c>
      <c r="N406">
        <v>570</v>
      </c>
      <c r="O406">
        <f t="shared" si="12"/>
        <v>2023</v>
      </c>
      <c r="P406">
        <f t="shared" si="13"/>
        <v>8</v>
      </c>
      <c r="Q406" t="str">
        <f>_xlfn.XLOOKUP(B406,全店核心数据_bymonth!A:A,全店核心数据_bymonth!AN:AN)</f>
        <v>BU24</v>
      </c>
    </row>
    <row r="407" spans="1:17" x14ac:dyDescent="0.3">
      <c r="A407" t="s">
        <v>110</v>
      </c>
      <c r="B407" s="16">
        <v>45139</v>
      </c>
      <c r="C407" t="s">
        <v>3</v>
      </c>
      <c r="D407" t="s">
        <v>128</v>
      </c>
      <c r="E407">
        <v>9827</v>
      </c>
      <c r="F407">
        <v>8822</v>
      </c>
      <c r="G407">
        <v>217</v>
      </c>
      <c r="H407">
        <v>129</v>
      </c>
      <c r="I407">
        <v>279412</v>
      </c>
      <c r="J407">
        <v>62</v>
      </c>
      <c r="K407">
        <v>160129.5</v>
      </c>
      <c r="L407">
        <v>44</v>
      </c>
      <c r="N407">
        <v>7890</v>
      </c>
      <c r="O407">
        <f t="shared" si="12"/>
        <v>2023</v>
      </c>
      <c r="P407">
        <f t="shared" si="13"/>
        <v>8</v>
      </c>
      <c r="Q407" t="str">
        <f>_xlfn.XLOOKUP(B407,全店核心数据_bymonth!A:A,全店核心数据_bymonth!AN:AN)</f>
        <v>BU24</v>
      </c>
    </row>
    <row r="408" spans="1:17" x14ac:dyDescent="0.3">
      <c r="A408" t="s">
        <v>110</v>
      </c>
      <c r="B408" s="16">
        <v>45139</v>
      </c>
      <c r="C408" t="s">
        <v>3</v>
      </c>
      <c r="D408" t="s">
        <v>127</v>
      </c>
      <c r="E408">
        <v>51022</v>
      </c>
      <c r="F408">
        <v>47828</v>
      </c>
      <c r="G408">
        <v>225</v>
      </c>
      <c r="H408">
        <v>200</v>
      </c>
      <c r="I408">
        <v>89761.5</v>
      </c>
      <c r="J408">
        <v>20</v>
      </c>
      <c r="K408">
        <v>42728.5</v>
      </c>
      <c r="L408">
        <v>15</v>
      </c>
      <c r="N408">
        <v>50836</v>
      </c>
      <c r="O408">
        <f t="shared" si="12"/>
        <v>2023</v>
      </c>
      <c r="P408">
        <f t="shared" si="13"/>
        <v>8</v>
      </c>
      <c r="Q408" t="str">
        <f>_xlfn.XLOOKUP(B408,全店核心数据_bymonth!A:A,全店核心数据_bymonth!AN:AN)</f>
        <v>BU24</v>
      </c>
    </row>
    <row r="409" spans="1:17" x14ac:dyDescent="0.3">
      <c r="A409" t="s">
        <v>110</v>
      </c>
      <c r="B409" s="16">
        <v>45139</v>
      </c>
      <c r="C409" t="s">
        <v>3</v>
      </c>
      <c r="D409" t="s">
        <v>126</v>
      </c>
      <c r="E409">
        <v>912</v>
      </c>
      <c r="F409">
        <v>783</v>
      </c>
      <c r="G409">
        <v>27</v>
      </c>
      <c r="H409">
        <v>23</v>
      </c>
      <c r="I409">
        <v>26365</v>
      </c>
      <c r="J409">
        <v>4</v>
      </c>
      <c r="K409">
        <v>15585</v>
      </c>
      <c r="L409">
        <v>4</v>
      </c>
      <c r="N409">
        <v>875</v>
      </c>
      <c r="O409">
        <f t="shared" si="12"/>
        <v>2023</v>
      </c>
      <c r="P409">
        <f t="shared" si="13"/>
        <v>8</v>
      </c>
      <c r="Q409" t="str">
        <f>_xlfn.XLOOKUP(B409,全店核心数据_bymonth!A:A,全店核心数据_bymonth!AN:AN)</f>
        <v>BU24</v>
      </c>
    </row>
    <row r="410" spans="1:17" x14ac:dyDescent="0.3">
      <c r="A410" t="s">
        <v>110</v>
      </c>
      <c r="B410" s="16">
        <v>45139</v>
      </c>
      <c r="C410" t="s">
        <v>3</v>
      </c>
      <c r="D410" t="s">
        <v>125</v>
      </c>
      <c r="E410">
        <v>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N410">
        <v>1</v>
      </c>
      <c r="O410">
        <f t="shared" si="12"/>
        <v>2023</v>
      </c>
      <c r="P410">
        <f t="shared" si="13"/>
        <v>8</v>
      </c>
      <c r="Q410" t="str">
        <f>_xlfn.XLOOKUP(B410,全店核心数据_bymonth!A:A,全店核心数据_bymonth!AN:AN)</f>
        <v>BU24</v>
      </c>
    </row>
    <row r="411" spans="1:17" x14ac:dyDescent="0.3">
      <c r="A411" t="s">
        <v>110</v>
      </c>
      <c r="B411" s="16">
        <v>45139</v>
      </c>
      <c r="C411" t="s">
        <v>3</v>
      </c>
      <c r="D411" t="s">
        <v>123</v>
      </c>
      <c r="E411">
        <v>1411</v>
      </c>
      <c r="F411">
        <v>934</v>
      </c>
      <c r="G411">
        <v>43</v>
      </c>
      <c r="H411">
        <v>21</v>
      </c>
      <c r="I411">
        <v>50881</v>
      </c>
      <c r="J411">
        <v>9</v>
      </c>
      <c r="K411">
        <v>25691</v>
      </c>
      <c r="L411">
        <v>6</v>
      </c>
      <c r="N411">
        <v>1161</v>
      </c>
      <c r="O411">
        <f t="shared" si="12"/>
        <v>2023</v>
      </c>
      <c r="P411">
        <f t="shared" si="13"/>
        <v>8</v>
      </c>
      <c r="Q411" t="str">
        <f>_xlfn.XLOOKUP(B411,全店核心数据_bymonth!A:A,全店核心数据_bymonth!AN:AN)</f>
        <v>BU24</v>
      </c>
    </row>
    <row r="412" spans="1:17" x14ac:dyDescent="0.3">
      <c r="A412" t="s">
        <v>110</v>
      </c>
      <c r="B412" s="16">
        <v>45139</v>
      </c>
      <c r="C412" t="s">
        <v>3</v>
      </c>
      <c r="D412" t="s">
        <v>122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N412">
        <v>1</v>
      </c>
      <c r="O412">
        <f t="shared" si="12"/>
        <v>2023</v>
      </c>
      <c r="P412">
        <f t="shared" si="13"/>
        <v>8</v>
      </c>
      <c r="Q412" t="str">
        <f>_xlfn.XLOOKUP(B412,全店核心数据_bymonth!A:A,全店核心数据_bymonth!AN:AN)</f>
        <v>BU24</v>
      </c>
    </row>
    <row r="413" spans="1:17" x14ac:dyDescent="0.3">
      <c r="A413" t="s">
        <v>110</v>
      </c>
      <c r="B413" s="16">
        <v>45139</v>
      </c>
      <c r="C413" t="s">
        <v>3</v>
      </c>
      <c r="D413" t="s">
        <v>121</v>
      </c>
      <c r="E413">
        <v>23</v>
      </c>
      <c r="F413">
        <v>20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N413">
        <v>10</v>
      </c>
      <c r="O413">
        <f t="shared" si="12"/>
        <v>2023</v>
      </c>
      <c r="P413">
        <f t="shared" si="13"/>
        <v>8</v>
      </c>
      <c r="Q413" t="str">
        <f>_xlfn.XLOOKUP(B413,全店核心数据_bymonth!A:A,全店核心数据_bymonth!AN:AN)</f>
        <v>BU24</v>
      </c>
    </row>
    <row r="414" spans="1:17" x14ac:dyDescent="0.3">
      <c r="A414" t="s">
        <v>110</v>
      </c>
      <c r="B414" s="16">
        <v>45139</v>
      </c>
      <c r="C414" t="s">
        <v>3</v>
      </c>
      <c r="D414" t="s">
        <v>120</v>
      </c>
      <c r="E414">
        <v>3816</v>
      </c>
      <c r="F414">
        <v>3396</v>
      </c>
      <c r="G414">
        <v>128</v>
      </c>
      <c r="H414">
        <v>2</v>
      </c>
      <c r="I414">
        <v>113026</v>
      </c>
      <c r="J414">
        <v>18</v>
      </c>
      <c r="K414">
        <v>56176</v>
      </c>
      <c r="L414">
        <v>16</v>
      </c>
      <c r="N414">
        <v>3649</v>
      </c>
      <c r="O414">
        <f t="shared" si="12"/>
        <v>2023</v>
      </c>
      <c r="P414">
        <f t="shared" si="13"/>
        <v>8</v>
      </c>
      <c r="Q414" t="str">
        <f>_xlfn.XLOOKUP(B414,全店核心数据_bymonth!A:A,全店核心数据_bymonth!AN:AN)</f>
        <v>BU24</v>
      </c>
    </row>
    <row r="415" spans="1:17" x14ac:dyDescent="0.3">
      <c r="A415" t="s">
        <v>110</v>
      </c>
      <c r="B415" s="16">
        <v>45139</v>
      </c>
      <c r="C415" t="s">
        <v>3</v>
      </c>
      <c r="D415" t="s">
        <v>119</v>
      </c>
      <c r="E415">
        <v>2630</v>
      </c>
      <c r="F415">
        <v>1771</v>
      </c>
      <c r="G415">
        <v>105</v>
      </c>
      <c r="H415">
        <v>48</v>
      </c>
      <c r="I415">
        <v>260083.98</v>
      </c>
      <c r="J415">
        <v>46</v>
      </c>
      <c r="K415">
        <v>184142.98</v>
      </c>
      <c r="L415">
        <v>41</v>
      </c>
      <c r="N415">
        <v>2529</v>
      </c>
      <c r="O415">
        <f t="shared" si="12"/>
        <v>2023</v>
      </c>
      <c r="P415">
        <f t="shared" si="13"/>
        <v>8</v>
      </c>
      <c r="Q415" t="str">
        <f>_xlfn.XLOOKUP(B415,全店核心数据_bymonth!A:A,全店核心数据_bymonth!AN:AN)</f>
        <v>BU24</v>
      </c>
    </row>
    <row r="416" spans="1:17" x14ac:dyDescent="0.3">
      <c r="A416" t="s">
        <v>110</v>
      </c>
      <c r="B416" s="16">
        <v>45139</v>
      </c>
      <c r="C416" t="s">
        <v>3</v>
      </c>
      <c r="D416" t="s">
        <v>117</v>
      </c>
      <c r="E416">
        <v>86</v>
      </c>
      <c r="F416">
        <v>55</v>
      </c>
      <c r="G416">
        <v>3</v>
      </c>
      <c r="H416">
        <v>2</v>
      </c>
      <c r="I416">
        <v>0</v>
      </c>
      <c r="J416">
        <v>0</v>
      </c>
      <c r="K416">
        <v>0</v>
      </c>
      <c r="L416">
        <v>0</v>
      </c>
      <c r="N416">
        <v>86</v>
      </c>
      <c r="O416">
        <f t="shared" si="12"/>
        <v>2023</v>
      </c>
      <c r="P416">
        <f t="shared" si="13"/>
        <v>8</v>
      </c>
      <c r="Q416" t="str">
        <f>_xlfn.XLOOKUP(B416,全店核心数据_bymonth!A:A,全店核心数据_bymonth!AN:AN)</f>
        <v>BU24</v>
      </c>
    </row>
    <row r="417" spans="1:17" x14ac:dyDescent="0.3">
      <c r="A417" t="s">
        <v>110</v>
      </c>
      <c r="B417" s="16">
        <v>45139</v>
      </c>
      <c r="C417" t="s">
        <v>3</v>
      </c>
      <c r="D417" t="s">
        <v>116</v>
      </c>
      <c r="E417">
        <v>83</v>
      </c>
      <c r="F417">
        <v>40</v>
      </c>
      <c r="G417">
        <v>2</v>
      </c>
      <c r="H417">
        <v>1</v>
      </c>
      <c r="I417">
        <v>0</v>
      </c>
      <c r="J417">
        <v>0</v>
      </c>
      <c r="K417">
        <v>0</v>
      </c>
      <c r="L417">
        <v>0</v>
      </c>
      <c r="N417">
        <v>83</v>
      </c>
      <c r="O417">
        <f t="shared" si="12"/>
        <v>2023</v>
      </c>
      <c r="P417">
        <f t="shared" si="13"/>
        <v>8</v>
      </c>
      <c r="Q417" t="str">
        <f>_xlfn.XLOOKUP(B417,全店核心数据_bymonth!A:A,全店核心数据_bymonth!AN:AN)</f>
        <v>BU24</v>
      </c>
    </row>
    <row r="418" spans="1:17" x14ac:dyDescent="0.3">
      <c r="A418" t="s">
        <v>110</v>
      </c>
      <c r="B418" s="16">
        <v>45139</v>
      </c>
      <c r="C418" t="s">
        <v>3</v>
      </c>
      <c r="D418" t="s">
        <v>115</v>
      </c>
      <c r="E418">
        <v>37</v>
      </c>
      <c r="F418">
        <v>26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N418">
        <v>32</v>
      </c>
      <c r="O418">
        <f t="shared" si="12"/>
        <v>2023</v>
      </c>
      <c r="P418">
        <f t="shared" si="13"/>
        <v>8</v>
      </c>
      <c r="Q418" t="str">
        <f>_xlfn.XLOOKUP(B418,全店核心数据_bymonth!A:A,全店核心数据_bymonth!AN:AN)</f>
        <v>BU24</v>
      </c>
    </row>
    <row r="419" spans="1:17" x14ac:dyDescent="0.3">
      <c r="A419" t="s">
        <v>110</v>
      </c>
      <c r="B419" s="16">
        <v>45139</v>
      </c>
      <c r="C419" t="s">
        <v>3</v>
      </c>
      <c r="D419" t="s">
        <v>186</v>
      </c>
      <c r="E419">
        <v>1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N419">
        <v>1</v>
      </c>
      <c r="O419">
        <f t="shared" si="12"/>
        <v>2023</v>
      </c>
      <c r="P419">
        <f t="shared" si="13"/>
        <v>8</v>
      </c>
      <c r="Q419" t="str">
        <f>_xlfn.XLOOKUP(B419,全店核心数据_bymonth!A:A,全店核心数据_bymonth!AN:AN)</f>
        <v>BU24</v>
      </c>
    </row>
    <row r="420" spans="1:17" x14ac:dyDescent="0.3">
      <c r="A420" t="s">
        <v>110</v>
      </c>
      <c r="B420" s="16">
        <v>45139</v>
      </c>
      <c r="C420" t="s">
        <v>3</v>
      </c>
      <c r="D420" t="s">
        <v>113</v>
      </c>
      <c r="E420">
        <v>1929</v>
      </c>
      <c r="F420">
        <v>1582</v>
      </c>
      <c r="G420">
        <v>41</v>
      </c>
      <c r="H420">
        <v>27</v>
      </c>
      <c r="I420">
        <v>18639.5</v>
      </c>
      <c r="J420">
        <v>5</v>
      </c>
      <c r="K420">
        <v>12389.5</v>
      </c>
      <c r="L420">
        <v>4</v>
      </c>
      <c r="N420">
        <v>1057</v>
      </c>
      <c r="O420">
        <f t="shared" si="12"/>
        <v>2023</v>
      </c>
      <c r="P420">
        <f t="shared" si="13"/>
        <v>8</v>
      </c>
      <c r="Q420" t="str">
        <f>_xlfn.XLOOKUP(B420,全店核心数据_bymonth!A:A,全店核心数据_bymonth!AN:AN)</f>
        <v>BU24</v>
      </c>
    </row>
    <row r="421" spans="1:17" x14ac:dyDescent="0.3">
      <c r="A421" t="s">
        <v>110</v>
      </c>
      <c r="B421" s="16">
        <v>45139</v>
      </c>
      <c r="C421" t="s">
        <v>3</v>
      </c>
      <c r="D421" t="s">
        <v>112</v>
      </c>
      <c r="E421">
        <v>35</v>
      </c>
      <c r="F421">
        <v>18</v>
      </c>
      <c r="G421">
        <v>1</v>
      </c>
      <c r="H421">
        <v>2</v>
      </c>
      <c r="I421">
        <v>35575</v>
      </c>
      <c r="J421">
        <v>6</v>
      </c>
      <c r="K421">
        <v>35575</v>
      </c>
      <c r="L421">
        <v>6</v>
      </c>
      <c r="N421">
        <v>35</v>
      </c>
      <c r="O421">
        <f t="shared" si="12"/>
        <v>2023</v>
      </c>
      <c r="P421">
        <f t="shared" si="13"/>
        <v>8</v>
      </c>
      <c r="Q421" t="str">
        <f>_xlfn.XLOOKUP(B421,全店核心数据_bymonth!A:A,全店核心数据_bymonth!AN:AN)</f>
        <v>BU24</v>
      </c>
    </row>
    <row r="422" spans="1:17" x14ac:dyDescent="0.3">
      <c r="A422" t="s">
        <v>110</v>
      </c>
      <c r="B422" s="16">
        <v>45536</v>
      </c>
      <c r="C422" t="s">
        <v>2</v>
      </c>
      <c r="D422" t="s">
        <v>4</v>
      </c>
      <c r="E422">
        <v>2913</v>
      </c>
      <c r="F422">
        <v>1992</v>
      </c>
      <c r="G422">
        <v>14</v>
      </c>
      <c r="H422">
        <v>18</v>
      </c>
      <c r="I422">
        <v>41850</v>
      </c>
      <c r="J422">
        <v>13</v>
      </c>
      <c r="K422">
        <v>37855</v>
      </c>
      <c r="L422">
        <v>12</v>
      </c>
      <c r="N422">
        <v>2706</v>
      </c>
      <c r="O422">
        <f t="shared" si="12"/>
        <v>2024</v>
      </c>
      <c r="P422">
        <f t="shared" si="13"/>
        <v>9</v>
      </c>
      <c r="Q422" t="str">
        <f>_xlfn.XLOOKUP(B422,全店核心数据_bymonth!A:A,全店核心数据_bymonth!AN:AN)</f>
        <v>BU25</v>
      </c>
    </row>
    <row r="423" spans="1:17" x14ac:dyDescent="0.3">
      <c r="A423" t="s">
        <v>110</v>
      </c>
      <c r="B423" s="16">
        <v>45536</v>
      </c>
      <c r="C423" t="s">
        <v>2</v>
      </c>
      <c r="D423" t="s">
        <v>57</v>
      </c>
      <c r="E423">
        <v>155836</v>
      </c>
      <c r="F423">
        <v>148114</v>
      </c>
      <c r="G423">
        <v>1743</v>
      </c>
      <c r="H423">
        <v>1869</v>
      </c>
      <c r="I423">
        <v>1746365</v>
      </c>
      <c r="J423">
        <v>174</v>
      </c>
      <c r="K423">
        <v>303660</v>
      </c>
      <c r="L423">
        <v>57</v>
      </c>
      <c r="N423">
        <v>155064</v>
      </c>
      <c r="O423">
        <f t="shared" si="12"/>
        <v>2024</v>
      </c>
      <c r="P423">
        <f t="shared" si="13"/>
        <v>9</v>
      </c>
      <c r="Q423" t="str">
        <f>_xlfn.XLOOKUP(B423,全店核心数据_bymonth!A:A,全店核心数据_bymonth!AN:AN)</f>
        <v>BU25</v>
      </c>
    </row>
    <row r="424" spans="1:17" x14ac:dyDescent="0.3">
      <c r="A424" t="s">
        <v>110</v>
      </c>
      <c r="B424" s="16">
        <v>45536</v>
      </c>
      <c r="C424" t="s">
        <v>2</v>
      </c>
      <c r="D424" t="s">
        <v>52</v>
      </c>
      <c r="E424">
        <v>15204</v>
      </c>
      <c r="F424">
        <v>14557</v>
      </c>
      <c r="G424">
        <v>238</v>
      </c>
      <c r="H424">
        <v>78</v>
      </c>
      <c r="I424">
        <v>159635</v>
      </c>
      <c r="J424">
        <v>36</v>
      </c>
      <c r="K424">
        <v>120310</v>
      </c>
      <c r="L424">
        <v>30</v>
      </c>
      <c r="N424">
        <v>7288</v>
      </c>
      <c r="O424">
        <f t="shared" si="12"/>
        <v>2024</v>
      </c>
      <c r="P424">
        <f t="shared" si="13"/>
        <v>9</v>
      </c>
      <c r="Q424" t="str">
        <f>_xlfn.XLOOKUP(B424,全店核心数据_bymonth!A:A,全店核心数据_bymonth!AN:AN)</f>
        <v>BU25</v>
      </c>
    </row>
    <row r="425" spans="1:17" x14ac:dyDescent="0.3">
      <c r="A425" t="s">
        <v>110</v>
      </c>
      <c r="B425" s="16">
        <v>45536</v>
      </c>
      <c r="C425" t="s">
        <v>2</v>
      </c>
      <c r="D425" t="s">
        <v>55</v>
      </c>
      <c r="E425">
        <v>13237</v>
      </c>
      <c r="F425">
        <v>12691</v>
      </c>
      <c r="G425">
        <v>22</v>
      </c>
      <c r="H425">
        <v>26</v>
      </c>
      <c r="I425">
        <v>0</v>
      </c>
      <c r="J425">
        <v>0</v>
      </c>
      <c r="K425">
        <v>0</v>
      </c>
      <c r="L425">
        <v>0</v>
      </c>
      <c r="N425">
        <v>3041</v>
      </c>
      <c r="O425">
        <f t="shared" si="12"/>
        <v>2024</v>
      </c>
      <c r="P425">
        <f t="shared" si="13"/>
        <v>9</v>
      </c>
      <c r="Q425" t="str">
        <f>_xlfn.XLOOKUP(B425,全店核心数据_bymonth!A:A,全店核心数据_bymonth!AN:AN)</f>
        <v>BU25</v>
      </c>
    </row>
    <row r="426" spans="1:17" x14ac:dyDescent="0.3">
      <c r="A426" t="s">
        <v>110</v>
      </c>
      <c r="B426" s="16">
        <v>45536</v>
      </c>
      <c r="C426" t="s">
        <v>3</v>
      </c>
      <c r="D426" t="s">
        <v>155</v>
      </c>
      <c r="E426">
        <v>98</v>
      </c>
      <c r="F426">
        <v>79</v>
      </c>
      <c r="G426">
        <v>2</v>
      </c>
      <c r="H426">
        <v>2</v>
      </c>
      <c r="I426">
        <v>0</v>
      </c>
      <c r="J426">
        <v>0</v>
      </c>
      <c r="K426">
        <v>0</v>
      </c>
      <c r="L426">
        <v>0</v>
      </c>
      <c r="N426">
        <v>98</v>
      </c>
      <c r="O426">
        <f t="shared" si="12"/>
        <v>2024</v>
      </c>
      <c r="P426">
        <f t="shared" si="13"/>
        <v>9</v>
      </c>
      <c r="Q426" t="str">
        <f>_xlfn.XLOOKUP(B426,全店核心数据_bymonth!A:A,全店核心数据_bymonth!AN:AN)</f>
        <v>BU25</v>
      </c>
    </row>
    <row r="427" spans="1:17" x14ac:dyDescent="0.3">
      <c r="A427" t="s">
        <v>110</v>
      </c>
      <c r="B427" s="16">
        <v>45536</v>
      </c>
      <c r="C427" t="s">
        <v>3</v>
      </c>
      <c r="D427" t="s">
        <v>154</v>
      </c>
      <c r="E427">
        <v>1445</v>
      </c>
      <c r="F427">
        <v>1385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N427">
        <v>6</v>
      </c>
      <c r="O427">
        <f t="shared" si="12"/>
        <v>2024</v>
      </c>
      <c r="P427">
        <f t="shared" si="13"/>
        <v>9</v>
      </c>
      <c r="Q427" t="str">
        <f>_xlfn.XLOOKUP(B427,全店核心数据_bymonth!A:A,全店核心数据_bymonth!AN:AN)</f>
        <v>BU25</v>
      </c>
    </row>
    <row r="428" spans="1:17" x14ac:dyDescent="0.3">
      <c r="A428" t="s">
        <v>110</v>
      </c>
      <c r="B428" s="16">
        <v>45536</v>
      </c>
      <c r="C428" t="s">
        <v>3</v>
      </c>
      <c r="D428" t="s">
        <v>153</v>
      </c>
      <c r="E428">
        <v>1768</v>
      </c>
      <c r="F428">
        <v>1093</v>
      </c>
      <c r="G428">
        <v>147</v>
      </c>
      <c r="H428">
        <v>24</v>
      </c>
      <c r="I428">
        <v>531560</v>
      </c>
      <c r="J428">
        <v>81</v>
      </c>
      <c r="K428">
        <v>393125</v>
      </c>
      <c r="L428">
        <v>76</v>
      </c>
      <c r="N428">
        <v>1653</v>
      </c>
      <c r="O428">
        <f t="shared" si="12"/>
        <v>2024</v>
      </c>
      <c r="P428">
        <f t="shared" si="13"/>
        <v>9</v>
      </c>
      <c r="Q428" t="str">
        <f>_xlfn.XLOOKUP(B428,全店核心数据_bymonth!A:A,全店核心数据_bymonth!AN:AN)</f>
        <v>BU25</v>
      </c>
    </row>
    <row r="429" spans="1:17" x14ac:dyDescent="0.3">
      <c r="A429" t="s">
        <v>110</v>
      </c>
      <c r="B429" s="16">
        <v>45536</v>
      </c>
      <c r="C429" t="s">
        <v>3</v>
      </c>
      <c r="D429" t="s">
        <v>152</v>
      </c>
      <c r="E429">
        <v>22</v>
      </c>
      <c r="F429">
        <v>12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N429">
        <v>9</v>
      </c>
      <c r="O429">
        <f t="shared" si="12"/>
        <v>2024</v>
      </c>
      <c r="P429">
        <f t="shared" si="13"/>
        <v>9</v>
      </c>
      <c r="Q429" t="str">
        <f>_xlfn.XLOOKUP(B429,全店核心数据_bymonth!A:A,全店核心数据_bymonth!AN:AN)</f>
        <v>BU25</v>
      </c>
    </row>
    <row r="430" spans="1:17" x14ac:dyDescent="0.3">
      <c r="A430" t="s">
        <v>110</v>
      </c>
      <c r="B430" s="16">
        <v>45536</v>
      </c>
      <c r="C430" t="s">
        <v>3</v>
      </c>
      <c r="D430" t="s">
        <v>150</v>
      </c>
      <c r="E430">
        <v>225</v>
      </c>
      <c r="F430">
        <v>177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N430">
        <v>33</v>
      </c>
      <c r="O430">
        <f t="shared" si="12"/>
        <v>2024</v>
      </c>
      <c r="P430">
        <f t="shared" si="13"/>
        <v>9</v>
      </c>
      <c r="Q430" t="str">
        <f>_xlfn.XLOOKUP(B430,全店核心数据_bymonth!A:A,全店核心数据_bymonth!AN:AN)</f>
        <v>BU25</v>
      </c>
    </row>
    <row r="431" spans="1:17" x14ac:dyDescent="0.3">
      <c r="A431" t="s">
        <v>110</v>
      </c>
      <c r="B431" s="16">
        <v>45536</v>
      </c>
      <c r="C431" t="s">
        <v>3</v>
      </c>
      <c r="D431" t="s">
        <v>149</v>
      </c>
      <c r="E431">
        <v>177</v>
      </c>
      <c r="F431">
        <v>129</v>
      </c>
      <c r="G431">
        <v>5</v>
      </c>
      <c r="H431">
        <v>7</v>
      </c>
      <c r="I431">
        <v>0</v>
      </c>
      <c r="J431">
        <v>0</v>
      </c>
      <c r="K431">
        <v>0</v>
      </c>
      <c r="L431">
        <v>0</v>
      </c>
      <c r="N431">
        <v>149</v>
      </c>
      <c r="O431">
        <f t="shared" si="12"/>
        <v>2024</v>
      </c>
      <c r="P431">
        <f t="shared" si="13"/>
        <v>9</v>
      </c>
      <c r="Q431" t="str">
        <f>_xlfn.XLOOKUP(B431,全店核心数据_bymonth!A:A,全店核心数据_bymonth!AN:AN)</f>
        <v>BU25</v>
      </c>
    </row>
    <row r="432" spans="1:17" x14ac:dyDescent="0.3">
      <c r="A432" t="s">
        <v>110</v>
      </c>
      <c r="B432" s="16">
        <v>45536</v>
      </c>
      <c r="C432" t="s">
        <v>3</v>
      </c>
      <c r="D432" t="s">
        <v>148</v>
      </c>
      <c r="E432">
        <v>23</v>
      </c>
      <c r="F432">
        <v>23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N432">
        <v>10</v>
      </c>
      <c r="O432">
        <f t="shared" si="12"/>
        <v>2024</v>
      </c>
      <c r="P432">
        <f t="shared" si="13"/>
        <v>9</v>
      </c>
      <c r="Q432" t="str">
        <f>_xlfn.XLOOKUP(B432,全店核心数据_bymonth!A:A,全店核心数据_bymonth!AN:AN)</f>
        <v>BU25</v>
      </c>
    </row>
    <row r="433" spans="1:17" x14ac:dyDescent="0.3">
      <c r="A433" t="s">
        <v>110</v>
      </c>
      <c r="B433" s="16">
        <v>45536</v>
      </c>
      <c r="C433" t="s">
        <v>3</v>
      </c>
      <c r="D433" t="s">
        <v>251</v>
      </c>
      <c r="E433">
        <v>9969</v>
      </c>
      <c r="F433">
        <v>9328</v>
      </c>
      <c r="G433">
        <v>38</v>
      </c>
      <c r="H433">
        <v>50</v>
      </c>
      <c r="I433">
        <v>79630</v>
      </c>
      <c r="J433">
        <v>18</v>
      </c>
      <c r="K433">
        <v>63230</v>
      </c>
      <c r="L433">
        <v>16</v>
      </c>
      <c r="N433">
        <v>2972</v>
      </c>
      <c r="O433">
        <f t="shared" si="12"/>
        <v>2024</v>
      </c>
      <c r="P433">
        <f t="shared" si="13"/>
        <v>9</v>
      </c>
      <c r="Q433" t="str">
        <f>_xlfn.XLOOKUP(B433,全店核心数据_bymonth!A:A,全店核心数据_bymonth!AN:AN)</f>
        <v>BU25</v>
      </c>
    </row>
    <row r="434" spans="1:17" x14ac:dyDescent="0.3">
      <c r="A434" t="s">
        <v>110</v>
      </c>
      <c r="B434" s="16">
        <v>45536</v>
      </c>
      <c r="C434" t="s">
        <v>3</v>
      </c>
      <c r="D434" t="s">
        <v>143</v>
      </c>
      <c r="E434">
        <v>354</v>
      </c>
      <c r="F434">
        <v>346</v>
      </c>
      <c r="G434">
        <v>2</v>
      </c>
      <c r="H434">
        <v>3</v>
      </c>
      <c r="I434">
        <v>0</v>
      </c>
      <c r="J434">
        <v>0</v>
      </c>
      <c r="K434">
        <v>0</v>
      </c>
      <c r="L434">
        <v>0</v>
      </c>
      <c r="N434">
        <v>354</v>
      </c>
      <c r="O434">
        <f t="shared" si="12"/>
        <v>2024</v>
      </c>
      <c r="P434">
        <f t="shared" si="13"/>
        <v>9</v>
      </c>
      <c r="Q434" t="str">
        <f>_xlfn.XLOOKUP(B434,全店核心数据_bymonth!A:A,全店核心数据_bymonth!AN:AN)</f>
        <v>BU25</v>
      </c>
    </row>
    <row r="435" spans="1:17" x14ac:dyDescent="0.3">
      <c r="A435" t="s">
        <v>110</v>
      </c>
      <c r="B435" s="16">
        <v>45536</v>
      </c>
      <c r="C435" t="s">
        <v>3</v>
      </c>
      <c r="D435" t="s">
        <v>141</v>
      </c>
      <c r="E435">
        <v>29</v>
      </c>
      <c r="F435">
        <v>27</v>
      </c>
      <c r="G435">
        <v>0</v>
      </c>
      <c r="H435">
        <v>0</v>
      </c>
      <c r="I435">
        <v>11500</v>
      </c>
      <c r="J435">
        <v>1</v>
      </c>
      <c r="K435">
        <v>11500</v>
      </c>
      <c r="L435">
        <v>1</v>
      </c>
      <c r="N435">
        <v>23</v>
      </c>
      <c r="O435">
        <f t="shared" si="12"/>
        <v>2024</v>
      </c>
      <c r="P435">
        <f t="shared" si="13"/>
        <v>9</v>
      </c>
      <c r="Q435" t="str">
        <f>_xlfn.XLOOKUP(B435,全店核心数据_bymonth!A:A,全店核心数据_bymonth!AN:AN)</f>
        <v>BU25</v>
      </c>
    </row>
    <row r="436" spans="1:17" x14ac:dyDescent="0.3">
      <c r="A436" t="s">
        <v>110</v>
      </c>
      <c r="B436" s="16">
        <v>45536</v>
      </c>
      <c r="C436" t="s">
        <v>3</v>
      </c>
      <c r="D436" t="s">
        <v>140</v>
      </c>
      <c r="E436">
        <v>82</v>
      </c>
      <c r="F436">
        <v>80</v>
      </c>
      <c r="G436">
        <v>8</v>
      </c>
      <c r="H436">
        <v>1</v>
      </c>
      <c r="I436">
        <v>14980</v>
      </c>
      <c r="J436">
        <v>4</v>
      </c>
      <c r="K436">
        <v>14980</v>
      </c>
      <c r="L436">
        <v>4</v>
      </c>
      <c r="N436">
        <v>77</v>
      </c>
      <c r="O436">
        <f t="shared" si="12"/>
        <v>2024</v>
      </c>
      <c r="P436">
        <f t="shared" si="13"/>
        <v>9</v>
      </c>
      <c r="Q436" t="str">
        <f>_xlfn.XLOOKUP(B436,全店核心数据_bymonth!A:A,全店核心数据_bymonth!AN:AN)</f>
        <v>BU25</v>
      </c>
    </row>
    <row r="437" spans="1:17" x14ac:dyDescent="0.3">
      <c r="A437" t="s">
        <v>110</v>
      </c>
      <c r="B437" s="16">
        <v>45536</v>
      </c>
      <c r="C437" t="s">
        <v>3</v>
      </c>
      <c r="D437" t="s">
        <v>139</v>
      </c>
      <c r="E437">
        <v>5563</v>
      </c>
      <c r="F437">
        <v>4243</v>
      </c>
      <c r="G437">
        <v>134</v>
      </c>
      <c r="H437">
        <v>64</v>
      </c>
      <c r="I437">
        <v>258570</v>
      </c>
      <c r="J437">
        <v>46</v>
      </c>
      <c r="K437">
        <v>164700</v>
      </c>
      <c r="L437">
        <v>38</v>
      </c>
      <c r="N437">
        <v>3489</v>
      </c>
      <c r="O437">
        <f t="shared" si="12"/>
        <v>2024</v>
      </c>
      <c r="P437">
        <f t="shared" si="13"/>
        <v>9</v>
      </c>
      <c r="Q437" t="str">
        <f>_xlfn.XLOOKUP(B437,全店核心数据_bymonth!A:A,全店核心数据_bymonth!AN:AN)</f>
        <v>BU25</v>
      </c>
    </row>
    <row r="438" spans="1:17" x14ac:dyDescent="0.3">
      <c r="A438" t="s">
        <v>110</v>
      </c>
      <c r="B438" s="16">
        <v>45536</v>
      </c>
      <c r="C438" t="s">
        <v>3</v>
      </c>
      <c r="D438" t="s">
        <v>138</v>
      </c>
      <c r="E438">
        <v>286</v>
      </c>
      <c r="F438">
        <v>173</v>
      </c>
      <c r="G438">
        <v>5</v>
      </c>
      <c r="H438">
        <v>9</v>
      </c>
      <c r="I438">
        <v>9990</v>
      </c>
      <c r="J438">
        <v>2</v>
      </c>
      <c r="K438">
        <v>4995</v>
      </c>
      <c r="L438">
        <v>1</v>
      </c>
      <c r="N438">
        <v>273</v>
      </c>
      <c r="O438">
        <f t="shared" si="12"/>
        <v>2024</v>
      </c>
      <c r="P438">
        <f t="shared" si="13"/>
        <v>9</v>
      </c>
      <c r="Q438" t="str">
        <f>_xlfn.XLOOKUP(B438,全店核心数据_bymonth!A:A,全店核心数据_bymonth!AN:AN)</f>
        <v>BU25</v>
      </c>
    </row>
    <row r="439" spans="1:17" x14ac:dyDescent="0.3">
      <c r="A439" t="s">
        <v>110</v>
      </c>
      <c r="B439" s="16">
        <v>45536</v>
      </c>
      <c r="C439" t="s">
        <v>3</v>
      </c>
      <c r="D439" t="s">
        <v>137</v>
      </c>
      <c r="E439">
        <v>39</v>
      </c>
      <c r="F439">
        <v>28</v>
      </c>
      <c r="G439">
        <v>0</v>
      </c>
      <c r="H439">
        <v>2</v>
      </c>
      <c r="I439">
        <v>14985</v>
      </c>
      <c r="J439">
        <v>2</v>
      </c>
      <c r="K439">
        <v>4995</v>
      </c>
      <c r="L439">
        <v>1</v>
      </c>
      <c r="N439">
        <v>39</v>
      </c>
      <c r="O439">
        <f t="shared" si="12"/>
        <v>2024</v>
      </c>
      <c r="P439">
        <f t="shared" si="13"/>
        <v>9</v>
      </c>
      <c r="Q439" t="str">
        <f>_xlfn.XLOOKUP(B439,全店核心数据_bymonth!A:A,全店核心数据_bymonth!AN:AN)</f>
        <v>BU25</v>
      </c>
    </row>
    <row r="440" spans="1:17" x14ac:dyDescent="0.3">
      <c r="A440" t="s">
        <v>110</v>
      </c>
      <c r="B440" s="16">
        <v>45536</v>
      </c>
      <c r="C440" t="s">
        <v>3</v>
      </c>
      <c r="D440" t="s">
        <v>135</v>
      </c>
      <c r="E440">
        <v>76</v>
      </c>
      <c r="F440">
        <v>51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N440">
        <v>8</v>
      </c>
      <c r="O440">
        <f t="shared" si="12"/>
        <v>2024</v>
      </c>
      <c r="P440">
        <f t="shared" si="13"/>
        <v>9</v>
      </c>
      <c r="Q440" t="str">
        <f>_xlfn.XLOOKUP(B440,全店核心数据_bymonth!A:A,全店核心数据_bymonth!AN:AN)</f>
        <v>BU25</v>
      </c>
    </row>
    <row r="441" spans="1:17" x14ac:dyDescent="0.3">
      <c r="A441" t="s">
        <v>110</v>
      </c>
      <c r="B441" s="16">
        <v>45536</v>
      </c>
      <c r="C441" t="s">
        <v>3</v>
      </c>
      <c r="D441" t="s">
        <v>133</v>
      </c>
      <c r="E441">
        <v>205</v>
      </c>
      <c r="F441">
        <v>180</v>
      </c>
      <c r="G441">
        <v>5</v>
      </c>
      <c r="H441">
        <v>0</v>
      </c>
      <c r="I441">
        <v>35965</v>
      </c>
      <c r="J441">
        <v>4</v>
      </c>
      <c r="K441">
        <v>20515</v>
      </c>
      <c r="L441">
        <v>3</v>
      </c>
      <c r="N441">
        <v>177</v>
      </c>
      <c r="O441">
        <f t="shared" si="12"/>
        <v>2024</v>
      </c>
      <c r="P441">
        <f t="shared" si="13"/>
        <v>9</v>
      </c>
      <c r="Q441" t="str">
        <f>_xlfn.XLOOKUP(B441,全店核心数据_bymonth!A:A,全店核心数据_bymonth!AN:AN)</f>
        <v>BU25</v>
      </c>
    </row>
    <row r="442" spans="1:17" x14ac:dyDescent="0.3">
      <c r="A442" t="s">
        <v>110</v>
      </c>
      <c r="B442" s="16">
        <v>45536</v>
      </c>
      <c r="C442" t="s">
        <v>3</v>
      </c>
      <c r="D442" t="s">
        <v>132</v>
      </c>
      <c r="E442">
        <v>1</v>
      </c>
      <c r="F442">
        <v>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N442">
        <v>1</v>
      </c>
      <c r="O442">
        <f t="shared" si="12"/>
        <v>2024</v>
      </c>
      <c r="P442">
        <f t="shared" si="13"/>
        <v>9</v>
      </c>
      <c r="Q442" t="str">
        <f>_xlfn.XLOOKUP(B442,全店核心数据_bymonth!A:A,全店核心数据_bymonth!AN:AN)</f>
        <v>BU25</v>
      </c>
    </row>
    <row r="443" spans="1:17" x14ac:dyDescent="0.3">
      <c r="A443" t="s">
        <v>110</v>
      </c>
      <c r="B443" s="16">
        <v>45536</v>
      </c>
      <c r="C443" t="s">
        <v>3</v>
      </c>
      <c r="D443" t="s">
        <v>130</v>
      </c>
      <c r="E443">
        <v>1334</v>
      </c>
      <c r="F443">
        <v>975</v>
      </c>
      <c r="G443">
        <v>63</v>
      </c>
      <c r="H443">
        <v>22</v>
      </c>
      <c r="I443">
        <v>241515</v>
      </c>
      <c r="J443">
        <v>40</v>
      </c>
      <c r="K443">
        <v>188075</v>
      </c>
      <c r="L443">
        <v>35</v>
      </c>
      <c r="N443">
        <v>1229</v>
      </c>
      <c r="O443">
        <f t="shared" si="12"/>
        <v>2024</v>
      </c>
      <c r="P443">
        <f t="shared" si="13"/>
        <v>9</v>
      </c>
      <c r="Q443" t="str">
        <f>_xlfn.XLOOKUP(B443,全店核心数据_bymonth!A:A,全店核心数据_bymonth!AN:AN)</f>
        <v>BU25</v>
      </c>
    </row>
    <row r="444" spans="1:17" x14ac:dyDescent="0.3">
      <c r="A444" t="s">
        <v>110</v>
      </c>
      <c r="B444" s="16">
        <v>45536</v>
      </c>
      <c r="C444" t="s">
        <v>3</v>
      </c>
      <c r="D444" t="s">
        <v>128</v>
      </c>
      <c r="E444">
        <v>9570</v>
      </c>
      <c r="F444">
        <v>8508</v>
      </c>
      <c r="G444">
        <v>217</v>
      </c>
      <c r="H444">
        <v>78</v>
      </c>
      <c r="I444">
        <v>205755</v>
      </c>
      <c r="J444">
        <v>30</v>
      </c>
      <c r="K444">
        <v>105000</v>
      </c>
      <c r="L444">
        <v>24</v>
      </c>
      <c r="N444">
        <v>7595</v>
      </c>
      <c r="O444">
        <f t="shared" si="12"/>
        <v>2024</v>
      </c>
      <c r="P444">
        <f t="shared" si="13"/>
        <v>9</v>
      </c>
      <c r="Q444" t="str">
        <f>_xlfn.XLOOKUP(B444,全店核心数据_bymonth!A:A,全店核心数据_bymonth!AN:AN)</f>
        <v>BU25</v>
      </c>
    </row>
    <row r="445" spans="1:17" x14ac:dyDescent="0.3">
      <c r="A445" t="s">
        <v>110</v>
      </c>
      <c r="B445" s="16">
        <v>45536</v>
      </c>
      <c r="C445" t="s">
        <v>3</v>
      </c>
      <c r="D445" t="s">
        <v>127</v>
      </c>
      <c r="E445">
        <v>10708</v>
      </c>
      <c r="F445">
        <v>8861</v>
      </c>
      <c r="G445">
        <v>97</v>
      </c>
      <c r="H445">
        <v>89</v>
      </c>
      <c r="I445">
        <v>75235</v>
      </c>
      <c r="J445">
        <v>11</v>
      </c>
      <c r="K445">
        <v>37340</v>
      </c>
      <c r="L445">
        <v>8</v>
      </c>
      <c r="N445">
        <v>9064</v>
      </c>
      <c r="O445">
        <f t="shared" si="12"/>
        <v>2024</v>
      </c>
      <c r="P445">
        <f t="shared" si="13"/>
        <v>9</v>
      </c>
      <c r="Q445" t="str">
        <f>_xlfn.XLOOKUP(B445,全店核心数据_bymonth!A:A,全店核心数据_bymonth!AN:AN)</f>
        <v>BU25</v>
      </c>
    </row>
    <row r="446" spans="1:17" x14ac:dyDescent="0.3">
      <c r="A446" t="s">
        <v>110</v>
      </c>
      <c r="B446" s="16">
        <v>45536</v>
      </c>
      <c r="C446" t="s">
        <v>3</v>
      </c>
      <c r="D446" t="s">
        <v>126</v>
      </c>
      <c r="E446">
        <v>2169</v>
      </c>
      <c r="F446">
        <v>1904</v>
      </c>
      <c r="G446">
        <v>32</v>
      </c>
      <c r="H446">
        <v>26</v>
      </c>
      <c r="I446">
        <v>3495</v>
      </c>
      <c r="J446">
        <v>1</v>
      </c>
      <c r="K446">
        <v>3495</v>
      </c>
      <c r="L446">
        <v>1</v>
      </c>
      <c r="N446">
        <v>2031</v>
      </c>
      <c r="O446">
        <f t="shared" si="12"/>
        <v>2024</v>
      </c>
      <c r="P446">
        <f t="shared" si="13"/>
        <v>9</v>
      </c>
      <c r="Q446" t="str">
        <f>_xlfn.XLOOKUP(B446,全店核心数据_bymonth!A:A,全店核心数据_bymonth!AN:AN)</f>
        <v>BU25</v>
      </c>
    </row>
    <row r="447" spans="1:17" x14ac:dyDescent="0.3">
      <c r="A447" t="s">
        <v>110</v>
      </c>
      <c r="B447" s="16">
        <v>45536</v>
      </c>
      <c r="C447" t="s">
        <v>3</v>
      </c>
      <c r="D447" t="s">
        <v>125</v>
      </c>
      <c r="E447">
        <v>44</v>
      </c>
      <c r="F447">
        <v>33</v>
      </c>
      <c r="G447">
        <v>3</v>
      </c>
      <c r="H447">
        <v>0</v>
      </c>
      <c r="I447">
        <v>9990</v>
      </c>
      <c r="J447">
        <v>2</v>
      </c>
      <c r="K447">
        <v>9990</v>
      </c>
      <c r="L447">
        <v>2</v>
      </c>
      <c r="N447">
        <v>40</v>
      </c>
      <c r="O447">
        <f t="shared" si="12"/>
        <v>2024</v>
      </c>
      <c r="P447">
        <f t="shared" si="13"/>
        <v>9</v>
      </c>
      <c r="Q447" t="str">
        <f>_xlfn.XLOOKUP(B447,全店核心数据_bymonth!A:A,全店核心数据_bymonth!AN:AN)</f>
        <v>BU25</v>
      </c>
    </row>
    <row r="448" spans="1:17" x14ac:dyDescent="0.3">
      <c r="A448" t="s">
        <v>110</v>
      </c>
      <c r="B448" s="16">
        <v>45536</v>
      </c>
      <c r="C448" t="s">
        <v>3</v>
      </c>
      <c r="D448" t="s">
        <v>123</v>
      </c>
      <c r="E448">
        <v>1282</v>
      </c>
      <c r="F448">
        <v>861</v>
      </c>
      <c r="G448">
        <v>39</v>
      </c>
      <c r="H448">
        <v>32</v>
      </c>
      <c r="I448">
        <v>27635</v>
      </c>
      <c r="J448">
        <v>4</v>
      </c>
      <c r="K448">
        <v>27635</v>
      </c>
      <c r="L448">
        <v>4</v>
      </c>
      <c r="N448">
        <v>1025</v>
      </c>
      <c r="O448">
        <f t="shared" si="12"/>
        <v>2024</v>
      </c>
      <c r="P448">
        <f t="shared" si="13"/>
        <v>9</v>
      </c>
      <c r="Q448" t="str">
        <f>_xlfn.XLOOKUP(B448,全店核心数据_bymonth!A:A,全店核心数据_bymonth!AN:AN)</f>
        <v>BU25</v>
      </c>
    </row>
    <row r="449" spans="1:17" x14ac:dyDescent="0.3">
      <c r="A449" t="s">
        <v>110</v>
      </c>
      <c r="B449" s="16">
        <v>45536</v>
      </c>
      <c r="C449" t="s">
        <v>3</v>
      </c>
      <c r="D449" t="s">
        <v>122</v>
      </c>
      <c r="E449">
        <v>3</v>
      </c>
      <c r="F449">
        <v>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N449">
        <v>0</v>
      </c>
      <c r="O449">
        <f t="shared" si="12"/>
        <v>2024</v>
      </c>
      <c r="P449">
        <f t="shared" si="13"/>
        <v>9</v>
      </c>
      <c r="Q449" t="str">
        <f>_xlfn.XLOOKUP(B449,全店核心数据_bymonth!A:A,全店核心数据_bymonth!AN:AN)</f>
        <v>BU25</v>
      </c>
    </row>
    <row r="450" spans="1:17" x14ac:dyDescent="0.3">
      <c r="A450" t="s">
        <v>110</v>
      </c>
      <c r="B450" s="16">
        <v>45536</v>
      </c>
      <c r="C450" t="s">
        <v>3</v>
      </c>
      <c r="D450" t="s">
        <v>121</v>
      </c>
      <c r="E450">
        <v>12</v>
      </c>
      <c r="F450">
        <v>11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N450">
        <v>8</v>
      </c>
      <c r="O450">
        <f t="shared" ref="O450:O513" si="14">YEAR(B450)</f>
        <v>2024</v>
      </c>
      <c r="P450">
        <f t="shared" ref="P450:P513" si="15">MONTH(B450)</f>
        <v>9</v>
      </c>
      <c r="Q450" t="str">
        <f>_xlfn.XLOOKUP(B450,全店核心数据_bymonth!A:A,全店核心数据_bymonth!AN:AN)</f>
        <v>BU25</v>
      </c>
    </row>
    <row r="451" spans="1:17" x14ac:dyDescent="0.3">
      <c r="A451" t="s">
        <v>110</v>
      </c>
      <c r="B451" s="16">
        <v>45536</v>
      </c>
      <c r="C451" t="s">
        <v>3</v>
      </c>
      <c r="D451" t="s">
        <v>120</v>
      </c>
      <c r="E451">
        <v>3772</v>
      </c>
      <c r="F451">
        <v>3433</v>
      </c>
      <c r="G451">
        <v>59</v>
      </c>
      <c r="H451">
        <v>0</v>
      </c>
      <c r="I451">
        <v>44635</v>
      </c>
      <c r="J451">
        <v>8</v>
      </c>
      <c r="K451">
        <v>44635</v>
      </c>
      <c r="L451">
        <v>8</v>
      </c>
      <c r="N451">
        <v>3662</v>
      </c>
      <c r="O451">
        <f t="shared" si="14"/>
        <v>2024</v>
      </c>
      <c r="P451">
        <f t="shared" si="15"/>
        <v>9</v>
      </c>
      <c r="Q451" t="str">
        <f>_xlfn.XLOOKUP(B451,全店核心数据_bymonth!A:A,全店核心数据_bymonth!AN:AN)</f>
        <v>BU25</v>
      </c>
    </row>
    <row r="452" spans="1:17" x14ac:dyDescent="0.3">
      <c r="A452" t="s">
        <v>110</v>
      </c>
      <c r="B452" s="16">
        <v>45536</v>
      </c>
      <c r="C452" t="s">
        <v>3</v>
      </c>
      <c r="D452" t="s">
        <v>119</v>
      </c>
      <c r="E452">
        <v>1847</v>
      </c>
      <c r="F452">
        <v>1249</v>
      </c>
      <c r="G452">
        <v>63</v>
      </c>
      <c r="H452">
        <v>53</v>
      </c>
      <c r="I452">
        <v>242295</v>
      </c>
      <c r="J452">
        <v>33</v>
      </c>
      <c r="K452">
        <v>155005</v>
      </c>
      <c r="L452">
        <v>28</v>
      </c>
      <c r="N452">
        <v>1750</v>
      </c>
      <c r="O452">
        <f t="shared" si="14"/>
        <v>2024</v>
      </c>
      <c r="P452">
        <f t="shared" si="15"/>
        <v>9</v>
      </c>
      <c r="Q452" t="str">
        <f>_xlfn.XLOOKUP(B452,全店核心数据_bymonth!A:A,全店核心数据_bymonth!AN:AN)</f>
        <v>BU25</v>
      </c>
    </row>
    <row r="453" spans="1:17" x14ac:dyDescent="0.3">
      <c r="A453" t="s">
        <v>110</v>
      </c>
      <c r="B453" s="16">
        <v>45536</v>
      </c>
      <c r="C453" t="s">
        <v>3</v>
      </c>
      <c r="D453" t="s">
        <v>252</v>
      </c>
      <c r="E453">
        <v>7</v>
      </c>
      <c r="F453">
        <v>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N453">
        <v>7</v>
      </c>
      <c r="O453">
        <f t="shared" si="14"/>
        <v>2024</v>
      </c>
      <c r="P453">
        <f t="shared" si="15"/>
        <v>9</v>
      </c>
      <c r="Q453" t="str">
        <f>_xlfn.XLOOKUP(B453,全店核心数据_bymonth!A:A,全店核心数据_bymonth!AN:AN)</f>
        <v>BU25</v>
      </c>
    </row>
    <row r="454" spans="1:17" x14ac:dyDescent="0.3">
      <c r="A454" t="s">
        <v>110</v>
      </c>
      <c r="B454" s="16">
        <v>45536</v>
      </c>
      <c r="C454" t="s">
        <v>3</v>
      </c>
      <c r="D454" t="s">
        <v>115</v>
      </c>
      <c r="E454">
        <v>29</v>
      </c>
      <c r="F454">
        <v>24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N454">
        <v>28</v>
      </c>
      <c r="O454">
        <f t="shared" si="14"/>
        <v>2024</v>
      </c>
      <c r="P454">
        <f t="shared" si="15"/>
        <v>9</v>
      </c>
      <c r="Q454" t="str">
        <f>_xlfn.XLOOKUP(B454,全店核心数据_bymonth!A:A,全店核心数据_bymonth!AN:AN)</f>
        <v>BU25</v>
      </c>
    </row>
    <row r="455" spans="1:17" x14ac:dyDescent="0.3">
      <c r="A455" t="s">
        <v>110</v>
      </c>
      <c r="B455" s="16">
        <v>45536</v>
      </c>
      <c r="C455" t="s">
        <v>3</v>
      </c>
      <c r="D455" t="s">
        <v>113</v>
      </c>
      <c r="E455">
        <v>1474</v>
      </c>
      <c r="F455">
        <v>1232</v>
      </c>
      <c r="G455">
        <v>22</v>
      </c>
      <c r="H455">
        <v>15</v>
      </c>
      <c r="I455">
        <v>0</v>
      </c>
      <c r="J455">
        <v>0</v>
      </c>
      <c r="K455">
        <v>0</v>
      </c>
      <c r="L455">
        <v>0</v>
      </c>
      <c r="N455">
        <v>740</v>
      </c>
      <c r="O455">
        <f t="shared" si="14"/>
        <v>2024</v>
      </c>
      <c r="P455">
        <f t="shared" si="15"/>
        <v>9</v>
      </c>
      <c r="Q455" t="str">
        <f>_xlfn.XLOOKUP(B455,全店核心数据_bymonth!A:A,全店核心数据_bymonth!AN:AN)</f>
        <v>BU25</v>
      </c>
    </row>
    <row r="456" spans="1:17" x14ac:dyDescent="0.3">
      <c r="A456" t="s">
        <v>110</v>
      </c>
      <c r="B456" s="16">
        <v>45536</v>
      </c>
      <c r="C456" t="s">
        <v>3</v>
      </c>
      <c r="D456" t="s">
        <v>112</v>
      </c>
      <c r="E456">
        <v>108</v>
      </c>
      <c r="F456">
        <v>45</v>
      </c>
      <c r="G456">
        <v>1</v>
      </c>
      <c r="H456">
        <v>0</v>
      </c>
      <c r="I456">
        <v>26230</v>
      </c>
      <c r="J456">
        <v>6</v>
      </c>
      <c r="K456">
        <v>23235</v>
      </c>
      <c r="L456">
        <v>6</v>
      </c>
      <c r="N456">
        <v>108</v>
      </c>
      <c r="O456">
        <f t="shared" si="14"/>
        <v>2024</v>
      </c>
      <c r="P456">
        <f t="shared" si="15"/>
        <v>9</v>
      </c>
      <c r="Q456" t="str">
        <f>_xlfn.XLOOKUP(B456,全店核心数据_bymonth!A:A,全店核心数据_bymonth!AN:AN)</f>
        <v>BU25</v>
      </c>
    </row>
    <row r="457" spans="1:17" x14ac:dyDescent="0.3">
      <c r="A457" t="s">
        <v>110</v>
      </c>
      <c r="B457" s="16">
        <v>45536</v>
      </c>
      <c r="C457" t="s">
        <v>3</v>
      </c>
      <c r="D457" t="s">
        <v>111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N457">
        <v>1</v>
      </c>
      <c r="O457">
        <f t="shared" si="14"/>
        <v>2024</v>
      </c>
      <c r="P457">
        <f t="shared" si="15"/>
        <v>9</v>
      </c>
      <c r="Q457" t="str">
        <f>_xlfn.XLOOKUP(B457,全店核心数据_bymonth!A:A,全店核心数据_bymonth!AN:AN)</f>
        <v>BU25</v>
      </c>
    </row>
    <row r="458" spans="1:17" x14ac:dyDescent="0.3">
      <c r="A458" t="s">
        <v>110</v>
      </c>
      <c r="B458" s="16">
        <v>45170</v>
      </c>
      <c r="C458" t="s">
        <v>2</v>
      </c>
      <c r="D458" t="s">
        <v>4</v>
      </c>
      <c r="E458">
        <v>1958</v>
      </c>
      <c r="F458">
        <v>1346</v>
      </c>
      <c r="G458">
        <v>18</v>
      </c>
      <c r="H458">
        <v>5</v>
      </c>
      <c r="I458">
        <v>47644</v>
      </c>
      <c r="J458">
        <v>6</v>
      </c>
      <c r="K458">
        <v>18718</v>
      </c>
      <c r="L458">
        <v>5</v>
      </c>
      <c r="N458">
        <v>1562</v>
      </c>
      <c r="O458">
        <f t="shared" si="14"/>
        <v>2023</v>
      </c>
      <c r="P458">
        <f t="shared" si="15"/>
        <v>9</v>
      </c>
      <c r="Q458" t="str">
        <f>_xlfn.XLOOKUP(B458,全店核心数据_bymonth!A:A,全店核心数据_bymonth!AN:AN)</f>
        <v>BU24</v>
      </c>
    </row>
    <row r="459" spans="1:17" x14ac:dyDescent="0.3">
      <c r="A459" t="s">
        <v>110</v>
      </c>
      <c r="B459" s="16">
        <v>45170</v>
      </c>
      <c r="C459" t="s">
        <v>2</v>
      </c>
      <c r="D459" t="s">
        <v>57</v>
      </c>
      <c r="E459">
        <v>96856</v>
      </c>
      <c r="F459">
        <v>91349</v>
      </c>
      <c r="G459">
        <v>980</v>
      </c>
      <c r="H459">
        <v>774</v>
      </c>
      <c r="I459">
        <v>741722</v>
      </c>
      <c r="J459">
        <v>106</v>
      </c>
      <c r="K459">
        <v>266402</v>
      </c>
      <c r="L459">
        <v>61</v>
      </c>
      <c r="N459">
        <v>96144</v>
      </c>
      <c r="O459">
        <f t="shared" si="14"/>
        <v>2023</v>
      </c>
      <c r="P459">
        <f t="shared" si="15"/>
        <v>9</v>
      </c>
      <c r="Q459" t="str">
        <f>_xlfn.XLOOKUP(B459,全店核心数据_bymonth!A:A,全店核心数据_bymonth!AN:AN)</f>
        <v>BU24</v>
      </c>
    </row>
    <row r="460" spans="1:17" x14ac:dyDescent="0.3">
      <c r="A460" t="s">
        <v>110</v>
      </c>
      <c r="B460" s="16">
        <v>45170</v>
      </c>
      <c r="C460" t="s">
        <v>2</v>
      </c>
      <c r="D460" t="s">
        <v>52</v>
      </c>
      <c r="E460">
        <v>12620</v>
      </c>
      <c r="F460">
        <v>11827</v>
      </c>
      <c r="G460">
        <v>186</v>
      </c>
      <c r="H460">
        <v>104</v>
      </c>
      <c r="I460">
        <v>134148</v>
      </c>
      <c r="J460">
        <v>32</v>
      </c>
      <c r="K460">
        <v>108048</v>
      </c>
      <c r="L460">
        <v>27</v>
      </c>
      <c r="N460">
        <v>5985</v>
      </c>
      <c r="O460">
        <f t="shared" si="14"/>
        <v>2023</v>
      </c>
      <c r="P460">
        <f t="shared" si="15"/>
        <v>9</v>
      </c>
      <c r="Q460" t="str">
        <f>_xlfn.XLOOKUP(B460,全店核心数据_bymonth!A:A,全店核心数据_bymonth!AN:AN)</f>
        <v>BU24</v>
      </c>
    </row>
    <row r="461" spans="1:17" x14ac:dyDescent="0.3">
      <c r="A461" t="s">
        <v>110</v>
      </c>
      <c r="B461" s="16">
        <v>45170</v>
      </c>
      <c r="C461" t="s">
        <v>2</v>
      </c>
      <c r="D461" t="s">
        <v>55</v>
      </c>
      <c r="E461">
        <v>5986</v>
      </c>
      <c r="F461">
        <v>5973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N461">
        <v>5986</v>
      </c>
      <c r="O461">
        <f t="shared" si="14"/>
        <v>2023</v>
      </c>
      <c r="P461">
        <f t="shared" si="15"/>
        <v>9</v>
      </c>
      <c r="Q461" t="str">
        <f>_xlfn.XLOOKUP(B461,全店核心数据_bymonth!A:A,全店核心数据_bymonth!AN:AN)</f>
        <v>BU24</v>
      </c>
    </row>
    <row r="462" spans="1:17" x14ac:dyDescent="0.3">
      <c r="A462" t="s">
        <v>110</v>
      </c>
      <c r="B462" s="16">
        <v>45170</v>
      </c>
      <c r="C462" t="s">
        <v>3</v>
      </c>
      <c r="D462" t="s">
        <v>155</v>
      </c>
      <c r="E462">
        <v>769</v>
      </c>
      <c r="F462">
        <v>671</v>
      </c>
      <c r="G462">
        <v>2</v>
      </c>
      <c r="H462">
        <v>2</v>
      </c>
      <c r="I462">
        <v>0</v>
      </c>
      <c r="J462">
        <v>0</v>
      </c>
      <c r="K462">
        <v>0</v>
      </c>
      <c r="L462">
        <v>0</v>
      </c>
      <c r="N462">
        <v>769</v>
      </c>
      <c r="O462">
        <f t="shared" si="14"/>
        <v>2023</v>
      </c>
      <c r="P462">
        <f t="shared" si="15"/>
        <v>9</v>
      </c>
      <c r="Q462" t="str">
        <f>_xlfn.XLOOKUP(B462,全店核心数据_bymonth!A:A,全店核心数据_bymonth!AN:AN)</f>
        <v>BU24</v>
      </c>
    </row>
    <row r="463" spans="1:17" x14ac:dyDescent="0.3">
      <c r="A463" t="s">
        <v>110</v>
      </c>
      <c r="B463" s="16">
        <v>45170</v>
      </c>
      <c r="C463" t="s">
        <v>3</v>
      </c>
      <c r="D463" t="s">
        <v>154</v>
      </c>
      <c r="E463">
        <v>38</v>
      </c>
      <c r="F463">
        <v>19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N463">
        <v>16</v>
      </c>
      <c r="O463">
        <f t="shared" si="14"/>
        <v>2023</v>
      </c>
      <c r="P463">
        <f t="shared" si="15"/>
        <v>9</v>
      </c>
      <c r="Q463" t="str">
        <f>_xlfn.XLOOKUP(B463,全店核心数据_bymonth!A:A,全店核心数据_bymonth!AN:AN)</f>
        <v>BU24</v>
      </c>
    </row>
    <row r="464" spans="1:17" x14ac:dyDescent="0.3">
      <c r="A464" t="s">
        <v>110</v>
      </c>
      <c r="B464" s="16">
        <v>45170</v>
      </c>
      <c r="C464" t="s">
        <v>3</v>
      </c>
      <c r="D464" t="s">
        <v>153</v>
      </c>
      <c r="E464">
        <v>2016</v>
      </c>
      <c r="F464">
        <v>1338</v>
      </c>
      <c r="G464">
        <v>111</v>
      </c>
      <c r="H464">
        <v>25</v>
      </c>
      <c r="I464">
        <v>429036</v>
      </c>
      <c r="J464">
        <v>78</v>
      </c>
      <c r="K464">
        <v>345883</v>
      </c>
      <c r="L464">
        <v>73</v>
      </c>
      <c r="N464">
        <v>1946</v>
      </c>
      <c r="O464">
        <f t="shared" si="14"/>
        <v>2023</v>
      </c>
      <c r="P464">
        <f t="shared" si="15"/>
        <v>9</v>
      </c>
      <c r="Q464" t="str">
        <f>_xlfn.XLOOKUP(B464,全店核心数据_bymonth!A:A,全店核心数据_bymonth!AN:AN)</f>
        <v>BU24</v>
      </c>
    </row>
    <row r="465" spans="1:17" x14ac:dyDescent="0.3">
      <c r="A465" t="s">
        <v>110</v>
      </c>
      <c r="B465" s="16">
        <v>45170</v>
      </c>
      <c r="C465" t="s">
        <v>3</v>
      </c>
      <c r="D465" t="s">
        <v>152</v>
      </c>
      <c r="E465">
        <v>455</v>
      </c>
      <c r="F465">
        <v>299</v>
      </c>
      <c r="G465">
        <v>4</v>
      </c>
      <c r="H465">
        <v>3</v>
      </c>
      <c r="I465">
        <v>14012.5</v>
      </c>
      <c r="J465">
        <v>1</v>
      </c>
      <c r="K465">
        <v>14012.5</v>
      </c>
      <c r="L465">
        <v>1</v>
      </c>
      <c r="N465">
        <v>455</v>
      </c>
      <c r="O465">
        <f t="shared" si="14"/>
        <v>2023</v>
      </c>
      <c r="P465">
        <f t="shared" si="15"/>
        <v>9</v>
      </c>
      <c r="Q465" t="str">
        <f>_xlfn.XLOOKUP(B465,全店核心数据_bymonth!A:A,全店核心数据_bymonth!AN:AN)</f>
        <v>BU24</v>
      </c>
    </row>
    <row r="466" spans="1:17" x14ac:dyDescent="0.3">
      <c r="A466" t="s">
        <v>110</v>
      </c>
      <c r="B466" s="16">
        <v>45170</v>
      </c>
      <c r="C466" t="s">
        <v>3</v>
      </c>
      <c r="D466" t="s">
        <v>151</v>
      </c>
      <c r="E466">
        <v>21</v>
      </c>
      <c r="F466">
        <v>18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N466">
        <v>21</v>
      </c>
      <c r="O466">
        <f t="shared" si="14"/>
        <v>2023</v>
      </c>
      <c r="P466">
        <f t="shared" si="15"/>
        <v>9</v>
      </c>
      <c r="Q466" t="str">
        <f>_xlfn.XLOOKUP(B466,全店核心数据_bymonth!A:A,全店核心数据_bymonth!AN:AN)</f>
        <v>BU24</v>
      </c>
    </row>
    <row r="467" spans="1:17" x14ac:dyDescent="0.3">
      <c r="A467" t="s">
        <v>110</v>
      </c>
      <c r="B467" s="16">
        <v>45170</v>
      </c>
      <c r="C467" t="s">
        <v>3</v>
      </c>
      <c r="D467" t="s">
        <v>149</v>
      </c>
      <c r="E467">
        <v>39</v>
      </c>
      <c r="F467">
        <v>30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N467">
        <v>19</v>
      </c>
      <c r="O467">
        <f t="shared" si="14"/>
        <v>2023</v>
      </c>
      <c r="P467">
        <f t="shared" si="15"/>
        <v>9</v>
      </c>
      <c r="Q467" t="str">
        <f>_xlfn.XLOOKUP(B467,全店核心数据_bymonth!A:A,全店核心数据_bymonth!AN:AN)</f>
        <v>BU24</v>
      </c>
    </row>
    <row r="468" spans="1:17" x14ac:dyDescent="0.3">
      <c r="A468" t="s">
        <v>110</v>
      </c>
      <c r="B468" s="16">
        <v>45170</v>
      </c>
      <c r="C468" t="s">
        <v>3</v>
      </c>
      <c r="D468" t="s">
        <v>148</v>
      </c>
      <c r="E468">
        <v>47</v>
      </c>
      <c r="F468">
        <v>33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N468">
        <v>25</v>
      </c>
      <c r="O468">
        <f t="shared" si="14"/>
        <v>2023</v>
      </c>
      <c r="P468">
        <f t="shared" si="15"/>
        <v>9</v>
      </c>
      <c r="Q468" t="str">
        <f>_xlfn.XLOOKUP(B468,全店核心数据_bymonth!A:A,全店核心数据_bymonth!AN:AN)</f>
        <v>BU24</v>
      </c>
    </row>
    <row r="469" spans="1:17" x14ac:dyDescent="0.3">
      <c r="A469" t="s">
        <v>110</v>
      </c>
      <c r="B469" s="16">
        <v>45170</v>
      </c>
      <c r="C469" t="s">
        <v>3</v>
      </c>
      <c r="D469" t="s">
        <v>251</v>
      </c>
      <c r="E469">
        <v>4369</v>
      </c>
      <c r="F469">
        <v>4027</v>
      </c>
      <c r="G469">
        <v>63</v>
      </c>
      <c r="H469">
        <v>27</v>
      </c>
      <c r="I469">
        <v>33560</v>
      </c>
      <c r="J469">
        <v>13</v>
      </c>
      <c r="K469">
        <v>24601</v>
      </c>
      <c r="L469">
        <v>10</v>
      </c>
      <c r="N469">
        <v>4104</v>
      </c>
      <c r="O469">
        <f t="shared" si="14"/>
        <v>2023</v>
      </c>
      <c r="P469">
        <f t="shared" si="15"/>
        <v>9</v>
      </c>
      <c r="Q469" t="str">
        <f>_xlfn.XLOOKUP(B469,全店核心数据_bymonth!A:A,全店核心数据_bymonth!AN:AN)</f>
        <v>BU24</v>
      </c>
    </row>
    <row r="470" spans="1:17" x14ac:dyDescent="0.3">
      <c r="A470" t="s">
        <v>110</v>
      </c>
      <c r="B470" s="16">
        <v>45170</v>
      </c>
      <c r="C470" t="s">
        <v>3</v>
      </c>
      <c r="D470" t="s">
        <v>143</v>
      </c>
      <c r="E470">
        <v>71</v>
      </c>
      <c r="F470">
        <v>59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N470">
        <v>71</v>
      </c>
      <c r="O470">
        <f t="shared" si="14"/>
        <v>2023</v>
      </c>
      <c r="P470">
        <f t="shared" si="15"/>
        <v>9</v>
      </c>
      <c r="Q470" t="str">
        <f>_xlfn.XLOOKUP(B470,全店核心数据_bymonth!A:A,全店核心数据_bymonth!AN:AN)</f>
        <v>BU24</v>
      </c>
    </row>
    <row r="471" spans="1:17" x14ac:dyDescent="0.3">
      <c r="A471" t="s">
        <v>110</v>
      </c>
      <c r="B471" s="16">
        <v>45170</v>
      </c>
      <c r="C471" t="s">
        <v>3</v>
      </c>
      <c r="D471" t="s">
        <v>142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N471">
        <v>1</v>
      </c>
      <c r="O471">
        <f t="shared" si="14"/>
        <v>2023</v>
      </c>
      <c r="P471">
        <f t="shared" si="15"/>
        <v>9</v>
      </c>
      <c r="Q471" t="str">
        <f>_xlfn.XLOOKUP(B471,全店核心数据_bymonth!A:A,全店核心数据_bymonth!AN:AN)</f>
        <v>BU24</v>
      </c>
    </row>
    <row r="472" spans="1:17" x14ac:dyDescent="0.3">
      <c r="A472" t="s">
        <v>110</v>
      </c>
      <c r="B472" s="16">
        <v>45170</v>
      </c>
      <c r="C472" t="s">
        <v>3</v>
      </c>
      <c r="D472" t="s">
        <v>141</v>
      </c>
      <c r="E472">
        <v>58</v>
      </c>
      <c r="F472">
        <v>56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N472">
        <v>51</v>
      </c>
      <c r="O472">
        <f t="shared" si="14"/>
        <v>2023</v>
      </c>
      <c r="P472">
        <f t="shared" si="15"/>
        <v>9</v>
      </c>
      <c r="Q472" t="str">
        <f>_xlfn.XLOOKUP(B472,全店核心数据_bymonth!A:A,全店核心数据_bymonth!AN:AN)</f>
        <v>BU24</v>
      </c>
    </row>
    <row r="473" spans="1:17" x14ac:dyDescent="0.3">
      <c r="A473" t="s">
        <v>110</v>
      </c>
      <c r="B473" s="16">
        <v>45170</v>
      </c>
      <c r="C473" t="s">
        <v>3</v>
      </c>
      <c r="D473" t="s">
        <v>140</v>
      </c>
      <c r="E473">
        <v>64</v>
      </c>
      <c r="F473">
        <v>56</v>
      </c>
      <c r="G473">
        <v>3</v>
      </c>
      <c r="H473">
        <v>2</v>
      </c>
      <c r="I473">
        <v>35796</v>
      </c>
      <c r="J473">
        <v>7</v>
      </c>
      <c r="K473">
        <v>33808</v>
      </c>
      <c r="L473">
        <v>7</v>
      </c>
      <c r="N473">
        <v>60</v>
      </c>
      <c r="O473">
        <f t="shared" si="14"/>
        <v>2023</v>
      </c>
      <c r="P473">
        <f t="shared" si="15"/>
        <v>9</v>
      </c>
      <c r="Q473" t="str">
        <f>_xlfn.XLOOKUP(B473,全店核心数据_bymonth!A:A,全店核心数据_bymonth!AN:AN)</f>
        <v>BU24</v>
      </c>
    </row>
    <row r="474" spans="1:17" x14ac:dyDescent="0.3">
      <c r="A474" t="s">
        <v>110</v>
      </c>
      <c r="B474" s="16">
        <v>45170</v>
      </c>
      <c r="C474" t="s">
        <v>3</v>
      </c>
      <c r="D474" t="s">
        <v>139</v>
      </c>
      <c r="E474">
        <v>4922</v>
      </c>
      <c r="F474">
        <v>3846</v>
      </c>
      <c r="G474">
        <v>76</v>
      </c>
      <c r="H474">
        <v>43</v>
      </c>
      <c r="I474">
        <v>197936.01</v>
      </c>
      <c r="J474">
        <v>31</v>
      </c>
      <c r="K474">
        <v>146966.01</v>
      </c>
      <c r="L474">
        <v>27</v>
      </c>
      <c r="N474">
        <v>3085</v>
      </c>
      <c r="O474">
        <f t="shared" si="14"/>
        <v>2023</v>
      </c>
      <c r="P474">
        <f t="shared" si="15"/>
        <v>9</v>
      </c>
      <c r="Q474" t="str">
        <f>_xlfn.XLOOKUP(B474,全店核心数据_bymonth!A:A,全店核心数据_bymonth!AN:AN)</f>
        <v>BU24</v>
      </c>
    </row>
    <row r="475" spans="1:17" x14ac:dyDescent="0.3">
      <c r="A475" t="s">
        <v>110</v>
      </c>
      <c r="B475" s="16">
        <v>45170</v>
      </c>
      <c r="C475" t="s">
        <v>3</v>
      </c>
      <c r="D475" t="s">
        <v>187</v>
      </c>
      <c r="E475">
        <v>73</v>
      </c>
      <c r="F475">
        <v>64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N475">
        <v>34</v>
      </c>
      <c r="O475">
        <f t="shared" si="14"/>
        <v>2023</v>
      </c>
      <c r="P475">
        <f t="shared" si="15"/>
        <v>9</v>
      </c>
      <c r="Q475" t="str">
        <f>_xlfn.XLOOKUP(B475,全店核心数据_bymonth!A:A,全店核心数据_bymonth!AN:AN)</f>
        <v>BU24</v>
      </c>
    </row>
    <row r="476" spans="1:17" x14ac:dyDescent="0.3">
      <c r="A476" t="s">
        <v>110</v>
      </c>
      <c r="B476" s="16">
        <v>45170</v>
      </c>
      <c r="C476" t="s">
        <v>3</v>
      </c>
      <c r="D476" t="s">
        <v>138</v>
      </c>
      <c r="E476">
        <v>1959</v>
      </c>
      <c r="F476">
        <v>1526</v>
      </c>
      <c r="G476">
        <v>20</v>
      </c>
      <c r="H476">
        <v>34</v>
      </c>
      <c r="I476">
        <v>28521</v>
      </c>
      <c r="J476">
        <v>4</v>
      </c>
      <c r="K476">
        <v>21571</v>
      </c>
      <c r="L476">
        <v>4</v>
      </c>
      <c r="N476">
        <v>1926</v>
      </c>
      <c r="O476">
        <f t="shared" si="14"/>
        <v>2023</v>
      </c>
      <c r="P476">
        <f t="shared" si="15"/>
        <v>9</v>
      </c>
      <c r="Q476" t="str">
        <f>_xlfn.XLOOKUP(B476,全店核心数据_bymonth!A:A,全店核心数据_bymonth!AN:AN)</f>
        <v>BU24</v>
      </c>
    </row>
    <row r="477" spans="1:17" x14ac:dyDescent="0.3">
      <c r="A477" t="s">
        <v>110</v>
      </c>
      <c r="B477" s="16">
        <v>45170</v>
      </c>
      <c r="C477" t="s">
        <v>3</v>
      </c>
      <c r="D477" t="s">
        <v>137</v>
      </c>
      <c r="E477">
        <v>36</v>
      </c>
      <c r="F477">
        <v>24</v>
      </c>
      <c r="G477">
        <v>1</v>
      </c>
      <c r="H477">
        <v>1</v>
      </c>
      <c r="I477">
        <v>0</v>
      </c>
      <c r="J477">
        <v>0</v>
      </c>
      <c r="K477">
        <v>0</v>
      </c>
      <c r="L477">
        <v>0</v>
      </c>
      <c r="N477">
        <v>36</v>
      </c>
      <c r="O477">
        <f t="shared" si="14"/>
        <v>2023</v>
      </c>
      <c r="P477">
        <f t="shared" si="15"/>
        <v>9</v>
      </c>
      <c r="Q477" t="str">
        <f>_xlfn.XLOOKUP(B477,全店核心数据_bymonth!A:A,全店核心数据_bymonth!AN:AN)</f>
        <v>BU24</v>
      </c>
    </row>
    <row r="478" spans="1:17" x14ac:dyDescent="0.3">
      <c r="A478" t="s">
        <v>110</v>
      </c>
      <c r="B478" s="16">
        <v>45170</v>
      </c>
      <c r="C478" t="s">
        <v>3</v>
      </c>
      <c r="D478" t="s">
        <v>135</v>
      </c>
      <c r="E478">
        <v>4</v>
      </c>
      <c r="F478">
        <v>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N478">
        <v>4</v>
      </c>
      <c r="O478">
        <f t="shared" si="14"/>
        <v>2023</v>
      </c>
      <c r="P478">
        <f t="shared" si="15"/>
        <v>9</v>
      </c>
      <c r="Q478" t="str">
        <f>_xlfn.XLOOKUP(B478,全店核心数据_bymonth!A:A,全店核心数据_bymonth!AN:AN)</f>
        <v>BU24</v>
      </c>
    </row>
    <row r="479" spans="1:17" x14ac:dyDescent="0.3">
      <c r="A479" t="s">
        <v>110</v>
      </c>
      <c r="B479" s="16">
        <v>45170</v>
      </c>
      <c r="C479" t="s">
        <v>3</v>
      </c>
      <c r="D479" t="s">
        <v>133</v>
      </c>
      <c r="E479">
        <v>120</v>
      </c>
      <c r="F479">
        <v>92</v>
      </c>
      <c r="G479">
        <v>0</v>
      </c>
      <c r="H479">
        <v>0</v>
      </c>
      <c r="I479">
        <v>2995</v>
      </c>
      <c r="J479">
        <v>1</v>
      </c>
      <c r="K479">
        <v>2995</v>
      </c>
      <c r="L479">
        <v>1</v>
      </c>
      <c r="N479">
        <v>92</v>
      </c>
      <c r="O479">
        <f t="shared" si="14"/>
        <v>2023</v>
      </c>
      <c r="P479">
        <f t="shared" si="15"/>
        <v>9</v>
      </c>
      <c r="Q479" t="str">
        <f>_xlfn.XLOOKUP(B479,全店核心数据_bymonth!A:A,全店核心数据_bymonth!AN:AN)</f>
        <v>BU24</v>
      </c>
    </row>
    <row r="480" spans="1:17" x14ac:dyDescent="0.3">
      <c r="A480" t="s">
        <v>110</v>
      </c>
      <c r="B480" s="16">
        <v>45170</v>
      </c>
      <c r="C480" t="s">
        <v>3</v>
      </c>
      <c r="D480" t="s">
        <v>132</v>
      </c>
      <c r="E480">
        <v>196</v>
      </c>
      <c r="F480">
        <v>179</v>
      </c>
      <c r="G480">
        <v>3</v>
      </c>
      <c r="H480">
        <v>3</v>
      </c>
      <c r="I480">
        <v>0</v>
      </c>
      <c r="J480">
        <v>0</v>
      </c>
      <c r="K480">
        <v>0</v>
      </c>
      <c r="L480">
        <v>0</v>
      </c>
      <c r="N480">
        <v>196</v>
      </c>
      <c r="O480">
        <f t="shared" si="14"/>
        <v>2023</v>
      </c>
      <c r="P480">
        <f t="shared" si="15"/>
        <v>9</v>
      </c>
      <c r="Q480" t="str">
        <f>_xlfn.XLOOKUP(B480,全店核心数据_bymonth!A:A,全店核心数据_bymonth!AN:AN)</f>
        <v>BU24</v>
      </c>
    </row>
    <row r="481" spans="1:17" x14ac:dyDescent="0.3">
      <c r="A481" t="s">
        <v>110</v>
      </c>
      <c r="B481" s="16">
        <v>45170</v>
      </c>
      <c r="C481" t="s">
        <v>3</v>
      </c>
      <c r="D481" t="s">
        <v>131</v>
      </c>
      <c r="E481">
        <v>13</v>
      </c>
      <c r="F481">
        <v>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N481">
        <v>13</v>
      </c>
      <c r="O481">
        <f t="shared" si="14"/>
        <v>2023</v>
      </c>
      <c r="P481">
        <f t="shared" si="15"/>
        <v>9</v>
      </c>
      <c r="Q481" t="str">
        <f>_xlfn.XLOOKUP(B481,全店核心数据_bymonth!A:A,全店核心数据_bymonth!AN:AN)</f>
        <v>BU24</v>
      </c>
    </row>
    <row r="482" spans="1:17" x14ac:dyDescent="0.3">
      <c r="A482" t="s">
        <v>110</v>
      </c>
      <c r="B482" s="16">
        <v>45170</v>
      </c>
      <c r="C482" t="s">
        <v>3</v>
      </c>
      <c r="D482" t="s">
        <v>130</v>
      </c>
      <c r="E482">
        <v>585</v>
      </c>
      <c r="F482">
        <v>365</v>
      </c>
      <c r="G482">
        <v>33</v>
      </c>
      <c r="H482">
        <v>22</v>
      </c>
      <c r="I482">
        <v>146664</v>
      </c>
      <c r="J482">
        <v>26</v>
      </c>
      <c r="K482">
        <v>123863</v>
      </c>
      <c r="L482">
        <v>24</v>
      </c>
      <c r="N482">
        <v>530</v>
      </c>
      <c r="O482">
        <f t="shared" si="14"/>
        <v>2023</v>
      </c>
      <c r="P482">
        <f t="shared" si="15"/>
        <v>9</v>
      </c>
      <c r="Q482" t="str">
        <f>_xlfn.XLOOKUP(B482,全店核心数据_bymonth!A:A,全店核心数据_bymonth!AN:AN)</f>
        <v>BU24</v>
      </c>
    </row>
    <row r="483" spans="1:17" x14ac:dyDescent="0.3">
      <c r="A483" t="s">
        <v>110</v>
      </c>
      <c r="B483" s="16">
        <v>45170</v>
      </c>
      <c r="C483" t="s">
        <v>3</v>
      </c>
      <c r="D483" t="s">
        <v>128</v>
      </c>
      <c r="E483">
        <v>9327</v>
      </c>
      <c r="F483">
        <v>8330</v>
      </c>
      <c r="G483">
        <v>186</v>
      </c>
      <c r="H483">
        <v>100</v>
      </c>
      <c r="I483">
        <v>169803</v>
      </c>
      <c r="J483">
        <v>33</v>
      </c>
      <c r="K483">
        <v>97598</v>
      </c>
      <c r="L483">
        <v>27</v>
      </c>
      <c r="N483">
        <v>7172</v>
      </c>
      <c r="O483">
        <f t="shared" si="14"/>
        <v>2023</v>
      </c>
      <c r="P483">
        <f t="shared" si="15"/>
        <v>9</v>
      </c>
      <c r="Q483" t="str">
        <f>_xlfn.XLOOKUP(B483,全店核心数据_bymonth!A:A,全店核心数据_bymonth!AN:AN)</f>
        <v>BU24</v>
      </c>
    </row>
    <row r="484" spans="1:17" x14ac:dyDescent="0.3">
      <c r="A484" t="s">
        <v>110</v>
      </c>
      <c r="B484" s="16">
        <v>45170</v>
      </c>
      <c r="C484" t="s">
        <v>3</v>
      </c>
      <c r="D484" t="s">
        <v>127</v>
      </c>
      <c r="E484">
        <v>80739</v>
      </c>
      <c r="F484">
        <v>76825</v>
      </c>
      <c r="G484">
        <v>232</v>
      </c>
      <c r="H484">
        <v>249</v>
      </c>
      <c r="I484">
        <v>243424</v>
      </c>
      <c r="J484">
        <v>19</v>
      </c>
      <c r="K484">
        <v>86508</v>
      </c>
      <c r="L484">
        <v>10</v>
      </c>
      <c r="N484">
        <v>80530</v>
      </c>
      <c r="O484">
        <f t="shared" si="14"/>
        <v>2023</v>
      </c>
      <c r="P484">
        <f t="shared" si="15"/>
        <v>9</v>
      </c>
      <c r="Q484" t="str">
        <f>_xlfn.XLOOKUP(B484,全店核心数据_bymonth!A:A,全店核心数据_bymonth!AN:AN)</f>
        <v>BU24</v>
      </c>
    </row>
    <row r="485" spans="1:17" x14ac:dyDescent="0.3">
      <c r="A485" t="s">
        <v>110</v>
      </c>
      <c r="B485" s="16">
        <v>45170</v>
      </c>
      <c r="C485" t="s">
        <v>3</v>
      </c>
      <c r="D485" t="s">
        <v>126</v>
      </c>
      <c r="E485">
        <v>1027</v>
      </c>
      <c r="F485">
        <v>868</v>
      </c>
      <c r="G485">
        <v>30</v>
      </c>
      <c r="H485">
        <v>19</v>
      </c>
      <c r="I485">
        <v>46455</v>
      </c>
      <c r="J485">
        <v>8</v>
      </c>
      <c r="K485">
        <v>19050</v>
      </c>
      <c r="L485">
        <v>3</v>
      </c>
      <c r="N485">
        <v>984</v>
      </c>
      <c r="O485">
        <f t="shared" si="14"/>
        <v>2023</v>
      </c>
      <c r="P485">
        <f t="shared" si="15"/>
        <v>9</v>
      </c>
      <c r="Q485" t="str">
        <f>_xlfn.XLOOKUP(B485,全店核心数据_bymonth!A:A,全店核心数据_bymonth!AN:AN)</f>
        <v>BU24</v>
      </c>
    </row>
    <row r="486" spans="1:17" x14ac:dyDescent="0.3">
      <c r="A486" t="s">
        <v>110</v>
      </c>
      <c r="B486" s="16">
        <v>45170</v>
      </c>
      <c r="C486" t="s">
        <v>3</v>
      </c>
      <c r="D486" t="s">
        <v>125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N486">
        <v>0</v>
      </c>
      <c r="O486">
        <f t="shared" si="14"/>
        <v>2023</v>
      </c>
      <c r="P486">
        <f t="shared" si="15"/>
        <v>9</v>
      </c>
      <c r="Q486" t="str">
        <f>_xlfn.XLOOKUP(B486,全店核心数据_bymonth!A:A,全店核心数据_bymonth!AN:AN)</f>
        <v>BU24</v>
      </c>
    </row>
    <row r="487" spans="1:17" x14ac:dyDescent="0.3">
      <c r="A487" t="s">
        <v>110</v>
      </c>
      <c r="B487" s="16">
        <v>45170</v>
      </c>
      <c r="C487" t="s">
        <v>3</v>
      </c>
      <c r="D487" t="s">
        <v>124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N487">
        <v>0</v>
      </c>
      <c r="O487">
        <f t="shared" si="14"/>
        <v>2023</v>
      </c>
      <c r="P487">
        <f t="shared" si="15"/>
        <v>9</v>
      </c>
      <c r="Q487" t="str">
        <f>_xlfn.XLOOKUP(B487,全店核心数据_bymonth!A:A,全店核心数据_bymonth!AN:AN)</f>
        <v>BU24</v>
      </c>
    </row>
    <row r="488" spans="1:17" x14ac:dyDescent="0.3">
      <c r="A488" t="s">
        <v>110</v>
      </c>
      <c r="B488" s="16">
        <v>45170</v>
      </c>
      <c r="C488" t="s">
        <v>3</v>
      </c>
      <c r="D488" t="s">
        <v>123</v>
      </c>
      <c r="E488">
        <v>1549</v>
      </c>
      <c r="F488">
        <v>1018</v>
      </c>
      <c r="G488">
        <v>31</v>
      </c>
      <c r="H488">
        <v>27</v>
      </c>
      <c r="I488">
        <v>8370</v>
      </c>
      <c r="J488">
        <v>3</v>
      </c>
      <c r="K488">
        <v>7380</v>
      </c>
      <c r="L488">
        <v>3</v>
      </c>
      <c r="N488">
        <v>1282</v>
      </c>
      <c r="O488">
        <f t="shared" si="14"/>
        <v>2023</v>
      </c>
      <c r="P488">
        <f t="shared" si="15"/>
        <v>9</v>
      </c>
      <c r="Q488" t="str">
        <f>_xlfn.XLOOKUP(B488,全店核心数据_bymonth!A:A,全店核心数据_bymonth!AN:AN)</f>
        <v>BU24</v>
      </c>
    </row>
    <row r="489" spans="1:17" x14ac:dyDescent="0.3">
      <c r="A489" t="s">
        <v>110</v>
      </c>
      <c r="B489" s="16">
        <v>45170</v>
      </c>
      <c r="C489" t="s">
        <v>3</v>
      </c>
      <c r="D489" t="s">
        <v>121</v>
      </c>
      <c r="E489">
        <v>20</v>
      </c>
      <c r="F489">
        <v>16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N489">
        <v>11</v>
      </c>
      <c r="O489">
        <f t="shared" si="14"/>
        <v>2023</v>
      </c>
      <c r="P489">
        <f t="shared" si="15"/>
        <v>9</v>
      </c>
      <c r="Q489" t="str">
        <f>_xlfn.XLOOKUP(B489,全店核心数据_bymonth!A:A,全店核心数据_bymonth!AN:AN)</f>
        <v>BU24</v>
      </c>
    </row>
    <row r="490" spans="1:17" x14ac:dyDescent="0.3">
      <c r="A490" t="s">
        <v>110</v>
      </c>
      <c r="B490" s="16">
        <v>45170</v>
      </c>
      <c r="C490" t="s">
        <v>3</v>
      </c>
      <c r="D490" t="s">
        <v>120</v>
      </c>
      <c r="E490">
        <v>4282</v>
      </c>
      <c r="F490">
        <v>3947</v>
      </c>
      <c r="G490">
        <v>112</v>
      </c>
      <c r="H490">
        <v>0</v>
      </c>
      <c r="I490">
        <v>75375</v>
      </c>
      <c r="J490">
        <v>7</v>
      </c>
      <c r="K490">
        <v>39880</v>
      </c>
      <c r="L490">
        <v>6</v>
      </c>
      <c r="N490">
        <v>4096</v>
      </c>
      <c r="O490">
        <f t="shared" si="14"/>
        <v>2023</v>
      </c>
      <c r="P490">
        <f t="shared" si="15"/>
        <v>9</v>
      </c>
      <c r="Q490" t="str">
        <f>_xlfn.XLOOKUP(B490,全店核心数据_bymonth!A:A,全店核心数据_bymonth!AN:AN)</f>
        <v>BU24</v>
      </c>
    </row>
    <row r="491" spans="1:17" x14ac:dyDescent="0.3">
      <c r="A491" t="s">
        <v>110</v>
      </c>
      <c r="B491" s="16">
        <v>45170</v>
      </c>
      <c r="C491" t="s">
        <v>3</v>
      </c>
      <c r="D491" t="s">
        <v>119</v>
      </c>
      <c r="E491">
        <v>2887</v>
      </c>
      <c r="F491">
        <v>2094</v>
      </c>
      <c r="G491">
        <v>73</v>
      </c>
      <c r="H491">
        <v>53</v>
      </c>
      <c r="I491">
        <v>146067.5</v>
      </c>
      <c r="J491">
        <v>23</v>
      </c>
      <c r="K491">
        <v>107112.5</v>
      </c>
      <c r="L491">
        <v>23</v>
      </c>
      <c r="N491">
        <v>2786</v>
      </c>
      <c r="O491">
        <f t="shared" si="14"/>
        <v>2023</v>
      </c>
      <c r="P491">
        <f t="shared" si="15"/>
        <v>9</v>
      </c>
      <c r="Q491" t="str">
        <f>_xlfn.XLOOKUP(B491,全店核心数据_bymonth!A:A,全店核心数据_bymonth!AN:AN)</f>
        <v>BU24</v>
      </c>
    </row>
    <row r="492" spans="1:17" x14ac:dyDescent="0.3">
      <c r="A492" t="s">
        <v>110</v>
      </c>
      <c r="B492" s="16">
        <v>45170</v>
      </c>
      <c r="C492" t="s">
        <v>3</v>
      </c>
      <c r="D492" t="s">
        <v>117</v>
      </c>
      <c r="E492">
        <v>48</v>
      </c>
      <c r="F492">
        <v>43</v>
      </c>
      <c r="G492">
        <v>1</v>
      </c>
      <c r="H492">
        <v>1</v>
      </c>
      <c r="I492">
        <v>0</v>
      </c>
      <c r="J492">
        <v>0</v>
      </c>
      <c r="K492">
        <v>0</v>
      </c>
      <c r="L492">
        <v>0</v>
      </c>
      <c r="N492">
        <v>48</v>
      </c>
      <c r="O492">
        <f t="shared" si="14"/>
        <v>2023</v>
      </c>
      <c r="P492">
        <f t="shared" si="15"/>
        <v>9</v>
      </c>
      <c r="Q492" t="str">
        <f>_xlfn.XLOOKUP(B492,全店核心数据_bymonth!A:A,全店核心数据_bymonth!AN:AN)</f>
        <v>BU24</v>
      </c>
    </row>
    <row r="493" spans="1:17" x14ac:dyDescent="0.3">
      <c r="A493" t="s">
        <v>110</v>
      </c>
      <c r="B493" s="16">
        <v>45170</v>
      </c>
      <c r="C493" t="s">
        <v>3</v>
      </c>
      <c r="D493" t="s">
        <v>116</v>
      </c>
      <c r="E493">
        <v>107</v>
      </c>
      <c r="F493">
        <v>82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N493">
        <v>107</v>
      </c>
      <c r="O493">
        <f t="shared" si="14"/>
        <v>2023</v>
      </c>
      <c r="P493">
        <f t="shared" si="15"/>
        <v>9</v>
      </c>
      <c r="Q493" t="str">
        <f>_xlfn.XLOOKUP(B493,全店核心数据_bymonth!A:A,全店核心数据_bymonth!AN:AN)</f>
        <v>BU24</v>
      </c>
    </row>
    <row r="494" spans="1:17" x14ac:dyDescent="0.3">
      <c r="A494" t="s">
        <v>110</v>
      </c>
      <c r="B494" s="16">
        <v>45170</v>
      </c>
      <c r="C494" t="s">
        <v>3</v>
      </c>
      <c r="D494" t="s">
        <v>115</v>
      </c>
      <c r="E494">
        <v>42</v>
      </c>
      <c r="F494">
        <v>33</v>
      </c>
      <c r="G494">
        <v>2</v>
      </c>
      <c r="H494">
        <v>0</v>
      </c>
      <c r="I494">
        <v>0</v>
      </c>
      <c r="J494">
        <v>0</v>
      </c>
      <c r="K494">
        <v>0</v>
      </c>
      <c r="L494">
        <v>0</v>
      </c>
      <c r="N494">
        <v>40</v>
      </c>
      <c r="O494">
        <f t="shared" si="14"/>
        <v>2023</v>
      </c>
      <c r="P494">
        <f t="shared" si="15"/>
        <v>9</v>
      </c>
      <c r="Q494" t="str">
        <f>_xlfn.XLOOKUP(B494,全店核心数据_bymonth!A:A,全店核心数据_bymonth!AN:AN)</f>
        <v>BU24</v>
      </c>
    </row>
    <row r="495" spans="1:17" x14ac:dyDescent="0.3">
      <c r="A495" t="s">
        <v>110</v>
      </c>
      <c r="B495" s="16">
        <v>45170</v>
      </c>
      <c r="C495" t="s">
        <v>3</v>
      </c>
      <c r="D495" t="s">
        <v>186</v>
      </c>
      <c r="E495">
        <v>7</v>
      </c>
      <c r="F495">
        <v>3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N495">
        <v>7</v>
      </c>
      <c r="O495">
        <f t="shared" si="14"/>
        <v>2023</v>
      </c>
      <c r="P495">
        <f t="shared" si="15"/>
        <v>9</v>
      </c>
      <c r="Q495" t="str">
        <f>_xlfn.XLOOKUP(B495,全店核心数据_bymonth!A:A,全店核心数据_bymonth!AN:AN)</f>
        <v>BU24</v>
      </c>
    </row>
    <row r="496" spans="1:17" x14ac:dyDescent="0.3">
      <c r="A496" t="s">
        <v>110</v>
      </c>
      <c r="B496" s="16">
        <v>45170</v>
      </c>
      <c r="C496" t="s">
        <v>3</v>
      </c>
      <c r="D496" t="s">
        <v>114</v>
      </c>
      <c r="E496">
        <v>378</v>
      </c>
      <c r="F496">
        <v>215</v>
      </c>
      <c r="G496">
        <v>8</v>
      </c>
      <c r="H496">
        <v>4</v>
      </c>
      <c r="I496">
        <v>0</v>
      </c>
      <c r="J496">
        <v>0</v>
      </c>
      <c r="K496">
        <v>0</v>
      </c>
      <c r="L496">
        <v>0</v>
      </c>
      <c r="N496">
        <v>371</v>
      </c>
      <c r="O496">
        <f t="shared" si="14"/>
        <v>2023</v>
      </c>
      <c r="P496">
        <f t="shared" si="15"/>
        <v>9</v>
      </c>
      <c r="Q496" t="str">
        <f>_xlfn.XLOOKUP(B496,全店核心数据_bymonth!A:A,全店核心数据_bymonth!AN:AN)</f>
        <v>BU24</v>
      </c>
    </row>
    <row r="497" spans="1:17" x14ac:dyDescent="0.3">
      <c r="A497" t="s">
        <v>110</v>
      </c>
      <c r="B497" s="16">
        <v>45170</v>
      </c>
      <c r="C497" t="s">
        <v>3</v>
      </c>
      <c r="D497" t="s">
        <v>113</v>
      </c>
      <c r="E497">
        <v>2046</v>
      </c>
      <c r="F497">
        <v>1714</v>
      </c>
      <c r="G497">
        <v>35</v>
      </c>
      <c r="H497">
        <v>27</v>
      </c>
      <c r="I497">
        <v>22075</v>
      </c>
      <c r="J497">
        <v>6</v>
      </c>
      <c r="K497">
        <v>17080</v>
      </c>
      <c r="L497">
        <v>5</v>
      </c>
      <c r="N497">
        <v>1179</v>
      </c>
      <c r="O497">
        <f t="shared" si="14"/>
        <v>2023</v>
      </c>
      <c r="P497">
        <f t="shared" si="15"/>
        <v>9</v>
      </c>
      <c r="Q497" t="str">
        <f>_xlfn.XLOOKUP(B497,全店核心数据_bymonth!A:A,全店核心数据_bymonth!AN:AN)</f>
        <v>BU24</v>
      </c>
    </row>
    <row r="498" spans="1:17" x14ac:dyDescent="0.3">
      <c r="A498" t="s">
        <v>110</v>
      </c>
      <c r="B498" s="16">
        <v>45170</v>
      </c>
      <c r="C498" t="s">
        <v>3</v>
      </c>
      <c r="D498" t="s">
        <v>112</v>
      </c>
      <c r="E498">
        <v>19</v>
      </c>
      <c r="F498">
        <v>7</v>
      </c>
      <c r="G498">
        <v>1</v>
      </c>
      <c r="H498">
        <v>0</v>
      </c>
      <c r="I498">
        <v>10185</v>
      </c>
      <c r="J498">
        <v>2</v>
      </c>
      <c r="K498">
        <v>10185</v>
      </c>
      <c r="L498">
        <v>2</v>
      </c>
      <c r="N498">
        <v>18</v>
      </c>
      <c r="O498">
        <f t="shared" si="14"/>
        <v>2023</v>
      </c>
      <c r="P498">
        <f t="shared" si="15"/>
        <v>9</v>
      </c>
      <c r="Q498" t="str">
        <f>_xlfn.XLOOKUP(B498,全店核心数据_bymonth!A:A,全店核心数据_bymonth!AN:AN)</f>
        <v>BU24</v>
      </c>
    </row>
    <row r="499" spans="1:17" x14ac:dyDescent="0.3">
      <c r="A499" t="s">
        <v>110</v>
      </c>
      <c r="B499" s="16">
        <v>45566</v>
      </c>
      <c r="C499" t="s">
        <v>2</v>
      </c>
      <c r="D499" t="s">
        <v>4</v>
      </c>
      <c r="E499">
        <v>10918</v>
      </c>
      <c r="F499">
        <v>9127</v>
      </c>
      <c r="G499">
        <v>606</v>
      </c>
      <c r="H499">
        <v>36</v>
      </c>
      <c r="I499">
        <v>452431.01</v>
      </c>
      <c r="J499">
        <v>101</v>
      </c>
      <c r="K499">
        <v>357840.01</v>
      </c>
      <c r="L499">
        <v>86</v>
      </c>
      <c r="N499">
        <v>10603</v>
      </c>
      <c r="O499">
        <f t="shared" si="14"/>
        <v>2024</v>
      </c>
      <c r="P499">
        <f t="shared" si="15"/>
        <v>10</v>
      </c>
      <c r="Q499" t="str">
        <f>_xlfn.XLOOKUP(B499,全店核心数据_bymonth!A:A,全店核心数据_bymonth!AN:AN)</f>
        <v>BU25</v>
      </c>
    </row>
    <row r="500" spans="1:17" x14ac:dyDescent="0.3">
      <c r="A500" t="s">
        <v>110</v>
      </c>
      <c r="B500" s="16">
        <v>45566</v>
      </c>
      <c r="C500" t="s">
        <v>2</v>
      </c>
      <c r="D500" t="s">
        <v>57</v>
      </c>
      <c r="E500">
        <v>252251</v>
      </c>
      <c r="F500">
        <v>237906</v>
      </c>
      <c r="G500">
        <v>8297</v>
      </c>
      <c r="H500">
        <v>3511</v>
      </c>
      <c r="I500">
        <v>11245295.26</v>
      </c>
      <c r="J500">
        <v>1740</v>
      </c>
      <c r="K500">
        <v>7373967.9800000004</v>
      </c>
      <c r="L500">
        <v>1381</v>
      </c>
      <c r="N500">
        <v>251298</v>
      </c>
      <c r="O500">
        <f t="shared" si="14"/>
        <v>2024</v>
      </c>
      <c r="P500">
        <f t="shared" si="15"/>
        <v>10</v>
      </c>
      <c r="Q500" t="str">
        <f>_xlfn.XLOOKUP(B500,全店核心数据_bymonth!A:A,全店核心数据_bymonth!AN:AN)</f>
        <v>BU25</v>
      </c>
    </row>
    <row r="501" spans="1:17" x14ac:dyDescent="0.3">
      <c r="A501" t="s">
        <v>110</v>
      </c>
      <c r="B501" s="16">
        <v>45566</v>
      </c>
      <c r="C501" t="s">
        <v>2</v>
      </c>
      <c r="D501" t="s">
        <v>52</v>
      </c>
      <c r="E501">
        <v>35629</v>
      </c>
      <c r="F501">
        <v>33159</v>
      </c>
      <c r="G501">
        <v>775</v>
      </c>
      <c r="H501">
        <v>180</v>
      </c>
      <c r="I501">
        <v>1617498.07</v>
      </c>
      <c r="J501">
        <v>183</v>
      </c>
      <c r="K501">
        <v>736447.07</v>
      </c>
      <c r="L501">
        <v>152</v>
      </c>
      <c r="N501">
        <v>14253</v>
      </c>
      <c r="O501">
        <f t="shared" si="14"/>
        <v>2024</v>
      </c>
      <c r="P501">
        <f t="shared" si="15"/>
        <v>10</v>
      </c>
      <c r="Q501" t="str">
        <f>_xlfn.XLOOKUP(B501,全店核心数据_bymonth!A:A,全店核心数据_bymonth!AN:AN)</f>
        <v>BU25</v>
      </c>
    </row>
    <row r="502" spans="1:17" x14ac:dyDescent="0.3">
      <c r="A502" t="s">
        <v>110</v>
      </c>
      <c r="B502" s="16">
        <v>45566</v>
      </c>
      <c r="C502" t="s">
        <v>2</v>
      </c>
      <c r="D502" t="s">
        <v>55</v>
      </c>
      <c r="E502">
        <v>23021</v>
      </c>
      <c r="F502">
        <v>20347</v>
      </c>
      <c r="G502">
        <v>208</v>
      </c>
      <c r="H502">
        <v>102</v>
      </c>
      <c r="I502">
        <v>0</v>
      </c>
      <c r="J502">
        <v>0</v>
      </c>
      <c r="K502">
        <v>0</v>
      </c>
      <c r="L502">
        <v>0</v>
      </c>
      <c r="N502">
        <v>5780</v>
      </c>
      <c r="O502">
        <f t="shared" si="14"/>
        <v>2024</v>
      </c>
      <c r="P502">
        <f t="shared" si="15"/>
        <v>10</v>
      </c>
      <c r="Q502" t="str">
        <f>_xlfn.XLOOKUP(B502,全店核心数据_bymonth!A:A,全店核心数据_bymonth!AN:AN)</f>
        <v>BU25</v>
      </c>
    </row>
    <row r="503" spans="1:17" x14ac:dyDescent="0.3">
      <c r="A503" t="s">
        <v>110</v>
      </c>
      <c r="B503" s="16">
        <v>45566</v>
      </c>
      <c r="C503" t="s">
        <v>3</v>
      </c>
      <c r="D503" t="s">
        <v>156</v>
      </c>
      <c r="E503">
        <v>1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N503">
        <v>0</v>
      </c>
      <c r="O503">
        <f t="shared" si="14"/>
        <v>2024</v>
      </c>
      <c r="P503">
        <f t="shared" si="15"/>
        <v>10</v>
      </c>
      <c r="Q503" t="str">
        <f>_xlfn.XLOOKUP(B503,全店核心数据_bymonth!A:A,全店核心数据_bymonth!AN:AN)</f>
        <v>BU25</v>
      </c>
    </row>
    <row r="504" spans="1:17" x14ac:dyDescent="0.3">
      <c r="A504" t="s">
        <v>110</v>
      </c>
      <c r="B504" s="16">
        <v>45566</v>
      </c>
      <c r="C504" t="s">
        <v>3</v>
      </c>
      <c r="D504" t="s">
        <v>155</v>
      </c>
      <c r="E504">
        <v>196</v>
      </c>
      <c r="F504">
        <v>139</v>
      </c>
      <c r="G504">
        <v>4</v>
      </c>
      <c r="H504">
        <v>2</v>
      </c>
      <c r="I504">
        <v>2447.5</v>
      </c>
      <c r="J504">
        <v>1</v>
      </c>
      <c r="K504">
        <v>2447.5</v>
      </c>
      <c r="L504">
        <v>1</v>
      </c>
      <c r="N504">
        <v>196</v>
      </c>
      <c r="O504">
        <f t="shared" si="14"/>
        <v>2024</v>
      </c>
      <c r="P504">
        <f t="shared" si="15"/>
        <v>10</v>
      </c>
      <c r="Q504" t="str">
        <f>_xlfn.XLOOKUP(B504,全店核心数据_bymonth!A:A,全店核心数据_bymonth!AN:AN)</f>
        <v>BU25</v>
      </c>
    </row>
    <row r="505" spans="1:17" x14ac:dyDescent="0.3">
      <c r="A505" t="s">
        <v>110</v>
      </c>
      <c r="B505" s="16">
        <v>45566</v>
      </c>
      <c r="C505" t="s">
        <v>3</v>
      </c>
      <c r="D505" t="s">
        <v>154</v>
      </c>
      <c r="E505">
        <v>9153</v>
      </c>
      <c r="F505">
        <v>9084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N505">
        <v>11</v>
      </c>
      <c r="O505">
        <f t="shared" si="14"/>
        <v>2024</v>
      </c>
      <c r="P505">
        <f t="shared" si="15"/>
        <v>10</v>
      </c>
      <c r="Q505" t="str">
        <f>_xlfn.XLOOKUP(B505,全店核心数据_bymonth!A:A,全店核心数据_bymonth!AN:AN)</f>
        <v>BU25</v>
      </c>
    </row>
    <row r="506" spans="1:17" x14ac:dyDescent="0.3">
      <c r="A506" t="s">
        <v>110</v>
      </c>
      <c r="B506" s="16">
        <v>45566</v>
      </c>
      <c r="C506" t="s">
        <v>3</v>
      </c>
      <c r="D506" t="s">
        <v>153</v>
      </c>
      <c r="E506">
        <v>8163</v>
      </c>
      <c r="F506">
        <v>4480</v>
      </c>
      <c r="G506">
        <v>1576</v>
      </c>
      <c r="H506">
        <v>145</v>
      </c>
      <c r="I506">
        <v>9683766.5199999996</v>
      </c>
      <c r="J506">
        <v>1508</v>
      </c>
      <c r="K506">
        <v>8139216.79</v>
      </c>
      <c r="L506">
        <v>1419</v>
      </c>
      <c r="N506">
        <v>7860</v>
      </c>
      <c r="O506">
        <f t="shared" si="14"/>
        <v>2024</v>
      </c>
      <c r="P506">
        <f t="shared" si="15"/>
        <v>10</v>
      </c>
      <c r="Q506" t="str">
        <f>_xlfn.XLOOKUP(B506,全店核心数据_bymonth!A:A,全店核心数据_bymonth!AN:AN)</f>
        <v>BU25</v>
      </c>
    </row>
    <row r="507" spans="1:17" x14ac:dyDescent="0.3">
      <c r="A507" t="s">
        <v>110</v>
      </c>
      <c r="B507" s="16">
        <v>45566</v>
      </c>
      <c r="C507" t="s">
        <v>3</v>
      </c>
      <c r="D507" t="s">
        <v>152</v>
      </c>
      <c r="E507">
        <v>731</v>
      </c>
      <c r="F507">
        <v>650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N507">
        <v>65</v>
      </c>
      <c r="O507">
        <f t="shared" si="14"/>
        <v>2024</v>
      </c>
      <c r="P507">
        <f t="shared" si="15"/>
        <v>10</v>
      </c>
      <c r="Q507" t="str">
        <f>_xlfn.XLOOKUP(B507,全店核心数据_bymonth!A:A,全店核心数据_bymonth!AN:AN)</f>
        <v>BU25</v>
      </c>
    </row>
    <row r="508" spans="1:17" x14ac:dyDescent="0.3">
      <c r="A508" t="s">
        <v>110</v>
      </c>
      <c r="B508" s="16">
        <v>45566</v>
      </c>
      <c r="C508" t="s">
        <v>3</v>
      </c>
      <c r="D508" t="s">
        <v>150</v>
      </c>
      <c r="E508">
        <v>202</v>
      </c>
      <c r="F508">
        <v>143</v>
      </c>
      <c r="G508">
        <v>2</v>
      </c>
      <c r="H508">
        <v>1</v>
      </c>
      <c r="I508">
        <v>0</v>
      </c>
      <c r="J508">
        <v>0</v>
      </c>
      <c r="K508">
        <v>0</v>
      </c>
      <c r="L508">
        <v>0</v>
      </c>
      <c r="N508">
        <v>69</v>
      </c>
      <c r="O508">
        <f t="shared" si="14"/>
        <v>2024</v>
      </c>
      <c r="P508">
        <f t="shared" si="15"/>
        <v>10</v>
      </c>
      <c r="Q508" t="str">
        <f>_xlfn.XLOOKUP(B508,全店核心数据_bymonth!A:A,全店核心数据_bymonth!AN:AN)</f>
        <v>BU25</v>
      </c>
    </row>
    <row r="509" spans="1:17" x14ac:dyDescent="0.3">
      <c r="A509" t="s">
        <v>110</v>
      </c>
      <c r="B509" s="16">
        <v>45566</v>
      </c>
      <c r="C509" t="s">
        <v>3</v>
      </c>
      <c r="D509" t="s">
        <v>198</v>
      </c>
      <c r="E509">
        <v>1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N509">
        <v>1</v>
      </c>
      <c r="O509">
        <f t="shared" si="14"/>
        <v>2024</v>
      </c>
      <c r="P509">
        <f t="shared" si="15"/>
        <v>10</v>
      </c>
      <c r="Q509" t="str">
        <f>_xlfn.XLOOKUP(B509,全店核心数据_bymonth!A:A,全店核心数据_bymonth!AN:AN)</f>
        <v>BU25</v>
      </c>
    </row>
    <row r="510" spans="1:17" x14ac:dyDescent="0.3">
      <c r="A510" t="s">
        <v>110</v>
      </c>
      <c r="B510" s="16">
        <v>45566</v>
      </c>
      <c r="C510" t="s">
        <v>3</v>
      </c>
      <c r="D510" t="s">
        <v>149</v>
      </c>
      <c r="E510">
        <v>343</v>
      </c>
      <c r="F510">
        <v>251</v>
      </c>
      <c r="G510">
        <v>23</v>
      </c>
      <c r="H510">
        <v>15</v>
      </c>
      <c r="I510">
        <v>3990</v>
      </c>
      <c r="J510">
        <v>1</v>
      </c>
      <c r="K510">
        <v>3990</v>
      </c>
      <c r="L510">
        <v>1</v>
      </c>
      <c r="N510">
        <v>257</v>
      </c>
      <c r="O510">
        <f t="shared" si="14"/>
        <v>2024</v>
      </c>
      <c r="P510">
        <f t="shared" si="15"/>
        <v>10</v>
      </c>
      <c r="Q510" t="str">
        <f>_xlfn.XLOOKUP(B510,全店核心数据_bymonth!A:A,全店核心数据_bymonth!AN:AN)</f>
        <v>BU25</v>
      </c>
    </row>
    <row r="511" spans="1:17" x14ac:dyDescent="0.3">
      <c r="A511" t="s">
        <v>110</v>
      </c>
      <c r="B511" s="16">
        <v>45566</v>
      </c>
      <c r="C511" t="s">
        <v>3</v>
      </c>
      <c r="D511" t="s">
        <v>148</v>
      </c>
      <c r="E511">
        <v>103</v>
      </c>
      <c r="F511">
        <v>85</v>
      </c>
      <c r="G511">
        <v>0</v>
      </c>
      <c r="H511">
        <v>1</v>
      </c>
      <c r="I511">
        <v>1498</v>
      </c>
      <c r="J511">
        <v>1</v>
      </c>
      <c r="K511">
        <v>1498</v>
      </c>
      <c r="L511">
        <v>1</v>
      </c>
      <c r="N511">
        <v>33</v>
      </c>
      <c r="O511">
        <f t="shared" si="14"/>
        <v>2024</v>
      </c>
      <c r="P511">
        <f t="shared" si="15"/>
        <v>10</v>
      </c>
      <c r="Q511" t="str">
        <f>_xlfn.XLOOKUP(B511,全店核心数据_bymonth!A:A,全店核心数据_bymonth!AN:AN)</f>
        <v>BU25</v>
      </c>
    </row>
    <row r="512" spans="1:17" x14ac:dyDescent="0.3">
      <c r="A512" t="s">
        <v>110</v>
      </c>
      <c r="B512" s="16">
        <v>45566</v>
      </c>
      <c r="C512" t="s">
        <v>3</v>
      </c>
      <c r="D512" t="s">
        <v>367</v>
      </c>
      <c r="E512">
        <v>1786</v>
      </c>
      <c r="F512">
        <v>1250</v>
      </c>
      <c r="G512">
        <v>52</v>
      </c>
      <c r="H512">
        <v>11</v>
      </c>
      <c r="I512">
        <v>39392.639999999999</v>
      </c>
      <c r="J512">
        <v>13</v>
      </c>
      <c r="K512">
        <v>30657.64</v>
      </c>
      <c r="L512">
        <v>9</v>
      </c>
      <c r="N512">
        <v>1786</v>
      </c>
      <c r="O512">
        <f t="shared" si="14"/>
        <v>2024</v>
      </c>
      <c r="P512">
        <f t="shared" si="15"/>
        <v>10</v>
      </c>
      <c r="Q512" t="str">
        <f>_xlfn.XLOOKUP(B512,全店核心数据_bymonth!A:A,全店核心数据_bymonth!AN:AN)</f>
        <v>BU25</v>
      </c>
    </row>
    <row r="513" spans="1:17" x14ac:dyDescent="0.3">
      <c r="A513" t="s">
        <v>110</v>
      </c>
      <c r="B513" s="16">
        <v>45566</v>
      </c>
      <c r="C513" t="s">
        <v>3</v>
      </c>
      <c r="D513" t="s">
        <v>146</v>
      </c>
      <c r="E513">
        <v>13</v>
      </c>
      <c r="F513">
        <v>11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N513">
        <v>13</v>
      </c>
      <c r="O513">
        <f t="shared" si="14"/>
        <v>2024</v>
      </c>
      <c r="P513">
        <f t="shared" si="15"/>
        <v>10</v>
      </c>
      <c r="Q513" t="str">
        <f>_xlfn.XLOOKUP(B513,全店核心数据_bymonth!A:A,全店核心数据_bymonth!AN:AN)</f>
        <v>BU25</v>
      </c>
    </row>
    <row r="514" spans="1:17" x14ac:dyDescent="0.3">
      <c r="A514" t="s">
        <v>110</v>
      </c>
      <c r="B514" s="16">
        <v>45566</v>
      </c>
      <c r="C514" t="s">
        <v>3</v>
      </c>
      <c r="D514" t="s">
        <v>145</v>
      </c>
      <c r="E514">
        <v>2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N514">
        <v>0</v>
      </c>
      <c r="O514">
        <f t="shared" ref="O514:O577" si="16">YEAR(B514)</f>
        <v>2024</v>
      </c>
      <c r="P514">
        <f t="shared" ref="P514:P577" si="17">MONTH(B514)</f>
        <v>10</v>
      </c>
      <c r="Q514" t="str">
        <f>_xlfn.XLOOKUP(B514,全店核心数据_bymonth!A:A,全店核心数据_bymonth!AN:AN)</f>
        <v>BU25</v>
      </c>
    </row>
    <row r="515" spans="1:17" x14ac:dyDescent="0.3">
      <c r="A515" t="s">
        <v>110</v>
      </c>
      <c r="B515" s="16">
        <v>45566</v>
      </c>
      <c r="C515" t="s">
        <v>3</v>
      </c>
      <c r="D515" t="s">
        <v>251</v>
      </c>
      <c r="E515">
        <v>37996</v>
      </c>
      <c r="F515">
        <v>35312</v>
      </c>
      <c r="G515">
        <v>401</v>
      </c>
      <c r="H515">
        <v>139</v>
      </c>
      <c r="I515">
        <v>1051105.6299999999</v>
      </c>
      <c r="J515">
        <v>168</v>
      </c>
      <c r="K515">
        <v>877835.63</v>
      </c>
      <c r="L515">
        <v>148</v>
      </c>
      <c r="N515">
        <v>6342</v>
      </c>
      <c r="O515">
        <f t="shared" si="16"/>
        <v>2024</v>
      </c>
      <c r="P515">
        <f t="shared" si="17"/>
        <v>10</v>
      </c>
      <c r="Q515" t="str">
        <f>_xlfn.XLOOKUP(B515,全店核心数据_bymonth!A:A,全店核心数据_bymonth!AN:AN)</f>
        <v>BU25</v>
      </c>
    </row>
    <row r="516" spans="1:17" x14ac:dyDescent="0.3">
      <c r="A516" t="s">
        <v>110</v>
      </c>
      <c r="B516" s="16">
        <v>45566</v>
      </c>
      <c r="C516" t="s">
        <v>3</v>
      </c>
      <c r="D516" t="s">
        <v>143</v>
      </c>
      <c r="E516">
        <v>577</v>
      </c>
      <c r="F516">
        <v>558</v>
      </c>
      <c r="G516">
        <v>2</v>
      </c>
      <c r="H516">
        <v>2</v>
      </c>
      <c r="I516">
        <v>0</v>
      </c>
      <c r="J516">
        <v>0</v>
      </c>
      <c r="K516">
        <v>0</v>
      </c>
      <c r="L516">
        <v>0</v>
      </c>
      <c r="N516">
        <v>577</v>
      </c>
      <c r="O516">
        <f t="shared" si="16"/>
        <v>2024</v>
      </c>
      <c r="P516">
        <f t="shared" si="17"/>
        <v>10</v>
      </c>
      <c r="Q516" t="str">
        <f>_xlfn.XLOOKUP(B516,全店核心数据_bymonth!A:A,全店核心数据_bymonth!AN:AN)</f>
        <v>BU25</v>
      </c>
    </row>
    <row r="517" spans="1:17" x14ac:dyDescent="0.3">
      <c r="A517" t="s">
        <v>110</v>
      </c>
      <c r="B517" s="16">
        <v>45566</v>
      </c>
      <c r="C517" t="s">
        <v>3</v>
      </c>
      <c r="D517" t="s">
        <v>141</v>
      </c>
      <c r="E517">
        <v>114</v>
      </c>
      <c r="F517">
        <v>105</v>
      </c>
      <c r="G517">
        <v>4</v>
      </c>
      <c r="H517">
        <v>1</v>
      </c>
      <c r="I517">
        <v>13648</v>
      </c>
      <c r="J517">
        <v>3</v>
      </c>
      <c r="K517">
        <v>13648</v>
      </c>
      <c r="L517">
        <v>3</v>
      </c>
      <c r="N517">
        <v>95</v>
      </c>
      <c r="O517">
        <f t="shared" si="16"/>
        <v>2024</v>
      </c>
      <c r="P517">
        <f t="shared" si="17"/>
        <v>10</v>
      </c>
      <c r="Q517" t="str">
        <f>_xlfn.XLOOKUP(B517,全店核心数据_bymonth!A:A,全店核心数据_bymonth!AN:AN)</f>
        <v>BU25</v>
      </c>
    </row>
    <row r="518" spans="1:17" x14ac:dyDescent="0.3">
      <c r="A518" t="s">
        <v>110</v>
      </c>
      <c r="B518" s="16">
        <v>45566</v>
      </c>
      <c r="C518" t="s">
        <v>3</v>
      </c>
      <c r="D518" t="s">
        <v>140</v>
      </c>
      <c r="E518">
        <v>269</v>
      </c>
      <c r="F518">
        <v>232</v>
      </c>
      <c r="G518">
        <v>53</v>
      </c>
      <c r="H518">
        <v>5</v>
      </c>
      <c r="I518">
        <v>139596</v>
      </c>
      <c r="J518">
        <v>27</v>
      </c>
      <c r="K518">
        <v>139596</v>
      </c>
      <c r="L518">
        <v>27</v>
      </c>
      <c r="N518">
        <v>249</v>
      </c>
      <c r="O518">
        <f t="shared" si="16"/>
        <v>2024</v>
      </c>
      <c r="P518">
        <f t="shared" si="17"/>
        <v>10</v>
      </c>
      <c r="Q518" t="str">
        <f>_xlfn.XLOOKUP(B518,全店核心数据_bymonth!A:A,全店核心数据_bymonth!AN:AN)</f>
        <v>BU25</v>
      </c>
    </row>
    <row r="519" spans="1:17" x14ac:dyDescent="0.3">
      <c r="A519" t="s">
        <v>110</v>
      </c>
      <c r="B519" s="16">
        <v>45566</v>
      </c>
      <c r="C519" t="s">
        <v>3</v>
      </c>
      <c r="D519" t="s">
        <v>139</v>
      </c>
      <c r="E519">
        <v>22391</v>
      </c>
      <c r="F519">
        <v>16402</v>
      </c>
      <c r="G519">
        <v>1578</v>
      </c>
      <c r="H519">
        <v>370</v>
      </c>
      <c r="I519">
        <v>4179565.07</v>
      </c>
      <c r="J519">
        <v>604</v>
      </c>
      <c r="K519">
        <v>2828857.14</v>
      </c>
      <c r="L519">
        <v>522</v>
      </c>
      <c r="N519">
        <v>18447</v>
      </c>
      <c r="O519">
        <f t="shared" si="16"/>
        <v>2024</v>
      </c>
      <c r="P519">
        <f t="shared" si="17"/>
        <v>10</v>
      </c>
      <c r="Q519" t="str">
        <f>_xlfn.XLOOKUP(B519,全店核心数据_bymonth!A:A,全店核心数据_bymonth!AN:AN)</f>
        <v>BU25</v>
      </c>
    </row>
    <row r="520" spans="1:17" x14ac:dyDescent="0.3">
      <c r="A520" t="s">
        <v>110</v>
      </c>
      <c r="B520" s="16">
        <v>45566</v>
      </c>
      <c r="C520" t="s">
        <v>3</v>
      </c>
      <c r="D520" t="s">
        <v>138</v>
      </c>
      <c r="E520">
        <v>1328</v>
      </c>
      <c r="F520">
        <v>1092</v>
      </c>
      <c r="G520">
        <v>18</v>
      </c>
      <c r="H520">
        <v>10</v>
      </c>
      <c r="I520">
        <v>29715</v>
      </c>
      <c r="J520">
        <v>13</v>
      </c>
      <c r="K520">
        <v>4642</v>
      </c>
      <c r="L520">
        <v>5</v>
      </c>
      <c r="N520">
        <v>1296</v>
      </c>
      <c r="O520">
        <f t="shared" si="16"/>
        <v>2024</v>
      </c>
      <c r="P520">
        <f t="shared" si="17"/>
        <v>10</v>
      </c>
      <c r="Q520" t="str">
        <f>_xlfn.XLOOKUP(B520,全店核心数据_bymonth!A:A,全店核心数据_bymonth!AN:AN)</f>
        <v>BU25</v>
      </c>
    </row>
    <row r="521" spans="1:17" x14ac:dyDescent="0.3">
      <c r="A521" t="s">
        <v>110</v>
      </c>
      <c r="B521" s="16">
        <v>45566</v>
      </c>
      <c r="C521" t="s">
        <v>3</v>
      </c>
      <c r="D521" t="s">
        <v>137</v>
      </c>
      <c r="E521">
        <v>140</v>
      </c>
      <c r="F521">
        <v>80</v>
      </c>
      <c r="G521">
        <v>20</v>
      </c>
      <c r="H521">
        <v>1</v>
      </c>
      <c r="I521">
        <v>24454</v>
      </c>
      <c r="J521">
        <v>8</v>
      </c>
      <c r="K521">
        <v>15529</v>
      </c>
      <c r="L521">
        <v>5</v>
      </c>
      <c r="N521">
        <v>140</v>
      </c>
      <c r="O521">
        <f t="shared" si="16"/>
        <v>2024</v>
      </c>
      <c r="P521">
        <f t="shared" si="17"/>
        <v>10</v>
      </c>
      <c r="Q521" t="str">
        <f>_xlfn.XLOOKUP(B521,全店核心数据_bymonth!A:A,全店核心数据_bymonth!AN:AN)</f>
        <v>BU25</v>
      </c>
    </row>
    <row r="522" spans="1:17" x14ac:dyDescent="0.3">
      <c r="A522" t="s">
        <v>110</v>
      </c>
      <c r="B522" s="16">
        <v>45566</v>
      </c>
      <c r="C522" t="s">
        <v>3</v>
      </c>
      <c r="D522" t="s">
        <v>135</v>
      </c>
      <c r="E522">
        <v>389</v>
      </c>
      <c r="F522">
        <v>286</v>
      </c>
      <c r="G522">
        <v>4</v>
      </c>
      <c r="H522">
        <v>1</v>
      </c>
      <c r="I522">
        <v>2941.14</v>
      </c>
      <c r="J522">
        <v>1</v>
      </c>
      <c r="K522">
        <v>2941.14</v>
      </c>
      <c r="L522">
        <v>1</v>
      </c>
      <c r="N522">
        <v>147</v>
      </c>
      <c r="O522">
        <f t="shared" si="16"/>
        <v>2024</v>
      </c>
      <c r="P522">
        <f t="shared" si="17"/>
        <v>10</v>
      </c>
      <c r="Q522" t="str">
        <f>_xlfn.XLOOKUP(B522,全店核心数据_bymonth!A:A,全店核心数据_bymonth!AN:AN)</f>
        <v>BU25</v>
      </c>
    </row>
    <row r="523" spans="1:17" x14ac:dyDescent="0.3">
      <c r="A523" t="s">
        <v>110</v>
      </c>
      <c r="B523" s="16">
        <v>45566</v>
      </c>
      <c r="C523" t="s">
        <v>3</v>
      </c>
      <c r="D523" t="s">
        <v>133</v>
      </c>
      <c r="E523">
        <v>710</v>
      </c>
      <c r="F523">
        <v>524</v>
      </c>
      <c r="G523">
        <v>68</v>
      </c>
      <c r="H523">
        <v>15</v>
      </c>
      <c r="I523">
        <v>159014.20000000001</v>
      </c>
      <c r="J523">
        <v>30</v>
      </c>
      <c r="K523">
        <v>123369.2</v>
      </c>
      <c r="L523">
        <v>29</v>
      </c>
      <c r="N523">
        <v>628</v>
      </c>
      <c r="O523">
        <f t="shared" si="16"/>
        <v>2024</v>
      </c>
      <c r="P523">
        <f t="shared" si="17"/>
        <v>10</v>
      </c>
      <c r="Q523" t="str">
        <f>_xlfn.XLOOKUP(B523,全店核心数据_bymonth!A:A,全店核心数据_bymonth!AN:AN)</f>
        <v>BU25</v>
      </c>
    </row>
    <row r="524" spans="1:17" x14ac:dyDescent="0.3">
      <c r="A524" t="s">
        <v>110</v>
      </c>
      <c r="B524" s="16">
        <v>45566</v>
      </c>
      <c r="C524" t="s">
        <v>3</v>
      </c>
      <c r="D524" t="s">
        <v>130</v>
      </c>
      <c r="E524">
        <v>3482</v>
      </c>
      <c r="F524">
        <v>1773</v>
      </c>
      <c r="G524">
        <v>475</v>
      </c>
      <c r="H524">
        <v>106</v>
      </c>
      <c r="I524">
        <v>2084824.61</v>
      </c>
      <c r="J524">
        <v>338</v>
      </c>
      <c r="K524">
        <v>1709333.65</v>
      </c>
      <c r="L524">
        <v>307</v>
      </c>
      <c r="N524">
        <v>3300</v>
      </c>
      <c r="O524">
        <f t="shared" si="16"/>
        <v>2024</v>
      </c>
      <c r="P524">
        <f t="shared" si="17"/>
        <v>10</v>
      </c>
      <c r="Q524" t="str">
        <f>_xlfn.XLOOKUP(B524,全店核心数据_bymonth!A:A,全店核心数据_bymonth!AN:AN)</f>
        <v>BU25</v>
      </c>
    </row>
    <row r="525" spans="1:17" x14ac:dyDescent="0.3">
      <c r="A525" t="s">
        <v>110</v>
      </c>
      <c r="B525" s="16">
        <v>45566</v>
      </c>
      <c r="C525" t="s">
        <v>3</v>
      </c>
      <c r="D525" t="s">
        <v>128</v>
      </c>
      <c r="E525">
        <v>29855</v>
      </c>
      <c r="F525">
        <v>25646</v>
      </c>
      <c r="G525">
        <v>2385</v>
      </c>
      <c r="H525">
        <v>346</v>
      </c>
      <c r="I525">
        <v>3195106.14</v>
      </c>
      <c r="J525">
        <v>631</v>
      </c>
      <c r="K525">
        <v>2434356.64</v>
      </c>
      <c r="L525">
        <v>548</v>
      </c>
      <c r="N525">
        <v>26467</v>
      </c>
      <c r="O525">
        <f t="shared" si="16"/>
        <v>2024</v>
      </c>
      <c r="P525">
        <f t="shared" si="17"/>
        <v>10</v>
      </c>
      <c r="Q525" t="str">
        <f>_xlfn.XLOOKUP(B525,全店核心数据_bymonth!A:A,全店核心数据_bymonth!AN:AN)</f>
        <v>BU25</v>
      </c>
    </row>
    <row r="526" spans="1:17" x14ac:dyDescent="0.3">
      <c r="A526" t="s">
        <v>110</v>
      </c>
      <c r="B526" s="16">
        <v>45566</v>
      </c>
      <c r="C526" t="s">
        <v>3</v>
      </c>
      <c r="D526" t="s">
        <v>127</v>
      </c>
      <c r="E526">
        <v>79316</v>
      </c>
      <c r="F526">
        <v>68370</v>
      </c>
      <c r="G526">
        <v>1982</v>
      </c>
      <c r="H526">
        <v>769</v>
      </c>
      <c r="I526">
        <v>1896612.36</v>
      </c>
      <c r="J526">
        <v>323</v>
      </c>
      <c r="K526">
        <v>1205546.3600000001</v>
      </c>
      <c r="L526">
        <v>254</v>
      </c>
      <c r="N526">
        <v>54799</v>
      </c>
      <c r="O526">
        <f t="shared" si="16"/>
        <v>2024</v>
      </c>
      <c r="P526">
        <f t="shared" si="17"/>
        <v>10</v>
      </c>
      <c r="Q526" t="str">
        <f>_xlfn.XLOOKUP(B526,全店核心数据_bymonth!A:A,全店核心数据_bymonth!AN:AN)</f>
        <v>BU25</v>
      </c>
    </row>
    <row r="527" spans="1:17" x14ac:dyDescent="0.3">
      <c r="A527" t="s">
        <v>110</v>
      </c>
      <c r="B527" s="16">
        <v>45566</v>
      </c>
      <c r="C527" t="s">
        <v>3</v>
      </c>
      <c r="D527" t="s">
        <v>126</v>
      </c>
      <c r="E527">
        <v>4136</v>
      </c>
      <c r="F527">
        <v>3238</v>
      </c>
      <c r="G527">
        <v>175</v>
      </c>
      <c r="H527">
        <v>88</v>
      </c>
      <c r="I527">
        <v>245191.72</v>
      </c>
      <c r="J527">
        <v>41</v>
      </c>
      <c r="K527">
        <v>180781.22</v>
      </c>
      <c r="L527">
        <v>34</v>
      </c>
      <c r="N527">
        <v>3992</v>
      </c>
      <c r="O527">
        <f t="shared" si="16"/>
        <v>2024</v>
      </c>
      <c r="P527">
        <f t="shared" si="17"/>
        <v>10</v>
      </c>
      <c r="Q527" t="str">
        <f>_xlfn.XLOOKUP(B527,全店核心数据_bymonth!A:A,全店核心数据_bymonth!AN:AN)</f>
        <v>BU25</v>
      </c>
    </row>
    <row r="528" spans="1:17" x14ac:dyDescent="0.3">
      <c r="A528" t="s">
        <v>110</v>
      </c>
      <c r="B528" s="16">
        <v>45566</v>
      </c>
      <c r="C528" t="s">
        <v>3</v>
      </c>
      <c r="D528" t="s">
        <v>125</v>
      </c>
      <c r="E528">
        <v>154</v>
      </c>
      <c r="F528">
        <v>90</v>
      </c>
      <c r="G528">
        <v>14</v>
      </c>
      <c r="H528">
        <v>6</v>
      </c>
      <c r="I528">
        <v>21222.5</v>
      </c>
      <c r="J528">
        <v>5</v>
      </c>
      <c r="K528">
        <v>21222.5</v>
      </c>
      <c r="L528">
        <v>5</v>
      </c>
      <c r="N528">
        <v>152</v>
      </c>
      <c r="O528">
        <f t="shared" si="16"/>
        <v>2024</v>
      </c>
      <c r="P528">
        <f t="shared" si="17"/>
        <v>10</v>
      </c>
      <c r="Q528" t="str">
        <f>_xlfn.XLOOKUP(B528,全店核心数据_bymonth!A:A,全店核心数据_bymonth!AN:AN)</f>
        <v>BU25</v>
      </c>
    </row>
    <row r="529" spans="1:17" x14ac:dyDescent="0.3">
      <c r="A529" t="s">
        <v>110</v>
      </c>
      <c r="B529" s="16">
        <v>45566</v>
      </c>
      <c r="C529" t="s">
        <v>3</v>
      </c>
      <c r="D529" t="s">
        <v>123</v>
      </c>
      <c r="E529">
        <v>7251</v>
      </c>
      <c r="F529">
        <v>3850</v>
      </c>
      <c r="G529">
        <v>611</v>
      </c>
      <c r="H529">
        <v>179</v>
      </c>
      <c r="I529">
        <v>664728.93999999994</v>
      </c>
      <c r="J529">
        <v>140</v>
      </c>
      <c r="K529">
        <v>550119.02</v>
      </c>
      <c r="L529">
        <v>124</v>
      </c>
      <c r="N529">
        <v>6591</v>
      </c>
      <c r="O529">
        <f t="shared" si="16"/>
        <v>2024</v>
      </c>
      <c r="P529">
        <f t="shared" si="17"/>
        <v>10</v>
      </c>
      <c r="Q529" t="str">
        <f>_xlfn.XLOOKUP(B529,全店核心数据_bymonth!A:A,全店核心数据_bymonth!AN:AN)</f>
        <v>BU25</v>
      </c>
    </row>
    <row r="530" spans="1:17" x14ac:dyDescent="0.3">
      <c r="A530" t="s">
        <v>110</v>
      </c>
      <c r="B530" s="16">
        <v>45566</v>
      </c>
      <c r="C530" t="s">
        <v>3</v>
      </c>
      <c r="D530" t="s">
        <v>122</v>
      </c>
      <c r="E530">
        <v>7</v>
      </c>
      <c r="F530">
        <v>6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N530">
        <v>5</v>
      </c>
      <c r="O530">
        <f t="shared" si="16"/>
        <v>2024</v>
      </c>
      <c r="P530">
        <f t="shared" si="17"/>
        <v>10</v>
      </c>
      <c r="Q530" t="str">
        <f>_xlfn.XLOOKUP(B530,全店核心数据_bymonth!A:A,全店核心数据_bymonth!AN:AN)</f>
        <v>BU25</v>
      </c>
    </row>
    <row r="531" spans="1:17" x14ac:dyDescent="0.3">
      <c r="A531" t="s">
        <v>110</v>
      </c>
      <c r="B531" s="16">
        <v>45566</v>
      </c>
      <c r="C531" t="s">
        <v>3</v>
      </c>
      <c r="D531" t="s">
        <v>121</v>
      </c>
      <c r="E531">
        <v>57</v>
      </c>
      <c r="F531">
        <v>52</v>
      </c>
      <c r="G531">
        <v>0</v>
      </c>
      <c r="H531">
        <v>1</v>
      </c>
      <c r="I531">
        <v>3980</v>
      </c>
      <c r="J531">
        <v>1</v>
      </c>
      <c r="K531">
        <v>3980</v>
      </c>
      <c r="L531">
        <v>1</v>
      </c>
      <c r="N531">
        <v>49</v>
      </c>
      <c r="O531">
        <f t="shared" si="16"/>
        <v>2024</v>
      </c>
      <c r="P531">
        <f t="shared" si="17"/>
        <v>10</v>
      </c>
      <c r="Q531" t="str">
        <f>_xlfn.XLOOKUP(B531,全店核心数据_bymonth!A:A,全店核心数据_bymonth!AN:AN)</f>
        <v>BU25</v>
      </c>
    </row>
    <row r="532" spans="1:17" x14ac:dyDescent="0.3">
      <c r="A532" t="s">
        <v>110</v>
      </c>
      <c r="B532" s="16">
        <v>45566</v>
      </c>
      <c r="C532" t="s">
        <v>3</v>
      </c>
      <c r="D532" t="s">
        <v>120</v>
      </c>
      <c r="E532">
        <v>6285</v>
      </c>
      <c r="F532">
        <v>5464</v>
      </c>
      <c r="G532">
        <v>285</v>
      </c>
      <c r="H532">
        <v>0</v>
      </c>
      <c r="I532">
        <v>553118.68999999994</v>
      </c>
      <c r="J532">
        <v>77</v>
      </c>
      <c r="K532">
        <v>412948.19</v>
      </c>
      <c r="L532">
        <v>63</v>
      </c>
      <c r="N532">
        <v>6161</v>
      </c>
      <c r="O532">
        <f t="shared" si="16"/>
        <v>2024</v>
      </c>
      <c r="P532">
        <f t="shared" si="17"/>
        <v>10</v>
      </c>
      <c r="Q532" t="str">
        <f>_xlfn.XLOOKUP(B532,全店核心数据_bymonth!A:A,全店核心数据_bymonth!AN:AN)</f>
        <v>BU25</v>
      </c>
    </row>
    <row r="533" spans="1:17" x14ac:dyDescent="0.3">
      <c r="A533" t="s">
        <v>110</v>
      </c>
      <c r="B533" s="16">
        <v>45566</v>
      </c>
      <c r="C533" t="s">
        <v>3</v>
      </c>
      <c r="D533" t="s">
        <v>119</v>
      </c>
      <c r="E533">
        <v>5770</v>
      </c>
      <c r="F533">
        <v>2850</v>
      </c>
      <c r="G533">
        <v>814</v>
      </c>
      <c r="H533">
        <v>186</v>
      </c>
      <c r="I533">
        <v>3325271.98</v>
      </c>
      <c r="J533">
        <v>471</v>
      </c>
      <c r="K533">
        <v>2442648.06</v>
      </c>
      <c r="L533">
        <v>409</v>
      </c>
      <c r="N533">
        <v>5358</v>
      </c>
      <c r="O533">
        <f t="shared" si="16"/>
        <v>2024</v>
      </c>
      <c r="P533">
        <f t="shared" si="17"/>
        <v>10</v>
      </c>
      <c r="Q533" t="str">
        <f>_xlfn.XLOOKUP(B533,全店核心数据_bymonth!A:A,全店核心数据_bymonth!AN:AN)</f>
        <v>BU25</v>
      </c>
    </row>
    <row r="534" spans="1:17" x14ac:dyDescent="0.3">
      <c r="A534" t="s">
        <v>110</v>
      </c>
      <c r="B534" s="16">
        <v>45566</v>
      </c>
      <c r="C534" t="s">
        <v>3</v>
      </c>
      <c r="D534" t="s">
        <v>252</v>
      </c>
      <c r="E534">
        <v>44</v>
      </c>
      <c r="F534">
        <v>26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N534">
        <v>44</v>
      </c>
      <c r="O534">
        <f t="shared" si="16"/>
        <v>2024</v>
      </c>
      <c r="P534">
        <f t="shared" si="17"/>
        <v>10</v>
      </c>
      <c r="Q534" t="str">
        <f>_xlfn.XLOOKUP(B534,全店核心数据_bymonth!A:A,全店核心数据_bymonth!AN:AN)</f>
        <v>BU25</v>
      </c>
    </row>
    <row r="535" spans="1:17" x14ac:dyDescent="0.3">
      <c r="A535" t="s">
        <v>110</v>
      </c>
      <c r="B535" s="16">
        <v>45566</v>
      </c>
      <c r="C535" t="s">
        <v>3</v>
      </c>
      <c r="D535" t="s">
        <v>118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N535">
        <v>0</v>
      </c>
      <c r="O535">
        <f t="shared" si="16"/>
        <v>2024</v>
      </c>
      <c r="P535">
        <f t="shared" si="17"/>
        <v>10</v>
      </c>
      <c r="Q535" t="str">
        <f>_xlfn.XLOOKUP(B535,全店核心数据_bymonth!A:A,全店核心数据_bymonth!AN:AN)</f>
        <v>BU25</v>
      </c>
    </row>
    <row r="536" spans="1:17" x14ac:dyDescent="0.3">
      <c r="A536" t="s">
        <v>110</v>
      </c>
      <c r="B536" s="16">
        <v>45566</v>
      </c>
      <c r="C536" t="s">
        <v>3</v>
      </c>
      <c r="D536" t="s">
        <v>117</v>
      </c>
      <c r="E536">
        <v>50</v>
      </c>
      <c r="F536">
        <v>22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N536">
        <v>50</v>
      </c>
      <c r="O536">
        <f t="shared" si="16"/>
        <v>2024</v>
      </c>
      <c r="P536">
        <f t="shared" si="17"/>
        <v>10</v>
      </c>
      <c r="Q536" t="str">
        <f>_xlfn.XLOOKUP(B536,全店核心数据_bymonth!A:A,全店核心数据_bymonth!AN:AN)</f>
        <v>BU25</v>
      </c>
    </row>
    <row r="537" spans="1:17" x14ac:dyDescent="0.3">
      <c r="A537" t="s">
        <v>110</v>
      </c>
      <c r="B537" s="16">
        <v>45566</v>
      </c>
      <c r="C537" t="s">
        <v>3</v>
      </c>
      <c r="D537" t="s">
        <v>115</v>
      </c>
      <c r="E537">
        <v>44</v>
      </c>
      <c r="F537">
        <v>34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N537">
        <v>40</v>
      </c>
      <c r="O537">
        <f t="shared" si="16"/>
        <v>2024</v>
      </c>
      <c r="P537">
        <f t="shared" si="17"/>
        <v>10</v>
      </c>
      <c r="Q537" t="str">
        <f>_xlfn.XLOOKUP(B537,全店核心数据_bymonth!A:A,全店核心数据_bymonth!AN:AN)</f>
        <v>BU25</v>
      </c>
    </row>
    <row r="538" spans="1:17" x14ac:dyDescent="0.3">
      <c r="A538" t="s">
        <v>110</v>
      </c>
      <c r="B538" s="16">
        <v>45566</v>
      </c>
      <c r="C538" t="s">
        <v>3</v>
      </c>
      <c r="D538" t="s">
        <v>114</v>
      </c>
      <c r="E538">
        <v>2983</v>
      </c>
      <c r="F538">
        <v>1876</v>
      </c>
      <c r="G538">
        <v>87</v>
      </c>
      <c r="H538">
        <v>42</v>
      </c>
      <c r="I538">
        <v>97918</v>
      </c>
      <c r="J538">
        <v>18</v>
      </c>
      <c r="K538">
        <v>70708</v>
      </c>
      <c r="L538">
        <v>13</v>
      </c>
      <c r="N538">
        <v>2818</v>
      </c>
      <c r="O538">
        <f t="shared" si="16"/>
        <v>2024</v>
      </c>
      <c r="P538">
        <f t="shared" si="17"/>
        <v>10</v>
      </c>
      <c r="Q538" t="str">
        <f>_xlfn.XLOOKUP(B538,全店核心数据_bymonth!A:A,全店核心数据_bymonth!AN:AN)</f>
        <v>BU25</v>
      </c>
    </row>
    <row r="539" spans="1:17" x14ac:dyDescent="0.3">
      <c r="A539" t="s">
        <v>110</v>
      </c>
      <c r="B539" s="16">
        <v>45566</v>
      </c>
      <c r="C539" t="s">
        <v>3</v>
      </c>
      <c r="D539" t="s">
        <v>113</v>
      </c>
      <c r="E539">
        <v>2358</v>
      </c>
      <c r="F539">
        <v>1741</v>
      </c>
      <c r="G539">
        <v>111</v>
      </c>
      <c r="H539">
        <v>43</v>
      </c>
      <c r="I539">
        <v>152763</v>
      </c>
      <c r="J539">
        <v>22</v>
      </c>
      <c r="K539">
        <v>130363</v>
      </c>
      <c r="L539">
        <v>20</v>
      </c>
      <c r="N539">
        <v>1302</v>
      </c>
      <c r="O539">
        <f t="shared" si="16"/>
        <v>2024</v>
      </c>
      <c r="P539">
        <f t="shared" si="17"/>
        <v>10</v>
      </c>
      <c r="Q539" t="str">
        <f>_xlfn.XLOOKUP(B539,全店核心数据_bymonth!A:A,全店核心数据_bymonth!AN:AN)</f>
        <v>BU25</v>
      </c>
    </row>
    <row r="540" spans="1:17" x14ac:dyDescent="0.3">
      <c r="A540" t="s">
        <v>110</v>
      </c>
      <c r="B540" s="16">
        <v>45566</v>
      </c>
      <c r="C540" t="s">
        <v>3</v>
      </c>
      <c r="D540" t="s">
        <v>112</v>
      </c>
      <c r="E540">
        <v>377</v>
      </c>
      <c r="F540">
        <v>177</v>
      </c>
      <c r="G540">
        <v>47</v>
      </c>
      <c r="H540">
        <v>5</v>
      </c>
      <c r="I540">
        <v>586179.61</v>
      </c>
      <c r="J540">
        <v>107</v>
      </c>
      <c r="K540">
        <v>517546.03</v>
      </c>
      <c r="L540">
        <v>103</v>
      </c>
      <c r="N540">
        <v>377</v>
      </c>
      <c r="O540">
        <f t="shared" si="16"/>
        <v>2024</v>
      </c>
      <c r="P540">
        <f t="shared" si="17"/>
        <v>10</v>
      </c>
      <c r="Q540" t="str">
        <f>_xlfn.XLOOKUP(B540,全店核心数据_bymonth!A:A,全店核心数据_bymonth!AN:AN)</f>
        <v>BU25</v>
      </c>
    </row>
    <row r="541" spans="1:17" x14ac:dyDescent="0.3">
      <c r="A541" t="s">
        <v>110</v>
      </c>
      <c r="B541" s="16">
        <v>45566</v>
      </c>
      <c r="C541" t="s">
        <v>3</v>
      </c>
      <c r="D541" t="s">
        <v>111</v>
      </c>
      <c r="E541">
        <v>23</v>
      </c>
      <c r="F541">
        <v>16</v>
      </c>
      <c r="G541">
        <v>0</v>
      </c>
      <c r="H541">
        <v>0</v>
      </c>
      <c r="I541">
        <v>1980</v>
      </c>
      <c r="J541">
        <v>1</v>
      </c>
      <c r="K541">
        <v>1980</v>
      </c>
      <c r="L541">
        <v>1</v>
      </c>
      <c r="N541">
        <v>23</v>
      </c>
      <c r="O541">
        <f t="shared" si="16"/>
        <v>2024</v>
      </c>
      <c r="P541">
        <f t="shared" si="17"/>
        <v>10</v>
      </c>
      <c r="Q541" t="str">
        <f>_xlfn.XLOOKUP(B541,全店核心数据_bymonth!A:A,全店核心数据_bymonth!AN:AN)</f>
        <v>BU25</v>
      </c>
    </row>
    <row r="542" spans="1:17" x14ac:dyDescent="0.3">
      <c r="A542" t="s">
        <v>110</v>
      </c>
      <c r="B542" s="16">
        <v>45200</v>
      </c>
      <c r="C542" t="s">
        <v>2</v>
      </c>
      <c r="D542" t="s">
        <v>4</v>
      </c>
      <c r="E542">
        <v>5458</v>
      </c>
      <c r="F542">
        <v>3936</v>
      </c>
      <c r="G542">
        <v>60</v>
      </c>
      <c r="H542">
        <v>22</v>
      </c>
      <c r="I542">
        <v>269792</v>
      </c>
      <c r="J542">
        <v>49</v>
      </c>
      <c r="K542">
        <v>135121</v>
      </c>
      <c r="L542">
        <v>30</v>
      </c>
      <c r="N542">
        <v>5147</v>
      </c>
      <c r="O542">
        <f t="shared" si="16"/>
        <v>2023</v>
      </c>
      <c r="P542">
        <f t="shared" si="17"/>
        <v>10</v>
      </c>
      <c r="Q542" t="str">
        <f>_xlfn.XLOOKUP(B542,全店核心数据_bymonth!A:A,全店核心数据_bymonth!AN:AN)</f>
        <v>BU24</v>
      </c>
    </row>
    <row r="543" spans="1:17" x14ac:dyDescent="0.3">
      <c r="A543" t="s">
        <v>110</v>
      </c>
      <c r="B543" s="16">
        <v>45200</v>
      </c>
      <c r="C543" t="s">
        <v>2</v>
      </c>
      <c r="D543" t="s">
        <v>57</v>
      </c>
      <c r="E543">
        <v>198706</v>
      </c>
      <c r="F543">
        <v>187205</v>
      </c>
      <c r="G543">
        <v>4055</v>
      </c>
      <c r="H543">
        <v>2301</v>
      </c>
      <c r="I543">
        <v>3857441.3</v>
      </c>
      <c r="J543">
        <v>687</v>
      </c>
      <c r="K543">
        <v>1854268.6</v>
      </c>
      <c r="L543">
        <v>435</v>
      </c>
      <c r="N543">
        <v>197720</v>
      </c>
      <c r="O543">
        <f t="shared" si="16"/>
        <v>2023</v>
      </c>
      <c r="P543">
        <f t="shared" si="17"/>
        <v>10</v>
      </c>
      <c r="Q543" t="str">
        <f>_xlfn.XLOOKUP(B543,全店核心数据_bymonth!A:A,全店核心数据_bymonth!AN:AN)</f>
        <v>BU24</v>
      </c>
    </row>
    <row r="544" spans="1:17" x14ac:dyDescent="0.3">
      <c r="A544" t="s">
        <v>110</v>
      </c>
      <c r="B544" s="16">
        <v>45200</v>
      </c>
      <c r="C544" t="s">
        <v>2</v>
      </c>
      <c r="D544" t="s">
        <v>52</v>
      </c>
      <c r="E544">
        <v>49185</v>
      </c>
      <c r="F544">
        <v>45260</v>
      </c>
      <c r="G544">
        <v>500</v>
      </c>
      <c r="H544">
        <v>175</v>
      </c>
      <c r="I544">
        <v>456415</v>
      </c>
      <c r="J544">
        <v>94</v>
      </c>
      <c r="K544">
        <v>309871</v>
      </c>
      <c r="L544">
        <v>58</v>
      </c>
      <c r="N544">
        <v>14489</v>
      </c>
      <c r="O544">
        <f t="shared" si="16"/>
        <v>2023</v>
      </c>
      <c r="P544">
        <f t="shared" si="17"/>
        <v>10</v>
      </c>
      <c r="Q544" t="str">
        <f>_xlfn.XLOOKUP(B544,全店核心数据_bymonth!A:A,全店核心数据_bymonth!AN:AN)</f>
        <v>BU24</v>
      </c>
    </row>
    <row r="545" spans="1:17" x14ac:dyDescent="0.3">
      <c r="A545" t="s">
        <v>110</v>
      </c>
      <c r="B545" s="16">
        <v>45200</v>
      </c>
      <c r="C545" t="s">
        <v>2</v>
      </c>
      <c r="D545" t="s">
        <v>55</v>
      </c>
      <c r="E545">
        <v>41370</v>
      </c>
      <c r="F545">
        <v>39017</v>
      </c>
      <c r="G545">
        <v>5</v>
      </c>
      <c r="H545">
        <v>4</v>
      </c>
      <c r="I545">
        <v>0</v>
      </c>
      <c r="J545">
        <v>0</v>
      </c>
      <c r="K545">
        <v>0</v>
      </c>
      <c r="L545">
        <v>0</v>
      </c>
      <c r="N545">
        <v>5942</v>
      </c>
      <c r="O545">
        <f t="shared" si="16"/>
        <v>2023</v>
      </c>
      <c r="P545">
        <f t="shared" si="17"/>
        <v>10</v>
      </c>
      <c r="Q545" t="str">
        <f>_xlfn.XLOOKUP(B545,全店核心数据_bymonth!A:A,全店核心数据_bymonth!AN:AN)</f>
        <v>BU24</v>
      </c>
    </row>
    <row r="546" spans="1:17" x14ac:dyDescent="0.3">
      <c r="A546" t="s">
        <v>110</v>
      </c>
      <c r="B546" s="16">
        <v>45200</v>
      </c>
      <c r="C546" t="s">
        <v>3</v>
      </c>
      <c r="D546" t="s">
        <v>156</v>
      </c>
      <c r="E546">
        <v>4</v>
      </c>
      <c r="F546">
        <v>4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N546">
        <v>0</v>
      </c>
      <c r="O546">
        <f t="shared" si="16"/>
        <v>2023</v>
      </c>
      <c r="P546">
        <f t="shared" si="17"/>
        <v>10</v>
      </c>
      <c r="Q546" t="str">
        <f>_xlfn.XLOOKUP(B546,全店核心数据_bymonth!A:A,全店核心数据_bymonth!AN:AN)</f>
        <v>BU24</v>
      </c>
    </row>
    <row r="547" spans="1:17" x14ac:dyDescent="0.3">
      <c r="A547" t="s">
        <v>110</v>
      </c>
      <c r="B547" s="16">
        <v>45200</v>
      </c>
      <c r="C547" t="s">
        <v>3</v>
      </c>
      <c r="D547" t="s">
        <v>189</v>
      </c>
      <c r="E547">
        <v>53</v>
      </c>
      <c r="F547">
        <v>41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O547">
        <f t="shared" si="16"/>
        <v>2023</v>
      </c>
      <c r="P547">
        <f t="shared" si="17"/>
        <v>10</v>
      </c>
      <c r="Q547" t="str">
        <f>_xlfn.XLOOKUP(B547,全店核心数据_bymonth!A:A,全店核心数据_bymonth!AN:AN)</f>
        <v>BU24</v>
      </c>
    </row>
    <row r="548" spans="1:17" x14ac:dyDescent="0.3">
      <c r="A548" t="s">
        <v>110</v>
      </c>
      <c r="B548" s="16">
        <v>45200</v>
      </c>
      <c r="C548" t="s">
        <v>3</v>
      </c>
      <c r="D548" t="s">
        <v>155</v>
      </c>
      <c r="E548">
        <v>609</v>
      </c>
      <c r="F548">
        <v>525</v>
      </c>
      <c r="G548">
        <v>3</v>
      </c>
      <c r="H548">
        <v>3</v>
      </c>
      <c r="I548">
        <v>1680</v>
      </c>
      <c r="J548">
        <v>1</v>
      </c>
      <c r="K548">
        <v>0</v>
      </c>
      <c r="L548">
        <v>0</v>
      </c>
      <c r="N548">
        <v>609</v>
      </c>
      <c r="O548">
        <f t="shared" si="16"/>
        <v>2023</v>
      </c>
      <c r="P548">
        <f t="shared" si="17"/>
        <v>10</v>
      </c>
      <c r="Q548" t="str">
        <f>_xlfn.XLOOKUP(B548,全店核心数据_bymonth!A:A,全店核心数据_bymonth!AN:AN)</f>
        <v>BU24</v>
      </c>
    </row>
    <row r="549" spans="1:17" x14ac:dyDescent="0.3">
      <c r="A549" t="s">
        <v>110</v>
      </c>
      <c r="B549" s="16">
        <v>45200</v>
      </c>
      <c r="C549" t="s">
        <v>3</v>
      </c>
      <c r="D549" t="s">
        <v>154</v>
      </c>
      <c r="E549">
        <v>2048</v>
      </c>
      <c r="F549">
        <v>1978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N549">
        <v>41</v>
      </c>
      <c r="O549">
        <f t="shared" si="16"/>
        <v>2023</v>
      </c>
      <c r="P549">
        <f t="shared" si="17"/>
        <v>10</v>
      </c>
      <c r="Q549" t="str">
        <f>_xlfn.XLOOKUP(B549,全店核心数据_bymonth!A:A,全店核心数据_bymonth!AN:AN)</f>
        <v>BU24</v>
      </c>
    </row>
    <row r="550" spans="1:17" x14ac:dyDescent="0.3">
      <c r="A550" t="s">
        <v>110</v>
      </c>
      <c r="B550" s="16">
        <v>45200</v>
      </c>
      <c r="C550" t="s">
        <v>3</v>
      </c>
      <c r="D550" t="s">
        <v>153</v>
      </c>
      <c r="E550">
        <v>6593</v>
      </c>
      <c r="F550">
        <v>3370</v>
      </c>
      <c r="G550">
        <v>879</v>
      </c>
      <c r="H550">
        <v>133</v>
      </c>
      <c r="I550">
        <v>5216055.66</v>
      </c>
      <c r="J550">
        <v>976</v>
      </c>
      <c r="K550">
        <v>3663693.66</v>
      </c>
      <c r="L550">
        <v>780</v>
      </c>
      <c r="N550">
        <v>6111</v>
      </c>
      <c r="O550">
        <f t="shared" si="16"/>
        <v>2023</v>
      </c>
      <c r="P550">
        <f t="shared" si="17"/>
        <v>10</v>
      </c>
      <c r="Q550" t="str">
        <f>_xlfn.XLOOKUP(B550,全店核心数据_bymonth!A:A,全店核心数据_bymonth!AN:AN)</f>
        <v>BU24</v>
      </c>
    </row>
    <row r="551" spans="1:17" x14ac:dyDescent="0.3">
      <c r="A551" t="s">
        <v>110</v>
      </c>
      <c r="B551" s="16">
        <v>45200</v>
      </c>
      <c r="C551" t="s">
        <v>3</v>
      </c>
      <c r="D551" t="s">
        <v>152</v>
      </c>
      <c r="E551">
        <v>1103</v>
      </c>
      <c r="F551">
        <v>658</v>
      </c>
      <c r="G551">
        <v>13</v>
      </c>
      <c r="H551">
        <v>4</v>
      </c>
      <c r="I551">
        <v>0</v>
      </c>
      <c r="J551">
        <v>0</v>
      </c>
      <c r="K551">
        <v>0</v>
      </c>
      <c r="L551">
        <v>0</v>
      </c>
      <c r="N551">
        <v>1007</v>
      </c>
      <c r="O551">
        <f t="shared" si="16"/>
        <v>2023</v>
      </c>
      <c r="P551">
        <f t="shared" si="17"/>
        <v>10</v>
      </c>
      <c r="Q551" t="str">
        <f>_xlfn.XLOOKUP(B551,全店核心数据_bymonth!A:A,全店核心数据_bymonth!AN:AN)</f>
        <v>BU24</v>
      </c>
    </row>
    <row r="552" spans="1:17" x14ac:dyDescent="0.3">
      <c r="A552" t="s">
        <v>110</v>
      </c>
      <c r="B552" s="16">
        <v>45200</v>
      </c>
      <c r="C552" t="s">
        <v>3</v>
      </c>
      <c r="D552" t="s">
        <v>151</v>
      </c>
      <c r="E552">
        <v>20</v>
      </c>
      <c r="F552">
        <v>16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N552">
        <v>20</v>
      </c>
      <c r="O552">
        <f t="shared" si="16"/>
        <v>2023</v>
      </c>
      <c r="P552">
        <f t="shared" si="17"/>
        <v>10</v>
      </c>
      <c r="Q552" t="str">
        <f>_xlfn.XLOOKUP(B552,全店核心数据_bymonth!A:A,全店核心数据_bymonth!AN:AN)</f>
        <v>BU24</v>
      </c>
    </row>
    <row r="553" spans="1:17" x14ac:dyDescent="0.3">
      <c r="A553" t="s">
        <v>110</v>
      </c>
      <c r="B553" s="16">
        <v>45200</v>
      </c>
      <c r="C553" t="s">
        <v>3</v>
      </c>
      <c r="D553" t="s">
        <v>149</v>
      </c>
      <c r="E553">
        <v>498</v>
      </c>
      <c r="F553">
        <v>384</v>
      </c>
      <c r="G553">
        <v>3</v>
      </c>
      <c r="H553">
        <v>1</v>
      </c>
      <c r="I553">
        <v>25460</v>
      </c>
      <c r="J553">
        <v>3</v>
      </c>
      <c r="K553">
        <v>21780</v>
      </c>
      <c r="L553">
        <v>2</v>
      </c>
      <c r="N553">
        <v>138</v>
      </c>
      <c r="O553">
        <f t="shared" si="16"/>
        <v>2023</v>
      </c>
      <c r="P553">
        <f t="shared" si="17"/>
        <v>10</v>
      </c>
      <c r="Q553" t="str">
        <f>_xlfn.XLOOKUP(B553,全店核心数据_bymonth!A:A,全店核心数据_bymonth!AN:AN)</f>
        <v>BU24</v>
      </c>
    </row>
    <row r="554" spans="1:17" x14ac:dyDescent="0.3">
      <c r="A554" t="s">
        <v>110</v>
      </c>
      <c r="B554" s="16">
        <v>45200</v>
      </c>
      <c r="C554" t="s">
        <v>3</v>
      </c>
      <c r="D554" t="s">
        <v>148</v>
      </c>
      <c r="E554">
        <v>132</v>
      </c>
      <c r="F554">
        <v>67</v>
      </c>
      <c r="G554">
        <v>2</v>
      </c>
      <c r="H554">
        <v>3</v>
      </c>
      <c r="I554">
        <v>3580</v>
      </c>
      <c r="J554">
        <v>1</v>
      </c>
      <c r="K554">
        <v>0</v>
      </c>
      <c r="L554">
        <v>0</v>
      </c>
      <c r="N554">
        <v>124</v>
      </c>
      <c r="O554">
        <f t="shared" si="16"/>
        <v>2023</v>
      </c>
      <c r="P554">
        <f t="shared" si="17"/>
        <v>10</v>
      </c>
      <c r="Q554" t="str">
        <f>_xlfn.XLOOKUP(B554,全店核心数据_bymonth!A:A,全店核心数据_bymonth!AN:AN)</f>
        <v>BU24</v>
      </c>
    </row>
    <row r="555" spans="1:17" x14ac:dyDescent="0.3">
      <c r="A555" t="s">
        <v>110</v>
      </c>
      <c r="B555" s="16">
        <v>45200</v>
      </c>
      <c r="C555" t="s">
        <v>3</v>
      </c>
      <c r="D555" t="s">
        <v>147</v>
      </c>
      <c r="E555">
        <v>2</v>
      </c>
      <c r="F555">
        <v>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N555">
        <v>0</v>
      </c>
      <c r="O555">
        <f t="shared" si="16"/>
        <v>2023</v>
      </c>
      <c r="P555">
        <f t="shared" si="17"/>
        <v>10</v>
      </c>
      <c r="Q555" t="str">
        <f>_xlfn.XLOOKUP(B555,全店核心数据_bymonth!A:A,全店核心数据_bymonth!AN:AN)</f>
        <v>BU24</v>
      </c>
    </row>
    <row r="556" spans="1:17" x14ac:dyDescent="0.3">
      <c r="A556" t="s">
        <v>110</v>
      </c>
      <c r="B556" s="16">
        <v>45200</v>
      </c>
      <c r="C556" t="s">
        <v>3</v>
      </c>
      <c r="D556" t="s">
        <v>144</v>
      </c>
      <c r="E556">
        <v>1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N556">
        <v>0</v>
      </c>
      <c r="O556">
        <f t="shared" si="16"/>
        <v>2023</v>
      </c>
      <c r="P556">
        <f t="shared" si="17"/>
        <v>10</v>
      </c>
      <c r="Q556" t="str">
        <f>_xlfn.XLOOKUP(B556,全店核心数据_bymonth!A:A,全店核心数据_bymonth!AN:AN)</f>
        <v>BU24</v>
      </c>
    </row>
    <row r="557" spans="1:17" x14ac:dyDescent="0.3">
      <c r="A557" t="s">
        <v>110</v>
      </c>
      <c r="B557" s="16">
        <v>45200</v>
      </c>
      <c r="C557" t="s">
        <v>3</v>
      </c>
      <c r="D557" t="s">
        <v>251</v>
      </c>
      <c r="E557">
        <v>57436</v>
      </c>
      <c r="F557">
        <v>55753</v>
      </c>
      <c r="G557">
        <v>153</v>
      </c>
      <c r="H557">
        <v>57</v>
      </c>
      <c r="I557">
        <v>318006</v>
      </c>
      <c r="J557">
        <v>78</v>
      </c>
      <c r="K557">
        <v>188370</v>
      </c>
      <c r="L557">
        <v>46</v>
      </c>
      <c r="N557">
        <v>5907</v>
      </c>
      <c r="O557">
        <f t="shared" si="16"/>
        <v>2023</v>
      </c>
      <c r="P557">
        <f t="shared" si="17"/>
        <v>10</v>
      </c>
      <c r="Q557" t="str">
        <f>_xlfn.XLOOKUP(B557,全店核心数据_bymonth!A:A,全店核心数据_bymonth!AN:AN)</f>
        <v>BU24</v>
      </c>
    </row>
    <row r="558" spans="1:17" x14ac:dyDescent="0.3">
      <c r="A558" t="s">
        <v>110</v>
      </c>
      <c r="B558" s="16">
        <v>45200</v>
      </c>
      <c r="C558" t="s">
        <v>3</v>
      </c>
      <c r="D558" t="s">
        <v>143</v>
      </c>
      <c r="E558">
        <v>82</v>
      </c>
      <c r="F558">
        <v>65</v>
      </c>
      <c r="G558">
        <v>3</v>
      </c>
      <c r="H558">
        <v>0</v>
      </c>
      <c r="I558">
        <v>9390</v>
      </c>
      <c r="J558">
        <v>1</v>
      </c>
      <c r="K558">
        <v>4695</v>
      </c>
      <c r="L558">
        <v>1</v>
      </c>
      <c r="N558">
        <v>82</v>
      </c>
      <c r="O558">
        <f t="shared" si="16"/>
        <v>2023</v>
      </c>
      <c r="P558">
        <f t="shared" si="17"/>
        <v>10</v>
      </c>
      <c r="Q558" t="str">
        <f>_xlfn.XLOOKUP(B558,全店核心数据_bymonth!A:A,全店核心数据_bymonth!AN:AN)</f>
        <v>BU24</v>
      </c>
    </row>
    <row r="559" spans="1:17" x14ac:dyDescent="0.3">
      <c r="A559" t="s">
        <v>110</v>
      </c>
      <c r="B559" s="16">
        <v>45200</v>
      </c>
      <c r="C559" t="s">
        <v>3</v>
      </c>
      <c r="D559" t="s">
        <v>142</v>
      </c>
      <c r="E559">
        <v>95</v>
      </c>
      <c r="F559">
        <v>32</v>
      </c>
      <c r="G559">
        <v>2</v>
      </c>
      <c r="H559">
        <v>0</v>
      </c>
      <c r="I559">
        <v>13945</v>
      </c>
      <c r="J559">
        <v>4</v>
      </c>
      <c r="K559">
        <v>1480</v>
      </c>
      <c r="L559">
        <v>1</v>
      </c>
      <c r="N559">
        <v>95</v>
      </c>
      <c r="O559">
        <f t="shared" si="16"/>
        <v>2023</v>
      </c>
      <c r="P559">
        <f t="shared" si="17"/>
        <v>10</v>
      </c>
      <c r="Q559" t="str">
        <f>_xlfn.XLOOKUP(B559,全店核心数据_bymonth!A:A,全店核心数据_bymonth!AN:AN)</f>
        <v>BU24</v>
      </c>
    </row>
    <row r="560" spans="1:17" x14ac:dyDescent="0.3">
      <c r="A560" t="s">
        <v>110</v>
      </c>
      <c r="B560" s="16">
        <v>45200</v>
      </c>
      <c r="C560" t="s">
        <v>3</v>
      </c>
      <c r="D560" t="s">
        <v>141</v>
      </c>
      <c r="E560">
        <v>124</v>
      </c>
      <c r="F560">
        <v>120</v>
      </c>
      <c r="G560">
        <v>2</v>
      </c>
      <c r="H560">
        <v>0</v>
      </c>
      <c r="I560">
        <v>11615</v>
      </c>
      <c r="J560">
        <v>2</v>
      </c>
      <c r="K560">
        <v>1680</v>
      </c>
      <c r="L560">
        <v>1</v>
      </c>
      <c r="N560">
        <v>122</v>
      </c>
      <c r="O560">
        <f t="shared" si="16"/>
        <v>2023</v>
      </c>
      <c r="P560">
        <f t="shared" si="17"/>
        <v>10</v>
      </c>
      <c r="Q560" t="str">
        <f>_xlfn.XLOOKUP(B560,全店核心数据_bymonth!A:A,全店核心数据_bymonth!AN:AN)</f>
        <v>BU24</v>
      </c>
    </row>
    <row r="561" spans="1:17" x14ac:dyDescent="0.3">
      <c r="A561" t="s">
        <v>110</v>
      </c>
      <c r="B561" s="16">
        <v>45200</v>
      </c>
      <c r="C561" t="s">
        <v>3</v>
      </c>
      <c r="D561" t="s">
        <v>140</v>
      </c>
      <c r="E561">
        <v>288</v>
      </c>
      <c r="F561">
        <v>241</v>
      </c>
      <c r="G561">
        <v>21</v>
      </c>
      <c r="H561">
        <v>7</v>
      </c>
      <c r="I561">
        <v>82480.67</v>
      </c>
      <c r="J561">
        <v>17</v>
      </c>
      <c r="K561">
        <v>44761.67</v>
      </c>
      <c r="L561">
        <v>9</v>
      </c>
      <c r="N561">
        <v>229</v>
      </c>
      <c r="O561">
        <f t="shared" si="16"/>
        <v>2023</v>
      </c>
      <c r="P561">
        <f t="shared" si="17"/>
        <v>10</v>
      </c>
      <c r="Q561" t="str">
        <f>_xlfn.XLOOKUP(B561,全店核心数据_bymonth!A:A,全店核心数据_bymonth!AN:AN)</f>
        <v>BU24</v>
      </c>
    </row>
    <row r="562" spans="1:17" x14ac:dyDescent="0.3">
      <c r="A562" t="s">
        <v>110</v>
      </c>
      <c r="B562" s="16">
        <v>45200</v>
      </c>
      <c r="C562" t="s">
        <v>3</v>
      </c>
      <c r="D562" t="s">
        <v>139</v>
      </c>
      <c r="E562">
        <v>13413</v>
      </c>
      <c r="F562">
        <v>9257</v>
      </c>
      <c r="G562">
        <v>557</v>
      </c>
      <c r="H562">
        <v>172</v>
      </c>
      <c r="I562">
        <v>1311326.3899999999</v>
      </c>
      <c r="J562">
        <v>215</v>
      </c>
      <c r="K562">
        <v>639595.63</v>
      </c>
      <c r="L562">
        <v>133</v>
      </c>
      <c r="N562">
        <v>8158</v>
      </c>
      <c r="O562">
        <f t="shared" si="16"/>
        <v>2023</v>
      </c>
      <c r="P562">
        <f t="shared" si="17"/>
        <v>10</v>
      </c>
      <c r="Q562" t="str">
        <f>_xlfn.XLOOKUP(B562,全店核心数据_bymonth!A:A,全店核心数据_bymonth!AN:AN)</f>
        <v>BU24</v>
      </c>
    </row>
    <row r="563" spans="1:17" x14ac:dyDescent="0.3">
      <c r="A563" t="s">
        <v>110</v>
      </c>
      <c r="B563" s="16">
        <v>45200</v>
      </c>
      <c r="C563" t="s">
        <v>3</v>
      </c>
      <c r="D563" t="s">
        <v>187</v>
      </c>
      <c r="E563">
        <v>102</v>
      </c>
      <c r="F563">
        <v>88</v>
      </c>
      <c r="G563">
        <v>1</v>
      </c>
      <c r="H563">
        <v>1</v>
      </c>
      <c r="I563">
        <v>1680</v>
      </c>
      <c r="J563">
        <v>1</v>
      </c>
      <c r="K563">
        <v>1680</v>
      </c>
      <c r="L563">
        <v>1</v>
      </c>
      <c r="N563">
        <v>54</v>
      </c>
      <c r="O563">
        <f t="shared" si="16"/>
        <v>2023</v>
      </c>
      <c r="P563">
        <f t="shared" si="17"/>
        <v>10</v>
      </c>
      <c r="Q563" t="str">
        <f>_xlfn.XLOOKUP(B563,全店核心数据_bymonth!A:A,全店核心数据_bymonth!AN:AN)</f>
        <v>BU24</v>
      </c>
    </row>
    <row r="564" spans="1:17" x14ac:dyDescent="0.3">
      <c r="A564" t="s">
        <v>110</v>
      </c>
      <c r="B564" s="16">
        <v>45200</v>
      </c>
      <c r="C564" t="s">
        <v>3</v>
      </c>
      <c r="D564" t="s">
        <v>138</v>
      </c>
      <c r="E564">
        <v>6186</v>
      </c>
      <c r="F564">
        <v>4589</v>
      </c>
      <c r="G564">
        <v>137</v>
      </c>
      <c r="H564">
        <v>96</v>
      </c>
      <c r="I564">
        <v>98158</v>
      </c>
      <c r="J564">
        <v>21</v>
      </c>
      <c r="K564">
        <v>85483</v>
      </c>
      <c r="L564">
        <v>16</v>
      </c>
      <c r="N564">
        <v>6130</v>
      </c>
      <c r="O564">
        <f t="shared" si="16"/>
        <v>2023</v>
      </c>
      <c r="P564">
        <f t="shared" si="17"/>
        <v>10</v>
      </c>
      <c r="Q564" t="str">
        <f>_xlfn.XLOOKUP(B564,全店核心数据_bymonth!A:A,全店核心数据_bymonth!AN:AN)</f>
        <v>BU24</v>
      </c>
    </row>
    <row r="565" spans="1:17" x14ac:dyDescent="0.3">
      <c r="A565" t="s">
        <v>110</v>
      </c>
      <c r="B565" s="16">
        <v>45200</v>
      </c>
      <c r="C565" t="s">
        <v>3</v>
      </c>
      <c r="D565" t="s">
        <v>137</v>
      </c>
      <c r="E565">
        <v>154</v>
      </c>
      <c r="F565">
        <v>68</v>
      </c>
      <c r="G565">
        <v>18</v>
      </c>
      <c r="H565">
        <v>4</v>
      </c>
      <c r="I565">
        <v>27188</v>
      </c>
      <c r="J565">
        <v>7</v>
      </c>
      <c r="K565">
        <v>19280</v>
      </c>
      <c r="L565">
        <v>5</v>
      </c>
      <c r="N565">
        <v>154</v>
      </c>
      <c r="O565">
        <f t="shared" si="16"/>
        <v>2023</v>
      </c>
      <c r="P565">
        <f t="shared" si="17"/>
        <v>10</v>
      </c>
      <c r="Q565" t="str">
        <f>_xlfn.XLOOKUP(B565,全店核心数据_bymonth!A:A,全店核心数据_bymonth!AN:AN)</f>
        <v>BU24</v>
      </c>
    </row>
    <row r="566" spans="1:17" x14ac:dyDescent="0.3">
      <c r="A566" t="s">
        <v>110</v>
      </c>
      <c r="B566" s="16">
        <v>45200</v>
      </c>
      <c r="C566" t="s">
        <v>3</v>
      </c>
      <c r="D566" t="s">
        <v>135</v>
      </c>
      <c r="E566">
        <v>13</v>
      </c>
      <c r="F566">
        <v>11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N566">
        <v>5</v>
      </c>
      <c r="O566">
        <f t="shared" si="16"/>
        <v>2023</v>
      </c>
      <c r="P566">
        <f t="shared" si="17"/>
        <v>10</v>
      </c>
      <c r="Q566" t="str">
        <f>_xlfn.XLOOKUP(B566,全店核心数据_bymonth!A:A,全店核心数据_bymonth!AN:AN)</f>
        <v>BU24</v>
      </c>
    </row>
    <row r="567" spans="1:17" x14ac:dyDescent="0.3">
      <c r="A567" t="s">
        <v>110</v>
      </c>
      <c r="B567" s="16">
        <v>45200</v>
      </c>
      <c r="C567" t="s">
        <v>3</v>
      </c>
      <c r="D567" t="s">
        <v>133</v>
      </c>
      <c r="E567">
        <v>534</v>
      </c>
      <c r="F567">
        <v>378</v>
      </c>
      <c r="G567">
        <v>38</v>
      </c>
      <c r="H567">
        <v>9</v>
      </c>
      <c r="I567">
        <v>112580.32</v>
      </c>
      <c r="J567">
        <v>25</v>
      </c>
      <c r="K567">
        <v>32703.32</v>
      </c>
      <c r="L567">
        <v>11</v>
      </c>
      <c r="N567">
        <v>425</v>
      </c>
      <c r="O567">
        <f t="shared" si="16"/>
        <v>2023</v>
      </c>
      <c r="P567">
        <f t="shared" si="17"/>
        <v>10</v>
      </c>
      <c r="Q567" t="str">
        <f>_xlfn.XLOOKUP(B567,全店核心数据_bymonth!A:A,全店核心数据_bymonth!AN:AN)</f>
        <v>BU24</v>
      </c>
    </row>
    <row r="568" spans="1:17" x14ac:dyDescent="0.3">
      <c r="A568" t="s">
        <v>110</v>
      </c>
      <c r="B568" s="16">
        <v>45200</v>
      </c>
      <c r="C568" t="s">
        <v>3</v>
      </c>
      <c r="D568" t="s">
        <v>132</v>
      </c>
      <c r="E568">
        <v>232</v>
      </c>
      <c r="F568">
        <v>187</v>
      </c>
      <c r="G568">
        <v>5</v>
      </c>
      <c r="H568">
        <v>6</v>
      </c>
      <c r="I568">
        <v>0</v>
      </c>
      <c r="J568">
        <v>0</v>
      </c>
      <c r="K568">
        <v>0</v>
      </c>
      <c r="L568">
        <v>0</v>
      </c>
      <c r="N568">
        <v>232</v>
      </c>
      <c r="O568">
        <f t="shared" si="16"/>
        <v>2023</v>
      </c>
      <c r="P568">
        <f t="shared" si="17"/>
        <v>10</v>
      </c>
      <c r="Q568" t="str">
        <f>_xlfn.XLOOKUP(B568,全店核心数据_bymonth!A:A,全店核心数据_bymonth!AN:AN)</f>
        <v>BU24</v>
      </c>
    </row>
    <row r="569" spans="1:17" x14ac:dyDescent="0.3">
      <c r="A569" t="s">
        <v>110</v>
      </c>
      <c r="B569" s="16">
        <v>45200</v>
      </c>
      <c r="C569" t="s">
        <v>3</v>
      </c>
      <c r="D569" t="s">
        <v>131</v>
      </c>
      <c r="E569">
        <v>5</v>
      </c>
      <c r="F569">
        <v>2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N569">
        <v>5</v>
      </c>
      <c r="O569">
        <f t="shared" si="16"/>
        <v>2023</v>
      </c>
      <c r="P569">
        <f t="shared" si="17"/>
        <v>10</v>
      </c>
      <c r="Q569" t="str">
        <f>_xlfn.XLOOKUP(B569,全店核心数据_bymonth!A:A,全店核心数据_bymonth!AN:AN)</f>
        <v>BU24</v>
      </c>
    </row>
    <row r="570" spans="1:17" x14ac:dyDescent="0.3">
      <c r="A570" t="s">
        <v>110</v>
      </c>
      <c r="B570" s="16">
        <v>45200</v>
      </c>
      <c r="C570" t="s">
        <v>3</v>
      </c>
      <c r="D570" t="s">
        <v>130</v>
      </c>
      <c r="E570">
        <v>2101</v>
      </c>
      <c r="F570">
        <v>975</v>
      </c>
      <c r="G570">
        <v>297</v>
      </c>
      <c r="H570">
        <v>88</v>
      </c>
      <c r="I570">
        <v>1398576.75</v>
      </c>
      <c r="J570">
        <v>270</v>
      </c>
      <c r="K570">
        <v>915204.75</v>
      </c>
      <c r="L570">
        <v>187</v>
      </c>
      <c r="N570">
        <v>1971</v>
      </c>
      <c r="O570">
        <f t="shared" si="16"/>
        <v>2023</v>
      </c>
      <c r="P570">
        <f t="shared" si="17"/>
        <v>10</v>
      </c>
      <c r="Q570" t="str">
        <f>_xlfn.XLOOKUP(B570,全店核心数据_bymonth!A:A,全店核心数据_bymonth!AN:AN)</f>
        <v>BU24</v>
      </c>
    </row>
    <row r="571" spans="1:17" x14ac:dyDescent="0.3">
      <c r="A571" t="s">
        <v>110</v>
      </c>
      <c r="B571" s="16">
        <v>45200</v>
      </c>
      <c r="C571" t="s">
        <v>3</v>
      </c>
      <c r="D571" t="s">
        <v>128</v>
      </c>
      <c r="E571">
        <v>18839</v>
      </c>
      <c r="F571">
        <v>15649</v>
      </c>
      <c r="G571">
        <v>922</v>
      </c>
      <c r="H571">
        <v>295</v>
      </c>
      <c r="I571">
        <v>910876</v>
      </c>
      <c r="J571">
        <v>209</v>
      </c>
      <c r="K571">
        <v>601961</v>
      </c>
      <c r="L571">
        <v>148</v>
      </c>
      <c r="N571">
        <v>16208</v>
      </c>
      <c r="O571">
        <f t="shared" si="16"/>
        <v>2023</v>
      </c>
      <c r="P571">
        <f t="shared" si="17"/>
        <v>10</v>
      </c>
      <c r="Q571" t="str">
        <f>_xlfn.XLOOKUP(B571,全店核心数据_bymonth!A:A,全店核心数据_bymonth!AN:AN)</f>
        <v>BU24</v>
      </c>
    </row>
    <row r="572" spans="1:17" x14ac:dyDescent="0.3">
      <c r="A572" t="s">
        <v>110</v>
      </c>
      <c r="B572" s="16">
        <v>45200</v>
      </c>
      <c r="C572" t="s">
        <v>3</v>
      </c>
      <c r="D572" t="s">
        <v>127</v>
      </c>
      <c r="E572">
        <v>130485</v>
      </c>
      <c r="F572">
        <v>119449</v>
      </c>
      <c r="G572">
        <v>950</v>
      </c>
      <c r="H572">
        <v>522</v>
      </c>
      <c r="I572">
        <v>702824</v>
      </c>
      <c r="J572">
        <v>143</v>
      </c>
      <c r="K572">
        <v>299522</v>
      </c>
      <c r="L572">
        <v>80</v>
      </c>
      <c r="N572">
        <v>107211</v>
      </c>
      <c r="O572">
        <f t="shared" si="16"/>
        <v>2023</v>
      </c>
      <c r="P572">
        <f t="shared" si="17"/>
        <v>10</v>
      </c>
      <c r="Q572" t="str">
        <f>_xlfn.XLOOKUP(B572,全店核心数据_bymonth!A:A,全店核心数据_bymonth!AN:AN)</f>
        <v>BU24</v>
      </c>
    </row>
    <row r="573" spans="1:17" x14ac:dyDescent="0.3">
      <c r="A573" t="s">
        <v>110</v>
      </c>
      <c r="B573" s="16">
        <v>45200</v>
      </c>
      <c r="C573" t="s">
        <v>3</v>
      </c>
      <c r="D573" t="s">
        <v>126</v>
      </c>
      <c r="E573">
        <v>2092</v>
      </c>
      <c r="F573">
        <v>1601</v>
      </c>
      <c r="G573">
        <v>80</v>
      </c>
      <c r="H573">
        <v>59</v>
      </c>
      <c r="I573">
        <v>165135</v>
      </c>
      <c r="J573">
        <v>20</v>
      </c>
      <c r="K573">
        <v>134435</v>
      </c>
      <c r="L573">
        <v>14</v>
      </c>
      <c r="N573">
        <v>1999</v>
      </c>
      <c r="O573">
        <f t="shared" si="16"/>
        <v>2023</v>
      </c>
      <c r="P573">
        <f t="shared" si="17"/>
        <v>10</v>
      </c>
      <c r="Q573" t="str">
        <f>_xlfn.XLOOKUP(B573,全店核心数据_bymonth!A:A,全店核心数据_bymonth!AN:AN)</f>
        <v>BU24</v>
      </c>
    </row>
    <row r="574" spans="1:17" x14ac:dyDescent="0.3">
      <c r="A574" t="s">
        <v>110</v>
      </c>
      <c r="B574" s="16">
        <v>45200</v>
      </c>
      <c r="C574" t="s">
        <v>3</v>
      </c>
      <c r="D574" t="s">
        <v>368</v>
      </c>
      <c r="E574">
        <v>3</v>
      </c>
      <c r="F574">
        <v>3</v>
      </c>
      <c r="G574">
        <v>1</v>
      </c>
      <c r="H574">
        <v>0</v>
      </c>
      <c r="I574">
        <v>1680</v>
      </c>
      <c r="J574">
        <v>1</v>
      </c>
      <c r="K574">
        <v>1680</v>
      </c>
      <c r="L574">
        <v>1</v>
      </c>
      <c r="N574">
        <v>3</v>
      </c>
      <c r="O574">
        <f t="shared" si="16"/>
        <v>2023</v>
      </c>
      <c r="P574">
        <f t="shared" si="17"/>
        <v>10</v>
      </c>
      <c r="Q574" t="str">
        <f>_xlfn.XLOOKUP(B574,全店核心数据_bymonth!A:A,全店核心数据_bymonth!AN:AN)</f>
        <v>BU24</v>
      </c>
    </row>
    <row r="575" spans="1:17" x14ac:dyDescent="0.3">
      <c r="A575" t="s">
        <v>110</v>
      </c>
      <c r="B575" s="16">
        <v>45200</v>
      </c>
      <c r="C575" t="s">
        <v>3</v>
      </c>
      <c r="D575" t="s">
        <v>125</v>
      </c>
      <c r="E575">
        <v>20</v>
      </c>
      <c r="F575">
        <v>11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0</v>
      </c>
      <c r="N575">
        <v>11</v>
      </c>
      <c r="O575">
        <f t="shared" si="16"/>
        <v>2023</v>
      </c>
      <c r="P575">
        <f t="shared" si="17"/>
        <v>10</v>
      </c>
      <c r="Q575" t="str">
        <f>_xlfn.XLOOKUP(B575,全店核心数据_bymonth!A:A,全店核心数据_bymonth!AN:AN)</f>
        <v>BU24</v>
      </c>
    </row>
    <row r="576" spans="1:17" x14ac:dyDescent="0.3">
      <c r="A576" t="s">
        <v>110</v>
      </c>
      <c r="B576" s="16">
        <v>45200</v>
      </c>
      <c r="C576" t="s">
        <v>3</v>
      </c>
      <c r="D576" t="s">
        <v>124</v>
      </c>
      <c r="E576">
        <v>17</v>
      </c>
      <c r="F576">
        <v>16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N576">
        <v>0</v>
      </c>
      <c r="O576">
        <f t="shared" si="16"/>
        <v>2023</v>
      </c>
      <c r="P576">
        <f t="shared" si="17"/>
        <v>10</v>
      </c>
      <c r="Q576" t="str">
        <f>_xlfn.XLOOKUP(B576,全店核心数据_bymonth!A:A,全店核心数据_bymonth!AN:AN)</f>
        <v>BU24</v>
      </c>
    </row>
    <row r="577" spans="1:17" x14ac:dyDescent="0.3">
      <c r="A577" t="s">
        <v>110</v>
      </c>
      <c r="B577" s="16">
        <v>45200</v>
      </c>
      <c r="C577" t="s">
        <v>3</v>
      </c>
      <c r="D577" t="s">
        <v>123</v>
      </c>
      <c r="E577">
        <v>6356</v>
      </c>
      <c r="F577">
        <v>4048</v>
      </c>
      <c r="G577">
        <v>372</v>
      </c>
      <c r="H577">
        <v>133</v>
      </c>
      <c r="I577">
        <v>379196</v>
      </c>
      <c r="J577">
        <v>91</v>
      </c>
      <c r="K577">
        <v>159910</v>
      </c>
      <c r="L577">
        <v>47</v>
      </c>
      <c r="N577">
        <v>4632</v>
      </c>
      <c r="O577">
        <f t="shared" si="16"/>
        <v>2023</v>
      </c>
      <c r="P577">
        <f t="shared" si="17"/>
        <v>10</v>
      </c>
      <c r="Q577" t="str">
        <f>_xlfn.XLOOKUP(B577,全店核心数据_bymonth!A:A,全店核心数据_bymonth!AN:AN)</f>
        <v>BU24</v>
      </c>
    </row>
    <row r="578" spans="1:17" x14ac:dyDescent="0.3">
      <c r="A578" t="s">
        <v>110</v>
      </c>
      <c r="B578" s="16">
        <v>45200</v>
      </c>
      <c r="C578" t="s">
        <v>3</v>
      </c>
      <c r="D578" t="s">
        <v>122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N578">
        <v>1</v>
      </c>
      <c r="O578">
        <f t="shared" ref="O578:O641" si="18">YEAR(B578)</f>
        <v>2023</v>
      </c>
      <c r="P578">
        <f t="shared" ref="P578:P641" si="19">MONTH(B578)</f>
        <v>10</v>
      </c>
      <c r="Q578" t="str">
        <f>_xlfn.XLOOKUP(B578,全店核心数据_bymonth!A:A,全店核心数据_bymonth!AN:AN)</f>
        <v>BU24</v>
      </c>
    </row>
    <row r="579" spans="1:17" x14ac:dyDescent="0.3">
      <c r="A579" t="s">
        <v>110</v>
      </c>
      <c r="B579" s="16">
        <v>45200</v>
      </c>
      <c r="C579" t="s">
        <v>3</v>
      </c>
      <c r="D579" t="s">
        <v>121</v>
      </c>
      <c r="E579">
        <v>153</v>
      </c>
      <c r="F579">
        <v>148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N579">
        <v>131</v>
      </c>
      <c r="O579">
        <f t="shared" si="18"/>
        <v>2023</v>
      </c>
      <c r="P579">
        <f t="shared" si="19"/>
        <v>10</v>
      </c>
      <c r="Q579" t="str">
        <f>_xlfn.XLOOKUP(B579,全店核心数据_bymonth!A:A,全店核心数据_bymonth!AN:AN)</f>
        <v>BU24</v>
      </c>
    </row>
    <row r="580" spans="1:17" x14ac:dyDescent="0.3">
      <c r="A580" t="s">
        <v>110</v>
      </c>
      <c r="B580" s="16">
        <v>45200</v>
      </c>
      <c r="C580" t="s">
        <v>3</v>
      </c>
      <c r="D580" t="s">
        <v>120</v>
      </c>
      <c r="E580">
        <v>8630</v>
      </c>
      <c r="F580">
        <v>7706</v>
      </c>
      <c r="G580">
        <v>307</v>
      </c>
      <c r="H580">
        <v>3</v>
      </c>
      <c r="I580">
        <v>409171.57</v>
      </c>
      <c r="J580">
        <v>77</v>
      </c>
      <c r="K580">
        <v>183573.57</v>
      </c>
      <c r="L580">
        <v>54</v>
      </c>
      <c r="N580">
        <v>8481</v>
      </c>
      <c r="O580">
        <f t="shared" si="18"/>
        <v>2023</v>
      </c>
      <c r="P580">
        <f t="shared" si="19"/>
        <v>10</v>
      </c>
      <c r="Q580" t="str">
        <f>_xlfn.XLOOKUP(B580,全店核心数据_bymonth!A:A,全店核心数据_bymonth!AN:AN)</f>
        <v>BU24</v>
      </c>
    </row>
    <row r="581" spans="1:17" x14ac:dyDescent="0.3">
      <c r="A581" t="s">
        <v>110</v>
      </c>
      <c r="B581" s="16">
        <v>45200</v>
      </c>
      <c r="C581" t="s">
        <v>3</v>
      </c>
      <c r="D581" t="s">
        <v>119</v>
      </c>
      <c r="E581">
        <v>11608</v>
      </c>
      <c r="F581">
        <v>8580</v>
      </c>
      <c r="G581">
        <v>476</v>
      </c>
      <c r="H581">
        <v>210</v>
      </c>
      <c r="I581">
        <v>1682338.05</v>
      </c>
      <c r="J581">
        <v>296</v>
      </c>
      <c r="K581">
        <v>1431162.7</v>
      </c>
      <c r="L581">
        <v>287</v>
      </c>
      <c r="N581">
        <v>6916</v>
      </c>
      <c r="O581">
        <f t="shared" si="18"/>
        <v>2023</v>
      </c>
      <c r="P581">
        <f t="shared" si="19"/>
        <v>10</v>
      </c>
      <c r="Q581" t="str">
        <f>_xlfn.XLOOKUP(B581,全店核心数据_bymonth!A:A,全店核心数据_bymonth!AN:AN)</f>
        <v>BU24</v>
      </c>
    </row>
    <row r="582" spans="1:17" x14ac:dyDescent="0.3">
      <c r="A582" t="s">
        <v>110</v>
      </c>
      <c r="B582" s="16">
        <v>45200</v>
      </c>
      <c r="C582" t="s">
        <v>3</v>
      </c>
      <c r="D582" t="s">
        <v>117</v>
      </c>
      <c r="E582">
        <v>935</v>
      </c>
      <c r="F582">
        <v>849</v>
      </c>
      <c r="G582">
        <v>10</v>
      </c>
      <c r="H582">
        <v>8</v>
      </c>
      <c r="I582">
        <v>34780</v>
      </c>
      <c r="J582">
        <v>6</v>
      </c>
      <c r="K582">
        <v>19500</v>
      </c>
      <c r="L582">
        <v>4</v>
      </c>
      <c r="N582">
        <v>935</v>
      </c>
      <c r="O582">
        <f t="shared" si="18"/>
        <v>2023</v>
      </c>
      <c r="P582">
        <f t="shared" si="19"/>
        <v>10</v>
      </c>
      <c r="Q582" t="str">
        <f>_xlfn.XLOOKUP(B582,全店核心数据_bymonth!A:A,全店核心数据_bymonth!AN:AN)</f>
        <v>BU24</v>
      </c>
    </row>
    <row r="583" spans="1:17" x14ac:dyDescent="0.3">
      <c r="A583" t="s">
        <v>110</v>
      </c>
      <c r="B583" s="16">
        <v>45200</v>
      </c>
      <c r="C583" t="s">
        <v>3</v>
      </c>
      <c r="D583" t="s">
        <v>116</v>
      </c>
      <c r="E583">
        <v>142</v>
      </c>
      <c r="F583">
        <v>89</v>
      </c>
      <c r="G583">
        <v>6</v>
      </c>
      <c r="H583">
        <v>1</v>
      </c>
      <c r="I583">
        <v>0</v>
      </c>
      <c r="J583">
        <v>0</v>
      </c>
      <c r="K583">
        <v>0</v>
      </c>
      <c r="L583">
        <v>0</v>
      </c>
      <c r="N583">
        <v>142</v>
      </c>
      <c r="O583">
        <f t="shared" si="18"/>
        <v>2023</v>
      </c>
      <c r="P583">
        <f t="shared" si="19"/>
        <v>10</v>
      </c>
      <c r="Q583" t="str">
        <f>_xlfn.XLOOKUP(B583,全店核心数据_bymonth!A:A,全店核心数据_bymonth!AN:AN)</f>
        <v>BU24</v>
      </c>
    </row>
    <row r="584" spans="1:17" x14ac:dyDescent="0.3">
      <c r="A584" t="s">
        <v>110</v>
      </c>
      <c r="B584" s="16">
        <v>45200</v>
      </c>
      <c r="C584" t="s">
        <v>3</v>
      </c>
      <c r="D584" t="s">
        <v>115</v>
      </c>
      <c r="E584">
        <v>48</v>
      </c>
      <c r="F584">
        <v>35</v>
      </c>
      <c r="G584">
        <v>3</v>
      </c>
      <c r="H584">
        <v>0</v>
      </c>
      <c r="I584">
        <v>0</v>
      </c>
      <c r="J584">
        <v>0</v>
      </c>
      <c r="K584">
        <v>4980</v>
      </c>
      <c r="L584">
        <v>1</v>
      </c>
      <c r="N584">
        <v>42</v>
      </c>
      <c r="O584">
        <f t="shared" si="18"/>
        <v>2023</v>
      </c>
      <c r="P584">
        <f t="shared" si="19"/>
        <v>10</v>
      </c>
      <c r="Q584" t="str">
        <f>_xlfn.XLOOKUP(B584,全店核心数据_bymonth!A:A,全店核心数据_bymonth!AN:AN)</f>
        <v>BU24</v>
      </c>
    </row>
    <row r="585" spans="1:17" x14ac:dyDescent="0.3">
      <c r="A585" t="s">
        <v>110</v>
      </c>
      <c r="B585" s="16">
        <v>45200</v>
      </c>
      <c r="C585" t="s">
        <v>3</v>
      </c>
      <c r="D585" t="s">
        <v>186</v>
      </c>
      <c r="E585">
        <v>5</v>
      </c>
      <c r="F585">
        <v>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N585">
        <v>5</v>
      </c>
      <c r="O585">
        <f t="shared" si="18"/>
        <v>2023</v>
      </c>
      <c r="P585">
        <f t="shared" si="19"/>
        <v>10</v>
      </c>
      <c r="Q585" t="str">
        <f>_xlfn.XLOOKUP(B585,全店核心数据_bymonth!A:A,全店核心数据_bymonth!AN:AN)</f>
        <v>BU24</v>
      </c>
    </row>
    <row r="586" spans="1:17" x14ac:dyDescent="0.3">
      <c r="A586" t="s">
        <v>110</v>
      </c>
      <c r="B586" s="16">
        <v>45200</v>
      </c>
      <c r="C586" t="s">
        <v>3</v>
      </c>
      <c r="D586" t="s">
        <v>185</v>
      </c>
      <c r="E586">
        <v>53</v>
      </c>
      <c r="F586">
        <v>41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N586">
        <v>53</v>
      </c>
      <c r="O586">
        <f t="shared" si="18"/>
        <v>2023</v>
      </c>
      <c r="P586">
        <f t="shared" si="19"/>
        <v>10</v>
      </c>
      <c r="Q586" t="str">
        <f>_xlfn.XLOOKUP(B586,全店核心数据_bymonth!A:A,全店核心数据_bymonth!AN:AN)</f>
        <v>BU24</v>
      </c>
    </row>
    <row r="587" spans="1:17" x14ac:dyDescent="0.3">
      <c r="A587" t="s">
        <v>110</v>
      </c>
      <c r="B587" s="16">
        <v>45200</v>
      </c>
      <c r="C587" t="s">
        <v>3</v>
      </c>
      <c r="D587" t="s">
        <v>114</v>
      </c>
      <c r="E587">
        <v>2090</v>
      </c>
      <c r="F587">
        <v>1173</v>
      </c>
      <c r="G587">
        <v>60</v>
      </c>
      <c r="H587">
        <v>20</v>
      </c>
      <c r="I587">
        <v>35635</v>
      </c>
      <c r="J587">
        <v>6</v>
      </c>
      <c r="K587">
        <v>16465</v>
      </c>
      <c r="L587">
        <v>3</v>
      </c>
      <c r="N587">
        <v>2035</v>
      </c>
      <c r="O587">
        <f t="shared" si="18"/>
        <v>2023</v>
      </c>
      <c r="P587">
        <f t="shared" si="19"/>
        <v>10</v>
      </c>
      <c r="Q587" t="str">
        <f>_xlfn.XLOOKUP(B587,全店核心数据_bymonth!A:A,全店核心数据_bymonth!AN:AN)</f>
        <v>BU24</v>
      </c>
    </row>
    <row r="588" spans="1:17" x14ac:dyDescent="0.3">
      <c r="A588" t="s">
        <v>110</v>
      </c>
      <c r="B588" s="16">
        <v>45200</v>
      </c>
      <c r="C588" t="s">
        <v>3</v>
      </c>
      <c r="D588" t="s">
        <v>113</v>
      </c>
      <c r="E588">
        <v>3575</v>
      </c>
      <c r="F588">
        <v>2812</v>
      </c>
      <c r="G588">
        <v>112</v>
      </c>
      <c r="H588">
        <v>53</v>
      </c>
      <c r="I588">
        <v>71071.039999999994</v>
      </c>
      <c r="J588">
        <v>19</v>
      </c>
      <c r="K588">
        <v>27503.040000000001</v>
      </c>
      <c r="L588">
        <v>8</v>
      </c>
      <c r="N588">
        <v>1569</v>
      </c>
      <c r="O588">
        <f t="shared" si="18"/>
        <v>2023</v>
      </c>
      <c r="P588">
        <f t="shared" si="19"/>
        <v>10</v>
      </c>
      <c r="Q588" t="str">
        <f>_xlfn.XLOOKUP(B588,全店核心数据_bymonth!A:A,全店核心数据_bymonth!AN:AN)</f>
        <v>BU24</v>
      </c>
    </row>
    <row r="589" spans="1:17" x14ac:dyDescent="0.3">
      <c r="A589" t="s">
        <v>110</v>
      </c>
      <c r="B589" s="16">
        <v>45200</v>
      </c>
      <c r="C589" t="s">
        <v>3</v>
      </c>
      <c r="D589" t="s">
        <v>112</v>
      </c>
      <c r="E589">
        <v>324</v>
      </c>
      <c r="F589">
        <v>215</v>
      </c>
      <c r="G589">
        <v>11</v>
      </c>
      <c r="H589">
        <v>4</v>
      </c>
      <c r="I589">
        <v>154296</v>
      </c>
      <c r="J589">
        <v>33</v>
      </c>
      <c r="K589">
        <v>134476</v>
      </c>
      <c r="L589">
        <v>30</v>
      </c>
      <c r="N589">
        <v>324</v>
      </c>
      <c r="O589">
        <f t="shared" si="18"/>
        <v>2023</v>
      </c>
      <c r="P589">
        <f t="shared" si="19"/>
        <v>10</v>
      </c>
      <c r="Q589" t="str">
        <f>_xlfn.XLOOKUP(B589,全店核心数据_bymonth!A:A,全店核心数据_bymonth!AN:AN)</f>
        <v>BU24</v>
      </c>
    </row>
    <row r="590" spans="1:17" x14ac:dyDescent="0.3">
      <c r="A590" t="s">
        <v>110</v>
      </c>
      <c r="B590" s="16">
        <v>45200</v>
      </c>
      <c r="C590" t="s">
        <v>3</v>
      </c>
      <c r="D590" t="s">
        <v>111</v>
      </c>
      <c r="E590">
        <v>10</v>
      </c>
      <c r="F590">
        <v>2</v>
      </c>
      <c r="G590">
        <v>2</v>
      </c>
      <c r="H590">
        <v>0</v>
      </c>
      <c r="I590">
        <v>1680</v>
      </c>
      <c r="J590">
        <v>1</v>
      </c>
      <c r="K590">
        <v>3360</v>
      </c>
      <c r="L590">
        <v>1</v>
      </c>
      <c r="N590">
        <v>9</v>
      </c>
      <c r="O590">
        <f t="shared" si="18"/>
        <v>2023</v>
      </c>
      <c r="P590">
        <f t="shared" si="19"/>
        <v>10</v>
      </c>
      <c r="Q590" t="str">
        <f>_xlfn.XLOOKUP(B590,全店核心数据_bymonth!A:A,全店核心数据_bymonth!AN:AN)</f>
        <v>BU24</v>
      </c>
    </row>
    <row r="591" spans="1:17" x14ac:dyDescent="0.3">
      <c r="A591" t="s">
        <v>110</v>
      </c>
      <c r="B591" s="16">
        <v>45597</v>
      </c>
      <c r="C591" t="s">
        <v>2</v>
      </c>
      <c r="D591" t="s">
        <v>4</v>
      </c>
      <c r="E591">
        <v>4960</v>
      </c>
      <c r="F591">
        <v>2868</v>
      </c>
      <c r="G591">
        <v>116</v>
      </c>
      <c r="H591">
        <v>19</v>
      </c>
      <c r="I591">
        <v>164625.41</v>
      </c>
      <c r="J591">
        <v>41</v>
      </c>
      <c r="K591">
        <v>146088.41</v>
      </c>
      <c r="L591">
        <v>39</v>
      </c>
      <c r="M591">
        <v>564</v>
      </c>
      <c r="N591">
        <v>4756</v>
      </c>
      <c r="O591">
        <f t="shared" si="18"/>
        <v>2024</v>
      </c>
      <c r="P591">
        <f t="shared" si="19"/>
        <v>11</v>
      </c>
      <c r="Q591" t="str">
        <f>_xlfn.XLOOKUP(B591,全店核心数据_bymonth!A:A,全店核心数据_bymonth!AN:AN)</f>
        <v>BU25</v>
      </c>
    </row>
    <row r="592" spans="1:17" x14ac:dyDescent="0.3">
      <c r="A592" t="s">
        <v>110</v>
      </c>
      <c r="B592" s="16">
        <v>45597</v>
      </c>
      <c r="C592" t="s">
        <v>2</v>
      </c>
      <c r="D592" t="s">
        <v>57</v>
      </c>
      <c r="E592">
        <v>214032</v>
      </c>
      <c r="F592">
        <v>195060</v>
      </c>
      <c r="G592">
        <v>6517</v>
      </c>
      <c r="H592">
        <v>2924</v>
      </c>
      <c r="I592">
        <v>6778613.7199999997</v>
      </c>
      <c r="J592">
        <v>1200</v>
      </c>
      <c r="K592">
        <v>4309517.3499999996</v>
      </c>
      <c r="L592">
        <v>976</v>
      </c>
      <c r="M592">
        <v>20048</v>
      </c>
      <c r="N592">
        <v>213027</v>
      </c>
      <c r="O592">
        <f t="shared" si="18"/>
        <v>2024</v>
      </c>
      <c r="P592">
        <f t="shared" si="19"/>
        <v>11</v>
      </c>
      <c r="Q592" t="str">
        <f>_xlfn.XLOOKUP(B592,全店核心数据_bymonth!A:A,全店核心数据_bymonth!AN:AN)</f>
        <v>BU25</v>
      </c>
    </row>
    <row r="593" spans="1:17" x14ac:dyDescent="0.3">
      <c r="A593" t="s">
        <v>110</v>
      </c>
      <c r="B593" s="16">
        <v>45597</v>
      </c>
      <c r="C593" t="s">
        <v>2</v>
      </c>
      <c r="D593" t="s">
        <v>52</v>
      </c>
      <c r="E593">
        <v>24814</v>
      </c>
      <c r="F593">
        <v>22319</v>
      </c>
      <c r="G593">
        <v>577</v>
      </c>
      <c r="H593">
        <v>152</v>
      </c>
      <c r="I593">
        <v>738148.5</v>
      </c>
      <c r="J593">
        <v>133</v>
      </c>
      <c r="K593">
        <v>572094.5</v>
      </c>
      <c r="L593">
        <v>113</v>
      </c>
      <c r="M593">
        <v>24812</v>
      </c>
      <c r="N593">
        <v>11187</v>
      </c>
      <c r="O593">
        <f t="shared" si="18"/>
        <v>2024</v>
      </c>
      <c r="P593">
        <f t="shared" si="19"/>
        <v>11</v>
      </c>
      <c r="Q593" t="str">
        <f>_xlfn.XLOOKUP(B593,全店核心数据_bymonth!A:A,全店核心数据_bymonth!AN:AN)</f>
        <v>BU25</v>
      </c>
    </row>
    <row r="594" spans="1:17" x14ac:dyDescent="0.3">
      <c r="A594" t="s">
        <v>110</v>
      </c>
      <c r="B594" s="16">
        <v>45597</v>
      </c>
      <c r="C594" t="s">
        <v>2</v>
      </c>
      <c r="D594" t="s">
        <v>55</v>
      </c>
      <c r="E594">
        <v>38536</v>
      </c>
      <c r="F594">
        <v>33425</v>
      </c>
      <c r="G594">
        <v>322</v>
      </c>
      <c r="H594">
        <v>185</v>
      </c>
      <c r="I594">
        <v>0</v>
      </c>
      <c r="J594">
        <v>0</v>
      </c>
      <c r="K594">
        <v>0</v>
      </c>
      <c r="L594">
        <v>0</v>
      </c>
      <c r="M594">
        <v>485</v>
      </c>
      <c r="N594">
        <v>6743</v>
      </c>
      <c r="O594">
        <f t="shared" si="18"/>
        <v>2024</v>
      </c>
      <c r="P594">
        <f t="shared" si="19"/>
        <v>11</v>
      </c>
      <c r="Q594" t="str">
        <f>_xlfn.XLOOKUP(B594,全店核心数据_bymonth!A:A,全店核心数据_bymonth!AN:AN)</f>
        <v>BU25</v>
      </c>
    </row>
    <row r="595" spans="1:17" x14ac:dyDescent="0.3">
      <c r="A595" t="s">
        <v>110</v>
      </c>
      <c r="B595" s="16">
        <v>45597</v>
      </c>
      <c r="C595" t="s">
        <v>3</v>
      </c>
      <c r="D595" t="s">
        <v>156</v>
      </c>
      <c r="E595">
        <v>2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f t="shared" si="18"/>
        <v>2024</v>
      </c>
      <c r="P595">
        <f t="shared" si="19"/>
        <v>11</v>
      </c>
      <c r="Q595" t="str">
        <f>_xlfn.XLOOKUP(B595,全店核心数据_bymonth!A:A,全店核心数据_bymonth!AN:AN)</f>
        <v>BU25</v>
      </c>
    </row>
    <row r="596" spans="1:17" x14ac:dyDescent="0.3">
      <c r="A596" t="s">
        <v>110</v>
      </c>
      <c r="B596" s="16">
        <v>45597</v>
      </c>
      <c r="C596" t="s">
        <v>3</v>
      </c>
      <c r="D596" t="s">
        <v>155</v>
      </c>
      <c r="E596">
        <v>146</v>
      </c>
      <c r="F596">
        <v>105</v>
      </c>
      <c r="G596">
        <v>1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12</v>
      </c>
      <c r="N596">
        <v>145</v>
      </c>
      <c r="O596">
        <f t="shared" si="18"/>
        <v>2024</v>
      </c>
      <c r="P596">
        <f t="shared" si="19"/>
        <v>11</v>
      </c>
      <c r="Q596" t="str">
        <f>_xlfn.XLOOKUP(B596,全店核心数据_bymonth!A:A,全店核心数据_bymonth!AN:AN)</f>
        <v>BU25</v>
      </c>
    </row>
    <row r="597" spans="1:17" x14ac:dyDescent="0.3">
      <c r="A597" t="s">
        <v>110</v>
      </c>
      <c r="B597" s="16">
        <v>45597</v>
      </c>
      <c r="C597" t="s">
        <v>3</v>
      </c>
      <c r="D597" t="s">
        <v>154</v>
      </c>
      <c r="E597">
        <v>6550</v>
      </c>
      <c r="F597">
        <v>6227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5</v>
      </c>
      <c r="N597">
        <v>15</v>
      </c>
      <c r="O597">
        <f t="shared" si="18"/>
        <v>2024</v>
      </c>
      <c r="P597">
        <f t="shared" si="19"/>
        <v>11</v>
      </c>
      <c r="Q597" t="str">
        <f>_xlfn.XLOOKUP(B597,全店核心数据_bymonth!A:A,全店核心数据_bymonth!AN:AN)</f>
        <v>BU25</v>
      </c>
    </row>
    <row r="598" spans="1:17" x14ac:dyDescent="0.3">
      <c r="A598" t="s">
        <v>110</v>
      </c>
      <c r="B598" s="16">
        <v>45597</v>
      </c>
      <c r="C598" t="s">
        <v>3</v>
      </c>
      <c r="D598" t="s">
        <v>153</v>
      </c>
      <c r="E598">
        <v>7471</v>
      </c>
      <c r="F598">
        <v>3505</v>
      </c>
      <c r="G598">
        <v>1095</v>
      </c>
      <c r="H598">
        <v>103</v>
      </c>
      <c r="I598">
        <v>6511273.54</v>
      </c>
      <c r="J598">
        <v>1093</v>
      </c>
      <c r="K598">
        <v>5211879.67</v>
      </c>
      <c r="L598">
        <v>1034</v>
      </c>
      <c r="M598">
        <v>2444</v>
      </c>
      <c r="N598">
        <v>7183</v>
      </c>
      <c r="O598">
        <f t="shared" si="18"/>
        <v>2024</v>
      </c>
      <c r="P598">
        <f t="shared" si="19"/>
        <v>11</v>
      </c>
      <c r="Q598" t="str">
        <f>_xlfn.XLOOKUP(B598,全店核心数据_bymonth!A:A,全店核心数据_bymonth!AN:AN)</f>
        <v>BU25</v>
      </c>
    </row>
    <row r="599" spans="1:17" x14ac:dyDescent="0.3">
      <c r="A599" t="s">
        <v>110</v>
      </c>
      <c r="B599" s="16">
        <v>45597</v>
      </c>
      <c r="C599" t="s">
        <v>3</v>
      </c>
      <c r="D599" t="s">
        <v>152</v>
      </c>
      <c r="E599">
        <v>519</v>
      </c>
      <c r="F599">
        <v>438</v>
      </c>
      <c r="G599">
        <v>1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46</v>
      </c>
      <c r="O599">
        <f t="shared" si="18"/>
        <v>2024</v>
      </c>
      <c r="P599">
        <f t="shared" si="19"/>
        <v>11</v>
      </c>
      <c r="Q599" t="str">
        <f>_xlfn.XLOOKUP(B599,全店核心数据_bymonth!A:A,全店核心数据_bymonth!AN:AN)</f>
        <v>BU25</v>
      </c>
    </row>
    <row r="600" spans="1:17" x14ac:dyDescent="0.3">
      <c r="A600" t="s">
        <v>110</v>
      </c>
      <c r="B600" s="16">
        <v>45597</v>
      </c>
      <c r="C600" t="s">
        <v>3</v>
      </c>
      <c r="D600" t="s">
        <v>150</v>
      </c>
      <c r="E600">
        <v>228</v>
      </c>
      <c r="F600">
        <v>177</v>
      </c>
      <c r="G600">
        <v>3</v>
      </c>
      <c r="H600">
        <v>0</v>
      </c>
      <c r="I600">
        <v>1988</v>
      </c>
      <c r="J600">
        <v>1</v>
      </c>
      <c r="K600">
        <v>1988</v>
      </c>
      <c r="L600">
        <v>1</v>
      </c>
      <c r="M600">
        <v>2</v>
      </c>
      <c r="N600">
        <v>63</v>
      </c>
      <c r="O600">
        <f t="shared" si="18"/>
        <v>2024</v>
      </c>
      <c r="P600">
        <f t="shared" si="19"/>
        <v>11</v>
      </c>
      <c r="Q600" t="str">
        <f>_xlfn.XLOOKUP(B600,全店核心数据_bymonth!A:A,全店核心数据_bymonth!AN:AN)</f>
        <v>BU25</v>
      </c>
    </row>
    <row r="601" spans="1:17" x14ac:dyDescent="0.3">
      <c r="A601" t="s">
        <v>110</v>
      </c>
      <c r="B601" s="16">
        <v>45597</v>
      </c>
      <c r="C601" t="s">
        <v>3</v>
      </c>
      <c r="D601" t="s">
        <v>149</v>
      </c>
      <c r="E601">
        <v>510</v>
      </c>
      <c r="F601">
        <v>337</v>
      </c>
      <c r="G601">
        <v>26</v>
      </c>
      <c r="H601">
        <v>22</v>
      </c>
      <c r="I601">
        <v>25767</v>
      </c>
      <c r="J601">
        <v>2</v>
      </c>
      <c r="K601">
        <v>17500</v>
      </c>
      <c r="L601">
        <v>1</v>
      </c>
      <c r="M601">
        <v>55</v>
      </c>
      <c r="N601">
        <v>374</v>
      </c>
      <c r="O601">
        <f t="shared" si="18"/>
        <v>2024</v>
      </c>
      <c r="P601">
        <f t="shared" si="19"/>
        <v>11</v>
      </c>
      <c r="Q601" t="str">
        <f>_xlfn.XLOOKUP(B601,全店核心数据_bymonth!A:A,全店核心数据_bymonth!AN:AN)</f>
        <v>BU25</v>
      </c>
    </row>
    <row r="602" spans="1:17" x14ac:dyDescent="0.3">
      <c r="A602" t="s">
        <v>110</v>
      </c>
      <c r="B602" s="16">
        <v>45597</v>
      </c>
      <c r="C602" t="s">
        <v>3</v>
      </c>
      <c r="D602" t="s">
        <v>148</v>
      </c>
      <c r="E602">
        <v>114</v>
      </c>
      <c r="F602">
        <v>103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82</v>
      </c>
      <c r="N602">
        <v>32</v>
      </c>
      <c r="O602">
        <f t="shared" si="18"/>
        <v>2024</v>
      </c>
      <c r="P602">
        <f t="shared" si="19"/>
        <v>11</v>
      </c>
      <c r="Q602" t="str">
        <f>_xlfn.XLOOKUP(B602,全店核心数据_bymonth!A:A,全店核心数据_bymonth!AN:AN)</f>
        <v>BU25</v>
      </c>
    </row>
    <row r="603" spans="1:17" x14ac:dyDescent="0.3">
      <c r="A603" t="s">
        <v>110</v>
      </c>
      <c r="B603" s="16">
        <v>45597</v>
      </c>
      <c r="C603" t="s">
        <v>3</v>
      </c>
      <c r="D603" t="s">
        <v>367</v>
      </c>
      <c r="E603">
        <v>2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f t="shared" si="18"/>
        <v>2024</v>
      </c>
      <c r="P603">
        <f t="shared" si="19"/>
        <v>11</v>
      </c>
      <c r="Q603" t="str">
        <f>_xlfn.XLOOKUP(B603,全店核心数据_bymonth!A:A,全店核心数据_bymonth!AN:AN)</f>
        <v>BU25</v>
      </c>
    </row>
    <row r="604" spans="1:17" x14ac:dyDescent="0.3">
      <c r="A604" t="s">
        <v>110</v>
      </c>
      <c r="B604" s="16">
        <v>45597</v>
      </c>
      <c r="C604" t="s">
        <v>3</v>
      </c>
      <c r="D604" t="s">
        <v>146</v>
      </c>
      <c r="E604">
        <v>1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f t="shared" si="18"/>
        <v>2024</v>
      </c>
      <c r="P604">
        <f t="shared" si="19"/>
        <v>11</v>
      </c>
      <c r="Q604" t="str">
        <f>_xlfn.XLOOKUP(B604,全店核心数据_bymonth!A:A,全店核心数据_bymonth!AN:AN)</f>
        <v>BU25</v>
      </c>
    </row>
    <row r="605" spans="1:17" x14ac:dyDescent="0.3">
      <c r="A605" t="s">
        <v>110</v>
      </c>
      <c r="B605" s="16">
        <v>45597</v>
      </c>
      <c r="C605" t="s">
        <v>3</v>
      </c>
      <c r="D605" t="s">
        <v>145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f t="shared" si="18"/>
        <v>2024</v>
      </c>
      <c r="P605">
        <f t="shared" si="19"/>
        <v>11</v>
      </c>
      <c r="Q605" t="str">
        <f>_xlfn.XLOOKUP(B605,全店核心数据_bymonth!A:A,全店核心数据_bymonth!AN:AN)</f>
        <v>BU25</v>
      </c>
    </row>
    <row r="606" spans="1:17" x14ac:dyDescent="0.3">
      <c r="A606" t="s">
        <v>110</v>
      </c>
      <c r="B606" s="16">
        <v>45597</v>
      </c>
      <c r="C606" t="s">
        <v>3</v>
      </c>
      <c r="D606" t="s">
        <v>370</v>
      </c>
      <c r="E606">
        <v>1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f t="shared" si="18"/>
        <v>2024</v>
      </c>
      <c r="P606">
        <f t="shared" si="19"/>
        <v>11</v>
      </c>
      <c r="Q606" t="str">
        <f>_xlfn.XLOOKUP(B606,全店核心数据_bymonth!A:A,全店核心数据_bymonth!AN:AN)</f>
        <v>BU25</v>
      </c>
    </row>
    <row r="607" spans="1:17" x14ac:dyDescent="0.3">
      <c r="A607" t="s">
        <v>110</v>
      </c>
      <c r="B607" s="16">
        <v>45597</v>
      </c>
      <c r="C607" t="s">
        <v>3</v>
      </c>
      <c r="D607" t="s">
        <v>251</v>
      </c>
      <c r="E607">
        <v>77649</v>
      </c>
      <c r="F607">
        <v>73745</v>
      </c>
      <c r="G607">
        <v>419</v>
      </c>
      <c r="H607">
        <v>146</v>
      </c>
      <c r="I607">
        <v>1030068.75</v>
      </c>
      <c r="J607">
        <v>159</v>
      </c>
      <c r="K607">
        <v>695010.75</v>
      </c>
      <c r="L607">
        <v>137</v>
      </c>
      <c r="M607">
        <v>2050</v>
      </c>
      <c r="N607">
        <v>10453</v>
      </c>
      <c r="O607">
        <f t="shared" si="18"/>
        <v>2024</v>
      </c>
      <c r="P607">
        <f t="shared" si="19"/>
        <v>11</v>
      </c>
      <c r="Q607" t="str">
        <f>_xlfn.XLOOKUP(B607,全店核心数据_bymonth!A:A,全店核心数据_bymonth!AN:AN)</f>
        <v>BU25</v>
      </c>
    </row>
    <row r="608" spans="1:17" x14ac:dyDescent="0.3">
      <c r="A608" t="s">
        <v>110</v>
      </c>
      <c r="B608" s="16">
        <v>45597</v>
      </c>
      <c r="C608" t="s">
        <v>3</v>
      </c>
      <c r="D608" t="s">
        <v>143</v>
      </c>
      <c r="E608">
        <v>504</v>
      </c>
      <c r="F608">
        <v>482</v>
      </c>
      <c r="G608">
        <v>3</v>
      </c>
      <c r="H608">
        <v>4</v>
      </c>
      <c r="I608">
        <v>4940</v>
      </c>
      <c r="J608">
        <v>1</v>
      </c>
      <c r="K608">
        <v>4940</v>
      </c>
      <c r="L608">
        <v>1</v>
      </c>
      <c r="M608">
        <v>4</v>
      </c>
      <c r="N608">
        <v>504</v>
      </c>
      <c r="O608">
        <f t="shared" si="18"/>
        <v>2024</v>
      </c>
      <c r="P608">
        <f t="shared" si="19"/>
        <v>11</v>
      </c>
      <c r="Q608" t="str">
        <f>_xlfn.XLOOKUP(B608,全店核心数据_bymonth!A:A,全店核心数据_bymonth!AN:AN)</f>
        <v>BU25</v>
      </c>
    </row>
    <row r="609" spans="1:17" x14ac:dyDescent="0.3">
      <c r="A609" t="s">
        <v>110</v>
      </c>
      <c r="B609" s="16">
        <v>45597</v>
      </c>
      <c r="C609" t="s">
        <v>3</v>
      </c>
      <c r="D609" t="s">
        <v>141</v>
      </c>
      <c r="E609">
        <v>138</v>
      </c>
      <c r="F609">
        <v>133</v>
      </c>
      <c r="G609">
        <v>2</v>
      </c>
      <c r="H609">
        <v>1</v>
      </c>
      <c r="I609">
        <v>41914</v>
      </c>
      <c r="J609">
        <v>5</v>
      </c>
      <c r="K609">
        <v>13488</v>
      </c>
      <c r="L609">
        <v>4</v>
      </c>
      <c r="M609">
        <v>5</v>
      </c>
      <c r="N609">
        <v>133</v>
      </c>
      <c r="O609">
        <f t="shared" si="18"/>
        <v>2024</v>
      </c>
      <c r="P609">
        <f t="shared" si="19"/>
        <v>11</v>
      </c>
      <c r="Q609" t="str">
        <f>_xlfn.XLOOKUP(B609,全店核心数据_bymonth!A:A,全店核心数据_bymonth!AN:AN)</f>
        <v>BU25</v>
      </c>
    </row>
    <row r="610" spans="1:17" x14ac:dyDescent="0.3">
      <c r="A610" t="s">
        <v>110</v>
      </c>
      <c r="B610" s="16">
        <v>45597</v>
      </c>
      <c r="C610" t="s">
        <v>3</v>
      </c>
      <c r="D610" t="s">
        <v>140</v>
      </c>
      <c r="E610">
        <v>228</v>
      </c>
      <c r="F610">
        <v>186</v>
      </c>
      <c r="G610">
        <v>23</v>
      </c>
      <c r="H610">
        <v>3</v>
      </c>
      <c r="I610">
        <v>292105</v>
      </c>
      <c r="J610">
        <v>15</v>
      </c>
      <c r="K610">
        <v>75225</v>
      </c>
      <c r="L610">
        <v>14</v>
      </c>
      <c r="M610">
        <v>30</v>
      </c>
      <c r="N610">
        <v>204</v>
      </c>
      <c r="O610">
        <f t="shared" si="18"/>
        <v>2024</v>
      </c>
      <c r="P610">
        <f t="shared" si="19"/>
        <v>11</v>
      </c>
      <c r="Q610" t="str">
        <f>_xlfn.XLOOKUP(B610,全店核心数据_bymonth!A:A,全店核心数据_bymonth!AN:AN)</f>
        <v>BU25</v>
      </c>
    </row>
    <row r="611" spans="1:17" x14ac:dyDescent="0.3">
      <c r="A611" t="s">
        <v>110</v>
      </c>
      <c r="B611" s="16">
        <v>45597</v>
      </c>
      <c r="C611" t="s">
        <v>3</v>
      </c>
      <c r="D611" t="s">
        <v>139</v>
      </c>
      <c r="E611">
        <v>29284</v>
      </c>
      <c r="F611">
        <v>22522</v>
      </c>
      <c r="G611">
        <v>1447</v>
      </c>
      <c r="H611">
        <v>334</v>
      </c>
      <c r="I611">
        <v>4198483.3499999996</v>
      </c>
      <c r="J611">
        <v>585</v>
      </c>
      <c r="K611">
        <v>2752812.48</v>
      </c>
      <c r="L611">
        <v>511</v>
      </c>
      <c r="M611">
        <v>9327</v>
      </c>
      <c r="N611">
        <v>25598</v>
      </c>
      <c r="O611">
        <f t="shared" si="18"/>
        <v>2024</v>
      </c>
      <c r="P611">
        <f t="shared" si="19"/>
        <v>11</v>
      </c>
      <c r="Q611" t="str">
        <f>_xlfn.XLOOKUP(B611,全店核心数据_bymonth!A:A,全店核心数据_bymonth!AN:AN)</f>
        <v>BU25</v>
      </c>
    </row>
    <row r="612" spans="1:17" x14ac:dyDescent="0.3">
      <c r="A612" t="s">
        <v>110</v>
      </c>
      <c r="B612" s="16">
        <v>45597</v>
      </c>
      <c r="C612" t="s">
        <v>3</v>
      </c>
      <c r="D612" t="s">
        <v>138</v>
      </c>
      <c r="E612">
        <v>1549</v>
      </c>
      <c r="F612">
        <v>1278</v>
      </c>
      <c r="G612">
        <v>21</v>
      </c>
      <c r="H612">
        <v>13</v>
      </c>
      <c r="I612">
        <v>31990</v>
      </c>
      <c r="J612">
        <v>7</v>
      </c>
      <c r="K612">
        <v>7363</v>
      </c>
      <c r="L612">
        <v>3</v>
      </c>
      <c r="M612">
        <v>107</v>
      </c>
      <c r="N612">
        <v>1515</v>
      </c>
      <c r="O612">
        <f t="shared" si="18"/>
        <v>2024</v>
      </c>
      <c r="P612">
        <f t="shared" si="19"/>
        <v>11</v>
      </c>
      <c r="Q612" t="str">
        <f>_xlfn.XLOOKUP(B612,全店核心数据_bymonth!A:A,全店核心数据_bymonth!AN:AN)</f>
        <v>BU25</v>
      </c>
    </row>
    <row r="613" spans="1:17" x14ac:dyDescent="0.3">
      <c r="A613" t="s">
        <v>110</v>
      </c>
      <c r="B613" s="16">
        <v>45597</v>
      </c>
      <c r="C613" t="s">
        <v>3</v>
      </c>
      <c r="D613" t="s">
        <v>137</v>
      </c>
      <c r="E613">
        <v>188</v>
      </c>
      <c r="F613">
        <v>109</v>
      </c>
      <c r="G613">
        <v>8</v>
      </c>
      <c r="H613">
        <v>3</v>
      </c>
      <c r="I613">
        <v>2980</v>
      </c>
      <c r="J613">
        <v>1</v>
      </c>
      <c r="K613">
        <v>2980</v>
      </c>
      <c r="L613">
        <v>1</v>
      </c>
      <c r="M613">
        <v>34</v>
      </c>
      <c r="N613">
        <v>187</v>
      </c>
      <c r="O613">
        <f t="shared" si="18"/>
        <v>2024</v>
      </c>
      <c r="P613">
        <f t="shared" si="19"/>
        <v>11</v>
      </c>
      <c r="Q613" t="str">
        <f>_xlfn.XLOOKUP(B613,全店核心数据_bymonth!A:A,全店核心数据_bymonth!AN:AN)</f>
        <v>BU25</v>
      </c>
    </row>
    <row r="614" spans="1:17" x14ac:dyDescent="0.3">
      <c r="A614" t="s">
        <v>110</v>
      </c>
      <c r="B614" s="16">
        <v>45597</v>
      </c>
      <c r="C614" t="s">
        <v>3</v>
      </c>
      <c r="D614" t="s">
        <v>136</v>
      </c>
      <c r="E614">
        <v>2</v>
      </c>
      <c r="F614">
        <v>0</v>
      </c>
      <c r="G614">
        <v>0</v>
      </c>
      <c r="H614">
        <v>0</v>
      </c>
      <c r="I614">
        <v>5400</v>
      </c>
      <c r="J614">
        <v>1</v>
      </c>
      <c r="K614">
        <v>5400</v>
      </c>
      <c r="L614">
        <v>1</v>
      </c>
      <c r="M614">
        <v>0</v>
      </c>
      <c r="N614">
        <v>1</v>
      </c>
      <c r="O614">
        <f t="shared" si="18"/>
        <v>2024</v>
      </c>
      <c r="P614">
        <f t="shared" si="19"/>
        <v>11</v>
      </c>
      <c r="Q614" t="str">
        <f>_xlfn.XLOOKUP(B614,全店核心数据_bymonth!A:A,全店核心数据_bymonth!AN:AN)</f>
        <v>BU25</v>
      </c>
    </row>
    <row r="615" spans="1:17" x14ac:dyDescent="0.3">
      <c r="A615" t="s">
        <v>110</v>
      </c>
      <c r="B615" s="16">
        <v>45597</v>
      </c>
      <c r="C615" t="s">
        <v>3</v>
      </c>
      <c r="D615" t="s">
        <v>135</v>
      </c>
      <c r="E615">
        <v>798</v>
      </c>
      <c r="F615">
        <v>485</v>
      </c>
      <c r="G615">
        <v>20</v>
      </c>
      <c r="H615">
        <v>7</v>
      </c>
      <c r="I615">
        <v>48526.87</v>
      </c>
      <c r="J615">
        <v>10</v>
      </c>
      <c r="K615">
        <v>44701.87</v>
      </c>
      <c r="L615">
        <v>10</v>
      </c>
      <c r="M615">
        <v>55</v>
      </c>
      <c r="N615">
        <v>628</v>
      </c>
      <c r="O615">
        <f t="shared" si="18"/>
        <v>2024</v>
      </c>
      <c r="P615">
        <f t="shared" si="19"/>
        <v>11</v>
      </c>
      <c r="Q615" t="str">
        <f>_xlfn.XLOOKUP(B615,全店核心数据_bymonth!A:A,全店核心数据_bymonth!AN:AN)</f>
        <v>BU25</v>
      </c>
    </row>
    <row r="616" spans="1:17" x14ac:dyDescent="0.3">
      <c r="A616" t="s">
        <v>110</v>
      </c>
      <c r="B616" s="16">
        <v>45597</v>
      </c>
      <c r="C616" t="s">
        <v>3</v>
      </c>
      <c r="D616" t="s">
        <v>133</v>
      </c>
      <c r="E616">
        <v>811</v>
      </c>
      <c r="F616">
        <v>518</v>
      </c>
      <c r="G616">
        <v>60</v>
      </c>
      <c r="H616">
        <v>7</v>
      </c>
      <c r="I616">
        <v>256600.56</v>
      </c>
      <c r="J616">
        <v>35</v>
      </c>
      <c r="K616">
        <v>244900.56</v>
      </c>
      <c r="L616">
        <v>35</v>
      </c>
      <c r="M616">
        <v>162</v>
      </c>
      <c r="N616">
        <v>733</v>
      </c>
      <c r="O616">
        <f t="shared" si="18"/>
        <v>2024</v>
      </c>
      <c r="P616">
        <f t="shared" si="19"/>
        <v>11</v>
      </c>
      <c r="Q616" t="str">
        <f>_xlfn.XLOOKUP(B616,全店核心数据_bymonth!A:A,全店核心数据_bymonth!AN:AN)</f>
        <v>BU25</v>
      </c>
    </row>
    <row r="617" spans="1:17" x14ac:dyDescent="0.3">
      <c r="A617" t="s">
        <v>110</v>
      </c>
      <c r="B617" s="16">
        <v>45597</v>
      </c>
      <c r="C617" t="s">
        <v>3</v>
      </c>
      <c r="D617" t="s">
        <v>130</v>
      </c>
      <c r="E617">
        <v>3416</v>
      </c>
      <c r="F617">
        <v>1619</v>
      </c>
      <c r="G617">
        <v>357</v>
      </c>
      <c r="H617">
        <v>93</v>
      </c>
      <c r="I617">
        <v>1807757.04</v>
      </c>
      <c r="J617">
        <v>295</v>
      </c>
      <c r="K617">
        <v>1444507.54</v>
      </c>
      <c r="L617">
        <v>265</v>
      </c>
      <c r="M617">
        <v>1161</v>
      </c>
      <c r="N617">
        <v>3208</v>
      </c>
      <c r="O617">
        <f t="shared" si="18"/>
        <v>2024</v>
      </c>
      <c r="P617">
        <f t="shared" si="19"/>
        <v>11</v>
      </c>
      <c r="Q617" t="str">
        <f>_xlfn.XLOOKUP(B617,全店核心数据_bymonth!A:A,全店核心数据_bymonth!AN:AN)</f>
        <v>BU25</v>
      </c>
    </row>
    <row r="618" spans="1:17" x14ac:dyDescent="0.3">
      <c r="A618" t="s">
        <v>110</v>
      </c>
      <c r="B618" s="16">
        <v>45597</v>
      </c>
      <c r="C618" t="s">
        <v>3</v>
      </c>
      <c r="D618" t="s">
        <v>128</v>
      </c>
      <c r="E618">
        <v>37999</v>
      </c>
      <c r="F618">
        <v>32660</v>
      </c>
      <c r="G618">
        <v>1731</v>
      </c>
      <c r="H618">
        <v>426</v>
      </c>
      <c r="I618">
        <v>2385859.67</v>
      </c>
      <c r="J618">
        <v>480</v>
      </c>
      <c r="K618">
        <v>1756244.17</v>
      </c>
      <c r="L618">
        <v>411</v>
      </c>
      <c r="M618">
        <v>9246</v>
      </c>
      <c r="N618">
        <v>34480</v>
      </c>
      <c r="O618">
        <f t="shared" si="18"/>
        <v>2024</v>
      </c>
      <c r="P618">
        <f t="shared" si="19"/>
        <v>11</v>
      </c>
      <c r="Q618" t="str">
        <f>_xlfn.XLOOKUP(B618,全店核心数据_bymonth!A:A,全店核心数据_bymonth!AN:AN)</f>
        <v>BU25</v>
      </c>
    </row>
    <row r="619" spans="1:17" x14ac:dyDescent="0.3">
      <c r="A619" t="s">
        <v>110</v>
      </c>
      <c r="B619" s="16">
        <v>45597</v>
      </c>
      <c r="C619" t="s">
        <v>3</v>
      </c>
      <c r="D619" t="s">
        <v>127</v>
      </c>
      <c r="E619">
        <v>108121</v>
      </c>
      <c r="F619">
        <v>92834</v>
      </c>
      <c r="G619">
        <v>1977</v>
      </c>
      <c r="H619">
        <v>869</v>
      </c>
      <c r="I619">
        <v>2047798.85</v>
      </c>
      <c r="J619">
        <v>329</v>
      </c>
      <c r="K619">
        <v>1195844.8500000001</v>
      </c>
      <c r="L619">
        <v>257</v>
      </c>
      <c r="M619">
        <v>17184</v>
      </c>
      <c r="N619">
        <v>84511</v>
      </c>
      <c r="O619">
        <f t="shared" si="18"/>
        <v>2024</v>
      </c>
      <c r="P619">
        <f t="shared" si="19"/>
        <v>11</v>
      </c>
      <c r="Q619" t="str">
        <f>_xlfn.XLOOKUP(B619,全店核心数据_bymonth!A:A,全店核心数据_bymonth!AN:AN)</f>
        <v>BU25</v>
      </c>
    </row>
    <row r="620" spans="1:17" x14ac:dyDescent="0.3">
      <c r="A620" t="s">
        <v>110</v>
      </c>
      <c r="B620" s="16">
        <v>45597</v>
      </c>
      <c r="C620" t="s">
        <v>3</v>
      </c>
      <c r="D620" t="s">
        <v>126</v>
      </c>
      <c r="E620">
        <v>3837</v>
      </c>
      <c r="F620">
        <v>2936</v>
      </c>
      <c r="G620">
        <v>160</v>
      </c>
      <c r="H620">
        <v>73</v>
      </c>
      <c r="I620">
        <v>239216.65</v>
      </c>
      <c r="J620">
        <v>39</v>
      </c>
      <c r="K620">
        <v>123489.15</v>
      </c>
      <c r="L620">
        <v>25</v>
      </c>
      <c r="M620">
        <v>600</v>
      </c>
      <c r="N620">
        <v>3726</v>
      </c>
      <c r="O620">
        <f t="shared" si="18"/>
        <v>2024</v>
      </c>
      <c r="P620">
        <f t="shared" si="19"/>
        <v>11</v>
      </c>
      <c r="Q620" t="str">
        <f>_xlfn.XLOOKUP(B620,全店核心数据_bymonth!A:A,全店核心数据_bymonth!AN:AN)</f>
        <v>BU25</v>
      </c>
    </row>
    <row r="621" spans="1:17" x14ac:dyDescent="0.3">
      <c r="A621" t="s">
        <v>110</v>
      </c>
      <c r="B621" s="16">
        <v>45597</v>
      </c>
      <c r="C621" t="s">
        <v>3</v>
      </c>
      <c r="D621" t="s">
        <v>125</v>
      </c>
      <c r="E621">
        <v>129</v>
      </c>
      <c r="F621">
        <v>65</v>
      </c>
      <c r="G621">
        <v>10</v>
      </c>
      <c r="H621">
        <v>6</v>
      </c>
      <c r="I621">
        <v>9395</v>
      </c>
      <c r="J621">
        <v>3</v>
      </c>
      <c r="K621">
        <v>5895</v>
      </c>
      <c r="L621">
        <v>3</v>
      </c>
      <c r="M621">
        <v>36</v>
      </c>
      <c r="N621">
        <v>124</v>
      </c>
      <c r="O621">
        <f t="shared" si="18"/>
        <v>2024</v>
      </c>
      <c r="P621">
        <f t="shared" si="19"/>
        <v>11</v>
      </c>
      <c r="Q621" t="str">
        <f>_xlfn.XLOOKUP(B621,全店核心数据_bymonth!A:A,全店核心数据_bymonth!AN:AN)</f>
        <v>BU25</v>
      </c>
    </row>
    <row r="622" spans="1:17" x14ac:dyDescent="0.3">
      <c r="A622" t="s">
        <v>110</v>
      </c>
      <c r="B622" s="16">
        <v>45597</v>
      </c>
      <c r="C622" t="s">
        <v>3</v>
      </c>
      <c r="D622" t="s">
        <v>123</v>
      </c>
      <c r="E622">
        <v>6107</v>
      </c>
      <c r="F622">
        <v>3089</v>
      </c>
      <c r="G622">
        <v>375</v>
      </c>
      <c r="H622">
        <v>129</v>
      </c>
      <c r="I622">
        <v>528558.77</v>
      </c>
      <c r="J622">
        <v>110</v>
      </c>
      <c r="K622">
        <v>404062.4</v>
      </c>
      <c r="L622">
        <v>93</v>
      </c>
      <c r="M622">
        <v>2170</v>
      </c>
      <c r="N622">
        <v>5473</v>
      </c>
      <c r="O622">
        <f t="shared" si="18"/>
        <v>2024</v>
      </c>
      <c r="P622">
        <f t="shared" si="19"/>
        <v>11</v>
      </c>
      <c r="Q622" t="str">
        <f>_xlfn.XLOOKUP(B622,全店核心数据_bymonth!A:A,全店核心数据_bymonth!AN:AN)</f>
        <v>BU25</v>
      </c>
    </row>
    <row r="623" spans="1:17" x14ac:dyDescent="0.3">
      <c r="A623" t="s">
        <v>110</v>
      </c>
      <c r="B623" s="16">
        <v>45597</v>
      </c>
      <c r="C623" t="s">
        <v>3</v>
      </c>
      <c r="D623" t="s">
        <v>122</v>
      </c>
      <c r="E623">
        <v>9</v>
      </c>
      <c r="F623">
        <v>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8</v>
      </c>
      <c r="O623">
        <f t="shared" si="18"/>
        <v>2024</v>
      </c>
      <c r="P623">
        <f t="shared" si="19"/>
        <v>11</v>
      </c>
      <c r="Q623" t="str">
        <f>_xlfn.XLOOKUP(B623,全店核心数据_bymonth!A:A,全店核心数据_bymonth!AN:AN)</f>
        <v>BU25</v>
      </c>
    </row>
    <row r="624" spans="1:17" x14ac:dyDescent="0.3">
      <c r="A624" t="s">
        <v>110</v>
      </c>
      <c r="B624" s="16">
        <v>45597</v>
      </c>
      <c r="C624" t="s">
        <v>3</v>
      </c>
      <c r="D624" t="s">
        <v>121</v>
      </c>
      <c r="E624">
        <v>85</v>
      </c>
      <c r="F624">
        <v>79</v>
      </c>
      <c r="G624">
        <v>0</v>
      </c>
      <c r="H624">
        <v>0</v>
      </c>
      <c r="I624">
        <v>5250</v>
      </c>
      <c r="J624">
        <v>1</v>
      </c>
      <c r="K624">
        <v>1750</v>
      </c>
      <c r="L624">
        <v>1</v>
      </c>
      <c r="M624">
        <v>12</v>
      </c>
      <c r="N624">
        <v>77</v>
      </c>
      <c r="O624">
        <f t="shared" si="18"/>
        <v>2024</v>
      </c>
      <c r="P624">
        <f t="shared" si="19"/>
        <v>11</v>
      </c>
      <c r="Q624" t="str">
        <f>_xlfn.XLOOKUP(B624,全店核心数据_bymonth!A:A,全店核心数据_bymonth!AN:AN)</f>
        <v>BU25</v>
      </c>
    </row>
    <row r="625" spans="1:17" x14ac:dyDescent="0.3">
      <c r="A625" t="s">
        <v>110</v>
      </c>
      <c r="B625" s="16">
        <v>45597</v>
      </c>
      <c r="C625" t="s">
        <v>3</v>
      </c>
      <c r="D625" t="s">
        <v>119</v>
      </c>
      <c r="E625">
        <v>5970</v>
      </c>
      <c r="F625">
        <v>2697</v>
      </c>
      <c r="G625">
        <v>579</v>
      </c>
      <c r="H625">
        <v>180</v>
      </c>
      <c r="I625">
        <v>2865118.39</v>
      </c>
      <c r="J625">
        <v>364</v>
      </c>
      <c r="K625">
        <v>1735339.89</v>
      </c>
      <c r="L625">
        <v>315</v>
      </c>
      <c r="M625">
        <v>1652</v>
      </c>
      <c r="N625">
        <v>5567</v>
      </c>
      <c r="O625">
        <f t="shared" si="18"/>
        <v>2024</v>
      </c>
      <c r="P625">
        <f t="shared" si="19"/>
        <v>11</v>
      </c>
      <c r="Q625" t="str">
        <f>_xlfn.XLOOKUP(B625,全店核心数据_bymonth!A:A,全店核心数据_bymonth!AN:AN)</f>
        <v>BU25</v>
      </c>
    </row>
    <row r="626" spans="1:17" x14ac:dyDescent="0.3">
      <c r="A626" t="s">
        <v>110</v>
      </c>
      <c r="B626" s="16">
        <v>45597</v>
      </c>
      <c r="C626" t="s">
        <v>3</v>
      </c>
      <c r="D626" t="s">
        <v>252</v>
      </c>
      <c r="E626">
        <v>61</v>
      </c>
      <c r="F626">
        <v>34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</v>
      </c>
      <c r="N626">
        <v>61</v>
      </c>
      <c r="O626">
        <f t="shared" si="18"/>
        <v>2024</v>
      </c>
      <c r="P626">
        <f t="shared" si="19"/>
        <v>11</v>
      </c>
      <c r="Q626" t="str">
        <f>_xlfn.XLOOKUP(B626,全店核心数据_bymonth!A:A,全店核心数据_bymonth!AN:AN)</f>
        <v>BU25</v>
      </c>
    </row>
    <row r="627" spans="1:17" x14ac:dyDescent="0.3">
      <c r="A627" t="s">
        <v>110</v>
      </c>
      <c r="B627" s="16">
        <v>45597</v>
      </c>
      <c r="C627" t="s">
        <v>3</v>
      </c>
      <c r="D627" t="s">
        <v>117</v>
      </c>
      <c r="E627">
        <v>343</v>
      </c>
      <c r="F627">
        <v>307</v>
      </c>
      <c r="G627">
        <v>8</v>
      </c>
      <c r="H627">
        <v>3</v>
      </c>
      <c r="I627">
        <v>13400</v>
      </c>
      <c r="J627">
        <v>2</v>
      </c>
      <c r="K627">
        <v>13400</v>
      </c>
      <c r="L627">
        <v>2</v>
      </c>
      <c r="M627">
        <v>41</v>
      </c>
      <c r="N627">
        <v>343</v>
      </c>
      <c r="O627">
        <f t="shared" si="18"/>
        <v>2024</v>
      </c>
      <c r="P627">
        <f t="shared" si="19"/>
        <v>11</v>
      </c>
      <c r="Q627" t="str">
        <f>_xlfn.XLOOKUP(B627,全店核心数据_bymonth!A:A,全店核心数据_bymonth!AN:AN)</f>
        <v>BU25</v>
      </c>
    </row>
    <row r="628" spans="1:17" x14ac:dyDescent="0.3">
      <c r="A628" t="s">
        <v>110</v>
      </c>
      <c r="B628" s="16">
        <v>45597</v>
      </c>
      <c r="C628" t="s">
        <v>3</v>
      </c>
      <c r="D628" t="s">
        <v>115</v>
      </c>
      <c r="E628">
        <v>48</v>
      </c>
      <c r="F628">
        <v>35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5</v>
      </c>
      <c r="N628">
        <v>47</v>
      </c>
      <c r="O628">
        <f t="shared" si="18"/>
        <v>2024</v>
      </c>
      <c r="P628">
        <f t="shared" si="19"/>
        <v>11</v>
      </c>
      <c r="Q628" t="str">
        <f>_xlfn.XLOOKUP(B628,全店核心数据_bymonth!A:A,全店核心数据_bymonth!AN:AN)</f>
        <v>BU25</v>
      </c>
    </row>
    <row r="629" spans="1:17" x14ac:dyDescent="0.3">
      <c r="A629" t="s">
        <v>110</v>
      </c>
      <c r="B629" s="16">
        <v>45597</v>
      </c>
      <c r="C629" t="s">
        <v>3</v>
      </c>
      <c r="D629" t="s">
        <v>114</v>
      </c>
      <c r="E629">
        <v>2386</v>
      </c>
      <c r="F629">
        <v>1385</v>
      </c>
      <c r="G629">
        <v>56</v>
      </c>
      <c r="H629">
        <v>60</v>
      </c>
      <c r="I629">
        <v>51535</v>
      </c>
      <c r="J629">
        <v>16</v>
      </c>
      <c r="K629">
        <v>41830</v>
      </c>
      <c r="L629">
        <v>14</v>
      </c>
      <c r="M629">
        <v>224</v>
      </c>
      <c r="N629">
        <v>2325</v>
      </c>
      <c r="O629">
        <f t="shared" si="18"/>
        <v>2024</v>
      </c>
      <c r="P629">
        <f t="shared" si="19"/>
        <v>11</v>
      </c>
      <c r="Q629" t="str">
        <f>_xlfn.XLOOKUP(B629,全店核心数据_bymonth!A:A,全店核心数据_bymonth!AN:AN)</f>
        <v>BU25</v>
      </c>
    </row>
    <row r="630" spans="1:17" x14ac:dyDescent="0.3">
      <c r="A630" t="s">
        <v>110</v>
      </c>
      <c r="B630" s="16">
        <v>45597</v>
      </c>
      <c r="C630" t="s">
        <v>3</v>
      </c>
      <c r="D630" t="s">
        <v>113</v>
      </c>
      <c r="E630">
        <v>2562</v>
      </c>
      <c r="F630">
        <v>1771</v>
      </c>
      <c r="G630">
        <v>82</v>
      </c>
      <c r="H630">
        <v>33</v>
      </c>
      <c r="I630">
        <v>133147</v>
      </c>
      <c r="J630">
        <v>14</v>
      </c>
      <c r="K630">
        <v>91197</v>
      </c>
      <c r="L630">
        <v>10</v>
      </c>
      <c r="M630">
        <v>1855</v>
      </c>
      <c r="N630">
        <v>1499</v>
      </c>
      <c r="O630">
        <f t="shared" si="18"/>
        <v>2024</v>
      </c>
      <c r="P630">
        <f t="shared" si="19"/>
        <v>11</v>
      </c>
      <c r="Q630" t="str">
        <f>_xlfn.XLOOKUP(B630,全店核心数据_bymonth!A:A,全店核心数据_bymonth!AN:AN)</f>
        <v>BU25</v>
      </c>
    </row>
    <row r="631" spans="1:17" x14ac:dyDescent="0.3">
      <c r="A631" t="s">
        <v>110</v>
      </c>
      <c r="B631" s="16">
        <v>45597</v>
      </c>
      <c r="C631" t="s">
        <v>3</v>
      </c>
      <c r="D631" t="s">
        <v>112</v>
      </c>
      <c r="E631">
        <v>301</v>
      </c>
      <c r="F631">
        <v>130</v>
      </c>
      <c r="G631">
        <v>37</v>
      </c>
      <c r="H631">
        <v>1</v>
      </c>
      <c r="I631">
        <v>321104.28000000003</v>
      </c>
      <c r="J631">
        <v>76</v>
      </c>
      <c r="K631">
        <v>282794.78000000003</v>
      </c>
      <c r="L631">
        <v>73</v>
      </c>
      <c r="M631">
        <v>10</v>
      </c>
      <c r="N631">
        <v>301</v>
      </c>
      <c r="O631">
        <f t="shared" si="18"/>
        <v>2024</v>
      </c>
      <c r="P631">
        <f t="shared" si="19"/>
        <v>11</v>
      </c>
      <c r="Q631" t="str">
        <f>_xlfn.XLOOKUP(B631,全店核心数据_bymonth!A:A,全店核心数据_bymonth!AN:AN)</f>
        <v>BU25</v>
      </c>
    </row>
    <row r="632" spans="1:17" x14ac:dyDescent="0.3">
      <c r="A632" t="s">
        <v>110</v>
      </c>
      <c r="B632" s="16">
        <v>45597</v>
      </c>
      <c r="C632" t="s">
        <v>3</v>
      </c>
      <c r="D632" t="s">
        <v>111</v>
      </c>
      <c r="E632">
        <v>9</v>
      </c>
      <c r="F632">
        <v>6</v>
      </c>
      <c r="G632">
        <v>1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2</v>
      </c>
      <c r="N632">
        <v>8</v>
      </c>
      <c r="O632">
        <f t="shared" si="18"/>
        <v>2024</v>
      </c>
      <c r="P632">
        <f t="shared" si="19"/>
        <v>11</v>
      </c>
      <c r="Q632" t="str">
        <f>_xlfn.XLOOKUP(B632,全店核心数据_bymonth!A:A,全店核心数据_bymonth!AN:AN)</f>
        <v>BU25</v>
      </c>
    </row>
    <row r="633" spans="1:17" x14ac:dyDescent="0.3">
      <c r="A633" t="s">
        <v>110</v>
      </c>
      <c r="B633" s="16">
        <v>45231</v>
      </c>
      <c r="C633" t="s">
        <v>2</v>
      </c>
      <c r="D633" t="s">
        <v>4</v>
      </c>
      <c r="E633">
        <v>12414</v>
      </c>
      <c r="F633">
        <v>10721</v>
      </c>
      <c r="G633">
        <v>73</v>
      </c>
      <c r="H633">
        <v>41</v>
      </c>
      <c r="I633">
        <v>194334</v>
      </c>
      <c r="J633">
        <v>40</v>
      </c>
      <c r="K633">
        <v>180714</v>
      </c>
      <c r="L633">
        <v>36</v>
      </c>
      <c r="N633">
        <v>12095</v>
      </c>
      <c r="O633">
        <f t="shared" si="18"/>
        <v>2023</v>
      </c>
      <c r="P633">
        <f t="shared" si="19"/>
        <v>11</v>
      </c>
      <c r="Q633" t="str">
        <f>_xlfn.XLOOKUP(B633,全店核心数据_bymonth!A:A,全店核心数据_bymonth!AN:AN)</f>
        <v>BU24</v>
      </c>
    </row>
    <row r="634" spans="1:17" x14ac:dyDescent="0.3">
      <c r="A634" t="s">
        <v>110</v>
      </c>
      <c r="B634" s="16">
        <v>45231</v>
      </c>
      <c r="C634" t="s">
        <v>2</v>
      </c>
      <c r="D634" t="s">
        <v>57</v>
      </c>
      <c r="E634">
        <v>204451</v>
      </c>
      <c r="F634">
        <v>181809</v>
      </c>
      <c r="G634">
        <v>3547</v>
      </c>
      <c r="H634">
        <v>1862</v>
      </c>
      <c r="I634">
        <v>5347865.6399999997</v>
      </c>
      <c r="J634">
        <v>877</v>
      </c>
      <c r="K634">
        <v>3707687.02</v>
      </c>
      <c r="L634">
        <v>741</v>
      </c>
      <c r="N634">
        <v>203775</v>
      </c>
      <c r="O634">
        <f t="shared" si="18"/>
        <v>2023</v>
      </c>
      <c r="P634">
        <f t="shared" si="19"/>
        <v>11</v>
      </c>
      <c r="Q634" t="str">
        <f>_xlfn.XLOOKUP(B634,全店核心数据_bymonth!A:A,全店核心数据_bymonth!AN:AN)</f>
        <v>BU24</v>
      </c>
    </row>
    <row r="635" spans="1:17" x14ac:dyDescent="0.3">
      <c r="A635" t="s">
        <v>110</v>
      </c>
      <c r="B635" s="16">
        <v>45231</v>
      </c>
      <c r="C635" t="s">
        <v>2</v>
      </c>
      <c r="D635" t="s">
        <v>52</v>
      </c>
      <c r="E635">
        <v>46817</v>
      </c>
      <c r="F635">
        <v>42167</v>
      </c>
      <c r="G635">
        <v>473</v>
      </c>
      <c r="H635">
        <v>180</v>
      </c>
      <c r="I635">
        <v>607304.43000000005</v>
      </c>
      <c r="J635">
        <v>107</v>
      </c>
      <c r="K635">
        <v>498119.43</v>
      </c>
      <c r="L635">
        <v>97</v>
      </c>
      <c r="N635">
        <v>14483</v>
      </c>
      <c r="O635">
        <f t="shared" si="18"/>
        <v>2023</v>
      </c>
      <c r="P635">
        <f t="shared" si="19"/>
        <v>11</v>
      </c>
      <c r="Q635" t="str">
        <f>_xlfn.XLOOKUP(B635,全店核心数据_bymonth!A:A,全店核心数据_bymonth!AN:AN)</f>
        <v>BU24</v>
      </c>
    </row>
    <row r="636" spans="1:17" x14ac:dyDescent="0.3">
      <c r="A636" t="s">
        <v>110</v>
      </c>
      <c r="B636" s="16">
        <v>45231</v>
      </c>
      <c r="C636" t="s">
        <v>2</v>
      </c>
      <c r="D636" t="s">
        <v>55</v>
      </c>
      <c r="E636">
        <v>15710</v>
      </c>
      <c r="F636">
        <v>14530</v>
      </c>
      <c r="G636">
        <v>5</v>
      </c>
      <c r="H636">
        <v>1</v>
      </c>
      <c r="I636">
        <v>0</v>
      </c>
      <c r="J636">
        <v>0</v>
      </c>
      <c r="K636">
        <v>0</v>
      </c>
      <c r="L636">
        <v>0</v>
      </c>
      <c r="N636">
        <v>2336</v>
      </c>
      <c r="O636">
        <f t="shared" si="18"/>
        <v>2023</v>
      </c>
      <c r="P636">
        <f t="shared" si="19"/>
        <v>11</v>
      </c>
      <c r="Q636" t="str">
        <f>_xlfn.XLOOKUP(B636,全店核心数据_bymonth!A:A,全店核心数据_bymonth!AN:AN)</f>
        <v>BU24</v>
      </c>
    </row>
    <row r="637" spans="1:17" x14ac:dyDescent="0.3">
      <c r="A637" t="s">
        <v>110</v>
      </c>
      <c r="B637" s="16">
        <v>45231</v>
      </c>
      <c r="C637" t="s">
        <v>3</v>
      </c>
      <c r="D637" t="s">
        <v>157</v>
      </c>
      <c r="E637">
        <v>1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N637">
        <v>1</v>
      </c>
      <c r="O637">
        <f t="shared" si="18"/>
        <v>2023</v>
      </c>
      <c r="P637">
        <f t="shared" si="19"/>
        <v>11</v>
      </c>
      <c r="Q637" t="str">
        <f>_xlfn.XLOOKUP(B637,全店核心数据_bymonth!A:A,全店核心数据_bymonth!AN:AN)</f>
        <v>BU24</v>
      </c>
    </row>
    <row r="638" spans="1:17" x14ac:dyDescent="0.3">
      <c r="A638" t="s">
        <v>110</v>
      </c>
      <c r="B638" s="16">
        <v>45231</v>
      </c>
      <c r="C638" t="s">
        <v>3</v>
      </c>
      <c r="D638" t="s">
        <v>156</v>
      </c>
      <c r="E638">
        <v>2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N638">
        <v>1</v>
      </c>
      <c r="O638">
        <f t="shared" si="18"/>
        <v>2023</v>
      </c>
      <c r="P638">
        <f t="shared" si="19"/>
        <v>11</v>
      </c>
      <c r="Q638" t="str">
        <f>_xlfn.XLOOKUP(B638,全店核心数据_bymonth!A:A,全店核心数据_bymonth!AN:AN)</f>
        <v>BU24</v>
      </c>
    </row>
    <row r="639" spans="1:17" x14ac:dyDescent="0.3">
      <c r="A639" t="s">
        <v>110</v>
      </c>
      <c r="B639" s="16">
        <v>45231</v>
      </c>
      <c r="C639" t="s">
        <v>3</v>
      </c>
      <c r="D639" t="s">
        <v>155</v>
      </c>
      <c r="E639">
        <v>142</v>
      </c>
      <c r="F639">
        <v>108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N639">
        <v>142</v>
      </c>
      <c r="O639">
        <f t="shared" si="18"/>
        <v>2023</v>
      </c>
      <c r="P639">
        <f t="shared" si="19"/>
        <v>11</v>
      </c>
      <c r="Q639" t="str">
        <f>_xlfn.XLOOKUP(B639,全店核心数据_bymonth!A:A,全店核心数据_bymonth!AN:AN)</f>
        <v>BU24</v>
      </c>
    </row>
    <row r="640" spans="1:17" x14ac:dyDescent="0.3">
      <c r="A640" t="s">
        <v>110</v>
      </c>
      <c r="B640" s="16">
        <v>45231</v>
      </c>
      <c r="C640" t="s">
        <v>3</v>
      </c>
      <c r="D640" t="s">
        <v>154</v>
      </c>
      <c r="E640">
        <v>1643</v>
      </c>
      <c r="F640">
        <v>1510</v>
      </c>
      <c r="G640">
        <v>2</v>
      </c>
      <c r="H640">
        <v>3</v>
      </c>
      <c r="I640">
        <v>0</v>
      </c>
      <c r="J640">
        <v>0</v>
      </c>
      <c r="K640">
        <v>0</v>
      </c>
      <c r="L640">
        <v>0</v>
      </c>
      <c r="N640">
        <v>62</v>
      </c>
      <c r="O640">
        <f t="shared" si="18"/>
        <v>2023</v>
      </c>
      <c r="P640">
        <f t="shared" si="19"/>
        <v>11</v>
      </c>
      <c r="Q640" t="str">
        <f>_xlfn.XLOOKUP(B640,全店核心数据_bymonth!A:A,全店核心数据_bymonth!AN:AN)</f>
        <v>BU24</v>
      </c>
    </row>
    <row r="641" spans="1:17" x14ac:dyDescent="0.3">
      <c r="A641" t="s">
        <v>110</v>
      </c>
      <c r="B641" s="16">
        <v>45231</v>
      </c>
      <c r="C641" t="s">
        <v>3</v>
      </c>
      <c r="D641" t="s">
        <v>153</v>
      </c>
      <c r="E641">
        <v>7184</v>
      </c>
      <c r="F641">
        <v>3521</v>
      </c>
      <c r="G641">
        <v>834</v>
      </c>
      <c r="H641">
        <v>99</v>
      </c>
      <c r="I641">
        <v>6447199.8600000003</v>
      </c>
      <c r="J641">
        <v>1081</v>
      </c>
      <c r="K641">
        <v>5185563.75</v>
      </c>
      <c r="L641">
        <v>1032</v>
      </c>
      <c r="N641">
        <v>6967</v>
      </c>
      <c r="O641">
        <f t="shared" si="18"/>
        <v>2023</v>
      </c>
      <c r="P641">
        <f t="shared" si="19"/>
        <v>11</v>
      </c>
      <c r="Q641" t="str">
        <f>_xlfn.XLOOKUP(B641,全店核心数据_bymonth!A:A,全店核心数据_bymonth!AN:AN)</f>
        <v>BU24</v>
      </c>
    </row>
    <row r="642" spans="1:17" x14ac:dyDescent="0.3">
      <c r="A642" t="s">
        <v>110</v>
      </c>
      <c r="B642" s="16">
        <v>45231</v>
      </c>
      <c r="C642" t="s">
        <v>3</v>
      </c>
      <c r="D642" t="s">
        <v>152</v>
      </c>
      <c r="E642">
        <v>218</v>
      </c>
      <c r="F642">
        <v>133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N642">
        <v>192</v>
      </c>
      <c r="O642">
        <f t="shared" ref="O642:O705" si="20">YEAR(B642)</f>
        <v>2023</v>
      </c>
      <c r="P642">
        <f t="shared" ref="P642:P705" si="21">MONTH(B642)</f>
        <v>11</v>
      </c>
      <c r="Q642" t="str">
        <f>_xlfn.XLOOKUP(B642,全店核心数据_bymonth!A:A,全店核心数据_bymonth!AN:AN)</f>
        <v>BU24</v>
      </c>
    </row>
    <row r="643" spans="1:17" x14ac:dyDescent="0.3">
      <c r="A643" t="s">
        <v>110</v>
      </c>
      <c r="B643" s="16">
        <v>45231</v>
      </c>
      <c r="C643" t="s">
        <v>3</v>
      </c>
      <c r="D643" t="s">
        <v>151</v>
      </c>
      <c r="E643">
        <v>28</v>
      </c>
      <c r="F643">
        <v>14</v>
      </c>
      <c r="G643">
        <v>0</v>
      </c>
      <c r="H643">
        <v>2</v>
      </c>
      <c r="I643">
        <v>0</v>
      </c>
      <c r="J643">
        <v>0</v>
      </c>
      <c r="K643">
        <v>0</v>
      </c>
      <c r="L643">
        <v>0</v>
      </c>
      <c r="N643">
        <v>28</v>
      </c>
      <c r="O643">
        <f t="shared" si="20"/>
        <v>2023</v>
      </c>
      <c r="P643">
        <f t="shared" si="21"/>
        <v>11</v>
      </c>
      <c r="Q643" t="str">
        <f>_xlfn.XLOOKUP(B643,全店核心数据_bymonth!A:A,全店核心数据_bymonth!AN:AN)</f>
        <v>BU24</v>
      </c>
    </row>
    <row r="644" spans="1:17" x14ac:dyDescent="0.3">
      <c r="A644" t="s">
        <v>110</v>
      </c>
      <c r="B644" s="16">
        <v>45231</v>
      </c>
      <c r="C644" t="s">
        <v>3</v>
      </c>
      <c r="D644" t="s">
        <v>149</v>
      </c>
      <c r="E644">
        <v>717</v>
      </c>
      <c r="F644">
        <v>362</v>
      </c>
      <c r="G644">
        <v>19</v>
      </c>
      <c r="H644">
        <v>7</v>
      </c>
      <c r="I644">
        <v>57983</v>
      </c>
      <c r="J644">
        <v>11</v>
      </c>
      <c r="K644">
        <v>46876.5</v>
      </c>
      <c r="L644">
        <v>9</v>
      </c>
      <c r="N644">
        <v>567</v>
      </c>
      <c r="O644">
        <f t="shared" si="20"/>
        <v>2023</v>
      </c>
      <c r="P644">
        <f t="shared" si="21"/>
        <v>11</v>
      </c>
      <c r="Q644" t="str">
        <f>_xlfn.XLOOKUP(B644,全店核心数据_bymonth!A:A,全店核心数据_bymonth!AN:AN)</f>
        <v>BU24</v>
      </c>
    </row>
    <row r="645" spans="1:17" x14ac:dyDescent="0.3">
      <c r="A645" t="s">
        <v>110</v>
      </c>
      <c r="B645" s="16">
        <v>45231</v>
      </c>
      <c r="C645" t="s">
        <v>3</v>
      </c>
      <c r="D645" t="s">
        <v>148</v>
      </c>
      <c r="E645">
        <v>155</v>
      </c>
      <c r="F645">
        <v>82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N645">
        <v>135</v>
      </c>
      <c r="O645">
        <f t="shared" si="20"/>
        <v>2023</v>
      </c>
      <c r="P645">
        <f t="shared" si="21"/>
        <v>11</v>
      </c>
      <c r="Q645" t="str">
        <f>_xlfn.XLOOKUP(B645,全店核心数据_bymonth!A:A,全店核心数据_bymonth!AN:AN)</f>
        <v>BU24</v>
      </c>
    </row>
    <row r="646" spans="1:17" x14ac:dyDescent="0.3">
      <c r="A646" t="s">
        <v>110</v>
      </c>
      <c r="B646" s="16">
        <v>45231</v>
      </c>
      <c r="C646" t="s">
        <v>3</v>
      </c>
      <c r="D646" t="s">
        <v>146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N646">
        <v>1</v>
      </c>
      <c r="O646">
        <f t="shared" si="20"/>
        <v>2023</v>
      </c>
      <c r="P646">
        <f t="shared" si="21"/>
        <v>11</v>
      </c>
      <c r="Q646" t="str">
        <f>_xlfn.XLOOKUP(B646,全店核心数据_bymonth!A:A,全店核心数据_bymonth!AN:AN)</f>
        <v>BU24</v>
      </c>
    </row>
    <row r="647" spans="1:17" x14ac:dyDescent="0.3">
      <c r="A647" t="s">
        <v>110</v>
      </c>
      <c r="B647" s="16">
        <v>45231</v>
      </c>
      <c r="C647" t="s">
        <v>3</v>
      </c>
      <c r="D647" t="s">
        <v>251</v>
      </c>
      <c r="E647">
        <v>33188</v>
      </c>
      <c r="F647">
        <v>30461</v>
      </c>
      <c r="G647">
        <v>148</v>
      </c>
      <c r="H647">
        <v>61</v>
      </c>
      <c r="I647">
        <v>419417.04</v>
      </c>
      <c r="J647">
        <v>87</v>
      </c>
      <c r="K647">
        <v>351798.04</v>
      </c>
      <c r="L647">
        <v>79</v>
      </c>
      <c r="N647">
        <v>5498</v>
      </c>
      <c r="O647">
        <f t="shared" si="20"/>
        <v>2023</v>
      </c>
      <c r="P647">
        <f t="shared" si="21"/>
        <v>11</v>
      </c>
      <c r="Q647" t="str">
        <f>_xlfn.XLOOKUP(B647,全店核心数据_bymonth!A:A,全店核心数据_bymonth!AN:AN)</f>
        <v>BU24</v>
      </c>
    </row>
    <row r="648" spans="1:17" x14ac:dyDescent="0.3">
      <c r="A648" t="s">
        <v>110</v>
      </c>
      <c r="B648" s="16">
        <v>45231</v>
      </c>
      <c r="C648" t="s">
        <v>3</v>
      </c>
      <c r="D648" t="s">
        <v>143</v>
      </c>
      <c r="E648">
        <v>106</v>
      </c>
      <c r="F648">
        <v>97</v>
      </c>
      <c r="G648">
        <v>3</v>
      </c>
      <c r="H648">
        <v>0</v>
      </c>
      <c r="I648">
        <v>3496.5</v>
      </c>
      <c r="J648">
        <v>1</v>
      </c>
      <c r="K648">
        <v>0</v>
      </c>
      <c r="L648">
        <v>0</v>
      </c>
      <c r="N648">
        <v>106</v>
      </c>
      <c r="O648">
        <f t="shared" si="20"/>
        <v>2023</v>
      </c>
      <c r="P648">
        <f t="shared" si="21"/>
        <v>11</v>
      </c>
      <c r="Q648" t="str">
        <f>_xlfn.XLOOKUP(B648,全店核心数据_bymonth!A:A,全店核心数据_bymonth!AN:AN)</f>
        <v>BU24</v>
      </c>
    </row>
    <row r="649" spans="1:17" x14ac:dyDescent="0.3">
      <c r="A649" t="s">
        <v>110</v>
      </c>
      <c r="B649" s="16">
        <v>45231</v>
      </c>
      <c r="C649" t="s">
        <v>3</v>
      </c>
      <c r="D649" t="s">
        <v>142</v>
      </c>
      <c r="E649">
        <v>295</v>
      </c>
      <c r="F649">
        <v>118</v>
      </c>
      <c r="G649">
        <v>2</v>
      </c>
      <c r="H649">
        <v>0</v>
      </c>
      <c r="I649">
        <v>22645</v>
      </c>
      <c r="J649">
        <v>6</v>
      </c>
      <c r="K649">
        <v>19957</v>
      </c>
      <c r="L649">
        <v>5</v>
      </c>
      <c r="N649">
        <v>295</v>
      </c>
      <c r="O649">
        <f t="shared" si="20"/>
        <v>2023</v>
      </c>
      <c r="P649">
        <f t="shared" si="21"/>
        <v>11</v>
      </c>
      <c r="Q649" t="str">
        <f>_xlfn.XLOOKUP(B649,全店核心数据_bymonth!A:A,全店核心数据_bymonth!AN:AN)</f>
        <v>BU24</v>
      </c>
    </row>
    <row r="650" spans="1:17" x14ac:dyDescent="0.3">
      <c r="A650" t="s">
        <v>110</v>
      </c>
      <c r="B650" s="16">
        <v>45231</v>
      </c>
      <c r="C650" t="s">
        <v>3</v>
      </c>
      <c r="D650" t="s">
        <v>141</v>
      </c>
      <c r="E650">
        <v>176</v>
      </c>
      <c r="F650">
        <v>174</v>
      </c>
      <c r="G650">
        <v>0</v>
      </c>
      <c r="H650">
        <v>1</v>
      </c>
      <c r="I650">
        <v>6847</v>
      </c>
      <c r="J650">
        <v>2</v>
      </c>
      <c r="K650">
        <v>6847</v>
      </c>
      <c r="L650">
        <v>2</v>
      </c>
      <c r="N650">
        <v>167</v>
      </c>
      <c r="O650">
        <f t="shared" si="20"/>
        <v>2023</v>
      </c>
      <c r="P650">
        <f t="shared" si="21"/>
        <v>11</v>
      </c>
      <c r="Q650" t="str">
        <f>_xlfn.XLOOKUP(B650,全店核心数据_bymonth!A:A,全店核心数据_bymonth!AN:AN)</f>
        <v>BU24</v>
      </c>
    </row>
    <row r="651" spans="1:17" x14ac:dyDescent="0.3">
      <c r="A651" t="s">
        <v>110</v>
      </c>
      <c r="B651" s="16">
        <v>45231</v>
      </c>
      <c r="C651" t="s">
        <v>3</v>
      </c>
      <c r="D651" t="s">
        <v>140</v>
      </c>
      <c r="E651">
        <v>270</v>
      </c>
      <c r="F651">
        <v>218</v>
      </c>
      <c r="G651">
        <v>37</v>
      </c>
      <c r="H651">
        <v>6</v>
      </c>
      <c r="I651">
        <v>157293</v>
      </c>
      <c r="J651">
        <v>27</v>
      </c>
      <c r="K651">
        <v>73498</v>
      </c>
      <c r="L651">
        <v>21</v>
      </c>
      <c r="N651">
        <v>244</v>
      </c>
      <c r="O651">
        <f t="shared" si="20"/>
        <v>2023</v>
      </c>
      <c r="P651">
        <f t="shared" si="21"/>
        <v>11</v>
      </c>
      <c r="Q651" t="str">
        <f>_xlfn.XLOOKUP(B651,全店核心数据_bymonth!A:A,全店核心数据_bymonth!AN:AN)</f>
        <v>BU24</v>
      </c>
    </row>
    <row r="652" spans="1:17" x14ac:dyDescent="0.3">
      <c r="A652" t="s">
        <v>110</v>
      </c>
      <c r="B652" s="16">
        <v>45231</v>
      </c>
      <c r="C652" t="s">
        <v>3</v>
      </c>
      <c r="D652" t="s">
        <v>139</v>
      </c>
      <c r="E652">
        <v>12224</v>
      </c>
      <c r="F652">
        <v>8265</v>
      </c>
      <c r="G652">
        <v>377</v>
      </c>
      <c r="H652">
        <v>124</v>
      </c>
      <c r="I652">
        <v>1541697.29</v>
      </c>
      <c r="J652">
        <v>237</v>
      </c>
      <c r="K652">
        <v>1204901.29</v>
      </c>
      <c r="L652">
        <v>229</v>
      </c>
      <c r="N652">
        <v>8125</v>
      </c>
      <c r="O652">
        <f t="shared" si="20"/>
        <v>2023</v>
      </c>
      <c r="P652">
        <f t="shared" si="21"/>
        <v>11</v>
      </c>
      <c r="Q652" t="str">
        <f>_xlfn.XLOOKUP(B652,全店核心数据_bymonth!A:A,全店核心数据_bymonth!AN:AN)</f>
        <v>BU24</v>
      </c>
    </row>
    <row r="653" spans="1:17" x14ac:dyDescent="0.3">
      <c r="A653" t="s">
        <v>110</v>
      </c>
      <c r="B653" s="16">
        <v>45231</v>
      </c>
      <c r="C653" t="s">
        <v>3</v>
      </c>
      <c r="D653" t="s">
        <v>187</v>
      </c>
      <c r="E653">
        <v>81</v>
      </c>
      <c r="F653">
        <v>61</v>
      </c>
      <c r="G653">
        <v>4</v>
      </c>
      <c r="H653">
        <v>0</v>
      </c>
      <c r="I653">
        <v>0</v>
      </c>
      <c r="J653">
        <v>0</v>
      </c>
      <c r="K653">
        <v>0</v>
      </c>
      <c r="L653">
        <v>0</v>
      </c>
      <c r="N653">
        <v>43</v>
      </c>
      <c r="O653">
        <f t="shared" si="20"/>
        <v>2023</v>
      </c>
      <c r="P653">
        <f t="shared" si="21"/>
        <v>11</v>
      </c>
      <c r="Q653" t="str">
        <f>_xlfn.XLOOKUP(B653,全店核心数据_bymonth!A:A,全店核心数据_bymonth!AN:AN)</f>
        <v>BU24</v>
      </c>
    </row>
    <row r="654" spans="1:17" x14ac:dyDescent="0.3">
      <c r="A654" t="s">
        <v>110</v>
      </c>
      <c r="B654" s="16">
        <v>45231</v>
      </c>
      <c r="C654" t="s">
        <v>3</v>
      </c>
      <c r="D654" t="s">
        <v>138</v>
      </c>
      <c r="E654">
        <v>5926</v>
      </c>
      <c r="F654">
        <v>4176</v>
      </c>
      <c r="G654">
        <v>134</v>
      </c>
      <c r="H654">
        <v>66</v>
      </c>
      <c r="I654">
        <v>222364.5</v>
      </c>
      <c r="J654">
        <v>41</v>
      </c>
      <c r="K654">
        <v>142627.5</v>
      </c>
      <c r="L654">
        <v>32</v>
      </c>
      <c r="N654">
        <v>5865</v>
      </c>
      <c r="O654">
        <f t="shared" si="20"/>
        <v>2023</v>
      </c>
      <c r="P654">
        <f t="shared" si="21"/>
        <v>11</v>
      </c>
      <c r="Q654" t="str">
        <f>_xlfn.XLOOKUP(B654,全店核心数据_bymonth!A:A,全店核心数据_bymonth!AN:AN)</f>
        <v>BU24</v>
      </c>
    </row>
    <row r="655" spans="1:17" x14ac:dyDescent="0.3">
      <c r="A655" t="s">
        <v>110</v>
      </c>
      <c r="B655" s="16">
        <v>45231</v>
      </c>
      <c r="C655" t="s">
        <v>3</v>
      </c>
      <c r="D655" t="s">
        <v>137</v>
      </c>
      <c r="E655">
        <v>113</v>
      </c>
      <c r="F655">
        <v>48</v>
      </c>
      <c r="G655">
        <v>9</v>
      </c>
      <c r="H655">
        <v>3</v>
      </c>
      <c r="I655">
        <v>19410</v>
      </c>
      <c r="J655">
        <v>4</v>
      </c>
      <c r="K655">
        <v>13496</v>
      </c>
      <c r="L655">
        <v>4</v>
      </c>
      <c r="N655">
        <v>113</v>
      </c>
      <c r="O655">
        <f t="shared" si="20"/>
        <v>2023</v>
      </c>
      <c r="P655">
        <f t="shared" si="21"/>
        <v>11</v>
      </c>
      <c r="Q655" t="str">
        <f>_xlfn.XLOOKUP(B655,全店核心数据_bymonth!A:A,全店核心数据_bymonth!AN:AN)</f>
        <v>BU24</v>
      </c>
    </row>
    <row r="656" spans="1:17" x14ac:dyDescent="0.3">
      <c r="A656" t="s">
        <v>110</v>
      </c>
      <c r="B656" s="16">
        <v>45231</v>
      </c>
      <c r="C656" t="s">
        <v>3</v>
      </c>
      <c r="D656" t="s">
        <v>135</v>
      </c>
      <c r="E656">
        <v>5</v>
      </c>
      <c r="F656">
        <v>4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N656">
        <v>5</v>
      </c>
      <c r="O656">
        <f t="shared" si="20"/>
        <v>2023</v>
      </c>
      <c r="P656">
        <f t="shared" si="21"/>
        <v>11</v>
      </c>
      <c r="Q656" t="str">
        <f>_xlfn.XLOOKUP(B656,全店核心数据_bymonth!A:A,全店核心数据_bymonth!AN:AN)</f>
        <v>BU24</v>
      </c>
    </row>
    <row r="657" spans="1:17" x14ac:dyDescent="0.3">
      <c r="A657" t="s">
        <v>110</v>
      </c>
      <c r="B657" s="16">
        <v>45231</v>
      </c>
      <c r="C657" t="s">
        <v>3</v>
      </c>
      <c r="D657" t="s">
        <v>133</v>
      </c>
      <c r="E657">
        <v>600</v>
      </c>
      <c r="F657">
        <v>368</v>
      </c>
      <c r="G657">
        <v>64</v>
      </c>
      <c r="H657">
        <v>10</v>
      </c>
      <c r="I657">
        <v>383093.09</v>
      </c>
      <c r="J657">
        <v>45</v>
      </c>
      <c r="K657">
        <v>146712.09</v>
      </c>
      <c r="L657">
        <v>38</v>
      </c>
      <c r="N657">
        <v>493</v>
      </c>
      <c r="O657">
        <f t="shared" si="20"/>
        <v>2023</v>
      </c>
      <c r="P657">
        <f t="shared" si="21"/>
        <v>11</v>
      </c>
      <c r="Q657" t="str">
        <f>_xlfn.XLOOKUP(B657,全店核心数据_bymonth!A:A,全店核心数据_bymonth!AN:AN)</f>
        <v>BU24</v>
      </c>
    </row>
    <row r="658" spans="1:17" x14ac:dyDescent="0.3">
      <c r="A658" t="s">
        <v>110</v>
      </c>
      <c r="B658" s="16">
        <v>45231</v>
      </c>
      <c r="C658" t="s">
        <v>3</v>
      </c>
      <c r="D658" t="s">
        <v>132</v>
      </c>
      <c r="E658">
        <v>369</v>
      </c>
      <c r="F658">
        <v>292</v>
      </c>
      <c r="G658">
        <v>4</v>
      </c>
      <c r="H658">
        <v>11</v>
      </c>
      <c r="I658">
        <v>0</v>
      </c>
      <c r="J658">
        <v>0</v>
      </c>
      <c r="K658">
        <v>0</v>
      </c>
      <c r="L658">
        <v>0</v>
      </c>
      <c r="N658">
        <v>369</v>
      </c>
      <c r="O658">
        <f t="shared" si="20"/>
        <v>2023</v>
      </c>
      <c r="P658">
        <f t="shared" si="21"/>
        <v>11</v>
      </c>
      <c r="Q658" t="str">
        <f>_xlfn.XLOOKUP(B658,全店核心数据_bymonth!A:A,全店核心数据_bymonth!AN:AN)</f>
        <v>BU24</v>
      </c>
    </row>
    <row r="659" spans="1:17" x14ac:dyDescent="0.3">
      <c r="A659" t="s">
        <v>110</v>
      </c>
      <c r="B659" s="16">
        <v>45231</v>
      </c>
      <c r="C659" t="s">
        <v>3</v>
      </c>
      <c r="D659" t="s">
        <v>130</v>
      </c>
      <c r="E659">
        <v>2224</v>
      </c>
      <c r="F659">
        <v>894</v>
      </c>
      <c r="G659">
        <v>286</v>
      </c>
      <c r="H659">
        <v>78</v>
      </c>
      <c r="I659">
        <v>1527766.76</v>
      </c>
      <c r="J659">
        <v>270</v>
      </c>
      <c r="K659">
        <v>1186900.1399999999</v>
      </c>
      <c r="L659">
        <v>238</v>
      </c>
      <c r="N659">
        <v>2083</v>
      </c>
      <c r="O659">
        <f t="shared" si="20"/>
        <v>2023</v>
      </c>
      <c r="P659">
        <f t="shared" si="21"/>
        <v>11</v>
      </c>
      <c r="Q659" t="str">
        <f>_xlfn.XLOOKUP(B659,全店核心数据_bymonth!A:A,全店核心数据_bymonth!AN:AN)</f>
        <v>BU24</v>
      </c>
    </row>
    <row r="660" spans="1:17" x14ac:dyDescent="0.3">
      <c r="A660" t="s">
        <v>110</v>
      </c>
      <c r="B660" s="16">
        <v>45231</v>
      </c>
      <c r="C660" t="s">
        <v>3</v>
      </c>
      <c r="D660" t="s">
        <v>128</v>
      </c>
      <c r="E660">
        <v>41434</v>
      </c>
      <c r="F660">
        <v>35994</v>
      </c>
      <c r="G660">
        <v>2000</v>
      </c>
      <c r="H660">
        <v>517</v>
      </c>
      <c r="I660">
        <v>2714803.28</v>
      </c>
      <c r="J660">
        <v>526</v>
      </c>
      <c r="K660">
        <v>1976704.17</v>
      </c>
      <c r="L660">
        <v>457</v>
      </c>
      <c r="N660">
        <v>39276</v>
      </c>
      <c r="O660">
        <f t="shared" si="20"/>
        <v>2023</v>
      </c>
      <c r="P660">
        <f t="shared" si="21"/>
        <v>11</v>
      </c>
      <c r="Q660" t="str">
        <f>_xlfn.XLOOKUP(B660,全店核心数据_bymonth!A:A,全店核心数据_bymonth!AN:AN)</f>
        <v>BU24</v>
      </c>
    </row>
    <row r="661" spans="1:17" x14ac:dyDescent="0.3">
      <c r="A661" t="s">
        <v>110</v>
      </c>
      <c r="B661" s="16">
        <v>45231</v>
      </c>
      <c r="C661" t="s">
        <v>3</v>
      </c>
      <c r="D661" t="s">
        <v>127</v>
      </c>
      <c r="E661">
        <v>109014</v>
      </c>
      <c r="F661">
        <v>97241</v>
      </c>
      <c r="G661">
        <v>694</v>
      </c>
      <c r="H661">
        <v>460</v>
      </c>
      <c r="I661">
        <v>550402.39</v>
      </c>
      <c r="J661">
        <v>108</v>
      </c>
      <c r="K661">
        <v>349773.39</v>
      </c>
      <c r="L661">
        <v>83</v>
      </c>
      <c r="N661">
        <v>104005</v>
      </c>
      <c r="O661">
        <f t="shared" si="20"/>
        <v>2023</v>
      </c>
      <c r="P661">
        <f t="shared" si="21"/>
        <v>11</v>
      </c>
      <c r="Q661" t="str">
        <f>_xlfn.XLOOKUP(B661,全店核心数据_bymonth!A:A,全店核心数据_bymonth!AN:AN)</f>
        <v>BU24</v>
      </c>
    </row>
    <row r="662" spans="1:17" x14ac:dyDescent="0.3">
      <c r="A662" t="s">
        <v>110</v>
      </c>
      <c r="B662" s="16">
        <v>45231</v>
      </c>
      <c r="C662" t="s">
        <v>3</v>
      </c>
      <c r="D662" t="s">
        <v>126</v>
      </c>
      <c r="E662">
        <v>2397</v>
      </c>
      <c r="F662">
        <v>1708</v>
      </c>
      <c r="G662">
        <v>90</v>
      </c>
      <c r="H662">
        <v>74</v>
      </c>
      <c r="I662">
        <v>141266.74</v>
      </c>
      <c r="J662">
        <v>21</v>
      </c>
      <c r="K662">
        <v>102106.74</v>
      </c>
      <c r="L662">
        <v>15</v>
      </c>
      <c r="N662">
        <v>2312</v>
      </c>
      <c r="O662">
        <f t="shared" si="20"/>
        <v>2023</v>
      </c>
      <c r="P662">
        <f t="shared" si="21"/>
        <v>11</v>
      </c>
      <c r="Q662" t="str">
        <f>_xlfn.XLOOKUP(B662,全店核心数据_bymonth!A:A,全店核心数据_bymonth!AN:AN)</f>
        <v>BU24</v>
      </c>
    </row>
    <row r="663" spans="1:17" x14ac:dyDescent="0.3">
      <c r="A663" t="s">
        <v>110</v>
      </c>
      <c r="B663" s="16">
        <v>45231</v>
      </c>
      <c r="C663" t="s">
        <v>3</v>
      </c>
      <c r="D663" t="s">
        <v>125</v>
      </c>
      <c r="E663">
        <v>19</v>
      </c>
      <c r="F663">
        <v>10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N663">
        <v>11</v>
      </c>
      <c r="O663">
        <f t="shared" si="20"/>
        <v>2023</v>
      </c>
      <c r="P663">
        <f t="shared" si="21"/>
        <v>11</v>
      </c>
      <c r="Q663" t="str">
        <f>_xlfn.XLOOKUP(B663,全店核心数据_bymonth!A:A,全店核心数据_bymonth!AN:AN)</f>
        <v>BU24</v>
      </c>
    </row>
    <row r="664" spans="1:17" x14ac:dyDescent="0.3">
      <c r="A664" t="s">
        <v>110</v>
      </c>
      <c r="B664" s="16">
        <v>45231</v>
      </c>
      <c r="C664" t="s">
        <v>3</v>
      </c>
      <c r="D664" t="s">
        <v>124</v>
      </c>
      <c r="E664">
        <v>13</v>
      </c>
      <c r="F664">
        <v>12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N664">
        <v>0</v>
      </c>
      <c r="O664">
        <f t="shared" si="20"/>
        <v>2023</v>
      </c>
      <c r="P664">
        <f t="shared" si="21"/>
        <v>11</v>
      </c>
      <c r="Q664" t="str">
        <f>_xlfn.XLOOKUP(B664,全店核心数据_bymonth!A:A,全店核心数据_bymonth!AN:AN)</f>
        <v>BU24</v>
      </c>
    </row>
    <row r="665" spans="1:17" x14ac:dyDescent="0.3">
      <c r="A665" t="s">
        <v>110</v>
      </c>
      <c r="B665" s="16">
        <v>45231</v>
      </c>
      <c r="C665" t="s">
        <v>3</v>
      </c>
      <c r="D665" t="s">
        <v>123</v>
      </c>
      <c r="E665">
        <v>4879</v>
      </c>
      <c r="F665">
        <v>2665</v>
      </c>
      <c r="G665">
        <v>227</v>
      </c>
      <c r="H665">
        <v>97</v>
      </c>
      <c r="I665">
        <v>319418.84000000003</v>
      </c>
      <c r="J665">
        <v>64</v>
      </c>
      <c r="K665">
        <v>269857.34000000003</v>
      </c>
      <c r="L665">
        <v>53</v>
      </c>
      <c r="N665">
        <v>4290</v>
      </c>
      <c r="O665">
        <f t="shared" si="20"/>
        <v>2023</v>
      </c>
      <c r="P665">
        <f t="shared" si="21"/>
        <v>11</v>
      </c>
      <c r="Q665" t="str">
        <f>_xlfn.XLOOKUP(B665,全店核心数据_bymonth!A:A,全店核心数据_bymonth!AN:AN)</f>
        <v>BU24</v>
      </c>
    </row>
    <row r="666" spans="1:17" x14ac:dyDescent="0.3">
      <c r="A666" t="s">
        <v>110</v>
      </c>
      <c r="B666" s="16">
        <v>45231</v>
      </c>
      <c r="C666" t="s">
        <v>3</v>
      </c>
      <c r="D666" t="s">
        <v>122</v>
      </c>
      <c r="E666">
        <v>5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N666">
        <v>4</v>
      </c>
      <c r="O666">
        <f t="shared" si="20"/>
        <v>2023</v>
      </c>
      <c r="P666">
        <f t="shared" si="21"/>
        <v>11</v>
      </c>
      <c r="Q666" t="str">
        <f>_xlfn.XLOOKUP(B666,全店核心数据_bymonth!A:A,全店核心数据_bymonth!AN:AN)</f>
        <v>BU24</v>
      </c>
    </row>
    <row r="667" spans="1:17" x14ac:dyDescent="0.3">
      <c r="A667" t="s">
        <v>110</v>
      </c>
      <c r="B667" s="16">
        <v>45231</v>
      </c>
      <c r="C667" t="s">
        <v>3</v>
      </c>
      <c r="D667" t="s">
        <v>121</v>
      </c>
      <c r="E667">
        <v>32</v>
      </c>
      <c r="F667">
        <v>28</v>
      </c>
      <c r="G667">
        <v>2</v>
      </c>
      <c r="H667">
        <v>1</v>
      </c>
      <c r="I667">
        <v>0</v>
      </c>
      <c r="J667">
        <v>0</v>
      </c>
      <c r="K667">
        <v>0</v>
      </c>
      <c r="L667">
        <v>0</v>
      </c>
      <c r="N667">
        <v>26</v>
      </c>
      <c r="O667">
        <f t="shared" si="20"/>
        <v>2023</v>
      </c>
      <c r="P667">
        <f t="shared" si="21"/>
        <v>11</v>
      </c>
      <c r="Q667" t="str">
        <f>_xlfn.XLOOKUP(B667,全店核心数据_bymonth!A:A,全店核心数据_bymonth!AN:AN)</f>
        <v>BU24</v>
      </c>
    </row>
    <row r="668" spans="1:17" x14ac:dyDescent="0.3">
      <c r="A668" t="s">
        <v>110</v>
      </c>
      <c r="B668" s="16">
        <v>45231</v>
      </c>
      <c r="C668" t="s">
        <v>3</v>
      </c>
      <c r="D668" t="s">
        <v>120</v>
      </c>
      <c r="E668">
        <v>10407</v>
      </c>
      <c r="F668">
        <v>8950</v>
      </c>
      <c r="G668">
        <v>69</v>
      </c>
      <c r="H668">
        <v>2</v>
      </c>
      <c r="I668">
        <v>621372</v>
      </c>
      <c r="J668">
        <v>98</v>
      </c>
      <c r="K668">
        <v>508712</v>
      </c>
      <c r="L668">
        <v>84</v>
      </c>
      <c r="N668">
        <v>10167</v>
      </c>
      <c r="O668">
        <f t="shared" si="20"/>
        <v>2023</v>
      </c>
      <c r="P668">
        <f t="shared" si="21"/>
        <v>11</v>
      </c>
      <c r="Q668" t="str">
        <f>_xlfn.XLOOKUP(B668,全店核心数据_bymonth!A:A,全店核心数据_bymonth!AN:AN)</f>
        <v>BU24</v>
      </c>
    </row>
    <row r="669" spans="1:17" x14ac:dyDescent="0.3">
      <c r="A669" t="s">
        <v>110</v>
      </c>
      <c r="B669" s="16">
        <v>45231</v>
      </c>
      <c r="C669" t="s">
        <v>3</v>
      </c>
      <c r="D669" t="s">
        <v>119</v>
      </c>
      <c r="E669">
        <v>8035</v>
      </c>
      <c r="F669">
        <v>4120</v>
      </c>
      <c r="G669">
        <v>640</v>
      </c>
      <c r="H669">
        <v>168</v>
      </c>
      <c r="I669">
        <v>2738652.34</v>
      </c>
      <c r="J669">
        <v>413</v>
      </c>
      <c r="K669">
        <v>1911046.34</v>
      </c>
      <c r="L669">
        <v>372</v>
      </c>
      <c r="N669">
        <v>7684</v>
      </c>
      <c r="O669">
        <f t="shared" si="20"/>
        <v>2023</v>
      </c>
      <c r="P669">
        <f t="shared" si="21"/>
        <v>11</v>
      </c>
      <c r="Q669" t="str">
        <f>_xlfn.XLOOKUP(B669,全店核心数据_bymonth!A:A,全店核心数据_bymonth!AN:AN)</f>
        <v>BU24</v>
      </c>
    </row>
    <row r="670" spans="1:17" x14ac:dyDescent="0.3">
      <c r="A670" t="s">
        <v>110</v>
      </c>
      <c r="B670" s="16">
        <v>45231</v>
      </c>
      <c r="C670" t="s">
        <v>3</v>
      </c>
      <c r="D670" t="s">
        <v>117</v>
      </c>
      <c r="E670">
        <v>648</v>
      </c>
      <c r="F670">
        <v>542</v>
      </c>
      <c r="G670">
        <v>5</v>
      </c>
      <c r="H670">
        <v>5</v>
      </c>
      <c r="I670">
        <v>10160</v>
      </c>
      <c r="J670">
        <v>2</v>
      </c>
      <c r="K670">
        <v>10160</v>
      </c>
      <c r="L670">
        <v>2</v>
      </c>
      <c r="N670">
        <v>648</v>
      </c>
      <c r="O670">
        <f t="shared" si="20"/>
        <v>2023</v>
      </c>
      <c r="P670">
        <f t="shared" si="21"/>
        <v>11</v>
      </c>
      <c r="Q670" t="str">
        <f>_xlfn.XLOOKUP(B670,全店核心数据_bymonth!A:A,全店核心数据_bymonth!AN:AN)</f>
        <v>BU24</v>
      </c>
    </row>
    <row r="671" spans="1:17" x14ac:dyDescent="0.3">
      <c r="A671" t="s">
        <v>110</v>
      </c>
      <c r="B671" s="16">
        <v>45231</v>
      </c>
      <c r="C671" t="s">
        <v>3</v>
      </c>
      <c r="D671" t="s">
        <v>116</v>
      </c>
      <c r="E671">
        <v>109</v>
      </c>
      <c r="F671">
        <v>55</v>
      </c>
      <c r="G671">
        <v>3</v>
      </c>
      <c r="H671">
        <v>0</v>
      </c>
      <c r="I671">
        <v>0</v>
      </c>
      <c r="J671">
        <v>0</v>
      </c>
      <c r="K671">
        <v>0</v>
      </c>
      <c r="L671">
        <v>0</v>
      </c>
      <c r="N671">
        <v>109</v>
      </c>
      <c r="O671">
        <f t="shared" si="20"/>
        <v>2023</v>
      </c>
      <c r="P671">
        <f t="shared" si="21"/>
        <v>11</v>
      </c>
      <c r="Q671" t="str">
        <f>_xlfn.XLOOKUP(B671,全店核心数据_bymonth!A:A,全店核心数据_bymonth!AN:AN)</f>
        <v>BU24</v>
      </c>
    </row>
    <row r="672" spans="1:17" x14ac:dyDescent="0.3">
      <c r="A672" t="s">
        <v>110</v>
      </c>
      <c r="B672" s="16">
        <v>45231</v>
      </c>
      <c r="C672" t="s">
        <v>3</v>
      </c>
      <c r="D672" t="s">
        <v>115</v>
      </c>
      <c r="E672">
        <v>60</v>
      </c>
      <c r="F672">
        <v>36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N672">
        <v>55</v>
      </c>
      <c r="O672">
        <f t="shared" si="20"/>
        <v>2023</v>
      </c>
      <c r="P672">
        <f t="shared" si="21"/>
        <v>11</v>
      </c>
      <c r="Q672" t="str">
        <f>_xlfn.XLOOKUP(B672,全店核心数据_bymonth!A:A,全店核心数据_bymonth!AN:AN)</f>
        <v>BU24</v>
      </c>
    </row>
    <row r="673" spans="1:17" x14ac:dyDescent="0.3">
      <c r="A673" t="s">
        <v>110</v>
      </c>
      <c r="B673" s="16">
        <v>45231</v>
      </c>
      <c r="C673" t="s">
        <v>3</v>
      </c>
      <c r="D673" t="s">
        <v>186</v>
      </c>
      <c r="E673">
        <v>4</v>
      </c>
      <c r="F673">
        <v>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N673">
        <v>4</v>
      </c>
      <c r="O673">
        <f t="shared" si="20"/>
        <v>2023</v>
      </c>
      <c r="P673">
        <f t="shared" si="21"/>
        <v>11</v>
      </c>
      <c r="Q673" t="str">
        <f>_xlfn.XLOOKUP(B673,全店核心数据_bymonth!A:A,全店核心数据_bymonth!AN:AN)</f>
        <v>BU24</v>
      </c>
    </row>
    <row r="674" spans="1:17" x14ac:dyDescent="0.3">
      <c r="A674" t="s">
        <v>110</v>
      </c>
      <c r="B674" s="16">
        <v>45231</v>
      </c>
      <c r="C674" t="s">
        <v>3</v>
      </c>
      <c r="D674" t="s">
        <v>185</v>
      </c>
      <c r="E674">
        <v>73</v>
      </c>
      <c r="F674">
        <v>47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N674">
        <v>73</v>
      </c>
      <c r="O674">
        <f t="shared" si="20"/>
        <v>2023</v>
      </c>
      <c r="P674">
        <f t="shared" si="21"/>
        <v>11</v>
      </c>
      <c r="Q674" t="str">
        <f>_xlfn.XLOOKUP(B674,全店核心数据_bymonth!A:A,全店核心数据_bymonth!AN:AN)</f>
        <v>BU24</v>
      </c>
    </row>
    <row r="675" spans="1:17" x14ac:dyDescent="0.3">
      <c r="A675" t="s">
        <v>110</v>
      </c>
      <c r="B675" s="16">
        <v>45231</v>
      </c>
      <c r="C675" t="s">
        <v>3</v>
      </c>
      <c r="D675" t="s">
        <v>114</v>
      </c>
      <c r="E675">
        <v>1984</v>
      </c>
      <c r="F675">
        <v>1096</v>
      </c>
      <c r="G675">
        <v>47</v>
      </c>
      <c r="H675">
        <v>16</v>
      </c>
      <c r="I675">
        <v>50822</v>
      </c>
      <c r="J675">
        <v>12</v>
      </c>
      <c r="K675">
        <v>42425</v>
      </c>
      <c r="L675">
        <v>11</v>
      </c>
      <c r="N675">
        <v>1875</v>
      </c>
      <c r="O675">
        <f t="shared" si="20"/>
        <v>2023</v>
      </c>
      <c r="P675">
        <f t="shared" si="21"/>
        <v>11</v>
      </c>
      <c r="Q675" t="str">
        <f>_xlfn.XLOOKUP(B675,全店核心数据_bymonth!A:A,全店核心数据_bymonth!AN:AN)</f>
        <v>BU24</v>
      </c>
    </row>
    <row r="676" spans="1:17" x14ac:dyDescent="0.3">
      <c r="A676" t="s">
        <v>110</v>
      </c>
      <c r="B676" s="16">
        <v>45231</v>
      </c>
      <c r="C676" t="s">
        <v>3</v>
      </c>
      <c r="D676" t="s">
        <v>113</v>
      </c>
      <c r="E676">
        <v>3124</v>
      </c>
      <c r="F676">
        <v>2174</v>
      </c>
      <c r="G676">
        <v>103</v>
      </c>
      <c r="H676">
        <v>40</v>
      </c>
      <c r="I676">
        <v>247721.5</v>
      </c>
      <c r="J676">
        <v>27</v>
      </c>
      <c r="K676">
        <v>165726.5</v>
      </c>
      <c r="L676">
        <v>23</v>
      </c>
      <c r="N676">
        <v>1942</v>
      </c>
      <c r="O676">
        <f t="shared" si="20"/>
        <v>2023</v>
      </c>
      <c r="P676">
        <f t="shared" si="21"/>
        <v>11</v>
      </c>
      <c r="Q676" t="str">
        <f>_xlfn.XLOOKUP(B676,全店核心数据_bymonth!A:A,全店核心数据_bymonth!AN:AN)</f>
        <v>BU24</v>
      </c>
    </row>
    <row r="677" spans="1:17" x14ac:dyDescent="0.3">
      <c r="A677" t="s">
        <v>110</v>
      </c>
      <c r="B677" s="16">
        <v>45231</v>
      </c>
      <c r="C677" t="s">
        <v>3</v>
      </c>
      <c r="D677" t="s">
        <v>112</v>
      </c>
      <c r="E677">
        <v>294</v>
      </c>
      <c r="F677">
        <v>193</v>
      </c>
      <c r="G677">
        <v>17</v>
      </c>
      <c r="H677">
        <v>2</v>
      </c>
      <c r="I677">
        <v>385266.08</v>
      </c>
      <c r="J677">
        <v>65</v>
      </c>
      <c r="K677">
        <v>337118.08</v>
      </c>
      <c r="L677">
        <v>65</v>
      </c>
      <c r="N677">
        <v>291</v>
      </c>
      <c r="O677">
        <f t="shared" si="20"/>
        <v>2023</v>
      </c>
      <c r="P677">
        <f t="shared" si="21"/>
        <v>11</v>
      </c>
      <c r="Q677" t="str">
        <f>_xlfn.XLOOKUP(B677,全店核心数据_bymonth!A:A,全店核心数据_bymonth!AN:AN)</f>
        <v>BU24</v>
      </c>
    </row>
    <row r="678" spans="1:17" x14ac:dyDescent="0.3">
      <c r="A678" t="s">
        <v>110</v>
      </c>
      <c r="B678" s="16">
        <v>45231</v>
      </c>
      <c r="C678" t="s">
        <v>3</v>
      </c>
      <c r="D678" t="s">
        <v>111</v>
      </c>
      <c r="E678">
        <v>18</v>
      </c>
      <c r="F678">
        <v>1</v>
      </c>
      <c r="G678">
        <v>2</v>
      </c>
      <c r="H678">
        <v>0</v>
      </c>
      <c r="I678">
        <v>13610</v>
      </c>
      <c r="J678">
        <v>3</v>
      </c>
      <c r="K678">
        <v>13610</v>
      </c>
      <c r="L678">
        <v>3</v>
      </c>
      <c r="N678">
        <v>18</v>
      </c>
      <c r="O678">
        <f t="shared" si="20"/>
        <v>2023</v>
      </c>
      <c r="P678">
        <f t="shared" si="21"/>
        <v>11</v>
      </c>
      <c r="Q678" t="str">
        <f>_xlfn.XLOOKUP(B678,全店核心数据_bymonth!A:A,全店核心数据_bymonth!AN:AN)</f>
        <v>BU24</v>
      </c>
    </row>
    <row r="679" spans="1:17" x14ac:dyDescent="0.3">
      <c r="A679" t="s">
        <v>110</v>
      </c>
      <c r="B679" s="16">
        <v>45627</v>
      </c>
      <c r="C679" t="s">
        <v>2</v>
      </c>
      <c r="D679" t="s">
        <v>4</v>
      </c>
      <c r="E679">
        <v>3543</v>
      </c>
      <c r="F679">
        <v>2026</v>
      </c>
      <c r="G679">
        <v>62</v>
      </c>
      <c r="H679">
        <v>9</v>
      </c>
      <c r="I679">
        <v>250576.03</v>
      </c>
      <c r="J679">
        <v>44</v>
      </c>
      <c r="K679">
        <v>231421.03</v>
      </c>
      <c r="L679">
        <v>43</v>
      </c>
      <c r="M679">
        <v>256</v>
      </c>
      <c r="N679">
        <v>3477</v>
      </c>
      <c r="O679">
        <f t="shared" si="20"/>
        <v>2024</v>
      </c>
      <c r="P679">
        <f t="shared" si="21"/>
        <v>12</v>
      </c>
      <c r="Q679" t="str">
        <f>_xlfn.XLOOKUP(B679,全店核心数据_bymonth!A:A,全店核心数据_bymonth!AN:AN)</f>
        <v>BU25</v>
      </c>
    </row>
    <row r="680" spans="1:17" x14ac:dyDescent="0.3">
      <c r="A680" t="s">
        <v>110</v>
      </c>
      <c r="B680" s="16">
        <v>45627</v>
      </c>
      <c r="C680" t="s">
        <v>2</v>
      </c>
      <c r="D680" t="s">
        <v>57</v>
      </c>
      <c r="E680">
        <v>187106</v>
      </c>
      <c r="F680">
        <v>176575</v>
      </c>
      <c r="G680">
        <v>2837</v>
      </c>
      <c r="H680">
        <v>2035</v>
      </c>
      <c r="I680">
        <v>3823634.47</v>
      </c>
      <c r="J680">
        <v>463</v>
      </c>
      <c r="K680">
        <v>1880304.47</v>
      </c>
      <c r="L680">
        <v>319</v>
      </c>
      <c r="M680">
        <v>15261</v>
      </c>
      <c r="N680">
        <v>186189</v>
      </c>
      <c r="O680">
        <f t="shared" si="20"/>
        <v>2024</v>
      </c>
      <c r="P680">
        <f t="shared" si="21"/>
        <v>12</v>
      </c>
      <c r="Q680" t="str">
        <f>_xlfn.XLOOKUP(B680,全店核心数据_bymonth!A:A,全店核心数据_bymonth!AN:AN)</f>
        <v>BU25</v>
      </c>
    </row>
    <row r="681" spans="1:17" x14ac:dyDescent="0.3">
      <c r="A681" t="s">
        <v>110</v>
      </c>
      <c r="B681" s="16">
        <v>45627</v>
      </c>
      <c r="C681" t="s">
        <v>2</v>
      </c>
      <c r="D681" t="s">
        <v>52</v>
      </c>
      <c r="E681">
        <v>19742</v>
      </c>
      <c r="F681">
        <v>18330</v>
      </c>
      <c r="G681">
        <v>415</v>
      </c>
      <c r="H681">
        <v>146</v>
      </c>
      <c r="I681">
        <v>763167</v>
      </c>
      <c r="J681">
        <v>95</v>
      </c>
      <c r="K681">
        <v>500637</v>
      </c>
      <c r="L681">
        <v>80</v>
      </c>
      <c r="M681">
        <v>19740</v>
      </c>
      <c r="N681">
        <v>10283</v>
      </c>
      <c r="O681">
        <f t="shared" si="20"/>
        <v>2024</v>
      </c>
      <c r="P681">
        <f t="shared" si="21"/>
        <v>12</v>
      </c>
      <c r="Q681" t="str">
        <f>_xlfn.XLOOKUP(B681,全店核心数据_bymonth!A:A,全店核心数据_bymonth!AN:AN)</f>
        <v>BU25</v>
      </c>
    </row>
    <row r="682" spans="1:17" x14ac:dyDescent="0.3">
      <c r="A682" t="s">
        <v>110</v>
      </c>
      <c r="B682" s="16">
        <v>45627</v>
      </c>
      <c r="C682" t="s">
        <v>2</v>
      </c>
      <c r="D682" t="s">
        <v>55</v>
      </c>
      <c r="E682">
        <v>19253</v>
      </c>
      <c r="F682">
        <v>16819</v>
      </c>
      <c r="G682">
        <v>109</v>
      </c>
      <c r="H682">
        <v>170</v>
      </c>
      <c r="I682">
        <v>0</v>
      </c>
      <c r="J682">
        <v>0</v>
      </c>
      <c r="K682">
        <v>0</v>
      </c>
      <c r="L682">
        <v>0</v>
      </c>
      <c r="M682">
        <v>358</v>
      </c>
      <c r="N682">
        <v>12734</v>
      </c>
      <c r="O682">
        <f t="shared" si="20"/>
        <v>2024</v>
      </c>
      <c r="P682">
        <f t="shared" si="21"/>
        <v>12</v>
      </c>
      <c r="Q682" t="str">
        <f>_xlfn.XLOOKUP(B682,全店核心数据_bymonth!A:A,全店核心数据_bymonth!AN:AN)</f>
        <v>BU25</v>
      </c>
    </row>
    <row r="683" spans="1:17" x14ac:dyDescent="0.3">
      <c r="A683" t="s">
        <v>110</v>
      </c>
      <c r="B683" s="16">
        <v>45627</v>
      </c>
      <c r="C683" t="s">
        <v>3</v>
      </c>
      <c r="D683" t="s">
        <v>155</v>
      </c>
      <c r="E683">
        <v>136</v>
      </c>
      <c r="F683">
        <v>97</v>
      </c>
      <c r="G683">
        <v>1</v>
      </c>
      <c r="H683">
        <v>3</v>
      </c>
      <c r="I683">
        <v>0</v>
      </c>
      <c r="J683">
        <v>0</v>
      </c>
      <c r="K683">
        <v>0</v>
      </c>
      <c r="L683">
        <v>0</v>
      </c>
      <c r="M683">
        <v>8</v>
      </c>
      <c r="N683">
        <v>134</v>
      </c>
      <c r="O683">
        <f t="shared" si="20"/>
        <v>2024</v>
      </c>
      <c r="P683">
        <f t="shared" si="21"/>
        <v>12</v>
      </c>
      <c r="Q683" t="str">
        <f>_xlfn.XLOOKUP(B683,全店核心数据_bymonth!A:A,全店核心数据_bymonth!AN:AN)</f>
        <v>BU25</v>
      </c>
    </row>
    <row r="684" spans="1:17" x14ac:dyDescent="0.3">
      <c r="A684" t="s">
        <v>110</v>
      </c>
      <c r="B684" s="16">
        <v>45627</v>
      </c>
      <c r="C684" t="s">
        <v>3</v>
      </c>
      <c r="D684" t="s">
        <v>154</v>
      </c>
      <c r="E684">
        <v>3091</v>
      </c>
      <c r="F684">
        <v>3055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2</v>
      </c>
      <c r="N684">
        <v>13</v>
      </c>
      <c r="O684">
        <f t="shared" si="20"/>
        <v>2024</v>
      </c>
      <c r="P684">
        <f t="shared" si="21"/>
        <v>12</v>
      </c>
      <c r="Q684" t="str">
        <f>_xlfn.XLOOKUP(B684,全店核心数据_bymonth!A:A,全店核心数据_bymonth!AN:AN)</f>
        <v>BU25</v>
      </c>
    </row>
    <row r="685" spans="1:17" x14ac:dyDescent="0.3">
      <c r="A685" t="s">
        <v>110</v>
      </c>
      <c r="B685" s="16">
        <v>45627</v>
      </c>
      <c r="C685" t="s">
        <v>3</v>
      </c>
      <c r="D685" t="s">
        <v>153</v>
      </c>
      <c r="E685">
        <v>4823</v>
      </c>
      <c r="F685">
        <v>2414</v>
      </c>
      <c r="G685">
        <v>502</v>
      </c>
      <c r="H685">
        <v>74</v>
      </c>
      <c r="I685">
        <v>3730635.66</v>
      </c>
      <c r="J685">
        <v>492</v>
      </c>
      <c r="K685">
        <v>2999718.16</v>
      </c>
      <c r="L685">
        <v>462</v>
      </c>
      <c r="M685">
        <v>1657</v>
      </c>
      <c r="N685">
        <v>4624</v>
      </c>
      <c r="O685">
        <f t="shared" si="20"/>
        <v>2024</v>
      </c>
      <c r="P685">
        <f t="shared" si="21"/>
        <v>12</v>
      </c>
      <c r="Q685" t="str">
        <f>_xlfn.XLOOKUP(B685,全店核心数据_bymonth!A:A,全店核心数据_bymonth!AN:AN)</f>
        <v>BU25</v>
      </c>
    </row>
    <row r="686" spans="1:17" x14ac:dyDescent="0.3">
      <c r="A686" t="s">
        <v>110</v>
      </c>
      <c r="B686" s="16">
        <v>45627</v>
      </c>
      <c r="C686" t="s">
        <v>3</v>
      </c>
      <c r="D686" t="s">
        <v>152</v>
      </c>
      <c r="E686">
        <v>467</v>
      </c>
      <c r="F686">
        <v>392</v>
      </c>
      <c r="G686">
        <v>1</v>
      </c>
      <c r="H686">
        <v>2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114</v>
      </c>
      <c r="O686">
        <f t="shared" si="20"/>
        <v>2024</v>
      </c>
      <c r="P686">
        <f t="shared" si="21"/>
        <v>12</v>
      </c>
      <c r="Q686" t="str">
        <f>_xlfn.XLOOKUP(B686,全店核心数据_bymonth!A:A,全店核心数据_bymonth!AN:AN)</f>
        <v>BU25</v>
      </c>
    </row>
    <row r="687" spans="1:17" x14ac:dyDescent="0.3">
      <c r="A687" t="s">
        <v>110</v>
      </c>
      <c r="B687" s="16">
        <v>45627</v>
      </c>
      <c r="C687" t="s">
        <v>3</v>
      </c>
      <c r="D687" t="s">
        <v>150</v>
      </c>
      <c r="E687">
        <v>31</v>
      </c>
      <c r="F687">
        <v>11</v>
      </c>
      <c r="G687">
        <v>2</v>
      </c>
      <c r="H687">
        <v>0</v>
      </c>
      <c r="I687">
        <v>3400</v>
      </c>
      <c r="J687">
        <v>1</v>
      </c>
      <c r="K687">
        <v>3400</v>
      </c>
      <c r="L687">
        <v>1</v>
      </c>
      <c r="M687">
        <v>1</v>
      </c>
      <c r="N687">
        <v>30</v>
      </c>
      <c r="O687">
        <f t="shared" si="20"/>
        <v>2024</v>
      </c>
      <c r="P687">
        <f t="shared" si="21"/>
        <v>12</v>
      </c>
      <c r="Q687" t="str">
        <f>_xlfn.XLOOKUP(B687,全店核心数据_bymonth!A:A,全店核心数据_bymonth!AN:AN)</f>
        <v>BU25</v>
      </c>
    </row>
    <row r="688" spans="1:17" x14ac:dyDescent="0.3">
      <c r="A688" t="s">
        <v>110</v>
      </c>
      <c r="B688" s="16">
        <v>45627</v>
      </c>
      <c r="C688" t="s">
        <v>3</v>
      </c>
      <c r="D688" t="s">
        <v>149</v>
      </c>
      <c r="E688">
        <v>253</v>
      </c>
      <c r="F688">
        <v>135</v>
      </c>
      <c r="G688">
        <v>6</v>
      </c>
      <c r="H688">
        <v>7</v>
      </c>
      <c r="I688">
        <v>21725</v>
      </c>
      <c r="J688">
        <v>3</v>
      </c>
      <c r="K688">
        <v>15975</v>
      </c>
      <c r="L688">
        <v>3</v>
      </c>
      <c r="M688">
        <v>37</v>
      </c>
      <c r="N688">
        <v>220</v>
      </c>
      <c r="O688">
        <f t="shared" si="20"/>
        <v>2024</v>
      </c>
      <c r="P688">
        <f t="shared" si="21"/>
        <v>12</v>
      </c>
      <c r="Q688" t="str">
        <f>_xlfn.XLOOKUP(B688,全店核心数据_bymonth!A:A,全店核心数据_bymonth!AN:AN)</f>
        <v>BU25</v>
      </c>
    </row>
    <row r="689" spans="1:17" x14ac:dyDescent="0.3">
      <c r="A689" t="s">
        <v>110</v>
      </c>
      <c r="B689" s="16">
        <v>45627</v>
      </c>
      <c r="C689" t="s">
        <v>3</v>
      </c>
      <c r="D689" t="s">
        <v>148</v>
      </c>
      <c r="E689">
        <v>148</v>
      </c>
      <c r="F689">
        <v>140</v>
      </c>
      <c r="G689">
        <v>0</v>
      </c>
      <c r="H689">
        <v>0</v>
      </c>
      <c r="I689">
        <v>5350</v>
      </c>
      <c r="J689">
        <v>1</v>
      </c>
      <c r="K689">
        <v>5350</v>
      </c>
      <c r="L689">
        <v>1</v>
      </c>
      <c r="M689">
        <v>123</v>
      </c>
      <c r="N689">
        <v>25</v>
      </c>
      <c r="O689">
        <f t="shared" si="20"/>
        <v>2024</v>
      </c>
      <c r="P689">
        <f t="shared" si="21"/>
        <v>12</v>
      </c>
      <c r="Q689" t="str">
        <f>_xlfn.XLOOKUP(B689,全店核心数据_bymonth!A:A,全店核心数据_bymonth!AN:AN)</f>
        <v>BU25</v>
      </c>
    </row>
    <row r="690" spans="1:17" x14ac:dyDescent="0.3">
      <c r="A690" t="s">
        <v>110</v>
      </c>
      <c r="B690" s="16">
        <v>45627</v>
      </c>
      <c r="C690" t="s">
        <v>3</v>
      </c>
      <c r="D690" t="s">
        <v>146</v>
      </c>
      <c r="E690">
        <v>2</v>
      </c>
      <c r="F690">
        <v>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2</v>
      </c>
      <c r="O690">
        <f t="shared" si="20"/>
        <v>2024</v>
      </c>
      <c r="P690">
        <f t="shared" si="21"/>
        <v>12</v>
      </c>
      <c r="Q690" t="str">
        <f>_xlfn.XLOOKUP(B690,全店核心数据_bymonth!A:A,全店核心数据_bymonth!AN:AN)</f>
        <v>BU25</v>
      </c>
    </row>
    <row r="691" spans="1:17" x14ac:dyDescent="0.3">
      <c r="A691" t="s">
        <v>110</v>
      </c>
      <c r="B691" s="16">
        <v>45627</v>
      </c>
      <c r="C691" t="s">
        <v>3</v>
      </c>
      <c r="D691" t="s">
        <v>251</v>
      </c>
      <c r="E691">
        <v>18507</v>
      </c>
      <c r="F691">
        <v>16106</v>
      </c>
      <c r="G691">
        <v>186</v>
      </c>
      <c r="H691">
        <v>64</v>
      </c>
      <c r="I691">
        <v>633111.07999999996</v>
      </c>
      <c r="J691">
        <v>103</v>
      </c>
      <c r="K691">
        <v>512106.08</v>
      </c>
      <c r="L691">
        <v>90</v>
      </c>
      <c r="M691">
        <v>1349</v>
      </c>
      <c r="N691">
        <v>8926</v>
      </c>
      <c r="O691">
        <f t="shared" si="20"/>
        <v>2024</v>
      </c>
      <c r="P691">
        <f t="shared" si="21"/>
        <v>12</v>
      </c>
      <c r="Q691" t="str">
        <f>_xlfn.XLOOKUP(B691,全店核心数据_bymonth!A:A,全店核心数据_bymonth!AN:AN)</f>
        <v>BU25</v>
      </c>
    </row>
    <row r="692" spans="1:17" x14ac:dyDescent="0.3">
      <c r="A692" t="s">
        <v>110</v>
      </c>
      <c r="B692" s="16">
        <v>45627</v>
      </c>
      <c r="C692" t="s">
        <v>3</v>
      </c>
      <c r="D692" t="s">
        <v>143</v>
      </c>
      <c r="E692">
        <v>768</v>
      </c>
      <c r="F692">
        <v>756</v>
      </c>
      <c r="G692">
        <v>4</v>
      </c>
      <c r="H692">
        <v>2</v>
      </c>
      <c r="I692">
        <v>12200</v>
      </c>
      <c r="J692">
        <v>2</v>
      </c>
      <c r="K692">
        <v>0</v>
      </c>
      <c r="L692">
        <v>0</v>
      </c>
      <c r="M692">
        <v>4</v>
      </c>
      <c r="N692">
        <v>768</v>
      </c>
      <c r="O692">
        <f t="shared" si="20"/>
        <v>2024</v>
      </c>
      <c r="P692">
        <f t="shared" si="21"/>
        <v>12</v>
      </c>
      <c r="Q692" t="str">
        <f>_xlfn.XLOOKUP(B692,全店核心数据_bymonth!A:A,全店核心数据_bymonth!AN:AN)</f>
        <v>BU25</v>
      </c>
    </row>
    <row r="693" spans="1:17" x14ac:dyDescent="0.3">
      <c r="A693" t="s">
        <v>110</v>
      </c>
      <c r="B693" s="16">
        <v>45627</v>
      </c>
      <c r="C693" t="s">
        <v>3</v>
      </c>
      <c r="D693" t="s">
        <v>141</v>
      </c>
      <c r="E693">
        <v>150</v>
      </c>
      <c r="F693">
        <v>141</v>
      </c>
      <c r="G693">
        <v>2</v>
      </c>
      <c r="H693">
        <v>1</v>
      </c>
      <c r="I693">
        <v>15657</v>
      </c>
      <c r="J693">
        <v>3</v>
      </c>
      <c r="K693">
        <v>15657</v>
      </c>
      <c r="L693">
        <v>3</v>
      </c>
      <c r="M693">
        <v>17</v>
      </c>
      <c r="N693">
        <v>133</v>
      </c>
      <c r="O693">
        <f t="shared" si="20"/>
        <v>2024</v>
      </c>
      <c r="P693">
        <f t="shared" si="21"/>
        <v>12</v>
      </c>
      <c r="Q693" t="str">
        <f>_xlfn.XLOOKUP(B693,全店核心数据_bymonth!A:A,全店核心数据_bymonth!AN:AN)</f>
        <v>BU25</v>
      </c>
    </row>
    <row r="694" spans="1:17" x14ac:dyDescent="0.3">
      <c r="A694" t="s">
        <v>110</v>
      </c>
      <c r="B694" s="16">
        <v>45627</v>
      </c>
      <c r="C694" t="s">
        <v>3</v>
      </c>
      <c r="D694" t="s">
        <v>140</v>
      </c>
      <c r="E694">
        <v>183</v>
      </c>
      <c r="F694">
        <v>162</v>
      </c>
      <c r="G694">
        <v>16</v>
      </c>
      <c r="H694">
        <v>0</v>
      </c>
      <c r="I694">
        <v>61761.14</v>
      </c>
      <c r="J694">
        <v>12</v>
      </c>
      <c r="K694">
        <v>59701.14</v>
      </c>
      <c r="L694">
        <v>12</v>
      </c>
      <c r="M694">
        <v>29</v>
      </c>
      <c r="N694">
        <v>152</v>
      </c>
      <c r="O694">
        <f t="shared" si="20"/>
        <v>2024</v>
      </c>
      <c r="P694">
        <f t="shared" si="21"/>
        <v>12</v>
      </c>
      <c r="Q694" t="str">
        <f>_xlfn.XLOOKUP(B694,全店核心数据_bymonth!A:A,全店核心数据_bymonth!AN:AN)</f>
        <v>BU25</v>
      </c>
    </row>
    <row r="695" spans="1:17" x14ac:dyDescent="0.3">
      <c r="A695" t="s">
        <v>110</v>
      </c>
      <c r="B695" s="16">
        <v>45627</v>
      </c>
      <c r="C695" t="s">
        <v>3</v>
      </c>
      <c r="D695" t="s">
        <v>139</v>
      </c>
      <c r="E695">
        <v>20213</v>
      </c>
      <c r="F695">
        <v>15812</v>
      </c>
      <c r="G695">
        <v>794</v>
      </c>
      <c r="H695">
        <v>223</v>
      </c>
      <c r="I695">
        <v>2271154.48</v>
      </c>
      <c r="J695">
        <v>304</v>
      </c>
      <c r="K695">
        <v>1708866.98</v>
      </c>
      <c r="L695">
        <v>275</v>
      </c>
      <c r="M695">
        <v>7280</v>
      </c>
      <c r="N695">
        <v>16529</v>
      </c>
      <c r="O695">
        <f t="shared" si="20"/>
        <v>2024</v>
      </c>
      <c r="P695">
        <f t="shared" si="21"/>
        <v>12</v>
      </c>
      <c r="Q695" t="str">
        <f>_xlfn.XLOOKUP(B695,全店核心数据_bymonth!A:A,全店核心数据_bymonth!AN:AN)</f>
        <v>BU25</v>
      </c>
    </row>
    <row r="696" spans="1:17" x14ac:dyDescent="0.3">
      <c r="A696" t="s">
        <v>110</v>
      </c>
      <c r="B696" s="16">
        <v>45627</v>
      </c>
      <c r="C696" t="s">
        <v>3</v>
      </c>
      <c r="D696" t="s">
        <v>138</v>
      </c>
      <c r="E696">
        <v>1482</v>
      </c>
      <c r="F696">
        <v>942</v>
      </c>
      <c r="G696">
        <v>30</v>
      </c>
      <c r="H696">
        <v>16</v>
      </c>
      <c r="I696">
        <v>58280</v>
      </c>
      <c r="J696">
        <v>7</v>
      </c>
      <c r="K696">
        <v>14610</v>
      </c>
      <c r="L696">
        <v>4</v>
      </c>
      <c r="M696">
        <v>172</v>
      </c>
      <c r="N696">
        <v>1452</v>
      </c>
      <c r="O696">
        <f t="shared" si="20"/>
        <v>2024</v>
      </c>
      <c r="P696">
        <f t="shared" si="21"/>
        <v>12</v>
      </c>
      <c r="Q696" t="str">
        <f>_xlfn.XLOOKUP(B696,全店核心数据_bymonth!A:A,全店核心数据_bymonth!AN:AN)</f>
        <v>BU25</v>
      </c>
    </row>
    <row r="697" spans="1:17" x14ac:dyDescent="0.3">
      <c r="A697" t="s">
        <v>110</v>
      </c>
      <c r="B697" s="16">
        <v>45627</v>
      </c>
      <c r="C697" t="s">
        <v>3</v>
      </c>
      <c r="D697" t="s">
        <v>137</v>
      </c>
      <c r="E697">
        <v>154</v>
      </c>
      <c r="F697">
        <v>96</v>
      </c>
      <c r="G697">
        <v>12</v>
      </c>
      <c r="H697">
        <v>2</v>
      </c>
      <c r="I697">
        <v>2995</v>
      </c>
      <c r="J697">
        <v>1</v>
      </c>
      <c r="K697">
        <v>2995</v>
      </c>
      <c r="L697">
        <v>1</v>
      </c>
      <c r="M697">
        <v>20</v>
      </c>
      <c r="N697">
        <v>154</v>
      </c>
      <c r="O697">
        <f t="shared" si="20"/>
        <v>2024</v>
      </c>
      <c r="P697">
        <f t="shared" si="21"/>
        <v>12</v>
      </c>
      <c r="Q697" t="str">
        <f>_xlfn.XLOOKUP(B697,全店核心数据_bymonth!A:A,全店核心数据_bymonth!AN:AN)</f>
        <v>BU25</v>
      </c>
    </row>
    <row r="698" spans="1:17" x14ac:dyDescent="0.3">
      <c r="A698" t="s">
        <v>110</v>
      </c>
      <c r="B698" s="16">
        <v>45627</v>
      </c>
      <c r="C698" t="s">
        <v>3</v>
      </c>
      <c r="D698" t="s">
        <v>136</v>
      </c>
      <c r="E698">
        <v>2</v>
      </c>
      <c r="F698">
        <v>0</v>
      </c>
      <c r="G698">
        <v>0</v>
      </c>
      <c r="H698">
        <v>0</v>
      </c>
      <c r="I698">
        <v>1990</v>
      </c>
      <c r="J698">
        <v>1</v>
      </c>
      <c r="K698">
        <v>1990</v>
      </c>
      <c r="L698">
        <v>1</v>
      </c>
      <c r="M698">
        <v>0</v>
      </c>
      <c r="N698">
        <v>0</v>
      </c>
      <c r="O698">
        <f t="shared" si="20"/>
        <v>2024</v>
      </c>
      <c r="P698">
        <f t="shared" si="21"/>
        <v>12</v>
      </c>
      <c r="Q698" t="str">
        <f>_xlfn.XLOOKUP(B698,全店核心数据_bymonth!A:A,全店核心数据_bymonth!AN:AN)</f>
        <v>BU25</v>
      </c>
    </row>
    <row r="699" spans="1:17" x14ac:dyDescent="0.3">
      <c r="A699" t="s">
        <v>110</v>
      </c>
      <c r="B699" s="16">
        <v>45627</v>
      </c>
      <c r="C699" t="s">
        <v>3</v>
      </c>
      <c r="D699" t="s">
        <v>135</v>
      </c>
      <c r="E699">
        <v>478</v>
      </c>
      <c r="F699">
        <v>316</v>
      </c>
      <c r="G699">
        <v>6</v>
      </c>
      <c r="H699">
        <v>3</v>
      </c>
      <c r="I699">
        <v>8250</v>
      </c>
      <c r="J699">
        <v>2</v>
      </c>
      <c r="K699">
        <v>2500</v>
      </c>
      <c r="L699">
        <v>1</v>
      </c>
      <c r="M699">
        <v>23</v>
      </c>
      <c r="N699">
        <v>315</v>
      </c>
      <c r="O699">
        <f t="shared" si="20"/>
        <v>2024</v>
      </c>
      <c r="P699">
        <f t="shared" si="21"/>
        <v>12</v>
      </c>
      <c r="Q699" t="str">
        <f>_xlfn.XLOOKUP(B699,全店核心数据_bymonth!A:A,全店核心数据_bymonth!AN:AN)</f>
        <v>BU25</v>
      </c>
    </row>
    <row r="700" spans="1:17" x14ac:dyDescent="0.3">
      <c r="A700" t="s">
        <v>110</v>
      </c>
      <c r="B700" s="16">
        <v>45627</v>
      </c>
      <c r="C700" t="s">
        <v>3</v>
      </c>
      <c r="D700" t="s">
        <v>133</v>
      </c>
      <c r="E700">
        <v>504</v>
      </c>
      <c r="F700">
        <v>359</v>
      </c>
      <c r="G700">
        <v>22</v>
      </c>
      <c r="H700">
        <v>5</v>
      </c>
      <c r="I700">
        <v>46457.14</v>
      </c>
      <c r="J700">
        <v>11</v>
      </c>
      <c r="K700">
        <v>44157.14</v>
      </c>
      <c r="L700">
        <v>11</v>
      </c>
      <c r="M700">
        <v>127</v>
      </c>
      <c r="N700">
        <v>445</v>
      </c>
      <c r="O700">
        <f t="shared" si="20"/>
        <v>2024</v>
      </c>
      <c r="P700">
        <f t="shared" si="21"/>
        <v>12</v>
      </c>
      <c r="Q700" t="str">
        <f>_xlfn.XLOOKUP(B700,全店核心数据_bymonth!A:A,全店核心数据_bymonth!AN:AN)</f>
        <v>BU25</v>
      </c>
    </row>
    <row r="701" spans="1:17" x14ac:dyDescent="0.3">
      <c r="A701" t="s">
        <v>110</v>
      </c>
      <c r="B701" s="16">
        <v>45627</v>
      </c>
      <c r="C701" t="s">
        <v>3</v>
      </c>
      <c r="D701" t="s">
        <v>130</v>
      </c>
      <c r="E701">
        <v>2775</v>
      </c>
      <c r="F701">
        <v>1580</v>
      </c>
      <c r="G701">
        <v>188</v>
      </c>
      <c r="H701">
        <v>50</v>
      </c>
      <c r="I701">
        <v>1203166.6200000001</v>
      </c>
      <c r="J701">
        <v>158</v>
      </c>
      <c r="K701">
        <v>1007300.12</v>
      </c>
      <c r="L701">
        <v>144</v>
      </c>
      <c r="M701">
        <v>1325</v>
      </c>
      <c r="N701">
        <v>2342</v>
      </c>
      <c r="O701">
        <f t="shared" si="20"/>
        <v>2024</v>
      </c>
      <c r="P701">
        <f t="shared" si="21"/>
        <v>12</v>
      </c>
      <c r="Q701" t="str">
        <f>_xlfn.XLOOKUP(B701,全店核心数据_bymonth!A:A,全店核心数据_bymonth!AN:AN)</f>
        <v>BU25</v>
      </c>
    </row>
    <row r="702" spans="1:17" x14ac:dyDescent="0.3">
      <c r="A702" t="s">
        <v>110</v>
      </c>
      <c r="B702" s="16">
        <v>45627</v>
      </c>
      <c r="C702" t="s">
        <v>3</v>
      </c>
      <c r="D702" t="s">
        <v>128</v>
      </c>
      <c r="E702">
        <v>22403</v>
      </c>
      <c r="F702">
        <v>19363</v>
      </c>
      <c r="G702">
        <v>756</v>
      </c>
      <c r="H702">
        <v>232</v>
      </c>
      <c r="I702">
        <v>1002350.86</v>
      </c>
      <c r="J702">
        <v>181</v>
      </c>
      <c r="K702">
        <v>724050.86</v>
      </c>
      <c r="L702">
        <v>153</v>
      </c>
      <c r="M702">
        <v>8032</v>
      </c>
      <c r="N702">
        <v>18880</v>
      </c>
      <c r="O702">
        <f t="shared" si="20"/>
        <v>2024</v>
      </c>
      <c r="P702">
        <f t="shared" si="21"/>
        <v>12</v>
      </c>
      <c r="Q702" t="str">
        <f>_xlfn.XLOOKUP(B702,全店核心数据_bymonth!A:A,全店核心数据_bymonth!AN:AN)</f>
        <v>BU25</v>
      </c>
    </row>
    <row r="703" spans="1:17" x14ac:dyDescent="0.3">
      <c r="A703" t="s">
        <v>110</v>
      </c>
      <c r="B703" s="16">
        <v>45627</v>
      </c>
      <c r="C703" t="s">
        <v>3</v>
      </c>
      <c r="D703" t="s">
        <v>127</v>
      </c>
      <c r="E703">
        <v>73236</v>
      </c>
      <c r="F703">
        <v>64101</v>
      </c>
      <c r="G703">
        <v>791</v>
      </c>
      <c r="H703">
        <v>361</v>
      </c>
      <c r="I703">
        <v>912837.78</v>
      </c>
      <c r="J703">
        <v>138</v>
      </c>
      <c r="K703">
        <v>600184.28</v>
      </c>
      <c r="L703">
        <v>110</v>
      </c>
      <c r="M703">
        <v>3583</v>
      </c>
      <c r="N703">
        <v>58369</v>
      </c>
      <c r="O703">
        <f t="shared" si="20"/>
        <v>2024</v>
      </c>
      <c r="P703">
        <f t="shared" si="21"/>
        <v>12</v>
      </c>
      <c r="Q703" t="str">
        <f>_xlfn.XLOOKUP(B703,全店核心数据_bymonth!A:A,全店核心数据_bymonth!AN:AN)</f>
        <v>BU25</v>
      </c>
    </row>
    <row r="704" spans="1:17" x14ac:dyDescent="0.3">
      <c r="A704" t="s">
        <v>110</v>
      </c>
      <c r="B704" s="16">
        <v>45627</v>
      </c>
      <c r="C704" t="s">
        <v>3</v>
      </c>
      <c r="D704" t="s">
        <v>126</v>
      </c>
      <c r="E704">
        <v>2070</v>
      </c>
      <c r="F704">
        <v>1565</v>
      </c>
      <c r="G704">
        <v>84</v>
      </c>
      <c r="H704">
        <v>53</v>
      </c>
      <c r="I704">
        <v>241782.5</v>
      </c>
      <c r="J704">
        <v>26</v>
      </c>
      <c r="K704">
        <v>179735</v>
      </c>
      <c r="L704">
        <v>23</v>
      </c>
      <c r="M704">
        <v>410</v>
      </c>
      <c r="N704">
        <v>1986</v>
      </c>
      <c r="O704">
        <f t="shared" si="20"/>
        <v>2024</v>
      </c>
      <c r="P704">
        <f t="shared" si="21"/>
        <v>12</v>
      </c>
      <c r="Q704" t="str">
        <f>_xlfn.XLOOKUP(B704,全店核心数据_bymonth!A:A,全店核心数据_bymonth!AN:AN)</f>
        <v>BU25</v>
      </c>
    </row>
    <row r="705" spans="1:17" x14ac:dyDescent="0.3">
      <c r="A705" t="s">
        <v>110</v>
      </c>
      <c r="B705" s="16">
        <v>45627</v>
      </c>
      <c r="C705" t="s">
        <v>3</v>
      </c>
      <c r="D705" t="s">
        <v>125</v>
      </c>
      <c r="E705">
        <v>56</v>
      </c>
      <c r="F705">
        <v>34</v>
      </c>
      <c r="G705">
        <v>3</v>
      </c>
      <c r="H705">
        <v>1</v>
      </c>
      <c r="I705">
        <v>14162.72</v>
      </c>
      <c r="J705">
        <v>1</v>
      </c>
      <c r="K705">
        <v>14162.72</v>
      </c>
      <c r="L705">
        <v>1</v>
      </c>
      <c r="M705">
        <v>13</v>
      </c>
      <c r="N705">
        <v>56</v>
      </c>
      <c r="O705">
        <f t="shared" si="20"/>
        <v>2024</v>
      </c>
      <c r="P705">
        <f t="shared" si="21"/>
        <v>12</v>
      </c>
      <c r="Q705" t="str">
        <f>_xlfn.XLOOKUP(B705,全店核心数据_bymonth!A:A,全店核心数据_bymonth!AN:AN)</f>
        <v>BU25</v>
      </c>
    </row>
    <row r="706" spans="1:17" x14ac:dyDescent="0.3">
      <c r="A706" t="s">
        <v>110</v>
      </c>
      <c r="B706" s="16">
        <v>45627</v>
      </c>
      <c r="C706" t="s">
        <v>3</v>
      </c>
      <c r="D706" t="s">
        <v>123</v>
      </c>
      <c r="E706">
        <v>3705</v>
      </c>
      <c r="F706">
        <v>2080</v>
      </c>
      <c r="G706">
        <v>202</v>
      </c>
      <c r="H706">
        <v>81</v>
      </c>
      <c r="I706">
        <v>315783.11</v>
      </c>
      <c r="J706">
        <v>55</v>
      </c>
      <c r="K706">
        <v>241805.61</v>
      </c>
      <c r="L706">
        <v>48</v>
      </c>
      <c r="M706">
        <v>1431</v>
      </c>
      <c r="N706">
        <v>3191</v>
      </c>
      <c r="O706">
        <f t="shared" ref="O706:O769" si="22">YEAR(B706)</f>
        <v>2024</v>
      </c>
      <c r="P706">
        <f t="shared" ref="P706:P769" si="23">MONTH(B706)</f>
        <v>12</v>
      </c>
      <c r="Q706" t="str">
        <f>_xlfn.XLOOKUP(B706,全店核心数据_bymonth!A:A,全店核心数据_bymonth!AN:AN)</f>
        <v>BU25</v>
      </c>
    </row>
    <row r="707" spans="1:17" x14ac:dyDescent="0.3">
      <c r="A707" t="s">
        <v>110</v>
      </c>
      <c r="B707" s="16">
        <v>45627</v>
      </c>
      <c r="C707" t="s">
        <v>3</v>
      </c>
      <c r="D707" t="s">
        <v>122</v>
      </c>
      <c r="E707">
        <v>30</v>
      </c>
      <c r="F707">
        <v>26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5</v>
      </c>
      <c r="O707">
        <f t="shared" si="22"/>
        <v>2024</v>
      </c>
      <c r="P707">
        <f t="shared" si="23"/>
        <v>12</v>
      </c>
      <c r="Q707" t="str">
        <f>_xlfn.XLOOKUP(B707,全店核心数据_bymonth!A:A,全店核心数据_bymonth!AN:AN)</f>
        <v>BU25</v>
      </c>
    </row>
    <row r="708" spans="1:17" x14ac:dyDescent="0.3">
      <c r="A708" t="s">
        <v>110</v>
      </c>
      <c r="B708" s="16">
        <v>45627</v>
      </c>
      <c r="C708" t="s">
        <v>3</v>
      </c>
      <c r="D708" t="s">
        <v>121</v>
      </c>
      <c r="E708">
        <v>56</v>
      </c>
      <c r="F708">
        <v>52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13</v>
      </c>
      <c r="N708">
        <v>45</v>
      </c>
      <c r="O708">
        <f t="shared" si="22"/>
        <v>2024</v>
      </c>
      <c r="P708">
        <f t="shared" si="23"/>
        <v>12</v>
      </c>
      <c r="Q708" t="str">
        <f>_xlfn.XLOOKUP(B708,全店核心数据_bymonth!A:A,全店核心数据_bymonth!AN:AN)</f>
        <v>BU25</v>
      </c>
    </row>
    <row r="709" spans="1:17" x14ac:dyDescent="0.3">
      <c r="A709" t="s">
        <v>110</v>
      </c>
      <c r="B709" s="16">
        <v>45627</v>
      </c>
      <c r="C709" t="s">
        <v>3</v>
      </c>
      <c r="D709" t="s">
        <v>119</v>
      </c>
      <c r="E709">
        <v>4184</v>
      </c>
      <c r="F709">
        <v>2130</v>
      </c>
      <c r="G709">
        <v>264</v>
      </c>
      <c r="H709">
        <v>130</v>
      </c>
      <c r="I709">
        <v>1674667.39</v>
      </c>
      <c r="J709">
        <v>194</v>
      </c>
      <c r="K709">
        <v>1263779.23</v>
      </c>
      <c r="L709">
        <v>180</v>
      </c>
      <c r="M709">
        <v>1104</v>
      </c>
      <c r="N709">
        <v>4028</v>
      </c>
      <c r="O709">
        <f t="shared" si="22"/>
        <v>2024</v>
      </c>
      <c r="P709">
        <f t="shared" si="23"/>
        <v>12</v>
      </c>
      <c r="Q709" t="str">
        <f>_xlfn.XLOOKUP(B709,全店核心数据_bymonth!A:A,全店核心数据_bymonth!AN:AN)</f>
        <v>BU25</v>
      </c>
    </row>
    <row r="710" spans="1:17" x14ac:dyDescent="0.3">
      <c r="A710" t="s">
        <v>110</v>
      </c>
      <c r="B710" s="16">
        <v>45627</v>
      </c>
      <c r="C710" t="s">
        <v>3</v>
      </c>
      <c r="D710" t="s">
        <v>252</v>
      </c>
      <c r="E710">
        <v>92</v>
      </c>
      <c r="F710">
        <v>85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6</v>
      </c>
      <c r="N710">
        <v>89</v>
      </c>
      <c r="O710">
        <f t="shared" si="22"/>
        <v>2024</v>
      </c>
      <c r="P710">
        <f t="shared" si="23"/>
        <v>12</v>
      </c>
      <c r="Q710" t="str">
        <f>_xlfn.XLOOKUP(B710,全店核心数据_bymonth!A:A,全店核心数据_bymonth!AN:AN)</f>
        <v>BU25</v>
      </c>
    </row>
    <row r="711" spans="1:17" x14ac:dyDescent="0.3">
      <c r="A711" t="s">
        <v>110</v>
      </c>
      <c r="B711" s="16">
        <v>45627</v>
      </c>
      <c r="C711" t="s">
        <v>3</v>
      </c>
      <c r="D711" t="s">
        <v>117</v>
      </c>
      <c r="E711">
        <v>56</v>
      </c>
      <c r="F711">
        <v>50</v>
      </c>
      <c r="G711">
        <v>4</v>
      </c>
      <c r="H711">
        <v>2</v>
      </c>
      <c r="I711">
        <v>0</v>
      </c>
      <c r="J711">
        <v>0</v>
      </c>
      <c r="K711">
        <v>0</v>
      </c>
      <c r="L711">
        <v>0</v>
      </c>
      <c r="M711">
        <v>6</v>
      </c>
      <c r="N711">
        <v>56</v>
      </c>
      <c r="O711">
        <f t="shared" si="22"/>
        <v>2024</v>
      </c>
      <c r="P711">
        <f t="shared" si="23"/>
        <v>12</v>
      </c>
      <c r="Q711" t="str">
        <f>_xlfn.XLOOKUP(B711,全店核心数据_bymonth!A:A,全店核心数据_bymonth!AN:AN)</f>
        <v>BU25</v>
      </c>
    </row>
    <row r="712" spans="1:17" x14ac:dyDescent="0.3">
      <c r="A712" t="s">
        <v>110</v>
      </c>
      <c r="B712" s="16">
        <v>45627</v>
      </c>
      <c r="C712" t="s">
        <v>3</v>
      </c>
      <c r="D712" t="s">
        <v>115</v>
      </c>
      <c r="E712">
        <v>48</v>
      </c>
      <c r="F712">
        <v>31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9</v>
      </c>
      <c r="N712">
        <v>47</v>
      </c>
      <c r="O712">
        <f t="shared" si="22"/>
        <v>2024</v>
      </c>
      <c r="P712">
        <f t="shared" si="23"/>
        <v>12</v>
      </c>
      <c r="Q712" t="str">
        <f>_xlfn.XLOOKUP(B712,全店核心数据_bymonth!A:A,全店核心数据_bymonth!AN:AN)</f>
        <v>BU25</v>
      </c>
    </row>
    <row r="713" spans="1:17" x14ac:dyDescent="0.3">
      <c r="A713" t="s">
        <v>110</v>
      </c>
      <c r="B713" s="16">
        <v>45627</v>
      </c>
      <c r="C713" t="s">
        <v>3</v>
      </c>
      <c r="D713" t="s">
        <v>391</v>
      </c>
      <c r="E713">
        <v>1438</v>
      </c>
      <c r="F713">
        <v>1044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340</v>
      </c>
      <c r="N713">
        <v>1397</v>
      </c>
      <c r="O713">
        <f t="shared" si="22"/>
        <v>2024</v>
      </c>
      <c r="P713">
        <f t="shared" si="23"/>
        <v>12</v>
      </c>
      <c r="Q713" t="str">
        <f>_xlfn.XLOOKUP(B713,全店核心数据_bymonth!A:A,全店核心数据_bymonth!AN:AN)</f>
        <v>BU25</v>
      </c>
    </row>
    <row r="714" spans="1:17" x14ac:dyDescent="0.3">
      <c r="A714" t="s">
        <v>110</v>
      </c>
      <c r="B714" s="16">
        <v>45627</v>
      </c>
      <c r="C714" t="s">
        <v>3</v>
      </c>
      <c r="D714" t="s">
        <v>114</v>
      </c>
      <c r="E714">
        <v>1251</v>
      </c>
      <c r="F714">
        <v>587</v>
      </c>
      <c r="G714">
        <v>59</v>
      </c>
      <c r="H714">
        <v>15</v>
      </c>
      <c r="I714">
        <v>66229</v>
      </c>
      <c r="J714">
        <v>16</v>
      </c>
      <c r="K714">
        <v>41925</v>
      </c>
      <c r="L714">
        <v>12</v>
      </c>
      <c r="M714">
        <v>148</v>
      </c>
      <c r="N714">
        <v>1217</v>
      </c>
      <c r="O714">
        <f t="shared" si="22"/>
        <v>2024</v>
      </c>
      <c r="P714">
        <f t="shared" si="23"/>
        <v>12</v>
      </c>
      <c r="Q714" t="str">
        <f>_xlfn.XLOOKUP(B714,全店核心数据_bymonth!A:A,全店核心数据_bymonth!AN:AN)</f>
        <v>BU25</v>
      </c>
    </row>
    <row r="715" spans="1:17" x14ac:dyDescent="0.3">
      <c r="A715" t="s">
        <v>110</v>
      </c>
      <c r="B715" s="16">
        <v>45627</v>
      </c>
      <c r="C715" t="s">
        <v>3</v>
      </c>
      <c r="D715" t="s">
        <v>113</v>
      </c>
      <c r="E715">
        <v>2225</v>
      </c>
      <c r="F715">
        <v>1615</v>
      </c>
      <c r="G715">
        <v>57</v>
      </c>
      <c r="H715">
        <v>22</v>
      </c>
      <c r="I715">
        <v>33645</v>
      </c>
      <c r="J715">
        <v>6</v>
      </c>
      <c r="K715">
        <v>19705</v>
      </c>
      <c r="L715">
        <v>4</v>
      </c>
      <c r="M715">
        <v>1817</v>
      </c>
      <c r="N715">
        <v>1333</v>
      </c>
      <c r="O715">
        <f t="shared" si="22"/>
        <v>2024</v>
      </c>
      <c r="P715">
        <f t="shared" si="23"/>
        <v>12</v>
      </c>
      <c r="Q715" t="str">
        <f>_xlfn.XLOOKUP(B715,全店核心数据_bymonth!A:A,全店核心数据_bymonth!AN:AN)</f>
        <v>BU25</v>
      </c>
    </row>
    <row r="716" spans="1:17" x14ac:dyDescent="0.3">
      <c r="A716" t="s">
        <v>110</v>
      </c>
      <c r="B716" s="16">
        <v>45627</v>
      </c>
      <c r="C716" t="s">
        <v>3</v>
      </c>
      <c r="D716" t="s">
        <v>112</v>
      </c>
      <c r="E716">
        <v>135</v>
      </c>
      <c r="F716">
        <v>52</v>
      </c>
      <c r="G716">
        <v>8</v>
      </c>
      <c r="H716">
        <v>1</v>
      </c>
      <c r="I716">
        <v>173200.35</v>
      </c>
      <c r="J716">
        <v>31</v>
      </c>
      <c r="K716">
        <v>157615.35</v>
      </c>
      <c r="L716">
        <v>31</v>
      </c>
      <c r="M716">
        <v>3</v>
      </c>
      <c r="N716">
        <v>134</v>
      </c>
      <c r="O716">
        <f t="shared" si="22"/>
        <v>2024</v>
      </c>
      <c r="P716">
        <f t="shared" si="23"/>
        <v>12</v>
      </c>
      <c r="Q716" t="str">
        <f>_xlfn.XLOOKUP(B716,全店核心数据_bymonth!A:A,全店核心数据_bymonth!AN:AN)</f>
        <v>BU25</v>
      </c>
    </row>
    <row r="717" spans="1:17" x14ac:dyDescent="0.3">
      <c r="A717" t="s">
        <v>110</v>
      </c>
      <c r="B717" s="16">
        <v>45261</v>
      </c>
      <c r="C717" t="s">
        <v>2</v>
      </c>
      <c r="D717" t="s">
        <v>4</v>
      </c>
      <c r="E717">
        <v>7283</v>
      </c>
      <c r="F717">
        <v>4453</v>
      </c>
      <c r="G717">
        <v>27</v>
      </c>
      <c r="H717">
        <v>10</v>
      </c>
      <c r="I717">
        <v>132357.5</v>
      </c>
      <c r="J717">
        <v>19</v>
      </c>
      <c r="K717">
        <v>119347.5</v>
      </c>
      <c r="L717">
        <v>19</v>
      </c>
      <c r="N717">
        <v>4207</v>
      </c>
      <c r="O717">
        <f t="shared" si="22"/>
        <v>2023</v>
      </c>
      <c r="P717">
        <f t="shared" si="23"/>
        <v>12</v>
      </c>
      <c r="Q717" t="str">
        <f>_xlfn.XLOOKUP(B717,全店核心数据_bymonth!A:A,全店核心数据_bymonth!AN:AN)</f>
        <v>BU24</v>
      </c>
    </row>
    <row r="718" spans="1:17" x14ac:dyDescent="0.3">
      <c r="A718" t="s">
        <v>110</v>
      </c>
      <c r="B718" s="16">
        <v>45261</v>
      </c>
      <c r="C718" t="s">
        <v>2</v>
      </c>
      <c r="D718" t="s">
        <v>57</v>
      </c>
      <c r="E718">
        <v>128914</v>
      </c>
      <c r="F718">
        <v>116428</v>
      </c>
      <c r="G718">
        <v>1610</v>
      </c>
      <c r="H718">
        <v>1149</v>
      </c>
      <c r="I718">
        <v>2155978.5</v>
      </c>
      <c r="J718">
        <v>279</v>
      </c>
      <c r="K718">
        <v>1308879</v>
      </c>
      <c r="L718">
        <v>219</v>
      </c>
      <c r="N718">
        <v>127864</v>
      </c>
      <c r="O718">
        <f t="shared" si="22"/>
        <v>2023</v>
      </c>
      <c r="P718">
        <f t="shared" si="23"/>
        <v>12</v>
      </c>
      <c r="Q718" t="str">
        <f>_xlfn.XLOOKUP(B718,全店核心数据_bymonth!A:A,全店核心数据_bymonth!AN:AN)</f>
        <v>BU24</v>
      </c>
    </row>
    <row r="719" spans="1:17" x14ac:dyDescent="0.3">
      <c r="A719" t="s">
        <v>110</v>
      </c>
      <c r="B719" s="16">
        <v>45261</v>
      </c>
      <c r="C719" t="s">
        <v>2</v>
      </c>
      <c r="D719" t="s">
        <v>52</v>
      </c>
      <c r="E719">
        <v>88179</v>
      </c>
      <c r="F719">
        <v>82954</v>
      </c>
      <c r="G719">
        <v>418</v>
      </c>
      <c r="H719">
        <v>157</v>
      </c>
      <c r="I719">
        <v>672882.5</v>
      </c>
      <c r="J719">
        <v>89</v>
      </c>
      <c r="K719">
        <v>462042.5</v>
      </c>
      <c r="L719">
        <v>76</v>
      </c>
      <c r="N719">
        <v>18606</v>
      </c>
      <c r="O719">
        <f t="shared" si="22"/>
        <v>2023</v>
      </c>
      <c r="P719">
        <f t="shared" si="23"/>
        <v>12</v>
      </c>
      <c r="Q719" t="str">
        <f>_xlfn.XLOOKUP(B719,全店核心数据_bymonth!A:A,全店核心数据_bymonth!AN:AN)</f>
        <v>BU24</v>
      </c>
    </row>
    <row r="720" spans="1:17" x14ac:dyDescent="0.3">
      <c r="A720" t="s">
        <v>110</v>
      </c>
      <c r="B720" s="16">
        <v>45261</v>
      </c>
      <c r="C720" t="s">
        <v>2</v>
      </c>
      <c r="D720" t="s">
        <v>55</v>
      </c>
      <c r="E720">
        <v>23227</v>
      </c>
      <c r="F720">
        <v>19487</v>
      </c>
      <c r="G720">
        <v>4</v>
      </c>
      <c r="H720">
        <v>6</v>
      </c>
      <c r="I720">
        <v>0</v>
      </c>
      <c r="J720">
        <v>0</v>
      </c>
      <c r="K720">
        <v>0</v>
      </c>
      <c r="L720">
        <v>0</v>
      </c>
      <c r="N720">
        <v>3328</v>
      </c>
      <c r="O720">
        <f t="shared" si="22"/>
        <v>2023</v>
      </c>
      <c r="P720">
        <f t="shared" si="23"/>
        <v>12</v>
      </c>
      <c r="Q720" t="str">
        <f>_xlfn.XLOOKUP(B720,全店核心数据_bymonth!A:A,全店核心数据_bymonth!AN:AN)</f>
        <v>BU24</v>
      </c>
    </row>
    <row r="721" spans="1:17" x14ac:dyDescent="0.3">
      <c r="A721" t="s">
        <v>110</v>
      </c>
      <c r="B721" s="16">
        <v>45261</v>
      </c>
      <c r="C721" t="s">
        <v>3</v>
      </c>
      <c r="D721" t="s">
        <v>155</v>
      </c>
      <c r="E721">
        <v>173</v>
      </c>
      <c r="F721">
        <v>144</v>
      </c>
      <c r="G721">
        <v>0</v>
      </c>
      <c r="H721">
        <v>1</v>
      </c>
      <c r="I721">
        <v>0</v>
      </c>
      <c r="J721">
        <v>0</v>
      </c>
      <c r="K721">
        <v>0</v>
      </c>
      <c r="L721">
        <v>0</v>
      </c>
      <c r="N721">
        <v>173</v>
      </c>
      <c r="O721">
        <f t="shared" si="22"/>
        <v>2023</v>
      </c>
      <c r="P721">
        <f t="shared" si="23"/>
        <v>12</v>
      </c>
      <c r="Q721" t="str">
        <f>_xlfn.XLOOKUP(B721,全店核心数据_bymonth!A:A,全店核心数据_bymonth!AN:AN)</f>
        <v>BU24</v>
      </c>
    </row>
    <row r="722" spans="1:17" x14ac:dyDescent="0.3">
      <c r="A722" t="s">
        <v>110</v>
      </c>
      <c r="B722" s="16">
        <v>45261</v>
      </c>
      <c r="C722" t="s">
        <v>3</v>
      </c>
      <c r="D722" t="s">
        <v>154</v>
      </c>
      <c r="E722">
        <v>13204</v>
      </c>
      <c r="F722">
        <v>13052</v>
      </c>
      <c r="G722">
        <v>2</v>
      </c>
      <c r="H722">
        <v>2</v>
      </c>
      <c r="I722">
        <v>0</v>
      </c>
      <c r="J722">
        <v>0</v>
      </c>
      <c r="K722">
        <v>0</v>
      </c>
      <c r="L722">
        <v>0</v>
      </c>
      <c r="N722">
        <v>107</v>
      </c>
      <c r="O722">
        <f t="shared" si="22"/>
        <v>2023</v>
      </c>
      <c r="P722">
        <f t="shared" si="23"/>
        <v>12</v>
      </c>
      <c r="Q722" t="str">
        <f>_xlfn.XLOOKUP(B722,全店核心数据_bymonth!A:A,全店核心数据_bymonth!AN:AN)</f>
        <v>BU24</v>
      </c>
    </row>
    <row r="723" spans="1:17" x14ac:dyDescent="0.3">
      <c r="A723" t="s">
        <v>110</v>
      </c>
      <c r="B723" s="16">
        <v>45261</v>
      </c>
      <c r="C723" t="s">
        <v>3</v>
      </c>
      <c r="D723" t="s">
        <v>153</v>
      </c>
      <c r="E723">
        <v>4563</v>
      </c>
      <c r="F723">
        <v>2471</v>
      </c>
      <c r="G723">
        <v>411</v>
      </c>
      <c r="H723">
        <v>56</v>
      </c>
      <c r="I723">
        <v>3172398.5</v>
      </c>
      <c r="J723">
        <v>470</v>
      </c>
      <c r="K723">
        <v>2535382.5</v>
      </c>
      <c r="L723">
        <v>426</v>
      </c>
      <c r="N723">
        <v>4256</v>
      </c>
      <c r="O723">
        <f t="shared" si="22"/>
        <v>2023</v>
      </c>
      <c r="P723">
        <f t="shared" si="23"/>
        <v>12</v>
      </c>
      <c r="Q723" t="str">
        <f>_xlfn.XLOOKUP(B723,全店核心数据_bymonth!A:A,全店核心数据_bymonth!AN:AN)</f>
        <v>BU24</v>
      </c>
    </row>
    <row r="724" spans="1:17" x14ac:dyDescent="0.3">
      <c r="A724" t="s">
        <v>110</v>
      </c>
      <c r="B724" s="16">
        <v>45261</v>
      </c>
      <c r="C724" t="s">
        <v>3</v>
      </c>
      <c r="D724" t="s">
        <v>152</v>
      </c>
      <c r="E724">
        <v>185</v>
      </c>
      <c r="F724">
        <v>119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N724">
        <v>125</v>
      </c>
      <c r="O724">
        <f t="shared" si="22"/>
        <v>2023</v>
      </c>
      <c r="P724">
        <f t="shared" si="23"/>
        <v>12</v>
      </c>
      <c r="Q724" t="str">
        <f>_xlfn.XLOOKUP(B724,全店核心数据_bymonth!A:A,全店核心数据_bymonth!AN:AN)</f>
        <v>BU24</v>
      </c>
    </row>
    <row r="725" spans="1:17" x14ac:dyDescent="0.3">
      <c r="A725" t="s">
        <v>110</v>
      </c>
      <c r="B725" s="16">
        <v>45261</v>
      </c>
      <c r="C725" t="s">
        <v>3</v>
      </c>
      <c r="D725" t="s">
        <v>151</v>
      </c>
      <c r="E725">
        <v>34</v>
      </c>
      <c r="F725">
        <v>22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N725">
        <v>34</v>
      </c>
      <c r="O725">
        <f t="shared" si="22"/>
        <v>2023</v>
      </c>
      <c r="P725">
        <f t="shared" si="23"/>
        <v>12</v>
      </c>
      <c r="Q725" t="str">
        <f>_xlfn.XLOOKUP(B725,全店核心数据_bymonth!A:A,全店核心数据_bymonth!AN:AN)</f>
        <v>BU24</v>
      </c>
    </row>
    <row r="726" spans="1:17" x14ac:dyDescent="0.3">
      <c r="A726" t="s">
        <v>110</v>
      </c>
      <c r="B726" s="16">
        <v>45261</v>
      </c>
      <c r="C726" t="s">
        <v>3</v>
      </c>
      <c r="D726" t="s">
        <v>149</v>
      </c>
      <c r="E726">
        <v>521</v>
      </c>
      <c r="F726">
        <v>268</v>
      </c>
      <c r="G726">
        <v>24</v>
      </c>
      <c r="H726">
        <v>3</v>
      </c>
      <c r="I726">
        <v>40435</v>
      </c>
      <c r="J726">
        <v>5</v>
      </c>
      <c r="K726">
        <v>29795</v>
      </c>
      <c r="L726">
        <v>4</v>
      </c>
      <c r="N726">
        <v>430</v>
      </c>
      <c r="O726">
        <f t="shared" si="22"/>
        <v>2023</v>
      </c>
      <c r="P726">
        <f t="shared" si="23"/>
        <v>12</v>
      </c>
      <c r="Q726" t="str">
        <f>_xlfn.XLOOKUP(B726,全店核心数据_bymonth!A:A,全店核心数据_bymonth!AN:AN)</f>
        <v>BU24</v>
      </c>
    </row>
    <row r="727" spans="1:17" x14ac:dyDescent="0.3">
      <c r="A727" t="s">
        <v>110</v>
      </c>
      <c r="B727" s="16">
        <v>45261</v>
      </c>
      <c r="C727" t="s">
        <v>3</v>
      </c>
      <c r="D727" t="s">
        <v>148</v>
      </c>
      <c r="E727">
        <v>168</v>
      </c>
      <c r="F727">
        <v>110</v>
      </c>
      <c r="G727">
        <v>0</v>
      </c>
      <c r="H727">
        <v>0</v>
      </c>
      <c r="I727">
        <v>4495</v>
      </c>
      <c r="J727">
        <v>1</v>
      </c>
      <c r="K727">
        <v>4495</v>
      </c>
      <c r="L727">
        <v>1</v>
      </c>
      <c r="N727">
        <v>111</v>
      </c>
      <c r="O727">
        <f t="shared" si="22"/>
        <v>2023</v>
      </c>
      <c r="P727">
        <f t="shared" si="23"/>
        <v>12</v>
      </c>
      <c r="Q727" t="str">
        <f>_xlfn.XLOOKUP(B727,全店核心数据_bymonth!A:A,全店核心数据_bymonth!AN:AN)</f>
        <v>BU24</v>
      </c>
    </row>
    <row r="728" spans="1:17" x14ac:dyDescent="0.3">
      <c r="A728" t="s">
        <v>110</v>
      </c>
      <c r="B728" s="16">
        <v>45261</v>
      </c>
      <c r="C728" t="s">
        <v>3</v>
      </c>
      <c r="D728" t="s">
        <v>251</v>
      </c>
      <c r="E728">
        <v>43327</v>
      </c>
      <c r="F728">
        <v>41786</v>
      </c>
      <c r="G728">
        <v>85</v>
      </c>
      <c r="H728">
        <v>34</v>
      </c>
      <c r="I728">
        <v>289162.5</v>
      </c>
      <c r="J728">
        <v>51</v>
      </c>
      <c r="K728">
        <v>243677.5</v>
      </c>
      <c r="L728">
        <v>48</v>
      </c>
      <c r="N728">
        <v>2906</v>
      </c>
      <c r="O728">
        <f t="shared" si="22"/>
        <v>2023</v>
      </c>
      <c r="P728">
        <f t="shared" si="23"/>
        <v>12</v>
      </c>
      <c r="Q728" t="str">
        <f>_xlfn.XLOOKUP(B728,全店核心数据_bymonth!A:A,全店核心数据_bymonth!AN:AN)</f>
        <v>BU24</v>
      </c>
    </row>
    <row r="729" spans="1:17" x14ac:dyDescent="0.3">
      <c r="A729" t="s">
        <v>110</v>
      </c>
      <c r="B729" s="16">
        <v>45261</v>
      </c>
      <c r="C729" t="s">
        <v>3</v>
      </c>
      <c r="D729" t="s">
        <v>143</v>
      </c>
      <c r="E729">
        <v>163</v>
      </c>
      <c r="F729">
        <v>142</v>
      </c>
      <c r="G729">
        <v>2</v>
      </c>
      <c r="H729">
        <v>0</v>
      </c>
      <c r="I729">
        <v>0</v>
      </c>
      <c r="J729">
        <v>0</v>
      </c>
      <c r="K729">
        <v>0</v>
      </c>
      <c r="L729">
        <v>0</v>
      </c>
      <c r="N729">
        <v>162</v>
      </c>
      <c r="O729">
        <f t="shared" si="22"/>
        <v>2023</v>
      </c>
      <c r="P729">
        <f t="shared" si="23"/>
        <v>12</v>
      </c>
      <c r="Q729" t="str">
        <f>_xlfn.XLOOKUP(B729,全店核心数据_bymonth!A:A,全店核心数据_bymonth!AN:AN)</f>
        <v>BU24</v>
      </c>
    </row>
    <row r="730" spans="1:17" x14ac:dyDescent="0.3">
      <c r="A730" t="s">
        <v>110</v>
      </c>
      <c r="B730" s="16">
        <v>45261</v>
      </c>
      <c r="C730" t="s">
        <v>3</v>
      </c>
      <c r="D730" t="s">
        <v>142</v>
      </c>
      <c r="E730">
        <v>313</v>
      </c>
      <c r="F730">
        <v>111</v>
      </c>
      <c r="G730">
        <v>5</v>
      </c>
      <c r="H730">
        <v>1</v>
      </c>
      <c r="I730">
        <v>14911.5</v>
      </c>
      <c r="J730">
        <v>4</v>
      </c>
      <c r="K730">
        <v>11485</v>
      </c>
      <c r="L730">
        <v>3</v>
      </c>
      <c r="N730">
        <v>313</v>
      </c>
      <c r="O730">
        <f t="shared" si="22"/>
        <v>2023</v>
      </c>
      <c r="P730">
        <f t="shared" si="23"/>
        <v>12</v>
      </c>
      <c r="Q730" t="str">
        <f>_xlfn.XLOOKUP(B730,全店核心数据_bymonth!A:A,全店核心数据_bymonth!AN:AN)</f>
        <v>BU24</v>
      </c>
    </row>
    <row r="731" spans="1:17" x14ac:dyDescent="0.3">
      <c r="A731" t="s">
        <v>110</v>
      </c>
      <c r="B731" s="16">
        <v>45261</v>
      </c>
      <c r="C731" t="s">
        <v>3</v>
      </c>
      <c r="D731" t="s">
        <v>141</v>
      </c>
      <c r="E731">
        <v>121</v>
      </c>
      <c r="F731">
        <v>120</v>
      </c>
      <c r="G731">
        <v>2</v>
      </c>
      <c r="H731">
        <v>0</v>
      </c>
      <c r="I731">
        <v>1680</v>
      </c>
      <c r="J731">
        <v>1</v>
      </c>
      <c r="K731">
        <v>1680</v>
      </c>
      <c r="L731">
        <v>1</v>
      </c>
      <c r="N731">
        <v>107</v>
      </c>
      <c r="O731">
        <f t="shared" si="22"/>
        <v>2023</v>
      </c>
      <c r="P731">
        <f t="shared" si="23"/>
        <v>12</v>
      </c>
      <c r="Q731" t="str">
        <f>_xlfn.XLOOKUP(B731,全店核心数据_bymonth!A:A,全店核心数据_bymonth!AN:AN)</f>
        <v>BU24</v>
      </c>
    </row>
    <row r="732" spans="1:17" x14ac:dyDescent="0.3">
      <c r="A732" t="s">
        <v>110</v>
      </c>
      <c r="B732" s="16">
        <v>45261</v>
      </c>
      <c r="C732" t="s">
        <v>3</v>
      </c>
      <c r="D732" t="s">
        <v>140</v>
      </c>
      <c r="E732">
        <v>204</v>
      </c>
      <c r="F732">
        <v>176</v>
      </c>
      <c r="G732">
        <v>17</v>
      </c>
      <c r="H732">
        <v>6</v>
      </c>
      <c r="I732">
        <v>94363</v>
      </c>
      <c r="J732">
        <v>10</v>
      </c>
      <c r="K732">
        <v>74468</v>
      </c>
      <c r="L732">
        <v>9</v>
      </c>
      <c r="N732">
        <v>127</v>
      </c>
      <c r="O732">
        <f t="shared" si="22"/>
        <v>2023</v>
      </c>
      <c r="P732">
        <f t="shared" si="23"/>
        <v>12</v>
      </c>
      <c r="Q732" t="str">
        <f>_xlfn.XLOOKUP(B732,全店核心数据_bymonth!A:A,全店核心数据_bymonth!AN:AN)</f>
        <v>BU24</v>
      </c>
    </row>
    <row r="733" spans="1:17" x14ac:dyDescent="0.3">
      <c r="A733" t="s">
        <v>110</v>
      </c>
      <c r="B733" s="16">
        <v>45261</v>
      </c>
      <c r="C733" t="s">
        <v>3</v>
      </c>
      <c r="D733" t="s">
        <v>139</v>
      </c>
      <c r="E733">
        <v>15000</v>
      </c>
      <c r="F733">
        <v>11075</v>
      </c>
      <c r="G733">
        <v>260</v>
      </c>
      <c r="H733">
        <v>88</v>
      </c>
      <c r="I733">
        <v>883204.53</v>
      </c>
      <c r="J733">
        <v>141</v>
      </c>
      <c r="K733">
        <v>738037.53</v>
      </c>
      <c r="L733">
        <v>129</v>
      </c>
      <c r="N733">
        <v>6510</v>
      </c>
      <c r="O733">
        <f t="shared" si="22"/>
        <v>2023</v>
      </c>
      <c r="P733">
        <f t="shared" si="23"/>
        <v>12</v>
      </c>
      <c r="Q733" t="str">
        <f>_xlfn.XLOOKUP(B733,全店核心数据_bymonth!A:A,全店核心数据_bymonth!AN:AN)</f>
        <v>BU24</v>
      </c>
    </row>
    <row r="734" spans="1:17" x14ac:dyDescent="0.3">
      <c r="A734" t="s">
        <v>110</v>
      </c>
      <c r="B734" s="16">
        <v>45261</v>
      </c>
      <c r="C734" t="s">
        <v>3</v>
      </c>
      <c r="D734" t="s">
        <v>187</v>
      </c>
      <c r="E734">
        <v>141</v>
      </c>
      <c r="F734">
        <v>118</v>
      </c>
      <c r="G734">
        <v>6</v>
      </c>
      <c r="H734">
        <v>3</v>
      </c>
      <c r="I734">
        <v>0</v>
      </c>
      <c r="J734">
        <v>0</v>
      </c>
      <c r="K734">
        <v>0</v>
      </c>
      <c r="L734">
        <v>0</v>
      </c>
      <c r="N734">
        <v>86</v>
      </c>
      <c r="O734">
        <f t="shared" si="22"/>
        <v>2023</v>
      </c>
      <c r="P734">
        <f t="shared" si="23"/>
        <v>12</v>
      </c>
      <c r="Q734" t="str">
        <f>_xlfn.XLOOKUP(B734,全店核心数据_bymonth!A:A,全店核心数据_bymonth!AN:AN)</f>
        <v>BU24</v>
      </c>
    </row>
    <row r="735" spans="1:17" x14ac:dyDescent="0.3">
      <c r="A735" t="s">
        <v>110</v>
      </c>
      <c r="B735" s="16">
        <v>45261</v>
      </c>
      <c r="C735" t="s">
        <v>3</v>
      </c>
      <c r="D735" t="s">
        <v>138</v>
      </c>
      <c r="E735">
        <v>5460</v>
      </c>
      <c r="F735">
        <v>3612</v>
      </c>
      <c r="G735">
        <v>103</v>
      </c>
      <c r="H735">
        <v>60</v>
      </c>
      <c r="I735">
        <v>58291</v>
      </c>
      <c r="J735">
        <v>11</v>
      </c>
      <c r="K735">
        <v>33296</v>
      </c>
      <c r="L735">
        <v>8</v>
      </c>
      <c r="N735">
        <v>5230</v>
      </c>
      <c r="O735">
        <f t="shared" si="22"/>
        <v>2023</v>
      </c>
      <c r="P735">
        <f t="shared" si="23"/>
        <v>12</v>
      </c>
      <c r="Q735" t="str">
        <f>_xlfn.XLOOKUP(B735,全店核心数据_bymonth!A:A,全店核心数据_bymonth!AN:AN)</f>
        <v>BU24</v>
      </c>
    </row>
    <row r="736" spans="1:17" x14ac:dyDescent="0.3">
      <c r="A736" t="s">
        <v>110</v>
      </c>
      <c r="B736" s="16">
        <v>45261</v>
      </c>
      <c r="C736" t="s">
        <v>3</v>
      </c>
      <c r="D736" t="s">
        <v>137</v>
      </c>
      <c r="E736">
        <v>82</v>
      </c>
      <c r="F736">
        <v>38</v>
      </c>
      <c r="G736">
        <v>6</v>
      </c>
      <c r="H736">
        <v>1</v>
      </c>
      <c r="I736">
        <v>27161.5</v>
      </c>
      <c r="J736">
        <v>5</v>
      </c>
      <c r="K736">
        <v>27161.5</v>
      </c>
      <c r="L736">
        <v>5</v>
      </c>
      <c r="N736">
        <v>81</v>
      </c>
      <c r="O736">
        <f t="shared" si="22"/>
        <v>2023</v>
      </c>
      <c r="P736">
        <f t="shared" si="23"/>
        <v>12</v>
      </c>
      <c r="Q736" t="str">
        <f>_xlfn.XLOOKUP(B736,全店核心数据_bymonth!A:A,全店核心数据_bymonth!AN:AN)</f>
        <v>BU24</v>
      </c>
    </row>
    <row r="737" spans="1:17" x14ac:dyDescent="0.3">
      <c r="A737" t="s">
        <v>110</v>
      </c>
      <c r="B737" s="16">
        <v>45261</v>
      </c>
      <c r="C737" t="s">
        <v>3</v>
      </c>
      <c r="D737" t="s">
        <v>135</v>
      </c>
      <c r="E737">
        <v>4</v>
      </c>
      <c r="F737">
        <v>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N737">
        <v>0</v>
      </c>
      <c r="O737">
        <f t="shared" si="22"/>
        <v>2023</v>
      </c>
      <c r="P737">
        <f t="shared" si="23"/>
        <v>12</v>
      </c>
      <c r="Q737" t="str">
        <f>_xlfn.XLOOKUP(B737,全店核心数据_bymonth!A:A,全店核心数据_bymonth!AN:AN)</f>
        <v>BU24</v>
      </c>
    </row>
    <row r="738" spans="1:17" x14ac:dyDescent="0.3">
      <c r="A738" t="s">
        <v>110</v>
      </c>
      <c r="B738" s="16">
        <v>45261</v>
      </c>
      <c r="C738" t="s">
        <v>3</v>
      </c>
      <c r="D738" t="s">
        <v>133</v>
      </c>
      <c r="E738">
        <v>405</v>
      </c>
      <c r="F738">
        <v>258</v>
      </c>
      <c r="G738">
        <v>16</v>
      </c>
      <c r="H738">
        <v>2</v>
      </c>
      <c r="I738">
        <v>30150</v>
      </c>
      <c r="J738">
        <v>7</v>
      </c>
      <c r="K738">
        <v>30150</v>
      </c>
      <c r="L738">
        <v>7</v>
      </c>
      <c r="N738">
        <v>225</v>
      </c>
      <c r="O738">
        <f t="shared" si="22"/>
        <v>2023</v>
      </c>
      <c r="P738">
        <f t="shared" si="23"/>
        <v>12</v>
      </c>
      <c r="Q738" t="str">
        <f>_xlfn.XLOOKUP(B738,全店核心数据_bymonth!A:A,全店核心数据_bymonth!AN:AN)</f>
        <v>BU24</v>
      </c>
    </row>
    <row r="739" spans="1:17" x14ac:dyDescent="0.3">
      <c r="A739" t="s">
        <v>110</v>
      </c>
      <c r="B739" s="16">
        <v>45261</v>
      </c>
      <c r="C739" t="s">
        <v>3</v>
      </c>
      <c r="D739" t="s">
        <v>132</v>
      </c>
      <c r="E739">
        <v>166</v>
      </c>
      <c r="F739">
        <v>131</v>
      </c>
      <c r="G739">
        <v>4</v>
      </c>
      <c r="H739">
        <v>5</v>
      </c>
      <c r="I739">
        <v>0</v>
      </c>
      <c r="J739">
        <v>0</v>
      </c>
      <c r="K739">
        <v>0</v>
      </c>
      <c r="L739">
        <v>0</v>
      </c>
      <c r="N739">
        <v>166</v>
      </c>
      <c r="O739">
        <f t="shared" si="22"/>
        <v>2023</v>
      </c>
      <c r="P739">
        <f t="shared" si="23"/>
        <v>12</v>
      </c>
      <c r="Q739" t="str">
        <f>_xlfn.XLOOKUP(B739,全店核心数据_bymonth!A:A,全店核心数据_bymonth!AN:AN)</f>
        <v>BU24</v>
      </c>
    </row>
    <row r="740" spans="1:17" x14ac:dyDescent="0.3">
      <c r="A740" t="s">
        <v>110</v>
      </c>
      <c r="B740" s="16">
        <v>45261</v>
      </c>
      <c r="C740" t="s">
        <v>3</v>
      </c>
      <c r="D740" t="s">
        <v>131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N740">
        <v>1</v>
      </c>
      <c r="O740">
        <f t="shared" si="22"/>
        <v>2023</v>
      </c>
      <c r="P740">
        <f t="shared" si="23"/>
        <v>12</v>
      </c>
      <c r="Q740" t="str">
        <f>_xlfn.XLOOKUP(B740,全店核心数据_bymonth!A:A,全店核心数据_bymonth!AN:AN)</f>
        <v>BU24</v>
      </c>
    </row>
    <row r="741" spans="1:17" x14ac:dyDescent="0.3">
      <c r="A741" t="s">
        <v>110</v>
      </c>
      <c r="B741" s="16">
        <v>45261</v>
      </c>
      <c r="C741" t="s">
        <v>3</v>
      </c>
      <c r="D741" t="s">
        <v>130</v>
      </c>
      <c r="E741">
        <v>1320</v>
      </c>
      <c r="F741">
        <v>606</v>
      </c>
      <c r="G741">
        <v>159</v>
      </c>
      <c r="H741">
        <v>34</v>
      </c>
      <c r="I741">
        <v>998440</v>
      </c>
      <c r="J741">
        <v>169</v>
      </c>
      <c r="K741">
        <v>824962.5</v>
      </c>
      <c r="L741">
        <v>156</v>
      </c>
      <c r="N741">
        <v>1216</v>
      </c>
      <c r="O741">
        <f t="shared" si="22"/>
        <v>2023</v>
      </c>
      <c r="P741">
        <f t="shared" si="23"/>
        <v>12</v>
      </c>
      <c r="Q741" t="str">
        <f>_xlfn.XLOOKUP(B741,全店核心数据_bymonth!A:A,全店核心数据_bymonth!AN:AN)</f>
        <v>BU24</v>
      </c>
    </row>
    <row r="742" spans="1:17" x14ac:dyDescent="0.3">
      <c r="A742" t="s">
        <v>110</v>
      </c>
      <c r="B742" s="16">
        <v>45261</v>
      </c>
      <c r="C742" t="s">
        <v>3</v>
      </c>
      <c r="D742" t="s">
        <v>128</v>
      </c>
      <c r="E742">
        <v>15279</v>
      </c>
      <c r="F742">
        <v>12974</v>
      </c>
      <c r="G742">
        <v>533</v>
      </c>
      <c r="H742">
        <v>190</v>
      </c>
      <c r="I742">
        <v>708457</v>
      </c>
      <c r="J742">
        <v>112</v>
      </c>
      <c r="K742">
        <v>489319.5</v>
      </c>
      <c r="L742">
        <v>96</v>
      </c>
      <c r="N742">
        <v>13590</v>
      </c>
      <c r="O742">
        <f t="shared" si="22"/>
        <v>2023</v>
      </c>
      <c r="P742">
        <f t="shared" si="23"/>
        <v>12</v>
      </c>
      <c r="Q742" t="str">
        <f>_xlfn.XLOOKUP(B742,全店核心数据_bymonth!A:A,全店核心数据_bymonth!AN:AN)</f>
        <v>BU24</v>
      </c>
    </row>
    <row r="743" spans="1:17" x14ac:dyDescent="0.3">
      <c r="A743" t="s">
        <v>110</v>
      </c>
      <c r="B743" s="16">
        <v>45261</v>
      </c>
      <c r="C743" t="s">
        <v>3</v>
      </c>
      <c r="D743" t="s">
        <v>127</v>
      </c>
      <c r="E743">
        <v>74877</v>
      </c>
      <c r="F743">
        <v>66922</v>
      </c>
      <c r="G743">
        <v>608</v>
      </c>
      <c r="H743">
        <v>364</v>
      </c>
      <c r="I743">
        <v>446066</v>
      </c>
      <c r="J743">
        <v>64</v>
      </c>
      <c r="K743">
        <v>306796</v>
      </c>
      <c r="L743">
        <v>53</v>
      </c>
      <c r="N743">
        <v>69736</v>
      </c>
      <c r="O743">
        <f t="shared" si="22"/>
        <v>2023</v>
      </c>
      <c r="P743">
        <f t="shared" si="23"/>
        <v>12</v>
      </c>
      <c r="Q743" t="str">
        <f>_xlfn.XLOOKUP(B743,全店核心数据_bymonth!A:A,全店核心数据_bymonth!AN:AN)</f>
        <v>BU24</v>
      </c>
    </row>
    <row r="744" spans="1:17" x14ac:dyDescent="0.3">
      <c r="A744" t="s">
        <v>110</v>
      </c>
      <c r="B744" s="16">
        <v>45261</v>
      </c>
      <c r="C744" t="s">
        <v>3</v>
      </c>
      <c r="D744" t="s">
        <v>126</v>
      </c>
      <c r="E744">
        <v>1917</v>
      </c>
      <c r="F744">
        <v>1453</v>
      </c>
      <c r="G744">
        <v>70</v>
      </c>
      <c r="H744">
        <v>49</v>
      </c>
      <c r="I744">
        <v>196847.5</v>
      </c>
      <c r="J744">
        <v>24</v>
      </c>
      <c r="K744">
        <v>133652.5</v>
      </c>
      <c r="L744">
        <v>19</v>
      </c>
      <c r="N744">
        <v>1838</v>
      </c>
      <c r="O744">
        <f t="shared" si="22"/>
        <v>2023</v>
      </c>
      <c r="P744">
        <f t="shared" si="23"/>
        <v>12</v>
      </c>
      <c r="Q744" t="str">
        <f>_xlfn.XLOOKUP(B744,全店核心数据_bymonth!A:A,全店核心数据_bymonth!AN:AN)</f>
        <v>BU24</v>
      </c>
    </row>
    <row r="745" spans="1:17" x14ac:dyDescent="0.3">
      <c r="A745" t="s">
        <v>110</v>
      </c>
      <c r="B745" s="16">
        <v>45261</v>
      </c>
      <c r="C745" t="s">
        <v>3</v>
      </c>
      <c r="D745" t="s">
        <v>125</v>
      </c>
      <c r="E745">
        <v>9</v>
      </c>
      <c r="F745">
        <v>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N745">
        <v>3</v>
      </c>
      <c r="O745">
        <f t="shared" si="22"/>
        <v>2023</v>
      </c>
      <c r="P745">
        <f t="shared" si="23"/>
        <v>12</v>
      </c>
      <c r="Q745" t="str">
        <f>_xlfn.XLOOKUP(B745,全店核心数据_bymonth!A:A,全店核心数据_bymonth!AN:AN)</f>
        <v>BU24</v>
      </c>
    </row>
    <row r="746" spans="1:17" x14ac:dyDescent="0.3">
      <c r="A746" t="s">
        <v>110</v>
      </c>
      <c r="B746" s="16">
        <v>45261</v>
      </c>
      <c r="C746" t="s">
        <v>3</v>
      </c>
      <c r="D746" t="s">
        <v>123</v>
      </c>
      <c r="E746">
        <v>3210</v>
      </c>
      <c r="F746">
        <v>1883</v>
      </c>
      <c r="G746">
        <v>105</v>
      </c>
      <c r="H746">
        <v>54</v>
      </c>
      <c r="I746">
        <v>161348</v>
      </c>
      <c r="J746">
        <v>28</v>
      </c>
      <c r="K746">
        <v>143473</v>
      </c>
      <c r="L746">
        <v>25</v>
      </c>
      <c r="N746">
        <v>2600</v>
      </c>
      <c r="O746">
        <f t="shared" si="22"/>
        <v>2023</v>
      </c>
      <c r="P746">
        <f t="shared" si="23"/>
        <v>12</v>
      </c>
      <c r="Q746" t="str">
        <f>_xlfn.XLOOKUP(B746,全店核心数据_bymonth!A:A,全店核心数据_bymonth!AN:AN)</f>
        <v>BU24</v>
      </c>
    </row>
    <row r="747" spans="1:17" x14ac:dyDescent="0.3">
      <c r="A747" t="s">
        <v>110</v>
      </c>
      <c r="B747" s="16">
        <v>45261</v>
      </c>
      <c r="C747" t="s">
        <v>3</v>
      </c>
      <c r="D747" t="s">
        <v>122</v>
      </c>
      <c r="E747">
        <v>2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N747">
        <v>1</v>
      </c>
      <c r="O747">
        <f t="shared" si="22"/>
        <v>2023</v>
      </c>
      <c r="P747">
        <f t="shared" si="23"/>
        <v>12</v>
      </c>
      <c r="Q747" t="str">
        <f>_xlfn.XLOOKUP(B747,全店核心数据_bymonth!A:A,全店核心数据_bymonth!AN:AN)</f>
        <v>BU24</v>
      </c>
    </row>
    <row r="748" spans="1:17" x14ac:dyDescent="0.3">
      <c r="A748" t="s">
        <v>110</v>
      </c>
      <c r="B748" s="16">
        <v>45261</v>
      </c>
      <c r="C748" t="s">
        <v>3</v>
      </c>
      <c r="D748" t="s">
        <v>121</v>
      </c>
      <c r="E748">
        <v>39</v>
      </c>
      <c r="F748">
        <v>28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N748">
        <v>21</v>
      </c>
      <c r="O748">
        <f t="shared" si="22"/>
        <v>2023</v>
      </c>
      <c r="P748">
        <f t="shared" si="23"/>
        <v>12</v>
      </c>
      <c r="Q748" t="str">
        <f>_xlfn.XLOOKUP(B748,全店核心数据_bymonth!A:A,全店核心数据_bymonth!AN:AN)</f>
        <v>BU24</v>
      </c>
    </row>
    <row r="749" spans="1:17" x14ac:dyDescent="0.3">
      <c r="A749" t="s">
        <v>110</v>
      </c>
      <c r="B749" s="16">
        <v>45261</v>
      </c>
      <c r="C749" t="s">
        <v>3</v>
      </c>
      <c r="D749" t="s">
        <v>120</v>
      </c>
      <c r="E749">
        <v>8771</v>
      </c>
      <c r="F749">
        <v>7780</v>
      </c>
      <c r="G749">
        <v>64</v>
      </c>
      <c r="H749">
        <v>1</v>
      </c>
      <c r="I749">
        <v>459924</v>
      </c>
      <c r="J749">
        <v>67</v>
      </c>
      <c r="K749">
        <v>362744</v>
      </c>
      <c r="L749">
        <v>61</v>
      </c>
      <c r="N749">
        <v>8576</v>
      </c>
      <c r="O749">
        <f t="shared" si="22"/>
        <v>2023</v>
      </c>
      <c r="P749">
        <f t="shared" si="23"/>
        <v>12</v>
      </c>
      <c r="Q749" t="str">
        <f>_xlfn.XLOOKUP(B749,全店核心数据_bymonth!A:A,全店核心数据_bymonth!AN:AN)</f>
        <v>BU24</v>
      </c>
    </row>
    <row r="750" spans="1:17" x14ac:dyDescent="0.3">
      <c r="A750" t="s">
        <v>110</v>
      </c>
      <c r="B750" s="16">
        <v>45261</v>
      </c>
      <c r="C750" t="s">
        <v>3</v>
      </c>
      <c r="D750" t="s">
        <v>119</v>
      </c>
      <c r="E750">
        <v>5638</v>
      </c>
      <c r="F750">
        <v>3416</v>
      </c>
      <c r="G750">
        <v>247</v>
      </c>
      <c r="H750">
        <v>108</v>
      </c>
      <c r="I750">
        <v>1125974.5</v>
      </c>
      <c r="J750">
        <v>175</v>
      </c>
      <c r="K750">
        <v>979007</v>
      </c>
      <c r="L750">
        <v>169</v>
      </c>
      <c r="N750">
        <v>5139</v>
      </c>
      <c r="O750">
        <f t="shared" si="22"/>
        <v>2023</v>
      </c>
      <c r="P750">
        <f t="shared" si="23"/>
        <v>12</v>
      </c>
      <c r="Q750" t="str">
        <f>_xlfn.XLOOKUP(B750,全店核心数据_bymonth!A:A,全店核心数据_bymonth!AN:AN)</f>
        <v>BU24</v>
      </c>
    </row>
    <row r="751" spans="1:17" x14ac:dyDescent="0.3">
      <c r="A751" t="s">
        <v>110</v>
      </c>
      <c r="B751" s="16">
        <v>45261</v>
      </c>
      <c r="C751" t="s">
        <v>3</v>
      </c>
      <c r="D751" t="s">
        <v>117</v>
      </c>
      <c r="E751">
        <v>104</v>
      </c>
      <c r="F751">
        <v>99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N751">
        <v>104</v>
      </c>
      <c r="O751">
        <f t="shared" si="22"/>
        <v>2023</v>
      </c>
      <c r="P751">
        <f t="shared" si="23"/>
        <v>12</v>
      </c>
      <c r="Q751" t="str">
        <f>_xlfn.XLOOKUP(B751,全店核心数据_bymonth!A:A,全店核心数据_bymonth!AN:AN)</f>
        <v>BU24</v>
      </c>
    </row>
    <row r="752" spans="1:17" x14ac:dyDescent="0.3">
      <c r="A752" t="s">
        <v>110</v>
      </c>
      <c r="B752" s="16">
        <v>45261</v>
      </c>
      <c r="C752" t="s">
        <v>3</v>
      </c>
      <c r="D752" t="s">
        <v>116</v>
      </c>
      <c r="E752">
        <v>123280</v>
      </c>
      <c r="F752">
        <v>121794</v>
      </c>
      <c r="G752">
        <v>14</v>
      </c>
      <c r="H752">
        <v>8</v>
      </c>
      <c r="I752">
        <v>7750</v>
      </c>
      <c r="J752">
        <v>1</v>
      </c>
      <c r="K752">
        <v>7750</v>
      </c>
      <c r="L752">
        <v>1</v>
      </c>
      <c r="N752">
        <v>1915</v>
      </c>
      <c r="O752">
        <f t="shared" si="22"/>
        <v>2023</v>
      </c>
      <c r="P752">
        <f t="shared" si="23"/>
        <v>12</v>
      </c>
      <c r="Q752" t="str">
        <f>_xlfn.XLOOKUP(B752,全店核心数据_bymonth!A:A,全店核心数据_bymonth!AN:AN)</f>
        <v>BU24</v>
      </c>
    </row>
    <row r="753" spans="1:17" x14ac:dyDescent="0.3">
      <c r="A753" t="s">
        <v>110</v>
      </c>
      <c r="B753" s="16">
        <v>45261</v>
      </c>
      <c r="C753" t="s">
        <v>3</v>
      </c>
      <c r="D753" t="s">
        <v>115</v>
      </c>
      <c r="E753">
        <v>43</v>
      </c>
      <c r="F753">
        <v>24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N753">
        <v>42</v>
      </c>
      <c r="O753">
        <f t="shared" si="22"/>
        <v>2023</v>
      </c>
      <c r="P753">
        <f t="shared" si="23"/>
        <v>12</v>
      </c>
      <c r="Q753" t="str">
        <f>_xlfn.XLOOKUP(B753,全店核心数据_bymonth!A:A,全店核心数据_bymonth!AN:AN)</f>
        <v>BU24</v>
      </c>
    </row>
    <row r="754" spans="1:17" x14ac:dyDescent="0.3">
      <c r="A754" t="s">
        <v>110</v>
      </c>
      <c r="B754" s="16">
        <v>45261</v>
      </c>
      <c r="C754" t="s">
        <v>3</v>
      </c>
      <c r="D754" t="s">
        <v>114</v>
      </c>
      <c r="E754">
        <v>709</v>
      </c>
      <c r="F754">
        <v>326</v>
      </c>
      <c r="G754">
        <v>33</v>
      </c>
      <c r="H754">
        <v>8</v>
      </c>
      <c r="I754">
        <v>23470</v>
      </c>
      <c r="J754">
        <v>5</v>
      </c>
      <c r="K754">
        <v>23470</v>
      </c>
      <c r="L754">
        <v>5</v>
      </c>
      <c r="N754">
        <v>706</v>
      </c>
      <c r="O754">
        <f t="shared" si="22"/>
        <v>2023</v>
      </c>
      <c r="P754">
        <f t="shared" si="23"/>
        <v>12</v>
      </c>
      <c r="Q754" t="str">
        <f>_xlfn.XLOOKUP(B754,全店核心数据_bymonth!A:A,全店核心数据_bymonth!AN:AN)</f>
        <v>BU24</v>
      </c>
    </row>
    <row r="755" spans="1:17" x14ac:dyDescent="0.3">
      <c r="A755" t="s">
        <v>110</v>
      </c>
      <c r="B755" s="16">
        <v>45261</v>
      </c>
      <c r="C755" t="s">
        <v>3</v>
      </c>
      <c r="D755" t="s">
        <v>113</v>
      </c>
      <c r="E755">
        <v>2625</v>
      </c>
      <c r="F755">
        <v>1946</v>
      </c>
      <c r="G755">
        <v>99</v>
      </c>
      <c r="H755">
        <v>36</v>
      </c>
      <c r="I755">
        <v>130851.5</v>
      </c>
      <c r="J755">
        <v>26</v>
      </c>
      <c r="K755">
        <v>112196.5</v>
      </c>
      <c r="L755">
        <v>24</v>
      </c>
      <c r="N755">
        <v>1557</v>
      </c>
      <c r="O755">
        <f t="shared" si="22"/>
        <v>2023</v>
      </c>
      <c r="P755">
        <f t="shared" si="23"/>
        <v>12</v>
      </c>
      <c r="Q755" t="str">
        <f>_xlfn.XLOOKUP(B755,全店核心数据_bymonth!A:A,全店核心数据_bymonth!AN:AN)</f>
        <v>BU24</v>
      </c>
    </row>
    <row r="756" spans="1:17" x14ac:dyDescent="0.3">
      <c r="A756" t="s">
        <v>110</v>
      </c>
      <c r="B756" s="16">
        <v>45261</v>
      </c>
      <c r="C756" t="s">
        <v>3</v>
      </c>
      <c r="D756" t="s">
        <v>112</v>
      </c>
      <c r="E756">
        <v>123</v>
      </c>
      <c r="F756">
        <v>64</v>
      </c>
      <c r="G756">
        <v>6</v>
      </c>
      <c r="H756">
        <v>1</v>
      </c>
      <c r="I756">
        <v>101670</v>
      </c>
      <c r="J756">
        <v>21</v>
      </c>
      <c r="K756">
        <v>84842</v>
      </c>
      <c r="L756">
        <v>19</v>
      </c>
      <c r="N756">
        <v>123</v>
      </c>
      <c r="O756">
        <f t="shared" si="22"/>
        <v>2023</v>
      </c>
      <c r="P756">
        <f t="shared" si="23"/>
        <v>12</v>
      </c>
      <c r="Q756" t="str">
        <f>_xlfn.XLOOKUP(B756,全店核心数据_bymonth!A:A,全店核心数据_bymonth!AN:AN)</f>
        <v>BU24</v>
      </c>
    </row>
    <row r="757" spans="1:17" x14ac:dyDescent="0.3">
      <c r="A757" t="s">
        <v>110</v>
      </c>
      <c r="B757" s="16">
        <v>45658</v>
      </c>
      <c r="C757" t="s">
        <v>2</v>
      </c>
      <c r="D757" t="s">
        <v>4</v>
      </c>
      <c r="E757">
        <v>10296</v>
      </c>
      <c r="F757">
        <v>5136</v>
      </c>
      <c r="G757">
        <v>25</v>
      </c>
      <c r="H757">
        <v>18</v>
      </c>
      <c r="I757">
        <v>40860</v>
      </c>
      <c r="J757">
        <v>8</v>
      </c>
      <c r="K757">
        <v>40860</v>
      </c>
      <c r="L757">
        <v>8</v>
      </c>
      <c r="M757">
        <v>104</v>
      </c>
      <c r="N757">
        <v>10257</v>
      </c>
      <c r="O757">
        <f t="shared" si="22"/>
        <v>2025</v>
      </c>
      <c r="P757">
        <f t="shared" si="23"/>
        <v>1</v>
      </c>
      <c r="Q757" t="str">
        <f>_xlfn.XLOOKUP(B757,全店核心数据_bymonth!A:A,全店核心数据_bymonth!AN:AN)</f>
        <v>BU25</v>
      </c>
    </row>
    <row r="758" spans="1:17" x14ac:dyDescent="0.3">
      <c r="A758" t="s">
        <v>110</v>
      </c>
      <c r="B758" s="16">
        <v>45658</v>
      </c>
      <c r="C758" t="s">
        <v>2</v>
      </c>
      <c r="D758" t="s">
        <v>57</v>
      </c>
      <c r="E758">
        <v>222353</v>
      </c>
      <c r="F758">
        <v>213817</v>
      </c>
      <c r="G758">
        <v>2327</v>
      </c>
      <c r="H758">
        <v>2003</v>
      </c>
      <c r="I758">
        <v>3126379.72</v>
      </c>
      <c r="J758">
        <v>299</v>
      </c>
      <c r="K758">
        <v>1461653.05</v>
      </c>
      <c r="L758">
        <v>189</v>
      </c>
      <c r="M758">
        <v>29747</v>
      </c>
      <c r="N758">
        <v>214491</v>
      </c>
      <c r="O758">
        <f t="shared" si="22"/>
        <v>2025</v>
      </c>
      <c r="P758">
        <f t="shared" si="23"/>
        <v>1</v>
      </c>
      <c r="Q758" t="str">
        <f>_xlfn.XLOOKUP(B758,全店核心数据_bymonth!A:A,全店核心数据_bymonth!AN:AN)</f>
        <v>BU25</v>
      </c>
    </row>
    <row r="759" spans="1:17" x14ac:dyDescent="0.3">
      <c r="A759" t="s">
        <v>110</v>
      </c>
      <c r="B759" s="16">
        <v>45658</v>
      </c>
      <c r="C759" t="s">
        <v>2</v>
      </c>
      <c r="D759" t="s">
        <v>52</v>
      </c>
      <c r="E759">
        <v>14</v>
      </c>
      <c r="F759">
        <v>10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14</v>
      </c>
      <c r="N759">
        <v>2</v>
      </c>
      <c r="O759">
        <f t="shared" si="22"/>
        <v>2025</v>
      </c>
      <c r="P759">
        <f t="shared" si="23"/>
        <v>1</v>
      </c>
      <c r="Q759" t="str">
        <f>_xlfn.XLOOKUP(B759,全店核心数据_bymonth!A:A,全店核心数据_bymonth!AN:AN)</f>
        <v>BU25</v>
      </c>
    </row>
    <row r="760" spans="1:17" x14ac:dyDescent="0.3">
      <c r="A760" t="s">
        <v>110</v>
      </c>
      <c r="B760" s="16">
        <v>45658</v>
      </c>
      <c r="C760" t="s">
        <v>2</v>
      </c>
      <c r="D760" t="s">
        <v>55</v>
      </c>
      <c r="E760">
        <v>15885</v>
      </c>
      <c r="F760">
        <v>13618</v>
      </c>
      <c r="G760">
        <v>120</v>
      </c>
      <c r="H760">
        <v>41</v>
      </c>
      <c r="I760">
        <v>0</v>
      </c>
      <c r="J760">
        <v>0</v>
      </c>
      <c r="K760">
        <v>0</v>
      </c>
      <c r="L760">
        <v>0</v>
      </c>
      <c r="M760">
        <v>551</v>
      </c>
      <c r="N760">
        <v>4926</v>
      </c>
      <c r="O760">
        <f t="shared" si="22"/>
        <v>2025</v>
      </c>
      <c r="P760">
        <f t="shared" si="23"/>
        <v>1</v>
      </c>
      <c r="Q760" t="str">
        <f>_xlfn.XLOOKUP(B760,全店核心数据_bymonth!A:A,全店核心数据_bymonth!AN:AN)</f>
        <v>BU25</v>
      </c>
    </row>
    <row r="761" spans="1:17" x14ac:dyDescent="0.3">
      <c r="A761" t="s">
        <v>110</v>
      </c>
      <c r="B761" s="16">
        <v>45658</v>
      </c>
      <c r="C761" t="s">
        <v>3</v>
      </c>
      <c r="D761" t="s">
        <v>155</v>
      </c>
      <c r="E761">
        <v>141</v>
      </c>
      <c r="F761">
        <v>106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3</v>
      </c>
      <c r="N761">
        <v>140</v>
      </c>
      <c r="O761">
        <f t="shared" si="22"/>
        <v>2025</v>
      </c>
      <c r="P761">
        <f t="shared" si="23"/>
        <v>1</v>
      </c>
      <c r="Q761" t="str">
        <f>_xlfn.XLOOKUP(B761,全店核心数据_bymonth!A:A,全店核心数据_bymonth!AN:AN)</f>
        <v>BU25</v>
      </c>
    </row>
    <row r="762" spans="1:17" x14ac:dyDescent="0.3">
      <c r="A762" t="s">
        <v>110</v>
      </c>
      <c r="B762" s="16">
        <v>45658</v>
      </c>
      <c r="C762" t="s">
        <v>3</v>
      </c>
      <c r="D762" t="s">
        <v>154</v>
      </c>
      <c r="E762">
        <v>10746</v>
      </c>
      <c r="F762">
        <v>10611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3</v>
      </c>
      <c r="N762">
        <v>7</v>
      </c>
      <c r="O762">
        <f t="shared" si="22"/>
        <v>2025</v>
      </c>
      <c r="P762">
        <f t="shared" si="23"/>
        <v>1</v>
      </c>
      <c r="Q762" t="str">
        <f>_xlfn.XLOOKUP(B762,全店核心数据_bymonth!A:A,全店核心数据_bymonth!AN:AN)</f>
        <v>BU25</v>
      </c>
    </row>
    <row r="763" spans="1:17" x14ac:dyDescent="0.3">
      <c r="A763" t="s">
        <v>110</v>
      </c>
      <c r="B763" s="16">
        <v>45658</v>
      </c>
      <c r="C763" t="s">
        <v>3</v>
      </c>
      <c r="D763" t="s">
        <v>153</v>
      </c>
      <c r="E763">
        <v>2631</v>
      </c>
      <c r="F763">
        <v>1392</v>
      </c>
      <c r="G763">
        <v>242</v>
      </c>
      <c r="H763">
        <v>39</v>
      </c>
      <c r="I763">
        <v>1658145.8</v>
      </c>
      <c r="J763">
        <v>213</v>
      </c>
      <c r="K763">
        <v>1342785.8</v>
      </c>
      <c r="L763">
        <v>197</v>
      </c>
      <c r="M763">
        <v>955</v>
      </c>
      <c r="N763">
        <v>2474</v>
      </c>
      <c r="O763">
        <f t="shared" si="22"/>
        <v>2025</v>
      </c>
      <c r="P763">
        <f t="shared" si="23"/>
        <v>1</v>
      </c>
      <c r="Q763" t="str">
        <f>_xlfn.XLOOKUP(B763,全店核心数据_bymonth!A:A,全店核心数据_bymonth!AN:AN)</f>
        <v>BU25</v>
      </c>
    </row>
    <row r="764" spans="1:17" x14ac:dyDescent="0.3">
      <c r="A764" t="s">
        <v>110</v>
      </c>
      <c r="B764" s="16">
        <v>45658</v>
      </c>
      <c r="C764" t="s">
        <v>3</v>
      </c>
      <c r="D764" t="s">
        <v>152</v>
      </c>
      <c r="E764">
        <v>1763</v>
      </c>
      <c r="F764">
        <v>1653</v>
      </c>
      <c r="G764">
        <v>2</v>
      </c>
      <c r="H764">
        <v>5</v>
      </c>
      <c r="I764">
        <v>8365</v>
      </c>
      <c r="J764">
        <v>1</v>
      </c>
      <c r="K764">
        <v>0</v>
      </c>
      <c r="L764">
        <v>0</v>
      </c>
      <c r="M764">
        <v>3</v>
      </c>
      <c r="N764">
        <v>98</v>
      </c>
      <c r="O764">
        <f t="shared" si="22"/>
        <v>2025</v>
      </c>
      <c r="P764">
        <f t="shared" si="23"/>
        <v>1</v>
      </c>
      <c r="Q764" t="str">
        <f>_xlfn.XLOOKUP(B764,全店核心数据_bymonth!A:A,全店核心数据_bymonth!AN:AN)</f>
        <v>BU25</v>
      </c>
    </row>
    <row r="765" spans="1:17" x14ac:dyDescent="0.3">
      <c r="A765" t="s">
        <v>110</v>
      </c>
      <c r="B765" s="16">
        <v>45658</v>
      </c>
      <c r="C765" t="s">
        <v>3</v>
      </c>
      <c r="D765" t="s">
        <v>150</v>
      </c>
      <c r="E765">
        <v>279</v>
      </c>
      <c r="F765">
        <v>237</v>
      </c>
      <c r="G765">
        <v>1</v>
      </c>
      <c r="H765">
        <v>0</v>
      </c>
      <c r="I765">
        <v>2795</v>
      </c>
      <c r="J765">
        <v>1</v>
      </c>
      <c r="K765">
        <v>0</v>
      </c>
      <c r="L765">
        <v>0</v>
      </c>
      <c r="M765">
        <v>1</v>
      </c>
      <c r="N765">
        <v>56</v>
      </c>
      <c r="O765">
        <f t="shared" si="22"/>
        <v>2025</v>
      </c>
      <c r="P765">
        <f t="shared" si="23"/>
        <v>1</v>
      </c>
      <c r="Q765" t="str">
        <f>_xlfn.XLOOKUP(B765,全店核心数据_bymonth!A:A,全店核心数据_bymonth!AN:AN)</f>
        <v>BU25</v>
      </c>
    </row>
    <row r="766" spans="1:17" x14ac:dyDescent="0.3">
      <c r="A766" t="s">
        <v>110</v>
      </c>
      <c r="B766" s="16">
        <v>45658</v>
      </c>
      <c r="C766" t="s">
        <v>3</v>
      </c>
      <c r="D766" t="s">
        <v>149</v>
      </c>
      <c r="E766">
        <v>100</v>
      </c>
      <c r="F766">
        <v>62</v>
      </c>
      <c r="G766">
        <v>1</v>
      </c>
      <c r="H766">
        <v>1</v>
      </c>
      <c r="I766">
        <v>66050</v>
      </c>
      <c r="J766">
        <v>1</v>
      </c>
      <c r="K766">
        <v>22000</v>
      </c>
      <c r="L766">
        <v>1</v>
      </c>
      <c r="M766">
        <v>22</v>
      </c>
      <c r="N766">
        <v>69</v>
      </c>
      <c r="O766">
        <f t="shared" si="22"/>
        <v>2025</v>
      </c>
      <c r="P766">
        <f t="shared" si="23"/>
        <v>1</v>
      </c>
      <c r="Q766" t="str">
        <f>_xlfn.XLOOKUP(B766,全店核心数据_bymonth!A:A,全店核心数据_bymonth!AN:AN)</f>
        <v>BU25</v>
      </c>
    </row>
    <row r="767" spans="1:17" x14ac:dyDescent="0.3">
      <c r="A767" t="s">
        <v>110</v>
      </c>
      <c r="B767" s="16">
        <v>45658</v>
      </c>
      <c r="C767" t="s">
        <v>3</v>
      </c>
      <c r="D767" t="s">
        <v>148</v>
      </c>
      <c r="E767">
        <v>75</v>
      </c>
      <c r="F767">
        <v>71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59</v>
      </c>
      <c r="N767">
        <v>16</v>
      </c>
      <c r="O767">
        <f t="shared" si="22"/>
        <v>2025</v>
      </c>
      <c r="P767">
        <f t="shared" si="23"/>
        <v>1</v>
      </c>
      <c r="Q767" t="str">
        <f>_xlfn.XLOOKUP(B767,全店核心数据_bymonth!A:A,全店核心数据_bymonth!AN:AN)</f>
        <v>BU25</v>
      </c>
    </row>
    <row r="768" spans="1:17" x14ac:dyDescent="0.3">
      <c r="A768" t="s">
        <v>110</v>
      </c>
      <c r="B768" s="16">
        <v>45658</v>
      </c>
      <c r="C768" t="s">
        <v>3</v>
      </c>
      <c r="D768" t="s">
        <v>146</v>
      </c>
      <c r="E768">
        <v>554</v>
      </c>
      <c r="F768">
        <v>553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554</v>
      </c>
      <c r="N768">
        <v>3</v>
      </c>
      <c r="O768">
        <f t="shared" si="22"/>
        <v>2025</v>
      </c>
      <c r="P768">
        <f t="shared" si="23"/>
        <v>1</v>
      </c>
      <c r="Q768" t="str">
        <f>_xlfn.XLOOKUP(B768,全店核心数据_bymonth!A:A,全店核心数据_bymonth!AN:AN)</f>
        <v>BU25</v>
      </c>
    </row>
    <row r="769" spans="1:17" x14ac:dyDescent="0.3">
      <c r="A769" t="s">
        <v>110</v>
      </c>
      <c r="B769" s="16">
        <v>45658</v>
      </c>
      <c r="C769" t="s">
        <v>3</v>
      </c>
      <c r="D769" t="s">
        <v>251</v>
      </c>
      <c r="E769">
        <v>31692</v>
      </c>
      <c r="F769">
        <v>29800</v>
      </c>
      <c r="G769">
        <v>114</v>
      </c>
      <c r="H769">
        <v>59</v>
      </c>
      <c r="I769">
        <v>367090</v>
      </c>
      <c r="J769">
        <v>49</v>
      </c>
      <c r="K769">
        <v>297755</v>
      </c>
      <c r="L769">
        <v>45</v>
      </c>
      <c r="M769">
        <v>1179</v>
      </c>
      <c r="N769">
        <v>10149</v>
      </c>
      <c r="O769">
        <f t="shared" si="22"/>
        <v>2025</v>
      </c>
      <c r="P769">
        <f t="shared" si="23"/>
        <v>1</v>
      </c>
      <c r="Q769" t="str">
        <f>_xlfn.XLOOKUP(B769,全店核心数据_bymonth!A:A,全店核心数据_bymonth!AN:AN)</f>
        <v>BU25</v>
      </c>
    </row>
    <row r="770" spans="1:17" x14ac:dyDescent="0.3">
      <c r="A770" t="s">
        <v>110</v>
      </c>
      <c r="B770" s="16">
        <v>45658</v>
      </c>
      <c r="C770" t="s">
        <v>3</v>
      </c>
      <c r="D770" t="s">
        <v>143</v>
      </c>
      <c r="E770">
        <v>545</v>
      </c>
      <c r="F770">
        <v>525</v>
      </c>
      <c r="G770">
        <v>2</v>
      </c>
      <c r="H770">
        <v>4</v>
      </c>
      <c r="I770">
        <v>0</v>
      </c>
      <c r="J770">
        <v>0</v>
      </c>
      <c r="K770">
        <v>0</v>
      </c>
      <c r="L770">
        <v>0</v>
      </c>
      <c r="M770">
        <v>7</v>
      </c>
      <c r="N770">
        <v>545</v>
      </c>
      <c r="O770">
        <f t="shared" ref="O770:O833" si="24">YEAR(B770)</f>
        <v>2025</v>
      </c>
      <c r="P770">
        <f t="shared" ref="P770:P833" si="25">MONTH(B770)</f>
        <v>1</v>
      </c>
      <c r="Q770" t="str">
        <f>_xlfn.XLOOKUP(B770,全店核心数据_bymonth!A:A,全店核心数据_bymonth!AN:AN)</f>
        <v>BU25</v>
      </c>
    </row>
    <row r="771" spans="1:17" x14ac:dyDescent="0.3">
      <c r="A771" t="s">
        <v>110</v>
      </c>
      <c r="B771" s="16">
        <v>45658</v>
      </c>
      <c r="C771" t="s">
        <v>3</v>
      </c>
      <c r="D771" t="s">
        <v>141</v>
      </c>
      <c r="E771">
        <v>90</v>
      </c>
      <c r="F771">
        <v>82</v>
      </c>
      <c r="G771">
        <v>1</v>
      </c>
      <c r="H771">
        <v>1</v>
      </c>
      <c r="I771">
        <v>79695</v>
      </c>
      <c r="J771">
        <v>2</v>
      </c>
      <c r="K771">
        <v>23055</v>
      </c>
      <c r="L771">
        <v>2</v>
      </c>
      <c r="M771">
        <v>8</v>
      </c>
      <c r="N771">
        <v>82</v>
      </c>
      <c r="O771">
        <f t="shared" si="24"/>
        <v>2025</v>
      </c>
      <c r="P771">
        <f t="shared" si="25"/>
        <v>1</v>
      </c>
      <c r="Q771" t="str">
        <f>_xlfn.XLOOKUP(B771,全店核心数据_bymonth!A:A,全店核心数据_bymonth!AN:AN)</f>
        <v>BU25</v>
      </c>
    </row>
    <row r="772" spans="1:17" x14ac:dyDescent="0.3">
      <c r="A772" t="s">
        <v>110</v>
      </c>
      <c r="B772" s="16">
        <v>45658</v>
      </c>
      <c r="C772" t="s">
        <v>3</v>
      </c>
      <c r="D772" t="s">
        <v>140</v>
      </c>
      <c r="E772">
        <v>110</v>
      </c>
      <c r="F772">
        <v>100</v>
      </c>
      <c r="G772">
        <v>6</v>
      </c>
      <c r="H772">
        <v>2</v>
      </c>
      <c r="I772">
        <v>26340</v>
      </c>
      <c r="J772">
        <v>3</v>
      </c>
      <c r="K772">
        <v>17990</v>
      </c>
      <c r="L772">
        <v>3</v>
      </c>
      <c r="M772">
        <v>21</v>
      </c>
      <c r="N772">
        <v>97</v>
      </c>
      <c r="O772">
        <f t="shared" si="24"/>
        <v>2025</v>
      </c>
      <c r="P772">
        <f t="shared" si="25"/>
        <v>1</v>
      </c>
      <c r="Q772" t="str">
        <f>_xlfn.XLOOKUP(B772,全店核心数据_bymonth!A:A,全店核心数据_bymonth!AN:AN)</f>
        <v>BU25</v>
      </c>
    </row>
    <row r="773" spans="1:17" x14ac:dyDescent="0.3">
      <c r="A773" t="s">
        <v>110</v>
      </c>
      <c r="B773" s="16">
        <v>45658</v>
      </c>
      <c r="C773" t="s">
        <v>3</v>
      </c>
      <c r="D773" t="s">
        <v>139</v>
      </c>
      <c r="E773">
        <v>10377</v>
      </c>
      <c r="F773">
        <v>7889</v>
      </c>
      <c r="G773">
        <v>305</v>
      </c>
      <c r="H773">
        <v>154</v>
      </c>
      <c r="I773">
        <v>1097841.25</v>
      </c>
      <c r="J773">
        <v>127</v>
      </c>
      <c r="K773">
        <v>828621.25</v>
      </c>
      <c r="L773">
        <v>116</v>
      </c>
      <c r="M773">
        <v>5383</v>
      </c>
      <c r="N773">
        <v>6474</v>
      </c>
      <c r="O773">
        <f t="shared" si="24"/>
        <v>2025</v>
      </c>
      <c r="P773">
        <f t="shared" si="25"/>
        <v>1</v>
      </c>
      <c r="Q773" t="str">
        <f>_xlfn.XLOOKUP(B773,全店核心数据_bymonth!A:A,全店核心数据_bymonth!AN:AN)</f>
        <v>BU25</v>
      </c>
    </row>
    <row r="774" spans="1:17" x14ac:dyDescent="0.3">
      <c r="A774" t="s">
        <v>110</v>
      </c>
      <c r="B774" s="16">
        <v>45658</v>
      </c>
      <c r="C774" t="s">
        <v>3</v>
      </c>
      <c r="D774" t="s">
        <v>138</v>
      </c>
      <c r="E774">
        <v>1420</v>
      </c>
      <c r="F774">
        <v>796</v>
      </c>
      <c r="G774">
        <v>22</v>
      </c>
      <c r="H774">
        <v>16</v>
      </c>
      <c r="I774">
        <v>31895</v>
      </c>
      <c r="J774">
        <v>3</v>
      </c>
      <c r="K774">
        <v>5200</v>
      </c>
      <c r="L774">
        <v>1</v>
      </c>
      <c r="M774">
        <v>131</v>
      </c>
      <c r="N774">
        <v>1396</v>
      </c>
      <c r="O774">
        <f t="shared" si="24"/>
        <v>2025</v>
      </c>
      <c r="P774">
        <f t="shared" si="25"/>
        <v>1</v>
      </c>
      <c r="Q774" t="str">
        <f>_xlfn.XLOOKUP(B774,全店核心数据_bymonth!A:A,全店核心数据_bymonth!AN:AN)</f>
        <v>BU25</v>
      </c>
    </row>
    <row r="775" spans="1:17" x14ac:dyDescent="0.3">
      <c r="A775" t="s">
        <v>110</v>
      </c>
      <c r="B775" s="16">
        <v>45658</v>
      </c>
      <c r="C775" t="s">
        <v>3</v>
      </c>
      <c r="D775" t="s">
        <v>137</v>
      </c>
      <c r="E775">
        <v>73</v>
      </c>
      <c r="F775">
        <v>52</v>
      </c>
      <c r="G775">
        <v>6</v>
      </c>
      <c r="H775">
        <v>1</v>
      </c>
      <c r="I775">
        <v>28710</v>
      </c>
      <c r="J775">
        <v>4</v>
      </c>
      <c r="K775">
        <v>22720</v>
      </c>
      <c r="L775">
        <v>4</v>
      </c>
      <c r="M775">
        <v>21</v>
      </c>
      <c r="N775">
        <v>73</v>
      </c>
      <c r="O775">
        <f t="shared" si="24"/>
        <v>2025</v>
      </c>
      <c r="P775">
        <f t="shared" si="25"/>
        <v>1</v>
      </c>
      <c r="Q775" t="str">
        <f>_xlfn.XLOOKUP(B775,全店核心数据_bymonth!A:A,全店核心数据_bymonth!AN:AN)</f>
        <v>BU25</v>
      </c>
    </row>
    <row r="776" spans="1:17" x14ac:dyDescent="0.3">
      <c r="A776" t="s">
        <v>110</v>
      </c>
      <c r="B776" s="16">
        <v>45658</v>
      </c>
      <c r="C776" t="s">
        <v>3</v>
      </c>
      <c r="D776" t="s">
        <v>135</v>
      </c>
      <c r="E776">
        <v>704</v>
      </c>
      <c r="F776">
        <v>626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24</v>
      </c>
      <c r="O776">
        <f t="shared" si="24"/>
        <v>2025</v>
      </c>
      <c r="P776">
        <f t="shared" si="25"/>
        <v>1</v>
      </c>
      <c r="Q776" t="str">
        <f>_xlfn.XLOOKUP(B776,全店核心数据_bymonth!A:A,全店核心数据_bymonth!AN:AN)</f>
        <v>BU25</v>
      </c>
    </row>
    <row r="777" spans="1:17" x14ac:dyDescent="0.3">
      <c r="A777" t="s">
        <v>110</v>
      </c>
      <c r="B777" s="16">
        <v>45658</v>
      </c>
      <c r="C777" t="s">
        <v>3</v>
      </c>
      <c r="D777" t="s">
        <v>133</v>
      </c>
      <c r="E777">
        <v>320</v>
      </c>
      <c r="F777">
        <v>254</v>
      </c>
      <c r="G777">
        <v>9</v>
      </c>
      <c r="H777">
        <v>0</v>
      </c>
      <c r="I777">
        <v>35455</v>
      </c>
      <c r="J777">
        <v>7</v>
      </c>
      <c r="K777">
        <v>33060</v>
      </c>
      <c r="L777">
        <v>6</v>
      </c>
      <c r="M777">
        <v>82</v>
      </c>
      <c r="N777">
        <v>282</v>
      </c>
      <c r="O777">
        <f t="shared" si="24"/>
        <v>2025</v>
      </c>
      <c r="P777">
        <f t="shared" si="25"/>
        <v>1</v>
      </c>
      <c r="Q777" t="str">
        <f>_xlfn.XLOOKUP(B777,全店核心数据_bymonth!A:A,全店核心数据_bymonth!AN:AN)</f>
        <v>BU25</v>
      </c>
    </row>
    <row r="778" spans="1:17" x14ac:dyDescent="0.3">
      <c r="A778" t="s">
        <v>110</v>
      </c>
      <c r="B778" s="16">
        <v>45658</v>
      </c>
      <c r="C778" t="s">
        <v>3</v>
      </c>
      <c r="D778" t="s">
        <v>130</v>
      </c>
      <c r="E778">
        <v>1794</v>
      </c>
      <c r="F778">
        <v>1122</v>
      </c>
      <c r="G778">
        <v>90</v>
      </c>
      <c r="H778">
        <v>34</v>
      </c>
      <c r="I778">
        <v>797175</v>
      </c>
      <c r="J778">
        <v>79</v>
      </c>
      <c r="K778">
        <v>603725</v>
      </c>
      <c r="L778">
        <v>74</v>
      </c>
      <c r="M778">
        <v>1274</v>
      </c>
      <c r="N778">
        <v>1120</v>
      </c>
      <c r="O778">
        <f t="shared" si="24"/>
        <v>2025</v>
      </c>
      <c r="P778">
        <f t="shared" si="25"/>
        <v>1</v>
      </c>
      <c r="Q778" t="str">
        <f>_xlfn.XLOOKUP(B778,全店核心数据_bymonth!A:A,全店核心数据_bymonth!AN:AN)</f>
        <v>BU25</v>
      </c>
    </row>
    <row r="779" spans="1:17" x14ac:dyDescent="0.3">
      <c r="A779" t="s">
        <v>110</v>
      </c>
      <c r="B779" s="16">
        <v>45658</v>
      </c>
      <c r="C779" t="s">
        <v>3</v>
      </c>
      <c r="D779" t="s">
        <v>128</v>
      </c>
      <c r="E779">
        <v>18461</v>
      </c>
      <c r="F779">
        <v>16480</v>
      </c>
      <c r="G779">
        <v>514</v>
      </c>
      <c r="H779">
        <v>170</v>
      </c>
      <c r="I779">
        <v>545561.67000000004</v>
      </c>
      <c r="J779">
        <v>84</v>
      </c>
      <c r="K779">
        <v>377415</v>
      </c>
      <c r="L779">
        <v>72</v>
      </c>
      <c r="M779">
        <v>9538</v>
      </c>
      <c r="N779">
        <v>12616</v>
      </c>
      <c r="O779">
        <f t="shared" si="24"/>
        <v>2025</v>
      </c>
      <c r="P779">
        <f t="shared" si="25"/>
        <v>1</v>
      </c>
      <c r="Q779" t="str">
        <f>_xlfn.XLOOKUP(B779,全店核心数据_bymonth!A:A,全店核心数据_bymonth!AN:AN)</f>
        <v>BU25</v>
      </c>
    </row>
    <row r="780" spans="1:17" x14ac:dyDescent="0.3">
      <c r="A780" t="s">
        <v>110</v>
      </c>
      <c r="B780" s="16">
        <v>45658</v>
      </c>
      <c r="C780" t="s">
        <v>3</v>
      </c>
      <c r="D780" t="s">
        <v>127</v>
      </c>
      <c r="E780">
        <v>27278</v>
      </c>
      <c r="F780">
        <v>22363</v>
      </c>
      <c r="G780">
        <v>294</v>
      </c>
      <c r="H780">
        <v>170</v>
      </c>
      <c r="I780">
        <v>435586.67</v>
      </c>
      <c r="J780">
        <v>38</v>
      </c>
      <c r="K780">
        <v>313970</v>
      </c>
      <c r="L780">
        <v>34</v>
      </c>
      <c r="M780">
        <v>1857</v>
      </c>
      <c r="N780">
        <v>24250</v>
      </c>
      <c r="O780">
        <f t="shared" si="24"/>
        <v>2025</v>
      </c>
      <c r="P780">
        <f t="shared" si="25"/>
        <v>1</v>
      </c>
      <c r="Q780" t="str">
        <f>_xlfn.XLOOKUP(B780,全店核心数据_bymonth!A:A,全店核心数据_bymonth!AN:AN)</f>
        <v>BU25</v>
      </c>
    </row>
    <row r="781" spans="1:17" x14ac:dyDescent="0.3">
      <c r="A781" t="s">
        <v>110</v>
      </c>
      <c r="B781" s="16">
        <v>45658</v>
      </c>
      <c r="C781" t="s">
        <v>3</v>
      </c>
      <c r="D781" t="s">
        <v>126</v>
      </c>
      <c r="E781">
        <v>1469</v>
      </c>
      <c r="F781">
        <v>1169</v>
      </c>
      <c r="G781">
        <v>49</v>
      </c>
      <c r="H781">
        <v>30</v>
      </c>
      <c r="I781">
        <v>83865</v>
      </c>
      <c r="J781">
        <v>9</v>
      </c>
      <c r="K781">
        <v>25540</v>
      </c>
      <c r="L781">
        <v>4</v>
      </c>
      <c r="M781">
        <v>334</v>
      </c>
      <c r="N781">
        <v>1368</v>
      </c>
      <c r="O781">
        <f t="shared" si="24"/>
        <v>2025</v>
      </c>
      <c r="P781">
        <f t="shared" si="25"/>
        <v>1</v>
      </c>
      <c r="Q781" t="str">
        <f>_xlfn.XLOOKUP(B781,全店核心数据_bymonth!A:A,全店核心数据_bymonth!AN:AN)</f>
        <v>BU25</v>
      </c>
    </row>
    <row r="782" spans="1:17" x14ac:dyDescent="0.3">
      <c r="A782" t="s">
        <v>110</v>
      </c>
      <c r="B782" s="16">
        <v>45658</v>
      </c>
      <c r="C782" t="s">
        <v>3</v>
      </c>
      <c r="D782" t="s">
        <v>125</v>
      </c>
      <c r="E782">
        <v>19</v>
      </c>
      <c r="F782">
        <v>9</v>
      </c>
      <c r="G782">
        <v>0</v>
      </c>
      <c r="H782">
        <v>0</v>
      </c>
      <c r="I782">
        <v>5990</v>
      </c>
      <c r="J782">
        <v>1</v>
      </c>
      <c r="K782">
        <v>5990</v>
      </c>
      <c r="L782">
        <v>1</v>
      </c>
      <c r="M782">
        <v>2</v>
      </c>
      <c r="N782">
        <v>18</v>
      </c>
      <c r="O782">
        <f t="shared" si="24"/>
        <v>2025</v>
      </c>
      <c r="P782">
        <f t="shared" si="25"/>
        <v>1</v>
      </c>
      <c r="Q782" t="str">
        <f>_xlfn.XLOOKUP(B782,全店核心数据_bymonth!A:A,全店核心数据_bymonth!AN:AN)</f>
        <v>BU25</v>
      </c>
    </row>
    <row r="783" spans="1:17" x14ac:dyDescent="0.3">
      <c r="A783" t="s">
        <v>110</v>
      </c>
      <c r="B783" s="16">
        <v>45658</v>
      </c>
      <c r="C783" t="s">
        <v>3</v>
      </c>
      <c r="D783" t="s">
        <v>124</v>
      </c>
      <c r="E783">
        <v>6</v>
      </c>
      <c r="F783">
        <v>4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3</v>
      </c>
      <c r="O783">
        <f t="shared" si="24"/>
        <v>2025</v>
      </c>
      <c r="P783">
        <f t="shared" si="25"/>
        <v>1</v>
      </c>
      <c r="Q783" t="str">
        <f>_xlfn.XLOOKUP(B783,全店核心数据_bymonth!A:A,全店核心数据_bymonth!AN:AN)</f>
        <v>BU25</v>
      </c>
    </row>
    <row r="784" spans="1:17" x14ac:dyDescent="0.3">
      <c r="A784" t="s">
        <v>110</v>
      </c>
      <c r="B784" s="16">
        <v>45658</v>
      </c>
      <c r="C784" t="s">
        <v>3</v>
      </c>
      <c r="D784" t="s">
        <v>123</v>
      </c>
      <c r="E784">
        <v>2446</v>
      </c>
      <c r="F784">
        <v>1414</v>
      </c>
      <c r="G784">
        <v>87</v>
      </c>
      <c r="H784">
        <v>36</v>
      </c>
      <c r="I784">
        <v>111855</v>
      </c>
      <c r="J784">
        <v>17</v>
      </c>
      <c r="K784">
        <v>90760</v>
      </c>
      <c r="L784">
        <v>14</v>
      </c>
      <c r="M784">
        <v>1118</v>
      </c>
      <c r="N784">
        <v>1969</v>
      </c>
      <c r="O784">
        <f t="shared" si="24"/>
        <v>2025</v>
      </c>
      <c r="P784">
        <f t="shared" si="25"/>
        <v>1</v>
      </c>
      <c r="Q784" t="str">
        <f>_xlfn.XLOOKUP(B784,全店核心数据_bymonth!A:A,全店核心数据_bymonth!AN:AN)</f>
        <v>BU25</v>
      </c>
    </row>
    <row r="785" spans="1:17" x14ac:dyDescent="0.3">
      <c r="A785" t="s">
        <v>110</v>
      </c>
      <c r="B785" s="16">
        <v>45658</v>
      </c>
      <c r="C785" t="s">
        <v>3</v>
      </c>
      <c r="D785" t="s">
        <v>122</v>
      </c>
      <c r="E785">
        <v>14</v>
      </c>
      <c r="F785">
        <v>3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10</v>
      </c>
      <c r="O785">
        <f t="shared" si="24"/>
        <v>2025</v>
      </c>
      <c r="P785">
        <f t="shared" si="25"/>
        <v>1</v>
      </c>
      <c r="Q785" t="str">
        <f>_xlfn.XLOOKUP(B785,全店核心数据_bymonth!A:A,全店核心数据_bymonth!AN:AN)</f>
        <v>BU25</v>
      </c>
    </row>
    <row r="786" spans="1:17" x14ac:dyDescent="0.3">
      <c r="A786" t="s">
        <v>110</v>
      </c>
      <c r="B786" s="16">
        <v>45658</v>
      </c>
      <c r="C786" t="s">
        <v>3</v>
      </c>
      <c r="D786" t="s">
        <v>121</v>
      </c>
      <c r="E786">
        <v>38</v>
      </c>
      <c r="F786">
        <v>37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5</v>
      </c>
      <c r="N786">
        <v>33</v>
      </c>
      <c r="O786">
        <f t="shared" si="24"/>
        <v>2025</v>
      </c>
      <c r="P786">
        <f t="shared" si="25"/>
        <v>1</v>
      </c>
      <c r="Q786" t="str">
        <f>_xlfn.XLOOKUP(B786,全店核心数据_bymonth!A:A,全店核心数据_bymonth!AN:AN)</f>
        <v>BU25</v>
      </c>
    </row>
    <row r="787" spans="1:17" x14ac:dyDescent="0.3">
      <c r="A787" t="s">
        <v>110</v>
      </c>
      <c r="B787" s="16">
        <v>45658</v>
      </c>
      <c r="C787" t="s">
        <v>3</v>
      </c>
      <c r="D787" t="s">
        <v>119</v>
      </c>
      <c r="E787">
        <v>2477</v>
      </c>
      <c r="F787">
        <v>1333</v>
      </c>
      <c r="G787">
        <v>99</v>
      </c>
      <c r="H787">
        <v>82</v>
      </c>
      <c r="I787">
        <v>666755</v>
      </c>
      <c r="J787">
        <v>63</v>
      </c>
      <c r="K787">
        <v>473800</v>
      </c>
      <c r="L787">
        <v>57</v>
      </c>
      <c r="M787">
        <v>632</v>
      </c>
      <c r="N787">
        <v>2329</v>
      </c>
      <c r="O787">
        <f t="shared" si="24"/>
        <v>2025</v>
      </c>
      <c r="P787">
        <f t="shared" si="25"/>
        <v>1</v>
      </c>
      <c r="Q787" t="str">
        <f>_xlfn.XLOOKUP(B787,全店核心数据_bymonth!A:A,全店核心数据_bymonth!AN:AN)</f>
        <v>BU25</v>
      </c>
    </row>
    <row r="788" spans="1:17" x14ac:dyDescent="0.3">
      <c r="A788" t="s">
        <v>110</v>
      </c>
      <c r="B788" s="16">
        <v>45658</v>
      </c>
      <c r="C788" t="s">
        <v>3</v>
      </c>
      <c r="D788" t="s">
        <v>252</v>
      </c>
      <c r="E788">
        <v>7</v>
      </c>
      <c r="F788">
        <v>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7</v>
      </c>
      <c r="O788">
        <f t="shared" si="24"/>
        <v>2025</v>
      </c>
      <c r="P788">
        <f t="shared" si="25"/>
        <v>1</v>
      </c>
      <c r="Q788" t="str">
        <f>_xlfn.XLOOKUP(B788,全店核心数据_bymonth!A:A,全店核心数据_bymonth!AN:AN)</f>
        <v>BU25</v>
      </c>
    </row>
    <row r="789" spans="1:17" x14ac:dyDescent="0.3">
      <c r="A789" t="s">
        <v>110</v>
      </c>
      <c r="B789" s="16">
        <v>45658</v>
      </c>
      <c r="C789" t="s">
        <v>3</v>
      </c>
      <c r="D789" t="s">
        <v>117</v>
      </c>
      <c r="E789">
        <v>387</v>
      </c>
      <c r="F789">
        <v>368</v>
      </c>
      <c r="G789">
        <v>2</v>
      </c>
      <c r="H789">
        <v>3</v>
      </c>
      <c r="I789">
        <v>0</v>
      </c>
      <c r="J789">
        <v>0</v>
      </c>
      <c r="K789">
        <v>0</v>
      </c>
      <c r="L789">
        <v>0</v>
      </c>
      <c r="M789">
        <v>62</v>
      </c>
      <c r="N789">
        <v>386</v>
      </c>
      <c r="O789">
        <f t="shared" si="24"/>
        <v>2025</v>
      </c>
      <c r="P789">
        <f t="shared" si="25"/>
        <v>1</v>
      </c>
      <c r="Q789" t="str">
        <f>_xlfn.XLOOKUP(B789,全店核心数据_bymonth!A:A,全店核心数据_bymonth!AN:AN)</f>
        <v>BU25</v>
      </c>
    </row>
    <row r="790" spans="1:17" x14ac:dyDescent="0.3">
      <c r="A790" t="s">
        <v>110</v>
      </c>
      <c r="B790" s="16">
        <v>45658</v>
      </c>
      <c r="C790" t="s">
        <v>3</v>
      </c>
      <c r="D790" t="s">
        <v>115</v>
      </c>
      <c r="E790">
        <v>20</v>
      </c>
      <c r="F790">
        <v>11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3</v>
      </c>
      <c r="N790">
        <v>19</v>
      </c>
      <c r="O790">
        <f t="shared" si="24"/>
        <v>2025</v>
      </c>
      <c r="P790">
        <f t="shared" si="25"/>
        <v>1</v>
      </c>
      <c r="Q790" t="str">
        <f>_xlfn.XLOOKUP(B790,全店核心数据_bymonth!A:A,全店核心数据_bymonth!AN:AN)</f>
        <v>BU25</v>
      </c>
    </row>
    <row r="791" spans="1:17" x14ac:dyDescent="0.3">
      <c r="A791" t="s">
        <v>110</v>
      </c>
      <c r="B791" s="16">
        <v>45658</v>
      </c>
      <c r="C791" t="s">
        <v>3</v>
      </c>
      <c r="D791" t="s">
        <v>186</v>
      </c>
      <c r="E791">
        <v>3</v>
      </c>
      <c r="F791">
        <v>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3</v>
      </c>
      <c r="O791">
        <f t="shared" si="24"/>
        <v>2025</v>
      </c>
      <c r="P791">
        <f t="shared" si="25"/>
        <v>1</v>
      </c>
      <c r="Q791" t="str">
        <f>_xlfn.XLOOKUP(B791,全店核心数据_bymonth!A:A,全店核心数据_bymonth!AN:AN)</f>
        <v>BU25</v>
      </c>
    </row>
    <row r="792" spans="1:17" x14ac:dyDescent="0.3">
      <c r="A792" t="s">
        <v>110</v>
      </c>
      <c r="B792" s="16">
        <v>45658</v>
      </c>
      <c r="C792" t="s">
        <v>3</v>
      </c>
      <c r="D792" t="s">
        <v>391</v>
      </c>
      <c r="E792">
        <v>5663</v>
      </c>
      <c r="F792">
        <v>5107</v>
      </c>
      <c r="G792">
        <v>155</v>
      </c>
      <c r="H792">
        <v>29</v>
      </c>
      <c r="I792">
        <v>428275</v>
      </c>
      <c r="J792">
        <v>33</v>
      </c>
      <c r="K792">
        <v>305155</v>
      </c>
      <c r="L792">
        <v>32</v>
      </c>
      <c r="M792">
        <v>1146</v>
      </c>
      <c r="N792">
        <v>5538</v>
      </c>
      <c r="O792">
        <f t="shared" si="24"/>
        <v>2025</v>
      </c>
      <c r="P792">
        <f t="shared" si="25"/>
        <v>1</v>
      </c>
      <c r="Q792" t="str">
        <f>_xlfn.XLOOKUP(B792,全店核心数据_bymonth!A:A,全店核心数据_bymonth!AN:AN)</f>
        <v>BU25</v>
      </c>
    </row>
    <row r="793" spans="1:17" x14ac:dyDescent="0.3">
      <c r="A793" t="s">
        <v>110</v>
      </c>
      <c r="B793" s="16">
        <v>45658</v>
      </c>
      <c r="C793" t="s">
        <v>3</v>
      </c>
      <c r="D793" t="s">
        <v>114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f t="shared" si="24"/>
        <v>2025</v>
      </c>
      <c r="P793">
        <f t="shared" si="25"/>
        <v>1</v>
      </c>
      <c r="Q793" t="str">
        <f>_xlfn.XLOOKUP(B793,全店核心数据_bymonth!A:A,全店核心数据_bymonth!AN:AN)</f>
        <v>BU25</v>
      </c>
    </row>
    <row r="794" spans="1:17" x14ac:dyDescent="0.3">
      <c r="A794" t="s">
        <v>110</v>
      </c>
      <c r="B794" s="16">
        <v>45658</v>
      </c>
      <c r="C794" t="s">
        <v>3</v>
      </c>
      <c r="D794" t="s">
        <v>113</v>
      </c>
      <c r="E794">
        <v>1781</v>
      </c>
      <c r="F794">
        <v>1342</v>
      </c>
      <c r="G794">
        <v>40</v>
      </c>
      <c r="H794">
        <v>18</v>
      </c>
      <c r="I794">
        <v>49135</v>
      </c>
      <c r="J794">
        <v>4</v>
      </c>
      <c r="K794">
        <v>40890</v>
      </c>
      <c r="L794">
        <v>2</v>
      </c>
      <c r="M794">
        <v>1499</v>
      </c>
      <c r="N794">
        <v>993</v>
      </c>
      <c r="O794">
        <f t="shared" si="24"/>
        <v>2025</v>
      </c>
      <c r="P794">
        <f t="shared" si="25"/>
        <v>1</v>
      </c>
      <c r="Q794" t="str">
        <f>_xlfn.XLOOKUP(B794,全店核心数据_bymonth!A:A,全店核心数据_bymonth!AN:AN)</f>
        <v>BU25</v>
      </c>
    </row>
    <row r="795" spans="1:17" x14ac:dyDescent="0.3">
      <c r="A795" t="s">
        <v>110</v>
      </c>
      <c r="B795" s="16">
        <v>45658</v>
      </c>
      <c r="C795" t="s">
        <v>3</v>
      </c>
      <c r="D795" t="s">
        <v>112</v>
      </c>
      <c r="E795">
        <v>321</v>
      </c>
      <c r="F795">
        <v>106</v>
      </c>
      <c r="G795">
        <v>4</v>
      </c>
      <c r="H795">
        <v>0</v>
      </c>
      <c r="I795">
        <v>94780</v>
      </c>
      <c r="J795">
        <v>13</v>
      </c>
      <c r="K795">
        <v>87330</v>
      </c>
      <c r="L795">
        <v>12</v>
      </c>
      <c r="M795">
        <v>1</v>
      </c>
      <c r="N795">
        <v>321</v>
      </c>
      <c r="O795">
        <f t="shared" si="24"/>
        <v>2025</v>
      </c>
      <c r="P795">
        <f t="shared" si="25"/>
        <v>1</v>
      </c>
      <c r="Q795" t="str">
        <f>_xlfn.XLOOKUP(B795,全店核心数据_bymonth!A:A,全店核心数据_bymonth!AN:AN)</f>
        <v>BU25</v>
      </c>
    </row>
    <row r="796" spans="1:17" x14ac:dyDescent="0.3">
      <c r="A796" t="s">
        <v>110</v>
      </c>
      <c r="B796" s="16">
        <v>45292</v>
      </c>
      <c r="C796" t="s">
        <v>2</v>
      </c>
      <c r="D796" t="s">
        <v>4</v>
      </c>
      <c r="E796">
        <v>3731</v>
      </c>
      <c r="F796">
        <v>2178</v>
      </c>
      <c r="G796">
        <v>9</v>
      </c>
      <c r="H796">
        <v>12</v>
      </c>
      <c r="I796">
        <v>133108</v>
      </c>
      <c r="J796">
        <v>16</v>
      </c>
      <c r="K796">
        <v>80396.5</v>
      </c>
      <c r="L796">
        <v>13</v>
      </c>
      <c r="N796">
        <v>3491</v>
      </c>
      <c r="O796">
        <f t="shared" si="24"/>
        <v>2024</v>
      </c>
      <c r="P796">
        <f t="shared" si="25"/>
        <v>1</v>
      </c>
      <c r="Q796" t="str">
        <f>_xlfn.XLOOKUP(B796,全店核心数据_bymonth!A:A,全店核心数据_bymonth!AN:AN)</f>
        <v>BU24</v>
      </c>
    </row>
    <row r="797" spans="1:17" x14ac:dyDescent="0.3">
      <c r="A797" t="s">
        <v>110</v>
      </c>
      <c r="B797" s="16">
        <v>45292</v>
      </c>
      <c r="C797" t="s">
        <v>2</v>
      </c>
      <c r="D797" t="s">
        <v>57</v>
      </c>
      <c r="E797">
        <v>131827</v>
      </c>
      <c r="F797">
        <v>121924</v>
      </c>
      <c r="G797">
        <v>1639</v>
      </c>
      <c r="H797">
        <v>1099</v>
      </c>
      <c r="I797">
        <v>1637289</v>
      </c>
      <c r="J797">
        <v>209</v>
      </c>
      <c r="K797">
        <v>1095142.5</v>
      </c>
      <c r="L797">
        <v>166</v>
      </c>
      <c r="N797">
        <v>131255</v>
      </c>
      <c r="O797">
        <f t="shared" si="24"/>
        <v>2024</v>
      </c>
      <c r="P797">
        <f t="shared" si="25"/>
        <v>1</v>
      </c>
      <c r="Q797" t="str">
        <f>_xlfn.XLOOKUP(B797,全店核心数据_bymonth!A:A,全店核心数据_bymonth!AN:AN)</f>
        <v>BU24</v>
      </c>
    </row>
    <row r="798" spans="1:17" x14ac:dyDescent="0.3">
      <c r="A798" t="s">
        <v>110</v>
      </c>
      <c r="B798" s="16">
        <v>45292</v>
      </c>
      <c r="C798" t="s">
        <v>2</v>
      </c>
      <c r="D798" t="s">
        <v>52</v>
      </c>
      <c r="E798">
        <v>17843</v>
      </c>
      <c r="F798">
        <v>16456</v>
      </c>
      <c r="G798">
        <v>372</v>
      </c>
      <c r="H798">
        <v>132</v>
      </c>
      <c r="I798">
        <v>366872.5</v>
      </c>
      <c r="J798">
        <v>52</v>
      </c>
      <c r="K798">
        <v>254952.5</v>
      </c>
      <c r="L798">
        <v>47</v>
      </c>
      <c r="N798">
        <v>8789</v>
      </c>
      <c r="O798">
        <f t="shared" si="24"/>
        <v>2024</v>
      </c>
      <c r="P798">
        <f t="shared" si="25"/>
        <v>1</v>
      </c>
      <c r="Q798" t="str">
        <f>_xlfn.XLOOKUP(B798,全店核心数据_bymonth!A:A,全店核心数据_bymonth!AN:AN)</f>
        <v>BU24</v>
      </c>
    </row>
    <row r="799" spans="1:17" x14ac:dyDescent="0.3">
      <c r="A799" t="s">
        <v>110</v>
      </c>
      <c r="B799" s="16">
        <v>45292</v>
      </c>
      <c r="C799" t="s">
        <v>2</v>
      </c>
      <c r="D799" t="s">
        <v>55</v>
      </c>
      <c r="E799">
        <v>18</v>
      </c>
      <c r="F799">
        <v>10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N799">
        <v>1</v>
      </c>
      <c r="O799">
        <f t="shared" si="24"/>
        <v>2024</v>
      </c>
      <c r="P799">
        <f t="shared" si="25"/>
        <v>1</v>
      </c>
      <c r="Q799" t="str">
        <f>_xlfn.XLOOKUP(B799,全店核心数据_bymonth!A:A,全店核心数据_bymonth!AN:AN)</f>
        <v>BU24</v>
      </c>
    </row>
    <row r="800" spans="1:17" x14ac:dyDescent="0.3">
      <c r="A800" t="s">
        <v>110</v>
      </c>
      <c r="B800" s="16">
        <v>45292</v>
      </c>
      <c r="C800" t="s">
        <v>3</v>
      </c>
      <c r="D800" t="s">
        <v>155</v>
      </c>
      <c r="E800">
        <v>159</v>
      </c>
      <c r="F800">
        <v>124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N800">
        <v>159</v>
      </c>
      <c r="O800">
        <f t="shared" si="24"/>
        <v>2024</v>
      </c>
      <c r="P800">
        <f t="shared" si="25"/>
        <v>1</v>
      </c>
      <c r="Q800" t="str">
        <f>_xlfn.XLOOKUP(B800,全店核心数据_bymonth!A:A,全店核心数据_bymonth!AN:AN)</f>
        <v>BU24</v>
      </c>
    </row>
    <row r="801" spans="1:17" x14ac:dyDescent="0.3">
      <c r="A801" t="s">
        <v>110</v>
      </c>
      <c r="B801" s="16">
        <v>45292</v>
      </c>
      <c r="C801" t="s">
        <v>3</v>
      </c>
      <c r="D801" t="s">
        <v>154</v>
      </c>
      <c r="E801">
        <v>46</v>
      </c>
      <c r="F801">
        <v>33</v>
      </c>
      <c r="G801">
        <v>2</v>
      </c>
      <c r="H801">
        <v>1</v>
      </c>
      <c r="I801">
        <v>0</v>
      </c>
      <c r="J801">
        <v>0</v>
      </c>
      <c r="K801">
        <v>0</v>
      </c>
      <c r="L801">
        <v>0</v>
      </c>
      <c r="N801">
        <v>25</v>
      </c>
      <c r="O801">
        <f t="shared" si="24"/>
        <v>2024</v>
      </c>
      <c r="P801">
        <f t="shared" si="25"/>
        <v>1</v>
      </c>
      <c r="Q801" t="str">
        <f>_xlfn.XLOOKUP(B801,全店核心数据_bymonth!A:A,全店核心数据_bymonth!AN:AN)</f>
        <v>BU24</v>
      </c>
    </row>
    <row r="802" spans="1:17" x14ac:dyDescent="0.3">
      <c r="A802" t="s">
        <v>110</v>
      </c>
      <c r="B802" s="16">
        <v>45292</v>
      </c>
      <c r="C802" t="s">
        <v>3</v>
      </c>
      <c r="D802" t="s">
        <v>153</v>
      </c>
      <c r="E802">
        <v>3284</v>
      </c>
      <c r="F802">
        <v>1872</v>
      </c>
      <c r="G802">
        <v>272</v>
      </c>
      <c r="H802">
        <v>35</v>
      </c>
      <c r="I802">
        <v>1736375.48</v>
      </c>
      <c r="J802">
        <v>221</v>
      </c>
      <c r="K802">
        <v>1482387.48</v>
      </c>
      <c r="L802">
        <v>214</v>
      </c>
      <c r="N802">
        <v>3156</v>
      </c>
      <c r="O802">
        <f t="shared" si="24"/>
        <v>2024</v>
      </c>
      <c r="P802">
        <f t="shared" si="25"/>
        <v>1</v>
      </c>
      <c r="Q802" t="str">
        <f>_xlfn.XLOOKUP(B802,全店核心数据_bymonth!A:A,全店核心数据_bymonth!AN:AN)</f>
        <v>BU24</v>
      </c>
    </row>
    <row r="803" spans="1:17" x14ac:dyDescent="0.3">
      <c r="A803" t="s">
        <v>110</v>
      </c>
      <c r="B803" s="16">
        <v>45292</v>
      </c>
      <c r="C803" t="s">
        <v>3</v>
      </c>
      <c r="D803" t="s">
        <v>152</v>
      </c>
      <c r="E803">
        <v>150</v>
      </c>
      <c r="F803">
        <v>72</v>
      </c>
      <c r="G803">
        <v>0</v>
      </c>
      <c r="H803">
        <v>1</v>
      </c>
      <c r="I803">
        <v>0</v>
      </c>
      <c r="J803">
        <v>0</v>
      </c>
      <c r="K803">
        <v>0</v>
      </c>
      <c r="L803">
        <v>0</v>
      </c>
      <c r="N803">
        <v>150</v>
      </c>
      <c r="O803">
        <f t="shared" si="24"/>
        <v>2024</v>
      </c>
      <c r="P803">
        <f t="shared" si="25"/>
        <v>1</v>
      </c>
      <c r="Q803" t="str">
        <f>_xlfn.XLOOKUP(B803,全店核心数据_bymonth!A:A,全店核心数据_bymonth!AN:AN)</f>
        <v>BU24</v>
      </c>
    </row>
    <row r="804" spans="1:17" x14ac:dyDescent="0.3">
      <c r="A804" t="s">
        <v>110</v>
      </c>
      <c r="B804" s="16">
        <v>45292</v>
      </c>
      <c r="C804" t="s">
        <v>3</v>
      </c>
      <c r="D804" t="s">
        <v>151</v>
      </c>
      <c r="E804">
        <v>28</v>
      </c>
      <c r="F804">
        <v>16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N804">
        <v>28</v>
      </c>
      <c r="O804">
        <f t="shared" si="24"/>
        <v>2024</v>
      </c>
      <c r="P804">
        <f t="shared" si="25"/>
        <v>1</v>
      </c>
      <c r="Q804" t="str">
        <f>_xlfn.XLOOKUP(B804,全店核心数据_bymonth!A:A,全店核心数据_bymonth!AN:AN)</f>
        <v>BU24</v>
      </c>
    </row>
    <row r="805" spans="1:17" x14ac:dyDescent="0.3">
      <c r="A805" t="s">
        <v>110</v>
      </c>
      <c r="B805" s="16">
        <v>45292</v>
      </c>
      <c r="C805" t="s">
        <v>3</v>
      </c>
      <c r="D805" t="s">
        <v>149</v>
      </c>
      <c r="E805">
        <v>214</v>
      </c>
      <c r="F805">
        <v>142</v>
      </c>
      <c r="G805">
        <v>8</v>
      </c>
      <c r="H805">
        <v>3</v>
      </c>
      <c r="I805">
        <v>4495</v>
      </c>
      <c r="J805">
        <v>1</v>
      </c>
      <c r="K805">
        <v>4495</v>
      </c>
      <c r="L805">
        <v>1</v>
      </c>
      <c r="N805">
        <v>182</v>
      </c>
      <c r="O805">
        <f t="shared" si="24"/>
        <v>2024</v>
      </c>
      <c r="P805">
        <f t="shared" si="25"/>
        <v>1</v>
      </c>
      <c r="Q805" t="str">
        <f>_xlfn.XLOOKUP(B805,全店核心数据_bymonth!A:A,全店核心数据_bymonth!AN:AN)</f>
        <v>BU24</v>
      </c>
    </row>
    <row r="806" spans="1:17" x14ac:dyDescent="0.3">
      <c r="A806" t="s">
        <v>110</v>
      </c>
      <c r="B806" s="16">
        <v>45292</v>
      </c>
      <c r="C806" t="s">
        <v>3</v>
      </c>
      <c r="D806" t="s">
        <v>148</v>
      </c>
      <c r="E806">
        <v>326</v>
      </c>
      <c r="F806">
        <v>174</v>
      </c>
      <c r="G806">
        <v>0</v>
      </c>
      <c r="H806">
        <v>2</v>
      </c>
      <c r="I806">
        <v>0</v>
      </c>
      <c r="J806">
        <v>0</v>
      </c>
      <c r="K806">
        <v>0</v>
      </c>
      <c r="L806">
        <v>0</v>
      </c>
      <c r="N806">
        <v>287</v>
      </c>
      <c r="O806">
        <f t="shared" si="24"/>
        <v>2024</v>
      </c>
      <c r="P806">
        <f t="shared" si="25"/>
        <v>1</v>
      </c>
      <c r="Q806" t="str">
        <f>_xlfn.XLOOKUP(B806,全店核心数据_bymonth!A:A,全店核心数据_bymonth!AN:AN)</f>
        <v>BU24</v>
      </c>
    </row>
    <row r="807" spans="1:17" x14ac:dyDescent="0.3">
      <c r="A807" t="s">
        <v>110</v>
      </c>
      <c r="B807" s="16">
        <v>45292</v>
      </c>
      <c r="C807" t="s">
        <v>3</v>
      </c>
      <c r="D807" t="s">
        <v>146</v>
      </c>
      <c r="E807">
        <v>1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N807">
        <v>1</v>
      </c>
      <c r="O807">
        <f t="shared" si="24"/>
        <v>2024</v>
      </c>
      <c r="P807">
        <f t="shared" si="25"/>
        <v>1</v>
      </c>
      <c r="Q807" t="str">
        <f>_xlfn.XLOOKUP(B807,全店核心数据_bymonth!A:A,全店核心数据_bymonth!AN:AN)</f>
        <v>BU24</v>
      </c>
    </row>
    <row r="808" spans="1:17" x14ac:dyDescent="0.3">
      <c r="A808" t="s">
        <v>110</v>
      </c>
      <c r="B808" s="16">
        <v>45292</v>
      </c>
      <c r="C808" t="s">
        <v>3</v>
      </c>
      <c r="D808" t="s">
        <v>251</v>
      </c>
      <c r="E808">
        <v>3808</v>
      </c>
      <c r="F808">
        <v>2893</v>
      </c>
      <c r="G808">
        <v>47</v>
      </c>
      <c r="H808">
        <v>43</v>
      </c>
      <c r="I808">
        <v>107421.5</v>
      </c>
      <c r="J808">
        <v>15</v>
      </c>
      <c r="K808">
        <v>70546.5</v>
      </c>
      <c r="L808">
        <v>13</v>
      </c>
      <c r="N808">
        <v>3320</v>
      </c>
      <c r="O808">
        <f t="shared" si="24"/>
        <v>2024</v>
      </c>
      <c r="P808">
        <f t="shared" si="25"/>
        <v>1</v>
      </c>
      <c r="Q808" t="str">
        <f>_xlfn.XLOOKUP(B808,全店核心数据_bymonth!A:A,全店核心数据_bymonth!AN:AN)</f>
        <v>BU24</v>
      </c>
    </row>
    <row r="809" spans="1:17" x14ac:dyDescent="0.3">
      <c r="A809" t="s">
        <v>110</v>
      </c>
      <c r="B809" s="16">
        <v>45292</v>
      </c>
      <c r="C809" t="s">
        <v>3</v>
      </c>
      <c r="D809" t="s">
        <v>143</v>
      </c>
      <c r="E809">
        <v>154</v>
      </c>
      <c r="F809">
        <v>146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N809">
        <v>151</v>
      </c>
      <c r="O809">
        <f t="shared" si="24"/>
        <v>2024</v>
      </c>
      <c r="P809">
        <f t="shared" si="25"/>
        <v>1</v>
      </c>
      <c r="Q809" t="str">
        <f>_xlfn.XLOOKUP(B809,全店核心数据_bymonth!A:A,全店核心数据_bymonth!AN:AN)</f>
        <v>BU24</v>
      </c>
    </row>
    <row r="810" spans="1:17" x14ac:dyDescent="0.3">
      <c r="A810" t="s">
        <v>110</v>
      </c>
      <c r="B810" s="16">
        <v>45292</v>
      </c>
      <c r="C810" t="s">
        <v>3</v>
      </c>
      <c r="D810" t="s">
        <v>142</v>
      </c>
      <c r="E810">
        <v>200</v>
      </c>
      <c r="F810">
        <v>70</v>
      </c>
      <c r="G810">
        <v>1</v>
      </c>
      <c r="H810">
        <v>3</v>
      </c>
      <c r="I810">
        <v>4495</v>
      </c>
      <c r="J810">
        <v>1</v>
      </c>
      <c r="K810">
        <v>4495</v>
      </c>
      <c r="L810">
        <v>1</v>
      </c>
      <c r="N810">
        <v>200</v>
      </c>
      <c r="O810">
        <f t="shared" si="24"/>
        <v>2024</v>
      </c>
      <c r="P810">
        <f t="shared" si="25"/>
        <v>1</v>
      </c>
      <c r="Q810" t="str">
        <f>_xlfn.XLOOKUP(B810,全店核心数据_bymonth!A:A,全店核心数据_bymonth!AN:AN)</f>
        <v>BU24</v>
      </c>
    </row>
    <row r="811" spans="1:17" x14ac:dyDescent="0.3">
      <c r="A811" t="s">
        <v>110</v>
      </c>
      <c r="B811" s="16">
        <v>45292</v>
      </c>
      <c r="C811" t="s">
        <v>3</v>
      </c>
      <c r="D811" t="s">
        <v>141</v>
      </c>
      <c r="E811">
        <v>110</v>
      </c>
      <c r="F811">
        <v>104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N811">
        <v>95</v>
      </c>
      <c r="O811">
        <f t="shared" si="24"/>
        <v>2024</v>
      </c>
      <c r="P811">
        <f t="shared" si="25"/>
        <v>1</v>
      </c>
      <c r="Q811" t="str">
        <f>_xlfn.XLOOKUP(B811,全店核心数据_bymonth!A:A,全店核心数据_bymonth!AN:AN)</f>
        <v>BU24</v>
      </c>
    </row>
    <row r="812" spans="1:17" x14ac:dyDescent="0.3">
      <c r="A812" t="s">
        <v>110</v>
      </c>
      <c r="B812" s="16">
        <v>45292</v>
      </c>
      <c r="C812" t="s">
        <v>3</v>
      </c>
      <c r="D812" t="s">
        <v>140</v>
      </c>
      <c r="E812">
        <v>103</v>
      </c>
      <c r="F812">
        <v>89</v>
      </c>
      <c r="G812">
        <v>9</v>
      </c>
      <c r="H812">
        <v>1</v>
      </c>
      <c r="I812">
        <v>120543</v>
      </c>
      <c r="J812">
        <v>11</v>
      </c>
      <c r="K812">
        <v>91348</v>
      </c>
      <c r="L812">
        <v>10</v>
      </c>
      <c r="N812">
        <v>99</v>
      </c>
      <c r="O812">
        <f t="shared" si="24"/>
        <v>2024</v>
      </c>
      <c r="P812">
        <f t="shared" si="25"/>
        <v>1</v>
      </c>
      <c r="Q812" t="str">
        <f>_xlfn.XLOOKUP(B812,全店核心数据_bymonth!A:A,全店核心数据_bymonth!AN:AN)</f>
        <v>BU24</v>
      </c>
    </row>
    <row r="813" spans="1:17" x14ac:dyDescent="0.3">
      <c r="A813" t="s">
        <v>110</v>
      </c>
      <c r="B813" s="16">
        <v>45292</v>
      </c>
      <c r="C813" t="s">
        <v>3</v>
      </c>
      <c r="D813" t="s">
        <v>139</v>
      </c>
      <c r="E813">
        <v>7700</v>
      </c>
      <c r="F813">
        <v>5303</v>
      </c>
      <c r="G813">
        <v>206</v>
      </c>
      <c r="H813">
        <v>80</v>
      </c>
      <c r="I813">
        <v>565715.56999999995</v>
      </c>
      <c r="J813">
        <v>79</v>
      </c>
      <c r="K813">
        <v>388275.57</v>
      </c>
      <c r="L813">
        <v>70</v>
      </c>
      <c r="N813">
        <v>5220</v>
      </c>
      <c r="O813">
        <f t="shared" si="24"/>
        <v>2024</v>
      </c>
      <c r="P813">
        <f t="shared" si="25"/>
        <v>1</v>
      </c>
      <c r="Q813" t="str">
        <f>_xlfn.XLOOKUP(B813,全店核心数据_bymonth!A:A,全店核心数据_bymonth!AN:AN)</f>
        <v>BU24</v>
      </c>
    </row>
    <row r="814" spans="1:17" x14ac:dyDescent="0.3">
      <c r="A814" t="s">
        <v>110</v>
      </c>
      <c r="B814" s="16">
        <v>45292</v>
      </c>
      <c r="C814" t="s">
        <v>3</v>
      </c>
      <c r="D814" t="s">
        <v>187</v>
      </c>
      <c r="E814">
        <v>87</v>
      </c>
      <c r="F814">
        <v>74</v>
      </c>
      <c r="G814">
        <v>0</v>
      </c>
      <c r="H814">
        <v>1</v>
      </c>
      <c r="I814">
        <v>0</v>
      </c>
      <c r="J814">
        <v>0</v>
      </c>
      <c r="K814">
        <v>0</v>
      </c>
      <c r="L814">
        <v>0</v>
      </c>
      <c r="N814">
        <v>46</v>
      </c>
      <c r="O814">
        <f t="shared" si="24"/>
        <v>2024</v>
      </c>
      <c r="P814">
        <f t="shared" si="25"/>
        <v>1</v>
      </c>
      <c r="Q814" t="str">
        <f>_xlfn.XLOOKUP(B814,全店核心数据_bymonth!A:A,全店核心数据_bymonth!AN:AN)</f>
        <v>BU24</v>
      </c>
    </row>
    <row r="815" spans="1:17" x14ac:dyDescent="0.3">
      <c r="A815" t="s">
        <v>110</v>
      </c>
      <c r="B815" s="16">
        <v>45292</v>
      </c>
      <c r="C815" t="s">
        <v>3</v>
      </c>
      <c r="D815" t="s">
        <v>138</v>
      </c>
      <c r="E815">
        <v>3559</v>
      </c>
      <c r="F815">
        <v>2336</v>
      </c>
      <c r="G815">
        <v>77</v>
      </c>
      <c r="H815">
        <v>43</v>
      </c>
      <c r="I815">
        <v>29365</v>
      </c>
      <c r="J815">
        <v>3</v>
      </c>
      <c r="K815">
        <v>17115</v>
      </c>
      <c r="L815">
        <v>2</v>
      </c>
      <c r="N815">
        <v>3546</v>
      </c>
      <c r="O815">
        <f t="shared" si="24"/>
        <v>2024</v>
      </c>
      <c r="P815">
        <f t="shared" si="25"/>
        <v>1</v>
      </c>
      <c r="Q815" t="str">
        <f>_xlfn.XLOOKUP(B815,全店核心数据_bymonth!A:A,全店核心数据_bymonth!AN:AN)</f>
        <v>BU24</v>
      </c>
    </row>
    <row r="816" spans="1:17" x14ac:dyDescent="0.3">
      <c r="A816" t="s">
        <v>110</v>
      </c>
      <c r="B816" s="16">
        <v>45292</v>
      </c>
      <c r="C816" t="s">
        <v>3</v>
      </c>
      <c r="D816" t="s">
        <v>137</v>
      </c>
      <c r="E816">
        <v>52</v>
      </c>
      <c r="F816">
        <v>21</v>
      </c>
      <c r="G816">
        <v>3</v>
      </c>
      <c r="H816">
        <v>3</v>
      </c>
      <c r="I816">
        <v>13595</v>
      </c>
      <c r="J816">
        <v>3</v>
      </c>
      <c r="K816">
        <v>13595</v>
      </c>
      <c r="L816">
        <v>3</v>
      </c>
      <c r="N816">
        <v>52</v>
      </c>
      <c r="O816">
        <f t="shared" si="24"/>
        <v>2024</v>
      </c>
      <c r="P816">
        <f t="shared" si="25"/>
        <v>1</v>
      </c>
      <c r="Q816" t="str">
        <f>_xlfn.XLOOKUP(B816,全店核心数据_bymonth!A:A,全店核心数据_bymonth!AN:AN)</f>
        <v>BU24</v>
      </c>
    </row>
    <row r="817" spans="1:17" x14ac:dyDescent="0.3">
      <c r="A817" t="s">
        <v>110</v>
      </c>
      <c r="B817" s="16">
        <v>45292</v>
      </c>
      <c r="C817" t="s">
        <v>3</v>
      </c>
      <c r="D817" t="s">
        <v>135</v>
      </c>
      <c r="E817">
        <v>5</v>
      </c>
      <c r="F817">
        <v>0</v>
      </c>
      <c r="G817">
        <v>1</v>
      </c>
      <c r="H817">
        <v>0</v>
      </c>
      <c r="I817">
        <v>5425</v>
      </c>
      <c r="J817">
        <v>1</v>
      </c>
      <c r="K817">
        <v>0</v>
      </c>
      <c r="L817">
        <v>0</v>
      </c>
      <c r="N817">
        <v>5</v>
      </c>
      <c r="O817">
        <f t="shared" si="24"/>
        <v>2024</v>
      </c>
      <c r="P817">
        <f t="shared" si="25"/>
        <v>1</v>
      </c>
      <c r="Q817" t="str">
        <f>_xlfn.XLOOKUP(B817,全店核心数据_bymonth!A:A,全店核心数据_bymonth!AN:AN)</f>
        <v>BU24</v>
      </c>
    </row>
    <row r="818" spans="1:17" x14ac:dyDescent="0.3">
      <c r="A818" t="s">
        <v>110</v>
      </c>
      <c r="B818" s="16">
        <v>45292</v>
      </c>
      <c r="C818" t="s">
        <v>3</v>
      </c>
      <c r="D818" t="s">
        <v>133</v>
      </c>
      <c r="E818">
        <v>242</v>
      </c>
      <c r="F818">
        <v>172</v>
      </c>
      <c r="G818">
        <v>11</v>
      </c>
      <c r="H818">
        <v>2</v>
      </c>
      <c r="I818">
        <v>34405</v>
      </c>
      <c r="J818">
        <v>5</v>
      </c>
      <c r="K818">
        <v>34405</v>
      </c>
      <c r="L818">
        <v>5</v>
      </c>
      <c r="N818">
        <v>176</v>
      </c>
      <c r="O818">
        <f t="shared" si="24"/>
        <v>2024</v>
      </c>
      <c r="P818">
        <f t="shared" si="25"/>
        <v>1</v>
      </c>
      <c r="Q818" t="str">
        <f>_xlfn.XLOOKUP(B818,全店核心数据_bymonth!A:A,全店核心数据_bymonth!AN:AN)</f>
        <v>BU24</v>
      </c>
    </row>
    <row r="819" spans="1:17" x14ac:dyDescent="0.3">
      <c r="A819" t="s">
        <v>110</v>
      </c>
      <c r="B819" s="16">
        <v>45292</v>
      </c>
      <c r="C819" t="s">
        <v>3</v>
      </c>
      <c r="D819" t="s">
        <v>132</v>
      </c>
      <c r="E819">
        <v>147</v>
      </c>
      <c r="F819">
        <v>118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N819">
        <v>146</v>
      </c>
      <c r="O819">
        <f t="shared" si="24"/>
        <v>2024</v>
      </c>
      <c r="P819">
        <f t="shared" si="25"/>
        <v>1</v>
      </c>
      <c r="Q819" t="str">
        <f>_xlfn.XLOOKUP(B819,全店核心数据_bymonth!A:A,全店核心数据_bymonth!AN:AN)</f>
        <v>BU24</v>
      </c>
    </row>
    <row r="820" spans="1:17" x14ac:dyDescent="0.3">
      <c r="A820" t="s">
        <v>110</v>
      </c>
      <c r="B820" s="16">
        <v>45292</v>
      </c>
      <c r="C820" t="s">
        <v>3</v>
      </c>
      <c r="D820" t="s">
        <v>130</v>
      </c>
      <c r="E820">
        <v>851</v>
      </c>
      <c r="F820">
        <v>457</v>
      </c>
      <c r="G820">
        <v>84</v>
      </c>
      <c r="H820">
        <v>27</v>
      </c>
      <c r="I820">
        <v>683046.7</v>
      </c>
      <c r="J820">
        <v>92</v>
      </c>
      <c r="K820">
        <v>630201.69999999995</v>
      </c>
      <c r="L820">
        <v>88</v>
      </c>
      <c r="N820">
        <v>768</v>
      </c>
      <c r="O820">
        <f t="shared" si="24"/>
        <v>2024</v>
      </c>
      <c r="P820">
        <f t="shared" si="25"/>
        <v>1</v>
      </c>
      <c r="Q820" t="str">
        <f>_xlfn.XLOOKUP(B820,全店核心数据_bymonth!A:A,全店核心数据_bymonth!AN:AN)</f>
        <v>BU24</v>
      </c>
    </row>
    <row r="821" spans="1:17" x14ac:dyDescent="0.3">
      <c r="A821" t="s">
        <v>110</v>
      </c>
      <c r="B821" s="16">
        <v>45292</v>
      </c>
      <c r="C821" t="s">
        <v>3</v>
      </c>
      <c r="D821" t="s">
        <v>128</v>
      </c>
      <c r="E821">
        <v>12107</v>
      </c>
      <c r="F821">
        <v>10522</v>
      </c>
      <c r="G821">
        <v>365</v>
      </c>
      <c r="H821">
        <v>135</v>
      </c>
      <c r="I821">
        <v>313468.65999999997</v>
      </c>
      <c r="J821">
        <v>56</v>
      </c>
      <c r="K821">
        <v>247053.66</v>
      </c>
      <c r="L821">
        <v>49</v>
      </c>
      <c r="N821">
        <v>10122</v>
      </c>
      <c r="O821">
        <f t="shared" si="24"/>
        <v>2024</v>
      </c>
      <c r="P821">
        <f t="shared" si="25"/>
        <v>1</v>
      </c>
      <c r="Q821" t="str">
        <f>_xlfn.XLOOKUP(B821,全店核心数据_bymonth!A:A,全店核心数据_bymonth!AN:AN)</f>
        <v>BU24</v>
      </c>
    </row>
    <row r="822" spans="1:17" x14ac:dyDescent="0.3">
      <c r="A822" t="s">
        <v>110</v>
      </c>
      <c r="B822" s="16">
        <v>45292</v>
      </c>
      <c r="C822" t="s">
        <v>3</v>
      </c>
      <c r="D822" t="s">
        <v>127</v>
      </c>
      <c r="E822">
        <v>57980</v>
      </c>
      <c r="F822">
        <v>52192</v>
      </c>
      <c r="G822">
        <v>382</v>
      </c>
      <c r="H822">
        <v>295</v>
      </c>
      <c r="I822">
        <v>370190.07</v>
      </c>
      <c r="J822">
        <v>30</v>
      </c>
      <c r="K822">
        <v>213818.57</v>
      </c>
      <c r="L822">
        <v>23</v>
      </c>
      <c r="N822">
        <v>57421</v>
      </c>
      <c r="O822">
        <f t="shared" si="24"/>
        <v>2024</v>
      </c>
      <c r="P822">
        <f t="shared" si="25"/>
        <v>1</v>
      </c>
      <c r="Q822" t="str">
        <f>_xlfn.XLOOKUP(B822,全店核心数据_bymonth!A:A,全店核心数据_bymonth!AN:AN)</f>
        <v>BU24</v>
      </c>
    </row>
    <row r="823" spans="1:17" x14ac:dyDescent="0.3">
      <c r="A823" t="s">
        <v>110</v>
      </c>
      <c r="B823" s="16">
        <v>45292</v>
      </c>
      <c r="C823" t="s">
        <v>3</v>
      </c>
      <c r="D823" t="s">
        <v>126</v>
      </c>
      <c r="E823">
        <v>2009</v>
      </c>
      <c r="F823">
        <v>1583</v>
      </c>
      <c r="G823">
        <v>64</v>
      </c>
      <c r="H823">
        <v>39</v>
      </c>
      <c r="I823">
        <v>108215</v>
      </c>
      <c r="J823">
        <v>19</v>
      </c>
      <c r="K823">
        <v>87915</v>
      </c>
      <c r="L823">
        <v>16</v>
      </c>
      <c r="N823">
        <v>1953</v>
      </c>
      <c r="O823">
        <f t="shared" si="24"/>
        <v>2024</v>
      </c>
      <c r="P823">
        <f t="shared" si="25"/>
        <v>1</v>
      </c>
      <c r="Q823" t="str">
        <f>_xlfn.XLOOKUP(B823,全店核心数据_bymonth!A:A,全店核心数据_bymonth!AN:AN)</f>
        <v>BU24</v>
      </c>
    </row>
    <row r="824" spans="1:17" x14ac:dyDescent="0.3">
      <c r="A824" t="s">
        <v>110</v>
      </c>
      <c r="B824" s="16">
        <v>45292</v>
      </c>
      <c r="C824" t="s">
        <v>3</v>
      </c>
      <c r="D824" t="s">
        <v>125</v>
      </c>
      <c r="E824">
        <v>5</v>
      </c>
      <c r="F824">
        <v>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N824">
        <v>0</v>
      </c>
      <c r="O824">
        <f t="shared" si="24"/>
        <v>2024</v>
      </c>
      <c r="P824">
        <f t="shared" si="25"/>
        <v>1</v>
      </c>
      <c r="Q824" t="str">
        <f>_xlfn.XLOOKUP(B824,全店核心数据_bymonth!A:A,全店核心数据_bymonth!AN:AN)</f>
        <v>BU24</v>
      </c>
    </row>
    <row r="825" spans="1:17" x14ac:dyDescent="0.3">
      <c r="A825" t="s">
        <v>110</v>
      </c>
      <c r="B825" s="16">
        <v>45292</v>
      </c>
      <c r="C825" t="s">
        <v>3</v>
      </c>
      <c r="D825" t="s">
        <v>123</v>
      </c>
      <c r="E825">
        <v>2207</v>
      </c>
      <c r="F825">
        <v>1335</v>
      </c>
      <c r="G825">
        <v>81</v>
      </c>
      <c r="H825">
        <v>33</v>
      </c>
      <c r="I825">
        <v>127713</v>
      </c>
      <c r="J825">
        <v>17</v>
      </c>
      <c r="K825">
        <v>72423</v>
      </c>
      <c r="L825">
        <v>12</v>
      </c>
      <c r="N825">
        <v>1786</v>
      </c>
      <c r="O825">
        <f t="shared" si="24"/>
        <v>2024</v>
      </c>
      <c r="P825">
        <f t="shared" si="25"/>
        <v>1</v>
      </c>
      <c r="Q825" t="str">
        <f>_xlfn.XLOOKUP(B825,全店核心数据_bymonth!A:A,全店核心数据_bymonth!AN:AN)</f>
        <v>BU24</v>
      </c>
    </row>
    <row r="826" spans="1:17" x14ac:dyDescent="0.3">
      <c r="A826" t="s">
        <v>110</v>
      </c>
      <c r="B826" s="16">
        <v>45292</v>
      </c>
      <c r="C826" t="s">
        <v>3</v>
      </c>
      <c r="D826" t="s">
        <v>121</v>
      </c>
      <c r="E826">
        <v>35</v>
      </c>
      <c r="F826">
        <v>22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N826">
        <v>16</v>
      </c>
      <c r="O826">
        <f t="shared" si="24"/>
        <v>2024</v>
      </c>
      <c r="P826">
        <f t="shared" si="25"/>
        <v>1</v>
      </c>
      <c r="Q826" t="str">
        <f>_xlfn.XLOOKUP(B826,全店核心数据_bymonth!A:A,全店核心数据_bymonth!AN:AN)</f>
        <v>BU24</v>
      </c>
    </row>
    <row r="827" spans="1:17" x14ac:dyDescent="0.3">
      <c r="A827" t="s">
        <v>110</v>
      </c>
      <c r="B827" s="16">
        <v>45292</v>
      </c>
      <c r="C827" t="s">
        <v>3</v>
      </c>
      <c r="D827" t="s">
        <v>120</v>
      </c>
      <c r="E827">
        <v>7238</v>
      </c>
      <c r="F827">
        <v>6429</v>
      </c>
      <c r="G827">
        <v>50</v>
      </c>
      <c r="H827">
        <v>1</v>
      </c>
      <c r="I827">
        <v>229433</v>
      </c>
      <c r="J827">
        <v>22</v>
      </c>
      <c r="K827">
        <v>137053</v>
      </c>
      <c r="L827">
        <v>20</v>
      </c>
      <c r="N827">
        <v>7064</v>
      </c>
      <c r="O827">
        <f t="shared" si="24"/>
        <v>2024</v>
      </c>
      <c r="P827">
        <f t="shared" si="25"/>
        <v>1</v>
      </c>
      <c r="Q827" t="str">
        <f>_xlfn.XLOOKUP(B827,全店核心数据_bymonth!A:A,全店核心数据_bymonth!AN:AN)</f>
        <v>BU24</v>
      </c>
    </row>
    <row r="828" spans="1:17" x14ac:dyDescent="0.3">
      <c r="A828" t="s">
        <v>110</v>
      </c>
      <c r="B828" s="16">
        <v>45292</v>
      </c>
      <c r="C828" t="s">
        <v>3</v>
      </c>
      <c r="D828" t="s">
        <v>119</v>
      </c>
      <c r="E828">
        <v>4256</v>
      </c>
      <c r="F828">
        <v>2718</v>
      </c>
      <c r="G828">
        <v>136</v>
      </c>
      <c r="H828">
        <v>80</v>
      </c>
      <c r="I828">
        <v>928668.7</v>
      </c>
      <c r="J828">
        <v>94</v>
      </c>
      <c r="K828">
        <v>680468.7</v>
      </c>
      <c r="L828">
        <v>89</v>
      </c>
      <c r="N828">
        <v>4072</v>
      </c>
      <c r="O828">
        <f t="shared" si="24"/>
        <v>2024</v>
      </c>
      <c r="P828">
        <f t="shared" si="25"/>
        <v>1</v>
      </c>
      <c r="Q828" t="str">
        <f>_xlfn.XLOOKUP(B828,全店核心数据_bymonth!A:A,全店核心数据_bymonth!AN:AN)</f>
        <v>BU24</v>
      </c>
    </row>
    <row r="829" spans="1:17" x14ac:dyDescent="0.3">
      <c r="A829" t="s">
        <v>110</v>
      </c>
      <c r="B829" s="16">
        <v>45292</v>
      </c>
      <c r="C829" t="s">
        <v>3</v>
      </c>
      <c r="D829" t="s">
        <v>116</v>
      </c>
      <c r="E829">
        <v>448</v>
      </c>
      <c r="F829">
        <v>279</v>
      </c>
      <c r="G829">
        <v>7</v>
      </c>
      <c r="H829">
        <v>4</v>
      </c>
      <c r="I829">
        <v>0</v>
      </c>
      <c r="J829">
        <v>0</v>
      </c>
      <c r="K829">
        <v>0</v>
      </c>
      <c r="L829">
        <v>0</v>
      </c>
      <c r="N829">
        <v>447</v>
      </c>
      <c r="O829">
        <f t="shared" si="24"/>
        <v>2024</v>
      </c>
      <c r="P829">
        <f t="shared" si="25"/>
        <v>1</v>
      </c>
      <c r="Q829" t="str">
        <f>_xlfn.XLOOKUP(B829,全店核心数据_bymonth!A:A,全店核心数据_bymonth!AN:AN)</f>
        <v>BU24</v>
      </c>
    </row>
    <row r="830" spans="1:17" x14ac:dyDescent="0.3">
      <c r="A830" t="s">
        <v>110</v>
      </c>
      <c r="B830" s="16">
        <v>45292</v>
      </c>
      <c r="C830" t="s">
        <v>3</v>
      </c>
      <c r="D830" t="s">
        <v>115</v>
      </c>
      <c r="E830">
        <v>25</v>
      </c>
      <c r="F830">
        <v>22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N830">
        <v>24</v>
      </c>
      <c r="O830">
        <f t="shared" si="24"/>
        <v>2024</v>
      </c>
      <c r="P830">
        <f t="shared" si="25"/>
        <v>1</v>
      </c>
      <c r="Q830" t="str">
        <f>_xlfn.XLOOKUP(B830,全店核心数据_bymonth!A:A,全店核心数据_bymonth!AN:AN)</f>
        <v>BU24</v>
      </c>
    </row>
    <row r="831" spans="1:17" x14ac:dyDescent="0.3">
      <c r="A831" t="s">
        <v>110</v>
      </c>
      <c r="B831" s="16">
        <v>45292</v>
      </c>
      <c r="C831" t="s">
        <v>3</v>
      </c>
      <c r="D831" t="s">
        <v>114</v>
      </c>
      <c r="E831">
        <v>2592</v>
      </c>
      <c r="F831">
        <v>1554</v>
      </c>
      <c r="G831">
        <v>43</v>
      </c>
      <c r="H831">
        <v>38</v>
      </c>
      <c r="I831">
        <v>20826.5</v>
      </c>
      <c r="J831">
        <v>5</v>
      </c>
      <c r="K831">
        <v>20826.5</v>
      </c>
      <c r="L831">
        <v>5</v>
      </c>
      <c r="N831">
        <v>2591</v>
      </c>
      <c r="O831">
        <f t="shared" si="24"/>
        <v>2024</v>
      </c>
      <c r="P831">
        <f t="shared" si="25"/>
        <v>1</v>
      </c>
      <c r="Q831" t="str">
        <f>_xlfn.XLOOKUP(B831,全店核心数据_bymonth!A:A,全店核心数据_bymonth!AN:AN)</f>
        <v>BU24</v>
      </c>
    </row>
    <row r="832" spans="1:17" x14ac:dyDescent="0.3">
      <c r="A832" t="s">
        <v>110</v>
      </c>
      <c r="B832" s="16">
        <v>45292</v>
      </c>
      <c r="C832" t="s">
        <v>3</v>
      </c>
      <c r="D832" t="s">
        <v>113</v>
      </c>
      <c r="E832">
        <v>2464</v>
      </c>
      <c r="F832">
        <v>1917</v>
      </c>
      <c r="G832">
        <v>65</v>
      </c>
      <c r="H832">
        <v>31</v>
      </c>
      <c r="I832">
        <v>85003</v>
      </c>
      <c r="J832">
        <v>10</v>
      </c>
      <c r="K832">
        <v>74858</v>
      </c>
      <c r="L832">
        <v>8</v>
      </c>
      <c r="N832">
        <v>1391</v>
      </c>
      <c r="O832">
        <f t="shared" si="24"/>
        <v>2024</v>
      </c>
      <c r="P832">
        <f t="shared" si="25"/>
        <v>1</v>
      </c>
      <c r="Q832" t="str">
        <f>_xlfn.XLOOKUP(B832,全店核心数据_bymonth!A:A,全店核心数据_bymonth!AN:AN)</f>
        <v>BU24</v>
      </c>
    </row>
    <row r="833" spans="1:17" x14ac:dyDescent="0.3">
      <c r="A833" t="s">
        <v>110</v>
      </c>
      <c r="B833" s="16">
        <v>45292</v>
      </c>
      <c r="C833" t="s">
        <v>3</v>
      </c>
      <c r="D833" t="s">
        <v>112</v>
      </c>
      <c r="E833">
        <v>88</v>
      </c>
      <c r="F833">
        <v>41</v>
      </c>
      <c r="G833">
        <v>3</v>
      </c>
      <c r="H833">
        <v>1</v>
      </c>
      <c r="I833">
        <v>94812.5</v>
      </c>
      <c r="J833">
        <v>14</v>
      </c>
      <c r="K833">
        <v>91417.5</v>
      </c>
      <c r="L833">
        <v>14</v>
      </c>
      <c r="N833">
        <v>87</v>
      </c>
      <c r="O833">
        <f t="shared" si="24"/>
        <v>2024</v>
      </c>
      <c r="P833">
        <f t="shared" si="25"/>
        <v>1</v>
      </c>
      <c r="Q833" t="str">
        <f>_xlfn.XLOOKUP(B833,全店核心数据_bymonth!A:A,全店核心数据_bymonth!AN:AN)</f>
        <v>BU24</v>
      </c>
    </row>
    <row r="834" spans="1:17" x14ac:dyDescent="0.3">
      <c r="A834" t="s">
        <v>110</v>
      </c>
      <c r="B834" s="16">
        <v>45689</v>
      </c>
      <c r="C834" t="s">
        <v>2</v>
      </c>
      <c r="D834" t="s">
        <v>4</v>
      </c>
      <c r="E834">
        <v>8010</v>
      </c>
      <c r="F834">
        <v>4258</v>
      </c>
      <c r="G834">
        <v>18</v>
      </c>
      <c r="H834">
        <v>4</v>
      </c>
      <c r="I834">
        <v>95550</v>
      </c>
      <c r="J834">
        <v>10</v>
      </c>
      <c r="K834">
        <v>82600</v>
      </c>
      <c r="L834">
        <v>9</v>
      </c>
      <c r="M834">
        <v>65</v>
      </c>
      <c r="N834">
        <v>7988</v>
      </c>
      <c r="O834">
        <f t="shared" ref="O834:O897" si="26">YEAR(B834)</f>
        <v>2025</v>
      </c>
      <c r="P834">
        <f t="shared" ref="P834:P897" si="27">MONTH(B834)</f>
        <v>2</v>
      </c>
      <c r="Q834" t="str">
        <f>_xlfn.XLOOKUP(B834,全店核心数据_bymonth!A:A,全店核心数据_bymonth!AN:AN)</f>
        <v>BU25</v>
      </c>
    </row>
    <row r="835" spans="1:17" x14ac:dyDescent="0.3">
      <c r="A835" t="s">
        <v>110</v>
      </c>
      <c r="B835" s="16">
        <v>45689</v>
      </c>
      <c r="C835" t="s">
        <v>2</v>
      </c>
      <c r="D835" t="s">
        <v>57</v>
      </c>
      <c r="E835">
        <v>241681</v>
      </c>
      <c r="F835">
        <v>234624</v>
      </c>
      <c r="G835">
        <v>1890</v>
      </c>
      <c r="H835">
        <v>1435</v>
      </c>
      <c r="I835">
        <v>1831120</v>
      </c>
      <c r="J835">
        <v>214</v>
      </c>
      <c r="K835">
        <v>820045</v>
      </c>
      <c r="L835">
        <v>125</v>
      </c>
      <c r="M835">
        <v>26151</v>
      </c>
      <c r="N835">
        <v>234531</v>
      </c>
      <c r="O835">
        <f t="shared" si="26"/>
        <v>2025</v>
      </c>
      <c r="P835">
        <f t="shared" si="27"/>
        <v>2</v>
      </c>
      <c r="Q835" t="str">
        <f>_xlfn.XLOOKUP(B835,全店核心数据_bymonth!A:A,全店核心数据_bymonth!AN:AN)</f>
        <v>BU25</v>
      </c>
    </row>
    <row r="836" spans="1:17" x14ac:dyDescent="0.3">
      <c r="A836" t="s">
        <v>110</v>
      </c>
      <c r="B836" s="16">
        <v>45689</v>
      </c>
      <c r="C836" t="s">
        <v>2</v>
      </c>
      <c r="D836" t="s">
        <v>52</v>
      </c>
      <c r="E836">
        <v>6</v>
      </c>
      <c r="F836">
        <v>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3</v>
      </c>
      <c r="N836">
        <v>3</v>
      </c>
      <c r="O836">
        <f t="shared" si="26"/>
        <v>2025</v>
      </c>
      <c r="P836">
        <f t="shared" si="27"/>
        <v>2</v>
      </c>
      <c r="Q836" t="str">
        <f>_xlfn.XLOOKUP(B836,全店核心数据_bymonth!A:A,全店核心数据_bymonth!AN:AN)</f>
        <v>BU25</v>
      </c>
    </row>
    <row r="837" spans="1:17" x14ac:dyDescent="0.3">
      <c r="A837" t="s">
        <v>110</v>
      </c>
      <c r="B837" s="16">
        <v>45689</v>
      </c>
      <c r="C837" t="s">
        <v>2</v>
      </c>
      <c r="D837" t="s">
        <v>55</v>
      </c>
      <c r="E837">
        <v>4344</v>
      </c>
      <c r="F837">
        <v>3639</v>
      </c>
      <c r="G837">
        <v>15</v>
      </c>
      <c r="H837">
        <v>3</v>
      </c>
      <c r="I837">
        <v>0</v>
      </c>
      <c r="J837">
        <v>0</v>
      </c>
      <c r="K837">
        <v>0</v>
      </c>
      <c r="L837">
        <v>0</v>
      </c>
      <c r="M837">
        <v>104</v>
      </c>
      <c r="N837">
        <v>929</v>
      </c>
      <c r="O837">
        <f t="shared" si="26"/>
        <v>2025</v>
      </c>
      <c r="P837">
        <f t="shared" si="27"/>
        <v>2</v>
      </c>
      <c r="Q837" t="str">
        <f>_xlfn.XLOOKUP(B837,全店核心数据_bymonth!A:A,全店核心数据_bymonth!AN:AN)</f>
        <v>BU25</v>
      </c>
    </row>
    <row r="838" spans="1:17" x14ac:dyDescent="0.3">
      <c r="A838" t="s">
        <v>110</v>
      </c>
      <c r="B838" s="16">
        <v>45689</v>
      </c>
      <c r="C838" t="s">
        <v>3</v>
      </c>
      <c r="D838" t="s">
        <v>155</v>
      </c>
      <c r="E838">
        <v>104</v>
      </c>
      <c r="F838">
        <v>87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3</v>
      </c>
      <c r="N838">
        <v>104</v>
      </c>
      <c r="O838">
        <f t="shared" si="26"/>
        <v>2025</v>
      </c>
      <c r="P838">
        <f t="shared" si="27"/>
        <v>2</v>
      </c>
      <c r="Q838" t="str">
        <f>_xlfn.XLOOKUP(B838,全店核心数据_bymonth!A:A,全店核心数据_bymonth!AN:AN)</f>
        <v>BU25</v>
      </c>
    </row>
    <row r="839" spans="1:17" x14ac:dyDescent="0.3">
      <c r="A839" t="s">
        <v>110</v>
      </c>
      <c r="B839" s="16">
        <v>45689</v>
      </c>
      <c r="C839" t="s">
        <v>3</v>
      </c>
      <c r="D839" t="s">
        <v>154</v>
      </c>
      <c r="E839">
        <v>854</v>
      </c>
      <c r="F839">
        <v>836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3</v>
      </c>
      <c r="N839">
        <v>4</v>
      </c>
      <c r="O839">
        <f t="shared" si="26"/>
        <v>2025</v>
      </c>
      <c r="P839">
        <f t="shared" si="27"/>
        <v>2</v>
      </c>
      <c r="Q839" t="str">
        <f>_xlfn.XLOOKUP(B839,全店核心数据_bymonth!A:A,全店核心数据_bymonth!AN:AN)</f>
        <v>BU25</v>
      </c>
    </row>
    <row r="840" spans="1:17" x14ac:dyDescent="0.3">
      <c r="A840" t="s">
        <v>110</v>
      </c>
      <c r="B840" s="16">
        <v>45689</v>
      </c>
      <c r="C840" t="s">
        <v>3</v>
      </c>
      <c r="D840" t="s">
        <v>153</v>
      </c>
      <c r="E840">
        <v>2108</v>
      </c>
      <c r="F840">
        <v>1236</v>
      </c>
      <c r="G840">
        <v>188</v>
      </c>
      <c r="H840">
        <v>36</v>
      </c>
      <c r="I840">
        <v>982300</v>
      </c>
      <c r="J840">
        <v>121</v>
      </c>
      <c r="K840">
        <v>761190</v>
      </c>
      <c r="L840">
        <v>111</v>
      </c>
      <c r="M840">
        <v>737</v>
      </c>
      <c r="N840">
        <v>1981</v>
      </c>
      <c r="O840">
        <f t="shared" si="26"/>
        <v>2025</v>
      </c>
      <c r="P840">
        <f t="shared" si="27"/>
        <v>2</v>
      </c>
      <c r="Q840" t="str">
        <f>_xlfn.XLOOKUP(B840,全店核心数据_bymonth!A:A,全店核心数据_bymonth!AN:AN)</f>
        <v>BU25</v>
      </c>
    </row>
    <row r="841" spans="1:17" x14ac:dyDescent="0.3">
      <c r="A841" t="s">
        <v>110</v>
      </c>
      <c r="B841" s="16">
        <v>45689</v>
      </c>
      <c r="C841" t="s">
        <v>3</v>
      </c>
      <c r="D841" t="s">
        <v>152</v>
      </c>
      <c r="E841">
        <v>94</v>
      </c>
      <c r="F841">
        <v>60</v>
      </c>
      <c r="G841">
        <v>3</v>
      </c>
      <c r="H841">
        <v>2</v>
      </c>
      <c r="I841">
        <v>16500</v>
      </c>
      <c r="J841">
        <v>1</v>
      </c>
      <c r="K841">
        <v>0</v>
      </c>
      <c r="L841">
        <v>0</v>
      </c>
      <c r="M841">
        <v>1</v>
      </c>
      <c r="N841">
        <v>73</v>
      </c>
      <c r="O841">
        <f t="shared" si="26"/>
        <v>2025</v>
      </c>
      <c r="P841">
        <f t="shared" si="27"/>
        <v>2</v>
      </c>
      <c r="Q841" t="str">
        <f>_xlfn.XLOOKUP(B841,全店核心数据_bymonth!A:A,全店核心数据_bymonth!AN:AN)</f>
        <v>BU25</v>
      </c>
    </row>
    <row r="842" spans="1:17" x14ac:dyDescent="0.3">
      <c r="A842" t="s">
        <v>110</v>
      </c>
      <c r="B842" s="16">
        <v>45689</v>
      </c>
      <c r="C842" t="s">
        <v>3</v>
      </c>
      <c r="D842" t="s">
        <v>150</v>
      </c>
      <c r="E842">
        <v>198</v>
      </c>
      <c r="F842">
        <v>132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3</v>
      </c>
      <c r="N842">
        <v>117</v>
      </c>
      <c r="O842">
        <f t="shared" si="26"/>
        <v>2025</v>
      </c>
      <c r="P842">
        <f t="shared" si="27"/>
        <v>2</v>
      </c>
      <c r="Q842" t="str">
        <f>_xlfn.XLOOKUP(B842,全店核心数据_bymonth!A:A,全店核心数据_bymonth!AN:AN)</f>
        <v>BU25</v>
      </c>
    </row>
    <row r="843" spans="1:17" x14ac:dyDescent="0.3">
      <c r="A843" t="s">
        <v>110</v>
      </c>
      <c r="B843" s="16">
        <v>45689</v>
      </c>
      <c r="C843" t="s">
        <v>3</v>
      </c>
      <c r="D843" t="s">
        <v>149</v>
      </c>
      <c r="E843">
        <v>63</v>
      </c>
      <c r="F843">
        <v>40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8</v>
      </c>
      <c r="N843">
        <v>52</v>
      </c>
      <c r="O843">
        <f t="shared" si="26"/>
        <v>2025</v>
      </c>
      <c r="P843">
        <f t="shared" si="27"/>
        <v>2</v>
      </c>
      <c r="Q843" t="str">
        <f>_xlfn.XLOOKUP(B843,全店核心数据_bymonth!A:A,全店核心数据_bymonth!AN:AN)</f>
        <v>BU25</v>
      </c>
    </row>
    <row r="844" spans="1:17" x14ac:dyDescent="0.3">
      <c r="A844" t="s">
        <v>110</v>
      </c>
      <c r="B844" s="16">
        <v>45689</v>
      </c>
      <c r="C844" t="s">
        <v>3</v>
      </c>
      <c r="D844" t="s">
        <v>148</v>
      </c>
      <c r="E844">
        <v>35</v>
      </c>
      <c r="F844">
        <v>33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24</v>
      </c>
      <c r="N844">
        <v>11</v>
      </c>
      <c r="O844">
        <f t="shared" si="26"/>
        <v>2025</v>
      </c>
      <c r="P844">
        <f t="shared" si="27"/>
        <v>2</v>
      </c>
      <c r="Q844" t="str">
        <f>_xlfn.XLOOKUP(B844,全店核心数据_bymonth!A:A,全店核心数据_bymonth!AN:AN)</f>
        <v>BU25</v>
      </c>
    </row>
    <row r="845" spans="1:17" x14ac:dyDescent="0.3">
      <c r="A845" t="s">
        <v>110</v>
      </c>
      <c r="B845" s="16">
        <v>45689</v>
      </c>
      <c r="C845" t="s">
        <v>3</v>
      </c>
      <c r="D845" t="s">
        <v>367</v>
      </c>
      <c r="E845">
        <v>153</v>
      </c>
      <c r="F845">
        <v>130</v>
      </c>
      <c r="G845">
        <v>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153</v>
      </c>
      <c r="O845">
        <f t="shared" si="26"/>
        <v>2025</v>
      </c>
      <c r="P845">
        <f t="shared" si="27"/>
        <v>2</v>
      </c>
      <c r="Q845" t="str">
        <f>_xlfn.XLOOKUP(B845,全店核心数据_bymonth!A:A,全店核心数据_bymonth!AN:AN)</f>
        <v>BU25</v>
      </c>
    </row>
    <row r="846" spans="1:17" x14ac:dyDescent="0.3">
      <c r="A846" t="s">
        <v>110</v>
      </c>
      <c r="B846" s="16">
        <v>45689</v>
      </c>
      <c r="C846" t="s">
        <v>3</v>
      </c>
      <c r="D846" t="s">
        <v>146</v>
      </c>
      <c r="E846">
        <v>778</v>
      </c>
      <c r="F846">
        <v>763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778</v>
      </c>
      <c r="N846">
        <v>11</v>
      </c>
      <c r="O846">
        <f t="shared" si="26"/>
        <v>2025</v>
      </c>
      <c r="P846">
        <f t="shared" si="27"/>
        <v>2</v>
      </c>
      <c r="Q846" t="str">
        <f>_xlfn.XLOOKUP(B846,全店核心数据_bymonth!A:A,全店核心数据_bymonth!AN:AN)</f>
        <v>BU25</v>
      </c>
    </row>
    <row r="847" spans="1:17" x14ac:dyDescent="0.3">
      <c r="A847" t="s">
        <v>110</v>
      </c>
      <c r="B847" s="16">
        <v>45689</v>
      </c>
      <c r="C847" t="s">
        <v>3</v>
      </c>
      <c r="D847" t="s">
        <v>251</v>
      </c>
      <c r="E847">
        <v>24511</v>
      </c>
      <c r="F847">
        <v>21922</v>
      </c>
      <c r="G847">
        <v>77</v>
      </c>
      <c r="H847">
        <v>43</v>
      </c>
      <c r="I847">
        <v>226435</v>
      </c>
      <c r="J847">
        <v>28</v>
      </c>
      <c r="K847">
        <v>128960</v>
      </c>
      <c r="L847">
        <v>18</v>
      </c>
      <c r="M847">
        <v>948</v>
      </c>
      <c r="N847">
        <v>15202</v>
      </c>
      <c r="O847">
        <f t="shared" si="26"/>
        <v>2025</v>
      </c>
      <c r="P847">
        <f t="shared" si="27"/>
        <v>2</v>
      </c>
      <c r="Q847" t="str">
        <f>_xlfn.XLOOKUP(B847,全店核心数据_bymonth!A:A,全店核心数据_bymonth!AN:AN)</f>
        <v>BU25</v>
      </c>
    </row>
    <row r="848" spans="1:17" x14ac:dyDescent="0.3">
      <c r="A848" t="s">
        <v>110</v>
      </c>
      <c r="B848" s="16">
        <v>45689</v>
      </c>
      <c r="C848" t="s">
        <v>3</v>
      </c>
      <c r="D848" t="s">
        <v>143</v>
      </c>
      <c r="E848">
        <v>734</v>
      </c>
      <c r="F848">
        <v>708</v>
      </c>
      <c r="G848">
        <v>4</v>
      </c>
      <c r="H848">
        <v>3</v>
      </c>
      <c r="I848">
        <v>4695</v>
      </c>
      <c r="J848">
        <v>1</v>
      </c>
      <c r="K848">
        <v>0</v>
      </c>
      <c r="L848">
        <v>0</v>
      </c>
      <c r="M848">
        <v>6</v>
      </c>
      <c r="N848">
        <v>733</v>
      </c>
      <c r="O848">
        <f t="shared" si="26"/>
        <v>2025</v>
      </c>
      <c r="P848">
        <f t="shared" si="27"/>
        <v>2</v>
      </c>
      <c r="Q848" t="str">
        <f>_xlfn.XLOOKUP(B848,全店核心数据_bymonth!A:A,全店核心数据_bymonth!AN:AN)</f>
        <v>BU25</v>
      </c>
    </row>
    <row r="849" spans="1:17" x14ac:dyDescent="0.3">
      <c r="A849" t="s">
        <v>110</v>
      </c>
      <c r="B849" s="16">
        <v>45689</v>
      </c>
      <c r="C849" t="s">
        <v>3</v>
      </c>
      <c r="D849" t="s">
        <v>141</v>
      </c>
      <c r="E849">
        <v>72</v>
      </c>
      <c r="F849">
        <v>66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9</v>
      </c>
      <c r="N849">
        <v>63</v>
      </c>
      <c r="O849">
        <f t="shared" si="26"/>
        <v>2025</v>
      </c>
      <c r="P849">
        <f t="shared" si="27"/>
        <v>2</v>
      </c>
      <c r="Q849" t="str">
        <f>_xlfn.XLOOKUP(B849,全店核心数据_bymonth!A:A,全店核心数据_bymonth!AN:AN)</f>
        <v>BU25</v>
      </c>
    </row>
    <row r="850" spans="1:17" x14ac:dyDescent="0.3">
      <c r="A850" t="s">
        <v>110</v>
      </c>
      <c r="B850" s="16">
        <v>45689</v>
      </c>
      <c r="C850" t="s">
        <v>3</v>
      </c>
      <c r="D850" t="s">
        <v>140</v>
      </c>
      <c r="E850">
        <v>67</v>
      </c>
      <c r="F850">
        <v>58</v>
      </c>
      <c r="G850">
        <v>4</v>
      </c>
      <c r="H850">
        <v>1</v>
      </c>
      <c r="I850">
        <v>14170</v>
      </c>
      <c r="J850">
        <v>2</v>
      </c>
      <c r="K850">
        <v>14170</v>
      </c>
      <c r="L850">
        <v>2</v>
      </c>
      <c r="M850">
        <v>13</v>
      </c>
      <c r="N850">
        <v>61</v>
      </c>
      <c r="O850">
        <f t="shared" si="26"/>
        <v>2025</v>
      </c>
      <c r="P850">
        <f t="shared" si="27"/>
        <v>2</v>
      </c>
      <c r="Q850" t="str">
        <f>_xlfn.XLOOKUP(B850,全店核心数据_bymonth!A:A,全店核心数据_bymonth!AN:AN)</f>
        <v>BU25</v>
      </c>
    </row>
    <row r="851" spans="1:17" x14ac:dyDescent="0.3">
      <c r="A851" t="s">
        <v>110</v>
      </c>
      <c r="B851" s="16">
        <v>45689</v>
      </c>
      <c r="C851" t="s">
        <v>3</v>
      </c>
      <c r="D851" t="s">
        <v>139</v>
      </c>
      <c r="E851">
        <v>8374</v>
      </c>
      <c r="F851">
        <v>6673</v>
      </c>
      <c r="G851">
        <v>215</v>
      </c>
      <c r="H851">
        <v>84</v>
      </c>
      <c r="I851">
        <v>481790</v>
      </c>
      <c r="J851">
        <v>58</v>
      </c>
      <c r="K851">
        <v>354525</v>
      </c>
      <c r="L851">
        <v>52</v>
      </c>
      <c r="M851">
        <v>4127</v>
      </c>
      <c r="N851">
        <v>5144</v>
      </c>
      <c r="O851">
        <f t="shared" si="26"/>
        <v>2025</v>
      </c>
      <c r="P851">
        <f t="shared" si="27"/>
        <v>2</v>
      </c>
      <c r="Q851" t="str">
        <f>_xlfn.XLOOKUP(B851,全店核心数据_bymonth!A:A,全店核心数据_bymonth!AN:AN)</f>
        <v>BU25</v>
      </c>
    </row>
    <row r="852" spans="1:17" x14ac:dyDescent="0.3">
      <c r="A852" t="s">
        <v>110</v>
      </c>
      <c r="B852" s="16">
        <v>45689</v>
      </c>
      <c r="C852" t="s">
        <v>3</v>
      </c>
      <c r="D852" t="s">
        <v>138</v>
      </c>
      <c r="E852">
        <v>712</v>
      </c>
      <c r="F852">
        <v>399</v>
      </c>
      <c r="G852">
        <v>16</v>
      </c>
      <c r="H852">
        <v>11</v>
      </c>
      <c r="I852">
        <v>61837.15</v>
      </c>
      <c r="J852">
        <v>6</v>
      </c>
      <c r="K852">
        <v>17392.150000000001</v>
      </c>
      <c r="L852">
        <v>3</v>
      </c>
      <c r="M852">
        <v>68</v>
      </c>
      <c r="N852">
        <v>705</v>
      </c>
      <c r="O852">
        <f t="shared" si="26"/>
        <v>2025</v>
      </c>
      <c r="P852">
        <f t="shared" si="27"/>
        <v>2</v>
      </c>
      <c r="Q852" t="str">
        <f>_xlfn.XLOOKUP(B852,全店核心数据_bymonth!A:A,全店核心数据_bymonth!AN:AN)</f>
        <v>BU25</v>
      </c>
    </row>
    <row r="853" spans="1:17" x14ac:dyDescent="0.3">
      <c r="A853" t="s">
        <v>110</v>
      </c>
      <c r="B853" s="16">
        <v>45689</v>
      </c>
      <c r="C853" t="s">
        <v>3</v>
      </c>
      <c r="D853" t="s">
        <v>137</v>
      </c>
      <c r="E853">
        <v>49</v>
      </c>
      <c r="F853">
        <v>32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3</v>
      </c>
      <c r="N853">
        <v>49</v>
      </c>
      <c r="O853">
        <f t="shared" si="26"/>
        <v>2025</v>
      </c>
      <c r="P853">
        <f t="shared" si="27"/>
        <v>2</v>
      </c>
      <c r="Q853" t="str">
        <f>_xlfn.XLOOKUP(B853,全店核心数据_bymonth!A:A,全店核心数据_bymonth!AN:AN)</f>
        <v>BU25</v>
      </c>
    </row>
    <row r="854" spans="1:17" x14ac:dyDescent="0.3">
      <c r="A854" t="s">
        <v>110</v>
      </c>
      <c r="B854" s="16">
        <v>45689</v>
      </c>
      <c r="C854" t="s">
        <v>3</v>
      </c>
      <c r="D854" t="s">
        <v>136</v>
      </c>
      <c r="E854">
        <v>1</v>
      </c>
      <c r="F854">
        <v>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f t="shared" si="26"/>
        <v>2025</v>
      </c>
      <c r="P854">
        <f t="shared" si="27"/>
        <v>2</v>
      </c>
      <c r="Q854" t="str">
        <f>_xlfn.XLOOKUP(B854,全店核心数据_bymonth!A:A,全店核心数据_bymonth!AN:AN)</f>
        <v>BU25</v>
      </c>
    </row>
    <row r="855" spans="1:17" x14ac:dyDescent="0.3">
      <c r="A855" t="s">
        <v>110</v>
      </c>
      <c r="B855" s="16">
        <v>45689</v>
      </c>
      <c r="C855" t="s">
        <v>3</v>
      </c>
      <c r="D855" t="s">
        <v>135</v>
      </c>
      <c r="E855">
        <v>120</v>
      </c>
      <c r="F855">
        <v>97</v>
      </c>
      <c r="G855">
        <v>0</v>
      </c>
      <c r="H855">
        <v>1</v>
      </c>
      <c r="I855">
        <v>18500</v>
      </c>
      <c r="J855">
        <v>1</v>
      </c>
      <c r="K855">
        <v>9250</v>
      </c>
      <c r="L855">
        <v>1</v>
      </c>
      <c r="M855">
        <v>0</v>
      </c>
      <c r="N855">
        <v>56</v>
      </c>
      <c r="O855">
        <f t="shared" si="26"/>
        <v>2025</v>
      </c>
      <c r="P855">
        <f t="shared" si="27"/>
        <v>2</v>
      </c>
      <c r="Q855" t="str">
        <f>_xlfn.XLOOKUP(B855,全店核心数据_bymonth!A:A,全店核心数据_bymonth!AN:AN)</f>
        <v>BU25</v>
      </c>
    </row>
    <row r="856" spans="1:17" x14ac:dyDescent="0.3">
      <c r="A856" t="s">
        <v>110</v>
      </c>
      <c r="B856" s="16">
        <v>45689</v>
      </c>
      <c r="C856" t="s">
        <v>3</v>
      </c>
      <c r="D856" t="s">
        <v>133</v>
      </c>
      <c r="E856">
        <v>233</v>
      </c>
      <c r="F856">
        <v>182</v>
      </c>
      <c r="G856">
        <v>5</v>
      </c>
      <c r="H856">
        <v>1</v>
      </c>
      <c r="I856">
        <v>30195</v>
      </c>
      <c r="J856">
        <v>5</v>
      </c>
      <c r="K856">
        <v>30195</v>
      </c>
      <c r="L856">
        <v>5</v>
      </c>
      <c r="M856">
        <v>56</v>
      </c>
      <c r="N856">
        <v>203</v>
      </c>
      <c r="O856">
        <f t="shared" si="26"/>
        <v>2025</v>
      </c>
      <c r="P856">
        <f t="shared" si="27"/>
        <v>2</v>
      </c>
      <c r="Q856" t="str">
        <f>_xlfn.XLOOKUP(B856,全店核心数据_bymonth!A:A,全店核心数据_bymonth!AN:AN)</f>
        <v>BU25</v>
      </c>
    </row>
    <row r="857" spans="1:17" x14ac:dyDescent="0.3">
      <c r="A857" t="s">
        <v>110</v>
      </c>
      <c r="B857" s="16">
        <v>45689</v>
      </c>
      <c r="C857" t="s">
        <v>3</v>
      </c>
      <c r="D857" t="s">
        <v>130</v>
      </c>
      <c r="E857">
        <v>1573</v>
      </c>
      <c r="F857">
        <v>1031</v>
      </c>
      <c r="G857">
        <v>61</v>
      </c>
      <c r="H857">
        <v>20</v>
      </c>
      <c r="I857">
        <v>327485</v>
      </c>
      <c r="J857">
        <v>37</v>
      </c>
      <c r="K857">
        <v>217220</v>
      </c>
      <c r="L857">
        <v>34</v>
      </c>
      <c r="M857">
        <v>909</v>
      </c>
      <c r="N857">
        <v>1164</v>
      </c>
      <c r="O857">
        <f t="shared" si="26"/>
        <v>2025</v>
      </c>
      <c r="P857">
        <f t="shared" si="27"/>
        <v>2</v>
      </c>
      <c r="Q857" t="str">
        <f>_xlfn.XLOOKUP(B857,全店核心数据_bymonth!A:A,全店核心数据_bymonth!AN:AN)</f>
        <v>BU25</v>
      </c>
    </row>
    <row r="858" spans="1:17" x14ac:dyDescent="0.3">
      <c r="A858" t="s">
        <v>110</v>
      </c>
      <c r="B858" s="16">
        <v>45689</v>
      </c>
      <c r="C858" t="s">
        <v>3</v>
      </c>
      <c r="D858" t="s">
        <v>128</v>
      </c>
      <c r="E858">
        <v>14468</v>
      </c>
      <c r="F858">
        <v>12944</v>
      </c>
      <c r="G858">
        <v>356</v>
      </c>
      <c r="H858">
        <v>136</v>
      </c>
      <c r="I858">
        <v>405920</v>
      </c>
      <c r="J858">
        <v>60</v>
      </c>
      <c r="K858">
        <v>295215</v>
      </c>
      <c r="L858">
        <v>49</v>
      </c>
      <c r="M858">
        <v>7744</v>
      </c>
      <c r="N858">
        <v>9525</v>
      </c>
      <c r="O858">
        <f t="shared" si="26"/>
        <v>2025</v>
      </c>
      <c r="P858">
        <f t="shared" si="27"/>
        <v>2</v>
      </c>
      <c r="Q858" t="str">
        <f>_xlfn.XLOOKUP(B858,全店核心数据_bymonth!A:A,全店核心数据_bymonth!AN:AN)</f>
        <v>BU25</v>
      </c>
    </row>
    <row r="859" spans="1:17" x14ac:dyDescent="0.3">
      <c r="A859" t="s">
        <v>110</v>
      </c>
      <c r="B859" s="16">
        <v>45689</v>
      </c>
      <c r="C859" t="s">
        <v>3</v>
      </c>
      <c r="D859" t="s">
        <v>127</v>
      </c>
      <c r="E859">
        <v>13683</v>
      </c>
      <c r="F859">
        <v>10974</v>
      </c>
      <c r="G859">
        <v>166</v>
      </c>
      <c r="H859">
        <v>92</v>
      </c>
      <c r="I859">
        <v>255680</v>
      </c>
      <c r="J859">
        <v>31</v>
      </c>
      <c r="K859">
        <v>139220</v>
      </c>
      <c r="L859">
        <v>22</v>
      </c>
      <c r="M859">
        <v>1147</v>
      </c>
      <c r="N859">
        <v>11167</v>
      </c>
      <c r="O859">
        <f t="shared" si="26"/>
        <v>2025</v>
      </c>
      <c r="P859">
        <f t="shared" si="27"/>
        <v>2</v>
      </c>
      <c r="Q859" t="str">
        <f>_xlfn.XLOOKUP(B859,全店核心数据_bymonth!A:A,全店核心数据_bymonth!AN:AN)</f>
        <v>BU25</v>
      </c>
    </row>
    <row r="860" spans="1:17" x14ac:dyDescent="0.3">
      <c r="A860" t="s">
        <v>110</v>
      </c>
      <c r="B860" s="16">
        <v>45689</v>
      </c>
      <c r="C860" t="s">
        <v>3</v>
      </c>
      <c r="D860" t="s">
        <v>126</v>
      </c>
      <c r="E860">
        <v>1565</v>
      </c>
      <c r="F860">
        <v>1354</v>
      </c>
      <c r="G860">
        <v>72</v>
      </c>
      <c r="H860">
        <v>62</v>
      </c>
      <c r="I860">
        <v>64035</v>
      </c>
      <c r="J860">
        <v>6</v>
      </c>
      <c r="K860">
        <v>44535</v>
      </c>
      <c r="L860">
        <v>5</v>
      </c>
      <c r="M860">
        <v>329</v>
      </c>
      <c r="N860">
        <v>1469</v>
      </c>
      <c r="O860">
        <f t="shared" si="26"/>
        <v>2025</v>
      </c>
      <c r="P860">
        <f t="shared" si="27"/>
        <v>2</v>
      </c>
      <c r="Q860" t="str">
        <f>_xlfn.XLOOKUP(B860,全店核心数据_bymonth!A:A,全店核心数据_bymonth!AN:AN)</f>
        <v>BU25</v>
      </c>
    </row>
    <row r="861" spans="1:17" x14ac:dyDescent="0.3">
      <c r="A861" t="s">
        <v>110</v>
      </c>
      <c r="B861" s="16">
        <v>45689</v>
      </c>
      <c r="C861" t="s">
        <v>3</v>
      </c>
      <c r="D861" t="s">
        <v>125</v>
      </c>
      <c r="E861">
        <v>9</v>
      </c>
      <c r="F861">
        <v>8</v>
      </c>
      <c r="G861">
        <v>1</v>
      </c>
      <c r="H861">
        <v>0</v>
      </c>
      <c r="I861">
        <v>14985</v>
      </c>
      <c r="J861">
        <v>1</v>
      </c>
      <c r="K861">
        <v>14985</v>
      </c>
      <c r="L861">
        <v>1</v>
      </c>
      <c r="M861">
        <v>1</v>
      </c>
      <c r="N861">
        <v>9</v>
      </c>
      <c r="O861">
        <f t="shared" si="26"/>
        <v>2025</v>
      </c>
      <c r="P861">
        <f t="shared" si="27"/>
        <v>2</v>
      </c>
      <c r="Q861" t="str">
        <f>_xlfn.XLOOKUP(B861,全店核心数据_bymonth!A:A,全店核心数据_bymonth!AN:AN)</f>
        <v>BU25</v>
      </c>
    </row>
    <row r="862" spans="1:17" x14ac:dyDescent="0.3">
      <c r="A862" t="s">
        <v>110</v>
      </c>
      <c r="B862" s="16">
        <v>45689</v>
      </c>
      <c r="C862" t="s">
        <v>3</v>
      </c>
      <c r="D862" t="s">
        <v>124</v>
      </c>
      <c r="E862">
        <v>1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f t="shared" si="26"/>
        <v>2025</v>
      </c>
      <c r="P862">
        <f t="shared" si="27"/>
        <v>2</v>
      </c>
      <c r="Q862" t="str">
        <f>_xlfn.XLOOKUP(B862,全店核心数据_bymonth!A:A,全店核心数据_bymonth!AN:AN)</f>
        <v>BU25</v>
      </c>
    </row>
    <row r="863" spans="1:17" x14ac:dyDescent="0.3">
      <c r="A863" t="s">
        <v>110</v>
      </c>
      <c r="B863" s="16">
        <v>45689</v>
      </c>
      <c r="C863" t="s">
        <v>3</v>
      </c>
      <c r="D863" t="s">
        <v>123</v>
      </c>
      <c r="E863">
        <v>1918</v>
      </c>
      <c r="F863">
        <v>1204</v>
      </c>
      <c r="G863">
        <v>58</v>
      </c>
      <c r="H863">
        <v>26</v>
      </c>
      <c r="I863">
        <v>163640</v>
      </c>
      <c r="J863">
        <v>13</v>
      </c>
      <c r="K863">
        <v>59925</v>
      </c>
      <c r="L863">
        <v>7</v>
      </c>
      <c r="M863">
        <v>882</v>
      </c>
      <c r="N863">
        <v>1532</v>
      </c>
      <c r="O863">
        <f t="shared" si="26"/>
        <v>2025</v>
      </c>
      <c r="P863">
        <f t="shared" si="27"/>
        <v>2</v>
      </c>
      <c r="Q863" t="str">
        <f>_xlfn.XLOOKUP(B863,全店核心数据_bymonth!A:A,全店核心数据_bymonth!AN:AN)</f>
        <v>BU25</v>
      </c>
    </row>
    <row r="864" spans="1:17" x14ac:dyDescent="0.3">
      <c r="A864" t="s">
        <v>110</v>
      </c>
      <c r="B864" s="16">
        <v>45689</v>
      </c>
      <c r="C864" t="s">
        <v>3</v>
      </c>
      <c r="D864" t="s">
        <v>122</v>
      </c>
      <c r="E864">
        <v>18</v>
      </c>
      <c r="F864">
        <v>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17</v>
      </c>
      <c r="O864">
        <f t="shared" si="26"/>
        <v>2025</v>
      </c>
      <c r="P864">
        <f t="shared" si="27"/>
        <v>2</v>
      </c>
      <c r="Q864" t="str">
        <f>_xlfn.XLOOKUP(B864,全店核心数据_bymonth!A:A,全店核心数据_bymonth!AN:AN)</f>
        <v>BU25</v>
      </c>
    </row>
    <row r="865" spans="1:17" x14ac:dyDescent="0.3">
      <c r="A865" t="s">
        <v>110</v>
      </c>
      <c r="B865" s="16">
        <v>45689</v>
      </c>
      <c r="C865" t="s">
        <v>3</v>
      </c>
      <c r="D865" t="s">
        <v>121</v>
      </c>
      <c r="E865">
        <v>50</v>
      </c>
      <c r="F865">
        <v>50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8</v>
      </c>
      <c r="N865">
        <v>42</v>
      </c>
      <c r="O865">
        <f t="shared" si="26"/>
        <v>2025</v>
      </c>
      <c r="P865">
        <f t="shared" si="27"/>
        <v>2</v>
      </c>
      <c r="Q865" t="str">
        <f>_xlfn.XLOOKUP(B865,全店核心数据_bymonth!A:A,全店核心数据_bymonth!AN:AN)</f>
        <v>BU25</v>
      </c>
    </row>
    <row r="866" spans="1:17" x14ac:dyDescent="0.3">
      <c r="A866" t="s">
        <v>110</v>
      </c>
      <c r="B866" s="16">
        <v>45689</v>
      </c>
      <c r="C866" t="s">
        <v>3</v>
      </c>
      <c r="D866" t="s">
        <v>119</v>
      </c>
      <c r="E866">
        <v>1979</v>
      </c>
      <c r="F866">
        <v>1207</v>
      </c>
      <c r="G866">
        <v>88</v>
      </c>
      <c r="H866">
        <v>77</v>
      </c>
      <c r="I866">
        <v>376610</v>
      </c>
      <c r="J866">
        <v>48</v>
      </c>
      <c r="K866">
        <v>276420</v>
      </c>
      <c r="L866">
        <v>42</v>
      </c>
      <c r="M866">
        <v>505</v>
      </c>
      <c r="N866">
        <v>1878</v>
      </c>
      <c r="O866">
        <f t="shared" si="26"/>
        <v>2025</v>
      </c>
      <c r="P866">
        <f t="shared" si="27"/>
        <v>2</v>
      </c>
      <c r="Q866" t="str">
        <f>_xlfn.XLOOKUP(B866,全店核心数据_bymonth!A:A,全店核心数据_bymonth!AN:AN)</f>
        <v>BU25</v>
      </c>
    </row>
    <row r="867" spans="1:17" x14ac:dyDescent="0.3">
      <c r="A867" t="s">
        <v>110</v>
      </c>
      <c r="B867" s="16">
        <v>45689</v>
      </c>
      <c r="C867" t="s">
        <v>3</v>
      </c>
      <c r="D867" t="s">
        <v>252</v>
      </c>
      <c r="E867">
        <v>7</v>
      </c>
      <c r="F867">
        <v>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6</v>
      </c>
      <c r="O867">
        <f t="shared" si="26"/>
        <v>2025</v>
      </c>
      <c r="P867">
        <f t="shared" si="27"/>
        <v>2</v>
      </c>
      <c r="Q867" t="str">
        <f>_xlfn.XLOOKUP(B867,全店核心数据_bymonth!A:A,全店核心数据_bymonth!AN:AN)</f>
        <v>BU25</v>
      </c>
    </row>
    <row r="868" spans="1:17" x14ac:dyDescent="0.3">
      <c r="A868" t="s">
        <v>110</v>
      </c>
      <c r="B868" s="16">
        <v>45689</v>
      </c>
      <c r="C868" t="s">
        <v>3</v>
      </c>
      <c r="D868" t="s">
        <v>117</v>
      </c>
      <c r="E868">
        <v>159</v>
      </c>
      <c r="F868">
        <v>144</v>
      </c>
      <c r="G868">
        <v>0</v>
      </c>
      <c r="H868">
        <v>2</v>
      </c>
      <c r="I868">
        <v>18500</v>
      </c>
      <c r="J868">
        <v>1</v>
      </c>
      <c r="K868">
        <v>9250</v>
      </c>
      <c r="L868">
        <v>1</v>
      </c>
      <c r="M868">
        <v>34</v>
      </c>
      <c r="N868">
        <v>159</v>
      </c>
      <c r="O868">
        <f t="shared" si="26"/>
        <v>2025</v>
      </c>
      <c r="P868">
        <f t="shared" si="27"/>
        <v>2</v>
      </c>
      <c r="Q868" t="str">
        <f>_xlfn.XLOOKUP(B868,全店核心数据_bymonth!A:A,全店核心数据_bymonth!AN:AN)</f>
        <v>BU25</v>
      </c>
    </row>
    <row r="869" spans="1:17" x14ac:dyDescent="0.3">
      <c r="A869" t="s">
        <v>110</v>
      </c>
      <c r="B869" s="16">
        <v>45689</v>
      </c>
      <c r="C869" t="s">
        <v>3</v>
      </c>
      <c r="D869" t="s">
        <v>391</v>
      </c>
      <c r="E869">
        <v>5471</v>
      </c>
      <c r="F869">
        <v>4958</v>
      </c>
      <c r="G869">
        <v>120</v>
      </c>
      <c r="H869">
        <v>30</v>
      </c>
      <c r="I869">
        <v>255850</v>
      </c>
      <c r="J869">
        <v>23</v>
      </c>
      <c r="K869">
        <v>195955</v>
      </c>
      <c r="L869">
        <v>19</v>
      </c>
      <c r="M869">
        <v>922</v>
      </c>
      <c r="N869">
        <v>5358</v>
      </c>
      <c r="O869">
        <f t="shared" si="26"/>
        <v>2025</v>
      </c>
      <c r="P869">
        <f t="shared" si="27"/>
        <v>2</v>
      </c>
      <c r="Q869" t="str">
        <f>_xlfn.XLOOKUP(B869,全店核心数据_bymonth!A:A,全店核心数据_bymonth!AN:AN)</f>
        <v>BU25</v>
      </c>
    </row>
    <row r="870" spans="1:17" x14ac:dyDescent="0.3">
      <c r="A870" t="s">
        <v>110</v>
      </c>
      <c r="B870" s="16">
        <v>45689</v>
      </c>
      <c r="C870" t="s">
        <v>3</v>
      </c>
      <c r="D870" t="s">
        <v>113</v>
      </c>
      <c r="E870">
        <v>1553</v>
      </c>
      <c r="F870">
        <v>1224</v>
      </c>
      <c r="G870">
        <v>26</v>
      </c>
      <c r="H870">
        <v>20</v>
      </c>
      <c r="I870">
        <v>4175</v>
      </c>
      <c r="J870">
        <v>1</v>
      </c>
      <c r="K870">
        <v>4175</v>
      </c>
      <c r="L870">
        <v>1</v>
      </c>
      <c r="M870">
        <v>1304</v>
      </c>
      <c r="N870">
        <v>840</v>
      </c>
      <c r="O870">
        <f t="shared" si="26"/>
        <v>2025</v>
      </c>
      <c r="P870">
        <f t="shared" si="27"/>
        <v>2</v>
      </c>
      <c r="Q870" t="str">
        <f>_xlfn.XLOOKUP(B870,全店核心数据_bymonth!A:A,全店核心数据_bymonth!AN:AN)</f>
        <v>BU25</v>
      </c>
    </row>
    <row r="871" spans="1:17" x14ac:dyDescent="0.3">
      <c r="A871" t="s">
        <v>110</v>
      </c>
      <c r="B871" s="16">
        <v>45689</v>
      </c>
      <c r="C871" t="s">
        <v>3</v>
      </c>
      <c r="D871" t="s">
        <v>112</v>
      </c>
      <c r="E871">
        <v>342</v>
      </c>
      <c r="F871">
        <v>136</v>
      </c>
      <c r="G871">
        <v>1</v>
      </c>
      <c r="H871">
        <v>1</v>
      </c>
      <c r="I871">
        <v>32540</v>
      </c>
      <c r="J871">
        <v>9</v>
      </c>
      <c r="K871">
        <v>32540</v>
      </c>
      <c r="L871">
        <v>9</v>
      </c>
      <c r="M871">
        <v>3</v>
      </c>
      <c r="N871">
        <v>342</v>
      </c>
      <c r="O871">
        <f t="shared" si="26"/>
        <v>2025</v>
      </c>
      <c r="P871">
        <f t="shared" si="27"/>
        <v>2</v>
      </c>
      <c r="Q871" t="str">
        <f>_xlfn.XLOOKUP(B871,全店核心数据_bymonth!A:A,全店核心数据_bymonth!AN:AN)</f>
        <v>BU25</v>
      </c>
    </row>
    <row r="872" spans="1:17" x14ac:dyDescent="0.3">
      <c r="A872" t="s">
        <v>110</v>
      </c>
      <c r="B872" s="16">
        <v>45689</v>
      </c>
      <c r="C872" t="s">
        <v>3</v>
      </c>
      <c r="D872" t="s">
        <v>111</v>
      </c>
      <c r="E872">
        <v>6</v>
      </c>
      <c r="F872">
        <v>4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6</v>
      </c>
      <c r="O872">
        <f t="shared" si="26"/>
        <v>2025</v>
      </c>
      <c r="P872">
        <f t="shared" si="27"/>
        <v>2</v>
      </c>
      <c r="Q872" t="str">
        <f>_xlfn.XLOOKUP(B872,全店核心数据_bymonth!A:A,全店核心数据_bymonth!AN:AN)</f>
        <v>BU25</v>
      </c>
    </row>
    <row r="873" spans="1:17" x14ac:dyDescent="0.3">
      <c r="A873" t="s">
        <v>110</v>
      </c>
      <c r="B873" s="16">
        <v>45323</v>
      </c>
      <c r="C873" t="s">
        <v>2</v>
      </c>
      <c r="D873" t="s">
        <v>4</v>
      </c>
      <c r="E873">
        <v>4766</v>
      </c>
      <c r="F873">
        <v>2454</v>
      </c>
      <c r="G873">
        <v>6</v>
      </c>
      <c r="H873">
        <v>5</v>
      </c>
      <c r="I873">
        <v>5450</v>
      </c>
      <c r="J873">
        <v>1</v>
      </c>
      <c r="K873">
        <v>5450</v>
      </c>
      <c r="L873">
        <v>1</v>
      </c>
      <c r="N873">
        <v>4563</v>
      </c>
      <c r="O873">
        <f t="shared" si="26"/>
        <v>2024</v>
      </c>
      <c r="P873">
        <f t="shared" si="27"/>
        <v>2</v>
      </c>
      <c r="Q873" t="str">
        <f>_xlfn.XLOOKUP(B873,全店核心数据_bymonth!A:A,全店核心数据_bymonth!AN:AN)</f>
        <v>BU24</v>
      </c>
    </row>
    <row r="874" spans="1:17" x14ac:dyDescent="0.3">
      <c r="A874" t="s">
        <v>110</v>
      </c>
      <c r="B874" s="16">
        <v>45323</v>
      </c>
      <c r="C874" t="s">
        <v>2</v>
      </c>
      <c r="D874" t="s">
        <v>57</v>
      </c>
      <c r="E874">
        <v>148816</v>
      </c>
      <c r="F874">
        <v>143296</v>
      </c>
      <c r="G874">
        <v>989</v>
      </c>
      <c r="H874">
        <v>863</v>
      </c>
      <c r="I874">
        <v>933225</v>
      </c>
      <c r="J874">
        <v>100</v>
      </c>
      <c r="K874">
        <v>367260</v>
      </c>
      <c r="L874">
        <v>64</v>
      </c>
      <c r="N874">
        <v>148323</v>
      </c>
      <c r="O874">
        <f t="shared" si="26"/>
        <v>2024</v>
      </c>
      <c r="P874">
        <f t="shared" si="27"/>
        <v>2</v>
      </c>
      <c r="Q874" t="str">
        <f>_xlfn.XLOOKUP(B874,全店核心数据_bymonth!A:A,全店核心数据_bymonth!AN:AN)</f>
        <v>BU24</v>
      </c>
    </row>
    <row r="875" spans="1:17" x14ac:dyDescent="0.3">
      <c r="A875" t="s">
        <v>110</v>
      </c>
      <c r="B875" s="16">
        <v>45323</v>
      </c>
      <c r="C875" t="s">
        <v>2</v>
      </c>
      <c r="D875" t="s">
        <v>52</v>
      </c>
      <c r="E875">
        <v>15698</v>
      </c>
      <c r="F875">
        <v>14941</v>
      </c>
      <c r="G875">
        <v>275</v>
      </c>
      <c r="H875">
        <v>120</v>
      </c>
      <c r="I875">
        <v>273605</v>
      </c>
      <c r="J875">
        <v>42</v>
      </c>
      <c r="K875">
        <v>200120</v>
      </c>
      <c r="L875">
        <v>37</v>
      </c>
      <c r="N875">
        <v>7726</v>
      </c>
      <c r="O875">
        <f t="shared" si="26"/>
        <v>2024</v>
      </c>
      <c r="P875">
        <f t="shared" si="27"/>
        <v>2</v>
      </c>
      <c r="Q875" t="str">
        <f>_xlfn.XLOOKUP(B875,全店核心数据_bymonth!A:A,全店核心数据_bymonth!AN:AN)</f>
        <v>BU24</v>
      </c>
    </row>
    <row r="876" spans="1:17" x14ac:dyDescent="0.3">
      <c r="A876" t="s">
        <v>110</v>
      </c>
      <c r="B876" s="16">
        <v>45323</v>
      </c>
      <c r="C876" t="s">
        <v>2</v>
      </c>
      <c r="D876" t="s">
        <v>55</v>
      </c>
      <c r="E876">
        <v>24</v>
      </c>
      <c r="F876">
        <v>11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N876">
        <v>5</v>
      </c>
      <c r="O876">
        <f t="shared" si="26"/>
        <v>2024</v>
      </c>
      <c r="P876">
        <f t="shared" si="27"/>
        <v>2</v>
      </c>
      <c r="Q876" t="str">
        <f>_xlfn.XLOOKUP(B876,全店核心数据_bymonth!A:A,全店核心数据_bymonth!AN:AN)</f>
        <v>BU24</v>
      </c>
    </row>
    <row r="877" spans="1:17" x14ac:dyDescent="0.3">
      <c r="A877" t="s">
        <v>110</v>
      </c>
      <c r="B877" s="16">
        <v>45323</v>
      </c>
      <c r="C877" t="s">
        <v>3</v>
      </c>
      <c r="D877" t="s">
        <v>156</v>
      </c>
      <c r="E877">
        <v>1</v>
      </c>
      <c r="F877">
        <v>1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N877">
        <v>0</v>
      </c>
      <c r="O877">
        <f t="shared" si="26"/>
        <v>2024</v>
      </c>
      <c r="P877">
        <f t="shared" si="27"/>
        <v>2</v>
      </c>
      <c r="Q877" t="str">
        <f>_xlfn.XLOOKUP(B877,全店核心数据_bymonth!A:A,全店核心数据_bymonth!AN:AN)</f>
        <v>BU24</v>
      </c>
    </row>
    <row r="878" spans="1:17" x14ac:dyDescent="0.3">
      <c r="A878" t="s">
        <v>110</v>
      </c>
      <c r="B878" s="16">
        <v>45323</v>
      </c>
      <c r="C878" t="s">
        <v>3</v>
      </c>
      <c r="D878" t="s">
        <v>155</v>
      </c>
      <c r="E878">
        <v>101</v>
      </c>
      <c r="F878">
        <v>85</v>
      </c>
      <c r="G878">
        <v>0</v>
      </c>
      <c r="H878">
        <v>1</v>
      </c>
      <c r="I878">
        <v>0</v>
      </c>
      <c r="J878">
        <v>0</v>
      </c>
      <c r="K878">
        <v>0</v>
      </c>
      <c r="L878">
        <v>0</v>
      </c>
      <c r="N878">
        <v>101</v>
      </c>
      <c r="O878">
        <f t="shared" si="26"/>
        <v>2024</v>
      </c>
      <c r="P878">
        <f t="shared" si="27"/>
        <v>2</v>
      </c>
      <c r="Q878" t="str">
        <f>_xlfn.XLOOKUP(B878,全店核心数据_bymonth!A:A,全店核心数据_bymonth!AN:AN)</f>
        <v>BU24</v>
      </c>
    </row>
    <row r="879" spans="1:17" x14ac:dyDescent="0.3">
      <c r="A879" t="s">
        <v>110</v>
      </c>
      <c r="B879" s="16">
        <v>45323</v>
      </c>
      <c r="C879" t="s">
        <v>3</v>
      </c>
      <c r="D879" t="s">
        <v>154</v>
      </c>
      <c r="E879">
        <v>41</v>
      </c>
      <c r="F879">
        <v>33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0</v>
      </c>
      <c r="N879">
        <v>31</v>
      </c>
      <c r="O879">
        <f t="shared" si="26"/>
        <v>2024</v>
      </c>
      <c r="P879">
        <f t="shared" si="27"/>
        <v>2</v>
      </c>
      <c r="Q879" t="str">
        <f>_xlfn.XLOOKUP(B879,全店核心数据_bymonth!A:A,全店核心数据_bymonth!AN:AN)</f>
        <v>BU24</v>
      </c>
    </row>
    <row r="880" spans="1:17" x14ac:dyDescent="0.3">
      <c r="A880" t="s">
        <v>110</v>
      </c>
      <c r="B880" s="16">
        <v>45323</v>
      </c>
      <c r="C880" t="s">
        <v>3</v>
      </c>
      <c r="D880" t="s">
        <v>153</v>
      </c>
      <c r="E880">
        <v>2200</v>
      </c>
      <c r="F880">
        <v>1391</v>
      </c>
      <c r="G880">
        <v>139</v>
      </c>
      <c r="H880">
        <v>37</v>
      </c>
      <c r="I880">
        <v>717215</v>
      </c>
      <c r="J880">
        <v>101</v>
      </c>
      <c r="K880">
        <v>598015</v>
      </c>
      <c r="L880">
        <v>94</v>
      </c>
      <c r="N880">
        <v>2099</v>
      </c>
      <c r="O880">
        <f t="shared" si="26"/>
        <v>2024</v>
      </c>
      <c r="P880">
        <f t="shared" si="27"/>
        <v>2</v>
      </c>
      <c r="Q880" t="str">
        <f>_xlfn.XLOOKUP(B880,全店核心数据_bymonth!A:A,全店核心数据_bymonth!AN:AN)</f>
        <v>BU24</v>
      </c>
    </row>
    <row r="881" spans="1:17" x14ac:dyDescent="0.3">
      <c r="A881" t="s">
        <v>110</v>
      </c>
      <c r="B881" s="16">
        <v>45323</v>
      </c>
      <c r="C881" t="s">
        <v>3</v>
      </c>
      <c r="D881" t="s">
        <v>152</v>
      </c>
      <c r="E881">
        <v>93</v>
      </c>
      <c r="F881">
        <v>49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N881">
        <v>93</v>
      </c>
      <c r="O881">
        <f t="shared" si="26"/>
        <v>2024</v>
      </c>
      <c r="P881">
        <f t="shared" si="27"/>
        <v>2</v>
      </c>
      <c r="Q881" t="str">
        <f>_xlfn.XLOOKUP(B881,全店核心数据_bymonth!A:A,全店核心数据_bymonth!AN:AN)</f>
        <v>BU24</v>
      </c>
    </row>
    <row r="882" spans="1:17" x14ac:dyDescent="0.3">
      <c r="A882" t="s">
        <v>110</v>
      </c>
      <c r="B882" s="16">
        <v>45323</v>
      </c>
      <c r="C882" t="s">
        <v>3</v>
      </c>
      <c r="D882" t="s">
        <v>151</v>
      </c>
      <c r="E882">
        <v>16</v>
      </c>
      <c r="F882">
        <v>9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N882">
        <v>16</v>
      </c>
      <c r="O882">
        <f t="shared" si="26"/>
        <v>2024</v>
      </c>
      <c r="P882">
        <f t="shared" si="27"/>
        <v>2</v>
      </c>
      <c r="Q882" t="str">
        <f>_xlfn.XLOOKUP(B882,全店核心数据_bymonth!A:A,全店核心数据_bymonth!AN:AN)</f>
        <v>BU24</v>
      </c>
    </row>
    <row r="883" spans="1:17" x14ac:dyDescent="0.3">
      <c r="A883" t="s">
        <v>110</v>
      </c>
      <c r="B883" s="16">
        <v>45323</v>
      </c>
      <c r="C883" t="s">
        <v>3</v>
      </c>
      <c r="D883" t="s">
        <v>149</v>
      </c>
      <c r="E883">
        <v>89</v>
      </c>
      <c r="F883">
        <v>63</v>
      </c>
      <c r="G883">
        <v>3</v>
      </c>
      <c r="H883">
        <v>4</v>
      </c>
      <c r="I883">
        <v>13335</v>
      </c>
      <c r="J883">
        <v>2</v>
      </c>
      <c r="K883">
        <v>4445</v>
      </c>
      <c r="L883">
        <v>1</v>
      </c>
      <c r="N883">
        <v>81</v>
      </c>
      <c r="O883">
        <f t="shared" si="26"/>
        <v>2024</v>
      </c>
      <c r="P883">
        <f t="shared" si="27"/>
        <v>2</v>
      </c>
      <c r="Q883" t="str">
        <f>_xlfn.XLOOKUP(B883,全店核心数据_bymonth!A:A,全店核心数据_bymonth!AN:AN)</f>
        <v>BU24</v>
      </c>
    </row>
    <row r="884" spans="1:17" x14ac:dyDescent="0.3">
      <c r="A884" t="s">
        <v>110</v>
      </c>
      <c r="B884" s="16">
        <v>45323</v>
      </c>
      <c r="C884" t="s">
        <v>3</v>
      </c>
      <c r="D884" t="s">
        <v>148</v>
      </c>
      <c r="E884">
        <v>504</v>
      </c>
      <c r="F884">
        <v>319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N884">
        <v>456</v>
      </c>
      <c r="O884">
        <f t="shared" si="26"/>
        <v>2024</v>
      </c>
      <c r="P884">
        <f t="shared" si="27"/>
        <v>2</v>
      </c>
      <c r="Q884" t="str">
        <f>_xlfn.XLOOKUP(B884,全店核心数据_bymonth!A:A,全店核心数据_bymonth!AN:AN)</f>
        <v>BU24</v>
      </c>
    </row>
    <row r="885" spans="1:17" x14ac:dyDescent="0.3">
      <c r="A885" t="s">
        <v>110</v>
      </c>
      <c r="B885" s="16">
        <v>45323</v>
      </c>
      <c r="C885" t="s">
        <v>3</v>
      </c>
      <c r="D885" t="s">
        <v>251</v>
      </c>
      <c r="E885">
        <v>3573</v>
      </c>
      <c r="F885">
        <v>2812</v>
      </c>
      <c r="G885">
        <v>31</v>
      </c>
      <c r="H885">
        <v>54</v>
      </c>
      <c r="I885">
        <v>75310</v>
      </c>
      <c r="J885">
        <v>12</v>
      </c>
      <c r="K885">
        <v>56175</v>
      </c>
      <c r="L885">
        <v>11</v>
      </c>
      <c r="N885">
        <v>3217</v>
      </c>
      <c r="O885">
        <f t="shared" si="26"/>
        <v>2024</v>
      </c>
      <c r="P885">
        <f t="shared" si="27"/>
        <v>2</v>
      </c>
      <c r="Q885" t="str">
        <f>_xlfn.XLOOKUP(B885,全店核心数据_bymonth!A:A,全店核心数据_bymonth!AN:AN)</f>
        <v>BU24</v>
      </c>
    </row>
    <row r="886" spans="1:17" x14ac:dyDescent="0.3">
      <c r="A886" t="s">
        <v>110</v>
      </c>
      <c r="B886" s="16">
        <v>45323</v>
      </c>
      <c r="C886" t="s">
        <v>3</v>
      </c>
      <c r="D886" t="s">
        <v>143</v>
      </c>
      <c r="E886">
        <v>276</v>
      </c>
      <c r="F886">
        <v>257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0</v>
      </c>
      <c r="N886">
        <v>268</v>
      </c>
      <c r="O886">
        <f t="shared" si="26"/>
        <v>2024</v>
      </c>
      <c r="P886">
        <f t="shared" si="27"/>
        <v>2</v>
      </c>
      <c r="Q886" t="str">
        <f>_xlfn.XLOOKUP(B886,全店核心数据_bymonth!A:A,全店核心数据_bymonth!AN:AN)</f>
        <v>BU24</v>
      </c>
    </row>
    <row r="887" spans="1:17" x14ac:dyDescent="0.3">
      <c r="A887" t="s">
        <v>110</v>
      </c>
      <c r="B887" s="16">
        <v>45323</v>
      </c>
      <c r="C887" t="s">
        <v>3</v>
      </c>
      <c r="D887" t="s">
        <v>142</v>
      </c>
      <c r="E887">
        <v>75</v>
      </c>
      <c r="F887">
        <v>35</v>
      </c>
      <c r="G887">
        <v>2</v>
      </c>
      <c r="H887">
        <v>1</v>
      </c>
      <c r="I887">
        <v>0</v>
      </c>
      <c r="J887">
        <v>0</v>
      </c>
      <c r="K887">
        <v>0</v>
      </c>
      <c r="L887">
        <v>0</v>
      </c>
      <c r="N887">
        <v>75</v>
      </c>
      <c r="O887">
        <f t="shared" si="26"/>
        <v>2024</v>
      </c>
      <c r="P887">
        <f t="shared" si="27"/>
        <v>2</v>
      </c>
      <c r="Q887" t="str">
        <f>_xlfn.XLOOKUP(B887,全店核心数据_bymonth!A:A,全店核心数据_bymonth!AN:AN)</f>
        <v>BU24</v>
      </c>
    </row>
    <row r="888" spans="1:17" x14ac:dyDescent="0.3">
      <c r="A888" t="s">
        <v>110</v>
      </c>
      <c r="B888" s="16">
        <v>45323</v>
      </c>
      <c r="C888" t="s">
        <v>3</v>
      </c>
      <c r="D888" t="s">
        <v>141</v>
      </c>
      <c r="E888">
        <v>29</v>
      </c>
      <c r="F888">
        <v>29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N888">
        <v>16</v>
      </c>
      <c r="O888">
        <f t="shared" si="26"/>
        <v>2024</v>
      </c>
      <c r="P888">
        <f t="shared" si="27"/>
        <v>2</v>
      </c>
      <c r="Q888" t="str">
        <f>_xlfn.XLOOKUP(B888,全店核心数据_bymonth!A:A,全店核心数据_bymonth!AN:AN)</f>
        <v>BU24</v>
      </c>
    </row>
    <row r="889" spans="1:17" x14ac:dyDescent="0.3">
      <c r="A889" t="s">
        <v>110</v>
      </c>
      <c r="B889" s="16">
        <v>45323</v>
      </c>
      <c r="C889" t="s">
        <v>3</v>
      </c>
      <c r="D889" t="s">
        <v>140</v>
      </c>
      <c r="E889">
        <v>55</v>
      </c>
      <c r="F889">
        <v>51</v>
      </c>
      <c r="G889">
        <v>0</v>
      </c>
      <c r="H889">
        <v>0</v>
      </c>
      <c r="I889">
        <v>3345</v>
      </c>
      <c r="J889">
        <v>1</v>
      </c>
      <c r="K889">
        <v>3345</v>
      </c>
      <c r="L889">
        <v>1</v>
      </c>
      <c r="N889">
        <v>54</v>
      </c>
      <c r="O889">
        <f t="shared" si="26"/>
        <v>2024</v>
      </c>
      <c r="P889">
        <f t="shared" si="27"/>
        <v>2</v>
      </c>
      <c r="Q889" t="str">
        <f>_xlfn.XLOOKUP(B889,全店核心数据_bymonth!A:A,全店核心数据_bymonth!AN:AN)</f>
        <v>BU24</v>
      </c>
    </row>
    <row r="890" spans="1:17" x14ac:dyDescent="0.3">
      <c r="A890" t="s">
        <v>110</v>
      </c>
      <c r="B890" s="16">
        <v>45323</v>
      </c>
      <c r="C890" t="s">
        <v>3</v>
      </c>
      <c r="D890" t="s">
        <v>139</v>
      </c>
      <c r="E890">
        <v>6135</v>
      </c>
      <c r="F890">
        <v>4608</v>
      </c>
      <c r="G890">
        <v>115</v>
      </c>
      <c r="H890">
        <v>55</v>
      </c>
      <c r="I890">
        <v>353052</v>
      </c>
      <c r="J890">
        <v>45</v>
      </c>
      <c r="K890">
        <v>190416</v>
      </c>
      <c r="L890">
        <v>37</v>
      </c>
      <c r="N890">
        <v>3905</v>
      </c>
      <c r="O890">
        <f t="shared" si="26"/>
        <v>2024</v>
      </c>
      <c r="P890">
        <f t="shared" si="27"/>
        <v>2</v>
      </c>
      <c r="Q890" t="str">
        <f>_xlfn.XLOOKUP(B890,全店核心数据_bymonth!A:A,全店核心数据_bymonth!AN:AN)</f>
        <v>BU24</v>
      </c>
    </row>
    <row r="891" spans="1:17" x14ac:dyDescent="0.3">
      <c r="A891" t="s">
        <v>110</v>
      </c>
      <c r="B891" s="16">
        <v>45323</v>
      </c>
      <c r="C891" t="s">
        <v>3</v>
      </c>
      <c r="D891" t="s">
        <v>187</v>
      </c>
      <c r="E891">
        <v>4</v>
      </c>
      <c r="F891">
        <v>4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N891">
        <v>2</v>
      </c>
      <c r="O891">
        <f t="shared" si="26"/>
        <v>2024</v>
      </c>
      <c r="P891">
        <f t="shared" si="27"/>
        <v>2</v>
      </c>
      <c r="Q891" t="str">
        <f>_xlfn.XLOOKUP(B891,全店核心数据_bymonth!A:A,全店核心数据_bymonth!AN:AN)</f>
        <v>BU24</v>
      </c>
    </row>
    <row r="892" spans="1:17" x14ac:dyDescent="0.3">
      <c r="A892" t="s">
        <v>110</v>
      </c>
      <c r="B892" s="16">
        <v>45323</v>
      </c>
      <c r="C892" t="s">
        <v>3</v>
      </c>
      <c r="D892" t="s">
        <v>138</v>
      </c>
      <c r="E892">
        <v>3662</v>
      </c>
      <c r="F892">
        <v>2720</v>
      </c>
      <c r="G892">
        <v>57</v>
      </c>
      <c r="H892">
        <v>50</v>
      </c>
      <c r="I892">
        <v>41612.370000000003</v>
      </c>
      <c r="J892">
        <v>10</v>
      </c>
      <c r="K892">
        <v>25336.37</v>
      </c>
      <c r="L892">
        <v>7</v>
      </c>
      <c r="N892">
        <v>3643</v>
      </c>
      <c r="O892">
        <f t="shared" si="26"/>
        <v>2024</v>
      </c>
      <c r="P892">
        <f t="shared" si="27"/>
        <v>2</v>
      </c>
      <c r="Q892" t="str">
        <f>_xlfn.XLOOKUP(B892,全店核心数据_bymonth!A:A,全店核心数据_bymonth!AN:AN)</f>
        <v>BU24</v>
      </c>
    </row>
    <row r="893" spans="1:17" x14ac:dyDescent="0.3">
      <c r="A893" t="s">
        <v>110</v>
      </c>
      <c r="B893" s="16">
        <v>45323</v>
      </c>
      <c r="C893" t="s">
        <v>3</v>
      </c>
      <c r="D893" t="s">
        <v>137</v>
      </c>
      <c r="E893">
        <v>33</v>
      </c>
      <c r="F893">
        <v>24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N893">
        <v>33</v>
      </c>
      <c r="O893">
        <f t="shared" si="26"/>
        <v>2024</v>
      </c>
      <c r="P893">
        <f t="shared" si="27"/>
        <v>2</v>
      </c>
      <c r="Q893" t="str">
        <f>_xlfn.XLOOKUP(B893,全店核心数据_bymonth!A:A,全店核心数据_bymonth!AN:AN)</f>
        <v>BU24</v>
      </c>
    </row>
    <row r="894" spans="1:17" x14ac:dyDescent="0.3">
      <c r="A894" t="s">
        <v>110</v>
      </c>
      <c r="B894" s="16">
        <v>45323</v>
      </c>
      <c r="C894" t="s">
        <v>3</v>
      </c>
      <c r="D894" t="s">
        <v>135</v>
      </c>
      <c r="E894">
        <v>3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N894">
        <v>3</v>
      </c>
      <c r="O894">
        <f t="shared" si="26"/>
        <v>2024</v>
      </c>
      <c r="P894">
        <f t="shared" si="27"/>
        <v>2</v>
      </c>
      <c r="Q894" t="str">
        <f>_xlfn.XLOOKUP(B894,全店核心数据_bymonth!A:A,全店核心数据_bymonth!AN:AN)</f>
        <v>BU24</v>
      </c>
    </row>
    <row r="895" spans="1:17" x14ac:dyDescent="0.3">
      <c r="A895" t="s">
        <v>110</v>
      </c>
      <c r="B895" s="16">
        <v>45323</v>
      </c>
      <c r="C895" t="s">
        <v>3</v>
      </c>
      <c r="D895" t="s">
        <v>133</v>
      </c>
      <c r="E895">
        <v>115</v>
      </c>
      <c r="F895">
        <v>80</v>
      </c>
      <c r="G895">
        <v>2</v>
      </c>
      <c r="H895">
        <v>1</v>
      </c>
      <c r="I895">
        <v>5450</v>
      </c>
      <c r="J895">
        <v>1</v>
      </c>
      <c r="K895">
        <v>5450</v>
      </c>
      <c r="L895">
        <v>1</v>
      </c>
      <c r="N895">
        <v>83</v>
      </c>
      <c r="O895">
        <f t="shared" si="26"/>
        <v>2024</v>
      </c>
      <c r="P895">
        <f t="shared" si="27"/>
        <v>2</v>
      </c>
      <c r="Q895" t="str">
        <f>_xlfn.XLOOKUP(B895,全店核心数据_bymonth!A:A,全店核心数据_bymonth!AN:AN)</f>
        <v>BU24</v>
      </c>
    </row>
    <row r="896" spans="1:17" x14ac:dyDescent="0.3">
      <c r="A896" t="s">
        <v>110</v>
      </c>
      <c r="B896" s="16">
        <v>45323</v>
      </c>
      <c r="C896" t="s">
        <v>3</v>
      </c>
      <c r="D896" t="s">
        <v>132</v>
      </c>
      <c r="E896">
        <v>48</v>
      </c>
      <c r="F896">
        <v>36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N896">
        <v>48</v>
      </c>
      <c r="O896">
        <f t="shared" si="26"/>
        <v>2024</v>
      </c>
      <c r="P896">
        <f t="shared" si="27"/>
        <v>2</v>
      </c>
      <c r="Q896" t="str">
        <f>_xlfn.XLOOKUP(B896,全店核心数据_bymonth!A:A,全店核心数据_bymonth!AN:AN)</f>
        <v>BU24</v>
      </c>
    </row>
    <row r="897" spans="1:17" x14ac:dyDescent="0.3">
      <c r="A897" t="s">
        <v>110</v>
      </c>
      <c r="B897" s="16">
        <v>45323</v>
      </c>
      <c r="C897" t="s">
        <v>3</v>
      </c>
      <c r="D897" t="s">
        <v>130</v>
      </c>
      <c r="E897">
        <v>714</v>
      </c>
      <c r="F897">
        <v>448</v>
      </c>
      <c r="G897">
        <v>34</v>
      </c>
      <c r="H897">
        <v>18</v>
      </c>
      <c r="I897">
        <v>291820</v>
      </c>
      <c r="J897">
        <v>40</v>
      </c>
      <c r="K897">
        <v>228395</v>
      </c>
      <c r="L897">
        <v>37</v>
      </c>
      <c r="N897">
        <v>630</v>
      </c>
      <c r="O897">
        <f t="shared" si="26"/>
        <v>2024</v>
      </c>
      <c r="P897">
        <f t="shared" si="27"/>
        <v>2</v>
      </c>
      <c r="Q897" t="str">
        <f>_xlfn.XLOOKUP(B897,全店核心数据_bymonth!A:A,全店核心数据_bymonth!AN:AN)</f>
        <v>BU24</v>
      </c>
    </row>
    <row r="898" spans="1:17" x14ac:dyDescent="0.3">
      <c r="A898" t="s">
        <v>110</v>
      </c>
      <c r="B898" s="16">
        <v>45323</v>
      </c>
      <c r="C898" t="s">
        <v>3</v>
      </c>
      <c r="D898" t="s">
        <v>128</v>
      </c>
      <c r="E898">
        <v>8633</v>
      </c>
      <c r="F898">
        <v>7670</v>
      </c>
      <c r="G898">
        <v>253</v>
      </c>
      <c r="H898">
        <v>132</v>
      </c>
      <c r="I898">
        <v>221270</v>
      </c>
      <c r="J898">
        <v>40</v>
      </c>
      <c r="K898">
        <v>135640</v>
      </c>
      <c r="L898">
        <v>34</v>
      </c>
      <c r="N898">
        <v>7224</v>
      </c>
      <c r="O898">
        <f t="shared" ref="O898:O961" si="28">YEAR(B898)</f>
        <v>2024</v>
      </c>
      <c r="P898">
        <f t="shared" ref="P898:P961" si="29">MONTH(B898)</f>
        <v>2</v>
      </c>
      <c r="Q898" t="str">
        <f>_xlfn.XLOOKUP(B898,全店核心数据_bymonth!A:A,全店核心数据_bymonth!AN:AN)</f>
        <v>BU24</v>
      </c>
    </row>
    <row r="899" spans="1:17" x14ac:dyDescent="0.3">
      <c r="A899" t="s">
        <v>110</v>
      </c>
      <c r="B899" s="16">
        <v>45323</v>
      </c>
      <c r="C899" t="s">
        <v>3</v>
      </c>
      <c r="D899" t="s">
        <v>127</v>
      </c>
      <c r="E899">
        <v>9276</v>
      </c>
      <c r="F899">
        <v>7263</v>
      </c>
      <c r="G899">
        <v>81</v>
      </c>
      <c r="H899">
        <v>74</v>
      </c>
      <c r="I899">
        <v>67070</v>
      </c>
      <c r="J899">
        <v>8</v>
      </c>
      <c r="K899">
        <v>33775</v>
      </c>
      <c r="L899">
        <v>6</v>
      </c>
      <c r="N899">
        <v>8898</v>
      </c>
      <c r="O899">
        <f t="shared" si="28"/>
        <v>2024</v>
      </c>
      <c r="P899">
        <f t="shared" si="29"/>
        <v>2</v>
      </c>
      <c r="Q899" t="str">
        <f>_xlfn.XLOOKUP(B899,全店核心数据_bymonth!A:A,全店核心数据_bymonth!AN:AN)</f>
        <v>BU24</v>
      </c>
    </row>
    <row r="900" spans="1:17" x14ac:dyDescent="0.3">
      <c r="A900" t="s">
        <v>110</v>
      </c>
      <c r="B900" s="16">
        <v>45323</v>
      </c>
      <c r="C900" t="s">
        <v>3</v>
      </c>
      <c r="D900" t="s">
        <v>126</v>
      </c>
      <c r="E900">
        <v>1019</v>
      </c>
      <c r="F900">
        <v>830</v>
      </c>
      <c r="G900">
        <v>28</v>
      </c>
      <c r="H900">
        <v>22</v>
      </c>
      <c r="I900">
        <v>67210</v>
      </c>
      <c r="J900">
        <v>7</v>
      </c>
      <c r="K900">
        <v>14365</v>
      </c>
      <c r="L900">
        <v>4</v>
      </c>
      <c r="N900">
        <v>980</v>
      </c>
      <c r="O900">
        <f t="shared" si="28"/>
        <v>2024</v>
      </c>
      <c r="P900">
        <f t="shared" si="29"/>
        <v>2</v>
      </c>
      <c r="Q900" t="str">
        <f>_xlfn.XLOOKUP(B900,全店核心数据_bymonth!A:A,全店核心数据_bymonth!AN:AN)</f>
        <v>BU24</v>
      </c>
    </row>
    <row r="901" spans="1:17" x14ac:dyDescent="0.3">
      <c r="A901" t="s">
        <v>110</v>
      </c>
      <c r="B901" s="16">
        <v>45323</v>
      </c>
      <c r="C901" t="s">
        <v>3</v>
      </c>
      <c r="D901" t="s">
        <v>125</v>
      </c>
      <c r="E901">
        <v>3</v>
      </c>
      <c r="F901">
        <v>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N901">
        <v>3</v>
      </c>
      <c r="O901">
        <f t="shared" si="28"/>
        <v>2024</v>
      </c>
      <c r="P901">
        <f t="shared" si="29"/>
        <v>2</v>
      </c>
      <c r="Q901" t="str">
        <f>_xlfn.XLOOKUP(B901,全店核心数据_bymonth!A:A,全店核心数据_bymonth!AN:AN)</f>
        <v>BU24</v>
      </c>
    </row>
    <row r="902" spans="1:17" x14ac:dyDescent="0.3">
      <c r="A902" t="s">
        <v>110</v>
      </c>
      <c r="B902" s="16">
        <v>45323</v>
      </c>
      <c r="C902" t="s">
        <v>3</v>
      </c>
      <c r="D902" t="s">
        <v>123</v>
      </c>
      <c r="E902">
        <v>959</v>
      </c>
      <c r="F902">
        <v>630</v>
      </c>
      <c r="G902">
        <v>22</v>
      </c>
      <c r="H902">
        <v>13</v>
      </c>
      <c r="I902">
        <v>47635</v>
      </c>
      <c r="J902">
        <v>4</v>
      </c>
      <c r="K902">
        <v>17135</v>
      </c>
      <c r="L902">
        <v>3</v>
      </c>
      <c r="N902">
        <v>702</v>
      </c>
      <c r="O902">
        <f t="shared" si="28"/>
        <v>2024</v>
      </c>
      <c r="P902">
        <f t="shared" si="29"/>
        <v>2</v>
      </c>
      <c r="Q902" t="str">
        <f>_xlfn.XLOOKUP(B902,全店核心数据_bymonth!A:A,全店核心数据_bymonth!AN:AN)</f>
        <v>BU24</v>
      </c>
    </row>
    <row r="903" spans="1:17" x14ac:dyDescent="0.3">
      <c r="A903" t="s">
        <v>110</v>
      </c>
      <c r="B903" s="16">
        <v>45323</v>
      </c>
      <c r="C903" t="s">
        <v>3</v>
      </c>
      <c r="D903" t="s">
        <v>122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N903">
        <v>1</v>
      </c>
      <c r="O903">
        <f t="shared" si="28"/>
        <v>2024</v>
      </c>
      <c r="P903">
        <f t="shared" si="29"/>
        <v>2</v>
      </c>
      <c r="Q903" t="str">
        <f>_xlfn.XLOOKUP(B903,全店核心数据_bymonth!A:A,全店核心数据_bymonth!AN:AN)</f>
        <v>BU24</v>
      </c>
    </row>
    <row r="904" spans="1:17" x14ac:dyDescent="0.3">
      <c r="A904" t="s">
        <v>110</v>
      </c>
      <c r="B904" s="16">
        <v>45323</v>
      </c>
      <c r="C904" t="s">
        <v>3</v>
      </c>
      <c r="D904" t="s">
        <v>121</v>
      </c>
      <c r="E904">
        <v>29</v>
      </c>
      <c r="F904">
        <v>22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N904">
        <v>15</v>
      </c>
      <c r="O904">
        <f t="shared" si="28"/>
        <v>2024</v>
      </c>
      <c r="P904">
        <f t="shared" si="29"/>
        <v>2</v>
      </c>
      <c r="Q904" t="str">
        <f>_xlfn.XLOOKUP(B904,全店核心数据_bymonth!A:A,全店核心数据_bymonth!AN:AN)</f>
        <v>BU24</v>
      </c>
    </row>
    <row r="905" spans="1:17" x14ac:dyDescent="0.3">
      <c r="A905" t="s">
        <v>110</v>
      </c>
      <c r="B905" s="16">
        <v>45323</v>
      </c>
      <c r="C905" t="s">
        <v>3</v>
      </c>
      <c r="D905" t="s">
        <v>120</v>
      </c>
      <c r="E905">
        <v>4180</v>
      </c>
      <c r="F905">
        <v>3730</v>
      </c>
      <c r="G905">
        <v>49</v>
      </c>
      <c r="H905">
        <v>0</v>
      </c>
      <c r="I905">
        <v>55470</v>
      </c>
      <c r="J905">
        <v>7</v>
      </c>
      <c r="K905">
        <v>46075</v>
      </c>
      <c r="L905">
        <v>7</v>
      </c>
      <c r="N905">
        <v>4059</v>
      </c>
      <c r="O905">
        <f t="shared" si="28"/>
        <v>2024</v>
      </c>
      <c r="P905">
        <f t="shared" si="29"/>
        <v>2</v>
      </c>
      <c r="Q905" t="str">
        <f>_xlfn.XLOOKUP(B905,全店核心数据_bymonth!A:A,全店核心数据_bymonth!AN:AN)</f>
        <v>BU24</v>
      </c>
    </row>
    <row r="906" spans="1:17" x14ac:dyDescent="0.3">
      <c r="A906" t="s">
        <v>110</v>
      </c>
      <c r="B906" s="16">
        <v>45323</v>
      </c>
      <c r="C906" t="s">
        <v>3</v>
      </c>
      <c r="D906" t="s">
        <v>119</v>
      </c>
      <c r="E906">
        <v>2787</v>
      </c>
      <c r="F906">
        <v>1943</v>
      </c>
      <c r="G906">
        <v>71</v>
      </c>
      <c r="H906">
        <v>69</v>
      </c>
      <c r="I906">
        <v>346600</v>
      </c>
      <c r="J906">
        <v>42</v>
      </c>
      <c r="K906">
        <v>212100</v>
      </c>
      <c r="L906">
        <v>34</v>
      </c>
      <c r="N906">
        <v>2659</v>
      </c>
      <c r="O906">
        <f t="shared" si="28"/>
        <v>2024</v>
      </c>
      <c r="P906">
        <f t="shared" si="29"/>
        <v>2</v>
      </c>
      <c r="Q906" t="str">
        <f>_xlfn.XLOOKUP(B906,全店核心数据_bymonth!A:A,全店核心数据_bymonth!AN:AN)</f>
        <v>BU24</v>
      </c>
    </row>
    <row r="907" spans="1:17" x14ac:dyDescent="0.3">
      <c r="A907" t="s">
        <v>110</v>
      </c>
      <c r="B907" s="16">
        <v>45323</v>
      </c>
      <c r="C907" t="s">
        <v>3</v>
      </c>
      <c r="D907" t="s">
        <v>117</v>
      </c>
      <c r="E907">
        <v>10</v>
      </c>
      <c r="F907">
        <v>9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N907">
        <v>10</v>
      </c>
      <c r="O907">
        <f t="shared" si="28"/>
        <v>2024</v>
      </c>
      <c r="P907">
        <f t="shared" si="29"/>
        <v>2</v>
      </c>
      <c r="Q907" t="str">
        <f>_xlfn.XLOOKUP(B907,全店核心数据_bymonth!A:A,全店核心数据_bymonth!AN:AN)</f>
        <v>BU24</v>
      </c>
    </row>
    <row r="908" spans="1:17" x14ac:dyDescent="0.3">
      <c r="A908" t="s">
        <v>110</v>
      </c>
      <c r="B908" s="16">
        <v>45323</v>
      </c>
      <c r="C908" t="s">
        <v>3</v>
      </c>
      <c r="D908" t="s">
        <v>116</v>
      </c>
      <c r="E908">
        <v>167</v>
      </c>
      <c r="F908">
        <v>125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N908">
        <v>167</v>
      </c>
      <c r="O908">
        <f t="shared" si="28"/>
        <v>2024</v>
      </c>
      <c r="P908">
        <f t="shared" si="29"/>
        <v>2</v>
      </c>
      <c r="Q908" t="str">
        <f>_xlfn.XLOOKUP(B908,全店核心数据_bymonth!A:A,全店核心数据_bymonth!AN:AN)</f>
        <v>BU24</v>
      </c>
    </row>
    <row r="909" spans="1:17" x14ac:dyDescent="0.3">
      <c r="A909" t="s">
        <v>110</v>
      </c>
      <c r="B909" s="16">
        <v>45323</v>
      </c>
      <c r="C909" t="s">
        <v>3</v>
      </c>
      <c r="D909" t="s">
        <v>115</v>
      </c>
      <c r="E909">
        <v>34</v>
      </c>
      <c r="F909">
        <v>26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N909">
        <v>32</v>
      </c>
      <c r="O909">
        <f t="shared" si="28"/>
        <v>2024</v>
      </c>
      <c r="P909">
        <f t="shared" si="29"/>
        <v>2</v>
      </c>
      <c r="Q909" t="str">
        <f>_xlfn.XLOOKUP(B909,全店核心数据_bymonth!A:A,全店核心数据_bymonth!AN:AN)</f>
        <v>BU24</v>
      </c>
    </row>
    <row r="910" spans="1:17" x14ac:dyDescent="0.3">
      <c r="A910" t="s">
        <v>110</v>
      </c>
      <c r="B910" s="16">
        <v>45323</v>
      </c>
      <c r="C910" t="s">
        <v>3</v>
      </c>
      <c r="D910" t="s">
        <v>185</v>
      </c>
      <c r="E910">
        <v>38</v>
      </c>
      <c r="F910">
        <v>38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N910">
        <v>38</v>
      </c>
      <c r="O910">
        <f t="shared" si="28"/>
        <v>2024</v>
      </c>
      <c r="P910">
        <f t="shared" si="29"/>
        <v>2</v>
      </c>
      <c r="Q910" t="str">
        <f>_xlfn.XLOOKUP(B910,全店核心数据_bymonth!A:A,全店核心数据_bymonth!AN:AN)</f>
        <v>BU24</v>
      </c>
    </row>
    <row r="911" spans="1:17" x14ac:dyDescent="0.3">
      <c r="A911" t="s">
        <v>110</v>
      </c>
      <c r="B911" s="16">
        <v>45323</v>
      </c>
      <c r="C911" t="s">
        <v>3</v>
      </c>
      <c r="D911" t="s">
        <v>114</v>
      </c>
      <c r="E911">
        <v>26</v>
      </c>
      <c r="F911">
        <v>18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N911">
        <v>22</v>
      </c>
      <c r="O911">
        <f t="shared" si="28"/>
        <v>2024</v>
      </c>
      <c r="P911">
        <f t="shared" si="29"/>
        <v>2</v>
      </c>
      <c r="Q911" t="str">
        <f>_xlfn.XLOOKUP(B911,全店核心数据_bymonth!A:A,全店核心数据_bymonth!AN:AN)</f>
        <v>BU24</v>
      </c>
    </row>
    <row r="912" spans="1:17" x14ac:dyDescent="0.3">
      <c r="A912" t="s">
        <v>110</v>
      </c>
      <c r="B912" s="16">
        <v>45323</v>
      </c>
      <c r="C912" t="s">
        <v>3</v>
      </c>
      <c r="D912" t="s">
        <v>113</v>
      </c>
      <c r="E912">
        <v>1857</v>
      </c>
      <c r="F912">
        <v>1501</v>
      </c>
      <c r="G912">
        <v>43</v>
      </c>
      <c r="H912">
        <v>24</v>
      </c>
      <c r="I912">
        <v>38710</v>
      </c>
      <c r="J912">
        <v>3</v>
      </c>
      <c r="K912">
        <v>38710</v>
      </c>
      <c r="L912">
        <v>3</v>
      </c>
      <c r="N912">
        <v>994</v>
      </c>
      <c r="O912">
        <f t="shared" si="28"/>
        <v>2024</v>
      </c>
      <c r="P912">
        <f t="shared" si="29"/>
        <v>2</v>
      </c>
      <c r="Q912" t="str">
        <f>_xlfn.XLOOKUP(B912,全店核心数据_bymonth!A:A,全店核心数据_bymonth!AN:AN)</f>
        <v>BU24</v>
      </c>
    </row>
    <row r="913" spans="1:17" x14ac:dyDescent="0.3">
      <c r="A913" t="s">
        <v>110</v>
      </c>
      <c r="B913" s="16">
        <v>45323</v>
      </c>
      <c r="C913" t="s">
        <v>3</v>
      </c>
      <c r="D913" t="s">
        <v>112</v>
      </c>
      <c r="E913">
        <v>73</v>
      </c>
      <c r="F913">
        <v>34</v>
      </c>
      <c r="G913">
        <v>0</v>
      </c>
      <c r="H913">
        <v>1</v>
      </c>
      <c r="I913">
        <v>13885</v>
      </c>
      <c r="J913">
        <v>3</v>
      </c>
      <c r="K913">
        <v>9440</v>
      </c>
      <c r="L913">
        <v>2</v>
      </c>
      <c r="N913">
        <v>73</v>
      </c>
      <c r="O913">
        <f t="shared" si="28"/>
        <v>2024</v>
      </c>
      <c r="P913">
        <f t="shared" si="29"/>
        <v>2</v>
      </c>
      <c r="Q913" t="str">
        <f>_xlfn.XLOOKUP(B913,全店核心数据_bymonth!A:A,全店核心数据_bymonth!AN:AN)</f>
        <v>BU24</v>
      </c>
    </row>
    <row r="914" spans="1:17" x14ac:dyDescent="0.3">
      <c r="A914" t="s">
        <v>110</v>
      </c>
      <c r="B914" s="16">
        <v>45717</v>
      </c>
      <c r="C914" t="s">
        <v>2</v>
      </c>
      <c r="D914" t="s">
        <v>4</v>
      </c>
      <c r="E914">
        <v>8692</v>
      </c>
      <c r="F914">
        <v>5037</v>
      </c>
      <c r="G914">
        <v>14</v>
      </c>
      <c r="H914">
        <v>12</v>
      </c>
      <c r="I914">
        <v>81895</v>
      </c>
      <c r="J914">
        <v>4</v>
      </c>
      <c r="K914">
        <v>81895</v>
      </c>
      <c r="L914">
        <v>4</v>
      </c>
      <c r="M914">
        <v>71</v>
      </c>
      <c r="N914">
        <v>8657</v>
      </c>
      <c r="O914">
        <f t="shared" si="28"/>
        <v>2025</v>
      </c>
      <c r="P914">
        <f t="shared" si="29"/>
        <v>3</v>
      </c>
      <c r="Q914" t="str">
        <f>_xlfn.XLOOKUP(B914,全店核心数据_bymonth!A:A,全店核心数据_bymonth!AN:AN)</f>
        <v>BU25</v>
      </c>
    </row>
    <row r="915" spans="1:17" x14ac:dyDescent="0.3">
      <c r="A915" t="s">
        <v>110</v>
      </c>
      <c r="B915" s="16">
        <v>45717</v>
      </c>
      <c r="C915" t="s">
        <v>2</v>
      </c>
      <c r="D915" t="s">
        <v>57</v>
      </c>
      <c r="E915">
        <v>281655</v>
      </c>
      <c r="F915">
        <v>270251</v>
      </c>
      <c r="G915">
        <v>1742</v>
      </c>
      <c r="H915">
        <v>1822</v>
      </c>
      <c r="I915">
        <v>2165295</v>
      </c>
      <c r="J915">
        <v>211</v>
      </c>
      <c r="K915">
        <v>602060</v>
      </c>
      <c r="L915">
        <v>90</v>
      </c>
      <c r="M915">
        <v>25816</v>
      </c>
      <c r="N915">
        <v>273322</v>
      </c>
      <c r="O915">
        <f t="shared" si="28"/>
        <v>2025</v>
      </c>
      <c r="P915">
        <f t="shared" si="29"/>
        <v>3</v>
      </c>
      <c r="Q915" t="str">
        <f>_xlfn.XLOOKUP(B915,全店核心数据_bymonth!A:A,全店核心数据_bymonth!AN:AN)</f>
        <v>BU25</v>
      </c>
    </row>
    <row r="916" spans="1:17" x14ac:dyDescent="0.3">
      <c r="A916" t="s">
        <v>110</v>
      </c>
      <c r="B916" s="16">
        <v>45717</v>
      </c>
      <c r="C916" t="s">
        <v>2</v>
      </c>
      <c r="D916" t="s">
        <v>52</v>
      </c>
      <c r="E916">
        <v>7</v>
      </c>
      <c r="F916">
        <v>5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6</v>
      </c>
      <c r="O916">
        <f t="shared" si="28"/>
        <v>2025</v>
      </c>
      <c r="P916">
        <f t="shared" si="29"/>
        <v>3</v>
      </c>
      <c r="Q916" t="str">
        <f>_xlfn.XLOOKUP(B916,全店核心数据_bymonth!A:A,全店核心数据_bymonth!AN:AN)</f>
        <v>BU25</v>
      </c>
    </row>
    <row r="917" spans="1:17" x14ac:dyDescent="0.3">
      <c r="A917" t="s">
        <v>110</v>
      </c>
      <c r="B917" s="16">
        <v>45717</v>
      </c>
      <c r="C917" t="s">
        <v>2</v>
      </c>
      <c r="D917" t="s">
        <v>55</v>
      </c>
      <c r="E917">
        <v>4961</v>
      </c>
      <c r="F917">
        <v>4214</v>
      </c>
      <c r="G917">
        <v>29</v>
      </c>
      <c r="H917">
        <v>4</v>
      </c>
      <c r="I917">
        <v>0</v>
      </c>
      <c r="J917">
        <v>0</v>
      </c>
      <c r="K917">
        <v>0</v>
      </c>
      <c r="L917">
        <v>0</v>
      </c>
      <c r="M917">
        <v>107</v>
      </c>
      <c r="N917">
        <v>1038</v>
      </c>
      <c r="O917">
        <f t="shared" si="28"/>
        <v>2025</v>
      </c>
      <c r="P917">
        <f t="shared" si="29"/>
        <v>3</v>
      </c>
      <c r="Q917" t="str">
        <f>_xlfn.XLOOKUP(B917,全店核心数据_bymonth!A:A,全店核心数据_bymonth!AN:AN)</f>
        <v>BU25</v>
      </c>
    </row>
    <row r="918" spans="1:17" x14ac:dyDescent="0.3">
      <c r="A918" t="s">
        <v>110</v>
      </c>
      <c r="B918" s="16">
        <v>45717</v>
      </c>
      <c r="C918" t="s">
        <v>3</v>
      </c>
      <c r="D918" t="s">
        <v>156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>
        <v>1</v>
      </c>
      <c r="O918">
        <f t="shared" si="28"/>
        <v>2025</v>
      </c>
      <c r="P918">
        <f t="shared" si="29"/>
        <v>3</v>
      </c>
      <c r="Q918" t="str">
        <f>_xlfn.XLOOKUP(B918,全店核心数据_bymonth!A:A,全店核心数据_bymonth!AN:AN)</f>
        <v>BU25</v>
      </c>
    </row>
    <row r="919" spans="1:17" x14ac:dyDescent="0.3">
      <c r="A919" t="s">
        <v>110</v>
      </c>
      <c r="B919" s="16">
        <v>45717</v>
      </c>
      <c r="C919" t="s">
        <v>3</v>
      </c>
      <c r="D919" t="s">
        <v>155</v>
      </c>
      <c r="E919">
        <v>145</v>
      </c>
      <c r="F919">
        <v>120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145</v>
      </c>
      <c r="O919">
        <f t="shared" si="28"/>
        <v>2025</v>
      </c>
      <c r="P919">
        <f t="shared" si="29"/>
        <v>3</v>
      </c>
      <c r="Q919" t="str">
        <f>_xlfn.XLOOKUP(B919,全店核心数据_bymonth!A:A,全店核心数据_bymonth!AN:AN)</f>
        <v>BU25</v>
      </c>
    </row>
    <row r="920" spans="1:17" x14ac:dyDescent="0.3">
      <c r="A920" t="s">
        <v>110</v>
      </c>
      <c r="B920" s="16">
        <v>45717</v>
      </c>
      <c r="C920" t="s">
        <v>3</v>
      </c>
      <c r="D920" t="s">
        <v>154</v>
      </c>
      <c r="E920">
        <v>1681</v>
      </c>
      <c r="F920">
        <v>1636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2</v>
      </c>
      <c r="N920">
        <v>1</v>
      </c>
      <c r="O920">
        <f t="shared" si="28"/>
        <v>2025</v>
      </c>
      <c r="P920">
        <f t="shared" si="29"/>
        <v>3</v>
      </c>
      <c r="Q920" t="str">
        <f>_xlfn.XLOOKUP(B920,全店核心数据_bymonth!A:A,全店核心数据_bymonth!AN:AN)</f>
        <v>BU25</v>
      </c>
    </row>
    <row r="921" spans="1:17" x14ac:dyDescent="0.3">
      <c r="A921" t="s">
        <v>110</v>
      </c>
      <c r="B921" s="16">
        <v>45717</v>
      </c>
      <c r="C921" t="s">
        <v>3</v>
      </c>
      <c r="D921" t="s">
        <v>153</v>
      </c>
      <c r="E921">
        <v>1826</v>
      </c>
      <c r="F921">
        <v>1122</v>
      </c>
      <c r="G921">
        <v>152</v>
      </c>
      <c r="H921">
        <v>28</v>
      </c>
      <c r="I921">
        <v>579765</v>
      </c>
      <c r="J921">
        <v>85</v>
      </c>
      <c r="K921">
        <v>519795</v>
      </c>
      <c r="L921">
        <v>77</v>
      </c>
      <c r="M921">
        <v>595</v>
      </c>
      <c r="N921">
        <v>1703</v>
      </c>
      <c r="O921">
        <f t="shared" si="28"/>
        <v>2025</v>
      </c>
      <c r="P921">
        <f t="shared" si="29"/>
        <v>3</v>
      </c>
      <c r="Q921" t="str">
        <f>_xlfn.XLOOKUP(B921,全店核心数据_bymonth!A:A,全店核心数据_bymonth!AN:AN)</f>
        <v>BU25</v>
      </c>
    </row>
    <row r="922" spans="1:17" x14ac:dyDescent="0.3">
      <c r="A922" t="s">
        <v>110</v>
      </c>
      <c r="B922" s="16">
        <v>45717</v>
      </c>
      <c r="C922" t="s">
        <v>3</v>
      </c>
      <c r="D922" t="s">
        <v>152</v>
      </c>
      <c r="E922">
        <v>414</v>
      </c>
      <c r="F922">
        <v>347</v>
      </c>
      <c r="G922">
        <v>6</v>
      </c>
      <c r="H922">
        <v>9</v>
      </c>
      <c r="I922">
        <v>0</v>
      </c>
      <c r="J922">
        <v>0</v>
      </c>
      <c r="K922">
        <v>0</v>
      </c>
      <c r="L922">
        <v>0</v>
      </c>
      <c r="M922">
        <v>10</v>
      </c>
      <c r="N922">
        <v>388</v>
      </c>
      <c r="O922">
        <f t="shared" si="28"/>
        <v>2025</v>
      </c>
      <c r="P922">
        <f t="shared" si="29"/>
        <v>3</v>
      </c>
      <c r="Q922" t="str">
        <f>_xlfn.XLOOKUP(B922,全店核心数据_bymonth!A:A,全店核心数据_bymonth!AN:AN)</f>
        <v>BU25</v>
      </c>
    </row>
    <row r="923" spans="1:17" x14ac:dyDescent="0.3">
      <c r="A923" t="s">
        <v>110</v>
      </c>
      <c r="B923" s="16">
        <v>45717</v>
      </c>
      <c r="C923" t="s">
        <v>3</v>
      </c>
      <c r="D923" t="s">
        <v>150</v>
      </c>
      <c r="E923">
        <v>115</v>
      </c>
      <c r="F923">
        <v>73</v>
      </c>
      <c r="G923">
        <v>1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4</v>
      </c>
      <c r="N923">
        <v>74</v>
      </c>
      <c r="O923">
        <f t="shared" si="28"/>
        <v>2025</v>
      </c>
      <c r="P923">
        <f t="shared" si="29"/>
        <v>3</v>
      </c>
      <c r="Q923" t="str">
        <f>_xlfn.XLOOKUP(B923,全店核心数据_bymonth!A:A,全店核心数据_bymonth!AN:AN)</f>
        <v>BU25</v>
      </c>
    </row>
    <row r="924" spans="1:17" x14ac:dyDescent="0.3">
      <c r="A924" t="s">
        <v>110</v>
      </c>
      <c r="B924" s="16">
        <v>45717</v>
      </c>
      <c r="C924" t="s">
        <v>3</v>
      </c>
      <c r="D924" t="s">
        <v>149</v>
      </c>
      <c r="E924">
        <v>101</v>
      </c>
      <c r="F924">
        <v>69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10</v>
      </c>
      <c r="N924">
        <v>83</v>
      </c>
      <c r="O924">
        <f t="shared" si="28"/>
        <v>2025</v>
      </c>
      <c r="P924">
        <f t="shared" si="29"/>
        <v>3</v>
      </c>
      <c r="Q924" t="str">
        <f>_xlfn.XLOOKUP(B924,全店核心数据_bymonth!A:A,全店核心数据_bymonth!AN:AN)</f>
        <v>BU25</v>
      </c>
    </row>
    <row r="925" spans="1:17" x14ac:dyDescent="0.3">
      <c r="A925" t="s">
        <v>110</v>
      </c>
      <c r="B925" s="16">
        <v>45717</v>
      </c>
      <c r="C925" t="s">
        <v>3</v>
      </c>
      <c r="D925" t="s">
        <v>148</v>
      </c>
      <c r="E925">
        <v>19</v>
      </c>
      <c r="F925">
        <v>16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5</v>
      </c>
      <c r="N925">
        <v>14</v>
      </c>
      <c r="O925">
        <f t="shared" si="28"/>
        <v>2025</v>
      </c>
      <c r="P925">
        <f t="shared" si="29"/>
        <v>3</v>
      </c>
      <c r="Q925" t="str">
        <f>_xlfn.XLOOKUP(B925,全店核心数据_bymonth!A:A,全店核心数据_bymonth!AN:AN)</f>
        <v>BU25</v>
      </c>
    </row>
    <row r="926" spans="1:17" x14ac:dyDescent="0.3">
      <c r="A926" t="s">
        <v>110</v>
      </c>
      <c r="B926" s="16">
        <v>45717</v>
      </c>
      <c r="C926" t="s">
        <v>3</v>
      </c>
      <c r="D926" t="s">
        <v>146</v>
      </c>
      <c r="E926">
        <v>1</v>
      </c>
      <c r="F926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0</v>
      </c>
      <c r="O926">
        <f t="shared" si="28"/>
        <v>2025</v>
      </c>
      <c r="P926">
        <f t="shared" si="29"/>
        <v>3</v>
      </c>
      <c r="Q926" t="str">
        <f>_xlfn.XLOOKUP(B926,全店核心数据_bymonth!A:A,全店核心数据_bymonth!AN:AN)</f>
        <v>BU25</v>
      </c>
    </row>
    <row r="927" spans="1:17" x14ac:dyDescent="0.3">
      <c r="A927" t="s">
        <v>110</v>
      </c>
      <c r="B927" s="16">
        <v>45717</v>
      </c>
      <c r="C927" t="s">
        <v>3</v>
      </c>
      <c r="D927" t="s">
        <v>251</v>
      </c>
      <c r="E927">
        <v>45586</v>
      </c>
      <c r="F927">
        <v>40492</v>
      </c>
      <c r="G927">
        <v>53</v>
      </c>
      <c r="H927">
        <v>79</v>
      </c>
      <c r="I927">
        <v>212010</v>
      </c>
      <c r="J927">
        <v>26</v>
      </c>
      <c r="K927">
        <v>121730</v>
      </c>
      <c r="L927">
        <v>18</v>
      </c>
      <c r="M927">
        <v>904</v>
      </c>
      <c r="N927">
        <v>27829</v>
      </c>
      <c r="O927">
        <f t="shared" si="28"/>
        <v>2025</v>
      </c>
      <c r="P927">
        <f t="shared" si="29"/>
        <v>3</v>
      </c>
      <c r="Q927" t="str">
        <f>_xlfn.XLOOKUP(B927,全店核心数据_bymonth!A:A,全店核心数据_bymonth!AN:AN)</f>
        <v>BU25</v>
      </c>
    </row>
    <row r="928" spans="1:17" x14ac:dyDescent="0.3">
      <c r="A928" t="s">
        <v>110</v>
      </c>
      <c r="B928" s="16">
        <v>45717</v>
      </c>
      <c r="C928" t="s">
        <v>3</v>
      </c>
      <c r="D928" t="s">
        <v>143</v>
      </c>
      <c r="E928">
        <v>571</v>
      </c>
      <c r="F928">
        <v>548</v>
      </c>
      <c r="G928">
        <v>0</v>
      </c>
      <c r="H928">
        <v>2</v>
      </c>
      <c r="I928">
        <v>14500</v>
      </c>
      <c r="J928">
        <v>1</v>
      </c>
      <c r="K928">
        <v>0</v>
      </c>
      <c r="L928">
        <v>0</v>
      </c>
      <c r="M928">
        <v>4</v>
      </c>
      <c r="N928">
        <v>571</v>
      </c>
      <c r="O928">
        <f t="shared" si="28"/>
        <v>2025</v>
      </c>
      <c r="P928">
        <f t="shared" si="29"/>
        <v>3</v>
      </c>
      <c r="Q928" t="str">
        <f>_xlfn.XLOOKUP(B928,全店核心数据_bymonth!A:A,全店核心数据_bymonth!AN:AN)</f>
        <v>BU25</v>
      </c>
    </row>
    <row r="929" spans="1:17" x14ac:dyDescent="0.3">
      <c r="A929" t="s">
        <v>110</v>
      </c>
      <c r="B929" s="16">
        <v>45717</v>
      </c>
      <c r="C929" t="s">
        <v>3</v>
      </c>
      <c r="D929" t="s">
        <v>141</v>
      </c>
      <c r="E929">
        <v>1191</v>
      </c>
      <c r="F929">
        <v>957</v>
      </c>
      <c r="G929">
        <v>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13</v>
      </c>
      <c r="N929">
        <v>1178</v>
      </c>
      <c r="O929">
        <f t="shared" si="28"/>
        <v>2025</v>
      </c>
      <c r="P929">
        <f t="shared" si="29"/>
        <v>3</v>
      </c>
      <c r="Q929" t="str">
        <f>_xlfn.XLOOKUP(B929,全店核心数据_bymonth!A:A,全店核心数据_bymonth!AN:AN)</f>
        <v>BU25</v>
      </c>
    </row>
    <row r="930" spans="1:17" x14ac:dyDescent="0.3">
      <c r="A930" t="s">
        <v>110</v>
      </c>
      <c r="B930" s="16">
        <v>45717</v>
      </c>
      <c r="C930" t="s">
        <v>3</v>
      </c>
      <c r="D930" t="s">
        <v>140</v>
      </c>
      <c r="E930">
        <v>77</v>
      </c>
      <c r="F930">
        <v>67</v>
      </c>
      <c r="G930">
        <v>5</v>
      </c>
      <c r="H930">
        <v>2</v>
      </c>
      <c r="I930">
        <v>51490</v>
      </c>
      <c r="J930">
        <v>3</v>
      </c>
      <c r="K930">
        <v>51490</v>
      </c>
      <c r="L930">
        <v>3</v>
      </c>
      <c r="M930">
        <v>15</v>
      </c>
      <c r="N930">
        <v>63</v>
      </c>
      <c r="O930">
        <f t="shared" si="28"/>
        <v>2025</v>
      </c>
      <c r="P930">
        <f t="shared" si="29"/>
        <v>3</v>
      </c>
      <c r="Q930" t="str">
        <f>_xlfn.XLOOKUP(B930,全店核心数据_bymonth!A:A,全店核心数据_bymonth!AN:AN)</f>
        <v>BU25</v>
      </c>
    </row>
    <row r="931" spans="1:17" x14ac:dyDescent="0.3">
      <c r="A931" t="s">
        <v>110</v>
      </c>
      <c r="B931" s="16">
        <v>45717</v>
      </c>
      <c r="C931" t="s">
        <v>3</v>
      </c>
      <c r="D931" t="s">
        <v>139</v>
      </c>
      <c r="E931">
        <v>8968</v>
      </c>
      <c r="F931">
        <v>7469</v>
      </c>
      <c r="G931">
        <v>149</v>
      </c>
      <c r="H931">
        <v>63</v>
      </c>
      <c r="I931">
        <v>401721.36</v>
      </c>
      <c r="J931">
        <v>49</v>
      </c>
      <c r="K931">
        <v>331036.36</v>
      </c>
      <c r="L931">
        <v>44</v>
      </c>
      <c r="M931">
        <v>3514</v>
      </c>
      <c r="N931">
        <v>4864</v>
      </c>
      <c r="O931">
        <f t="shared" si="28"/>
        <v>2025</v>
      </c>
      <c r="P931">
        <f t="shared" si="29"/>
        <v>3</v>
      </c>
      <c r="Q931" t="str">
        <f>_xlfn.XLOOKUP(B931,全店核心数据_bymonth!A:A,全店核心数据_bymonth!AN:AN)</f>
        <v>BU25</v>
      </c>
    </row>
    <row r="932" spans="1:17" x14ac:dyDescent="0.3">
      <c r="A932" t="s">
        <v>110</v>
      </c>
      <c r="B932" s="16">
        <v>45717</v>
      </c>
      <c r="C932" t="s">
        <v>3</v>
      </c>
      <c r="D932" t="s">
        <v>138</v>
      </c>
      <c r="E932">
        <v>562</v>
      </c>
      <c r="F932">
        <v>324</v>
      </c>
      <c r="G932">
        <v>14</v>
      </c>
      <c r="H932">
        <v>5</v>
      </c>
      <c r="I932">
        <v>42195</v>
      </c>
      <c r="J932">
        <v>3</v>
      </c>
      <c r="K932">
        <v>18295</v>
      </c>
      <c r="L932">
        <v>3</v>
      </c>
      <c r="M932">
        <v>72</v>
      </c>
      <c r="N932">
        <v>545</v>
      </c>
      <c r="O932">
        <f t="shared" si="28"/>
        <v>2025</v>
      </c>
      <c r="P932">
        <f t="shared" si="29"/>
        <v>3</v>
      </c>
      <c r="Q932" t="str">
        <f>_xlfn.XLOOKUP(B932,全店核心数据_bymonth!A:A,全店核心数据_bymonth!AN:AN)</f>
        <v>BU25</v>
      </c>
    </row>
    <row r="933" spans="1:17" x14ac:dyDescent="0.3">
      <c r="A933" t="s">
        <v>110</v>
      </c>
      <c r="B933" s="16">
        <v>45717</v>
      </c>
      <c r="C933" t="s">
        <v>3</v>
      </c>
      <c r="D933" t="s">
        <v>137</v>
      </c>
      <c r="E933">
        <v>45</v>
      </c>
      <c r="F933">
        <v>33</v>
      </c>
      <c r="G933">
        <v>0</v>
      </c>
      <c r="H933">
        <v>0</v>
      </c>
      <c r="I933">
        <v>4645</v>
      </c>
      <c r="J933">
        <v>1</v>
      </c>
      <c r="K933">
        <v>4645</v>
      </c>
      <c r="L933">
        <v>1</v>
      </c>
      <c r="M933">
        <v>2</v>
      </c>
      <c r="N933">
        <v>45</v>
      </c>
      <c r="O933">
        <f t="shared" si="28"/>
        <v>2025</v>
      </c>
      <c r="P933">
        <f t="shared" si="29"/>
        <v>3</v>
      </c>
      <c r="Q933" t="str">
        <f>_xlfn.XLOOKUP(B933,全店核心数据_bymonth!A:A,全店核心数据_bymonth!AN:AN)</f>
        <v>BU25</v>
      </c>
    </row>
    <row r="934" spans="1:17" x14ac:dyDescent="0.3">
      <c r="A934" t="s">
        <v>110</v>
      </c>
      <c r="B934" s="16">
        <v>45717</v>
      </c>
      <c r="C934" t="s">
        <v>3</v>
      </c>
      <c r="D934" t="s">
        <v>135</v>
      </c>
      <c r="E934">
        <v>133</v>
      </c>
      <c r="F934">
        <v>113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12</v>
      </c>
      <c r="O934">
        <f t="shared" si="28"/>
        <v>2025</v>
      </c>
      <c r="P934">
        <f t="shared" si="29"/>
        <v>3</v>
      </c>
      <c r="Q934" t="str">
        <f>_xlfn.XLOOKUP(B934,全店核心数据_bymonth!A:A,全店核心数据_bymonth!AN:AN)</f>
        <v>BU25</v>
      </c>
    </row>
    <row r="935" spans="1:17" x14ac:dyDescent="0.3">
      <c r="A935" t="s">
        <v>110</v>
      </c>
      <c r="B935" s="16">
        <v>45717</v>
      </c>
      <c r="C935" t="s">
        <v>3</v>
      </c>
      <c r="D935" t="s">
        <v>133</v>
      </c>
      <c r="E935">
        <v>231</v>
      </c>
      <c r="F935">
        <v>203</v>
      </c>
      <c r="G935">
        <v>4</v>
      </c>
      <c r="H935">
        <v>1</v>
      </c>
      <c r="I935">
        <v>51795</v>
      </c>
      <c r="J935">
        <v>2</v>
      </c>
      <c r="K935">
        <v>44500</v>
      </c>
      <c r="L935">
        <v>1</v>
      </c>
      <c r="M935">
        <v>71</v>
      </c>
      <c r="N935">
        <v>192</v>
      </c>
      <c r="O935">
        <f t="shared" si="28"/>
        <v>2025</v>
      </c>
      <c r="P935">
        <f t="shared" si="29"/>
        <v>3</v>
      </c>
      <c r="Q935" t="str">
        <f>_xlfn.XLOOKUP(B935,全店核心数据_bymonth!A:A,全店核心数据_bymonth!AN:AN)</f>
        <v>BU25</v>
      </c>
    </row>
    <row r="936" spans="1:17" x14ac:dyDescent="0.3">
      <c r="A936" t="s">
        <v>110</v>
      </c>
      <c r="B936" s="16">
        <v>45717</v>
      </c>
      <c r="C936" t="s">
        <v>3</v>
      </c>
      <c r="D936" t="s">
        <v>130</v>
      </c>
      <c r="E936">
        <v>1738</v>
      </c>
      <c r="F936">
        <v>1270</v>
      </c>
      <c r="G936">
        <v>75</v>
      </c>
      <c r="H936">
        <v>19</v>
      </c>
      <c r="I936">
        <v>359655</v>
      </c>
      <c r="J936">
        <v>40</v>
      </c>
      <c r="K936">
        <v>299665</v>
      </c>
      <c r="L936">
        <v>38</v>
      </c>
      <c r="M936">
        <v>852</v>
      </c>
      <c r="N936">
        <v>1370</v>
      </c>
      <c r="O936">
        <f t="shared" si="28"/>
        <v>2025</v>
      </c>
      <c r="P936">
        <f t="shared" si="29"/>
        <v>3</v>
      </c>
      <c r="Q936" t="str">
        <f>_xlfn.XLOOKUP(B936,全店核心数据_bymonth!A:A,全店核心数据_bymonth!AN:AN)</f>
        <v>BU25</v>
      </c>
    </row>
    <row r="937" spans="1:17" x14ac:dyDescent="0.3">
      <c r="A937" t="s">
        <v>110</v>
      </c>
      <c r="B937" s="16">
        <v>45717</v>
      </c>
      <c r="C937" t="s">
        <v>3</v>
      </c>
      <c r="D937" t="s">
        <v>128</v>
      </c>
      <c r="E937">
        <v>13126</v>
      </c>
      <c r="F937">
        <v>11993</v>
      </c>
      <c r="G937">
        <v>254</v>
      </c>
      <c r="H937">
        <v>138</v>
      </c>
      <c r="I937">
        <v>401250</v>
      </c>
      <c r="J937">
        <v>47</v>
      </c>
      <c r="K937">
        <v>307235</v>
      </c>
      <c r="L937">
        <v>37</v>
      </c>
      <c r="M937">
        <v>7466</v>
      </c>
      <c r="N937">
        <v>7915</v>
      </c>
      <c r="O937">
        <f t="shared" si="28"/>
        <v>2025</v>
      </c>
      <c r="P937">
        <f t="shared" si="29"/>
        <v>3</v>
      </c>
      <c r="Q937" t="str">
        <f>_xlfn.XLOOKUP(B937,全店核心数据_bymonth!A:A,全店核心数据_bymonth!AN:AN)</f>
        <v>BU25</v>
      </c>
    </row>
    <row r="938" spans="1:17" x14ac:dyDescent="0.3">
      <c r="A938" t="s">
        <v>110</v>
      </c>
      <c r="B938" s="16">
        <v>45717</v>
      </c>
      <c r="C938" t="s">
        <v>3</v>
      </c>
      <c r="D938" t="s">
        <v>127</v>
      </c>
      <c r="E938">
        <v>21978</v>
      </c>
      <c r="F938">
        <v>19156</v>
      </c>
      <c r="G938">
        <v>258</v>
      </c>
      <c r="H938">
        <v>167</v>
      </c>
      <c r="I938">
        <v>211320</v>
      </c>
      <c r="J938">
        <v>20</v>
      </c>
      <c r="K938">
        <v>133885</v>
      </c>
      <c r="L938">
        <v>13</v>
      </c>
      <c r="M938">
        <v>1896</v>
      </c>
      <c r="N938">
        <v>17023</v>
      </c>
      <c r="O938">
        <f t="shared" si="28"/>
        <v>2025</v>
      </c>
      <c r="P938">
        <f t="shared" si="29"/>
        <v>3</v>
      </c>
      <c r="Q938" t="str">
        <f>_xlfn.XLOOKUP(B938,全店核心数据_bymonth!A:A,全店核心数据_bymonth!AN:AN)</f>
        <v>BU25</v>
      </c>
    </row>
    <row r="939" spans="1:17" x14ac:dyDescent="0.3">
      <c r="A939" t="s">
        <v>110</v>
      </c>
      <c r="B939" s="16">
        <v>45717</v>
      </c>
      <c r="C939" t="s">
        <v>3</v>
      </c>
      <c r="D939" t="s">
        <v>126</v>
      </c>
      <c r="E939">
        <v>2343</v>
      </c>
      <c r="F939">
        <v>2115</v>
      </c>
      <c r="G939">
        <v>154</v>
      </c>
      <c r="H939">
        <v>104</v>
      </c>
      <c r="I939">
        <v>148600</v>
      </c>
      <c r="J939">
        <v>14</v>
      </c>
      <c r="K939">
        <v>85905</v>
      </c>
      <c r="L939">
        <v>9</v>
      </c>
      <c r="M939">
        <v>399</v>
      </c>
      <c r="N939">
        <v>2251</v>
      </c>
      <c r="O939">
        <f t="shared" si="28"/>
        <v>2025</v>
      </c>
      <c r="P939">
        <f t="shared" si="29"/>
        <v>3</v>
      </c>
      <c r="Q939" t="str">
        <f>_xlfn.XLOOKUP(B939,全店核心数据_bymonth!A:A,全店核心数据_bymonth!AN:AN)</f>
        <v>BU25</v>
      </c>
    </row>
    <row r="940" spans="1:17" x14ac:dyDescent="0.3">
      <c r="A940" t="s">
        <v>110</v>
      </c>
      <c r="B940" s="16">
        <v>45717</v>
      </c>
      <c r="C940" t="s">
        <v>3</v>
      </c>
      <c r="D940" t="s">
        <v>368</v>
      </c>
      <c r="E940">
        <v>1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1</v>
      </c>
      <c r="O940">
        <f t="shared" si="28"/>
        <v>2025</v>
      </c>
      <c r="P940">
        <f t="shared" si="29"/>
        <v>3</v>
      </c>
      <c r="Q940" t="str">
        <f>_xlfn.XLOOKUP(B940,全店核心数据_bymonth!A:A,全店核心数据_bymonth!AN:AN)</f>
        <v>BU25</v>
      </c>
    </row>
    <row r="941" spans="1:17" x14ac:dyDescent="0.3">
      <c r="A941" t="s">
        <v>110</v>
      </c>
      <c r="B941" s="16">
        <v>45717</v>
      </c>
      <c r="C941" t="s">
        <v>3</v>
      </c>
      <c r="D941" t="s">
        <v>125</v>
      </c>
      <c r="E941">
        <v>19</v>
      </c>
      <c r="F941">
        <v>12</v>
      </c>
      <c r="G941">
        <v>1</v>
      </c>
      <c r="H941">
        <v>0</v>
      </c>
      <c r="I941">
        <v>6900</v>
      </c>
      <c r="J941">
        <v>1</v>
      </c>
      <c r="K941">
        <v>6900</v>
      </c>
      <c r="L941">
        <v>1</v>
      </c>
      <c r="M941">
        <v>6</v>
      </c>
      <c r="N941">
        <v>18</v>
      </c>
      <c r="O941">
        <f t="shared" si="28"/>
        <v>2025</v>
      </c>
      <c r="P941">
        <f t="shared" si="29"/>
        <v>3</v>
      </c>
      <c r="Q941" t="str">
        <f>_xlfn.XLOOKUP(B941,全店核心数据_bymonth!A:A,全店核心数据_bymonth!AN:AN)</f>
        <v>BU25</v>
      </c>
    </row>
    <row r="942" spans="1:17" x14ac:dyDescent="0.3">
      <c r="A942" t="s">
        <v>110</v>
      </c>
      <c r="B942" s="16">
        <v>45717</v>
      </c>
      <c r="C942" t="s">
        <v>3</v>
      </c>
      <c r="D942" t="s">
        <v>124</v>
      </c>
      <c r="E942">
        <v>1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0</v>
      </c>
      <c r="O942">
        <f t="shared" si="28"/>
        <v>2025</v>
      </c>
      <c r="P942">
        <f t="shared" si="29"/>
        <v>3</v>
      </c>
      <c r="Q942" t="str">
        <f>_xlfn.XLOOKUP(B942,全店核心数据_bymonth!A:A,全店核心数据_bymonth!AN:AN)</f>
        <v>BU25</v>
      </c>
    </row>
    <row r="943" spans="1:17" x14ac:dyDescent="0.3">
      <c r="A943" t="s">
        <v>110</v>
      </c>
      <c r="B943" s="16">
        <v>45717</v>
      </c>
      <c r="C943" t="s">
        <v>3</v>
      </c>
      <c r="D943" t="s">
        <v>123</v>
      </c>
      <c r="E943">
        <v>1834</v>
      </c>
      <c r="F943">
        <v>1204</v>
      </c>
      <c r="G943">
        <v>65</v>
      </c>
      <c r="H943">
        <v>27</v>
      </c>
      <c r="I943">
        <v>39375</v>
      </c>
      <c r="J943">
        <v>6</v>
      </c>
      <c r="K943">
        <v>24175</v>
      </c>
      <c r="L943">
        <v>5</v>
      </c>
      <c r="M943">
        <v>780</v>
      </c>
      <c r="N943">
        <v>1485</v>
      </c>
      <c r="O943">
        <f t="shared" si="28"/>
        <v>2025</v>
      </c>
      <c r="P943">
        <f t="shared" si="29"/>
        <v>3</v>
      </c>
      <c r="Q943" t="str">
        <f>_xlfn.XLOOKUP(B943,全店核心数据_bymonth!A:A,全店核心数据_bymonth!AN:AN)</f>
        <v>BU25</v>
      </c>
    </row>
    <row r="944" spans="1:17" x14ac:dyDescent="0.3">
      <c r="A944" t="s">
        <v>110</v>
      </c>
      <c r="B944" s="16">
        <v>45717</v>
      </c>
      <c r="C944" t="s">
        <v>3</v>
      </c>
      <c r="D944" t="s">
        <v>122</v>
      </c>
      <c r="E944">
        <v>21</v>
      </c>
      <c r="F944">
        <v>13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17</v>
      </c>
      <c r="O944">
        <f t="shared" si="28"/>
        <v>2025</v>
      </c>
      <c r="P944">
        <f t="shared" si="29"/>
        <v>3</v>
      </c>
      <c r="Q944" t="str">
        <f>_xlfn.XLOOKUP(B944,全店核心数据_bymonth!A:A,全店核心数据_bymonth!AN:AN)</f>
        <v>BU25</v>
      </c>
    </row>
    <row r="945" spans="1:17" x14ac:dyDescent="0.3">
      <c r="A945" t="s">
        <v>110</v>
      </c>
      <c r="B945" s="16">
        <v>45717</v>
      </c>
      <c r="C945" t="s">
        <v>3</v>
      </c>
      <c r="D945" t="s">
        <v>121</v>
      </c>
      <c r="E945">
        <v>32</v>
      </c>
      <c r="F945">
        <v>32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4</v>
      </c>
      <c r="N945">
        <v>29</v>
      </c>
      <c r="O945">
        <f t="shared" si="28"/>
        <v>2025</v>
      </c>
      <c r="P945">
        <f t="shared" si="29"/>
        <v>3</v>
      </c>
      <c r="Q945" t="str">
        <f>_xlfn.XLOOKUP(B945,全店核心数据_bymonth!A:A,全店核心数据_bymonth!AN:AN)</f>
        <v>BU25</v>
      </c>
    </row>
    <row r="946" spans="1:17" x14ac:dyDescent="0.3">
      <c r="A946" t="s">
        <v>110</v>
      </c>
      <c r="B946" s="16">
        <v>45717</v>
      </c>
      <c r="C946" t="s">
        <v>3</v>
      </c>
      <c r="D946" t="s">
        <v>119</v>
      </c>
      <c r="E946">
        <v>1791</v>
      </c>
      <c r="F946">
        <v>1164</v>
      </c>
      <c r="G946">
        <v>77</v>
      </c>
      <c r="H946">
        <v>64</v>
      </c>
      <c r="I946">
        <v>431810</v>
      </c>
      <c r="J946">
        <v>44</v>
      </c>
      <c r="K946">
        <v>335110</v>
      </c>
      <c r="L946">
        <v>38</v>
      </c>
      <c r="M946">
        <v>403</v>
      </c>
      <c r="N946">
        <v>1709</v>
      </c>
      <c r="O946">
        <f t="shared" si="28"/>
        <v>2025</v>
      </c>
      <c r="P946">
        <f t="shared" si="29"/>
        <v>3</v>
      </c>
      <c r="Q946" t="str">
        <f>_xlfn.XLOOKUP(B946,全店核心数据_bymonth!A:A,全店核心数据_bymonth!AN:AN)</f>
        <v>BU25</v>
      </c>
    </row>
    <row r="947" spans="1:17" x14ac:dyDescent="0.3">
      <c r="A947" t="s">
        <v>110</v>
      </c>
      <c r="B947" s="16">
        <v>45717</v>
      </c>
      <c r="C947" t="s">
        <v>3</v>
      </c>
      <c r="D947" t="s">
        <v>252</v>
      </c>
      <c r="E947">
        <v>527</v>
      </c>
      <c r="F947">
        <v>506</v>
      </c>
      <c r="G947">
        <v>4</v>
      </c>
      <c r="H947">
        <v>1</v>
      </c>
      <c r="I947">
        <v>21950</v>
      </c>
      <c r="J947">
        <v>1</v>
      </c>
      <c r="K947">
        <v>0</v>
      </c>
      <c r="L947">
        <v>0</v>
      </c>
      <c r="M947">
        <v>19</v>
      </c>
      <c r="N947">
        <v>527</v>
      </c>
      <c r="O947">
        <f t="shared" si="28"/>
        <v>2025</v>
      </c>
      <c r="P947">
        <f t="shared" si="29"/>
        <v>3</v>
      </c>
      <c r="Q947" t="str">
        <f>_xlfn.XLOOKUP(B947,全店核心数据_bymonth!A:A,全店核心数据_bymonth!AN:AN)</f>
        <v>BU25</v>
      </c>
    </row>
    <row r="948" spans="1:17" x14ac:dyDescent="0.3">
      <c r="A948" t="s">
        <v>110</v>
      </c>
      <c r="B948" s="16">
        <v>45717</v>
      </c>
      <c r="C948" t="s">
        <v>3</v>
      </c>
      <c r="D948" t="s">
        <v>117</v>
      </c>
      <c r="E948">
        <v>2</v>
      </c>
      <c r="F948">
        <v>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2</v>
      </c>
      <c r="O948">
        <f t="shared" si="28"/>
        <v>2025</v>
      </c>
      <c r="P948">
        <f t="shared" si="29"/>
        <v>3</v>
      </c>
      <c r="Q948" t="str">
        <f>_xlfn.XLOOKUP(B948,全店核心数据_bymonth!A:A,全店核心数据_bymonth!AN:AN)</f>
        <v>BU25</v>
      </c>
    </row>
    <row r="949" spans="1:17" x14ac:dyDescent="0.3">
      <c r="A949" t="s">
        <v>110</v>
      </c>
      <c r="B949" s="16">
        <v>45717</v>
      </c>
      <c r="C949" t="s">
        <v>3</v>
      </c>
      <c r="D949" t="s">
        <v>391</v>
      </c>
      <c r="E949">
        <v>5560</v>
      </c>
      <c r="F949">
        <v>5170</v>
      </c>
      <c r="G949">
        <v>102</v>
      </c>
      <c r="H949">
        <v>28</v>
      </c>
      <c r="I949">
        <v>85970</v>
      </c>
      <c r="J949">
        <v>12</v>
      </c>
      <c r="K949">
        <v>79470</v>
      </c>
      <c r="L949">
        <v>11</v>
      </c>
      <c r="M949">
        <v>896</v>
      </c>
      <c r="N949">
        <v>5429</v>
      </c>
      <c r="O949">
        <f t="shared" si="28"/>
        <v>2025</v>
      </c>
      <c r="P949">
        <f t="shared" si="29"/>
        <v>3</v>
      </c>
      <c r="Q949" t="str">
        <f>_xlfn.XLOOKUP(B949,全店核心数据_bymonth!A:A,全店核心数据_bymonth!AN:AN)</f>
        <v>BU25</v>
      </c>
    </row>
    <row r="950" spans="1:17" x14ac:dyDescent="0.3">
      <c r="A950" t="s">
        <v>110</v>
      </c>
      <c r="B950" s="16">
        <v>45717</v>
      </c>
      <c r="C950" t="s">
        <v>3</v>
      </c>
      <c r="D950" t="s">
        <v>113</v>
      </c>
      <c r="E950">
        <v>1600</v>
      </c>
      <c r="F950">
        <v>1337</v>
      </c>
      <c r="G950">
        <v>31</v>
      </c>
      <c r="H950">
        <v>12</v>
      </c>
      <c r="I950">
        <v>12790</v>
      </c>
      <c r="J950">
        <v>2</v>
      </c>
      <c r="K950">
        <v>12790</v>
      </c>
      <c r="L950">
        <v>2</v>
      </c>
      <c r="M950">
        <v>1367</v>
      </c>
      <c r="N950">
        <v>817</v>
      </c>
      <c r="O950">
        <f t="shared" si="28"/>
        <v>2025</v>
      </c>
      <c r="P950">
        <f t="shared" si="29"/>
        <v>3</v>
      </c>
      <c r="Q950" t="str">
        <f>_xlfn.XLOOKUP(B950,全店核心数据_bymonth!A:A,全店核心数据_bymonth!AN:AN)</f>
        <v>BU25</v>
      </c>
    </row>
    <row r="951" spans="1:17" x14ac:dyDescent="0.3">
      <c r="A951" t="s">
        <v>110</v>
      </c>
      <c r="B951" s="16">
        <v>45717</v>
      </c>
      <c r="C951" t="s">
        <v>3</v>
      </c>
      <c r="D951" t="s">
        <v>112</v>
      </c>
      <c r="E951">
        <v>552</v>
      </c>
      <c r="F951">
        <v>225</v>
      </c>
      <c r="G951">
        <v>4</v>
      </c>
      <c r="H951">
        <v>3</v>
      </c>
      <c r="I951">
        <v>29070</v>
      </c>
      <c r="J951">
        <v>5</v>
      </c>
      <c r="K951">
        <v>21775</v>
      </c>
      <c r="L951">
        <v>4</v>
      </c>
      <c r="M951">
        <v>2</v>
      </c>
      <c r="N951">
        <v>552</v>
      </c>
      <c r="O951">
        <f t="shared" si="28"/>
        <v>2025</v>
      </c>
      <c r="P951">
        <f t="shared" si="29"/>
        <v>3</v>
      </c>
      <c r="Q951" t="str">
        <f>_xlfn.XLOOKUP(B951,全店核心数据_bymonth!A:A,全店核心数据_bymonth!AN:AN)</f>
        <v>BU25</v>
      </c>
    </row>
    <row r="952" spans="1:17" x14ac:dyDescent="0.3">
      <c r="A952" t="s">
        <v>110</v>
      </c>
      <c r="B952" s="16">
        <v>45717</v>
      </c>
      <c r="C952" t="s">
        <v>3</v>
      </c>
      <c r="D952" t="s">
        <v>111</v>
      </c>
      <c r="E952">
        <v>2</v>
      </c>
      <c r="F952">
        <v>1</v>
      </c>
      <c r="G952">
        <v>0</v>
      </c>
      <c r="H952">
        <v>0</v>
      </c>
      <c r="I952">
        <v>4645</v>
      </c>
      <c r="J952">
        <v>1</v>
      </c>
      <c r="K952">
        <v>4645</v>
      </c>
      <c r="L952">
        <v>1</v>
      </c>
      <c r="M952">
        <v>1</v>
      </c>
      <c r="N952">
        <v>1</v>
      </c>
      <c r="O952">
        <f t="shared" si="28"/>
        <v>2025</v>
      </c>
      <c r="P952">
        <f t="shared" si="29"/>
        <v>3</v>
      </c>
      <c r="Q952" t="str">
        <f>_xlfn.XLOOKUP(B952,全店核心数据_bymonth!A:A,全店核心数据_bymonth!AN:AN)</f>
        <v>BU25</v>
      </c>
    </row>
    <row r="953" spans="1:17" x14ac:dyDescent="0.3">
      <c r="A953" t="s">
        <v>110</v>
      </c>
      <c r="B953" s="16">
        <v>45352</v>
      </c>
      <c r="C953" t="s">
        <v>2</v>
      </c>
      <c r="D953" t="s">
        <v>4</v>
      </c>
      <c r="E953">
        <v>3775</v>
      </c>
      <c r="F953">
        <v>2006</v>
      </c>
      <c r="G953">
        <v>13</v>
      </c>
      <c r="H953">
        <v>6</v>
      </c>
      <c r="I953">
        <v>37295</v>
      </c>
      <c r="J953">
        <v>9</v>
      </c>
      <c r="K953">
        <v>37295</v>
      </c>
      <c r="L953">
        <v>9</v>
      </c>
      <c r="N953">
        <v>3562</v>
      </c>
      <c r="O953">
        <f t="shared" si="28"/>
        <v>2024</v>
      </c>
      <c r="P953">
        <f t="shared" si="29"/>
        <v>3</v>
      </c>
      <c r="Q953" t="str">
        <f>_xlfn.XLOOKUP(B953,全店核心数据_bymonth!A:A,全店核心数据_bymonth!AN:AN)</f>
        <v>BU24</v>
      </c>
    </row>
    <row r="954" spans="1:17" x14ac:dyDescent="0.3">
      <c r="A954" t="s">
        <v>110</v>
      </c>
      <c r="B954" s="16">
        <v>45352</v>
      </c>
      <c r="C954" t="s">
        <v>2</v>
      </c>
      <c r="D954" t="s">
        <v>57</v>
      </c>
      <c r="E954">
        <v>121305</v>
      </c>
      <c r="F954">
        <v>115979</v>
      </c>
      <c r="G954">
        <v>1068</v>
      </c>
      <c r="H954">
        <v>795</v>
      </c>
      <c r="I954">
        <v>766336.67</v>
      </c>
      <c r="J954">
        <v>107</v>
      </c>
      <c r="K954">
        <v>443406.67</v>
      </c>
      <c r="L954">
        <v>73</v>
      </c>
      <c r="N954">
        <v>120893</v>
      </c>
      <c r="O954">
        <f t="shared" si="28"/>
        <v>2024</v>
      </c>
      <c r="P954">
        <f t="shared" si="29"/>
        <v>3</v>
      </c>
      <c r="Q954" t="str">
        <f>_xlfn.XLOOKUP(B954,全店核心数据_bymonth!A:A,全店核心数据_bymonth!AN:AN)</f>
        <v>BU24</v>
      </c>
    </row>
    <row r="955" spans="1:17" x14ac:dyDescent="0.3">
      <c r="A955" t="s">
        <v>110</v>
      </c>
      <c r="B955" s="16">
        <v>45352</v>
      </c>
      <c r="C955" t="s">
        <v>2</v>
      </c>
      <c r="D955" t="s">
        <v>52</v>
      </c>
      <c r="E955">
        <v>23672</v>
      </c>
      <c r="F955">
        <v>22929</v>
      </c>
      <c r="G955">
        <v>338</v>
      </c>
      <c r="H955">
        <v>120</v>
      </c>
      <c r="I955">
        <v>426485</v>
      </c>
      <c r="J955">
        <v>49</v>
      </c>
      <c r="K955">
        <v>388805</v>
      </c>
      <c r="L955">
        <v>44</v>
      </c>
      <c r="N955">
        <v>10584</v>
      </c>
      <c r="O955">
        <f t="shared" si="28"/>
        <v>2024</v>
      </c>
      <c r="P955">
        <f t="shared" si="29"/>
        <v>3</v>
      </c>
      <c r="Q955" t="str">
        <f>_xlfn.XLOOKUP(B955,全店核心数据_bymonth!A:A,全店核心数据_bymonth!AN:AN)</f>
        <v>BU24</v>
      </c>
    </row>
    <row r="956" spans="1:17" x14ac:dyDescent="0.3">
      <c r="A956" t="s">
        <v>110</v>
      </c>
      <c r="B956" s="16">
        <v>45352</v>
      </c>
      <c r="C956" t="s">
        <v>2</v>
      </c>
      <c r="D956" t="s">
        <v>55</v>
      </c>
      <c r="E956">
        <v>3</v>
      </c>
      <c r="F956">
        <v>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N956">
        <v>0</v>
      </c>
      <c r="O956">
        <f t="shared" si="28"/>
        <v>2024</v>
      </c>
      <c r="P956">
        <f t="shared" si="29"/>
        <v>3</v>
      </c>
      <c r="Q956" t="str">
        <f>_xlfn.XLOOKUP(B956,全店核心数据_bymonth!A:A,全店核心数据_bymonth!AN:AN)</f>
        <v>BU24</v>
      </c>
    </row>
    <row r="957" spans="1:17" x14ac:dyDescent="0.3">
      <c r="A957" t="s">
        <v>110</v>
      </c>
      <c r="B957" s="16">
        <v>45352</v>
      </c>
      <c r="C957" t="s">
        <v>3</v>
      </c>
      <c r="D957" t="s">
        <v>156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N957">
        <v>0</v>
      </c>
      <c r="O957">
        <f t="shared" si="28"/>
        <v>2024</v>
      </c>
      <c r="P957">
        <f t="shared" si="29"/>
        <v>3</v>
      </c>
      <c r="Q957" t="str">
        <f>_xlfn.XLOOKUP(B957,全店核心数据_bymonth!A:A,全店核心数据_bymonth!AN:AN)</f>
        <v>BU24</v>
      </c>
    </row>
    <row r="958" spans="1:17" x14ac:dyDescent="0.3">
      <c r="A958" t="s">
        <v>110</v>
      </c>
      <c r="B958" s="16">
        <v>45352</v>
      </c>
      <c r="C958" t="s">
        <v>3</v>
      </c>
      <c r="D958" t="s">
        <v>155</v>
      </c>
      <c r="E958">
        <v>103</v>
      </c>
      <c r="F958">
        <v>86</v>
      </c>
      <c r="G958">
        <v>0</v>
      </c>
      <c r="H958">
        <v>2</v>
      </c>
      <c r="I958">
        <v>0</v>
      </c>
      <c r="J958">
        <v>0</v>
      </c>
      <c r="K958">
        <v>0</v>
      </c>
      <c r="L958">
        <v>0</v>
      </c>
      <c r="N958">
        <v>103</v>
      </c>
      <c r="O958">
        <f t="shared" si="28"/>
        <v>2024</v>
      </c>
      <c r="P958">
        <f t="shared" si="29"/>
        <v>3</v>
      </c>
      <c r="Q958" t="str">
        <f>_xlfn.XLOOKUP(B958,全店核心数据_bymonth!A:A,全店核心数据_bymonth!AN:AN)</f>
        <v>BU24</v>
      </c>
    </row>
    <row r="959" spans="1:17" x14ac:dyDescent="0.3">
      <c r="A959" t="s">
        <v>110</v>
      </c>
      <c r="B959" s="16">
        <v>45352</v>
      </c>
      <c r="C959" t="s">
        <v>3</v>
      </c>
      <c r="D959" t="s">
        <v>154</v>
      </c>
      <c r="E959">
        <v>14</v>
      </c>
      <c r="F959">
        <v>12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N959">
        <v>9</v>
      </c>
      <c r="O959">
        <f t="shared" si="28"/>
        <v>2024</v>
      </c>
      <c r="P959">
        <f t="shared" si="29"/>
        <v>3</v>
      </c>
      <c r="Q959" t="str">
        <f>_xlfn.XLOOKUP(B959,全店核心数据_bymonth!A:A,全店核心数据_bymonth!AN:AN)</f>
        <v>BU24</v>
      </c>
    </row>
    <row r="960" spans="1:17" x14ac:dyDescent="0.3">
      <c r="A960" t="s">
        <v>110</v>
      </c>
      <c r="B960" s="16">
        <v>45352</v>
      </c>
      <c r="C960" t="s">
        <v>3</v>
      </c>
      <c r="D960" t="s">
        <v>153</v>
      </c>
      <c r="E960">
        <v>2106</v>
      </c>
      <c r="F960">
        <v>1335</v>
      </c>
      <c r="G960">
        <v>149</v>
      </c>
      <c r="H960">
        <v>24</v>
      </c>
      <c r="I960">
        <v>543441.47</v>
      </c>
      <c r="J960">
        <v>92</v>
      </c>
      <c r="K960">
        <v>524706.47</v>
      </c>
      <c r="L960">
        <v>90</v>
      </c>
      <c r="N960">
        <v>2010</v>
      </c>
      <c r="O960">
        <f t="shared" si="28"/>
        <v>2024</v>
      </c>
      <c r="P960">
        <f t="shared" si="29"/>
        <v>3</v>
      </c>
      <c r="Q960" t="str">
        <f>_xlfn.XLOOKUP(B960,全店核心数据_bymonth!A:A,全店核心数据_bymonth!AN:AN)</f>
        <v>BU24</v>
      </c>
    </row>
    <row r="961" spans="1:17" x14ac:dyDescent="0.3">
      <c r="A961" t="s">
        <v>110</v>
      </c>
      <c r="B961" s="16">
        <v>45352</v>
      </c>
      <c r="C961" t="s">
        <v>3</v>
      </c>
      <c r="D961" t="s">
        <v>152</v>
      </c>
      <c r="E961">
        <v>12</v>
      </c>
      <c r="F961">
        <v>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N961">
        <v>12</v>
      </c>
      <c r="O961">
        <f t="shared" si="28"/>
        <v>2024</v>
      </c>
      <c r="P961">
        <f t="shared" si="29"/>
        <v>3</v>
      </c>
      <c r="Q961" t="str">
        <f>_xlfn.XLOOKUP(B961,全店核心数据_bymonth!A:A,全店核心数据_bymonth!AN:AN)</f>
        <v>BU24</v>
      </c>
    </row>
    <row r="962" spans="1:17" x14ac:dyDescent="0.3">
      <c r="A962" t="s">
        <v>110</v>
      </c>
      <c r="B962" s="16">
        <v>45352</v>
      </c>
      <c r="C962" t="s">
        <v>3</v>
      </c>
      <c r="D962" t="s">
        <v>151</v>
      </c>
      <c r="E962">
        <v>6</v>
      </c>
      <c r="F962">
        <v>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N962">
        <v>6</v>
      </c>
      <c r="O962">
        <f t="shared" ref="O962:O1025" si="30">YEAR(B962)</f>
        <v>2024</v>
      </c>
      <c r="P962">
        <f t="shared" ref="P962:P1025" si="31">MONTH(B962)</f>
        <v>3</v>
      </c>
      <c r="Q962" t="str">
        <f>_xlfn.XLOOKUP(B962,全店核心数据_bymonth!A:A,全店核心数据_bymonth!AN:AN)</f>
        <v>BU24</v>
      </c>
    </row>
    <row r="963" spans="1:17" x14ac:dyDescent="0.3">
      <c r="A963" t="s">
        <v>110</v>
      </c>
      <c r="B963" s="16">
        <v>45352</v>
      </c>
      <c r="C963" t="s">
        <v>3</v>
      </c>
      <c r="D963" t="s">
        <v>149</v>
      </c>
      <c r="E963">
        <v>133</v>
      </c>
      <c r="F963">
        <v>95</v>
      </c>
      <c r="G963">
        <v>4</v>
      </c>
      <c r="H963">
        <v>1</v>
      </c>
      <c r="I963">
        <v>8990</v>
      </c>
      <c r="J963">
        <v>1</v>
      </c>
      <c r="K963">
        <v>4495</v>
      </c>
      <c r="L963">
        <v>1</v>
      </c>
      <c r="N963">
        <v>124</v>
      </c>
      <c r="O963">
        <f t="shared" si="30"/>
        <v>2024</v>
      </c>
      <c r="P963">
        <f t="shared" si="31"/>
        <v>3</v>
      </c>
      <c r="Q963" t="str">
        <f>_xlfn.XLOOKUP(B963,全店核心数据_bymonth!A:A,全店核心数据_bymonth!AN:AN)</f>
        <v>BU24</v>
      </c>
    </row>
    <row r="964" spans="1:17" x14ac:dyDescent="0.3">
      <c r="A964" t="s">
        <v>110</v>
      </c>
      <c r="B964" s="16">
        <v>45352</v>
      </c>
      <c r="C964" t="s">
        <v>3</v>
      </c>
      <c r="D964" t="s">
        <v>148</v>
      </c>
      <c r="E964">
        <v>293</v>
      </c>
      <c r="F964">
        <v>162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N964">
        <v>293</v>
      </c>
      <c r="O964">
        <f t="shared" si="30"/>
        <v>2024</v>
      </c>
      <c r="P964">
        <f t="shared" si="31"/>
        <v>3</v>
      </c>
      <c r="Q964" t="str">
        <f>_xlfn.XLOOKUP(B964,全店核心数据_bymonth!A:A,全店核心数据_bymonth!AN:AN)</f>
        <v>BU24</v>
      </c>
    </row>
    <row r="965" spans="1:17" x14ac:dyDescent="0.3">
      <c r="A965" t="s">
        <v>110</v>
      </c>
      <c r="B965" s="16">
        <v>45352</v>
      </c>
      <c r="C965" t="s">
        <v>3</v>
      </c>
      <c r="D965" t="s">
        <v>251</v>
      </c>
      <c r="E965">
        <v>2825</v>
      </c>
      <c r="F965">
        <v>2172</v>
      </c>
      <c r="G965">
        <v>17</v>
      </c>
      <c r="H965">
        <v>42</v>
      </c>
      <c r="I965">
        <v>55710</v>
      </c>
      <c r="J965">
        <v>8</v>
      </c>
      <c r="K965">
        <v>37130</v>
      </c>
      <c r="L965">
        <v>6</v>
      </c>
      <c r="N965">
        <v>2471</v>
      </c>
      <c r="O965">
        <f t="shared" si="30"/>
        <v>2024</v>
      </c>
      <c r="P965">
        <f t="shared" si="31"/>
        <v>3</v>
      </c>
      <c r="Q965" t="str">
        <f>_xlfn.XLOOKUP(B965,全店核心数据_bymonth!A:A,全店核心数据_bymonth!AN:AN)</f>
        <v>BU24</v>
      </c>
    </row>
    <row r="966" spans="1:17" x14ac:dyDescent="0.3">
      <c r="A966" t="s">
        <v>110</v>
      </c>
      <c r="B966" s="16">
        <v>45352</v>
      </c>
      <c r="C966" t="s">
        <v>3</v>
      </c>
      <c r="D966" t="s">
        <v>143</v>
      </c>
      <c r="E966">
        <v>234</v>
      </c>
      <c r="F966">
        <v>218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N966">
        <v>233</v>
      </c>
      <c r="O966">
        <f t="shared" si="30"/>
        <v>2024</v>
      </c>
      <c r="P966">
        <f t="shared" si="31"/>
        <v>3</v>
      </c>
      <c r="Q966" t="str">
        <f>_xlfn.XLOOKUP(B966,全店核心数据_bymonth!A:A,全店核心数据_bymonth!AN:AN)</f>
        <v>BU24</v>
      </c>
    </row>
    <row r="967" spans="1:17" x14ac:dyDescent="0.3">
      <c r="A967" t="s">
        <v>110</v>
      </c>
      <c r="B967" s="16">
        <v>45352</v>
      </c>
      <c r="C967" t="s">
        <v>3</v>
      </c>
      <c r="D967" t="s">
        <v>142</v>
      </c>
      <c r="E967">
        <v>34</v>
      </c>
      <c r="F967">
        <v>14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N967">
        <v>34</v>
      </c>
      <c r="O967">
        <f t="shared" si="30"/>
        <v>2024</v>
      </c>
      <c r="P967">
        <f t="shared" si="31"/>
        <v>3</v>
      </c>
      <c r="Q967" t="str">
        <f>_xlfn.XLOOKUP(B967,全店核心数据_bymonth!A:A,全店核心数据_bymonth!AN:AN)</f>
        <v>BU24</v>
      </c>
    </row>
    <row r="968" spans="1:17" x14ac:dyDescent="0.3">
      <c r="A968" t="s">
        <v>110</v>
      </c>
      <c r="B968" s="16">
        <v>45352</v>
      </c>
      <c r="C968" t="s">
        <v>3</v>
      </c>
      <c r="D968" t="s">
        <v>141</v>
      </c>
      <c r="E968">
        <v>24</v>
      </c>
      <c r="F968">
        <v>22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N968">
        <v>20</v>
      </c>
      <c r="O968">
        <f t="shared" si="30"/>
        <v>2024</v>
      </c>
      <c r="P968">
        <f t="shared" si="31"/>
        <v>3</v>
      </c>
      <c r="Q968" t="str">
        <f>_xlfn.XLOOKUP(B968,全店核心数据_bymonth!A:A,全店核心数据_bymonth!AN:AN)</f>
        <v>BU24</v>
      </c>
    </row>
    <row r="969" spans="1:17" x14ac:dyDescent="0.3">
      <c r="A969" t="s">
        <v>110</v>
      </c>
      <c r="B969" s="16">
        <v>45352</v>
      </c>
      <c r="C969" t="s">
        <v>3</v>
      </c>
      <c r="D969" t="s">
        <v>140</v>
      </c>
      <c r="E969">
        <v>88</v>
      </c>
      <c r="F969">
        <v>76</v>
      </c>
      <c r="G969">
        <v>8</v>
      </c>
      <c r="H969">
        <v>3</v>
      </c>
      <c r="I969">
        <v>8990</v>
      </c>
      <c r="J969">
        <v>2</v>
      </c>
      <c r="K969">
        <v>4495</v>
      </c>
      <c r="L969">
        <v>1</v>
      </c>
      <c r="N969">
        <v>84</v>
      </c>
      <c r="O969">
        <f t="shared" si="30"/>
        <v>2024</v>
      </c>
      <c r="P969">
        <f t="shared" si="31"/>
        <v>3</v>
      </c>
      <c r="Q969" t="str">
        <f>_xlfn.XLOOKUP(B969,全店核心数据_bymonth!A:A,全店核心数据_bymonth!AN:AN)</f>
        <v>BU24</v>
      </c>
    </row>
    <row r="970" spans="1:17" x14ac:dyDescent="0.3">
      <c r="A970" t="s">
        <v>110</v>
      </c>
      <c r="B970" s="16">
        <v>45352</v>
      </c>
      <c r="C970" t="s">
        <v>3</v>
      </c>
      <c r="D970" t="s">
        <v>139</v>
      </c>
      <c r="E970">
        <v>6277</v>
      </c>
      <c r="F970">
        <v>4675</v>
      </c>
      <c r="G970">
        <v>151</v>
      </c>
      <c r="H970">
        <v>58</v>
      </c>
      <c r="I970">
        <v>474330</v>
      </c>
      <c r="J970">
        <v>55</v>
      </c>
      <c r="K970">
        <v>322310</v>
      </c>
      <c r="L970">
        <v>45</v>
      </c>
      <c r="N970">
        <v>3740</v>
      </c>
      <c r="O970">
        <f t="shared" si="30"/>
        <v>2024</v>
      </c>
      <c r="P970">
        <f t="shared" si="31"/>
        <v>3</v>
      </c>
      <c r="Q970" t="str">
        <f>_xlfn.XLOOKUP(B970,全店核心数据_bymonth!A:A,全店核心数据_bymonth!AN:AN)</f>
        <v>BU24</v>
      </c>
    </row>
    <row r="971" spans="1:17" x14ac:dyDescent="0.3">
      <c r="A971" t="s">
        <v>110</v>
      </c>
      <c r="B971" s="16">
        <v>45352</v>
      </c>
      <c r="C971" t="s">
        <v>3</v>
      </c>
      <c r="D971" t="s">
        <v>138</v>
      </c>
      <c r="E971">
        <v>1082</v>
      </c>
      <c r="F971">
        <v>746</v>
      </c>
      <c r="G971">
        <v>22</v>
      </c>
      <c r="H971">
        <v>12</v>
      </c>
      <c r="I971">
        <v>35790</v>
      </c>
      <c r="J971">
        <v>4</v>
      </c>
      <c r="K971">
        <v>35790</v>
      </c>
      <c r="L971">
        <v>4</v>
      </c>
      <c r="N971">
        <v>1072</v>
      </c>
      <c r="O971">
        <f t="shared" si="30"/>
        <v>2024</v>
      </c>
      <c r="P971">
        <f t="shared" si="31"/>
        <v>3</v>
      </c>
      <c r="Q971" t="str">
        <f>_xlfn.XLOOKUP(B971,全店核心数据_bymonth!A:A,全店核心数据_bymonth!AN:AN)</f>
        <v>BU24</v>
      </c>
    </row>
    <row r="972" spans="1:17" x14ac:dyDescent="0.3">
      <c r="A972" t="s">
        <v>110</v>
      </c>
      <c r="B972" s="16">
        <v>45352</v>
      </c>
      <c r="C972" t="s">
        <v>3</v>
      </c>
      <c r="D972" t="s">
        <v>137</v>
      </c>
      <c r="E972">
        <v>30</v>
      </c>
      <c r="F972">
        <v>18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N972">
        <v>30</v>
      </c>
      <c r="O972">
        <f t="shared" si="30"/>
        <v>2024</v>
      </c>
      <c r="P972">
        <f t="shared" si="31"/>
        <v>3</v>
      </c>
      <c r="Q972" t="str">
        <f>_xlfn.XLOOKUP(B972,全店核心数据_bymonth!A:A,全店核心数据_bymonth!AN:AN)</f>
        <v>BU24</v>
      </c>
    </row>
    <row r="973" spans="1:17" x14ac:dyDescent="0.3">
      <c r="A973" t="s">
        <v>110</v>
      </c>
      <c r="B973" s="16">
        <v>45352</v>
      </c>
      <c r="C973" t="s">
        <v>3</v>
      </c>
      <c r="D973" t="s">
        <v>135</v>
      </c>
      <c r="E973">
        <v>4</v>
      </c>
      <c r="F973">
        <v>2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N973">
        <v>4</v>
      </c>
      <c r="O973">
        <f t="shared" si="30"/>
        <v>2024</v>
      </c>
      <c r="P973">
        <f t="shared" si="31"/>
        <v>3</v>
      </c>
      <c r="Q973" t="str">
        <f>_xlfn.XLOOKUP(B973,全店核心数据_bymonth!A:A,全店核心数据_bymonth!AN:AN)</f>
        <v>BU24</v>
      </c>
    </row>
    <row r="974" spans="1:17" x14ac:dyDescent="0.3">
      <c r="A974" t="s">
        <v>110</v>
      </c>
      <c r="B974" s="16">
        <v>45352</v>
      </c>
      <c r="C974" t="s">
        <v>3</v>
      </c>
      <c r="D974" t="s">
        <v>133</v>
      </c>
      <c r="E974">
        <v>129</v>
      </c>
      <c r="F974">
        <v>99</v>
      </c>
      <c r="G974">
        <v>3</v>
      </c>
      <c r="H974">
        <v>2</v>
      </c>
      <c r="I974">
        <v>33850</v>
      </c>
      <c r="J974">
        <v>1</v>
      </c>
      <c r="K974">
        <v>33850</v>
      </c>
      <c r="L974">
        <v>1</v>
      </c>
      <c r="N974">
        <v>93</v>
      </c>
      <c r="O974">
        <f t="shared" si="30"/>
        <v>2024</v>
      </c>
      <c r="P974">
        <f t="shared" si="31"/>
        <v>3</v>
      </c>
      <c r="Q974" t="str">
        <f>_xlfn.XLOOKUP(B974,全店核心数据_bymonth!A:A,全店核心数据_bymonth!AN:AN)</f>
        <v>BU24</v>
      </c>
    </row>
    <row r="975" spans="1:17" x14ac:dyDescent="0.3">
      <c r="A975" t="s">
        <v>110</v>
      </c>
      <c r="B975" s="16">
        <v>45352</v>
      </c>
      <c r="C975" t="s">
        <v>3</v>
      </c>
      <c r="D975" t="s">
        <v>132</v>
      </c>
      <c r="E975">
        <v>48</v>
      </c>
      <c r="F975">
        <v>43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N975">
        <v>48</v>
      </c>
      <c r="O975">
        <f t="shared" si="30"/>
        <v>2024</v>
      </c>
      <c r="P975">
        <f t="shared" si="31"/>
        <v>3</v>
      </c>
      <c r="Q975" t="str">
        <f>_xlfn.XLOOKUP(B975,全店核心数据_bymonth!A:A,全店核心数据_bymonth!AN:AN)</f>
        <v>BU24</v>
      </c>
    </row>
    <row r="976" spans="1:17" x14ac:dyDescent="0.3">
      <c r="A976" t="s">
        <v>110</v>
      </c>
      <c r="B976" s="16">
        <v>45352</v>
      </c>
      <c r="C976" t="s">
        <v>3</v>
      </c>
      <c r="D976" t="s">
        <v>130</v>
      </c>
      <c r="E976">
        <v>1917</v>
      </c>
      <c r="F976">
        <v>1403</v>
      </c>
      <c r="G976">
        <v>59</v>
      </c>
      <c r="H976">
        <v>21</v>
      </c>
      <c r="I976">
        <v>268278.53000000003</v>
      </c>
      <c r="J976">
        <v>40</v>
      </c>
      <c r="K976">
        <v>242553.53</v>
      </c>
      <c r="L976">
        <v>37</v>
      </c>
      <c r="N976">
        <v>1733</v>
      </c>
      <c r="O976">
        <f t="shared" si="30"/>
        <v>2024</v>
      </c>
      <c r="P976">
        <f t="shared" si="31"/>
        <v>3</v>
      </c>
      <c r="Q976" t="str">
        <f>_xlfn.XLOOKUP(B976,全店核心数据_bymonth!A:A,全店核心数据_bymonth!AN:AN)</f>
        <v>BU24</v>
      </c>
    </row>
    <row r="977" spans="1:17" x14ac:dyDescent="0.3">
      <c r="A977" t="s">
        <v>110</v>
      </c>
      <c r="B977" s="16">
        <v>45352</v>
      </c>
      <c r="C977" t="s">
        <v>3</v>
      </c>
      <c r="D977" t="s">
        <v>129</v>
      </c>
      <c r="E977">
        <v>4</v>
      </c>
      <c r="F977">
        <v>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N977">
        <v>4</v>
      </c>
      <c r="O977">
        <f t="shared" si="30"/>
        <v>2024</v>
      </c>
      <c r="P977">
        <f t="shared" si="31"/>
        <v>3</v>
      </c>
      <c r="Q977" t="str">
        <f>_xlfn.XLOOKUP(B977,全店核心数据_bymonth!A:A,全店核心数据_bymonth!AN:AN)</f>
        <v>BU24</v>
      </c>
    </row>
    <row r="978" spans="1:17" x14ac:dyDescent="0.3">
      <c r="A978" t="s">
        <v>110</v>
      </c>
      <c r="B978" s="16">
        <v>45352</v>
      </c>
      <c r="C978" t="s">
        <v>3</v>
      </c>
      <c r="D978" t="s">
        <v>128</v>
      </c>
      <c r="E978">
        <v>8971</v>
      </c>
      <c r="F978">
        <v>8092</v>
      </c>
      <c r="G978">
        <v>244</v>
      </c>
      <c r="H978">
        <v>121</v>
      </c>
      <c r="I978">
        <v>255775</v>
      </c>
      <c r="J978">
        <v>35</v>
      </c>
      <c r="K978">
        <v>166855</v>
      </c>
      <c r="L978">
        <v>26</v>
      </c>
      <c r="N978">
        <v>7645</v>
      </c>
      <c r="O978">
        <f t="shared" si="30"/>
        <v>2024</v>
      </c>
      <c r="P978">
        <f t="shared" si="31"/>
        <v>3</v>
      </c>
      <c r="Q978" t="str">
        <f>_xlfn.XLOOKUP(B978,全店核心数据_bymonth!A:A,全店核心数据_bymonth!AN:AN)</f>
        <v>BU24</v>
      </c>
    </row>
    <row r="979" spans="1:17" x14ac:dyDescent="0.3">
      <c r="A979" t="s">
        <v>110</v>
      </c>
      <c r="B979" s="16">
        <v>45352</v>
      </c>
      <c r="C979" t="s">
        <v>3</v>
      </c>
      <c r="D979" t="s">
        <v>127</v>
      </c>
      <c r="E979">
        <v>6262</v>
      </c>
      <c r="F979">
        <v>4596</v>
      </c>
      <c r="G979">
        <v>91</v>
      </c>
      <c r="H979">
        <v>50</v>
      </c>
      <c r="I979">
        <v>97045</v>
      </c>
      <c r="J979">
        <v>10</v>
      </c>
      <c r="K979">
        <v>85095</v>
      </c>
      <c r="L979">
        <v>9</v>
      </c>
      <c r="N979">
        <v>5983</v>
      </c>
      <c r="O979">
        <f t="shared" si="30"/>
        <v>2024</v>
      </c>
      <c r="P979">
        <f t="shared" si="31"/>
        <v>3</v>
      </c>
      <c r="Q979" t="str">
        <f>_xlfn.XLOOKUP(B979,全店核心数据_bymonth!A:A,全店核心数据_bymonth!AN:AN)</f>
        <v>BU24</v>
      </c>
    </row>
    <row r="980" spans="1:17" x14ac:dyDescent="0.3">
      <c r="A980" t="s">
        <v>110</v>
      </c>
      <c r="B980" s="16">
        <v>45352</v>
      </c>
      <c r="C980" t="s">
        <v>3</v>
      </c>
      <c r="D980" t="s">
        <v>126</v>
      </c>
      <c r="E980">
        <v>1213</v>
      </c>
      <c r="F980">
        <v>1041</v>
      </c>
      <c r="G980">
        <v>38</v>
      </c>
      <c r="H980">
        <v>23</v>
      </c>
      <c r="I980">
        <v>10595</v>
      </c>
      <c r="J980">
        <v>2</v>
      </c>
      <c r="K980">
        <v>10595</v>
      </c>
      <c r="L980">
        <v>2</v>
      </c>
      <c r="N980">
        <v>1164</v>
      </c>
      <c r="O980">
        <f t="shared" si="30"/>
        <v>2024</v>
      </c>
      <c r="P980">
        <f t="shared" si="31"/>
        <v>3</v>
      </c>
      <c r="Q980" t="str">
        <f>_xlfn.XLOOKUP(B980,全店核心数据_bymonth!A:A,全店核心数据_bymonth!AN:AN)</f>
        <v>BU24</v>
      </c>
    </row>
    <row r="981" spans="1:17" x14ac:dyDescent="0.3">
      <c r="A981" t="s">
        <v>110</v>
      </c>
      <c r="B981" s="16">
        <v>45352</v>
      </c>
      <c r="C981" t="s">
        <v>3</v>
      </c>
      <c r="D981" t="s">
        <v>125</v>
      </c>
      <c r="E981">
        <v>4</v>
      </c>
      <c r="F981">
        <v>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N981">
        <v>1</v>
      </c>
      <c r="O981">
        <f t="shared" si="30"/>
        <v>2024</v>
      </c>
      <c r="P981">
        <f t="shared" si="31"/>
        <v>3</v>
      </c>
      <c r="Q981" t="str">
        <f>_xlfn.XLOOKUP(B981,全店核心数据_bymonth!A:A,全店核心数据_bymonth!AN:AN)</f>
        <v>BU24</v>
      </c>
    </row>
    <row r="982" spans="1:17" x14ac:dyDescent="0.3">
      <c r="A982" t="s">
        <v>110</v>
      </c>
      <c r="B982" s="16">
        <v>45352</v>
      </c>
      <c r="C982" t="s">
        <v>3</v>
      </c>
      <c r="D982" t="s">
        <v>123</v>
      </c>
      <c r="E982">
        <v>987</v>
      </c>
      <c r="F982">
        <v>662</v>
      </c>
      <c r="G982">
        <v>31</v>
      </c>
      <c r="H982">
        <v>10</v>
      </c>
      <c r="I982">
        <v>30140</v>
      </c>
      <c r="J982">
        <v>3</v>
      </c>
      <c r="K982">
        <v>30140</v>
      </c>
      <c r="L982">
        <v>3</v>
      </c>
      <c r="N982">
        <v>686</v>
      </c>
      <c r="O982">
        <f t="shared" si="30"/>
        <v>2024</v>
      </c>
      <c r="P982">
        <f t="shared" si="31"/>
        <v>3</v>
      </c>
      <c r="Q982" t="str">
        <f>_xlfn.XLOOKUP(B982,全店核心数据_bymonth!A:A,全店核心数据_bymonth!AN:AN)</f>
        <v>BU24</v>
      </c>
    </row>
    <row r="983" spans="1:17" x14ac:dyDescent="0.3">
      <c r="A983" t="s">
        <v>110</v>
      </c>
      <c r="B983" s="16">
        <v>45352</v>
      </c>
      <c r="C983" t="s">
        <v>3</v>
      </c>
      <c r="D983" t="s">
        <v>121</v>
      </c>
      <c r="E983">
        <v>20</v>
      </c>
      <c r="F983">
        <v>18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N983">
        <v>9</v>
      </c>
      <c r="O983">
        <f t="shared" si="30"/>
        <v>2024</v>
      </c>
      <c r="P983">
        <f t="shared" si="31"/>
        <v>3</v>
      </c>
      <c r="Q983" t="str">
        <f>_xlfn.XLOOKUP(B983,全店核心数据_bymonth!A:A,全店核心数据_bymonth!AN:AN)</f>
        <v>BU24</v>
      </c>
    </row>
    <row r="984" spans="1:17" x14ac:dyDescent="0.3">
      <c r="A984" t="s">
        <v>110</v>
      </c>
      <c r="B984" s="16">
        <v>45352</v>
      </c>
      <c r="C984" t="s">
        <v>3</v>
      </c>
      <c r="D984" t="s">
        <v>120</v>
      </c>
      <c r="E984">
        <v>4374</v>
      </c>
      <c r="F984">
        <v>3895</v>
      </c>
      <c r="G984">
        <v>74</v>
      </c>
      <c r="H984">
        <v>0</v>
      </c>
      <c r="I984">
        <v>80575</v>
      </c>
      <c r="J984">
        <v>16</v>
      </c>
      <c r="K984">
        <v>70285</v>
      </c>
      <c r="L984">
        <v>15</v>
      </c>
      <c r="N984">
        <v>4217</v>
      </c>
      <c r="O984">
        <f t="shared" si="30"/>
        <v>2024</v>
      </c>
      <c r="P984">
        <f t="shared" si="31"/>
        <v>3</v>
      </c>
      <c r="Q984" t="str">
        <f>_xlfn.XLOOKUP(B984,全店核心数据_bymonth!A:A,全店核心数据_bymonth!AN:AN)</f>
        <v>BU24</v>
      </c>
    </row>
    <row r="985" spans="1:17" x14ac:dyDescent="0.3">
      <c r="A985" t="s">
        <v>110</v>
      </c>
      <c r="B985" s="16">
        <v>45352</v>
      </c>
      <c r="C985" t="s">
        <v>3</v>
      </c>
      <c r="D985" t="s">
        <v>119</v>
      </c>
      <c r="E985">
        <v>2756</v>
      </c>
      <c r="F985">
        <v>1839</v>
      </c>
      <c r="G985">
        <v>79</v>
      </c>
      <c r="H985">
        <v>65</v>
      </c>
      <c r="I985">
        <v>403685</v>
      </c>
      <c r="J985">
        <v>34</v>
      </c>
      <c r="K985">
        <v>232465</v>
      </c>
      <c r="L985">
        <v>31</v>
      </c>
      <c r="N985">
        <v>2620</v>
      </c>
      <c r="O985">
        <f t="shared" si="30"/>
        <v>2024</v>
      </c>
      <c r="P985">
        <f t="shared" si="31"/>
        <v>3</v>
      </c>
      <c r="Q985" t="str">
        <f>_xlfn.XLOOKUP(B985,全店核心数据_bymonth!A:A,全店核心数据_bymonth!AN:AN)</f>
        <v>BU24</v>
      </c>
    </row>
    <row r="986" spans="1:17" x14ac:dyDescent="0.3">
      <c r="A986" t="s">
        <v>110</v>
      </c>
      <c r="B986" s="16">
        <v>45352</v>
      </c>
      <c r="C986" t="s">
        <v>3</v>
      </c>
      <c r="D986" t="s">
        <v>117</v>
      </c>
      <c r="E986">
        <v>85</v>
      </c>
      <c r="F986">
        <v>82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N986">
        <v>85</v>
      </c>
      <c r="O986">
        <f t="shared" si="30"/>
        <v>2024</v>
      </c>
      <c r="P986">
        <f t="shared" si="31"/>
        <v>3</v>
      </c>
      <c r="Q986" t="str">
        <f>_xlfn.XLOOKUP(B986,全店核心数据_bymonth!A:A,全店核心数据_bymonth!AN:AN)</f>
        <v>BU24</v>
      </c>
    </row>
    <row r="987" spans="1:17" x14ac:dyDescent="0.3">
      <c r="A987" t="s">
        <v>110</v>
      </c>
      <c r="B987" s="16">
        <v>45352</v>
      </c>
      <c r="C987" t="s">
        <v>3</v>
      </c>
      <c r="D987" t="s">
        <v>116</v>
      </c>
      <c r="E987">
        <v>93</v>
      </c>
      <c r="F987">
        <v>61</v>
      </c>
      <c r="G987">
        <v>2</v>
      </c>
      <c r="H987">
        <v>1</v>
      </c>
      <c r="I987">
        <v>0</v>
      </c>
      <c r="J987">
        <v>0</v>
      </c>
      <c r="K987">
        <v>0</v>
      </c>
      <c r="L987">
        <v>0</v>
      </c>
      <c r="N987">
        <v>93</v>
      </c>
      <c r="O987">
        <f t="shared" si="30"/>
        <v>2024</v>
      </c>
      <c r="P987">
        <f t="shared" si="31"/>
        <v>3</v>
      </c>
      <c r="Q987" t="str">
        <f>_xlfn.XLOOKUP(B987,全店核心数据_bymonth!A:A,全店核心数据_bymonth!AN:AN)</f>
        <v>BU24</v>
      </c>
    </row>
    <row r="988" spans="1:17" x14ac:dyDescent="0.3">
      <c r="A988" t="s">
        <v>110</v>
      </c>
      <c r="B988" s="16">
        <v>45352</v>
      </c>
      <c r="C988" t="s">
        <v>3</v>
      </c>
      <c r="D988" t="s">
        <v>115</v>
      </c>
      <c r="E988">
        <v>33</v>
      </c>
      <c r="F988">
        <v>24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N988">
        <v>28</v>
      </c>
      <c r="O988">
        <f t="shared" si="30"/>
        <v>2024</v>
      </c>
      <c r="P988">
        <f t="shared" si="31"/>
        <v>3</v>
      </c>
      <c r="Q988" t="str">
        <f>_xlfn.XLOOKUP(B988,全店核心数据_bymonth!A:A,全店核心数据_bymonth!AN:AN)</f>
        <v>BU24</v>
      </c>
    </row>
    <row r="989" spans="1:17" x14ac:dyDescent="0.3">
      <c r="A989" t="s">
        <v>110</v>
      </c>
      <c r="B989" s="16">
        <v>45352</v>
      </c>
      <c r="C989" t="s">
        <v>3</v>
      </c>
      <c r="D989" t="s">
        <v>185</v>
      </c>
      <c r="E989">
        <v>362</v>
      </c>
      <c r="F989">
        <v>350</v>
      </c>
      <c r="G989">
        <v>1</v>
      </c>
      <c r="H989">
        <v>1</v>
      </c>
      <c r="I989">
        <v>0</v>
      </c>
      <c r="J989">
        <v>0</v>
      </c>
      <c r="K989">
        <v>0</v>
      </c>
      <c r="L989">
        <v>0</v>
      </c>
      <c r="N989">
        <v>362</v>
      </c>
      <c r="O989">
        <f t="shared" si="30"/>
        <v>2024</v>
      </c>
      <c r="P989">
        <f t="shared" si="31"/>
        <v>3</v>
      </c>
      <c r="Q989" t="str">
        <f>_xlfn.XLOOKUP(B989,全店核心数据_bymonth!A:A,全店核心数据_bymonth!AN:AN)</f>
        <v>BU24</v>
      </c>
    </row>
    <row r="990" spans="1:17" x14ac:dyDescent="0.3">
      <c r="A990" t="s">
        <v>110</v>
      </c>
      <c r="B990" s="16">
        <v>45352</v>
      </c>
      <c r="C990" t="s">
        <v>3</v>
      </c>
      <c r="D990" t="s">
        <v>114</v>
      </c>
      <c r="E990">
        <v>553</v>
      </c>
      <c r="F990">
        <v>382</v>
      </c>
      <c r="G990">
        <v>10</v>
      </c>
      <c r="H990">
        <v>8</v>
      </c>
      <c r="I990">
        <v>29990</v>
      </c>
      <c r="J990">
        <v>1</v>
      </c>
      <c r="K990">
        <v>14995</v>
      </c>
      <c r="L990">
        <v>1</v>
      </c>
      <c r="N990">
        <v>552</v>
      </c>
      <c r="O990">
        <f t="shared" si="30"/>
        <v>2024</v>
      </c>
      <c r="P990">
        <f t="shared" si="31"/>
        <v>3</v>
      </c>
      <c r="Q990" t="str">
        <f>_xlfn.XLOOKUP(B990,全店核心数据_bymonth!A:A,全店核心数据_bymonth!AN:AN)</f>
        <v>BU24</v>
      </c>
    </row>
    <row r="991" spans="1:17" x14ac:dyDescent="0.3">
      <c r="A991" t="s">
        <v>110</v>
      </c>
      <c r="B991" s="16">
        <v>45352</v>
      </c>
      <c r="C991" t="s">
        <v>3</v>
      </c>
      <c r="D991" t="s">
        <v>113</v>
      </c>
      <c r="E991">
        <v>2147</v>
      </c>
      <c r="F991">
        <v>1795</v>
      </c>
      <c r="G991">
        <v>38</v>
      </c>
      <c r="H991">
        <v>25</v>
      </c>
      <c r="I991">
        <v>41825</v>
      </c>
      <c r="J991">
        <v>6</v>
      </c>
      <c r="K991">
        <v>38430</v>
      </c>
      <c r="L991">
        <v>5</v>
      </c>
      <c r="N991">
        <v>959</v>
      </c>
      <c r="O991">
        <f t="shared" si="30"/>
        <v>2024</v>
      </c>
      <c r="P991">
        <f t="shared" si="31"/>
        <v>3</v>
      </c>
      <c r="Q991" t="str">
        <f>_xlfn.XLOOKUP(B991,全店核心数据_bymonth!A:A,全店核心数据_bymonth!AN:AN)</f>
        <v>BU24</v>
      </c>
    </row>
    <row r="992" spans="1:17" x14ac:dyDescent="0.3">
      <c r="A992" t="s">
        <v>110</v>
      </c>
      <c r="B992" s="16">
        <v>45352</v>
      </c>
      <c r="C992" t="s">
        <v>3</v>
      </c>
      <c r="D992" t="s">
        <v>112</v>
      </c>
      <c r="E992">
        <v>56</v>
      </c>
      <c r="F992">
        <v>31</v>
      </c>
      <c r="G992">
        <v>0</v>
      </c>
      <c r="H992">
        <v>0</v>
      </c>
      <c r="I992">
        <v>20840</v>
      </c>
      <c r="J992">
        <v>3</v>
      </c>
      <c r="K992">
        <v>20840</v>
      </c>
      <c r="L992">
        <v>3</v>
      </c>
      <c r="N992">
        <v>56</v>
      </c>
      <c r="O992">
        <f t="shared" si="30"/>
        <v>2024</v>
      </c>
      <c r="P992">
        <f t="shared" si="31"/>
        <v>3</v>
      </c>
      <c r="Q992" t="str">
        <f>_xlfn.XLOOKUP(B992,全店核心数据_bymonth!A:A,全店核心数据_bymonth!AN:AN)</f>
        <v>BU24</v>
      </c>
    </row>
    <row r="993" spans="1:17" x14ac:dyDescent="0.3">
      <c r="A993" t="s">
        <v>110</v>
      </c>
      <c r="B993" s="16">
        <v>45748</v>
      </c>
      <c r="C993" t="s">
        <v>2</v>
      </c>
      <c r="D993" t="s">
        <v>4</v>
      </c>
      <c r="E993">
        <v>3528</v>
      </c>
      <c r="F993">
        <v>2124</v>
      </c>
      <c r="G993">
        <v>13</v>
      </c>
      <c r="H993">
        <v>9</v>
      </c>
      <c r="I993">
        <v>57290</v>
      </c>
      <c r="J993">
        <v>7</v>
      </c>
      <c r="K993">
        <v>43205</v>
      </c>
      <c r="L993">
        <v>6</v>
      </c>
      <c r="M993">
        <v>56</v>
      </c>
      <c r="N993">
        <v>3493</v>
      </c>
      <c r="O993">
        <f t="shared" si="30"/>
        <v>2025</v>
      </c>
      <c r="P993">
        <f t="shared" si="31"/>
        <v>4</v>
      </c>
      <c r="Q993" t="str">
        <f>_xlfn.XLOOKUP(B993,全店核心数据_bymonth!A:A,全店核心数据_bymonth!AN:AN)</f>
        <v>BU26</v>
      </c>
    </row>
    <row r="994" spans="1:17" x14ac:dyDescent="0.3">
      <c r="A994" t="s">
        <v>110</v>
      </c>
      <c r="B994" s="16">
        <v>45748</v>
      </c>
      <c r="C994" t="s">
        <v>2</v>
      </c>
      <c r="D994" t="s">
        <v>57</v>
      </c>
      <c r="E994">
        <v>241729</v>
      </c>
      <c r="F994">
        <v>233863</v>
      </c>
      <c r="G994">
        <v>1768</v>
      </c>
      <c r="H994">
        <v>2210</v>
      </c>
      <c r="I994">
        <v>1294175</v>
      </c>
      <c r="J994">
        <v>191</v>
      </c>
      <c r="K994">
        <v>575550</v>
      </c>
      <c r="L994">
        <v>103</v>
      </c>
      <c r="M994">
        <v>22275</v>
      </c>
      <c r="N994">
        <v>234589</v>
      </c>
      <c r="O994">
        <f t="shared" si="30"/>
        <v>2025</v>
      </c>
      <c r="P994">
        <f t="shared" si="31"/>
        <v>4</v>
      </c>
      <c r="Q994" t="str">
        <f>_xlfn.XLOOKUP(B994,全店核心数据_bymonth!A:A,全店核心数据_bymonth!AN:AN)</f>
        <v>BU26</v>
      </c>
    </row>
    <row r="995" spans="1:17" x14ac:dyDescent="0.3">
      <c r="A995" t="s">
        <v>110</v>
      </c>
      <c r="B995" s="16">
        <v>45748</v>
      </c>
      <c r="C995" t="s">
        <v>2</v>
      </c>
      <c r="D995" t="s">
        <v>52</v>
      </c>
      <c r="E995">
        <v>4</v>
      </c>
      <c r="F995">
        <v>3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2</v>
      </c>
      <c r="N995">
        <v>2</v>
      </c>
      <c r="O995">
        <f t="shared" si="30"/>
        <v>2025</v>
      </c>
      <c r="P995">
        <f t="shared" si="31"/>
        <v>4</v>
      </c>
      <c r="Q995" t="str">
        <f>_xlfn.XLOOKUP(B995,全店核心数据_bymonth!A:A,全店核心数据_bymonth!AN:AN)</f>
        <v>BU26</v>
      </c>
    </row>
    <row r="996" spans="1:17" x14ac:dyDescent="0.3">
      <c r="A996" t="s">
        <v>110</v>
      </c>
      <c r="B996" s="16">
        <v>45748</v>
      </c>
      <c r="C996" t="s">
        <v>2</v>
      </c>
      <c r="D996" t="s">
        <v>55</v>
      </c>
      <c r="E996">
        <v>6367</v>
      </c>
      <c r="F996">
        <v>5568</v>
      </c>
      <c r="G996">
        <v>27</v>
      </c>
      <c r="H996">
        <v>5</v>
      </c>
      <c r="I996">
        <v>0</v>
      </c>
      <c r="J996">
        <v>0</v>
      </c>
      <c r="K996">
        <v>0</v>
      </c>
      <c r="L996">
        <v>0</v>
      </c>
      <c r="M996">
        <v>129</v>
      </c>
      <c r="N996">
        <v>2000</v>
      </c>
      <c r="O996">
        <f t="shared" si="30"/>
        <v>2025</v>
      </c>
      <c r="P996">
        <f t="shared" si="31"/>
        <v>4</v>
      </c>
      <c r="Q996" t="str">
        <f>_xlfn.XLOOKUP(B996,全店核心数据_bymonth!A:A,全店核心数据_bymonth!AN:AN)</f>
        <v>BU26</v>
      </c>
    </row>
    <row r="997" spans="1:17" x14ac:dyDescent="0.3">
      <c r="A997" t="s">
        <v>110</v>
      </c>
      <c r="B997" s="16">
        <v>45748</v>
      </c>
      <c r="C997" t="s">
        <v>3</v>
      </c>
      <c r="D997" t="s">
        <v>156</v>
      </c>
      <c r="E997">
        <v>1</v>
      </c>
      <c r="F997">
        <v>1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f t="shared" si="30"/>
        <v>2025</v>
      </c>
      <c r="P997">
        <f t="shared" si="31"/>
        <v>4</v>
      </c>
      <c r="Q997" t="str">
        <f>_xlfn.XLOOKUP(B997,全店核心数据_bymonth!A:A,全店核心数据_bymonth!AN:AN)</f>
        <v>BU26</v>
      </c>
    </row>
    <row r="998" spans="1:17" x14ac:dyDescent="0.3">
      <c r="A998" t="s">
        <v>110</v>
      </c>
      <c r="B998" s="16">
        <v>45748</v>
      </c>
      <c r="C998" t="s">
        <v>3</v>
      </c>
      <c r="D998" t="s">
        <v>155</v>
      </c>
      <c r="E998">
        <v>63</v>
      </c>
      <c r="F998">
        <v>54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2</v>
      </c>
      <c r="N998">
        <v>63</v>
      </c>
      <c r="O998">
        <f t="shared" si="30"/>
        <v>2025</v>
      </c>
      <c r="P998">
        <f t="shared" si="31"/>
        <v>4</v>
      </c>
      <c r="Q998" t="str">
        <f>_xlfn.XLOOKUP(B998,全店核心数据_bymonth!A:A,全店核心数据_bymonth!AN:AN)</f>
        <v>BU26</v>
      </c>
    </row>
    <row r="999" spans="1:17" x14ac:dyDescent="0.3">
      <c r="A999" t="s">
        <v>110</v>
      </c>
      <c r="B999" s="16">
        <v>45748</v>
      </c>
      <c r="C999" t="s">
        <v>3</v>
      </c>
      <c r="D999" t="s">
        <v>154</v>
      </c>
      <c r="E999">
        <v>1346</v>
      </c>
      <c r="F999">
        <v>1281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3</v>
      </c>
      <c r="N999">
        <v>2</v>
      </c>
      <c r="O999">
        <f t="shared" si="30"/>
        <v>2025</v>
      </c>
      <c r="P999">
        <f t="shared" si="31"/>
        <v>4</v>
      </c>
      <c r="Q999" t="str">
        <f>_xlfn.XLOOKUP(B999,全店核心数据_bymonth!A:A,全店核心数据_bymonth!AN:AN)</f>
        <v>BU26</v>
      </c>
    </row>
    <row r="1000" spans="1:17" x14ac:dyDescent="0.3">
      <c r="A1000" t="s">
        <v>110</v>
      </c>
      <c r="B1000" s="16">
        <v>45748</v>
      </c>
      <c r="C1000" t="s">
        <v>3</v>
      </c>
      <c r="D1000" t="s">
        <v>153</v>
      </c>
      <c r="E1000">
        <v>1647</v>
      </c>
      <c r="F1000">
        <v>978</v>
      </c>
      <c r="G1000">
        <v>138</v>
      </c>
      <c r="H1000">
        <v>30</v>
      </c>
      <c r="I1000">
        <v>513230</v>
      </c>
      <c r="J1000">
        <v>81</v>
      </c>
      <c r="K1000">
        <v>457420</v>
      </c>
      <c r="L1000">
        <v>77</v>
      </c>
      <c r="M1000">
        <v>519</v>
      </c>
      <c r="N1000">
        <v>1541</v>
      </c>
      <c r="O1000">
        <f t="shared" si="30"/>
        <v>2025</v>
      </c>
      <c r="P1000">
        <f t="shared" si="31"/>
        <v>4</v>
      </c>
      <c r="Q1000" t="str">
        <f>_xlfn.XLOOKUP(B1000,全店核心数据_bymonth!A:A,全店核心数据_bymonth!AN:AN)</f>
        <v>BU26</v>
      </c>
    </row>
    <row r="1001" spans="1:17" x14ac:dyDescent="0.3">
      <c r="A1001" t="s">
        <v>110</v>
      </c>
      <c r="B1001" s="16">
        <v>45748</v>
      </c>
      <c r="C1001" t="s">
        <v>3</v>
      </c>
      <c r="D1001" t="s">
        <v>152</v>
      </c>
      <c r="E1001">
        <v>1163</v>
      </c>
      <c r="F1001">
        <v>1064</v>
      </c>
      <c r="G1001">
        <v>7</v>
      </c>
      <c r="H1001">
        <v>13</v>
      </c>
      <c r="I1001">
        <v>7250</v>
      </c>
      <c r="J1001">
        <v>1</v>
      </c>
      <c r="K1001">
        <v>7250</v>
      </c>
      <c r="L1001">
        <v>1</v>
      </c>
      <c r="M1001">
        <v>6</v>
      </c>
      <c r="N1001">
        <v>256</v>
      </c>
      <c r="O1001">
        <f t="shared" si="30"/>
        <v>2025</v>
      </c>
      <c r="P1001">
        <f t="shared" si="31"/>
        <v>4</v>
      </c>
      <c r="Q1001" t="str">
        <f>_xlfn.XLOOKUP(B1001,全店核心数据_bymonth!A:A,全店核心数据_bymonth!AN:AN)</f>
        <v>BU26</v>
      </c>
    </row>
    <row r="1002" spans="1:17" x14ac:dyDescent="0.3">
      <c r="A1002" t="s">
        <v>110</v>
      </c>
      <c r="B1002" s="16">
        <v>45748</v>
      </c>
      <c r="C1002" t="s">
        <v>3</v>
      </c>
      <c r="D1002" t="s">
        <v>150</v>
      </c>
      <c r="E1002">
        <v>435</v>
      </c>
      <c r="F1002">
        <v>389</v>
      </c>
      <c r="G1002">
        <v>1</v>
      </c>
      <c r="H1002">
        <v>1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52</v>
      </c>
      <c r="O1002">
        <f t="shared" si="30"/>
        <v>2025</v>
      </c>
      <c r="P1002">
        <f t="shared" si="31"/>
        <v>4</v>
      </c>
      <c r="Q1002" t="str">
        <f>_xlfn.XLOOKUP(B1002,全店核心数据_bymonth!A:A,全店核心数据_bymonth!AN:AN)</f>
        <v>BU26</v>
      </c>
    </row>
    <row r="1003" spans="1:17" x14ac:dyDescent="0.3">
      <c r="A1003" t="s">
        <v>110</v>
      </c>
      <c r="B1003" s="16">
        <v>45748</v>
      </c>
      <c r="C1003" t="s">
        <v>3</v>
      </c>
      <c r="D1003" t="s">
        <v>149</v>
      </c>
      <c r="E1003">
        <v>79</v>
      </c>
      <c r="F1003">
        <v>49</v>
      </c>
      <c r="G1003">
        <v>2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10</v>
      </c>
      <c r="N1003">
        <v>53</v>
      </c>
      <c r="O1003">
        <f t="shared" si="30"/>
        <v>2025</v>
      </c>
      <c r="P1003">
        <f t="shared" si="31"/>
        <v>4</v>
      </c>
      <c r="Q1003" t="str">
        <f>_xlfn.XLOOKUP(B1003,全店核心数据_bymonth!A:A,全店核心数据_bymonth!AN:AN)</f>
        <v>BU26</v>
      </c>
    </row>
    <row r="1004" spans="1:17" x14ac:dyDescent="0.3">
      <c r="A1004" t="s">
        <v>110</v>
      </c>
      <c r="B1004" s="16">
        <v>45748</v>
      </c>
      <c r="C1004" t="s">
        <v>3</v>
      </c>
      <c r="D1004" t="s">
        <v>148</v>
      </c>
      <c r="E1004">
        <v>33</v>
      </c>
      <c r="F1004">
        <v>30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22</v>
      </c>
      <c r="N1004">
        <v>11</v>
      </c>
      <c r="O1004">
        <f t="shared" si="30"/>
        <v>2025</v>
      </c>
      <c r="P1004">
        <f t="shared" si="31"/>
        <v>4</v>
      </c>
      <c r="Q1004" t="str">
        <f>_xlfn.XLOOKUP(B1004,全店核心数据_bymonth!A:A,全店核心数据_bymonth!AN:AN)</f>
        <v>BU26</v>
      </c>
    </row>
    <row r="1005" spans="1:17" x14ac:dyDescent="0.3">
      <c r="A1005" t="s">
        <v>110</v>
      </c>
      <c r="B1005" s="16">
        <v>45748</v>
      </c>
      <c r="C1005" t="s">
        <v>3</v>
      </c>
      <c r="D1005" t="s">
        <v>146</v>
      </c>
      <c r="E1005">
        <v>1</v>
      </c>
      <c r="F1005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>
        <v>0</v>
      </c>
      <c r="O1005">
        <f t="shared" si="30"/>
        <v>2025</v>
      </c>
      <c r="P1005">
        <f t="shared" si="31"/>
        <v>4</v>
      </c>
      <c r="Q1005" t="str">
        <f>_xlfn.XLOOKUP(B1005,全店核心数据_bymonth!A:A,全店核心数据_bymonth!AN:AN)</f>
        <v>BU26</v>
      </c>
    </row>
    <row r="1006" spans="1:17" x14ac:dyDescent="0.3">
      <c r="A1006" t="s">
        <v>110</v>
      </c>
      <c r="B1006" s="16">
        <v>45748</v>
      </c>
      <c r="C1006" t="s">
        <v>3</v>
      </c>
      <c r="D1006" t="s">
        <v>251</v>
      </c>
      <c r="E1006">
        <v>3289</v>
      </c>
      <c r="F1006">
        <v>2772</v>
      </c>
      <c r="G1006">
        <v>70</v>
      </c>
      <c r="H1006">
        <v>19</v>
      </c>
      <c r="I1006">
        <v>150165</v>
      </c>
      <c r="J1006">
        <v>20</v>
      </c>
      <c r="K1006">
        <v>120875</v>
      </c>
      <c r="L1006">
        <v>17</v>
      </c>
      <c r="M1006">
        <v>754</v>
      </c>
      <c r="N1006">
        <v>1542</v>
      </c>
      <c r="O1006">
        <f t="shared" si="30"/>
        <v>2025</v>
      </c>
      <c r="P1006">
        <f t="shared" si="31"/>
        <v>4</v>
      </c>
      <c r="Q1006" t="str">
        <f>_xlfn.XLOOKUP(B1006,全店核心数据_bymonth!A:A,全店核心数据_bymonth!AN:AN)</f>
        <v>BU26</v>
      </c>
    </row>
    <row r="1007" spans="1:17" x14ac:dyDescent="0.3">
      <c r="A1007" t="s">
        <v>110</v>
      </c>
      <c r="B1007" s="16">
        <v>45748</v>
      </c>
      <c r="C1007" t="s">
        <v>3</v>
      </c>
      <c r="D1007" t="s">
        <v>143</v>
      </c>
      <c r="E1007">
        <v>424</v>
      </c>
      <c r="F1007">
        <v>409</v>
      </c>
      <c r="G1007">
        <v>0</v>
      </c>
      <c r="H1007">
        <v>2</v>
      </c>
      <c r="I1007">
        <v>0</v>
      </c>
      <c r="J1007">
        <v>0</v>
      </c>
      <c r="K1007">
        <v>0</v>
      </c>
      <c r="L1007">
        <v>0</v>
      </c>
      <c r="M1007">
        <v>3</v>
      </c>
      <c r="N1007">
        <v>424</v>
      </c>
      <c r="O1007">
        <f t="shared" si="30"/>
        <v>2025</v>
      </c>
      <c r="P1007">
        <f t="shared" si="31"/>
        <v>4</v>
      </c>
      <c r="Q1007" t="str">
        <f>_xlfn.XLOOKUP(B1007,全店核心数据_bymonth!A:A,全店核心数据_bymonth!AN:AN)</f>
        <v>BU26</v>
      </c>
    </row>
    <row r="1008" spans="1:17" x14ac:dyDescent="0.3">
      <c r="A1008" t="s">
        <v>110</v>
      </c>
      <c r="B1008" s="16">
        <v>45748</v>
      </c>
      <c r="C1008" t="s">
        <v>3</v>
      </c>
      <c r="D1008" t="s">
        <v>141</v>
      </c>
      <c r="E1008">
        <v>2293</v>
      </c>
      <c r="F1008">
        <v>1845</v>
      </c>
      <c r="G1008">
        <v>6</v>
      </c>
      <c r="H1008">
        <v>0</v>
      </c>
      <c r="I1008">
        <v>11950</v>
      </c>
      <c r="J1008">
        <v>1</v>
      </c>
      <c r="K1008">
        <v>0</v>
      </c>
      <c r="L1008">
        <v>0</v>
      </c>
      <c r="M1008">
        <v>15</v>
      </c>
      <c r="N1008">
        <v>2278</v>
      </c>
      <c r="O1008">
        <f t="shared" si="30"/>
        <v>2025</v>
      </c>
      <c r="P1008">
        <f t="shared" si="31"/>
        <v>4</v>
      </c>
      <c r="Q1008" t="str">
        <f>_xlfn.XLOOKUP(B1008,全店核心数据_bymonth!A:A,全店核心数据_bymonth!AN:AN)</f>
        <v>BU26</v>
      </c>
    </row>
    <row r="1009" spans="1:17" x14ac:dyDescent="0.3">
      <c r="A1009" t="s">
        <v>110</v>
      </c>
      <c r="B1009" s="16">
        <v>45748</v>
      </c>
      <c r="C1009" t="s">
        <v>3</v>
      </c>
      <c r="D1009" t="s">
        <v>140</v>
      </c>
      <c r="E1009">
        <v>73</v>
      </c>
      <c r="F1009">
        <v>57</v>
      </c>
      <c r="G1009">
        <v>7</v>
      </c>
      <c r="H1009">
        <v>0</v>
      </c>
      <c r="I1009">
        <v>33775</v>
      </c>
      <c r="J1009">
        <v>7</v>
      </c>
      <c r="K1009">
        <v>20590</v>
      </c>
      <c r="L1009">
        <v>4</v>
      </c>
      <c r="M1009">
        <v>8</v>
      </c>
      <c r="N1009">
        <v>62</v>
      </c>
      <c r="O1009">
        <f t="shared" si="30"/>
        <v>2025</v>
      </c>
      <c r="P1009">
        <f t="shared" si="31"/>
        <v>4</v>
      </c>
      <c r="Q1009" t="str">
        <f>_xlfn.XLOOKUP(B1009,全店核心数据_bymonth!A:A,全店核心数据_bymonth!AN:AN)</f>
        <v>BU26</v>
      </c>
    </row>
    <row r="1010" spans="1:17" x14ac:dyDescent="0.3">
      <c r="A1010" t="s">
        <v>110</v>
      </c>
      <c r="B1010" s="16">
        <v>45748</v>
      </c>
      <c r="C1010" t="s">
        <v>3</v>
      </c>
      <c r="D1010" t="s">
        <v>139</v>
      </c>
      <c r="E1010">
        <v>9151</v>
      </c>
      <c r="F1010">
        <v>7630</v>
      </c>
      <c r="G1010">
        <v>158</v>
      </c>
      <c r="H1010">
        <v>71</v>
      </c>
      <c r="I1010">
        <v>245560</v>
      </c>
      <c r="J1010">
        <v>42</v>
      </c>
      <c r="K1010">
        <v>201090</v>
      </c>
      <c r="L1010">
        <v>36</v>
      </c>
      <c r="M1010">
        <v>2979</v>
      </c>
      <c r="N1010">
        <v>4003</v>
      </c>
      <c r="O1010">
        <f t="shared" si="30"/>
        <v>2025</v>
      </c>
      <c r="P1010">
        <f t="shared" si="31"/>
        <v>4</v>
      </c>
      <c r="Q1010" t="str">
        <f>_xlfn.XLOOKUP(B1010,全店核心数据_bymonth!A:A,全店核心数据_bymonth!AN:AN)</f>
        <v>BU26</v>
      </c>
    </row>
    <row r="1011" spans="1:17" x14ac:dyDescent="0.3">
      <c r="A1011" t="s">
        <v>110</v>
      </c>
      <c r="B1011" s="16">
        <v>45748</v>
      </c>
      <c r="C1011" t="s">
        <v>3</v>
      </c>
      <c r="D1011" t="s">
        <v>138</v>
      </c>
      <c r="E1011">
        <v>157</v>
      </c>
      <c r="F1011">
        <v>77</v>
      </c>
      <c r="G1011">
        <v>6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12</v>
      </c>
      <c r="N1011">
        <v>155</v>
      </c>
      <c r="O1011">
        <f t="shared" si="30"/>
        <v>2025</v>
      </c>
      <c r="P1011">
        <f t="shared" si="31"/>
        <v>4</v>
      </c>
      <c r="Q1011" t="str">
        <f>_xlfn.XLOOKUP(B1011,全店核心数据_bymonth!A:A,全店核心数据_bymonth!AN:AN)</f>
        <v>BU26</v>
      </c>
    </row>
    <row r="1012" spans="1:17" x14ac:dyDescent="0.3">
      <c r="A1012" t="s">
        <v>110</v>
      </c>
      <c r="B1012" s="16">
        <v>45748</v>
      </c>
      <c r="C1012" t="s">
        <v>3</v>
      </c>
      <c r="D1012" t="s">
        <v>135</v>
      </c>
      <c r="E1012">
        <v>878</v>
      </c>
      <c r="F1012">
        <v>803</v>
      </c>
      <c r="G1012">
        <v>1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8</v>
      </c>
      <c r="O1012">
        <f t="shared" si="30"/>
        <v>2025</v>
      </c>
      <c r="P1012">
        <f t="shared" si="31"/>
        <v>4</v>
      </c>
      <c r="Q1012" t="str">
        <f>_xlfn.XLOOKUP(B1012,全店核心数据_bymonth!A:A,全店核心数据_bymonth!AN:AN)</f>
        <v>BU26</v>
      </c>
    </row>
    <row r="1013" spans="1:17" x14ac:dyDescent="0.3">
      <c r="A1013" t="s">
        <v>110</v>
      </c>
      <c r="B1013" s="16">
        <v>45748</v>
      </c>
      <c r="C1013" t="s">
        <v>3</v>
      </c>
      <c r="D1013" t="s">
        <v>133</v>
      </c>
      <c r="E1013">
        <v>190</v>
      </c>
      <c r="F1013">
        <v>164</v>
      </c>
      <c r="G1013">
        <v>10</v>
      </c>
      <c r="H1013">
        <v>0</v>
      </c>
      <c r="I1013">
        <v>8895</v>
      </c>
      <c r="J1013">
        <v>1</v>
      </c>
      <c r="K1013">
        <v>8895</v>
      </c>
      <c r="L1013">
        <v>1</v>
      </c>
      <c r="M1013">
        <v>53</v>
      </c>
      <c r="N1013">
        <v>164</v>
      </c>
      <c r="O1013">
        <f t="shared" si="30"/>
        <v>2025</v>
      </c>
      <c r="P1013">
        <f t="shared" si="31"/>
        <v>4</v>
      </c>
      <c r="Q1013" t="str">
        <f>_xlfn.XLOOKUP(B1013,全店核心数据_bymonth!A:A,全店核心数据_bymonth!AN:AN)</f>
        <v>BU26</v>
      </c>
    </row>
    <row r="1014" spans="1:17" x14ac:dyDescent="0.3">
      <c r="A1014" t="s">
        <v>110</v>
      </c>
      <c r="B1014" s="16">
        <v>45748</v>
      </c>
      <c r="C1014" t="s">
        <v>3</v>
      </c>
      <c r="D1014" t="s">
        <v>130</v>
      </c>
      <c r="E1014">
        <v>1658</v>
      </c>
      <c r="F1014">
        <v>1215</v>
      </c>
      <c r="G1014">
        <v>59</v>
      </c>
      <c r="H1014">
        <v>19</v>
      </c>
      <c r="I1014">
        <v>176287.98</v>
      </c>
      <c r="J1014">
        <v>31</v>
      </c>
      <c r="K1014">
        <v>157147.98000000001</v>
      </c>
      <c r="L1014">
        <v>30</v>
      </c>
      <c r="M1014">
        <v>787</v>
      </c>
      <c r="N1014">
        <v>1353</v>
      </c>
      <c r="O1014">
        <f t="shared" si="30"/>
        <v>2025</v>
      </c>
      <c r="P1014">
        <f t="shared" si="31"/>
        <v>4</v>
      </c>
      <c r="Q1014" t="str">
        <f>_xlfn.XLOOKUP(B1014,全店核心数据_bymonth!A:A,全店核心数据_bymonth!AN:AN)</f>
        <v>BU26</v>
      </c>
    </row>
    <row r="1015" spans="1:17" x14ac:dyDescent="0.3">
      <c r="A1015" t="s">
        <v>110</v>
      </c>
      <c r="B1015" s="16">
        <v>45748</v>
      </c>
      <c r="C1015" t="s">
        <v>3</v>
      </c>
      <c r="D1015" t="s">
        <v>128</v>
      </c>
      <c r="E1015">
        <v>11602</v>
      </c>
      <c r="F1015">
        <v>10557</v>
      </c>
      <c r="G1015">
        <v>245</v>
      </c>
      <c r="H1015">
        <v>110</v>
      </c>
      <c r="I1015">
        <v>223842.98</v>
      </c>
      <c r="J1015">
        <v>32</v>
      </c>
      <c r="K1015">
        <v>111517.98</v>
      </c>
      <c r="L1015">
        <v>23</v>
      </c>
      <c r="M1015">
        <v>6396</v>
      </c>
      <c r="N1015">
        <v>7185</v>
      </c>
      <c r="O1015">
        <f t="shared" si="30"/>
        <v>2025</v>
      </c>
      <c r="P1015">
        <f t="shared" si="31"/>
        <v>4</v>
      </c>
      <c r="Q1015" t="str">
        <f>_xlfn.XLOOKUP(B1015,全店核心数据_bymonth!A:A,全店核心数据_bymonth!AN:AN)</f>
        <v>BU26</v>
      </c>
    </row>
    <row r="1016" spans="1:17" x14ac:dyDescent="0.3">
      <c r="A1016" t="s">
        <v>110</v>
      </c>
      <c r="B1016" s="16">
        <v>45748</v>
      </c>
      <c r="C1016" t="s">
        <v>3</v>
      </c>
      <c r="D1016" t="s">
        <v>127</v>
      </c>
      <c r="E1016">
        <v>35894</v>
      </c>
      <c r="F1016">
        <v>32714</v>
      </c>
      <c r="G1016">
        <v>294</v>
      </c>
      <c r="H1016">
        <v>206</v>
      </c>
      <c r="I1016">
        <v>257950</v>
      </c>
      <c r="J1016">
        <v>32</v>
      </c>
      <c r="K1016">
        <v>139285</v>
      </c>
      <c r="L1016">
        <v>20</v>
      </c>
      <c r="M1016">
        <v>2038</v>
      </c>
      <c r="N1016">
        <v>29610</v>
      </c>
      <c r="O1016">
        <f t="shared" si="30"/>
        <v>2025</v>
      </c>
      <c r="P1016">
        <f t="shared" si="31"/>
        <v>4</v>
      </c>
      <c r="Q1016" t="str">
        <f>_xlfn.XLOOKUP(B1016,全店核心数据_bymonth!A:A,全店核心数据_bymonth!AN:AN)</f>
        <v>BU26</v>
      </c>
    </row>
    <row r="1017" spans="1:17" x14ac:dyDescent="0.3">
      <c r="A1017" t="s">
        <v>110</v>
      </c>
      <c r="B1017" s="16">
        <v>45748</v>
      </c>
      <c r="C1017" t="s">
        <v>3</v>
      </c>
      <c r="D1017" t="s">
        <v>126</v>
      </c>
      <c r="E1017">
        <v>1445</v>
      </c>
      <c r="F1017">
        <v>1263</v>
      </c>
      <c r="G1017">
        <v>61</v>
      </c>
      <c r="H1017">
        <v>59</v>
      </c>
      <c r="I1017">
        <v>33590</v>
      </c>
      <c r="J1017">
        <v>4</v>
      </c>
      <c r="K1017">
        <v>7890</v>
      </c>
      <c r="L1017">
        <v>2</v>
      </c>
      <c r="M1017">
        <v>285</v>
      </c>
      <c r="N1017">
        <v>1374</v>
      </c>
      <c r="O1017">
        <f t="shared" si="30"/>
        <v>2025</v>
      </c>
      <c r="P1017">
        <f t="shared" si="31"/>
        <v>4</v>
      </c>
      <c r="Q1017" t="str">
        <f>_xlfn.XLOOKUP(B1017,全店核心数据_bymonth!A:A,全店核心数据_bymonth!AN:AN)</f>
        <v>BU26</v>
      </c>
    </row>
    <row r="1018" spans="1:17" x14ac:dyDescent="0.3">
      <c r="A1018" t="s">
        <v>110</v>
      </c>
      <c r="B1018" s="16">
        <v>45748</v>
      </c>
      <c r="C1018" t="s">
        <v>3</v>
      </c>
      <c r="D1018" t="s">
        <v>125</v>
      </c>
      <c r="E1018">
        <v>18</v>
      </c>
      <c r="F1018">
        <v>13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3</v>
      </c>
      <c r="N1018">
        <v>18</v>
      </c>
      <c r="O1018">
        <f t="shared" si="30"/>
        <v>2025</v>
      </c>
      <c r="P1018">
        <f t="shared" si="31"/>
        <v>4</v>
      </c>
      <c r="Q1018" t="str">
        <f>_xlfn.XLOOKUP(B1018,全店核心数据_bymonth!A:A,全店核心数据_bymonth!AN:AN)</f>
        <v>BU26</v>
      </c>
    </row>
    <row r="1019" spans="1:17" x14ac:dyDescent="0.3">
      <c r="A1019" t="s">
        <v>110</v>
      </c>
      <c r="B1019" s="16">
        <v>45748</v>
      </c>
      <c r="C1019" t="s">
        <v>3</v>
      </c>
      <c r="D1019" t="s">
        <v>123</v>
      </c>
      <c r="E1019">
        <v>2256</v>
      </c>
      <c r="F1019">
        <v>1589</v>
      </c>
      <c r="G1019">
        <v>65</v>
      </c>
      <c r="H1019">
        <v>27</v>
      </c>
      <c r="I1019">
        <v>33920</v>
      </c>
      <c r="J1019">
        <v>7</v>
      </c>
      <c r="K1019">
        <v>24930</v>
      </c>
      <c r="L1019">
        <v>5</v>
      </c>
      <c r="M1019">
        <v>801</v>
      </c>
      <c r="N1019">
        <v>1941</v>
      </c>
      <c r="O1019">
        <f t="shared" si="30"/>
        <v>2025</v>
      </c>
      <c r="P1019">
        <f t="shared" si="31"/>
        <v>4</v>
      </c>
      <c r="Q1019" t="str">
        <f>_xlfn.XLOOKUP(B1019,全店核心数据_bymonth!A:A,全店核心数据_bymonth!AN:AN)</f>
        <v>BU26</v>
      </c>
    </row>
    <row r="1020" spans="1:17" x14ac:dyDescent="0.3">
      <c r="A1020" t="s">
        <v>110</v>
      </c>
      <c r="B1020" s="16">
        <v>45748</v>
      </c>
      <c r="C1020" t="s">
        <v>3</v>
      </c>
      <c r="D1020" t="s">
        <v>122</v>
      </c>
      <c r="E1020">
        <v>6</v>
      </c>
      <c r="F1020">
        <v>5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3</v>
      </c>
      <c r="O1020">
        <f t="shared" si="30"/>
        <v>2025</v>
      </c>
      <c r="P1020">
        <f t="shared" si="31"/>
        <v>4</v>
      </c>
      <c r="Q1020" t="str">
        <f>_xlfn.XLOOKUP(B1020,全店核心数据_bymonth!A:A,全店核心数据_bymonth!AN:AN)</f>
        <v>BU26</v>
      </c>
    </row>
    <row r="1021" spans="1:17" x14ac:dyDescent="0.3">
      <c r="A1021" t="s">
        <v>110</v>
      </c>
      <c r="B1021" s="16">
        <v>45748</v>
      </c>
      <c r="C1021" t="s">
        <v>3</v>
      </c>
      <c r="D1021" t="s">
        <v>121</v>
      </c>
      <c r="E1021">
        <v>16</v>
      </c>
      <c r="F1021">
        <v>16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9</v>
      </c>
      <c r="N1021">
        <v>8</v>
      </c>
      <c r="O1021">
        <f t="shared" si="30"/>
        <v>2025</v>
      </c>
      <c r="P1021">
        <f t="shared" si="31"/>
        <v>4</v>
      </c>
      <c r="Q1021" t="str">
        <f>_xlfn.XLOOKUP(B1021,全店核心数据_bymonth!A:A,全店核心数据_bymonth!AN:AN)</f>
        <v>BU26</v>
      </c>
    </row>
    <row r="1022" spans="1:17" x14ac:dyDescent="0.3">
      <c r="A1022" t="s">
        <v>110</v>
      </c>
      <c r="B1022" s="16">
        <v>45748</v>
      </c>
      <c r="C1022" t="s">
        <v>3</v>
      </c>
      <c r="D1022" t="s">
        <v>119</v>
      </c>
      <c r="E1022">
        <v>1641</v>
      </c>
      <c r="F1022">
        <v>1025</v>
      </c>
      <c r="G1022">
        <v>61</v>
      </c>
      <c r="H1022">
        <v>56</v>
      </c>
      <c r="I1022">
        <v>185775</v>
      </c>
      <c r="J1022">
        <v>23</v>
      </c>
      <c r="K1022">
        <v>175490</v>
      </c>
      <c r="L1022">
        <v>21</v>
      </c>
      <c r="M1022">
        <v>367</v>
      </c>
      <c r="N1022">
        <v>1553</v>
      </c>
      <c r="O1022">
        <f t="shared" si="30"/>
        <v>2025</v>
      </c>
      <c r="P1022">
        <f t="shared" si="31"/>
        <v>4</v>
      </c>
      <c r="Q1022" t="str">
        <f>_xlfn.XLOOKUP(B1022,全店核心数据_bymonth!A:A,全店核心数据_bymonth!AN:AN)</f>
        <v>BU26</v>
      </c>
    </row>
    <row r="1023" spans="1:17" x14ac:dyDescent="0.3">
      <c r="A1023" t="s">
        <v>110</v>
      </c>
      <c r="B1023" s="16">
        <v>45748</v>
      </c>
      <c r="C1023" t="s">
        <v>3</v>
      </c>
      <c r="D1023" t="s">
        <v>252</v>
      </c>
      <c r="E1023">
        <v>430</v>
      </c>
      <c r="F1023">
        <v>423</v>
      </c>
      <c r="G1023">
        <v>2</v>
      </c>
      <c r="H1023">
        <v>4</v>
      </c>
      <c r="I1023">
        <v>22200</v>
      </c>
      <c r="J1023">
        <v>2</v>
      </c>
      <c r="K1023">
        <v>0</v>
      </c>
      <c r="L1023">
        <v>0</v>
      </c>
      <c r="M1023">
        <v>24</v>
      </c>
      <c r="N1023">
        <v>429</v>
      </c>
      <c r="O1023">
        <f t="shared" si="30"/>
        <v>2025</v>
      </c>
      <c r="P1023">
        <f t="shared" si="31"/>
        <v>4</v>
      </c>
      <c r="Q1023" t="str">
        <f>_xlfn.XLOOKUP(B1023,全店核心数据_bymonth!A:A,全店核心数据_bymonth!AN:AN)</f>
        <v>BU26</v>
      </c>
    </row>
    <row r="1024" spans="1:17" x14ac:dyDescent="0.3">
      <c r="A1024" t="s">
        <v>110</v>
      </c>
      <c r="B1024" s="16">
        <v>45748</v>
      </c>
      <c r="C1024" t="s">
        <v>3</v>
      </c>
      <c r="D1024" t="s">
        <v>118</v>
      </c>
      <c r="E1024">
        <v>1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f t="shared" si="30"/>
        <v>2025</v>
      </c>
      <c r="P1024">
        <f t="shared" si="31"/>
        <v>4</v>
      </c>
      <c r="Q1024" t="str">
        <f>_xlfn.XLOOKUP(B1024,全店核心数据_bymonth!A:A,全店核心数据_bymonth!AN:AN)</f>
        <v>BU26</v>
      </c>
    </row>
    <row r="1025" spans="1:17" x14ac:dyDescent="0.3">
      <c r="A1025" t="s">
        <v>110</v>
      </c>
      <c r="B1025" s="16">
        <v>45748</v>
      </c>
      <c r="C1025" t="s">
        <v>3</v>
      </c>
      <c r="D1025" t="s">
        <v>391</v>
      </c>
      <c r="E1025">
        <v>5621</v>
      </c>
      <c r="F1025">
        <v>5232</v>
      </c>
      <c r="G1025">
        <v>97</v>
      </c>
      <c r="H1025">
        <v>29</v>
      </c>
      <c r="I1025">
        <v>77725</v>
      </c>
      <c r="J1025">
        <v>11</v>
      </c>
      <c r="K1025">
        <v>74475</v>
      </c>
      <c r="L1025">
        <v>10</v>
      </c>
      <c r="M1025">
        <v>822</v>
      </c>
      <c r="N1025">
        <v>5491</v>
      </c>
      <c r="O1025">
        <f t="shared" si="30"/>
        <v>2025</v>
      </c>
      <c r="P1025">
        <f t="shared" si="31"/>
        <v>4</v>
      </c>
      <c r="Q1025" t="str">
        <f>_xlfn.XLOOKUP(B1025,全店核心数据_bymonth!A:A,全店核心数据_bymonth!AN:AN)</f>
        <v>BU26</v>
      </c>
    </row>
    <row r="1026" spans="1:17" x14ac:dyDescent="0.3">
      <c r="A1026" t="s">
        <v>110</v>
      </c>
      <c r="B1026" s="16">
        <v>45748</v>
      </c>
      <c r="C1026" t="s">
        <v>3</v>
      </c>
      <c r="D1026" t="s">
        <v>113</v>
      </c>
      <c r="E1026">
        <v>1574</v>
      </c>
      <c r="F1026">
        <v>1267</v>
      </c>
      <c r="G1026">
        <v>34</v>
      </c>
      <c r="H1026">
        <v>13</v>
      </c>
      <c r="I1026">
        <v>51400</v>
      </c>
      <c r="J1026">
        <v>4</v>
      </c>
      <c r="K1026">
        <v>14500</v>
      </c>
      <c r="L1026">
        <v>1</v>
      </c>
      <c r="M1026">
        <v>1293</v>
      </c>
      <c r="N1026">
        <v>789</v>
      </c>
      <c r="O1026">
        <f t="shared" ref="O1026:O1070" si="32">YEAR(B1026)</f>
        <v>2025</v>
      </c>
      <c r="P1026">
        <f t="shared" ref="P1026:P1070" si="33">MONTH(B1026)</f>
        <v>4</v>
      </c>
      <c r="Q1026" t="str">
        <f>_xlfn.XLOOKUP(B1026,全店核心数据_bymonth!A:A,全店核心数据_bymonth!AN:AN)</f>
        <v>BU26</v>
      </c>
    </row>
    <row r="1027" spans="1:17" x14ac:dyDescent="0.3">
      <c r="A1027" t="s">
        <v>110</v>
      </c>
      <c r="B1027" s="16">
        <v>45748</v>
      </c>
      <c r="C1027" t="s">
        <v>3</v>
      </c>
      <c r="D1027" t="s">
        <v>112</v>
      </c>
      <c r="E1027">
        <v>221</v>
      </c>
      <c r="F1027">
        <v>82</v>
      </c>
      <c r="G1027">
        <v>0</v>
      </c>
      <c r="H1027">
        <v>1</v>
      </c>
      <c r="I1027">
        <v>29020</v>
      </c>
      <c r="J1027">
        <v>6</v>
      </c>
      <c r="K1027">
        <v>29020</v>
      </c>
      <c r="L1027">
        <v>6</v>
      </c>
      <c r="M1027">
        <v>0</v>
      </c>
      <c r="N1027">
        <v>221</v>
      </c>
      <c r="O1027">
        <f t="shared" si="32"/>
        <v>2025</v>
      </c>
      <c r="P1027">
        <f t="shared" si="33"/>
        <v>4</v>
      </c>
      <c r="Q1027" t="str">
        <f>_xlfn.XLOOKUP(B1027,全店核心数据_bymonth!A:A,全店核心数据_bymonth!AN:AN)</f>
        <v>BU26</v>
      </c>
    </row>
    <row r="1028" spans="1:17" x14ac:dyDescent="0.3">
      <c r="A1028" t="s">
        <v>110</v>
      </c>
      <c r="B1028" s="16">
        <v>45748</v>
      </c>
      <c r="C1028" t="s">
        <v>3</v>
      </c>
      <c r="D1028" t="s">
        <v>111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f t="shared" si="32"/>
        <v>2025</v>
      </c>
      <c r="P1028">
        <f t="shared" si="33"/>
        <v>4</v>
      </c>
      <c r="Q1028" t="str">
        <f>_xlfn.XLOOKUP(B1028,全店核心数据_bymonth!A:A,全店核心数据_bymonth!AN:AN)</f>
        <v>BU26</v>
      </c>
    </row>
    <row r="1029" spans="1:17" x14ac:dyDescent="0.3">
      <c r="A1029" t="s">
        <v>110</v>
      </c>
      <c r="B1029" s="16">
        <v>45778</v>
      </c>
      <c r="C1029" t="s">
        <v>2</v>
      </c>
      <c r="D1029" t="s">
        <v>4</v>
      </c>
      <c r="E1029">
        <v>6355</v>
      </c>
      <c r="F1029">
        <v>3941</v>
      </c>
      <c r="G1029">
        <v>846</v>
      </c>
      <c r="H1029">
        <v>68</v>
      </c>
      <c r="I1029">
        <v>1047088.17</v>
      </c>
      <c r="J1029">
        <v>249</v>
      </c>
      <c r="K1029">
        <v>740801.17</v>
      </c>
      <c r="L1029">
        <v>194</v>
      </c>
      <c r="M1029">
        <v>139</v>
      </c>
      <c r="N1029">
        <v>6259</v>
      </c>
      <c r="O1029">
        <f t="shared" si="32"/>
        <v>2025</v>
      </c>
      <c r="P1029">
        <f t="shared" si="33"/>
        <v>5</v>
      </c>
      <c r="Q1029" t="str">
        <f>_xlfn.XLOOKUP(B1029,全店核心数据_bymonth!A:A,全店核心数据_bymonth!AN:AN)</f>
        <v>BU26</v>
      </c>
    </row>
    <row r="1030" spans="1:17" x14ac:dyDescent="0.3">
      <c r="A1030" t="s">
        <v>110</v>
      </c>
      <c r="B1030" s="16">
        <v>45778</v>
      </c>
      <c r="C1030" t="s">
        <v>2</v>
      </c>
      <c r="D1030" t="s">
        <v>57</v>
      </c>
      <c r="E1030">
        <v>362818</v>
      </c>
      <c r="F1030">
        <v>350514</v>
      </c>
      <c r="G1030">
        <v>6290</v>
      </c>
      <c r="H1030">
        <v>5175</v>
      </c>
      <c r="I1030">
        <v>5582343.1100000003</v>
      </c>
      <c r="J1030">
        <v>1170</v>
      </c>
      <c r="K1030">
        <v>3032560.11</v>
      </c>
      <c r="L1030">
        <v>801</v>
      </c>
      <c r="M1030">
        <v>30795</v>
      </c>
      <c r="N1030">
        <v>355333</v>
      </c>
      <c r="O1030">
        <f t="shared" si="32"/>
        <v>2025</v>
      </c>
      <c r="P1030">
        <f t="shared" si="33"/>
        <v>5</v>
      </c>
      <c r="Q1030" t="str">
        <f>_xlfn.XLOOKUP(B1030,全店核心数据_bymonth!A:A,全店核心数据_bymonth!AN:AN)</f>
        <v>BU26</v>
      </c>
    </row>
    <row r="1031" spans="1:17" x14ac:dyDescent="0.3">
      <c r="A1031" t="s">
        <v>110</v>
      </c>
      <c r="B1031" s="16">
        <v>45778</v>
      </c>
      <c r="C1031" t="s">
        <v>2</v>
      </c>
      <c r="D1031" t="s">
        <v>52</v>
      </c>
      <c r="E1031">
        <v>22</v>
      </c>
      <c r="F1031">
        <v>15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5</v>
      </c>
      <c r="N1031">
        <v>14</v>
      </c>
      <c r="O1031">
        <f t="shared" si="32"/>
        <v>2025</v>
      </c>
      <c r="P1031">
        <f t="shared" si="33"/>
        <v>5</v>
      </c>
      <c r="Q1031" t="str">
        <f>_xlfn.XLOOKUP(B1031,全店核心数据_bymonth!A:A,全店核心数据_bymonth!AN:AN)</f>
        <v>BU26</v>
      </c>
    </row>
    <row r="1032" spans="1:17" x14ac:dyDescent="0.3">
      <c r="A1032" t="s">
        <v>110</v>
      </c>
      <c r="B1032" s="16">
        <v>45778</v>
      </c>
      <c r="C1032" t="s">
        <v>2</v>
      </c>
      <c r="D1032" t="s">
        <v>55</v>
      </c>
      <c r="E1032">
        <v>13509</v>
      </c>
      <c r="F1032">
        <v>12271</v>
      </c>
      <c r="G1032">
        <v>226</v>
      </c>
      <c r="H1032">
        <v>8</v>
      </c>
      <c r="I1032">
        <v>0</v>
      </c>
      <c r="J1032">
        <v>0</v>
      </c>
      <c r="K1032">
        <v>0</v>
      </c>
      <c r="L1032">
        <v>0</v>
      </c>
      <c r="M1032">
        <v>211</v>
      </c>
      <c r="N1032">
        <v>3083</v>
      </c>
      <c r="O1032">
        <f t="shared" si="32"/>
        <v>2025</v>
      </c>
      <c r="P1032">
        <f t="shared" si="33"/>
        <v>5</v>
      </c>
      <c r="Q1032" t="str">
        <f>_xlfn.XLOOKUP(B1032,全店核心数据_bymonth!A:A,全店核心数据_bymonth!AN:AN)</f>
        <v>BU26</v>
      </c>
    </row>
    <row r="1033" spans="1:17" x14ac:dyDescent="0.3">
      <c r="A1033" t="s">
        <v>110</v>
      </c>
      <c r="B1033" s="16">
        <v>45778</v>
      </c>
      <c r="C1033" t="s">
        <v>3</v>
      </c>
      <c r="D1033" t="s">
        <v>157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f t="shared" si="32"/>
        <v>2025</v>
      </c>
      <c r="P1033">
        <f t="shared" si="33"/>
        <v>5</v>
      </c>
      <c r="Q1033" t="str">
        <f>_xlfn.XLOOKUP(B1033,全店核心数据_bymonth!A:A,全店核心数据_bymonth!AN:AN)</f>
        <v>BU26</v>
      </c>
    </row>
    <row r="1034" spans="1:17" x14ac:dyDescent="0.3">
      <c r="A1034" t="s">
        <v>110</v>
      </c>
      <c r="B1034" s="16">
        <v>45778</v>
      </c>
      <c r="C1034" t="s">
        <v>3</v>
      </c>
      <c r="D1034" t="s">
        <v>156</v>
      </c>
      <c r="E1034">
        <v>1</v>
      </c>
      <c r="F1034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f t="shared" si="32"/>
        <v>2025</v>
      </c>
      <c r="P1034">
        <f t="shared" si="33"/>
        <v>5</v>
      </c>
      <c r="Q1034" t="str">
        <f>_xlfn.XLOOKUP(B1034,全店核心数据_bymonth!A:A,全店核心数据_bymonth!AN:AN)</f>
        <v>BU26</v>
      </c>
    </row>
    <row r="1035" spans="1:17" x14ac:dyDescent="0.3">
      <c r="A1035" t="s">
        <v>110</v>
      </c>
      <c r="B1035" s="16">
        <v>45778</v>
      </c>
      <c r="C1035" t="s">
        <v>3</v>
      </c>
      <c r="D1035" t="s">
        <v>155</v>
      </c>
      <c r="E1035">
        <v>98</v>
      </c>
      <c r="F1035">
        <v>79</v>
      </c>
      <c r="G1035">
        <v>2</v>
      </c>
      <c r="H1035">
        <v>3</v>
      </c>
      <c r="I1035">
        <v>0</v>
      </c>
      <c r="J1035">
        <v>0</v>
      </c>
      <c r="K1035">
        <v>0</v>
      </c>
      <c r="L1035">
        <v>0</v>
      </c>
      <c r="M1035">
        <v>10</v>
      </c>
      <c r="N1035">
        <v>91</v>
      </c>
      <c r="O1035">
        <f t="shared" si="32"/>
        <v>2025</v>
      </c>
      <c r="P1035">
        <f t="shared" si="33"/>
        <v>5</v>
      </c>
      <c r="Q1035" t="str">
        <f>_xlfn.XLOOKUP(B1035,全店核心数据_bymonth!A:A,全店核心数据_bymonth!AN:AN)</f>
        <v>BU26</v>
      </c>
    </row>
    <row r="1036" spans="1:17" x14ac:dyDescent="0.3">
      <c r="A1036" t="s">
        <v>110</v>
      </c>
      <c r="B1036" s="16">
        <v>45778</v>
      </c>
      <c r="C1036" t="s">
        <v>3</v>
      </c>
      <c r="D1036" t="s">
        <v>154</v>
      </c>
      <c r="E1036">
        <v>8177</v>
      </c>
      <c r="F1036">
        <v>8014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3</v>
      </c>
      <c r="N1036">
        <v>10</v>
      </c>
      <c r="O1036">
        <f t="shared" si="32"/>
        <v>2025</v>
      </c>
      <c r="P1036">
        <f t="shared" si="33"/>
        <v>5</v>
      </c>
      <c r="Q1036" t="str">
        <f>_xlfn.XLOOKUP(B1036,全店核心数据_bymonth!A:A,全店核心数据_bymonth!AN:AN)</f>
        <v>BU26</v>
      </c>
    </row>
    <row r="1037" spans="1:17" x14ac:dyDescent="0.3">
      <c r="A1037" t="s">
        <v>110</v>
      </c>
      <c r="B1037" s="16">
        <v>45778</v>
      </c>
      <c r="C1037" t="s">
        <v>3</v>
      </c>
      <c r="D1037" t="s">
        <v>153</v>
      </c>
      <c r="E1037">
        <v>4583</v>
      </c>
      <c r="F1037">
        <v>2319</v>
      </c>
      <c r="G1037">
        <v>936</v>
      </c>
      <c r="H1037">
        <v>77</v>
      </c>
      <c r="I1037">
        <v>3655901.97</v>
      </c>
      <c r="J1037">
        <v>872</v>
      </c>
      <c r="K1037">
        <v>3175845.97</v>
      </c>
      <c r="L1037">
        <v>813</v>
      </c>
      <c r="M1037">
        <v>1687</v>
      </c>
      <c r="N1037">
        <v>4415</v>
      </c>
      <c r="O1037">
        <f t="shared" si="32"/>
        <v>2025</v>
      </c>
      <c r="P1037">
        <f t="shared" si="33"/>
        <v>5</v>
      </c>
      <c r="Q1037" t="str">
        <f>_xlfn.XLOOKUP(B1037,全店核心数据_bymonth!A:A,全店核心数据_bymonth!AN:AN)</f>
        <v>BU26</v>
      </c>
    </row>
    <row r="1038" spans="1:17" x14ac:dyDescent="0.3">
      <c r="A1038" t="s">
        <v>110</v>
      </c>
      <c r="B1038" s="16">
        <v>45778</v>
      </c>
      <c r="C1038" t="s">
        <v>3</v>
      </c>
      <c r="D1038" t="s">
        <v>152</v>
      </c>
      <c r="E1038">
        <v>1516</v>
      </c>
      <c r="F1038">
        <v>1252</v>
      </c>
      <c r="G1038">
        <v>38</v>
      </c>
      <c r="H1038">
        <v>41</v>
      </c>
      <c r="I1038">
        <v>10803</v>
      </c>
      <c r="J1038">
        <v>4</v>
      </c>
      <c r="K1038">
        <v>6255</v>
      </c>
      <c r="L1038">
        <v>2</v>
      </c>
      <c r="M1038">
        <v>14</v>
      </c>
      <c r="N1038">
        <v>462</v>
      </c>
      <c r="O1038">
        <f t="shared" si="32"/>
        <v>2025</v>
      </c>
      <c r="P1038">
        <f t="shared" si="33"/>
        <v>5</v>
      </c>
      <c r="Q1038" t="str">
        <f>_xlfn.XLOOKUP(B1038,全店核心数据_bymonth!A:A,全店核心数据_bymonth!AN:AN)</f>
        <v>BU26</v>
      </c>
    </row>
    <row r="1039" spans="1:17" x14ac:dyDescent="0.3">
      <c r="A1039" t="s">
        <v>110</v>
      </c>
      <c r="B1039" s="16">
        <v>45778</v>
      </c>
      <c r="C1039" t="s">
        <v>3</v>
      </c>
      <c r="D1039" t="s">
        <v>150</v>
      </c>
      <c r="E1039">
        <v>1066</v>
      </c>
      <c r="F1039">
        <v>925</v>
      </c>
      <c r="G1039">
        <v>4</v>
      </c>
      <c r="H1039">
        <v>4</v>
      </c>
      <c r="I1039">
        <v>3100</v>
      </c>
      <c r="J1039">
        <v>1</v>
      </c>
      <c r="K1039">
        <v>3100</v>
      </c>
      <c r="L1039">
        <v>1</v>
      </c>
      <c r="M1039">
        <v>8</v>
      </c>
      <c r="N1039">
        <v>88</v>
      </c>
      <c r="O1039">
        <f t="shared" si="32"/>
        <v>2025</v>
      </c>
      <c r="P1039">
        <f t="shared" si="33"/>
        <v>5</v>
      </c>
      <c r="Q1039" t="str">
        <f>_xlfn.XLOOKUP(B1039,全店核心数据_bymonth!A:A,全店核心数据_bymonth!AN:AN)</f>
        <v>BU26</v>
      </c>
    </row>
    <row r="1040" spans="1:17" x14ac:dyDescent="0.3">
      <c r="A1040" t="s">
        <v>110</v>
      </c>
      <c r="B1040" s="16">
        <v>45778</v>
      </c>
      <c r="C1040" t="s">
        <v>3</v>
      </c>
      <c r="D1040" t="s">
        <v>149</v>
      </c>
      <c r="E1040">
        <v>204</v>
      </c>
      <c r="F1040">
        <v>146</v>
      </c>
      <c r="G1040">
        <v>6</v>
      </c>
      <c r="H1040">
        <v>2</v>
      </c>
      <c r="I1040">
        <v>8557</v>
      </c>
      <c r="J1040">
        <v>3</v>
      </c>
      <c r="K1040">
        <v>3607</v>
      </c>
      <c r="L1040">
        <v>2</v>
      </c>
      <c r="M1040">
        <v>25</v>
      </c>
      <c r="N1040">
        <v>118</v>
      </c>
      <c r="O1040">
        <f t="shared" si="32"/>
        <v>2025</v>
      </c>
      <c r="P1040">
        <f t="shared" si="33"/>
        <v>5</v>
      </c>
      <c r="Q1040" t="str">
        <f>_xlfn.XLOOKUP(B1040,全店核心数据_bymonth!A:A,全店核心数据_bymonth!AN:AN)</f>
        <v>BU26</v>
      </c>
    </row>
    <row r="1041" spans="1:17" x14ac:dyDescent="0.3">
      <c r="A1041" t="s">
        <v>110</v>
      </c>
      <c r="B1041" s="16">
        <v>45778</v>
      </c>
      <c r="C1041" t="s">
        <v>3</v>
      </c>
      <c r="D1041" t="s">
        <v>148</v>
      </c>
      <c r="E1041">
        <v>93</v>
      </c>
      <c r="F1041">
        <v>90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78</v>
      </c>
      <c r="N1041">
        <v>15</v>
      </c>
      <c r="O1041">
        <f t="shared" si="32"/>
        <v>2025</v>
      </c>
      <c r="P1041">
        <f t="shared" si="33"/>
        <v>5</v>
      </c>
      <c r="Q1041" t="str">
        <f>_xlfn.XLOOKUP(B1041,全店核心数据_bymonth!A:A,全店核心数据_bymonth!AN:AN)</f>
        <v>BU26</v>
      </c>
    </row>
    <row r="1042" spans="1:17" x14ac:dyDescent="0.3">
      <c r="A1042" t="s">
        <v>110</v>
      </c>
      <c r="B1042" s="16">
        <v>45778</v>
      </c>
      <c r="C1042" t="s">
        <v>3</v>
      </c>
      <c r="D1042" t="s">
        <v>367</v>
      </c>
      <c r="E1042">
        <v>98</v>
      </c>
      <c r="F1042">
        <v>70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98</v>
      </c>
      <c r="O1042">
        <f t="shared" si="32"/>
        <v>2025</v>
      </c>
      <c r="P1042">
        <f t="shared" si="33"/>
        <v>5</v>
      </c>
      <c r="Q1042" t="str">
        <f>_xlfn.XLOOKUP(B1042,全店核心数据_bymonth!A:A,全店核心数据_bymonth!AN:AN)</f>
        <v>BU26</v>
      </c>
    </row>
    <row r="1043" spans="1:17" x14ac:dyDescent="0.3">
      <c r="A1043" t="s">
        <v>110</v>
      </c>
      <c r="B1043" s="16">
        <v>45778</v>
      </c>
      <c r="C1043" t="s">
        <v>3</v>
      </c>
      <c r="D1043" t="s">
        <v>146</v>
      </c>
      <c r="E1043">
        <v>4</v>
      </c>
      <c r="F1043">
        <v>4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2</v>
      </c>
      <c r="N1043">
        <v>2</v>
      </c>
      <c r="O1043">
        <f t="shared" si="32"/>
        <v>2025</v>
      </c>
      <c r="P1043">
        <f t="shared" si="33"/>
        <v>5</v>
      </c>
      <c r="Q1043" t="str">
        <f>_xlfn.XLOOKUP(B1043,全店核心数据_bymonth!A:A,全店核心数据_bymonth!AN:AN)</f>
        <v>BU26</v>
      </c>
    </row>
    <row r="1044" spans="1:17" x14ac:dyDescent="0.3">
      <c r="A1044" t="s">
        <v>110</v>
      </c>
      <c r="B1044" s="16">
        <v>45778</v>
      </c>
      <c r="C1044" t="s">
        <v>3</v>
      </c>
      <c r="D1044" t="s">
        <v>145</v>
      </c>
      <c r="E1044">
        <v>2</v>
      </c>
      <c r="F1044">
        <v>2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f t="shared" si="32"/>
        <v>2025</v>
      </c>
      <c r="P1044">
        <f t="shared" si="33"/>
        <v>5</v>
      </c>
      <c r="Q1044" t="str">
        <f>_xlfn.XLOOKUP(B1044,全店核心数据_bymonth!A:A,全店核心数据_bymonth!AN:AN)</f>
        <v>BU26</v>
      </c>
    </row>
    <row r="1045" spans="1:17" x14ac:dyDescent="0.3">
      <c r="A1045" t="s">
        <v>110</v>
      </c>
      <c r="B1045" s="16">
        <v>45778</v>
      </c>
      <c r="C1045" t="s">
        <v>3</v>
      </c>
      <c r="D1045" t="s">
        <v>251</v>
      </c>
      <c r="E1045">
        <v>18286</v>
      </c>
      <c r="F1045">
        <v>16690</v>
      </c>
      <c r="G1045">
        <v>370</v>
      </c>
      <c r="H1045">
        <v>73</v>
      </c>
      <c r="I1045">
        <v>663071.87</v>
      </c>
      <c r="J1045">
        <v>174</v>
      </c>
      <c r="K1045">
        <v>575882.87</v>
      </c>
      <c r="L1045">
        <v>165</v>
      </c>
      <c r="M1045">
        <v>1567</v>
      </c>
      <c r="N1045">
        <v>3323</v>
      </c>
      <c r="O1045">
        <f t="shared" si="32"/>
        <v>2025</v>
      </c>
      <c r="P1045">
        <f t="shared" si="33"/>
        <v>5</v>
      </c>
      <c r="Q1045" t="str">
        <f>_xlfn.XLOOKUP(B1045,全店核心数据_bymonth!A:A,全店核心数据_bymonth!AN:AN)</f>
        <v>BU26</v>
      </c>
    </row>
    <row r="1046" spans="1:17" x14ac:dyDescent="0.3">
      <c r="A1046" t="s">
        <v>110</v>
      </c>
      <c r="B1046" s="16">
        <v>45778</v>
      </c>
      <c r="C1046" t="s">
        <v>3</v>
      </c>
      <c r="D1046" t="s">
        <v>143</v>
      </c>
      <c r="E1046">
        <v>974</v>
      </c>
      <c r="F1046">
        <v>949</v>
      </c>
      <c r="G1046">
        <v>3</v>
      </c>
      <c r="H1046">
        <v>3</v>
      </c>
      <c r="I1046">
        <v>0</v>
      </c>
      <c r="J1046">
        <v>0</v>
      </c>
      <c r="K1046">
        <v>0</v>
      </c>
      <c r="L1046">
        <v>0</v>
      </c>
      <c r="M1046">
        <v>7</v>
      </c>
      <c r="N1046">
        <v>974</v>
      </c>
      <c r="O1046">
        <f t="shared" si="32"/>
        <v>2025</v>
      </c>
      <c r="P1046">
        <f t="shared" si="33"/>
        <v>5</v>
      </c>
      <c r="Q1046" t="str">
        <f>_xlfn.XLOOKUP(B1046,全店核心数据_bymonth!A:A,全店核心数据_bymonth!AN:AN)</f>
        <v>BU26</v>
      </c>
    </row>
    <row r="1047" spans="1:17" x14ac:dyDescent="0.3">
      <c r="A1047" t="s">
        <v>110</v>
      </c>
      <c r="B1047" s="16">
        <v>45778</v>
      </c>
      <c r="C1047" t="s">
        <v>3</v>
      </c>
      <c r="D1047" t="s">
        <v>141</v>
      </c>
      <c r="E1047">
        <v>9273</v>
      </c>
      <c r="F1047">
        <v>7439</v>
      </c>
      <c r="G1047">
        <v>131</v>
      </c>
      <c r="H1047">
        <v>10</v>
      </c>
      <c r="I1047">
        <v>12518</v>
      </c>
      <c r="J1047">
        <v>3</v>
      </c>
      <c r="K1047">
        <v>1598</v>
      </c>
      <c r="L1047">
        <v>1</v>
      </c>
      <c r="M1047">
        <v>14</v>
      </c>
      <c r="N1047">
        <v>9259</v>
      </c>
      <c r="O1047">
        <f t="shared" si="32"/>
        <v>2025</v>
      </c>
      <c r="P1047">
        <f t="shared" si="33"/>
        <v>5</v>
      </c>
      <c r="Q1047" t="str">
        <f>_xlfn.XLOOKUP(B1047,全店核心数据_bymonth!A:A,全店核心数据_bymonth!AN:AN)</f>
        <v>BU26</v>
      </c>
    </row>
    <row r="1048" spans="1:17" x14ac:dyDescent="0.3">
      <c r="A1048" t="s">
        <v>110</v>
      </c>
      <c r="B1048" s="16">
        <v>45778</v>
      </c>
      <c r="C1048" t="s">
        <v>3</v>
      </c>
      <c r="D1048" t="s">
        <v>140</v>
      </c>
      <c r="E1048">
        <v>302</v>
      </c>
      <c r="F1048">
        <v>275</v>
      </c>
      <c r="G1048">
        <v>54</v>
      </c>
      <c r="H1048">
        <v>2</v>
      </c>
      <c r="I1048">
        <v>210587.66</v>
      </c>
      <c r="J1048">
        <v>42</v>
      </c>
      <c r="K1048">
        <v>134907.66</v>
      </c>
      <c r="L1048">
        <v>32</v>
      </c>
      <c r="M1048">
        <v>35</v>
      </c>
      <c r="N1048">
        <v>282</v>
      </c>
      <c r="O1048">
        <f t="shared" si="32"/>
        <v>2025</v>
      </c>
      <c r="P1048">
        <f t="shared" si="33"/>
        <v>5</v>
      </c>
      <c r="Q1048" t="str">
        <f>_xlfn.XLOOKUP(B1048,全店核心数据_bymonth!A:A,全店核心数据_bymonth!AN:AN)</f>
        <v>BU26</v>
      </c>
    </row>
    <row r="1049" spans="1:17" x14ac:dyDescent="0.3">
      <c r="A1049" t="s">
        <v>110</v>
      </c>
      <c r="B1049" s="16">
        <v>45778</v>
      </c>
      <c r="C1049" t="s">
        <v>3</v>
      </c>
      <c r="D1049" t="s">
        <v>139</v>
      </c>
      <c r="E1049">
        <v>15949</v>
      </c>
      <c r="F1049">
        <v>12432</v>
      </c>
      <c r="G1049">
        <v>1068</v>
      </c>
      <c r="H1049">
        <v>203</v>
      </c>
      <c r="I1049">
        <v>1666177.18</v>
      </c>
      <c r="J1049">
        <v>437</v>
      </c>
      <c r="K1049">
        <v>1361378.31</v>
      </c>
      <c r="L1049">
        <v>383</v>
      </c>
      <c r="M1049">
        <v>5900</v>
      </c>
      <c r="N1049">
        <v>8809</v>
      </c>
      <c r="O1049">
        <f t="shared" si="32"/>
        <v>2025</v>
      </c>
      <c r="P1049">
        <f t="shared" si="33"/>
        <v>5</v>
      </c>
      <c r="Q1049" t="str">
        <f>_xlfn.XLOOKUP(B1049,全店核心数据_bymonth!A:A,全店核心数据_bymonth!AN:AN)</f>
        <v>BU26</v>
      </c>
    </row>
    <row r="1050" spans="1:17" x14ac:dyDescent="0.3">
      <c r="A1050" t="s">
        <v>110</v>
      </c>
      <c r="B1050" s="16">
        <v>45778</v>
      </c>
      <c r="C1050" t="s">
        <v>3</v>
      </c>
      <c r="D1050" t="s">
        <v>138</v>
      </c>
      <c r="E1050">
        <v>356</v>
      </c>
      <c r="F1050">
        <v>186</v>
      </c>
      <c r="G1050">
        <v>11</v>
      </c>
      <c r="H1050">
        <v>5</v>
      </c>
      <c r="I1050">
        <v>21922</v>
      </c>
      <c r="J1050">
        <v>7</v>
      </c>
      <c r="K1050">
        <v>15692</v>
      </c>
      <c r="L1050">
        <v>6</v>
      </c>
      <c r="M1050">
        <v>39</v>
      </c>
      <c r="N1050">
        <v>348</v>
      </c>
      <c r="O1050">
        <f t="shared" si="32"/>
        <v>2025</v>
      </c>
      <c r="P1050">
        <f t="shared" si="33"/>
        <v>5</v>
      </c>
      <c r="Q1050" t="str">
        <f>_xlfn.XLOOKUP(B1050,全店核心数据_bymonth!A:A,全店核心数据_bymonth!AN:AN)</f>
        <v>BU26</v>
      </c>
    </row>
    <row r="1051" spans="1:17" x14ac:dyDescent="0.3">
      <c r="A1051" t="s">
        <v>110</v>
      </c>
      <c r="B1051" s="16">
        <v>45778</v>
      </c>
      <c r="C1051" t="s">
        <v>3</v>
      </c>
      <c r="D1051" t="s">
        <v>136</v>
      </c>
      <c r="E1051">
        <v>1</v>
      </c>
      <c r="F1051">
        <v>0</v>
      </c>
      <c r="G1051">
        <v>0</v>
      </c>
      <c r="H1051">
        <v>0</v>
      </c>
      <c r="I1051">
        <v>1490</v>
      </c>
      <c r="J1051">
        <v>1</v>
      </c>
      <c r="K1051">
        <v>1490</v>
      </c>
      <c r="L1051">
        <v>1</v>
      </c>
      <c r="M1051">
        <v>0</v>
      </c>
      <c r="N1051">
        <v>0</v>
      </c>
      <c r="O1051">
        <f t="shared" si="32"/>
        <v>2025</v>
      </c>
      <c r="P1051">
        <f t="shared" si="33"/>
        <v>5</v>
      </c>
      <c r="Q1051" t="str">
        <f>_xlfn.XLOOKUP(B1051,全店核心数据_bymonth!A:A,全店核心数据_bymonth!AN:AN)</f>
        <v>BU26</v>
      </c>
    </row>
    <row r="1052" spans="1:17" x14ac:dyDescent="0.3">
      <c r="A1052" t="s">
        <v>110</v>
      </c>
      <c r="B1052" s="16">
        <v>45778</v>
      </c>
      <c r="C1052" t="s">
        <v>3</v>
      </c>
      <c r="D1052" t="s">
        <v>135</v>
      </c>
      <c r="E1052">
        <v>1143</v>
      </c>
      <c r="F1052">
        <v>932</v>
      </c>
      <c r="G1052">
        <v>13</v>
      </c>
      <c r="H1052">
        <v>2</v>
      </c>
      <c r="I1052">
        <v>30651.599999999999</v>
      </c>
      <c r="J1052">
        <v>11</v>
      </c>
      <c r="K1052">
        <v>23451.599999999999</v>
      </c>
      <c r="L1052">
        <v>9</v>
      </c>
      <c r="M1052">
        <v>11</v>
      </c>
      <c r="N1052">
        <v>163</v>
      </c>
      <c r="O1052">
        <f t="shared" si="32"/>
        <v>2025</v>
      </c>
      <c r="P1052">
        <f t="shared" si="33"/>
        <v>5</v>
      </c>
      <c r="Q1052" t="str">
        <f>_xlfn.XLOOKUP(B1052,全店核心数据_bymonth!A:A,全店核心数据_bymonth!AN:AN)</f>
        <v>BU26</v>
      </c>
    </row>
    <row r="1053" spans="1:17" x14ac:dyDescent="0.3">
      <c r="A1053" t="s">
        <v>110</v>
      </c>
      <c r="B1053" s="16">
        <v>45778</v>
      </c>
      <c r="C1053" t="s">
        <v>3</v>
      </c>
      <c r="D1053" t="s">
        <v>133</v>
      </c>
      <c r="E1053">
        <v>444</v>
      </c>
      <c r="F1053">
        <v>324</v>
      </c>
      <c r="G1053">
        <v>43</v>
      </c>
      <c r="H1053">
        <v>6</v>
      </c>
      <c r="I1053">
        <v>63284.25</v>
      </c>
      <c r="J1053">
        <v>22</v>
      </c>
      <c r="K1053">
        <v>46459.25</v>
      </c>
      <c r="L1053">
        <v>20</v>
      </c>
      <c r="M1053">
        <v>98</v>
      </c>
      <c r="N1053">
        <v>399</v>
      </c>
      <c r="O1053">
        <f t="shared" si="32"/>
        <v>2025</v>
      </c>
      <c r="P1053">
        <f t="shared" si="33"/>
        <v>5</v>
      </c>
      <c r="Q1053" t="str">
        <f>_xlfn.XLOOKUP(B1053,全店核心数据_bymonth!A:A,全店核心数据_bymonth!AN:AN)</f>
        <v>BU26</v>
      </c>
    </row>
    <row r="1054" spans="1:17" x14ac:dyDescent="0.3">
      <c r="A1054" t="s">
        <v>110</v>
      </c>
      <c r="B1054" s="16">
        <v>45778</v>
      </c>
      <c r="C1054" t="s">
        <v>3</v>
      </c>
      <c r="D1054" t="s">
        <v>130</v>
      </c>
      <c r="E1054">
        <v>2388</v>
      </c>
      <c r="F1054">
        <v>1342</v>
      </c>
      <c r="G1054">
        <v>242</v>
      </c>
      <c r="H1054">
        <v>47</v>
      </c>
      <c r="I1054">
        <v>738948.31</v>
      </c>
      <c r="J1054">
        <v>184</v>
      </c>
      <c r="K1054">
        <v>630519.31000000006</v>
      </c>
      <c r="L1054">
        <v>169</v>
      </c>
      <c r="M1054">
        <v>1298</v>
      </c>
      <c r="N1054">
        <v>1907</v>
      </c>
      <c r="O1054">
        <f t="shared" si="32"/>
        <v>2025</v>
      </c>
      <c r="P1054">
        <f t="shared" si="33"/>
        <v>5</v>
      </c>
      <c r="Q1054" t="str">
        <f>_xlfn.XLOOKUP(B1054,全店核心数据_bymonth!A:A,全店核心数据_bymonth!AN:AN)</f>
        <v>BU26</v>
      </c>
    </row>
    <row r="1055" spans="1:17" x14ac:dyDescent="0.3">
      <c r="A1055" t="s">
        <v>110</v>
      </c>
      <c r="B1055" s="16">
        <v>45778</v>
      </c>
      <c r="C1055" t="s">
        <v>3</v>
      </c>
      <c r="D1055" t="s">
        <v>128</v>
      </c>
      <c r="E1055">
        <v>18626</v>
      </c>
      <c r="F1055">
        <v>16128</v>
      </c>
      <c r="G1055">
        <v>917</v>
      </c>
      <c r="H1055">
        <v>221</v>
      </c>
      <c r="I1055">
        <v>817288.84</v>
      </c>
      <c r="J1055">
        <v>221</v>
      </c>
      <c r="K1055">
        <v>583582.84</v>
      </c>
      <c r="L1055">
        <v>186</v>
      </c>
      <c r="M1055">
        <v>9322</v>
      </c>
      <c r="N1055">
        <v>12532</v>
      </c>
      <c r="O1055">
        <f t="shared" si="32"/>
        <v>2025</v>
      </c>
      <c r="P1055">
        <f t="shared" si="33"/>
        <v>5</v>
      </c>
      <c r="Q1055" t="str">
        <f>_xlfn.XLOOKUP(B1055,全店核心数据_bymonth!A:A,全店核心数据_bymonth!AN:AN)</f>
        <v>BU26</v>
      </c>
    </row>
    <row r="1056" spans="1:17" x14ac:dyDescent="0.3">
      <c r="A1056" t="s">
        <v>110</v>
      </c>
      <c r="B1056" s="16">
        <v>45778</v>
      </c>
      <c r="C1056" t="s">
        <v>3</v>
      </c>
      <c r="D1056" t="s">
        <v>127</v>
      </c>
      <c r="E1056">
        <v>88352</v>
      </c>
      <c r="F1056">
        <v>80434</v>
      </c>
      <c r="G1056">
        <v>1195</v>
      </c>
      <c r="H1056">
        <v>619</v>
      </c>
      <c r="I1056">
        <v>959326.59</v>
      </c>
      <c r="J1056">
        <v>218</v>
      </c>
      <c r="K1056">
        <v>528401.59</v>
      </c>
      <c r="L1056">
        <v>172</v>
      </c>
      <c r="M1056">
        <v>5813</v>
      </c>
      <c r="N1056">
        <v>77037</v>
      </c>
      <c r="O1056">
        <f t="shared" si="32"/>
        <v>2025</v>
      </c>
      <c r="P1056">
        <f t="shared" si="33"/>
        <v>5</v>
      </c>
      <c r="Q1056" t="str">
        <f>_xlfn.XLOOKUP(B1056,全店核心数据_bymonth!A:A,全店核心数据_bymonth!AN:AN)</f>
        <v>BU26</v>
      </c>
    </row>
    <row r="1057" spans="1:18" x14ac:dyDescent="0.3">
      <c r="A1057" t="s">
        <v>110</v>
      </c>
      <c r="B1057" s="16">
        <v>45778</v>
      </c>
      <c r="C1057" t="s">
        <v>3</v>
      </c>
      <c r="D1057" t="s">
        <v>126</v>
      </c>
      <c r="E1057">
        <v>2170</v>
      </c>
      <c r="F1057">
        <v>1713</v>
      </c>
      <c r="G1057">
        <v>121</v>
      </c>
      <c r="H1057">
        <v>51</v>
      </c>
      <c r="I1057">
        <v>156052</v>
      </c>
      <c r="J1057">
        <v>28</v>
      </c>
      <c r="K1057">
        <v>139112</v>
      </c>
      <c r="L1057">
        <v>24</v>
      </c>
      <c r="M1057">
        <v>415</v>
      </c>
      <c r="N1057">
        <v>2066</v>
      </c>
      <c r="O1057">
        <f t="shared" si="32"/>
        <v>2025</v>
      </c>
      <c r="P1057">
        <f t="shared" si="33"/>
        <v>5</v>
      </c>
      <c r="Q1057" t="str">
        <f>_xlfn.XLOOKUP(B1057,全店核心数据_bymonth!A:A,全店核心数据_bymonth!AN:AN)</f>
        <v>BU26</v>
      </c>
    </row>
    <row r="1058" spans="1:18" x14ac:dyDescent="0.3">
      <c r="A1058" t="s">
        <v>110</v>
      </c>
      <c r="B1058" s="16">
        <v>45778</v>
      </c>
      <c r="C1058" t="s">
        <v>3</v>
      </c>
      <c r="D1058" t="s">
        <v>125</v>
      </c>
      <c r="E1058">
        <v>56</v>
      </c>
      <c r="F1058">
        <v>41</v>
      </c>
      <c r="G1058">
        <v>4</v>
      </c>
      <c r="H1058">
        <v>0</v>
      </c>
      <c r="I1058">
        <v>7430.76</v>
      </c>
      <c r="J1058">
        <v>3</v>
      </c>
      <c r="K1058">
        <v>3435.76</v>
      </c>
      <c r="L1058">
        <v>2</v>
      </c>
      <c r="M1058">
        <v>15</v>
      </c>
      <c r="N1058">
        <v>55</v>
      </c>
      <c r="O1058">
        <f t="shared" si="32"/>
        <v>2025</v>
      </c>
      <c r="P1058">
        <f t="shared" si="33"/>
        <v>5</v>
      </c>
      <c r="Q1058" t="str">
        <f>_xlfn.XLOOKUP(B1058,全店核心数据_bymonth!A:A,全店核心数据_bymonth!AN:AN)</f>
        <v>BU26</v>
      </c>
    </row>
    <row r="1059" spans="1:18" x14ac:dyDescent="0.3">
      <c r="A1059" t="s">
        <v>110</v>
      </c>
      <c r="B1059" s="16">
        <v>45778</v>
      </c>
      <c r="C1059" t="s">
        <v>3</v>
      </c>
      <c r="D1059" t="s">
        <v>123</v>
      </c>
      <c r="E1059">
        <v>5410</v>
      </c>
      <c r="F1059">
        <v>3357</v>
      </c>
      <c r="G1059">
        <v>339</v>
      </c>
      <c r="H1059">
        <v>114</v>
      </c>
      <c r="I1059">
        <v>249570.51</v>
      </c>
      <c r="J1059">
        <v>77</v>
      </c>
      <c r="K1059">
        <v>192963.51</v>
      </c>
      <c r="L1059">
        <v>64</v>
      </c>
      <c r="M1059">
        <v>1758</v>
      </c>
      <c r="N1059">
        <v>4910</v>
      </c>
      <c r="O1059">
        <f t="shared" si="32"/>
        <v>2025</v>
      </c>
      <c r="P1059">
        <f t="shared" si="33"/>
        <v>5</v>
      </c>
      <c r="Q1059" t="str">
        <f>_xlfn.XLOOKUP(B1059,全店核心数据_bymonth!A:A,全店核心数据_bymonth!AN:AN)</f>
        <v>BU26</v>
      </c>
    </row>
    <row r="1060" spans="1:18" x14ac:dyDescent="0.3">
      <c r="A1060" t="s">
        <v>110</v>
      </c>
      <c r="B1060" s="16">
        <v>45778</v>
      </c>
      <c r="C1060" t="s">
        <v>3</v>
      </c>
      <c r="D1060" t="s">
        <v>122</v>
      </c>
      <c r="E1060">
        <v>9</v>
      </c>
      <c r="F1060">
        <v>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5</v>
      </c>
      <c r="O1060">
        <f t="shared" si="32"/>
        <v>2025</v>
      </c>
      <c r="P1060">
        <f t="shared" si="33"/>
        <v>5</v>
      </c>
      <c r="Q1060" t="str">
        <f>_xlfn.XLOOKUP(B1060,全店核心数据_bymonth!A:A,全店核心数据_bymonth!AN:AN)</f>
        <v>BU26</v>
      </c>
    </row>
    <row r="1061" spans="1:18" x14ac:dyDescent="0.3">
      <c r="A1061" t="s">
        <v>110</v>
      </c>
      <c r="B1061" s="16">
        <v>45778</v>
      </c>
      <c r="C1061" t="s">
        <v>3</v>
      </c>
      <c r="D1061" t="s">
        <v>121</v>
      </c>
      <c r="E1061">
        <v>31</v>
      </c>
      <c r="F1061">
        <v>26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7</v>
      </c>
      <c r="N1061">
        <v>24</v>
      </c>
      <c r="O1061">
        <f t="shared" si="32"/>
        <v>2025</v>
      </c>
      <c r="P1061">
        <f t="shared" si="33"/>
        <v>5</v>
      </c>
      <c r="Q1061" t="str">
        <f>_xlfn.XLOOKUP(B1061,全店核心数据_bymonth!A:A,全店核心数据_bymonth!AN:AN)</f>
        <v>BU26</v>
      </c>
    </row>
    <row r="1062" spans="1:18" x14ac:dyDescent="0.3">
      <c r="A1062" t="s">
        <v>110</v>
      </c>
      <c r="B1062" s="16">
        <v>45778</v>
      </c>
      <c r="C1062" t="s">
        <v>3</v>
      </c>
      <c r="D1062" t="s">
        <v>119</v>
      </c>
      <c r="E1062">
        <v>3683</v>
      </c>
      <c r="F1062">
        <v>1865</v>
      </c>
      <c r="G1062">
        <v>521</v>
      </c>
      <c r="H1062">
        <v>139</v>
      </c>
      <c r="I1062">
        <v>1480565.03</v>
      </c>
      <c r="J1062">
        <v>315</v>
      </c>
      <c r="K1062">
        <v>986590.03</v>
      </c>
      <c r="L1062">
        <v>267</v>
      </c>
      <c r="M1062">
        <v>1116</v>
      </c>
      <c r="N1062">
        <v>3491</v>
      </c>
      <c r="O1062">
        <f t="shared" si="32"/>
        <v>2025</v>
      </c>
      <c r="P1062">
        <f t="shared" si="33"/>
        <v>5</v>
      </c>
      <c r="Q1062" t="str">
        <f>_xlfn.XLOOKUP(B1062,全店核心数据_bymonth!A:A,全店核心数据_bymonth!AN:AN)</f>
        <v>BU26</v>
      </c>
    </row>
    <row r="1063" spans="1:18" x14ac:dyDescent="0.3">
      <c r="A1063" t="s">
        <v>110</v>
      </c>
      <c r="B1063" s="16">
        <v>45778</v>
      </c>
      <c r="C1063" t="s">
        <v>3</v>
      </c>
      <c r="D1063" t="s">
        <v>583</v>
      </c>
      <c r="E1063">
        <v>25</v>
      </c>
      <c r="F1063">
        <v>25</v>
      </c>
      <c r="G1063">
        <v>0</v>
      </c>
      <c r="H1063">
        <v>1</v>
      </c>
      <c r="I1063">
        <v>1990</v>
      </c>
      <c r="J1063">
        <v>1</v>
      </c>
      <c r="K1063">
        <v>0</v>
      </c>
      <c r="L1063">
        <v>0</v>
      </c>
      <c r="M1063">
        <v>0</v>
      </c>
      <c r="N1063">
        <v>25</v>
      </c>
      <c r="O1063">
        <f t="shared" si="32"/>
        <v>2025</v>
      </c>
      <c r="P1063">
        <f t="shared" si="33"/>
        <v>5</v>
      </c>
      <c r="Q1063" t="str">
        <f>_xlfn.XLOOKUP(B1063,全店核心数据_bymonth!A:A,全店核心数据_bymonth!AN:AN)</f>
        <v>BU26</v>
      </c>
    </row>
    <row r="1064" spans="1:18" x14ac:dyDescent="0.3">
      <c r="A1064" t="s">
        <v>110</v>
      </c>
      <c r="B1064" s="16">
        <v>45778</v>
      </c>
      <c r="C1064" t="s">
        <v>3</v>
      </c>
      <c r="D1064" t="s">
        <v>252</v>
      </c>
      <c r="E1064">
        <v>206</v>
      </c>
      <c r="F1064">
        <v>194</v>
      </c>
      <c r="G1064">
        <v>3</v>
      </c>
      <c r="H1064">
        <v>3</v>
      </c>
      <c r="I1064">
        <v>0</v>
      </c>
      <c r="J1064">
        <v>0</v>
      </c>
      <c r="K1064">
        <v>0</v>
      </c>
      <c r="L1064">
        <v>0</v>
      </c>
      <c r="M1064">
        <v>9</v>
      </c>
      <c r="N1064">
        <v>205</v>
      </c>
      <c r="O1064">
        <f t="shared" si="32"/>
        <v>2025</v>
      </c>
      <c r="P1064">
        <f t="shared" si="33"/>
        <v>5</v>
      </c>
      <c r="Q1064" t="str">
        <f>_xlfn.XLOOKUP(B1064,全店核心数据_bymonth!A:A,全店核心数据_bymonth!AN:AN)</f>
        <v>BU26</v>
      </c>
    </row>
    <row r="1065" spans="1:18" x14ac:dyDescent="0.3">
      <c r="A1065" t="s">
        <v>110</v>
      </c>
      <c r="B1065" s="16">
        <v>45778</v>
      </c>
      <c r="C1065" t="s">
        <v>3</v>
      </c>
      <c r="D1065" t="s">
        <v>117</v>
      </c>
      <c r="E1065">
        <v>9</v>
      </c>
      <c r="F1065">
        <v>8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2</v>
      </c>
      <c r="N1065">
        <v>9</v>
      </c>
      <c r="O1065">
        <f t="shared" si="32"/>
        <v>2025</v>
      </c>
      <c r="P1065">
        <f t="shared" si="33"/>
        <v>5</v>
      </c>
      <c r="Q1065" t="str">
        <f>_xlfn.XLOOKUP(B1065,全店核心数据_bymonth!A:A,全店核心数据_bymonth!AN:AN)</f>
        <v>BU26</v>
      </c>
    </row>
    <row r="1066" spans="1:18" x14ac:dyDescent="0.3">
      <c r="A1066" t="s">
        <v>110</v>
      </c>
      <c r="B1066" s="16">
        <v>45778</v>
      </c>
      <c r="C1066" t="s">
        <v>3</v>
      </c>
      <c r="D1066" t="s">
        <v>391</v>
      </c>
      <c r="E1066">
        <v>6665</v>
      </c>
      <c r="F1066">
        <v>5937</v>
      </c>
      <c r="G1066">
        <v>299</v>
      </c>
      <c r="H1066">
        <v>54</v>
      </c>
      <c r="I1066">
        <v>590687.26</v>
      </c>
      <c r="J1066">
        <v>103</v>
      </c>
      <c r="K1066">
        <v>422762.26</v>
      </c>
      <c r="L1066">
        <v>88</v>
      </c>
      <c r="M1066">
        <v>1158</v>
      </c>
      <c r="N1066">
        <v>6522</v>
      </c>
      <c r="O1066">
        <f t="shared" si="32"/>
        <v>2025</v>
      </c>
      <c r="P1066">
        <f t="shared" si="33"/>
        <v>5</v>
      </c>
      <c r="Q1066" t="str">
        <f>_xlfn.XLOOKUP(B1066,全店核心数据_bymonth!A:A,全店核心数据_bymonth!AN:AN)</f>
        <v>BU26</v>
      </c>
    </row>
    <row r="1067" spans="1:18" x14ac:dyDescent="0.3">
      <c r="A1067" t="s">
        <v>110</v>
      </c>
      <c r="B1067" s="16">
        <v>45778</v>
      </c>
      <c r="C1067" t="s">
        <v>3</v>
      </c>
      <c r="D1067" t="s">
        <v>114</v>
      </c>
      <c r="E1067">
        <v>1985</v>
      </c>
      <c r="F1067">
        <v>970</v>
      </c>
      <c r="G1067">
        <v>90</v>
      </c>
      <c r="H1067">
        <v>47</v>
      </c>
      <c r="I1067">
        <v>45574</v>
      </c>
      <c r="J1067">
        <v>17</v>
      </c>
      <c r="K1067">
        <v>25656</v>
      </c>
      <c r="L1067">
        <v>11</v>
      </c>
      <c r="M1067">
        <v>225</v>
      </c>
      <c r="N1067">
        <v>1943</v>
      </c>
      <c r="O1067">
        <f t="shared" si="32"/>
        <v>2025</v>
      </c>
      <c r="P1067">
        <f t="shared" si="33"/>
        <v>5</v>
      </c>
      <c r="Q1067" t="str">
        <f>_xlfn.XLOOKUP(B1067,全店核心数据_bymonth!A:A,全店核心数据_bymonth!AN:AN)</f>
        <v>BU26</v>
      </c>
    </row>
    <row r="1068" spans="1:18" x14ac:dyDescent="0.3">
      <c r="A1068" t="s">
        <v>110</v>
      </c>
      <c r="B1068" s="16">
        <v>45778</v>
      </c>
      <c r="C1068" t="s">
        <v>3</v>
      </c>
      <c r="D1068" t="s">
        <v>113</v>
      </c>
      <c r="E1068">
        <v>2031</v>
      </c>
      <c r="F1068">
        <v>1554</v>
      </c>
      <c r="G1068">
        <v>87</v>
      </c>
      <c r="H1068">
        <v>23</v>
      </c>
      <c r="I1068">
        <v>75469.95</v>
      </c>
      <c r="J1068">
        <v>22</v>
      </c>
      <c r="K1068">
        <v>69866.95</v>
      </c>
      <c r="L1068">
        <v>21</v>
      </c>
      <c r="M1068">
        <v>1572</v>
      </c>
      <c r="N1068">
        <v>1174</v>
      </c>
      <c r="O1068">
        <f t="shared" si="32"/>
        <v>2025</v>
      </c>
      <c r="P1068">
        <f t="shared" si="33"/>
        <v>5</v>
      </c>
      <c r="Q1068" t="str">
        <f>_xlfn.XLOOKUP(B1068,全店核心数据_bymonth!A:A,全店核心数据_bymonth!AN:AN)</f>
        <v>BU26</v>
      </c>
    </row>
    <row r="1069" spans="1:18" x14ac:dyDescent="0.3">
      <c r="A1069" t="s">
        <v>110</v>
      </c>
      <c r="B1069" s="16">
        <v>45778</v>
      </c>
      <c r="C1069" t="s">
        <v>3</v>
      </c>
      <c r="D1069" t="s">
        <v>112</v>
      </c>
      <c r="E1069">
        <v>459</v>
      </c>
      <c r="F1069">
        <v>193</v>
      </c>
      <c r="G1069">
        <v>23</v>
      </c>
      <c r="H1069">
        <v>3</v>
      </c>
      <c r="I1069">
        <v>228109</v>
      </c>
      <c r="J1069">
        <v>58</v>
      </c>
      <c r="K1069">
        <v>220521</v>
      </c>
      <c r="L1069">
        <v>57</v>
      </c>
      <c r="M1069">
        <v>7</v>
      </c>
      <c r="N1069">
        <v>459</v>
      </c>
      <c r="O1069">
        <f t="shared" si="32"/>
        <v>2025</v>
      </c>
      <c r="P1069">
        <f t="shared" si="33"/>
        <v>5</v>
      </c>
      <c r="Q1069" t="str">
        <f>_xlfn.XLOOKUP(B1069,全店核心数据_bymonth!A:A,全店核心数据_bymonth!AN:AN)</f>
        <v>BU26</v>
      </c>
    </row>
    <row r="1070" spans="1:18" x14ac:dyDescent="0.3">
      <c r="A1070" t="s">
        <v>110</v>
      </c>
      <c r="B1070" s="16">
        <v>45778</v>
      </c>
      <c r="C1070" t="s">
        <v>3</v>
      </c>
      <c r="D1070" t="s">
        <v>111</v>
      </c>
      <c r="E1070">
        <v>48</v>
      </c>
      <c r="F1070">
        <v>11</v>
      </c>
      <c r="G1070">
        <v>2</v>
      </c>
      <c r="H1070">
        <v>0</v>
      </c>
      <c r="I1070">
        <v>6063.53</v>
      </c>
      <c r="J1070">
        <v>3</v>
      </c>
      <c r="K1070">
        <v>6063.53</v>
      </c>
      <c r="L1070">
        <v>3</v>
      </c>
      <c r="M1070">
        <v>5</v>
      </c>
      <c r="N1070">
        <v>47</v>
      </c>
      <c r="O1070">
        <f t="shared" si="32"/>
        <v>2025</v>
      </c>
      <c r="P1070">
        <f t="shared" si="33"/>
        <v>5</v>
      </c>
      <c r="Q1070" t="str">
        <f>_xlfn.XLOOKUP(B1070,全店核心数据_bymonth!A:A,全店核心数据_bymonth!AN:AN)</f>
        <v>BU26</v>
      </c>
    </row>
    <row r="1071" spans="1:18" x14ac:dyDescent="0.3">
      <c r="A1071" t="s">
        <v>627</v>
      </c>
      <c r="B1071" s="16">
        <v>45828</v>
      </c>
      <c r="C1071" t="s">
        <v>2</v>
      </c>
      <c r="D1071" t="s">
        <v>4</v>
      </c>
      <c r="E1071">
        <v>258</v>
      </c>
      <c r="F1071">
        <v>82</v>
      </c>
      <c r="G1071">
        <v>4</v>
      </c>
      <c r="H1071">
        <v>0</v>
      </c>
      <c r="I1071">
        <v>3995</v>
      </c>
      <c r="J1071">
        <v>1</v>
      </c>
      <c r="K1071">
        <v>3995</v>
      </c>
      <c r="L1071">
        <v>1</v>
      </c>
      <c r="M1071">
        <v>0</v>
      </c>
      <c r="N1071">
        <v>252</v>
      </c>
      <c r="O1071">
        <f t="shared" ref="O1071:O1134" si="34">YEAR(B1071)</f>
        <v>2025</v>
      </c>
      <c r="P1071">
        <f t="shared" ref="P1071:P1134" si="35">MONTH(B1071)</f>
        <v>6</v>
      </c>
      <c r="Q1071" t="s">
        <v>570</v>
      </c>
      <c r="R1071" s="546" t="s">
        <v>804</v>
      </c>
    </row>
    <row r="1072" spans="1:18" x14ac:dyDescent="0.3">
      <c r="A1072" t="s">
        <v>627</v>
      </c>
      <c r="B1072" s="16">
        <v>45828</v>
      </c>
      <c r="C1072" t="s">
        <v>2</v>
      </c>
      <c r="D1072" t="s">
        <v>57</v>
      </c>
      <c r="E1072">
        <v>18072</v>
      </c>
      <c r="F1072">
        <v>12094</v>
      </c>
      <c r="G1072">
        <v>202</v>
      </c>
      <c r="H1072">
        <v>232</v>
      </c>
      <c r="I1072">
        <v>224391</v>
      </c>
      <c r="J1072">
        <v>57</v>
      </c>
      <c r="K1072">
        <v>115181</v>
      </c>
      <c r="L1072">
        <v>37</v>
      </c>
      <c r="M1072">
        <v>948</v>
      </c>
      <c r="N1072">
        <v>17870</v>
      </c>
      <c r="O1072">
        <f t="shared" si="34"/>
        <v>2025</v>
      </c>
      <c r="P1072">
        <f t="shared" si="35"/>
        <v>6</v>
      </c>
      <c r="Q1072" t="s">
        <v>570</v>
      </c>
      <c r="R1072" s="546" t="s">
        <v>804</v>
      </c>
    </row>
    <row r="1073" spans="1:18" x14ac:dyDescent="0.3">
      <c r="A1073" t="s">
        <v>627</v>
      </c>
      <c r="B1073" s="16">
        <v>45828</v>
      </c>
      <c r="C1073" t="s">
        <v>2</v>
      </c>
      <c r="D1073" t="s">
        <v>55</v>
      </c>
      <c r="E1073">
        <v>798</v>
      </c>
      <c r="F1073">
        <v>560</v>
      </c>
      <c r="G1073">
        <v>16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18</v>
      </c>
      <c r="N1073">
        <v>154</v>
      </c>
      <c r="O1073">
        <f t="shared" si="34"/>
        <v>2025</v>
      </c>
      <c r="P1073">
        <f t="shared" si="35"/>
        <v>6</v>
      </c>
      <c r="Q1073" t="s">
        <v>570</v>
      </c>
      <c r="R1073" s="546" t="s">
        <v>804</v>
      </c>
    </row>
    <row r="1074" spans="1:18" x14ac:dyDescent="0.3">
      <c r="A1074" t="s">
        <v>627</v>
      </c>
      <c r="B1074" s="16">
        <v>45828</v>
      </c>
      <c r="C1074" t="s">
        <v>3</v>
      </c>
      <c r="D1074" t="s">
        <v>155</v>
      </c>
      <c r="E1074">
        <v>2</v>
      </c>
      <c r="F1074">
        <v>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2</v>
      </c>
      <c r="O1074">
        <f t="shared" si="34"/>
        <v>2025</v>
      </c>
      <c r="P1074">
        <f t="shared" si="35"/>
        <v>6</v>
      </c>
      <c r="Q1074" t="s">
        <v>570</v>
      </c>
      <c r="R1074" s="546" t="s">
        <v>804</v>
      </c>
    </row>
    <row r="1075" spans="1:18" x14ac:dyDescent="0.3">
      <c r="A1075" t="s">
        <v>627</v>
      </c>
      <c r="B1075" s="16">
        <v>45828</v>
      </c>
      <c r="C1075" t="s">
        <v>3</v>
      </c>
      <c r="D1075" t="s">
        <v>154</v>
      </c>
      <c r="E1075">
        <v>213</v>
      </c>
      <c r="F1075">
        <v>183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f t="shared" si="34"/>
        <v>2025</v>
      </c>
      <c r="P1075">
        <f t="shared" si="35"/>
        <v>6</v>
      </c>
      <c r="Q1075" t="s">
        <v>570</v>
      </c>
      <c r="R1075" s="546" t="s">
        <v>804</v>
      </c>
    </row>
    <row r="1076" spans="1:18" x14ac:dyDescent="0.3">
      <c r="A1076" t="s">
        <v>627</v>
      </c>
      <c r="B1076" s="16">
        <v>45828</v>
      </c>
      <c r="C1076" t="s">
        <v>3</v>
      </c>
      <c r="D1076" t="s">
        <v>153</v>
      </c>
      <c r="E1076">
        <v>289</v>
      </c>
      <c r="F1076">
        <v>78</v>
      </c>
      <c r="G1076">
        <v>43</v>
      </c>
      <c r="H1076">
        <v>1</v>
      </c>
      <c r="I1076">
        <v>186767.44</v>
      </c>
      <c r="J1076">
        <v>45</v>
      </c>
      <c r="K1076">
        <v>166964.44</v>
      </c>
      <c r="L1076">
        <v>40</v>
      </c>
      <c r="M1076">
        <v>80</v>
      </c>
      <c r="N1076">
        <v>275</v>
      </c>
      <c r="O1076">
        <f t="shared" si="34"/>
        <v>2025</v>
      </c>
      <c r="P1076">
        <f t="shared" si="35"/>
        <v>6</v>
      </c>
      <c r="Q1076" t="s">
        <v>570</v>
      </c>
      <c r="R1076" s="546" t="s">
        <v>804</v>
      </c>
    </row>
    <row r="1077" spans="1:18" x14ac:dyDescent="0.3">
      <c r="A1077" t="s">
        <v>627</v>
      </c>
      <c r="B1077" s="16">
        <v>45828</v>
      </c>
      <c r="C1077" t="s">
        <v>3</v>
      </c>
      <c r="D1077" t="s">
        <v>152</v>
      </c>
      <c r="E1077">
        <v>44</v>
      </c>
      <c r="F1077">
        <v>27</v>
      </c>
      <c r="G1077">
        <v>3</v>
      </c>
      <c r="H1077">
        <v>5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21</v>
      </c>
      <c r="O1077">
        <f t="shared" si="34"/>
        <v>2025</v>
      </c>
      <c r="P1077">
        <f t="shared" si="35"/>
        <v>6</v>
      </c>
      <c r="Q1077" t="s">
        <v>570</v>
      </c>
      <c r="R1077" s="546" t="s">
        <v>804</v>
      </c>
    </row>
    <row r="1078" spans="1:18" x14ac:dyDescent="0.3">
      <c r="A1078" t="s">
        <v>627</v>
      </c>
      <c r="B1078" s="16">
        <v>45828</v>
      </c>
      <c r="C1078" t="s">
        <v>3</v>
      </c>
      <c r="D1078" t="s">
        <v>150</v>
      </c>
      <c r="E1078">
        <v>77</v>
      </c>
      <c r="F1078">
        <v>72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f t="shared" si="34"/>
        <v>2025</v>
      </c>
      <c r="P1078">
        <f t="shared" si="35"/>
        <v>6</v>
      </c>
      <c r="Q1078" t="s">
        <v>570</v>
      </c>
      <c r="R1078" s="546" t="s">
        <v>804</v>
      </c>
    </row>
    <row r="1079" spans="1:18" x14ac:dyDescent="0.3">
      <c r="A1079" t="s">
        <v>627</v>
      </c>
      <c r="B1079" s="16">
        <v>45828</v>
      </c>
      <c r="C1079" t="s">
        <v>3</v>
      </c>
      <c r="D1079" t="s">
        <v>149</v>
      </c>
      <c r="E1079">
        <v>15</v>
      </c>
      <c r="F1079">
        <v>8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5</v>
      </c>
      <c r="O1079">
        <f t="shared" si="34"/>
        <v>2025</v>
      </c>
      <c r="P1079">
        <f t="shared" si="35"/>
        <v>6</v>
      </c>
      <c r="Q1079" t="s">
        <v>570</v>
      </c>
      <c r="R1079" s="546" t="s">
        <v>804</v>
      </c>
    </row>
    <row r="1080" spans="1:18" x14ac:dyDescent="0.3">
      <c r="A1080" t="s">
        <v>627</v>
      </c>
      <c r="B1080" s="16">
        <v>45828</v>
      </c>
      <c r="C1080" t="s">
        <v>3</v>
      </c>
      <c r="D1080" t="s">
        <v>148</v>
      </c>
      <c r="E1080">
        <v>1</v>
      </c>
      <c r="F1080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f t="shared" si="34"/>
        <v>2025</v>
      </c>
      <c r="P1080">
        <f t="shared" si="35"/>
        <v>6</v>
      </c>
      <c r="Q1080" t="s">
        <v>570</v>
      </c>
      <c r="R1080" s="546" t="s">
        <v>804</v>
      </c>
    </row>
    <row r="1081" spans="1:18" x14ac:dyDescent="0.3">
      <c r="A1081" t="s">
        <v>627</v>
      </c>
      <c r="B1081" s="16">
        <v>45828</v>
      </c>
      <c r="C1081" t="s">
        <v>3</v>
      </c>
      <c r="D1081" t="s">
        <v>630</v>
      </c>
      <c r="E1081">
        <v>30</v>
      </c>
      <c r="F1081">
        <v>21</v>
      </c>
      <c r="G1081">
        <v>0</v>
      </c>
      <c r="H1081">
        <v>0</v>
      </c>
      <c r="I1081">
        <v>1990</v>
      </c>
      <c r="J1081">
        <v>1</v>
      </c>
      <c r="K1081">
        <v>0</v>
      </c>
      <c r="L1081">
        <v>0</v>
      </c>
      <c r="M1081">
        <v>0</v>
      </c>
      <c r="N1081">
        <v>6</v>
      </c>
      <c r="O1081">
        <f t="shared" si="34"/>
        <v>2025</v>
      </c>
      <c r="P1081">
        <f t="shared" si="35"/>
        <v>6</v>
      </c>
      <c r="Q1081" t="s">
        <v>570</v>
      </c>
      <c r="R1081" s="546" t="s">
        <v>804</v>
      </c>
    </row>
    <row r="1082" spans="1:18" x14ac:dyDescent="0.3">
      <c r="A1082" t="s">
        <v>627</v>
      </c>
      <c r="B1082" s="16">
        <v>45828</v>
      </c>
      <c r="C1082" t="s">
        <v>3</v>
      </c>
      <c r="D1082" t="s">
        <v>251</v>
      </c>
      <c r="E1082">
        <v>3963</v>
      </c>
      <c r="F1082">
        <v>3542</v>
      </c>
      <c r="G1082">
        <v>11</v>
      </c>
      <c r="H1082">
        <v>3</v>
      </c>
      <c r="I1082">
        <v>53279.28</v>
      </c>
      <c r="J1082">
        <v>14</v>
      </c>
      <c r="K1082">
        <v>41809.279999999999</v>
      </c>
      <c r="L1082">
        <v>11</v>
      </c>
      <c r="M1082">
        <v>61</v>
      </c>
      <c r="N1082">
        <v>188</v>
      </c>
      <c r="O1082">
        <f t="shared" si="34"/>
        <v>2025</v>
      </c>
      <c r="P1082">
        <f t="shared" si="35"/>
        <v>6</v>
      </c>
      <c r="Q1082" t="s">
        <v>570</v>
      </c>
      <c r="R1082" s="546" t="s">
        <v>804</v>
      </c>
    </row>
    <row r="1083" spans="1:18" x14ac:dyDescent="0.3">
      <c r="A1083" t="s">
        <v>627</v>
      </c>
      <c r="B1083" s="16">
        <v>45828</v>
      </c>
      <c r="C1083" t="s">
        <v>3</v>
      </c>
      <c r="D1083" t="s">
        <v>143</v>
      </c>
      <c r="E1083">
        <v>23</v>
      </c>
      <c r="F1083">
        <v>22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23</v>
      </c>
      <c r="O1083">
        <f t="shared" si="34"/>
        <v>2025</v>
      </c>
      <c r="P1083">
        <f t="shared" si="35"/>
        <v>6</v>
      </c>
      <c r="Q1083" t="s">
        <v>570</v>
      </c>
      <c r="R1083" s="546" t="s">
        <v>804</v>
      </c>
    </row>
    <row r="1084" spans="1:18" x14ac:dyDescent="0.3">
      <c r="A1084" t="s">
        <v>627</v>
      </c>
      <c r="B1084" s="16">
        <v>45828</v>
      </c>
      <c r="C1084" t="s">
        <v>3</v>
      </c>
      <c r="D1084" t="s">
        <v>141</v>
      </c>
      <c r="E1084">
        <v>178</v>
      </c>
      <c r="F1084">
        <v>98</v>
      </c>
      <c r="G1084">
        <v>7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178</v>
      </c>
      <c r="O1084">
        <f t="shared" si="34"/>
        <v>2025</v>
      </c>
      <c r="P1084">
        <f t="shared" si="35"/>
        <v>6</v>
      </c>
      <c r="Q1084" t="s">
        <v>570</v>
      </c>
      <c r="R1084" s="546" t="s">
        <v>804</v>
      </c>
    </row>
    <row r="1085" spans="1:18" x14ac:dyDescent="0.3">
      <c r="A1085" t="s">
        <v>627</v>
      </c>
      <c r="B1085" s="16">
        <v>45828</v>
      </c>
      <c r="C1085" t="s">
        <v>3</v>
      </c>
      <c r="D1085" t="s">
        <v>140</v>
      </c>
      <c r="E1085">
        <v>7</v>
      </c>
      <c r="F1085">
        <v>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4</v>
      </c>
      <c r="O1085">
        <f t="shared" si="34"/>
        <v>2025</v>
      </c>
      <c r="P1085">
        <f t="shared" si="35"/>
        <v>6</v>
      </c>
      <c r="Q1085" t="s">
        <v>570</v>
      </c>
      <c r="R1085" s="546" t="s">
        <v>804</v>
      </c>
    </row>
    <row r="1086" spans="1:18" x14ac:dyDescent="0.3">
      <c r="A1086" t="s">
        <v>627</v>
      </c>
      <c r="B1086" s="16">
        <v>45828</v>
      </c>
      <c r="C1086" t="s">
        <v>3</v>
      </c>
      <c r="D1086" t="s">
        <v>139</v>
      </c>
      <c r="E1086">
        <v>554</v>
      </c>
      <c r="F1086">
        <v>349</v>
      </c>
      <c r="G1086">
        <v>24</v>
      </c>
      <c r="H1086">
        <v>9</v>
      </c>
      <c r="I1086">
        <v>96668</v>
      </c>
      <c r="J1086">
        <v>21</v>
      </c>
      <c r="K1086">
        <v>84893</v>
      </c>
      <c r="L1086">
        <v>19</v>
      </c>
      <c r="M1086">
        <v>191</v>
      </c>
      <c r="N1086">
        <v>311</v>
      </c>
      <c r="O1086">
        <f t="shared" si="34"/>
        <v>2025</v>
      </c>
      <c r="P1086">
        <f t="shared" si="35"/>
        <v>6</v>
      </c>
      <c r="Q1086" t="s">
        <v>570</v>
      </c>
      <c r="R1086" s="546" t="s">
        <v>804</v>
      </c>
    </row>
    <row r="1087" spans="1:18" x14ac:dyDescent="0.3">
      <c r="A1087" t="s">
        <v>627</v>
      </c>
      <c r="B1087" s="16">
        <v>45828</v>
      </c>
      <c r="C1087" t="s">
        <v>3</v>
      </c>
      <c r="D1087" t="s">
        <v>138</v>
      </c>
      <c r="E1087">
        <v>29</v>
      </c>
      <c r="F1087">
        <v>25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6</v>
      </c>
      <c r="N1087">
        <v>26</v>
      </c>
      <c r="O1087">
        <f t="shared" si="34"/>
        <v>2025</v>
      </c>
      <c r="P1087">
        <f t="shared" si="35"/>
        <v>6</v>
      </c>
      <c r="Q1087" t="s">
        <v>570</v>
      </c>
      <c r="R1087" s="546" t="s">
        <v>804</v>
      </c>
    </row>
    <row r="1088" spans="1:18" x14ac:dyDescent="0.3">
      <c r="A1088" t="s">
        <v>627</v>
      </c>
      <c r="B1088" s="16">
        <v>45828</v>
      </c>
      <c r="C1088" t="s">
        <v>3</v>
      </c>
      <c r="D1088" t="s">
        <v>135</v>
      </c>
      <c r="E1088">
        <v>30</v>
      </c>
      <c r="F1088">
        <v>21</v>
      </c>
      <c r="G1088">
        <v>0</v>
      </c>
      <c r="H1088">
        <v>0</v>
      </c>
      <c r="I1088">
        <v>1990</v>
      </c>
      <c r="J1088">
        <v>1</v>
      </c>
      <c r="K1088">
        <v>0</v>
      </c>
      <c r="L1088">
        <v>0</v>
      </c>
      <c r="M1088">
        <v>0</v>
      </c>
      <c r="N1088">
        <v>6</v>
      </c>
      <c r="O1088">
        <f t="shared" si="34"/>
        <v>2025</v>
      </c>
      <c r="P1088">
        <f t="shared" si="35"/>
        <v>6</v>
      </c>
      <c r="Q1088" t="s">
        <v>570</v>
      </c>
      <c r="R1088" s="546" t="s">
        <v>804</v>
      </c>
    </row>
    <row r="1089" spans="1:18" x14ac:dyDescent="0.3">
      <c r="A1089" t="s">
        <v>627</v>
      </c>
      <c r="B1089" s="16">
        <v>45828</v>
      </c>
      <c r="C1089" t="s">
        <v>3</v>
      </c>
      <c r="D1089" t="s">
        <v>133</v>
      </c>
      <c r="E1089">
        <v>40</v>
      </c>
      <c r="F1089">
        <v>16</v>
      </c>
      <c r="G1089">
        <v>2</v>
      </c>
      <c r="H1089">
        <v>0</v>
      </c>
      <c r="I1089">
        <v>4970</v>
      </c>
      <c r="J1089">
        <v>1</v>
      </c>
      <c r="K1089">
        <v>0</v>
      </c>
      <c r="L1089">
        <v>0</v>
      </c>
      <c r="M1089">
        <v>32</v>
      </c>
      <c r="N1089">
        <v>17</v>
      </c>
      <c r="O1089">
        <f t="shared" si="34"/>
        <v>2025</v>
      </c>
      <c r="P1089">
        <f t="shared" si="35"/>
        <v>6</v>
      </c>
      <c r="Q1089" t="s">
        <v>570</v>
      </c>
      <c r="R1089" s="546" t="s">
        <v>804</v>
      </c>
    </row>
    <row r="1090" spans="1:18" x14ac:dyDescent="0.3">
      <c r="A1090" t="s">
        <v>627</v>
      </c>
      <c r="B1090" s="16">
        <v>45828</v>
      </c>
      <c r="C1090" t="s">
        <v>3</v>
      </c>
      <c r="D1090" t="s">
        <v>130</v>
      </c>
      <c r="E1090">
        <v>70</v>
      </c>
      <c r="F1090">
        <v>32</v>
      </c>
      <c r="G1090">
        <v>5</v>
      </c>
      <c r="H1090">
        <v>3</v>
      </c>
      <c r="I1090">
        <v>25673</v>
      </c>
      <c r="J1090">
        <v>8</v>
      </c>
      <c r="K1090">
        <v>18988</v>
      </c>
      <c r="L1090">
        <v>6</v>
      </c>
      <c r="M1090">
        <v>30</v>
      </c>
      <c r="N1090">
        <v>54</v>
      </c>
      <c r="O1090">
        <f t="shared" si="34"/>
        <v>2025</v>
      </c>
      <c r="P1090">
        <f t="shared" si="35"/>
        <v>6</v>
      </c>
      <c r="Q1090" t="s">
        <v>570</v>
      </c>
      <c r="R1090" s="546" t="s">
        <v>804</v>
      </c>
    </row>
    <row r="1091" spans="1:18" x14ac:dyDescent="0.3">
      <c r="A1091" t="s">
        <v>627</v>
      </c>
      <c r="B1091" s="16">
        <v>45828</v>
      </c>
      <c r="C1091" t="s">
        <v>3</v>
      </c>
      <c r="D1091" t="s">
        <v>128</v>
      </c>
      <c r="E1091">
        <v>700</v>
      </c>
      <c r="F1091">
        <v>514</v>
      </c>
      <c r="G1091">
        <v>28</v>
      </c>
      <c r="H1091">
        <v>8</v>
      </c>
      <c r="I1091">
        <v>49683</v>
      </c>
      <c r="J1091">
        <v>16</v>
      </c>
      <c r="K1091">
        <v>37913</v>
      </c>
      <c r="L1091">
        <v>13</v>
      </c>
      <c r="M1091">
        <v>308</v>
      </c>
      <c r="N1091">
        <v>524</v>
      </c>
      <c r="O1091">
        <f t="shared" si="34"/>
        <v>2025</v>
      </c>
      <c r="P1091">
        <f t="shared" si="35"/>
        <v>6</v>
      </c>
      <c r="Q1091" t="s">
        <v>570</v>
      </c>
      <c r="R1091" s="546" t="s">
        <v>804</v>
      </c>
    </row>
    <row r="1092" spans="1:18" x14ac:dyDescent="0.3">
      <c r="A1092" t="s">
        <v>627</v>
      </c>
      <c r="B1092" s="16">
        <v>45828</v>
      </c>
      <c r="C1092" t="s">
        <v>3</v>
      </c>
      <c r="D1092" t="s">
        <v>127</v>
      </c>
      <c r="E1092">
        <v>3331</v>
      </c>
      <c r="F1092">
        <v>2323</v>
      </c>
      <c r="G1092">
        <v>37</v>
      </c>
      <c r="H1092">
        <v>18</v>
      </c>
      <c r="I1092">
        <v>62368</v>
      </c>
      <c r="J1092">
        <v>14</v>
      </c>
      <c r="K1092">
        <v>28898</v>
      </c>
      <c r="L1092">
        <v>9</v>
      </c>
      <c r="M1092">
        <v>165</v>
      </c>
      <c r="N1092">
        <v>2537</v>
      </c>
      <c r="O1092">
        <f t="shared" si="34"/>
        <v>2025</v>
      </c>
      <c r="P1092">
        <f t="shared" si="35"/>
        <v>6</v>
      </c>
      <c r="Q1092" t="s">
        <v>570</v>
      </c>
      <c r="R1092" s="546" t="s">
        <v>804</v>
      </c>
    </row>
    <row r="1093" spans="1:18" x14ac:dyDescent="0.3">
      <c r="A1093" t="s">
        <v>627</v>
      </c>
      <c r="B1093" s="16">
        <v>45828</v>
      </c>
      <c r="C1093" t="s">
        <v>3</v>
      </c>
      <c r="D1093" t="s">
        <v>126</v>
      </c>
      <c r="E1093">
        <v>83</v>
      </c>
      <c r="F1093">
        <v>58</v>
      </c>
      <c r="G1093">
        <v>2</v>
      </c>
      <c r="H1093">
        <v>6</v>
      </c>
      <c r="I1093">
        <v>0</v>
      </c>
      <c r="J1093">
        <v>0</v>
      </c>
      <c r="K1093">
        <v>0</v>
      </c>
      <c r="L1093">
        <v>0</v>
      </c>
      <c r="M1093">
        <v>15</v>
      </c>
      <c r="N1093">
        <v>78</v>
      </c>
      <c r="O1093">
        <f t="shared" si="34"/>
        <v>2025</v>
      </c>
      <c r="P1093">
        <f t="shared" si="35"/>
        <v>6</v>
      </c>
      <c r="Q1093" t="s">
        <v>570</v>
      </c>
      <c r="R1093" s="546" t="s">
        <v>804</v>
      </c>
    </row>
    <row r="1094" spans="1:18" x14ac:dyDescent="0.3">
      <c r="A1094" t="s">
        <v>627</v>
      </c>
      <c r="B1094" s="16">
        <v>45828</v>
      </c>
      <c r="C1094" t="s">
        <v>3</v>
      </c>
      <c r="D1094" t="s">
        <v>125</v>
      </c>
      <c r="E1094">
        <v>3</v>
      </c>
      <c r="F1094">
        <v>2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3</v>
      </c>
      <c r="O1094">
        <f t="shared" si="34"/>
        <v>2025</v>
      </c>
      <c r="P1094">
        <f t="shared" si="35"/>
        <v>6</v>
      </c>
      <c r="Q1094" t="s">
        <v>570</v>
      </c>
      <c r="R1094" s="546" t="s">
        <v>804</v>
      </c>
    </row>
    <row r="1095" spans="1:18" x14ac:dyDescent="0.3">
      <c r="A1095" t="s">
        <v>627</v>
      </c>
      <c r="B1095" s="16">
        <v>45828</v>
      </c>
      <c r="C1095" t="s">
        <v>3</v>
      </c>
      <c r="D1095" t="s">
        <v>123</v>
      </c>
      <c r="E1095">
        <v>150</v>
      </c>
      <c r="F1095">
        <v>75</v>
      </c>
      <c r="G1095">
        <v>9</v>
      </c>
      <c r="H1095">
        <v>2</v>
      </c>
      <c r="I1095">
        <v>9163</v>
      </c>
      <c r="J1095">
        <v>3</v>
      </c>
      <c r="K1095">
        <v>9163</v>
      </c>
      <c r="L1095">
        <v>3</v>
      </c>
      <c r="M1095">
        <v>44</v>
      </c>
      <c r="N1095">
        <v>138</v>
      </c>
      <c r="O1095">
        <f t="shared" si="34"/>
        <v>2025</v>
      </c>
      <c r="P1095">
        <f t="shared" si="35"/>
        <v>6</v>
      </c>
      <c r="Q1095" t="s">
        <v>570</v>
      </c>
      <c r="R1095" s="546" t="s">
        <v>804</v>
      </c>
    </row>
    <row r="1096" spans="1:18" x14ac:dyDescent="0.3">
      <c r="A1096" t="s">
        <v>627</v>
      </c>
      <c r="B1096" s="16">
        <v>45828</v>
      </c>
      <c r="C1096" t="s">
        <v>3</v>
      </c>
      <c r="D1096" t="s">
        <v>121</v>
      </c>
      <c r="E1096">
        <v>1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f t="shared" si="34"/>
        <v>2025</v>
      </c>
      <c r="P1096">
        <f t="shared" si="35"/>
        <v>6</v>
      </c>
      <c r="Q1096" t="s">
        <v>570</v>
      </c>
      <c r="R1096" s="546" t="s">
        <v>804</v>
      </c>
    </row>
    <row r="1097" spans="1:18" x14ac:dyDescent="0.3">
      <c r="A1097" t="s">
        <v>627</v>
      </c>
      <c r="B1097" s="16">
        <v>45828</v>
      </c>
      <c r="C1097" t="s">
        <v>3</v>
      </c>
      <c r="D1097" t="s">
        <v>119</v>
      </c>
      <c r="E1097">
        <v>232</v>
      </c>
      <c r="F1097">
        <v>66</v>
      </c>
      <c r="G1097">
        <v>13</v>
      </c>
      <c r="H1097">
        <v>7</v>
      </c>
      <c r="I1097">
        <v>50062.28</v>
      </c>
      <c r="J1097">
        <v>14</v>
      </c>
      <c r="K1097">
        <v>43665.279999999999</v>
      </c>
      <c r="L1097">
        <v>12</v>
      </c>
      <c r="M1097">
        <v>47</v>
      </c>
      <c r="N1097">
        <v>217</v>
      </c>
      <c r="O1097">
        <f t="shared" si="34"/>
        <v>2025</v>
      </c>
      <c r="P1097">
        <f t="shared" si="35"/>
        <v>6</v>
      </c>
      <c r="Q1097" t="s">
        <v>570</v>
      </c>
      <c r="R1097" s="546" t="s">
        <v>804</v>
      </c>
    </row>
    <row r="1098" spans="1:18" x14ac:dyDescent="0.3">
      <c r="A1098" t="s">
        <v>627</v>
      </c>
      <c r="B1098" s="16">
        <v>45828</v>
      </c>
      <c r="C1098" t="s">
        <v>3</v>
      </c>
      <c r="D1098" t="s">
        <v>583</v>
      </c>
      <c r="E1098">
        <v>1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</v>
      </c>
      <c r="O1098">
        <f t="shared" si="34"/>
        <v>2025</v>
      </c>
      <c r="P1098">
        <f t="shared" si="35"/>
        <v>6</v>
      </c>
      <c r="Q1098" t="s">
        <v>570</v>
      </c>
      <c r="R1098" s="546" t="s">
        <v>804</v>
      </c>
    </row>
    <row r="1099" spans="1:18" x14ac:dyDescent="0.3">
      <c r="A1099" t="s">
        <v>627</v>
      </c>
      <c r="B1099" s="16">
        <v>45828</v>
      </c>
      <c r="C1099" t="s">
        <v>3</v>
      </c>
      <c r="D1099" t="s">
        <v>252</v>
      </c>
      <c r="E1099">
        <v>11</v>
      </c>
      <c r="F1099">
        <v>11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2</v>
      </c>
      <c r="N1099">
        <v>11</v>
      </c>
      <c r="O1099">
        <f t="shared" si="34"/>
        <v>2025</v>
      </c>
      <c r="P1099">
        <f t="shared" si="35"/>
        <v>6</v>
      </c>
      <c r="Q1099" t="s">
        <v>570</v>
      </c>
      <c r="R1099" s="546" t="s">
        <v>804</v>
      </c>
    </row>
    <row r="1100" spans="1:18" x14ac:dyDescent="0.3">
      <c r="A1100" t="s">
        <v>627</v>
      </c>
      <c r="B1100" s="16">
        <v>45828</v>
      </c>
      <c r="C1100" t="s">
        <v>3</v>
      </c>
      <c r="D1100" t="s">
        <v>391</v>
      </c>
      <c r="E1100">
        <v>458</v>
      </c>
      <c r="F1100">
        <v>255</v>
      </c>
      <c r="G1100">
        <v>10</v>
      </c>
      <c r="H1100">
        <v>3</v>
      </c>
      <c r="I1100">
        <v>9683</v>
      </c>
      <c r="J1100">
        <v>3</v>
      </c>
      <c r="K1100">
        <v>2348</v>
      </c>
      <c r="L1100">
        <v>1</v>
      </c>
      <c r="M1100">
        <v>65</v>
      </c>
      <c r="N1100">
        <v>445</v>
      </c>
      <c r="O1100">
        <f t="shared" si="34"/>
        <v>2025</v>
      </c>
      <c r="P1100">
        <f t="shared" si="35"/>
        <v>6</v>
      </c>
      <c r="Q1100" t="s">
        <v>570</v>
      </c>
      <c r="R1100" s="546" t="s">
        <v>804</v>
      </c>
    </row>
    <row r="1101" spans="1:18" x14ac:dyDescent="0.3">
      <c r="A1101" t="s">
        <v>627</v>
      </c>
      <c r="B1101" s="16">
        <v>45828</v>
      </c>
      <c r="C1101" t="s">
        <v>3</v>
      </c>
      <c r="D1101" t="s">
        <v>114</v>
      </c>
      <c r="E1101">
        <v>149</v>
      </c>
      <c r="F1101">
        <v>78</v>
      </c>
      <c r="G1101">
        <v>4</v>
      </c>
      <c r="H1101">
        <v>5</v>
      </c>
      <c r="I1101">
        <v>0</v>
      </c>
      <c r="J1101">
        <v>0</v>
      </c>
      <c r="K1101">
        <v>0</v>
      </c>
      <c r="L1101">
        <v>0</v>
      </c>
      <c r="M1101">
        <v>12</v>
      </c>
      <c r="N1101">
        <v>145</v>
      </c>
      <c r="O1101">
        <f t="shared" si="34"/>
        <v>2025</v>
      </c>
      <c r="P1101">
        <f t="shared" si="35"/>
        <v>6</v>
      </c>
      <c r="Q1101" t="s">
        <v>570</v>
      </c>
      <c r="R1101" s="546" t="s">
        <v>804</v>
      </c>
    </row>
    <row r="1102" spans="1:18" x14ac:dyDescent="0.3">
      <c r="A1102" t="s">
        <v>627</v>
      </c>
      <c r="B1102" s="16">
        <v>45828</v>
      </c>
      <c r="C1102" t="s">
        <v>3</v>
      </c>
      <c r="D1102" t="s">
        <v>113</v>
      </c>
      <c r="E1102">
        <v>104</v>
      </c>
      <c r="F1102">
        <v>59</v>
      </c>
      <c r="G1102">
        <v>7</v>
      </c>
      <c r="H1102">
        <v>0</v>
      </c>
      <c r="I1102">
        <v>3180</v>
      </c>
      <c r="J1102">
        <v>2</v>
      </c>
      <c r="K1102">
        <v>3180</v>
      </c>
      <c r="L1102">
        <v>2</v>
      </c>
      <c r="M1102">
        <v>72</v>
      </c>
      <c r="N1102">
        <v>50</v>
      </c>
      <c r="O1102">
        <f t="shared" si="34"/>
        <v>2025</v>
      </c>
      <c r="P1102">
        <f t="shared" si="35"/>
        <v>6</v>
      </c>
      <c r="Q1102" t="s">
        <v>570</v>
      </c>
      <c r="R1102" s="546" t="s">
        <v>804</v>
      </c>
    </row>
    <row r="1103" spans="1:18" x14ac:dyDescent="0.3">
      <c r="A1103" t="s">
        <v>627</v>
      </c>
      <c r="B1103" s="16">
        <v>45828</v>
      </c>
      <c r="C1103" t="s">
        <v>3</v>
      </c>
      <c r="D1103" t="s">
        <v>112</v>
      </c>
      <c r="E1103">
        <v>30</v>
      </c>
      <c r="F1103">
        <v>7</v>
      </c>
      <c r="G1103">
        <v>2</v>
      </c>
      <c r="H1103">
        <v>0</v>
      </c>
      <c r="I1103">
        <v>28360</v>
      </c>
      <c r="J1103">
        <v>5</v>
      </c>
      <c r="K1103">
        <v>23390</v>
      </c>
      <c r="L1103">
        <v>4</v>
      </c>
      <c r="M1103">
        <v>0</v>
      </c>
      <c r="N1103">
        <v>30</v>
      </c>
      <c r="O1103">
        <f t="shared" si="34"/>
        <v>2025</v>
      </c>
      <c r="P1103">
        <f t="shared" si="35"/>
        <v>6</v>
      </c>
      <c r="Q1103" t="s">
        <v>570</v>
      </c>
      <c r="R1103" s="546" t="s">
        <v>804</v>
      </c>
    </row>
    <row r="1104" spans="1:18" x14ac:dyDescent="0.3">
      <c r="A1104" t="s">
        <v>627</v>
      </c>
      <c r="B1104" s="16">
        <v>45828</v>
      </c>
      <c r="C1104" t="s">
        <v>3</v>
      </c>
      <c r="D1104" t="s">
        <v>111</v>
      </c>
      <c r="E1104">
        <v>2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2</v>
      </c>
      <c r="O1104">
        <f t="shared" si="34"/>
        <v>2025</v>
      </c>
      <c r="P1104">
        <f t="shared" si="35"/>
        <v>6</v>
      </c>
      <c r="Q1104" t="s">
        <v>570</v>
      </c>
      <c r="R1104" s="546" t="s">
        <v>804</v>
      </c>
    </row>
    <row r="1105" spans="1:18" x14ac:dyDescent="0.3">
      <c r="A1105" t="s">
        <v>627</v>
      </c>
      <c r="B1105" s="16">
        <v>45827</v>
      </c>
      <c r="C1105" t="s">
        <v>2</v>
      </c>
      <c r="D1105" t="s">
        <v>4</v>
      </c>
      <c r="E1105">
        <v>267</v>
      </c>
      <c r="F1105">
        <v>82</v>
      </c>
      <c r="G1105">
        <v>5</v>
      </c>
      <c r="H1105">
        <v>0</v>
      </c>
      <c r="I1105">
        <v>6385</v>
      </c>
      <c r="J1105">
        <v>2</v>
      </c>
      <c r="K1105">
        <v>6385</v>
      </c>
      <c r="L1105">
        <v>2</v>
      </c>
      <c r="M1105">
        <v>3</v>
      </c>
      <c r="N1105">
        <v>265</v>
      </c>
      <c r="O1105">
        <f t="shared" si="34"/>
        <v>2025</v>
      </c>
      <c r="P1105">
        <f t="shared" si="35"/>
        <v>6</v>
      </c>
      <c r="Q1105" t="s">
        <v>570</v>
      </c>
      <c r="R1105" s="546" t="s">
        <v>804</v>
      </c>
    </row>
    <row r="1106" spans="1:18" x14ac:dyDescent="0.3">
      <c r="A1106" t="s">
        <v>627</v>
      </c>
      <c r="B1106" s="16">
        <v>45827</v>
      </c>
      <c r="C1106" t="s">
        <v>2</v>
      </c>
      <c r="D1106" t="s">
        <v>57</v>
      </c>
      <c r="E1106">
        <v>23809</v>
      </c>
      <c r="F1106">
        <v>16836</v>
      </c>
      <c r="G1106">
        <v>253</v>
      </c>
      <c r="H1106">
        <v>234</v>
      </c>
      <c r="I1106">
        <v>297417</v>
      </c>
      <c r="J1106">
        <v>78</v>
      </c>
      <c r="K1106">
        <v>177620</v>
      </c>
      <c r="L1106">
        <v>54</v>
      </c>
      <c r="M1106">
        <v>1063</v>
      </c>
      <c r="N1106">
        <v>23580</v>
      </c>
      <c r="O1106">
        <f t="shared" si="34"/>
        <v>2025</v>
      </c>
      <c r="P1106">
        <f t="shared" si="35"/>
        <v>6</v>
      </c>
      <c r="Q1106" t="s">
        <v>570</v>
      </c>
      <c r="R1106" s="546" t="s">
        <v>804</v>
      </c>
    </row>
    <row r="1107" spans="1:18" x14ac:dyDescent="0.3">
      <c r="A1107" t="s">
        <v>627</v>
      </c>
      <c r="B1107" s="16">
        <v>45827</v>
      </c>
      <c r="C1107" t="s">
        <v>2</v>
      </c>
      <c r="D1107" t="s">
        <v>55</v>
      </c>
      <c r="E1107">
        <v>1150</v>
      </c>
      <c r="F1107">
        <v>901</v>
      </c>
      <c r="G1107">
        <v>11</v>
      </c>
      <c r="H1107">
        <v>1</v>
      </c>
      <c r="I1107">
        <v>0</v>
      </c>
      <c r="J1107">
        <v>0</v>
      </c>
      <c r="K1107">
        <v>0</v>
      </c>
      <c r="L1107">
        <v>0</v>
      </c>
      <c r="M1107">
        <v>17</v>
      </c>
      <c r="N1107">
        <v>159</v>
      </c>
      <c r="O1107">
        <f t="shared" si="34"/>
        <v>2025</v>
      </c>
      <c r="P1107">
        <f t="shared" si="35"/>
        <v>6</v>
      </c>
      <c r="Q1107" t="s">
        <v>570</v>
      </c>
      <c r="R1107" s="546" t="s">
        <v>804</v>
      </c>
    </row>
    <row r="1108" spans="1:18" x14ac:dyDescent="0.3">
      <c r="A1108" t="s">
        <v>627</v>
      </c>
      <c r="B1108" s="16">
        <v>45827</v>
      </c>
      <c r="C1108" t="s">
        <v>3</v>
      </c>
      <c r="D1108" t="s">
        <v>155</v>
      </c>
      <c r="E1108">
        <v>6</v>
      </c>
      <c r="F1108">
        <v>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6</v>
      </c>
      <c r="O1108">
        <f t="shared" si="34"/>
        <v>2025</v>
      </c>
      <c r="P1108">
        <f t="shared" si="35"/>
        <v>6</v>
      </c>
      <c r="Q1108" t="s">
        <v>570</v>
      </c>
      <c r="R1108" s="546" t="s">
        <v>804</v>
      </c>
    </row>
    <row r="1109" spans="1:18" x14ac:dyDescent="0.3">
      <c r="A1109" t="s">
        <v>627</v>
      </c>
      <c r="B1109" s="16">
        <v>45827</v>
      </c>
      <c r="C1109" t="s">
        <v>3</v>
      </c>
      <c r="D1109" t="s">
        <v>154</v>
      </c>
      <c r="E1109">
        <v>327</v>
      </c>
      <c r="F1109">
        <v>303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f t="shared" si="34"/>
        <v>2025</v>
      </c>
      <c r="P1109">
        <f t="shared" si="35"/>
        <v>6</v>
      </c>
      <c r="Q1109" t="s">
        <v>570</v>
      </c>
      <c r="R1109" s="546" t="s">
        <v>804</v>
      </c>
    </row>
    <row r="1110" spans="1:18" x14ac:dyDescent="0.3">
      <c r="A1110" t="s">
        <v>627</v>
      </c>
      <c r="B1110" s="16">
        <v>45827</v>
      </c>
      <c r="C1110" t="s">
        <v>3</v>
      </c>
      <c r="D1110" t="s">
        <v>153</v>
      </c>
      <c r="E1110">
        <v>292</v>
      </c>
      <c r="F1110">
        <v>82</v>
      </c>
      <c r="G1110">
        <v>38</v>
      </c>
      <c r="H1110">
        <v>1</v>
      </c>
      <c r="I1110">
        <v>162399</v>
      </c>
      <c r="J1110">
        <v>44</v>
      </c>
      <c r="K1110">
        <v>143652</v>
      </c>
      <c r="L1110">
        <v>42</v>
      </c>
      <c r="M1110">
        <v>74</v>
      </c>
      <c r="N1110">
        <v>285</v>
      </c>
      <c r="O1110">
        <f t="shared" si="34"/>
        <v>2025</v>
      </c>
      <c r="P1110">
        <f t="shared" si="35"/>
        <v>6</v>
      </c>
      <c r="Q1110" t="s">
        <v>570</v>
      </c>
      <c r="R1110" s="546" t="s">
        <v>804</v>
      </c>
    </row>
    <row r="1111" spans="1:18" x14ac:dyDescent="0.3">
      <c r="A1111" t="s">
        <v>627</v>
      </c>
      <c r="B1111" s="16">
        <v>45827</v>
      </c>
      <c r="C1111" t="s">
        <v>3</v>
      </c>
      <c r="D1111" t="s">
        <v>152</v>
      </c>
      <c r="E1111">
        <v>176</v>
      </c>
      <c r="F1111">
        <v>153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13</v>
      </c>
      <c r="O1111">
        <f t="shared" si="34"/>
        <v>2025</v>
      </c>
      <c r="P1111">
        <f t="shared" si="35"/>
        <v>6</v>
      </c>
      <c r="Q1111" t="s">
        <v>570</v>
      </c>
      <c r="R1111" s="546" t="s">
        <v>804</v>
      </c>
    </row>
    <row r="1112" spans="1:18" x14ac:dyDescent="0.3">
      <c r="A1112" t="s">
        <v>627</v>
      </c>
      <c r="B1112" s="16">
        <v>45827</v>
      </c>
      <c r="C1112" t="s">
        <v>3</v>
      </c>
      <c r="D1112" t="s">
        <v>150</v>
      </c>
      <c r="E1112">
        <v>187</v>
      </c>
      <c r="F1112">
        <v>177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3</v>
      </c>
      <c r="O1112">
        <f t="shared" si="34"/>
        <v>2025</v>
      </c>
      <c r="P1112">
        <f t="shared" si="35"/>
        <v>6</v>
      </c>
      <c r="Q1112" t="s">
        <v>570</v>
      </c>
      <c r="R1112" s="546" t="s">
        <v>804</v>
      </c>
    </row>
    <row r="1113" spans="1:18" x14ac:dyDescent="0.3">
      <c r="A1113" t="s">
        <v>627</v>
      </c>
      <c r="B1113" s="16">
        <v>45827</v>
      </c>
      <c r="C1113" t="s">
        <v>3</v>
      </c>
      <c r="D1113" t="s">
        <v>149</v>
      </c>
      <c r="E1113">
        <v>18</v>
      </c>
      <c r="F1113">
        <v>10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3</v>
      </c>
      <c r="O1113">
        <f t="shared" si="34"/>
        <v>2025</v>
      </c>
      <c r="P1113">
        <f t="shared" si="35"/>
        <v>6</v>
      </c>
      <c r="Q1113" t="s">
        <v>570</v>
      </c>
      <c r="R1113" s="546" t="s">
        <v>804</v>
      </c>
    </row>
    <row r="1114" spans="1:18" x14ac:dyDescent="0.3">
      <c r="A1114" t="s">
        <v>627</v>
      </c>
      <c r="B1114" s="16">
        <v>45827</v>
      </c>
      <c r="C1114" t="s">
        <v>3</v>
      </c>
      <c r="D1114" t="s">
        <v>148</v>
      </c>
      <c r="E1114">
        <v>8</v>
      </c>
      <c r="F1114">
        <v>8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8</v>
      </c>
      <c r="N1114">
        <v>0</v>
      </c>
      <c r="O1114">
        <f t="shared" si="34"/>
        <v>2025</v>
      </c>
      <c r="P1114">
        <f t="shared" si="35"/>
        <v>6</v>
      </c>
      <c r="Q1114" t="s">
        <v>570</v>
      </c>
      <c r="R1114" s="546" t="s">
        <v>804</v>
      </c>
    </row>
    <row r="1115" spans="1:18" x14ac:dyDescent="0.3">
      <c r="A1115" t="s">
        <v>627</v>
      </c>
      <c r="B1115" s="16">
        <v>45827</v>
      </c>
      <c r="C1115" t="s">
        <v>3</v>
      </c>
      <c r="D1115" t="s">
        <v>367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f t="shared" si="34"/>
        <v>2025</v>
      </c>
      <c r="P1115">
        <f t="shared" si="35"/>
        <v>6</v>
      </c>
      <c r="Q1115" t="s">
        <v>570</v>
      </c>
      <c r="R1115" s="546" t="s">
        <v>804</v>
      </c>
    </row>
    <row r="1116" spans="1:18" x14ac:dyDescent="0.3">
      <c r="A1116" t="s">
        <v>627</v>
      </c>
      <c r="B1116" s="16">
        <v>45827</v>
      </c>
      <c r="C1116" t="s">
        <v>3</v>
      </c>
      <c r="D1116" t="s">
        <v>146</v>
      </c>
      <c r="E1116">
        <v>1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f t="shared" si="34"/>
        <v>2025</v>
      </c>
      <c r="P1116">
        <f t="shared" si="35"/>
        <v>6</v>
      </c>
      <c r="Q1116" t="s">
        <v>570</v>
      </c>
      <c r="R1116" s="546" t="s">
        <v>804</v>
      </c>
    </row>
    <row r="1117" spans="1:18" x14ac:dyDescent="0.3">
      <c r="A1117" t="s">
        <v>627</v>
      </c>
      <c r="B1117" s="16">
        <v>45827</v>
      </c>
      <c r="C1117" t="s">
        <v>3</v>
      </c>
      <c r="D1117" t="s">
        <v>630</v>
      </c>
      <c r="E1117">
        <v>32</v>
      </c>
      <c r="F1117">
        <v>14</v>
      </c>
      <c r="G1117">
        <v>3</v>
      </c>
      <c r="H1117">
        <v>0</v>
      </c>
      <c r="I1117">
        <v>17920</v>
      </c>
      <c r="J1117">
        <v>3</v>
      </c>
      <c r="K1117">
        <v>17920</v>
      </c>
      <c r="L1117">
        <v>3</v>
      </c>
      <c r="M1117">
        <v>1</v>
      </c>
      <c r="N1117">
        <v>12</v>
      </c>
      <c r="O1117">
        <f t="shared" si="34"/>
        <v>2025</v>
      </c>
      <c r="P1117">
        <f t="shared" si="35"/>
        <v>6</v>
      </c>
      <c r="Q1117" t="s">
        <v>570</v>
      </c>
      <c r="R1117" s="546" t="s">
        <v>804</v>
      </c>
    </row>
    <row r="1118" spans="1:18" x14ac:dyDescent="0.3">
      <c r="A1118" t="s">
        <v>627</v>
      </c>
      <c r="B1118" s="16">
        <v>45827</v>
      </c>
      <c r="C1118" t="s">
        <v>3</v>
      </c>
      <c r="D1118" t="s">
        <v>251</v>
      </c>
      <c r="E1118">
        <v>4139</v>
      </c>
      <c r="F1118">
        <v>3819</v>
      </c>
      <c r="G1118">
        <v>24</v>
      </c>
      <c r="H1118">
        <v>4</v>
      </c>
      <c r="I1118">
        <v>33436.449999999997</v>
      </c>
      <c r="J1118">
        <v>8</v>
      </c>
      <c r="K1118">
        <v>29636.45</v>
      </c>
      <c r="L1118">
        <v>7</v>
      </c>
      <c r="M1118">
        <v>62</v>
      </c>
      <c r="N1118">
        <v>216</v>
      </c>
      <c r="O1118">
        <f t="shared" si="34"/>
        <v>2025</v>
      </c>
      <c r="P1118">
        <f t="shared" si="35"/>
        <v>6</v>
      </c>
      <c r="Q1118" t="s">
        <v>570</v>
      </c>
      <c r="R1118" s="546" t="s">
        <v>804</v>
      </c>
    </row>
    <row r="1119" spans="1:18" x14ac:dyDescent="0.3">
      <c r="A1119" t="s">
        <v>627</v>
      </c>
      <c r="B1119" s="16">
        <v>45827</v>
      </c>
      <c r="C1119" t="s">
        <v>3</v>
      </c>
      <c r="D1119" t="s">
        <v>143</v>
      </c>
      <c r="E1119">
        <v>24</v>
      </c>
      <c r="F1119">
        <v>20</v>
      </c>
      <c r="G1119">
        <v>2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24</v>
      </c>
      <c r="O1119">
        <f t="shared" si="34"/>
        <v>2025</v>
      </c>
      <c r="P1119">
        <f t="shared" si="35"/>
        <v>6</v>
      </c>
      <c r="Q1119" t="s">
        <v>570</v>
      </c>
      <c r="R1119" s="546" t="s">
        <v>804</v>
      </c>
    </row>
    <row r="1120" spans="1:18" x14ac:dyDescent="0.3">
      <c r="A1120" t="s">
        <v>627</v>
      </c>
      <c r="B1120" s="16">
        <v>45827</v>
      </c>
      <c r="C1120" t="s">
        <v>3</v>
      </c>
      <c r="D1120" t="s">
        <v>141</v>
      </c>
      <c r="E1120">
        <v>298</v>
      </c>
      <c r="F1120">
        <v>196</v>
      </c>
      <c r="G1120">
        <v>7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3</v>
      </c>
      <c r="N1120">
        <v>295</v>
      </c>
      <c r="O1120">
        <f t="shared" si="34"/>
        <v>2025</v>
      </c>
      <c r="P1120">
        <f t="shared" si="35"/>
        <v>6</v>
      </c>
      <c r="Q1120" t="s">
        <v>570</v>
      </c>
      <c r="R1120" s="546" t="s">
        <v>804</v>
      </c>
    </row>
    <row r="1121" spans="1:18" x14ac:dyDescent="0.3">
      <c r="A1121" t="s">
        <v>627</v>
      </c>
      <c r="B1121" s="16">
        <v>45827</v>
      </c>
      <c r="C1121" t="s">
        <v>3</v>
      </c>
      <c r="D1121" t="s">
        <v>140</v>
      </c>
      <c r="E1121">
        <v>7</v>
      </c>
      <c r="F1121">
        <v>7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</v>
      </c>
      <c r="N1121">
        <v>5</v>
      </c>
      <c r="O1121">
        <f t="shared" si="34"/>
        <v>2025</v>
      </c>
      <c r="P1121">
        <f t="shared" si="35"/>
        <v>6</v>
      </c>
      <c r="Q1121" t="s">
        <v>570</v>
      </c>
      <c r="R1121" s="546" t="s">
        <v>804</v>
      </c>
    </row>
    <row r="1122" spans="1:18" x14ac:dyDescent="0.3">
      <c r="A1122" t="s">
        <v>627</v>
      </c>
      <c r="B1122" s="16">
        <v>45827</v>
      </c>
      <c r="C1122" t="s">
        <v>3</v>
      </c>
      <c r="D1122" t="s">
        <v>139</v>
      </c>
      <c r="E1122">
        <v>625</v>
      </c>
      <c r="F1122">
        <v>401</v>
      </c>
      <c r="G1122">
        <v>25</v>
      </c>
      <c r="H1122">
        <v>3</v>
      </c>
      <c r="I1122">
        <v>77252</v>
      </c>
      <c r="J1122">
        <v>13</v>
      </c>
      <c r="K1122">
        <v>62230</v>
      </c>
      <c r="L1122">
        <v>12</v>
      </c>
      <c r="M1122">
        <v>189</v>
      </c>
      <c r="N1122">
        <v>338</v>
      </c>
      <c r="O1122">
        <f t="shared" si="34"/>
        <v>2025</v>
      </c>
      <c r="P1122">
        <f t="shared" si="35"/>
        <v>6</v>
      </c>
      <c r="Q1122" t="s">
        <v>570</v>
      </c>
      <c r="R1122" s="546" t="s">
        <v>804</v>
      </c>
    </row>
    <row r="1123" spans="1:18" x14ac:dyDescent="0.3">
      <c r="A1123" t="s">
        <v>627</v>
      </c>
      <c r="B1123" s="16">
        <v>45827</v>
      </c>
      <c r="C1123" t="s">
        <v>3</v>
      </c>
      <c r="D1123" t="s">
        <v>138</v>
      </c>
      <c r="E1123">
        <v>8</v>
      </c>
      <c r="F1123">
        <v>6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4</v>
      </c>
      <c r="N1123">
        <v>7</v>
      </c>
      <c r="O1123">
        <f t="shared" si="34"/>
        <v>2025</v>
      </c>
      <c r="P1123">
        <f t="shared" si="35"/>
        <v>6</v>
      </c>
      <c r="Q1123" t="s">
        <v>570</v>
      </c>
      <c r="R1123" s="546" t="s">
        <v>804</v>
      </c>
    </row>
    <row r="1124" spans="1:18" x14ac:dyDescent="0.3">
      <c r="A1124" t="s">
        <v>627</v>
      </c>
      <c r="B1124" s="16">
        <v>45827</v>
      </c>
      <c r="C1124" t="s">
        <v>3</v>
      </c>
      <c r="D1124" t="s">
        <v>135</v>
      </c>
      <c r="E1124">
        <v>32</v>
      </c>
      <c r="F1124">
        <v>14</v>
      </c>
      <c r="G1124">
        <v>3</v>
      </c>
      <c r="H1124">
        <v>0</v>
      </c>
      <c r="I1124">
        <v>17920</v>
      </c>
      <c r="J1124">
        <v>3</v>
      </c>
      <c r="K1124">
        <v>17920</v>
      </c>
      <c r="L1124">
        <v>3</v>
      </c>
      <c r="M1124">
        <v>1</v>
      </c>
      <c r="N1124">
        <v>12</v>
      </c>
      <c r="O1124">
        <f t="shared" si="34"/>
        <v>2025</v>
      </c>
      <c r="P1124">
        <f t="shared" si="35"/>
        <v>6</v>
      </c>
      <c r="Q1124" t="s">
        <v>570</v>
      </c>
      <c r="R1124" s="546" t="s">
        <v>804</v>
      </c>
    </row>
    <row r="1125" spans="1:18" x14ac:dyDescent="0.3">
      <c r="A1125" t="s">
        <v>627</v>
      </c>
      <c r="B1125" s="16">
        <v>45827</v>
      </c>
      <c r="C1125" t="s">
        <v>3</v>
      </c>
      <c r="D1125" t="s">
        <v>133</v>
      </c>
      <c r="E1125">
        <v>37</v>
      </c>
      <c r="F1125">
        <v>26</v>
      </c>
      <c r="G1125">
        <v>3</v>
      </c>
      <c r="H1125">
        <v>0</v>
      </c>
      <c r="I1125">
        <v>2490</v>
      </c>
      <c r="J1125">
        <v>1</v>
      </c>
      <c r="K1125">
        <v>0</v>
      </c>
      <c r="L1125">
        <v>0</v>
      </c>
      <c r="M1125">
        <v>24</v>
      </c>
      <c r="N1125">
        <v>25</v>
      </c>
      <c r="O1125">
        <f t="shared" si="34"/>
        <v>2025</v>
      </c>
      <c r="P1125">
        <f t="shared" si="35"/>
        <v>6</v>
      </c>
      <c r="Q1125" t="s">
        <v>570</v>
      </c>
      <c r="R1125" s="546" t="s">
        <v>804</v>
      </c>
    </row>
    <row r="1126" spans="1:18" x14ac:dyDescent="0.3">
      <c r="A1126" t="s">
        <v>627</v>
      </c>
      <c r="B1126" s="16">
        <v>45827</v>
      </c>
      <c r="C1126" t="s">
        <v>3</v>
      </c>
      <c r="D1126" t="s">
        <v>130</v>
      </c>
      <c r="E1126">
        <v>78</v>
      </c>
      <c r="F1126">
        <v>36</v>
      </c>
      <c r="G1126">
        <v>12</v>
      </c>
      <c r="H1126">
        <v>2</v>
      </c>
      <c r="I1126">
        <v>40854</v>
      </c>
      <c r="J1126">
        <v>9</v>
      </c>
      <c r="K1126">
        <v>32772</v>
      </c>
      <c r="L1126">
        <v>8</v>
      </c>
      <c r="M1126">
        <v>33</v>
      </c>
      <c r="N1126">
        <v>69</v>
      </c>
      <c r="O1126">
        <f t="shared" si="34"/>
        <v>2025</v>
      </c>
      <c r="P1126">
        <f t="shared" si="35"/>
        <v>6</v>
      </c>
      <c r="Q1126" t="s">
        <v>570</v>
      </c>
      <c r="R1126" s="546" t="s">
        <v>804</v>
      </c>
    </row>
    <row r="1127" spans="1:18" x14ac:dyDescent="0.3">
      <c r="A1127" t="s">
        <v>627</v>
      </c>
      <c r="B1127" s="16">
        <v>45827</v>
      </c>
      <c r="C1127" t="s">
        <v>3</v>
      </c>
      <c r="D1127" t="s">
        <v>128</v>
      </c>
      <c r="E1127">
        <v>726</v>
      </c>
      <c r="F1127">
        <v>520</v>
      </c>
      <c r="G1127">
        <v>40</v>
      </c>
      <c r="H1127">
        <v>4</v>
      </c>
      <c r="I1127">
        <v>46105</v>
      </c>
      <c r="J1127">
        <v>8</v>
      </c>
      <c r="K1127">
        <v>35740</v>
      </c>
      <c r="L1127">
        <v>7</v>
      </c>
      <c r="M1127">
        <v>310</v>
      </c>
      <c r="N1127">
        <v>537</v>
      </c>
      <c r="O1127">
        <f t="shared" si="34"/>
        <v>2025</v>
      </c>
      <c r="P1127">
        <f t="shared" si="35"/>
        <v>6</v>
      </c>
      <c r="Q1127" t="s">
        <v>570</v>
      </c>
      <c r="R1127" s="546" t="s">
        <v>804</v>
      </c>
    </row>
    <row r="1128" spans="1:18" x14ac:dyDescent="0.3">
      <c r="A1128" t="s">
        <v>627</v>
      </c>
      <c r="B1128" s="16">
        <v>45827</v>
      </c>
      <c r="C1128" t="s">
        <v>3</v>
      </c>
      <c r="D1128" t="s">
        <v>127</v>
      </c>
      <c r="E1128">
        <v>3334</v>
      </c>
      <c r="F1128">
        <v>2346</v>
      </c>
      <c r="G1128">
        <v>29</v>
      </c>
      <c r="H1128">
        <v>14</v>
      </c>
      <c r="I1128">
        <v>16127</v>
      </c>
      <c r="J1128">
        <v>6</v>
      </c>
      <c r="K1128">
        <v>14637</v>
      </c>
      <c r="L1128">
        <v>5</v>
      </c>
      <c r="M1128">
        <v>158</v>
      </c>
      <c r="N1128">
        <v>2513</v>
      </c>
      <c r="O1128">
        <f t="shared" si="34"/>
        <v>2025</v>
      </c>
      <c r="P1128">
        <f t="shared" si="35"/>
        <v>6</v>
      </c>
      <c r="Q1128" t="s">
        <v>570</v>
      </c>
      <c r="R1128" s="546" t="s">
        <v>804</v>
      </c>
    </row>
    <row r="1129" spans="1:18" x14ac:dyDescent="0.3">
      <c r="A1129" t="s">
        <v>627</v>
      </c>
      <c r="B1129" s="16">
        <v>45827</v>
      </c>
      <c r="C1129" t="s">
        <v>3</v>
      </c>
      <c r="D1129" t="s">
        <v>126</v>
      </c>
      <c r="E1129">
        <v>87</v>
      </c>
      <c r="F1129">
        <v>55</v>
      </c>
      <c r="G1129">
        <v>1</v>
      </c>
      <c r="H1129">
        <v>3</v>
      </c>
      <c r="I1129">
        <v>7555</v>
      </c>
      <c r="J1129">
        <v>2</v>
      </c>
      <c r="K1129">
        <v>5065</v>
      </c>
      <c r="L1129">
        <v>1</v>
      </c>
      <c r="M1129">
        <v>15</v>
      </c>
      <c r="N1129">
        <v>84</v>
      </c>
      <c r="O1129">
        <f t="shared" si="34"/>
        <v>2025</v>
      </c>
      <c r="P1129">
        <f t="shared" si="35"/>
        <v>6</v>
      </c>
      <c r="Q1129" t="s">
        <v>570</v>
      </c>
      <c r="R1129" s="546" t="s">
        <v>804</v>
      </c>
    </row>
    <row r="1130" spans="1:18" x14ac:dyDescent="0.3">
      <c r="A1130" t="s">
        <v>627</v>
      </c>
      <c r="B1130" s="16">
        <v>45827</v>
      </c>
      <c r="C1130" t="s">
        <v>3</v>
      </c>
      <c r="D1130" t="s">
        <v>125</v>
      </c>
      <c r="E1130">
        <v>3</v>
      </c>
      <c r="F1130">
        <v>2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3</v>
      </c>
      <c r="O1130">
        <f t="shared" si="34"/>
        <v>2025</v>
      </c>
      <c r="P1130">
        <f t="shared" si="35"/>
        <v>6</v>
      </c>
      <c r="Q1130" t="s">
        <v>570</v>
      </c>
      <c r="R1130" s="546" t="s">
        <v>804</v>
      </c>
    </row>
    <row r="1131" spans="1:18" x14ac:dyDescent="0.3">
      <c r="A1131" t="s">
        <v>627</v>
      </c>
      <c r="B1131" s="16">
        <v>45827</v>
      </c>
      <c r="C1131" t="s">
        <v>3</v>
      </c>
      <c r="D1131" t="s">
        <v>123</v>
      </c>
      <c r="E1131">
        <v>190</v>
      </c>
      <c r="F1131">
        <v>92</v>
      </c>
      <c r="G1131">
        <v>9</v>
      </c>
      <c r="H1131">
        <v>5</v>
      </c>
      <c r="I1131">
        <v>19595</v>
      </c>
      <c r="J1131">
        <v>8</v>
      </c>
      <c r="K1131">
        <v>19595</v>
      </c>
      <c r="L1131">
        <v>8</v>
      </c>
      <c r="M1131">
        <v>48</v>
      </c>
      <c r="N1131">
        <v>174</v>
      </c>
      <c r="O1131">
        <f t="shared" si="34"/>
        <v>2025</v>
      </c>
      <c r="P1131">
        <f t="shared" si="35"/>
        <v>6</v>
      </c>
      <c r="Q1131" t="s">
        <v>570</v>
      </c>
      <c r="R1131" s="546" t="s">
        <v>804</v>
      </c>
    </row>
    <row r="1132" spans="1:18" x14ac:dyDescent="0.3">
      <c r="A1132" t="s">
        <v>627</v>
      </c>
      <c r="B1132" s="16">
        <v>45827</v>
      </c>
      <c r="C1132" t="s">
        <v>3</v>
      </c>
      <c r="D1132" t="s">
        <v>121</v>
      </c>
      <c r="E1132">
        <v>2</v>
      </c>
      <c r="F1132">
        <v>2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1</v>
      </c>
      <c r="O1132">
        <f t="shared" si="34"/>
        <v>2025</v>
      </c>
      <c r="P1132">
        <f t="shared" si="35"/>
        <v>6</v>
      </c>
      <c r="Q1132" t="s">
        <v>570</v>
      </c>
      <c r="R1132" s="546" t="s">
        <v>804</v>
      </c>
    </row>
    <row r="1133" spans="1:18" x14ac:dyDescent="0.3">
      <c r="A1133" t="s">
        <v>627</v>
      </c>
      <c r="B1133" s="16">
        <v>45827</v>
      </c>
      <c r="C1133" t="s">
        <v>3</v>
      </c>
      <c r="D1133" t="s">
        <v>119</v>
      </c>
      <c r="E1133">
        <v>254</v>
      </c>
      <c r="F1133">
        <v>82</v>
      </c>
      <c r="G1133">
        <v>22</v>
      </c>
      <c r="H1133">
        <v>4</v>
      </c>
      <c r="I1133">
        <v>51494</v>
      </c>
      <c r="J1133">
        <v>15</v>
      </c>
      <c r="K1133">
        <v>43804</v>
      </c>
      <c r="L1133">
        <v>14</v>
      </c>
      <c r="M1133">
        <v>45</v>
      </c>
      <c r="N1133">
        <v>242</v>
      </c>
      <c r="O1133">
        <f t="shared" si="34"/>
        <v>2025</v>
      </c>
      <c r="P1133">
        <f t="shared" si="35"/>
        <v>6</v>
      </c>
      <c r="Q1133" t="s">
        <v>570</v>
      </c>
      <c r="R1133" s="546" t="s">
        <v>804</v>
      </c>
    </row>
    <row r="1134" spans="1:18" x14ac:dyDescent="0.3">
      <c r="A1134" t="s">
        <v>627</v>
      </c>
      <c r="B1134" s="16">
        <v>45827</v>
      </c>
      <c r="C1134" t="s">
        <v>3</v>
      </c>
      <c r="D1134" t="s">
        <v>583</v>
      </c>
      <c r="E1134">
        <v>1</v>
      </c>
      <c r="F1134">
        <v>1</v>
      </c>
      <c r="G1134">
        <v>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</v>
      </c>
      <c r="O1134">
        <f t="shared" si="34"/>
        <v>2025</v>
      </c>
      <c r="P1134">
        <f t="shared" si="35"/>
        <v>6</v>
      </c>
      <c r="Q1134" t="s">
        <v>570</v>
      </c>
      <c r="R1134" s="546" t="s">
        <v>804</v>
      </c>
    </row>
    <row r="1135" spans="1:18" x14ac:dyDescent="0.3">
      <c r="A1135" t="s">
        <v>627</v>
      </c>
      <c r="B1135" s="16">
        <v>45827</v>
      </c>
      <c r="C1135" t="s">
        <v>3</v>
      </c>
      <c r="D1135" t="s">
        <v>252</v>
      </c>
      <c r="E1135">
        <v>10</v>
      </c>
      <c r="F1135">
        <v>10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  <c r="N1135">
        <v>10</v>
      </c>
      <c r="O1135">
        <f t="shared" ref="O1135:O1198" si="36">YEAR(B1135)</f>
        <v>2025</v>
      </c>
      <c r="P1135">
        <f t="shared" ref="P1135:P1198" si="37">MONTH(B1135)</f>
        <v>6</v>
      </c>
      <c r="Q1135" t="s">
        <v>570</v>
      </c>
      <c r="R1135" s="546" t="s">
        <v>804</v>
      </c>
    </row>
    <row r="1136" spans="1:18" x14ac:dyDescent="0.3">
      <c r="A1136" t="s">
        <v>627</v>
      </c>
      <c r="B1136" s="16">
        <v>45827</v>
      </c>
      <c r="C1136" t="s">
        <v>3</v>
      </c>
      <c r="D1136" t="s">
        <v>117</v>
      </c>
      <c r="E1136">
        <v>2</v>
      </c>
      <c r="F1136">
        <v>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2</v>
      </c>
      <c r="O1136">
        <f t="shared" si="36"/>
        <v>2025</v>
      </c>
      <c r="P1136">
        <f t="shared" si="37"/>
        <v>6</v>
      </c>
      <c r="Q1136" t="s">
        <v>570</v>
      </c>
      <c r="R1136" s="546" t="s">
        <v>804</v>
      </c>
    </row>
    <row r="1137" spans="1:18" x14ac:dyDescent="0.3">
      <c r="A1137" t="s">
        <v>627</v>
      </c>
      <c r="B1137" s="16">
        <v>45827</v>
      </c>
      <c r="C1137" t="s">
        <v>3</v>
      </c>
      <c r="D1137" t="s">
        <v>391</v>
      </c>
      <c r="E1137">
        <v>439</v>
      </c>
      <c r="F1137">
        <v>239</v>
      </c>
      <c r="G1137">
        <v>11</v>
      </c>
      <c r="H1137">
        <v>3</v>
      </c>
      <c r="I1137">
        <v>10985</v>
      </c>
      <c r="J1137">
        <v>3</v>
      </c>
      <c r="K1137">
        <v>10985</v>
      </c>
      <c r="L1137">
        <v>3</v>
      </c>
      <c r="M1137">
        <v>57</v>
      </c>
      <c r="N1137">
        <v>433</v>
      </c>
      <c r="O1137">
        <f t="shared" si="36"/>
        <v>2025</v>
      </c>
      <c r="P1137">
        <f t="shared" si="37"/>
        <v>6</v>
      </c>
      <c r="Q1137" t="s">
        <v>570</v>
      </c>
      <c r="R1137" s="546" t="s">
        <v>804</v>
      </c>
    </row>
    <row r="1138" spans="1:18" x14ac:dyDescent="0.3">
      <c r="A1138" t="s">
        <v>627</v>
      </c>
      <c r="B1138" s="16">
        <v>45827</v>
      </c>
      <c r="C1138" t="s">
        <v>3</v>
      </c>
      <c r="D1138" t="s">
        <v>114</v>
      </c>
      <c r="E1138">
        <v>177</v>
      </c>
      <c r="F1138">
        <v>108</v>
      </c>
      <c r="G1138">
        <v>2</v>
      </c>
      <c r="H1138">
        <v>1</v>
      </c>
      <c r="I1138">
        <v>2490</v>
      </c>
      <c r="J1138">
        <v>1</v>
      </c>
      <c r="K1138">
        <v>0</v>
      </c>
      <c r="L1138">
        <v>0</v>
      </c>
      <c r="M1138">
        <v>10</v>
      </c>
      <c r="N1138">
        <v>171</v>
      </c>
      <c r="O1138">
        <f t="shared" si="36"/>
        <v>2025</v>
      </c>
      <c r="P1138">
        <f t="shared" si="37"/>
        <v>6</v>
      </c>
      <c r="Q1138" t="s">
        <v>570</v>
      </c>
      <c r="R1138" s="546" t="s">
        <v>804</v>
      </c>
    </row>
    <row r="1139" spans="1:18" x14ac:dyDescent="0.3">
      <c r="A1139" t="s">
        <v>627</v>
      </c>
      <c r="B1139" s="16">
        <v>45827</v>
      </c>
      <c r="C1139" t="s">
        <v>3</v>
      </c>
      <c r="D1139" t="s">
        <v>113</v>
      </c>
      <c r="E1139">
        <v>75</v>
      </c>
      <c r="F1139">
        <v>39</v>
      </c>
      <c r="G1139">
        <v>3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56</v>
      </c>
      <c r="N1139">
        <v>45</v>
      </c>
      <c r="O1139">
        <f t="shared" si="36"/>
        <v>2025</v>
      </c>
      <c r="P1139">
        <f t="shared" si="37"/>
        <v>6</v>
      </c>
      <c r="Q1139" t="s">
        <v>570</v>
      </c>
      <c r="R1139" s="546" t="s">
        <v>804</v>
      </c>
    </row>
    <row r="1140" spans="1:18" x14ac:dyDescent="0.3">
      <c r="A1140" t="s">
        <v>627</v>
      </c>
      <c r="B1140" s="16">
        <v>45827</v>
      </c>
      <c r="C1140" t="s">
        <v>3</v>
      </c>
      <c r="D1140" t="s">
        <v>112</v>
      </c>
      <c r="E1140">
        <v>20</v>
      </c>
      <c r="F1140">
        <v>5</v>
      </c>
      <c r="G1140">
        <v>1</v>
      </c>
      <c r="H1140">
        <v>0</v>
      </c>
      <c r="I1140">
        <v>16467</v>
      </c>
      <c r="J1140">
        <v>6</v>
      </c>
      <c r="K1140">
        <v>16467</v>
      </c>
      <c r="L1140">
        <v>6</v>
      </c>
      <c r="M1140">
        <v>0</v>
      </c>
      <c r="N1140">
        <v>20</v>
      </c>
      <c r="O1140">
        <f t="shared" si="36"/>
        <v>2025</v>
      </c>
      <c r="P1140">
        <f t="shared" si="37"/>
        <v>6</v>
      </c>
      <c r="Q1140" t="s">
        <v>570</v>
      </c>
      <c r="R1140" s="546" t="s">
        <v>804</v>
      </c>
    </row>
    <row r="1141" spans="1:18" x14ac:dyDescent="0.3">
      <c r="A1141" t="s">
        <v>627</v>
      </c>
      <c r="B1141" s="16">
        <v>45827</v>
      </c>
      <c r="C1141" t="s">
        <v>3</v>
      </c>
      <c r="D1141" t="s">
        <v>111</v>
      </c>
      <c r="E1141">
        <v>4</v>
      </c>
      <c r="F1141">
        <v>0</v>
      </c>
      <c r="G1141">
        <v>0</v>
      </c>
      <c r="H1141">
        <v>0</v>
      </c>
      <c r="I1141">
        <v>2490</v>
      </c>
      <c r="J1141">
        <v>1</v>
      </c>
      <c r="K1141">
        <v>0</v>
      </c>
      <c r="L1141">
        <v>0</v>
      </c>
      <c r="M1141">
        <v>0</v>
      </c>
      <c r="N1141">
        <v>4</v>
      </c>
      <c r="O1141">
        <f t="shared" si="36"/>
        <v>2025</v>
      </c>
      <c r="P1141">
        <f t="shared" si="37"/>
        <v>6</v>
      </c>
      <c r="Q1141" t="s">
        <v>570</v>
      </c>
      <c r="R1141" s="546" t="s">
        <v>804</v>
      </c>
    </row>
    <row r="1142" spans="1:18" x14ac:dyDescent="0.3">
      <c r="A1142" t="s">
        <v>627</v>
      </c>
      <c r="B1142" s="16">
        <v>45826</v>
      </c>
      <c r="C1142" t="s">
        <v>2</v>
      </c>
      <c r="D1142" t="s">
        <v>4</v>
      </c>
      <c r="E1142">
        <v>255</v>
      </c>
      <c r="F1142">
        <v>73</v>
      </c>
      <c r="G1142">
        <v>2</v>
      </c>
      <c r="H1142">
        <v>1</v>
      </c>
      <c r="I1142">
        <v>15704</v>
      </c>
      <c r="J1142">
        <v>3</v>
      </c>
      <c r="K1142">
        <v>13787</v>
      </c>
      <c r="L1142">
        <v>2</v>
      </c>
      <c r="M1142">
        <v>1</v>
      </c>
      <c r="N1142">
        <v>252</v>
      </c>
      <c r="O1142">
        <f t="shared" si="36"/>
        <v>2025</v>
      </c>
      <c r="P1142">
        <f t="shared" si="37"/>
        <v>6</v>
      </c>
      <c r="Q1142" t="s">
        <v>570</v>
      </c>
      <c r="R1142" s="546" t="s">
        <v>804</v>
      </c>
    </row>
    <row r="1143" spans="1:18" x14ac:dyDescent="0.3">
      <c r="A1143" t="s">
        <v>627</v>
      </c>
      <c r="B1143" s="16">
        <v>45826</v>
      </c>
      <c r="C1143" t="s">
        <v>2</v>
      </c>
      <c r="D1143" t="s">
        <v>57</v>
      </c>
      <c r="E1143">
        <v>20532</v>
      </c>
      <c r="F1143">
        <v>14219</v>
      </c>
      <c r="G1143">
        <v>196</v>
      </c>
      <c r="H1143">
        <v>210</v>
      </c>
      <c r="I1143">
        <v>164179</v>
      </c>
      <c r="J1143">
        <v>40</v>
      </c>
      <c r="K1143">
        <v>105507</v>
      </c>
      <c r="L1143">
        <v>29</v>
      </c>
      <c r="M1143">
        <v>1126</v>
      </c>
      <c r="N1143">
        <v>20322</v>
      </c>
      <c r="O1143">
        <f t="shared" si="36"/>
        <v>2025</v>
      </c>
      <c r="P1143">
        <f t="shared" si="37"/>
        <v>6</v>
      </c>
      <c r="Q1143" t="s">
        <v>570</v>
      </c>
      <c r="R1143" s="546" t="s">
        <v>804</v>
      </c>
    </row>
    <row r="1144" spans="1:18" x14ac:dyDescent="0.3">
      <c r="A1144" t="s">
        <v>627</v>
      </c>
      <c r="B1144" s="16">
        <v>45826</v>
      </c>
      <c r="C1144" t="s">
        <v>2</v>
      </c>
      <c r="D1144" t="s">
        <v>55</v>
      </c>
      <c r="E1144">
        <v>744</v>
      </c>
      <c r="F1144">
        <v>534</v>
      </c>
      <c r="G1144">
        <v>13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20</v>
      </c>
      <c r="N1144">
        <v>162</v>
      </c>
      <c r="O1144">
        <f t="shared" si="36"/>
        <v>2025</v>
      </c>
      <c r="P1144">
        <f t="shared" si="37"/>
        <v>6</v>
      </c>
      <c r="Q1144" t="s">
        <v>570</v>
      </c>
      <c r="R1144" s="546" t="s">
        <v>804</v>
      </c>
    </row>
    <row r="1145" spans="1:18" x14ac:dyDescent="0.3">
      <c r="A1145" t="s">
        <v>627</v>
      </c>
      <c r="B1145" s="16">
        <v>45826</v>
      </c>
      <c r="C1145" t="s">
        <v>3</v>
      </c>
      <c r="D1145" t="s">
        <v>155</v>
      </c>
      <c r="E1145">
        <v>1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f t="shared" si="36"/>
        <v>2025</v>
      </c>
      <c r="P1145">
        <f t="shared" si="37"/>
        <v>6</v>
      </c>
      <c r="Q1145" t="s">
        <v>570</v>
      </c>
      <c r="R1145" s="546" t="s">
        <v>804</v>
      </c>
    </row>
    <row r="1146" spans="1:18" x14ac:dyDescent="0.3">
      <c r="A1146" t="s">
        <v>627</v>
      </c>
      <c r="B1146" s="16">
        <v>45826</v>
      </c>
      <c r="C1146" t="s">
        <v>3</v>
      </c>
      <c r="D1146" t="s">
        <v>154</v>
      </c>
      <c r="E1146">
        <v>109</v>
      </c>
      <c r="F1146">
        <v>89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3</v>
      </c>
      <c r="O1146">
        <f t="shared" si="36"/>
        <v>2025</v>
      </c>
      <c r="P1146">
        <f t="shared" si="37"/>
        <v>6</v>
      </c>
      <c r="Q1146" t="s">
        <v>570</v>
      </c>
      <c r="R1146" s="546" t="s">
        <v>804</v>
      </c>
    </row>
    <row r="1147" spans="1:18" x14ac:dyDescent="0.3">
      <c r="A1147" t="s">
        <v>627</v>
      </c>
      <c r="B1147" s="16">
        <v>45826</v>
      </c>
      <c r="C1147" t="s">
        <v>3</v>
      </c>
      <c r="D1147" t="s">
        <v>153</v>
      </c>
      <c r="E1147">
        <v>355</v>
      </c>
      <c r="F1147">
        <v>99</v>
      </c>
      <c r="G1147">
        <v>33</v>
      </c>
      <c r="H1147">
        <v>3</v>
      </c>
      <c r="I1147">
        <v>142493</v>
      </c>
      <c r="J1147">
        <v>37</v>
      </c>
      <c r="K1147">
        <v>99205</v>
      </c>
      <c r="L1147">
        <v>31</v>
      </c>
      <c r="M1147">
        <v>98</v>
      </c>
      <c r="N1147">
        <v>338</v>
      </c>
      <c r="O1147">
        <f t="shared" si="36"/>
        <v>2025</v>
      </c>
      <c r="P1147">
        <f t="shared" si="37"/>
        <v>6</v>
      </c>
      <c r="Q1147" t="s">
        <v>570</v>
      </c>
      <c r="R1147" s="546" t="s">
        <v>804</v>
      </c>
    </row>
    <row r="1148" spans="1:18" x14ac:dyDescent="0.3">
      <c r="A1148" t="s">
        <v>627</v>
      </c>
      <c r="B1148" s="16">
        <v>45826</v>
      </c>
      <c r="C1148" t="s">
        <v>3</v>
      </c>
      <c r="D1148" t="s">
        <v>152</v>
      </c>
      <c r="E1148">
        <v>76</v>
      </c>
      <c r="F1148">
        <v>60</v>
      </c>
      <c r="G1148">
        <v>0</v>
      </c>
      <c r="H1148">
        <v>2</v>
      </c>
      <c r="I1148">
        <v>5845</v>
      </c>
      <c r="J1148">
        <v>1</v>
      </c>
      <c r="K1148">
        <v>0</v>
      </c>
      <c r="L1148">
        <v>0</v>
      </c>
      <c r="M1148">
        <v>0</v>
      </c>
      <c r="N1148">
        <v>25</v>
      </c>
      <c r="O1148">
        <f t="shared" si="36"/>
        <v>2025</v>
      </c>
      <c r="P1148">
        <f t="shared" si="37"/>
        <v>6</v>
      </c>
      <c r="Q1148" t="s">
        <v>570</v>
      </c>
      <c r="R1148" s="546" t="s">
        <v>804</v>
      </c>
    </row>
    <row r="1149" spans="1:18" x14ac:dyDescent="0.3">
      <c r="A1149" t="s">
        <v>627</v>
      </c>
      <c r="B1149" s="16">
        <v>45826</v>
      </c>
      <c r="C1149" t="s">
        <v>3</v>
      </c>
      <c r="D1149" t="s">
        <v>150</v>
      </c>
      <c r="E1149">
        <v>204</v>
      </c>
      <c r="F1149">
        <v>198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2</v>
      </c>
      <c r="O1149">
        <f t="shared" si="36"/>
        <v>2025</v>
      </c>
      <c r="P1149">
        <f t="shared" si="37"/>
        <v>6</v>
      </c>
      <c r="Q1149" t="s">
        <v>570</v>
      </c>
      <c r="R1149" s="546" t="s">
        <v>804</v>
      </c>
    </row>
    <row r="1150" spans="1:18" x14ac:dyDescent="0.3">
      <c r="A1150" t="s">
        <v>627</v>
      </c>
      <c r="B1150" s="16">
        <v>45826</v>
      </c>
      <c r="C1150" t="s">
        <v>3</v>
      </c>
      <c r="D1150" t="s">
        <v>149</v>
      </c>
      <c r="E1150">
        <v>25</v>
      </c>
      <c r="F1150">
        <v>19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3</v>
      </c>
      <c r="O1150">
        <f t="shared" si="36"/>
        <v>2025</v>
      </c>
      <c r="P1150">
        <f t="shared" si="37"/>
        <v>6</v>
      </c>
      <c r="Q1150" t="s">
        <v>570</v>
      </c>
      <c r="R1150" s="546" t="s">
        <v>804</v>
      </c>
    </row>
    <row r="1151" spans="1:18" x14ac:dyDescent="0.3">
      <c r="A1151" t="s">
        <v>627</v>
      </c>
      <c r="B1151" s="16">
        <v>45826</v>
      </c>
      <c r="C1151" t="s">
        <v>3</v>
      </c>
      <c r="D1151" t="s">
        <v>630</v>
      </c>
      <c r="E1151">
        <v>23</v>
      </c>
      <c r="F1151">
        <v>11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7</v>
      </c>
      <c r="O1151">
        <f t="shared" si="36"/>
        <v>2025</v>
      </c>
      <c r="P1151">
        <f t="shared" si="37"/>
        <v>6</v>
      </c>
      <c r="Q1151" t="s">
        <v>570</v>
      </c>
      <c r="R1151" s="546" t="s">
        <v>804</v>
      </c>
    </row>
    <row r="1152" spans="1:18" x14ac:dyDescent="0.3">
      <c r="A1152" t="s">
        <v>627</v>
      </c>
      <c r="B1152" s="16">
        <v>45826</v>
      </c>
      <c r="C1152" t="s">
        <v>3</v>
      </c>
      <c r="D1152" t="s">
        <v>251</v>
      </c>
      <c r="E1152">
        <v>2563</v>
      </c>
      <c r="F1152">
        <v>2301</v>
      </c>
      <c r="G1152">
        <v>21</v>
      </c>
      <c r="H1152">
        <v>6</v>
      </c>
      <c r="I1152">
        <v>59468</v>
      </c>
      <c r="J1152">
        <v>19</v>
      </c>
      <c r="K1152">
        <v>52998</v>
      </c>
      <c r="L1152">
        <v>17</v>
      </c>
      <c r="M1152">
        <v>67</v>
      </c>
      <c r="N1152">
        <v>196</v>
      </c>
      <c r="O1152">
        <f t="shared" si="36"/>
        <v>2025</v>
      </c>
      <c r="P1152">
        <f t="shared" si="37"/>
        <v>6</v>
      </c>
      <c r="Q1152" t="s">
        <v>570</v>
      </c>
      <c r="R1152" s="546" t="s">
        <v>804</v>
      </c>
    </row>
    <row r="1153" spans="1:18" x14ac:dyDescent="0.3">
      <c r="A1153" t="s">
        <v>627</v>
      </c>
      <c r="B1153" s="16">
        <v>45826</v>
      </c>
      <c r="C1153" t="s">
        <v>3</v>
      </c>
      <c r="D1153" t="s">
        <v>143</v>
      </c>
      <c r="E1153">
        <v>19</v>
      </c>
      <c r="F1153">
        <v>19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19</v>
      </c>
      <c r="O1153">
        <f t="shared" si="36"/>
        <v>2025</v>
      </c>
      <c r="P1153">
        <f t="shared" si="37"/>
        <v>6</v>
      </c>
      <c r="Q1153" t="s">
        <v>570</v>
      </c>
      <c r="R1153" s="546" t="s">
        <v>804</v>
      </c>
    </row>
    <row r="1154" spans="1:18" x14ac:dyDescent="0.3">
      <c r="A1154" t="s">
        <v>627</v>
      </c>
      <c r="B1154" s="16">
        <v>45826</v>
      </c>
      <c r="C1154" t="s">
        <v>3</v>
      </c>
      <c r="D1154" t="s">
        <v>141</v>
      </c>
      <c r="E1154">
        <v>198</v>
      </c>
      <c r="F1154">
        <v>126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1</v>
      </c>
      <c r="N1154">
        <v>197</v>
      </c>
      <c r="O1154">
        <f t="shared" si="36"/>
        <v>2025</v>
      </c>
      <c r="P1154">
        <f t="shared" si="37"/>
        <v>6</v>
      </c>
      <c r="Q1154" t="s">
        <v>570</v>
      </c>
      <c r="R1154" s="546" t="s">
        <v>804</v>
      </c>
    </row>
    <row r="1155" spans="1:18" x14ac:dyDescent="0.3">
      <c r="A1155" t="s">
        <v>627</v>
      </c>
      <c r="B1155" s="16">
        <v>45826</v>
      </c>
      <c r="C1155" t="s">
        <v>3</v>
      </c>
      <c r="D1155" t="s">
        <v>140</v>
      </c>
      <c r="E1155">
        <v>13</v>
      </c>
      <c r="F1155">
        <v>9</v>
      </c>
      <c r="G1155">
        <v>2</v>
      </c>
      <c r="H1155">
        <v>0</v>
      </c>
      <c r="I1155">
        <v>15804</v>
      </c>
      <c r="J1155">
        <v>4</v>
      </c>
      <c r="K1155">
        <v>7824</v>
      </c>
      <c r="L1155">
        <v>3</v>
      </c>
      <c r="M1155">
        <v>3</v>
      </c>
      <c r="N1155">
        <v>11</v>
      </c>
      <c r="O1155">
        <f t="shared" si="36"/>
        <v>2025</v>
      </c>
      <c r="P1155">
        <f t="shared" si="37"/>
        <v>6</v>
      </c>
      <c r="Q1155" t="s">
        <v>570</v>
      </c>
      <c r="R1155" s="546" t="s">
        <v>804</v>
      </c>
    </row>
    <row r="1156" spans="1:18" x14ac:dyDescent="0.3">
      <c r="A1156" t="s">
        <v>627</v>
      </c>
      <c r="B1156" s="16">
        <v>45826</v>
      </c>
      <c r="C1156" t="s">
        <v>3</v>
      </c>
      <c r="D1156" t="s">
        <v>139</v>
      </c>
      <c r="E1156">
        <v>564</v>
      </c>
      <c r="F1156">
        <v>356</v>
      </c>
      <c r="G1156">
        <v>27</v>
      </c>
      <c r="H1156">
        <v>6</v>
      </c>
      <c r="I1156">
        <v>75552</v>
      </c>
      <c r="J1156">
        <v>12</v>
      </c>
      <c r="K1156">
        <v>56640</v>
      </c>
      <c r="L1156">
        <v>10</v>
      </c>
      <c r="M1156">
        <v>207</v>
      </c>
      <c r="N1156">
        <v>385</v>
      </c>
      <c r="O1156">
        <f t="shared" si="36"/>
        <v>2025</v>
      </c>
      <c r="P1156">
        <f t="shared" si="37"/>
        <v>6</v>
      </c>
      <c r="Q1156" t="s">
        <v>570</v>
      </c>
      <c r="R1156" s="546" t="s">
        <v>804</v>
      </c>
    </row>
    <row r="1157" spans="1:18" x14ac:dyDescent="0.3">
      <c r="A1157" t="s">
        <v>627</v>
      </c>
      <c r="B1157" s="16">
        <v>45826</v>
      </c>
      <c r="C1157" t="s">
        <v>3</v>
      </c>
      <c r="D1157" t="s">
        <v>138</v>
      </c>
      <c r="E1157">
        <v>36</v>
      </c>
      <c r="F1157">
        <v>29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5</v>
      </c>
      <c r="N1157">
        <v>35</v>
      </c>
      <c r="O1157">
        <f t="shared" si="36"/>
        <v>2025</v>
      </c>
      <c r="P1157">
        <f t="shared" si="37"/>
        <v>6</v>
      </c>
      <c r="Q1157" t="s">
        <v>570</v>
      </c>
      <c r="R1157" s="546" t="s">
        <v>804</v>
      </c>
    </row>
    <row r="1158" spans="1:18" x14ac:dyDescent="0.3">
      <c r="A1158" t="s">
        <v>627</v>
      </c>
      <c r="B1158" s="16">
        <v>45826</v>
      </c>
      <c r="C1158" t="s">
        <v>3</v>
      </c>
      <c r="D1158" t="s">
        <v>135</v>
      </c>
      <c r="E1158">
        <v>23</v>
      </c>
      <c r="F1158">
        <v>11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7</v>
      </c>
      <c r="O1158">
        <f t="shared" si="36"/>
        <v>2025</v>
      </c>
      <c r="P1158">
        <f t="shared" si="37"/>
        <v>6</v>
      </c>
      <c r="Q1158" t="s">
        <v>570</v>
      </c>
      <c r="R1158" s="546" t="s">
        <v>804</v>
      </c>
    </row>
    <row r="1159" spans="1:18" x14ac:dyDescent="0.3">
      <c r="A1159" t="s">
        <v>627</v>
      </c>
      <c r="B1159" s="16">
        <v>45826</v>
      </c>
      <c r="C1159" t="s">
        <v>3</v>
      </c>
      <c r="D1159" t="s">
        <v>133</v>
      </c>
      <c r="E1159">
        <v>29</v>
      </c>
      <c r="F1159">
        <v>20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11</v>
      </c>
      <c r="N1159">
        <v>24</v>
      </c>
      <c r="O1159">
        <f t="shared" si="36"/>
        <v>2025</v>
      </c>
      <c r="P1159">
        <f t="shared" si="37"/>
        <v>6</v>
      </c>
      <c r="Q1159" t="s">
        <v>570</v>
      </c>
      <c r="R1159" s="546" t="s">
        <v>804</v>
      </c>
    </row>
    <row r="1160" spans="1:18" x14ac:dyDescent="0.3">
      <c r="A1160" t="s">
        <v>627</v>
      </c>
      <c r="B1160" s="16">
        <v>45826</v>
      </c>
      <c r="C1160" t="s">
        <v>3</v>
      </c>
      <c r="D1160" t="s">
        <v>130</v>
      </c>
      <c r="E1160">
        <v>81</v>
      </c>
      <c r="F1160">
        <v>41</v>
      </c>
      <c r="G1160">
        <v>7</v>
      </c>
      <c r="H1160">
        <v>2</v>
      </c>
      <c r="I1160">
        <v>16565</v>
      </c>
      <c r="J1160">
        <v>4</v>
      </c>
      <c r="K1160">
        <v>12095</v>
      </c>
      <c r="L1160">
        <v>4</v>
      </c>
      <c r="M1160">
        <v>40</v>
      </c>
      <c r="N1160">
        <v>67</v>
      </c>
      <c r="O1160">
        <f t="shared" si="36"/>
        <v>2025</v>
      </c>
      <c r="P1160">
        <f t="shared" si="37"/>
        <v>6</v>
      </c>
      <c r="Q1160" t="s">
        <v>570</v>
      </c>
      <c r="R1160" s="546" t="s">
        <v>804</v>
      </c>
    </row>
    <row r="1161" spans="1:18" x14ac:dyDescent="0.3">
      <c r="A1161" t="s">
        <v>627</v>
      </c>
      <c r="B1161" s="16">
        <v>45826</v>
      </c>
      <c r="C1161" t="s">
        <v>3</v>
      </c>
      <c r="D1161" t="s">
        <v>128</v>
      </c>
      <c r="E1161">
        <v>751</v>
      </c>
      <c r="F1161">
        <v>549</v>
      </c>
      <c r="G1161">
        <v>44</v>
      </c>
      <c r="H1161">
        <v>8</v>
      </c>
      <c r="I1161">
        <v>31425</v>
      </c>
      <c r="J1161">
        <v>11</v>
      </c>
      <c r="K1161">
        <v>26730</v>
      </c>
      <c r="L1161">
        <v>10</v>
      </c>
      <c r="M1161">
        <v>309</v>
      </c>
      <c r="N1161">
        <v>563</v>
      </c>
      <c r="O1161">
        <f t="shared" si="36"/>
        <v>2025</v>
      </c>
      <c r="P1161">
        <f t="shared" si="37"/>
        <v>6</v>
      </c>
      <c r="Q1161" t="s">
        <v>570</v>
      </c>
      <c r="R1161" s="546" t="s">
        <v>804</v>
      </c>
    </row>
    <row r="1162" spans="1:18" x14ac:dyDescent="0.3">
      <c r="A1162" t="s">
        <v>627</v>
      </c>
      <c r="B1162" s="16">
        <v>45826</v>
      </c>
      <c r="C1162" t="s">
        <v>3</v>
      </c>
      <c r="D1162" t="s">
        <v>127</v>
      </c>
      <c r="E1162">
        <v>3746</v>
      </c>
      <c r="F1162">
        <v>2647</v>
      </c>
      <c r="G1162">
        <v>38</v>
      </c>
      <c r="H1162">
        <v>20</v>
      </c>
      <c r="I1162">
        <v>22605.599999999999</v>
      </c>
      <c r="J1162">
        <v>8</v>
      </c>
      <c r="K1162">
        <v>16951.3</v>
      </c>
      <c r="L1162">
        <v>7</v>
      </c>
      <c r="M1162">
        <v>181</v>
      </c>
      <c r="N1162">
        <v>3156</v>
      </c>
      <c r="O1162">
        <f t="shared" si="36"/>
        <v>2025</v>
      </c>
      <c r="P1162">
        <f t="shared" si="37"/>
        <v>6</v>
      </c>
      <c r="Q1162" t="s">
        <v>570</v>
      </c>
      <c r="R1162" s="546" t="s">
        <v>804</v>
      </c>
    </row>
    <row r="1163" spans="1:18" x14ac:dyDescent="0.3">
      <c r="A1163" t="s">
        <v>627</v>
      </c>
      <c r="B1163" s="16">
        <v>45826</v>
      </c>
      <c r="C1163" t="s">
        <v>3</v>
      </c>
      <c r="D1163" t="s">
        <v>126</v>
      </c>
      <c r="E1163">
        <v>94</v>
      </c>
      <c r="F1163">
        <v>63</v>
      </c>
      <c r="G1163">
        <v>8</v>
      </c>
      <c r="H1163">
        <v>4</v>
      </c>
      <c r="I1163">
        <v>11080</v>
      </c>
      <c r="J1163">
        <v>3</v>
      </c>
      <c r="K1163">
        <v>11080</v>
      </c>
      <c r="L1163">
        <v>3</v>
      </c>
      <c r="M1163">
        <v>17</v>
      </c>
      <c r="N1163">
        <v>90</v>
      </c>
      <c r="O1163">
        <f t="shared" si="36"/>
        <v>2025</v>
      </c>
      <c r="P1163">
        <f t="shared" si="37"/>
        <v>6</v>
      </c>
      <c r="Q1163" t="s">
        <v>570</v>
      </c>
      <c r="R1163" s="546" t="s">
        <v>804</v>
      </c>
    </row>
    <row r="1164" spans="1:18" x14ac:dyDescent="0.3">
      <c r="A1164" t="s">
        <v>627</v>
      </c>
      <c r="B1164" s="16">
        <v>45826</v>
      </c>
      <c r="C1164" t="s">
        <v>3</v>
      </c>
      <c r="D1164" t="s">
        <v>125</v>
      </c>
      <c r="E1164">
        <v>2</v>
      </c>
      <c r="F1164">
        <v>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2</v>
      </c>
      <c r="O1164">
        <f t="shared" si="36"/>
        <v>2025</v>
      </c>
      <c r="P1164">
        <f t="shared" si="37"/>
        <v>6</v>
      </c>
      <c r="Q1164" t="s">
        <v>570</v>
      </c>
      <c r="R1164" s="546" t="s">
        <v>804</v>
      </c>
    </row>
    <row r="1165" spans="1:18" x14ac:dyDescent="0.3">
      <c r="A1165" t="s">
        <v>627</v>
      </c>
      <c r="B1165" s="16">
        <v>45826</v>
      </c>
      <c r="C1165" t="s">
        <v>3</v>
      </c>
      <c r="D1165" t="s">
        <v>123</v>
      </c>
      <c r="E1165">
        <v>184</v>
      </c>
      <c r="F1165">
        <v>88</v>
      </c>
      <c r="G1165">
        <v>7</v>
      </c>
      <c r="H1165">
        <v>3</v>
      </c>
      <c r="I1165">
        <v>14388</v>
      </c>
      <c r="J1165">
        <v>3</v>
      </c>
      <c r="K1165">
        <v>6175</v>
      </c>
      <c r="L1165">
        <v>2</v>
      </c>
      <c r="M1165">
        <v>51</v>
      </c>
      <c r="N1165">
        <v>168</v>
      </c>
      <c r="O1165">
        <f t="shared" si="36"/>
        <v>2025</v>
      </c>
      <c r="P1165">
        <f t="shared" si="37"/>
        <v>6</v>
      </c>
      <c r="Q1165" t="s">
        <v>570</v>
      </c>
      <c r="R1165" s="546" t="s">
        <v>804</v>
      </c>
    </row>
    <row r="1166" spans="1:18" x14ac:dyDescent="0.3">
      <c r="A1166" t="s">
        <v>627</v>
      </c>
      <c r="B1166" s="16">
        <v>45826</v>
      </c>
      <c r="C1166" t="s">
        <v>3</v>
      </c>
      <c r="D1166" t="s">
        <v>119</v>
      </c>
      <c r="E1166">
        <v>230</v>
      </c>
      <c r="F1166">
        <v>62</v>
      </c>
      <c r="G1166">
        <v>20</v>
      </c>
      <c r="H1166">
        <v>6</v>
      </c>
      <c r="I1166">
        <v>72156</v>
      </c>
      <c r="J1166">
        <v>19</v>
      </c>
      <c r="K1166">
        <v>68176</v>
      </c>
      <c r="L1166">
        <v>18</v>
      </c>
      <c r="M1166">
        <v>46</v>
      </c>
      <c r="N1166">
        <v>221</v>
      </c>
      <c r="O1166">
        <f t="shared" si="36"/>
        <v>2025</v>
      </c>
      <c r="P1166">
        <f t="shared" si="37"/>
        <v>6</v>
      </c>
      <c r="Q1166" t="s">
        <v>570</v>
      </c>
      <c r="R1166" s="546" t="s">
        <v>804</v>
      </c>
    </row>
    <row r="1167" spans="1:18" x14ac:dyDescent="0.3">
      <c r="A1167" t="s">
        <v>627</v>
      </c>
      <c r="B1167" s="16">
        <v>45826</v>
      </c>
      <c r="C1167" t="s">
        <v>3</v>
      </c>
      <c r="D1167" t="s">
        <v>252</v>
      </c>
      <c r="E1167">
        <v>8</v>
      </c>
      <c r="F1167">
        <v>8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8</v>
      </c>
      <c r="O1167">
        <f t="shared" si="36"/>
        <v>2025</v>
      </c>
      <c r="P1167">
        <f t="shared" si="37"/>
        <v>6</v>
      </c>
      <c r="Q1167" t="s">
        <v>570</v>
      </c>
      <c r="R1167" s="546" t="s">
        <v>804</v>
      </c>
    </row>
    <row r="1168" spans="1:18" x14ac:dyDescent="0.3">
      <c r="A1168" t="s">
        <v>627</v>
      </c>
      <c r="B1168" s="16">
        <v>45826</v>
      </c>
      <c r="C1168" t="s">
        <v>3</v>
      </c>
      <c r="D1168" t="s">
        <v>391</v>
      </c>
      <c r="E1168">
        <v>460</v>
      </c>
      <c r="F1168">
        <v>270</v>
      </c>
      <c r="G1168">
        <v>12</v>
      </c>
      <c r="H1168">
        <v>2</v>
      </c>
      <c r="I1168">
        <v>27169.88</v>
      </c>
      <c r="J1168">
        <v>9</v>
      </c>
      <c r="K1168">
        <v>25252.880000000001</v>
      </c>
      <c r="L1168">
        <v>8</v>
      </c>
      <c r="M1168">
        <v>58</v>
      </c>
      <c r="N1168">
        <v>449</v>
      </c>
      <c r="O1168">
        <f t="shared" si="36"/>
        <v>2025</v>
      </c>
      <c r="P1168">
        <f t="shared" si="37"/>
        <v>6</v>
      </c>
      <c r="Q1168" t="s">
        <v>570</v>
      </c>
      <c r="R1168" s="546" t="s">
        <v>804</v>
      </c>
    </row>
    <row r="1169" spans="1:18" x14ac:dyDescent="0.3">
      <c r="A1169" t="s">
        <v>627</v>
      </c>
      <c r="B1169" s="16">
        <v>45826</v>
      </c>
      <c r="C1169" t="s">
        <v>3</v>
      </c>
      <c r="D1169" t="s">
        <v>114</v>
      </c>
      <c r="E1169">
        <v>235</v>
      </c>
      <c r="F1169">
        <v>151</v>
      </c>
      <c r="G1169">
        <v>6</v>
      </c>
      <c r="H1169">
        <v>4</v>
      </c>
      <c r="I1169">
        <v>0</v>
      </c>
      <c r="J1169">
        <v>0</v>
      </c>
      <c r="K1169">
        <v>0</v>
      </c>
      <c r="L1169">
        <v>0</v>
      </c>
      <c r="M1169">
        <v>18</v>
      </c>
      <c r="N1169">
        <v>232</v>
      </c>
      <c r="O1169">
        <f t="shared" si="36"/>
        <v>2025</v>
      </c>
      <c r="P1169">
        <f t="shared" si="37"/>
        <v>6</v>
      </c>
      <c r="Q1169" t="s">
        <v>570</v>
      </c>
      <c r="R1169" s="546" t="s">
        <v>804</v>
      </c>
    </row>
    <row r="1170" spans="1:18" x14ac:dyDescent="0.3">
      <c r="A1170" t="s">
        <v>627</v>
      </c>
      <c r="B1170" s="16">
        <v>45826</v>
      </c>
      <c r="C1170" t="s">
        <v>3</v>
      </c>
      <c r="D1170" t="s">
        <v>113</v>
      </c>
      <c r="E1170">
        <v>104</v>
      </c>
      <c r="F1170">
        <v>60</v>
      </c>
      <c r="G1170">
        <v>2</v>
      </c>
      <c r="H1170">
        <v>1</v>
      </c>
      <c r="I1170">
        <v>2980</v>
      </c>
      <c r="J1170">
        <v>1</v>
      </c>
      <c r="K1170">
        <v>1490</v>
      </c>
      <c r="L1170">
        <v>1</v>
      </c>
      <c r="M1170">
        <v>88</v>
      </c>
      <c r="N1170">
        <v>55</v>
      </c>
      <c r="O1170">
        <f t="shared" si="36"/>
        <v>2025</v>
      </c>
      <c r="P1170">
        <f t="shared" si="37"/>
        <v>6</v>
      </c>
      <c r="Q1170" t="s">
        <v>570</v>
      </c>
      <c r="R1170" s="546" t="s">
        <v>804</v>
      </c>
    </row>
    <row r="1171" spans="1:18" x14ac:dyDescent="0.3">
      <c r="A1171" t="s">
        <v>627</v>
      </c>
      <c r="B1171" s="16">
        <v>45826</v>
      </c>
      <c r="C1171" t="s">
        <v>3</v>
      </c>
      <c r="D1171" t="s">
        <v>112</v>
      </c>
      <c r="E1171">
        <v>22</v>
      </c>
      <c r="F1171">
        <v>6</v>
      </c>
      <c r="G1171">
        <v>1</v>
      </c>
      <c r="H1171">
        <v>0</v>
      </c>
      <c r="I1171">
        <v>12145</v>
      </c>
      <c r="J1171">
        <v>3</v>
      </c>
      <c r="K1171">
        <v>12145</v>
      </c>
      <c r="L1171">
        <v>3</v>
      </c>
      <c r="M1171">
        <v>0</v>
      </c>
      <c r="N1171">
        <v>22</v>
      </c>
      <c r="O1171">
        <f t="shared" si="36"/>
        <v>2025</v>
      </c>
      <c r="P1171">
        <f t="shared" si="37"/>
        <v>6</v>
      </c>
      <c r="Q1171" t="s">
        <v>570</v>
      </c>
      <c r="R1171" s="546" t="s">
        <v>804</v>
      </c>
    </row>
    <row r="1172" spans="1:18" x14ac:dyDescent="0.3">
      <c r="A1172" t="s">
        <v>627</v>
      </c>
      <c r="B1172" s="16">
        <v>45825</v>
      </c>
      <c r="C1172" t="s">
        <v>2</v>
      </c>
      <c r="D1172" t="s">
        <v>4</v>
      </c>
      <c r="E1172">
        <v>268</v>
      </c>
      <c r="F1172">
        <v>91</v>
      </c>
      <c r="G1172">
        <v>4</v>
      </c>
      <c r="H1172">
        <v>0</v>
      </c>
      <c r="I1172">
        <v>14465</v>
      </c>
      <c r="J1172">
        <v>3</v>
      </c>
      <c r="K1172">
        <v>14465</v>
      </c>
      <c r="L1172">
        <v>3</v>
      </c>
      <c r="M1172">
        <v>1</v>
      </c>
      <c r="N1172">
        <v>268</v>
      </c>
      <c r="O1172">
        <f t="shared" si="36"/>
        <v>2025</v>
      </c>
      <c r="P1172">
        <f t="shared" si="37"/>
        <v>6</v>
      </c>
      <c r="Q1172" t="s">
        <v>570</v>
      </c>
      <c r="R1172" s="546" t="s">
        <v>804</v>
      </c>
    </row>
    <row r="1173" spans="1:18" x14ac:dyDescent="0.3">
      <c r="A1173" t="s">
        <v>627</v>
      </c>
      <c r="B1173" s="16">
        <v>45825</v>
      </c>
      <c r="C1173" t="s">
        <v>2</v>
      </c>
      <c r="D1173" t="s">
        <v>57</v>
      </c>
      <c r="E1173">
        <v>19432</v>
      </c>
      <c r="F1173">
        <v>12881</v>
      </c>
      <c r="G1173">
        <v>194</v>
      </c>
      <c r="H1173">
        <v>179</v>
      </c>
      <c r="I1173">
        <v>149208</v>
      </c>
      <c r="J1173">
        <v>37</v>
      </c>
      <c r="K1173">
        <v>100943</v>
      </c>
      <c r="L1173">
        <v>30</v>
      </c>
      <c r="M1173">
        <v>1059</v>
      </c>
      <c r="N1173">
        <v>19210</v>
      </c>
      <c r="O1173">
        <f t="shared" si="36"/>
        <v>2025</v>
      </c>
      <c r="P1173">
        <f t="shared" si="37"/>
        <v>6</v>
      </c>
      <c r="Q1173" t="s">
        <v>570</v>
      </c>
      <c r="R1173" s="546" t="s">
        <v>804</v>
      </c>
    </row>
    <row r="1174" spans="1:18" x14ac:dyDescent="0.3">
      <c r="A1174" t="s">
        <v>627</v>
      </c>
      <c r="B1174" s="16">
        <v>45825</v>
      </c>
      <c r="C1174" t="s">
        <v>2</v>
      </c>
      <c r="D1174" t="s">
        <v>55</v>
      </c>
      <c r="E1174">
        <v>16</v>
      </c>
      <c r="F1174">
        <v>6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12</v>
      </c>
      <c r="O1174">
        <f t="shared" si="36"/>
        <v>2025</v>
      </c>
      <c r="P1174">
        <f t="shared" si="37"/>
        <v>6</v>
      </c>
      <c r="Q1174" t="s">
        <v>570</v>
      </c>
      <c r="R1174" s="546" t="s">
        <v>804</v>
      </c>
    </row>
    <row r="1175" spans="1:18" x14ac:dyDescent="0.3">
      <c r="A1175" t="s">
        <v>627</v>
      </c>
      <c r="B1175" s="16">
        <v>45825</v>
      </c>
      <c r="C1175" t="s">
        <v>3</v>
      </c>
      <c r="D1175" t="s">
        <v>155</v>
      </c>
      <c r="E1175">
        <v>4</v>
      </c>
      <c r="F1175">
        <v>2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4</v>
      </c>
      <c r="O1175">
        <f t="shared" si="36"/>
        <v>2025</v>
      </c>
      <c r="P1175">
        <f t="shared" si="37"/>
        <v>6</v>
      </c>
      <c r="Q1175" t="s">
        <v>570</v>
      </c>
      <c r="R1175" s="546" t="s">
        <v>804</v>
      </c>
    </row>
    <row r="1176" spans="1:18" x14ac:dyDescent="0.3">
      <c r="A1176" t="s">
        <v>627</v>
      </c>
      <c r="B1176" s="16">
        <v>45825</v>
      </c>
      <c r="C1176" t="s">
        <v>3</v>
      </c>
      <c r="D1176" t="s">
        <v>153</v>
      </c>
      <c r="E1176">
        <v>331</v>
      </c>
      <c r="F1176">
        <v>72</v>
      </c>
      <c r="G1176">
        <v>22</v>
      </c>
      <c r="H1176">
        <v>1</v>
      </c>
      <c r="I1176">
        <v>110247</v>
      </c>
      <c r="J1176">
        <v>35</v>
      </c>
      <c r="K1176">
        <v>87337</v>
      </c>
      <c r="L1176">
        <v>34</v>
      </c>
      <c r="M1176">
        <v>81</v>
      </c>
      <c r="N1176">
        <v>317</v>
      </c>
      <c r="O1176">
        <f t="shared" si="36"/>
        <v>2025</v>
      </c>
      <c r="P1176">
        <f t="shared" si="37"/>
        <v>6</v>
      </c>
      <c r="Q1176" t="s">
        <v>570</v>
      </c>
      <c r="R1176" s="546" t="s">
        <v>804</v>
      </c>
    </row>
    <row r="1177" spans="1:18" x14ac:dyDescent="0.3">
      <c r="A1177" t="s">
        <v>627</v>
      </c>
      <c r="B1177" s="16">
        <v>45825</v>
      </c>
      <c r="C1177" t="s">
        <v>3</v>
      </c>
      <c r="D1177" t="s">
        <v>152</v>
      </c>
      <c r="E1177">
        <v>32</v>
      </c>
      <c r="F1177">
        <v>21</v>
      </c>
      <c r="G1177">
        <v>1</v>
      </c>
      <c r="H1177">
        <v>2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32</v>
      </c>
      <c r="O1177">
        <f t="shared" si="36"/>
        <v>2025</v>
      </c>
      <c r="P1177">
        <f t="shared" si="37"/>
        <v>6</v>
      </c>
      <c r="Q1177" t="s">
        <v>570</v>
      </c>
      <c r="R1177" s="546" t="s">
        <v>804</v>
      </c>
    </row>
    <row r="1178" spans="1:18" x14ac:dyDescent="0.3">
      <c r="A1178" t="s">
        <v>627</v>
      </c>
      <c r="B1178" s="16">
        <v>45825</v>
      </c>
      <c r="C1178" t="s">
        <v>3</v>
      </c>
      <c r="D1178" t="s">
        <v>150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f t="shared" si="36"/>
        <v>2025</v>
      </c>
      <c r="P1178">
        <f t="shared" si="37"/>
        <v>6</v>
      </c>
      <c r="Q1178" t="s">
        <v>570</v>
      </c>
      <c r="R1178" s="546" t="s">
        <v>804</v>
      </c>
    </row>
    <row r="1179" spans="1:18" x14ac:dyDescent="0.3">
      <c r="A1179" t="s">
        <v>627</v>
      </c>
      <c r="B1179" s="16">
        <v>45825</v>
      </c>
      <c r="C1179" t="s">
        <v>3</v>
      </c>
      <c r="D1179" t="s">
        <v>149</v>
      </c>
      <c r="E1179">
        <v>2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</v>
      </c>
      <c r="O1179">
        <f t="shared" si="36"/>
        <v>2025</v>
      </c>
      <c r="P1179">
        <f t="shared" si="37"/>
        <v>6</v>
      </c>
      <c r="Q1179" t="s">
        <v>570</v>
      </c>
      <c r="R1179" s="546" t="s">
        <v>804</v>
      </c>
    </row>
    <row r="1180" spans="1:18" x14ac:dyDescent="0.3">
      <c r="A1180" t="s">
        <v>627</v>
      </c>
      <c r="B1180" s="16">
        <v>45825</v>
      </c>
      <c r="C1180" t="s">
        <v>3</v>
      </c>
      <c r="D1180" t="s">
        <v>148</v>
      </c>
      <c r="E1180">
        <v>1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1</v>
      </c>
      <c r="O1180">
        <f t="shared" si="36"/>
        <v>2025</v>
      </c>
      <c r="P1180">
        <f t="shared" si="37"/>
        <v>6</v>
      </c>
      <c r="Q1180" t="s">
        <v>570</v>
      </c>
      <c r="R1180" s="546" t="s">
        <v>804</v>
      </c>
    </row>
    <row r="1181" spans="1:18" x14ac:dyDescent="0.3">
      <c r="A1181" t="s">
        <v>627</v>
      </c>
      <c r="B1181" s="16">
        <v>45825</v>
      </c>
      <c r="C1181" t="s">
        <v>3</v>
      </c>
      <c r="D1181" t="s">
        <v>630</v>
      </c>
      <c r="E1181">
        <v>5</v>
      </c>
      <c r="F1181">
        <v>2</v>
      </c>
      <c r="G1181">
        <v>0</v>
      </c>
      <c r="H1181">
        <v>0</v>
      </c>
      <c r="I1181">
        <v>2540</v>
      </c>
      <c r="J1181">
        <v>2</v>
      </c>
      <c r="K1181">
        <v>2540</v>
      </c>
      <c r="L1181">
        <v>2</v>
      </c>
      <c r="M1181">
        <v>1</v>
      </c>
      <c r="N1181">
        <v>5</v>
      </c>
      <c r="O1181">
        <f t="shared" si="36"/>
        <v>2025</v>
      </c>
      <c r="P1181">
        <f t="shared" si="37"/>
        <v>6</v>
      </c>
      <c r="Q1181" t="s">
        <v>570</v>
      </c>
      <c r="R1181" s="546" t="s">
        <v>804</v>
      </c>
    </row>
    <row r="1182" spans="1:18" x14ac:dyDescent="0.3">
      <c r="A1182" t="s">
        <v>627</v>
      </c>
      <c r="B1182" s="16">
        <v>45825</v>
      </c>
      <c r="C1182" t="s">
        <v>3</v>
      </c>
      <c r="D1182" t="s">
        <v>251</v>
      </c>
      <c r="E1182">
        <v>161</v>
      </c>
      <c r="F1182">
        <v>67</v>
      </c>
      <c r="G1182">
        <v>8</v>
      </c>
      <c r="H1182">
        <v>4</v>
      </c>
      <c r="I1182">
        <v>28365</v>
      </c>
      <c r="J1182">
        <v>8</v>
      </c>
      <c r="K1182">
        <v>25115</v>
      </c>
      <c r="L1182">
        <v>8</v>
      </c>
      <c r="M1182">
        <v>48</v>
      </c>
      <c r="N1182">
        <v>136</v>
      </c>
      <c r="O1182">
        <f t="shared" si="36"/>
        <v>2025</v>
      </c>
      <c r="P1182">
        <f t="shared" si="37"/>
        <v>6</v>
      </c>
      <c r="Q1182" t="s">
        <v>570</v>
      </c>
      <c r="R1182" s="546" t="s">
        <v>804</v>
      </c>
    </row>
    <row r="1183" spans="1:18" x14ac:dyDescent="0.3">
      <c r="A1183" t="s">
        <v>627</v>
      </c>
      <c r="B1183" s="16">
        <v>45825</v>
      </c>
      <c r="C1183" t="s">
        <v>3</v>
      </c>
      <c r="D1183" t="s">
        <v>143</v>
      </c>
      <c r="E1183">
        <v>22</v>
      </c>
      <c r="F1183">
        <v>22</v>
      </c>
      <c r="G1183">
        <v>0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22</v>
      </c>
      <c r="O1183">
        <f t="shared" si="36"/>
        <v>2025</v>
      </c>
      <c r="P1183">
        <f t="shared" si="37"/>
        <v>6</v>
      </c>
      <c r="Q1183" t="s">
        <v>570</v>
      </c>
      <c r="R1183" s="546" t="s">
        <v>804</v>
      </c>
    </row>
    <row r="1184" spans="1:18" x14ac:dyDescent="0.3">
      <c r="A1184" t="s">
        <v>627</v>
      </c>
      <c r="B1184" s="16">
        <v>45825</v>
      </c>
      <c r="C1184" t="s">
        <v>3</v>
      </c>
      <c r="D1184" t="s">
        <v>141</v>
      </c>
      <c r="E1184">
        <v>248</v>
      </c>
      <c r="F1184">
        <v>147</v>
      </c>
      <c r="G1184">
        <v>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248</v>
      </c>
      <c r="O1184">
        <f t="shared" si="36"/>
        <v>2025</v>
      </c>
      <c r="P1184">
        <f t="shared" si="37"/>
        <v>6</v>
      </c>
      <c r="Q1184" t="s">
        <v>570</v>
      </c>
      <c r="R1184" s="546" t="s">
        <v>804</v>
      </c>
    </row>
    <row r="1185" spans="1:18" x14ac:dyDescent="0.3">
      <c r="A1185" t="s">
        <v>627</v>
      </c>
      <c r="B1185" s="16">
        <v>45825</v>
      </c>
      <c r="C1185" t="s">
        <v>3</v>
      </c>
      <c r="D1185" t="s">
        <v>140</v>
      </c>
      <c r="E1185">
        <v>6</v>
      </c>
      <c r="F1185">
        <v>6</v>
      </c>
      <c r="G1185">
        <v>2</v>
      </c>
      <c r="H1185">
        <v>0</v>
      </c>
      <c r="I1185">
        <v>21665</v>
      </c>
      <c r="J1185">
        <v>2</v>
      </c>
      <c r="K1185">
        <v>21665</v>
      </c>
      <c r="L1185">
        <v>2</v>
      </c>
      <c r="M1185">
        <v>1</v>
      </c>
      <c r="N1185">
        <v>6</v>
      </c>
      <c r="O1185">
        <f t="shared" si="36"/>
        <v>2025</v>
      </c>
      <c r="P1185">
        <f t="shared" si="37"/>
        <v>6</v>
      </c>
      <c r="Q1185" t="s">
        <v>570</v>
      </c>
      <c r="R1185" s="546" t="s">
        <v>804</v>
      </c>
    </row>
    <row r="1186" spans="1:18" x14ac:dyDescent="0.3">
      <c r="A1186" t="s">
        <v>627</v>
      </c>
      <c r="B1186" s="16">
        <v>45825</v>
      </c>
      <c r="C1186" t="s">
        <v>3</v>
      </c>
      <c r="D1186" t="s">
        <v>139</v>
      </c>
      <c r="E1186">
        <v>435</v>
      </c>
      <c r="F1186">
        <v>274</v>
      </c>
      <c r="G1186">
        <v>20</v>
      </c>
      <c r="H1186">
        <v>7</v>
      </c>
      <c r="I1186">
        <v>66898.86</v>
      </c>
      <c r="J1186">
        <v>15</v>
      </c>
      <c r="K1186">
        <v>49185.86</v>
      </c>
      <c r="L1186">
        <v>14</v>
      </c>
      <c r="M1186">
        <v>169</v>
      </c>
      <c r="N1186">
        <v>337</v>
      </c>
      <c r="O1186">
        <f t="shared" si="36"/>
        <v>2025</v>
      </c>
      <c r="P1186">
        <f t="shared" si="37"/>
        <v>6</v>
      </c>
      <c r="Q1186" t="s">
        <v>570</v>
      </c>
      <c r="R1186" s="546" t="s">
        <v>804</v>
      </c>
    </row>
    <row r="1187" spans="1:18" x14ac:dyDescent="0.3">
      <c r="A1187" t="s">
        <v>627</v>
      </c>
      <c r="B1187" s="16">
        <v>45825</v>
      </c>
      <c r="C1187" t="s">
        <v>3</v>
      </c>
      <c r="D1187" t="s">
        <v>138</v>
      </c>
      <c r="E1187">
        <v>21</v>
      </c>
      <c r="F1187">
        <v>18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2</v>
      </c>
      <c r="N1187">
        <v>20</v>
      </c>
      <c r="O1187">
        <f t="shared" si="36"/>
        <v>2025</v>
      </c>
      <c r="P1187">
        <f t="shared" si="37"/>
        <v>6</v>
      </c>
      <c r="Q1187" t="s">
        <v>570</v>
      </c>
      <c r="R1187" s="546" t="s">
        <v>804</v>
      </c>
    </row>
    <row r="1188" spans="1:18" x14ac:dyDescent="0.3">
      <c r="A1188" t="s">
        <v>627</v>
      </c>
      <c r="B1188" s="16">
        <v>45825</v>
      </c>
      <c r="C1188" t="s">
        <v>3</v>
      </c>
      <c r="D1188" t="s">
        <v>135</v>
      </c>
      <c r="E1188">
        <v>5</v>
      </c>
      <c r="F1188">
        <v>2</v>
      </c>
      <c r="G1188">
        <v>0</v>
      </c>
      <c r="H1188">
        <v>0</v>
      </c>
      <c r="I1188">
        <v>2540</v>
      </c>
      <c r="J1188">
        <v>2</v>
      </c>
      <c r="K1188">
        <v>2540</v>
      </c>
      <c r="L1188">
        <v>2</v>
      </c>
      <c r="M1188">
        <v>1</v>
      </c>
      <c r="N1188">
        <v>5</v>
      </c>
      <c r="O1188">
        <f t="shared" si="36"/>
        <v>2025</v>
      </c>
      <c r="P1188">
        <f t="shared" si="37"/>
        <v>6</v>
      </c>
      <c r="Q1188" t="s">
        <v>570</v>
      </c>
      <c r="R1188" s="546" t="s">
        <v>804</v>
      </c>
    </row>
    <row r="1189" spans="1:18" x14ac:dyDescent="0.3">
      <c r="A1189" t="s">
        <v>627</v>
      </c>
      <c r="B1189" s="16">
        <v>45825</v>
      </c>
      <c r="C1189" t="s">
        <v>3</v>
      </c>
      <c r="D1189" t="s">
        <v>133</v>
      </c>
      <c r="E1189">
        <v>27</v>
      </c>
      <c r="F1189">
        <v>16</v>
      </c>
      <c r="G1189">
        <v>2</v>
      </c>
      <c r="H1189">
        <v>0</v>
      </c>
      <c r="I1189">
        <v>2750</v>
      </c>
      <c r="J1189">
        <v>1</v>
      </c>
      <c r="K1189">
        <v>2750</v>
      </c>
      <c r="L1189">
        <v>1</v>
      </c>
      <c r="M1189">
        <v>21</v>
      </c>
      <c r="N1189">
        <v>16</v>
      </c>
      <c r="O1189">
        <f t="shared" si="36"/>
        <v>2025</v>
      </c>
      <c r="P1189">
        <f t="shared" si="37"/>
        <v>6</v>
      </c>
      <c r="Q1189" t="s">
        <v>570</v>
      </c>
      <c r="R1189" s="546" t="s">
        <v>804</v>
      </c>
    </row>
    <row r="1190" spans="1:18" x14ac:dyDescent="0.3">
      <c r="A1190" t="s">
        <v>627</v>
      </c>
      <c r="B1190" s="16">
        <v>45825</v>
      </c>
      <c r="C1190" t="s">
        <v>3</v>
      </c>
      <c r="D1190" t="s">
        <v>130</v>
      </c>
      <c r="E1190">
        <v>92</v>
      </c>
      <c r="F1190">
        <v>38</v>
      </c>
      <c r="G1190">
        <v>8</v>
      </c>
      <c r="H1190">
        <v>3</v>
      </c>
      <c r="I1190">
        <v>18530</v>
      </c>
      <c r="J1190">
        <v>6</v>
      </c>
      <c r="K1190">
        <v>15280</v>
      </c>
      <c r="L1190">
        <v>6</v>
      </c>
      <c r="M1190">
        <v>44</v>
      </c>
      <c r="N1190">
        <v>80</v>
      </c>
      <c r="O1190">
        <f t="shared" si="36"/>
        <v>2025</v>
      </c>
      <c r="P1190">
        <f t="shared" si="37"/>
        <v>6</v>
      </c>
      <c r="Q1190" t="s">
        <v>570</v>
      </c>
      <c r="R1190" s="546" t="s">
        <v>804</v>
      </c>
    </row>
    <row r="1191" spans="1:18" x14ac:dyDescent="0.3">
      <c r="A1191" t="s">
        <v>627</v>
      </c>
      <c r="B1191" s="16">
        <v>45825</v>
      </c>
      <c r="C1191" t="s">
        <v>3</v>
      </c>
      <c r="D1191" t="s">
        <v>128</v>
      </c>
      <c r="E1191">
        <v>703</v>
      </c>
      <c r="F1191">
        <v>519</v>
      </c>
      <c r="G1191">
        <v>28</v>
      </c>
      <c r="H1191">
        <v>9</v>
      </c>
      <c r="I1191">
        <v>11900</v>
      </c>
      <c r="J1191">
        <v>6</v>
      </c>
      <c r="K1191">
        <v>11900</v>
      </c>
      <c r="L1191">
        <v>6</v>
      </c>
      <c r="M1191">
        <v>333</v>
      </c>
      <c r="N1191">
        <v>512</v>
      </c>
      <c r="O1191">
        <f t="shared" si="36"/>
        <v>2025</v>
      </c>
      <c r="P1191">
        <f t="shared" si="37"/>
        <v>6</v>
      </c>
      <c r="Q1191" t="s">
        <v>570</v>
      </c>
      <c r="R1191" s="546" t="s">
        <v>804</v>
      </c>
    </row>
    <row r="1192" spans="1:18" x14ac:dyDescent="0.3">
      <c r="A1192" t="s">
        <v>627</v>
      </c>
      <c r="B1192" s="16">
        <v>45825</v>
      </c>
      <c r="C1192" t="s">
        <v>3</v>
      </c>
      <c r="D1192" t="s">
        <v>127</v>
      </c>
      <c r="E1192">
        <v>3032</v>
      </c>
      <c r="F1192">
        <v>2073</v>
      </c>
      <c r="G1192">
        <v>39</v>
      </c>
      <c r="H1192">
        <v>23</v>
      </c>
      <c r="I1192">
        <v>27637</v>
      </c>
      <c r="J1192">
        <v>9</v>
      </c>
      <c r="K1192">
        <v>24387</v>
      </c>
      <c r="L1192">
        <v>9</v>
      </c>
      <c r="M1192">
        <v>203</v>
      </c>
      <c r="N1192">
        <v>2987</v>
      </c>
      <c r="O1192">
        <f t="shared" si="36"/>
        <v>2025</v>
      </c>
      <c r="P1192">
        <f t="shared" si="37"/>
        <v>6</v>
      </c>
      <c r="Q1192" t="s">
        <v>570</v>
      </c>
      <c r="R1192" s="546" t="s">
        <v>804</v>
      </c>
    </row>
    <row r="1193" spans="1:18" x14ac:dyDescent="0.3">
      <c r="A1193" t="s">
        <v>627</v>
      </c>
      <c r="B1193" s="16">
        <v>45825</v>
      </c>
      <c r="C1193" t="s">
        <v>3</v>
      </c>
      <c r="D1193" t="s">
        <v>126</v>
      </c>
      <c r="E1193">
        <v>79</v>
      </c>
      <c r="F1193">
        <v>50</v>
      </c>
      <c r="G1193">
        <v>4</v>
      </c>
      <c r="H1193">
        <v>1</v>
      </c>
      <c r="I1193">
        <v>27000</v>
      </c>
      <c r="J1193">
        <v>1</v>
      </c>
      <c r="K1193">
        <v>13500</v>
      </c>
      <c r="L1193">
        <v>1</v>
      </c>
      <c r="M1193">
        <v>11</v>
      </c>
      <c r="N1193">
        <v>79</v>
      </c>
      <c r="O1193">
        <f t="shared" si="36"/>
        <v>2025</v>
      </c>
      <c r="P1193">
        <f t="shared" si="37"/>
        <v>6</v>
      </c>
      <c r="Q1193" t="s">
        <v>570</v>
      </c>
      <c r="R1193" s="546" t="s">
        <v>804</v>
      </c>
    </row>
    <row r="1194" spans="1:18" x14ac:dyDescent="0.3">
      <c r="A1194" t="s">
        <v>627</v>
      </c>
      <c r="B1194" s="16">
        <v>45825</v>
      </c>
      <c r="C1194" t="s">
        <v>3</v>
      </c>
      <c r="D1194" t="s">
        <v>125</v>
      </c>
      <c r="E1194">
        <v>3</v>
      </c>
      <c r="F1194">
        <v>2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3</v>
      </c>
      <c r="O1194">
        <f t="shared" si="36"/>
        <v>2025</v>
      </c>
      <c r="P1194">
        <f t="shared" si="37"/>
        <v>6</v>
      </c>
      <c r="Q1194" t="s">
        <v>570</v>
      </c>
      <c r="R1194" s="546" t="s">
        <v>804</v>
      </c>
    </row>
    <row r="1195" spans="1:18" x14ac:dyDescent="0.3">
      <c r="A1195" t="s">
        <v>627</v>
      </c>
      <c r="B1195" s="16">
        <v>45825</v>
      </c>
      <c r="C1195" t="s">
        <v>3</v>
      </c>
      <c r="D1195" t="s">
        <v>123</v>
      </c>
      <c r="E1195">
        <v>183</v>
      </c>
      <c r="F1195">
        <v>92</v>
      </c>
      <c r="G1195">
        <v>8</v>
      </c>
      <c r="H1195">
        <v>4</v>
      </c>
      <c r="I1195">
        <v>25477</v>
      </c>
      <c r="J1195">
        <v>4</v>
      </c>
      <c r="K1195">
        <v>15687</v>
      </c>
      <c r="L1195">
        <v>4</v>
      </c>
      <c r="M1195">
        <v>52</v>
      </c>
      <c r="N1195">
        <v>173</v>
      </c>
      <c r="O1195">
        <f t="shared" si="36"/>
        <v>2025</v>
      </c>
      <c r="P1195">
        <f t="shared" si="37"/>
        <v>6</v>
      </c>
      <c r="Q1195" t="s">
        <v>570</v>
      </c>
      <c r="R1195" s="546" t="s">
        <v>804</v>
      </c>
    </row>
    <row r="1196" spans="1:18" x14ac:dyDescent="0.3">
      <c r="A1196" t="s">
        <v>627</v>
      </c>
      <c r="B1196" s="16">
        <v>45825</v>
      </c>
      <c r="C1196" t="s">
        <v>3</v>
      </c>
      <c r="D1196" t="s">
        <v>122</v>
      </c>
      <c r="E1196">
        <v>1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f t="shared" si="36"/>
        <v>2025</v>
      </c>
      <c r="P1196">
        <f t="shared" si="37"/>
        <v>6</v>
      </c>
      <c r="Q1196" t="s">
        <v>570</v>
      </c>
      <c r="R1196" s="546" t="s">
        <v>804</v>
      </c>
    </row>
    <row r="1197" spans="1:18" x14ac:dyDescent="0.3">
      <c r="A1197" t="s">
        <v>627</v>
      </c>
      <c r="B1197" s="16">
        <v>45825</v>
      </c>
      <c r="C1197" t="s">
        <v>3</v>
      </c>
      <c r="D1197" t="s">
        <v>121</v>
      </c>
      <c r="E1197">
        <v>1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f t="shared" si="36"/>
        <v>2025</v>
      </c>
      <c r="P1197">
        <f t="shared" si="37"/>
        <v>6</v>
      </c>
      <c r="Q1197" t="s">
        <v>570</v>
      </c>
      <c r="R1197" s="546" t="s">
        <v>804</v>
      </c>
    </row>
    <row r="1198" spans="1:18" x14ac:dyDescent="0.3">
      <c r="A1198" t="s">
        <v>627</v>
      </c>
      <c r="B1198" s="16">
        <v>45825</v>
      </c>
      <c r="C1198" t="s">
        <v>3</v>
      </c>
      <c r="D1198" t="s">
        <v>119</v>
      </c>
      <c r="E1198">
        <v>233</v>
      </c>
      <c r="F1198">
        <v>73</v>
      </c>
      <c r="G1198">
        <v>10</v>
      </c>
      <c r="H1198">
        <v>7</v>
      </c>
      <c r="I1198">
        <v>59922</v>
      </c>
      <c r="J1198">
        <v>12</v>
      </c>
      <c r="K1198">
        <v>45287</v>
      </c>
      <c r="L1198">
        <v>11</v>
      </c>
      <c r="M1198">
        <v>50</v>
      </c>
      <c r="N1198">
        <v>223</v>
      </c>
      <c r="O1198">
        <f t="shared" si="36"/>
        <v>2025</v>
      </c>
      <c r="P1198">
        <f t="shared" si="37"/>
        <v>6</v>
      </c>
      <c r="Q1198" t="s">
        <v>570</v>
      </c>
      <c r="R1198" s="546" t="s">
        <v>804</v>
      </c>
    </row>
    <row r="1199" spans="1:18" x14ac:dyDescent="0.3">
      <c r="A1199" t="s">
        <v>627</v>
      </c>
      <c r="B1199" s="16">
        <v>45825</v>
      </c>
      <c r="C1199" t="s">
        <v>3</v>
      </c>
      <c r="D1199" t="s">
        <v>583</v>
      </c>
      <c r="E1199">
        <v>1</v>
      </c>
      <c r="F1199">
        <v>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f t="shared" ref="O1199:O1262" si="38">YEAR(B1199)</f>
        <v>2025</v>
      </c>
      <c r="P1199">
        <f t="shared" ref="P1199:P1262" si="39">MONTH(B1199)</f>
        <v>6</v>
      </c>
      <c r="Q1199" t="s">
        <v>570</v>
      </c>
      <c r="R1199" s="546" t="s">
        <v>804</v>
      </c>
    </row>
    <row r="1200" spans="1:18" x14ac:dyDescent="0.3">
      <c r="A1200" t="s">
        <v>627</v>
      </c>
      <c r="B1200" s="16">
        <v>45825</v>
      </c>
      <c r="C1200" t="s">
        <v>3</v>
      </c>
      <c r="D1200" t="s">
        <v>252</v>
      </c>
      <c r="E1200">
        <v>6</v>
      </c>
      <c r="F1200">
        <v>6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6</v>
      </c>
      <c r="O1200">
        <f t="shared" si="38"/>
        <v>2025</v>
      </c>
      <c r="P1200">
        <f t="shared" si="39"/>
        <v>6</v>
      </c>
      <c r="Q1200" t="s">
        <v>570</v>
      </c>
      <c r="R1200" s="546" t="s">
        <v>804</v>
      </c>
    </row>
    <row r="1201" spans="1:18" x14ac:dyDescent="0.3">
      <c r="A1201" t="s">
        <v>627</v>
      </c>
      <c r="B1201" s="16">
        <v>45825</v>
      </c>
      <c r="C1201" t="s">
        <v>3</v>
      </c>
      <c r="D1201" t="s">
        <v>391</v>
      </c>
      <c r="E1201">
        <v>406</v>
      </c>
      <c r="F1201">
        <v>245</v>
      </c>
      <c r="G1201">
        <v>13</v>
      </c>
      <c r="H1201">
        <v>1</v>
      </c>
      <c r="I1201">
        <v>8860</v>
      </c>
      <c r="J1201">
        <v>3</v>
      </c>
      <c r="K1201">
        <v>3885</v>
      </c>
      <c r="L1201">
        <v>2</v>
      </c>
      <c r="M1201">
        <v>60</v>
      </c>
      <c r="N1201">
        <v>398</v>
      </c>
      <c r="O1201">
        <f t="shared" si="38"/>
        <v>2025</v>
      </c>
      <c r="P1201">
        <f t="shared" si="39"/>
        <v>6</v>
      </c>
      <c r="Q1201" t="s">
        <v>570</v>
      </c>
      <c r="R1201" s="546" t="s">
        <v>804</v>
      </c>
    </row>
    <row r="1202" spans="1:18" x14ac:dyDescent="0.3">
      <c r="A1202" t="s">
        <v>627</v>
      </c>
      <c r="B1202" s="16">
        <v>45825</v>
      </c>
      <c r="C1202" t="s">
        <v>3</v>
      </c>
      <c r="D1202" t="s">
        <v>114</v>
      </c>
      <c r="E1202">
        <v>195</v>
      </c>
      <c r="F1202">
        <v>119</v>
      </c>
      <c r="G1202">
        <v>4</v>
      </c>
      <c r="H1202">
        <v>3</v>
      </c>
      <c r="I1202">
        <v>5845</v>
      </c>
      <c r="J1202">
        <v>1</v>
      </c>
      <c r="K1202">
        <v>0</v>
      </c>
      <c r="L1202">
        <v>0</v>
      </c>
      <c r="M1202">
        <v>13</v>
      </c>
      <c r="N1202">
        <v>189</v>
      </c>
      <c r="O1202">
        <f t="shared" si="38"/>
        <v>2025</v>
      </c>
      <c r="P1202">
        <f t="shared" si="39"/>
        <v>6</v>
      </c>
      <c r="Q1202" t="s">
        <v>570</v>
      </c>
      <c r="R1202" s="546" t="s">
        <v>804</v>
      </c>
    </row>
    <row r="1203" spans="1:18" x14ac:dyDescent="0.3">
      <c r="A1203" t="s">
        <v>627</v>
      </c>
      <c r="B1203" s="16">
        <v>45825</v>
      </c>
      <c r="C1203" t="s">
        <v>3</v>
      </c>
      <c r="D1203" t="s">
        <v>113</v>
      </c>
      <c r="E1203">
        <v>94</v>
      </c>
      <c r="F1203">
        <v>51</v>
      </c>
      <c r="G1203">
        <v>2</v>
      </c>
      <c r="H1203">
        <v>1</v>
      </c>
      <c r="I1203">
        <v>2795</v>
      </c>
      <c r="J1203">
        <v>1</v>
      </c>
      <c r="K1203">
        <v>2795</v>
      </c>
      <c r="L1203">
        <v>1</v>
      </c>
      <c r="M1203">
        <v>79</v>
      </c>
      <c r="N1203">
        <v>58</v>
      </c>
      <c r="O1203">
        <f t="shared" si="38"/>
        <v>2025</v>
      </c>
      <c r="P1203">
        <f t="shared" si="39"/>
        <v>6</v>
      </c>
      <c r="Q1203" t="s">
        <v>570</v>
      </c>
      <c r="R1203" s="546" t="s">
        <v>804</v>
      </c>
    </row>
    <row r="1204" spans="1:18" x14ac:dyDescent="0.3">
      <c r="A1204" t="s">
        <v>627</v>
      </c>
      <c r="B1204" s="16">
        <v>45825</v>
      </c>
      <c r="C1204" t="s">
        <v>3</v>
      </c>
      <c r="D1204" t="s">
        <v>112</v>
      </c>
      <c r="E1204">
        <v>10</v>
      </c>
      <c r="F1204">
        <v>0</v>
      </c>
      <c r="G1204">
        <v>0</v>
      </c>
      <c r="H1204">
        <v>0</v>
      </c>
      <c r="I1204">
        <v>4945</v>
      </c>
      <c r="J1204">
        <v>1</v>
      </c>
      <c r="K1204">
        <v>4945</v>
      </c>
      <c r="L1204">
        <v>1</v>
      </c>
      <c r="M1204">
        <v>0</v>
      </c>
      <c r="N1204">
        <v>10</v>
      </c>
      <c r="O1204">
        <f t="shared" si="38"/>
        <v>2025</v>
      </c>
      <c r="P1204">
        <f t="shared" si="39"/>
        <v>6</v>
      </c>
      <c r="Q1204" t="s">
        <v>570</v>
      </c>
      <c r="R1204" s="546" t="s">
        <v>804</v>
      </c>
    </row>
    <row r="1205" spans="1:18" x14ac:dyDescent="0.3">
      <c r="A1205" t="s">
        <v>627</v>
      </c>
      <c r="B1205" s="16">
        <v>45825</v>
      </c>
      <c r="C1205" t="s">
        <v>3</v>
      </c>
      <c r="D1205" t="s">
        <v>111</v>
      </c>
      <c r="E1205">
        <v>5</v>
      </c>
      <c r="F1205">
        <v>1</v>
      </c>
      <c r="G1205">
        <v>0</v>
      </c>
      <c r="H1205">
        <v>0</v>
      </c>
      <c r="I1205">
        <v>2750</v>
      </c>
      <c r="J1205">
        <v>1</v>
      </c>
      <c r="K1205">
        <v>2750</v>
      </c>
      <c r="L1205">
        <v>1</v>
      </c>
      <c r="M1205">
        <v>1</v>
      </c>
      <c r="N1205">
        <v>5</v>
      </c>
      <c r="O1205">
        <f t="shared" si="38"/>
        <v>2025</v>
      </c>
      <c r="P1205">
        <f t="shared" si="39"/>
        <v>6</v>
      </c>
      <c r="Q1205" t="s">
        <v>570</v>
      </c>
      <c r="R1205" s="546" t="s">
        <v>804</v>
      </c>
    </row>
    <row r="1206" spans="1:18" x14ac:dyDescent="0.3">
      <c r="A1206" t="s">
        <v>627</v>
      </c>
      <c r="B1206" s="16">
        <v>45824</v>
      </c>
      <c r="C1206" t="s">
        <v>2</v>
      </c>
      <c r="D1206" t="s">
        <v>4</v>
      </c>
      <c r="E1206">
        <v>253</v>
      </c>
      <c r="F1206">
        <v>79</v>
      </c>
      <c r="G1206">
        <v>1</v>
      </c>
      <c r="H1206">
        <v>0</v>
      </c>
      <c r="I1206">
        <v>3180</v>
      </c>
      <c r="J1206">
        <v>1</v>
      </c>
      <c r="K1206">
        <v>3180</v>
      </c>
      <c r="L1206">
        <v>1</v>
      </c>
      <c r="M1206">
        <v>1</v>
      </c>
      <c r="N1206">
        <v>249</v>
      </c>
      <c r="O1206">
        <f t="shared" si="38"/>
        <v>2025</v>
      </c>
      <c r="P1206">
        <f t="shared" si="39"/>
        <v>6</v>
      </c>
      <c r="Q1206" t="s">
        <v>570</v>
      </c>
      <c r="R1206" s="546" t="s">
        <v>804</v>
      </c>
    </row>
    <row r="1207" spans="1:18" x14ac:dyDescent="0.3">
      <c r="A1207" t="s">
        <v>627</v>
      </c>
      <c r="B1207" s="16">
        <v>45824</v>
      </c>
      <c r="C1207" t="s">
        <v>2</v>
      </c>
      <c r="D1207" t="s">
        <v>57</v>
      </c>
      <c r="E1207">
        <v>15394</v>
      </c>
      <c r="F1207">
        <v>9914</v>
      </c>
      <c r="G1207">
        <v>188</v>
      </c>
      <c r="H1207">
        <v>174</v>
      </c>
      <c r="I1207">
        <v>154916</v>
      </c>
      <c r="J1207">
        <v>35</v>
      </c>
      <c r="K1207">
        <v>81895</v>
      </c>
      <c r="L1207">
        <v>22</v>
      </c>
      <c r="M1207">
        <v>963</v>
      </c>
      <c r="N1207">
        <v>15157</v>
      </c>
      <c r="O1207">
        <f t="shared" si="38"/>
        <v>2025</v>
      </c>
      <c r="P1207">
        <f t="shared" si="39"/>
        <v>6</v>
      </c>
      <c r="Q1207" t="s">
        <v>570</v>
      </c>
      <c r="R1207" s="546" t="s">
        <v>804</v>
      </c>
    </row>
    <row r="1208" spans="1:18" x14ac:dyDescent="0.3">
      <c r="A1208" t="s">
        <v>627</v>
      </c>
      <c r="B1208" s="16">
        <v>45824</v>
      </c>
      <c r="C1208" t="s">
        <v>2</v>
      </c>
      <c r="D1208" t="s">
        <v>55</v>
      </c>
      <c r="E1208">
        <v>761</v>
      </c>
      <c r="F1208">
        <v>546</v>
      </c>
      <c r="G1208">
        <v>16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18</v>
      </c>
      <c r="N1208">
        <v>215</v>
      </c>
      <c r="O1208">
        <f t="shared" si="38"/>
        <v>2025</v>
      </c>
      <c r="P1208">
        <f t="shared" si="39"/>
        <v>6</v>
      </c>
      <c r="Q1208" t="s">
        <v>570</v>
      </c>
      <c r="R1208" s="546" t="s">
        <v>804</v>
      </c>
    </row>
    <row r="1209" spans="1:18" x14ac:dyDescent="0.3">
      <c r="A1209" t="s">
        <v>627</v>
      </c>
      <c r="B1209" s="16">
        <v>45824</v>
      </c>
      <c r="C1209" t="s">
        <v>3</v>
      </c>
      <c r="D1209" t="s">
        <v>156</v>
      </c>
      <c r="E1209">
        <v>1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f t="shared" si="38"/>
        <v>2025</v>
      </c>
      <c r="P1209">
        <f t="shared" si="39"/>
        <v>6</v>
      </c>
      <c r="Q1209" t="s">
        <v>570</v>
      </c>
      <c r="R1209" s="546" t="s">
        <v>804</v>
      </c>
    </row>
    <row r="1210" spans="1:18" x14ac:dyDescent="0.3">
      <c r="A1210" t="s">
        <v>627</v>
      </c>
      <c r="B1210" s="16">
        <v>45824</v>
      </c>
      <c r="C1210" t="s">
        <v>3</v>
      </c>
      <c r="D1210" t="s">
        <v>155</v>
      </c>
      <c r="E1210">
        <v>3</v>
      </c>
      <c r="F1210">
        <v>3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</v>
      </c>
      <c r="N1210">
        <v>2</v>
      </c>
      <c r="O1210">
        <f t="shared" si="38"/>
        <v>2025</v>
      </c>
      <c r="P1210">
        <f t="shared" si="39"/>
        <v>6</v>
      </c>
      <c r="Q1210" t="s">
        <v>570</v>
      </c>
      <c r="R1210" s="546" t="s">
        <v>804</v>
      </c>
    </row>
    <row r="1211" spans="1:18" x14ac:dyDescent="0.3">
      <c r="A1211" t="s">
        <v>627</v>
      </c>
      <c r="B1211" s="16">
        <v>45824</v>
      </c>
      <c r="C1211" t="s">
        <v>3</v>
      </c>
      <c r="D1211" t="s">
        <v>154</v>
      </c>
      <c r="E1211">
        <v>169</v>
      </c>
      <c r="F1211">
        <v>158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f t="shared" si="38"/>
        <v>2025</v>
      </c>
      <c r="P1211">
        <f t="shared" si="39"/>
        <v>6</v>
      </c>
      <c r="Q1211" t="s">
        <v>570</v>
      </c>
      <c r="R1211" s="546" t="s">
        <v>804</v>
      </c>
    </row>
    <row r="1212" spans="1:18" x14ac:dyDescent="0.3">
      <c r="A1212" t="s">
        <v>627</v>
      </c>
      <c r="B1212" s="16">
        <v>45824</v>
      </c>
      <c r="C1212" t="s">
        <v>3</v>
      </c>
      <c r="D1212" t="s">
        <v>153</v>
      </c>
      <c r="E1212">
        <v>294</v>
      </c>
      <c r="F1212">
        <v>85</v>
      </c>
      <c r="G1212">
        <v>19</v>
      </c>
      <c r="H1212">
        <v>3</v>
      </c>
      <c r="I1212">
        <v>112614.21</v>
      </c>
      <c r="J1212">
        <v>36</v>
      </c>
      <c r="K1212">
        <v>110219.21</v>
      </c>
      <c r="L1212">
        <v>36</v>
      </c>
      <c r="M1212">
        <v>62</v>
      </c>
      <c r="N1212">
        <v>289</v>
      </c>
      <c r="O1212">
        <f t="shared" si="38"/>
        <v>2025</v>
      </c>
      <c r="P1212">
        <f t="shared" si="39"/>
        <v>6</v>
      </c>
      <c r="Q1212" t="s">
        <v>570</v>
      </c>
      <c r="R1212" s="546" t="s">
        <v>804</v>
      </c>
    </row>
    <row r="1213" spans="1:18" x14ac:dyDescent="0.3">
      <c r="A1213" t="s">
        <v>627</v>
      </c>
      <c r="B1213" s="16">
        <v>45824</v>
      </c>
      <c r="C1213" t="s">
        <v>3</v>
      </c>
      <c r="D1213" t="s">
        <v>152</v>
      </c>
      <c r="E1213">
        <v>67</v>
      </c>
      <c r="F1213">
        <v>53</v>
      </c>
      <c r="G1213">
        <v>2</v>
      </c>
      <c r="H1213">
        <v>2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48</v>
      </c>
      <c r="O1213">
        <f t="shared" si="38"/>
        <v>2025</v>
      </c>
      <c r="P1213">
        <f t="shared" si="39"/>
        <v>6</v>
      </c>
      <c r="Q1213" t="s">
        <v>570</v>
      </c>
      <c r="R1213" s="546" t="s">
        <v>804</v>
      </c>
    </row>
    <row r="1214" spans="1:18" x14ac:dyDescent="0.3">
      <c r="A1214" t="s">
        <v>627</v>
      </c>
      <c r="B1214" s="16">
        <v>45824</v>
      </c>
      <c r="C1214" t="s">
        <v>3</v>
      </c>
      <c r="D1214" t="s">
        <v>150</v>
      </c>
      <c r="E1214">
        <v>14</v>
      </c>
      <c r="F1214">
        <v>10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f t="shared" si="38"/>
        <v>2025</v>
      </c>
      <c r="P1214">
        <f t="shared" si="39"/>
        <v>6</v>
      </c>
      <c r="Q1214" t="s">
        <v>570</v>
      </c>
      <c r="R1214" s="546" t="s">
        <v>804</v>
      </c>
    </row>
    <row r="1215" spans="1:18" x14ac:dyDescent="0.3">
      <c r="A1215" t="s">
        <v>627</v>
      </c>
      <c r="B1215" s="16">
        <v>45824</v>
      </c>
      <c r="C1215" t="s">
        <v>3</v>
      </c>
      <c r="D1215" t="s">
        <v>149</v>
      </c>
      <c r="E1215">
        <v>6</v>
      </c>
      <c r="F1215">
        <v>2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f t="shared" si="38"/>
        <v>2025</v>
      </c>
      <c r="P1215">
        <f t="shared" si="39"/>
        <v>6</v>
      </c>
      <c r="Q1215" t="s">
        <v>570</v>
      </c>
      <c r="R1215" s="546" t="s">
        <v>804</v>
      </c>
    </row>
    <row r="1216" spans="1:18" x14ac:dyDescent="0.3">
      <c r="A1216" t="s">
        <v>627</v>
      </c>
      <c r="B1216" s="16">
        <v>45824</v>
      </c>
      <c r="C1216" t="s">
        <v>3</v>
      </c>
      <c r="D1216" t="s">
        <v>148</v>
      </c>
      <c r="E1216">
        <v>2</v>
      </c>
      <c r="F1216">
        <v>2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2</v>
      </c>
      <c r="O1216">
        <f t="shared" si="38"/>
        <v>2025</v>
      </c>
      <c r="P1216">
        <f t="shared" si="39"/>
        <v>6</v>
      </c>
      <c r="Q1216" t="s">
        <v>570</v>
      </c>
      <c r="R1216" s="546" t="s">
        <v>804</v>
      </c>
    </row>
    <row r="1217" spans="1:18" x14ac:dyDescent="0.3">
      <c r="A1217" t="s">
        <v>627</v>
      </c>
      <c r="B1217" s="16">
        <v>45824</v>
      </c>
      <c r="C1217" t="s">
        <v>3</v>
      </c>
      <c r="D1217" t="s">
        <v>630</v>
      </c>
      <c r="E1217">
        <v>20</v>
      </c>
      <c r="F1217">
        <v>7</v>
      </c>
      <c r="G1217">
        <v>0</v>
      </c>
      <c r="H1217">
        <v>0</v>
      </c>
      <c r="I1217">
        <v>2490</v>
      </c>
      <c r="J1217">
        <v>1</v>
      </c>
      <c r="K1217">
        <v>2490</v>
      </c>
      <c r="L1217">
        <v>1</v>
      </c>
      <c r="M1217">
        <v>1</v>
      </c>
      <c r="N1217">
        <v>8</v>
      </c>
      <c r="O1217">
        <f t="shared" si="38"/>
        <v>2025</v>
      </c>
      <c r="P1217">
        <f t="shared" si="39"/>
        <v>6</v>
      </c>
      <c r="Q1217" t="s">
        <v>570</v>
      </c>
      <c r="R1217" s="546" t="s">
        <v>804</v>
      </c>
    </row>
    <row r="1218" spans="1:18" x14ac:dyDescent="0.3">
      <c r="A1218" t="s">
        <v>627</v>
      </c>
      <c r="B1218" s="16">
        <v>45824</v>
      </c>
      <c r="C1218" t="s">
        <v>3</v>
      </c>
      <c r="D1218" t="s">
        <v>251</v>
      </c>
      <c r="E1218">
        <v>3043</v>
      </c>
      <c r="F1218">
        <v>2784</v>
      </c>
      <c r="G1218">
        <v>18</v>
      </c>
      <c r="H1218">
        <v>2</v>
      </c>
      <c r="I1218">
        <v>25190</v>
      </c>
      <c r="J1218">
        <v>8</v>
      </c>
      <c r="K1218">
        <v>17900</v>
      </c>
      <c r="L1218">
        <v>7</v>
      </c>
      <c r="M1218">
        <v>61</v>
      </c>
      <c r="N1218">
        <v>177</v>
      </c>
      <c r="O1218">
        <f t="shared" si="38"/>
        <v>2025</v>
      </c>
      <c r="P1218">
        <f t="shared" si="39"/>
        <v>6</v>
      </c>
      <c r="Q1218" t="s">
        <v>570</v>
      </c>
      <c r="R1218" s="546" t="s">
        <v>804</v>
      </c>
    </row>
    <row r="1219" spans="1:18" x14ac:dyDescent="0.3">
      <c r="A1219" t="s">
        <v>627</v>
      </c>
      <c r="B1219" s="16">
        <v>45824</v>
      </c>
      <c r="C1219" t="s">
        <v>3</v>
      </c>
      <c r="D1219" t="s">
        <v>143</v>
      </c>
      <c r="E1219">
        <v>18</v>
      </c>
      <c r="F1219">
        <v>18</v>
      </c>
      <c r="G1219">
        <v>1</v>
      </c>
      <c r="H1219">
        <v>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18</v>
      </c>
      <c r="O1219">
        <f t="shared" si="38"/>
        <v>2025</v>
      </c>
      <c r="P1219">
        <f t="shared" si="39"/>
        <v>6</v>
      </c>
      <c r="Q1219" t="s">
        <v>570</v>
      </c>
      <c r="R1219" s="546" t="s">
        <v>804</v>
      </c>
    </row>
    <row r="1220" spans="1:18" x14ac:dyDescent="0.3">
      <c r="A1220" t="s">
        <v>627</v>
      </c>
      <c r="B1220" s="16">
        <v>45824</v>
      </c>
      <c r="C1220" t="s">
        <v>3</v>
      </c>
      <c r="D1220" t="s">
        <v>141</v>
      </c>
      <c r="E1220">
        <v>202</v>
      </c>
      <c r="F1220">
        <v>132</v>
      </c>
      <c r="G1220">
        <v>5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202</v>
      </c>
      <c r="O1220">
        <f t="shared" si="38"/>
        <v>2025</v>
      </c>
      <c r="P1220">
        <f t="shared" si="39"/>
        <v>6</v>
      </c>
      <c r="Q1220" t="s">
        <v>570</v>
      </c>
      <c r="R1220" s="546" t="s">
        <v>804</v>
      </c>
    </row>
    <row r="1221" spans="1:18" x14ac:dyDescent="0.3">
      <c r="A1221" t="s">
        <v>627</v>
      </c>
      <c r="B1221" s="16">
        <v>45824</v>
      </c>
      <c r="C1221" t="s">
        <v>3</v>
      </c>
      <c r="D1221" t="s">
        <v>140</v>
      </c>
      <c r="E1221">
        <v>2</v>
      </c>
      <c r="F1221">
        <v>2</v>
      </c>
      <c r="G1221">
        <v>1</v>
      </c>
      <c r="H1221">
        <v>0</v>
      </c>
      <c r="I1221">
        <v>4025</v>
      </c>
      <c r="J1221">
        <v>1</v>
      </c>
      <c r="K1221">
        <v>4025</v>
      </c>
      <c r="L1221">
        <v>1</v>
      </c>
      <c r="M1221">
        <v>0</v>
      </c>
      <c r="N1221">
        <v>2</v>
      </c>
      <c r="O1221">
        <f t="shared" si="38"/>
        <v>2025</v>
      </c>
      <c r="P1221">
        <f t="shared" si="39"/>
        <v>6</v>
      </c>
      <c r="Q1221" t="s">
        <v>570</v>
      </c>
      <c r="R1221" s="546" t="s">
        <v>804</v>
      </c>
    </row>
    <row r="1222" spans="1:18" x14ac:dyDescent="0.3">
      <c r="A1222" t="s">
        <v>627</v>
      </c>
      <c r="B1222" s="16">
        <v>45824</v>
      </c>
      <c r="C1222" t="s">
        <v>3</v>
      </c>
      <c r="D1222" t="s">
        <v>139</v>
      </c>
      <c r="E1222">
        <v>525</v>
      </c>
      <c r="F1222">
        <v>309</v>
      </c>
      <c r="G1222">
        <v>27</v>
      </c>
      <c r="H1222">
        <v>11</v>
      </c>
      <c r="I1222">
        <v>66409</v>
      </c>
      <c r="J1222">
        <v>14</v>
      </c>
      <c r="K1222">
        <v>47152</v>
      </c>
      <c r="L1222">
        <v>12</v>
      </c>
      <c r="M1222">
        <v>179</v>
      </c>
      <c r="N1222">
        <v>362</v>
      </c>
      <c r="O1222">
        <f t="shared" si="38"/>
        <v>2025</v>
      </c>
      <c r="P1222">
        <f t="shared" si="39"/>
        <v>6</v>
      </c>
      <c r="Q1222" t="s">
        <v>570</v>
      </c>
      <c r="R1222" s="546" t="s">
        <v>804</v>
      </c>
    </row>
    <row r="1223" spans="1:18" x14ac:dyDescent="0.3">
      <c r="A1223" t="s">
        <v>627</v>
      </c>
      <c r="B1223" s="16">
        <v>45824</v>
      </c>
      <c r="C1223" t="s">
        <v>3</v>
      </c>
      <c r="D1223" t="s">
        <v>138</v>
      </c>
      <c r="E1223">
        <v>31</v>
      </c>
      <c r="F1223">
        <v>28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5</v>
      </c>
      <c r="N1223">
        <v>28</v>
      </c>
      <c r="O1223">
        <f t="shared" si="38"/>
        <v>2025</v>
      </c>
      <c r="P1223">
        <f t="shared" si="39"/>
        <v>6</v>
      </c>
      <c r="Q1223" t="s">
        <v>570</v>
      </c>
      <c r="R1223" s="546" t="s">
        <v>804</v>
      </c>
    </row>
    <row r="1224" spans="1:18" x14ac:dyDescent="0.3">
      <c r="A1224" t="s">
        <v>627</v>
      </c>
      <c r="B1224" s="16">
        <v>45824</v>
      </c>
      <c r="C1224" t="s">
        <v>3</v>
      </c>
      <c r="D1224" t="s">
        <v>135</v>
      </c>
      <c r="E1224">
        <v>20</v>
      </c>
      <c r="F1224">
        <v>7</v>
      </c>
      <c r="G1224">
        <v>0</v>
      </c>
      <c r="H1224">
        <v>0</v>
      </c>
      <c r="I1224">
        <v>2490</v>
      </c>
      <c r="J1224">
        <v>1</v>
      </c>
      <c r="K1224">
        <v>2490</v>
      </c>
      <c r="L1224">
        <v>1</v>
      </c>
      <c r="M1224">
        <v>1</v>
      </c>
      <c r="N1224">
        <v>8</v>
      </c>
      <c r="O1224">
        <f t="shared" si="38"/>
        <v>2025</v>
      </c>
      <c r="P1224">
        <f t="shared" si="39"/>
        <v>6</v>
      </c>
      <c r="Q1224" t="s">
        <v>570</v>
      </c>
      <c r="R1224" s="546" t="s">
        <v>804</v>
      </c>
    </row>
    <row r="1225" spans="1:18" x14ac:dyDescent="0.3">
      <c r="A1225" t="s">
        <v>627</v>
      </c>
      <c r="B1225" s="16">
        <v>45824</v>
      </c>
      <c r="C1225" t="s">
        <v>3</v>
      </c>
      <c r="D1225" t="s">
        <v>133</v>
      </c>
      <c r="E1225">
        <v>36</v>
      </c>
      <c r="F1225">
        <v>17</v>
      </c>
      <c r="G1225">
        <v>2</v>
      </c>
      <c r="H1225">
        <v>0</v>
      </c>
      <c r="I1225">
        <v>4975</v>
      </c>
      <c r="J1225">
        <v>1</v>
      </c>
      <c r="K1225">
        <v>4975</v>
      </c>
      <c r="L1225">
        <v>1</v>
      </c>
      <c r="M1225">
        <v>30</v>
      </c>
      <c r="N1225">
        <v>20</v>
      </c>
      <c r="O1225">
        <f t="shared" si="38"/>
        <v>2025</v>
      </c>
      <c r="P1225">
        <f t="shared" si="39"/>
        <v>6</v>
      </c>
      <c r="Q1225" t="s">
        <v>570</v>
      </c>
      <c r="R1225" s="546" t="s">
        <v>804</v>
      </c>
    </row>
    <row r="1226" spans="1:18" x14ac:dyDescent="0.3">
      <c r="A1226" t="s">
        <v>627</v>
      </c>
      <c r="B1226" s="16">
        <v>45824</v>
      </c>
      <c r="C1226" t="s">
        <v>3</v>
      </c>
      <c r="D1226" t="s">
        <v>130</v>
      </c>
      <c r="E1226">
        <v>133</v>
      </c>
      <c r="F1226">
        <v>49</v>
      </c>
      <c r="G1226">
        <v>7</v>
      </c>
      <c r="H1226">
        <v>1</v>
      </c>
      <c r="I1226">
        <v>28527</v>
      </c>
      <c r="J1226">
        <v>8</v>
      </c>
      <c r="K1226">
        <v>19252</v>
      </c>
      <c r="L1226">
        <v>7</v>
      </c>
      <c r="M1226">
        <v>50</v>
      </c>
      <c r="N1226">
        <v>104</v>
      </c>
      <c r="O1226">
        <f t="shared" si="38"/>
        <v>2025</v>
      </c>
      <c r="P1226">
        <f t="shared" si="39"/>
        <v>6</v>
      </c>
      <c r="Q1226" t="s">
        <v>570</v>
      </c>
      <c r="R1226" s="546" t="s">
        <v>804</v>
      </c>
    </row>
    <row r="1227" spans="1:18" x14ac:dyDescent="0.3">
      <c r="A1227" t="s">
        <v>627</v>
      </c>
      <c r="B1227" s="16">
        <v>45824</v>
      </c>
      <c r="C1227" t="s">
        <v>3</v>
      </c>
      <c r="D1227" t="s">
        <v>128</v>
      </c>
      <c r="E1227">
        <v>733</v>
      </c>
      <c r="F1227">
        <v>558</v>
      </c>
      <c r="G1227">
        <v>25</v>
      </c>
      <c r="H1227">
        <v>7</v>
      </c>
      <c r="I1227">
        <v>51335</v>
      </c>
      <c r="J1227">
        <v>9</v>
      </c>
      <c r="K1227">
        <v>21835</v>
      </c>
      <c r="L1227">
        <v>8</v>
      </c>
      <c r="M1227">
        <v>326</v>
      </c>
      <c r="N1227">
        <v>529</v>
      </c>
      <c r="O1227">
        <f t="shared" si="38"/>
        <v>2025</v>
      </c>
      <c r="P1227">
        <f t="shared" si="39"/>
        <v>6</v>
      </c>
      <c r="Q1227" t="s">
        <v>570</v>
      </c>
      <c r="R1227" s="546" t="s">
        <v>804</v>
      </c>
    </row>
    <row r="1228" spans="1:18" x14ac:dyDescent="0.3">
      <c r="A1228" t="s">
        <v>627</v>
      </c>
      <c r="B1228" s="16">
        <v>45824</v>
      </c>
      <c r="C1228" t="s">
        <v>3</v>
      </c>
      <c r="D1228" t="s">
        <v>127</v>
      </c>
      <c r="E1228">
        <v>3616</v>
      </c>
      <c r="F1228">
        <v>2656</v>
      </c>
      <c r="G1228">
        <v>50</v>
      </c>
      <c r="H1228">
        <v>13</v>
      </c>
      <c r="I1228">
        <v>8955</v>
      </c>
      <c r="J1228">
        <v>3</v>
      </c>
      <c r="K1228">
        <v>8955</v>
      </c>
      <c r="L1228">
        <v>3</v>
      </c>
      <c r="M1228">
        <v>176</v>
      </c>
      <c r="N1228">
        <v>3250</v>
      </c>
      <c r="O1228">
        <f t="shared" si="38"/>
        <v>2025</v>
      </c>
      <c r="P1228">
        <f t="shared" si="39"/>
        <v>6</v>
      </c>
      <c r="Q1228" t="s">
        <v>570</v>
      </c>
      <c r="R1228" s="546" t="s">
        <v>804</v>
      </c>
    </row>
    <row r="1229" spans="1:18" x14ac:dyDescent="0.3">
      <c r="A1229" t="s">
        <v>627</v>
      </c>
      <c r="B1229" s="16">
        <v>45824</v>
      </c>
      <c r="C1229" t="s">
        <v>3</v>
      </c>
      <c r="D1229" t="s">
        <v>126</v>
      </c>
      <c r="E1229">
        <v>72</v>
      </c>
      <c r="F1229">
        <v>52</v>
      </c>
      <c r="G1229">
        <v>4</v>
      </c>
      <c r="H1229">
        <v>0</v>
      </c>
      <c r="I1229">
        <v>29310</v>
      </c>
      <c r="J1229">
        <v>2</v>
      </c>
      <c r="K1229">
        <v>16625</v>
      </c>
      <c r="L1229">
        <v>2</v>
      </c>
      <c r="M1229">
        <v>15</v>
      </c>
      <c r="N1229">
        <v>69</v>
      </c>
      <c r="O1229">
        <f t="shared" si="38"/>
        <v>2025</v>
      </c>
      <c r="P1229">
        <f t="shared" si="39"/>
        <v>6</v>
      </c>
      <c r="Q1229" t="s">
        <v>570</v>
      </c>
      <c r="R1229" s="546" t="s">
        <v>804</v>
      </c>
    </row>
    <row r="1230" spans="1:18" x14ac:dyDescent="0.3">
      <c r="A1230" t="s">
        <v>627</v>
      </c>
      <c r="B1230" s="16">
        <v>45824</v>
      </c>
      <c r="C1230" t="s">
        <v>3</v>
      </c>
      <c r="D1230" t="s">
        <v>125</v>
      </c>
      <c r="E1230">
        <v>3</v>
      </c>
      <c r="F1230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2</v>
      </c>
      <c r="N1230">
        <v>3</v>
      </c>
      <c r="O1230">
        <f t="shared" si="38"/>
        <v>2025</v>
      </c>
      <c r="P1230">
        <f t="shared" si="39"/>
        <v>6</v>
      </c>
      <c r="Q1230" t="s">
        <v>570</v>
      </c>
      <c r="R1230" s="546" t="s">
        <v>804</v>
      </c>
    </row>
    <row r="1231" spans="1:18" x14ac:dyDescent="0.3">
      <c r="A1231" t="s">
        <v>627</v>
      </c>
      <c r="B1231" s="16">
        <v>45824</v>
      </c>
      <c r="C1231" t="s">
        <v>3</v>
      </c>
      <c r="D1231" t="s">
        <v>123</v>
      </c>
      <c r="E1231">
        <v>157</v>
      </c>
      <c r="F1231">
        <v>80</v>
      </c>
      <c r="G1231">
        <v>13</v>
      </c>
      <c r="H1231">
        <v>1</v>
      </c>
      <c r="I1231">
        <v>9870</v>
      </c>
      <c r="J1231">
        <v>2</v>
      </c>
      <c r="K1231">
        <v>4975</v>
      </c>
      <c r="L1231">
        <v>1</v>
      </c>
      <c r="M1231">
        <v>57</v>
      </c>
      <c r="N1231">
        <v>140</v>
      </c>
      <c r="O1231">
        <f t="shared" si="38"/>
        <v>2025</v>
      </c>
      <c r="P1231">
        <f t="shared" si="39"/>
        <v>6</v>
      </c>
      <c r="Q1231" t="s">
        <v>570</v>
      </c>
      <c r="R1231" s="546" t="s">
        <v>804</v>
      </c>
    </row>
    <row r="1232" spans="1:18" x14ac:dyDescent="0.3">
      <c r="A1232" t="s">
        <v>627</v>
      </c>
      <c r="B1232" s="16">
        <v>45824</v>
      </c>
      <c r="C1232" t="s">
        <v>3</v>
      </c>
      <c r="D1232" t="s">
        <v>122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f t="shared" si="38"/>
        <v>2025</v>
      </c>
      <c r="P1232">
        <f t="shared" si="39"/>
        <v>6</v>
      </c>
      <c r="Q1232" t="s">
        <v>570</v>
      </c>
      <c r="R1232" s="546" t="s">
        <v>804</v>
      </c>
    </row>
    <row r="1233" spans="1:18" x14ac:dyDescent="0.3">
      <c r="A1233" t="s">
        <v>627</v>
      </c>
      <c r="B1233" s="16">
        <v>45824</v>
      </c>
      <c r="C1233" t="s">
        <v>3</v>
      </c>
      <c r="D1233" t="s">
        <v>121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f t="shared" si="38"/>
        <v>2025</v>
      </c>
      <c r="P1233">
        <f t="shared" si="39"/>
        <v>6</v>
      </c>
      <c r="Q1233" t="s">
        <v>570</v>
      </c>
      <c r="R1233" s="546" t="s">
        <v>804</v>
      </c>
    </row>
    <row r="1234" spans="1:18" x14ac:dyDescent="0.3">
      <c r="A1234" t="s">
        <v>627</v>
      </c>
      <c r="B1234" s="16">
        <v>45824</v>
      </c>
      <c r="C1234" t="s">
        <v>3</v>
      </c>
      <c r="D1234" t="s">
        <v>119</v>
      </c>
      <c r="E1234">
        <v>222</v>
      </c>
      <c r="F1234">
        <v>53</v>
      </c>
      <c r="G1234">
        <v>18</v>
      </c>
      <c r="H1234">
        <v>4</v>
      </c>
      <c r="I1234">
        <v>56892</v>
      </c>
      <c r="J1234">
        <v>11</v>
      </c>
      <c r="K1234">
        <v>56892</v>
      </c>
      <c r="L1234">
        <v>11</v>
      </c>
      <c r="M1234">
        <v>42</v>
      </c>
      <c r="N1234">
        <v>216</v>
      </c>
      <c r="O1234">
        <f t="shared" si="38"/>
        <v>2025</v>
      </c>
      <c r="P1234">
        <f t="shared" si="39"/>
        <v>6</v>
      </c>
      <c r="Q1234" t="s">
        <v>570</v>
      </c>
      <c r="R1234" s="546" t="s">
        <v>804</v>
      </c>
    </row>
    <row r="1235" spans="1:18" x14ac:dyDescent="0.3">
      <c r="A1235" t="s">
        <v>627</v>
      </c>
      <c r="B1235" s="16">
        <v>45824</v>
      </c>
      <c r="C1235" t="s">
        <v>3</v>
      </c>
      <c r="D1235" t="s">
        <v>252</v>
      </c>
      <c r="E1235">
        <v>6</v>
      </c>
      <c r="F1235">
        <v>5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6</v>
      </c>
      <c r="O1235">
        <f t="shared" si="38"/>
        <v>2025</v>
      </c>
      <c r="P1235">
        <f t="shared" si="39"/>
        <v>6</v>
      </c>
      <c r="Q1235" t="s">
        <v>570</v>
      </c>
      <c r="R1235" s="546" t="s">
        <v>804</v>
      </c>
    </row>
    <row r="1236" spans="1:18" x14ac:dyDescent="0.3">
      <c r="A1236" t="s">
        <v>627</v>
      </c>
      <c r="B1236" s="16">
        <v>45824</v>
      </c>
      <c r="C1236" t="s">
        <v>3</v>
      </c>
      <c r="D1236" t="s">
        <v>117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f t="shared" si="38"/>
        <v>2025</v>
      </c>
      <c r="P1236">
        <f t="shared" si="39"/>
        <v>6</v>
      </c>
      <c r="Q1236" t="s">
        <v>570</v>
      </c>
      <c r="R1236" s="546" t="s">
        <v>804</v>
      </c>
    </row>
    <row r="1237" spans="1:18" x14ac:dyDescent="0.3">
      <c r="A1237" t="s">
        <v>627</v>
      </c>
      <c r="B1237" s="16">
        <v>45824</v>
      </c>
      <c r="C1237" t="s">
        <v>3</v>
      </c>
      <c r="D1237" t="s">
        <v>391</v>
      </c>
      <c r="E1237">
        <v>406</v>
      </c>
      <c r="F1237">
        <v>217</v>
      </c>
      <c r="G1237">
        <v>9</v>
      </c>
      <c r="H1237">
        <v>3</v>
      </c>
      <c r="I1237">
        <v>48440</v>
      </c>
      <c r="J1237">
        <v>8</v>
      </c>
      <c r="K1237">
        <v>33885</v>
      </c>
      <c r="L1237">
        <v>7</v>
      </c>
      <c r="M1237">
        <v>62</v>
      </c>
      <c r="N1237">
        <v>400</v>
      </c>
      <c r="O1237">
        <f t="shared" si="38"/>
        <v>2025</v>
      </c>
      <c r="P1237">
        <f t="shared" si="39"/>
        <v>6</v>
      </c>
      <c r="Q1237" t="s">
        <v>570</v>
      </c>
      <c r="R1237" s="546" t="s">
        <v>804</v>
      </c>
    </row>
    <row r="1238" spans="1:18" x14ac:dyDescent="0.3">
      <c r="A1238" t="s">
        <v>627</v>
      </c>
      <c r="B1238" s="16">
        <v>45824</v>
      </c>
      <c r="C1238" t="s">
        <v>3</v>
      </c>
      <c r="D1238" t="s">
        <v>114</v>
      </c>
      <c r="E1238">
        <v>176</v>
      </c>
      <c r="F1238">
        <v>122</v>
      </c>
      <c r="G1238">
        <v>1</v>
      </c>
      <c r="H1238">
        <v>5</v>
      </c>
      <c r="I1238">
        <v>1677</v>
      </c>
      <c r="J1238">
        <v>1</v>
      </c>
      <c r="K1238">
        <v>0</v>
      </c>
      <c r="L1238">
        <v>0</v>
      </c>
      <c r="M1238">
        <v>11</v>
      </c>
      <c r="N1238">
        <v>173</v>
      </c>
      <c r="O1238">
        <f t="shared" si="38"/>
        <v>2025</v>
      </c>
      <c r="P1238">
        <f t="shared" si="39"/>
        <v>6</v>
      </c>
      <c r="Q1238" t="s">
        <v>570</v>
      </c>
      <c r="R1238" s="546" t="s">
        <v>804</v>
      </c>
    </row>
    <row r="1239" spans="1:18" x14ac:dyDescent="0.3">
      <c r="A1239" t="s">
        <v>627</v>
      </c>
      <c r="B1239" s="16">
        <v>45824</v>
      </c>
      <c r="C1239" t="s">
        <v>3</v>
      </c>
      <c r="D1239" t="s">
        <v>113</v>
      </c>
      <c r="E1239">
        <v>87</v>
      </c>
      <c r="F1239">
        <v>47</v>
      </c>
      <c r="G1239">
        <v>4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74</v>
      </c>
      <c r="N1239">
        <v>45</v>
      </c>
      <c r="O1239">
        <f t="shared" si="38"/>
        <v>2025</v>
      </c>
      <c r="P1239">
        <f t="shared" si="39"/>
        <v>6</v>
      </c>
      <c r="Q1239" t="s">
        <v>570</v>
      </c>
      <c r="R1239" s="546" t="s">
        <v>804</v>
      </c>
    </row>
    <row r="1240" spans="1:18" x14ac:dyDescent="0.3">
      <c r="A1240" t="s">
        <v>627</v>
      </c>
      <c r="B1240" s="16">
        <v>45824</v>
      </c>
      <c r="C1240" t="s">
        <v>3</v>
      </c>
      <c r="D1240" t="s">
        <v>112</v>
      </c>
      <c r="E1240">
        <v>20</v>
      </c>
      <c r="F1240">
        <v>8</v>
      </c>
      <c r="G1240">
        <v>1</v>
      </c>
      <c r="H1240">
        <v>0</v>
      </c>
      <c r="I1240">
        <v>12082</v>
      </c>
      <c r="J1240">
        <v>3</v>
      </c>
      <c r="K1240">
        <v>12082</v>
      </c>
      <c r="L1240">
        <v>3</v>
      </c>
      <c r="M1240">
        <v>0</v>
      </c>
      <c r="N1240">
        <v>20</v>
      </c>
      <c r="O1240">
        <f t="shared" si="38"/>
        <v>2025</v>
      </c>
      <c r="P1240">
        <f t="shared" si="39"/>
        <v>6</v>
      </c>
      <c r="Q1240" t="s">
        <v>570</v>
      </c>
      <c r="R1240" s="546" t="s">
        <v>804</v>
      </c>
    </row>
    <row r="1241" spans="1:18" x14ac:dyDescent="0.3">
      <c r="A1241" t="s">
        <v>627</v>
      </c>
      <c r="B1241" s="16">
        <v>45824</v>
      </c>
      <c r="C1241" t="s">
        <v>3</v>
      </c>
      <c r="D1241" t="s">
        <v>111</v>
      </c>
      <c r="E1241">
        <v>3</v>
      </c>
      <c r="F1241">
        <v>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3</v>
      </c>
      <c r="O1241">
        <f t="shared" si="38"/>
        <v>2025</v>
      </c>
      <c r="P1241">
        <f t="shared" si="39"/>
        <v>6</v>
      </c>
      <c r="Q1241" t="s">
        <v>570</v>
      </c>
      <c r="R1241" s="546" t="s">
        <v>804</v>
      </c>
    </row>
    <row r="1242" spans="1:18" x14ac:dyDescent="0.3">
      <c r="A1242" t="s">
        <v>627</v>
      </c>
      <c r="B1242" s="16">
        <v>45823</v>
      </c>
      <c r="C1242" t="s">
        <v>2</v>
      </c>
      <c r="D1242" t="s">
        <v>4</v>
      </c>
      <c r="E1242">
        <v>214</v>
      </c>
      <c r="F1242">
        <v>57</v>
      </c>
      <c r="G1242">
        <v>7</v>
      </c>
      <c r="H1242">
        <v>0</v>
      </c>
      <c r="I1242">
        <v>11335</v>
      </c>
      <c r="J1242">
        <v>5</v>
      </c>
      <c r="K1242">
        <v>11335</v>
      </c>
      <c r="L1242">
        <v>5</v>
      </c>
      <c r="M1242">
        <v>3</v>
      </c>
      <c r="N1242">
        <v>213</v>
      </c>
      <c r="O1242">
        <f t="shared" si="38"/>
        <v>2025</v>
      </c>
      <c r="P1242">
        <f t="shared" si="39"/>
        <v>6</v>
      </c>
      <c r="Q1242" t="s">
        <v>570</v>
      </c>
      <c r="R1242" s="546" t="s">
        <v>804</v>
      </c>
    </row>
    <row r="1243" spans="1:18" x14ac:dyDescent="0.3">
      <c r="A1243" t="s">
        <v>627</v>
      </c>
      <c r="B1243" s="16">
        <v>45823</v>
      </c>
      <c r="C1243" t="s">
        <v>2</v>
      </c>
      <c r="D1243" t="s">
        <v>57</v>
      </c>
      <c r="E1243">
        <v>15685</v>
      </c>
      <c r="F1243">
        <v>10154</v>
      </c>
      <c r="G1243">
        <v>183</v>
      </c>
      <c r="H1243">
        <v>157</v>
      </c>
      <c r="I1243">
        <v>182433</v>
      </c>
      <c r="J1243">
        <v>49</v>
      </c>
      <c r="K1243">
        <v>102038</v>
      </c>
      <c r="L1243">
        <v>38</v>
      </c>
      <c r="M1243">
        <v>1115</v>
      </c>
      <c r="N1243">
        <v>15444</v>
      </c>
      <c r="O1243">
        <f t="shared" si="38"/>
        <v>2025</v>
      </c>
      <c r="P1243">
        <f t="shared" si="39"/>
        <v>6</v>
      </c>
      <c r="Q1243" t="s">
        <v>570</v>
      </c>
      <c r="R1243" s="546" t="s">
        <v>804</v>
      </c>
    </row>
    <row r="1244" spans="1:18" x14ac:dyDescent="0.3">
      <c r="A1244" t="s">
        <v>627</v>
      </c>
      <c r="B1244" s="16">
        <v>45823</v>
      </c>
      <c r="C1244" t="s">
        <v>2</v>
      </c>
      <c r="D1244" t="s">
        <v>55</v>
      </c>
      <c r="E1244">
        <v>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3</v>
      </c>
      <c r="O1244">
        <f t="shared" si="38"/>
        <v>2025</v>
      </c>
      <c r="P1244">
        <f t="shared" si="39"/>
        <v>6</v>
      </c>
      <c r="Q1244" t="s">
        <v>570</v>
      </c>
      <c r="R1244" s="546" t="s">
        <v>804</v>
      </c>
    </row>
    <row r="1245" spans="1:18" x14ac:dyDescent="0.3">
      <c r="A1245" t="s">
        <v>627</v>
      </c>
      <c r="B1245" s="16">
        <v>45823</v>
      </c>
      <c r="C1245" t="s">
        <v>3</v>
      </c>
      <c r="D1245" t="s">
        <v>155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f t="shared" si="38"/>
        <v>2025</v>
      </c>
      <c r="P1245">
        <f t="shared" si="39"/>
        <v>6</v>
      </c>
      <c r="Q1245" t="s">
        <v>570</v>
      </c>
      <c r="R1245" s="546" t="s">
        <v>804</v>
      </c>
    </row>
    <row r="1246" spans="1:18" x14ac:dyDescent="0.3">
      <c r="A1246" t="s">
        <v>627</v>
      </c>
      <c r="B1246" s="16">
        <v>45823</v>
      </c>
      <c r="C1246" t="s">
        <v>3</v>
      </c>
      <c r="D1246" t="s">
        <v>153</v>
      </c>
      <c r="E1246">
        <v>375</v>
      </c>
      <c r="F1246">
        <v>92</v>
      </c>
      <c r="G1246">
        <v>38</v>
      </c>
      <c r="H1246">
        <v>3</v>
      </c>
      <c r="I1246">
        <v>134066</v>
      </c>
      <c r="J1246">
        <v>49</v>
      </c>
      <c r="K1246">
        <v>124886</v>
      </c>
      <c r="L1246">
        <v>47</v>
      </c>
      <c r="M1246">
        <v>118</v>
      </c>
      <c r="N1246">
        <v>365</v>
      </c>
      <c r="O1246">
        <f t="shared" si="38"/>
        <v>2025</v>
      </c>
      <c r="P1246">
        <f t="shared" si="39"/>
        <v>6</v>
      </c>
      <c r="Q1246" t="s">
        <v>570</v>
      </c>
      <c r="R1246" s="546" t="s">
        <v>804</v>
      </c>
    </row>
    <row r="1247" spans="1:18" x14ac:dyDescent="0.3">
      <c r="A1247" t="s">
        <v>627</v>
      </c>
      <c r="B1247" s="16">
        <v>45823</v>
      </c>
      <c r="C1247" t="s">
        <v>3</v>
      </c>
      <c r="D1247" t="s">
        <v>152</v>
      </c>
      <c r="E1247">
        <v>30</v>
      </c>
      <c r="F1247">
        <v>15</v>
      </c>
      <c r="G1247">
        <v>2</v>
      </c>
      <c r="H1247">
        <v>6</v>
      </c>
      <c r="I1247">
        <v>0</v>
      </c>
      <c r="J1247">
        <v>0</v>
      </c>
      <c r="K1247">
        <v>0</v>
      </c>
      <c r="L1247">
        <v>0</v>
      </c>
      <c r="M1247">
        <v>1</v>
      </c>
      <c r="N1247">
        <v>30</v>
      </c>
      <c r="O1247">
        <f t="shared" si="38"/>
        <v>2025</v>
      </c>
      <c r="P1247">
        <f t="shared" si="39"/>
        <v>6</v>
      </c>
      <c r="Q1247" t="s">
        <v>570</v>
      </c>
      <c r="R1247" s="546" t="s">
        <v>804</v>
      </c>
    </row>
    <row r="1248" spans="1:18" x14ac:dyDescent="0.3">
      <c r="A1248" t="s">
        <v>627</v>
      </c>
      <c r="B1248" s="16">
        <v>45823</v>
      </c>
      <c r="C1248" t="s">
        <v>3</v>
      </c>
      <c r="D1248" t="s">
        <v>150</v>
      </c>
      <c r="E1248">
        <v>2</v>
      </c>
      <c r="F1248">
        <v>2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2</v>
      </c>
      <c r="O1248">
        <f t="shared" si="38"/>
        <v>2025</v>
      </c>
      <c r="P1248">
        <f t="shared" si="39"/>
        <v>6</v>
      </c>
      <c r="Q1248" t="s">
        <v>570</v>
      </c>
      <c r="R1248" s="546" t="s">
        <v>804</v>
      </c>
    </row>
    <row r="1249" spans="1:18" x14ac:dyDescent="0.3">
      <c r="A1249" t="s">
        <v>627</v>
      </c>
      <c r="B1249" s="16">
        <v>45823</v>
      </c>
      <c r="C1249" t="s">
        <v>3</v>
      </c>
      <c r="D1249" t="s">
        <v>149</v>
      </c>
      <c r="E1249">
        <v>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2</v>
      </c>
      <c r="O1249">
        <f t="shared" si="38"/>
        <v>2025</v>
      </c>
      <c r="P1249">
        <f t="shared" si="39"/>
        <v>6</v>
      </c>
      <c r="Q1249" t="s">
        <v>570</v>
      </c>
      <c r="R1249" s="546" t="s">
        <v>804</v>
      </c>
    </row>
    <row r="1250" spans="1:18" x14ac:dyDescent="0.3">
      <c r="A1250" t="s">
        <v>627</v>
      </c>
      <c r="B1250" s="16">
        <v>45823</v>
      </c>
      <c r="C1250" t="s">
        <v>3</v>
      </c>
      <c r="D1250" t="s">
        <v>630</v>
      </c>
      <c r="E1250">
        <v>12</v>
      </c>
      <c r="F1250">
        <v>3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12</v>
      </c>
      <c r="O1250">
        <f t="shared" si="38"/>
        <v>2025</v>
      </c>
      <c r="P1250">
        <f t="shared" si="39"/>
        <v>6</v>
      </c>
      <c r="Q1250" t="s">
        <v>570</v>
      </c>
      <c r="R1250" s="546" t="s">
        <v>804</v>
      </c>
    </row>
    <row r="1251" spans="1:18" x14ac:dyDescent="0.3">
      <c r="A1251" t="s">
        <v>627</v>
      </c>
      <c r="B1251" s="16">
        <v>45823</v>
      </c>
      <c r="C1251" t="s">
        <v>3</v>
      </c>
      <c r="D1251" t="s">
        <v>251</v>
      </c>
      <c r="E1251">
        <v>211</v>
      </c>
      <c r="F1251">
        <v>93</v>
      </c>
      <c r="G1251">
        <v>15</v>
      </c>
      <c r="H1251">
        <v>1</v>
      </c>
      <c r="I1251">
        <v>14477</v>
      </c>
      <c r="J1251">
        <v>5</v>
      </c>
      <c r="K1251">
        <v>14477</v>
      </c>
      <c r="L1251">
        <v>5</v>
      </c>
      <c r="M1251">
        <v>71</v>
      </c>
      <c r="N1251">
        <v>171</v>
      </c>
      <c r="O1251">
        <f t="shared" si="38"/>
        <v>2025</v>
      </c>
      <c r="P1251">
        <f t="shared" si="39"/>
        <v>6</v>
      </c>
      <c r="Q1251" t="s">
        <v>570</v>
      </c>
      <c r="R1251" s="546" t="s">
        <v>804</v>
      </c>
    </row>
    <row r="1252" spans="1:18" x14ac:dyDescent="0.3">
      <c r="A1252" t="s">
        <v>627</v>
      </c>
      <c r="B1252" s="16">
        <v>45823</v>
      </c>
      <c r="C1252" t="s">
        <v>3</v>
      </c>
      <c r="D1252" t="s">
        <v>143</v>
      </c>
      <c r="E1252">
        <v>21</v>
      </c>
      <c r="F1252">
        <v>18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21</v>
      </c>
      <c r="O1252">
        <f t="shared" si="38"/>
        <v>2025</v>
      </c>
      <c r="P1252">
        <f t="shared" si="39"/>
        <v>6</v>
      </c>
      <c r="Q1252" t="s">
        <v>570</v>
      </c>
      <c r="R1252" s="546" t="s">
        <v>804</v>
      </c>
    </row>
    <row r="1253" spans="1:18" x14ac:dyDescent="0.3">
      <c r="A1253" t="s">
        <v>627</v>
      </c>
      <c r="B1253" s="16">
        <v>45823</v>
      </c>
      <c r="C1253" t="s">
        <v>3</v>
      </c>
      <c r="D1253" t="s">
        <v>141</v>
      </c>
      <c r="E1253">
        <v>164</v>
      </c>
      <c r="F1253">
        <v>91</v>
      </c>
      <c r="G1253">
        <v>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164</v>
      </c>
      <c r="O1253">
        <f t="shared" si="38"/>
        <v>2025</v>
      </c>
      <c r="P1253">
        <f t="shared" si="39"/>
        <v>6</v>
      </c>
      <c r="Q1253" t="s">
        <v>570</v>
      </c>
      <c r="R1253" s="546" t="s">
        <v>804</v>
      </c>
    </row>
    <row r="1254" spans="1:18" x14ac:dyDescent="0.3">
      <c r="A1254" t="s">
        <v>627</v>
      </c>
      <c r="B1254" s="16">
        <v>45823</v>
      </c>
      <c r="C1254" t="s">
        <v>3</v>
      </c>
      <c r="D1254" t="s">
        <v>140</v>
      </c>
      <c r="E1254">
        <v>10</v>
      </c>
      <c r="F1254">
        <v>6</v>
      </c>
      <c r="G1254">
        <v>0</v>
      </c>
      <c r="H1254">
        <v>0</v>
      </c>
      <c r="I1254">
        <v>6695</v>
      </c>
      <c r="J1254">
        <v>3</v>
      </c>
      <c r="K1254">
        <v>5005</v>
      </c>
      <c r="L1254">
        <v>2</v>
      </c>
      <c r="M1254">
        <v>1</v>
      </c>
      <c r="N1254">
        <v>10</v>
      </c>
      <c r="O1254">
        <f t="shared" si="38"/>
        <v>2025</v>
      </c>
      <c r="P1254">
        <f t="shared" si="39"/>
        <v>6</v>
      </c>
      <c r="Q1254" t="s">
        <v>570</v>
      </c>
      <c r="R1254" s="546" t="s">
        <v>804</v>
      </c>
    </row>
    <row r="1255" spans="1:18" x14ac:dyDescent="0.3">
      <c r="A1255" t="s">
        <v>627</v>
      </c>
      <c r="B1255" s="16">
        <v>45823</v>
      </c>
      <c r="C1255" t="s">
        <v>3</v>
      </c>
      <c r="D1255" t="s">
        <v>139</v>
      </c>
      <c r="E1255">
        <v>559</v>
      </c>
      <c r="F1255">
        <v>309</v>
      </c>
      <c r="G1255">
        <v>31</v>
      </c>
      <c r="H1255">
        <v>3</v>
      </c>
      <c r="I1255">
        <v>97380.3</v>
      </c>
      <c r="J1255">
        <v>22</v>
      </c>
      <c r="K1255">
        <v>52130.3</v>
      </c>
      <c r="L1255">
        <v>18</v>
      </c>
      <c r="M1255">
        <v>245</v>
      </c>
      <c r="N1255">
        <v>415</v>
      </c>
      <c r="O1255">
        <f t="shared" si="38"/>
        <v>2025</v>
      </c>
      <c r="P1255">
        <f t="shared" si="39"/>
        <v>6</v>
      </c>
      <c r="Q1255" t="s">
        <v>570</v>
      </c>
      <c r="R1255" s="546" t="s">
        <v>804</v>
      </c>
    </row>
    <row r="1256" spans="1:18" x14ac:dyDescent="0.3">
      <c r="A1256" t="s">
        <v>627</v>
      </c>
      <c r="B1256" s="16">
        <v>45823</v>
      </c>
      <c r="C1256" t="s">
        <v>3</v>
      </c>
      <c r="D1256" t="s">
        <v>138</v>
      </c>
      <c r="E1256">
        <v>10</v>
      </c>
      <c r="F1256">
        <v>7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3</v>
      </c>
      <c r="N1256">
        <v>8</v>
      </c>
      <c r="O1256">
        <f t="shared" si="38"/>
        <v>2025</v>
      </c>
      <c r="P1256">
        <f t="shared" si="39"/>
        <v>6</v>
      </c>
      <c r="Q1256" t="s">
        <v>570</v>
      </c>
      <c r="R1256" s="546" t="s">
        <v>804</v>
      </c>
    </row>
    <row r="1257" spans="1:18" x14ac:dyDescent="0.3">
      <c r="A1257" t="s">
        <v>627</v>
      </c>
      <c r="B1257" s="16">
        <v>45823</v>
      </c>
      <c r="C1257" t="s">
        <v>3</v>
      </c>
      <c r="D1257" t="s">
        <v>136</v>
      </c>
      <c r="E1257">
        <v>1</v>
      </c>
      <c r="F1257">
        <v>0</v>
      </c>
      <c r="G1257">
        <v>1</v>
      </c>
      <c r="H1257">
        <v>0</v>
      </c>
      <c r="I1257">
        <v>1680</v>
      </c>
      <c r="J1257">
        <v>1</v>
      </c>
      <c r="K1257">
        <v>1680</v>
      </c>
      <c r="L1257">
        <v>1</v>
      </c>
      <c r="M1257">
        <v>0</v>
      </c>
      <c r="N1257">
        <v>1</v>
      </c>
      <c r="O1257">
        <f t="shared" si="38"/>
        <v>2025</v>
      </c>
      <c r="P1257">
        <f t="shared" si="39"/>
        <v>6</v>
      </c>
      <c r="Q1257" t="s">
        <v>570</v>
      </c>
      <c r="R1257" s="546" t="s">
        <v>804</v>
      </c>
    </row>
    <row r="1258" spans="1:18" x14ac:dyDescent="0.3">
      <c r="A1258" t="s">
        <v>627</v>
      </c>
      <c r="B1258" s="16">
        <v>45823</v>
      </c>
      <c r="C1258" t="s">
        <v>3</v>
      </c>
      <c r="D1258" t="s">
        <v>135</v>
      </c>
      <c r="E1258">
        <v>12</v>
      </c>
      <c r="F1258">
        <v>3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12</v>
      </c>
      <c r="O1258">
        <f t="shared" si="38"/>
        <v>2025</v>
      </c>
      <c r="P1258">
        <f t="shared" si="39"/>
        <v>6</v>
      </c>
      <c r="Q1258" t="s">
        <v>570</v>
      </c>
      <c r="R1258" s="546" t="s">
        <v>804</v>
      </c>
    </row>
    <row r="1259" spans="1:18" x14ac:dyDescent="0.3">
      <c r="A1259" t="s">
        <v>627</v>
      </c>
      <c r="B1259" s="16">
        <v>45823</v>
      </c>
      <c r="C1259" t="s">
        <v>3</v>
      </c>
      <c r="D1259" t="s">
        <v>133</v>
      </c>
      <c r="E1259">
        <v>33</v>
      </c>
      <c r="F1259">
        <v>15</v>
      </c>
      <c r="G1259">
        <v>4</v>
      </c>
      <c r="H1259">
        <v>0</v>
      </c>
      <c r="I1259">
        <v>24015</v>
      </c>
      <c r="J1259">
        <v>3</v>
      </c>
      <c r="K1259">
        <v>24015</v>
      </c>
      <c r="L1259">
        <v>3</v>
      </c>
      <c r="M1259">
        <v>19</v>
      </c>
      <c r="N1259">
        <v>23</v>
      </c>
      <c r="O1259">
        <f t="shared" si="38"/>
        <v>2025</v>
      </c>
      <c r="P1259">
        <f t="shared" si="39"/>
        <v>6</v>
      </c>
      <c r="Q1259" t="s">
        <v>570</v>
      </c>
      <c r="R1259" s="546" t="s">
        <v>804</v>
      </c>
    </row>
    <row r="1260" spans="1:18" x14ac:dyDescent="0.3">
      <c r="A1260" t="s">
        <v>627</v>
      </c>
      <c r="B1260" s="16">
        <v>45823</v>
      </c>
      <c r="C1260" t="s">
        <v>3</v>
      </c>
      <c r="D1260" t="s">
        <v>130</v>
      </c>
      <c r="E1260">
        <v>197</v>
      </c>
      <c r="F1260">
        <v>65</v>
      </c>
      <c r="G1260">
        <v>14</v>
      </c>
      <c r="H1260">
        <v>2</v>
      </c>
      <c r="I1260">
        <v>49489</v>
      </c>
      <c r="J1260">
        <v>10</v>
      </c>
      <c r="K1260">
        <v>19419</v>
      </c>
      <c r="L1260">
        <v>8</v>
      </c>
      <c r="M1260">
        <v>142</v>
      </c>
      <c r="N1260">
        <v>102</v>
      </c>
      <c r="O1260">
        <f t="shared" si="38"/>
        <v>2025</v>
      </c>
      <c r="P1260">
        <f t="shared" si="39"/>
        <v>6</v>
      </c>
      <c r="Q1260" t="s">
        <v>570</v>
      </c>
      <c r="R1260" s="546" t="s">
        <v>804</v>
      </c>
    </row>
    <row r="1261" spans="1:18" x14ac:dyDescent="0.3">
      <c r="A1261" t="s">
        <v>627</v>
      </c>
      <c r="B1261" s="16">
        <v>45823</v>
      </c>
      <c r="C1261" t="s">
        <v>3</v>
      </c>
      <c r="D1261" t="s">
        <v>128</v>
      </c>
      <c r="E1261">
        <v>846</v>
      </c>
      <c r="F1261">
        <v>627</v>
      </c>
      <c r="G1261">
        <v>44</v>
      </c>
      <c r="H1261">
        <v>8</v>
      </c>
      <c r="I1261">
        <v>17925</v>
      </c>
      <c r="J1261">
        <v>11</v>
      </c>
      <c r="K1261">
        <v>16235</v>
      </c>
      <c r="L1261">
        <v>10</v>
      </c>
      <c r="M1261">
        <v>361</v>
      </c>
      <c r="N1261">
        <v>650</v>
      </c>
      <c r="O1261">
        <f t="shared" si="38"/>
        <v>2025</v>
      </c>
      <c r="P1261">
        <f t="shared" si="39"/>
        <v>6</v>
      </c>
      <c r="Q1261" t="s">
        <v>570</v>
      </c>
      <c r="R1261" s="546" t="s">
        <v>804</v>
      </c>
    </row>
    <row r="1262" spans="1:18" x14ac:dyDescent="0.3">
      <c r="A1262" t="s">
        <v>627</v>
      </c>
      <c r="B1262" s="16">
        <v>45823</v>
      </c>
      <c r="C1262" t="s">
        <v>3</v>
      </c>
      <c r="D1262" t="s">
        <v>127</v>
      </c>
      <c r="E1262">
        <v>3344</v>
      </c>
      <c r="F1262">
        <v>2484</v>
      </c>
      <c r="G1262">
        <v>53</v>
      </c>
      <c r="H1262">
        <v>18</v>
      </c>
      <c r="I1262">
        <v>26963</v>
      </c>
      <c r="J1262">
        <v>10</v>
      </c>
      <c r="K1262">
        <v>25273</v>
      </c>
      <c r="L1262">
        <v>9</v>
      </c>
      <c r="M1262">
        <v>179</v>
      </c>
      <c r="N1262">
        <v>3220</v>
      </c>
      <c r="O1262">
        <f t="shared" si="38"/>
        <v>2025</v>
      </c>
      <c r="P1262">
        <f t="shared" si="39"/>
        <v>6</v>
      </c>
      <c r="Q1262" t="s">
        <v>570</v>
      </c>
      <c r="R1262" s="546" t="s">
        <v>804</v>
      </c>
    </row>
    <row r="1263" spans="1:18" x14ac:dyDescent="0.3">
      <c r="A1263" t="s">
        <v>627</v>
      </c>
      <c r="B1263" s="16">
        <v>45823</v>
      </c>
      <c r="C1263" t="s">
        <v>3</v>
      </c>
      <c r="D1263" t="s">
        <v>126</v>
      </c>
      <c r="E1263">
        <v>101</v>
      </c>
      <c r="F1263">
        <v>68</v>
      </c>
      <c r="G1263">
        <v>7</v>
      </c>
      <c r="H1263">
        <v>2</v>
      </c>
      <c r="I1263">
        <v>4167</v>
      </c>
      <c r="J1263">
        <v>2</v>
      </c>
      <c r="K1263">
        <v>4167</v>
      </c>
      <c r="L1263">
        <v>2</v>
      </c>
      <c r="M1263">
        <v>17</v>
      </c>
      <c r="N1263">
        <v>94</v>
      </c>
      <c r="O1263">
        <f t="shared" ref="O1263:O1326" si="40">YEAR(B1263)</f>
        <v>2025</v>
      </c>
      <c r="P1263">
        <f t="shared" ref="P1263:P1326" si="41">MONTH(B1263)</f>
        <v>6</v>
      </c>
      <c r="Q1263" t="s">
        <v>570</v>
      </c>
      <c r="R1263" s="546" t="s">
        <v>804</v>
      </c>
    </row>
    <row r="1264" spans="1:18" x14ac:dyDescent="0.3">
      <c r="A1264" t="s">
        <v>627</v>
      </c>
      <c r="B1264" s="16">
        <v>45823</v>
      </c>
      <c r="C1264" t="s">
        <v>3</v>
      </c>
      <c r="D1264" t="s">
        <v>125</v>
      </c>
      <c r="E1264">
        <v>3</v>
      </c>
      <c r="F1264">
        <v>2</v>
      </c>
      <c r="G1264">
        <v>0</v>
      </c>
      <c r="H1264">
        <v>0</v>
      </c>
      <c r="I1264">
        <v>4165</v>
      </c>
      <c r="J1264">
        <v>1</v>
      </c>
      <c r="K1264">
        <v>4165</v>
      </c>
      <c r="L1264">
        <v>1</v>
      </c>
      <c r="M1264">
        <v>2</v>
      </c>
      <c r="N1264">
        <v>3</v>
      </c>
      <c r="O1264">
        <f t="shared" si="40"/>
        <v>2025</v>
      </c>
      <c r="P1264">
        <f t="shared" si="41"/>
        <v>6</v>
      </c>
      <c r="Q1264" t="s">
        <v>570</v>
      </c>
      <c r="R1264" s="546" t="s">
        <v>804</v>
      </c>
    </row>
    <row r="1265" spans="1:18" x14ac:dyDescent="0.3">
      <c r="A1265" t="s">
        <v>627</v>
      </c>
      <c r="B1265" s="16">
        <v>45823</v>
      </c>
      <c r="C1265" t="s">
        <v>3</v>
      </c>
      <c r="D1265" t="s">
        <v>123</v>
      </c>
      <c r="E1265">
        <v>169</v>
      </c>
      <c r="F1265">
        <v>73</v>
      </c>
      <c r="G1265">
        <v>7</v>
      </c>
      <c r="H1265">
        <v>3</v>
      </c>
      <c r="I1265">
        <v>12182</v>
      </c>
      <c r="J1265">
        <v>5</v>
      </c>
      <c r="K1265">
        <v>12182</v>
      </c>
      <c r="L1265">
        <v>5</v>
      </c>
      <c r="M1265">
        <v>57</v>
      </c>
      <c r="N1265">
        <v>147</v>
      </c>
      <c r="O1265">
        <f t="shared" si="40"/>
        <v>2025</v>
      </c>
      <c r="P1265">
        <f t="shared" si="41"/>
        <v>6</v>
      </c>
      <c r="Q1265" t="s">
        <v>570</v>
      </c>
      <c r="R1265" s="546" t="s">
        <v>804</v>
      </c>
    </row>
    <row r="1266" spans="1:18" x14ac:dyDescent="0.3">
      <c r="A1266" t="s">
        <v>627</v>
      </c>
      <c r="B1266" s="16">
        <v>45823</v>
      </c>
      <c r="C1266" t="s">
        <v>3</v>
      </c>
      <c r="D1266" t="s">
        <v>122</v>
      </c>
      <c r="E1266">
        <v>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2</v>
      </c>
      <c r="O1266">
        <f t="shared" si="40"/>
        <v>2025</v>
      </c>
      <c r="P1266">
        <f t="shared" si="41"/>
        <v>6</v>
      </c>
      <c r="Q1266" t="s">
        <v>570</v>
      </c>
      <c r="R1266" s="546" t="s">
        <v>804</v>
      </c>
    </row>
    <row r="1267" spans="1:18" x14ac:dyDescent="0.3">
      <c r="A1267" t="s">
        <v>627</v>
      </c>
      <c r="B1267" s="16">
        <v>45823</v>
      </c>
      <c r="C1267" t="s">
        <v>3</v>
      </c>
      <c r="D1267" t="s">
        <v>119</v>
      </c>
      <c r="E1267">
        <v>242</v>
      </c>
      <c r="F1267">
        <v>65</v>
      </c>
      <c r="G1267">
        <v>17</v>
      </c>
      <c r="H1267">
        <v>5</v>
      </c>
      <c r="I1267">
        <v>44440</v>
      </c>
      <c r="J1267">
        <v>14</v>
      </c>
      <c r="K1267">
        <v>32100</v>
      </c>
      <c r="L1267">
        <v>12</v>
      </c>
      <c r="M1267">
        <v>51</v>
      </c>
      <c r="N1267">
        <v>238</v>
      </c>
      <c r="O1267">
        <f t="shared" si="40"/>
        <v>2025</v>
      </c>
      <c r="P1267">
        <f t="shared" si="41"/>
        <v>6</v>
      </c>
      <c r="Q1267" t="s">
        <v>570</v>
      </c>
      <c r="R1267" s="546" t="s">
        <v>804</v>
      </c>
    </row>
    <row r="1268" spans="1:18" x14ac:dyDescent="0.3">
      <c r="A1268" t="s">
        <v>627</v>
      </c>
      <c r="B1268" s="16">
        <v>45823</v>
      </c>
      <c r="C1268" t="s">
        <v>3</v>
      </c>
      <c r="D1268" t="s">
        <v>252</v>
      </c>
      <c r="E1268">
        <v>4</v>
      </c>
      <c r="F1268">
        <v>3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4</v>
      </c>
      <c r="O1268">
        <f t="shared" si="40"/>
        <v>2025</v>
      </c>
      <c r="P1268">
        <f t="shared" si="41"/>
        <v>6</v>
      </c>
      <c r="Q1268" t="s">
        <v>570</v>
      </c>
      <c r="R1268" s="546" t="s">
        <v>804</v>
      </c>
    </row>
    <row r="1269" spans="1:18" x14ac:dyDescent="0.3">
      <c r="A1269" t="s">
        <v>627</v>
      </c>
      <c r="B1269" s="16">
        <v>45823</v>
      </c>
      <c r="C1269" t="s">
        <v>3</v>
      </c>
      <c r="D1269" t="s">
        <v>117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</v>
      </c>
      <c r="O1269">
        <f t="shared" si="40"/>
        <v>2025</v>
      </c>
      <c r="P1269">
        <f t="shared" si="41"/>
        <v>6</v>
      </c>
      <c r="Q1269" t="s">
        <v>570</v>
      </c>
      <c r="R1269" s="546" t="s">
        <v>804</v>
      </c>
    </row>
    <row r="1270" spans="1:18" x14ac:dyDescent="0.3">
      <c r="A1270" t="s">
        <v>627</v>
      </c>
      <c r="B1270" s="16">
        <v>45823</v>
      </c>
      <c r="C1270" t="s">
        <v>3</v>
      </c>
      <c r="D1270" t="s">
        <v>391</v>
      </c>
      <c r="E1270">
        <v>454</v>
      </c>
      <c r="F1270">
        <v>258</v>
      </c>
      <c r="G1270">
        <v>21</v>
      </c>
      <c r="H1270">
        <v>2</v>
      </c>
      <c r="I1270">
        <v>28021</v>
      </c>
      <c r="J1270">
        <v>9</v>
      </c>
      <c r="K1270">
        <v>25041</v>
      </c>
      <c r="L1270">
        <v>9</v>
      </c>
      <c r="M1270">
        <v>80</v>
      </c>
      <c r="N1270">
        <v>444</v>
      </c>
      <c r="O1270">
        <f t="shared" si="40"/>
        <v>2025</v>
      </c>
      <c r="P1270">
        <f t="shared" si="41"/>
        <v>6</v>
      </c>
      <c r="Q1270" t="s">
        <v>570</v>
      </c>
      <c r="R1270" s="546" t="s">
        <v>804</v>
      </c>
    </row>
    <row r="1271" spans="1:18" x14ac:dyDescent="0.3">
      <c r="A1271" t="s">
        <v>627</v>
      </c>
      <c r="B1271" s="16">
        <v>45823</v>
      </c>
      <c r="C1271" t="s">
        <v>3</v>
      </c>
      <c r="D1271" t="s">
        <v>114</v>
      </c>
      <c r="E1271">
        <v>197</v>
      </c>
      <c r="F1271">
        <v>122</v>
      </c>
      <c r="G1271">
        <v>6</v>
      </c>
      <c r="H1271">
        <v>7</v>
      </c>
      <c r="I1271">
        <v>3885</v>
      </c>
      <c r="J1271">
        <v>2</v>
      </c>
      <c r="K1271">
        <v>3885</v>
      </c>
      <c r="L1271">
        <v>2</v>
      </c>
      <c r="M1271">
        <v>20</v>
      </c>
      <c r="N1271">
        <v>195</v>
      </c>
      <c r="O1271">
        <f t="shared" si="40"/>
        <v>2025</v>
      </c>
      <c r="P1271">
        <f t="shared" si="41"/>
        <v>6</v>
      </c>
      <c r="Q1271" t="s">
        <v>570</v>
      </c>
      <c r="R1271" s="546" t="s">
        <v>804</v>
      </c>
    </row>
    <row r="1272" spans="1:18" x14ac:dyDescent="0.3">
      <c r="A1272" t="s">
        <v>627</v>
      </c>
      <c r="B1272" s="16">
        <v>45823</v>
      </c>
      <c r="C1272" t="s">
        <v>3</v>
      </c>
      <c r="D1272" t="s">
        <v>113</v>
      </c>
      <c r="E1272">
        <v>116</v>
      </c>
      <c r="F1272">
        <v>61</v>
      </c>
      <c r="G1272">
        <v>0</v>
      </c>
      <c r="H1272">
        <v>2</v>
      </c>
      <c r="I1272">
        <v>0</v>
      </c>
      <c r="J1272">
        <v>0</v>
      </c>
      <c r="K1272">
        <v>0</v>
      </c>
      <c r="L1272">
        <v>0</v>
      </c>
      <c r="M1272">
        <v>96</v>
      </c>
      <c r="N1272">
        <v>72</v>
      </c>
      <c r="O1272">
        <f t="shared" si="40"/>
        <v>2025</v>
      </c>
      <c r="P1272">
        <f t="shared" si="41"/>
        <v>6</v>
      </c>
      <c r="Q1272" t="s">
        <v>570</v>
      </c>
      <c r="R1272" s="546" t="s">
        <v>804</v>
      </c>
    </row>
    <row r="1273" spans="1:18" x14ac:dyDescent="0.3">
      <c r="A1273" t="s">
        <v>627</v>
      </c>
      <c r="B1273" s="16">
        <v>45823</v>
      </c>
      <c r="C1273" t="s">
        <v>3</v>
      </c>
      <c r="D1273" t="s">
        <v>112</v>
      </c>
      <c r="E1273">
        <v>20</v>
      </c>
      <c r="F1273">
        <v>4</v>
      </c>
      <c r="G1273">
        <v>0</v>
      </c>
      <c r="H1273">
        <v>0</v>
      </c>
      <c r="I1273">
        <v>9638</v>
      </c>
      <c r="J1273">
        <v>5</v>
      </c>
      <c r="K1273">
        <v>9638</v>
      </c>
      <c r="L1273">
        <v>5</v>
      </c>
      <c r="M1273">
        <v>0</v>
      </c>
      <c r="N1273">
        <v>20</v>
      </c>
      <c r="O1273">
        <f t="shared" si="40"/>
        <v>2025</v>
      </c>
      <c r="P1273">
        <f t="shared" si="41"/>
        <v>6</v>
      </c>
      <c r="Q1273" t="s">
        <v>570</v>
      </c>
      <c r="R1273" s="546" t="s">
        <v>804</v>
      </c>
    </row>
    <row r="1274" spans="1:18" x14ac:dyDescent="0.3">
      <c r="A1274" t="s">
        <v>627</v>
      </c>
      <c r="B1274" s="16">
        <v>45823</v>
      </c>
      <c r="C1274" t="s">
        <v>3</v>
      </c>
      <c r="D1274" t="s">
        <v>111</v>
      </c>
      <c r="E1274">
        <v>5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5</v>
      </c>
      <c r="O1274">
        <f t="shared" si="40"/>
        <v>2025</v>
      </c>
      <c r="P1274">
        <f t="shared" si="41"/>
        <v>6</v>
      </c>
      <c r="Q1274" t="s">
        <v>570</v>
      </c>
      <c r="R1274" s="546" t="s">
        <v>804</v>
      </c>
    </row>
    <row r="1275" spans="1:18" x14ac:dyDescent="0.3">
      <c r="A1275" t="s">
        <v>627</v>
      </c>
      <c r="B1275" s="16">
        <v>45822</v>
      </c>
      <c r="C1275" t="s">
        <v>2</v>
      </c>
      <c r="D1275" t="s">
        <v>4</v>
      </c>
      <c r="E1275">
        <v>209</v>
      </c>
      <c r="F1275">
        <v>58</v>
      </c>
      <c r="G1275">
        <v>4</v>
      </c>
      <c r="H1275">
        <v>1</v>
      </c>
      <c r="I1275">
        <v>2625</v>
      </c>
      <c r="J1275">
        <v>1</v>
      </c>
      <c r="K1275">
        <v>2625</v>
      </c>
      <c r="L1275">
        <v>1</v>
      </c>
      <c r="M1275">
        <v>3</v>
      </c>
      <c r="N1275">
        <v>208</v>
      </c>
      <c r="O1275">
        <f t="shared" si="40"/>
        <v>2025</v>
      </c>
      <c r="P1275">
        <f t="shared" si="41"/>
        <v>6</v>
      </c>
      <c r="Q1275" t="s">
        <v>570</v>
      </c>
      <c r="R1275" s="546" t="s">
        <v>804</v>
      </c>
    </row>
    <row r="1276" spans="1:18" x14ac:dyDescent="0.3">
      <c r="A1276" t="s">
        <v>627</v>
      </c>
      <c r="B1276" s="16">
        <v>45822</v>
      </c>
      <c r="C1276" t="s">
        <v>2</v>
      </c>
      <c r="D1276" t="s">
        <v>57</v>
      </c>
      <c r="E1276">
        <v>15553</v>
      </c>
      <c r="F1276">
        <v>9902</v>
      </c>
      <c r="G1276">
        <v>194</v>
      </c>
      <c r="H1276">
        <v>178</v>
      </c>
      <c r="I1276">
        <v>105100</v>
      </c>
      <c r="J1276">
        <v>32</v>
      </c>
      <c r="K1276">
        <v>58923</v>
      </c>
      <c r="L1276">
        <v>23</v>
      </c>
      <c r="M1276">
        <v>1067</v>
      </c>
      <c r="N1276">
        <v>15335</v>
      </c>
      <c r="O1276">
        <f t="shared" si="40"/>
        <v>2025</v>
      </c>
      <c r="P1276">
        <f t="shared" si="41"/>
        <v>6</v>
      </c>
      <c r="Q1276" t="s">
        <v>570</v>
      </c>
      <c r="R1276" s="546" t="s">
        <v>804</v>
      </c>
    </row>
    <row r="1277" spans="1:18" x14ac:dyDescent="0.3">
      <c r="A1277" t="s">
        <v>627</v>
      </c>
      <c r="B1277" s="16">
        <v>45822</v>
      </c>
      <c r="C1277" t="s">
        <v>2</v>
      </c>
      <c r="D1277" t="s">
        <v>52</v>
      </c>
      <c r="E1277">
        <v>1</v>
      </c>
      <c r="F1277">
        <v>1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f t="shared" si="40"/>
        <v>2025</v>
      </c>
      <c r="P1277">
        <f t="shared" si="41"/>
        <v>6</v>
      </c>
      <c r="Q1277" t="s">
        <v>570</v>
      </c>
      <c r="R1277" s="546" t="s">
        <v>804</v>
      </c>
    </row>
    <row r="1278" spans="1:18" x14ac:dyDescent="0.3">
      <c r="A1278" t="s">
        <v>627</v>
      </c>
      <c r="B1278" s="16">
        <v>45822</v>
      </c>
      <c r="C1278" t="s">
        <v>2</v>
      </c>
      <c r="D1278" t="s">
        <v>55</v>
      </c>
      <c r="E1278">
        <v>6</v>
      </c>
      <c r="F1278">
        <v>5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5</v>
      </c>
      <c r="O1278">
        <f t="shared" si="40"/>
        <v>2025</v>
      </c>
      <c r="P1278">
        <f t="shared" si="41"/>
        <v>6</v>
      </c>
      <c r="Q1278" t="s">
        <v>570</v>
      </c>
      <c r="R1278" s="546" t="s">
        <v>804</v>
      </c>
    </row>
    <row r="1279" spans="1:18" x14ac:dyDescent="0.3">
      <c r="A1279" t="s">
        <v>627</v>
      </c>
      <c r="B1279" s="16">
        <v>45822</v>
      </c>
      <c r="C1279" t="s">
        <v>3</v>
      </c>
      <c r="D1279" t="s">
        <v>155</v>
      </c>
      <c r="E1279">
        <v>2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2</v>
      </c>
      <c r="O1279">
        <f t="shared" si="40"/>
        <v>2025</v>
      </c>
      <c r="P1279">
        <f t="shared" si="41"/>
        <v>6</v>
      </c>
      <c r="Q1279" t="s">
        <v>570</v>
      </c>
      <c r="R1279" s="546" t="s">
        <v>804</v>
      </c>
    </row>
    <row r="1280" spans="1:18" x14ac:dyDescent="0.3">
      <c r="A1280" t="s">
        <v>627</v>
      </c>
      <c r="B1280" s="16">
        <v>45822</v>
      </c>
      <c r="C1280" t="s">
        <v>3</v>
      </c>
      <c r="D1280" t="s">
        <v>153</v>
      </c>
      <c r="E1280">
        <v>306</v>
      </c>
      <c r="F1280">
        <v>71</v>
      </c>
      <c r="G1280">
        <v>36</v>
      </c>
      <c r="H1280">
        <v>1</v>
      </c>
      <c r="I1280">
        <v>106563</v>
      </c>
      <c r="J1280">
        <v>32</v>
      </c>
      <c r="K1280">
        <v>98198</v>
      </c>
      <c r="L1280">
        <v>31</v>
      </c>
      <c r="M1280">
        <v>95</v>
      </c>
      <c r="N1280">
        <v>294</v>
      </c>
      <c r="O1280">
        <f t="shared" si="40"/>
        <v>2025</v>
      </c>
      <c r="P1280">
        <f t="shared" si="41"/>
        <v>6</v>
      </c>
      <c r="Q1280" t="s">
        <v>570</v>
      </c>
      <c r="R1280" s="546" t="s">
        <v>804</v>
      </c>
    </row>
    <row r="1281" spans="1:18" x14ac:dyDescent="0.3">
      <c r="A1281" t="s">
        <v>627</v>
      </c>
      <c r="B1281" s="16">
        <v>45822</v>
      </c>
      <c r="C1281" t="s">
        <v>3</v>
      </c>
      <c r="D1281" t="s">
        <v>152</v>
      </c>
      <c r="E1281">
        <v>25</v>
      </c>
      <c r="F1281">
        <v>7</v>
      </c>
      <c r="G1281">
        <v>2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25</v>
      </c>
      <c r="O1281">
        <f t="shared" si="40"/>
        <v>2025</v>
      </c>
      <c r="P1281">
        <f t="shared" si="41"/>
        <v>6</v>
      </c>
      <c r="Q1281" t="s">
        <v>570</v>
      </c>
      <c r="R1281" s="546" t="s">
        <v>804</v>
      </c>
    </row>
    <row r="1282" spans="1:18" x14ac:dyDescent="0.3">
      <c r="A1282" t="s">
        <v>627</v>
      </c>
      <c r="B1282" s="16">
        <v>45822</v>
      </c>
      <c r="C1282" t="s">
        <v>3</v>
      </c>
      <c r="D1282" t="s">
        <v>150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f t="shared" si="40"/>
        <v>2025</v>
      </c>
      <c r="P1282">
        <f t="shared" si="41"/>
        <v>6</v>
      </c>
      <c r="Q1282" t="s">
        <v>570</v>
      </c>
      <c r="R1282" s="546" t="s">
        <v>804</v>
      </c>
    </row>
    <row r="1283" spans="1:18" x14ac:dyDescent="0.3">
      <c r="A1283" t="s">
        <v>627</v>
      </c>
      <c r="B1283" s="16">
        <v>45822</v>
      </c>
      <c r="C1283" t="s">
        <v>3</v>
      </c>
      <c r="D1283" t="s">
        <v>149</v>
      </c>
      <c r="E1283">
        <v>2</v>
      </c>
      <c r="F1283">
        <v>2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f t="shared" si="40"/>
        <v>2025</v>
      </c>
      <c r="P1283">
        <f t="shared" si="41"/>
        <v>6</v>
      </c>
      <c r="Q1283" t="s">
        <v>570</v>
      </c>
      <c r="R1283" s="546" t="s">
        <v>804</v>
      </c>
    </row>
    <row r="1284" spans="1:18" x14ac:dyDescent="0.3">
      <c r="A1284" t="s">
        <v>627</v>
      </c>
      <c r="B1284" s="16">
        <v>45822</v>
      </c>
      <c r="C1284" t="s">
        <v>3</v>
      </c>
      <c r="D1284" t="s">
        <v>146</v>
      </c>
      <c r="E1284">
        <v>2</v>
      </c>
      <c r="F1284">
        <v>2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2</v>
      </c>
      <c r="O1284">
        <f t="shared" si="40"/>
        <v>2025</v>
      </c>
      <c r="P1284">
        <f t="shared" si="41"/>
        <v>6</v>
      </c>
      <c r="Q1284" t="s">
        <v>570</v>
      </c>
      <c r="R1284" s="546" t="s">
        <v>804</v>
      </c>
    </row>
    <row r="1285" spans="1:18" x14ac:dyDescent="0.3">
      <c r="A1285" t="s">
        <v>627</v>
      </c>
      <c r="B1285" s="16">
        <v>45822</v>
      </c>
      <c r="C1285" t="s">
        <v>3</v>
      </c>
      <c r="D1285" t="s">
        <v>630</v>
      </c>
      <c r="E1285">
        <v>6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5</v>
      </c>
      <c r="O1285">
        <f t="shared" si="40"/>
        <v>2025</v>
      </c>
      <c r="P1285">
        <f t="shared" si="41"/>
        <v>6</v>
      </c>
      <c r="Q1285" t="s">
        <v>570</v>
      </c>
      <c r="R1285" s="546" t="s">
        <v>804</v>
      </c>
    </row>
    <row r="1286" spans="1:18" x14ac:dyDescent="0.3">
      <c r="A1286" t="s">
        <v>627</v>
      </c>
      <c r="B1286" s="16">
        <v>45822</v>
      </c>
      <c r="C1286" t="s">
        <v>3</v>
      </c>
      <c r="D1286" t="s">
        <v>251</v>
      </c>
      <c r="E1286">
        <v>189</v>
      </c>
      <c r="F1286">
        <v>90</v>
      </c>
      <c r="G1286">
        <v>16</v>
      </c>
      <c r="H1286">
        <v>0</v>
      </c>
      <c r="I1286">
        <v>16405</v>
      </c>
      <c r="J1286">
        <v>7</v>
      </c>
      <c r="K1286">
        <v>16405</v>
      </c>
      <c r="L1286">
        <v>7</v>
      </c>
      <c r="M1286">
        <v>68</v>
      </c>
      <c r="N1286">
        <v>148</v>
      </c>
      <c r="O1286">
        <f t="shared" si="40"/>
        <v>2025</v>
      </c>
      <c r="P1286">
        <f t="shared" si="41"/>
        <v>6</v>
      </c>
      <c r="Q1286" t="s">
        <v>570</v>
      </c>
      <c r="R1286" s="546" t="s">
        <v>804</v>
      </c>
    </row>
    <row r="1287" spans="1:18" x14ac:dyDescent="0.3">
      <c r="A1287" t="s">
        <v>627</v>
      </c>
      <c r="B1287" s="16">
        <v>45822</v>
      </c>
      <c r="C1287" t="s">
        <v>3</v>
      </c>
      <c r="D1287" t="s">
        <v>143</v>
      </c>
      <c r="E1287">
        <v>16</v>
      </c>
      <c r="F1287">
        <v>16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16</v>
      </c>
      <c r="O1287">
        <f t="shared" si="40"/>
        <v>2025</v>
      </c>
      <c r="P1287">
        <f t="shared" si="41"/>
        <v>6</v>
      </c>
      <c r="Q1287" t="s">
        <v>570</v>
      </c>
      <c r="R1287" s="546" t="s">
        <v>804</v>
      </c>
    </row>
    <row r="1288" spans="1:18" x14ac:dyDescent="0.3">
      <c r="A1288" t="s">
        <v>627</v>
      </c>
      <c r="B1288" s="16">
        <v>45822</v>
      </c>
      <c r="C1288" t="s">
        <v>3</v>
      </c>
      <c r="D1288" t="s">
        <v>141</v>
      </c>
      <c r="E1288">
        <v>207</v>
      </c>
      <c r="F1288">
        <v>130</v>
      </c>
      <c r="G1288">
        <v>7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207</v>
      </c>
      <c r="O1288">
        <f t="shared" si="40"/>
        <v>2025</v>
      </c>
      <c r="P1288">
        <f t="shared" si="41"/>
        <v>6</v>
      </c>
      <c r="Q1288" t="s">
        <v>570</v>
      </c>
      <c r="R1288" s="546" t="s">
        <v>804</v>
      </c>
    </row>
    <row r="1289" spans="1:18" x14ac:dyDescent="0.3">
      <c r="A1289" t="s">
        <v>627</v>
      </c>
      <c r="B1289" s="16">
        <v>45822</v>
      </c>
      <c r="C1289" t="s">
        <v>3</v>
      </c>
      <c r="D1289" t="s">
        <v>140</v>
      </c>
      <c r="E1289">
        <v>7</v>
      </c>
      <c r="F1289">
        <v>6</v>
      </c>
      <c r="G1289">
        <v>1</v>
      </c>
      <c r="H1289">
        <v>0</v>
      </c>
      <c r="I1289">
        <v>4645</v>
      </c>
      <c r="J1289">
        <v>1</v>
      </c>
      <c r="K1289">
        <v>4645</v>
      </c>
      <c r="L1289">
        <v>1</v>
      </c>
      <c r="M1289">
        <v>0</v>
      </c>
      <c r="N1289">
        <v>7</v>
      </c>
      <c r="O1289">
        <f t="shared" si="40"/>
        <v>2025</v>
      </c>
      <c r="P1289">
        <f t="shared" si="41"/>
        <v>6</v>
      </c>
      <c r="Q1289" t="s">
        <v>570</v>
      </c>
      <c r="R1289" s="546" t="s">
        <v>804</v>
      </c>
    </row>
    <row r="1290" spans="1:18" x14ac:dyDescent="0.3">
      <c r="A1290" t="s">
        <v>627</v>
      </c>
      <c r="B1290" s="16">
        <v>45822</v>
      </c>
      <c r="C1290" t="s">
        <v>3</v>
      </c>
      <c r="D1290" t="s">
        <v>139</v>
      </c>
      <c r="E1290">
        <v>450</v>
      </c>
      <c r="F1290">
        <v>281</v>
      </c>
      <c r="G1290">
        <v>26</v>
      </c>
      <c r="H1290">
        <v>4</v>
      </c>
      <c r="I1290">
        <v>27992.78</v>
      </c>
      <c r="J1290">
        <v>12</v>
      </c>
      <c r="K1290">
        <v>26075.78</v>
      </c>
      <c r="L1290">
        <v>11</v>
      </c>
      <c r="M1290">
        <v>208</v>
      </c>
      <c r="N1290">
        <v>356</v>
      </c>
      <c r="O1290">
        <f t="shared" si="40"/>
        <v>2025</v>
      </c>
      <c r="P1290">
        <f t="shared" si="41"/>
        <v>6</v>
      </c>
      <c r="Q1290" t="s">
        <v>570</v>
      </c>
      <c r="R1290" s="546" t="s">
        <v>804</v>
      </c>
    </row>
    <row r="1291" spans="1:18" x14ac:dyDescent="0.3">
      <c r="A1291" t="s">
        <v>627</v>
      </c>
      <c r="B1291" s="16">
        <v>45822</v>
      </c>
      <c r="C1291" t="s">
        <v>3</v>
      </c>
      <c r="D1291" t="s">
        <v>138</v>
      </c>
      <c r="E1291">
        <v>8</v>
      </c>
      <c r="F1291">
        <v>2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3</v>
      </c>
      <c r="N1291">
        <v>8</v>
      </c>
      <c r="O1291">
        <f t="shared" si="40"/>
        <v>2025</v>
      </c>
      <c r="P1291">
        <f t="shared" si="41"/>
        <v>6</v>
      </c>
      <c r="Q1291" t="s">
        <v>570</v>
      </c>
      <c r="R1291" s="546" t="s">
        <v>804</v>
      </c>
    </row>
    <row r="1292" spans="1:18" x14ac:dyDescent="0.3">
      <c r="A1292" t="s">
        <v>627</v>
      </c>
      <c r="B1292" s="16">
        <v>45822</v>
      </c>
      <c r="C1292" t="s">
        <v>3</v>
      </c>
      <c r="D1292" t="s">
        <v>135</v>
      </c>
      <c r="E1292">
        <v>6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1</v>
      </c>
      <c r="N1292">
        <v>5</v>
      </c>
      <c r="O1292">
        <f t="shared" si="40"/>
        <v>2025</v>
      </c>
      <c r="P1292">
        <f t="shared" si="41"/>
        <v>6</v>
      </c>
      <c r="Q1292" t="s">
        <v>570</v>
      </c>
      <c r="R1292" s="546" t="s">
        <v>804</v>
      </c>
    </row>
    <row r="1293" spans="1:18" x14ac:dyDescent="0.3">
      <c r="A1293" t="s">
        <v>627</v>
      </c>
      <c r="B1293" s="16">
        <v>45822</v>
      </c>
      <c r="C1293" t="s">
        <v>3</v>
      </c>
      <c r="D1293" t="s">
        <v>133</v>
      </c>
      <c r="E1293">
        <v>18</v>
      </c>
      <c r="F1293">
        <v>7</v>
      </c>
      <c r="G1293">
        <v>4</v>
      </c>
      <c r="H1293">
        <v>0</v>
      </c>
      <c r="I1293">
        <v>3907</v>
      </c>
      <c r="J1293">
        <v>2</v>
      </c>
      <c r="K1293">
        <v>3907</v>
      </c>
      <c r="L1293">
        <v>2</v>
      </c>
      <c r="M1293">
        <v>13</v>
      </c>
      <c r="N1293">
        <v>13</v>
      </c>
      <c r="O1293">
        <f t="shared" si="40"/>
        <v>2025</v>
      </c>
      <c r="P1293">
        <f t="shared" si="41"/>
        <v>6</v>
      </c>
      <c r="Q1293" t="s">
        <v>570</v>
      </c>
      <c r="R1293" s="546" t="s">
        <v>804</v>
      </c>
    </row>
    <row r="1294" spans="1:18" x14ac:dyDescent="0.3">
      <c r="A1294" t="s">
        <v>627</v>
      </c>
      <c r="B1294" s="16">
        <v>45822</v>
      </c>
      <c r="C1294" t="s">
        <v>3</v>
      </c>
      <c r="D1294" t="s">
        <v>130</v>
      </c>
      <c r="E1294">
        <v>109</v>
      </c>
      <c r="F1294">
        <v>37</v>
      </c>
      <c r="G1294">
        <v>13</v>
      </c>
      <c r="H1294">
        <v>1</v>
      </c>
      <c r="I1294">
        <v>19575.45</v>
      </c>
      <c r="J1294">
        <v>7</v>
      </c>
      <c r="K1294">
        <v>19575.45</v>
      </c>
      <c r="L1294">
        <v>7</v>
      </c>
      <c r="M1294">
        <v>47</v>
      </c>
      <c r="N1294">
        <v>98</v>
      </c>
      <c r="O1294">
        <f t="shared" si="40"/>
        <v>2025</v>
      </c>
      <c r="P1294">
        <f t="shared" si="41"/>
        <v>6</v>
      </c>
      <c r="Q1294" t="s">
        <v>570</v>
      </c>
      <c r="R1294" s="546" t="s">
        <v>804</v>
      </c>
    </row>
    <row r="1295" spans="1:18" x14ac:dyDescent="0.3">
      <c r="A1295" t="s">
        <v>627</v>
      </c>
      <c r="B1295" s="16">
        <v>45822</v>
      </c>
      <c r="C1295" t="s">
        <v>3</v>
      </c>
      <c r="D1295" t="s">
        <v>128</v>
      </c>
      <c r="E1295">
        <v>811</v>
      </c>
      <c r="F1295">
        <v>610</v>
      </c>
      <c r="G1295">
        <v>38</v>
      </c>
      <c r="H1295">
        <v>8</v>
      </c>
      <c r="I1295">
        <v>38630</v>
      </c>
      <c r="J1295">
        <v>10</v>
      </c>
      <c r="K1295">
        <v>30645</v>
      </c>
      <c r="L1295">
        <v>9</v>
      </c>
      <c r="M1295">
        <v>356</v>
      </c>
      <c r="N1295">
        <v>627</v>
      </c>
      <c r="O1295">
        <f t="shared" si="40"/>
        <v>2025</v>
      </c>
      <c r="P1295">
        <f t="shared" si="41"/>
        <v>6</v>
      </c>
      <c r="Q1295" t="s">
        <v>570</v>
      </c>
      <c r="R1295" s="546" t="s">
        <v>804</v>
      </c>
    </row>
    <row r="1296" spans="1:18" x14ac:dyDescent="0.3">
      <c r="A1296" t="s">
        <v>627</v>
      </c>
      <c r="B1296" s="16">
        <v>45822</v>
      </c>
      <c r="C1296" t="s">
        <v>3</v>
      </c>
      <c r="D1296" t="s">
        <v>127</v>
      </c>
      <c r="E1296">
        <v>3033</v>
      </c>
      <c r="F1296">
        <v>2117</v>
      </c>
      <c r="G1296">
        <v>43</v>
      </c>
      <c r="H1296">
        <v>14</v>
      </c>
      <c r="I1296">
        <v>34473</v>
      </c>
      <c r="J1296">
        <v>11</v>
      </c>
      <c r="K1296">
        <v>29578</v>
      </c>
      <c r="L1296">
        <v>10</v>
      </c>
      <c r="M1296">
        <v>171</v>
      </c>
      <c r="N1296">
        <v>2988</v>
      </c>
      <c r="O1296">
        <f t="shared" si="40"/>
        <v>2025</v>
      </c>
      <c r="P1296">
        <f t="shared" si="41"/>
        <v>6</v>
      </c>
      <c r="Q1296" t="s">
        <v>570</v>
      </c>
      <c r="R1296" s="546" t="s">
        <v>804</v>
      </c>
    </row>
    <row r="1297" spans="1:18" x14ac:dyDescent="0.3">
      <c r="A1297" t="s">
        <v>627</v>
      </c>
      <c r="B1297" s="16">
        <v>45822</v>
      </c>
      <c r="C1297" t="s">
        <v>3</v>
      </c>
      <c r="D1297" t="s">
        <v>126</v>
      </c>
      <c r="E1297">
        <v>78</v>
      </c>
      <c r="F1297">
        <v>50</v>
      </c>
      <c r="G1297">
        <v>1</v>
      </c>
      <c r="H1297">
        <v>2</v>
      </c>
      <c r="I1297">
        <v>13270</v>
      </c>
      <c r="J1297">
        <v>2</v>
      </c>
      <c r="K1297">
        <v>13270</v>
      </c>
      <c r="L1297">
        <v>2</v>
      </c>
      <c r="M1297">
        <v>13</v>
      </c>
      <c r="N1297">
        <v>77</v>
      </c>
      <c r="O1297">
        <f t="shared" si="40"/>
        <v>2025</v>
      </c>
      <c r="P1297">
        <f t="shared" si="41"/>
        <v>6</v>
      </c>
      <c r="Q1297" t="s">
        <v>570</v>
      </c>
      <c r="R1297" s="546" t="s">
        <v>804</v>
      </c>
    </row>
    <row r="1298" spans="1:18" x14ac:dyDescent="0.3">
      <c r="A1298" t="s">
        <v>627</v>
      </c>
      <c r="B1298" s="16">
        <v>45822</v>
      </c>
      <c r="C1298" t="s">
        <v>3</v>
      </c>
      <c r="D1298" t="s">
        <v>125</v>
      </c>
      <c r="E1298">
        <v>1</v>
      </c>
      <c r="F1298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f t="shared" si="40"/>
        <v>2025</v>
      </c>
      <c r="P1298">
        <f t="shared" si="41"/>
        <v>6</v>
      </c>
      <c r="Q1298" t="s">
        <v>570</v>
      </c>
      <c r="R1298" s="546" t="s">
        <v>804</v>
      </c>
    </row>
    <row r="1299" spans="1:18" x14ac:dyDescent="0.3">
      <c r="A1299" t="s">
        <v>627</v>
      </c>
      <c r="B1299" s="16">
        <v>45822</v>
      </c>
      <c r="C1299" t="s">
        <v>3</v>
      </c>
      <c r="D1299" t="s">
        <v>123</v>
      </c>
      <c r="E1299">
        <v>163</v>
      </c>
      <c r="F1299">
        <v>92</v>
      </c>
      <c r="G1299">
        <v>7</v>
      </c>
      <c r="H1299">
        <v>1</v>
      </c>
      <c r="I1299">
        <v>4790</v>
      </c>
      <c r="J1299">
        <v>2</v>
      </c>
      <c r="K1299">
        <v>4790</v>
      </c>
      <c r="L1299">
        <v>2</v>
      </c>
      <c r="M1299">
        <v>43</v>
      </c>
      <c r="N1299">
        <v>149</v>
      </c>
      <c r="O1299">
        <f t="shared" si="40"/>
        <v>2025</v>
      </c>
      <c r="P1299">
        <f t="shared" si="41"/>
        <v>6</v>
      </c>
      <c r="Q1299" t="s">
        <v>570</v>
      </c>
      <c r="R1299" s="546" t="s">
        <v>804</v>
      </c>
    </row>
    <row r="1300" spans="1:18" x14ac:dyDescent="0.3">
      <c r="A1300" t="s">
        <v>627</v>
      </c>
      <c r="B1300" s="16">
        <v>45822</v>
      </c>
      <c r="C1300" t="s">
        <v>3</v>
      </c>
      <c r="D1300" t="s">
        <v>121</v>
      </c>
      <c r="E1300">
        <v>1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f t="shared" si="40"/>
        <v>2025</v>
      </c>
      <c r="P1300">
        <f t="shared" si="41"/>
        <v>6</v>
      </c>
      <c r="Q1300" t="s">
        <v>570</v>
      </c>
      <c r="R1300" s="546" t="s">
        <v>804</v>
      </c>
    </row>
    <row r="1301" spans="1:18" x14ac:dyDescent="0.3">
      <c r="A1301" t="s">
        <v>627</v>
      </c>
      <c r="B1301" s="16">
        <v>45822</v>
      </c>
      <c r="C1301" t="s">
        <v>3</v>
      </c>
      <c r="D1301" t="s">
        <v>119</v>
      </c>
      <c r="E1301">
        <v>216</v>
      </c>
      <c r="F1301">
        <v>64</v>
      </c>
      <c r="G1301">
        <v>7</v>
      </c>
      <c r="H1301">
        <v>6</v>
      </c>
      <c r="I1301">
        <v>18625</v>
      </c>
      <c r="J1301">
        <v>4</v>
      </c>
      <c r="K1301">
        <v>18625</v>
      </c>
      <c r="L1301">
        <v>4</v>
      </c>
      <c r="M1301">
        <v>39</v>
      </c>
      <c r="N1301">
        <v>211</v>
      </c>
      <c r="O1301">
        <f t="shared" si="40"/>
        <v>2025</v>
      </c>
      <c r="P1301">
        <f t="shared" si="41"/>
        <v>6</v>
      </c>
      <c r="Q1301" t="s">
        <v>570</v>
      </c>
      <c r="R1301" s="546" t="s">
        <v>804</v>
      </c>
    </row>
    <row r="1302" spans="1:18" x14ac:dyDescent="0.3">
      <c r="A1302" t="s">
        <v>627</v>
      </c>
      <c r="B1302" s="16">
        <v>45822</v>
      </c>
      <c r="C1302" t="s">
        <v>3</v>
      </c>
      <c r="D1302" t="s">
        <v>252</v>
      </c>
      <c r="E1302">
        <v>12</v>
      </c>
      <c r="F1302">
        <v>11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12</v>
      </c>
      <c r="O1302">
        <f t="shared" si="40"/>
        <v>2025</v>
      </c>
      <c r="P1302">
        <f t="shared" si="41"/>
        <v>6</v>
      </c>
      <c r="Q1302" t="s">
        <v>570</v>
      </c>
      <c r="R1302" s="546" t="s">
        <v>804</v>
      </c>
    </row>
    <row r="1303" spans="1:18" x14ac:dyDescent="0.3">
      <c r="A1303" t="s">
        <v>627</v>
      </c>
      <c r="B1303" s="16">
        <v>45822</v>
      </c>
      <c r="C1303" t="s">
        <v>3</v>
      </c>
      <c r="D1303" t="s">
        <v>391</v>
      </c>
      <c r="E1303">
        <v>421</v>
      </c>
      <c r="F1303">
        <v>226</v>
      </c>
      <c r="G1303">
        <v>16</v>
      </c>
      <c r="H1303">
        <v>3</v>
      </c>
      <c r="I1303">
        <v>5324</v>
      </c>
      <c r="J1303">
        <v>2</v>
      </c>
      <c r="K1303">
        <v>5324</v>
      </c>
      <c r="L1303">
        <v>2</v>
      </c>
      <c r="M1303">
        <v>58</v>
      </c>
      <c r="N1303">
        <v>413</v>
      </c>
      <c r="O1303">
        <f t="shared" si="40"/>
        <v>2025</v>
      </c>
      <c r="P1303">
        <f t="shared" si="41"/>
        <v>6</v>
      </c>
      <c r="Q1303" t="s">
        <v>570</v>
      </c>
      <c r="R1303" s="546" t="s">
        <v>804</v>
      </c>
    </row>
    <row r="1304" spans="1:18" x14ac:dyDescent="0.3">
      <c r="A1304" t="s">
        <v>627</v>
      </c>
      <c r="B1304" s="16">
        <v>45822</v>
      </c>
      <c r="C1304" t="s">
        <v>3</v>
      </c>
      <c r="D1304" t="s">
        <v>114</v>
      </c>
      <c r="E1304">
        <v>217</v>
      </c>
      <c r="F1304">
        <v>160</v>
      </c>
      <c r="G1304">
        <v>6</v>
      </c>
      <c r="H1304">
        <v>5</v>
      </c>
      <c r="I1304">
        <v>4420</v>
      </c>
      <c r="J1304">
        <v>1</v>
      </c>
      <c r="K1304">
        <v>4420</v>
      </c>
      <c r="L1304">
        <v>1</v>
      </c>
      <c r="M1304">
        <v>12</v>
      </c>
      <c r="N1304">
        <v>217</v>
      </c>
      <c r="O1304">
        <f t="shared" si="40"/>
        <v>2025</v>
      </c>
      <c r="P1304">
        <f t="shared" si="41"/>
        <v>6</v>
      </c>
      <c r="Q1304" t="s">
        <v>570</v>
      </c>
      <c r="R1304" s="546" t="s">
        <v>804</v>
      </c>
    </row>
    <row r="1305" spans="1:18" x14ac:dyDescent="0.3">
      <c r="A1305" t="s">
        <v>627</v>
      </c>
      <c r="B1305" s="16">
        <v>45822</v>
      </c>
      <c r="C1305" t="s">
        <v>3</v>
      </c>
      <c r="D1305" t="s">
        <v>113</v>
      </c>
      <c r="E1305">
        <v>88</v>
      </c>
      <c r="F1305">
        <v>50</v>
      </c>
      <c r="G1305">
        <v>3</v>
      </c>
      <c r="H1305">
        <v>0</v>
      </c>
      <c r="I1305">
        <v>5075</v>
      </c>
      <c r="J1305">
        <v>1</v>
      </c>
      <c r="K1305">
        <v>5075</v>
      </c>
      <c r="L1305">
        <v>1</v>
      </c>
      <c r="M1305">
        <v>73</v>
      </c>
      <c r="N1305">
        <v>50</v>
      </c>
      <c r="O1305">
        <f t="shared" si="40"/>
        <v>2025</v>
      </c>
      <c r="P1305">
        <f t="shared" si="41"/>
        <v>6</v>
      </c>
      <c r="Q1305" t="s">
        <v>570</v>
      </c>
      <c r="R1305" s="546" t="s">
        <v>804</v>
      </c>
    </row>
    <row r="1306" spans="1:18" x14ac:dyDescent="0.3">
      <c r="A1306" t="s">
        <v>627</v>
      </c>
      <c r="B1306" s="16">
        <v>45822</v>
      </c>
      <c r="C1306" t="s">
        <v>3</v>
      </c>
      <c r="D1306" t="s">
        <v>112</v>
      </c>
      <c r="E1306">
        <v>11</v>
      </c>
      <c r="F1306">
        <v>4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11</v>
      </c>
      <c r="O1306">
        <f t="shared" si="40"/>
        <v>2025</v>
      </c>
      <c r="P1306">
        <f t="shared" si="41"/>
        <v>6</v>
      </c>
      <c r="Q1306" t="s">
        <v>570</v>
      </c>
      <c r="R1306" s="546" t="s">
        <v>804</v>
      </c>
    </row>
    <row r="1307" spans="1:18" x14ac:dyDescent="0.3">
      <c r="A1307" t="s">
        <v>627</v>
      </c>
      <c r="B1307" s="16">
        <v>45822</v>
      </c>
      <c r="C1307" t="s">
        <v>3</v>
      </c>
      <c r="D1307" t="s">
        <v>111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</v>
      </c>
      <c r="N1307">
        <v>1</v>
      </c>
      <c r="O1307">
        <f t="shared" si="40"/>
        <v>2025</v>
      </c>
      <c r="P1307">
        <f t="shared" si="41"/>
        <v>6</v>
      </c>
      <c r="Q1307" t="s">
        <v>570</v>
      </c>
      <c r="R1307" s="546" t="s">
        <v>804</v>
      </c>
    </row>
    <row r="1308" spans="1:18" x14ac:dyDescent="0.3">
      <c r="A1308" t="s">
        <v>627</v>
      </c>
      <c r="B1308" s="16">
        <v>45821</v>
      </c>
      <c r="C1308" t="s">
        <v>2</v>
      </c>
      <c r="D1308" t="s">
        <v>4</v>
      </c>
      <c r="E1308">
        <v>230</v>
      </c>
      <c r="F1308">
        <v>65</v>
      </c>
      <c r="G1308">
        <v>2</v>
      </c>
      <c r="H1308">
        <v>0</v>
      </c>
      <c r="I1308">
        <v>4750</v>
      </c>
      <c r="J1308">
        <v>1</v>
      </c>
      <c r="K1308">
        <v>2375</v>
      </c>
      <c r="L1308">
        <v>1</v>
      </c>
      <c r="M1308">
        <v>5</v>
      </c>
      <c r="N1308">
        <v>225</v>
      </c>
      <c r="O1308">
        <f t="shared" si="40"/>
        <v>2025</v>
      </c>
      <c r="P1308">
        <f t="shared" si="41"/>
        <v>6</v>
      </c>
      <c r="Q1308" t="s">
        <v>570</v>
      </c>
      <c r="R1308" s="546" t="s">
        <v>804</v>
      </c>
    </row>
    <row r="1309" spans="1:18" x14ac:dyDescent="0.3">
      <c r="A1309" t="s">
        <v>627</v>
      </c>
      <c r="B1309" s="16">
        <v>45821</v>
      </c>
      <c r="C1309" t="s">
        <v>2</v>
      </c>
      <c r="D1309" t="s">
        <v>57</v>
      </c>
      <c r="E1309">
        <v>15636</v>
      </c>
      <c r="F1309">
        <v>10129</v>
      </c>
      <c r="G1309">
        <v>177</v>
      </c>
      <c r="H1309">
        <v>190</v>
      </c>
      <c r="I1309">
        <v>129507</v>
      </c>
      <c r="J1309">
        <v>29</v>
      </c>
      <c r="K1309">
        <v>81262</v>
      </c>
      <c r="L1309">
        <v>21</v>
      </c>
      <c r="M1309">
        <v>933</v>
      </c>
      <c r="N1309">
        <v>15436</v>
      </c>
      <c r="O1309">
        <f t="shared" si="40"/>
        <v>2025</v>
      </c>
      <c r="P1309">
        <f t="shared" si="41"/>
        <v>6</v>
      </c>
      <c r="Q1309" t="s">
        <v>570</v>
      </c>
      <c r="R1309" s="546" t="s">
        <v>804</v>
      </c>
    </row>
    <row r="1310" spans="1:18" x14ac:dyDescent="0.3">
      <c r="A1310" t="s">
        <v>627</v>
      </c>
      <c r="B1310" s="16">
        <v>45821</v>
      </c>
      <c r="C1310" t="s">
        <v>2</v>
      </c>
      <c r="D1310" t="s">
        <v>55</v>
      </c>
      <c r="E1310">
        <v>843</v>
      </c>
      <c r="F1310">
        <v>579</v>
      </c>
      <c r="G1310">
        <v>18</v>
      </c>
      <c r="H1310">
        <v>1</v>
      </c>
      <c r="I1310">
        <v>0</v>
      </c>
      <c r="J1310">
        <v>0</v>
      </c>
      <c r="K1310">
        <v>0</v>
      </c>
      <c r="L1310">
        <v>0</v>
      </c>
      <c r="M1310">
        <v>23</v>
      </c>
      <c r="N1310">
        <v>238</v>
      </c>
      <c r="O1310">
        <f t="shared" si="40"/>
        <v>2025</v>
      </c>
      <c r="P1310">
        <f t="shared" si="41"/>
        <v>6</v>
      </c>
      <c r="Q1310" t="s">
        <v>570</v>
      </c>
      <c r="R1310" s="546" t="s">
        <v>804</v>
      </c>
    </row>
    <row r="1311" spans="1:18" x14ac:dyDescent="0.3">
      <c r="A1311" t="s">
        <v>627</v>
      </c>
      <c r="B1311" s="16">
        <v>45821</v>
      </c>
      <c r="C1311" t="s">
        <v>3</v>
      </c>
      <c r="D1311" t="s">
        <v>155</v>
      </c>
      <c r="E1311">
        <v>6</v>
      </c>
      <c r="F1311">
        <v>3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6</v>
      </c>
      <c r="O1311">
        <f t="shared" si="40"/>
        <v>2025</v>
      </c>
      <c r="P1311">
        <f t="shared" si="41"/>
        <v>6</v>
      </c>
      <c r="Q1311" t="s">
        <v>570</v>
      </c>
      <c r="R1311" s="546" t="s">
        <v>804</v>
      </c>
    </row>
    <row r="1312" spans="1:18" x14ac:dyDescent="0.3">
      <c r="A1312" t="s">
        <v>627</v>
      </c>
      <c r="B1312" s="16">
        <v>45821</v>
      </c>
      <c r="C1312" t="s">
        <v>3</v>
      </c>
      <c r="D1312" t="s">
        <v>154</v>
      </c>
      <c r="E1312">
        <v>93</v>
      </c>
      <c r="F1312">
        <v>79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f t="shared" si="40"/>
        <v>2025</v>
      </c>
      <c r="P1312">
        <f t="shared" si="41"/>
        <v>6</v>
      </c>
      <c r="Q1312" t="s">
        <v>570</v>
      </c>
      <c r="R1312" s="546" t="s">
        <v>804</v>
      </c>
    </row>
    <row r="1313" spans="1:18" x14ac:dyDescent="0.3">
      <c r="A1313" t="s">
        <v>627</v>
      </c>
      <c r="B1313" s="16">
        <v>45821</v>
      </c>
      <c r="C1313" t="s">
        <v>3</v>
      </c>
      <c r="D1313" t="s">
        <v>153</v>
      </c>
      <c r="E1313">
        <v>276</v>
      </c>
      <c r="F1313">
        <v>79</v>
      </c>
      <c r="G1313">
        <v>22</v>
      </c>
      <c r="H1313">
        <v>3</v>
      </c>
      <c r="I1313">
        <v>119767</v>
      </c>
      <c r="J1313">
        <v>31</v>
      </c>
      <c r="K1313">
        <v>102357</v>
      </c>
      <c r="L1313">
        <v>27</v>
      </c>
      <c r="M1313">
        <v>82</v>
      </c>
      <c r="N1313">
        <v>268</v>
      </c>
      <c r="O1313">
        <f t="shared" si="40"/>
        <v>2025</v>
      </c>
      <c r="P1313">
        <f t="shared" si="41"/>
        <v>6</v>
      </c>
      <c r="Q1313" t="s">
        <v>570</v>
      </c>
      <c r="R1313" s="546" t="s">
        <v>804</v>
      </c>
    </row>
    <row r="1314" spans="1:18" x14ac:dyDescent="0.3">
      <c r="A1314" t="s">
        <v>627</v>
      </c>
      <c r="B1314" s="16">
        <v>45821</v>
      </c>
      <c r="C1314" t="s">
        <v>3</v>
      </c>
      <c r="D1314" t="s">
        <v>152</v>
      </c>
      <c r="E1314">
        <v>38</v>
      </c>
      <c r="F1314">
        <v>25</v>
      </c>
      <c r="G1314">
        <v>1</v>
      </c>
      <c r="H1314">
        <v>3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22</v>
      </c>
      <c r="O1314">
        <f t="shared" si="40"/>
        <v>2025</v>
      </c>
      <c r="P1314">
        <f t="shared" si="41"/>
        <v>6</v>
      </c>
      <c r="Q1314" t="s">
        <v>570</v>
      </c>
      <c r="R1314" s="546" t="s">
        <v>804</v>
      </c>
    </row>
    <row r="1315" spans="1:18" x14ac:dyDescent="0.3">
      <c r="A1315" t="s">
        <v>627</v>
      </c>
      <c r="B1315" s="16">
        <v>45821</v>
      </c>
      <c r="C1315" t="s">
        <v>3</v>
      </c>
      <c r="D1315" t="s">
        <v>150</v>
      </c>
      <c r="E1315">
        <v>22</v>
      </c>
      <c r="F1315">
        <v>20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1</v>
      </c>
      <c r="O1315">
        <f t="shared" si="40"/>
        <v>2025</v>
      </c>
      <c r="P1315">
        <f t="shared" si="41"/>
        <v>6</v>
      </c>
      <c r="Q1315" t="s">
        <v>570</v>
      </c>
      <c r="R1315" s="546" t="s">
        <v>804</v>
      </c>
    </row>
    <row r="1316" spans="1:18" x14ac:dyDescent="0.3">
      <c r="A1316" t="s">
        <v>627</v>
      </c>
      <c r="B1316" s="16">
        <v>45821</v>
      </c>
      <c r="C1316" t="s">
        <v>3</v>
      </c>
      <c r="D1316" t="s">
        <v>149</v>
      </c>
      <c r="E1316">
        <v>3</v>
      </c>
      <c r="F1316">
        <v>2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f t="shared" si="40"/>
        <v>2025</v>
      </c>
      <c r="P1316">
        <f t="shared" si="41"/>
        <v>6</v>
      </c>
      <c r="Q1316" t="s">
        <v>570</v>
      </c>
      <c r="R1316" s="546" t="s">
        <v>804</v>
      </c>
    </row>
    <row r="1317" spans="1:18" x14ac:dyDescent="0.3">
      <c r="A1317" t="s">
        <v>627</v>
      </c>
      <c r="B1317" s="16">
        <v>45821</v>
      </c>
      <c r="C1317" t="s">
        <v>3</v>
      </c>
      <c r="D1317" t="s">
        <v>146</v>
      </c>
      <c r="E1317">
        <v>2</v>
      </c>
      <c r="F1317">
        <v>2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2</v>
      </c>
      <c r="O1317">
        <f t="shared" si="40"/>
        <v>2025</v>
      </c>
      <c r="P1317">
        <f t="shared" si="41"/>
        <v>6</v>
      </c>
      <c r="Q1317" t="s">
        <v>570</v>
      </c>
      <c r="R1317" s="546" t="s">
        <v>804</v>
      </c>
    </row>
    <row r="1318" spans="1:18" x14ac:dyDescent="0.3">
      <c r="A1318" t="s">
        <v>627</v>
      </c>
      <c r="B1318" s="16">
        <v>45821</v>
      </c>
      <c r="C1318" t="s">
        <v>3</v>
      </c>
      <c r="D1318" t="s">
        <v>630</v>
      </c>
      <c r="E1318">
        <v>131</v>
      </c>
      <c r="F1318">
        <v>105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8</v>
      </c>
      <c r="O1318">
        <f t="shared" si="40"/>
        <v>2025</v>
      </c>
      <c r="P1318">
        <f t="shared" si="41"/>
        <v>6</v>
      </c>
      <c r="Q1318" t="s">
        <v>570</v>
      </c>
      <c r="R1318" s="546" t="s">
        <v>804</v>
      </c>
    </row>
    <row r="1319" spans="1:18" x14ac:dyDescent="0.3">
      <c r="A1319" t="s">
        <v>627</v>
      </c>
      <c r="B1319" s="16">
        <v>45821</v>
      </c>
      <c r="C1319" t="s">
        <v>3</v>
      </c>
      <c r="D1319" t="s">
        <v>251</v>
      </c>
      <c r="E1319">
        <v>2471</v>
      </c>
      <c r="F1319">
        <v>2219</v>
      </c>
      <c r="G1319">
        <v>10</v>
      </c>
      <c r="H1319">
        <v>3</v>
      </c>
      <c r="I1319">
        <v>13670</v>
      </c>
      <c r="J1319">
        <v>5</v>
      </c>
      <c r="K1319">
        <v>13670</v>
      </c>
      <c r="L1319">
        <v>5</v>
      </c>
      <c r="M1319">
        <v>60</v>
      </c>
      <c r="N1319">
        <v>169</v>
      </c>
      <c r="O1319">
        <f t="shared" si="40"/>
        <v>2025</v>
      </c>
      <c r="P1319">
        <f t="shared" si="41"/>
        <v>6</v>
      </c>
      <c r="Q1319" t="s">
        <v>570</v>
      </c>
      <c r="R1319" s="546" t="s">
        <v>804</v>
      </c>
    </row>
    <row r="1320" spans="1:18" x14ac:dyDescent="0.3">
      <c r="A1320" t="s">
        <v>627</v>
      </c>
      <c r="B1320" s="16">
        <v>45821</v>
      </c>
      <c r="C1320" t="s">
        <v>3</v>
      </c>
      <c r="D1320" t="s">
        <v>143</v>
      </c>
      <c r="E1320">
        <v>14</v>
      </c>
      <c r="F1320">
        <v>12</v>
      </c>
      <c r="G1320">
        <v>1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14</v>
      </c>
      <c r="O1320">
        <f t="shared" si="40"/>
        <v>2025</v>
      </c>
      <c r="P1320">
        <f t="shared" si="41"/>
        <v>6</v>
      </c>
      <c r="Q1320" t="s">
        <v>570</v>
      </c>
      <c r="R1320" s="546" t="s">
        <v>804</v>
      </c>
    </row>
    <row r="1321" spans="1:18" x14ac:dyDescent="0.3">
      <c r="A1321" t="s">
        <v>627</v>
      </c>
      <c r="B1321" s="16">
        <v>45821</v>
      </c>
      <c r="C1321" t="s">
        <v>3</v>
      </c>
      <c r="D1321" t="s">
        <v>141</v>
      </c>
      <c r="E1321">
        <v>203</v>
      </c>
      <c r="F1321">
        <v>107</v>
      </c>
      <c r="G1321">
        <v>5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1</v>
      </c>
      <c r="N1321">
        <v>202</v>
      </c>
      <c r="O1321">
        <f t="shared" si="40"/>
        <v>2025</v>
      </c>
      <c r="P1321">
        <f t="shared" si="41"/>
        <v>6</v>
      </c>
      <c r="Q1321" t="s">
        <v>570</v>
      </c>
      <c r="R1321" s="546" t="s">
        <v>804</v>
      </c>
    </row>
    <row r="1322" spans="1:18" x14ac:dyDescent="0.3">
      <c r="A1322" t="s">
        <v>627</v>
      </c>
      <c r="B1322" s="16">
        <v>45821</v>
      </c>
      <c r="C1322" t="s">
        <v>3</v>
      </c>
      <c r="D1322" t="s">
        <v>140</v>
      </c>
      <c r="E1322">
        <v>13</v>
      </c>
      <c r="F1322">
        <v>9</v>
      </c>
      <c r="G1322">
        <v>1</v>
      </c>
      <c r="H1322">
        <v>0</v>
      </c>
      <c r="I1322">
        <v>1680</v>
      </c>
      <c r="J1322">
        <v>1</v>
      </c>
      <c r="K1322">
        <v>1680</v>
      </c>
      <c r="L1322">
        <v>1</v>
      </c>
      <c r="M1322">
        <v>3</v>
      </c>
      <c r="N1322">
        <v>13</v>
      </c>
      <c r="O1322">
        <f t="shared" si="40"/>
        <v>2025</v>
      </c>
      <c r="P1322">
        <f t="shared" si="41"/>
        <v>6</v>
      </c>
      <c r="Q1322" t="s">
        <v>570</v>
      </c>
      <c r="R1322" s="546" t="s">
        <v>804</v>
      </c>
    </row>
    <row r="1323" spans="1:18" x14ac:dyDescent="0.3">
      <c r="A1323" t="s">
        <v>627</v>
      </c>
      <c r="B1323" s="16">
        <v>45821</v>
      </c>
      <c r="C1323" t="s">
        <v>3</v>
      </c>
      <c r="D1323" t="s">
        <v>139</v>
      </c>
      <c r="E1323">
        <v>594</v>
      </c>
      <c r="F1323">
        <v>394</v>
      </c>
      <c r="G1323">
        <v>34</v>
      </c>
      <c r="H1323">
        <v>4</v>
      </c>
      <c r="I1323">
        <v>101347</v>
      </c>
      <c r="J1323">
        <v>16</v>
      </c>
      <c r="K1323">
        <v>81647</v>
      </c>
      <c r="L1323">
        <v>15</v>
      </c>
      <c r="M1323">
        <v>205</v>
      </c>
      <c r="N1323">
        <v>335</v>
      </c>
      <c r="O1323">
        <f t="shared" si="40"/>
        <v>2025</v>
      </c>
      <c r="P1323">
        <f t="shared" si="41"/>
        <v>6</v>
      </c>
      <c r="Q1323" t="s">
        <v>570</v>
      </c>
      <c r="R1323" s="546" t="s">
        <v>804</v>
      </c>
    </row>
    <row r="1324" spans="1:18" x14ac:dyDescent="0.3">
      <c r="A1324" t="s">
        <v>627</v>
      </c>
      <c r="B1324" s="16">
        <v>45821</v>
      </c>
      <c r="C1324" t="s">
        <v>3</v>
      </c>
      <c r="D1324" t="s">
        <v>138</v>
      </c>
      <c r="E1324">
        <v>17</v>
      </c>
      <c r="F1324">
        <v>11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5</v>
      </c>
      <c r="N1324">
        <v>14</v>
      </c>
      <c r="O1324">
        <f t="shared" si="40"/>
        <v>2025</v>
      </c>
      <c r="P1324">
        <f t="shared" si="41"/>
        <v>6</v>
      </c>
      <c r="Q1324" t="s">
        <v>570</v>
      </c>
      <c r="R1324" s="546" t="s">
        <v>804</v>
      </c>
    </row>
    <row r="1325" spans="1:18" x14ac:dyDescent="0.3">
      <c r="A1325" t="s">
        <v>627</v>
      </c>
      <c r="B1325" s="16">
        <v>45821</v>
      </c>
      <c r="C1325" t="s">
        <v>3</v>
      </c>
      <c r="D1325" t="s">
        <v>136</v>
      </c>
      <c r="E1325">
        <v>1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f t="shared" si="40"/>
        <v>2025</v>
      </c>
      <c r="P1325">
        <f t="shared" si="41"/>
        <v>6</v>
      </c>
      <c r="Q1325" t="s">
        <v>570</v>
      </c>
      <c r="R1325" s="546" t="s">
        <v>804</v>
      </c>
    </row>
    <row r="1326" spans="1:18" x14ac:dyDescent="0.3">
      <c r="A1326" t="s">
        <v>627</v>
      </c>
      <c r="B1326" s="16">
        <v>45821</v>
      </c>
      <c r="C1326" t="s">
        <v>3</v>
      </c>
      <c r="D1326" t="s">
        <v>135</v>
      </c>
      <c r="E1326">
        <v>131</v>
      </c>
      <c r="F1326">
        <v>105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8</v>
      </c>
      <c r="O1326">
        <f t="shared" si="40"/>
        <v>2025</v>
      </c>
      <c r="P1326">
        <f t="shared" si="41"/>
        <v>6</v>
      </c>
      <c r="Q1326" t="s">
        <v>570</v>
      </c>
      <c r="R1326" s="546" t="s">
        <v>804</v>
      </c>
    </row>
    <row r="1327" spans="1:18" x14ac:dyDescent="0.3">
      <c r="A1327" t="s">
        <v>627</v>
      </c>
      <c r="B1327" s="16">
        <v>45821</v>
      </c>
      <c r="C1327" t="s">
        <v>3</v>
      </c>
      <c r="D1327" t="s">
        <v>133</v>
      </c>
      <c r="E1327">
        <v>30</v>
      </c>
      <c r="F1327">
        <v>18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23</v>
      </c>
      <c r="N1327">
        <v>16</v>
      </c>
      <c r="O1327">
        <f t="shared" ref="O1327:O1390" si="42">YEAR(B1327)</f>
        <v>2025</v>
      </c>
      <c r="P1327">
        <f t="shared" ref="P1327:P1390" si="43">MONTH(B1327)</f>
        <v>6</v>
      </c>
      <c r="Q1327" t="s">
        <v>570</v>
      </c>
      <c r="R1327" s="546" t="s">
        <v>804</v>
      </c>
    </row>
    <row r="1328" spans="1:18" x14ac:dyDescent="0.3">
      <c r="A1328" t="s">
        <v>627</v>
      </c>
      <c r="B1328" s="16">
        <v>45821</v>
      </c>
      <c r="C1328" t="s">
        <v>3</v>
      </c>
      <c r="D1328" t="s">
        <v>130</v>
      </c>
      <c r="E1328">
        <v>93</v>
      </c>
      <c r="F1328">
        <v>40</v>
      </c>
      <c r="G1328">
        <v>8</v>
      </c>
      <c r="H1328">
        <v>3</v>
      </c>
      <c r="I1328">
        <v>35472</v>
      </c>
      <c r="J1328">
        <v>8</v>
      </c>
      <c r="K1328">
        <v>35472</v>
      </c>
      <c r="L1328">
        <v>8</v>
      </c>
      <c r="M1328">
        <v>31</v>
      </c>
      <c r="N1328">
        <v>86</v>
      </c>
      <c r="O1328">
        <f t="shared" si="42"/>
        <v>2025</v>
      </c>
      <c r="P1328">
        <f t="shared" si="43"/>
        <v>6</v>
      </c>
      <c r="Q1328" t="s">
        <v>570</v>
      </c>
      <c r="R1328" s="546" t="s">
        <v>804</v>
      </c>
    </row>
    <row r="1329" spans="1:18" x14ac:dyDescent="0.3">
      <c r="A1329" t="s">
        <v>627</v>
      </c>
      <c r="B1329" s="16">
        <v>45821</v>
      </c>
      <c r="C1329" t="s">
        <v>3</v>
      </c>
      <c r="D1329" t="s">
        <v>128</v>
      </c>
      <c r="E1329">
        <v>715</v>
      </c>
      <c r="F1329">
        <v>556</v>
      </c>
      <c r="G1329">
        <v>24</v>
      </c>
      <c r="H1329">
        <v>4</v>
      </c>
      <c r="I1329">
        <v>39232</v>
      </c>
      <c r="J1329">
        <v>8</v>
      </c>
      <c r="K1329">
        <v>34617</v>
      </c>
      <c r="L1329">
        <v>6</v>
      </c>
      <c r="M1329">
        <v>336</v>
      </c>
      <c r="N1329">
        <v>520</v>
      </c>
      <c r="O1329">
        <f t="shared" si="42"/>
        <v>2025</v>
      </c>
      <c r="P1329">
        <f t="shared" si="43"/>
        <v>6</v>
      </c>
      <c r="Q1329" t="s">
        <v>570</v>
      </c>
      <c r="R1329" s="546" t="s">
        <v>804</v>
      </c>
    </row>
    <row r="1330" spans="1:18" x14ac:dyDescent="0.3">
      <c r="A1330" t="s">
        <v>627</v>
      </c>
      <c r="B1330" s="16">
        <v>45821</v>
      </c>
      <c r="C1330" t="s">
        <v>3</v>
      </c>
      <c r="D1330" t="s">
        <v>127</v>
      </c>
      <c r="E1330">
        <v>3064</v>
      </c>
      <c r="F1330">
        <v>2186</v>
      </c>
      <c r="G1330">
        <v>43</v>
      </c>
      <c r="H1330">
        <v>21</v>
      </c>
      <c r="I1330">
        <v>41055</v>
      </c>
      <c r="J1330">
        <v>8</v>
      </c>
      <c r="K1330">
        <v>34720</v>
      </c>
      <c r="L1330">
        <v>7</v>
      </c>
      <c r="M1330">
        <v>153</v>
      </c>
      <c r="N1330">
        <v>2698</v>
      </c>
      <c r="O1330">
        <f t="shared" si="42"/>
        <v>2025</v>
      </c>
      <c r="P1330">
        <f t="shared" si="43"/>
        <v>6</v>
      </c>
      <c r="Q1330" t="s">
        <v>570</v>
      </c>
      <c r="R1330" s="546" t="s">
        <v>804</v>
      </c>
    </row>
    <row r="1331" spans="1:18" x14ac:dyDescent="0.3">
      <c r="A1331" t="s">
        <v>627</v>
      </c>
      <c r="B1331" s="16">
        <v>45821</v>
      </c>
      <c r="C1331" t="s">
        <v>3</v>
      </c>
      <c r="D1331" t="s">
        <v>126</v>
      </c>
      <c r="E1331">
        <v>76</v>
      </c>
      <c r="F1331">
        <v>53</v>
      </c>
      <c r="G1331">
        <v>1</v>
      </c>
      <c r="H1331">
        <v>0</v>
      </c>
      <c r="I1331">
        <v>4695</v>
      </c>
      <c r="J1331">
        <v>1</v>
      </c>
      <c r="K1331">
        <v>4695</v>
      </c>
      <c r="L1331">
        <v>1</v>
      </c>
      <c r="M1331">
        <v>15</v>
      </c>
      <c r="N1331">
        <v>75</v>
      </c>
      <c r="O1331">
        <f t="shared" si="42"/>
        <v>2025</v>
      </c>
      <c r="P1331">
        <f t="shared" si="43"/>
        <v>6</v>
      </c>
      <c r="Q1331" t="s">
        <v>570</v>
      </c>
      <c r="R1331" s="546" t="s">
        <v>804</v>
      </c>
    </row>
    <row r="1332" spans="1:18" x14ac:dyDescent="0.3">
      <c r="A1332" t="s">
        <v>627</v>
      </c>
      <c r="B1332" s="16">
        <v>45821</v>
      </c>
      <c r="C1332" t="s">
        <v>3</v>
      </c>
      <c r="D1332" t="s">
        <v>125</v>
      </c>
      <c r="E1332">
        <v>1</v>
      </c>
      <c r="F1332">
        <v>0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f t="shared" si="42"/>
        <v>2025</v>
      </c>
      <c r="P1332">
        <f t="shared" si="43"/>
        <v>6</v>
      </c>
      <c r="Q1332" t="s">
        <v>570</v>
      </c>
      <c r="R1332" s="546" t="s">
        <v>804</v>
      </c>
    </row>
    <row r="1333" spans="1:18" x14ac:dyDescent="0.3">
      <c r="A1333" t="s">
        <v>627</v>
      </c>
      <c r="B1333" s="16">
        <v>45821</v>
      </c>
      <c r="C1333" t="s">
        <v>3</v>
      </c>
      <c r="D1333" t="s">
        <v>123</v>
      </c>
      <c r="E1333">
        <v>137</v>
      </c>
      <c r="F1333">
        <v>71</v>
      </c>
      <c r="G1333">
        <v>13</v>
      </c>
      <c r="H1333">
        <v>2</v>
      </c>
      <c r="I1333">
        <v>26745</v>
      </c>
      <c r="J1333">
        <v>4</v>
      </c>
      <c r="K1333">
        <v>22100</v>
      </c>
      <c r="L1333">
        <v>4</v>
      </c>
      <c r="M1333">
        <v>44</v>
      </c>
      <c r="N1333">
        <v>122</v>
      </c>
      <c r="O1333">
        <f t="shared" si="42"/>
        <v>2025</v>
      </c>
      <c r="P1333">
        <f t="shared" si="43"/>
        <v>6</v>
      </c>
      <c r="Q1333" t="s">
        <v>570</v>
      </c>
      <c r="R1333" s="546" t="s">
        <v>804</v>
      </c>
    </row>
    <row r="1334" spans="1:18" x14ac:dyDescent="0.3">
      <c r="A1334" t="s">
        <v>627</v>
      </c>
      <c r="B1334" s="16">
        <v>45821</v>
      </c>
      <c r="C1334" t="s">
        <v>3</v>
      </c>
      <c r="D1334" t="s">
        <v>119</v>
      </c>
      <c r="E1334">
        <v>218</v>
      </c>
      <c r="F1334">
        <v>70</v>
      </c>
      <c r="G1334">
        <v>16</v>
      </c>
      <c r="H1334">
        <v>7</v>
      </c>
      <c r="I1334">
        <v>35710</v>
      </c>
      <c r="J1334">
        <v>8</v>
      </c>
      <c r="K1334">
        <v>25860</v>
      </c>
      <c r="L1334">
        <v>7</v>
      </c>
      <c r="M1334">
        <v>63</v>
      </c>
      <c r="N1334">
        <v>212</v>
      </c>
      <c r="O1334">
        <f t="shared" si="42"/>
        <v>2025</v>
      </c>
      <c r="P1334">
        <f t="shared" si="43"/>
        <v>6</v>
      </c>
      <c r="Q1334" t="s">
        <v>570</v>
      </c>
      <c r="R1334" s="546" t="s">
        <v>804</v>
      </c>
    </row>
    <row r="1335" spans="1:18" x14ac:dyDescent="0.3">
      <c r="A1335" t="s">
        <v>627</v>
      </c>
      <c r="B1335" s="16">
        <v>45821</v>
      </c>
      <c r="C1335" t="s">
        <v>3</v>
      </c>
      <c r="D1335" t="s">
        <v>252</v>
      </c>
      <c r="E1335">
        <v>17</v>
      </c>
      <c r="F1335">
        <v>17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17</v>
      </c>
      <c r="O1335">
        <f t="shared" si="42"/>
        <v>2025</v>
      </c>
      <c r="P1335">
        <f t="shared" si="43"/>
        <v>6</v>
      </c>
      <c r="Q1335" t="s">
        <v>570</v>
      </c>
      <c r="R1335" s="546" t="s">
        <v>804</v>
      </c>
    </row>
    <row r="1336" spans="1:18" x14ac:dyDescent="0.3">
      <c r="A1336" t="s">
        <v>627</v>
      </c>
      <c r="B1336" s="16">
        <v>45821</v>
      </c>
      <c r="C1336" t="s">
        <v>3</v>
      </c>
      <c r="D1336" t="s">
        <v>117</v>
      </c>
      <c r="E1336">
        <v>1</v>
      </c>
      <c r="F1336">
        <v>1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f t="shared" si="42"/>
        <v>2025</v>
      </c>
      <c r="P1336">
        <f t="shared" si="43"/>
        <v>6</v>
      </c>
      <c r="Q1336" t="s">
        <v>570</v>
      </c>
      <c r="R1336" s="546" t="s">
        <v>804</v>
      </c>
    </row>
    <row r="1337" spans="1:18" x14ac:dyDescent="0.3">
      <c r="A1337" t="s">
        <v>627</v>
      </c>
      <c r="B1337" s="16">
        <v>45821</v>
      </c>
      <c r="C1337" t="s">
        <v>3</v>
      </c>
      <c r="D1337" t="s">
        <v>391</v>
      </c>
      <c r="E1337">
        <v>416</v>
      </c>
      <c r="F1337">
        <v>218</v>
      </c>
      <c r="G1337">
        <v>13</v>
      </c>
      <c r="H1337">
        <v>4</v>
      </c>
      <c r="I1337">
        <v>6305</v>
      </c>
      <c r="J1337">
        <v>2</v>
      </c>
      <c r="K1337">
        <v>6305</v>
      </c>
      <c r="L1337">
        <v>2</v>
      </c>
      <c r="M1337">
        <v>59</v>
      </c>
      <c r="N1337">
        <v>408</v>
      </c>
      <c r="O1337">
        <f t="shared" si="42"/>
        <v>2025</v>
      </c>
      <c r="P1337">
        <f t="shared" si="43"/>
        <v>6</v>
      </c>
      <c r="Q1337" t="s">
        <v>570</v>
      </c>
      <c r="R1337" s="546" t="s">
        <v>804</v>
      </c>
    </row>
    <row r="1338" spans="1:18" x14ac:dyDescent="0.3">
      <c r="A1338" t="s">
        <v>627</v>
      </c>
      <c r="B1338" s="16">
        <v>45821</v>
      </c>
      <c r="C1338" t="s">
        <v>3</v>
      </c>
      <c r="D1338" t="s">
        <v>114</v>
      </c>
      <c r="E1338">
        <v>247</v>
      </c>
      <c r="F1338">
        <v>188</v>
      </c>
      <c r="G1338">
        <v>2</v>
      </c>
      <c r="H1338">
        <v>3</v>
      </c>
      <c r="I1338">
        <v>19700</v>
      </c>
      <c r="J1338">
        <v>1</v>
      </c>
      <c r="K1338">
        <v>0</v>
      </c>
      <c r="L1338">
        <v>0</v>
      </c>
      <c r="M1338">
        <v>17</v>
      </c>
      <c r="N1338">
        <v>247</v>
      </c>
      <c r="O1338">
        <f t="shared" si="42"/>
        <v>2025</v>
      </c>
      <c r="P1338">
        <f t="shared" si="43"/>
        <v>6</v>
      </c>
      <c r="Q1338" t="s">
        <v>570</v>
      </c>
      <c r="R1338" s="546" t="s">
        <v>804</v>
      </c>
    </row>
    <row r="1339" spans="1:18" x14ac:dyDescent="0.3">
      <c r="A1339" t="s">
        <v>627</v>
      </c>
      <c r="B1339" s="16">
        <v>45821</v>
      </c>
      <c r="C1339" t="s">
        <v>3</v>
      </c>
      <c r="D1339" t="s">
        <v>113</v>
      </c>
      <c r="E1339">
        <v>69</v>
      </c>
      <c r="F1339">
        <v>39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62</v>
      </c>
      <c r="N1339">
        <v>34</v>
      </c>
      <c r="O1339">
        <f t="shared" si="42"/>
        <v>2025</v>
      </c>
      <c r="P1339">
        <f t="shared" si="43"/>
        <v>6</v>
      </c>
      <c r="Q1339" t="s">
        <v>570</v>
      </c>
      <c r="R1339" s="546" t="s">
        <v>804</v>
      </c>
    </row>
    <row r="1340" spans="1:18" x14ac:dyDescent="0.3">
      <c r="A1340" t="s">
        <v>627</v>
      </c>
      <c r="B1340" s="16">
        <v>45821</v>
      </c>
      <c r="C1340" t="s">
        <v>3</v>
      </c>
      <c r="D1340" t="s">
        <v>112</v>
      </c>
      <c r="E1340">
        <v>18</v>
      </c>
      <c r="F1340">
        <v>4</v>
      </c>
      <c r="G1340">
        <v>1</v>
      </c>
      <c r="H1340">
        <v>1</v>
      </c>
      <c r="I1340">
        <v>9850</v>
      </c>
      <c r="J1340">
        <v>1</v>
      </c>
      <c r="K1340">
        <v>9850</v>
      </c>
      <c r="L1340">
        <v>1</v>
      </c>
      <c r="M1340">
        <v>0</v>
      </c>
      <c r="N1340">
        <v>18</v>
      </c>
      <c r="O1340">
        <f t="shared" si="42"/>
        <v>2025</v>
      </c>
      <c r="P1340">
        <f t="shared" si="43"/>
        <v>6</v>
      </c>
      <c r="Q1340" t="s">
        <v>570</v>
      </c>
      <c r="R1340" s="546" t="s">
        <v>804</v>
      </c>
    </row>
    <row r="1341" spans="1:18" x14ac:dyDescent="0.3">
      <c r="A1341" t="s">
        <v>627</v>
      </c>
      <c r="B1341" s="16">
        <v>45821</v>
      </c>
      <c r="C1341" t="s">
        <v>3</v>
      </c>
      <c r="D1341" t="s">
        <v>111</v>
      </c>
      <c r="E1341">
        <v>3</v>
      </c>
      <c r="F1341">
        <v>1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3</v>
      </c>
      <c r="O1341">
        <f t="shared" si="42"/>
        <v>2025</v>
      </c>
      <c r="P1341">
        <f t="shared" si="43"/>
        <v>6</v>
      </c>
      <c r="Q1341" t="s">
        <v>570</v>
      </c>
      <c r="R1341" s="546" t="s">
        <v>804</v>
      </c>
    </row>
    <row r="1342" spans="1:18" x14ac:dyDescent="0.3">
      <c r="A1342" t="s">
        <v>627</v>
      </c>
      <c r="B1342" s="16">
        <v>45820</v>
      </c>
      <c r="C1342" t="s">
        <v>2</v>
      </c>
      <c r="D1342" t="s">
        <v>4</v>
      </c>
      <c r="E1342">
        <v>341</v>
      </c>
      <c r="F1342">
        <v>150</v>
      </c>
      <c r="G1342">
        <v>5</v>
      </c>
      <c r="H1342">
        <v>2</v>
      </c>
      <c r="I1342">
        <v>6084</v>
      </c>
      <c r="J1342">
        <v>2</v>
      </c>
      <c r="K1342">
        <v>6084</v>
      </c>
      <c r="L1342">
        <v>2</v>
      </c>
      <c r="M1342">
        <v>10</v>
      </c>
      <c r="N1342">
        <v>341</v>
      </c>
      <c r="O1342">
        <f t="shared" si="42"/>
        <v>2025</v>
      </c>
      <c r="P1342">
        <f t="shared" si="43"/>
        <v>6</v>
      </c>
      <c r="Q1342" t="s">
        <v>570</v>
      </c>
      <c r="R1342" s="546" t="s">
        <v>804</v>
      </c>
    </row>
    <row r="1343" spans="1:18" x14ac:dyDescent="0.3">
      <c r="A1343" t="s">
        <v>627</v>
      </c>
      <c r="B1343" s="16">
        <v>45820</v>
      </c>
      <c r="C1343" t="s">
        <v>2</v>
      </c>
      <c r="D1343" t="s">
        <v>57</v>
      </c>
      <c r="E1343">
        <v>14706</v>
      </c>
      <c r="F1343">
        <v>9413</v>
      </c>
      <c r="G1343">
        <v>191</v>
      </c>
      <c r="H1343">
        <v>187</v>
      </c>
      <c r="I1343">
        <v>150715.57999999999</v>
      </c>
      <c r="J1343">
        <v>39</v>
      </c>
      <c r="K1343">
        <v>82419.58</v>
      </c>
      <c r="L1343">
        <v>28</v>
      </c>
      <c r="M1343">
        <v>1074</v>
      </c>
      <c r="N1343">
        <v>14442</v>
      </c>
      <c r="O1343">
        <f t="shared" si="42"/>
        <v>2025</v>
      </c>
      <c r="P1343">
        <f t="shared" si="43"/>
        <v>6</v>
      </c>
      <c r="Q1343" t="s">
        <v>570</v>
      </c>
      <c r="R1343" s="546" t="s">
        <v>804</v>
      </c>
    </row>
    <row r="1344" spans="1:18" x14ac:dyDescent="0.3">
      <c r="A1344" t="s">
        <v>627</v>
      </c>
      <c r="B1344" s="16">
        <v>45820</v>
      </c>
      <c r="C1344" t="s">
        <v>2</v>
      </c>
      <c r="D1344" t="s">
        <v>52</v>
      </c>
      <c r="E1344">
        <v>3</v>
      </c>
      <c r="F1344">
        <v>1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3</v>
      </c>
      <c r="O1344">
        <f t="shared" si="42"/>
        <v>2025</v>
      </c>
      <c r="P1344">
        <f t="shared" si="43"/>
        <v>6</v>
      </c>
      <c r="Q1344" t="s">
        <v>570</v>
      </c>
      <c r="R1344" s="546" t="s">
        <v>804</v>
      </c>
    </row>
    <row r="1345" spans="1:18" x14ac:dyDescent="0.3">
      <c r="A1345" t="s">
        <v>627</v>
      </c>
      <c r="B1345" s="16">
        <v>45820</v>
      </c>
      <c r="C1345" t="s">
        <v>2</v>
      </c>
      <c r="D1345" t="s">
        <v>55</v>
      </c>
      <c r="E1345">
        <v>5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3</v>
      </c>
      <c r="O1345">
        <f t="shared" si="42"/>
        <v>2025</v>
      </c>
      <c r="P1345">
        <f t="shared" si="43"/>
        <v>6</v>
      </c>
      <c r="Q1345" t="s">
        <v>570</v>
      </c>
      <c r="R1345" s="546" t="s">
        <v>804</v>
      </c>
    </row>
    <row r="1346" spans="1:18" x14ac:dyDescent="0.3">
      <c r="A1346" t="s">
        <v>627</v>
      </c>
      <c r="B1346" s="16">
        <v>45820</v>
      </c>
      <c r="C1346" t="s">
        <v>3</v>
      </c>
      <c r="D1346" t="s">
        <v>155</v>
      </c>
      <c r="E1346">
        <v>4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4</v>
      </c>
      <c r="O1346">
        <f t="shared" si="42"/>
        <v>2025</v>
      </c>
      <c r="P1346">
        <f t="shared" si="43"/>
        <v>6</v>
      </c>
      <c r="Q1346" t="s">
        <v>570</v>
      </c>
      <c r="R1346" s="546" t="s">
        <v>804</v>
      </c>
    </row>
    <row r="1347" spans="1:18" x14ac:dyDescent="0.3">
      <c r="A1347" t="s">
        <v>627</v>
      </c>
      <c r="B1347" s="16">
        <v>45820</v>
      </c>
      <c r="C1347" t="s">
        <v>3</v>
      </c>
      <c r="D1347" t="s">
        <v>154</v>
      </c>
      <c r="E1347">
        <v>3</v>
      </c>
      <c r="F1347">
        <v>3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f t="shared" si="42"/>
        <v>2025</v>
      </c>
      <c r="P1347">
        <f t="shared" si="43"/>
        <v>6</v>
      </c>
      <c r="Q1347" t="s">
        <v>570</v>
      </c>
      <c r="R1347" s="546" t="s">
        <v>804</v>
      </c>
    </row>
    <row r="1348" spans="1:18" x14ac:dyDescent="0.3">
      <c r="A1348" t="s">
        <v>627</v>
      </c>
      <c r="B1348" s="16">
        <v>45820</v>
      </c>
      <c r="C1348" t="s">
        <v>3</v>
      </c>
      <c r="D1348" t="s">
        <v>153</v>
      </c>
      <c r="E1348">
        <v>293</v>
      </c>
      <c r="F1348">
        <v>72</v>
      </c>
      <c r="G1348">
        <v>35</v>
      </c>
      <c r="H1348">
        <v>2</v>
      </c>
      <c r="I1348">
        <v>143285</v>
      </c>
      <c r="J1348">
        <v>31</v>
      </c>
      <c r="K1348">
        <v>107002</v>
      </c>
      <c r="L1348">
        <v>31</v>
      </c>
      <c r="M1348">
        <v>68</v>
      </c>
      <c r="N1348">
        <v>284</v>
      </c>
      <c r="O1348">
        <f t="shared" si="42"/>
        <v>2025</v>
      </c>
      <c r="P1348">
        <f t="shared" si="43"/>
        <v>6</v>
      </c>
      <c r="Q1348" t="s">
        <v>570</v>
      </c>
      <c r="R1348" s="546" t="s">
        <v>804</v>
      </c>
    </row>
    <row r="1349" spans="1:18" x14ac:dyDescent="0.3">
      <c r="A1349" t="s">
        <v>627</v>
      </c>
      <c r="B1349" s="16">
        <v>45820</v>
      </c>
      <c r="C1349" t="s">
        <v>3</v>
      </c>
      <c r="D1349" t="s">
        <v>152</v>
      </c>
      <c r="E1349">
        <v>12</v>
      </c>
      <c r="F1349">
        <v>6</v>
      </c>
      <c r="G1349">
        <v>1</v>
      </c>
      <c r="H1349">
        <v>3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12</v>
      </c>
      <c r="O1349">
        <f t="shared" si="42"/>
        <v>2025</v>
      </c>
      <c r="P1349">
        <f t="shared" si="43"/>
        <v>6</v>
      </c>
      <c r="Q1349" t="s">
        <v>570</v>
      </c>
      <c r="R1349" s="546" t="s">
        <v>804</v>
      </c>
    </row>
    <row r="1350" spans="1:18" x14ac:dyDescent="0.3">
      <c r="A1350" t="s">
        <v>627</v>
      </c>
      <c r="B1350" s="16">
        <v>45820</v>
      </c>
      <c r="C1350" t="s">
        <v>3</v>
      </c>
      <c r="D1350" t="s">
        <v>149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</v>
      </c>
      <c r="O1350">
        <f t="shared" si="42"/>
        <v>2025</v>
      </c>
      <c r="P1350">
        <f t="shared" si="43"/>
        <v>6</v>
      </c>
      <c r="Q1350" t="s">
        <v>570</v>
      </c>
      <c r="R1350" s="546" t="s">
        <v>804</v>
      </c>
    </row>
    <row r="1351" spans="1:18" x14ac:dyDescent="0.3">
      <c r="A1351" t="s">
        <v>627</v>
      </c>
      <c r="B1351" s="16">
        <v>45820</v>
      </c>
      <c r="C1351" t="s">
        <v>3</v>
      </c>
      <c r="D1351" t="s">
        <v>630</v>
      </c>
      <c r="E1351">
        <v>4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4</v>
      </c>
      <c r="O1351">
        <f t="shared" si="42"/>
        <v>2025</v>
      </c>
      <c r="P1351">
        <f t="shared" si="43"/>
        <v>6</v>
      </c>
      <c r="Q1351" t="s">
        <v>570</v>
      </c>
      <c r="R1351" s="546" t="s">
        <v>804</v>
      </c>
    </row>
    <row r="1352" spans="1:18" x14ac:dyDescent="0.3">
      <c r="A1352" t="s">
        <v>627</v>
      </c>
      <c r="B1352" s="16">
        <v>45820</v>
      </c>
      <c r="C1352" t="s">
        <v>3</v>
      </c>
      <c r="D1352" t="s">
        <v>251</v>
      </c>
      <c r="E1352">
        <v>189</v>
      </c>
      <c r="F1352">
        <v>84</v>
      </c>
      <c r="G1352">
        <v>13</v>
      </c>
      <c r="H1352">
        <v>6</v>
      </c>
      <c r="I1352">
        <v>69008.100000000006</v>
      </c>
      <c r="J1352">
        <v>10</v>
      </c>
      <c r="K1352">
        <v>37063.1</v>
      </c>
      <c r="L1352">
        <v>9</v>
      </c>
      <c r="M1352">
        <v>64</v>
      </c>
      <c r="N1352">
        <v>152</v>
      </c>
      <c r="O1352">
        <f t="shared" si="42"/>
        <v>2025</v>
      </c>
      <c r="P1352">
        <f t="shared" si="43"/>
        <v>6</v>
      </c>
      <c r="Q1352" t="s">
        <v>570</v>
      </c>
      <c r="R1352" s="546" t="s">
        <v>804</v>
      </c>
    </row>
    <row r="1353" spans="1:18" x14ac:dyDescent="0.3">
      <c r="A1353" t="s">
        <v>627</v>
      </c>
      <c r="B1353" s="16">
        <v>45820</v>
      </c>
      <c r="C1353" t="s">
        <v>3</v>
      </c>
      <c r="D1353" t="s">
        <v>143</v>
      </c>
      <c r="E1353">
        <v>16</v>
      </c>
      <c r="F1353">
        <v>16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16</v>
      </c>
      <c r="O1353">
        <f t="shared" si="42"/>
        <v>2025</v>
      </c>
      <c r="P1353">
        <f t="shared" si="43"/>
        <v>6</v>
      </c>
      <c r="Q1353" t="s">
        <v>570</v>
      </c>
      <c r="R1353" s="546" t="s">
        <v>804</v>
      </c>
    </row>
    <row r="1354" spans="1:18" x14ac:dyDescent="0.3">
      <c r="A1354" t="s">
        <v>627</v>
      </c>
      <c r="B1354" s="16">
        <v>45820</v>
      </c>
      <c r="C1354" t="s">
        <v>3</v>
      </c>
      <c r="D1354" t="s">
        <v>141</v>
      </c>
      <c r="E1354">
        <v>174</v>
      </c>
      <c r="F1354">
        <v>99</v>
      </c>
      <c r="G1354">
        <v>3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174</v>
      </c>
      <c r="O1354">
        <f t="shared" si="42"/>
        <v>2025</v>
      </c>
      <c r="P1354">
        <f t="shared" si="43"/>
        <v>6</v>
      </c>
      <c r="Q1354" t="s">
        <v>570</v>
      </c>
      <c r="R1354" s="546" t="s">
        <v>804</v>
      </c>
    </row>
    <row r="1355" spans="1:18" x14ac:dyDescent="0.3">
      <c r="A1355" t="s">
        <v>627</v>
      </c>
      <c r="B1355" s="16">
        <v>45820</v>
      </c>
      <c r="C1355" t="s">
        <v>3</v>
      </c>
      <c r="D1355" t="s">
        <v>140</v>
      </c>
      <c r="E1355">
        <v>5</v>
      </c>
      <c r="F1355">
        <v>4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2</v>
      </c>
      <c r="N1355">
        <v>4</v>
      </c>
      <c r="O1355">
        <f t="shared" si="42"/>
        <v>2025</v>
      </c>
      <c r="P1355">
        <f t="shared" si="43"/>
        <v>6</v>
      </c>
      <c r="Q1355" t="s">
        <v>570</v>
      </c>
      <c r="R1355" s="546" t="s">
        <v>804</v>
      </c>
    </row>
    <row r="1356" spans="1:18" x14ac:dyDescent="0.3">
      <c r="A1356" t="s">
        <v>627</v>
      </c>
      <c r="B1356" s="16">
        <v>45820</v>
      </c>
      <c r="C1356" t="s">
        <v>3</v>
      </c>
      <c r="D1356" t="s">
        <v>139</v>
      </c>
      <c r="E1356">
        <v>420</v>
      </c>
      <c r="F1356">
        <v>226</v>
      </c>
      <c r="G1356">
        <v>33</v>
      </c>
      <c r="H1356">
        <v>7</v>
      </c>
      <c r="I1356">
        <v>71659.899999999994</v>
      </c>
      <c r="J1356">
        <v>12</v>
      </c>
      <c r="K1356">
        <v>40119.9</v>
      </c>
      <c r="L1356">
        <v>12</v>
      </c>
      <c r="M1356">
        <v>187</v>
      </c>
      <c r="N1356">
        <v>318</v>
      </c>
      <c r="O1356">
        <f t="shared" si="42"/>
        <v>2025</v>
      </c>
      <c r="P1356">
        <f t="shared" si="43"/>
        <v>6</v>
      </c>
      <c r="Q1356" t="s">
        <v>570</v>
      </c>
      <c r="R1356" s="546" t="s">
        <v>804</v>
      </c>
    </row>
    <row r="1357" spans="1:18" x14ac:dyDescent="0.3">
      <c r="A1357" t="s">
        <v>627</v>
      </c>
      <c r="B1357" s="16">
        <v>45820</v>
      </c>
      <c r="C1357" t="s">
        <v>3</v>
      </c>
      <c r="D1357" t="s">
        <v>138</v>
      </c>
      <c r="E1357">
        <v>5</v>
      </c>
      <c r="F1357">
        <v>4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5</v>
      </c>
      <c r="O1357">
        <f t="shared" si="42"/>
        <v>2025</v>
      </c>
      <c r="P1357">
        <f t="shared" si="43"/>
        <v>6</v>
      </c>
      <c r="Q1357" t="s">
        <v>570</v>
      </c>
      <c r="R1357" s="546" t="s">
        <v>804</v>
      </c>
    </row>
    <row r="1358" spans="1:18" x14ac:dyDescent="0.3">
      <c r="A1358" t="s">
        <v>627</v>
      </c>
      <c r="B1358" s="16">
        <v>45820</v>
      </c>
      <c r="C1358" t="s">
        <v>3</v>
      </c>
      <c r="D1358" t="s">
        <v>136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</v>
      </c>
      <c r="O1358">
        <f t="shared" si="42"/>
        <v>2025</v>
      </c>
      <c r="P1358">
        <f t="shared" si="43"/>
        <v>6</v>
      </c>
      <c r="Q1358" t="s">
        <v>570</v>
      </c>
      <c r="R1358" s="546" t="s">
        <v>804</v>
      </c>
    </row>
    <row r="1359" spans="1:18" x14ac:dyDescent="0.3">
      <c r="A1359" t="s">
        <v>627</v>
      </c>
      <c r="B1359" s="16">
        <v>45820</v>
      </c>
      <c r="C1359" t="s">
        <v>3</v>
      </c>
      <c r="D1359" t="s">
        <v>135</v>
      </c>
      <c r="E1359">
        <v>4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4</v>
      </c>
      <c r="O1359">
        <f t="shared" si="42"/>
        <v>2025</v>
      </c>
      <c r="P1359">
        <f t="shared" si="43"/>
        <v>6</v>
      </c>
      <c r="Q1359" t="s">
        <v>570</v>
      </c>
      <c r="R1359" s="546" t="s">
        <v>804</v>
      </c>
    </row>
    <row r="1360" spans="1:18" x14ac:dyDescent="0.3">
      <c r="A1360" t="s">
        <v>627</v>
      </c>
      <c r="B1360" s="16">
        <v>45820</v>
      </c>
      <c r="C1360" t="s">
        <v>3</v>
      </c>
      <c r="D1360" t="s">
        <v>133</v>
      </c>
      <c r="E1360">
        <v>30</v>
      </c>
      <c r="F1360">
        <v>20</v>
      </c>
      <c r="G1360">
        <v>3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22</v>
      </c>
      <c r="N1360">
        <v>17</v>
      </c>
      <c r="O1360">
        <f t="shared" si="42"/>
        <v>2025</v>
      </c>
      <c r="P1360">
        <f t="shared" si="43"/>
        <v>6</v>
      </c>
      <c r="Q1360" t="s">
        <v>570</v>
      </c>
      <c r="R1360" s="546" t="s">
        <v>804</v>
      </c>
    </row>
    <row r="1361" spans="1:18" x14ac:dyDescent="0.3">
      <c r="A1361" t="s">
        <v>627</v>
      </c>
      <c r="B1361" s="16">
        <v>45820</v>
      </c>
      <c r="C1361" t="s">
        <v>3</v>
      </c>
      <c r="D1361" t="s">
        <v>130</v>
      </c>
      <c r="E1361">
        <v>106</v>
      </c>
      <c r="F1361">
        <v>35</v>
      </c>
      <c r="G1361">
        <v>6</v>
      </c>
      <c r="H1361">
        <v>0</v>
      </c>
      <c r="I1361">
        <v>48799.9</v>
      </c>
      <c r="J1361">
        <v>11</v>
      </c>
      <c r="K1361">
        <v>29099.9</v>
      </c>
      <c r="L1361">
        <v>10</v>
      </c>
      <c r="M1361">
        <v>49</v>
      </c>
      <c r="N1361">
        <v>91</v>
      </c>
      <c r="O1361">
        <f t="shared" si="42"/>
        <v>2025</v>
      </c>
      <c r="P1361">
        <f t="shared" si="43"/>
        <v>6</v>
      </c>
      <c r="Q1361" t="s">
        <v>570</v>
      </c>
      <c r="R1361" s="546" t="s">
        <v>804</v>
      </c>
    </row>
    <row r="1362" spans="1:18" x14ac:dyDescent="0.3">
      <c r="A1362" t="s">
        <v>627</v>
      </c>
      <c r="B1362" s="16">
        <v>45820</v>
      </c>
      <c r="C1362" t="s">
        <v>3</v>
      </c>
      <c r="D1362" t="s">
        <v>128</v>
      </c>
      <c r="E1362">
        <v>771</v>
      </c>
      <c r="F1362">
        <v>572</v>
      </c>
      <c r="G1362">
        <v>32</v>
      </c>
      <c r="H1362">
        <v>15</v>
      </c>
      <c r="I1362">
        <v>114267</v>
      </c>
      <c r="J1362">
        <v>14</v>
      </c>
      <c r="K1362">
        <v>55772</v>
      </c>
      <c r="L1362">
        <v>12</v>
      </c>
      <c r="M1362">
        <v>346</v>
      </c>
      <c r="N1362">
        <v>582</v>
      </c>
      <c r="O1362">
        <f t="shared" si="42"/>
        <v>2025</v>
      </c>
      <c r="P1362">
        <f t="shared" si="43"/>
        <v>6</v>
      </c>
      <c r="Q1362" t="s">
        <v>570</v>
      </c>
      <c r="R1362" s="546" t="s">
        <v>804</v>
      </c>
    </row>
    <row r="1363" spans="1:18" x14ac:dyDescent="0.3">
      <c r="A1363" t="s">
        <v>627</v>
      </c>
      <c r="B1363" s="16">
        <v>45820</v>
      </c>
      <c r="C1363" t="s">
        <v>3</v>
      </c>
      <c r="D1363" t="s">
        <v>127</v>
      </c>
      <c r="E1363">
        <v>2618</v>
      </c>
      <c r="F1363">
        <v>1788</v>
      </c>
      <c r="G1363">
        <v>27</v>
      </c>
      <c r="H1363">
        <v>20</v>
      </c>
      <c r="I1363">
        <v>42430</v>
      </c>
      <c r="J1363">
        <v>2</v>
      </c>
      <c r="K1363">
        <v>11390</v>
      </c>
      <c r="L1363">
        <v>2</v>
      </c>
      <c r="M1363">
        <v>158</v>
      </c>
      <c r="N1363">
        <v>2540</v>
      </c>
      <c r="O1363">
        <f t="shared" si="42"/>
        <v>2025</v>
      </c>
      <c r="P1363">
        <f t="shared" si="43"/>
        <v>6</v>
      </c>
      <c r="Q1363" t="s">
        <v>570</v>
      </c>
      <c r="R1363" s="546" t="s">
        <v>804</v>
      </c>
    </row>
    <row r="1364" spans="1:18" x14ac:dyDescent="0.3">
      <c r="A1364" t="s">
        <v>627</v>
      </c>
      <c r="B1364" s="16">
        <v>45820</v>
      </c>
      <c r="C1364" t="s">
        <v>3</v>
      </c>
      <c r="D1364" t="s">
        <v>126</v>
      </c>
      <c r="E1364">
        <v>79</v>
      </c>
      <c r="F1364">
        <v>56</v>
      </c>
      <c r="G1364">
        <v>3</v>
      </c>
      <c r="H1364">
        <v>4</v>
      </c>
      <c r="I1364">
        <v>0</v>
      </c>
      <c r="J1364">
        <v>0</v>
      </c>
      <c r="K1364">
        <v>0</v>
      </c>
      <c r="L1364">
        <v>0</v>
      </c>
      <c r="M1364">
        <v>13</v>
      </c>
      <c r="N1364">
        <v>75</v>
      </c>
      <c r="O1364">
        <f t="shared" si="42"/>
        <v>2025</v>
      </c>
      <c r="P1364">
        <f t="shared" si="43"/>
        <v>6</v>
      </c>
      <c r="Q1364" t="s">
        <v>570</v>
      </c>
      <c r="R1364" s="546" t="s">
        <v>804</v>
      </c>
    </row>
    <row r="1365" spans="1:18" x14ac:dyDescent="0.3">
      <c r="A1365" t="s">
        <v>627</v>
      </c>
      <c r="B1365" s="16">
        <v>45820</v>
      </c>
      <c r="C1365" t="s">
        <v>3</v>
      </c>
      <c r="D1365" t="s">
        <v>125</v>
      </c>
      <c r="E1365">
        <v>4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4</v>
      </c>
      <c r="O1365">
        <f t="shared" si="42"/>
        <v>2025</v>
      </c>
      <c r="P1365">
        <f t="shared" si="43"/>
        <v>6</v>
      </c>
      <c r="Q1365" t="s">
        <v>570</v>
      </c>
      <c r="R1365" s="546" t="s">
        <v>804</v>
      </c>
    </row>
    <row r="1366" spans="1:18" x14ac:dyDescent="0.3">
      <c r="A1366" t="s">
        <v>627</v>
      </c>
      <c r="B1366" s="16">
        <v>45820</v>
      </c>
      <c r="C1366" t="s">
        <v>3</v>
      </c>
      <c r="D1366" t="s">
        <v>123</v>
      </c>
      <c r="E1366">
        <v>146</v>
      </c>
      <c r="F1366">
        <v>72</v>
      </c>
      <c r="G1366">
        <v>8</v>
      </c>
      <c r="H1366">
        <v>1</v>
      </c>
      <c r="I1366">
        <v>7625</v>
      </c>
      <c r="J1366">
        <v>2</v>
      </c>
      <c r="K1366">
        <v>6135</v>
      </c>
      <c r="L1366">
        <v>2</v>
      </c>
      <c r="M1366">
        <v>51</v>
      </c>
      <c r="N1366">
        <v>128</v>
      </c>
      <c r="O1366">
        <f t="shared" si="42"/>
        <v>2025</v>
      </c>
      <c r="P1366">
        <f t="shared" si="43"/>
        <v>6</v>
      </c>
      <c r="Q1366" t="s">
        <v>570</v>
      </c>
      <c r="R1366" s="546" t="s">
        <v>804</v>
      </c>
    </row>
    <row r="1367" spans="1:18" x14ac:dyDescent="0.3">
      <c r="A1367" t="s">
        <v>627</v>
      </c>
      <c r="B1367" s="16">
        <v>45820</v>
      </c>
      <c r="C1367" t="s">
        <v>3</v>
      </c>
      <c r="D1367" t="s">
        <v>121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f t="shared" si="42"/>
        <v>2025</v>
      </c>
      <c r="P1367">
        <f t="shared" si="43"/>
        <v>6</v>
      </c>
      <c r="Q1367" t="s">
        <v>570</v>
      </c>
      <c r="R1367" s="546" t="s">
        <v>804</v>
      </c>
    </row>
    <row r="1368" spans="1:18" x14ac:dyDescent="0.3">
      <c r="A1368" t="s">
        <v>627</v>
      </c>
      <c r="B1368" s="16">
        <v>45820</v>
      </c>
      <c r="C1368" t="s">
        <v>3</v>
      </c>
      <c r="D1368" t="s">
        <v>119</v>
      </c>
      <c r="E1368">
        <v>219</v>
      </c>
      <c r="F1368">
        <v>65</v>
      </c>
      <c r="G1368">
        <v>16</v>
      </c>
      <c r="H1368">
        <v>6</v>
      </c>
      <c r="I1368">
        <v>52114</v>
      </c>
      <c r="J1368">
        <v>10</v>
      </c>
      <c r="K1368">
        <v>18279</v>
      </c>
      <c r="L1368">
        <v>8</v>
      </c>
      <c r="M1368">
        <v>44</v>
      </c>
      <c r="N1368">
        <v>216</v>
      </c>
      <c r="O1368">
        <f t="shared" si="42"/>
        <v>2025</v>
      </c>
      <c r="P1368">
        <f t="shared" si="43"/>
        <v>6</v>
      </c>
      <c r="Q1368" t="s">
        <v>570</v>
      </c>
      <c r="R1368" s="546" t="s">
        <v>804</v>
      </c>
    </row>
    <row r="1369" spans="1:18" x14ac:dyDescent="0.3">
      <c r="A1369" t="s">
        <v>627</v>
      </c>
      <c r="B1369" s="16">
        <v>45820</v>
      </c>
      <c r="C1369" t="s">
        <v>3</v>
      </c>
      <c r="D1369" t="s">
        <v>583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f t="shared" si="42"/>
        <v>2025</v>
      </c>
      <c r="P1369">
        <f t="shared" si="43"/>
        <v>6</v>
      </c>
      <c r="Q1369" t="s">
        <v>570</v>
      </c>
      <c r="R1369" s="546" t="s">
        <v>804</v>
      </c>
    </row>
    <row r="1370" spans="1:18" x14ac:dyDescent="0.3">
      <c r="A1370" t="s">
        <v>627</v>
      </c>
      <c r="B1370" s="16">
        <v>45820</v>
      </c>
      <c r="C1370" t="s">
        <v>3</v>
      </c>
      <c r="D1370" t="s">
        <v>252</v>
      </c>
      <c r="E1370">
        <v>11</v>
      </c>
      <c r="F1370">
        <v>8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11</v>
      </c>
      <c r="O1370">
        <f t="shared" si="42"/>
        <v>2025</v>
      </c>
      <c r="P1370">
        <f t="shared" si="43"/>
        <v>6</v>
      </c>
      <c r="Q1370" t="s">
        <v>570</v>
      </c>
      <c r="R1370" s="546" t="s">
        <v>804</v>
      </c>
    </row>
    <row r="1371" spans="1:18" x14ac:dyDescent="0.3">
      <c r="A1371" t="s">
        <v>627</v>
      </c>
      <c r="B1371" s="16">
        <v>45820</v>
      </c>
      <c r="C1371" t="s">
        <v>3</v>
      </c>
      <c r="D1371" t="s">
        <v>117</v>
      </c>
      <c r="E1371">
        <v>2</v>
      </c>
      <c r="F1371">
        <v>2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2</v>
      </c>
      <c r="O1371">
        <f t="shared" si="42"/>
        <v>2025</v>
      </c>
      <c r="P1371">
        <f t="shared" si="43"/>
        <v>6</v>
      </c>
      <c r="Q1371" t="s">
        <v>570</v>
      </c>
      <c r="R1371" s="546" t="s">
        <v>804</v>
      </c>
    </row>
    <row r="1372" spans="1:18" x14ac:dyDescent="0.3">
      <c r="A1372" t="s">
        <v>627</v>
      </c>
      <c r="B1372" s="16">
        <v>45820</v>
      </c>
      <c r="C1372" t="s">
        <v>3</v>
      </c>
      <c r="D1372" t="s">
        <v>391</v>
      </c>
      <c r="E1372">
        <v>359</v>
      </c>
      <c r="F1372">
        <v>193</v>
      </c>
      <c r="G1372">
        <v>13</v>
      </c>
      <c r="H1372">
        <v>2</v>
      </c>
      <c r="I1372">
        <v>4895</v>
      </c>
      <c r="J1372">
        <v>1</v>
      </c>
      <c r="K1372">
        <v>4895</v>
      </c>
      <c r="L1372">
        <v>1</v>
      </c>
      <c r="M1372">
        <v>55</v>
      </c>
      <c r="N1372">
        <v>352</v>
      </c>
      <c r="O1372">
        <f t="shared" si="42"/>
        <v>2025</v>
      </c>
      <c r="P1372">
        <f t="shared" si="43"/>
        <v>6</v>
      </c>
      <c r="Q1372" t="s">
        <v>570</v>
      </c>
      <c r="R1372" s="546" t="s">
        <v>804</v>
      </c>
    </row>
    <row r="1373" spans="1:18" x14ac:dyDescent="0.3">
      <c r="A1373" t="s">
        <v>627</v>
      </c>
      <c r="B1373" s="16">
        <v>45820</v>
      </c>
      <c r="C1373" t="s">
        <v>3</v>
      </c>
      <c r="D1373" t="s">
        <v>114</v>
      </c>
      <c r="E1373">
        <v>156</v>
      </c>
      <c r="F1373">
        <v>106</v>
      </c>
      <c r="G1373">
        <v>4</v>
      </c>
      <c r="H1373">
        <v>5</v>
      </c>
      <c r="I1373">
        <v>13500</v>
      </c>
      <c r="J1373">
        <v>1</v>
      </c>
      <c r="K1373">
        <v>0</v>
      </c>
      <c r="L1373">
        <v>0</v>
      </c>
      <c r="M1373">
        <v>10</v>
      </c>
      <c r="N1373">
        <v>153</v>
      </c>
      <c r="O1373">
        <f t="shared" si="42"/>
        <v>2025</v>
      </c>
      <c r="P1373">
        <f t="shared" si="43"/>
        <v>6</v>
      </c>
      <c r="Q1373" t="s">
        <v>570</v>
      </c>
      <c r="R1373" s="546" t="s">
        <v>804</v>
      </c>
    </row>
    <row r="1374" spans="1:18" x14ac:dyDescent="0.3">
      <c r="A1374" t="s">
        <v>627</v>
      </c>
      <c r="B1374" s="16">
        <v>45820</v>
      </c>
      <c r="C1374" t="s">
        <v>3</v>
      </c>
      <c r="D1374" t="s">
        <v>113</v>
      </c>
      <c r="E1374">
        <v>79</v>
      </c>
      <c r="F1374">
        <v>39</v>
      </c>
      <c r="G1374">
        <v>2</v>
      </c>
      <c r="H1374">
        <v>0</v>
      </c>
      <c r="I1374">
        <v>1680</v>
      </c>
      <c r="J1374">
        <v>1</v>
      </c>
      <c r="K1374">
        <v>1680</v>
      </c>
      <c r="L1374">
        <v>1</v>
      </c>
      <c r="M1374">
        <v>64</v>
      </c>
      <c r="N1374">
        <v>47</v>
      </c>
      <c r="O1374">
        <f t="shared" si="42"/>
        <v>2025</v>
      </c>
      <c r="P1374">
        <f t="shared" si="43"/>
        <v>6</v>
      </c>
      <c r="Q1374" t="s">
        <v>570</v>
      </c>
      <c r="R1374" s="546" t="s">
        <v>804</v>
      </c>
    </row>
    <row r="1375" spans="1:18" x14ac:dyDescent="0.3">
      <c r="A1375" t="s">
        <v>627</v>
      </c>
      <c r="B1375" s="16">
        <v>45820</v>
      </c>
      <c r="C1375" t="s">
        <v>3</v>
      </c>
      <c r="D1375" t="s">
        <v>112</v>
      </c>
      <c r="E1375">
        <v>18</v>
      </c>
      <c r="F1375">
        <v>3</v>
      </c>
      <c r="G1375">
        <v>1</v>
      </c>
      <c r="H1375">
        <v>0</v>
      </c>
      <c r="I1375">
        <v>3025</v>
      </c>
      <c r="J1375">
        <v>1</v>
      </c>
      <c r="K1375">
        <v>3025</v>
      </c>
      <c r="L1375">
        <v>1</v>
      </c>
      <c r="M1375">
        <v>0</v>
      </c>
      <c r="N1375">
        <v>18</v>
      </c>
      <c r="O1375">
        <f t="shared" si="42"/>
        <v>2025</v>
      </c>
      <c r="P1375">
        <f t="shared" si="43"/>
        <v>6</v>
      </c>
      <c r="Q1375" t="s">
        <v>570</v>
      </c>
      <c r="R1375" s="546" t="s">
        <v>804</v>
      </c>
    </row>
    <row r="1376" spans="1:18" x14ac:dyDescent="0.3">
      <c r="A1376" t="s">
        <v>627</v>
      </c>
      <c r="B1376" s="16">
        <v>45820</v>
      </c>
      <c r="C1376" t="s">
        <v>3</v>
      </c>
      <c r="D1376" t="s">
        <v>111</v>
      </c>
      <c r="E1376">
        <v>3</v>
      </c>
      <c r="F1376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3</v>
      </c>
      <c r="O1376">
        <f t="shared" si="42"/>
        <v>2025</v>
      </c>
      <c r="P1376">
        <f t="shared" si="43"/>
        <v>6</v>
      </c>
      <c r="Q1376" t="s">
        <v>570</v>
      </c>
      <c r="R1376" s="546" t="s">
        <v>804</v>
      </c>
    </row>
    <row r="1377" spans="1:18" x14ac:dyDescent="0.3">
      <c r="A1377" t="s">
        <v>627</v>
      </c>
      <c r="B1377" s="16">
        <v>45819</v>
      </c>
      <c r="C1377" t="s">
        <v>2</v>
      </c>
      <c r="D1377" t="s">
        <v>4</v>
      </c>
      <c r="E1377">
        <v>257</v>
      </c>
      <c r="F1377">
        <v>72</v>
      </c>
      <c r="G1377">
        <v>2</v>
      </c>
      <c r="H1377">
        <v>2</v>
      </c>
      <c r="I1377">
        <v>3980</v>
      </c>
      <c r="J1377">
        <v>2</v>
      </c>
      <c r="K1377">
        <v>3980</v>
      </c>
      <c r="L1377">
        <v>2</v>
      </c>
      <c r="M1377">
        <v>3</v>
      </c>
      <c r="N1377">
        <v>254</v>
      </c>
      <c r="O1377">
        <f t="shared" si="42"/>
        <v>2025</v>
      </c>
      <c r="P1377">
        <f t="shared" si="43"/>
        <v>6</v>
      </c>
      <c r="Q1377" t="s">
        <v>570</v>
      </c>
      <c r="R1377" s="546" t="s">
        <v>804</v>
      </c>
    </row>
    <row r="1378" spans="1:18" x14ac:dyDescent="0.3">
      <c r="A1378" t="s">
        <v>627</v>
      </c>
      <c r="B1378" s="16">
        <v>45819</v>
      </c>
      <c r="C1378" t="s">
        <v>2</v>
      </c>
      <c r="D1378" t="s">
        <v>57</v>
      </c>
      <c r="E1378">
        <v>15242</v>
      </c>
      <c r="F1378">
        <v>9697</v>
      </c>
      <c r="G1378">
        <v>213</v>
      </c>
      <c r="H1378">
        <v>205</v>
      </c>
      <c r="I1378">
        <v>150447</v>
      </c>
      <c r="J1378">
        <v>36</v>
      </c>
      <c r="K1378">
        <v>108145</v>
      </c>
      <c r="L1378">
        <v>26</v>
      </c>
      <c r="M1378">
        <v>1153</v>
      </c>
      <c r="N1378">
        <v>14932</v>
      </c>
      <c r="O1378">
        <f t="shared" si="42"/>
        <v>2025</v>
      </c>
      <c r="P1378">
        <f t="shared" si="43"/>
        <v>6</v>
      </c>
      <c r="Q1378" t="s">
        <v>570</v>
      </c>
      <c r="R1378" s="546" t="s">
        <v>804</v>
      </c>
    </row>
    <row r="1379" spans="1:18" x14ac:dyDescent="0.3">
      <c r="A1379" t="s">
        <v>627</v>
      </c>
      <c r="B1379" s="16">
        <v>45819</v>
      </c>
      <c r="C1379" t="s">
        <v>2</v>
      </c>
      <c r="D1379" t="s">
        <v>55</v>
      </c>
      <c r="E1379">
        <v>784</v>
      </c>
      <c r="F1379">
        <v>543</v>
      </c>
      <c r="G1379">
        <v>17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25</v>
      </c>
      <c r="N1379">
        <v>186</v>
      </c>
      <c r="O1379">
        <f t="shared" si="42"/>
        <v>2025</v>
      </c>
      <c r="P1379">
        <f t="shared" si="43"/>
        <v>6</v>
      </c>
      <c r="Q1379" t="s">
        <v>570</v>
      </c>
      <c r="R1379" s="546" t="s">
        <v>804</v>
      </c>
    </row>
    <row r="1380" spans="1:18" x14ac:dyDescent="0.3">
      <c r="A1380" t="s">
        <v>627</v>
      </c>
      <c r="B1380" s="16">
        <v>45819</v>
      </c>
      <c r="C1380" t="s">
        <v>3</v>
      </c>
      <c r="D1380" t="s">
        <v>155</v>
      </c>
      <c r="E1380">
        <v>5</v>
      </c>
      <c r="F1380">
        <v>3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5</v>
      </c>
      <c r="O1380">
        <f t="shared" si="42"/>
        <v>2025</v>
      </c>
      <c r="P1380">
        <f t="shared" si="43"/>
        <v>6</v>
      </c>
      <c r="Q1380" t="s">
        <v>570</v>
      </c>
      <c r="R1380" s="546" t="s">
        <v>804</v>
      </c>
    </row>
    <row r="1381" spans="1:18" x14ac:dyDescent="0.3">
      <c r="A1381" t="s">
        <v>627</v>
      </c>
      <c r="B1381" s="16">
        <v>45819</v>
      </c>
      <c r="C1381" t="s">
        <v>3</v>
      </c>
      <c r="D1381" t="s">
        <v>154</v>
      </c>
      <c r="E1381">
        <v>205</v>
      </c>
      <c r="F1381">
        <v>181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f t="shared" si="42"/>
        <v>2025</v>
      </c>
      <c r="P1381">
        <f t="shared" si="43"/>
        <v>6</v>
      </c>
      <c r="Q1381" t="s">
        <v>570</v>
      </c>
      <c r="R1381" s="546" t="s">
        <v>804</v>
      </c>
    </row>
    <row r="1382" spans="1:18" x14ac:dyDescent="0.3">
      <c r="A1382" t="s">
        <v>627</v>
      </c>
      <c r="B1382" s="16">
        <v>45819</v>
      </c>
      <c r="C1382" t="s">
        <v>3</v>
      </c>
      <c r="D1382" t="s">
        <v>153</v>
      </c>
      <c r="E1382">
        <v>272</v>
      </c>
      <c r="F1382">
        <v>70</v>
      </c>
      <c r="G1382">
        <v>25</v>
      </c>
      <c r="H1382">
        <v>2</v>
      </c>
      <c r="I1382">
        <v>107523</v>
      </c>
      <c r="J1382">
        <v>29</v>
      </c>
      <c r="K1382">
        <v>101898</v>
      </c>
      <c r="L1382">
        <v>29</v>
      </c>
      <c r="M1382">
        <v>78</v>
      </c>
      <c r="N1382">
        <v>261</v>
      </c>
      <c r="O1382">
        <f t="shared" si="42"/>
        <v>2025</v>
      </c>
      <c r="P1382">
        <f t="shared" si="43"/>
        <v>6</v>
      </c>
      <c r="Q1382" t="s">
        <v>570</v>
      </c>
      <c r="R1382" s="546" t="s">
        <v>804</v>
      </c>
    </row>
    <row r="1383" spans="1:18" x14ac:dyDescent="0.3">
      <c r="A1383" t="s">
        <v>627</v>
      </c>
      <c r="B1383" s="16">
        <v>45819</v>
      </c>
      <c r="C1383" t="s">
        <v>3</v>
      </c>
      <c r="D1383" t="s">
        <v>152</v>
      </c>
      <c r="E1383">
        <v>42</v>
      </c>
      <c r="F1383">
        <v>26</v>
      </c>
      <c r="G1383">
        <v>2</v>
      </c>
      <c r="H1383">
        <v>3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27</v>
      </c>
      <c r="O1383">
        <f t="shared" si="42"/>
        <v>2025</v>
      </c>
      <c r="P1383">
        <f t="shared" si="43"/>
        <v>6</v>
      </c>
      <c r="Q1383" t="s">
        <v>570</v>
      </c>
      <c r="R1383" s="546" t="s">
        <v>804</v>
      </c>
    </row>
    <row r="1384" spans="1:18" x14ac:dyDescent="0.3">
      <c r="A1384" t="s">
        <v>627</v>
      </c>
      <c r="B1384" s="16">
        <v>45819</v>
      </c>
      <c r="C1384" t="s">
        <v>3</v>
      </c>
      <c r="D1384" t="s">
        <v>150</v>
      </c>
      <c r="E1384">
        <v>8</v>
      </c>
      <c r="F1384">
        <v>7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f t="shared" si="42"/>
        <v>2025</v>
      </c>
      <c r="P1384">
        <f t="shared" si="43"/>
        <v>6</v>
      </c>
      <c r="Q1384" t="s">
        <v>570</v>
      </c>
      <c r="R1384" s="546" t="s">
        <v>804</v>
      </c>
    </row>
    <row r="1385" spans="1:18" x14ac:dyDescent="0.3">
      <c r="A1385" t="s">
        <v>627</v>
      </c>
      <c r="B1385" s="16">
        <v>45819</v>
      </c>
      <c r="C1385" t="s">
        <v>3</v>
      </c>
      <c r="D1385" t="s">
        <v>149</v>
      </c>
      <c r="E1385">
        <v>16</v>
      </c>
      <c r="F1385">
        <v>14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1</v>
      </c>
      <c r="O1385">
        <f t="shared" si="42"/>
        <v>2025</v>
      </c>
      <c r="P1385">
        <f t="shared" si="43"/>
        <v>6</v>
      </c>
      <c r="Q1385" t="s">
        <v>570</v>
      </c>
      <c r="R1385" s="546" t="s">
        <v>804</v>
      </c>
    </row>
    <row r="1386" spans="1:18" x14ac:dyDescent="0.3">
      <c r="A1386" t="s">
        <v>627</v>
      </c>
      <c r="B1386" s="16">
        <v>45819</v>
      </c>
      <c r="C1386" t="s">
        <v>3</v>
      </c>
      <c r="D1386" t="s">
        <v>630</v>
      </c>
      <c r="E1386">
        <v>61</v>
      </c>
      <c r="F1386">
        <v>54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6</v>
      </c>
      <c r="O1386">
        <f t="shared" si="42"/>
        <v>2025</v>
      </c>
      <c r="P1386">
        <f t="shared" si="43"/>
        <v>6</v>
      </c>
      <c r="Q1386" t="s">
        <v>570</v>
      </c>
      <c r="R1386" s="546" t="s">
        <v>804</v>
      </c>
    </row>
    <row r="1387" spans="1:18" x14ac:dyDescent="0.3">
      <c r="A1387" t="s">
        <v>627</v>
      </c>
      <c r="B1387" s="16">
        <v>45819</v>
      </c>
      <c r="C1387" t="s">
        <v>3</v>
      </c>
      <c r="D1387" t="s">
        <v>251</v>
      </c>
      <c r="E1387">
        <v>3565</v>
      </c>
      <c r="F1387">
        <v>3167</v>
      </c>
      <c r="G1387">
        <v>12</v>
      </c>
      <c r="H1387">
        <v>3</v>
      </c>
      <c r="I1387">
        <v>35450</v>
      </c>
      <c r="J1387">
        <v>11</v>
      </c>
      <c r="K1387">
        <v>24165</v>
      </c>
      <c r="L1387">
        <v>9</v>
      </c>
      <c r="M1387">
        <v>61</v>
      </c>
      <c r="N1387">
        <v>175</v>
      </c>
      <c r="O1387">
        <f t="shared" si="42"/>
        <v>2025</v>
      </c>
      <c r="P1387">
        <f t="shared" si="43"/>
        <v>6</v>
      </c>
      <c r="Q1387" t="s">
        <v>570</v>
      </c>
      <c r="R1387" s="546" t="s">
        <v>804</v>
      </c>
    </row>
    <row r="1388" spans="1:18" x14ac:dyDescent="0.3">
      <c r="A1388" t="s">
        <v>627</v>
      </c>
      <c r="B1388" s="16">
        <v>45819</v>
      </c>
      <c r="C1388" t="s">
        <v>3</v>
      </c>
      <c r="D1388" t="s">
        <v>143</v>
      </c>
      <c r="E1388">
        <v>22</v>
      </c>
      <c r="F1388">
        <v>21</v>
      </c>
      <c r="G1388">
        <v>0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22</v>
      </c>
      <c r="O1388">
        <f t="shared" si="42"/>
        <v>2025</v>
      </c>
      <c r="P1388">
        <f t="shared" si="43"/>
        <v>6</v>
      </c>
      <c r="Q1388" t="s">
        <v>570</v>
      </c>
      <c r="R1388" s="546" t="s">
        <v>804</v>
      </c>
    </row>
    <row r="1389" spans="1:18" x14ac:dyDescent="0.3">
      <c r="A1389" t="s">
        <v>627</v>
      </c>
      <c r="B1389" s="16">
        <v>45819</v>
      </c>
      <c r="C1389" t="s">
        <v>3</v>
      </c>
      <c r="D1389" t="s">
        <v>141</v>
      </c>
      <c r="E1389">
        <v>166</v>
      </c>
      <c r="F1389">
        <v>86</v>
      </c>
      <c r="G1389">
        <v>3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165</v>
      </c>
      <c r="O1389">
        <f t="shared" si="42"/>
        <v>2025</v>
      </c>
      <c r="P1389">
        <f t="shared" si="43"/>
        <v>6</v>
      </c>
      <c r="Q1389" t="s">
        <v>570</v>
      </c>
      <c r="R1389" s="546" t="s">
        <v>804</v>
      </c>
    </row>
    <row r="1390" spans="1:18" x14ac:dyDescent="0.3">
      <c r="A1390" t="s">
        <v>627</v>
      </c>
      <c r="B1390" s="16">
        <v>45819</v>
      </c>
      <c r="C1390" t="s">
        <v>3</v>
      </c>
      <c r="D1390" t="s">
        <v>140</v>
      </c>
      <c r="E1390">
        <v>6</v>
      </c>
      <c r="F1390">
        <v>5</v>
      </c>
      <c r="G1390">
        <v>1</v>
      </c>
      <c r="H1390">
        <v>1</v>
      </c>
      <c r="I1390">
        <v>2980</v>
      </c>
      <c r="J1390">
        <v>2</v>
      </c>
      <c r="K1390">
        <v>1490</v>
      </c>
      <c r="L1390">
        <v>1</v>
      </c>
      <c r="M1390">
        <v>1</v>
      </c>
      <c r="N1390">
        <v>6</v>
      </c>
      <c r="O1390">
        <f t="shared" si="42"/>
        <v>2025</v>
      </c>
      <c r="P1390">
        <f t="shared" si="43"/>
        <v>6</v>
      </c>
      <c r="Q1390" t="s">
        <v>570</v>
      </c>
      <c r="R1390" s="546" t="s">
        <v>804</v>
      </c>
    </row>
    <row r="1391" spans="1:18" x14ac:dyDescent="0.3">
      <c r="A1391" t="s">
        <v>627</v>
      </c>
      <c r="B1391" s="16">
        <v>45819</v>
      </c>
      <c r="C1391" t="s">
        <v>3</v>
      </c>
      <c r="D1391" t="s">
        <v>139</v>
      </c>
      <c r="E1391">
        <v>515</v>
      </c>
      <c r="F1391">
        <v>300</v>
      </c>
      <c r="G1391">
        <v>26</v>
      </c>
      <c r="H1391">
        <v>8</v>
      </c>
      <c r="I1391">
        <v>74873</v>
      </c>
      <c r="J1391">
        <v>19</v>
      </c>
      <c r="K1391">
        <v>57988</v>
      </c>
      <c r="L1391">
        <v>18</v>
      </c>
      <c r="M1391">
        <v>198</v>
      </c>
      <c r="N1391">
        <v>310</v>
      </c>
      <c r="O1391">
        <f t="shared" ref="O1391:O1454" si="44">YEAR(B1391)</f>
        <v>2025</v>
      </c>
      <c r="P1391">
        <f t="shared" ref="P1391:P1454" si="45">MONTH(B1391)</f>
        <v>6</v>
      </c>
      <c r="Q1391" t="s">
        <v>570</v>
      </c>
      <c r="R1391" s="546" t="s">
        <v>804</v>
      </c>
    </row>
    <row r="1392" spans="1:18" x14ac:dyDescent="0.3">
      <c r="A1392" t="s">
        <v>627</v>
      </c>
      <c r="B1392" s="16">
        <v>45819</v>
      </c>
      <c r="C1392" t="s">
        <v>3</v>
      </c>
      <c r="D1392" t="s">
        <v>138</v>
      </c>
      <c r="E1392">
        <v>10</v>
      </c>
      <c r="F1392">
        <v>4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4</v>
      </c>
      <c r="N1392">
        <v>10</v>
      </c>
      <c r="O1392">
        <f t="shared" si="44"/>
        <v>2025</v>
      </c>
      <c r="P1392">
        <f t="shared" si="45"/>
        <v>6</v>
      </c>
      <c r="Q1392" t="s">
        <v>570</v>
      </c>
      <c r="R1392" s="546" t="s">
        <v>804</v>
      </c>
    </row>
    <row r="1393" spans="1:18" x14ac:dyDescent="0.3">
      <c r="A1393" t="s">
        <v>627</v>
      </c>
      <c r="B1393" s="16">
        <v>45819</v>
      </c>
      <c r="C1393" t="s">
        <v>3</v>
      </c>
      <c r="D1393" t="s">
        <v>135</v>
      </c>
      <c r="E1393">
        <v>61</v>
      </c>
      <c r="F1393">
        <v>54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6</v>
      </c>
      <c r="O1393">
        <f t="shared" si="44"/>
        <v>2025</v>
      </c>
      <c r="P1393">
        <f t="shared" si="45"/>
        <v>6</v>
      </c>
      <c r="Q1393" t="s">
        <v>570</v>
      </c>
      <c r="R1393" s="546" t="s">
        <v>804</v>
      </c>
    </row>
    <row r="1394" spans="1:18" x14ac:dyDescent="0.3">
      <c r="A1394" t="s">
        <v>627</v>
      </c>
      <c r="B1394" s="16">
        <v>45819</v>
      </c>
      <c r="C1394" t="s">
        <v>3</v>
      </c>
      <c r="D1394" t="s">
        <v>133</v>
      </c>
      <c r="E1394">
        <v>16</v>
      </c>
      <c r="F1394">
        <v>3</v>
      </c>
      <c r="G1394">
        <v>2</v>
      </c>
      <c r="H1394">
        <v>0</v>
      </c>
      <c r="I1394">
        <v>4365</v>
      </c>
      <c r="J1394">
        <v>2</v>
      </c>
      <c r="K1394">
        <v>4365</v>
      </c>
      <c r="L1394">
        <v>2</v>
      </c>
      <c r="M1394">
        <v>11</v>
      </c>
      <c r="N1394">
        <v>10</v>
      </c>
      <c r="O1394">
        <f t="shared" si="44"/>
        <v>2025</v>
      </c>
      <c r="P1394">
        <f t="shared" si="45"/>
        <v>6</v>
      </c>
      <c r="Q1394" t="s">
        <v>570</v>
      </c>
      <c r="R1394" s="546" t="s">
        <v>804</v>
      </c>
    </row>
    <row r="1395" spans="1:18" x14ac:dyDescent="0.3">
      <c r="A1395" t="s">
        <v>627</v>
      </c>
      <c r="B1395" s="16">
        <v>45819</v>
      </c>
      <c r="C1395" t="s">
        <v>3</v>
      </c>
      <c r="D1395" t="s">
        <v>130</v>
      </c>
      <c r="E1395">
        <v>93</v>
      </c>
      <c r="F1395">
        <v>36</v>
      </c>
      <c r="G1395">
        <v>9</v>
      </c>
      <c r="H1395">
        <v>0</v>
      </c>
      <c r="I1395">
        <v>22502</v>
      </c>
      <c r="J1395">
        <v>10</v>
      </c>
      <c r="K1395">
        <v>19567</v>
      </c>
      <c r="L1395">
        <v>9</v>
      </c>
      <c r="M1395">
        <v>42</v>
      </c>
      <c r="N1395">
        <v>82</v>
      </c>
      <c r="O1395">
        <f t="shared" si="44"/>
        <v>2025</v>
      </c>
      <c r="P1395">
        <f t="shared" si="45"/>
        <v>6</v>
      </c>
      <c r="Q1395" t="s">
        <v>570</v>
      </c>
      <c r="R1395" s="546" t="s">
        <v>804</v>
      </c>
    </row>
    <row r="1396" spans="1:18" x14ac:dyDescent="0.3">
      <c r="A1396" t="s">
        <v>627</v>
      </c>
      <c r="B1396" s="16">
        <v>45819</v>
      </c>
      <c r="C1396" t="s">
        <v>3</v>
      </c>
      <c r="D1396" t="s">
        <v>128</v>
      </c>
      <c r="E1396">
        <v>851</v>
      </c>
      <c r="F1396">
        <v>657</v>
      </c>
      <c r="G1396">
        <v>41</v>
      </c>
      <c r="H1396">
        <v>9</v>
      </c>
      <c r="I1396">
        <v>24155</v>
      </c>
      <c r="J1396">
        <v>7</v>
      </c>
      <c r="K1396">
        <v>17085</v>
      </c>
      <c r="L1396">
        <v>6</v>
      </c>
      <c r="M1396">
        <v>387</v>
      </c>
      <c r="N1396">
        <v>615</v>
      </c>
      <c r="O1396">
        <f t="shared" si="44"/>
        <v>2025</v>
      </c>
      <c r="P1396">
        <f t="shared" si="45"/>
        <v>6</v>
      </c>
      <c r="Q1396" t="s">
        <v>570</v>
      </c>
      <c r="R1396" s="546" t="s">
        <v>804</v>
      </c>
    </row>
    <row r="1397" spans="1:18" x14ac:dyDescent="0.3">
      <c r="A1397" t="s">
        <v>627</v>
      </c>
      <c r="B1397" s="16">
        <v>45819</v>
      </c>
      <c r="C1397" t="s">
        <v>3</v>
      </c>
      <c r="D1397" t="s">
        <v>127</v>
      </c>
      <c r="E1397">
        <v>2886</v>
      </c>
      <c r="F1397">
        <v>2023</v>
      </c>
      <c r="G1397">
        <v>38</v>
      </c>
      <c r="H1397">
        <v>13</v>
      </c>
      <c r="I1397">
        <v>27092</v>
      </c>
      <c r="J1397">
        <v>6</v>
      </c>
      <c r="K1397">
        <v>13982</v>
      </c>
      <c r="L1397">
        <v>5</v>
      </c>
      <c r="M1397">
        <v>147</v>
      </c>
      <c r="N1397">
        <v>2225</v>
      </c>
      <c r="O1397">
        <f t="shared" si="44"/>
        <v>2025</v>
      </c>
      <c r="P1397">
        <f t="shared" si="45"/>
        <v>6</v>
      </c>
      <c r="Q1397" t="s">
        <v>570</v>
      </c>
      <c r="R1397" s="546" t="s">
        <v>804</v>
      </c>
    </row>
    <row r="1398" spans="1:18" x14ac:dyDescent="0.3">
      <c r="A1398" t="s">
        <v>627</v>
      </c>
      <c r="B1398" s="16">
        <v>45819</v>
      </c>
      <c r="C1398" t="s">
        <v>3</v>
      </c>
      <c r="D1398" t="s">
        <v>126</v>
      </c>
      <c r="E1398">
        <v>74</v>
      </c>
      <c r="F1398">
        <v>53</v>
      </c>
      <c r="G1398">
        <v>1</v>
      </c>
      <c r="H1398">
        <v>4</v>
      </c>
      <c r="I1398">
        <v>10500</v>
      </c>
      <c r="J1398">
        <v>2</v>
      </c>
      <c r="K1398">
        <v>7250</v>
      </c>
      <c r="L1398">
        <v>1</v>
      </c>
      <c r="M1398">
        <v>11</v>
      </c>
      <c r="N1398">
        <v>72</v>
      </c>
      <c r="O1398">
        <f t="shared" si="44"/>
        <v>2025</v>
      </c>
      <c r="P1398">
        <f t="shared" si="45"/>
        <v>6</v>
      </c>
      <c r="Q1398" t="s">
        <v>570</v>
      </c>
      <c r="R1398" s="546" t="s">
        <v>804</v>
      </c>
    </row>
    <row r="1399" spans="1:18" x14ac:dyDescent="0.3">
      <c r="A1399" t="s">
        <v>627</v>
      </c>
      <c r="B1399" s="16">
        <v>45819</v>
      </c>
      <c r="C1399" t="s">
        <v>3</v>
      </c>
      <c r="D1399" t="s">
        <v>125</v>
      </c>
      <c r="E1399">
        <v>3</v>
      </c>
      <c r="F1399">
        <v>3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3</v>
      </c>
      <c r="O1399">
        <f t="shared" si="44"/>
        <v>2025</v>
      </c>
      <c r="P1399">
        <f t="shared" si="45"/>
        <v>6</v>
      </c>
      <c r="Q1399" t="s">
        <v>570</v>
      </c>
      <c r="R1399" s="546" t="s">
        <v>804</v>
      </c>
    </row>
    <row r="1400" spans="1:18" x14ac:dyDescent="0.3">
      <c r="A1400" t="s">
        <v>627</v>
      </c>
      <c r="B1400" s="16">
        <v>45819</v>
      </c>
      <c r="C1400" t="s">
        <v>3</v>
      </c>
      <c r="D1400" t="s">
        <v>123</v>
      </c>
      <c r="E1400">
        <v>155</v>
      </c>
      <c r="F1400">
        <v>64</v>
      </c>
      <c r="G1400">
        <v>9</v>
      </c>
      <c r="H1400">
        <v>4</v>
      </c>
      <c r="I1400">
        <v>16825</v>
      </c>
      <c r="J1400">
        <v>3</v>
      </c>
      <c r="K1400">
        <v>7940</v>
      </c>
      <c r="L1400">
        <v>2</v>
      </c>
      <c r="M1400">
        <v>49</v>
      </c>
      <c r="N1400">
        <v>138</v>
      </c>
      <c r="O1400">
        <f t="shared" si="44"/>
        <v>2025</v>
      </c>
      <c r="P1400">
        <f t="shared" si="45"/>
        <v>6</v>
      </c>
      <c r="Q1400" t="s">
        <v>570</v>
      </c>
      <c r="R1400" s="546" t="s">
        <v>804</v>
      </c>
    </row>
    <row r="1401" spans="1:18" x14ac:dyDescent="0.3">
      <c r="A1401" t="s">
        <v>627</v>
      </c>
      <c r="B1401" s="16">
        <v>45819</v>
      </c>
      <c r="C1401" t="s">
        <v>3</v>
      </c>
      <c r="D1401" t="s">
        <v>122</v>
      </c>
      <c r="E1401">
        <v>1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f t="shared" si="44"/>
        <v>2025</v>
      </c>
      <c r="P1401">
        <f t="shared" si="45"/>
        <v>6</v>
      </c>
      <c r="Q1401" t="s">
        <v>570</v>
      </c>
      <c r="R1401" s="546" t="s">
        <v>804</v>
      </c>
    </row>
    <row r="1402" spans="1:18" x14ac:dyDescent="0.3">
      <c r="A1402" t="s">
        <v>627</v>
      </c>
      <c r="B1402" s="16">
        <v>45819</v>
      </c>
      <c r="C1402" t="s">
        <v>3</v>
      </c>
      <c r="D1402" t="s">
        <v>119</v>
      </c>
      <c r="E1402">
        <v>195</v>
      </c>
      <c r="F1402">
        <v>59</v>
      </c>
      <c r="G1402">
        <v>21</v>
      </c>
      <c r="H1402">
        <v>5</v>
      </c>
      <c r="I1402">
        <v>55915</v>
      </c>
      <c r="J1402">
        <v>18</v>
      </c>
      <c r="K1402">
        <v>39355</v>
      </c>
      <c r="L1402">
        <v>14</v>
      </c>
      <c r="M1402">
        <v>49</v>
      </c>
      <c r="N1402">
        <v>184</v>
      </c>
      <c r="O1402">
        <f t="shared" si="44"/>
        <v>2025</v>
      </c>
      <c r="P1402">
        <f t="shared" si="45"/>
        <v>6</v>
      </c>
      <c r="Q1402" t="s">
        <v>570</v>
      </c>
      <c r="R1402" s="546" t="s">
        <v>804</v>
      </c>
    </row>
    <row r="1403" spans="1:18" x14ac:dyDescent="0.3">
      <c r="A1403" t="s">
        <v>627</v>
      </c>
      <c r="B1403" s="16">
        <v>45819</v>
      </c>
      <c r="C1403" t="s">
        <v>3</v>
      </c>
      <c r="D1403" t="s">
        <v>252</v>
      </c>
      <c r="E1403">
        <v>7</v>
      </c>
      <c r="F1403">
        <v>6</v>
      </c>
      <c r="G1403">
        <v>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7</v>
      </c>
      <c r="O1403">
        <f t="shared" si="44"/>
        <v>2025</v>
      </c>
      <c r="P1403">
        <f t="shared" si="45"/>
        <v>6</v>
      </c>
      <c r="Q1403" t="s">
        <v>570</v>
      </c>
      <c r="R1403" s="546" t="s">
        <v>804</v>
      </c>
    </row>
    <row r="1404" spans="1:18" x14ac:dyDescent="0.3">
      <c r="A1404" t="s">
        <v>627</v>
      </c>
      <c r="B1404" s="16">
        <v>45819</v>
      </c>
      <c r="C1404" t="s">
        <v>3</v>
      </c>
      <c r="D1404" t="s">
        <v>391</v>
      </c>
      <c r="E1404">
        <v>364</v>
      </c>
      <c r="F1404">
        <v>202</v>
      </c>
      <c r="G1404">
        <v>5</v>
      </c>
      <c r="H1404">
        <v>4</v>
      </c>
      <c r="I1404">
        <v>4750</v>
      </c>
      <c r="J1404">
        <v>1</v>
      </c>
      <c r="K1404">
        <v>2375</v>
      </c>
      <c r="L1404">
        <v>1</v>
      </c>
      <c r="M1404">
        <v>41</v>
      </c>
      <c r="N1404">
        <v>355</v>
      </c>
      <c r="O1404">
        <f t="shared" si="44"/>
        <v>2025</v>
      </c>
      <c r="P1404">
        <f t="shared" si="45"/>
        <v>6</v>
      </c>
      <c r="Q1404" t="s">
        <v>570</v>
      </c>
      <c r="R1404" s="546" t="s">
        <v>804</v>
      </c>
    </row>
    <row r="1405" spans="1:18" x14ac:dyDescent="0.3">
      <c r="A1405" t="s">
        <v>627</v>
      </c>
      <c r="B1405" s="16">
        <v>45819</v>
      </c>
      <c r="C1405" t="s">
        <v>3</v>
      </c>
      <c r="D1405" t="s">
        <v>114</v>
      </c>
      <c r="E1405">
        <v>137</v>
      </c>
      <c r="F1405">
        <v>91</v>
      </c>
      <c r="G1405">
        <v>5</v>
      </c>
      <c r="H1405">
        <v>1</v>
      </c>
      <c r="I1405">
        <v>1990</v>
      </c>
      <c r="J1405">
        <v>1</v>
      </c>
      <c r="K1405">
        <v>1990</v>
      </c>
      <c r="L1405">
        <v>1</v>
      </c>
      <c r="M1405">
        <v>7</v>
      </c>
      <c r="N1405">
        <v>136</v>
      </c>
      <c r="O1405">
        <f t="shared" si="44"/>
        <v>2025</v>
      </c>
      <c r="P1405">
        <f t="shared" si="45"/>
        <v>6</v>
      </c>
      <c r="Q1405" t="s">
        <v>570</v>
      </c>
      <c r="R1405" s="546" t="s">
        <v>804</v>
      </c>
    </row>
    <row r="1406" spans="1:18" x14ac:dyDescent="0.3">
      <c r="A1406" t="s">
        <v>627</v>
      </c>
      <c r="B1406" s="16">
        <v>45819</v>
      </c>
      <c r="C1406" t="s">
        <v>3</v>
      </c>
      <c r="D1406" t="s">
        <v>113</v>
      </c>
      <c r="E1406">
        <v>109</v>
      </c>
      <c r="F1406">
        <v>64</v>
      </c>
      <c r="G1406">
        <v>6</v>
      </c>
      <c r="H1406">
        <v>0</v>
      </c>
      <c r="I1406">
        <v>1990</v>
      </c>
      <c r="J1406">
        <v>1</v>
      </c>
      <c r="K1406">
        <v>0</v>
      </c>
      <c r="L1406">
        <v>0</v>
      </c>
      <c r="M1406">
        <v>82</v>
      </c>
      <c r="N1406">
        <v>58</v>
      </c>
      <c r="O1406">
        <f t="shared" si="44"/>
        <v>2025</v>
      </c>
      <c r="P1406">
        <f t="shared" si="45"/>
        <v>6</v>
      </c>
      <c r="Q1406" t="s">
        <v>570</v>
      </c>
      <c r="R1406" s="546" t="s">
        <v>804</v>
      </c>
    </row>
    <row r="1407" spans="1:18" x14ac:dyDescent="0.3">
      <c r="A1407" t="s">
        <v>627</v>
      </c>
      <c r="B1407" s="16">
        <v>45819</v>
      </c>
      <c r="C1407" t="s">
        <v>3</v>
      </c>
      <c r="D1407" t="s">
        <v>112</v>
      </c>
      <c r="E1407">
        <v>27</v>
      </c>
      <c r="F1407">
        <v>7</v>
      </c>
      <c r="G1407">
        <v>1</v>
      </c>
      <c r="H1407">
        <v>0</v>
      </c>
      <c r="I1407">
        <v>9337</v>
      </c>
      <c r="J1407">
        <v>3</v>
      </c>
      <c r="K1407">
        <v>9337</v>
      </c>
      <c r="L1407">
        <v>3</v>
      </c>
      <c r="M1407">
        <v>1</v>
      </c>
      <c r="N1407">
        <v>26</v>
      </c>
      <c r="O1407">
        <f t="shared" si="44"/>
        <v>2025</v>
      </c>
      <c r="P1407">
        <f t="shared" si="45"/>
        <v>6</v>
      </c>
      <c r="Q1407" t="s">
        <v>570</v>
      </c>
      <c r="R1407" s="546" t="s">
        <v>804</v>
      </c>
    </row>
    <row r="1408" spans="1:18" x14ac:dyDescent="0.3">
      <c r="A1408" t="s">
        <v>627</v>
      </c>
      <c r="B1408" s="16">
        <v>45819</v>
      </c>
      <c r="C1408" t="s">
        <v>3</v>
      </c>
      <c r="D1408" t="s">
        <v>111</v>
      </c>
      <c r="E1408">
        <v>3</v>
      </c>
      <c r="F1408">
        <v>2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3</v>
      </c>
      <c r="O1408">
        <f t="shared" si="44"/>
        <v>2025</v>
      </c>
      <c r="P1408">
        <f t="shared" si="45"/>
        <v>6</v>
      </c>
      <c r="Q1408" t="s">
        <v>570</v>
      </c>
      <c r="R1408" s="546" t="s">
        <v>804</v>
      </c>
    </row>
    <row r="1409" spans="1:18" x14ac:dyDescent="0.3">
      <c r="A1409" t="s">
        <v>627</v>
      </c>
      <c r="B1409" s="16">
        <v>45818</v>
      </c>
      <c r="C1409" t="s">
        <v>2</v>
      </c>
      <c r="D1409" t="s">
        <v>4</v>
      </c>
      <c r="E1409">
        <v>251</v>
      </c>
      <c r="F1409">
        <v>82</v>
      </c>
      <c r="G1409">
        <v>3</v>
      </c>
      <c r="H1409">
        <v>1</v>
      </c>
      <c r="I1409">
        <v>13170</v>
      </c>
      <c r="J1409">
        <v>1</v>
      </c>
      <c r="K1409">
        <v>13170</v>
      </c>
      <c r="L1409">
        <v>1</v>
      </c>
      <c r="M1409">
        <v>1</v>
      </c>
      <c r="N1409">
        <v>247</v>
      </c>
      <c r="O1409">
        <f t="shared" si="44"/>
        <v>2025</v>
      </c>
      <c r="P1409">
        <f t="shared" si="45"/>
        <v>6</v>
      </c>
      <c r="Q1409" t="s">
        <v>570</v>
      </c>
      <c r="R1409" s="546" t="s">
        <v>804</v>
      </c>
    </row>
    <row r="1410" spans="1:18" x14ac:dyDescent="0.3">
      <c r="A1410" t="s">
        <v>627</v>
      </c>
      <c r="B1410" s="16">
        <v>45818</v>
      </c>
      <c r="C1410" t="s">
        <v>2</v>
      </c>
      <c r="D1410" t="s">
        <v>57</v>
      </c>
      <c r="E1410">
        <v>15481</v>
      </c>
      <c r="F1410">
        <v>9814</v>
      </c>
      <c r="G1410">
        <v>200</v>
      </c>
      <c r="H1410">
        <v>215</v>
      </c>
      <c r="I1410">
        <v>117174</v>
      </c>
      <c r="J1410">
        <v>37</v>
      </c>
      <c r="K1410">
        <v>61823</v>
      </c>
      <c r="L1410">
        <v>23</v>
      </c>
      <c r="M1410">
        <v>1128</v>
      </c>
      <c r="N1410">
        <v>15193</v>
      </c>
      <c r="O1410">
        <f t="shared" si="44"/>
        <v>2025</v>
      </c>
      <c r="P1410">
        <f t="shared" si="45"/>
        <v>6</v>
      </c>
      <c r="Q1410" t="s">
        <v>570</v>
      </c>
      <c r="R1410" s="546" t="s">
        <v>804</v>
      </c>
    </row>
    <row r="1411" spans="1:18" x14ac:dyDescent="0.3">
      <c r="A1411" t="s">
        <v>627</v>
      </c>
      <c r="B1411" s="16">
        <v>45818</v>
      </c>
      <c r="C1411" t="s">
        <v>2</v>
      </c>
      <c r="D1411" t="s">
        <v>55</v>
      </c>
      <c r="E1411">
        <v>1153</v>
      </c>
      <c r="F1411">
        <v>968</v>
      </c>
      <c r="G1411">
        <v>19</v>
      </c>
      <c r="H1411">
        <v>2</v>
      </c>
      <c r="I1411">
        <v>0</v>
      </c>
      <c r="J1411">
        <v>0</v>
      </c>
      <c r="K1411">
        <v>0</v>
      </c>
      <c r="L1411">
        <v>0</v>
      </c>
      <c r="M1411">
        <v>17</v>
      </c>
      <c r="N1411">
        <v>184</v>
      </c>
      <c r="O1411">
        <f t="shared" si="44"/>
        <v>2025</v>
      </c>
      <c r="P1411">
        <f t="shared" si="45"/>
        <v>6</v>
      </c>
      <c r="Q1411" t="s">
        <v>570</v>
      </c>
      <c r="R1411" s="546" t="s">
        <v>804</v>
      </c>
    </row>
    <row r="1412" spans="1:18" x14ac:dyDescent="0.3">
      <c r="A1412" t="s">
        <v>627</v>
      </c>
      <c r="B1412" s="16">
        <v>45818</v>
      </c>
      <c r="C1412" t="s">
        <v>3</v>
      </c>
      <c r="D1412" t="s">
        <v>155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f t="shared" si="44"/>
        <v>2025</v>
      </c>
      <c r="P1412">
        <f t="shared" si="45"/>
        <v>6</v>
      </c>
      <c r="Q1412" t="s">
        <v>570</v>
      </c>
      <c r="R1412" s="546" t="s">
        <v>804</v>
      </c>
    </row>
    <row r="1413" spans="1:18" x14ac:dyDescent="0.3">
      <c r="A1413" t="s">
        <v>627</v>
      </c>
      <c r="B1413" s="16">
        <v>45818</v>
      </c>
      <c r="C1413" t="s">
        <v>3</v>
      </c>
      <c r="D1413" t="s">
        <v>154</v>
      </c>
      <c r="E1413">
        <v>702</v>
      </c>
      <c r="F1413">
        <v>684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f t="shared" si="44"/>
        <v>2025</v>
      </c>
      <c r="P1413">
        <f t="shared" si="45"/>
        <v>6</v>
      </c>
      <c r="Q1413" t="s">
        <v>570</v>
      </c>
      <c r="R1413" s="546" t="s">
        <v>804</v>
      </c>
    </row>
    <row r="1414" spans="1:18" x14ac:dyDescent="0.3">
      <c r="A1414" t="s">
        <v>627</v>
      </c>
      <c r="B1414" s="16">
        <v>45818</v>
      </c>
      <c r="C1414" t="s">
        <v>3</v>
      </c>
      <c r="D1414" t="s">
        <v>153</v>
      </c>
      <c r="E1414">
        <v>284</v>
      </c>
      <c r="F1414">
        <v>61</v>
      </c>
      <c r="G1414">
        <v>29</v>
      </c>
      <c r="H1414">
        <v>3</v>
      </c>
      <c r="I1414">
        <v>105036.22</v>
      </c>
      <c r="J1414">
        <v>36</v>
      </c>
      <c r="K1414">
        <v>99076.22</v>
      </c>
      <c r="L1414">
        <v>34</v>
      </c>
      <c r="M1414">
        <v>77</v>
      </c>
      <c r="N1414">
        <v>274</v>
      </c>
      <c r="O1414">
        <f t="shared" si="44"/>
        <v>2025</v>
      </c>
      <c r="P1414">
        <f t="shared" si="45"/>
        <v>6</v>
      </c>
      <c r="Q1414" t="s">
        <v>570</v>
      </c>
      <c r="R1414" s="546" t="s">
        <v>804</v>
      </c>
    </row>
    <row r="1415" spans="1:18" x14ac:dyDescent="0.3">
      <c r="A1415" t="s">
        <v>627</v>
      </c>
      <c r="B1415" s="16">
        <v>45818</v>
      </c>
      <c r="C1415" t="s">
        <v>3</v>
      </c>
      <c r="D1415" t="s">
        <v>152</v>
      </c>
      <c r="E1415">
        <v>20</v>
      </c>
      <c r="F1415">
        <v>11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19</v>
      </c>
      <c r="O1415">
        <f t="shared" si="44"/>
        <v>2025</v>
      </c>
      <c r="P1415">
        <f t="shared" si="45"/>
        <v>6</v>
      </c>
      <c r="Q1415" t="s">
        <v>570</v>
      </c>
      <c r="R1415" s="546" t="s">
        <v>804</v>
      </c>
    </row>
    <row r="1416" spans="1:18" x14ac:dyDescent="0.3">
      <c r="A1416" t="s">
        <v>627</v>
      </c>
      <c r="B1416" s="16">
        <v>45818</v>
      </c>
      <c r="C1416" t="s">
        <v>3</v>
      </c>
      <c r="D1416" t="s">
        <v>150</v>
      </c>
      <c r="E1416">
        <v>2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2</v>
      </c>
      <c r="O1416">
        <f t="shared" si="44"/>
        <v>2025</v>
      </c>
      <c r="P1416">
        <f t="shared" si="45"/>
        <v>6</v>
      </c>
      <c r="Q1416" t="s">
        <v>570</v>
      </c>
      <c r="R1416" s="546" t="s">
        <v>804</v>
      </c>
    </row>
    <row r="1417" spans="1:18" x14ac:dyDescent="0.3">
      <c r="A1417" t="s">
        <v>627</v>
      </c>
      <c r="B1417" s="16">
        <v>45818</v>
      </c>
      <c r="C1417" t="s">
        <v>3</v>
      </c>
      <c r="D1417" t="s">
        <v>149</v>
      </c>
      <c r="E1417">
        <v>9</v>
      </c>
      <c r="F1417">
        <v>4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>
        <v>4</v>
      </c>
      <c r="O1417">
        <f t="shared" si="44"/>
        <v>2025</v>
      </c>
      <c r="P1417">
        <f t="shared" si="45"/>
        <v>6</v>
      </c>
      <c r="Q1417" t="s">
        <v>570</v>
      </c>
      <c r="R1417" s="546" t="s">
        <v>804</v>
      </c>
    </row>
    <row r="1418" spans="1:18" x14ac:dyDescent="0.3">
      <c r="A1418" t="s">
        <v>627</v>
      </c>
      <c r="B1418" s="16">
        <v>45818</v>
      </c>
      <c r="C1418" t="s">
        <v>3</v>
      </c>
      <c r="D1418" t="s">
        <v>630</v>
      </c>
      <c r="E1418">
        <v>20</v>
      </c>
      <c r="F1418">
        <v>10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</v>
      </c>
      <c r="N1418">
        <v>12</v>
      </c>
      <c r="O1418">
        <f t="shared" si="44"/>
        <v>2025</v>
      </c>
      <c r="P1418">
        <f t="shared" si="45"/>
        <v>6</v>
      </c>
      <c r="Q1418" t="s">
        <v>570</v>
      </c>
      <c r="R1418" s="546" t="s">
        <v>804</v>
      </c>
    </row>
    <row r="1419" spans="1:18" x14ac:dyDescent="0.3">
      <c r="A1419" t="s">
        <v>627</v>
      </c>
      <c r="B1419" s="16">
        <v>45818</v>
      </c>
      <c r="C1419" t="s">
        <v>3</v>
      </c>
      <c r="D1419" t="s">
        <v>251</v>
      </c>
      <c r="E1419">
        <v>4355</v>
      </c>
      <c r="F1419">
        <v>4086</v>
      </c>
      <c r="G1419">
        <v>13</v>
      </c>
      <c r="H1419">
        <v>1</v>
      </c>
      <c r="I1419">
        <v>13889</v>
      </c>
      <c r="J1419">
        <v>6</v>
      </c>
      <c r="K1419">
        <v>13889</v>
      </c>
      <c r="L1419">
        <v>6</v>
      </c>
      <c r="M1419">
        <v>64</v>
      </c>
      <c r="N1419">
        <v>191</v>
      </c>
      <c r="O1419">
        <f t="shared" si="44"/>
        <v>2025</v>
      </c>
      <c r="P1419">
        <f t="shared" si="45"/>
        <v>6</v>
      </c>
      <c r="Q1419" t="s">
        <v>570</v>
      </c>
      <c r="R1419" s="546" t="s">
        <v>804</v>
      </c>
    </row>
    <row r="1420" spans="1:18" x14ac:dyDescent="0.3">
      <c r="A1420" t="s">
        <v>627</v>
      </c>
      <c r="B1420" s="16">
        <v>45818</v>
      </c>
      <c r="C1420" t="s">
        <v>3</v>
      </c>
      <c r="D1420" t="s">
        <v>143</v>
      </c>
      <c r="E1420">
        <v>21</v>
      </c>
      <c r="F1420">
        <v>20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21</v>
      </c>
      <c r="O1420">
        <f t="shared" si="44"/>
        <v>2025</v>
      </c>
      <c r="P1420">
        <f t="shared" si="45"/>
        <v>6</v>
      </c>
      <c r="Q1420" t="s">
        <v>570</v>
      </c>
      <c r="R1420" s="546" t="s">
        <v>804</v>
      </c>
    </row>
    <row r="1421" spans="1:18" x14ac:dyDescent="0.3">
      <c r="A1421" t="s">
        <v>627</v>
      </c>
      <c r="B1421" s="16">
        <v>45818</v>
      </c>
      <c r="C1421" t="s">
        <v>3</v>
      </c>
      <c r="D1421" t="s">
        <v>141</v>
      </c>
      <c r="E1421">
        <v>135</v>
      </c>
      <c r="F1421">
        <v>62</v>
      </c>
      <c r="G1421">
        <v>3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</v>
      </c>
      <c r="N1421">
        <v>134</v>
      </c>
      <c r="O1421">
        <f t="shared" si="44"/>
        <v>2025</v>
      </c>
      <c r="P1421">
        <f t="shared" si="45"/>
        <v>6</v>
      </c>
      <c r="Q1421" t="s">
        <v>570</v>
      </c>
      <c r="R1421" s="546" t="s">
        <v>804</v>
      </c>
    </row>
    <row r="1422" spans="1:18" x14ac:dyDescent="0.3">
      <c r="A1422" t="s">
        <v>627</v>
      </c>
      <c r="B1422" s="16">
        <v>45818</v>
      </c>
      <c r="C1422" t="s">
        <v>3</v>
      </c>
      <c r="D1422" t="s">
        <v>140</v>
      </c>
      <c r="E1422">
        <v>8</v>
      </c>
      <c r="F1422">
        <v>5</v>
      </c>
      <c r="G1422">
        <v>0</v>
      </c>
      <c r="H1422">
        <v>0</v>
      </c>
      <c r="I1422">
        <v>1490</v>
      </c>
      <c r="J1422">
        <v>1</v>
      </c>
      <c r="K1422">
        <v>1490</v>
      </c>
      <c r="L1422">
        <v>1</v>
      </c>
      <c r="M1422">
        <v>3</v>
      </c>
      <c r="N1422">
        <v>7</v>
      </c>
      <c r="O1422">
        <f t="shared" si="44"/>
        <v>2025</v>
      </c>
      <c r="P1422">
        <f t="shared" si="45"/>
        <v>6</v>
      </c>
      <c r="Q1422" t="s">
        <v>570</v>
      </c>
      <c r="R1422" s="546" t="s">
        <v>804</v>
      </c>
    </row>
    <row r="1423" spans="1:18" x14ac:dyDescent="0.3">
      <c r="A1423" t="s">
        <v>627</v>
      </c>
      <c r="B1423" s="16">
        <v>45818</v>
      </c>
      <c r="C1423" t="s">
        <v>3</v>
      </c>
      <c r="D1423" t="s">
        <v>139</v>
      </c>
      <c r="E1423">
        <v>500</v>
      </c>
      <c r="F1423">
        <v>307</v>
      </c>
      <c r="G1423">
        <v>28</v>
      </c>
      <c r="H1423">
        <v>8</v>
      </c>
      <c r="I1423">
        <v>44870.78</v>
      </c>
      <c r="J1423">
        <v>18</v>
      </c>
      <c r="K1423">
        <v>34767.78</v>
      </c>
      <c r="L1423">
        <v>14</v>
      </c>
      <c r="M1423">
        <v>198</v>
      </c>
      <c r="N1423">
        <v>318</v>
      </c>
      <c r="O1423">
        <f t="shared" si="44"/>
        <v>2025</v>
      </c>
      <c r="P1423">
        <f t="shared" si="45"/>
        <v>6</v>
      </c>
      <c r="Q1423" t="s">
        <v>570</v>
      </c>
      <c r="R1423" s="546" t="s">
        <v>804</v>
      </c>
    </row>
    <row r="1424" spans="1:18" x14ac:dyDescent="0.3">
      <c r="A1424" t="s">
        <v>627</v>
      </c>
      <c r="B1424" s="16">
        <v>45818</v>
      </c>
      <c r="C1424" t="s">
        <v>3</v>
      </c>
      <c r="D1424" t="s">
        <v>138</v>
      </c>
      <c r="E1424">
        <v>8</v>
      </c>
      <c r="F1424">
        <v>5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2</v>
      </c>
      <c r="N1424">
        <v>6</v>
      </c>
      <c r="O1424">
        <f t="shared" si="44"/>
        <v>2025</v>
      </c>
      <c r="P1424">
        <f t="shared" si="45"/>
        <v>6</v>
      </c>
      <c r="Q1424" t="s">
        <v>570</v>
      </c>
      <c r="R1424" s="546" t="s">
        <v>804</v>
      </c>
    </row>
    <row r="1425" spans="1:18" x14ac:dyDescent="0.3">
      <c r="A1425" t="s">
        <v>627</v>
      </c>
      <c r="B1425" s="16">
        <v>45818</v>
      </c>
      <c r="C1425" t="s">
        <v>3</v>
      </c>
      <c r="D1425" t="s">
        <v>135</v>
      </c>
      <c r="E1425">
        <v>20</v>
      </c>
      <c r="F1425">
        <v>10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12</v>
      </c>
      <c r="O1425">
        <f t="shared" si="44"/>
        <v>2025</v>
      </c>
      <c r="P1425">
        <f t="shared" si="45"/>
        <v>6</v>
      </c>
      <c r="Q1425" t="s">
        <v>570</v>
      </c>
      <c r="R1425" s="546" t="s">
        <v>804</v>
      </c>
    </row>
    <row r="1426" spans="1:18" x14ac:dyDescent="0.3">
      <c r="A1426" t="s">
        <v>627</v>
      </c>
      <c r="B1426" s="16">
        <v>45818</v>
      </c>
      <c r="C1426" t="s">
        <v>3</v>
      </c>
      <c r="D1426" t="s">
        <v>133</v>
      </c>
      <c r="E1426">
        <v>29</v>
      </c>
      <c r="F1426">
        <v>19</v>
      </c>
      <c r="G1426">
        <v>4</v>
      </c>
      <c r="H1426">
        <v>0</v>
      </c>
      <c r="I1426">
        <v>4550</v>
      </c>
      <c r="J1426">
        <v>3</v>
      </c>
      <c r="K1426">
        <v>4550</v>
      </c>
      <c r="L1426">
        <v>3</v>
      </c>
      <c r="M1426">
        <v>11</v>
      </c>
      <c r="N1426">
        <v>23</v>
      </c>
      <c r="O1426">
        <f t="shared" si="44"/>
        <v>2025</v>
      </c>
      <c r="P1426">
        <f t="shared" si="45"/>
        <v>6</v>
      </c>
      <c r="Q1426" t="s">
        <v>570</v>
      </c>
      <c r="R1426" s="546" t="s">
        <v>804</v>
      </c>
    </row>
    <row r="1427" spans="1:18" x14ac:dyDescent="0.3">
      <c r="A1427" t="s">
        <v>627</v>
      </c>
      <c r="B1427" s="16">
        <v>45818</v>
      </c>
      <c r="C1427" t="s">
        <v>3</v>
      </c>
      <c r="D1427" t="s">
        <v>130</v>
      </c>
      <c r="E1427">
        <v>110</v>
      </c>
      <c r="F1427">
        <v>38</v>
      </c>
      <c r="G1427">
        <v>9</v>
      </c>
      <c r="H1427">
        <v>1</v>
      </c>
      <c r="I1427">
        <v>13900</v>
      </c>
      <c r="J1427">
        <v>5</v>
      </c>
      <c r="K1427">
        <v>11505</v>
      </c>
      <c r="L1427">
        <v>4</v>
      </c>
      <c r="M1427">
        <v>41</v>
      </c>
      <c r="N1427">
        <v>96</v>
      </c>
      <c r="O1427">
        <f t="shared" si="44"/>
        <v>2025</v>
      </c>
      <c r="P1427">
        <f t="shared" si="45"/>
        <v>6</v>
      </c>
      <c r="Q1427" t="s">
        <v>570</v>
      </c>
      <c r="R1427" s="546" t="s">
        <v>804</v>
      </c>
    </row>
    <row r="1428" spans="1:18" x14ac:dyDescent="0.3">
      <c r="A1428" t="s">
        <v>627</v>
      </c>
      <c r="B1428" s="16">
        <v>45818</v>
      </c>
      <c r="C1428" t="s">
        <v>3</v>
      </c>
      <c r="D1428" t="s">
        <v>128</v>
      </c>
      <c r="E1428">
        <v>819</v>
      </c>
      <c r="F1428">
        <v>621</v>
      </c>
      <c r="G1428">
        <v>37</v>
      </c>
      <c r="H1428">
        <v>10</v>
      </c>
      <c r="I1428">
        <v>39718.22</v>
      </c>
      <c r="J1428">
        <v>12</v>
      </c>
      <c r="K1428">
        <v>27688.22</v>
      </c>
      <c r="L1428">
        <v>10</v>
      </c>
      <c r="M1428">
        <v>388</v>
      </c>
      <c r="N1428">
        <v>572</v>
      </c>
      <c r="O1428">
        <f t="shared" si="44"/>
        <v>2025</v>
      </c>
      <c r="P1428">
        <f t="shared" si="45"/>
        <v>6</v>
      </c>
      <c r="Q1428" t="s">
        <v>570</v>
      </c>
      <c r="R1428" s="546" t="s">
        <v>804</v>
      </c>
    </row>
    <row r="1429" spans="1:18" x14ac:dyDescent="0.3">
      <c r="A1429" t="s">
        <v>627</v>
      </c>
      <c r="B1429" s="16">
        <v>45818</v>
      </c>
      <c r="C1429" t="s">
        <v>3</v>
      </c>
      <c r="D1429" t="s">
        <v>127</v>
      </c>
      <c r="E1429">
        <v>4040</v>
      </c>
      <c r="F1429">
        <v>3061</v>
      </c>
      <c r="G1429">
        <v>37</v>
      </c>
      <c r="H1429">
        <v>12</v>
      </c>
      <c r="I1429">
        <v>28455</v>
      </c>
      <c r="J1429">
        <v>10</v>
      </c>
      <c r="K1429">
        <v>14019</v>
      </c>
      <c r="L1429">
        <v>6</v>
      </c>
      <c r="M1429">
        <v>159</v>
      </c>
      <c r="N1429">
        <v>3269</v>
      </c>
      <c r="O1429">
        <f t="shared" si="44"/>
        <v>2025</v>
      </c>
      <c r="P1429">
        <f t="shared" si="45"/>
        <v>6</v>
      </c>
      <c r="Q1429" t="s">
        <v>570</v>
      </c>
      <c r="R1429" s="546" t="s">
        <v>804</v>
      </c>
    </row>
    <row r="1430" spans="1:18" x14ac:dyDescent="0.3">
      <c r="A1430" t="s">
        <v>627</v>
      </c>
      <c r="B1430" s="16">
        <v>45818</v>
      </c>
      <c r="C1430" t="s">
        <v>3</v>
      </c>
      <c r="D1430" t="s">
        <v>126</v>
      </c>
      <c r="E1430">
        <v>97</v>
      </c>
      <c r="F1430">
        <v>66</v>
      </c>
      <c r="G1430">
        <v>8</v>
      </c>
      <c r="H1430">
        <v>3</v>
      </c>
      <c r="I1430">
        <v>1680</v>
      </c>
      <c r="J1430">
        <v>1</v>
      </c>
      <c r="K1430">
        <v>1680</v>
      </c>
      <c r="L1430">
        <v>1</v>
      </c>
      <c r="M1430">
        <v>13</v>
      </c>
      <c r="N1430">
        <v>93</v>
      </c>
      <c r="O1430">
        <f t="shared" si="44"/>
        <v>2025</v>
      </c>
      <c r="P1430">
        <f t="shared" si="45"/>
        <v>6</v>
      </c>
      <c r="Q1430" t="s">
        <v>570</v>
      </c>
      <c r="R1430" s="546" t="s">
        <v>804</v>
      </c>
    </row>
    <row r="1431" spans="1:18" x14ac:dyDescent="0.3">
      <c r="A1431" t="s">
        <v>627</v>
      </c>
      <c r="B1431" s="16">
        <v>45818</v>
      </c>
      <c r="C1431" t="s">
        <v>3</v>
      </c>
      <c r="D1431" t="s">
        <v>125</v>
      </c>
      <c r="E1431">
        <v>4</v>
      </c>
      <c r="F1431">
        <v>3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4</v>
      </c>
      <c r="O1431">
        <f t="shared" si="44"/>
        <v>2025</v>
      </c>
      <c r="P1431">
        <f t="shared" si="45"/>
        <v>6</v>
      </c>
      <c r="Q1431" t="s">
        <v>570</v>
      </c>
      <c r="R1431" s="546" t="s">
        <v>804</v>
      </c>
    </row>
    <row r="1432" spans="1:18" x14ac:dyDescent="0.3">
      <c r="A1432" t="s">
        <v>627</v>
      </c>
      <c r="B1432" s="16">
        <v>45818</v>
      </c>
      <c r="C1432" t="s">
        <v>3</v>
      </c>
      <c r="D1432" t="s">
        <v>123</v>
      </c>
      <c r="E1432">
        <v>156</v>
      </c>
      <c r="F1432">
        <v>77</v>
      </c>
      <c r="G1432">
        <v>5</v>
      </c>
      <c r="H1432">
        <v>2</v>
      </c>
      <c r="I1432">
        <v>15716</v>
      </c>
      <c r="J1432">
        <v>4</v>
      </c>
      <c r="K1432">
        <v>4625</v>
      </c>
      <c r="L1432">
        <v>2</v>
      </c>
      <c r="M1432">
        <v>50</v>
      </c>
      <c r="N1432">
        <v>138</v>
      </c>
      <c r="O1432">
        <f t="shared" si="44"/>
        <v>2025</v>
      </c>
      <c r="P1432">
        <f t="shared" si="45"/>
        <v>6</v>
      </c>
      <c r="Q1432" t="s">
        <v>570</v>
      </c>
      <c r="R1432" s="546" t="s">
        <v>804</v>
      </c>
    </row>
    <row r="1433" spans="1:18" x14ac:dyDescent="0.3">
      <c r="A1433" t="s">
        <v>627</v>
      </c>
      <c r="B1433" s="16">
        <v>45818</v>
      </c>
      <c r="C1433" t="s">
        <v>3</v>
      </c>
      <c r="D1433" t="s">
        <v>121</v>
      </c>
      <c r="E1433">
        <v>1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f t="shared" si="44"/>
        <v>2025</v>
      </c>
      <c r="P1433">
        <f t="shared" si="45"/>
        <v>6</v>
      </c>
      <c r="Q1433" t="s">
        <v>570</v>
      </c>
      <c r="R1433" s="546" t="s">
        <v>804</v>
      </c>
    </row>
    <row r="1434" spans="1:18" x14ac:dyDescent="0.3">
      <c r="A1434" t="s">
        <v>627</v>
      </c>
      <c r="B1434" s="16">
        <v>45818</v>
      </c>
      <c r="C1434" t="s">
        <v>3</v>
      </c>
      <c r="D1434" t="s">
        <v>119</v>
      </c>
      <c r="E1434">
        <v>201</v>
      </c>
      <c r="F1434">
        <v>60</v>
      </c>
      <c r="G1434">
        <v>15</v>
      </c>
      <c r="H1434">
        <v>1</v>
      </c>
      <c r="I1434">
        <v>21512</v>
      </c>
      <c r="J1434">
        <v>8</v>
      </c>
      <c r="K1434">
        <v>16722</v>
      </c>
      <c r="L1434">
        <v>7</v>
      </c>
      <c r="M1434">
        <v>44</v>
      </c>
      <c r="N1434">
        <v>195</v>
      </c>
      <c r="O1434">
        <f t="shared" si="44"/>
        <v>2025</v>
      </c>
      <c r="P1434">
        <f t="shared" si="45"/>
        <v>6</v>
      </c>
      <c r="Q1434" t="s">
        <v>570</v>
      </c>
      <c r="R1434" s="546" t="s">
        <v>804</v>
      </c>
    </row>
    <row r="1435" spans="1:18" x14ac:dyDescent="0.3">
      <c r="A1435" t="s">
        <v>627</v>
      </c>
      <c r="B1435" s="16">
        <v>45818</v>
      </c>
      <c r="C1435" t="s">
        <v>3</v>
      </c>
      <c r="D1435" t="s">
        <v>583</v>
      </c>
      <c r="E1435">
        <v>2</v>
      </c>
      <c r="F1435">
        <v>2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2</v>
      </c>
      <c r="O1435">
        <f t="shared" si="44"/>
        <v>2025</v>
      </c>
      <c r="P1435">
        <f t="shared" si="45"/>
        <v>6</v>
      </c>
      <c r="Q1435" t="s">
        <v>570</v>
      </c>
      <c r="R1435" s="546" t="s">
        <v>804</v>
      </c>
    </row>
    <row r="1436" spans="1:18" x14ac:dyDescent="0.3">
      <c r="A1436" t="s">
        <v>627</v>
      </c>
      <c r="B1436" s="16">
        <v>45818</v>
      </c>
      <c r="C1436" t="s">
        <v>3</v>
      </c>
      <c r="D1436" t="s">
        <v>252</v>
      </c>
      <c r="E1436">
        <v>5</v>
      </c>
      <c r="F1436">
        <v>5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5</v>
      </c>
      <c r="O1436">
        <f t="shared" si="44"/>
        <v>2025</v>
      </c>
      <c r="P1436">
        <f t="shared" si="45"/>
        <v>6</v>
      </c>
      <c r="Q1436" t="s">
        <v>570</v>
      </c>
      <c r="R1436" s="546" t="s">
        <v>804</v>
      </c>
    </row>
    <row r="1437" spans="1:18" x14ac:dyDescent="0.3">
      <c r="A1437" t="s">
        <v>627</v>
      </c>
      <c r="B1437" s="16">
        <v>45818</v>
      </c>
      <c r="C1437" t="s">
        <v>3</v>
      </c>
      <c r="D1437" t="s">
        <v>391</v>
      </c>
      <c r="E1437">
        <v>393</v>
      </c>
      <c r="F1437">
        <v>215</v>
      </c>
      <c r="G1437">
        <v>12</v>
      </c>
      <c r="H1437">
        <v>1</v>
      </c>
      <c r="I1437">
        <v>11624</v>
      </c>
      <c r="J1437">
        <v>3</v>
      </c>
      <c r="K1437">
        <v>9249</v>
      </c>
      <c r="L1437">
        <v>3</v>
      </c>
      <c r="M1437">
        <v>60</v>
      </c>
      <c r="N1437">
        <v>377</v>
      </c>
      <c r="O1437">
        <f t="shared" si="44"/>
        <v>2025</v>
      </c>
      <c r="P1437">
        <f t="shared" si="45"/>
        <v>6</v>
      </c>
      <c r="Q1437" t="s">
        <v>570</v>
      </c>
      <c r="R1437" s="546" t="s">
        <v>804</v>
      </c>
    </row>
    <row r="1438" spans="1:18" x14ac:dyDescent="0.3">
      <c r="A1438" t="s">
        <v>627</v>
      </c>
      <c r="B1438" s="16">
        <v>45818</v>
      </c>
      <c r="C1438" t="s">
        <v>3</v>
      </c>
      <c r="D1438" t="s">
        <v>114</v>
      </c>
      <c r="E1438">
        <v>171</v>
      </c>
      <c r="F1438">
        <v>109</v>
      </c>
      <c r="G1438">
        <v>2</v>
      </c>
      <c r="H1438">
        <v>3</v>
      </c>
      <c r="I1438">
        <v>0</v>
      </c>
      <c r="J1438">
        <v>0</v>
      </c>
      <c r="K1438">
        <v>0</v>
      </c>
      <c r="L1438">
        <v>0</v>
      </c>
      <c r="M1438">
        <v>13</v>
      </c>
      <c r="N1438">
        <v>168</v>
      </c>
      <c r="O1438">
        <f t="shared" si="44"/>
        <v>2025</v>
      </c>
      <c r="P1438">
        <f t="shared" si="45"/>
        <v>6</v>
      </c>
      <c r="Q1438" t="s">
        <v>570</v>
      </c>
      <c r="R1438" s="546" t="s">
        <v>804</v>
      </c>
    </row>
    <row r="1439" spans="1:18" x14ac:dyDescent="0.3">
      <c r="A1439" t="s">
        <v>627</v>
      </c>
      <c r="B1439" s="16">
        <v>45818</v>
      </c>
      <c r="C1439" t="s">
        <v>3</v>
      </c>
      <c r="D1439" t="s">
        <v>113</v>
      </c>
      <c r="E1439">
        <v>96</v>
      </c>
      <c r="F1439">
        <v>51</v>
      </c>
      <c r="G1439">
        <v>4</v>
      </c>
      <c r="H1439">
        <v>1</v>
      </c>
      <c r="I1439">
        <v>0</v>
      </c>
      <c r="J1439">
        <v>0</v>
      </c>
      <c r="K1439">
        <v>0</v>
      </c>
      <c r="L1439">
        <v>0</v>
      </c>
      <c r="M1439">
        <v>78</v>
      </c>
      <c r="N1439">
        <v>47</v>
      </c>
      <c r="O1439">
        <f t="shared" si="44"/>
        <v>2025</v>
      </c>
      <c r="P1439">
        <f t="shared" si="45"/>
        <v>6</v>
      </c>
      <c r="Q1439" t="s">
        <v>570</v>
      </c>
      <c r="R1439" s="546" t="s">
        <v>804</v>
      </c>
    </row>
    <row r="1440" spans="1:18" x14ac:dyDescent="0.3">
      <c r="A1440" t="s">
        <v>627</v>
      </c>
      <c r="B1440" s="16">
        <v>45818</v>
      </c>
      <c r="C1440" t="s">
        <v>3</v>
      </c>
      <c r="D1440" t="s">
        <v>112</v>
      </c>
      <c r="E1440">
        <v>25</v>
      </c>
      <c r="F1440">
        <v>4</v>
      </c>
      <c r="G1440">
        <v>2</v>
      </c>
      <c r="H1440">
        <v>0</v>
      </c>
      <c r="I1440">
        <v>12430.22</v>
      </c>
      <c r="J1440">
        <v>4</v>
      </c>
      <c r="K1440">
        <v>12430.22</v>
      </c>
      <c r="L1440">
        <v>4</v>
      </c>
      <c r="M1440">
        <v>0</v>
      </c>
      <c r="N1440">
        <v>25</v>
      </c>
      <c r="O1440">
        <f t="shared" si="44"/>
        <v>2025</v>
      </c>
      <c r="P1440">
        <f t="shared" si="45"/>
        <v>6</v>
      </c>
      <c r="Q1440" t="s">
        <v>570</v>
      </c>
      <c r="R1440" s="546" t="s">
        <v>804</v>
      </c>
    </row>
    <row r="1441" spans="1:18" x14ac:dyDescent="0.3">
      <c r="A1441" t="s">
        <v>627</v>
      </c>
      <c r="B1441" s="16">
        <v>45818</v>
      </c>
      <c r="C1441" t="s">
        <v>3</v>
      </c>
      <c r="D1441" t="s">
        <v>111</v>
      </c>
      <c r="E1441">
        <v>1</v>
      </c>
      <c r="F1441">
        <v>1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1</v>
      </c>
      <c r="O1441">
        <f t="shared" si="44"/>
        <v>2025</v>
      </c>
      <c r="P1441">
        <f t="shared" si="45"/>
        <v>6</v>
      </c>
      <c r="Q1441" t="s">
        <v>570</v>
      </c>
      <c r="R1441" s="546" t="s">
        <v>804</v>
      </c>
    </row>
    <row r="1442" spans="1:18" x14ac:dyDescent="0.3">
      <c r="A1442" t="s">
        <v>627</v>
      </c>
      <c r="B1442" s="16">
        <v>45817</v>
      </c>
      <c r="C1442" t="s">
        <v>2</v>
      </c>
      <c r="D1442" t="s">
        <v>4</v>
      </c>
      <c r="E1442">
        <v>300</v>
      </c>
      <c r="F1442">
        <v>79</v>
      </c>
      <c r="G1442">
        <v>4</v>
      </c>
      <c r="H1442">
        <v>0</v>
      </c>
      <c r="I1442">
        <v>4407</v>
      </c>
      <c r="J1442">
        <v>2</v>
      </c>
      <c r="K1442">
        <v>4407</v>
      </c>
      <c r="L1442">
        <v>2</v>
      </c>
      <c r="M1442">
        <v>2</v>
      </c>
      <c r="N1442">
        <v>300</v>
      </c>
      <c r="O1442">
        <f t="shared" si="44"/>
        <v>2025</v>
      </c>
      <c r="P1442">
        <f t="shared" si="45"/>
        <v>6</v>
      </c>
      <c r="Q1442" t="s">
        <v>570</v>
      </c>
      <c r="R1442" s="546" t="s">
        <v>804</v>
      </c>
    </row>
    <row r="1443" spans="1:18" x14ac:dyDescent="0.3">
      <c r="A1443" t="s">
        <v>627</v>
      </c>
      <c r="B1443" s="16">
        <v>45817</v>
      </c>
      <c r="C1443" t="s">
        <v>2</v>
      </c>
      <c r="D1443" t="s">
        <v>57</v>
      </c>
      <c r="E1443">
        <v>15593</v>
      </c>
      <c r="F1443">
        <v>9750</v>
      </c>
      <c r="G1443">
        <v>218</v>
      </c>
      <c r="H1443">
        <v>211</v>
      </c>
      <c r="I1443">
        <v>103653.7</v>
      </c>
      <c r="J1443">
        <v>30</v>
      </c>
      <c r="K1443">
        <v>72315.850000000006</v>
      </c>
      <c r="L1443">
        <v>24</v>
      </c>
      <c r="M1443">
        <v>1122</v>
      </c>
      <c r="N1443">
        <v>15309</v>
      </c>
      <c r="O1443">
        <f t="shared" si="44"/>
        <v>2025</v>
      </c>
      <c r="P1443">
        <f t="shared" si="45"/>
        <v>6</v>
      </c>
      <c r="Q1443" t="s">
        <v>570</v>
      </c>
      <c r="R1443" s="546" t="s">
        <v>804</v>
      </c>
    </row>
    <row r="1444" spans="1:18" x14ac:dyDescent="0.3">
      <c r="A1444" t="s">
        <v>627</v>
      </c>
      <c r="B1444" s="16">
        <v>45817</v>
      </c>
      <c r="C1444" t="s">
        <v>2</v>
      </c>
      <c r="D1444" t="s">
        <v>52</v>
      </c>
      <c r="E1444">
        <v>2</v>
      </c>
      <c r="F1444">
        <v>2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2</v>
      </c>
      <c r="N1444">
        <v>1</v>
      </c>
      <c r="O1444">
        <f t="shared" si="44"/>
        <v>2025</v>
      </c>
      <c r="P1444">
        <f t="shared" si="45"/>
        <v>6</v>
      </c>
      <c r="Q1444" t="s">
        <v>570</v>
      </c>
      <c r="R1444" s="546" t="s">
        <v>804</v>
      </c>
    </row>
    <row r="1445" spans="1:18" x14ac:dyDescent="0.3">
      <c r="A1445" t="s">
        <v>627</v>
      </c>
      <c r="B1445" s="16">
        <v>45817</v>
      </c>
      <c r="C1445" t="s">
        <v>2</v>
      </c>
      <c r="D1445" t="s">
        <v>55</v>
      </c>
      <c r="E1445">
        <v>4</v>
      </c>
      <c r="F1445">
        <v>4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4</v>
      </c>
      <c r="O1445">
        <f t="shared" si="44"/>
        <v>2025</v>
      </c>
      <c r="P1445">
        <f t="shared" si="45"/>
        <v>6</v>
      </c>
      <c r="Q1445" t="s">
        <v>570</v>
      </c>
      <c r="R1445" s="546" t="s">
        <v>804</v>
      </c>
    </row>
    <row r="1446" spans="1:18" x14ac:dyDescent="0.3">
      <c r="A1446" t="s">
        <v>627</v>
      </c>
      <c r="B1446" s="16">
        <v>45817</v>
      </c>
      <c r="C1446" t="s">
        <v>3</v>
      </c>
      <c r="D1446" t="s">
        <v>154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</v>
      </c>
      <c r="O1446">
        <f t="shared" si="44"/>
        <v>2025</v>
      </c>
      <c r="P1446">
        <f t="shared" si="45"/>
        <v>6</v>
      </c>
      <c r="Q1446" t="s">
        <v>570</v>
      </c>
      <c r="R1446" s="546" t="s">
        <v>804</v>
      </c>
    </row>
    <row r="1447" spans="1:18" x14ac:dyDescent="0.3">
      <c r="A1447" t="s">
        <v>627</v>
      </c>
      <c r="B1447" s="16">
        <v>45817</v>
      </c>
      <c r="C1447" t="s">
        <v>3</v>
      </c>
      <c r="D1447" t="s">
        <v>153</v>
      </c>
      <c r="E1447">
        <v>299</v>
      </c>
      <c r="F1447">
        <v>84</v>
      </c>
      <c r="G1447">
        <v>38</v>
      </c>
      <c r="H1447">
        <v>2</v>
      </c>
      <c r="I1447">
        <v>86065</v>
      </c>
      <c r="J1447">
        <v>22</v>
      </c>
      <c r="K1447">
        <v>77805</v>
      </c>
      <c r="L1447">
        <v>22</v>
      </c>
      <c r="M1447">
        <v>75</v>
      </c>
      <c r="N1447">
        <v>289</v>
      </c>
      <c r="O1447">
        <f t="shared" si="44"/>
        <v>2025</v>
      </c>
      <c r="P1447">
        <f t="shared" si="45"/>
        <v>6</v>
      </c>
      <c r="Q1447" t="s">
        <v>570</v>
      </c>
      <c r="R1447" s="546" t="s">
        <v>804</v>
      </c>
    </row>
    <row r="1448" spans="1:18" x14ac:dyDescent="0.3">
      <c r="A1448" t="s">
        <v>627</v>
      </c>
      <c r="B1448" s="16">
        <v>45817</v>
      </c>
      <c r="C1448" t="s">
        <v>3</v>
      </c>
      <c r="D1448" t="s">
        <v>152</v>
      </c>
      <c r="E1448">
        <v>15</v>
      </c>
      <c r="F1448">
        <v>6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15</v>
      </c>
      <c r="O1448">
        <f t="shared" si="44"/>
        <v>2025</v>
      </c>
      <c r="P1448">
        <f t="shared" si="45"/>
        <v>6</v>
      </c>
      <c r="Q1448" t="s">
        <v>570</v>
      </c>
      <c r="R1448" s="546" t="s">
        <v>804</v>
      </c>
    </row>
    <row r="1449" spans="1:18" x14ac:dyDescent="0.3">
      <c r="A1449" t="s">
        <v>627</v>
      </c>
      <c r="B1449" s="16">
        <v>45817</v>
      </c>
      <c r="C1449" t="s">
        <v>3</v>
      </c>
      <c r="D1449" t="s">
        <v>150</v>
      </c>
      <c r="E1449">
        <v>2</v>
      </c>
      <c r="F1449">
        <v>1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2</v>
      </c>
      <c r="O1449">
        <f t="shared" si="44"/>
        <v>2025</v>
      </c>
      <c r="P1449">
        <f t="shared" si="45"/>
        <v>6</v>
      </c>
      <c r="Q1449" t="s">
        <v>570</v>
      </c>
      <c r="R1449" s="546" t="s">
        <v>804</v>
      </c>
    </row>
    <row r="1450" spans="1:18" x14ac:dyDescent="0.3">
      <c r="A1450" t="s">
        <v>627</v>
      </c>
      <c r="B1450" s="16">
        <v>45817</v>
      </c>
      <c r="C1450" t="s">
        <v>3</v>
      </c>
      <c r="D1450" t="s">
        <v>149</v>
      </c>
      <c r="E1450">
        <v>2</v>
      </c>
      <c r="F1450">
        <v>2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2</v>
      </c>
      <c r="O1450">
        <f t="shared" si="44"/>
        <v>2025</v>
      </c>
      <c r="P1450">
        <f t="shared" si="45"/>
        <v>6</v>
      </c>
      <c r="Q1450" t="s">
        <v>570</v>
      </c>
      <c r="R1450" s="546" t="s">
        <v>804</v>
      </c>
    </row>
    <row r="1451" spans="1:18" x14ac:dyDescent="0.3">
      <c r="A1451" t="s">
        <v>627</v>
      </c>
      <c r="B1451" s="16">
        <v>45817</v>
      </c>
      <c r="C1451" t="s">
        <v>3</v>
      </c>
      <c r="D1451" t="s">
        <v>630</v>
      </c>
      <c r="E1451">
        <v>7</v>
      </c>
      <c r="F1451">
        <v>1</v>
      </c>
      <c r="G1451">
        <v>2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2</v>
      </c>
      <c r="N1451">
        <v>7</v>
      </c>
      <c r="O1451">
        <f t="shared" si="44"/>
        <v>2025</v>
      </c>
      <c r="P1451">
        <f t="shared" si="45"/>
        <v>6</v>
      </c>
      <c r="Q1451" t="s">
        <v>570</v>
      </c>
      <c r="R1451" s="546" t="s">
        <v>804</v>
      </c>
    </row>
    <row r="1452" spans="1:18" x14ac:dyDescent="0.3">
      <c r="A1452" t="s">
        <v>627</v>
      </c>
      <c r="B1452" s="16">
        <v>45817</v>
      </c>
      <c r="C1452" t="s">
        <v>3</v>
      </c>
      <c r="D1452" t="s">
        <v>251</v>
      </c>
      <c r="E1452">
        <v>196</v>
      </c>
      <c r="F1452">
        <v>87</v>
      </c>
      <c r="G1452">
        <v>8</v>
      </c>
      <c r="H1452">
        <v>1</v>
      </c>
      <c r="I1452">
        <v>25190.98</v>
      </c>
      <c r="J1452">
        <v>6</v>
      </c>
      <c r="K1452">
        <v>19309.490000000002</v>
      </c>
      <c r="L1452">
        <v>6</v>
      </c>
      <c r="M1452">
        <v>78</v>
      </c>
      <c r="N1452">
        <v>152</v>
      </c>
      <c r="O1452">
        <f t="shared" si="44"/>
        <v>2025</v>
      </c>
      <c r="P1452">
        <f t="shared" si="45"/>
        <v>6</v>
      </c>
      <c r="Q1452" t="s">
        <v>570</v>
      </c>
      <c r="R1452" s="546" t="s">
        <v>804</v>
      </c>
    </row>
    <row r="1453" spans="1:18" x14ac:dyDescent="0.3">
      <c r="A1453" t="s">
        <v>627</v>
      </c>
      <c r="B1453" s="16">
        <v>45817</v>
      </c>
      <c r="C1453" t="s">
        <v>3</v>
      </c>
      <c r="D1453" t="s">
        <v>143</v>
      </c>
      <c r="E1453">
        <v>14</v>
      </c>
      <c r="F1453">
        <v>11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13</v>
      </c>
      <c r="O1453">
        <f t="shared" si="44"/>
        <v>2025</v>
      </c>
      <c r="P1453">
        <f t="shared" si="45"/>
        <v>6</v>
      </c>
      <c r="Q1453" t="s">
        <v>570</v>
      </c>
      <c r="R1453" s="546" t="s">
        <v>804</v>
      </c>
    </row>
    <row r="1454" spans="1:18" x14ac:dyDescent="0.3">
      <c r="A1454" t="s">
        <v>627</v>
      </c>
      <c r="B1454" s="16">
        <v>45817</v>
      </c>
      <c r="C1454" t="s">
        <v>3</v>
      </c>
      <c r="D1454" t="s">
        <v>141</v>
      </c>
      <c r="E1454">
        <v>263</v>
      </c>
      <c r="F1454">
        <v>160</v>
      </c>
      <c r="G1454">
        <v>4</v>
      </c>
      <c r="H1454">
        <v>0</v>
      </c>
      <c r="I1454">
        <v>3360</v>
      </c>
      <c r="J1454">
        <v>1</v>
      </c>
      <c r="K1454">
        <v>3360</v>
      </c>
      <c r="L1454">
        <v>1</v>
      </c>
      <c r="M1454">
        <v>0</v>
      </c>
      <c r="N1454">
        <v>263</v>
      </c>
      <c r="O1454">
        <f t="shared" si="44"/>
        <v>2025</v>
      </c>
      <c r="P1454">
        <f t="shared" si="45"/>
        <v>6</v>
      </c>
      <c r="Q1454" t="s">
        <v>570</v>
      </c>
      <c r="R1454" s="546" t="s">
        <v>804</v>
      </c>
    </row>
    <row r="1455" spans="1:18" x14ac:dyDescent="0.3">
      <c r="A1455" t="s">
        <v>627</v>
      </c>
      <c r="B1455" s="16">
        <v>45817</v>
      </c>
      <c r="C1455" t="s">
        <v>3</v>
      </c>
      <c r="D1455" t="s">
        <v>140</v>
      </c>
      <c r="E1455">
        <v>10</v>
      </c>
      <c r="F1455">
        <v>6</v>
      </c>
      <c r="G1455">
        <v>2</v>
      </c>
      <c r="H1455">
        <v>0</v>
      </c>
      <c r="I1455">
        <v>1917</v>
      </c>
      <c r="J1455">
        <v>1</v>
      </c>
      <c r="K1455">
        <v>1917</v>
      </c>
      <c r="L1455">
        <v>1</v>
      </c>
      <c r="M1455">
        <v>2</v>
      </c>
      <c r="N1455">
        <v>10</v>
      </c>
      <c r="O1455">
        <f t="shared" ref="O1455:O1518" si="46">YEAR(B1455)</f>
        <v>2025</v>
      </c>
      <c r="P1455">
        <f t="shared" ref="P1455:P1518" si="47">MONTH(B1455)</f>
        <v>6</v>
      </c>
      <c r="Q1455" t="s">
        <v>570</v>
      </c>
      <c r="R1455" s="546" t="s">
        <v>804</v>
      </c>
    </row>
    <row r="1456" spans="1:18" x14ac:dyDescent="0.3">
      <c r="A1456" t="s">
        <v>627</v>
      </c>
      <c r="B1456" s="16">
        <v>45817</v>
      </c>
      <c r="C1456" t="s">
        <v>3</v>
      </c>
      <c r="D1456" t="s">
        <v>139</v>
      </c>
      <c r="E1456">
        <v>500</v>
      </c>
      <c r="F1456">
        <v>300</v>
      </c>
      <c r="G1456">
        <v>42</v>
      </c>
      <c r="H1456">
        <v>6</v>
      </c>
      <c r="I1456">
        <v>82287</v>
      </c>
      <c r="J1456">
        <v>21</v>
      </c>
      <c r="K1456">
        <v>51667</v>
      </c>
      <c r="L1456">
        <v>17</v>
      </c>
      <c r="M1456">
        <v>203</v>
      </c>
      <c r="N1456">
        <v>417</v>
      </c>
      <c r="O1456">
        <f t="shared" si="46"/>
        <v>2025</v>
      </c>
      <c r="P1456">
        <f t="shared" si="47"/>
        <v>6</v>
      </c>
      <c r="Q1456" t="s">
        <v>570</v>
      </c>
      <c r="R1456" s="546" t="s">
        <v>804</v>
      </c>
    </row>
    <row r="1457" spans="1:18" x14ac:dyDescent="0.3">
      <c r="A1457" t="s">
        <v>627</v>
      </c>
      <c r="B1457" s="16">
        <v>45817</v>
      </c>
      <c r="C1457" t="s">
        <v>3</v>
      </c>
      <c r="D1457" t="s">
        <v>138</v>
      </c>
      <c r="E1457">
        <v>5</v>
      </c>
      <c r="F1457">
        <v>4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5</v>
      </c>
      <c r="O1457">
        <f t="shared" si="46"/>
        <v>2025</v>
      </c>
      <c r="P1457">
        <f t="shared" si="47"/>
        <v>6</v>
      </c>
      <c r="Q1457" t="s">
        <v>570</v>
      </c>
      <c r="R1457" s="546" t="s">
        <v>804</v>
      </c>
    </row>
    <row r="1458" spans="1:18" x14ac:dyDescent="0.3">
      <c r="A1458" t="s">
        <v>627</v>
      </c>
      <c r="B1458" s="16">
        <v>45817</v>
      </c>
      <c r="C1458" t="s">
        <v>3</v>
      </c>
      <c r="D1458" t="s">
        <v>135</v>
      </c>
      <c r="E1458">
        <v>7</v>
      </c>
      <c r="F1458">
        <v>1</v>
      </c>
      <c r="G1458">
        <v>2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2</v>
      </c>
      <c r="N1458">
        <v>7</v>
      </c>
      <c r="O1458">
        <f t="shared" si="46"/>
        <v>2025</v>
      </c>
      <c r="P1458">
        <f t="shared" si="47"/>
        <v>6</v>
      </c>
      <c r="Q1458" t="s">
        <v>570</v>
      </c>
      <c r="R1458" s="546" t="s">
        <v>804</v>
      </c>
    </row>
    <row r="1459" spans="1:18" x14ac:dyDescent="0.3">
      <c r="A1459" t="s">
        <v>627</v>
      </c>
      <c r="B1459" s="16">
        <v>45817</v>
      </c>
      <c r="C1459" t="s">
        <v>3</v>
      </c>
      <c r="D1459" t="s">
        <v>133</v>
      </c>
      <c r="E1459">
        <v>18</v>
      </c>
      <c r="F1459">
        <v>13</v>
      </c>
      <c r="G1459">
        <v>1</v>
      </c>
      <c r="H1459">
        <v>0</v>
      </c>
      <c r="I1459">
        <v>2298</v>
      </c>
      <c r="J1459">
        <v>1</v>
      </c>
      <c r="K1459">
        <v>2298</v>
      </c>
      <c r="L1459">
        <v>1</v>
      </c>
      <c r="M1459">
        <v>5</v>
      </c>
      <c r="N1459">
        <v>17</v>
      </c>
      <c r="O1459">
        <f t="shared" si="46"/>
        <v>2025</v>
      </c>
      <c r="P1459">
        <f t="shared" si="47"/>
        <v>6</v>
      </c>
      <c r="Q1459" t="s">
        <v>570</v>
      </c>
      <c r="R1459" s="546" t="s">
        <v>804</v>
      </c>
    </row>
    <row r="1460" spans="1:18" x14ac:dyDescent="0.3">
      <c r="A1460" t="s">
        <v>627</v>
      </c>
      <c r="B1460" s="16">
        <v>45817</v>
      </c>
      <c r="C1460" t="s">
        <v>3</v>
      </c>
      <c r="D1460" t="s">
        <v>130</v>
      </c>
      <c r="E1460">
        <v>107</v>
      </c>
      <c r="F1460">
        <v>48</v>
      </c>
      <c r="G1460">
        <v>12</v>
      </c>
      <c r="H1460">
        <v>0</v>
      </c>
      <c r="I1460">
        <v>22046</v>
      </c>
      <c r="J1460">
        <v>6</v>
      </c>
      <c r="K1460">
        <v>17616</v>
      </c>
      <c r="L1460">
        <v>6</v>
      </c>
      <c r="M1460">
        <v>46</v>
      </c>
      <c r="N1460">
        <v>94</v>
      </c>
      <c r="O1460">
        <f t="shared" si="46"/>
        <v>2025</v>
      </c>
      <c r="P1460">
        <f t="shared" si="47"/>
        <v>6</v>
      </c>
      <c r="Q1460" t="s">
        <v>570</v>
      </c>
      <c r="R1460" s="546" t="s">
        <v>804</v>
      </c>
    </row>
    <row r="1461" spans="1:18" x14ac:dyDescent="0.3">
      <c r="A1461" t="s">
        <v>627</v>
      </c>
      <c r="B1461" s="16">
        <v>45817</v>
      </c>
      <c r="C1461" t="s">
        <v>3</v>
      </c>
      <c r="D1461" t="s">
        <v>128</v>
      </c>
      <c r="E1461">
        <v>819</v>
      </c>
      <c r="F1461">
        <v>593</v>
      </c>
      <c r="G1461">
        <v>41</v>
      </c>
      <c r="H1461">
        <v>5</v>
      </c>
      <c r="I1461">
        <v>24685</v>
      </c>
      <c r="J1461">
        <v>5</v>
      </c>
      <c r="K1461">
        <v>19665</v>
      </c>
      <c r="L1461">
        <v>4</v>
      </c>
      <c r="M1461">
        <v>366</v>
      </c>
      <c r="N1461">
        <v>608</v>
      </c>
      <c r="O1461">
        <f t="shared" si="46"/>
        <v>2025</v>
      </c>
      <c r="P1461">
        <f t="shared" si="47"/>
        <v>6</v>
      </c>
      <c r="Q1461" t="s">
        <v>570</v>
      </c>
      <c r="R1461" s="546" t="s">
        <v>804</v>
      </c>
    </row>
    <row r="1462" spans="1:18" x14ac:dyDescent="0.3">
      <c r="A1462" t="s">
        <v>627</v>
      </c>
      <c r="B1462" s="16">
        <v>45817</v>
      </c>
      <c r="C1462" t="s">
        <v>3</v>
      </c>
      <c r="D1462" t="s">
        <v>127</v>
      </c>
      <c r="E1462">
        <v>7255</v>
      </c>
      <c r="F1462">
        <v>6317</v>
      </c>
      <c r="G1462">
        <v>51</v>
      </c>
      <c r="H1462">
        <v>45</v>
      </c>
      <c r="I1462">
        <v>68410</v>
      </c>
      <c r="J1462">
        <v>7</v>
      </c>
      <c r="K1462">
        <v>8920</v>
      </c>
      <c r="L1462">
        <v>4</v>
      </c>
      <c r="M1462">
        <v>391</v>
      </c>
      <c r="N1462">
        <v>7197</v>
      </c>
      <c r="O1462">
        <f t="shared" si="46"/>
        <v>2025</v>
      </c>
      <c r="P1462">
        <f t="shared" si="47"/>
        <v>6</v>
      </c>
      <c r="Q1462" t="s">
        <v>570</v>
      </c>
      <c r="R1462" s="546" t="s">
        <v>804</v>
      </c>
    </row>
    <row r="1463" spans="1:18" x14ac:dyDescent="0.3">
      <c r="A1463" t="s">
        <v>627</v>
      </c>
      <c r="B1463" s="16">
        <v>45817</v>
      </c>
      <c r="C1463" t="s">
        <v>3</v>
      </c>
      <c r="D1463" t="s">
        <v>126</v>
      </c>
      <c r="E1463">
        <v>112</v>
      </c>
      <c r="F1463">
        <v>72</v>
      </c>
      <c r="G1463">
        <v>9</v>
      </c>
      <c r="H1463">
        <v>2</v>
      </c>
      <c r="I1463">
        <v>0</v>
      </c>
      <c r="J1463">
        <v>0</v>
      </c>
      <c r="K1463">
        <v>0</v>
      </c>
      <c r="L1463">
        <v>0</v>
      </c>
      <c r="M1463">
        <v>22</v>
      </c>
      <c r="N1463">
        <v>110</v>
      </c>
      <c r="O1463">
        <f t="shared" si="46"/>
        <v>2025</v>
      </c>
      <c r="P1463">
        <f t="shared" si="47"/>
        <v>6</v>
      </c>
      <c r="Q1463" t="s">
        <v>570</v>
      </c>
      <c r="R1463" s="546" t="s">
        <v>804</v>
      </c>
    </row>
    <row r="1464" spans="1:18" x14ac:dyDescent="0.3">
      <c r="A1464" t="s">
        <v>627</v>
      </c>
      <c r="B1464" s="16">
        <v>45817</v>
      </c>
      <c r="C1464" t="s">
        <v>3</v>
      </c>
      <c r="D1464" t="s">
        <v>125</v>
      </c>
      <c r="E1464">
        <v>4</v>
      </c>
      <c r="F1464">
        <v>2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</v>
      </c>
      <c r="N1464">
        <v>4</v>
      </c>
      <c r="O1464">
        <f t="shared" si="46"/>
        <v>2025</v>
      </c>
      <c r="P1464">
        <f t="shared" si="47"/>
        <v>6</v>
      </c>
      <c r="Q1464" t="s">
        <v>570</v>
      </c>
      <c r="R1464" s="546" t="s">
        <v>804</v>
      </c>
    </row>
    <row r="1465" spans="1:18" x14ac:dyDescent="0.3">
      <c r="A1465" t="s">
        <v>627</v>
      </c>
      <c r="B1465" s="16">
        <v>45817</v>
      </c>
      <c r="C1465" t="s">
        <v>3</v>
      </c>
      <c r="D1465" t="s">
        <v>123</v>
      </c>
      <c r="E1465">
        <v>241</v>
      </c>
      <c r="F1465">
        <v>148</v>
      </c>
      <c r="G1465">
        <v>12</v>
      </c>
      <c r="H1465">
        <v>8</v>
      </c>
      <c r="I1465">
        <v>7230</v>
      </c>
      <c r="J1465">
        <v>1</v>
      </c>
      <c r="K1465">
        <v>7230</v>
      </c>
      <c r="L1465">
        <v>1</v>
      </c>
      <c r="M1465">
        <v>67</v>
      </c>
      <c r="N1465">
        <v>223</v>
      </c>
      <c r="O1465">
        <f t="shared" si="46"/>
        <v>2025</v>
      </c>
      <c r="P1465">
        <f t="shared" si="47"/>
        <v>6</v>
      </c>
      <c r="Q1465" t="s">
        <v>570</v>
      </c>
      <c r="R1465" s="546" t="s">
        <v>804</v>
      </c>
    </row>
    <row r="1466" spans="1:18" x14ac:dyDescent="0.3">
      <c r="A1466" t="s">
        <v>627</v>
      </c>
      <c r="B1466" s="16">
        <v>45817</v>
      </c>
      <c r="C1466" t="s">
        <v>3</v>
      </c>
      <c r="D1466" t="s">
        <v>122</v>
      </c>
      <c r="E1466">
        <v>1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f t="shared" si="46"/>
        <v>2025</v>
      </c>
      <c r="P1466">
        <f t="shared" si="47"/>
        <v>6</v>
      </c>
      <c r="Q1466" t="s">
        <v>570</v>
      </c>
      <c r="R1466" s="546" t="s">
        <v>804</v>
      </c>
    </row>
    <row r="1467" spans="1:18" x14ac:dyDescent="0.3">
      <c r="A1467" t="s">
        <v>627</v>
      </c>
      <c r="B1467" s="16">
        <v>45817</v>
      </c>
      <c r="C1467" t="s">
        <v>3</v>
      </c>
      <c r="D1467" t="s">
        <v>119</v>
      </c>
      <c r="E1467">
        <v>211</v>
      </c>
      <c r="F1467">
        <v>54</v>
      </c>
      <c r="G1467">
        <v>18</v>
      </c>
      <c r="H1467">
        <v>5</v>
      </c>
      <c r="I1467">
        <v>47060</v>
      </c>
      <c r="J1467">
        <v>15</v>
      </c>
      <c r="K1467">
        <v>26245</v>
      </c>
      <c r="L1467">
        <v>12</v>
      </c>
      <c r="M1467">
        <v>57</v>
      </c>
      <c r="N1467">
        <v>202</v>
      </c>
      <c r="O1467">
        <f t="shared" si="46"/>
        <v>2025</v>
      </c>
      <c r="P1467">
        <f t="shared" si="47"/>
        <v>6</v>
      </c>
      <c r="Q1467" t="s">
        <v>570</v>
      </c>
      <c r="R1467" s="546" t="s">
        <v>804</v>
      </c>
    </row>
    <row r="1468" spans="1:18" x14ac:dyDescent="0.3">
      <c r="A1468" t="s">
        <v>627</v>
      </c>
      <c r="B1468" s="16">
        <v>45817</v>
      </c>
      <c r="C1468" t="s">
        <v>3</v>
      </c>
      <c r="D1468" t="s">
        <v>252</v>
      </c>
      <c r="E1468">
        <v>11</v>
      </c>
      <c r="F1468">
        <v>8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11</v>
      </c>
      <c r="O1468">
        <f t="shared" si="46"/>
        <v>2025</v>
      </c>
      <c r="P1468">
        <f t="shared" si="47"/>
        <v>6</v>
      </c>
      <c r="Q1468" t="s">
        <v>570</v>
      </c>
      <c r="R1468" s="546" t="s">
        <v>804</v>
      </c>
    </row>
    <row r="1469" spans="1:18" x14ac:dyDescent="0.3">
      <c r="A1469" t="s">
        <v>627</v>
      </c>
      <c r="B1469" s="16">
        <v>45817</v>
      </c>
      <c r="C1469" t="s">
        <v>3</v>
      </c>
      <c r="D1469" t="s">
        <v>391</v>
      </c>
      <c r="E1469">
        <v>407</v>
      </c>
      <c r="F1469">
        <v>208</v>
      </c>
      <c r="G1469">
        <v>11</v>
      </c>
      <c r="H1469">
        <v>2</v>
      </c>
      <c r="I1469">
        <v>2490</v>
      </c>
      <c r="J1469">
        <v>1</v>
      </c>
      <c r="K1469">
        <v>2490</v>
      </c>
      <c r="L1469">
        <v>1</v>
      </c>
      <c r="M1469">
        <v>60</v>
      </c>
      <c r="N1469">
        <v>399</v>
      </c>
      <c r="O1469">
        <f t="shared" si="46"/>
        <v>2025</v>
      </c>
      <c r="P1469">
        <f t="shared" si="47"/>
        <v>6</v>
      </c>
      <c r="Q1469" t="s">
        <v>570</v>
      </c>
      <c r="R1469" s="546" t="s">
        <v>804</v>
      </c>
    </row>
    <row r="1470" spans="1:18" x14ac:dyDescent="0.3">
      <c r="A1470" t="s">
        <v>627</v>
      </c>
      <c r="B1470" s="16">
        <v>45817</v>
      </c>
      <c r="C1470" t="s">
        <v>3</v>
      </c>
      <c r="D1470" t="s">
        <v>114</v>
      </c>
      <c r="E1470">
        <v>190</v>
      </c>
      <c r="F1470">
        <v>125</v>
      </c>
      <c r="G1470">
        <v>6</v>
      </c>
      <c r="H1470">
        <v>0</v>
      </c>
      <c r="I1470">
        <v>2490</v>
      </c>
      <c r="J1470">
        <v>1</v>
      </c>
      <c r="K1470">
        <v>0</v>
      </c>
      <c r="L1470">
        <v>0</v>
      </c>
      <c r="M1470">
        <v>13</v>
      </c>
      <c r="N1470">
        <v>185</v>
      </c>
      <c r="O1470">
        <f t="shared" si="46"/>
        <v>2025</v>
      </c>
      <c r="P1470">
        <f t="shared" si="47"/>
        <v>6</v>
      </c>
      <c r="Q1470" t="s">
        <v>570</v>
      </c>
      <c r="R1470" s="546" t="s">
        <v>804</v>
      </c>
    </row>
    <row r="1471" spans="1:18" x14ac:dyDescent="0.3">
      <c r="A1471" t="s">
        <v>627</v>
      </c>
      <c r="B1471" s="16">
        <v>45817</v>
      </c>
      <c r="C1471" t="s">
        <v>3</v>
      </c>
      <c r="D1471" t="s">
        <v>113</v>
      </c>
      <c r="E1471">
        <v>79</v>
      </c>
      <c r="F1471">
        <v>44</v>
      </c>
      <c r="G1471">
        <v>1</v>
      </c>
      <c r="H1471">
        <v>1</v>
      </c>
      <c r="I1471">
        <v>0</v>
      </c>
      <c r="J1471">
        <v>0</v>
      </c>
      <c r="K1471">
        <v>0</v>
      </c>
      <c r="L1471">
        <v>0</v>
      </c>
      <c r="M1471">
        <v>66</v>
      </c>
      <c r="N1471">
        <v>44</v>
      </c>
      <c r="O1471">
        <f t="shared" si="46"/>
        <v>2025</v>
      </c>
      <c r="P1471">
        <f t="shared" si="47"/>
        <v>6</v>
      </c>
      <c r="Q1471" t="s">
        <v>570</v>
      </c>
      <c r="R1471" s="546" t="s">
        <v>804</v>
      </c>
    </row>
    <row r="1472" spans="1:18" x14ac:dyDescent="0.3">
      <c r="A1472" t="s">
        <v>627</v>
      </c>
      <c r="B1472" s="16">
        <v>45817</v>
      </c>
      <c r="C1472" t="s">
        <v>3</v>
      </c>
      <c r="D1472" t="s">
        <v>112</v>
      </c>
      <c r="E1472">
        <v>12</v>
      </c>
      <c r="F1472">
        <v>3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12</v>
      </c>
      <c r="O1472">
        <f t="shared" si="46"/>
        <v>2025</v>
      </c>
      <c r="P1472">
        <f t="shared" si="47"/>
        <v>6</v>
      </c>
      <c r="Q1472" t="s">
        <v>570</v>
      </c>
      <c r="R1472" s="546" t="s">
        <v>804</v>
      </c>
    </row>
    <row r="1473" spans="1:18" x14ac:dyDescent="0.3">
      <c r="A1473" t="s">
        <v>627</v>
      </c>
      <c r="B1473" s="16">
        <v>45817</v>
      </c>
      <c r="C1473" t="s">
        <v>3</v>
      </c>
      <c r="D1473" t="s">
        <v>111</v>
      </c>
      <c r="E1473">
        <v>2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1</v>
      </c>
      <c r="N1473">
        <v>2</v>
      </c>
      <c r="O1473">
        <f t="shared" si="46"/>
        <v>2025</v>
      </c>
      <c r="P1473">
        <f t="shared" si="47"/>
        <v>6</v>
      </c>
      <c r="Q1473" t="s">
        <v>570</v>
      </c>
      <c r="R1473" s="546" t="s">
        <v>804</v>
      </c>
    </row>
    <row r="1474" spans="1:18" x14ac:dyDescent="0.3">
      <c r="A1474" t="s">
        <v>627</v>
      </c>
      <c r="B1474" s="16">
        <v>45816</v>
      </c>
      <c r="C1474" t="s">
        <v>2</v>
      </c>
      <c r="D1474" t="s">
        <v>4</v>
      </c>
      <c r="E1474">
        <v>326</v>
      </c>
      <c r="F1474">
        <v>122</v>
      </c>
      <c r="G1474">
        <v>4</v>
      </c>
      <c r="H1474">
        <v>1</v>
      </c>
      <c r="I1474">
        <v>2490</v>
      </c>
      <c r="J1474">
        <v>1</v>
      </c>
      <c r="K1474">
        <v>2490</v>
      </c>
      <c r="L1474">
        <v>1</v>
      </c>
      <c r="M1474">
        <v>5</v>
      </c>
      <c r="N1474">
        <v>325</v>
      </c>
      <c r="O1474">
        <f t="shared" si="46"/>
        <v>2025</v>
      </c>
      <c r="P1474">
        <f t="shared" si="47"/>
        <v>6</v>
      </c>
      <c r="Q1474" t="s">
        <v>570</v>
      </c>
      <c r="R1474" s="546" t="s">
        <v>804</v>
      </c>
    </row>
    <row r="1475" spans="1:18" x14ac:dyDescent="0.3">
      <c r="A1475" t="s">
        <v>627</v>
      </c>
      <c r="B1475" s="16">
        <v>45816</v>
      </c>
      <c r="C1475" t="s">
        <v>2</v>
      </c>
      <c r="D1475" t="s">
        <v>57</v>
      </c>
      <c r="E1475">
        <v>16372</v>
      </c>
      <c r="F1475">
        <v>10341</v>
      </c>
      <c r="G1475">
        <v>234</v>
      </c>
      <c r="H1475">
        <v>206</v>
      </c>
      <c r="I1475">
        <v>141730</v>
      </c>
      <c r="J1475">
        <v>45</v>
      </c>
      <c r="K1475">
        <v>94050</v>
      </c>
      <c r="L1475">
        <v>33</v>
      </c>
      <c r="M1475">
        <v>1205</v>
      </c>
      <c r="N1475">
        <v>16049</v>
      </c>
      <c r="O1475">
        <f t="shared" si="46"/>
        <v>2025</v>
      </c>
      <c r="P1475">
        <f t="shared" si="47"/>
        <v>6</v>
      </c>
      <c r="Q1475" t="s">
        <v>570</v>
      </c>
      <c r="R1475" s="546" t="s">
        <v>804</v>
      </c>
    </row>
    <row r="1476" spans="1:18" x14ac:dyDescent="0.3">
      <c r="A1476" t="s">
        <v>627</v>
      </c>
      <c r="B1476" s="16">
        <v>45816</v>
      </c>
      <c r="C1476" t="s">
        <v>2</v>
      </c>
      <c r="D1476" t="s">
        <v>55</v>
      </c>
      <c r="E1476">
        <v>2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f t="shared" si="46"/>
        <v>2025</v>
      </c>
      <c r="P1476">
        <f t="shared" si="47"/>
        <v>6</v>
      </c>
      <c r="Q1476" t="s">
        <v>570</v>
      </c>
      <c r="R1476" s="546" t="s">
        <v>804</v>
      </c>
    </row>
    <row r="1477" spans="1:18" x14ac:dyDescent="0.3">
      <c r="A1477" t="s">
        <v>627</v>
      </c>
      <c r="B1477" s="16">
        <v>45816</v>
      </c>
      <c r="C1477" t="s">
        <v>3</v>
      </c>
      <c r="D1477" t="s">
        <v>155</v>
      </c>
      <c r="E1477">
        <v>6</v>
      </c>
      <c r="F1477">
        <v>3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6</v>
      </c>
      <c r="O1477">
        <f t="shared" si="46"/>
        <v>2025</v>
      </c>
      <c r="P1477">
        <f t="shared" si="47"/>
        <v>6</v>
      </c>
      <c r="Q1477" t="s">
        <v>570</v>
      </c>
      <c r="R1477" s="546" t="s">
        <v>804</v>
      </c>
    </row>
    <row r="1478" spans="1:18" x14ac:dyDescent="0.3">
      <c r="A1478" t="s">
        <v>627</v>
      </c>
      <c r="B1478" s="16">
        <v>45816</v>
      </c>
      <c r="C1478" t="s">
        <v>3</v>
      </c>
      <c r="D1478" t="s">
        <v>154</v>
      </c>
      <c r="E1478">
        <v>1722</v>
      </c>
      <c r="F1478">
        <v>1722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f t="shared" si="46"/>
        <v>2025</v>
      </c>
      <c r="P1478">
        <f t="shared" si="47"/>
        <v>6</v>
      </c>
      <c r="Q1478" t="s">
        <v>570</v>
      </c>
      <c r="R1478" s="546" t="s">
        <v>804</v>
      </c>
    </row>
    <row r="1479" spans="1:18" x14ac:dyDescent="0.3">
      <c r="A1479" t="s">
        <v>627</v>
      </c>
      <c r="B1479" s="16">
        <v>45816</v>
      </c>
      <c r="C1479" t="s">
        <v>3</v>
      </c>
      <c r="D1479" t="s">
        <v>153</v>
      </c>
      <c r="E1479">
        <v>319</v>
      </c>
      <c r="F1479">
        <v>73</v>
      </c>
      <c r="G1479">
        <v>26</v>
      </c>
      <c r="H1479">
        <v>1</v>
      </c>
      <c r="I1479">
        <v>102008</v>
      </c>
      <c r="J1479">
        <v>29</v>
      </c>
      <c r="K1479">
        <v>100018</v>
      </c>
      <c r="L1479">
        <v>29</v>
      </c>
      <c r="M1479">
        <v>80</v>
      </c>
      <c r="N1479">
        <v>301</v>
      </c>
      <c r="O1479">
        <f t="shared" si="46"/>
        <v>2025</v>
      </c>
      <c r="P1479">
        <f t="shared" si="47"/>
        <v>6</v>
      </c>
      <c r="Q1479" t="s">
        <v>570</v>
      </c>
      <c r="R1479" s="546" t="s">
        <v>804</v>
      </c>
    </row>
    <row r="1480" spans="1:18" x14ac:dyDescent="0.3">
      <c r="A1480" t="s">
        <v>627</v>
      </c>
      <c r="B1480" s="16">
        <v>45816</v>
      </c>
      <c r="C1480" t="s">
        <v>3</v>
      </c>
      <c r="D1480" t="s">
        <v>152</v>
      </c>
      <c r="E1480">
        <v>28</v>
      </c>
      <c r="F1480">
        <v>16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28</v>
      </c>
      <c r="O1480">
        <f t="shared" si="46"/>
        <v>2025</v>
      </c>
      <c r="P1480">
        <f t="shared" si="47"/>
        <v>6</v>
      </c>
      <c r="Q1480" t="s">
        <v>570</v>
      </c>
      <c r="R1480" s="546" t="s">
        <v>804</v>
      </c>
    </row>
    <row r="1481" spans="1:18" x14ac:dyDescent="0.3">
      <c r="A1481" t="s">
        <v>627</v>
      </c>
      <c r="B1481" s="16">
        <v>45816</v>
      </c>
      <c r="C1481" t="s">
        <v>3</v>
      </c>
      <c r="D1481" t="s">
        <v>150</v>
      </c>
      <c r="E1481">
        <v>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2</v>
      </c>
      <c r="O1481">
        <f t="shared" si="46"/>
        <v>2025</v>
      </c>
      <c r="P1481">
        <f t="shared" si="47"/>
        <v>6</v>
      </c>
      <c r="Q1481" t="s">
        <v>570</v>
      </c>
      <c r="R1481" s="546" t="s">
        <v>804</v>
      </c>
    </row>
    <row r="1482" spans="1:18" x14ac:dyDescent="0.3">
      <c r="A1482" t="s">
        <v>627</v>
      </c>
      <c r="B1482" s="16">
        <v>45816</v>
      </c>
      <c r="C1482" t="s">
        <v>3</v>
      </c>
      <c r="D1482" t="s">
        <v>149</v>
      </c>
      <c r="E1482">
        <v>2</v>
      </c>
      <c r="F1482">
        <v>2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2</v>
      </c>
      <c r="O1482">
        <f t="shared" si="46"/>
        <v>2025</v>
      </c>
      <c r="P1482">
        <f t="shared" si="47"/>
        <v>6</v>
      </c>
      <c r="Q1482" t="s">
        <v>570</v>
      </c>
      <c r="R1482" s="546" t="s">
        <v>804</v>
      </c>
    </row>
    <row r="1483" spans="1:18" x14ac:dyDescent="0.3">
      <c r="A1483" t="s">
        <v>627</v>
      </c>
      <c r="B1483" s="16">
        <v>45816</v>
      </c>
      <c r="C1483" t="s">
        <v>3</v>
      </c>
      <c r="D1483" t="s">
        <v>148</v>
      </c>
      <c r="E1483">
        <v>1</v>
      </c>
      <c r="F1483">
        <v>1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</v>
      </c>
      <c r="N1483">
        <v>0</v>
      </c>
      <c r="O1483">
        <f t="shared" si="46"/>
        <v>2025</v>
      </c>
      <c r="P1483">
        <f t="shared" si="47"/>
        <v>6</v>
      </c>
      <c r="Q1483" t="s">
        <v>570</v>
      </c>
      <c r="R1483" s="546" t="s">
        <v>804</v>
      </c>
    </row>
    <row r="1484" spans="1:18" x14ac:dyDescent="0.3">
      <c r="A1484" t="s">
        <v>627</v>
      </c>
      <c r="B1484" s="16">
        <v>45816</v>
      </c>
      <c r="C1484" t="s">
        <v>3</v>
      </c>
      <c r="D1484" t="s">
        <v>630</v>
      </c>
      <c r="E1484">
        <v>9</v>
      </c>
      <c r="F1484">
        <v>2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9</v>
      </c>
      <c r="O1484">
        <f t="shared" si="46"/>
        <v>2025</v>
      </c>
      <c r="P1484">
        <f t="shared" si="47"/>
        <v>6</v>
      </c>
      <c r="Q1484" t="s">
        <v>570</v>
      </c>
      <c r="R1484" s="546" t="s">
        <v>804</v>
      </c>
    </row>
    <row r="1485" spans="1:18" x14ac:dyDescent="0.3">
      <c r="A1485" t="s">
        <v>627</v>
      </c>
      <c r="B1485" s="16">
        <v>45816</v>
      </c>
      <c r="C1485" t="s">
        <v>3</v>
      </c>
      <c r="D1485" t="s">
        <v>251</v>
      </c>
      <c r="E1485">
        <v>206</v>
      </c>
      <c r="F1485">
        <v>84</v>
      </c>
      <c r="G1485">
        <v>10</v>
      </c>
      <c r="H1485">
        <v>2</v>
      </c>
      <c r="I1485">
        <v>17798</v>
      </c>
      <c r="J1485">
        <v>6</v>
      </c>
      <c r="K1485">
        <v>15808</v>
      </c>
      <c r="L1485">
        <v>6</v>
      </c>
      <c r="M1485">
        <v>70</v>
      </c>
      <c r="N1485">
        <v>166</v>
      </c>
      <c r="O1485">
        <f t="shared" si="46"/>
        <v>2025</v>
      </c>
      <c r="P1485">
        <f t="shared" si="47"/>
        <v>6</v>
      </c>
      <c r="Q1485" t="s">
        <v>570</v>
      </c>
      <c r="R1485" s="546" t="s">
        <v>804</v>
      </c>
    </row>
    <row r="1486" spans="1:18" x14ac:dyDescent="0.3">
      <c r="A1486" t="s">
        <v>627</v>
      </c>
      <c r="B1486" s="16">
        <v>45816</v>
      </c>
      <c r="C1486" t="s">
        <v>3</v>
      </c>
      <c r="D1486" t="s">
        <v>143</v>
      </c>
      <c r="E1486">
        <v>20</v>
      </c>
      <c r="F1486">
        <v>20</v>
      </c>
      <c r="G1486">
        <v>0</v>
      </c>
      <c r="H1486">
        <v>0</v>
      </c>
      <c r="I1486">
        <v>1050</v>
      </c>
      <c r="J1486">
        <v>1</v>
      </c>
      <c r="K1486">
        <v>1050</v>
      </c>
      <c r="L1486">
        <v>1</v>
      </c>
      <c r="M1486">
        <v>1</v>
      </c>
      <c r="N1486">
        <v>20</v>
      </c>
      <c r="O1486">
        <f t="shared" si="46"/>
        <v>2025</v>
      </c>
      <c r="P1486">
        <f t="shared" si="47"/>
        <v>6</v>
      </c>
      <c r="Q1486" t="s">
        <v>570</v>
      </c>
      <c r="R1486" s="546" t="s">
        <v>804</v>
      </c>
    </row>
    <row r="1487" spans="1:18" x14ac:dyDescent="0.3">
      <c r="A1487" t="s">
        <v>627</v>
      </c>
      <c r="B1487" s="16">
        <v>45816</v>
      </c>
      <c r="C1487" t="s">
        <v>3</v>
      </c>
      <c r="D1487" t="s">
        <v>141</v>
      </c>
      <c r="E1487">
        <v>281</v>
      </c>
      <c r="F1487">
        <v>161</v>
      </c>
      <c r="G1487">
        <v>6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2</v>
      </c>
      <c r="N1487">
        <v>279</v>
      </c>
      <c r="O1487">
        <f t="shared" si="46"/>
        <v>2025</v>
      </c>
      <c r="P1487">
        <f t="shared" si="47"/>
        <v>6</v>
      </c>
      <c r="Q1487" t="s">
        <v>570</v>
      </c>
      <c r="R1487" s="546" t="s">
        <v>804</v>
      </c>
    </row>
    <row r="1488" spans="1:18" x14ac:dyDescent="0.3">
      <c r="A1488" t="s">
        <v>627</v>
      </c>
      <c r="B1488" s="16">
        <v>45816</v>
      </c>
      <c r="C1488" t="s">
        <v>3</v>
      </c>
      <c r="D1488" t="s">
        <v>140</v>
      </c>
      <c r="E1488">
        <v>6</v>
      </c>
      <c r="F1488">
        <v>5</v>
      </c>
      <c r="G1488">
        <v>1</v>
      </c>
      <c r="H1488">
        <v>0</v>
      </c>
      <c r="I1488">
        <v>2298</v>
      </c>
      <c r="J1488">
        <v>1</v>
      </c>
      <c r="K1488">
        <v>2298</v>
      </c>
      <c r="L1488">
        <v>1</v>
      </c>
      <c r="M1488">
        <v>2</v>
      </c>
      <c r="N1488">
        <v>5</v>
      </c>
      <c r="O1488">
        <f t="shared" si="46"/>
        <v>2025</v>
      </c>
      <c r="P1488">
        <f t="shared" si="47"/>
        <v>6</v>
      </c>
      <c r="Q1488" t="s">
        <v>570</v>
      </c>
      <c r="R1488" s="546" t="s">
        <v>804</v>
      </c>
    </row>
    <row r="1489" spans="1:18" x14ac:dyDescent="0.3">
      <c r="A1489" t="s">
        <v>627</v>
      </c>
      <c r="B1489" s="16">
        <v>45816</v>
      </c>
      <c r="C1489" t="s">
        <v>3</v>
      </c>
      <c r="D1489" t="s">
        <v>139</v>
      </c>
      <c r="E1489">
        <v>547</v>
      </c>
      <c r="F1489">
        <v>329</v>
      </c>
      <c r="G1489">
        <v>26</v>
      </c>
      <c r="H1489">
        <v>0</v>
      </c>
      <c r="I1489">
        <v>167296.43</v>
      </c>
      <c r="J1489">
        <v>37</v>
      </c>
      <c r="K1489">
        <v>38176.43</v>
      </c>
      <c r="L1489">
        <v>15</v>
      </c>
      <c r="M1489">
        <v>252</v>
      </c>
      <c r="N1489">
        <v>446</v>
      </c>
      <c r="O1489">
        <f t="shared" si="46"/>
        <v>2025</v>
      </c>
      <c r="P1489">
        <f t="shared" si="47"/>
        <v>6</v>
      </c>
      <c r="Q1489" t="s">
        <v>570</v>
      </c>
      <c r="R1489" s="546" t="s">
        <v>804</v>
      </c>
    </row>
    <row r="1490" spans="1:18" x14ac:dyDescent="0.3">
      <c r="A1490" t="s">
        <v>627</v>
      </c>
      <c r="B1490" s="16">
        <v>45816</v>
      </c>
      <c r="C1490" t="s">
        <v>3</v>
      </c>
      <c r="D1490" t="s">
        <v>138</v>
      </c>
      <c r="E1490">
        <v>5</v>
      </c>
      <c r="F1490">
        <v>5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5</v>
      </c>
      <c r="O1490">
        <f t="shared" si="46"/>
        <v>2025</v>
      </c>
      <c r="P1490">
        <f t="shared" si="47"/>
        <v>6</v>
      </c>
      <c r="Q1490" t="s">
        <v>570</v>
      </c>
      <c r="R1490" s="546" t="s">
        <v>804</v>
      </c>
    </row>
    <row r="1491" spans="1:18" x14ac:dyDescent="0.3">
      <c r="A1491" t="s">
        <v>627</v>
      </c>
      <c r="B1491" s="16">
        <v>45816</v>
      </c>
      <c r="C1491" t="s">
        <v>3</v>
      </c>
      <c r="D1491" t="s">
        <v>135</v>
      </c>
      <c r="E1491">
        <v>9</v>
      </c>
      <c r="F1491">
        <v>2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</v>
      </c>
      <c r="N1491">
        <v>9</v>
      </c>
      <c r="O1491">
        <f t="shared" si="46"/>
        <v>2025</v>
      </c>
      <c r="P1491">
        <f t="shared" si="47"/>
        <v>6</v>
      </c>
      <c r="Q1491" t="s">
        <v>570</v>
      </c>
      <c r="R1491" s="546" t="s">
        <v>804</v>
      </c>
    </row>
    <row r="1492" spans="1:18" x14ac:dyDescent="0.3">
      <c r="A1492" t="s">
        <v>627</v>
      </c>
      <c r="B1492" s="16">
        <v>45816</v>
      </c>
      <c r="C1492" t="s">
        <v>3</v>
      </c>
      <c r="D1492" t="s">
        <v>133</v>
      </c>
      <c r="E1492">
        <v>16</v>
      </c>
      <c r="F1492">
        <v>13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2</v>
      </c>
      <c r="N1492">
        <v>15</v>
      </c>
      <c r="O1492">
        <f t="shared" si="46"/>
        <v>2025</v>
      </c>
      <c r="P1492">
        <f t="shared" si="47"/>
        <v>6</v>
      </c>
      <c r="Q1492" t="s">
        <v>570</v>
      </c>
      <c r="R1492" s="546" t="s">
        <v>804</v>
      </c>
    </row>
    <row r="1493" spans="1:18" x14ac:dyDescent="0.3">
      <c r="A1493" t="s">
        <v>627</v>
      </c>
      <c r="B1493" s="16">
        <v>45816</v>
      </c>
      <c r="C1493" t="s">
        <v>3</v>
      </c>
      <c r="D1493" t="s">
        <v>130</v>
      </c>
      <c r="E1493">
        <v>104</v>
      </c>
      <c r="F1493">
        <v>45</v>
      </c>
      <c r="G1493">
        <v>7</v>
      </c>
      <c r="H1493">
        <v>1</v>
      </c>
      <c r="I1493">
        <v>42440</v>
      </c>
      <c r="J1493">
        <v>7</v>
      </c>
      <c r="K1493">
        <v>30990</v>
      </c>
      <c r="L1493">
        <v>7</v>
      </c>
      <c r="M1493">
        <v>51</v>
      </c>
      <c r="N1493">
        <v>79</v>
      </c>
      <c r="O1493">
        <f t="shared" si="46"/>
        <v>2025</v>
      </c>
      <c r="P1493">
        <f t="shared" si="47"/>
        <v>6</v>
      </c>
      <c r="Q1493" t="s">
        <v>570</v>
      </c>
      <c r="R1493" s="546" t="s">
        <v>804</v>
      </c>
    </row>
    <row r="1494" spans="1:18" x14ac:dyDescent="0.3">
      <c r="A1494" t="s">
        <v>627</v>
      </c>
      <c r="B1494" s="16">
        <v>45816</v>
      </c>
      <c r="C1494" t="s">
        <v>3</v>
      </c>
      <c r="D1494" t="s">
        <v>128</v>
      </c>
      <c r="E1494">
        <v>932</v>
      </c>
      <c r="F1494">
        <v>725</v>
      </c>
      <c r="G1494">
        <v>41</v>
      </c>
      <c r="H1494">
        <v>11</v>
      </c>
      <c r="I1494">
        <v>14243</v>
      </c>
      <c r="J1494">
        <v>7</v>
      </c>
      <c r="K1494">
        <v>12753</v>
      </c>
      <c r="L1494">
        <v>7</v>
      </c>
      <c r="M1494">
        <v>474</v>
      </c>
      <c r="N1494">
        <v>625</v>
      </c>
      <c r="O1494">
        <f t="shared" si="46"/>
        <v>2025</v>
      </c>
      <c r="P1494">
        <f t="shared" si="47"/>
        <v>6</v>
      </c>
      <c r="Q1494" t="s">
        <v>570</v>
      </c>
      <c r="R1494" s="546" t="s">
        <v>804</v>
      </c>
    </row>
    <row r="1495" spans="1:18" x14ac:dyDescent="0.3">
      <c r="A1495" t="s">
        <v>627</v>
      </c>
      <c r="B1495" s="16">
        <v>45816</v>
      </c>
      <c r="C1495" t="s">
        <v>3</v>
      </c>
      <c r="D1495" t="s">
        <v>127</v>
      </c>
      <c r="E1495">
        <v>11099</v>
      </c>
      <c r="F1495">
        <v>9994</v>
      </c>
      <c r="G1495">
        <v>72</v>
      </c>
      <c r="H1495">
        <v>55</v>
      </c>
      <c r="I1495">
        <v>18233</v>
      </c>
      <c r="J1495">
        <v>6</v>
      </c>
      <c r="K1495">
        <v>12063</v>
      </c>
      <c r="L1495">
        <v>4</v>
      </c>
      <c r="M1495">
        <v>638</v>
      </c>
      <c r="N1495">
        <v>11043</v>
      </c>
      <c r="O1495">
        <f t="shared" si="46"/>
        <v>2025</v>
      </c>
      <c r="P1495">
        <f t="shared" si="47"/>
        <v>6</v>
      </c>
      <c r="Q1495" t="s">
        <v>570</v>
      </c>
      <c r="R1495" s="546" t="s">
        <v>804</v>
      </c>
    </row>
    <row r="1496" spans="1:18" x14ac:dyDescent="0.3">
      <c r="A1496" t="s">
        <v>627</v>
      </c>
      <c r="B1496" s="16">
        <v>45816</v>
      </c>
      <c r="C1496" t="s">
        <v>3</v>
      </c>
      <c r="D1496" t="s">
        <v>126</v>
      </c>
      <c r="E1496">
        <v>108</v>
      </c>
      <c r="F1496">
        <v>79</v>
      </c>
      <c r="G1496">
        <v>6</v>
      </c>
      <c r="H1496">
        <v>3</v>
      </c>
      <c r="I1496">
        <v>5755</v>
      </c>
      <c r="J1496">
        <v>2</v>
      </c>
      <c r="K1496">
        <v>5755</v>
      </c>
      <c r="L1496">
        <v>2</v>
      </c>
      <c r="M1496">
        <v>17</v>
      </c>
      <c r="N1496">
        <v>108</v>
      </c>
      <c r="O1496">
        <f t="shared" si="46"/>
        <v>2025</v>
      </c>
      <c r="P1496">
        <f t="shared" si="47"/>
        <v>6</v>
      </c>
      <c r="Q1496" t="s">
        <v>570</v>
      </c>
      <c r="R1496" s="546" t="s">
        <v>804</v>
      </c>
    </row>
    <row r="1497" spans="1:18" x14ac:dyDescent="0.3">
      <c r="A1497" t="s">
        <v>627</v>
      </c>
      <c r="B1497" s="16">
        <v>45816</v>
      </c>
      <c r="C1497" t="s">
        <v>3</v>
      </c>
      <c r="D1497" t="s">
        <v>125</v>
      </c>
      <c r="E1497">
        <v>3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3</v>
      </c>
      <c r="O1497">
        <f t="shared" si="46"/>
        <v>2025</v>
      </c>
      <c r="P1497">
        <f t="shared" si="47"/>
        <v>6</v>
      </c>
      <c r="Q1497" t="s">
        <v>570</v>
      </c>
      <c r="R1497" s="546" t="s">
        <v>804</v>
      </c>
    </row>
    <row r="1498" spans="1:18" x14ac:dyDescent="0.3">
      <c r="A1498" t="s">
        <v>627</v>
      </c>
      <c r="B1498" s="16">
        <v>45816</v>
      </c>
      <c r="C1498" t="s">
        <v>3</v>
      </c>
      <c r="D1498" t="s">
        <v>123</v>
      </c>
      <c r="E1498">
        <v>346</v>
      </c>
      <c r="F1498">
        <v>243</v>
      </c>
      <c r="G1498">
        <v>10</v>
      </c>
      <c r="H1498">
        <v>5</v>
      </c>
      <c r="I1498">
        <v>15430</v>
      </c>
      <c r="J1498">
        <v>6</v>
      </c>
      <c r="K1498">
        <v>10950</v>
      </c>
      <c r="L1498">
        <v>5</v>
      </c>
      <c r="M1498">
        <v>90</v>
      </c>
      <c r="N1498">
        <v>330</v>
      </c>
      <c r="O1498">
        <f t="shared" si="46"/>
        <v>2025</v>
      </c>
      <c r="P1498">
        <f t="shared" si="47"/>
        <v>6</v>
      </c>
      <c r="Q1498" t="s">
        <v>570</v>
      </c>
      <c r="R1498" s="546" t="s">
        <v>804</v>
      </c>
    </row>
    <row r="1499" spans="1:18" x14ac:dyDescent="0.3">
      <c r="A1499" t="s">
        <v>627</v>
      </c>
      <c r="B1499" s="16">
        <v>45816</v>
      </c>
      <c r="C1499" t="s">
        <v>3</v>
      </c>
      <c r="D1499" t="s">
        <v>121</v>
      </c>
      <c r="E1499">
        <v>1</v>
      </c>
      <c r="F1499">
        <v>1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</v>
      </c>
      <c r="O1499">
        <f t="shared" si="46"/>
        <v>2025</v>
      </c>
      <c r="P1499">
        <f t="shared" si="47"/>
        <v>6</v>
      </c>
      <c r="Q1499" t="s">
        <v>570</v>
      </c>
      <c r="R1499" s="546" t="s">
        <v>804</v>
      </c>
    </row>
    <row r="1500" spans="1:18" x14ac:dyDescent="0.3">
      <c r="A1500" t="s">
        <v>627</v>
      </c>
      <c r="B1500" s="16">
        <v>45816</v>
      </c>
      <c r="C1500" t="s">
        <v>3</v>
      </c>
      <c r="D1500" t="s">
        <v>119</v>
      </c>
      <c r="E1500">
        <v>219</v>
      </c>
      <c r="F1500">
        <v>73</v>
      </c>
      <c r="G1500">
        <v>8</v>
      </c>
      <c r="H1500">
        <v>4</v>
      </c>
      <c r="I1500">
        <v>50145</v>
      </c>
      <c r="J1500">
        <v>11</v>
      </c>
      <c r="K1500">
        <v>37575</v>
      </c>
      <c r="L1500">
        <v>8</v>
      </c>
      <c r="M1500">
        <v>45</v>
      </c>
      <c r="N1500">
        <v>215</v>
      </c>
      <c r="O1500">
        <f t="shared" si="46"/>
        <v>2025</v>
      </c>
      <c r="P1500">
        <f t="shared" si="47"/>
        <v>6</v>
      </c>
      <c r="Q1500" t="s">
        <v>570</v>
      </c>
      <c r="R1500" s="546" t="s">
        <v>804</v>
      </c>
    </row>
    <row r="1501" spans="1:18" x14ac:dyDescent="0.3">
      <c r="A1501" t="s">
        <v>627</v>
      </c>
      <c r="B1501" s="16">
        <v>45816</v>
      </c>
      <c r="C1501" t="s">
        <v>3</v>
      </c>
      <c r="D1501" t="s">
        <v>583</v>
      </c>
      <c r="E1501">
        <v>1</v>
      </c>
      <c r="F1501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1</v>
      </c>
      <c r="O1501">
        <f t="shared" si="46"/>
        <v>2025</v>
      </c>
      <c r="P1501">
        <f t="shared" si="47"/>
        <v>6</v>
      </c>
      <c r="Q1501" t="s">
        <v>570</v>
      </c>
      <c r="R1501" s="546" t="s">
        <v>804</v>
      </c>
    </row>
    <row r="1502" spans="1:18" x14ac:dyDescent="0.3">
      <c r="A1502" t="s">
        <v>627</v>
      </c>
      <c r="B1502" s="16">
        <v>45816</v>
      </c>
      <c r="C1502" t="s">
        <v>3</v>
      </c>
      <c r="D1502" t="s">
        <v>252</v>
      </c>
      <c r="E1502">
        <v>11</v>
      </c>
      <c r="F1502">
        <v>10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11</v>
      </c>
      <c r="O1502">
        <f t="shared" si="46"/>
        <v>2025</v>
      </c>
      <c r="P1502">
        <f t="shared" si="47"/>
        <v>6</v>
      </c>
      <c r="Q1502" t="s">
        <v>570</v>
      </c>
      <c r="R1502" s="546" t="s">
        <v>804</v>
      </c>
    </row>
    <row r="1503" spans="1:18" x14ac:dyDescent="0.3">
      <c r="A1503" t="s">
        <v>627</v>
      </c>
      <c r="B1503" s="16">
        <v>45816</v>
      </c>
      <c r="C1503" t="s">
        <v>3</v>
      </c>
      <c r="D1503" t="s">
        <v>117</v>
      </c>
      <c r="E1503">
        <v>3</v>
      </c>
      <c r="F1503">
        <v>2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3</v>
      </c>
      <c r="O1503">
        <f t="shared" si="46"/>
        <v>2025</v>
      </c>
      <c r="P1503">
        <f t="shared" si="47"/>
        <v>6</v>
      </c>
      <c r="Q1503" t="s">
        <v>570</v>
      </c>
      <c r="R1503" s="546" t="s">
        <v>804</v>
      </c>
    </row>
    <row r="1504" spans="1:18" x14ac:dyDescent="0.3">
      <c r="A1504" t="s">
        <v>627</v>
      </c>
      <c r="B1504" s="16">
        <v>45816</v>
      </c>
      <c r="C1504" t="s">
        <v>3</v>
      </c>
      <c r="D1504" t="s">
        <v>391</v>
      </c>
      <c r="E1504">
        <v>450</v>
      </c>
      <c r="F1504">
        <v>264</v>
      </c>
      <c r="G1504">
        <v>18</v>
      </c>
      <c r="H1504">
        <v>2</v>
      </c>
      <c r="I1504">
        <v>22625</v>
      </c>
      <c r="J1504">
        <v>6</v>
      </c>
      <c r="K1504">
        <v>22625</v>
      </c>
      <c r="L1504">
        <v>6</v>
      </c>
      <c r="M1504">
        <v>65</v>
      </c>
      <c r="N1504">
        <v>444</v>
      </c>
      <c r="O1504">
        <f t="shared" si="46"/>
        <v>2025</v>
      </c>
      <c r="P1504">
        <f t="shared" si="47"/>
        <v>6</v>
      </c>
      <c r="Q1504" t="s">
        <v>570</v>
      </c>
      <c r="R1504" s="546" t="s">
        <v>804</v>
      </c>
    </row>
    <row r="1505" spans="1:18" x14ac:dyDescent="0.3">
      <c r="A1505" t="s">
        <v>627</v>
      </c>
      <c r="B1505" s="16">
        <v>45816</v>
      </c>
      <c r="C1505" t="s">
        <v>3</v>
      </c>
      <c r="D1505" t="s">
        <v>114</v>
      </c>
      <c r="E1505">
        <v>194</v>
      </c>
      <c r="F1505">
        <v>124</v>
      </c>
      <c r="G1505">
        <v>7</v>
      </c>
      <c r="H1505">
        <v>3</v>
      </c>
      <c r="I1505">
        <v>3990</v>
      </c>
      <c r="J1505">
        <v>1</v>
      </c>
      <c r="K1505">
        <v>3990</v>
      </c>
      <c r="L1505">
        <v>1</v>
      </c>
      <c r="M1505">
        <v>16</v>
      </c>
      <c r="N1505">
        <v>188</v>
      </c>
      <c r="O1505">
        <f t="shared" si="46"/>
        <v>2025</v>
      </c>
      <c r="P1505">
        <f t="shared" si="47"/>
        <v>6</v>
      </c>
      <c r="Q1505" t="s">
        <v>570</v>
      </c>
      <c r="R1505" s="546" t="s">
        <v>804</v>
      </c>
    </row>
    <row r="1506" spans="1:18" x14ac:dyDescent="0.3">
      <c r="A1506" t="s">
        <v>627</v>
      </c>
      <c r="B1506" s="16">
        <v>45816</v>
      </c>
      <c r="C1506" t="s">
        <v>3</v>
      </c>
      <c r="D1506" t="s">
        <v>113</v>
      </c>
      <c r="E1506">
        <v>89</v>
      </c>
      <c r="F1506">
        <v>46</v>
      </c>
      <c r="G1506">
        <v>2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66</v>
      </c>
      <c r="N1506">
        <v>63</v>
      </c>
      <c r="O1506">
        <f t="shared" si="46"/>
        <v>2025</v>
      </c>
      <c r="P1506">
        <f t="shared" si="47"/>
        <v>6</v>
      </c>
      <c r="Q1506" t="s">
        <v>570</v>
      </c>
      <c r="R1506" s="546" t="s">
        <v>804</v>
      </c>
    </row>
    <row r="1507" spans="1:18" x14ac:dyDescent="0.3">
      <c r="A1507" t="s">
        <v>627</v>
      </c>
      <c r="B1507" s="16">
        <v>45816</v>
      </c>
      <c r="C1507" t="s">
        <v>3</v>
      </c>
      <c r="D1507" t="s">
        <v>112</v>
      </c>
      <c r="E1507">
        <v>24</v>
      </c>
      <c r="F1507">
        <v>4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</v>
      </c>
      <c r="N1507">
        <v>24</v>
      </c>
      <c r="O1507">
        <f t="shared" si="46"/>
        <v>2025</v>
      </c>
      <c r="P1507">
        <f t="shared" si="47"/>
        <v>6</v>
      </c>
      <c r="Q1507" t="s">
        <v>570</v>
      </c>
      <c r="R1507" s="546" t="s">
        <v>804</v>
      </c>
    </row>
    <row r="1508" spans="1:18" x14ac:dyDescent="0.3">
      <c r="A1508" t="s">
        <v>627</v>
      </c>
      <c r="B1508" s="16">
        <v>45816</v>
      </c>
      <c r="C1508" t="s">
        <v>3</v>
      </c>
      <c r="D1508" t="s">
        <v>111</v>
      </c>
      <c r="E1508">
        <v>4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4</v>
      </c>
      <c r="O1508">
        <f t="shared" si="46"/>
        <v>2025</v>
      </c>
      <c r="P1508">
        <f t="shared" si="47"/>
        <v>6</v>
      </c>
      <c r="Q1508" t="s">
        <v>570</v>
      </c>
      <c r="R1508" s="546" t="s">
        <v>804</v>
      </c>
    </row>
    <row r="1509" spans="1:18" x14ac:dyDescent="0.3">
      <c r="A1509" t="s">
        <v>627</v>
      </c>
      <c r="B1509" s="16">
        <v>45815</v>
      </c>
      <c r="C1509" t="s">
        <v>2</v>
      </c>
      <c r="D1509" t="s">
        <v>4</v>
      </c>
      <c r="E1509">
        <v>333</v>
      </c>
      <c r="F1509">
        <v>102</v>
      </c>
      <c r="G1509">
        <v>1</v>
      </c>
      <c r="H1509">
        <v>2</v>
      </c>
      <c r="I1509">
        <v>0</v>
      </c>
      <c r="J1509">
        <v>0</v>
      </c>
      <c r="K1509">
        <v>0</v>
      </c>
      <c r="L1509">
        <v>0</v>
      </c>
      <c r="M1509">
        <v>3</v>
      </c>
      <c r="N1509">
        <v>332</v>
      </c>
      <c r="O1509">
        <f t="shared" si="46"/>
        <v>2025</v>
      </c>
      <c r="P1509">
        <f t="shared" si="47"/>
        <v>6</v>
      </c>
      <c r="Q1509" t="s">
        <v>570</v>
      </c>
      <c r="R1509" s="546" t="s">
        <v>804</v>
      </c>
    </row>
    <row r="1510" spans="1:18" x14ac:dyDescent="0.3">
      <c r="A1510" t="s">
        <v>627</v>
      </c>
      <c r="B1510" s="16">
        <v>45815</v>
      </c>
      <c r="C1510" t="s">
        <v>2</v>
      </c>
      <c r="D1510" t="s">
        <v>57</v>
      </c>
      <c r="E1510">
        <v>15713</v>
      </c>
      <c r="F1510">
        <v>9937</v>
      </c>
      <c r="G1510">
        <v>199</v>
      </c>
      <c r="H1510">
        <v>159</v>
      </c>
      <c r="I1510">
        <v>95026</v>
      </c>
      <c r="J1510">
        <v>24</v>
      </c>
      <c r="K1510">
        <v>48543</v>
      </c>
      <c r="L1510">
        <v>16</v>
      </c>
      <c r="M1510">
        <v>1087</v>
      </c>
      <c r="N1510">
        <v>15439</v>
      </c>
      <c r="O1510">
        <f t="shared" si="46"/>
        <v>2025</v>
      </c>
      <c r="P1510">
        <f t="shared" si="47"/>
        <v>6</v>
      </c>
      <c r="Q1510" t="s">
        <v>570</v>
      </c>
      <c r="R1510" s="546" t="s">
        <v>804</v>
      </c>
    </row>
    <row r="1511" spans="1:18" x14ac:dyDescent="0.3">
      <c r="A1511" t="s">
        <v>627</v>
      </c>
      <c r="B1511" s="16">
        <v>45815</v>
      </c>
      <c r="C1511" t="s">
        <v>2</v>
      </c>
      <c r="D1511" t="s">
        <v>55</v>
      </c>
      <c r="E1511">
        <v>10</v>
      </c>
      <c r="F1511">
        <v>7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7</v>
      </c>
      <c r="O1511">
        <f t="shared" si="46"/>
        <v>2025</v>
      </c>
      <c r="P1511">
        <f t="shared" si="47"/>
        <v>6</v>
      </c>
      <c r="Q1511" t="s">
        <v>570</v>
      </c>
      <c r="R1511" s="546" t="s">
        <v>804</v>
      </c>
    </row>
    <row r="1512" spans="1:18" x14ac:dyDescent="0.3">
      <c r="A1512" t="s">
        <v>627</v>
      </c>
      <c r="B1512" s="16">
        <v>45815</v>
      </c>
      <c r="C1512" t="s">
        <v>3</v>
      </c>
      <c r="D1512" t="s">
        <v>155</v>
      </c>
      <c r="E1512">
        <v>5</v>
      </c>
      <c r="F1512">
        <v>3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5</v>
      </c>
      <c r="O1512">
        <f t="shared" si="46"/>
        <v>2025</v>
      </c>
      <c r="P1512">
        <f t="shared" si="47"/>
        <v>6</v>
      </c>
      <c r="Q1512" t="s">
        <v>570</v>
      </c>
      <c r="R1512" s="546" t="s">
        <v>804</v>
      </c>
    </row>
    <row r="1513" spans="1:18" x14ac:dyDescent="0.3">
      <c r="A1513" t="s">
        <v>627</v>
      </c>
      <c r="B1513" s="16">
        <v>45815</v>
      </c>
      <c r="C1513" t="s">
        <v>3</v>
      </c>
      <c r="D1513" t="s">
        <v>153</v>
      </c>
      <c r="E1513">
        <v>282</v>
      </c>
      <c r="F1513">
        <v>71</v>
      </c>
      <c r="G1513">
        <v>26</v>
      </c>
      <c r="H1513">
        <v>1</v>
      </c>
      <c r="I1513">
        <v>66538</v>
      </c>
      <c r="J1513">
        <v>22</v>
      </c>
      <c r="K1513">
        <v>61653</v>
      </c>
      <c r="L1513">
        <v>20</v>
      </c>
      <c r="M1513">
        <v>75</v>
      </c>
      <c r="N1513">
        <v>270</v>
      </c>
      <c r="O1513">
        <f t="shared" si="46"/>
        <v>2025</v>
      </c>
      <c r="P1513">
        <f t="shared" si="47"/>
        <v>6</v>
      </c>
      <c r="Q1513" t="s">
        <v>570</v>
      </c>
      <c r="R1513" s="546" t="s">
        <v>804</v>
      </c>
    </row>
    <row r="1514" spans="1:18" x14ac:dyDescent="0.3">
      <c r="A1514" t="s">
        <v>627</v>
      </c>
      <c r="B1514" s="16">
        <v>45815</v>
      </c>
      <c r="C1514" t="s">
        <v>3</v>
      </c>
      <c r="D1514" t="s">
        <v>152</v>
      </c>
      <c r="E1514">
        <v>17</v>
      </c>
      <c r="F1514">
        <v>5</v>
      </c>
      <c r="G1514">
        <v>1</v>
      </c>
      <c r="H1514">
        <v>2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17</v>
      </c>
      <c r="O1514">
        <f t="shared" si="46"/>
        <v>2025</v>
      </c>
      <c r="P1514">
        <f t="shared" si="47"/>
        <v>6</v>
      </c>
      <c r="Q1514" t="s">
        <v>570</v>
      </c>
      <c r="R1514" s="546" t="s">
        <v>804</v>
      </c>
    </row>
    <row r="1515" spans="1:18" x14ac:dyDescent="0.3">
      <c r="A1515" t="s">
        <v>627</v>
      </c>
      <c r="B1515" s="16">
        <v>45815</v>
      </c>
      <c r="C1515" t="s">
        <v>3</v>
      </c>
      <c r="D1515" t="s">
        <v>150</v>
      </c>
      <c r="E1515">
        <v>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2</v>
      </c>
      <c r="O1515">
        <f t="shared" si="46"/>
        <v>2025</v>
      </c>
      <c r="P1515">
        <f t="shared" si="47"/>
        <v>6</v>
      </c>
      <c r="Q1515" t="s">
        <v>570</v>
      </c>
      <c r="R1515" s="546" t="s">
        <v>804</v>
      </c>
    </row>
    <row r="1516" spans="1:18" x14ac:dyDescent="0.3">
      <c r="A1516" t="s">
        <v>627</v>
      </c>
      <c r="B1516" s="16">
        <v>45815</v>
      </c>
      <c r="C1516" t="s">
        <v>3</v>
      </c>
      <c r="D1516" t="s">
        <v>149</v>
      </c>
      <c r="E1516">
        <v>3</v>
      </c>
      <c r="F1516">
        <v>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2</v>
      </c>
      <c r="O1516">
        <f t="shared" si="46"/>
        <v>2025</v>
      </c>
      <c r="P1516">
        <f t="shared" si="47"/>
        <v>6</v>
      </c>
      <c r="Q1516" t="s">
        <v>570</v>
      </c>
      <c r="R1516" s="546" t="s">
        <v>804</v>
      </c>
    </row>
    <row r="1517" spans="1:18" x14ac:dyDescent="0.3">
      <c r="A1517" t="s">
        <v>627</v>
      </c>
      <c r="B1517" s="16">
        <v>45815</v>
      </c>
      <c r="C1517" t="s">
        <v>3</v>
      </c>
      <c r="D1517" t="s">
        <v>630</v>
      </c>
      <c r="E1517">
        <v>7</v>
      </c>
      <c r="F1517">
        <v>3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7</v>
      </c>
      <c r="O1517">
        <f t="shared" si="46"/>
        <v>2025</v>
      </c>
      <c r="P1517">
        <f t="shared" si="47"/>
        <v>6</v>
      </c>
      <c r="Q1517" t="s">
        <v>570</v>
      </c>
      <c r="R1517" s="546" t="s">
        <v>804</v>
      </c>
    </row>
    <row r="1518" spans="1:18" x14ac:dyDescent="0.3">
      <c r="A1518" t="s">
        <v>627</v>
      </c>
      <c r="B1518" s="16">
        <v>45815</v>
      </c>
      <c r="C1518" t="s">
        <v>3</v>
      </c>
      <c r="D1518" t="s">
        <v>251</v>
      </c>
      <c r="E1518">
        <v>220</v>
      </c>
      <c r="F1518">
        <v>97</v>
      </c>
      <c r="G1518">
        <v>12</v>
      </c>
      <c r="H1518">
        <v>1</v>
      </c>
      <c r="I1518">
        <v>34738.5</v>
      </c>
      <c r="J1518">
        <v>9</v>
      </c>
      <c r="K1518">
        <v>27268.5</v>
      </c>
      <c r="L1518">
        <v>8</v>
      </c>
      <c r="M1518">
        <v>61</v>
      </c>
      <c r="N1518">
        <v>183</v>
      </c>
      <c r="O1518">
        <f t="shared" si="46"/>
        <v>2025</v>
      </c>
      <c r="P1518">
        <f t="shared" si="47"/>
        <v>6</v>
      </c>
      <c r="Q1518" t="s">
        <v>570</v>
      </c>
      <c r="R1518" s="546" t="s">
        <v>804</v>
      </c>
    </row>
    <row r="1519" spans="1:18" x14ac:dyDescent="0.3">
      <c r="A1519" t="s">
        <v>627</v>
      </c>
      <c r="B1519" s="16">
        <v>45815</v>
      </c>
      <c r="C1519" t="s">
        <v>3</v>
      </c>
      <c r="D1519" t="s">
        <v>143</v>
      </c>
      <c r="E1519">
        <v>30</v>
      </c>
      <c r="F1519">
        <v>29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30</v>
      </c>
      <c r="O1519">
        <f t="shared" ref="O1519:O1582" si="48">YEAR(B1519)</f>
        <v>2025</v>
      </c>
      <c r="P1519">
        <f t="shared" ref="P1519:P1582" si="49">MONTH(B1519)</f>
        <v>6</v>
      </c>
      <c r="Q1519" t="s">
        <v>570</v>
      </c>
      <c r="R1519" s="546" t="s">
        <v>804</v>
      </c>
    </row>
    <row r="1520" spans="1:18" x14ac:dyDescent="0.3">
      <c r="A1520" t="s">
        <v>627</v>
      </c>
      <c r="B1520" s="16">
        <v>45815</v>
      </c>
      <c r="C1520" t="s">
        <v>3</v>
      </c>
      <c r="D1520" t="s">
        <v>141</v>
      </c>
      <c r="E1520">
        <v>233</v>
      </c>
      <c r="F1520">
        <v>132</v>
      </c>
      <c r="G1520">
        <v>4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233</v>
      </c>
      <c r="O1520">
        <f t="shared" si="48"/>
        <v>2025</v>
      </c>
      <c r="P1520">
        <f t="shared" si="49"/>
        <v>6</v>
      </c>
      <c r="Q1520" t="s">
        <v>570</v>
      </c>
      <c r="R1520" s="546" t="s">
        <v>804</v>
      </c>
    </row>
    <row r="1521" spans="1:18" x14ac:dyDescent="0.3">
      <c r="A1521" t="s">
        <v>627</v>
      </c>
      <c r="B1521" s="16">
        <v>45815</v>
      </c>
      <c r="C1521" t="s">
        <v>3</v>
      </c>
      <c r="D1521" t="s">
        <v>140</v>
      </c>
      <c r="E1521">
        <v>2</v>
      </c>
      <c r="F1521">
        <v>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2</v>
      </c>
      <c r="O1521">
        <f t="shared" si="48"/>
        <v>2025</v>
      </c>
      <c r="P1521">
        <f t="shared" si="49"/>
        <v>6</v>
      </c>
      <c r="Q1521" t="s">
        <v>570</v>
      </c>
      <c r="R1521" s="546" t="s">
        <v>804</v>
      </c>
    </row>
    <row r="1522" spans="1:18" x14ac:dyDescent="0.3">
      <c r="A1522" t="s">
        <v>627</v>
      </c>
      <c r="B1522" s="16">
        <v>45815</v>
      </c>
      <c r="C1522" t="s">
        <v>3</v>
      </c>
      <c r="D1522" t="s">
        <v>139</v>
      </c>
      <c r="E1522">
        <v>459</v>
      </c>
      <c r="F1522">
        <v>266</v>
      </c>
      <c r="G1522">
        <v>17</v>
      </c>
      <c r="H1522">
        <v>3</v>
      </c>
      <c r="I1522">
        <v>24237.5</v>
      </c>
      <c r="J1522">
        <v>10</v>
      </c>
      <c r="K1522">
        <v>21889.5</v>
      </c>
      <c r="L1522">
        <v>9</v>
      </c>
      <c r="M1522">
        <v>197</v>
      </c>
      <c r="N1522">
        <v>374</v>
      </c>
      <c r="O1522">
        <f t="shared" si="48"/>
        <v>2025</v>
      </c>
      <c r="P1522">
        <f t="shared" si="49"/>
        <v>6</v>
      </c>
      <c r="Q1522" t="s">
        <v>570</v>
      </c>
      <c r="R1522" s="546" t="s">
        <v>804</v>
      </c>
    </row>
    <row r="1523" spans="1:18" x14ac:dyDescent="0.3">
      <c r="A1523" t="s">
        <v>627</v>
      </c>
      <c r="B1523" s="16">
        <v>45815</v>
      </c>
      <c r="C1523" t="s">
        <v>3</v>
      </c>
      <c r="D1523" t="s">
        <v>138</v>
      </c>
      <c r="E1523">
        <v>5</v>
      </c>
      <c r="F1523">
        <v>1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5</v>
      </c>
      <c r="O1523">
        <f t="shared" si="48"/>
        <v>2025</v>
      </c>
      <c r="P1523">
        <f t="shared" si="49"/>
        <v>6</v>
      </c>
      <c r="Q1523" t="s">
        <v>570</v>
      </c>
      <c r="R1523" s="546" t="s">
        <v>804</v>
      </c>
    </row>
    <row r="1524" spans="1:18" x14ac:dyDescent="0.3">
      <c r="A1524" t="s">
        <v>627</v>
      </c>
      <c r="B1524" s="16">
        <v>45815</v>
      </c>
      <c r="C1524" t="s">
        <v>3</v>
      </c>
      <c r="D1524" t="s">
        <v>135</v>
      </c>
      <c r="E1524">
        <v>7</v>
      </c>
      <c r="F1524">
        <v>3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7</v>
      </c>
      <c r="O1524">
        <f t="shared" si="48"/>
        <v>2025</v>
      </c>
      <c r="P1524">
        <f t="shared" si="49"/>
        <v>6</v>
      </c>
      <c r="Q1524" t="s">
        <v>570</v>
      </c>
      <c r="R1524" s="546" t="s">
        <v>804</v>
      </c>
    </row>
    <row r="1525" spans="1:18" x14ac:dyDescent="0.3">
      <c r="A1525" t="s">
        <v>627</v>
      </c>
      <c r="B1525" s="16">
        <v>45815</v>
      </c>
      <c r="C1525" t="s">
        <v>3</v>
      </c>
      <c r="D1525" t="s">
        <v>133</v>
      </c>
      <c r="E1525">
        <v>20</v>
      </c>
      <c r="F1525">
        <v>17</v>
      </c>
      <c r="G1525">
        <v>1</v>
      </c>
      <c r="H1525">
        <v>0</v>
      </c>
      <c r="I1525">
        <v>3930</v>
      </c>
      <c r="J1525">
        <v>1</v>
      </c>
      <c r="K1525">
        <v>3930</v>
      </c>
      <c r="L1525">
        <v>1</v>
      </c>
      <c r="M1525">
        <v>4</v>
      </c>
      <c r="N1525">
        <v>19</v>
      </c>
      <c r="O1525">
        <f t="shared" si="48"/>
        <v>2025</v>
      </c>
      <c r="P1525">
        <f t="shared" si="49"/>
        <v>6</v>
      </c>
      <c r="Q1525" t="s">
        <v>570</v>
      </c>
      <c r="R1525" s="546" t="s">
        <v>804</v>
      </c>
    </row>
    <row r="1526" spans="1:18" x14ac:dyDescent="0.3">
      <c r="A1526" t="s">
        <v>627</v>
      </c>
      <c r="B1526" s="16">
        <v>45815</v>
      </c>
      <c r="C1526" t="s">
        <v>3</v>
      </c>
      <c r="D1526" t="s">
        <v>130</v>
      </c>
      <c r="E1526">
        <v>100</v>
      </c>
      <c r="F1526">
        <v>29</v>
      </c>
      <c r="G1526">
        <v>6</v>
      </c>
      <c r="H1526">
        <v>0</v>
      </c>
      <c r="I1526">
        <v>79735</v>
      </c>
      <c r="J1526">
        <v>5</v>
      </c>
      <c r="K1526">
        <v>45785</v>
      </c>
      <c r="L1526">
        <v>5</v>
      </c>
      <c r="M1526">
        <v>36</v>
      </c>
      <c r="N1526">
        <v>83</v>
      </c>
      <c r="O1526">
        <f t="shared" si="48"/>
        <v>2025</v>
      </c>
      <c r="P1526">
        <f t="shared" si="49"/>
        <v>6</v>
      </c>
      <c r="Q1526" t="s">
        <v>570</v>
      </c>
      <c r="R1526" s="546" t="s">
        <v>804</v>
      </c>
    </row>
    <row r="1527" spans="1:18" x14ac:dyDescent="0.3">
      <c r="A1527" t="s">
        <v>627</v>
      </c>
      <c r="B1527" s="16">
        <v>45815</v>
      </c>
      <c r="C1527" t="s">
        <v>3</v>
      </c>
      <c r="D1527" t="s">
        <v>128</v>
      </c>
      <c r="E1527">
        <v>822</v>
      </c>
      <c r="F1527">
        <v>618</v>
      </c>
      <c r="G1527">
        <v>37</v>
      </c>
      <c r="H1527">
        <v>5</v>
      </c>
      <c r="I1527">
        <v>84730</v>
      </c>
      <c r="J1527">
        <v>6</v>
      </c>
      <c r="K1527">
        <v>48385</v>
      </c>
      <c r="L1527">
        <v>5</v>
      </c>
      <c r="M1527">
        <v>378</v>
      </c>
      <c r="N1527">
        <v>596</v>
      </c>
      <c r="O1527">
        <f t="shared" si="48"/>
        <v>2025</v>
      </c>
      <c r="P1527">
        <f t="shared" si="49"/>
        <v>6</v>
      </c>
      <c r="Q1527" t="s">
        <v>570</v>
      </c>
      <c r="R1527" s="546" t="s">
        <v>804</v>
      </c>
    </row>
    <row r="1528" spans="1:18" x14ac:dyDescent="0.3">
      <c r="A1528" t="s">
        <v>627</v>
      </c>
      <c r="B1528" s="16">
        <v>45815</v>
      </c>
      <c r="C1528" t="s">
        <v>3</v>
      </c>
      <c r="D1528" t="s">
        <v>127</v>
      </c>
      <c r="E1528">
        <v>9414</v>
      </c>
      <c r="F1528">
        <v>8367</v>
      </c>
      <c r="G1528">
        <v>60</v>
      </c>
      <c r="H1528">
        <v>39</v>
      </c>
      <c r="I1528">
        <v>13530</v>
      </c>
      <c r="J1528">
        <v>5</v>
      </c>
      <c r="K1528">
        <v>10780</v>
      </c>
      <c r="L1528">
        <v>4</v>
      </c>
      <c r="M1528">
        <v>546</v>
      </c>
      <c r="N1528">
        <v>9378</v>
      </c>
      <c r="O1528">
        <f t="shared" si="48"/>
        <v>2025</v>
      </c>
      <c r="P1528">
        <f t="shared" si="49"/>
        <v>6</v>
      </c>
      <c r="Q1528" t="s">
        <v>570</v>
      </c>
      <c r="R1528" s="546" t="s">
        <v>804</v>
      </c>
    </row>
    <row r="1529" spans="1:18" x14ac:dyDescent="0.3">
      <c r="A1529" t="s">
        <v>627</v>
      </c>
      <c r="B1529" s="16">
        <v>45815</v>
      </c>
      <c r="C1529" t="s">
        <v>3</v>
      </c>
      <c r="D1529" t="s">
        <v>126</v>
      </c>
      <c r="E1529">
        <v>96</v>
      </c>
      <c r="F1529">
        <v>69</v>
      </c>
      <c r="G1529">
        <v>4</v>
      </c>
      <c r="H1529">
        <v>6</v>
      </c>
      <c r="I1529">
        <v>0</v>
      </c>
      <c r="J1529">
        <v>0</v>
      </c>
      <c r="K1529">
        <v>0</v>
      </c>
      <c r="L1529">
        <v>0</v>
      </c>
      <c r="M1529">
        <v>11</v>
      </c>
      <c r="N1529">
        <v>95</v>
      </c>
      <c r="O1529">
        <f t="shared" si="48"/>
        <v>2025</v>
      </c>
      <c r="P1529">
        <f t="shared" si="49"/>
        <v>6</v>
      </c>
      <c r="Q1529" t="s">
        <v>570</v>
      </c>
      <c r="R1529" s="546" t="s">
        <v>804</v>
      </c>
    </row>
    <row r="1530" spans="1:18" x14ac:dyDescent="0.3">
      <c r="A1530" t="s">
        <v>627</v>
      </c>
      <c r="B1530" s="16">
        <v>45815</v>
      </c>
      <c r="C1530" t="s">
        <v>3</v>
      </c>
      <c r="D1530" t="s">
        <v>125</v>
      </c>
      <c r="E1530">
        <v>2</v>
      </c>
      <c r="F1530">
        <v>1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2</v>
      </c>
      <c r="O1530">
        <f t="shared" si="48"/>
        <v>2025</v>
      </c>
      <c r="P1530">
        <f t="shared" si="49"/>
        <v>6</v>
      </c>
      <c r="Q1530" t="s">
        <v>570</v>
      </c>
      <c r="R1530" s="546" t="s">
        <v>804</v>
      </c>
    </row>
    <row r="1531" spans="1:18" x14ac:dyDescent="0.3">
      <c r="A1531" t="s">
        <v>627</v>
      </c>
      <c r="B1531" s="16">
        <v>45815</v>
      </c>
      <c r="C1531" t="s">
        <v>3</v>
      </c>
      <c r="D1531" t="s">
        <v>123</v>
      </c>
      <c r="E1531">
        <v>284</v>
      </c>
      <c r="F1531">
        <v>189</v>
      </c>
      <c r="G1531">
        <v>6</v>
      </c>
      <c r="H1531">
        <v>4</v>
      </c>
      <c r="I1531">
        <v>2623.5</v>
      </c>
      <c r="J1531">
        <v>1</v>
      </c>
      <c r="K1531">
        <v>2623.5</v>
      </c>
      <c r="L1531">
        <v>1</v>
      </c>
      <c r="M1531">
        <v>78</v>
      </c>
      <c r="N1531">
        <v>267</v>
      </c>
      <c r="O1531">
        <f t="shared" si="48"/>
        <v>2025</v>
      </c>
      <c r="P1531">
        <f t="shared" si="49"/>
        <v>6</v>
      </c>
      <c r="Q1531" t="s">
        <v>570</v>
      </c>
      <c r="R1531" s="546" t="s">
        <v>804</v>
      </c>
    </row>
    <row r="1532" spans="1:18" x14ac:dyDescent="0.3">
      <c r="A1532" t="s">
        <v>627</v>
      </c>
      <c r="B1532" s="16">
        <v>45815</v>
      </c>
      <c r="C1532" t="s">
        <v>3</v>
      </c>
      <c r="D1532" t="s">
        <v>119</v>
      </c>
      <c r="E1532">
        <v>181</v>
      </c>
      <c r="F1532">
        <v>50</v>
      </c>
      <c r="G1532">
        <v>8</v>
      </c>
      <c r="H1532">
        <v>5</v>
      </c>
      <c r="I1532">
        <v>57380</v>
      </c>
      <c r="J1532">
        <v>6</v>
      </c>
      <c r="K1532">
        <v>45505</v>
      </c>
      <c r="L1532">
        <v>4</v>
      </c>
      <c r="M1532">
        <v>38</v>
      </c>
      <c r="N1532">
        <v>177</v>
      </c>
      <c r="O1532">
        <f t="shared" si="48"/>
        <v>2025</v>
      </c>
      <c r="P1532">
        <f t="shared" si="49"/>
        <v>6</v>
      </c>
      <c r="Q1532" t="s">
        <v>570</v>
      </c>
      <c r="R1532" s="546" t="s">
        <v>804</v>
      </c>
    </row>
    <row r="1533" spans="1:18" x14ac:dyDescent="0.3">
      <c r="A1533" t="s">
        <v>627</v>
      </c>
      <c r="B1533" s="16">
        <v>45815</v>
      </c>
      <c r="C1533" t="s">
        <v>3</v>
      </c>
      <c r="D1533" t="s">
        <v>252</v>
      </c>
      <c r="E1533">
        <v>11</v>
      </c>
      <c r="F1533">
        <v>11</v>
      </c>
      <c r="G1533">
        <v>0</v>
      </c>
      <c r="H1533">
        <v>0</v>
      </c>
      <c r="I1533">
        <v>2375</v>
      </c>
      <c r="J1533">
        <v>1</v>
      </c>
      <c r="K1533">
        <v>0</v>
      </c>
      <c r="L1533">
        <v>0</v>
      </c>
      <c r="M1533">
        <v>1</v>
      </c>
      <c r="N1533">
        <v>11</v>
      </c>
      <c r="O1533">
        <f t="shared" si="48"/>
        <v>2025</v>
      </c>
      <c r="P1533">
        <f t="shared" si="49"/>
        <v>6</v>
      </c>
      <c r="Q1533" t="s">
        <v>570</v>
      </c>
      <c r="R1533" s="546" t="s">
        <v>804</v>
      </c>
    </row>
    <row r="1534" spans="1:18" x14ac:dyDescent="0.3">
      <c r="A1534" t="s">
        <v>627</v>
      </c>
      <c r="B1534" s="16">
        <v>45815</v>
      </c>
      <c r="C1534" t="s">
        <v>3</v>
      </c>
      <c r="D1534" t="s">
        <v>391</v>
      </c>
      <c r="E1534">
        <v>413</v>
      </c>
      <c r="F1534">
        <v>226</v>
      </c>
      <c r="G1534">
        <v>14</v>
      </c>
      <c r="H1534">
        <v>4</v>
      </c>
      <c r="I1534">
        <v>4505</v>
      </c>
      <c r="J1534">
        <v>2</v>
      </c>
      <c r="K1534">
        <v>4505</v>
      </c>
      <c r="L1534">
        <v>2</v>
      </c>
      <c r="M1534">
        <v>59</v>
      </c>
      <c r="N1534">
        <v>402</v>
      </c>
      <c r="O1534">
        <f t="shared" si="48"/>
        <v>2025</v>
      </c>
      <c r="P1534">
        <f t="shared" si="49"/>
        <v>6</v>
      </c>
      <c r="Q1534" t="s">
        <v>570</v>
      </c>
      <c r="R1534" s="546" t="s">
        <v>804</v>
      </c>
    </row>
    <row r="1535" spans="1:18" x14ac:dyDescent="0.3">
      <c r="A1535" t="s">
        <v>627</v>
      </c>
      <c r="B1535" s="16">
        <v>45815</v>
      </c>
      <c r="C1535" t="s">
        <v>3</v>
      </c>
      <c r="D1535" t="s">
        <v>114</v>
      </c>
      <c r="E1535">
        <v>158</v>
      </c>
      <c r="F1535">
        <v>90</v>
      </c>
      <c r="G1535">
        <v>4</v>
      </c>
      <c r="H1535">
        <v>1</v>
      </c>
      <c r="I1535">
        <v>0</v>
      </c>
      <c r="J1535">
        <v>0</v>
      </c>
      <c r="K1535">
        <v>0</v>
      </c>
      <c r="L1535">
        <v>0</v>
      </c>
      <c r="M1535">
        <v>9</v>
      </c>
      <c r="N1535">
        <v>154</v>
      </c>
      <c r="O1535">
        <f t="shared" si="48"/>
        <v>2025</v>
      </c>
      <c r="P1535">
        <f t="shared" si="49"/>
        <v>6</v>
      </c>
      <c r="Q1535" t="s">
        <v>570</v>
      </c>
      <c r="R1535" s="546" t="s">
        <v>804</v>
      </c>
    </row>
    <row r="1536" spans="1:18" x14ac:dyDescent="0.3">
      <c r="A1536" t="s">
        <v>627</v>
      </c>
      <c r="B1536" s="16">
        <v>45815</v>
      </c>
      <c r="C1536" t="s">
        <v>3</v>
      </c>
      <c r="D1536" t="s">
        <v>113</v>
      </c>
      <c r="E1536">
        <v>100</v>
      </c>
      <c r="F1536">
        <v>48</v>
      </c>
      <c r="G1536">
        <v>5</v>
      </c>
      <c r="H1536">
        <v>0</v>
      </c>
      <c r="I1536">
        <v>7690</v>
      </c>
      <c r="J1536">
        <v>1</v>
      </c>
      <c r="K1536">
        <v>7690</v>
      </c>
      <c r="L1536">
        <v>1</v>
      </c>
      <c r="M1536">
        <v>69</v>
      </c>
      <c r="N1536">
        <v>66</v>
      </c>
      <c r="O1536">
        <f t="shared" si="48"/>
        <v>2025</v>
      </c>
      <c r="P1536">
        <f t="shared" si="49"/>
        <v>6</v>
      </c>
      <c r="Q1536" t="s">
        <v>570</v>
      </c>
      <c r="R1536" s="546" t="s">
        <v>804</v>
      </c>
    </row>
    <row r="1537" spans="1:18" x14ac:dyDescent="0.3">
      <c r="A1537" t="s">
        <v>627</v>
      </c>
      <c r="B1537" s="16">
        <v>45815</v>
      </c>
      <c r="C1537" t="s">
        <v>3</v>
      </c>
      <c r="D1537" t="s">
        <v>112</v>
      </c>
      <c r="E1537">
        <v>28</v>
      </c>
      <c r="F1537">
        <v>7</v>
      </c>
      <c r="G1537">
        <v>1</v>
      </c>
      <c r="H1537">
        <v>0</v>
      </c>
      <c r="I1537">
        <v>2298</v>
      </c>
      <c r="J1537">
        <v>1</v>
      </c>
      <c r="K1537">
        <v>2298</v>
      </c>
      <c r="L1537">
        <v>1</v>
      </c>
      <c r="M1537">
        <v>0</v>
      </c>
      <c r="N1537">
        <v>28</v>
      </c>
      <c r="O1537">
        <f t="shared" si="48"/>
        <v>2025</v>
      </c>
      <c r="P1537">
        <f t="shared" si="49"/>
        <v>6</v>
      </c>
      <c r="Q1537" t="s">
        <v>570</v>
      </c>
      <c r="R1537" s="546" t="s">
        <v>804</v>
      </c>
    </row>
    <row r="1538" spans="1:18" x14ac:dyDescent="0.3">
      <c r="A1538" t="s">
        <v>627</v>
      </c>
      <c r="B1538" s="16">
        <v>45815</v>
      </c>
      <c r="C1538" t="s">
        <v>3</v>
      </c>
      <c r="D1538" t="s">
        <v>111</v>
      </c>
      <c r="E1538">
        <v>5</v>
      </c>
      <c r="F1538">
        <v>1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1</v>
      </c>
      <c r="N1538">
        <v>5</v>
      </c>
      <c r="O1538">
        <f t="shared" si="48"/>
        <v>2025</v>
      </c>
      <c r="P1538">
        <f t="shared" si="49"/>
        <v>6</v>
      </c>
      <c r="Q1538" t="s">
        <v>570</v>
      </c>
      <c r="R1538" s="546" t="s">
        <v>804</v>
      </c>
    </row>
    <row r="1539" spans="1:18" x14ac:dyDescent="0.3">
      <c r="A1539" t="s">
        <v>627</v>
      </c>
      <c r="B1539" s="16">
        <v>45814</v>
      </c>
      <c r="C1539" t="s">
        <v>2</v>
      </c>
      <c r="D1539" t="s">
        <v>4</v>
      </c>
      <c r="E1539">
        <v>305</v>
      </c>
      <c r="F1539">
        <v>88</v>
      </c>
      <c r="G1539">
        <v>4</v>
      </c>
      <c r="H1539">
        <v>0</v>
      </c>
      <c r="I1539">
        <v>8780</v>
      </c>
      <c r="J1539">
        <v>3</v>
      </c>
      <c r="K1539">
        <v>8780</v>
      </c>
      <c r="L1539">
        <v>3</v>
      </c>
      <c r="M1539">
        <v>4</v>
      </c>
      <c r="N1539">
        <v>304</v>
      </c>
      <c r="O1539">
        <f t="shared" si="48"/>
        <v>2025</v>
      </c>
      <c r="P1539">
        <f t="shared" si="49"/>
        <v>6</v>
      </c>
      <c r="Q1539" t="s">
        <v>570</v>
      </c>
      <c r="R1539" s="546" t="s">
        <v>804</v>
      </c>
    </row>
    <row r="1540" spans="1:18" x14ac:dyDescent="0.3">
      <c r="A1540" t="s">
        <v>627</v>
      </c>
      <c r="B1540" s="16">
        <v>45814</v>
      </c>
      <c r="C1540" t="s">
        <v>2</v>
      </c>
      <c r="D1540" t="s">
        <v>57</v>
      </c>
      <c r="E1540">
        <v>15087</v>
      </c>
      <c r="F1540">
        <v>9491</v>
      </c>
      <c r="G1540">
        <v>189</v>
      </c>
      <c r="H1540">
        <v>153</v>
      </c>
      <c r="I1540">
        <v>90324</v>
      </c>
      <c r="J1540">
        <v>21</v>
      </c>
      <c r="K1540">
        <v>42810</v>
      </c>
      <c r="L1540">
        <v>14</v>
      </c>
      <c r="M1540">
        <v>894</v>
      </c>
      <c r="N1540">
        <v>14887</v>
      </c>
      <c r="O1540">
        <f t="shared" si="48"/>
        <v>2025</v>
      </c>
      <c r="P1540">
        <f t="shared" si="49"/>
        <v>6</v>
      </c>
      <c r="Q1540" t="s">
        <v>570</v>
      </c>
      <c r="R1540" s="546" t="s">
        <v>804</v>
      </c>
    </row>
    <row r="1541" spans="1:18" x14ac:dyDescent="0.3">
      <c r="A1541" t="s">
        <v>627</v>
      </c>
      <c r="B1541" s="16">
        <v>45814</v>
      </c>
      <c r="C1541" t="s">
        <v>2</v>
      </c>
      <c r="D1541" t="s">
        <v>55</v>
      </c>
      <c r="E1541">
        <v>905</v>
      </c>
      <c r="F1541">
        <v>666</v>
      </c>
      <c r="G1541">
        <v>15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24</v>
      </c>
      <c r="N1541">
        <v>172</v>
      </c>
      <c r="O1541">
        <f t="shared" si="48"/>
        <v>2025</v>
      </c>
      <c r="P1541">
        <f t="shared" si="49"/>
        <v>6</v>
      </c>
      <c r="Q1541" t="s">
        <v>570</v>
      </c>
      <c r="R1541" s="546" t="s">
        <v>804</v>
      </c>
    </row>
    <row r="1542" spans="1:18" x14ac:dyDescent="0.3">
      <c r="A1542" t="s">
        <v>627</v>
      </c>
      <c r="B1542" s="16">
        <v>45814</v>
      </c>
      <c r="C1542" t="s">
        <v>3</v>
      </c>
      <c r="D1542" t="s">
        <v>155</v>
      </c>
      <c r="E1542">
        <v>2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2</v>
      </c>
      <c r="O1542">
        <f t="shared" si="48"/>
        <v>2025</v>
      </c>
      <c r="P1542">
        <f t="shared" si="49"/>
        <v>6</v>
      </c>
      <c r="Q1542" t="s">
        <v>570</v>
      </c>
      <c r="R1542" s="546" t="s">
        <v>804</v>
      </c>
    </row>
    <row r="1543" spans="1:18" x14ac:dyDescent="0.3">
      <c r="A1543" t="s">
        <v>627</v>
      </c>
      <c r="B1543" s="16">
        <v>45814</v>
      </c>
      <c r="C1543" t="s">
        <v>3</v>
      </c>
      <c r="D1543" t="s">
        <v>154</v>
      </c>
      <c r="E1543">
        <v>343</v>
      </c>
      <c r="F1543">
        <v>294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f t="shared" si="48"/>
        <v>2025</v>
      </c>
      <c r="P1543">
        <f t="shared" si="49"/>
        <v>6</v>
      </c>
      <c r="Q1543" t="s">
        <v>570</v>
      </c>
      <c r="R1543" s="546" t="s">
        <v>804</v>
      </c>
    </row>
    <row r="1544" spans="1:18" x14ac:dyDescent="0.3">
      <c r="A1544" t="s">
        <v>627</v>
      </c>
      <c r="B1544" s="16">
        <v>45814</v>
      </c>
      <c r="C1544" t="s">
        <v>3</v>
      </c>
      <c r="D1544" t="s">
        <v>153</v>
      </c>
      <c r="E1544">
        <v>276</v>
      </c>
      <c r="F1544">
        <v>64</v>
      </c>
      <c r="G1544">
        <v>27</v>
      </c>
      <c r="H1544">
        <v>3</v>
      </c>
      <c r="I1544">
        <v>45121.87</v>
      </c>
      <c r="J1544">
        <v>17</v>
      </c>
      <c r="K1544">
        <v>40146.870000000003</v>
      </c>
      <c r="L1544">
        <v>16</v>
      </c>
      <c r="M1544">
        <v>82</v>
      </c>
      <c r="N1544">
        <v>268</v>
      </c>
      <c r="O1544">
        <f t="shared" si="48"/>
        <v>2025</v>
      </c>
      <c r="P1544">
        <f t="shared" si="49"/>
        <v>6</v>
      </c>
      <c r="Q1544" t="s">
        <v>570</v>
      </c>
      <c r="R1544" s="546" t="s">
        <v>804</v>
      </c>
    </row>
    <row r="1545" spans="1:18" x14ac:dyDescent="0.3">
      <c r="A1545" t="s">
        <v>627</v>
      </c>
      <c r="B1545" s="16">
        <v>45814</v>
      </c>
      <c r="C1545" t="s">
        <v>3</v>
      </c>
      <c r="D1545" t="s">
        <v>152</v>
      </c>
      <c r="E1545">
        <v>21</v>
      </c>
      <c r="F1545">
        <v>11</v>
      </c>
      <c r="G1545">
        <v>0</v>
      </c>
      <c r="H1545">
        <v>1</v>
      </c>
      <c r="I1545">
        <v>1490</v>
      </c>
      <c r="J1545">
        <v>1</v>
      </c>
      <c r="K1545">
        <v>1490</v>
      </c>
      <c r="L1545">
        <v>1</v>
      </c>
      <c r="M1545">
        <v>1</v>
      </c>
      <c r="N1545">
        <v>19</v>
      </c>
      <c r="O1545">
        <f t="shared" si="48"/>
        <v>2025</v>
      </c>
      <c r="P1545">
        <f t="shared" si="49"/>
        <v>6</v>
      </c>
      <c r="Q1545" t="s">
        <v>570</v>
      </c>
      <c r="R1545" s="546" t="s">
        <v>804</v>
      </c>
    </row>
    <row r="1546" spans="1:18" x14ac:dyDescent="0.3">
      <c r="A1546" t="s">
        <v>627</v>
      </c>
      <c r="B1546" s="16">
        <v>45814</v>
      </c>
      <c r="C1546" t="s">
        <v>3</v>
      </c>
      <c r="D1546" t="s">
        <v>150</v>
      </c>
      <c r="E1546">
        <v>4</v>
      </c>
      <c r="F1546">
        <v>2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</v>
      </c>
      <c r="N1546">
        <v>3</v>
      </c>
      <c r="O1546">
        <f t="shared" si="48"/>
        <v>2025</v>
      </c>
      <c r="P1546">
        <f t="shared" si="49"/>
        <v>6</v>
      </c>
      <c r="Q1546" t="s">
        <v>570</v>
      </c>
      <c r="R1546" s="546" t="s">
        <v>804</v>
      </c>
    </row>
    <row r="1547" spans="1:18" x14ac:dyDescent="0.3">
      <c r="A1547" t="s">
        <v>627</v>
      </c>
      <c r="B1547" s="16">
        <v>45814</v>
      </c>
      <c r="C1547" t="s">
        <v>3</v>
      </c>
      <c r="D1547" t="s">
        <v>149</v>
      </c>
      <c r="E1547">
        <v>9</v>
      </c>
      <c r="F1547">
        <v>3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2</v>
      </c>
      <c r="O1547">
        <f t="shared" si="48"/>
        <v>2025</v>
      </c>
      <c r="P1547">
        <f t="shared" si="49"/>
        <v>6</v>
      </c>
      <c r="Q1547" t="s">
        <v>570</v>
      </c>
      <c r="R1547" s="546" t="s">
        <v>804</v>
      </c>
    </row>
    <row r="1548" spans="1:18" x14ac:dyDescent="0.3">
      <c r="A1548" t="s">
        <v>627</v>
      </c>
      <c r="B1548" s="16">
        <v>45814</v>
      </c>
      <c r="C1548" t="s">
        <v>3</v>
      </c>
      <c r="D1548" t="s">
        <v>148</v>
      </c>
      <c r="E1548">
        <v>1</v>
      </c>
      <c r="F1548">
        <v>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f t="shared" si="48"/>
        <v>2025</v>
      </c>
      <c r="P1548">
        <f t="shared" si="49"/>
        <v>6</v>
      </c>
      <c r="Q1548" t="s">
        <v>570</v>
      </c>
      <c r="R1548" s="546" t="s">
        <v>804</v>
      </c>
    </row>
    <row r="1549" spans="1:18" x14ac:dyDescent="0.3">
      <c r="A1549" t="s">
        <v>627</v>
      </c>
      <c r="B1549" s="16">
        <v>45814</v>
      </c>
      <c r="C1549" t="s">
        <v>3</v>
      </c>
      <c r="D1549" t="s">
        <v>146</v>
      </c>
      <c r="E1549">
        <v>1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</v>
      </c>
      <c r="O1549">
        <f t="shared" si="48"/>
        <v>2025</v>
      </c>
      <c r="P1549">
        <f t="shared" si="49"/>
        <v>6</v>
      </c>
      <c r="Q1549" t="s">
        <v>570</v>
      </c>
      <c r="R1549" s="546" t="s">
        <v>804</v>
      </c>
    </row>
    <row r="1550" spans="1:18" x14ac:dyDescent="0.3">
      <c r="A1550" t="s">
        <v>627</v>
      </c>
      <c r="B1550" s="16">
        <v>45814</v>
      </c>
      <c r="C1550" t="s">
        <v>3</v>
      </c>
      <c r="D1550" t="s">
        <v>630</v>
      </c>
      <c r="E1550">
        <v>11</v>
      </c>
      <c r="F1550">
        <v>7</v>
      </c>
      <c r="G1550">
        <v>1</v>
      </c>
      <c r="H1550">
        <v>0</v>
      </c>
      <c r="I1550">
        <v>2395</v>
      </c>
      <c r="J1550">
        <v>1</v>
      </c>
      <c r="K1550">
        <v>2395</v>
      </c>
      <c r="L1550">
        <v>1</v>
      </c>
      <c r="M1550">
        <v>0</v>
      </c>
      <c r="N1550">
        <v>8</v>
      </c>
      <c r="O1550">
        <f t="shared" si="48"/>
        <v>2025</v>
      </c>
      <c r="P1550">
        <f t="shared" si="49"/>
        <v>6</v>
      </c>
      <c r="Q1550" t="s">
        <v>570</v>
      </c>
      <c r="R1550" s="546" t="s">
        <v>804</v>
      </c>
    </row>
    <row r="1551" spans="1:18" x14ac:dyDescent="0.3">
      <c r="A1551" t="s">
        <v>627</v>
      </c>
      <c r="B1551" s="16">
        <v>45814</v>
      </c>
      <c r="C1551" t="s">
        <v>3</v>
      </c>
      <c r="D1551" t="s">
        <v>251</v>
      </c>
      <c r="E1551">
        <v>3084</v>
      </c>
      <c r="F1551">
        <v>2710</v>
      </c>
      <c r="G1551">
        <v>10</v>
      </c>
      <c r="H1551">
        <v>0</v>
      </c>
      <c r="I1551">
        <v>12945</v>
      </c>
      <c r="J1551">
        <v>5</v>
      </c>
      <c r="K1551">
        <v>11455</v>
      </c>
      <c r="L1551">
        <v>4</v>
      </c>
      <c r="M1551">
        <v>61</v>
      </c>
      <c r="N1551">
        <v>171</v>
      </c>
      <c r="O1551">
        <f t="shared" si="48"/>
        <v>2025</v>
      </c>
      <c r="P1551">
        <f t="shared" si="49"/>
        <v>6</v>
      </c>
      <c r="Q1551" t="s">
        <v>570</v>
      </c>
      <c r="R1551" s="546" t="s">
        <v>804</v>
      </c>
    </row>
    <row r="1552" spans="1:18" x14ac:dyDescent="0.3">
      <c r="A1552" t="s">
        <v>627</v>
      </c>
      <c r="B1552" s="16">
        <v>45814</v>
      </c>
      <c r="C1552" t="s">
        <v>3</v>
      </c>
      <c r="D1552" t="s">
        <v>143</v>
      </c>
      <c r="E1552">
        <v>22</v>
      </c>
      <c r="F1552">
        <v>18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22</v>
      </c>
      <c r="O1552">
        <f t="shared" si="48"/>
        <v>2025</v>
      </c>
      <c r="P1552">
        <f t="shared" si="49"/>
        <v>6</v>
      </c>
      <c r="Q1552" t="s">
        <v>570</v>
      </c>
      <c r="R1552" s="546" t="s">
        <v>804</v>
      </c>
    </row>
    <row r="1553" spans="1:18" x14ac:dyDescent="0.3">
      <c r="A1553" t="s">
        <v>627</v>
      </c>
      <c r="B1553" s="16">
        <v>45814</v>
      </c>
      <c r="C1553" t="s">
        <v>3</v>
      </c>
      <c r="D1553" t="s">
        <v>141</v>
      </c>
      <c r="E1553">
        <v>250</v>
      </c>
      <c r="F1553">
        <v>137</v>
      </c>
      <c r="G1553">
        <v>4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250</v>
      </c>
      <c r="O1553">
        <f t="shared" si="48"/>
        <v>2025</v>
      </c>
      <c r="P1553">
        <f t="shared" si="49"/>
        <v>6</v>
      </c>
      <c r="Q1553" t="s">
        <v>570</v>
      </c>
      <c r="R1553" s="546" t="s">
        <v>804</v>
      </c>
    </row>
    <row r="1554" spans="1:18" x14ac:dyDescent="0.3">
      <c r="A1554" t="s">
        <v>627</v>
      </c>
      <c r="B1554" s="16">
        <v>45814</v>
      </c>
      <c r="C1554" t="s">
        <v>3</v>
      </c>
      <c r="D1554" t="s">
        <v>140</v>
      </c>
      <c r="E1554">
        <v>4</v>
      </c>
      <c r="F1554">
        <v>2</v>
      </c>
      <c r="G1554">
        <v>0</v>
      </c>
      <c r="H1554">
        <v>1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3</v>
      </c>
      <c r="O1554">
        <f t="shared" si="48"/>
        <v>2025</v>
      </c>
      <c r="P1554">
        <f t="shared" si="49"/>
        <v>6</v>
      </c>
      <c r="Q1554" t="s">
        <v>570</v>
      </c>
      <c r="R1554" s="546" t="s">
        <v>804</v>
      </c>
    </row>
    <row r="1555" spans="1:18" x14ac:dyDescent="0.3">
      <c r="A1555" t="s">
        <v>627</v>
      </c>
      <c r="B1555" s="16">
        <v>45814</v>
      </c>
      <c r="C1555" t="s">
        <v>3</v>
      </c>
      <c r="D1555" t="s">
        <v>139</v>
      </c>
      <c r="E1555">
        <v>460</v>
      </c>
      <c r="F1555">
        <v>274</v>
      </c>
      <c r="G1555">
        <v>23</v>
      </c>
      <c r="H1555">
        <v>6</v>
      </c>
      <c r="I1555">
        <v>27205</v>
      </c>
      <c r="J1555">
        <v>6</v>
      </c>
      <c r="K1555">
        <v>23140</v>
      </c>
      <c r="L1555">
        <v>5</v>
      </c>
      <c r="M1555">
        <v>185</v>
      </c>
      <c r="N1555">
        <v>329</v>
      </c>
      <c r="O1555">
        <f t="shared" si="48"/>
        <v>2025</v>
      </c>
      <c r="P1555">
        <f t="shared" si="49"/>
        <v>6</v>
      </c>
      <c r="Q1555" t="s">
        <v>570</v>
      </c>
      <c r="R1555" s="546" t="s">
        <v>804</v>
      </c>
    </row>
    <row r="1556" spans="1:18" x14ac:dyDescent="0.3">
      <c r="A1556" t="s">
        <v>627</v>
      </c>
      <c r="B1556" s="16">
        <v>45814</v>
      </c>
      <c r="C1556" t="s">
        <v>3</v>
      </c>
      <c r="D1556" t="s">
        <v>138</v>
      </c>
      <c r="E1556">
        <v>8</v>
      </c>
      <c r="F1556">
        <v>6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2</v>
      </c>
      <c r="N1556">
        <v>7</v>
      </c>
      <c r="O1556">
        <f t="shared" si="48"/>
        <v>2025</v>
      </c>
      <c r="P1556">
        <f t="shared" si="49"/>
        <v>6</v>
      </c>
      <c r="Q1556" t="s">
        <v>570</v>
      </c>
      <c r="R1556" s="546" t="s">
        <v>804</v>
      </c>
    </row>
    <row r="1557" spans="1:18" x14ac:dyDescent="0.3">
      <c r="A1557" t="s">
        <v>627</v>
      </c>
      <c r="B1557" s="16">
        <v>45814</v>
      </c>
      <c r="C1557" t="s">
        <v>3</v>
      </c>
      <c r="D1557" t="s">
        <v>137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</v>
      </c>
      <c r="O1557">
        <f t="shared" si="48"/>
        <v>2025</v>
      </c>
      <c r="P1557">
        <f t="shared" si="49"/>
        <v>6</v>
      </c>
      <c r="Q1557" t="s">
        <v>570</v>
      </c>
      <c r="R1557" s="546" t="s">
        <v>804</v>
      </c>
    </row>
    <row r="1558" spans="1:18" x14ac:dyDescent="0.3">
      <c r="A1558" t="s">
        <v>627</v>
      </c>
      <c r="B1558" s="16">
        <v>45814</v>
      </c>
      <c r="C1558" t="s">
        <v>3</v>
      </c>
      <c r="D1558" t="s">
        <v>135</v>
      </c>
      <c r="E1558">
        <v>11</v>
      </c>
      <c r="F1558">
        <v>7</v>
      </c>
      <c r="G1558">
        <v>1</v>
      </c>
      <c r="H1558">
        <v>0</v>
      </c>
      <c r="I1558">
        <v>2395</v>
      </c>
      <c r="J1558">
        <v>1</v>
      </c>
      <c r="K1558">
        <v>2395</v>
      </c>
      <c r="L1558">
        <v>1</v>
      </c>
      <c r="M1558">
        <v>0</v>
      </c>
      <c r="N1558">
        <v>8</v>
      </c>
      <c r="O1558">
        <f t="shared" si="48"/>
        <v>2025</v>
      </c>
      <c r="P1558">
        <f t="shared" si="49"/>
        <v>6</v>
      </c>
      <c r="Q1558" t="s">
        <v>570</v>
      </c>
      <c r="R1558" s="546" t="s">
        <v>804</v>
      </c>
    </row>
    <row r="1559" spans="1:18" x14ac:dyDescent="0.3">
      <c r="A1559" t="s">
        <v>627</v>
      </c>
      <c r="B1559" s="16">
        <v>45814</v>
      </c>
      <c r="C1559" t="s">
        <v>3</v>
      </c>
      <c r="D1559" t="s">
        <v>133</v>
      </c>
      <c r="E1559">
        <v>8</v>
      </c>
      <c r="F1559">
        <v>5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2</v>
      </c>
      <c r="N1559">
        <v>8</v>
      </c>
      <c r="O1559">
        <f t="shared" si="48"/>
        <v>2025</v>
      </c>
      <c r="P1559">
        <f t="shared" si="49"/>
        <v>6</v>
      </c>
      <c r="Q1559" t="s">
        <v>570</v>
      </c>
      <c r="R1559" s="546" t="s">
        <v>804</v>
      </c>
    </row>
    <row r="1560" spans="1:18" x14ac:dyDescent="0.3">
      <c r="A1560" t="s">
        <v>627</v>
      </c>
      <c r="B1560" s="16">
        <v>45814</v>
      </c>
      <c r="C1560" t="s">
        <v>3</v>
      </c>
      <c r="D1560" t="s">
        <v>130</v>
      </c>
      <c r="E1560">
        <v>84</v>
      </c>
      <c r="F1560">
        <v>34</v>
      </c>
      <c r="G1560">
        <v>7</v>
      </c>
      <c r="H1560">
        <v>0</v>
      </c>
      <c r="I1560">
        <v>10253.129999999999</v>
      </c>
      <c r="J1560">
        <v>6</v>
      </c>
      <c r="K1560">
        <v>10253.129999999999</v>
      </c>
      <c r="L1560">
        <v>6</v>
      </c>
      <c r="M1560">
        <v>55</v>
      </c>
      <c r="N1560">
        <v>59</v>
      </c>
      <c r="O1560">
        <f t="shared" si="48"/>
        <v>2025</v>
      </c>
      <c r="P1560">
        <f t="shared" si="49"/>
        <v>6</v>
      </c>
      <c r="Q1560" t="s">
        <v>570</v>
      </c>
      <c r="R1560" s="546" t="s">
        <v>804</v>
      </c>
    </row>
    <row r="1561" spans="1:18" x14ac:dyDescent="0.3">
      <c r="A1561" t="s">
        <v>627</v>
      </c>
      <c r="B1561" s="16">
        <v>45814</v>
      </c>
      <c r="C1561" t="s">
        <v>3</v>
      </c>
      <c r="D1561" t="s">
        <v>128</v>
      </c>
      <c r="E1561">
        <v>693</v>
      </c>
      <c r="F1561">
        <v>503</v>
      </c>
      <c r="G1561">
        <v>23</v>
      </c>
      <c r="H1561">
        <v>6</v>
      </c>
      <c r="I1561">
        <v>11095</v>
      </c>
      <c r="J1561">
        <v>3</v>
      </c>
      <c r="K1561">
        <v>9405</v>
      </c>
      <c r="L1561">
        <v>3</v>
      </c>
      <c r="M1561">
        <v>279</v>
      </c>
      <c r="N1561">
        <v>509</v>
      </c>
      <c r="O1561">
        <f t="shared" si="48"/>
        <v>2025</v>
      </c>
      <c r="P1561">
        <f t="shared" si="49"/>
        <v>6</v>
      </c>
      <c r="Q1561" t="s">
        <v>570</v>
      </c>
      <c r="R1561" s="546" t="s">
        <v>804</v>
      </c>
    </row>
    <row r="1562" spans="1:18" x14ac:dyDescent="0.3">
      <c r="A1562" t="s">
        <v>627</v>
      </c>
      <c r="B1562" s="16">
        <v>45814</v>
      </c>
      <c r="C1562" t="s">
        <v>3</v>
      </c>
      <c r="D1562" t="s">
        <v>127</v>
      </c>
      <c r="E1562">
        <v>5791</v>
      </c>
      <c r="F1562">
        <v>4839</v>
      </c>
      <c r="G1562">
        <v>53</v>
      </c>
      <c r="H1562">
        <v>27</v>
      </c>
      <c r="I1562">
        <v>67943</v>
      </c>
      <c r="J1562">
        <v>10</v>
      </c>
      <c r="K1562">
        <v>23798</v>
      </c>
      <c r="L1562">
        <v>7</v>
      </c>
      <c r="M1562">
        <v>363</v>
      </c>
      <c r="N1562">
        <v>5385</v>
      </c>
      <c r="O1562">
        <f t="shared" si="48"/>
        <v>2025</v>
      </c>
      <c r="P1562">
        <f t="shared" si="49"/>
        <v>6</v>
      </c>
      <c r="Q1562" t="s">
        <v>570</v>
      </c>
      <c r="R1562" s="546" t="s">
        <v>804</v>
      </c>
    </row>
    <row r="1563" spans="1:18" x14ac:dyDescent="0.3">
      <c r="A1563" t="s">
        <v>627</v>
      </c>
      <c r="B1563" s="16">
        <v>45814</v>
      </c>
      <c r="C1563" t="s">
        <v>3</v>
      </c>
      <c r="D1563" t="s">
        <v>126</v>
      </c>
      <c r="E1563">
        <v>74</v>
      </c>
      <c r="F1563">
        <v>43</v>
      </c>
      <c r="G1563">
        <v>1</v>
      </c>
      <c r="H1563">
        <v>2</v>
      </c>
      <c r="I1563">
        <v>3395</v>
      </c>
      <c r="J1563">
        <v>1</v>
      </c>
      <c r="K1563">
        <v>3395</v>
      </c>
      <c r="L1563">
        <v>1</v>
      </c>
      <c r="M1563">
        <v>8</v>
      </c>
      <c r="N1563">
        <v>70</v>
      </c>
      <c r="O1563">
        <f t="shared" si="48"/>
        <v>2025</v>
      </c>
      <c r="P1563">
        <f t="shared" si="49"/>
        <v>6</v>
      </c>
      <c r="Q1563" t="s">
        <v>570</v>
      </c>
      <c r="R1563" s="546" t="s">
        <v>804</v>
      </c>
    </row>
    <row r="1564" spans="1:18" x14ac:dyDescent="0.3">
      <c r="A1564" t="s">
        <v>627</v>
      </c>
      <c r="B1564" s="16">
        <v>45814</v>
      </c>
      <c r="C1564" t="s">
        <v>3</v>
      </c>
      <c r="D1564" t="s">
        <v>123</v>
      </c>
      <c r="E1564">
        <v>178</v>
      </c>
      <c r="F1564">
        <v>104</v>
      </c>
      <c r="G1564">
        <v>4</v>
      </c>
      <c r="H1564">
        <v>1</v>
      </c>
      <c r="I1564">
        <v>1990</v>
      </c>
      <c r="J1564">
        <v>1</v>
      </c>
      <c r="K1564">
        <v>1990</v>
      </c>
      <c r="L1564">
        <v>1</v>
      </c>
      <c r="M1564">
        <v>49</v>
      </c>
      <c r="N1564">
        <v>163</v>
      </c>
      <c r="O1564">
        <f t="shared" si="48"/>
        <v>2025</v>
      </c>
      <c r="P1564">
        <f t="shared" si="49"/>
        <v>6</v>
      </c>
      <c r="Q1564" t="s">
        <v>570</v>
      </c>
      <c r="R1564" s="546" t="s">
        <v>804</v>
      </c>
    </row>
    <row r="1565" spans="1:18" x14ac:dyDescent="0.3">
      <c r="A1565" t="s">
        <v>627</v>
      </c>
      <c r="B1565" s="16">
        <v>45814</v>
      </c>
      <c r="C1565" t="s">
        <v>3</v>
      </c>
      <c r="D1565" t="s">
        <v>121</v>
      </c>
      <c r="E1565">
        <v>1</v>
      </c>
      <c r="F1565">
        <v>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f t="shared" si="48"/>
        <v>2025</v>
      </c>
      <c r="P1565">
        <f t="shared" si="49"/>
        <v>6</v>
      </c>
      <c r="Q1565" t="s">
        <v>570</v>
      </c>
      <c r="R1565" s="546" t="s">
        <v>804</v>
      </c>
    </row>
    <row r="1566" spans="1:18" x14ac:dyDescent="0.3">
      <c r="A1566" t="s">
        <v>627</v>
      </c>
      <c r="B1566" s="16">
        <v>45814</v>
      </c>
      <c r="C1566" t="s">
        <v>3</v>
      </c>
      <c r="D1566" t="s">
        <v>119</v>
      </c>
      <c r="E1566">
        <v>200</v>
      </c>
      <c r="F1566">
        <v>50</v>
      </c>
      <c r="G1566">
        <v>14</v>
      </c>
      <c r="H1566">
        <v>3</v>
      </c>
      <c r="I1566">
        <v>17702.09</v>
      </c>
      <c r="J1566">
        <v>8</v>
      </c>
      <c r="K1566">
        <v>20077.09</v>
      </c>
      <c r="L1566">
        <v>9</v>
      </c>
      <c r="M1566">
        <v>32</v>
      </c>
      <c r="N1566">
        <v>195</v>
      </c>
      <c r="O1566">
        <f t="shared" si="48"/>
        <v>2025</v>
      </c>
      <c r="P1566">
        <f t="shared" si="49"/>
        <v>6</v>
      </c>
      <c r="Q1566" t="s">
        <v>570</v>
      </c>
      <c r="R1566" s="546" t="s">
        <v>804</v>
      </c>
    </row>
    <row r="1567" spans="1:18" x14ac:dyDescent="0.3">
      <c r="A1567" t="s">
        <v>627</v>
      </c>
      <c r="B1567" s="16">
        <v>45814</v>
      </c>
      <c r="C1567" t="s">
        <v>3</v>
      </c>
      <c r="D1567" t="s">
        <v>583</v>
      </c>
      <c r="E1567">
        <v>3</v>
      </c>
      <c r="F1567">
        <v>2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3</v>
      </c>
      <c r="O1567">
        <f t="shared" si="48"/>
        <v>2025</v>
      </c>
      <c r="P1567">
        <f t="shared" si="49"/>
        <v>6</v>
      </c>
      <c r="Q1567" t="s">
        <v>570</v>
      </c>
      <c r="R1567" s="546" t="s">
        <v>804</v>
      </c>
    </row>
    <row r="1568" spans="1:18" x14ac:dyDescent="0.3">
      <c r="A1568" t="s">
        <v>627</v>
      </c>
      <c r="B1568" s="16">
        <v>45814</v>
      </c>
      <c r="C1568" t="s">
        <v>3</v>
      </c>
      <c r="D1568" t="s">
        <v>252</v>
      </c>
      <c r="E1568">
        <v>18</v>
      </c>
      <c r="F1568">
        <v>17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18</v>
      </c>
      <c r="O1568">
        <f t="shared" si="48"/>
        <v>2025</v>
      </c>
      <c r="P1568">
        <f t="shared" si="49"/>
        <v>6</v>
      </c>
      <c r="Q1568" t="s">
        <v>570</v>
      </c>
      <c r="R1568" s="546" t="s">
        <v>804</v>
      </c>
    </row>
    <row r="1569" spans="1:18" x14ac:dyDescent="0.3">
      <c r="A1569" t="s">
        <v>627</v>
      </c>
      <c r="B1569" s="16">
        <v>45814</v>
      </c>
      <c r="C1569" t="s">
        <v>3</v>
      </c>
      <c r="D1569" t="s">
        <v>391</v>
      </c>
      <c r="E1569">
        <v>371</v>
      </c>
      <c r="F1569">
        <v>192</v>
      </c>
      <c r="G1569">
        <v>7</v>
      </c>
      <c r="H1569">
        <v>2</v>
      </c>
      <c r="I1569">
        <v>5097</v>
      </c>
      <c r="J1569">
        <v>2</v>
      </c>
      <c r="K1569">
        <v>5097</v>
      </c>
      <c r="L1569">
        <v>2</v>
      </c>
      <c r="M1569">
        <v>62</v>
      </c>
      <c r="N1569">
        <v>364</v>
      </c>
      <c r="O1569">
        <f t="shared" si="48"/>
        <v>2025</v>
      </c>
      <c r="P1569">
        <f t="shared" si="49"/>
        <v>6</v>
      </c>
      <c r="Q1569" t="s">
        <v>570</v>
      </c>
      <c r="R1569" s="546" t="s">
        <v>804</v>
      </c>
    </row>
    <row r="1570" spans="1:18" x14ac:dyDescent="0.3">
      <c r="A1570" t="s">
        <v>627</v>
      </c>
      <c r="B1570" s="16">
        <v>45814</v>
      </c>
      <c r="C1570" t="s">
        <v>3</v>
      </c>
      <c r="D1570" t="s">
        <v>114</v>
      </c>
      <c r="E1570">
        <v>149</v>
      </c>
      <c r="F1570">
        <v>91</v>
      </c>
      <c r="G1570">
        <v>3</v>
      </c>
      <c r="H1570">
        <v>2</v>
      </c>
      <c r="I1570">
        <v>0</v>
      </c>
      <c r="J1570">
        <v>0</v>
      </c>
      <c r="K1570">
        <v>0</v>
      </c>
      <c r="L1570">
        <v>0</v>
      </c>
      <c r="M1570">
        <v>10</v>
      </c>
      <c r="N1570">
        <v>146</v>
      </c>
      <c r="O1570">
        <f t="shared" si="48"/>
        <v>2025</v>
      </c>
      <c r="P1570">
        <f t="shared" si="49"/>
        <v>6</v>
      </c>
      <c r="Q1570" t="s">
        <v>570</v>
      </c>
      <c r="R1570" s="546" t="s">
        <v>804</v>
      </c>
    </row>
    <row r="1571" spans="1:18" x14ac:dyDescent="0.3">
      <c r="A1571" t="s">
        <v>627</v>
      </c>
      <c r="B1571" s="16">
        <v>45814</v>
      </c>
      <c r="C1571" t="s">
        <v>3</v>
      </c>
      <c r="D1571" t="s">
        <v>113</v>
      </c>
      <c r="E1571">
        <v>76</v>
      </c>
      <c r="F1571">
        <v>40</v>
      </c>
      <c r="G1571">
        <v>1</v>
      </c>
      <c r="H1571">
        <v>1</v>
      </c>
      <c r="I1571">
        <v>0</v>
      </c>
      <c r="J1571">
        <v>0</v>
      </c>
      <c r="K1571">
        <v>0</v>
      </c>
      <c r="L1571">
        <v>0</v>
      </c>
      <c r="M1571">
        <v>60</v>
      </c>
      <c r="N1571">
        <v>38</v>
      </c>
      <c r="O1571">
        <f t="shared" si="48"/>
        <v>2025</v>
      </c>
      <c r="P1571">
        <f t="shared" si="49"/>
        <v>6</v>
      </c>
      <c r="Q1571" t="s">
        <v>570</v>
      </c>
      <c r="R1571" s="546" t="s">
        <v>804</v>
      </c>
    </row>
    <row r="1572" spans="1:18" x14ac:dyDescent="0.3">
      <c r="A1572" t="s">
        <v>627</v>
      </c>
      <c r="B1572" s="16">
        <v>45814</v>
      </c>
      <c r="C1572" t="s">
        <v>3</v>
      </c>
      <c r="D1572" t="s">
        <v>112</v>
      </c>
      <c r="E1572">
        <v>19</v>
      </c>
      <c r="F1572">
        <v>5</v>
      </c>
      <c r="G1572">
        <v>1</v>
      </c>
      <c r="H1572">
        <v>0</v>
      </c>
      <c r="I1572">
        <v>4277.09</v>
      </c>
      <c r="J1572">
        <v>2</v>
      </c>
      <c r="K1572">
        <v>4277.09</v>
      </c>
      <c r="L1572">
        <v>2</v>
      </c>
      <c r="M1572">
        <v>0</v>
      </c>
      <c r="N1572">
        <v>19</v>
      </c>
      <c r="O1572">
        <f t="shared" si="48"/>
        <v>2025</v>
      </c>
      <c r="P1572">
        <f t="shared" si="49"/>
        <v>6</v>
      </c>
      <c r="Q1572" t="s">
        <v>570</v>
      </c>
      <c r="R1572" s="546" t="s">
        <v>804</v>
      </c>
    </row>
    <row r="1573" spans="1:18" x14ac:dyDescent="0.3">
      <c r="A1573" t="s">
        <v>627</v>
      </c>
      <c r="B1573" s="16">
        <v>45814</v>
      </c>
      <c r="C1573" t="s">
        <v>3</v>
      </c>
      <c r="D1573" t="s">
        <v>111</v>
      </c>
      <c r="E1573">
        <v>2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2</v>
      </c>
      <c r="O1573">
        <f t="shared" si="48"/>
        <v>2025</v>
      </c>
      <c r="P1573">
        <f t="shared" si="49"/>
        <v>6</v>
      </c>
      <c r="Q1573" t="s">
        <v>570</v>
      </c>
      <c r="R1573" s="546" t="s">
        <v>804</v>
      </c>
    </row>
    <row r="1574" spans="1:18" x14ac:dyDescent="0.3">
      <c r="A1574" t="s">
        <v>627</v>
      </c>
      <c r="B1574" s="16">
        <v>45813</v>
      </c>
      <c r="C1574" t="s">
        <v>2</v>
      </c>
      <c r="D1574" t="s">
        <v>4</v>
      </c>
      <c r="E1574">
        <v>329</v>
      </c>
      <c r="F1574">
        <v>109</v>
      </c>
      <c r="G1574">
        <v>4</v>
      </c>
      <c r="H1574">
        <v>0</v>
      </c>
      <c r="I1574">
        <v>8990.19</v>
      </c>
      <c r="J1574">
        <v>2</v>
      </c>
      <c r="K1574">
        <v>8990.19</v>
      </c>
      <c r="L1574">
        <v>2</v>
      </c>
      <c r="M1574">
        <v>3</v>
      </c>
      <c r="N1574">
        <v>323</v>
      </c>
      <c r="O1574">
        <f t="shared" si="48"/>
        <v>2025</v>
      </c>
      <c r="P1574">
        <f t="shared" si="49"/>
        <v>6</v>
      </c>
      <c r="Q1574" t="s">
        <v>570</v>
      </c>
      <c r="R1574" s="546" t="s">
        <v>804</v>
      </c>
    </row>
    <row r="1575" spans="1:18" x14ac:dyDescent="0.3">
      <c r="A1575" t="s">
        <v>627</v>
      </c>
      <c r="B1575" s="16">
        <v>45813</v>
      </c>
      <c r="C1575" t="s">
        <v>2</v>
      </c>
      <c r="D1575" t="s">
        <v>57</v>
      </c>
      <c r="E1575">
        <v>16552</v>
      </c>
      <c r="F1575">
        <v>10579</v>
      </c>
      <c r="G1575">
        <v>234</v>
      </c>
      <c r="H1575">
        <v>197</v>
      </c>
      <c r="I1575">
        <v>134018.23999999999</v>
      </c>
      <c r="J1575">
        <v>31</v>
      </c>
      <c r="K1575">
        <v>92743.24</v>
      </c>
      <c r="L1575">
        <v>22</v>
      </c>
      <c r="M1575">
        <v>1007</v>
      </c>
      <c r="N1575">
        <v>16317</v>
      </c>
      <c r="O1575">
        <f t="shared" si="48"/>
        <v>2025</v>
      </c>
      <c r="P1575">
        <f t="shared" si="49"/>
        <v>6</v>
      </c>
      <c r="Q1575" t="s">
        <v>570</v>
      </c>
      <c r="R1575" s="546" t="s">
        <v>804</v>
      </c>
    </row>
    <row r="1576" spans="1:18" x14ac:dyDescent="0.3">
      <c r="A1576" t="s">
        <v>627</v>
      </c>
      <c r="B1576" s="16">
        <v>45813</v>
      </c>
      <c r="C1576" t="s">
        <v>2</v>
      </c>
      <c r="D1576" t="s">
        <v>55</v>
      </c>
      <c r="E1576">
        <v>1014</v>
      </c>
      <c r="F1576">
        <v>783</v>
      </c>
      <c r="G1576">
        <v>14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23</v>
      </c>
      <c r="N1576">
        <v>198</v>
      </c>
      <c r="O1576">
        <f t="shared" si="48"/>
        <v>2025</v>
      </c>
      <c r="P1576">
        <f t="shared" si="49"/>
        <v>6</v>
      </c>
      <c r="Q1576" t="s">
        <v>570</v>
      </c>
      <c r="R1576" s="546" t="s">
        <v>804</v>
      </c>
    </row>
    <row r="1577" spans="1:18" x14ac:dyDescent="0.3">
      <c r="A1577" t="s">
        <v>627</v>
      </c>
      <c r="B1577" s="16">
        <v>45813</v>
      </c>
      <c r="C1577" t="s">
        <v>3</v>
      </c>
      <c r="D1577" t="s">
        <v>154</v>
      </c>
      <c r="E1577">
        <v>456</v>
      </c>
      <c r="F1577">
        <v>401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2</v>
      </c>
      <c r="O1577">
        <f t="shared" si="48"/>
        <v>2025</v>
      </c>
      <c r="P1577">
        <f t="shared" si="49"/>
        <v>6</v>
      </c>
      <c r="Q1577" t="s">
        <v>570</v>
      </c>
      <c r="R1577" s="546" t="s">
        <v>804</v>
      </c>
    </row>
    <row r="1578" spans="1:18" x14ac:dyDescent="0.3">
      <c r="A1578" t="s">
        <v>627</v>
      </c>
      <c r="B1578" s="16">
        <v>45813</v>
      </c>
      <c r="C1578" t="s">
        <v>3</v>
      </c>
      <c r="D1578" t="s">
        <v>153</v>
      </c>
      <c r="E1578">
        <v>330</v>
      </c>
      <c r="F1578">
        <v>67</v>
      </c>
      <c r="G1578">
        <v>34</v>
      </c>
      <c r="H1578">
        <v>2</v>
      </c>
      <c r="I1578">
        <v>186492</v>
      </c>
      <c r="J1578">
        <v>36</v>
      </c>
      <c r="K1578">
        <v>182627</v>
      </c>
      <c r="L1578">
        <v>35</v>
      </c>
      <c r="M1578">
        <v>82</v>
      </c>
      <c r="N1578">
        <v>317</v>
      </c>
      <c r="O1578">
        <f t="shared" si="48"/>
        <v>2025</v>
      </c>
      <c r="P1578">
        <f t="shared" si="49"/>
        <v>6</v>
      </c>
      <c r="Q1578" t="s">
        <v>570</v>
      </c>
      <c r="R1578" s="546" t="s">
        <v>804</v>
      </c>
    </row>
    <row r="1579" spans="1:18" x14ac:dyDescent="0.3">
      <c r="A1579" t="s">
        <v>627</v>
      </c>
      <c r="B1579" s="16">
        <v>45813</v>
      </c>
      <c r="C1579" t="s">
        <v>3</v>
      </c>
      <c r="D1579" t="s">
        <v>152</v>
      </c>
      <c r="E1579">
        <v>27</v>
      </c>
      <c r="F1579">
        <v>13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21</v>
      </c>
      <c r="O1579">
        <f t="shared" si="48"/>
        <v>2025</v>
      </c>
      <c r="P1579">
        <f t="shared" si="49"/>
        <v>6</v>
      </c>
      <c r="Q1579" t="s">
        <v>570</v>
      </c>
      <c r="R1579" s="546" t="s">
        <v>804</v>
      </c>
    </row>
    <row r="1580" spans="1:18" x14ac:dyDescent="0.3">
      <c r="A1580" t="s">
        <v>627</v>
      </c>
      <c r="B1580" s="16">
        <v>45813</v>
      </c>
      <c r="C1580" t="s">
        <v>3</v>
      </c>
      <c r="D1580" t="s">
        <v>150</v>
      </c>
      <c r="E1580">
        <v>9</v>
      </c>
      <c r="F1580">
        <v>8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</v>
      </c>
      <c r="O1580">
        <f t="shared" si="48"/>
        <v>2025</v>
      </c>
      <c r="P1580">
        <f t="shared" si="49"/>
        <v>6</v>
      </c>
      <c r="Q1580" t="s">
        <v>570</v>
      </c>
      <c r="R1580" s="546" t="s">
        <v>804</v>
      </c>
    </row>
    <row r="1581" spans="1:18" x14ac:dyDescent="0.3">
      <c r="A1581" t="s">
        <v>627</v>
      </c>
      <c r="B1581" s="16">
        <v>45813</v>
      </c>
      <c r="C1581" t="s">
        <v>3</v>
      </c>
      <c r="D1581" t="s">
        <v>149</v>
      </c>
      <c r="E1581">
        <v>10</v>
      </c>
      <c r="F1581">
        <v>7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2</v>
      </c>
      <c r="O1581">
        <f t="shared" si="48"/>
        <v>2025</v>
      </c>
      <c r="P1581">
        <f t="shared" si="49"/>
        <v>6</v>
      </c>
      <c r="Q1581" t="s">
        <v>570</v>
      </c>
      <c r="R1581" s="546" t="s">
        <v>804</v>
      </c>
    </row>
    <row r="1582" spans="1:18" x14ac:dyDescent="0.3">
      <c r="A1582" t="s">
        <v>627</v>
      </c>
      <c r="B1582" s="16">
        <v>45813</v>
      </c>
      <c r="C1582" t="s">
        <v>3</v>
      </c>
      <c r="D1582" t="s">
        <v>630</v>
      </c>
      <c r="E1582">
        <v>46</v>
      </c>
      <c r="F1582">
        <v>22</v>
      </c>
      <c r="G1582">
        <v>1</v>
      </c>
      <c r="H1582">
        <v>0</v>
      </c>
      <c r="I1582">
        <v>1990</v>
      </c>
      <c r="J1582">
        <v>1</v>
      </c>
      <c r="K1582">
        <v>1990</v>
      </c>
      <c r="L1582">
        <v>1</v>
      </c>
      <c r="M1582">
        <v>0</v>
      </c>
      <c r="N1582">
        <v>18</v>
      </c>
      <c r="O1582">
        <f t="shared" si="48"/>
        <v>2025</v>
      </c>
      <c r="P1582">
        <f t="shared" si="49"/>
        <v>6</v>
      </c>
      <c r="Q1582" t="s">
        <v>570</v>
      </c>
      <c r="R1582" s="546" t="s">
        <v>804</v>
      </c>
    </row>
    <row r="1583" spans="1:18" x14ac:dyDescent="0.3">
      <c r="A1583" t="s">
        <v>627</v>
      </c>
      <c r="B1583" s="16">
        <v>45813</v>
      </c>
      <c r="C1583" t="s">
        <v>3</v>
      </c>
      <c r="D1583" t="s">
        <v>251</v>
      </c>
      <c r="E1583">
        <v>4408</v>
      </c>
      <c r="F1583">
        <v>3957</v>
      </c>
      <c r="G1583">
        <v>14</v>
      </c>
      <c r="H1583">
        <v>2</v>
      </c>
      <c r="I1583">
        <v>30310</v>
      </c>
      <c r="J1583">
        <v>5</v>
      </c>
      <c r="K1583">
        <v>30310</v>
      </c>
      <c r="L1583">
        <v>5</v>
      </c>
      <c r="M1583">
        <v>64</v>
      </c>
      <c r="N1583">
        <v>198</v>
      </c>
      <c r="O1583">
        <f t="shared" ref="O1583:O1646" si="50">YEAR(B1583)</f>
        <v>2025</v>
      </c>
      <c r="P1583">
        <f t="shared" ref="P1583:P1646" si="51">MONTH(B1583)</f>
        <v>6</v>
      </c>
      <c r="Q1583" t="s">
        <v>570</v>
      </c>
      <c r="R1583" s="546" t="s">
        <v>804</v>
      </c>
    </row>
    <row r="1584" spans="1:18" x14ac:dyDescent="0.3">
      <c r="A1584" t="s">
        <v>627</v>
      </c>
      <c r="B1584" s="16">
        <v>45813</v>
      </c>
      <c r="C1584" t="s">
        <v>3</v>
      </c>
      <c r="D1584" t="s">
        <v>143</v>
      </c>
      <c r="E1584">
        <v>21</v>
      </c>
      <c r="F1584">
        <v>19</v>
      </c>
      <c r="G1584">
        <v>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1</v>
      </c>
      <c r="N1584">
        <v>20</v>
      </c>
      <c r="O1584">
        <f t="shared" si="50"/>
        <v>2025</v>
      </c>
      <c r="P1584">
        <f t="shared" si="51"/>
        <v>6</v>
      </c>
      <c r="Q1584" t="s">
        <v>570</v>
      </c>
      <c r="R1584" s="546" t="s">
        <v>804</v>
      </c>
    </row>
    <row r="1585" spans="1:18" x14ac:dyDescent="0.3">
      <c r="A1585" t="s">
        <v>627</v>
      </c>
      <c r="B1585" s="16">
        <v>45813</v>
      </c>
      <c r="C1585" t="s">
        <v>3</v>
      </c>
      <c r="D1585" t="s">
        <v>141</v>
      </c>
      <c r="E1585">
        <v>276</v>
      </c>
      <c r="F1585">
        <v>136</v>
      </c>
      <c r="G1585">
        <v>3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1</v>
      </c>
      <c r="N1585">
        <v>275</v>
      </c>
      <c r="O1585">
        <f t="shared" si="50"/>
        <v>2025</v>
      </c>
      <c r="P1585">
        <f t="shared" si="51"/>
        <v>6</v>
      </c>
      <c r="Q1585" t="s">
        <v>570</v>
      </c>
      <c r="R1585" s="546" t="s">
        <v>804</v>
      </c>
    </row>
    <row r="1586" spans="1:18" x14ac:dyDescent="0.3">
      <c r="A1586" t="s">
        <v>627</v>
      </c>
      <c r="B1586" s="16">
        <v>45813</v>
      </c>
      <c r="C1586" t="s">
        <v>3</v>
      </c>
      <c r="D1586" t="s">
        <v>140</v>
      </c>
      <c r="E1586">
        <v>12</v>
      </c>
      <c r="F1586">
        <v>11</v>
      </c>
      <c r="G1586">
        <v>2</v>
      </c>
      <c r="H1586">
        <v>0</v>
      </c>
      <c r="I1586">
        <v>1490</v>
      </c>
      <c r="J1586">
        <v>1</v>
      </c>
      <c r="K1586">
        <v>1490</v>
      </c>
      <c r="L1586">
        <v>1</v>
      </c>
      <c r="M1586">
        <v>2</v>
      </c>
      <c r="N1586">
        <v>11</v>
      </c>
      <c r="O1586">
        <f t="shared" si="50"/>
        <v>2025</v>
      </c>
      <c r="P1586">
        <f t="shared" si="51"/>
        <v>6</v>
      </c>
      <c r="Q1586" t="s">
        <v>570</v>
      </c>
      <c r="R1586" s="546" t="s">
        <v>804</v>
      </c>
    </row>
    <row r="1587" spans="1:18" x14ac:dyDescent="0.3">
      <c r="A1587" t="s">
        <v>627</v>
      </c>
      <c r="B1587" s="16">
        <v>45813</v>
      </c>
      <c r="C1587" t="s">
        <v>3</v>
      </c>
      <c r="D1587" t="s">
        <v>139</v>
      </c>
      <c r="E1587">
        <v>602</v>
      </c>
      <c r="F1587">
        <v>326</v>
      </c>
      <c r="G1587">
        <v>46</v>
      </c>
      <c r="H1587">
        <v>7</v>
      </c>
      <c r="I1587">
        <v>54632.14</v>
      </c>
      <c r="J1587">
        <v>13</v>
      </c>
      <c r="K1587">
        <v>54632.14</v>
      </c>
      <c r="L1587">
        <v>13</v>
      </c>
      <c r="M1587">
        <v>242</v>
      </c>
      <c r="N1587">
        <v>457</v>
      </c>
      <c r="O1587">
        <f t="shared" si="50"/>
        <v>2025</v>
      </c>
      <c r="P1587">
        <f t="shared" si="51"/>
        <v>6</v>
      </c>
      <c r="Q1587" t="s">
        <v>570</v>
      </c>
      <c r="R1587" s="546" t="s">
        <v>804</v>
      </c>
    </row>
    <row r="1588" spans="1:18" x14ac:dyDescent="0.3">
      <c r="A1588" t="s">
        <v>627</v>
      </c>
      <c r="B1588" s="16">
        <v>45813</v>
      </c>
      <c r="C1588" t="s">
        <v>3</v>
      </c>
      <c r="D1588" t="s">
        <v>138</v>
      </c>
      <c r="E1588">
        <v>5</v>
      </c>
      <c r="F1588">
        <v>3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v>5</v>
      </c>
      <c r="O1588">
        <f t="shared" si="50"/>
        <v>2025</v>
      </c>
      <c r="P1588">
        <f t="shared" si="51"/>
        <v>6</v>
      </c>
      <c r="Q1588" t="s">
        <v>570</v>
      </c>
      <c r="R1588" s="546" t="s">
        <v>804</v>
      </c>
    </row>
    <row r="1589" spans="1:18" x14ac:dyDescent="0.3">
      <c r="A1589" t="s">
        <v>627</v>
      </c>
      <c r="B1589" s="16">
        <v>45813</v>
      </c>
      <c r="C1589" t="s">
        <v>3</v>
      </c>
      <c r="D1589" t="s">
        <v>135</v>
      </c>
      <c r="E1589">
        <v>46</v>
      </c>
      <c r="F1589">
        <v>22</v>
      </c>
      <c r="G1589">
        <v>1</v>
      </c>
      <c r="H1589">
        <v>0</v>
      </c>
      <c r="I1589">
        <v>1990</v>
      </c>
      <c r="J1589">
        <v>1</v>
      </c>
      <c r="K1589">
        <v>1990</v>
      </c>
      <c r="L1589">
        <v>1</v>
      </c>
      <c r="M1589">
        <v>0</v>
      </c>
      <c r="N1589">
        <v>18</v>
      </c>
      <c r="O1589">
        <f t="shared" si="50"/>
        <v>2025</v>
      </c>
      <c r="P1589">
        <f t="shared" si="51"/>
        <v>6</v>
      </c>
      <c r="Q1589" t="s">
        <v>570</v>
      </c>
      <c r="R1589" s="546" t="s">
        <v>804</v>
      </c>
    </row>
    <row r="1590" spans="1:18" x14ac:dyDescent="0.3">
      <c r="A1590" t="s">
        <v>627</v>
      </c>
      <c r="B1590" s="16">
        <v>45813</v>
      </c>
      <c r="C1590" t="s">
        <v>3</v>
      </c>
      <c r="D1590" t="s">
        <v>133</v>
      </c>
      <c r="E1590">
        <v>14</v>
      </c>
      <c r="F1590">
        <v>13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4</v>
      </c>
      <c r="N1590">
        <v>11</v>
      </c>
      <c r="O1590">
        <f t="shared" si="50"/>
        <v>2025</v>
      </c>
      <c r="P1590">
        <f t="shared" si="51"/>
        <v>6</v>
      </c>
      <c r="Q1590" t="s">
        <v>570</v>
      </c>
      <c r="R1590" s="546" t="s">
        <v>804</v>
      </c>
    </row>
    <row r="1591" spans="1:18" x14ac:dyDescent="0.3">
      <c r="A1591" t="s">
        <v>627</v>
      </c>
      <c r="B1591" s="16">
        <v>45813</v>
      </c>
      <c r="C1591" t="s">
        <v>3</v>
      </c>
      <c r="D1591" t="s">
        <v>130</v>
      </c>
      <c r="E1591">
        <v>219</v>
      </c>
      <c r="F1591">
        <v>71</v>
      </c>
      <c r="G1591">
        <v>12</v>
      </c>
      <c r="H1591">
        <v>1</v>
      </c>
      <c r="I1591">
        <v>52296.800000000003</v>
      </c>
      <c r="J1591">
        <v>8</v>
      </c>
      <c r="K1591">
        <v>50616.800000000003</v>
      </c>
      <c r="L1591">
        <v>7</v>
      </c>
      <c r="M1591">
        <v>145</v>
      </c>
      <c r="N1591">
        <v>117</v>
      </c>
      <c r="O1591">
        <f t="shared" si="50"/>
        <v>2025</v>
      </c>
      <c r="P1591">
        <f t="shared" si="51"/>
        <v>6</v>
      </c>
      <c r="Q1591" t="s">
        <v>570</v>
      </c>
      <c r="R1591" s="546" t="s">
        <v>804</v>
      </c>
    </row>
    <row r="1592" spans="1:18" x14ac:dyDescent="0.3">
      <c r="A1592" t="s">
        <v>627</v>
      </c>
      <c r="B1592" s="16">
        <v>45813</v>
      </c>
      <c r="C1592" t="s">
        <v>3</v>
      </c>
      <c r="D1592" t="s">
        <v>128</v>
      </c>
      <c r="E1592">
        <v>741</v>
      </c>
      <c r="F1592">
        <v>536</v>
      </c>
      <c r="G1592">
        <v>31</v>
      </c>
      <c r="H1592">
        <v>4</v>
      </c>
      <c r="I1592">
        <v>27070</v>
      </c>
      <c r="J1592">
        <v>9</v>
      </c>
      <c r="K1592">
        <v>19775</v>
      </c>
      <c r="L1592">
        <v>8</v>
      </c>
      <c r="M1592">
        <v>373</v>
      </c>
      <c r="N1592">
        <v>510</v>
      </c>
      <c r="O1592">
        <f t="shared" si="50"/>
        <v>2025</v>
      </c>
      <c r="P1592">
        <f t="shared" si="51"/>
        <v>6</v>
      </c>
      <c r="Q1592" t="s">
        <v>570</v>
      </c>
      <c r="R1592" s="546" t="s">
        <v>804</v>
      </c>
    </row>
    <row r="1593" spans="1:18" x14ac:dyDescent="0.3">
      <c r="A1593" t="s">
        <v>627</v>
      </c>
      <c r="B1593" s="16">
        <v>45813</v>
      </c>
      <c r="C1593" t="s">
        <v>3</v>
      </c>
      <c r="D1593" t="s">
        <v>127</v>
      </c>
      <c r="E1593">
        <v>4624</v>
      </c>
      <c r="F1593">
        <v>3780</v>
      </c>
      <c r="G1593">
        <v>50</v>
      </c>
      <c r="H1593">
        <v>20</v>
      </c>
      <c r="I1593">
        <v>13800.43</v>
      </c>
      <c r="J1593">
        <v>5</v>
      </c>
      <c r="K1593">
        <v>13800.43</v>
      </c>
      <c r="L1593">
        <v>5</v>
      </c>
      <c r="M1593">
        <v>271</v>
      </c>
      <c r="N1593">
        <v>3900</v>
      </c>
      <c r="O1593">
        <f t="shared" si="50"/>
        <v>2025</v>
      </c>
      <c r="P1593">
        <f t="shared" si="51"/>
        <v>6</v>
      </c>
      <c r="Q1593" t="s">
        <v>570</v>
      </c>
      <c r="R1593" s="546" t="s">
        <v>804</v>
      </c>
    </row>
    <row r="1594" spans="1:18" x14ac:dyDescent="0.3">
      <c r="A1594" t="s">
        <v>627</v>
      </c>
      <c r="B1594" s="16">
        <v>45813</v>
      </c>
      <c r="C1594" t="s">
        <v>3</v>
      </c>
      <c r="D1594" t="s">
        <v>126</v>
      </c>
      <c r="E1594">
        <v>73</v>
      </c>
      <c r="F1594">
        <v>46</v>
      </c>
      <c r="G1594">
        <v>4</v>
      </c>
      <c r="H1594">
        <v>0</v>
      </c>
      <c r="I1594">
        <v>2395</v>
      </c>
      <c r="J1594">
        <v>1</v>
      </c>
      <c r="K1594">
        <v>2395</v>
      </c>
      <c r="L1594">
        <v>1</v>
      </c>
      <c r="M1594">
        <v>16</v>
      </c>
      <c r="N1594">
        <v>65</v>
      </c>
      <c r="O1594">
        <f t="shared" si="50"/>
        <v>2025</v>
      </c>
      <c r="P1594">
        <f t="shared" si="51"/>
        <v>6</v>
      </c>
      <c r="Q1594" t="s">
        <v>570</v>
      </c>
      <c r="R1594" s="546" t="s">
        <v>804</v>
      </c>
    </row>
    <row r="1595" spans="1:18" x14ac:dyDescent="0.3">
      <c r="A1595" t="s">
        <v>627</v>
      </c>
      <c r="B1595" s="16">
        <v>45813</v>
      </c>
      <c r="C1595" t="s">
        <v>3</v>
      </c>
      <c r="D1595" t="s">
        <v>125</v>
      </c>
      <c r="E1595">
        <v>2</v>
      </c>
      <c r="F1595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2</v>
      </c>
      <c r="O1595">
        <f t="shared" si="50"/>
        <v>2025</v>
      </c>
      <c r="P1595">
        <f t="shared" si="51"/>
        <v>6</v>
      </c>
      <c r="Q1595" t="s">
        <v>570</v>
      </c>
      <c r="R1595" s="546" t="s">
        <v>804</v>
      </c>
    </row>
    <row r="1596" spans="1:18" x14ac:dyDescent="0.3">
      <c r="A1596" t="s">
        <v>627</v>
      </c>
      <c r="B1596" s="16">
        <v>45813</v>
      </c>
      <c r="C1596" t="s">
        <v>3</v>
      </c>
      <c r="D1596" t="s">
        <v>123</v>
      </c>
      <c r="E1596">
        <v>179</v>
      </c>
      <c r="F1596">
        <v>88</v>
      </c>
      <c r="G1596">
        <v>6</v>
      </c>
      <c r="H1596">
        <v>3</v>
      </c>
      <c r="I1596">
        <v>1663.43</v>
      </c>
      <c r="J1596">
        <v>1</v>
      </c>
      <c r="K1596">
        <v>1663.43</v>
      </c>
      <c r="L1596">
        <v>1</v>
      </c>
      <c r="M1596">
        <v>46</v>
      </c>
      <c r="N1596">
        <v>162</v>
      </c>
      <c r="O1596">
        <f t="shared" si="50"/>
        <v>2025</v>
      </c>
      <c r="P1596">
        <f t="shared" si="51"/>
        <v>6</v>
      </c>
      <c r="Q1596" t="s">
        <v>570</v>
      </c>
      <c r="R1596" s="546" t="s">
        <v>804</v>
      </c>
    </row>
    <row r="1597" spans="1:18" x14ac:dyDescent="0.3">
      <c r="A1597" t="s">
        <v>627</v>
      </c>
      <c r="B1597" s="16">
        <v>45813</v>
      </c>
      <c r="C1597" t="s">
        <v>3</v>
      </c>
      <c r="D1597" t="s">
        <v>121</v>
      </c>
      <c r="E1597">
        <v>1</v>
      </c>
      <c r="F1597">
        <v>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</v>
      </c>
      <c r="O1597">
        <f t="shared" si="50"/>
        <v>2025</v>
      </c>
      <c r="P1597">
        <f t="shared" si="51"/>
        <v>6</v>
      </c>
      <c r="Q1597" t="s">
        <v>570</v>
      </c>
      <c r="R1597" s="546" t="s">
        <v>804</v>
      </c>
    </row>
    <row r="1598" spans="1:18" x14ac:dyDescent="0.3">
      <c r="A1598" t="s">
        <v>627</v>
      </c>
      <c r="B1598" s="16">
        <v>45813</v>
      </c>
      <c r="C1598" t="s">
        <v>3</v>
      </c>
      <c r="D1598" t="s">
        <v>119</v>
      </c>
      <c r="E1598">
        <v>249</v>
      </c>
      <c r="F1598">
        <v>60</v>
      </c>
      <c r="G1598">
        <v>24</v>
      </c>
      <c r="H1598">
        <v>6</v>
      </c>
      <c r="I1598">
        <v>34833</v>
      </c>
      <c r="J1598">
        <v>11</v>
      </c>
      <c r="K1598">
        <v>34833</v>
      </c>
      <c r="L1598">
        <v>11</v>
      </c>
      <c r="M1598">
        <v>59</v>
      </c>
      <c r="N1598">
        <v>239</v>
      </c>
      <c r="O1598">
        <f t="shared" si="50"/>
        <v>2025</v>
      </c>
      <c r="P1598">
        <f t="shared" si="51"/>
        <v>6</v>
      </c>
      <c r="Q1598" t="s">
        <v>570</v>
      </c>
      <c r="R1598" s="546" t="s">
        <v>804</v>
      </c>
    </row>
    <row r="1599" spans="1:18" x14ac:dyDescent="0.3">
      <c r="A1599" t="s">
        <v>627</v>
      </c>
      <c r="B1599" s="16">
        <v>45813</v>
      </c>
      <c r="C1599" t="s">
        <v>3</v>
      </c>
      <c r="D1599" t="s">
        <v>252</v>
      </c>
      <c r="E1599">
        <v>32</v>
      </c>
      <c r="F1599">
        <v>30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32</v>
      </c>
      <c r="O1599">
        <f t="shared" si="50"/>
        <v>2025</v>
      </c>
      <c r="P1599">
        <f t="shared" si="51"/>
        <v>6</v>
      </c>
      <c r="Q1599" t="s">
        <v>570</v>
      </c>
      <c r="R1599" s="546" t="s">
        <v>804</v>
      </c>
    </row>
    <row r="1600" spans="1:18" x14ac:dyDescent="0.3">
      <c r="A1600" t="s">
        <v>627</v>
      </c>
      <c r="B1600" s="16">
        <v>45813</v>
      </c>
      <c r="C1600" t="s">
        <v>3</v>
      </c>
      <c r="D1600" t="s">
        <v>117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1</v>
      </c>
      <c r="O1600">
        <f t="shared" si="50"/>
        <v>2025</v>
      </c>
      <c r="P1600">
        <f t="shared" si="51"/>
        <v>6</v>
      </c>
      <c r="Q1600" t="s">
        <v>570</v>
      </c>
      <c r="R1600" s="546" t="s">
        <v>804</v>
      </c>
    </row>
    <row r="1601" spans="1:18" x14ac:dyDescent="0.3">
      <c r="A1601" t="s">
        <v>627</v>
      </c>
      <c r="B1601" s="16">
        <v>45813</v>
      </c>
      <c r="C1601" t="s">
        <v>3</v>
      </c>
      <c r="D1601" t="s">
        <v>391</v>
      </c>
      <c r="E1601">
        <v>419</v>
      </c>
      <c r="F1601">
        <v>204</v>
      </c>
      <c r="G1601">
        <v>11</v>
      </c>
      <c r="H1601">
        <v>3</v>
      </c>
      <c r="I1601">
        <v>24369</v>
      </c>
      <c r="J1601">
        <v>7</v>
      </c>
      <c r="K1601">
        <v>19702</v>
      </c>
      <c r="L1601">
        <v>5</v>
      </c>
      <c r="M1601">
        <v>62</v>
      </c>
      <c r="N1601">
        <v>408</v>
      </c>
      <c r="O1601">
        <f t="shared" si="50"/>
        <v>2025</v>
      </c>
      <c r="P1601">
        <f t="shared" si="51"/>
        <v>6</v>
      </c>
      <c r="Q1601" t="s">
        <v>570</v>
      </c>
      <c r="R1601" s="546" t="s">
        <v>804</v>
      </c>
    </row>
    <row r="1602" spans="1:18" x14ac:dyDescent="0.3">
      <c r="A1602" t="s">
        <v>627</v>
      </c>
      <c r="B1602" s="16">
        <v>45813</v>
      </c>
      <c r="C1602" t="s">
        <v>3</v>
      </c>
      <c r="D1602" t="s">
        <v>114</v>
      </c>
      <c r="E1602">
        <v>174</v>
      </c>
      <c r="F1602">
        <v>118</v>
      </c>
      <c r="G1602">
        <v>4</v>
      </c>
      <c r="H1602">
        <v>4</v>
      </c>
      <c r="I1602">
        <v>8700</v>
      </c>
      <c r="J1602">
        <v>1</v>
      </c>
      <c r="K1602">
        <v>0</v>
      </c>
      <c r="L1602">
        <v>0</v>
      </c>
      <c r="M1602">
        <v>14</v>
      </c>
      <c r="N1602">
        <v>171</v>
      </c>
      <c r="O1602">
        <f t="shared" si="50"/>
        <v>2025</v>
      </c>
      <c r="P1602">
        <f t="shared" si="51"/>
        <v>6</v>
      </c>
      <c r="Q1602" t="s">
        <v>570</v>
      </c>
      <c r="R1602" s="546" t="s">
        <v>804</v>
      </c>
    </row>
    <row r="1603" spans="1:18" x14ac:dyDescent="0.3">
      <c r="A1603" t="s">
        <v>627</v>
      </c>
      <c r="B1603" s="16">
        <v>45813</v>
      </c>
      <c r="C1603" t="s">
        <v>3</v>
      </c>
      <c r="D1603" t="s">
        <v>113</v>
      </c>
      <c r="E1603">
        <v>107</v>
      </c>
      <c r="F1603">
        <v>57</v>
      </c>
      <c r="G1603">
        <v>2</v>
      </c>
      <c r="H1603">
        <v>0</v>
      </c>
      <c r="I1603">
        <v>2795</v>
      </c>
      <c r="J1603">
        <v>1</v>
      </c>
      <c r="K1603">
        <v>2795</v>
      </c>
      <c r="L1603">
        <v>1</v>
      </c>
      <c r="M1603">
        <v>85</v>
      </c>
      <c r="N1603">
        <v>57</v>
      </c>
      <c r="O1603">
        <f t="shared" si="50"/>
        <v>2025</v>
      </c>
      <c r="P1603">
        <f t="shared" si="51"/>
        <v>6</v>
      </c>
      <c r="Q1603" t="s">
        <v>570</v>
      </c>
      <c r="R1603" s="546" t="s">
        <v>804</v>
      </c>
    </row>
    <row r="1604" spans="1:18" x14ac:dyDescent="0.3">
      <c r="A1604" t="s">
        <v>627</v>
      </c>
      <c r="B1604" s="16">
        <v>45813</v>
      </c>
      <c r="C1604" t="s">
        <v>3</v>
      </c>
      <c r="D1604" t="s">
        <v>112</v>
      </c>
      <c r="E1604">
        <v>18</v>
      </c>
      <c r="F1604">
        <v>7</v>
      </c>
      <c r="G1604">
        <v>1</v>
      </c>
      <c r="H1604">
        <v>0</v>
      </c>
      <c r="I1604">
        <v>10810</v>
      </c>
      <c r="J1604">
        <v>2</v>
      </c>
      <c r="K1604">
        <v>10810</v>
      </c>
      <c r="L1604">
        <v>2</v>
      </c>
      <c r="M1604">
        <v>0</v>
      </c>
      <c r="N1604">
        <v>18</v>
      </c>
      <c r="O1604">
        <f t="shared" si="50"/>
        <v>2025</v>
      </c>
      <c r="P1604">
        <f t="shared" si="51"/>
        <v>6</v>
      </c>
      <c r="Q1604" t="s">
        <v>570</v>
      </c>
      <c r="R1604" s="546" t="s">
        <v>804</v>
      </c>
    </row>
    <row r="1605" spans="1:18" x14ac:dyDescent="0.3">
      <c r="A1605" t="s">
        <v>627</v>
      </c>
      <c r="B1605" s="16">
        <v>45813</v>
      </c>
      <c r="C1605" t="s">
        <v>3</v>
      </c>
      <c r="D1605" t="s">
        <v>111</v>
      </c>
      <c r="E1605">
        <v>5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5</v>
      </c>
      <c r="O1605">
        <f t="shared" si="50"/>
        <v>2025</v>
      </c>
      <c r="P1605">
        <f t="shared" si="51"/>
        <v>6</v>
      </c>
      <c r="Q1605" t="s">
        <v>570</v>
      </c>
      <c r="R1605" s="546" t="s">
        <v>804</v>
      </c>
    </row>
    <row r="1606" spans="1:18" x14ac:dyDescent="0.3">
      <c r="A1606" t="s">
        <v>627</v>
      </c>
      <c r="B1606" s="16">
        <v>45812</v>
      </c>
      <c r="C1606" t="s">
        <v>2</v>
      </c>
      <c r="D1606" t="s">
        <v>4</v>
      </c>
      <c r="E1606">
        <v>338</v>
      </c>
      <c r="F1606">
        <v>103</v>
      </c>
      <c r="G1606">
        <v>1</v>
      </c>
      <c r="H1606">
        <v>1</v>
      </c>
      <c r="I1606">
        <v>16300</v>
      </c>
      <c r="J1606">
        <v>3</v>
      </c>
      <c r="K1606">
        <v>16300</v>
      </c>
      <c r="L1606">
        <v>3</v>
      </c>
      <c r="M1606">
        <v>4</v>
      </c>
      <c r="N1606">
        <v>337</v>
      </c>
      <c r="O1606">
        <f t="shared" si="50"/>
        <v>2025</v>
      </c>
      <c r="P1606">
        <f t="shared" si="51"/>
        <v>6</v>
      </c>
      <c r="Q1606" t="s">
        <v>570</v>
      </c>
      <c r="R1606" s="546" t="s">
        <v>804</v>
      </c>
    </row>
    <row r="1607" spans="1:18" x14ac:dyDescent="0.3">
      <c r="A1607" t="s">
        <v>627</v>
      </c>
      <c r="B1607" s="16">
        <v>45812</v>
      </c>
      <c r="C1607" t="s">
        <v>2</v>
      </c>
      <c r="D1607" t="s">
        <v>57</v>
      </c>
      <c r="E1607">
        <v>17886</v>
      </c>
      <c r="F1607">
        <v>11527</v>
      </c>
      <c r="G1607">
        <v>231</v>
      </c>
      <c r="H1607">
        <v>215</v>
      </c>
      <c r="I1607">
        <v>164341</v>
      </c>
      <c r="J1607">
        <v>41</v>
      </c>
      <c r="K1607">
        <v>107943</v>
      </c>
      <c r="L1607">
        <v>28</v>
      </c>
      <c r="M1607">
        <v>1056</v>
      </c>
      <c r="N1607">
        <v>17676</v>
      </c>
      <c r="O1607">
        <f t="shared" si="50"/>
        <v>2025</v>
      </c>
      <c r="P1607">
        <f t="shared" si="51"/>
        <v>6</v>
      </c>
      <c r="Q1607" t="s">
        <v>570</v>
      </c>
      <c r="R1607" s="546" t="s">
        <v>804</v>
      </c>
    </row>
    <row r="1608" spans="1:18" x14ac:dyDescent="0.3">
      <c r="A1608" t="s">
        <v>627</v>
      </c>
      <c r="B1608" s="16">
        <v>45812</v>
      </c>
      <c r="C1608" t="s">
        <v>2</v>
      </c>
      <c r="D1608" t="s">
        <v>55</v>
      </c>
      <c r="E1608">
        <v>7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2</v>
      </c>
      <c r="O1608">
        <f t="shared" si="50"/>
        <v>2025</v>
      </c>
      <c r="P1608">
        <f t="shared" si="51"/>
        <v>6</v>
      </c>
      <c r="Q1608" t="s">
        <v>570</v>
      </c>
      <c r="R1608" s="546" t="s">
        <v>804</v>
      </c>
    </row>
    <row r="1609" spans="1:18" x14ac:dyDescent="0.3">
      <c r="A1609" t="s">
        <v>627</v>
      </c>
      <c r="B1609" s="16">
        <v>45812</v>
      </c>
      <c r="C1609" t="s">
        <v>3</v>
      </c>
      <c r="D1609" t="s">
        <v>155</v>
      </c>
      <c r="E1609">
        <v>2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2</v>
      </c>
      <c r="O1609">
        <f t="shared" si="50"/>
        <v>2025</v>
      </c>
      <c r="P1609">
        <f t="shared" si="51"/>
        <v>6</v>
      </c>
      <c r="Q1609" t="s">
        <v>570</v>
      </c>
      <c r="R1609" s="546" t="s">
        <v>804</v>
      </c>
    </row>
    <row r="1610" spans="1:18" x14ac:dyDescent="0.3">
      <c r="A1610" t="s">
        <v>627</v>
      </c>
      <c r="B1610" s="16">
        <v>45812</v>
      </c>
      <c r="C1610" t="s">
        <v>3</v>
      </c>
      <c r="D1610" t="s">
        <v>154</v>
      </c>
      <c r="E1610">
        <v>1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f t="shared" si="50"/>
        <v>2025</v>
      </c>
      <c r="P1610">
        <f t="shared" si="51"/>
        <v>6</v>
      </c>
      <c r="Q1610" t="s">
        <v>570</v>
      </c>
      <c r="R1610" s="546" t="s">
        <v>804</v>
      </c>
    </row>
    <row r="1611" spans="1:18" x14ac:dyDescent="0.3">
      <c r="A1611" t="s">
        <v>627</v>
      </c>
      <c r="B1611" s="16">
        <v>45812</v>
      </c>
      <c r="C1611" t="s">
        <v>3</v>
      </c>
      <c r="D1611" t="s">
        <v>153</v>
      </c>
      <c r="E1611">
        <v>281</v>
      </c>
      <c r="F1611">
        <v>61</v>
      </c>
      <c r="G1611">
        <v>27</v>
      </c>
      <c r="H1611">
        <v>6</v>
      </c>
      <c r="I1611">
        <v>103379.42</v>
      </c>
      <c r="J1611">
        <v>30</v>
      </c>
      <c r="K1611">
        <v>87548.42</v>
      </c>
      <c r="L1611">
        <v>27</v>
      </c>
      <c r="M1611">
        <v>85</v>
      </c>
      <c r="N1611">
        <v>267</v>
      </c>
      <c r="O1611">
        <f t="shared" si="50"/>
        <v>2025</v>
      </c>
      <c r="P1611">
        <f t="shared" si="51"/>
        <v>6</v>
      </c>
      <c r="Q1611" t="s">
        <v>570</v>
      </c>
      <c r="R1611" s="546" t="s">
        <v>804</v>
      </c>
    </row>
    <row r="1612" spans="1:18" x14ac:dyDescent="0.3">
      <c r="A1612" t="s">
        <v>627</v>
      </c>
      <c r="B1612" s="16">
        <v>45812</v>
      </c>
      <c r="C1612" t="s">
        <v>3</v>
      </c>
      <c r="D1612" t="s">
        <v>152</v>
      </c>
      <c r="E1612">
        <v>15</v>
      </c>
      <c r="F1612">
        <v>8</v>
      </c>
      <c r="G1612">
        <v>0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1</v>
      </c>
      <c r="N1612">
        <v>14</v>
      </c>
      <c r="O1612">
        <f t="shared" si="50"/>
        <v>2025</v>
      </c>
      <c r="P1612">
        <f t="shared" si="51"/>
        <v>6</v>
      </c>
      <c r="Q1612" t="s">
        <v>570</v>
      </c>
      <c r="R1612" s="546" t="s">
        <v>804</v>
      </c>
    </row>
    <row r="1613" spans="1:18" x14ac:dyDescent="0.3">
      <c r="A1613" t="s">
        <v>627</v>
      </c>
      <c r="B1613" s="16">
        <v>45812</v>
      </c>
      <c r="C1613" t="s">
        <v>3</v>
      </c>
      <c r="D1613" t="s">
        <v>149</v>
      </c>
      <c r="E1613">
        <v>3</v>
      </c>
      <c r="F1613">
        <v>1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2</v>
      </c>
      <c r="N1613">
        <v>3</v>
      </c>
      <c r="O1613">
        <f t="shared" si="50"/>
        <v>2025</v>
      </c>
      <c r="P1613">
        <f t="shared" si="51"/>
        <v>6</v>
      </c>
      <c r="Q1613" t="s">
        <v>570</v>
      </c>
      <c r="R1613" s="546" t="s">
        <v>804</v>
      </c>
    </row>
    <row r="1614" spans="1:18" x14ac:dyDescent="0.3">
      <c r="A1614" t="s">
        <v>627</v>
      </c>
      <c r="B1614" s="16">
        <v>45812</v>
      </c>
      <c r="C1614" t="s">
        <v>3</v>
      </c>
      <c r="D1614" t="s">
        <v>148</v>
      </c>
      <c r="E1614">
        <v>1</v>
      </c>
      <c r="F1614">
        <v>1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f t="shared" si="50"/>
        <v>2025</v>
      </c>
      <c r="P1614">
        <f t="shared" si="51"/>
        <v>6</v>
      </c>
      <c r="Q1614" t="s">
        <v>570</v>
      </c>
      <c r="R1614" s="546" t="s">
        <v>804</v>
      </c>
    </row>
    <row r="1615" spans="1:18" x14ac:dyDescent="0.3">
      <c r="A1615" t="s">
        <v>627</v>
      </c>
      <c r="B1615" s="16">
        <v>45812</v>
      </c>
      <c r="C1615" t="s">
        <v>3</v>
      </c>
      <c r="D1615" t="s">
        <v>630</v>
      </c>
      <c r="E1615">
        <v>15</v>
      </c>
      <c r="F1615">
        <v>3</v>
      </c>
      <c r="G1615">
        <v>0</v>
      </c>
      <c r="H1615">
        <v>0</v>
      </c>
      <c r="I1615">
        <v>5427</v>
      </c>
      <c r="J1615">
        <v>2</v>
      </c>
      <c r="K1615">
        <v>5427</v>
      </c>
      <c r="L1615">
        <v>2</v>
      </c>
      <c r="M1615">
        <v>2</v>
      </c>
      <c r="N1615">
        <v>15</v>
      </c>
      <c r="O1615">
        <f t="shared" si="50"/>
        <v>2025</v>
      </c>
      <c r="P1615">
        <f t="shared" si="51"/>
        <v>6</v>
      </c>
      <c r="Q1615" t="s">
        <v>570</v>
      </c>
      <c r="R1615" s="546" t="s">
        <v>804</v>
      </c>
    </row>
    <row r="1616" spans="1:18" x14ac:dyDescent="0.3">
      <c r="A1616" t="s">
        <v>627</v>
      </c>
      <c r="B1616" s="16">
        <v>45812</v>
      </c>
      <c r="C1616" t="s">
        <v>3</v>
      </c>
      <c r="D1616" t="s">
        <v>251</v>
      </c>
      <c r="E1616">
        <v>220</v>
      </c>
      <c r="F1616">
        <v>94</v>
      </c>
      <c r="G1616">
        <v>11</v>
      </c>
      <c r="H1616">
        <v>1</v>
      </c>
      <c r="I1616">
        <v>26032</v>
      </c>
      <c r="J1616">
        <v>6</v>
      </c>
      <c r="K1616">
        <v>26032</v>
      </c>
      <c r="L1616">
        <v>6</v>
      </c>
      <c r="M1616">
        <v>64</v>
      </c>
      <c r="N1616">
        <v>193</v>
      </c>
      <c r="O1616">
        <f t="shared" si="50"/>
        <v>2025</v>
      </c>
      <c r="P1616">
        <f t="shared" si="51"/>
        <v>6</v>
      </c>
      <c r="Q1616" t="s">
        <v>570</v>
      </c>
      <c r="R1616" s="546" t="s">
        <v>804</v>
      </c>
    </row>
    <row r="1617" spans="1:18" x14ac:dyDescent="0.3">
      <c r="A1617" t="s">
        <v>627</v>
      </c>
      <c r="B1617" s="16">
        <v>45812</v>
      </c>
      <c r="C1617" t="s">
        <v>3</v>
      </c>
      <c r="D1617" t="s">
        <v>143</v>
      </c>
      <c r="E1617">
        <v>21</v>
      </c>
      <c r="F1617">
        <v>21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21</v>
      </c>
      <c r="O1617">
        <f t="shared" si="50"/>
        <v>2025</v>
      </c>
      <c r="P1617">
        <f t="shared" si="51"/>
        <v>6</v>
      </c>
      <c r="Q1617" t="s">
        <v>570</v>
      </c>
      <c r="R1617" s="546" t="s">
        <v>804</v>
      </c>
    </row>
    <row r="1618" spans="1:18" x14ac:dyDescent="0.3">
      <c r="A1618" t="s">
        <v>627</v>
      </c>
      <c r="B1618" s="16">
        <v>45812</v>
      </c>
      <c r="C1618" t="s">
        <v>3</v>
      </c>
      <c r="D1618" t="s">
        <v>141</v>
      </c>
      <c r="E1618">
        <v>273</v>
      </c>
      <c r="F1618">
        <v>129</v>
      </c>
      <c r="G1618">
        <v>4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273</v>
      </c>
      <c r="O1618">
        <f t="shared" si="50"/>
        <v>2025</v>
      </c>
      <c r="P1618">
        <f t="shared" si="51"/>
        <v>6</v>
      </c>
      <c r="Q1618" t="s">
        <v>570</v>
      </c>
      <c r="R1618" s="546" t="s">
        <v>804</v>
      </c>
    </row>
    <row r="1619" spans="1:18" x14ac:dyDescent="0.3">
      <c r="A1619" t="s">
        <v>627</v>
      </c>
      <c r="B1619" s="16">
        <v>45812</v>
      </c>
      <c r="C1619" t="s">
        <v>3</v>
      </c>
      <c r="D1619" t="s">
        <v>140</v>
      </c>
      <c r="E1619">
        <v>5</v>
      </c>
      <c r="F1619">
        <v>4</v>
      </c>
      <c r="G1619">
        <v>2</v>
      </c>
      <c r="H1619">
        <v>0</v>
      </c>
      <c r="I1619">
        <v>3990</v>
      </c>
      <c r="J1619">
        <v>1</v>
      </c>
      <c r="K1619">
        <v>0</v>
      </c>
      <c r="L1619">
        <v>0</v>
      </c>
      <c r="M1619">
        <v>0</v>
      </c>
      <c r="N1619">
        <v>5</v>
      </c>
      <c r="O1619">
        <f t="shared" si="50"/>
        <v>2025</v>
      </c>
      <c r="P1619">
        <f t="shared" si="51"/>
        <v>6</v>
      </c>
      <c r="Q1619" t="s">
        <v>570</v>
      </c>
      <c r="R1619" s="546" t="s">
        <v>804</v>
      </c>
    </row>
    <row r="1620" spans="1:18" x14ac:dyDescent="0.3">
      <c r="A1620" t="s">
        <v>627</v>
      </c>
      <c r="B1620" s="16">
        <v>45812</v>
      </c>
      <c r="C1620" t="s">
        <v>3</v>
      </c>
      <c r="D1620" t="s">
        <v>139</v>
      </c>
      <c r="E1620">
        <v>480</v>
      </c>
      <c r="F1620">
        <v>262</v>
      </c>
      <c r="G1620">
        <v>19</v>
      </c>
      <c r="H1620">
        <v>3</v>
      </c>
      <c r="I1620">
        <v>44428</v>
      </c>
      <c r="J1620">
        <v>12</v>
      </c>
      <c r="K1620">
        <v>38583</v>
      </c>
      <c r="L1620">
        <v>11</v>
      </c>
      <c r="M1620">
        <v>196</v>
      </c>
      <c r="N1620">
        <v>372</v>
      </c>
      <c r="O1620">
        <f t="shared" si="50"/>
        <v>2025</v>
      </c>
      <c r="P1620">
        <f t="shared" si="51"/>
        <v>6</v>
      </c>
      <c r="Q1620" t="s">
        <v>570</v>
      </c>
      <c r="R1620" s="546" t="s">
        <v>804</v>
      </c>
    </row>
    <row r="1621" spans="1:18" x14ac:dyDescent="0.3">
      <c r="A1621" t="s">
        <v>627</v>
      </c>
      <c r="B1621" s="16">
        <v>45812</v>
      </c>
      <c r="C1621" t="s">
        <v>3</v>
      </c>
      <c r="D1621" t="s">
        <v>138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f t="shared" si="50"/>
        <v>2025</v>
      </c>
      <c r="P1621">
        <f t="shared" si="51"/>
        <v>6</v>
      </c>
      <c r="Q1621" t="s">
        <v>570</v>
      </c>
      <c r="R1621" s="546" t="s">
        <v>804</v>
      </c>
    </row>
    <row r="1622" spans="1:18" x14ac:dyDescent="0.3">
      <c r="A1622" t="s">
        <v>627</v>
      </c>
      <c r="B1622" s="16">
        <v>45812</v>
      </c>
      <c r="C1622" t="s">
        <v>3</v>
      </c>
      <c r="D1622" t="s">
        <v>135</v>
      </c>
      <c r="E1622">
        <v>15</v>
      </c>
      <c r="F1622">
        <v>3</v>
      </c>
      <c r="G1622">
        <v>0</v>
      </c>
      <c r="H1622">
        <v>0</v>
      </c>
      <c r="I1622">
        <v>5427</v>
      </c>
      <c r="J1622">
        <v>2</v>
      </c>
      <c r="K1622">
        <v>5427</v>
      </c>
      <c r="L1622">
        <v>2</v>
      </c>
      <c r="M1622">
        <v>2</v>
      </c>
      <c r="N1622">
        <v>15</v>
      </c>
      <c r="O1622">
        <f t="shared" si="50"/>
        <v>2025</v>
      </c>
      <c r="P1622">
        <f t="shared" si="51"/>
        <v>6</v>
      </c>
      <c r="Q1622" t="s">
        <v>570</v>
      </c>
      <c r="R1622" s="546" t="s">
        <v>804</v>
      </c>
    </row>
    <row r="1623" spans="1:18" x14ac:dyDescent="0.3">
      <c r="A1623" t="s">
        <v>627</v>
      </c>
      <c r="B1623" s="16">
        <v>45812</v>
      </c>
      <c r="C1623" t="s">
        <v>3</v>
      </c>
      <c r="D1623" t="s">
        <v>133</v>
      </c>
      <c r="E1623">
        <v>22</v>
      </c>
      <c r="F1623">
        <v>12</v>
      </c>
      <c r="G1623">
        <v>2</v>
      </c>
      <c r="H1623">
        <v>0</v>
      </c>
      <c r="I1623">
        <v>4845</v>
      </c>
      <c r="J1623">
        <v>1</v>
      </c>
      <c r="K1623">
        <v>4845</v>
      </c>
      <c r="L1623">
        <v>1</v>
      </c>
      <c r="M1623">
        <v>4</v>
      </c>
      <c r="N1623">
        <v>22</v>
      </c>
      <c r="O1623">
        <f t="shared" si="50"/>
        <v>2025</v>
      </c>
      <c r="P1623">
        <f t="shared" si="51"/>
        <v>6</v>
      </c>
      <c r="Q1623" t="s">
        <v>570</v>
      </c>
      <c r="R1623" s="546" t="s">
        <v>804</v>
      </c>
    </row>
    <row r="1624" spans="1:18" x14ac:dyDescent="0.3">
      <c r="A1624" t="s">
        <v>627</v>
      </c>
      <c r="B1624" s="16">
        <v>45812</v>
      </c>
      <c r="C1624" t="s">
        <v>3</v>
      </c>
      <c r="D1624" t="s">
        <v>130</v>
      </c>
      <c r="E1624">
        <v>89</v>
      </c>
      <c r="F1624">
        <v>35</v>
      </c>
      <c r="G1624">
        <v>6</v>
      </c>
      <c r="H1624">
        <v>0</v>
      </c>
      <c r="I1624">
        <v>34251</v>
      </c>
      <c r="J1624">
        <v>10</v>
      </c>
      <c r="K1624">
        <v>32761</v>
      </c>
      <c r="L1624">
        <v>10</v>
      </c>
      <c r="M1624">
        <v>42</v>
      </c>
      <c r="N1624">
        <v>79</v>
      </c>
      <c r="O1624">
        <f t="shared" si="50"/>
        <v>2025</v>
      </c>
      <c r="P1624">
        <f t="shared" si="51"/>
        <v>6</v>
      </c>
      <c r="Q1624" t="s">
        <v>570</v>
      </c>
      <c r="R1624" s="546" t="s">
        <v>804</v>
      </c>
    </row>
    <row r="1625" spans="1:18" x14ac:dyDescent="0.3">
      <c r="A1625" t="s">
        <v>627</v>
      </c>
      <c r="B1625" s="16">
        <v>45812</v>
      </c>
      <c r="C1625" t="s">
        <v>3</v>
      </c>
      <c r="D1625" t="s">
        <v>128</v>
      </c>
      <c r="E1625">
        <v>688</v>
      </c>
      <c r="F1625">
        <v>511</v>
      </c>
      <c r="G1625">
        <v>33</v>
      </c>
      <c r="H1625">
        <v>4</v>
      </c>
      <c r="I1625">
        <v>23972</v>
      </c>
      <c r="J1625">
        <v>8</v>
      </c>
      <c r="K1625">
        <v>18952</v>
      </c>
      <c r="L1625">
        <v>7</v>
      </c>
      <c r="M1625">
        <v>322</v>
      </c>
      <c r="N1625">
        <v>502</v>
      </c>
      <c r="O1625">
        <f t="shared" si="50"/>
        <v>2025</v>
      </c>
      <c r="P1625">
        <f t="shared" si="51"/>
        <v>6</v>
      </c>
      <c r="Q1625" t="s">
        <v>570</v>
      </c>
      <c r="R1625" s="546" t="s">
        <v>804</v>
      </c>
    </row>
    <row r="1626" spans="1:18" x14ac:dyDescent="0.3">
      <c r="A1626" t="s">
        <v>627</v>
      </c>
      <c r="B1626" s="16">
        <v>45812</v>
      </c>
      <c r="C1626" t="s">
        <v>3</v>
      </c>
      <c r="D1626" t="s">
        <v>127</v>
      </c>
      <c r="E1626">
        <v>6493</v>
      </c>
      <c r="F1626">
        <v>5466</v>
      </c>
      <c r="G1626">
        <v>34</v>
      </c>
      <c r="H1626">
        <v>22</v>
      </c>
      <c r="I1626">
        <v>23025</v>
      </c>
      <c r="J1626">
        <v>9</v>
      </c>
      <c r="K1626">
        <v>10245</v>
      </c>
      <c r="L1626">
        <v>6</v>
      </c>
      <c r="M1626">
        <v>399</v>
      </c>
      <c r="N1626">
        <v>6439</v>
      </c>
      <c r="O1626">
        <f t="shared" si="50"/>
        <v>2025</v>
      </c>
      <c r="P1626">
        <f t="shared" si="51"/>
        <v>6</v>
      </c>
      <c r="Q1626" t="s">
        <v>570</v>
      </c>
      <c r="R1626" s="546" t="s">
        <v>804</v>
      </c>
    </row>
    <row r="1627" spans="1:18" x14ac:dyDescent="0.3">
      <c r="A1627" t="s">
        <v>627</v>
      </c>
      <c r="B1627" s="16">
        <v>45812</v>
      </c>
      <c r="C1627" t="s">
        <v>3</v>
      </c>
      <c r="D1627" t="s">
        <v>126</v>
      </c>
      <c r="E1627">
        <v>70</v>
      </c>
      <c r="F1627">
        <v>45</v>
      </c>
      <c r="G1627">
        <v>4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11</v>
      </c>
      <c r="N1627">
        <v>67</v>
      </c>
      <c r="O1627">
        <f t="shared" si="50"/>
        <v>2025</v>
      </c>
      <c r="P1627">
        <f t="shared" si="51"/>
        <v>6</v>
      </c>
      <c r="Q1627" t="s">
        <v>570</v>
      </c>
      <c r="R1627" s="546" t="s">
        <v>804</v>
      </c>
    </row>
    <row r="1628" spans="1:18" x14ac:dyDescent="0.3">
      <c r="A1628" t="s">
        <v>627</v>
      </c>
      <c r="B1628" s="16">
        <v>45812</v>
      </c>
      <c r="C1628" t="s">
        <v>3</v>
      </c>
      <c r="D1628" t="s">
        <v>125</v>
      </c>
      <c r="E1628">
        <v>4</v>
      </c>
      <c r="F1628">
        <v>1</v>
      </c>
      <c r="G1628">
        <v>0</v>
      </c>
      <c r="H1628">
        <v>0</v>
      </c>
      <c r="I1628">
        <v>4427</v>
      </c>
      <c r="J1628">
        <v>2</v>
      </c>
      <c r="K1628">
        <v>4427</v>
      </c>
      <c r="L1628">
        <v>2</v>
      </c>
      <c r="M1628">
        <v>0</v>
      </c>
      <c r="N1628">
        <v>4</v>
      </c>
      <c r="O1628">
        <f t="shared" si="50"/>
        <v>2025</v>
      </c>
      <c r="P1628">
        <f t="shared" si="51"/>
        <v>6</v>
      </c>
      <c r="Q1628" t="s">
        <v>570</v>
      </c>
      <c r="R1628" s="546" t="s">
        <v>804</v>
      </c>
    </row>
    <row r="1629" spans="1:18" x14ac:dyDescent="0.3">
      <c r="A1629" t="s">
        <v>627</v>
      </c>
      <c r="B1629" s="16">
        <v>45812</v>
      </c>
      <c r="C1629" t="s">
        <v>3</v>
      </c>
      <c r="D1629" t="s">
        <v>123</v>
      </c>
      <c r="E1629">
        <v>204</v>
      </c>
      <c r="F1629">
        <v>113</v>
      </c>
      <c r="G1629">
        <v>11</v>
      </c>
      <c r="H1629">
        <v>2</v>
      </c>
      <c r="I1629">
        <v>23760</v>
      </c>
      <c r="J1629">
        <v>4</v>
      </c>
      <c r="K1629">
        <v>20965</v>
      </c>
      <c r="L1629">
        <v>3</v>
      </c>
      <c r="M1629">
        <v>64</v>
      </c>
      <c r="N1629">
        <v>191</v>
      </c>
      <c r="O1629">
        <f t="shared" si="50"/>
        <v>2025</v>
      </c>
      <c r="P1629">
        <f t="shared" si="51"/>
        <v>6</v>
      </c>
      <c r="Q1629" t="s">
        <v>570</v>
      </c>
      <c r="R1629" s="546" t="s">
        <v>804</v>
      </c>
    </row>
    <row r="1630" spans="1:18" x14ac:dyDescent="0.3">
      <c r="A1630" t="s">
        <v>627</v>
      </c>
      <c r="B1630" s="16">
        <v>45812</v>
      </c>
      <c r="C1630" t="s">
        <v>3</v>
      </c>
      <c r="D1630" t="s">
        <v>119</v>
      </c>
      <c r="E1630">
        <v>243</v>
      </c>
      <c r="F1630">
        <v>58</v>
      </c>
      <c r="G1630">
        <v>14</v>
      </c>
      <c r="H1630">
        <v>2</v>
      </c>
      <c r="I1630">
        <v>63011</v>
      </c>
      <c r="J1630">
        <v>17</v>
      </c>
      <c r="K1630">
        <v>51113</v>
      </c>
      <c r="L1630">
        <v>16</v>
      </c>
      <c r="M1630">
        <v>59</v>
      </c>
      <c r="N1630">
        <v>231</v>
      </c>
      <c r="O1630">
        <f t="shared" si="50"/>
        <v>2025</v>
      </c>
      <c r="P1630">
        <f t="shared" si="51"/>
        <v>6</v>
      </c>
      <c r="Q1630" t="s">
        <v>570</v>
      </c>
      <c r="R1630" s="546" t="s">
        <v>804</v>
      </c>
    </row>
    <row r="1631" spans="1:18" x14ac:dyDescent="0.3">
      <c r="A1631" t="s">
        <v>627</v>
      </c>
      <c r="B1631" s="16">
        <v>45812</v>
      </c>
      <c r="C1631" t="s">
        <v>3</v>
      </c>
      <c r="D1631" t="s">
        <v>583</v>
      </c>
      <c r="E1631">
        <v>1</v>
      </c>
      <c r="F1631">
        <v>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1</v>
      </c>
      <c r="O1631">
        <f t="shared" si="50"/>
        <v>2025</v>
      </c>
      <c r="P1631">
        <f t="shared" si="51"/>
        <v>6</v>
      </c>
      <c r="Q1631" t="s">
        <v>570</v>
      </c>
      <c r="R1631" s="546" t="s">
        <v>804</v>
      </c>
    </row>
    <row r="1632" spans="1:18" x14ac:dyDescent="0.3">
      <c r="A1632" t="s">
        <v>627</v>
      </c>
      <c r="B1632" s="16">
        <v>45812</v>
      </c>
      <c r="C1632" t="s">
        <v>3</v>
      </c>
      <c r="D1632" t="s">
        <v>252</v>
      </c>
      <c r="E1632">
        <v>9</v>
      </c>
      <c r="F1632">
        <v>8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9</v>
      </c>
      <c r="O1632">
        <f t="shared" si="50"/>
        <v>2025</v>
      </c>
      <c r="P1632">
        <f t="shared" si="51"/>
        <v>6</v>
      </c>
      <c r="Q1632" t="s">
        <v>570</v>
      </c>
      <c r="R1632" s="546" t="s">
        <v>804</v>
      </c>
    </row>
    <row r="1633" spans="1:18" x14ac:dyDescent="0.3">
      <c r="A1633" t="s">
        <v>627</v>
      </c>
      <c r="B1633" s="16">
        <v>45812</v>
      </c>
      <c r="C1633" t="s">
        <v>3</v>
      </c>
      <c r="D1633" t="s">
        <v>117</v>
      </c>
      <c r="E1633">
        <v>2</v>
      </c>
      <c r="F1633">
        <v>2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1</v>
      </c>
      <c r="N1633">
        <v>2</v>
      </c>
      <c r="O1633">
        <f t="shared" si="50"/>
        <v>2025</v>
      </c>
      <c r="P1633">
        <f t="shared" si="51"/>
        <v>6</v>
      </c>
      <c r="Q1633" t="s">
        <v>570</v>
      </c>
      <c r="R1633" s="546" t="s">
        <v>804</v>
      </c>
    </row>
    <row r="1634" spans="1:18" x14ac:dyDescent="0.3">
      <c r="A1634" t="s">
        <v>627</v>
      </c>
      <c r="B1634" s="16">
        <v>45812</v>
      </c>
      <c r="C1634" t="s">
        <v>3</v>
      </c>
      <c r="D1634" t="s">
        <v>391</v>
      </c>
      <c r="E1634">
        <v>396</v>
      </c>
      <c r="F1634">
        <v>203</v>
      </c>
      <c r="G1634">
        <v>20</v>
      </c>
      <c r="H1634">
        <v>2</v>
      </c>
      <c r="I1634">
        <v>25205</v>
      </c>
      <c r="J1634">
        <v>5</v>
      </c>
      <c r="K1634">
        <v>19360</v>
      </c>
      <c r="L1634">
        <v>5</v>
      </c>
      <c r="M1634">
        <v>50</v>
      </c>
      <c r="N1634">
        <v>391</v>
      </c>
      <c r="O1634">
        <f t="shared" si="50"/>
        <v>2025</v>
      </c>
      <c r="P1634">
        <f t="shared" si="51"/>
        <v>6</v>
      </c>
      <c r="Q1634" t="s">
        <v>570</v>
      </c>
      <c r="R1634" s="546" t="s">
        <v>804</v>
      </c>
    </row>
    <row r="1635" spans="1:18" x14ac:dyDescent="0.3">
      <c r="A1635" t="s">
        <v>627</v>
      </c>
      <c r="B1635" s="16">
        <v>45812</v>
      </c>
      <c r="C1635" t="s">
        <v>3</v>
      </c>
      <c r="D1635" t="s">
        <v>114</v>
      </c>
      <c r="E1635">
        <v>92</v>
      </c>
      <c r="F1635">
        <v>52</v>
      </c>
      <c r="G1635">
        <v>4</v>
      </c>
      <c r="H1635">
        <v>2</v>
      </c>
      <c r="I1635">
        <v>0</v>
      </c>
      <c r="J1635">
        <v>0</v>
      </c>
      <c r="K1635">
        <v>0</v>
      </c>
      <c r="L1635">
        <v>0</v>
      </c>
      <c r="M1635">
        <v>9</v>
      </c>
      <c r="N1635">
        <v>86</v>
      </c>
      <c r="O1635">
        <f t="shared" si="50"/>
        <v>2025</v>
      </c>
      <c r="P1635">
        <f t="shared" si="51"/>
        <v>6</v>
      </c>
      <c r="Q1635" t="s">
        <v>570</v>
      </c>
      <c r="R1635" s="546" t="s">
        <v>804</v>
      </c>
    </row>
    <row r="1636" spans="1:18" x14ac:dyDescent="0.3">
      <c r="A1636" t="s">
        <v>627</v>
      </c>
      <c r="B1636" s="16">
        <v>45812</v>
      </c>
      <c r="C1636" t="s">
        <v>3</v>
      </c>
      <c r="D1636" t="s">
        <v>113</v>
      </c>
      <c r="E1636">
        <v>99</v>
      </c>
      <c r="F1636">
        <v>46</v>
      </c>
      <c r="G1636">
        <v>1</v>
      </c>
      <c r="H1636">
        <v>2</v>
      </c>
      <c r="I1636">
        <v>2750</v>
      </c>
      <c r="J1636">
        <v>1</v>
      </c>
      <c r="K1636">
        <v>2750</v>
      </c>
      <c r="L1636">
        <v>1</v>
      </c>
      <c r="M1636">
        <v>80</v>
      </c>
      <c r="N1636">
        <v>63</v>
      </c>
      <c r="O1636">
        <f t="shared" si="50"/>
        <v>2025</v>
      </c>
      <c r="P1636">
        <f t="shared" si="51"/>
        <v>6</v>
      </c>
      <c r="Q1636" t="s">
        <v>570</v>
      </c>
      <c r="R1636" s="546" t="s">
        <v>804</v>
      </c>
    </row>
    <row r="1637" spans="1:18" x14ac:dyDescent="0.3">
      <c r="A1637" t="s">
        <v>627</v>
      </c>
      <c r="B1637" s="16">
        <v>45812</v>
      </c>
      <c r="C1637" t="s">
        <v>3</v>
      </c>
      <c r="D1637" t="s">
        <v>112</v>
      </c>
      <c r="E1637">
        <v>29</v>
      </c>
      <c r="F1637">
        <v>8</v>
      </c>
      <c r="G1637">
        <v>0</v>
      </c>
      <c r="H1637">
        <v>0</v>
      </c>
      <c r="I1637">
        <v>4788</v>
      </c>
      <c r="J1637">
        <v>2</v>
      </c>
      <c r="K1637">
        <v>4788</v>
      </c>
      <c r="L1637">
        <v>2</v>
      </c>
      <c r="M1637">
        <v>0</v>
      </c>
      <c r="N1637">
        <v>29</v>
      </c>
      <c r="O1637">
        <f t="shared" si="50"/>
        <v>2025</v>
      </c>
      <c r="P1637">
        <f t="shared" si="51"/>
        <v>6</v>
      </c>
      <c r="Q1637" t="s">
        <v>570</v>
      </c>
      <c r="R1637" s="546" t="s">
        <v>804</v>
      </c>
    </row>
    <row r="1638" spans="1:18" x14ac:dyDescent="0.3">
      <c r="A1638" t="s">
        <v>627</v>
      </c>
      <c r="B1638" s="16">
        <v>45812</v>
      </c>
      <c r="C1638" t="s">
        <v>3</v>
      </c>
      <c r="D1638" t="s">
        <v>111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</v>
      </c>
      <c r="O1638">
        <f t="shared" si="50"/>
        <v>2025</v>
      </c>
      <c r="P1638">
        <f t="shared" si="51"/>
        <v>6</v>
      </c>
      <c r="Q1638" t="s">
        <v>570</v>
      </c>
      <c r="R1638" s="546" t="s">
        <v>804</v>
      </c>
    </row>
    <row r="1639" spans="1:18" x14ac:dyDescent="0.3">
      <c r="A1639" t="s">
        <v>627</v>
      </c>
      <c r="B1639" s="16">
        <v>45811</v>
      </c>
      <c r="C1639" t="s">
        <v>2</v>
      </c>
      <c r="D1639" t="s">
        <v>4</v>
      </c>
      <c r="E1639">
        <v>313</v>
      </c>
      <c r="F1639">
        <v>112</v>
      </c>
      <c r="G1639">
        <v>5</v>
      </c>
      <c r="H1639">
        <v>0</v>
      </c>
      <c r="I1639">
        <v>7330</v>
      </c>
      <c r="J1639">
        <v>2</v>
      </c>
      <c r="K1639">
        <v>7330</v>
      </c>
      <c r="L1639">
        <v>2</v>
      </c>
      <c r="M1639">
        <v>0</v>
      </c>
      <c r="N1639">
        <v>311</v>
      </c>
      <c r="O1639">
        <f t="shared" si="50"/>
        <v>2025</v>
      </c>
      <c r="P1639">
        <f t="shared" si="51"/>
        <v>6</v>
      </c>
      <c r="Q1639" t="s">
        <v>570</v>
      </c>
      <c r="R1639" s="546" t="s">
        <v>804</v>
      </c>
    </row>
    <row r="1640" spans="1:18" x14ac:dyDescent="0.3">
      <c r="A1640" t="s">
        <v>627</v>
      </c>
      <c r="B1640" s="16">
        <v>45811</v>
      </c>
      <c r="C1640" t="s">
        <v>2</v>
      </c>
      <c r="D1640" t="s">
        <v>57</v>
      </c>
      <c r="E1640">
        <v>19644</v>
      </c>
      <c r="F1640">
        <v>13041</v>
      </c>
      <c r="G1640">
        <v>284</v>
      </c>
      <c r="H1640">
        <v>230</v>
      </c>
      <c r="I1640">
        <v>159705</v>
      </c>
      <c r="J1640">
        <v>36</v>
      </c>
      <c r="K1640">
        <v>66150</v>
      </c>
      <c r="L1640">
        <v>21</v>
      </c>
      <c r="M1640">
        <v>1204</v>
      </c>
      <c r="N1640">
        <v>19375</v>
      </c>
      <c r="O1640">
        <f t="shared" si="50"/>
        <v>2025</v>
      </c>
      <c r="P1640">
        <f t="shared" si="51"/>
        <v>6</v>
      </c>
      <c r="Q1640" t="s">
        <v>570</v>
      </c>
      <c r="R1640" s="546" t="s">
        <v>804</v>
      </c>
    </row>
    <row r="1641" spans="1:18" x14ac:dyDescent="0.3">
      <c r="A1641" t="s">
        <v>627</v>
      </c>
      <c r="B1641" s="16">
        <v>45811</v>
      </c>
      <c r="C1641" t="s">
        <v>2</v>
      </c>
      <c r="D1641" t="s">
        <v>55</v>
      </c>
      <c r="E1641">
        <v>1063</v>
      </c>
      <c r="F1641">
        <v>797</v>
      </c>
      <c r="G1641">
        <v>11</v>
      </c>
      <c r="H1641">
        <v>2</v>
      </c>
      <c r="I1641">
        <v>0</v>
      </c>
      <c r="J1641">
        <v>0</v>
      </c>
      <c r="K1641">
        <v>0</v>
      </c>
      <c r="L1641">
        <v>0</v>
      </c>
      <c r="M1641">
        <v>15</v>
      </c>
      <c r="N1641">
        <v>168</v>
      </c>
      <c r="O1641">
        <f t="shared" si="50"/>
        <v>2025</v>
      </c>
      <c r="P1641">
        <f t="shared" si="51"/>
        <v>6</v>
      </c>
      <c r="Q1641" t="s">
        <v>570</v>
      </c>
      <c r="R1641" s="546" t="s">
        <v>804</v>
      </c>
    </row>
    <row r="1642" spans="1:18" x14ac:dyDescent="0.3">
      <c r="A1642" t="s">
        <v>627</v>
      </c>
      <c r="B1642" s="16">
        <v>45811</v>
      </c>
      <c r="C1642" t="s">
        <v>3</v>
      </c>
      <c r="D1642" t="s">
        <v>157</v>
      </c>
      <c r="E1642">
        <v>1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f t="shared" si="50"/>
        <v>2025</v>
      </c>
      <c r="P1642">
        <f t="shared" si="51"/>
        <v>6</v>
      </c>
      <c r="Q1642" t="s">
        <v>570</v>
      </c>
      <c r="R1642" s="546" t="s">
        <v>804</v>
      </c>
    </row>
    <row r="1643" spans="1:18" x14ac:dyDescent="0.3">
      <c r="A1643" t="s">
        <v>627</v>
      </c>
      <c r="B1643" s="16">
        <v>45811</v>
      </c>
      <c r="C1643" t="s">
        <v>3</v>
      </c>
      <c r="D1643" t="s">
        <v>155</v>
      </c>
      <c r="E1643">
        <v>1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f t="shared" si="50"/>
        <v>2025</v>
      </c>
      <c r="P1643">
        <f t="shared" si="51"/>
        <v>6</v>
      </c>
      <c r="Q1643" t="s">
        <v>570</v>
      </c>
      <c r="R1643" s="546" t="s">
        <v>804</v>
      </c>
    </row>
    <row r="1644" spans="1:18" x14ac:dyDescent="0.3">
      <c r="A1644" t="s">
        <v>627</v>
      </c>
      <c r="B1644" s="16">
        <v>45811</v>
      </c>
      <c r="C1644" t="s">
        <v>3</v>
      </c>
      <c r="D1644" t="s">
        <v>154</v>
      </c>
      <c r="E1644">
        <v>458</v>
      </c>
      <c r="F1644">
        <v>365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</v>
      </c>
      <c r="N1644">
        <v>1</v>
      </c>
      <c r="O1644">
        <f t="shared" si="50"/>
        <v>2025</v>
      </c>
      <c r="P1644">
        <f t="shared" si="51"/>
        <v>6</v>
      </c>
      <c r="Q1644" t="s">
        <v>570</v>
      </c>
      <c r="R1644" s="546" t="s">
        <v>804</v>
      </c>
    </row>
    <row r="1645" spans="1:18" x14ac:dyDescent="0.3">
      <c r="A1645" t="s">
        <v>627</v>
      </c>
      <c r="B1645" s="16">
        <v>45811</v>
      </c>
      <c r="C1645" t="s">
        <v>3</v>
      </c>
      <c r="D1645" t="s">
        <v>153</v>
      </c>
      <c r="E1645">
        <v>271</v>
      </c>
      <c r="F1645">
        <v>82</v>
      </c>
      <c r="G1645">
        <v>22</v>
      </c>
      <c r="H1645">
        <v>1</v>
      </c>
      <c r="I1645">
        <v>99433</v>
      </c>
      <c r="J1645">
        <v>24</v>
      </c>
      <c r="K1645">
        <v>77998</v>
      </c>
      <c r="L1645">
        <v>20</v>
      </c>
      <c r="M1645">
        <v>61</v>
      </c>
      <c r="N1645">
        <v>259</v>
      </c>
      <c r="O1645">
        <f t="shared" si="50"/>
        <v>2025</v>
      </c>
      <c r="P1645">
        <f t="shared" si="51"/>
        <v>6</v>
      </c>
      <c r="Q1645" t="s">
        <v>570</v>
      </c>
      <c r="R1645" s="546" t="s">
        <v>804</v>
      </c>
    </row>
    <row r="1646" spans="1:18" x14ac:dyDescent="0.3">
      <c r="A1646" t="s">
        <v>627</v>
      </c>
      <c r="B1646" s="16">
        <v>45811</v>
      </c>
      <c r="C1646" t="s">
        <v>3</v>
      </c>
      <c r="D1646" t="s">
        <v>152</v>
      </c>
      <c r="E1646">
        <v>103</v>
      </c>
      <c r="F1646">
        <v>87</v>
      </c>
      <c r="G1646">
        <v>4</v>
      </c>
      <c r="H1646">
        <v>2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88</v>
      </c>
      <c r="O1646">
        <f t="shared" si="50"/>
        <v>2025</v>
      </c>
      <c r="P1646">
        <f t="shared" si="51"/>
        <v>6</v>
      </c>
      <c r="Q1646" t="s">
        <v>570</v>
      </c>
      <c r="R1646" s="546" t="s">
        <v>804</v>
      </c>
    </row>
    <row r="1647" spans="1:18" x14ac:dyDescent="0.3">
      <c r="A1647" t="s">
        <v>627</v>
      </c>
      <c r="B1647" s="16">
        <v>45811</v>
      </c>
      <c r="C1647" t="s">
        <v>3</v>
      </c>
      <c r="D1647" t="s">
        <v>150</v>
      </c>
      <c r="E1647">
        <v>7</v>
      </c>
      <c r="F1647">
        <v>5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1</v>
      </c>
      <c r="O1647">
        <f t="shared" ref="O1647:O1710" si="52">YEAR(B1647)</f>
        <v>2025</v>
      </c>
      <c r="P1647">
        <f t="shared" ref="P1647:P1710" si="53">MONTH(B1647)</f>
        <v>6</v>
      </c>
      <c r="Q1647" t="s">
        <v>570</v>
      </c>
      <c r="R1647" s="546" t="s">
        <v>804</v>
      </c>
    </row>
    <row r="1648" spans="1:18" x14ac:dyDescent="0.3">
      <c r="A1648" t="s">
        <v>627</v>
      </c>
      <c r="B1648" s="16">
        <v>45811</v>
      </c>
      <c r="C1648" t="s">
        <v>3</v>
      </c>
      <c r="D1648" t="s">
        <v>149</v>
      </c>
      <c r="E1648">
        <v>7</v>
      </c>
      <c r="F1648">
        <v>3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f t="shared" si="52"/>
        <v>2025</v>
      </c>
      <c r="P1648">
        <f t="shared" si="53"/>
        <v>6</v>
      </c>
      <c r="Q1648" t="s">
        <v>570</v>
      </c>
      <c r="R1648" s="546" t="s">
        <v>804</v>
      </c>
    </row>
    <row r="1649" spans="1:18" x14ac:dyDescent="0.3">
      <c r="A1649" t="s">
        <v>627</v>
      </c>
      <c r="B1649" s="16">
        <v>45811</v>
      </c>
      <c r="C1649" t="s">
        <v>3</v>
      </c>
      <c r="D1649" t="s">
        <v>148</v>
      </c>
      <c r="E1649">
        <v>1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f t="shared" si="52"/>
        <v>2025</v>
      </c>
      <c r="P1649">
        <f t="shared" si="53"/>
        <v>6</v>
      </c>
      <c r="Q1649" t="s">
        <v>570</v>
      </c>
      <c r="R1649" s="546" t="s">
        <v>804</v>
      </c>
    </row>
    <row r="1650" spans="1:18" x14ac:dyDescent="0.3">
      <c r="A1650" t="s">
        <v>627</v>
      </c>
      <c r="B1650" s="16">
        <v>45811</v>
      </c>
      <c r="C1650" t="s">
        <v>3</v>
      </c>
      <c r="D1650" t="s">
        <v>630</v>
      </c>
      <c r="E1650">
        <v>47</v>
      </c>
      <c r="F1650">
        <v>26</v>
      </c>
      <c r="G1650">
        <v>0</v>
      </c>
      <c r="H1650">
        <v>0</v>
      </c>
      <c r="I1650">
        <v>1490</v>
      </c>
      <c r="J1650">
        <v>1</v>
      </c>
      <c r="K1650">
        <v>1490</v>
      </c>
      <c r="L1650">
        <v>1</v>
      </c>
      <c r="M1650">
        <v>2</v>
      </c>
      <c r="N1650">
        <v>15</v>
      </c>
      <c r="O1650">
        <f t="shared" si="52"/>
        <v>2025</v>
      </c>
      <c r="P1650">
        <f t="shared" si="53"/>
        <v>6</v>
      </c>
      <c r="Q1650" t="s">
        <v>570</v>
      </c>
      <c r="R1650" s="546" t="s">
        <v>804</v>
      </c>
    </row>
    <row r="1651" spans="1:18" x14ac:dyDescent="0.3">
      <c r="A1651" t="s">
        <v>627</v>
      </c>
      <c r="B1651" s="16">
        <v>45811</v>
      </c>
      <c r="C1651" t="s">
        <v>3</v>
      </c>
      <c r="D1651" t="s">
        <v>251</v>
      </c>
      <c r="E1651">
        <v>2867</v>
      </c>
      <c r="F1651">
        <v>2587</v>
      </c>
      <c r="G1651">
        <v>9</v>
      </c>
      <c r="H1651">
        <v>2</v>
      </c>
      <c r="I1651">
        <v>19796.5</v>
      </c>
      <c r="J1651">
        <v>7</v>
      </c>
      <c r="K1651">
        <v>19796.5</v>
      </c>
      <c r="L1651">
        <v>7</v>
      </c>
      <c r="M1651">
        <v>61</v>
      </c>
      <c r="N1651">
        <v>177</v>
      </c>
      <c r="O1651">
        <f t="shared" si="52"/>
        <v>2025</v>
      </c>
      <c r="P1651">
        <f t="shared" si="53"/>
        <v>6</v>
      </c>
      <c r="Q1651" t="s">
        <v>570</v>
      </c>
      <c r="R1651" s="546" t="s">
        <v>804</v>
      </c>
    </row>
    <row r="1652" spans="1:18" x14ac:dyDescent="0.3">
      <c r="A1652" t="s">
        <v>627</v>
      </c>
      <c r="B1652" s="16">
        <v>45811</v>
      </c>
      <c r="C1652" t="s">
        <v>3</v>
      </c>
      <c r="D1652" t="s">
        <v>143</v>
      </c>
      <c r="E1652">
        <v>24</v>
      </c>
      <c r="F1652">
        <v>23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24</v>
      </c>
      <c r="O1652">
        <f t="shared" si="52"/>
        <v>2025</v>
      </c>
      <c r="P1652">
        <f t="shared" si="53"/>
        <v>6</v>
      </c>
      <c r="Q1652" t="s">
        <v>570</v>
      </c>
      <c r="R1652" s="546" t="s">
        <v>804</v>
      </c>
    </row>
    <row r="1653" spans="1:18" x14ac:dyDescent="0.3">
      <c r="A1653" t="s">
        <v>627</v>
      </c>
      <c r="B1653" s="16">
        <v>45811</v>
      </c>
      <c r="C1653" t="s">
        <v>3</v>
      </c>
      <c r="D1653" t="s">
        <v>141</v>
      </c>
      <c r="E1653">
        <v>286</v>
      </c>
      <c r="F1653">
        <v>148</v>
      </c>
      <c r="G1653">
        <v>3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3</v>
      </c>
      <c r="N1653">
        <v>283</v>
      </c>
      <c r="O1653">
        <f t="shared" si="52"/>
        <v>2025</v>
      </c>
      <c r="P1653">
        <f t="shared" si="53"/>
        <v>6</v>
      </c>
      <c r="Q1653" t="s">
        <v>570</v>
      </c>
      <c r="R1653" s="546" t="s">
        <v>804</v>
      </c>
    </row>
    <row r="1654" spans="1:18" x14ac:dyDescent="0.3">
      <c r="A1654" t="s">
        <v>627</v>
      </c>
      <c r="B1654" s="16">
        <v>45811</v>
      </c>
      <c r="C1654" t="s">
        <v>3</v>
      </c>
      <c r="D1654" t="s">
        <v>140</v>
      </c>
      <c r="E1654">
        <v>12</v>
      </c>
      <c r="F1654">
        <v>10</v>
      </c>
      <c r="G1654">
        <v>1</v>
      </c>
      <c r="H1654">
        <v>0</v>
      </c>
      <c r="I1654">
        <v>2395</v>
      </c>
      <c r="J1654">
        <v>1</v>
      </c>
      <c r="K1654">
        <v>2395</v>
      </c>
      <c r="L1654">
        <v>1</v>
      </c>
      <c r="M1654">
        <v>3</v>
      </c>
      <c r="N1654">
        <v>11</v>
      </c>
      <c r="O1654">
        <f t="shared" si="52"/>
        <v>2025</v>
      </c>
      <c r="P1654">
        <f t="shared" si="53"/>
        <v>6</v>
      </c>
      <c r="Q1654" t="s">
        <v>570</v>
      </c>
      <c r="R1654" s="546" t="s">
        <v>804</v>
      </c>
    </row>
    <row r="1655" spans="1:18" x14ac:dyDescent="0.3">
      <c r="A1655" t="s">
        <v>627</v>
      </c>
      <c r="B1655" s="16">
        <v>45811</v>
      </c>
      <c r="C1655" t="s">
        <v>3</v>
      </c>
      <c r="D1655" t="s">
        <v>139</v>
      </c>
      <c r="E1655">
        <v>576</v>
      </c>
      <c r="F1655">
        <v>359</v>
      </c>
      <c r="G1655">
        <v>25</v>
      </c>
      <c r="H1655">
        <v>8</v>
      </c>
      <c r="I1655">
        <v>33664.339999999997</v>
      </c>
      <c r="J1655">
        <v>9</v>
      </c>
      <c r="K1655">
        <v>33664.339999999997</v>
      </c>
      <c r="L1655">
        <v>9</v>
      </c>
      <c r="M1655">
        <v>203</v>
      </c>
      <c r="N1655">
        <v>406</v>
      </c>
      <c r="O1655">
        <f t="shared" si="52"/>
        <v>2025</v>
      </c>
      <c r="P1655">
        <f t="shared" si="53"/>
        <v>6</v>
      </c>
      <c r="Q1655" t="s">
        <v>570</v>
      </c>
      <c r="R1655" s="546" t="s">
        <v>804</v>
      </c>
    </row>
    <row r="1656" spans="1:18" x14ac:dyDescent="0.3">
      <c r="A1656" t="s">
        <v>627</v>
      </c>
      <c r="B1656" s="16">
        <v>45811</v>
      </c>
      <c r="C1656" t="s">
        <v>3</v>
      </c>
      <c r="D1656" t="s">
        <v>138</v>
      </c>
      <c r="E1656">
        <v>2</v>
      </c>
      <c r="F1656">
        <v>1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2</v>
      </c>
      <c r="O1656">
        <f t="shared" si="52"/>
        <v>2025</v>
      </c>
      <c r="P1656">
        <f t="shared" si="53"/>
        <v>6</v>
      </c>
      <c r="Q1656" t="s">
        <v>570</v>
      </c>
      <c r="R1656" s="546" t="s">
        <v>804</v>
      </c>
    </row>
    <row r="1657" spans="1:18" x14ac:dyDescent="0.3">
      <c r="A1657" t="s">
        <v>627</v>
      </c>
      <c r="B1657" s="16">
        <v>45811</v>
      </c>
      <c r="C1657" t="s">
        <v>3</v>
      </c>
      <c r="D1657" t="s">
        <v>135</v>
      </c>
      <c r="E1657">
        <v>47</v>
      </c>
      <c r="F1657">
        <v>26</v>
      </c>
      <c r="G1657">
        <v>0</v>
      </c>
      <c r="H1657">
        <v>0</v>
      </c>
      <c r="I1657">
        <v>1490</v>
      </c>
      <c r="J1657">
        <v>1</v>
      </c>
      <c r="K1657">
        <v>1490</v>
      </c>
      <c r="L1657">
        <v>1</v>
      </c>
      <c r="M1657">
        <v>2</v>
      </c>
      <c r="N1657">
        <v>15</v>
      </c>
      <c r="O1657">
        <f t="shared" si="52"/>
        <v>2025</v>
      </c>
      <c r="P1657">
        <f t="shared" si="53"/>
        <v>6</v>
      </c>
      <c r="Q1657" t="s">
        <v>570</v>
      </c>
      <c r="R1657" s="546" t="s">
        <v>804</v>
      </c>
    </row>
    <row r="1658" spans="1:18" x14ac:dyDescent="0.3">
      <c r="A1658" t="s">
        <v>627</v>
      </c>
      <c r="B1658" s="16">
        <v>45811</v>
      </c>
      <c r="C1658" t="s">
        <v>3</v>
      </c>
      <c r="D1658" t="s">
        <v>133</v>
      </c>
      <c r="E1658">
        <v>23</v>
      </c>
      <c r="F1658">
        <v>19</v>
      </c>
      <c r="G1658">
        <v>2</v>
      </c>
      <c r="H1658">
        <v>0</v>
      </c>
      <c r="I1658">
        <v>9780</v>
      </c>
      <c r="J1658">
        <v>2</v>
      </c>
      <c r="K1658">
        <v>9780</v>
      </c>
      <c r="L1658">
        <v>2</v>
      </c>
      <c r="M1658">
        <v>8</v>
      </c>
      <c r="N1658">
        <v>22</v>
      </c>
      <c r="O1658">
        <f t="shared" si="52"/>
        <v>2025</v>
      </c>
      <c r="P1658">
        <f t="shared" si="53"/>
        <v>6</v>
      </c>
      <c r="Q1658" t="s">
        <v>570</v>
      </c>
      <c r="R1658" s="546" t="s">
        <v>804</v>
      </c>
    </row>
    <row r="1659" spans="1:18" x14ac:dyDescent="0.3">
      <c r="A1659" t="s">
        <v>627</v>
      </c>
      <c r="B1659" s="16">
        <v>45811</v>
      </c>
      <c r="C1659" t="s">
        <v>3</v>
      </c>
      <c r="D1659" t="s">
        <v>130</v>
      </c>
      <c r="E1659">
        <v>90</v>
      </c>
      <c r="F1659">
        <v>33</v>
      </c>
      <c r="G1659">
        <v>7</v>
      </c>
      <c r="H1659">
        <v>0</v>
      </c>
      <c r="I1659">
        <v>26285</v>
      </c>
      <c r="J1659">
        <v>3</v>
      </c>
      <c r="K1659">
        <v>26285</v>
      </c>
      <c r="L1659">
        <v>3</v>
      </c>
      <c r="M1659">
        <v>35</v>
      </c>
      <c r="N1659">
        <v>79</v>
      </c>
      <c r="O1659">
        <f t="shared" si="52"/>
        <v>2025</v>
      </c>
      <c r="P1659">
        <f t="shared" si="53"/>
        <v>6</v>
      </c>
      <c r="Q1659" t="s">
        <v>570</v>
      </c>
      <c r="R1659" s="546" t="s">
        <v>804</v>
      </c>
    </row>
    <row r="1660" spans="1:18" x14ac:dyDescent="0.3">
      <c r="A1660" t="s">
        <v>627</v>
      </c>
      <c r="B1660" s="16">
        <v>45811</v>
      </c>
      <c r="C1660" t="s">
        <v>3</v>
      </c>
      <c r="D1660" t="s">
        <v>128</v>
      </c>
      <c r="E1660">
        <v>801</v>
      </c>
      <c r="F1660">
        <v>590</v>
      </c>
      <c r="G1660">
        <v>34</v>
      </c>
      <c r="H1660">
        <v>11</v>
      </c>
      <c r="I1660">
        <v>41059.18</v>
      </c>
      <c r="J1660">
        <v>10</v>
      </c>
      <c r="K1660">
        <v>38569.18</v>
      </c>
      <c r="L1660">
        <v>10</v>
      </c>
      <c r="M1660">
        <v>365</v>
      </c>
      <c r="N1660">
        <v>578</v>
      </c>
      <c r="O1660">
        <f t="shared" si="52"/>
        <v>2025</v>
      </c>
      <c r="P1660">
        <f t="shared" si="53"/>
        <v>6</v>
      </c>
      <c r="Q1660" t="s">
        <v>570</v>
      </c>
      <c r="R1660" s="546" t="s">
        <v>804</v>
      </c>
    </row>
    <row r="1661" spans="1:18" x14ac:dyDescent="0.3">
      <c r="A1661" t="s">
        <v>627</v>
      </c>
      <c r="B1661" s="16">
        <v>45811</v>
      </c>
      <c r="C1661" t="s">
        <v>3</v>
      </c>
      <c r="D1661" t="s">
        <v>127</v>
      </c>
      <c r="E1661">
        <v>8529</v>
      </c>
      <c r="F1661">
        <v>7411</v>
      </c>
      <c r="G1661">
        <v>47</v>
      </c>
      <c r="H1661">
        <v>42</v>
      </c>
      <c r="I1661">
        <v>21426</v>
      </c>
      <c r="J1661">
        <v>5</v>
      </c>
      <c r="K1661">
        <v>6926</v>
      </c>
      <c r="L1661">
        <v>4</v>
      </c>
      <c r="M1661">
        <v>465</v>
      </c>
      <c r="N1661">
        <v>8251</v>
      </c>
      <c r="O1661">
        <f t="shared" si="52"/>
        <v>2025</v>
      </c>
      <c r="P1661">
        <f t="shared" si="53"/>
        <v>6</v>
      </c>
      <c r="Q1661" t="s">
        <v>570</v>
      </c>
      <c r="R1661" s="546" t="s">
        <v>804</v>
      </c>
    </row>
    <row r="1662" spans="1:18" x14ac:dyDescent="0.3">
      <c r="A1662" t="s">
        <v>627</v>
      </c>
      <c r="B1662" s="16">
        <v>45811</v>
      </c>
      <c r="C1662" t="s">
        <v>3</v>
      </c>
      <c r="D1662" t="s">
        <v>126</v>
      </c>
      <c r="E1662">
        <v>70</v>
      </c>
      <c r="F1662">
        <v>51</v>
      </c>
      <c r="G1662">
        <v>5</v>
      </c>
      <c r="H1662">
        <v>0</v>
      </c>
      <c r="I1662">
        <v>7675</v>
      </c>
      <c r="J1662">
        <v>2</v>
      </c>
      <c r="K1662">
        <v>7675</v>
      </c>
      <c r="L1662">
        <v>2</v>
      </c>
      <c r="M1662">
        <v>19</v>
      </c>
      <c r="N1662">
        <v>65</v>
      </c>
      <c r="O1662">
        <f t="shared" si="52"/>
        <v>2025</v>
      </c>
      <c r="P1662">
        <f t="shared" si="53"/>
        <v>6</v>
      </c>
      <c r="Q1662" t="s">
        <v>570</v>
      </c>
      <c r="R1662" s="546" t="s">
        <v>804</v>
      </c>
    </row>
    <row r="1663" spans="1:18" x14ac:dyDescent="0.3">
      <c r="A1663" t="s">
        <v>627</v>
      </c>
      <c r="B1663" s="16">
        <v>45811</v>
      </c>
      <c r="C1663" t="s">
        <v>3</v>
      </c>
      <c r="D1663" t="s">
        <v>125</v>
      </c>
      <c r="E1663">
        <v>4</v>
      </c>
      <c r="F1663">
        <v>2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</v>
      </c>
      <c r="N1663">
        <v>4</v>
      </c>
      <c r="O1663">
        <f t="shared" si="52"/>
        <v>2025</v>
      </c>
      <c r="P1663">
        <f t="shared" si="53"/>
        <v>6</v>
      </c>
      <c r="Q1663" t="s">
        <v>570</v>
      </c>
      <c r="R1663" s="546" t="s">
        <v>804</v>
      </c>
    </row>
    <row r="1664" spans="1:18" x14ac:dyDescent="0.3">
      <c r="A1664" t="s">
        <v>627</v>
      </c>
      <c r="B1664" s="16">
        <v>45811</v>
      </c>
      <c r="C1664" t="s">
        <v>3</v>
      </c>
      <c r="D1664" t="s">
        <v>124</v>
      </c>
      <c r="E1664">
        <v>1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</v>
      </c>
      <c r="N1664">
        <v>0</v>
      </c>
      <c r="O1664">
        <f t="shared" si="52"/>
        <v>2025</v>
      </c>
      <c r="P1664">
        <f t="shared" si="53"/>
        <v>6</v>
      </c>
      <c r="Q1664" t="s">
        <v>570</v>
      </c>
      <c r="R1664" s="546" t="s">
        <v>804</v>
      </c>
    </row>
    <row r="1665" spans="1:18" x14ac:dyDescent="0.3">
      <c r="A1665" t="s">
        <v>627</v>
      </c>
      <c r="B1665" s="16">
        <v>45811</v>
      </c>
      <c r="C1665" t="s">
        <v>3</v>
      </c>
      <c r="D1665" t="s">
        <v>123</v>
      </c>
      <c r="E1665">
        <v>261</v>
      </c>
      <c r="F1665">
        <v>160</v>
      </c>
      <c r="G1665">
        <v>8</v>
      </c>
      <c r="H1665">
        <v>7</v>
      </c>
      <c r="I1665">
        <v>3838</v>
      </c>
      <c r="J1665">
        <v>2</v>
      </c>
      <c r="K1665">
        <v>3838</v>
      </c>
      <c r="L1665">
        <v>2</v>
      </c>
      <c r="M1665">
        <v>75</v>
      </c>
      <c r="N1665">
        <v>245</v>
      </c>
      <c r="O1665">
        <f t="shared" si="52"/>
        <v>2025</v>
      </c>
      <c r="P1665">
        <f t="shared" si="53"/>
        <v>6</v>
      </c>
      <c r="Q1665" t="s">
        <v>570</v>
      </c>
      <c r="R1665" s="546" t="s">
        <v>804</v>
      </c>
    </row>
    <row r="1666" spans="1:18" x14ac:dyDescent="0.3">
      <c r="A1666" t="s">
        <v>627</v>
      </c>
      <c r="B1666" s="16">
        <v>45811</v>
      </c>
      <c r="C1666" t="s">
        <v>3</v>
      </c>
      <c r="D1666" t="s">
        <v>121</v>
      </c>
      <c r="E1666">
        <v>1</v>
      </c>
      <c r="F1666">
        <v>1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1</v>
      </c>
      <c r="N1666">
        <v>0</v>
      </c>
      <c r="O1666">
        <f t="shared" si="52"/>
        <v>2025</v>
      </c>
      <c r="P1666">
        <f t="shared" si="53"/>
        <v>6</v>
      </c>
      <c r="Q1666" t="s">
        <v>570</v>
      </c>
      <c r="R1666" s="546" t="s">
        <v>804</v>
      </c>
    </row>
    <row r="1667" spans="1:18" x14ac:dyDescent="0.3">
      <c r="A1667" t="s">
        <v>627</v>
      </c>
      <c r="B1667" s="16">
        <v>45811</v>
      </c>
      <c r="C1667" t="s">
        <v>3</v>
      </c>
      <c r="D1667" t="s">
        <v>119</v>
      </c>
      <c r="E1667">
        <v>211</v>
      </c>
      <c r="F1667">
        <v>49</v>
      </c>
      <c r="G1667">
        <v>16</v>
      </c>
      <c r="H1667">
        <v>5</v>
      </c>
      <c r="I1667">
        <v>22425</v>
      </c>
      <c r="J1667">
        <v>7</v>
      </c>
      <c r="K1667">
        <v>15240</v>
      </c>
      <c r="L1667">
        <v>5</v>
      </c>
      <c r="M1667">
        <v>48</v>
      </c>
      <c r="N1667">
        <v>203</v>
      </c>
      <c r="O1667">
        <f t="shared" si="52"/>
        <v>2025</v>
      </c>
      <c r="P1667">
        <f t="shared" si="53"/>
        <v>6</v>
      </c>
      <c r="Q1667" t="s">
        <v>570</v>
      </c>
      <c r="R1667" s="546" t="s">
        <v>804</v>
      </c>
    </row>
    <row r="1668" spans="1:18" x14ac:dyDescent="0.3">
      <c r="A1668" t="s">
        <v>627</v>
      </c>
      <c r="B1668" s="16">
        <v>45811</v>
      </c>
      <c r="C1668" t="s">
        <v>3</v>
      </c>
      <c r="D1668" t="s">
        <v>583</v>
      </c>
      <c r="E1668">
        <v>1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1</v>
      </c>
      <c r="O1668">
        <f t="shared" si="52"/>
        <v>2025</v>
      </c>
      <c r="P1668">
        <f t="shared" si="53"/>
        <v>6</v>
      </c>
      <c r="Q1668" t="s">
        <v>570</v>
      </c>
      <c r="R1668" s="546" t="s">
        <v>804</v>
      </c>
    </row>
    <row r="1669" spans="1:18" x14ac:dyDescent="0.3">
      <c r="A1669" t="s">
        <v>627</v>
      </c>
      <c r="B1669" s="16">
        <v>45811</v>
      </c>
      <c r="C1669" t="s">
        <v>3</v>
      </c>
      <c r="D1669" t="s">
        <v>252</v>
      </c>
      <c r="E1669">
        <v>10</v>
      </c>
      <c r="F1669">
        <v>10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10</v>
      </c>
      <c r="O1669">
        <f t="shared" si="52"/>
        <v>2025</v>
      </c>
      <c r="P1669">
        <f t="shared" si="53"/>
        <v>6</v>
      </c>
      <c r="Q1669" t="s">
        <v>570</v>
      </c>
      <c r="R1669" s="546" t="s">
        <v>804</v>
      </c>
    </row>
    <row r="1670" spans="1:18" x14ac:dyDescent="0.3">
      <c r="A1670" t="s">
        <v>627</v>
      </c>
      <c r="B1670" s="16">
        <v>45811</v>
      </c>
      <c r="C1670" t="s">
        <v>3</v>
      </c>
      <c r="D1670" t="s">
        <v>118</v>
      </c>
      <c r="E1670">
        <v>1</v>
      </c>
      <c r="F1670">
        <v>1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1</v>
      </c>
      <c r="N1670">
        <v>1</v>
      </c>
      <c r="O1670">
        <f t="shared" si="52"/>
        <v>2025</v>
      </c>
      <c r="P1670">
        <f t="shared" si="53"/>
        <v>6</v>
      </c>
      <c r="Q1670" t="s">
        <v>570</v>
      </c>
      <c r="R1670" s="546" t="s">
        <v>804</v>
      </c>
    </row>
    <row r="1671" spans="1:18" x14ac:dyDescent="0.3">
      <c r="A1671" t="s">
        <v>627</v>
      </c>
      <c r="B1671" s="16">
        <v>45811</v>
      </c>
      <c r="C1671" t="s">
        <v>3</v>
      </c>
      <c r="D1671" t="s">
        <v>117</v>
      </c>
      <c r="E1671">
        <v>1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1</v>
      </c>
      <c r="N1671">
        <v>1</v>
      </c>
      <c r="O1671">
        <f t="shared" si="52"/>
        <v>2025</v>
      </c>
      <c r="P1671">
        <f t="shared" si="53"/>
        <v>6</v>
      </c>
      <c r="Q1671" t="s">
        <v>570</v>
      </c>
      <c r="R1671" s="546" t="s">
        <v>804</v>
      </c>
    </row>
    <row r="1672" spans="1:18" x14ac:dyDescent="0.3">
      <c r="A1672" t="s">
        <v>627</v>
      </c>
      <c r="B1672" s="16">
        <v>45811</v>
      </c>
      <c r="C1672" t="s">
        <v>3</v>
      </c>
      <c r="D1672" t="s">
        <v>391</v>
      </c>
      <c r="E1672">
        <v>433</v>
      </c>
      <c r="F1672">
        <v>229</v>
      </c>
      <c r="G1672">
        <v>5</v>
      </c>
      <c r="H1672">
        <v>4</v>
      </c>
      <c r="I1672">
        <v>1690</v>
      </c>
      <c r="J1672">
        <v>1</v>
      </c>
      <c r="K1672">
        <v>1690</v>
      </c>
      <c r="L1672">
        <v>1</v>
      </c>
      <c r="M1672">
        <v>58</v>
      </c>
      <c r="N1672">
        <v>423</v>
      </c>
      <c r="O1672">
        <f t="shared" si="52"/>
        <v>2025</v>
      </c>
      <c r="P1672">
        <f t="shared" si="53"/>
        <v>6</v>
      </c>
      <c r="Q1672" t="s">
        <v>570</v>
      </c>
      <c r="R1672" s="546" t="s">
        <v>804</v>
      </c>
    </row>
    <row r="1673" spans="1:18" x14ac:dyDescent="0.3">
      <c r="A1673" t="s">
        <v>627</v>
      </c>
      <c r="B1673" s="16">
        <v>45811</v>
      </c>
      <c r="C1673" t="s">
        <v>3</v>
      </c>
      <c r="D1673" t="s">
        <v>114</v>
      </c>
      <c r="E1673">
        <v>143</v>
      </c>
      <c r="F1673">
        <v>92</v>
      </c>
      <c r="G1673">
        <v>4</v>
      </c>
      <c r="H1673">
        <v>3</v>
      </c>
      <c r="I1673">
        <v>8907</v>
      </c>
      <c r="J1673">
        <v>2</v>
      </c>
      <c r="K1673">
        <v>8907</v>
      </c>
      <c r="L1673">
        <v>2</v>
      </c>
      <c r="M1673">
        <v>12</v>
      </c>
      <c r="N1673">
        <v>141</v>
      </c>
      <c r="O1673">
        <f t="shared" si="52"/>
        <v>2025</v>
      </c>
      <c r="P1673">
        <f t="shared" si="53"/>
        <v>6</v>
      </c>
      <c r="Q1673" t="s">
        <v>570</v>
      </c>
      <c r="R1673" s="546" t="s">
        <v>804</v>
      </c>
    </row>
    <row r="1674" spans="1:18" x14ac:dyDescent="0.3">
      <c r="A1674" t="s">
        <v>627</v>
      </c>
      <c r="B1674" s="16">
        <v>45811</v>
      </c>
      <c r="C1674" t="s">
        <v>3</v>
      </c>
      <c r="D1674" t="s">
        <v>113</v>
      </c>
      <c r="E1674">
        <v>110</v>
      </c>
      <c r="F1674">
        <v>46</v>
      </c>
      <c r="G1674">
        <v>4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80</v>
      </c>
      <c r="N1674">
        <v>63</v>
      </c>
      <c r="O1674">
        <f t="shared" si="52"/>
        <v>2025</v>
      </c>
      <c r="P1674">
        <f t="shared" si="53"/>
        <v>6</v>
      </c>
      <c r="Q1674" t="s">
        <v>570</v>
      </c>
      <c r="R1674" s="546" t="s">
        <v>804</v>
      </c>
    </row>
    <row r="1675" spans="1:18" x14ac:dyDescent="0.3">
      <c r="A1675" t="s">
        <v>627</v>
      </c>
      <c r="B1675" s="16">
        <v>45811</v>
      </c>
      <c r="C1675" t="s">
        <v>3</v>
      </c>
      <c r="D1675" t="s">
        <v>112</v>
      </c>
      <c r="E1675">
        <v>38</v>
      </c>
      <c r="F1675">
        <v>12</v>
      </c>
      <c r="G1675">
        <v>1</v>
      </c>
      <c r="H1675">
        <v>0</v>
      </c>
      <c r="I1675">
        <v>3951.5</v>
      </c>
      <c r="J1675">
        <v>2</v>
      </c>
      <c r="K1675">
        <v>3951.5</v>
      </c>
      <c r="L1675">
        <v>2</v>
      </c>
      <c r="M1675">
        <v>1</v>
      </c>
      <c r="N1675">
        <v>38</v>
      </c>
      <c r="O1675">
        <f t="shared" si="52"/>
        <v>2025</v>
      </c>
      <c r="P1675">
        <f t="shared" si="53"/>
        <v>6</v>
      </c>
      <c r="Q1675" t="s">
        <v>570</v>
      </c>
      <c r="R1675" s="546" t="s">
        <v>804</v>
      </c>
    </row>
    <row r="1676" spans="1:18" x14ac:dyDescent="0.3">
      <c r="A1676" t="s">
        <v>627</v>
      </c>
      <c r="B1676" s="16">
        <v>45811</v>
      </c>
      <c r="C1676" t="s">
        <v>3</v>
      </c>
      <c r="D1676" t="s">
        <v>111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f t="shared" si="52"/>
        <v>2025</v>
      </c>
      <c r="P1676">
        <f t="shared" si="53"/>
        <v>6</v>
      </c>
      <c r="Q1676" t="s">
        <v>570</v>
      </c>
      <c r="R1676" s="546" t="s">
        <v>804</v>
      </c>
    </row>
    <row r="1677" spans="1:18" x14ac:dyDescent="0.3">
      <c r="A1677" t="s">
        <v>627</v>
      </c>
      <c r="B1677" s="16">
        <v>45810</v>
      </c>
      <c r="C1677" t="s">
        <v>2</v>
      </c>
      <c r="D1677" t="s">
        <v>4</v>
      </c>
      <c r="E1677">
        <v>335</v>
      </c>
      <c r="F1677">
        <v>111</v>
      </c>
      <c r="G1677">
        <v>8</v>
      </c>
      <c r="H1677">
        <v>2</v>
      </c>
      <c r="I1677">
        <v>19130</v>
      </c>
      <c r="J1677">
        <v>7</v>
      </c>
      <c r="K1677">
        <v>19130</v>
      </c>
      <c r="L1677">
        <v>7</v>
      </c>
      <c r="M1677">
        <v>4</v>
      </c>
      <c r="N1677">
        <v>332</v>
      </c>
      <c r="O1677">
        <f t="shared" si="52"/>
        <v>2025</v>
      </c>
      <c r="P1677">
        <f t="shared" si="53"/>
        <v>6</v>
      </c>
      <c r="Q1677" t="s">
        <v>570</v>
      </c>
      <c r="R1677" s="546" t="s">
        <v>804</v>
      </c>
    </row>
    <row r="1678" spans="1:18" x14ac:dyDescent="0.3">
      <c r="A1678" t="s">
        <v>627</v>
      </c>
      <c r="B1678" s="16">
        <v>45810</v>
      </c>
      <c r="C1678" t="s">
        <v>2</v>
      </c>
      <c r="D1678" t="s">
        <v>57</v>
      </c>
      <c r="E1678">
        <v>21731</v>
      </c>
      <c r="F1678">
        <v>14914</v>
      </c>
      <c r="G1678">
        <v>299</v>
      </c>
      <c r="H1678">
        <v>272</v>
      </c>
      <c r="I1678">
        <v>123199</v>
      </c>
      <c r="J1678">
        <v>34</v>
      </c>
      <c r="K1678">
        <v>66377</v>
      </c>
      <c r="L1678">
        <v>25</v>
      </c>
      <c r="M1678">
        <v>1217</v>
      </c>
      <c r="N1678">
        <v>21494</v>
      </c>
      <c r="O1678">
        <f t="shared" si="52"/>
        <v>2025</v>
      </c>
      <c r="P1678">
        <f t="shared" si="53"/>
        <v>6</v>
      </c>
      <c r="Q1678" t="s">
        <v>570</v>
      </c>
      <c r="R1678" s="546" t="s">
        <v>804</v>
      </c>
    </row>
    <row r="1679" spans="1:18" x14ac:dyDescent="0.3">
      <c r="A1679" t="s">
        <v>627</v>
      </c>
      <c r="B1679" s="16">
        <v>45810</v>
      </c>
      <c r="C1679" t="s">
        <v>2</v>
      </c>
      <c r="D1679" t="s">
        <v>55</v>
      </c>
      <c r="E1679">
        <v>1069</v>
      </c>
      <c r="F1679">
        <v>877</v>
      </c>
      <c r="G1679">
        <v>9</v>
      </c>
      <c r="H1679">
        <v>2</v>
      </c>
      <c r="I1679">
        <v>0</v>
      </c>
      <c r="J1679">
        <v>0</v>
      </c>
      <c r="K1679">
        <v>0</v>
      </c>
      <c r="L1679">
        <v>0</v>
      </c>
      <c r="M1679">
        <v>21</v>
      </c>
      <c r="N1679">
        <v>168</v>
      </c>
      <c r="O1679">
        <f t="shared" si="52"/>
        <v>2025</v>
      </c>
      <c r="P1679">
        <f t="shared" si="53"/>
        <v>6</v>
      </c>
      <c r="Q1679" t="s">
        <v>570</v>
      </c>
      <c r="R1679" s="546" t="s">
        <v>804</v>
      </c>
    </row>
    <row r="1680" spans="1:18" x14ac:dyDescent="0.3">
      <c r="A1680" t="s">
        <v>627</v>
      </c>
      <c r="B1680" s="16">
        <v>45810</v>
      </c>
      <c r="C1680" t="s">
        <v>3</v>
      </c>
      <c r="D1680" t="s">
        <v>157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f t="shared" si="52"/>
        <v>2025</v>
      </c>
      <c r="P1680">
        <f t="shared" si="53"/>
        <v>6</v>
      </c>
      <c r="Q1680" t="s">
        <v>570</v>
      </c>
      <c r="R1680" s="546" t="s">
        <v>804</v>
      </c>
    </row>
    <row r="1681" spans="1:18" x14ac:dyDescent="0.3">
      <c r="A1681" t="s">
        <v>627</v>
      </c>
      <c r="B1681" s="16">
        <v>45810</v>
      </c>
      <c r="C1681" t="s">
        <v>3</v>
      </c>
      <c r="D1681" t="s">
        <v>155</v>
      </c>
      <c r="E1681">
        <v>6</v>
      </c>
      <c r="F1681">
        <v>3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6</v>
      </c>
      <c r="O1681">
        <f t="shared" si="52"/>
        <v>2025</v>
      </c>
      <c r="P1681">
        <f t="shared" si="53"/>
        <v>6</v>
      </c>
      <c r="Q1681" t="s">
        <v>570</v>
      </c>
      <c r="R1681" s="546" t="s">
        <v>804</v>
      </c>
    </row>
    <row r="1682" spans="1:18" x14ac:dyDescent="0.3">
      <c r="A1682" t="s">
        <v>627</v>
      </c>
      <c r="B1682" s="16">
        <v>45810</v>
      </c>
      <c r="C1682" t="s">
        <v>3</v>
      </c>
      <c r="D1682" t="s">
        <v>154</v>
      </c>
      <c r="E1682">
        <v>671</v>
      </c>
      <c r="F1682">
        <v>600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f t="shared" si="52"/>
        <v>2025</v>
      </c>
      <c r="P1682">
        <f t="shared" si="53"/>
        <v>6</v>
      </c>
      <c r="Q1682" t="s">
        <v>570</v>
      </c>
      <c r="R1682" s="546" t="s">
        <v>804</v>
      </c>
    </row>
    <row r="1683" spans="1:18" x14ac:dyDescent="0.3">
      <c r="A1683" t="s">
        <v>627</v>
      </c>
      <c r="B1683" s="16">
        <v>45810</v>
      </c>
      <c r="C1683" t="s">
        <v>3</v>
      </c>
      <c r="D1683" t="s">
        <v>153</v>
      </c>
      <c r="E1683">
        <v>349</v>
      </c>
      <c r="F1683">
        <v>70</v>
      </c>
      <c r="G1683">
        <v>35</v>
      </c>
      <c r="H1683">
        <v>5</v>
      </c>
      <c r="I1683">
        <v>90106</v>
      </c>
      <c r="J1683">
        <v>26</v>
      </c>
      <c r="K1683">
        <v>80041</v>
      </c>
      <c r="L1683">
        <v>24</v>
      </c>
      <c r="M1683">
        <v>95</v>
      </c>
      <c r="N1683">
        <v>335</v>
      </c>
      <c r="O1683">
        <f t="shared" si="52"/>
        <v>2025</v>
      </c>
      <c r="P1683">
        <f t="shared" si="53"/>
        <v>6</v>
      </c>
      <c r="Q1683" t="s">
        <v>570</v>
      </c>
      <c r="R1683" s="546" t="s">
        <v>804</v>
      </c>
    </row>
    <row r="1684" spans="1:18" x14ac:dyDescent="0.3">
      <c r="A1684" t="s">
        <v>627</v>
      </c>
      <c r="B1684" s="16">
        <v>45810</v>
      </c>
      <c r="C1684" t="s">
        <v>3</v>
      </c>
      <c r="D1684" t="s">
        <v>152</v>
      </c>
      <c r="E1684">
        <v>75</v>
      </c>
      <c r="F1684">
        <v>57</v>
      </c>
      <c r="G1684">
        <v>0</v>
      </c>
      <c r="H1684">
        <v>3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34</v>
      </c>
      <c r="O1684">
        <f t="shared" si="52"/>
        <v>2025</v>
      </c>
      <c r="P1684">
        <f t="shared" si="53"/>
        <v>6</v>
      </c>
      <c r="Q1684" t="s">
        <v>570</v>
      </c>
      <c r="R1684" s="546" t="s">
        <v>804</v>
      </c>
    </row>
    <row r="1685" spans="1:18" x14ac:dyDescent="0.3">
      <c r="A1685" t="s">
        <v>627</v>
      </c>
      <c r="B1685" s="16">
        <v>45810</v>
      </c>
      <c r="C1685" t="s">
        <v>3</v>
      </c>
      <c r="D1685" t="s">
        <v>150</v>
      </c>
      <c r="E1685">
        <v>43</v>
      </c>
      <c r="F1685">
        <v>40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1</v>
      </c>
      <c r="O1685">
        <f t="shared" si="52"/>
        <v>2025</v>
      </c>
      <c r="P1685">
        <f t="shared" si="53"/>
        <v>6</v>
      </c>
      <c r="Q1685" t="s">
        <v>570</v>
      </c>
      <c r="R1685" s="546" t="s">
        <v>804</v>
      </c>
    </row>
    <row r="1686" spans="1:18" x14ac:dyDescent="0.3">
      <c r="A1686" t="s">
        <v>627</v>
      </c>
      <c r="B1686" s="16">
        <v>45810</v>
      </c>
      <c r="C1686" t="s">
        <v>3</v>
      </c>
      <c r="D1686" t="s">
        <v>149</v>
      </c>
      <c r="E1686">
        <v>10</v>
      </c>
      <c r="F1686">
        <v>10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4</v>
      </c>
      <c r="O1686">
        <f t="shared" si="52"/>
        <v>2025</v>
      </c>
      <c r="P1686">
        <f t="shared" si="53"/>
        <v>6</v>
      </c>
      <c r="Q1686" t="s">
        <v>570</v>
      </c>
      <c r="R1686" s="546" t="s">
        <v>804</v>
      </c>
    </row>
    <row r="1687" spans="1:18" x14ac:dyDescent="0.3">
      <c r="A1687" t="s">
        <v>627</v>
      </c>
      <c r="B1687" s="16">
        <v>45810</v>
      </c>
      <c r="C1687" t="s">
        <v>3</v>
      </c>
      <c r="D1687" t="s">
        <v>148</v>
      </c>
      <c r="E1687">
        <v>1</v>
      </c>
      <c r="F1687">
        <v>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</v>
      </c>
      <c r="O1687">
        <f t="shared" si="52"/>
        <v>2025</v>
      </c>
      <c r="P1687">
        <f t="shared" si="53"/>
        <v>6</v>
      </c>
      <c r="Q1687" t="s">
        <v>570</v>
      </c>
      <c r="R1687" s="546" t="s">
        <v>804</v>
      </c>
    </row>
    <row r="1688" spans="1:18" x14ac:dyDescent="0.3">
      <c r="A1688" t="s">
        <v>627</v>
      </c>
      <c r="B1688" s="16">
        <v>45810</v>
      </c>
      <c r="C1688" t="s">
        <v>3</v>
      </c>
      <c r="D1688" t="s">
        <v>630</v>
      </c>
      <c r="E1688">
        <v>153</v>
      </c>
      <c r="F1688">
        <v>126</v>
      </c>
      <c r="G1688">
        <v>2</v>
      </c>
      <c r="H1688">
        <v>0</v>
      </c>
      <c r="I1688">
        <v>3980</v>
      </c>
      <c r="J1688">
        <v>2</v>
      </c>
      <c r="K1688">
        <v>3980</v>
      </c>
      <c r="L1688">
        <v>2</v>
      </c>
      <c r="M1688">
        <v>0</v>
      </c>
      <c r="N1688">
        <v>15</v>
      </c>
      <c r="O1688">
        <f t="shared" si="52"/>
        <v>2025</v>
      </c>
      <c r="P1688">
        <f t="shared" si="53"/>
        <v>6</v>
      </c>
      <c r="Q1688" t="s">
        <v>570</v>
      </c>
      <c r="R1688" s="546" t="s">
        <v>804</v>
      </c>
    </row>
    <row r="1689" spans="1:18" x14ac:dyDescent="0.3">
      <c r="A1689" t="s">
        <v>627</v>
      </c>
      <c r="B1689" s="16">
        <v>45810</v>
      </c>
      <c r="C1689" t="s">
        <v>3</v>
      </c>
      <c r="D1689" t="s">
        <v>251</v>
      </c>
      <c r="E1689">
        <v>1580</v>
      </c>
      <c r="F1689">
        <v>1316</v>
      </c>
      <c r="G1689">
        <v>9</v>
      </c>
      <c r="H1689">
        <v>4</v>
      </c>
      <c r="I1689">
        <v>28450</v>
      </c>
      <c r="J1689">
        <v>10</v>
      </c>
      <c r="K1689">
        <v>26773</v>
      </c>
      <c r="L1689">
        <v>10</v>
      </c>
      <c r="M1689">
        <v>67</v>
      </c>
      <c r="N1689">
        <v>183</v>
      </c>
      <c r="O1689">
        <f t="shared" si="52"/>
        <v>2025</v>
      </c>
      <c r="P1689">
        <f t="shared" si="53"/>
        <v>6</v>
      </c>
      <c r="Q1689" t="s">
        <v>570</v>
      </c>
      <c r="R1689" s="546" t="s">
        <v>804</v>
      </c>
    </row>
    <row r="1690" spans="1:18" x14ac:dyDescent="0.3">
      <c r="A1690" t="s">
        <v>627</v>
      </c>
      <c r="B1690" s="16">
        <v>45810</v>
      </c>
      <c r="C1690" t="s">
        <v>3</v>
      </c>
      <c r="D1690" t="s">
        <v>143</v>
      </c>
      <c r="E1690">
        <v>58</v>
      </c>
      <c r="F1690">
        <v>54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58</v>
      </c>
      <c r="O1690">
        <f t="shared" si="52"/>
        <v>2025</v>
      </c>
      <c r="P1690">
        <f t="shared" si="53"/>
        <v>6</v>
      </c>
      <c r="Q1690" t="s">
        <v>570</v>
      </c>
      <c r="R1690" s="546" t="s">
        <v>804</v>
      </c>
    </row>
    <row r="1691" spans="1:18" x14ac:dyDescent="0.3">
      <c r="A1691" t="s">
        <v>627</v>
      </c>
      <c r="B1691" s="16">
        <v>45810</v>
      </c>
      <c r="C1691" t="s">
        <v>3</v>
      </c>
      <c r="D1691" t="s">
        <v>141</v>
      </c>
      <c r="E1691">
        <v>354</v>
      </c>
      <c r="F1691">
        <v>205</v>
      </c>
      <c r="G1691">
        <v>6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354</v>
      </c>
      <c r="O1691">
        <f t="shared" si="52"/>
        <v>2025</v>
      </c>
      <c r="P1691">
        <f t="shared" si="53"/>
        <v>6</v>
      </c>
      <c r="Q1691" t="s">
        <v>570</v>
      </c>
      <c r="R1691" s="546" t="s">
        <v>804</v>
      </c>
    </row>
    <row r="1692" spans="1:18" x14ac:dyDescent="0.3">
      <c r="A1692" t="s">
        <v>627</v>
      </c>
      <c r="B1692" s="16">
        <v>45810</v>
      </c>
      <c r="C1692" t="s">
        <v>3</v>
      </c>
      <c r="D1692" t="s">
        <v>140</v>
      </c>
      <c r="E1692">
        <v>6</v>
      </c>
      <c r="F1692">
        <v>6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6</v>
      </c>
      <c r="O1692">
        <f t="shared" si="52"/>
        <v>2025</v>
      </c>
      <c r="P1692">
        <f t="shared" si="53"/>
        <v>6</v>
      </c>
      <c r="Q1692" t="s">
        <v>570</v>
      </c>
      <c r="R1692" s="546" t="s">
        <v>804</v>
      </c>
    </row>
    <row r="1693" spans="1:18" x14ac:dyDescent="0.3">
      <c r="A1693" t="s">
        <v>627</v>
      </c>
      <c r="B1693" s="16">
        <v>45810</v>
      </c>
      <c r="C1693" t="s">
        <v>3</v>
      </c>
      <c r="D1693" t="s">
        <v>139</v>
      </c>
      <c r="E1693">
        <v>723</v>
      </c>
      <c r="F1693">
        <v>465</v>
      </c>
      <c r="G1693">
        <v>37</v>
      </c>
      <c r="H1693">
        <v>9</v>
      </c>
      <c r="I1693">
        <v>20200.14</v>
      </c>
      <c r="J1693">
        <v>6</v>
      </c>
      <c r="K1693">
        <v>20200.14</v>
      </c>
      <c r="L1693">
        <v>6</v>
      </c>
      <c r="M1693">
        <v>227</v>
      </c>
      <c r="N1693">
        <v>497</v>
      </c>
      <c r="O1693">
        <f t="shared" si="52"/>
        <v>2025</v>
      </c>
      <c r="P1693">
        <f t="shared" si="53"/>
        <v>6</v>
      </c>
      <c r="Q1693" t="s">
        <v>570</v>
      </c>
      <c r="R1693" s="546" t="s">
        <v>804</v>
      </c>
    </row>
    <row r="1694" spans="1:18" x14ac:dyDescent="0.3">
      <c r="A1694" t="s">
        <v>627</v>
      </c>
      <c r="B1694" s="16">
        <v>45810</v>
      </c>
      <c r="C1694" t="s">
        <v>3</v>
      </c>
      <c r="D1694" t="s">
        <v>138</v>
      </c>
      <c r="E1694">
        <v>5</v>
      </c>
      <c r="F1694">
        <v>3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5</v>
      </c>
      <c r="O1694">
        <f t="shared" si="52"/>
        <v>2025</v>
      </c>
      <c r="P1694">
        <f t="shared" si="53"/>
        <v>6</v>
      </c>
      <c r="Q1694" t="s">
        <v>570</v>
      </c>
      <c r="R1694" s="546" t="s">
        <v>804</v>
      </c>
    </row>
    <row r="1695" spans="1:18" x14ac:dyDescent="0.3">
      <c r="A1695" t="s">
        <v>627</v>
      </c>
      <c r="B1695" s="16">
        <v>45810</v>
      </c>
      <c r="C1695" t="s">
        <v>3</v>
      </c>
      <c r="D1695" t="s">
        <v>135</v>
      </c>
      <c r="E1695">
        <v>153</v>
      </c>
      <c r="F1695">
        <v>126</v>
      </c>
      <c r="G1695">
        <v>2</v>
      </c>
      <c r="H1695">
        <v>0</v>
      </c>
      <c r="I1695">
        <v>3980</v>
      </c>
      <c r="J1695">
        <v>2</v>
      </c>
      <c r="K1695">
        <v>3980</v>
      </c>
      <c r="L1695">
        <v>2</v>
      </c>
      <c r="M1695">
        <v>0</v>
      </c>
      <c r="N1695">
        <v>15</v>
      </c>
      <c r="O1695">
        <f t="shared" si="52"/>
        <v>2025</v>
      </c>
      <c r="P1695">
        <f t="shared" si="53"/>
        <v>6</v>
      </c>
      <c r="Q1695" t="s">
        <v>570</v>
      </c>
      <c r="R1695" s="546" t="s">
        <v>804</v>
      </c>
    </row>
    <row r="1696" spans="1:18" x14ac:dyDescent="0.3">
      <c r="A1696" t="s">
        <v>627</v>
      </c>
      <c r="B1696" s="16">
        <v>45810</v>
      </c>
      <c r="C1696" t="s">
        <v>3</v>
      </c>
      <c r="D1696" t="s">
        <v>133</v>
      </c>
      <c r="E1696">
        <v>35</v>
      </c>
      <c r="F1696">
        <v>24</v>
      </c>
      <c r="G1696">
        <v>4</v>
      </c>
      <c r="H1696">
        <v>1</v>
      </c>
      <c r="I1696">
        <v>11301</v>
      </c>
      <c r="J1696">
        <v>3</v>
      </c>
      <c r="K1696">
        <v>11301</v>
      </c>
      <c r="L1696">
        <v>3</v>
      </c>
      <c r="M1696">
        <v>4</v>
      </c>
      <c r="N1696">
        <v>35</v>
      </c>
      <c r="O1696">
        <f t="shared" si="52"/>
        <v>2025</v>
      </c>
      <c r="P1696">
        <f t="shared" si="53"/>
        <v>6</v>
      </c>
      <c r="Q1696" t="s">
        <v>570</v>
      </c>
      <c r="R1696" s="546" t="s">
        <v>804</v>
      </c>
    </row>
    <row r="1697" spans="1:18" x14ac:dyDescent="0.3">
      <c r="A1697" t="s">
        <v>627</v>
      </c>
      <c r="B1697" s="16">
        <v>45810</v>
      </c>
      <c r="C1697" t="s">
        <v>3</v>
      </c>
      <c r="D1697" t="s">
        <v>130</v>
      </c>
      <c r="E1697">
        <v>109</v>
      </c>
      <c r="F1697">
        <v>35</v>
      </c>
      <c r="G1697">
        <v>10</v>
      </c>
      <c r="H1697">
        <v>1</v>
      </c>
      <c r="I1697">
        <v>10330</v>
      </c>
      <c r="J1697">
        <v>6</v>
      </c>
      <c r="K1697">
        <v>10330</v>
      </c>
      <c r="L1697">
        <v>6</v>
      </c>
      <c r="M1697">
        <v>37</v>
      </c>
      <c r="N1697">
        <v>101</v>
      </c>
      <c r="O1697">
        <f t="shared" si="52"/>
        <v>2025</v>
      </c>
      <c r="P1697">
        <f t="shared" si="53"/>
        <v>6</v>
      </c>
      <c r="Q1697" t="s">
        <v>570</v>
      </c>
      <c r="R1697" s="546" t="s">
        <v>804</v>
      </c>
    </row>
    <row r="1698" spans="1:18" x14ac:dyDescent="0.3">
      <c r="A1698" t="s">
        <v>627</v>
      </c>
      <c r="B1698" s="16">
        <v>45810</v>
      </c>
      <c r="C1698" t="s">
        <v>3</v>
      </c>
      <c r="D1698" t="s">
        <v>128</v>
      </c>
      <c r="E1698">
        <v>754</v>
      </c>
      <c r="F1698">
        <v>553</v>
      </c>
      <c r="G1698">
        <v>26</v>
      </c>
      <c r="H1698">
        <v>8</v>
      </c>
      <c r="I1698">
        <v>38346</v>
      </c>
      <c r="J1698">
        <v>10</v>
      </c>
      <c r="K1698">
        <v>33651</v>
      </c>
      <c r="L1698">
        <v>9</v>
      </c>
      <c r="M1698">
        <v>345</v>
      </c>
      <c r="N1698">
        <v>543</v>
      </c>
      <c r="O1698">
        <f t="shared" si="52"/>
        <v>2025</v>
      </c>
      <c r="P1698">
        <f t="shared" si="53"/>
        <v>6</v>
      </c>
      <c r="Q1698" t="s">
        <v>570</v>
      </c>
      <c r="R1698" s="546" t="s">
        <v>804</v>
      </c>
    </row>
    <row r="1699" spans="1:18" x14ac:dyDescent="0.3">
      <c r="A1699" t="s">
        <v>627</v>
      </c>
      <c r="B1699" s="16">
        <v>45810</v>
      </c>
      <c r="C1699" t="s">
        <v>3</v>
      </c>
      <c r="D1699" t="s">
        <v>127</v>
      </c>
      <c r="E1699">
        <v>13371</v>
      </c>
      <c r="F1699">
        <v>12011</v>
      </c>
      <c r="G1699">
        <v>72</v>
      </c>
      <c r="H1699">
        <v>60</v>
      </c>
      <c r="I1699">
        <v>48279</v>
      </c>
      <c r="J1699">
        <v>9</v>
      </c>
      <c r="K1699">
        <v>15259</v>
      </c>
      <c r="L1699">
        <v>7</v>
      </c>
      <c r="M1699">
        <v>733</v>
      </c>
      <c r="N1699">
        <v>12939</v>
      </c>
      <c r="O1699">
        <f t="shared" si="52"/>
        <v>2025</v>
      </c>
      <c r="P1699">
        <f t="shared" si="53"/>
        <v>6</v>
      </c>
      <c r="Q1699" t="s">
        <v>570</v>
      </c>
      <c r="R1699" s="546" t="s">
        <v>804</v>
      </c>
    </row>
    <row r="1700" spans="1:18" x14ac:dyDescent="0.3">
      <c r="A1700" t="s">
        <v>627</v>
      </c>
      <c r="B1700" s="16">
        <v>45810</v>
      </c>
      <c r="C1700" t="s">
        <v>3</v>
      </c>
      <c r="D1700" t="s">
        <v>126</v>
      </c>
      <c r="E1700">
        <v>80</v>
      </c>
      <c r="F1700">
        <v>56</v>
      </c>
      <c r="G1700">
        <v>4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11</v>
      </c>
      <c r="N1700">
        <v>78</v>
      </c>
      <c r="O1700">
        <f t="shared" si="52"/>
        <v>2025</v>
      </c>
      <c r="P1700">
        <f t="shared" si="53"/>
        <v>6</v>
      </c>
      <c r="Q1700" t="s">
        <v>570</v>
      </c>
      <c r="R1700" s="546" t="s">
        <v>804</v>
      </c>
    </row>
    <row r="1701" spans="1:18" x14ac:dyDescent="0.3">
      <c r="A1701" t="s">
        <v>627</v>
      </c>
      <c r="B1701" s="16">
        <v>45810</v>
      </c>
      <c r="C1701" t="s">
        <v>3</v>
      </c>
      <c r="D1701" t="s">
        <v>125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f t="shared" si="52"/>
        <v>2025</v>
      </c>
      <c r="P1701">
        <f t="shared" si="53"/>
        <v>6</v>
      </c>
      <c r="Q1701" t="s">
        <v>570</v>
      </c>
      <c r="R1701" s="546" t="s">
        <v>804</v>
      </c>
    </row>
    <row r="1702" spans="1:18" x14ac:dyDescent="0.3">
      <c r="A1702" t="s">
        <v>627</v>
      </c>
      <c r="B1702" s="16">
        <v>45810</v>
      </c>
      <c r="C1702" t="s">
        <v>3</v>
      </c>
      <c r="D1702" t="s">
        <v>123</v>
      </c>
      <c r="E1702">
        <v>361</v>
      </c>
      <c r="F1702">
        <v>234</v>
      </c>
      <c r="G1702">
        <v>13</v>
      </c>
      <c r="H1702">
        <v>8</v>
      </c>
      <c r="I1702">
        <v>11910</v>
      </c>
      <c r="J1702">
        <v>5</v>
      </c>
      <c r="K1702">
        <v>11910</v>
      </c>
      <c r="L1702">
        <v>5</v>
      </c>
      <c r="M1702">
        <v>92</v>
      </c>
      <c r="N1702">
        <v>341</v>
      </c>
      <c r="O1702">
        <f t="shared" si="52"/>
        <v>2025</v>
      </c>
      <c r="P1702">
        <f t="shared" si="53"/>
        <v>6</v>
      </c>
      <c r="Q1702" t="s">
        <v>570</v>
      </c>
      <c r="R1702" s="546" t="s">
        <v>804</v>
      </c>
    </row>
    <row r="1703" spans="1:18" x14ac:dyDescent="0.3">
      <c r="A1703" t="s">
        <v>627</v>
      </c>
      <c r="B1703" s="16">
        <v>45810</v>
      </c>
      <c r="C1703" t="s">
        <v>3</v>
      </c>
      <c r="D1703" t="s">
        <v>119</v>
      </c>
      <c r="E1703">
        <v>263</v>
      </c>
      <c r="F1703">
        <v>64</v>
      </c>
      <c r="G1703">
        <v>19</v>
      </c>
      <c r="H1703">
        <v>8</v>
      </c>
      <c r="I1703">
        <v>61945.14</v>
      </c>
      <c r="J1703">
        <v>13</v>
      </c>
      <c r="K1703">
        <v>21588.14</v>
      </c>
      <c r="L1703">
        <v>10</v>
      </c>
      <c r="M1703">
        <v>49</v>
      </c>
      <c r="N1703">
        <v>251</v>
      </c>
      <c r="O1703">
        <f t="shared" si="52"/>
        <v>2025</v>
      </c>
      <c r="P1703">
        <f t="shared" si="53"/>
        <v>6</v>
      </c>
      <c r="Q1703" t="s">
        <v>570</v>
      </c>
      <c r="R1703" s="546" t="s">
        <v>804</v>
      </c>
    </row>
    <row r="1704" spans="1:18" x14ac:dyDescent="0.3">
      <c r="A1704" t="s">
        <v>627</v>
      </c>
      <c r="B1704" s="16">
        <v>45810</v>
      </c>
      <c r="C1704" t="s">
        <v>3</v>
      </c>
      <c r="D1704" t="s">
        <v>583</v>
      </c>
      <c r="E1704">
        <v>3</v>
      </c>
      <c r="F1704">
        <v>3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3</v>
      </c>
      <c r="O1704">
        <f t="shared" si="52"/>
        <v>2025</v>
      </c>
      <c r="P1704">
        <f t="shared" si="53"/>
        <v>6</v>
      </c>
      <c r="Q1704" t="s">
        <v>570</v>
      </c>
      <c r="R1704" s="546" t="s">
        <v>804</v>
      </c>
    </row>
    <row r="1705" spans="1:18" x14ac:dyDescent="0.3">
      <c r="A1705" t="s">
        <v>627</v>
      </c>
      <c r="B1705" s="16">
        <v>45810</v>
      </c>
      <c r="C1705" t="s">
        <v>3</v>
      </c>
      <c r="D1705" t="s">
        <v>252</v>
      </c>
      <c r="E1705">
        <v>5</v>
      </c>
      <c r="F1705">
        <v>4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5</v>
      </c>
      <c r="O1705">
        <f t="shared" si="52"/>
        <v>2025</v>
      </c>
      <c r="P1705">
        <f t="shared" si="53"/>
        <v>6</v>
      </c>
      <c r="Q1705" t="s">
        <v>570</v>
      </c>
      <c r="R1705" s="546" t="s">
        <v>804</v>
      </c>
    </row>
    <row r="1706" spans="1:18" x14ac:dyDescent="0.3">
      <c r="A1706" t="s">
        <v>627</v>
      </c>
      <c r="B1706" s="16">
        <v>45810</v>
      </c>
      <c r="C1706" t="s">
        <v>3</v>
      </c>
      <c r="D1706" t="s">
        <v>117</v>
      </c>
      <c r="E1706">
        <v>1</v>
      </c>
      <c r="F1706">
        <v>1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</v>
      </c>
      <c r="N1706">
        <v>1</v>
      </c>
      <c r="O1706">
        <f t="shared" si="52"/>
        <v>2025</v>
      </c>
      <c r="P1706">
        <f t="shared" si="53"/>
        <v>6</v>
      </c>
      <c r="Q1706" t="s">
        <v>570</v>
      </c>
      <c r="R1706" s="546" t="s">
        <v>804</v>
      </c>
    </row>
    <row r="1707" spans="1:18" x14ac:dyDescent="0.3">
      <c r="A1707" t="s">
        <v>627</v>
      </c>
      <c r="B1707" s="16">
        <v>45810</v>
      </c>
      <c r="C1707" t="s">
        <v>3</v>
      </c>
      <c r="D1707" t="s">
        <v>186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f t="shared" si="52"/>
        <v>2025</v>
      </c>
      <c r="P1707">
        <f t="shared" si="53"/>
        <v>6</v>
      </c>
      <c r="Q1707" t="s">
        <v>570</v>
      </c>
      <c r="R1707" s="546" t="s">
        <v>804</v>
      </c>
    </row>
    <row r="1708" spans="1:18" x14ac:dyDescent="0.3">
      <c r="A1708" t="s">
        <v>627</v>
      </c>
      <c r="B1708" s="16">
        <v>45810</v>
      </c>
      <c r="C1708" t="s">
        <v>3</v>
      </c>
      <c r="D1708" t="s">
        <v>391</v>
      </c>
      <c r="E1708">
        <v>626</v>
      </c>
      <c r="F1708">
        <v>423</v>
      </c>
      <c r="G1708">
        <v>16</v>
      </c>
      <c r="H1708">
        <v>2</v>
      </c>
      <c r="I1708">
        <v>12555</v>
      </c>
      <c r="J1708">
        <v>4</v>
      </c>
      <c r="K1708">
        <v>12555</v>
      </c>
      <c r="L1708">
        <v>4</v>
      </c>
      <c r="M1708">
        <v>71</v>
      </c>
      <c r="N1708">
        <v>619</v>
      </c>
      <c r="O1708">
        <f t="shared" si="52"/>
        <v>2025</v>
      </c>
      <c r="P1708">
        <f t="shared" si="53"/>
        <v>6</v>
      </c>
      <c r="Q1708" t="s">
        <v>570</v>
      </c>
      <c r="R1708" s="546" t="s">
        <v>804</v>
      </c>
    </row>
    <row r="1709" spans="1:18" x14ac:dyDescent="0.3">
      <c r="A1709" t="s">
        <v>627</v>
      </c>
      <c r="B1709" s="16">
        <v>45810</v>
      </c>
      <c r="C1709" t="s">
        <v>3</v>
      </c>
      <c r="D1709" t="s">
        <v>114</v>
      </c>
      <c r="E1709">
        <v>161</v>
      </c>
      <c r="F1709">
        <v>85</v>
      </c>
      <c r="G1709">
        <v>2</v>
      </c>
      <c r="H1709">
        <v>3</v>
      </c>
      <c r="I1709">
        <v>0</v>
      </c>
      <c r="J1709">
        <v>0</v>
      </c>
      <c r="K1709">
        <v>0</v>
      </c>
      <c r="L1709">
        <v>0</v>
      </c>
      <c r="M1709">
        <v>15</v>
      </c>
      <c r="N1709">
        <v>157</v>
      </c>
      <c r="O1709">
        <f t="shared" si="52"/>
        <v>2025</v>
      </c>
      <c r="P1709">
        <f t="shared" si="53"/>
        <v>6</v>
      </c>
      <c r="Q1709" t="s">
        <v>570</v>
      </c>
      <c r="R1709" s="546" t="s">
        <v>804</v>
      </c>
    </row>
    <row r="1710" spans="1:18" x14ac:dyDescent="0.3">
      <c r="A1710" t="s">
        <v>627</v>
      </c>
      <c r="B1710" s="16">
        <v>45810</v>
      </c>
      <c r="C1710" t="s">
        <v>3</v>
      </c>
      <c r="D1710" t="s">
        <v>113</v>
      </c>
      <c r="E1710">
        <v>121</v>
      </c>
      <c r="F1710">
        <v>63</v>
      </c>
      <c r="G1710">
        <v>3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94</v>
      </c>
      <c r="N1710">
        <v>68</v>
      </c>
      <c r="O1710">
        <f t="shared" si="52"/>
        <v>2025</v>
      </c>
      <c r="P1710">
        <f t="shared" si="53"/>
        <v>6</v>
      </c>
      <c r="Q1710" t="s">
        <v>570</v>
      </c>
      <c r="R1710" s="546" t="s">
        <v>804</v>
      </c>
    </row>
    <row r="1711" spans="1:18" x14ac:dyDescent="0.3">
      <c r="A1711" t="s">
        <v>627</v>
      </c>
      <c r="B1711" s="16">
        <v>45810</v>
      </c>
      <c r="C1711" t="s">
        <v>3</v>
      </c>
      <c r="D1711" t="s">
        <v>112</v>
      </c>
      <c r="E1711">
        <v>17</v>
      </c>
      <c r="F1711">
        <v>5</v>
      </c>
      <c r="G1711">
        <v>0</v>
      </c>
      <c r="H1711">
        <v>0</v>
      </c>
      <c r="I1711">
        <v>2395</v>
      </c>
      <c r="J1711">
        <v>1</v>
      </c>
      <c r="K1711">
        <v>2395</v>
      </c>
      <c r="L1711">
        <v>1</v>
      </c>
      <c r="M1711">
        <v>0</v>
      </c>
      <c r="N1711">
        <v>17</v>
      </c>
      <c r="O1711">
        <f t="shared" ref="O1711:O1774" si="54">YEAR(B1711)</f>
        <v>2025</v>
      </c>
      <c r="P1711">
        <f t="shared" ref="P1711:P1774" si="55">MONTH(B1711)</f>
        <v>6</v>
      </c>
      <c r="Q1711" t="s">
        <v>570</v>
      </c>
      <c r="R1711" s="546" t="s">
        <v>804</v>
      </c>
    </row>
    <row r="1712" spans="1:18" x14ac:dyDescent="0.3">
      <c r="A1712" t="s">
        <v>627</v>
      </c>
      <c r="B1712" s="16">
        <v>45810</v>
      </c>
      <c r="C1712" t="s">
        <v>3</v>
      </c>
      <c r="D1712" t="s">
        <v>111</v>
      </c>
      <c r="E1712">
        <v>5</v>
      </c>
      <c r="F1712">
        <v>1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5</v>
      </c>
      <c r="O1712">
        <f t="shared" si="54"/>
        <v>2025</v>
      </c>
      <c r="P1712">
        <f t="shared" si="55"/>
        <v>6</v>
      </c>
      <c r="Q1712" t="s">
        <v>570</v>
      </c>
      <c r="R1712" s="546" t="s">
        <v>804</v>
      </c>
    </row>
    <row r="1713" spans="1:18" x14ac:dyDescent="0.3">
      <c r="A1713" t="s">
        <v>627</v>
      </c>
      <c r="B1713" s="16">
        <v>45809</v>
      </c>
      <c r="C1713" t="s">
        <v>2</v>
      </c>
      <c r="D1713" t="s">
        <v>4</v>
      </c>
      <c r="E1713">
        <v>306</v>
      </c>
      <c r="F1713">
        <v>108</v>
      </c>
      <c r="G1713">
        <v>4</v>
      </c>
      <c r="H1713">
        <v>2</v>
      </c>
      <c r="I1713">
        <v>9920</v>
      </c>
      <c r="J1713">
        <v>2</v>
      </c>
      <c r="K1713">
        <v>9920</v>
      </c>
      <c r="L1713">
        <v>2</v>
      </c>
      <c r="M1713">
        <v>2</v>
      </c>
      <c r="N1713">
        <v>302</v>
      </c>
      <c r="O1713">
        <f t="shared" si="54"/>
        <v>2025</v>
      </c>
      <c r="P1713">
        <f t="shared" si="55"/>
        <v>6</v>
      </c>
      <c r="Q1713" t="s">
        <v>570</v>
      </c>
      <c r="R1713" s="546" t="s">
        <v>804</v>
      </c>
    </row>
    <row r="1714" spans="1:18" x14ac:dyDescent="0.3">
      <c r="A1714" t="s">
        <v>627</v>
      </c>
      <c r="B1714" s="16">
        <v>45809</v>
      </c>
      <c r="C1714" t="s">
        <v>2</v>
      </c>
      <c r="D1714" t="s">
        <v>57</v>
      </c>
      <c r="E1714">
        <v>22528</v>
      </c>
      <c r="F1714">
        <v>16114</v>
      </c>
      <c r="G1714">
        <v>274</v>
      </c>
      <c r="H1714">
        <v>275</v>
      </c>
      <c r="I1714">
        <v>165482</v>
      </c>
      <c r="J1714">
        <v>39</v>
      </c>
      <c r="K1714">
        <v>84048</v>
      </c>
      <c r="L1714">
        <v>23</v>
      </c>
      <c r="M1714">
        <v>1278</v>
      </c>
      <c r="N1714">
        <v>22288</v>
      </c>
      <c r="O1714">
        <f t="shared" si="54"/>
        <v>2025</v>
      </c>
      <c r="P1714">
        <f t="shared" si="55"/>
        <v>6</v>
      </c>
      <c r="Q1714" t="s">
        <v>570</v>
      </c>
      <c r="R1714" s="546" t="s">
        <v>804</v>
      </c>
    </row>
    <row r="1715" spans="1:18" x14ac:dyDescent="0.3">
      <c r="A1715" t="s">
        <v>627</v>
      </c>
      <c r="B1715" s="16">
        <v>45809</v>
      </c>
      <c r="C1715" t="s">
        <v>2</v>
      </c>
      <c r="D1715" t="s">
        <v>55</v>
      </c>
      <c r="E1715">
        <v>1530</v>
      </c>
      <c r="F1715">
        <v>1383</v>
      </c>
      <c r="G1715">
        <v>6</v>
      </c>
      <c r="H1715">
        <v>1</v>
      </c>
      <c r="I1715">
        <v>0</v>
      </c>
      <c r="J1715">
        <v>0</v>
      </c>
      <c r="K1715">
        <v>0</v>
      </c>
      <c r="L1715">
        <v>0</v>
      </c>
      <c r="M1715">
        <v>23</v>
      </c>
      <c r="N1715">
        <v>181</v>
      </c>
      <c r="O1715">
        <f t="shared" si="54"/>
        <v>2025</v>
      </c>
      <c r="P1715">
        <f t="shared" si="55"/>
        <v>6</v>
      </c>
      <c r="Q1715" t="s">
        <v>570</v>
      </c>
      <c r="R1715" s="546" t="s">
        <v>804</v>
      </c>
    </row>
    <row r="1716" spans="1:18" x14ac:dyDescent="0.3">
      <c r="A1716" t="s">
        <v>627</v>
      </c>
      <c r="B1716" s="16">
        <v>45809</v>
      </c>
      <c r="C1716" t="s">
        <v>3</v>
      </c>
      <c r="D1716" t="s">
        <v>155</v>
      </c>
      <c r="E1716">
        <v>2</v>
      </c>
      <c r="F1716">
        <v>2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2</v>
      </c>
      <c r="O1716">
        <f t="shared" si="54"/>
        <v>2025</v>
      </c>
      <c r="P1716">
        <f t="shared" si="55"/>
        <v>6</v>
      </c>
      <c r="Q1716" t="s">
        <v>570</v>
      </c>
      <c r="R1716" s="546" t="s">
        <v>804</v>
      </c>
    </row>
    <row r="1717" spans="1:18" x14ac:dyDescent="0.3">
      <c r="A1717" t="s">
        <v>627</v>
      </c>
      <c r="B1717" s="16">
        <v>45809</v>
      </c>
      <c r="C1717" t="s">
        <v>3</v>
      </c>
      <c r="D1717" t="s">
        <v>154</v>
      </c>
      <c r="E1717">
        <v>1174</v>
      </c>
      <c r="F1717">
        <v>1135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</v>
      </c>
      <c r="O1717">
        <f t="shared" si="54"/>
        <v>2025</v>
      </c>
      <c r="P1717">
        <f t="shared" si="55"/>
        <v>6</v>
      </c>
      <c r="Q1717" t="s">
        <v>570</v>
      </c>
      <c r="R1717" s="546" t="s">
        <v>804</v>
      </c>
    </row>
    <row r="1718" spans="1:18" x14ac:dyDescent="0.3">
      <c r="A1718" t="s">
        <v>627</v>
      </c>
      <c r="B1718" s="16">
        <v>45809</v>
      </c>
      <c r="C1718" t="s">
        <v>3</v>
      </c>
      <c r="D1718" t="s">
        <v>153</v>
      </c>
      <c r="E1718">
        <v>319</v>
      </c>
      <c r="F1718">
        <v>57</v>
      </c>
      <c r="G1718">
        <v>43</v>
      </c>
      <c r="H1718">
        <v>3</v>
      </c>
      <c r="I1718">
        <v>130858.57</v>
      </c>
      <c r="J1718">
        <v>33</v>
      </c>
      <c r="K1718">
        <v>92090.57</v>
      </c>
      <c r="L1718">
        <v>28</v>
      </c>
      <c r="M1718">
        <v>85</v>
      </c>
      <c r="N1718">
        <v>311</v>
      </c>
      <c r="O1718">
        <f t="shared" si="54"/>
        <v>2025</v>
      </c>
      <c r="P1718">
        <f t="shared" si="55"/>
        <v>6</v>
      </c>
      <c r="Q1718" t="s">
        <v>570</v>
      </c>
      <c r="R1718" s="546" t="s">
        <v>804</v>
      </c>
    </row>
    <row r="1719" spans="1:18" x14ac:dyDescent="0.3">
      <c r="A1719" t="s">
        <v>627</v>
      </c>
      <c r="B1719" s="16">
        <v>45809</v>
      </c>
      <c r="C1719" t="s">
        <v>3</v>
      </c>
      <c r="D1719" t="s">
        <v>152</v>
      </c>
      <c r="E1719">
        <v>47</v>
      </c>
      <c r="F1719">
        <v>34</v>
      </c>
      <c r="G1719">
        <v>2</v>
      </c>
      <c r="H1719">
        <v>4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25</v>
      </c>
      <c r="O1719">
        <f t="shared" si="54"/>
        <v>2025</v>
      </c>
      <c r="P1719">
        <f t="shared" si="55"/>
        <v>6</v>
      </c>
      <c r="Q1719" t="s">
        <v>570</v>
      </c>
      <c r="R1719" s="546" t="s">
        <v>804</v>
      </c>
    </row>
    <row r="1720" spans="1:18" x14ac:dyDescent="0.3">
      <c r="A1720" t="s">
        <v>627</v>
      </c>
      <c r="B1720" s="16">
        <v>45809</v>
      </c>
      <c r="C1720" t="s">
        <v>3</v>
      </c>
      <c r="D1720" t="s">
        <v>150</v>
      </c>
      <c r="E1720">
        <v>67</v>
      </c>
      <c r="F1720">
        <v>62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2</v>
      </c>
      <c r="O1720">
        <f t="shared" si="54"/>
        <v>2025</v>
      </c>
      <c r="P1720">
        <f t="shared" si="55"/>
        <v>6</v>
      </c>
      <c r="Q1720" t="s">
        <v>570</v>
      </c>
      <c r="R1720" s="546" t="s">
        <v>804</v>
      </c>
    </row>
    <row r="1721" spans="1:18" x14ac:dyDescent="0.3">
      <c r="A1721" t="s">
        <v>627</v>
      </c>
      <c r="B1721" s="16">
        <v>45809</v>
      </c>
      <c r="C1721" t="s">
        <v>3</v>
      </c>
      <c r="D1721" t="s">
        <v>149</v>
      </c>
      <c r="E1721">
        <v>23</v>
      </c>
      <c r="F1721">
        <v>14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4</v>
      </c>
      <c r="N1721">
        <v>8</v>
      </c>
      <c r="O1721">
        <f t="shared" si="54"/>
        <v>2025</v>
      </c>
      <c r="P1721">
        <f t="shared" si="55"/>
        <v>6</v>
      </c>
      <c r="Q1721" t="s">
        <v>570</v>
      </c>
      <c r="R1721" s="546" t="s">
        <v>804</v>
      </c>
    </row>
    <row r="1722" spans="1:18" x14ac:dyDescent="0.3">
      <c r="A1722" t="s">
        <v>627</v>
      </c>
      <c r="B1722" s="16">
        <v>45809</v>
      </c>
      <c r="C1722" t="s">
        <v>3</v>
      </c>
      <c r="D1722" t="s">
        <v>630</v>
      </c>
      <c r="E1722">
        <v>175</v>
      </c>
      <c r="F1722">
        <v>150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12</v>
      </c>
      <c r="O1722">
        <f t="shared" si="54"/>
        <v>2025</v>
      </c>
      <c r="P1722">
        <f t="shared" si="55"/>
        <v>6</v>
      </c>
      <c r="Q1722" t="s">
        <v>570</v>
      </c>
      <c r="R1722" s="546" t="s">
        <v>804</v>
      </c>
    </row>
    <row r="1723" spans="1:18" x14ac:dyDescent="0.3">
      <c r="A1723" t="s">
        <v>627</v>
      </c>
      <c r="B1723" s="16">
        <v>45809</v>
      </c>
      <c r="C1723" t="s">
        <v>3</v>
      </c>
      <c r="D1723" t="s">
        <v>251</v>
      </c>
      <c r="E1723">
        <v>1831</v>
      </c>
      <c r="F1723">
        <v>1547</v>
      </c>
      <c r="G1723">
        <v>11</v>
      </c>
      <c r="H1723">
        <v>3</v>
      </c>
      <c r="I1723">
        <v>24977</v>
      </c>
      <c r="J1723">
        <v>8</v>
      </c>
      <c r="K1723">
        <v>24977</v>
      </c>
      <c r="L1723">
        <v>8</v>
      </c>
      <c r="M1723">
        <v>77</v>
      </c>
      <c r="N1723">
        <v>226</v>
      </c>
      <c r="O1723">
        <f t="shared" si="54"/>
        <v>2025</v>
      </c>
      <c r="P1723">
        <f t="shared" si="55"/>
        <v>6</v>
      </c>
      <c r="Q1723" t="s">
        <v>570</v>
      </c>
      <c r="R1723" s="546" t="s">
        <v>804</v>
      </c>
    </row>
    <row r="1724" spans="1:18" x14ac:dyDescent="0.3">
      <c r="A1724" t="s">
        <v>627</v>
      </c>
      <c r="B1724" s="16">
        <v>45809</v>
      </c>
      <c r="C1724" t="s">
        <v>3</v>
      </c>
      <c r="D1724" t="s">
        <v>143</v>
      </c>
      <c r="E1724">
        <v>42</v>
      </c>
      <c r="F1724">
        <v>39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42</v>
      </c>
      <c r="O1724">
        <f t="shared" si="54"/>
        <v>2025</v>
      </c>
      <c r="P1724">
        <f t="shared" si="55"/>
        <v>6</v>
      </c>
      <c r="Q1724" t="s">
        <v>570</v>
      </c>
      <c r="R1724" s="546" t="s">
        <v>804</v>
      </c>
    </row>
    <row r="1725" spans="1:18" x14ac:dyDescent="0.3">
      <c r="A1725" t="s">
        <v>627</v>
      </c>
      <c r="B1725" s="16">
        <v>45809</v>
      </c>
      <c r="C1725" t="s">
        <v>3</v>
      </c>
      <c r="D1725" t="s">
        <v>141</v>
      </c>
      <c r="E1725">
        <v>301</v>
      </c>
      <c r="F1725">
        <v>177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301</v>
      </c>
      <c r="O1725">
        <f t="shared" si="54"/>
        <v>2025</v>
      </c>
      <c r="P1725">
        <f t="shared" si="55"/>
        <v>6</v>
      </c>
      <c r="Q1725" t="s">
        <v>570</v>
      </c>
      <c r="R1725" s="546" t="s">
        <v>804</v>
      </c>
    </row>
    <row r="1726" spans="1:18" x14ac:dyDescent="0.3">
      <c r="A1726" t="s">
        <v>627</v>
      </c>
      <c r="B1726" s="16">
        <v>45809</v>
      </c>
      <c r="C1726" t="s">
        <v>3</v>
      </c>
      <c r="D1726" t="s">
        <v>140</v>
      </c>
      <c r="E1726">
        <v>11</v>
      </c>
      <c r="F1726">
        <v>8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10</v>
      </c>
      <c r="O1726">
        <f t="shared" si="54"/>
        <v>2025</v>
      </c>
      <c r="P1726">
        <f t="shared" si="55"/>
        <v>6</v>
      </c>
      <c r="Q1726" t="s">
        <v>570</v>
      </c>
      <c r="R1726" s="546" t="s">
        <v>804</v>
      </c>
    </row>
    <row r="1727" spans="1:18" x14ac:dyDescent="0.3">
      <c r="A1727" t="s">
        <v>627</v>
      </c>
      <c r="B1727" s="16">
        <v>45809</v>
      </c>
      <c r="C1727" t="s">
        <v>3</v>
      </c>
      <c r="D1727" t="s">
        <v>139</v>
      </c>
      <c r="E1727">
        <v>789</v>
      </c>
      <c r="F1727">
        <v>535</v>
      </c>
      <c r="G1727">
        <v>34</v>
      </c>
      <c r="H1727">
        <v>4</v>
      </c>
      <c r="I1727">
        <v>51936.43</v>
      </c>
      <c r="J1727">
        <v>17</v>
      </c>
      <c r="K1727">
        <v>44958.43</v>
      </c>
      <c r="L1727">
        <v>14</v>
      </c>
      <c r="M1727">
        <v>241</v>
      </c>
      <c r="N1727">
        <v>500</v>
      </c>
      <c r="O1727">
        <f t="shared" si="54"/>
        <v>2025</v>
      </c>
      <c r="P1727">
        <f t="shared" si="55"/>
        <v>6</v>
      </c>
      <c r="Q1727" t="s">
        <v>570</v>
      </c>
      <c r="R1727" s="546" t="s">
        <v>804</v>
      </c>
    </row>
    <row r="1728" spans="1:18" x14ac:dyDescent="0.3">
      <c r="A1728" t="s">
        <v>627</v>
      </c>
      <c r="B1728" s="16">
        <v>45809</v>
      </c>
      <c r="C1728" t="s">
        <v>3</v>
      </c>
      <c r="D1728" t="s">
        <v>138</v>
      </c>
      <c r="E1728">
        <v>8</v>
      </c>
      <c r="F1728">
        <v>3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8</v>
      </c>
      <c r="O1728">
        <f t="shared" si="54"/>
        <v>2025</v>
      </c>
      <c r="P1728">
        <f t="shared" si="55"/>
        <v>6</v>
      </c>
      <c r="Q1728" t="s">
        <v>570</v>
      </c>
      <c r="R1728" s="546" t="s">
        <v>804</v>
      </c>
    </row>
    <row r="1729" spans="1:18" x14ac:dyDescent="0.3">
      <c r="A1729" t="s">
        <v>627</v>
      </c>
      <c r="B1729" s="16">
        <v>45809</v>
      </c>
      <c r="C1729" t="s">
        <v>3</v>
      </c>
      <c r="D1729" t="s">
        <v>135</v>
      </c>
      <c r="E1729">
        <v>175</v>
      </c>
      <c r="F1729">
        <v>150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12</v>
      </c>
      <c r="O1729">
        <f t="shared" si="54"/>
        <v>2025</v>
      </c>
      <c r="P1729">
        <f t="shared" si="55"/>
        <v>6</v>
      </c>
      <c r="Q1729" t="s">
        <v>570</v>
      </c>
      <c r="R1729" s="546" t="s">
        <v>804</v>
      </c>
    </row>
    <row r="1730" spans="1:18" x14ac:dyDescent="0.3">
      <c r="A1730" t="s">
        <v>627</v>
      </c>
      <c r="B1730" s="16">
        <v>45809</v>
      </c>
      <c r="C1730" t="s">
        <v>3</v>
      </c>
      <c r="D1730" t="s">
        <v>133</v>
      </c>
      <c r="E1730">
        <v>24</v>
      </c>
      <c r="F1730">
        <v>18</v>
      </c>
      <c r="G1730">
        <v>2</v>
      </c>
      <c r="H1730">
        <v>0</v>
      </c>
      <c r="I1730">
        <v>5795</v>
      </c>
      <c r="J1730">
        <v>1</v>
      </c>
      <c r="K1730">
        <v>5795</v>
      </c>
      <c r="L1730">
        <v>1</v>
      </c>
      <c r="M1730">
        <v>3</v>
      </c>
      <c r="N1730">
        <v>24</v>
      </c>
      <c r="O1730">
        <f t="shared" si="54"/>
        <v>2025</v>
      </c>
      <c r="P1730">
        <f t="shared" si="55"/>
        <v>6</v>
      </c>
      <c r="Q1730" t="s">
        <v>570</v>
      </c>
      <c r="R1730" s="546" t="s">
        <v>804</v>
      </c>
    </row>
    <row r="1731" spans="1:18" x14ac:dyDescent="0.3">
      <c r="A1731" t="s">
        <v>627</v>
      </c>
      <c r="B1731" s="16">
        <v>45809</v>
      </c>
      <c r="C1731" t="s">
        <v>3</v>
      </c>
      <c r="D1731" t="s">
        <v>130</v>
      </c>
      <c r="E1731">
        <v>113</v>
      </c>
      <c r="F1731">
        <v>41</v>
      </c>
      <c r="G1731">
        <v>8</v>
      </c>
      <c r="H1731">
        <v>1</v>
      </c>
      <c r="I1731">
        <v>13565</v>
      </c>
      <c r="J1731">
        <v>5</v>
      </c>
      <c r="K1731">
        <v>10815</v>
      </c>
      <c r="L1731">
        <v>5</v>
      </c>
      <c r="M1731">
        <v>40</v>
      </c>
      <c r="N1731">
        <v>102</v>
      </c>
      <c r="O1731">
        <f t="shared" si="54"/>
        <v>2025</v>
      </c>
      <c r="P1731">
        <f t="shared" si="55"/>
        <v>6</v>
      </c>
      <c r="Q1731" t="s">
        <v>570</v>
      </c>
      <c r="R1731" s="546" t="s">
        <v>804</v>
      </c>
    </row>
    <row r="1732" spans="1:18" x14ac:dyDescent="0.3">
      <c r="A1732" t="s">
        <v>627</v>
      </c>
      <c r="B1732" s="16">
        <v>45809</v>
      </c>
      <c r="C1732" t="s">
        <v>3</v>
      </c>
      <c r="D1732" t="s">
        <v>128</v>
      </c>
      <c r="E1732">
        <v>759</v>
      </c>
      <c r="F1732">
        <v>565</v>
      </c>
      <c r="G1732">
        <v>27</v>
      </c>
      <c r="H1732">
        <v>9</v>
      </c>
      <c r="I1732">
        <v>33620</v>
      </c>
      <c r="J1732">
        <v>7</v>
      </c>
      <c r="K1732">
        <v>12755</v>
      </c>
      <c r="L1732">
        <v>5</v>
      </c>
      <c r="M1732">
        <v>335</v>
      </c>
      <c r="N1732">
        <v>548</v>
      </c>
      <c r="O1732">
        <f t="shared" si="54"/>
        <v>2025</v>
      </c>
      <c r="P1732">
        <f t="shared" si="55"/>
        <v>6</v>
      </c>
      <c r="Q1732" t="s">
        <v>570</v>
      </c>
      <c r="R1732" s="546" t="s">
        <v>804</v>
      </c>
    </row>
    <row r="1733" spans="1:18" x14ac:dyDescent="0.3">
      <c r="A1733" t="s">
        <v>627</v>
      </c>
      <c r="B1733" s="16">
        <v>45809</v>
      </c>
      <c r="C1733" t="s">
        <v>3</v>
      </c>
      <c r="D1733" t="s">
        <v>127</v>
      </c>
      <c r="E1733">
        <v>14056</v>
      </c>
      <c r="F1733">
        <v>12727</v>
      </c>
      <c r="G1733">
        <v>91</v>
      </c>
      <c r="H1733">
        <v>58</v>
      </c>
      <c r="I1733">
        <v>41607.129999999997</v>
      </c>
      <c r="J1733">
        <v>13</v>
      </c>
      <c r="K1733">
        <v>22627.13</v>
      </c>
      <c r="L1733">
        <v>10</v>
      </c>
      <c r="M1733">
        <v>786</v>
      </c>
      <c r="N1733">
        <v>13617</v>
      </c>
      <c r="O1733">
        <f t="shared" si="54"/>
        <v>2025</v>
      </c>
      <c r="P1733">
        <f t="shared" si="55"/>
        <v>6</v>
      </c>
      <c r="Q1733" t="s">
        <v>570</v>
      </c>
      <c r="R1733" s="546" t="s">
        <v>804</v>
      </c>
    </row>
    <row r="1734" spans="1:18" x14ac:dyDescent="0.3">
      <c r="A1734" t="s">
        <v>627</v>
      </c>
      <c r="B1734" s="16">
        <v>45809</v>
      </c>
      <c r="C1734" t="s">
        <v>3</v>
      </c>
      <c r="D1734" t="s">
        <v>126</v>
      </c>
      <c r="E1734">
        <v>67</v>
      </c>
      <c r="F1734">
        <v>50</v>
      </c>
      <c r="G1734">
        <v>2</v>
      </c>
      <c r="H1734">
        <v>4</v>
      </c>
      <c r="I1734">
        <v>0</v>
      </c>
      <c r="J1734">
        <v>0</v>
      </c>
      <c r="K1734">
        <v>0</v>
      </c>
      <c r="L1734">
        <v>0</v>
      </c>
      <c r="M1734">
        <v>10</v>
      </c>
      <c r="N1734">
        <v>63</v>
      </c>
      <c r="O1734">
        <f t="shared" si="54"/>
        <v>2025</v>
      </c>
      <c r="P1734">
        <f t="shared" si="55"/>
        <v>6</v>
      </c>
      <c r="Q1734" t="s">
        <v>570</v>
      </c>
      <c r="R1734" s="546" t="s">
        <v>804</v>
      </c>
    </row>
    <row r="1735" spans="1:18" x14ac:dyDescent="0.3">
      <c r="A1735" t="s">
        <v>627</v>
      </c>
      <c r="B1735" s="16">
        <v>45809</v>
      </c>
      <c r="C1735" t="s">
        <v>3</v>
      </c>
      <c r="D1735" t="s">
        <v>125</v>
      </c>
      <c r="E1735">
        <v>2</v>
      </c>
      <c r="F1735">
        <v>1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2</v>
      </c>
      <c r="O1735">
        <f t="shared" si="54"/>
        <v>2025</v>
      </c>
      <c r="P1735">
        <f t="shared" si="55"/>
        <v>6</v>
      </c>
      <c r="Q1735" t="s">
        <v>570</v>
      </c>
      <c r="R1735" s="546" t="s">
        <v>804</v>
      </c>
    </row>
    <row r="1736" spans="1:18" x14ac:dyDescent="0.3">
      <c r="A1736" t="s">
        <v>627</v>
      </c>
      <c r="B1736" s="16">
        <v>45809</v>
      </c>
      <c r="C1736" t="s">
        <v>3</v>
      </c>
      <c r="D1736" t="s">
        <v>123</v>
      </c>
      <c r="E1736">
        <v>376</v>
      </c>
      <c r="F1736">
        <v>258</v>
      </c>
      <c r="G1736">
        <v>11</v>
      </c>
      <c r="H1736">
        <v>3</v>
      </c>
      <c r="I1736">
        <v>13739</v>
      </c>
      <c r="J1736">
        <v>4</v>
      </c>
      <c r="K1736">
        <v>9905</v>
      </c>
      <c r="L1736">
        <v>3</v>
      </c>
      <c r="M1736">
        <v>104</v>
      </c>
      <c r="N1736">
        <v>355</v>
      </c>
      <c r="O1736">
        <f t="shared" si="54"/>
        <v>2025</v>
      </c>
      <c r="P1736">
        <f t="shared" si="55"/>
        <v>6</v>
      </c>
      <c r="Q1736" t="s">
        <v>570</v>
      </c>
      <c r="R1736" s="546" t="s">
        <v>804</v>
      </c>
    </row>
    <row r="1737" spans="1:18" x14ac:dyDescent="0.3">
      <c r="A1737" t="s">
        <v>627</v>
      </c>
      <c r="B1737" s="16">
        <v>45809</v>
      </c>
      <c r="C1737" t="s">
        <v>3</v>
      </c>
      <c r="D1737" t="s">
        <v>119</v>
      </c>
      <c r="E1737">
        <v>238</v>
      </c>
      <c r="F1737">
        <v>51</v>
      </c>
      <c r="G1737">
        <v>20</v>
      </c>
      <c r="H1737">
        <v>4</v>
      </c>
      <c r="I1737">
        <v>35913.129999999997</v>
      </c>
      <c r="J1737">
        <v>11</v>
      </c>
      <c r="K1737">
        <v>33163.129999999997</v>
      </c>
      <c r="L1737">
        <v>10</v>
      </c>
      <c r="M1737">
        <v>50</v>
      </c>
      <c r="N1737">
        <v>229</v>
      </c>
      <c r="O1737">
        <f t="shared" si="54"/>
        <v>2025</v>
      </c>
      <c r="P1737">
        <f t="shared" si="55"/>
        <v>6</v>
      </c>
      <c r="Q1737" t="s">
        <v>570</v>
      </c>
      <c r="R1737" s="546" t="s">
        <v>804</v>
      </c>
    </row>
    <row r="1738" spans="1:18" x14ac:dyDescent="0.3">
      <c r="A1738" t="s">
        <v>627</v>
      </c>
      <c r="B1738" s="16">
        <v>45809</v>
      </c>
      <c r="C1738" t="s">
        <v>3</v>
      </c>
      <c r="D1738" t="s">
        <v>583</v>
      </c>
      <c r="E1738">
        <v>3</v>
      </c>
      <c r="F1738">
        <v>3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3</v>
      </c>
      <c r="O1738">
        <f t="shared" si="54"/>
        <v>2025</v>
      </c>
      <c r="P1738">
        <f t="shared" si="55"/>
        <v>6</v>
      </c>
      <c r="Q1738" t="s">
        <v>570</v>
      </c>
      <c r="R1738" s="546" t="s">
        <v>804</v>
      </c>
    </row>
    <row r="1739" spans="1:18" x14ac:dyDescent="0.3">
      <c r="A1739" t="s">
        <v>627</v>
      </c>
      <c r="B1739" s="16">
        <v>45809</v>
      </c>
      <c r="C1739" t="s">
        <v>3</v>
      </c>
      <c r="D1739" t="s">
        <v>252</v>
      </c>
      <c r="E1739">
        <v>5</v>
      </c>
      <c r="F1739">
        <v>4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5</v>
      </c>
      <c r="O1739">
        <f t="shared" si="54"/>
        <v>2025</v>
      </c>
      <c r="P1739">
        <f t="shared" si="55"/>
        <v>6</v>
      </c>
      <c r="Q1739" t="s">
        <v>570</v>
      </c>
      <c r="R1739" s="546" t="s">
        <v>804</v>
      </c>
    </row>
    <row r="1740" spans="1:18" x14ac:dyDescent="0.3">
      <c r="A1740" t="s">
        <v>627</v>
      </c>
      <c r="B1740" s="16">
        <v>45809</v>
      </c>
      <c r="C1740" t="s">
        <v>3</v>
      </c>
      <c r="D1740" t="s">
        <v>391</v>
      </c>
      <c r="E1740">
        <v>621</v>
      </c>
      <c r="F1740">
        <v>398</v>
      </c>
      <c r="G1740">
        <v>15</v>
      </c>
      <c r="H1740">
        <v>2</v>
      </c>
      <c r="I1740">
        <v>23255</v>
      </c>
      <c r="J1740">
        <v>4</v>
      </c>
      <c r="K1740">
        <v>12435</v>
      </c>
      <c r="L1740">
        <v>3</v>
      </c>
      <c r="M1740">
        <v>75</v>
      </c>
      <c r="N1740">
        <v>612</v>
      </c>
      <c r="O1740">
        <f t="shared" si="54"/>
        <v>2025</v>
      </c>
      <c r="P1740">
        <f t="shared" si="55"/>
        <v>6</v>
      </c>
      <c r="Q1740" t="s">
        <v>570</v>
      </c>
      <c r="R1740" s="546" t="s">
        <v>804</v>
      </c>
    </row>
    <row r="1741" spans="1:18" x14ac:dyDescent="0.3">
      <c r="A1741" t="s">
        <v>627</v>
      </c>
      <c r="B1741" s="16">
        <v>45809</v>
      </c>
      <c r="C1741" t="s">
        <v>3</v>
      </c>
      <c r="D1741" t="s">
        <v>114</v>
      </c>
      <c r="E1741">
        <v>165</v>
      </c>
      <c r="F1741">
        <v>92</v>
      </c>
      <c r="G1741">
        <v>6</v>
      </c>
      <c r="H1741">
        <v>1</v>
      </c>
      <c r="I1741">
        <v>21540</v>
      </c>
      <c r="J1741">
        <v>1</v>
      </c>
      <c r="K1741">
        <v>10770</v>
      </c>
      <c r="L1741">
        <v>1</v>
      </c>
      <c r="M1741">
        <v>8</v>
      </c>
      <c r="N1741">
        <v>160</v>
      </c>
      <c r="O1741">
        <f t="shared" si="54"/>
        <v>2025</v>
      </c>
      <c r="P1741">
        <f t="shared" si="55"/>
        <v>6</v>
      </c>
      <c r="Q1741" t="s">
        <v>570</v>
      </c>
      <c r="R1741" s="546" t="s">
        <v>804</v>
      </c>
    </row>
    <row r="1742" spans="1:18" x14ac:dyDescent="0.3">
      <c r="A1742" t="s">
        <v>627</v>
      </c>
      <c r="B1742" s="16">
        <v>45809</v>
      </c>
      <c r="C1742" t="s">
        <v>3</v>
      </c>
      <c r="D1742" t="s">
        <v>113</v>
      </c>
      <c r="E1742">
        <v>120</v>
      </c>
      <c r="F1742">
        <v>56</v>
      </c>
      <c r="G1742">
        <v>6</v>
      </c>
      <c r="H1742">
        <v>2</v>
      </c>
      <c r="I1742">
        <v>3288</v>
      </c>
      <c r="J1742">
        <v>2</v>
      </c>
      <c r="K1742">
        <v>1598</v>
      </c>
      <c r="L1742">
        <v>1</v>
      </c>
      <c r="M1742">
        <v>87</v>
      </c>
      <c r="N1742">
        <v>70</v>
      </c>
      <c r="O1742">
        <f t="shared" si="54"/>
        <v>2025</v>
      </c>
      <c r="P1742">
        <f t="shared" si="55"/>
        <v>6</v>
      </c>
      <c r="Q1742" t="s">
        <v>570</v>
      </c>
      <c r="R1742" s="546" t="s">
        <v>804</v>
      </c>
    </row>
    <row r="1743" spans="1:18" x14ac:dyDescent="0.3">
      <c r="A1743" t="s">
        <v>627</v>
      </c>
      <c r="B1743" s="16">
        <v>45809</v>
      </c>
      <c r="C1743" t="s">
        <v>3</v>
      </c>
      <c r="D1743" t="s">
        <v>112</v>
      </c>
      <c r="E1743">
        <v>24</v>
      </c>
      <c r="F1743">
        <v>8</v>
      </c>
      <c r="G1743">
        <v>2</v>
      </c>
      <c r="H1743">
        <v>0</v>
      </c>
      <c r="I1743">
        <v>9285</v>
      </c>
      <c r="J1743">
        <v>4</v>
      </c>
      <c r="K1743">
        <v>6660</v>
      </c>
      <c r="L1743">
        <v>3</v>
      </c>
      <c r="M1743">
        <v>0</v>
      </c>
      <c r="N1743">
        <v>24</v>
      </c>
      <c r="O1743">
        <f t="shared" si="54"/>
        <v>2025</v>
      </c>
      <c r="P1743">
        <f t="shared" si="55"/>
        <v>6</v>
      </c>
      <c r="Q1743" t="s">
        <v>570</v>
      </c>
      <c r="R1743" s="546" t="s">
        <v>804</v>
      </c>
    </row>
    <row r="1744" spans="1:18" x14ac:dyDescent="0.3">
      <c r="A1744" t="s">
        <v>627</v>
      </c>
      <c r="B1744" s="16">
        <v>45809</v>
      </c>
      <c r="C1744" t="s">
        <v>3</v>
      </c>
      <c r="D1744" t="s">
        <v>111</v>
      </c>
      <c r="E1744">
        <v>4</v>
      </c>
      <c r="F1744">
        <v>1</v>
      </c>
      <c r="G1744">
        <v>0</v>
      </c>
      <c r="H1744">
        <v>1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4</v>
      </c>
      <c r="O1744">
        <f t="shared" si="54"/>
        <v>2025</v>
      </c>
      <c r="P1744">
        <f t="shared" si="55"/>
        <v>6</v>
      </c>
      <c r="Q1744" t="s">
        <v>570</v>
      </c>
      <c r="R1744" s="546" t="s">
        <v>804</v>
      </c>
    </row>
    <row r="1745" spans="1:18" x14ac:dyDescent="0.3">
      <c r="A1745" t="s">
        <v>627</v>
      </c>
      <c r="B1745" s="16">
        <v>45808</v>
      </c>
      <c r="C1745" t="s">
        <v>2</v>
      </c>
      <c r="D1745" t="s">
        <v>4</v>
      </c>
      <c r="E1745">
        <v>357</v>
      </c>
      <c r="F1745">
        <v>113</v>
      </c>
      <c r="G1745">
        <v>3</v>
      </c>
      <c r="H1745">
        <v>2</v>
      </c>
      <c r="I1745">
        <v>18318</v>
      </c>
      <c r="J1745">
        <v>4</v>
      </c>
      <c r="K1745">
        <v>16328</v>
      </c>
      <c r="L1745">
        <v>3</v>
      </c>
      <c r="M1745">
        <v>4</v>
      </c>
      <c r="N1745">
        <v>355</v>
      </c>
      <c r="O1745">
        <f t="shared" si="54"/>
        <v>2025</v>
      </c>
      <c r="P1745">
        <f t="shared" si="55"/>
        <v>5</v>
      </c>
      <c r="Q1745" t="s">
        <v>570</v>
      </c>
      <c r="R1745" s="546" t="s">
        <v>804</v>
      </c>
    </row>
    <row r="1746" spans="1:18" x14ac:dyDescent="0.3">
      <c r="A1746" t="s">
        <v>627</v>
      </c>
      <c r="B1746" s="16">
        <v>45808</v>
      </c>
      <c r="C1746" t="s">
        <v>2</v>
      </c>
      <c r="D1746" t="s">
        <v>57</v>
      </c>
      <c r="E1746">
        <v>20612</v>
      </c>
      <c r="F1746">
        <v>14751</v>
      </c>
      <c r="G1746">
        <v>254</v>
      </c>
      <c r="H1746">
        <v>258</v>
      </c>
      <c r="I1746">
        <v>239066</v>
      </c>
      <c r="J1746">
        <v>39</v>
      </c>
      <c r="K1746">
        <v>60599</v>
      </c>
      <c r="L1746">
        <v>18</v>
      </c>
      <c r="M1746">
        <v>1170</v>
      </c>
      <c r="N1746">
        <v>20374</v>
      </c>
      <c r="O1746">
        <f t="shared" si="54"/>
        <v>2025</v>
      </c>
      <c r="P1746">
        <f t="shared" si="55"/>
        <v>5</v>
      </c>
      <c r="Q1746" t="s">
        <v>570</v>
      </c>
      <c r="R1746" s="546" t="s">
        <v>804</v>
      </c>
    </row>
    <row r="1747" spans="1:18" x14ac:dyDescent="0.3">
      <c r="A1747" t="s">
        <v>627</v>
      </c>
      <c r="B1747" s="16">
        <v>45808</v>
      </c>
      <c r="C1747" t="s">
        <v>2</v>
      </c>
      <c r="D1747" t="s">
        <v>52</v>
      </c>
      <c r="E1747">
        <v>1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1</v>
      </c>
      <c r="O1747">
        <f t="shared" si="54"/>
        <v>2025</v>
      </c>
      <c r="P1747">
        <f t="shared" si="55"/>
        <v>5</v>
      </c>
      <c r="Q1747" t="s">
        <v>570</v>
      </c>
      <c r="R1747" s="546" t="s">
        <v>804</v>
      </c>
    </row>
    <row r="1748" spans="1:18" x14ac:dyDescent="0.3">
      <c r="A1748" t="s">
        <v>627</v>
      </c>
      <c r="B1748" s="16">
        <v>45808</v>
      </c>
      <c r="C1748" t="s">
        <v>2</v>
      </c>
      <c r="D1748" t="s">
        <v>55</v>
      </c>
      <c r="E1748">
        <v>6</v>
      </c>
      <c r="F1748">
        <v>2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3</v>
      </c>
      <c r="O1748">
        <f t="shared" si="54"/>
        <v>2025</v>
      </c>
      <c r="P1748">
        <f t="shared" si="55"/>
        <v>5</v>
      </c>
      <c r="Q1748" t="s">
        <v>570</v>
      </c>
      <c r="R1748" s="546" t="s">
        <v>804</v>
      </c>
    </row>
    <row r="1749" spans="1:18" x14ac:dyDescent="0.3">
      <c r="A1749" t="s">
        <v>627</v>
      </c>
      <c r="B1749" s="16">
        <v>45808</v>
      </c>
      <c r="C1749" t="s">
        <v>3</v>
      </c>
      <c r="D1749" t="s">
        <v>155</v>
      </c>
      <c r="E1749">
        <v>5</v>
      </c>
      <c r="F1749">
        <v>3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</v>
      </c>
      <c r="N1749">
        <v>4</v>
      </c>
      <c r="O1749">
        <f t="shared" si="54"/>
        <v>2025</v>
      </c>
      <c r="P1749">
        <f t="shared" si="55"/>
        <v>5</v>
      </c>
      <c r="Q1749" t="s">
        <v>570</v>
      </c>
      <c r="R1749" s="546" t="s">
        <v>804</v>
      </c>
    </row>
    <row r="1750" spans="1:18" x14ac:dyDescent="0.3">
      <c r="A1750" t="s">
        <v>627</v>
      </c>
      <c r="B1750" s="16">
        <v>45808</v>
      </c>
      <c r="C1750" t="s">
        <v>3</v>
      </c>
      <c r="D1750" t="s">
        <v>154</v>
      </c>
      <c r="E1750">
        <v>2</v>
      </c>
      <c r="F1750">
        <v>2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f t="shared" si="54"/>
        <v>2025</v>
      </c>
      <c r="P1750">
        <f t="shared" si="55"/>
        <v>5</v>
      </c>
      <c r="Q1750" t="s">
        <v>570</v>
      </c>
      <c r="R1750" s="546" t="s">
        <v>804</v>
      </c>
    </row>
    <row r="1751" spans="1:18" x14ac:dyDescent="0.3">
      <c r="A1751" t="s">
        <v>627</v>
      </c>
      <c r="B1751" s="16">
        <v>45808</v>
      </c>
      <c r="C1751" t="s">
        <v>3</v>
      </c>
      <c r="D1751" t="s">
        <v>153</v>
      </c>
      <c r="E1751">
        <v>341</v>
      </c>
      <c r="F1751">
        <v>74</v>
      </c>
      <c r="G1751">
        <v>34</v>
      </c>
      <c r="H1751">
        <v>2</v>
      </c>
      <c r="I1751">
        <v>115003.75</v>
      </c>
      <c r="J1751">
        <v>32</v>
      </c>
      <c r="K1751">
        <v>102196.75</v>
      </c>
      <c r="L1751">
        <v>29</v>
      </c>
      <c r="M1751">
        <v>73</v>
      </c>
      <c r="N1751">
        <v>332</v>
      </c>
      <c r="O1751">
        <f t="shared" si="54"/>
        <v>2025</v>
      </c>
      <c r="P1751">
        <f t="shared" si="55"/>
        <v>5</v>
      </c>
      <c r="Q1751" t="s">
        <v>570</v>
      </c>
      <c r="R1751" s="546" t="s">
        <v>804</v>
      </c>
    </row>
    <row r="1752" spans="1:18" x14ac:dyDescent="0.3">
      <c r="A1752" t="s">
        <v>627</v>
      </c>
      <c r="B1752" s="16">
        <v>45808</v>
      </c>
      <c r="C1752" t="s">
        <v>3</v>
      </c>
      <c r="D1752" t="s">
        <v>152</v>
      </c>
      <c r="E1752">
        <v>22</v>
      </c>
      <c r="F1752">
        <v>12</v>
      </c>
      <c r="G1752">
        <v>2</v>
      </c>
      <c r="H1752">
        <v>1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22</v>
      </c>
      <c r="O1752">
        <f t="shared" si="54"/>
        <v>2025</v>
      </c>
      <c r="P1752">
        <f t="shared" si="55"/>
        <v>5</v>
      </c>
      <c r="Q1752" t="s">
        <v>570</v>
      </c>
      <c r="R1752" s="546" t="s">
        <v>804</v>
      </c>
    </row>
    <row r="1753" spans="1:18" x14ac:dyDescent="0.3">
      <c r="A1753" t="s">
        <v>627</v>
      </c>
      <c r="B1753" s="16">
        <v>45808</v>
      </c>
      <c r="C1753" t="s">
        <v>3</v>
      </c>
      <c r="D1753" t="s">
        <v>150</v>
      </c>
      <c r="E1753">
        <v>2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</v>
      </c>
      <c r="N1753">
        <v>2</v>
      </c>
      <c r="O1753">
        <f t="shared" si="54"/>
        <v>2025</v>
      </c>
      <c r="P1753">
        <f t="shared" si="55"/>
        <v>5</v>
      </c>
      <c r="Q1753" t="s">
        <v>570</v>
      </c>
      <c r="R1753" s="546" t="s">
        <v>804</v>
      </c>
    </row>
    <row r="1754" spans="1:18" x14ac:dyDescent="0.3">
      <c r="A1754" t="s">
        <v>627</v>
      </c>
      <c r="B1754" s="16">
        <v>45808</v>
      </c>
      <c r="C1754" t="s">
        <v>3</v>
      </c>
      <c r="D1754" t="s">
        <v>149</v>
      </c>
      <c r="E1754">
        <v>6</v>
      </c>
      <c r="F1754">
        <v>3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6</v>
      </c>
      <c r="O1754">
        <f t="shared" si="54"/>
        <v>2025</v>
      </c>
      <c r="P1754">
        <f t="shared" si="55"/>
        <v>5</v>
      </c>
      <c r="Q1754" t="s">
        <v>570</v>
      </c>
      <c r="R1754" s="546" t="s">
        <v>804</v>
      </c>
    </row>
    <row r="1755" spans="1:18" x14ac:dyDescent="0.3">
      <c r="A1755" t="s">
        <v>627</v>
      </c>
      <c r="B1755" s="16">
        <v>45808</v>
      </c>
      <c r="C1755" t="s">
        <v>3</v>
      </c>
      <c r="D1755" t="s">
        <v>630</v>
      </c>
      <c r="E1755">
        <v>12</v>
      </c>
      <c r="F1755">
        <v>2</v>
      </c>
      <c r="G1755">
        <v>0</v>
      </c>
      <c r="H1755">
        <v>0</v>
      </c>
      <c r="I1755">
        <v>1490</v>
      </c>
      <c r="J1755">
        <v>1</v>
      </c>
      <c r="K1755">
        <v>1490</v>
      </c>
      <c r="L1755">
        <v>1</v>
      </c>
      <c r="M1755">
        <v>2</v>
      </c>
      <c r="N1755">
        <v>12</v>
      </c>
      <c r="O1755">
        <f t="shared" si="54"/>
        <v>2025</v>
      </c>
      <c r="P1755">
        <f t="shared" si="55"/>
        <v>5</v>
      </c>
      <c r="Q1755" t="s">
        <v>570</v>
      </c>
      <c r="R1755" s="546" t="s">
        <v>804</v>
      </c>
    </row>
    <row r="1756" spans="1:18" x14ac:dyDescent="0.3">
      <c r="A1756" t="s">
        <v>627</v>
      </c>
      <c r="B1756" s="16">
        <v>45808</v>
      </c>
      <c r="C1756" t="s">
        <v>3</v>
      </c>
      <c r="D1756" t="s">
        <v>251</v>
      </c>
      <c r="E1756">
        <v>236</v>
      </c>
      <c r="F1756">
        <v>102</v>
      </c>
      <c r="G1756">
        <v>12</v>
      </c>
      <c r="H1756">
        <v>4</v>
      </c>
      <c r="I1756">
        <v>51525</v>
      </c>
      <c r="J1756">
        <v>12</v>
      </c>
      <c r="K1756">
        <v>40531</v>
      </c>
      <c r="L1756">
        <v>11</v>
      </c>
      <c r="M1756">
        <v>84</v>
      </c>
      <c r="N1756">
        <v>199</v>
      </c>
      <c r="O1756">
        <f t="shared" si="54"/>
        <v>2025</v>
      </c>
      <c r="P1756">
        <f t="shared" si="55"/>
        <v>5</v>
      </c>
      <c r="Q1756" t="s">
        <v>570</v>
      </c>
      <c r="R1756" s="546" t="s">
        <v>804</v>
      </c>
    </row>
    <row r="1757" spans="1:18" x14ac:dyDescent="0.3">
      <c r="A1757" t="s">
        <v>627</v>
      </c>
      <c r="B1757" s="16">
        <v>45808</v>
      </c>
      <c r="C1757" t="s">
        <v>3</v>
      </c>
      <c r="D1757" t="s">
        <v>143</v>
      </c>
      <c r="E1757">
        <v>55</v>
      </c>
      <c r="F1757">
        <v>54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55</v>
      </c>
      <c r="O1757">
        <f t="shared" si="54"/>
        <v>2025</v>
      </c>
      <c r="P1757">
        <f t="shared" si="55"/>
        <v>5</v>
      </c>
      <c r="Q1757" t="s">
        <v>570</v>
      </c>
      <c r="R1757" s="546" t="s">
        <v>804</v>
      </c>
    </row>
    <row r="1758" spans="1:18" x14ac:dyDescent="0.3">
      <c r="A1758" t="s">
        <v>627</v>
      </c>
      <c r="B1758" s="16">
        <v>45808</v>
      </c>
      <c r="C1758" t="s">
        <v>3</v>
      </c>
      <c r="D1758" t="s">
        <v>141</v>
      </c>
      <c r="E1758">
        <v>299</v>
      </c>
      <c r="F1758">
        <v>143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299</v>
      </c>
      <c r="O1758">
        <f t="shared" si="54"/>
        <v>2025</v>
      </c>
      <c r="P1758">
        <f t="shared" si="55"/>
        <v>5</v>
      </c>
      <c r="Q1758" t="s">
        <v>570</v>
      </c>
      <c r="R1758" s="546" t="s">
        <v>804</v>
      </c>
    </row>
    <row r="1759" spans="1:18" x14ac:dyDescent="0.3">
      <c r="A1759" t="s">
        <v>627</v>
      </c>
      <c r="B1759" s="16">
        <v>45808</v>
      </c>
      <c r="C1759" t="s">
        <v>3</v>
      </c>
      <c r="D1759" t="s">
        <v>140</v>
      </c>
      <c r="E1759">
        <v>9</v>
      </c>
      <c r="F1759">
        <v>6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9</v>
      </c>
      <c r="O1759">
        <f t="shared" si="54"/>
        <v>2025</v>
      </c>
      <c r="P1759">
        <f t="shared" si="55"/>
        <v>5</v>
      </c>
      <c r="Q1759" t="s">
        <v>570</v>
      </c>
      <c r="R1759" s="546" t="s">
        <v>804</v>
      </c>
    </row>
    <row r="1760" spans="1:18" x14ac:dyDescent="0.3">
      <c r="A1760" t="s">
        <v>627</v>
      </c>
      <c r="B1760" s="16">
        <v>45808</v>
      </c>
      <c r="C1760" t="s">
        <v>3</v>
      </c>
      <c r="D1760" t="s">
        <v>139</v>
      </c>
      <c r="E1760">
        <v>625</v>
      </c>
      <c r="F1760">
        <v>391</v>
      </c>
      <c r="G1760">
        <v>30</v>
      </c>
      <c r="H1760">
        <v>13</v>
      </c>
      <c r="I1760">
        <v>61862.87</v>
      </c>
      <c r="J1760">
        <v>17</v>
      </c>
      <c r="K1760">
        <v>55161</v>
      </c>
      <c r="L1760">
        <v>14</v>
      </c>
      <c r="M1760">
        <v>252</v>
      </c>
      <c r="N1760">
        <v>488</v>
      </c>
      <c r="O1760">
        <f t="shared" si="54"/>
        <v>2025</v>
      </c>
      <c r="P1760">
        <f t="shared" si="55"/>
        <v>5</v>
      </c>
      <c r="Q1760" t="s">
        <v>570</v>
      </c>
      <c r="R1760" s="546" t="s">
        <v>804</v>
      </c>
    </row>
    <row r="1761" spans="1:18" x14ac:dyDescent="0.3">
      <c r="A1761" t="s">
        <v>627</v>
      </c>
      <c r="B1761" s="16">
        <v>45808</v>
      </c>
      <c r="C1761" t="s">
        <v>3</v>
      </c>
      <c r="D1761" t="s">
        <v>138</v>
      </c>
      <c r="E1761">
        <v>3</v>
      </c>
      <c r="F1761">
        <v>0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3</v>
      </c>
      <c r="O1761">
        <f t="shared" si="54"/>
        <v>2025</v>
      </c>
      <c r="P1761">
        <f t="shared" si="55"/>
        <v>5</v>
      </c>
      <c r="Q1761" t="s">
        <v>570</v>
      </c>
      <c r="R1761" s="546" t="s">
        <v>804</v>
      </c>
    </row>
    <row r="1762" spans="1:18" x14ac:dyDescent="0.3">
      <c r="A1762" t="s">
        <v>627</v>
      </c>
      <c r="B1762" s="16">
        <v>45808</v>
      </c>
      <c r="C1762" t="s">
        <v>3</v>
      </c>
      <c r="D1762" t="s">
        <v>135</v>
      </c>
      <c r="E1762">
        <v>12</v>
      </c>
      <c r="F1762">
        <v>2</v>
      </c>
      <c r="G1762">
        <v>0</v>
      </c>
      <c r="H1762">
        <v>0</v>
      </c>
      <c r="I1762">
        <v>1490</v>
      </c>
      <c r="J1762">
        <v>1</v>
      </c>
      <c r="K1762">
        <v>1490</v>
      </c>
      <c r="L1762">
        <v>1</v>
      </c>
      <c r="M1762">
        <v>2</v>
      </c>
      <c r="N1762">
        <v>12</v>
      </c>
      <c r="O1762">
        <f t="shared" si="54"/>
        <v>2025</v>
      </c>
      <c r="P1762">
        <f t="shared" si="55"/>
        <v>5</v>
      </c>
      <c r="Q1762" t="s">
        <v>570</v>
      </c>
      <c r="R1762" s="546" t="s">
        <v>804</v>
      </c>
    </row>
    <row r="1763" spans="1:18" x14ac:dyDescent="0.3">
      <c r="A1763" t="s">
        <v>627</v>
      </c>
      <c r="B1763" s="16">
        <v>45808</v>
      </c>
      <c r="C1763" t="s">
        <v>3</v>
      </c>
      <c r="D1763" t="s">
        <v>133</v>
      </c>
      <c r="E1763">
        <v>25</v>
      </c>
      <c r="F1763">
        <v>20</v>
      </c>
      <c r="G1763">
        <v>1</v>
      </c>
      <c r="H1763">
        <v>1</v>
      </c>
      <c r="I1763">
        <v>2490</v>
      </c>
      <c r="J1763">
        <v>1</v>
      </c>
      <c r="K1763">
        <v>2490</v>
      </c>
      <c r="L1763">
        <v>1</v>
      </c>
      <c r="M1763">
        <v>2</v>
      </c>
      <c r="N1763">
        <v>23</v>
      </c>
      <c r="O1763">
        <f t="shared" si="54"/>
        <v>2025</v>
      </c>
      <c r="P1763">
        <f t="shared" si="55"/>
        <v>5</v>
      </c>
      <c r="Q1763" t="s">
        <v>570</v>
      </c>
      <c r="R1763" s="546" t="s">
        <v>804</v>
      </c>
    </row>
    <row r="1764" spans="1:18" x14ac:dyDescent="0.3">
      <c r="A1764" t="s">
        <v>627</v>
      </c>
      <c r="B1764" s="16">
        <v>45808</v>
      </c>
      <c r="C1764" t="s">
        <v>3</v>
      </c>
      <c r="D1764" t="s">
        <v>130</v>
      </c>
      <c r="E1764">
        <v>110</v>
      </c>
      <c r="F1764">
        <v>43</v>
      </c>
      <c r="G1764">
        <v>4</v>
      </c>
      <c r="H1764">
        <v>1</v>
      </c>
      <c r="I1764">
        <v>23735</v>
      </c>
      <c r="J1764">
        <v>5</v>
      </c>
      <c r="K1764">
        <v>23735</v>
      </c>
      <c r="L1764">
        <v>5</v>
      </c>
      <c r="M1764">
        <v>41</v>
      </c>
      <c r="N1764">
        <v>97</v>
      </c>
      <c r="O1764">
        <f t="shared" si="54"/>
        <v>2025</v>
      </c>
      <c r="P1764">
        <f t="shared" si="55"/>
        <v>5</v>
      </c>
      <c r="Q1764" t="s">
        <v>570</v>
      </c>
      <c r="R1764" s="546" t="s">
        <v>804</v>
      </c>
    </row>
    <row r="1765" spans="1:18" x14ac:dyDescent="0.3">
      <c r="A1765" t="s">
        <v>627</v>
      </c>
      <c r="B1765" s="16">
        <v>45808</v>
      </c>
      <c r="C1765" t="s">
        <v>3</v>
      </c>
      <c r="D1765" t="s">
        <v>128</v>
      </c>
      <c r="E1765">
        <v>761</v>
      </c>
      <c r="F1765">
        <v>562</v>
      </c>
      <c r="G1765">
        <v>33</v>
      </c>
      <c r="H1765">
        <v>14</v>
      </c>
      <c r="I1765">
        <v>34192.699999999997</v>
      </c>
      <c r="J1765">
        <v>9</v>
      </c>
      <c r="K1765">
        <v>16246.7</v>
      </c>
      <c r="L1765">
        <v>7</v>
      </c>
      <c r="M1765">
        <v>338</v>
      </c>
      <c r="N1765">
        <v>563</v>
      </c>
      <c r="O1765">
        <f t="shared" si="54"/>
        <v>2025</v>
      </c>
      <c r="P1765">
        <f t="shared" si="55"/>
        <v>5</v>
      </c>
      <c r="Q1765" t="s">
        <v>570</v>
      </c>
      <c r="R1765" s="546" t="s">
        <v>804</v>
      </c>
    </row>
    <row r="1766" spans="1:18" x14ac:dyDescent="0.3">
      <c r="A1766" t="s">
        <v>627</v>
      </c>
      <c r="B1766" s="16">
        <v>45808</v>
      </c>
      <c r="C1766" t="s">
        <v>3</v>
      </c>
      <c r="D1766" t="s">
        <v>127</v>
      </c>
      <c r="E1766">
        <v>12667</v>
      </c>
      <c r="F1766">
        <v>11427</v>
      </c>
      <c r="G1766">
        <v>79</v>
      </c>
      <c r="H1766">
        <v>51</v>
      </c>
      <c r="I1766">
        <v>146315</v>
      </c>
      <c r="J1766">
        <v>11</v>
      </c>
      <c r="K1766">
        <v>22365</v>
      </c>
      <c r="L1766">
        <v>8</v>
      </c>
      <c r="M1766">
        <v>720</v>
      </c>
      <c r="N1766">
        <v>12582</v>
      </c>
      <c r="O1766">
        <f t="shared" si="54"/>
        <v>2025</v>
      </c>
      <c r="P1766">
        <f t="shared" si="55"/>
        <v>5</v>
      </c>
      <c r="Q1766" t="s">
        <v>570</v>
      </c>
      <c r="R1766" s="546" t="s">
        <v>804</v>
      </c>
    </row>
    <row r="1767" spans="1:18" x14ac:dyDescent="0.3">
      <c r="A1767" t="s">
        <v>627</v>
      </c>
      <c r="B1767" s="16">
        <v>45808</v>
      </c>
      <c r="C1767" t="s">
        <v>3</v>
      </c>
      <c r="D1767" t="s">
        <v>126</v>
      </c>
      <c r="E1767">
        <v>67</v>
      </c>
      <c r="F1767">
        <v>42</v>
      </c>
      <c r="G1767">
        <v>1</v>
      </c>
      <c r="H1767">
        <v>1</v>
      </c>
      <c r="I1767">
        <v>2348</v>
      </c>
      <c r="J1767">
        <v>1</v>
      </c>
      <c r="K1767">
        <v>2348</v>
      </c>
      <c r="L1767">
        <v>1</v>
      </c>
      <c r="M1767">
        <v>14</v>
      </c>
      <c r="N1767">
        <v>66</v>
      </c>
      <c r="O1767">
        <f t="shared" si="54"/>
        <v>2025</v>
      </c>
      <c r="P1767">
        <f t="shared" si="55"/>
        <v>5</v>
      </c>
      <c r="Q1767" t="s">
        <v>570</v>
      </c>
      <c r="R1767" s="546" t="s">
        <v>804</v>
      </c>
    </row>
    <row r="1768" spans="1:18" x14ac:dyDescent="0.3">
      <c r="A1768" t="s">
        <v>627</v>
      </c>
      <c r="B1768" s="16">
        <v>45808</v>
      </c>
      <c r="C1768" t="s">
        <v>3</v>
      </c>
      <c r="D1768" t="s">
        <v>125</v>
      </c>
      <c r="E1768">
        <v>7</v>
      </c>
      <c r="F1768">
        <v>7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2</v>
      </c>
      <c r="N1768">
        <v>7</v>
      </c>
      <c r="O1768">
        <f t="shared" si="54"/>
        <v>2025</v>
      </c>
      <c r="P1768">
        <f t="shared" si="55"/>
        <v>5</v>
      </c>
      <c r="Q1768" t="s">
        <v>570</v>
      </c>
      <c r="R1768" s="546" t="s">
        <v>804</v>
      </c>
    </row>
    <row r="1769" spans="1:18" x14ac:dyDescent="0.3">
      <c r="A1769" t="s">
        <v>627</v>
      </c>
      <c r="B1769" s="16">
        <v>45808</v>
      </c>
      <c r="C1769" t="s">
        <v>3</v>
      </c>
      <c r="D1769" t="s">
        <v>123</v>
      </c>
      <c r="E1769">
        <v>381</v>
      </c>
      <c r="F1769">
        <v>256</v>
      </c>
      <c r="G1769">
        <v>11</v>
      </c>
      <c r="H1769">
        <v>4</v>
      </c>
      <c r="I1769">
        <v>9125</v>
      </c>
      <c r="J1769">
        <v>3</v>
      </c>
      <c r="K1769">
        <v>9125</v>
      </c>
      <c r="L1769">
        <v>3</v>
      </c>
      <c r="M1769">
        <v>90</v>
      </c>
      <c r="N1769">
        <v>362</v>
      </c>
      <c r="O1769">
        <f t="shared" si="54"/>
        <v>2025</v>
      </c>
      <c r="P1769">
        <f t="shared" si="55"/>
        <v>5</v>
      </c>
      <c r="Q1769" t="s">
        <v>570</v>
      </c>
      <c r="R1769" s="546" t="s">
        <v>804</v>
      </c>
    </row>
    <row r="1770" spans="1:18" x14ac:dyDescent="0.3">
      <c r="A1770" t="s">
        <v>627</v>
      </c>
      <c r="B1770" s="16">
        <v>45808</v>
      </c>
      <c r="C1770" t="s">
        <v>3</v>
      </c>
      <c r="D1770" t="s">
        <v>122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  <c r="O1770">
        <f t="shared" si="54"/>
        <v>2025</v>
      </c>
      <c r="P1770">
        <f t="shared" si="55"/>
        <v>5</v>
      </c>
      <c r="Q1770" t="s">
        <v>570</v>
      </c>
      <c r="R1770" s="546" t="s">
        <v>804</v>
      </c>
    </row>
    <row r="1771" spans="1:18" x14ac:dyDescent="0.3">
      <c r="A1771" t="s">
        <v>627</v>
      </c>
      <c r="B1771" s="16">
        <v>45808</v>
      </c>
      <c r="C1771" t="s">
        <v>3</v>
      </c>
      <c r="D1771" t="s">
        <v>121</v>
      </c>
      <c r="E1771">
        <v>1</v>
      </c>
      <c r="F1771">
        <v>1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1</v>
      </c>
      <c r="N1771">
        <v>0</v>
      </c>
      <c r="O1771">
        <f t="shared" si="54"/>
        <v>2025</v>
      </c>
      <c r="P1771">
        <f t="shared" si="55"/>
        <v>5</v>
      </c>
      <c r="Q1771" t="s">
        <v>570</v>
      </c>
      <c r="R1771" s="546" t="s">
        <v>804</v>
      </c>
    </row>
    <row r="1772" spans="1:18" x14ac:dyDescent="0.3">
      <c r="A1772" t="s">
        <v>627</v>
      </c>
      <c r="B1772" s="16">
        <v>45808</v>
      </c>
      <c r="C1772" t="s">
        <v>3</v>
      </c>
      <c r="D1772" t="s">
        <v>119</v>
      </c>
      <c r="E1772">
        <v>223</v>
      </c>
      <c r="F1772">
        <v>46</v>
      </c>
      <c r="G1772">
        <v>15</v>
      </c>
      <c r="H1772">
        <v>2</v>
      </c>
      <c r="I1772">
        <v>57821</v>
      </c>
      <c r="J1772">
        <v>17</v>
      </c>
      <c r="K1772">
        <v>37395</v>
      </c>
      <c r="L1772">
        <v>13</v>
      </c>
      <c r="M1772">
        <v>46</v>
      </c>
      <c r="N1772">
        <v>216</v>
      </c>
      <c r="O1772">
        <f t="shared" si="54"/>
        <v>2025</v>
      </c>
      <c r="P1772">
        <f t="shared" si="55"/>
        <v>5</v>
      </c>
      <c r="Q1772" t="s">
        <v>570</v>
      </c>
      <c r="R1772" s="546" t="s">
        <v>804</v>
      </c>
    </row>
    <row r="1773" spans="1:18" x14ac:dyDescent="0.3">
      <c r="A1773" t="s">
        <v>627</v>
      </c>
      <c r="B1773" s="16">
        <v>45808</v>
      </c>
      <c r="C1773" t="s">
        <v>3</v>
      </c>
      <c r="D1773" t="s">
        <v>252</v>
      </c>
      <c r="E1773">
        <v>10</v>
      </c>
      <c r="F1773">
        <v>9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10</v>
      </c>
      <c r="O1773">
        <f t="shared" si="54"/>
        <v>2025</v>
      </c>
      <c r="P1773">
        <f t="shared" si="55"/>
        <v>5</v>
      </c>
      <c r="Q1773" t="s">
        <v>570</v>
      </c>
      <c r="R1773" s="546" t="s">
        <v>804</v>
      </c>
    </row>
    <row r="1774" spans="1:18" x14ac:dyDescent="0.3">
      <c r="A1774" t="s">
        <v>627</v>
      </c>
      <c r="B1774" s="16">
        <v>45808</v>
      </c>
      <c r="C1774" t="s">
        <v>3</v>
      </c>
      <c r="D1774" t="s">
        <v>117</v>
      </c>
      <c r="E1774">
        <v>1</v>
      </c>
      <c r="F1774">
        <v>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</v>
      </c>
      <c r="O1774">
        <f t="shared" si="54"/>
        <v>2025</v>
      </c>
      <c r="P1774">
        <f t="shared" si="55"/>
        <v>5</v>
      </c>
      <c r="Q1774" t="s">
        <v>570</v>
      </c>
      <c r="R1774" s="546" t="s">
        <v>804</v>
      </c>
    </row>
    <row r="1775" spans="1:18" x14ac:dyDescent="0.3">
      <c r="A1775" t="s">
        <v>627</v>
      </c>
      <c r="B1775" s="16">
        <v>45808</v>
      </c>
      <c r="C1775" t="s">
        <v>3</v>
      </c>
      <c r="D1775" t="s">
        <v>391</v>
      </c>
      <c r="E1775">
        <v>509</v>
      </c>
      <c r="F1775">
        <v>302</v>
      </c>
      <c r="G1775">
        <v>17</v>
      </c>
      <c r="H1775">
        <v>1</v>
      </c>
      <c r="I1775">
        <v>38420</v>
      </c>
      <c r="J1775">
        <v>10</v>
      </c>
      <c r="K1775">
        <v>29535</v>
      </c>
      <c r="L1775">
        <v>8</v>
      </c>
      <c r="M1775">
        <v>72</v>
      </c>
      <c r="N1775">
        <v>506</v>
      </c>
      <c r="O1775">
        <f t="shared" ref="O1775:O1838" si="56">YEAR(B1775)</f>
        <v>2025</v>
      </c>
      <c r="P1775">
        <f t="shared" ref="P1775:P1838" si="57">MONTH(B1775)</f>
        <v>5</v>
      </c>
      <c r="Q1775" t="s">
        <v>570</v>
      </c>
      <c r="R1775" s="546" t="s">
        <v>804</v>
      </c>
    </row>
    <row r="1776" spans="1:18" x14ac:dyDescent="0.3">
      <c r="A1776" t="s">
        <v>627</v>
      </c>
      <c r="B1776" s="16">
        <v>45808</v>
      </c>
      <c r="C1776" t="s">
        <v>3</v>
      </c>
      <c r="D1776" t="s">
        <v>114</v>
      </c>
      <c r="E1776">
        <v>131</v>
      </c>
      <c r="F1776">
        <v>60</v>
      </c>
      <c r="G1776">
        <v>6</v>
      </c>
      <c r="H1776">
        <v>3</v>
      </c>
      <c r="I1776">
        <v>2490</v>
      </c>
      <c r="J1776">
        <v>1</v>
      </c>
      <c r="K1776">
        <v>0</v>
      </c>
      <c r="L1776">
        <v>0</v>
      </c>
      <c r="M1776">
        <v>13</v>
      </c>
      <c r="N1776">
        <v>130</v>
      </c>
      <c r="O1776">
        <f t="shared" si="56"/>
        <v>2025</v>
      </c>
      <c r="P1776">
        <f t="shared" si="57"/>
        <v>5</v>
      </c>
      <c r="Q1776" t="s">
        <v>570</v>
      </c>
      <c r="R1776" s="546" t="s">
        <v>804</v>
      </c>
    </row>
    <row r="1777" spans="1:18" x14ac:dyDescent="0.3">
      <c r="A1777" t="s">
        <v>627</v>
      </c>
      <c r="B1777" s="16">
        <v>45808</v>
      </c>
      <c r="C1777" t="s">
        <v>3</v>
      </c>
      <c r="D1777" t="s">
        <v>113</v>
      </c>
      <c r="E1777">
        <v>104</v>
      </c>
      <c r="F1777">
        <v>46</v>
      </c>
      <c r="G1777">
        <v>7</v>
      </c>
      <c r="H1777">
        <v>2</v>
      </c>
      <c r="I1777">
        <v>4470</v>
      </c>
      <c r="J1777">
        <v>2</v>
      </c>
      <c r="K1777">
        <v>2980</v>
      </c>
      <c r="L1777">
        <v>2</v>
      </c>
      <c r="M1777">
        <v>88</v>
      </c>
      <c r="N1777">
        <v>59</v>
      </c>
      <c r="O1777">
        <f t="shared" si="56"/>
        <v>2025</v>
      </c>
      <c r="P1777">
        <f t="shared" si="57"/>
        <v>5</v>
      </c>
      <c r="Q1777" t="s">
        <v>570</v>
      </c>
      <c r="R1777" s="546" t="s">
        <v>804</v>
      </c>
    </row>
    <row r="1778" spans="1:18" x14ac:dyDescent="0.3">
      <c r="A1778" t="s">
        <v>627</v>
      </c>
      <c r="B1778" s="16">
        <v>45808</v>
      </c>
      <c r="C1778" t="s">
        <v>3</v>
      </c>
      <c r="D1778" t="s">
        <v>112</v>
      </c>
      <c r="E1778">
        <v>23</v>
      </c>
      <c r="F1778">
        <v>9</v>
      </c>
      <c r="G1778">
        <v>2</v>
      </c>
      <c r="H1778">
        <v>0</v>
      </c>
      <c r="I1778">
        <v>9365</v>
      </c>
      <c r="J1778">
        <v>4</v>
      </c>
      <c r="K1778">
        <v>6185</v>
      </c>
      <c r="L1778">
        <v>3</v>
      </c>
      <c r="M1778">
        <v>1</v>
      </c>
      <c r="N1778">
        <v>23</v>
      </c>
      <c r="O1778">
        <f t="shared" si="56"/>
        <v>2025</v>
      </c>
      <c r="P1778">
        <f t="shared" si="57"/>
        <v>5</v>
      </c>
      <c r="Q1778" t="s">
        <v>570</v>
      </c>
      <c r="R1778" s="546" t="s">
        <v>804</v>
      </c>
    </row>
    <row r="1779" spans="1:18" x14ac:dyDescent="0.3">
      <c r="A1779" t="s">
        <v>627</v>
      </c>
      <c r="B1779" s="16">
        <v>45808</v>
      </c>
      <c r="C1779" t="s">
        <v>3</v>
      </c>
      <c r="D1779" t="s">
        <v>111</v>
      </c>
      <c r="E1779">
        <v>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3</v>
      </c>
      <c r="O1779">
        <f t="shared" si="56"/>
        <v>2025</v>
      </c>
      <c r="P1779">
        <f t="shared" si="57"/>
        <v>5</v>
      </c>
      <c r="Q1779" t="s">
        <v>570</v>
      </c>
      <c r="R1779" s="546" t="s">
        <v>804</v>
      </c>
    </row>
    <row r="1780" spans="1:18" x14ac:dyDescent="0.3">
      <c r="A1780" t="s">
        <v>627</v>
      </c>
      <c r="B1780" s="16">
        <v>45807</v>
      </c>
      <c r="C1780" t="s">
        <v>2</v>
      </c>
      <c r="D1780" t="s">
        <v>4</v>
      </c>
      <c r="E1780">
        <v>329</v>
      </c>
      <c r="F1780">
        <v>125</v>
      </c>
      <c r="G1780">
        <v>5</v>
      </c>
      <c r="H1780">
        <v>1</v>
      </c>
      <c r="I1780">
        <v>7565</v>
      </c>
      <c r="J1780">
        <v>2</v>
      </c>
      <c r="K1780">
        <v>4690</v>
      </c>
      <c r="L1780">
        <v>1</v>
      </c>
      <c r="M1780">
        <v>1</v>
      </c>
      <c r="N1780">
        <v>328</v>
      </c>
      <c r="O1780">
        <f t="shared" si="56"/>
        <v>2025</v>
      </c>
      <c r="P1780">
        <f t="shared" si="57"/>
        <v>5</v>
      </c>
      <c r="Q1780" t="s">
        <v>570</v>
      </c>
      <c r="R1780" s="546" t="s">
        <v>804</v>
      </c>
    </row>
    <row r="1781" spans="1:18" x14ac:dyDescent="0.3">
      <c r="A1781" t="s">
        <v>627</v>
      </c>
      <c r="B1781" s="16">
        <v>45807</v>
      </c>
      <c r="C1781" t="s">
        <v>2</v>
      </c>
      <c r="D1781" t="s">
        <v>57</v>
      </c>
      <c r="E1781">
        <v>16202</v>
      </c>
      <c r="F1781">
        <v>11175</v>
      </c>
      <c r="G1781">
        <v>209</v>
      </c>
      <c r="H1781">
        <v>226</v>
      </c>
      <c r="I1781">
        <v>106717</v>
      </c>
      <c r="J1781">
        <v>26</v>
      </c>
      <c r="K1781">
        <v>46749</v>
      </c>
      <c r="L1781">
        <v>16</v>
      </c>
      <c r="M1781">
        <v>1013</v>
      </c>
      <c r="N1781">
        <v>16001</v>
      </c>
      <c r="O1781">
        <f t="shared" si="56"/>
        <v>2025</v>
      </c>
      <c r="P1781">
        <f t="shared" si="57"/>
        <v>5</v>
      </c>
      <c r="Q1781" t="s">
        <v>570</v>
      </c>
      <c r="R1781" s="546" t="s">
        <v>804</v>
      </c>
    </row>
    <row r="1782" spans="1:18" x14ac:dyDescent="0.3">
      <c r="A1782" t="s">
        <v>627</v>
      </c>
      <c r="B1782" s="16">
        <v>45807</v>
      </c>
      <c r="C1782" t="s">
        <v>2</v>
      </c>
      <c r="D1782" t="s">
        <v>52</v>
      </c>
      <c r="E1782">
        <v>4</v>
      </c>
      <c r="F1782">
        <v>2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3</v>
      </c>
      <c r="O1782">
        <f t="shared" si="56"/>
        <v>2025</v>
      </c>
      <c r="P1782">
        <f t="shared" si="57"/>
        <v>5</v>
      </c>
      <c r="Q1782" t="s">
        <v>570</v>
      </c>
      <c r="R1782" s="546" t="s">
        <v>804</v>
      </c>
    </row>
    <row r="1783" spans="1:18" x14ac:dyDescent="0.3">
      <c r="A1783" t="s">
        <v>627</v>
      </c>
      <c r="B1783" s="16">
        <v>45807</v>
      </c>
      <c r="C1783" t="s">
        <v>2</v>
      </c>
      <c r="D1783" t="s">
        <v>55</v>
      </c>
      <c r="E1783">
        <v>1143</v>
      </c>
      <c r="F1783">
        <v>927</v>
      </c>
      <c r="G1783">
        <v>9</v>
      </c>
      <c r="H1783">
        <v>3</v>
      </c>
      <c r="I1783">
        <v>0</v>
      </c>
      <c r="J1783">
        <v>0</v>
      </c>
      <c r="K1783">
        <v>0</v>
      </c>
      <c r="L1783">
        <v>0</v>
      </c>
      <c r="M1783">
        <v>21</v>
      </c>
      <c r="N1783">
        <v>197</v>
      </c>
      <c r="O1783">
        <f t="shared" si="56"/>
        <v>2025</v>
      </c>
      <c r="P1783">
        <f t="shared" si="57"/>
        <v>5</v>
      </c>
      <c r="Q1783" t="s">
        <v>570</v>
      </c>
      <c r="R1783" s="546" t="s">
        <v>804</v>
      </c>
    </row>
    <row r="1784" spans="1:18" x14ac:dyDescent="0.3">
      <c r="A1784" t="s">
        <v>627</v>
      </c>
      <c r="B1784" s="16">
        <v>45807</v>
      </c>
      <c r="C1784" t="s">
        <v>3</v>
      </c>
      <c r="D1784" t="s">
        <v>155</v>
      </c>
      <c r="E1784">
        <v>5</v>
      </c>
      <c r="F1784">
        <v>3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5</v>
      </c>
      <c r="O1784">
        <f t="shared" si="56"/>
        <v>2025</v>
      </c>
      <c r="P1784">
        <f t="shared" si="57"/>
        <v>5</v>
      </c>
      <c r="Q1784" t="s">
        <v>570</v>
      </c>
      <c r="R1784" s="546" t="s">
        <v>804</v>
      </c>
    </row>
    <row r="1785" spans="1:18" x14ac:dyDescent="0.3">
      <c r="A1785" t="s">
        <v>627</v>
      </c>
      <c r="B1785" s="16">
        <v>45807</v>
      </c>
      <c r="C1785" t="s">
        <v>3</v>
      </c>
      <c r="D1785" t="s">
        <v>154</v>
      </c>
      <c r="E1785">
        <v>764</v>
      </c>
      <c r="F1785">
        <v>697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f t="shared" si="56"/>
        <v>2025</v>
      </c>
      <c r="P1785">
        <f t="shared" si="57"/>
        <v>5</v>
      </c>
      <c r="Q1785" t="s">
        <v>570</v>
      </c>
      <c r="R1785" s="546" t="s">
        <v>804</v>
      </c>
    </row>
    <row r="1786" spans="1:18" x14ac:dyDescent="0.3">
      <c r="A1786" t="s">
        <v>627</v>
      </c>
      <c r="B1786" s="16">
        <v>45807</v>
      </c>
      <c r="C1786" t="s">
        <v>3</v>
      </c>
      <c r="D1786" t="s">
        <v>153</v>
      </c>
      <c r="E1786">
        <v>328</v>
      </c>
      <c r="F1786">
        <v>57</v>
      </c>
      <c r="G1786">
        <v>24</v>
      </c>
      <c r="H1786">
        <v>2</v>
      </c>
      <c r="I1786">
        <v>83234</v>
      </c>
      <c r="J1786">
        <v>29</v>
      </c>
      <c r="K1786">
        <v>73279</v>
      </c>
      <c r="L1786">
        <v>26</v>
      </c>
      <c r="M1786">
        <v>82</v>
      </c>
      <c r="N1786">
        <v>311</v>
      </c>
      <c r="O1786">
        <f t="shared" si="56"/>
        <v>2025</v>
      </c>
      <c r="P1786">
        <f t="shared" si="57"/>
        <v>5</v>
      </c>
      <c r="Q1786" t="s">
        <v>570</v>
      </c>
      <c r="R1786" s="546" t="s">
        <v>804</v>
      </c>
    </row>
    <row r="1787" spans="1:18" x14ac:dyDescent="0.3">
      <c r="A1787" t="s">
        <v>627</v>
      </c>
      <c r="B1787" s="16">
        <v>45807</v>
      </c>
      <c r="C1787" t="s">
        <v>3</v>
      </c>
      <c r="D1787" t="s">
        <v>152</v>
      </c>
      <c r="E1787">
        <v>31</v>
      </c>
      <c r="F1787">
        <v>20</v>
      </c>
      <c r="G1787">
        <v>2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2</v>
      </c>
      <c r="N1787">
        <v>24</v>
      </c>
      <c r="O1787">
        <f t="shared" si="56"/>
        <v>2025</v>
      </c>
      <c r="P1787">
        <f t="shared" si="57"/>
        <v>5</v>
      </c>
      <c r="Q1787" t="s">
        <v>570</v>
      </c>
      <c r="R1787" s="546" t="s">
        <v>804</v>
      </c>
    </row>
    <row r="1788" spans="1:18" x14ac:dyDescent="0.3">
      <c r="A1788" t="s">
        <v>627</v>
      </c>
      <c r="B1788" s="16">
        <v>45807</v>
      </c>
      <c r="C1788" t="s">
        <v>3</v>
      </c>
      <c r="D1788" t="s">
        <v>150</v>
      </c>
      <c r="E1788">
        <v>3</v>
      </c>
      <c r="F1788">
        <v>1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3</v>
      </c>
      <c r="O1788">
        <f t="shared" si="56"/>
        <v>2025</v>
      </c>
      <c r="P1788">
        <f t="shared" si="57"/>
        <v>5</v>
      </c>
      <c r="Q1788" t="s">
        <v>570</v>
      </c>
      <c r="R1788" s="546" t="s">
        <v>804</v>
      </c>
    </row>
    <row r="1789" spans="1:18" x14ac:dyDescent="0.3">
      <c r="A1789" t="s">
        <v>627</v>
      </c>
      <c r="B1789" s="16">
        <v>45807</v>
      </c>
      <c r="C1789" t="s">
        <v>3</v>
      </c>
      <c r="D1789" t="s">
        <v>149</v>
      </c>
      <c r="E1789">
        <v>16</v>
      </c>
      <c r="F1789">
        <v>7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4</v>
      </c>
      <c r="N1789">
        <v>11</v>
      </c>
      <c r="O1789">
        <f t="shared" si="56"/>
        <v>2025</v>
      </c>
      <c r="P1789">
        <f t="shared" si="57"/>
        <v>5</v>
      </c>
      <c r="Q1789" t="s">
        <v>570</v>
      </c>
      <c r="R1789" s="546" t="s">
        <v>804</v>
      </c>
    </row>
    <row r="1790" spans="1:18" x14ac:dyDescent="0.3">
      <c r="A1790" t="s">
        <v>627</v>
      </c>
      <c r="B1790" s="16">
        <v>45807</v>
      </c>
      <c r="C1790" t="s">
        <v>3</v>
      </c>
      <c r="D1790" t="s">
        <v>148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1</v>
      </c>
      <c r="O1790">
        <f t="shared" si="56"/>
        <v>2025</v>
      </c>
      <c r="P1790">
        <f t="shared" si="57"/>
        <v>5</v>
      </c>
      <c r="Q1790" t="s">
        <v>570</v>
      </c>
      <c r="R1790" s="546" t="s">
        <v>804</v>
      </c>
    </row>
    <row r="1791" spans="1:18" x14ac:dyDescent="0.3">
      <c r="A1791" t="s">
        <v>627</v>
      </c>
      <c r="B1791" s="16">
        <v>45807</v>
      </c>
      <c r="C1791" t="s">
        <v>3</v>
      </c>
      <c r="D1791" t="s">
        <v>251</v>
      </c>
      <c r="E1791">
        <v>1779</v>
      </c>
      <c r="F1791">
        <v>1588</v>
      </c>
      <c r="G1791">
        <v>17</v>
      </c>
      <c r="H1791">
        <v>5</v>
      </c>
      <c r="I1791">
        <v>21055</v>
      </c>
      <c r="J1791">
        <v>6</v>
      </c>
      <c r="K1791">
        <v>21055</v>
      </c>
      <c r="L1791">
        <v>6</v>
      </c>
      <c r="M1791">
        <v>81</v>
      </c>
      <c r="N1791">
        <v>171</v>
      </c>
      <c r="O1791">
        <f t="shared" si="56"/>
        <v>2025</v>
      </c>
      <c r="P1791">
        <f t="shared" si="57"/>
        <v>5</v>
      </c>
      <c r="Q1791" t="s">
        <v>570</v>
      </c>
      <c r="R1791" s="546" t="s">
        <v>804</v>
      </c>
    </row>
    <row r="1792" spans="1:18" x14ac:dyDescent="0.3">
      <c r="A1792" t="s">
        <v>627</v>
      </c>
      <c r="B1792" s="16">
        <v>45807</v>
      </c>
      <c r="C1792" t="s">
        <v>3</v>
      </c>
      <c r="D1792" t="s">
        <v>143</v>
      </c>
      <c r="E1792">
        <v>35</v>
      </c>
      <c r="F1792">
        <v>33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35</v>
      </c>
      <c r="O1792">
        <f t="shared" si="56"/>
        <v>2025</v>
      </c>
      <c r="P1792">
        <f t="shared" si="57"/>
        <v>5</v>
      </c>
      <c r="Q1792" t="s">
        <v>570</v>
      </c>
      <c r="R1792" s="546" t="s">
        <v>804</v>
      </c>
    </row>
    <row r="1793" spans="1:18" x14ac:dyDescent="0.3">
      <c r="A1793" t="s">
        <v>627</v>
      </c>
      <c r="B1793" s="16">
        <v>45807</v>
      </c>
      <c r="C1793" t="s">
        <v>3</v>
      </c>
      <c r="D1793" t="s">
        <v>141</v>
      </c>
      <c r="E1793">
        <v>307</v>
      </c>
      <c r="F1793">
        <v>158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307</v>
      </c>
      <c r="O1793">
        <f t="shared" si="56"/>
        <v>2025</v>
      </c>
      <c r="P1793">
        <f t="shared" si="57"/>
        <v>5</v>
      </c>
      <c r="Q1793" t="s">
        <v>570</v>
      </c>
      <c r="R1793" s="546" t="s">
        <v>804</v>
      </c>
    </row>
    <row r="1794" spans="1:18" x14ac:dyDescent="0.3">
      <c r="A1794" t="s">
        <v>627</v>
      </c>
      <c r="B1794" s="16">
        <v>45807</v>
      </c>
      <c r="C1794" t="s">
        <v>3</v>
      </c>
      <c r="D1794" t="s">
        <v>140</v>
      </c>
      <c r="E1794">
        <v>2</v>
      </c>
      <c r="F1794">
        <v>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2</v>
      </c>
      <c r="O1794">
        <f t="shared" si="56"/>
        <v>2025</v>
      </c>
      <c r="P1794">
        <f t="shared" si="57"/>
        <v>5</v>
      </c>
      <c r="Q1794" t="s">
        <v>570</v>
      </c>
      <c r="R1794" s="546" t="s">
        <v>804</v>
      </c>
    </row>
    <row r="1795" spans="1:18" x14ac:dyDescent="0.3">
      <c r="A1795" t="s">
        <v>627</v>
      </c>
      <c r="B1795" s="16">
        <v>45807</v>
      </c>
      <c r="C1795" t="s">
        <v>3</v>
      </c>
      <c r="D1795" t="s">
        <v>139</v>
      </c>
      <c r="E1795">
        <v>669</v>
      </c>
      <c r="F1795">
        <v>398</v>
      </c>
      <c r="G1795">
        <v>37</v>
      </c>
      <c r="H1795">
        <v>8</v>
      </c>
      <c r="I1795">
        <v>39655.86</v>
      </c>
      <c r="J1795">
        <v>13</v>
      </c>
      <c r="K1795">
        <v>33051.86</v>
      </c>
      <c r="L1795">
        <v>11</v>
      </c>
      <c r="M1795">
        <v>231</v>
      </c>
      <c r="N1795">
        <v>429</v>
      </c>
      <c r="O1795">
        <f t="shared" si="56"/>
        <v>2025</v>
      </c>
      <c r="P1795">
        <f t="shared" si="57"/>
        <v>5</v>
      </c>
      <c r="Q1795" t="s">
        <v>570</v>
      </c>
      <c r="R1795" s="546" t="s">
        <v>804</v>
      </c>
    </row>
    <row r="1796" spans="1:18" x14ac:dyDescent="0.3">
      <c r="A1796" t="s">
        <v>627</v>
      </c>
      <c r="B1796" s="16">
        <v>45807</v>
      </c>
      <c r="C1796" t="s">
        <v>3</v>
      </c>
      <c r="D1796" t="s">
        <v>138</v>
      </c>
      <c r="E1796">
        <v>5</v>
      </c>
      <c r="F1796">
        <v>4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5</v>
      </c>
      <c r="O1796">
        <f t="shared" si="56"/>
        <v>2025</v>
      </c>
      <c r="P1796">
        <f t="shared" si="57"/>
        <v>5</v>
      </c>
      <c r="Q1796" t="s">
        <v>570</v>
      </c>
      <c r="R1796" s="546" t="s">
        <v>804</v>
      </c>
    </row>
    <row r="1797" spans="1:18" x14ac:dyDescent="0.3">
      <c r="A1797" t="s">
        <v>627</v>
      </c>
      <c r="B1797" s="16">
        <v>45807</v>
      </c>
      <c r="C1797" t="s">
        <v>3</v>
      </c>
      <c r="D1797" t="s">
        <v>135</v>
      </c>
      <c r="E1797">
        <v>64</v>
      </c>
      <c r="F1797">
        <v>41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10</v>
      </c>
      <c r="O1797">
        <f t="shared" si="56"/>
        <v>2025</v>
      </c>
      <c r="P1797">
        <f t="shared" si="57"/>
        <v>5</v>
      </c>
      <c r="Q1797" t="s">
        <v>570</v>
      </c>
      <c r="R1797" s="546" t="s">
        <v>804</v>
      </c>
    </row>
    <row r="1798" spans="1:18" x14ac:dyDescent="0.3">
      <c r="A1798" t="s">
        <v>627</v>
      </c>
      <c r="B1798" s="16">
        <v>45807</v>
      </c>
      <c r="C1798" t="s">
        <v>3</v>
      </c>
      <c r="D1798" t="s">
        <v>133</v>
      </c>
      <c r="E1798">
        <v>18</v>
      </c>
      <c r="F1798">
        <v>10</v>
      </c>
      <c r="G1798">
        <v>2</v>
      </c>
      <c r="H1798">
        <v>0</v>
      </c>
      <c r="I1798">
        <v>7221.25</v>
      </c>
      <c r="J1798">
        <v>3</v>
      </c>
      <c r="K1798">
        <v>4346.25</v>
      </c>
      <c r="L1798">
        <v>2</v>
      </c>
      <c r="M1798">
        <v>4</v>
      </c>
      <c r="N1798">
        <v>16</v>
      </c>
      <c r="O1798">
        <f t="shared" si="56"/>
        <v>2025</v>
      </c>
      <c r="P1798">
        <f t="shared" si="57"/>
        <v>5</v>
      </c>
      <c r="Q1798" t="s">
        <v>570</v>
      </c>
      <c r="R1798" s="546" t="s">
        <v>804</v>
      </c>
    </row>
    <row r="1799" spans="1:18" x14ac:dyDescent="0.3">
      <c r="A1799" t="s">
        <v>627</v>
      </c>
      <c r="B1799" s="16">
        <v>45807</v>
      </c>
      <c r="C1799" t="s">
        <v>3</v>
      </c>
      <c r="D1799" t="s">
        <v>130</v>
      </c>
      <c r="E1799">
        <v>107</v>
      </c>
      <c r="F1799">
        <v>45</v>
      </c>
      <c r="G1799">
        <v>11</v>
      </c>
      <c r="H1799">
        <v>4</v>
      </c>
      <c r="I1799">
        <v>17740</v>
      </c>
      <c r="J1799">
        <v>4</v>
      </c>
      <c r="K1799">
        <v>17740</v>
      </c>
      <c r="L1799">
        <v>4</v>
      </c>
      <c r="M1799">
        <v>27</v>
      </c>
      <c r="N1799">
        <v>101</v>
      </c>
      <c r="O1799">
        <f t="shared" si="56"/>
        <v>2025</v>
      </c>
      <c r="P1799">
        <f t="shared" si="57"/>
        <v>5</v>
      </c>
      <c r="Q1799" t="s">
        <v>570</v>
      </c>
      <c r="R1799" s="546" t="s">
        <v>804</v>
      </c>
    </row>
    <row r="1800" spans="1:18" x14ac:dyDescent="0.3">
      <c r="A1800" t="s">
        <v>627</v>
      </c>
      <c r="B1800" s="16">
        <v>45807</v>
      </c>
      <c r="C1800" t="s">
        <v>3</v>
      </c>
      <c r="D1800" t="s">
        <v>128</v>
      </c>
      <c r="E1800">
        <v>730</v>
      </c>
      <c r="F1800">
        <v>536</v>
      </c>
      <c r="G1800">
        <v>24</v>
      </c>
      <c r="H1800">
        <v>12</v>
      </c>
      <c r="I1800">
        <v>6630.61</v>
      </c>
      <c r="J1800">
        <v>4</v>
      </c>
      <c r="K1800">
        <v>1960.61</v>
      </c>
      <c r="L1800">
        <v>1</v>
      </c>
      <c r="M1800">
        <v>319</v>
      </c>
      <c r="N1800">
        <v>545</v>
      </c>
      <c r="O1800">
        <f t="shared" si="56"/>
        <v>2025</v>
      </c>
      <c r="P1800">
        <f t="shared" si="57"/>
        <v>5</v>
      </c>
      <c r="Q1800" t="s">
        <v>570</v>
      </c>
      <c r="R1800" s="546" t="s">
        <v>804</v>
      </c>
    </row>
    <row r="1801" spans="1:18" x14ac:dyDescent="0.3">
      <c r="A1801" t="s">
        <v>627</v>
      </c>
      <c r="B1801" s="16">
        <v>45807</v>
      </c>
      <c r="C1801" t="s">
        <v>3</v>
      </c>
      <c r="D1801" t="s">
        <v>127</v>
      </c>
      <c r="E1801">
        <v>9283</v>
      </c>
      <c r="F1801">
        <v>8084</v>
      </c>
      <c r="G1801">
        <v>60</v>
      </c>
      <c r="H1801">
        <v>47</v>
      </c>
      <c r="I1801">
        <v>14450</v>
      </c>
      <c r="J1801">
        <v>6</v>
      </c>
      <c r="K1801">
        <v>11700</v>
      </c>
      <c r="L1801">
        <v>6</v>
      </c>
      <c r="M1801">
        <v>515</v>
      </c>
      <c r="N1801">
        <v>8804</v>
      </c>
      <c r="O1801">
        <f t="shared" si="56"/>
        <v>2025</v>
      </c>
      <c r="P1801">
        <f t="shared" si="57"/>
        <v>5</v>
      </c>
      <c r="Q1801" t="s">
        <v>570</v>
      </c>
      <c r="R1801" s="546" t="s">
        <v>804</v>
      </c>
    </row>
    <row r="1802" spans="1:18" x14ac:dyDescent="0.3">
      <c r="A1802" t="s">
        <v>627</v>
      </c>
      <c r="B1802" s="16">
        <v>45807</v>
      </c>
      <c r="C1802" t="s">
        <v>3</v>
      </c>
      <c r="D1802" t="s">
        <v>126</v>
      </c>
      <c r="E1802">
        <v>78</v>
      </c>
      <c r="F1802">
        <v>59</v>
      </c>
      <c r="G1802">
        <v>7</v>
      </c>
      <c r="H1802">
        <v>2</v>
      </c>
      <c r="I1802">
        <v>0</v>
      </c>
      <c r="J1802">
        <v>0</v>
      </c>
      <c r="K1802">
        <v>0</v>
      </c>
      <c r="L1802">
        <v>0</v>
      </c>
      <c r="M1802">
        <v>15</v>
      </c>
      <c r="N1802">
        <v>72</v>
      </c>
      <c r="O1802">
        <f t="shared" si="56"/>
        <v>2025</v>
      </c>
      <c r="P1802">
        <f t="shared" si="57"/>
        <v>5</v>
      </c>
      <c r="Q1802" t="s">
        <v>570</v>
      </c>
      <c r="R1802" s="546" t="s">
        <v>804</v>
      </c>
    </row>
    <row r="1803" spans="1:18" x14ac:dyDescent="0.3">
      <c r="A1803" t="s">
        <v>627</v>
      </c>
      <c r="B1803" s="16">
        <v>45807</v>
      </c>
      <c r="C1803" t="s">
        <v>3</v>
      </c>
      <c r="D1803" t="s">
        <v>125</v>
      </c>
      <c r="E1803">
        <v>2</v>
      </c>
      <c r="F1803">
        <v>1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2</v>
      </c>
      <c r="O1803">
        <f t="shared" si="56"/>
        <v>2025</v>
      </c>
      <c r="P1803">
        <f t="shared" si="57"/>
        <v>5</v>
      </c>
      <c r="Q1803" t="s">
        <v>570</v>
      </c>
      <c r="R1803" s="546" t="s">
        <v>804</v>
      </c>
    </row>
    <row r="1804" spans="1:18" x14ac:dyDescent="0.3">
      <c r="A1804" t="s">
        <v>627</v>
      </c>
      <c r="B1804" s="16">
        <v>45807</v>
      </c>
      <c r="C1804" t="s">
        <v>3</v>
      </c>
      <c r="D1804" t="s">
        <v>123</v>
      </c>
      <c r="E1804">
        <v>288</v>
      </c>
      <c r="F1804">
        <v>181</v>
      </c>
      <c r="G1804">
        <v>9</v>
      </c>
      <c r="H1804">
        <v>3</v>
      </c>
      <c r="I1804">
        <v>11680</v>
      </c>
      <c r="J1804">
        <v>3</v>
      </c>
      <c r="K1804">
        <v>8930</v>
      </c>
      <c r="L1804">
        <v>3</v>
      </c>
      <c r="M1804">
        <v>68</v>
      </c>
      <c r="N1804">
        <v>273</v>
      </c>
      <c r="O1804">
        <f t="shared" si="56"/>
        <v>2025</v>
      </c>
      <c r="P1804">
        <f t="shared" si="57"/>
        <v>5</v>
      </c>
      <c r="Q1804" t="s">
        <v>570</v>
      </c>
      <c r="R1804" s="546" t="s">
        <v>804</v>
      </c>
    </row>
    <row r="1805" spans="1:18" x14ac:dyDescent="0.3">
      <c r="A1805" t="s">
        <v>627</v>
      </c>
      <c r="B1805" s="16">
        <v>45807</v>
      </c>
      <c r="C1805" t="s">
        <v>3</v>
      </c>
      <c r="D1805" t="s">
        <v>121</v>
      </c>
      <c r="E1805">
        <v>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2</v>
      </c>
      <c r="O1805">
        <f t="shared" si="56"/>
        <v>2025</v>
      </c>
      <c r="P1805">
        <f t="shared" si="57"/>
        <v>5</v>
      </c>
      <c r="Q1805" t="s">
        <v>570</v>
      </c>
      <c r="R1805" s="546" t="s">
        <v>804</v>
      </c>
    </row>
    <row r="1806" spans="1:18" x14ac:dyDescent="0.3">
      <c r="A1806" t="s">
        <v>627</v>
      </c>
      <c r="B1806" s="16">
        <v>45807</v>
      </c>
      <c r="C1806" t="s">
        <v>3</v>
      </c>
      <c r="D1806" t="s">
        <v>119</v>
      </c>
      <c r="E1806">
        <v>236</v>
      </c>
      <c r="F1806">
        <v>72</v>
      </c>
      <c r="G1806">
        <v>21</v>
      </c>
      <c r="H1806">
        <v>7</v>
      </c>
      <c r="I1806">
        <v>25743</v>
      </c>
      <c r="J1806">
        <v>7</v>
      </c>
      <c r="K1806">
        <v>20478</v>
      </c>
      <c r="L1806">
        <v>6</v>
      </c>
      <c r="M1806">
        <v>53</v>
      </c>
      <c r="N1806">
        <v>226</v>
      </c>
      <c r="O1806">
        <f t="shared" si="56"/>
        <v>2025</v>
      </c>
      <c r="P1806">
        <f t="shared" si="57"/>
        <v>5</v>
      </c>
      <c r="Q1806" t="s">
        <v>570</v>
      </c>
      <c r="R1806" s="546" t="s">
        <v>804</v>
      </c>
    </row>
    <row r="1807" spans="1:18" x14ac:dyDescent="0.3">
      <c r="A1807" t="s">
        <v>627</v>
      </c>
      <c r="B1807" s="16">
        <v>45807</v>
      </c>
      <c r="C1807" t="s">
        <v>3</v>
      </c>
      <c r="D1807" t="s">
        <v>252</v>
      </c>
      <c r="E1807">
        <v>6</v>
      </c>
      <c r="F1807">
        <v>6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6</v>
      </c>
      <c r="O1807">
        <f t="shared" si="56"/>
        <v>2025</v>
      </c>
      <c r="P1807">
        <f t="shared" si="57"/>
        <v>5</v>
      </c>
      <c r="Q1807" t="s">
        <v>570</v>
      </c>
      <c r="R1807" s="546" t="s">
        <v>804</v>
      </c>
    </row>
    <row r="1808" spans="1:18" x14ac:dyDescent="0.3">
      <c r="A1808" t="s">
        <v>627</v>
      </c>
      <c r="B1808" s="16">
        <v>45807</v>
      </c>
      <c r="C1808" t="s">
        <v>3</v>
      </c>
      <c r="D1808" t="s">
        <v>117</v>
      </c>
      <c r="E1808">
        <v>1</v>
      </c>
      <c r="F1808">
        <v>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f t="shared" si="56"/>
        <v>2025</v>
      </c>
      <c r="P1808">
        <f t="shared" si="57"/>
        <v>5</v>
      </c>
      <c r="Q1808" t="s">
        <v>570</v>
      </c>
      <c r="R1808" s="546" t="s">
        <v>804</v>
      </c>
    </row>
    <row r="1809" spans="1:18" x14ac:dyDescent="0.3">
      <c r="A1809" t="s">
        <v>627</v>
      </c>
      <c r="B1809" s="16">
        <v>45807</v>
      </c>
      <c r="C1809" t="s">
        <v>3</v>
      </c>
      <c r="D1809" t="s">
        <v>391</v>
      </c>
      <c r="E1809">
        <v>447</v>
      </c>
      <c r="F1809">
        <v>229</v>
      </c>
      <c r="G1809">
        <v>14</v>
      </c>
      <c r="H1809">
        <v>0</v>
      </c>
      <c r="I1809">
        <v>24350</v>
      </c>
      <c r="J1809">
        <v>6</v>
      </c>
      <c r="K1809">
        <v>24350</v>
      </c>
      <c r="L1809">
        <v>6</v>
      </c>
      <c r="M1809">
        <v>66</v>
      </c>
      <c r="N1809">
        <v>442</v>
      </c>
      <c r="O1809">
        <f t="shared" si="56"/>
        <v>2025</v>
      </c>
      <c r="P1809">
        <f t="shared" si="57"/>
        <v>5</v>
      </c>
      <c r="Q1809" t="s">
        <v>570</v>
      </c>
      <c r="R1809" s="546" t="s">
        <v>804</v>
      </c>
    </row>
    <row r="1810" spans="1:18" x14ac:dyDescent="0.3">
      <c r="A1810" t="s">
        <v>627</v>
      </c>
      <c r="B1810" s="16">
        <v>45807</v>
      </c>
      <c r="C1810" t="s">
        <v>3</v>
      </c>
      <c r="D1810" t="s">
        <v>114</v>
      </c>
      <c r="E1810">
        <v>102</v>
      </c>
      <c r="F1810">
        <v>61</v>
      </c>
      <c r="G1810">
        <v>0</v>
      </c>
      <c r="H1810">
        <v>0</v>
      </c>
      <c r="I1810">
        <v>3850</v>
      </c>
      <c r="J1810">
        <v>1</v>
      </c>
      <c r="K1810">
        <v>0</v>
      </c>
      <c r="L1810">
        <v>0</v>
      </c>
      <c r="M1810">
        <v>10</v>
      </c>
      <c r="N1810">
        <v>101</v>
      </c>
      <c r="O1810">
        <f t="shared" si="56"/>
        <v>2025</v>
      </c>
      <c r="P1810">
        <f t="shared" si="57"/>
        <v>5</v>
      </c>
      <c r="Q1810" t="s">
        <v>570</v>
      </c>
      <c r="R1810" s="546" t="s">
        <v>804</v>
      </c>
    </row>
    <row r="1811" spans="1:18" x14ac:dyDescent="0.3">
      <c r="A1811" t="s">
        <v>627</v>
      </c>
      <c r="B1811" s="16">
        <v>45807</v>
      </c>
      <c r="C1811" t="s">
        <v>3</v>
      </c>
      <c r="D1811" t="s">
        <v>113</v>
      </c>
      <c r="E1811">
        <v>77</v>
      </c>
      <c r="F1811">
        <v>41</v>
      </c>
      <c r="G1811">
        <v>5</v>
      </c>
      <c r="H1811">
        <v>1</v>
      </c>
      <c r="I1811">
        <v>2515</v>
      </c>
      <c r="J1811">
        <v>1</v>
      </c>
      <c r="K1811">
        <v>0</v>
      </c>
      <c r="L1811">
        <v>0</v>
      </c>
      <c r="M1811">
        <v>59</v>
      </c>
      <c r="N1811">
        <v>53</v>
      </c>
      <c r="O1811">
        <f t="shared" si="56"/>
        <v>2025</v>
      </c>
      <c r="P1811">
        <f t="shared" si="57"/>
        <v>5</v>
      </c>
      <c r="Q1811" t="s">
        <v>570</v>
      </c>
      <c r="R1811" s="546" t="s">
        <v>804</v>
      </c>
    </row>
    <row r="1812" spans="1:18" x14ac:dyDescent="0.3">
      <c r="A1812" t="s">
        <v>627</v>
      </c>
      <c r="B1812" s="16">
        <v>45807</v>
      </c>
      <c r="C1812" t="s">
        <v>3</v>
      </c>
      <c r="D1812" t="s">
        <v>112</v>
      </c>
      <c r="E1812">
        <v>30</v>
      </c>
      <c r="F1812">
        <v>10</v>
      </c>
      <c r="G1812">
        <v>1</v>
      </c>
      <c r="H1812">
        <v>0</v>
      </c>
      <c r="I1812">
        <v>13591</v>
      </c>
      <c r="J1812">
        <v>4</v>
      </c>
      <c r="K1812">
        <v>13591</v>
      </c>
      <c r="L1812">
        <v>4</v>
      </c>
      <c r="M1812">
        <v>0</v>
      </c>
      <c r="N1812">
        <v>30</v>
      </c>
      <c r="O1812">
        <f t="shared" si="56"/>
        <v>2025</v>
      </c>
      <c r="P1812">
        <f t="shared" si="57"/>
        <v>5</v>
      </c>
      <c r="Q1812" t="s">
        <v>570</v>
      </c>
      <c r="R1812" s="546" t="s">
        <v>804</v>
      </c>
    </row>
    <row r="1813" spans="1:18" x14ac:dyDescent="0.3">
      <c r="A1813" t="s">
        <v>627</v>
      </c>
      <c r="B1813" s="16">
        <v>45807</v>
      </c>
      <c r="C1813" t="s">
        <v>3</v>
      </c>
      <c r="D1813" t="s">
        <v>111</v>
      </c>
      <c r="E1813">
        <v>4</v>
      </c>
      <c r="F1813">
        <v>1</v>
      </c>
      <c r="G1813">
        <v>0</v>
      </c>
      <c r="H1813">
        <v>0</v>
      </c>
      <c r="I1813">
        <v>2298</v>
      </c>
      <c r="J1813">
        <v>1</v>
      </c>
      <c r="K1813">
        <v>2298</v>
      </c>
      <c r="L1813">
        <v>1</v>
      </c>
      <c r="M1813">
        <v>0</v>
      </c>
      <c r="N1813">
        <v>4</v>
      </c>
      <c r="O1813">
        <f t="shared" si="56"/>
        <v>2025</v>
      </c>
      <c r="P1813">
        <f t="shared" si="57"/>
        <v>5</v>
      </c>
      <c r="Q1813" t="s">
        <v>570</v>
      </c>
      <c r="R1813" s="546" t="s">
        <v>804</v>
      </c>
    </row>
    <row r="1814" spans="1:18" x14ac:dyDescent="0.3">
      <c r="A1814" t="s">
        <v>627</v>
      </c>
      <c r="B1814" s="16">
        <v>45806</v>
      </c>
      <c r="C1814" t="s">
        <v>2</v>
      </c>
      <c r="D1814" t="s">
        <v>4</v>
      </c>
      <c r="E1814">
        <v>339</v>
      </c>
      <c r="F1814">
        <v>124</v>
      </c>
      <c r="G1814">
        <v>5</v>
      </c>
      <c r="H1814">
        <v>2</v>
      </c>
      <c r="I1814">
        <v>8801.0300000000007</v>
      </c>
      <c r="J1814">
        <v>3</v>
      </c>
      <c r="K1814">
        <v>8801.0300000000007</v>
      </c>
      <c r="L1814">
        <v>3</v>
      </c>
      <c r="M1814">
        <v>2</v>
      </c>
      <c r="N1814">
        <v>337</v>
      </c>
      <c r="O1814">
        <f t="shared" si="56"/>
        <v>2025</v>
      </c>
      <c r="P1814">
        <f t="shared" si="57"/>
        <v>5</v>
      </c>
      <c r="Q1814" t="s">
        <v>570</v>
      </c>
      <c r="R1814" s="546" t="s">
        <v>804</v>
      </c>
    </row>
    <row r="1815" spans="1:18" x14ac:dyDescent="0.3">
      <c r="A1815" t="s">
        <v>627</v>
      </c>
      <c r="B1815" s="16">
        <v>45806</v>
      </c>
      <c r="C1815" t="s">
        <v>2</v>
      </c>
      <c r="D1815" t="s">
        <v>57</v>
      </c>
      <c r="E1815">
        <v>17388</v>
      </c>
      <c r="F1815">
        <v>12036</v>
      </c>
      <c r="G1815">
        <v>250</v>
      </c>
      <c r="H1815">
        <v>240</v>
      </c>
      <c r="I1815">
        <v>156884</v>
      </c>
      <c r="J1815">
        <v>42</v>
      </c>
      <c r="K1815">
        <v>90352</v>
      </c>
      <c r="L1815">
        <v>28</v>
      </c>
      <c r="M1815">
        <v>1208</v>
      </c>
      <c r="N1815">
        <v>17165</v>
      </c>
      <c r="O1815">
        <f t="shared" si="56"/>
        <v>2025</v>
      </c>
      <c r="P1815">
        <f t="shared" si="57"/>
        <v>5</v>
      </c>
      <c r="Q1815" t="s">
        <v>570</v>
      </c>
      <c r="R1815" s="546" t="s">
        <v>804</v>
      </c>
    </row>
    <row r="1816" spans="1:18" x14ac:dyDescent="0.3">
      <c r="A1816" t="s">
        <v>627</v>
      </c>
      <c r="B1816" s="16">
        <v>45806</v>
      </c>
      <c r="C1816" t="s">
        <v>2</v>
      </c>
      <c r="D1816" t="s">
        <v>52</v>
      </c>
      <c r="E1816">
        <v>1</v>
      </c>
      <c r="F1816">
        <v>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f t="shared" si="56"/>
        <v>2025</v>
      </c>
      <c r="P1816">
        <f t="shared" si="57"/>
        <v>5</v>
      </c>
      <c r="Q1816" t="s">
        <v>570</v>
      </c>
      <c r="R1816" s="546" t="s">
        <v>804</v>
      </c>
    </row>
    <row r="1817" spans="1:18" x14ac:dyDescent="0.3">
      <c r="A1817" t="s">
        <v>627</v>
      </c>
      <c r="B1817" s="16">
        <v>45806</v>
      </c>
      <c r="C1817" t="s">
        <v>2</v>
      </c>
      <c r="D1817" t="s">
        <v>55</v>
      </c>
      <c r="E1817">
        <v>1377</v>
      </c>
      <c r="F1817">
        <v>1273</v>
      </c>
      <c r="G1817">
        <v>5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9</v>
      </c>
      <c r="N1817">
        <v>189</v>
      </c>
      <c r="O1817">
        <f t="shared" si="56"/>
        <v>2025</v>
      </c>
      <c r="P1817">
        <f t="shared" si="57"/>
        <v>5</v>
      </c>
      <c r="Q1817" t="s">
        <v>570</v>
      </c>
      <c r="R1817" s="546" t="s">
        <v>804</v>
      </c>
    </row>
    <row r="1818" spans="1:18" x14ac:dyDescent="0.3">
      <c r="A1818" t="s">
        <v>627</v>
      </c>
      <c r="B1818" s="16">
        <v>45806</v>
      </c>
      <c r="C1818" t="s">
        <v>3</v>
      </c>
      <c r="D1818" t="s">
        <v>155</v>
      </c>
      <c r="E1818">
        <v>2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1</v>
      </c>
      <c r="O1818">
        <f t="shared" si="56"/>
        <v>2025</v>
      </c>
      <c r="P1818">
        <f t="shared" si="57"/>
        <v>5</v>
      </c>
      <c r="Q1818" t="s">
        <v>570</v>
      </c>
      <c r="R1818" s="546" t="s">
        <v>804</v>
      </c>
    </row>
    <row r="1819" spans="1:18" x14ac:dyDescent="0.3">
      <c r="A1819" t="s">
        <v>627</v>
      </c>
      <c r="B1819" s="16">
        <v>45806</v>
      </c>
      <c r="C1819" t="s">
        <v>3</v>
      </c>
      <c r="D1819" t="s">
        <v>154</v>
      </c>
      <c r="E1819">
        <v>900</v>
      </c>
      <c r="F1819">
        <v>864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2</v>
      </c>
      <c r="O1819">
        <f t="shared" si="56"/>
        <v>2025</v>
      </c>
      <c r="P1819">
        <f t="shared" si="57"/>
        <v>5</v>
      </c>
      <c r="Q1819" t="s">
        <v>570</v>
      </c>
      <c r="R1819" s="546" t="s">
        <v>804</v>
      </c>
    </row>
    <row r="1820" spans="1:18" x14ac:dyDescent="0.3">
      <c r="A1820" t="s">
        <v>627</v>
      </c>
      <c r="B1820" s="16">
        <v>45806</v>
      </c>
      <c r="C1820" t="s">
        <v>3</v>
      </c>
      <c r="D1820" t="s">
        <v>153</v>
      </c>
      <c r="E1820">
        <v>395</v>
      </c>
      <c r="F1820">
        <v>84</v>
      </c>
      <c r="G1820">
        <v>38</v>
      </c>
      <c r="H1820">
        <v>2</v>
      </c>
      <c r="I1820">
        <v>151798</v>
      </c>
      <c r="J1820">
        <v>36</v>
      </c>
      <c r="K1820">
        <v>133028</v>
      </c>
      <c r="L1820">
        <v>35</v>
      </c>
      <c r="M1820">
        <v>95</v>
      </c>
      <c r="N1820">
        <v>381</v>
      </c>
      <c r="O1820">
        <f t="shared" si="56"/>
        <v>2025</v>
      </c>
      <c r="P1820">
        <f t="shared" si="57"/>
        <v>5</v>
      </c>
      <c r="Q1820" t="s">
        <v>570</v>
      </c>
      <c r="R1820" s="546" t="s">
        <v>804</v>
      </c>
    </row>
    <row r="1821" spans="1:18" x14ac:dyDescent="0.3">
      <c r="A1821" t="s">
        <v>627</v>
      </c>
      <c r="B1821" s="16">
        <v>45806</v>
      </c>
      <c r="C1821" t="s">
        <v>3</v>
      </c>
      <c r="D1821" t="s">
        <v>152</v>
      </c>
      <c r="E1821">
        <v>30</v>
      </c>
      <c r="F1821">
        <v>8</v>
      </c>
      <c r="G1821">
        <v>4</v>
      </c>
      <c r="H1821">
        <v>0</v>
      </c>
      <c r="I1821">
        <v>2875</v>
      </c>
      <c r="J1821">
        <v>1</v>
      </c>
      <c r="K1821">
        <v>2875</v>
      </c>
      <c r="L1821">
        <v>1</v>
      </c>
      <c r="M1821">
        <v>1</v>
      </c>
      <c r="N1821">
        <v>21</v>
      </c>
      <c r="O1821">
        <f t="shared" si="56"/>
        <v>2025</v>
      </c>
      <c r="P1821">
        <f t="shared" si="57"/>
        <v>5</v>
      </c>
      <c r="Q1821" t="s">
        <v>570</v>
      </c>
      <c r="R1821" s="546" t="s">
        <v>804</v>
      </c>
    </row>
    <row r="1822" spans="1:18" x14ac:dyDescent="0.3">
      <c r="A1822" t="s">
        <v>627</v>
      </c>
      <c r="B1822" s="16">
        <v>45806</v>
      </c>
      <c r="C1822" t="s">
        <v>3</v>
      </c>
      <c r="D1822" t="s">
        <v>150</v>
      </c>
      <c r="E1822">
        <v>59</v>
      </c>
      <c r="F1822">
        <v>55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</v>
      </c>
      <c r="O1822">
        <f t="shared" si="56"/>
        <v>2025</v>
      </c>
      <c r="P1822">
        <f t="shared" si="57"/>
        <v>5</v>
      </c>
      <c r="Q1822" t="s">
        <v>570</v>
      </c>
      <c r="R1822" s="546" t="s">
        <v>804</v>
      </c>
    </row>
    <row r="1823" spans="1:18" x14ac:dyDescent="0.3">
      <c r="A1823" t="s">
        <v>627</v>
      </c>
      <c r="B1823" s="16">
        <v>45806</v>
      </c>
      <c r="C1823" t="s">
        <v>3</v>
      </c>
      <c r="D1823" t="s">
        <v>149</v>
      </c>
      <c r="E1823">
        <v>13</v>
      </c>
      <c r="F1823">
        <v>11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4</v>
      </c>
      <c r="O1823">
        <f t="shared" si="56"/>
        <v>2025</v>
      </c>
      <c r="P1823">
        <f t="shared" si="57"/>
        <v>5</v>
      </c>
      <c r="Q1823" t="s">
        <v>570</v>
      </c>
      <c r="R1823" s="546" t="s">
        <v>804</v>
      </c>
    </row>
    <row r="1824" spans="1:18" x14ac:dyDescent="0.3">
      <c r="A1824" t="s">
        <v>627</v>
      </c>
      <c r="B1824" s="16">
        <v>45806</v>
      </c>
      <c r="C1824" t="s">
        <v>3</v>
      </c>
      <c r="D1824" t="s">
        <v>251</v>
      </c>
      <c r="E1824">
        <v>2049</v>
      </c>
      <c r="F1824">
        <v>1810</v>
      </c>
      <c r="G1824">
        <v>17</v>
      </c>
      <c r="H1824">
        <v>5</v>
      </c>
      <c r="I1824">
        <v>37403.03</v>
      </c>
      <c r="J1824">
        <v>9</v>
      </c>
      <c r="K1824">
        <v>35713.03</v>
      </c>
      <c r="L1824">
        <v>8</v>
      </c>
      <c r="M1824">
        <v>64</v>
      </c>
      <c r="N1824">
        <v>185</v>
      </c>
      <c r="O1824">
        <f t="shared" si="56"/>
        <v>2025</v>
      </c>
      <c r="P1824">
        <f t="shared" si="57"/>
        <v>5</v>
      </c>
      <c r="Q1824" t="s">
        <v>570</v>
      </c>
      <c r="R1824" s="546" t="s">
        <v>804</v>
      </c>
    </row>
    <row r="1825" spans="1:18" x14ac:dyDescent="0.3">
      <c r="A1825" t="s">
        <v>627</v>
      </c>
      <c r="B1825" s="16">
        <v>45806</v>
      </c>
      <c r="C1825" t="s">
        <v>3</v>
      </c>
      <c r="D1825" t="s">
        <v>143</v>
      </c>
      <c r="E1825">
        <v>28</v>
      </c>
      <c r="F1825">
        <v>27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28</v>
      </c>
      <c r="O1825">
        <f t="shared" si="56"/>
        <v>2025</v>
      </c>
      <c r="P1825">
        <f t="shared" si="57"/>
        <v>5</v>
      </c>
      <c r="Q1825" t="s">
        <v>570</v>
      </c>
      <c r="R1825" s="546" t="s">
        <v>804</v>
      </c>
    </row>
    <row r="1826" spans="1:18" x14ac:dyDescent="0.3">
      <c r="A1826" t="s">
        <v>627</v>
      </c>
      <c r="B1826" s="16">
        <v>45806</v>
      </c>
      <c r="C1826" t="s">
        <v>3</v>
      </c>
      <c r="D1826" t="s">
        <v>141</v>
      </c>
      <c r="E1826">
        <v>354</v>
      </c>
      <c r="F1826">
        <v>201</v>
      </c>
      <c r="G1826">
        <v>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1</v>
      </c>
      <c r="N1826">
        <v>353</v>
      </c>
      <c r="O1826">
        <f t="shared" si="56"/>
        <v>2025</v>
      </c>
      <c r="P1826">
        <f t="shared" si="57"/>
        <v>5</v>
      </c>
      <c r="Q1826" t="s">
        <v>570</v>
      </c>
      <c r="R1826" s="546" t="s">
        <v>804</v>
      </c>
    </row>
    <row r="1827" spans="1:18" x14ac:dyDescent="0.3">
      <c r="A1827" t="s">
        <v>627</v>
      </c>
      <c r="B1827" s="16">
        <v>45806</v>
      </c>
      <c r="C1827" t="s">
        <v>3</v>
      </c>
      <c r="D1827" t="s">
        <v>140</v>
      </c>
      <c r="E1827">
        <v>8</v>
      </c>
      <c r="F1827">
        <v>7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6</v>
      </c>
      <c r="O1827">
        <f t="shared" si="56"/>
        <v>2025</v>
      </c>
      <c r="P1827">
        <f t="shared" si="57"/>
        <v>5</v>
      </c>
      <c r="Q1827" t="s">
        <v>570</v>
      </c>
      <c r="R1827" s="546" t="s">
        <v>804</v>
      </c>
    </row>
    <row r="1828" spans="1:18" x14ac:dyDescent="0.3">
      <c r="A1828" t="s">
        <v>627</v>
      </c>
      <c r="B1828" s="16">
        <v>45806</v>
      </c>
      <c r="C1828" t="s">
        <v>3</v>
      </c>
      <c r="D1828" t="s">
        <v>139</v>
      </c>
      <c r="E1828">
        <v>731</v>
      </c>
      <c r="F1828">
        <v>475</v>
      </c>
      <c r="G1828">
        <v>23</v>
      </c>
      <c r="H1828">
        <v>5</v>
      </c>
      <c r="I1828">
        <v>46822</v>
      </c>
      <c r="J1828">
        <v>12</v>
      </c>
      <c r="K1828">
        <v>30360</v>
      </c>
      <c r="L1828">
        <v>9</v>
      </c>
      <c r="M1828">
        <v>219</v>
      </c>
      <c r="N1828">
        <v>395</v>
      </c>
      <c r="O1828">
        <f t="shared" si="56"/>
        <v>2025</v>
      </c>
      <c r="P1828">
        <f t="shared" si="57"/>
        <v>5</v>
      </c>
      <c r="Q1828" t="s">
        <v>570</v>
      </c>
      <c r="R1828" s="546" t="s">
        <v>804</v>
      </c>
    </row>
    <row r="1829" spans="1:18" x14ac:dyDescent="0.3">
      <c r="A1829" t="s">
        <v>627</v>
      </c>
      <c r="B1829" s="16">
        <v>45806</v>
      </c>
      <c r="C1829" t="s">
        <v>3</v>
      </c>
      <c r="D1829" t="s">
        <v>138</v>
      </c>
      <c r="E1829">
        <v>7</v>
      </c>
      <c r="F1829">
        <v>3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7</v>
      </c>
      <c r="O1829">
        <f t="shared" si="56"/>
        <v>2025</v>
      </c>
      <c r="P1829">
        <f t="shared" si="57"/>
        <v>5</v>
      </c>
      <c r="Q1829" t="s">
        <v>570</v>
      </c>
      <c r="R1829" s="546" t="s">
        <v>804</v>
      </c>
    </row>
    <row r="1830" spans="1:18" x14ac:dyDescent="0.3">
      <c r="A1830" t="s">
        <v>627</v>
      </c>
      <c r="B1830" s="16">
        <v>45806</v>
      </c>
      <c r="C1830" t="s">
        <v>3</v>
      </c>
      <c r="D1830" t="s">
        <v>135</v>
      </c>
      <c r="E1830">
        <v>204</v>
      </c>
      <c r="F1830">
        <v>179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3</v>
      </c>
      <c r="O1830">
        <f t="shared" si="56"/>
        <v>2025</v>
      </c>
      <c r="P1830">
        <f t="shared" si="57"/>
        <v>5</v>
      </c>
      <c r="Q1830" t="s">
        <v>570</v>
      </c>
      <c r="R1830" s="546" t="s">
        <v>804</v>
      </c>
    </row>
    <row r="1831" spans="1:18" x14ac:dyDescent="0.3">
      <c r="A1831" t="s">
        <v>627</v>
      </c>
      <c r="B1831" s="16">
        <v>45806</v>
      </c>
      <c r="C1831" t="s">
        <v>3</v>
      </c>
      <c r="D1831" t="s">
        <v>133</v>
      </c>
      <c r="E1831">
        <v>17</v>
      </c>
      <c r="F1831">
        <v>10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16</v>
      </c>
      <c r="O1831">
        <f t="shared" si="56"/>
        <v>2025</v>
      </c>
      <c r="P1831">
        <f t="shared" si="57"/>
        <v>5</v>
      </c>
      <c r="Q1831" t="s">
        <v>570</v>
      </c>
      <c r="R1831" s="546" t="s">
        <v>804</v>
      </c>
    </row>
    <row r="1832" spans="1:18" x14ac:dyDescent="0.3">
      <c r="A1832" t="s">
        <v>627</v>
      </c>
      <c r="B1832" s="16">
        <v>45806</v>
      </c>
      <c r="C1832" t="s">
        <v>3</v>
      </c>
      <c r="D1832" t="s">
        <v>130</v>
      </c>
      <c r="E1832">
        <v>237</v>
      </c>
      <c r="F1832">
        <v>74</v>
      </c>
      <c r="G1832">
        <v>10</v>
      </c>
      <c r="H1832">
        <v>0</v>
      </c>
      <c r="I1832">
        <v>11555.03</v>
      </c>
      <c r="J1832">
        <v>5</v>
      </c>
      <c r="K1832">
        <v>9638.0300000000007</v>
      </c>
      <c r="L1832">
        <v>4</v>
      </c>
      <c r="M1832">
        <v>50</v>
      </c>
      <c r="N1832">
        <v>224</v>
      </c>
      <c r="O1832">
        <f t="shared" si="56"/>
        <v>2025</v>
      </c>
      <c r="P1832">
        <f t="shared" si="57"/>
        <v>5</v>
      </c>
      <c r="Q1832" t="s">
        <v>570</v>
      </c>
      <c r="R1832" s="546" t="s">
        <v>804</v>
      </c>
    </row>
    <row r="1833" spans="1:18" x14ac:dyDescent="0.3">
      <c r="A1833" t="s">
        <v>627</v>
      </c>
      <c r="B1833" s="16">
        <v>45806</v>
      </c>
      <c r="C1833" t="s">
        <v>3</v>
      </c>
      <c r="D1833" t="s">
        <v>128</v>
      </c>
      <c r="E1833">
        <v>763</v>
      </c>
      <c r="F1833">
        <v>563</v>
      </c>
      <c r="G1833">
        <v>32</v>
      </c>
      <c r="H1833">
        <v>7</v>
      </c>
      <c r="I1833">
        <v>7673</v>
      </c>
      <c r="J1833">
        <v>4</v>
      </c>
      <c r="K1833">
        <v>7673</v>
      </c>
      <c r="L1833">
        <v>4</v>
      </c>
      <c r="M1833">
        <v>308</v>
      </c>
      <c r="N1833">
        <v>557</v>
      </c>
      <c r="O1833">
        <f t="shared" si="56"/>
        <v>2025</v>
      </c>
      <c r="P1833">
        <f t="shared" si="57"/>
        <v>5</v>
      </c>
      <c r="Q1833" t="s">
        <v>570</v>
      </c>
      <c r="R1833" s="546" t="s">
        <v>804</v>
      </c>
    </row>
    <row r="1834" spans="1:18" x14ac:dyDescent="0.3">
      <c r="A1834" t="s">
        <v>627</v>
      </c>
      <c r="B1834" s="16">
        <v>45806</v>
      </c>
      <c r="C1834" t="s">
        <v>3</v>
      </c>
      <c r="D1834" t="s">
        <v>127</v>
      </c>
      <c r="E1834">
        <v>3754</v>
      </c>
      <c r="F1834">
        <v>2756</v>
      </c>
      <c r="G1834">
        <v>41</v>
      </c>
      <c r="H1834">
        <v>21</v>
      </c>
      <c r="I1834">
        <v>38380.94</v>
      </c>
      <c r="J1834">
        <v>15</v>
      </c>
      <c r="K1834">
        <v>35000.94</v>
      </c>
      <c r="L1834">
        <v>13</v>
      </c>
      <c r="M1834">
        <v>201</v>
      </c>
      <c r="N1834">
        <v>3033</v>
      </c>
      <c r="O1834">
        <f t="shared" si="56"/>
        <v>2025</v>
      </c>
      <c r="P1834">
        <f t="shared" si="57"/>
        <v>5</v>
      </c>
      <c r="Q1834" t="s">
        <v>570</v>
      </c>
      <c r="R1834" s="546" t="s">
        <v>804</v>
      </c>
    </row>
    <row r="1835" spans="1:18" x14ac:dyDescent="0.3">
      <c r="A1835" t="s">
        <v>627</v>
      </c>
      <c r="B1835" s="16">
        <v>45806</v>
      </c>
      <c r="C1835" t="s">
        <v>3</v>
      </c>
      <c r="D1835" t="s">
        <v>126</v>
      </c>
      <c r="E1835">
        <v>95</v>
      </c>
      <c r="F1835">
        <v>59</v>
      </c>
      <c r="G1835">
        <v>1</v>
      </c>
      <c r="H1835">
        <v>0</v>
      </c>
      <c r="I1835">
        <v>27000</v>
      </c>
      <c r="J1835">
        <v>1</v>
      </c>
      <c r="K1835">
        <v>27000</v>
      </c>
      <c r="L1835">
        <v>1</v>
      </c>
      <c r="M1835">
        <v>11</v>
      </c>
      <c r="N1835">
        <v>91</v>
      </c>
      <c r="O1835">
        <f t="shared" si="56"/>
        <v>2025</v>
      </c>
      <c r="P1835">
        <f t="shared" si="57"/>
        <v>5</v>
      </c>
      <c r="Q1835" t="s">
        <v>570</v>
      </c>
      <c r="R1835" s="546" t="s">
        <v>804</v>
      </c>
    </row>
    <row r="1836" spans="1:18" x14ac:dyDescent="0.3">
      <c r="A1836" t="s">
        <v>627</v>
      </c>
      <c r="B1836" s="16">
        <v>45806</v>
      </c>
      <c r="C1836" t="s">
        <v>3</v>
      </c>
      <c r="D1836" t="s">
        <v>125</v>
      </c>
      <c r="E1836">
        <v>1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</v>
      </c>
      <c r="N1836">
        <v>1</v>
      </c>
      <c r="O1836">
        <f t="shared" si="56"/>
        <v>2025</v>
      </c>
      <c r="P1836">
        <f t="shared" si="57"/>
        <v>5</v>
      </c>
      <c r="Q1836" t="s">
        <v>570</v>
      </c>
      <c r="R1836" s="546" t="s">
        <v>804</v>
      </c>
    </row>
    <row r="1837" spans="1:18" x14ac:dyDescent="0.3">
      <c r="A1837" t="s">
        <v>627</v>
      </c>
      <c r="B1837" s="16">
        <v>45806</v>
      </c>
      <c r="C1837" t="s">
        <v>3</v>
      </c>
      <c r="D1837" t="s">
        <v>123</v>
      </c>
      <c r="E1837">
        <v>222</v>
      </c>
      <c r="F1837">
        <v>108</v>
      </c>
      <c r="G1837">
        <v>12</v>
      </c>
      <c r="H1837">
        <v>2</v>
      </c>
      <c r="I1837">
        <v>12680</v>
      </c>
      <c r="J1837">
        <v>5</v>
      </c>
      <c r="K1837">
        <v>11000</v>
      </c>
      <c r="L1837">
        <v>4</v>
      </c>
      <c r="M1837">
        <v>69</v>
      </c>
      <c r="N1837">
        <v>203</v>
      </c>
      <c r="O1837">
        <f t="shared" si="56"/>
        <v>2025</v>
      </c>
      <c r="P1837">
        <f t="shared" si="57"/>
        <v>5</v>
      </c>
      <c r="Q1837" t="s">
        <v>570</v>
      </c>
      <c r="R1837" s="546" t="s">
        <v>804</v>
      </c>
    </row>
    <row r="1838" spans="1:18" x14ac:dyDescent="0.3">
      <c r="A1838" t="s">
        <v>627</v>
      </c>
      <c r="B1838" s="16">
        <v>45806</v>
      </c>
      <c r="C1838" t="s">
        <v>3</v>
      </c>
      <c r="D1838" t="s">
        <v>119</v>
      </c>
      <c r="E1838">
        <v>259</v>
      </c>
      <c r="F1838">
        <v>55</v>
      </c>
      <c r="G1838">
        <v>21</v>
      </c>
      <c r="H1838">
        <v>8</v>
      </c>
      <c r="I1838">
        <v>32335.95</v>
      </c>
      <c r="J1838">
        <v>12</v>
      </c>
      <c r="K1838">
        <v>20703.95</v>
      </c>
      <c r="L1838">
        <v>8</v>
      </c>
      <c r="M1838">
        <v>57</v>
      </c>
      <c r="N1838">
        <v>250</v>
      </c>
      <c r="O1838">
        <f t="shared" si="56"/>
        <v>2025</v>
      </c>
      <c r="P1838">
        <f t="shared" si="57"/>
        <v>5</v>
      </c>
      <c r="Q1838" t="s">
        <v>570</v>
      </c>
      <c r="R1838" s="546" t="s">
        <v>804</v>
      </c>
    </row>
    <row r="1839" spans="1:18" x14ac:dyDescent="0.3">
      <c r="A1839" t="s">
        <v>627</v>
      </c>
      <c r="B1839" s="16">
        <v>45806</v>
      </c>
      <c r="C1839" t="s">
        <v>3</v>
      </c>
      <c r="D1839" t="s">
        <v>252</v>
      </c>
      <c r="E1839">
        <v>4</v>
      </c>
      <c r="F1839">
        <v>3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4</v>
      </c>
      <c r="O1839">
        <f t="shared" ref="O1839:O1902" si="58">YEAR(B1839)</f>
        <v>2025</v>
      </c>
      <c r="P1839">
        <f t="shared" ref="P1839:P1902" si="59">MONTH(B1839)</f>
        <v>5</v>
      </c>
      <c r="Q1839" t="s">
        <v>570</v>
      </c>
      <c r="R1839" s="546" t="s">
        <v>804</v>
      </c>
    </row>
    <row r="1840" spans="1:18" x14ac:dyDescent="0.3">
      <c r="A1840" t="s">
        <v>627</v>
      </c>
      <c r="B1840" s="16">
        <v>45806</v>
      </c>
      <c r="C1840" t="s">
        <v>3</v>
      </c>
      <c r="D1840" t="s">
        <v>391</v>
      </c>
      <c r="E1840">
        <v>487</v>
      </c>
      <c r="F1840">
        <v>241</v>
      </c>
      <c r="G1840">
        <v>15</v>
      </c>
      <c r="H1840">
        <v>6</v>
      </c>
      <c r="I1840">
        <v>7895</v>
      </c>
      <c r="J1840">
        <v>2</v>
      </c>
      <c r="K1840">
        <v>7895</v>
      </c>
      <c r="L1840">
        <v>2</v>
      </c>
      <c r="M1840">
        <v>72</v>
      </c>
      <c r="N1840">
        <v>480</v>
      </c>
      <c r="O1840">
        <f t="shared" si="58"/>
        <v>2025</v>
      </c>
      <c r="P1840">
        <f t="shared" si="59"/>
        <v>5</v>
      </c>
      <c r="Q1840" t="s">
        <v>570</v>
      </c>
      <c r="R1840" s="546" t="s">
        <v>804</v>
      </c>
    </row>
    <row r="1841" spans="1:18" x14ac:dyDescent="0.3">
      <c r="A1841" t="s">
        <v>627</v>
      </c>
      <c r="B1841" s="16">
        <v>45806</v>
      </c>
      <c r="C1841" t="s">
        <v>3</v>
      </c>
      <c r="D1841" t="s">
        <v>114</v>
      </c>
      <c r="E1841">
        <v>169</v>
      </c>
      <c r="F1841">
        <v>73</v>
      </c>
      <c r="G1841">
        <v>9</v>
      </c>
      <c r="H1841">
        <v>4</v>
      </c>
      <c r="I1841">
        <v>0</v>
      </c>
      <c r="J1841">
        <v>0</v>
      </c>
      <c r="K1841">
        <v>0</v>
      </c>
      <c r="L1841">
        <v>0</v>
      </c>
      <c r="M1841">
        <v>16</v>
      </c>
      <c r="N1841">
        <v>162</v>
      </c>
      <c r="O1841">
        <f t="shared" si="58"/>
        <v>2025</v>
      </c>
      <c r="P1841">
        <f t="shared" si="59"/>
        <v>5</v>
      </c>
      <c r="Q1841" t="s">
        <v>570</v>
      </c>
      <c r="R1841" s="546" t="s">
        <v>804</v>
      </c>
    </row>
    <row r="1842" spans="1:18" x14ac:dyDescent="0.3">
      <c r="A1842" t="s">
        <v>627</v>
      </c>
      <c r="B1842" s="16">
        <v>45806</v>
      </c>
      <c r="C1842" t="s">
        <v>3</v>
      </c>
      <c r="D1842" t="s">
        <v>113</v>
      </c>
      <c r="E1842">
        <v>104</v>
      </c>
      <c r="F1842">
        <v>48</v>
      </c>
      <c r="G1842">
        <v>4</v>
      </c>
      <c r="H1842">
        <v>0</v>
      </c>
      <c r="I1842">
        <v>1990</v>
      </c>
      <c r="J1842">
        <v>1</v>
      </c>
      <c r="K1842">
        <v>1990</v>
      </c>
      <c r="L1842">
        <v>1</v>
      </c>
      <c r="M1842">
        <v>72</v>
      </c>
      <c r="N1842">
        <v>60</v>
      </c>
      <c r="O1842">
        <f t="shared" si="58"/>
        <v>2025</v>
      </c>
      <c r="P1842">
        <f t="shared" si="59"/>
        <v>5</v>
      </c>
      <c r="Q1842" t="s">
        <v>570</v>
      </c>
      <c r="R1842" s="546" t="s">
        <v>804</v>
      </c>
    </row>
    <row r="1843" spans="1:18" x14ac:dyDescent="0.3">
      <c r="A1843" t="s">
        <v>627</v>
      </c>
      <c r="B1843" s="16">
        <v>45806</v>
      </c>
      <c r="C1843" t="s">
        <v>3</v>
      </c>
      <c r="D1843" t="s">
        <v>112</v>
      </c>
      <c r="E1843">
        <v>25</v>
      </c>
      <c r="F1843">
        <v>3</v>
      </c>
      <c r="G1843">
        <v>1</v>
      </c>
      <c r="H1843">
        <v>0</v>
      </c>
      <c r="I1843">
        <v>2375</v>
      </c>
      <c r="J1843">
        <v>1</v>
      </c>
      <c r="K1843">
        <v>2375</v>
      </c>
      <c r="L1843">
        <v>1</v>
      </c>
      <c r="M1843">
        <v>0</v>
      </c>
      <c r="N1843">
        <v>25</v>
      </c>
      <c r="O1843">
        <f t="shared" si="58"/>
        <v>2025</v>
      </c>
      <c r="P1843">
        <f t="shared" si="59"/>
        <v>5</v>
      </c>
      <c r="Q1843" t="s">
        <v>570</v>
      </c>
      <c r="R1843" s="546" t="s">
        <v>804</v>
      </c>
    </row>
    <row r="1844" spans="1:18" x14ac:dyDescent="0.3">
      <c r="A1844" t="s">
        <v>627</v>
      </c>
      <c r="B1844" s="16">
        <v>45805</v>
      </c>
      <c r="C1844" t="s">
        <v>2</v>
      </c>
      <c r="D1844" t="s">
        <v>4</v>
      </c>
      <c r="E1844">
        <v>313</v>
      </c>
      <c r="F1844">
        <v>93</v>
      </c>
      <c r="G1844">
        <v>8</v>
      </c>
      <c r="H1844">
        <v>0</v>
      </c>
      <c r="I1844">
        <v>16950</v>
      </c>
      <c r="J1844">
        <v>4</v>
      </c>
      <c r="K1844">
        <v>14960</v>
      </c>
      <c r="L1844">
        <v>4</v>
      </c>
      <c r="M1844">
        <v>5</v>
      </c>
      <c r="N1844">
        <v>305</v>
      </c>
      <c r="O1844">
        <f t="shared" si="58"/>
        <v>2025</v>
      </c>
      <c r="P1844">
        <f t="shared" si="59"/>
        <v>5</v>
      </c>
      <c r="Q1844" t="s">
        <v>570</v>
      </c>
      <c r="R1844" s="546" t="s">
        <v>804</v>
      </c>
    </row>
    <row r="1845" spans="1:18" x14ac:dyDescent="0.3">
      <c r="A1845" t="s">
        <v>627</v>
      </c>
      <c r="B1845" s="16">
        <v>45805</v>
      </c>
      <c r="C1845" t="s">
        <v>2</v>
      </c>
      <c r="D1845" t="s">
        <v>57</v>
      </c>
      <c r="E1845">
        <v>15358</v>
      </c>
      <c r="F1845">
        <v>10238</v>
      </c>
      <c r="G1845">
        <v>319</v>
      </c>
      <c r="H1845">
        <v>243</v>
      </c>
      <c r="I1845">
        <v>150896</v>
      </c>
      <c r="J1845">
        <v>36</v>
      </c>
      <c r="K1845">
        <v>89568</v>
      </c>
      <c r="L1845">
        <v>25</v>
      </c>
      <c r="M1845">
        <v>1175</v>
      </c>
      <c r="N1845">
        <v>15128</v>
      </c>
      <c r="O1845">
        <f t="shared" si="58"/>
        <v>2025</v>
      </c>
      <c r="P1845">
        <f t="shared" si="59"/>
        <v>5</v>
      </c>
      <c r="Q1845" t="s">
        <v>570</v>
      </c>
      <c r="R1845" s="546" t="s">
        <v>804</v>
      </c>
    </row>
    <row r="1846" spans="1:18" x14ac:dyDescent="0.3">
      <c r="A1846" t="s">
        <v>627</v>
      </c>
      <c r="B1846" s="16">
        <v>45805</v>
      </c>
      <c r="C1846" t="s">
        <v>2</v>
      </c>
      <c r="D1846" t="s">
        <v>55</v>
      </c>
      <c r="E1846">
        <v>1358</v>
      </c>
      <c r="F1846">
        <v>1174</v>
      </c>
      <c r="G1846">
        <v>28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34</v>
      </c>
      <c r="N1846">
        <v>385</v>
      </c>
      <c r="O1846">
        <f t="shared" si="58"/>
        <v>2025</v>
      </c>
      <c r="P1846">
        <f t="shared" si="59"/>
        <v>5</v>
      </c>
      <c r="Q1846" t="s">
        <v>570</v>
      </c>
      <c r="R1846" s="546" t="s">
        <v>804</v>
      </c>
    </row>
    <row r="1847" spans="1:18" x14ac:dyDescent="0.3">
      <c r="A1847" t="s">
        <v>627</v>
      </c>
      <c r="B1847" s="16">
        <v>45805</v>
      </c>
      <c r="C1847" t="s">
        <v>3</v>
      </c>
      <c r="D1847" t="s">
        <v>155</v>
      </c>
      <c r="E1847">
        <v>4</v>
      </c>
      <c r="F1847">
        <v>4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4</v>
      </c>
      <c r="O1847">
        <f t="shared" si="58"/>
        <v>2025</v>
      </c>
      <c r="P1847">
        <f t="shared" si="59"/>
        <v>5</v>
      </c>
      <c r="Q1847" t="s">
        <v>570</v>
      </c>
      <c r="R1847" s="546" t="s">
        <v>804</v>
      </c>
    </row>
    <row r="1848" spans="1:18" x14ac:dyDescent="0.3">
      <c r="A1848" t="s">
        <v>627</v>
      </c>
      <c r="B1848" s="16">
        <v>45805</v>
      </c>
      <c r="C1848" t="s">
        <v>3</v>
      </c>
      <c r="D1848" t="s">
        <v>154</v>
      </c>
      <c r="E1848">
        <v>713</v>
      </c>
      <c r="F1848">
        <v>694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f t="shared" si="58"/>
        <v>2025</v>
      </c>
      <c r="P1848">
        <f t="shared" si="59"/>
        <v>5</v>
      </c>
      <c r="Q1848" t="s">
        <v>570</v>
      </c>
      <c r="R1848" s="546" t="s">
        <v>804</v>
      </c>
    </row>
    <row r="1849" spans="1:18" x14ac:dyDescent="0.3">
      <c r="A1849" t="s">
        <v>627</v>
      </c>
      <c r="B1849" s="16">
        <v>45805</v>
      </c>
      <c r="C1849" t="s">
        <v>3</v>
      </c>
      <c r="D1849" t="s">
        <v>153</v>
      </c>
      <c r="E1849">
        <v>491</v>
      </c>
      <c r="F1849">
        <v>95</v>
      </c>
      <c r="G1849">
        <v>57</v>
      </c>
      <c r="H1849">
        <v>6</v>
      </c>
      <c r="I1849">
        <v>207331</v>
      </c>
      <c r="J1849">
        <v>46</v>
      </c>
      <c r="K1849">
        <v>182958</v>
      </c>
      <c r="L1849">
        <v>41</v>
      </c>
      <c r="M1849">
        <v>127</v>
      </c>
      <c r="N1849">
        <v>471</v>
      </c>
      <c r="O1849">
        <f t="shared" si="58"/>
        <v>2025</v>
      </c>
      <c r="P1849">
        <f t="shared" si="59"/>
        <v>5</v>
      </c>
      <c r="Q1849" t="s">
        <v>570</v>
      </c>
      <c r="R1849" s="546" t="s">
        <v>804</v>
      </c>
    </row>
    <row r="1850" spans="1:18" x14ac:dyDescent="0.3">
      <c r="A1850" t="s">
        <v>627</v>
      </c>
      <c r="B1850" s="16">
        <v>45805</v>
      </c>
      <c r="C1850" t="s">
        <v>3</v>
      </c>
      <c r="D1850" t="s">
        <v>152</v>
      </c>
      <c r="E1850">
        <v>79</v>
      </c>
      <c r="F1850">
        <v>62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18</v>
      </c>
      <c r="O1850">
        <f t="shared" si="58"/>
        <v>2025</v>
      </c>
      <c r="P1850">
        <f t="shared" si="59"/>
        <v>5</v>
      </c>
      <c r="Q1850" t="s">
        <v>570</v>
      </c>
      <c r="R1850" s="546" t="s">
        <v>804</v>
      </c>
    </row>
    <row r="1851" spans="1:18" x14ac:dyDescent="0.3">
      <c r="A1851" t="s">
        <v>627</v>
      </c>
      <c r="B1851" s="16">
        <v>45805</v>
      </c>
      <c r="C1851" t="s">
        <v>3</v>
      </c>
      <c r="D1851" t="s">
        <v>150</v>
      </c>
      <c r="E1851">
        <v>129</v>
      </c>
      <c r="F1851">
        <v>123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3</v>
      </c>
      <c r="O1851">
        <f t="shared" si="58"/>
        <v>2025</v>
      </c>
      <c r="P1851">
        <f t="shared" si="59"/>
        <v>5</v>
      </c>
      <c r="Q1851" t="s">
        <v>570</v>
      </c>
      <c r="R1851" s="546" t="s">
        <v>804</v>
      </c>
    </row>
    <row r="1852" spans="1:18" x14ac:dyDescent="0.3">
      <c r="A1852" t="s">
        <v>627</v>
      </c>
      <c r="B1852" s="16">
        <v>45805</v>
      </c>
      <c r="C1852" t="s">
        <v>3</v>
      </c>
      <c r="D1852" t="s">
        <v>149</v>
      </c>
      <c r="E1852">
        <v>13</v>
      </c>
      <c r="F1852">
        <v>10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</v>
      </c>
      <c r="N1852">
        <v>5</v>
      </c>
      <c r="O1852">
        <f t="shared" si="58"/>
        <v>2025</v>
      </c>
      <c r="P1852">
        <f t="shared" si="59"/>
        <v>5</v>
      </c>
      <c r="Q1852" t="s">
        <v>570</v>
      </c>
      <c r="R1852" s="546" t="s">
        <v>804</v>
      </c>
    </row>
    <row r="1853" spans="1:18" x14ac:dyDescent="0.3">
      <c r="A1853" t="s">
        <v>627</v>
      </c>
      <c r="B1853" s="16">
        <v>45805</v>
      </c>
      <c r="C1853" t="s">
        <v>3</v>
      </c>
      <c r="D1853" t="s">
        <v>148</v>
      </c>
      <c r="E1853">
        <v>7</v>
      </c>
      <c r="F1853">
        <v>7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7</v>
      </c>
      <c r="N1853">
        <v>0</v>
      </c>
      <c r="O1853">
        <f t="shared" si="58"/>
        <v>2025</v>
      </c>
      <c r="P1853">
        <f t="shared" si="59"/>
        <v>5</v>
      </c>
      <c r="Q1853" t="s">
        <v>570</v>
      </c>
      <c r="R1853" s="546" t="s">
        <v>804</v>
      </c>
    </row>
    <row r="1854" spans="1:18" x14ac:dyDescent="0.3">
      <c r="A1854" t="s">
        <v>627</v>
      </c>
      <c r="B1854" s="16">
        <v>45805</v>
      </c>
      <c r="C1854" t="s">
        <v>3</v>
      </c>
      <c r="D1854" t="s">
        <v>146</v>
      </c>
      <c r="E1854">
        <v>1</v>
      </c>
      <c r="F1854">
        <v>1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</v>
      </c>
      <c r="O1854">
        <f t="shared" si="58"/>
        <v>2025</v>
      </c>
      <c r="P1854">
        <f t="shared" si="59"/>
        <v>5</v>
      </c>
      <c r="Q1854" t="s">
        <v>570</v>
      </c>
      <c r="R1854" s="546" t="s">
        <v>804</v>
      </c>
    </row>
    <row r="1855" spans="1:18" x14ac:dyDescent="0.3">
      <c r="A1855" t="s">
        <v>627</v>
      </c>
      <c r="B1855" s="16">
        <v>45805</v>
      </c>
      <c r="C1855" t="s">
        <v>3</v>
      </c>
      <c r="D1855" t="s">
        <v>251</v>
      </c>
      <c r="E1855">
        <v>299</v>
      </c>
      <c r="F1855">
        <v>138</v>
      </c>
      <c r="G1855">
        <v>21</v>
      </c>
      <c r="H1855">
        <v>3</v>
      </c>
      <c r="I1855">
        <v>46865</v>
      </c>
      <c r="J1855">
        <v>13</v>
      </c>
      <c r="K1855">
        <v>39875</v>
      </c>
      <c r="L1855">
        <v>12</v>
      </c>
      <c r="M1855">
        <v>87</v>
      </c>
      <c r="N1855">
        <v>220</v>
      </c>
      <c r="O1855">
        <f t="shared" si="58"/>
        <v>2025</v>
      </c>
      <c r="P1855">
        <f t="shared" si="59"/>
        <v>5</v>
      </c>
      <c r="Q1855" t="s">
        <v>570</v>
      </c>
      <c r="R1855" s="546" t="s">
        <v>804</v>
      </c>
    </row>
    <row r="1856" spans="1:18" x14ac:dyDescent="0.3">
      <c r="A1856" t="s">
        <v>627</v>
      </c>
      <c r="B1856" s="16">
        <v>45805</v>
      </c>
      <c r="C1856" t="s">
        <v>3</v>
      </c>
      <c r="D1856" t="s">
        <v>143</v>
      </c>
      <c r="E1856">
        <v>34</v>
      </c>
      <c r="F1856">
        <v>31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34</v>
      </c>
      <c r="O1856">
        <f t="shared" si="58"/>
        <v>2025</v>
      </c>
      <c r="P1856">
        <f t="shared" si="59"/>
        <v>5</v>
      </c>
      <c r="Q1856" t="s">
        <v>570</v>
      </c>
      <c r="R1856" s="546" t="s">
        <v>804</v>
      </c>
    </row>
    <row r="1857" spans="1:18" x14ac:dyDescent="0.3">
      <c r="A1857" t="s">
        <v>627</v>
      </c>
      <c r="B1857" s="16">
        <v>45805</v>
      </c>
      <c r="C1857" t="s">
        <v>3</v>
      </c>
      <c r="D1857" t="s">
        <v>141</v>
      </c>
      <c r="E1857">
        <v>311</v>
      </c>
      <c r="F1857">
        <v>176</v>
      </c>
      <c r="G1857">
        <v>7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</v>
      </c>
      <c r="N1857">
        <v>310</v>
      </c>
      <c r="O1857">
        <f t="shared" si="58"/>
        <v>2025</v>
      </c>
      <c r="P1857">
        <f t="shared" si="59"/>
        <v>5</v>
      </c>
      <c r="Q1857" t="s">
        <v>570</v>
      </c>
      <c r="R1857" s="546" t="s">
        <v>804</v>
      </c>
    </row>
    <row r="1858" spans="1:18" x14ac:dyDescent="0.3">
      <c r="A1858" t="s">
        <v>627</v>
      </c>
      <c r="B1858" s="16">
        <v>45805</v>
      </c>
      <c r="C1858" t="s">
        <v>3</v>
      </c>
      <c r="D1858" t="s">
        <v>140</v>
      </c>
      <c r="E1858">
        <v>11</v>
      </c>
      <c r="F1858">
        <v>8</v>
      </c>
      <c r="G1858">
        <v>2</v>
      </c>
      <c r="H1858">
        <v>0</v>
      </c>
      <c r="I1858">
        <v>12510</v>
      </c>
      <c r="J1858">
        <v>2</v>
      </c>
      <c r="K1858">
        <v>12510</v>
      </c>
      <c r="L1858">
        <v>2</v>
      </c>
      <c r="M1858">
        <v>1</v>
      </c>
      <c r="N1858">
        <v>11</v>
      </c>
      <c r="O1858">
        <f t="shared" si="58"/>
        <v>2025</v>
      </c>
      <c r="P1858">
        <f t="shared" si="59"/>
        <v>5</v>
      </c>
      <c r="Q1858" t="s">
        <v>570</v>
      </c>
      <c r="R1858" s="546" t="s">
        <v>804</v>
      </c>
    </row>
    <row r="1859" spans="1:18" x14ac:dyDescent="0.3">
      <c r="A1859" t="s">
        <v>627</v>
      </c>
      <c r="B1859" s="16">
        <v>45805</v>
      </c>
      <c r="C1859" t="s">
        <v>3</v>
      </c>
      <c r="D1859" t="s">
        <v>139</v>
      </c>
      <c r="E1859">
        <v>723</v>
      </c>
      <c r="F1859">
        <v>413</v>
      </c>
      <c r="G1859">
        <v>30</v>
      </c>
      <c r="H1859">
        <v>5</v>
      </c>
      <c r="I1859">
        <v>63142.43</v>
      </c>
      <c r="J1859">
        <v>18</v>
      </c>
      <c r="K1859">
        <v>48535.43</v>
      </c>
      <c r="L1859">
        <v>15</v>
      </c>
      <c r="M1859">
        <v>248</v>
      </c>
      <c r="N1859">
        <v>416</v>
      </c>
      <c r="O1859">
        <f t="shared" si="58"/>
        <v>2025</v>
      </c>
      <c r="P1859">
        <f t="shared" si="59"/>
        <v>5</v>
      </c>
      <c r="Q1859" t="s">
        <v>570</v>
      </c>
      <c r="R1859" s="546" t="s">
        <v>804</v>
      </c>
    </row>
    <row r="1860" spans="1:18" x14ac:dyDescent="0.3">
      <c r="A1860" t="s">
        <v>627</v>
      </c>
      <c r="B1860" s="16">
        <v>45805</v>
      </c>
      <c r="C1860" t="s">
        <v>3</v>
      </c>
      <c r="D1860" t="s">
        <v>138</v>
      </c>
      <c r="E1860">
        <v>5</v>
      </c>
      <c r="F1860">
        <v>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</v>
      </c>
      <c r="N1860">
        <v>4</v>
      </c>
      <c r="O1860">
        <f t="shared" si="58"/>
        <v>2025</v>
      </c>
      <c r="P1860">
        <f t="shared" si="59"/>
        <v>5</v>
      </c>
      <c r="Q1860" t="s">
        <v>570</v>
      </c>
      <c r="R1860" s="546" t="s">
        <v>804</v>
      </c>
    </row>
    <row r="1861" spans="1:18" x14ac:dyDescent="0.3">
      <c r="A1861" t="s">
        <v>627</v>
      </c>
      <c r="B1861" s="16">
        <v>45805</v>
      </c>
      <c r="C1861" t="s">
        <v>3</v>
      </c>
      <c r="D1861" t="s">
        <v>135</v>
      </c>
      <c r="E1861">
        <v>269</v>
      </c>
      <c r="F1861">
        <v>241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10</v>
      </c>
      <c r="O1861">
        <f t="shared" si="58"/>
        <v>2025</v>
      </c>
      <c r="P1861">
        <f t="shared" si="59"/>
        <v>5</v>
      </c>
      <c r="Q1861" t="s">
        <v>570</v>
      </c>
      <c r="R1861" s="546" t="s">
        <v>804</v>
      </c>
    </row>
    <row r="1862" spans="1:18" x14ac:dyDescent="0.3">
      <c r="A1862" t="s">
        <v>627</v>
      </c>
      <c r="B1862" s="16">
        <v>45805</v>
      </c>
      <c r="C1862" t="s">
        <v>3</v>
      </c>
      <c r="D1862" t="s">
        <v>133</v>
      </c>
      <c r="E1862">
        <v>20</v>
      </c>
      <c r="F1862">
        <v>13</v>
      </c>
      <c r="G1862">
        <v>1</v>
      </c>
      <c r="H1862">
        <v>1</v>
      </c>
      <c r="I1862">
        <v>5020</v>
      </c>
      <c r="J1862">
        <v>1</v>
      </c>
      <c r="K1862">
        <v>5020</v>
      </c>
      <c r="L1862">
        <v>1</v>
      </c>
      <c r="M1862">
        <v>7</v>
      </c>
      <c r="N1862">
        <v>19</v>
      </c>
      <c r="O1862">
        <f t="shared" si="58"/>
        <v>2025</v>
      </c>
      <c r="P1862">
        <f t="shared" si="59"/>
        <v>5</v>
      </c>
      <c r="Q1862" t="s">
        <v>570</v>
      </c>
      <c r="R1862" s="546" t="s">
        <v>804</v>
      </c>
    </row>
    <row r="1863" spans="1:18" x14ac:dyDescent="0.3">
      <c r="A1863" t="s">
        <v>627</v>
      </c>
      <c r="B1863" s="16">
        <v>45805</v>
      </c>
      <c r="C1863" t="s">
        <v>3</v>
      </c>
      <c r="D1863" t="s">
        <v>130</v>
      </c>
      <c r="E1863">
        <v>141</v>
      </c>
      <c r="F1863">
        <v>40</v>
      </c>
      <c r="G1863">
        <v>21</v>
      </c>
      <c r="H1863">
        <v>2</v>
      </c>
      <c r="I1863">
        <v>60850</v>
      </c>
      <c r="J1863">
        <v>14</v>
      </c>
      <c r="K1863">
        <v>48140</v>
      </c>
      <c r="L1863">
        <v>11</v>
      </c>
      <c r="M1863">
        <v>66</v>
      </c>
      <c r="N1863">
        <v>116</v>
      </c>
      <c r="O1863">
        <f t="shared" si="58"/>
        <v>2025</v>
      </c>
      <c r="P1863">
        <f t="shared" si="59"/>
        <v>5</v>
      </c>
      <c r="Q1863" t="s">
        <v>570</v>
      </c>
      <c r="R1863" s="546" t="s">
        <v>804</v>
      </c>
    </row>
    <row r="1864" spans="1:18" x14ac:dyDescent="0.3">
      <c r="A1864" t="s">
        <v>627</v>
      </c>
      <c r="B1864" s="16">
        <v>45805</v>
      </c>
      <c r="C1864" t="s">
        <v>3</v>
      </c>
      <c r="D1864" t="s">
        <v>128</v>
      </c>
      <c r="E1864">
        <v>900</v>
      </c>
      <c r="F1864">
        <v>688</v>
      </c>
      <c r="G1864">
        <v>53</v>
      </c>
      <c r="H1864">
        <v>6</v>
      </c>
      <c r="I1864">
        <v>54770</v>
      </c>
      <c r="J1864">
        <v>9</v>
      </c>
      <c r="K1864">
        <v>45430</v>
      </c>
      <c r="L1864">
        <v>7</v>
      </c>
      <c r="M1864">
        <v>372</v>
      </c>
      <c r="N1864">
        <v>685</v>
      </c>
      <c r="O1864">
        <f t="shared" si="58"/>
        <v>2025</v>
      </c>
      <c r="P1864">
        <f t="shared" si="59"/>
        <v>5</v>
      </c>
      <c r="Q1864" t="s">
        <v>570</v>
      </c>
      <c r="R1864" s="546" t="s">
        <v>804</v>
      </c>
    </row>
    <row r="1865" spans="1:18" x14ac:dyDescent="0.3">
      <c r="A1865" t="s">
        <v>627</v>
      </c>
      <c r="B1865" s="16">
        <v>45805</v>
      </c>
      <c r="C1865" t="s">
        <v>3</v>
      </c>
      <c r="D1865" t="s">
        <v>127</v>
      </c>
      <c r="E1865">
        <v>3670</v>
      </c>
      <c r="F1865">
        <v>2670</v>
      </c>
      <c r="G1865">
        <v>32</v>
      </c>
      <c r="H1865">
        <v>19</v>
      </c>
      <c r="I1865">
        <v>39851.43</v>
      </c>
      <c r="J1865">
        <v>12</v>
      </c>
      <c r="K1865">
        <v>32161.43</v>
      </c>
      <c r="L1865">
        <v>11</v>
      </c>
      <c r="M1865">
        <v>164</v>
      </c>
      <c r="N1865">
        <v>3093</v>
      </c>
      <c r="O1865">
        <f t="shared" si="58"/>
        <v>2025</v>
      </c>
      <c r="P1865">
        <f t="shared" si="59"/>
        <v>5</v>
      </c>
      <c r="Q1865" t="s">
        <v>570</v>
      </c>
      <c r="R1865" s="546" t="s">
        <v>804</v>
      </c>
    </row>
    <row r="1866" spans="1:18" x14ac:dyDescent="0.3">
      <c r="A1866" t="s">
        <v>627</v>
      </c>
      <c r="B1866" s="16">
        <v>45805</v>
      </c>
      <c r="C1866" t="s">
        <v>3</v>
      </c>
      <c r="D1866" t="s">
        <v>126</v>
      </c>
      <c r="E1866">
        <v>78</v>
      </c>
      <c r="F1866">
        <v>52</v>
      </c>
      <c r="G1866">
        <v>3</v>
      </c>
      <c r="H1866">
        <v>1</v>
      </c>
      <c r="I1866">
        <v>16545</v>
      </c>
      <c r="J1866">
        <v>2</v>
      </c>
      <c r="K1866">
        <v>16545</v>
      </c>
      <c r="L1866">
        <v>2</v>
      </c>
      <c r="M1866">
        <v>12</v>
      </c>
      <c r="N1866">
        <v>77</v>
      </c>
      <c r="O1866">
        <f t="shared" si="58"/>
        <v>2025</v>
      </c>
      <c r="P1866">
        <f t="shared" si="59"/>
        <v>5</v>
      </c>
      <c r="Q1866" t="s">
        <v>570</v>
      </c>
      <c r="R1866" s="546" t="s">
        <v>804</v>
      </c>
    </row>
    <row r="1867" spans="1:18" x14ac:dyDescent="0.3">
      <c r="A1867" t="s">
        <v>627</v>
      </c>
      <c r="B1867" s="16">
        <v>45805</v>
      </c>
      <c r="C1867" t="s">
        <v>3</v>
      </c>
      <c r="D1867" t="s">
        <v>125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1</v>
      </c>
      <c r="O1867">
        <f t="shared" si="58"/>
        <v>2025</v>
      </c>
      <c r="P1867">
        <f t="shared" si="59"/>
        <v>5</v>
      </c>
      <c r="Q1867" t="s">
        <v>570</v>
      </c>
      <c r="R1867" s="546" t="s">
        <v>804</v>
      </c>
    </row>
    <row r="1868" spans="1:18" x14ac:dyDescent="0.3">
      <c r="A1868" t="s">
        <v>627</v>
      </c>
      <c r="B1868" s="16">
        <v>45805</v>
      </c>
      <c r="C1868" t="s">
        <v>3</v>
      </c>
      <c r="D1868" t="s">
        <v>123</v>
      </c>
      <c r="E1868">
        <v>192</v>
      </c>
      <c r="F1868">
        <v>87</v>
      </c>
      <c r="G1868">
        <v>13</v>
      </c>
      <c r="H1868">
        <v>2</v>
      </c>
      <c r="I1868">
        <v>8192</v>
      </c>
      <c r="J1868">
        <v>3</v>
      </c>
      <c r="K1868">
        <v>6515</v>
      </c>
      <c r="L1868">
        <v>2</v>
      </c>
      <c r="M1868">
        <v>58</v>
      </c>
      <c r="N1868">
        <v>173</v>
      </c>
      <c r="O1868">
        <f t="shared" si="58"/>
        <v>2025</v>
      </c>
      <c r="P1868">
        <f t="shared" si="59"/>
        <v>5</v>
      </c>
      <c r="Q1868" t="s">
        <v>570</v>
      </c>
      <c r="R1868" s="546" t="s">
        <v>804</v>
      </c>
    </row>
    <row r="1869" spans="1:18" x14ac:dyDescent="0.3">
      <c r="A1869" t="s">
        <v>627</v>
      </c>
      <c r="B1869" s="16">
        <v>45805</v>
      </c>
      <c r="C1869" t="s">
        <v>3</v>
      </c>
      <c r="D1869" t="s">
        <v>119</v>
      </c>
      <c r="E1869">
        <v>286</v>
      </c>
      <c r="F1869">
        <v>62</v>
      </c>
      <c r="G1869">
        <v>34</v>
      </c>
      <c r="H1869">
        <v>7</v>
      </c>
      <c r="I1869">
        <v>73141.570000000007</v>
      </c>
      <c r="J1869">
        <v>16</v>
      </c>
      <c r="K1869">
        <v>56591.57</v>
      </c>
      <c r="L1869">
        <v>14</v>
      </c>
      <c r="M1869">
        <v>64</v>
      </c>
      <c r="N1869">
        <v>272</v>
      </c>
      <c r="O1869">
        <f t="shared" si="58"/>
        <v>2025</v>
      </c>
      <c r="P1869">
        <f t="shared" si="59"/>
        <v>5</v>
      </c>
      <c r="Q1869" t="s">
        <v>570</v>
      </c>
      <c r="R1869" s="546" t="s">
        <v>804</v>
      </c>
    </row>
    <row r="1870" spans="1:18" x14ac:dyDescent="0.3">
      <c r="A1870" t="s">
        <v>627</v>
      </c>
      <c r="B1870" s="16">
        <v>45805</v>
      </c>
      <c r="C1870" t="s">
        <v>3</v>
      </c>
      <c r="D1870" t="s">
        <v>583</v>
      </c>
      <c r="E1870">
        <v>1</v>
      </c>
      <c r="F1870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</v>
      </c>
      <c r="O1870">
        <f t="shared" si="58"/>
        <v>2025</v>
      </c>
      <c r="P1870">
        <f t="shared" si="59"/>
        <v>5</v>
      </c>
      <c r="Q1870" t="s">
        <v>570</v>
      </c>
      <c r="R1870" s="546" t="s">
        <v>804</v>
      </c>
    </row>
    <row r="1871" spans="1:18" x14ac:dyDescent="0.3">
      <c r="A1871" t="s">
        <v>627</v>
      </c>
      <c r="B1871" s="16">
        <v>45805</v>
      </c>
      <c r="C1871" t="s">
        <v>3</v>
      </c>
      <c r="D1871" t="s">
        <v>252</v>
      </c>
      <c r="E1871">
        <v>4</v>
      </c>
      <c r="F1871">
        <v>4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4</v>
      </c>
      <c r="O1871">
        <f t="shared" si="58"/>
        <v>2025</v>
      </c>
      <c r="P1871">
        <f t="shared" si="59"/>
        <v>5</v>
      </c>
      <c r="Q1871" t="s">
        <v>570</v>
      </c>
      <c r="R1871" s="546" t="s">
        <v>804</v>
      </c>
    </row>
    <row r="1872" spans="1:18" x14ac:dyDescent="0.3">
      <c r="A1872" t="s">
        <v>627</v>
      </c>
      <c r="B1872" s="16">
        <v>45805</v>
      </c>
      <c r="C1872" t="s">
        <v>3</v>
      </c>
      <c r="D1872" t="s">
        <v>117</v>
      </c>
      <c r="E1872">
        <v>2</v>
      </c>
      <c r="F1872">
        <v>2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2</v>
      </c>
      <c r="O1872">
        <f t="shared" si="58"/>
        <v>2025</v>
      </c>
      <c r="P1872">
        <f t="shared" si="59"/>
        <v>5</v>
      </c>
      <c r="Q1872" t="s">
        <v>570</v>
      </c>
      <c r="R1872" s="546" t="s">
        <v>804</v>
      </c>
    </row>
    <row r="1873" spans="1:18" x14ac:dyDescent="0.3">
      <c r="A1873" t="s">
        <v>627</v>
      </c>
      <c r="B1873" s="16">
        <v>45805</v>
      </c>
      <c r="C1873" t="s">
        <v>3</v>
      </c>
      <c r="D1873" t="s">
        <v>391</v>
      </c>
      <c r="E1873">
        <v>432</v>
      </c>
      <c r="F1873">
        <v>202</v>
      </c>
      <c r="G1873">
        <v>17</v>
      </c>
      <c r="H1873">
        <v>4</v>
      </c>
      <c r="I1873">
        <v>16170</v>
      </c>
      <c r="J1873">
        <v>7</v>
      </c>
      <c r="K1873">
        <v>13775</v>
      </c>
      <c r="L1873">
        <v>6</v>
      </c>
      <c r="M1873">
        <v>91</v>
      </c>
      <c r="N1873">
        <v>422</v>
      </c>
      <c r="O1873">
        <f t="shared" si="58"/>
        <v>2025</v>
      </c>
      <c r="P1873">
        <f t="shared" si="59"/>
        <v>5</v>
      </c>
      <c r="Q1873" t="s">
        <v>570</v>
      </c>
      <c r="R1873" s="546" t="s">
        <v>804</v>
      </c>
    </row>
    <row r="1874" spans="1:18" x14ac:dyDescent="0.3">
      <c r="A1874" t="s">
        <v>627</v>
      </c>
      <c r="B1874" s="16">
        <v>45805</v>
      </c>
      <c r="C1874" t="s">
        <v>3</v>
      </c>
      <c r="D1874" t="s">
        <v>114</v>
      </c>
      <c r="E1874">
        <v>135</v>
      </c>
      <c r="F1874">
        <v>54</v>
      </c>
      <c r="G1874">
        <v>3</v>
      </c>
      <c r="H1874">
        <v>5</v>
      </c>
      <c r="I1874">
        <v>2937</v>
      </c>
      <c r="J1874">
        <v>1</v>
      </c>
      <c r="K1874">
        <v>2937</v>
      </c>
      <c r="L1874">
        <v>1</v>
      </c>
      <c r="M1874">
        <v>16</v>
      </c>
      <c r="N1874">
        <v>131</v>
      </c>
      <c r="O1874">
        <f t="shared" si="58"/>
        <v>2025</v>
      </c>
      <c r="P1874">
        <f t="shared" si="59"/>
        <v>5</v>
      </c>
      <c r="Q1874" t="s">
        <v>570</v>
      </c>
      <c r="R1874" s="546" t="s">
        <v>804</v>
      </c>
    </row>
    <row r="1875" spans="1:18" x14ac:dyDescent="0.3">
      <c r="A1875" t="s">
        <v>627</v>
      </c>
      <c r="B1875" s="16">
        <v>45805</v>
      </c>
      <c r="C1875" t="s">
        <v>3</v>
      </c>
      <c r="D1875" t="s">
        <v>113</v>
      </c>
      <c r="E1875">
        <v>132</v>
      </c>
      <c r="F1875">
        <v>73</v>
      </c>
      <c r="G1875">
        <v>6</v>
      </c>
      <c r="H1875">
        <v>1</v>
      </c>
      <c r="I1875">
        <v>1917</v>
      </c>
      <c r="J1875">
        <v>1</v>
      </c>
      <c r="K1875">
        <v>1917</v>
      </c>
      <c r="L1875">
        <v>1</v>
      </c>
      <c r="M1875">
        <v>97</v>
      </c>
      <c r="N1875">
        <v>81</v>
      </c>
      <c r="O1875">
        <f t="shared" si="58"/>
        <v>2025</v>
      </c>
      <c r="P1875">
        <f t="shared" si="59"/>
        <v>5</v>
      </c>
      <c r="Q1875" t="s">
        <v>570</v>
      </c>
      <c r="R1875" s="546" t="s">
        <v>804</v>
      </c>
    </row>
    <row r="1876" spans="1:18" x14ac:dyDescent="0.3">
      <c r="A1876" t="s">
        <v>627</v>
      </c>
      <c r="B1876" s="16">
        <v>45805</v>
      </c>
      <c r="C1876" t="s">
        <v>3</v>
      </c>
      <c r="D1876" t="s">
        <v>112</v>
      </c>
      <c r="E1876">
        <v>29</v>
      </c>
      <c r="F1876">
        <v>9</v>
      </c>
      <c r="G1876">
        <v>3</v>
      </c>
      <c r="H1876">
        <v>0</v>
      </c>
      <c r="I1876">
        <v>20453</v>
      </c>
      <c r="J1876">
        <v>4</v>
      </c>
      <c r="K1876">
        <v>18855</v>
      </c>
      <c r="L1876">
        <v>4</v>
      </c>
      <c r="M1876">
        <v>1</v>
      </c>
      <c r="N1876">
        <v>29</v>
      </c>
      <c r="O1876">
        <f t="shared" si="58"/>
        <v>2025</v>
      </c>
      <c r="P1876">
        <f t="shared" si="59"/>
        <v>5</v>
      </c>
      <c r="Q1876" t="s">
        <v>570</v>
      </c>
      <c r="R1876" s="546" t="s">
        <v>804</v>
      </c>
    </row>
    <row r="1877" spans="1:18" x14ac:dyDescent="0.3">
      <c r="A1877" t="s">
        <v>627</v>
      </c>
      <c r="B1877" s="16">
        <v>45805</v>
      </c>
      <c r="C1877" t="s">
        <v>3</v>
      </c>
      <c r="D1877" t="s">
        <v>111</v>
      </c>
      <c r="E1877">
        <v>4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4</v>
      </c>
      <c r="O1877">
        <f t="shared" si="58"/>
        <v>2025</v>
      </c>
      <c r="P1877">
        <f t="shared" si="59"/>
        <v>5</v>
      </c>
      <c r="Q1877" t="s">
        <v>570</v>
      </c>
      <c r="R1877" s="546" t="s">
        <v>804</v>
      </c>
    </row>
    <row r="1878" spans="1:18" x14ac:dyDescent="0.3">
      <c r="A1878" t="s">
        <v>627</v>
      </c>
      <c r="B1878" s="16">
        <v>45804</v>
      </c>
      <c r="C1878" t="s">
        <v>2</v>
      </c>
      <c r="D1878" t="s">
        <v>4</v>
      </c>
      <c r="E1878">
        <v>360</v>
      </c>
      <c r="F1878">
        <v>142</v>
      </c>
      <c r="G1878">
        <v>8</v>
      </c>
      <c r="H1878">
        <v>0</v>
      </c>
      <c r="I1878">
        <v>5670</v>
      </c>
      <c r="J1878">
        <v>2</v>
      </c>
      <c r="K1878">
        <v>0</v>
      </c>
      <c r="L1878">
        <v>0</v>
      </c>
      <c r="M1878">
        <v>5</v>
      </c>
      <c r="N1878">
        <v>356</v>
      </c>
      <c r="O1878">
        <f t="shared" si="58"/>
        <v>2025</v>
      </c>
      <c r="P1878">
        <f t="shared" si="59"/>
        <v>5</v>
      </c>
      <c r="Q1878" t="s">
        <v>570</v>
      </c>
      <c r="R1878" s="546" t="s">
        <v>804</v>
      </c>
    </row>
    <row r="1879" spans="1:18" x14ac:dyDescent="0.3">
      <c r="A1879" t="s">
        <v>627</v>
      </c>
      <c r="B1879" s="16">
        <v>45804</v>
      </c>
      <c r="C1879" t="s">
        <v>2</v>
      </c>
      <c r="D1879" t="s">
        <v>57</v>
      </c>
      <c r="E1879">
        <v>17311</v>
      </c>
      <c r="F1879">
        <v>11518</v>
      </c>
      <c r="G1879">
        <v>271</v>
      </c>
      <c r="H1879">
        <v>248</v>
      </c>
      <c r="I1879">
        <v>55048</v>
      </c>
      <c r="J1879">
        <v>17</v>
      </c>
      <c r="K1879">
        <v>17172</v>
      </c>
      <c r="L1879">
        <v>5</v>
      </c>
      <c r="M1879">
        <v>1225</v>
      </c>
      <c r="N1879">
        <v>17060</v>
      </c>
      <c r="O1879">
        <f t="shared" si="58"/>
        <v>2025</v>
      </c>
      <c r="P1879">
        <f t="shared" si="59"/>
        <v>5</v>
      </c>
      <c r="Q1879" t="s">
        <v>570</v>
      </c>
      <c r="R1879" s="546" t="s">
        <v>804</v>
      </c>
    </row>
    <row r="1880" spans="1:18" x14ac:dyDescent="0.3">
      <c r="A1880" t="s">
        <v>627</v>
      </c>
      <c r="B1880" s="16">
        <v>45804</v>
      </c>
      <c r="C1880" t="s">
        <v>2</v>
      </c>
      <c r="D1880" t="s">
        <v>55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</v>
      </c>
      <c r="O1880">
        <f t="shared" si="58"/>
        <v>2025</v>
      </c>
      <c r="P1880">
        <f t="shared" si="59"/>
        <v>5</v>
      </c>
      <c r="Q1880" t="s">
        <v>570</v>
      </c>
      <c r="R1880" s="546" t="s">
        <v>804</v>
      </c>
    </row>
    <row r="1881" spans="1:18" x14ac:dyDescent="0.3">
      <c r="A1881" t="s">
        <v>627</v>
      </c>
      <c r="B1881" s="16">
        <v>45804</v>
      </c>
      <c r="C1881" t="s">
        <v>3</v>
      </c>
      <c r="D1881" t="s">
        <v>155</v>
      </c>
      <c r="E1881">
        <v>6</v>
      </c>
      <c r="F1881">
        <v>3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6</v>
      </c>
      <c r="O1881">
        <f t="shared" si="58"/>
        <v>2025</v>
      </c>
      <c r="P1881">
        <f t="shared" si="59"/>
        <v>5</v>
      </c>
      <c r="Q1881" t="s">
        <v>570</v>
      </c>
      <c r="R1881" s="546" t="s">
        <v>804</v>
      </c>
    </row>
    <row r="1882" spans="1:18" x14ac:dyDescent="0.3">
      <c r="A1882" t="s">
        <v>627</v>
      </c>
      <c r="B1882" s="16">
        <v>45804</v>
      </c>
      <c r="C1882" t="s">
        <v>3</v>
      </c>
      <c r="D1882" t="s">
        <v>153</v>
      </c>
      <c r="E1882">
        <v>355</v>
      </c>
      <c r="F1882">
        <v>63</v>
      </c>
      <c r="G1882">
        <v>25</v>
      </c>
      <c r="H1882">
        <v>5</v>
      </c>
      <c r="I1882">
        <v>34327</v>
      </c>
      <c r="J1882">
        <v>10</v>
      </c>
      <c r="K1882">
        <v>30027</v>
      </c>
      <c r="L1882">
        <v>9</v>
      </c>
      <c r="M1882">
        <v>74</v>
      </c>
      <c r="N1882">
        <v>347</v>
      </c>
      <c r="O1882">
        <f t="shared" si="58"/>
        <v>2025</v>
      </c>
      <c r="P1882">
        <f t="shared" si="59"/>
        <v>5</v>
      </c>
      <c r="Q1882" t="s">
        <v>570</v>
      </c>
      <c r="R1882" s="546" t="s">
        <v>804</v>
      </c>
    </row>
    <row r="1883" spans="1:18" x14ac:dyDescent="0.3">
      <c r="A1883" t="s">
        <v>627</v>
      </c>
      <c r="B1883" s="16">
        <v>45804</v>
      </c>
      <c r="C1883" t="s">
        <v>3</v>
      </c>
      <c r="D1883" t="s">
        <v>152</v>
      </c>
      <c r="E1883">
        <v>19</v>
      </c>
      <c r="F1883">
        <v>6</v>
      </c>
      <c r="G1883">
        <v>5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19</v>
      </c>
      <c r="O1883">
        <f t="shared" si="58"/>
        <v>2025</v>
      </c>
      <c r="P1883">
        <f t="shared" si="59"/>
        <v>5</v>
      </c>
      <c r="Q1883" t="s">
        <v>570</v>
      </c>
      <c r="R1883" s="546" t="s">
        <v>804</v>
      </c>
    </row>
    <row r="1884" spans="1:18" x14ac:dyDescent="0.3">
      <c r="A1884" t="s">
        <v>627</v>
      </c>
      <c r="B1884" s="16">
        <v>45804</v>
      </c>
      <c r="C1884" t="s">
        <v>3</v>
      </c>
      <c r="D1884" t="s">
        <v>150</v>
      </c>
      <c r="E1884">
        <v>2</v>
      </c>
      <c r="F1884">
        <v>1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2</v>
      </c>
      <c r="O1884">
        <f t="shared" si="58"/>
        <v>2025</v>
      </c>
      <c r="P1884">
        <f t="shared" si="59"/>
        <v>5</v>
      </c>
      <c r="Q1884" t="s">
        <v>570</v>
      </c>
      <c r="R1884" s="546" t="s">
        <v>804</v>
      </c>
    </row>
    <row r="1885" spans="1:18" x14ac:dyDescent="0.3">
      <c r="A1885" t="s">
        <v>627</v>
      </c>
      <c r="B1885" s="16">
        <v>45804</v>
      </c>
      <c r="C1885" t="s">
        <v>3</v>
      </c>
      <c r="D1885" t="s">
        <v>149</v>
      </c>
      <c r="E1885">
        <v>5</v>
      </c>
      <c r="F1885">
        <v>4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1</v>
      </c>
      <c r="N1885">
        <v>5</v>
      </c>
      <c r="O1885">
        <f t="shared" si="58"/>
        <v>2025</v>
      </c>
      <c r="P1885">
        <f t="shared" si="59"/>
        <v>5</v>
      </c>
      <c r="Q1885" t="s">
        <v>570</v>
      </c>
      <c r="R1885" s="546" t="s">
        <v>804</v>
      </c>
    </row>
    <row r="1886" spans="1:18" x14ac:dyDescent="0.3">
      <c r="A1886" t="s">
        <v>627</v>
      </c>
      <c r="B1886" s="16">
        <v>45804</v>
      </c>
      <c r="C1886" t="s">
        <v>3</v>
      </c>
      <c r="D1886" t="s">
        <v>148</v>
      </c>
      <c r="E1886">
        <v>1</v>
      </c>
      <c r="F1886">
        <v>1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f t="shared" si="58"/>
        <v>2025</v>
      </c>
      <c r="P1886">
        <f t="shared" si="59"/>
        <v>5</v>
      </c>
      <c r="Q1886" t="s">
        <v>570</v>
      </c>
      <c r="R1886" s="546" t="s">
        <v>804</v>
      </c>
    </row>
    <row r="1887" spans="1:18" x14ac:dyDescent="0.3">
      <c r="A1887" t="s">
        <v>627</v>
      </c>
      <c r="B1887" s="16">
        <v>45804</v>
      </c>
      <c r="C1887" t="s">
        <v>3</v>
      </c>
      <c r="D1887" t="s">
        <v>251</v>
      </c>
      <c r="E1887">
        <v>207</v>
      </c>
      <c r="F1887">
        <v>75</v>
      </c>
      <c r="G1887">
        <v>21</v>
      </c>
      <c r="H1887">
        <v>4</v>
      </c>
      <c r="I1887">
        <v>6915</v>
      </c>
      <c r="J1887">
        <v>1</v>
      </c>
      <c r="K1887">
        <v>6915</v>
      </c>
      <c r="L1887">
        <v>1</v>
      </c>
      <c r="M1887">
        <v>63</v>
      </c>
      <c r="N1887">
        <v>177</v>
      </c>
      <c r="O1887">
        <f t="shared" si="58"/>
        <v>2025</v>
      </c>
      <c r="P1887">
        <f t="shared" si="59"/>
        <v>5</v>
      </c>
      <c r="Q1887" t="s">
        <v>570</v>
      </c>
      <c r="R1887" s="546" t="s">
        <v>804</v>
      </c>
    </row>
    <row r="1888" spans="1:18" x14ac:dyDescent="0.3">
      <c r="A1888" t="s">
        <v>627</v>
      </c>
      <c r="B1888" s="16">
        <v>45804</v>
      </c>
      <c r="C1888" t="s">
        <v>3</v>
      </c>
      <c r="D1888" t="s">
        <v>143</v>
      </c>
      <c r="E1888">
        <v>38</v>
      </c>
      <c r="F1888">
        <v>36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38</v>
      </c>
      <c r="O1888">
        <f t="shared" si="58"/>
        <v>2025</v>
      </c>
      <c r="P1888">
        <f t="shared" si="59"/>
        <v>5</v>
      </c>
      <c r="Q1888" t="s">
        <v>570</v>
      </c>
      <c r="R1888" s="546" t="s">
        <v>804</v>
      </c>
    </row>
    <row r="1889" spans="1:18" x14ac:dyDescent="0.3">
      <c r="A1889" t="s">
        <v>627</v>
      </c>
      <c r="B1889" s="16">
        <v>45804</v>
      </c>
      <c r="C1889" t="s">
        <v>3</v>
      </c>
      <c r="D1889" t="s">
        <v>141</v>
      </c>
      <c r="E1889">
        <v>416</v>
      </c>
      <c r="F1889">
        <v>256</v>
      </c>
      <c r="G1889">
        <v>11</v>
      </c>
      <c r="H1889">
        <v>2</v>
      </c>
      <c r="I1889">
        <v>0</v>
      </c>
      <c r="J1889">
        <v>0</v>
      </c>
      <c r="K1889">
        <v>0</v>
      </c>
      <c r="L1889">
        <v>0</v>
      </c>
      <c r="M1889">
        <v>1</v>
      </c>
      <c r="N1889">
        <v>415</v>
      </c>
      <c r="O1889">
        <f t="shared" si="58"/>
        <v>2025</v>
      </c>
      <c r="P1889">
        <f t="shared" si="59"/>
        <v>5</v>
      </c>
      <c r="Q1889" t="s">
        <v>570</v>
      </c>
      <c r="R1889" s="546" t="s">
        <v>804</v>
      </c>
    </row>
    <row r="1890" spans="1:18" x14ac:dyDescent="0.3">
      <c r="A1890" t="s">
        <v>627</v>
      </c>
      <c r="B1890" s="16">
        <v>45804</v>
      </c>
      <c r="C1890" t="s">
        <v>3</v>
      </c>
      <c r="D1890" t="s">
        <v>140</v>
      </c>
      <c r="E1890">
        <v>11</v>
      </c>
      <c r="F1890">
        <v>8</v>
      </c>
      <c r="G1890">
        <v>1</v>
      </c>
      <c r="H1890">
        <v>0</v>
      </c>
      <c r="I1890">
        <v>11555</v>
      </c>
      <c r="J1890">
        <v>2</v>
      </c>
      <c r="K1890">
        <v>5710</v>
      </c>
      <c r="L1890">
        <v>1</v>
      </c>
      <c r="M1890">
        <v>1</v>
      </c>
      <c r="N1890">
        <v>11</v>
      </c>
      <c r="O1890">
        <f t="shared" si="58"/>
        <v>2025</v>
      </c>
      <c r="P1890">
        <f t="shared" si="59"/>
        <v>5</v>
      </c>
      <c r="Q1890" t="s">
        <v>570</v>
      </c>
      <c r="R1890" s="546" t="s">
        <v>804</v>
      </c>
    </row>
    <row r="1891" spans="1:18" x14ac:dyDescent="0.3">
      <c r="A1891" t="s">
        <v>627</v>
      </c>
      <c r="B1891" s="16">
        <v>45804</v>
      </c>
      <c r="C1891" t="s">
        <v>3</v>
      </c>
      <c r="D1891" t="s">
        <v>139</v>
      </c>
      <c r="E1891">
        <v>565</v>
      </c>
      <c r="F1891">
        <v>301</v>
      </c>
      <c r="G1891">
        <v>38</v>
      </c>
      <c r="H1891">
        <v>7</v>
      </c>
      <c r="I1891">
        <v>12280</v>
      </c>
      <c r="J1891">
        <v>3</v>
      </c>
      <c r="K1891">
        <v>12280</v>
      </c>
      <c r="L1891">
        <v>3</v>
      </c>
      <c r="M1891">
        <v>226</v>
      </c>
      <c r="N1891">
        <v>422</v>
      </c>
      <c r="O1891">
        <f t="shared" si="58"/>
        <v>2025</v>
      </c>
      <c r="P1891">
        <f t="shared" si="59"/>
        <v>5</v>
      </c>
      <c r="Q1891" t="s">
        <v>570</v>
      </c>
      <c r="R1891" s="546" t="s">
        <v>804</v>
      </c>
    </row>
    <row r="1892" spans="1:18" x14ac:dyDescent="0.3">
      <c r="A1892" t="s">
        <v>627</v>
      </c>
      <c r="B1892" s="16">
        <v>45804</v>
      </c>
      <c r="C1892" t="s">
        <v>3</v>
      </c>
      <c r="D1892" t="s">
        <v>138</v>
      </c>
      <c r="E1892">
        <v>3</v>
      </c>
      <c r="F1892">
        <v>2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3</v>
      </c>
      <c r="O1892">
        <f t="shared" si="58"/>
        <v>2025</v>
      </c>
      <c r="P1892">
        <f t="shared" si="59"/>
        <v>5</v>
      </c>
      <c r="Q1892" t="s">
        <v>570</v>
      </c>
      <c r="R1892" s="546" t="s">
        <v>804</v>
      </c>
    </row>
    <row r="1893" spans="1:18" x14ac:dyDescent="0.3">
      <c r="A1893" t="s">
        <v>627</v>
      </c>
      <c r="B1893" s="16">
        <v>45804</v>
      </c>
      <c r="C1893" t="s">
        <v>3</v>
      </c>
      <c r="D1893" t="s">
        <v>135</v>
      </c>
      <c r="E1893">
        <v>12</v>
      </c>
      <c r="F1893">
        <v>2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12</v>
      </c>
      <c r="O1893">
        <f t="shared" si="58"/>
        <v>2025</v>
      </c>
      <c r="P1893">
        <f t="shared" si="59"/>
        <v>5</v>
      </c>
      <c r="Q1893" t="s">
        <v>570</v>
      </c>
      <c r="R1893" s="546" t="s">
        <v>804</v>
      </c>
    </row>
    <row r="1894" spans="1:18" x14ac:dyDescent="0.3">
      <c r="A1894" t="s">
        <v>627</v>
      </c>
      <c r="B1894" s="16">
        <v>45804</v>
      </c>
      <c r="C1894" t="s">
        <v>3</v>
      </c>
      <c r="D1894" t="s">
        <v>133</v>
      </c>
      <c r="E1894">
        <v>19</v>
      </c>
      <c r="F1894">
        <v>13</v>
      </c>
      <c r="G1894">
        <v>1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5</v>
      </c>
      <c r="N1894">
        <v>17</v>
      </c>
      <c r="O1894">
        <f t="shared" si="58"/>
        <v>2025</v>
      </c>
      <c r="P1894">
        <f t="shared" si="59"/>
        <v>5</v>
      </c>
      <c r="Q1894" t="s">
        <v>570</v>
      </c>
      <c r="R1894" s="546" t="s">
        <v>804</v>
      </c>
    </row>
    <row r="1895" spans="1:18" x14ac:dyDescent="0.3">
      <c r="A1895" t="s">
        <v>627</v>
      </c>
      <c r="B1895" s="16">
        <v>45804</v>
      </c>
      <c r="C1895" t="s">
        <v>3</v>
      </c>
      <c r="D1895" t="s">
        <v>130</v>
      </c>
      <c r="E1895">
        <v>130</v>
      </c>
      <c r="F1895">
        <v>36</v>
      </c>
      <c r="G1895">
        <v>8</v>
      </c>
      <c r="H1895">
        <v>3</v>
      </c>
      <c r="I1895">
        <v>11862</v>
      </c>
      <c r="J1895">
        <v>3</v>
      </c>
      <c r="K1895">
        <v>11862</v>
      </c>
      <c r="L1895">
        <v>3</v>
      </c>
      <c r="M1895">
        <v>52</v>
      </c>
      <c r="N1895">
        <v>111</v>
      </c>
      <c r="O1895">
        <f t="shared" si="58"/>
        <v>2025</v>
      </c>
      <c r="P1895">
        <f t="shared" si="59"/>
        <v>5</v>
      </c>
      <c r="Q1895" t="s">
        <v>570</v>
      </c>
      <c r="R1895" s="546" t="s">
        <v>804</v>
      </c>
    </row>
    <row r="1896" spans="1:18" x14ac:dyDescent="0.3">
      <c r="A1896" t="s">
        <v>627</v>
      </c>
      <c r="B1896" s="16">
        <v>45804</v>
      </c>
      <c r="C1896" t="s">
        <v>3</v>
      </c>
      <c r="D1896" t="s">
        <v>128</v>
      </c>
      <c r="E1896">
        <v>758</v>
      </c>
      <c r="F1896">
        <v>572</v>
      </c>
      <c r="G1896">
        <v>41</v>
      </c>
      <c r="H1896">
        <v>9</v>
      </c>
      <c r="I1896">
        <v>5657</v>
      </c>
      <c r="J1896">
        <v>2</v>
      </c>
      <c r="K1896">
        <v>5657</v>
      </c>
      <c r="L1896">
        <v>2</v>
      </c>
      <c r="M1896">
        <v>335</v>
      </c>
      <c r="N1896">
        <v>570</v>
      </c>
      <c r="O1896">
        <f t="shared" si="58"/>
        <v>2025</v>
      </c>
      <c r="P1896">
        <f t="shared" si="59"/>
        <v>5</v>
      </c>
      <c r="Q1896" t="s">
        <v>570</v>
      </c>
      <c r="R1896" s="546" t="s">
        <v>804</v>
      </c>
    </row>
    <row r="1897" spans="1:18" x14ac:dyDescent="0.3">
      <c r="A1897" t="s">
        <v>627</v>
      </c>
      <c r="B1897" s="16">
        <v>45804</v>
      </c>
      <c r="C1897" t="s">
        <v>3</v>
      </c>
      <c r="D1897" t="s">
        <v>127</v>
      </c>
      <c r="E1897">
        <v>3379</v>
      </c>
      <c r="F1897">
        <v>2413</v>
      </c>
      <c r="G1897">
        <v>48</v>
      </c>
      <c r="H1897">
        <v>23</v>
      </c>
      <c r="I1897">
        <v>8565</v>
      </c>
      <c r="J1897">
        <v>4</v>
      </c>
      <c r="K1897">
        <v>5385</v>
      </c>
      <c r="L1897">
        <v>2</v>
      </c>
      <c r="M1897">
        <v>217</v>
      </c>
      <c r="N1897">
        <v>3309</v>
      </c>
      <c r="O1897">
        <f t="shared" si="58"/>
        <v>2025</v>
      </c>
      <c r="P1897">
        <f t="shared" si="59"/>
        <v>5</v>
      </c>
      <c r="Q1897" t="s">
        <v>570</v>
      </c>
      <c r="R1897" s="546" t="s">
        <v>804</v>
      </c>
    </row>
    <row r="1898" spans="1:18" x14ac:dyDescent="0.3">
      <c r="A1898" t="s">
        <v>627</v>
      </c>
      <c r="B1898" s="16">
        <v>45804</v>
      </c>
      <c r="C1898" t="s">
        <v>3</v>
      </c>
      <c r="D1898" t="s">
        <v>126</v>
      </c>
      <c r="E1898">
        <v>87</v>
      </c>
      <c r="F1898">
        <v>61</v>
      </c>
      <c r="G1898">
        <v>4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16</v>
      </c>
      <c r="N1898">
        <v>85</v>
      </c>
      <c r="O1898">
        <f t="shared" si="58"/>
        <v>2025</v>
      </c>
      <c r="P1898">
        <f t="shared" si="59"/>
        <v>5</v>
      </c>
      <c r="Q1898" t="s">
        <v>570</v>
      </c>
      <c r="R1898" s="546" t="s">
        <v>804</v>
      </c>
    </row>
    <row r="1899" spans="1:18" x14ac:dyDescent="0.3">
      <c r="A1899" t="s">
        <v>627</v>
      </c>
      <c r="B1899" s="16">
        <v>45804</v>
      </c>
      <c r="C1899" t="s">
        <v>3</v>
      </c>
      <c r="D1899" t="s">
        <v>125</v>
      </c>
      <c r="E1899">
        <v>3</v>
      </c>
      <c r="F1899">
        <v>2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3</v>
      </c>
      <c r="O1899">
        <f t="shared" si="58"/>
        <v>2025</v>
      </c>
      <c r="P1899">
        <f t="shared" si="59"/>
        <v>5</v>
      </c>
      <c r="Q1899" t="s">
        <v>570</v>
      </c>
      <c r="R1899" s="546" t="s">
        <v>804</v>
      </c>
    </row>
    <row r="1900" spans="1:18" x14ac:dyDescent="0.3">
      <c r="A1900" t="s">
        <v>627</v>
      </c>
      <c r="B1900" s="16">
        <v>45804</v>
      </c>
      <c r="C1900" t="s">
        <v>3</v>
      </c>
      <c r="D1900" t="s">
        <v>123</v>
      </c>
      <c r="E1900">
        <v>217</v>
      </c>
      <c r="F1900">
        <v>114</v>
      </c>
      <c r="G1900">
        <v>11</v>
      </c>
      <c r="H1900">
        <v>3</v>
      </c>
      <c r="I1900">
        <v>0</v>
      </c>
      <c r="J1900">
        <v>0</v>
      </c>
      <c r="K1900">
        <v>0</v>
      </c>
      <c r="L1900">
        <v>0</v>
      </c>
      <c r="M1900">
        <v>57</v>
      </c>
      <c r="N1900">
        <v>200</v>
      </c>
      <c r="O1900">
        <f t="shared" si="58"/>
        <v>2025</v>
      </c>
      <c r="P1900">
        <f t="shared" si="59"/>
        <v>5</v>
      </c>
      <c r="Q1900" t="s">
        <v>570</v>
      </c>
      <c r="R1900" s="546" t="s">
        <v>804</v>
      </c>
    </row>
    <row r="1901" spans="1:18" x14ac:dyDescent="0.3">
      <c r="A1901" t="s">
        <v>627</v>
      </c>
      <c r="B1901" s="16">
        <v>45804</v>
      </c>
      <c r="C1901" t="s">
        <v>3</v>
      </c>
      <c r="D1901" t="s">
        <v>122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1</v>
      </c>
      <c r="O1901">
        <f t="shared" si="58"/>
        <v>2025</v>
      </c>
      <c r="P1901">
        <f t="shared" si="59"/>
        <v>5</v>
      </c>
      <c r="Q1901" t="s">
        <v>570</v>
      </c>
      <c r="R1901" s="546" t="s">
        <v>804</v>
      </c>
    </row>
    <row r="1902" spans="1:18" x14ac:dyDescent="0.3">
      <c r="A1902" t="s">
        <v>627</v>
      </c>
      <c r="B1902" s="16">
        <v>45804</v>
      </c>
      <c r="C1902" t="s">
        <v>3</v>
      </c>
      <c r="D1902" t="s">
        <v>121</v>
      </c>
      <c r="E1902">
        <v>3</v>
      </c>
      <c r="F1902">
        <v>3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2</v>
      </c>
      <c r="O1902">
        <f t="shared" si="58"/>
        <v>2025</v>
      </c>
      <c r="P1902">
        <f t="shared" si="59"/>
        <v>5</v>
      </c>
      <c r="Q1902" t="s">
        <v>570</v>
      </c>
      <c r="R1902" s="546" t="s">
        <v>804</v>
      </c>
    </row>
    <row r="1903" spans="1:18" x14ac:dyDescent="0.3">
      <c r="A1903" t="s">
        <v>627</v>
      </c>
      <c r="B1903" s="16">
        <v>45804</v>
      </c>
      <c r="C1903" t="s">
        <v>3</v>
      </c>
      <c r="D1903" t="s">
        <v>119</v>
      </c>
      <c r="E1903">
        <v>248</v>
      </c>
      <c r="F1903">
        <v>55</v>
      </c>
      <c r="G1903">
        <v>21</v>
      </c>
      <c r="H1903">
        <v>8</v>
      </c>
      <c r="I1903">
        <v>25765</v>
      </c>
      <c r="J1903">
        <v>7</v>
      </c>
      <c r="K1903">
        <v>14090</v>
      </c>
      <c r="L1903">
        <v>4</v>
      </c>
      <c r="M1903">
        <v>53</v>
      </c>
      <c r="N1903">
        <v>239</v>
      </c>
      <c r="O1903">
        <f t="shared" ref="O1903:O1966" si="60">YEAR(B1903)</f>
        <v>2025</v>
      </c>
      <c r="P1903">
        <f t="shared" ref="P1903:P1966" si="61">MONTH(B1903)</f>
        <v>5</v>
      </c>
      <c r="Q1903" t="s">
        <v>570</v>
      </c>
      <c r="R1903" s="546" t="s">
        <v>804</v>
      </c>
    </row>
    <row r="1904" spans="1:18" x14ac:dyDescent="0.3">
      <c r="A1904" t="s">
        <v>627</v>
      </c>
      <c r="B1904" s="16">
        <v>45804</v>
      </c>
      <c r="C1904" t="s">
        <v>3</v>
      </c>
      <c r="D1904" t="s">
        <v>583</v>
      </c>
      <c r="E1904">
        <v>1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</v>
      </c>
      <c r="O1904">
        <f t="shared" si="60"/>
        <v>2025</v>
      </c>
      <c r="P1904">
        <f t="shared" si="61"/>
        <v>5</v>
      </c>
      <c r="Q1904" t="s">
        <v>570</v>
      </c>
      <c r="R1904" s="546" t="s">
        <v>804</v>
      </c>
    </row>
    <row r="1905" spans="1:18" x14ac:dyDescent="0.3">
      <c r="A1905" t="s">
        <v>627</v>
      </c>
      <c r="B1905" s="16">
        <v>45804</v>
      </c>
      <c r="C1905" t="s">
        <v>3</v>
      </c>
      <c r="D1905" t="s">
        <v>252</v>
      </c>
      <c r="E1905">
        <v>9</v>
      </c>
      <c r="F1905">
        <v>7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9</v>
      </c>
      <c r="O1905">
        <f t="shared" si="60"/>
        <v>2025</v>
      </c>
      <c r="P1905">
        <f t="shared" si="61"/>
        <v>5</v>
      </c>
      <c r="Q1905" t="s">
        <v>570</v>
      </c>
      <c r="R1905" s="546" t="s">
        <v>804</v>
      </c>
    </row>
    <row r="1906" spans="1:18" x14ac:dyDescent="0.3">
      <c r="A1906" t="s">
        <v>627</v>
      </c>
      <c r="B1906" s="16">
        <v>45804</v>
      </c>
      <c r="C1906" t="s">
        <v>3</v>
      </c>
      <c r="D1906" t="s">
        <v>117</v>
      </c>
      <c r="E1906">
        <v>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1</v>
      </c>
      <c r="N1906">
        <v>1</v>
      </c>
      <c r="O1906">
        <f t="shared" si="60"/>
        <v>2025</v>
      </c>
      <c r="P1906">
        <f t="shared" si="61"/>
        <v>5</v>
      </c>
      <c r="Q1906" t="s">
        <v>570</v>
      </c>
      <c r="R1906" s="546" t="s">
        <v>804</v>
      </c>
    </row>
    <row r="1907" spans="1:18" x14ac:dyDescent="0.3">
      <c r="A1907" t="s">
        <v>627</v>
      </c>
      <c r="B1907" s="16">
        <v>45804</v>
      </c>
      <c r="C1907" t="s">
        <v>3</v>
      </c>
      <c r="D1907" t="s">
        <v>391</v>
      </c>
      <c r="E1907">
        <v>463</v>
      </c>
      <c r="F1907">
        <v>229</v>
      </c>
      <c r="G1907">
        <v>17</v>
      </c>
      <c r="H1907">
        <v>3</v>
      </c>
      <c r="I1907">
        <v>3395</v>
      </c>
      <c r="J1907">
        <v>1</v>
      </c>
      <c r="K1907">
        <v>3395</v>
      </c>
      <c r="L1907">
        <v>1</v>
      </c>
      <c r="M1907">
        <v>70</v>
      </c>
      <c r="N1907">
        <v>457</v>
      </c>
      <c r="O1907">
        <f t="shared" si="60"/>
        <v>2025</v>
      </c>
      <c r="P1907">
        <f t="shared" si="61"/>
        <v>5</v>
      </c>
      <c r="Q1907" t="s">
        <v>570</v>
      </c>
      <c r="R1907" s="546" t="s">
        <v>804</v>
      </c>
    </row>
    <row r="1908" spans="1:18" x14ac:dyDescent="0.3">
      <c r="A1908" t="s">
        <v>627</v>
      </c>
      <c r="B1908" s="16">
        <v>45804</v>
      </c>
      <c r="C1908" t="s">
        <v>3</v>
      </c>
      <c r="D1908" t="s">
        <v>114</v>
      </c>
      <c r="E1908">
        <v>187</v>
      </c>
      <c r="F1908">
        <v>100</v>
      </c>
      <c r="G1908">
        <v>2</v>
      </c>
      <c r="H1908">
        <v>3</v>
      </c>
      <c r="I1908">
        <v>0</v>
      </c>
      <c r="J1908">
        <v>0</v>
      </c>
      <c r="K1908">
        <v>0</v>
      </c>
      <c r="L1908">
        <v>0</v>
      </c>
      <c r="M1908">
        <v>12</v>
      </c>
      <c r="N1908">
        <v>175</v>
      </c>
      <c r="O1908">
        <f t="shared" si="60"/>
        <v>2025</v>
      </c>
      <c r="P1908">
        <f t="shared" si="61"/>
        <v>5</v>
      </c>
      <c r="Q1908" t="s">
        <v>570</v>
      </c>
      <c r="R1908" s="546" t="s">
        <v>804</v>
      </c>
    </row>
    <row r="1909" spans="1:18" x14ac:dyDescent="0.3">
      <c r="A1909" t="s">
        <v>627</v>
      </c>
      <c r="B1909" s="16">
        <v>45804</v>
      </c>
      <c r="C1909" t="s">
        <v>3</v>
      </c>
      <c r="D1909" t="s">
        <v>113</v>
      </c>
      <c r="E1909">
        <v>88</v>
      </c>
      <c r="F1909">
        <v>49</v>
      </c>
      <c r="G1909">
        <v>4</v>
      </c>
      <c r="H1909">
        <v>2</v>
      </c>
      <c r="I1909">
        <v>8405</v>
      </c>
      <c r="J1909">
        <v>2</v>
      </c>
      <c r="K1909">
        <v>8405</v>
      </c>
      <c r="L1909">
        <v>2</v>
      </c>
      <c r="M1909">
        <v>73</v>
      </c>
      <c r="N1909">
        <v>49</v>
      </c>
      <c r="O1909">
        <f t="shared" si="60"/>
        <v>2025</v>
      </c>
      <c r="P1909">
        <f t="shared" si="61"/>
        <v>5</v>
      </c>
      <c r="Q1909" t="s">
        <v>570</v>
      </c>
      <c r="R1909" s="546" t="s">
        <v>804</v>
      </c>
    </row>
    <row r="1910" spans="1:18" x14ac:dyDescent="0.3">
      <c r="A1910" t="s">
        <v>627</v>
      </c>
      <c r="B1910" s="16">
        <v>45804</v>
      </c>
      <c r="C1910" t="s">
        <v>3</v>
      </c>
      <c r="D1910" t="s">
        <v>112</v>
      </c>
      <c r="E1910">
        <v>25</v>
      </c>
      <c r="F1910">
        <v>6</v>
      </c>
      <c r="G1910">
        <v>0</v>
      </c>
      <c r="H1910">
        <v>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25</v>
      </c>
      <c r="O1910">
        <f t="shared" si="60"/>
        <v>2025</v>
      </c>
      <c r="P1910">
        <f t="shared" si="61"/>
        <v>5</v>
      </c>
      <c r="Q1910" t="s">
        <v>570</v>
      </c>
      <c r="R1910" s="546" t="s">
        <v>804</v>
      </c>
    </row>
    <row r="1911" spans="1:18" x14ac:dyDescent="0.3">
      <c r="A1911" t="s">
        <v>627</v>
      </c>
      <c r="B1911" s="16">
        <v>45804</v>
      </c>
      <c r="C1911" t="s">
        <v>3</v>
      </c>
      <c r="D1911" t="s">
        <v>111</v>
      </c>
      <c r="E1911">
        <v>11</v>
      </c>
      <c r="F1911">
        <v>2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1</v>
      </c>
      <c r="N1911">
        <v>11</v>
      </c>
      <c r="O1911">
        <f t="shared" si="60"/>
        <v>2025</v>
      </c>
      <c r="P1911">
        <f t="shared" si="61"/>
        <v>5</v>
      </c>
      <c r="Q1911" t="s">
        <v>570</v>
      </c>
      <c r="R1911" s="546" t="s">
        <v>804</v>
      </c>
    </row>
    <row r="1912" spans="1:18" x14ac:dyDescent="0.3">
      <c r="A1912" t="s">
        <v>627</v>
      </c>
      <c r="B1912" s="16">
        <v>45803</v>
      </c>
      <c r="C1912" t="s">
        <v>2</v>
      </c>
      <c r="D1912" t="s">
        <v>4</v>
      </c>
      <c r="E1912">
        <v>704</v>
      </c>
      <c r="F1912">
        <v>377</v>
      </c>
      <c r="G1912">
        <v>292</v>
      </c>
      <c r="H1912">
        <v>13</v>
      </c>
      <c r="I1912">
        <v>330025</v>
      </c>
      <c r="J1912">
        <v>89</v>
      </c>
      <c r="K1912">
        <v>253120</v>
      </c>
      <c r="L1912">
        <v>74</v>
      </c>
      <c r="M1912">
        <v>13</v>
      </c>
      <c r="N1912">
        <v>704</v>
      </c>
      <c r="O1912">
        <f t="shared" si="60"/>
        <v>2025</v>
      </c>
      <c r="P1912">
        <f t="shared" si="61"/>
        <v>5</v>
      </c>
      <c r="Q1912" t="s">
        <v>570</v>
      </c>
      <c r="R1912" s="546" t="s">
        <v>804</v>
      </c>
    </row>
    <row r="1913" spans="1:18" x14ac:dyDescent="0.3">
      <c r="A1913" t="s">
        <v>627</v>
      </c>
      <c r="B1913" s="16">
        <v>45803</v>
      </c>
      <c r="C1913" t="s">
        <v>2</v>
      </c>
      <c r="D1913" t="s">
        <v>57</v>
      </c>
      <c r="E1913">
        <v>17734</v>
      </c>
      <c r="F1913">
        <v>11892</v>
      </c>
      <c r="G1913">
        <v>327</v>
      </c>
      <c r="H1913">
        <v>264</v>
      </c>
      <c r="I1913">
        <v>381997.74</v>
      </c>
      <c r="J1913">
        <v>77</v>
      </c>
      <c r="K1913">
        <v>209676.74</v>
      </c>
      <c r="L1913">
        <v>58</v>
      </c>
      <c r="M1913">
        <v>1201</v>
      </c>
      <c r="N1913">
        <v>17473</v>
      </c>
      <c r="O1913">
        <f t="shared" si="60"/>
        <v>2025</v>
      </c>
      <c r="P1913">
        <f t="shared" si="61"/>
        <v>5</v>
      </c>
      <c r="Q1913" t="s">
        <v>570</v>
      </c>
      <c r="R1913" s="546" t="s">
        <v>804</v>
      </c>
    </row>
    <row r="1914" spans="1:18" x14ac:dyDescent="0.3">
      <c r="A1914" t="s">
        <v>627</v>
      </c>
      <c r="B1914" s="16">
        <v>45803</v>
      </c>
      <c r="C1914" t="s">
        <v>2</v>
      </c>
      <c r="D1914" t="s">
        <v>52</v>
      </c>
      <c r="E1914">
        <v>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1</v>
      </c>
      <c r="N1914">
        <v>1</v>
      </c>
      <c r="O1914">
        <f t="shared" si="60"/>
        <v>2025</v>
      </c>
      <c r="P1914">
        <f t="shared" si="61"/>
        <v>5</v>
      </c>
      <c r="Q1914" t="s">
        <v>570</v>
      </c>
      <c r="R1914" s="546" t="s">
        <v>804</v>
      </c>
    </row>
    <row r="1915" spans="1:18" x14ac:dyDescent="0.3">
      <c r="A1915" t="s">
        <v>627</v>
      </c>
      <c r="B1915" s="16">
        <v>45803</v>
      </c>
      <c r="C1915" t="s">
        <v>2</v>
      </c>
      <c r="D1915" t="s">
        <v>55</v>
      </c>
      <c r="E1915">
        <v>3</v>
      </c>
      <c r="F1915">
        <v>2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2</v>
      </c>
      <c r="O1915">
        <f t="shared" si="60"/>
        <v>2025</v>
      </c>
      <c r="P1915">
        <f t="shared" si="61"/>
        <v>5</v>
      </c>
      <c r="Q1915" t="s">
        <v>570</v>
      </c>
      <c r="R1915" s="546" t="s">
        <v>804</v>
      </c>
    </row>
    <row r="1916" spans="1:18" x14ac:dyDescent="0.3">
      <c r="A1916" t="s">
        <v>627</v>
      </c>
      <c r="B1916" s="16">
        <v>45803</v>
      </c>
      <c r="C1916" t="s">
        <v>3</v>
      </c>
      <c r="D1916" t="s">
        <v>155</v>
      </c>
      <c r="E1916">
        <v>4</v>
      </c>
      <c r="F1916">
        <v>4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4</v>
      </c>
      <c r="O1916">
        <f t="shared" si="60"/>
        <v>2025</v>
      </c>
      <c r="P1916">
        <f t="shared" si="61"/>
        <v>5</v>
      </c>
      <c r="Q1916" t="s">
        <v>570</v>
      </c>
      <c r="R1916" s="546" t="s">
        <v>804</v>
      </c>
    </row>
    <row r="1917" spans="1:18" x14ac:dyDescent="0.3">
      <c r="A1917" t="s">
        <v>627</v>
      </c>
      <c r="B1917" s="16">
        <v>45803</v>
      </c>
      <c r="C1917" t="s">
        <v>3</v>
      </c>
      <c r="D1917" t="s">
        <v>153</v>
      </c>
      <c r="E1917">
        <v>485</v>
      </c>
      <c r="F1917">
        <v>173</v>
      </c>
      <c r="G1917">
        <v>110</v>
      </c>
      <c r="H1917">
        <v>6</v>
      </c>
      <c r="I1917">
        <v>302495.48</v>
      </c>
      <c r="J1917">
        <v>98</v>
      </c>
      <c r="K1917">
        <v>256368.48</v>
      </c>
      <c r="L1917">
        <v>87</v>
      </c>
      <c r="M1917">
        <v>157</v>
      </c>
      <c r="N1917">
        <v>467</v>
      </c>
      <c r="O1917">
        <f t="shared" si="60"/>
        <v>2025</v>
      </c>
      <c r="P1917">
        <f t="shared" si="61"/>
        <v>5</v>
      </c>
      <c r="Q1917" t="s">
        <v>570</v>
      </c>
      <c r="R1917" s="546" t="s">
        <v>804</v>
      </c>
    </row>
    <row r="1918" spans="1:18" x14ac:dyDescent="0.3">
      <c r="A1918" t="s">
        <v>627</v>
      </c>
      <c r="B1918" s="16">
        <v>45803</v>
      </c>
      <c r="C1918" t="s">
        <v>3</v>
      </c>
      <c r="D1918" t="s">
        <v>152</v>
      </c>
      <c r="E1918">
        <v>17</v>
      </c>
      <c r="F1918">
        <v>6</v>
      </c>
      <c r="G1918">
        <v>3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17</v>
      </c>
      <c r="O1918">
        <f t="shared" si="60"/>
        <v>2025</v>
      </c>
      <c r="P1918">
        <f t="shared" si="61"/>
        <v>5</v>
      </c>
      <c r="Q1918" t="s">
        <v>570</v>
      </c>
      <c r="R1918" s="546" t="s">
        <v>804</v>
      </c>
    </row>
    <row r="1919" spans="1:18" x14ac:dyDescent="0.3">
      <c r="A1919" t="s">
        <v>627</v>
      </c>
      <c r="B1919" s="16">
        <v>45803</v>
      </c>
      <c r="C1919" t="s">
        <v>3</v>
      </c>
      <c r="D1919" t="s">
        <v>150</v>
      </c>
      <c r="E1919">
        <v>3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3</v>
      </c>
      <c r="O1919">
        <f t="shared" si="60"/>
        <v>2025</v>
      </c>
      <c r="P1919">
        <f t="shared" si="61"/>
        <v>5</v>
      </c>
      <c r="Q1919" t="s">
        <v>570</v>
      </c>
      <c r="R1919" s="546" t="s">
        <v>804</v>
      </c>
    </row>
    <row r="1920" spans="1:18" x14ac:dyDescent="0.3">
      <c r="A1920" t="s">
        <v>627</v>
      </c>
      <c r="B1920" s="16">
        <v>45803</v>
      </c>
      <c r="C1920" t="s">
        <v>3</v>
      </c>
      <c r="D1920" t="s">
        <v>149</v>
      </c>
      <c r="E1920">
        <v>8</v>
      </c>
      <c r="F1920">
        <v>4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5</v>
      </c>
      <c r="N1920">
        <v>8</v>
      </c>
      <c r="O1920">
        <f t="shared" si="60"/>
        <v>2025</v>
      </c>
      <c r="P1920">
        <f t="shared" si="61"/>
        <v>5</v>
      </c>
      <c r="Q1920" t="s">
        <v>570</v>
      </c>
      <c r="R1920" s="546" t="s">
        <v>804</v>
      </c>
    </row>
    <row r="1921" spans="1:18" x14ac:dyDescent="0.3">
      <c r="A1921" t="s">
        <v>627</v>
      </c>
      <c r="B1921" s="16">
        <v>45803</v>
      </c>
      <c r="C1921" t="s">
        <v>3</v>
      </c>
      <c r="D1921" t="s">
        <v>148</v>
      </c>
      <c r="E1921">
        <v>4</v>
      </c>
      <c r="F1921">
        <v>4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3</v>
      </c>
      <c r="N1921">
        <v>1</v>
      </c>
      <c r="O1921">
        <f t="shared" si="60"/>
        <v>2025</v>
      </c>
      <c r="P1921">
        <f t="shared" si="61"/>
        <v>5</v>
      </c>
      <c r="Q1921" t="s">
        <v>570</v>
      </c>
      <c r="R1921" s="546" t="s">
        <v>804</v>
      </c>
    </row>
    <row r="1922" spans="1:18" x14ac:dyDescent="0.3">
      <c r="A1922" t="s">
        <v>627</v>
      </c>
      <c r="B1922" s="16">
        <v>45803</v>
      </c>
      <c r="C1922" t="s">
        <v>3</v>
      </c>
      <c r="D1922" t="s">
        <v>251</v>
      </c>
      <c r="E1922">
        <v>209</v>
      </c>
      <c r="F1922">
        <v>97</v>
      </c>
      <c r="G1922">
        <v>14</v>
      </c>
      <c r="H1922">
        <v>6</v>
      </c>
      <c r="I1922">
        <v>47955</v>
      </c>
      <c r="J1922">
        <v>12</v>
      </c>
      <c r="K1922">
        <v>40990</v>
      </c>
      <c r="L1922">
        <v>12</v>
      </c>
      <c r="M1922">
        <v>68</v>
      </c>
      <c r="N1922">
        <v>179</v>
      </c>
      <c r="O1922">
        <f t="shared" si="60"/>
        <v>2025</v>
      </c>
      <c r="P1922">
        <f t="shared" si="61"/>
        <v>5</v>
      </c>
      <c r="Q1922" t="s">
        <v>570</v>
      </c>
      <c r="R1922" s="546" t="s">
        <v>804</v>
      </c>
    </row>
    <row r="1923" spans="1:18" x14ac:dyDescent="0.3">
      <c r="A1923" t="s">
        <v>627</v>
      </c>
      <c r="B1923" s="16">
        <v>45803</v>
      </c>
      <c r="C1923" t="s">
        <v>3</v>
      </c>
      <c r="D1923" t="s">
        <v>143</v>
      </c>
      <c r="E1923">
        <v>27</v>
      </c>
      <c r="F1923">
        <v>25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27</v>
      </c>
      <c r="O1923">
        <f t="shared" si="60"/>
        <v>2025</v>
      </c>
      <c r="P1923">
        <f t="shared" si="61"/>
        <v>5</v>
      </c>
      <c r="Q1923" t="s">
        <v>570</v>
      </c>
      <c r="R1923" s="546" t="s">
        <v>804</v>
      </c>
    </row>
    <row r="1924" spans="1:18" x14ac:dyDescent="0.3">
      <c r="A1924" t="s">
        <v>627</v>
      </c>
      <c r="B1924" s="16">
        <v>45803</v>
      </c>
      <c r="C1924" t="s">
        <v>3</v>
      </c>
      <c r="D1924" t="s">
        <v>141</v>
      </c>
      <c r="E1924">
        <v>411</v>
      </c>
      <c r="F1924">
        <v>249</v>
      </c>
      <c r="G1924">
        <v>7</v>
      </c>
      <c r="H1924">
        <v>1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411</v>
      </c>
      <c r="O1924">
        <f t="shared" si="60"/>
        <v>2025</v>
      </c>
      <c r="P1924">
        <f t="shared" si="61"/>
        <v>5</v>
      </c>
      <c r="Q1924" t="s">
        <v>570</v>
      </c>
      <c r="R1924" s="546" t="s">
        <v>804</v>
      </c>
    </row>
    <row r="1925" spans="1:18" x14ac:dyDescent="0.3">
      <c r="A1925" t="s">
        <v>627</v>
      </c>
      <c r="B1925" s="16">
        <v>45803</v>
      </c>
      <c r="C1925" t="s">
        <v>3</v>
      </c>
      <c r="D1925" t="s">
        <v>140</v>
      </c>
      <c r="E1925">
        <v>56</v>
      </c>
      <c r="F1925">
        <v>52</v>
      </c>
      <c r="G1925">
        <v>28</v>
      </c>
      <c r="H1925">
        <v>0</v>
      </c>
      <c r="I1925">
        <v>44615</v>
      </c>
      <c r="J1925">
        <v>15</v>
      </c>
      <c r="K1925">
        <v>42325</v>
      </c>
      <c r="L1925">
        <v>15</v>
      </c>
      <c r="M1925">
        <v>4</v>
      </c>
      <c r="N1925">
        <v>55</v>
      </c>
      <c r="O1925">
        <f t="shared" si="60"/>
        <v>2025</v>
      </c>
      <c r="P1925">
        <f t="shared" si="61"/>
        <v>5</v>
      </c>
      <c r="Q1925" t="s">
        <v>570</v>
      </c>
      <c r="R1925" s="546" t="s">
        <v>804</v>
      </c>
    </row>
    <row r="1926" spans="1:18" x14ac:dyDescent="0.3">
      <c r="A1926" t="s">
        <v>627</v>
      </c>
      <c r="B1926" s="16">
        <v>45803</v>
      </c>
      <c r="C1926" t="s">
        <v>3</v>
      </c>
      <c r="D1926" t="s">
        <v>139</v>
      </c>
      <c r="E1926">
        <v>699</v>
      </c>
      <c r="F1926">
        <v>424</v>
      </c>
      <c r="G1926">
        <v>109</v>
      </c>
      <c r="H1926">
        <v>9</v>
      </c>
      <c r="I1926">
        <v>165547.74</v>
      </c>
      <c r="J1926">
        <v>51</v>
      </c>
      <c r="K1926">
        <v>116637.74</v>
      </c>
      <c r="L1926">
        <v>39</v>
      </c>
      <c r="M1926">
        <v>266</v>
      </c>
      <c r="N1926">
        <v>512</v>
      </c>
      <c r="O1926">
        <f t="shared" si="60"/>
        <v>2025</v>
      </c>
      <c r="P1926">
        <f t="shared" si="61"/>
        <v>5</v>
      </c>
      <c r="Q1926" t="s">
        <v>570</v>
      </c>
      <c r="R1926" s="546" t="s">
        <v>804</v>
      </c>
    </row>
    <row r="1927" spans="1:18" x14ac:dyDescent="0.3">
      <c r="A1927" t="s">
        <v>627</v>
      </c>
      <c r="B1927" s="16">
        <v>45803</v>
      </c>
      <c r="C1927" t="s">
        <v>3</v>
      </c>
      <c r="D1927" t="s">
        <v>138</v>
      </c>
      <c r="E1927">
        <v>8</v>
      </c>
      <c r="F1927">
        <v>7</v>
      </c>
      <c r="G1927">
        <v>0</v>
      </c>
      <c r="H1927">
        <v>0</v>
      </c>
      <c r="I1927">
        <v>2875</v>
      </c>
      <c r="J1927">
        <v>1</v>
      </c>
      <c r="K1927">
        <v>2875</v>
      </c>
      <c r="L1927">
        <v>1</v>
      </c>
      <c r="M1927">
        <v>0</v>
      </c>
      <c r="N1927">
        <v>8</v>
      </c>
      <c r="O1927">
        <f t="shared" si="60"/>
        <v>2025</v>
      </c>
      <c r="P1927">
        <f t="shared" si="61"/>
        <v>5</v>
      </c>
      <c r="Q1927" t="s">
        <v>570</v>
      </c>
      <c r="R1927" s="546" t="s">
        <v>804</v>
      </c>
    </row>
    <row r="1928" spans="1:18" x14ac:dyDescent="0.3">
      <c r="A1928" t="s">
        <v>627</v>
      </c>
      <c r="B1928" s="16">
        <v>45803</v>
      </c>
      <c r="C1928" t="s">
        <v>3</v>
      </c>
      <c r="D1928" t="s">
        <v>135</v>
      </c>
      <c r="E1928">
        <v>13</v>
      </c>
      <c r="F1928">
        <v>6</v>
      </c>
      <c r="G1928">
        <v>1</v>
      </c>
      <c r="H1928">
        <v>0</v>
      </c>
      <c r="I1928">
        <v>4565</v>
      </c>
      <c r="J1928">
        <v>2</v>
      </c>
      <c r="K1928">
        <v>4565</v>
      </c>
      <c r="L1928">
        <v>2</v>
      </c>
      <c r="M1928">
        <v>1</v>
      </c>
      <c r="N1928">
        <v>13</v>
      </c>
      <c r="O1928">
        <f t="shared" si="60"/>
        <v>2025</v>
      </c>
      <c r="P1928">
        <f t="shared" si="61"/>
        <v>5</v>
      </c>
      <c r="Q1928" t="s">
        <v>570</v>
      </c>
      <c r="R1928" s="546" t="s">
        <v>804</v>
      </c>
    </row>
    <row r="1929" spans="1:18" x14ac:dyDescent="0.3">
      <c r="A1929" t="s">
        <v>627</v>
      </c>
      <c r="B1929" s="16">
        <v>45803</v>
      </c>
      <c r="C1929" t="s">
        <v>3</v>
      </c>
      <c r="D1929" t="s">
        <v>133</v>
      </c>
      <c r="E1929">
        <v>20</v>
      </c>
      <c r="F1929">
        <v>13</v>
      </c>
      <c r="G1929">
        <v>3</v>
      </c>
      <c r="H1929">
        <v>1</v>
      </c>
      <c r="I1929">
        <v>10065</v>
      </c>
      <c r="J1929">
        <v>3</v>
      </c>
      <c r="K1929">
        <v>7270</v>
      </c>
      <c r="L1929">
        <v>3</v>
      </c>
      <c r="M1929">
        <v>2</v>
      </c>
      <c r="N1929">
        <v>18</v>
      </c>
      <c r="O1929">
        <f t="shared" si="60"/>
        <v>2025</v>
      </c>
      <c r="P1929">
        <f t="shared" si="61"/>
        <v>5</v>
      </c>
      <c r="Q1929" t="s">
        <v>570</v>
      </c>
      <c r="R1929" s="546" t="s">
        <v>804</v>
      </c>
    </row>
    <row r="1930" spans="1:18" x14ac:dyDescent="0.3">
      <c r="A1930" t="s">
        <v>627</v>
      </c>
      <c r="B1930" s="16">
        <v>45803</v>
      </c>
      <c r="C1930" t="s">
        <v>3</v>
      </c>
      <c r="D1930" t="s">
        <v>130</v>
      </c>
      <c r="E1930">
        <v>111</v>
      </c>
      <c r="F1930">
        <v>44</v>
      </c>
      <c r="G1930">
        <v>13</v>
      </c>
      <c r="H1930">
        <v>2</v>
      </c>
      <c r="I1930">
        <v>63842</v>
      </c>
      <c r="J1930">
        <v>12</v>
      </c>
      <c r="K1930">
        <v>48801</v>
      </c>
      <c r="L1930">
        <v>11</v>
      </c>
      <c r="M1930">
        <v>56</v>
      </c>
      <c r="N1930">
        <v>85</v>
      </c>
      <c r="O1930">
        <f t="shared" si="60"/>
        <v>2025</v>
      </c>
      <c r="P1930">
        <f t="shared" si="61"/>
        <v>5</v>
      </c>
      <c r="Q1930" t="s">
        <v>570</v>
      </c>
      <c r="R1930" s="546" t="s">
        <v>804</v>
      </c>
    </row>
    <row r="1931" spans="1:18" x14ac:dyDescent="0.3">
      <c r="A1931" t="s">
        <v>627</v>
      </c>
      <c r="B1931" s="16">
        <v>45803</v>
      </c>
      <c r="C1931" t="s">
        <v>3</v>
      </c>
      <c r="D1931" t="s">
        <v>128</v>
      </c>
      <c r="E1931">
        <v>781</v>
      </c>
      <c r="F1931">
        <v>581</v>
      </c>
      <c r="G1931">
        <v>63</v>
      </c>
      <c r="H1931">
        <v>9</v>
      </c>
      <c r="I1931">
        <v>64691</v>
      </c>
      <c r="J1931">
        <v>17</v>
      </c>
      <c r="K1931">
        <v>53371</v>
      </c>
      <c r="L1931">
        <v>17</v>
      </c>
      <c r="M1931">
        <v>351</v>
      </c>
      <c r="N1931">
        <v>575</v>
      </c>
      <c r="O1931">
        <f t="shared" si="60"/>
        <v>2025</v>
      </c>
      <c r="P1931">
        <f t="shared" si="61"/>
        <v>5</v>
      </c>
      <c r="Q1931" t="s">
        <v>570</v>
      </c>
      <c r="R1931" s="546" t="s">
        <v>804</v>
      </c>
    </row>
    <row r="1932" spans="1:18" x14ac:dyDescent="0.3">
      <c r="A1932" t="s">
        <v>627</v>
      </c>
      <c r="B1932" s="16">
        <v>45803</v>
      </c>
      <c r="C1932" t="s">
        <v>3</v>
      </c>
      <c r="D1932" t="s">
        <v>127</v>
      </c>
      <c r="E1932">
        <v>5121</v>
      </c>
      <c r="F1932">
        <v>4045</v>
      </c>
      <c r="G1932">
        <v>62</v>
      </c>
      <c r="H1932">
        <v>37</v>
      </c>
      <c r="I1932">
        <v>45851</v>
      </c>
      <c r="J1932">
        <v>11</v>
      </c>
      <c r="K1932">
        <v>36275</v>
      </c>
      <c r="L1932">
        <v>11</v>
      </c>
      <c r="M1932">
        <v>308</v>
      </c>
      <c r="N1932">
        <v>4930</v>
      </c>
      <c r="O1932">
        <f t="shared" si="60"/>
        <v>2025</v>
      </c>
      <c r="P1932">
        <f t="shared" si="61"/>
        <v>5</v>
      </c>
      <c r="Q1932" t="s">
        <v>570</v>
      </c>
      <c r="R1932" s="546" t="s">
        <v>804</v>
      </c>
    </row>
    <row r="1933" spans="1:18" x14ac:dyDescent="0.3">
      <c r="A1933" t="s">
        <v>627</v>
      </c>
      <c r="B1933" s="16">
        <v>45803</v>
      </c>
      <c r="C1933" t="s">
        <v>3</v>
      </c>
      <c r="D1933" t="s">
        <v>126</v>
      </c>
      <c r="E1933">
        <v>89</v>
      </c>
      <c r="F1933">
        <v>57</v>
      </c>
      <c r="G1933">
        <v>11</v>
      </c>
      <c r="H1933">
        <v>2</v>
      </c>
      <c r="I1933">
        <v>15998</v>
      </c>
      <c r="J1933">
        <v>5</v>
      </c>
      <c r="K1933">
        <v>13203</v>
      </c>
      <c r="L1933">
        <v>4</v>
      </c>
      <c r="M1933">
        <v>16</v>
      </c>
      <c r="N1933">
        <v>88</v>
      </c>
      <c r="O1933">
        <f t="shared" si="60"/>
        <v>2025</v>
      </c>
      <c r="P1933">
        <f t="shared" si="61"/>
        <v>5</v>
      </c>
      <c r="Q1933" t="s">
        <v>570</v>
      </c>
      <c r="R1933" s="546" t="s">
        <v>804</v>
      </c>
    </row>
    <row r="1934" spans="1:18" x14ac:dyDescent="0.3">
      <c r="A1934" t="s">
        <v>627</v>
      </c>
      <c r="B1934" s="16">
        <v>45803</v>
      </c>
      <c r="C1934" t="s">
        <v>3</v>
      </c>
      <c r="D1934" t="s">
        <v>125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1</v>
      </c>
      <c r="O1934">
        <f t="shared" si="60"/>
        <v>2025</v>
      </c>
      <c r="P1934">
        <f t="shared" si="61"/>
        <v>5</v>
      </c>
      <c r="Q1934" t="s">
        <v>570</v>
      </c>
      <c r="R1934" s="546" t="s">
        <v>804</v>
      </c>
    </row>
    <row r="1935" spans="1:18" x14ac:dyDescent="0.3">
      <c r="A1935" t="s">
        <v>627</v>
      </c>
      <c r="B1935" s="16">
        <v>45803</v>
      </c>
      <c r="C1935" t="s">
        <v>3</v>
      </c>
      <c r="D1935" t="s">
        <v>123</v>
      </c>
      <c r="E1935">
        <v>243</v>
      </c>
      <c r="F1935">
        <v>126</v>
      </c>
      <c r="G1935">
        <v>7</v>
      </c>
      <c r="H1935">
        <v>2</v>
      </c>
      <c r="I1935">
        <v>12165</v>
      </c>
      <c r="J1935">
        <v>2</v>
      </c>
      <c r="K1935">
        <v>4980</v>
      </c>
      <c r="L1935">
        <v>1</v>
      </c>
      <c r="M1935">
        <v>73</v>
      </c>
      <c r="N1935">
        <v>227</v>
      </c>
      <c r="O1935">
        <f t="shared" si="60"/>
        <v>2025</v>
      </c>
      <c r="P1935">
        <f t="shared" si="61"/>
        <v>5</v>
      </c>
      <c r="Q1935" t="s">
        <v>570</v>
      </c>
      <c r="R1935" s="546" t="s">
        <v>804</v>
      </c>
    </row>
    <row r="1936" spans="1:18" x14ac:dyDescent="0.3">
      <c r="A1936" t="s">
        <v>627</v>
      </c>
      <c r="B1936" s="16">
        <v>45803</v>
      </c>
      <c r="C1936" t="s">
        <v>3</v>
      </c>
      <c r="D1936" t="s">
        <v>122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f t="shared" si="60"/>
        <v>2025</v>
      </c>
      <c r="P1936">
        <f t="shared" si="61"/>
        <v>5</v>
      </c>
      <c r="Q1936" t="s">
        <v>570</v>
      </c>
      <c r="R1936" s="546" t="s">
        <v>804</v>
      </c>
    </row>
    <row r="1937" spans="1:18" x14ac:dyDescent="0.3">
      <c r="A1937" t="s">
        <v>627</v>
      </c>
      <c r="B1937" s="16">
        <v>45803</v>
      </c>
      <c r="C1937" t="s">
        <v>3</v>
      </c>
      <c r="D1937" t="s">
        <v>121</v>
      </c>
      <c r="E1937">
        <v>2</v>
      </c>
      <c r="F1937">
        <v>2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2</v>
      </c>
      <c r="O1937">
        <f t="shared" si="60"/>
        <v>2025</v>
      </c>
      <c r="P1937">
        <f t="shared" si="61"/>
        <v>5</v>
      </c>
      <c r="Q1937" t="s">
        <v>570</v>
      </c>
      <c r="R1937" s="546" t="s">
        <v>804</v>
      </c>
    </row>
    <row r="1938" spans="1:18" x14ac:dyDescent="0.3">
      <c r="A1938" t="s">
        <v>627</v>
      </c>
      <c r="B1938" s="16">
        <v>45803</v>
      </c>
      <c r="C1938" t="s">
        <v>3</v>
      </c>
      <c r="D1938" t="s">
        <v>119</v>
      </c>
      <c r="E1938">
        <v>328</v>
      </c>
      <c r="F1938">
        <v>106</v>
      </c>
      <c r="G1938">
        <v>68</v>
      </c>
      <c r="H1938">
        <v>13</v>
      </c>
      <c r="I1938">
        <v>188490</v>
      </c>
      <c r="J1938">
        <v>48</v>
      </c>
      <c r="K1938">
        <v>129781</v>
      </c>
      <c r="L1938">
        <v>38</v>
      </c>
      <c r="M1938">
        <v>80</v>
      </c>
      <c r="N1938">
        <v>315</v>
      </c>
      <c r="O1938">
        <f t="shared" si="60"/>
        <v>2025</v>
      </c>
      <c r="P1938">
        <f t="shared" si="61"/>
        <v>5</v>
      </c>
      <c r="Q1938" t="s">
        <v>570</v>
      </c>
      <c r="R1938" s="546" t="s">
        <v>804</v>
      </c>
    </row>
    <row r="1939" spans="1:18" x14ac:dyDescent="0.3">
      <c r="A1939" t="s">
        <v>627</v>
      </c>
      <c r="B1939" s="16">
        <v>45803</v>
      </c>
      <c r="C1939" t="s">
        <v>3</v>
      </c>
      <c r="D1939" t="s">
        <v>583</v>
      </c>
      <c r="E1939">
        <v>2</v>
      </c>
      <c r="F1939">
        <v>2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2</v>
      </c>
      <c r="O1939">
        <f t="shared" si="60"/>
        <v>2025</v>
      </c>
      <c r="P1939">
        <f t="shared" si="61"/>
        <v>5</v>
      </c>
      <c r="Q1939" t="s">
        <v>570</v>
      </c>
      <c r="R1939" s="546" t="s">
        <v>804</v>
      </c>
    </row>
    <row r="1940" spans="1:18" x14ac:dyDescent="0.3">
      <c r="A1940" t="s">
        <v>627</v>
      </c>
      <c r="B1940" s="16">
        <v>45803</v>
      </c>
      <c r="C1940" t="s">
        <v>3</v>
      </c>
      <c r="D1940" t="s">
        <v>252</v>
      </c>
      <c r="E1940">
        <v>4</v>
      </c>
      <c r="F1940">
        <v>4</v>
      </c>
      <c r="G1940">
        <v>0</v>
      </c>
      <c r="H1940">
        <v>1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4</v>
      </c>
      <c r="O1940">
        <f t="shared" si="60"/>
        <v>2025</v>
      </c>
      <c r="P1940">
        <f t="shared" si="61"/>
        <v>5</v>
      </c>
      <c r="Q1940" t="s">
        <v>570</v>
      </c>
      <c r="R1940" s="546" t="s">
        <v>804</v>
      </c>
    </row>
    <row r="1941" spans="1:18" x14ac:dyDescent="0.3">
      <c r="A1941" t="s">
        <v>627</v>
      </c>
      <c r="B1941" s="16">
        <v>45803</v>
      </c>
      <c r="C1941" t="s">
        <v>3</v>
      </c>
      <c r="D1941" t="s">
        <v>117</v>
      </c>
      <c r="E1941">
        <v>1</v>
      </c>
      <c r="F1941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f t="shared" si="60"/>
        <v>2025</v>
      </c>
      <c r="P1941">
        <f t="shared" si="61"/>
        <v>5</v>
      </c>
      <c r="Q1941" t="s">
        <v>570</v>
      </c>
      <c r="R1941" s="546" t="s">
        <v>804</v>
      </c>
    </row>
    <row r="1942" spans="1:18" x14ac:dyDescent="0.3">
      <c r="A1942" t="s">
        <v>627</v>
      </c>
      <c r="B1942" s="16">
        <v>45803</v>
      </c>
      <c r="C1942" t="s">
        <v>3</v>
      </c>
      <c r="D1942" t="s">
        <v>391</v>
      </c>
      <c r="E1942">
        <v>455</v>
      </c>
      <c r="F1942">
        <v>240</v>
      </c>
      <c r="G1942">
        <v>25</v>
      </c>
      <c r="H1942">
        <v>3</v>
      </c>
      <c r="I1942">
        <v>48882.26</v>
      </c>
      <c r="J1942">
        <v>12</v>
      </c>
      <c r="K1942">
        <v>33060.26</v>
      </c>
      <c r="L1942">
        <v>9</v>
      </c>
      <c r="M1942">
        <v>61</v>
      </c>
      <c r="N1942">
        <v>449</v>
      </c>
      <c r="O1942">
        <f t="shared" si="60"/>
        <v>2025</v>
      </c>
      <c r="P1942">
        <f t="shared" si="61"/>
        <v>5</v>
      </c>
      <c r="Q1942" t="s">
        <v>570</v>
      </c>
      <c r="R1942" s="546" t="s">
        <v>804</v>
      </c>
    </row>
    <row r="1943" spans="1:18" x14ac:dyDescent="0.3">
      <c r="A1943" t="s">
        <v>627</v>
      </c>
      <c r="B1943" s="16">
        <v>45803</v>
      </c>
      <c r="C1943" t="s">
        <v>3</v>
      </c>
      <c r="D1943" t="s">
        <v>114</v>
      </c>
      <c r="E1943">
        <v>148</v>
      </c>
      <c r="F1943">
        <v>59</v>
      </c>
      <c r="G1943">
        <v>6</v>
      </c>
      <c r="H1943">
        <v>3</v>
      </c>
      <c r="I1943">
        <v>2298</v>
      </c>
      <c r="J1943">
        <v>1</v>
      </c>
      <c r="K1943">
        <v>2298</v>
      </c>
      <c r="L1943">
        <v>1</v>
      </c>
      <c r="M1943">
        <v>13</v>
      </c>
      <c r="N1943">
        <v>145</v>
      </c>
      <c r="O1943">
        <f t="shared" si="60"/>
        <v>2025</v>
      </c>
      <c r="P1943">
        <f t="shared" si="61"/>
        <v>5</v>
      </c>
      <c r="Q1943" t="s">
        <v>570</v>
      </c>
      <c r="R1943" s="546" t="s">
        <v>804</v>
      </c>
    </row>
    <row r="1944" spans="1:18" x14ac:dyDescent="0.3">
      <c r="A1944" t="s">
        <v>627</v>
      </c>
      <c r="B1944" s="16">
        <v>45803</v>
      </c>
      <c r="C1944" t="s">
        <v>3</v>
      </c>
      <c r="D1944" t="s">
        <v>113</v>
      </c>
      <c r="E1944">
        <v>79</v>
      </c>
      <c r="F1944">
        <v>37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63</v>
      </c>
      <c r="N1944">
        <v>52</v>
      </c>
      <c r="O1944">
        <f t="shared" si="60"/>
        <v>2025</v>
      </c>
      <c r="P1944">
        <f t="shared" si="61"/>
        <v>5</v>
      </c>
      <c r="Q1944" t="s">
        <v>570</v>
      </c>
      <c r="R1944" s="546" t="s">
        <v>804</v>
      </c>
    </row>
    <row r="1945" spans="1:18" x14ac:dyDescent="0.3">
      <c r="A1945" t="s">
        <v>627</v>
      </c>
      <c r="B1945" s="16">
        <v>45803</v>
      </c>
      <c r="C1945" t="s">
        <v>3</v>
      </c>
      <c r="D1945" t="s">
        <v>112</v>
      </c>
      <c r="E1945">
        <v>34</v>
      </c>
      <c r="F1945">
        <v>8</v>
      </c>
      <c r="G1945">
        <v>0</v>
      </c>
      <c r="H1945">
        <v>0</v>
      </c>
      <c r="I1945">
        <v>9930</v>
      </c>
      <c r="J1945">
        <v>4</v>
      </c>
      <c r="K1945">
        <v>9930</v>
      </c>
      <c r="L1945">
        <v>4</v>
      </c>
      <c r="M1945">
        <v>0</v>
      </c>
      <c r="N1945">
        <v>34</v>
      </c>
      <c r="O1945">
        <f t="shared" si="60"/>
        <v>2025</v>
      </c>
      <c r="P1945">
        <f t="shared" si="61"/>
        <v>5</v>
      </c>
      <c r="Q1945" t="s">
        <v>570</v>
      </c>
      <c r="R1945" s="546" t="s">
        <v>804</v>
      </c>
    </row>
    <row r="1946" spans="1:18" x14ac:dyDescent="0.3">
      <c r="A1946" t="s">
        <v>627</v>
      </c>
      <c r="B1946" s="16">
        <v>45803</v>
      </c>
      <c r="C1946" t="s">
        <v>3</v>
      </c>
      <c r="D1946" t="s">
        <v>111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f t="shared" si="60"/>
        <v>2025</v>
      </c>
      <c r="P1946">
        <f t="shared" si="61"/>
        <v>5</v>
      </c>
      <c r="Q1946" t="s">
        <v>570</v>
      </c>
      <c r="R1946" s="546" t="s">
        <v>804</v>
      </c>
    </row>
    <row r="1947" spans="1:18" x14ac:dyDescent="0.3">
      <c r="A1947" t="s">
        <v>627</v>
      </c>
      <c r="B1947" s="16">
        <v>45802</v>
      </c>
      <c r="C1947" t="s">
        <v>2</v>
      </c>
      <c r="D1947" t="s">
        <v>4</v>
      </c>
      <c r="E1947">
        <v>375</v>
      </c>
      <c r="F1947">
        <v>124</v>
      </c>
      <c r="G1947">
        <v>12</v>
      </c>
      <c r="H1947">
        <v>3</v>
      </c>
      <c r="I1947">
        <v>8994.02</v>
      </c>
      <c r="J1947">
        <v>3</v>
      </c>
      <c r="K1947">
        <v>8994.02</v>
      </c>
      <c r="L1947">
        <v>3</v>
      </c>
      <c r="M1947">
        <v>5</v>
      </c>
      <c r="N1947">
        <v>375</v>
      </c>
      <c r="O1947">
        <f t="shared" si="60"/>
        <v>2025</v>
      </c>
      <c r="P1947">
        <f t="shared" si="61"/>
        <v>5</v>
      </c>
      <c r="Q1947" t="s">
        <v>570</v>
      </c>
      <c r="R1947" s="546" t="s">
        <v>804</v>
      </c>
    </row>
    <row r="1948" spans="1:18" x14ac:dyDescent="0.3">
      <c r="A1948" t="s">
        <v>627</v>
      </c>
      <c r="B1948" s="16">
        <v>45802</v>
      </c>
      <c r="C1948" t="s">
        <v>2</v>
      </c>
      <c r="D1948" t="s">
        <v>57</v>
      </c>
      <c r="E1948">
        <v>18658</v>
      </c>
      <c r="F1948">
        <v>12637</v>
      </c>
      <c r="G1948">
        <v>355</v>
      </c>
      <c r="H1948">
        <v>263</v>
      </c>
      <c r="I1948">
        <v>306934</v>
      </c>
      <c r="J1948">
        <v>56</v>
      </c>
      <c r="K1948">
        <v>129026</v>
      </c>
      <c r="L1948">
        <v>32</v>
      </c>
      <c r="M1948">
        <v>1285</v>
      </c>
      <c r="N1948">
        <v>18421</v>
      </c>
      <c r="O1948">
        <f t="shared" si="60"/>
        <v>2025</v>
      </c>
      <c r="P1948">
        <f t="shared" si="61"/>
        <v>5</v>
      </c>
      <c r="Q1948" t="s">
        <v>570</v>
      </c>
      <c r="R1948" s="546" t="s">
        <v>804</v>
      </c>
    </row>
    <row r="1949" spans="1:18" x14ac:dyDescent="0.3">
      <c r="A1949" t="s">
        <v>627</v>
      </c>
      <c r="B1949" s="16">
        <v>45802</v>
      </c>
      <c r="C1949" t="s">
        <v>2</v>
      </c>
      <c r="D1949" t="s">
        <v>55</v>
      </c>
      <c r="E1949">
        <v>2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</v>
      </c>
      <c r="O1949">
        <f t="shared" si="60"/>
        <v>2025</v>
      </c>
      <c r="P1949">
        <f t="shared" si="61"/>
        <v>5</v>
      </c>
      <c r="Q1949" t="s">
        <v>570</v>
      </c>
      <c r="R1949" s="546" t="s">
        <v>804</v>
      </c>
    </row>
    <row r="1950" spans="1:18" x14ac:dyDescent="0.3">
      <c r="A1950" t="s">
        <v>627</v>
      </c>
      <c r="B1950" s="16">
        <v>45802</v>
      </c>
      <c r="C1950" t="s">
        <v>3</v>
      </c>
      <c r="D1950" t="s">
        <v>155</v>
      </c>
      <c r="E1950">
        <v>6</v>
      </c>
      <c r="F1950">
        <v>5</v>
      </c>
      <c r="G1950">
        <v>0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6</v>
      </c>
      <c r="O1950">
        <f t="shared" si="60"/>
        <v>2025</v>
      </c>
      <c r="P1950">
        <f t="shared" si="61"/>
        <v>5</v>
      </c>
      <c r="Q1950" t="s">
        <v>570</v>
      </c>
      <c r="R1950" s="546" t="s">
        <v>804</v>
      </c>
    </row>
    <row r="1951" spans="1:18" x14ac:dyDescent="0.3">
      <c r="A1951" t="s">
        <v>627</v>
      </c>
      <c r="B1951" s="16">
        <v>45802</v>
      </c>
      <c r="C1951" t="s">
        <v>3</v>
      </c>
      <c r="D1951" t="s">
        <v>154</v>
      </c>
      <c r="E1951">
        <v>2</v>
      </c>
      <c r="F1951">
        <v>2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f t="shared" si="60"/>
        <v>2025</v>
      </c>
      <c r="P1951">
        <f t="shared" si="61"/>
        <v>5</v>
      </c>
      <c r="Q1951" t="s">
        <v>570</v>
      </c>
      <c r="R1951" s="546" t="s">
        <v>804</v>
      </c>
    </row>
    <row r="1952" spans="1:18" x14ac:dyDescent="0.3">
      <c r="A1952" t="s">
        <v>627</v>
      </c>
      <c r="B1952" s="16">
        <v>45802</v>
      </c>
      <c r="C1952" t="s">
        <v>3</v>
      </c>
      <c r="D1952" t="s">
        <v>153</v>
      </c>
      <c r="E1952">
        <v>386</v>
      </c>
      <c r="F1952">
        <v>95</v>
      </c>
      <c r="G1952">
        <v>41</v>
      </c>
      <c r="H1952">
        <v>4</v>
      </c>
      <c r="I1952">
        <v>146191.79999999999</v>
      </c>
      <c r="J1952">
        <v>40</v>
      </c>
      <c r="K1952">
        <v>116746.8</v>
      </c>
      <c r="L1952">
        <v>35</v>
      </c>
      <c r="M1952">
        <v>92</v>
      </c>
      <c r="N1952">
        <v>367</v>
      </c>
      <c r="O1952">
        <f t="shared" si="60"/>
        <v>2025</v>
      </c>
      <c r="P1952">
        <f t="shared" si="61"/>
        <v>5</v>
      </c>
      <c r="Q1952" t="s">
        <v>570</v>
      </c>
      <c r="R1952" s="546" t="s">
        <v>804</v>
      </c>
    </row>
    <row r="1953" spans="1:18" x14ac:dyDescent="0.3">
      <c r="A1953" t="s">
        <v>627</v>
      </c>
      <c r="B1953" s="16">
        <v>45802</v>
      </c>
      <c r="C1953" t="s">
        <v>3</v>
      </c>
      <c r="D1953" t="s">
        <v>152</v>
      </c>
      <c r="E1953">
        <v>23</v>
      </c>
      <c r="F1953">
        <v>9</v>
      </c>
      <c r="G1953">
        <v>1</v>
      </c>
      <c r="H1953">
        <v>2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21</v>
      </c>
      <c r="O1953">
        <f t="shared" si="60"/>
        <v>2025</v>
      </c>
      <c r="P1953">
        <f t="shared" si="61"/>
        <v>5</v>
      </c>
      <c r="Q1953" t="s">
        <v>570</v>
      </c>
      <c r="R1953" s="546" t="s">
        <v>804</v>
      </c>
    </row>
    <row r="1954" spans="1:18" x14ac:dyDescent="0.3">
      <c r="A1954" t="s">
        <v>627</v>
      </c>
      <c r="B1954" s="16">
        <v>45802</v>
      </c>
      <c r="C1954" t="s">
        <v>3</v>
      </c>
      <c r="D1954" t="s">
        <v>150</v>
      </c>
      <c r="E1954">
        <v>2</v>
      </c>
      <c r="F1954">
        <v>2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2</v>
      </c>
      <c r="O1954">
        <f t="shared" si="60"/>
        <v>2025</v>
      </c>
      <c r="P1954">
        <f t="shared" si="61"/>
        <v>5</v>
      </c>
      <c r="Q1954" t="s">
        <v>570</v>
      </c>
      <c r="R1954" s="546" t="s">
        <v>804</v>
      </c>
    </row>
    <row r="1955" spans="1:18" x14ac:dyDescent="0.3">
      <c r="A1955" t="s">
        <v>627</v>
      </c>
      <c r="B1955" s="16">
        <v>45802</v>
      </c>
      <c r="C1955" t="s">
        <v>3</v>
      </c>
      <c r="D1955" t="s">
        <v>149</v>
      </c>
      <c r="E1955">
        <v>9</v>
      </c>
      <c r="F1955">
        <v>6</v>
      </c>
      <c r="G1955">
        <v>0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9</v>
      </c>
      <c r="O1955">
        <f t="shared" si="60"/>
        <v>2025</v>
      </c>
      <c r="P1955">
        <f t="shared" si="61"/>
        <v>5</v>
      </c>
      <c r="Q1955" t="s">
        <v>570</v>
      </c>
      <c r="R1955" s="546" t="s">
        <v>804</v>
      </c>
    </row>
    <row r="1956" spans="1:18" x14ac:dyDescent="0.3">
      <c r="A1956" t="s">
        <v>627</v>
      </c>
      <c r="B1956" s="16">
        <v>45802</v>
      </c>
      <c r="C1956" t="s">
        <v>3</v>
      </c>
      <c r="D1956" t="s">
        <v>148</v>
      </c>
      <c r="E1956">
        <v>3</v>
      </c>
      <c r="F1956">
        <v>2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1</v>
      </c>
      <c r="N1956">
        <v>2</v>
      </c>
      <c r="O1956">
        <f t="shared" si="60"/>
        <v>2025</v>
      </c>
      <c r="P1956">
        <f t="shared" si="61"/>
        <v>5</v>
      </c>
      <c r="Q1956" t="s">
        <v>570</v>
      </c>
      <c r="R1956" s="546" t="s">
        <v>804</v>
      </c>
    </row>
    <row r="1957" spans="1:18" x14ac:dyDescent="0.3">
      <c r="A1957" t="s">
        <v>627</v>
      </c>
      <c r="B1957" s="16">
        <v>45802</v>
      </c>
      <c r="C1957" t="s">
        <v>3</v>
      </c>
      <c r="D1957" t="s">
        <v>146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</v>
      </c>
      <c r="O1957">
        <f t="shared" si="60"/>
        <v>2025</v>
      </c>
      <c r="P1957">
        <f t="shared" si="61"/>
        <v>5</v>
      </c>
      <c r="Q1957" t="s">
        <v>570</v>
      </c>
      <c r="R1957" s="546" t="s">
        <v>804</v>
      </c>
    </row>
    <row r="1958" spans="1:18" x14ac:dyDescent="0.3">
      <c r="A1958" t="s">
        <v>627</v>
      </c>
      <c r="B1958" s="16">
        <v>45802</v>
      </c>
      <c r="C1958" t="s">
        <v>3</v>
      </c>
      <c r="D1958" t="s">
        <v>251</v>
      </c>
      <c r="E1958">
        <v>228</v>
      </c>
      <c r="F1958">
        <v>109</v>
      </c>
      <c r="G1958">
        <v>17</v>
      </c>
      <c r="H1958">
        <v>2</v>
      </c>
      <c r="I1958">
        <v>19957</v>
      </c>
      <c r="J1958">
        <v>7</v>
      </c>
      <c r="K1958">
        <v>19957</v>
      </c>
      <c r="L1958">
        <v>7</v>
      </c>
      <c r="M1958">
        <v>62</v>
      </c>
      <c r="N1958">
        <v>189</v>
      </c>
      <c r="O1958">
        <f t="shared" si="60"/>
        <v>2025</v>
      </c>
      <c r="P1958">
        <f t="shared" si="61"/>
        <v>5</v>
      </c>
      <c r="Q1958" t="s">
        <v>570</v>
      </c>
      <c r="R1958" s="546" t="s">
        <v>804</v>
      </c>
    </row>
    <row r="1959" spans="1:18" x14ac:dyDescent="0.3">
      <c r="A1959" t="s">
        <v>627</v>
      </c>
      <c r="B1959" s="16">
        <v>45802</v>
      </c>
      <c r="C1959" t="s">
        <v>3</v>
      </c>
      <c r="D1959" t="s">
        <v>143</v>
      </c>
      <c r="E1959">
        <v>38</v>
      </c>
      <c r="F1959">
        <v>32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38</v>
      </c>
      <c r="O1959">
        <f t="shared" si="60"/>
        <v>2025</v>
      </c>
      <c r="P1959">
        <f t="shared" si="61"/>
        <v>5</v>
      </c>
      <c r="Q1959" t="s">
        <v>570</v>
      </c>
      <c r="R1959" s="546" t="s">
        <v>804</v>
      </c>
    </row>
    <row r="1960" spans="1:18" x14ac:dyDescent="0.3">
      <c r="A1960" t="s">
        <v>627</v>
      </c>
      <c r="B1960" s="16">
        <v>45802</v>
      </c>
      <c r="C1960" t="s">
        <v>3</v>
      </c>
      <c r="D1960" t="s">
        <v>141</v>
      </c>
      <c r="E1960">
        <v>381</v>
      </c>
      <c r="F1960">
        <v>231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</v>
      </c>
      <c r="N1960">
        <v>380</v>
      </c>
      <c r="O1960">
        <f t="shared" si="60"/>
        <v>2025</v>
      </c>
      <c r="P1960">
        <f t="shared" si="61"/>
        <v>5</v>
      </c>
      <c r="Q1960" t="s">
        <v>570</v>
      </c>
      <c r="R1960" s="546" t="s">
        <v>804</v>
      </c>
    </row>
    <row r="1961" spans="1:18" x14ac:dyDescent="0.3">
      <c r="A1961" t="s">
        <v>627</v>
      </c>
      <c r="B1961" s="16">
        <v>45802</v>
      </c>
      <c r="C1961" t="s">
        <v>3</v>
      </c>
      <c r="D1961" t="s">
        <v>140</v>
      </c>
      <c r="E1961">
        <v>1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1</v>
      </c>
      <c r="N1961">
        <v>0</v>
      </c>
      <c r="O1961">
        <f t="shared" si="60"/>
        <v>2025</v>
      </c>
      <c r="P1961">
        <f t="shared" si="61"/>
        <v>5</v>
      </c>
      <c r="Q1961" t="s">
        <v>570</v>
      </c>
      <c r="R1961" s="546" t="s">
        <v>804</v>
      </c>
    </row>
    <row r="1962" spans="1:18" x14ac:dyDescent="0.3">
      <c r="A1962" t="s">
        <v>627</v>
      </c>
      <c r="B1962" s="16">
        <v>45802</v>
      </c>
      <c r="C1962" t="s">
        <v>3</v>
      </c>
      <c r="D1962" t="s">
        <v>139</v>
      </c>
      <c r="E1962">
        <v>636</v>
      </c>
      <c r="F1962">
        <v>392</v>
      </c>
      <c r="G1962">
        <v>38</v>
      </c>
      <c r="H1962">
        <v>9</v>
      </c>
      <c r="I1962">
        <v>63905</v>
      </c>
      <c r="J1962">
        <v>15</v>
      </c>
      <c r="K1962">
        <v>48545</v>
      </c>
      <c r="L1962">
        <v>14</v>
      </c>
      <c r="M1962">
        <v>263</v>
      </c>
      <c r="N1962">
        <v>413</v>
      </c>
      <c r="O1962">
        <f t="shared" si="60"/>
        <v>2025</v>
      </c>
      <c r="P1962">
        <f t="shared" si="61"/>
        <v>5</v>
      </c>
      <c r="Q1962" t="s">
        <v>570</v>
      </c>
      <c r="R1962" s="546" t="s">
        <v>804</v>
      </c>
    </row>
    <row r="1963" spans="1:18" x14ac:dyDescent="0.3">
      <c r="A1963" t="s">
        <v>627</v>
      </c>
      <c r="B1963" s="16">
        <v>45802</v>
      </c>
      <c r="C1963" t="s">
        <v>3</v>
      </c>
      <c r="D1963" t="s">
        <v>138</v>
      </c>
      <c r="E1963">
        <v>29</v>
      </c>
      <c r="F1963">
        <v>15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3</v>
      </c>
      <c r="N1963">
        <v>29</v>
      </c>
      <c r="O1963">
        <f t="shared" si="60"/>
        <v>2025</v>
      </c>
      <c r="P1963">
        <f t="shared" si="61"/>
        <v>5</v>
      </c>
      <c r="Q1963" t="s">
        <v>570</v>
      </c>
      <c r="R1963" s="546" t="s">
        <v>804</v>
      </c>
    </row>
    <row r="1964" spans="1:18" x14ac:dyDescent="0.3">
      <c r="A1964" t="s">
        <v>627</v>
      </c>
      <c r="B1964" s="16">
        <v>45802</v>
      </c>
      <c r="C1964" t="s">
        <v>3</v>
      </c>
      <c r="D1964" t="s">
        <v>135</v>
      </c>
      <c r="E1964">
        <v>8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</v>
      </c>
      <c r="N1964">
        <v>7</v>
      </c>
      <c r="O1964">
        <f t="shared" si="60"/>
        <v>2025</v>
      </c>
      <c r="P1964">
        <f t="shared" si="61"/>
        <v>5</v>
      </c>
      <c r="Q1964" t="s">
        <v>570</v>
      </c>
      <c r="R1964" s="546" t="s">
        <v>804</v>
      </c>
    </row>
    <row r="1965" spans="1:18" x14ac:dyDescent="0.3">
      <c r="A1965" t="s">
        <v>627</v>
      </c>
      <c r="B1965" s="16">
        <v>45802</v>
      </c>
      <c r="C1965" t="s">
        <v>3</v>
      </c>
      <c r="D1965" t="s">
        <v>133</v>
      </c>
      <c r="E1965">
        <v>18</v>
      </c>
      <c r="F1965">
        <v>9</v>
      </c>
      <c r="G1965">
        <v>2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3</v>
      </c>
      <c r="N1965">
        <v>17</v>
      </c>
      <c r="O1965">
        <f t="shared" si="60"/>
        <v>2025</v>
      </c>
      <c r="P1965">
        <f t="shared" si="61"/>
        <v>5</v>
      </c>
      <c r="Q1965" t="s">
        <v>570</v>
      </c>
      <c r="R1965" s="546" t="s">
        <v>804</v>
      </c>
    </row>
    <row r="1966" spans="1:18" x14ac:dyDescent="0.3">
      <c r="A1966" t="s">
        <v>627</v>
      </c>
      <c r="B1966" s="16">
        <v>45802</v>
      </c>
      <c r="C1966" t="s">
        <v>3</v>
      </c>
      <c r="D1966" t="s">
        <v>130</v>
      </c>
      <c r="E1966">
        <v>123</v>
      </c>
      <c r="F1966">
        <v>44</v>
      </c>
      <c r="G1966">
        <v>7</v>
      </c>
      <c r="H1966">
        <v>3</v>
      </c>
      <c r="I1966">
        <v>9548</v>
      </c>
      <c r="J1966">
        <v>3</v>
      </c>
      <c r="K1966">
        <v>9548</v>
      </c>
      <c r="L1966">
        <v>3</v>
      </c>
      <c r="M1966">
        <v>56</v>
      </c>
      <c r="N1966">
        <v>105</v>
      </c>
      <c r="O1966">
        <f t="shared" si="60"/>
        <v>2025</v>
      </c>
      <c r="P1966">
        <f t="shared" si="61"/>
        <v>5</v>
      </c>
      <c r="Q1966" t="s">
        <v>570</v>
      </c>
      <c r="R1966" s="546" t="s">
        <v>804</v>
      </c>
    </row>
    <row r="1967" spans="1:18" x14ac:dyDescent="0.3">
      <c r="A1967" t="s">
        <v>627</v>
      </c>
      <c r="B1967" s="16">
        <v>45802</v>
      </c>
      <c r="C1967" t="s">
        <v>3</v>
      </c>
      <c r="D1967" t="s">
        <v>128</v>
      </c>
      <c r="E1967">
        <v>829</v>
      </c>
      <c r="F1967">
        <v>652</v>
      </c>
      <c r="G1967">
        <v>53</v>
      </c>
      <c r="H1967">
        <v>13</v>
      </c>
      <c r="I1967">
        <v>27347.200000000001</v>
      </c>
      <c r="J1967">
        <v>7</v>
      </c>
      <c r="K1967">
        <v>20882.2</v>
      </c>
      <c r="L1967">
        <v>7</v>
      </c>
      <c r="M1967">
        <v>366</v>
      </c>
      <c r="N1967">
        <v>623</v>
      </c>
      <c r="O1967">
        <f t="shared" ref="O1967:O2030" si="62">YEAR(B1967)</f>
        <v>2025</v>
      </c>
      <c r="P1967">
        <f t="shared" ref="P1967:P2030" si="63">MONTH(B1967)</f>
        <v>5</v>
      </c>
      <c r="Q1967" t="s">
        <v>570</v>
      </c>
      <c r="R1967" s="546" t="s">
        <v>804</v>
      </c>
    </row>
    <row r="1968" spans="1:18" x14ac:dyDescent="0.3">
      <c r="A1968" t="s">
        <v>627</v>
      </c>
      <c r="B1968" s="16">
        <v>45802</v>
      </c>
      <c r="C1968" t="s">
        <v>3</v>
      </c>
      <c r="D1968" t="s">
        <v>127</v>
      </c>
      <c r="E1968">
        <v>5121</v>
      </c>
      <c r="F1968">
        <v>3866</v>
      </c>
      <c r="G1968">
        <v>80</v>
      </c>
      <c r="H1968">
        <v>36</v>
      </c>
      <c r="I1968">
        <v>21362</v>
      </c>
      <c r="J1968">
        <v>6</v>
      </c>
      <c r="K1968">
        <v>8567</v>
      </c>
      <c r="L1968">
        <v>4</v>
      </c>
      <c r="M1968">
        <v>297</v>
      </c>
      <c r="N1968">
        <v>4891</v>
      </c>
      <c r="O1968">
        <f t="shared" si="62"/>
        <v>2025</v>
      </c>
      <c r="P1968">
        <f t="shared" si="63"/>
        <v>5</v>
      </c>
      <c r="Q1968" t="s">
        <v>570</v>
      </c>
      <c r="R1968" s="546" t="s">
        <v>804</v>
      </c>
    </row>
    <row r="1969" spans="1:18" x14ac:dyDescent="0.3">
      <c r="A1969" t="s">
        <v>627</v>
      </c>
      <c r="B1969" s="16">
        <v>45802</v>
      </c>
      <c r="C1969" t="s">
        <v>3</v>
      </c>
      <c r="D1969" t="s">
        <v>126</v>
      </c>
      <c r="E1969">
        <v>98</v>
      </c>
      <c r="F1969">
        <v>64</v>
      </c>
      <c r="G1969">
        <v>3</v>
      </c>
      <c r="H1969">
        <v>1</v>
      </c>
      <c r="I1969">
        <v>0</v>
      </c>
      <c r="J1969">
        <v>0</v>
      </c>
      <c r="K1969">
        <v>0</v>
      </c>
      <c r="L1969">
        <v>0</v>
      </c>
      <c r="M1969">
        <v>18</v>
      </c>
      <c r="N1969">
        <v>92</v>
      </c>
      <c r="O1969">
        <f t="shared" si="62"/>
        <v>2025</v>
      </c>
      <c r="P1969">
        <f t="shared" si="63"/>
        <v>5</v>
      </c>
      <c r="Q1969" t="s">
        <v>570</v>
      </c>
      <c r="R1969" s="546" t="s">
        <v>804</v>
      </c>
    </row>
    <row r="1970" spans="1:18" x14ac:dyDescent="0.3">
      <c r="A1970" t="s">
        <v>627</v>
      </c>
      <c r="B1970" s="16">
        <v>45802</v>
      </c>
      <c r="C1970" t="s">
        <v>3</v>
      </c>
      <c r="D1970" t="s">
        <v>125</v>
      </c>
      <c r="E1970">
        <v>2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2</v>
      </c>
      <c r="O1970">
        <f t="shared" si="62"/>
        <v>2025</v>
      </c>
      <c r="P1970">
        <f t="shared" si="63"/>
        <v>5</v>
      </c>
      <c r="Q1970" t="s">
        <v>570</v>
      </c>
      <c r="R1970" s="546" t="s">
        <v>804</v>
      </c>
    </row>
    <row r="1971" spans="1:18" x14ac:dyDescent="0.3">
      <c r="A1971" t="s">
        <v>627</v>
      </c>
      <c r="B1971" s="16">
        <v>45802</v>
      </c>
      <c r="C1971" t="s">
        <v>3</v>
      </c>
      <c r="D1971" t="s">
        <v>123</v>
      </c>
      <c r="E1971">
        <v>267</v>
      </c>
      <c r="F1971">
        <v>134</v>
      </c>
      <c r="G1971">
        <v>15</v>
      </c>
      <c r="H1971">
        <v>6</v>
      </c>
      <c r="I1971">
        <v>17160</v>
      </c>
      <c r="J1971">
        <v>4</v>
      </c>
      <c r="K1971">
        <v>15670</v>
      </c>
      <c r="L1971">
        <v>3</v>
      </c>
      <c r="M1971">
        <v>63</v>
      </c>
      <c r="N1971">
        <v>255</v>
      </c>
      <c r="O1971">
        <f t="shared" si="62"/>
        <v>2025</v>
      </c>
      <c r="P1971">
        <f t="shared" si="63"/>
        <v>5</v>
      </c>
      <c r="Q1971" t="s">
        <v>570</v>
      </c>
      <c r="R1971" s="546" t="s">
        <v>804</v>
      </c>
    </row>
    <row r="1972" spans="1:18" x14ac:dyDescent="0.3">
      <c r="A1972" t="s">
        <v>627</v>
      </c>
      <c r="B1972" s="16">
        <v>45802</v>
      </c>
      <c r="C1972" t="s">
        <v>3</v>
      </c>
      <c r="D1972" t="s">
        <v>122</v>
      </c>
      <c r="E1972">
        <v>1</v>
      </c>
      <c r="F1972">
        <v>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f t="shared" si="62"/>
        <v>2025</v>
      </c>
      <c r="P1972">
        <f t="shared" si="63"/>
        <v>5</v>
      </c>
      <c r="Q1972" t="s">
        <v>570</v>
      </c>
      <c r="R1972" s="546" t="s">
        <v>804</v>
      </c>
    </row>
    <row r="1973" spans="1:18" x14ac:dyDescent="0.3">
      <c r="A1973" t="s">
        <v>627</v>
      </c>
      <c r="B1973" s="16">
        <v>45802</v>
      </c>
      <c r="C1973" t="s">
        <v>3</v>
      </c>
      <c r="D1973" t="s">
        <v>119</v>
      </c>
      <c r="E1973">
        <v>223</v>
      </c>
      <c r="F1973">
        <v>53</v>
      </c>
      <c r="G1973">
        <v>20</v>
      </c>
      <c r="H1973">
        <v>7</v>
      </c>
      <c r="I1973">
        <v>33930</v>
      </c>
      <c r="J1973">
        <v>10</v>
      </c>
      <c r="K1973">
        <v>10505</v>
      </c>
      <c r="L1973">
        <v>5</v>
      </c>
      <c r="M1973">
        <v>49</v>
      </c>
      <c r="N1973">
        <v>220</v>
      </c>
      <c r="O1973">
        <f t="shared" si="62"/>
        <v>2025</v>
      </c>
      <c r="P1973">
        <f t="shared" si="63"/>
        <v>5</v>
      </c>
      <c r="Q1973" t="s">
        <v>570</v>
      </c>
      <c r="R1973" s="546" t="s">
        <v>804</v>
      </c>
    </row>
    <row r="1974" spans="1:18" x14ac:dyDescent="0.3">
      <c r="A1974" t="s">
        <v>627</v>
      </c>
      <c r="B1974" s="16">
        <v>45802</v>
      </c>
      <c r="C1974" t="s">
        <v>3</v>
      </c>
      <c r="D1974" t="s">
        <v>583</v>
      </c>
      <c r="E1974">
        <v>2</v>
      </c>
      <c r="F1974">
        <v>2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2</v>
      </c>
      <c r="O1974">
        <f t="shared" si="62"/>
        <v>2025</v>
      </c>
      <c r="P1974">
        <f t="shared" si="63"/>
        <v>5</v>
      </c>
      <c r="Q1974" t="s">
        <v>570</v>
      </c>
      <c r="R1974" s="546" t="s">
        <v>804</v>
      </c>
    </row>
    <row r="1975" spans="1:18" x14ac:dyDescent="0.3">
      <c r="A1975" t="s">
        <v>627</v>
      </c>
      <c r="B1975" s="16">
        <v>45802</v>
      </c>
      <c r="C1975" t="s">
        <v>3</v>
      </c>
      <c r="D1975" t="s">
        <v>252</v>
      </c>
      <c r="E1975">
        <v>5</v>
      </c>
      <c r="F1975">
        <v>5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5</v>
      </c>
      <c r="O1975">
        <f t="shared" si="62"/>
        <v>2025</v>
      </c>
      <c r="P1975">
        <f t="shared" si="63"/>
        <v>5</v>
      </c>
      <c r="Q1975" t="s">
        <v>570</v>
      </c>
      <c r="R1975" s="546" t="s">
        <v>804</v>
      </c>
    </row>
    <row r="1976" spans="1:18" x14ac:dyDescent="0.3">
      <c r="A1976" t="s">
        <v>627</v>
      </c>
      <c r="B1976" s="16">
        <v>45802</v>
      </c>
      <c r="C1976" t="s">
        <v>3</v>
      </c>
      <c r="D1976" t="s">
        <v>117</v>
      </c>
      <c r="E1976">
        <v>1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1</v>
      </c>
      <c r="N1976">
        <v>1</v>
      </c>
      <c r="O1976">
        <f t="shared" si="62"/>
        <v>2025</v>
      </c>
      <c r="P1976">
        <f t="shared" si="63"/>
        <v>5</v>
      </c>
      <c r="Q1976" t="s">
        <v>570</v>
      </c>
      <c r="R1976" s="546" t="s">
        <v>804</v>
      </c>
    </row>
    <row r="1977" spans="1:18" x14ac:dyDescent="0.3">
      <c r="A1977" t="s">
        <v>627</v>
      </c>
      <c r="B1977" s="16">
        <v>45802</v>
      </c>
      <c r="C1977" t="s">
        <v>3</v>
      </c>
      <c r="D1977" t="s">
        <v>391</v>
      </c>
      <c r="E1977">
        <v>458</v>
      </c>
      <c r="F1977">
        <v>217</v>
      </c>
      <c r="G1977">
        <v>18</v>
      </c>
      <c r="H1977">
        <v>0</v>
      </c>
      <c r="I1977">
        <v>16930</v>
      </c>
      <c r="J1977">
        <v>4</v>
      </c>
      <c r="K1977">
        <v>13480</v>
      </c>
      <c r="L1977">
        <v>3</v>
      </c>
      <c r="M1977">
        <v>64</v>
      </c>
      <c r="N1977">
        <v>456</v>
      </c>
      <c r="O1977">
        <f t="shared" si="62"/>
        <v>2025</v>
      </c>
      <c r="P1977">
        <f t="shared" si="63"/>
        <v>5</v>
      </c>
      <c r="Q1977" t="s">
        <v>570</v>
      </c>
      <c r="R1977" s="546" t="s">
        <v>804</v>
      </c>
    </row>
    <row r="1978" spans="1:18" x14ac:dyDescent="0.3">
      <c r="A1978" t="s">
        <v>627</v>
      </c>
      <c r="B1978" s="16">
        <v>45802</v>
      </c>
      <c r="C1978" t="s">
        <v>3</v>
      </c>
      <c r="D1978" t="s">
        <v>114</v>
      </c>
      <c r="E1978">
        <v>150</v>
      </c>
      <c r="F1978">
        <v>52</v>
      </c>
      <c r="G1978">
        <v>3</v>
      </c>
      <c r="H1978">
        <v>3</v>
      </c>
      <c r="I1978">
        <v>2490</v>
      </c>
      <c r="J1978">
        <v>1</v>
      </c>
      <c r="K1978">
        <v>2490</v>
      </c>
      <c r="L1978">
        <v>1</v>
      </c>
      <c r="M1978">
        <v>15</v>
      </c>
      <c r="N1978">
        <v>149</v>
      </c>
      <c r="O1978">
        <f t="shared" si="62"/>
        <v>2025</v>
      </c>
      <c r="P1978">
        <f t="shared" si="63"/>
        <v>5</v>
      </c>
      <c r="Q1978" t="s">
        <v>570</v>
      </c>
      <c r="R1978" s="546" t="s">
        <v>804</v>
      </c>
    </row>
    <row r="1979" spans="1:18" x14ac:dyDescent="0.3">
      <c r="A1979" t="s">
        <v>627</v>
      </c>
      <c r="B1979" s="16">
        <v>45802</v>
      </c>
      <c r="C1979" t="s">
        <v>3</v>
      </c>
      <c r="D1979" t="s">
        <v>113</v>
      </c>
      <c r="E1979">
        <v>104</v>
      </c>
      <c r="F1979">
        <v>54</v>
      </c>
      <c r="G1979">
        <v>3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83</v>
      </c>
      <c r="N1979">
        <v>63</v>
      </c>
      <c r="O1979">
        <f t="shared" si="62"/>
        <v>2025</v>
      </c>
      <c r="P1979">
        <f t="shared" si="63"/>
        <v>5</v>
      </c>
      <c r="Q1979" t="s">
        <v>570</v>
      </c>
      <c r="R1979" s="546" t="s">
        <v>804</v>
      </c>
    </row>
    <row r="1980" spans="1:18" x14ac:dyDescent="0.3">
      <c r="A1980" t="s">
        <v>627</v>
      </c>
      <c r="B1980" s="16">
        <v>45802</v>
      </c>
      <c r="C1980" t="s">
        <v>3</v>
      </c>
      <c r="D1980" t="s">
        <v>112</v>
      </c>
      <c r="E1980">
        <v>19</v>
      </c>
      <c r="F1980">
        <v>7</v>
      </c>
      <c r="G1980">
        <v>2</v>
      </c>
      <c r="H1980">
        <v>0</v>
      </c>
      <c r="I1980">
        <v>9375</v>
      </c>
      <c r="J1980">
        <v>3</v>
      </c>
      <c r="K1980">
        <v>9375</v>
      </c>
      <c r="L1980">
        <v>3</v>
      </c>
      <c r="M1980">
        <v>0</v>
      </c>
      <c r="N1980">
        <v>19</v>
      </c>
      <c r="O1980">
        <f t="shared" si="62"/>
        <v>2025</v>
      </c>
      <c r="P1980">
        <f t="shared" si="63"/>
        <v>5</v>
      </c>
      <c r="Q1980" t="s">
        <v>570</v>
      </c>
      <c r="R1980" s="546" t="s">
        <v>804</v>
      </c>
    </row>
    <row r="1981" spans="1:18" x14ac:dyDescent="0.3">
      <c r="A1981" t="s">
        <v>627</v>
      </c>
      <c r="B1981" s="16">
        <v>45802</v>
      </c>
      <c r="C1981" t="s">
        <v>3</v>
      </c>
      <c r="D1981" t="s">
        <v>111</v>
      </c>
      <c r="E1981">
        <v>3</v>
      </c>
      <c r="F1981">
        <v>1</v>
      </c>
      <c r="G1981">
        <v>2</v>
      </c>
      <c r="H1981">
        <v>0</v>
      </c>
      <c r="I1981">
        <v>2275.5300000000002</v>
      </c>
      <c r="J1981">
        <v>1</v>
      </c>
      <c r="K1981">
        <v>2275.5300000000002</v>
      </c>
      <c r="L1981">
        <v>1</v>
      </c>
      <c r="M1981">
        <v>0</v>
      </c>
      <c r="N1981">
        <v>3</v>
      </c>
      <c r="O1981">
        <f t="shared" si="62"/>
        <v>2025</v>
      </c>
      <c r="P1981">
        <f t="shared" si="63"/>
        <v>5</v>
      </c>
      <c r="Q1981" t="s">
        <v>570</v>
      </c>
      <c r="R1981" s="546" t="s">
        <v>804</v>
      </c>
    </row>
    <row r="1982" spans="1:18" x14ac:dyDescent="0.3">
      <c r="A1982" t="s">
        <v>627</v>
      </c>
      <c r="B1982" s="16">
        <v>45801</v>
      </c>
      <c r="C1982" t="s">
        <v>2</v>
      </c>
      <c r="D1982" t="s">
        <v>4</v>
      </c>
      <c r="E1982">
        <v>473</v>
      </c>
      <c r="F1982">
        <v>214</v>
      </c>
      <c r="G1982">
        <v>45</v>
      </c>
      <c r="H1982">
        <v>4</v>
      </c>
      <c r="I1982">
        <v>47875</v>
      </c>
      <c r="J1982">
        <v>13</v>
      </c>
      <c r="K1982">
        <v>20040</v>
      </c>
      <c r="L1982">
        <v>8</v>
      </c>
      <c r="M1982">
        <v>6</v>
      </c>
      <c r="N1982">
        <v>466</v>
      </c>
      <c r="O1982">
        <f t="shared" si="62"/>
        <v>2025</v>
      </c>
      <c r="P1982">
        <f t="shared" si="63"/>
        <v>5</v>
      </c>
      <c r="Q1982" t="s">
        <v>570</v>
      </c>
      <c r="R1982" s="546" t="s">
        <v>804</v>
      </c>
    </row>
    <row r="1983" spans="1:18" x14ac:dyDescent="0.3">
      <c r="A1983" t="s">
        <v>627</v>
      </c>
      <c r="B1983" s="16">
        <v>45801</v>
      </c>
      <c r="C1983" t="s">
        <v>2</v>
      </c>
      <c r="D1983" t="s">
        <v>57</v>
      </c>
      <c r="E1983">
        <v>21233</v>
      </c>
      <c r="F1983">
        <v>14813</v>
      </c>
      <c r="G1983">
        <v>317</v>
      </c>
      <c r="H1983">
        <v>319</v>
      </c>
      <c r="I1983">
        <v>232294</v>
      </c>
      <c r="J1983">
        <v>57</v>
      </c>
      <c r="K1983">
        <v>132434</v>
      </c>
      <c r="L1983">
        <v>39</v>
      </c>
      <c r="M1983">
        <v>1237</v>
      </c>
      <c r="N1983">
        <v>20994</v>
      </c>
      <c r="O1983">
        <f t="shared" si="62"/>
        <v>2025</v>
      </c>
      <c r="P1983">
        <f t="shared" si="63"/>
        <v>5</v>
      </c>
      <c r="Q1983" t="s">
        <v>570</v>
      </c>
      <c r="R1983" s="546" t="s">
        <v>804</v>
      </c>
    </row>
    <row r="1984" spans="1:18" x14ac:dyDescent="0.3">
      <c r="A1984" t="s">
        <v>627</v>
      </c>
      <c r="B1984" s="16">
        <v>45801</v>
      </c>
      <c r="C1984" t="s">
        <v>2</v>
      </c>
      <c r="D1984" t="s">
        <v>52</v>
      </c>
      <c r="E1984">
        <v>1</v>
      </c>
      <c r="F1984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</v>
      </c>
      <c r="O1984">
        <f t="shared" si="62"/>
        <v>2025</v>
      </c>
      <c r="P1984">
        <f t="shared" si="63"/>
        <v>5</v>
      </c>
      <c r="Q1984" t="s">
        <v>570</v>
      </c>
      <c r="R1984" s="546" t="s">
        <v>804</v>
      </c>
    </row>
    <row r="1985" spans="1:18" x14ac:dyDescent="0.3">
      <c r="A1985" t="s">
        <v>627</v>
      </c>
      <c r="B1985" s="16">
        <v>45801</v>
      </c>
      <c r="C1985" t="s">
        <v>2</v>
      </c>
      <c r="D1985" t="s">
        <v>55</v>
      </c>
      <c r="E1985">
        <v>940</v>
      </c>
      <c r="F1985">
        <v>758</v>
      </c>
      <c r="G1985">
        <v>21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15</v>
      </c>
      <c r="N1985">
        <v>180</v>
      </c>
      <c r="O1985">
        <f t="shared" si="62"/>
        <v>2025</v>
      </c>
      <c r="P1985">
        <f t="shared" si="63"/>
        <v>5</v>
      </c>
      <c r="Q1985" t="s">
        <v>570</v>
      </c>
      <c r="R1985" s="546" t="s">
        <v>804</v>
      </c>
    </row>
    <row r="1986" spans="1:18" x14ac:dyDescent="0.3">
      <c r="A1986" t="s">
        <v>627</v>
      </c>
      <c r="B1986" s="16">
        <v>45801</v>
      </c>
      <c r="C1986" t="s">
        <v>3</v>
      </c>
      <c r="D1986" t="s">
        <v>156</v>
      </c>
      <c r="E1986">
        <v>1</v>
      </c>
      <c r="F1986">
        <v>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f t="shared" si="62"/>
        <v>2025</v>
      </c>
      <c r="P1986">
        <f t="shared" si="63"/>
        <v>5</v>
      </c>
      <c r="Q1986" t="s">
        <v>570</v>
      </c>
      <c r="R1986" s="546" t="s">
        <v>804</v>
      </c>
    </row>
    <row r="1987" spans="1:18" x14ac:dyDescent="0.3">
      <c r="A1987" t="s">
        <v>627</v>
      </c>
      <c r="B1987" s="16">
        <v>45801</v>
      </c>
      <c r="C1987" t="s">
        <v>3</v>
      </c>
      <c r="D1987" t="s">
        <v>155</v>
      </c>
      <c r="E1987">
        <v>7</v>
      </c>
      <c r="F1987">
        <v>3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7</v>
      </c>
      <c r="O1987">
        <f t="shared" si="62"/>
        <v>2025</v>
      </c>
      <c r="P1987">
        <f t="shared" si="63"/>
        <v>5</v>
      </c>
      <c r="Q1987" t="s">
        <v>570</v>
      </c>
      <c r="R1987" s="546" t="s">
        <v>804</v>
      </c>
    </row>
    <row r="1988" spans="1:18" x14ac:dyDescent="0.3">
      <c r="A1988" t="s">
        <v>627</v>
      </c>
      <c r="B1988" s="16">
        <v>45801</v>
      </c>
      <c r="C1988" t="s">
        <v>3</v>
      </c>
      <c r="D1988" t="s">
        <v>154</v>
      </c>
      <c r="E1988">
        <v>615</v>
      </c>
      <c r="F1988">
        <v>557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f t="shared" si="62"/>
        <v>2025</v>
      </c>
      <c r="P1988">
        <f t="shared" si="63"/>
        <v>5</v>
      </c>
      <c r="Q1988" t="s">
        <v>570</v>
      </c>
      <c r="R1988" s="546" t="s">
        <v>804</v>
      </c>
    </row>
    <row r="1989" spans="1:18" x14ac:dyDescent="0.3">
      <c r="A1989" t="s">
        <v>627</v>
      </c>
      <c r="B1989" s="16">
        <v>45801</v>
      </c>
      <c r="C1989" t="s">
        <v>3</v>
      </c>
      <c r="D1989" t="s">
        <v>153</v>
      </c>
      <c r="E1989">
        <v>378</v>
      </c>
      <c r="F1989">
        <v>80</v>
      </c>
      <c r="G1989">
        <v>49</v>
      </c>
      <c r="H1989">
        <v>3</v>
      </c>
      <c r="I1989">
        <v>142992</v>
      </c>
      <c r="J1989">
        <v>40</v>
      </c>
      <c r="K1989">
        <v>122550</v>
      </c>
      <c r="L1989">
        <v>37</v>
      </c>
      <c r="M1989">
        <v>94</v>
      </c>
      <c r="N1989">
        <v>365</v>
      </c>
      <c r="O1989">
        <f t="shared" si="62"/>
        <v>2025</v>
      </c>
      <c r="P1989">
        <f t="shared" si="63"/>
        <v>5</v>
      </c>
      <c r="Q1989" t="s">
        <v>570</v>
      </c>
      <c r="R1989" s="546" t="s">
        <v>804</v>
      </c>
    </row>
    <row r="1990" spans="1:18" x14ac:dyDescent="0.3">
      <c r="A1990" t="s">
        <v>627</v>
      </c>
      <c r="B1990" s="16">
        <v>45801</v>
      </c>
      <c r="C1990" t="s">
        <v>3</v>
      </c>
      <c r="D1990" t="s">
        <v>152</v>
      </c>
      <c r="E1990">
        <v>59</v>
      </c>
      <c r="F1990">
        <v>46</v>
      </c>
      <c r="G1990">
        <v>0</v>
      </c>
      <c r="H1990">
        <v>2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20</v>
      </c>
      <c r="O1990">
        <f t="shared" si="62"/>
        <v>2025</v>
      </c>
      <c r="P1990">
        <f t="shared" si="63"/>
        <v>5</v>
      </c>
      <c r="Q1990" t="s">
        <v>570</v>
      </c>
      <c r="R1990" s="546" t="s">
        <v>804</v>
      </c>
    </row>
    <row r="1991" spans="1:18" x14ac:dyDescent="0.3">
      <c r="A1991" t="s">
        <v>627</v>
      </c>
      <c r="B1991" s="16">
        <v>45801</v>
      </c>
      <c r="C1991" t="s">
        <v>3</v>
      </c>
      <c r="D1991" t="s">
        <v>150</v>
      </c>
      <c r="E1991">
        <v>89</v>
      </c>
      <c r="F1991">
        <v>80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4</v>
      </c>
      <c r="O1991">
        <f t="shared" si="62"/>
        <v>2025</v>
      </c>
      <c r="P1991">
        <f t="shared" si="63"/>
        <v>5</v>
      </c>
      <c r="Q1991" t="s">
        <v>570</v>
      </c>
      <c r="R1991" s="546" t="s">
        <v>804</v>
      </c>
    </row>
    <row r="1992" spans="1:18" x14ac:dyDescent="0.3">
      <c r="A1992" t="s">
        <v>627</v>
      </c>
      <c r="B1992" s="16">
        <v>45801</v>
      </c>
      <c r="C1992" t="s">
        <v>3</v>
      </c>
      <c r="D1992" t="s">
        <v>149</v>
      </c>
      <c r="E1992">
        <v>20</v>
      </c>
      <c r="F1992">
        <v>12</v>
      </c>
      <c r="G1992">
        <v>1</v>
      </c>
      <c r="H1992">
        <v>0</v>
      </c>
      <c r="I1992">
        <v>4950</v>
      </c>
      <c r="J1992">
        <v>1</v>
      </c>
      <c r="K1992">
        <v>0</v>
      </c>
      <c r="L1992">
        <v>0</v>
      </c>
      <c r="M1992">
        <v>1</v>
      </c>
      <c r="N1992">
        <v>10</v>
      </c>
      <c r="O1992">
        <f t="shared" si="62"/>
        <v>2025</v>
      </c>
      <c r="P1992">
        <f t="shared" si="63"/>
        <v>5</v>
      </c>
      <c r="Q1992" t="s">
        <v>570</v>
      </c>
      <c r="R1992" s="546" t="s">
        <v>804</v>
      </c>
    </row>
    <row r="1993" spans="1:18" x14ac:dyDescent="0.3">
      <c r="A1993" t="s">
        <v>627</v>
      </c>
      <c r="B1993" s="16">
        <v>45801</v>
      </c>
      <c r="C1993" t="s">
        <v>3</v>
      </c>
      <c r="D1993" t="s">
        <v>148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f t="shared" si="62"/>
        <v>2025</v>
      </c>
      <c r="P1993">
        <f t="shared" si="63"/>
        <v>5</v>
      </c>
      <c r="Q1993" t="s">
        <v>570</v>
      </c>
      <c r="R1993" s="546" t="s">
        <v>804</v>
      </c>
    </row>
    <row r="1994" spans="1:18" x14ac:dyDescent="0.3">
      <c r="A1994" t="s">
        <v>627</v>
      </c>
      <c r="B1994" s="16">
        <v>45801</v>
      </c>
      <c r="C1994" t="s">
        <v>3</v>
      </c>
      <c r="D1994" t="s">
        <v>251</v>
      </c>
      <c r="E1994">
        <v>3037</v>
      </c>
      <c r="F1994">
        <v>2667</v>
      </c>
      <c r="G1994">
        <v>17</v>
      </c>
      <c r="H1994">
        <v>3</v>
      </c>
      <c r="I1994">
        <v>19163</v>
      </c>
      <c r="J1994">
        <v>7</v>
      </c>
      <c r="K1994">
        <v>19163</v>
      </c>
      <c r="L1994">
        <v>7</v>
      </c>
      <c r="M1994">
        <v>81</v>
      </c>
      <c r="N1994">
        <v>208</v>
      </c>
      <c r="O1994">
        <f t="shared" si="62"/>
        <v>2025</v>
      </c>
      <c r="P1994">
        <f t="shared" si="63"/>
        <v>5</v>
      </c>
      <c r="Q1994" t="s">
        <v>570</v>
      </c>
      <c r="R1994" s="546" t="s">
        <v>804</v>
      </c>
    </row>
    <row r="1995" spans="1:18" x14ac:dyDescent="0.3">
      <c r="A1995" t="s">
        <v>627</v>
      </c>
      <c r="B1995" s="16">
        <v>45801</v>
      </c>
      <c r="C1995" t="s">
        <v>3</v>
      </c>
      <c r="D1995" t="s">
        <v>143</v>
      </c>
      <c r="E1995">
        <v>39</v>
      </c>
      <c r="F1995">
        <v>38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39</v>
      </c>
      <c r="O1995">
        <f t="shared" si="62"/>
        <v>2025</v>
      </c>
      <c r="P1995">
        <f t="shared" si="63"/>
        <v>5</v>
      </c>
      <c r="Q1995" t="s">
        <v>570</v>
      </c>
      <c r="R1995" s="546" t="s">
        <v>804</v>
      </c>
    </row>
    <row r="1996" spans="1:18" x14ac:dyDescent="0.3">
      <c r="A1996" t="s">
        <v>627</v>
      </c>
      <c r="B1996" s="16">
        <v>45801</v>
      </c>
      <c r="C1996" t="s">
        <v>3</v>
      </c>
      <c r="D1996" t="s">
        <v>141</v>
      </c>
      <c r="E1996">
        <v>493</v>
      </c>
      <c r="F1996">
        <v>305</v>
      </c>
      <c r="G1996">
        <v>4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1</v>
      </c>
      <c r="N1996">
        <v>492</v>
      </c>
      <c r="O1996">
        <f t="shared" si="62"/>
        <v>2025</v>
      </c>
      <c r="P1996">
        <f t="shared" si="63"/>
        <v>5</v>
      </c>
      <c r="Q1996" t="s">
        <v>570</v>
      </c>
      <c r="R1996" s="546" t="s">
        <v>804</v>
      </c>
    </row>
    <row r="1997" spans="1:18" x14ac:dyDescent="0.3">
      <c r="A1997" t="s">
        <v>627</v>
      </c>
      <c r="B1997" s="16">
        <v>45801</v>
      </c>
      <c r="C1997" t="s">
        <v>3</v>
      </c>
      <c r="D1997" t="s">
        <v>140</v>
      </c>
      <c r="E1997">
        <v>8</v>
      </c>
      <c r="F1997">
        <v>8</v>
      </c>
      <c r="G1997">
        <v>1</v>
      </c>
      <c r="H1997">
        <v>0</v>
      </c>
      <c r="I1997">
        <v>18440</v>
      </c>
      <c r="J1997">
        <v>2</v>
      </c>
      <c r="K1997">
        <v>18440</v>
      </c>
      <c r="L1997">
        <v>2</v>
      </c>
      <c r="M1997">
        <v>0</v>
      </c>
      <c r="N1997">
        <v>7</v>
      </c>
      <c r="O1997">
        <f t="shared" si="62"/>
        <v>2025</v>
      </c>
      <c r="P1997">
        <f t="shared" si="63"/>
        <v>5</v>
      </c>
      <c r="Q1997" t="s">
        <v>570</v>
      </c>
      <c r="R1997" s="546" t="s">
        <v>804</v>
      </c>
    </row>
    <row r="1998" spans="1:18" x14ac:dyDescent="0.3">
      <c r="A1998" t="s">
        <v>627</v>
      </c>
      <c r="B1998" s="16">
        <v>45801</v>
      </c>
      <c r="C1998" t="s">
        <v>3</v>
      </c>
      <c r="D1998" t="s">
        <v>139</v>
      </c>
      <c r="E1998">
        <v>968</v>
      </c>
      <c r="F1998">
        <v>620</v>
      </c>
      <c r="G1998">
        <v>42</v>
      </c>
      <c r="H1998">
        <v>6</v>
      </c>
      <c r="I1998">
        <v>32191</v>
      </c>
      <c r="J1998">
        <v>12</v>
      </c>
      <c r="K1998">
        <v>29316</v>
      </c>
      <c r="L1998">
        <v>11</v>
      </c>
      <c r="M1998">
        <v>280</v>
      </c>
      <c r="N1998">
        <v>504</v>
      </c>
      <c r="O1998">
        <f t="shared" si="62"/>
        <v>2025</v>
      </c>
      <c r="P1998">
        <f t="shared" si="63"/>
        <v>5</v>
      </c>
      <c r="Q1998" t="s">
        <v>570</v>
      </c>
      <c r="R1998" s="546" t="s">
        <v>804</v>
      </c>
    </row>
    <row r="1999" spans="1:18" x14ac:dyDescent="0.3">
      <c r="A1999" t="s">
        <v>627</v>
      </c>
      <c r="B1999" s="16">
        <v>45801</v>
      </c>
      <c r="C1999" t="s">
        <v>3</v>
      </c>
      <c r="D1999" t="s">
        <v>138</v>
      </c>
      <c r="E1999">
        <v>20</v>
      </c>
      <c r="F1999">
        <v>6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1</v>
      </c>
      <c r="N1999">
        <v>20</v>
      </c>
      <c r="O1999">
        <f t="shared" si="62"/>
        <v>2025</v>
      </c>
      <c r="P1999">
        <f t="shared" si="63"/>
        <v>5</v>
      </c>
      <c r="Q1999" t="s">
        <v>570</v>
      </c>
      <c r="R1999" s="546" t="s">
        <v>804</v>
      </c>
    </row>
    <row r="2000" spans="1:18" x14ac:dyDescent="0.3">
      <c r="A2000" t="s">
        <v>627</v>
      </c>
      <c r="B2000" s="16">
        <v>45801</v>
      </c>
      <c r="C2000" t="s">
        <v>3</v>
      </c>
      <c r="D2000" t="s">
        <v>135</v>
      </c>
      <c r="E2000">
        <v>45</v>
      </c>
      <c r="F2000">
        <v>29</v>
      </c>
      <c r="G2000">
        <v>1</v>
      </c>
      <c r="H2000">
        <v>0</v>
      </c>
      <c r="I2000">
        <v>4950</v>
      </c>
      <c r="J2000">
        <v>1</v>
      </c>
      <c r="K2000">
        <v>0</v>
      </c>
      <c r="L2000">
        <v>0</v>
      </c>
      <c r="M2000">
        <v>1</v>
      </c>
      <c r="N2000">
        <v>11</v>
      </c>
      <c r="O2000">
        <f t="shared" si="62"/>
        <v>2025</v>
      </c>
      <c r="P2000">
        <f t="shared" si="63"/>
        <v>5</v>
      </c>
      <c r="Q2000" t="s">
        <v>570</v>
      </c>
      <c r="R2000" s="546" t="s">
        <v>804</v>
      </c>
    </row>
    <row r="2001" spans="1:18" x14ac:dyDescent="0.3">
      <c r="A2001" t="s">
        <v>627</v>
      </c>
      <c r="B2001" s="16">
        <v>45801</v>
      </c>
      <c r="C2001" t="s">
        <v>3</v>
      </c>
      <c r="D2001" t="s">
        <v>133</v>
      </c>
      <c r="E2001">
        <v>27</v>
      </c>
      <c r="F2001">
        <v>12</v>
      </c>
      <c r="G2001">
        <v>2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1</v>
      </c>
      <c r="N2001">
        <v>26</v>
      </c>
      <c r="O2001">
        <f t="shared" si="62"/>
        <v>2025</v>
      </c>
      <c r="P2001">
        <f t="shared" si="63"/>
        <v>5</v>
      </c>
      <c r="Q2001" t="s">
        <v>570</v>
      </c>
      <c r="R2001" s="546" t="s">
        <v>804</v>
      </c>
    </row>
    <row r="2002" spans="1:18" x14ac:dyDescent="0.3">
      <c r="A2002" t="s">
        <v>627</v>
      </c>
      <c r="B2002" s="16">
        <v>45801</v>
      </c>
      <c r="C2002" t="s">
        <v>3</v>
      </c>
      <c r="D2002" t="s">
        <v>130</v>
      </c>
      <c r="E2002">
        <v>165</v>
      </c>
      <c r="F2002">
        <v>43</v>
      </c>
      <c r="G2002">
        <v>12</v>
      </c>
      <c r="H2002">
        <v>2</v>
      </c>
      <c r="I2002">
        <v>25190</v>
      </c>
      <c r="J2002">
        <v>9</v>
      </c>
      <c r="K2002">
        <v>22815</v>
      </c>
      <c r="L2002">
        <v>9</v>
      </c>
      <c r="M2002">
        <v>75</v>
      </c>
      <c r="N2002">
        <v>118</v>
      </c>
      <c r="O2002">
        <f t="shared" si="62"/>
        <v>2025</v>
      </c>
      <c r="P2002">
        <f t="shared" si="63"/>
        <v>5</v>
      </c>
      <c r="Q2002" t="s">
        <v>570</v>
      </c>
      <c r="R2002" s="546" t="s">
        <v>804</v>
      </c>
    </row>
    <row r="2003" spans="1:18" x14ac:dyDescent="0.3">
      <c r="A2003" t="s">
        <v>627</v>
      </c>
      <c r="B2003" s="16">
        <v>45801</v>
      </c>
      <c r="C2003" t="s">
        <v>3</v>
      </c>
      <c r="D2003" t="s">
        <v>128</v>
      </c>
      <c r="E2003">
        <v>822</v>
      </c>
      <c r="F2003">
        <v>602</v>
      </c>
      <c r="G2003">
        <v>48</v>
      </c>
      <c r="H2003">
        <v>8</v>
      </c>
      <c r="I2003">
        <v>55930</v>
      </c>
      <c r="J2003">
        <v>14</v>
      </c>
      <c r="K2003">
        <v>36480</v>
      </c>
      <c r="L2003">
        <v>12</v>
      </c>
      <c r="M2003">
        <v>331</v>
      </c>
      <c r="N2003">
        <v>621</v>
      </c>
      <c r="O2003">
        <f t="shared" si="62"/>
        <v>2025</v>
      </c>
      <c r="P2003">
        <f t="shared" si="63"/>
        <v>5</v>
      </c>
      <c r="Q2003" t="s">
        <v>570</v>
      </c>
      <c r="R2003" s="546" t="s">
        <v>804</v>
      </c>
    </row>
    <row r="2004" spans="1:18" x14ac:dyDescent="0.3">
      <c r="A2004" t="s">
        <v>627</v>
      </c>
      <c r="B2004" s="16">
        <v>45801</v>
      </c>
      <c r="C2004" t="s">
        <v>3</v>
      </c>
      <c r="D2004" t="s">
        <v>127</v>
      </c>
      <c r="E2004">
        <v>5266</v>
      </c>
      <c r="F2004">
        <v>3775</v>
      </c>
      <c r="G2004">
        <v>78</v>
      </c>
      <c r="H2004">
        <v>38</v>
      </c>
      <c r="I2004">
        <v>23683</v>
      </c>
      <c r="J2004">
        <v>9</v>
      </c>
      <c r="K2004">
        <v>20433</v>
      </c>
      <c r="L2004">
        <v>8</v>
      </c>
      <c r="M2004">
        <v>286</v>
      </c>
      <c r="N2004">
        <v>4162</v>
      </c>
      <c r="O2004">
        <f t="shared" si="62"/>
        <v>2025</v>
      </c>
      <c r="P2004">
        <f t="shared" si="63"/>
        <v>5</v>
      </c>
      <c r="Q2004" t="s">
        <v>570</v>
      </c>
      <c r="R2004" s="546" t="s">
        <v>804</v>
      </c>
    </row>
    <row r="2005" spans="1:18" x14ac:dyDescent="0.3">
      <c r="A2005" t="s">
        <v>627</v>
      </c>
      <c r="B2005" s="16">
        <v>45801</v>
      </c>
      <c r="C2005" t="s">
        <v>3</v>
      </c>
      <c r="D2005" t="s">
        <v>126</v>
      </c>
      <c r="E2005">
        <v>73</v>
      </c>
      <c r="F2005">
        <v>47</v>
      </c>
      <c r="G2005">
        <v>3</v>
      </c>
      <c r="H2005">
        <v>2</v>
      </c>
      <c r="I2005">
        <v>0</v>
      </c>
      <c r="J2005">
        <v>0</v>
      </c>
      <c r="K2005">
        <v>0</v>
      </c>
      <c r="L2005">
        <v>0</v>
      </c>
      <c r="M2005">
        <v>13</v>
      </c>
      <c r="N2005">
        <v>66</v>
      </c>
      <c r="O2005">
        <f t="shared" si="62"/>
        <v>2025</v>
      </c>
      <c r="P2005">
        <f t="shared" si="63"/>
        <v>5</v>
      </c>
      <c r="Q2005" t="s">
        <v>570</v>
      </c>
      <c r="R2005" s="546" t="s">
        <v>804</v>
      </c>
    </row>
    <row r="2006" spans="1:18" x14ac:dyDescent="0.3">
      <c r="A2006" t="s">
        <v>627</v>
      </c>
      <c r="B2006" s="16">
        <v>45801</v>
      </c>
      <c r="C2006" t="s">
        <v>3</v>
      </c>
      <c r="D2006" t="s">
        <v>125</v>
      </c>
      <c r="E2006">
        <v>5</v>
      </c>
      <c r="F2006">
        <v>4</v>
      </c>
      <c r="G2006">
        <v>2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2</v>
      </c>
      <c r="N2006">
        <v>4</v>
      </c>
      <c r="O2006">
        <f t="shared" si="62"/>
        <v>2025</v>
      </c>
      <c r="P2006">
        <f t="shared" si="63"/>
        <v>5</v>
      </c>
      <c r="Q2006" t="s">
        <v>570</v>
      </c>
      <c r="R2006" s="546" t="s">
        <v>804</v>
      </c>
    </row>
    <row r="2007" spans="1:18" x14ac:dyDescent="0.3">
      <c r="A2007" t="s">
        <v>627</v>
      </c>
      <c r="B2007" s="16">
        <v>45801</v>
      </c>
      <c r="C2007" t="s">
        <v>3</v>
      </c>
      <c r="D2007" t="s">
        <v>123</v>
      </c>
      <c r="E2007">
        <v>276</v>
      </c>
      <c r="F2007">
        <v>137</v>
      </c>
      <c r="G2007">
        <v>15</v>
      </c>
      <c r="H2007">
        <v>6</v>
      </c>
      <c r="I2007">
        <v>7673</v>
      </c>
      <c r="J2007">
        <v>3</v>
      </c>
      <c r="K2007">
        <v>7673</v>
      </c>
      <c r="L2007">
        <v>3</v>
      </c>
      <c r="M2007">
        <v>73</v>
      </c>
      <c r="N2007">
        <v>253</v>
      </c>
      <c r="O2007">
        <f t="shared" si="62"/>
        <v>2025</v>
      </c>
      <c r="P2007">
        <f t="shared" si="63"/>
        <v>5</v>
      </c>
      <c r="Q2007" t="s">
        <v>570</v>
      </c>
      <c r="R2007" s="546" t="s">
        <v>804</v>
      </c>
    </row>
    <row r="2008" spans="1:18" x14ac:dyDescent="0.3">
      <c r="A2008" t="s">
        <v>627</v>
      </c>
      <c r="B2008" s="16">
        <v>45801</v>
      </c>
      <c r="C2008" t="s">
        <v>3</v>
      </c>
      <c r="D2008" t="s">
        <v>121</v>
      </c>
      <c r="E2008">
        <v>2</v>
      </c>
      <c r="F2008">
        <v>2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2</v>
      </c>
      <c r="O2008">
        <f t="shared" si="62"/>
        <v>2025</v>
      </c>
      <c r="P2008">
        <f t="shared" si="63"/>
        <v>5</v>
      </c>
      <c r="Q2008" t="s">
        <v>570</v>
      </c>
      <c r="R2008" s="546" t="s">
        <v>804</v>
      </c>
    </row>
    <row r="2009" spans="1:18" x14ac:dyDescent="0.3">
      <c r="A2009" t="s">
        <v>627</v>
      </c>
      <c r="B2009" s="16">
        <v>45801</v>
      </c>
      <c r="C2009" t="s">
        <v>3</v>
      </c>
      <c r="D2009" t="s">
        <v>119</v>
      </c>
      <c r="E2009">
        <v>324</v>
      </c>
      <c r="F2009">
        <v>96</v>
      </c>
      <c r="G2009">
        <v>38</v>
      </c>
      <c r="H2009">
        <v>17</v>
      </c>
      <c r="I2009">
        <v>74085</v>
      </c>
      <c r="J2009">
        <v>20</v>
      </c>
      <c r="K2009">
        <v>43705</v>
      </c>
      <c r="L2009">
        <v>15</v>
      </c>
      <c r="M2009">
        <v>88</v>
      </c>
      <c r="N2009">
        <v>298</v>
      </c>
      <c r="O2009">
        <f t="shared" si="62"/>
        <v>2025</v>
      </c>
      <c r="P2009">
        <f t="shared" si="63"/>
        <v>5</v>
      </c>
      <c r="Q2009" t="s">
        <v>570</v>
      </c>
      <c r="R2009" s="546" t="s">
        <v>804</v>
      </c>
    </row>
    <row r="2010" spans="1:18" x14ac:dyDescent="0.3">
      <c r="A2010" t="s">
        <v>627</v>
      </c>
      <c r="B2010" s="16">
        <v>45801</v>
      </c>
      <c r="C2010" t="s">
        <v>3</v>
      </c>
      <c r="D2010" t="s">
        <v>583</v>
      </c>
      <c r="E2010">
        <v>3</v>
      </c>
      <c r="F2010">
        <v>3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3</v>
      </c>
      <c r="O2010">
        <f t="shared" si="62"/>
        <v>2025</v>
      </c>
      <c r="P2010">
        <f t="shared" si="63"/>
        <v>5</v>
      </c>
      <c r="Q2010" t="s">
        <v>570</v>
      </c>
      <c r="R2010" s="546" t="s">
        <v>804</v>
      </c>
    </row>
    <row r="2011" spans="1:18" x14ac:dyDescent="0.3">
      <c r="A2011" t="s">
        <v>627</v>
      </c>
      <c r="B2011" s="16">
        <v>45801</v>
      </c>
      <c r="C2011" t="s">
        <v>3</v>
      </c>
      <c r="D2011" t="s">
        <v>252</v>
      </c>
      <c r="E2011">
        <v>7</v>
      </c>
      <c r="F2011">
        <v>6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7</v>
      </c>
      <c r="O2011">
        <f t="shared" si="62"/>
        <v>2025</v>
      </c>
      <c r="P2011">
        <f t="shared" si="63"/>
        <v>5</v>
      </c>
      <c r="Q2011" t="s">
        <v>570</v>
      </c>
      <c r="R2011" s="546" t="s">
        <v>804</v>
      </c>
    </row>
    <row r="2012" spans="1:18" x14ac:dyDescent="0.3">
      <c r="A2012" t="s">
        <v>627</v>
      </c>
      <c r="B2012" s="16">
        <v>45801</v>
      </c>
      <c r="C2012" t="s">
        <v>3</v>
      </c>
      <c r="D2012" t="s">
        <v>117</v>
      </c>
      <c r="E2012">
        <v>1</v>
      </c>
      <c r="F2012">
        <v>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1</v>
      </c>
      <c r="O2012">
        <f t="shared" si="62"/>
        <v>2025</v>
      </c>
      <c r="P2012">
        <f t="shared" si="63"/>
        <v>5</v>
      </c>
      <c r="Q2012" t="s">
        <v>570</v>
      </c>
      <c r="R2012" s="546" t="s">
        <v>804</v>
      </c>
    </row>
    <row r="2013" spans="1:18" x14ac:dyDescent="0.3">
      <c r="A2013" t="s">
        <v>627</v>
      </c>
      <c r="B2013" s="16">
        <v>45801</v>
      </c>
      <c r="C2013" t="s">
        <v>3</v>
      </c>
      <c r="D2013" t="s">
        <v>391</v>
      </c>
      <c r="E2013">
        <v>446</v>
      </c>
      <c r="F2013">
        <v>230</v>
      </c>
      <c r="G2013">
        <v>22</v>
      </c>
      <c r="H2013">
        <v>5</v>
      </c>
      <c r="I2013">
        <v>26680</v>
      </c>
      <c r="J2013">
        <v>6</v>
      </c>
      <c r="K2013">
        <v>11230</v>
      </c>
      <c r="L2013">
        <v>3</v>
      </c>
      <c r="M2013">
        <v>75</v>
      </c>
      <c r="N2013">
        <v>436</v>
      </c>
      <c r="O2013">
        <f t="shared" si="62"/>
        <v>2025</v>
      </c>
      <c r="P2013">
        <f t="shared" si="63"/>
        <v>5</v>
      </c>
      <c r="Q2013" t="s">
        <v>570</v>
      </c>
      <c r="R2013" s="546" t="s">
        <v>804</v>
      </c>
    </row>
    <row r="2014" spans="1:18" x14ac:dyDescent="0.3">
      <c r="A2014" t="s">
        <v>627</v>
      </c>
      <c r="B2014" s="16">
        <v>45801</v>
      </c>
      <c r="C2014" t="s">
        <v>3</v>
      </c>
      <c r="D2014" t="s">
        <v>114</v>
      </c>
      <c r="E2014">
        <v>164</v>
      </c>
      <c r="F2014">
        <v>71</v>
      </c>
      <c r="G2014">
        <v>8</v>
      </c>
      <c r="H2014">
        <v>9</v>
      </c>
      <c r="I2014">
        <v>1598</v>
      </c>
      <c r="J2014">
        <v>1</v>
      </c>
      <c r="K2014">
        <v>1598</v>
      </c>
      <c r="L2014">
        <v>1</v>
      </c>
      <c r="M2014">
        <v>18</v>
      </c>
      <c r="N2014">
        <v>163</v>
      </c>
      <c r="O2014">
        <f t="shared" si="62"/>
        <v>2025</v>
      </c>
      <c r="P2014">
        <f t="shared" si="63"/>
        <v>5</v>
      </c>
      <c r="Q2014" t="s">
        <v>570</v>
      </c>
      <c r="R2014" s="546" t="s">
        <v>804</v>
      </c>
    </row>
    <row r="2015" spans="1:18" x14ac:dyDescent="0.3">
      <c r="A2015" t="s">
        <v>627</v>
      </c>
      <c r="B2015" s="16">
        <v>45801</v>
      </c>
      <c r="C2015" t="s">
        <v>3</v>
      </c>
      <c r="D2015" t="s">
        <v>113</v>
      </c>
      <c r="E2015">
        <v>99</v>
      </c>
      <c r="F2015">
        <v>51</v>
      </c>
      <c r="G2015">
        <v>4</v>
      </c>
      <c r="H2015">
        <v>1</v>
      </c>
      <c r="I2015">
        <v>5913</v>
      </c>
      <c r="J2015">
        <v>1</v>
      </c>
      <c r="K2015">
        <v>5913</v>
      </c>
      <c r="L2015">
        <v>1</v>
      </c>
      <c r="M2015">
        <v>61</v>
      </c>
      <c r="N2015">
        <v>59</v>
      </c>
      <c r="O2015">
        <f t="shared" si="62"/>
        <v>2025</v>
      </c>
      <c r="P2015">
        <f t="shared" si="63"/>
        <v>5</v>
      </c>
      <c r="Q2015" t="s">
        <v>570</v>
      </c>
      <c r="R2015" s="546" t="s">
        <v>804</v>
      </c>
    </row>
    <row r="2016" spans="1:18" x14ac:dyDescent="0.3">
      <c r="A2016" t="s">
        <v>627</v>
      </c>
      <c r="B2016" s="16">
        <v>45801</v>
      </c>
      <c r="C2016" t="s">
        <v>3</v>
      </c>
      <c r="D2016" t="s">
        <v>112</v>
      </c>
      <c r="E2016">
        <v>23</v>
      </c>
      <c r="F2016">
        <v>2</v>
      </c>
      <c r="G2016">
        <v>0</v>
      </c>
      <c r="H2016">
        <v>0</v>
      </c>
      <c r="I2016">
        <v>4645</v>
      </c>
      <c r="J2016">
        <v>1</v>
      </c>
      <c r="K2016">
        <v>4645</v>
      </c>
      <c r="L2016">
        <v>1</v>
      </c>
      <c r="M2016">
        <v>0</v>
      </c>
      <c r="N2016">
        <v>23</v>
      </c>
      <c r="O2016">
        <f t="shared" si="62"/>
        <v>2025</v>
      </c>
      <c r="P2016">
        <f t="shared" si="63"/>
        <v>5</v>
      </c>
      <c r="Q2016" t="s">
        <v>570</v>
      </c>
      <c r="R2016" s="546" t="s">
        <v>804</v>
      </c>
    </row>
    <row r="2017" spans="1:18" x14ac:dyDescent="0.3">
      <c r="A2017" t="s">
        <v>627</v>
      </c>
      <c r="B2017" s="16">
        <v>45801</v>
      </c>
      <c r="C2017" t="s">
        <v>3</v>
      </c>
      <c r="D2017" t="s">
        <v>111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1</v>
      </c>
      <c r="O2017">
        <f t="shared" si="62"/>
        <v>2025</v>
      </c>
      <c r="P2017">
        <f t="shared" si="63"/>
        <v>5</v>
      </c>
      <c r="Q2017" t="s">
        <v>570</v>
      </c>
      <c r="R2017" s="546" t="s">
        <v>804</v>
      </c>
    </row>
    <row r="2018" spans="1:18" x14ac:dyDescent="0.3">
      <c r="A2018" t="s">
        <v>627</v>
      </c>
      <c r="B2018" s="16">
        <v>45800</v>
      </c>
      <c r="C2018" t="s">
        <v>2</v>
      </c>
      <c r="D2018" t="s">
        <v>4</v>
      </c>
      <c r="E2018">
        <v>467</v>
      </c>
      <c r="F2018">
        <v>201</v>
      </c>
      <c r="G2018">
        <v>93</v>
      </c>
      <c r="H2018">
        <v>8</v>
      </c>
      <c r="I2018">
        <v>92155</v>
      </c>
      <c r="J2018">
        <v>25</v>
      </c>
      <c r="K2018">
        <v>61410</v>
      </c>
      <c r="L2018">
        <v>21</v>
      </c>
      <c r="M2018">
        <v>12</v>
      </c>
      <c r="N2018">
        <v>457</v>
      </c>
      <c r="O2018">
        <f t="shared" si="62"/>
        <v>2025</v>
      </c>
      <c r="P2018">
        <f t="shared" si="63"/>
        <v>5</v>
      </c>
      <c r="Q2018" t="s">
        <v>570</v>
      </c>
      <c r="R2018" s="546" t="s">
        <v>804</v>
      </c>
    </row>
    <row r="2019" spans="1:18" x14ac:dyDescent="0.3">
      <c r="A2019" t="s">
        <v>627</v>
      </c>
      <c r="B2019" s="16">
        <v>45800</v>
      </c>
      <c r="C2019" t="s">
        <v>2</v>
      </c>
      <c r="D2019" t="s">
        <v>57</v>
      </c>
      <c r="E2019">
        <v>19342</v>
      </c>
      <c r="F2019">
        <v>13391</v>
      </c>
      <c r="G2019">
        <v>321</v>
      </c>
      <c r="H2019">
        <v>309</v>
      </c>
      <c r="I2019">
        <v>187620.13</v>
      </c>
      <c r="J2019">
        <v>48</v>
      </c>
      <c r="K2019">
        <v>143065.13</v>
      </c>
      <c r="L2019">
        <v>37</v>
      </c>
      <c r="M2019">
        <v>1325</v>
      </c>
      <c r="N2019">
        <v>19108</v>
      </c>
      <c r="O2019">
        <f t="shared" si="62"/>
        <v>2025</v>
      </c>
      <c r="P2019">
        <f t="shared" si="63"/>
        <v>5</v>
      </c>
      <c r="Q2019" t="s">
        <v>570</v>
      </c>
      <c r="R2019" s="546" t="s">
        <v>804</v>
      </c>
    </row>
    <row r="2020" spans="1:18" x14ac:dyDescent="0.3">
      <c r="A2020" t="s">
        <v>627</v>
      </c>
      <c r="B2020" s="16">
        <v>45800</v>
      </c>
      <c r="C2020" t="s">
        <v>2</v>
      </c>
      <c r="D2020" t="s">
        <v>55</v>
      </c>
      <c r="E2020">
        <v>927</v>
      </c>
      <c r="F2020">
        <v>785</v>
      </c>
      <c r="G2020">
        <v>16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12</v>
      </c>
      <c r="N2020">
        <v>184</v>
      </c>
      <c r="O2020">
        <f t="shared" si="62"/>
        <v>2025</v>
      </c>
      <c r="P2020">
        <f t="shared" si="63"/>
        <v>5</v>
      </c>
      <c r="Q2020" t="s">
        <v>570</v>
      </c>
      <c r="R2020" s="546" t="s">
        <v>804</v>
      </c>
    </row>
    <row r="2021" spans="1:18" x14ac:dyDescent="0.3">
      <c r="A2021" t="s">
        <v>627</v>
      </c>
      <c r="B2021" s="16">
        <v>45800</v>
      </c>
      <c r="C2021" t="s">
        <v>3</v>
      </c>
      <c r="D2021" t="s">
        <v>155</v>
      </c>
      <c r="E2021">
        <v>5</v>
      </c>
      <c r="F2021">
        <v>2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5</v>
      </c>
      <c r="O2021">
        <f t="shared" si="62"/>
        <v>2025</v>
      </c>
      <c r="P2021">
        <f t="shared" si="63"/>
        <v>5</v>
      </c>
      <c r="Q2021" t="s">
        <v>570</v>
      </c>
      <c r="R2021" s="546" t="s">
        <v>804</v>
      </c>
    </row>
    <row r="2022" spans="1:18" x14ac:dyDescent="0.3">
      <c r="A2022" t="s">
        <v>627</v>
      </c>
      <c r="B2022" s="16">
        <v>45800</v>
      </c>
      <c r="C2022" t="s">
        <v>3</v>
      </c>
      <c r="D2022" t="s">
        <v>154</v>
      </c>
      <c r="E2022">
        <v>524</v>
      </c>
      <c r="F2022">
        <v>461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f t="shared" si="62"/>
        <v>2025</v>
      </c>
      <c r="P2022">
        <f t="shared" si="63"/>
        <v>5</v>
      </c>
      <c r="Q2022" t="s">
        <v>570</v>
      </c>
      <c r="R2022" s="546" t="s">
        <v>804</v>
      </c>
    </row>
    <row r="2023" spans="1:18" x14ac:dyDescent="0.3">
      <c r="A2023" t="s">
        <v>627</v>
      </c>
      <c r="B2023" s="16">
        <v>45800</v>
      </c>
      <c r="C2023" t="s">
        <v>3</v>
      </c>
      <c r="D2023" t="s">
        <v>153</v>
      </c>
      <c r="E2023">
        <v>359</v>
      </c>
      <c r="F2023">
        <v>81</v>
      </c>
      <c r="G2023">
        <v>63</v>
      </c>
      <c r="H2023">
        <v>2</v>
      </c>
      <c r="I2023">
        <v>143277.95000000001</v>
      </c>
      <c r="J2023">
        <v>41</v>
      </c>
      <c r="K2023">
        <v>140987.95000000001</v>
      </c>
      <c r="L2023">
        <v>40</v>
      </c>
      <c r="M2023">
        <v>90</v>
      </c>
      <c r="N2023">
        <v>348</v>
      </c>
      <c r="O2023">
        <f t="shared" si="62"/>
        <v>2025</v>
      </c>
      <c r="P2023">
        <f t="shared" si="63"/>
        <v>5</v>
      </c>
      <c r="Q2023" t="s">
        <v>570</v>
      </c>
      <c r="R2023" s="546" t="s">
        <v>804</v>
      </c>
    </row>
    <row r="2024" spans="1:18" x14ac:dyDescent="0.3">
      <c r="A2024" t="s">
        <v>627</v>
      </c>
      <c r="B2024" s="16">
        <v>45800</v>
      </c>
      <c r="C2024" t="s">
        <v>3</v>
      </c>
      <c r="D2024" t="s">
        <v>152</v>
      </c>
      <c r="E2024">
        <v>52</v>
      </c>
      <c r="F2024">
        <v>37</v>
      </c>
      <c r="G2024">
        <v>2</v>
      </c>
      <c r="H2024">
        <v>1</v>
      </c>
      <c r="I2024">
        <v>1690</v>
      </c>
      <c r="J2024">
        <v>1</v>
      </c>
      <c r="K2024">
        <v>1690</v>
      </c>
      <c r="L2024">
        <v>1</v>
      </c>
      <c r="M2024">
        <v>1</v>
      </c>
      <c r="N2024">
        <v>27</v>
      </c>
      <c r="O2024">
        <f t="shared" si="62"/>
        <v>2025</v>
      </c>
      <c r="P2024">
        <f t="shared" si="63"/>
        <v>5</v>
      </c>
      <c r="Q2024" t="s">
        <v>570</v>
      </c>
      <c r="R2024" s="546" t="s">
        <v>804</v>
      </c>
    </row>
    <row r="2025" spans="1:18" x14ac:dyDescent="0.3">
      <c r="A2025" t="s">
        <v>627</v>
      </c>
      <c r="B2025" s="16">
        <v>45800</v>
      </c>
      <c r="C2025" t="s">
        <v>3</v>
      </c>
      <c r="D2025" t="s">
        <v>150</v>
      </c>
      <c r="E2025">
        <v>93</v>
      </c>
      <c r="F2025">
        <v>83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4</v>
      </c>
      <c r="O2025">
        <f t="shared" si="62"/>
        <v>2025</v>
      </c>
      <c r="P2025">
        <f t="shared" si="63"/>
        <v>5</v>
      </c>
      <c r="Q2025" t="s">
        <v>570</v>
      </c>
      <c r="R2025" s="546" t="s">
        <v>804</v>
      </c>
    </row>
    <row r="2026" spans="1:18" x14ac:dyDescent="0.3">
      <c r="A2026" t="s">
        <v>627</v>
      </c>
      <c r="B2026" s="16">
        <v>45800</v>
      </c>
      <c r="C2026" t="s">
        <v>3</v>
      </c>
      <c r="D2026" t="s">
        <v>149</v>
      </c>
      <c r="E2026">
        <v>10</v>
      </c>
      <c r="F2026">
        <v>6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  <c r="N2026">
        <v>2</v>
      </c>
      <c r="O2026">
        <f t="shared" si="62"/>
        <v>2025</v>
      </c>
      <c r="P2026">
        <f t="shared" si="63"/>
        <v>5</v>
      </c>
      <c r="Q2026" t="s">
        <v>570</v>
      </c>
      <c r="R2026" s="546" t="s">
        <v>804</v>
      </c>
    </row>
    <row r="2027" spans="1:18" x14ac:dyDescent="0.3">
      <c r="A2027" t="s">
        <v>627</v>
      </c>
      <c r="B2027" s="16">
        <v>45800</v>
      </c>
      <c r="C2027" t="s">
        <v>3</v>
      </c>
      <c r="D2027" t="s">
        <v>148</v>
      </c>
      <c r="E2027">
        <v>1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1</v>
      </c>
      <c r="N2027">
        <v>0</v>
      </c>
      <c r="O2027">
        <f t="shared" si="62"/>
        <v>2025</v>
      </c>
      <c r="P2027">
        <f t="shared" si="63"/>
        <v>5</v>
      </c>
      <c r="Q2027" t="s">
        <v>570</v>
      </c>
      <c r="R2027" s="546" t="s">
        <v>804</v>
      </c>
    </row>
    <row r="2028" spans="1:18" x14ac:dyDescent="0.3">
      <c r="A2028" t="s">
        <v>627</v>
      </c>
      <c r="B2028" s="16">
        <v>45800</v>
      </c>
      <c r="C2028" t="s">
        <v>3</v>
      </c>
      <c r="D2028" t="s">
        <v>146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1</v>
      </c>
      <c r="O2028">
        <f t="shared" si="62"/>
        <v>2025</v>
      </c>
      <c r="P2028">
        <f t="shared" si="63"/>
        <v>5</v>
      </c>
      <c r="Q2028" t="s">
        <v>570</v>
      </c>
      <c r="R2028" s="546" t="s">
        <v>804</v>
      </c>
    </row>
    <row r="2029" spans="1:18" x14ac:dyDescent="0.3">
      <c r="A2029" t="s">
        <v>627</v>
      </c>
      <c r="B2029" s="16">
        <v>45800</v>
      </c>
      <c r="C2029" t="s">
        <v>3</v>
      </c>
      <c r="D2029" t="s">
        <v>145</v>
      </c>
      <c r="E2029">
        <v>1</v>
      </c>
      <c r="F2029">
        <v>1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f t="shared" si="62"/>
        <v>2025</v>
      </c>
      <c r="P2029">
        <f t="shared" si="63"/>
        <v>5</v>
      </c>
      <c r="Q2029" t="s">
        <v>570</v>
      </c>
      <c r="R2029" s="546" t="s">
        <v>804</v>
      </c>
    </row>
    <row r="2030" spans="1:18" x14ac:dyDescent="0.3">
      <c r="A2030" t="s">
        <v>627</v>
      </c>
      <c r="B2030" s="16">
        <v>45800</v>
      </c>
      <c r="C2030" t="s">
        <v>3</v>
      </c>
      <c r="D2030" t="s">
        <v>251</v>
      </c>
      <c r="E2030">
        <v>2457</v>
      </c>
      <c r="F2030">
        <v>1908</v>
      </c>
      <c r="G2030">
        <v>24</v>
      </c>
      <c r="H2030">
        <v>1</v>
      </c>
      <c r="I2030">
        <v>19504</v>
      </c>
      <c r="J2030">
        <v>8</v>
      </c>
      <c r="K2030">
        <v>18014</v>
      </c>
      <c r="L2030">
        <v>7</v>
      </c>
      <c r="M2030">
        <v>72</v>
      </c>
      <c r="N2030">
        <v>192</v>
      </c>
      <c r="O2030">
        <f t="shared" si="62"/>
        <v>2025</v>
      </c>
      <c r="P2030">
        <f t="shared" si="63"/>
        <v>5</v>
      </c>
      <c r="Q2030" t="s">
        <v>570</v>
      </c>
      <c r="R2030" s="546" t="s">
        <v>804</v>
      </c>
    </row>
    <row r="2031" spans="1:18" x14ac:dyDescent="0.3">
      <c r="A2031" t="s">
        <v>627</v>
      </c>
      <c r="B2031" s="16">
        <v>45800</v>
      </c>
      <c r="C2031" t="s">
        <v>3</v>
      </c>
      <c r="D2031" t="s">
        <v>143</v>
      </c>
      <c r="E2031">
        <v>32</v>
      </c>
      <c r="F2031">
        <v>31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32</v>
      </c>
      <c r="O2031">
        <f t="shared" ref="O2031:O2094" si="64">YEAR(B2031)</f>
        <v>2025</v>
      </c>
      <c r="P2031">
        <f t="shared" ref="P2031:P2094" si="65">MONTH(B2031)</f>
        <v>5</v>
      </c>
      <c r="Q2031" t="s">
        <v>570</v>
      </c>
      <c r="R2031" s="546" t="s">
        <v>804</v>
      </c>
    </row>
    <row r="2032" spans="1:18" x14ac:dyDescent="0.3">
      <c r="A2032" t="s">
        <v>627</v>
      </c>
      <c r="B2032" s="16">
        <v>45800</v>
      </c>
      <c r="C2032" t="s">
        <v>3</v>
      </c>
      <c r="D2032" t="s">
        <v>141</v>
      </c>
      <c r="E2032">
        <v>439</v>
      </c>
      <c r="F2032">
        <v>258</v>
      </c>
      <c r="G2032">
        <v>6</v>
      </c>
      <c r="H2032">
        <v>0</v>
      </c>
      <c r="I2032">
        <v>1598</v>
      </c>
      <c r="J2032">
        <v>1</v>
      </c>
      <c r="K2032">
        <v>1598</v>
      </c>
      <c r="L2032">
        <v>1</v>
      </c>
      <c r="M2032">
        <v>0</v>
      </c>
      <c r="N2032">
        <v>439</v>
      </c>
      <c r="O2032">
        <f t="shared" si="64"/>
        <v>2025</v>
      </c>
      <c r="P2032">
        <f t="shared" si="65"/>
        <v>5</v>
      </c>
      <c r="Q2032" t="s">
        <v>570</v>
      </c>
      <c r="R2032" s="546" t="s">
        <v>804</v>
      </c>
    </row>
    <row r="2033" spans="1:18" x14ac:dyDescent="0.3">
      <c r="A2033" t="s">
        <v>627</v>
      </c>
      <c r="B2033" s="16">
        <v>45800</v>
      </c>
      <c r="C2033" t="s">
        <v>3</v>
      </c>
      <c r="D2033" t="s">
        <v>140</v>
      </c>
      <c r="E2033">
        <v>19</v>
      </c>
      <c r="F2033">
        <v>14</v>
      </c>
      <c r="G2033">
        <v>2</v>
      </c>
      <c r="H2033">
        <v>0</v>
      </c>
      <c r="I2033">
        <v>4315</v>
      </c>
      <c r="J2033">
        <v>2</v>
      </c>
      <c r="K2033">
        <v>4315</v>
      </c>
      <c r="L2033">
        <v>2</v>
      </c>
      <c r="M2033">
        <v>0</v>
      </c>
      <c r="N2033">
        <v>19</v>
      </c>
      <c r="O2033">
        <f t="shared" si="64"/>
        <v>2025</v>
      </c>
      <c r="P2033">
        <f t="shared" si="65"/>
        <v>5</v>
      </c>
      <c r="Q2033" t="s">
        <v>570</v>
      </c>
      <c r="R2033" s="546" t="s">
        <v>804</v>
      </c>
    </row>
    <row r="2034" spans="1:18" x14ac:dyDescent="0.3">
      <c r="A2034" t="s">
        <v>627</v>
      </c>
      <c r="B2034" s="16">
        <v>45800</v>
      </c>
      <c r="C2034" t="s">
        <v>3</v>
      </c>
      <c r="D2034" t="s">
        <v>139</v>
      </c>
      <c r="E2034">
        <v>974</v>
      </c>
      <c r="F2034">
        <v>626</v>
      </c>
      <c r="G2034">
        <v>84</v>
      </c>
      <c r="H2034">
        <v>10</v>
      </c>
      <c r="I2034">
        <v>121843.18</v>
      </c>
      <c r="J2034">
        <v>30</v>
      </c>
      <c r="K2034">
        <v>111208.18</v>
      </c>
      <c r="L2034">
        <v>28</v>
      </c>
      <c r="M2034">
        <v>386</v>
      </c>
      <c r="N2034">
        <v>603</v>
      </c>
      <c r="O2034">
        <f t="shared" si="64"/>
        <v>2025</v>
      </c>
      <c r="P2034">
        <f t="shared" si="65"/>
        <v>5</v>
      </c>
      <c r="Q2034" t="s">
        <v>570</v>
      </c>
      <c r="R2034" s="546" t="s">
        <v>804</v>
      </c>
    </row>
    <row r="2035" spans="1:18" x14ac:dyDescent="0.3">
      <c r="A2035" t="s">
        <v>627</v>
      </c>
      <c r="B2035" s="16">
        <v>45800</v>
      </c>
      <c r="C2035" t="s">
        <v>3</v>
      </c>
      <c r="D2035" t="s">
        <v>138</v>
      </c>
      <c r="E2035">
        <v>9</v>
      </c>
      <c r="F2035">
        <v>5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1</v>
      </c>
      <c r="N2035">
        <v>9</v>
      </c>
      <c r="O2035">
        <f t="shared" si="64"/>
        <v>2025</v>
      </c>
      <c r="P2035">
        <f t="shared" si="65"/>
        <v>5</v>
      </c>
      <c r="Q2035" t="s">
        <v>570</v>
      </c>
      <c r="R2035" s="546" t="s">
        <v>804</v>
      </c>
    </row>
    <row r="2036" spans="1:18" x14ac:dyDescent="0.3">
      <c r="A2036" t="s">
        <v>627</v>
      </c>
      <c r="B2036" s="16">
        <v>45800</v>
      </c>
      <c r="C2036" t="s">
        <v>3</v>
      </c>
      <c r="D2036" t="s">
        <v>135</v>
      </c>
      <c r="E2036">
        <v>65</v>
      </c>
      <c r="F2036">
        <v>43</v>
      </c>
      <c r="G2036">
        <v>2</v>
      </c>
      <c r="H2036">
        <v>0</v>
      </c>
      <c r="I2036">
        <v>2348</v>
      </c>
      <c r="J2036">
        <v>1</v>
      </c>
      <c r="K2036">
        <v>2348</v>
      </c>
      <c r="L2036">
        <v>1</v>
      </c>
      <c r="M2036">
        <v>1</v>
      </c>
      <c r="N2036">
        <v>17</v>
      </c>
      <c r="O2036">
        <f t="shared" si="64"/>
        <v>2025</v>
      </c>
      <c r="P2036">
        <f t="shared" si="65"/>
        <v>5</v>
      </c>
      <c r="Q2036" t="s">
        <v>570</v>
      </c>
      <c r="R2036" s="546" t="s">
        <v>804</v>
      </c>
    </row>
    <row r="2037" spans="1:18" x14ac:dyDescent="0.3">
      <c r="A2037" t="s">
        <v>627</v>
      </c>
      <c r="B2037" s="16">
        <v>45800</v>
      </c>
      <c r="C2037" t="s">
        <v>3</v>
      </c>
      <c r="D2037" t="s">
        <v>133</v>
      </c>
      <c r="E2037">
        <v>38</v>
      </c>
      <c r="F2037">
        <v>16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9</v>
      </c>
      <c r="N2037">
        <v>34</v>
      </c>
      <c r="O2037">
        <f t="shared" si="64"/>
        <v>2025</v>
      </c>
      <c r="P2037">
        <f t="shared" si="65"/>
        <v>5</v>
      </c>
      <c r="Q2037" t="s">
        <v>570</v>
      </c>
      <c r="R2037" s="546" t="s">
        <v>804</v>
      </c>
    </row>
    <row r="2038" spans="1:18" x14ac:dyDescent="0.3">
      <c r="A2038" t="s">
        <v>627</v>
      </c>
      <c r="B2038" s="16">
        <v>45800</v>
      </c>
      <c r="C2038" t="s">
        <v>3</v>
      </c>
      <c r="D2038" t="s">
        <v>130</v>
      </c>
      <c r="E2038">
        <v>302</v>
      </c>
      <c r="F2038">
        <v>98</v>
      </c>
      <c r="G2038">
        <v>13</v>
      </c>
      <c r="H2038">
        <v>1</v>
      </c>
      <c r="I2038">
        <v>38494</v>
      </c>
      <c r="J2038">
        <v>10</v>
      </c>
      <c r="K2038">
        <v>38494</v>
      </c>
      <c r="L2038">
        <v>10</v>
      </c>
      <c r="M2038">
        <v>238</v>
      </c>
      <c r="N2038">
        <v>100</v>
      </c>
      <c r="O2038">
        <f t="shared" si="64"/>
        <v>2025</v>
      </c>
      <c r="P2038">
        <f t="shared" si="65"/>
        <v>5</v>
      </c>
      <c r="Q2038" t="s">
        <v>570</v>
      </c>
      <c r="R2038" s="546" t="s">
        <v>804</v>
      </c>
    </row>
    <row r="2039" spans="1:18" x14ac:dyDescent="0.3">
      <c r="A2039" t="s">
        <v>627</v>
      </c>
      <c r="B2039" s="16">
        <v>45800</v>
      </c>
      <c r="C2039" t="s">
        <v>3</v>
      </c>
      <c r="D2039" t="s">
        <v>128</v>
      </c>
      <c r="E2039">
        <v>878</v>
      </c>
      <c r="F2039">
        <v>662</v>
      </c>
      <c r="G2039">
        <v>43</v>
      </c>
      <c r="H2039">
        <v>8</v>
      </c>
      <c r="I2039">
        <v>48513</v>
      </c>
      <c r="J2039">
        <v>16</v>
      </c>
      <c r="K2039">
        <v>38023</v>
      </c>
      <c r="L2039">
        <v>12</v>
      </c>
      <c r="M2039">
        <v>349</v>
      </c>
      <c r="N2039">
        <v>637</v>
      </c>
      <c r="O2039">
        <f t="shared" si="64"/>
        <v>2025</v>
      </c>
      <c r="P2039">
        <f t="shared" si="65"/>
        <v>5</v>
      </c>
      <c r="Q2039" t="s">
        <v>570</v>
      </c>
      <c r="R2039" s="546" t="s">
        <v>804</v>
      </c>
    </row>
    <row r="2040" spans="1:18" x14ac:dyDescent="0.3">
      <c r="A2040" t="s">
        <v>627</v>
      </c>
      <c r="B2040" s="16">
        <v>45800</v>
      </c>
      <c r="C2040" t="s">
        <v>3</v>
      </c>
      <c r="D2040" t="s">
        <v>127</v>
      </c>
      <c r="E2040">
        <v>4972</v>
      </c>
      <c r="F2040">
        <v>3673</v>
      </c>
      <c r="G2040">
        <v>63</v>
      </c>
      <c r="H2040">
        <v>37</v>
      </c>
      <c r="I2040">
        <v>68797</v>
      </c>
      <c r="J2040">
        <v>6</v>
      </c>
      <c r="K2040">
        <v>6157</v>
      </c>
      <c r="L2040">
        <v>3</v>
      </c>
      <c r="M2040">
        <v>294</v>
      </c>
      <c r="N2040">
        <v>4146</v>
      </c>
      <c r="O2040">
        <f t="shared" si="64"/>
        <v>2025</v>
      </c>
      <c r="P2040">
        <f t="shared" si="65"/>
        <v>5</v>
      </c>
      <c r="Q2040" t="s">
        <v>570</v>
      </c>
      <c r="R2040" s="546" t="s">
        <v>804</v>
      </c>
    </row>
    <row r="2041" spans="1:18" x14ac:dyDescent="0.3">
      <c r="A2041" t="s">
        <v>627</v>
      </c>
      <c r="B2041" s="16">
        <v>45800</v>
      </c>
      <c r="C2041" t="s">
        <v>3</v>
      </c>
      <c r="D2041" t="s">
        <v>126</v>
      </c>
      <c r="E2041">
        <v>82</v>
      </c>
      <c r="F2041">
        <v>52</v>
      </c>
      <c r="G2041">
        <v>6</v>
      </c>
      <c r="H2041">
        <v>0</v>
      </c>
      <c r="I2041">
        <v>8602</v>
      </c>
      <c r="J2041">
        <v>3</v>
      </c>
      <c r="K2041">
        <v>8602</v>
      </c>
      <c r="L2041">
        <v>3</v>
      </c>
      <c r="M2041">
        <v>18</v>
      </c>
      <c r="N2041">
        <v>74</v>
      </c>
      <c r="O2041">
        <f t="shared" si="64"/>
        <v>2025</v>
      </c>
      <c r="P2041">
        <f t="shared" si="65"/>
        <v>5</v>
      </c>
      <c r="Q2041" t="s">
        <v>570</v>
      </c>
      <c r="R2041" s="546" t="s">
        <v>804</v>
      </c>
    </row>
    <row r="2042" spans="1:18" x14ac:dyDescent="0.3">
      <c r="A2042" t="s">
        <v>627</v>
      </c>
      <c r="B2042" s="16">
        <v>45800</v>
      </c>
      <c r="C2042" t="s">
        <v>3</v>
      </c>
      <c r="D2042" t="s">
        <v>125</v>
      </c>
      <c r="E2042">
        <v>3</v>
      </c>
      <c r="F2042">
        <v>3</v>
      </c>
      <c r="G2042">
        <v>0</v>
      </c>
      <c r="H2042">
        <v>0</v>
      </c>
      <c r="I2042">
        <v>1468.13</v>
      </c>
      <c r="J2042">
        <v>1</v>
      </c>
      <c r="K2042">
        <v>1468.13</v>
      </c>
      <c r="L2042">
        <v>1</v>
      </c>
      <c r="M2042">
        <v>0</v>
      </c>
      <c r="N2042">
        <v>3</v>
      </c>
      <c r="O2042">
        <f t="shared" si="64"/>
        <v>2025</v>
      </c>
      <c r="P2042">
        <f t="shared" si="65"/>
        <v>5</v>
      </c>
      <c r="Q2042" t="s">
        <v>570</v>
      </c>
      <c r="R2042" s="546" t="s">
        <v>804</v>
      </c>
    </row>
    <row r="2043" spans="1:18" x14ac:dyDescent="0.3">
      <c r="A2043" t="s">
        <v>627</v>
      </c>
      <c r="B2043" s="16">
        <v>45800</v>
      </c>
      <c r="C2043" t="s">
        <v>3</v>
      </c>
      <c r="D2043" t="s">
        <v>123</v>
      </c>
      <c r="E2043">
        <v>248</v>
      </c>
      <c r="F2043">
        <v>122</v>
      </c>
      <c r="G2043">
        <v>15</v>
      </c>
      <c r="H2043">
        <v>4</v>
      </c>
      <c r="I2043">
        <v>8254</v>
      </c>
      <c r="J2043">
        <v>4</v>
      </c>
      <c r="K2043">
        <v>8254</v>
      </c>
      <c r="L2043">
        <v>4</v>
      </c>
      <c r="M2043">
        <v>67</v>
      </c>
      <c r="N2043">
        <v>225</v>
      </c>
      <c r="O2043">
        <f t="shared" si="64"/>
        <v>2025</v>
      </c>
      <c r="P2043">
        <f t="shared" si="65"/>
        <v>5</v>
      </c>
      <c r="Q2043" t="s">
        <v>570</v>
      </c>
      <c r="R2043" s="546" t="s">
        <v>804</v>
      </c>
    </row>
    <row r="2044" spans="1:18" x14ac:dyDescent="0.3">
      <c r="A2044" t="s">
        <v>627</v>
      </c>
      <c r="B2044" s="16">
        <v>45800</v>
      </c>
      <c r="C2044" t="s">
        <v>3</v>
      </c>
      <c r="D2044" t="s">
        <v>121</v>
      </c>
      <c r="E2044">
        <v>1</v>
      </c>
      <c r="F2044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1</v>
      </c>
      <c r="O2044">
        <f t="shared" si="64"/>
        <v>2025</v>
      </c>
      <c r="P2044">
        <f t="shared" si="65"/>
        <v>5</v>
      </c>
      <c r="Q2044" t="s">
        <v>570</v>
      </c>
      <c r="R2044" s="546" t="s">
        <v>804</v>
      </c>
    </row>
    <row r="2045" spans="1:18" x14ac:dyDescent="0.3">
      <c r="A2045" t="s">
        <v>627</v>
      </c>
      <c r="B2045" s="16">
        <v>45800</v>
      </c>
      <c r="C2045" t="s">
        <v>3</v>
      </c>
      <c r="D2045" t="s">
        <v>119</v>
      </c>
      <c r="E2045">
        <v>295</v>
      </c>
      <c r="F2045">
        <v>95</v>
      </c>
      <c r="G2045">
        <v>34</v>
      </c>
      <c r="H2045">
        <v>8</v>
      </c>
      <c r="I2045">
        <v>53742</v>
      </c>
      <c r="J2045">
        <v>16</v>
      </c>
      <c r="K2045">
        <v>40407</v>
      </c>
      <c r="L2045">
        <v>13</v>
      </c>
      <c r="M2045">
        <v>71</v>
      </c>
      <c r="N2045">
        <v>279</v>
      </c>
      <c r="O2045">
        <f t="shared" si="64"/>
        <v>2025</v>
      </c>
      <c r="P2045">
        <f t="shared" si="65"/>
        <v>5</v>
      </c>
      <c r="Q2045" t="s">
        <v>570</v>
      </c>
      <c r="R2045" s="546" t="s">
        <v>804</v>
      </c>
    </row>
    <row r="2046" spans="1:18" x14ac:dyDescent="0.3">
      <c r="A2046" t="s">
        <v>627</v>
      </c>
      <c r="B2046" s="16">
        <v>45800</v>
      </c>
      <c r="C2046" t="s">
        <v>3</v>
      </c>
      <c r="D2046" t="s">
        <v>252</v>
      </c>
      <c r="E2046">
        <v>12</v>
      </c>
      <c r="F2046">
        <v>11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12</v>
      </c>
      <c r="O2046">
        <f t="shared" si="64"/>
        <v>2025</v>
      </c>
      <c r="P2046">
        <f t="shared" si="65"/>
        <v>5</v>
      </c>
      <c r="Q2046" t="s">
        <v>570</v>
      </c>
      <c r="R2046" s="546" t="s">
        <v>804</v>
      </c>
    </row>
    <row r="2047" spans="1:18" x14ac:dyDescent="0.3">
      <c r="A2047" t="s">
        <v>627</v>
      </c>
      <c r="B2047" s="16">
        <v>45800</v>
      </c>
      <c r="C2047" t="s">
        <v>3</v>
      </c>
      <c r="D2047" t="s">
        <v>117</v>
      </c>
      <c r="E2047">
        <v>1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1</v>
      </c>
      <c r="O2047">
        <f t="shared" si="64"/>
        <v>2025</v>
      </c>
      <c r="P2047">
        <f t="shared" si="65"/>
        <v>5</v>
      </c>
      <c r="Q2047" t="s">
        <v>570</v>
      </c>
      <c r="R2047" s="546" t="s">
        <v>804</v>
      </c>
    </row>
    <row r="2048" spans="1:18" x14ac:dyDescent="0.3">
      <c r="A2048" t="s">
        <v>627</v>
      </c>
      <c r="B2048" s="16">
        <v>45800</v>
      </c>
      <c r="C2048" t="s">
        <v>3</v>
      </c>
      <c r="D2048" t="s">
        <v>391</v>
      </c>
      <c r="E2048">
        <v>429</v>
      </c>
      <c r="F2048">
        <v>216</v>
      </c>
      <c r="G2048">
        <v>21</v>
      </c>
      <c r="H2048">
        <v>6</v>
      </c>
      <c r="I2048">
        <v>23735</v>
      </c>
      <c r="J2048">
        <v>6</v>
      </c>
      <c r="K2048">
        <v>23735</v>
      </c>
      <c r="L2048">
        <v>6</v>
      </c>
      <c r="M2048">
        <v>77</v>
      </c>
      <c r="N2048">
        <v>414</v>
      </c>
      <c r="O2048">
        <f t="shared" si="64"/>
        <v>2025</v>
      </c>
      <c r="P2048">
        <f t="shared" si="65"/>
        <v>5</v>
      </c>
      <c r="Q2048" t="s">
        <v>570</v>
      </c>
      <c r="R2048" s="546" t="s">
        <v>804</v>
      </c>
    </row>
    <row r="2049" spans="1:18" x14ac:dyDescent="0.3">
      <c r="A2049" t="s">
        <v>627</v>
      </c>
      <c r="B2049" s="16">
        <v>45800</v>
      </c>
      <c r="C2049" t="s">
        <v>3</v>
      </c>
      <c r="D2049" t="s">
        <v>114</v>
      </c>
      <c r="E2049">
        <v>108</v>
      </c>
      <c r="F2049">
        <v>47</v>
      </c>
      <c r="G2049">
        <v>4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9</v>
      </c>
      <c r="N2049">
        <v>107</v>
      </c>
      <c r="O2049">
        <f t="shared" si="64"/>
        <v>2025</v>
      </c>
      <c r="P2049">
        <f t="shared" si="65"/>
        <v>5</v>
      </c>
      <c r="Q2049" t="s">
        <v>570</v>
      </c>
      <c r="R2049" s="546" t="s">
        <v>804</v>
      </c>
    </row>
    <row r="2050" spans="1:18" x14ac:dyDescent="0.3">
      <c r="A2050" t="s">
        <v>627</v>
      </c>
      <c r="B2050" s="16">
        <v>45800</v>
      </c>
      <c r="C2050" t="s">
        <v>3</v>
      </c>
      <c r="D2050" t="s">
        <v>113</v>
      </c>
      <c r="E2050">
        <v>90</v>
      </c>
      <c r="F2050">
        <v>48</v>
      </c>
      <c r="G2050">
        <v>2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67</v>
      </c>
      <c r="N2050">
        <v>44</v>
      </c>
      <c r="O2050">
        <f t="shared" si="64"/>
        <v>2025</v>
      </c>
      <c r="P2050">
        <f t="shared" si="65"/>
        <v>5</v>
      </c>
      <c r="Q2050" t="s">
        <v>570</v>
      </c>
      <c r="R2050" s="546" t="s">
        <v>804</v>
      </c>
    </row>
    <row r="2051" spans="1:18" x14ac:dyDescent="0.3">
      <c r="A2051" t="s">
        <v>627</v>
      </c>
      <c r="B2051" s="16">
        <v>45800</v>
      </c>
      <c r="C2051" t="s">
        <v>3</v>
      </c>
      <c r="D2051" t="s">
        <v>112</v>
      </c>
      <c r="E2051">
        <v>31</v>
      </c>
      <c r="F2051">
        <v>5</v>
      </c>
      <c r="G2051">
        <v>1</v>
      </c>
      <c r="H2051">
        <v>0</v>
      </c>
      <c r="I2051">
        <v>22430</v>
      </c>
      <c r="J2051">
        <v>6</v>
      </c>
      <c r="K2051">
        <v>22430</v>
      </c>
      <c r="L2051">
        <v>6</v>
      </c>
      <c r="M2051">
        <v>1</v>
      </c>
      <c r="N2051">
        <v>31</v>
      </c>
      <c r="O2051">
        <f t="shared" si="64"/>
        <v>2025</v>
      </c>
      <c r="P2051">
        <f t="shared" si="65"/>
        <v>5</v>
      </c>
      <c r="Q2051" t="s">
        <v>570</v>
      </c>
      <c r="R2051" s="546" t="s">
        <v>804</v>
      </c>
    </row>
    <row r="2052" spans="1:18" x14ac:dyDescent="0.3">
      <c r="A2052" t="s">
        <v>627</v>
      </c>
      <c r="B2052" s="16">
        <v>45799</v>
      </c>
      <c r="C2052" t="s">
        <v>2</v>
      </c>
      <c r="D2052" t="s">
        <v>4</v>
      </c>
      <c r="E2052">
        <v>521</v>
      </c>
      <c r="F2052">
        <v>228</v>
      </c>
      <c r="G2052">
        <v>126</v>
      </c>
      <c r="H2052">
        <v>4</v>
      </c>
      <c r="I2052">
        <v>132085</v>
      </c>
      <c r="J2052">
        <v>36</v>
      </c>
      <c r="K2052">
        <v>89505</v>
      </c>
      <c r="L2052">
        <v>24</v>
      </c>
      <c r="M2052">
        <v>18</v>
      </c>
      <c r="N2052">
        <v>518</v>
      </c>
      <c r="O2052">
        <f t="shared" si="64"/>
        <v>2025</v>
      </c>
      <c r="P2052">
        <f t="shared" si="65"/>
        <v>5</v>
      </c>
      <c r="Q2052" t="s">
        <v>570</v>
      </c>
      <c r="R2052" s="546" t="s">
        <v>804</v>
      </c>
    </row>
    <row r="2053" spans="1:18" x14ac:dyDescent="0.3">
      <c r="A2053" t="s">
        <v>627</v>
      </c>
      <c r="B2053" s="16">
        <v>45799</v>
      </c>
      <c r="C2053" t="s">
        <v>2</v>
      </c>
      <c r="D2053" t="s">
        <v>57</v>
      </c>
      <c r="E2053">
        <v>19994</v>
      </c>
      <c r="F2053">
        <v>13816</v>
      </c>
      <c r="G2053">
        <v>363</v>
      </c>
      <c r="H2053">
        <v>278</v>
      </c>
      <c r="I2053">
        <v>211082.78</v>
      </c>
      <c r="J2053">
        <v>53</v>
      </c>
      <c r="K2053">
        <v>134473.78</v>
      </c>
      <c r="L2053">
        <v>43</v>
      </c>
      <c r="M2053">
        <v>1371</v>
      </c>
      <c r="N2053">
        <v>19726</v>
      </c>
      <c r="O2053">
        <f t="shared" si="64"/>
        <v>2025</v>
      </c>
      <c r="P2053">
        <f t="shared" si="65"/>
        <v>5</v>
      </c>
      <c r="Q2053" t="s">
        <v>570</v>
      </c>
      <c r="R2053" s="546" t="s">
        <v>804</v>
      </c>
    </row>
    <row r="2054" spans="1:18" x14ac:dyDescent="0.3">
      <c r="A2054" t="s">
        <v>627</v>
      </c>
      <c r="B2054" s="16">
        <v>45799</v>
      </c>
      <c r="C2054" t="s">
        <v>2</v>
      </c>
      <c r="D2054" t="s">
        <v>52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1</v>
      </c>
      <c r="N2054">
        <v>0</v>
      </c>
      <c r="O2054">
        <f t="shared" si="64"/>
        <v>2025</v>
      </c>
      <c r="P2054">
        <f t="shared" si="65"/>
        <v>5</v>
      </c>
      <c r="Q2054" t="s">
        <v>570</v>
      </c>
      <c r="R2054" s="546" t="s">
        <v>804</v>
      </c>
    </row>
    <row r="2055" spans="1:18" x14ac:dyDescent="0.3">
      <c r="A2055" t="s">
        <v>627</v>
      </c>
      <c r="B2055" s="16">
        <v>45799</v>
      </c>
      <c r="C2055" t="s">
        <v>2</v>
      </c>
      <c r="D2055" t="s">
        <v>55</v>
      </c>
      <c r="E2055">
        <v>943</v>
      </c>
      <c r="F2055">
        <v>855</v>
      </c>
      <c r="G2055">
        <v>5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9</v>
      </c>
      <c r="N2055">
        <v>123</v>
      </c>
      <c r="O2055">
        <f t="shared" si="64"/>
        <v>2025</v>
      </c>
      <c r="P2055">
        <f t="shared" si="65"/>
        <v>5</v>
      </c>
      <c r="Q2055" t="s">
        <v>570</v>
      </c>
      <c r="R2055" s="546" t="s">
        <v>804</v>
      </c>
    </row>
    <row r="2056" spans="1:18" x14ac:dyDescent="0.3">
      <c r="A2056" t="s">
        <v>627</v>
      </c>
      <c r="B2056" s="16">
        <v>45799</v>
      </c>
      <c r="C2056" t="s">
        <v>3</v>
      </c>
      <c r="D2056" t="s">
        <v>157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f t="shared" si="64"/>
        <v>2025</v>
      </c>
      <c r="P2056">
        <f t="shared" si="65"/>
        <v>5</v>
      </c>
      <c r="Q2056" t="s">
        <v>570</v>
      </c>
      <c r="R2056" s="546" t="s">
        <v>804</v>
      </c>
    </row>
    <row r="2057" spans="1:18" x14ac:dyDescent="0.3">
      <c r="A2057" t="s">
        <v>627</v>
      </c>
      <c r="B2057" s="16">
        <v>45799</v>
      </c>
      <c r="C2057" t="s">
        <v>3</v>
      </c>
      <c r="D2057" t="s">
        <v>155</v>
      </c>
      <c r="E2057">
        <v>4</v>
      </c>
      <c r="F2057">
        <v>3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2</v>
      </c>
      <c r="N2057">
        <v>2</v>
      </c>
      <c r="O2057">
        <f t="shared" si="64"/>
        <v>2025</v>
      </c>
      <c r="P2057">
        <f t="shared" si="65"/>
        <v>5</v>
      </c>
      <c r="Q2057" t="s">
        <v>570</v>
      </c>
      <c r="R2057" s="546" t="s">
        <v>804</v>
      </c>
    </row>
    <row r="2058" spans="1:18" x14ac:dyDescent="0.3">
      <c r="A2058" t="s">
        <v>627</v>
      </c>
      <c r="B2058" s="16">
        <v>45799</v>
      </c>
      <c r="C2058" t="s">
        <v>3</v>
      </c>
      <c r="D2058" t="s">
        <v>154</v>
      </c>
      <c r="E2058">
        <v>658</v>
      </c>
      <c r="F2058">
        <v>606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1</v>
      </c>
      <c r="O2058">
        <f t="shared" si="64"/>
        <v>2025</v>
      </c>
      <c r="P2058">
        <f t="shared" si="65"/>
        <v>5</v>
      </c>
      <c r="Q2058" t="s">
        <v>570</v>
      </c>
      <c r="R2058" s="546" t="s">
        <v>804</v>
      </c>
    </row>
    <row r="2059" spans="1:18" x14ac:dyDescent="0.3">
      <c r="A2059" t="s">
        <v>627</v>
      </c>
      <c r="B2059" s="16">
        <v>45799</v>
      </c>
      <c r="C2059" t="s">
        <v>3</v>
      </c>
      <c r="D2059" t="s">
        <v>153</v>
      </c>
      <c r="E2059">
        <v>369</v>
      </c>
      <c r="F2059">
        <v>93</v>
      </c>
      <c r="G2059">
        <v>75</v>
      </c>
      <c r="H2059">
        <v>3</v>
      </c>
      <c r="I2059">
        <v>183820.11</v>
      </c>
      <c r="J2059">
        <v>49</v>
      </c>
      <c r="K2059">
        <v>158835.10999999999</v>
      </c>
      <c r="L2059">
        <v>46</v>
      </c>
      <c r="M2059">
        <v>112</v>
      </c>
      <c r="N2059">
        <v>356</v>
      </c>
      <c r="O2059">
        <f t="shared" si="64"/>
        <v>2025</v>
      </c>
      <c r="P2059">
        <f t="shared" si="65"/>
        <v>5</v>
      </c>
      <c r="Q2059" t="s">
        <v>570</v>
      </c>
      <c r="R2059" s="546" t="s">
        <v>804</v>
      </c>
    </row>
    <row r="2060" spans="1:18" x14ac:dyDescent="0.3">
      <c r="A2060" t="s">
        <v>627</v>
      </c>
      <c r="B2060" s="16">
        <v>45799</v>
      </c>
      <c r="C2060" t="s">
        <v>3</v>
      </c>
      <c r="D2060" t="s">
        <v>152</v>
      </c>
      <c r="E2060">
        <v>34</v>
      </c>
      <c r="F2060">
        <v>17</v>
      </c>
      <c r="G2060">
        <v>4</v>
      </c>
      <c r="H2060">
        <v>3</v>
      </c>
      <c r="I2060">
        <v>1690</v>
      </c>
      <c r="J2060">
        <v>1</v>
      </c>
      <c r="K2060">
        <v>1690</v>
      </c>
      <c r="L2060">
        <v>1</v>
      </c>
      <c r="M2060">
        <v>1</v>
      </c>
      <c r="N2060">
        <v>27</v>
      </c>
      <c r="O2060">
        <f t="shared" si="64"/>
        <v>2025</v>
      </c>
      <c r="P2060">
        <f t="shared" si="65"/>
        <v>5</v>
      </c>
      <c r="Q2060" t="s">
        <v>570</v>
      </c>
      <c r="R2060" s="546" t="s">
        <v>804</v>
      </c>
    </row>
    <row r="2061" spans="1:18" x14ac:dyDescent="0.3">
      <c r="A2061" t="s">
        <v>627</v>
      </c>
      <c r="B2061" s="16">
        <v>45799</v>
      </c>
      <c r="C2061" t="s">
        <v>3</v>
      </c>
      <c r="D2061" t="s">
        <v>150</v>
      </c>
      <c r="E2061">
        <v>11</v>
      </c>
      <c r="F2061">
        <v>5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1</v>
      </c>
      <c r="N2061">
        <v>5</v>
      </c>
      <c r="O2061">
        <f t="shared" si="64"/>
        <v>2025</v>
      </c>
      <c r="P2061">
        <f t="shared" si="65"/>
        <v>5</v>
      </c>
      <c r="Q2061" t="s">
        <v>570</v>
      </c>
      <c r="R2061" s="546" t="s">
        <v>804</v>
      </c>
    </row>
    <row r="2062" spans="1:18" x14ac:dyDescent="0.3">
      <c r="A2062" t="s">
        <v>627</v>
      </c>
      <c r="B2062" s="16">
        <v>45799</v>
      </c>
      <c r="C2062" t="s">
        <v>3</v>
      </c>
      <c r="D2062" t="s">
        <v>149</v>
      </c>
      <c r="E2062">
        <v>17</v>
      </c>
      <c r="F2062">
        <v>12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2</v>
      </c>
      <c r="N2062">
        <v>5</v>
      </c>
      <c r="O2062">
        <f t="shared" si="64"/>
        <v>2025</v>
      </c>
      <c r="P2062">
        <f t="shared" si="65"/>
        <v>5</v>
      </c>
      <c r="Q2062" t="s">
        <v>570</v>
      </c>
      <c r="R2062" s="546" t="s">
        <v>804</v>
      </c>
    </row>
    <row r="2063" spans="1:18" x14ac:dyDescent="0.3">
      <c r="A2063" t="s">
        <v>627</v>
      </c>
      <c r="B2063" s="16">
        <v>45799</v>
      </c>
      <c r="C2063" t="s">
        <v>3</v>
      </c>
      <c r="D2063" t="s">
        <v>148</v>
      </c>
      <c r="E2063">
        <v>2</v>
      </c>
      <c r="F2063">
        <v>2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1</v>
      </c>
      <c r="N2063">
        <v>1</v>
      </c>
      <c r="O2063">
        <f t="shared" si="64"/>
        <v>2025</v>
      </c>
      <c r="P2063">
        <f t="shared" si="65"/>
        <v>5</v>
      </c>
      <c r="Q2063" t="s">
        <v>570</v>
      </c>
      <c r="R2063" s="546" t="s">
        <v>804</v>
      </c>
    </row>
    <row r="2064" spans="1:18" x14ac:dyDescent="0.3">
      <c r="A2064" t="s">
        <v>627</v>
      </c>
      <c r="B2064" s="16">
        <v>45799</v>
      </c>
      <c r="C2064" t="s">
        <v>3</v>
      </c>
      <c r="D2064" t="s">
        <v>251</v>
      </c>
      <c r="E2064">
        <v>2638</v>
      </c>
      <c r="F2064">
        <v>2216</v>
      </c>
      <c r="G2064">
        <v>14</v>
      </c>
      <c r="H2064">
        <v>2</v>
      </c>
      <c r="I2064">
        <v>23932.78</v>
      </c>
      <c r="J2064">
        <v>8</v>
      </c>
      <c r="K2064">
        <v>16492.78</v>
      </c>
      <c r="L2064">
        <v>7</v>
      </c>
      <c r="M2064">
        <v>69</v>
      </c>
      <c r="N2064">
        <v>189</v>
      </c>
      <c r="O2064">
        <f t="shared" si="64"/>
        <v>2025</v>
      </c>
      <c r="P2064">
        <f t="shared" si="65"/>
        <v>5</v>
      </c>
      <c r="Q2064" t="s">
        <v>570</v>
      </c>
      <c r="R2064" s="546" t="s">
        <v>804</v>
      </c>
    </row>
    <row r="2065" spans="1:18" x14ac:dyDescent="0.3">
      <c r="A2065" t="s">
        <v>627</v>
      </c>
      <c r="B2065" s="16">
        <v>45799</v>
      </c>
      <c r="C2065" t="s">
        <v>3</v>
      </c>
      <c r="D2065" t="s">
        <v>143</v>
      </c>
      <c r="E2065">
        <v>45</v>
      </c>
      <c r="F2065">
        <v>43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45</v>
      </c>
      <c r="O2065">
        <f t="shared" si="64"/>
        <v>2025</v>
      </c>
      <c r="P2065">
        <f t="shared" si="65"/>
        <v>5</v>
      </c>
      <c r="Q2065" t="s">
        <v>570</v>
      </c>
      <c r="R2065" s="546" t="s">
        <v>804</v>
      </c>
    </row>
    <row r="2066" spans="1:18" x14ac:dyDescent="0.3">
      <c r="A2066" t="s">
        <v>627</v>
      </c>
      <c r="B2066" s="16">
        <v>45799</v>
      </c>
      <c r="C2066" t="s">
        <v>3</v>
      </c>
      <c r="D2066" t="s">
        <v>141</v>
      </c>
      <c r="E2066">
        <v>530</v>
      </c>
      <c r="F2066">
        <v>310</v>
      </c>
      <c r="G2066">
        <v>12</v>
      </c>
      <c r="H2066">
        <v>0</v>
      </c>
      <c r="I2066">
        <v>5845</v>
      </c>
      <c r="J2066">
        <v>1</v>
      </c>
      <c r="K2066">
        <v>0</v>
      </c>
      <c r="L2066">
        <v>0</v>
      </c>
      <c r="M2066">
        <v>0</v>
      </c>
      <c r="N2066">
        <v>530</v>
      </c>
      <c r="O2066">
        <f t="shared" si="64"/>
        <v>2025</v>
      </c>
      <c r="P2066">
        <f t="shared" si="65"/>
        <v>5</v>
      </c>
      <c r="Q2066" t="s">
        <v>570</v>
      </c>
      <c r="R2066" s="546" t="s">
        <v>804</v>
      </c>
    </row>
    <row r="2067" spans="1:18" x14ac:dyDescent="0.3">
      <c r="A2067" t="s">
        <v>627</v>
      </c>
      <c r="B2067" s="16">
        <v>45799</v>
      </c>
      <c r="C2067" t="s">
        <v>3</v>
      </c>
      <c r="D2067" t="s">
        <v>140</v>
      </c>
      <c r="E2067">
        <v>64</v>
      </c>
      <c r="F2067">
        <v>62</v>
      </c>
      <c r="G2067">
        <v>5</v>
      </c>
      <c r="H2067">
        <v>0</v>
      </c>
      <c r="I2067">
        <v>93485</v>
      </c>
      <c r="J2067">
        <v>11</v>
      </c>
      <c r="K2067">
        <v>25940</v>
      </c>
      <c r="L2067">
        <v>2</v>
      </c>
      <c r="M2067">
        <v>11</v>
      </c>
      <c r="N2067">
        <v>61</v>
      </c>
      <c r="O2067">
        <f t="shared" si="64"/>
        <v>2025</v>
      </c>
      <c r="P2067">
        <f t="shared" si="65"/>
        <v>5</v>
      </c>
      <c r="Q2067" t="s">
        <v>570</v>
      </c>
      <c r="R2067" s="546" t="s">
        <v>804</v>
      </c>
    </row>
    <row r="2068" spans="1:18" x14ac:dyDescent="0.3">
      <c r="A2068" t="s">
        <v>627</v>
      </c>
      <c r="B2068" s="16">
        <v>45799</v>
      </c>
      <c r="C2068" t="s">
        <v>3</v>
      </c>
      <c r="D2068" t="s">
        <v>139</v>
      </c>
      <c r="E2068">
        <v>969</v>
      </c>
      <c r="F2068">
        <v>649</v>
      </c>
      <c r="G2068">
        <v>74</v>
      </c>
      <c r="H2068">
        <v>2</v>
      </c>
      <c r="I2068">
        <v>71786.78</v>
      </c>
      <c r="J2068">
        <v>18</v>
      </c>
      <c r="K2068">
        <v>44376.78</v>
      </c>
      <c r="L2068">
        <v>14</v>
      </c>
      <c r="M2068">
        <v>351</v>
      </c>
      <c r="N2068">
        <v>477</v>
      </c>
      <c r="O2068">
        <f t="shared" si="64"/>
        <v>2025</v>
      </c>
      <c r="P2068">
        <f t="shared" si="65"/>
        <v>5</v>
      </c>
      <c r="Q2068" t="s">
        <v>570</v>
      </c>
      <c r="R2068" s="546" t="s">
        <v>804</v>
      </c>
    </row>
    <row r="2069" spans="1:18" x14ac:dyDescent="0.3">
      <c r="A2069" t="s">
        <v>627</v>
      </c>
      <c r="B2069" s="16">
        <v>45799</v>
      </c>
      <c r="C2069" t="s">
        <v>3</v>
      </c>
      <c r="D2069" t="s">
        <v>138</v>
      </c>
      <c r="E2069">
        <v>15</v>
      </c>
      <c r="F2069">
        <v>11</v>
      </c>
      <c r="G2069">
        <v>1</v>
      </c>
      <c r="H2069">
        <v>1</v>
      </c>
      <c r="I2069">
        <v>1917</v>
      </c>
      <c r="J2069">
        <v>1</v>
      </c>
      <c r="K2069">
        <v>1917</v>
      </c>
      <c r="L2069">
        <v>1</v>
      </c>
      <c r="M2069">
        <v>3</v>
      </c>
      <c r="N2069">
        <v>14</v>
      </c>
      <c r="O2069">
        <f t="shared" si="64"/>
        <v>2025</v>
      </c>
      <c r="P2069">
        <f t="shared" si="65"/>
        <v>5</v>
      </c>
      <c r="Q2069" t="s">
        <v>570</v>
      </c>
      <c r="R2069" s="546" t="s">
        <v>804</v>
      </c>
    </row>
    <row r="2070" spans="1:18" x14ac:dyDescent="0.3">
      <c r="A2070" t="s">
        <v>627</v>
      </c>
      <c r="B2070" s="16">
        <v>45799</v>
      </c>
      <c r="C2070" t="s">
        <v>3</v>
      </c>
      <c r="D2070" t="s">
        <v>135</v>
      </c>
      <c r="E2070">
        <v>24</v>
      </c>
      <c r="F2070">
        <v>16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4</v>
      </c>
      <c r="O2070">
        <f t="shared" si="64"/>
        <v>2025</v>
      </c>
      <c r="P2070">
        <f t="shared" si="65"/>
        <v>5</v>
      </c>
      <c r="Q2070" t="s">
        <v>570</v>
      </c>
      <c r="R2070" s="546" t="s">
        <v>804</v>
      </c>
    </row>
    <row r="2071" spans="1:18" x14ac:dyDescent="0.3">
      <c r="A2071" t="s">
        <v>627</v>
      </c>
      <c r="B2071" s="16">
        <v>45799</v>
      </c>
      <c r="C2071" t="s">
        <v>3</v>
      </c>
      <c r="D2071" t="s">
        <v>133</v>
      </c>
      <c r="E2071">
        <v>26</v>
      </c>
      <c r="F2071">
        <v>12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8</v>
      </c>
      <c r="N2071">
        <v>24</v>
      </c>
      <c r="O2071">
        <f t="shared" si="64"/>
        <v>2025</v>
      </c>
      <c r="P2071">
        <f t="shared" si="65"/>
        <v>5</v>
      </c>
      <c r="Q2071" t="s">
        <v>570</v>
      </c>
      <c r="R2071" s="546" t="s">
        <v>804</v>
      </c>
    </row>
    <row r="2072" spans="1:18" x14ac:dyDescent="0.3">
      <c r="A2072" t="s">
        <v>627</v>
      </c>
      <c r="B2072" s="16">
        <v>45799</v>
      </c>
      <c r="C2072" t="s">
        <v>3</v>
      </c>
      <c r="D2072" t="s">
        <v>130</v>
      </c>
      <c r="E2072">
        <v>101</v>
      </c>
      <c r="F2072">
        <v>34</v>
      </c>
      <c r="G2072">
        <v>12</v>
      </c>
      <c r="H2072">
        <v>1</v>
      </c>
      <c r="I2072">
        <v>28658</v>
      </c>
      <c r="J2072">
        <v>9</v>
      </c>
      <c r="K2072">
        <v>20678</v>
      </c>
      <c r="L2072">
        <v>8</v>
      </c>
      <c r="M2072">
        <v>40</v>
      </c>
      <c r="N2072">
        <v>87</v>
      </c>
      <c r="O2072">
        <f t="shared" si="64"/>
        <v>2025</v>
      </c>
      <c r="P2072">
        <f t="shared" si="65"/>
        <v>5</v>
      </c>
      <c r="Q2072" t="s">
        <v>570</v>
      </c>
      <c r="R2072" s="546" t="s">
        <v>804</v>
      </c>
    </row>
    <row r="2073" spans="1:18" x14ac:dyDescent="0.3">
      <c r="A2073" t="s">
        <v>627</v>
      </c>
      <c r="B2073" s="16">
        <v>45799</v>
      </c>
      <c r="C2073" t="s">
        <v>3</v>
      </c>
      <c r="D2073" t="s">
        <v>128</v>
      </c>
      <c r="E2073">
        <v>791</v>
      </c>
      <c r="F2073">
        <v>607</v>
      </c>
      <c r="G2073">
        <v>42</v>
      </c>
      <c r="H2073">
        <v>6</v>
      </c>
      <c r="I2073">
        <v>31960</v>
      </c>
      <c r="J2073">
        <v>11</v>
      </c>
      <c r="K2073">
        <v>28970</v>
      </c>
      <c r="L2073">
        <v>10</v>
      </c>
      <c r="M2073">
        <v>333</v>
      </c>
      <c r="N2073">
        <v>577</v>
      </c>
      <c r="O2073">
        <f t="shared" si="64"/>
        <v>2025</v>
      </c>
      <c r="P2073">
        <f t="shared" si="65"/>
        <v>5</v>
      </c>
      <c r="Q2073" t="s">
        <v>570</v>
      </c>
      <c r="R2073" s="546" t="s">
        <v>804</v>
      </c>
    </row>
    <row r="2074" spans="1:18" x14ac:dyDescent="0.3">
      <c r="A2074" t="s">
        <v>627</v>
      </c>
      <c r="B2074" s="16">
        <v>45799</v>
      </c>
      <c r="C2074" t="s">
        <v>3</v>
      </c>
      <c r="D2074" t="s">
        <v>127</v>
      </c>
      <c r="E2074">
        <v>5791</v>
      </c>
      <c r="F2074">
        <v>4359</v>
      </c>
      <c r="G2074">
        <v>76</v>
      </c>
      <c r="H2074">
        <v>25</v>
      </c>
      <c r="I2074">
        <v>99133</v>
      </c>
      <c r="J2074">
        <v>22</v>
      </c>
      <c r="K2074">
        <v>35708</v>
      </c>
      <c r="L2074">
        <v>11</v>
      </c>
      <c r="M2074">
        <v>267</v>
      </c>
      <c r="N2074">
        <v>4341</v>
      </c>
      <c r="O2074">
        <f t="shared" si="64"/>
        <v>2025</v>
      </c>
      <c r="P2074">
        <f t="shared" si="65"/>
        <v>5</v>
      </c>
      <c r="Q2074" t="s">
        <v>570</v>
      </c>
      <c r="R2074" s="546" t="s">
        <v>804</v>
      </c>
    </row>
    <row r="2075" spans="1:18" x14ac:dyDescent="0.3">
      <c r="A2075" t="s">
        <v>627</v>
      </c>
      <c r="B2075" s="16">
        <v>45799</v>
      </c>
      <c r="C2075" t="s">
        <v>3</v>
      </c>
      <c r="D2075" t="s">
        <v>126</v>
      </c>
      <c r="E2075">
        <v>92</v>
      </c>
      <c r="F2075">
        <v>68</v>
      </c>
      <c r="G2075">
        <v>4</v>
      </c>
      <c r="H2075">
        <v>2</v>
      </c>
      <c r="I2075">
        <v>0</v>
      </c>
      <c r="J2075">
        <v>0</v>
      </c>
      <c r="K2075">
        <v>0</v>
      </c>
      <c r="L2075">
        <v>0</v>
      </c>
      <c r="M2075">
        <v>25</v>
      </c>
      <c r="N2075">
        <v>84</v>
      </c>
      <c r="O2075">
        <f t="shared" si="64"/>
        <v>2025</v>
      </c>
      <c r="P2075">
        <f t="shared" si="65"/>
        <v>5</v>
      </c>
      <c r="Q2075" t="s">
        <v>570</v>
      </c>
      <c r="R2075" s="546" t="s">
        <v>804</v>
      </c>
    </row>
    <row r="2076" spans="1:18" x14ac:dyDescent="0.3">
      <c r="A2076" t="s">
        <v>627</v>
      </c>
      <c r="B2076" s="16">
        <v>45799</v>
      </c>
      <c r="C2076" t="s">
        <v>3</v>
      </c>
      <c r="D2076" t="s">
        <v>125</v>
      </c>
      <c r="E2076">
        <v>1</v>
      </c>
      <c r="F2076">
        <v>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f t="shared" si="64"/>
        <v>2025</v>
      </c>
      <c r="P2076">
        <f t="shared" si="65"/>
        <v>5</v>
      </c>
      <c r="Q2076" t="s">
        <v>570</v>
      </c>
      <c r="R2076" s="546" t="s">
        <v>804</v>
      </c>
    </row>
    <row r="2077" spans="1:18" x14ac:dyDescent="0.3">
      <c r="A2077" t="s">
        <v>627</v>
      </c>
      <c r="B2077" s="16">
        <v>45799</v>
      </c>
      <c r="C2077" t="s">
        <v>3</v>
      </c>
      <c r="D2077" t="s">
        <v>123</v>
      </c>
      <c r="E2077">
        <v>257</v>
      </c>
      <c r="F2077">
        <v>129</v>
      </c>
      <c r="G2077">
        <v>23</v>
      </c>
      <c r="H2077">
        <v>3</v>
      </c>
      <c r="I2077">
        <v>15304.78</v>
      </c>
      <c r="J2077">
        <v>5</v>
      </c>
      <c r="K2077">
        <v>10329.780000000001</v>
      </c>
      <c r="L2077">
        <v>4</v>
      </c>
      <c r="M2077">
        <v>70</v>
      </c>
      <c r="N2077">
        <v>239</v>
      </c>
      <c r="O2077">
        <f t="shared" si="64"/>
        <v>2025</v>
      </c>
      <c r="P2077">
        <f t="shared" si="65"/>
        <v>5</v>
      </c>
      <c r="Q2077" t="s">
        <v>570</v>
      </c>
      <c r="R2077" s="546" t="s">
        <v>804</v>
      </c>
    </row>
    <row r="2078" spans="1:18" x14ac:dyDescent="0.3">
      <c r="A2078" t="s">
        <v>627</v>
      </c>
      <c r="B2078" s="16">
        <v>45799</v>
      </c>
      <c r="C2078" t="s">
        <v>3</v>
      </c>
      <c r="D2078" t="s">
        <v>122</v>
      </c>
      <c r="E2078">
        <v>2</v>
      </c>
      <c r="F2078">
        <v>2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f t="shared" si="64"/>
        <v>2025</v>
      </c>
      <c r="P2078">
        <f t="shared" si="65"/>
        <v>5</v>
      </c>
      <c r="Q2078" t="s">
        <v>570</v>
      </c>
      <c r="R2078" s="546" t="s">
        <v>804</v>
      </c>
    </row>
    <row r="2079" spans="1:18" x14ac:dyDescent="0.3">
      <c r="A2079" t="s">
        <v>627</v>
      </c>
      <c r="B2079" s="16">
        <v>45799</v>
      </c>
      <c r="C2079" t="s">
        <v>3</v>
      </c>
      <c r="D2079" t="s">
        <v>121</v>
      </c>
      <c r="E2079">
        <v>4</v>
      </c>
      <c r="F2079">
        <v>4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4</v>
      </c>
      <c r="O2079">
        <f t="shared" si="64"/>
        <v>2025</v>
      </c>
      <c r="P2079">
        <f t="shared" si="65"/>
        <v>5</v>
      </c>
      <c r="Q2079" t="s">
        <v>570</v>
      </c>
      <c r="R2079" s="546" t="s">
        <v>804</v>
      </c>
    </row>
    <row r="2080" spans="1:18" x14ac:dyDescent="0.3">
      <c r="A2080" t="s">
        <v>627</v>
      </c>
      <c r="B2080" s="16">
        <v>45799</v>
      </c>
      <c r="C2080" t="s">
        <v>3</v>
      </c>
      <c r="D2080" t="s">
        <v>119</v>
      </c>
      <c r="E2080">
        <v>311</v>
      </c>
      <c r="F2080">
        <v>91</v>
      </c>
      <c r="G2080">
        <v>24</v>
      </c>
      <c r="H2080">
        <v>4</v>
      </c>
      <c r="I2080">
        <v>68919</v>
      </c>
      <c r="J2080">
        <v>14</v>
      </c>
      <c r="K2080">
        <v>20039</v>
      </c>
      <c r="L2080">
        <v>8</v>
      </c>
      <c r="M2080">
        <v>71</v>
      </c>
      <c r="N2080">
        <v>298</v>
      </c>
      <c r="O2080">
        <f t="shared" si="64"/>
        <v>2025</v>
      </c>
      <c r="P2080">
        <f t="shared" si="65"/>
        <v>5</v>
      </c>
      <c r="Q2080" t="s">
        <v>570</v>
      </c>
      <c r="R2080" s="546" t="s">
        <v>804</v>
      </c>
    </row>
    <row r="2081" spans="1:18" x14ac:dyDescent="0.3">
      <c r="A2081" t="s">
        <v>627</v>
      </c>
      <c r="B2081" s="16">
        <v>45799</v>
      </c>
      <c r="C2081" t="s">
        <v>3</v>
      </c>
      <c r="D2081" t="s">
        <v>583</v>
      </c>
      <c r="E2081">
        <v>8</v>
      </c>
      <c r="F2081">
        <v>8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8</v>
      </c>
      <c r="O2081">
        <f t="shared" si="64"/>
        <v>2025</v>
      </c>
      <c r="P2081">
        <f t="shared" si="65"/>
        <v>5</v>
      </c>
      <c r="Q2081" t="s">
        <v>570</v>
      </c>
      <c r="R2081" s="546" t="s">
        <v>804</v>
      </c>
    </row>
    <row r="2082" spans="1:18" x14ac:dyDescent="0.3">
      <c r="A2082" t="s">
        <v>627</v>
      </c>
      <c r="B2082" s="16">
        <v>45799</v>
      </c>
      <c r="C2082" t="s">
        <v>3</v>
      </c>
      <c r="D2082" t="s">
        <v>252</v>
      </c>
      <c r="E2082">
        <v>5</v>
      </c>
      <c r="F2082">
        <v>4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5</v>
      </c>
      <c r="O2082">
        <f t="shared" si="64"/>
        <v>2025</v>
      </c>
      <c r="P2082">
        <f t="shared" si="65"/>
        <v>5</v>
      </c>
      <c r="Q2082" t="s">
        <v>570</v>
      </c>
      <c r="R2082" s="546" t="s">
        <v>804</v>
      </c>
    </row>
    <row r="2083" spans="1:18" x14ac:dyDescent="0.3">
      <c r="A2083" t="s">
        <v>627</v>
      </c>
      <c r="B2083" s="16">
        <v>45799</v>
      </c>
      <c r="C2083" t="s">
        <v>3</v>
      </c>
      <c r="D2083" t="s">
        <v>391</v>
      </c>
      <c r="E2083">
        <v>464</v>
      </c>
      <c r="F2083">
        <v>232</v>
      </c>
      <c r="G2083">
        <v>12</v>
      </c>
      <c r="H2083">
        <v>2</v>
      </c>
      <c r="I2083">
        <v>1490</v>
      </c>
      <c r="J2083">
        <v>1</v>
      </c>
      <c r="K2083">
        <v>1490</v>
      </c>
      <c r="L2083">
        <v>1</v>
      </c>
      <c r="M2083">
        <v>66</v>
      </c>
      <c r="N2083">
        <v>454</v>
      </c>
      <c r="O2083">
        <f t="shared" si="64"/>
        <v>2025</v>
      </c>
      <c r="P2083">
        <f t="shared" si="65"/>
        <v>5</v>
      </c>
      <c r="Q2083" t="s">
        <v>570</v>
      </c>
      <c r="R2083" s="546" t="s">
        <v>804</v>
      </c>
    </row>
    <row r="2084" spans="1:18" x14ac:dyDescent="0.3">
      <c r="A2084" t="s">
        <v>627</v>
      </c>
      <c r="B2084" s="16">
        <v>45799</v>
      </c>
      <c r="C2084" t="s">
        <v>3</v>
      </c>
      <c r="D2084" t="s">
        <v>114</v>
      </c>
      <c r="E2084">
        <v>128</v>
      </c>
      <c r="F2084">
        <v>49</v>
      </c>
      <c r="G2084">
        <v>8</v>
      </c>
      <c r="H2084">
        <v>4</v>
      </c>
      <c r="I2084">
        <v>5000</v>
      </c>
      <c r="J2084">
        <v>2</v>
      </c>
      <c r="K2084">
        <v>5000</v>
      </c>
      <c r="L2084">
        <v>2</v>
      </c>
      <c r="M2084">
        <v>13</v>
      </c>
      <c r="N2084">
        <v>127</v>
      </c>
      <c r="O2084">
        <f t="shared" si="64"/>
        <v>2025</v>
      </c>
      <c r="P2084">
        <f t="shared" si="65"/>
        <v>5</v>
      </c>
      <c r="Q2084" t="s">
        <v>570</v>
      </c>
      <c r="R2084" s="546" t="s">
        <v>804</v>
      </c>
    </row>
    <row r="2085" spans="1:18" x14ac:dyDescent="0.3">
      <c r="A2085" t="s">
        <v>627</v>
      </c>
      <c r="B2085" s="16">
        <v>45799</v>
      </c>
      <c r="C2085" t="s">
        <v>3</v>
      </c>
      <c r="D2085" t="s">
        <v>113</v>
      </c>
      <c r="E2085">
        <v>114</v>
      </c>
      <c r="F2085">
        <v>72</v>
      </c>
      <c r="G2085">
        <v>2</v>
      </c>
      <c r="H2085">
        <v>1</v>
      </c>
      <c r="I2085">
        <v>0</v>
      </c>
      <c r="J2085">
        <v>0</v>
      </c>
      <c r="K2085">
        <v>0</v>
      </c>
      <c r="L2085">
        <v>0</v>
      </c>
      <c r="M2085">
        <v>76</v>
      </c>
      <c r="N2085">
        <v>59</v>
      </c>
      <c r="O2085">
        <f t="shared" si="64"/>
        <v>2025</v>
      </c>
      <c r="P2085">
        <f t="shared" si="65"/>
        <v>5</v>
      </c>
      <c r="Q2085" t="s">
        <v>570</v>
      </c>
      <c r="R2085" s="546" t="s">
        <v>804</v>
      </c>
    </row>
    <row r="2086" spans="1:18" x14ac:dyDescent="0.3">
      <c r="A2086" t="s">
        <v>627</v>
      </c>
      <c r="B2086" s="16">
        <v>45799</v>
      </c>
      <c r="C2086" t="s">
        <v>3</v>
      </c>
      <c r="D2086" t="s">
        <v>112</v>
      </c>
      <c r="E2086">
        <v>25</v>
      </c>
      <c r="F2086">
        <v>7</v>
      </c>
      <c r="G2086">
        <v>0</v>
      </c>
      <c r="H2086">
        <v>0</v>
      </c>
      <c r="I2086">
        <v>11550</v>
      </c>
      <c r="J2086">
        <v>4</v>
      </c>
      <c r="K2086">
        <v>11550</v>
      </c>
      <c r="L2086">
        <v>4</v>
      </c>
      <c r="M2086">
        <v>1</v>
      </c>
      <c r="N2086">
        <v>25</v>
      </c>
      <c r="O2086">
        <f t="shared" si="64"/>
        <v>2025</v>
      </c>
      <c r="P2086">
        <f t="shared" si="65"/>
        <v>5</v>
      </c>
      <c r="Q2086" t="s">
        <v>570</v>
      </c>
      <c r="R2086" s="546" t="s">
        <v>804</v>
      </c>
    </row>
    <row r="2087" spans="1:18" x14ac:dyDescent="0.3">
      <c r="A2087" t="s">
        <v>627</v>
      </c>
      <c r="B2087" s="16">
        <v>45798</v>
      </c>
      <c r="C2087" t="s">
        <v>2</v>
      </c>
      <c r="D2087" t="s">
        <v>4</v>
      </c>
      <c r="E2087">
        <v>543</v>
      </c>
      <c r="F2087">
        <v>278</v>
      </c>
      <c r="G2087">
        <v>134</v>
      </c>
      <c r="H2087">
        <v>6</v>
      </c>
      <c r="I2087">
        <v>80310</v>
      </c>
      <c r="J2087">
        <v>22</v>
      </c>
      <c r="K2087">
        <v>43975</v>
      </c>
      <c r="L2087">
        <v>13</v>
      </c>
      <c r="M2087">
        <v>21</v>
      </c>
      <c r="N2087">
        <v>536</v>
      </c>
      <c r="O2087">
        <f t="shared" si="64"/>
        <v>2025</v>
      </c>
      <c r="P2087">
        <f t="shared" si="65"/>
        <v>5</v>
      </c>
      <c r="Q2087" t="s">
        <v>570</v>
      </c>
      <c r="R2087" s="546" t="s">
        <v>804</v>
      </c>
    </row>
    <row r="2088" spans="1:18" x14ac:dyDescent="0.3">
      <c r="A2088" t="s">
        <v>627</v>
      </c>
      <c r="B2088" s="16">
        <v>45798</v>
      </c>
      <c r="C2088" t="s">
        <v>2</v>
      </c>
      <c r="D2088" t="s">
        <v>57</v>
      </c>
      <c r="E2088">
        <v>21254</v>
      </c>
      <c r="F2088">
        <v>15038</v>
      </c>
      <c r="G2088">
        <v>323</v>
      </c>
      <c r="H2088">
        <v>243</v>
      </c>
      <c r="I2088">
        <v>403865.66</v>
      </c>
      <c r="J2088">
        <v>71</v>
      </c>
      <c r="K2088">
        <v>197179.66</v>
      </c>
      <c r="L2088">
        <v>54</v>
      </c>
      <c r="M2088">
        <v>1332</v>
      </c>
      <c r="N2088">
        <v>20997</v>
      </c>
      <c r="O2088">
        <f t="shared" si="64"/>
        <v>2025</v>
      </c>
      <c r="P2088">
        <f t="shared" si="65"/>
        <v>5</v>
      </c>
      <c r="Q2088" t="s">
        <v>570</v>
      </c>
      <c r="R2088" s="546" t="s">
        <v>804</v>
      </c>
    </row>
    <row r="2089" spans="1:18" x14ac:dyDescent="0.3">
      <c r="A2089" t="s">
        <v>627</v>
      </c>
      <c r="B2089" s="16">
        <v>45798</v>
      </c>
      <c r="C2089" t="s">
        <v>2</v>
      </c>
      <c r="D2089" t="s">
        <v>52</v>
      </c>
      <c r="E2089">
        <v>3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3</v>
      </c>
      <c r="N2089">
        <v>0</v>
      </c>
      <c r="O2089">
        <f t="shared" si="64"/>
        <v>2025</v>
      </c>
      <c r="P2089">
        <f t="shared" si="65"/>
        <v>5</v>
      </c>
      <c r="Q2089" t="s">
        <v>570</v>
      </c>
      <c r="R2089" s="546" t="s">
        <v>804</v>
      </c>
    </row>
    <row r="2090" spans="1:18" x14ac:dyDescent="0.3">
      <c r="A2090" t="s">
        <v>627</v>
      </c>
      <c r="B2090" s="16">
        <v>45798</v>
      </c>
      <c r="C2090" t="s">
        <v>2</v>
      </c>
      <c r="D2090" t="s">
        <v>55</v>
      </c>
      <c r="E2090">
        <v>798</v>
      </c>
      <c r="F2090">
        <v>656</v>
      </c>
      <c r="G2090">
        <v>13</v>
      </c>
      <c r="H2090">
        <v>1</v>
      </c>
      <c r="I2090">
        <v>0</v>
      </c>
      <c r="J2090">
        <v>0</v>
      </c>
      <c r="K2090">
        <v>0</v>
      </c>
      <c r="L2090">
        <v>0</v>
      </c>
      <c r="M2090">
        <v>21</v>
      </c>
      <c r="N2090">
        <v>157</v>
      </c>
      <c r="O2090">
        <f t="shared" si="64"/>
        <v>2025</v>
      </c>
      <c r="P2090">
        <f t="shared" si="65"/>
        <v>5</v>
      </c>
      <c r="Q2090" t="s">
        <v>570</v>
      </c>
      <c r="R2090" s="546" t="s">
        <v>804</v>
      </c>
    </row>
    <row r="2091" spans="1:18" x14ac:dyDescent="0.3">
      <c r="A2091" t="s">
        <v>627</v>
      </c>
      <c r="B2091" s="16">
        <v>45798</v>
      </c>
      <c r="C2091" t="s">
        <v>3</v>
      </c>
      <c r="D2091" t="s">
        <v>155</v>
      </c>
      <c r="E2091">
        <v>3</v>
      </c>
      <c r="F2091">
        <v>3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3</v>
      </c>
      <c r="O2091">
        <f t="shared" si="64"/>
        <v>2025</v>
      </c>
      <c r="P2091">
        <f t="shared" si="65"/>
        <v>5</v>
      </c>
      <c r="Q2091" t="s">
        <v>570</v>
      </c>
      <c r="R2091" s="546" t="s">
        <v>804</v>
      </c>
    </row>
    <row r="2092" spans="1:18" x14ac:dyDescent="0.3">
      <c r="A2092" t="s">
        <v>627</v>
      </c>
      <c r="B2092" s="16">
        <v>45798</v>
      </c>
      <c r="C2092" t="s">
        <v>3</v>
      </c>
      <c r="D2092" t="s">
        <v>154</v>
      </c>
      <c r="E2092">
        <v>565</v>
      </c>
      <c r="F2092">
        <v>522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f t="shared" si="64"/>
        <v>2025</v>
      </c>
      <c r="P2092">
        <f t="shared" si="65"/>
        <v>5</v>
      </c>
      <c r="Q2092" t="s">
        <v>570</v>
      </c>
      <c r="R2092" s="546" t="s">
        <v>804</v>
      </c>
    </row>
    <row r="2093" spans="1:18" x14ac:dyDescent="0.3">
      <c r="A2093" t="s">
        <v>627</v>
      </c>
      <c r="B2093" s="16">
        <v>45798</v>
      </c>
      <c r="C2093" t="s">
        <v>3</v>
      </c>
      <c r="D2093" t="s">
        <v>153</v>
      </c>
      <c r="E2093">
        <v>449</v>
      </c>
      <c r="F2093">
        <v>133</v>
      </c>
      <c r="G2093">
        <v>95</v>
      </c>
      <c r="H2093">
        <v>5</v>
      </c>
      <c r="I2093">
        <v>252653.83</v>
      </c>
      <c r="J2093">
        <v>65</v>
      </c>
      <c r="K2093">
        <v>204521.83</v>
      </c>
      <c r="L2093">
        <v>56</v>
      </c>
      <c r="M2093">
        <v>133</v>
      </c>
      <c r="N2093">
        <v>429</v>
      </c>
      <c r="O2093">
        <f t="shared" si="64"/>
        <v>2025</v>
      </c>
      <c r="P2093">
        <f t="shared" si="65"/>
        <v>5</v>
      </c>
      <c r="Q2093" t="s">
        <v>570</v>
      </c>
      <c r="R2093" s="546" t="s">
        <v>804</v>
      </c>
    </row>
    <row r="2094" spans="1:18" x14ac:dyDescent="0.3">
      <c r="A2094" t="s">
        <v>627</v>
      </c>
      <c r="B2094" s="16">
        <v>45798</v>
      </c>
      <c r="C2094" t="s">
        <v>3</v>
      </c>
      <c r="D2094" t="s">
        <v>152</v>
      </c>
      <c r="E2094">
        <v>54</v>
      </c>
      <c r="F2094">
        <v>42</v>
      </c>
      <c r="G2094">
        <v>2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</v>
      </c>
      <c r="N2094">
        <v>18</v>
      </c>
      <c r="O2094">
        <f t="shared" si="64"/>
        <v>2025</v>
      </c>
      <c r="P2094">
        <f t="shared" si="65"/>
        <v>5</v>
      </c>
      <c r="Q2094" t="s">
        <v>570</v>
      </c>
      <c r="R2094" s="546" t="s">
        <v>804</v>
      </c>
    </row>
    <row r="2095" spans="1:18" x14ac:dyDescent="0.3">
      <c r="A2095" t="s">
        <v>627</v>
      </c>
      <c r="B2095" s="16">
        <v>45798</v>
      </c>
      <c r="C2095" t="s">
        <v>3</v>
      </c>
      <c r="D2095" t="s">
        <v>150</v>
      </c>
      <c r="E2095">
        <v>89</v>
      </c>
      <c r="F2095">
        <v>76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4</v>
      </c>
      <c r="O2095">
        <f t="shared" ref="O2095:O2158" si="66">YEAR(B2095)</f>
        <v>2025</v>
      </c>
      <c r="P2095">
        <f t="shared" ref="P2095:P2158" si="67">MONTH(B2095)</f>
        <v>5</v>
      </c>
      <c r="Q2095" t="s">
        <v>570</v>
      </c>
      <c r="R2095" s="546" t="s">
        <v>804</v>
      </c>
    </row>
    <row r="2096" spans="1:18" x14ac:dyDescent="0.3">
      <c r="A2096" t="s">
        <v>627</v>
      </c>
      <c r="B2096" s="16">
        <v>45798</v>
      </c>
      <c r="C2096" t="s">
        <v>3</v>
      </c>
      <c r="D2096" t="s">
        <v>149</v>
      </c>
      <c r="E2096">
        <v>10</v>
      </c>
      <c r="F2096">
        <v>7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2</v>
      </c>
      <c r="O2096">
        <f t="shared" si="66"/>
        <v>2025</v>
      </c>
      <c r="P2096">
        <f t="shared" si="67"/>
        <v>5</v>
      </c>
      <c r="Q2096" t="s">
        <v>570</v>
      </c>
      <c r="R2096" s="546" t="s">
        <v>804</v>
      </c>
    </row>
    <row r="2097" spans="1:18" x14ac:dyDescent="0.3">
      <c r="A2097" t="s">
        <v>627</v>
      </c>
      <c r="B2097" s="16">
        <v>45798</v>
      </c>
      <c r="C2097" t="s">
        <v>3</v>
      </c>
      <c r="D2097" t="s">
        <v>148</v>
      </c>
      <c r="E2097">
        <v>4</v>
      </c>
      <c r="F2097">
        <v>4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1</v>
      </c>
      <c r="N2097">
        <v>3</v>
      </c>
      <c r="O2097">
        <f t="shared" si="66"/>
        <v>2025</v>
      </c>
      <c r="P2097">
        <f t="shared" si="67"/>
        <v>5</v>
      </c>
      <c r="Q2097" t="s">
        <v>570</v>
      </c>
      <c r="R2097" s="546" t="s">
        <v>804</v>
      </c>
    </row>
    <row r="2098" spans="1:18" x14ac:dyDescent="0.3">
      <c r="A2098" t="s">
        <v>627</v>
      </c>
      <c r="B2098" s="16">
        <v>45798</v>
      </c>
      <c r="C2098" t="s">
        <v>3</v>
      </c>
      <c r="D2098" t="s">
        <v>251</v>
      </c>
      <c r="E2098">
        <v>3299</v>
      </c>
      <c r="F2098">
        <v>3053</v>
      </c>
      <c r="G2098">
        <v>15</v>
      </c>
      <c r="H2098">
        <v>4</v>
      </c>
      <c r="I2098">
        <v>45948.87</v>
      </c>
      <c r="J2098">
        <v>17</v>
      </c>
      <c r="K2098">
        <v>42768.87</v>
      </c>
      <c r="L2098">
        <v>15</v>
      </c>
      <c r="M2098">
        <v>85</v>
      </c>
      <c r="N2098">
        <v>220</v>
      </c>
      <c r="O2098">
        <f t="shared" si="66"/>
        <v>2025</v>
      </c>
      <c r="P2098">
        <f t="shared" si="67"/>
        <v>5</v>
      </c>
      <c r="Q2098" t="s">
        <v>570</v>
      </c>
      <c r="R2098" s="546" t="s">
        <v>804</v>
      </c>
    </row>
    <row r="2099" spans="1:18" x14ac:dyDescent="0.3">
      <c r="A2099" t="s">
        <v>627</v>
      </c>
      <c r="B2099" s="16">
        <v>45798</v>
      </c>
      <c r="C2099" t="s">
        <v>3</v>
      </c>
      <c r="D2099" t="s">
        <v>143</v>
      </c>
      <c r="E2099">
        <v>51</v>
      </c>
      <c r="F2099">
        <v>47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1</v>
      </c>
      <c r="N2099">
        <v>51</v>
      </c>
      <c r="O2099">
        <f t="shared" si="66"/>
        <v>2025</v>
      </c>
      <c r="P2099">
        <f t="shared" si="67"/>
        <v>5</v>
      </c>
      <c r="Q2099" t="s">
        <v>570</v>
      </c>
      <c r="R2099" s="546" t="s">
        <v>804</v>
      </c>
    </row>
    <row r="2100" spans="1:18" x14ac:dyDescent="0.3">
      <c r="A2100" t="s">
        <v>627</v>
      </c>
      <c r="B2100" s="16">
        <v>45798</v>
      </c>
      <c r="C2100" t="s">
        <v>3</v>
      </c>
      <c r="D2100" t="s">
        <v>141</v>
      </c>
      <c r="E2100">
        <v>415</v>
      </c>
      <c r="F2100">
        <v>229</v>
      </c>
      <c r="G2100">
        <v>6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1</v>
      </c>
      <c r="N2100">
        <v>414</v>
      </c>
      <c r="O2100">
        <f t="shared" si="66"/>
        <v>2025</v>
      </c>
      <c r="P2100">
        <f t="shared" si="67"/>
        <v>5</v>
      </c>
      <c r="Q2100" t="s">
        <v>570</v>
      </c>
      <c r="R2100" s="546" t="s">
        <v>804</v>
      </c>
    </row>
    <row r="2101" spans="1:18" x14ac:dyDescent="0.3">
      <c r="A2101" t="s">
        <v>627</v>
      </c>
      <c r="B2101" s="16">
        <v>45798</v>
      </c>
      <c r="C2101" t="s">
        <v>3</v>
      </c>
      <c r="D2101" t="s">
        <v>140</v>
      </c>
      <c r="E2101">
        <v>22</v>
      </c>
      <c r="F2101">
        <v>19</v>
      </c>
      <c r="G2101">
        <v>4</v>
      </c>
      <c r="H2101">
        <v>0</v>
      </c>
      <c r="I2101">
        <v>5260.66</v>
      </c>
      <c r="J2101">
        <v>2</v>
      </c>
      <c r="K2101">
        <v>5260.66</v>
      </c>
      <c r="L2101">
        <v>2</v>
      </c>
      <c r="M2101">
        <v>2</v>
      </c>
      <c r="N2101">
        <v>19</v>
      </c>
      <c r="O2101">
        <f t="shared" si="66"/>
        <v>2025</v>
      </c>
      <c r="P2101">
        <f t="shared" si="67"/>
        <v>5</v>
      </c>
      <c r="Q2101" t="s">
        <v>570</v>
      </c>
      <c r="R2101" s="546" t="s">
        <v>804</v>
      </c>
    </row>
    <row r="2102" spans="1:18" x14ac:dyDescent="0.3">
      <c r="A2102" t="s">
        <v>627</v>
      </c>
      <c r="B2102" s="16">
        <v>45798</v>
      </c>
      <c r="C2102" t="s">
        <v>3</v>
      </c>
      <c r="D2102" t="s">
        <v>139</v>
      </c>
      <c r="E2102">
        <v>851</v>
      </c>
      <c r="F2102">
        <v>549</v>
      </c>
      <c r="G2102">
        <v>84</v>
      </c>
      <c r="H2102">
        <v>8</v>
      </c>
      <c r="I2102">
        <v>112408.23</v>
      </c>
      <c r="J2102">
        <v>36</v>
      </c>
      <c r="K2102">
        <v>73130.23</v>
      </c>
      <c r="L2102">
        <v>25</v>
      </c>
      <c r="M2102">
        <v>282</v>
      </c>
      <c r="N2102">
        <v>491</v>
      </c>
      <c r="O2102">
        <f t="shared" si="66"/>
        <v>2025</v>
      </c>
      <c r="P2102">
        <f t="shared" si="67"/>
        <v>5</v>
      </c>
      <c r="Q2102" t="s">
        <v>570</v>
      </c>
      <c r="R2102" s="546" t="s">
        <v>804</v>
      </c>
    </row>
    <row r="2103" spans="1:18" x14ac:dyDescent="0.3">
      <c r="A2103" t="s">
        <v>627</v>
      </c>
      <c r="B2103" s="16">
        <v>45798</v>
      </c>
      <c r="C2103" t="s">
        <v>3</v>
      </c>
      <c r="D2103" t="s">
        <v>138</v>
      </c>
      <c r="E2103">
        <v>17</v>
      </c>
      <c r="F2103">
        <v>9</v>
      </c>
      <c r="G2103">
        <v>2</v>
      </c>
      <c r="H2103">
        <v>0</v>
      </c>
      <c r="I2103">
        <v>1690</v>
      </c>
      <c r="J2103">
        <v>1</v>
      </c>
      <c r="K2103">
        <v>1690</v>
      </c>
      <c r="L2103">
        <v>1</v>
      </c>
      <c r="M2103">
        <v>3</v>
      </c>
      <c r="N2103">
        <v>16</v>
      </c>
      <c r="O2103">
        <f t="shared" si="66"/>
        <v>2025</v>
      </c>
      <c r="P2103">
        <f t="shared" si="67"/>
        <v>5</v>
      </c>
      <c r="Q2103" t="s">
        <v>570</v>
      </c>
      <c r="R2103" s="546" t="s">
        <v>804</v>
      </c>
    </row>
    <row r="2104" spans="1:18" x14ac:dyDescent="0.3">
      <c r="A2104" t="s">
        <v>627</v>
      </c>
      <c r="B2104" s="16">
        <v>45798</v>
      </c>
      <c r="C2104" t="s">
        <v>3</v>
      </c>
      <c r="D2104" t="s">
        <v>135</v>
      </c>
      <c r="E2104">
        <v>46</v>
      </c>
      <c r="F2104">
        <v>27</v>
      </c>
      <c r="G2104">
        <v>3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20</v>
      </c>
      <c r="O2104">
        <f t="shared" si="66"/>
        <v>2025</v>
      </c>
      <c r="P2104">
        <f t="shared" si="67"/>
        <v>5</v>
      </c>
      <c r="Q2104" t="s">
        <v>570</v>
      </c>
      <c r="R2104" s="546" t="s">
        <v>804</v>
      </c>
    </row>
    <row r="2105" spans="1:18" x14ac:dyDescent="0.3">
      <c r="A2105" t="s">
        <v>627</v>
      </c>
      <c r="B2105" s="16">
        <v>45798</v>
      </c>
      <c r="C2105" t="s">
        <v>3</v>
      </c>
      <c r="D2105" t="s">
        <v>133</v>
      </c>
      <c r="E2105">
        <v>16</v>
      </c>
      <c r="F2105">
        <v>10</v>
      </c>
      <c r="G2105">
        <v>3</v>
      </c>
      <c r="H2105">
        <v>1</v>
      </c>
      <c r="I2105">
        <v>0</v>
      </c>
      <c r="J2105">
        <v>0</v>
      </c>
      <c r="K2105">
        <v>0</v>
      </c>
      <c r="L2105">
        <v>0</v>
      </c>
      <c r="M2105">
        <v>2</v>
      </c>
      <c r="N2105">
        <v>16</v>
      </c>
      <c r="O2105">
        <f t="shared" si="66"/>
        <v>2025</v>
      </c>
      <c r="P2105">
        <f t="shared" si="67"/>
        <v>5</v>
      </c>
      <c r="Q2105" t="s">
        <v>570</v>
      </c>
      <c r="R2105" s="546" t="s">
        <v>804</v>
      </c>
    </row>
    <row r="2106" spans="1:18" x14ac:dyDescent="0.3">
      <c r="A2106" t="s">
        <v>627</v>
      </c>
      <c r="B2106" s="16">
        <v>45798</v>
      </c>
      <c r="C2106" t="s">
        <v>3</v>
      </c>
      <c r="D2106" t="s">
        <v>130</v>
      </c>
      <c r="E2106">
        <v>139</v>
      </c>
      <c r="F2106">
        <v>62</v>
      </c>
      <c r="G2106">
        <v>19</v>
      </c>
      <c r="H2106">
        <v>3</v>
      </c>
      <c r="I2106">
        <v>39296.449999999997</v>
      </c>
      <c r="J2106">
        <v>12</v>
      </c>
      <c r="K2106">
        <v>39296.449999999997</v>
      </c>
      <c r="L2106">
        <v>12</v>
      </c>
      <c r="M2106">
        <v>54</v>
      </c>
      <c r="N2106">
        <v>123</v>
      </c>
      <c r="O2106">
        <f t="shared" si="66"/>
        <v>2025</v>
      </c>
      <c r="P2106">
        <f t="shared" si="67"/>
        <v>5</v>
      </c>
      <c r="Q2106" t="s">
        <v>570</v>
      </c>
      <c r="R2106" s="546" t="s">
        <v>804</v>
      </c>
    </row>
    <row r="2107" spans="1:18" x14ac:dyDescent="0.3">
      <c r="A2107" t="s">
        <v>627</v>
      </c>
      <c r="B2107" s="16">
        <v>45798</v>
      </c>
      <c r="C2107" t="s">
        <v>3</v>
      </c>
      <c r="D2107" t="s">
        <v>128</v>
      </c>
      <c r="E2107">
        <v>892</v>
      </c>
      <c r="F2107">
        <v>682</v>
      </c>
      <c r="G2107">
        <v>59</v>
      </c>
      <c r="H2107">
        <v>9</v>
      </c>
      <c r="I2107">
        <v>37416</v>
      </c>
      <c r="J2107">
        <v>13</v>
      </c>
      <c r="K2107">
        <v>34821</v>
      </c>
      <c r="L2107">
        <v>12</v>
      </c>
      <c r="M2107">
        <v>399</v>
      </c>
      <c r="N2107">
        <v>653</v>
      </c>
      <c r="O2107">
        <f t="shared" si="66"/>
        <v>2025</v>
      </c>
      <c r="P2107">
        <f t="shared" si="67"/>
        <v>5</v>
      </c>
      <c r="Q2107" t="s">
        <v>570</v>
      </c>
      <c r="R2107" s="546" t="s">
        <v>804</v>
      </c>
    </row>
    <row r="2108" spans="1:18" x14ac:dyDescent="0.3">
      <c r="A2108" t="s">
        <v>627</v>
      </c>
      <c r="B2108" s="16">
        <v>45798</v>
      </c>
      <c r="C2108" t="s">
        <v>3</v>
      </c>
      <c r="D2108" t="s">
        <v>127</v>
      </c>
      <c r="E2108">
        <v>5943</v>
      </c>
      <c r="F2108">
        <v>4503</v>
      </c>
      <c r="G2108">
        <v>86</v>
      </c>
      <c r="H2108">
        <v>34</v>
      </c>
      <c r="I2108">
        <v>67308.47</v>
      </c>
      <c r="J2108">
        <v>21</v>
      </c>
      <c r="K2108">
        <v>48330.47</v>
      </c>
      <c r="L2108">
        <v>17</v>
      </c>
      <c r="M2108">
        <v>314</v>
      </c>
      <c r="N2108">
        <v>4738</v>
      </c>
      <c r="O2108">
        <f t="shared" si="66"/>
        <v>2025</v>
      </c>
      <c r="P2108">
        <f t="shared" si="67"/>
        <v>5</v>
      </c>
      <c r="Q2108" t="s">
        <v>570</v>
      </c>
      <c r="R2108" s="546" t="s">
        <v>804</v>
      </c>
    </row>
    <row r="2109" spans="1:18" x14ac:dyDescent="0.3">
      <c r="A2109" t="s">
        <v>627</v>
      </c>
      <c r="B2109" s="16">
        <v>45798</v>
      </c>
      <c r="C2109" t="s">
        <v>3</v>
      </c>
      <c r="D2109" t="s">
        <v>126</v>
      </c>
      <c r="E2109">
        <v>106</v>
      </c>
      <c r="F2109">
        <v>72</v>
      </c>
      <c r="G2109">
        <v>5</v>
      </c>
      <c r="H2109">
        <v>5</v>
      </c>
      <c r="I2109">
        <v>14665</v>
      </c>
      <c r="J2109">
        <v>3</v>
      </c>
      <c r="K2109">
        <v>14665</v>
      </c>
      <c r="L2109">
        <v>3</v>
      </c>
      <c r="M2109">
        <v>23</v>
      </c>
      <c r="N2109">
        <v>102</v>
      </c>
      <c r="O2109">
        <f t="shared" si="66"/>
        <v>2025</v>
      </c>
      <c r="P2109">
        <f t="shared" si="67"/>
        <v>5</v>
      </c>
      <c r="Q2109" t="s">
        <v>570</v>
      </c>
      <c r="R2109" s="546" t="s">
        <v>804</v>
      </c>
    </row>
    <row r="2110" spans="1:18" x14ac:dyDescent="0.3">
      <c r="A2110" t="s">
        <v>627</v>
      </c>
      <c r="B2110" s="16">
        <v>45798</v>
      </c>
      <c r="C2110" t="s">
        <v>3</v>
      </c>
      <c r="D2110" t="s">
        <v>123</v>
      </c>
      <c r="E2110">
        <v>294</v>
      </c>
      <c r="F2110">
        <v>143</v>
      </c>
      <c r="G2110">
        <v>17</v>
      </c>
      <c r="H2110">
        <v>5</v>
      </c>
      <c r="I2110">
        <v>7605</v>
      </c>
      <c r="J2110">
        <v>4</v>
      </c>
      <c r="K2110">
        <v>7605</v>
      </c>
      <c r="L2110">
        <v>4</v>
      </c>
      <c r="M2110">
        <v>71</v>
      </c>
      <c r="N2110">
        <v>278</v>
      </c>
      <c r="O2110">
        <f t="shared" si="66"/>
        <v>2025</v>
      </c>
      <c r="P2110">
        <f t="shared" si="67"/>
        <v>5</v>
      </c>
      <c r="Q2110" t="s">
        <v>570</v>
      </c>
      <c r="R2110" s="546" t="s">
        <v>804</v>
      </c>
    </row>
    <row r="2111" spans="1:18" x14ac:dyDescent="0.3">
      <c r="A2111" t="s">
        <v>627</v>
      </c>
      <c r="B2111" s="16">
        <v>45798</v>
      </c>
      <c r="C2111" t="s">
        <v>3</v>
      </c>
      <c r="D2111" t="s">
        <v>121</v>
      </c>
      <c r="E2111">
        <v>1</v>
      </c>
      <c r="F2111">
        <v>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1</v>
      </c>
      <c r="O2111">
        <f t="shared" si="66"/>
        <v>2025</v>
      </c>
      <c r="P2111">
        <f t="shared" si="67"/>
        <v>5</v>
      </c>
      <c r="Q2111" t="s">
        <v>570</v>
      </c>
      <c r="R2111" s="546" t="s">
        <v>804</v>
      </c>
    </row>
    <row r="2112" spans="1:18" x14ac:dyDescent="0.3">
      <c r="A2112" t="s">
        <v>627</v>
      </c>
      <c r="B2112" s="16">
        <v>45798</v>
      </c>
      <c r="C2112" t="s">
        <v>3</v>
      </c>
      <c r="D2112" t="s">
        <v>119</v>
      </c>
      <c r="E2112">
        <v>340</v>
      </c>
      <c r="F2112">
        <v>96</v>
      </c>
      <c r="G2112">
        <v>46</v>
      </c>
      <c r="H2112">
        <v>12</v>
      </c>
      <c r="I2112">
        <v>108506.53</v>
      </c>
      <c r="J2112">
        <v>29</v>
      </c>
      <c r="K2112">
        <v>83888.53</v>
      </c>
      <c r="L2112">
        <v>23</v>
      </c>
      <c r="M2112">
        <v>93</v>
      </c>
      <c r="N2112">
        <v>328</v>
      </c>
      <c r="O2112">
        <f t="shared" si="66"/>
        <v>2025</v>
      </c>
      <c r="P2112">
        <f t="shared" si="67"/>
        <v>5</v>
      </c>
      <c r="Q2112" t="s">
        <v>570</v>
      </c>
      <c r="R2112" s="546" t="s">
        <v>804</v>
      </c>
    </row>
    <row r="2113" spans="1:18" x14ac:dyDescent="0.3">
      <c r="A2113" t="s">
        <v>627</v>
      </c>
      <c r="B2113" s="16">
        <v>45798</v>
      </c>
      <c r="C2113" t="s">
        <v>3</v>
      </c>
      <c r="D2113" t="s">
        <v>583</v>
      </c>
      <c r="E2113">
        <v>5</v>
      </c>
      <c r="F2113">
        <v>5</v>
      </c>
      <c r="G2113">
        <v>0</v>
      </c>
      <c r="H2113">
        <v>1</v>
      </c>
      <c r="I2113">
        <v>1990</v>
      </c>
      <c r="J2113">
        <v>1</v>
      </c>
      <c r="K2113">
        <v>0</v>
      </c>
      <c r="L2113">
        <v>0</v>
      </c>
      <c r="M2113">
        <v>0</v>
      </c>
      <c r="N2113">
        <v>5</v>
      </c>
      <c r="O2113">
        <f t="shared" si="66"/>
        <v>2025</v>
      </c>
      <c r="P2113">
        <f t="shared" si="67"/>
        <v>5</v>
      </c>
      <c r="Q2113" t="s">
        <v>570</v>
      </c>
      <c r="R2113" s="546" t="s">
        <v>804</v>
      </c>
    </row>
    <row r="2114" spans="1:18" x14ac:dyDescent="0.3">
      <c r="A2114" t="s">
        <v>627</v>
      </c>
      <c r="B2114" s="16">
        <v>45798</v>
      </c>
      <c r="C2114" t="s">
        <v>3</v>
      </c>
      <c r="D2114" t="s">
        <v>252</v>
      </c>
      <c r="E2114">
        <v>7</v>
      </c>
      <c r="F2114">
        <v>6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7</v>
      </c>
      <c r="O2114">
        <f t="shared" si="66"/>
        <v>2025</v>
      </c>
      <c r="P2114">
        <f t="shared" si="67"/>
        <v>5</v>
      </c>
      <c r="Q2114" t="s">
        <v>570</v>
      </c>
      <c r="R2114" s="546" t="s">
        <v>804</v>
      </c>
    </row>
    <row r="2115" spans="1:18" x14ac:dyDescent="0.3">
      <c r="A2115" t="s">
        <v>627</v>
      </c>
      <c r="B2115" s="16">
        <v>45798</v>
      </c>
      <c r="C2115" t="s">
        <v>3</v>
      </c>
      <c r="D2115" t="s">
        <v>391</v>
      </c>
      <c r="E2115">
        <v>478</v>
      </c>
      <c r="F2115">
        <v>239</v>
      </c>
      <c r="G2115">
        <v>15</v>
      </c>
      <c r="H2115">
        <v>5</v>
      </c>
      <c r="I2115">
        <v>23517</v>
      </c>
      <c r="J2115">
        <v>3</v>
      </c>
      <c r="K2115">
        <v>5017</v>
      </c>
      <c r="L2115">
        <v>2</v>
      </c>
      <c r="M2115">
        <v>75</v>
      </c>
      <c r="N2115">
        <v>462</v>
      </c>
      <c r="O2115">
        <f t="shared" si="66"/>
        <v>2025</v>
      </c>
      <c r="P2115">
        <f t="shared" si="67"/>
        <v>5</v>
      </c>
      <c r="Q2115" t="s">
        <v>570</v>
      </c>
      <c r="R2115" s="546" t="s">
        <v>804</v>
      </c>
    </row>
    <row r="2116" spans="1:18" x14ac:dyDescent="0.3">
      <c r="A2116" t="s">
        <v>627</v>
      </c>
      <c r="B2116" s="16">
        <v>45798</v>
      </c>
      <c r="C2116" t="s">
        <v>3</v>
      </c>
      <c r="D2116" t="s">
        <v>114</v>
      </c>
      <c r="E2116">
        <v>117</v>
      </c>
      <c r="F2116">
        <v>49</v>
      </c>
      <c r="G2116">
        <v>8</v>
      </c>
      <c r="H2116">
        <v>1</v>
      </c>
      <c r="I2116">
        <v>1598</v>
      </c>
      <c r="J2116">
        <v>1</v>
      </c>
      <c r="K2116">
        <v>1598</v>
      </c>
      <c r="L2116">
        <v>1</v>
      </c>
      <c r="M2116">
        <v>13</v>
      </c>
      <c r="N2116">
        <v>114</v>
      </c>
      <c r="O2116">
        <f t="shared" si="66"/>
        <v>2025</v>
      </c>
      <c r="P2116">
        <f t="shared" si="67"/>
        <v>5</v>
      </c>
      <c r="Q2116" t="s">
        <v>570</v>
      </c>
      <c r="R2116" s="546" t="s">
        <v>804</v>
      </c>
    </row>
    <row r="2117" spans="1:18" x14ac:dyDescent="0.3">
      <c r="A2117" t="s">
        <v>627</v>
      </c>
      <c r="B2117" s="16">
        <v>45798</v>
      </c>
      <c r="C2117" t="s">
        <v>3</v>
      </c>
      <c r="D2117" t="s">
        <v>113</v>
      </c>
      <c r="E2117">
        <v>105</v>
      </c>
      <c r="F2117">
        <v>59</v>
      </c>
      <c r="G2117">
        <v>3</v>
      </c>
      <c r="H2117">
        <v>1</v>
      </c>
      <c r="I2117">
        <v>0</v>
      </c>
      <c r="J2117">
        <v>0</v>
      </c>
      <c r="K2117">
        <v>0</v>
      </c>
      <c r="L2117">
        <v>0</v>
      </c>
      <c r="M2117">
        <v>77</v>
      </c>
      <c r="N2117">
        <v>56</v>
      </c>
      <c r="O2117">
        <f t="shared" si="66"/>
        <v>2025</v>
      </c>
      <c r="P2117">
        <f t="shared" si="67"/>
        <v>5</v>
      </c>
      <c r="Q2117" t="s">
        <v>570</v>
      </c>
      <c r="R2117" s="546" t="s">
        <v>804</v>
      </c>
    </row>
    <row r="2118" spans="1:18" x14ac:dyDescent="0.3">
      <c r="A2118" t="s">
        <v>627</v>
      </c>
      <c r="B2118" s="16">
        <v>45798</v>
      </c>
      <c r="C2118" t="s">
        <v>3</v>
      </c>
      <c r="D2118" t="s">
        <v>112</v>
      </c>
      <c r="E2118">
        <v>25</v>
      </c>
      <c r="F2118">
        <v>8</v>
      </c>
      <c r="G2118">
        <v>1</v>
      </c>
      <c r="H2118">
        <v>0</v>
      </c>
      <c r="I2118">
        <v>10893</v>
      </c>
      <c r="J2118">
        <v>3</v>
      </c>
      <c r="K2118">
        <v>10893</v>
      </c>
      <c r="L2118">
        <v>3</v>
      </c>
      <c r="M2118">
        <v>1</v>
      </c>
      <c r="N2118">
        <v>25</v>
      </c>
      <c r="O2118">
        <f t="shared" si="66"/>
        <v>2025</v>
      </c>
      <c r="P2118">
        <f t="shared" si="67"/>
        <v>5</v>
      </c>
      <c r="Q2118" t="s">
        <v>570</v>
      </c>
      <c r="R2118" s="546" t="s">
        <v>804</v>
      </c>
    </row>
    <row r="2119" spans="1:18" x14ac:dyDescent="0.3">
      <c r="A2119" t="s">
        <v>627</v>
      </c>
      <c r="B2119" s="16">
        <v>45798</v>
      </c>
      <c r="C2119" t="s">
        <v>3</v>
      </c>
      <c r="D2119" t="s">
        <v>111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1</v>
      </c>
      <c r="O2119">
        <f t="shared" si="66"/>
        <v>2025</v>
      </c>
      <c r="P2119">
        <f t="shared" si="67"/>
        <v>5</v>
      </c>
      <c r="Q2119" t="s">
        <v>570</v>
      </c>
      <c r="R2119" s="546" t="s">
        <v>804</v>
      </c>
    </row>
    <row r="2120" spans="1:18" x14ac:dyDescent="0.3">
      <c r="A2120" t="s">
        <v>627</v>
      </c>
      <c r="B2120" s="16">
        <v>45797</v>
      </c>
      <c r="C2120" t="s">
        <v>2</v>
      </c>
      <c r="D2120" t="s">
        <v>4</v>
      </c>
      <c r="E2120">
        <v>464</v>
      </c>
      <c r="F2120">
        <v>197</v>
      </c>
      <c r="G2120">
        <v>68</v>
      </c>
      <c r="H2120">
        <v>6</v>
      </c>
      <c r="I2120">
        <v>38474</v>
      </c>
      <c r="J2120">
        <v>14</v>
      </c>
      <c r="K2120">
        <v>30089</v>
      </c>
      <c r="L2120">
        <v>11</v>
      </c>
      <c r="M2120">
        <v>8</v>
      </c>
      <c r="N2120">
        <v>456</v>
      </c>
      <c r="O2120">
        <f t="shared" si="66"/>
        <v>2025</v>
      </c>
      <c r="P2120">
        <f t="shared" si="67"/>
        <v>5</v>
      </c>
      <c r="Q2120" t="s">
        <v>570</v>
      </c>
      <c r="R2120" s="546" t="s">
        <v>804</v>
      </c>
    </row>
    <row r="2121" spans="1:18" x14ac:dyDescent="0.3">
      <c r="A2121" t="s">
        <v>627</v>
      </c>
      <c r="B2121" s="16">
        <v>45797</v>
      </c>
      <c r="C2121" t="s">
        <v>2</v>
      </c>
      <c r="D2121" t="s">
        <v>57</v>
      </c>
      <c r="E2121">
        <v>20499</v>
      </c>
      <c r="F2121">
        <v>14124</v>
      </c>
      <c r="G2121">
        <v>323</v>
      </c>
      <c r="H2121">
        <v>244</v>
      </c>
      <c r="I2121">
        <v>267086</v>
      </c>
      <c r="J2121">
        <v>69</v>
      </c>
      <c r="K2121">
        <v>175773</v>
      </c>
      <c r="L2121">
        <v>49</v>
      </c>
      <c r="M2121">
        <v>1324</v>
      </c>
      <c r="N2121">
        <v>20236</v>
      </c>
      <c r="O2121">
        <f t="shared" si="66"/>
        <v>2025</v>
      </c>
      <c r="P2121">
        <f t="shared" si="67"/>
        <v>5</v>
      </c>
      <c r="Q2121" t="s">
        <v>570</v>
      </c>
      <c r="R2121" s="546" t="s">
        <v>804</v>
      </c>
    </row>
    <row r="2122" spans="1:18" x14ac:dyDescent="0.3">
      <c r="A2122" t="s">
        <v>627</v>
      </c>
      <c r="B2122" s="16">
        <v>45797</v>
      </c>
      <c r="C2122" t="s">
        <v>2</v>
      </c>
      <c r="D2122" t="s">
        <v>52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1</v>
      </c>
      <c r="N2122">
        <v>0</v>
      </c>
      <c r="O2122">
        <f t="shared" si="66"/>
        <v>2025</v>
      </c>
      <c r="P2122">
        <f t="shared" si="67"/>
        <v>5</v>
      </c>
      <c r="Q2122" t="s">
        <v>570</v>
      </c>
      <c r="R2122" s="546" t="s">
        <v>804</v>
      </c>
    </row>
    <row r="2123" spans="1:18" x14ac:dyDescent="0.3">
      <c r="A2123" t="s">
        <v>627</v>
      </c>
      <c r="B2123" s="16">
        <v>45797</v>
      </c>
      <c r="C2123" t="s">
        <v>2</v>
      </c>
      <c r="D2123" t="s">
        <v>55</v>
      </c>
      <c r="E2123">
        <v>1087</v>
      </c>
      <c r="F2123">
        <v>989</v>
      </c>
      <c r="G2123">
        <v>15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16</v>
      </c>
      <c r="N2123">
        <v>224</v>
      </c>
      <c r="O2123">
        <f t="shared" si="66"/>
        <v>2025</v>
      </c>
      <c r="P2123">
        <f t="shared" si="67"/>
        <v>5</v>
      </c>
      <c r="Q2123" t="s">
        <v>570</v>
      </c>
      <c r="R2123" s="546" t="s">
        <v>804</v>
      </c>
    </row>
    <row r="2124" spans="1:18" x14ac:dyDescent="0.3">
      <c r="A2124" t="s">
        <v>627</v>
      </c>
      <c r="B2124" s="16">
        <v>45797</v>
      </c>
      <c r="C2124" t="s">
        <v>3</v>
      </c>
      <c r="D2124" t="s">
        <v>155</v>
      </c>
      <c r="E2124">
        <v>4</v>
      </c>
      <c r="F2124">
        <v>4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1</v>
      </c>
      <c r="N2124">
        <v>3</v>
      </c>
      <c r="O2124">
        <f t="shared" si="66"/>
        <v>2025</v>
      </c>
      <c r="P2124">
        <f t="shared" si="67"/>
        <v>5</v>
      </c>
      <c r="Q2124" t="s">
        <v>570</v>
      </c>
      <c r="R2124" s="546" t="s">
        <v>804</v>
      </c>
    </row>
    <row r="2125" spans="1:18" x14ac:dyDescent="0.3">
      <c r="A2125" t="s">
        <v>627</v>
      </c>
      <c r="B2125" s="16">
        <v>45797</v>
      </c>
      <c r="C2125" t="s">
        <v>3</v>
      </c>
      <c r="D2125" t="s">
        <v>154</v>
      </c>
      <c r="E2125">
        <v>655</v>
      </c>
      <c r="F2125">
        <v>637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1</v>
      </c>
      <c r="N2125">
        <v>2</v>
      </c>
      <c r="O2125">
        <f t="shared" si="66"/>
        <v>2025</v>
      </c>
      <c r="P2125">
        <f t="shared" si="67"/>
        <v>5</v>
      </c>
      <c r="Q2125" t="s">
        <v>570</v>
      </c>
      <c r="R2125" s="546" t="s">
        <v>804</v>
      </c>
    </row>
    <row r="2126" spans="1:18" x14ac:dyDescent="0.3">
      <c r="A2126" t="s">
        <v>627</v>
      </c>
      <c r="B2126" s="16">
        <v>45797</v>
      </c>
      <c r="C2126" t="s">
        <v>3</v>
      </c>
      <c r="D2126" t="s">
        <v>153</v>
      </c>
      <c r="E2126">
        <v>398</v>
      </c>
      <c r="F2126">
        <v>127</v>
      </c>
      <c r="G2126">
        <v>62</v>
      </c>
      <c r="H2126">
        <v>3</v>
      </c>
      <c r="I2126">
        <v>217680</v>
      </c>
      <c r="J2126">
        <v>60</v>
      </c>
      <c r="K2126">
        <v>190755</v>
      </c>
      <c r="L2126">
        <v>57</v>
      </c>
      <c r="M2126">
        <v>119</v>
      </c>
      <c r="N2126">
        <v>384</v>
      </c>
      <c r="O2126">
        <f t="shared" si="66"/>
        <v>2025</v>
      </c>
      <c r="P2126">
        <f t="shared" si="67"/>
        <v>5</v>
      </c>
      <c r="Q2126" t="s">
        <v>570</v>
      </c>
      <c r="R2126" s="546" t="s">
        <v>804</v>
      </c>
    </row>
    <row r="2127" spans="1:18" x14ac:dyDescent="0.3">
      <c r="A2127" t="s">
        <v>627</v>
      </c>
      <c r="B2127" s="16">
        <v>45797</v>
      </c>
      <c r="C2127" t="s">
        <v>3</v>
      </c>
      <c r="D2127" t="s">
        <v>152</v>
      </c>
      <c r="E2127">
        <v>69</v>
      </c>
      <c r="F2127">
        <v>55</v>
      </c>
      <c r="G2127">
        <v>3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</v>
      </c>
      <c r="N2127">
        <v>25</v>
      </c>
      <c r="O2127">
        <f t="shared" si="66"/>
        <v>2025</v>
      </c>
      <c r="P2127">
        <f t="shared" si="67"/>
        <v>5</v>
      </c>
      <c r="Q2127" t="s">
        <v>570</v>
      </c>
      <c r="R2127" s="546" t="s">
        <v>804</v>
      </c>
    </row>
    <row r="2128" spans="1:18" x14ac:dyDescent="0.3">
      <c r="A2128" t="s">
        <v>627</v>
      </c>
      <c r="B2128" s="16">
        <v>45797</v>
      </c>
      <c r="C2128" t="s">
        <v>3</v>
      </c>
      <c r="D2128" t="s">
        <v>150</v>
      </c>
      <c r="E2128">
        <v>108</v>
      </c>
      <c r="F2128">
        <v>101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5</v>
      </c>
      <c r="O2128">
        <f t="shared" si="66"/>
        <v>2025</v>
      </c>
      <c r="P2128">
        <f t="shared" si="67"/>
        <v>5</v>
      </c>
      <c r="Q2128" t="s">
        <v>570</v>
      </c>
      <c r="R2128" s="546" t="s">
        <v>804</v>
      </c>
    </row>
    <row r="2129" spans="1:18" x14ac:dyDescent="0.3">
      <c r="A2129" t="s">
        <v>627</v>
      </c>
      <c r="B2129" s="16">
        <v>45797</v>
      </c>
      <c r="C2129" t="s">
        <v>3</v>
      </c>
      <c r="D2129" t="s">
        <v>149</v>
      </c>
      <c r="E2129">
        <v>11</v>
      </c>
      <c r="F2129">
        <v>8</v>
      </c>
      <c r="G2129">
        <v>1</v>
      </c>
      <c r="H2129">
        <v>0</v>
      </c>
      <c r="I2129">
        <v>1690</v>
      </c>
      <c r="J2129">
        <v>1</v>
      </c>
      <c r="K2129">
        <v>1690</v>
      </c>
      <c r="L2129">
        <v>1</v>
      </c>
      <c r="M2129">
        <v>2</v>
      </c>
      <c r="N2129">
        <v>6</v>
      </c>
      <c r="O2129">
        <f t="shared" si="66"/>
        <v>2025</v>
      </c>
      <c r="P2129">
        <f t="shared" si="67"/>
        <v>5</v>
      </c>
      <c r="Q2129" t="s">
        <v>570</v>
      </c>
      <c r="R2129" s="546" t="s">
        <v>804</v>
      </c>
    </row>
    <row r="2130" spans="1:18" x14ac:dyDescent="0.3">
      <c r="A2130" t="s">
        <v>627</v>
      </c>
      <c r="B2130" s="16">
        <v>45797</v>
      </c>
      <c r="C2130" t="s">
        <v>3</v>
      </c>
      <c r="D2130" t="s">
        <v>148</v>
      </c>
      <c r="E2130">
        <v>2</v>
      </c>
      <c r="F2130">
        <v>2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1</v>
      </c>
      <c r="N2130">
        <v>1</v>
      </c>
      <c r="O2130">
        <f t="shared" si="66"/>
        <v>2025</v>
      </c>
      <c r="P2130">
        <f t="shared" si="67"/>
        <v>5</v>
      </c>
      <c r="Q2130" t="s">
        <v>570</v>
      </c>
      <c r="R2130" s="546" t="s">
        <v>804</v>
      </c>
    </row>
    <row r="2131" spans="1:18" x14ac:dyDescent="0.3">
      <c r="A2131" t="s">
        <v>627</v>
      </c>
      <c r="B2131" s="16">
        <v>45797</v>
      </c>
      <c r="C2131" t="s">
        <v>3</v>
      </c>
      <c r="D2131" t="s">
        <v>367</v>
      </c>
      <c r="E2131">
        <v>7</v>
      </c>
      <c r="F2131">
        <v>2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7</v>
      </c>
      <c r="O2131">
        <f t="shared" si="66"/>
        <v>2025</v>
      </c>
      <c r="P2131">
        <f t="shared" si="67"/>
        <v>5</v>
      </c>
      <c r="Q2131" t="s">
        <v>570</v>
      </c>
      <c r="R2131" s="546" t="s">
        <v>804</v>
      </c>
    </row>
    <row r="2132" spans="1:18" x14ac:dyDescent="0.3">
      <c r="A2132" t="s">
        <v>627</v>
      </c>
      <c r="B2132" s="16">
        <v>45797</v>
      </c>
      <c r="C2132" t="s">
        <v>3</v>
      </c>
      <c r="D2132" t="s">
        <v>146</v>
      </c>
      <c r="E2132">
        <v>1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1</v>
      </c>
      <c r="O2132">
        <f t="shared" si="66"/>
        <v>2025</v>
      </c>
      <c r="P2132">
        <f t="shared" si="67"/>
        <v>5</v>
      </c>
      <c r="Q2132" t="s">
        <v>570</v>
      </c>
      <c r="R2132" s="546" t="s">
        <v>804</v>
      </c>
    </row>
    <row r="2133" spans="1:18" x14ac:dyDescent="0.3">
      <c r="A2133" t="s">
        <v>627</v>
      </c>
      <c r="B2133" s="16">
        <v>45797</v>
      </c>
      <c r="C2133" t="s">
        <v>3</v>
      </c>
      <c r="D2133" t="s">
        <v>145</v>
      </c>
      <c r="E2133">
        <v>1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f t="shared" si="66"/>
        <v>2025</v>
      </c>
      <c r="P2133">
        <f t="shared" si="67"/>
        <v>5</v>
      </c>
      <c r="Q2133" t="s">
        <v>570</v>
      </c>
      <c r="R2133" s="546" t="s">
        <v>804</v>
      </c>
    </row>
    <row r="2134" spans="1:18" x14ac:dyDescent="0.3">
      <c r="A2134" t="s">
        <v>627</v>
      </c>
      <c r="B2134" s="16">
        <v>45797</v>
      </c>
      <c r="C2134" t="s">
        <v>3</v>
      </c>
      <c r="D2134" t="s">
        <v>251</v>
      </c>
      <c r="E2134">
        <v>1492</v>
      </c>
      <c r="F2134">
        <v>1339</v>
      </c>
      <c r="G2134">
        <v>20</v>
      </c>
      <c r="H2134">
        <v>2</v>
      </c>
      <c r="I2134">
        <v>33648</v>
      </c>
      <c r="J2134">
        <v>10</v>
      </c>
      <c r="K2134">
        <v>26048</v>
      </c>
      <c r="L2134">
        <v>10</v>
      </c>
      <c r="M2134">
        <v>85</v>
      </c>
      <c r="N2134">
        <v>201</v>
      </c>
      <c r="O2134">
        <f t="shared" si="66"/>
        <v>2025</v>
      </c>
      <c r="P2134">
        <f t="shared" si="67"/>
        <v>5</v>
      </c>
      <c r="Q2134" t="s">
        <v>570</v>
      </c>
      <c r="R2134" s="546" t="s">
        <v>804</v>
      </c>
    </row>
    <row r="2135" spans="1:18" x14ac:dyDescent="0.3">
      <c r="A2135" t="s">
        <v>627</v>
      </c>
      <c r="B2135" s="16">
        <v>45797</v>
      </c>
      <c r="C2135" t="s">
        <v>3</v>
      </c>
      <c r="D2135" t="s">
        <v>143</v>
      </c>
      <c r="E2135">
        <v>46</v>
      </c>
      <c r="F2135">
        <v>43</v>
      </c>
      <c r="G2135">
        <v>1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46</v>
      </c>
      <c r="O2135">
        <f t="shared" si="66"/>
        <v>2025</v>
      </c>
      <c r="P2135">
        <f t="shared" si="67"/>
        <v>5</v>
      </c>
      <c r="Q2135" t="s">
        <v>570</v>
      </c>
      <c r="R2135" s="546" t="s">
        <v>804</v>
      </c>
    </row>
    <row r="2136" spans="1:18" x14ac:dyDescent="0.3">
      <c r="A2136" t="s">
        <v>627</v>
      </c>
      <c r="B2136" s="16">
        <v>45797</v>
      </c>
      <c r="C2136" t="s">
        <v>3</v>
      </c>
      <c r="D2136" t="s">
        <v>141</v>
      </c>
      <c r="E2136">
        <v>325</v>
      </c>
      <c r="F2136">
        <v>173</v>
      </c>
      <c r="G2136">
        <v>3</v>
      </c>
      <c r="H2136">
        <v>1</v>
      </c>
      <c r="I2136">
        <v>5075</v>
      </c>
      <c r="J2136">
        <v>1</v>
      </c>
      <c r="K2136">
        <v>0</v>
      </c>
      <c r="L2136">
        <v>0</v>
      </c>
      <c r="M2136">
        <v>0</v>
      </c>
      <c r="N2136">
        <v>325</v>
      </c>
      <c r="O2136">
        <f t="shared" si="66"/>
        <v>2025</v>
      </c>
      <c r="P2136">
        <f t="shared" si="67"/>
        <v>5</v>
      </c>
      <c r="Q2136" t="s">
        <v>570</v>
      </c>
      <c r="R2136" s="546" t="s">
        <v>804</v>
      </c>
    </row>
    <row r="2137" spans="1:18" x14ac:dyDescent="0.3">
      <c r="A2137" t="s">
        <v>627</v>
      </c>
      <c r="B2137" s="16">
        <v>45797</v>
      </c>
      <c r="C2137" t="s">
        <v>3</v>
      </c>
      <c r="D2137" t="s">
        <v>140</v>
      </c>
      <c r="E2137">
        <v>13</v>
      </c>
      <c r="F2137">
        <v>12</v>
      </c>
      <c r="G2137">
        <v>2</v>
      </c>
      <c r="H2137">
        <v>0</v>
      </c>
      <c r="I2137">
        <v>2250</v>
      </c>
      <c r="J2137">
        <v>1</v>
      </c>
      <c r="K2137">
        <v>2250</v>
      </c>
      <c r="L2137">
        <v>1</v>
      </c>
      <c r="M2137">
        <v>0</v>
      </c>
      <c r="N2137">
        <v>12</v>
      </c>
      <c r="O2137">
        <f t="shared" si="66"/>
        <v>2025</v>
      </c>
      <c r="P2137">
        <f t="shared" si="67"/>
        <v>5</v>
      </c>
      <c r="Q2137" t="s">
        <v>570</v>
      </c>
      <c r="R2137" s="546" t="s">
        <v>804</v>
      </c>
    </row>
    <row r="2138" spans="1:18" x14ac:dyDescent="0.3">
      <c r="A2138" t="s">
        <v>627</v>
      </c>
      <c r="B2138" s="16">
        <v>45797</v>
      </c>
      <c r="C2138" t="s">
        <v>3</v>
      </c>
      <c r="D2138" t="s">
        <v>139</v>
      </c>
      <c r="E2138">
        <v>914</v>
      </c>
      <c r="F2138">
        <v>573</v>
      </c>
      <c r="G2138">
        <v>78</v>
      </c>
      <c r="H2138">
        <v>13</v>
      </c>
      <c r="I2138">
        <v>84894</v>
      </c>
      <c r="J2138">
        <v>31</v>
      </c>
      <c r="K2138">
        <v>69494</v>
      </c>
      <c r="L2138">
        <v>26</v>
      </c>
      <c r="M2138">
        <v>263</v>
      </c>
      <c r="N2138">
        <v>505</v>
      </c>
      <c r="O2138">
        <f t="shared" si="66"/>
        <v>2025</v>
      </c>
      <c r="P2138">
        <f t="shared" si="67"/>
        <v>5</v>
      </c>
      <c r="Q2138" t="s">
        <v>570</v>
      </c>
      <c r="R2138" s="546" t="s">
        <v>804</v>
      </c>
    </row>
    <row r="2139" spans="1:18" x14ac:dyDescent="0.3">
      <c r="A2139" t="s">
        <v>627</v>
      </c>
      <c r="B2139" s="16">
        <v>45797</v>
      </c>
      <c r="C2139" t="s">
        <v>3</v>
      </c>
      <c r="D2139" t="s">
        <v>138</v>
      </c>
      <c r="E2139">
        <v>15</v>
      </c>
      <c r="F2139">
        <v>11</v>
      </c>
      <c r="G2139">
        <v>0</v>
      </c>
      <c r="H2139">
        <v>0</v>
      </c>
      <c r="I2139">
        <v>7450</v>
      </c>
      <c r="J2139">
        <v>1</v>
      </c>
      <c r="K2139">
        <v>4470</v>
      </c>
      <c r="L2139">
        <v>1</v>
      </c>
      <c r="M2139">
        <v>1</v>
      </c>
      <c r="N2139">
        <v>15</v>
      </c>
      <c r="O2139">
        <f t="shared" si="66"/>
        <v>2025</v>
      </c>
      <c r="P2139">
        <f t="shared" si="67"/>
        <v>5</v>
      </c>
      <c r="Q2139" t="s">
        <v>570</v>
      </c>
      <c r="R2139" s="546" t="s">
        <v>804</v>
      </c>
    </row>
    <row r="2140" spans="1:18" x14ac:dyDescent="0.3">
      <c r="A2140" t="s">
        <v>627</v>
      </c>
      <c r="B2140" s="16">
        <v>45797</v>
      </c>
      <c r="C2140" t="s">
        <v>3</v>
      </c>
      <c r="D2140" t="s">
        <v>135</v>
      </c>
      <c r="E2140">
        <v>67</v>
      </c>
      <c r="F2140">
        <v>56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7</v>
      </c>
      <c r="O2140">
        <f t="shared" si="66"/>
        <v>2025</v>
      </c>
      <c r="P2140">
        <f t="shared" si="67"/>
        <v>5</v>
      </c>
      <c r="Q2140" t="s">
        <v>570</v>
      </c>
      <c r="R2140" s="546" t="s">
        <v>804</v>
      </c>
    </row>
    <row r="2141" spans="1:18" x14ac:dyDescent="0.3">
      <c r="A2141" t="s">
        <v>627</v>
      </c>
      <c r="B2141" s="16">
        <v>45797</v>
      </c>
      <c r="C2141" t="s">
        <v>3</v>
      </c>
      <c r="D2141" t="s">
        <v>133</v>
      </c>
      <c r="E2141">
        <v>30</v>
      </c>
      <c r="F2141">
        <v>19</v>
      </c>
      <c r="G2141">
        <v>6</v>
      </c>
      <c r="H2141">
        <v>0</v>
      </c>
      <c r="I2141">
        <v>9130</v>
      </c>
      <c r="J2141">
        <v>3</v>
      </c>
      <c r="K2141">
        <v>6030</v>
      </c>
      <c r="L2141">
        <v>3</v>
      </c>
      <c r="M2141">
        <v>6</v>
      </c>
      <c r="N2141">
        <v>28</v>
      </c>
      <c r="O2141">
        <f t="shared" si="66"/>
        <v>2025</v>
      </c>
      <c r="P2141">
        <f t="shared" si="67"/>
        <v>5</v>
      </c>
      <c r="Q2141" t="s">
        <v>570</v>
      </c>
      <c r="R2141" s="546" t="s">
        <v>804</v>
      </c>
    </row>
    <row r="2142" spans="1:18" x14ac:dyDescent="0.3">
      <c r="A2142" t="s">
        <v>627</v>
      </c>
      <c r="B2142" s="16">
        <v>45797</v>
      </c>
      <c r="C2142" t="s">
        <v>3</v>
      </c>
      <c r="D2142" t="s">
        <v>130</v>
      </c>
      <c r="E2142">
        <v>174</v>
      </c>
      <c r="F2142">
        <v>65</v>
      </c>
      <c r="G2142">
        <v>8</v>
      </c>
      <c r="H2142">
        <v>0</v>
      </c>
      <c r="I2142">
        <v>25633</v>
      </c>
      <c r="J2142">
        <v>11</v>
      </c>
      <c r="K2142">
        <v>25633</v>
      </c>
      <c r="L2142">
        <v>11</v>
      </c>
      <c r="M2142">
        <v>78</v>
      </c>
      <c r="N2142">
        <v>146</v>
      </c>
      <c r="O2142">
        <f t="shared" si="66"/>
        <v>2025</v>
      </c>
      <c r="P2142">
        <f t="shared" si="67"/>
        <v>5</v>
      </c>
      <c r="Q2142" t="s">
        <v>570</v>
      </c>
      <c r="R2142" s="546" t="s">
        <v>804</v>
      </c>
    </row>
    <row r="2143" spans="1:18" x14ac:dyDescent="0.3">
      <c r="A2143" t="s">
        <v>627</v>
      </c>
      <c r="B2143" s="16">
        <v>45797</v>
      </c>
      <c r="C2143" t="s">
        <v>3</v>
      </c>
      <c r="D2143" t="s">
        <v>128</v>
      </c>
      <c r="E2143">
        <v>926</v>
      </c>
      <c r="F2143">
        <v>697</v>
      </c>
      <c r="G2143">
        <v>59</v>
      </c>
      <c r="H2143">
        <v>11</v>
      </c>
      <c r="I2143">
        <v>51885</v>
      </c>
      <c r="J2143">
        <v>15</v>
      </c>
      <c r="K2143">
        <v>33903</v>
      </c>
      <c r="L2143">
        <v>12</v>
      </c>
      <c r="M2143">
        <v>407</v>
      </c>
      <c r="N2143">
        <v>669</v>
      </c>
      <c r="O2143">
        <f t="shared" si="66"/>
        <v>2025</v>
      </c>
      <c r="P2143">
        <f t="shared" si="67"/>
        <v>5</v>
      </c>
      <c r="Q2143" t="s">
        <v>570</v>
      </c>
      <c r="R2143" s="546" t="s">
        <v>804</v>
      </c>
    </row>
    <row r="2144" spans="1:18" x14ac:dyDescent="0.3">
      <c r="A2144" t="s">
        <v>627</v>
      </c>
      <c r="B2144" s="16">
        <v>45797</v>
      </c>
      <c r="C2144" t="s">
        <v>3</v>
      </c>
      <c r="D2144" t="s">
        <v>127</v>
      </c>
      <c r="E2144">
        <v>4731</v>
      </c>
      <c r="F2144">
        <v>3411</v>
      </c>
      <c r="G2144">
        <v>81</v>
      </c>
      <c r="H2144">
        <v>38</v>
      </c>
      <c r="I2144">
        <v>51582</v>
      </c>
      <c r="J2144">
        <v>15</v>
      </c>
      <c r="K2144">
        <v>46722</v>
      </c>
      <c r="L2144">
        <v>13</v>
      </c>
      <c r="M2144">
        <v>297</v>
      </c>
      <c r="N2144">
        <v>3969</v>
      </c>
      <c r="O2144">
        <f t="shared" si="66"/>
        <v>2025</v>
      </c>
      <c r="P2144">
        <f t="shared" si="67"/>
        <v>5</v>
      </c>
      <c r="Q2144" t="s">
        <v>570</v>
      </c>
      <c r="R2144" s="546" t="s">
        <v>804</v>
      </c>
    </row>
    <row r="2145" spans="1:18" x14ac:dyDescent="0.3">
      <c r="A2145" t="s">
        <v>627</v>
      </c>
      <c r="B2145" s="16">
        <v>45797</v>
      </c>
      <c r="C2145" t="s">
        <v>3</v>
      </c>
      <c r="D2145" t="s">
        <v>126</v>
      </c>
      <c r="E2145">
        <v>112</v>
      </c>
      <c r="F2145">
        <v>80</v>
      </c>
      <c r="G2145">
        <v>4</v>
      </c>
      <c r="H2145">
        <v>2</v>
      </c>
      <c r="I2145">
        <v>7245</v>
      </c>
      <c r="J2145">
        <v>1</v>
      </c>
      <c r="K2145">
        <v>7245</v>
      </c>
      <c r="L2145">
        <v>1</v>
      </c>
      <c r="M2145">
        <v>17</v>
      </c>
      <c r="N2145">
        <v>108</v>
      </c>
      <c r="O2145">
        <f t="shared" si="66"/>
        <v>2025</v>
      </c>
      <c r="P2145">
        <f t="shared" si="67"/>
        <v>5</v>
      </c>
      <c r="Q2145" t="s">
        <v>570</v>
      </c>
      <c r="R2145" s="546" t="s">
        <v>804</v>
      </c>
    </row>
    <row r="2146" spans="1:18" x14ac:dyDescent="0.3">
      <c r="A2146" t="s">
        <v>627</v>
      </c>
      <c r="B2146" s="16">
        <v>45797</v>
      </c>
      <c r="C2146" t="s">
        <v>3</v>
      </c>
      <c r="D2146" t="s">
        <v>125</v>
      </c>
      <c r="E2146">
        <v>2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2</v>
      </c>
      <c r="O2146">
        <f t="shared" si="66"/>
        <v>2025</v>
      </c>
      <c r="P2146">
        <f t="shared" si="67"/>
        <v>5</v>
      </c>
      <c r="Q2146" t="s">
        <v>570</v>
      </c>
      <c r="R2146" s="546" t="s">
        <v>804</v>
      </c>
    </row>
    <row r="2147" spans="1:18" x14ac:dyDescent="0.3">
      <c r="A2147" t="s">
        <v>627</v>
      </c>
      <c r="B2147" s="16">
        <v>45797</v>
      </c>
      <c r="C2147" t="s">
        <v>3</v>
      </c>
      <c r="D2147" t="s">
        <v>123</v>
      </c>
      <c r="E2147">
        <v>275</v>
      </c>
      <c r="F2147">
        <v>145</v>
      </c>
      <c r="G2147">
        <v>20</v>
      </c>
      <c r="H2147">
        <v>3</v>
      </c>
      <c r="I2147">
        <v>14202</v>
      </c>
      <c r="J2147">
        <v>7</v>
      </c>
      <c r="K2147">
        <v>11022</v>
      </c>
      <c r="L2147">
        <v>5</v>
      </c>
      <c r="M2147">
        <v>82</v>
      </c>
      <c r="N2147">
        <v>255</v>
      </c>
      <c r="O2147">
        <f t="shared" si="66"/>
        <v>2025</v>
      </c>
      <c r="P2147">
        <f t="shared" si="67"/>
        <v>5</v>
      </c>
      <c r="Q2147" t="s">
        <v>570</v>
      </c>
      <c r="R2147" s="546" t="s">
        <v>804</v>
      </c>
    </row>
    <row r="2148" spans="1:18" x14ac:dyDescent="0.3">
      <c r="A2148" t="s">
        <v>627</v>
      </c>
      <c r="B2148" s="16">
        <v>45797</v>
      </c>
      <c r="C2148" t="s">
        <v>3</v>
      </c>
      <c r="D2148" t="s">
        <v>119</v>
      </c>
      <c r="E2148">
        <v>314</v>
      </c>
      <c r="F2148">
        <v>93</v>
      </c>
      <c r="G2148">
        <v>26</v>
      </c>
      <c r="H2148">
        <v>8</v>
      </c>
      <c r="I2148">
        <v>55260</v>
      </c>
      <c r="J2148">
        <v>19</v>
      </c>
      <c r="K2148">
        <v>35232</v>
      </c>
      <c r="L2148">
        <v>15</v>
      </c>
      <c r="M2148">
        <v>83</v>
      </c>
      <c r="N2148">
        <v>296</v>
      </c>
      <c r="O2148">
        <f t="shared" si="66"/>
        <v>2025</v>
      </c>
      <c r="P2148">
        <f t="shared" si="67"/>
        <v>5</v>
      </c>
      <c r="Q2148" t="s">
        <v>570</v>
      </c>
      <c r="R2148" s="546" t="s">
        <v>804</v>
      </c>
    </row>
    <row r="2149" spans="1:18" x14ac:dyDescent="0.3">
      <c r="A2149" t="s">
        <v>627</v>
      </c>
      <c r="B2149" s="16">
        <v>45797</v>
      </c>
      <c r="C2149" t="s">
        <v>3</v>
      </c>
      <c r="D2149" t="s">
        <v>631</v>
      </c>
      <c r="E2149">
        <v>3</v>
      </c>
      <c r="F2149">
        <v>3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3</v>
      </c>
      <c r="O2149">
        <f t="shared" si="66"/>
        <v>2025</v>
      </c>
      <c r="P2149">
        <f t="shared" si="67"/>
        <v>5</v>
      </c>
      <c r="Q2149" t="s">
        <v>570</v>
      </c>
      <c r="R2149" s="546" t="s">
        <v>804</v>
      </c>
    </row>
    <row r="2150" spans="1:18" x14ac:dyDescent="0.3">
      <c r="A2150" t="s">
        <v>627</v>
      </c>
      <c r="B2150" s="16">
        <v>45797</v>
      </c>
      <c r="C2150" t="s">
        <v>3</v>
      </c>
      <c r="D2150" t="s">
        <v>583</v>
      </c>
      <c r="E2150">
        <v>3</v>
      </c>
      <c r="F2150">
        <v>3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3</v>
      </c>
      <c r="O2150">
        <f t="shared" si="66"/>
        <v>2025</v>
      </c>
      <c r="P2150">
        <f t="shared" si="67"/>
        <v>5</v>
      </c>
      <c r="Q2150" t="s">
        <v>570</v>
      </c>
      <c r="R2150" s="546" t="s">
        <v>804</v>
      </c>
    </row>
    <row r="2151" spans="1:18" x14ac:dyDescent="0.3">
      <c r="A2151" t="s">
        <v>627</v>
      </c>
      <c r="B2151" s="16">
        <v>45797</v>
      </c>
      <c r="C2151" t="s">
        <v>3</v>
      </c>
      <c r="D2151" t="s">
        <v>252</v>
      </c>
      <c r="E2151">
        <v>13</v>
      </c>
      <c r="F2151">
        <v>13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3</v>
      </c>
      <c r="N2151">
        <v>13</v>
      </c>
      <c r="O2151">
        <f t="shared" si="66"/>
        <v>2025</v>
      </c>
      <c r="P2151">
        <f t="shared" si="67"/>
        <v>5</v>
      </c>
      <c r="Q2151" t="s">
        <v>570</v>
      </c>
      <c r="R2151" s="546" t="s">
        <v>804</v>
      </c>
    </row>
    <row r="2152" spans="1:18" x14ac:dyDescent="0.3">
      <c r="A2152" t="s">
        <v>627</v>
      </c>
      <c r="B2152" s="16">
        <v>45797</v>
      </c>
      <c r="C2152" t="s">
        <v>3</v>
      </c>
      <c r="D2152" t="s">
        <v>391</v>
      </c>
      <c r="E2152">
        <v>490</v>
      </c>
      <c r="F2152">
        <v>254</v>
      </c>
      <c r="G2152">
        <v>20</v>
      </c>
      <c r="H2152">
        <v>1</v>
      </c>
      <c r="I2152">
        <v>3407</v>
      </c>
      <c r="J2152">
        <v>2</v>
      </c>
      <c r="K2152">
        <v>5097</v>
      </c>
      <c r="L2152">
        <v>3</v>
      </c>
      <c r="M2152">
        <v>81</v>
      </c>
      <c r="N2152">
        <v>481</v>
      </c>
      <c r="O2152">
        <f t="shared" si="66"/>
        <v>2025</v>
      </c>
      <c r="P2152">
        <f t="shared" si="67"/>
        <v>5</v>
      </c>
      <c r="Q2152" t="s">
        <v>570</v>
      </c>
      <c r="R2152" s="546" t="s">
        <v>804</v>
      </c>
    </row>
    <row r="2153" spans="1:18" x14ac:dyDescent="0.3">
      <c r="A2153" t="s">
        <v>627</v>
      </c>
      <c r="B2153" s="16">
        <v>45797</v>
      </c>
      <c r="C2153" t="s">
        <v>3</v>
      </c>
      <c r="D2153" t="s">
        <v>114</v>
      </c>
      <c r="E2153">
        <v>104</v>
      </c>
      <c r="F2153">
        <v>40</v>
      </c>
      <c r="G2153">
        <v>5</v>
      </c>
      <c r="H2153">
        <v>2</v>
      </c>
      <c r="I2153">
        <v>6648</v>
      </c>
      <c r="J2153">
        <v>3</v>
      </c>
      <c r="K2153">
        <v>5050</v>
      </c>
      <c r="L2153">
        <v>2</v>
      </c>
      <c r="M2153">
        <v>18</v>
      </c>
      <c r="N2153">
        <v>101</v>
      </c>
      <c r="O2153">
        <f t="shared" si="66"/>
        <v>2025</v>
      </c>
      <c r="P2153">
        <f t="shared" si="67"/>
        <v>5</v>
      </c>
      <c r="Q2153" t="s">
        <v>570</v>
      </c>
      <c r="R2153" s="546" t="s">
        <v>804</v>
      </c>
    </row>
    <row r="2154" spans="1:18" x14ac:dyDescent="0.3">
      <c r="A2154" t="s">
        <v>627</v>
      </c>
      <c r="B2154" s="16">
        <v>45797</v>
      </c>
      <c r="C2154" t="s">
        <v>3</v>
      </c>
      <c r="D2154" t="s">
        <v>113</v>
      </c>
      <c r="E2154">
        <v>100</v>
      </c>
      <c r="F2154">
        <v>57</v>
      </c>
      <c r="G2154">
        <v>4</v>
      </c>
      <c r="H2154">
        <v>1</v>
      </c>
      <c r="I2154">
        <v>10167</v>
      </c>
      <c r="J2154">
        <v>4</v>
      </c>
      <c r="K2154">
        <v>10167</v>
      </c>
      <c r="L2154">
        <v>4</v>
      </c>
      <c r="M2154">
        <v>85</v>
      </c>
      <c r="N2154">
        <v>54</v>
      </c>
      <c r="O2154">
        <f t="shared" si="66"/>
        <v>2025</v>
      </c>
      <c r="P2154">
        <f t="shared" si="67"/>
        <v>5</v>
      </c>
      <c r="Q2154" t="s">
        <v>570</v>
      </c>
      <c r="R2154" s="546" t="s">
        <v>804</v>
      </c>
    </row>
    <row r="2155" spans="1:18" x14ac:dyDescent="0.3">
      <c r="A2155" t="s">
        <v>627</v>
      </c>
      <c r="B2155" s="16">
        <v>45797</v>
      </c>
      <c r="C2155" t="s">
        <v>3</v>
      </c>
      <c r="D2155" t="s">
        <v>112</v>
      </c>
      <c r="E2155">
        <v>31</v>
      </c>
      <c r="F2155">
        <v>8</v>
      </c>
      <c r="G2155">
        <v>4</v>
      </c>
      <c r="H2155">
        <v>1</v>
      </c>
      <c r="I2155">
        <v>4740</v>
      </c>
      <c r="J2155">
        <v>1</v>
      </c>
      <c r="K2155">
        <v>4740</v>
      </c>
      <c r="L2155">
        <v>1</v>
      </c>
      <c r="M2155">
        <v>1</v>
      </c>
      <c r="N2155">
        <v>31</v>
      </c>
      <c r="O2155">
        <f t="shared" si="66"/>
        <v>2025</v>
      </c>
      <c r="P2155">
        <f t="shared" si="67"/>
        <v>5</v>
      </c>
      <c r="Q2155" t="s">
        <v>570</v>
      </c>
      <c r="R2155" s="546" t="s">
        <v>804</v>
      </c>
    </row>
    <row r="2156" spans="1:18" x14ac:dyDescent="0.3">
      <c r="A2156" t="s">
        <v>627</v>
      </c>
      <c r="B2156" s="16">
        <v>45797</v>
      </c>
      <c r="C2156" t="s">
        <v>3</v>
      </c>
      <c r="D2156" t="s">
        <v>111</v>
      </c>
      <c r="E2156">
        <v>4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3</v>
      </c>
      <c r="O2156">
        <f t="shared" si="66"/>
        <v>2025</v>
      </c>
      <c r="P2156">
        <f t="shared" si="67"/>
        <v>5</v>
      </c>
      <c r="Q2156" t="s">
        <v>570</v>
      </c>
      <c r="R2156" s="546" t="s">
        <v>804</v>
      </c>
    </row>
    <row r="2157" spans="1:18" x14ac:dyDescent="0.3">
      <c r="A2157" t="s">
        <v>627</v>
      </c>
      <c r="B2157" s="16">
        <v>45796</v>
      </c>
      <c r="C2157" t="s">
        <v>2</v>
      </c>
      <c r="D2157" t="s">
        <v>4</v>
      </c>
      <c r="E2157">
        <v>611</v>
      </c>
      <c r="F2157">
        <v>359</v>
      </c>
      <c r="G2157">
        <v>192</v>
      </c>
      <c r="H2157">
        <v>9</v>
      </c>
      <c r="I2157">
        <v>106677</v>
      </c>
      <c r="J2157">
        <v>24</v>
      </c>
      <c r="K2157">
        <v>43190</v>
      </c>
      <c r="L2157">
        <v>12</v>
      </c>
      <c r="M2157">
        <v>4</v>
      </c>
      <c r="N2157">
        <v>611</v>
      </c>
      <c r="O2157">
        <f t="shared" si="66"/>
        <v>2025</v>
      </c>
      <c r="P2157">
        <f t="shared" si="67"/>
        <v>5</v>
      </c>
      <c r="Q2157" t="s">
        <v>570</v>
      </c>
      <c r="R2157" s="546" t="s">
        <v>804</v>
      </c>
    </row>
    <row r="2158" spans="1:18" x14ac:dyDescent="0.3">
      <c r="A2158" t="s">
        <v>627</v>
      </c>
      <c r="B2158" s="16">
        <v>45796</v>
      </c>
      <c r="C2158" t="s">
        <v>2</v>
      </c>
      <c r="D2158" t="s">
        <v>57</v>
      </c>
      <c r="E2158">
        <v>22544</v>
      </c>
      <c r="F2158">
        <v>15938</v>
      </c>
      <c r="G2158">
        <v>309</v>
      </c>
      <c r="H2158">
        <v>285</v>
      </c>
      <c r="I2158">
        <v>233868.26</v>
      </c>
      <c r="J2158">
        <v>63</v>
      </c>
      <c r="K2158">
        <v>141976.26</v>
      </c>
      <c r="L2158">
        <v>44</v>
      </c>
      <c r="M2158">
        <v>1383</v>
      </c>
      <c r="N2158">
        <v>22280</v>
      </c>
      <c r="O2158">
        <f t="shared" si="66"/>
        <v>2025</v>
      </c>
      <c r="P2158">
        <f t="shared" si="67"/>
        <v>5</v>
      </c>
      <c r="Q2158" t="s">
        <v>570</v>
      </c>
      <c r="R2158" s="546" t="s">
        <v>804</v>
      </c>
    </row>
    <row r="2159" spans="1:18" x14ac:dyDescent="0.3">
      <c r="A2159" t="s">
        <v>627</v>
      </c>
      <c r="B2159" s="16">
        <v>45796</v>
      </c>
      <c r="C2159" t="s">
        <v>2</v>
      </c>
      <c r="D2159" t="s">
        <v>52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1</v>
      </c>
      <c r="O2159">
        <f t="shared" ref="O2159:O2222" si="68">YEAR(B2159)</f>
        <v>2025</v>
      </c>
      <c r="P2159">
        <f t="shared" ref="P2159:P2222" si="69">MONTH(B2159)</f>
        <v>5</v>
      </c>
      <c r="Q2159" t="s">
        <v>570</v>
      </c>
      <c r="R2159" s="546" t="s">
        <v>804</v>
      </c>
    </row>
    <row r="2160" spans="1:18" x14ac:dyDescent="0.3">
      <c r="A2160" t="s">
        <v>627</v>
      </c>
      <c r="B2160" s="16">
        <v>45796</v>
      </c>
      <c r="C2160" t="s">
        <v>3</v>
      </c>
      <c r="D2160" t="s">
        <v>154</v>
      </c>
      <c r="E2160">
        <v>1</v>
      </c>
      <c r="F2160">
        <v>1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1</v>
      </c>
      <c r="N2160">
        <v>1</v>
      </c>
      <c r="O2160">
        <f t="shared" si="68"/>
        <v>2025</v>
      </c>
      <c r="P2160">
        <f t="shared" si="69"/>
        <v>5</v>
      </c>
      <c r="Q2160" t="s">
        <v>570</v>
      </c>
      <c r="R2160" s="546" t="s">
        <v>804</v>
      </c>
    </row>
    <row r="2161" spans="1:18" x14ac:dyDescent="0.3">
      <c r="A2161" t="s">
        <v>627</v>
      </c>
      <c r="B2161" s="16">
        <v>45796</v>
      </c>
      <c r="C2161" t="s">
        <v>3</v>
      </c>
      <c r="D2161" t="s">
        <v>153</v>
      </c>
      <c r="E2161">
        <v>410</v>
      </c>
      <c r="F2161">
        <v>126</v>
      </c>
      <c r="G2161">
        <v>58</v>
      </c>
      <c r="H2161">
        <v>2</v>
      </c>
      <c r="I2161">
        <v>213612.61</v>
      </c>
      <c r="J2161">
        <v>56</v>
      </c>
      <c r="K2161">
        <v>173115.61</v>
      </c>
      <c r="L2161">
        <v>50</v>
      </c>
      <c r="M2161">
        <v>105</v>
      </c>
      <c r="N2161">
        <v>396</v>
      </c>
      <c r="O2161">
        <f t="shared" si="68"/>
        <v>2025</v>
      </c>
      <c r="P2161">
        <f t="shared" si="69"/>
        <v>5</v>
      </c>
      <c r="Q2161" t="s">
        <v>570</v>
      </c>
      <c r="R2161" s="546" t="s">
        <v>804</v>
      </c>
    </row>
    <row r="2162" spans="1:18" x14ac:dyDescent="0.3">
      <c r="A2162" t="s">
        <v>627</v>
      </c>
      <c r="B2162" s="16">
        <v>45796</v>
      </c>
      <c r="C2162" t="s">
        <v>3</v>
      </c>
      <c r="D2162" t="s">
        <v>152</v>
      </c>
      <c r="E2162">
        <v>45</v>
      </c>
      <c r="F2162">
        <v>23</v>
      </c>
      <c r="G2162">
        <v>1</v>
      </c>
      <c r="H2162">
        <v>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44</v>
      </c>
      <c r="O2162">
        <f t="shared" si="68"/>
        <v>2025</v>
      </c>
      <c r="P2162">
        <f t="shared" si="69"/>
        <v>5</v>
      </c>
      <c r="Q2162" t="s">
        <v>570</v>
      </c>
      <c r="R2162" s="546" t="s">
        <v>804</v>
      </c>
    </row>
    <row r="2163" spans="1:18" x14ac:dyDescent="0.3">
      <c r="A2163" t="s">
        <v>627</v>
      </c>
      <c r="B2163" s="16">
        <v>45796</v>
      </c>
      <c r="C2163" t="s">
        <v>3</v>
      </c>
      <c r="D2163" t="s">
        <v>150</v>
      </c>
      <c r="E2163">
        <v>8</v>
      </c>
      <c r="F2163">
        <v>2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1</v>
      </c>
      <c r="N2163">
        <v>8</v>
      </c>
      <c r="O2163">
        <f t="shared" si="68"/>
        <v>2025</v>
      </c>
      <c r="P2163">
        <f t="shared" si="69"/>
        <v>5</v>
      </c>
      <c r="Q2163" t="s">
        <v>570</v>
      </c>
      <c r="R2163" s="546" t="s">
        <v>804</v>
      </c>
    </row>
    <row r="2164" spans="1:18" x14ac:dyDescent="0.3">
      <c r="A2164" t="s">
        <v>627</v>
      </c>
      <c r="B2164" s="16">
        <v>45796</v>
      </c>
      <c r="C2164" t="s">
        <v>3</v>
      </c>
      <c r="D2164" t="s">
        <v>149</v>
      </c>
      <c r="E2164">
        <v>2</v>
      </c>
      <c r="F2164">
        <v>1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1</v>
      </c>
      <c r="N2164">
        <v>2</v>
      </c>
      <c r="O2164">
        <f t="shared" si="68"/>
        <v>2025</v>
      </c>
      <c r="P2164">
        <f t="shared" si="69"/>
        <v>5</v>
      </c>
      <c r="Q2164" t="s">
        <v>570</v>
      </c>
      <c r="R2164" s="546" t="s">
        <v>804</v>
      </c>
    </row>
    <row r="2165" spans="1:18" x14ac:dyDescent="0.3">
      <c r="A2165" t="s">
        <v>627</v>
      </c>
      <c r="B2165" s="16">
        <v>45796</v>
      </c>
      <c r="C2165" t="s">
        <v>3</v>
      </c>
      <c r="D2165" t="s">
        <v>148</v>
      </c>
      <c r="E2165">
        <v>3</v>
      </c>
      <c r="F2165">
        <v>2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3</v>
      </c>
      <c r="N2165">
        <v>0</v>
      </c>
      <c r="O2165">
        <f t="shared" si="68"/>
        <v>2025</v>
      </c>
      <c r="P2165">
        <f t="shared" si="69"/>
        <v>5</v>
      </c>
      <c r="Q2165" t="s">
        <v>570</v>
      </c>
      <c r="R2165" s="546" t="s">
        <v>804</v>
      </c>
    </row>
    <row r="2166" spans="1:18" x14ac:dyDescent="0.3">
      <c r="A2166" t="s">
        <v>627</v>
      </c>
      <c r="B2166" s="16">
        <v>45796</v>
      </c>
      <c r="C2166" t="s">
        <v>3</v>
      </c>
      <c r="D2166" t="s">
        <v>367</v>
      </c>
      <c r="E2166">
        <v>22</v>
      </c>
      <c r="F2166">
        <v>14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22</v>
      </c>
      <c r="O2166">
        <f t="shared" si="68"/>
        <v>2025</v>
      </c>
      <c r="P2166">
        <f t="shared" si="69"/>
        <v>5</v>
      </c>
      <c r="Q2166" t="s">
        <v>570</v>
      </c>
      <c r="R2166" s="546" t="s">
        <v>804</v>
      </c>
    </row>
    <row r="2167" spans="1:18" x14ac:dyDescent="0.3">
      <c r="A2167" t="s">
        <v>627</v>
      </c>
      <c r="B2167" s="16">
        <v>45796</v>
      </c>
      <c r="C2167" t="s">
        <v>3</v>
      </c>
      <c r="D2167" t="s">
        <v>251</v>
      </c>
      <c r="E2167">
        <v>184</v>
      </c>
      <c r="F2167">
        <v>86</v>
      </c>
      <c r="G2167">
        <v>15</v>
      </c>
      <c r="H2167">
        <v>3</v>
      </c>
      <c r="I2167">
        <v>20016</v>
      </c>
      <c r="J2167">
        <v>8</v>
      </c>
      <c r="K2167">
        <v>20016</v>
      </c>
      <c r="L2167">
        <v>8</v>
      </c>
      <c r="M2167">
        <v>55</v>
      </c>
      <c r="N2167">
        <v>163</v>
      </c>
      <c r="O2167">
        <f t="shared" si="68"/>
        <v>2025</v>
      </c>
      <c r="P2167">
        <f t="shared" si="69"/>
        <v>5</v>
      </c>
      <c r="Q2167" t="s">
        <v>570</v>
      </c>
      <c r="R2167" s="546" t="s">
        <v>804</v>
      </c>
    </row>
    <row r="2168" spans="1:18" x14ac:dyDescent="0.3">
      <c r="A2168" t="s">
        <v>627</v>
      </c>
      <c r="B2168" s="16">
        <v>45796</v>
      </c>
      <c r="C2168" t="s">
        <v>3</v>
      </c>
      <c r="D2168" t="s">
        <v>143</v>
      </c>
      <c r="E2168">
        <v>39</v>
      </c>
      <c r="F2168">
        <v>38</v>
      </c>
      <c r="G2168">
        <v>0</v>
      </c>
      <c r="H2168">
        <v>1</v>
      </c>
      <c r="I2168">
        <v>0</v>
      </c>
      <c r="J2168">
        <v>0</v>
      </c>
      <c r="K2168">
        <v>0</v>
      </c>
      <c r="L2168">
        <v>0</v>
      </c>
      <c r="M2168">
        <v>1</v>
      </c>
      <c r="N2168">
        <v>39</v>
      </c>
      <c r="O2168">
        <f t="shared" si="68"/>
        <v>2025</v>
      </c>
      <c r="P2168">
        <f t="shared" si="69"/>
        <v>5</v>
      </c>
      <c r="Q2168" t="s">
        <v>570</v>
      </c>
      <c r="R2168" s="546" t="s">
        <v>804</v>
      </c>
    </row>
    <row r="2169" spans="1:18" x14ac:dyDescent="0.3">
      <c r="A2169" t="s">
        <v>627</v>
      </c>
      <c r="B2169" s="16">
        <v>45796</v>
      </c>
      <c r="C2169" t="s">
        <v>3</v>
      </c>
      <c r="D2169" t="s">
        <v>141</v>
      </c>
      <c r="E2169">
        <v>253</v>
      </c>
      <c r="F2169">
        <v>118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3</v>
      </c>
      <c r="N2169">
        <v>250</v>
      </c>
      <c r="O2169">
        <f t="shared" si="68"/>
        <v>2025</v>
      </c>
      <c r="P2169">
        <f t="shared" si="69"/>
        <v>5</v>
      </c>
      <c r="Q2169" t="s">
        <v>570</v>
      </c>
      <c r="R2169" s="546" t="s">
        <v>804</v>
      </c>
    </row>
    <row r="2170" spans="1:18" x14ac:dyDescent="0.3">
      <c r="A2170" t="s">
        <v>627</v>
      </c>
      <c r="B2170" s="16">
        <v>45796</v>
      </c>
      <c r="C2170" t="s">
        <v>3</v>
      </c>
      <c r="D2170" t="s">
        <v>140</v>
      </c>
      <c r="E2170">
        <v>8</v>
      </c>
      <c r="F2170">
        <v>8</v>
      </c>
      <c r="G2170">
        <v>2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3</v>
      </c>
      <c r="N2170">
        <v>6</v>
      </c>
      <c r="O2170">
        <f t="shared" si="68"/>
        <v>2025</v>
      </c>
      <c r="P2170">
        <f t="shared" si="69"/>
        <v>5</v>
      </c>
      <c r="Q2170" t="s">
        <v>570</v>
      </c>
      <c r="R2170" s="546" t="s">
        <v>804</v>
      </c>
    </row>
    <row r="2171" spans="1:18" x14ac:dyDescent="0.3">
      <c r="A2171" t="s">
        <v>627</v>
      </c>
      <c r="B2171" s="16">
        <v>45796</v>
      </c>
      <c r="C2171" t="s">
        <v>3</v>
      </c>
      <c r="D2171" t="s">
        <v>139</v>
      </c>
      <c r="E2171">
        <v>711</v>
      </c>
      <c r="F2171">
        <v>414</v>
      </c>
      <c r="G2171">
        <v>65</v>
      </c>
      <c r="H2171">
        <v>12</v>
      </c>
      <c r="I2171">
        <v>98655.76</v>
      </c>
      <c r="J2171">
        <v>32</v>
      </c>
      <c r="K2171">
        <v>87191.76</v>
      </c>
      <c r="L2171">
        <v>30</v>
      </c>
      <c r="M2171">
        <v>307</v>
      </c>
      <c r="N2171">
        <v>497</v>
      </c>
      <c r="O2171">
        <f t="shared" si="68"/>
        <v>2025</v>
      </c>
      <c r="P2171">
        <f t="shared" si="69"/>
        <v>5</v>
      </c>
      <c r="Q2171" t="s">
        <v>570</v>
      </c>
      <c r="R2171" s="546" t="s">
        <v>804</v>
      </c>
    </row>
    <row r="2172" spans="1:18" x14ac:dyDescent="0.3">
      <c r="A2172" t="s">
        <v>627</v>
      </c>
      <c r="B2172" s="16">
        <v>45796</v>
      </c>
      <c r="C2172" t="s">
        <v>3</v>
      </c>
      <c r="D2172" t="s">
        <v>138</v>
      </c>
      <c r="E2172">
        <v>8</v>
      </c>
      <c r="F2172">
        <v>3</v>
      </c>
      <c r="G2172">
        <v>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1</v>
      </c>
      <c r="N2172">
        <v>8</v>
      </c>
      <c r="O2172">
        <f t="shared" si="68"/>
        <v>2025</v>
      </c>
      <c r="P2172">
        <f t="shared" si="69"/>
        <v>5</v>
      </c>
      <c r="Q2172" t="s">
        <v>570</v>
      </c>
      <c r="R2172" s="546" t="s">
        <v>804</v>
      </c>
    </row>
    <row r="2173" spans="1:18" x14ac:dyDescent="0.3">
      <c r="A2173" t="s">
        <v>627</v>
      </c>
      <c r="B2173" s="16">
        <v>45796</v>
      </c>
      <c r="C2173" t="s">
        <v>3</v>
      </c>
      <c r="D2173" t="s">
        <v>135</v>
      </c>
      <c r="E2173">
        <v>23</v>
      </c>
      <c r="F2173">
        <v>8</v>
      </c>
      <c r="G2173">
        <v>0</v>
      </c>
      <c r="H2173">
        <v>2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18</v>
      </c>
      <c r="O2173">
        <f t="shared" si="68"/>
        <v>2025</v>
      </c>
      <c r="P2173">
        <f t="shared" si="69"/>
        <v>5</v>
      </c>
      <c r="Q2173" t="s">
        <v>570</v>
      </c>
      <c r="R2173" s="546" t="s">
        <v>804</v>
      </c>
    </row>
    <row r="2174" spans="1:18" x14ac:dyDescent="0.3">
      <c r="A2174" t="s">
        <v>627</v>
      </c>
      <c r="B2174" s="16">
        <v>45796</v>
      </c>
      <c r="C2174" t="s">
        <v>3</v>
      </c>
      <c r="D2174" t="s">
        <v>133</v>
      </c>
      <c r="E2174">
        <v>19</v>
      </c>
      <c r="F2174">
        <v>13</v>
      </c>
      <c r="G2174">
        <v>3</v>
      </c>
      <c r="H2174">
        <v>0</v>
      </c>
      <c r="I2174">
        <v>2795</v>
      </c>
      <c r="J2174">
        <v>1</v>
      </c>
      <c r="K2174">
        <v>2795</v>
      </c>
      <c r="L2174">
        <v>1</v>
      </c>
      <c r="M2174">
        <v>5</v>
      </c>
      <c r="N2174">
        <v>17</v>
      </c>
      <c r="O2174">
        <f t="shared" si="68"/>
        <v>2025</v>
      </c>
      <c r="P2174">
        <f t="shared" si="69"/>
        <v>5</v>
      </c>
      <c r="Q2174" t="s">
        <v>570</v>
      </c>
      <c r="R2174" s="546" t="s">
        <v>804</v>
      </c>
    </row>
    <row r="2175" spans="1:18" x14ac:dyDescent="0.3">
      <c r="A2175" t="s">
        <v>627</v>
      </c>
      <c r="B2175" s="16">
        <v>45796</v>
      </c>
      <c r="C2175" t="s">
        <v>3</v>
      </c>
      <c r="D2175" t="s">
        <v>130</v>
      </c>
      <c r="E2175">
        <v>126</v>
      </c>
      <c r="F2175">
        <v>49</v>
      </c>
      <c r="G2175">
        <v>14</v>
      </c>
      <c r="H2175">
        <v>2</v>
      </c>
      <c r="I2175">
        <v>36301.550000000003</v>
      </c>
      <c r="J2175">
        <v>14</v>
      </c>
      <c r="K2175">
        <v>33201.550000000003</v>
      </c>
      <c r="L2175">
        <v>13</v>
      </c>
      <c r="M2175">
        <v>50</v>
      </c>
      <c r="N2175">
        <v>115</v>
      </c>
      <c r="O2175">
        <f t="shared" si="68"/>
        <v>2025</v>
      </c>
      <c r="P2175">
        <f t="shared" si="69"/>
        <v>5</v>
      </c>
      <c r="Q2175" t="s">
        <v>570</v>
      </c>
      <c r="R2175" s="546" t="s">
        <v>804</v>
      </c>
    </row>
    <row r="2176" spans="1:18" x14ac:dyDescent="0.3">
      <c r="A2176" t="s">
        <v>627</v>
      </c>
      <c r="B2176" s="16">
        <v>45796</v>
      </c>
      <c r="C2176" t="s">
        <v>3</v>
      </c>
      <c r="D2176" t="s">
        <v>128</v>
      </c>
      <c r="E2176">
        <v>861</v>
      </c>
      <c r="F2176">
        <v>655</v>
      </c>
      <c r="G2176">
        <v>45</v>
      </c>
      <c r="H2176">
        <v>10</v>
      </c>
      <c r="I2176">
        <v>50082</v>
      </c>
      <c r="J2176">
        <v>14</v>
      </c>
      <c r="K2176">
        <v>38415</v>
      </c>
      <c r="L2176">
        <v>11</v>
      </c>
      <c r="M2176">
        <v>361</v>
      </c>
      <c r="N2176">
        <v>660</v>
      </c>
      <c r="O2176">
        <f t="shared" si="68"/>
        <v>2025</v>
      </c>
      <c r="P2176">
        <f t="shared" si="69"/>
        <v>5</v>
      </c>
      <c r="Q2176" t="s">
        <v>570</v>
      </c>
      <c r="R2176" s="546" t="s">
        <v>804</v>
      </c>
    </row>
    <row r="2177" spans="1:18" x14ac:dyDescent="0.3">
      <c r="A2177" t="s">
        <v>627</v>
      </c>
      <c r="B2177" s="16">
        <v>45796</v>
      </c>
      <c r="C2177" t="s">
        <v>3</v>
      </c>
      <c r="D2177" t="s">
        <v>127</v>
      </c>
      <c r="E2177">
        <v>3763</v>
      </c>
      <c r="F2177">
        <v>2665</v>
      </c>
      <c r="G2177">
        <v>83</v>
      </c>
      <c r="H2177">
        <v>37</v>
      </c>
      <c r="I2177">
        <v>50625</v>
      </c>
      <c r="J2177">
        <v>11</v>
      </c>
      <c r="K2177">
        <v>23640</v>
      </c>
      <c r="L2177">
        <v>7</v>
      </c>
      <c r="M2177">
        <v>280</v>
      </c>
      <c r="N2177">
        <v>3478</v>
      </c>
      <c r="O2177">
        <f t="shared" si="68"/>
        <v>2025</v>
      </c>
      <c r="P2177">
        <f t="shared" si="69"/>
        <v>5</v>
      </c>
      <c r="Q2177" t="s">
        <v>570</v>
      </c>
      <c r="R2177" s="546" t="s">
        <v>804</v>
      </c>
    </row>
    <row r="2178" spans="1:18" x14ac:dyDescent="0.3">
      <c r="A2178" t="s">
        <v>627</v>
      </c>
      <c r="B2178" s="16">
        <v>45796</v>
      </c>
      <c r="C2178" t="s">
        <v>3</v>
      </c>
      <c r="D2178" t="s">
        <v>126</v>
      </c>
      <c r="E2178">
        <v>84</v>
      </c>
      <c r="F2178">
        <v>52</v>
      </c>
      <c r="G2178">
        <v>5</v>
      </c>
      <c r="H2178">
        <v>4</v>
      </c>
      <c r="I2178">
        <v>1598</v>
      </c>
      <c r="J2178">
        <v>1</v>
      </c>
      <c r="K2178">
        <v>1598</v>
      </c>
      <c r="L2178">
        <v>1</v>
      </c>
      <c r="M2178">
        <v>16</v>
      </c>
      <c r="N2178">
        <v>78</v>
      </c>
      <c r="O2178">
        <f t="shared" si="68"/>
        <v>2025</v>
      </c>
      <c r="P2178">
        <f t="shared" si="69"/>
        <v>5</v>
      </c>
      <c r="Q2178" t="s">
        <v>570</v>
      </c>
      <c r="R2178" s="546" t="s">
        <v>804</v>
      </c>
    </row>
    <row r="2179" spans="1:18" x14ac:dyDescent="0.3">
      <c r="A2179" t="s">
        <v>627</v>
      </c>
      <c r="B2179" s="16">
        <v>45796</v>
      </c>
      <c r="C2179" t="s">
        <v>3</v>
      </c>
      <c r="D2179" t="s">
        <v>125</v>
      </c>
      <c r="E2179">
        <v>4</v>
      </c>
      <c r="F2179">
        <v>3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1</v>
      </c>
      <c r="N2179">
        <v>4</v>
      </c>
      <c r="O2179">
        <f t="shared" si="68"/>
        <v>2025</v>
      </c>
      <c r="P2179">
        <f t="shared" si="69"/>
        <v>5</v>
      </c>
      <c r="Q2179" t="s">
        <v>570</v>
      </c>
      <c r="R2179" s="546" t="s">
        <v>804</v>
      </c>
    </row>
    <row r="2180" spans="1:18" x14ac:dyDescent="0.3">
      <c r="A2180" t="s">
        <v>627</v>
      </c>
      <c r="B2180" s="16">
        <v>45796</v>
      </c>
      <c r="C2180" t="s">
        <v>3</v>
      </c>
      <c r="D2180" t="s">
        <v>123</v>
      </c>
      <c r="E2180">
        <v>280</v>
      </c>
      <c r="F2180">
        <v>135</v>
      </c>
      <c r="G2180">
        <v>19</v>
      </c>
      <c r="H2180">
        <v>7</v>
      </c>
      <c r="I2180">
        <v>10950</v>
      </c>
      <c r="J2180">
        <v>4</v>
      </c>
      <c r="K2180">
        <v>6960</v>
      </c>
      <c r="L2180">
        <v>3</v>
      </c>
      <c r="M2180">
        <v>79</v>
      </c>
      <c r="N2180">
        <v>256</v>
      </c>
      <c r="O2180">
        <f t="shared" si="68"/>
        <v>2025</v>
      </c>
      <c r="P2180">
        <f t="shared" si="69"/>
        <v>5</v>
      </c>
      <c r="Q2180" t="s">
        <v>570</v>
      </c>
      <c r="R2180" s="546" t="s">
        <v>804</v>
      </c>
    </row>
    <row r="2181" spans="1:18" x14ac:dyDescent="0.3">
      <c r="A2181" t="s">
        <v>627</v>
      </c>
      <c r="B2181" s="16">
        <v>45796</v>
      </c>
      <c r="C2181" t="s">
        <v>3</v>
      </c>
      <c r="D2181" t="s">
        <v>121</v>
      </c>
      <c r="E2181">
        <v>2</v>
      </c>
      <c r="F2181">
        <v>2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2</v>
      </c>
      <c r="N2181">
        <v>0</v>
      </c>
      <c r="O2181">
        <f t="shared" si="68"/>
        <v>2025</v>
      </c>
      <c r="P2181">
        <f t="shared" si="69"/>
        <v>5</v>
      </c>
      <c r="Q2181" t="s">
        <v>570</v>
      </c>
      <c r="R2181" s="546" t="s">
        <v>804</v>
      </c>
    </row>
    <row r="2182" spans="1:18" x14ac:dyDescent="0.3">
      <c r="A2182" t="s">
        <v>627</v>
      </c>
      <c r="B2182" s="16">
        <v>45796</v>
      </c>
      <c r="C2182" t="s">
        <v>3</v>
      </c>
      <c r="D2182" t="s">
        <v>119</v>
      </c>
      <c r="E2182">
        <v>322</v>
      </c>
      <c r="F2182">
        <v>98</v>
      </c>
      <c r="G2182">
        <v>34</v>
      </c>
      <c r="H2182">
        <v>8</v>
      </c>
      <c r="I2182">
        <v>83422.48</v>
      </c>
      <c r="J2182">
        <v>22</v>
      </c>
      <c r="K2182">
        <v>62537.48</v>
      </c>
      <c r="L2182">
        <v>20</v>
      </c>
      <c r="M2182">
        <v>62</v>
      </c>
      <c r="N2182">
        <v>313</v>
      </c>
      <c r="O2182">
        <f t="shared" si="68"/>
        <v>2025</v>
      </c>
      <c r="P2182">
        <f t="shared" si="69"/>
        <v>5</v>
      </c>
      <c r="Q2182" t="s">
        <v>570</v>
      </c>
      <c r="R2182" s="546" t="s">
        <v>804</v>
      </c>
    </row>
    <row r="2183" spans="1:18" x14ac:dyDescent="0.3">
      <c r="A2183" t="s">
        <v>627</v>
      </c>
      <c r="B2183" s="16">
        <v>45796</v>
      </c>
      <c r="C2183" t="s">
        <v>3</v>
      </c>
      <c r="D2183" t="s">
        <v>252</v>
      </c>
      <c r="E2183">
        <v>5</v>
      </c>
      <c r="F2183">
        <v>5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5</v>
      </c>
      <c r="O2183">
        <f t="shared" si="68"/>
        <v>2025</v>
      </c>
      <c r="P2183">
        <f t="shared" si="69"/>
        <v>5</v>
      </c>
      <c r="Q2183" t="s">
        <v>570</v>
      </c>
      <c r="R2183" s="546" t="s">
        <v>804</v>
      </c>
    </row>
    <row r="2184" spans="1:18" x14ac:dyDescent="0.3">
      <c r="A2184" t="s">
        <v>627</v>
      </c>
      <c r="B2184" s="16">
        <v>45796</v>
      </c>
      <c r="C2184" t="s">
        <v>3</v>
      </c>
      <c r="D2184" t="s">
        <v>391</v>
      </c>
      <c r="E2184">
        <v>445</v>
      </c>
      <c r="F2184">
        <v>234</v>
      </c>
      <c r="G2184">
        <v>18</v>
      </c>
      <c r="H2184">
        <v>2</v>
      </c>
      <c r="I2184">
        <v>38025</v>
      </c>
      <c r="J2184">
        <v>7</v>
      </c>
      <c r="K2184">
        <v>30042</v>
      </c>
      <c r="L2184">
        <v>6</v>
      </c>
      <c r="M2184">
        <v>75</v>
      </c>
      <c r="N2184">
        <v>436</v>
      </c>
      <c r="O2184">
        <f t="shared" si="68"/>
        <v>2025</v>
      </c>
      <c r="P2184">
        <f t="shared" si="69"/>
        <v>5</v>
      </c>
      <c r="Q2184" t="s">
        <v>570</v>
      </c>
      <c r="R2184" s="546" t="s">
        <v>804</v>
      </c>
    </row>
    <row r="2185" spans="1:18" x14ac:dyDescent="0.3">
      <c r="A2185" t="s">
        <v>627</v>
      </c>
      <c r="B2185" s="16">
        <v>45796</v>
      </c>
      <c r="C2185" t="s">
        <v>3</v>
      </c>
      <c r="D2185" t="s">
        <v>114</v>
      </c>
      <c r="E2185">
        <v>138</v>
      </c>
      <c r="F2185">
        <v>57</v>
      </c>
      <c r="G2185">
        <v>6</v>
      </c>
      <c r="H2185">
        <v>4</v>
      </c>
      <c r="I2185">
        <v>0</v>
      </c>
      <c r="J2185">
        <v>0</v>
      </c>
      <c r="K2185">
        <v>0</v>
      </c>
      <c r="L2185">
        <v>0</v>
      </c>
      <c r="M2185">
        <v>18</v>
      </c>
      <c r="N2185">
        <v>136</v>
      </c>
      <c r="O2185">
        <f t="shared" si="68"/>
        <v>2025</v>
      </c>
      <c r="P2185">
        <f t="shared" si="69"/>
        <v>5</v>
      </c>
      <c r="Q2185" t="s">
        <v>570</v>
      </c>
      <c r="R2185" s="546" t="s">
        <v>804</v>
      </c>
    </row>
    <row r="2186" spans="1:18" x14ac:dyDescent="0.3">
      <c r="A2186" t="s">
        <v>627</v>
      </c>
      <c r="B2186" s="16">
        <v>45796</v>
      </c>
      <c r="C2186" t="s">
        <v>3</v>
      </c>
      <c r="D2186" t="s">
        <v>113</v>
      </c>
      <c r="E2186">
        <v>101</v>
      </c>
      <c r="F2186">
        <v>51</v>
      </c>
      <c r="G2186">
        <v>6</v>
      </c>
      <c r="H2186">
        <v>1</v>
      </c>
      <c r="I2186">
        <v>1990</v>
      </c>
      <c r="J2186">
        <v>1</v>
      </c>
      <c r="K2186">
        <v>1990</v>
      </c>
      <c r="L2186">
        <v>1</v>
      </c>
      <c r="M2186">
        <v>80</v>
      </c>
      <c r="N2186">
        <v>62</v>
      </c>
      <c r="O2186">
        <f t="shared" si="68"/>
        <v>2025</v>
      </c>
      <c r="P2186">
        <f t="shared" si="69"/>
        <v>5</v>
      </c>
      <c r="Q2186" t="s">
        <v>570</v>
      </c>
      <c r="R2186" s="546" t="s">
        <v>804</v>
      </c>
    </row>
    <row r="2187" spans="1:18" x14ac:dyDescent="0.3">
      <c r="A2187" t="s">
        <v>627</v>
      </c>
      <c r="B2187" s="16">
        <v>45796</v>
      </c>
      <c r="C2187" t="s">
        <v>3</v>
      </c>
      <c r="D2187" t="s">
        <v>112</v>
      </c>
      <c r="E2187">
        <v>33</v>
      </c>
      <c r="F2187">
        <v>13</v>
      </c>
      <c r="G2187">
        <v>1</v>
      </c>
      <c r="H2187">
        <v>0</v>
      </c>
      <c r="I2187">
        <v>12278</v>
      </c>
      <c r="J2187">
        <v>4</v>
      </c>
      <c r="K2187">
        <v>12278</v>
      </c>
      <c r="L2187">
        <v>4</v>
      </c>
      <c r="M2187">
        <v>1</v>
      </c>
      <c r="N2187">
        <v>33</v>
      </c>
      <c r="O2187">
        <f t="shared" si="68"/>
        <v>2025</v>
      </c>
      <c r="P2187">
        <f t="shared" si="69"/>
        <v>5</v>
      </c>
      <c r="Q2187" t="s">
        <v>570</v>
      </c>
      <c r="R2187" s="546" t="s">
        <v>804</v>
      </c>
    </row>
    <row r="2188" spans="1:18" x14ac:dyDescent="0.3">
      <c r="A2188" t="s">
        <v>627</v>
      </c>
      <c r="B2188" s="16">
        <v>45796</v>
      </c>
      <c r="C2188" t="s">
        <v>3</v>
      </c>
      <c r="D2188" t="s">
        <v>111</v>
      </c>
      <c r="E2188">
        <v>2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2</v>
      </c>
      <c r="O2188">
        <f t="shared" si="68"/>
        <v>2025</v>
      </c>
      <c r="P2188">
        <f t="shared" si="69"/>
        <v>5</v>
      </c>
      <c r="Q2188" t="s">
        <v>570</v>
      </c>
      <c r="R2188" s="546" t="s">
        <v>804</v>
      </c>
    </row>
    <row r="2189" spans="1:18" x14ac:dyDescent="0.3">
      <c r="A2189" t="s">
        <v>627</v>
      </c>
      <c r="B2189" s="16">
        <v>45795</v>
      </c>
      <c r="C2189" t="s">
        <v>2</v>
      </c>
      <c r="D2189" t="s">
        <v>4</v>
      </c>
      <c r="E2189">
        <v>413</v>
      </c>
      <c r="F2189">
        <v>171</v>
      </c>
      <c r="G2189">
        <v>6</v>
      </c>
      <c r="H2189">
        <v>1</v>
      </c>
      <c r="I2189">
        <v>4642</v>
      </c>
      <c r="J2189">
        <v>3</v>
      </c>
      <c r="K2189">
        <v>4642</v>
      </c>
      <c r="L2189">
        <v>3</v>
      </c>
      <c r="M2189">
        <v>2</v>
      </c>
      <c r="N2189">
        <v>412</v>
      </c>
      <c r="O2189">
        <f t="shared" si="68"/>
        <v>2025</v>
      </c>
      <c r="P2189">
        <f t="shared" si="69"/>
        <v>5</v>
      </c>
      <c r="Q2189" t="s">
        <v>570</v>
      </c>
      <c r="R2189" s="546" t="s">
        <v>804</v>
      </c>
    </row>
    <row r="2190" spans="1:18" x14ac:dyDescent="0.3">
      <c r="A2190" t="s">
        <v>627</v>
      </c>
      <c r="B2190" s="16">
        <v>45795</v>
      </c>
      <c r="C2190" t="s">
        <v>2</v>
      </c>
      <c r="D2190" t="s">
        <v>57</v>
      </c>
      <c r="E2190">
        <v>24531</v>
      </c>
      <c r="F2190">
        <v>18463</v>
      </c>
      <c r="G2190">
        <v>357</v>
      </c>
      <c r="H2190">
        <v>292</v>
      </c>
      <c r="I2190">
        <v>259130</v>
      </c>
      <c r="J2190">
        <v>69</v>
      </c>
      <c r="K2190">
        <v>160704</v>
      </c>
      <c r="L2190">
        <v>48</v>
      </c>
      <c r="M2190">
        <v>1356</v>
      </c>
      <c r="N2190">
        <v>24257</v>
      </c>
      <c r="O2190">
        <f t="shared" si="68"/>
        <v>2025</v>
      </c>
      <c r="P2190">
        <f t="shared" si="69"/>
        <v>5</v>
      </c>
      <c r="Q2190" t="s">
        <v>570</v>
      </c>
      <c r="R2190" s="546" t="s">
        <v>804</v>
      </c>
    </row>
    <row r="2191" spans="1:18" x14ac:dyDescent="0.3">
      <c r="A2191" t="s">
        <v>627</v>
      </c>
      <c r="B2191" s="16">
        <v>45795</v>
      </c>
      <c r="C2191" t="s">
        <v>2</v>
      </c>
      <c r="D2191" t="s">
        <v>52</v>
      </c>
      <c r="E2191">
        <v>3</v>
      </c>
      <c r="F2191">
        <v>3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</v>
      </c>
      <c r="N2191">
        <v>3</v>
      </c>
      <c r="O2191">
        <f t="shared" si="68"/>
        <v>2025</v>
      </c>
      <c r="P2191">
        <f t="shared" si="69"/>
        <v>5</v>
      </c>
      <c r="Q2191" t="s">
        <v>570</v>
      </c>
      <c r="R2191" s="546" t="s">
        <v>804</v>
      </c>
    </row>
    <row r="2192" spans="1:18" x14ac:dyDescent="0.3">
      <c r="A2192" t="s">
        <v>627</v>
      </c>
      <c r="B2192" s="16">
        <v>45795</v>
      </c>
      <c r="C2192" t="s">
        <v>2</v>
      </c>
      <c r="D2192" t="s">
        <v>55</v>
      </c>
      <c r="E2192">
        <v>3</v>
      </c>
      <c r="F2192">
        <v>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3</v>
      </c>
      <c r="O2192">
        <f t="shared" si="68"/>
        <v>2025</v>
      </c>
      <c r="P2192">
        <f t="shared" si="69"/>
        <v>5</v>
      </c>
      <c r="Q2192" t="s">
        <v>570</v>
      </c>
      <c r="R2192" s="546" t="s">
        <v>804</v>
      </c>
    </row>
    <row r="2193" spans="1:18" x14ac:dyDescent="0.3">
      <c r="A2193" t="s">
        <v>627</v>
      </c>
      <c r="B2193" s="16">
        <v>45795</v>
      </c>
      <c r="C2193" t="s">
        <v>3</v>
      </c>
      <c r="D2193" t="s">
        <v>155</v>
      </c>
      <c r="E2193">
        <v>4</v>
      </c>
      <c r="F2193">
        <v>4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4</v>
      </c>
      <c r="O2193">
        <f t="shared" si="68"/>
        <v>2025</v>
      </c>
      <c r="P2193">
        <f t="shared" si="69"/>
        <v>5</v>
      </c>
      <c r="Q2193" t="s">
        <v>570</v>
      </c>
      <c r="R2193" s="546" t="s">
        <v>804</v>
      </c>
    </row>
    <row r="2194" spans="1:18" x14ac:dyDescent="0.3">
      <c r="A2194" t="s">
        <v>627</v>
      </c>
      <c r="B2194" s="16">
        <v>45795</v>
      </c>
      <c r="C2194" t="s">
        <v>3</v>
      </c>
      <c r="D2194" t="s">
        <v>154</v>
      </c>
      <c r="E2194">
        <v>1</v>
      </c>
      <c r="F2194">
        <v>1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f t="shared" si="68"/>
        <v>2025</v>
      </c>
      <c r="P2194">
        <f t="shared" si="69"/>
        <v>5</v>
      </c>
      <c r="Q2194" t="s">
        <v>570</v>
      </c>
      <c r="R2194" s="546" t="s">
        <v>804</v>
      </c>
    </row>
    <row r="2195" spans="1:18" x14ac:dyDescent="0.3">
      <c r="A2195" t="s">
        <v>627</v>
      </c>
      <c r="B2195" s="16">
        <v>45795</v>
      </c>
      <c r="C2195" t="s">
        <v>3</v>
      </c>
      <c r="D2195" t="s">
        <v>153</v>
      </c>
      <c r="E2195">
        <v>422</v>
      </c>
      <c r="F2195">
        <v>122</v>
      </c>
      <c r="G2195">
        <v>51</v>
      </c>
      <c r="H2195">
        <v>6</v>
      </c>
      <c r="I2195">
        <v>141631.59</v>
      </c>
      <c r="J2195">
        <v>45</v>
      </c>
      <c r="K2195">
        <v>132481.59</v>
      </c>
      <c r="L2195">
        <v>45</v>
      </c>
      <c r="M2195">
        <v>114</v>
      </c>
      <c r="N2195">
        <v>405</v>
      </c>
      <c r="O2195">
        <f t="shared" si="68"/>
        <v>2025</v>
      </c>
      <c r="P2195">
        <f t="shared" si="69"/>
        <v>5</v>
      </c>
      <c r="Q2195" t="s">
        <v>570</v>
      </c>
      <c r="R2195" s="546" t="s">
        <v>804</v>
      </c>
    </row>
    <row r="2196" spans="1:18" x14ac:dyDescent="0.3">
      <c r="A2196" t="s">
        <v>627</v>
      </c>
      <c r="B2196" s="16">
        <v>45795</v>
      </c>
      <c r="C2196" t="s">
        <v>3</v>
      </c>
      <c r="D2196" t="s">
        <v>152</v>
      </c>
      <c r="E2196">
        <v>28</v>
      </c>
      <c r="F2196">
        <v>13</v>
      </c>
      <c r="G2196">
        <v>1</v>
      </c>
      <c r="H2196">
        <v>2</v>
      </c>
      <c r="I2196">
        <v>0</v>
      </c>
      <c r="J2196">
        <v>0</v>
      </c>
      <c r="K2196">
        <v>0</v>
      </c>
      <c r="L2196">
        <v>0</v>
      </c>
      <c r="M2196">
        <v>1</v>
      </c>
      <c r="N2196">
        <v>27</v>
      </c>
      <c r="O2196">
        <f t="shared" si="68"/>
        <v>2025</v>
      </c>
      <c r="P2196">
        <f t="shared" si="69"/>
        <v>5</v>
      </c>
      <c r="Q2196" t="s">
        <v>570</v>
      </c>
      <c r="R2196" s="546" t="s">
        <v>804</v>
      </c>
    </row>
    <row r="2197" spans="1:18" x14ac:dyDescent="0.3">
      <c r="A2197" t="s">
        <v>627</v>
      </c>
      <c r="B2197" s="16">
        <v>45795</v>
      </c>
      <c r="C2197" t="s">
        <v>3</v>
      </c>
      <c r="D2197" t="s">
        <v>150</v>
      </c>
      <c r="E2197">
        <v>5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5</v>
      </c>
      <c r="O2197">
        <f t="shared" si="68"/>
        <v>2025</v>
      </c>
      <c r="P2197">
        <f t="shared" si="69"/>
        <v>5</v>
      </c>
      <c r="Q2197" t="s">
        <v>570</v>
      </c>
      <c r="R2197" s="546" t="s">
        <v>804</v>
      </c>
    </row>
    <row r="2198" spans="1:18" x14ac:dyDescent="0.3">
      <c r="A2198" t="s">
        <v>627</v>
      </c>
      <c r="B2198" s="16">
        <v>45795</v>
      </c>
      <c r="C2198" t="s">
        <v>3</v>
      </c>
      <c r="D2198" t="s">
        <v>149</v>
      </c>
      <c r="E2198">
        <v>4</v>
      </c>
      <c r="F2198">
        <v>3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</v>
      </c>
      <c r="N2198">
        <v>3</v>
      </c>
      <c r="O2198">
        <f t="shared" si="68"/>
        <v>2025</v>
      </c>
      <c r="P2198">
        <f t="shared" si="69"/>
        <v>5</v>
      </c>
      <c r="Q2198" t="s">
        <v>570</v>
      </c>
      <c r="R2198" s="546" t="s">
        <v>804</v>
      </c>
    </row>
    <row r="2199" spans="1:18" x14ac:dyDescent="0.3">
      <c r="A2199" t="s">
        <v>627</v>
      </c>
      <c r="B2199" s="16">
        <v>45795</v>
      </c>
      <c r="C2199" t="s">
        <v>3</v>
      </c>
      <c r="D2199" t="s">
        <v>148</v>
      </c>
      <c r="E2199">
        <v>3</v>
      </c>
      <c r="F2199">
        <v>2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1</v>
      </c>
      <c r="N2199">
        <v>2</v>
      </c>
      <c r="O2199">
        <f t="shared" si="68"/>
        <v>2025</v>
      </c>
      <c r="P2199">
        <f t="shared" si="69"/>
        <v>5</v>
      </c>
      <c r="Q2199" t="s">
        <v>570</v>
      </c>
      <c r="R2199" s="546" t="s">
        <v>804</v>
      </c>
    </row>
    <row r="2200" spans="1:18" x14ac:dyDescent="0.3">
      <c r="A2200" t="s">
        <v>627</v>
      </c>
      <c r="B2200" s="16">
        <v>45795</v>
      </c>
      <c r="C2200" t="s">
        <v>3</v>
      </c>
      <c r="D2200" t="s">
        <v>367</v>
      </c>
      <c r="E2200">
        <v>13</v>
      </c>
      <c r="F2200">
        <v>8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13</v>
      </c>
      <c r="O2200">
        <f t="shared" si="68"/>
        <v>2025</v>
      </c>
      <c r="P2200">
        <f t="shared" si="69"/>
        <v>5</v>
      </c>
      <c r="Q2200" t="s">
        <v>570</v>
      </c>
      <c r="R2200" s="546" t="s">
        <v>804</v>
      </c>
    </row>
    <row r="2201" spans="1:18" x14ac:dyDescent="0.3">
      <c r="A2201" t="s">
        <v>627</v>
      </c>
      <c r="B2201" s="16">
        <v>45795</v>
      </c>
      <c r="C2201" t="s">
        <v>3</v>
      </c>
      <c r="D2201" t="s">
        <v>251</v>
      </c>
      <c r="E2201">
        <v>231</v>
      </c>
      <c r="F2201">
        <v>108</v>
      </c>
      <c r="G2201">
        <v>23</v>
      </c>
      <c r="H2201">
        <v>2</v>
      </c>
      <c r="I2201">
        <v>27736.17</v>
      </c>
      <c r="J2201">
        <v>9</v>
      </c>
      <c r="K2201">
        <v>25086.17</v>
      </c>
      <c r="L2201">
        <v>9</v>
      </c>
      <c r="M2201">
        <v>85</v>
      </c>
      <c r="N2201">
        <v>195</v>
      </c>
      <c r="O2201">
        <f t="shared" si="68"/>
        <v>2025</v>
      </c>
      <c r="P2201">
        <f t="shared" si="69"/>
        <v>5</v>
      </c>
      <c r="Q2201" t="s">
        <v>570</v>
      </c>
      <c r="R2201" s="546" t="s">
        <v>804</v>
      </c>
    </row>
    <row r="2202" spans="1:18" x14ac:dyDescent="0.3">
      <c r="A2202" t="s">
        <v>627</v>
      </c>
      <c r="B2202" s="16">
        <v>45795</v>
      </c>
      <c r="C2202" t="s">
        <v>3</v>
      </c>
      <c r="D2202" t="s">
        <v>143</v>
      </c>
      <c r="E2202">
        <v>59</v>
      </c>
      <c r="F2202">
        <v>53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1</v>
      </c>
      <c r="N2202">
        <v>59</v>
      </c>
      <c r="O2202">
        <f t="shared" si="68"/>
        <v>2025</v>
      </c>
      <c r="P2202">
        <f t="shared" si="69"/>
        <v>5</v>
      </c>
      <c r="Q2202" t="s">
        <v>570</v>
      </c>
      <c r="R2202" s="546" t="s">
        <v>804</v>
      </c>
    </row>
    <row r="2203" spans="1:18" x14ac:dyDescent="0.3">
      <c r="A2203" t="s">
        <v>627</v>
      </c>
      <c r="B2203" s="16">
        <v>45795</v>
      </c>
      <c r="C2203" t="s">
        <v>3</v>
      </c>
      <c r="D2203" t="s">
        <v>141</v>
      </c>
      <c r="E2203">
        <v>493</v>
      </c>
      <c r="F2203">
        <v>237</v>
      </c>
      <c r="G2203">
        <v>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2</v>
      </c>
      <c r="N2203">
        <v>491</v>
      </c>
      <c r="O2203">
        <f t="shared" si="68"/>
        <v>2025</v>
      </c>
      <c r="P2203">
        <f t="shared" si="69"/>
        <v>5</v>
      </c>
      <c r="Q2203" t="s">
        <v>570</v>
      </c>
      <c r="R2203" s="546" t="s">
        <v>804</v>
      </c>
    </row>
    <row r="2204" spans="1:18" x14ac:dyDescent="0.3">
      <c r="A2204" t="s">
        <v>627</v>
      </c>
      <c r="B2204" s="16">
        <v>45795</v>
      </c>
      <c r="C2204" t="s">
        <v>3</v>
      </c>
      <c r="D2204" t="s">
        <v>140</v>
      </c>
      <c r="E2204">
        <v>9</v>
      </c>
      <c r="F2204">
        <v>9</v>
      </c>
      <c r="G2204">
        <v>2</v>
      </c>
      <c r="H2204">
        <v>1</v>
      </c>
      <c r="I2204">
        <v>1472</v>
      </c>
      <c r="J2204">
        <v>1</v>
      </c>
      <c r="K2204">
        <v>1472</v>
      </c>
      <c r="L2204">
        <v>1</v>
      </c>
      <c r="M2204">
        <v>0</v>
      </c>
      <c r="N2204">
        <v>8</v>
      </c>
      <c r="O2204">
        <f t="shared" si="68"/>
        <v>2025</v>
      </c>
      <c r="P2204">
        <f t="shared" si="69"/>
        <v>5</v>
      </c>
      <c r="Q2204" t="s">
        <v>570</v>
      </c>
      <c r="R2204" s="546" t="s">
        <v>804</v>
      </c>
    </row>
    <row r="2205" spans="1:18" x14ac:dyDescent="0.3">
      <c r="A2205" t="s">
        <v>627</v>
      </c>
      <c r="B2205" s="16">
        <v>45795</v>
      </c>
      <c r="C2205" t="s">
        <v>3</v>
      </c>
      <c r="D2205" t="s">
        <v>139</v>
      </c>
      <c r="E2205">
        <v>638</v>
      </c>
      <c r="F2205">
        <v>352</v>
      </c>
      <c r="G2205">
        <v>57</v>
      </c>
      <c r="H2205">
        <v>8</v>
      </c>
      <c r="I2205">
        <v>109203.57</v>
      </c>
      <c r="J2205">
        <v>27</v>
      </c>
      <c r="K2205">
        <v>91378.57</v>
      </c>
      <c r="L2205">
        <v>25</v>
      </c>
      <c r="M2205">
        <v>300</v>
      </c>
      <c r="N2205">
        <v>498</v>
      </c>
      <c r="O2205">
        <f t="shared" si="68"/>
        <v>2025</v>
      </c>
      <c r="P2205">
        <f t="shared" si="69"/>
        <v>5</v>
      </c>
      <c r="Q2205" t="s">
        <v>570</v>
      </c>
      <c r="R2205" s="546" t="s">
        <v>804</v>
      </c>
    </row>
    <row r="2206" spans="1:18" x14ac:dyDescent="0.3">
      <c r="A2206" t="s">
        <v>627</v>
      </c>
      <c r="B2206" s="16">
        <v>45795</v>
      </c>
      <c r="C2206" t="s">
        <v>3</v>
      </c>
      <c r="D2206" t="s">
        <v>138</v>
      </c>
      <c r="E2206">
        <v>16</v>
      </c>
      <c r="F2206">
        <v>11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2</v>
      </c>
      <c r="N2206">
        <v>15</v>
      </c>
      <c r="O2206">
        <f t="shared" si="68"/>
        <v>2025</v>
      </c>
      <c r="P2206">
        <f t="shared" si="69"/>
        <v>5</v>
      </c>
      <c r="Q2206" t="s">
        <v>570</v>
      </c>
      <c r="R2206" s="546" t="s">
        <v>804</v>
      </c>
    </row>
    <row r="2207" spans="1:18" x14ac:dyDescent="0.3">
      <c r="A2207" t="s">
        <v>627</v>
      </c>
      <c r="B2207" s="16">
        <v>45795</v>
      </c>
      <c r="C2207" t="s">
        <v>3</v>
      </c>
      <c r="D2207" t="s">
        <v>135</v>
      </c>
      <c r="E2207">
        <v>15</v>
      </c>
      <c r="F2207">
        <v>5</v>
      </c>
      <c r="G2207">
        <v>2</v>
      </c>
      <c r="H2207">
        <v>0</v>
      </c>
      <c r="I2207">
        <v>9165</v>
      </c>
      <c r="J2207">
        <v>3</v>
      </c>
      <c r="K2207">
        <v>6915</v>
      </c>
      <c r="L2207">
        <v>2</v>
      </c>
      <c r="M2207">
        <v>2</v>
      </c>
      <c r="N2207">
        <v>12</v>
      </c>
      <c r="O2207">
        <f t="shared" si="68"/>
        <v>2025</v>
      </c>
      <c r="P2207">
        <f t="shared" si="69"/>
        <v>5</v>
      </c>
      <c r="Q2207" t="s">
        <v>570</v>
      </c>
      <c r="R2207" s="546" t="s">
        <v>804</v>
      </c>
    </row>
    <row r="2208" spans="1:18" x14ac:dyDescent="0.3">
      <c r="A2208" t="s">
        <v>627</v>
      </c>
      <c r="B2208" s="16">
        <v>45795</v>
      </c>
      <c r="C2208" t="s">
        <v>3</v>
      </c>
      <c r="D2208" t="s">
        <v>133</v>
      </c>
      <c r="E2208">
        <v>26</v>
      </c>
      <c r="F2208">
        <v>21</v>
      </c>
      <c r="G2208">
        <v>4</v>
      </c>
      <c r="H2208">
        <v>0</v>
      </c>
      <c r="I2208">
        <v>6280</v>
      </c>
      <c r="J2208">
        <v>2</v>
      </c>
      <c r="K2208">
        <v>3885</v>
      </c>
      <c r="L2208">
        <v>2</v>
      </c>
      <c r="M2208">
        <v>4</v>
      </c>
      <c r="N2208">
        <v>25</v>
      </c>
      <c r="O2208">
        <f t="shared" si="68"/>
        <v>2025</v>
      </c>
      <c r="P2208">
        <f t="shared" si="69"/>
        <v>5</v>
      </c>
      <c r="Q2208" t="s">
        <v>570</v>
      </c>
      <c r="R2208" s="546" t="s">
        <v>804</v>
      </c>
    </row>
    <row r="2209" spans="1:18" x14ac:dyDescent="0.3">
      <c r="A2209" t="s">
        <v>627</v>
      </c>
      <c r="B2209" s="16">
        <v>45795</v>
      </c>
      <c r="C2209" t="s">
        <v>3</v>
      </c>
      <c r="D2209" t="s">
        <v>130</v>
      </c>
      <c r="E2209">
        <v>142</v>
      </c>
      <c r="F2209">
        <v>51</v>
      </c>
      <c r="G2209">
        <v>11</v>
      </c>
      <c r="H2209">
        <v>2</v>
      </c>
      <c r="I2209">
        <v>33607</v>
      </c>
      <c r="J2209">
        <v>11</v>
      </c>
      <c r="K2209">
        <v>24827</v>
      </c>
      <c r="L2209">
        <v>8</v>
      </c>
      <c r="M2209">
        <v>58</v>
      </c>
      <c r="N2209">
        <v>126</v>
      </c>
      <c r="O2209">
        <f t="shared" si="68"/>
        <v>2025</v>
      </c>
      <c r="P2209">
        <f t="shared" si="69"/>
        <v>5</v>
      </c>
      <c r="Q2209" t="s">
        <v>570</v>
      </c>
      <c r="R2209" s="546" t="s">
        <v>804</v>
      </c>
    </row>
    <row r="2210" spans="1:18" x14ac:dyDescent="0.3">
      <c r="A2210" t="s">
        <v>627</v>
      </c>
      <c r="B2210" s="16">
        <v>45795</v>
      </c>
      <c r="C2210" t="s">
        <v>3</v>
      </c>
      <c r="D2210" t="s">
        <v>128</v>
      </c>
      <c r="E2210">
        <v>979</v>
      </c>
      <c r="F2210">
        <v>751</v>
      </c>
      <c r="G2210">
        <v>43</v>
      </c>
      <c r="H2210">
        <v>11</v>
      </c>
      <c r="I2210">
        <v>38338</v>
      </c>
      <c r="J2210">
        <v>15</v>
      </c>
      <c r="K2210">
        <v>29598</v>
      </c>
      <c r="L2210">
        <v>13</v>
      </c>
      <c r="M2210">
        <v>436</v>
      </c>
      <c r="N2210">
        <v>740</v>
      </c>
      <c r="O2210">
        <f t="shared" si="68"/>
        <v>2025</v>
      </c>
      <c r="P2210">
        <f t="shared" si="69"/>
        <v>5</v>
      </c>
      <c r="Q2210" t="s">
        <v>570</v>
      </c>
      <c r="R2210" s="546" t="s">
        <v>804</v>
      </c>
    </row>
    <row r="2211" spans="1:18" x14ac:dyDescent="0.3">
      <c r="A2211" t="s">
        <v>627</v>
      </c>
      <c r="B2211" s="16">
        <v>45795</v>
      </c>
      <c r="C2211" t="s">
        <v>3</v>
      </c>
      <c r="D2211" t="s">
        <v>127</v>
      </c>
      <c r="E2211">
        <v>5484</v>
      </c>
      <c r="F2211">
        <v>3946</v>
      </c>
      <c r="G2211">
        <v>90</v>
      </c>
      <c r="H2211">
        <v>52</v>
      </c>
      <c r="I2211">
        <v>35563.160000000003</v>
      </c>
      <c r="J2211">
        <v>11</v>
      </c>
      <c r="K2211">
        <v>33883.160000000003</v>
      </c>
      <c r="L2211">
        <v>10</v>
      </c>
      <c r="M2211">
        <v>433</v>
      </c>
      <c r="N2211">
        <v>5343</v>
      </c>
      <c r="O2211">
        <f t="shared" si="68"/>
        <v>2025</v>
      </c>
      <c r="P2211">
        <f t="shared" si="69"/>
        <v>5</v>
      </c>
      <c r="Q2211" t="s">
        <v>570</v>
      </c>
      <c r="R2211" s="546" t="s">
        <v>804</v>
      </c>
    </row>
    <row r="2212" spans="1:18" x14ac:dyDescent="0.3">
      <c r="A2212" t="s">
        <v>627</v>
      </c>
      <c r="B2212" s="16">
        <v>45795</v>
      </c>
      <c r="C2212" t="s">
        <v>3</v>
      </c>
      <c r="D2212" t="s">
        <v>126</v>
      </c>
      <c r="E2212">
        <v>65</v>
      </c>
      <c r="F2212">
        <v>46</v>
      </c>
      <c r="G2212">
        <v>4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12</v>
      </c>
      <c r="N2212">
        <v>63</v>
      </c>
      <c r="O2212">
        <f t="shared" si="68"/>
        <v>2025</v>
      </c>
      <c r="P2212">
        <f t="shared" si="69"/>
        <v>5</v>
      </c>
      <c r="Q2212" t="s">
        <v>570</v>
      </c>
      <c r="R2212" s="546" t="s">
        <v>804</v>
      </c>
    </row>
    <row r="2213" spans="1:18" x14ac:dyDescent="0.3">
      <c r="A2213" t="s">
        <v>627</v>
      </c>
      <c r="B2213" s="16">
        <v>45795</v>
      </c>
      <c r="C2213" t="s">
        <v>3</v>
      </c>
      <c r="D2213" t="s">
        <v>125</v>
      </c>
      <c r="E2213">
        <v>3</v>
      </c>
      <c r="F2213">
        <v>2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1</v>
      </c>
      <c r="N2213">
        <v>3</v>
      </c>
      <c r="O2213">
        <f t="shared" si="68"/>
        <v>2025</v>
      </c>
      <c r="P2213">
        <f t="shared" si="69"/>
        <v>5</v>
      </c>
      <c r="Q2213" t="s">
        <v>570</v>
      </c>
      <c r="R2213" s="546" t="s">
        <v>804</v>
      </c>
    </row>
    <row r="2214" spans="1:18" x14ac:dyDescent="0.3">
      <c r="A2214" t="s">
        <v>627</v>
      </c>
      <c r="B2214" s="16">
        <v>45795</v>
      </c>
      <c r="C2214" t="s">
        <v>3</v>
      </c>
      <c r="D2214" t="s">
        <v>123</v>
      </c>
      <c r="E2214">
        <v>302</v>
      </c>
      <c r="F2214">
        <v>153</v>
      </c>
      <c r="G2214">
        <v>14</v>
      </c>
      <c r="H2214">
        <v>11</v>
      </c>
      <c r="I2214">
        <v>8400</v>
      </c>
      <c r="J2214">
        <v>2</v>
      </c>
      <c r="K2214">
        <v>6910</v>
      </c>
      <c r="L2214">
        <v>1</v>
      </c>
      <c r="M2214">
        <v>101</v>
      </c>
      <c r="N2214">
        <v>276</v>
      </c>
      <c r="O2214">
        <f t="shared" si="68"/>
        <v>2025</v>
      </c>
      <c r="P2214">
        <f t="shared" si="69"/>
        <v>5</v>
      </c>
      <c r="Q2214" t="s">
        <v>570</v>
      </c>
      <c r="R2214" s="546" t="s">
        <v>804</v>
      </c>
    </row>
    <row r="2215" spans="1:18" x14ac:dyDescent="0.3">
      <c r="A2215" t="s">
        <v>627</v>
      </c>
      <c r="B2215" s="16">
        <v>45795</v>
      </c>
      <c r="C2215" t="s">
        <v>3</v>
      </c>
      <c r="D2215" t="s">
        <v>122</v>
      </c>
      <c r="E2215">
        <v>1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1</v>
      </c>
      <c r="O2215">
        <f t="shared" si="68"/>
        <v>2025</v>
      </c>
      <c r="P2215">
        <f t="shared" si="69"/>
        <v>5</v>
      </c>
      <c r="Q2215" t="s">
        <v>570</v>
      </c>
      <c r="R2215" s="546" t="s">
        <v>804</v>
      </c>
    </row>
    <row r="2216" spans="1:18" x14ac:dyDescent="0.3">
      <c r="A2216" t="s">
        <v>627</v>
      </c>
      <c r="B2216" s="16">
        <v>45795</v>
      </c>
      <c r="C2216" t="s">
        <v>3</v>
      </c>
      <c r="D2216" t="s">
        <v>119</v>
      </c>
      <c r="E2216">
        <v>315</v>
      </c>
      <c r="F2216">
        <v>70</v>
      </c>
      <c r="G2216">
        <v>29</v>
      </c>
      <c r="H2216">
        <v>5</v>
      </c>
      <c r="I2216">
        <v>84963</v>
      </c>
      <c r="J2216">
        <v>27</v>
      </c>
      <c r="K2216">
        <v>62970</v>
      </c>
      <c r="L2216">
        <v>20</v>
      </c>
      <c r="M2216">
        <v>76</v>
      </c>
      <c r="N2216">
        <v>302</v>
      </c>
      <c r="O2216">
        <f t="shared" si="68"/>
        <v>2025</v>
      </c>
      <c r="P2216">
        <f t="shared" si="69"/>
        <v>5</v>
      </c>
      <c r="Q2216" t="s">
        <v>570</v>
      </c>
      <c r="R2216" s="546" t="s">
        <v>804</v>
      </c>
    </row>
    <row r="2217" spans="1:18" x14ac:dyDescent="0.3">
      <c r="A2217" t="s">
        <v>627</v>
      </c>
      <c r="B2217" s="16">
        <v>45795</v>
      </c>
      <c r="C2217" t="s">
        <v>3</v>
      </c>
      <c r="D2217" t="s">
        <v>252</v>
      </c>
      <c r="E2217">
        <v>12</v>
      </c>
      <c r="F2217">
        <v>11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</v>
      </c>
      <c r="N2217">
        <v>12</v>
      </c>
      <c r="O2217">
        <f t="shared" si="68"/>
        <v>2025</v>
      </c>
      <c r="P2217">
        <f t="shared" si="69"/>
        <v>5</v>
      </c>
      <c r="Q2217" t="s">
        <v>570</v>
      </c>
      <c r="R2217" s="546" t="s">
        <v>804</v>
      </c>
    </row>
    <row r="2218" spans="1:18" x14ac:dyDescent="0.3">
      <c r="A2218" t="s">
        <v>627</v>
      </c>
      <c r="B2218" s="16">
        <v>45795</v>
      </c>
      <c r="C2218" t="s">
        <v>3</v>
      </c>
      <c r="D2218" t="s">
        <v>391</v>
      </c>
      <c r="E2218">
        <v>502</v>
      </c>
      <c r="F2218">
        <v>276</v>
      </c>
      <c r="G2218">
        <v>27</v>
      </c>
      <c r="H2218">
        <v>1</v>
      </c>
      <c r="I2218">
        <v>35170</v>
      </c>
      <c r="J2218">
        <v>7</v>
      </c>
      <c r="K2218">
        <v>30245</v>
      </c>
      <c r="L2218">
        <v>6</v>
      </c>
      <c r="M2218">
        <v>73</v>
      </c>
      <c r="N2218">
        <v>494</v>
      </c>
      <c r="O2218">
        <f t="shared" si="68"/>
        <v>2025</v>
      </c>
      <c r="P2218">
        <f t="shared" si="69"/>
        <v>5</v>
      </c>
      <c r="Q2218" t="s">
        <v>570</v>
      </c>
      <c r="R2218" s="546" t="s">
        <v>804</v>
      </c>
    </row>
    <row r="2219" spans="1:18" x14ac:dyDescent="0.3">
      <c r="A2219" t="s">
        <v>627</v>
      </c>
      <c r="B2219" s="16">
        <v>45795</v>
      </c>
      <c r="C2219" t="s">
        <v>3</v>
      </c>
      <c r="D2219" t="s">
        <v>114</v>
      </c>
      <c r="E2219">
        <v>129</v>
      </c>
      <c r="F2219">
        <v>58</v>
      </c>
      <c r="G2219">
        <v>7</v>
      </c>
      <c r="H2219">
        <v>3</v>
      </c>
      <c r="I2219">
        <v>0</v>
      </c>
      <c r="J2219">
        <v>0</v>
      </c>
      <c r="K2219">
        <v>0</v>
      </c>
      <c r="L2219">
        <v>0</v>
      </c>
      <c r="M2219">
        <v>10</v>
      </c>
      <c r="N2219">
        <v>127</v>
      </c>
      <c r="O2219">
        <f t="shared" si="68"/>
        <v>2025</v>
      </c>
      <c r="P2219">
        <f t="shared" si="69"/>
        <v>5</v>
      </c>
      <c r="Q2219" t="s">
        <v>570</v>
      </c>
      <c r="R2219" s="546" t="s">
        <v>804</v>
      </c>
    </row>
    <row r="2220" spans="1:18" x14ac:dyDescent="0.3">
      <c r="A2220" t="s">
        <v>627</v>
      </c>
      <c r="B2220" s="16">
        <v>45795</v>
      </c>
      <c r="C2220" t="s">
        <v>3</v>
      </c>
      <c r="D2220" t="s">
        <v>113</v>
      </c>
      <c r="E2220">
        <v>100</v>
      </c>
      <c r="F2220">
        <v>56</v>
      </c>
      <c r="G2220">
        <v>4</v>
      </c>
      <c r="H2220">
        <v>2</v>
      </c>
      <c r="I2220">
        <v>0</v>
      </c>
      <c r="J2220">
        <v>0</v>
      </c>
      <c r="K2220">
        <v>0</v>
      </c>
      <c r="L2220">
        <v>0</v>
      </c>
      <c r="M2220">
        <v>76</v>
      </c>
      <c r="N2220">
        <v>57</v>
      </c>
      <c r="O2220">
        <f t="shared" si="68"/>
        <v>2025</v>
      </c>
      <c r="P2220">
        <f t="shared" si="69"/>
        <v>5</v>
      </c>
      <c r="Q2220" t="s">
        <v>570</v>
      </c>
      <c r="R2220" s="546" t="s">
        <v>804</v>
      </c>
    </row>
    <row r="2221" spans="1:18" x14ac:dyDescent="0.3">
      <c r="A2221" t="s">
        <v>627</v>
      </c>
      <c r="B2221" s="16">
        <v>45795</v>
      </c>
      <c r="C2221" t="s">
        <v>3</v>
      </c>
      <c r="D2221" t="s">
        <v>112</v>
      </c>
      <c r="E2221">
        <v>33</v>
      </c>
      <c r="F2221">
        <v>9</v>
      </c>
      <c r="G2221">
        <v>0</v>
      </c>
      <c r="H2221">
        <v>0</v>
      </c>
      <c r="I2221">
        <v>10093</v>
      </c>
      <c r="J2221">
        <v>3</v>
      </c>
      <c r="K2221">
        <v>10093</v>
      </c>
      <c r="L2221">
        <v>3</v>
      </c>
      <c r="M2221">
        <v>0</v>
      </c>
      <c r="N2221">
        <v>33</v>
      </c>
      <c r="O2221">
        <f t="shared" si="68"/>
        <v>2025</v>
      </c>
      <c r="P2221">
        <f t="shared" si="69"/>
        <v>5</v>
      </c>
      <c r="Q2221" t="s">
        <v>570</v>
      </c>
      <c r="R2221" s="546" t="s">
        <v>804</v>
      </c>
    </row>
    <row r="2222" spans="1:18" x14ac:dyDescent="0.3">
      <c r="A2222" t="s">
        <v>627</v>
      </c>
      <c r="B2222" s="16">
        <v>45795</v>
      </c>
      <c r="C2222" t="s">
        <v>3</v>
      </c>
      <c r="D2222" t="s">
        <v>111</v>
      </c>
      <c r="E2222">
        <v>4</v>
      </c>
      <c r="F2222">
        <v>2</v>
      </c>
      <c r="G2222">
        <v>0</v>
      </c>
      <c r="H2222">
        <v>0</v>
      </c>
      <c r="I2222">
        <v>1490</v>
      </c>
      <c r="J2222">
        <v>1</v>
      </c>
      <c r="K2222">
        <v>1490</v>
      </c>
      <c r="L2222">
        <v>1</v>
      </c>
      <c r="M2222">
        <v>1</v>
      </c>
      <c r="N2222">
        <v>4</v>
      </c>
      <c r="O2222">
        <f t="shared" si="68"/>
        <v>2025</v>
      </c>
      <c r="P2222">
        <f t="shared" si="69"/>
        <v>5</v>
      </c>
      <c r="Q2222" t="s">
        <v>570</v>
      </c>
      <c r="R2222" s="546" t="s">
        <v>804</v>
      </c>
    </row>
    <row r="2223" spans="1:18" x14ac:dyDescent="0.3">
      <c r="A2223" t="s">
        <v>627</v>
      </c>
      <c r="B2223" s="16">
        <v>45794</v>
      </c>
      <c r="C2223" t="s">
        <v>2</v>
      </c>
      <c r="D2223" t="s">
        <v>4</v>
      </c>
      <c r="E2223">
        <v>386</v>
      </c>
      <c r="F2223">
        <v>162</v>
      </c>
      <c r="G2223">
        <v>4</v>
      </c>
      <c r="H2223">
        <v>0</v>
      </c>
      <c r="I2223">
        <v>37540</v>
      </c>
      <c r="J2223">
        <v>3</v>
      </c>
      <c r="K2223">
        <v>37540</v>
      </c>
      <c r="L2223">
        <v>3</v>
      </c>
      <c r="M2223">
        <v>3</v>
      </c>
      <c r="N2223">
        <v>385</v>
      </c>
      <c r="O2223">
        <f t="shared" ref="O2223:O2286" si="70">YEAR(B2223)</f>
        <v>2025</v>
      </c>
      <c r="P2223">
        <f t="shared" ref="P2223:P2286" si="71">MONTH(B2223)</f>
        <v>5</v>
      </c>
      <c r="Q2223" t="s">
        <v>570</v>
      </c>
      <c r="R2223" s="546" t="s">
        <v>804</v>
      </c>
    </row>
    <row r="2224" spans="1:18" x14ac:dyDescent="0.3">
      <c r="A2224" t="s">
        <v>627</v>
      </c>
      <c r="B2224" s="16">
        <v>45794</v>
      </c>
      <c r="C2224" t="s">
        <v>2</v>
      </c>
      <c r="D2224" t="s">
        <v>57</v>
      </c>
      <c r="E2224">
        <v>25598</v>
      </c>
      <c r="F2224">
        <v>19157</v>
      </c>
      <c r="G2224">
        <v>492</v>
      </c>
      <c r="H2224">
        <v>342</v>
      </c>
      <c r="I2224">
        <v>445473</v>
      </c>
      <c r="J2224">
        <v>105</v>
      </c>
      <c r="K2224">
        <v>291535</v>
      </c>
      <c r="L2224">
        <v>81</v>
      </c>
      <c r="M2224">
        <v>1560</v>
      </c>
      <c r="N2224">
        <v>25296</v>
      </c>
      <c r="O2224">
        <f t="shared" si="70"/>
        <v>2025</v>
      </c>
      <c r="P2224">
        <f t="shared" si="71"/>
        <v>5</v>
      </c>
      <c r="Q2224" t="s">
        <v>570</v>
      </c>
      <c r="R2224" s="546" t="s">
        <v>804</v>
      </c>
    </row>
    <row r="2225" spans="1:18" x14ac:dyDescent="0.3">
      <c r="A2225" t="s">
        <v>627</v>
      </c>
      <c r="B2225" s="16">
        <v>45794</v>
      </c>
      <c r="C2225" t="s">
        <v>2</v>
      </c>
      <c r="D2225" t="s">
        <v>52</v>
      </c>
      <c r="E2225">
        <v>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1</v>
      </c>
      <c r="N2225">
        <v>1</v>
      </c>
      <c r="O2225">
        <f t="shared" si="70"/>
        <v>2025</v>
      </c>
      <c r="P2225">
        <f t="shared" si="71"/>
        <v>5</v>
      </c>
      <c r="Q2225" t="s">
        <v>570</v>
      </c>
      <c r="R2225" s="546" t="s">
        <v>804</v>
      </c>
    </row>
    <row r="2226" spans="1:18" x14ac:dyDescent="0.3">
      <c r="A2226" t="s">
        <v>627</v>
      </c>
      <c r="B2226" s="16">
        <v>45794</v>
      </c>
      <c r="C2226" t="s">
        <v>2</v>
      </c>
      <c r="D2226" t="s">
        <v>55</v>
      </c>
      <c r="E2226">
        <v>7</v>
      </c>
      <c r="F2226">
        <v>3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2</v>
      </c>
      <c r="O2226">
        <f t="shared" si="70"/>
        <v>2025</v>
      </c>
      <c r="P2226">
        <f t="shared" si="71"/>
        <v>5</v>
      </c>
      <c r="Q2226" t="s">
        <v>570</v>
      </c>
      <c r="R2226" s="546" t="s">
        <v>804</v>
      </c>
    </row>
    <row r="2227" spans="1:18" x14ac:dyDescent="0.3">
      <c r="A2227" t="s">
        <v>627</v>
      </c>
      <c r="B2227" s="16">
        <v>45794</v>
      </c>
      <c r="C2227" t="s">
        <v>3</v>
      </c>
      <c r="D2227" t="s">
        <v>155</v>
      </c>
      <c r="E2227">
        <v>2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1</v>
      </c>
      <c r="N2227">
        <v>2</v>
      </c>
      <c r="O2227">
        <f t="shared" si="70"/>
        <v>2025</v>
      </c>
      <c r="P2227">
        <f t="shared" si="71"/>
        <v>5</v>
      </c>
      <c r="Q2227" t="s">
        <v>570</v>
      </c>
      <c r="R2227" s="546" t="s">
        <v>804</v>
      </c>
    </row>
    <row r="2228" spans="1:18" x14ac:dyDescent="0.3">
      <c r="A2228" t="s">
        <v>627</v>
      </c>
      <c r="B2228" s="16">
        <v>45794</v>
      </c>
      <c r="C2228" t="s">
        <v>3</v>
      </c>
      <c r="D2228" t="s">
        <v>153</v>
      </c>
      <c r="E2228">
        <v>442</v>
      </c>
      <c r="F2228">
        <v>124</v>
      </c>
      <c r="G2228">
        <v>84</v>
      </c>
      <c r="H2228">
        <v>2</v>
      </c>
      <c r="I2228">
        <v>221748.6</v>
      </c>
      <c r="J2228">
        <v>66</v>
      </c>
      <c r="K2228">
        <v>213061.6</v>
      </c>
      <c r="L2228">
        <v>66</v>
      </c>
      <c r="M2228">
        <v>130</v>
      </c>
      <c r="N2228">
        <v>422</v>
      </c>
      <c r="O2228">
        <f t="shared" si="70"/>
        <v>2025</v>
      </c>
      <c r="P2228">
        <f t="shared" si="71"/>
        <v>5</v>
      </c>
      <c r="Q2228" t="s">
        <v>570</v>
      </c>
      <c r="R2228" s="546" t="s">
        <v>804</v>
      </c>
    </row>
    <row r="2229" spans="1:18" x14ac:dyDescent="0.3">
      <c r="A2229" t="s">
        <v>627</v>
      </c>
      <c r="B2229" s="16">
        <v>45794</v>
      </c>
      <c r="C2229" t="s">
        <v>3</v>
      </c>
      <c r="D2229" t="s">
        <v>152</v>
      </c>
      <c r="E2229">
        <v>50</v>
      </c>
      <c r="F2229">
        <v>20</v>
      </c>
      <c r="G2229">
        <v>2</v>
      </c>
      <c r="H2229">
        <v>5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48</v>
      </c>
      <c r="O2229">
        <f t="shared" si="70"/>
        <v>2025</v>
      </c>
      <c r="P2229">
        <f t="shared" si="71"/>
        <v>5</v>
      </c>
      <c r="Q2229" t="s">
        <v>570</v>
      </c>
      <c r="R2229" s="546" t="s">
        <v>804</v>
      </c>
    </row>
    <row r="2230" spans="1:18" x14ac:dyDescent="0.3">
      <c r="A2230" t="s">
        <v>627</v>
      </c>
      <c r="B2230" s="16">
        <v>45794</v>
      </c>
      <c r="C2230" t="s">
        <v>3</v>
      </c>
      <c r="D2230" t="s">
        <v>150</v>
      </c>
      <c r="E2230">
        <v>13</v>
      </c>
      <c r="F2230">
        <v>6</v>
      </c>
      <c r="G2230">
        <v>0</v>
      </c>
      <c r="H2230">
        <v>0</v>
      </c>
      <c r="I2230">
        <v>3100</v>
      </c>
      <c r="J2230">
        <v>1</v>
      </c>
      <c r="K2230">
        <v>3100</v>
      </c>
      <c r="L2230">
        <v>1</v>
      </c>
      <c r="M2230">
        <v>1</v>
      </c>
      <c r="N2230">
        <v>12</v>
      </c>
      <c r="O2230">
        <f t="shared" si="70"/>
        <v>2025</v>
      </c>
      <c r="P2230">
        <f t="shared" si="71"/>
        <v>5</v>
      </c>
      <c r="Q2230" t="s">
        <v>570</v>
      </c>
      <c r="R2230" s="546" t="s">
        <v>804</v>
      </c>
    </row>
    <row r="2231" spans="1:18" x14ac:dyDescent="0.3">
      <c r="A2231" t="s">
        <v>627</v>
      </c>
      <c r="B2231" s="16">
        <v>45794</v>
      </c>
      <c r="C2231" t="s">
        <v>3</v>
      </c>
      <c r="D2231" t="s">
        <v>149</v>
      </c>
      <c r="E2231">
        <v>5</v>
      </c>
      <c r="F2231">
        <v>4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3</v>
      </c>
      <c r="O2231">
        <f t="shared" si="70"/>
        <v>2025</v>
      </c>
      <c r="P2231">
        <f t="shared" si="71"/>
        <v>5</v>
      </c>
      <c r="Q2231" t="s">
        <v>570</v>
      </c>
      <c r="R2231" s="546" t="s">
        <v>804</v>
      </c>
    </row>
    <row r="2232" spans="1:18" x14ac:dyDescent="0.3">
      <c r="A2232" t="s">
        <v>627</v>
      </c>
      <c r="B2232" s="16">
        <v>45794</v>
      </c>
      <c r="C2232" t="s">
        <v>3</v>
      </c>
      <c r="D2232" t="s">
        <v>148</v>
      </c>
      <c r="E2232">
        <v>4</v>
      </c>
      <c r="F2232">
        <v>2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4</v>
      </c>
      <c r="N2232">
        <v>0</v>
      </c>
      <c r="O2232">
        <f t="shared" si="70"/>
        <v>2025</v>
      </c>
      <c r="P2232">
        <f t="shared" si="71"/>
        <v>5</v>
      </c>
      <c r="Q2232" t="s">
        <v>570</v>
      </c>
      <c r="R2232" s="546" t="s">
        <v>804</v>
      </c>
    </row>
    <row r="2233" spans="1:18" x14ac:dyDescent="0.3">
      <c r="A2233" t="s">
        <v>627</v>
      </c>
      <c r="B2233" s="16">
        <v>45794</v>
      </c>
      <c r="C2233" t="s">
        <v>3</v>
      </c>
      <c r="D2233" t="s">
        <v>367</v>
      </c>
      <c r="E2233">
        <v>36</v>
      </c>
      <c r="F2233">
        <v>29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36</v>
      </c>
      <c r="O2233">
        <f t="shared" si="70"/>
        <v>2025</v>
      </c>
      <c r="P2233">
        <f t="shared" si="71"/>
        <v>5</v>
      </c>
      <c r="Q2233" t="s">
        <v>570</v>
      </c>
      <c r="R2233" s="546" t="s">
        <v>804</v>
      </c>
    </row>
    <row r="2234" spans="1:18" x14ac:dyDescent="0.3">
      <c r="A2234" t="s">
        <v>627</v>
      </c>
      <c r="B2234" s="16">
        <v>45794</v>
      </c>
      <c r="C2234" t="s">
        <v>3</v>
      </c>
      <c r="D2234" t="s">
        <v>251</v>
      </c>
      <c r="E2234">
        <v>222</v>
      </c>
      <c r="F2234">
        <v>101</v>
      </c>
      <c r="G2234">
        <v>29</v>
      </c>
      <c r="H2234">
        <v>3</v>
      </c>
      <c r="I2234">
        <v>34137</v>
      </c>
      <c r="J2234">
        <v>14</v>
      </c>
      <c r="K2234">
        <v>29442</v>
      </c>
      <c r="L2234">
        <v>13</v>
      </c>
      <c r="M2234">
        <v>88</v>
      </c>
      <c r="N2234">
        <v>179</v>
      </c>
      <c r="O2234">
        <f t="shared" si="70"/>
        <v>2025</v>
      </c>
      <c r="P2234">
        <f t="shared" si="71"/>
        <v>5</v>
      </c>
      <c r="Q2234" t="s">
        <v>570</v>
      </c>
      <c r="R2234" s="546" t="s">
        <v>804</v>
      </c>
    </row>
    <row r="2235" spans="1:18" x14ac:dyDescent="0.3">
      <c r="A2235" t="s">
        <v>627</v>
      </c>
      <c r="B2235" s="16">
        <v>45794</v>
      </c>
      <c r="C2235" t="s">
        <v>3</v>
      </c>
      <c r="D2235" t="s">
        <v>143</v>
      </c>
      <c r="E2235">
        <v>64</v>
      </c>
      <c r="F2235">
        <v>59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64</v>
      </c>
      <c r="O2235">
        <f t="shared" si="70"/>
        <v>2025</v>
      </c>
      <c r="P2235">
        <f t="shared" si="71"/>
        <v>5</v>
      </c>
      <c r="Q2235" t="s">
        <v>570</v>
      </c>
      <c r="R2235" s="546" t="s">
        <v>804</v>
      </c>
    </row>
    <row r="2236" spans="1:18" x14ac:dyDescent="0.3">
      <c r="A2236" t="s">
        <v>627</v>
      </c>
      <c r="B2236" s="16">
        <v>45794</v>
      </c>
      <c r="C2236" t="s">
        <v>3</v>
      </c>
      <c r="D2236" t="s">
        <v>141</v>
      </c>
      <c r="E2236">
        <v>838</v>
      </c>
      <c r="F2236">
        <v>422</v>
      </c>
      <c r="G2236">
        <v>8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1</v>
      </c>
      <c r="N2236">
        <v>837</v>
      </c>
      <c r="O2236">
        <f t="shared" si="70"/>
        <v>2025</v>
      </c>
      <c r="P2236">
        <f t="shared" si="71"/>
        <v>5</v>
      </c>
      <c r="Q2236" t="s">
        <v>570</v>
      </c>
      <c r="R2236" s="546" t="s">
        <v>804</v>
      </c>
    </row>
    <row r="2237" spans="1:18" x14ac:dyDescent="0.3">
      <c r="A2237" t="s">
        <v>627</v>
      </c>
      <c r="B2237" s="16">
        <v>45794</v>
      </c>
      <c r="C2237" t="s">
        <v>3</v>
      </c>
      <c r="D2237" t="s">
        <v>140</v>
      </c>
      <c r="E2237">
        <v>10</v>
      </c>
      <c r="F2237">
        <v>9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9</v>
      </c>
      <c r="O2237">
        <f t="shared" si="70"/>
        <v>2025</v>
      </c>
      <c r="P2237">
        <f t="shared" si="71"/>
        <v>5</v>
      </c>
      <c r="Q2237" t="s">
        <v>570</v>
      </c>
      <c r="R2237" s="546" t="s">
        <v>804</v>
      </c>
    </row>
    <row r="2238" spans="1:18" x14ac:dyDescent="0.3">
      <c r="A2238" t="s">
        <v>627</v>
      </c>
      <c r="B2238" s="16">
        <v>45794</v>
      </c>
      <c r="C2238" t="s">
        <v>3</v>
      </c>
      <c r="D2238" t="s">
        <v>139</v>
      </c>
      <c r="E2238">
        <v>773</v>
      </c>
      <c r="F2238">
        <v>474</v>
      </c>
      <c r="G2238">
        <v>60</v>
      </c>
      <c r="H2238">
        <v>12</v>
      </c>
      <c r="I2238">
        <v>120929.89</v>
      </c>
      <c r="J2238">
        <v>35</v>
      </c>
      <c r="K2238">
        <v>98092.89</v>
      </c>
      <c r="L2238">
        <v>34</v>
      </c>
      <c r="M2238">
        <v>305</v>
      </c>
      <c r="N2238">
        <v>555</v>
      </c>
      <c r="O2238">
        <f t="shared" si="70"/>
        <v>2025</v>
      </c>
      <c r="P2238">
        <f t="shared" si="71"/>
        <v>5</v>
      </c>
      <c r="Q2238" t="s">
        <v>570</v>
      </c>
      <c r="R2238" s="546" t="s">
        <v>804</v>
      </c>
    </row>
    <row r="2239" spans="1:18" x14ac:dyDescent="0.3">
      <c r="A2239" t="s">
        <v>627</v>
      </c>
      <c r="B2239" s="16">
        <v>45794</v>
      </c>
      <c r="C2239" t="s">
        <v>3</v>
      </c>
      <c r="D2239" t="s">
        <v>138</v>
      </c>
      <c r="E2239">
        <v>18</v>
      </c>
      <c r="F2239">
        <v>6</v>
      </c>
      <c r="G2239">
        <v>0</v>
      </c>
      <c r="H2239">
        <v>2</v>
      </c>
      <c r="I2239">
        <v>0</v>
      </c>
      <c r="J2239">
        <v>0</v>
      </c>
      <c r="K2239">
        <v>0</v>
      </c>
      <c r="L2239">
        <v>0</v>
      </c>
      <c r="M2239">
        <v>2</v>
      </c>
      <c r="N2239">
        <v>18</v>
      </c>
      <c r="O2239">
        <f t="shared" si="70"/>
        <v>2025</v>
      </c>
      <c r="P2239">
        <f t="shared" si="71"/>
        <v>5</v>
      </c>
      <c r="Q2239" t="s">
        <v>570</v>
      </c>
      <c r="R2239" s="546" t="s">
        <v>804</v>
      </c>
    </row>
    <row r="2240" spans="1:18" x14ac:dyDescent="0.3">
      <c r="A2240" t="s">
        <v>627</v>
      </c>
      <c r="B2240" s="16">
        <v>45794</v>
      </c>
      <c r="C2240" t="s">
        <v>3</v>
      </c>
      <c r="D2240" t="s">
        <v>136</v>
      </c>
      <c r="E2240">
        <v>1</v>
      </c>
      <c r="F2240">
        <v>0</v>
      </c>
      <c r="G2240">
        <v>0</v>
      </c>
      <c r="H2240">
        <v>0</v>
      </c>
      <c r="I2240">
        <v>1490</v>
      </c>
      <c r="J2240">
        <v>1</v>
      </c>
      <c r="K2240">
        <v>1490</v>
      </c>
      <c r="L2240">
        <v>1</v>
      </c>
      <c r="M2240">
        <v>0</v>
      </c>
      <c r="N2240">
        <v>0</v>
      </c>
      <c r="O2240">
        <f t="shared" si="70"/>
        <v>2025</v>
      </c>
      <c r="P2240">
        <f t="shared" si="71"/>
        <v>5</v>
      </c>
      <c r="Q2240" t="s">
        <v>570</v>
      </c>
      <c r="R2240" s="546" t="s">
        <v>804</v>
      </c>
    </row>
    <row r="2241" spans="1:18" x14ac:dyDescent="0.3">
      <c r="A2241" t="s">
        <v>627</v>
      </c>
      <c r="B2241" s="16">
        <v>45794</v>
      </c>
      <c r="C2241" t="s">
        <v>3</v>
      </c>
      <c r="D2241" t="s">
        <v>135</v>
      </c>
      <c r="E2241">
        <v>12</v>
      </c>
      <c r="F2241">
        <v>6</v>
      </c>
      <c r="G2241">
        <v>2</v>
      </c>
      <c r="H2241">
        <v>0</v>
      </c>
      <c r="I2241">
        <v>6443.6</v>
      </c>
      <c r="J2241">
        <v>2</v>
      </c>
      <c r="K2241">
        <v>6443.6</v>
      </c>
      <c r="L2241">
        <v>2</v>
      </c>
      <c r="M2241">
        <v>2</v>
      </c>
      <c r="N2241">
        <v>10</v>
      </c>
      <c r="O2241">
        <f t="shared" si="70"/>
        <v>2025</v>
      </c>
      <c r="P2241">
        <f t="shared" si="71"/>
        <v>5</v>
      </c>
      <c r="Q2241" t="s">
        <v>570</v>
      </c>
      <c r="R2241" s="546" t="s">
        <v>804</v>
      </c>
    </row>
    <row r="2242" spans="1:18" x14ac:dyDescent="0.3">
      <c r="A2242" t="s">
        <v>627</v>
      </c>
      <c r="B2242" s="16">
        <v>45794</v>
      </c>
      <c r="C2242" t="s">
        <v>3</v>
      </c>
      <c r="D2242" t="s">
        <v>133</v>
      </c>
      <c r="E2242">
        <v>27</v>
      </c>
      <c r="F2242">
        <v>22</v>
      </c>
      <c r="G2242">
        <v>4</v>
      </c>
      <c r="H2242">
        <v>0</v>
      </c>
      <c r="I2242">
        <v>10333</v>
      </c>
      <c r="J2242">
        <v>4</v>
      </c>
      <c r="K2242">
        <v>8843</v>
      </c>
      <c r="L2242">
        <v>4</v>
      </c>
      <c r="M2242">
        <v>3</v>
      </c>
      <c r="N2242">
        <v>27</v>
      </c>
      <c r="O2242">
        <f t="shared" si="70"/>
        <v>2025</v>
      </c>
      <c r="P2242">
        <f t="shared" si="71"/>
        <v>5</v>
      </c>
      <c r="Q2242" t="s">
        <v>570</v>
      </c>
      <c r="R2242" s="546" t="s">
        <v>804</v>
      </c>
    </row>
    <row r="2243" spans="1:18" x14ac:dyDescent="0.3">
      <c r="A2243" t="s">
        <v>627</v>
      </c>
      <c r="B2243" s="16">
        <v>45794</v>
      </c>
      <c r="C2243" t="s">
        <v>3</v>
      </c>
      <c r="D2243" t="s">
        <v>130</v>
      </c>
      <c r="E2243">
        <v>178</v>
      </c>
      <c r="F2243">
        <v>63</v>
      </c>
      <c r="G2243">
        <v>18</v>
      </c>
      <c r="H2243">
        <v>2</v>
      </c>
      <c r="I2243">
        <v>33006.28</v>
      </c>
      <c r="J2243">
        <v>11</v>
      </c>
      <c r="K2243">
        <v>25676.28</v>
      </c>
      <c r="L2243">
        <v>11</v>
      </c>
      <c r="M2243">
        <v>66</v>
      </c>
      <c r="N2243">
        <v>152</v>
      </c>
      <c r="O2243">
        <f t="shared" si="70"/>
        <v>2025</v>
      </c>
      <c r="P2243">
        <f t="shared" si="71"/>
        <v>5</v>
      </c>
      <c r="Q2243" t="s">
        <v>570</v>
      </c>
      <c r="R2243" s="546" t="s">
        <v>804</v>
      </c>
    </row>
    <row r="2244" spans="1:18" x14ac:dyDescent="0.3">
      <c r="A2244" t="s">
        <v>627</v>
      </c>
      <c r="B2244" s="16">
        <v>45794</v>
      </c>
      <c r="C2244" t="s">
        <v>3</v>
      </c>
      <c r="D2244" t="s">
        <v>128</v>
      </c>
      <c r="E2244">
        <v>911</v>
      </c>
      <c r="F2244">
        <v>712</v>
      </c>
      <c r="G2244">
        <v>50</v>
      </c>
      <c r="H2244">
        <v>10</v>
      </c>
      <c r="I2244">
        <v>41383</v>
      </c>
      <c r="J2244">
        <v>12</v>
      </c>
      <c r="K2244">
        <v>29703</v>
      </c>
      <c r="L2244">
        <v>11</v>
      </c>
      <c r="M2244">
        <v>412</v>
      </c>
      <c r="N2244">
        <v>665</v>
      </c>
      <c r="O2244">
        <f t="shared" si="70"/>
        <v>2025</v>
      </c>
      <c r="P2244">
        <f t="shared" si="71"/>
        <v>5</v>
      </c>
      <c r="Q2244" t="s">
        <v>570</v>
      </c>
      <c r="R2244" s="546" t="s">
        <v>804</v>
      </c>
    </row>
    <row r="2245" spans="1:18" x14ac:dyDescent="0.3">
      <c r="A2245" t="s">
        <v>627</v>
      </c>
      <c r="B2245" s="16">
        <v>45794</v>
      </c>
      <c r="C2245" t="s">
        <v>3</v>
      </c>
      <c r="D2245" t="s">
        <v>127</v>
      </c>
      <c r="E2245">
        <v>3284</v>
      </c>
      <c r="F2245">
        <v>2592</v>
      </c>
      <c r="G2245">
        <v>46</v>
      </c>
      <c r="H2245">
        <v>14</v>
      </c>
      <c r="I2245">
        <v>19910</v>
      </c>
      <c r="J2245">
        <v>9</v>
      </c>
      <c r="K2245">
        <v>19910</v>
      </c>
      <c r="L2245">
        <v>9</v>
      </c>
      <c r="M2245">
        <v>167</v>
      </c>
      <c r="N2245">
        <v>1707</v>
      </c>
      <c r="O2245">
        <f t="shared" si="70"/>
        <v>2025</v>
      </c>
      <c r="P2245">
        <f t="shared" si="71"/>
        <v>5</v>
      </c>
      <c r="Q2245" t="s">
        <v>570</v>
      </c>
      <c r="R2245" s="546" t="s">
        <v>804</v>
      </c>
    </row>
    <row r="2246" spans="1:18" x14ac:dyDescent="0.3">
      <c r="A2246" t="s">
        <v>627</v>
      </c>
      <c r="B2246" s="16">
        <v>45794</v>
      </c>
      <c r="C2246" t="s">
        <v>3</v>
      </c>
      <c r="D2246" t="s">
        <v>126</v>
      </c>
      <c r="E2246">
        <v>118</v>
      </c>
      <c r="F2246">
        <v>94</v>
      </c>
      <c r="G2246">
        <v>6</v>
      </c>
      <c r="H2246">
        <v>3</v>
      </c>
      <c r="I2246">
        <v>7783</v>
      </c>
      <c r="J2246">
        <v>2</v>
      </c>
      <c r="K2246">
        <v>3088</v>
      </c>
      <c r="L2246">
        <v>1</v>
      </c>
      <c r="M2246">
        <v>19</v>
      </c>
      <c r="N2246">
        <v>114</v>
      </c>
      <c r="O2246">
        <f t="shared" si="70"/>
        <v>2025</v>
      </c>
      <c r="P2246">
        <f t="shared" si="71"/>
        <v>5</v>
      </c>
      <c r="Q2246" t="s">
        <v>570</v>
      </c>
      <c r="R2246" s="546" t="s">
        <v>804</v>
      </c>
    </row>
    <row r="2247" spans="1:18" x14ac:dyDescent="0.3">
      <c r="A2247" t="s">
        <v>627</v>
      </c>
      <c r="B2247" s="16">
        <v>45794</v>
      </c>
      <c r="C2247" t="s">
        <v>3</v>
      </c>
      <c r="D2247" t="s">
        <v>125</v>
      </c>
      <c r="E2247">
        <v>1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1</v>
      </c>
      <c r="O2247">
        <f t="shared" si="70"/>
        <v>2025</v>
      </c>
      <c r="P2247">
        <f t="shared" si="71"/>
        <v>5</v>
      </c>
      <c r="Q2247" t="s">
        <v>570</v>
      </c>
      <c r="R2247" s="546" t="s">
        <v>804</v>
      </c>
    </row>
    <row r="2248" spans="1:18" x14ac:dyDescent="0.3">
      <c r="A2248" t="s">
        <v>627</v>
      </c>
      <c r="B2248" s="16">
        <v>45794</v>
      </c>
      <c r="C2248" t="s">
        <v>3</v>
      </c>
      <c r="D2248" t="s">
        <v>123</v>
      </c>
      <c r="E2248">
        <v>245</v>
      </c>
      <c r="F2248">
        <v>111</v>
      </c>
      <c r="G2248">
        <v>24</v>
      </c>
      <c r="H2248">
        <v>4</v>
      </c>
      <c r="I2248">
        <v>13185</v>
      </c>
      <c r="J2248">
        <v>7</v>
      </c>
      <c r="K2248">
        <v>13185</v>
      </c>
      <c r="L2248">
        <v>7</v>
      </c>
      <c r="M2248">
        <v>83</v>
      </c>
      <c r="N2248">
        <v>211</v>
      </c>
      <c r="O2248">
        <f t="shared" si="70"/>
        <v>2025</v>
      </c>
      <c r="P2248">
        <f t="shared" si="71"/>
        <v>5</v>
      </c>
      <c r="Q2248" t="s">
        <v>570</v>
      </c>
      <c r="R2248" s="546" t="s">
        <v>804</v>
      </c>
    </row>
    <row r="2249" spans="1:18" x14ac:dyDescent="0.3">
      <c r="A2249" t="s">
        <v>627</v>
      </c>
      <c r="B2249" s="16">
        <v>45794</v>
      </c>
      <c r="C2249" t="s">
        <v>3</v>
      </c>
      <c r="D2249" t="s">
        <v>122</v>
      </c>
      <c r="E2249">
        <v>1</v>
      </c>
      <c r="F2249">
        <v>1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1</v>
      </c>
      <c r="O2249">
        <f t="shared" si="70"/>
        <v>2025</v>
      </c>
      <c r="P2249">
        <f t="shared" si="71"/>
        <v>5</v>
      </c>
      <c r="Q2249" t="s">
        <v>570</v>
      </c>
      <c r="R2249" s="546" t="s">
        <v>804</v>
      </c>
    </row>
    <row r="2250" spans="1:18" x14ac:dyDescent="0.3">
      <c r="A2250" t="s">
        <v>627</v>
      </c>
      <c r="B2250" s="16">
        <v>45794</v>
      </c>
      <c r="C2250" t="s">
        <v>3</v>
      </c>
      <c r="D2250" t="s">
        <v>119</v>
      </c>
      <c r="E2250">
        <v>299</v>
      </c>
      <c r="F2250">
        <v>72</v>
      </c>
      <c r="G2250">
        <v>36</v>
      </c>
      <c r="H2250">
        <v>8</v>
      </c>
      <c r="I2250">
        <v>84401</v>
      </c>
      <c r="J2250">
        <v>27</v>
      </c>
      <c r="K2250">
        <v>75456</v>
      </c>
      <c r="L2250">
        <v>24</v>
      </c>
      <c r="M2250">
        <v>69</v>
      </c>
      <c r="N2250">
        <v>287</v>
      </c>
      <c r="O2250">
        <f t="shared" si="70"/>
        <v>2025</v>
      </c>
      <c r="P2250">
        <f t="shared" si="71"/>
        <v>5</v>
      </c>
      <c r="Q2250" t="s">
        <v>570</v>
      </c>
      <c r="R2250" s="546" t="s">
        <v>804</v>
      </c>
    </row>
    <row r="2251" spans="1:18" x14ac:dyDescent="0.3">
      <c r="A2251" t="s">
        <v>627</v>
      </c>
      <c r="B2251" s="16">
        <v>45794</v>
      </c>
      <c r="C2251" t="s">
        <v>3</v>
      </c>
      <c r="D2251" t="s">
        <v>252</v>
      </c>
      <c r="E2251">
        <v>5</v>
      </c>
      <c r="F2251">
        <v>5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5</v>
      </c>
      <c r="O2251">
        <f t="shared" si="70"/>
        <v>2025</v>
      </c>
      <c r="P2251">
        <f t="shared" si="71"/>
        <v>5</v>
      </c>
      <c r="Q2251" t="s">
        <v>570</v>
      </c>
      <c r="R2251" s="546" t="s">
        <v>804</v>
      </c>
    </row>
    <row r="2252" spans="1:18" x14ac:dyDescent="0.3">
      <c r="A2252" t="s">
        <v>627</v>
      </c>
      <c r="B2252" s="16">
        <v>45794</v>
      </c>
      <c r="C2252" t="s">
        <v>3</v>
      </c>
      <c r="D2252" t="s">
        <v>391</v>
      </c>
      <c r="E2252">
        <v>541</v>
      </c>
      <c r="F2252">
        <v>319</v>
      </c>
      <c r="G2252">
        <v>19</v>
      </c>
      <c r="H2252">
        <v>3</v>
      </c>
      <c r="I2252">
        <v>43192</v>
      </c>
      <c r="J2252">
        <v>8</v>
      </c>
      <c r="K2252">
        <v>43192</v>
      </c>
      <c r="L2252">
        <v>8</v>
      </c>
      <c r="M2252">
        <v>73</v>
      </c>
      <c r="N2252">
        <v>536</v>
      </c>
      <c r="O2252">
        <f t="shared" si="70"/>
        <v>2025</v>
      </c>
      <c r="P2252">
        <f t="shared" si="71"/>
        <v>5</v>
      </c>
      <c r="Q2252" t="s">
        <v>570</v>
      </c>
      <c r="R2252" s="546" t="s">
        <v>804</v>
      </c>
    </row>
    <row r="2253" spans="1:18" x14ac:dyDescent="0.3">
      <c r="A2253" t="s">
        <v>627</v>
      </c>
      <c r="B2253" s="16">
        <v>45794</v>
      </c>
      <c r="C2253" t="s">
        <v>3</v>
      </c>
      <c r="D2253" t="s">
        <v>114</v>
      </c>
      <c r="E2253">
        <v>133</v>
      </c>
      <c r="F2253">
        <v>57</v>
      </c>
      <c r="G2253">
        <v>4</v>
      </c>
      <c r="H2253">
        <v>3</v>
      </c>
      <c r="I2253">
        <v>1490</v>
      </c>
      <c r="J2253">
        <v>1</v>
      </c>
      <c r="K2253">
        <v>0</v>
      </c>
      <c r="L2253">
        <v>0</v>
      </c>
      <c r="M2253">
        <v>16</v>
      </c>
      <c r="N2253">
        <v>131</v>
      </c>
      <c r="O2253">
        <f t="shared" si="70"/>
        <v>2025</v>
      </c>
      <c r="P2253">
        <f t="shared" si="71"/>
        <v>5</v>
      </c>
      <c r="Q2253" t="s">
        <v>570</v>
      </c>
      <c r="R2253" s="546" t="s">
        <v>804</v>
      </c>
    </row>
    <row r="2254" spans="1:18" x14ac:dyDescent="0.3">
      <c r="A2254" t="s">
        <v>627</v>
      </c>
      <c r="B2254" s="16">
        <v>45794</v>
      </c>
      <c r="C2254" t="s">
        <v>3</v>
      </c>
      <c r="D2254" t="s">
        <v>113</v>
      </c>
      <c r="E2254">
        <v>121</v>
      </c>
      <c r="F2254">
        <v>65</v>
      </c>
      <c r="G2254">
        <v>6</v>
      </c>
      <c r="H2254">
        <v>1</v>
      </c>
      <c r="I2254">
        <v>8681</v>
      </c>
      <c r="J2254">
        <v>3</v>
      </c>
      <c r="K2254">
        <v>7083</v>
      </c>
      <c r="L2254">
        <v>3</v>
      </c>
      <c r="M2254">
        <v>98</v>
      </c>
      <c r="N2254">
        <v>69</v>
      </c>
      <c r="O2254">
        <f t="shared" si="70"/>
        <v>2025</v>
      </c>
      <c r="P2254">
        <f t="shared" si="71"/>
        <v>5</v>
      </c>
      <c r="Q2254" t="s">
        <v>570</v>
      </c>
      <c r="R2254" s="546" t="s">
        <v>804</v>
      </c>
    </row>
    <row r="2255" spans="1:18" x14ac:dyDescent="0.3">
      <c r="A2255" t="s">
        <v>627</v>
      </c>
      <c r="B2255" s="16">
        <v>45794</v>
      </c>
      <c r="C2255" t="s">
        <v>3</v>
      </c>
      <c r="D2255" t="s">
        <v>112</v>
      </c>
      <c r="E2255">
        <v>31</v>
      </c>
      <c r="F2255">
        <v>11</v>
      </c>
      <c r="G2255">
        <v>3</v>
      </c>
      <c r="H2255">
        <v>1</v>
      </c>
      <c r="I2255">
        <v>37360</v>
      </c>
      <c r="J2255">
        <v>7</v>
      </c>
      <c r="K2255">
        <v>33060</v>
      </c>
      <c r="L2255">
        <v>6</v>
      </c>
      <c r="M2255">
        <v>0</v>
      </c>
      <c r="N2255">
        <v>31</v>
      </c>
      <c r="O2255">
        <f t="shared" si="70"/>
        <v>2025</v>
      </c>
      <c r="P2255">
        <f t="shared" si="71"/>
        <v>5</v>
      </c>
      <c r="Q2255" t="s">
        <v>570</v>
      </c>
      <c r="R2255" s="546" t="s">
        <v>804</v>
      </c>
    </row>
    <row r="2256" spans="1:18" x14ac:dyDescent="0.3">
      <c r="A2256" t="s">
        <v>627</v>
      </c>
      <c r="B2256" s="16">
        <v>45794</v>
      </c>
      <c r="C2256" t="s">
        <v>3</v>
      </c>
      <c r="D2256" t="s">
        <v>111</v>
      </c>
      <c r="E2256">
        <v>3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</v>
      </c>
      <c r="N2256">
        <v>3</v>
      </c>
      <c r="O2256">
        <f t="shared" si="70"/>
        <v>2025</v>
      </c>
      <c r="P2256">
        <f t="shared" si="71"/>
        <v>5</v>
      </c>
      <c r="Q2256" t="s">
        <v>570</v>
      </c>
      <c r="R2256" s="546" t="s">
        <v>804</v>
      </c>
    </row>
    <row r="2257" spans="1:18" x14ac:dyDescent="0.3">
      <c r="A2257" t="s">
        <v>627</v>
      </c>
      <c r="B2257" s="16">
        <v>45793</v>
      </c>
      <c r="C2257" t="s">
        <v>2</v>
      </c>
      <c r="D2257" t="s">
        <v>4</v>
      </c>
      <c r="E2257">
        <v>335</v>
      </c>
      <c r="F2257">
        <v>128</v>
      </c>
      <c r="G2257">
        <v>9</v>
      </c>
      <c r="H2257">
        <v>3</v>
      </c>
      <c r="I2257">
        <v>40079</v>
      </c>
      <c r="J2257">
        <v>7</v>
      </c>
      <c r="K2257">
        <v>36594</v>
      </c>
      <c r="L2257">
        <v>7</v>
      </c>
      <c r="M2257">
        <v>4</v>
      </c>
      <c r="N2257">
        <v>319</v>
      </c>
      <c r="O2257">
        <f t="shared" si="70"/>
        <v>2025</v>
      </c>
      <c r="P2257">
        <f t="shared" si="71"/>
        <v>5</v>
      </c>
      <c r="Q2257" t="s">
        <v>570</v>
      </c>
      <c r="R2257" s="546" t="s">
        <v>804</v>
      </c>
    </row>
    <row r="2258" spans="1:18" x14ac:dyDescent="0.3">
      <c r="A2258" t="s">
        <v>627</v>
      </c>
      <c r="B2258" s="16">
        <v>45793</v>
      </c>
      <c r="C2258" t="s">
        <v>2</v>
      </c>
      <c r="D2258" t="s">
        <v>57</v>
      </c>
      <c r="E2258">
        <v>22110</v>
      </c>
      <c r="F2258">
        <v>16536</v>
      </c>
      <c r="G2258">
        <v>671</v>
      </c>
      <c r="H2258">
        <v>360</v>
      </c>
      <c r="I2258">
        <v>676670.89</v>
      </c>
      <c r="J2258">
        <v>156</v>
      </c>
      <c r="K2258">
        <v>500864.89</v>
      </c>
      <c r="L2258">
        <v>137</v>
      </c>
      <c r="M2258">
        <v>1605</v>
      </c>
      <c r="N2258">
        <v>21811</v>
      </c>
      <c r="O2258">
        <f t="shared" si="70"/>
        <v>2025</v>
      </c>
      <c r="P2258">
        <f t="shared" si="71"/>
        <v>5</v>
      </c>
      <c r="Q2258" t="s">
        <v>570</v>
      </c>
      <c r="R2258" s="546" t="s">
        <v>804</v>
      </c>
    </row>
    <row r="2259" spans="1:18" x14ac:dyDescent="0.3">
      <c r="A2259" t="s">
        <v>627</v>
      </c>
      <c r="B2259" s="16">
        <v>45793</v>
      </c>
      <c r="C2259" t="s">
        <v>2</v>
      </c>
      <c r="D2259" t="s">
        <v>52</v>
      </c>
      <c r="E2259">
        <v>2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1</v>
      </c>
      <c r="O2259">
        <f t="shared" si="70"/>
        <v>2025</v>
      </c>
      <c r="P2259">
        <f t="shared" si="71"/>
        <v>5</v>
      </c>
      <c r="Q2259" t="s">
        <v>570</v>
      </c>
      <c r="R2259" s="546" t="s">
        <v>804</v>
      </c>
    </row>
    <row r="2260" spans="1:18" x14ac:dyDescent="0.3">
      <c r="A2260" t="s">
        <v>627</v>
      </c>
      <c r="B2260" s="16">
        <v>45793</v>
      </c>
      <c r="C2260" t="s">
        <v>2</v>
      </c>
      <c r="D2260" t="s">
        <v>55</v>
      </c>
      <c r="E2260">
        <v>1643</v>
      </c>
      <c r="F2260">
        <v>1428</v>
      </c>
      <c r="G2260">
        <v>90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20</v>
      </c>
      <c r="N2260">
        <v>481</v>
      </c>
      <c r="O2260">
        <f t="shared" si="70"/>
        <v>2025</v>
      </c>
      <c r="P2260">
        <f t="shared" si="71"/>
        <v>5</v>
      </c>
      <c r="Q2260" t="s">
        <v>570</v>
      </c>
      <c r="R2260" s="546" t="s">
        <v>804</v>
      </c>
    </row>
    <row r="2261" spans="1:18" x14ac:dyDescent="0.3">
      <c r="A2261" t="s">
        <v>627</v>
      </c>
      <c r="B2261" s="16">
        <v>45793</v>
      </c>
      <c r="C2261" t="s">
        <v>3</v>
      </c>
      <c r="D2261" t="s">
        <v>155</v>
      </c>
      <c r="E2261">
        <v>4</v>
      </c>
      <c r="F2261">
        <v>3</v>
      </c>
      <c r="G2261">
        <v>1</v>
      </c>
      <c r="H2261">
        <v>1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4</v>
      </c>
      <c r="O2261">
        <f t="shared" si="70"/>
        <v>2025</v>
      </c>
      <c r="P2261">
        <f t="shared" si="71"/>
        <v>5</v>
      </c>
      <c r="Q2261" t="s">
        <v>570</v>
      </c>
      <c r="R2261" s="546" t="s">
        <v>804</v>
      </c>
    </row>
    <row r="2262" spans="1:18" x14ac:dyDescent="0.3">
      <c r="A2262" t="s">
        <v>627</v>
      </c>
      <c r="B2262" s="16">
        <v>45793</v>
      </c>
      <c r="C2262" t="s">
        <v>3</v>
      </c>
      <c r="D2262" t="s">
        <v>154</v>
      </c>
      <c r="E2262">
        <v>930</v>
      </c>
      <c r="F2262">
        <v>847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f t="shared" si="70"/>
        <v>2025</v>
      </c>
      <c r="P2262">
        <f t="shared" si="71"/>
        <v>5</v>
      </c>
      <c r="Q2262" t="s">
        <v>570</v>
      </c>
      <c r="R2262" s="546" t="s">
        <v>804</v>
      </c>
    </row>
    <row r="2263" spans="1:18" x14ac:dyDescent="0.3">
      <c r="A2263" t="s">
        <v>627</v>
      </c>
      <c r="B2263" s="16">
        <v>45793</v>
      </c>
      <c r="C2263" t="s">
        <v>3</v>
      </c>
      <c r="D2263" t="s">
        <v>153</v>
      </c>
      <c r="E2263">
        <v>619</v>
      </c>
      <c r="F2263">
        <v>176</v>
      </c>
      <c r="G2263">
        <v>106</v>
      </c>
      <c r="H2263">
        <v>1</v>
      </c>
      <c r="I2263">
        <v>530101.72</v>
      </c>
      <c r="J2263">
        <v>139</v>
      </c>
      <c r="K2263">
        <v>501526.72</v>
      </c>
      <c r="L2263">
        <v>138</v>
      </c>
      <c r="M2263">
        <v>189</v>
      </c>
      <c r="N2263">
        <v>601</v>
      </c>
      <c r="O2263">
        <f t="shared" si="70"/>
        <v>2025</v>
      </c>
      <c r="P2263">
        <f t="shared" si="71"/>
        <v>5</v>
      </c>
      <c r="Q2263" t="s">
        <v>570</v>
      </c>
      <c r="R2263" s="546" t="s">
        <v>804</v>
      </c>
    </row>
    <row r="2264" spans="1:18" x14ac:dyDescent="0.3">
      <c r="A2264" t="s">
        <v>627</v>
      </c>
      <c r="B2264" s="16">
        <v>45793</v>
      </c>
      <c r="C2264" t="s">
        <v>3</v>
      </c>
      <c r="D2264" t="s">
        <v>152</v>
      </c>
      <c r="E2264">
        <v>190</v>
      </c>
      <c r="F2264">
        <v>159</v>
      </c>
      <c r="G2264">
        <v>0</v>
      </c>
      <c r="H2264">
        <v>3</v>
      </c>
      <c r="I2264">
        <v>0</v>
      </c>
      <c r="J2264">
        <v>0</v>
      </c>
      <c r="K2264">
        <v>0</v>
      </c>
      <c r="L2264">
        <v>0</v>
      </c>
      <c r="M2264">
        <v>1</v>
      </c>
      <c r="N2264">
        <v>21</v>
      </c>
      <c r="O2264">
        <f t="shared" si="70"/>
        <v>2025</v>
      </c>
      <c r="P2264">
        <f t="shared" si="71"/>
        <v>5</v>
      </c>
      <c r="Q2264" t="s">
        <v>570</v>
      </c>
      <c r="R2264" s="546" t="s">
        <v>804</v>
      </c>
    </row>
    <row r="2265" spans="1:18" x14ac:dyDescent="0.3">
      <c r="A2265" t="s">
        <v>627</v>
      </c>
      <c r="B2265" s="16">
        <v>45793</v>
      </c>
      <c r="C2265" t="s">
        <v>3</v>
      </c>
      <c r="D2265" t="s">
        <v>150</v>
      </c>
      <c r="E2265">
        <v>238</v>
      </c>
      <c r="F2265">
        <v>201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1</v>
      </c>
      <c r="N2265">
        <v>4</v>
      </c>
      <c r="O2265">
        <f t="shared" si="70"/>
        <v>2025</v>
      </c>
      <c r="P2265">
        <f t="shared" si="71"/>
        <v>5</v>
      </c>
      <c r="Q2265" t="s">
        <v>570</v>
      </c>
      <c r="R2265" s="546" t="s">
        <v>804</v>
      </c>
    </row>
    <row r="2266" spans="1:18" x14ac:dyDescent="0.3">
      <c r="A2266" t="s">
        <v>627</v>
      </c>
      <c r="B2266" s="16">
        <v>45793</v>
      </c>
      <c r="C2266" t="s">
        <v>3</v>
      </c>
      <c r="D2266" t="s">
        <v>149</v>
      </c>
      <c r="E2266">
        <v>10</v>
      </c>
      <c r="F2266">
        <v>4</v>
      </c>
      <c r="G2266">
        <v>0</v>
      </c>
      <c r="H2266">
        <v>0</v>
      </c>
      <c r="I2266">
        <v>1917</v>
      </c>
      <c r="J2266">
        <v>1</v>
      </c>
      <c r="K2266">
        <v>1917</v>
      </c>
      <c r="L2266">
        <v>1</v>
      </c>
      <c r="M2266">
        <v>3</v>
      </c>
      <c r="N2266">
        <v>7</v>
      </c>
      <c r="O2266">
        <f t="shared" si="70"/>
        <v>2025</v>
      </c>
      <c r="P2266">
        <f t="shared" si="71"/>
        <v>5</v>
      </c>
      <c r="Q2266" t="s">
        <v>570</v>
      </c>
      <c r="R2266" s="546" t="s">
        <v>804</v>
      </c>
    </row>
    <row r="2267" spans="1:18" x14ac:dyDescent="0.3">
      <c r="A2267" t="s">
        <v>627</v>
      </c>
      <c r="B2267" s="16">
        <v>45793</v>
      </c>
      <c r="C2267" t="s">
        <v>3</v>
      </c>
      <c r="D2267" t="s">
        <v>148</v>
      </c>
      <c r="E2267">
        <v>14</v>
      </c>
      <c r="F2267">
        <v>10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14</v>
      </c>
      <c r="N2267">
        <v>0</v>
      </c>
      <c r="O2267">
        <f t="shared" si="70"/>
        <v>2025</v>
      </c>
      <c r="P2267">
        <f t="shared" si="71"/>
        <v>5</v>
      </c>
      <c r="Q2267" t="s">
        <v>570</v>
      </c>
      <c r="R2267" s="546" t="s">
        <v>804</v>
      </c>
    </row>
    <row r="2268" spans="1:18" x14ac:dyDescent="0.3">
      <c r="A2268" t="s">
        <v>627</v>
      </c>
      <c r="B2268" s="16">
        <v>45793</v>
      </c>
      <c r="C2268" t="s">
        <v>3</v>
      </c>
      <c r="D2268" t="s">
        <v>367</v>
      </c>
      <c r="E2268">
        <v>22</v>
      </c>
      <c r="F2268">
        <v>17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22</v>
      </c>
      <c r="O2268">
        <f t="shared" si="70"/>
        <v>2025</v>
      </c>
      <c r="P2268">
        <f t="shared" si="71"/>
        <v>5</v>
      </c>
      <c r="Q2268" t="s">
        <v>570</v>
      </c>
      <c r="R2268" s="546" t="s">
        <v>804</v>
      </c>
    </row>
    <row r="2269" spans="1:18" x14ac:dyDescent="0.3">
      <c r="A2269" t="s">
        <v>627</v>
      </c>
      <c r="B2269" s="16">
        <v>45793</v>
      </c>
      <c r="C2269" t="s">
        <v>3</v>
      </c>
      <c r="D2269" t="s">
        <v>251</v>
      </c>
      <c r="E2269">
        <v>294</v>
      </c>
      <c r="F2269">
        <v>139</v>
      </c>
      <c r="G2269">
        <v>31</v>
      </c>
      <c r="H2269">
        <v>1</v>
      </c>
      <c r="I2269">
        <v>78286.02</v>
      </c>
      <c r="J2269">
        <v>18</v>
      </c>
      <c r="K2269">
        <v>65981.02</v>
      </c>
      <c r="L2269">
        <v>17</v>
      </c>
      <c r="M2269">
        <v>102</v>
      </c>
      <c r="N2269">
        <v>197</v>
      </c>
      <c r="O2269">
        <f t="shared" si="70"/>
        <v>2025</v>
      </c>
      <c r="P2269">
        <f t="shared" si="71"/>
        <v>5</v>
      </c>
      <c r="Q2269" t="s">
        <v>570</v>
      </c>
      <c r="R2269" s="546" t="s">
        <v>804</v>
      </c>
    </row>
    <row r="2270" spans="1:18" x14ac:dyDescent="0.3">
      <c r="A2270" t="s">
        <v>627</v>
      </c>
      <c r="B2270" s="16">
        <v>45793</v>
      </c>
      <c r="C2270" t="s">
        <v>3</v>
      </c>
      <c r="D2270" t="s">
        <v>143</v>
      </c>
      <c r="E2270">
        <v>41</v>
      </c>
      <c r="F2270">
        <v>38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41</v>
      </c>
      <c r="O2270">
        <f t="shared" si="70"/>
        <v>2025</v>
      </c>
      <c r="P2270">
        <f t="shared" si="71"/>
        <v>5</v>
      </c>
      <c r="Q2270" t="s">
        <v>570</v>
      </c>
      <c r="R2270" s="546" t="s">
        <v>804</v>
      </c>
    </row>
    <row r="2271" spans="1:18" x14ac:dyDescent="0.3">
      <c r="A2271" t="s">
        <v>627</v>
      </c>
      <c r="B2271" s="16">
        <v>45793</v>
      </c>
      <c r="C2271" t="s">
        <v>3</v>
      </c>
      <c r="D2271" t="s">
        <v>141</v>
      </c>
      <c r="E2271">
        <v>791</v>
      </c>
      <c r="F2271">
        <v>383</v>
      </c>
      <c r="G2271">
        <v>16</v>
      </c>
      <c r="H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791</v>
      </c>
      <c r="O2271">
        <f t="shared" si="70"/>
        <v>2025</v>
      </c>
      <c r="P2271">
        <f t="shared" si="71"/>
        <v>5</v>
      </c>
      <c r="Q2271" t="s">
        <v>570</v>
      </c>
      <c r="R2271" s="546" t="s">
        <v>804</v>
      </c>
    </row>
    <row r="2272" spans="1:18" x14ac:dyDescent="0.3">
      <c r="A2272" t="s">
        <v>627</v>
      </c>
      <c r="B2272" s="16">
        <v>45793</v>
      </c>
      <c r="C2272" t="s">
        <v>3</v>
      </c>
      <c r="D2272" t="s">
        <v>140</v>
      </c>
      <c r="E2272">
        <v>2</v>
      </c>
      <c r="F2272">
        <v>2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2</v>
      </c>
      <c r="O2272">
        <f t="shared" si="70"/>
        <v>2025</v>
      </c>
      <c r="P2272">
        <f t="shared" si="71"/>
        <v>5</v>
      </c>
      <c r="Q2272" t="s">
        <v>570</v>
      </c>
      <c r="R2272" s="546" t="s">
        <v>804</v>
      </c>
    </row>
    <row r="2273" spans="1:18" x14ac:dyDescent="0.3">
      <c r="A2273" t="s">
        <v>627</v>
      </c>
      <c r="B2273" s="16">
        <v>45793</v>
      </c>
      <c r="C2273" t="s">
        <v>3</v>
      </c>
      <c r="D2273" t="s">
        <v>139</v>
      </c>
      <c r="E2273">
        <v>1153</v>
      </c>
      <c r="F2273">
        <v>725</v>
      </c>
      <c r="G2273">
        <v>76</v>
      </c>
      <c r="H2273">
        <v>15</v>
      </c>
      <c r="I2273">
        <v>197889.11</v>
      </c>
      <c r="J2273">
        <v>51</v>
      </c>
      <c r="K2273">
        <v>189994.11</v>
      </c>
      <c r="L2273">
        <v>46</v>
      </c>
      <c r="M2273">
        <v>337</v>
      </c>
      <c r="N2273">
        <v>549</v>
      </c>
      <c r="O2273">
        <f t="shared" si="70"/>
        <v>2025</v>
      </c>
      <c r="P2273">
        <f t="shared" si="71"/>
        <v>5</v>
      </c>
      <c r="Q2273" t="s">
        <v>570</v>
      </c>
      <c r="R2273" s="546" t="s">
        <v>804</v>
      </c>
    </row>
    <row r="2274" spans="1:18" x14ac:dyDescent="0.3">
      <c r="A2274" t="s">
        <v>627</v>
      </c>
      <c r="B2274" s="16">
        <v>45793</v>
      </c>
      <c r="C2274" t="s">
        <v>3</v>
      </c>
      <c r="D2274" t="s">
        <v>138</v>
      </c>
      <c r="E2274">
        <v>9</v>
      </c>
      <c r="F2274">
        <v>6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9</v>
      </c>
      <c r="O2274">
        <f t="shared" si="70"/>
        <v>2025</v>
      </c>
      <c r="P2274">
        <f t="shared" si="71"/>
        <v>5</v>
      </c>
      <c r="Q2274" t="s">
        <v>570</v>
      </c>
      <c r="R2274" s="546" t="s">
        <v>804</v>
      </c>
    </row>
    <row r="2275" spans="1:18" x14ac:dyDescent="0.3">
      <c r="A2275" t="s">
        <v>627</v>
      </c>
      <c r="B2275" s="16">
        <v>45793</v>
      </c>
      <c r="C2275" t="s">
        <v>3</v>
      </c>
      <c r="D2275" t="s">
        <v>135</v>
      </c>
      <c r="E2275">
        <v>89</v>
      </c>
      <c r="F2275">
        <v>70</v>
      </c>
      <c r="G2275">
        <v>0</v>
      </c>
      <c r="H2275">
        <v>0</v>
      </c>
      <c r="I2275">
        <v>1690</v>
      </c>
      <c r="J2275">
        <v>1</v>
      </c>
      <c r="K2275">
        <v>1690</v>
      </c>
      <c r="L2275">
        <v>1</v>
      </c>
      <c r="M2275">
        <v>0</v>
      </c>
      <c r="N2275">
        <v>10</v>
      </c>
      <c r="O2275">
        <f t="shared" si="70"/>
        <v>2025</v>
      </c>
      <c r="P2275">
        <f t="shared" si="71"/>
        <v>5</v>
      </c>
      <c r="Q2275" t="s">
        <v>570</v>
      </c>
      <c r="R2275" s="546" t="s">
        <v>804</v>
      </c>
    </row>
    <row r="2276" spans="1:18" x14ac:dyDescent="0.3">
      <c r="A2276" t="s">
        <v>627</v>
      </c>
      <c r="B2276" s="16">
        <v>45793</v>
      </c>
      <c r="C2276" t="s">
        <v>3</v>
      </c>
      <c r="D2276" t="s">
        <v>133</v>
      </c>
      <c r="E2276">
        <v>21</v>
      </c>
      <c r="F2276">
        <v>19</v>
      </c>
      <c r="G2276">
        <v>2</v>
      </c>
      <c r="H2276">
        <v>0</v>
      </c>
      <c r="I2276">
        <v>2795</v>
      </c>
      <c r="J2276">
        <v>1</v>
      </c>
      <c r="K2276">
        <v>2795</v>
      </c>
      <c r="L2276">
        <v>1</v>
      </c>
      <c r="M2276">
        <v>1</v>
      </c>
      <c r="N2276">
        <v>20</v>
      </c>
      <c r="O2276">
        <f t="shared" si="70"/>
        <v>2025</v>
      </c>
      <c r="P2276">
        <f t="shared" si="71"/>
        <v>5</v>
      </c>
      <c r="Q2276" t="s">
        <v>570</v>
      </c>
      <c r="R2276" s="546" t="s">
        <v>804</v>
      </c>
    </row>
    <row r="2277" spans="1:18" x14ac:dyDescent="0.3">
      <c r="A2277" t="s">
        <v>627</v>
      </c>
      <c r="B2277" s="16">
        <v>45793</v>
      </c>
      <c r="C2277" t="s">
        <v>3</v>
      </c>
      <c r="D2277" t="s">
        <v>130</v>
      </c>
      <c r="E2277">
        <v>146</v>
      </c>
      <c r="F2277">
        <v>52</v>
      </c>
      <c r="G2277">
        <v>16</v>
      </c>
      <c r="H2277">
        <v>3</v>
      </c>
      <c r="I2277">
        <v>76089</v>
      </c>
      <c r="J2277">
        <v>16</v>
      </c>
      <c r="K2277">
        <v>63416</v>
      </c>
      <c r="L2277">
        <v>16</v>
      </c>
      <c r="M2277">
        <v>54</v>
      </c>
      <c r="N2277">
        <v>128</v>
      </c>
      <c r="O2277">
        <f t="shared" si="70"/>
        <v>2025</v>
      </c>
      <c r="P2277">
        <f t="shared" si="71"/>
        <v>5</v>
      </c>
      <c r="Q2277" t="s">
        <v>570</v>
      </c>
      <c r="R2277" s="546" t="s">
        <v>804</v>
      </c>
    </row>
    <row r="2278" spans="1:18" x14ac:dyDescent="0.3">
      <c r="A2278" t="s">
        <v>627</v>
      </c>
      <c r="B2278" s="16">
        <v>45793</v>
      </c>
      <c r="C2278" t="s">
        <v>3</v>
      </c>
      <c r="D2278" t="s">
        <v>128</v>
      </c>
      <c r="E2278">
        <v>903</v>
      </c>
      <c r="F2278">
        <v>722</v>
      </c>
      <c r="G2278">
        <v>59</v>
      </c>
      <c r="H2278">
        <v>11</v>
      </c>
      <c r="I2278">
        <v>88843.33</v>
      </c>
      <c r="J2278">
        <v>21</v>
      </c>
      <c r="K2278">
        <v>77868.33</v>
      </c>
      <c r="L2278">
        <v>20</v>
      </c>
      <c r="M2278">
        <v>394</v>
      </c>
      <c r="N2278">
        <v>627</v>
      </c>
      <c r="O2278">
        <f t="shared" si="70"/>
        <v>2025</v>
      </c>
      <c r="P2278">
        <f t="shared" si="71"/>
        <v>5</v>
      </c>
      <c r="Q2278" t="s">
        <v>570</v>
      </c>
      <c r="R2278" s="546" t="s">
        <v>804</v>
      </c>
    </row>
    <row r="2279" spans="1:18" x14ac:dyDescent="0.3">
      <c r="A2279" t="s">
        <v>627</v>
      </c>
      <c r="B2279" s="16">
        <v>45793</v>
      </c>
      <c r="C2279" t="s">
        <v>3</v>
      </c>
      <c r="D2279" t="s">
        <v>127</v>
      </c>
      <c r="E2279">
        <v>1275</v>
      </c>
      <c r="F2279">
        <v>701</v>
      </c>
      <c r="G2279">
        <v>29</v>
      </c>
      <c r="H2279">
        <v>12</v>
      </c>
      <c r="I2279">
        <v>36974.589999999997</v>
      </c>
      <c r="J2279">
        <v>7</v>
      </c>
      <c r="K2279">
        <v>30274.59</v>
      </c>
      <c r="L2279">
        <v>7</v>
      </c>
      <c r="M2279">
        <v>120</v>
      </c>
      <c r="N2279">
        <v>1037</v>
      </c>
      <c r="O2279">
        <f t="shared" si="70"/>
        <v>2025</v>
      </c>
      <c r="P2279">
        <f t="shared" si="71"/>
        <v>5</v>
      </c>
      <c r="Q2279" t="s">
        <v>570</v>
      </c>
      <c r="R2279" s="546" t="s">
        <v>804</v>
      </c>
    </row>
    <row r="2280" spans="1:18" x14ac:dyDescent="0.3">
      <c r="A2280" t="s">
        <v>627</v>
      </c>
      <c r="B2280" s="16">
        <v>45793</v>
      </c>
      <c r="C2280" t="s">
        <v>3</v>
      </c>
      <c r="D2280" t="s">
        <v>126</v>
      </c>
      <c r="E2280">
        <v>78</v>
      </c>
      <c r="F2280">
        <v>56</v>
      </c>
      <c r="G2280">
        <v>3</v>
      </c>
      <c r="H2280">
        <v>3</v>
      </c>
      <c r="I2280">
        <v>1490</v>
      </c>
      <c r="J2280">
        <v>1</v>
      </c>
      <c r="K2280">
        <v>1490</v>
      </c>
      <c r="L2280">
        <v>1</v>
      </c>
      <c r="M2280">
        <v>15</v>
      </c>
      <c r="N2280">
        <v>70</v>
      </c>
      <c r="O2280">
        <f t="shared" si="70"/>
        <v>2025</v>
      </c>
      <c r="P2280">
        <f t="shared" si="71"/>
        <v>5</v>
      </c>
      <c r="Q2280" t="s">
        <v>570</v>
      </c>
      <c r="R2280" s="546" t="s">
        <v>804</v>
      </c>
    </row>
    <row r="2281" spans="1:18" x14ac:dyDescent="0.3">
      <c r="A2281" t="s">
        <v>627</v>
      </c>
      <c r="B2281" s="16">
        <v>45793</v>
      </c>
      <c r="C2281" t="s">
        <v>3</v>
      </c>
      <c r="D2281" t="s">
        <v>125</v>
      </c>
      <c r="E2281">
        <v>1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1</v>
      </c>
      <c r="N2281">
        <v>1</v>
      </c>
      <c r="O2281">
        <f t="shared" si="70"/>
        <v>2025</v>
      </c>
      <c r="P2281">
        <f t="shared" si="71"/>
        <v>5</v>
      </c>
      <c r="Q2281" t="s">
        <v>570</v>
      </c>
      <c r="R2281" s="546" t="s">
        <v>804</v>
      </c>
    </row>
    <row r="2282" spans="1:18" x14ac:dyDescent="0.3">
      <c r="A2282" t="s">
        <v>627</v>
      </c>
      <c r="B2282" s="16">
        <v>45793</v>
      </c>
      <c r="C2282" t="s">
        <v>3</v>
      </c>
      <c r="D2282" t="s">
        <v>123</v>
      </c>
      <c r="E2282">
        <v>283</v>
      </c>
      <c r="F2282">
        <v>135</v>
      </c>
      <c r="G2282">
        <v>23</v>
      </c>
      <c r="H2282">
        <v>5</v>
      </c>
      <c r="I2282">
        <v>23694.73</v>
      </c>
      <c r="J2282">
        <v>7</v>
      </c>
      <c r="K2282">
        <v>23694.73</v>
      </c>
      <c r="L2282">
        <v>7</v>
      </c>
      <c r="M2282">
        <v>92</v>
      </c>
      <c r="N2282">
        <v>245</v>
      </c>
      <c r="O2282">
        <f t="shared" si="70"/>
        <v>2025</v>
      </c>
      <c r="P2282">
        <f t="shared" si="71"/>
        <v>5</v>
      </c>
      <c r="Q2282" t="s">
        <v>570</v>
      </c>
      <c r="R2282" s="546" t="s">
        <v>804</v>
      </c>
    </row>
    <row r="2283" spans="1:18" x14ac:dyDescent="0.3">
      <c r="A2283" t="s">
        <v>627</v>
      </c>
      <c r="B2283" s="16">
        <v>45793</v>
      </c>
      <c r="C2283" t="s">
        <v>3</v>
      </c>
      <c r="D2283" t="s">
        <v>121</v>
      </c>
      <c r="E2283">
        <v>3</v>
      </c>
      <c r="F2283">
        <v>2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2</v>
      </c>
      <c r="O2283">
        <f t="shared" si="70"/>
        <v>2025</v>
      </c>
      <c r="P2283">
        <f t="shared" si="71"/>
        <v>5</v>
      </c>
      <c r="Q2283" t="s">
        <v>570</v>
      </c>
      <c r="R2283" s="546" t="s">
        <v>804</v>
      </c>
    </row>
    <row r="2284" spans="1:18" x14ac:dyDescent="0.3">
      <c r="A2284" t="s">
        <v>627</v>
      </c>
      <c r="B2284" s="16">
        <v>45793</v>
      </c>
      <c r="C2284" t="s">
        <v>3</v>
      </c>
      <c r="D2284" t="s">
        <v>119</v>
      </c>
      <c r="E2284">
        <v>343</v>
      </c>
      <c r="F2284">
        <v>98</v>
      </c>
      <c r="G2284">
        <v>58</v>
      </c>
      <c r="H2284">
        <v>8</v>
      </c>
      <c r="I2284">
        <v>254499.32</v>
      </c>
      <c r="J2284">
        <v>39</v>
      </c>
      <c r="K2284">
        <v>138095.32</v>
      </c>
      <c r="L2284">
        <v>37</v>
      </c>
      <c r="M2284">
        <v>81</v>
      </c>
      <c r="N2284">
        <v>332</v>
      </c>
      <c r="O2284">
        <f t="shared" si="70"/>
        <v>2025</v>
      </c>
      <c r="P2284">
        <f t="shared" si="71"/>
        <v>5</v>
      </c>
      <c r="Q2284" t="s">
        <v>570</v>
      </c>
      <c r="R2284" s="546" t="s">
        <v>804</v>
      </c>
    </row>
    <row r="2285" spans="1:18" x14ac:dyDescent="0.3">
      <c r="A2285" t="s">
        <v>627</v>
      </c>
      <c r="B2285" s="16">
        <v>45793</v>
      </c>
      <c r="C2285" t="s">
        <v>3</v>
      </c>
      <c r="D2285" t="s">
        <v>252</v>
      </c>
      <c r="E2285">
        <v>3</v>
      </c>
      <c r="F2285">
        <v>2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3</v>
      </c>
      <c r="O2285">
        <f t="shared" si="70"/>
        <v>2025</v>
      </c>
      <c r="P2285">
        <f t="shared" si="71"/>
        <v>5</v>
      </c>
      <c r="Q2285" t="s">
        <v>570</v>
      </c>
      <c r="R2285" s="546" t="s">
        <v>804</v>
      </c>
    </row>
    <row r="2286" spans="1:18" x14ac:dyDescent="0.3">
      <c r="A2286" t="s">
        <v>627</v>
      </c>
      <c r="B2286" s="16">
        <v>45793</v>
      </c>
      <c r="C2286" t="s">
        <v>3</v>
      </c>
      <c r="D2286" t="s">
        <v>391</v>
      </c>
      <c r="E2286">
        <v>511</v>
      </c>
      <c r="F2286">
        <v>296</v>
      </c>
      <c r="G2286">
        <v>26</v>
      </c>
      <c r="H2286">
        <v>1</v>
      </c>
      <c r="I2286">
        <v>45976</v>
      </c>
      <c r="J2286">
        <v>14</v>
      </c>
      <c r="K2286">
        <v>44716</v>
      </c>
      <c r="L2286">
        <v>15</v>
      </c>
      <c r="M2286">
        <v>86</v>
      </c>
      <c r="N2286">
        <v>505</v>
      </c>
      <c r="O2286">
        <f t="shared" si="70"/>
        <v>2025</v>
      </c>
      <c r="P2286">
        <f t="shared" si="71"/>
        <v>5</v>
      </c>
      <c r="Q2286" t="s">
        <v>570</v>
      </c>
      <c r="R2286" s="546" t="s">
        <v>804</v>
      </c>
    </row>
    <row r="2287" spans="1:18" x14ac:dyDescent="0.3">
      <c r="A2287" t="s">
        <v>627</v>
      </c>
      <c r="B2287" s="16">
        <v>45793</v>
      </c>
      <c r="C2287" t="s">
        <v>3</v>
      </c>
      <c r="D2287" t="s">
        <v>114</v>
      </c>
      <c r="E2287">
        <v>83</v>
      </c>
      <c r="F2287">
        <v>30</v>
      </c>
      <c r="G2287">
        <v>3</v>
      </c>
      <c r="H2287">
        <v>0</v>
      </c>
      <c r="I2287">
        <v>9330</v>
      </c>
      <c r="J2287">
        <v>3</v>
      </c>
      <c r="K2287">
        <v>4685</v>
      </c>
      <c r="L2287">
        <v>2</v>
      </c>
      <c r="M2287">
        <v>7</v>
      </c>
      <c r="N2287">
        <v>81</v>
      </c>
      <c r="O2287">
        <f t="shared" ref="O2287:O2350" si="72">YEAR(B2287)</f>
        <v>2025</v>
      </c>
      <c r="P2287">
        <f t="shared" ref="P2287:P2350" si="73">MONTH(B2287)</f>
        <v>5</v>
      </c>
      <c r="Q2287" t="s">
        <v>570</v>
      </c>
      <c r="R2287" s="546" t="s">
        <v>804</v>
      </c>
    </row>
    <row r="2288" spans="1:18" x14ac:dyDescent="0.3">
      <c r="A2288" t="s">
        <v>627</v>
      </c>
      <c r="B2288" s="16">
        <v>45793</v>
      </c>
      <c r="C2288" t="s">
        <v>3</v>
      </c>
      <c r="D2288" t="s">
        <v>113</v>
      </c>
      <c r="E2288">
        <v>124</v>
      </c>
      <c r="F2288">
        <v>71</v>
      </c>
      <c r="G2288">
        <v>8</v>
      </c>
      <c r="H2288">
        <v>0</v>
      </c>
      <c r="I2288">
        <v>14183.95</v>
      </c>
      <c r="J2288">
        <v>3</v>
      </c>
      <c r="K2288">
        <v>14183.95</v>
      </c>
      <c r="L2288">
        <v>3</v>
      </c>
      <c r="M2288">
        <v>100</v>
      </c>
      <c r="N2288">
        <v>84</v>
      </c>
      <c r="O2288">
        <f t="shared" si="72"/>
        <v>2025</v>
      </c>
      <c r="P2288">
        <f t="shared" si="73"/>
        <v>5</v>
      </c>
      <c r="Q2288" t="s">
        <v>570</v>
      </c>
      <c r="R2288" s="546" t="s">
        <v>804</v>
      </c>
    </row>
    <row r="2289" spans="1:18" x14ac:dyDescent="0.3">
      <c r="A2289" t="s">
        <v>627</v>
      </c>
      <c r="B2289" s="16">
        <v>45793</v>
      </c>
      <c r="C2289" t="s">
        <v>3</v>
      </c>
      <c r="D2289" t="s">
        <v>112</v>
      </c>
      <c r="E2289">
        <v>41</v>
      </c>
      <c r="F2289">
        <v>19</v>
      </c>
      <c r="G2289">
        <v>3</v>
      </c>
      <c r="H2289">
        <v>0</v>
      </c>
      <c r="I2289">
        <v>27678</v>
      </c>
      <c r="J2289">
        <v>7</v>
      </c>
      <c r="K2289">
        <v>29168</v>
      </c>
      <c r="L2289">
        <v>8</v>
      </c>
      <c r="M2289">
        <v>0</v>
      </c>
      <c r="N2289">
        <v>41</v>
      </c>
      <c r="O2289">
        <f t="shared" si="72"/>
        <v>2025</v>
      </c>
      <c r="P2289">
        <f t="shared" si="73"/>
        <v>5</v>
      </c>
      <c r="Q2289" t="s">
        <v>570</v>
      </c>
      <c r="R2289" s="546" t="s">
        <v>804</v>
      </c>
    </row>
    <row r="2290" spans="1:18" x14ac:dyDescent="0.3">
      <c r="A2290" t="s">
        <v>627</v>
      </c>
      <c r="B2290" s="16">
        <v>45793</v>
      </c>
      <c r="C2290" t="s">
        <v>3</v>
      </c>
      <c r="D2290" t="s">
        <v>111</v>
      </c>
      <c r="E2290">
        <v>5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1</v>
      </c>
      <c r="N2290">
        <v>5</v>
      </c>
      <c r="O2290">
        <f t="shared" si="72"/>
        <v>2025</v>
      </c>
      <c r="P2290">
        <f t="shared" si="73"/>
        <v>5</v>
      </c>
      <c r="Q2290" t="s">
        <v>570</v>
      </c>
      <c r="R2290" s="546" t="s">
        <v>804</v>
      </c>
    </row>
    <row r="2291" spans="1:18" x14ac:dyDescent="0.3">
      <c r="A2291" t="s">
        <v>627</v>
      </c>
      <c r="B2291" s="16">
        <v>45792</v>
      </c>
      <c r="C2291" t="s">
        <v>2</v>
      </c>
      <c r="D2291" t="s">
        <v>4</v>
      </c>
      <c r="E2291">
        <v>304</v>
      </c>
      <c r="F2291">
        <v>120</v>
      </c>
      <c r="G2291">
        <v>3</v>
      </c>
      <c r="H2291">
        <v>2</v>
      </c>
      <c r="I2291">
        <v>1490</v>
      </c>
      <c r="J2291">
        <v>1</v>
      </c>
      <c r="K2291">
        <v>0</v>
      </c>
      <c r="L2291">
        <v>0</v>
      </c>
      <c r="M2291">
        <v>4</v>
      </c>
      <c r="N2291">
        <v>295</v>
      </c>
      <c r="O2291">
        <f t="shared" si="72"/>
        <v>2025</v>
      </c>
      <c r="P2291">
        <f t="shared" si="73"/>
        <v>5</v>
      </c>
      <c r="Q2291" t="s">
        <v>570</v>
      </c>
      <c r="R2291" s="546" t="s">
        <v>804</v>
      </c>
    </row>
    <row r="2292" spans="1:18" x14ac:dyDescent="0.3">
      <c r="A2292" t="s">
        <v>627</v>
      </c>
      <c r="B2292" s="16">
        <v>45792</v>
      </c>
      <c r="C2292" t="s">
        <v>2</v>
      </c>
      <c r="D2292" t="s">
        <v>57</v>
      </c>
      <c r="E2292">
        <v>22167</v>
      </c>
      <c r="F2292">
        <v>16696</v>
      </c>
      <c r="G2292">
        <v>430</v>
      </c>
      <c r="H2292">
        <v>284</v>
      </c>
      <c r="I2292">
        <v>151896</v>
      </c>
      <c r="J2292">
        <v>49</v>
      </c>
      <c r="K2292">
        <v>68663</v>
      </c>
      <c r="L2292">
        <v>23</v>
      </c>
      <c r="M2292">
        <v>1498</v>
      </c>
      <c r="N2292">
        <v>21858</v>
      </c>
      <c r="O2292">
        <f t="shared" si="72"/>
        <v>2025</v>
      </c>
      <c r="P2292">
        <f t="shared" si="73"/>
        <v>5</v>
      </c>
      <c r="Q2292" t="s">
        <v>570</v>
      </c>
      <c r="R2292" s="546" t="s">
        <v>804</v>
      </c>
    </row>
    <row r="2293" spans="1:18" x14ac:dyDescent="0.3">
      <c r="A2293" t="s">
        <v>627</v>
      </c>
      <c r="B2293" s="16">
        <v>45792</v>
      </c>
      <c r="C2293" t="s">
        <v>2</v>
      </c>
      <c r="D2293" t="s">
        <v>52</v>
      </c>
      <c r="E2293">
        <v>4</v>
      </c>
      <c r="F2293">
        <v>4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2</v>
      </c>
      <c r="N2293">
        <v>1</v>
      </c>
      <c r="O2293">
        <f t="shared" si="72"/>
        <v>2025</v>
      </c>
      <c r="P2293">
        <f t="shared" si="73"/>
        <v>5</v>
      </c>
      <c r="Q2293" t="s">
        <v>570</v>
      </c>
      <c r="R2293" s="546" t="s">
        <v>804</v>
      </c>
    </row>
    <row r="2294" spans="1:18" x14ac:dyDescent="0.3">
      <c r="A2294" t="s">
        <v>627</v>
      </c>
      <c r="B2294" s="16">
        <v>45792</v>
      </c>
      <c r="C2294" t="s">
        <v>2</v>
      </c>
      <c r="D2294" t="s">
        <v>55</v>
      </c>
      <c r="E2294">
        <v>1032</v>
      </c>
      <c r="F2294">
        <v>880</v>
      </c>
      <c r="G2294">
        <v>11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17</v>
      </c>
      <c r="N2294">
        <v>236</v>
      </c>
      <c r="O2294">
        <f t="shared" si="72"/>
        <v>2025</v>
      </c>
      <c r="P2294">
        <f t="shared" si="73"/>
        <v>5</v>
      </c>
      <c r="Q2294" t="s">
        <v>570</v>
      </c>
      <c r="R2294" s="546" t="s">
        <v>804</v>
      </c>
    </row>
    <row r="2295" spans="1:18" x14ac:dyDescent="0.3">
      <c r="A2295" t="s">
        <v>627</v>
      </c>
      <c r="B2295" s="16">
        <v>45792</v>
      </c>
      <c r="C2295" t="s">
        <v>3</v>
      </c>
      <c r="D2295" t="s">
        <v>155</v>
      </c>
      <c r="E2295">
        <v>3</v>
      </c>
      <c r="F2295">
        <v>2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1</v>
      </c>
      <c r="N2295">
        <v>2</v>
      </c>
      <c r="O2295">
        <f t="shared" si="72"/>
        <v>2025</v>
      </c>
      <c r="P2295">
        <f t="shared" si="73"/>
        <v>5</v>
      </c>
      <c r="Q2295" t="s">
        <v>570</v>
      </c>
      <c r="R2295" s="546" t="s">
        <v>804</v>
      </c>
    </row>
    <row r="2296" spans="1:18" x14ac:dyDescent="0.3">
      <c r="A2296" t="s">
        <v>627</v>
      </c>
      <c r="B2296" s="16">
        <v>45792</v>
      </c>
      <c r="C2296" t="s">
        <v>3</v>
      </c>
      <c r="D2296" t="s">
        <v>154</v>
      </c>
      <c r="E2296">
        <v>784</v>
      </c>
      <c r="F2296">
        <v>748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f t="shared" si="72"/>
        <v>2025</v>
      </c>
      <c r="P2296">
        <f t="shared" si="73"/>
        <v>5</v>
      </c>
      <c r="Q2296" t="s">
        <v>570</v>
      </c>
      <c r="R2296" s="546" t="s">
        <v>804</v>
      </c>
    </row>
    <row r="2297" spans="1:18" x14ac:dyDescent="0.3">
      <c r="A2297" t="s">
        <v>627</v>
      </c>
      <c r="B2297" s="16">
        <v>45792</v>
      </c>
      <c r="C2297" t="s">
        <v>3</v>
      </c>
      <c r="D2297" t="s">
        <v>153</v>
      </c>
      <c r="E2297">
        <v>377</v>
      </c>
      <c r="F2297">
        <v>92</v>
      </c>
      <c r="G2297">
        <v>47</v>
      </c>
      <c r="H2297">
        <v>1</v>
      </c>
      <c r="I2297">
        <v>59936</v>
      </c>
      <c r="J2297">
        <v>18</v>
      </c>
      <c r="K2297">
        <v>33331</v>
      </c>
      <c r="L2297">
        <v>11</v>
      </c>
      <c r="M2297">
        <v>109</v>
      </c>
      <c r="N2297">
        <v>367</v>
      </c>
      <c r="O2297">
        <f t="shared" si="72"/>
        <v>2025</v>
      </c>
      <c r="P2297">
        <f t="shared" si="73"/>
        <v>5</v>
      </c>
      <c r="Q2297" t="s">
        <v>570</v>
      </c>
      <c r="R2297" s="546" t="s">
        <v>804</v>
      </c>
    </row>
    <row r="2298" spans="1:18" x14ac:dyDescent="0.3">
      <c r="A2298" t="s">
        <v>627</v>
      </c>
      <c r="B2298" s="16">
        <v>45792</v>
      </c>
      <c r="C2298" t="s">
        <v>3</v>
      </c>
      <c r="D2298" t="s">
        <v>152</v>
      </c>
      <c r="E2298">
        <v>54</v>
      </c>
      <c r="F2298">
        <v>38</v>
      </c>
      <c r="G2298">
        <v>7</v>
      </c>
      <c r="H2298">
        <v>1</v>
      </c>
      <c r="I2298">
        <v>4548</v>
      </c>
      <c r="J2298">
        <v>2</v>
      </c>
      <c r="K2298">
        <v>0</v>
      </c>
      <c r="L2298">
        <v>0</v>
      </c>
      <c r="M2298">
        <v>1</v>
      </c>
      <c r="N2298">
        <v>23</v>
      </c>
      <c r="O2298">
        <f t="shared" si="72"/>
        <v>2025</v>
      </c>
      <c r="P2298">
        <f t="shared" si="73"/>
        <v>5</v>
      </c>
      <c r="Q2298" t="s">
        <v>570</v>
      </c>
      <c r="R2298" s="546" t="s">
        <v>804</v>
      </c>
    </row>
    <row r="2299" spans="1:18" x14ac:dyDescent="0.3">
      <c r="A2299" t="s">
        <v>627</v>
      </c>
      <c r="B2299" s="16">
        <v>45792</v>
      </c>
      <c r="C2299" t="s">
        <v>3</v>
      </c>
      <c r="D2299" t="s">
        <v>150</v>
      </c>
      <c r="E2299">
        <v>26</v>
      </c>
      <c r="F2299">
        <v>12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6</v>
      </c>
      <c r="O2299">
        <f t="shared" si="72"/>
        <v>2025</v>
      </c>
      <c r="P2299">
        <f t="shared" si="73"/>
        <v>5</v>
      </c>
      <c r="Q2299" t="s">
        <v>570</v>
      </c>
      <c r="R2299" s="546" t="s">
        <v>804</v>
      </c>
    </row>
    <row r="2300" spans="1:18" x14ac:dyDescent="0.3">
      <c r="A2300" t="s">
        <v>627</v>
      </c>
      <c r="B2300" s="16">
        <v>45792</v>
      </c>
      <c r="C2300" t="s">
        <v>3</v>
      </c>
      <c r="D2300" t="s">
        <v>149</v>
      </c>
      <c r="E2300">
        <v>5</v>
      </c>
      <c r="F2300">
        <v>4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2</v>
      </c>
      <c r="N2300">
        <v>4</v>
      </c>
      <c r="O2300">
        <f t="shared" si="72"/>
        <v>2025</v>
      </c>
      <c r="P2300">
        <f t="shared" si="73"/>
        <v>5</v>
      </c>
      <c r="Q2300" t="s">
        <v>570</v>
      </c>
      <c r="R2300" s="546" t="s">
        <v>804</v>
      </c>
    </row>
    <row r="2301" spans="1:18" x14ac:dyDescent="0.3">
      <c r="A2301" t="s">
        <v>627</v>
      </c>
      <c r="B2301" s="16">
        <v>45792</v>
      </c>
      <c r="C2301" t="s">
        <v>3</v>
      </c>
      <c r="D2301" t="s">
        <v>148</v>
      </c>
      <c r="E2301">
        <v>2</v>
      </c>
      <c r="F2301">
        <v>2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2</v>
      </c>
      <c r="N2301">
        <v>0</v>
      </c>
      <c r="O2301">
        <f t="shared" si="72"/>
        <v>2025</v>
      </c>
      <c r="P2301">
        <f t="shared" si="73"/>
        <v>5</v>
      </c>
      <c r="Q2301" t="s">
        <v>570</v>
      </c>
      <c r="R2301" s="546" t="s">
        <v>804</v>
      </c>
    </row>
    <row r="2302" spans="1:18" x14ac:dyDescent="0.3">
      <c r="A2302" t="s">
        <v>627</v>
      </c>
      <c r="B2302" s="16">
        <v>45792</v>
      </c>
      <c r="C2302" t="s">
        <v>3</v>
      </c>
      <c r="D2302" t="s">
        <v>251</v>
      </c>
      <c r="E2302">
        <v>456</v>
      </c>
      <c r="F2302">
        <v>344</v>
      </c>
      <c r="G2302">
        <v>18</v>
      </c>
      <c r="H2302">
        <v>7</v>
      </c>
      <c r="I2302">
        <v>22353</v>
      </c>
      <c r="J2302">
        <v>6</v>
      </c>
      <c r="K2302">
        <v>18183</v>
      </c>
      <c r="L2302">
        <v>5</v>
      </c>
      <c r="M2302">
        <v>72</v>
      </c>
      <c r="N2302">
        <v>194</v>
      </c>
      <c r="O2302">
        <f t="shared" si="72"/>
        <v>2025</v>
      </c>
      <c r="P2302">
        <f t="shared" si="73"/>
        <v>5</v>
      </c>
      <c r="Q2302" t="s">
        <v>570</v>
      </c>
      <c r="R2302" s="546" t="s">
        <v>804</v>
      </c>
    </row>
    <row r="2303" spans="1:18" x14ac:dyDescent="0.3">
      <c r="A2303" t="s">
        <v>627</v>
      </c>
      <c r="B2303" s="16">
        <v>45792</v>
      </c>
      <c r="C2303" t="s">
        <v>3</v>
      </c>
      <c r="D2303" t="s">
        <v>143</v>
      </c>
      <c r="E2303">
        <v>39</v>
      </c>
      <c r="F2303">
        <v>37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39</v>
      </c>
      <c r="O2303">
        <f t="shared" si="72"/>
        <v>2025</v>
      </c>
      <c r="P2303">
        <f t="shared" si="73"/>
        <v>5</v>
      </c>
      <c r="Q2303" t="s">
        <v>570</v>
      </c>
      <c r="R2303" s="546" t="s">
        <v>804</v>
      </c>
    </row>
    <row r="2304" spans="1:18" x14ac:dyDescent="0.3">
      <c r="A2304" t="s">
        <v>627</v>
      </c>
      <c r="B2304" s="16">
        <v>45792</v>
      </c>
      <c r="C2304" t="s">
        <v>3</v>
      </c>
      <c r="D2304" t="s">
        <v>141</v>
      </c>
      <c r="E2304">
        <v>949</v>
      </c>
      <c r="F2304">
        <v>521</v>
      </c>
      <c r="G2304">
        <v>9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949</v>
      </c>
      <c r="O2304">
        <f t="shared" si="72"/>
        <v>2025</v>
      </c>
      <c r="P2304">
        <f t="shared" si="73"/>
        <v>5</v>
      </c>
      <c r="Q2304" t="s">
        <v>570</v>
      </c>
      <c r="R2304" s="546" t="s">
        <v>804</v>
      </c>
    </row>
    <row r="2305" spans="1:18" x14ac:dyDescent="0.3">
      <c r="A2305" t="s">
        <v>627</v>
      </c>
      <c r="B2305" s="16">
        <v>45792</v>
      </c>
      <c r="C2305" t="s">
        <v>3</v>
      </c>
      <c r="D2305" t="s">
        <v>140</v>
      </c>
      <c r="E2305">
        <v>8</v>
      </c>
      <c r="F2305">
        <v>8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2</v>
      </c>
      <c r="N2305">
        <v>8</v>
      </c>
      <c r="O2305">
        <f t="shared" si="72"/>
        <v>2025</v>
      </c>
      <c r="P2305">
        <f t="shared" si="73"/>
        <v>5</v>
      </c>
      <c r="Q2305" t="s">
        <v>570</v>
      </c>
      <c r="R2305" s="546" t="s">
        <v>804</v>
      </c>
    </row>
    <row r="2306" spans="1:18" x14ac:dyDescent="0.3">
      <c r="A2306" t="s">
        <v>627</v>
      </c>
      <c r="B2306" s="16">
        <v>45792</v>
      </c>
      <c r="C2306" t="s">
        <v>3</v>
      </c>
      <c r="D2306" t="s">
        <v>139</v>
      </c>
      <c r="E2306">
        <v>854</v>
      </c>
      <c r="F2306">
        <v>520</v>
      </c>
      <c r="G2306">
        <v>45</v>
      </c>
      <c r="H2306">
        <v>10</v>
      </c>
      <c r="I2306">
        <v>31378</v>
      </c>
      <c r="J2306">
        <v>11</v>
      </c>
      <c r="K2306">
        <v>18158</v>
      </c>
      <c r="L2306">
        <v>7</v>
      </c>
      <c r="M2306">
        <v>273</v>
      </c>
      <c r="N2306">
        <v>464</v>
      </c>
      <c r="O2306">
        <f t="shared" si="72"/>
        <v>2025</v>
      </c>
      <c r="P2306">
        <f t="shared" si="73"/>
        <v>5</v>
      </c>
      <c r="Q2306" t="s">
        <v>570</v>
      </c>
      <c r="R2306" s="546" t="s">
        <v>804</v>
      </c>
    </row>
    <row r="2307" spans="1:18" x14ac:dyDescent="0.3">
      <c r="A2307" t="s">
        <v>627</v>
      </c>
      <c r="B2307" s="16">
        <v>45792</v>
      </c>
      <c r="C2307" t="s">
        <v>3</v>
      </c>
      <c r="D2307" t="s">
        <v>138</v>
      </c>
      <c r="E2307">
        <v>11</v>
      </c>
      <c r="F2307">
        <v>8</v>
      </c>
      <c r="G2307">
        <v>0</v>
      </c>
      <c r="H2307">
        <v>0</v>
      </c>
      <c r="I2307">
        <v>3250</v>
      </c>
      <c r="J2307">
        <v>1</v>
      </c>
      <c r="K2307">
        <v>0</v>
      </c>
      <c r="L2307">
        <v>0</v>
      </c>
      <c r="M2307">
        <v>1</v>
      </c>
      <c r="N2307">
        <v>10</v>
      </c>
      <c r="O2307">
        <f t="shared" si="72"/>
        <v>2025</v>
      </c>
      <c r="P2307">
        <f t="shared" si="73"/>
        <v>5</v>
      </c>
      <c r="Q2307" t="s">
        <v>570</v>
      </c>
      <c r="R2307" s="546" t="s">
        <v>804</v>
      </c>
    </row>
    <row r="2308" spans="1:18" x14ac:dyDescent="0.3">
      <c r="A2308" t="s">
        <v>627</v>
      </c>
      <c r="B2308" s="16">
        <v>45792</v>
      </c>
      <c r="C2308" t="s">
        <v>3</v>
      </c>
      <c r="D2308" t="s">
        <v>135</v>
      </c>
      <c r="E2308">
        <v>53</v>
      </c>
      <c r="F2308">
        <v>40</v>
      </c>
      <c r="G2308">
        <v>1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10</v>
      </c>
      <c r="O2308">
        <f t="shared" si="72"/>
        <v>2025</v>
      </c>
      <c r="P2308">
        <f t="shared" si="73"/>
        <v>5</v>
      </c>
      <c r="Q2308" t="s">
        <v>570</v>
      </c>
      <c r="R2308" s="546" t="s">
        <v>804</v>
      </c>
    </row>
    <row r="2309" spans="1:18" x14ac:dyDescent="0.3">
      <c r="A2309" t="s">
        <v>627</v>
      </c>
      <c r="B2309" s="16">
        <v>45792</v>
      </c>
      <c r="C2309" t="s">
        <v>3</v>
      </c>
      <c r="D2309" t="s">
        <v>133</v>
      </c>
      <c r="E2309">
        <v>14</v>
      </c>
      <c r="F2309">
        <v>11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1</v>
      </c>
      <c r="N2309">
        <v>14</v>
      </c>
      <c r="O2309">
        <f t="shared" si="72"/>
        <v>2025</v>
      </c>
      <c r="P2309">
        <f t="shared" si="73"/>
        <v>5</v>
      </c>
      <c r="Q2309" t="s">
        <v>570</v>
      </c>
      <c r="R2309" s="546" t="s">
        <v>804</v>
      </c>
    </row>
    <row r="2310" spans="1:18" x14ac:dyDescent="0.3">
      <c r="A2310" t="s">
        <v>627</v>
      </c>
      <c r="B2310" s="16">
        <v>45792</v>
      </c>
      <c r="C2310" t="s">
        <v>3</v>
      </c>
      <c r="D2310" t="s">
        <v>130</v>
      </c>
      <c r="E2310">
        <v>85</v>
      </c>
      <c r="F2310">
        <v>36</v>
      </c>
      <c r="G2310">
        <v>6</v>
      </c>
      <c r="H2310">
        <v>2</v>
      </c>
      <c r="I2310">
        <v>27086</v>
      </c>
      <c r="J2310">
        <v>7</v>
      </c>
      <c r="K2310">
        <v>19888</v>
      </c>
      <c r="L2310">
        <v>5</v>
      </c>
      <c r="M2310">
        <v>40</v>
      </c>
      <c r="N2310">
        <v>73</v>
      </c>
      <c r="O2310">
        <f t="shared" si="72"/>
        <v>2025</v>
      </c>
      <c r="P2310">
        <f t="shared" si="73"/>
        <v>5</v>
      </c>
      <c r="Q2310" t="s">
        <v>570</v>
      </c>
      <c r="R2310" s="546" t="s">
        <v>804</v>
      </c>
    </row>
    <row r="2311" spans="1:18" x14ac:dyDescent="0.3">
      <c r="A2311" t="s">
        <v>627</v>
      </c>
      <c r="B2311" s="16">
        <v>45792</v>
      </c>
      <c r="C2311" t="s">
        <v>3</v>
      </c>
      <c r="D2311" t="s">
        <v>128</v>
      </c>
      <c r="E2311">
        <v>731</v>
      </c>
      <c r="F2311">
        <v>594</v>
      </c>
      <c r="G2311">
        <v>41</v>
      </c>
      <c r="H2311">
        <v>10</v>
      </c>
      <c r="I2311">
        <v>29112</v>
      </c>
      <c r="J2311">
        <v>11</v>
      </c>
      <c r="K2311">
        <v>23726</v>
      </c>
      <c r="L2311">
        <v>8</v>
      </c>
      <c r="M2311">
        <v>365</v>
      </c>
      <c r="N2311">
        <v>486</v>
      </c>
      <c r="O2311">
        <f t="shared" si="72"/>
        <v>2025</v>
      </c>
      <c r="P2311">
        <f t="shared" si="73"/>
        <v>5</v>
      </c>
      <c r="Q2311" t="s">
        <v>570</v>
      </c>
      <c r="R2311" s="546" t="s">
        <v>804</v>
      </c>
    </row>
    <row r="2312" spans="1:18" x14ac:dyDescent="0.3">
      <c r="A2312" t="s">
        <v>627</v>
      </c>
      <c r="B2312" s="16">
        <v>45792</v>
      </c>
      <c r="C2312" t="s">
        <v>3</v>
      </c>
      <c r="D2312" t="s">
        <v>127</v>
      </c>
      <c r="E2312">
        <v>1103</v>
      </c>
      <c r="F2312">
        <v>640</v>
      </c>
      <c r="G2312">
        <v>34</v>
      </c>
      <c r="H2312">
        <v>2</v>
      </c>
      <c r="I2312">
        <v>17859</v>
      </c>
      <c r="J2312">
        <v>7</v>
      </c>
      <c r="K2312">
        <v>11913</v>
      </c>
      <c r="L2312">
        <v>4</v>
      </c>
      <c r="M2312">
        <v>92</v>
      </c>
      <c r="N2312">
        <v>956</v>
      </c>
      <c r="O2312">
        <f t="shared" si="72"/>
        <v>2025</v>
      </c>
      <c r="P2312">
        <f t="shared" si="73"/>
        <v>5</v>
      </c>
      <c r="Q2312" t="s">
        <v>570</v>
      </c>
      <c r="R2312" s="546" t="s">
        <v>804</v>
      </c>
    </row>
    <row r="2313" spans="1:18" x14ac:dyDescent="0.3">
      <c r="A2313" t="s">
        <v>627</v>
      </c>
      <c r="B2313" s="16">
        <v>45792</v>
      </c>
      <c r="C2313" t="s">
        <v>3</v>
      </c>
      <c r="D2313" t="s">
        <v>126</v>
      </c>
      <c r="E2313">
        <v>85</v>
      </c>
      <c r="F2313">
        <v>66</v>
      </c>
      <c r="G2313">
        <v>5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18</v>
      </c>
      <c r="N2313">
        <v>81</v>
      </c>
      <c r="O2313">
        <f t="shared" si="72"/>
        <v>2025</v>
      </c>
      <c r="P2313">
        <f t="shared" si="73"/>
        <v>5</v>
      </c>
      <c r="Q2313" t="s">
        <v>570</v>
      </c>
      <c r="R2313" s="546" t="s">
        <v>804</v>
      </c>
    </row>
    <row r="2314" spans="1:18" x14ac:dyDescent="0.3">
      <c r="A2314" t="s">
        <v>627</v>
      </c>
      <c r="B2314" s="16">
        <v>45792</v>
      </c>
      <c r="C2314" t="s">
        <v>3</v>
      </c>
      <c r="D2314" t="s">
        <v>125</v>
      </c>
      <c r="E2314">
        <v>5</v>
      </c>
      <c r="F2314">
        <v>4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1</v>
      </c>
      <c r="N2314">
        <v>5</v>
      </c>
      <c r="O2314">
        <f t="shared" si="72"/>
        <v>2025</v>
      </c>
      <c r="P2314">
        <f t="shared" si="73"/>
        <v>5</v>
      </c>
      <c r="Q2314" t="s">
        <v>570</v>
      </c>
      <c r="R2314" s="546" t="s">
        <v>804</v>
      </c>
    </row>
    <row r="2315" spans="1:18" x14ac:dyDescent="0.3">
      <c r="A2315" t="s">
        <v>627</v>
      </c>
      <c r="B2315" s="16">
        <v>45792</v>
      </c>
      <c r="C2315" t="s">
        <v>3</v>
      </c>
      <c r="D2315" t="s">
        <v>123</v>
      </c>
      <c r="E2315">
        <v>266</v>
      </c>
      <c r="F2315">
        <v>136</v>
      </c>
      <c r="G2315">
        <v>21</v>
      </c>
      <c r="H2315">
        <v>5</v>
      </c>
      <c r="I2315">
        <v>5305</v>
      </c>
      <c r="J2315">
        <v>2</v>
      </c>
      <c r="K2315">
        <v>0</v>
      </c>
      <c r="L2315">
        <v>0</v>
      </c>
      <c r="M2315">
        <v>77</v>
      </c>
      <c r="N2315">
        <v>244</v>
      </c>
      <c r="O2315">
        <f t="shared" si="72"/>
        <v>2025</v>
      </c>
      <c r="P2315">
        <f t="shared" si="73"/>
        <v>5</v>
      </c>
      <c r="Q2315" t="s">
        <v>570</v>
      </c>
      <c r="R2315" s="546" t="s">
        <v>804</v>
      </c>
    </row>
    <row r="2316" spans="1:18" x14ac:dyDescent="0.3">
      <c r="A2316" t="s">
        <v>627</v>
      </c>
      <c r="B2316" s="16">
        <v>45792</v>
      </c>
      <c r="C2316" t="s">
        <v>3</v>
      </c>
      <c r="D2316" t="s">
        <v>121</v>
      </c>
      <c r="E2316">
        <v>1</v>
      </c>
      <c r="F2316">
        <v>1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f t="shared" si="72"/>
        <v>2025</v>
      </c>
      <c r="P2316">
        <f t="shared" si="73"/>
        <v>5</v>
      </c>
      <c r="Q2316" t="s">
        <v>570</v>
      </c>
      <c r="R2316" s="546" t="s">
        <v>804</v>
      </c>
    </row>
    <row r="2317" spans="1:18" x14ac:dyDescent="0.3">
      <c r="A2317" t="s">
        <v>627</v>
      </c>
      <c r="B2317" s="16">
        <v>45792</v>
      </c>
      <c r="C2317" t="s">
        <v>3</v>
      </c>
      <c r="D2317" t="s">
        <v>119</v>
      </c>
      <c r="E2317">
        <v>216</v>
      </c>
      <c r="F2317">
        <v>75</v>
      </c>
      <c r="G2317">
        <v>18</v>
      </c>
      <c r="H2317">
        <v>1</v>
      </c>
      <c r="I2317">
        <v>21283</v>
      </c>
      <c r="J2317">
        <v>8</v>
      </c>
      <c r="K2317">
        <v>13063</v>
      </c>
      <c r="L2317">
        <v>4</v>
      </c>
      <c r="M2317">
        <v>40</v>
      </c>
      <c r="N2317">
        <v>210</v>
      </c>
      <c r="O2317">
        <f t="shared" si="72"/>
        <v>2025</v>
      </c>
      <c r="P2317">
        <f t="shared" si="73"/>
        <v>5</v>
      </c>
      <c r="Q2317" t="s">
        <v>570</v>
      </c>
      <c r="R2317" s="546" t="s">
        <v>804</v>
      </c>
    </row>
    <row r="2318" spans="1:18" x14ac:dyDescent="0.3">
      <c r="A2318" t="s">
        <v>627</v>
      </c>
      <c r="B2318" s="16">
        <v>45792</v>
      </c>
      <c r="C2318" t="s">
        <v>3</v>
      </c>
      <c r="D2318" t="s">
        <v>252</v>
      </c>
      <c r="E2318">
        <v>6</v>
      </c>
      <c r="F2318">
        <v>5</v>
      </c>
      <c r="G2318">
        <v>0</v>
      </c>
      <c r="H2318">
        <v>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6</v>
      </c>
      <c r="O2318">
        <f t="shared" si="72"/>
        <v>2025</v>
      </c>
      <c r="P2318">
        <f t="shared" si="73"/>
        <v>5</v>
      </c>
      <c r="Q2318" t="s">
        <v>570</v>
      </c>
      <c r="R2318" s="546" t="s">
        <v>804</v>
      </c>
    </row>
    <row r="2319" spans="1:18" x14ac:dyDescent="0.3">
      <c r="A2319" t="s">
        <v>627</v>
      </c>
      <c r="B2319" s="16">
        <v>45792</v>
      </c>
      <c r="C2319" t="s">
        <v>3</v>
      </c>
      <c r="D2319" t="s">
        <v>391</v>
      </c>
      <c r="E2319">
        <v>421</v>
      </c>
      <c r="F2319">
        <v>247</v>
      </c>
      <c r="G2319">
        <v>15</v>
      </c>
      <c r="H2319">
        <v>4</v>
      </c>
      <c r="I2319">
        <v>6157</v>
      </c>
      <c r="J2319">
        <v>3</v>
      </c>
      <c r="K2319">
        <v>1917</v>
      </c>
      <c r="L2319">
        <v>1</v>
      </c>
      <c r="M2319">
        <v>69</v>
      </c>
      <c r="N2319">
        <v>408</v>
      </c>
      <c r="O2319">
        <f t="shared" si="72"/>
        <v>2025</v>
      </c>
      <c r="P2319">
        <f t="shared" si="73"/>
        <v>5</v>
      </c>
      <c r="Q2319" t="s">
        <v>570</v>
      </c>
      <c r="R2319" s="546" t="s">
        <v>804</v>
      </c>
    </row>
    <row r="2320" spans="1:18" x14ac:dyDescent="0.3">
      <c r="A2320" t="s">
        <v>627</v>
      </c>
      <c r="B2320" s="16">
        <v>45792</v>
      </c>
      <c r="C2320" t="s">
        <v>3</v>
      </c>
      <c r="D2320" t="s">
        <v>114</v>
      </c>
      <c r="E2320">
        <v>33</v>
      </c>
      <c r="F2320">
        <v>20</v>
      </c>
      <c r="G2320">
        <v>2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2</v>
      </c>
      <c r="N2320">
        <v>32</v>
      </c>
      <c r="O2320">
        <f t="shared" si="72"/>
        <v>2025</v>
      </c>
      <c r="P2320">
        <f t="shared" si="73"/>
        <v>5</v>
      </c>
      <c r="Q2320" t="s">
        <v>570</v>
      </c>
      <c r="R2320" s="546" t="s">
        <v>804</v>
      </c>
    </row>
    <row r="2321" spans="1:18" x14ac:dyDescent="0.3">
      <c r="A2321" t="s">
        <v>627</v>
      </c>
      <c r="B2321" s="16">
        <v>45792</v>
      </c>
      <c r="C2321" t="s">
        <v>3</v>
      </c>
      <c r="D2321" t="s">
        <v>113</v>
      </c>
      <c r="E2321">
        <v>107</v>
      </c>
      <c r="F2321">
        <v>72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89</v>
      </c>
      <c r="N2321">
        <v>56</v>
      </c>
      <c r="O2321">
        <f t="shared" si="72"/>
        <v>2025</v>
      </c>
      <c r="P2321">
        <f t="shared" si="73"/>
        <v>5</v>
      </c>
      <c r="Q2321" t="s">
        <v>570</v>
      </c>
      <c r="R2321" s="546" t="s">
        <v>804</v>
      </c>
    </row>
    <row r="2322" spans="1:18" x14ac:dyDescent="0.3">
      <c r="A2322" t="s">
        <v>627</v>
      </c>
      <c r="B2322" s="16">
        <v>45792</v>
      </c>
      <c r="C2322" t="s">
        <v>3</v>
      </c>
      <c r="D2322" t="s">
        <v>112</v>
      </c>
      <c r="E2322">
        <v>20</v>
      </c>
      <c r="F2322">
        <v>4</v>
      </c>
      <c r="G2322">
        <v>0</v>
      </c>
      <c r="H2322">
        <v>0</v>
      </c>
      <c r="I2322">
        <v>2395</v>
      </c>
      <c r="J2322">
        <v>1</v>
      </c>
      <c r="K2322">
        <v>2395</v>
      </c>
      <c r="L2322">
        <v>1</v>
      </c>
      <c r="M2322">
        <v>0</v>
      </c>
      <c r="N2322">
        <v>20</v>
      </c>
      <c r="O2322">
        <f t="shared" si="72"/>
        <v>2025</v>
      </c>
      <c r="P2322">
        <f t="shared" si="73"/>
        <v>5</v>
      </c>
      <c r="Q2322" t="s">
        <v>570</v>
      </c>
      <c r="R2322" s="546" t="s">
        <v>804</v>
      </c>
    </row>
    <row r="2323" spans="1:18" x14ac:dyDescent="0.3">
      <c r="A2323" t="s">
        <v>627</v>
      </c>
      <c r="B2323" s="16">
        <v>45792</v>
      </c>
      <c r="C2323" t="s">
        <v>3</v>
      </c>
      <c r="D2323" t="s">
        <v>111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1</v>
      </c>
      <c r="O2323">
        <f t="shared" si="72"/>
        <v>2025</v>
      </c>
      <c r="P2323">
        <f t="shared" si="73"/>
        <v>5</v>
      </c>
      <c r="Q2323" t="s">
        <v>570</v>
      </c>
      <c r="R2323" s="546" t="s">
        <v>804</v>
      </c>
    </row>
    <row r="2324" spans="1:18" x14ac:dyDescent="0.3">
      <c r="A2324" t="s">
        <v>627</v>
      </c>
      <c r="B2324" s="16">
        <v>45791</v>
      </c>
      <c r="C2324" t="s">
        <v>2</v>
      </c>
      <c r="D2324" t="s">
        <v>4</v>
      </c>
      <c r="E2324">
        <v>214</v>
      </c>
      <c r="F2324">
        <v>76</v>
      </c>
      <c r="G2324">
        <v>1</v>
      </c>
      <c r="H2324">
        <v>0</v>
      </c>
      <c r="I2324">
        <v>2515</v>
      </c>
      <c r="J2324">
        <v>1</v>
      </c>
      <c r="K2324">
        <v>0</v>
      </c>
      <c r="L2324">
        <v>0</v>
      </c>
      <c r="M2324">
        <v>3</v>
      </c>
      <c r="N2324">
        <v>208</v>
      </c>
      <c r="O2324">
        <f t="shared" si="72"/>
        <v>2025</v>
      </c>
      <c r="P2324">
        <f t="shared" si="73"/>
        <v>5</v>
      </c>
      <c r="Q2324" t="s">
        <v>570</v>
      </c>
      <c r="R2324" s="546" t="s">
        <v>804</v>
      </c>
    </row>
    <row r="2325" spans="1:18" x14ac:dyDescent="0.3">
      <c r="A2325" t="s">
        <v>627</v>
      </c>
      <c r="B2325" s="16">
        <v>45791</v>
      </c>
      <c r="C2325" t="s">
        <v>2</v>
      </c>
      <c r="D2325" t="s">
        <v>57</v>
      </c>
      <c r="E2325">
        <v>17479</v>
      </c>
      <c r="F2325">
        <v>12635</v>
      </c>
      <c r="G2325">
        <v>334</v>
      </c>
      <c r="H2325">
        <v>285</v>
      </c>
      <c r="I2325">
        <v>161036</v>
      </c>
      <c r="J2325">
        <v>50</v>
      </c>
      <c r="K2325">
        <v>56436</v>
      </c>
      <c r="L2325">
        <v>20</v>
      </c>
      <c r="M2325">
        <v>1341</v>
      </c>
      <c r="N2325">
        <v>17172</v>
      </c>
      <c r="O2325">
        <f t="shared" si="72"/>
        <v>2025</v>
      </c>
      <c r="P2325">
        <f t="shared" si="73"/>
        <v>5</v>
      </c>
      <c r="Q2325" t="s">
        <v>570</v>
      </c>
      <c r="R2325" s="546" t="s">
        <v>804</v>
      </c>
    </row>
    <row r="2326" spans="1:18" x14ac:dyDescent="0.3">
      <c r="A2326" t="s">
        <v>627</v>
      </c>
      <c r="B2326" s="16">
        <v>45791</v>
      </c>
      <c r="C2326" t="s">
        <v>2</v>
      </c>
      <c r="D2326" t="s">
        <v>52</v>
      </c>
      <c r="E2326">
        <v>1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f t="shared" si="72"/>
        <v>2025</v>
      </c>
      <c r="P2326">
        <f t="shared" si="73"/>
        <v>5</v>
      </c>
      <c r="Q2326" t="s">
        <v>570</v>
      </c>
      <c r="R2326" s="546" t="s">
        <v>804</v>
      </c>
    </row>
    <row r="2327" spans="1:18" x14ac:dyDescent="0.3">
      <c r="A2327" t="s">
        <v>627</v>
      </c>
      <c r="B2327" s="16">
        <v>45791</v>
      </c>
      <c r="C2327" t="s">
        <v>2</v>
      </c>
      <c r="D2327" t="s">
        <v>55</v>
      </c>
      <c r="E2327">
        <v>1270</v>
      </c>
      <c r="F2327">
        <v>1125</v>
      </c>
      <c r="G2327">
        <v>9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28</v>
      </c>
      <c r="N2327">
        <v>385</v>
      </c>
      <c r="O2327">
        <f t="shared" si="72"/>
        <v>2025</v>
      </c>
      <c r="P2327">
        <f t="shared" si="73"/>
        <v>5</v>
      </c>
      <c r="Q2327" t="s">
        <v>570</v>
      </c>
      <c r="R2327" s="546" t="s">
        <v>804</v>
      </c>
    </row>
    <row r="2328" spans="1:18" x14ac:dyDescent="0.3">
      <c r="A2328" t="s">
        <v>627</v>
      </c>
      <c r="B2328" s="16">
        <v>45791</v>
      </c>
      <c r="C2328" t="s">
        <v>3</v>
      </c>
      <c r="D2328" t="s">
        <v>155</v>
      </c>
      <c r="E2328">
        <v>4</v>
      </c>
      <c r="F2328">
        <v>3</v>
      </c>
      <c r="G2328">
        <v>0</v>
      </c>
      <c r="H2328">
        <v>1</v>
      </c>
      <c r="I2328">
        <v>0</v>
      </c>
      <c r="J2328">
        <v>0</v>
      </c>
      <c r="K2328">
        <v>0</v>
      </c>
      <c r="L2328">
        <v>0</v>
      </c>
      <c r="M2328">
        <v>1</v>
      </c>
      <c r="N2328">
        <v>4</v>
      </c>
      <c r="O2328">
        <f t="shared" si="72"/>
        <v>2025</v>
      </c>
      <c r="P2328">
        <f t="shared" si="73"/>
        <v>5</v>
      </c>
      <c r="Q2328" t="s">
        <v>570</v>
      </c>
      <c r="R2328" s="546" t="s">
        <v>804</v>
      </c>
    </row>
    <row r="2329" spans="1:18" x14ac:dyDescent="0.3">
      <c r="A2329" t="s">
        <v>627</v>
      </c>
      <c r="B2329" s="16">
        <v>45791</v>
      </c>
      <c r="C2329" t="s">
        <v>3</v>
      </c>
      <c r="D2329" t="s">
        <v>154</v>
      </c>
      <c r="E2329">
        <v>316</v>
      </c>
      <c r="F2329">
        <v>284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f t="shared" si="72"/>
        <v>2025</v>
      </c>
      <c r="P2329">
        <f t="shared" si="73"/>
        <v>5</v>
      </c>
      <c r="Q2329" t="s">
        <v>570</v>
      </c>
      <c r="R2329" s="546" t="s">
        <v>804</v>
      </c>
    </row>
    <row r="2330" spans="1:18" x14ac:dyDescent="0.3">
      <c r="A2330" t="s">
        <v>627</v>
      </c>
      <c r="B2330" s="16">
        <v>45791</v>
      </c>
      <c r="C2330" t="s">
        <v>3</v>
      </c>
      <c r="D2330" t="s">
        <v>153</v>
      </c>
      <c r="E2330">
        <v>309</v>
      </c>
      <c r="F2330">
        <v>74</v>
      </c>
      <c r="G2330">
        <v>29</v>
      </c>
      <c r="H2330">
        <v>5</v>
      </c>
      <c r="I2330">
        <v>75891</v>
      </c>
      <c r="J2330">
        <v>23</v>
      </c>
      <c r="K2330">
        <v>57738</v>
      </c>
      <c r="L2330">
        <v>16</v>
      </c>
      <c r="M2330">
        <v>79</v>
      </c>
      <c r="N2330">
        <v>297</v>
      </c>
      <c r="O2330">
        <f t="shared" si="72"/>
        <v>2025</v>
      </c>
      <c r="P2330">
        <f t="shared" si="73"/>
        <v>5</v>
      </c>
      <c r="Q2330" t="s">
        <v>570</v>
      </c>
      <c r="R2330" s="546" t="s">
        <v>804</v>
      </c>
    </row>
    <row r="2331" spans="1:18" x14ac:dyDescent="0.3">
      <c r="A2331" t="s">
        <v>627</v>
      </c>
      <c r="B2331" s="16">
        <v>45791</v>
      </c>
      <c r="C2331" t="s">
        <v>3</v>
      </c>
      <c r="D2331" t="s">
        <v>152</v>
      </c>
      <c r="E2331">
        <v>636</v>
      </c>
      <c r="F2331">
        <v>593</v>
      </c>
      <c r="G2331">
        <v>1</v>
      </c>
      <c r="H2331">
        <v>2</v>
      </c>
      <c r="I2331">
        <v>0</v>
      </c>
      <c r="J2331">
        <v>0</v>
      </c>
      <c r="K2331">
        <v>0</v>
      </c>
      <c r="L2331">
        <v>0</v>
      </c>
      <c r="M2331">
        <v>1</v>
      </c>
      <c r="N2331">
        <v>27</v>
      </c>
      <c r="O2331">
        <f t="shared" si="72"/>
        <v>2025</v>
      </c>
      <c r="P2331">
        <f t="shared" si="73"/>
        <v>5</v>
      </c>
      <c r="Q2331" t="s">
        <v>570</v>
      </c>
      <c r="R2331" s="546" t="s">
        <v>804</v>
      </c>
    </row>
    <row r="2332" spans="1:18" x14ac:dyDescent="0.3">
      <c r="A2332" t="s">
        <v>627</v>
      </c>
      <c r="B2332" s="16">
        <v>45791</v>
      </c>
      <c r="C2332" t="s">
        <v>3</v>
      </c>
      <c r="D2332" t="s">
        <v>150</v>
      </c>
      <c r="E2332">
        <v>148</v>
      </c>
      <c r="F2332">
        <v>132</v>
      </c>
      <c r="G2332">
        <v>1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2</v>
      </c>
      <c r="O2332">
        <f t="shared" si="72"/>
        <v>2025</v>
      </c>
      <c r="P2332">
        <f t="shared" si="73"/>
        <v>5</v>
      </c>
      <c r="Q2332" t="s">
        <v>570</v>
      </c>
      <c r="R2332" s="546" t="s">
        <v>804</v>
      </c>
    </row>
    <row r="2333" spans="1:18" x14ac:dyDescent="0.3">
      <c r="A2333" t="s">
        <v>627</v>
      </c>
      <c r="B2333" s="16">
        <v>45791</v>
      </c>
      <c r="C2333" t="s">
        <v>3</v>
      </c>
      <c r="D2333" t="s">
        <v>149</v>
      </c>
      <c r="E2333">
        <v>7</v>
      </c>
      <c r="F2333">
        <v>3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2</v>
      </c>
      <c r="O2333">
        <f t="shared" si="72"/>
        <v>2025</v>
      </c>
      <c r="P2333">
        <f t="shared" si="73"/>
        <v>5</v>
      </c>
      <c r="Q2333" t="s">
        <v>570</v>
      </c>
      <c r="R2333" s="546" t="s">
        <v>804</v>
      </c>
    </row>
    <row r="2334" spans="1:18" x14ac:dyDescent="0.3">
      <c r="A2334" t="s">
        <v>627</v>
      </c>
      <c r="B2334" s="16">
        <v>45791</v>
      </c>
      <c r="C2334" t="s">
        <v>3</v>
      </c>
      <c r="D2334" t="s">
        <v>148</v>
      </c>
      <c r="E2334">
        <v>8</v>
      </c>
      <c r="F2334">
        <v>5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7</v>
      </c>
      <c r="N2334">
        <v>1</v>
      </c>
      <c r="O2334">
        <f t="shared" si="72"/>
        <v>2025</v>
      </c>
      <c r="P2334">
        <f t="shared" si="73"/>
        <v>5</v>
      </c>
      <c r="Q2334" t="s">
        <v>570</v>
      </c>
      <c r="R2334" s="546" t="s">
        <v>804</v>
      </c>
    </row>
    <row r="2335" spans="1:18" x14ac:dyDescent="0.3">
      <c r="A2335" t="s">
        <v>627</v>
      </c>
      <c r="B2335" s="16">
        <v>45791</v>
      </c>
      <c r="C2335" t="s">
        <v>3</v>
      </c>
      <c r="D2335" t="s">
        <v>251</v>
      </c>
      <c r="E2335">
        <v>231</v>
      </c>
      <c r="F2335">
        <v>144</v>
      </c>
      <c r="G2335">
        <v>20</v>
      </c>
      <c r="H2335">
        <v>0</v>
      </c>
      <c r="I2335">
        <v>18160</v>
      </c>
      <c r="J2335">
        <v>4</v>
      </c>
      <c r="K2335">
        <v>18160</v>
      </c>
      <c r="L2335">
        <v>4</v>
      </c>
      <c r="M2335">
        <v>74</v>
      </c>
      <c r="N2335">
        <v>165</v>
      </c>
      <c r="O2335">
        <f t="shared" si="72"/>
        <v>2025</v>
      </c>
      <c r="P2335">
        <f t="shared" si="73"/>
        <v>5</v>
      </c>
      <c r="Q2335" t="s">
        <v>570</v>
      </c>
      <c r="R2335" s="546" t="s">
        <v>804</v>
      </c>
    </row>
    <row r="2336" spans="1:18" x14ac:dyDescent="0.3">
      <c r="A2336" t="s">
        <v>627</v>
      </c>
      <c r="B2336" s="16">
        <v>45791</v>
      </c>
      <c r="C2336" t="s">
        <v>3</v>
      </c>
      <c r="D2336" t="s">
        <v>143</v>
      </c>
      <c r="E2336">
        <v>40</v>
      </c>
      <c r="F2336">
        <v>38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40</v>
      </c>
      <c r="O2336">
        <f t="shared" si="72"/>
        <v>2025</v>
      </c>
      <c r="P2336">
        <f t="shared" si="73"/>
        <v>5</v>
      </c>
      <c r="Q2336" t="s">
        <v>570</v>
      </c>
      <c r="R2336" s="546" t="s">
        <v>804</v>
      </c>
    </row>
    <row r="2337" spans="1:18" x14ac:dyDescent="0.3">
      <c r="A2337" t="s">
        <v>627</v>
      </c>
      <c r="B2337" s="16">
        <v>45791</v>
      </c>
      <c r="C2337" t="s">
        <v>3</v>
      </c>
      <c r="D2337" t="s">
        <v>141</v>
      </c>
      <c r="E2337">
        <v>595</v>
      </c>
      <c r="F2337">
        <v>255</v>
      </c>
      <c r="G2337">
        <v>11</v>
      </c>
      <c r="H2337">
        <v>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595</v>
      </c>
      <c r="O2337">
        <f t="shared" si="72"/>
        <v>2025</v>
      </c>
      <c r="P2337">
        <f t="shared" si="73"/>
        <v>5</v>
      </c>
      <c r="Q2337" t="s">
        <v>570</v>
      </c>
      <c r="R2337" s="546" t="s">
        <v>804</v>
      </c>
    </row>
    <row r="2338" spans="1:18" x14ac:dyDescent="0.3">
      <c r="A2338" t="s">
        <v>627</v>
      </c>
      <c r="B2338" s="16">
        <v>45791</v>
      </c>
      <c r="C2338" t="s">
        <v>3</v>
      </c>
      <c r="D2338" t="s">
        <v>140</v>
      </c>
      <c r="E2338">
        <v>6</v>
      </c>
      <c r="F2338">
        <v>5</v>
      </c>
      <c r="G2338">
        <v>0</v>
      </c>
      <c r="H2338">
        <v>0</v>
      </c>
      <c r="I2338">
        <v>4695</v>
      </c>
      <c r="J2338">
        <v>1</v>
      </c>
      <c r="K2338">
        <v>4695</v>
      </c>
      <c r="L2338">
        <v>1</v>
      </c>
      <c r="M2338">
        <v>1</v>
      </c>
      <c r="N2338">
        <v>6</v>
      </c>
      <c r="O2338">
        <f t="shared" si="72"/>
        <v>2025</v>
      </c>
      <c r="P2338">
        <f t="shared" si="73"/>
        <v>5</v>
      </c>
      <c r="Q2338" t="s">
        <v>570</v>
      </c>
      <c r="R2338" s="546" t="s">
        <v>804</v>
      </c>
    </row>
    <row r="2339" spans="1:18" x14ac:dyDescent="0.3">
      <c r="A2339" t="s">
        <v>627</v>
      </c>
      <c r="B2339" s="16">
        <v>45791</v>
      </c>
      <c r="C2339" t="s">
        <v>3</v>
      </c>
      <c r="D2339" t="s">
        <v>139</v>
      </c>
      <c r="E2339">
        <v>1401</v>
      </c>
      <c r="F2339">
        <v>1067</v>
      </c>
      <c r="G2339">
        <v>43</v>
      </c>
      <c r="H2339">
        <v>9</v>
      </c>
      <c r="I2339">
        <v>39695</v>
      </c>
      <c r="J2339">
        <v>15</v>
      </c>
      <c r="K2339">
        <v>30245</v>
      </c>
      <c r="L2339">
        <v>10</v>
      </c>
      <c r="M2339">
        <v>252</v>
      </c>
      <c r="N2339">
        <v>362</v>
      </c>
      <c r="O2339">
        <f t="shared" si="72"/>
        <v>2025</v>
      </c>
      <c r="P2339">
        <f t="shared" si="73"/>
        <v>5</v>
      </c>
      <c r="Q2339" t="s">
        <v>570</v>
      </c>
      <c r="R2339" s="546" t="s">
        <v>804</v>
      </c>
    </row>
    <row r="2340" spans="1:18" x14ac:dyDescent="0.3">
      <c r="A2340" t="s">
        <v>627</v>
      </c>
      <c r="B2340" s="16">
        <v>45791</v>
      </c>
      <c r="C2340" t="s">
        <v>3</v>
      </c>
      <c r="D2340" t="s">
        <v>138</v>
      </c>
      <c r="E2340">
        <v>4</v>
      </c>
      <c r="F2340">
        <v>1</v>
      </c>
      <c r="G2340">
        <v>0</v>
      </c>
      <c r="H2340">
        <v>0</v>
      </c>
      <c r="I2340">
        <v>1490</v>
      </c>
      <c r="J2340">
        <v>1</v>
      </c>
      <c r="K2340">
        <v>1490</v>
      </c>
      <c r="L2340">
        <v>1</v>
      </c>
      <c r="M2340">
        <v>0</v>
      </c>
      <c r="N2340">
        <v>4</v>
      </c>
      <c r="O2340">
        <f t="shared" si="72"/>
        <v>2025</v>
      </c>
      <c r="P2340">
        <f t="shared" si="73"/>
        <v>5</v>
      </c>
      <c r="Q2340" t="s">
        <v>570</v>
      </c>
      <c r="R2340" s="546" t="s">
        <v>804</v>
      </c>
    </row>
    <row r="2341" spans="1:18" x14ac:dyDescent="0.3">
      <c r="A2341" t="s">
        <v>627</v>
      </c>
      <c r="B2341" s="16">
        <v>45791</v>
      </c>
      <c r="C2341" t="s">
        <v>3</v>
      </c>
      <c r="D2341" t="s">
        <v>135</v>
      </c>
      <c r="E2341">
        <v>146</v>
      </c>
      <c r="F2341">
        <v>127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6</v>
      </c>
      <c r="O2341">
        <f t="shared" si="72"/>
        <v>2025</v>
      </c>
      <c r="P2341">
        <f t="shared" si="73"/>
        <v>5</v>
      </c>
      <c r="Q2341" t="s">
        <v>570</v>
      </c>
      <c r="R2341" s="546" t="s">
        <v>804</v>
      </c>
    </row>
    <row r="2342" spans="1:18" x14ac:dyDescent="0.3">
      <c r="A2342" t="s">
        <v>627</v>
      </c>
      <c r="B2342" s="16">
        <v>45791</v>
      </c>
      <c r="C2342" t="s">
        <v>3</v>
      </c>
      <c r="D2342" t="s">
        <v>133</v>
      </c>
      <c r="E2342">
        <v>13</v>
      </c>
      <c r="F2342">
        <v>8</v>
      </c>
      <c r="G2342">
        <v>2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3</v>
      </c>
      <c r="N2342">
        <v>12</v>
      </c>
      <c r="O2342">
        <f t="shared" si="72"/>
        <v>2025</v>
      </c>
      <c r="P2342">
        <f t="shared" si="73"/>
        <v>5</v>
      </c>
      <c r="Q2342" t="s">
        <v>570</v>
      </c>
      <c r="R2342" s="546" t="s">
        <v>804</v>
      </c>
    </row>
    <row r="2343" spans="1:18" x14ac:dyDescent="0.3">
      <c r="A2343" t="s">
        <v>627</v>
      </c>
      <c r="B2343" s="16">
        <v>45791</v>
      </c>
      <c r="C2343" t="s">
        <v>3</v>
      </c>
      <c r="D2343" t="s">
        <v>130</v>
      </c>
      <c r="E2343">
        <v>72</v>
      </c>
      <c r="F2343">
        <v>33</v>
      </c>
      <c r="G2343">
        <v>12</v>
      </c>
      <c r="H2343">
        <v>0</v>
      </c>
      <c r="I2343">
        <v>12340</v>
      </c>
      <c r="J2343">
        <v>4</v>
      </c>
      <c r="K2343">
        <v>12340</v>
      </c>
      <c r="L2343">
        <v>4</v>
      </c>
      <c r="M2343">
        <v>45</v>
      </c>
      <c r="N2343">
        <v>52</v>
      </c>
      <c r="O2343">
        <f t="shared" si="72"/>
        <v>2025</v>
      </c>
      <c r="P2343">
        <f t="shared" si="73"/>
        <v>5</v>
      </c>
      <c r="Q2343" t="s">
        <v>570</v>
      </c>
      <c r="R2343" s="546" t="s">
        <v>804</v>
      </c>
    </row>
    <row r="2344" spans="1:18" x14ac:dyDescent="0.3">
      <c r="A2344" t="s">
        <v>627</v>
      </c>
      <c r="B2344" s="16">
        <v>45791</v>
      </c>
      <c r="C2344" t="s">
        <v>3</v>
      </c>
      <c r="D2344" t="s">
        <v>128</v>
      </c>
      <c r="E2344">
        <v>600</v>
      </c>
      <c r="F2344">
        <v>501</v>
      </c>
      <c r="G2344">
        <v>24</v>
      </c>
      <c r="H2344">
        <v>3</v>
      </c>
      <c r="I2344">
        <v>3300</v>
      </c>
      <c r="J2344">
        <v>2</v>
      </c>
      <c r="K2344">
        <v>1050</v>
      </c>
      <c r="L2344">
        <v>1</v>
      </c>
      <c r="M2344">
        <v>294</v>
      </c>
      <c r="N2344">
        <v>366</v>
      </c>
      <c r="O2344">
        <f t="shared" si="72"/>
        <v>2025</v>
      </c>
      <c r="P2344">
        <f t="shared" si="73"/>
        <v>5</v>
      </c>
      <c r="Q2344" t="s">
        <v>570</v>
      </c>
      <c r="R2344" s="546" t="s">
        <v>804</v>
      </c>
    </row>
    <row r="2345" spans="1:18" x14ac:dyDescent="0.3">
      <c r="A2345" t="s">
        <v>627</v>
      </c>
      <c r="B2345" s="16">
        <v>45791</v>
      </c>
      <c r="C2345" t="s">
        <v>3</v>
      </c>
      <c r="D2345" t="s">
        <v>127</v>
      </c>
      <c r="E2345">
        <v>867</v>
      </c>
      <c r="F2345">
        <v>436</v>
      </c>
      <c r="G2345">
        <v>23</v>
      </c>
      <c r="H2345">
        <v>5</v>
      </c>
      <c r="I2345">
        <v>6829</v>
      </c>
      <c r="J2345">
        <v>3</v>
      </c>
      <c r="K2345">
        <v>6829</v>
      </c>
      <c r="L2345">
        <v>3</v>
      </c>
      <c r="M2345">
        <v>86</v>
      </c>
      <c r="N2345">
        <v>701</v>
      </c>
      <c r="O2345">
        <f t="shared" si="72"/>
        <v>2025</v>
      </c>
      <c r="P2345">
        <f t="shared" si="73"/>
        <v>5</v>
      </c>
      <c r="Q2345" t="s">
        <v>570</v>
      </c>
      <c r="R2345" s="546" t="s">
        <v>804</v>
      </c>
    </row>
    <row r="2346" spans="1:18" x14ac:dyDescent="0.3">
      <c r="A2346" t="s">
        <v>627</v>
      </c>
      <c r="B2346" s="16">
        <v>45791</v>
      </c>
      <c r="C2346" t="s">
        <v>3</v>
      </c>
      <c r="D2346" t="s">
        <v>126</v>
      </c>
      <c r="E2346">
        <v>72</v>
      </c>
      <c r="F2346">
        <v>51</v>
      </c>
      <c r="G2346">
        <v>4</v>
      </c>
      <c r="H2346">
        <v>0</v>
      </c>
      <c r="I2346">
        <v>5750</v>
      </c>
      <c r="J2346">
        <v>1</v>
      </c>
      <c r="K2346">
        <v>5750</v>
      </c>
      <c r="L2346">
        <v>1</v>
      </c>
      <c r="M2346">
        <v>17</v>
      </c>
      <c r="N2346">
        <v>66</v>
      </c>
      <c r="O2346">
        <f t="shared" si="72"/>
        <v>2025</v>
      </c>
      <c r="P2346">
        <f t="shared" si="73"/>
        <v>5</v>
      </c>
      <c r="Q2346" t="s">
        <v>570</v>
      </c>
      <c r="R2346" s="546" t="s">
        <v>804</v>
      </c>
    </row>
    <row r="2347" spans="1:18" x14ac:dyDescent="0.3">
      <c r="A2347" t="s">
        <v>627</v>
      </c>
      <c r="B2347" s="16">
        <v>45791</v>
      </c>
      <c r="C2347" t="s">
        <v>3</v>
      </c>
      <c r="D2347" t="s">
        <v>125</v>
      </c>
      <c r="E2347">
        <v>1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1</v>
      </c>
      <c r="N2347">
        <v>1</v>
      </c>
      <c r="O2347">
        <f t="shared" si="72"/>
        <v>2025</v>
      </c>
      <c r="P2347">
        <f t="shared" si="73"/>
        <v>5</v>
      </c>
      <c r="Q2347" t="s">
        <v>570</v>
      </c>
      <c r="R2347" s="546" t="s">
        <v>804</v>
      </c>
    </row>
    <row r="2348" spans="1:18" x14ac:dyDescent="0.3">
      <c r="A2348" t="s">
        <v>627</v>
      </c>
      <c r="B2348" s="16">
        <v>45791</v>
      </c>
      <c r="C2348" t="s">
        <v>3</v>
      </c>
      <c r="D2348" t="s">
        <v>123</v>
      </c>
      <c r="E2348">
        <v>238</v>
      </c>
      <c r="F2348">
        <v>117</v>
      </c>
      <c r="G2348">
        <v>23</v>
      </c>
      <c r="H2348">
        <v>8</v>
      </c>
      <c r="I2348">
        <v>10500</v>
      </c>
      <c r="J2348">
        <v>4</v>
      </c>
      <c r="K2348">
        <v>10500</v>
      </c>
      <c r="L2348">
        <v>4</v>
      </c>
      <c r="M2348">
        <v>64</v>
      </c>
      <c r="N2348">
        <v>217</v>
      </c>
      <c r="O2348">
        <f t="shared" si="72"/>
        <v>2025</v>
      </c>
      <c r="P2348">
        <f t="shared" si="73"/>
        <v>5</v>
      </c>
      <c r="Q2348" t="s">
        <v>570</v>
      </c>
      <c r="R2348" s="546" t="s">
        <v>804</v>
      </c>
    </row>
    <row r="2349" spans="1:18" x14ac:dyDescent="0.3">
      <c r="A2349" t="s">
        <v>627</v>
      </c>
      <c r="B2349" s="16">
        <v>45791</v>
      </c>
      <c r="C2349" t="s">
        <v>3</v>
      </c>
      <c r="D2349" t="s">
        <v>121</v>
      </c>
      <c r="E2349">
        <v>3</v>
      </c>
      <c r="F2349">
        <v>2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1</v>
      </c>
      <c r="N2349">
        <v>2</v>
      </c>
      <c r="O2349">
        <f t="shared" si="72"/>
        <v>2025</v>
      </c>
      <c r="P2349">
        <f t="shared" si="73"/>
        <v>5</v>
      </c>
      <c r="Q2349" t="s">
        <v>570</v>
      </c>
      <c r="R2349" s="546" t="s">
        <v>804</v>
      </c>
    </row>
    <row r="2350" spans="1:18" x14ac:dyDescent="0.3">
      <c r="A2350" t="s">
        <v>627</v>
      </c>
      <c r="B2350" s="16">
        <v>45791</v>
      </c>
      <c r="C2350" t="s">
        <v>3</v>
      </c>
      <c r="D2350" t="s">
        <v>119</v>
      </c>
      <c r="E2350">
        <v>179</v>
      </c>
      <c r="F2350">
        <v>57</v>
      </c>
      <c r="G2350">
        <v>18</v>
      </c>
      <c r="H2350">
        <v>4</v>
      </c>
      <c r="I2350">
        <v>17463</v>
      </c>
      <c r="J2350">
        <v>5</v>
      </c>
      <c r="K2350">
        <v>9938</v>
      </c>
      <c r="L2350">
        <v>3</v>
      </c>
      <c r="M2350">
        <v>48</v>
      </c>
      <c r="N2350">
        <v>177</v>
      </c>
      <c r="O2350">
        <f t="shared" si="72"/>
        <v>2025</v>
      </c>
      <c r="P2350">
        <f t="shared" si="73"/>
        <v>5</v>
      </c>
      <c r="Q2350" t="s">
        <v>570</v>
      </c>
      <c r="R2350" s="546" t="s">
        <v>804</v>
      </c>
    </row>
    <row r="2351" spans="1:18" x14ac:dyDescent="0.3">
      <c r="A2351" t="s">
        <v>627</v>
      </c>
      <c r="B2351" s="16">
        <v>45791</v>
      </c>
      <c r="C2351" t="s">
        <v>3</v>
      </c>
      <c r="D2351" t="s">
        <v>252</v>
      </c>
      <c r="E2351">
        <v>10</v>
      </c>
      <c r="F2351">
        <v>9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10</v>
      </c>
      <c r="O2351">
        <f t="shared" ref="O2351:O2414" si="74">YEAR(B2351)</f>
        <v>2025</v>
      </c>
      <c r="P2351">
        <f t="shared" ref="P2351:P2414" si="75">MONTH(B2351)</f>
        <v>5</v>
      </c>
      <c r="Q2351" t="s">
        <v>570</v>
      </c>
      <c r="R2351" s="546" t="s">
        <v>804</v>
      </c>
    </row>
    <row r="2352" spans="1:18" x14ac:dyDescent="0.3">
      <c r="A2352" t="s">
        <v>627</v>
      </c>
      <c r="B2352" s="16">
        <v>45791</v>
      </c>
      <c r="C2352" t="s">
        <v>3</v>
      </c>
      <c r="D2352" t="s">
        <v>391</v>
      </c>
      <c r="E2352">
        <v>387</v>
      </c>
      <c r="F2352">
        <v>238</v>
      </c>
      <c r="G2352">
        <v>21</v>
      </c>
      <c r="H2352">
        <v>2</v>
      </c>
      <c r="I2352">
        <v>12830</v>
      </c>
      <c r="J2352">
        <v>4</v>
      </c>
      <c r="K2352">
        <v>7690</v>
      </c>
      <c r="L2352">
        <v>2</v>
      </c>
      <c r="M2352">
        <v>69</v>
      </c>
      <c r="N2352">
        <v>382</v>
      </c>
      <c r="O2352">
        <f t="shared" si="74"/>
        <v>2025</v>
      </c>
      <c r="P2352">
        <f t="shared" si="75"/>
        <v>5</v>
      </c>
      <c r="Q2352" t="s">
        <v>570</v>
      </c>
      <c r="R2352" s="546" t="s">
        <v>804</v>
      </c>
    </row>
    <row r="2353" spans="1:18" x14ac:dyDescent="0.3">
      <c r="A2353" t="s">
        <v>627</v>
      </c>
      <c r="B2353" s="16">
        <v>45791</v>
      </c>
      <c r="C2353" t="s">
        <v>3</v>
      </c>
      <c r="D2353" t="s">
        <v>114</v>
      </c>
      <c r="E2353">
        <v>51</v>
      </c>
      <c r="F2353">
        <v>24</v>
      </c>
      <c r="G2353">
        <v>2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6</v>
      </c>
      <c r="N2353">
        <v>44</v>
      </c>
      <c r="O2353">
        <f t="shared" si="74"/>
        <v>2025</v>
      </c>
      <c r="P2353">
        <f t="shared" si="75"/>
        <v>5</v>
      </c>
      <c r="Q2353" t="s">
        <v>570</v>
      </c>
      <c r="R2353" s="546" t="s">
        <v>804</v>
      </c>
    </row>
    <row r="2354" spans="1:18" x14ac:dyDescent="0.3">
      <c r="A2354" t="s">
        <v>627</v>
      </c>
      <c r="B2354" s="16">
        <v>45791</v>
      </c>
      <c r="C2354" t="s">
        <v>3</v>
      </c>
      <c r="D2354" t="s">
        <v>113</v>
      </c>
      <c r="E2354">
        <v>98</v>
      </c>
      <c r="F2354">
        <v>60</v>
      </c>
      <c r="G2354">
        <v>5</v>
      </c>
      <c r="H2354">
        <v>1</v>
      </c>
      <c r="I2354">
        <v>8095</v>
      </c>
      <c r="J2354">
        <v>2</v>
      </c>
      <c r="K2354">
        <v>8095</v>
      </c>
      <c r="L2354">
        <v>2</v>
      </c>
      <c r="M2354">
        <v>85</v>
      </c>
      <c r="N2354">
        <v>55</v>
      </c>
      <c r="O2354">
        <f t="shared" si="74"/>
        <v>2025</v>
      </c>
      <c r="P2354">
        <f t="shared" si="75"/>
        <v>5</v>
      </c>
      <c r="Q2354" t="s">
        <v>570</v>
      </c>
      <c r="R2354" s="546" t="s">
        <v>804</v>
      </c>
    </row>
    <row r="2355" spans="1:18" x14ac:dyDescent="0.3">
      <c r="A2355" t="s">
        <v>627</v>
      </c>
      <c r="B2355" s="16">
        <v>45791</v>
      </c>
      <c r="C2355" t="s">
        <v>3</v>
      </c>
      <c r="D2355" t="s">
        <v>112</v>
      </c>
      <c r="E2355">
        <v>24</v>
      </c>
      <c r="F2355">
        <v>5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24</v>
      </c>
      <c r="O2355">
        <f t="shared" si="74"/>
        <v>2025</v>
      </c>
      <c r="P2355">
        <f t="shared" si="75"/>
        <v>5</v>
      </c>
      <c r="Q2355" t="s">
        <v>570</v>
      </c>
      <c r="R2355" s="546" t="s">
        <v>804</v>
      </c>
    </row>
    <row r="2356" spans="1:18" x14ac:dyDescent="0.3">
      <c r="A2356" t="s">
        <v>627</v>
      </c>
      <c r="B2356" s="16">
        <v>45791</v>
      </c>
      <c r="C2356" t="s">
        <v>3</v>
      </c>
      <c r="D2356" t="s">
        <v>111</v>
      </c>
      <c r="E2356">
        <v>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2</v>
      </c>
      <c r="O2356">
        <f t="shared" si="74"/>
        <v>2025</v>
      </c>
      <c r="P2356">
        <f t="shared" si="75"/>
        <v>5</v>
      </c>
      <c r="Q2356" t="s">
        <v>570</v>
      </c>
      <c r="R2356" s="546" t="s">
        <v>804</v>
      </c>
    </row>
    <row r="2357" spans="1:18" x14ac:dyDescent="0.3">
      <c r="A2357" t="s">
        <v>627</v>
      </c>
      <c r="B2357" s="16">
        <v>45790</v>
      </c>
      <c r="C2357" t="s">
        <v>2</v>
      </c>
      <c r="D2357" t="s">
        <v>4</v>
      </c>
      <c r="E2357">
        <v>222</v>
      </c>
      <c r="F2357">
        <v>71</v>
      </c>
      <c r="G2357">
        <v>4</v>
      </c>
      <c r="H2357">
        <v>0</v>
      </c>
      <c r="I2357">
        <v>5278</v>
      </c>
      <c r="J2357">
        <v>3</v>
      </c>
      <c r="K2357">
        <v>5278</v>
      </c>
      <c r="L2357">
        <v>3</v>
      </c>
      <c r="M2357">
        <v>2</v>
      </c>
      <c r="N2357">
        <v>222</v>
      </c>
      <c r="O2357">
        <f t="shared" si="74"/>
        <v>2025</v>
      </c>
      <c r="P2357">
        <f t="shared" si="75"/>
        <v>5</v>
      </c>
      <c r="Q2357" t="s">
        <v>570</v>
      </c>
      <c r="R2357" s="546" t="s">
        <v>804</v>
      </c>
    </row>
    <row r="2358" spans="1:18" x14ac:dyDescent="0.3">
      <c r="A2358" t="s">
        <v>627</v>
      </c>
      <c r="B2358" s="16">
        <v>45790</v>
      </c>
      <c r="C2358" t="s">
        <v>2</v>
      </c>
      <c r="D2358" t="s">
        <v>57</v>
      </c>
      <c r="E2358">
        <v>16650</v>
      </c>
      <c r="F2358">
        <v>12081</v>
      </c>
      <c r="G2358">
        <v>278</v>
      </c>
      <c r="H2358">
        <v>276</v>
      </c>
      <c r="I2358">
        <v>123329</v>
      </c>
      <c r="J2358">
        <v>35</v>
      </c>
      <c r="K2358">
        <v>82436</v>
      </c>
      <c r="L2358">
        <v>26</v>
      </c>
      <c r="M2358">
        <v>1285</v>
      </c>
      <c r="N2358">
        <v>16360</v>
      </c>
      <c r="O2358">
        <f t="shared" si="74"/>
        <v>2025</v>
      </c>
      <c r="P2358">
        <f t="shared" si="75"/>
        <v>5</v>
      </c>
      <c r="Q2358" t="s">
        <v>570</v>
      </c>
      <c r="R2358" s="546" t="s">
        <v>804</v>
      </c>
    </row>
    <row r="2359" spans="1:18" x14ac:dyDescent="0.3">
      <c r="A2359" t="s">
        <v>627</v>
      </c>
      <c r="B2359" s="16">
        <v>45790</v>
      </c>
      <c r="C2359" t="s">
        <v>2</v>
      </c>
      <c r="D2359" t="s">
        <v>52</v>
      </c>
      <c r="E2359">
        <v>1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1</v>
      </c>
      <c r="O2359">
        <f t="shared" si="74"/>
        <v>2025</v>
      </c>
      <c r="P2359">
        <f t="shared" si="75"/>
        <v>5</v>
      </c>
      <c r="Q2359" t="s">
        <v>570</v>
      </c>
      <c r="R2359" s="546" t="s">
        <v>804</v>
      </c>
    </row>
    <row r="2360" spans="1:18" x14ac:dyDescent="0.3">
      <c r="A2360" t="s">
        <v>627</v>
      </c>
      <c r="B2360" s="16">
        <v>45790</v>
      </c>
      <c r="C2360" t="s">
        <v>2</v>
      </c>
      <c r="D2360" t="s">
        <v>55</v>
      </c>
      <c r="E2360">
        <v>1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1</v>
      </c>
      <c r="O2360">
        <f t="shared" si="74"/>
        <v>2025</v>
      </c>
      <c r="P2360">
        <f t="shared" si="75"/>
        <v>5</v>
      </c>
      <c r="Q2360" t="s">
        <v>570</v>
      </c>
      <c r="R2360" s="546" t="s">
        <v>804</v>
      </c>
    </row>
    <row r="2361" spans="1:18" x14ac:dyDescent="0.3">
      <c r="A2361" t="s">
        <v>627</v>
      </c>
      <c r="B2361" s="16">
        <v>45790</v>
      </c>
      <c r="C2361" t="s">
        <v>3</v>
      </c>
      <c r="D2361" t="s">
        <v>155</v>
      </c>
      <c r="E2361">
        <v>1</v>
      </c>
      <c r="F2361">
        <v>1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1</v>
      </c>
      <c r="O2361">
        <f t="shared" si="74"/>
        <v>2025</v>
      </c>
      <c r="P2361">
        <f t="shared" si="75"/>
        <v>5</v>
      </c>
      <c r="Q2361" t="s">
        <v>570</v>
      </c>
      <c r="R2361" s="546" t="s">
        <v>804</v>
      </c>
    </row>
    <row r="2362" spans="1:18" x14ac:dyDescent="0.3">
      <c r="A2362" t="s">
        <v>627</v>
      </c>
      <c r="B2362" s="16">
        <v>45790</v>
      </c>
      <c r="C2362" t="s">
        <v>3</v>
      </c>
      <c r="D2362" t="s">
        <v>153</v>
      </c>
      <c r="E2362">
        <v>282</v>
      </c>
      <c r="F2362">
        <v>81</v>
      </c>
      <c r="G2362">
        <v>33</v>
      </c>
      <c r="H2362">
        <v>3</v>
      </c>
      <c r="I2362">
        <v>58444</v>
      </c>
      <c r="J2362">
        <v>20</v>
      </c>
      <c r="K2362">
        <v>43516</v>
      </c>
      <c r="L2362">
        <v>15</v>
      </c>
      <c r="M2362">
        <v>85</v>
      </c>
      <c r="N2362">
        <v>272</v>
      </c>
      <c r="O2362">
        <f t="shared" si="74"/>
        <v>2025</v>
      </c>
      <c r="P2362">
        <f t="shared" si="75"/>
        <v>5</v>
      </c>
      <c r="Q2362" t="s">
        <v>570</v>
      </c>
      <c r="R2362" s="546" t="s">
        <v>804</v>
      </c>
    </row>
    <row r="2363" spans="1:18" x14ac:dyDescent="0.3">
      <c r="A2363" t="s">
        <v>627</v>
      </c>
      <c r="B2363" s="16">
        <v>45790</v>
      </c>
      <c r="C2363" t="s">
        <v>3</v>
      </c>
      <c r="D2363" t="s">
        <v>152</v>
      </c>
      <c r="E2363">
        <v>13</v>
      </c>
      <c r="F2363">
        <v>6</v>
      </c>
      <c r="G2363">
        <v>1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13</v>
      </c>
      <c r="O2363">
        <f t="shared" si="74"/>
        <v>2025</v>
      </c>
      <c r="P2363">
        <f t="shared" si="75"/>
        <v>5</v>
      </c>
      <c r="Q2363" t="s">
        <v>570</v>
      </c>
      <c r="R2363" s="546" t="s">
        <v>804</v>
      </c>
    </row>
    <row r="2364" spans="1:18" x14ac:dyDescent="0.3">
      <c r="A2364" t="s">
        <v>627</v>
      </c>
      <c r="B2364" s="16">
        <v>45790</v>
      </c>
      <c r="C2364" t="s">
        <v>3</v>
      </c>
      <c r="D2364" t="s">
        <v>150</v>
      </c>
      <c r="E2364">
        <v>2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1</v>
      </c>
      <c r="N2364">
        <v>2</v>
      </c>
      <c r="O2364">
        <f t="shared" si="74"/>
        <v>2025</v>
      </c>
      <c r="P2364">
        <f t="shared" si="75"/>
        <v>5</v>
      </c>
      <c r="Q2364" t="s">
        <v>570</v>
      </c>
      <c r="R2364" s="546" t="s">
        <v>804</v>
      </c>
    </row>
    <row r="2365" spans="1:18" x14ac:dyDescent="0.3">
      <c r="A2365" t="s">
        <v>627</v>
      </c>
      <c r="B2365" s="16">
        <v>45790</v>
      </c>
      <c r="C2365" t="s">
        <v>3</v>
      </c>
      <c r="D2365" t="s">
        <v>149</v>
      </c>
      <c r="E2365">
        <v>1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f t="shared" si="74"/>
        <v>2025</v>
      </c>
      <c r="P2365">
        <f t="shared" si="75"/>
        <v>5</v>
      </c>
      <c r="Q2365" t="s">
        <v>570</v>
      </c>
      <c r="R2365" s="546" t="s">
        <v>804</v>
      </c>
    </row>
    <row r="2366" spans="1:18" x14ac:dyDescent="0.3">
      <c r="A2366" t="s">
        <v>627</v>
      </c>
      <c r="B2366" s="16">
        <v>45790</v>
      </c>
      <c r="C2366" t="s">
        <v>3</v>
      </c>
      <c r="D2366" t="s">
        <v>148</v>
      </c>
      <c r="E2366">
        <v>43</v>
      </c>
      <c r="F2366">
        <v>43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42</v>
      </c>
      <c r="N2366">
        <v>1</v>
      </c>
      <c r="O2366">
        <f t="shared" si="74"/>
        <v>2025</v>
      </c>
      <c r="P2366">
        <f t="shared" si="75"/>
        <v>5</v>
      </c>
      <c r="Q2366" t="s">
        <v>570</v>
      </c>
      <c r="R2366" s="546" t="s">
        <v>804</v>
      </c>
    </row>
    <row r="2367" spans="1:18" x14ac:dyDescent="0.3">
      <c r="A2367" t="s">
        <v>627</v>
      </c>
      <c r="B2367" s="16">
        <v>45790</v>
      </c>
      <c r="C2367" t="s">
        <v>3</v>
      </c>
      <c r="D2367" t="s">
        <v>251</v>
      </c>
      <c r="E2367">
        <v>157</v>
      </c>
      <c r="F2367">
        <v>72</v>
      </c>
      <c r="G2367">
        <v>14</v>
      </c>
      <c r="H2367">
        <v>3</v>
      </c>
      <c r="I2367">
        <v>24645</v>
      </c>
      <c r="J2367">
        <v>6</v>
      </c>
      <c r="K2367">
        <v>18310</v>
      </c>
      <c r="L2367">
        <v>5</v>
      </c>
      <c r="M2367">
        <v>61</v>
      </c>
      <c r="N2367">
        <v>127</v>
      </c>
      <c r="O2367">
        <f t="shared" si="74"/>
        <v>2025</v>
      </c>
      <c r="P2367">
        <f t="shared" si="75"/>
        <v>5</v>
      </c>
      <c r="Q2367" t="s">
        <v>570</v>
      </c>
      <c r="R2367" s="546" t="s">
        <v>804</v>
      </c>
    </row>
    <row r="2368" spans="1:18" x14ac:dyDescent="0.3">
      <c r="A2368" t="s">
        <v>627</v>
      </c>
      <c r="B2368" s="16">
        <v>45790</v>
      </c>
      <c r="C2368" t="s">
        <v>3</v>
      </c>
      <c r="D2368" t="s">
        <v>143</v>
      </c>
      <c r="E2368">
        <v>28</v>
      </c>
      <c r="F2368">
        <v>27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1</v>
      </c>
      <c r="N2368">
        <v>28</v>
      </c>
      <c r="O2368">
        <f t="shared" si="74"/>
        <v>2025</v>
      </c>
      <c r="P2368">
        <f t="shared" si="75"/>
        <v>5</v>
      </c>
      <c r="Q2368" t="s">
        <v>570</v>
      </c>
      <c r="R2368" s="546" t="s">
        <v>804</v>
      </c>
    </row>
    <row r="2369" spans="1:18" x14ac:dyDescent="0.3">
      <c r="A2369" t="s">
        <v>627</v>
      </c>
      <c r="B2369" s="16">
        <v>45790</v>
      </c>
      <c r="C2369" t="s">
        <v>3</v>
      </c>
      <c r="D2369" t="s">
        <v>141</v>
      </c>
      <c r="E2369">
        <v>684</v>
      </c>
      <c r="F2369">
        <v>335</v>
      </c>
      <c r="G2369">
        <v>9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684</v>
      </c>
      <c r="O2369">
        <f t="shared" si="74"/>
        <v>2025</v>
      </c>
      <c r="P2369">
        <f t="shared" si="75"/>
        <v>5</v>
      </c>
      <c r="Q2369" t="s">
        <v>570</v>
      </c>
      <c r="R2369" s="546" t="s">
        <v>804</v>
      </c>
    </row>
    <row r="2370" spans="1:18" x14ac:dyDescent="0.3">
      <c r="A2370" t="s">
        <v>627</v>
      </c>
      <c r="B2370" s="16">
        <v>45790</v>
      </c>
      <c r="C2370" t="s">
        <v>3</v>
      </c>
      <c r="D2370" t="s">
        <v>140</v>
      </c>
      <c r="E2370">
        <v>4</v>
      </c>
      <c r="F2370">
        <v>2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4</v>
      </c>
      <c r="O2370">
        <f t="shared" si="74"/>
        <v>2025</v>
      </c>
      <c r="P2370">
        <f t="shared" si="75"/>
        <v>5</v>
      </c>
      <c r="Q2370" t="s">
        <v>570</v>
      </c>
      <c r="R2370" s="546" t="s">
        <v>804</v>
      </c>
    </row>
    <row r="2371" spans="1:18" x14ac:dyDescent="0.3">
      <c r="A2371" t="s">
        <v>627</v>
      </c>
      <c r="B2371" s="16">
        <v>45790</v>
      </c>
      <c r="C2371" t="s">
        <v>3</v>
      </c>
      <c r="D2371" t="s">
        <v>139</v>
      </c>
      <c r="E2371">
        <v>613</v>
      </c>
      <c r="F2371">
        <v>367</v>
      </c>
      <c r="G2371">
        <v>57</v>
      </c>
      <c r="H2371">
        <v>11</v>
      </c>
      <c r="I2371">
        <v>39191.760000000002</v>
      </c>
      <c r="J2371">
        <v>15</v>
      </c>
      <c r="K2371">
        <v>32256.76</v>
      </c>
      <c r="L2371">
        <v>14</v>
      </c>
      <c r="M2371">
        <v>363</v>
      </c>
      <c r="N2371">
        <v>417</v>
      </c>
      <c r="O2371">
        <f t="shared" si="74"/>
        <v>2025</v>
      </c>
      <c r="P2371">
        <f t="shared" si="75"/>
        <v>5</v>
      </c>
      <c r="Q2371" t="s">
        <v>570</v>
      </c>
      <c r="R2371" s="546" t="s">
        <v>804</v>
      </c>
    </row>
    <row r="2372" spans="1:18" x14ac:dyDescent="0.3">
      <c r="A2372" t="s">
        <v>627</v>
      </c>
      <c r="B2372" s="16">
        <v>45790</v>
      </c>
      <c r="C2372" t="s">
        <v>3</v>
      </c>
      <c r="D2372" t="s">
        <v>138</v>
      </c>
      <c r="E2372">
        <v>6</v>
      </c>
      <c r="F2372">
        <v>1</v>
      </c>
      <c r="G2372">
        <v>0</v>
      </c>
      <c r="H2372">
        <v>0</v>
      </c>
      <c r="I2372">
        <v>3250</v>
      </c>
      <c r="J2372">
        <v>1</v>
      </c>
      <c r="K2372">
        <v>3250</v>
      </c>
      <c r="L2372">
        <v>1</v>
      </c>
      <c r="M2372">
        <v>0</v>
      </c>
      <c r="N2372">
        <v>6</v>
      </c>
      <c r="O2372">
        <f t="shared" si="74"/>
        <v>2025</v>
      </c>
      <c r="P2372">
        <f t="shared" si="75"/>
        <v>5</v>
      </c>
      <c r="Q2372" t="s">
        <v>570</v>
      </c>
      <c r="R2372" s="546" t="s">
        <v>804</v>
      </c>
    </row>
    <row r="2373" spans="1:18" x14ac:dyDescent="0.3">
      <c r="A2373" t="s">
        <v>627</v>
      </c>
      <c r="B2373" s="16">
        <v>45790</v>
      </c>
      <c r="C2373" t="s">
        <v>3</v>
      </c>
      <c r="D2373" t="s">
        <v>135</v>
      </c>
      <c r="E2373">
        <v>3</v>
      </c>
      <c r="F2373">
        <v>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3</v>
      </c>
      <c r="O2373">
        <f t="shared" si="74"/>
        <v>2025</v>
      </c>
      <c r="P2373">
        <f t="shared" si="75"/>
        <v>5</v>
      </c>
      <c r="Q2373" t="s">
        <v>570</v>
      </c>
      <c r="R2373" s="546" t="s">
        <v>804</v>
      </c>
    </row>
    <row r="2374" spans="1:18" x14ac:dyDescent="0.3">
      <c r="A2374" t="s">
        <v>627</v>
      </c>
      <c r="B2374" s="16">
        <v>45790</v>
      </c>
      <c r="C2374" t="s">
        <v>3</v>
      </c>
      <c r="D2374" t="s">
        <v>133</v>
      </c>
      <c r="E2374">
        <v>18</v>
      </c>
      <c r="F2374">
        <v>12</v>
      </c>
      <c r="G2374">
        <v>3</v>
      </c>
      <c r="H2374">
        <v>0</v>
      </c>
      <c r="I2374">
        <v>5660</v>
      </c>
      <c r="J2374">
        <v>2</v>
      </c>
      <c r="K2374">
        <v>1490</v>
      </c>
      <c r="L2374">
        <v>1</v>
      </c>
      <c r="M2374">
        <v>8</v>
      </c>
      <c r="N2374">
        <v>14</v>
      </c>
      <c r="O2374">
        <f t="shared" si="74"/>
        <v>2025</v>
      </c>
      <c r="P2374">
        <f t="shared" si="75"/>
        <v>5</v>
      </c>
      <c r="Q2374" t="s">
        <v>570</v>
      </c>
      <c r="R2374" s="546" t="s">
        <v>804</v>
      </c>
    </row>
    <row r="2375" spans="1:18" x14ac:dyDescent="0.3">
      <c r="A2375" t="s">
        <v>627</v>
      </c>
      <c r="B2375" s="16">
        <v>45790</v>
      </c>
      <c r="C2375" t="s">
        <v>3</v>
      </c>
      <c r="D2375" t="s">
        <v>130</v>
      </c>
      <c r="E2375">
        <v>168</v>
      </c>
      <c r="F2375">
        <v>78</v>
      </c>
      <c r="G2375">
        <v>8</v>
      </c>
      <c r="H2375">
        <v>4</v>
      </c>
      <c r="I2375">
        <v>35793</v>
      </c>
      <c r="J2375">
        <v>13</v>
      </c>
      <c r="K2375">
        <v>22798</v>
      </c>
      <c r="L2375">
        <v>10</v>
      </c>
      <c r="M2375">
        <v>113</v>
      </c>
      <c r="N2375">
        <v>94</v>
      </c>
      <c r="O2375">
        <f t="shared" si="74"/>
        <v>2025</v>
      </c>
      <c r="P2375">
        <f t="shared" si="75"/>
        <v>5</v>
      </c>
      <c r="Q2375" t="s">
        <v>570</v>
      </c>
      <c r="R2375" s="546" t="s">
        <v>804</v>
      </c>
    </row>
    <row r="2376" spans="1:18" x14ac:dyDescent="0.3">
      <c r="A2376" t="s">
        <v>627</v>
      </c>
      <c r="B2376" s="16">
        <v>45790</v>
      </c>
      <c r="C2376" t="s">
        <v>3</v>
      </c>
      <c r="D2376" t="s">
        <v>128</v>
      </c>
      <c r="E2376">
        <v>494</v>
      </c>
      <c r="F2376">
        <v>389</v>
      </c>
      <c r="G2376">
        <v>15</v>
      </c>
      <c r="H2376">
        <v>13</v>
      </c>
      <c r="I2376">
        <v>35610</v>
      </c>
      <c r="J2376">
        <v>6</v>
      </c>
      <c r="K2376">
        <v>6230</v>
      </c>
      <c r="L2376">
        <v>3</v>
      </c>
      <c r="M2376">
        <v>270</v>
      </c>
      <c r="N2376">
        <v>296</v>
      </c>
      <c r="O2376">
        <f t="shared" si="74"/>
        <v>2025</v>
      </c>
      <c r="P2376">
        <f t="shared" si="75"/>
        <v>5</v>
      </c>
      <c r="Q2376" t="s">
        <v>570</v>
      </c>
      <c r="R2376" s="546" t="s">
        <v>804</v>
      </c>
    </row>
    <row r="2377" spans="1:18" x14ac:dyDescent="0.3">
      <c r="A2377" t="s">
        <v>627</v>
      </c>
      <c r="B2377" s="16">
        <v>45790</v>
      </c>
      <c r="C2377" t="s">
        <v>3</v>
      </c>
      <c r="D2377" t="s">
        <v>127</v>
      </c>
      <c r="E2377">
        <v>864</v>
      </c>
      <c r="F2377">
        <v>540</v>
      </c>
      <c r="G2377">
        <v>23</v>
      </c>
      <c r="H2377">
        <v>11</v>
      </c>
      <c r="I2377">
        <v>13592</v>
      </c>
      <c r="J2377">
        <v>4</v>
      </c>
      <c r="K2377">
        <v>10597</v>
      </c>
      <c r="L2377">
        <v>4</v>
      </c>
      <c r="M2377">
        <v>97</v>
      </c>
      <c r="N2377">
        <v>732</v>
      </c>
      <c r="O2377">
        <f t="shared" si="74"/>
        <v>2025</v>
      </c>
      <c r="P2377">
        <f t="shared" si="75"/>
        <v>5</v>
      </c>
      <c r="Q2377" t="s">
        <v>570</v>
      </c>
      <c r="R2377" s="546" t="s">
        <v>804</v>
      </c>
    </row>
    <row r="2378" spans="1:18" x14ac:dyDescent="0.3">
      <c r="A2378" t="s">
        <v>627</v>
      </c>
      <c r="B2378" s="16">
        <v>45790</v>
      </c>
      <c r="C2378" t="s">
        <v>3</v>
      </c>
      <c r="D2378" t="s">
        <v>126</v>
      </c>
      <c r="E2378">
        <v>79</v>
      </c>
      <c r="F2378">
        <v>62</v>
      </c>
      <c r="G2378">
        <v>1</v>
      </c>
      <c r="H2378">
        <v>1</v>
      </c>
      <c r="I2378">
        <v>1598</v>
      </c>
      <c r="J2378">
        <v>1</v>
      </c>
      <c r="K2378">
        <v>1598</v>
      </c>
      <c r="L2378">
        <v>1</v>
      </c>
      <c r="M2378">
        <v>10</v>
      </c>
      <c r="N2378">
        <v>77</v>
      </c>
      <c r="O2378">
        <f t="shared" si="74"/>
        <v>2025</v>
      </c>
      <c r="P2378">
        <f t="shared" si="75"/>
        <v>5</v>
      </c>
      <c r="Q2378" t="s">
        <v>570</v>
      </c>
      <c r="R2378" s="546" t="s">
        <v>804</v>
      </c>
    </row>
    <row r="2379" spans="1:18" x14ac:dyDescent="0.3">
      <c r="A2379" t="s">
        <v>627</v>
      </c>
      <c r="B2379" s="16">
        <v>45790</v>
      </c>
      <c r="C2379" t="s">
        <v>3</v>
      </c>
      <c r="D2379" t="s">
        <v>125</v>
      </c>
      <c r="E2379">
        <v>1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1</v>
      </c>
      <c r="O2379">
        <f t="shared" si="74"/>
        <v>2025</v>
      </c>
      <c r="P2379">
        <f t="shared" si="75"/>
        <v>5</v>
      </c>
      <c r="Q2379" t="s">
        <v>570</v>
      </c>
      <c r="R2379" s="546" t="s">
        <v>804</v>
      </c>
    </row>
    <row r="2380" spans="1:18" x14ac:dyDescent="0.3">
      <c r="A2380" t="s">
        <v>627</v>
      </c>
      <c r="B2380" s="16">
        <v>45790</v>
      </c>
      <c r="C2380" t="s">
        <v>3</v>
      </c>
      <c r="D2380" t="s">
        <v>123</v>
      </c>
      <c r="E2380">
        <v>225</v>
      </c>
      <c r="F2380">
        <v>118</v>
      </c>
      <c r="G2380">
        <v>12</v>
      </c>
      <c r="H2380">
        <v>10</v>
      </c>
      <c r="I2380">
        <v>10780</v>
      </c>
      <c r="J2380">
        <v>3</v>
      </c>
      <c r="K2380">
        <v>8385</v>
      </c>
      <c r="L2380">
        <v>3</v>
      </c>
      <c r="M2380">
        <v>93</v>
      </c>
      <c r="N2380">
        <v>181</v>
      </c>
      <c r="O2380">
        <f t="shared" si="74"/>
        <v>2025</v>
      </c>
      <c r="P2380">
        <f t="shared" si="75"/>
        <v>5</v>
      </c>
      <c r="Q2380" t="s">
        <v>570</v>
      </c>
      <c r="R2380" s="546" t="s">
        <v>804</v>
      </c>
    </row>
    <row r="2381" spans="1:18" x14ac:dyDescent="0.3">
      <c r="A2381" t="s">
        <v>627</v>
      </c>
      <c r="B2381" s="16">
        <v>45790</v>
      </c>
      <c r="C2381" t="s">
        <v>3</v>
      </c>
      <c r="D2381" t="s">
        <v>119</v>
      </c>
      <c r="E2381">
        <v>201</v>
      </c>
      <c r="F2381">
        <v>75</v>
      </c>
      <c r="G2381">
        <v>21</v>
      </c>
      <c r="H2381">
        <v>6</v>
      </c>
      <c r="I2381">
        <v>32395.18</v>
      </c>
      <c r="J2381">
        <v>11</v>
      </c>
      <c r="K2381">
        <v>22740.18</v>
      </c>
      <c r="L2381">
        <v>9</v>
      </c>
      <c r="M2381">
        <v>63</v>
      </c>
      <c r="N2381">
        <v>189</v>
      </c>
      <c r="O2381">
        <f t="shared" si="74"/>
        <v>2025</v>
      </c>
      <c r="P2381">
        <f t="shared" si="75"/>
        <v>5</v>
      </c>
      <c r="Q2381" t="s">
        <v>570</v>
      </c>
      <c r="R2381" s="546" t="s">
        <v>804</v>
      </c>
    </row>
    <row r="2382" spans="1:18" x14ac:dyDescent="0.3">
      <c r="A2382" t="s">
        <v>627</v>
      </c>
      <c r="B2382" s="16">
        <v>45790</v>
      </c>
      <c r="C2382" t="s">
        <v>3</v>
      </c>
      <c r="D2382" t="s">
        <v>252</v>
      </c>
      <c r="E2382">
        <v>8</v>
      </c>
      <c r="F2382">
        <v>7</v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2</v>
      </c>
      <c r="N2382">
        <v>8</v>
      </c>
      <c r="O2382">
        <f t="shared" si="74"/>
        <v>2025</v>
      </c>
      <c r="P2382">
        <f t="shared" si="75"/>
        <v>5</v>
      </c>
      <c r="Q2382" t="s">
        <v>570</v>
      </c>
      <c r="R2382" s="546" t="s">
        <v>804</v>
      </c>
    </row>
    <row r="2383" spans="1:18" x14ac:dyDescent="0.3">
      <c r="A2383" t="s">
        <v>627</v>
      </c>
      <c r="B2383" s="16">
        <v>45790</v>
      </c>
      <c r="C2383" t="s">
        <v>3</v>
      </c>
      <c r="D2383" t="s">
        <v>391</v>
      </c>
      <c r="E2383">
        <v>398</v>
      </c>
      <c r="F2383">
        <v>237</v>
      </c>
      <c r="G2383">
        <v>19</v>
      </c>
      <c r="H2383">
        <v>1</v>
      </c>
      <c r="I2383">
        <v>24642</v>
      </c>
      <c r="J2383">
        <v>8</v>
      </c>
      <c r="K2383">
        <v>15107</v>
      </c>
      <c r="L2383">
        <v>5</v>
      </c>
      <c r="M2383">
        <v>83</v>
      </c>
      <c r="N2383">
        <v>391</v>
      </c>
      <c r="O2383">
        <f t="shared" si="74"/>
        <v>2025</v>
      </c>
      <c r="P2383">
        <f t="shared" si="75"/>
        <v>5</v>
      </c>
      <c r="Q2383" t="s">
        <v>570</v>
      </c>
      <c r="R2383" s="546" t="s">
        <v>804</v>
      </c>
    </row>
    <row r="2384" spans="1:18" x14ac:dyDescent="0.3">
      <c r="A2384" t="s">
        <v>627</v>
      </c>
      <c r="B2384" s="16">
        <v>45790</v>
      </c>
      <c r="C2384" t="s">
        <v>3</v>
      </c>
      <c r="D2384" t="s">
        <v>114</v>
      </c>
      <c r="E2384">
        <v>35</v>
      </c>
      <c r="F2384">
        <v>14</v>
      </c>
      <c r="G2384">
        <v>4</v>
      </c>
      <c r="H2384">
        <v>0</v>
      </c>
      <c r="I2384">
        <v>5845</v>
      </c>
      <c r="J2384">
        <v>1</v>
      </c>
      <c r="K2384">
        <v>0</v>
      </c>
      <c r="L2384">
        <v>0</v>
      </c>
      <c r="M2384">
        <v>11</v>
      </c>
      <c r="N2384">
        <v>30</v>
      </c>
      <c r="O2384">
        <f t="shared" si="74"/>
        <v>2025</v>
      </c>
      <c r="P2384">
        <f t="shared" si="75"/>
        <v>5</v>
      </c>
      <c r="Q2384" t="s">
        <v>570</v>
      </c>
      <c r="R2384" s="546" t="s">
        <v>804</v>
      </c>
    </row>
    <row r="2385" spans="1:18" x14ac:dyDescent="0.3">
      <c r="A2385" t="s">
        <v>627</v>
      </c>
      <c r="B2385" s="16">
        <v>45790</v>
      </c>
      <c r="C2385" t="s">
        <v>3</v>
      </c>
      <c r="D2385" t="s">
        <v>113</v>
      </c>
      <c r="E2385">
        <v>106</v>
      </c>
      <c r="F2385">
        <v>64</v>
      </c>
      <c r="G2385">
        <v>3</v>
      </c>
      <c r="H2385">
        <v>1</v>
      </c>
      <c r="I2385">
        <v>4845</v>
      </c>
      <c r="J2385">
        <v>1</v>
      </c>
      <c r="K2385">
        <v>4845</v>
      </c>
      <c r="L2385">
        <v>1</v>
      </c>
      <c r="M2385">
        <v>88</v>
      </c>
      <c r="N2385">
        <v>62</v>
      </c>
      <c r="O2385">
        <f t="shared" si="74"/>
        <v>2025</v>
      </c>
      <c r="P2385">
        <f t="shared" si="75"/>
        <v>5</v>
      </c>
      <c r="Q2385" t="s">
        <v>570</v>
      </c>
      <c r="R2385" s="546" t="s">
        <v>804</v>
      </c>
    </row>
    <row r="2386" spans="1:18" x14ac:dyDescent="0.3">
      <c r="A2386" t="s">
        <v>627</v>
      </c>
      <c r="B2386" s="16">
        <v>45790</v>
      </c>
      <c r="C2386" t="s">
        <v>3</v>
      </c>
      <c r="D2386" t="s">
        <v>112</v>
      </c>
      <c r="E2386">
        <v>20</v>
      </c>
      <c r="F2386">
        <v>5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20</v>
      </c>
      <c r="O2386">
        <f t="shared" si="74"/>
        <v>2025</v>
      </c>
      <c r="P2386">
        <f t="shared" si="75"/>
        <v>5</v>
      </c>
      <c r="Q2386" t="s">
        <v>570</v>
      </c>
      <c r="R2386" s="546" t="s">
        <v>804</v>
      </c>
    </row>
    <row r="2387" spans="1:18" x14ac:dyDescent="0.3">
      <c r="A2387" t="s">
        <v>627</v>
      </c>
      <c r="B2387" s="16">
        <v>45790</v>
      </c>
      <c r="C2387" t="s">
        <v>3</v>
      </c>
      <c r="D2387" t="s">
        <v>111</v>
      </c>
      <c r="E2387">
        <v>2</v>
      </c>
      <c r="F2387">
        <v>1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1</v>
      </c>
      <c r="N2387">
        <v>2</v>
      </c>
      <c r="O2387">
        <f t="shared" si="74"/>
        <v>2025</v>
      </c>
      <c r="P2387">
        <f t="shared" si="75"/>
        <v>5</v>
      </c>
      <c r="Q2387" t="s">
        <v>570</v>
      </c>
      <c r="R2387" s="546" t="s">
        <v>804</v>
      </c>
    </row>
    <row r="2388" spans="1:18" x14ac:dyDescent="0.3">
      <c r="A2388" t="s">
        <v>627</v>
      </c>
      <c r="B2388" s="16">
        <v>45789</v>
      </c>
      <c r="C2388" t="s">
        <v>2</v>
      </c>
      <c r="D2388" t="s">
        <v>4</v>
      </c>
      <c r="E2388">
        <v>232</v>
      </c>
      <c r="F2388">
        <v>80</v>
      </c>
      <c r="G2388">
        <v>2</v>
      </c>
      <c r="H2388">
        <v>1</v>
      </c>
      <c r="I2388">
        <v>15360.12</v>
      </c>
      <c r="J2388">
        <v>4</v>
      </c>
      <c r="K2388">
        <v>15360.12</v>
      </c>
      <c r="L2388">
        <v>4</v>
      </c>
      <c r="M2388">
        <v>2</v>
      </c>
      <c r="N2388">
        <v>232</v>
      </c>
      <c r="O2388">
        <f t="shared" si="74"/>
        <v>2025</v>
      </c>
      <c r="P2388">
        <f t="shared" si="75"/>
        <v>5</v>
      </c>
      <c r="Q2388" t="s">
        <v>570</v>
      </c>
      <c r="R2388" s="546" t="s">
        <v>804</v>
      </c>
    </row>
    <row r="2389" spans="1:18" x14ac:dyDescent="0.3">
      <c r="A2389" t="s">
        <v>627</v>
      </c>
      <c r="B2389" s="16">
        <v>45789</v>
      </c>
      <c r="C2389" t="s">
        <v>2</v>
      </c>
      <c r="D2389" t="s">
        <v>57</v>
      </c>
      <c r="E2389">
        <v>16020</v>
      </c>
      <c r="F2389">
        <v>11832</v>
      </c>
      <c r="G2389">
        <v>288</v>
      </c>
      <c r="H2389">
        <v>296</v>
      </c>
      <c r="I2389">
        <v>139003.65</v>
      </c>
      <c r="J2389">
        <v>35</v>
      </c>
      <c r="K2389">
        <v>96221.65</v>
      </c>
      <c r="L2389">
        <v>28</v>
      </c>
      <c r="M2389">
        <v>1149</v>
      </c>
      <c r="N2389">
        <v>15728</v>
      </c>
      <c r="O2389">
        <f t="shared" si="74"/>
        <v>2025</v>
      </c>
      <c r="P2389">
        <f t="shared" si="75"/>
        <v>5</v>
      </c>
      <c r="Q2389" t="s">
        <v>570</v>
      </c>
      <c r="R2389" s="546" t="s">
        <v>804</v>
      </c>
    </row>
    <row r="2390" spans="1:18" x14ac:dyDescent="0.3">
      <c r="A2390" t="s">
        <v>627</v>
      </c>
      <c r="B2390" s="16">
        <v>45789</v>
      </c>
      <c r="C2390" t="s">
        <v>2</v>
      </c>
      <c r="D2390" t="s">
        <v>55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f t="shared" si="74"/>
        <v>2025</v>
      </c>
      <c r="P2390">
        <f t="shared" si="75"/>
        <v>5</v>
      </c>
      <c r="Q2390" t="s">
        <v>570</v>
      </c>
      <c r="R2390" s="546" t="s">
        <v>804</v>
      </c>
    </row>
    <row r="2391" spans="1:18" x14ac:dyDescent="0.3">
      <c r="A2391" t="s">
        <v>627</v>
      </c>
      <c r="B2391" s="16">
        <v>45789</v>
      </c>
      <c r="C2391" t="s">
        <v>3</v>
      </c>
      <c r="D2391" t="s">
        <v>155</v>
      </c>
      <c r="E2391">
        <v>6</v>
      </c>
      <c r="F2391">
        <v>4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6</v>
      </c>
      <c r="O2391">
        <f t="shared" si="74"/>
        <v>2025</v>
      </c>
      <c r="P2391">
        <f t="shared" si="75"/>
        <v>5</v>
      </c>
      <c r="Q2391" t="s">
        <v>570</v>
      </c>
      <c r="R2391" s="546" t="s">
        <v>804</v>
      </c>
    </row>
    <row r="2392" spans="1:18" x14ac:dyDescent="0.3">
      <c r="A2392" t="s">
        <v>627</v>
      </c>
      <c r="B2392" s="16">
        <v>45789</v>
      </c>
      <c r="C2392" t="s">
        <v>3</v>
      </c>
      <c r="D2392" t="s">
        <v>153</v>
      </c>
      <c r="E2392">
        <v>219</v>
      </c>
      <c r="F2392">
        <v>67</v>
      </c>
      <c r="G2392">
        <v>35</v>
      </c>
      <c r="H2392">
        <v>3</v>
      </c>
      <c r="I2392">
        <v>160919</v>
      </c>
      <c r="J2392">
        <v>42</v>
      </c>
      <c r="K2392">
        <v>154689</v>
      </c>
      <c r="L2392">
        <v>41</v>
      </c>
      <c r="M2392">
        <v>83</v>
      </c>
      <c r="N2392">
        <v>211</v>
      </c>
      <c r="O2392">
        <f t="shared" si="74"/>
        <v>2025</v>
      </c>
      <c r="P2392">
        <f t="shared" si="75"/>
        <v>5</v>
      </c>
      <c r="Q2392" t="s">
        <v>570</v>
      </c>
      <c r="R2392" s="546" t="s">
        <v>804</v>
      </c>
    </row>
    <row r="2393" spans="1:18" x14ac:dyDescent="0.3">
      <c r="A2393" t="s">
        <v>627</v>
      </c>
      <c r="B2393" s="16">
        <v>45789</v>
      </c>
      <c r="C2393" t="s">
        <v>3</v>
      </c>
      <c r="D2393" t="s">
        <v>152</v>
      </c>
      <c r="E2393">
        <v>15</v>
      </c>
      <c r="F2393">
        <v>7</v>
      </c>
      <c r="G2393">
        <v>2</v>
      </c>
      <c r="H2393">
        <v>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15</v>
      </c>
      <c r="O2393">
        <f t="shared" si="74"/>
        <v>2025</v>
      </c>
      <c r="P2393">
        <f t="shared" si="75"/>
        <v>5</v>
      </c>
      <c r="Q2393" t="s">
        <v>570</v>
      </c>
      <c r="R2393" s="546" t="s">
        <v>804</v>
      </c>
    </row>
    <row r="2394" spans="1:18" x14ac:dyDescent="0.3">
      <c r="A2394" t="s">
        <v>627</v>
      </c>
      <c r="B2394" s="16">
        <v>45789</v>
      </c>
      <c r="C2394" t="s">
        <v>3</v>
      </c>
      <c r="D2394" t="s">
        <v>150</v>
      </c>
      <c r="E2394">
        <v>3</v>
      </c>
      <c r="F2394">
        <v>2</v>
      </c>
      <c r="G2394">
        <v>1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2</v>
      </c>
      <c r="N2394">
        <v>3</v>
      </c>
      <c r="O2394">
        <f t="shared" si="74"/>
        <v>2025</v>
      </c>
      <c r="P2394">
        <f t="shared" si="75"/>
        <v>5</v>
      </c>
      <c r="Q2394" t="s">
        <v>570</v>
      </c>
      <c r="R2394" s="546" t="s">
        <v>804</v>
      </c>
    </row>
    <row r="2395" spans="1:18" x14ac:dyDescent="0.3">
      <c r="A2395" t="s">
        <v>627</v>
      </c>
      <c r="B2395" s="16">
        <v>45789</v>
      </c>
      <c r="C2395" t="s">
        <v>3</v>
      </c>
      <c r="D2395" t="s">
        <v>149</v>
      </c>
      <c r="E2395">
        <v>1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1</v>
      </c>
      <c r="O2395">
        <f t="shared" si="74"/>
        <v>2025</v>
      </c>
      <c r="P2395">
        <f t="shared" si="75"/>
        <v>5</v>
      </c>
      <c r="Q2395" t="s">
        <v>570</v>
      </c>
      <c r="R2395" s="546" t="s">
        <v>804</v>
      </c>
    </row>
    <row r="2396" spans="1:18" x14ac:dyDescent="0.3">
      <c r="A2396" t="s">
        <v>627</v>
      </c>
      <c r="B2396" s="16">
        <v>45789</v>
      </c>
      <c r="C2396" t="s">
        <v>3</v>
      </c>
      <c r="D2396" t="s">
        <v>148</v>
      </c>
      <c r="E2396">
        <v>2</v>
      </c>
      <c r="F2396">
        <v>2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1</v>
      </c>
      <c r="N2396">
        <v>1</v>
      </c>
      <c r="O2396">
        <f t="shared" si="74"/>
        <v>2025</v>
      </c>
      <c r="P2396">
        <f t="shared" si="75"/>
        <v>5</v>
      </c>
      <c r="Q2396" t="s">
        <v>570</v>
      </c>
      <c r="R2396" s="546" t="s">
        <v>804</v>
      </c>
    </row>
    <row r="2397" spans="1:18" x14ac:dyDescent="0.3">
      <c r="A2397" t="s">
        <v>627</v>
      </c>
      <c r="B2397" s="16">
        <v>45789</v>
      </c>
      <c r="C2397" t="s">
        <v>3</v>
      </c>
      <c r="D2397" t="s">
        <v>251</v>
      </c>
      <c r="E2397">
        <v>123</v>
      </c>
      <c r="F2397">
        <v>58</v>
      </c>
      <c r="G2397">
        <v>12</v>
      </c>
      <c r="H2397">
        <v>2</v>
      </c>
      <c r="I2397">
        <v>21097</v>
      </c>
      <c r="J2397">
        <v>4</v>
      </c>
      <c r="K2397">
        <v>15107</v>
      </c>
      <c r="L2397">
        <v>4</v>
      </c>
      <c r="M2397">
        <v>57</v>
      </c>
      <c r="N2397">
        <v>99</v>
      </c>
      <c r="O2397">
        <f t="shared" si="74"/>
        <v>2025</v>
      </c>
      <c r="P2397">
        <f t="shared" si="75"/>
        <v>5</v>
      </c>
      <c r="Q2397" t="s">
        <v>570</v>
      </c>
      <c r="R2397" s="546" t="s">
        <v>804</v>
      </c>
    </row>
    <row r="2398" spans="1:18" x14ac:dyDescent="0.3">
      <c r="A2398" t="s">
        <v>627</v>
      </c>
      <c r="B2398" s="16">
        <v>45789</v>
      </c>
      <c r="C2398" t="s">
        <v>3</v>
      </c>
      <c r="D2398" t="s">
        <v>143</v>
      </c>
      <c r="E2398">
        <v>16</v>
      </c>
      <c r="F2398">
        <v>15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</v>
      </c>
      <c r="N2398">
        <v>16</v>
      </c>
      <c r="O2398">
        <f t="shared" si="74"/>
        <v>2025</v>
      </c>
      <c r="P2398">
        <f t="shared" si="75"/>
        <v>5</v>
      </c>
      <c r="Q2398" t="s">
        <v>570</v>
      </c>
      <c r="R2398" s="546" t="s">
        <v>804</v>
      </c>
    </row>
    <row r="2399" spans="1:18" x14ac:dyDescent="0.3">
      <c r="A2399" t="s">
        <v>627</v>
      </c>
      <c r="B2399" s="16">
        <v>45789</v>
      </c>
      <c r="C2399" t="s">
        <v>3</v>
      </c>
      <c r="D2399" t="s">
        <v>141</v>
      </c>
      <c r="E2399">
        <v>834</v>
      </c>
      <c r="F2399">
        <v>498</v>
      </c>
      <c r="G2399">
        <v>10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834</v>
      </c>
      <c r="O2399">
        <f t="shared" si="74"/>
        <v>2025</v>
      </c>
      <c r="P2399">
        <f t="shared" si="75"/>
        <v>5</v>
      </c>
      <c r="Q2399" t="s">
        <v>570</v>
      </c>
      <c r="R2399" s="546" t="s">
        <v>804</v>
      </c>
    </row>
    <row r="2400" spans="1:18" x14ac:dyDescent="0.3">
      <c r="A2400" t="s">
        <v>627</v>
      </c>
      <c r="B2400" s="16">
        <v>45789</v>
      </c>
      <c r="C2400" t="s">
        <v>3</v>
      </c>
      <c r="D2400" t="s">
        <v>140</v>
      </c>
      <c r="E2400">
        <v>7</v>
      </c>
      <c r="F2400">
        <v>6</v>
      </c>
      <c r="G2400">
        <v>0</v>
      </c>
      <c r="H2400">
        <v>1</v>
      </c>
      <c r="I2400">
        <v>2750</v>
      </c>
      <c r="J2400">
        <v>1</v>
      </c>
      <c r="K2400">
        <v>2750</v>
      </c>
      <c r="L2400">
        <v>1</v>
      </c>
      <c r="M2400">
        <v>2</v>
      </c>
      <c r="N2400">
        <v>7</v>
      </c>
      <c r="O2400">
        <f t="shared" si="74"/>
        <v>2025</v>
      </c>
      <c r="P2400">
        <f t="shared" si="75"/>
        <v>5</v>
      </c>
      <c r="Q2400" t="s">
        <v>570</v>
      </c>
      <c r="R2400" s="546" t="s">
        <v>804</v>
      </c>
    </row>
    <row r="2401" spans="1:18" x14ac:dyDescent="0.3">
      <c r="A2401" t="s">
        <v>627</v>
      </c>
      <c r="B2401" s="16">
        <v>45789</v>
      </c>
      <c r="C2401" t="s">
        <v>3</v>
      </c>
      <c r="D2401" t="s">
        <v>139</v>
      </c>
      <c r="E2401">
        <v>545</v>
      </c>
      <c r="F2401">
        <v>361</v>
      </c>
      <c r="G2401">
        <v>41</v>
      </c>
      <c r="H2401">
        <v>11</v>
      </c>
      <c r="I2401">
        <v>52435</v>
      </c>
      <c r="J2401">
        <v>14</v>
      </c>
      <c r="K2401">
        <v>47950</v>
      </c>
      <c r="L2401">
        <v>14</v>
      </c>
      <c r="M2401">
        <v>256</v>
      </c>
      <c r="N2401">
        <v>342</v>
      </c>
      <c r="O2401">
        <f t="shared" si="74"/>
        <v>2025</v>
      </c>
      <c r="P2401">
        <f t="shared" si="75"/>
        <v>5</v>
      </c>
      <c r="Q2401" t="s">
        <v>570</v>
      </c>
      <c r="R2401" s="546" t="s">
        <v>804</v>
      </c>
    </row>
    <row r="2402" spans="1:18" x14ac:dyDescent="0.3">
      <c r="A2402" t="s">
        <v>627</v>
      </c>
      <c r="B2402" s="16">
        <v>45789</v>
      </c>
      <c r="C2402" t="s">
        <v>3</v>
      </c>
      <c r="D2402" t="s">
        <v>138</v>
      </c>
      <c r="E2402">
        <v>17</v>
      </c>
      <c r="F2402">
        <v>13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4</v>
      </c>
      <c r="N2402">
        <v>17</v>
      </c>
      <c r="O2402">
        <f t="shared" si="74"/>
        <v>2025</v>
      </c>
      <c r="P2402">
        <f t="shared" si="75"/>
        <v>5</v>
      </c>
      <c r="Q2402" t="s">
        <v>570</v>
      </c>
      <c r="R2402" s="546" t="s">
        <v>804</v>
      </c>
    </row>
    <row r="2403" spans="1:18" x14ac:dyDescent="0.3">
      <c r="A2403" t="s">
        <v>627</v>
      </c>
      <c r="B2403" s="16">
        <v>45789</v>
      </c>
      <c r="C2403" t="s">
        <v>3</v>
      </c>
      <c r="D2403" t="s">
        <v>135</v>
      </c>
      <c r="E2403">
        <v>3</v>
      </c>
      <c r="F2403">
        <v>2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</v>
      </c>
      <c r="N2403">
        <v>1</v>
      </c>
      <c r="O2403">
        <f t="shared" si="74"/>
        <v>2025</v>
      </c>
      <c r="P2403">
        <f t="shared" si="75"/>
        <v>5</v>
      </c>
      <c r="Q2403" t="s">
        <v>570</v>
      </c>
      <c r="R2403" s="546" t="s">
        <v>804</v>
      </c>
    </row>
    <row r="2404" spans="1:18" x14ac:dyDescent="0.3">
      <c r="A2404" t="s">
        <v>627</v>
      </c>
      <c r="B2404" s="16">
        <v>45789</v>
      </c>
      <c r="C2404" t="s">
        <v>3</v>
      </c>
      <c r="D2404" t="s">
        <v>133</v>
      </c>
      <c r="E2404">
        <v>12</v>
      </c>
      <c r="F2404">
        <v>7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5</v>
      </c>
      <c r="N2404">
        <v>7</v>
      </c>
      <c r="O2404">
        <f t="shared" si="74"/>
        <v>2025</v>
      </c>
      <c r="P2404">
        <f t="shared" si="75"/>
        <v>5</v>
      </c>
      <c r="Q2404" t="s">
        <v>570</v>
      </c>
      <c r="R2404" s="546" t="s">
        <v>804</v>
      </c>
    </row>
    <row r="2405" spans="1:18" x14ac:dyDescent="0.3">
      <c r="A2405" t="s">
        <v>627</v>
      </c>
      <c r="B2405" s="16">
        <v>45789</v>
      </c>
      <c r="C2405" t="s">
        <v>3</v>
      </c>
      <c r="D2405" t="s">
        <v>130</v>
      </c>
      <c r="E2405">
        <v>97</v>
      </c>
      <c r="F2405">
        <v>55</v>
      </c>
      <c r="G2405">
        <v>10</v>
      </c>
      <c r="H2405">
        <v>1</v>
      </c>
      <c r="I2405">
        <v>26192</v>
      </c>
      <c r="J2405">
        <v>7</v>
      </c>
      <c r="K2405">
        <v>20202</v>
      </c>
      <c r="L2405">
        <v>7</v>
      </c>
      <c r="M2405">
        <v>39</v>
      </c>
      <c r="N2405">
        <v>86</v>
      </c>
      <c r="O2405">
        <f t="shared" si="74"/>
        <v>2025</v>
      </c>
      <c r="P2405">
        <f t="shared" si="75"/>
        <v>5</v>
      </c>
      <c r="Q2405" t="s">
        <v>570</v>
      </c>
      <c r="R2405" s="546" t="s">
        <v>804</v>
      </c>
    </row>
    <row r="2406" spans="1:18" x14ac:dyDescent="0.3">
      <c r="A2406" t="s">
        <v>627</v>
      </c>
      <c r="B2406" s="16">
        <v>45789</v>
      </c>
      <c r="C2406" t="s">
        <v>3</v>
      </c>
      <c r="D2406" t="s">
        <v>128</v>
      </c>
      <c r="E2406">
        <v>516</v>
      </c>
      <c r="F2406">
        <v>432</v>
      </c>
      <c r="G2406">
        <v>22</v>
      </c>
      <c r="H2406">
        <v>4</v>
      </c>
      <c r="I2406">
        <v>8785</v>
      </c>
      <c r="J2406">
        <v>2</v>
      </c>
      <c r="K2406">
        <v>1490</v>
      </c>
      <c r="L2406">
        <v>1</v>
      </c>
      <c r="M2406">
        <v>291</v>
      </c>
      <c r="N2406">
        <v>312</v>
      </c>
      <c r="O2406">
        <f t="shared" si="74"/>
        <v>2025</v>
      </c>
      <c r="P2406">
        <f t="shared" si="75"/>
        <v>5</v>
      </c>
      <c r="Q2406" t="s">
        <v>570</v>
      </c>
      <c r="R2406" s="546" t="s">
        <v>804</v>
      </c>
    </row>
    <row r="2407" spans="1:18" x14ac:dyDescent="0.3">
      <c r="A2407" t="s">
        <v>627</v>
      </c>
      <c r="B2407" s="16">
        <v>45789</v>
      </c>
      <c r="C2407" t="s">
        <v>3</v>
      </c>
      <c r="D2407" t="s">
        <v>127</v>
      </c>
      <c r="E2407">
        <v>1187</v>
      </c>
      <c r="F2407">
        <v>854</v>
      </c>
      <c r="G2407">
        <v>20</v>
      </c>
      <c r="H2407">
        <v>3</v>
      </c>
      <c r="I2407">
        <v>23200</v>
      </c>
      <c r="J2407">
        <v>7</v>
      </c>
      <c r="K2407">
        <v>12470</v>
      </c>
      <c r="L2407">
        <v>6</v>
      </c>
      <c r="M2407">
        <v>78</v>
      </c>
      <c r="N2407">
        <v>826</v>
      </c>
      <c r="O2407">
        <f t="shared" si="74"/>
        <v>2025</v>
      </c>
      <c r="P2407">
        <f t="shared" si="75"/>
        <v>5</v>
      </c>
      <c r="Q2407" t="s">
        <v>570</v>
      </c>
      <c r="R2407" s="546" t="s">
        <v>804</v>
      </c>
    </row>
    <row r="2408" spans="1:18" x14ac:dyDescent="0.3">
      <c r="A2408" t="s">
        <v>627</v>
      </c>
      <c r="B2408" s="16">
        <v>45789</v>
      </c>
      <c r="C2408" t="s">
        <v>3</v>
      </c>
      <c r="D2408" t="s">
        <v>126</v>
      </c>
      <c r="E2408">
        <v>120</v>
      </c>
      <c r="F2408">
        <v>97</v>
      </c>
      <c r="G2408">
        <v>10</v>
      </c>
      <c r="H2408">
        <v>6</v>
      </c>
      <c r="I2408">
        <v>3850</v>
      </c>
      <c r="J2408">
        <v>1</v>
      </c>
      <c r="K2408">
        <v>3850</v>
      </c>
      <c r="L2408">
        <v>1</v>
      </c>
      <c r="M2408">
        <v>14</v>
      </c>
      <c r="N2408">
        <v>120</v>
      </c>
      <c r="O2408">
        <f t="shared" si="74"/>
        <v>2025</v>
      </c>
      <c r="P2408">
        <f t="shared" si="75"/>
        <v>5</v>
      </c>
      <c r="Q2408" t="s">
        <v>570</v>
      </c>
      <c r="R2408" s="546" t="s">
        <v>804</v>
      </c>
    </row>
    <row r="2409" spans="1:18" x14ac:dyDescent="0.3">
      <c r="A2409" t="s">
        <v>627</v>
      </c>
      <c r="B2409" s="16">
        <v>45789</v>
      </c>
      <c r="C2409" t="s">
        <v>3</v>
      </c>
      <c r="D2409" t="s">
        <v>125</v>
      </c>
      <c r="E2409">
        <v>2</v>
      </c>
      <c r="F2409">
        <v>1</v>
      </c>
      <c r="G2409">
        <v>1</v>
      </c>
      <c r="H2409">
        <v>0</v>
      </c>
      <c r="I2409">
        <v>1967.63</v>
      </c>
      <c r="J2409">
        <v>1</v>
      </c>
      <c r="K2409">
        <v>1967.63</v>
      </c>
      <c r="L2409">
        <v>1</v>
      </c>
      <c r="M2409">
        <v>2</v>
      </c>
      <c r="N2409">
        <v>2</v>
      </c>
      <c r="O2409">
        <f t="shared" si="74"/>
        <v>2025</v>
      </c>
      <c r="P2409">
        <f t="shared" si="75"/>
        <v>5</v>
      </c>
      <c r="Q2409" t="s">
        <v>570</v>
      </c>
      <c r="R2409" s="546" t="s">
        <v>804</v>
      </c>
    </row>
    <row r="2410" spans="1:18" x14ac:dyDescent="0.3">
      <c r="A2410" t="s">
        <v>627</v>
      </c>
      <c r="B2410" s="16">
        <v>45789</v>
      </c>
      <c r="C2410" t="s">
        <v>3</v>
      </c>
      <c r="D2410" t="s">
        <v>123</v>
      </c>
      <c r="E2410">
        <v>169</v>
      </c>
      <c r="F2410">
        <v>89</v>
      </c>
      <c r="G2410">
        <v>13</v>
      </c>
      <c r="H2410">
        <v>5</v>
      </c>
      <c r="I2410">
        <v>5990</v>
      </c>
      <c r="J2410">
        <v>1</v>
      </c>
      <c r="K2410">
        <v>2995</v>
      </c>
      <c r="L2410">
        <v>1</v>
      </c>
      <c r="M2410">
        <v>67</v>
      </c>
      <c r="N2410">
        <v>138</v>
      </c>
      <c r="O2410">
        <f t="shared" si="74"/>
        <v>2025</v>
      </c>
      <c r="P2410">
        <f t="shared" si="75"/>
        <v>5</v>
      </c>
      <c r="Q2410" t="s">
        <v>570</v>
      </c>
      <c r="R2410" s="546" t="s">
        <v>804</v>
      </c>
    </row>
    <row r="2411" spans="1:18" x14ac:dyDescent="0.3">
      <c r="A2411" t="s">
        <v>627</v>
      </c>
      <c r="B2411" s="16">
        <v>45789</v>
      </c>
      <c r="C2411" t="s">
        <v>3</v>
      </c>
      <c r="D2411" t="s">
        <v>119</v>
      </c>
      <c r="E2411">
        <v>127</v>
      </c>
      <c r="F2411">
        <v>39</v>
      </c>
      <c r="G2411">
        <v>10</v>
      </c>
      <c r="H2411">
        <v>3</v>
      </c>
      <c r="I2411">
        <v>30569</v>
      </c>
      <c r="J2411">
        <v>9</v>
      </c>
      <c r="K2411">
        <v>23089</v>
      </c>
      <c r="L2411">
        <v>9</v>
      </c>
      <c r="M2411">
        <v>32</v>
      </c>
      <c r="N2411">
        <v>121</v>
      </c>
      <c r="O2411">
        <f t="shared" si="74"/>
        <v>2025</v>
      </c>
      <c r="P2411">
        <f t="shared" si="75"/>
        <v>5</v>
      </c>
      <c r="Q2411" t="s">
        <v>570</v>
      </c>
      <c r="R2411" s="546" t="s">
        <v>804</v>
      </c>
    </row>
    <row r="2412" spans="1:18" x14ac:dyDescent="0.3">
      <c r="A2412" t="s">
        <v>627</v>
      </c>
      <c r="B2412" s="16">
        <v>45789</v>
      </c>
      <c r="C2412" t="s">
        <v>3</v>
      </c>
      <c r="D2412" t="s">
        <v>252</v>
      </c>
      <c r="E2412">
        <v>7</v>
      </c>
      <c r="F2412">
        <v>7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7</v>
      </c>
      <c r="O2412">
        <f t="shared" si="74"/>
        <v>2025</v>
      </c>
      <c r="P2412">
        <f t="shared" si="75"/>
        <v>5</v>
      </c>
      <c r="Q2412" t="s">
        <v>570</v>
      </c>
      <c r="R2412" s="546" t="s">
        <v>804</v>
      </c>
    </row>
    <row r="2413" spans="1:18" x14ac:dyDescent="0.3">
      <c r="A2413" t="s">
        <v>627</v>
      </c>
      <c r="B2413" s="16">
        <v>45789</v>
      </c>
      <c r="C2413" t="s">
        <v>3</v>
      </c>
      <c r="D2413" t="s">
        <v>391</v>
      </c>
      <c r="E2413">
        <v>360</v>
      </c>
      <c r="F2413">
        <v>241</v>
      </c>
      <c r="G2413">
        <v>15</v>
      </c>
      <c r="H2413">
        <v>3</v>
      </c>
      <c r="I2413">
        <v>11319</v>
      </c>
      <c r="J2413">
        <v>4</v>
      </c>
      <c r="K2413">
        <v>11319</v>
      </c>
      <c r="L2413">
        <v>4</v>
      </c>
      <c r="M2413">
        <v>51</v>
      </c>
      <c r="N2413">
        <v>355</v>
      </c>
      <c r="O2413">
        <f t="shared" si="74"/>
        <v>2025</v>
      </c>
      <c r="P2413">
        <f t="shared" si="75"/>
        <v>5</v>
      </c>
      <c r="Q2413" t="s">
        <v>570</v>
      </c>
      <c r="R2413" s="546" t="s">
        <v>804</v>
      </c>
    </row>
    <row r="2414" spans="1:18" x14ac:dyDescent="0.3">
      <c r="A2414" t="s">
        <v>627</v>
      </c>
      <c r="B2414" s="16">
        <v>45789</v>
      </c>
      <c r="C2414" t="s">
        <v>3</v>
      </c>
      <c r="D2414" t="s">
        <v>113</v>
      </c>
      <c r="E2414">
        <v>89</v>
      </c>
      <c r="F2414">
        <v>53</v>
      </c>
      <c r="G2414">
        <v>4</v>
      </c>
      <c r="H2414">
        <v>1</v>
      </c>
      <c r="I2414">
        <v>2298</v>
      </c>
      <c r="J2414">
        <v>1</v>
      </c>
      <c r="K2414">
        <v>2298</v>
      </c>
      <c r="L2414">
        <v>1</v>
      </c>
      <c r="M2414">
        <v>62</v>
      </c>
      <c r="N2414">
        <v>66</v>
      </c>
      <c r="O2414">
        <f t="shared" si="74"/>
        <v>2025</v>
      </c>
      <c r="P2414">
        <f t="shared" si="75"/>
        <v>5</v>
      </c>
      <c r="Q2414" t="s">
        <v>570</v>
      </c>
      <c r="R2414" s="546" t="s">
        <v>804</v>
      </c>
    </row>
    <row r="2415" spans="1:18" x14ac:dyDescent="0.3">
      <c r="A2415" t="s">
        <v>627</v>
      </c>
      <c r="B2415" s="16">
        <v>45789</v>
      </c>
      <c r="C2415" t="s">
        <v>3</v>
      </c>
      <c r="D2415" t="s">
        <v>112</v>
      </c>
      <c r="E2415">
        <v>22</v>
      </c>
      <c r="F2415">
        <v>3</v>
      </c>
      <c r="G2415">
        <v>1</v>
      </c>
      <c r="H2415">
        <v>0</v>
      </c>
      <c r="I2415">
        <v>9068</v>
      </c>
      <c r="J2415">
        <v>3</v>
      </c>
      <c r="K2415">
        <v>9068</v>
      </c>
      <c r="L2415">
        <v>3</v>
      </c>
      <c r="M2415">
        <v>0</v>
      </c>
      <c r="N2415">
        <v>22</v>
      </c>
      <c r="O2415">
        <f t="shared" ref="O2415:O2478" si="76">YEAR(B2415)</f>
        <v>2025</v>
      </c>
      <c r="P2415">
        <f t="shared" ref="P2415:P2478" si="77">MONTH(B2415)</f>
        <v>5</v>
      </c>
      <c r="Q2415" t="s">
        <v>570</v>
      </c>
      <c r="R2415" s="546" t="s">
        <v>804</v>
      </c>
    </row>
    <row r="2416" spans="1:18" x14ac:dyDescent="0.3">
      <c r="A2416" t="s">
        <v>627</v>
      </c>
      <c r="B2416" s="16">
        <v>45463</v>
      </c>
      <c r="C2416" t="s">
        <v>2</v>
      </c>
      <c r="D2416" t="s">
        <v>4</v>
      </c>
      <c r="E2416">
        <v>775</v>
      </c>
      <c r="F2416">
        <v>148</v>
      </c>
      <c r="G2416">
        <v>4</v>
      </c>
      <c r="H2416">
        <v>0</v>
      </c>
      <c r="I2416">
        <v>5445.19</v>
      </c>
      <c r="J2416">
        <v>1</v>
      </c>
      <c r="K2416">
        <v>5445.19</v>
      </c>
      <c r="L2416">
        <v>1</v>
      </c>
      <c r="M2416">
        <v>9</v>
      </c>
      <c r="N2416">
        <v>761</v>
      </c>
      <c r="O2416">
        <f t="shared" si="76"/>
        <v>2024</v>
      </c>
      <c r="P2416">
        <f t="shared" si="77"/>
        <v>6</v>
      </c>
      <c r="Q2416" t="s">
        <v>325</v>
      </c>
      <c r="R2416" s="546" t="s">
        <v>804</v>
      </c>
    </row>
    <row r="2417" spans="1:18" x14ac:dyDescent="0.3">
      <c r="A2417" t="s">
        <v>627</v>
      </c>
      <c r="B2417" s="16">
        <v>45463</v>
      </c>
      <c r="C2417" t="s">
        <v>2</v>
      </c>
      <c r="D2417" t="s">
        <v>57</v>
      </c>
      <c r="E2417">
        <v>14328</v>
      </c>
      <c r="F2417">
        <v>7545</v>
      </c>
      <c r="G2417">
        <v>186</v>
      </c>
      <c r="H2417">
        <v>69</v>
      </c>
      <c r="I2417">
        <v>248081.7</v>
      </c>
      <c r="J2417">
        <v>57</v>
      </c>
      <c r="K2417">
        <v>169976.5</v>
      </c>
      <c r="L2417">
        <v>47</v>
      </c>
      <c r="M2417">
        <v>589</v>
      </c>
      <c r="N2417">
        <v>14294</v>
      </c>
      <c r="O2417">
        <f t="shared" si="76"/>
        <v>2024</v>
      </c>
      <c r="P2417">
        <f t="shared" si="77"/>
        <v>6</v>
      </c>
      <c r="Q2417" t="s">
        <v>325</v>
      </c>
      <c r="R2417" s="546" t="s">
        <v>804</v>
      </c>
    </row>
    <row r="2418" spans="1:18" x14ac:dyDescent="0.3">
      <c r="A2418" t="s">
        <v>627</v>
      </c>
      <c r="B2418" s="16">
        <v>45463</v>
      </c>
      <c r="C2418" t="s">
        <v>2</v>
      </c>
      <c r="D2418" t="s">
        <v>52</v>
      </c>
      <c r="E2418">
        <v>2546</v>
      </c>
      <c r="F2418">
        <v>2129</v>
      </c>
      <c r="G2418">
        <v>10</v>
      </c>
      <c r="H2418">
        <v>4</v>
      </c>
      <c r="I2418">
        <v>7445</v>
      </c>
      <c r="J2418">
        <v>3</v>
      </c>
      <c r="K2418">
        <v>7445</v>
      </c>
      <c r="L2418">
        <v>3</v>
      </c>
      <c r="M2418">
        <v>2546</v>
      </c>
      <c r="N2418">
        <v>546</v>
      </c>
      <c r="O2418">
        <f t="shared" si="76"/>
        <v>2024</v>
      </c>
      <c r="P2418">
        <f t="shared" si="77"/>
        <v>6</v>
      </c>
      <c r="Q2418" t="s">
        <v>325</v>
      </c>
      <c r="R2418" s="546" t="s">
        <v>804</v>
      </c>
    </row>
    <row r="2419" spans="1:18" x14ac:dyDescent="0.3">
      <c r="A2419" t="s">
        <v>627</v>
      </c>
      <c r="B2419" s="16">
        <v>45463</v>
      </c>
      <c r="C2419" t="s">
        <v>2</v>
      </c>
      <c r="D2419" t="s">
        <v>55</v>
      </c>
      <c r="E2419">
        <v>11278</v>
      </c>
      <c r="F2419">
        <v>8239</v>
      </c>
      <c r="G2419">
        <v>5</v>
      </c>
      <c r="H2419">
        <v>2</v>
      </c>
      <c r="I2419">
        <v>0</v>
      </c>
      <c r="J2419">
        <v>0</v>
      </c>
      <c r="K2419">
        <v>0</v>
      </c>
      <c r="L2419">
        <v>0</v>
      </c>
      <c r="M2419">
        <v>37</v>
      </c>
      <c r="N2419">
        <v>2535</v>
      </c>
      <c r="O2419">
        <f t="shared" si="76"/>
        <v>2024</v>
      </c>
      <c r="P2419">
        <f t="shared" si="77"/>
        <v>6</v>
      </c>
      <c r="Q2419" t="s">
        <v>325</v>
      </c>
      <c r="R2419" s="546" t="s">
        <v>804</v>
      </c>
    </row>
    <row r="2420" spans="1:18" x14ac:dyDescent="0.3">
      <c r="A2420" t="s">
        <v>627</v>
      </c>
      <c r="B2420" s="16">
        <v>45463</v>
      </c>
      <c r="C2420" t="s">
        <v>3</v>
      </c>
      <c r="D2420" t="s">
        <v>155</v>
      </c>
      <c r="E2420">
        <v>6</v>
      </c>
      <c r="F2420">
        <v>4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6</v>
      </c>
      <c r="O2420">
        <f t="shared" si="76"/>
        <v>2024</v>
      </c>
      <c r="P2420">
        <f t="shared" si="77"/>
        <v>6</v>
      </c>
      <c r="Q2420" t="s">
        <v>325</v>
      </c>
      <c r="R2420" s="546" t="s">
        <v>804</v>
      </c>
    </row>
    <row r="2421" spans="1:18" x14ac:dyDescent="0.3">
      <c r="A2421" t="s">
        <v>627</v>
      </c>
      <c r="B2421" s="16">
        <v>45463</v>
      </c>
      <c r="C2421" t="s">
        <v>3</v>
      </c>
      <c r="D2421" t="s">
        <v>154</v>
      </c>
      <c r="E2421">
        <v>2289</v>
      </c>
      <c r="F2421">
        <v>1990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3</v>
      </c>
      <c r="N2421">
        <v>9</v>
      </c>
      <c r="O2421">
        <f t="shared" si="76"/>
        <v>2024</v>
      </c>
      <c r="P2421">
        <f t="shared" si="77"/>
        <v>6</v>
      </c>
      <c r="Q2421" t="s">
        <v>325</v>
      </c>
      <c r="R2421" s="546" t="s">
        <v>804</v>
      </c>
    </row>
    <row r="2422" spans="1:18" x14ac:dyDescent="0.3">
      <c r="A2422" t="s">
        <v>627</v>
      </c>
      <c r="B2422" s="16">
        <v>45463</v>
      </c>
      <c r="C2422" t="s">
        <v>3</v>
      </c>
      <c r="D2422" t="s">
        <v>153</v>
      </c>
      <c r="E2422">
        <v>380</v>
      </c>
      <c r="F2422">
        <v>145</v>
      </c>
      <c r="G2422">
        <v>50</v>
      </c>
      <c r="H2422">
        <v>0</v>
      </c>
      <c r="I2422">
        <v>224947.48</v>
      </c>
      <c r="J2422">
        <v>66</v>
      </c>
      <c r="K2422">
        <v>199395</v>
      </c>
      <c r="L2422">
        <v>63</v>
      </c>
      <c r="M2422">
        <v>106</v>
      </c>
      <c r="N2422">
        <v>355</v>
      </c>
      <c r="O2422">
        <f t="shared" si="76"/>
        <v>2024</v>
      </c>
      <c r="P2422">
        <f t="shared" si="77"/>
        <v>6</v>
      </c>
      <c r="Q2422" t="s">
        <v>325</v>
      </c>
      <c r="R2422" s="546" t="s">
        <v>804</v>
      </c>
    </row>
    <row r="2423" spans="1:18" x14ac:dyDescent="0.3">
      <c r="A2423" t="s">
        <v>627</v>
      </c>
      <c r="B2423" s="16">
        <v>45463</v>
      </c>
      <c r="C2423" t="s">
        <v>3</v>
      </c>
      <c r="D2423" t="s">
        <v>152</v>
      </c>
      <c r="E2423">
        <v>17</v>
      </c>
      <c r="F2423">
        <v>5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7</v>
      </c>
      <c r="O2423">
        <f t="shared" si="76"/>
        <v>2024</v>
      </c>
      <c r="P2423">
        <f t="shared" si="77"/>
        <v>6</v>
      </c>
      <c r="Q2423" t="s">
        <v>325</v>
      </c>
      <c r="R2423" s="546" t="s">
        <v>804</v>
      </c>
    </row>
    <row r="2424" spans="1:18" x14ac:dyDescent="0.3">
      <c r="A2424" t="s">
        <v>627</v>
      </c>
      <c r="B2424" s="16">
        <v>45463</v>
      </c>
      <c r="C2424" t="s">
        <v>3</v>
      </c>
      <c r="D2424" t="s">
        <v>150</v>
      </c>
      <c r="E2424">
        <v>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1</v>
      </c>
      <c r="O2424">
        <f t="shared" si="76"/>
        <v>2024</v>
      </c>
      <c r="P2424">
        <f t="shared" si="77"/>
        <v>6</v>
      </c>
      <c r="Q2424" t="s">
        <v>325</v>
      </c>
      <c r="R2424" s="546" t="s">
        <v>804</v>
      </c>
    </row>
    <row r="2425" spans="1:18" x14ac:dyDescent="0.3">
      <c r="A2425" t="s">
        <v>627</v>
      </c>
      <c r="B2425" s="16">
        <v>45463</v>
      </c>
      <c r="C2425" t="s">
        <v>3</v>
      </c>
      <c r="D2425" t="s">
        <v>149</v>
      </c>
      <c r="E2425">
        <v>513</v>
      </c>
      <c r="F2425">
        <v>368</v>
      </c>
      <c r="G2425">
        <v>3</v>
      </c>
      <c r="H2425">
        <v>4</v>
      </c>
      <c r="I2425">
        <v>3350</v>
      </c>
      <c r="J2425">
        <v>1</v>
      </c>
      <c r="K2425">
        <v>3350</v>
      </c>
      <c r="L2425">
        <v>1</v>
      </c>
      <c r="M2425">
        <v>116</v>
      </c>
      <c r="N2425">
        <v>432</v>
      </c>
      <c r="O2425">
        <f t="shared" si="76"/>
        <v>2024</v>
      </c>
      <c r="P2425">
        <f t="shared" si="77"/>
        <v>6</v>
      </c>
      <c r="Q2425" t="s">
        <v>325</v>
      </c>
      <c r="R2425" s="546" t="s">
        <v>804</v>
      </c>
    </row>
    <row r="2426" spans="1:18" x14ac:dyDescent="0.3">
      <c r="A2426" t="s">
        <v>627</v>
      </c>
      <c r="B2426" s="16">
        <v>45463</v>
      </c>
      <c r="C2426" t="s">
        <v>3</v>
      </c>
      <c r="D2426" t="s">
        <v>148</v>
      </c>
      <c r="E2426">
        <v>2</v>
      </c>
      <c r="F2426">
        <v>2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>
        <v>1</v>
      </c>
      <c r="O2426">
        <f t="shared" si="76"/>
        <v>2024</v>
      </c>
      <c r="P2426">
        <f t="shared" si="77"/>
        <v>6</v>
      </c>
      <c r="Q2426" t="s">
        <v>325</v>
      </c>
      <c r="R2426" s="546" t="s">
        <v>804</v>
      </c>
    </row>
    <row r="2427" spans="1:18" x14ac:dyDescent="0.3">
      <c r="A2427" t="s">
        <v>627</v>
      </c>
      <c r="B2427" s="16">
        <v>45463</v>
      </c>
      <c r="C2427" t="s">
        <v>3</v>
      </c>
      <c r="D2427" t="s">
        <v>147</v>
      </c>
      <c r="E2427">
        <v>14</v>
      </c>
      <c r="F2427">
        <v>9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14</v>
      </c>
      <c r="O2427">
        <f t="shared" si="76"/>
        <v>2024</v>
      </c>
      <c r="P2427">
        <f t="shared" si="77"/>
        <v>6</v>
      </c>
      <c r="Q2427" t="s">
        <v>325</v>
      </c>
      <c r="R2427" s="546" t="s">
        <v>804</v>
      </c>
    </row>
    <row r="2428" spans="1:18" x14ac:dyDescent="0.3">
      <c r="A2428" t="s">
        <v>627</v>
      </c>
      <c r="B2428" s="16">
        <v>45463</v>
      </c>
      <c r="C2428" t="s">
        <v>3</v>
      </c>
      <c r="D2428" t="s">
        <v>251</v>
      </c>
      <c r="E2428">
        <v>1791</v>
      </c>
      <c r="F2428">
        <v>1055</v>
      </c>
      <c r="G2428">
        <v>5</v>
      </c>
      <c r="H2428">
        <v>9</v>
      </c>
      <c r="I2428">
        <v>7342</v>
      </c>
      <c r="J2428">
        <v>4</v>
      </c>
      <c r="K2428">
        <v>7342</v>
      </c>
      <c r="L2428">
        <v>4</v>
      </c>
      <c r="M2428">
        <v>54</v>
      </c>
      <c r="N2428">
        <v>321</v>
      </c>
      <c r="O2428">
        <f t="shared" si="76"/>
        <v>2024</v>
      </c>
      <c r="P2428">
        <f t="shared" si="77"/>
        <v>6</v>
      </c>
      <c r="Q2428" t="s">
        <v>325</v>
      </c>
      <c r="R2428" s="546" t="s">
        <v>804</v>
      </c>
    </row>
    <row r="2429" spans="1:18" x14ac:dyDescent="0.3">
      <c r="A2429" t="s">
        <v>627</v>
      </c>
      <c r="B2429" s="16">
        <v>45463</v>
      </c>
      <c r="C2429" t="s">
        <v>3</v>
      </c>
      <c r="D2429" t="s">
        <v>143</v>
      </c>
      <c r="E2429">
        <v>12</v>
      </c>
      <c r="F2429">
        <v>10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1</v>
      </c>
      <c r="N2429">
        <v>12</v>
      </c>
      <c r="O2429">
        <f t="shared" si="76"/>
        <v>2024</v>
      </c>
      <c r="P2429">
        <f t="shared" si="77"/>
        <v>6</v>
      </c>
      <c r="Q2429" t="s">
        <v>325</v>
      </c>
      <c r="R2429" s="546" t="s">
        <v>804</v>
      </c>
    </row>
    <row r="2430" spans="1:18" x14ac:dyDescent="0.3">
      <c r="A2430" t="s">
        <v>627</v>
      </c>
      <c r="B2430" s="16">
        <v>45463</v>
      </c>
      <c r="C2430" t="s">
        <v>3</v>
      </c>
      <c r="D2430" t="s">
        <v>141</v>
      </c>
      <c r="E2430">
        <v>5</v>
      </c>
      <c r="F2430">
        <v>5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1</v>
      </c>
      <c r="N2430">
        <v>4</v>
      </c>
      <c r="O2430">
        <f t="shared" si="76"/>
        <v>2024</v>
      </c>
      <c r="P2430">
        <f t="shared" si="77"/>
        <v>6</v>
      </c>
      <c r="Q2430" t="s">
        <v>325</v>
      </c>
      <c r="R2430" s="546" t="s">
        <v>804</v>
      </c>
    </row>
    <row r="2431" spans="1:18" x14ac:dyDescent="0.3">
      <c r="A2431" t="s">
        <v>627</v>
      </c>
      <c r="B2431" s="16">
        <v>45463</v>
      </c>
      <c r="C2431" t="s">
        <v>3</v>
      </c>
      <c r="D2431" t="s">
        <v>140</v>
      </c>
      <c r="E2431">
        <v>12</v>
      </c>
      <c r="F2431">
        <v>11</v>
      </c>
      <c r="G2431">
        <v>3</v>
      </c>
      <c r="H2431">
        <v>0</v>
      </c>
      <c r="I2431">
        <v>7129.38</v>
      </c>
      <c r="J2431">
        <v>2</v>
      </c>
      <c r="K2431">
        <v>7129.38</v>
      </c>
      <c r="L2431">
        <v>2</v>
      </c>
      <c r="M2431">
        <v>2</v>
      </c>
      <c r="N2431">
        <v>11</v>
      </c>
      <c r="O2431">
        <f t="shared" si="76"/>
        <v>2024</v>
      </c>
      <c r="P2431">
        <f t="shared" si="77"/>
        <v>6</v>
      </c>
      <c r="Q2431" t="s">
        <v>325</v>
      </c>
      <c r="R2431" s="546" t="s">
        <v>804</v>
      </c>
    </row>
    <row r="2432" spans="1:18" x14ac:dyDescent="0.3">
      <c r="A2432" t="s">
        <v>627</v>
      </c>
      <c r="B2432" s="16">
        <v>45463</v>
      </c>
      <c r="C2432" t="s">
        <v>3</v>
      </c>
      <c r="D2432" t="s">
        <v>139</v>
      </c>
      <c r="E2432">
        <v>526</v>
      </c>
      <c r="F2432">
        <v>257</v>
      </c>
      <c r="G2432">
        <v>15</v>
      </c>
      <c r="H2432">
        <v>2</v>
      </c>
      <c r="I2432">
        <v>56271.21</v>
      </c>
      <c r="J2432">
        <v>19</v>
      </c>
      <c r="K2432">
        <v>45823.93</v>
      </c>
      <c r="L2432">
        <v>18</v>
      </c>
      <c r="M2432">
        <v>238</v>
      </c>
      <c r="N2432">
        <v>367</v>
      </c>
      <c r="O2432">
        <f t="shared" si="76"/>
        <v>2024</v>
      </c>
      <c r="P2432">
        <f t="shared" si="77"/>
        <v>6</v>
      </c>
      <c r="Q2432" t="s">
        <v>325</v>
      </c>
      <c r="R2432" s="546" t="s">
        <v>804</v>
      </c>
    </row>
    <row r="2433" spans="1:18" x14ac:dyDescent="0.3">
      <c r="A2433" t="s">
        <v>627</v>
      </c>
      <c r="B2433" s="16">
        <v>45463</v>
      </c>
      <c r="C2433" t="s">
        <v>3</v>
      </c>
      <c r="D2433" t="s">
        <v>138</v>
      </c>
      <c r="E2433">
        <v>11</v>
      </c>
      <c r="F2433">
        <v>6</v>
      </c>
      <c r="G2433">
        <v>0</v>
      </c>
      <c r="H2433">
        <v>0</v>
      </c>
      <c r="I2433">
        <v>2447.19</v>
      </c>
      <c r="J2433">
        <v>1</v>
      </c>
      <c r="K2433">
        <v>2447.19</v>
      </c>
      <c r="L2433">
        <v>1</v>
      </c>
      <c r="M2433">
        <v>1</v>
      </c>
      <c r="N2433">
        <v>10</v>
      </c>
      <c r="O2433">
        <f t="shared" si="76"/>
        <v>2024</v>
      </c>
      <c r="P2433">
        <f t="shared" si="77"/>
        <v>6</v>
      </c>
      <c r="Q2433" t="s">
        <v>325</v>
      </c>
      <c r="R2433" s="546" t="s">
        <v>804</v>
      </c>
    </row>
    <row r="2434" spans="1:18" x14ac:dyDescent="0.3">
      <c r="A2434" t="s">
        <v>627</v>
      </c>
      <c r="B2434" s="16">
        <v>45463</v>
      </c>
      <c r="C2434" t="s">
        <v>3</v>
      </c>
      <c r="D2434" t="s">
        <v>137</v>
      </c>
      <c r="E2434">
        <v>5</v>
      </c>
      <c r="F2434">
        <v>3</v>
      </c>
      <c r="G2434">
        <v>0</v>
      </c>
      <c r="H2434">
        <v>1</v>
      </c>
      <c r="I2434">
        <v>2956.4</v>
      </c>
      <c r="J2434">
        <v>1</v>
      </c>
      <c r="K2434">
        <v>1478.2</v>
      </c>
      <c r="L2434">
        <v>1</v>
      </c>
      <c r="M2434">
        <v>2</v>
      </c>
      <c r="N2434">
        <v>5</v>
      </c>
      <c r="O2434">
        <f t="shared" si="76"/>
        <v>2024</v>
      </c>
      <c r="P2434">
        <f t="shared" si="77"/>
        <v>6</v>
      </c>
      <c r="Q2434" t="s">
        <v>325</v>
      </c>
      <c r="R2434" s="546" t="s">
        <v>804</v>
      </c>
    </row>
    <row r="2435" spans="1:18" x14ac:dyDescent="0.3">
      <c r="A2435" t="s">
        <v>627</v>
      </c>
      <c r="B2435" s="16">
        <v>45463</v>
      </c>
      <c r="C2435" t="s">
        <v>3</v>
      </c>
      <c r="D2435" t="s">
        <v>135</v>
      </c>
      <c r="E2435">
        <v>1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f t="shared" si="76"/>
        <v>2024</v>
      </c>
      <c r="P2435">
        <f t="shared" si="77"/>
        <v>6</v>
      </c>
      <c r="Q2435" t="s">
        <v>325</v>
      </c>
      <c r="R2435" s="546" t="s">
        <v>804</v>
      </c>
    </row>
    <row r="2436" spans="1:18" x14ac:dyDescent="0.3">
      <c r="A2436" t="s">
        <v>627</v>
      </c>
      <c r="B2436" s="16">
        <v>45463</v>
      </c>
      <c r="C2436" t="s">
        <v>3</v>
      </c>
      <c r="D2436" t="s">
        <v>133</v>
      </c>
      <c r="E2436">
        <v>55</v>
      </c>
      <c r="F2436">
        <v>22</v>
      </c>
      <c r="G2436">
        <v>6</v>
      </c>
      <c r="H2436">
        <v>0</v>
      </c>
      <c r="I2436">
        <v>7919</v>
      </c>
      <c r="J2436">
        <v>2</v>
      </c>
      <c r="K2436">
        <v>7919</v>
      </c>
      <c r="L2436">
        <v>2</v>
      </c>
      <c r="M2436">
        <v>9</v>
      </c>
      <c r="N2436">
        <v>49</v>
      </c>
      <c r="O2436">
        <f t="shared" si="76"/>
        <v>2024</v>
      </c>
      <c r="P2436">
        <f t="shared" si="77"/>
        <v>6</v>
      </c>
      <c r="Q2436" t="s">
        <v>325</v>
      </c>
      <c r="R2436" s="546" t="s">
        <v>804</v>
      </c>
    </row>
    <row r="2437" spans="1:18" x14ac:dyDescent="0.3">
      <c r="A2437" t="s">
        <v>627</v>
      </c>
      <c r="B2437" s="16">
        <v>45463</v>
      </c>
      <c r="C2437" t="s">
        <v>3</v>
      </c>
      <c r="D2437" t="s">
        <v>130</v>
      </c>
      <c r="E2437">
        <v>177</v>
      </c>
      <c r="F2437">
        <v>63</v>
      </c>
      <c r="G2437">
        <v>6</v>
      </c>
      <c r="H2437">
        <v>2</v>
      </c>
      <c r="I2437">
        <v>25416.38</v>
      </c>
      <c r="J2437">
        <v>8</v>
      </c>
      <c r="K2437">
        <v>25416.38</v>
      </c>
      <c r="L2437">
        <v>8</v>
      </c>
      <c r="M2437">
        <v>38</v>
      </c>
      <c r="N2437">
        <v>168</v>
      </c>
      <c r="O2437">
        <f t="shared" si="76"/>
        <v>2024</v>
      </c>
      <c r="P2437">
        <f t="shared" si="77"/>
        <v>6</v>
      </c>
      <c r="Q2437" t="s">
        <v>325</v>
      </c>
      <c r="R2437" s="546" t="s">
        <v>804</v>
      </c>
    </row>
    <row r="2438" spans="1:18" x14ac:dyDescent="0.3">
      <c r="A2438" t="s">
        <v>627</v>
      </c>
      <c r="B2438" s="16">
        <v>45463</v>
      </c>
      <c r="C2438" t="s">
        <v>3</v>
      </c>
      <c r="D2438" t="s">
        <v>128</v>
      </c>
      <c r="E2438">
        <v>843</v>
      </c>
      <c r="F2438">
        <v>660</v>
      </c>
      <c r="G2438">
        <v>104</v>
      </c>
      <c r="H2438">
        <v>15</v>
      </c>
      <c r="I2438">
        <v>139827</v>
      </c>
      <c r="J2438">
        <v>43</v>
      </c>
      <c r="K2438">
        <v>123958</v>
      </c>
      <c r="L2438">
        <v>39</v>
      </c>
      <c r="M2438">
        <v>217</v>
      </c>
      <c r="N2438">
        <v>771</v>
      </c>
      <c r="O2438">
        <f t="shared" si="76"/>
        <v>2024</v>
      </c>
      <c r="P2438">
        <f t="shared" si="77"/>
        <v>6</v>
      </c>
      <c r="Q2438" t="s">
        <v>325</v>
      </c>
      <c r="R2438" s="546" t="s">
        <v>804</v>
      </c>
    </row>
    <row r="2439" spans="1:18" x14ac:dyDescent="0.3">
      <c r="A2439" t="s">
        <v>627</v>
      </c>
      <c r="B2439" s="16">
        <v>45463</v>
      </c>
      <c r="C2439" t="s">
        <v>3</v>
      </c>
      <c r="D2439" t="s">
        <v>127</v>
      </c>
      <c r="E2439">
        <v>1615</v>
      </c>
      <c r="F2439">
        <v>828</v>
      </c>
      <c r="G2439">
        <v>36</v>
      </c>
      <c r="H2439">
        <v>12</v>
      </c>
      <c r="I2439">
        <v>41594.379999999997</v>
      </c>
      <c r="J2439">
        <v>15</v>
      </c>
      <c r="K2439">
        <v>35003.379999999997</v>
      </c>
      <c r="L2439">
        <v>12</v>
      </c>
      <c r="M2439">
        <v>193</v>
      </c>
      <c r="N2439">
        <v>1414</v>
      </c>
      <c r="O2439">
        <f t="shared" si="76"/>
        <v>2024</v>
      </c>
      <c r="P2439">
        <f t="shared" si="77"/>
        <v>6</v>
      </c>
      <c r="Q2439" t="s">
        <v>325</v>
      </c>
      <c r="R2439" s="546" t="s">
        <v>804</v>
      </c>
    </row>
    <row r="2440" spans="1:18" x14ac:dyDescent="0.3">
      <c r="A2440" t="s">
        <v>627</v>
      </c>
      <c r="B2440" s="16">
        <v>45463</v>
      </c>
      <c r="C2440" t="s">
        <v>3</v>
      </c>
      <c r="D2440" t="s">
        <v>126</v>
      </c>
      <c r="E2440">
        <v>93</v>
      </c>
      <c r="F2440">
        <v>77</v>
      </c>
      <c r="G2440">
        <v>2</v>
      </c>
      <c r="H2440">
        <v>0</v>
      </c>
      <c r="I2440">
        <v>1303</v>
      </c>
      <c r="J2440">
        <v>1</v>
      </c>
      <c r="K2440">
        <v>1303</v>
      </c>
      <c r="L2440">
        <v>1</v>
      </c>
      <c r="M2440">
        <v>16</v>
      </c>
      <c r="N2440">
        <v>89</v>
      </c>
      <c r="O2440">
        <f t="shared" si="76"/>
        <v>2024</v>
      </c>
      <c r="P2440">
        <f t="shared" si="77"/>
        <v>6</v>
      </c>
      <c r="Q2440" t="s">
        <v>325</v>
      </c>
      <c r="R2440" s="546" t="s">
        <v>804</v>
      </c>
    </row>
    <row r="2441" spans="1:18" x14ac:dyDescent="0.3">
      <c r="A2441" t="s">
        <v>627</v>
      </c>
      <c r="B2441" s="16">
        <v>45463</v>
      </c>
      <c r="C2441" t="s">
        <v>3</v>
      </c>
      <c r="D2441" t="s">
        <v>125</v>
      </c>
      <c r="E2441">
        <v>1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1</v>
      </c>
      <c r="O2441">
        <f t="shared" si="76"/>
        <v>2024</v>
      </c>
      <c r="P2441">
        <f t="shared" si="77"/>
        <v>6</v>
      </c>
      <c r="Q2441" t="s">
        <v>325</v>
      </c>
      <c r="R2441" s="546" t="s">
        <v>804</v>
      </c>
    </row>
    <row r="2442" spans="1:18" x14ac:dyDescent="0.3">
      <c r="A2442" t="s">
        <v>627</v>
      </c>
      <c r="B2442" s="16">
        <v>45463</v>
      </c>
      <c r="C2442" t="s">
        <v>3</v>
      </c>
      <c r="D2442" t="s">
        <v>123</v>
      </c>
      <c r="E2442">
        <v>116</v>
      </c>
      <c r="F2442">
        <v>60</v>
      </c>
      <c r="G2442">
        <v>1</v>
      </c>
      <c r="H2442">
        <v>4</v>
      </c>
      <c r="I2442">
        <v>6389.19</v>
      </c>
      <c r="J2442">
        <v>3</v>
      </c>
      <c r="K2442">
        <v>6389.19</v>
      </c>
      <c r="L2442">
        <v>3</v>
      </c>
      <c r="M2442">
        <v>49</v>
      </c>
      <c r="N2442">
        <v>92</v>
      </c>
      <c r="O2442">
        <f t="shared" si="76"/>
        <v>2024</v>
      </c>
      <c r="P2442">
        <f t="shared" si="77"/>
        <v>6</v>
      </c>
      <c r="Q2442" t="s">
        <v>325</v>
      </c>
      <c r="R2442" s="546" t="s">
        <v>804</v>
      </c>
    </row>
    <row r="2443" spans="1:18" x14ac:dyDescent="0.3">
      <c r="A2443" t="s">
        <v>627</v>
      </c>
      <c r="B2443" s="16">
        <v>45463</v>
      </c>
      <c r="C2443" t="s">
        <v>3</v>
      </c>
      <c r="D2443" t="s">
        <v>120</v>
      </c>
      <c r="E2443">
        <v>346</v>
      </c>
      <c r="F2443">
        <v>184</v>
      </c>
      <c r="G2443">
        <v>2</v>
      </c>
      <c r="H2443">
        <v>0</v>
      </c>
      <c r="I2443">
        <v>16389</v>
      </c>
      <c r="J2443">
        <v>2</v>
      </c>
      <c r="K2443">
        <v>8846</v>
      </c>
      <c r="L2443">
        <v>2</v>
      </c>
      <c r="M2443">
        <v>33</v>
      </c>
      <c r="N2443">
        <v>341</v>
      </c>
      <c r="O2443">
        <f t="shared" si="76"/>
        <v>2024</v>
      </c>
      <c r="P2443">
        <f t="shared" si="77"/>
        <v>6</v>
      </c>
      <c r="Q2443" t="s">
        <v>325</v>
      </c>
      <c r="R2443" s="546" t="s">
        <v>804</v>
      </c>
    </row>
    <row r="2444" spans="1:18" x14ac:dyDescent="0.3">
      <c r="A2444" t="s">
        <v>627</v>
      </c>
      <c r="B2444" s="16">
        <v>45463</v>
      </c>
      <c r="C2444" t="s">
        <v>3</v>
      </c>
      <c r="D2444" t="s">
        <v>119</v>
      </c>
      <c r="E2444">
        <v>313</v>
      </c>
      <c r="F2444">
        <v>119</v>
      </c>
      <c r="G2444">
        <v>27</v>
      </c>
      <c r="H2444">
        <v>3</v>
      </c>
      <c r="I2444">
        <v>106719.26</v>
      </c>
      <c r="J2444">
        <v>25</v>
      </c>
      <c r="K2444">
        <v>83655.56</v>
      </c>
      <c r="L2444">
        <v>23</v>
      </c>
      <c r="M2444">
        <v>88</v>
      </c>
      <c r="N2444">
        <v>292</v>
      </c>
      <c r="O2444">
        <f t="shared" si="76"/>
        <v>2024</v>
      </c>
      <c r="P2444">
        <f t="shared" si="77"/>
        <v>6</v>
      </c>
      <c r="Q2444" t="s">
        <v>325</v>
      </c>
      <c r="R2444" s="546" t="s">
        <v>804</v>
      </c>
    </row>
    <row r="2445" spans="1:18" x14ac:dyDescent="0.3">
      <c r="A2445" t="s">
        <v>627</v>
      </c>
      <c r="B2445" s="16">
        <v>45463</v>
      </c>
      <c r="C2445" t="s">
        <v>3</v>
      </c>
      <c r="D2445" t="s">
        <v>117</v>
      </c>
      <c r="E2445">
        <v>1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1</v>
      </c>
      <c r="O2445">
        <f t="shared" si="76"/>
        <v>2024</v>
      </c>
      <c r="P2445">
        <f t="shared" si="77"/>
        <v>6</v>
      </c>
      <c r="Q2445" t="s">
        <v>325</v>
      </c>
      <c r="R2445" s="546" t="s">
        <v>804</v>
      </c>
    </row>
    <row r="2446" spans="1:18" x14ac:dyDescent="0.3">
      <c r="A2446" t="s">
        <v>627</v>
      </c>
      <c r="B2446" s="16">
        <v>45463</v>
      </c>
      <c r="C2446" t="s">
        <v>3</v>
      </c>
      <c r="D2446" t="s">
        <v>116</v>
      </c>
      <c r="E2446">
        <v>8</v>
      </c>
      <c r="F2446">
        <v>8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2</v>
      </c>
      <c r="N2446">
        <v>8</v>
      </c>
      <c r="O2446">
        <f t="shared" si="76"/>
        <v>2024</v>
      </c>
      <c r="P2446">
        <f t="shared" si="77"/>
        <v>6</v>
      </c>
      <c r="Q2446" t="s">
        <v>325</v>
      </c>
      <c r="R2446" s="546" t="s">
        <v>804</v>
      </c>
    </row>
    <row r="2447" spans="1:18" x14ac:dyDescent="0.3">
      <c r="A2447" t="s">
        <v>627</v>
      </c>
      <c r="B2447" s="16">
        <v>45463</v>
      </c>
      <c r="C2447" t="s">
        <v>3</v>
      </c>
      <c r="D2447" t="s">
        <v>115</v>
      </c>
      <c r="E2447">
        <v>7</v>
      </c>
      <c r="F2447">
        <v>2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</v>
      </c>
      <c r="N2447">
        <v>6</v>
      </c>
      <c r="O2447">
        <f t="shared" si="76"/>
        <v>2024</v>
      </c>
      <c r="P2447">
        <f t="shared" si="77"/>
        <v>6</v>
      </c>
      <c r="Q2447" t="s">
        <v>325</v>
      </c>
      <c r="R2447" s="546" t="s">
        <v>804</v>
      </c>
    </row>
    <row r="2448" spans="1:18" x14ac:dyDescent="0.3">
      <c r="A2448" t="s">
        <v>627</v>
      </c>
      <c r="B2448" s="16">
        <v>45463</v>
      </c>
      <c r="C2448" t="s">
        <v>3</v>
      </c>
      <c r="D2448" t="s">
        <v>114</v>
      </c>
      <c r="E2448">
        <v>77</v>
      </c>
      <c r="F2448">
        <v>42</v>
      </c>
      <c r="G2448">
        <v>2</v>
      </c>
      <c r="H2448">
        <v>1</v>
      </c>
      <c r="I2448">
        <v>1917</v>
      </c>
      <c r="J2448">
        <v>1</v>
      </c>
      <c r="K2448">
        <v>1917</v>
      </c>
      <c r="L2448">
        <v>1</v>
      </c>
      <c r="M2448">
        <v>9</v>
      </c>
      <c r="N2448">
        <v>69</v>
      </c>
      <c r="O2448">
        <f t="shared" si="76"/>
        <v>2024</v>
      </c>
      <c r="P2448">
        <f t="shared" si="77"/>
        <v>6</v>
      </c>
      <c r="Q2448" t="s">
        <v>325</v>
      </c>
      <c r="R2448" s="546" t="s">
        <v>804</v>
      </c>
    </row>
    <row r="2449" spans="1:18" x14ac:dyDescent="0.3">
      <c r="A2449" t="s">
        <v>627</v>
      </c>
      <c r="B2449" s="16">
        <v>45463</v>
      </c>
      <c r="C2449" t="s">
        <v>3</v>
      </c>
      <c r="D2449" t="s">
        <v>113</v>
      </c>
      <c r="E2449">
        <v>101</v>
      </c>
      <c r="F2449">
        <v>55</v>
      </c>
      <c r="G2449">
        <v>1</v>
      </c>
      <c r="H2449">
        <v>0</v>
      </c>
      <c r="I2449">
        <v>4793</v>
      </c>
      <c r="J2449">
        <v>2</v>
      </c>
      <c r="K2449">
        <v>4793</v>
      </c>
      <c r="L2449">
        <v>2</v>
      </c>
      <c r="M2449">
        <v>88</v>
      </c>
      <c r="N2449">
        <v>42</v>
      </c>
      <c r="O2449">
        <f t="shared" si="76"/>
        <v>2024</v>
      </c>
      <c r="P2449">
        <f t="shared" si="77"/>
        <v>6</v>
      </c>
      <c r="Q2449" t="s">
        <v>325</v>
      </c>
      <c r="R2449" s="546" t="s">
        <v>804</v>
      </c>
    </row>
    <row r="2450" spans="1:18" x14ac:dyDescent="0.3">
      <c r="A2450" t="s">
        <v>627</v>
      </c>
      <c r="B2450" s="16">
        <v>45463</v>
      </c>
      <c r="C2450" t="s">
        <v>3</v>
      </c>
      <c r="D2450" t="s">
        <v>112</v>
      </c>
      <c r="E2450">
        <v>34</v>
      </c>
      <c r="F2450">
        <v>11</v>
      </c>
      <c r="G2450">
        <v>1</v>
      </c>
      <c r="H2450">
        <v>0</v>
      </c>
      <c r="I2450">
        <v>22665</v>
      </c>
      <c r="J2450">
        <v>7</v>
      </c>
      <c r="K2450">
        <v>22665</v>
      </c>
      <c r="L2450">
        <v>7</v>
      </c>
      <c r="M2450">
        <v>1</v>
      </c>
      <c r="N2450">
        <v>34</v>
      </c>
      <c r="O2450">
        <f t="shared" si="76"/>
        <v>2024</v>
      </c>
      <c r="P2450">
        <f t="shared" si="77"/>
        <v>6</v>
      </c>
      <c r="Q2450" t="s">
        <v>325</v>
      </c>
      <c r="R2450" s="546" t="s">
        <v>804</v>
      </c>
    </row>
    <row r="2451" spans="1:18" x14ac:dyDescent="0.3">
      <c r="A2451" t="s">
        <v>627</v>
      </c>
      <c r="B2451" s="16">
        <v>45463</v>
      </c>
      <c r="C2451" t="s">
        <v>3</v>
      </c>
      <c r="D2451" t="s">
        <v>111</v>
      </c>
      <c r="E2451">
        <v>2</v>
      </c>
      <c r="F2451">
        <v>1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2</v>
      </c>
      <c r="O2451">
        <f t="shared" si="76"/>
        <v>2024</v>
      </c>
      <c r="P2451">
        <f t="shared" si="77"/>
        <v>6</v>
      </c>
      <c r="Q2451" t="s">
        <v>325</v>
      </c>
      <c r="R2451" s="546" t="s">
        <v>804</v>
      </c>
    </row>
    <row r="2452" spans="1:18" x14ac:dyDescent="0.3">
      <c r="A2452" t="s">
        <v>627</v>
      </c>
      <c r="B2452" s="16">
        <v>45462</v>
      </c>
      <c r="C2452" t="s">
        <v>2</v>
      </c>
      <c r="D2452" t="s">
        <v>4</v>
      </c>
      <c r="E2452">
        <v>844</v>
      </c>
      <c r="F2452">
        <v>156</v>
      </c>
      <c r="G2452">
        <v>8</v>
      </c>
      <c r="H2452">
        <v>2</v>
      </c>
      <c r="I2452">
        <v>11142.59</v>
      </c>
      <c r="J2452">
        <v>3</v>
      </c>
      <c r="K2452">
        <v>5649.59</v>
      </c>
      <c r="L2452">
        <v>2</v>
      </c>
      <c r="M2452">
        <v>14</v>
      </c>
      <c r="N2452">
        <v>829</v>
      </c>
      <c r="O2452">
        <f t="shared" si="76"/>
        <v>2024</v>
      </c>
      <c r="P2452">
        <f t="shared" si="77"/>
        <v>6</v>
      </c>
      <c r="Q2452" t="s">
        <v>325</v>
      </c>
      <c r="R2452" s="546" t="s">
        <v>804</v>
      </c>
    </row>
    <row r="2453" spans="1:18" x14ac:dyDescent="0.3">
      <c r="A2453" t="s">
        <v>627</v>
      </c>
      <c r="B2453" s="16">
        <v>45462</v>
      </c>
      <c r="C2453" t="s">
        <v>2</v>
      </c>
      <c r="D2453" t="s">
        <v>57</v>
      </c>
      <c r="E2453">
        <v>17573</v>
      </c>
      <c r="F2453">
        <v>9526</v>
      </c>
      <c r="G2453">
        <v>173</v>
      </c>
      <c r="H2453">
        <v>112</v>
      </c>
      <c r="I2453">
        <v>189536</v>
      </c>
      <c r="J2453">
        <v>45</v>
      </c>
      <c r="K2453">
        <v>129746</v>
      </c>
      <c r="L2453">
        <v>37</v>
      </c>
      <c r="M2453">
        <v>697</v>
      </c>
      <c r="N2453">
        <v>17534</v>
      </c>
      <c r="O2453">
        <f t="shared" si="76"/>
        <v>2024</v>
      </c>
      <c r="P2453">
        <f t="shared" si="77"/>
        <v>6</v>
      </c>
      <c r="Q2453" t="s">
        <v>325</v>
      </c>
      <c r="R2453" s="546" t="s">
        <v>804</v>
      </c>
    </row>
    <row r="2454" spans="1:18" x14ac:dyDescent="0.3">
      <c r="A2454" t="s">
        <v>627</v>
      </c>
      <c r="B2454" s="16">
        <v>45462</v>
      </c>
      <c r="C2454" t="s">
        <v>2</v>
      </c>
      <c r="D2454" t="s">
        <v>52</v>
      </c>
      <c r="E2454">
        <v>2607</v>
      </c>
      <c r="F2454">
        <v>2175</v>
      </c>
      <c r="G2454">
        <v>15</v>
      </c>
      <c r="H2454">
        <v>2</v>
      </c>
      <c r="I2454">
        <v>3598</v>
      </c>
      <c r="J2454">
        <v>3</v>
      </c>
      <c r="K2454">
        <v>2778</v>
      </c>
      <c r="L2454">
        <v>2</v>
      </c>
      <c r="M2454">
        <v>2607</v>
      </c>
      <c r="N2454">
        <v>472</v>
      </c>
      <c r="O2454">
        <f t="shared" si="76"/>
        <v>2024</v>
      </c>
      <c r="P2454">
        <f t="shared" si="77"/>
        <v>6</v>
      </c>
      <c r="Q2454" t="s">
        <v>325</v>
      </c>
      <c r="R2454" s="546" t="s">
        <v>804</v>
      </c>
    </row>
    <row r="2455" spans="1:18" x14ac:dyDescent="0.3">
      <c r="A2455" t="s">
        <v>627</v>
      </c>
      <c r="B2455" s="16">
        <v>45462</v>
      </c>
      <c r="C2455" t="s">
        <v>2</v>
      </c>
      <c r="D2455" t="s">
        <v>55</v>
      </c>
      <c r="E2455">
        <v>14923</v>
      </c>
      <c r="F2455">
        <v>11549</v>
      </c>
      <c r="G2455">
        <v>3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44</v>
      </c>
      <c r="N2455">
        <v>5545</v>
      </c>
      <c r="O2455">
        <f t="shared" si="76"/>
        <v>2024</v>
      </c>
      <c r="P2455">
        <f t="shared" si="77"/>
        <v>6</v>
      </c>
      <c r="Q2455" t="s">
        <v>325</v>
      </c>
      <c r="R2455" s="546" t="s">
        <v>804</v>
      </c>
    </row>
    <row r="2456" spans="1:18" x14ac:dyDescent="0.3">
      <c r="A2456" t="s">
        <v>627</v>
      </c>
      <c r="B2456" s="16">
        <v>45462</v>
      </c>
      <c r="C2456" t="s">
        <v>3</v>
      </c>
      <c r="D2456" t="s">
        <v>155</v>
      </c>
      <c r="E2456">
        <v>5</v>
      </c>
      <c r="F2456">
        <v>3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5</v>
      </c>
      <c r="O2456">
        <f t="shared" si="76"/>
        <v>2024</v>
      </c>
      <c r="P2456">
        <f t="shared" si="77"/>
        <v>6</v>
      </c>
      <c r="Q2456" t="s">
        <v>325</v>
      </c>
      <c r="R2456" s="546" t="s">
        <v>804</v>
      </c>
    </row>
    <row r="2457" spans="1:18" x14ac:dyDescent="0.3">
      <c r="A2457" t="s">
        <v>627</v>
      </c>
      <c r="B2457" s="16">
        <v>45462</v>
      </c>
      <c r="C2457" t="s">
        <v>3</v>
      </c>
      <c r="D2457" t="s">
        <v>154</v>
      </c>
      <c r="E2457">
        <v>630</v>
      </c>
      <c r="F2457">
        <v>582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5</v>
      </c>
      <c r="N2457">
        <v>4</v>
      </c>
      <c r="O2457">
        <f t="shared" si="76"/>
        <v>2024</v>
      </c>
      <c r="P2457">
        <f t="shared" si="77"/>
        <v>6</v>
      </c>
      <c r="Q2457" t="s">
        <v>325</v>
      </c>
      <c r="R2457" s="546" t="s">
        <v>804</v>
      </c>
    </row>
    <row r="2458" spans="1:18" x14ac:dyDescent="0.3">
      <c r="A2458" t="s">
        <v>627</v>
      </c>
      <c r="B2458" s="16">
        <v>45462</v>
      </c>
      <c r="C2458" t="s">
        <v>3</v>
      </c>
      <c r="D2458" t="s">
        <v>153</v>
      </c>
      <c r="E2458">
        <v>323</v>
      </c>
      <c r="F2458">
        <v>121</v>
      </c>
      <c r="G2458">
        <v>30</v>
      </c>
      <c r="H2458">
        <v>2</v>
      </c>
      <c r="I2458">
        <v>120171.09</v>
      </c>
      <c r="J2458">
        <v>33</v>
      </c>
      <c r="K2458">
        <v>114653.09</v>
      </c>
      <c r="L2458">
        <v>32</v>
      </c>
      <c r="M2458">
        <v>79</v>
      </c>
      <c r="N2458">
        <v>303</v>
      </c>
      <c r="O2458">
        <f t="shared" si="76"/>
        <v>2024</v>
      </c>
      <c r="P2458">
        <f t="shared" si="77"/>
        <v>6</v>
      </c>
      <c r="Q2458" t="s">
        <v>325</v>
      </c>
      <c r="R2458" s="546" t="s">
        <v>804</v>
      </c>
    </row>
    <row r="2459" spans="1:18" x14ac:dyDescent="0.3">
      <c r="A2459" t="s">
        <v>627</v>
      </c>
      <c r="B2459" s="16">
        <v>45462</v>
      </c>
      <c r="C2459" t="s">
        <v>3</v>
      </c>
      <c r="D2459" t="s">
        <v>152</v>
      </c>
      <c r="E2459">
        <v>13</v>
      </c>
      <c r="F2459">
        <v>3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7</v>
      </c>
      <c r="O2459">
        <f t="shared" si="76"/>
        <v>2024</v>
      </c>
      <c r="P2459">
        <f t="shared" si="77"/>
        <v>6</v>
      </c>
      <c r="Q2459" t="s">
        <v>325</v>
      </c>
      <c r="R2459" s="546" t="s">
        <v>804</v>
      </c>
    </row>
    <row r="2460" spans="1:18" x14ac:dyDescent="0.3">
      <c r="A2460" t="s">
        <v>627</v>
      </c>
      <c r="B2460" s="16">
        <v>45462</v>
      </c>
      <c r="C2460" t="s">
        <v>3</v>
      </c>
      <c r="D2460" t="s">
        <v>150</v>
      </c>
      <c r="E2460">
        <v>4</v>
      </c>
      <c r="F2460">
        <v>2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4</v>
      </c>
      <c r="O2460">
        <f t="shared" si="76"/>
        <v>2024</v>
      </c>
      <c r="P2460">
        <f t="shared" si="77"/>
        <v>6</v>
      </c>
      <c r="Q2460" t="s">
        <v>325</v>
      </c>
      <c r="R2460" s="546" t="s">
        <v>804</v>
      </c>
    </row>
    <row r="2461" spans="1:18" x14ac:dyDescent="0.3">
      <c r="A2461" t="s">
        <v>627</v>
      </c>
      <c r="B2461" s="16">
        <v>45462</v>
      </c>
      <c r="C2461" t="s">
        <v>3</v>
      </c>
      <c r="D2461" t="s">
        <v>149</v>
      </c>
      <c r="E2461">
        <v>666</v>
      </c>
      <c r="F2461">
        <v>495</v>
      </c>
      <c r="G2461">
        <v>4</v>
      </c>
      <c r="H2461">
        <v>5</v>
      </c>
      <c r="I2461">
        <v>0</v>
      </c>
      <c r="J2461">
        <v>0</v>
      </c>
      <c r="K2461">
        <v>0</v>
      </c>
      <c r="L2461">
        <v>0</v>
      </c>
      <c r="M2461">
        <v>120</v>
      </c>
      <c r="N2461">
        <v>555</v>
      </c>
      <c r="O2461">
        <f t="shared" si="76"/>
        <v>2024</v>
      </c>
      <c r="P2461">
        <f t="shared" si="77"/>
        <v>6</v>
      </c>
      <c r="Q2461" t="s">
        <v>325</v>
      </c>
      <c r="R2461" s="546" t="s">
        <v>804</v>
      </c>
    </row>
    <row r="2462" spans="1:18" x14ac:dyDescent="0.3">
      <c r="A2462" t="s">
        <v>627</v>
      </c>
      <c r="B2462" s="16">
        <v>45462</v>
      </c>
      <c r="C2462" t="s">
        <v>3</v>
      </c>
      <c r="D2462" t="s">
        <v>148</v>
      </c>
      <c r="E2462">
        <v>3</v>
      </c>
      <c r="F2462">
        <v>3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3</v>
      </c>
      <c r="O2462">
        <f t="shared" si="76"/>
        <v>2024</v>
      </c>
      <c r="P2462">
        <f t="shared" si="77"/>
        <v>6</v>
      </c>
      <c r="Q2462" t="s">
        <v>325</v>
      </c>
      <c r="R2462" s="546" t="s">
        <v>804</v>
      </c>
    </row>
    <row r="2463" spans="1:18" x14ac:dyDescent="0.3">
      <c r="A2463" t="s">
        <v>627</v>
      </c>
      <c r="B2463" s="16">
        <v>45462</v>
      </c>
      <c r="C2463" t="s">
        <v>3</v>
      </c>
      <c r="D2463" t="s">
        <v>147</v>
      </c>
      <c r="E2463">
        <v>16</v>
      </c>
      <c r="F2463">
        <v>12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16</v>
      </c>
      <c r="O2463">
        <f t="shared" si="76"/>
        <v>2024</v>
      </c>
      <c r="P2463">
        <f t="shared" si="77"/>
        <v>6</v>
      </c>
      <c r="Q2463" t="s">
        <v>325</v>
      </c>
      <c r="R2463" s="546" t="s">
        <v>804</v>
      </c>
    </row>
    <row r="2464" spans="1:18" x14ac:dyDescent="0.3">
      <c r="A2464" t="s">
        <v>627</v>
      </c>
      <c r="B2464" s="16">
        <v>45462</v>
      </c>
      <c r="C2464" t="s">
        <v>3</v>
      </c>
      <c r="D2464" t="s">
        <v>251</v>
      </c>
      <c r="E2464">
        <v>3070</v>
      </c>
      <c r="F2464">
        <v>2483</v>
      </c>
      <c r="G2464">
        <v>13</v>
      </c>
      <c r="H2464">
        <v>5</v>
      </c>
      <c r="I2464">
        <v>30645.77</v>
      </c>
      <c r="J2464">
        <v>6</v>
      </c>
      <c r="K2464">
        <v>29847.77</v>
      </c>
      <c r="L2464">
        <v>6</v>
      </c>
      <c r="M2464">
        <v>69</v>
      </c>
      <c r="N2464">
        <v>401</v>
      </c>
      <c r="O2464">
        <f t="shared" si="76"/>
        <v>2024</v>
      </c>
      <c r="P2464">
        <f t="shared" si="77"/>
        <v>6</v>
      </c>
      <c r="Q2464" t="s">
        <v>325</v>
      </c>
      <c r="R2464" s="546" t="s">
        <v>804</v>
      </c>
    </row>
    <row r="2465" spans="1:18" x14ac:dyDescent="0.3">
      <c r="A2465" t="s">
        <v>627</v>
      </c>
      <c r="B2465" s="16">
        <v>45462</v>
      </c>
      <c r="C2465" t="s">
        <v>3</v>
      </c>
      <c r="D2465" t="s">
        <v>143</v>
      </c>
      <c r="E2465">
        <v>4</v>
      </c>
      <c r="F2465">
        <v>4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1</v>
      </c>
      <c r="N2465">
        <v>4</v>
      </c>
      <c r="O2465">
        <f t="shared" si="76"/>
        <v>2024</v>
      </c>
      <c r="P2465">
        <f t="shared" si="77"/>
        <v>6</v>
      </c>
      <c r="Q2465" t="s">
        <v>325</v>
      </c>
      <c r="R2465" s="546" t="s">
        <v>804</v>
      </c>
    </row>
    <row r="2466" spans="1:18" x14ac:dyDescent="0.3">
      <c r="A2466" t="s">
        <v>627</v>
      </c>
      <c r="B2466" s="16">
        <v>45462</v>
      </c>
      <c r="C2466" t="s">
        <v>3</v>
      </c>
      <c r="D2466" t="s">
        <v>141</v>
      </c>
      <c r="E2466">
        <v>1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1</v>
      </c>
      <c r="O2466">
        <f t="shared" si="76"/>
        <v>2024</v>
      </c>
      <c r="P2466">
        <f t="shared" si="77"/>
        <v>6</v>
      </c>
      <c r="Q2466" t="s">
        <v>325</v>
      </c>
      <c r="R2466" s="546" t="s">
        <v>804</v>
      </c>
    </row>
    <row r="2467" spans="1:18" x14ac:dyDescent="0.3">
      <c r="A2467" t="s">
        <v>627</v>
      </c>
      <c r="B2467" s="16">
        <v>45462</v>
      </c>
      <c r="C2467" t="s">
        <v>3</v>
      </c>
      <c r="D2467" t="s">
        <v>140</v>
      </c>
      <c r="E2467">
        <v>7</v>
      </c>
      <c r="F2467">
        <v>4</v>
      </c>
      <c r="G2467">
        <v>2</v>
      </c>
      <c r="H2467">
        <v>0</v>
      </c>
      <c r="I2467">
        <v>6577.5</v>
      </c>
      <c r="J2467">
        <v>2</v>
      </c>
      <c r="K2467">
        <v>6577.5</v>
      </c>
      <c r="L2467">
        <v>2</v>
      </c>
      <c r="M2467">
        <v>0</v>
      </c>
      <c r="N2467">
        <v>7</v>
      </c>
      <c r="O2467">
        <f t="shared" si="76"/>
        <v>2024</v>
      </c>
      <c r="P2467">
        <f t="shared" si="77"/>
        <v>6</v>
      </c>
      <c r="Q2467" t="s">
        <v>325</v>
      </c>
      <c r="R2467" s="546" t="s">
        <v>804</v>
      </c>
    </row>
    <row r="2468" spans="1:18" x14ac:dyDescent="0.3">
      <c r="A2468" t="s">
        <v>627</v>
      </c>
      <c r="B2468" s="16">
        <v>45462</v>
      </c>
      <c r="C2468" t="s">
        <v>3</v>
      </c>
      <c r="D2468" t="s">
        <v>139</v>
      </c>
      <c r="E2468">
        <v>606</v>
      </c>
      <c r="F2468">
        <v>343</v>
      </c>
      <c r="G2468">
        <v>19</v>
      </c>
      <c r="H2468">
        <v>6</v>
      </c>
      <c r="I2468">
        <v>25657</v>
      </c>
      <c r="J2468">
        <v>12</v>
      </c>
      <c r="K2468">
        <v>22722</v>
      </c>
      <c r="L2468">
        <v>11</v>
      </c>
      <c r="M2468">
        <v>261</v>
      </c>
      <c r="N2468">
        <v>416</v>
      </c>
      <c r="O2468">
        <f t="shared" si="76"/>
        <v>2024</v>
      </c>
      <c r="P2468">
        <f t="shared" si="77"/>
        <v>6</v>
      </c>
      <c r="Q2468" t="s">
        <v>325</v>
      </c>
      <c r="R2468" s="546" t="s">
        <v>804</v>
      </c>
    </row>
    <row r="2469" spans="1:18" x14ac:dyDescent="0.3">
      <c r="A2469" t="s">
        <v>627</v>
      </c>
      <c r="B2469" s="16">
        <v>45462</v>
      </c>
      <c r="C2469" t="s">
        <v>3</v>
      </c>
      <c r="D2469" t="s">
        <v>138</v>
      </c>
      <c r="E2469">
        <v>8</v>
      </c>
      <c r="F2469">
        <v>4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2</v>
      </c>
      <c r="N2469">
        <v>8</v>
      </c>
      <c r="O2469">
        <f t="shared" si="76"/>
        <v>2024</v>
      </c>
      <c r="P2469">
        <f t="shared" si="77"/>
        <v>6</v>
      </c>
      <c r="Q2469" t="s">
        <v>325</v>
      </c>
      <c r="R2469" s="546" t="s">
        <v>804</v>
      </c>
    </row>
    <row r="2470" spans="1:18" x14ac:dyDescent="0.3">
      <c r="A2470" t="s">
        <v>627</v>
      </c>
      <c r="B2470" s="16">
        <v>45462</v>
      </c>
      <c r="C2470" t="s">
        <v>3</v>
      </c>
      <c r="D2470" t="s">
        <v>137</v>
      </c>
      <c r="E2470">
        <v>3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1</v>
      </c>
      <c r="N2470">
        <v>3</v>
      </c>
      <c r="O2470">
        <f t="shared" si="76"/>
        <v>2024</v>
      </c>
      <c r="P2470">
        <f t="shared" si="77"/>
        <v>6</v>
      </c>
      <c r="Q2470" t="s">
        <v>325</v>
      </c>
      <c r="R2470" s="546" t="s">
        <v>804</v>
      </c>
    </row>
    <row r="2471" spans="1:18" x14ac:dyDescent="0.3">
      <c r="A2471" t="s">
        <v>627</v>
      </c>
      <c r="B2471" s="16">
        <v>45462</v>
      </c>
      <c r="C2471" t="s">
        <v>3</v>
      </c>
      <c r="D2471" t="s">
        <v>135</v>
      </c>
      <c r="E2471">
        <v>6</v>
      </c>
      <c r="F2471">
        <v>4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f t="shared" si="76"/>
        <v>2024</v>
      </c>
      <c r="P2471">
        <f t="shared" si="77"/>
        <v>6</v>
      </c>
      <c r="Q2471" t="s">
        <v>325</v>
      </c>
      <c r="R2471" s="546" t="s">
        <v>804</v>
      </c>
    </row>
    <row r="2472" spans="1:18" x14ac:dyDescent="0.3">
      <c r="A2472" t="s">
        <v>627</v>
      </c>
      <c r="B2472" s="16">
        <v>45462</v>
      </c>
      <c r="C2472" t="s">
        <v>3</v>
      </c>
      <c r="D2472" t="s">
        <v>133</v>
      </c>
      <c r="E2472">
        <v>33</v>
      </c>
      <c r="F2472">
        <v>18</v>
      </c>
      <c r="G2472">
        <v>4</v>
      </c>
      <c r="H2472">
        <v>0</v>
      </c>
      <c r="I2472">
        <v>7910</v>
      </c>
      <c r="J2472">
        <v>2</v>
      </c>
      <c r="K2472">
        <v>3980</v>
      </c>
      <c r="L2472">
        <v>1</v>
      </c>
      <c r="M2472">
        <v>10</v>
      </c>
      <c r="N2472">
        <v>26</v>
      </c>
      <c r="O2472">
        <f t="shared" si="76"/>
        <v>2024</v>
      </c>
      <c r="P2472">
        <f t="shared" si="77"/>
        <v>6</v>
      </c>
      <c r="Q2472" t="s">
        <v>325</v>
      </c>
      <c r="R2472" s="546" t="s">
        <v>804</v>
      </c>
    </row>
    <row r="2473" spans="1:18" x14ac:dyDescent="0.3">
      <c r="A2473" t="s">
        <v>627</v>
      </c>
      <c r="B2473" s="16">
        <v>45462</v>
      </c>
      <c r="C2473" t="s">
        <v>3</v>
      </c>
      <c r="D2473" t="s">
        <v>130</v>
      </c>
      <c r="E2473">
        <v>210</v>
      </c>
      <c r="F2473">
        <v>93</v>
      </c>
      <c r="G2473">
        <v>17</v>
      </c>
      <c r="H2473">
        <v>2</v>
      </c>
      <c r="I2473">
        <v>11872</v>
      </c>
      <c r="J2473">
        <v>6</v>
      </c>
      <c r="K2473">
        <v>9576</v>
      </c>
      <c r="L2473">
        <v>5</v>
      </c>
      <c r="M2473">
        <v>44</v>
      </c>
      <c r="N2473">
        <v>206</v>
      </c>
      <c r="O2473">
        <f t="shared" si="76"/>
        <v>2024</v>
      </c>
      <c r="P2473">
        <f t="shared" si="77"/>
        <v>6</v>
      </c>
      <c r="Q2473" t="s">
        <v>325</v>
      </c>
      <c r="R2473" s="546" t="s">
        <v>804</v>
      </c>
    </row>
    <row r="2474" spans="1:18" x14ac:dyDescent="0.3">
      <c r="A2474" t="s">
        <v>627</v>
      </c>
      <c r="B2474" s="16">
        <v>45462</v>
      </c>
      <c r="C2474" t="s">
        <v>3</v>
      </c>
      <c r="D2474" t="s">
        <v>128</v>
      </c>
      <c r="E2474">
        <v>815</v>
      </c>
      <c r="F2474">
        <v>620</v>
      </c>
      <c r="G2474">
        <v>91</v>
      </c>
      <c r="H2474">
        <v>10</v>
      </c>
      <c r="I2474">
        <v>119566.79</v>
      </c>
      <c r="J2474">
        <v>34</v>
      </c>
      <c r="K2474">
        <v>85170.29</v>
      </c>
      <c r="L2474">
        <v>28</v>
      </c>
      <c r="M2474">
        <v>207</v>
      </c>
      <c r="N2474">
        <v>738</v>
      </c>
      <c r="O2474">
        <f t="shared" si="76"/>
        <v>2024</v>
      </c>
      <c r="P2474">
        <f t="shared" si="77"/>
        <v>6</v>
      </c>
      <c r="Q2474" t="s">
        <v>325</v>
      </c>
      <c r="R2474" s="546" t="s">
        <v>804</v>
      </c>
    </row>
    <row r="2475" spans="1:18" x14ac:dyDescent="0.3">
      <c r="A2475" t="s">
        <v>627</v>
      </c>
      <c r="B2475" s="16">
        <v>45462</v>
      </c>
      <c r="C2475" t="s">
        <v>3</v>
      </c>
      <c r="D2475" t="s">
        <v>127</v>
      </c>
      <c r="E2475">
        <v>1918</v>
      </c>
      <c r="F2475">
        <v>1099</v>
      </c>
      <c r="G2475">
        <v>41</v>
      </c>
      <c r="H2475">
        <v>6</v>
      </c>
      <c r="I2475">
        <v>15583</v>
      </c>
      <c r="J2475">
        <v>7</v>
      </c>
      <c r="K2475">
        <v>8850</v>
      </c>
      <c r="L2475">
        <v>3</v>
      </c>
      <c r="M2475">
        <v>168</v>
      </c>
      <c r="N2475">
        <v>1567</v>
      </c>
      <c r="O2475">
        <f t="shared" si="76"/>
        <v>2024</v>
      </c>
      <c r="P2475">
        <f t="shared" si="77"/>
        <v>6</v>
      </c>
      <c r="Q2475" t="s">
        <v>325</v>
      </c>
      <c r="R2475" s="546" t="s">
        <v>804</v>
      </c>
    </row>
    <row r="2476" spans="1:18" x14ac:dyDescent="0.3">
      <c r="A2476" t="s">
        <v>627</v>
      </c>
      <c r="B2476" s="16">
        <v>45462</v>
      </c>
      <c r="C2476" t="s">
        <v>3</v>
      </c>
      <c r="D2476" t="s">
        <v>126</v>
      </c>
      <c r="E2476">
        <v>114</v>
      </c>
      <c r="F2476">
        <v>92</v>
      </c>
      <c r="G2476">
        <v>3</v>
      </c>
      <c r="H2476">
        <v>3</v>
      </c>
      <c r="I2476">
        <v>0</v>
      </c>
      <c r="J2476">
        <v>0</v>
      </c>
      <c r="K2476">
        <v>0</v>
      </c>
      <c r="L2476">
        <v>0</v>
      </c>
      <c r="M2476">
        <v>16</v>
      </c>
      <c r="N2476">
        <v>109</v>
      </c>
      <c r="O2476">
        <f t="shared" si="76"/>
        <v>2024</v>
      </c>
      <c r="P2476">
        <f t="shared" si="77"/>
        <v>6</v>
      </c>
      <c r="Q2476" t="s">
        <v>325</v>
      </c>
      <c r="R2476" s="546" t="s">
        <v>804</v>
      </c>
    </row>
    <row r="2477" spans="1:18" x14ac:dyDescent="0.3">
      <c r="A2477" t="s">
        <v>627</v>
      </c>
      <c r="B2477" s="16">
        <v>45462</v>
      </c>
      <c r="C2477" t="s">
        <v>3</v>
      </c>
      <c r="D2477" t="s">
        <v>125</v>
      </c>
      <c r="E2477">
        <v>4</v>
      </c>
      <c r="F2477">
        <v>2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2</v>
      </c>
      <c r="N2477">
        <v>4</v>
      </c>
      <c r="O2477">
        <f t="shared" si="76"/>
        <v>2024</v>
      </c>
      <c r="P2477">
        <f t="shared" si="77"/>
        <v>6</v>
      </c>
      <c r="Q2477" t="s">
        <v>325</v>
      </c>
      <c r="R2477" s="546" t="s">
        <v>804</v>
      </c>
    </row>
    <row r="2478" spans="1:18" x14ac:dyDescent="0.3">
      <c r="A2478" t="s">
        <v>627</v>
      </c>
      <c r="B2478" s="16">
        <v>45462</v>
      </c>
      <c r="C2478" t="s">
        <v>3</v>
      </c>
      <c r="D2478" t="s">
        <v>124</v>
      </c>
      <c r="E2478">
        <v>1</v>
      </c>
      <c r="F2478">
        <v>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f t="shared" si="76"/>
        <v>2024</v>
      </c>
      <c r="P2478">
        <f t="shared" si="77"/>
        <v>6</v>
      </c>
      <c r="Q2478" t="s">
        <v>325</v>
      </c>
      <c r="R2478" s="546" t="s">
        <v>804</v>
      </c>
    </row>
    <row r="2479" spans="1:18" x14ac:dyDescent="0.3">
      <c r="A2479" t="s">
        <v>627</v>
      </c>
      <c r="B2479" s="16">
        <v>45462</v>
      </c>
      <c r="C2479" t="s">
        <v>3</v>
      </c>
      <c r="D2479" t="s">
        <v>123</v>
      </c>
      <c r="E2479">
        <v>106</v>
      </c>
      <c r="F2479">
        <v>50</v>
      </c>
      <c r="G2479">
        <v>5</v>
      </c>
      <c r="H2479">
        <v>0</v>
      </c>
      <c r="I2479">
        <v>8528.99</v>
      </c>
      <c r="J2479">
        <v>3</v>
      </c>
      <c r="K2479">
        <v>5833.99</v>
      </c>
      <c r="L2479">
        <v>3</v>
      </c>
      <c r="M2479">
        <v>35</v>
      </c>
      <c r="N2479">
        <v>83</v>
      </c>
      <c r="O2479">
        <f t="shared" ref="O2479:O2542" si="78">YEAR(B2479)</f>
        <v>2024</v>
      </c>
      <c r="P2479">
        <f t="shared" ref="P2479:P2542" si="79">MONTH(B2479)</f>
        <v>6</v>
      </c>
      <c r="Q2479" t="s">
        <v>325</v>
      </c>
      <c r="R2479" s="546" t="s">
        <v>804</v>
      </c>
    </row>
    <row r="2480" spans="1:18" x14ac:dyDescent="0.3">
      <c r="A2480" t="s">
        <v>627</v>
      </c>
      <c r="B2480" s="16">
        <v>45462</v>
      </c>
      <c r="C2480" t="s">
        <v>3</v>
      </c>
      <c r="D2480" t="s">
        <v>121</v>
      </c>
      <c r="E2480">
        <v>1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1</v>
      </c>
      <c r="O2480">
        <f t="shared" si="78"/>
        <v>2024</v>
      </c>
      <c r="P2480">
        <f t="shared" si="79"/>
        <v>6</v>
      </c>
      <c r="Q2480" t="s">
        <v>325</v>
      </c>
      <c r="R2480" s="546" t="s">
        <v>804</v>
      </c>
    </row>
    <row r="2481" spans="1:18" x14ac:dyDescent="0.3">
      <c r="A2481" t="s">
        <v>627</v>
      </c>
      <c r="B2481" s="16">
        <v>45462</v>
      </c>
      <c r="C2481" t="s">
        <v>3</v>
      </c>
      <c r="D2481" t="s">
        <v>120</v>
      </c>
      <c r="E2481">
        <v>415</v>
      </c>
      <c r="F2481">
        <v>234</v>
      </c>
      <c r="G2481">
        <v>2</v>
      </c>
      <c r="H2481">
        <v>0</v>
      </c>
      <c r="I2481">
        <v>9373</v>
      </c>
      <c r="J2481">
        <v>3</v>
      </c>
      <c r="K2481">
        <v>9373</v>
      </c>
      <c r="L2481">
        <v>3</v>
      </c>
      <c r="M2481">
        <v>33</v>
      </c>
      <c r="N2481">
        <v>410</v>
      </c>
      <c r="O2481">
        <f t="shared" si="78"/>
        <v>2024</v>
      </c>
      <c r="P2481">
        <f t="shared" si="79"/>
        <v>6</v>
      </c>
      <c r="Q2481" t="s">
        <v>325</v>
      </c>
      <c r="R2481" s="546" t="s">
        <v>804</v>
      </c>
    </row>
    <row r="2482" spans="1:18" x14ac:dyDescent="0.3">
      <c r="A2482" t="s">
        <v>627</v>
      </c>
      <c r="B2482" s="16">
        <v>45462</v>
      </c>
      <c r="C2482" t="s">
        <v>3</v>
      </c>
      <c r="D2482" t="s">
        <v>119</v>
      </c>
      <c r="E2482">
        <v>306</v>
      </c>
      <c r="F2482">
        <v>124</v>
      </c>
      <c r="G2482">
        <v>28</v>
      </c>
      <c r="H2482">
        <v>3</v>
      </c>
      <c r="I2482">
        <v>51678.18</v>
      </c>
      <c r="J2482">
        <v>15</v>
      </c>
      <c r="K2482">
        <v>43130.18</v>
      </c>
      <c r="L2482">
        <v>14</v>
      </c>
      <c r="M2482">
        <v>68</v>
      </c>
      <c r="N2482">
        <v>284</v>
      </c>
      <c r="O2482">
        <f t="shared" si="78"/>
        <v>2024</v>
      </c>
      <c r="P2482">
        <f t="shared" si="79"/>
        <v>6</v>
      </c>
      <c r="Q2482" t="s">
        <v>325</v>
      </c>
      <c r="R2482" s="546" t="s">
        <v>804</v>
      </c>
    </row>
    <row r="2483" spans="1:18" x14ac:dyDescent="0.3">
      <c r="A2483" t="s">
        <v>627</v>
      </c>
      <c r="B2483" s="16">
        <v>45462</v>
      </c>
      <c r="C2483" t="s">
        <v>3</v>
      </c>
      <c r="D2483" t="s">
        <v>116</v>
      </c>
      <c r="E2483">
        <v>1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1</v>
      </c>
      <c r="O2483">
        <f t="shared" si="78"/>
        <v>2024</v>
      </c>
      <c r="P2483">
        <f t="shared" si="79"/>
        <v>6</v>
      </c>
      <c r="Q2483" t="s">
        <v>325</v>
      </c>
      <c r="R2483" s="546" t="s">
        <v>804</v>
      </c>
    </row>
    <row r="2484" spans="1:18" x14ac:dyDescent="0.3">
      <c r="A2484" t="s">
        <v>627</v>
      </c>
      <c r="B2484" s="16">
        <v>45462</v>
      </c>
      <c r="C2484" t="s">
        <v>3</v>
      </c>
      <c r="D2484" t="s">
        <v>115</v>
      </c>
      <c r="E2484">
        <v>5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5</v>
      </c>
      <c r="O2484">
        <f t="shared" si="78"/>
        <v>2024</v>
      </c>
      <c r="P2484">
        <f t="shared" si="79"/>
        <v>6</v>
      </c>
      <c r="Q2484" t="s">
        <v>325</v>
      </c>
      <c r="R2484" s="546" t="s">
        <v>804</v>
      </c>
    </row>
    <row r="2485" spans="1:18" x14ac:dyDescent="0.3">
      <c r="A2485" t="s">
        <v>627</v>
      </c>
      <c r="B2485" s="16">
        <v>45462</v>
      </c>
      <c r="C2485" t="s">
        <v>3</v>
      </c>
      <c r="D2485" t="s">
        <v>114</v>
      </c>
      <c r="E2485">
        <v>87</v>
      </c>
      <c r="F2485">
        <v>45</v>
      </c>
      <c r="G2485">
        <v>3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13</v>
      </c>
      <c r="N2485">
        <v>80</v>
      </c>
      <c r="O2485">
        <f t="shared" si="78"/>
        <v>2024</v>
      </c>
      <c r="P2485">
        <f t="shared" si="79"/>
        <v>6</v>
      </c>
      <c r="Q2485" t="s">
        <v>325</v>
      </c>
      <c r="R2485" s="546" t="s">
        <v>804</v>
      </c>
    </row>
    <row r="2486" spans="1:18" x14ac:dyDescent="0.3">
      <c r="A2486" t="s">
        <v>627</v>
      </c>
      <c r="B2486" s="16">
        <v>45462</v>
      </c>
      <c r="C2486" t="s">
        <v>3</v>
      </c>
      <c r="D2486" t="s">
        <v>113</v>
      </c>
      <c r="E2486">
        <v>110</v>
      </c>
      <c r="F2486">
        <v>62</v>
      </c>
      <c r="G2486">
        <v>7</v>
      </c>
      <c r="H2486">
        <v>1</v>
      </c>
      <c r="I2486">
        <v>0</v>
      </c>
      <c r="J2486">
        <v>0</v>
      </c>
      <c r="K2486">
        <v>0</v>
      </c>
      <c r="L2486">
        <v>0</v>
      </c>
      <c r="M2486">
        <v>93</v>
      </c>
      <c r="N2486">
        <v>62</v>
      </c>
      <c r="O2486">
        <f t="shared" si="78"/>
        <v>2024</v>
      </c>
      <c r="P2486">
        <f t="shared" si="79"/>
        <v>6</v>
      </c>
      <c r="Q2486" t="s">
        <v>325</v>
      </c>
      <c r="R2486" s="546" t="s">
        <v>804</v>
      </c>
    </row>
    <row r="2487" spans="1:18" x14ac:dyDescent="0.3">
      <c r="A2487" t="s">
        <v>627</v>
      </c>
      <c r="B2487" s="16">
        <v>45462</v>
      </c>
      <c r="C2487" t="s">
        <v>3</v>
      </c>
      <c r="D2487" t="s">
        <v>112</v>
      </c>
      <c r="E2487">
        <v>20</v>
      </c>
      <c r="F2487">
        <v>5</v>
      </c>
      <c r="G2487">
        <v>0</v>
      </c>
      <c r="H2487">
        <v>0</v>
      </c>
      <c r="I2487">
        <v>4695</v>
      </c>
      <c r="J2487">
        <v>1</v>
      </c>
      <c r="K2487">
        <v>4695</v>
      </c>
      <c r="L2487">
        <v>1</v>
      </c>
      <c r="M2487">
        <v>0</v>
      </c>
      <c r="N2487">
        <v>20</v>
      </c>
      <c r="O2487">
        <f t="shared" si="78"/>
        <v>2024</v>
      </c>
      <c r="P2487">
        <f t="shared" si="79"/>
        <v>6</v>
      </c>
      <c r="Q2487" t="s">
        <v>325</v>
      </c>
      <c r="R2487" s="546" t="s">
        <v>804</v>
      </c>
    </row>
    <row r="2488" spans="1:18" x14ac:dyDescent="0.3">
      <c r="A2488" t="s">
        <v>627</v>
      </c>
      <c r="B2488" s="16">
        <v>45461</v>
      </c>
      <c r="C2488" t="s">
        <v>2</v>
      </c>
      <c r="D2488" t="s">
        <v>4</v>
      </c>
      <c r="E2488">
        <v>956</v>
      </c>
      <c r="F2488">
        <v>169</v>
      </c>
      <c r="G2488">
        <v>6</v>
      </c>
      <c r="H2488">
        <v>1</v>
      </c>
      <c r="I2488">
        <v>32434</v>
      </c>
      <c r="J2488">
        <v>9</v>
      </c>
      <c r="K2488">
        <v>30936</v>
      </c>
      <c r="L2488">
        <v>8</v>
      </c>
      <c r="M2488">
        <v>22</v>
      </c>
      <c r="N2488">
        <v>937</v>
      </c>
      <c r="O2488">
        <f t="shared" si="78"/>
        <v>2024</v>
      </c>
      <c r="P2488">
        <f t="shared" si="79"/>
        <v>6</v>
      </c>
      <c r="Q2488" t="s">
        <v>325</v>
      </c>
      <c r="R2488" s="546" t="s">
        <v>804</v>
      </c>
    </row>
    <row r="2489" spans="1:18" x14ac:dyDescent="0.3">
      <c r="A2489" t="s">
        <v>627</v>
      </c>
      <c r="B2489" s="16">
        <v>45461</v>
      </c>
      <c r="C2489" t="s">
        <v>2</v>
      </c>
      <c r="D2489" t="s">
        <v>57</v>
      </c>
      <c r="E2489">
        <v>20653</v>
      </c>
      <c r="F2489">
        <v>11952</v>
      </c>
      <c r="G2489">
        <v>240</v>
      </c>
      <c r="H2489">
        <v>127</v>
      </c>
      <c r="I2489">
        <v>354291.89</v>
      </c>
      <c r="J2489">
        <v>72</v>
      </c>
      <c r="K2489">
        <v>222418.5</v>
      </c>
      <c r="L2489">
        <v>55</v>
      </c>
      <c r="M2489">
        <v>858</v>
      </c>
      <c r="N2489">
        <v>20596</v>
      </c>
      <c r="O2489">
        <f t="shared" si="78"/>
        <v>2024</v>
      </c>
      <c r="P2489">
        <f t="shared" si="79"/>
        <v>6</v>
      </c>
      <c r="Q2489" t="s">
        <v>325</v>
      </c>
      <c r="R2489" s="546" t="s">
        <v>804</v>
      </c>
    </row>
    <row r="2490" spans="1:18" x14ac:dyDescent="0.3">
      <c r="A2490" t="s">
        <v>627</v>
      </c>
      <c r="B2490" s="16">
        <v>45461</v>
      </c>
      <c r="C2490" t="s">
        <v>2</v>
      </c>
      <c r="D2490" t="s">
        <v>52</v>
      </c>
      <c r="E2490">
        <v>2546</v>
      </c>
      <c r="F2490">
        <v>2068</v>
      </c>
      <c r="G2490">
        <v>14</v>
      </c>
      <c r="H2490">
        <v>7</v>
      </c>
      <c r="I2490">
        <v>6035</v>
      </c>
      <c r="J2490">
        <v>3</v>
      </c>
      <c r="K2490">
        <v>6035</v>
      </c>
      <c r="L2490">
        <v>3</v>
      </c>
      <c r="M2490">
        <v>2546</v>
      </c>
      <c r="N2490">
        <v>525</v>
      </c>
      <c r="O2490">
        <f t="shared" si="78"/>
        <v>2024</v>
      </c>
      <c r="P2490">
        <f t="shared" si="79"/>
        <v>6</v>
      </c>
      <c r="Q2490" t="s">
        <v>325</v>
      </c>
      <c r="R2490" s="546" t="s">
        <v>804</v>
      </c>
    </row>
    <row r="2491" spans="1:18" x14ac:dyDescent="0.3">
      <c r="A2491" t="s">
        <v>627</v>
      </c>
      <c r="B2491" s="16">
        <v>45461</v>
      </c>
      <c r="C2491" t="s">
        <v>2</v>
      </c>
      <c r="D2491" t="s">
        <v>55</v>
      </c>
      <c r="E2491">
        <v>10098</v>
      </c>
      <c r="F2491">
        <v>7344</v>
      </c>
      <c r="G2491">
        <v>11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35</v>
      </c>
      <c r="N2491">
        <v>2485</v>
      </c>
      <c r="O2491">
        <f t="shared" si="78"/>
        <v>2024</v>
      </c>
      <c r="P2491">
        <f t="shared" si="79"/>
        <v>6</v>
      </c>
      <c r="Q2491" t="s">
        <v>325</v>
      </c>
      <c r="R2491" s="546" t="s">
        <v>804</v>
      </c>
    </row>
    <row r="2492" spans="1:18" x14ac:dyDescent="0.3">
      <c r="A2492" t="s">
        <v>627</v>
      </c>
      <c r="B2492" s="16">
        <v>45461</v>
      </c>
      <c r="C2492" t="s">
        <v>3</v>
      </c>
      <c r="D2492" t="s">
        <v>155</v>
      </c>
      <c r="E2492">
        <v>2</v>
      </c>
      <c r="F2492">
        <v>2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2</v>
      </c>
      <c r="O2492">
        <f t="shared" si="78"/>
        <v>2024</v>
      </c>
      <c r="P2492">
        <f t="shared" si="79"/>
        <v>6</v>
      </c>
      <c r="Q2492" t="s">
        <v>325</v>
      </c>
      <c r="R2492" s="546" t="s">
        <v>804</v>
      </c>
    </row>
    <row r="2493" spans="1:18" x14ac:dyDescent="0.3">
      <c r="A2493" t="s">
        <v>627</v>
      </c>
      <c r="B2493" s="16">
        <v>45461</v>
      </c>
      <c r="C2493" t="s">
        <v>3</v>
      </c>
      <c r="D2493" t="s">
        <v>154</v>
      </c>
      <c r="E2493">
        <v>1951</v>
      </c>
      <c r="F2493">
        <v>1778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2</v>
      </c>
      <c r="N2493">
        <v>2</v>
      </c>
      <c r="O2493">
        <f t="shared" si="78"/>
        <v>2024</v>
      </c>
      <c r="P2493">
        <f t="shared" si="79"/>
        <v>6</v>
      </c>
      <c r="Q2493" t="s">
        <v>325</v>
      </c>
      <c r="R2493" s="546" t="s">
        <v>804</v>
      </c>
    </row>
    <row r="2494" spans="1:18" x14ac:dyDescent="0.3">
      <c r="A2494" t="s">
        <v>627</v>
      </c>
      <c r="B2494" s="16">
        <v>45461</v>
      </c>
      <c r="C2494" t="s">
        <v>3</v>
      </c>
      <c r="D2494" t="s">
        <v>153</v>
      </c>
      <c r="E2494">
        <v>524</v>
      </c>
      <c r="F2494">
        <v>211</v>
      </c>
      <c r="G2494">
        <v>55</v>
      </c>
      <c r="H2494">
        <v>3</v>
      </c>
      <c r="I2494">
        <v>222935</v>
      </c>
      <c r="J2494">
        <v>69</v>
      </c>
      <c r="K2494">
        <v>190813</v>
      </c>
      <c r="L2494">
        <v>60</v>
      </c>
      <c r="M2494">
        <v>128</v>
      </c>
      <c r="N2494">
        <v>507</v>
      </c>
      <c r="O2494">
        <f t="shared" si="78"/>
        <v>2024</v>
      </c>
      <c r="P2494">
        <f t="shared" si="79"/>
        <v>6</v>
      </c>
      <c r="Q2494" t="s">
        <v>325</v>
      </c>
      <c r="R2494" s="546" t="s">
        <v>804</v>
      </c>
    </row>
    <row r="2495" spans="1:18" x14ac:dyDescent="0.3">
      <c r="A2495" t="s">
        <v>627</v>
      </c>
      <c r="B2495" s="16">
        <v>45461</v>
      </c>
      <c r="C2495" t="s">
        <v>3</v>
      </c>
      <c r="D2495" t="s">
        <v>152</v>
      </c>
      <c r="E2495">
        <v>10</v>
      </c>
      <c r="F2495">
        <v>2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10</v>
      </c>
      <c r="O2495">
        <f t="shared" si="78"/>
        <v>2024</v>
      </c>
      <c r="P2495">
        <f t="shared" si="79"/>
        <v>6</v>
      </c>
      <c r="Q2495" t="s">
        <v>325</v>
      </c>
      <c r="R2495" s="546" t="s">
        <v>804</v>
      </c>
    </row>
    <row r="2496" spans="1:18" x14ac:dyDescent="0.3">
      <c r="A2496" t="s">
        <v>627</v>
      </c>
      <c r="B2496" s="16">
        <v>45461</v>
      </c>
      <c r="C2496" t="s">
        <v>3</v>
      </c>
      <c r="D2496" t="s">
        <v>149</v>
      </c>
      <c r="E2496">
        <v>553</v>
      </c>
      <c r="F2496">
        <v>386</v>
      </c>
      <c r="G2496">
        <v>5</v>
      </c>
      <c r="H2496">
        <v>2</v>
      </c>
      <c r="I2496">
        <v>14469.36</v>
      </c>
      <c r="J2496">
        <v>3</v>
      </c>
      <c r="K2496">
        <v>2769.36</v>
      </c>
      <c r="L2496">
        <v>1</v>
      </c>
      <c r="M2496">
        <v>84</v>
      </c>
      <c r="N2496">
        <v>474</v>
      </c>
      <c r="O2496">
        <f t="shared" si="78"/>
        <v>2024</v>
      </c>
      <c r="P2496">
        <f t="shared" si="79"/>
        <v>6</v>
      </c>
      <c r="Q2496" t="s">
        <v>325</v>
      </c>
      <c r="R2496" s="546" t="s">
        <v>804</v>
      </c>
    </row>
    <row r="2497" spans="1:18" x14ac:dyDescent="0.3">
      <c r="A2497" t="s">
        <v>627</v>
      </c>
      <c r="B2497" s="16">
        <v>45461</v>
      </c>
      <c r="C2497" t="s">
        <v>3</v>
      </c>
      <c r="D2497" t="s">
        <v>148</v>
      </c>
      <c r="E2497">
        <v>5</v>
      </c>
      <c r="F2497">
        <v>5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3</v>
      </c>
      <c r="N2497">
        <v>2</v>
      </c>
      <c r="O2497">
        <f t="shared" si="78"/>
        <v>2024</v>
      </c>
      <c r="P2497">
        <f t="shared" si="79"/>
        <v>6</v>
      </c>
      <c r="Q2497" t="s">
        <v>325</v>
      </c>
      <c r="R2497" s="546" t="s">
        <v>804</v>
      </c>
    </row>
    <row r="2498" spans="1:18" x14ac:dyDescent="0.3">
      <c r="A2498" t="s">
        <v>627</v>
      </c>
      <c r="B2498" s="16">
        <v>45461</v>
      </c>
      <c r="C2498" t="s">
        <v>3</v>
      </c>
      <c r="D2498" t="s">
        <v>147</v>
      </c>
      <c r="E2498">
        <v>29</v>
      </c>
      <c r="F2498">
        <v>21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29</v>
      </c>
      <c r="O2498">
        <f t="shared" si="78"/>
        <v>2024</v>
      </c>
      <c r="P2498">
        <f t="shared" si="79"/>
        <v>6</v>
      </c>
      <c r="Q2498" t="s">
        <v>325</v>
      </c>
      <c r="R2498" s="546" t="s">
        <v>804</v>
      </c>
    </row>
    <row r="2499" spans="1:18" x14ac:dyDescent="0.3">
      <c r="A2499" t="s">
        <v>627</v>
      </c>
      <c r="B2499" s="16">
        <v>45461</v>
      </c>
      <c r="C2499" t="s">
        <v>3</v>
      </c>
      <c r="D2499" t="s">
        <v>251</v>
      </c>
      <c r="E2499">
        <v>4516</v>
      </c>
      <c r="F2499">
        <v>3583</v>
      </c>
      <c r="G2499">
        <v>5</v>
      </c>
      <c r="H2499">
        <v>0</v>
      </c>
      <c r="I2499">
        <v>8979.36</v>
      </c>
      <c r="J2499">
        <v>3</v>
      </c>
      <c r="K2499">
        <v>6184.36</v>
      </c>
      <c r="L2499">
        <v>3</v>
      </c>
      <c r="M2499">
        <v>63</v>
      </c>
      <c r="N2499">
        <v>438</v>
      </c>
      <c r="O2499">
        <f t="shared" si="78"/>
        <v>2024</v>
      </c>
      <c r="P2499">
        <f t="shared" si="79"/>
        <v>6</v>
      </c>
      <c r="Q2499" t="s">
        <v>325</v>
      </c>
      <c r="R2499" s="546" t="s">
        <v>804</v>
      </c>
    </row>
    <row r="2500" spans="1:18" x14ac:dyDescent="0.3">
      <c r="A2500" t="s">
        <v>627</v>
      </c>
      <c r="B2500" s="16">
        <v>45461</v>
      </c>
      <c r="C2500" t="s">
        <v>3</v>
      </c>
      <c r="D2500" t="s">
        <v>143</v>
      </c>
      <c r="E2500">
        <v>18</v>
      </c>
      <c r="F2500">
        <v>17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1</v>
      </c>
      <c r="N2500">
        <v>18</v>
      </c>
      <c r="O2500">
        <f t="shared" si="78"/>
        <v>2024</v>
      </c>
      <c r="P2500">
        <f t="shared" si="79"/>
        <v>6</v>
      </c>
      <c r="Q2500" t="s">
        <v>325</v>
      </c>
      <c r="R2500" s="546" t="s">
        <v>804</v>
      </c>
    </row>
    <row r="2501" spans="1:18" x14ac:dyDescent="0.3">
      <c r="A2501" t="s">
        <v>627</v>
      </c>
      <c r="B2501" s="16">
        <v>45461</v>
      </c>
      <c r="C2501" t="s">
        <v>3</v>
      </c>
      <c r="D2501" t="s">
        <v>142</v>
      </c>
      <c r="E2501">
        <v>1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f t="shared" si="78"/>
        <v>2024</v>
      </c>
      <c r="P2501">
        <f t="shared" si="79"/>
        <v>6</v>
      </c>
      <c r="Q2501" t="s">
        <v>325</v>
      </c>
      <c r="R2501" s="546" t="s">
        <v>804</v>
      </c>
    </row>
    <row r="2502" spans="1:18" x14ac:dyDescent="0.3">
      <c r="A2502" t="s">
        <v>627</v>
      </c>
      <c r="B2502" s="16">
        <v>45461</v>
      </c>
      <c r="C2502" t="s">
        <v>3</v>
      </c>
      <c r="D2502" t="s">
        <v>141</v>
      </c>
      <c r="E2502">
        <v>5</v>
      </c>
      <c r="F2502">
        <v>5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2</v>
      </c>
      <c r="N2502">
        <v>3</v>
      </c>
      <c r="O2502">
        <f t="shared" si="78"/>
        <v>2024</v>
      </c>
      <c r="P2502">
        <f t="shared" si="79"/>
        <v>6</v>
      </c>
      <c r="Q2502" t="s">
        <v>325</v>
      </c>
      <c r="R2502" s="546" t="s">
        <v>804</v>
      </c>
    </row>
    <row r="2503" spans="1:18" x14ac:dyDescent="0.3">
      <c r="A2503" t="s">
        <v>627</v>
      </c>
      <c r="B2503" s="16">
        <v>45461</v>
      </c>
      <c r="C2503" t="s">
        <v>3</v>
      </c>
      <c r="D2503" t="s">
        <v>140</v>
      </c>
      <c r="E2503">
        <v>7</v>
      </c>
      <c r="F2503">
        <v>7</v>
      </c>
      <c r="G2503">
        <v>3</v>
      </c>
      <c r="H2503">
        <v>0</v>
      </c>
      <c r="I2503">
        <v>4098</v>
      </c>
      <c r="J2503">
        <v>2</v>
      </c>
      <c r="K2503">
        <v>1303</v>
      </c>
      <c r="L2503">
        <v>1</v>
      </c>
      <c r="M2503">
        <v>1</v>
      </c>
      <c r="N2503">
        <v>6</v>
      </c>
      <c r="O2503">
        <f t="shared" si="78"/>
        <v>2024</v>
      </c>
      <c r="P2503">
        <f t="shared" si="79"/>
        <v>6</v>
      </c>
      <c r="Q2503" t="s">
        <v>325</v>
      </c>
      <c r="R2503" s="546" t="s">
        <v>804</v>
      </c>
    </row>
    <row r="2504" spans="1:18" x14ac:dyDescent="0.3">
      <c r="A2504" t="s">
        <v>627</v>
      </c>
      <c r="B2504" s="16">
        <v>45461</v>
      </c>
      <c r="C2504" t="s">
        <v>3</v>
      </c>
      <c r="D2504" t="s">
        <v>139</v>
      </c>
      <c r="E2504">
        <v>689</v>
      </c>
      <c r="F2504">
        <v>396</v>
      </c>
      <c r="G2504">
        <v>34</v>
      </c>
      <c r="H2504">
        <v>4</v>
      </c>
      <c r="I2504">
        <v>46144.32</v>
      </c>
      <c r="J2504">
        <v>17</v>
      </c>
      <c r="K2504">
        <v>46144.32</v>
      </c>
      <c r="L2504">
        <v>17</v>
      </c>
      <c r="M2504">
        <v>340</v>
      </c>
      <c r="N2504">
        <v>456</v>
      </c>
      <c r="O2504">
        <f t="shared" si="78"/>
        <v>2024</v>
      </c>
      <c r="P2504">
        <f t="shared" si="79"/>
        <v>6</v>
      </c>
      <c r="Q2504" t="s">
        <v>325</v>
      </c>
      <c r="R2504" s="546" t="s">
        <v>804</v>
      </c>
    </row>
    <row r="2505" spans="1:18" x14ac:dyDescent="0.3">
      <c r="A2505" t="s">
        <v>627</v>
      </c>
      <c r="B2505" s="16">
        <v>45461</v>
      </c>
      <c r="C2505" t="s">
        <v>3</v>
      </c>
      <c r="D2505" t="s">
        <v>138</v>
      </c>
      <c r="E2505">
        <v>41</v>
      </c>
      <c r="F2505">
        <v>21</v>
      </c>
      <c r="G2505">
        <v>1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4</v>
      </c>
      <c r="N2505">
        <v>40</v>
      </c>
      <c r="O2505">
        <f t="shared" si="78"/>
        <v>2024</v>
      </c>
      <c r="P2505">
        <f t="shared" si="79"/>
        <v>6</v>
      </c>
      <c r="Q2505" t="s">
        <v>325</v>
      </c>
      <c r="R2505" s="546" t="s">
        <v>804</v>
      </c>
    </row>
    <row r="2506" spans="1:18" x14ac:dyDescent="0.3">
      <c r="A2506" t="s">
        <v>627</v>
      </c>
      <c r="B2506" s="16">
        <v>45461</v>
      </c>
      <c r="C2506" t="s">
        <v>3</v>
      </c>
      <c r="D2506" t="s">
        <v>137</v>
      </c>
      <c r="E2506">
        <v>7</v>
      </c>
      <c r="F2506">
        <v>4</v>
      </c>
      <c r="G2506">
        <v>0</v>
      </c>
      <c r="H2506">
        <v>1</v>
      </c>
      <c r="I2506">
        <v>19948</v>
      </c>
      <c r="J2506">
        <v>2</v>
      </c>
      <c r="K2506">
        <v>1498</v>
      </c>
      <c r="L2506">
        <v>1</v>
      </c>
      <c r="M2506">
        <v>2</v>
      </c>
      <c r="N2506">
        <v>7</v>
      </c>
      <c r="O2506">
        <f t="shared" si="78"/>
        <v>2024</v>
      </c>
      <c r="P2506">
        <f t="shared" si="79"/>
        <v>6</v>
      </c>
      <c r="Q2506" t="s">
        <v>325</v>
      </c>
      <c r="R2506" s="546" t="s">
        <v>804</v>
      </c>
    </row>
    <row r="2507" spans="1:18" x14ac:dyDescent="0.3">
      <c r="A2507" t="s">
        <v>627</v>
      </c>
      <c r="B2507" s="16">
        <v>45461</v>
      </c>
      <c r="C2507" t="s">
        <v>3</v>
      </c>
      <c r="D2507" t="s">
        <v>133</v>
      </c>
      <c r="E2507">
        <v>49</v>
      </c>
      <c r="F2507">
        <v>21</v>
      </c>
      <c r="G2507">
        <v>2</v>
      </c>
      <c r="H2507">
        <v>0</v>
      </c>
      <c r="I2507">
        <v>3310</v>
      </c>
      <c r="J2507">
        <v>1</v>
      </c>
      <c r="K2507">
        <v>3310</v>
      </c>
      <c r="L2507">
        <v>1</v>
      </c>
      <c r="M2507">
        <v>8</v>
      </c>
      <c r="N2507">
        <v>43</v>
      </c>
      <c r="O2507">
        <f t="shared" si="78"/>
        <v>2024</v>
      </c>
      <c r="P2507">
        <f t="shared" si="79"/>
        <v>6</v>
      </c>
      <c r="Q2507" t="s">
        <v>325</v>
      </c>
      <c r="R2507" s="546" t="s">
        <v>804</v>
      </c>
    </row>
    <row r="2508" spans="1:18" x14ac:dyDescent="0.3">
      <c r="A2508" t="s">
        <v>627</v>
      </c>
      <c r="B2508" s="16">
        <v>45461</v>
      </c>
      <c r="C2508" t="s">
        <v>3</v>
      </c>
      <c r="D2508" t="s">
        <v>130</v>
      </c>
      <c r="E2508">
        <v>88</v>
      </c>
      <c r="F2508">
        <v>50</v>
      </c>
      <c r="G2508">
        <v>15</v>
      </c>
      <c r="H2508">
        <v>2</v>
      </c>
      <c r="I2508">
        <v>36931.5</v>
      </c>
      <c r="J2508">
        <v>12</v>
      </c>
      <c r="K2508">
        <v>29441.5</v>
      </c>
      <c r="L2508">
        <v>11</v>
      </c>
      <c r="M2508">
        <v>37</v>
      </c>
      <c r="N2508">
        <v>78</v>
      </c>
      <c r="O2508">
        <f t="shared" si="78"/>
        <v>2024</v>
      </c>
      <c r="P2508">
        <f t="shared" si="79"/>
        <v>6</v>
      </c>
      <c r="Q2508" t="s">
        <v>325</v>
      </c>
      <c r="R2508" s="546" t="s">
        <v>804</v>
      </c>
    </row>
    <row r="2509" spans="1:18" x14ac:dyDescent="0.3">
      <c r="A2509" t="s">
        <v>627</v>
      </c>
      <c r="B2509" s="16">
        <v>45461</v>
      </c>
      <c r="C2509" t="s">
        <v>3</v>
      </c>
      <c r="D2509" t="s">
        <v>128</v>
      </c>
      <c r="E2509">
        <v>1026</v>
      </c>
      <c r="F2509">
        <v>799</v>
      </c>
      <c r="G2509">
        <v>115</v>
      </c>
      <c r="H2509">
        <v>7</v>
      </c>
      <c r="I2509">
        <v>148720.85999999999</v>
      </c>
      <c r="J2509">
        <v>42</v>
      </c>
      <c r="K2509">
        <v>134894.85999999999</v>
      </c>
      <c r="L2509">
        <v>38</v>
      </c>
      <c r="M2509">
        <v>276</v>
      </c>
      <c r="N2509">
        <v>915</v>
      </c>
      <c r="O2509">
        <f t="shared" si="78"/>
        <v>2024</v>
      </c>
      <c r="P2509">
        <f t="shared" si="79"/>
        <v>6</v>
      </c>
      <c r="Q2509" t="s">
        <v>325</v>
      </c>
      <c r="R2509" s="546" t="s">
        <v>804</v>
      </c>
    </row>
    <row r="2510" spans="1:18" x14ac:dyDescent="0.3">
      <c r="A2510" t="s">
        <v>627</v>
      </c>
      <c r="B2510" s="16">
        <v>45461</v>
      </c>
      <c r="C2510" t="s">
        <v>3</v>
      </c>
      <c r="D2510" t="s">
        <v>127</v>
      </c>
      <c r="E2510">
        <v>1871</v>
      </c>
      <c r="F2510">
        <v>949</v>
      </c>
      <c r="G2510">
        <v>46</v>
      </c>
      <c r="H2510">
        <v>19</v>
      </c>
      <c r="I2510">
        <v>39912</v>
      </c>
      <c r="J2510">
        <v>14</v>
      </c>
      <c r="K2510">
        <v>38187</v>
      </c>
      <c r="L2510">
        <v>14</v>
      </c>
      <c r="M2510">
        <v>186</v>
      </c>
      <c r="N2510">
        <v>1649</v>
      </c>
      <c r="O2510">
        <f t="shared" si="78"/>
        <v>2024</v>
      </c>
      <c r="P2510">
        <f t="shared" si="79"/>
        <v>6</v>
      </c>
      <c r="Q2510" t="s">
        <v>325</v>
      </c>
      <c r="R2510" s="546" t="s">
        <v>804</v>
      </c>
    </row>
    <row r="2511" spans="1:18" x14ac:dyDescent="0.3">
      <c r="A2511" t="s">
        <v>627</v>
      </c>
      <c r="B2511" s="16">
        <v>45461</v>
      </c>
      <c r="C2511" t="s">
        <v>3</v>
      </c>
      <c r="D2511" t="s">
        <v>126</v>
      </c>
      <c r="E2511">
        <v>145</v>
      </c>
      <c r="F2511">
        <v>114</v>
      </c>
      <c r="G2511">
        <v>2</v>
      </c>
      <c r="H2511">
        <v>1</v>
      </c>
      <c r="I2511">
        <v>4983</v>
      </c>
      <c r="J2511">
        <v>2</v>
      </c>
      <c r="K2511">
        <v>1488</v>
      </c>
      <c r="L2511">
        <v>1</v>
      </c>
      <c r="M2511">
        <v>21</v>
      </c>
      <c r="N2511">
        <v>143</v>
      </c>
      <c r="O2511">
        <f t="shared" si="78"/>
        <v>2024</v>
      </c>
      <c r="P2511">
        <f t="shared" si="79"/>
        <v>6</v>
      </c>
      <c r="Q2511" t="s">
        <v>325</v>
      </c>
      <c r="R2511" s="546" t="s">
        <v>804</v>
      </c>
    </row>
    <row r="2512" spans="1:18" x14ac:dyDescent="0.3">
      <c r="A2512" t="s">
        <v>627</v>
      </c>
      <c r="B2512" s="16">
        <v>45461</v>
      </c>
      <c r="C2512" t="s">
        <v>3</v>
      </c>
      <c r="D2512" t="s">
        <v>125</v>
      </c>
      <c r="E2512">
        <v>2</v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1</v>
      </c>
      <c r="N2512">
        <v>1</v>
      </c>
      <c r="O2512">
        <f t="shared" si="78"/>
        <v>2024</v>
      </c>
      <c r="P2512">
        <f t="shared" si="79"/>
        <v>6</v>
      </c>
      <c r="Q2512" t="s">
        <v>325</v>
      </c>
      <c r="R2512" s="546" t="s">
        <v>804</v>
      </c>
    </row>
    <row r="2513" spans="1:18" x14ac:dyDescent="0.3">
      <c r="A2513" t="s">
        <v>627</v>
      </c>
      <c r="B2513" s="16">
        <v>45461</v>
      </c>
      <c r="C2513" t="s">
        <v>3</v>
      </c>
      <c r="D2513" t="s">
        <v>123</v>
      </c>
      <c r="E2513">
        <v>118</v>
      </c>
      <c r="F2513">
        <v>52</v>
      </c>
      <c r="G2513">
        <v>5</v>
      </c>
      <c r="H2513">
        <v>1</v>
      </c>
      <c r="I2513">
        <v>8790</v>
      </c>
      <c r="J2513">
        <v>2</v>
      </c>
      <c r="K2513">
        <v>0</v>
      </c>
      <c r="L2513">
        <v>0</v>
      </c>
      <c r="M2513">
        <v>46</v>
      </c>
      <c r="N2513">
        <v>99</v>
      </c>
      <c r="O2513">
        <f t="shared" si="78"/>
        <v>2024</v>
      </c>
      <c r="P2513">
        <f t="shared" si="79"/>
        <v>6</v>
      </c>
      <c r="Q2513" t="s">
        <v>325</v>
      </c>
      <c r="R2513" s="546" t="s">
        <v>804</v>
      </c>
    </row>
    <row r="2514" spans="1:18" x14ac:dyDescent="0.3">
      <c r="A2514" t="s">
        <v>627</v>
      </c>
      <c r="B2514" s="16">
        <v>45461</v>
      </c>
      <c r="C2514" t="s">
        <v>3</v>
      </c>
      <c r="D2514" t="s">
        <v>120</v>
      </c>
      <c r="E2514">
        <v>494</v>
      </c>
      <c r="F2514">
        <v>288</v>
      </c>
      <c r="G2514">
        <v>2</v>
      </c>
      <c r="H2514">
        <v>0</v>
      </c>
      <c r="I2514">
        <v>21262</v>
      </c>
      <c r="J2514">
        <v>8</v>
      </c>
      <c r="K2514">
        <v>21262</v>
      </c>
      <c r="L2514">
        <v>8</v>
      </c>
      <c r="M2514">
        <v>60</v>
      </c>
      <c r="N2514">
        <v>487</v>
      </c>
      <c r="O2514">
        <f t="shared" si="78"/>
        <v>2024</v>
      </c>
      <c r="P2514">
        <f t="shared" si="79"/>
        <v>6</v>
      </c>
      <c r="Q2514" t="s">
        <v>325</v>
      </c>
      <c r="R2514" s="546" t="s">
        <v>804</v>
      </c>
    </row>
    <row r="2515" spans="1:18" x14ac:dyDescent="0.3">
      <c r="A2515" t="s">
        <v>627</v>
      </c>
      <c r="B2515" s="16">
        <v>45461</v>
      </c>
      <c r="C2515" t="s">
        <v>3</v>
      </c>
      <c r="D2515" t="s">
        <v>119</v>
      </c>
      <c r="E2515">
        <v>341</v>
      </c>
      <c r="F2515">
        <v>122</v>
      </c>
      <c r="G2515">
        <v>33</v>
      </c>
      <c r="H2515">
        <v>1</v>
      </c>
      <c r="I2515">
        <v>64595</v>
      </c>
      <c r="J2515">
        <v>16</v>
      </c>
      <c r="K2515">
        <v>55773</v>
      </c>
      <c r="L2515">
        <v>13</v>
      </c>
      <c r="M2515">
        <v>61</v>
      </c>
      <c r="N2515">
        <v>329</v>
      </c>
      <c r="O2515">
        <f t="shared" si="78"/>
        <v>2024</v>
      </c>
      <c r="P2515">
        <f t="shared" si="79"/>
        <v>6</v>
      </c>
      <c r="Q2515" t="s">
        <v>325</v>
      </c>
      <c r="R2515" s="546" t="s">
        <v>804</v>
      </c>
    </row>
    <row r="2516" spans="1:18" x14ac:dyDescent="0.3">
      <c r="A2516" t="s">
        <v>627</v>
      </c>
      <c r="B2516" s="16">
        <v>45461</v>
      </c>
      <c r="C2516" t="s">
        <v>3</v>
      </c>
      <c r="D2516" t="s">
        <v>116</v>
      </c>
      <c r="E2516">
        <v>5</v>
      </c>
      <c r="F2516">
        <v>4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1</v>
      </c>
      <c r="N2516">
        <v>5</v>
      </c>
      <c r="O2516">
        <f t="shared" si="78"/>
        <v>2024</v>
      </c>
      <c r="P2516">
        <f t="shared" si="79"/>
        <v>6</v>
      </c>
      <c r="Q2516" t="s">
        <v>325</v>
      </c>
      <c r="R2516" s="546" t="s">
        <v>804</v>
      </c>
    </row>
    <row r="2517" spans="1:18" x14ac:dyDescent="0.3">
      <c r="A2517" t="s">
        <v>627</v>
      </c>
      <c r="B2517" s="16">
        <v>45461</v>
      </c>
      <c r="C2517" t="s">
        <v>3</v>
      </c>
      <c r="D2517" t="s">
        <v>115</v>
      </c>
      <c r="E2517">
        <v>7</v>
      </c>
      <c r="F2517">
        <v>3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7</v>
      </c>
      <c r="O2517">
        <f t="shared" si="78"/>
        <v>2024</v>
      </c>
      <c r="P2517">
        <f t="shared" si="79"/>
        <v>6</v>
      </c>
      <c r="Q2517" t="s">
        <v>325</v>
      </c>
      <c r="R2517" s="546" t="s">
        <v>804</v>
      </c>
    </row>
    <row r="2518" spans="1:18" x14ac:dyDescent="0.3">
      <c r="A2518" t="s">
        <v>627</v>
      </c>
      <c r="B2518" s="16">
        <v>45461</v>
      </c>
      <c r="C2518" t="s">
        <v>3</v>
      </c>
      <c r="D2518" t="s">
        <v>114</v>
      </c>
      <c r="E2518">
        <v>113</v>
      </c>
      <c r="F2518">
        <v>54</v>
      </c>
      <c r="G2518">
        <v>3</v>
      </c>
      <c r="H2518">
        <v>1</v>
      </c>
      <c r="I2518">
        <v>4695</v>
      </c>
      <c r="J2518">
        <v>1</v>
      </c>
      <c r="K2518">
        <v>0</v>
      </c>
      <c r="L2518">
        <v>0</v>
      </c>
      <c r="M2518">
        <v>13</v>
      </c>
      <c r="N2518">
        <v>105</v>
      </c>
      <c r="O2518">
        <f t="shared" si="78"/>
        <v>2024</v>
      </c>
      <c r="P2518">
        <f t="shared" si="79"/>
        <v>6</v>
      </c>
      <c r="Q2518" t="s">
        <v>325</v>
      </c>
      <c r="R2518" s="546" t="s">
        <v>804</v>
      </c>
    </row>
    <row r="2519" spans="1:18" x14ac:dyDescent="0.3">
      <c r="A2519" t="s">
        <v>627</v>
      </c>
      <c r="B2519" s="16">
        <v>45461</v>
      </c>
      <c r="C2519" t="s">
        <v>3</v>
      </c>
      <c r="D2519" t="s">
        <v>113</v>
      </c>
      <c r="E2519">
        <v>118</v>
      </c>
      <c r="F2519">
        <v>63</v>
      </c>
      <c r="G2519">
        <v>2</v>
      </c>
      <c r="H2519">
        <v>0</v>
      </c>
      <c r="I2519">
        <v>3845.5</v>
      </c>
      <c r="J2519">
        <v>2</v>
      </c>
      <c r="K2519">
        <v>3845.5</v>
      </c>
      <c r="L2519">
        <v>2</v>
      </c>
      <c r="M2519">
        <v>100</v>
      </c>
      <c r="N2519">
        <v>58</v>
      </c>
      <c r="O2519">
        <f t="shared" si="78"/>
        <v>2024</v>
      </c>
      <c r="P2519">
        <f t="shared" si="79"/>
        <v>6</v>
      </c>
      <c r="Q2519" t="s">
        <v>325</v>
      </c>
      <c r="R2519" s="546" t="s">
        <v>804</v>
      </c>
    </row>
    <row r="2520" spans="1:18" x14ac:dyDescent="0.3">
      <c r="A2520" t="s">
        <v>627</v>
      </c>
      <c r="B2520" s="16">
        <v>45461</v>
      </c>
      <c r="C2520" t="s">
        <v>3</v>
      </c>
      <c r="D2520" t="s">
        <v>112</v>
      </c>
      <c r="E2520">
        <v>35</v>
      </c>
      <c r="F2520">
        <v>12</v>
      </c>
      <c r="G2520">
        <v>2</v>
      </c>
      <c r="H2520">
        <v>0</v>
      </c>
      <c r="I2520">
        <v>30405</v>
      </c>
      <c r="J2520">
        <v>6</v>
      </c>
      <c r="K2520">
        <v>30405</v>
      </c>
      <c r="L2520">
        <v>6</v>
      </c>
      <c r="M2520">
        <v>0</v>
      </c>
      <c r="N2520">
        <v>35</v>
      </c>
      <c r="O2520">
        <f t="shared" si="78"/>
        <v>2024</v>
      </c>
      <c r="P2520">
        <f t="shared" si="79"/>
        <v>6</v>
      </c>
      <c r="Q2520" t="s">
        <v>325</v>
      </c>
      <c r="R2520" s="546" t="s">
        <v>804</v>
      </c>
    </row>
    <row r="2521" spans="1:18" x14ac:dyDescent="0.3">
      <c r="A2521" t="s">
        <v>627</v>
      </c>
      <c r="B2521" s="16">
        <v>45460</v>
      </c>
      <c r="C2521" t="s">
        <v>2</v>
      </c>
      <c r="D2521" t="s">
        <v>4</v>
      </c>
      <c r="E2521">
        <v>1129</v>
      </c>
      <c r="F2521">
        <v>246</v>
      </c>
      <c r="G2521">
        <v>0</v>
      </c>
      <c r="H2521">
        <v>0</v>
      </c>
      <c r="I2521">
        <v>8050</v>
      </c>
      <c r="J2521">
        <v>2</v>
      </c>
      <c r="K2521">
        <v>4025</v>
      </c>
      <c r="L2521">
        <v>1</v>
      </c>
      <c r="M2521">
        <v>16</v>
      </c>
      <c r="N2521">
        <v>1105</v>
      </c>
      <c r="O2521">
        <f t="shared" si="78"/>
        <v>2024</v>
      </c>
      <c r="P2521">
        <f t="shared" si="79"/>
        <v>6</v>
      </c>
      <c r="Q2521" t="s">
        <v>325</v>
      </c>
      <c r="R2521" s="546" t="s">
        <v>804</v>
      </c>
    </row>
    <row r="2522" spans="1:18" x14ac:dyDescent="0.3">
      <c r="A2522" t="s">
        <v>627</v>
      </c>
      <c r="B2522" s="16">
        <v>45460</v>
      </c>
      <c r="C2522" t="s">
        <v>2</v>
      </c>
      <c r="D2522" t="s">
        <v>57</v>
      </c>
      <c r="E2522">
        <v>23498</v>
      </c>
      <c r="F2522">
        <v>13595</v>
      </c>
      <c r="G2522">
        <v>218</v>
      </c>
      <c r="H2522">
        <v>151</v>
      </c>
      <c r="I2522">
        <v>240230.5</v>
      </c>
      <c r="J2522">
        <v>46</v>
      </c>
      <c r="K2522">
        <v>119582.5</v>
      </c>
      <c r="L2522">
        <v>32</v>
      </c>
      <c r="M2522">
        <v>1010</v>
      </c>
      <c r="N2522">
        <v>23420</v>
      </c>
      <c r="O2522">
        <f t="shared" si="78"/>
        <v>2024</v>
      </c>
      <c r="P2522">
        <f t="shared" si="79"/>
        <v>6</v>
      </c>
      <c r="Q2522" t="s">
        <v>325</v>
      </c>
      <c r="R2522" s="546" t="s">
        <v>804</v>
      </c>
    </row>
    <row r="2523" spans="1:18" x14ac:dyDescent="0.3">
      <c r="A2523" t="s">
        <v>627</v>
      </c>
      <c r="B2523" s="16">
        <v>45460</v>
      </c>
      <c r="C2523" t="s">
        <v>2</v>
      </c>
      <c r="D2523" t="s">
        <v>52</v>
      </c>
      <c r="E2523">
        <v>2430</v>
      </c>
      <c r="F2523">
        <v>1944</v>
      </c>
      <c r="G2523">
        <v>9</v>
      </c>
      <c r="H2523">
        <v>5</v>
      </c>
      <c r="I2523">
        <v>2237</v>
      </c>
      <c r="J2523">
        <v>1</v>
      </c>
      <c r="K2523">
        <v>2237</v>
      </c>
      <c r="L2523">
        <v>1</v>
      </c>
      <c r="M2523">
        <v>2430</v>
      </c>
      <c r="N2523">
        <v>538</v>
      </c>
      <c r="O2523">
        <f t="shared" si="78"/>
        <v>2024</v>
      </c>
      <c r="P2523">
        <f t="shared" si="79"/>
        <v>6</v>
      </c>
      <c r="Q2523" t="s">
        <v>325</v>
      </c>
      <c r="R2523" s="546" t="s">
        <v>804</v>
      </c>
    </row>
    <row r="2524" spans="1:18" x14ac:dyDescent="0.3">
      <c r="A2524" t="s">
        <v>627</v>
      </c>
      <c r="B2524" s="16">
        <v>45460</v>
      </c>
      <c r="C2524" t="s">
        <v>2</v>
      </c>
      <c r="D2524" t="s">
        <v>55</v>
      </c>
      <c r="E2524">
        <v>15058</v>
      </c>
      <c r="F2524">
        <v>11195</v>
      </c>
      <c r="G2524">
        <v>8</v>
      </c>
      <c r="H2524">
        <v>6</v>
      </c>
      <c r="I2524">
        <v>0</v>
      </c>
      <c r="J2524">
        <v>0</v>
      </c>
      <c r="K2524">
        <v>0</v>
      </c>
      <c r="L2524">
        <v>0</v>
      </c>
      <c r="M2524">
        <v>40</v>
      </c>
      <c r="N2524">
        <v>3035</v>
      </c>
      <c r="O2524">
        <f t="shared" si="78"/>
        <v>2024</v>
      </c>
      <c r="P2524">
        <f t="shared" si="79"/>
        <v>6</v>
      </c>
      <c r="Q2524" t="s">
        <v>325</v>
      </c>
      <c r="R2524" s="546" t="s">
        <v>804</v>
      </c>
    </row>
    <row r="2525" spans="1:18" x14ac:dyDescent="0.3">
      <c r="A2525" t="s">
        <v>627</v>
      </c>
      <c r="B2525" s="16">
        <v>45460</v>
      </c>
      <c r="C2525" t="s">
        <v>3</v>
      </c>
      <c r="D2525" t="s">
        <v>155</v>
      </c>
      <c r="E2525">
        <v>3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3</v>
      </c>
      <c r="O2525">
        <f t="shared" si="78"/>
        <v>2024</v>
      </c>
      <c r="P2525">
        <f t="shared" si="79"/>
        <v>6</v>
      </c>
      <c r="Q2525" t="s">
        <v>325</v>
      </c>
      <c r="R2525" s="546" t="s">
        <v>804</v>
      </c>
    </row>
    <row r="2526" spans="1:18" x14ac:dyDescent="0.3">
      <c r="A2526" t="s">
        <v>627</v>
      </c>
      <c r="B2526" s="16">
        <v>45460</v>
      </c>
      <c r="C2526" t="s">
        <v>3</v>
      </c>
      <c r="D2526" t="s">
        <v>154</v>
      </c>
      <c r="E2526">
        <v>2439</v>
      </c>
      <c r="F2526">
        <v>2212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3</v>
      </c>
      <c r="N2526">
        <v>6</v>
      </c>
      <c r="O2526">
        <f t="shared" si="78"/>
        <v>2024</v>
      </c>
      <c r="P2526">
        <f t="shared" si="79"/>
        <v>6</v>
      </c>
      <c r="Q2526" t="s">
        <v>325</v>
      </c>
      <c r="R2526" s="546" t="s">
        <v>804</v>
      </c>
    </row>
    <row r="2527" spans="1:18" x14ac:dyDescent="0.3">
      <c r="A2527" t="s">
        <v>627</v>
      </c>
      <c r="B2527" s="16">
        <v>45460</v>
      </c>
      <c r="C2527" t="s">
        <v>3</v>
      </c>
      <c r="D2527" t="s">
        <v>153</v>
      </c>
      <c r="E2527">
        <v>388</v>
      </c>
      <c r="F2527">
        <v>141</v>
      </c>
      <c r="G2527">
        <v>41</v>
      </c>
      <c r="H2527">
        <v>5</v>
      </c>
      <c r="I2527">
        <v>130929.28</v>
      </c>
      <c r="J2527">
        <v>42</v>
      </c>
      <c r="K2527">
        <v>115445.28</v>
      </c>
      <c r="L2527">
        <v>37</v>
      </c>
      <c r="M2527">
        <v>105</v>
      </c>
      <c r="N2527">
        <v>368</v>
      </c>
      <c r="O2527">
        <f t="shared" si="78"/>
        <v>2024</v>
      </c>
      <c r="P2527">
        <f t="shared" si="79"/>
        <v>6</v>
      </c>
      <c r="Q2527" t="s">
        <v>325</v>
      </c>
      <c r="R2527" s="546" t="s">
        <v>804</v>
      </c>
    </row>
    <row r="2528" spans="1:18" x14ac:dyDescent="0.3">
      <c r="A2528" t="s">
        <v>627</v>
      </c>
      <c r="B2528" s="16">
        <v>45460</v>
      </c>
      <c r="C2528" t="s">
        <v>3</v>
      </c>
      <c r="D2528" t="s">
        <v>152</v>
      </c>
      <c r="E2528">
        <v>12</v>
      </c>
      <c r="F2528">
        <v>5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7</v>
      </c>
      <c r="O2528">
        <f t="shared" si="78"/>
        <v>2024</v>
      </c>
      <c r="P2528">
        <f t="shared" si="79"/>
        <v>6</v>
      </c>
      <c r="Q2528" t="s">
        <v>325</v>
      </c>
      <c r="R2528" s="546" t="s">
        <v>804</v>
      </c>
    </row>
    <row r="2529" spans="1:18" x14ac:dyDescent="0.3">
      <c r="A2529" t="s">
        <v>627</v>
      </c>
      <c r="B2529" s="16">
        <v>45460</v>
      </c>
      <c r="C2529" t="s">
        <v>3</v>
      </c>
      <c r="D2529" t="s">
        <v>150</v>
      </c>
      <c r="E2529">
        <v>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2</v>
      </c>
      <c r="O2529">
        <f t="shared" si="78"/>
        <v>2024</v>
      </c>
      <c r="P2529">
        <f t="shared" si="79"/>
        <v>6</v>
      </c>
      <c r="Q2529" t="s">
        <v>325</v>
      </c>
      <c r="R2529" s="546" t="s">
        <v>804</v>
      </c>
    </row>
    <row r="2530" spans="1:18" x14ac:dyDescent="0.3">
      <c r="A2530" t="s">
        <v>627</v>
      </c>
      <c r="B2530" s="16">
        <v>45460</v>
      </c>
      <c r="C2530" t="s">
        <v>3</v>
      </c>
      <c r="D2530" t="s">
        <v>149</v>
      </c>
      <c r="E2530">
        <v>544</v>
      </c>
      <c r="F2530">
        <v>409</v>
      </c>
      <c r="G2530">
        <v>3</v>
      </c>
      <c r="H2530">
        <v>3</v>
      </c>
      <c r="I2530">
        <v>7245</v>
      </c>
      <c r="J2530">
        <v>1</v>
      </c>
      <c r="K2530">
        <v>7245</v>
      </c>
      <c r="L2530">
        <v>1</v>
      </c>
      <c r="M2530">
        <v>120</v>
      </c>
      <c r="N2530">
        <v>474</v>
      </c>
      <c r="O2530">
        <f t="shared" si="78"/>
        <v>2024</v>
      </c>
      <c r="P2530">
        <f t="shared" si="79"/>
        <v>6</v>
      </c>
      <c r="Q2530" t="s">
        <v>325</v>
      </c>
      <c r="R2530" s="546" t="s">
        <v>804</v>
      </c>
    </row>
    <row r="2531" spans="1:18" x14ac:dyDescent="0.3">
      <c r="A2531" t="s">
        <v>627</v>
      </c>
      <c r="B2531" s="16">
        <v>45460</v>
      </c>
      <c r="C2531" t="s">
        <v>3</v>
      </c>
      <c r="D2531" t="s">
        <v>148</v>
      </c>
      <c r="E2531">
        <v>3</v>
      </c>
      <c r="F2531">
        <v>3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1</v>
      </c>
      <c r="N2531">
        <v>2</v>
      </c>
      <c r="O2531">
        <f t="shared" si="78"/>
        <v>2024</v>
      </c>
      <c r="P2531">
        <f t="shared" si="79"/>
        <v>6</v>
      </c>
      <c r="Q2531" t="s">
        <v>325</v>
      </c>
      <c r="R2531" s="546" t="s">
        <v>804</v>
      </c>
    </row>
    <row r="2532" spans="1:18" x14ac:dyDescent="0.3">
      <c r="A2532" t="s">
        <v>627</v>
      </c>
      <c r="B2532" s="16">
        <v>45460</v>
      </c>
      <c r="C2532" t="s">
        <v>3</v>
      </c>
      <c r="D2532" t="s">
        <v>147</v>
      </c>
      <c r="E2532">
        <v>77</v>
      </c>
      <c r="F2532">
        <v>62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77</v>
      </c>
      <c r="O2532">
        <f t="shared" si="78"/>
        <v>2024</v>
      </c>
      <c r="P2532">
        <f t="shared" si="79"/>
        <v>6</v>
      </c>
      <c r="Q2532" t="s">
        <v>325</v>
      </c>
      <c r="R2532" s="546" t="s">
        <v>804</v>
      </c>
    </row>
    <row r="2533" spans="1:18" x14ac:dyDescent="0.3">
      <c r="A2533" t="s">
        <v>627</v>
      </c>
      <c r="B2533" s="16">
        <v>45460</v>
      </c>
      <c r="C2533" t="s">
        <v>3</v>
      </c>
      <c r="D2533" t="s">
        <v>251</v>
      </c>
      <c r="E2533">
        <v>2446</v>
      </c>
      <c r="F2533">
        <v>1544</v>
      </c>
      <c r="G2533">
        <v>7</v>
      </c>
      <c r="H2533">
        <v>4</v>
      </c>
      <c r="I2533">
        <v>4125</v>
      </c>
      <c r="J2533">
        <v>2</v>
      </c>
      <c r="K2533">
        <v>4125</v>
      </c>
      <c r="L2533">
        <v>2</v>
      </c>
      <c r="M2533">
        <v>78</v>
      </c>
      <c r="N2533">
        <v>465</v>
      </c>
      <c r="O2533">
        <f t="shared" si="78"/>
        <v>2024</v>
      </c>
      <c r="P2533">
        <f t="shared" si="79"/>
        <v>6</v>
      </c>
      <c r="Q2533" t="s">
        <v>325</v>
      </c>
      <c r="R2533" s="546" t="s">
        <v>804</v>
      </c>
    </row>
    <row r="2534" spans="1:18" x14ac:dyDescent="0.3">
      <c r="A2534" t="s">
        <v>627</v>
      </c>
      <c r="B2534" s="16">
        <v>45460</v>
      </c>
      <c r="C2534" t="s">
        <v>3</v>
      </c>
      <c r="D2534" t="s">
        <v>143</v>
      </c>
      <c r="E2534">
        <v>22</v>
      </c>
      <c r="F2534">
        <v>22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22</v>
      </c>
      <c r="O2534">
        <f t="shared" si="78"/>
        <v>2024</v>
      </c>
      <c r="P2534">
        <f t="shared" si="79"/>
        <v>6</v>
      </c>
      <c r="Q2534" t="s">
        <v>325</v>
      </c>
      <c r="R2534" s="546" t="s">
        <v>804</v>
      </c>
    </row>
    <row r="2535" spans="1:18" x14ac:dyDescent="0.3">
      <c r="A2535" t="s">
        <v>627</v>
      </c>
      <c r="B2535" s="16">
        <v>45460</v>
      </c>
      <c r="C2535" t="s">
        <v>3</v>
      </c>
      <c r="D2535" t="s">
        <v>140</v>
      </c>
      <c r="E2535">
        <v>5</v>
      </c>
      <c r="F2535">
        <v>3</v>
      </c>
      <c r="G2535">
        <v>0</v>
      </c>
      <c r="H2535">
        <v>0</v>
      </c>
      <c r="I2535">
        <v>9395</v>
      </c>
      <c r="J2535">
        <v>1</v>
      </c>
      <c r="K2535">
        <v>9395</v>
      </c>
      <c r="L2535">
        <v>1</v>
      </c>
      <c r="M2535">
        <v>1</v>
      </c>
      <c r="N2535">
        <v>5</v>
      </c>
      <c r="O2535">
        <f t="shared" si="78"/>
        <v>2024</v>
      </c>
      <c r="P2535">
        <f t="shared" si="79"/>
        <v>6</v>
      </c>
      <c r="Q2535" t="s">
        <v>325</v>
      </c>
      <c r="R2535" s="546" t="s">
        <v>804</v>
      </c>
    </row>
    <row r="2536" spans="1:18" x14ac:dyDescent="0.3">
      <c r="A2536" t="s">
        <v>627</v>
      </c>
      <c r="B2536" s="16">
        <v>45460</v>
      </c>
      <c r="C2536" t="s">
        <v>3</v>
      </c>
      <c r="D2536" t="s">
        <v>139</v>
      </c>
      <c r="E2536">
        <v>634</v>
      </c>
      <c r="F2536">
        <v>395</v>
      </c>
      <c r="G2536">
        <v>17</v>
      </c>
      <c r="H2536">
        <v>4</v>
      </c>
      <c r="I2536">
        <v>37044</v>
      </c>
      <c r="J2536">
        <v>11</v>
      </c>
      <c r="K2536">
        <v>21416</v>
      </c>
      <c r="L2536">
        <v>8</v>
      </c>
      <c r="M2536">
        <v>289</v>
      </c>
      <c r="N2536">
        <v>441</v>
      </c>
      <c r="O2536">
        <f t="shared" si="78"/>
        <v>2024</v>
      </c>
      <c r="P2536">
        <f t="shared" si="79"/>
        <v>6</v>
      </c>
      <c r="Q2536" t="s">
        <v>325</v>
      </c>
      <c r="R2536" s="546" t="s">
        <v>804</v>
      </c>
    </row>
    <row r="2537" spans="1:18" x14ac:dyDescent="0.3">
      <c r="A2537" t="s">
        <v>627</v>
      </c>
      <c r="B2537" s="16">
        <v>45460</v>
      </c>
      <c r="C2537" t="s">
        <v>3</v>
      </c>
      <c r="D2537" t="s">
        <v>138</v>
      </c>
      <c r="E2537">
        <v>39</v>
      </c>
      <c r="F2537">
        <v>31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5</v>
      </c>
      <c r="N2537">
        <v>36</v>
      </c>
      <c r="O2537">
        <f t="shared" si="78"/>
        <v>2024</v>
      </c>
      <c r="P2537">
        <f t="shared" si="79"/>
        <v>6</v>
      </c>
      <c r="Q2537" t="s">
        <v>325</v>
      </c>
      <c r="R2537" s="546" t="s">
        <v>804</v>
      </c>
    </row>
    <row r="2538" spans="1:18" x14ac:dyDescent="0.3">
      <c r="A2538" t="s">
        <v>627</v>
      </c>
      <c r="B2538" s="16">
        <v>45460</v>
      </c>
      <c r="C2538" t="s">
        <v>3</v>
      </c>
      <c r="D2538" t="s">
        <v>137</v>
      </c>
      <c r="E2538">
        <v>6</v>
      </c>
      <c r="F2538">
        <v>5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1</v>
      </c>
      <c r="N2538">
        <v>6</v>
      </c>
      <c r="O2538">
        <f t="shared" si="78"/>
        <v>2024</v>
      </c>
      <c r="P2538">
        <f t="shared" si="79"/>
        <v>6</v>
      </c>
      <c r="Q2538" t="s">
        <v>325</v>
      </c>
      <c r="R2538" s="546" t="s">
        <v>804</v>
      </c>
    </row>
    <row r="2539" spans="1:18" x14ac:dyDescent="0.3">
      <c r="A2539" t="s">
        <v>627</v>
      </c>
      <c r="B2539" s="16">
        <v>45460</v>
      </c>
      <c r="C2539" t="s">
        <v>3</v>
      </c>
      <c r="D2539" t="s">
        <v>135</v>
      </c>
      <c r="E2539">
        <v>13</v>
      </c>
      <c r="F2539">
        <v>13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f t="shared" si="78"/>
        <v>2024</v>
      </c>
      <c r="P2539">
        <f t="shared" si="79"/>
        <v>6</v>
      </c>
      <c r="Q2539" t="s">
        <v>325</v>
      </c>
      <c r="R2539" s="546" t="s">
        <v>804</v>
      </c>
    </row>
    <row r="2540" spans="1:18" x14ac:dyDescent="0.3">
      <c r="A2540" t="s">
        <v>627</v>
      </c>
      <c r="B2540" s="16">
        <v>45460</v>
      </c>
      <c r="C2540" t="s">
        <v>3</v>
      </c>
      <c r="D2540" t="s">
        <v>133</v>
      </c>
      <c r="E2540">
        <v>59</v>
      </c>
      <c r="F2540">
        <v>24</v>
      </c>
      <c r="G2540">
        <v>1</v>
      </c>
      <c r="H2540">
        <v>1</v>
      </c>
      <c r="I2540">
        <v>1498</v>
      </c>
      <c r="J2540">
        <v>1</v>
      </c>
      <c r="K2540">
        <v>1498</v>
      </c>
      <c r="L2540">
        <v>1</v>
      </c>
      <c r="M2540">
        <v>9</v>
      </c>
      <c r="N2540">
        <v>53</v>
      </c>
      <c r="O2540">
        <f t="shared" si="78"/>
        <v>2024</v>
      </c>
      <c r="P2540">
        <f t="shared" si="79"/>
        <v>6</v>
      </c>
      <c r="Q2540" t="s">
        <v>325</v>
      </c>
      <c r="R2540" s="546" t="s">
        <v>804</v>
      </c>
    </row>
    <row r="2541" spans="1:18" x14ac:dyDescent="0.3">
      <c r="A2541" t="s">
        <v>627</v>
      </c>
      <c r="B2541" s="16">
        <v>45460</v>
      </c>
      <c r="C2541" t="s">
        <v>3</v>
      </c>
      <c r="D2541" t="s">
        <v>130</v>
      </c>
      <c r="E2541">
        <v>102</v>
      </c>
      <c r="F2541">
        <v>61</v>
      </c>
      <c r="G2541">
        <v>8</v>
      </c>
      <c r="H2541">
        <v>4</v>
      </c>
      <c r="I2541">
        <v>24510.5</v>
      </c>
      <c r="J2541">
        <v>11</v>
      </c>
      <c r="K2541">
        <v>21160.5</v>
      </c>
      <c r="L2541">
        <v>10</v>
      </c>
      <c r="M2541">
        <v>39</v>
      </c>
      <c r="N2541">
        <v>92</v>
      </c>
      <c r="O2541">
        <f t="shared" si="78"/>
        <v>2024</v>
      </c>
      <c r="P2541">
        <f t="shared" si="79"/>
        <v>6</v>
      </c>
      <c r="Q2541" t="s">
        <v>325</v>
      </c>
      <c r="R2541" s="546" t="s">
        <v>804</v>
      </c>
    </row>
    <row r="2542" spans="1:18" x14ac:dyDescent="0.3">
      <c r="A2542" t="s">
        <v>627</v>
      </c>
      <c r="B2542" s="16">
        <v>45460</v>
      </c>
      <c r="C2542" t="s">
        <v>3</v>
      </c>
      <c r="D2542" t="s">
        <v>128</v>
      </c>
      <c r="E2542">
        <v>981</v>
      </c>
      <c r="F2542">
        <v>764</v>
      </c>
      <c r="G2542">
        <v>82</v>
      </c>
      <c r="H2542">
        <v>10</v>
      </c>
      <c r="I2542">
        <v>65229.98</v>
      </c>
      <c r="J2542">
        <v>21</v>
      </c>
      <c r="K2542">
        <v>55399.98</v>
      </c>
      <c r="L2542">
        <v>19</v>
      </c>
      <c r="M2542">
        <v>269</v>
      </c>
      <c r="N2542">
        <v>879</v>
      </c>
      <c r="O2542">
        <f t="shared" si="78"/>
        <v>2024</v>
      </c>
      <c r="P2542">
        <f t="shared" si="79"/>
        <v>6</v>
      </c>
      <c r="Q2542" t="s">
        <v>325</v>
      </c>
      <c r="R2542" s="546" t="s">
        <v>804</v>
      </c>
    </row>
    <row r="2543" spans="1:18" x14ac:dyDescent="0.3">
      <c r="A2543" t="s">
        <v>627</v>
      </c>
      <c r="B2543" s="16">
        <v>45460</v>
      </c>
      <c r="C2543" t="s">
        <v>3</v>
      </c>
      <c r="D2543" t="s">
        <v>127</v>
      </c>
      <c r="E2543">
        <v>1681</v>
      </c>
      <c r="F2543">
        <v>905</v>
      </c>
      <c r="G2543">
        <v>32</v>
      </c>
      <c r="H2543">
        <v>13</v>
      </c>
      <c r="I2543">
        <v>14007.88</v>
      </c>
      <c r="J2543">
        <v>7</v>
      </c>
      <c r="K2543">
        <v>7635</v>
      </c>
      <c r="L2543">
        <v>4</v>
      </c>
      <c r="M2543">
        <v>155</v>
      </c>
      <c r="N2543">
        <v>1421</v>
      </c>
      <c r="O2543">
        <f t="shared" ref="O2543:O2606" si="80">YEAR(B2543)</f>
        <v>2024</v>
      </c>
      <c r="P2543">
        <f t="shared" ref="P2543:P2606" si="81">MONTH(B2543)</f>
        <v>6</v>
      </c>
      <c r="Q2543" t="s">
        <v>325</v>
      </c>
      <c r="R2543" s="546" t="s">
        <v>804</v>
      </c>
    </row>
    <row r="2544" spans="1:18" x14ac:dyDescent="0.3">
      <c r="A2544" t="s">
        <v>627</v>
      </c>
      <c r="B2544" s="16">
        <v>45460</v>
      </c>
      <c r="C2544" t="s">
        <v>3</v>
      </c>
      <c r="D2544" t="s">
        <v>126</v>
      </c>
      <c r="E2544">
        <v>149</v>
      </c>
      <c r="F2544">
        <v>113</v>
      </c>
      <c r="G2544">
        <v>3</v>
      </c>
      <c r="H2544">
        <v>4</v>
      </c>
      <c r="I2544">
        <v>0</v>
      </c>
      <c r="J2544">
        <v>0</v>
      </c>
      <c r="K2544">
        <v>0</v>
      </c>
      <c r="L2544">
        <v>0</v>
      </c>
      <c r="M2544">
        <v>24</v>
      </c>
      <c r="N2544">
        <v>147</v>
      </c>
      <c r="O2544">
        <f t="shared" si="80"/>
        <v>2024</v>
      </c>
      <c r="P2544">
        <f t="shared" si="81"/>
        <v>6</v>
      </c>
      <c r="Q2544" t="s">
        <v>325</v>
      </c>
      <c r="R2544" s="546" t="s">
        <v>804</v>
      </c>
    </row>
    <row r="2545" spans="1:18" x14ac:dyDescent="0.3">
      <c r="A2545" t="s">
        <v>627</v>
      </c>
      <c r="B2545" s="16">
        <v>45460</v>
      </c>
      <c r="C2545" t="s">
        <v>3</v>
      </c>
      <c r="D2545" t="s">
        <v>125</v>
      </c>
      <c r="E2545">
        <v>7</v>
      </c>
      <c r="F2545">
        <v>4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3</v>
      </c>
      <c r="N2545">
        <v>7</v>
      </c>
      <c r="O2545">
        <f t="shared" si="80"/>
        <v>2024</v>
      </c>
      <c r="P2545">
        <f t="shared" si="81"/>
        <v>6</v>
      </c>
      <c r="Q2545" t="s">
        <v>325</v>
      </c>
      <c r="R2545" s="546" t="s">
        <v>804</v>
      </c>
    </row>
    <row r="2546" spans="1:18" x14ac:dyDescent="0.3">
      <c r="A2546" t="s">
        <v>627</v>
      </c>
      <c r="B2546" s="16">
        <v>45460</v>
      </c>
      <c r="C2546" t="s">
        <v>3</v>
      </c>
      <c r="D2546" t="s">
        <v>123</v>
      </c>
      <c r="E2546">
        <v>159</v>
      </c>
      <c r="F2546">
        <v>82</v>
      </c>
      <c r="G2546">
        <v>6</v>
      </c>
      <c r="H2546">
        <v>1</v>
      </c>
      <c r="I2546">
        <v>5355</v>
      </c>
      <c r="J2546">
        <v>2</v>
      </c>
      <c r="K2546">
        <v>5355</v>
      </c>
      <c r="L2546">
        <v>2</v>
      </c>
      <c r="M2546">
        <v>62</v>
      </c>
      <c r="N2546">
        <v>126</v>
      </c>
      <c r="O2546">
        <f t="shared" si="80"/>
        <v>2024</v>
      </c>
      <c r="P2546">
        <f t="shared" si="81"/>
        <v>6</v>
      </c>
      <c r="Q2546" t="s">
        <v>325</v>
      </c>
      <c r="R2546" s="546" t="s">
        <v>804</v>
      </c>
    </row>
    <row r="2547" spans="1:18" x14ac:dyDescent="0.3">
      <c r="A2547" t="s">
        <v>627</v>
      </c>
      <c r="B2547" s="16">
        <v>45460</v>
      </c>
      <c r="C2547" t="s">
        <v>3</v>
      </c>
      <c r="D2547" t="s">
        <v>121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0</v>
      </c>
      <c r="O2547">
        <f t="shared" si="80"/>
        <v>2024</v>
      </c>
      <c r="P2547">
        <f t="shared" si="81"/>
        <v>6</v>
      </c>
      <c r="Q2547" t="s">
        <v>325</v>
      </c>
      <c r="R2547" s="546" t="s">
        <v>804</v>
      </c>
    </row>
    <row r="2548" spans="1:18" x14ac:dyDescent="0.3">
      <c r="A2548" t="s">
        <v>627</v>
      </c>
      <c r="B2548" s="16">
        <v>45460</v>
      </c>
      <c r="C2548" t="s">
        <v>3</v>
      </c>
      <c r="D2548" t="s">
        <v>120</v>
      </c>
      <c r="E2548">
        <v>422</v>
      </c>
      <c r="F2548">
        <v>244</v>
      </c>
      <c r="G2548">
        <v>1</v>
      </c>
      <c r="H2548">
        <v>0</v>
      </c>
      <c r="I2548">
        <v>5781</v>
      </c>
      <c r="J2548">
        <v>3</v>
      </c>
      <c r="K2548">
        <v>2980</v>
      </c>
      <c r="L2548">
        <v>1</v>
      </c>
      <c r="M2548">
        <v>44</v>
      </c>
      <c r="N2548">
        <v>413</v>
      </c>
      <c r="O2548">
        <f t="shared" si="80"/>
        <v>2024</v>
      </c>
      <c r="P2548">
        <f t="shared" si="81"/>
        <v>6</v>
      </c>
      <c r="Q2548" t="s">
        <v>325</v>
      </c>
      <c r="R2548" s="546" t="s">
        <v>804</v>
      </c>
    </row>
    <row r="2549" spans="1:18" x14ac:dyDescent="0.3">
      <c r="A2549" t="s">
        <v>627</v>
      </c>
      <c r="B2549" s="16">
        <v>45460</v>
      </c>
      <c r="C2549" t="s">
        <v>3</v>
      </c>
      <c r="D2549" t="s">
        <v>119</v>
      </c>
      <c r="E2549">
        <v>290</v>
      </c>
      <c r="F2549">
        <v>107</v>
      </c>
      <c r="G2549">
        <v>25</v>
      </c>
      <c r="H2549">
        <v>5</v>
      </c>
      <c r="I2549">
        <v>46588</v>
      </c>
      <c r="J2549">
        <v>13</v>
      </c>
      <c r="K2549">
        <v>37945</v>
      </c>
      <c r="L2549">
        <v>11</v>
      </c>
      <c r="M2549">
        <v>72</v>
      </c>
      <c r="N2549">
        <v>273</v>
      </c>
      <c r="O2549">
        <f t="shared" si="80"/>
        <v>2024</v>
      </c>
      <c r="P2549">
        <f t="shared" si="81"/>
        <v>6</v>
      </c>
      <c r="Q2549" t="s">
        <v>325</v>
      </c>
      <c r="R2549" s="546" t="s">
        <v>804</v>
      </c>
    </row>
    <row r="2550" spans="1:18" x14ac:dyDescent="0.3">
      <c r="A2550" t="s">
        <v>627</v>
      </c>
      <c r="B2550" s="16">
        <v>45460</v>
      </c>
      <c r="C2550" t="s">
        <v>3</v>
      </c>
      <c r="D2550" t="s">
        <v>116</v>
      </c>
      <c r="E2550">
        <v>2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2</v>
      </c>
      <c r="O2550">
        <f t="shared" si="80"/>
        <v>2024</v>
      </c>
      <c r="P2550">
        <f t="shared" si="81"/>
        <v>6</v>
      </c>
      <c r="Q2550" t="s">
        <v>325</v>
      </c>
      <c r="R2550" s="546" t="s">
        <v>804</v>
      </c>
    </row>
    <row r="2551" spans="1:18" x14ac:dyDescent="0.3">
      <c r="A2551" t="s">
        <v>627</v>
      </c>
      <c r="B2551" s="16">
        <v>45460</v>
      </c>
      <c r="C2551" t="s">
        <v>3</v>
      </c>
      <c r="D2551" t="s">
        <v>114</v>
      </c>
      <c r="E2551">
        <v>99</v>
      </c>
      <c r="F2551">
        <v>51</v>
      </c>
      <c r="G2551">
        <v>4</v>
      </c>
      <c r="H2551">
        <v>0</v>
      </c>
      <c r="I2551">
        <v>2282.88</v>
      </c>
      <c r="J2551">
        <v>2</v>
      </c>
      <c r="K2551">
        <v>1497</v>
      </c>
      <c r="L2551">
        <v>1</v>
      </c>
      <c r="M2551">
        <v>15</v>
      </c>
      <c r="N2551">
        <v>97</v>
      </c>
      <c r="O2551">
        <f t="shared" si="80"/>
        <v>2024</v>
      </c>
      <c r="P2551">
        <f t="shared" si="81"/>
        <v>6</v>
      </c>
      <c r="Q2551" t="s">
        <v>325</v>
      </c>
      <c r="R2551" s="546" t="s">
        <v>804</v>
      </c>
    </row>
    <row r="2552" spans="1:18" x14ac:dyDescent="0.3">
      <c r="A2552" t="s">
        <v>627</v>
      </c>
      <c r="B2552" s="16">
        <v>45460</v>
      </c>
      <c r="C2552" t="s">
        <v>3</v>
      </c>
      <c r="D2552" t="s">
        <v>113</v>
      </c>
      <c r="E2552">
        <v>117</v>
      </c>
      <c r="F2552">
        <v>57</v>
      </c>
      <c r="G2552">
        <v>2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99</v>
      </c>
      <c r="N2552">
        <v>55</v>
      </c>
      <c r="O2552">
        <f t="shared" si="80"/>
        <v>2024</v>
      </c>
      <c r="P2552">
        <f t="shared" si="81"/>
        <v>6</v>
      </c>
      <c r="Q2552" t="s">
        <v>325</v>
      </c>
      <c r="R2552" s="546" t="s">
        <v>804</v>
      </c>
    </row>
    <row r="2553" spans="1:18" x14ac:dyDescent="0.3">
      <c r="A2553" t="s">
        <v>627</v>
      </c>
      <c r="B2553" s="16">
        <v>45460</v>
      </c>
      <c r="C2553" t="s">
        <v>3</v>
      </c>
      <c r="D2553" t="s">
        <v>112</v>
      </c>
      <c r="E2553">
        <v>24</v>
      </c>
      <c r="F2553">
        <v>10</v>
      </c>
      <c r="G2553">
        <v>0</v>
      </c>
      <c r="H2553">
        <v>0</v>
      </c>
      <c r="I2553">
        <v>9868</v>
      </c>
      <c r="J2553">
        <v>3</v>
      </c>
      <c r="K2553">
        <v>5373</v>
      </c>
      <c r="L2553">
        <v>2</v>
      </c>
      <c r="M2553">
        <v>1</v>
      </c>
      <c r="N2553">
        <v>24</v>
      </c>
      <c r="O2553">
        <f t="shared" si="80"/>
        <v>2024</v>
      </c>
      <c r="P2553">
        <f t="shared" si="81"/>
        <v>6</v>
      </c>
      <c r="Q2553" t="s">
        <v>325</v>
      </c>
      <c r="R2553" s="546" t="s">
        <v>804</v>
      </c>
    </row>
    <row r="2554" spans="1:18" x14ac:dyDescent="0.3">
      <c r="A2554" t="s">
        <v>627</v>
      </c>
      <c r="B2554" s="16">
        <v>45460</v>
      </c>
      <c r="C2554" t="s">
        <v>3</v>
      </c>
      <c r="D2554" t="s">
        <v>111</v>
      </c>
      <c r="E2554">
        <v>2</v>
      </c>
      <c r="F2554">
        <v>1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2</v>
      </c>
      <c r="O2554">
        <f t="shared" si="80"/>
        <v>2024</v>
      </c>
      <c r="P2554">
        <f t="shared" si="81"/>
        <v>6</v>
      </c>
      <c r="Q2554" t="s">
        <v>325</v>
      </c>
      <c r="R2554" s="546" t="s">
        <v>804</v>
      </c>
    </row>
    <row r="2555" spans="1:18" x14ac:dyDescent="0.3">
      <c r="A2555" t="s">
        <v>627</v>
      </c>
      <c r="B2555" s="16">
        <v>45459</v>
      </c>
      <c r="C2555" t="s">
        <v>2</v>
      </c>
      <c r="D2555" t="s">
        <v>4</v>
      </c>
      <c r="E2555">
        <v>1082</v>
      </c>
      <c r="F2555">
        <v>178</v>
      </c>
      <c r="G2555">
        <v>3</v>
      </c>
      <c r="H2555">
        <v>1</v>
      </c>
      <c r="I2555">
        <v>4276</v>
      </c>
      <c r="J2555">
        <v>2</v>
      </c>
      <c r="K2555">
        <v>4276</v>
      </c>
      <c r="L2555">
        <v>2</v>
      </c>
      <c r="M2555">
        <v>19</v>
      </c>
      <c r="N2555">
        <v>1073</v>
      </c>
      <c r="O2555">
        <f t="shared" si="80"/>
        <v>2024</v>
      </c>
      <c r="P2555">
        <f t="shared" si="81"/>
        <v>6</v>
      </c>
      <c r="Q2555" t="s">
        <v>325</v>
      </c>
      <c r="R2555" s="546" t="s">
        <v>804</v>
      </c>
    </row>
    <row r="2556" spans="1:18" x14ac:dyDescent="0.3">
      <c r="A2556" t="s">
        <v>627</v>
      </c>
      <c r="B2556" s="16">
        <v>45459</v>
      </c>
      <c r="C2556" t="s">
        <v>2</v>
      </c>
      <c r="D2556" t="s">
        <v>57</v>
      </c>
      <c r="E2556">
        <v>24208</v>
      </c>
      <c r="F2556">
        <v>13897</v>
      </c>
      <c r="G2556">
        <v>178</v>
      </c>
      <c r="H2556">
        <v>162</v>
      </c>
      <c r="I2556">
        <v>124007</v>
      </c>
      <c r="J2556">
        <v>34</v>
      </c>
      <c r="K2556">
        <v>78161</v>
      </c>
      <c r="L2556">
        <v>24</v>
      </c>
      <c r="M2556">
        <v>1024</v>
      </c>
      <c r="N2556">
        <v>24175</v>
      </c>
      <c r="O2556">
        <f t="shared" si="80"/>
        <v>2024</v>
      </c>
      <c r="P2556">
        <f t="shared" si="81"/>
        <v>6</v>
      </c>
      <c r="Q2556" t="s">
        <v>325</v>
      </c>
      <c r="R2556" s="546" t="s">
        <v>804</v>
      </c>
    </row>
    <row r="2557" spans="1:18" x14ac:dyDescent="0.3">
      <c r="A2557" t="s">
        <v>627</v>
      </c>
      <c r="B2557" s="16">
        <v>45459</v>
      </c>
      <c r="C2557" t="s">
        <v>2</v>
      </c>
      <c r="D2557" t="s">
        <v>52</v>
      </c>
      <c r="E2557">
        <v>2730</v>
      </c>
      <c r="F2557">
        <v>2216</v>
      </c>
      <c r="G2557">
        <v>20</v>
      </c>
      <c r="H2557">
        <v>7</v>
      </c>
      <c r="I2557">
        <v>9172</v>
      </c>
      <c r="J2557">
        <v>4</v>
      </c>
      <c r="K2557">
        <v>9172</v>
      </c>
      <c r="L2557">
        <v>4</v>
      </c>
      <c r="M2557">
        <v>2730</v>
      </c>
      <c r="N2557">
        <v>605</v>
      </c>
      <c r="O2557">
        <f t="shared" si="80"/>
        <v>2024</v>
      </c>
      <c r="P2557">
        <f t="shared" si="81"/>
        <v>6</v>
      </c>
      <c r="Q2557" t="s">
        <v>325</v>
      </c>
      <c r="R2557" s="546" t="s">
        <v>804</v>
      </c>
    </row>
    <row r="2558" spans="1:18" x14ac:dyDescent="0.3">
      <c r="A2558" t="s">
        <v>627</v>
      </c>
      <c r="B2558" s="16">
        <v>45459</v>
      </c>
      <c r="C2558" t="s">
        <v>2</v>
      </c>
      <c r="D2558" t="s">
        <v>55</v>
      </c>
      <c r="E2558">
        <v>8963</v>
      </c>
      <c r="F2558">
        <v>6167</v>
      </c>
      <c r="G2558">
        <v>2</v>
      </c>
      <c r="H2558">
        <v>4</v>
      </c>
      <c r="I2558">
        <v>0</v>
      </c>
      <c r="J2558">
        <v>0</v>
      </c>
      <c r="K2558">
        <v>0</v>
      </c>
      <c r="L2558">
        <v>0</v>
      </c>
      <c r="M2558">
        <v>7</v>
      </c>
      <c r="N2558">
        <v>333</v>
      </c>
      <c r="O2558">
        <f t="shared" si="80"/>
        <v>2024</v>
      </c>
      <c r="P2558">
        <f t="shared" si="81"/>
        <v>6</v>
      </c>
      <c r="Q2558" t="s">
        <v>325</v>
      </c>
      <c r="R2558" s="546" t="s">
        <v>804</v>
      </c>
    </row>
    <row r="2559" spans="1:18" x14ac:dyDescent="0.3">
      <c r="A2559" t="s">
        <v>627</v>
      </c>
      <c r="B2559" s="16">
        <v>45459</v>
      </c>
      <c r="C2559" t="s">
        <v>3</v>
      </c>
      <c r="D2559" t="s">
        <v>155</v>
      </c>
      <c r="E2559">
        <v>20</v>
      </c>
      <c r="F2559">
        <v>16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2</v>
      </c>
      <c r="N2559">
        <v>20</v>
      </c>
      <c r="O2559">
        <f t="shared" si="80"/>
        <v>2024</v>
      </c>
      <c r="P2559">
        <f t="shared" si="81"/>
        <v>6</v>
      </c>
      <c r="Q2559" t="s">
        <v>325</v>
      </c>
      <c r="R2559" s="546" t="s">
        <v>804</v>
      </c>
    </row>
    <row r="2560" spans="1:18" x14ac:dyDescent="0.3">
      <c r="A2560" t="s">
        <v>627</v>
      </c>
      <c r="B2560" s="16">
        <v>45459</v>
      </c>
      <c r="C2560" t="s">
        <v>3</v>
      </c>
      <c r="D2560" t="s">
        <v>154</v>
      </c>
      <c r="E2560">
        <v>21</v>
      </c>
      <c r="F2560">
        <v>18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12</v>
      </c>
      <c r="N2560">
        <v>7</v>
      </c>
      <c r="O2560">
        <f t="shared" si="80"/>
        <v>2024</v>
      </c>
      <c r="P2560">
        <f t="shared" si="81"/>
        <v>6</v>
      </c>
      <c r="Q2560" t="s">
        <v>325</v>
      </c>
      <c r="R2560" s="546" t="s">
        <v>804</v>
      </c>
    </row>
    <row r="2561" spans="1:18" x14ac:dyDescent="0.3">
      <c r="A2561" t="s">
        <v>627</v>
      </c>
      <c r="B2561" s="16">
        <v>45459</v>
      </c>
      <c r="C2561" t="s">
        <v>3</v>
      </c>
      <c r="D2561" t="s">
        <v>153</v>
      </c>
      <c r="E2561">
        <v>381</v>
      </c>
      <c r="F2561">
        <v>121</v>
      </c>
      <c r="G2561">
        <v>41</v>
      </c>
      <c r="H2561">
        <v>5</v>
      </c>
      <c r="I2561">
        <v>122451.36</v>
      </c>
      <c r="J2561">
        <v>39</v>
      </c>
      <c r="K2561">
        <v>117758.36</v>
      </c>
      <c r="L2561">
        <v>37</v>
      </c>
      <c r="M2561">
        <v>119</v>
      </c>
      <c r="N2561">
        <v>366</v>
      </c>
      <c r="O2561">
        <f t="shared" si="80"/>
        <v>2024</v>
      </c>
      <c r="P2561">
        <f t="shared" si="81"/>
        <v>6</v>
      </c>
      <c r="Q2561" t="s">
        <v>325</v>
      </c>
      <c r="R2561" s="546" t="s">
        <v>804</v>
      </c>
    </row>
    <row r="2562" spans="1:18" x14ac:dyDescent="0.3">
      <c r="A2562" t="s">
        <v>627</v>
      </c>
      <c r="B2562" s="16">
        <v>45459</v>
      </c>
      <c r="C2562" t="s">
        <v>3</v>
      </c>
      <c r="D2562" t="s">
        <v>152</v>
      </c>
      <c r="E2562">
        <v>8</v>
      </c>
      <c r="F2562">
        <v>1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1</v>
      </c>
      <c r="N2562">
        <v>7</v>
      </c>
      <c r="O2562">
        <f t="shared" si="80"/>
        <v>2024</v>
      </c>
      <c r="P2562">
        <f t="shared" si="81"/>
        <v>6</v>
      </c>
      <c r="Q2562" t="s">
        <v>325</v>
      </c>
      <c r="R2562" s="546" t="s">
        <v>804</v>
      </c>
    </row>
    <row r="2563" spans="1:18" x14ac:dyDescent="0.3">
      <c r="A2563" t="s">
        <v>627</v>
      </c>
      <c r="B2563" s="16">
        <v>45459</v>
      </c>
      <c r="C2563" t="s">
        <v>3</v>
      </c>
      <c r="D2563" t="s">
        <v>150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1</v>
      </c>
      <c r="O2563">
        <f t="shared" si="80"/>
        <v>2024</v>
      </c>
      <c r="P2563">
        <f t="shared" si="81"/>
        <v>6</v>
      </c>
      <c r="Q2563" t="s">
        <v>325</v>
      </c>
      <c r="R2563" s="546" t="s">
        <v>804</v>
      </c>
    </row>
    <row r="2564" spans="1:18" x14ac:dyDescent="0.3">
      <c r="A2564" t="s">
        <v>627</v>
      </c>
      <c r="B2564" s="16">
        <v>45459</v>
      </c>
      <c r="C2564" t="s">
        <v>3</v>
      </c>
      <c r="D2564" t="s">
        <v>149</v>
      </c>
      <c r="E2564">
        <v>787</v>
      </c>
      <c r="F2564">
        <v>563</v>
      </c>
      <c r="G2564">
        <v>10</v>
      </c>
      <c r="H2564">
        <v>8</v>
      </c>
      <c r="I2564">
        <v>3360</v>
      </c>
      <c r="J2564">
        <v>2</v>
      </c>
      <c r="K2564">
        <v>3360</v>
      </c>
      <c r="L2564">
        <v>2</v>
      </c>
      <c r="M2564">
        <v>192</v>
      </c>
      <c r="N2564">
        <v>726</v>
      </c>
      <c r="O2564">
        <f t="shared" si="80"/>
        <v>2024</v>
      </c>
      <c r="P2564">
        <f t="shared" si="81"/>
        <v>6</v>
      </c>
      <c r="Q2564" t="s">
        <v>325</v>
      </c>
      <c r="R2564" s="546" t="s">
        <v>804</v>
      </c>
    </row>
    <row r="2565" spans="1:18" x14ac:dyDescent="0.3">
      <c r="A2565" t="s">
        <v>627</v>
      </c>
      <c r="B2565" s="16">
        <v>45459</v>
      </c>
      <c r="C2565" t="s">
        <v>3</v>
      </c>
      <c r="D2565" t="s">
        <v>148</v>
      </c>
      <c r="E2565">
        <v>3</v>
      </c>
      <c r="F2565">
        <v>3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1</v>
      </c>
      <c r="N2565">
        <v>2</v>
      </c>
      <c r="O2565">
        <f t="shared" si="80"/>
        <v>2024</v>
      </c>
      <c r="P2565">
        <f t="shared" si="81"/>
        <v>6</v>
      </c>
      <c r="Q2565" t="s">
        <v>325</v>
      </c>
      <c r="R2565" s="546" t="s">
        <v>804</v>
      </c>
    </row>
    <row r="2566" spans="1:18" x14ac:dyDescent="0.3">
      <c r="A2566" t="s">
        <v>627</v>
      </c>
      <c r="B2566" s="16">
        <v>45459</v>
      </c>
      <c r="C2566" t="s">
        <v>3</v>
      </c>
      <c r="D2566" t="s">
        <v>147</v>
      </c>
      <c r="E2566">
        <v>103</v>
      </c>
      <c r="F2566">
        <v>96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103</v>
      </c>
      <c r="O2566">
        <f t="shared" si="80"/>
        <v>2024</v>
      </c>
      <c r="P2566">
        <f t="shared" si="81"/>
        <v>6</v>
      </c>
      <c r="Q2566" t="s">
        <v>325</v>
      </c>
      <c r="R2566" s="546" t="s">
        <v>804</v>
      </c>
    </row>
    <row r="2567" spans="1:18" x14ac:dyDescent="0.3">
      <c r="A2567" t="s">
        <v>627</v>
      </c>
      <c r="B2567" s="16">
        <v>45459</v>
      </c>
      <c r="C2567" t="s">
        <v>3</v>
      </c>
      <c r="D2567" t="s">
        <v>251</v>
      </c>
      <c r="E2567">
        <v>503</v>
      </c>
      <c r="F2567">
        <v>228</v>
      </c>
      <c r="G2567">
        <v>6</v>
      </c>
      <c r="H2567">
        <v>1</v>
      </c>
      <c r="I2567">
        <v>19435</v>
      </c>
      <c r="J2567">
        <v>5</v>
      </c>
      <c r="K2567">
        <v>19435</v>
      </c>
      <c r="L2567">
        <v>5</v>
      </c>
      <c r="M2567">
        <v>94</v>
      </c>
      <c r="N2567">
        <v>440</v>
      </c>
      <c r="O2567">
        <f t="shared" si="80"/>
        <v>2024</v>
      </c>
      <c r="P2567">
        <f t="shared" si="81"/>
        <v>6</v>
      </c>
      <c r="Q2567" t="s">
        <v>325</v>
      </c>
      <c r="R2567" s="546" t="s">
        <v>804</v>
      </c>
    </row>
    <row r="2568" spans="1:18" x14ac:dyDescent="0.3">
      <c r="A2568" t="s">
        <v>627</v>
      </c>
      <c r="B2568" s="16">
        <v>45459</v>
      </c>
      <c r="C2568" t="s">
        <v>3</v>
      </c>
      <c r="D2568" t="s">
        <v>143</v>
      </c>
      <c r="E2568">
        <v>18</v>
      </c>
      <c r="F2568">
        <v>18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18</v>
      </c>
      <c r="O2568">
        <f t="shared" si="80"/>
        <v>2024</v>
      </c>
      <c r="P2568">
        <f t="shared" si="81"/>
        <v>6</v>
      </c>
      <c r="Q2568" t="s">
        <v>325</v>
      </c>
      <c r="R2568" s="546" t="s">
        <v>804</v>
      </c>
    </row>
    <row r="2569" spans="1:18" x14ac:dyDescent="0.3">
      <c r="A2569" t="s">
        <v>627</v>
      </c>
      <c r="B2569" s="16">
        <v>45459</v>
      </c>
      <c r="C2569" t="s">
        <v>3</v>
      </c>
      <c r="D2569" t="s">
        <v>141</v>
      </c>
      <c r="E2569">
        <v>1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1</v>
      </c>
      <c r="O2569">
        <f t="shared" si="80"/>
        <v>2024</v>
      </c>
      <c r="P2569">
        <f t="shared" si="81"/>
        <v>6</v>
      </c>
      <c r="Q2569" t="s">
        <v>325</v>
      </c>
      <c r="R2569" s="546" t="s">
        <v>804</v>
      </c>
    </row>
    <row r="2570" spans="1:18" x14ac:dyDescent="0.3">
      <c r="A2570" t="s">
        <v>627</v>
      </c>
      <c r="B2570" s="16">
        <v>45459</v>
      </c>
      <c r="C2570" t="s">
        <v>3</v>
      </c>
      <c r="D2570" t="s">
        <v>140</v>
      </c>
      <c r="E2570">
        <v>4</v>
      </c>
      <c r="F2570">
        <v>4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1</v>
      </c>
      <c r="N2570">
        <v>4</v>
      </c>
      <c r="O2570">
        <f t="shared" si="80"/>
        <v>2024</v>
      </c>
      <c r="P2570">
        <f t="shared" si="81"/>
        <v>6</v>
      </c>
      <c r="Q2570" t="s">
        <v>325</v>
      </c>
      <c r="R2570" s="546" t="s">
        <v>804</v>
      </c>
    </row>
    <row r="2571" spans="1:18" x14ac:dyDescent="0.3">
      <c r="A2571" t="s">
        <v>627</v>
      </c>
      <c r="B2571" s="16">
        <v>45459</v>
      </c>
      <c r="C2571" t="s">
        <v>3</v>
      </c>
      <c r="D2571" t="s">
        <v>139</v>
      </c>
      <c r="E2571">
        <v>1166</v>
      </c>
      <c r="F2571">
        <v>941</v>
      </c>
      <c r="G2571">
        <v>39</v>
      </c>
      <c r="H2571">
        <v>27</v>
      </c>
      <c r="I2571">
        <v>115591.88</v>
      </c>
      <c r="J2571">
        <v>25</v>
      </c>
      <c r="K2571">
        <v>37961.879999999997</v>
      </c>
      <c r="L2571">
        <v>13</v>
      </c>
      <c r="M2571">
        <v>370</v>
      </c>
      <c r="N2571">
        <v>985</v>
      </c>
      <c r="O2571">
        <f t="shared" si="80"/>
        <v>2024</v>
      </c>
      <c r="P2571">
        <f t="shared" si="81"/>
        <v>6</v>
      </c>
      <c r="Q2571" t="s">
        <v>325</v>
      </c>
      <c r="R2571" s="546" t="s">
        <v>804</v>
      </c>
    </row>
    <row r="2572" spans="1:18" x14ac:dyDescent="0.3">
      <c r="A2572" t="s">
        <v>627</v>
      </c>
      <c r="B2572" s="16">
        <v>45459</v>
      </c>
      <c r="C2572" t="s">
        <v>3</v>
      </c>
      <c r="D2572" t="s">
        <v>138</v>
      </c>
      <c r="E2572">
        <v>64</v>
      </c>
      <c r="F2572">
        <v>50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7</v>
      </c>
      <c r="N2572">
        <v>63</v>
      </c>
      <c r="O2572">
        <f t="shared" si="80"/>
        <v>2024</v>
      </c>
      <c r="P2572">
        <f t="shared" si="81"/>
        <v>6</v>
      </c>
      <c r="Q2572" t="s">
        <v>325</v>
      </c>
      <c r="R2572" s="546" t="s">
        <v>804</v>
      </c>
    </row>
    <row r="2573" spans="1:18" x14ac:dyDescent="0.3">
      <c r="A2573" t="s">
        <v>627</v>
      </c>
      <c r="B2573" s="16">
        <v>45459</v>
      </c>
      <c r="C2573" t="s">
        <v>3</v>
      </c>
      <c r="D2573" t="s">
        <v>137</v>
      </c>
      <c r="E2573">
        <v>11</v>
      </c>
      <c r="F2573">
        <v>7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1</v>
      </c>
      <c r="N2573">
        <v>11</v>
      </c>
      <c r="O2573">
        <f t="shared" si="80"/>
        <v>2024</v>
      </c>
      <c r="P2573">
        <f t="shared" si="81"/>
        <v>6</v>
      </c>
      <c r="Q2573" t="s">
        <v>325</v>
      </c>
      <c r="R2573" s="546" t="s">
        <v>804</v>
      </c>
    </row>
    <row r="2574" spans="1:18" x14ac:dyDescent="0.3">
      <c r="A2574" t="s">
        <v>627</v>
      </c>
      <c r="B2574" s="16">
        <v>45459</v>
      </c>
      <c r="C2574" t="s">
        <v>3</v>
      </c>
      <c r="D2574" t="s">
        <v>135</v>
      </c>
      <c r="E2574">
        <v>1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1</v>
      </c>
      <c r="O2574">
        <f t="shared" si="80"/>
        <v>2024</v>
      </c>
      <c r="P2574">
        <f t="shared" si="81"/>
        <v>6</v>
      </c>
      <c r="Q2574" t="s">
        <v>325</v>
      </c>
      <c r="R2574" s="546" t="s">
        <v>804</v>
      </c>
    </row>
    <row r="2575" spans="1:18" x14ac:dyDescent="0.3">
      <c r="A2575" t="s">
        <v>627</v>
      </c>
      <c r="B2575" s="16">
        <v>45459</v>
      </c>
      <c r="C2575" t="s">
        <v>3</v>
      </c>
      <c r="D2575" t="s">
        <v>133</v>
      </c>
      <c r="E2575">
        <v>47</v>
      </c>
      <c r="F2575">
        <v>21</v>
      </c>
      <c r="G2575">
        <v>0</v>
      </c>
      <c r="H2575">
        <v>1</v>
      </c>
      <c r="I2575">
        <v>2377</v>
      </c>
      <c r="J2575">
        <v>1</v>
      </c>
      <c r="K2575">
        <v>2377</v>
      </c>
      <c r="L2575">
        <v>1</v>
      </c>
      <c r="M2575">
        <v>11</v>
      </c>
      <c r="N2575">
        <v>42</v>
      </c>
      <c r="O2575">
        <f t="shared" si="80"/>
        <v>2024</v>
      </c>
      <c r="P2575">
        <f t="shared" si="81"/>
        <v>6</v>
      </c>
      <c r="Q2575" t="s">
        <v>325</v>
      </c>
      <c r="R2575" s="546" t="s">
        <v>804</v>
      </c>
    </row>
    <row r="2576" spans="1:18" x14ac:dyDescent="0.3">
      <c r="A2576" t="s">
        <v>627</v>
      </c>
      <c r="B2576" s="16">
        <v>45459</v>
      </c>
      <c r="C2576" t="s">
        <v>3</v>
      </c>
      <c r="D2576" t="s">
        <v>132</v>
      </c>
      <c r="E2576">
        <v>3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1</v>
      </c>
      <c r="N2576">
        <v>3</v>
      </c>
      <c r="O2576">
        <f t="shared" si="80"/>
        <v>2024</v>
      </c>
      <c r="P2576">
        <f t="shared" si="81"/>
        <v>6</v>
      </c>
      <c r="Q2576" t="s">
        <v>325</v>
      </c>
      <c r="R2576" s="546" t="s">
        <v>804</v>
      </c>
    </row>
    <row r="2577" spans="1:18" x14ac:dyDescent="0.3">
      <c r="A2577" t="s">
        <v>627</v>
      </c>
      <c r="B2577" s="16">
        <v>45459</v>
      </c>
      <c r="C2577" t="s">
        <v>3</v>
      </c>
      <c r="D2577" t="s">
        <v>130</v>
      </c>
      <c r="E2577">
        <v>100</v>
      </c>
      <c r="F2577">
        <v>55</v>
      </c>
      <c r="G2577">
        <v>11</v>
      </c>
      <c r="H2577">
        <v>3</v>
      </c>
      <c r="I2577">
        <v>11595</v>
      </c>
      <c r="J2577">
        <v>3</v>
      </c>
      <c r="K2577">
        <v>7615</v>
      </c>
      <c r="L2577">
        <v>3</v>
      </c>
      <c r="M2577">
        <v>41</v>
      </c>
      <c r="N2577">
        <v>90</v>
      </c>
      <c r="O2577">
        <f t="shared" si="80"/>
        <v>2024</v>
      </c>
      <c r="P2577">
        <f t="shared" si="81"/>
        <v>6</v>
      </c>
      <c r="Q2577" t="s">
        <v>325</v>
      </c>
      <c r="R2577" s="546" t="s">
        <v>804</v>
      </c>
    </row>
    <row r="2578" spans="1:18" x14ac:dyDescent="0.3">
      <c r="A2578" t="s">
        <v>627</v>
      </c>
      <c r="B2578" s="16">
        <v>45459</v>
      </c>
      <c r="C2578" t="s">
        <v>3</v>
      </c>
      <c r="D2578" t="s">
        <v>128</v>
      </c>
      <c r="E2578">
        <v>1086</v>
      </c>
      <c r="F2578">
        <v>856</v>
      </c>
      <c r="G2578">
        <v>66</v>
      </c>
      <c r="H2578">
        <v>19</v>
      </c>
      <c r="I2578">
        <v>67248.5</v>
      </c>
      <c r="J2578">
        <v>21</v>
      </c>
      <c r="K2578">
        <v>65568.5</v>
      </c>
      <c r="L2578">
        <v>20</v>
      </c>
      <c r="M2578">
        <v>332</v>
      </c>
      <c r="N2578">
        <v>962</v>
      </c>
      <c r="O2578">
        <f t="shared" si="80"/>
        <v>2024</v>
      </c>
      <c r="P2578">
        <f t="shared" si="81"/>
        <v>6</v>
      </c>
      <c r="Q2578" t="s">
        <v>325</v>
      </c>
      <c r="R2578" s="546" t="s">
        <v>804</v>
      </c>
    </row>
    <row r="2579" spans="1:18" x14ac:dyDescent="0.3">
      <c r="A2579" t="s">
        <v>627</v>
      </c>
      <c r="B2579" s="16">
        <v>45459</v>
      </c>
      <c r="C2579" t="s">
        <v>3</v>
      </c>
      <c r="D2579" t="s">
        <v>127</v>
      </c>
      <c r="E2579">
        <v>1727</v>
      </c>
      <c r="F2579">
        <v>969</v>
      </c>
      <c r="G2579">
        <v>32</v>
      </c>
      <c r="H2579">
        <v>14</v>
      </c>
      <c r="I2579">
        <v>15243</v>
      </c>
      <c r="J2579">
        <v>7</v>
      </c>
      <c r="K2579">
        <v>15243</v>
      </c>
      <c r="L2579">
        <v>7</v>
      </c>
      <c r="M2579">
        <v>186</v>
      </c>
      <c r="N2579">
        <v>1642</v>
      </c>
      <c r="O2579">
        <f t="shared" si="80"/>
        <v>2024</v>
      </c>
      <c r="P2579">
        <f t="shared" si="81"/>
        <v>6</v>
      </c>
      <c r="Q2579" t="s">
        <v>325</v>
      </c>
      <c r="R2579" s="546" t="s">
        <v>804</v>
      </c>
    </row>
    <row r="2580" spans="1:18" x14ac:dyDescent="0.3">
      <c r="A2580" t="s">
        <v>627</v>
      </c>
      <c r="B2580" s="16">
        <v>45459</v>
      </c>
      <c r="C2580" t="s">
        <v>3</v>
      </c>
      <c r="D2580" t="s">
        <v>126</v>
      </c>
      <c r="E2580">
        <v>153</v>
      </c>
      <c r="F2580">
        <v>121</v>
      </c>
      <c r="G2580">
        <v>4</v>
      </c>
      <c r="H2580">
        <v>7</v>
      </c>
      <c r="I2580">
        <v>3400</v>
      </c>
      <c r="J2580">
        <v>1</v>
      </c>
      <c r="K2580">
        <v>3400</v>
      </c>
      <c r="L2580">
        <v>1</v>
      </c>
      <c r="M2580">
        <v>25</v>
      </c>
      <c r="N2580">
        <v>149</v>
      </c>
      <c r="O2580">
        <f t="shared" si="80"/>
        <v>2024</v>
      </c>
      <c r="P2580">
        <f t="shared" si="81"/>
        <v>6</v>
      </c>
      <c r="Q2580" t="s">
        <v>325</v>
      </c>
      <c r="R2580" s="546" t="s">
        <v>804</v>
      </c>
    </row>
    <row r="2581" spans="1:18" x14ac:dyDescent="0.3">
      <c r="A2581" t="s">
        <v>627</v>
      </c>
      <c r="B2581" s="16">
        <v>45459</v>
      </c>
      <c r="C2581" t="s">
        <v>3</v>
      </c>
      <c r="D2581" t="s">
        <v>125</v>
      </c>
      <c r="E2581">
        <v>7</v>
      </c>
      <c r="F2581">
        <v>5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4</v>
      </c>
      <c r="N2581">
        <v>6</v>
      </c>
      <c r="O2581">
        <f t="shared" si="80"/>
        <v>2024</v>
      </c>
      <c r="P2581">
        <f t="shared" si="81"/>
        <v>6</v>
      </c>
      <c r="Q2581" t="s">
        <v>325</v>
      </c>
      <c r="R2581" s="546" t="s">
        <v>804</v>
      </c>
    </row>
    <row r="2582" spans="1:18" x14ac:dyDescent="0.3">
      <c r="A2582" t="s">
        <v>627</v>
      </c>
      <c r="B2582" s="16">
        <v>45459</v>
      </c>
      <c r="C2582" t="s">
        <v>3</v>
      </c>
      <c r="D2582" t="s">
        <v>123</v>
      </c>
      <c r="E2582">
        <v>148</v>
      </c>
      <c r="F2582">
        <v>85</v>
      </c>
      <c r="G2582">
        <v>7</v>
      </c>
      <c r="H2582">
        <v>2</v>
      </c>
      <c r="I2582">
        <v>13813</v>
      </c>
      <c r="J2582">
        <v>1</v>
      </c>
      <c r="K2582">
        <v>13813</v>
      </c>
      <c r="L2582">
        <v>1</v>
      </c>
      <c r="M2582">
        <v>63</v>
      </c>
      <c r="N2582">
        <v>121</v>
      </c>
      <c r="O2582">
        <f t="shared" si="80"/>
        <v>2024</v>
      </c>
      <c r="P2582">
        <f t="shared" si="81"/>
        <v>6</v>
      </c>
      <c r="Q2582" t="s">
        <v>325</v>
      </c>
      <c r="R2582" s="546" t="s">
        <v>804</v>
      </c>
    </row>
    <row r="2583" spans="1:18" x14ac:dyDescent="0.3">
      <c r="A2583" t="s">
        <v>627</v>
      </c>
      <c r="B2583" s="16">
        <v>45459</v>
      </c>
      <c r="C2583" t="s">
        <v>3</v>
      </c>
      <c r="D2583" t="s">
        <v>122</v>
      </c>
      <c r="E2583">
        <v>1</v>
      </c>
      <c r="F2583">
        <v>1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1</v>
      </c>
      <c r="O2583">
        <f t="shared" si="80"/>
        <v>2024</v>
      </c>
      <c r="P2583">
        <f t="shared" si="81"/>
        <v>6</v>
      </c>
      <c r="Q2583" t="s">
        <v>325</v>
      </c>
      <c r="R2583" s="546" t="s">
        <v>804</v>
      </c>
    </row>
    <row r="2584" spans="1:18" x14ac:dyDescent="0.3">
      <c r="A2584" t="s">
        <v>627</v>
      </c>
      <c r="B2584" s="16">
        <v>45459</v>
      </c>
      <c r="C2584" t="s">
        <v>3</v>
      </c>
      <c r="D2584" t="s">
        <v>120</v>
      </c>
      <c r="E2584">
        <v>519</v>
      </c>
      <c r="F2584">
        <v>306</v>
      </c>
      <c r="G2584">
        <v>5</v>
      </c>
      <c r="H2584">
        <v>0</v>
      </c>
      <c r="I2584">
        <v>16782</v>
      </c>
      <c r="J2584">
        <v>6</v>
      </c>
      <c r="K2584">
        <v>13987</v>
      </c>
      <c r="L2584">
        <v>5</v>
      </c>
      <c r="M2584">
        <v>69</v>
      </c>
      <c r="N2584">
        <v>516</v>
      </c>
      <c r="O2584">
        <f t="shared" si="80"/>
        <v>2024</v>
      </c>
      <c r="P2584">
        <f t="shared" si="81"/>
        <v>6</v>
      </c>
      <c r="Q2584" t="s">
        <v>325</v>
      </c>
      <c r="R2584" s="546" t="s">
        <v>804</v>
      </c>
    </row>
    <row r="2585" spans="1:18" x14ac:dyDescent="0.3">
      <c r="A2585" t="s">
        <v>627</v>
      </c>
      <c r="B2585" s="16">
        <v>45459</v>
      </c>
      <c r="C2585" t="s">
        <v>3</v>
      </c>
      <c r="D2585" t="s">
        <v>119</v>
      </c>
      <c r="E2585">
        <v>325</v>
      </c>
      <c r="F2585">
        <v>125</v>
      </c>
      <c r="G2585">
        <v>25</v>
      </c>
      <c r="H2585">
        <v>11</v>
      </c>
      <c r="I2585">
        <v>25176.05</v>
      </c>
      <c r="J2585">
        <v>11</v>
      </c>
      <c r="K2585">
        <v>21326.05</v>
      </c>
      <c r="L2585">
        <v>9</v>
      </c>
      <c r="M2585">
        <v>83</v>
      </c>
      <c r="N2585">
        <v>310</v>
      </c>
      <c r="O2585">
        <f t="shared" si="80"/>
        <v>2024</v>
      </c>
      <c r="P2585">
        <f t="shared" si="81"/>
        <v>6</v>
      </c>
      <c r="Q2585" t="s">
        <v>325</v>
      </c>
      <c r="R2585" s="546" t="s">
        <v>804</v>
      </c>
    </row>
    <row r="2586" spans="1:18" x14ac:dyDescent="0.3">
      <c r="A2586" t="s">
        <v>627</v>
      </c>
      <c r="B2586" s="16">
        <v>45459</v>
      </c>
      <c r="C2586" t="s">
        <v>3</v>
      </c>
      <c r="D2586" t="s">
        <v>116</v>
      </c>
      <c r="E2586">
        <v>5</v>
      </c>
      <c r="F2586">
        <v>3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1</v>
      </c>
      <c r="N2586">
        <v>5</v>
      </c>
      <c r="O2586">
        <f t="shared" si="80"/>
        <v>2024</v>
      </c>
      <c r="P2586">
        <f t="shared" si="81"/>
        <v>6</v>
      </c>
      <c r="Q2586" t="s">
        <v>325</v>
      </c>
      <c r="R2586" s="546" t="s">
        <v>804</v>
      </c>
    </row>
    <row r="2587" spans="1:18" x14ac:dyDescent="0.3">
      <c r="A2587" t="s">
        <v>627</v>
      </c>
      <c r="B2587" s="16">
        <v>45459</v>
      </c>
      <c r="C2587" t="s">
        <v>3</v>
      </c>
      <c r="D2587" t="s">
        <v>115</v>
      </c>
      <c r="E2587">
        <v>4</v>
      </c>
      <c r="F2587">
        <v>2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1</v>
      </c>
      <c r="N2587">
        <v>3</v>
      </c>
      <c r="O2587">
        <f t="shared" si="80"/>
        <v>2024</v>
      </c>
      <c r="P2587">
        <f t="shared" si="81"/>
        <v>6</v>
      </c>
      <c r="Q2587" t="s">
        <v>325</v>
      </c>
      <c r="R2587" s="546" t="s">
        <v>804</v>
      </c>
    </row>
    <row r="2588" spans="1:18" x14ac:dyDescent="0.3">
      <c r="A2588" t="s">
        <v>627</v>
      </c>
      <c r="B2588" s="16">
        <v>45459</v>
      </c>
      <c r="C2588" t="s">
        <v>3</v>
      </c>
      <c r="D2588" t="s">
        <v>114</v>
      </c>
      <c r="E2588">
        <v>102</v>
      </c>
      <c r="F2588">
        <v>44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11</v>
      </c>
      <c r="N2588">
        <v>98</v>
      </c>
      <c r="O2588">
        <f t="shared" si="80"/>
        <v>2024</v>
      </c>
      <c r="P2588">
        <f t="shared" si="81"/>
        <v>6</v>
      </c>
      <c r="Q2588" t="s">
        <v>325</v>
      </c>
      <c r="R2588" s="546" t="s">
        <v>804</v>
      </c>
    </row>
    <row r="2589" spans="1:18" x14ac:dyDescent="0.3">
      <c r="A2589" t="s">
        <v>627</v>
      </c>
      <c r="B2589" s="16">
        <v>45459</v>
      </c>
      <c r="C2589" t="s">
        <v>3</v>
      </c>
      <c r="D2589" t="s">
        <v>113</v>
      </c>
      <c r="E2589">
        <v>109</v>
      </c>
      <c r="F2589">
        <v>63</v>
      </c>
      <c r="G2589">
        <v>3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84</v>
      </c>
      <c r="N2589">
        <v>62</v>
      </c>
      <c r="O2589">
        <f t="shared" si="80"/>
        <v>2024</v>
      </c>
      <c r="P2589">
        <f t="shared" si="81"/>
        <v>6</v>
      </c>
      <c r="Q2589" t="s">
        <v>325</v>
      </c>
      <c r="R2589" s="546" t="s">
        <v>804</v>
      </c>
    </row>
    <row r="2590" spans="1:18" x14ac:dyDescent="0.3">
      <c r="A2590" t="s">
        <v>627</v>
      </c>
      <c r="B2590" s="16">
        <v>45459</v>
      </c>
      <c r="C2590" t="s">
        <v>3</v>
      </c>
      <c r="D2590" t="s">
        <v>112</v>
      </c>
      <c r="E2590">
        <v>25</v>
      </c>
      <c r="F2590">
        <v>8</v>
      </c>
      <c r="G2590">
        <v>1</v>
      </c>
      <c r="H2590">
        <v>0</v>
      </c>
      <c r="I2590">
        <v>1677</v>
      </c>
      <c r="J2590">
        <v>1</v>
      </c>
      <c r="K2590">
        <v>1677</v>
      </c>
      <c r="L2590">
        <v>1</v>
      </c>
      <c r="M2590">
        <v>1</v>
      </c>
      <c r="N2590">
        <v>25</v>
      </c>
      <c r="O2590">
        <f t="shared" si="80"/>
        <v>2024</v>
      </c>
      <c r="P2590">
        <f t="shared" si="81"/>
        <v>6</v>
      </c>
      <c r="Q2590" t="s">
        <v>325</v>
      </c>
      <c r="R2590" s="546" t="s">
        <v>804</v>
      </c>
    </row>
    <row r="2591" spans="1:18" x14ac:dyDescent="0.3">
      <c r="A2591" t="s">
        <v>627</v>
      </c>
      <c r="B2591" s="16">
        <v>45459</v>
      </c>
      <c r="C2591" t="s">
        <v>3</v>
      </c>
      <c r="D2591" t="s">
        <v>111</v>
      </c>
      <c r="E2591">
        <v>1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1</v>
      </c>
      <c r="O2591">
        <f t="shared" si="80"/>
        <v>2024</v>
      </c>
      <c r="P2591">
        <f t="shared" si="81"/>
        <v>6</v>
      </c>
      <c r="Q2591" t="s">
        <v>325</v>
      </c>
      <c r="R2591" s="546" t="s">
        <v>804</v>
      </c>
    </row>
    <row r="2592" spans="1:18" x14ac:dyDescent="0.3">
      <c r="A2592" t="s">
        <v>627</v>
      </c>
      <c r="B2592" s="16">
        <v>45458</v>
      </c>
      <c r="C2592" t="s">
        <v>2</v>
      </c>
      <c r="D2592" t="s">
        <v>4</v>
      </c>
      <c r="E2592">
        <v>1317</v>
      </c>
      <c r="F2592">
        <v>236</v>
      </c>
      <c r="G2592">
        <v>2</v>
      </c>
      <c r="H2592">
        <v>1</v>
      </c>
      <c r="I2592">
        <v>0</v>
      </c>
      <c r="J2592">
        <v>0</v>
      </c>
      <c r="K2592">
        <v>0</v>
      </c>
      <c r="L2592">
        <v>0</v>
      </c>
      <c r="M2592">
        <v>20</v>
      </c>
      <c r="N2592">
        <v>1297</v>
      </c>
      <c r="O2592">
        <f t="shared" si="80"/>
        <v>2024</v>
      </c>
      <c r="P2592">
        <f t="shared" si="81"/>
        <v>6</v>
      </c>
      <c r="Q2592" t="s">
        <v>325</v>
      </c>
      <c r="R2592" s="546" t="s">
        <v>804</v>
      </c>
    </row>
    <row r="2593" spans="1:18" x14ac:dyDescent="0.3">
      <c r="A2593" t="s">
        <v>627</v>
      </c>
      <c r="B2593" s="16">
        <v>45458</v>
      </c>
      <c r="C2593" t="s">
        <v>2</v>
      </c>
      <c r="D2593" t="s">
        <v>57</v>
      </c>
      <c r="E2593">
        <v>22030</v>
      </c>
      <c r="F2593">
        <v>13036</v>
      </c>
      <c r="G2593">
        <v>182</v>
      </c>
      <c r="H2593">
        <v>109</v>
      </c>
      <c r="I2593">
        <v>155925.5</v>
      </c>
      <c r="J2593">
        <v>40</v>
      </c>
      <c r="K2593">
        <v>103892.5</v>
      </c>
      <c r="L2593">
        <v>27</v>
      </c>
      <c r="M2593">
        <v>896</v>
      </c>
      <c r="N2593">
        <v>21981</v>
      </c>
      <c r="O2593">
        <f t="shared" si="80"/>
        <v>2024</v>
      </c>
      <c r="P2593">
        <f t="shared" si="81"/>
        <v>6</v>
      </c>
      <c r="Q2593" t="s">
        <v>325</v>
      </c>
      <c r="R2593" s="546" t="s">
        <v>804</v>
      </c>
    </row>
    <row r="2594" spans="1:18" x14ac:dyDescent="0.3">
      <c r="A2594" t="s">
        <v>627</v>
      </c>
      <c r="B2594" s="16">
        <v>45458</v>
      </c>
      <c r="C2594" t="s">
        <v>2</v>
      </c>
      <c r="D2594" t="s">
        <v>52</v>
      </c>
      <c r="E2594">
        <v>2826</v>
      </c>
      <c r="F2594">
        <v>2261</v>
      </c>
      <c r="G2594">
        <v>18</v>
      </c>
      <c r="H2594">
        <v>5</v>
      </c>
      <c r="I2594">
        <v>50475.02</v>
      </c>
      <c r="J2594">
        <v>8</v>
      </c>
      <c r="K2594">
        <v>14620.5</v>
      </c>
      <c r="L2594">
        <v>6</v>
      </c>
      <c r="M2594">
        <v>2826</v>
      </c>
      <c r="N2594">
        <v>614</v>
      </c>
      <c r="O2594">
        <f t="shared" si="80"/>
        <v>2024</v>
      </c>
      <c r="P2594">
        <f t="shared" si="81"/>
        <v>6</v>
      </c>
      <c r="Q2594" t="s">
        <v>325</v>
      </c>
      <c r="R2594" s="546" t="s">
        <v>804</v>
      </c>
    </row>
    <row r="2595" spans="1:18" x14ac:dyDescent="0.3">
      <c r="A2595" t="s">
        <v>627</v>
      </c>
      <c r="B2595" s="16">
        <v>45458</v>
      </c>
      <c r="C2595" t="s">
        <v>2</v>
      </c>
      <c r="D2595" t="s">
        <v>55</v>
      </c>
      <c r="E2595">
        <v>14558</v>
      </c>
      <c r="F2595">
        <v>10636</v>
      </c>
      <c r="G2595">
        <v>4</v>
      </c>
      <c r="H2595">
        <v>3</v>
      </c>
      <c r="I2595">
        <v>0</v>
      </c>
      <c r="J2595">
        <v>0</v>
      </c>
      <c r="K2595">
        <v>0</v>
      </c>
      <c r="L2595">
        <v>0</v>
      </c>
      <c r="M2595">
        <v>28</v>
      </c>
      <c r="N2595">
        <v>3373</v>
      </c>
      <c r="O2595">
        <f t="shared" si="80"/>
        <v>2024</v>
      </c>
      <c r="P2595">
        <f t="shared" si="81"/>
        <v>6</v>
      </c>
      <c r="Q2595" t="s">
        <v>325</v>
      </c>
      <c r="R2595" s="546" t="s">
        <v>804</v>
      </c>
    </row>
    <row r="2596" spans="1:18" x14ac:dyDescent="0.3">
      <c r="A2596" t="s">
        <v>627</v>
      </c>
      <c r="B2596" s="16">
        <v>45458</v>
      </c>
      <c r="C2596" t="s">
        <v>3</v>
      </c>
      <c r="D2596" t="s">
        <v>156</v>
      </c>
      <c r="E2596">
        <v>1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1</v>
      </c>
      <c r="O2596">
        <f t="shared" si="80"/>
        <v>2024</v>
      </c>
      <c r="P2596">
        <f t="shared" si="81"/>
        <v>6</v>
      </c>
      <c r="Q2596" t="s">
        <v>325</v>
      </c>
      <c r="R2596" s="546" t="s">
        <v>804</v>
      </c>
    </row>
    <row r="2597" spans="1:18" x14ac:dyDescent="0.3">
      <c r="A2597" t="s">
        <v>627</v>
      </c>
      <c r="B2597" s="16">
        <v>45458</v>
      </c>
      <c r="C2597" t="s">
        <v>3</v>
      </c>
      <c r="D2597" t="s">
        <v>155</v>
      </c>
      <c r="E2597">
        <v>6</v>
      </c>
      <c r="F2597">
        <v>4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6</v>
      </c>
      <c r="O2597">
        <f t="shared" si="80"/>
        <v>2024</v>
      </c>
      <c r="P2597">
        <f t="shared" si="81"/>
        <v>6</v>
      </c>
      <c r="Q2597" t="s">
        <v>325</v>
      </c>
      <c r="R2597" s="546" t="s">
        <v>804</v>
      </c>
    </row>
    <row r="2598" spans="1:18" x14ac:dyDescent="0.3">
      <c r="A2598" t="s">
        <v>627</v>
      </c>
      <c r="B2598" s="16">
        <v>45458</v>
      </c>
      <c r="C2598" t="s">
        <v>3</v>
      </c>
      <c r="D2598" t="s">
        <v>154</v>
      </c>
      <c r="E2598">
        <v>664</v>
      </c>
      <c r="F2598">
        <v>566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15</v>
      </c>
      <c r="N2598">
        <v>13</v>
      </c>
      <c r="O2598">
        <f t="shared" si="80"/>
        <v>2024</v>
      </c>
      <c r="P2598">
        <f t="shared" si="81"/>
        <v>6</v>
      </c>
      <c r="Q2598" t="s">
        <v>325</v>
      </c>
      <c r="R2598" s="546" t="s">
        <v>804</v>
      </c>
    </row>
    <row r="2599" spans="1:18" x14ac:dyDescent="0.3">
      <c r="A2599" t="s">
        <v>627</v>
      </c>
      <c r="B2599" s="16">
        <v>45458</v>
      </c>
      <c r="C2599" t="s">
        <v>3</v>
      </c>
      <c r="D2599" t="s">
        <v>153</v>
      </c>
      <c r="E2599">
        <v>397</v>
      </c>
      <c r="F2599">
        <v>136</v>
      </c>
      <c r="G2599">
        <v>32</v>
      </c>
      <c r="H2599">
        <v>1</v>
      </c>
      <c r="I2599">
        <v>102765.5</v>
      </c>
      <c r="J2599">
        <v>35</v>
      </c>
      <c r="K2599">
        <v>76738.5</v>
      </c>
      <c r="L2599">
        <v>31</v>
      </c>
      <c r="M2599">
        <v>103</v>
      </c>
      <c r="N2599">
        <v>384</v>
      </c>
      <c r="O2599">
        <f t="shared" si="80"/>
        <v>2024</v>
      </c>
      <c r="P2599">
        <f t="shared" si="81"/>
        <v>6</v>
      </c>
      <c r="Q2599" t="s">
        <v>325</v>
      </c>
      <c r="R2599" s="546" t="s">
        <v>804</v>
      </c>
    </row>
    <row r="2600" spans="1:18" x14ac:dyDescent="0.3">
      <c r="A2600" t="s">
        <v>627</v>
      </c>
      <c r="B2600" s="16">
        <v>45458</v>
      </c>
      <c r="C2600" t="s">
        <v>3</v>
      </c>
      <c r="D2600" t="s">
        <v>152</v>
      </c>
      <c r="E2600">
        <v>10</v>
      </c>
      <c r="F2600">
        <v>4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4</v>
      </c>
      <c r="O2600">
        <f t="shared" si="80"/>
        <v>2024</v>
      </c>
      <c r="P2600">
        <f t="shared" si="81"/>
        <v>6</v>
      </c>
      <c r="Q2600" t="s">
        <v>325</v>
      </c>
      <c r="R2600" s="546" t="s">
        <v>804</v>
      </c>
    </row>
    <row r="2601" spans="1:18" x14ac:dyDescent="0.3">
      <c r="A2601" t="s">
        <v>627</v>
      </c>
      <c r="B2601" s="16">
        <v>45458</v>
      </c>
      <c r="C2601" t="s">
        <v>3</v>
      </c>
      <c r="D2601" t="s">
        <v>150</v>
      </c>
      <c r="E2601">
        <v>6</v>
      </c>
      <c r="F2601">
        <v>3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2</v>
      </c>
      <c r="N2601">
        <v>6</v>
      </c>
      <c r="O2601">
        <f t="shared" si="80"/>
        <v>2024</v>
      </c>
      <c r="P2601">
        <f t="shared" si="81"/>
        <v>6</v>
      </c>
      <c r="Q2601" t="s">
        <v>325</v>
      </c>
      <c r="R2601" s="546" t="s">
        <v>804</v>
      </c>
    </row>
    <row r="2602" spans="1:18" x14ac:dyDescent="0.3">
      <c r="A2602" t="s">
        <v>627</v>
      </c>
      <c r="B2602" s="16">
        <v>45458</v>
      </c>
      <c r="C2602" t="s">
        <v>3</v>
      </c>
      <c r="D2602" t="s">
        <v>149</v>
      </c>
      <c r="E2602">
        <v>783</v>
      </c>
      <c r="F2602">
        <v>618</v>
      </c>
      <c r="G2602">
        <v>2</v>
      </c>
      <c r="H2602">
        <v>2</v>
      </c>
      <c r="I2602">
        <v>3538</v>
      </c>
      <c r="J2602">
        <v>2</v>
      </c>
      <c r="K2602">
        <v>1303</v>
      </c>
      <c r="L2602">
        <v>1</v>
      </c>
      <c r="M2602">
        <v>162</v>
      </c>
      <c r="N2602">
        <v>678</v>
      </c>
      <c r="O2602">
        <f t="shared" si="80"/>
        <v>2024</v>
      </c>
      <c r="P2602">
        <f t="shared" si="81"/>
        <v>6</v>
      </c>
      <c r="Q2602" t="s">
        <v>325</v>
      </c>
      <c r="R2602" s="546" t="s">
        <v>804</v>
      </c>
    </row>
    <row r="2603" spans="1:18" x14ac:dyDescent="0.3">
      <c r="A2603" t="s">
        <v>627</v>
      </c>
      <c r="B2603" s="16">
        <v>45458</v>
      </c>
      <c r="C2603" t="s">
        <v>3</v>
      </c>
      <c r="D2603" t="s">
        <v>148</v>
      </c>
      <c r="E2603">
        <v>1</v>
      </c>
      <c r="F2603">
        <v>1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1</v>
      </c>
      <c r="O2603">
        <f t="shared" si="80"/>
        <v>2024</v>
      </c>
      <c r="P2603">
        <f t="shared" si="81"/>
        <v>6</v>
      </c>
      <c r="Q2603" t="s">
        <v>325</v>
      </c>
      <c r="R2603" s="546" t="s">
        <v>804</v>
      </c>
    </row>
    <row r="2604" spans="1:18" x14ac:dyDescent="0.3">
      <c r="A2604" t="s">
        <v>627</v>
      </c>
      <c r="B2604" s="16">
        <v>45458</v>
      </c>
      <c r="C2604" t="s">
        <v>3</v>
      </c>
      <c r="D2604" t="s">
        <v>147</v>
      </c>
      <c r="E2604">
        <v>173</v>
      </c>
      <c r="F2604">
        <v>163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173</v>
      </c>
      <c r="O2604">
        <f t="shared" si="80"/>
        <v>2024</v>
      </c>
      <c r="P2604">
        <f t="shared" si="81"/>
        <v>6</v>
      </c>
      <c r="Q2604" t="s">
        <v>325</v>
      </c>
      <c r="R2604" s="546" t="s">
        <v>804</v>
      </c>
    </row>
    <row r="2605" spans="1:18" x14ac:dyDescent="0.3">
      <c r="A2605" t="s">
        <v>627</v>
      </c>
      <c r="B2605" s="16">
        <v>45458</v>
      </c>
      <c r="C2605" t="s">
        <v>3</v>
      </c>
      <c r="D2605" t="s">
        <v>251</v>
      </c>
      <c r="E2605">
        <v>903</v>
      </c>
      <c r="F2605">
        <v>424</v>
      </c>
      <c r="G2605">
        <v>7</v>
      </c>
      <c r="H2605">
        <v>3</v>
      </c>
      <c r="I2605">
        <v>11867.5</v>
      </c>
      <c r="J2605">
        <v>7</v>
      </c>
      <c r="K2605">
        <v>8152.5</v>
      </c>
      <c r="L2605">
        <v>5</v>
      </c>
      <c r="M2605">
        <v>79</v>
      </c>
      <c r="N2605">
        <v>393</v>
      </c>
      <c r="O2605">
        <f t="shared" si="80"/>
        <v>2024</v>
      </c>
      <c r="P2605">
        <f t="shared" si="81"/>
        <v>6</v>
      </c>
      <c r="Q2605" t="s">
        <v>325</v>
      </c>
      <c r="R2605" s="546" t="s">
        <v>804</v>
      </c>
    </row>
    <row r="2606" spans="1:18" x14ac:dyDescent="0.3">
      <c r="A2606" t="s">
        <v>627</v>
      </c>
      <c r="B2606" s="16">
        <v>45458</v>
      </c>
      <c r="C2606" t="s">
        <v>3</v>
      </c>
      <c r="D2606" t="s">
        <v>143</v>
      </c>
      <c r="E2606">
        <v>22</v>
      </c>
      <c r="F2606">
        <v>21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22</v>
      </c>
      <c r="O2606">
        <f t="shared" si="80"/>
        <v>2024</v>
      </c>
      <c r="P2606">
        <f t="shared" si="81"/>
        <v>6</v>
      </c>
      <c r="Q2606" t="s">
        <v>325</v>
      </c>
      <c r="R2606" s="546" t="s">
        <v>804</v>
      </c>
    </row>
    <row r="2607" spans="1:18" x14ac:dyDescent="0.3">
      <c r="A2607" t="s">
        <v>627</v>
      </c>
      <c r="B2607" s="16">
        <v>45458</v>
      </c>
      <c r="C2607" t="s">
        <v>3</v>
      </c>
      <c r="D2607" t="s">
        <v>142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1</v>
      </c>
      <c r="O2607">
        <f t="shared" ref="O2607:O2670" si="82">YEAR(B2607)</f>
        <v>2024</v>
      </c>
      <c r="P2607">
        <f t="shared" ref="P2607:P2670" si="83">MONTH(B2607)</f>
        <v>6</v>
      </c>
      <c r="Q2607" t="s">
        <v>325</v>
      </c>
      <c r="R2607" s="546" t="s">
        <v>804</v>
      </c>
    </row>
    <row r="2608" spans="1:18" x14ac:dyDescent="0.3">
      <c r="A2608" t="s">
        <v>627</v>
      </c>
      <c r="B2608" s="16">
        <v>45458</v>
      </c>
      <c r="C2608" t="s">
        <v>3</v>
      </c>
      <c r="D2608" t="s">
        <v>140</v>
      </c>
      <c r="E2608">
        <v>3</v>
      </c>
      <c r="F2608">
        <v>3</v>
      </c>
      <c r="G2608">
        <v>1</v>
      </c>
      <c r="H2608">
        <v>0</v>
      </c>
      <c r="I2608">
        <v>3268</v>
      </c>
      <c r="J2608">
        <v>1</v>
      </c>
      <c r="K2608">
        <v>3268</v>
      </c>
      <c r="L2608">
        <v>1</v>
      </c>
      <c r="M2608">
        <v>0</v>
      </c>
      <c r="N2608">
        <v>3</v>
      </c>
      <c r="O2608">
        <f t="shared" si="82"/>
        <v>2024</v>
      </c>
      <c r="P2608">
        <f t="shared" si="83"/>
        <v>6</v>
      </c>
      <c r="Q2608" t="s">
        <v>325</v>
      </c>
      <c r="R2608" s="546" t="s">
        <v>804</v>
      </c>
    </row>
    <row r="2609" spans="1:18" x14ac:dyDescent="0.3">
      <c r="A2609" t="s">
        <v>627</v>
      </c>
      <c r="B2609" s="16">
        <v>45458</v>
      </c>
      <c r="C2609" t="s">
        <v>3</v>
      </c>
      <c r="D2609" t="s">
        <v>139</v>
      </c>
      <c r="E2609">
        <v>635</v>
      </c>
      <c r="F2609">
        <v>397</v>
      </c>
      <c r="G2609">
        <v>19</v>
      </c>
      <c r="H2609">
        <v>5</v>
      </c>
      <c r="I2609">
        <v>25442.48</v>
      </c>
      <c r="J2609">
        <v>12</v>
      </c>
      <c r="K2609">
        <v>6581</v>
      </c>
      <c r="L2609">
        <v>5</v>
      </c>
      <c r="M2609">
        <v>307</v>
      </c>
      <c r="N2609">
        <v>422</v>
      </c>
      <c r="O2609">
        <f t="shared" si="82"/>
        <v>2024</v>
      </c>
      <c r="P2609">
        <f t="shared" si="83"/>
        <v>6</v>
      </c>
      <c r="Q2609" t="s">
        <v>325</v>
      </c>
      <c r="R2609" s="546" t="s">
        <v>804</v>
      </c>
    </row>
    <row r="2610" spans="1:18" x14ac:dyDescent="0.3">
      <c r="A2610" t="s">
        <v>627</v>
      </c>
      <c r="B2610" s="16">
        <v>45458</v>
      </c>
      <c r="C2610" t="s">
        <v>3</v>
      </c>
      <c r="D2610" t="s">
        <v>138</v>
      </c>
      <c r="E2610">
        <v>48</v>
      </c>
      <c r="F2610">
        <v>32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4</v>
      </c>
      <c r="N2610">
        <v>45</v>
      </c>
      <c r="O2610">
        <f t="shared" si="82"/>
        <v>2024</v>
      </c>
      <c r="P2610">
        <f t="shared" si="83"/>
        <v>6</v>
      </c>
      <c r="Q2610" t="s">
        <v>325</v>
      </c>
      <c r="R2610" s="546" t="s">
        <v>804</v>
      </c>
    </row>
    <row r="2611" spans="1:18" x14ac:dyDescent="0.3">
      <c r="A2611" t="s">
        <v>627</v>
      </c>
      <c r="B2611" s="16">
        <v>45458</v>
      </c>
      <c r="C2611" t="s">
        <v>3</v>
      </c>
      <c r="D2611" t="s">
        <v>137</v>
      </c>
      <c r="E2611">
        <v>3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2</v>
      </c>
      <c r="N2611">
        <v>3</v>
      </c>
      <c r="O2611">
        <f t="shared" si="82"/>
        <v>2024</v>
      </c>
      <c r="P2611">
        <f t="shared" si="83"/>
        <v>6</v>
      </c>
      <c r="Q2611" t="s">
        <v>325</v>
      </c>
      <c r="R2611" s="546" t="s">
        <v>804</v>
      </c>
    </row>
    <row r="2612" spans="1:18" x14ac:dyDescent="0.3">
      <c r="A2612" t="s">
        <v>627</v>
      </c>
      <c r="B2612" s="16">
        <v>45458</v>
      </c>
      <c r="C2612" t="s">
        <v>3</v>
      </c>
      <c r="D2612" t="s">
        <v>135</v>
      </c>
      <c r="E2612">
        <v>6</v>
      </c>
      <c r="F2612">
        <v>5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f t="shared" si="82"/>
        <v>2024</v>
      </c>
      <c r="P2612">
        <f t="shared" si="83"/>
        <v>6</v>
      </c>
      <c r="Q2612" t="s">
        <v>325</v>
      </c>
      <c r="R2612" s="546" t="s">
        <v>804</v>
      </c>
    </row>
    <row r="2613" spans="1:18" x14ac:dyDescent="0.3">
      <c r="A2613" t="s">
        <v>627</v>
      </c>
      <c r="B2613" s="16">
        <v>45458</v>
      </c>
      <c r="C2613" t="s">
        <v>3</v>
      </c>
      <c r="D2613" t="s">
        <v>133</v>
      </c>
      <c r="E2613">
        <v>11</v>
      </c>
      <c r="F2613">
        <v>5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3</v>
      </c>
      <c r="N2613">
        <v>8</v>
      </c>
      <c r="O2613">
        <f t="shared" si="82"/>
        <v>2024</v>
      </c>
      <c r="P2613">
        <f t="shared" si="83"/>
        <v>6</v>
      </c>
      <c r="Q2613" t="s">
        <v>325</v>
      </c>
      <c r="R2613" s="546" t="s">
        <v>804</v>
      </c>
    </row>
    <row r="2614" spans="1:18" x14ac:dyDescent="0.3">
      <c r="A2614" t="s">
        <v>627</v>
      </c>
      <c r="B2614" s="16">
        <v>45458</v>
      </c>
      <c r="C2614" t="s">
        <v>3</v>
      </c>
      <c r="D2614" t="s">
        <v>131</v>
      </c>
      <c r="E2614">
        <v>1</v>
      </c>
      <c r="F2614">
        <v>1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1</v>
      </c>
      <c r="O2614">
        <f t="shared" si="82"/>
        <v>2024</v>
      </c>
      <c r="P2614">
        <f t="shared" si="83"/>
        <v>6</v>
      </c>
      <c r="Q2614" t="s">
        <v>325</v>
      </c>
      <c r="R2614" s="546" t="s">
        <v>804</v>
      </c>
    </row>
    <row r="2615" spans="1:18" x14ac:dyDescent="0.3">
      <c r="A2615" t="s">
        <v>627</v>
      </c>
      <c r="B2615" s="16">
        <v>45458</v>
      </c>
      <c r="C2615" t="s">
        <v>3</v>
      </c>
      <c r="D2615" t="s">
        <v>130</v>
      </c>
      <c r="E2615">
        <v>215</v>
      </c>
      <c r="F2615">
        <v>80</v>
      </c>
      <c r="G2615">
        <v>15</v>
      </c>
      <c r="H2615">
        <v>3</v>
      </c>
      <c r="I2615">
        <v>46785</v>
      </c>
      <c r="J2615">
        <v>13</v>
      </c>
      <c r="K2615">
        <v>39259</v>
      </c>
      <c r="L2615">
        <v>11</v>
      </c>
      <c r="M2615">
        <v>69</v>
      </c>
      <c r="N2615">
        <v>206</v>
      </c>
      <c r="O2615">
        <f t="shared" si="82"/>
        <v>2024</v>
      </c>
      <c r="P2615">
        <f t="shared" si="83"/>
        <v>6</v>
      </c>
      <c r="Q2615" t="s">
        <v>325</v>
      </c>
      <c r="R2615" s="546" t="s">
        <v>804</v>
      </c>
    </row>
    <row r="2616" spans="1:18" x14ac:dyDescent="0.3">
      <c r="A2616" t="s">
        <v>627</v>
      </c>
      <c r="B2616" s="16">
        <v>45458</v>
      </c>
      <c r="C2616" t="s">
        <v>3</v>
      </c>
      <c r="D2616" t="s">
        <v>128</v>
      </c>
      <c r="E2616">
        <v>980</v>
      </c>
      <c r="F2616">
        <v>787</v>
      </c>
      <c r="G2616">
        <v>74</v>
      </c>
      <c r="H2616">
        <v>14</v>
      </c>
      <c r="I2616">
        <v>59435.98</v>
      </c>
      <c r="J2616">
        <v>22</v>
      </c>
      <c r="K2616">
        <v>39786.5</v>
      </c>
      <c r="L2616">
        <v>15</v>
      </c>
      <c r="M2616">
        <v>292</v>
      </c>
      <c r="N2616">
        <v>872</v>
      </c>
      <c r="O2616">
        <f t="shared" si="82"/>
        <v>2024</v>
      </c>
      <c r="P2616">
        <f t="shared" si="83"/>
        <v>6</v>
      </c>
      <c r="Q2616" t="s">
        <v>325</v>
      </c>
      <c r="R2616" s="546" t="s">
        <v>804</v>
      </c>
    </row>
    <row r="2617" spans="1:18" x14ac:dyDescent="0.3">
      <c r="A2617" t="s">
        <v>627</v>
      </c>
      <c r="B2617" s="16">
        <v>45458</v>
      </c>
      <c r="C2617" t="s">
        <v>3</v>
      </c>
      <c r="D2617" t="s">
        <v>127</v>
      </c>
      <c r="E2617">
        <v>2022</v>
      </c>
      <c r="F2617">
        <v>1195</v>
      </c>
      <c r="G2617">
        <v>33</v>
      </c>
      <c r="H2617">
        <v>15</v>
      </c>
      <c r="I2617">
        <v>19737.759999999998</v>
      </c>
      <c r="J2617">
        <v>8</v>
      </c>
      <c r="K2617">
        <v>11284.76</v>
      </c>
      <c r="L2617">
        <v>6</v>
      </c>
      <c r="M2617">
        <v>238</v>
      </c>
      <c r="N2617">
        <v>1870</v>
      </c>
      <c r="O2617">
        <f t="shared" si="82"/>
        <v>2024</v>
      </c>
      <c r="P2617">
        <f t="shared" si="83"/>
        <v>6</v>
      </c>
      <c r="Q2617" t="s">
        <v>325</v>
      </c>
      <c r="R2617" s="546" t="s">
        <v>804</v>
      </c>
    </row>
    <row r="2618" spans="1:18" x14ac:dyDescent="0.3">
      <c r="A2618" t="s">
        <v>627</v>
      </c>
      <c r="B2618" s="16">
        <v>45458</v>
      </c>
      <c r="C2618" t="s">
        <v>3</v>
      </c>
      <c r="D2618" t="s">
        <v>126</v>
      </c>
      <c r="E2618">
        <v>138</v>
      </c>
      <c r="F2618">
        <v>111</v>
      </c>
      <c r="G2618">
        <v>3</v>
      </c>
      <c r="H2618">
        <v>2</v>
      </c>
      <c r="I2618">
        <v>6125</v>
      </c>
      <c r="J2618">
        <v>2</v>
      </c>
      <c r="K2618">
        <v>4645</v>
      </c>
      <c r="L2618">
        <v>1</v>
      </c>
      <c r="M2618">
        <v>17</v>
      </c>
      <c r="N2618">
        <v>137</v>
      </c>
      <c r="O2618">
        <f t="shared" si="82"/>
        <v>2024</v>
      </c>
      <c r="P2618">
        <f t="shared" si="83"/>
        <v>6</v>
      </c>
      <c r="Q2618" t="s">
        <v>325</v>
      </c>
      <c r="R2618" s="546" t="s">
        <v>804</v>
      </c>
    </row>
    <row r="2619" spans="1:18" x14ac:dyDescent="0.3">
      <c r="A2619" t="s">
        <v>627</v>
      </c>
      <c r="B2619" s="16">
        <v>45458</v>
      </c>
      <c r="C2619" t="s">
        <v>3</v>
      </c>
      <c r="D2619" t="s">
        <v>125</v>
      </c>
      <c r="E2619">
        <v>5</v>
      </c>
      <c r="F2619">
        <v>3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1</v>
      </c>
      <c r="N2619">
        <v>5</v>
      </c>
      <c r="O2619">
        <f t="shared" si="82"/>
        <v>2024</v>
      </c>
      <c r="P2619">
        <f t="shared" si="83"/>
        <v>6</v>
      </c>
      <c r="Q2619" t="s">
        <v>325</v>
      </c>
      <c r="R2619" s="546" t="s">
        <v>804</v>
      </c>
    </row>
    <row r="2620" spans="1:18" x14ac:dyDescent="0.3">
      <c r="A2620" t="s">
        <v>627</v>
      </c>
      <c r="B2620" s="16">
        <v>45458</v>
      </c>
      <c r="C2620" t="s">
        <v>3</v>
      </c>
      <c r="D2620" t="s">
        <v>123</v>
      </c>
      <c r="E2620">
        <v>162</v>
      </c>
      <c r="F2620">
        <v>75</v>
      </c>
      <c r="G2620">
        <v>5</v>
      </c>
      <c r="H2620">
        <v>2</v>
      </c>
      <c r="I2620">
        <v>10417.5</v>
      </c>
      <c r="J2620">
        <v>4</v>
      </c>
      <c r="K2620">
        <v>5712.5</v>
      </c>
      <c r="L2620">
        <v>3</v>
      </c>
      <c r="M2620">
        <v>55</v>
      </c>
      <c r="N2620">
        <v>140</v>
      </c>
      <c r="O2620">
        <f t="shared" si="82"/>
        <v>2024</v>
      </c>
      <c r="P2620">
        <f t="shared" si="83"/>
        <v>6</v>
      </c>
      <c r="Q2620" t="s">
        <v>325</v>
      </c>
      <c r="R2620" s="546" t="s">
        <v>804</v>
      </c>
    </row>
    <row r="2621" spans="1:18" x14ac:dyDescent="0.3">
      <c r="A2621" t="s">
        <v>627</v>
      </c>
      <c r="B2621" s="16">
        <v>45458</v>
      </c>
      <c r="C2621" t="s">
        <v>3</v>
      </c>
      <c r="D2621" t="s">
        <v>120</v>
      </c>
      <c r="E2621">
        <v>481</v>
      </c>
      <c r="F2621">
        <v>288</v>
      </c>
      <c r="G2621">
        <v>6</v>
      </c>
      <c r="H2621">
        <v>0</v>
      </c>
      <c r="I2621">
        <v>23753</v>
      </c>
      <c r="J2621">
        <v>5</v>
      </c>
      <c r="K2621">
        <v>7653</v>
      </c>
      <c r="L2621">
        <v>4</v>
      </c>
      <c r="M2621">
        <v>49</v>
      </c>
      <c r="N2621">
        <v>475</v>
      </c>
      <c r="O2621">
        <f t="shared" si="82"/>
        <v>2024</v>
      </c>
      <c r="P2621">
        <f t="shared" si="83"/>
        <v>6</v>
      </c>
      <c r="Q2621" t="s">
        <v>325</v>
      </c>
      <c r="R2621" s="546" t="s">
        <v>804</v>
      </c>
    </row>
    <row r="2622" spans="1:18" x14ac:dyDescent="0.3">
      <c r="A2622" t="s">
        <v>627</v>
      </c>
      <c r="B2622" s="16">
        <v>45458</v>
      </c>
      <c r="C2622" t="s">
        <v>3</v>
      </c>
      <c r="D2622" t="s">
        <v>119</v>
      </c>
      <c r="E2622">
        <v>302</v>
      </c>
      <c r="F2622">
        <v>128</v>
      </c>
      <c r="G2622">
        <v>21</v>
      </c>
      <c r="H2622">
        <v>3</v>
      </c>
      <c r="I2622">
        <v>42229.98</v>
      </c>
      <c r="J2622">
        <v>15</v>
      </c>
      <c r="K2622">
        <v>28003.5</v>
      </c>
      <c r="L2622">
        <v>13</v>
      </c>
      <c r="M2622">
        <v>92</v>
      </c>
      <c r="N2622">
        <v>290</v>
      </c>
      <c r="O2622">
        <f t="shared" si="82"/>
        <v>2024</v>
      </c>
      <c r="P2622">
        <f t="shared" si="83"/>
        <v>6</v>
      </c>
      <c r="Q2622" t="s">
        <v>325</v>
      </c>
      <c r="R2622" s="546" t="s">
        <v>804</v>
      </c>
    </row>
    <row r="2623" spans="1:18" x14ac:dyDescent="0.3">
      <c r="A2623" t="s">
        <v>627</v>
      </c>
      <c r="B2623" s="16">
        <v>45458</v>
      </c>
      <c r="C2623" t="s">
        <v>3</v>
      </c>
      <c r="D2623" t="s">
        <v>116</v>
      </c>
      <c r="E2623">
        <v>3</v>
      </c>
      <c r="F2623">
        <v>2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3</v>
      </c>
      <c r="O2623">
        <f t="shared" si="82"/>
        <v>2024</v>
      </c>
      <c r="P2623">
        <f t="shared" si="83"/>
        <v>6</v>
      </c>
      <c r="Q2623" t="s">
        <v>325</v>
      </c>
      <c r="R2623" s="546" t="s">
        <v>804</v>
      </c>
    </row>
    <row r="2624" spans="1:18" x14ac:dyDescent="0.3">
      <c r="A2624" t="s">
        <v>627</v>
      </c>
      <c r="B2624" s="16">
        <v>45458</v>
      </c>
      <c r="C2624" t="s">
        <v>3</v>
      </c>
      <c r="D2624" t="s">
        <v>115</v>
      </c>
      <c r="E2624">
        <v>1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1</v>
      </c>
      <c r="O2624">
        <f t="shared" si="82"/>
        <v>2024</v>
      </c>
      <c r="P2624">
        <f t="shared" si="83"/>
        <v>6</v>
      </c>
      <c r="Q2624" t="s">
        <v>325</v>
      </c>
      <c r="R2624" s="546" t="s">
        <v>804</v>
      </c>
    </row>
    <row r="2625" spans="1:18" x14ac:dyDescent="0.3">
      <c r="A2625" t="s">
        <v>627</v>
      </c>
      <c r="B2625" s="16">
        <v>45458</v>
      </c>
      <c r="C2625" t="s">
        <v>3</v>
      </c>
      <c r="D2625" t="s">
        <v>114</v>
      </c>
      <c r="E2625">
        <v>119</v>
      </c>
      <c r="F2625">
        <v>49</v>
      </c>
      <c r="G2625">
        <v>5</v>
      </c>
      <c r="H2625">
        <v>2</v>
      </c>
      <c r="I2625">
        <v>8728.48</v>
      </c>
      <c r="J2625">
        <v>3</v>
      </c>
      <c r="K2625">
        <v>3235</v>
      </c>
      <c r="L2625">
        <v>1</v>
      </c>
      <c r="M2625">
        <v>17</v>
      </c>
      <c r="N2625">
        <v>117</v>
      </c>
      <c r="O2625">
        <f t="shared" si="82"/>
        <v>2024</v>
      </c>
      <c r="P2625">
        <f t="shared" si="83"/>
        <v>6</v>
      </c>
      <c r="Q2625" t="s">
        <v>325</v>
      </c>
      <c r="R2625" s="546" t="s">
        <v>804</v>
      </c>
    </row>
    <row r="2626" spans="1:18" x14ac:dyDescent="0.3">
      <c r="A2626" t="s">
        <v>627</v>
      </c>
      <c r="B2626" s="16">
        <v>45458</v>
      </c>
      <c r="C2626" t="s">
        <v>3</v>
      </c>
      <c r="D2626" t="s">
        <v>113</v>
      </c>
      <c r="E2626">
        <v>110</v>
      </c>
      <c r="F2626">
        <v>60</v>
      </c>
      <c r="G2626">
        <v>3</v>
      </c>
      <c r="H2626">
        <v>0</v>
      </c>
      <c r="I2626">
        <v>2597.5</v>
      </c>
      <c r="J2626">
        <v>1</v>
      </c>
      <c r="K2626">
        <v>0</v>
      </c>
      <c r="L2626">
        <v>0</v>
      </c>
      <c r="M2626">
        <v>95</v>
      </c>
      <c r="N2626">
        <v>59</v>
      </c>
      <c r="O2626">
        <f t="shared" si="82"/>
        <v>2024</v>
      </c>
      <c r="P2626">
        <f t="shared" si="83"/>
        <v>6</v>
      </c>
      <c r="Q2626" t="s">
        <v>325</v>
      </c>
      <c r="R2626" s="546" t="s">
        <v>804</v>
      </c>
    </row>
    <row r="2627" spans="1:18" x14ac:dyDescent="0.3">
      <c r="A2627" t="s">
        <v>627</v>
      </c>
      <c r="B2627" s="16">
        <v>45458</v>
      </c>
      <c r="C2627" t="s">
        <v>3</v>
      </c>
      <c r="D2627" t="s">
        <v>112</v>
      </c>
      <c r="E2627">
        <v>36</v>
      </c>
      <c r="F2627">
        <v>5</v>
      </c>
      <c r="G2627">
        <v>1</v>
      </c>
      <c r="H2627">
        <v>0</v>
      </c>
      <c r="I2627">
        <v>13088</v>
      </c>
      <c r="J2627">
        <v>3</v>
      </c>
      <c r="K2627">
        <v>13088</v>
      </c>
      <c r="L2627">
        <v>3</v>
      </c>
      <c r="M2627">
        <v>0</v>
      </c>
      <c r="N2627">
        <v>36</v>
      </c>
      <c r="O2627">
        <f t="shared" si="82"/>
        <v>2024</v>
      </c>
      <c r="P2627">
        <f t="shared" si="83"/>
        <v>6</v>
      </c>
      <c r="Q2627" t="s">
        <v>325</v>
      </c>
      <c r="R2627" s="546" t="s">
        <v>804</v>
      </c>
    </row>
    <row r="2628" spans="1:18" x14ac:dyDescent="0.3">
      <c r="A2628" t="s">
        <v>627</v>
      </c>
      <c r="B2628" s="16">
        <v>45458</v>
      </c>
      <c r="C2628" t="s">
        <v>3</v>
      </c>
      <c r="D2628" t="s">
        <v>111</v>
      </c>
      <c r="E2628">
        <v>1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1</v>
      </c>
      <c r="O2628">
        <f t="shared" si="82"/>
        <v>2024</v>
      </c>
      <c r="P2628">
        <f t="shared" si="83"/>
        <v>6</v>
      </c>
      <c r="Q2628" t="s">
        <v>325</v>
      </c>
      <c r="R2628" s="546" t="s">
        <v>804</v>
      </c>
    </row>
    <row r="2629" spans="1:18" x14ac:dyDescent="0.3">
      <c r="A2629" t="s">
        <v>627</v>
      </c>
      <c r="B2629" s="16">
        <v>45457</v>
      </c>
      <c r="C2629" t="s">
        <v>2</v>
      </c>
      <c r="D2629" t="s">
        <v>4</v>
      </c>
      <c r="E2629">
        <v>1350</v>
      </c>
      <c r="F2629">
        <v>232</v>
      </c>
      <c r="G2629">
        <v>2</v>
      </c>
      <c r="H2629">
        <v>2</v>
      </c>
      <c r="I2629">
        <v>2000</v>
      </c>
      <c r="J2629">
        <v>1</v>
      </c>
      <c r="K2629">
        <v>1000</v>
      </c>
      <c r="L2629">
        <v>1</v>
      </c>
      <c r="M2629">
        <v>6</v>
      </c>
      <c r="N2629">
        <v>1343</v>
      </c>
      <c r="O2629">
        <f t="shared" si="82"/>
        <v>2024</v>
      </c>
      <c r="P2629">
        <f t="shared" si="83"/>
        <v>6</v>
      </c>
      <c r="Q2629" t="s">
        <v>325</v>
      </c>
      <c r="R2629" s="546" t="s">
        <v>804</v>
      </c>
    </row>
    <row r="2630" spans="1:18" x14ac:dyDescent="0.3">
      <c r="A2630" t="s">
        <v>627</v>
      </c>
      <c r="B2630" s="16">
        <v>45457</v>
      </c>
      <c r="C2630" t="s">
        <v>2</v>
      </c>
      <c r="D2630" t="s">
        <v>57</v>
      </c>
      <c r="E2630">
        <v>19176</v>
      </c>
      <c r="F2630">
        <v>10895</v>
      </c>
      <c r="G2630">
        <v>120</v>
      </c>
      <c r="H2630">
        <v>98</v>
      </c>
      <c r="I2630">
        <v>139930.5</v>
      </c>
      <c r="J2630">
        <v>29</v>
      </c>
      <c r="K2630">
        <v>98500.5</v>
      </c>
      <c r="L2630">
        <v>23</v>
      </c>
      <c r="M2630">
        <v>680</v>
      </c>
      <c r="N2630">
        <v>19142</v>
      </c>
      <c r="O2630">
        <f t="shared" si="82"/>
        <v>2024</v>
      </c>
      <c r="P2630">
        <f t="shared" si="83"/>
        <v>6</v>
      </c>
      <c r="Q2630" t="s">
        <v>325</v>
      </c>
      <c r="R2630" s="546" t="s">
        <v>804</v>
      </c>
    </row>
    <row r="2631" spans="1:18" x14ac:dyDescent="0.3">
      <c r="A2631" t="s">
        <v>627</v>
      </c>
      <c r="B2631" s="16">
        <v>45457</v>
      </c>
      <c r="C2631" t="s">
        <v>2</v>
      </c>
      <c r="D2631" t="s">
        <v>52</v>
      </c>
      <c r="E2631">
        <v>3253</v>
      </c>
      <c r="F2631">
        <v>2582</v>
      </c>
      <c r="G2631">
        <v>20</v>
      </c>
      <c r="H2631">
        <v>4</v>
      </c>
      <c r="I2631">
        <v>18882.5</v>
      </c>
      <c r="J2631">
        <v>5</v>
      </c>
      <c r="K2631">
        <v>16645.5</v>
      </c>
      <c r="L2631">
        <v>5</v>
      </c>
      <c r="M2631">
        <v>3253</v>
      </c>
      <c r="N2631">
        <v>637</v>
      </c>
      <c r="O2631">
        <f t="shared" si="82"/>
        <v>2024</v>
      </c>
      <c r="P2631">
        <f t="shared" si="83"/>
        <v>6</v>
      </c>
      <c r="Q2631" t="s">
        <v>325</v>
      </c>
      <c r="R2631" s="546" t="s">
        <v>804</v>
      </c>
    </row>
    <row r="2632" spans="1:18" x14ac:dyDescent="0.3">
      <c r="A2632" t="s">
        <v>627</v>
      </c>
      <c r="B2632" s="16">
        <v>45457</v>
      </c>
      <c r="C2632" t="s">
        <v>2</v>
      </c>
      <c r="D2632" t="s">
        <v>55</v>
      </c>
      <c r="E2632">
        <v>15630</v>
      </c>
      <c r="F2632">
        <v>11806</v>
      </c>
      <c r="G2632">
        <v>5</v>
      </c>
      <c r="H2632">
        <v>2</v>
      </c>
      <c r="I2632">
        <v>0</v>
      </c>
      <c r="J2632">
        <v>0</v>
      </c>
      <c r="K2632">
        <v>0</v>
      </c>
      <c r="L2632">
        <v>0</v>
      </c>
      <c r="M2632">
        <v>16</v>
      </c>
      <c r="N2632">
        <v>1578</v>
      </c>
      <c r="O2632">
        <f t="shared" si="82"/>
        <v>2024</v>
      </c>
      <c r="P2632">
        <f t="shared" si="83"/>
        <v>6</v>
      </c>
      <c r="Q2632" t="s">
        <v>325</v>
      </c>
      <c r="R2632" s="546" t="s">
        <v>804</v>
      </c>
    </row>
    <row r="2633" spans="1:18" x14ac:dyDescent="0.3">
      <c r="A2633" t="s">
        <v>627</v>
      </c>
      <c r="B2633" s="16">
        <v>45457</v>
      </c>
      <c r="C2633" t="s">
        <v>3</v>
      </c>
      <c r="D2633" t="s">
        <v>155</v>
      </c>
      <c r="E2633">
        <v>1</v>
      </c>
      <c r="F2633">
        <v>1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1</v>
      </c>
      <c r="O2633">
        <f t="shared" si="82"/>
        <v>2024</v>
      </c>
      <c r="P2633">
        <f t="shared" si="83"/>
        <v>6</v>
      </c>
      <c r="Q2633" t="s">
        <v>325</v>
      </c>
      <c r="R2633" s="546" t="s">
        <v>804</v>
      </c>
    </row>
    <row r="2634" spans="1:18" x14ac:dyDescent="0.3">
      <c r="A2634" t="s">
        <v>627</v>
      </c>
      <c r="B2634" s="16">
        <v>45457</v>
      </c>
      <c r="C2634" t="s">
        <v>3</v>
      </c>
      <c r="D2634" t="s">
        <v>154</v>
      </c>
      <c r="E2634">
        <v>2058</v>
      </c>
      <c r="F2634">
        <v>1895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9</v>
      </c>
      <c r="N2634">
        <v>10</v>
      </c>
      <c r="O2634">
        <f t="shared" si="82"/>
        <v>2024</v>
      </c>
      <c r="P2634">
        <f t="shared" si="83"/>
        <v>6</v>
      </c>
      <c r="Q2634" t="s">
        <v>325</v>
      </c>
      <c r="R2634" s="546" t="s">
        <v>804</v>
      </c>
    </row>
    <row r="2635" spans="1:18" x14ac:dyDescent="0.3">
      <c r="A2635" t="s">
        <v>627</v>
      </c>
      <c r="B2635" s="16">
        <v>45457</v>
      </c>
      <c r="C2635" t="s">
        <v>3</v>
      </c>
      <c r="D2635" t="s">
        <v>153</v>
      </c>
      <c r="E2635">
        <v>291</v>
      </c>
      <c r="F2635">
        <v>91</v>
      </c>
      <c r="G2635">
        <v>28</v>
      </c>
      <c r="H2635">
        <v>3</v>
      </c>
      <c r="I2635">
        <v>73893.09</v>
      </c>
      <c r="J2635">
        <v>22</v>
      </c>
      <c r="K2635">
        <v>62206.09</v>
      </c>
      <c r="L2635">
        <v>22</v>
      </c>
      <c r="M2635">
        <v>73</v>
      </c>
      <c r="N2635">
        <v>283</v>
      </c>
      <c r="O2635">
        <f t="shared" si="82"/>
        <v>2024</v>
      </c>
      <c r="P2635">
        <f t="shared" si="83"/>
        <v>6</v>
      </c>
      <c r="Q2635" t="s">
        <v>325</v>
      </c>
      <c r="R2635" s="546" t="s">
        <v>804</v>
      </c>
    </row>
    <row r="2636" spans="1:18" x14ac:dyDescent="0.3">
      <c r="A2636" t="s">
        <v>627</v>
      </c>
      <c r="B2636" s="16">
        <v>45457</v>
      </c>
      <c r="C2636" t="s">
        <v>3</v>
      </c>
      <c r="D2636" t="s">
        <v>152</v>
      </c>
      <c r="E2636">
        <v>10</v>
      </c>
      <c r="F2636">
        <v>1</v>
      </c>
      <c r="G2636">
        <v>0</v>
      </c>
      <c r="H2636">
        <v>0</v>
      </c>
      <c r="I2636">
        <v>3505</v>
      </c>
      <c r="J2636">
        <v>1</v>
      </c>
      <c r="K2636">
        <v>0</v>
      </c>
      <c r="L2636">
        <v>0</v>
      </c>
      <c r="M2636">
        <v>1</v>
      </c>
      <c r="N2636">
        <v>6</v>
      </c>
      <c r="O2636">
        <f t="shared" si="82"/>
        <v>2024</v>
      </c>
      <c r="P2636">
        <f t="shared" si="83"/>
        <v>6</v>
      </c>
      <c r="Q2636" t="s">
        <v>325</v>
      </c>
      <c r="R2636" s="546" t="s">
        <v>804</v>
      </c>
    </row>
    <row r="2637" spans="1:18" x14ac:dyDescent="0.3">
      <c r="A2637" t="s">
        <v>627</v>
      </c>
      <c r="B2637" s="16">
        <v>45457</v>
      </c>
      <c r="C2637" t="s">
        <v>3</v>
      </c>
      <c r="D2637" t="s">
        <v>150</v>
      </c>
      <c r="E2637">
        <v>7</v>
      </c>
      <c r="F2637">
        <v>4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7</v>
      </c>
      <c r="O2637">
        <f t="shared" si="82"/>
        <v>2024</v>
      </c>
      <c r="P2637">
        <f t="shared" si="83"/>
        <v>6</v>
      </c>
      <c r="Q2637" t="s">
        <v>325</v>
      </c>
      <c r="R2637" s="546" t="s">
        <v>804</v>
      </c>
    </row>
    <row r="2638" spans="1:18" x14ac:dyDescent="0.3">
      <c r="A2638" t="s">
        <v>627</v>
      </c>
      <c r="B2638" s="16">
        <v>45457</v>
      </c>
      <c r="C2638" t="s">
        <v>3</v>
      </c>
      <c r="D2638" t="s">
        <v>149</v>
      </c>
      <c r="E2638">
        <v>801</v>
      </c>
      <c r="F2638">
        <v>624</v>
      </c>
      <c r="G2638">
        <v>5</v>
      </c>
      <c r="H2638">
        <v>4</v>
      </c>
      <c r="I2638">
        <v>1887.23</v>
      </c>
      <c r="J2638">
        <v>1</v>
      </c>
      <c r="K2638">
        <v>1887.23</v>
      </c>
      <c r="L2638">
        <v>1</v>
      </c>
      <c r="M2638">
        <v>153</v>
      </c>
      <c r="N2638">
        <v>721</v>
      </c>
      <c r="O2638">
        <f t="shared" si="82"/>
        <v>2024</v>
      </c>
      <c r="P2638">
        <f t="shared" si="83"/>
        <v>6</v>
      </c>
      <c r="Q2638" t="s">
        <v>325</v>
      </c>
      <c r="R2638" s="546" t="s">
        <v>804</v>
      </c>
    </row>
    <row r="2639" spans="1:18" x14ac:dyDescent="0.3">
      <c r="A2639" t="s">
        <v>627</v>
      </c>
      <c r="B2639" s="16">
        <v>45457</v>
      </c>
      <c r="C2639" t="s">
        <v>3</v>
      </c>
      <c r="D2639" t="s">
        <v>148</v>
      </c>
      <c r="E2639">
        <v>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2</v>
      </c>
      <c r="O2639">
        <f t="shared" si="82"/>
        <v>2024</v>
      </c>
      <c r="P2639">
        <f t="shared" si="83"/>
        <v>6</v>
      </c>
      <c r="Q2639" t="s">
        <v>325</v>
      </c>
      <c r="R2639" s="546" t="s">
        <v>804</v>
      </c>
    </row>
    <row r="2640" spans="1:18" x14ac:dyDescent="0.3">
      <c r="A2640" t="s">
        <v>627</v>
      </c>
      <c r="B2640" s="16">
        <v>45457</v>
      </c>
      <c r="C2640" t="s">
        <v>3</v>
      </c>
      <c r="D2640" t="s">
        <v>147</v>
      </c>
      <c r="E2640">
        <v>15</v>
      </c>
      <c r="F2640">
        <v>9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15</v>
      </c>
      <c r="O2640">
        <f t="shared" si="82"/>
        <v>2024</v>
      </c>
      <c r="P2640">
        <f t="shared" si="83"/>
        <v>6</v>
      </c>
      <c r="Q2640" t="s">
        <v>325</v>
      </c>
      <c r="R2640" s="546" t="s">
        <v>804</v>
      </c>
    </row>
    <row r="2641" spans="1:18" x14ac:dyDescent="0.3">
      <c r="A2641" t="s">
        <v>627</v>
      </c>
      <c r="B2641" s="16">
        <v>45457</v>
      </c>
      <c r="C2641" t="s">
        <v>3</v>
      </c>
      <c r="D2641" t="s">
        <v>251</v>
      </c>
      <c r="E2641">
        <v>4303</v>
      </c>
      <c r="F2641">
        <v>3319</v>
      </c>
      <c r="G2641">
        <v>10</v>
      </c>
      <c r="H2641">
        <v>4</v>
      </c>
      <c r="I2641">
        <v>15349.65</v>
      </c>
      <c r="J2641">
        <v>5</v>
      </c>
      <c r="K2641">
        <v>13112.65</v>
      </c>
      <c r="L2641">
        <v>5</v>
      </c>
      <c r="M2641">
        <v>63</v>
      </c>
      <c r="N2641">
        <v>390</v>
      </c>
      <c r="O2641">
        <f t="shared" si="82"/>
        <v>2024</v>
      </c>
      <c r="P2641">
        <f t="shared" si="83"/>
        <v>6</v>
      </c>
      <c r="Q2641" t="s">
        <v>325</v>
      </c>
      <c r="R2641" s="546" t="s">
        <v>804</v>
      </c>
    </row>
    <row r="2642" spans="1:18" x14ac:dyDescent="0.3">
      <c r="A2642" t="s">
        <v>627</v>
      </c>
      <c r="B2642" s="16">
        <v>45457</v>
      </c>
      <c r="C2642" t="s">
        <v>3</v>
      </c>
      <c r="D2642" t="s">
        <v>143</v>
      </c>
      <c r="E2642">
        <v>12</v>
      </c>
      <c r="F2642">
        <v>11</v>
      </c>
      <c r="G2642">
        <v>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12</v>
      </c>
      <c r="O2642">
        <f t="shared" si="82"/>
        <v>2024</v>
      </c>
      <c r="P2642">
        <f t="shared" si="83"/>
        <v>6</v>
      </c>
      <c r="Q2642" t="s">
        <v>325</v>
      </c>
      <c r="R2642" s="546" t="s">
        <v>804</v>
      </c>
    </row>
    <row r="2643" spans="1:18" x14ac:dyDescent="0.3">
      <c r="A2643" t="s">
        <v>627</v>
      </c>
      <c r="B2643" s="16">
        <v>45457</v>
      </c>
      <c r="C2643" t="s">
        <v>3</v>
      </c>
      <c r="D2643" t="s">
        <v>141</v>
      </c>
      <c r="E2643">
        <v>2</v>
      </c>
      <c r="F2643">
        <v>1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2</v>
      </c>
      <c r="O2643">
        <f t="shared" si="82"/>
        <v>2024</v>
      </c>
      <c r="P2643">
        <f t="shared" si="83"/>
        <v>6</v>
      </c>
      <c r="Q2643" t="s">
        <v>325</v>
      </c>
      <c r="R2643" s="546" t="s">
        <v>804</v>
      </c>
    </row>
    <row r="2644" spans="1:18" x14ac:dyDescent="0.3">
      <c r="A2644" t="s">
        <v>627</v>
      </c>
      <c r="B2644" s="16">
        <v>45457</v>
      </c>
      <c r="C2644" t="s">
        <v>3</v>
      </c>
      <c r="D2644" t="s">
        <v>140</v>
      </c>
      <c r="E2644">
        <v>8</v>
      </c>
      <c r="F2644">
        <v>4</v>
      </c>
      <c r="G2644">
        <v>1</v>
      </c>
      <c r="H2644">
        <v>0</v>
      </c>
      <c r="I2644">
        <v>4437.1499999999996</v>
      </c>
      <c r="J2644">
        <v>1</v>
      </c>
      <c r="K2644">
        <v>2200.15</v>
      </c>
      <c r="L2644">
        <v>1</v>
      </c>
      <c r="M2644">
        <v>0</v>
      </c>
      <c r="N2644">
        <v>8</v>
      </c>
      <c r="O2644">
        <f t="shared" si="82"/>
        <v>2024</v>
      </c>
      <c r="P2644">
        <f t="shared" si="83"/>
        <v>6</v>
      </c>
      <c r="Q2644" t="s">
        <v>325</v>
      </c>
      <c r="R2644" s="546" t="s">
        <v>804</v>
      </c>
    </row>
    <row r="2645" spans="1:18" x14ac:dyDescent="0.3">
      <c r="A2645" t="s">
        <v>627</v>
      </c>
      <c r="B2645" s="16">
        <v>45457</v>
      </c>
      <c r="C2645" t="s">
        <v>3</v>
      </c>
      <c r="D2645" t="s">
        <v>139</v>
      </c>
      <c r="E2645">
        <v>593</v>
      </c>
      <c r="F2645">
        <v>401</v>
      </c>
      <c r="G2645">
        <v>19</v>
      </c>
      <c r="H2645">
        <v>8</v>
      </c>
      <c r="I2645">
        <v>102449.5</v>
      </c>
      <c r="J2645">
        <v>23</v>
      </c>
      <c r="K2645">
        <v>46784.5</v>
      </c>
      <c r="L2645">
        <v>15</v>
      </c>
      <c r="M2645">
        <v>261</v>
      </c>
      <c r="N2645">
        <v>435</v>
      </c>
      <c r="O2645">
        <f t="shared" si="82"/>
        <v>2024</v>
      </c>
      <c r="P2645">
        <f t="shared" si="83"/>
        <v>6</v>
      </c>
      <c r="Q2645" t="s">
        <v>325</v>
      </c>
      <c r="R2645" s="546" t="s">
        <v>804</v>
      </c>
    </row>
    <row r="2646" spans="1:18" x14ac:dyDescent="0.3">
      <c r="A2646" t="s">
        <v>627</v>
      </c>
      <c r="B2646" s="16">
        <v>45457</v>
      </c>
      <c r="C2646" t="s">
        <v>3</v>
      </c>
      <c r="D2646" t="s">
        <v>138</v>
      </c>
      <c r="E2646">
        <v>14</v>
      </c>
      <c r="F2646">
        <v>9</v>
      </c>
      <c r="G2646">
        <v>1</v>
      </c>
      <c r="H2646">
        <v>1</v>
      </c>
      <c r="I2646">
        <v>1303</v>
      </c>
      <c r="J2646">
        <v>1</v>
      </c>
      <c r="K2646">
        <v>0</v>
      </c>
      <c r="L2646">
        <v>0</v>
      </c>
      <c r="M2646">
        <v>1</v>
      </c>
      <c r="N2646">
        <v>14</v>
      </c>
      <c r="O2646">
        <f t="shared" si="82"/>
        <v>2024</v>
      </c>
      <c r="P2646">
        <f t="shared" si="83"/>
        <v>6</v>
      </c>
      <c r="Q2646" t="s">
        <v>325</v>
      </c>
      <c r="R2646" s="546" t="s">
        <v>804</v>
      </c>
    </row>
    <row r="2647" spans="1:18" x14ac:dyDescent="0.3">
      <c r="A2647" t="s">
        <v>627</v>
      </c>
      <c r="B2647" s="16">
        <v>45457</v>
      </c>
      <c r="C2647" t="s">
        <v>3</v>
      </c>
      <c r="D2647" t="s">
        <v>137</v>
      </c>
      <c r="E2647">
        <v>9</v>
      </c>
      <c r="F2647">
        <v>7</v>
      </c>
      <c r="G2647">
        <v>0</v>
      </c>
      <c r="H2647">
        <v>1</v>
      </c>
      <c r="I2647">
        <v>4437.1499999999996</v>
      </c>
      <c r="J2647">
        <v>1</v>
      </c>
      <c r="K2647">
        <v>2200.15</v>
      </c>
      <c r="L2647">
        <v>1</v>
      </c>
      <c r="M2647">
        <v>1</v>
      </c>
      <c r="N2647">
        <v>9</v>
      </c>
      <c r="O2647">
        <f t="shared" si="82"/>
        <v>2024</v>
      </c>
      <c r="P2647">
        <f t="shared" si="83"/>
        <v>6</v>
      </c>
      <c r="Q2647" t="s">
        <v>325</v>
      </c>
      <c r="R2647" s="546" t="s">
        <v>804</v>
      </c>
    </row>
    <row r="2648" spans="1:18" x14ac:dyDescent="0.3">
      <c r="A2648" t="s">
        <v>627</v>
      </c>
      <c r="B2648" s="16">
        <v>45457</v>
      </c>
      <c r="C2648" t="s">
        <v>3</v>
      </c>
      <c r="D2648" t="s">
        <v>135</v>
      </c>
      <c r="E2648">
        <v>2</v>
      </c>
      <c r="F2648">
        <v>1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f t="shared" si="82"/>
        <v>2024</v>
      </c>
      <c r="P2648">
        <f t="shared" si="83"/>
        <v>6</v>
      </c>
      <c r="Q2648" t="s">
        <v>325</v>
      </c>
      <c r="R2648" s="546" t="s">
        <v>804</v>
      </c>
    </row>
    <row r="2649" spans="1:18" x14ac:dyDescent="0.3">
      <c r="A2649" t="s">
        <v>627</v>
      </c>
      <c r="B2649" s="16">
        <v>45457</v>
      </c>
      <c r="C2649" t="s">
        <v>3</v>
      </c>
      <c r="D2649" t="s">
        <v>133</v>
      </c>
      <c r="E2649">
        <v>17</v>
      </c>
      <c r="F2649">
        <v>6</v>
      </c>
      <c r="G2649">
        <v>0</v>
      </c>
      <c r="H2649">
        <v>0</v>
      </c>
      <c r="I2649">
        <v>9905</v>
      </c>
      <c r="J2649">
        <v>2</v>
      </c>
      <c r="K2649">
        <v>4952.5</v>
      </c>
      <c r="L2649">
        <v>2</v>
      </c>
      <c r="M2649">
        <v>4</v>
      </c>
      <c r="N2649">
        <v>15</v>
      </c>
      <c r="O2649">
        <f t="shared" si="82"/>
        <v>2024</v>
      </c>
      <c r="P2649">
        <f t="shared" si="83"/>
        <v>6</v>
      </c>
      <c r="Q2649" t="s">
        <v>325</v>
      </c>
      <c r="R2649" s="546" t="s">
        <v>804</v>
      </c>
    </row>
    <row r="2650" spans="1:18" x14ac:dyDescent="0.3">
      <c r="A2650" t="s">
        <v>627</v>
      </c>
      <c r="B2650" s="16">
        <v>45457</v>
      </c>
      <c r="C2650" t="s">
        <v>3</v>
      </c>
      <c r="D2650" t="s">
        <v>132</v>
      </c>
      <c r="E2650">
        <v>3</v>
      </c>
      <c r="F2650">
        <v>3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1</v>
      </c>
      <c r="N2650">
        <v>3</v>
      </c>
      <c r="O2650">
        <f t="shared" si="82"/>
        <v>2024</v>
      </c>
      <c r="P2650">
        <f t="shared" si="83"/>
        <v>6</v>
      </c>
      <c r="Q2650" t="s">
        <v>325</v>
      </c>
      <c r="R2650" s="546" t="s">
        <v>804</v>
      </c>
    </row>
    <row r="2651" spans="1:18" x14ac:dyDescent="0.3">
      <c r="A2651" t="s">
        <v>627</v>
      </c>
      <c r="B2651" s="16">
        <v>45457</v>
      </c>
      <c r="C2651" t="s">
        <v>3</v>
      </c>
      <c r="D2651" t="s">
        <v>130</v>
      </c>
      <c r="E2651">
        <v>66</v>
      </c>
      <c r="F2651">
        <v>37</v>
      </c>
      <c r="G2651">
        <v>4</v>
      </c>
      <c r="H2651">
        <v>1</v>
      </c>
      <c r="I2651">
        <v>37701.5</v>
      </c>
      <c r="J2651">
        <v>13</v>
      </c>
      <c r="K2651">
        <v>33204</v>
      </c>
      <c r="L2651">
        <v>13</v>
      </c>
      <c r="M2651">
        <v>35</v>
      </c>
      <c r="N2651">
        <v>65</v>
      </c>
      <c r="O2651">
        <f t="shared" si="82"/>
        <v>2024</v>
      </c>
      <c r="P2651">
        <f t="shared" si="83"/>
        <v>6</v>
      </c>
      <c r="Q2651" t="s">
        <v>325</v>
      </c>
      <c r="R2651" s="546" t="s">
        <v>804</v>
      </c>
    </row>
    <row r="2652" spans="1:18" x14ac:dyDescent="0.3">
      <c r="A2652" t="s">
        <v>627</v>
      </c>
      <c r="B2652" s="16">
        <v>45457</v>
      </c>
      <c r="C2652" t="s">
        <v>3</v>
      </c>
      <c r="D2652" t="s">
        <v>129</v>
      </c>
      <c r="E2652">
        <v>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1</v>
      </c>
      <c r="O2652">
        <f t="shared" si="82"/>
        <v>2024</v>
      </c>
      <c r="P2652">
        <f t="shared" si="83"/>
        <v>6</v>
      </c>
      <c r="Q2652" t="s">
        <v>325</v>
      </c>
      <c r="R2652" s="546" t="s">
        <v>804</v>
      </c>
    </row>
    <row r="2653" spans="1:18" x14ac:dyDescent="0.3">
      <c r="A2653" t="s">
        <v>627</v>
      </c>
      <c r="B2653" s="16">
        <v>45457</v>
      </c>
      <c r="C2653" t="s">
        <v>3</v>
      </c>
      <c r="D2653" t="s">
        <v>128</v>
      </c>
      <c r="E2653">
        <v>803</v>
      </c>
      <c r="F2653">
        <v>657</v>
      </c>
      <c r="G2653">
        <v>42</v>
      </c>
      <c r="H2653">
        <v>12</v>
      </c>
      <c r="I2653">
        <v>25103.119999999999</v>
      </c>
      <c r="J2653">
        <v>11</v>
      </c>
      <c r="K2653">
        <v>22903.119999999999</v>
      </c>
      <c r="L2653">
        <v>11</v>
      </c>
      <c r="M2653">
        <v>245</v>
      </c>
      <c r="N2653">
        <v>717</v>
      </c>
      <c r="O2653">
        <f t="shared" si="82"/>
        <v>2024</v>
      </c>
      <c r="P2653">
        <f t="shared" si="83"/>
        <v>6</v>
      </c>
      <c r="Q2653" t="s">
        <v>325</v>
      </c>
      <c r="R2653" s="546" t="s">
        <v>804</v>
      </c>
    </row>
    <row r="2654" spans="1:18" x14ac:dyDescent="0.3">
      <c r="A2654" t="s">
        <v>627</v>
      </c>
      <c r="B2654" s="16">
        <v>45457</v>
      </c>
      <c r="C2654" t="s">
        <v>3</v>
      </c>
      <c r="D2654" t="s">
        <v>127</v>
      </c>
      <c r="E2654">
        <v>1848</v>
      </c>
      <c r="F2654">
        <v>1108</v>
      </c>
      <c r="G2654">
        <v>32</v>
      </c>
      <c r="H2654">
        <v>13</v>
      </c>
      <c r="I2654">
        <v>10342.5</v>
      </c>
      <c r="J2654">
        <v>2</v>
      </c>
      <c r="K2654">
        <v>5747.5</v>
      </c>
      <c r="L2654">
        <v>2</v>
      </c>
      <c r="M2654">
        <v>198</v>
      </c>
      <c r="N2654">
        <v>1649</v>
      </c>
      <c r="O2654">
        <f t="shared" si="82"/>
        <v>2024</v>
      </c>
      <c r="P2654">
        <f t="shared" si="83"/>
        <v>6</v>
      </c>
      <c r="Q2654" t="s">
        <v>325</v>
      </c>
      <c r="R2654" s="546" t="s">
        <v>804</v>
      </c>
    </row>
    <row r="2655" spans="1:18" x14ac:dyDescent="0.3">
      <c r="A2655" t="s">
        <v>627</v>
      </c>
      <c r="B2655" s="16">
        <v>45457</v>
      </c>
      <c r="C2655" t="s">
        <v>3</v>
      </c>
      <c r="D2655" t="s">
        <v>126</v>
      </c>
      <c r="E2655">
        <v>137</v>
      </c>
      <c r="F2655">
        <v>114</v>
      </c>
      <c r="G2655">
        <v>3</v>
      </c>
      <c r="H2655">
        <v>2</v>
      </c>
      <c r="I2655">
        <v>9895.6200000000008</v>
      </c>
      <c r="J2655">
        <v>3</v>
      </c>
      <c r="K2655">
        <v>9895.6200000000008</v>
      </c>
      <c r="L2655">
        <v>3</v>
      </c>
      <c r="M2655">
        <v>21</v>
      </c>
      <c r="N2655">
        <v>134</v>
      </c>
      <c r="O2655">
        <f t="shared" si="82"/>
        <v>2024</v>
      </c>
      <c r="P2655">
        <f t="shared" si="83"/>
        <v>6</v>
      </c>
      <c r="Q2655" t="s">
        <v>325</v>
      </c>
      <c r="R2655" s="546" t="s">
        <v>804</v>
      </c>
    </row>
    <row r="2656" spans="1:18" x14ac:dyDescent="0.3">
      <c r="A2656" t="s">
        <v>627</v>
      </c>
      <c r="B2656" s="16">
        <v>45457</v>
      </c>
      <c r="C2656" t="s">
        <v>3</v>
      </c>
      <c r="D2656" t="s">
        <v>125</v>
      </c>
      <c r="E2656">
        <v>3</v>
      </c>
      <c r="F2656">
        <v>3</v>
      </c>
      <c r="G2656">
        <v>1</v>
      </c>
      <c r="H2656">
        <v>1</v>
      </c>
      <c r="I2656">
        <v>0</v>
      </c>
      <c r="J2656">
        <v>0</v>
      </c>
      <c r="K2656">
        <v>0</v>
      </c>
      <c r="L2656">
        <v>0</v>
      </c>
      <c r="M2656">
        <v>1</v>
      </c>
      <c r="N2656">
        <v>3</v>
      </c>
      <c r="O2656">
        <f t="shared" si="82"/>
        <v>2024</v>
      </c>
      <c r="P2656">
        <f t="shared" si="83"/>
        <v>6</v>
      </c>
      <c r="Q2656" t="s">
        <v>325</v>
      </c>
      <c r="R2656" s="546" t="s">
        <v>804</v>
      </c>
    </row>
    <row r="2657" spans="1:18" x14ac:dyDescent="0.3">
      <c r="A2657" t="s">
        <v>627</v>
      </c>
      <c r="B2657" s="16">
        <v>45457</v>
      </c>
      <c r="C2657" t="s">
        <v>3</v>
      </c>
      <c r="D2657" t="s">
        <v>123</v>
      </c>
      <c r="E2657">
        <v>147</v>
      </c>
      <c r="F2657">
        <v>68</v>
      </c>
      <c r="G2657">
        <v>5</v>
      </c>
      <c r="H2657">
        <v>5</v>
      </c>
      <c r="I2657">
        <v>6892.5</v>
      </c>
      <c r="J2657">
        <v>1</v>
      </c>
      <c r="K2657">
        <v>2297.5</v>
      </c>
      <c r="L2657">
        <v>1</v>
      </c>
      <c r="M2657">
        <v>49</v>
      </c>
      <c r="N2657">
        <v>119</v>
      </c>
      <c r="O2657">
        <f t="shared" si="82"/>
        <v>2024</v>
      </c>
      <c r="P2657">
        <f t="shared" si="83"/>
        <v>6</v>
      </c>
      <c r="Q2657" t="s">
        <v>325</v>
      </c>
      <c r="R2657" s="546" t="s">
        <v>804</v>
      </c>
    </row>
    <row r="2658" spans="1:18" x14ac:dyDescent="0.3">
      <c r="A2658" t="s">
        <v>627</v>
      </c>
      <c r="B2658" s="16">
        <v>45457</v>
      </c>
      <c r="C2658" t="s">
        <v>3</v>
      </c>
      <c r="D2658" t="s">
        <v>121</v>
      </c>
      <c r="E2658">
        <v>2</v>
      </c>
      <c r="F2658">
        <v>1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2</v>
      </c>
      <c r="N2658">
        <v>0</v>
      </c>
      <c r="O2658">
        <f t="shared" si="82"/>
        <v>2024</v>
      </c>
      <c r="P2658">
        <f t="shared" si="83"/>
        <v>6</v>
      </c>
      <c r="Q2658" t="s">
        <v>325</v>
      </c>
      <c r="R2658" s="546" t="s">
        <v>804</v>
      </c>
    </row>
    <row r="2659" spans="1:18" x14ac:dyDescent="0.3">
      <c r="A2659" t="s">
        <v>627</v>
      </c>
      <c r="B2659" s="16">
        <v>45457</v>
      </c>
      <c r="C2659" t="s">
        <v>3</v>
      </c>
      <c r="D2659" t="s">
        <v>120</v>
      </c>
      <c r="E2659">
        <v>458</v>
      </c>
      <c r="F2659">
        <v>275</v>
      </c>
      <c r="G2659">
        <v>3</v>
      </c>
      <c r="H2659">
        <v>0</v>
      </c>
      <c r="I2659">
        <v>22010.5</v>
      </c>
      <c r="J2659">
        <v>9</v>
      </c>
      <c r="K2659">
        <v>21010.5</v>
      </c>
      <c r="L2659">
        <v>9</v>
      </c>
      <c r="M2659">
        <v>36</v>
      </c>
      <c r="N2659">
        <v>452</v>
      </c>
      <c r="O2659">
        <f t="shared" si="82"/>
        <v>2024</v>
      </c>
      <c r="P2659">
        <f t="shared" si="83"/>
        <v>6</v>
      </c>
      <c r="Q2659" t="s">
        <v>325</v>
      </c>
      <c r="R2659" s="546" t="s">
        <v>804</v>
      </c>
    </row>
    <row r="2660" spans="1:18" x14ac:dyDescent="0.3">
      <c r="A2660" t="s">
        <v>627</v>
      </c>
      <c r="B2660" s="16">
        <v>45457</v>
      </c>
      <c r="C2660" t="s">
        <v>3</v>
      </c>
      <c r="D2660" t="s">
        <v>119</v>
      </c>
      <c r="E2660">
        <v>279</v>
      </c>
      <c r="F2660">
        <v>94</v>
      </c>
      <c r="G2660">
        <v>11</v>
      </c>
      <c r="H2660">
        <v>4</v>
      </c>
      <c r="I2660">
        <v>40414.230000000003</v>
      </c>
      <c r="J2660">
        <v>14</v>
      </c>
      <c r="K2660">
        <v>28919.73</v>
      </c>
      <c r="L2660">
        <v>10</v>
      </c>
      <c r="M2660">
        <v>75</v>
      </c>
      <c r="N2660">
        <v>269</v>
      </c>
      <c r="O2660">
        <f t="shared" si="82"/>
        <v>2024</v>
      </c>
      <c r="P2660">
        <f t="shared" si="83"/>
        <v>6</v>
      </c>
      <c r="Q2660" t="s">
        <v>325</v>
      </c>
      <c r="R2660" s="546" t="s">
        <v>804</v>
      </c>
    </row>
    <row r="2661" spans="1:18" x14ac:dyDescent="0.3">
      <c r="A2661" t="s">
        <v>627</v>
      </c>
      <c r="B2661" s="16">
        <v>45457</v>
      </c>
      <c r="C2661" t="s">
        <v>3</v>
      </c>
      <c r="D2661" t="s">
        <v>116</v>
      </c>
      <c r="E2661">
        <v>2</v>
      </c>
      <c r="F2661">
        <v>1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2</v>
      </c>
      <c r="O2661">
        <f t="shared" si="82"/>
        <v>2024</v>
      </c>
      <c r="P2661">
        <f t="shared" si="83"/>
        <v>6</v>
      </c>
      <c r="Q2661" t="s">
        <v>325</v>
      </c>
      <c r="R2661" s="546" t="s">
        <v>804</v>
      </c>
    </row>
    <row r="2662" spans="1:18" x14ac:dyDescent="0.3">
      <c r="A2662" t="s">
        <v>627</v>
      </c>
      <c r="B2662" s="16">
        <v>45457</v>
      </c>
      <c r="C2662" t="s">
        <v>3</v>
      </c>
      <c r="D2662" t="s">
        <v>115</v>
      </c>
      <c r="E2662">
        <v>6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6</v>
      </c>
      <c r="O2662">
        <f t="shared" si="82"/>
        <v>2024</v>
      </c>
      <c r="P2662">
        <f t="shared" si="83"/>
        <v>6</v>
      </c>
      <c r="Q2662" t="s">
        <v>325</v>
      </c>
      <c r="R2662" s="546" t="s">
        <v>804</v>
      </c>
    </row>
    <row r="2663" spans="1:18" x14ac:dyDescent="0.3">
      <c r="A2663" t="s">
        <v>627</v>
      </c>
      <c r="B2663" s="16">
        <v>45457</v>
      </c>
      <c r="C2663" t="s">
        <v>3</v>
      </c>
      <c r="D2663" t="s">
        <v>114</v>
      </c>
      <c r="E2663">
        <v>83</v>
      </c>
      <c r="F2663">
        <v>42</v>
      </c>
      <c r="G2663">
        <v>5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9</v>
      </c>
      <c r="N2663">
        <v>78</v>
      </c>
      <c r="O2663">
        <f t="shared" si="82"/>
        <v>2024</v>
      </c>
      <c r="P2663">
        <f t="shared" si="83"/>
        <v>6</v>
      </c>
      <c r="Q2663" t="s">
        <v>325</v>
      </c>
      <c r="R2663" s="546" t="s">
        <v>804</v>
      </c>
    </row>
    <row r="2664" spans="1:18" x14ac:dyDescent="0.3">
      <c r="A2664" t="s">
        <v>627</v>
      </c>
      <c r="B2664" s="16">
        <v>45457</v>
      </c>
      <c r="C2664" t="s">
        <v>3</v>
      </c>
      <c r="D2664" t="s">
        <v>113</v>
      </c>
      <c r="E2664">
        <v>95</v>
      </c>
      <c r="F2664">
        <v>52</v>
      </c>
      <c r="G2664">
        <v>2</v>
      </c>
      <c r="H2664">
        <v>2</v>
      </c>
      <c r="I2664">
        <v>0</v>
      </c>
      <c r="J2664">
        <v>0</v>
      </c>
      <c r="K2664">
        <v>0</v>
      </c>
      <c r="L2664">
        <v>0</v>
      </c>
      <c r="M2664">
        <v>81</v>
      </c>
      <c r="N2664">
        <v>44</v>
      </c>
      <c r="O2664">
        <f t="shared" si="82"/>
        <v>2024</v>
      </c>
      <c r="P2664">
        <f t="shared" si="83"/>
        <v>6</v>
      </c>
      <c r="Q2664" t="s">
        <v>325</v>
      </c>
      <c r="R2664" s="546" t="s">
        <v>804</v>
      </c>
    </row>
    <row r="2665" spans="1:18" x14ac:dyDescent="0.3">
      <c r="A2665" t="s">
        <v>627</v>
      </c>
      <c r="B2665" s="16">
        <v>45457</v>
      </c>
      <c r="C2665" t="s">
        <v>3</v>
      </c>
      <c r="D2665" t="s">
        <v>112</v>
      </c>
      <c r="E2665">
        <v>46</v>
      </c>
      <c r="F2665">
        <v>9</v>
      </c>
      <c r="G2665">
        <v>0</v>
      </c>
      <c r="H2665">
        <v>0</v>
      </c>
      <c r="I2665">
        <v>3170</v>
      </c>
      <c r="J2665">
        <v>1</v>
      </c>
      <c r="K2665">
        <v>3170</v>
      </c>
      <c r="L2665">
        <v>1</v>
      </c>
      <c r="M2665">
        <v>0</v>
      </c>
      <c r="N2665">
        <v>46</v>
      </c>
      <c r="O2665">
        <f t="shared" si="82"/>
        <v>2024</v>
      </c>
      <c r="P2665">
        <f t="shared" si="83"/>
        <v>6</v>
      </c>
      <c r="Q2665" t="s">
        <v>325</v>
      </c>
      <c r="R2665" s="546" t="s">
        <v>804</v>
      </c>
    </row>
    <row r="2666" spans="1:18" x14ac:dyDescent="0.3">
      <c r="A2666" t="s">
        <v>627</v>
      </c>
      <c r="B2666" s="16">
        <v>45456</v>
      </c>
      <c r="C2666" t="s">
        <v>2</v>
      </c>
      <c r="D2666" t="s">
        <v>4</v>
      </c>
      <c r="E2666">
        <v>1704</v>
      </c>
      <c r="F2666">
        <v>327</v>
      </c>
      <c r="G2666">
        <v>1</v>
      </c>
      <c r="H2666">
        <v>1</v>
      </c>
      <c r="I2666">
        <v>350</v>
      </c>
      <c r="J2666">
        <v>1</v>
      </c>
      <c r="K2666">
        <v>350</v>
      </c>
      <c r="L2666">
        <v>1</v>
      </c>
      <c r="M2666">
        <v>16</v>
      </c>
      <c r="N2666">
        <v>1698</v>
      </c>
      <c r="O2666">
        <f t="shared" si="82"/>
        <v>2024</v>
      </c>
      <c r="P2666">
        <f t="shared" si="83"/>
        <v>6</v>
      </c>
      <c r="Q2666" t="s">
        <v>325</v>
      </c>
      <c r="R2666" s="546" t="s">
        <v>804</v>
      </c>
    </row>
    <row r="2667" spans="1:18" x14ac:dyDescent="0.3">
      <c r="A2667" t="s">
        <v>627</v>
      </c>
      <c r="B2667" s="16">
        <v>45456</v>
      </c>
      <c r="C2667" t="s">
        <v>2</v>
      </c>
      <c r="D2667" t="s">
        <v>57</v>
      </c>
      <c r="E2667">
        <v>18975</v>
      </c>
      <c r="F2667">
        <v>10446</v>
      </c>
      <c r="G2667">
        <v>102</v>
      </c>
      <c r="H2667">
        <v>92</v>
      </c>
      <c r="I2667">
        <v>113701</v>
      </c>
      <c r="J2667">
        <v>22</v>
      </c>
      <c r="K2667">
        <v>48011</v>
      </c>
      <c r="L2667">
        <v>17</v>
      </c>
      <c r="M2667">
        <v>702</v>
      </c>
      <c r="N2667">
        <v>18946</v>
      </c>
      <c r="O2667">
        <f t="shared" si="82"/>
        <v>2024</v>
      </c>
      <c r="P2667">
        <f t="shared" si="83"/>
        <v>6</v>
      </c>
      <c r="Q2667" t="s">
        <v>325</v>
      </c>
      <c r="R2667" s="546" t="s">
        <v>804</v>
      </c>
    </row>
    <row r="2668" spans="1:18" x14ac:dyDescent="0.3">
      <c r="A2668" t="s">
        <v>627</v>
      </c>
      <c r="B2668" s="16">
        <v>45456</v>
      </c>
      <c r="C2668" t="s">
        <v>2</v>
      </c>
      <c r="D2668" t="s">
        <v>52</v>
      </c>
      <c r="E2668">
        <v>3433</v>
      </c>
      <c r="F2668">
        <v>2801</v>
      </c>
      <c r="G2668">
        <v>19</v>
      </c>
      <c r="H2668">
        <v>6</v>
      </c>
      <c r="I2668">
        <v>7321</v>
      </c>
      <c r="J2668">
        <v>4</v>
      </c>
      <c r="K2668">
        <v>7321</v>
      </c>
      <c r="L2668">
        <v>4</v>
      </c>
      <c r="M2668">
        <v>3433</v>
      </c>
      <c r="N2668">
        <v>662</v>
      </c>
      <c r="O2668">
        <f t="shared" si="82"/>
        <v>2024</v>
      </c>
      <c r="P2668">
        <f t="shared" si="83"/>
        <v>6</v>
      </c>
      <c r="Q2668" t="s">
        <v>325</v>
      </c>
      <c r="R2668" s="546" t="s">
        <v>804</v>
      </c>
    </row>
    <row r="2669" spans="1:18" x14ac:dyDescent="0.3">
      <c r="A2669" t="s">
        <v>627</v>
      </c>
      <c r="B2669" s="16">
        <v>45456</v>
      </c>
      <c r="C2669" t="s">
        <v>2</v>
      </c>
      <c r="D2669" t="s">
        <v>55</v>
      </c>
      <c r="E2669">
        <v>10095</v>
      </c>
      <c r="F2669">
        <v>7720</v>
      </c>
      <c r="G2669">
        <v>1</v>
      </c>
      <c r="H2669">
        <v>4</v>
      </c>
      <c r="I2669">
        <v>0</v>
      </c>
      <c r="J2669">
        <v>0</v>
      </c>
      <c r="K2669">
        <v>0</v>
      </c>
      <c r="L2669">
        <v>0</v>
      </c>
      <c r="M2669">
        <v>8</v>
      </c>
      <c r="N2669">
        <v>333</v>
      </c>
      <c r="O2669">
        <f t="shared" si="82"/>
        <v>2024</v>
      </c>
      <c r="P2669">
        <f t="shared" si="83"/>
        <v>6</v>
      </c>
      <c r="Q2669" t="s">
        <v>325</v>
      </c>
      <c r="R2669" s="546" t="s">
        <v>804</v>
      </c>
    </row>
    <row r="2670" spans="1:18" x14ac:dyDescent="0.3">
      <c r="A2670" t="s">
        <v>627</v>
      </c>
      <c r="B2670" s="16">
        <v>45456</v>
      </c>
      <c r="C2670" t="s">
        <v>3</v>
      </c>
      <c r="D2670" t="s">
        <v>155</v>
      </c>
      <c r="E2670">
        <v>2</v>
      </c>
      <c r="F2670">
        <v>2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2</v>
      </c>
      <c r="O2670">
        <f t="shared" si="82"/>
        <v>2024</v>
      </c>
      <c r="P2670">
        <f t="shared" si="83"/>
        <v>6</v>
      </c>
      <c r="Q2670" t="s">
        <v>325</v>
      </c>
      <c r="R2670" s="546" t="s">
        <v>804</v>
      </c>
    </row>
    <row r="2671" spans="1:18" x14ac:dyDescent="0.3">
      <c r="A2671" t="s">
        <v>627</v>
      </c>
      <c r="B2671" s="16">
        <v>45456</v>
      </c>
      <c r="C2671" t="s">
        <v>3</v>
      </c>
      <c r="D2671" t="s">
        <v>154</v>
      </c>
      <c r="E2671">
        <v>18</v>
      </c>
      <c r="F2671">
        <v>12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10</v>
      </c>
      <c r="N2671">
        <v>9</v>
      </c>
      <c r="O2671">
        <f t="shared" ref="O2671:O2734" si="84">YEAR(B2671)</f>
        <v>2024</v>
      </c>
      <c r="P2671">
        <f t="shared" ref="P2671:P2734" si="85">MONTH(B2671)</f>
        <v>6</v>
      </c>
      <c r="Q2671" t="s">
        <v>325</v>
      </c>
      <c r="R2671" s="546" t="s">
        <v>804</v>
      </c>
    </row>
    <row r="2672" spans="1:18" x14ac:dyDescent="0.3">
      <c r="A2672" t="s">
        <v>627</v>
      </c>
      <c r="B2672" s="16">
        <v>45456</v>
      </c>
      <c r="C2672" t="s">
        <v>3</v>
      </c>
      <c r="D2672" t="s">
        <v>153</v>
      </c>
      <c r="E2672">
        <v>318</v>
      </c>
      <c r="F2672">
        <v>89</v>
      </c>
      <c r="G2672">
        <v>23</v>
      </c>
      <c r="H2672">
        <v>0</v>
      </c>
      <c r="I2672">
        <v>105467.51</v>
      </c>
      <c r="J2672">
        <v>32</v>
      </c>
      <c r="K2672">
        <v>99092.51</v>
      </c>
      <c r="L2672">
        <v>30</v>
      </c>
      <c r="M2672">
        <v>89</v>
      </c>
      <c r="N2672">
        <v>301</v>
      </c>
      <c r="O2672">
        <f t="shared" si="84"/>
        <v>2024</v>
      </c>
      <c r="P2672">
        <f t="shared" si="85"/>
        <v>6</v>
      </c>
      <c r="Q2672" t="s">
        <v>325</v>
      </c>
      <c r="R2672" s="546" t="s">
        <v>804</v>
      </c>
    </row>
    <row r="2673" spans="1:18" x14ac:dyDescent="0.3">
      <c r="A2673" t="s">
        <v>627</v>
      </c>
      <c r="B2673" s="16">
        <v>45456</v>
      </c>
      <c r="C2673" t="s">
        <v>3</v>
      </c>
      <c r="D2673" t="s">
        <v>152</v>
      </c>
      <c r="E2673">
        <v>8</v>
      </c>
      <c r="F2673">
        <v>2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8</v>
      </c>
      <c r="O2673">
        <f t="shared" si="84"/>
        <v>2024</v>
      </c>
      <c r="P2673">
        <f t="shared" si="85"/>
        <v>6</v>
      </c>
      <c r="Q2673" t="s">
        <v>325</v>
      </c>
      <c r="R2673" s="546" t="s">
        <v>804</v>
      </c>
    </row>
    <row r="2674" spans="1:18" x14ac:dyDescent="0.3">
      <c r="A2674" t="s">
        <v>627</v>
      </c>
      <c r="B2674" s="16">
        <v>45456</v>
      </c>
      <c r="C2674" t="s">
        <v>3</v>
      </c>
      <c r="D2674" t="s">
        <v>150</v>
      </c>
      <c r="E2674">
        <v>1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1</v>
      </c>
      <c r="O2674">
        <f t="shared" si="84"/>
        <v>2024</v>
      </c>
      <c r="P2674">
        <f t="shared" si="85"/>
        <v>6</v>
      </c>
      <c r="Q2674" t="s">
        <v>325</v>
      </c>
      <c r="R2674" s="546" t="s">
        <v>804</v>
      </c>
    </row>
    <row r="2675" spans="1:18" x14ac:dyDescent="0.3">
      <c r="A2675" t="s">
        <v>627</v>
      </c>
      <c r="B2675" s="16">
        <v>45456</v>
      </c>
      <c r="C2675" t="s">
        <v>3</v>
      </c>
      <c r="D2675" t="s">
        <v>149</v>
      </c>
      <c r="E2675">
        <v>810</v>
      </c>
      <c r="F2675">
        <v>639</v>
      </c>
      <c r="G2675">
        <v>6</v>
      </c>
      <c r="H2675">
        <v>7</v>
      </c>
      <c r="I2675">
        <v>0</v>
      </c>
      <c r="J2675">
        <v>0</v>
      </c>
      <c r="K2675">
        <v>0</v>
      </c>
      <c r="L2675">
        <v>0</v>
      </c>
      <c r="M2675">
        <v>194</v>
      </c>
      <c r="N2675">
        <v>746</v>
      </c>
      <c r="O2675">
        <f t="shared" si="84"/>
        <v>2024</v>
      </c>
      <c r="P2675">
        <f t="shared" si="85"/>
        <v>6</v>
      </c>
      <c r="Q2675" t="s">
        <v>325</v>
      </c>
      <c r="R2675" s="546" t="s">
        <v>804</v>
      </c>
    </row>
    <row r="2676" spans="1:18" x14ac:dyDescent="0.3">
      <c r="A2676" t="s">
        <v>627</v>
      </c>
      <c r="B2676" s="16">
        <v>45456</v>
      </c>
      <c r="C2676" t="s">
        <v>3</v>
      </c>
      <c r="D2676" t="s">
        <v>148</v>
      </c>
      <c r="E2676">
        <v>2</v>
      </c>
      <c r="F2676">
        <v>1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2</v>
      </c>
      <c r="O2676">
        <f t="shared" si="84"/>
        <v>2024</v>
      </c>
      <c r="P2676">
        <f t="shared" si="85"/>
        <v>6</v>
      </c>
      <c r="Q2676" t="s">
        <v>325</v>
      </c>
      <c r="R2676" s="546" t="s">
        <v>804</v>
      </c>
    </row>
    <row r="2677" spans="1:18" x14ac:dyDescent="0.3">
      <c r="A2677" t="s">
        <v>627</v>
      </c>
      <c r="B2677" s="16">
        <v>45456</v>
      </c>
      <c r="C2677" t="s">
        <v>3</v>
      </c>
      <c r="D2677" t="s">
        <v>147</v>
      </c>
      <c r="E2677">
        <v>12</v>
      </c>
      <c r="F2677">
        <v>7</v>
      </c>
      <c r="G2677">
        <v>2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12</v>
      </c>
      <c r="O2677">
        <f t="shared" si="84"/>
        <v>2024</v>
      </c>
      <c r="P2677">
        <f t="shared" si="85"/>
        <v>6</v>
      </c>
      <c r="Q2677" t="s">
        <v>325</v>
      </c>
      <c r="R2677" s="546" t="s">
        <v>804</v>
      </c>
    </row>
    <row r="2678" spans="1:18" x14ac:dyDescent="0.3">
      <c r="A2678" t="s">
        <v>627</v>
      </c>
      <c r="B2678" s="16">
        <v>45456</v>
      </c>
      <c r="C2678" t="s">
        <v>3</v>
      </c>
      <c r="D2678" t="s">
        <v>251</v>
      </c>
      <c r="E2678">
        <v>460</v>
      </c>
      <c r="F2678">
        <v>211</v>
      </c>
      <c r="G2678">
        <v>6</v>
      </c>
      <c r="H2678">
        <v>3</v>
      </c>
      <c r="I2678">
        <v>4526</v>
      </c>
      <c r="J2678">
        <v>3</v>
      </c>
      <c r="K2678">
        <v>4526</v>
      </c>
      <c r="L2678">
        <v>3</v>
      </c>
      <c r="M2678">
        <v>78</v>
      </c>
      <c r="N2678">
        <v>415</v>
      </c>
      <c r="O2678">
        <f t="shared" si="84"/>
        <v>2024</v>
      </c>
      <c r="P2678">
        <f t="shared" si="85"/>
        <v>6</v>
      </c>
      <c r="Q2678" t="s">
        <v>325</v>
      </c>
      <c r="R2678" s="546" t="s">
        <v>804</v>
      </c>
    </row>
    <row r="2679" spans="1:18" x14ac:dyDescent="0.3">
      <c r="A2679" t="s">
        <v>627</v>
      </c>
      <c r="B2679" s="16">
        <v>45456</v>
      </c>
      <c r="C2679" t="s">
        <v>3</v>
      </c>
      <c r="D2679" t="s">
        <v>143</v>
      </c>
      <c r="E2679">
        <v>7</v>
      </c>
      <c r="F2679">
        <v>7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7</v>
      </c>
      <c r="O2679">
        <f t="shared" si="84"/>
        <v>2024</v>
      </c>
      <c r="P2679">
        <f t="shared" si="85"/>
        <v>6</v>
      </c>
      <c r="Q2679" t="s">
        <v>325</v>
      </c>
      <c r="R2679" s="546" t="s">
        <v>804</v>
      </c>
    </row>
    <row r="2680" spans="1:18" x14ac:dyDescent="0.3">
      <c r="A2680" t="s">
        <v>627</v>
      </c>
      <c r="B2680" s="16">
        <v>45456</v>
      </c>
      <c r="C2680" t="s">
        <v>3</v>
      </c>
      <c r="D2680" t="s">
        <v>141</v>
      </c>
      <c r="E2680">
        <v>1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1</v>
      </c>
      <c r="N2680">
        <v>0</v>
      </c>
      <c r="O2680">
        <f t="shared" si="84"/>
        <v>2024</v>
      </c>
      <c r="P2680">
        <f t="shared" si="85"/>
        <v>6</v>
      </c>
      <c r="Q2680" t="s">
        <v>325</v>
      </c>
      <c r="R2680" s="546" t="s">
        <v>804</v>
      </c>
    </row>
    <row r="2681" spans="1:18" x14ac:dyDescent="0.3">
      <c r="A2681" t="s">
        <v>627</v>
      </c>
      <c r="B2681" s="16">
        <v>45456</v>
      </c>
      <c r="C2681" t="s">
        <v>3</v>
      </c>
      <c r="D2681" t="s">
        <v>140</v>
      </c>
      <c r="E2681">
        <v>3</v>
      </c>
      <c r="F2681">
        <v>3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3</v>
      </c>
      <c r="O2681">
        <f t="shared" si="84"/>
        <v>2024</v>
      </c>
      <c r="P2681">
        <f t="shared" si="85"/>
        <v>6</v>
      </c>
      <c r="Q2681" t="s">
        <v>325</v>
      </c>
      <c r="R2681" s="546" t="s">
        <v>804</v>
      </c>
    </row>
    <row r="2682" spans="1:18" x14ac:dyDescent="0.3">
      <c r="A2682" t="s">
        <v>627</v>
      </c>
      <c r="B2682" s="16">
        <v>45456</v>
      </c>
      <c r="C2682" t="s">
        <v>3</v>
      </c>
      <c r="D2682" t="s">
        <v>139</v>
      </c>
      <c r="E2682">
        <v>518</v>
      </c>
      <c r="F2682">
        <v>325</v>
      </c>
      <c r="G2682">
        <v>22</v>
      </c>
      <c r="H2682">
        <v>7</v>
      </c>
      <c r="I2682">
        <v>30290</v>
      </c>
      <c r="J2682">
        <v>9</v>
      </c>
      <c r="K2682">
        <v>20115</v>
      </c>
      <c r="L2682">
        <v>7</v>
      </c>
      <c r="M2682">
        <v>250</v>
      </c>
      <c r="N2682">
        <v>370</v>
      </c>
      <c r="O2682">
        <f t="shared" si="84"/>
        <v>2024</v>
      </c>
      <c r="P2682">
        <f t="shared" si="85"/>
        <v>6</v>
      </c>
      <c r="Q2682" t="s">
        <v>325</v>
      </c>
      <c r="R2682" s="546" t="s">
        <v>804</v>
      </c>
    </row>
    <row r="2683" spans="1:18" x14ac:dyDescent="0.3">
      <c r="A2683" t="s">
        <v>627</v>
      </c>
      <c r="B2683" s="16">
        <v>45456</v>
      </c>
      <c r="C2683" t="s">
        <v>3</v>
      </c>
      <c r="D2683" t="s">
        <v>138</v>
      </c>
      <c r="E2683">
        <v>23</v>
      </c>
      <c r="F2683">
        <v>16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1</v>
      </c>
      <c r="N2683">
        <v>22</v>
      </c>
      <c r="O2683">
        <f t="shared" si="84"/>
        <v>2024</v>
      </c>
      <c r="P2683">
        <f t="shared" si="85"/>
        <v>6</v>
      </c>
      <c r="Q2683" t="s">
        <v>325</v>
      </c>
      <c r="R2683" s="546" t="s">
        <v>804</v>
      </c>
    </row>
    <row r="2684" spans="1:18" x14ac:dyDescent="0.3">
      <c r="A2684" t="s">
        <v>627</v>
      </c>
      <c r="B2684" s="16">
        <v>45456</v>
      </c>
      <c r="C2684" t="s">
        <v>3</v>
      </c>
      <c r="D2684" t="s">
        <v>137</v>
      </c>
      <c r="E2684">
        <v>2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2</v>
      </c>
      <c r="O2684">
        <f t="shared" si="84"/>
        <v>2024</v>
      </c>
      <c r="P2684">
        <f t="shared" si="85"/>
        <v>6</v>
      </c>
      <c r="Q2684" t="s">
        <v>325</v>
      </c>
      <c r="R2684" s="546" t="s">
        <v>804</v>
      </c>
    </row>
    <row r="2685" spans="1:18" x14ac:dyDescent="0.3">
      <c r="A2685" t="s">
        <v>627</v>
      </c>
      <c r="B2685" s="16">
        <v>45456</v>
      </c>
      <c r="C2685" t="s">
        <v>3</v>
      </c>
      <c r="D2685" t="s">
        <v>133</v>
      </c>
      <c r="E2685">
        <v>21</v>
      </c>
      <c r="F2685">
        <v>11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6</v>
      </c>
      <c r="N2685">
        <v>18</v>
      </c>
      <c r="O2685">
        <f t="shared" si="84"/>
        <v>2024</v>
      </c>
      <c r="P2685">
        <f t="shared" si="85"/>
        <v>6</v>
      </c>
      <c r="Q2685" t="s">
        <v>325</v>
      </c>
      <c r="R2685" s="546" t="s">
        <v>804</v>
      </c>
    </row>
    <row r="2686" spans="1:18" x14ac:dyDescent="0.3">
      <c r="A2686" t="s">
        <v>627</v>
      </c>
      <c r="B2686" s="16">
        <v>45456</v>
      </c>
      <c r="C2686" t="s">
        <v>3</v>
      </c>
      <c r="D2686" t="s">
        <v>130</v>
      </c>
      <c r="E2686">
        <v>121</v>
      </c>
      <c r="F2686">
        <v>72</v>
      </c>
      <c r="G2686">
        <v>7</v>
      </c>
      <c r="H2686">
        <v>0</v>
      </c>
      <c r="I2686">
        <v>26439</v>
      </c>
      <c r="J2686">
        <v>9</v>
      </c>
      <c r="K2686">
        <v>26439</v>
      </c>
      <c r="L2686">
        <v>9</v>
      </c>
      <c r="M2686">
        <v>49</v>
      </c>
      <c r="N2686">
        <v>106</v>
      </c>
      <c r="O2686">
        <f t="shared" si="84"/>
        <v>2024</v>
      </c>
      <c r="P2686">
        <f t="shared" si="85"/>
        <v>6</v>
      </c>
      <c r="Q2686" t="s">
        <v>325</v>
      </c>
      <c r="R2686" s="546" t="s">
        <v>804</v>
      </c>
    </row>
    <row r="2687" spans="1:18" x14ac:dyDescent="0.3">
      <c r="A2687" t="s">
        <v>627</v>
      </c>
      <c r="B2687" s="16">
        <v>45456</v>
      </c>
      <c r="C2687" t="s">
        <v>3</v>
      </c>
      <c r="D2687" t="s">
        <v>129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1</v>
      </c>
      <c r="O2687">
        <f t="shared" si="84"/>
        <v>2024</v>
      </c>
      <c r="P2687">
        <f t="shared" si="85"/>
        <v>6</v>
      </c>
      <c r="Q2687" t="s">
        <v>325</v>
      </c>
      <c r="R2687" s="546" t="s">
        <v>804</v>
      </c>
    </row>
    <row r="2688" spans="1:18" x14ac:dyDescent="0.3">
      <c r="A2688" t="s">
        <v>627</v>
      </c>
      <c r="B2688" s="16">
        <v>45456</v>
      </c>
      <c r="C2688" t="s">
        <v>3</v>
      </c>
      <c r="D2688" t="s">
        <v>128</v>
      </c>
      <c r="E2688">
        <v>902</v>
      </c>
      <c r="F2688">
        <v>711</v>
      </c>
      <c r="G2688">
        <v>35</v>
      </c>
      <c r="H2688">
        <v>15</v>
      </c>
      <c r="I2688">
        <v>25695</v>
      </c>
      <c r="J2688">
        <v>9</v>
      </c>
      <c r="K2688">
        <v>12745</v>
      </c>
      <c r="L2688">
        <v>8</v>
      </c>
      <c r="M2688">
        <v>254</v>
      </c>
      <c r="N2688">
        <v>825</v>
      </c>
      <c r="O2688">
        <f t="shared" si="84"/>
        <v>2024</v>
      </c>
      <c r="P2688">
        <f t="shared" si="85"/>
        <v>6</v>
      </c>
      <c r="Q2688" t="s">
        <v>325</v>
      </c>
      <c r="R2688" s="546" t="s">
        <v>804</v>
      </c>
    </row>
    <row r="2689" spans="1:18" x14ac:dyDescent="0.3">
      <c r="A2689" t="s">
        <v>627</v>
      </c>
      <c r="B2689" s="16">
        <v>45456</v>
      </c>
      <c r="C2689" t="s">
        <v>3</v>
      </c>
      <c r="D2689" t="s">
        <v>127</v>
      </c>
      <c r="E2689">
        <v>1885</v>
      </c>
      <c r="F2689">
        <v>1072</v>
      </c>
      <c r="G2689">
        <v>37</v>
      </c>
      <c r="H2689">
        <v>16</v>
      </c>
      <c r="I2689">
        <v>13347.51</v>
      </c>
      <c r="J2689">
        <v>8</v>
      </c>
      <c r="K2689">
        <v>13347.51</v>
      </c>
      <c r="L2689">
        <v>8</v>
      </c>
      <c r="M2689">
        <v>202</v>
      </c>
      <c r="N2689">
        <v>1789</v>
      </c>
      <c r="O2689">
        <f t="shared" si="84"/>
        <v>2024</v>
      </c>
      <c r="P2689">
        <f t="shared" si="85"/>
        <v>6</v>
      </c>
      <c r="Q2689" t="s">
        <v>325</v>
      </c>
      <c r="R2689" s="546" t="s">
        <v>804</v>
      </c>
    </row>
    <row r="2690" spans="1:18" x14ac:dyDescent="0.3">
      <c r="A2690" t="s">
        <v>627</v>
      </c>
      <c r="B2690" s="16">
        <v>45456</v>
      </c>
      <c r="C2690" t="s">
        <v>3</v>
      </c>
      <c r="D2690" t="s">
        <v>126</v>
      </c>
      <c r="E2690">
        <v>126</v>
      </c>
      <c r="F2690">
        <v>94</v>
      </c>
      <c r="G2690">
        <v>3</v>
      </c>
      <c r="H2690">
        <v>4</v>
      </c>
      <c r="I2690">
        <v>0</v>
      </c>
      <c r="J2690">
        <v>0</v>
      </c>
      <c r="K2690">
        <v>0</v>
      </c>
      <c r="L2690">
        <v>0</v>
      </c>
      <c r="M2690">
        <v>16</v>
      </c>
      <c r="N2690">
        <v>121</v>
      </c>
      <c r="O2690">
        <f t="shared" si="84"/>
        <v>2024</v>
      </c>
      <c r="P2690">
        <f t="shared" si="85"/>
        <v>6</v>
      </c>
      <c r="Q2690" t="s">
        <v>325</v>
      </c>
      <c r="R2690" s="546" t="s">
        <v>804</v>
      </c>
    </row>
    <row r="2691" spans="1:18" x14ac:dyDescent="0.3">
      <c r="A2691" t="s">
        <v>627</v>
      </c>
      <c r="B2691" s="16">
        <v>45456</v>
      </c>
      <c r="C2691" t="s">
        <v>3</v>
      </c>
      <c r="D2691" t="s">
        <v>125</v>
      </c>
      <c r="E2691">
        <v>6</v>
      </c>
      <c r="F2691">
        <v>2</v>
      </c>
      <c r="G2691">
        <v>0</v>
      </c>
      <c r="H2691">
        <v>0</v>
      </c>
      <c r="I2691">
        <v>4695</v>
      </c>
      <c r="J2691">
        <v>1</v>
      </c>
      <c r="K2691">
        <v>4695</v>
      </c>
      <c r="L2691">
        <v>1</v>
      </c>
      <c r="M2691">
        <v>1</v>
      </c>
      <c r="N2691">
        <v>6</v>
      </c>
      <c r="O2691">
        <f t="shared" si="84"/>
        <v>2024</v>
      </c>
      <c r="P2691">
        <f t="shared" si="85"/>
        <v>6</v>
      </c>
      <c r="Q2691" t="s">
        <v>325</v>
      </c>
      <c r="R2691" s="546" t="s">
        <v>804</v>
      </c>
    </row>
    <row r="2692" spans="1:18" x14ac:dyDescent="0.3">
      <c r="A2692" t="s">
        <v>627</v>
      </c>
      <c r="B2692" s="16">
        <v>45456</v>
      </c>
      <c r="C2692" t="s">
        <v>3</v>
      </c>
      <c r="D2692" t="s">
        <v>123</v>
      </c>
      <c r="E2692">
        <v>157</v>
      </c>
      <c r="F2692">
        <v>68</v>
      </c>
      <c r="G2692">
        <v>3</v>
      </c>
      <c r="H2692">
        <v>3</v>
      </c>
      <c r="I2692">
        <v>5734</v>
      </c>
      <c r="J2692">
        <v>3</v>
      </c>
      <c r="K2692">
        <v>5734</v>
      </c>
      <c r="L2692">
        <v>3</v>
      </c>
      <c r="M2692">
        <v>62</v>
      </c>
      <c r="N2692">
        <v>131</v>
      </c>
      <c r="O2692">
        <f t="shared" si="84"/>
        <v>2024</v>
      </c>
      <c r="P2692">
        <f t="shared" si="85"/>
        <v>6</v>
      </c>
      <c r="Q2692" t="s">
        <v>325</v>
      </c>
      <c r="R2692" s="546" t="s">
        <v>804</v>
      </c>
    </row>
    <row r="2693" spans="1:18" x14ac:dyDescent="0.3">
      <c r="A2693" t="s">
        <v>627</v>
      </c>
      <c r="B2693" s="16">
        <v>45456</v>
      </c>
      <c r="C2693" t="s">
        <v>3</v>
      </c>
      <c r="D2693" t="s">
        <v>121</v>
      </c>
      <c r="E2693">
        <v>2</v>
      </c>
      <c r="F2693">
        <v>2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2</v>
      </c>
      <c r="N2693">
        <v>0</v>
      </c>
      <c r="O2693">
        <f t="shared" si="84"/>
        <v>2024</v>
      </c>
      <c r="P2693">
        <f t="shared" si="85"/>
        <v>6</v>
      </c>
      <c r="Q2693" t="s">
        <v>325</v>
      </c>
      <c r="R2693" s="546" t="s">
        <v>804</v>
      </c>
    </row>
    <row r="2694" spans="1:18" x14ac:dyDescent="0.3">
      <c r="A2694" t="s">
        <v>627</v>
      </c>
      <c r="B2694" s="16">
        <v>45456</v>
      </c>
      <c r="C2694" t="s">
        <v>3</v>
      </c>
      <c r="D2694" t="s">
        <v>120</v>
      </c>
      <c r="E2694">
        <v>423</v>
      </c>
      <c r="F2694">
        <v>231</v>
      </c>
      <c r="G2694">
        <v>4</v>
      </c>
      <c r="H2694">
        <v>0</v>
      </c>
      <c r="I2694">
        <v>8908</v>
      </c>
      <c r="J2694">
        <v>4</v>
      </c>
      <c r="K2694">
        <v>8908</v>
      </c>
      <c r="L2694">
        <v>4</v>
      </c>
      <c r="M2694">
        <v>47</v>
      </c>
      <c r="N2694">
        <v>415</v>
      </c>
      <c r="O2694">
        <f t="shared" si="84"/>
        <v>2024</v>
      </c>
      <c r="P2694">
        <f t="shared" si="85"/>
        <v>6</v>
      </c>
      <c r="Q2694" t="s">
        <v>325</v>
      </c>
      <c r="R2694" s="546" t="s">
        <v>804</v>
      </c>
    </row>
    <row r="2695" spans="1:18" x14ac:dyDescent="0.3">
      <c r="A2695" t="s">
        <v>627</v>
      </c>
      <c r="B2695" s="16">
        <v>45456</v>
      </c>
      <c r="C2695" t="s">
        <v>3</v>
      </c>
      <c r="D2695" t="s">
        <v>119</v>
      </c>
      <c r="E2695">
        <v>310</v>
      </c>
      <c r="F2695">
        <v>113</v>
      </c>
      <c r="G2695">
        <v>18</v>
      </c>
      <c r="H2695">
        <v>3</v>
      </c>
      <c r="I2695">
        <v>18277</v>
      </c>
      <c r="J2695">
        <v>10</v>
      </c>
      <c r="K2695">
        <v>18277</v>
      </c>
      <c r="L2695">
        <v>10</v>
      </c>
      <c r="M2695">
        <v>88</v>
      </c>
      <c r="N2695">
        <v>298</v>
      </c>
      <c r="O2695">
        <f t="shared" si="84"/>
        <v>2024</v>
      </c>
      <c r="P2695">
        <f t="shared" si="85"/>
        <v>6</v>
      </c>
      <c r="Q2695" t="s">
        <v>325</v>
      </c>
      <c r="R2695" s="546" t="s">
        <v>804</v>
      </c>
    </row>
    <row r="2696" spans="1:18" x14ac:dyDescent="0.3">
      <c r="A2696" t="s">
        <v>627</v>
      </c>
      <c r="B2696" s="16">
        <v>45456</v>
      </c>
      <c r="C2696" t="s">
        <v>3</v>
      </c>
      <c r="D2696" t="s">
        <v>117</v>
      </c>
      <c r="E2696">
        <v>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2</v>
      </c>
      <c r="O2696">
        <f t="shared" si="84"/>
        <v>2024</v>
      </c>
      <c r="P2696">
        <f t="shared" si="85"/>
        <v>6</v>
      </c>
      <c r="Q2696" t="s">
        <v>325</v>
      </c>
      <c r="R2696" s="546" t="s">
        <v>804</v>
      </c>
    </row>
    <row r="2697" spans="1:18" x14ac:dyDescent="0.3">
      <c r="A2697" t="s">
        <v>627</v>
      </c>
      <c r="B2697" s="16">
        <v>45456</v>
      </c>
      <c r="C2697" t="s">
        <v>3</v>
      </c>
      <c r="D2697" t="s">
        <v>116</v>
      </c>
      <c r="E2697">
        <v>4</v>
      </c>
      <c r="F2697">
        <v>4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4</v>
      </c>
      <c r="O2697">
        <f t="shared" si="84"/>
        <v>2024</v>
      </c>
      <c r="P2697">
        <f t="shared" si="85"/>
        <v>6</v>
      </c>
      <c r="Q2697" t="s">
        <v>325</v>
      </c>
      <c r="R2697" s="546" t="s">
        <v>804</v>
      </c>
    </row>
    <row r="2698" spans="1:18" x14ac:dyDescent="0.3">
      <c r="A2698" t="s">
        <v>627</v>
      </c>
      <c r="B2698" s="16">
        <v>45456</v>
      </c>
      <c r="C2698" t="s">
        <v>3</v>
      </c>
      <c r="D2698" t="s">
        <v>115</v>
      </c>
      <c r="E2698">
        <v>8</v>
      </c>
      <c r="F2698">
        <v>3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8</v>
      </c>
      <c r="O2698">
        <f t="shared" si="84"/>
        <v>2024</v>
      </c>
      <c r="P2698">
        <f t="shared" si="85"/>
        <v>6</v>
      </c>
      <c r="Q2698" t="s">
        <v>325</v>
      </c>
      <c r="R2698" s="546" t="s">
        <v>804</v>
      </c>
    </row>
    <row r="2699" spans="1:18" x14ac:dyDescent="0.3">
      <c r="A2699" t="s">
        <v>627</v>
      </c>
      <c r="B2699" s="16">
        <v>45456</v>
      </c>
      <c r="C2699" t="s">
        <v>3</v>
      </c>
      <c r="D2699" t="s">
        <v>114</v>
      </c>
      <c r="E2699">
        <v>79</v>
      </c>
      <c r="F2699">
        <v>45</v>
      </c>
      <c r="G2699">
        <v>2</v>
      </c>
      <c r="H2699">
        <v>3</v>
      </c>
      <c r="I2699">
        <v>0</v>
      </c>
      <c r="J2699">
        <v>0</v>
      </c>
      <c r="K2699">
        <v>0</v>
      </c>
      <c r="L2699">
        <v>0</v>
      </c>
      <c r="M2699">
        <v>16</v>
      </c>
      <c r="N2699">
        <v>73</v>
      </c>
      <c r="O2699">
        <f t="shared" si="84"/>
        <v>2024</v>
      </c>
      <c r="P2699">
        <f t="shared" si="85"/>
        <v>6</v>
      </c>
      <c r="Q2699" t="s">
        <v>325</v>
      </c>
      <c r="R2699" s="546" t="s">
        <v>804</v>
      </c>
    </row>
    <row r="2700" spans="1:18" x14ac:dyDescent="0.3">
      <c r="A2700" t="s">
        <v>627</v>
      </c>
      <c r="B2700" s="16">
        <v>45456</v>
      </c>
      <c r="C2700" t="s">
        <v>3</v>
      </c>
      <c r="D2700" t="s">
        <v>113</v>
      </c>
      <c r="E2700">
        <v>82</v>
      </c>
      <c r="F2700">
        <v>54</v>
      </c>
      <c r="G2700">
        <v>3</v>
      </c>
      <c r="H2700">
        <v>0</v>
      </c>
      <c r="I2700">
        <v>1917</v>
      </c>
      <c r="J2700">
        <v>1</v>
      </c>
      <c r="K2700">
        <v>1917</v>
      </c>
      <c r="L2700">
        <v>1</v>
      </c>
      <c r="M2700">
        <v>66</v>
      </c>
      <c r="N2700">
        <v>36</v>
      </c>
      <c r="O2700">
        <f t="shared" si="84"/>
        <v>2024</v>
      </c>
      <c r="P2700">
        <f t="shared" si="85"/>
        <v>6</v>
      </c>
      <c r="Q2700" t="s">
        <v>325</v>
      </c>
      <c r="R2700" s="546" t="s">
        <v>804</v>
      </c>
    </row>
    <row r="2701" spans="1:18" x14ac:dyDescent="0.3">
      <c r="A2701" t="s">
        <v>627</v>
      </c>
      <c r="B2701" s="16">
        <v>45456</v>
      </c>
      <c r="C2701" t="s">
        <v>3</v>
      </c>
      <c r="D2701" t="s">
        <v>112</v>
      </c>
      <c r="E2701">
        <v>28</v>
      </c>
      <c r="F2701">
        <v>5</v>
      </c>
      <c r="G2701">
        <v>0</v>
      </c>
      <c r="H2701">
        <v>0</v>
      </c>
      <c r="I2701">
        <v>11925</v>
      </c>
      <c r="J2701">
        <v>3</v>
      </c>
      <c r="K2701">
        <v>11925</v>
      </c>
      <c r="L2701">
        <v>3</v>
      </c>
      <c r="M2701">
        <v>0</v>
      </c>
      <c r="N2701">
        <v>28</v>
      </c>
      <c r="O2701">
        <f t="shared" si="84"/>
        <v>2024</v>
      </c>
      <c r="P2701">
        <f t="shared" si="85"/>
        <v>6</v>
      </c>
      <c r="Q2701" t="s">
        <v>325</v>
      </c>
      <c r="R2701" s="546" t="s">
        <v>804</v>
      </c>
    </row>
    <row r="2702" spans="1:18" x14ac:dyDescent="0.3">
      <c r="A2702" t="s">
        <v>627</v>
      </c>
      <c r="B2702" s="16">
        <v>45456</v>
      </c>
      <c r="C2702" t="s">
        <v>3</v>
      </c>
      <c r="D2702" t="s">
        <v>111</v>
      </c>
      <c r="E2702">
        <v>2</v>
      </c>
      <c r="F2702">
        <v>1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2</v>
      </c>
      <c r="O2702">
        <f t="shared" si="84"/>
        <v>2024</v>
      </c>
      <c r="P2702">
        <f t="shared" si="85"/>
        <v>6</v>
      </c>
      <c r="Q2702" t="s">
        <v>325</v>
      </c>
      <c r="R2702" s="546" t="s">
        <v>804</v>
      </c>
    </row>
    <row r="2703" spans="1:18" x14ac:dyDescent="0.3">
      <c r="A2703" t="s">
        <v>627</v>
      </c>
      <c r="B2703" s="16">
        <v>45455</v>
      </c>
      <c r="C2703" t="s">
        <v>2</v>
      </c>
      <c r="D2703" t="s">
        <v>4</v>
      </c>
      <c r="E2703">
        <v>2148</v>
      </c>
      <c r="F2703">
        <v>480</v>
      </c>
      <c r="G2703">
        <v>4</v>
      </c>
      <c r="H2703">
        <v>1</v>
      </c>
      <c r="I2703">
        <v>11627.57</v>
      </c>
      <c r="J2703">
        <v>3</v>
      </c>
      <c r="K2703">
        <v>11627.57</v>
      </c>
      <c r="L2703">
        <v>3</v>
      </c>
      <c r="M2703">
        <v>17</v>
      </c>
      <c r="N2703">
        <v>2142</v>
      </c>
      <c r="O2703">
        <f t="shared" si="84"/>
        <v>2024</v>
      </c>
      <c r="P2703">
        <f t="shared" si="85"/>
        <v>6</v>
      </c>
      <c r="Q2703" t="s">
        <v>325</v>
      </c>
      <c r="R2703" s="546" t="s">
        <v>804</v>
      </c>
    </row>
    <row r="2704" spans="1:18" x14ac:dyDescent="0.3">
      <c r="A2704" t="s">
        <v>627</v>
      </c>
      <c r="B2704" s="16">
        <v>45455</v>
      </c>
      <c r="C2704" t="s">
        <v>2</v>
      </c>
      <c r="D2704" t="s">
        <v>57</v>
      </c>
      <c r="E2704">
        <v>20198</v>
      </c>
      <c r="F2704">
        <v>11521</v>
      </c>
      <c r="G2704">
        <v>108</v>
      </c>
      <c r="H2704">
        <v>81</v>
      </c>
      <c r="I2704">
        <v>109407</v>
      </c>
      <c r="J2704">
        <v>28</v>
      </c>
      <c r="K2704">
        <v>74982</v>
      </c>
      <c r="L2704">
        <v>26</v>
      </c>
      <c r="M2704">
        <v>767</v>
      </c>
      <c r="N2704">
        <v>20158</v>
      </c>
      <c r="O2704">
        <f t="shared" si="84"/>
        <v>2024</v>
      </c>
      <c r="P2704">
        <f t="shared" si="85"/>
        <v>6</v>
      </c>
      <c r="Q2704" t="s">
        <v>325</v>
      </c>
      <c r="R2704" s="546" t="s">
        <v>804</v>
      </c>
    </row>
    <row r="2705" spans="1:18" x14ac:dyDescent="0.3">
      <c r="A2705" t="s">
        <v>627</v>
      </c>
      <c r="B2705" s="16">
        <v>45455</v>
      </c>
      <c r="C2705" t="s">
        <v>2</v>
      </c>
      <c r="D2705" t="s">
        <v>52</v>
      </c>
      <c r="E2705">
        <v>3560</v>
      </c>
      <c r="F2705">
        <v>2904</v>
      </c>
      <c r="G2705">
        <v>18</v>
      </c>
      <c r="H2705">
        <v>3</v>
      </c>
      <c r="I2705">
        <v>22174</v>
      </c>
      <c r="J2705">
        <v>6</v>
      </c>
      <c r="K2705">
        <v>22174</v>
      </c>
      <c r="L2705">
        <v>6</v>
      </c>
      <c r="M2705">
        <v>3559</v>
      </c>
      <c r="N2705">
        <v>754</v>
      </c>
      <c r="O2705">
        <f t="shared" si="84"/>
        <v>2024</v>
      </c>
      <c r="P2705">
        <f t="shared" si="85"/>
        <v>6</v>
      </c>
      <c r="Q2705" t="s">
        <v>325</v>
      </c>
      <c r="R2705" s="546" t="s">
        <v>804</v>
      </c>
    </row>
    <row r="2706" spans="1:18" x14ac:dyDescent="0.3">
      <c r="A2706" t="s">
        <v>627</v>
      </c>
      <c r="B2706" s="16">
        <v>45455</v>
      </c>
      <c r="C2706" t="s">
        <v>2</v>
      </c>
      <c r="D2706" t="s">
        <v>55</v>
      </c>
      <c r="E2706">
        <v>17163</v>
      </c>
      <c r="F2706">
        <v>12770</v>
      </c>
      <c r="G2706">
        <v>2</v>
      </c>
      <c r="H2706">
        <v>5</v>
      </c>
      <c r="I2706">
        <v>0</v>
      </c>
      <c r="J2706">
        <v>0</v>
      </c>
      <c r="K2706">
        <v>0</v>
      </c>
      <c r="L2706">
        <v>0</v>
      </c>
      <c r="M2706">
        <v>8</v>
      </c>
      <c r="N2706">
        <v>872</v>
      </c>
      <c r="O2706">
        <f t="shared" si="84"/>
        <v>2024</v>
      </c>
      <c r="P2706">
        <f t="shared" si="85"/>
        <v>6</v>
      </c>
      <c r="Q2706" t="s">
        <v>325</v>
      </c>
      <c r="R2706" s="546" t="s">
        <v>804</v>
      </c>
    </row>
    <row r="2707" spans="1:18" x14ac:dyDescent="0.3">
      <c r="A2707" t="s">
        <v>627</v>
      </c>
      <c r="B2707" s="16">
        <v>45455</v>
      </c>
      <c r="C2707" t="s">
        <v>3</v>
      </c>
      <c r="D2707" t="s">
        <v>155</v>
      </c>
      <c r="E2707">
        <v>3</v>
      </c>
      <c r="F2707">
        <v>2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3</v>
      </c>
      <c r="O2707">
        <f t="shared" si="84"/>
        <v>2024</v>
      </c>
      <c r="P2707">
        <f t="shared" si="85"/>
        <v>6</v>
      </c>
      <c r="Q2707" t="s">
        <v>325</v>
      </c>
      <c r="R2707" s="546" t="s">
        <v>804</v>
      </c>
    </row>
    <row r="2708" spans="1:18" x14ac:dyDescent="0.3">
      <c r="A2708" t="s">
        <v>627</v>
      </c>
      <c r="B2708" s="16">
        <v>45455</v>
      </c>
      <c r="C2708" t="s">
        <v>3</v>
      </c>
      <c r="D2708" t="s">
        <v>154</v>
      </c>
      <c r="E2708">
        <v>26</v>
      </c>
      <c r="F2708">
        <v>20</v>
      </c>
      <c r="G2708">
        <v>0</v>
      </c>
      <c r="H2708">
        <v>1</v>
      </c>
      <c r="I2708">
        <v>0</v>
      </c>
      <c r="J2708">
        <v>0</v>
      </c>
      <c r="K2708">
        <v>0</v>
      </c>
      <c r="L2708">
        <v>0</v>
      </c>
      <c r="M2708">
        <v>16</v>
      </c>
      <c r="N2708">
        <v>7</v>
      </c>
      <c r="O2708">
        <f t="shared" si="84"/>
        <v>2024</v>
      </c>
      <c r="P2708">
        <f t="shared" si="85"/>
        <v>6</v>
      </c>
      <c r="Q2708" t="s">
        <v>325</v>
      </c>
      <c r="R2708" s="546" t="s">
        <v>804</v>
      </c>
    </row>
    <row r="2709" spans="1:18" x14ac:dyDescent="0.3">
      <c r="A2709" t="s">
        <v>627</v>
      </c>
      <c r="B2709" s="16">
        <v>45455</v>
      </c>
      <c r="C2709" t="s">
        <v>3</v>
      </c>
      <c r="D2709" t="s">
        <v>153</v>
      </c>
      <c r="E2709">
        <v>313</v>
      </c>
      <c r="F2709">
        <v>90</v>
      </c>
      <c r="G2709">
        <v>22</v>
      </c>
      <c r="H2709">
        <v>3</v>
      </c>
      <c r="I2709">
        <v>105644.56</v>
      </c>
      <c r="J2709">
        <v>36</v>
      </c>
      <c r="K2709">
        <v>95983.56</v>
      </c>
      <c r="L2709">
        <v>36</v>
      </c>
      <c r="M2709">
        <v>88</v>
      </c>
      <c r="N2709">
        <v>299</v>
      </c>
      <c r="O2709">
        <f t="shared" si="84"/>
        <v>2024</v>
      </c>
      <c r="P2709">
        <f t="shared" si="85"/>
        <v>6</v>
      </c>
      <c r="Q2709" t="s">
        <v>325</v>
      </c>
      <c r="R2709" s="546" t="s">
        <v>804</v>
      </c>
    </row>
    <row r="2710" spans="1:18" x14ac:dyDescent="0.3">
      <c r="A2710" t="s">
        <v>627</v>
      </c>
      <c r="B2710" s="16">
        <v>45455</v>
      </c>
      <c r="C2710" t="s">
        <v>3</v>
      </c>
      <c r="D2710" t="s">
        <v>152</v>
      </c>
      <c r="E2710">
        <v>8</v>
      </c>
      <c r="F2710">
        <v>2</v>
      </c>
      <c r="G2710">
        <v>0</v>
      </c>
      <c r="H2710">
        <v>0</v>
      </c>
      <c r="I2710">
        <v>2235</v>
      </c>
      <c r="J2710">
        <v>1</v>
      </c>
      <c r="K2710">
        <v>2235</v>
      </c>
      <c r="L2710">
        <v>1</v>
      </c>
      <c r="M2710">
        <v>0</v>
      </c>
      <c r="N2710">
        <v>6</v>
      </c>
      <c r="O2710">
        <f t="shared" si="84"/>
        <v>2024</v>
      </c>
      <c r="P2710">
        <f t="shared" si="85"/>
        <v>6</v>
      </c>
      <c r="Q2710" t="s">
        <v>325</v>
      </c>
      <c r="R2710" s="546" t="s">
        <v>804</v>
      </c>
    </row>
    <row r="2711" spans="1:18" x14ac:dyDescent="0.3">
      <c r="A2711" t="s">
        <v>627</v>
      </c>
      <c r="B2711" s="16">
        <v>45455</v>
      </c>
      <c r="C2711" t="s">
        <v>3</v>
      </c>
      <c r="D2711" t="s">
        <v>150</v>
      </c>
      <c r="E2711">
        <v>3</v>
      </c>
      <c r="F2711">
        <v>1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3</v>
      </c>
      <c r="O2711">
        <f t="shared" si="84"/>
        <v>2024</v>
      </c>
      <c r="P2711">
        <f t="shared" si="85"/>
        <v>6</v>
      </c>
      <c r="Q2711" t="s">
        <v>325</v>
      </c>
      <c r="R2711" s="546" t="s">
        <v>804</v>
      </c>
    </row>
    <row r="2712" spans="1:18" x14ac:dyDescent="0.3">
      <c r="A2712" t="s">
        <v>627</v>
      </c>
      <c r="B2712" s="16">
        <v>45455</v>
      </c>
      <c r="C2712" t="s">
        <v>3</v>
      </c>
      <c r="D2712" t="s">
        <v>149</v>
      </c>
      <c r="E2712">
        <v>599</v>
      </c>
      <c r="F2712">
        <v>476</v>
      </c>
      <c r="G2712">
        <v>2</v>
      </c>
      <c r="H2712">
        <v>5</v>
      </c>
      <c r="I2712">
        <v>2235</v>
      </c>
      <c r="J2712">
        <v>1</v>
      </c>
      <c r="K2712">
        <v>2235</v>
      </c>
      <c r="L2712">
        <v>1</v>
      </c>
      <c r="M2712">
        <v>149</v>
      </c>
      <c r="N2712">
        <v>545</v>
      </c>
      <c r="O2712">
        <f t="shared" si="84"/>
        <v>2024</v>
      </c>
      <c r="P2712">
        <f t="shared" si="85"/>
        <v>6</v>
      </c>
      <c r="Q2712" t="s">
        <v>325</v>
      </c>
      <c r="R2712" s="546" t="s">
        <v>804</v>
      </c>
    </row>
    <row r="2713" spans="1:18" x14ac:dyDescent="0.3">
      <c r="A2713" t="s">
        <v>627</v>
      </c>
      <c r="B2713" s="16">
        <v>45455</v>
      </c>
      <c r="C2713" t="s">
        <v>3</v>
      </c>
      <c r="D2713" t="s">
        <v>148</v>
      </c>
      <c r="E2713">
        <v>5</v>
      </c>
      <c r="F2713">
        <v>5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4</v>
      </c>
      <c r="N2713">
        <v>1</v>
      </c>
      <c r="O2713">
        <f t="shared" si="84"/>
        <v>2024</v>
      </c>
      <c r="P2713">
        <f t="shared" si="85"/>
        <v>6</v>
      </c>
      <c r="Q2713" t="s">
        <v>325</v>
      </c>
      <c r="R2713" s="546" t="s">
        <v>804</v>
      </c>
    </row>
    <row r="2714" spans="1:18" x14ac:dyDescent="0.3">
      <c r="A2714" t="s">
        <v>627</v>
      </c>
      <c r="B2714" s="16">
        <v>45455</v>
      </c>
      <c r="C2714" t="s">
        <v>3</v>
      </c>
      <c r="D2714" t="s">
        <v>147</v>
      </c>
      <c r="E2714">
        <v>11</v>
      </c>
      <c r="F2714">
        <v>10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11</v>
      </c>
      <c r="O2714">
        <f t="shared" si="84"/>
        <v>2024</v>
      </c>
      <c r="P2714">
        <f t="shared" si="85"/>
        <v>6</v>
      </c>
      <c r="Q2714" t="s">
        <v>325</v>
      </c>
      <c r="R2714" s="546" t="s">
        <v>804</v>
      </c>
    </row>
    <row r="2715" spans="1:18" x14ac:dyDescent="0.3">
      <c r="A2715" t="s">
        <v>627</v>
      </c>
      <c r="B2715" s="16">
        <v>45455</v>
      </c>
      <c r="C2715" t="s">
        <v>3</v>
      </c>
      <c r="D2715" t="s">
        <v>251</v>
      </c>
      <c r="E2715">
        <v>470</v>
      </c>
      <c r="F2715">
        <v>207</v>
      </c>
      <c r="G2715">
        <v>6</v>
      </c>
      <c r="H2715">
        <v>2</v>
      </c>
      <c r="I2715">
        <v>14098.81</v>
      </c>
      <c r="J2715">
        <v>5</v>
      </c>
      <c r="K2715">
        <v>9108.81</v>
      </c>
      <c r="L2715">
        <v>5</v>
      </c>
      <c r="M2715">
        <v>72</v>
      </c>
      <c r="N2715">
        <v>424</v>
      </c>
      <c r="O2715">
        <f t="shared" si="84"/>
        <v>2024</v>
      </c>
      <c r="P2715">
        <f t="shared" si="85"/>
        <v>6</v>
      </c>
      <c r="Q2715" t="s">
        <v>325</v>
      </c>
      <c r="R2715" s="546" t="s">
        <v>804</v>
      </c>
    </row>
    <row r="2716" spans="1:18" x14ac:dyDescent="0.3">
      <c r="A2716" t="s">
        <v>627</v>
      </c>
      <c r="B2716" s="16">
        <v>45455</v>
      </c>
      <c r="C2716" t="s">
        <v>3</v>
      </c>
      <c r="D2716" t="s">
        <v>143</v>
      </c>
      <c r="E2716">
        <v>14</v>
      </c>
      <c r="F2716">
        <v>14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14</v>
      </c>
      <c r="O2716">
        <f t="shared" si="84"/>
        <v>2024</v>
      </c>
      <c r="P2716">
        <f t="shared" si="85"/>
        <v>6</v>
      </c>
      <c r="Q2716" t="s">
        <v>325</v>
      </c>
      <c r="R2716" s="546" t="s">
        <v>804</v>
      </c>
    </row>
    <row r="2717" spans="1:18" x14ac:dyDescent="0.3">
      <c r="A2717" t="s">
        <v>627</v>
      </c>
      <c r="B2717" s="16">
        <v>45455</v>
      </c>
      <c r="C2717" t="s">
        <v>3</v>
      </c>
      <c r="D2717" t="s">
        <v>141</v>
      </c>
      <c r="E2717">
        <v>4</v>
      </c>
      <c r="F2717">
        <v>3</v>
      </c>
      <c r="G2717">
        <v>1</v>
      </c>
      <c r="H2717">
        <v>0</v>
      </c>
      <c r="I2717">
        <v>8190</v>
      </c>
      <c r="J2717">
        <v>1</v>
      </c>
      <c r="K2717">
        <v>8190</v>
      </c>
      <c r="L2717">
        <v>1</v>
      </c>
      <c r="M2717">
        <v>0</v>
      </c>
      <c r="N2717">
        <v>4</v>
      </c>
      <c r="O2717">
        <f t="shared" si="84"/>
        <v>2024</v>
      </c>
      <c r="P2717">
        <f t="shared" si="85"/>
        <v>6</v>
      </c>
      <c r="Q2717" t="s">
        <v>325</v>
      </c>
      <c r="R2717" s="546" t="s">
        <v>804</v>
      </c>
    </row>
    <row r="2718" spans="1:18" x14ac:dyDescent="0.3">
      <c r="A2718" t="s">
        <v>627</v>
      </c>
      <c r="B2718" s="16">
        <v>45455</v>
      </c>
      <c r="C2718" t="s">
        <v>3</v>
      </c>
      <c r="D2718" t="s">
        <v>140</v>
      </c>
      <c r="E2718">
        <v>10</v>
      </c>
      <c r="F2718">
        <v>9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4</v>
      </c>
      <c r="N2718">
        <v>10</v>
      </c>
      <c r="O2718">
        <f t="shared" si="84"/>
        <v>2024</v>
      </c>
      <c r="P2718">
        <f t="shared" si="85"/>
        <v>6</v>
      </c>
      <c r="Q2718" t="s">
        <v>325</v>
      </c>
      <c r="R2718" s="546" t="s">
        <v>804</v>
      </c>
    </row>
    <row r="2719" spans="1:18" x14ac:dyDescent="0.3">
      <c r="A2719" t="s">
        <v>627</v>
      </c>
      <c r="B2719" s="16">
        <v>45455</v>
      </c>
      <c r="C2719" t="s">
        <v>3</v>
      </c>
      <c r="D2719" t="s">
        <v>139</v>
      </c>
      <c r="E2719">
        <v>573</v>
      </c>
      <c r="F2719">
        <v>347</v>
      </c>
      <c r="G2719">
        <v>21</v>
      </c>
      <c r="H2719">
        <v>3</v>
      </c>
      <c r="I2719">
        <v>65929.87</v>
      </c>
      <c r="J2719">
        <v>21</v>
      </c>
      <c r="K2719">
        <v>60939.87</v>
      </c>
      <c r="L2719">
        <v>21</v>
      </c>
      <c r="M2719">
        <v>296</v>
      </c>
      <c r="N2719">
        <v>408</v>
      </c>
      <c r="O2719">
        <f t="shared" si="84"/>
        <v>2024</v>
      </c>
      <c r="P2719">
        <f t="shared" si="85"/>
        <v>6</v>
      </c>
      <c r="Q2719" t="s">
        <v>325</v>
      </c>
      <c r="R2719" s="546" t="s">
        <v>804</v>
      </c>
    </row>
    <row r="2720" spans="1:18" x14ac:dyDescent="0.3">
      <c r="A2720" t="s">
        <v>627</v>
      </c>
      <c r="B2720" s="16">
        <v>45455</v>
      </c>
      <c r="C2720" t="s">
        <v>3</v>
      </c>
      <c r="D2720" t="s">
        <v>138</v>
      </c>
      <c r="E2720">
        <v>11</v>
      </c>
      <c r="F2720">
        <v>8</v>
      </c>
      <c r="G2720">
        <v>0</v>
      </c>
      <c r="H2720">
        <v>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11</v>
      </c>
      <c r="O2720">
        <f t="shared" si="84"/>
        <v>2024</v>
      </c>
      <c r="P2720">
        <f t="shared" si="85"/>
        <v>6</v>
      </c>
      <c r="Q2720" t="s">
        <v>325</v>
      </c>
      <c r="R2720" s="546" t="s">
        <v>804</v>
      </c>
    </row>
    <row r="2721" spans="1:18" x14ac:dyDescent="0.3">
      <c r="A2721" t="s">
        <v>627</v>
      </c>
      <c r="B2721" s="16">
        <v>45455</v>
      </c>
      <c r="C2721" t="s">
        <v>3</v>
      </c>
      <c r="D2721" t="s">
        <v>137</v>
      </c>
      <c r="E2721">
        <v>4</v>
      </c>
      <c r="F2721">
        <v>2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1</v>
      </c>
      <c r="N2721">
        <v>4</v>
      </c>
      <c r="O2721">
        <f t="shared" si="84"/>
        <v>2024</v>
      </c>
      <c r="P2721">
        <f t="shared" si="85"/>
        <v>6</v>
      </c>
      <c r="Q2721" t="s">
        <v>325</v>
      </c>
      <c r="R2721" s="546" t="s">
        <v>804</v>
      </c>
    </row>
    <row r="2722" spans="1:18" x14ac:dyDescent="0.3">
      <c r="A2722" t="s">
        <v>627</v>
      </c>
      <c r="B2722" s="16">
        <v>45455</v>
      </c>
      <c r="C2722" t="s">
        <v>3</v>
      </c>
      <c r="D2722" t="s">
        <v>133</v>
      </c>
      <c r="E2722">
        <v>21</v>
      </c>
      <c r="F2722">
        <v>12</v>
      </c>
      <c r="G2722">
        <v>3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10</v>
      </c>
      <c r="N2722">
        <v>16</v>
      </c>
      <c r="O2722">
        <f t="shared" si="84"/>
        <v>2024</v>
      </c>
      <c r="P2722">
        <f t="shared" si="85"/>
        <v>6</v>
      </c>
      <c r="Q2722" t="s">
        <v>325</v>
      </c>
      <c r="R2722" s="546" t="s">
        <v>804</v>
      </c>
    </row>
    <row r="2723" spans="1:18" x14ac:dyDescent="0.3">
      <c r="A2723" t="s">
        <v>627</v>
      </c>
      <c r="B2723" s="16">
        <v>45455</v>
      </c>
      <c r="C2723" t="s">
        <v>3</v>
      </c>
      <c r="D2723" t="s">
        <v>132</v>
      </c>
      <c r="E2723">
        <v>3</v>
      </c>
      <c r="F2723">
        <v>3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3</v>
      </c>
      <c r="O2723">
        <f t="shared" si="84"/>
        <v>2024</v>
      </c>
      <c r="P2723">
        <f t="shared" si="85"/>
        <v>6</v>
      </c>
      <c r="Q2723" t="s">
        <v>325</v>
      </c>
      <c r="R2723" s="546" t="s">
        <v>804</v>
      </c>
    </row>
    <row r="2724" spans="1:18" x14ac:dyDescent="0.3">
      <c r="A2724" t="s">
        <v>627</v>
      </c>
      <c r="B2724" s="16">
        <v>45455</v>
      </c>
      <c r="C2724" t="s">
        <v>3</v>
      </c>
      <c r="D2724" t="s">
        <v>130</v>
      </c>
      <c r="E2724">
        <v>218</v>
      </c>
      <c r="F2724">
        <v>105</v>
      </c>
      <c r="G2724">
        <v>10</v>
      </c>
      <c r="H2724">
        <v>3</v>
      </c>
      <c r="I2724">
        <v>42521.73</v>
      </c>
      <c r="J2724">
        <v>15</v>
      </c>
      <c r="K2724">
        <v>37531.730000000003</v>
      </c>
      <c r="L2724">
        <v>15</v>
      </c>
      <c r="M2724">
        <v>71</v>
      </c>
      <c r="N2724">
        <v>200</v>
      </c>
      <c r="O2724">
        <f t="shared" si="84"/>
        <v>2024</v>
      </c>
      <c r="P2724">
        <f t="shared" si="85"/>
        <v>6</v>
      </c>
      <c r="Q2724" t="s">
        <v>325</v>
      </c>
      <c r="R2724" s="546" t="s">
        <v>804</v>
      </c>
    </row>
    <row r="2725" spans="1:18" x14ac:dyDescent="0.3">
      <c r="A2725" t="s">
        <v>627</v>
      </c>
      <c r="B2725" s="16">
        <v>45455</v>
      </c>
      <c r="C2725" t="s">
        <v>3</v>
      </c>
      <c r="D2725" t="s">
        <v>128</v>
      </c>
      <c r="E2725">
        <v>961</v>
      </c>
      <c r="F2725">
        <v>779</v>
      </c>
      <c r="G2725">
        <v>43</v>
      </c>
      <c r="H2725">
        <v>10</v>
      </c>
      <c r="I2725">
        <v>80693</v>
      </c>
      <c r="J2725">
        <v>16</v>
      </c>
      <c r="K2725">
        <v>37508</v>
      </c>
      <c r="L2725">
        <v>14</v>
      </c>
      <c r="M2725">
        <v>291</v>
      </c>
      <c r="N2725">
        <v>858</v>
      </c>
      <c r="O2725">
        <f t="shared" si="84"/>
        <v>2024</v>
      </c>
      <c r="P2725">
        <f t="shared" si="85"/>
        <v>6</v>
      </c>
      <c r="Q2725" t="s">
        <v>325</v>
      </c>
      <c r="R2725" s="546" t="s">
        <v>804</v>
      </c>
    </row>
    <row r="2726" spans="1:18" x14ac:dyDescent="0.3">
      <c r="A2726" t="s">
        <v>627</v>
      </c>
      <c r="B2726" s="16">
        <v>45455</v>
      </c>
      <c r="C2726" t="s">
        <v>3</v>
      </c>
      <c r="D2726" t="s">
        <v>127</v>
      </c>
      <c r="E2726">
        <v>1970</v>
      </c>
      <c r="F2726">
        <v>1171</v>
      </c>
      <c r="G2726">
        <v>36</v>
      </c>
      <c r="H2726">
        <v>15</v>
      </c>
      <c r="I2726">
        <v>24616.57</v>
      </c>
      <c r="J2726">
        <v>11</v>
      </c>
      <c r="K2726">
        <v>16643.57</v>
      </c>
      <c r="L2726">
        <v>9</v>
      </c>
      <c r="M2726">
        <v>229</v>
      </c>
      <c r="N2726">
        <v>1819</v>
      </c>
      <c r="O2726">
        <f t="shared" si="84"/>
        <v>2024</v>
      </c>
      <c r="P2726">
        <f t="shared" si="85"/>
        <v>6</v>
      </c>
      <c r="Q2726" t="s">
        <v>325</v>
      </c>
      <c r="R2726" s="546" t="s">
        <v>804</v>
      </c>
    </row>
    <row r="2727" spans="1:18" x14ac:dyDescent="0.3">
      <c r="A2727" t="s">
        <v>627</v>
      </c>
      <c r="B2727" s="16">
        <v>45455</v>
      </c>
      <c r="C2727" t="s">
        <v>3</v>
      </c>
      <c r="D2727" t="s">
        <v>126</v>
      </c>
      <c r="E2727">
        <v>129</v>
      </c>
      <c r="F2727">
        <v>102</v>
      </c>
      <c r="G2727">
        <v>4</v>
      </c>
      <c r="H2727">
        <v>1</v>
      </c>
      <c r="I2727">
        <v>2980</v>
      </c>
      <c r="J2727">
        <v>1</v>
      </c>
      <c r="K2727">
        <v>2980</v>
      </c>
      <c r="L2727">
        <v>1</v>
      </c>
      <c r="M2727">
        <v>21</v>
      </c>
      <c r="N2727">
        <v>125</v>
      </c>
      <c r="O2727">
        <f t="shared" si="84"/>
        <v>2024</v>
      </c>
      <c r="P2727">
        <f t="shared" si="85"/>
        <v>6</v>
      </c>
      <c r="Q2727" t="s">
        <v>325</v>
      </c>
      <c r="R2727" s="546" t="s">
        <v>804</v>
      </c>
    </row>
    <row r="2728" spans="1:18" x14ac:dyDescent="0.3">
      <c r="A2728" t="s">
        <v>627</v>
      </c>
      <c r="B2728" s="16">
        <v>45455</v>
      </c>
      <c r="C2728" t="s">
        <v>3</v>
      </c>
      <c r="D2728" t="s">
        <v>125</v>
      </c>
      <c r="E2728">
        <v>5</v>
      </c>
      <c r="F2728">
        <v>3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4</v>
      </c>
      <c r="N2728">
        <v>5</v>
      </c>
      <c r="O2728">
        <f t="shared" si="84"/>
        <v>2024</v>
      </c>
      <c r="P2728">
        <f t="shared" si="85"/>
        <v>6</v>
      </c>
      <c r="Q2728" t="s">
        <v>325</v>
      </c>
      <c r="R2728" s="546" t="s">
        <v>804</v>
      </c>
    </row>
    <row r="2729" spans="1:18" x14ac:dyDescent="0.3">
      <c r="A2729" t="s">
        <v>627</v>
      </c>
      <c r="B2729" s="16">
        <v>45455</v>
      </c>
      <c r="C2729" t="s">
        <v>3</v>
      </c>
      <c r="D2729" t="s">
        <v>123</v>
      </c>
      <c r="E2729">
        <v>257</v>
      </c>
      <c r="F2729">
        <v>137</v>
      </c>
      <c r="G2729">
        <v>10</v>
      </c>
      <c r="H2729">
        <v>2</v>
      </c>
      <c r="I2729">
        <v>9643</v>
      </c>
      <c r="J2729">
        <v>6</v>
      </c>
      <c r="K2729">
        <v>8340</v>
      </c>
      <c r="L2729">
        <v>5</v>
      </c>
      <c r="M2729">
        <v>100</v>
      </c>
      <c r="N2729">
        <v>206</v>
      </c>
      <c r="O2729">
        <f t="shared" si="84"/>
        <v>2024</v>
      </c>
      <c r="P2729">
        <f t="shared" si="85"/>
        <v>6</v>
      </c>
      <c r="Q2729" t="s">
        <v>325</v>
      </c>
      <c r="R2729" s="546" t="s">
        <v>804</v>
      </c>
    </row>
    <row r="2730" spans="1:18" x14ac:dyDescent="0.3">
      <c r="A2730" t="s">
        <v>627</v>
      </c>
      <c r="B2730" s="16">
        <v>45455</v>
      </c>
      <c r="C2730" t="s">
        <v>3</v>
      </c>
      <c r="D2730" t="s">
        <v>122</v>
      </c>
      <c r="E2730">
        <v>1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1</v>
      </c>
      <c r="O2730">
        <f t="shared" si="84"/>
        <v>2024</v>
      </c>
      <c r="P2730">
        <f t="shared" si="85"/>
        <v>6</v>
      </c>
      <c r="Q2730" t="s">
        <v>325</v>
      </c>
      <c r="R2730" s="546" t="s">
        <v>804</v>
      </c>
    </row>
    <row r="2731" spans="1:18" x14ac:dyDescent="0.3">
      <c r="A2731" t="s">
        <v>627</v>
      </c>
      <c r="B2731" s="16">
        <v>45455</v>
      </c>
      <c r="C2731" t="s">
        <v>3</v>
      </c>
      <c r="D2731" t="s">
        <v>120</v>
      </c>
      <c r="E2731">
        <v>419</v>
      </c>
      <c r="F2731">
        <v>214</v>
      </c>
      <c r="G2731">
        <v>3</v>
      </c>
      <c r="H2731">
        <v>0</v>
      </c>
      <c r="I2731">
        <v>16824.939999999999</v>
      </c>
      <c r="J2731">
        <v>7</v>
      </c>
      <c r="K2731">
        <v>15521.94</v>
      </c>
      <c r="L2731">
        <v>6</v>
      </c>
      <c r="M2731">
        <v>54</v>
      </c>
      <c r="N2731">
        <v>412</v>
      </c>
      <c r="O2731">
        <f t="shared" si="84"/>
        <v>2024</v>
      </c>
      <c r="P2731">
        <f t="shared" si="85"/>
        <v>6</v>
      </c>
      <c r="Q2731" t="s">
        <v>325</v>
      </c>
      <c r="R2731" s="546" t="s">
        <v>804</v>
      </c>
    </row>
    <row r="2732" spans="1:18" x14ac:dyDescent="0.3">
      <c r="A2732" t="s">
        <v>627</v>
      </c>
      <c r="B2732" s="16">
        <v>45455</v>
      </c>
      <c r="C2732" t="s">
        <v>3</v>
      </c>
      <c r="D2732" t="s">
        <v>119</v>
      </c>
      <c r="E2732">
        <v>277</v>
      </c>
      <c r="F2732">
        <v>100</v>
      </c>
      <c r="G2732">
        <v>16</v>
      </c>
      <c r="H2732">
        <v>5</v>
      </c>
      <c r="I2732">
        <v>48753</v>
      </c>
      <c r="J2732">
        <v>16</v>
      </c>
      <c r="K2732">
        <v>35961</v>
      </c>
      <c r="L2732">
        <v>15</v>
      </c>
      <c r="M2732">
        <v>70</v>
      </c>
      <c r="N2732">
        <v>267</v>
      </c>
      <c r="O2732">
        <f t="shared" si="84"/>
        <v>2024</v>
      </c>
      <c r="P2732">
        <f t="shared" si="85"/>
        <v>6</v>
      </c>
      <c r="Q2732" t="s">
        <v>325</v>
      </c>
      <c r="R2732" s="546" t="s">
        <v>804</v>
      </c>
    </row>
    <row r="2733" spans="1:18" x14ac:dyDescent="0.3">
      <c r="A2733" t="s">
        <v>627</v>
      </c>
      <c r="B2733" s="16">
        <v>45455</v>
      </c>
      <c r="C2733" t="s">
        <v>3</v>
      </c>
      <c r="D2733" t="s">
        <v>116</v>
      </c>
      <c r="E2733">
        <v>2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2</v>
      </c>
      <c r="O2733">
        <f t="shared" si="84"/>
        <v>2024</v>
      </c>
      <c r="P2733">
        <f t="shared" si="85"/>
        <v>6</v>
      </c>
      <c r="Q2733" t="s">
        <v>325</v>
      </c>
      <c r="R2733" s="546" t="s">
        <v>804</v>
      </c>
    </row>
    <row r="2734" spans="1:18" x14ac:dyDescent="0.3">
      <c r="A2734" t="s">
        <v>627</v>
      </c>
      <c r="B2734" s="16">
        <v>45455</v>
      </c>
      <c r="C2734" t="s">
        <v>3</v>
      </c>
      <c r="D2734" t="s">
        <v>114</v>
      </c>
      <c r="E2734">
        <v>76</v>
      </c>
      <c r="F2734">
        <v>40</v>
      </c>
      <c r="G2734">
        <v>1</v>
      </c>
      <c r="H2734">
        <v>2</v>
      </c>
      <c r="I2734">
        <v>798</v>
      </c>
      <c r="J2734">
        <v>1</v>
      </c>
      <c r="K2734">
        <v>798</v>
      </c>
      <c r="L2734">
        <v>1</v>
      </c>
      <c r="M2734">
        <v>8</v>
      </c>
      <c r="N2734">
        <v>66</v>
      </c>
      <c r="O2734">
        <f t="shared" si="84"/>
        <v>2024</v>
      </c>
      <c r="P2734">
        <f t="shared" si="85"/>
        <v>6</v>
      </c>
      <c r="Q2734" t="s">
        <v>325</v>
      </c>
      <c r="R2734" s="546" t="s">
        <v>804</v>
      </c>
    </row>
    <row r="2735" spans="1:18" x14ac:dyDescent="0.3">
      <c r="A2735" t="s">
        <v>627</v>
      </c>
      <c r="B2735" s="16">
        <v>45455</v>
      </c>
      <c r="C2735" t="s">
        <v>3</v>
      </c>
      <c r="D2735" t="s">
        <v>113</v>
      </c>
      <c r="E2735">
        <v>89</v>
      </c>
      <c r="F2735">
        <v>41</v>
      </c>
      <c r="G2735">
        <v>2</v>
      </c>
      <c r="H2735">
        <v>1</v>
      </c>
      <c r="I2735">
        <v>0</v>
      </c>
      <c r="J2735">
        <v>0</v>
      </c>
      <c r="K2735">
        <v>0</v>
      </c>
      <c r="L2735">
        <v>0</v>
      </c>
      <c r="M2735">
        <v>69</v>
      </c>
      <c r="N2735">
        <v>52</v>
      </c>
      <c r="O2735">
        <f t="shared" ref="O2735:O2798" si="86">YEAR(B2735)</f>
        <v>2024</v>
      </c>
      <c r="P2735">
        <f t="shared" ref="P2735:P2798" si="87">MONTH(B2735)</f>
        <v>6</v>
      </c>
      <c r="Q2735" t="s">
        <v>325</v>
      </c>
      <c r="R2735" s="546" t="s">
        <v>804</v>
      </c>
    </row>
    <row r="2736" spans="1:18" x14ac:dyDescent="0.3">
      <c r="A2736" t="s">
        <v>627</v>
      </c>
      <c r="B2736" s="16">
        <v>45455</v>
      </c>
      <c r="C2736" t="s">
        <v>3</v>
      </c>
      <c r="D2736" t="s">
        <v>112</v>
      </c>
      <c r="E2736">
        <v>31</v>
      </c>
      <c r="F2736">
        <v>8</v>
      </c>
      <c r="G2736">
        <v>1</v>
      </c>
      <c r="H2736">
        <v>0</v>
      </c>
      <c r="I2736">
        <v>5281</v>
      </c>
      <c r="J2736">
        <v>2</v>
      </c>
      <c r="K2736">
        <v>5281</v>
      </c>
      <c r="L2736">
        <v>2</v>
      </c>
      <c r="M2736">
        <v>1</v>
      </c>
      <c r="N2736">
        <v>31</v>
      </c>
      <c r="O2736">
        <f t="shared" si="86"/>
        <v>2024</v>
      </c>
      <c r="P2736">
        <f t="shared" si="87"/>
        <v>6</v>
      </c>
      <c r="Q2736" t="s">
        <v>325</v>
      </c>
      <c r="R2736" s="546" t="s">
        <v>804</v>
      </c>
    </row>
    <row r="2737" spans="1:18" x14ac:dyDescent="0.3">
      <c r="A2737" t="s">
        <v>627</v>
      </c>
      <c r="B2737" s="16">
        <v>45454</v>
      </c>
      <c r="C2737" t="s">
        <v>2</v>
      </c>
      <c r="D2737" t="s">
        <v>4</v>
      </c>
      <c r="E2737">
        <v>2058</v>
      </c>
      <c r="F2737">
        <v>561</v>
      </c>
      <c r="G2737">
        <v>1</v>
      </c>
      <c r="H2737">
        <v>3</v>
      </c>
      <c r="I2737">
        <v>4027.5</v>
      </c>
      <c r="J2737">
        <v>2</v>
      </c>
      <c r="K2737">
        <v>4027.5</v>
      </c>
      <c r="L2737">
        <v>2</v>
      </c>
      <c r="M2737">
        <v>17</v>
      </c>
      <c r="N2737">
        <v>2045</v>
      </c>
      <c r="O2737">
        <f t="shared" si="86"/>
        <v>2024</v>
      </c>
      <c r="P2737">
        <f t="shared" si="87"/>
        <v>6</v>
      </c>
      <c r="Q2737" t="s">
        <v>325</v>
      </c>
      <c r="R2737" s="546" t="s">
        <v>804</v>
      </c>
    </row>
    <row r="2738" spans="1:18" x14ac:dyDescent="0.3">
      <c r="A2738" t="s">
        <v>627</v>
      </c>
      <c r="B2738" s="16">
        <v>45454</v>
      </c>
      <c r="C2738" t="s">
        <v>2</v>
      </c>
      <c r="D2738" t="s">
        <v>57</v>
      </c>
      <c r="E2738">
        <v>20105</v>
      </c>
      <c r="F2738">
        <v>11761</v>
      </c>
      <c r="G2738">
        <v>109</v>
      </c>
      <c r="H2738">
        <v>83</v>
      </c>
      <c r="I2738">
        <v>65826.5</v>
      </c>
      <c r="J2738">
        <v>19</v>
      </c>
      <c r="K2738">
        <v>38616.5</v>
      </c>
      <c r="L2738">
        <v>15</v>
      </c>
      <c r="M2738">
        <v>691</v>
      </c>
      <c r="N2738">
        <v>20085</v>
      </c>
      <c r="O2738">
        <f t="shared" si="86"/>
        <v>2024</v>
      </c>
      <c r="P2738">
        <f t="shared" si="87"/>
        <v>6</v>
      </c>
      <c r="Q2738" t="s">
        <v>325</v>
      </c>
      <c r="R2738" s="546" t="s">
        <v>804</v>
      </c>
    </row>
    <row r="2739" spans="1:18" x14ac:dyDescent="0.3">
      <c r="A2739" t="s">
        <v>627</v>
      </c>
      <c r="B2739" s="16">
        <v>45454</v>
      </c>
      <c r="C2739" t="s">
        <v>2</v>
      </c>
      <c r="D2739" t="s">
        <v>52</v>
      </c>
      <c r="E2739">
        <v>3350</v>
      </c>
      <c r="F2739">
        <v>2751</v>
      </c>
      <c r="G2739">
        <v>14</v>
      </c>
      <c r="H2739">
        <v>5</v>
      </c>
      <c r="I2739">
        <v>19711</v>
      </c>
      <c r="J2739">
        <v>8</v>
      </c>
      <c r="K2739">
        <v>19711</v>
      </c>
      <c r="L2739">
        <v>8</v>
      </c>
      <c r="M2739">
        <v>3350</v>
      </c>
      <c r="N2739">
        <v>689</v>
      </c>
      <c r="O2739">
        <f t="shared" si="86"/>
        <v>2024</v>
      </c>
      <c r="P2739">
        <f t="shared" si="87"/>
        <v>6</v>
      </c>
      <c r="Q2739" t="s">
        <v>325</v>
      </c>
      <c r="R2739" s="546" t="s">
        <v>804</v>
      </c>
    </row>
    <row r="2740" spans="1:18" x14ac:dyDescent="0.3">
      <c r="A2740" t="s">
        <v>627</v>
      </c>
      <c r="B2740" s="16">
        <v>45454</v>
      </c>
      <c r="C2740" t="s">
        <v>2</v>
      </c>
      <c r="D2740" t="s">
        <v>55</v>
      </c>
      <c r="E2740">
        <v>16121</v>
      </c>
      <c r="F2740">
        <v>10086</v>
      </c>
      <c r="G2740">
        <v>5</v>
      </c>
      <c r="H2740">
        <v>1</v>
      </c>
      <c r="I2740">
        <v>0</v>
      </c>
      <c r="J2740">
        <v>0</v>
      </c>
      <c r="K2740">
        <v>0</v>
      </c>
      <c r="L2740">
        <v>0</v>
      </c>
      <c r="M2740">
        <v>18</v>
      </c>
      <c r="N2740">
        <v>829</v>
      </c>
      <c r="O2740">
        <f t="shared" si="86"/>
        <v>2024</v>
      </c>
      <c r="P2740">
        <f t="shared" si="87"/>
        <v>6</v>
      </c>
      <c r="Q2740" t="s">
        <v>325</v>
      </c>
      <c r="R2740" s="546" t="s">
        <v>804</v>
      </c>
    </row>
    <row r="2741" spans="1:18" x14ac:dyDescent="0.3">
      <c r="A2741" t="s">
        <v>627</v>
      </c>
      <c r="B2741" s="16">
        <v>45454</v>
      </c>
      <c r="C2741" t="s">
        <v>3</v>
      </c>
      <c r="D2741" t="s">
        <v>155</v>
      </c>
      <c r="E2741">
        <v>1</v>
      </c>
      <c r="F2741">
        <v>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1</v>
      </c>
      <c r="O2741">
        <f t="shared" si="86"/>
        <v>2024</v>
      </c>
      <c r="P2741">
        <f t="shared" si="87"/>
        <v>6</v>
      </c>
      <c r="Q2741" t="s">
        <v>325</v>
      </c>
      <c r="R2741" s="546" t="s">
        <v>804</v>
      </c>
    </row>
    <row r="2742" spans="1:18" x14ac:dyDescent="0.3">
      <c r="A2742" t="s">
        <v>627</v>
      </c>
      <c r="B2742" s="16">
        <v>45454</v>
      </c>
      <c r="C2742" t="s">
        <v>3</v>
      </c>
      <c r="D2742" t="s">
        <v>154</v>
      </c>
      <c r="E2742">
        <v>1667</v>
      </c>
      <c r="F2742">
        <v>1564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4</v>
      </c>
      <c r="N2742">
        <v>10</v>
      </c>
      <c r="O2742">
        <f t="shared" si="86"/>
        <v>2024</v>
      </c>
      <c r="P2742">
        <f t="shared" si="87"/>
        <v>6</v>
      </c>
      <c r="Q2742" t="s">
        <v>325</v>
      </c>
      <c r="R2742" s="546" t="s">
        <v>804</v>
      </c>
    </row>
    <row r="2743" spans="1:18" x14ac:dyDescent="0.3">
      <c r="A2743" t="s">
        <v>627</v>
      </c>
      <c r="B2743" s="16">
        <v>45454</v>
      </c>
      <c r="C2743" t="s">
        <v>3</v>
      </c>
      <c r="D2743" t="s">
        <v>153</v>
      </c>
      <c r="E2743">
        <v>293</v>
      </c>
      <c r="F2743">
        <v>84</v>
      </c>
      <c r="G2743">
        <v>21</v>
      </c>
      <c r="H2743">
        <v>1</v>
      </c>
      <c r="I2743">
        <v>44434.32</v>
      </c>
      <c r="J2743">
        <v>14</v>
      </c>
      <c r="K2743">
        <v>42754.32</v>
      </c>
      <c r="L2743">
        <v>13</v>
      </c>
      <c r="M2743">
        <v>73</v>
      </c>
      <c r="N2743">
        <v>280</v>
      </c>
      <c r="O2743">
        <f t="shared" si="86"/>
        <v>2024</v>
      </c>
      <c r="P2743">
        <f t="shared" si="87"/>
        <v>6</v>
      </c>
      <c r="Q2743" t="s">
        <v>325</v>
      </c>
      <c r="R2743" s="546" t="s">
        <v>804</v>
      </c>
    </row>
    <row r="2744" spans="1:18" x14ac:dyDescent="0.3">
      <c r="A2744" t="s">
        <v>627</v>
      </c>
      <c r="B2744" s="16">
        <v>45454</v>
      </c>
      <c r="C2744" t="s">
        <v>3</v>
      </c>
      <c r="D2744" t="s">
        <v>152</v>
      </c>
      <c r="E2744">
        <v>18</v>
      </c>
      <c r="F2744">
        <v>4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6</v>
      </c>
      <c r="O2744">
        <f t="shared" si="86"/>
        <v>2024</v>
      </c>
      <c r="P2744">
        <f t="shared" si="87"/>
        <v>6</v>
      </c>
      <c r="Q2744" t="s">
        <v>325</v>
      </c>
      <c r="R2744" s="546" t="s">
        <v>804</v>
      </c>
    </row>
    <row r="2745" spans="1:18" x14ac:dyDescent="0.3">
      <c r="A2745" t="s">
        <v>627</v>
      </c>
      <c r="B2745" s="16">
        <v>45454</v>
      </c>
      <c r="C2745" t="s">
        <v>3</v>
      </c>
      <c r="D2745" t="s">
        <v>150</v>
      </c>
      <c r="E2745">
        <v>3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3</v>
      </c>
      <c r="O2745">
        <f t="shared" si="86"/>
        <v>2024</v>
      </c>
      <c r="P2745">
        <f t="shared" si="87"/>
        <v>6</v>
      </c>
      <c r="Q2745" t="s">
        <v>325</v>
      </c>
      <c r="R2745" s="546" t="s">
        <v>804</v>
      </c>
    </row>
    <row r="2746" spans="1:18" x14ac:dyDescent="0.3">
      <c r="A2746" t="s">
        <v>627</v>
      </c>
      <c r="B2746" s="16">
        <v>45454</v>
      </c>
      <c r="C2746" t="s">
        <v>3</v>
      </c>
      <c r="D2746" t="s">
        <v>149</v>
      </c>
      <c r="E2746">
        <v>355</v>
      </c>
      <c r="F2746">
        <v>252</v>
      </c>
      <c r="G2746">
        <v>2</v>
      </c>
      <c r="H2746">
        <v>1</v>
      </c>
      <c r="I2746">
        <v>2377</v>
      </c>
      <c r="J2746">
        <v>1</v>
      </c>
      <c r="K2746">
        <v>2377</v>
      </c>
      <c r="L2746">
        <v>1</v>
      </c>
      <c r="M2746">
        <v>80</v>
      </c>
      <c r="N2746">
        <v>294</v>
      </c>
      <c r="O2746">
        <f t="shared" si="86"/>
        <v>2024</v>
      </c>
      <c r="P2746">
        <f t="shared" si="87"/>
        <v>6</v>
      </c>
      <c r="Q2746" t="s">
        <v>325</v>
      </c>
      <c r="R2746" s="546" t="s">
        <v>804</v>
      </c>
    </row>
    <row r="2747" spans="1:18" x14ac:dyDescent="0.3">
      <c r="A2747" t="s">
        <v>627</v>
      </c>
      <c r="B2747" s="16">
        <v>45454</v>
      </c>
      <c r="C2747" t="s">
        <v>3</v>
      </c>
      <c r="D2747" t="s">
        <v>148</v>
      </c>
      <c r="E2747">
        <v>3</v>
      </c>
      <c r="F2747">
        <v>2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2</v>
      </c>
      <c r="N2747">
        <v>1</v>
      </c>
      <c r="O2747">
        <f t="shared" si="86"/>
        <v>2024</v>
      </c>
      <c r="P2747">
        <f t="shared" si="87"/>
        <v>6</v>
      </c>
      <c r="Q2747" t="s">
        <v>325</v>
      </c>
      <c r="R2747" s="546" t="s">
        <v>804</v>
      </c>
    </row>
    <row r="2748" spans="1:18" x14ac:dyDescent="0.3">
      <c r="A2748" t="s">
        <v>627</v>
      </c>
      <c r="B2748" s="16">
        <v>45454</v>
      </c>
      <c r="C2748" t="s">
        <v>3</v>
      </c>
      <c r="D2748" t="s">
        <v>147</v>
      </c>
      <c r="E2748">
        <v>16</v>
      </c>
      <c r="F2748">
        <v>13</v>
      </c>
      <c r="G2748">
        <v>0</v>
      </c>
      <c r="H2748">
        <v>0</v>
      </c>
      <c r="I2748">
        <v>2747.5</v>
      </c>
      <c r="J2748">
        <v>1</v>
      </c>
      <c r="K2748">
        <v>2747.5</v>
      </c>
      <c r="L2748">
        <v>1</v>
      </c>
      <c r="M2748">
        <v>1</v>
      </c>
      <c r="N2748">
        <v>16</v>
      </c>
      <c r="O2748">
        <f t="shared" si="86"/>
        <v>2024</v>
      </c>
      <c r="P2748">
        <f t="shared" si="87"/>
        <v>6</v>
      </c>
      <c r="Q2748" t="s">
        <v>325</v>
      </c>
      <c r="R2748" s="546" t="s">
        <v>804</v>
      </c>
    </row>
    <row r="2749" spans="1:18" x14ac:dyDescent="0.3">
      <c r="A2749" t="s">
        <v>627</v>
      </c>
      <c r="B2749" s="16">
        <v>45454</v>
      </c>
      <c r="C2749" t="s">
        <v>3</v>
      </c>
      <c r="D2749" t="s">
        <v>145</v>
      </c>
      <c r="E2749">
        <v>1</v>
      </c>
      <c r="F2749">
        <v>1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f t="shared" si="86"/>
        <v>2024</v>
      </c>
      <c r="P2749">
        <f t="shared" si="87"/>
        <v>6</v>
      </c>
      <c r="Q2749" t="s">
        <v>325</v>
      </c>
      <c r="R2749" s="546" t="s">
        <v>804</v>
      </c>
    </row>
    <row r="2750" spans="1:18" x14ac:dyDescent="0.3">
      <c r="A2750" t="s">
        <v>627</v>
      </c>
      <c r="B2750" s="16">
        <v>45454</v>
      </c>
      <c r="C2750" t="s">
        <v>3</v>
      </c>
      <c r="D2750" t="s">
        <v>251</v>
      </c>
      <c r="E2750">
        <v>3504</v>
      </c>
      <c r="F2750">
        <v>2723</v>
      </c>
      <c r="G2750">
        <v>7</v>
      </c>
      <c r="H2750">
        <v>8</v>
      </c>
      <c r="I2750">
        <v>14000</v>
      </c>
      <c r="J2750">
        <v>4</v>
      </c>
      <c r="K2750">
        <v>12320</v>
      </c>
      <c r="L2750">
        <v>3</v>
      </c>
      <c r="M2750">
        <v>69</v>
      </c>
      <c r="N2750">
        <v>475</v>
      </c>
      <c r="O2750">
        <f t="shared" si="86"/>
        <v>2024</v>
      </c>
      <c r="P2750">
        <f t="shared" si="87"/>
        <v>6</v>
      </c>
      <c r="Q2750" t="s">
        <v>325</v>
      </c>
      <c r="R2750" s="546" t="s">
        <v>804</v>
      </c>
    </row>
    <row r="2751" spans="1:18" x14ac:dyDescent="0.3">
      <c r="A2751" t="s">
        <v>627</v>
      </c>
      <c r="B2751" s="16">
        <v>45454</v>
      </c>
      <c r="C2751" t="s">
        <v>3</v>
      </c>
      <c r="D2751" t="s">
        <v>143</v>
      </c>
      <c r="E2751">
        <v>9</v>
      </c>
      <c r="F2751">
        <v>6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9</v>
      </c>
      <c r="O2751">
        <f t="shared" si="86"/>
        <v>2024</v>
      </c>
      <c r="P2751">
        <f t="shared" si="87"/>
        <v>6</v>
      </c>
      <c r="Q2751" t="s">
        <v>325</v>
      </c>
      <c r="R2751" s="546" t="s">
        <v>804</v>
      </c>
    </row>
    <row r="2752" spans="1:18" x14ac:dyDescent="0.3">
      <c r="A2752" t="s">
        <v>627</v>
      </c>
      <c r="B2752" s="16">
        <v>45454</v>
      </c>
      <c r="C2752" t="s">
        <v>3</v>
      </c>
      <c r="D2752" t="s">
        <v>141</v>
      </c>
      <c r="E2752">
        <v>1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1</v>
      </c>
      <c r="O2752">
        <f t="shared" si="86"/>
        <v>2024</v>
      </c>
      <c r="P2752">
        <f t="shared" si="87"/>
        <v>6</v>
      </c>
      <c r="Q2752" t="s">
        <v>325</v>
      </c>
      <c r="R2752" s="546" t="s">
        <v>804</v>
      </c>
    </row>
    <row r="2753" spans="1:18" x14ac:dyDescent="0.3">
      <c r="A2753" t="s">
        <v>627</v>
      </c>
      <c r="B2753" s="16">
        <v>45454</v>
      </c>
      <c r="C2753" t="s">
        <v>3</v>
      </c>
      <c r="D2753" t="s">
        <v>140</v>
      </c>
      <c r="E2753">
        <v>7</v>
      </c>
      <c r="F2753">
        <v>6</v>
      </c>
      <c r="G2753">
        <v>3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3</v>
      </c>
      <c r="N2753">
        <v>7</v>
      </c>
      <c r="O2753">
        <f t="shared" si="86"/>
        <v>2024</v>
      </c>
      <c r="P2753">
        <f t="shared" si="87"/>
        <v>6</v>
      </c>
      <c r="Q2753" t="s">
        <v>325</v>
      </c>
      <c r="R2753" s="546" t="s">
        <v>804</v>
      </c>
    </row>
    <row r="2754" spans="1:18" x14ac:dyDescent="0.3">
      <c r="A2754" t="s">
        <v>627</v>
      </c>
      <c r="B2754" s="16">
        <v>45454</v>
      </c>
      <c r="C2754" t="s">
        <v>3</v>
      </c>
      <c r="D2754" t="s">
        <v>139</v>
      </c>
      <c r="E2754">
        <v>528</v>
      </c>
      <c r="F2754">
        <v>296</v>
      </c>
      <c r="G2754">
        <v>14</v>
      </c>
      <c r="H2754">
        <v>3</v>
      </c>
      <c r="I2754">
        <v>25992.5</v>
      </c>
      <c r="J2754">
        <v>9</v>
      </c>
      <c r="K2754">
        <v>19287.5</v>
      </c>
      <c r="L2754">
        <v>8</v>
      </c>
      <c r="M2754">
        <v>246</v>
      </c>
      <c r="N2754">
        <v>376</v>
      </c>
      <c r="O2754">
        <f t="shared" si="86"/>
        <v>2024</v>
      </c>
      <c r="P2754">
        <f t="shared" si="87"/>
        <v>6</v>
      </c>
      <c r="Q2754" t="s">
        <v>325</v>
      </c>
      <c r="R2754" s="546" t="s">
        <v>804</v>
      </c>
    </row>
    <row r="2755" spans="1:18" x14ac:dyDescent="0.3">
      <c r="A2755" t="s">
        <v>627</v>
      </c>
      <c r="B2755" s="16">
        <v>45454</v>
      </c>
      <c r="C2755" t="s">
        <v>3</v>
      </c>
      <c r="D2755" t="s">
        <v>138</v>
      </c>
      <c r="E2755">
        <v>12</v>
      </c>
      <c r="F2755">
        <v>8</v>
      </c>
      <c r="G2755">
        <v>0</v>
      </c>
      <c r="H2755">
        <v>1</v>
      </c>
      <c r="I2755">
        <v>0</v>
      </c>
      <c r="J2755">
        <v>0</v>
      </c>
      <c r="K2755">
        <v>0</v>
      </c>
      <c r="L2755">
        <v>0</v>
      </c>
      <c r="M2755">
        <v>3</v>
      </c>
      <c r="N2755">
        <v>10</v>
      </c>
      <c r="O2755">
        <f t="shared" si="86"/>
        <v>2024</v>
      </c>
      <c r="P2755">
        <f t="shared" si="87"/>
        <v>6</v>
      </c>
      <c r="Q2755" t="s">
        <v>325</v>
      </c>
      <c r="R2755" s="546" t="s">
        <v>804</v>
      </c>
    </row>
    <row r="2756" spans="1:18" x14ac:dyDescent="0.3">
      <c r="A2756" t="s">
        <v>627</v>
      </c>
      <c r="B2756" s="16">
        <v>45454</v>
      </c>
      <c r="C2756" t="s">
        <v>3</v>
      </c>
      <c r="D2756" t="s">
        <v>137</v>
      </c>
      <c r="E2756">
        <v>1</v>
      </c>
      <c r="F2756">
        <v>1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1</v>
      </c>
      <c r="O2756">
        <f t="shared" si="86"/>
        <v>2024</v>
      </c>
      <c r="P2756">
        <f t="shared" si="87"/>
        <v>6</v>
      </c>
      <c r="Q2756" t="s">
        <v>325</v>
      </c>
      <c r="R2756" s="546" t="s">
        <v>804</v>
      </c>
    </row>
    <row r="2757" spans="1:18" x14ac:dyDescent="0.3">
      <c r="A2757" t="s">
        <v>627</v>
      </c>
      <c r="B2757" s="16">
        <v>45454</v>
      </c>
      <c r="C2757" t="s">
        <v>3</v>
      </c>
      <c r="D2757" t="s">
        <v>135</v>
      </c>
      <c r="E2757">
        <v>2</v>
      </c>
      <c r="F2757">
        <v>2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f t="shared" si="86"/>
        <v>2024</v>
      </c>
      <c r="P2757">
        <f t="shared" si="87"/>
        <v>6</v>
      </c>
      <c r="Q2757" t="s">
        <v>325</v>
      </c>
      <c r="R2757" s="546" t="s">
        <v>804</v>
      </c>
    </row>
    <row r="2758" spans="1:18" x14ac:dyDescent="0.3">
      <c r="A2758" t="s">
        <v>627</v>
      </c>
      <c r="B2758" s="16">
        <v>45454</v>
      </c>
      <c r="C2758" t="s">
        <v>3</v>
      </c>
      <c r="D2758" t="s">
        <v>133</v>
      </c>
      <c r="E2758">
        <v>15</v>
      </c>
      <c r="F2758">
        <v>11</v>
      </c>
      <c r="G2758">
        <v>1</v>
      </c>
      <c r="H2758">
        <v>0</v>
      </c>
      <c r="I2758">
        <v>15163</v>
      </c>
      <c r="J2758">
        <v>3</v>
      </c>
      <c r="K2758">
        <v>15163</v>
      </c>
      <c r="L2758">
        <v>3</v>
      </c>
      <c r="M2758">
        <v>5</v>
      </c>
      <c r="N2758">
        <v>12</v>
      </c>
      <c r="O2758">
        <f t="shared" si="86"/>
        <v>2024</v>
      </c>
      <c r="P2758">
        <f t="shared" si="87"/>
        <v>6</v>
      </c>
      <c r="Q2758" t="s">
        <v>325</v>
      </c>
      <c r="R2758" s="546" t="s">
        <v>804</v>
      </c>
    </row>
    <row r="2759" spans="1:18" x14ac:dyDescent="0.3">
      <c r="A2759" t="s">
        <v>627</v>
      </c>
      <c r="B2759" s="16">
        <v>45454</v>
      </c>
      <c r="C2759" t="s">
        <v>3</v>
      </c>
      <c r="D2759" t="s">
        <v>132</v>
      </c>
      <c r="E2759">
        <v>2</v>
      </c>
      <c r="F2759">
        <v>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2</v>
      </c>
      <c r="O2759">
        <f t="shared" si="86"/>
        <v>2024</v>
      </c>
      <c r="P2759">
        <f t="shared" si="87"/>
        <v>6</v>
      </c>
      <c r="Q2759" t="s">
        <v>325</v>
      </c>
      <c r="R2759" s="546" t="s">
        <v>804</v>
      </c>
    </row>
    <row r="2760" spans="1:18" x14ac:dyDescent="0.3">
      <c r="A2760" t="s">
        <v>627</v>
      </c>
      <c r="B2760" s="16">
        <v>45454</v>
      </c>
      <c r="C2760" t="s">
        <v>3</v>
      </c>
      <c r="D2760" t="s">
        <v>130</v>
      </c>
      <c r="E2760">
        <v>244</v>
      </c>
      <c r="F2760">
        <v>117</v>
      </c>
      <c r="G2760">
        <v>17</v>
      </c>
      <c r="H2760">
        <v>4</v>
      </c>
      <c r="I2760">
        <v>9910</v>
      </c>
      <c r="J2760">
        <v>5</v>
      </c>
      <c r="K2760">
        <v>8230</v>
      </c>
      <c r="L2760">
        <v>4</v>
      </c>
      <c r="M2760">
        <v>77</v>
      </c>
      <c r="N2760">
        <v>229</v>
      </c>
      <c r="O2760">
        <f t="shared" si="86"/>
        <v>2024</v>
      </c>
      <c r="P2760">
        <f t="shared" si="87"/>
        <v>6</v>
      </c>
      <c r="Q2760" t="s">
        <v>325</v>
      </c>
      <c r="R2760" s="546" t="s">
        <v>804</v>
      </c>
    </row>
    <row r="2761" spans="1:18" x14ac:dyDescent="0.3">
      <c r="A2761" t="s">
        <v>627</v>
      </c>
      <c r="B2761" s="16">
        <v>45454</v>
      </c>
      <c r="C2761" t="s">
        <v>3</v>
      </c>
      <c r="D2761" t="s">
        <v>129</v>
      </c>
      <c r="E2761">
        <v>1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1</v>
      </c>
      <c r="O2761">
        <f t="shared" si="86"/>
        <v>2024</v>
      </c>
      <c r="P2761">
        <f t="shared" si="87"/>
        <v>6</v>
      </c>
      <c r="Q2761" t="s">
        <v>325</v>
      </c>
      <c r="R2761" s="546" t="s">
        <v>804</v>
      </c>
    </row>
    <row r="2762" spans="1:18" x14ac:dyDescent="0.3">
      <c r="A2762" t="s">
        <v>627</v>
      </c>
      <c r="B2762" s="16">
        <v>45454</v>
      </c>
      <c r="C2762" t="s">
        <v>3</v>
      </c>
      <c r="D2762" t="s">
        <v>128</v>
      </c>
      <c r="E2762">
        <v>934</v>
      </c>
      <c r="F2762">
        <v>749</v>
      </c>
      <c r="G2762">
        <v>47</v>
      </c>
      <c r="H2762">
        <v>20</v>
      </c>
      <c r="I2762">
        <v>19817</v>
      </c>
      <c r="J2762">
        <v>9</v>
      </c>
      <c r="K2762">
        <v>19817</v>
      </c>
      <c r="L2762">
        <v>9</v>
      </c>
      <c r="M2762">
        <v>283</v>
      </c>
      <c r="N2762">
        <v>851</v>
      </c>
      <c r="O2762">
        <f t="shared" si="86"/>
        <v>2024</v>
      </c>
      <c r="P2762">
        <f t="shared" si="87"/>
        <v>6</v>
      </c>
      <c r="Q2762" t="s">
        <v>325</v>
      </c>
      <c r="R2762" s="546" t="s">
        <v>804</v>
      </c>
    </row>
    <row r="2763" spans="1:18" x14ac:dyDescent="0.3">
      <c r="A2763" t="s">
        <v>627</v>
      </c>
      <c r="B2763" s="16">
        <v>45454</v>
      </c>
      <c r="C2763" t="s">
        <v>3</v>
      </c>
      <c r="D2763" t="s">
        <v>127</v>
      </c>
      <c r="E2763">
        <v>2259</v>
      </c>
      <c r="F2763">
        <v>1430</v>
      </c>
      <c r="G2763">
        <v>50</v>
      </c>
      <c r="H2763">
        <v>24</v>
      </c>
      <c r="I2763">
        <v>19053</v>
      </c>
      <c r="J2763">
        <v>5</v>
      </c>
      <c r="K2763">
        <v>15775</v>
      </c>
      <c r="L2763">
        <v>3</v>
      </c>
      <c r="M2763">
        <v>245</v>
      </c>
      <c r="N2763">
        <v>2011</v>
      </c>
      <c r="O2763">
        <f t="shared" si="86"/>
        <v>2024</v>
      </c>
      <c r="P2763">
        <f t="shared" si="87"/>
        <v>6</v>
      </c>
      <c r="Q2763" t="s">
        <v>325</v>
      </c>
      <c r="R2763" s="546" t="s">
        <v>804</v>
      </c>
    </row>
    <row r="2764" spans="1:18" x14ac:dyDescent="0.3">
      <c r="A2764" t="s">
        <v>627</v>
      </c>
      <c r="B2764" s="16">
        <v>45454</v>
      </c>
      <c r="C2764" t="s">
        <v>3</v>
      </c>
      <c r="D2764" t="s">
        <v>126</v>
      </c>
      <c r="E2764">
        <v>114</v>
      </c>
      <c r="F2764">
        <v>93</v>
      </c>
      <c r="G2764">
        <v>4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26</v>
      </c>
      <c r="N2764">
        <v>110</v>
      </c>
      <c r="O2764">
        <f t="shared" si="86"/>
        <v>2024</v>
      </c>
      <c r="P2764">
        <f t="shared" si="87"/>
        <v>6</v>
      </c>
      <c r="Q2764" t="s">
        <v>325</v>
      </c>
      <c r="R2764" s="546" t="s">
        <v>804</v>
      </c>
    </row>
    <row r="2765" spans="1:18" x14ac:dyDescent="0.3">
      <c r="A2765" t="s">
        <v>627</v>
      </c>
      <c r="B2765" s="16">
        <v>45454</v>
      </c>
      <c r="C2765" t="s">
        <v>3</v>
      </c>
      <c r="D2765" t="s">
        <v>125</v>
      </c>
      <c r="E2765">
        <v>1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1</v>
      </c>
      <c r="N2765">
        <v>0</v>
      </c>
      <c r="O2765">
        <f t="shared" si="86"/>
        <v>2024</v>
      </c>
      <c r="P2765">
        <f t="shared" si="87"/>
        <v>6</v>
      </c>
      <c r="Q2765" t="s">
        <v>325</v>
      </c>
      <c r="R2765" s="546" t="s">
        <v>804</v>
      </c>
    </row>
    <row r="2766" spans="1:18" x14ac:dyDescent="0.3">
      <c r="A2766" t="s">
        <v>627</v>
      </c>
      <c r="B2766" s="16">
        <v>45454</v>
      </c>
      <c r="C2766" t="s">
        <v>3</v>
      </c>
      <c r="D2766" t="s">
        <v>123</v>
      </c>
      <c r="E2766">
        <v>284</v>
      </c>
      <c r="F2766">
        <v>164</v>
      </c>
      <c r="G2766">
        <v>8</v>
      </c>
      <c r="H2766">
        <v>3</v>
      </c>
      <c r="I2766">
        <v>5125</v>
      </c>
      <c r="J2766">
        <v>2</v>
      </c>
      <c r="K2766">
        <v>5125</v>
      </c>
      <c r="L2766">
        <v>2</v>
      </c>
      <c r="M2766">
        <v>84</v>
      </c>
      <c r="N2766">
        <v>216</v>
      </c>
      <c r="O2766">
        <f t="shared" si="86"/>
        <v>2024</v>
      </c>
      <c r="P2766">
        <f t="shared" si="87"/>
        <v>6</v>
      </c>
      <c r="Q2766" t="s">
        <v>325</v>
      </c>
      <c r="R2766" s="546" t="s">
        <v>804</v>
      </c>
    </row>
    <row r="2767" spans="1:18" x14ac:dyDescent="0.3">
      <c r="A2767" t="s">
        <v>627</v>
      </c>
      <c r="B2767" s="16">
        <v>45454</v>
      </c>
      <c r="C2767" t="s">
        <v>3</v>
      </c>
      <c r="D2767" t="s">
        <v>121</v>
      </c>
      <c r="E2767">
        <v>2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1</v>
      </c>
      <c r="N2767">
        <v>2</v>
      </c>
      <c r="O2767">
        <f t="shared" si="86"/>
        <v>2024</v>
      </c>
      <c r="P2767">
        <f t="shared" si="87"/>
        <v>6</v>
      </c>
      <c r="Q2767" t="s">
        <v>325</v>
      </c>
      <c r="R2767" s="546" t="s">
        <v>804</v>
      </c>
    </row>
    <row r="2768" spans="1:18" x14ac:dyDescent="0.3">
      <c r="A2768" t="s">
        <v>627</v>
      </c>
      <c r="B2768" s="16">
        <v>45454</v>
      </c>
      <c r="C2768" t="s">
        <v>3</v>
      </c>
      <c r="D2768" t="s">
        <v>120</v>
      </c>
      <c r="E2768">
        <v>431</v>
      </c>
      <c r="F2768">
        <v>250</v>
      </c>
      <c r="G2768">
        <v>2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46</v>
      </c>
      <c r="N2768">
        <v>429</v>
      </c>
      <c r="O2768">
        <f t="shared" si="86"/>
        <v>2024</v>
      </c>
      <c r="P2768">
        <f t="shared" si="87"/>
        <v>6</v>
      </c>
      <c r="Q2768" t="s">
        <v>325</v>
      </c>
      <c r="R2768" s="546" t="s">
        <v>804</v>
      </c>
    </row>
    <row r="2769" spans="1:18" x14ac:dyDescent="0.3">
      <c r="A2769" t="s">
        <v>627</v>
      </c>
      <c r="B2769" s="16">
        <v>45454</v>
      </c>
      <c r="C2769" t="s">
        <v>3</v>
      </c>
      <c r="D2769" t="s">
        <v>119</v>
      </c>
      <c r="E2769">
        <v>264</v>
      </c>
      <c r="F2769">
        <v>113</v>
      </c>
      <c r="G2769">
        <v>16</v>
      </c>
      <c r="H2769">
        <v>5</v>
      </c>
      <c r="I2769">
        <v>15545</v>
      </c>
      <c r="J2769">
        <v>4</v>
      </c>
      <c r="K2769">
        <v>15545</v>
      </c>
      <c r="L2769">
        <v>4</v>
      </c>
      <c r="M2769">
        <v>78</v>
      </c>
      <c r="N2769">
        <v>246</v>
      </c>
      <c r="O2769">
        <f t="shared" si="86"/>
        <v>2024</v>
      </c>
      <c r="P2769">
        <f t="shared" si="87"/>
        <v>6</v>
      </c>
      <c r="Q2769" t="s">
        <v>325</v>
      </c>
      <c r="R2769" s="546" t="s">
        <v>804</v>
      </c>
    </row>
    <row r="2770" spans="1:18" x14ac:dyDescent="0.3">
      <c r="A2770" t="s">
        <v>627</v>
      </c>
      <c r="B2770" s="16">
        <v>45454</v>
      </c>
      <c r="C2770" t="s">
        <v>3</v>
      </c>
      <c r="D2770" t="s">
        <v>117</v>
      </c>
      <c r="E2770">
        <v>1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1</v>
      </c>
      <c r="O2770">
        <f t="shared" si="86"/>
        <v>2024</v>
      </c>
      <c r="P2770">
        <f t="shared" si="87"/>
        <v>6</v>
      </c>
      <c r="Q2770" t="s">
        <v>325</v>
      </c>
      <c r="R2770" s="546" t="s">
        <v>804</v>
      </c>
    </row>
    <row r="2771" spans="1:18" x14ac:dyDescent="0.3">
      <c r="A2771" t="s">
        <v>627</v>
      </c>
      <c r="B2771" s="16">
        <v>45454</v>
      </c>
      <c r="C2771" t="s">
        <v>3</v>
      </c>
      <c r="D2771" t="s">
        <v>116</v>
      </c>
      <c r="E2771">
        <v>2</v>
      </c>
      <c r="F2771">
        <v>1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2</v>
      </c>
      <c r="O2771">
        <f t="shared" si="86"/>
        <v>2024</v>
      </c>
      <c r="P2771">
        <f t="shared" si="87"/>
        <v>6</v>
      </c>
      <c r="Q2771" t="s">
        <v>325</v>
      </c>
      <c r="R2771" s="546" t="s">
        <v>804</v>
      </c>
    </row>
    <row r="2772" spans="1:18" x14ac:dyDescent="0.3">
      <c r="A2772" t="s">
        <v>627</v>
      </c>
      <c r="B2772" s="16">
        <v>45454</v>
      </c>
      <c r="C2772" t="s">
        <v>3</v>
      </c>
      <c r="D2772" t="s">
        <v>114</v>
      </c>
      <c r="E2772">
        <v>77</v>
      </c>
      <c r="F2772">
        <v>38</v>
      </c>
      <c r="G2772">
        <v>1</v>
      </c>
      <c r="H2772">
        <v>1</v>
      </c>
      <c r="I2772">
        <v>0</v>
      </c>
      <c r="J2772">
        <v>0</v>
      </c>
      <c r="K2772">
        <v>0</v>
      </c>
      <c r="L2772">
        <v>0</v>
      </c>
      <c r="M2772">
        <v>12</v>
      </c>
      <c r="N2772">
        <v>69</v>
      </c>
      <c r="O2772">
        <f t="shared" si="86"/>
        <v>2024</v>
      </c>
      <c r="P2772">
        <f t="shared" si="87"/>
        <v>6</v>
      </c>
      <c r="Q2772" t="s">
        <v>325</v>
      </c>
      <c r="R2772" s="546" t="s">
        <v>804</v>
      </c>
    </row>
    <row r="2773" spans="1:18" x14ac:dyDescent="0.3">
      <c r="A2773" t="s">
        <v>627</v>
      </c>
      <c r="B2773" s="16">
        <v>45454</v>
      </c>
      <c r="C2773" t="s">
        <v>3</v>
      </c>
      <c r="D2773" t="s">
        <v>113</v>
      </c>
      <c r="E2773">
        <v>80</v>
      </c>
      <c r="F2773">
        <v>45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62</v>
      </c>
      <c r="N2773">
        <v>41</v>
      </c>
      <c r="O2773">
        <f t="shared" si="86"/>
        <v>2024</v>
      </c>
      <c r="P2773">
        <f t="shared" si="87"/>
        <v>6</v>
      </c>
      <c r="Q2773" t="s">
        <v>325</v>
      </c>
      <c r="R2773" s="546" t="s">
        <v>804</v>
      </c>
    </row>
    <row r="2774" spans="1:18" x14ac:dyDescent="0.3">
      <c r="A2774" t="s">
        <v>627</v>
      </c>
      <c r="B2774" s="16">
        <v>45454</v>
      </c>
      <c r="C2774" t="s">
        <v>3</v>
      </c>
      <c r="D2774" t="s">
        <v>112</v>
      </c>
      <c r="E2774">
        <v>22</v>
      </c>
      <c r="F2774">
        <v>6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1</v>
      </c>
      <c r="N2774">
        <v>22</v>
      </c>
      <c r="O2774">
        <f t="shared" si="86"/>
        <v>2024</v>
      </c>
      <c r="P2774">
        <f t="shared" si="87"/>
        <v>6</v>
      </c>
      <c r="Q2774" t="s">
        <v>325</v>
      </c>
      <c r="R2774" s="546" t="s">
        <v>804</v>
      </c>
    </row>
    <row r="2775" spans="1:18" x14ac:dyDescent="0.3">
      <c r="A2775" t="s">
        <v>627</v>
      </c>
      <c r="B2775" s="16">
        <v>45454</v>
      </c>
      <c r="C2775" t="s">
        <v>3</v>
      </c>
      <c r="D2775" t="s">
        <v>111</v>
      </c>
      <c r="E2775">
        <v>6</v>
      </c>
      <c r="F2775">
        <v>5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6</v>
      </c>
      <c r="O2775">
        <f t="shared" si="86"/>
        <v>2024</v>
      </c>
      <c r="P2775">
        <f t="shared" si="87"/>
        <v>6</v>
      </c>
      <c r="Q2775" t="s">
        <v>325</v>
      </c>
      <c r="R2775" s="546" t="s">
        <v>804</v>
      </c>
    </row>
    <row r="2776" spans="1:18" x14ac:dyDescent="0.3">
      <c r="A2776" t="s">
        <v>627</v>
      </c>
      <c r="B2776" s="16">
        <v>45453</v>
      </c>
      <c r="C2776" t="s">
        <v>2</v>
      </c>
      <c r="D2776" t="s">
        <v>4</v>
      </c>
      <c r="E2776">
        <v>1871</v>
      </c>
      <c r="F2776">
        <v>561</v>
      </c>
      <c r="G2776">
        <v>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29</v>
      </c>
      <c r="N2776">
        <v>1863</v>
      </c>
      <c r="O2776">
        <f t="shared" si="86"/>
        <v>2024</v>
      </c>
      <c r="P2776">
        <f t="shared" si="87"/>
        <v>6</v>
      </c>
      <c r="Q2776" t="s">
        <v>325</v>
      </c>
      <c r="R2776" s="546" t="s">
        <v>804</v>
      </c>
    </row>
    <row r="2777" spans="1:18" x14ac:dyDescent="0.3">
      <c r="A2777" t="s">
        <v>627</v>
      </c>
      <c r="B2777" s="16">
        <v>45453</v>
      </c>
      <c r="C2777" t="s">
        <v>2</v>
      </c>
      <c r="D2777" t="s">
        <v>57</v>
      </c>
      <c r="E2777">
        <v>18603</v>
      </c>
      <c r="F2777">
        <v>11315</v>
      </c>
      <c r="G2777">
        <v>108</v>
      </c>
      <c r="H2777">
        <v>94</v>
      </c>
      <c r="I2777">
        <v>67151.199999999997</v>
      </c>
      <c r="J2777">
        <v>19</v>
      </c>
      <c r="K2777">
        <v>42030.2</v>
      </c>
      <c r="L2777">
        <v>15</v>
      </c>
      <c r="M2777">
        <v>704</v>
      </c>
      <c r="N2777">
        <v>18568</v>
      </c>
      <c r="O2777">
        <f t="shared" si="86"/>
        <v>2024</v>
      </c>
      <c r="P2777">
        <f t="shared" si="87"/>
        <v>6</v>
      </c>
      <c r="Q2777" t="s">
        <v>325</v>
      </c>
      <c r="R2777" s="546" t="s">
        <v>804</v>
      </c>
    </row>
    <row r="2778" spans="1:18" x14ac:dyDescent="0.3">
      <c r="A2778" t="s">
        <v>627</v>
      </c>
      <c r="B2778" s="16">
        <v>45453</v>
      </c>
      <c r="C2778" t="s">
        <v>2</v>
      </c>
      <c r="D2778" t="s">
        <v>52</v>
      </c>
      <c r="E2778">
        <v>3458</v>
      </c>
      <c r="F2778">
        <v>2834</v>
      </c>
      <c r="G2778">
        <v>21</v>
      </c>
      <c r="H2778">
        <v>5</v>
      </c>
      <c r="I2778">
        <v>7905</v>
      </c>
      <c r="J2778">
        <v>2</v>
      </c>
      <c r="K2778">
        <v>7905</v>
      </c>
      <c r="L2778">
        <v>2</v>
      </c>
      <c r="M2778">
        <v>3458</v>
      </c>
      <c r="N2778">
        <v>772</v>
      </c>
      <c r="O2778">
        <f t="shared" si="86"/>
        <v>2024</v>
      </c>
      <c r="P2778">
        <f t="shared" si="87"/>
        <v>6</v>
      </c>
      <c r="Q2778" t="s">
        <v>325</v>
      </c>
      <c r="R2778" s="546" t="s">
        <v>804</v>
      </c>
    </row>
    <row r="2779" spans="1:18" x14ac:dyDescent="0.3">
      <c r="A2779" t="s">
        <v>627</v>
      </c>
      <c r="B2779" s="16">
        <v>45453</v>
      </c>
      <c r="C2779" t="s">
        <v>2</v>
      </c>
      <c r="D2779" t="s">
        <v>55</v>
      </c>
      <c r="E2779">
        <v>11244</v>
      </c>
      <c r="F2779">
        <v>7108</v>
      </c>
      <c r="G2779">
        <v>0</v>
      </c>
      <c r="H2779">
        <v>1</v>
      </c>
      <c r="I2779">
        <v>0</v>
      </c>
      <c r="J2779">
        <v>0</v>
      </c>
      <c r="K2779">
        <v>0</v>
      </c>
      <c r="L2779">
        <v>0</v>
      </c>
      <c r="M2779">
        <v>2</v>
      </c>
      <c r="N2779">
        <v>204</v>
      </c>
      <c r="O2779">
        <f t="shared" si="86"/>
        <v>2024</v>
      </c>
      <c r="P2779">
        <f t="shared" si="87"/>
        <v>6</v>
      </c>
      <c r="Q2779" t="s">
        <v>325</v>
      </c>
      <c r="R2779" s="546" t="s">
        <v>804</v>
      </c>
    </row>
    <row r="2780" spans="1:18" x14ac:dyDescent="0.3">
      <c r="A2780" t="s">
        <v>627</v>
      </c>
      <c r="B2780" s="16">
        <v>45453</v>
      </c>
      <c r="C2780" t="s">
        <v>3</v>
      </c>
      <c r="D2780" t="s">
        <v>156</v>
      </c>
      <c r="E2780">
        <v>1</v>
      </c>
      <c r="F2780">
        <v>1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1</v>
      </c>
      <c r="O2780">
        <f t="shared" si="86"/>
        <v>2024</v>
      </c>
      <c r="P2780">
        <f t="shared" si="87"/>
        <v>6</v>
      </c>
      <c r="Q2780" t="s">
        <v>325</v>
      </c>
      <c r="R2780" s="546" t="s">
        <v>804</v>
      </c>
    </row>
    <row r="2781" spans="1:18" x14ac:dyDescent="0.3">
      <c r="A2781" t="s">
        <v>627</v>
      </c>
      <c r="B2781" s="16">
        <v>45453</v>
      </c>
      <c r="C2781" t="s">
        <v>3</v>
      </c>
      <c r="D2781" t="s">
        <v>155</v>
      </c>
      <c r="E2781">
        <v>3</v>
      </c>
      <c r="F2781">
        <v>2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3</v>
      </c>
      <c r="O2781">
        <f t="shared" si="86"/>
        <v>2024</v>
      </c>
      <c r="P2781">
        <f t="shared" si="87"/>
        <v>6</v>
      </c>
      <c r="Q2781" t="s">
        <v>325</v>
      </c>
      <c r="R2781" s="546" t="s">
        <v>804</v>
      </c>
    </row>
    <row r="2782" spans="1:18" x14ac:dyDescent="0.3">
      <c r="A2782" t="s">
        <v>627</v>
      </c>
      <c r="B2782" s="16">
        <v>45453</v>
      </c>
      <c r="C2782" t="s">
        <v>3</v>
      </c>
      <c r="D2782" t="s">
        <v>154</v>
      </c>
      <c r="E2782">
        <v>23</v>
      </c>
      <c r="F2782">
        <v>14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8</v>
      </c>
      <c r="N2782">
        <v>5</v>
      </c>
      <c r="O2782">
        <f t="shared" si="86"/>
        <v>2024</v>
      </c>
      <c r="P2782">
        <f t="shared" si="87"/>
        <v>6</v>
      </c>
      <c r="Q2782" t="s">
        <v>325</v>
      </c>
      <c r="R2782" s="546" t="s">
        <v>804</v>
      </c>
    </row>
    <row r="2783" spans="1:18" x14ac:dyDescent="0.3">
      <c r="A2783" t="s">
        <v>627</v>
      </c>
      <c r="B2783" s="16">
        <v>45453</v>
      </c>
      <c r="C2783" t="s">
        <v>3</v>
      </c>
      <c r="D2783" t="s">
        <v>153</v>
      </c>
      <c r="E2783">
        <v>289</v>
      </c>
      <c r="F2783">
        <v>75</v>
      </c>
      <c r="G2783">
        <v>17</v>
      </c>
      <c r="H2783">
        <v>1</v>
      </c>
      <c r="I2783">
        <v>44612.800000000003</v>
      </c>
      <c r="J2783">
        <v>19</v>
      </c>
      <c r="K2783">
        <v>44612.800000000003</v>
      </c>
      <c r="L2783">
        <v>19</v>
      </c>
      <c r="M2783">
        <v>73</v>
      </c>
      <c r="N2783">
        <v>275</v>
      </c>
      <c r="O2783">
        <f t="shared" si="86"/>
        <v>2024</v>
      </c>
      <c r="P2783">
        <f t="shared" si="87"/>
        <v>6</v>
      </c>
      <c r="Q2783" t="s">
        <v>325</v>
      </c>
      <c r="R2783" s="546" t="s">
        <v>804</v>
      </c>
    </row>
    <row r="2784" spans="1:18" x14ac:dyDescent="0.3">
      <c r="A2784" t="s">
        <v>627</v>
      </c>
      <c r="B2784" s="16">
        <v>45453</v>
      </c>
      <c r="C2784" t="s">
        <v>3</v>
      </c>
      <c r="D2784" t="s">
        <v>152</v>
      </c>
      <c r="E2784">
        <v>6</v>
      </c>
      <c r="F2784">
        <v>1</v>
      </c>
      <c r="G2784">
        <v>0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6</v>
      </c>
      <c r="O2784">
        <f t="shared" si="86"/>
        <v>2024</v>
      </c>
      <c r="P2784">
        <f t="shared" si="87"/>
        <v>6</v>
      </c>
      <c r="Q2784" t="s">
        <v>325</v>
      </c>
      <c r="R2784" s="546" t="s">
        <v>804</v>
      </c>
    </row>
    <row r="2785" spans="1:18" x14ac:dyDescent="0.3">
      <c r="A2785" t="s">
        <v>627</v>
      </c>
      <c r="B2785" s="16">
        <v>45453</v>
      </c>
      <c r="C2785" t="s">
        <v>3</v>
      </c>
      <c r="D2785" t="s">
        <v>150</v>
      </c>
      <c r="E2785">
        <v>7</v>
      </c>
      <c r="F2785">
        <v>4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1</v>
      </c>
      <c r="N2785">
        <v>7</v>
      </c>
      <c r="O2785">
        <f t="shared" si="86"/>
        <v>2024</v>
      </c>
      <c r="P2785">
        <f t="shared" si="87"/>
        <v>6</v>
      </c>
      <c r="Q2785" t="s">
        <v>325</v>
      </c>
      <c r="R2785" s="546" t="s">
        <v>804</v>
      </c>
    </row>
    <row r="2786" spans="1:18" x14ac:dyDescent="0.3">
      <c r="A2786" t="s">
        <v>627</v>
      </c>
      <c r="B2786" s="16">
        <v>45453</v>
      </c>
      <c r="C2786" t="s">
        <v>3</v>
      </c>
      <c r="D2786" t="s">
        <v>149</v>
      </c>
      <c r="E2786">
        <v>307</v>
      </c>
      <c r="F2786">
        <v>221</v>
      </c>
      <c r="G2786">
        <v>5</v>
      </c>
      <c r="H2786">
        <v>2</v>
      </c>
      <c r="I2786">
        <v>1980</v>
      </c>
      <c r="J2786">
        <v>1</v>
      </c>
      <c r="K2786">
        <v>1980</v>
      </c>
      <c r="L2786">
        <v>1</v>
      </c>
      <c r="M2786">
        <v>82</v>
      </c>
      <c r="N2786">
        <v>279</v>
      </c>
      <c r="O2786">
        <f t="shared" si="86"/>
        <v>2024</v>
      </c>
      <c r="P2786">
        <f t="shared" si="87"/>
        <v>6</v>
      </c>
      <c r="Q2786" t="s">
        <v>325</v>
      </c>
      <c r="R2786" s="546" t="s">
        <v>804</v>
      </c>
    </row>
    <row r="2787" spans="1:18" x14ac:dyDescent="0.3">
      <c r="A2787" t="s">
        <v>627</v>
      </c>
      <c r="B2787" s="16">
        <v>45453</v>
      </c>
      <c r="C2787" t="s">
        <v>3</v>
      </c>
      <c r="D2787" t="s">
        <v>147</v>
      </c>
      <c r="E2787">
        <v>16</v>
      </c>
      <c r="F2787">
        <v>13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16</v>
      </c>
      <c r="O2787">
        <f t="shared" si="86"/>
        <v>2024</v>
      </c>
      <c r="P2787">
        <f t="shared" si="87"/>
        <v>6</v>
      </c>
      <c r="Q2787" t="s">
        <v>325</v>
      </c>
      <c r="R2787" s="546" t="s">
        <v>804</v>
      </c>
    </row>
    <row r="2788" spans="1:18" x14ac:dyDescent="0.3">
      <c r="A2788" t="s">
        <v>627</v>
      </c>
      <c r="B2788" s="16">
        <v>45453</v>
      </c>
      <c r="C2788" t="s">
        <v>3</v>
      </c>
      <c r="D2788" t="s">
        <v>251</v>
      </c>
      <c r="E2788">
        <v>483</v>
      </c>
      <c r="F2788">
        <v>215</v>
      </c>
      <c r="G2788">
        <v>3</v>
      </c>
      <c r="H2788">
        <v>3</v>
      </c>
      <c r="I2788">
        <v>9630</v>
      </c>
      <c r="J2788">
        <v>3</v>
      </c>
      <c r="K2788">
        <v>4875</v>
      </c>
      <c r="L2788">
        <v>2</v>
      </c>
      <c r="M2788">
        <v>71</v>
      </c>
      <c r="N2788">
        <v>437</v>
      </c>
      <c r="O2788">
        <f t="shared" si="86"/>
        <v>2024</v>
      </c>
      <c r="P2788">
        <f t="shared" si="87"/>
        <v>6</v>
      </c>
      <c r="Q2788" t="s">
        <v>325</v>
      </c>
      <c r="R2788" s="546" t="s">
        <v>804</v>
      </c>
    </row>
    <row r="2789" spans="1:18" x14ac:dyDescent="0.3">
      <c r="A2789" t="s">
        <v>627</v>
      </c>
      <c r="B2789" s="16">
        <v>45453</v>
      </c>
      <c r="C2789" t="s">
        <v>3</v>
      </c>
      <c r="D2789" t="s">
        <v>143</v>
      </c>
      <c r="E2789">
        <v>11</v>
      </c>
      <c r="F2789">
        <v>9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11</v>
      </c>
      <c r="O2789">
        <f t="shared" si="86"/>
        <v>2024</v>
      </c>
      <c r="P2789">
        <f t="shared" si="87"/>
        <v>6</v>
      </c>
      <c r="Q2789" t="s">
        <v>325</v>
      </c>
      <c r="R2789" s="546" t="s">
        <v>804</v>
      </c>
    </row>
    <row r="2790" spans="1:18" x14ac:dyDescent="0.3">
      <c r="A2790" t="s">
        <v>627</v>
      </c>
      <c r="B2790" s="16">
        <v>45453</v>
      </c>
      <c r="C2790" t="s">
        <v>3</v>
      </c>
      <c r="D2790" t="s">
        <v>139</v>
      </c>
      <c r="E2790">
        <v>483</v>
      </c>
      <c r="F2790">
        <v>257</v>
      </c>
      <c r="G2790">
        <v>14</v>
      </c>
      <c r="H2790">
        <v>6</v>
      </c>
      <c r="I2790">
        <v>21279.5</v>
      </c>
      <c r="J2790">
        <v>7</v>
      </c>
      <c r="K2790">
        <v>18283.5</v>
      </c>
      <c r="L2790">
        <v>7</v>
      </c>
      <c r="M2790">
        <v>275</v>
      </c>
      <c r="N2790">
        <v>312</v>
      </c>
      <c r="O2790">
        <f t="shared" si="86"/>
        <v>2024</v>
      </c>
      <c r="P2790">
        <f t="shared" si="87"/>
        <v>6</v>
      </c>
      <c r="Q2790" t="s">
        <v>325</v>
      </c>
      <c r="R2790" s="546" t="s">
        <v>804</v>
      </c>
    </row>
    <row r="2791" spans="1:18" x14ac:dyDescent="0.3">
      <c r="A2791" t="s">
        <v>627</v>
      </c>
      <c r="B2791" s="16">
        <v>45453</v>
      </c>
      <c r="C2791" t="s">
        <v>3</v>
      </c>
      <c r="D2791" t="s">
        <v>138</v>
      </c>
      <c r="E2791">
        <v>5</v>
      </c>
      <c r="F2791">
        <v>2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5</v>
      </c>
      <c r="O2791">
        <f t="shared" si="86"/>
        <v>2024</v>
      </c>
      <c r="P2791">
        <f t="shared" si="87"/>
        <v>6</v>
      </c>
      <c r="Q2791" t="s">
        <v>325</v>
      </c>
      <c r="R2791" s="546" t="s">
        <v>804</v>
      </c>
    </row>
    <row r="2792" spans="1:18" x14ac:dyDescent="0.3">
      <c r="A2792" t="s">
        <v>627</v>
      </c>
      <c r="B2792" s="16">
        <v>45453</v>
      </c>
      <c r="C2792" t="s">
        <v>3</v>
      </c>
      <c r="D2792" t="s">
        <v>137</v>
      </c>
      <c r="E2792">
        <v>5</v>
      </c>
      <c r="F2792">
        <v>5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5</v>
      </c>
      <c r="O2792">
        <f t="shared" si="86"/>
        <v>2024</v>
      </c>
      <c r="P2792">
        <f t="shared" si="87"/>
        <v>6</v>
      </c>
      <c r="Q2792" t="s">
        <v>325</v>
      </c>
      <c r="R2792" s="546" t="s">
        <v>804</v>
      </c>
    </row>
    <row r="2793" spans="1:18" x14ac:dyDescent="0.3">
      <c r="A2793" t="s">
        <v>627</v>
      </c>
      <c r="B2793" s="16">
        <v>45453</v>
      </c>
      <c r="C2793" t="s">
        <v>3</v>
      </c>
      <c r="D2793" t="s">
        <v>133</v>
      </c>
      <c r="E2793">
        <v>14</v>
      </c>
      <c r="F2793">
        <v>8</v>
      </c>
      <c r="G2793">
        <v>1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4</v>
      </c>
      <c r="N2793">
        <v>13</v>
      </c>
      <c r="O2793">
        <f t="shared" si="86"/>
        <v>2024</v>
      </c>
      <c r="P2793">
        <f t="shared" si="87"/>
        <v>6</v>
      </c>
      <c r="Q2793" t="s">
        <v>325</v>
      </c>
      <c r="R2793" s="546" t="s">
        <v>804</v>
      </c>
    </row>
    <row r="2794" spans="1:18" x14ac:dyDescent="0.3">
      <c r="A2794" t="s">
        <v>627</v>
      </c>
      <c r="B2794" s="16">
        <v>45453</v>
      </c>
      <c r="C2794" t="s">
        <v>3</v>
      </c>
      <c r="D2794" t="s">
        <v>130</v>
      </c>
      <c r="E2794">
        <v>47</v>
      </c>
      <c r="F2794">
        <v>16</v>
      </c>
      <c r="G2794">
        <v>3</v>
      </c>
      <c r="H2794">
        <v>1</v>
      </c>
      <c r="I2794">
        <v>19815</v>
      </c>
      <c r="J2794">
        <v>6</v>
      </c>
      <c r="K2794">
        <v>16819</v>
      </c>
      <c r="L2794">
        <v>6</v>
      </c>
      <c r="M2794">
        <v>18</v>
      </c>
      <c r="N2794">
        <v>45</v>
      </c>
      <c r="O2794">
        <f t="shared" si="86"/>
        <v>2024</v>
      </c>
      <c r="P2794">
        <f t="shared" si="87"/>
        <v>6</v>
      </c>
      <c r="Q2794" t="s">
        <v>325</v>
      </c>
      <c r="R2794" s="546" t="s">
        <v>804</v>
      </c>
    </row>
    <row r="2795" spans="1:18" x14ac:dyDescent="0.3">
      <c r="A2795" t="s">
        <v>627</v>
      </c>
      <c r="B2795" s="16">
        <v>45453</v>
      </c>
      <c r="C2795" t="s">
        <v>3</v>
      </c>
      <c r="D2795" t="s">
        <v>129</v>
      </c>
      <c r="E2795">
        <v>1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1</v>
      </c>
      <c r="O2795">
        <f t="shared" si="86"/>
        <v>2024</v>
      </c>
      <c r="P2795">
        <f t="shared" si="87"/>
        <v>6</v>
      </c>
      <c r="Q2795" t="s">
        <v>325</v>
      </c>
      <c r="R2795" s="546" t="s">
        <v>804</v>
      </c>
    </row>
    <row r="2796" spans="1:18" x14ac:dyDescent="0.3">
      <c r="A2796" t="s">
        <v>627</v>
      </c>
      <c r="B2796" s="16">
        <v>45453</v>
      </c>
      <c r="C2796" t="s">
        <v>3</v>
      </c>
      <c r="D2796" t="s">
        <v>128</v>
      </c>
      <c r="E2796">
        <v>888</v>
      </c>
      <c r="F2796">
        <v>701</v>
      </c>
      <c r="G2796">
        <v>32</v>
      </c>
      <c r="H2796">
        <v>15</v>
      </c>
      <c r="I2796">
        <v>25428.5</v>
      </c>
      <c r="J2796">
        <v>11</v>
      </c>
      <c r="K2796">
        <v>17183.5</v>
      </c>
      <c r="L2796">
        <v>9</v>
      </c>
      <c r="M2796">
        <v>255</v>
      </c>
      <c r="N2796">
        <v>786</v>
      </c>
      <c r="O2796">
        <f t="shared" si="86"/>
        <v>2024</v>
      </c>
      <c r="P2796">
        <f t="shared" si="87"/>
        <v>6</v>
      </c>
      <c r="Q2796" t="s">
        <v>325</v>
      </c>
      <c r="R2796" s="546" t="s">
        <v>804</v>
      </c>
    </row>
    <row r="2797" spans="1:18" x14ac:dyDescent="0.3">
      <c r="A2797" t="s">
        <v>627</v>
      </c>
      <c r="B2797" s="16">
        <v>45453</v>
      </c>
      <c r="C2797" t="s">
        <v>3</v>
      </c>
      <c r="D2797" t="s">
        <v>127</v>
      </c>
      <c r="E2797">
        <v>2070</v>
      </c>
      <c r="F2797">
        <v>1188</v>
      </c>
      <c r="G2797">
        <v>32</v>
      </c>
      <c r="H2797">
        <v>18</v>
      </c>
      <c r="I2797">
        <v>9882.5</v>
      </c>
      <c r="J2797">
        <v>3</v>
      </c>
      <c r="K2797">
        <v>6886.5</v>
      </c>
      <c r="L2797">
        <v>3</v>
      </c>
      <c r="M2797">
        <v>195</v>
      </c>
      <c r="N2797">
        <v>1912</v>
      </c>
      <c r="O2797">
        <f t="shared" si="86"/>
        <v>2024</v>
      </c>
      <c r="P2797">
        <f t="shared" si="87"/>
        <v>6</v>
      </c>
      <c r="Q2797" t="s">
        <v>325</v>
      </c>
      <c r="R2797" s="546" t="s">
        <v>804</v>
      </c>
    </row>
    <row r="2798" spans="1:18" x14ac:dyDescent="0.3">
      <c r="A2798" t="s">
        <v>627</v>
      </c>
      <c r="B2798" s="16">
        <v>45453</v>
      </c>
      <c r="C2798" t="s">
        <v>3</v>
      </c>
      <c r="D2798" t="s">
        <v>126</v>
      </c>
      <c r="E2798">
        <v>82</v>
      </c>
      <c r="F2798">
        <v>62</v>
      </c>
      <c r="G2798">
        <v>3</v>
      </c>
      <c r="H2798">
        <v>1</v>
      </c>
      <c r="I2798">
        <v>4755</v>
      </c>
      <c r="J2798">
        <v>1</v>
      </c>
      <c r="K2798">
        <v>0</v>
      </c>
      <c r="L2798">
        <v>0</v>
      </c>
      <c r="M2798">
        <v>16</v>
      </c>
      <c r="N2798">
        <v>80</v>
      </c>
      <c r="O2798">
        <f t="shared" si="86"/>
        <v>2024</v>
      </c>
      <c r="P2798">
        <f t="shared" si="87"/>
        <v>6</v>
      </c>
      <c r="Q2798" t="s">
        <v>325</v>
      </c>
      <c r="R2798" s="546" t="s">
        <v>804</v>
      </c>
    </row>
    <row r="2799" spans="1:18" x14ac:dyDescent="0.3">
      <c r="A2799" t="s">
        <v>627</v>
      </c>
      <c r="B2799" s="16">
        <v>45453</v>
      </c>
      <c r="C2799" t="s">
        <v>3</v>
      </c>
      <c r="D2799" t="s">
        <v>125</v>
      </c>
      <c r="E2799">
        <v>2</v>
      </c>
      <c r="F2799">
        <v>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2</v>
      </c>
      <c r="O2799">
        <f t="shared" ref="O2799:O2862" si="88">YEAR(B2799)</f>
        <v>2024</v>
      </c>
      <c r="P2799">
        <f t="shared" ref="P2799:P2862" si="89">MONTH(B2799)</f>
        <v>6</v>
      </c>
      <c r="Q2799" t="s">
        <v>325</v>
      </c>
      <c r="R2799" s="546" t="s">
        <v>804</v>
      </c>
    </row>
    <row r="2800" spans="1:18" x14ac:dyDescent="0.3">
      <c r="A2800" t="s">
        <v>627</v>
      </c>
      <c r="B2800" s="16">
        <v>45453</v>
      </c>
      <c r="C2800" t="s">
        <v>3</v>
      </c>
      <c r="D2800" t="s">
        <v>123</v>
      </c>
      <c r="E2800">
        <v>250</v>
      </c>
      <c r="F2800">
        <v>133</v>
      </c>
      <c r="G2800">
        <v>10</v>
      </c>
      <c r="H2800">
        <v>2</v>
      </c>
      <c r="I2800">
        <v>3975</v>
      </c>
      <c r="J2800">
        <v>1</v>
      </c>
      <c r="K2800">
        <v>3975</v>
      </c>
      <c r="L2800">
        <v>1</v>
      </c>
      <c r="M2800">
        <v>90</v>
      </c>
      <c r="N2800">
        <v>206</v>
      </c>
      <c r="O2800">
        <f t="shared" si="88"/>
        <v>2024</v>
      </c>
      <c r="P2800">
        <f t="shared" si="89"/>
        <v>6</v>
      </c>
      <c r="Q2800" t="s">
        <v>325</v>
      </c>
      <c r="R2800" s="546" t="s">
        <v>804</v>
      </c>
    </row>
    <row r="2801" spans="1:18" x14ac:dyDescent="0.3">
      <c r="A2801" t="s">
        <v>627</v>
      </c>
      <c r="B2801" s="16">
        <v>45453</v>
      </c>
      <c r="C2801" t="s">
        <v>3</v>
      </c>
      <c r="D2801" t="s">
        <v>120</v>
      </c>
      <c r="E2801">
        <v>493</v>
      </c>
      <c r="F2801">
        <v>290</v>
      </c>
      <c r="G2801">
        <v>2</v>
      </c>
      <c r="H2801">
        <v>1</v>
      </c>
      <c r="I2801">
        <v>3223</v>
      </c>
      <c r="J2801">
        <v>2</v>
      </c>
      <c r="K2801">
        <v>3223</v>
      </c>
      <c r="L2801">
        <v>2</v>
      </c>
      <c r="M2801">
        <v>59</v>
      </c>
      <c r="N2801">
        <v>482</v>
      </c>
      <c r="O2801">
        <f t="shared" si="88"/>
        <v>2024</v>
      </c>
      <c r="P2801">
        <f t="shared" si="89"/>
        <v>6</v>
      </c>
      <c r="Q2801" t="s">
        <v>325</v>
      </c>
      <c r="R2801" s="546" t="s">
        <v>804</v>
      </c>
    </row>
    <row r="2802" spans="1:18" x14ac:dyDescent="0.3">
      <c r="A2802" t="s">
        <v>627</v>
      </c>
      <c r="B2802" s="16">
        <v>45453</v>
      </c>
      <c r="C2802" t="s">
        <v>3</v>
      </c>
      <c r="D2802" t="s">
        <v>119</v>
      </c>
      <c r="E2802">
        <v>232</v>
      </c>
      <c r="F2802">
        <v>82</v>
      </c>
      <c r="G2802">
        <v>11</v>
      </c>
      <c r="H2802">
        <v>4</v>
      </c>
      <c r="I2802">
        <v>26803.15</v>
      </c>
      <c r="J2802">
        <v>9</v>
      </c>
      <c r="K2802">
        <v>23315.15</v>
      </c>
      <c r="L2802">
        <v>9</v>
      </c>
      <c r="M2802">
        <v>70</v>
      </c>
      <c r="N2802">
        <v>215</v>
      </c>
      <c r="O2802">
        <f t="shared" si="88"/>
        <v>2024</v>
      </c>
      <c r="P2802">
        <f t="shared" si="89"/>
        <v>6</v>
      </c>
      <c r="Q2802" t="s">
        <v>325</v>
      </c>
      <c r="R2802" s="546" t="s">
        <v>804</v>
      </c>
    </row>
    <row r="2803" spans="1:18" x14ac:dyDescent="0.3">
      <c r="A2803" t="s">
        <v>627</v>
      </c>
      <c r="B2803" s="16">
        <v>45453</v>
      </c>
      <c r="C2803" t="s">
        <v>3</v>
      </c>
      <c r="D2803" t="s">
        <v>116</v>
      </c>
      <c r="E2803">
        <v>2</v>
      </c>
      <c r="F2803">
        <v>2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2</v>
      </c>
      <c r="O2803">
        <f t="shared" si="88"/>
        <v>2024</v>
      </c>
      <c r="P2803">
        <f t="shared" si="89"/>
        <v>6</v>
      </c>
      <c r="Q2803" t="s">
        <v>325</v>
      </c>
      <c r="R2803" s="546" t="s">
        <v>804</v>
      </c>
    </row>
    <row r="2804" spans="1:18" x14ac:dyDescent="0.3">
      <c r="A2804" t="s">
        <v>627</v>
      </c>
      <c r="B2804" s="16">
        <v>45453</v>
      </c>
      <c r="C2804" t="s">
        <v>3</v>
      </c>
      <c r="D2804" t="s">
        <v>114</v>
      </c>
      <c r="E2804">
        <v>86</v>
      </c>
      <c r="F2804">
        <v>41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14</v>
      </c>
      <c r="N2804">
        <v>71</v>
      </c>
      <c r="O2804">
        <f t="shared" si="88"/>
        <v>2024</v>
      </c>
      <c r="P2804">
        <f t="shared" si="89"/>
        <v>6</v>
      </c>
      <c r="Q2804" t="s">
        <v>325</v>
      </c>
      <c r="R2804" s="546" t="s">
        <v>804</v>
      </c>
    </row>
    <row r="2805" spans="1:18" x14ac:dyDescent="0.3">
      <c r="A2805" t="s">
        <v>627</v>
      </c>
      <c r="B2805" s="16">
        <v>45453</v>
      </c>
      <c r="C2805" t="s">
        <v>3</v>
      </c>
      <c r="D2805" t="s">
        <v>113</v>
      </c>
      <c r="E2805">
        <v>96</v>
      </c>
      <c r="F2805">
        <v>59</v>
      </c>
      <c r="G2805">
        <v>2</v>
      </c>
      <c r="H2805">
        <v>1</v>
      </c>
      <c r="I2805">
        <v>0</v>
      </c>
      <c r="J2805">
        <v>0</v>
      </c>
      <c r="K2805">
        <v>0</v>
      </c>
      <c r="L2805">
        <v>0</v>
      </c>
      <c r="M2805">
        <v>82</v>
      </c>
      <c r="N2805">
        <v>46</v>
      </c>
      <c r="O2805">
        <f t="shared" si="88"/>
        <v>2024</v>
      </c>
      <c r="P2805">
        <f t="shared" si="89"/>
        <v>6</v>
      </c>
      <c r="Q2805" t="s">
        <v>325</v>
      </c>
      <c r="R2805" s="546" t="s">
        <v>804</v>
      </c>
    </row>
    <row r="2806" spans="1:18" x14ac:dyDescent="0.3">
      <c r="A2806" t="s">
        <v>627</v>
      </c>
      <c r="B2806" s="16">
        <v>45453</v>
      </c>
      <c r="C2806" t="s">
        <v>3</v>
      </c>
      <c r="D2806" t="s">
        <v>112</v>
      </c>
      <c r="E2806">
        <v>19</v>
      </c>
      <c r="F2806">
        <v>8</v>
      </c>
      <c r="G2806">
        <v>0</v>
      </c>
      <c r="H2806">
        <v>0</v>
      </c>
      <c r="I2806">
        <v>1488</v>
      </c>
      <c r="J2806">
        <v>1</v>
      </c>
      <c r="K2806">
        <v>1488</v>
      </c>
      <c r="L2806">
        <v>1</v>
      </c>
      <c r="M2806">
        <v>0</v>
      </c>
      <c r="N2806">
        <v>19</v>
      </c>
      <c r="O2806">
        <f t="shared" si="88"/>
        <v>2024</v>
      </c>
      <c r="P2806">
        <f t="shared" si="89"/>
        <v>6</v>
      </c>
      <c r="Q2806" t="s">
        <v>325</v>
      </c>
      <c r="R2806" s="546" t="s">
        <v>804</v>
      </c>
    </row>
    <row r="2807" spans="1:18" x14ac:dyDescent="0.3">
      <c r="A2807" t="s">
        <v>627</v>
      </c>
      <c r="B2807" s="16">
        <v>45453</v>
      </c>
      <c r="C2807" t="s">
        <v>3</v>
      </c>
      <c r="D2807" t="s">
        <v>111</v>
      </c>
      <c r="E2807">
        <v>6</v>
      </c>
      <c r="F2807">
        <v>4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6</v>
      </c>
      <c r="O2807">
        <f t="shared" si="88"/>
        <v>2024</v>
      </c>
      <c r="P2807">
        <f t="shared" si="89"/>
        <v>6</v>
      </c>
      <c r="Q2807" t="s">
        <v>325</v>
      </c>
      <c r="R2807" s="546" t="s">
        <v>804</v>
      </c>
    </row>
    <row r="2808" spans="1:18" x14ac:dyDescent="0.3">
      <c r="A2808" t="s">
        <v>627</v>
      </c>
      <c r="B2808" s="16">
        <v>45452</v>
      </c>
      <c r="C2808" t="s">
        <v>2</v>
      </c>
      <c r="D2808" t="s">
        <v>4</v>
      </c>
      <c r="E2808">
        <v>1704</v>
      </c>
      <c r="F2808">
        <v>587</v>
      </c>
      <c r="G2808">
        <v>1</v>
      </c>
      <c r="H2808">
        <v>2</v>
      </c>
      <c r="I2808">
        <v>1677</v>
      </c>
      <c r="J2808">
        <v>1</v>
      </c>
      <c r="K2808">
        <v>1677</v>
      </c>
      <c r="L2808">
        <v>1</v>
      </c>
      <c r="M2808">
        <v>19</v>
      </c>
      <c r="N2808">
        <v>1692</v>
      </c>
      <c r="O2808">
        <f t="shared" si="88"/>
        <v>2024</v>
      </c>
      <c r="P2808">
        <f t="shared" si="89"/>
        <v>6</v>
      </c>
      <c r="Q2808" t="s">
        <v>325</v>
      </c>
      <c r="R2808" s="546" t="s">
        <v>804</v>
      </c>
    </row>
    <row r="2809" spans="1:18" x14ac:dyDescent="0.3">
      <c r="A2809" t="s">
        <v>627</v>
      </c>
      <c r="B2809" s="16">
        <v>45452</v>
      </c>
      <c r="C2809" t="s">
        <v>2</v>
      </c>
      <c r="D2809" t="s">
        <v>57</v>
      </c>
      <c r="E2809">
        <v>20299</v>
      </c>
      <c r="F2809">
        <v>12953</v>
      </c>
      <c r="G2809">
        <v>118</v>
      </c>
      <c r="H2809">
        <v>79</v>
      </c>
      <c r="I2809">
        <v>35109</v>
      </c>
      <c r="J2809">
        <v>9</v>
      </c>
      <c r="K2809">
        <v>35109</v>
      </c>
      <c r="L2809">
        <v>9</v>
      </c>
      <c r="M2809">
        <v>736</v>
      </c>
      <c r="N2809">
        <v>20260</v>
      </c>
      <c r="O2809">
        <f t="shared" si="88"/>
        <v>2024</v>
      </c>
      <c r="P2809">
        <f t="shared" si="89"/>
        <v>6</v>
      </c>
      <c r="Q2809" t="s">
        <v>325</v>
      </c>
      <c r="R2809" s="546" t="s">
        <v>804</v>
      </c>
    </row>
    <row r="2810" spans="1:18" x14ac:dyDescent="0.3">
      <c r="A2810" t="s">
        <v>627</v>
      </c>
      <c r="B2810" s="16">
        <v>45452</v>
      </c>
      <c r="C2810" t="s">
        <v>2</v>
      </c>
      <c r="D2810" t="s">
        <v>52</v>
      </c>
      <c r="E2810">
        <v>3336</v>
      </c>
      <c r="F2810">
        <v>2723</v>
      </c>
      <c r="G2810">
        <v>16</v>
      </c>
      <c r="H2810">
        <v>10</v>
      </c>
      <c r="I2810">
        <v>53490</v>
      </c>
      <c r="J2810">
        <v>4</v>
      </c>
      <c r="K2810">
        <v>38545</v>
      </c>
      <c r="L2810">
        <v>3</v>
      </c>
      <c r="M2810">
        <v>3335</v>
      </c>
      <c r="N2810">
        <v>672</v>
      </c>
      <c r="O2810">
        <f t="shared" si="88"/>
        <v>2024</v>
      </c>
      <c r="P2810">
        <f t="shared" si="89"/>
        <v>6</v>
      </c>
      <c r="Q2810" t="s">
        <v>325</v>
      </c>
      <c r="R2810" s="546" t="s">
        <v>804</v>
      </c>
    </row>
    <row r="2811" spans="1:18" x14ac:dyDescent="0.3">
      <c r="A2811" t="s">
        <v>627</v>
      </c>
      <c r="B2811" s="16">
        <v>45452</v>
      </c>
      <c r="C2811" t="s">
        <v>2</v>
      </c>
      <c r="D2811" t="s">
        <v>55</v>
      </c>
      <c r="E2811">
        <v>14494</v>
      </c>
      <c r="F2811">
        <v>10755</v>
      </c>
      <c r="G2811">
        <v>4</v>
      </c>
      <c r="H2811">
        <v>1</v>
      </c>
      <c r="I2811">
        <v>0</v>
      </c>
      <c r="J2811">
        <v>0</v>
      </c>
      <c r="K2811">
        <v>0</v>
      </c>
      <c r="L2811">
        <v>0</v>
      </c>
      <c r="M2811">
        <v>22</v>
      </c>
      <c r="N2811">
        <v>1156</v>
      </c>
      <c r="O2811">
        <f t="shared" si="88"/>
        <v>2024</v>
      </c>
      <c r="P2811">
        <f t="shared" si="89"/>
        <v>6</v>
      </c>
      <c r="Q2811" t="s">
        <v>325</v>
      </c>
      <c r="R2811" s="546" t="s">
        <v>804</v>
      </c>
    </row>
    <row r="2812" spans="1:18" x14ac:dyDescent="0.3">
      <c r="A2812" t="s">
        <v>627</v>
      </c>
      <c r="B2812" s="16">
        <v>45452</v>
      </c>
      <c r="C2812" t="s">
        <v>3</v>
      </c>
      <c r="D2812" t="s">
        <v>155</v>
      </c>
      <c r="E2812">
        <v>4</v>
      </c>
      <c r="F2812">
        <v>3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4</v>
      </c>
      <c r="O2812">
        <f t="shared" si="88"/>
        <v>2024</v>
      </c>
      <c r="P2812">
        <f t="shared" si="89"/>
        <v>6</v>
      </c>
      <c r="Q2812" t="s">
        <v>325</v>
      </c>
      <c r="R2812" s="546" t="s">
        <v>804</v>
      </c>
    </row>
    <row r="2813" spans="1:18" x14ac:dyDescent="0.3">
      <c r="A2813" t="s">
        <v>627</v>
      </c>
      <c r="B2813" s="16">
        <v>45452</v>
      </c>
      <c r="C2813" t="s">
        <v>3</v>
      </c>
      <c r="D2813" t="s">
        <v>154</v>
      </c>
      <c r="E2813">
        <v>1918</v>
      </c>
      <c r="F2813">
        <v>1862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9</v>
      </c>
      <c r="N2813">
        <v>10</v>
      </c>
      <c r="O2813">
        <f t="shared" si="88"/>
        <v>2024</v>
      </c>
      <c r="P2813">
        <f t="shared" si="89"/>
        <v>6</v>
      </c>
      <c r="Q2813" t="s">
        <v>325</v>
      </c>
      <c r="R2813" s="546" t="s">
        <v>804</v>
      </c>
    </row>
    <row r="2814" spans="1:18" x14ac:dyDescent="0.3">
      <c r="A2814" t="s">
        <v>627</v>
      </c>
      <c r="B2814" s="16">
        <v>45452</v>
      </c>
      <c r="C2814" t="s">
        <v>3</v>
      </c>
      <c r="D2814" t="s">
        <v>153</v>
      </c>
      <c r="E2814">
        <v>305</v>
      </c>
      <c r="F2814">
        <v>78</v>
      </c>
      <c r="G2814">
        <v>16</v>
      </c>
      <c r="H2814">
        <v>0</v>
      </c>
      <c r="I2814">
        <v>81182.850000000006</v>
      </c>
      <c r="J2814">
        <v>18</v>
      </c>
      <c r="K2814">
        <v>76879.850000000006</v>
      </c>
      <c r="L2814">
        <v>18</v>
      </c>
      <c r="M2814">
        <v>71</v>
      </c>
      <c r="N2814">
        <v>297</v>
      </c>
      <c r="O2814">
        <f t="shared" si="88"/>
        <v>2024</v>
      </c>
      <c r="P2814">
        <f t="shared" si="89"/>
        <v>6</v>
      </c>
      <c r="Q2814" t="s">
        <v>325</v>
      </c>
      <c r="R2814" s="546" t="s">
        <v>804</v>
      </c>
    </row>
    <row r="2815" spans="1:18" x14ac:dyDescent="0.3">
      <c r="A2815" t="s">
        <v>627</v>
      </c>
      <c r="B2815" s="16">
        <v>45452</v>
      </c>
      <c r="C2815" t="s">
        <v>3</v>
      </c>
      <c r="D2815" t="s">
        <v>152</v>
      </c>
      <c r="E2815">
        <v>11</v>
      </c>
      <c r="F2815">
        <v>3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8</v>
      </c>
      <c r="O2815">
        <f t="shared" si="88"/>
        <v>2024</v>
      </c>
      <c r="P2815">
        <f t="shared" si="89"/>
        <v>6</v>
      </c>
      <c r="Q2815" t="s">
        <v>325</v>
      </c>
      <c r="R2815" s="546" t="s">
        <v>804</v>
      </c>
    </row>
    <row r="2816" spans="1:18" x14ac:dyDescent="0.3">
      <c r="A2816" t="s">
        <v>627</v>
      </c>
      <c r="B2816" s="16">
        <v>45452</v>
      </c>
      <c r="C2816" t="s">
        <v>3</v>
      </c>
      <c r="D2816" t="s">
        <v>150</v>
      </c>
      <c r="E2816">
        <v>1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1</v>
      </c>
      <c r="O2816">
        <f t="shared" si="88"/>
        <v>2024</v>
      </c>
      <c r="P2816">
        <f t="shared" si="89"/>
        <v>6</v>
      </c>
      <c r="Q2816" t="s">
        <v>325</v>
      </c>
      <c r="R2816" s="546" t="s">
        <v>804</v>
      </c>
    </row>
    <row r="2817" spans="1:18" x14ac:dyDescent="0.3">
      <c r="A2817" t="s">
        <v>627</v>
      </c>
      <c r="B2817" s="16">
        <v>45452</v>
      </c>
      <c r="C2817" t="s">
        <v>3</v>
      </c>
      <c r="D2817" t="s">
        <v>149</v>
      </c>
      <c r="E2817">
        <v>444</v>
      </c>
      <c r="F2817">
        <v>347</v>
      </c>
      <c r="G2817">
        <v>2</v>
      </c>
      <c r="H2817">
        <v>6</v>
      </c>
      <c r="I2817">
        <v>0</v>
      </c>
      <c r="J2817">
        <v>0</v>
      </c>
      <c r="K2817">
        <v>0</v>
      </c>
      <c r="L2817">
        <v>0</v>
      </c>
      <c r="M2817">
        <v>101</v>
      </c>
      <c r="N2817">
        <v>392</v>
      </c>
      <c r="O2817">
        <f t="shared" si="88"/>
        <v>2024</v>
      </c>
      <c r="P2817">
        <f t="shared" si="89"/>
        <v>6</v>
      </c>
      <c r="Q2817" t="s">
        <v>325</v>
      </c>
      <c r="R2817" s="546" t="s">
        <v>804</v>
      </c>
    </row>
    <row r="2818" spans="1:18" x14ac:dyDescent="0.3">
      <c r="A2818" t="s">
        <v>627</v>
      </c>
      <c r="B2818" s="16">
        <v>45452</v>
      </c>
      <c r="C2818" t="s">
        <v>3</v>
      </c>
      <c r="D2818" t="s">
        <v>147</v>
      </c>
      <c r="E2818">
        <v>9</v>
      </c>
      <c r="F2818">
        <v>4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9</v>
      </c>
      <c r="O2818">
        <f t="shared" si="88"/>
        <v>2024</v>
      </c>
      <c r="P2818">
        <f t="shared" si="89"/>
        <v>6</v>
      </c>
      <c r="Q2818" t="s">
        <v>325</v>
      </c>
      <c r="R2818" s="546" t="s">
        <v>804</v>
      </c>
    </row>
    <row r="2819" spans="1:18" x14ac:dyDescent="0.3">
      <c r="A2819" t="s">
        <v>627</v>
      </c>
      <c r="B2819" s="16">
        <v>45452</v>
      </c>
      <c r="C2819" t="s">
        <v>3</v>
      </c>
      <c r="D2819" t="s">
        <v>251</v>
      </c>
      <c r="E2819">
        <v>4271</v>
      </c>
      <c r="F2819">
        <v>3503</v>
      </c>
      <c r="G2819">
        <v>3</v>
      </c>
      <c r="H2819">
        <v>8</v>
      </c>
      <c r="I2819">
        <v>7950</v>
      </c>
      <c r="J2819">
        <v>3</v>
      </c>
      <c r="K2819">
        <v>7950</v>
      </c>
      <c r="L2819">
        <v>3</v>
      </c>
      <c r="M2819">
        <v>72</v>
      </c>
      <c r="N2819">
        <v>481</v>
      </c>
      <c r="O2819">
        <f t="shared" si="88"/>
        <v>2024</v>
      </c>
      <c r="P2819">
        <f t="shared" si="89"/>
        <v>6</v>
      </c>
      <c r="Q2819" t="s">
        <v>325</v>
      </c>
      <c r="R2819" s="546" t="s">
        <v>804</v>
      </c>
    </row>
    <row r="2820" spans="1:18" x14ac:dyDescent="0.3">
      <c r="A2820" t="s">
        <v>627</v>
      </c>
      <c r="B2820" s="16">
        <v>45452</v>
      </c>
      <c r="C2820" t="s">
        <v>3</v>
      </c>
      <c r="D2820" t="s">
        <v>143</v>
      </c>
      <c r="E2820">
        <v>22</v>
      </c>
      <c r="F2820">
        <v>22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22</v>
      </c>
      <c r="O2820">
        <f t="shared" si="88"/>
        <v>2024</v>
      </c>
      <c r="P2820">
        <f t="shared" si="89"/>
        <v>6</v>
      </c>
      <c r="Q2820" t="s">
        <v>325</v>
      </c>
      <c r="R2820" s="546" t="s">
        <v>804</v>
      </c>
    </row>
    <row r="2821" spans="1:18" x14ac:dyDescent="0.3">
      <c r="A2821" t="s">
        <v>627</v>
      </c>
      <c r="B2821" s="16">
        <v>45452</v>
      </c>
      <c r="C2821" t="s">
        <v>3</v>
      </c>
      <c r="D2821" t="s">
        <v>141</v>
      </c>
      <c r="E2821">
        <v>1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1</v>
      </c>
      <c r="N2821">
        <v>0</v>
      </c>
      <c r="O2821">
        <f t="shared" si="88"/>
        <v>2024</v>
      </c>
      <c r="P2821">
        <f t="shared" si="89"/>
        <v>6</v>
      </c>
      <c r="Q2821" t="s">
        <v>325</v>
      </c>
      <c r="R2821" s="546" t="s">
        <v>804</v>
      </c>
    </row>
    <row r="2822" spans="1:18" x14ac:dyDescent="0.3">
      <c r="A2822" t="s">
        <v>627</v>
      </c>
      <c r="B2822" s="16">
        <v>45452</v>
      </c>
      <c r="C2822" t="s">
        <v>3</v>
      </c>
      <c r="D2822" t="s">
        <v>140</v>
      </c>
      <c r="E2822">
        <v>8</v>
      </c>
      <c r="F2822">
        <v>4</v>
      </c>
      <c r="G2822">
        <v>0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5</v>
      </c>
      <c r="N2822">
        <v>6</v>
      </c>
      <c r="O2822">
        <f t="shared" si="88"/>
        <v>2024</v>
      </c>
      <c r="P2822">
        <f t="shared" si="89"/>
        <v>6</v>
      </c>
      <c r="Q2822" t="s">
        <v>325</v>
      </c>
      <c r="R2822" s="546" t="s">
        <v>804</v>
      </c>
    </row>
    <row r="2823" spans="1:18" x14ac:dyDescent="0.3">
      <c r="A2823" t="s">
        <v>627</v>
      </c>
      <c r="B2823" s="16">
        <v>45452</v>
      </c>
      <c r="C2823" t="s">
        <v>3</v>
      </c>
      <c r="D2823" t="s">
        <v>139</v>
      </c>
      <c r="E2823">
        <v>481</v>
      </c>
      <c r="F2823">
        <v>269</v>
      </c>
      <c r="G2823">
        <v>11</v>
      </c>
      <c r="H2823">
        <v>4</v>
      </c>
      <c r="I2823">
        <v>18543</v>
      </c>
      <c r="J2823">
        <v>7</v>
      </c>
      <c r="K2823">
        <v>18543</v>
      </c>
      <c r="L2823">
        <v>7</v>
      </c>
      <c r="M2823">
        <v>215</v>
      </c>
      <c r="N2823">
        <v>327</v>
      </c>
      <c r="O2823">
        <f t="shared" si="88"/>
        <v>2024</v>
      </c>
      <c r="P2823">
        <f t="shared" si="89"/>
        <v>6</v>
      </c>
      <c r="Q2823" t="s">
        <v>325</v>
      </c>
      <c r="R2823" s="546" t="s">
        <v>804</v>
      </c>
    </row>
    <row r="2824" spans="1:18" x14ac:dyDescent="0.3">
      <c r="A2824" t="s">
        <v>627</v>
      </c>
      <c r="B2824" s="16">
        <v>45452</v>
      </c>
      <c r="C2824" t="s">
        <v>3</v>
      </c>
      <c r="D2824" t="s">
        <v>138</v>
      </c>
      <c r="E2824">
        <v>5</v>
      </c>
      <c r="F2824">
        <v>3</v>
      </c>
      <c r="G2824">
        <v>0</v>
      </c>
      <c r="H2824">
        <v>1</v>
      </c>
      <c r="I2824">
        <v>0</v>
      </c>
      <c r="J2824">
        <v>0</v>
      </c>
      <c r="K2824">
        <v>0</v>
      </c>
      <c r="L2824">
        <v>0</v>
      </c>
      <c r="M2824">
        <v>2</v>
      </c>
      <c r="N2824">
        <v>4</v>
      </c>
      <c r="O2824">
        <f t="shared" si="88"/>
        <v>2024</v>
      </c>
      <c r="P2824">
        <f t="shared" si="89"/>
        <v>6</v>
      </c>
      <c r="Q2824" t="s">
        <v>325</v>
      </c>
      <c r="R2824" s="546" t="s">
        <v>804</v>
      </c>
    </row>
    <row r="2825" spans="1:18" x14ac:dyDescent="0.3">
      <c r="A2825" t="s">
        <v>627</v>
      </c>
      <c r="B2825" s="16">
        <v>45452</v>
      </c>
      <c r="C2825" t="s">
        <v>3</v>
      </c>
      <c r="D2825" t="s">
        <v>137</v>
      </c>
      <c r="E2825">
        <v>2</v>
      </c>
      <c r="F2825">
        <v>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2</v>
      </c>
      <c r="O2825">
        <f t="shared" si="88"/>
        <v>2024</v>
      </c>
      <c r="P2825">
        <f t="shared" si="89"/>
        <v>6</v>
      </c>
      <c r="Q2825" t="s">
        <v>325</v>
      </c>
      <c r="R2825" s="546" t="s">
        <v>804</v>
      </c>
    </row>
    <row r="2826" spans="1:18" x14ac:dyDescent="0.3">
      <c r="A2826" t="s">
        <v>627</v>
      </c>
      <c r="B2826" s="16">
        <v>45452</v>
      </c>
      <c r="C2826" t="s">
        <v>3</v>
      </c>
      <c r="D2826" t="s">
        <v>133</v>
      </c>
      <c r="E2826">
        <v>14</v>
      </c>
      <c r="F2826">
        <v>8</v>
      </c>
      <c r="G2826">
        <v>0</v>
      </c>
      <c r="H2826">
        <v>0</v>
      </c>
      <c r="I2826">
        <v>1917</v>
      </c>
      <c r="J2826">
        <v>1</v>
      </c>
      <c r="K2826">
        <v>1917</v>
      </c>
      <c r="L2826">
        <v>1</v>
      </c>
      <c r="M2826">
        <v>1</v>
      </c>
      <c r="N2826">
        <v>13</v>
      </c>
      <c r="O2826">
        <f t="shared" si="88"/>
        <v>2024</v>
      </c>
      <c r="P2826">
        <f t="shared" si="89"/>
        <v>6</v>
      </c>
      <c r="Q2826" t="s">
        <v>325</v>
      </c>
      <c r="R2826" s="546" t="s">
        <v>804</v>
      </c>
    </row>
    <row r="2827" spans="1:18" x14ac:dyDescent="0.3">
      <c r="A2827" t="s">
        <v>627</v>
      </c>
      <c r="B2827" s="16">
        <v>45452</v>
      </c>
      <c r="C2827" t="s">
        <v>3</v>
      </c>
      <c r="D2827" t="s">
        <v>132</v>
      </c>
      <c r="E2827">
        <v>2</v>
      </c>
      <c r="F2827">
        <v>0</v>
      </c>
      <c r="G2827">
        <v>0</v>
      </c>
      <c r="H2827">
        <v>1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2</v>
      </c>
      <c r="O2827">
        <f t="shared" si="88"/>
        <v>2024</v>
      </c>
      <c r="P2827">
        <f t="shared" si="89"/>
        <v>6</v>
      </c>
      <c r="Q2827" t="s">
        <v>325</v>
      </c>
      <c r="R2827" s="546" t="s">
        <v>804</v>
      </c>
    </row>
    <row r="2828" spans="1:18" x14ac:dyDescent="0.3">
      <c r="A2828" t="s">
        <v>627</v>
      </c>
      <c r="B2828" s="16">
        <v>45452</v>
      </c>
      <c r="C2828" t="s">
        <v>3</v>
      </c>
      <c r="D2828" t="s">
        <v>130</v>
      </c>
      <c r="E2828">
        <v>44</v>
      </c>
      <c r="F2828">
        <v>19</v>
      </c>
      <c r="G2828">
        <v>1</v>
      </c>
      <c r="H2828">
        <v>1</v>
      </c>
      <c r="I2828">
        <v>38648</v>
      </c>
      <c r="J2828">
        <v>4</v>
      </c>
      <c r="K2828">
        <v>38648</v>
      </c>
      <c r="L2828">
        <v>4</v>
      </c>
      <c r="M2828">
        <v>13</v>
      </c>
      <c r="N2828">
        <v>41</v>
      </c>
      <c r="O2828">
        <f t="shared" si="88"/>
        <v>2024</v>
      </c>
      <c r="P2828">
        <f t="shared" si="89"/>
        <v>6</v>
      </c>
      <c r="Q2828" t="s">
        <v>325</v>
      </c>
      <c r="R2828" s="546" t="s">
        <v>804</v>
      </c>
    </row>
    <row r="2829" spans="1:18" x14ac:dyDescent="0.3">
      <c r="A2829" t="s">
        <v>627</v>
      </c>
      <c r="B2829" s="16">
        <v>45452</v>
      </c>
      <c r="C2829" t="s">
        <v>3</v>
      </c>
      <c r="D2829" t="s">
        <v>129</v>
      </c>
      <c r="E2829">
        <v>1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1</v>
      </c>
      <c r="O2829">
        <f t="shared" si="88"/>
        <v>2024</v>
      </c>
      <c r="P2829">
        <f t="shared" si="89"/>
        <v>6</v>
      </c>
      <c r="Q2829" t="s">
        <v>325</v>
      </c>
      <c r="R2829" s="546" t="s">
        <v>804</v>
      </c>
    </row>
    <row r="2830" spans="1:18" x14ac:dyDescent="0.3">
      <c r="A2830" t="s">
        <v>627</v>
      </c>
      <c r="B2830" s="16">
        <v>45452</v>
      </c>
      <c r="C2830" t="s">
        <v>3</v>
      </c>
      <c r="D2830" t="s">
        <v>128</v>
      </c>
      <c r="E2830">
        <v>839</v>
      </c>
      <c r="F2830">
        <v>645</v>
      </c>
      <c r="G2830">
        <v>46</v>
      </c>
      <c r="H2830">
        <v>10</v>
      </c>
      <c r="I2830">
        <v>41885.32</v>
      </c>
      <c r="J2830">
        <v>6</v>
      </c>
      <c r="K2830">
        <v>41885.32</v>
      </c>
      <c r="L2830">
        <v>6</v>
      </c>
      <c r="M2830">
        <v>257</v>
      </c>
      <c r="N2830">
        <v>743</v>
      </c>
      <c r="O2830">
        <f t="shared" si="88"/>
        <v>2024</v>
      </c>
      <c r="P2830">
        <f t="shared" si="89"/>
        <v>6</v>
      </c>
      <c r="Q2830" t="s">
        <v>325</v>
      </c>
      <c r="R2830" s="546" t="s">
        <v>804</v>
      </c>
    </row>
    <row r="2831" spans="1:18" x14ac:dyDescent="0.3">
      <c r="A2831" t="s">
        <v>627</v>
      </c>
      <c r="B2831" s="16">
        <v>45452</v>
      </c>
      <c r="C2831" t="s">
        <v>3</v>
      </c>
      <c r="D2831" t="s">
        <v>127</v>
      </c>
      <c r="E2831">
        <v>2095</v>
      </c>
      <c r="F2831">
        <v>1190</v>
      </c>
      <c r="G2831">
        <v>38</v>
      </c>
      <c r="H2831">
        <v>15</v>
      </c>
      <c r="I2831">
        <v>9264.18</v>
      </c>
      <c r="J2831">
        <v>4</v>
      </c>
      <c r="K2831">
        <v>9264.18</v>
      </c>
      <c r="L2831">
        <v>4</v>
      </c>
      <c r="M2831">
        <v>178</v>
      </c>
      <c r="N2831">
        <v>1843</v>
      </c>
      <c r="O2831">
        <f t="shared" si="88"/>
        <v>2024</v>
      </c>
      <c r="P2831">
        <f t="shared" si="89"/>
        <v>6</v>
      </c>
      <c r="Q2831" t="s">
        <v>325</v>
      </c>
      <c r="R2831" s="546" t="s">
        <v>804</v>
      </c>
    </row>
    <row r="2832" spans="1:18" x14ac:dyDescent="0.3">
      <c r="A2832" t="s">
        <v>627</v>
      </c>
      <c r="B2832" s="16">
        <v>45452</v>
      </c>
      <c r="C2832" t="s">
        <v>3</v>
      </c>
      <c r="D2832" t="s">
        <v>126</v>
      </c>
      <c r="E2832">
        <v>78</v>
      </c>
      <c r="F2832">
        <v>60</v>
      </c>
      <c r="G2832">
        <v>3</v>
      </c>
      <c r="H2832">
        <v>4</v>
      </c>
      <c r="I2832">
        <v>8148</v>
      </c>
      <c r="J2832">
        <v>2</v>
      </c>
      <c r="K2832">
        <v>8148</v>
      </c>
      <c r="L2832">
        <v>2</v>
      </c>
      <c r="M2832">
        <v>13</v>
      </c>
      <c r="N2832">
        <v>76</v>
      </c>
      <c r="O2832">
        <f t="shared" si="88"/>
        <v>2024</v>
      </c>
      <c r="P2832">
        <f t="shared" si="89"/>
        <v>6</v>
      </c>
      <c r="Q2832" t="s">
        <v>325</v>
      </c>
      <c r="R2832" s="546" t="s">
        <v>804</v>
      </c>
    </row>
    <row r="2833" spans="1:18" x14ac:dyDescent="0.3">
      <c r="A2833" t="s">
        <v>627</v>
      </c>
      <c r="B2833" s="16">
        <v>45452</v>
      </c>
      <c r="C2833" t="s">
        <v>3</v>
      </c>
      <c r="D2833" t="s">
        <v>125</v>
      </c>
      <c r="E2833">
        <v>5</v>
      </c>
      <c r="F2833">
        <v>3</v>
      </c>
      <c r="G2833">
        <v>0</v>
      </c>
      <c r="H2833">
        <v>1</v>
      </c>
      <c r="I2833">
        <v>0</v>
      </c>
      <c r="J2833">
        <v>0</v>
      </c>
      <c r="K2833">
        <v>0</v>
      </c>
      <c r="L2833">
        <v>0</v>
      </c>
      <c r="M2833">
        <v>4</v>
      </c>
      <c r="N2833">
        <v>5</v>
      </c>
      <c r="O2833">
        <f t="shared" si="88"/>
        <v>2024</v>
      </c>
      <c r="P2833">
        <f t="shared" si="89"/>
        <v>6</v>
      </c>
      <c r="Q2833" t="s">
        <v>325</v>
      </c>
      <c r="R2833" s="546" t="s">
        <v>804</v>
      </c>
    </row>
    <row r="2834" spans="1:18" x14ac:dyDescent="0.3">
      <c r="A2834" t="s">
        <v>627</v>
      </c>
      <c r="B2834" s="16">
        <v>45452</v>
      </c>
      <c r="C2834" t="s">
        <v>3</v>
      </c>
      <c r="D2834" t="s">
        <v>123</v>
      </c>
      <c r="E2834">
        <v>230</v>
      </c>
      <c r="F2834">
        <v>149</v>
      </c>
      <c r="G2834">
        <v>3</v>
      </c>
      <c r="H2834">
        <v>3</v>
      </c>
      <c r="I2834">
        <v>3495</v>
      </c>
      <c r="J2834">
        <v>1</v>
      </c>
      <c r="K2834">
        <v>3495</v>
      </c>
      <c r="L2834">
        <v>1</v>
      </c>
      <c r="M2834">
        <v>63</v>
      </c>
      <c r="N2834">
        <v>174</v>
      </c>
      <c r="O2834">
        <f t="shared" si="88"/>
        <v>2024</v>
      </c>
      <c r="P2834">
        <f t="shared" si="89"/>
        <v>6</v>
      </c>
      <c r="Q2834" t="s">
        <v>325</v>
      </c>
      <c r="R2834" s="546" t="s">
        <v>804</v>
      </c>
    </row>
    <row r="2835" spans="1:18" x14ac:dyDescent="0.3">
      <c r="A2835" t="s">
        <v>627</v>
      </c>
      <c r="B2835" s="16">
        <v>45452</v>
      </c>
      <c r="C2835" t="s">
        <v>3</v>
      </c>
      <c r="D2835" t="s">
        <v>120</v>
      </c>
      <c r="E2835">
        <v>508</v>
      </c>
      <c r="F2835">
        <v>273</v>
      </c>
      <c r="G2835">
        <v>6</v>
      </c>
      <c r="H2835">
        <v>0</v>
      </c>
      <c r="I2835">
        <v>5092</v>
      </c>
      <c r="J2835">
        <v>3</v>
      </c>
      <c r="K2835">
        <v>5092</v>
      </c>
      <c r="L2835">
        <v>3</v>
      </c>
      <c r="M2835">
        <v>57</v>
      </c>
      <c r="N2835">
        <v>501</v>
      </c>
      <c r="O2835">
        <f t="shared" si="88"/>
        <v>2024</v>
      </c>
      <c r="P2835">
        <f t="shared" si="89"/>
        <v>6</v>
      </c>
      <c r="Q2835" t="s">
        <v>325</v>
      </c>
      <c r="R2835" s="546" t="s">
        <v>804</v>
      </c>
    </row>
    <row r="2836" spans="1:18" x14ac:dyDescent="0.3">
      <c r="A2836" t="s">
        <v>627</v>
      </c>
      <c r="B2836" s="16">
        <v>45452</v>
      </c>
      <c r="C2836" t="s">
        <v>3</v>
      </c>
      <c r="D2836" t="s">
        <v>119</v>
      </c>
      <c r="E2836">
        <v>248</v>
      </c>
      <c r="F2836">
        <v>75</v>
      </c>
      <c r="G2836">
        <v>10</v>
      </c>
      <c r="H2836">
        <v>4</v>
      </c>
      <c r="I2836">
        <v>17773.849999999999</v>
      </c>
      <c r="J2836">
        <v>6</v>
      </c>
      <c r="K2836">
        <v>17773.849999999999</v>
      </c>
      <c r="L2836">
        <v>6</v>
      </c>
      <c r="M2836">
        <v>59</v>
      </c>
      <c r="N2836">
        <v>238</v>
      </c>
      <c r="O2836">
        <f t="shared" si="88"/>
        <v>2024</v>
      </c>
      <c r="P2836">
        <f t="shared" si="89"/>
        <v>6</v>
      </c>
      <c r="Q2836" t="s">
        <v>325</v>
      </c>
      <c r="R2836" s="546" t="s">
        <v>804</v>
      </c>
    </row>
    <row r="2837" spans="1:18" x14ac:dyDescent="0.3">
      <c r="A2837" t="s">
        <v>627</v>
      </c>
      <c r="B2837" s="16">
        <v>45452</v>
      </c>
      <c r="C2837" t="s">
        <v>3</v>
      </c>
      <c r="D2837" t="s">
        <v>117</v>
      </c>
      <c r="E2837">
        <v>13</v>
      </c>
      <c r="F2837">
        <v>12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2</v>
      </c>
      <c r="N2837">
        <v>13</v>
      </c>
      <c r="O2837">
        <f t="shared" si="88"/>
        <v>2024</v>
      </c>
      <c r="P2837">
        <f t="shared" si="89"/>
        <v>6</v>
      </c>
      <c r="Q2837" t="s">
        <v>325</v>
      </c>
      <c r="R2837" s="546" t="s">
        <v>804</v>
      </c>
    </row>
    <row r="2838" spans="1:18" x14ac:dyDescent="0.3">
      <c r="A2838" t="s">
        <v>627</v>
      </c>
      <c r="B2838" s="16">
        <v>45452</v>
      </c>
      <c r="C2838" t="s">
        <v>3</v>
      </c>
      <c r="D2838" t="s">
        <v>116</v>
      </c>
      <c r="E2838">
        <v>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1</v>
      </c>
      <c r="N2838">
        <v>2</v>
      </c>
      <c r="O2838">
        <f t="shared" si="88"/>
        <v>2024</v>
      </c>
      <c r="P2838">
        <f t="shared" si="89"/>
        <v>6</v>
      </c>
      <c r="Q2838" t="s">
        <v>325</v>
      </c>
      <c r="R2838" s="546" t="s">
        <v>804</v>
      </c>
    </row>
    <row r="2839" spans="1:18" x14ac:dyDescent="0.3">
      <c r="A2839" t="s">
        <v>627</v>
      </c>
      <c r="B2839" s="16">
        <v>45452</v>
      </c>
      <c r="C2839" t="s">
        <v>3</v>
      </c>
      <c r="D2839" t="s">
        <v>115</v>
      </c>
      <c r="E2839">
        <v>1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1</v>
      </c>
      <c r="N2839">
        <v>1</v>
      </c>
      <c r="O2839">
        <f t="shared" si="88"/>
        <v>2024</v>
      </c>
      <c r="P2839">
        <f t="shared" si="89"/>
        <v>6</v>
      </c>
      <c r="Q2839" t="s">
        <v>325</v>
      </c>
      <c r="R2839" s="546" t="s">
        <v>804</v>
      </c>
    </row>
    <row r="2840" spans="1:18" x14ac:dyDescent="0.3">
      <c r="A2840" t="s">
        <v>627</v>
      </c>
      <c r="B2840" s="16">
        <v>45452</v>
      </c>
      <c r="C2840" t="s">
        <v>3</v>
      </c>
      <c r="D2840" t="s">
        <v>114</v>
      </c>
      <c r="E2840">
        <v>81</v>
      </c>
      <c r="F2840">
        <v>41</v>
      </c>
      <c r="G2840">
        <v>1</v>
      </c>
      <c r="H2840">
        <v>3</v>
      </c>
      <c r="I2840">
        <v>0</v>
      </c>
      <c r="J2840">
        <v>0</v>
      </c>
      <c r="K2840">
        <v>0</v>
      </c>
      <c r="L2840">
        <v>0</v>
      </c>
      <c r="M2840">
        <v>12</v>
      </c>
      <c r="N2840">
        <v>75</v>
      </c>
      <c r="O2840">
        <f t="shared" si="88"/>
        <v>2024</v>
      </c>
      <c r="P2840">
        <f t="shared" si="89"/>
        <v>6</v>
      </c>
      <c r="Q2840" t="s">
        <v>325</v>
      </c>
      <c r="R2840" s="546" t="s">
        <v>804</v>
      </c>
    </row>
    <row r="2841" spans="1:18" x14ac:dyDescent="0.3">
      <c r="A2841" t="s">
        <v>627</v>
      </c>
      <c r="B2841" s="16">
        <v>45452</v>
      </c>
      <c r="C2841" t="s">
        <v>3</v>
      </c>
      <c r="D2841" t="s">
        <v>113</v>
      </c>
      <c r="E2841">
        <v>98</v>
      </c>
      <c r="F2841">
        <v>50</v>
      </c>
      <c r="G2841">
        <v>3</v>
      </c>
      <c r="H2841">
        <v>1</v>
      </c>
      <c r="I2841">
        <v>0</v>
      </c>
      <c r="J2841">
        <v>0</v>
      </c>
      <c r="K2841">
        <v>0</v>
      </c>
      <c r="L2841">
        <v>0</v>
      </c>
      <c r="M2841">
        <v>75</v>
      </c>
      <c r="N2841">
        <v>59</v>
      </c>
      <c r="O2841">
        <f t="shared" si="88"/>
        <v>2024</v>
      </c>
      <c r="P2841">
        <f t="shared" si="89"/>
        <v>6</v>
      </c>
      <c r="Q2841" t="s">
        <v>325</v>
      </c>
      <c r="R2841" s="546" t="s">
        <v>804</v>
      </c>
    </row>
    <row r="2842" spans="1:18" x14ac:dyDescent="0.3">
      <c r="A2842" t="s">
        <v>627</v>
      </c>
      <c r="B2842" s="16">
        <v>45452</v>
      </c>
      <c r="C2842" t="s">
        <v>3</v>
      </c>
      <c r="D2842" t="s">
        <v>112</v>
      </c>
      <c r="E2842">
        <v>27</v>
      </c>
      <c r="F2842">
        <v>9</v>
      </c>
      <c r="G2842">
        <v>0</v>
      </c>
      <c r="H2842">
        <v>1</v>
      </c>
      <c r="I2842">
        <v>1497</v>
      </c>
      <c r="J2842">
        <v>1</v>
      </c>
      <c r="K2842">
        <v>1497</v>
      </c>
      <c r="L2842">
        <v>1</v>
      </c>
      <c r="M2842">
        <v>0</v>
      </c>
      <c r="N2842">
        <v>27</v>
      </c>
      <c r="O2842">
        <f t="shared" si="88"/>
        <v>2024</v>
      </c>
      <c r="P2842">
        <f t="shared" si="89"/>
        <v>6</v>
      </c>
      <c r="Q2842" t="s">
        <v>325</v>
      </c>
      <c r="R2842" s="546" t="s">
        <v>804</v>
      </c>
    </row>
    <row r="2843" spans="1:18" x14ac:dyDescent="0.3">
      <c r="A2843" t="s">
        <v>627</v>
      </c>
      <c r="B2843" s="16">
        <v>45452</v>
      </c>
      <c r="C2843" t="s">
        <v>3</v>
      </c>
      <c r="D2843" t="s">
        <v>111</v>
      </c>
      <c r="E2843">
        <v>4</v>
      </c>
      <c r="F2843">
        <v>3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4</v>
      </c>
      <c r="O2843">
        <f t="shared" si="88"/>
        <v>2024</v>
      </c>
      <c r="P2843">
        <f t="shared" si="89"/>
        <v>6</v>
      </c>
      <c r="Q2843" t="s">
        <v>325</v>
      </c>
      <c r="R2843" s="546" t="s">
        <v>804</v>
      </c>
    </row>
    <row r="2844" spans="1:18" x14ac:dyDescent="0.3">
      <c r="A2844" t="s">
        <v>627</v>
      </c>
      <c r="B2844" s="16">
        <v>45451</v>
      </c>
      <c r="C2844" t="s">
        <v>2</v>
      </c>
      <c r="D2844" t="s">
        <v>4</v>
      </c>
      <c r="E2844">
        <v>1472</v>
      </c>
      <c r="F2844">
        <v>555</v>
      </c>
      <c r="G2844">
        <v>2</v>
      </c>
      <c r="H2844">
        <v>0</v>
      </c>
      <c r="I2844">
        <v>4705</v>
      </c>
      <c r="J2844">
        <v>1</v>
      </c>
      <c r="K2844">
        <v>4705</v>
      </c>
      <c r="L2844">
        <v>1</v>
      </c>
      <c r="M2844">
        <v>13</v>
      </c>
      <c r="N2844">
        <v>1469</v>
      </c>
      <c r="O2844">
        <f t="shared" si="88"/>
        <v>2024</v>
      </c>
      <c r="P2844">
        <f t="shared" si="89"/>
        <v>6</v>
      </c>
      <c r="Q2844" t="s">
        <v>325</v>
      </c>
      <c r="R2844" s="546" t="s">
        <v>804</v>
      </c>
    </row>
    <row r="2845" spans="1:18" x14ac:dyDescent="0.3">
      <c r="A2845" t="s">
        <v>627</v>
      </c>
      <c r="B2845" s="16">
        <v>45451</v>
      </c>
      <c r="C2845" t="s">
        <v>2</v>
      </c>
      <c r="D2845" t="s">
        <v>57</v>
      </c>
      <c r="E2845">
        <v>18263</v>
      </c>
      <c r="F2845">
        <v>11750</v>
      </c>
      <c r="G2845">
        <v>116</v>
      </c>
      <c r="H2845">
        <v>97</v>
      </c>
      <c r="I2845">
        <v>39231.5</v>
      </c>
      <c r="J2845">
        <v>12</v>
      </c>
      <c r="K2845">
        <v>32036.5</v>
      </c>
      <c r="L2845">
        <v>10</v>
      </c>
      <c r="M2845">
        <v>699</v>
      </c>
      <c r="N2845">
        <v>18234</v>
      </c>
      <c r="O2845">
        <f t="shared" si="88"/>
        <v>2024</v>
      </c>
      <c r="P2845">
        <f t="shared" si="89"/>
        <v>6</v>
      </c>
      <c r="Q2845" t="s">
        <v>325</v>
      </c>
      <c r="R2845" s="546" t="s">
        <v>804</v>
      </c>
    </row>
    <row r="2846" spans="1:18" x14ac:dyDescent="0.3">
      <c r="A2846" t="s">
        <v>627</v>
      </c>
      <c r="B2846" s="16">
        <v>45451</v>
      </c>
      <c r="C2846" t="s">
        <v>2</v>
      </c>
      <c r="D2846" t="s">
        <v>52</v>
      </c>
      <c r="E2846">
        <v>3071</v>
      </c>
      <c r="F2846">
        <v>2472</v>
      </c>
      <c r="G2846">
        <v>12</v>
      </c>
      <c r="H2846">
        <v>5</v>
      </c>
      <c r="I2846">
        <v>5675</v>
      </c>
      <c r="J2846">
        <v>2</v>
      </c>
      <c r="K2846">
        <v>3450</v>
      </c>
      <c r="L2846">
        <v>1</v>
      </c>
      <c r="M2846">
        <v>3071</v>
      </c>
      <c r="N2846">
        <v>575</v>
      </c>
      <c r="O2846">
        <f t="shared" si="88"/>
        <v>2024</v>
      </c>
      <c r="P2846">
        <f t="shared" si="89"/>
        <v>6</v>
      </c>
      <c r="Q2846" t="s">
        <v>325</v>
      </c>
      <c r="R2846" s="546" t="s">
        <v>804</v>
      </c>
    </row>
    <row r="2847" spans="1:18" x14ac:dyDescent="0.3">
      <c r="A2847" t="s">
        <v>627</v>
      </c>
      <c r="B2847" s="16">
        <v>45451</v>
      </c>
      <c r="C2847" t="s">
        <v>2</v>
      </c>
      <c r="D2847" t="s">
        <v>55</v>
      </c>
      <c r="E2847">
        <v>8652</v>
      </c>
      <c r="F2847">
        <v>6035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3</v>
      </c>
      <c r="N2847">
        <v>148</v>
      </c>
      <c r="O2847">
        <f t="shared" si="88"/>
        <v>2024</v>
      </c>
      <c r="P2847">
        <f t="shared" si="89"/>
        <v>6</v>
      </c>
      <c r="Q2847" t="s">
        <v>325</v>
      </c>
      <c r="R2847" s="546" t="s">
        <v>804</v>
      </c>
    </row>
    <row r="2848" spans="1:18" x14ac:dyDescent="0.3">
      <c r="A2848" t="s">
        <v>627</v>
      </c>
      <c r="B2848" s="16">
        <v>45451</v>
      </c>
      <c r="C2848" t="s">
        <v>3</v>
      </c>
      <c r="D2848" t="s">
        <v>155</v>
      </c>
      <c r="E2848">
        <v>8</v>
      </c>
      <c r="F2848">
        <v>7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8</v>
      </c>
      <c r="O2848">
        <f t="shared" si="88"/>
        <v>2024</v>
      </c>
      <c r="P2848">
        <f t="shared" si="89"/>
        <v>6</v>
      </c>
      <c r="Q2848" t="s">
        <v>325</v>
      </c>
      <c r="R2848" s="546" t="s">
        <v>804</v>
      </c>
    </row>
    <row r="2849" spans="1:18" x14ac:dyDescent="0.3">
      <c r="A2849" t="s">
        <v>627</v>
      </c>
      <c r="B2849" s="16">
        <v>45451</v>
      </c>
      <c r="C2849" t="s">
        <v>3</v>
      </c>
      <c r="D2849" t="s">
        <v>154</v>
      </c>
      <c r="E2849">
        <v>20</v>
      </c>
      <c r="F2849">
        <v>14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3</v>
      </c>
      <c r="N2849">
        <v>2</v>
      </c>
      <c r="O2849">
        <f t="shared" si="88"/>
        <v>2024</v>
      </c>
      <c r="P2849">
        <f t="shared" si="89"/>
        <v>6</v>
      </c>
      <c r="Q2849" t="s">
        <v>325</v>
      </c>
      <c r="R2849" s="546" t="s">
        <v>804</v>
      </c>
    </row>
    <row r="2850" spans="1:18" x14ac:dyDescent="0.3">
      <c r="A2850" t="s">
        <v>627</v>
      </c>
      <c r="B2850" s="16">
        <v>45451</v>
      </c>
      <c r="C2850" t="s">
        <v>3</v>
      </c>
      <c r="D2850" t="s">
        <v>153</v>
      </c>
      <c r="E2850">
        <v>276</v>
      </c>
      <c r="F2850">
        <v>65</v>
      </c>
      <c r="G2850">
        <v>20</v>
      </c>
      <c r="H2850">
        <v>3</v>
      </c>
      <c r="I2850">
        <v>42827.5</v>
      </c>
      <c r="J2850">
        <v>17</v>
      </c>
      <c r="K2850">
        <v>42827.5</v>
      </c>
      <c r="L2850">
        <v>17</v>
      </c>
      <c r="M2850">
        <v>76</v>
      </c>
      <c r="N2850">
        <v>266</v>
      </c>
      <c r="O2850">
        <f t="shared" si="88"/>
        <v>2024</v>
      </c>
      <c r="P2850">
        <f t="shared" si="89"/>
        <v>6</v>
      </c>
      <c r="Q2850" t="s">
        <v>325</v>
      </c>
      <c r="R2850" s="546" t="s">
        <v>804</v>
      </c>
    </row>
    <row r="2851" spans="1:18" x14ac:dyDescent="0.3">
      <c r="A2851" t="s">
        <v>627</v>
      </c>
      <c r="B2851" s="16">
        <v>45451</v>
      </c>
      <c r="C2851" t="s">
        <v>3</v>
      </c>
      <c r="D2851" t="s">
        <v>152</v>
      </c>
      <c r="E2851">
        <v>5</v>
      </c>
      <c r="F2851">
        <v>1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5</v>
      </c>
      <c r="O2851">
        <f t="shared" si="88"/>
        <v>2024</v>
      </c>
      <c r="P2851">
        <f t="shared" si="89"/>
        <v>6</v>
      </c>
      <c r="Q2851" t="s">
        <v>325</v>
      </c>
      <c r="R2851" s="546" t="s">
        <v>804</v>
      </c>
    </row>
    <row r="2852" spans="1:18" x14ac:dyDescent="0.3">
      <c r="A2852" t="s">
        <v>627</v>
      </c>
      <c r="B2852" s="16">
        <v>45451</v>
      </c>
      <c r="C2852" t="s">
        <v>3</v>
      </c>
      <c r="D2852" t="s">
        <v>150</v>
      </c>
      <c r="E2852">
        <v>3</v>
      </c>
      <c r="F2852">
        <v>1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3</v>
      </c>
      <c r="O2852">
        <f t="shared" si="88"/>
        <v>2024</v>
      </c>
      <c r="P2852">
        <f t="shared" si="89"/>
        <v>6</v>
      </c>
      <c r="Q2852" t="s">
        <v>325</v>
      </c>
      <c r="R2852" s="546" t="s">
        <v>804</v>
      </c>
    </row>
    <row r="2853" spans="1:18" x14ac:dyDescent="0.3">
      <c r="A2853" t="s">
        <v>627</v>
      </c>
      <c r="B2853" s="16">
        <v>45451</v>
      </c>
      <c r="C2853" t="s">
        <v>3</v>
      </c>
      <c r="D2853" t="s">
        <v>149</v>
      </c>
      <c r="E2853">
        <v>330</v>
      </c>
      <c r="F2853">
        <v>235</v>
      </c>
      <c r="G2853">
        <v>7</v>
      </c>
      <c r="H2853">
        <v>4</v>
      </c>
      <c r="I2853">
        <v>2980</v>
      </c>
      <c r="J2853">
        <v>1</v>
      </c>
      <c r="K2853">
        <v>2980</v>
      </c>
      <c r="L2853">
        <v>1</v>
      </c>
      <c r="M2853">
        <v>80</v>
      </c>
      <c r="N2853">
        <v>302</v>
      </c>
      <c r="O2853">
        <f t="shared" si="88"/>
        <v>2024</v>
      </c>
      <c r="P2853">
        <f t="shared" si="89"/>
        <v>6</v>
      </c>
      <c r="Q2853" t="s">
        <v>325</v>
      </c>
      <c r="R2853" s="546" t="s">
        <v>804</v>
      </c>
    </row>
    <row r="2854" spans="1:18" x14ac:dyDescent="0.3">
      <c r="A2854" t="s">
        <v>627</v>
      </c>
      <c r="B2854" s="16">
        <v>45451</v>
      </c>
      <c r="C2854" t="s">
        <v>3</v>
      </c>
      <c r="D2854" t="s">
        <v>148</v>
      </c>
      <c r="E2854">
        <v>1</v>
      </c>
      <c r="F2854">
        <v>1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1</v>
      </c>
      <c r="O2854">
        <f t="shared" si="88"/>
        <v>2024</v>
      </c>
      <c r="P2854">
        <f t="shared" si="89"/>
        <v>6</v>
      </c>
      <c r="Q2854" t="s">
        <v>325</v>
      </c>
      <c r="R2854" s="546" t="s">
        <v>804</v>
      </c>
    </row>
    <row r="2855" spans="1:18" x14ac:dyDescent="0.3">
      <c r="A2855" t="s">
        <v>627</v>
      </c>
      <c r="B2855" s="16">
        <v>45451</v>
      </c>
      <c r="C2855" t="s">
        <v>3</v>
      </c>
      <c r="D2855" t="s">
        <v>147</v>
      </c>
      <c r="E2855">
        <v>21</v>
      </c>
      <c r="F2855">
        <v>10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21</v>
      </c>
      <c r="O2855">
        <f t="shared" si="88"/>
        <v>2024</v>
      </c>
      <c r="P2855">
        <f t="shared" si="89"/>
        <v>6</v>
      </c>
      <c r="Q2855" t="s">
        <v>325</v>
      </c>
      <c r="R2855" s="546" t="s">
        <v>804</v>
      </c>
    </row>
    <row r="2856" spans="1:18" x14ac:dyDescent="0.3">
      <c r="A2856" t="s">
        <v>627</v>
      </c>
      <c r="B2856" s="16">
        <v>45451</v>
      </c>
      <c r="C2856" t="s">
        <v>3</v>
      </c>
      <c r="D2856" t="s">
        <v>251</v>
      </c>
      <c r="E2856">
        <v>438</v>
      </c>
      <c r="F2856">
        <v>174</v>
      </c>
      <c r="G2856">
        <v>8</v>
      </c>
      <c r="H2856">
        <v>7</v>
      </c>
      <c r="I2856">
        <v>4724.5</v>
      </c>
      <c r="J2856">
        <v>2</v>
      </c>
      <c r="K2856">
        <v>4724.5</v>
      </c>
      <c r="L2856">
        <v>2</v>
      </c>
      <c r="M2856">
        <v>60</v>
      </c>
      <c r="N2856">
        <v>407</v>
      </c>
      <c r="O2856">
        <f t="shared" si="88"/>
        <v>2024</v>
      </c>
      <c r="P2856">
        <f t="shared" si="89"/>
        <v>6</v>
      </c>
      <c r="Q2856" t="s">
        <v>325</v>
      </c>
      <c r="R2856" s="546" t="s">
        <v>804</v>
      </c>
    </row>
    <row r="2857" spans="1:18" x14ac:dyDescent="0.3">
      <c r="A2857" t="s">
        <v>627</v>
      </c>
      <c r="B2857" s="16">
        <v>45451</v>
      </c>
      <c r="C2857" t="s">
        <v>3</v>
      </c>
      <c r="D2857" t="s">
        <v>143</v>
      </c>
      <c r="E2857">
        <v>21</v>
      </c>
      <c r="F2857">
        <v>20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1</v>
      </c>
      <c r="N2857">
        <v>21</v>
      </c>
      <c r="O2857">
        <f t="shared" si="88"/>
        <v>2024</v>
      </c>
      <c r="P2857">
        <f t="shared" si="89"/>
        <v>6</v>
      </c>
      <c r="Q2857" t="s">
        <v>325</v>
      </c>
      <c r="R2857" s="546" t="s">
        <v>804</v>
      </c>
    </row>
    <row r="2858" spans="1:18" x14ac:dyDescent="0.3">
      <c r="A2858" t="s">
        <v>627</v>
      </c>
      <c r="B2858" s="16">
        <v>45451</v>
      </c>
      <c r="C2858" t="s">
        <v>3</v>
      </c>
      <c r="D2858" t="s">
        <v>142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1</v>
      </c>
      <c r="O2858">
        <f t="shared" si="88"/>
        <v>2024</v>
      </c>
      <c r="P2858">
        <f t="shared" si="89"/>
        <v>6</v>
      </c>
      <c r="Q2858" t="s">
        <v>325</v>
      </c>
      <c r="R2858" s="546" t="s">
        <v>804</v>
      </c>
    </row>
    <row r="2859" spans="1:18" x14ac:dyDescent="0.3">
      <c r="A2859" t="s">
        <v>627</v>
      </c>
      <c r="B2859" s="16">
        <v>45451</v>
      </c>
      <c r="C2859" t="s">
        <v>3</v>
      </c>
      <c r="D2859" t="s">
        <v>141</v>
      </c>
      <c r="E2859">
        <v>2</v>
      </c>
      <c r="F2859">
        <v>2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2</v>
      </c>
      <c r="N2859">
        <v>0</v>
      </c>
      <c r="O2859">
        <f t="shared" si="88"/>
        <v>2024</v>
      </c>
      <c r="P2859">
        <f t="shared" si="89"/>
        <v>6</v>
      </c>
      <c r="Q2859" t="s">
        <v>325</v>
      </c>
      <c r="R2859" s="546" t="s">
        <v>804</v>
      </c>
    </row>
    <row r="2860" spans="1:18" x14ac:dyDescent="0.3">
      <c r="A2860" t="s">
        <v>627</v>
      </c>
      <c r="B2860" s="16">
        <v>45451</v>
      </c>
      <c r="C2860" t="s">
        <v>3</v>
      </c>
      <c r="D2860" t="s">
        <v>140</v>
      </c>
      <c r="E2860">
        <v>4</v>
      </c>
      <c r="F2860">
        <v>4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2</v>
      </c>
      <c r="O2860">
        <f t="shared" si="88"/>
        <v>2024</v>
      </c>
      <c r="P2860">
        <f t="shared" si="89"/>
        <v>6</v>
      </c>
      <c r="Q2860" t="s">
        <v>325</v>
      </c>
      <c r="R2860" s="546" t="s">
        <v>804</v>
      </c>
    </row>
    <row r="2861" spans="1:18" x14ac:dyDescent="0.3">
      <c r="A2861" t="s">
        <v>627</v>
      </c>
      <c r="B2861" s="16">
        <v>45451</v>
      </c>
      <c r="C2861" t="s">
        <v>3</v>
      </c>
      <c r="D2861" t="s">
        <v>139</v>
      </c>
      <c r="E2861">
        <v>469</v>
      </c>
      <c r="F2861">
        <v>233</v>
      </c>
      <c r="G2861">
        <v>9</v>
      </c>
      <c r="H2861">
        <v>4</v>
      </c>
      <c r="I2861">
        <v>12247</v>
      </c>
      <c r="J2861">
        <v>6</v>
      </c>
      <c r="K2861">
        <v>6715</v>
      </c>
      <c r="L2861">
        <v>3</v>
      </c>
      <c r="M2861">
        <v>232</v>
      </c>
      <c r="N2861">
        <v>336</v>
      </c>
      <c r="O2861">
        <f t="shared" si="88"/>
        <v>2024</v>
      </c>
      <c r="P2861">
        <f t="shared" si="89"/>
        <v>6</v>
      </c>
      <c r="Q2861" t="s">
        <v>325</v>
      </c>
      <c r="R2861" s="546" t="s">
        <v>804</v>
      </c>
    </row>
    <row r="2862" spans="1:18" x14ac:dyDescent="0.3">
      <c r="A2862" t="s">
        <v>627</v>
      </c>
      <c r="B2862" s="16">
        <v>45451</v>
      </c>
      <c r="C2862" t="s">
        <v>3</v>
      </c>
      <c r="D2862" t="s">
        <v>138</v>
      </c>
      <c r="E2862">
        <v>10</v>
      </c>
      <c r="F2862">
        <v>7</v>
      </c>
      <c r="G2862">
        <v>0</v>
      </c>
      <c r="H2862">
        <v>0</v>
      </c>
      <c r="I2862">
        <v>2347.5</v>
      </c>
      <c r="J2862">
        <v>1</v>
      </c>
      <c r="K2862">
        <v>2347.5</v>
      </c>
      <c r="L2862">
        <v>1</v>
      </c>
      <c r="M2862">
        <v>2</v>
      </c>
      <c r="N2862">
        <v>10</v>
      </c>
      <c r="O2862">
        <f t="shared" si="88"/>
        <v>2024</v>
      </c>
      <c r="P2862">
        <f t="shared" si="89"/>
        <v>6</v>
      </c>
      <c r="Q2862" t="s">
        <v>325</v>
      </c>
      <c r="R2862" s="546" t="s">
        <v>804</v>
      </c>
    </row>
    <row r="2863" spans="1:18" x14ac:dyDescent="0.3">
      <c r="A2863" t="s">
        <v>627</v>
      </c>
      <c r="B2863" s="16">
        <v>45451</v>
      </c>
      <c r="C2863" t="s">
        <v>3</v>
      </c>
      <c r="D2863" t="s">
        <v>137</v>
      </c>
      <c r="E2863">
        <v>5</v>
      </c>
      <c r="F2863">
        <v>3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</v>
      </c>
      <c r="N2863">
        <v>5</v>
      </c>
      <c r="O2863">
        <f t="shared" ref="O2863:O2926" si="90">YEAR(B2863)</f>
        <v>2024</v>
      </c>
      <c r="P2863">
        <f t="shared" ref="P2863:P2926" si="91">MONTH(B2863)</f>
        <v>6</v>
      </c>
      <c r="Q2863" t="s">
        <v>325</v>
      </c>
      <c r="R2863" s="546" t="s">
        <v>804</v>
      </c>
    </row>
    <row r="2864" spans="1:18" x14ac:dyDescent="0.3">
      <c r="A2864" t="s">
        <v>627</v>
      </c>
      <c r="B2864" s="16">
        <v>45451</v>
      </c>
      <c r="C2864" t="s">
        <v>3</v>
      </c>
      <c r="D2864" t="s">
        <v>133</v>
      </c>
      <c r="E2864">
        <v>14</v>
      </c>
      <c r="F2864">
        <v>9</v>
      </c>
      <c r="G2864">
        <v>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5</v>
      </c>
      <c r="N2864">
        <v>9</v>
      </c>
      <c r="O2864">
        <f t="shared" si="90"/>
        <v>2024</v>
      </c>
      <c r="P2864">
        <f t="shared" si="91"/>
        <v>6</v>
      </c>
      <c r="Q2864" t="s">
        <v>325</v>
      </c>
      <c r="R2864" s="546" t="s">
        <v>804</v>
      </c>
    </row>
    <row r="2865" spans="1:18" x14ac:dyDescent="0.3">
      <c r="A2865" t="s">
        <v>627</v>
      </c>
      <c r="B2865" s="16">
        <v>45451</v>
      </c>
      <c r="C2865" t="s">
        <v>3</v>
      </c>
      <c r="D2865" t="s">
        <v>132</v>
      </c>
      <c r="E2865">
        <v>1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1</v>
      </c>
      <c r="O2865">
        <f t="shared" si="90"/>
        <v>2024</v>
      </c>
      <c r="P2865">
        <f t="shared" si="91"/>
        <v>6</v>
      </c>
      <c r="Q2865" t="s">
        <v>325</v>
      </c>
      <c r="R2865" s="546" t="s">
        <v>804</v>
      </c>
    </row>
    <row r="2866" spans="1:18" x14ac:dyDescent="0.3">
      <c r="A2866" t="s">
        <v>627</v>
      </c>
      <c r="B2866" s="16">
        <v>45451</v>
      </c>
      <c r="C2866" t="s">
        <v>3</v>
      </c>
      <c r="D2866" t="s">
        <v>130</v>
      </c>
      <c r="E2866">
        <v>55</v>
      </c>
      <c r="F2866">
        <v>31</v>
      </c>
      <c r="G2866">
        <v>3</v>
      </c>
      <c r="H2866">
        <v>2</v>
      </c>
      <c r="I2866">
        <v>39115</v>
      </c>
      <c r="J2866">
        <v>3</v>
      </c>
      <c r="K2866">
        <v>5215</v>
      </c>
      <c r="L2866">
        <v>2</v>
      </c>
      <c r="M2866">
        <v>29</v>
      </c>
      <c r="N2866">
        <v>49</v>
      </c>
      <c r="O2866">
        <f t="shared" si="90"/>
        <v>2024</v>
      </c>
      <c r="P2866">
        <f t="shared" si="91"/>
        <v>6</v>
      </c>
      <c r="Q2866" t="s">
        <v>325</v>
      </c>
      <c r="R2866" s="546" t="s">
        <v>804</v>
      </c>
    </row>
    <row r="2867" spans="1:18" x14ac:dyDescent="0.3">
      <c r="A2867" t="s">
        <v>627</v>
      </c>
      <c r="B2867" s="16">
        <v>45451</v>
      </c>
      <c r="C2867" t="s">
        <v>3</v>
      </c>
      <c r="D2867" t="s">
        <v>128</v>
      </c>
      <c r="E2867">
        <v>847</v>
      </c>
      <c r="F2867">
        <v>638</v>
      </c>
      <c r="G2867">
        <v>31</v>
      </c>
      <c r="H2867">
        <v>9</v>
      </c>
      <c r="I2867">
        <v>15294</v>
      </c>
      <c r="J2867">
        <v>5</v>
      </c>
      <c r="K2867">
        <v>13667</v>
      </c>
      <c r="L2867">
        <v>5</v>
      </c>
      <c r="M2867">
        <v>232</v>
      </c>
      <c r="N2867">
        <v>766</v>
      </c>
      <c r="O2867">
        <f t="shared" si="90"/>
        <v>2024</v>
      </c>
      <c r="P2867">
        <f t="shared" si="91"/>
        <v>6</v>
      </c>
      <c r="Q2867" t="s">
        <v>325</v>
      </c>
      <c r="R2867" s="546" t="s">
        <v>804</v>
      </c>
    </row>
    <row r="2868" spans="1:18" x14ac:dyDescent="0.3">
      <c r="A2868" t="s">
        <v>627</v>
      </c>
      <c r="B2868" s="16">
        <v>45451</v>
      </c>
      <c r="C2868" t="s">
        <v>3</v>
      </c>
      <c r="D2868" t="s">
        <v>127</v>
      </c>
      <c r="E2868">
        <v>2121</v>
      </c>
      <c r="F2868">
        <v>1186</v>
      </c>
      <c r="G2868">
        <v>41</v>
      </c>
      <c r="H2868">
        <v>21</v>
      </c>
      <c r="I2868">
        <v>13330</v>
      </c>
      <c r="J2868">
        <v>6</v>
      </c>
      <c r="K2868">
        <v>13330</v>
      </c>
      <c r="L2868">
        <v>6</v>
      </c>
      <c r="M2868">
        <v>241</v>
      </c>
      <c r="N2868">
        <v>1974</v>
      </c>
      <c r="O2868">
        <f t="shared" si="90"/>
        <v>2024</v>
      </c>
      <c r="P2868">
        <f t="shared" si="91"/>
        <v>6</v>
      </c>
      <c r="Q2868" t="s">
        <v>325</v>
      </c>
      <c r="R2868" s="546" t="s">
        <v>804</v>
      </c>
    </row>
    <row r="2869" spans="1:18" x14ac:dyDescent="0.3">
      <c r="A2869" t="s">
        <v>627</v>
      </c>
      <c r="B2869" s="16">
        <v>45451</v>
      </c>
      <c r="C2869" t="s">
        <v>3</v>
      </c>
      <c r="D2869" t="s">
        <v>126</v>
      </c>
      <c r="E2869">
        <v>101</v>
      </c>
      <c r="F2869">
        <v>74</v>
      </c>
      <c r="G2869">
        <v>3</v>
      </c>
      <c r="H2869">
        <v>3</v>
      </c>
      <c r="I2869">
        <v>0</v>
      </c>
      <c r="J2869">
        <v>0</v>
      </c>
      <c r="K2869">
        <v>0</v>
      </c>
      <c r="L2869">
        <v>0</v>
      </c>
      <c r="M2869">
        <v>10</v>
      </c>
      <c r="N2869">
        <v>98</v>
      </c>
      <c r="O2869">
        <f t="shared" si="90"/>
        <v>2024</v>
      </c>
      <c r="P2869">
        <f t="shared" si="91"/>
        <v>6</v>
      </c>
      <c r="Q2869" t="s">
        <v>325</v>
      </c>
      <c r="R2869" s="546" t="s">
        <v>804</v>
      </c>
    </row>
    <row r="2870" spans="1:18" x14ac:dyDescent="0.3">
      <c r="A2870" t="s">
        <v>627</v>
      </c>
      <c r="B2870" s="16">
        <v>45451</v>
      </c>
      <c r="C2870" t="s">
        <v>3</v>
      </c>
      <c r="D2870" t="s">
        <v>125</v>
      </c>
      <c r="E2870">
        <v>4</v>
      </c>
      <c r="F2870">
        <v>3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1</v>
      </c>
      <c r="N2870">
        <v>4</v>
      </c>
      <c r="O2870">
        <f t="shared" si="90"/>
        <v>2024</v>
      </c>
      <c r="P2870">
        <f t="shared" si="91"/>
        <v>6</v>
      </c>
      <c r="Q2870" t="s">
        <v>325</v>
      </c>
      <c r="R2870" s="546" t="s">
        <v>804</v>
      </c>
    </row>
    <row r="2871" spans="1:18" x14ac:dyDescent="0.3">
      <c r="A2871" t="s">
        <v>627</v>
      </c>
      <c r="B2871" s="16">
        <v>45451</v>
      </c>
      <c r="C2871" t="s">
        <v>3</v>
      </c>
      <c r="D2871" t="s">
        <v>123</v>
      </c>
      <c r="E2871">
        <v>190</v>
      </c>
      <c r="F2871">
        <v>104</v>
      </c>
      <c r="G2871">
        <v>3</v>
      </c>
      <c r="H2871">
        <v>2</v>
      </c>
      <c r="I2871">
        <v>4705</v>
      </c>
      <c r="J2871">
        <v>1</v>
      </c>
      <c r="K2871">
        <v>4705</v>
      </c>
      <c r="L2871">
        <v>1</v>
      </c>
      <c r="M2871">
        <v>65</v>
      </c>
      <c r="N2871">
        <v>155</v>
      </c>
      <c r="O2871">
        <f t="shared" si="90"/>
        <v>2024</v>
      </c>
      <c r="P2871">
        <f t="shared" si="91"/>
        <v>6</v>
      </c>
      <c r="Q2871" t="s">
        <v>325</v>
      </c>
      <c r="R2871" s="546" t="s">
        <v>804</v>
      </c>
    </row>
    <row r="2872" spans="1:18" x14ac:dyDescent="0.3">
      <c r="A2872" t="s">
        <v>627</v>
      </c>
      <c r="B2872" s="16">
        <v>45451</v>
      </c>
      <c r="C2872" t="s">
        <v>3</v>
      </c>
      <c r="D2872" t="s">
        <v>120</v>
      </c>
      <c r="E2872">
        <v>503</v>
      </c>
      <c r="F2872">
        <v>275</v>
      </c>
      <c r="G2872">
        <v>4</v>
      </c>
      <c r="H2872">
        <v>0</v>
      </c>
      <c r="I2872">
        <v>6864.5</v>
      </c>
      <c r="J2872">
        <v>3</v>
      </c>
      <c r="K2872">
        <v>4584.5</v>
      </c>
      <c r="L2872">
        <v>2</v>
      </c>
      <c r="M2872">
        <v>68</v>
      </c>
      <c r="N2872">
        <v>499</v>
      </c>
      <c r="O2872">
        <f t="shared" si="90"/>
        <v>2024</v>
      </c>
      <c r="P2872">
        <f t="shared" si="91"/>
        <v>6</v>
      </c>
      <c r="Q2872" t="s">
        <v>325</v>
      </c>
      <c r="R2872" s="546" t="s">
        <v>804</v>
      </c>
    </row>
    <row r="2873" spans="1:18" x14ac:dyDescent="0.3">
      <c r="A2873" t="s">
        <v>627</v>
      </c>
      <c r="B2873" s="16">
        <v>45451</v>
      </c>
      <c r="C2873" t="s">
        <v>3</v>
      </c>
      <c r="D2873" t="s">
        <v>119</v>
      </c>
      <c r="E2873">
        <v>273</v>
      </c>
      <c r="F2873">
        <v>81</v>
      </c>
      <c r="G2873">
        <v>14</v>
      </c>
      <c r="H2873">
        <v>8</v>
      </c>
      <c r="I2873">
        <v>21405</v>
      </c>
      <c r="J2873">
        <v>7</v>
      </c>
      <c r="K2873">
        <v>19778</v>
      </c>
      <c r="L2873">
        <v>6</v>
      </c>
      <c r="M2873">
        <v>66</v>
      </c>
      <c r="N2873">
        <v>264</v>
      </c>
      <c r="O2873">
        <f t="shared" si="90"/>
        <v>2024</v>
      </c>
      <c r="P2873">
        <f t="shared" si="91"/>
        <v>6</v>
      </c>
      <c r="Q2873" t="s">
        <v>325</v>
      </c>
      <c r="R2873" s="546" t="s">
        <v>804</v>
      </c>
    </row>
    <row r="2874" spans="1:18" x14ac:dyDescent="0.3">
      <c r="A2874" t="s">
        <v>627</v>
      </c>
      <c r="B2874" s="16">
        <v>45451</v>
      </c>
      <c r="C2874" t="s">
        <v>3</v>
      </c>
      <c r="D2874" t="s">
        <v>117</v>
      </c>
      <c r="E2874">
        <v>31</v>
      </c>
      <c r="F2874">
        <v>28</v>
      </c>
      <c r="G2874">
        <v>1</v>
      </c>
      <c r="H2874">
        <v>3</v>
      </c>
      <c r="I2874">
        <v>0</v>
      </c>
      <c r="J2874">
        <v>0</v>
      </c>
      <c r="K2874">
        <v>0</v>
      </c>
      <c r="L2874">
        <v>0</v>
      </c>
      <c r="M2874">
        <v>5</v>
      </c>
      <c r="N2874">
        <v>31</v>
      </c>
      <c r="O2874">
        <f t="shared" si="90"/>
        <v>2024</v>
      </c>
      <c r="P2874">
        <f t="shared" si="91"/>
        <v>6</v>
      </c>
      <c r="Q2874" t="s">
        <v>325</v>
      </c>
      <c r="R2874" s="546" t="s">
        <v>804</v>
      </c>
    </row>
    <row r="2875" spans="1:18" x14ac:dyDescent="0.3">
      <c r="A2875" t="s">
        <v>627</v>
      </c>
      <c r="B2875" s="16">
        <v>45451</v>
      </c>
      <c r="C2875" t="s">
        <v>3</v>
      </c>
      <c r="D2875" t="s">
        <v>116</v>
      </c>
      <c r="E2875">
        <v>2</v>
      </c>
      <c r="F2875">
        <v>1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2</v>
      </c>
      <c r="O2875">
        <f t="shared" si="90"/>
        <v>2024</v>
      </c>
      <c r="P2875">
        <f t="shared" si="91"/>
        <v>6</v>
      </c>
      <c r="Q2875" t="s">
        <v>325</v>
      </c>
      <c r="R2875" s="546" t="s">
        <v>804</v>
      </c>
    </row>
    <row r="2876" spans="1:18" x14ac:dyDescent="0.3">
      <c r="A2876" t="s">
        <v>627</v>
      </c>
      <c r="B2876" s="16">
        <v>45451</v>
      </c>
      <c r="C2876" t="s">
        <v>3</v>
      </c>
      <c r="D2876" t="s">
        <v>115</v>
      </c>
      <c r="E2876">
        <v>1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1</v>
      </c>
      <c r="N2876">
        <v>1</v>
      </c>
      <c r="O2876">
        <f t="shared" si="90"/>
        <v>2024</v>
      </c>
      <c r="P2876">
        <f t="shared" si="91"/>
        <v>6</v>
      </c>
      <c r="Q2876" t="s">
        <v>325</v>
      </c>
      <c r="R2876" s="546" t="s">
        <v>804</v>
      </c>
    </row>
    <row r="2877" spans="1:18" x14ac:dyDescent="0.3">
      <c r="A2877" t="s">
        <v>627</v>
      </c>
      <c r="B2877" s="16">
        <v>45451</v>
      </c>
      <c r="C2877" t="s">
        <v>3</v>
      </c>
      <c r="D2877" t="s">
        <v>114</v>
      </c>
      <c r="E2877">
        <v>104</v>
      </c>
      <c r="F2877">
        <v>55</v>
      </c>
      <c r="G2877">
        <v>6</v>
      </c>
      <c r="H2877">
        <v>5</v>
      </c>
      <c r="I2877">
        <v>0</v>
      </c>
      <c r="J2877">
        <v>0</v>
      </c>
      <c r="K2877">
        <v>0</v>
      </c>
      <c r="L2877">
        <v>0</v>
      </c>
      <c r="M2877">
        <v>18</v>
      </c>
      <c r="N2877">
        <v>93</v>
      </c>
      <c r="O2877">
        <f t="shared" si="90"/>
        <v>2024</v>
      </c>
      <c r="P2877">
        <f t="shared" si="91"/>
        <v>6</v>
      </c>
      <c r="Q2877" t="s">
        <v>325</v>
      </c>
      <c r="R2877" s="546" t="s">
        <v>804</v>
      </c>
    </row>
    <row r="2878" spans="1:18" x14ac:dyDescent="0.3">
      <c r="A2878" t="s">
        <v>627</v>
      </c>
      <c r="B2878" s="16">
        <v>45451</v>
      </c>
      <c r="C2878" t="s">
        <v>3</v>
      </c>
      <c r="D2878" t="s">
        <v>113</v>
      </c>
      <c r="E2878">
        <v>107</v>
      </c>
      <c r="F2878">
        <v>51</v>
      </c>
      <c r="G2878">
        <v>6</v>
      </c>
      <c r="H2878">
        <v>1</v>
      </c>
      <c r="I2878">
        <v>3540</v>
      </c>
      <c r="J2878">
        <v>2</v>
      </c>
      <c r="K2878">
        <v>3540</v>
      </c>
      <c r="L2878">
        <v>2</v>
      </c>
      <c r="M2878">
        <v>86</v>
      </c>
      <c r="N2878">
        <v>67</v>
      </c>
      <c r="O2878">
        <f t="shared" si="90"/>
        <v>2024</v>
      </c>
      <c r="P2878">
        <f t="shared" si="91"/>
        <v>6</v>
      </c>
      <c r="Q2878" t="s">
        <v>325</v>
      </c>
      <c r="R2878" s="546" t="s">
        <v>804</v>
      </c>
    </row>
    <row r="2879" spans="1:18" x14ac:dyDescent="0.3">
      <c r="A2879" t="s">
        <v>627</v>
      </c>
      <c r="B2879" s="16">
        <v>45451</v>
      </c>
      <c r="C2879" t="s">
        <v>3</v>
      </c>
      <c r="D2879" t="s">
        <v>112</v>
      </c>
      <c r="E2879">
        <v>17</v>
      </c>
      <c r="F2879">
        <v>2</v>
      </c>
      <c r="G2879">
        <v>1</v>
      </c>
      <c r="H2879">
        <v>0</v>
      </c>
      <c r="I2879">
        <v>6350</v>
      </c>
      <c r="J2879">
        <v>1</v>
      </c>
      <c r="K2879">
        <v>6350</v>
      </c>
      <c r="L2879">
        <v>1</v>
      </c>
      <c r="M2879">
        <v>0</v>
      </c>
      <c r="N2879">
        <v>17</v>
      </c>
      <c r="O2879">
        <f t="shared" si="90"/>
        <v>2024</v>
      </c>
      <c r="P2879">
        <f t="shared" si="91"/>
        <v>6</v>
      </c>
      <c r="Q2879" t="s">
        <v>325</v>
      </c>
      <c r="R2879" s="546" t="s">
        <v>804</v>
      </c>
    </row>
    <row r="2880" spans="1:18" x14ac:dyDescent="0.3">
      <c r="A2880" t="s">
        <v>627</v>
      </c>
      <c r="B2880" s="16">
        <v>45451</v>
      </c>
      <c r="C2880" t="s">
        <v>3</v>
      </c>
      <c r="D2880" t="s">
        <v>111</v>
      </c>
      <c r="E2880">
        <v>1</v>
      </c>
      <c r="F2880">
        <v>1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1</v>
      </c>
      <c r="O2880">
        <f t="shared" si="90"/>
        <v>2024</v>
      </c>
      <c r="P2880">
        <f t="shared" si="91"/>
        <v>6</v>
      </c>
      <c r="Q2880" t="s">
        <v>325</v>
      </c>
      <c r="R2880" s="546" t="s">
        <v>804</v>
      </c>
    </row>
    <row r="2881" spans="1:18" x14ac:dyDescent="0.3">
      <c r="A2881" t="s">
        <v>627</v>
      </c>
      <c r="B2881" s="16">
        <v>45450</v>
      </c>
      <c r="C2881" t="s">
        <v>2</v>
      </c>
      <c r="D2881" t="s">
        <v>4</v>
      </c>
      <c r="E2881">
        <v>1360</v>
      </c>
      <c r="F2881">
        <v>566</v>
      </c>
      <c r="G2881">
        <v>2</v>
      </c>
      <c r="H2881">
        <v>0</v>
      </c>
      <c r="I2881">
        <v>1680</v>
      </c>
      <c r="J2881">
        <v>1</v>
      </c>
      <c r="K2881">
        <v>1680</v>
      </c>
      <c r="L2881">
        <v>1</v>
      </c>
      <c r="M2881">
        <v>23</v>
      </c>
      <c r="N2881">
        <v>1355</v>
      </c>
      <c r="O2881">
        <f t="shared" si="90"/>
        <v>2024</v>
      </c>
      <c r="P2881">
        <f t="shared" si="91"/>
        <v>6</v>
      </c>
      <c r="Q2881" t="s">
        <v>325</v>
      </c>
      <c r="R2881" s="546" t="s">
        <v>804</v>
      </c>
    </row>
    <row r="2882" spans="1:18" x14ac:dyDescent="0.3">
      <c r="A2882" t="s">
        <v>627</v>
      </c>
      <c r="B2882" s="16">
        <v>45450</v>
      </c>
      <c r="C2882" t="s">
        <v>2</v>
      </c>
      <c r="D2882" t="s">
        <v>57</v>
      </c>
      <c r="E2882">
        <v>18498</v>
      </c>
      <c r="F2882">
        <v>12131</v>
      </c>
      <c r="G2882">
        <v>83</v>
      </c>
      <c r="H2882">
        <v>86</v>
      </c>
      <c r="I2882">
        <v>68935</v>
      </c>
      <c r="J2882">
        <v>14</v>
      </c>
      <c r="K2882">
        <v>36315</v>
      </c>
      <c r="L2882">
        <v>9</v>
      </c>
      <c r="M2882">
        <v>651</v>
      </c>
      <c r="N2882">
        <v>18470</v>
      </c>
      <c r="O2882">
        <f t="shared" si="90"/>
        <v>2024</v>
      </c>
      <c r="P2882">
        <f t="shared" si="91"/>
        <v>6</v>
      </c>
      <c r="Q2882" t="s">
        <v>325</v>
      </c>
      <c r="R2882" s="546" t="s">
        <v>804</v>
      </c>
    </row>
    <row r="2883" spans="1:18" x14ac:dyDescent="0.3">
      <c r="A2883" t="s">
        <v>627</v>
      </c>
      <c r="B2883" s="16">
        <v>45450</v>
      </c>
      <c r="C2883" t="s">
        <v>2</v>
      </c>
      <c r="D2883" t="s">
        <v>52</v>
      </c>
      <c r="E2883">
        <v>3112</v>
      </c>
      <c r="F2883">
        <v>2574</v>
      </c>
      <c r="G2883">
        <v>19</v>
      </c>
      <c r="H2883">
        <v>4</v>
      </c>
      <c r="I2883">
        <v>1480</v>
      </c>
      <c r="J2883">
        <v>1</v>
      </c>
      <c r="K2883">
        <v>1480</v>
      </c>
      <c r="L2883">
        <v>1</v>
      </c>
      <c r="M2883">
        <v>3112</v>
      </c>
      <c r="N2883">
        <v>614</v>
      </c>
      <c r="O2883">
        <f t="shared" si="90"/>
        <v>2024</v>
      </c>
      <c r="P2883">
        <f t="shared" si="91"/>
        <v>6</v>
      </c>
      <c r="Q2883" t="s">
        <v>325</v>
      </c>
      <c r="R2883" s="546" t="s">
        <v>804</v>
      </c>
    </row>
    <row r="2884" spans="1:18" x14ac:dyDescent="0.3">
      <c r="A2884" t="s">
        <v>627</v>
      </c>
      <c r="B2884" s="16">
        <v>45450</v>
      </c>
      <c r="C2884" t="s">
        <v>2</v>
      </c>
      <c r="D2884" t="s">
        <v>55</v>
      </c>
      <c r="E2884">
        <v>9004</v>
      </c>
      <c r="F2884">
        <v>6916</v>
      </c>
      <c r="G2884">
        <v>0</v>
      </c>
      <c r="H2884">
        <v>2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170</v>
      </c>
      <c r="O2884">
        <f t="shared" si="90"/>
        <v>2024</v>
      </c>
      <c r="P2884">
        <f t="shared" si="91"/>
        <v>6</v>
      </c>
      <c r="Q2884" t="s">
        <v>325</v>
      </c>
      <c r="R2884" s="546" t="s">
        <v>804</v>
      </c>
    </row>
    <row r="2885" spans="1:18" x14ac:dyDescent="0.3">
      <c r="A2885" t="s">
        <v>627</v>
      </c>
      <c r="B2885" s="16">
        <v>45450</v>
      </c>
      <c r="C2885" t="s">
        <v>3</v>
      </c>
      <c r="D2885" t="s">
        <v>155</v>
      </c>
      <c r="E2885">
        <v>5</v>
      </c>
      <c r="F2885">
        <v>5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5</v>
      </c>
      <c r="O2885">
        <f t="shared" si="90"/>
        <v>2024</v>
      </c>
      <c r="P2885">
        <f t="shared" si="91"/>
        <v>6</v>
      </c>
      <c r="Q2885" t="s">
        <v>325</v>
      </c>
      <c r="R2885" s="546" t="s">
        <v>804</v>
      </c>
    </row>
    <row r="2886" spans="1:18" x14ac:dyDescent="0.3">
      <c r="A2886" t="s">
        <v>627</v>
      </c>
      <c r="B2886" s="16">
        <v>45450</v>
      </c>
      <c r="C2886" t="s">
        <v>3</v>
      </c>
      <c r="D2886" t="s">
        <v>154</v>
      </c>
      <c r="E2886">
        <v>17</v>
      </c>
      <c r="F2886">
        <v>13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4</v>
      </c>
      <c r="N2886">
        <v>1</v>
      </c>
      <c r="O2886">
        <f t="shared" si="90"/>
        <v>2024</v>
      </c>
      <c r="P2886">
        <f t="shared" si="91"/>
        <v>6</v>
      </c>
      <c r="Q2886" t="s">
        <v>325</v>
      </c>
      <c r="R2886" s="546" t="s">
        <v>804</v>
      </c>
    </row>
    <row r="2887" spans="1:18" x14ac:dyDescent="0.3">
      <c r="A2887" t="s">
        <v>627</v>
      </c>
      <c r="B2887" s="16">
        <v>45450</v>
      </c>
      <c r="C2887" t="s">
        <v>3</v>
      </c>
      <c r="D2887" t="s">
        <v>153</v>
      </c>
      <c r="E2887">
        <v>263</v>
      </c>
      <c r="F2887">
        <v>58</v>
      </c>
      <c r="G2887">
        <v>24</v>
      </c>
      <c r="H2887">
        <v>2</v>
      </c>
      <c r="I2887">
        <v>66355.42</v>
      </c>
      <c r="J2887">
        <v>15</v>
      </c>
      <c r="K2887">
        <v>66355.42</v>
      </c>
      <c r="L2887">
        <v>15</v>
      </c>
      <c r="M2887">
        <v>62</v>
      </c>
      <c r="N2887">
        <v>257</v>
      </c>
      <c r="O2887">
        <f t="shared" si="90"/>
        <v>2024</v>
      </c>
      <c r="P2887">
        <f t="shared" si="91"/>
        <v>6</v>
      </c>
      <c r="Q2887" t="s">
        <v>325</v>
      </c>
      <c r="R2887" s="546" t="s">
        <v>804</v>
      </c>
    </row>
    <row r="2888" spans="1:18" x14ac:dyDescent="0.3">
      <c r="A2888" t="s">
        <v>627</v>
      </c>
      <c r="B2888" s="16">
        <v>45450</v>
      </c>
      <c r="C2888" t="s">
        <v>3</v>
      </c>
      <c r="D2888" t="s">
        <v>152</v>
      </c>
      <c r="E2888">
        <v>5</v>
      </c>
      <c r="F2888">
        <v>2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4</v>
      </c>
      <c r="O2888">
        <f t="shared" si="90"/>
        <v>2024</v>
      </c>
      <c r="P2888">
        <f t="shared" si="91"/>
        <v>6</v>
      </c>
      <c r="Q2888" t="s">
        <v>325</v>
      </c>
      <c r="R2888" s="546" t="s">
        <v>804</v>
      </c>
    </row>
    <row r="2889" spans="1:18" x14ac:dyDescent="0.3">
      <c r="A2889" t="s">
        <v>627</v>
      </c>
      <c r="B2889" s="16">
        <v>45450</v>
      </c>
      <c r="C2889" t="s">
        <v>3</v>
      </c>
      <c r="D2889" t="s">
        <v>150</v>
      </c>
      <c r="E2889">
        <v>3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3</v>
      </c>
      <c r="O2889">
        <f t="shared" si="90"/>
        <v>2024</v>
      </c>
      <c r="P2889">
        <f t="shared" si="91"/>
        <v>6</v>
      </c>
      <c r="Q2889" t="s">
        <v>325</v>
      </c>
      <c r="R2889" s="546" t="s">
        <v>804</v>
      </c>
    </row>
    <row r="2890" spans="1:18" x14ac:dyDescent="0.3">
      <c r="A2890" t="s">
        <v>627</v>
      </c>
      <c r="B2890" s="16">
        <v>45450</v>
      </c>
      <c r="C2890" t="s">
        <v>3</v>
      </c>
      <c r="D2890" t="s">
        <v>149</v>
      </c>
      <c r="E2890">
        <v>379</v>
      </c>
      <c r="F2890">
        <v>305</v>
      </c>
      <c r="G2890">
        <v>3</v>
      </c>
      <c r="H2890">
        <v>1</v>
      </c>
      <c r="I2890">
        <v>15380</v>
      </c>
      <c r="J2890">
        <v>2</v>
      </c>
      <c r="K2890">
        <v>8480</v>
      </c>
      <c r="L2890">
        <v>2</v>
      </c>
      <c r="M2890">
        <v>77</v>
      </c>
      <c r="N2890">
        <v>355</v>
      </c>
      <c r="O2890">
        <f t="shared" si="90"/>
        <v>2024</v>
      </c>
      <c r="P2890">
        <f t="shared" si="91"/>
        <v>6</v>
      </c>
      <c r="Q2890" t="s">
        <v>325</v>
      </c>
      <c r="R2890" s="546" t="s">
        <v>804</v>
      </c>
    </row>
    <row r="2891" spans="1:18" x14ac:dyDescent="0.3">
      <c r="A2891" t="s">
        <v>627</v>
      </c>
      <c r="B2891" s="16">
        <v>45450</v>
      </c>
      <c r="C2891" t="s">
        <v>3</v>
      </c>
      <c r="D2891" t="s">
        <v>148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1</v>
      </c>
      <c r="O2891">
        <f t="shared" si="90"/>
        <v>2024</v>
      </c>
      <c r="P2891">
        <f t="shared" si="91"/>
        <v>6</v>
      </c>
      <c r="Q2891" t="s">
        <v>325</v>
      </c>
      <c r="R2891" s="546" t="s">
        <v>804</v>
      </c>
    </row>
    <row r="2892" spans="1:18" x14ac:dyDescent="0.3">
      <c r="A2892" t="s">
        <v>627</v>
      </c>
      <c r="B2892" s="16">
        <v>45450</v>
      </c>
      <c r="C2892" t="s">
        <v>3</v>
      </c>
      <c r="D2892" t="s">
        <v>147</v>
      </c>
      <c r="E2892">
        <v>32</v>
      </c>
      <c r="F2892">
        <v>23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32</v>
      </c>
      <c r="O2892">
        <f t="shared" si="90"/>
        <v>2024</v>
      </c>
      <c r="P2892">
        <f t="shared" si="91"/>
        <v>6</v>
      </c>
      <c r="Q2892" t="s">
        <v>325</v>
      </c>
      <c r="R2892" s="546" t="s">
        <v>804</v>
      </c>
    </row>
    <row r="2893" spans="1:18" x14ac:dyDescent="0.3">
      <c r="A2893" t="s">
        <v>627</v>
      </c>
      <c r="B2893" s="16">
        <v>45450</v>
      </c>
      <c r="C2893" t="s">
        <v>3</v>
      </c>
      <c r="D2893" t="s">
        <v>251</v>
      </c>
      <c r="E2893">
        <v>499</v>
      </c>
      <c r="F2893">
        <v>252</v>
      </c>
      <c r="G2893">
        <v>7</v>
      </c>
      <c r="H2893">
        <v>4</v>
      </c>
      <c r="I2893">
        <v>12656.51</v>
      </c>
      <c r="J2893">
        <v>3</v>
      </c>
      <c r="K2893">
        <v>12656.51</v>
      </c>
      <c r="L2893">
        <v>3</v>
      </c>
      <c r="M2893">
        <v>48</v>
      </c>
      <c r="N2893">
        <v>476</v>
      </c>
      <c r="O2893">
        <f t="shared" si="90"/>
        <v>2024</v>
      </c>
      <c r="P2893">
        <f t="shared" si="91"/>
        <v>6</v>
      </c>
      <c r="Q2893" t="s">
        <v>325</v>
      </c>
      <c r="R2893" s="546" t="s">
        <v>804</v>
      </c>
    </row>
    <row r="2894" spans="1:18" x14ac:dyDescent="0.3">
      <c r="A2894" t="s">
        <v>627</v>
      </c>
      <c r="B2894" s="16">
        <v>45450</v>
      </c>
      <c r="C2894" t="s">
        <v>3</v>
      </c>
      <c r="D2894" t="s">
        <v>143</v>
      </c>
      <c r="E2894">
        <v>9</v>
      </c>
      <c r="F2894">
        <v>8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9</v>
      </c>
      <c r="O2894">
        <f t="shared" si="90"/>
        <v>2024</v>
      </c>
      <c r="P2894">
        <f t="shared" si="91"/>
        <v>6</v>
      </c>
      <c r="Q2894" t="s">
        <v>325</v>
      </c>
      <c r="R2894" s="546" t="s">
        <v>804</v>
      </c>
    </row>
    <row r="2895" spans="1:18" x14ac:dyDescent="0.3">
      <c r="A2895" t="s">
        <v>627</v>
      </c>
      <c r="B2895" s="16">
        <v>45450</v>
      </c>
      <c r="C2895" t="s">
        <v>3</v>
      </c>
      <c r="D2895" t="s">
        <v>141</v>
      </c>
      <c r="E2895">
        <v>3</v>
      </c>
      <c r="F2895">
        <v>2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1</v>
      </c>
      <c r="N2895">
        <v>2</v>
      </c>
      <c r="O2895">
        <f t="shared" si="90"/>
        <v>2024</v>
      </c>
      <c r="P2895">
        <f t="shared" si="91"/>
        <v>6</v>
      </c>
      <c r="Q2895" t="s">
        <v>325</v>
      </c>
      <c r="R2895" s="546" t="s">
        <v>804</v>
      </c>
    </row>
    <row r="2896" spans="1:18" x14ac:dyDescent="0.3">
      <c r="A2896" t="s">
        <v>627</v>
      </c>
      <c r="B2896" s="16">
        <v>45450</v>
      </c>
      <c r="C2896" t="s">
        <v>3</v>
      </c>
      <c r="D2896" t="s">
        <v>140</v>
      </c>
      <c r="E2896">
        <v>1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1</v>
      </c>
      <c r="O2896">
        <f t="shared" si="90"/>
        <v>2024</v>
      </c>
      <c r="P2896">
        <f t="shared" si="91"/>
        <v>6</v>
      </c>
      <c r="Q2896" t="s">
        <v>325</v>
      </c>
      <c r="R2896" s="546" t="s">
        <v>804</v>
      </c>
    </row>
    <row r="2897" spans="1:18" x14ac:dyDescent="0.3">
      <c r="A2897" t="s">
        <v>627</v>
      </c>
      <c r="B2897" s="16">
        <v>45450</v>
      </c>
      <c r="C2897" t="s">
        <v>3</v>
      </c>
      <c r="D2897" t="s">
        <v>139</v>
      </c>
      <c r="E2897">
        <v>427</v>
      </c>
      <c r="F2897">
        <v>220</v>
      </c>
      <c r="G2897">
        <v>10</v>
      </c>
      <c r="H2897">
        <v>6</v>
      </c>
      <c r="I2897">
        <v>28897</v>
      </c>
      <c r="J2897">
        <v>8</v>
      </c>
      <c r="K2897">
        <v>22652</v>
      </c>
      <c r="L2897">
        <v>7</v>
      </c>
      <c r="M2897">
        <v>206</v>
      </c>
      <c r="N2897">
        <v>296</v>
      </c>
      <c r="O2897">
        <f t="shared" si="90"/>
        <v>2024</v>
      </c>
      <c r="P2897">
        <f t="shared" si="91"/>
        <v>6</v>
      </c>
      <c r="Q2897" t="s">
        <v>325</v>
      </c>
      <c r="R2897" s="546" t="s">
        <v>804</v>
      </c>
    </row>
    <row r="2898" spans="1:18" x14ac:dyDescent="0.3">
      <c r="A2898" t="s">
        <v>627</v>
      </c>
      <c r="B2898" s="16">
        <v>45450</v>
      </c>
      <c r="C2898" t="s">
        <v>3</v>
      </c>
      <c r="D2898" t="s">
        <v>138</v>
      </c>
      <c r="E2898">
        <v>8</v>
      </c>
      <c r="F2898">
        <v>7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8</v>
      </c>
      <c r="O2898">
        <f t="shared" si="90"/>
        <v>2024</v>
      </c>
      <c r="P2898">
        <f t="shared" si="91"/>
        <v>6</v>
      </c>
      <c r="Q2898" t="s">
        <v>325</v>
      </c>
      <c r="R2898" s="546" t="s">
        <v>804</v>
      </c>
    </row>
    <row r="2899" spans="1:18" x14ac:dyDescent="0.3">
      <c r="A2899" t="s">
        <v>627</v>
      </c>
      <c r="B2899" s="16">
        <v>45450</v>
      </c>
      <c r="C2899" t="s">
        <v>3</v>
      </c>
      <c r="D2899" t="s">
        <v>137</v>
      </c>
      <c r="E2899">
        <v>2</v>
      </c>
      <c r="F2899">
        <v>2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2</v>
      </c>
      <c r="O2899">
        <f t="shared" si="90"/>
        <v>2024</v>
      </c>
      <c r="P2899">
        <f t="shared" si="91"/>
        <v>6</v>
      </c>
      <c r="Q2899" t="s">
        <v>325</v>
      </c>
      <c r="R2899" s="546" t="s">
        <v>804</v>
      </c>
    </row>
    <row r="2900" spans="1:18" x14ac:dyDescent="0.3">
      <c r="A2900" t="s">
        <v>627</v>
      </c>
      <c r="B2900" s="16">
        <v>45450</v>
      </c>
      <c r="C2900" t="s">
        <v>3</v>
      </c>
      <c r="D2900" t="s">
        <v>133</v>
      </c>
      <c r="E2900">
        <v>4</v>
      </c>
      <c r="F2900">
        <v>3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1</v>
      </c>
      <c r="N2900">
        <v>3</v>
      </c>
      <c r="O2900">
        <f t="shared" si="90"/>
        <v>2024</v>
      </c>
      <c r="P2900">
        <f t="shared" si="91"/>
        <v>6</v>
      </c>
      <c r="Q2900" t="s">
        <v>325</v>
      </c>
      <c r="R2900" s="546" t="s">
        <v>804</v>
      </c>
    </row>
    <row r="2901" spans="1:18" x14ac:dyDescent="0.3">
      <c r="A2901" t="s">
        <v>627</v>
      </c>
      <c r="B2901" s="16">
        <v>45450</v>
      </c>
      <c r="C2901" t="s">
        <v>3</v>
      </c>
      <c r="D2901" t="s">
        <v>130</v>
      </c>
      <c r="E2901">
        <v>54</v>
      </c>
      <c r="F2901">
        <v>29</v>
      </c>
      <c r="G2901">
        <v>3</v>
      </c>
      <c r="H2901">
        <v>1</v>
      </c>
      <c r="I2901">
        <v>12772</v>
      </c>
      <c r="J2901">
        <v>4</v>
      </c>
      <c r="K2901">
        <v>10535</v>
      </c>
      <c r="L2901">
        <v>4</v>
      </c>
      <c r="M2901">
        <v>19</v>
      </c>
      <c r="N2901">
        <v>50</v>
      </c>
      <c r="O2901">
        <f t="shared" si="90"/>
        <v>2024</v>
      </c>
      <c r="P2901">
        <f t="shared" si="91"/>
        <v>6</v>
      </c>
      <c r="Q2901" t="s">
        <v>325</v>
      </c>
      <c r="R2901" s="546" t="s">
        <v>804</v>
      </c>
    </row>
    <row r="2902" spans="1:18" x14ac:dyDescent="0.3">
      <c r="A2902" t="s">
        <v>627</v>
      </c>
      <c r="B2902" s="16">
        <v>45450</v>
      </c>
      <c r="C2902" t="s">
        <v>3</v>
      </c>
      <c r="D2902" t="s">
        <v>128</v>
      </c>
      <c r="E2902">
        <v>732</v>
      </c>
      <c r="F2902">
        <v>538</v>
      </c>
      <c r="G2902">
        <v>35</v>
      </c>
      <c r="H2902">
        <v>13</v>
      </c>
      <c r="I2902">
        <v>19934.03</v>
      </c>
      <c r="J2902">
        <v>5</v>
      </c>
      <c r="K2902">
        <v>13034.03</v>
      </c>
      <c r="L2902">
        <v>5</v>
      </c>
      <c r="M2902">
        <v>189</v>
      </c>
      <c r="N2902">
        <v>671</v>
      </c>
      <c r="O2902">
        <f t="shared" si="90"/>
        <v>2024</v>
      </c>
      <c r="P2902">
        <f t="shared" si="91"/>
        <v>6</v>
      </c>
      <c r="Q2902" t="s">
        <v>325</v>
      </c>
      <c r="R2902" s="546" t="s">
        <v>804</v>
      </c>
    </row>
    <row r="2903" spans="1:18" x14ac:dyDescent="0.3">
      <c r="A2903" t="s">
        <v>627</v>
      </c>
      <c r="B2903" s="16">
        <v>45450</v>
      </c>
      <c r="C2903" t="s">
        <v>3</v>
      </c>
      <c r="D2903" t="s">
        <v>127</v>
      </c>
      <c r="E2903">
        <v>1877</v>
      </c>
      <c r="F2903">
        <v>1032</v>
      </c>
      <c r="G2903">
        <v>43</v>
      </c>
      <c r="H2903">
        <v>11</v>
      </c>
      <c r="I2903">
        <v>30820</v>
      </c>
      <c r="J2903">
        <v>11</v>
      </c>
      <c r="K2903">
        <v>24628</v>
      </c>
      <c r="L2903">
        <v>9</v>
      </c>
      <c r="M2903">
        <v>232</v>
      </c>
      <c r="N2903">
        <v>1742</v>
      </c>
      <c r="O2903">
        <f t="shared" si="90"/>
        <v>2024</v>
      </c>
      <c r="P2903">
        <f t="shared" si="91"/>
        <v>6</v>
      </c>
      <c r="Q2903" t="s">
        <v>325</v>
      </c>
      <c r="R2903" s="546" t="s">
        <v>804</v>
      </c>
    </row>
    <row r="2904" spans="1:18" x14ac:dyDescent="0.3">
      <c r="A2904" t="s">
        <v>627</v>
      </c>
      <c r="B2904" s="16">
        <v>45450</v>
      </c>
      <c r="C2904" t="s">
        <v>3</v>
      </c>
      <c r="D2904" t="s">
        <v>126</v>
      </c>
      <c r="E2904">
        <v>100</v>
      </c>
      <c r="F2904">
        <v>70</v>
      </c>
      <c r="G2904">
        <v>5</v>
      </c>
      <c r="H2904">
        <v>1</v>
      </c>
      <c r="I2904">
        <v>11890</v>
      </c>
      <c r="J2904">
        <v>3</v>
      </c>
      <c r="K2904">
        <v>7195</v>
      </c>
      <c r="L2904">
        <v>2</v>
      </c>
      <c r="M2904">
        <v>16</v>
      </c>
      <c r="N2904">
        <v>97</v>
      </c>
      <c r="O2904">
        <f t="shared" si="90"/>
        <v>2024</v>
      </c>
      <c r="P2904">
        <f t="shared" si="91"/>
        <v>6</v>
      </c>
      <c r="Q2904" t="s">
        <v>325</v>
      </c>
      <c r="R2904" s="546" t="s">
        <v>804</v>
      </c>
    </row>
    <row r="2905" spans="1:18" x14ac:dyDescent="0.3">
      <c r="A2905" t="s">
        <v>627</v>
      </c>
      <c r="B2905" s="16">
        <v>45450</v>
      </c>
      <c r="C2905" t="s">
        <v>3</v>
      </c>
      <c r="D2905" t="s">
        <v>125</v>
      </c>
      <c r="E2905">
        <v>1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1</v>
      </c>
      <c r="O2905">
        <f t="shared" si="90"/>
        <v>2024</v>
      </c>
      <c r="P2905">
        <f t="shared" si="91"/>
        <v>6</v>
      </c>
      <c r="Q2905" t="s">
        <v>325</v>
      </c>
      <c r="R2905" s="546" t="s">
        <v>804</v>
      </c>
    </row>
    <row r="2906" spans="1:18" x14ac:dyDescent="0.3">
      <c r="A2906" t="s">
        <v>627</v>
      </c>
      <c r="B2906" s="16">
        <v>45450</v>
      </c>
      <c r="C2906" t="s">
        <v>3</v>
      </c>
      <c r="D2906" t="s">
        <v>123</v>
      </c>
      <c r="E2906">
        <v>203</v>
      </c>
      <c r="F2906">
        <v>122</v>
      </c>
      <c r="G2906">
        <v>8</v>
      </c>
      <c r="H2906">
        <v>4</v>
      </c>
      <c r="I2906">
        <v>1498</v>
      </c>
      <c r="J2906">
        <v>1</v>
      </c>
      <c r="K2906">
        <v>1498</v>
      </c>
      <c r="L2906">
        <v>1</v>
      </c>
      <c r="M2906">
        <v>84</v>
      </c>
      <c r="N2906">
        <v>170</v>
      </c>
      <c r="O2906">
        <f t="shared" si="90"/>
        <v>2024</v>
      </c>
      <c r="P2906">
        <f t="shared" si="91"/>
        <v>6</v>
      </c>
      <c r="Q2906" t="s">
        <v>325</v>
      </c>
      <c r="R2906" s="546" t="s">
        <v>804</v>
      </c>
    </row>
    <row r="2907" spans="1:18" x14ac:dyDescent="0.3">
      <c r="A2907" t="s">
        <v>627</v>
      </c>
      <c r="B2907" s="16">
        <v>45450</v>
      </c>
      <c r="C2907" t="s">
        <v>3</v>
      </c>
      <c r="D2907" t="s">
        <v>120</v>
      </c>
      <c r="E2907">
        <v>450</v>
      </c>
      <c r="F2907">
        <v>263</v>
      </c>
      <c r="G2907">
        <v>2</v>
      </c>
      <c r="H2907">
        <v>0</v>
      </c>
      <c r="I2907">
        <v>1000</v>
      </c>
      <c r="J2907">
        <v>1</v>
      </c>
      <c r="K2907">
        <v>1000</v>
      </c>
      <c r="L2907">
        <v>1</v>
      </c>
      <c r="M2907">
        <v>55</v>
      </c>
      <c r="N2907">
        <v>445</v>
      </c>
      <c r="O2907">
        <f t="shared" si="90"/>
        <v>2024</v>
      </c>
      <c r="P2907">
        <f t="shared" si="91"/>
        <v>6</v>
      </c>
      <c r="Q2907" t="s">
        <v>325</v>
      </c>
      <c r="R2907" s="546" t="s">
        <v>804</v>
      </c>
    </row>
    <row r="2908" spans="1:18" x14ac:dyDescent="0.3">
      <c r="A2908" t="s">
        <v>627</v>
      </c>
      <c r="B2908" s="16">
        <v>45450</v>
      </c>
      <c r="C2908" t="s">
        <v>3</v>
      </c>
      <c r="D2908" t="s">
        <v>119</v>
      </c>
      <c r="E2908">
        <v>266</v>
      </c>
      <c r="F2908">
        <v>76</v>
      </c>
      <c r="G2908">
        <v>15</v>
      </c>
      <c r="H2908">
        <v>4</v>
      </c>
      <c r="I2908">
        <v>25053</v>
      </c>
      <c r="J2908">
        <v>7</v>
      </c>
      <c r="K2908">
        <v>22816</v>
      </c>
      <c r="L2908">
        <v>7</v>
      </c>
      <c r="M2908">
        <v>58</v>
      </c>
      <c r="N2908">
        <v>256</v>
      </c>
      <c r="O2908">
        <f t="shared" si="90"/>
        <v>2024</v>
      </c>
      <c r="P2908">
        <f t="shared" si="91"/>
        <v>6</v>
      </c>
      <c r="Q2908" t="s">
        <v>325</v>
      </c>
      <c r="R2908" s="546" t="s">
        <v>804</v>
      </c>
    </row>
    <row r="2909" spans="1:18" x14ac:dyDescent="0.3">
      <c r="A2909" t="s">
        <v>627</v>
      </c>
      <c r="B2909" s="16">
        <v>45450</v>
      </c>
      <c r="C2909" t="s">
        <v>3</v>
      </c>
      <c r="D2909" t="s">
        <v>117</v>
      </c>
      <c r="E2909">
        <v>20</v>
      </c>
      <c r="F2909">
        <v>18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1</v>
      </c>
      <c r="N2909">
        <v>20</v>
      </c>
      <c r="O2909">
        <f t="shared" si="90"/>
        <v>2024</v>
      </c>
      <c r="P2909">
        <f t="shared" si="91"/>
        <v>6</v>
      </c>
      <c r="Q2909" t="s">
        <v>325</v>
      </c>
      <c r="R2909" s="546" t="s">
        <v>804</v>
      </c>
    </row>
    <row r="2910" spans="1:18" x14ac:dyDescent="0.3">
      <c r="A2910" t="s">
        <v>627</v>
      </c>
      <c r="B2910" s="16">
        <v>45450</v>
      </c>
      <c r="C2910" t="s">
        <v>3</v>
      </c>
      <c r="D2910" t="s">
        <v>116</v>
      </c>
      <c r="E2910">
        <v>1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1</v>
      </c>
      <c r="O2910">
        <f t="shared" si="90"/>
        <v>2024</v>
      </c>
      <c r="P2910">
        <f t="shared" si="91"/>
        <v>6</v>
      </c>
      <c r="Q2910" t="s">
        <v>325</v>
      </c>
      <c r="R2910" s="546" t="s">
        <v>804</v>
      </c>
    </row>
    <row r="2911" spans="1:18" x14ac:dyDescent="0.3">
      <c r="A2911" t="s">
        <v>627</v>
      </c>
      <c r="B2911" s="16">
        <v>45450</v>
      </c>
      <c r="C2911" t="s">
        <v>3</v>
      </c>
      <c r="D2911" t="s">
        <v>115</v>
      </c>
      <c r="E2911">
        <v>8</v>
      </c>
      <c r="F2911">
        <v>3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1</v>
      </c>
      <c r="N2911">
        <v>7</v>
      </c>
      <c r="O2911">
        <f t="shared" si="90"/>
        <v>2024</v>
      </c>
      <c r="P2911">
        <f t="shared" si="91"/>
        <v>6</v>
      </c>
      <c r="Q2911" t="s">
        <v>325</v>
      </c>
      <c r="R2911" s="546" t="s">
        <v>804</v>
      </c>
    </row>
    <row r="2912" spans="1:18" x14ac:dyDescent="0.3">
      <c r="A2912" t="s">
        <v>627</v>
      </c>
      <c r="B2912" s="16">
        <v>45450</v>
      </c>
      <c r="C2912" t="s">
        <v>3</v>
      </c>
      <c r="D2912" t="s">
        <v>114</v>
      </c>
      <c r="E2912">
        <v>99</v>
      </c>
      <c r="F2912">
        <v>55</v>
      </c>
      <c r="G2912">
        <v>1</v>
      </c>
      <c r="H2912">
        <v>2</v>
      </c>
      <c r="I2912">
        <v>1303</v>
      </c>
      <c r="J2912">
        <v>1</v>
      </c>
      <c r="K2912">
        <v>0</v>
      </c>
      <c r="L2912">
        <v>0</v>
      </c>
      <c r="M2912">
        <v>10</v>
      </c>
      <c r="N2912">
        <v>94</v>
      </c>
      <c r="O2912">
        <f t="shared" si="90"/>
        <v>2024</v>
      </c>
      <c r="P2912">
        <f t="shared" si="91"/>
        <v>6</v>
      </c>
      <c r="Q2912" t="s">
        <v>325</v>
      </c>
      <c r="R2912" s="546" t="s">
        <v>804</v>
      </c>
    </row>
    <row r="2913" spans="1:18" x14ac:dyDescent="0.3">
      <c r="A2913" t="s">
        <v>627</v>
      </c>
      <c r="B2913" s="16">
        <v>45450</v>
      </c>
      <c r="C2913" t="s">
        <v>3</v>
      </c>
      <c r="D2913" t="s">
        <v>113</v>
      </c>
      <c r="E2913">
        <v>97</v>
      </c>
      <c r="F2913">
        <v>43</v>
      </c>
      <c r="G2913">
        <v>7</v>
      </c>
      <c r="H2913">
        <v>1</v>
      </c>
      <c r="I2913">
        <v>3145</v>
      </c>
      <c r="J2913">
        <v>1</v>
      </c>
      <c r="K2913">
        <v>3145</v>
      </c>
      <c r="L2913">
        <v>1</v>
      </c>
      <c r="M2913">
        <v>78</v>
      </c>
      <c r="N2913">
        <v>60</v>
      </c>
      <c r="O2913">
        <f t="shared" si="90"/>
        <v>2024</v>
      </c>
      <c r="P2913">
        <f t="shared" si="91"/>
        <v>6</v>
      </c>
      <c r="Q2913" t="s">
        <v>325</v>
      </c>
      <c r="R2913" s="546" t="s">
        <v>804</v>
      </c>
    </row>
    <row r="2914" spans="1:18" x14ac:dyDescent="0.3">
      <c r="A2914" t="s">
        <v>627</v>
      </c>
      <c r="B2914" s="16">
        <v>45450</v>
      </c>
      <c r="C2914" t="s">
        <v>3</v>
      </c>
      <c r="D2914" t="s">
        <v>112</v>
      </c>
      <c r="E2914">
        <v>24</v>
      </c>
      <c r="F2914">
        <v>4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24</v>
      </c>
      <c r="O2914">
        <f t="shared" si="90"/>
        <v>2024</v>
      </c>
      <c r="P2914">
        <f t="shared" si="91"/>
        <v>6</v>
      </c>
      <c r="Q2914" t="s">
        <v>325</v>
      </c>
      <c r="R2914" s="546" t="s">
        <v>804</v>
      </c>
    </row>
    <row r="2915" spans="1:18" x14ac:dyDescent="0.3">
      <c r="A2915" t="s">
        <v>627</v>
      </c>
      <c r="B2915" s="16">
        <v>45450</v>
      </c>
      <c r="C2915" t="s">
        <v>3</v>
      </c>
      <c r="D2915" t="s">
        <v>111</v>
      </c>
      <c r="E2915">
        <v>7</v>
      </c>
      <c r="F2915">
        <v>5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7</v>
      </c>
      <c r="O2915">
        <f t="shared" si="90"/>
        <v>2024</v>
      </c>
      <c r="P2915">
        <f t="shared" si="91"/>
        <v>6</v>
      </c>
      <c r="Q2915" t="s">
        <v>325</v>
      </c>
      <c r="R2915" s="546" t="s">
        <v>804</v>
      </c>
    </row>
    <row r="2916" spans="1:18" x14ac:dyDescent="0.3">
      <c r="A2916" t="s">
        <v>627</v>
      </c>
      <c r="B2916" s="16">
        <v>45449</v>
      </c>
      <c r="C2916" t="s">
        <v>2</v>
      </c>
      <c r="D2916" t="s">
        <v>4</v>
      </c>
      <c r="E2916">
        <v>1123</v>
      </c>
      <c r="F2916">
        <v>643</v>
      </c>
      <c r="G2916">
        <v>2</v>
      </c>
      <c r="H2916">
        <v>0</v>
      </c>
      <c r="I2916">
        <v>1980</v>
      </c>
      <c r="J2916">
        <v>1</v>
      </c>
      <c r="K2916">
        <v>1980</v>
      </c>
      <c r="L2916">
        <v>1</v>
      </c>
      <c r="M2916">
        <v>17</v>
      </c>
      <c r="N2916">
        <v>1110</v>
      </c>
      <c r="O2916">
        <f t="shared" si="90"/>
        <v>2024</v>
      </c>
      <c r="P2916">
        <f t="shared" si="91"/>
        <v>6</v>
      </c>
      <c r="Q2916" t="s">
        <v>325</v>
      </c>
      <c r="R2916" s="546" t="s">
        <v>804</v>
      </c>
    </row>
    <row r="2917" spans="1:18" x14ac:dyDescent="0.3">
      <c r="A2917" t="s">
        <v>627</v>
      </c>
      <c r="B2917" s="16">
        <v>45449</v>
      </c>
      <c r="C2917" t="s">
        <v>2</v>
      </c>
      <c r="D2917" t="s">
        <v>57</v>
      </c>
      <c r="E2917">
        <v>18037</v>
      </c>
      <c r="F2917">
        <v>12065</v>
      </c>
      <c r="G2917">
        <v>102</v>
      </c>
      <c r="H2917">
        <v>84</v>
      </c>
      <c r="I2917">
        <v>64107</v>
      </c>
      <c r="J2917">
        <v>12</v>
      </c>
      <c r="K2917">
        <v>29172</v>
      </c>
      <c r="L2917">
        <v>9</v>
      </c>
      <c r="M2917">
        <v>682</v>
      </c>
      <c r="N2917">
        <v>18002</v>
      </c>
      <c r="O2917">
        <f t="shared" si="90"/>
        <v>2024</v>
      </c>
      <c r="P2917">
        <f t="shared" si="91"/>
        <v>6</v>
      </c>
      <c r="Q2917" t="s">
        <v>325</v>
      </c>
      <c r="R2917" s="546" t="s">
        <v>804</v>
      </c>
    </row>
    <row r="2918" spans="1:18" x14ac:dyDescent="0.3">
      <c r="A2918" t="s">
        <v>627</v>
      </c>
      <c r="B2918" s="16">
        <v>45449</v>
      </c>
      <c r="C2918" t="s">
        <v>2</v>
      </c>
      <c r="D2918" t="s">
        <v>52</v>
      </c>
      <c r="E2918">
        <v>3124</v>
      </c>
      <c r="F2918">
        <v>2559</v>
      </c>
      <c r="G2918">
        <v>14</v>
      </c>
      <c r="H2918">
        <v>6</v>
      </c>
      <c r="I2918">
        <v>3500</v>
      </c>
      <c r="J2918">
        <v>3</v>
      </c>
      <c r="K2918">
        <v>3500</v>
      </c>
      <c r="L2918">
        <v>3</v>
      </c>
      <c r="M2918">
        <v>3124</v>
      </c>
      <c r="N2918">
        <v>631</v>
      </c>
      <c r="O2918">
        <f t="shared" si="90"/>
        <v>2024</v>
      </c>
      <c r="P2918">
        <f t="shared" si="91"/>
        <v>6</v>
      </c>
      <c r="Q2918" t="s">
        <v>325</v>
      </c>
      <c r="R2918" s="546" t="s">
        <v>804</v>
      </c>
    </row>
    <row r="2919" spans="1:18" x14ac:dyDescent="0.3">
      <c r="A2919" t="s">
        <v>627</v>
      </c>
      <c r="B2919" s="16">
        <v>45449</v>
      </c>
      <c r="C2919" t="s">
        <v>2</v>
      </c>
      <c r="D2919" t="s">
        <v>55</v>
      </c>
      <c r="E2919">
        <v>20932</v>
      </c>
      <c r="F2919">
        <v>18292</v>
      </c>
      <c r="G2919">
        <v>3</v>
      </c>
      <c r="H2919">
        <v>2</v>
      </c>
      <c r="I2919">
        <v>0</v>
      </c>
      <c r="J2919">
        <v>0</v>
      </c>
      <c r="K2919">
        <v>0</v>
      </c>
      <c r="L2919">
        <v>0</v>
      </c>
      <c r="M2919">
        <v>21</v>
      </c>
      <c r="N2919">
        <v>3251</v>
      </c>
      <c r="O2919">
        <f t="shared" si="90"/>
        <v>2024</v>
      </c>
      <c r="P2919">
        <f t="shared" si="91"/>
        <v>6</v>
      </c>
      <c r="Q2919" t="s">
        <v>325</v>
      </c>
      <c r="R2919" s="546" t="s">
        <v>804</v>
      </c>
    </row>
    <row r="2920" spans="1:18" x14ac:dyDescent="0.3">
      <c r="A2920" t="s">
        <v>627</v>
      </c>
      <c r="B2920" s="16">
        <v>45449</v>
      </c>
      <c r="C2920" t="s">
        <v>3</v>
      </c>
      <c r="D2920" t="s">
        <v>155</v>
      </c>
      <c r="E2920">
        <v>1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1</v>
      </c>
      <c r="O2920">
        <f t="shared" si="90"/>
        <v>2024</v>
      </c>
      <c r="P2920">
        <f t="shared" si="91"/>
        <v>6</v>
      </c>
      <c r="Q2920" t="s">
        <v>325</v>
      </c>
      <c r="R2920" s="546" t="s">
        <v>804</v>
      </c>
    </row>
    <row r="2921" spans="1:18" x14ac:dyDescent="0.3">
      <c r="A2921" t="s">
        <v>627</v>
      </c>
      <c r="B2921" s="16">
        <v>45449</v>
      </c>
      <c r="C2921" t="s">
        <v>3</v>
      </c>
      <c r="D2921" t="s">
        <v>154</v>
      </c>
      <c r="E2921">
        <v>1793</v>
      </c>
      <c r="F2921">
        <v>1738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8</v>
      </c>
      <c r="N2921">
        <v>4</v>
      </c>
      <c r="O2921">
        <f t="shared" si="90"/>
        <v>2024</v>
      </c>
      <c r="P2921">
        <f t="shared" si="91"/>
        <v>6</v>
      </c>
      <c r="Q2921" t="s">
        <v>325</v>
      </c>
      <c r="R2921" s="546" t="s">
        <v>804</v>
      </c>
    </row>
    <row r="2922" spans="1:18" x14ac:dyDescent="0.3">
      <c r="A2922" t="s">
        <v>627</v>
      </c>
      <c r="B2922" s="16">
        <v>45449</v>
      </c>
      <c r="C2922" t="s">
        <v>3</v>
      </c>
      <c r="D2922" t="s">
        <v>153</v>
      </c>
      <c r="E2922">
        <v>290</v>
      </c>
      <c r="F2922">
        <v>65</v>
      </c>
      <c r="G2922">
        <v>18</v>
      </c>
      <c r="H2922">
        <v>4</v>
      </c>
      <c r="I2922">
        <v>36342.5</v>
      </c>
      <c r="J2922">
        <v>17</v>
      </c>
      <c r="K2922">
        <v>34105.5</v>
      </c>
      <c r="L2922">
        <v>17</v>
      </c>
      <c r="M2922">
        <v>75</v>
      </c>
      <c r="N2922">
        <v>275</v>
      </c>
      <c r="O2922">
        <f t="shared" si="90"/>
        <v>2024</v>
      </c>
      <c r="P2922">
        <f t="shared" si="91"/>
        <v>6</v>
      </c>
      <c r="Q2922" t="s">
        <v>325</v>
      </c>
      <c r="R2922" s="546" t="s">
        <v>804</v>
      </c>
    </row>
    <row r="2923" spans="1:18" x14ac:dyDescent="0.3">
      <c r="A2923" t="s">
        <v>627</v>
      </c>
      <c r="B2923" s="16">
        <v>45449</v>
      </c>
      <c r="C2923" t="s">
        <v>3</v>
      </c>
      <c r="D2923" t="s">
        <v>152</v>
      </c>
      <c r="E2923">
        <v>16</v>
      </c>
      <c r="F2923">
        <v>9</v>
      </c>
      <c r="G2923">
        <v>1</v>
      </c>
      <c r="H2923">
        <v>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14</v>
      </c>
      <c r="O2923">
        <f t="shared" si="90"/>
        <v>2024</v>
      </c>
      <c r="P2923">
        <f t="shared" si="91"/>
        <v>6</v>
      </c>
      <c r="Q2923" t="s">
        <v>325</v>
      </c>
      <c r="R2923" s="546" t="s">
        <v>804</v>
      </c>
    </row>
    <row r="2924" spans="1:18" x14ac:dyDescent="0.3">
      <c r="A2924" t="s">
        <v>627</v>
      </c>
      <c r="B2924" s="16">
        <v>45449</v>
      </c>
      <c r="C2924" t="s">
        <v>3</v>
      </c>
      <c r="D2924" t="s">
        <v>150</v>
      </c>
      <c r="E2924">
        <v>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2</v>
      </c>
      <c r="O2924">
        <f t="shared" si="90"/>
        <v>2024</v>
      </c>
      <c r="P2924">
        <f t="shared" si="91"/>
        <v>6</v>
      </c>
      <c r="Q2924" t="s">
        <v>325</v>
      </c>
      <c r="R2924" s="546" t="s">
        <v>804</v>
      </c>
    </row>
    <row r="2925" spans="1:18" x14ac:dyDescent="0.3">
      <c r="A2925" t="s">
        <v>627</v>
      </c>
      <c r="B2925" s="16">
        <v>45449</v>
      </c>
      <c r="C2925" t="s">
        <v>3</v>
      </c>
      <c r="D2925" t="s">
        <v>149</v>
      </c>
      <c r="E2925">
        <v>493</v>
      </c>
      <c r="F2925">
        <v>386</v>
      </c>
      <c r="G2925">
        <v>10</v>
      </c>
      <c r="H2925">
        <v>8</v>
      </c>
      <c r="I2925">
        <v>14950</v>
      </c>
      <c r="J2925">
        <v>1</v>
      </c>
      <c r="K2925">
        <v>0</v>
      </c>
      <c r="L2925">
        <v>0</v>
      </c>
      <c r="M2925">
        <v>116</v>
      </c>
      <c r="N2925">
        <v>415</v>
      </c>
      <c r="O2925">
        <f t="shared" si="90"/>
        <v>2024</v>
      </c>
      <c r="P2925">
        <f t="shared" si="91"/>
        <v>6</v>
      </c>
      <c r="Q2925" t="s">
        <v>325</v>
      </c>
      <c r="R2925" s="546" t="s">
        <v>804</v>
      </c>
    </row>
    <row r="2926" spans="1:18" x14ac:dyDescent="0.3">
      <c r="A2926" t="s">
        <v>627</v>
      </c>
      <c r="B2926" s="16">
        <v>45449</v>
      </c>
      <c r="C2926" t="s">
        <v>3</v>
      </c>
      <c r="D2926" t="s">
        <v>147</v>
      </c>
      <c r="E2926">
        <v>25</v>
      </c>
      <c r="F2926">
        <v>19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25</v>
      </c>
      <c r="O2926">
        <f t="shared" si="90"/>
        <v>2024</v>
      </c>
      <c r="P2926">
        <f t="shared" si="91"/>
        <v>6</v>
      </c>
      <c r="Q2926" t="s">
        <v>325</v>
      </c>
      <c r="R2926" s="546" t="s">
        <v>804</v>
      </c>
    </row>
    <row r="2927" spans="1:18" x14ac:dyDescent="0.3">
      <c r="A2927" t="s">
        <v>627</v>
      </c>
      <c r="B2927" s="16">
        <v>45449</v>
      </c>
      <c r="C2927" t="s">
        <v>3</v>
      </c>
      <c r="D2927" t="s">
        <v>251</v>
      </c>
      <c r="E2927">
        <v>3372</v>
      </c>
      <c r="F2927">
        <v>2863</v>
      </c>
      <c r="G2927">
        <v>4</v>
      </c>
      <c r="H2927">
        <v>6</v>
      </c>
      <c r="I2927">
        <v>7213</v>
      </c>
      <c r="J2927">
        <v>4</v>
      </c>
      <c r="K2927">
        <v>7213</v>
      </c>
      <c r="L2927">
        <v>4</v>
      </c>
      <c r="M2927">
        <v>74</v>
      </c>
      <c r="N2927">
        <v>600</v>
      </c>
      <c r="O2927">
        <f t="shared" ref="O2927:O2990" si="92">YEAR(B2927)</f>
        <v>2024</v>
      </c>
      <c r="P2927">
        <f t="shared" ref="P2927:P2990" si="93">MONTH(B2927)</f>
        <v>6</v>
      </c>
      <c r="Q2927" t="s">
        <v>325</v>
      </c>
      <c r="R2927" s="546" t="s">
        <v>804</v>
      </c>
    </row>
    <row r="2928" spans="1:18" x14ac:dyDescent="0.3">
      <c r="A2928" t="s">
        <v>627</v>
      </c>
      <c r="B2928" s="16">
        <v>45449</v>
      </c>
      <c r="C2928" t="s">
        <v>3</v>
      </c>
      <c r="D2928" t="s">
        <v>143</v>
      </c>
      <c r="E2928">
        <v>16</v>
      </c>
      <c r="F2928">
        <v>16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16</v>
      </c>
      <c r="O2928">
        <f t="shared" si="92"/>
        <v>2024</v>
      </c>
      <c r="P2928">
        <f t="shared" si="93"/>
        <v>6</v>
      </c>
      <c r="Q2928" t="s">
        <v>325</v>
      </c>
      <c r="R2928" s="546" t="s">
        <v>804</v>
      </c>
    </row>
    <row r="2929" spans="1:18" x14ac:dyDescent="0.3">
      <c r="A2929" t="s">
        <v>627</v>
      </c>
      <c r="B2929" s="16">
        <v>45449</v>
      </c>
      <c r="C2929" t="s">
        <v>3</v>
      </c>
      <c r="D2929" t="s">
        <v>141</v>
      </c>
      <c r="E2929">
        <v>5</v>
      </c>
      <c r="F2929">
        <v>5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1</v>
      </c>
      <c r="N2929">
        <v>4</v>
      </c>
      <c r="O2929">
        <f t="shared" si="92"/>
        <v>2024</v>
      </c>
      <c r="P2929">
        <f t="shared" si="93"/>
        <v>6</v>
      </c>
      <c r="Q2929" t="s">
        <v>325</v>
      </c>
      <c r="R2929" s="546" t="s">
        <v>804</v>
      </c>
    </row>
    <row r="2930" spans="1:18" x14ac:dyDescent="0.3">
      <c r="A2930" t="s">
        <v>627</v>
      </c>
      <c r="B2930" s="16">
        <v>45449</v>
      </c>
      <c r="C2930" t="s">
        <v>3</v>
      </c>
      <c r="D2930" t="s">
        <v>140</v>
      </c>
      <c r="E2930">
        <v>5</v>
      </c>
      <c r="F2930">
        <v>2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2</v>
      </c>
      <c r="N2930">
        <v>5</v>
      </c>
      <c r="O2930">
        <f t="shared" si="92"/>
        <v>2024</v>
      </c>
      <c r="P2930">
        <f t="shared" si="93"/>
        <v>6</v>
      </c>
      <c r="Q2930" t="s">
        <v>325</v>
      </c>
      <c r="R2930" s="546" t="s">
        <v>804</v>
      </c>
    </row>
    <row r="2931" spans="1:18" x14ac:dyDescent="0.3">
      <c r="A2931" t="s">
        <v>627</v>
      </c>
      <c r="B2931" s="16">
        <v>45449</v>
      </c>
      <c r="C2931" t="s">
        <v>3</v>
      </c>
      <c r="D2931" t="s">
        <v>139</v>
      </c>
      <c r="E2931">
        <v>496</v>
      </c>
      <c r="F2931">
        <v>285</v>
      </c>
      <c r="G2931">
        <v>9</v>
      </c>
      <c r="H2931">
        <v>4</v>
      </c>
      <c r="I2931">
        <v>19812</v>
      </c>
      <c r="J2931">
        <v>7</v>
      </c>
      <c r="K2931">
        <v>19812</v>
      </c>
      <c r="L2931">
        <v>7</v>
      </c>
      <c r="M2931">
        <v>273</v>
      </c>
      <c r="N2931">
        <v>291</v>
      </c>
      <c r="O2931">
        <f t="shared" si="92"/>
        <v>2024</v>
      </c>
      <c r="P2931">
        <f t="shared" si="93"/>
        <v>6</v>
      </c>
      <c r="Q2931" t="s">
        <v>325</v>
      </c>
      <c r="R2931" s="546" t="s">
        <v>804</v>
      </c>
    </row>
    <row r="2932" spans="1:18" x14ac:dyDescent="0.3">
      <c r="A2932" t="s">
        <v>627</v>
      </c>
      <c r="B2932" s="16">
        <v>45449</v>
      </c>
      <c r="C2932" t="s">
        <v>3</v>
      </c>
      <c r="D2932" t="s">
        <v>138</v>
      </c>
      <c r="E2932">
        <v>6</v>
      </c>
      <c r="F2932">
        <v>3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2</v>
      </c>
      <c r="N2932">
        <v>4</v>
      </c>
      <c r="O2932">
        <f t="shared" si="92"/>
        <v>2024</v>
      </c>
      <c r="P2932">
        <f t="shared" si="93"/>
        <v>6</v>
      </c>
      <c r="Q2932" t="s">
        <v>325</v>
      </c>
      <c r="R2932" s="546" t="s">
        <v>804</v>
      </c>
    </row>
    <row r="2933" spans="1:18" x14ac:dyDescent="0.3">
      <c r="A2933" t="s">
        <v>627</v>
      </c>
      <c r="B2933" s="16">
        <v>45449</v>
      </c>
      <c r="C2933" t="s">
        <v>3</v>
      </c>
      <c r="D2933" t="s">
        <v>137</v>
      </c>
      <c r="E2933">
        <v>1</v>
      </c>
      <c r="F2933">
        <v>0</v>
      </c>
      <c r="G2933">
        <v>0</v>
      </c>
      <c r="H2933">
        <v>1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1</v>
      </c>
      <c r="O2933">
        <f t="shared" si="92"/>
        <v>2024</v>
      </c>
      <c r="P2933">
        <f t="shared" si="93"/>
        <v>6</v>
      </c>
      <c r="Q2933" t="s">
        <v>325</v>
      </c>
      <c r="R2933" s="546" t="s">
        <v>804</v>
      </c>
    </row>
    <row r="2934" spans="1:18" x14ac:dyDescent="0.3">
      <c r="A2934" t="s">
        <v>627</v>
      </c>
      <c r="B2934" s="16">
        <v>45449</v>
      </c>
      <c r="C2934" t="s">
        <v>3</v>
      </c>
      <c r="D2934" t="s">
        <v>135</v>
      </c>
      <c r="E2934">
        <v>4</v>
      </c>
      <c r="F2934">
        <v>4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f t="shared" si="92"/>
        <v>2024</v>
      </c>
      <c r="P2934">
        <f t="shared" si="93"/>
        <v>6</v>
      </c>
      <c r="Q2934" t="s">
        <v>325</v>
      </c>
      <c r="R2934" s="546" t="s">
        <v>804</v>
      </c>
    </row>
    <row r="2935" spans="1:18" x14ac:dyDescent="0.3">
      <c r="A2935" t="s">
        <v>627</v>
      </c>
      <c r="B2935" s="16">
        <v>45449</v>
      </c>
      <c r="C2935" t="s">
        <v>3</v>
      </c>
      <c r="D2935" t="s">
        <v>133</v>
      </c>
      <c r="E2935">
        <v>13</v>
      </c>
      <c r="F2935">
        <v>9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3</v>
      </c>
      <c r="N2935">
        <v>12</v>
      </c>
      <c r="O2935">
        <f t="shared" si="92"/>
        <v>2024</v>
      </c>
      <c r="P2935">
        <f t="shared" si="93"/>
        <v>6</v>
      </c>
      <c r="Q2935" t="s">
        <v>325</v>
      </c>
      <c r="R2935" s="546" t="s">
        <v>804</v>
      </c>
    </row>
    <row r="2936" spans="1:18" x14ac:dyDescent="0.3">
      <c r="A2936" t="s">
        <v>627</v>
      </c>
      <c r="B2936" s="16">
        <v>45449</v>
      </c>
      <c r="C2936" t="s">
        <v>3</v>
      </c>
      <c r="D2936" t="s">
        <v>132</v>
      </c>
      <c r="E2936">
        <v>1</v>
      </c>
      <c r="F2936">
        <v>1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1</v>
      </c>
      <c r="O2936">
        <f t="shared" si="92"/>
        <v>2024</v>
      </c>
      <c r="P2936">
        <f t="shared" si="93"/>
        <v>6</v>
      </c>
      <c r="Q2936" t="s">
        <v>325</v>
      </c>
      <c r="R2936" s="546" t="s">
        <v>804</v>
      </c>
    </row>
    <row r="2937" spans="1:18" x14ac:dyDescent="0.3">
      <c r="A2937" t="s">
        <v>627</v>
      </c>
      <c r="B2937" s="16">
        <v>45449</v>
      </c>
      <c r="C2937" t="s">
        <v>3</v>
      </c>
      <c r="D2937" t="s">
        <v>131</v>
      </c>
      <c r="E2937">
        <v>1</v>
      </c>
      <c r="F2937">
        <v>1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1</v>
      </c>
      <c r="O2937">
        <f t="shared" si="92"/>
        <v>2024</v>
      </c>
      <c r="P2937">
        <f t="shared" si="93"/>
        <v>6</v>
      </c>
      <c r="Q2937" t="s">
        <v>325</v>
      </c>
      <c r="R2937" s="546" t="s">
        <v>804</v>
      </c>
    </row>
    <row r="2938" spans="1:18" x14ac:dyDescent="0.3">
      <c r="A2938" t="s">
        <v>627</v>
      </c>
      <c r="B2938" s="16">
        <v>45449</v>
      </c>
      <c r="C2938" t="s">
        <v>3</v>
      </c>
      <c r="D2938" t="s">
        <v>130</v>
      </c>
      <c r="E2938">
        <v>69</v>
      </c>
      <c r="F2938">
        <v>30</v>
      </c>
      <c r="G2938">
        <v>7</v>
      </c>
      <c r="H2938">
        <v>1</v>
      </c>
      <c r="I2938">
        <v>12738</v>
      </c>
      <c r="J2938">
        <v>5</v>
      </c>
      <c r="K2938">
        <v>12738</v>
      </c>
      <c r="L2938">
        <v>5</v>
      </c>
      <c r="M2938">
        <v>24</v>
      </c>
      <c r="N2938">
        <v>63</v>
      </c>
      <c r="O2938">
        <f t="shared" si="92"/>
        <v>2024</v>
      </c>
      <c r="P2938">
        <f t="shared" si="93"/>
        <v>6</v>
      </c>
      <c r="Q2938" t="s">
        <v>325</v>
      </c>
      <c r="R2938" s="546" t="s">
        <v>804</v>
      </c>
    </row>
    <row r="2939" spans="1:18" x14ac:dyDescent="0.3">
      <c r="A2939" t="s">
        <v>627</v>
      </c>
      <c r="B2939" s="16">
        <v>45449</v>
      </c>
      <c r="C2939" t="s">
        <v>3</v>
      </c>
      <c r="D2939" t="s">
        <v>128</v>
      </c>
      <c r="E2939">
        <v>876</v>
      </c>
      <c r="F2939">
        <v>676</v>
      </c>
      <c r="G2939">
        <v>38</v>
      </c>
      <c r="H2939">
        <v>13</v>
      </c>
      <c r="I2939">
        <v>30876</v>
      </c>
      <c r="J2939">
        <v>5</v>
      </c>
      <c r="K2939">
        <v>28639</v>
      </c>
      <c r="L2939">
        <v>5</v>
      </c>
      <c r="M2939">
        <v>232</v>
      </c>
      <c r="N2939">
        <v>798</v>
      </c>
      <c r="O2939">
        <f t="shared" si="92"/>
        <v>2024</v>
      </c>
      <c r="P2939">
        <f t="shared" si="93"/>
        <v>6</v>
      </c>
      <c r="Q2939" t="s">
        <v>325</v>
      </c>
      <c r="R2939" s="546" t="s">
        <v>804</v>
      </c>
    </row>
    <row r="2940" spans="1:18" x14ac:dyDescent="0.3">
      <c r="A2940" t="s">
        <v>627</v>
      </c>
      <c r="B2940" s="16">
        <v>45449</v>
      </c>
      <c r="C2940" t="s">
        <v>3</v>
      </c>
      <c r="D2940" t="s">
        <v>127</v>
      </c>
      <c r="E2940">
        <v>2225</v>
      </c>
      <c r="F2940">
        <v>1275</v>
      </c>
      <c r="G2940">
        <v>54</v>
      </c>
      <c r="H2940">
        <v>22</v>
      </c>
      <c r="I2940">
        <v>10188.700000000001</v>
      </c>
      <c r="J2940">
        <v>5</v>
      </c>
      <c r="K2940">
        <v>10188.700000000001</v>
      </c>
      <c r="L2940">
        <v>5</v>
      </c>
      <c r="M2940">
        <v>269</v>
      </c>
      <c r="N2940">
        <v>1913</v>
      </c>
      <c r="O2940">
        <f t="shared" si="92"/>
        <v>2024</v>
      </c>
      <c r="P2940">
        <f t="shared" si="93"/>
        <v>6</v>
      </c>
      <c r="Q2940" t="s">
        <v>325</v>
      </c>
      <c r="R2940" s="546" t="s">
        <v>804</v>
      </c>
    </row>
    <row r="2941" spans="1:18" x14ac:dyDescent="0.3">
      <c r="A2941" t="s">
        <v>627</v>
      </c>
      <c r="B2941" s="16">
        <v>45449</v>
      </c>
      <c r="C2941" t="s">
        <v>3</v>
      </c>
      <c r="D2941" t="s">
        <v>126</v>
      </c>
      <c r="E2941">
        <v>92</v>
      </c>
      <c r="F2941">
        <v>55</v>
      </c>
      <c r="G2941">
        <v>2</v>
      </c>
      <c r="H2941">
        <v>1</v>
      </c>
      <c r="I2941">
        <v>0</v>
      </c>
      <c r="J2941">
        <v>0</v>
      </c>
      <c r="K2941">
        <v>0</v>
      </c>
      <c r="L2941">
        <v>0</v>
      </c>
      <c r="M2941">
        <v>19</v>
      </c>
      <c r="N2941">
        <v>89</v>
      </c>
      <c r="O2941">
        <f t="shared" si="92"/>
        <v>2024</v>
      </c>
      <c r="P2941">
        <f t="shared" si="93"/>
        <v>6</v>
      </c>
      <c r="Q2941" t="s">
        <v>325</v>
      </c>
      <c r="R2941" s="546" t="s">
        <v>804</v>
      </c>
    </row>
    <row r="2942" spans="1:18" x14ac:dyDescent="0.3">
      <c r="A2942" t="s">
        <v>627</v>
      </c>
      <c r="B2942" s="16">
        <v>45449</v>
      </c>
      <c r="C2942" t="s">
        <v>3</v>
      </c>
      <c r="D2942" t="s">
        <v>125</v>
      </c>
      <c r="E2942">
        <v>3</v>
      </c>
      <c r="F2942">
        <v>2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1</v>
      </c>
      <c r="N2942">
        <v>3</v>
      </c>
      <c r="O2942">
        <f t="shared" si="92"/>
        <v>2024</v>
      </c>
      <c r="P2942">
        <f t="shared" si="93"/>
        <v>6</v>
      </c>
      <c r="Q2942" t="s">
        <v>325</v>
      </c>
      <c r="R2942" s="546" t="s">
        <v>804</v>
      </c>
    </row>
    <row r="2943" spans="1:18" x14ac:dyDescent="0.3">
      <c r="A2943" t="s">
        <v>627</v>
      </c>
      <c r="B2943" s="16">
        <v>45449</v>
      </c>
      <c r="C2943" t="s">
        <v>3</v>
      </c>
      <c r="D2943" t="s">
        <v>123</v>
      </c>
      <c r="E2943">
        <v>247</v>
      </c>
      <c r="F2943">
        <v>154</v>
      </c>
      <c r="G2943">
        <v>7</v>
      </c>
      <c r="H2943">
        <v>5</v>
      </c>
      <c r="I2943">
        <v>4976</v>
      </c>
      <c r="J2943">
        <v>2</v>
      </c>
      <c r="K2943">
        <v>4976</v>
      </c>
      <c r="L2943">
        <v>2</v>
      </c>
      <c r="M2943">
        <v>74</v>
      </c>
      <c r="N2943">
        <v>186</v>
      </c>
      <c r="O2943">
        <f t="shared" si="92"/>
        <v>2024</v>
      </c>
      <c r="P2943">
        <f t="shared" si="93"/>
        <v>6</v>
      </c>
      <c r="Q2943" t="s">
        <v>325</v>
      </c>
      <c r="R2943" s="546" t="s">
        <v>804</v>
      </c>
    </row>
    <row r="2944" spans="1:18" x14ac:dyDescent="0.3">
      <c r="A2944" t="s">
        <v>627</v>
      </c>
      <c r="B2944" s="16">
        <v>45449</v>
      </c>
      <c r="C2944" t="s">
        <v>3</v>
      </c>
      <c r="D2944" t="s">
        <v>121</v>
      </c>
      <c r="E2944">
        <v>1</v>
      </c>
      <c r="F2944">
        <v>1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1</v>
      </c>
      <c r="N2944">
        <v>0</v>
      </c>
      <c r="O2944">
        <f t="shared" si="92"/>
        <v>2024</v>
      </c>
      <c r="P2944">
        <f t="shared" si="93"/>
        <v>6</v>
      </c>
      <c r="Q2944" t="s">
        <v>325</v>
      </c>
      <c r="R2944" s="546" t="s">
        <v>804</v>
      </c>
    </row>
    <row r="2945" spans="1:18" x14ac:dyDescent="0.3">
      <c r="A2945" t="s">
        <v>627</v>
      </c>
      <c r="B2945" s="16">
        <v>45449</v>
      </c>
      <c r="C2945" t="s">
        <v>3</v>
      </c>
      <c r="D2945" t="s">
        <v>120</v>
      </c>
      <c r="E2945">
        <v>422</v>
      </c>
      <c r="F2945">
        <v>226</v>
      </c>
      <c r="G2945">
        <v>5</v>
      </c>
      <c r="H2945">
        <v>0</v>
      </c>
      <c r="I2945">
        <v>3735</v>
      </c>
      <c r="J2945">
        <v>2</v>
      </c>
      <c r="K2945">
        <v>3735</v>
      </c>
      <c r="L2945">
        <v>2</v>
      </c>
      <c r="M2945">
        <v>53</v>
      </c>
      <c r="N2945">
        <v>419</v>
      </c>
      <c r="O2945">
        <f t="shared" si="92"/>
        <v>2024</v>
      </c>
      <c r="P2945">
        <f t="shared" si="93"/>
        <v>6</v>
      </c>
      <c r="Q2945" t="s">
        <v>325</v>
      </c>
      <c r="R2945" s="546" t="s">
        <v>804</v>
      </c>
    </row>
    <row r="2946" spans="1:18" x14ac:dyDescent="0.3">
      <c r="A2946" t="s">
        <v>627</v>
      </c>
      <c r="B2946" s="16">
        <v>45449</v>
      </c>
      <c r="C2946" t="s">
        <v>3</v>
      </c>
      <c r="D2946" t="s">
        <v>119</v>
      </c>
      <c r="E2946">
        <v>278</v>
      </c>
      <c r="F2946">
        <v>95</v>
      </c>
      <c r="G2946">
        <v>14</v>
      </c>
      <c r="H2946">
        <v>3</v>
      </c>
      <c r="I2946">
        <v>38248</v>
      </c>
      <c r="J2946">
        <v>10</v>
      </c>
      <c r="K2946">
        <v>28303</v>
      </c>
      <c r="L2946">
        <v>8</v>
      </c>
      <c r="M2946">
        <v>81</v>
      </c>
      <c r="N2946">
        <v>264</v>
      </c>
      <c r="O2946">
        <f t="shared" si="92"/>
        <v>2024</v>
      </c>
      <c r="P2946">
        <f t="shared" si="93"/>
        <v>6</v>
      </c>
      <c r="Q2946" t="s">
        <v>325</v>
      </c>
      <c r="R2946" s="546" t="s">
        <v>804</v>
      </c>
    </row>
    <row r="2947" spans="1:18" x14ac:dyDescent="0.3">
      <c r="A2947" t="s">
        <v>627</v>
      </c>
      <c r="B2947" s="16">
        <v>45449</v>
      </c>
      <c r="C2947" t="s">
        <v>3</v>
      </c>
      <c r="D2947" t="s">
        <v>117</v>
      </c>
      <c r="E2947">
        <v>33</v>
      </c>
      <c r="F2947">
        <v>30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4</v>
      </c>
      <c r="N2947">
        <v>33</v>
      </c>
      <c r="O2947">
        <f t="shared" si="92"/>
        <v>2024</v>
      </c>
      <c r="P2947">
        <f t="shared" si="93"/>
        <v>6</v>
      </c>
      <c r="Q2947" t="s">
        <v>325</v>
      </c>
      <c r="R2947" s="546" t="s">
        <v>804</v>
      </c>
    </row>
    <row r="2948" spans="1:18" x14ac:dyDescent="0.3">
      <c r="A2948" t="s">
        <v>627</v>
      </c>
      <c r="B2948" s="16">
        <v>45449</v>
      </c>
      <c r="C2948" t="s">
        <v>3</v>
      </c>
      <c r="D2948" t="s">
        <v>116</v>
      </c>
      <c r="E2948">
        <v>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1</v>
      </c>
      <c r="N2948">
        <v>2</v>
      </c>
      <c r="O2948">
        <f t="shared" si="92"/>
        <v>2024</v>
      </c>
      <c r="P2948">
        <f t="shared" si="93"/>
        <v>6</v>
      </c>
      <c r="Q2948" t="s">
        <v>325</v>
      </c>
      <c r="R2948" s="546" t="s">
        <v>804</v>
      </c>
    </row>
    <row r="2949" spans="1:18" x14ac:dyDescent="0.3">
      <c r="A2949" t="s">
        <v>627</v>
      </c>
      <c r="B2949" s="16">
        <v>45449</v>
      </c>
      <c r="C2949" t="s">
        <v>3</v>
      </c>
      <c r="D2949" t="s">
        <v>115</v>
      </c>
      <c r="E2949">
        <v>1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1</v>
      </c>
      <c r="O2949">
        <f t="shared" si="92"/>
        <v>2024</v>
      </c>
      <c r="P2949">
        <f t="shared" si="93"/>
        <v>6</v>
      </c>
      <c r="Q2949" t="s">
        <v>325</v>
      </c>
      <c r="R2949" s="546" t="s">
        <v>804</v>
      </c>
    </row>
    <row r="2950" spans="1:18" x14ac:dyDescent="0.3">
      <c r="A2950" t="s">
        <v>627</v>
      </c>
      <c r="B2950" s="16">
        <v>45449</v>
      </c>
      <c r="C2950" t="s">
        <v>3</v>
      </c>
      <c r="D2950" t="s">
        <v>114</v>
      </c>
      <c r="E2950">
        <v>97</v>
      </c>
      <c r="F2950">
        <v>47</v>
      </c>
      <c r="G2950">
        <v>2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6</v>
      </c>
      <c r="N2950">
        <v>93</v>
      </c>
      <c r="O2950">
        <f t="shared" si="92"/>
        <v>2024</v>
      </c>
      <c r="P2950">
        <f t="shared" si="93"/>
        <v>6</v>
      </c>
      <c r="Q2950" t="s">
        <v>325</v>
      </c>
      <c r="R2950" s="546" t="s">
        <v>804</v>
      </c>
    </row>
    <row r="2951" spans="1:18" x14ac:dyDescent="0.3">
      <c r="A2951" t="s">
        <v>627</v>
      </c>
      <c r="B2951" s="16">
        <v>45449</v>
      </c>
      <c r="C2951" t="s">
        <v>3</v>
      </c>
      <c r="D2951" t="s">
        <v>113</v>
      </c>
      <c r="E2951">
        <v>105</v>
      </c>
      <c r="F2951">
        <v>49</v>
      </c>
      <c r="G2951">
        <v>1</v>
      </c>
      <c r="H2951">
        <v>1</v>
      </c>
      <c r="I2951">
        <v>2348</v>
      </c>
      <c r="J2951">
        <v>1</v>
      </c>
      <c r="K2951">
        <v>2348</v>
      </c>
      <c r="L2951">
        <v>1</v>
      </c>
      <c r="M2951">
        <v>86</v>
      </c>
      <c r="N2951">
        <v>55</v>
      </c>
      <c r="O2951">
        <f t="shared" si="92"/>
        <v>2024</v>
      </c>
      <c r="P2951">
        <f t="shared" si="93"/>
        <v>6</v>
      </c>
      <c r="Q2951" t="s">
        <v>325</v>
      </c>
      <c r="R2951" s="546" t="s">
        <v>804</v>
      </c>
    </row>
    <row r="2952" spans="1:18" x14ac:dyDescent="0.3">
      <c r="A2952" t="s">
        <v>627</v>
      </c>
      <c r="B2952" s="16">
        <v>45449</v>
      </c>
      <c r="C2952" t="s">
        <v>3</v>
      </c>
      <c r="D2952" t="s">
        <v>112</v>
      </c>
      <c r="E2952">
        <v>16</v>
      </c>
      <c r="F2952">
        <v>3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16</v>
      </c>
      <c r="O2952">
        <f t="shared" si="92"/>
        <v>2024</v>
      </c>
      <c r="P2952">
        <f t="shared" si="93"/>
        <v>6</v>
      </c>
      <c r="Q2952" t="s">
        <v>325</v>
      </c>
      <c r="R2952" s="546" t="s">
        <v>804</v>
      </c>
    </row>
    <row r="2953" spans="1:18" x14ac:dyDescent="0.3">
      <c r="A2953" t="s">
        <v>627</v>
      </c>
      <c r="B2953" s="16">
        <v>45449</v>
      </c>
      <c r="C2953" t="s">
        <v>3</v>
      </c>
      <c r="D2953" t="s">
        <v>111</v>
      </c>
      <c r="E2953">
        <v>4</v>
      </c>
      <c r="F2953">
        <v>2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4</v>
      </c>
      <c r="O2953">
        <f t="shared" si="92"/>
        <v>2024</v>
      </c>
      <c r="P2953">
        <f t="shared" si="93"/>
        <v>6</v>
      </c>
      <c r="Q2953" t="s">
        <v>325</v>
      </c>
      <c r="R2953" s="546" t="s">
        <v>804</v>
      </c>
    </row>
    <row r="2954" spans="1:18" x14ac:dyDescent="0.3">
      <c r="A2954" t="s">
        <v>627</v>
      </c>
      <c r="B2954" s="16">
        <v>45448</v>
      </c>
      <c r="C2954" t="s">
        <v>2</v>
      </c>
      <c r="D2954" t="s">
        <v>4</v>
      </c>
      <c r="E2954">
        <v>552</v>
      </c>
      <c r="F2954">
        <v>304</v>
      </c>
      <c r="G2954">
        <v>2</v>
      </c>
      <c r="H2954">
        <v>2</v>
      </c>
      <c r="I2954">
        <v>0</v>
      </c>
      <c r="J2954">
        <v>0</v>
      </c>
      <c r="K2954">
        <v>0</v>
      </c>
      <c r="L2954">
        <v>0</v>
      </c>
      <c r="M2954">
        <v>15</v>
      </c>
      <c r="N2954">
        <v>545</v>
      </c>
      <c r="O2954">
        <f t="shared" si="92"/>
        <v>2024</v>
      </c>
      <c r="P2954">
        <f t="shared" si="93"/>
        <v>6</v>
      </c>
      <c r="Q2954" t="s">
        <v>325</v>
      </c>
      <c r="R2954" s="546" t="s">
        <v>804</v>
      </c>
    </row>
    <row r="2955" spans="1:18" x14ac:dyDescent="0.3">
      <c r="A2955" t="s">
        <v>627</v>
      </c>
      <c r="B2955" s="16">
        <v>45448</v>
      </c>
      <c r="C2955" t="s">
        <v>2</v>
      </c>
      <c r="D2955" t="s">
        <v>57</v>
      </c>
      <c r="E2955">
        <v>14257</v>
      </c>
      <c r="F2955">
        <v>9316</v>
      </c>
      <c r="G2955">
        <v>106</v>
      </c>
      <c r="H2955">
        <v>76</v>
      </c>
      <c r="I2955">
        <v>31613</v>
      </c>
      <c r="J2955">
        <v>12</v>
      </c>
      <c r="K2955">
        <v>21933</v>
      </c>
      <c r="L2955">
        <v>9</v>
      </c>
      <c r="M2955">
        <v>599</v>
      </c>
      <c r="N2955">
        <v>14227</v>
      </c>
      <c r="O2955">
        <f t="shared" si="92"/>
        <v>2024</v>
      </c>
      <c r="P2955">
        <f t="shared" si="93"/>
        <v>6</v>
      </c>
      <c r="Q2955" t="s">
        <v>325</v>
      </c>
      <c r="R2955" s="546" t="s">
        <v>804</v>
      </c>
    </row>
    <row r="2956" spans="1:18" x14ac:dyDescent="0.3">
      <c r="A2956" t="s">
        <v>627</v>
      </c>
      <c r="B2956" s="16">
        <v>45448</v>
      </c>
      <c r="C2956" t="s">
        <v>2</v>
      </c>
      <c r="D2956" t="s">
        <v>52</v>
      </c>
      <c r="E2956">
        <v>3192</v>
      </c>
      <c r="F2956">
        <v>2598</v>
      </c>
      <c r="G2956">
        <v>23</v>
      </c>
      <c r="H2956">
        <v>6</v>
      </c>
      <c r="I2956">
        <v>20970</v>
      </c>
      <c r="J2956">
        <v>5</v>
      </c>
      <c r="K2956">
        <v>18845</v>
      </c>
      <c r="L2956">
        <v>5</v>
      </c>
      <c r="M2956">
        <v>3192</v>
      </c>
      <c r="N2956">
        <v>622</v>
      </c>
      <c r="O2956">
        <f t="shared" si="92"/>
        <v>2024</v>
      </c>
      <c r="P2956">
        <f t="shared" si="93"/>
        <v>6</v>
      </c>
      <c r="Q2956" t="s">
        <v>325</v>
      </c>
      <c r="R2956" s="546" t="s">
        <v>804</v>
      </c>
    </row>
    <row r="2957" spans="1:18" x14ac:dyDescent="0.3">
      <c r="A2957" t="s">
        <v>627</v>
      </c>
      <c r="B2957" s="16">
        <v>45448</v>
      </c>
      <c r="C2957" t="s">
        <v>2</v>
      </c>
      <c r="D2957" t="s">
        <v>55</v>
      </c>
      <c r="E2957">
        <v>7922</v>
      </c>
      <c r="F2957">
        <v>6812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184</v>
      </c>
      <c r="O2957">
        <f t="shared" si="92"/>
        <v>2024</v>
      </c>
      <c r="P2957">
        <f t="shared" si="93"/>
        <v>6</v>
      </c>
      <c r="Q2957" t="s">
        <v>325</v>
      </c>
      <c r="R2957" s="546" t="s">
        <v>804</v>
      </c>
    </row>
    <row r="2958" spans="1:18" x14ac:dyDescent="0.3">
      <c r="A2958" t="s">
        <v>627</v>
      </c>
      <c r="B2958" s="16">
        <v>45448</v>
      </c>
      <c r="C2958" t="s">
        <v>3</v>
      </c>
      <c r="D2958" t="s">
        <v>155</v>
      </c>
      <c r="E2958">
        <v>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1</v>
      </c>
      <c r="N2958">
        <v>1</v>
      </c>
      <c r="O2958">
        <f t="shared" si="92"/>
        <v>2024</v>
      </c>
      <c r="P2958">
        <f t="shared" si="93"/>
        <v>6</v>
      </c>
      <c r="Q2958" t="s">
        <v>325</v>
      </c>
      <c r="R2958" s="546" t="s">
        <v>804</v>
      </c>
    </row>
    <row r="2959" spans="1:18" x14ac:dyDescent="0.3">
      <c r="A2959" t="s">
        <v>627</v>
      </c>
      <c r="B2959" s="16">
        <v>45448</v>
      </c>
      <c r="C2959" t="s">
        <v>3</v>
      </c>
      <c r="D2959" t="s">
        <v>154</v>
      </c>
      <c r="E2959">
        <v>19</v>
      </c>
      <c r="F2959">
        <v>15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12</v>
      </c>
      <c r="N2959">
        <v>8</v>
      </c>
      <c r="O2959">
        <f t="shared" si="92"/>
        <v>2024</v>
      </c>
      <c r="P2959">
        <f t="shared" si="93"/>
        <v>6</v>
      </c>
      <c r="Q2959" t="s">
        <v>325</v>
      </c>
      <c r="R2959" s="546" t="s">
        <v>804</v>
      </c>
    </row>
    <row r="2960" spans="1:18" x14ac:dyDescent="0.3">
      <c r="A2960" t="s">
        <v>627</v>
      </c>
      <c r="B2960" s="16">
        <v>45448</v>
      </c>
      <c r="C2960" t="s">
        <v>3</v>
      </c>
      <c r="D2960" t="s">
        <v>153</v>
      </c>
      <c r="E2960">
        <v>286</v>
      </c>
      <c r="F2960">
        <v>68</v>
      </c>
      <c r="G2960">
        <v>24</v>
      </c>
      <c r="H2960">
        <v>3</v>
      </c>
      <c r="I2960">
        <v>59207</v>
      </c>
      <c r="J2960">
        <v>18</v>
      </c>
      <c r="K2960">
        <v>59207</v>
      </c>
      <c r="L2960">
        <v>18</v>
      </c>
      <c r="M2960">
        <v>82</v>
      </c>
      <c r="N2960">
        <v>269</v>
      </c>
      <c r="O2960">
        <f t="shared" si="92"/>
        <v>2024</v>
      </c>
      <c r="P2960">
        <f t="shared" si="93"/>
        <v>6</v>
      </c>
      <c r="Q2960" t="s">
        <v>325</v>
      </c>
      <c r="R2960" s="546" t="s">
        <v>804</v>
      </c>
    </row>
    <row r="2961" spans="1:18" x14ac:dyDescent="0.3">
      <c r="A2961" t="s">
        <v>627</v>
      </c>
      <c r="B2961" s="16">
        <v>45448</v>
      </c>
      <c r="C2961" t="s">
        <v>3</v>
      </c>
      <c r="D2961" t="s">
        <v>152</v>
      </c>
      <c r="E2961">
        <v>7</v>
      </c>
      <c r="F2961">
        <v>2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7</v>
      </c>
      <c r="O2961">
        <f t="shared" si="92"/>
        <v>2024</v>
      </c>
      <c r="P2961">
        <f t="shared" si="93"/>
        <v>6</v>
      </c>
      <c r="Q2961" t="s">
        <v>325</v>
      </c>
      <c r="R2961" s="546" t="s">
        <v>804</v>
      </c>
    </row>
    <row r="2962" spans="1:18" x14ac:dyDescent="0.3">
      <c r="A2962" t="s">
        <v>627</v>
      </c>
      <c r="B2962" s="16">
        <v>45448</v>
      </c>
      <c r="C2962" t="s">
        <v>3</v>
      </c>
      <c r="D2962" t="s">
        <v>150</v>
      </c>
      <c r="E2962">
        <v>3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3</v>
      </c>
      <c r="O2962">
        <f t="shared" si="92"/>
        <v>2024</v>
      </c>
      <c r="P2962">
        <f t="shared" si="93"/>
        <v>6</v>
      </c>
      <c r="Q2962" t="s">
        <v>325</v>
      </c>
      <c r="R2962" s="546" t="s">
        <v>804</v>
      </c>
    </row>
    <row r="2963" spans="1:18" x14ac:dyDescent="0.3">
      <c r="A2963" t="s">
        <v>627</v>
      </c>
      <c r="B2963" s="16">
        <v>45448</v>
      </c>
      <c r="C2963" t="s">
        <v>3</v>
      </c>
      <c r="D2963" t="s">
        <v>149</v>
      </c>
      <c r="E2963">
        <v>393</v>
      </c>
      <c r="F2963">
        <v>310</v>
      </c>
      <c r="G2963">
        <v>4</v>
      </c>
      <c r="H2963">
        <v>0</v>
      </c>
      <c r="I2963">
        <v>15803</v>
      </c>
      <c r="J2963">
        <v>2</v>
      </c>
      <c r="K2963">
        <v>1303</v>
      </c>
      <c r="L2963">
        <v>1</v>
      </c>
      <c r="M2963">
        <v>114</v>
      </c>
      <c r="N2963">
        <v>356</v>
      </c>
      <c r="O2963">
        <f t="shared" si="92"/>
        <v>2024</v>
      </c>
      <c r="P2963">
        <f t="shared" si="93"/>
        <v>6</v>
      </c>
      <c r="Q2963" t="s">
        <v>325</v>
      </c>
      <c r="R2963" s="546" t="s">
        <v>804</v>
      </c>
    </row>
    <row r="2964" spans="1:18" x14ac:dyDescent="0.3">
      <c r="A2964" t="s">
        <v>627</v>
      </c>
      <c r="B2964" s="16">
        <v>45448</v>
      </c>
      <c r="C2964" t="s">
        <v>3</v>
      </c>
      <c r="D2964" t="s">
        <v>148</v>
      </c>
      <c r="E2964">
        <v>4</v>
      </c>
      <c r="F2964">
        <v>4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3</v>
      </c>
      <c r="N2964">
        <v>1</v>
      </c>
      <c r="O2964">
        <f t="shared" si="92"/>
        <v>2024</v>
      </c>
      <c r="P2964">
        <f t="shared" si="93"/>
        <v>6</v>
      </c>
      <c r="Q2964" t="s">
        <v>325</v>
      </c>
      <c r="R2964" s="546" t="s">
        <v>804</v>
      </c>
    </row>
    <row r="2965" spans="1:18" x14ac:dyDescent="0.3">
      <c r="A2965" t="s">
        <v>627</v>
      </c>
      <c r="B2965" s="16">
        <v>45448</v>
      </c>
      <c r="C2965" t="s">
        <v>3</v>
      </c>
      <c r="D2965" t="s">
        <v>147</v>
      </c>
      <c r="E2965">
        <v>24</v>
      </c>
      <c r="F2965">
        <v>20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24</v>
      </c>
      <c r="O2965">
        <f t="shared" si="92"/>
        <v>2024</v>
      </c>
      <c r="P2965">
        <f t="shared" si="93"/>
        <v>6</v>
      </c>
      <c r="Q2965" t="s">
        <v>325</v>
      </c>
      <c r="R2965" s="546" t="s">
        <v>804</v>
      </c>
    </row>
    <row r="2966" spans="1:18" x14ac:dyDescent="0.3">
      <c r="A2966" t="s">
        <v>627</v>
      </c>
      <c r="B2966" s="16">
        <v>45448</v>
      </c>
      <c r="C2966" t="s">
        <v>3</v>
      </c>
      <c r="D2966" t="s">
        <v>251</v>
      </c>
      <c r="E2966">
        <v>336</v>
      </c>
      <c r="F2966">
        <v>127</v>
      </c>
      <c r="G2966">
        <v>7</v>
      </c>
      <c r="H2966">
        <v>3</v>
      </c>
      <c r="I2966">
        <v>12794</v>
      </c>
      <c r="J2966">
        <v>4</v>
      </c>
      <c r="K2966">
        <v>5632</v>
      </c>
      <c r="L2966">
        <v>3</v>
      </c>
      <c r="M2966">
        <v>63</v>
      </c>
      <c r="N2966">
        <v>295</v>
      </c>
      <c r="O2966">
        <f t="shared" si="92"/>
        <v>2024</v>
      </c>
      <c r="P2966">
        <f t="shared" si="93"/>
        <v>6</v>
      </c>
      <c r="Q2966" t="s">
        <v>325</v>
      </c>
      <c r="R2966" s="546" t="s">
        <v>804</v>
      </c>
    </row>
    <row r="2967" spans="1:18" x14ac:dyDescent="0.3">
      <c r="A2967" t="s">
        <v>627</v>
      </c>
      <c r="B2967" s="16">
        <v>45448</v>
      </c>
      <c r="C2967" t="s">
        <v>3</v>
      </c>
      <c r="D2967" t="s">
        <v>143</v>
      </c>
      <c r="E2967">
        <v>10</v>
      </c>
      <c r="F2967">
        <v>8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1</v>
      </c>
      <c r="N2967">
        <v>10</v>
      </c>
      <c r="O2967">
        <f t="shared" si="92"/>
        <v>2024</v>
      </c>
      <c r="P2967">
        <f t="shared" si="93"/>
        <v>6</v>
      </c>
      <c r="Q2967" t="s">
        <v>325</v>
      </c>
      <c r="R2967" s="546" t="s">
        <v>804</v>
      </c>
    </row>
    <row r="2968" spans="1:18" x14ac:dyDescent="0.3">
      <c r="A2968" t="s">
        <v>627</v>
      </c>
      <c r="B2968" s="16">
        <v>45448</v>
      </c>
      <c r="C2968" t="s">
        <v>3</v>
      </c>
      <c r="D2968" t="s">
        <v>142</v>
      </c>
      <c r="E2968">
        <v>1</v>
      </c>
      <c r="F2968">
        <v>1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1</v>
      </c>
      <c r="O2968">
        <f t="shared" si="92"/>
        <v>2024</v>
      </c>
      <c r="P2968">
        <f t="shared" si="93"/>
        <v>6</v>
      </c>
      <c r="Q2968" t="s">
        <v>325</v>
      </c>
      <c r="R2968" s="546" t="s">
        <v>804</v>
      </c>
    </row>
    <row r="2969" spans="1:18" x14ac:dyDescent="0.3">
      <c r="A2969" t="s">
        <v>627</v>
      </c>
      <c r="B2969" s="16">
        <v>45448</v>
      </c>
      <c r="C2969" t="s">
        <v>3</v>
      </c>
      <c r="D2969" t="s">
        <v>140</v>
      </c>
      <c r="E2969">
        <v>8</v>
      </c>
      <c r="F2969">
        <v>6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1</v>
      </c>
      <c r="N2969">
        <v>8</v>
      </c>
      <c r="O2969">
        <f t="shared" si="92"/>
        <v>2024</v>
      </c>
      <c r="P2969">
        <f t="shared" si="93"/>
        <v>6</v>
      </c>
      <c r="Q2969" t="s">
        <v>325</v>
      </c>
      <c r="R2969" s="546" t="s">
        <v>804</v>
      </c>
    </row>
    <row r="2970" spans="1:18" x14ac:dyDescent="0.3">
      <c r="A2970" t="s">
        <v>627</v>
      </c>
      <c r="B2970" s="16">
        <v>45448</v>
      </c>
      <c r="C2970" t="s">
        <v>3</v>
      </c>
      <c r="D2970" t="s">
        <v>139</v>
      </c>
      <c r="E2970">
        <v>461</v>
      </c>
      <c r="F2970">
        <v>230</v>
      </c>
      <c r="G2970">
        <v>15</v>
      </c>
      <c r="H2970">
        <v>4</v>
      </c>
      <c r="I2970">
        <v>35085</v>
      </c>
      <c r="J2970">
        <v>6</v>
      </c>
      <c r="K2970">
        <v>9485</v>
      </c>
      <c r="L2970">
        <v>4</v>
      </c>
      <c r="M2970">
        <v>246</v>
      </c>
      <c r="N2970">
        <v>325</v>
      </c>
      <c r="O2970">
        <f t="shared" si="92"/>
        <v>2024</v>
      </c>
      <c r="P2970">
        <f t="shared" si="93"/>
        <v>6</v>
      </c>
      <c r="Q2970" t="s">
        <v>325</v>
      </c>
      <c r="R2970" s="546" t="s">
        <v>804</v>
      </c>
    </row>
    <row r="2971" spans="1:18" x14ac:dyDescent="0.3">
      <c r="A2971" t="s">
        <v>627</v>
      </c>
      <c r="B2971" s="16">
        <v>45448</v>
      </c>
      <c r="C2971" t="s">
        <v>3</v>
      </c>
      <c r="D2971" t="s">
        <v>138</v>
      </c>
      <c r="E2971">
        <v>9</v>
      </c>
      <c r="F2971">
        <v>4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4</v>
      </c>
      <c r="N2971">
        <v>8</v>
      </c>
      <c r="O2971">
        <f t="shared" si="92"/>
        <v>2024</v>
      </c>
      <c r="P2971">
        <f t="shared" si="93"/>
        <v>6</v>
      </c>
      <c r="Q2971" t="s">
        <v>325</v>
      </c>
      <c r="R2971" s="546" t="s">
        <v>804</v>
      </c>
    </row>
    <row r="2972" spans="1:18" x14ac:dyDescent="0.3">
      <c r="A2972" t="s">
        <v>627</v>
      </c>
      <c r="B2972" s="16">
        <v>45448</v>
      </c>
      <c r="C2972" t="s">
        <v>3</v>
      </c>
      <c r="D2972" t="s">
        <v>137</v>
      </c>
      <c r="E2972">
        <v>4</v>
      </c>
      <c r="F2972">
        <v>3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4</v>
      </c>
      <c r="O2972">
        <f t="shared" si="92"/>
        <v>2024</v>
      </c>
      <c r="P2972">
        <f t="shared" si="93"/>
        <v>6</v>
      </c>
      <c r="Q2972" t="s">
        <v>325</v>
      </c>
      <c r="R2972" s="546" t="s">
        <v>804</v>
      </c>
    </row>
    <row r="2973" spans="1:18" x14ac:dyDescent="0.3">
      <c r="A2973" t="s">
        <v>627</v>
      </c>
      <c r="B2973" s="16">
        <v>45448</v>
      </c>
      <c r="C2973" t="s">
        <v>3</v>
      </c>
      <c r="D2973" t="s">
        <v>133</v>
      </c>
      <c r="E2973">
        <v>24</v>
      </c>
      <c r="F2973">
        <v>12</v>
      </c>
      <c r="G2973">
        <v>0</v>
      </c>
      <c r="H2973">
        <v>0</v>
      </c>
      <c r="I2973">
        <v>3675</v>
      </c>
      <c r="J2973">
        <v>1</v>
      </c>
      <c r="K2973">
        <v>3675</v>
      </c>
      <c r="L2973">
        <v>1</v>
      </c>
      <c r="M2973">
        <v>5</v>
      </c>
      <c r="N2973">
        <v>21</v>
      </c>
      <c r="O2973">
        <f t="shared" si="92"/>
        <v>2024</v>
      </c>
      <c r="P2973">
        <f t="shared" si="93"/>
        <v>6</v>
      </c>
      <c r="Q2973" t="s">
        <v>325</v>
      </c>
      <c r="R2973" s="546" t="s">
        <v>804</v>
      </c>
    </row>
    <row r="2974" spans="1:18" x14ac:dyDescent="0.3">
      <c r="A2974" t="s">
        <v>627</v>
      </c>
      <c r="B2974" s="16">
        <v>45448</v>
      </c>
      <c r="C2974" t="s">
        <v>3</v>
      </c>
      <c r="D2974" t="s">
        <v>131</v>
      </c>
      <c r="E2974">
        <v>3</v>
      </c>
      <c r="F2974">
        <v>3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3</v>
      </c>
      <c r="O2974">
        <f t="shared" si="92"/>
        <v>2024</v>
      </c>
      <c r="P2974">
        <f t="shared" si="93"/>
        <v>6</v>
      </c>
      <c r="Q2974" t="s">
        <v>325</v>
      </c>
      <c r="R2974" s="546" t="s">
        <v>804</v>
      </c>
    </row>
    <row r="2975" spans="1:18" x14ac:dyDescent="0.3">
      <c r="A2975" t="s">
        <v>627</v>
      </c>
      <c r="B2975" s="16">
        <v>45448</v>
      </c>
      <c r="C2975" t="s">
        <v>3</v>
      </c>
      <c r="D2975" t="s">
        <v>130</v>
      </c>
      <c r="E2975">
        <v>79</v>
      </c>
      <c r="F2975">
        <v>32</v>
      </c>
      <c r="G2975">
        <v>4</v>
      </c>
      <c r="H2975">
        <v>4</v>
      </c>
      <c r="I2975">
        <v>34275</v>
      </c>
      <c r="J2975">
        <v>9</v>
      </c>
      <c r="K2975">
        <v>26618</v>
      </c>
      <c r="L2975">
        <v>8</v>
      </c>
      <c r="M2975">
        <v>28</v>
      </c>
      <c r="N2975">
        <v>72</v>
      </c>
      <c r="O2975">
        <f t="shared" si="92"/>
        <v>2024</v>
      </c>
      <c r="P2975">
        <f t="shared" si="93"/>
        <v>6</v>
      </c>
      <c r="Q2975" t="s">
        <v>325</v>
      </c>
      <c r="R2975" s="546" t="s">
        <v>804</v>
      </c>
    </row>
    <row r="2976" spans="1:18" x14ac:dyDescent="0.3">
      <c r="A2976" t="s">
        <v>627</v>
      </c>
      <c r="B2976" s="16">
        <v>45448</v>
      </c>
      <c r="C2976" t="s">
        <v>3</v>
      </c>
      <c r="D2976" t="s">
        <v>128</v>
      </c>
      <c r="E2976">
        <v>800</v>
      </c>
      <c r="F2976">
        <v>594</v>
      </c>
      <c r="G2976">
        <v>37</v>
      </c>
      <c r="H2976">
        <v>13</v>
      </c>
      <c r="I2976">
        <v>14265</v>
      </c>
      <c r="J2976">
        <v>7</v>
      </c>
      <c r="K2976">
        <v>11777</v>
      </c>
      <c r="L2976">
        <v>6</v>
      </c>
      <c r="M2976">
        <v>257</v>
      </c>
      <c r="N2976">
        <v>706</v>
      </c>
      <c r="O2976">
        <f t="shared" si="92"/>
        <v>2024</v>
      </c>
      <c r="P2976">
        <f t="shared" si="93"/>
        <v>6</v>
      </c>
      <c r="Q2976" t="s">
        <v>325</v>
      </c>
      <c r="R2976" s="546" t="s">
        <v>804</v>
      </c>
    </row>
    <row r="2977" spans="1:18" x14ac:dyDescent="0.3">
      <c r="A2977" t="s">
        <v>627</v>
      </c>
      <c r="B2977" s="16">
        <v>45448</v>
      </c>
      <c r="C2977" t="s">
        <v>3</v>
      </c>
      <c r="D2977" t="s">
        <v>127</v>
      </c>
      <c r="E2977">
        <v>2137</v>
      </c>
      <c r="F2977">
        <v>1189</v>
      </c>
      <c r="G2977">
        <v>37</v>
      </c>
      <c r="H2977">
        <v>11</v>
      </c>
      <c r="I2977">
        <v>5899</v>
      </c>
      <c r="J2977">
        <v>3</v>
      </c>
      <c r="K2977">
        <v>5899</v>
      </c>
      <c r="L2977">
        <v>3</v>
      </c>
      <c r="M2977">
        <v>247</v>
      </c>
      <c r="N2977">
        <v>1958</v>
      </c>
      <c r="O2977">
        <f t="shared" si="92"/>
        <v>2024</v>
      </c>
      <c r="P2977">
        <f t="shared" si="93"/>
        <v>6</v>
      </c>
      <c r="Q2977" t="s">
        <v>325</v>
      </c>
      <c r="R2977" s="546" t="s">
        <v>804</v>
      </c>
    </row>
    <row r="2978" spans="1:18" x14ac:dyDescent="0.3">
      <c r="A2978" t="s">
        <v>627</v>
      </c>
      <c r="B2978" s="16">
        <v>45448</v>
      </c>
      <c r="C2978" t="s">
        <v>3</v>
      </c>
      <c r="D2978" t="s">
        <v>126</v>
      </c>
      <c r="E2978">
        <v>93</v>
      </c>
      <c r="F2978">
        <v>65</v>
      </c>
      <c r="G2978">
        <v>2</v>
      </c>
      <c r="H2978">
        <v>5</v>
      </c>
      <c r="I2978">
        <v>15233</v>
      </c>
      <c r="J2978">
        <v>2</v>
      </c>
      <c r="K2978">
        <v>1303</v>
      </c>
      <c r="L2978">
        <v>1</v>
      </c>
      <c r="M2978">
        <v>11</v>
      </c>
      <c r="N2978">
        <v>92</v>
      </c>
      <c r="O2978">
        <f t="shared" si="92"/>
        <v>2024</v>
      </c>
      <c r="P2978">
        <f t="shared" si="93"/>
        <v>6</v>
      </c>
      <c r="Q2978" t="s">
        <v>325</v>
      </c>
      <c r="R2978" s="546" t="s">
        <v>804</v>
      </c>
    </row>
    <row r="2979" spans="1:18" x14ac:dyDescent="0.3">
      <c r="A2979" t="s">
        <v>627</v>
      </c>
      <c r="B2979" s="16">
        <v>45448</v>
      </c>
      <c r="C2979" t="s">
        <v>3</v>
      </c>
      <c r="D2979" t="s">
        <v>125</v>
      </c>
      <c r="E2979">
        <v>4</v>
      </c>
      <c r="F2979">
        <v>4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2</v>
      </c>
      <c r="N2979">
        <v>3</v>
      </c>
      <c r="O2979">
        <f t="shared" si="92"/>
        <v>2024</v>
      </c>
      <c r="P2979">
        <f t="shared" si="93"/>
        <v>6</v>
      </c>
      <c r="Q2979" t="s">
        <v>325</v>
      </c>
      <c r="R2979" s="546" t="s">
        <v>804</v>
      </c>
    </row>
    <row r="2980" spans="1:18" x14ac:dyDescent="0.3">
      <c r="A2980" t="s">
        <v>627</v>
      </c>
      <c r="B2980" s="16">
        <v>45448</v>
      </c>
      <c r="C2980" t="s">
        <v>3</v>
      </c>
      <c r="D2980" t="s">
        <v>123</v>
      </c>
      <c r="E2980">
        <v>204</v>
      </c>
      <c r="F2980">
        <v>128</v>
      </c>
      <c r="G2980">
        <v>11</v>
      </c>
      <c r="H2980">
        <v>1</v>
      </c>
      <c r="I2980">
        <v>2303</v>
      </c>
      <c r="J2980">
        <v>2</v>
      </c>
      <c r="K2980">
        <v>2303</v>
      </c>
      <c r="L2980">
        <v>2</v>
      </c>
      <c r="M2980">
        <v>76</v>
      </c>
      <c r="N2980">
        <v>170</v>
      </c>
      <c r="O2980">
        <f t="shared" si="92"/>
        <v>2024</v>
      </c>
      <c r="P2980">
        <f t="shared" si="93"/>
        <v>6</v>
      </c>
      <c r="Q2980" t="s">
        <v>325</v>
      </c>
      <c r="R2980" s="546" t="s">
        <v>804</v>
      </c>
    </row>
    <row r="2981" spans="1:18" x14ac:dyDescent="0.3">
      <c r="A2981" t="s">
        <v>627</v>
      </c>
      <c r="B2981" s="16">
        <v>45448</v>
      </c>
      <c r="C2981" t="s">
        <v>3</v>
      </c>
      <c r="D2981" t="s">
        <v>121</v>
      </c>
      <c r="E2981">
        <v>1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f t="shared" si="92"/>
        <v>2024</v>
      </c>
      <c r="P2981">
        <f t="shared" si="93"/>
        <v>6</v>
      </c>
      <c r="Q2981" t="s">
        <v>325</v>
      </c>
      <c r="R2981" s="546" t="s">
        <v>804</v>
      </c>
    </row>
    <row r="2982" spans="1:18" x14ac:dyDescent="0.3">
      <c r="A2982" t="s">
        <v>627</v>
      </c>
      <c r="B2982" s="16">
        <v>45448</v>
      </c>
      <c r="C2982" t="s">
        <v>3</v>
      </c>
      <c r="D2982" t="s">
        <v>120</v>
      </c>
      <c r="E2982">
        <v>512</v>
      </c>
      <c r="F2982">
        <v>287</v>
      </c>
      <c r="G2982">
        <v>4</v>
      </c>
      <c r="H2982">
        <v>0</v>
      </c>
      <c r="I2982">
        <v>1488</v>
      </c>
      <c r="J2982">
        <v>1</v>
      </c>
      <c r="K2982">
        <v>1488</v>
      </c>
      <c r="L2982">
        <v>1</v>
      </c>
      <c r="M2982">
        <v>53</v>
      </c>
      <c r="N2982">
        <v>508</v>
      </c>
      <c r="O2982">
        <f t="shared" si="92"/>
        <v>2024</v>
      </c>
      <c r="P2982">
        <f t="shared" si="93"/>
        <v>6</v>
      </c>
      <c r="Q2982" t="s">
        <v>325</v>
      </c>
      <c r="R2982" s="546" t="s">
        <v>804</v>
      </c>
    </row>
    <row r="2983" spans="1:18" x14ac:dyDescent="0.3">
      <c r="A2983" t="s">
        <v>627</v>
      </c>
      <c r="B2983" s="16">
        <v>45448</v>
      </c>
      <c r="C2983" t="s">
        <v>3</v>
      </c>
      <c r="D2983" t="s">
        <v>119</v>
      </c>
      <c r="E2983">
        <v>273</v>
      </c>
      <c r="F2983">
        <v>84</v>
      </c>
      <c r="G2983">
        <v>15</v>
      </c>
      <c r="H2983">
        <v>7</v>
      </c>
      <c r="I2983">
        <v>60673</v>
      </c>
      <c r="J2983">
        <v>14</v>
      </c>
      <c r="K2983">
        <v>26716</v>
      </c>
      <c r="L2983">
        <v>11</v>
      </c>
      <c r="M2983">
        <v>72</v>
      </c>
      <c r="N2983">
        <v>260</v>
      </c>
      <c r="O2983">
        <f t="shared" si="92"/>
        <v>2024</v>
      </c>
      <c r="P2983">
        <f t="shared" si="93"/>
        <v>6</v>
      </c>
      <c r="Q2983" t="s">
        <v>325</v>
      </c>
      <c r="R2983" s="546" t="s">
        <v>804</v>
      </c>
    </row>
    <row r="2984" spans="1:18" x14ac:dyDescent="0.3">
      <c r="A2984" t="s">
        <v>627</v>
      </c>
      <c r="B2984" s="16">
        <v>45448</v>
      </c>
      <c r="C2984" t="s">
        <v>3</v>
      </c>
      <c r="D2984" t="s">
        <v>117</v>
      </c>
      <c r="E2984">
        <v>29</v>
      </c>
      <c r="F2984">
        <v>28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1</v>
      </c>
      <c r="N2984">
        <v>29</v>
      </c>
      <c r="O2984">
        <f t="shared" si="92"/>
        <v>2024</v>
      </c>
      <c r="P2984">
        <f t="shared" si="93"/>
        <v>6</v>
      </c>
      <c r="Q2984" t="s">
        <v>325</v>
      </c>
      <c r="R2984" s="546" t="s">
        <v>804</v>
      </c>
    </row>
    <row r="2985" spans="1:18" x14ac:dyDescent="0.3">
      <c r="A2985" t="s">
        <v>627</v>
      </c>
      <c r="B2985" s="16">
        <v>45448</v>
      </c>
      <c r="C2985" t="s">
        <v>3</v>
      </c>
      <c r="D2985" t="s">
        <v>115</v>
      </c>
      <c r="E2985">
        <v>4</v>
      </c>
      <c r="F2985">
        <v>1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1</v>
      </c>
      <c r="N2985">
        <v>4</v>
      </c>
      <c r="O2985">
        <f t="shared" si="92"/>
        <v>2024</v>
      </c>
      <c r="P2985">
        <f t="shared" si="93"/>
        <v>6</v>
      </c>
      <c r="Q2985" t="s">
        <v>325</v>
      </c>
      <c r="R2985" s="546" t="s">
        <v>804</v>
      </c>
    </row>
    <row r="2986" spans="1:18" x14ac:dyDescent="0.3">
      <c r="A2986" t="s">
        <v>627</v>
      </c>
      <c r="B2986" s="16">
        <v>45448</v>
      </c>
      <c r="C2986" t="s">
        <v>3</v>
      </c>
      <c r="D2986" t="s">
        <v>114</v>
      </c>
      <c r="E2986">
        <v>98</v>
      </c>
      <c r="F2986">
        <v>49</v>
      </c>
      <c r="G2986">
        <v>1</v>
      </c>
      <c r="H2986">
        <v>1</v>
      </c>
      <c r="I2986">
        <v>7295</v>
      </c>
      <c r="J2986">
        <v>1</v>
      </c>
      <c r="K2986">
        <v>7295</v>
      </c>
      <c r="L2986">
        <v>1</v>
      </c>
      <c r="M2986">
        <v>12</v>
      </c>
      <c r="N2986">
        <v>91</v>
      </c>
      <c r="O2986">
        <f t="shared" si="92"/>
        <v>2024</v>
      </c>
      <c r="P2986">
        <f t="shared" si="93"/>
        <v>6</v>
      </c>
      <c r="Q2986" t="s">
        <v>325</v>
      </c>
      <c r="R2986" s="546" t="s">
        <v>804</v>
      </c>
    </row>
    <row r="2987" spans="1:18" x14ac:dyDescent="0.3">
      <c r="A2987" t="s">
        <v>627</v>
      </c>
      <c r="B2987" s="16">
        <v>45448</v>
      </c>
      <c r="C2987" t="s">
        <v>3</v>
      </c>
      <c r="D2987" t="s">
        <v>113</v>
      </c>
      <c r="E2987">
        <v>112</v>
      </c>
      <c r="F2987">
        <v>56</v>
      </c>
      <c r="G2987">
        <v>3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91</v>
      </c>
      <c r="N2987">
        <v>66</v>
      </c>
      <c r="O2987">
        <f t="shared" si="92"/>
        <v>2024</v>
      </c>
      <c r="P2987">
        <f t="shared" si="93"/>
        <v>6</v>
      </c>
      <c r="Q2987" t="s">
        <v>325</v>
      </c>
      <c r="R2987" s="546" t="s">
        <v>804</v>
      </c>
    </row>
    <row r="2988" spans="1:18" x14ac:dyDescent="0.3">
      <c r="A2988" t="s">
        <v>627</v>
      </c>
      <c r="B2988" s="16">
        <v>45448</v>
      </c>
      <c r="C2988" t="s">
        <v>3</v>
      </c>
      <c r="D2988" t="s">
        <v>112</v>
      </c>
      <c r="E2988">
        <v>11</v>
      </c>
      <c r="F2988">
        <v>3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11</v>
      </c>
      <c r="O2988">
        <f t="shared" si="92"/>
        <v>2024</v>
      </c>
      <c r="P2988">
        <f t="shared" si="93"/>
        <v>6</v>
      </c>
      <c r="Q2988" t="s">
        <v>325</v>
      </c>
      <c r="R2988" s="546" t="s">
        <v>804</v>
      </c>
    </row>
    <row r="2989" spans="1:18" x14ac:dyDescent="0.3">
      <c r="A2989" t="s">
        <v>627</v>
      </c>
      <c r="B2989" s="16">
        <v>45448</v>
      </c>
      <c r="C2989" t="s">
        <v>3</v>
      </c>
      <c r="D2989" t="s">
        <v>111</v>
      </c>
      <c r="E2989">
        <v>6</v>
      </c>
      <c r="F2989">
        <v>4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6</v>
      </c>
      <c r="O2989">
        <f t="shared" si="92"/>
        <v>2024</v>
      </c>
      <c r="P2989">
        <f t="shared" si="93"/>
        <v>6</v>
      </c>
      <c r="Q2989" t="s">
        <v>325</v>
      </c>
      <c r="R2989" s="546" t="s">
        <v>804</v>
      </c>
    </row>
    <row r="2990" spans="1:18" x14ac:dyDescent="0.3">
      <c r="A2990" t="s">
        <v>627</v>
      </c>
      <c r="B2990" s="16">
        <v>45447</v>
      </c>
      <c r="C2990" t="s">
        <v>2</v>
      </c>
      <c r="D2990" t="s">
        <v>4</v>
      </c>
      <c r="E2990">
        <v>418</v>
      </c>
      <c r="F2990">
        <v>137</v>
      </c>
      <c r="G2990">
        <v>3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8</v>
      </c>
      <c r="N2990">
        <v>408</v>
      </c>
      <c r="O2990">
        <f t="shared" si="92"/>
        <v>2024</v>
      </c>
      <c r="P2990">
        <f t="shared" si="93"/>
        <v>6</v>
      </c>
      <c r="Q2990" t="s">
        <v>325</v>
      </c>
      <c r="R2990" s="546" t="s">
        <v>804</v>
      </c>
    </row>
    <row r="2991" spans="1:18" x14ac:dyDescent="0.3">
      <c r="A2991" t="s">
        <v>627</v>
      </c>
      <c r="B2991" s="16">
        <v>45447</v>
      </c>
      <c r="C2991" t="s">
        <v>2</v>
      </c>
      <c r="D2991" t="s">
        <v>57</v>
      </c>
      <c r="E2991">
        <v>13379</v>
      </c>
      <c r="F2991">
        <v>7894</v>
      </c>
      <c r="G2991">
        <v>99</v>
      </c>
      <c r="H2991">
        <v>82</v>
      </c>
      <c r="I2991">
        <v>64822.5</v>
      </c>
      <c r="J2991">
        <v>17</v>
      </c>
      <c r="K2991">
        <v>42117.5</v>
      </c>
      <c r="L2991">
        <v>13</v>
      </c>
      <c r="M2991">
        <v>597</v>
      </c>
      <c r="N2991">
        <v>13354</v>
      </c>
      <c r="O2991">
        <f t="shared" ref="O2991:O3054" si="94">YEAR(B2991)</f>
        <v>2024</v>
      </c>
      <c r="P2991">
        <f t="shared" ref="P2991:P3054" si="95">MONTH(B2991)</f>
        <v>6</v>
      </c>
      <c r="Q2991" t="s">
        <v>325</v>
      </c>
      <c r="R2991" s="546" t="s">
        <v>804</v>
      </c>
    </row>
    <row r="2992" spans="1:18" x14ac:dyDescent="0.3">
      <c r="A2992" t="s">
        <v>627</v>
      </c>
      <c r="B2992" s="16">
        <v>45447</v>
      </c>
      <c r="C2992" t="s">
        <v>2</v>
      </c>
      <c r="D2992" t="s">
        <v>52</v>
      </c>
      <c r="E2992">
        <v>3278</v>
      </c>
      <c r="F2992">
        <v>2693</v>
      </c>
      <c r="G2992">
        <v>20</v>
      </c>
      <c r="H2992">
        <v>4</v>
      </c>
      <c r="I2992">
        <v>7614</v>
      </c>
      <c r="J2992">
        <v>3</v>
      </c>
      <c r="K2992">
        <v>7614</v>
      </c>
      <c r="L2992">
        <v>3</v>
      </c>
      <c r="M2992">
        <v>3278</v>
      </c>
      <c r="N2992">
        <v>662</v>
      </c>
      <c r="O2992">
        <f t="shared" si="94"/>
        <v>2024</v>
      </c>
      <c r="P2992">
        <f t="shared" si="95"/>
        <v>6</v>
      </c>
      <c r="Q2992" t="s">
        <v>325</v>
      </c>
      <c r="R2992" s="546" t="s">
        <v>804</v>
      </c>
    </row>
    <row r="2993" spans="1:18" x14ac:dyDescent="0.3">
      <c r="A2993" t="s">
        <v>627</v>
      </c>
      <c r="B2993" s="16">
        <v>45447</v>
      </c>
      <c r="C2993" t="s">
        <v>2</v>
      </c>
      <c r="D2993" t="s">
        <v>55</v>
      </c>
      <c r="E2993">
        <v>6031</v>
      </c>
      <c r="F2993">
        <v>5073</v>
      </c>
      <c r="G2993">
        <v>9</v>
      </c>
      <c r="H2993">
        <v>3</v>
      </c>
      <c r="I2993">
        <v>0</v>
      </c>
      <c r="J2993">
        <v>0</v>
      </c>
      <c r="K2993">
        <v>0</v>
      </c>
      <c r="L2993">
        <v>0</v>
      </c>
      <c r="M2993">
        <v>16</v>
      </c>
      <c r="N2993">
        <v>1045</v>
      </c>
      <c r="O2993">
        <f t="shared" si="94"/>
        <v>2024</v>
      </c>
      <c r="P2993">
        <f t="shared" si="95"/>
        <v>6</v>
      </c>
      <c r="Q2993" t="s">
        <v>325</v>
      </c>
      <c r="R2993" s="546" t="s">
        <v>804</v>
      </c>
    </row>
    <row r="2994" spans="1:18" x14ac:dyDescent="0.3">
      <c r="A2994" t="s">
        <v>627</v>
      </c>
      <c r="B2994" s="16">
        <v>45447</v>
      </c>
      <c r="C2994" t="s">
        <v>3</v>
      </c>
      <c r="D2994" t="s">
        <v>155</v>
      </c>
      <c r="E2994">
        <v>3</v>
      </c>
      <c r="F2994">
        <v>3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1</v>
      </c>
      <c r="N2994">
        <v>3</v>
      </c>
      <c r="O2994">
        <f t="shared" si="94"/>
        <v>2024</v>
      </c>
      <c r="P2994">
        <f t="shared" si="95"/>
        <v>6</v>
      </c>
      <c r="Q2994" t="s">
        <v>325</v>
      </c>
      <c r="R2994" s="546" t="s">
        <v>804</v>
      </c>
    </row>
    <row r="2995" spans="1:18" x14ac:dyDescent="0.3">
      <c r="A2995" t="s">
        <v>627</v>
      </c>
      <c r="B2995" s="16">
        <v>45447</v>
      </c>
      <c r="C2995" t="s">
        <v>3</v>
      </c>
      <c r="D2995" t="s">
        <v>154</v>
      </c>
      <c r="E2995">
        <v>98</v>
      </c>
      <c r="F2995">
        <v>84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7</v>
      </c>
      <c r="N2995">
        <v>5</v>
      </c>
      <c r="O2995">
        <f t="shared" si="94"/>
        <v>2024</v>
      </c>
      <c r="P2995">
        <f t="shared" si="95"/>
        <v>6</v>
      </c>
      <c r="Q2995" t="s">
        <v>325</v>
      </c>
      <c r="R2995" s="546" t="s">
        <v>804</v>
      </c>
    </row>
    <row r="2996" spans="1:18" x14ac:dyDescent="0.3">
      <c r="A2996" t="s">
        <v>627</v>
      </c>
      <c r="B2996" s="16">
        <v>45447</v>
      </c>
      <c r="C2996" t="s">
        <v>3</v>
      </c>
      <c r="D2996" t="s">
        <v>153</v>
      </c>
      <c r="E2996">
        <v>302</v>
      </c>
      <c r="F2996">
        <v>54</v>
      </c>
      <c r="G2996">
        <v>22</v>
      </c>
      <c r="H2996">
        <v>3</v>
      </c>
      <c r="I2996">
        <v>46942</v>
      </c>
      <c r="J2996">
        <v>16</v>
      </c>
      <c r="K2996">
        <v>45265</v>
      </c>
      <c r="L2996">
        <v>16</v>
      </c>
      <c r="M2996">
        <v>64</v>
      </c>
      <c r="N2996">
        <v>287</v>
      </c>
      <c r="O2996">
        <f t="shared" si="94"/>
        <v>2024</v>
      </c>
      <c r="P2996">
        <f t="shared" si="95"/>
        <v>6</v>
      </c>
      <c r="Q2996" t="s">
        <v>325</v>
      </c>
      <c r="R2996" s="546" t="s">
        <v>804</v>
      </c>
    </row>
    <row r="2997" spans="1:18" x14ac:dyDescent="0.3">
      <c r="A2997" t="s">
        <v>627</v>
      </c>
      <c r="B2997" s="16">
        <v>45447</v>
      </c>
      <c r="C2997" t="s">
        <v>3</v>
      </c>
      <c r="D2997" t="s">
        <v>152</v>
      </c>
      <c r="E2997">
        <v>9</v>
      </c>
      <c r="F2997">
        <v>1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7</v>
      </c>
      <c r="O2997">
        <f t="shared" si="94"/>
        <v>2024</v>
      </c>
      <c r="P2997">
        <f t="shared" si="95"/>
        <v>6</v>
      </c>
      <c r="Q2997" t="s">
        <v>325</v>
      </c>
      <c r="R2997" s="546" t="s">
        <v>804</v>
      </c>
    </row>
    <row r="2998" spans="1:18" x14ac:dyDescent="0.3">
      <c r="A2998" t="s">
        <v>627</v>
      </c>
      <c r="B2998" s="16">
        <v>45447</v>
      </c>
      <c r="C2998" t="s">
        <v>3</v>
      </c>
      <c r="D2998" t="s">
        <v>150</v>
      </c>
      <c r="E2998">
        <v>4</v>
      </c>
      <c r="F2998">
        <v>1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4</v>
      </c>
      <c r="O2998">
        <f t="shared" si="94"/>
        <v>2024</v>
      </c>
      <c r="P2998">
        <f t="shared" si="95"/>
        <v>6</v>
      </c>
      <c r="Q2998" t="s">
        <v>325</v>
      </c>
      <c r="R2998" s="546" t="s">
        <v>804</v>
      </c>
    </row>
    <row r="2999" spans="1:18" x14ac:dyDescent="0.3">
      <c r="A2999" t="s">
        <v>627</v>
      </c>
      <c r="B2999" s="16">
        <v>45447</v>
      </c>
      <c r="C2999" t="s">
        <v>3</v>
      </c>
      <c r="D2999" t="s">
        <v>149</v>
      </c>
      <c r="E2999">
        <v>300</v>
      </c>
      <c r="F2999">
        <v>246</v>
      </c>
      <c r="G2999">
        <v>4</v>
      </c>
      <c r="H2999">
        <v>2</v>
      </c>
      <c r="I2999">
        <v>2125</v>
      </c>
      <c r="J2999">
        <v>1</v>
      </c>
      <c r="K2999">
        <v>2125</v>
      </c>
      <c r="L2999">
        <v>1</v>
      </c>
      <c r="M2999">
        <v>69</v>
      </c>
      <c r="N2999">
        <v>239</v>
      </c>
      <c r="O2999">
        <f t="shared" si="94"/>
        <v>2024</v>
      </c>
      <c r="P2999">
        <f t="shared" si="95"/>
        <v>6</v>
      </c>
      <c r="Q2999" t="s">
        <v>325</v>
      </c>
      <c r="R2999" s="546" t="s">
        <v>804</v>
      </c>
    </row>
    <row r="3000" spans="1:18" x14ac:dyDescent="0.3">
      <c r="A3000" t="s">
        <v>627</v>
      </c>
      <c r="B3000" s="16">
        <v>45447</v>
      </c>
      <c r="C3000" t="s">
        <v>3</v>
      </c>
      <c r="D3000" t="s">
        <v>147</v>
      </c>
      <c r="E3000">
        <v>41</v>
      </c>
      <c r="F3000">
        <v>31</v>
      </c>
      <c r="G3000">
        <v>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41</v>
      </c>
      <c r="O3000">
        <f t="shared" si="94"/>
        <v>2024</v>
      </c>
      <c r="P3000">
        <f t="shared" si="95"/>
        <v>6</v>
      </c>
      <c r="Q3000" t="s">
        <v>325</v>
      </c>
      <c r="R3000" s="546" t="s">
        <v>804</v>
      </c>
    </row>
    <row r="3001" spans="1:18" x14ac:dyDescent="0.3">
      <c r="A3001" t="s">
        <v>627</v>
      </c>
      <c r="B3001" s="16">
        <v>45447</v>
      </c>
      <c r="C3001" t="s">
        <v>3</v>
      </c>
      <c r="D3001" t="s">
        <v>251</v>
      </c>
      <c r="E3001">
        <v>2287</v>
      </c>
      <c r="F3001">
        <v>1424</v>
      </c>
      <c r="G3001">
        <v>5</v>
      </c>
      <c r="H3001">
        <v>4</v>
      </c>
      <c r="I3001">
        <v>5031</v>
      </c>
      <c r="J3001">
        <v>2</v>
      </c>
      <c r="K3001">
        <v>3354</v>
      </c>
      <c r="L3001">
        <v>2</v>
      </c>
      <c r="M3001">
        <v>63</v>
      </c>
      <c r="N3001">
        <v>425</v>
      </c>
      <c r="O3001">
        <f t="shared" si="94"/>
        <v>2024</v>
      </c>
      <c r="P3001">
        <f t="shared" si="95"/>
        <v>6</v>
      </c>
      <c r="Q3001" t="s">
        <v>325</v>
      </c>
      <c r="R3001" s="546" t="s">
        <v>804</v>
      </c>
    </row>
    <row r="3002" spans="1:18" x14ac:dyDescent="0.3">
      <c r="A3002" t="s">
        <v>627</v>
      </c>
      <c r="B3002" s="16">
        <v>45447</v>
      </c>
      <c r="C3002" t="s">
        <v>3</v>
      </c>
      <c r="D3002" t="s">
        <v>143</v>
      </c>
      <c r="E3002">
        <v>4</v>
      </c>
      <c r="F3002">
        <v>4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4</v>
      </c>
      <c r="O3002">
        <f t="shared" si="94"/>
        <v>2024</v>
      </c>
      <c r="P3002">
        <f t="shared" si="95"/>
        <v>6</v>
      </c>
      <c r="Q3002" t="s">
        <v>325</v>
      </c>
      <c r="R3002" s="546" t="s">
        <v>804</v>
      </c>
    </row>
    <row r="3003" spans="1:18" x14ac:dyDescent="0.3">
      <c r="A3003" t="s">
        <v>627</v>
      </c>
      <c r="B3003" s="16">
        <v>45447</v>
      </c>
      <c r="C3003" t="s">
        <v>3</v>
      </c>
      <c r="D3003" t="s">
        <v>142</v>
      </c>
      <c r="E3003">
        <v>9</v>
      </c>
      <c r="F3003">
        <v>3</v>
      </c>
      <c r="G3003">
        <v>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9</v>
      </c>
      <c r="O3003">
        <f t="shared" si="94"/>
        <v>2024</v>
      </c>
      <c r="P3003">
        <f t="shared" si="95"/>
        <v>6</v>
      </c>
      <c r="Q3003" t="s">
        <v>325</v>
      </c>
      <c r="R3003" s="546" t="s">
        <v>804</v>
      </c>
    </row>
    <row r="3004" spans="1:18" x14ac:dyDescent="0.3">
      <c r="A3004" t="s">
        <v>627</v>
      </c>
      <c r="B3004" s="16">
        <v>45447</v>
      </c>
      <c r="C3004" t="s">
        <v>3</v>
      </c>
      <c r="D3004" t="s">
        <v>141</v>
      </c>
      <c r="E3004">
        <v>2</v>
      </c>
      <c r="F3004">
        <v>2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2</v>
      </c>
      <c r="O3004">
        <f t="shared" si="94"/>
        <v>2024</v>
      </c>
      <c r="P3004">
        <f t="shared" si="95"/>
        <v>6</v>
      </c>
      <c r="Q3004" t="s">
        <v>325</v>
      </c>
      <c r="R3004" s="546" t="s">
        <v>804</v>
      </c>
    </row>
    <row r="3005" spans="1:18" x14ac:dyDescent="0.3">
      <c r="A3005" t="s">
        <v>627</v>
      </c>
      <c r="B3005" s="16">
        <v>45447</v>
      </c>
      <c r="C3005" t="s">
        <v>3</v>
      </c>
      <c r="D3005" t="s">
        <v>140</v>
      </c>
      <c r="E3005">
        <v>5</v>
      </c>
      <c r="F3005">
        <v>5</v>
      </c>
      <c r="G3005">
        <v>0</v>
      </c>
      <c r="H3005">
        <v>0</v>
      </c>
      <c r="I3005">
        <v>4695</v>
      </c>
      <c r="J3005">
        <v>1</v>
      </c>
      <c r="K3005">
        <v>4695</v>
      </c>
      <c r="L3005">
        <v>1</v>
      </c>
      <c r="M3005">
        <v>1</v>
      </c>
      <c r="N3005">
        <v>5</v>
      </c>
      <c r="O3005">
        <f t="shared" si="94"/>
        <v>2024</v>
      </c>
      <c r="P3005">
        <f t="shared" si="95"/>
        <v>6</v>
      </c>
      <c r="Q3005" t="s">
        <v>325</v>
      </c>
      <c r="R3005" s="546" t="s">
        <v>804</v>
      </c>
    </row>
    <row r="3006" spans="1:18" x14ac:dyDescent="0.3">
      <c r="A3006" t="s">
        <v>627</v>
      </c>
      <c r="B3006" s="16">
        <v>45447</v>
      </c>
      <c r="C3006" t="s">
        <v>3</v>
      </c>
      <c r="D3006" t="s">
        <v>139</v>
      </c>
      <c r="E3006">
        <v>552</v>
      </c>
      <c r="F3006">
        <v>282</v>
      </c>
      <c r="G3006">
        <v>16</v>
      </c>
      <c r="H3006">
        <v>8</v>
      </c>
      <c r="I3006">
        <v>25519</v>
      </c>
      <c r="J3006">
        <v>10</v>
      </c>
      <c r="K3006">
        <v>23842</v>
      </c>
      <c r="L3006">
        <v>9</v>
      </c>
      <c r="M3006">
        <v>236</v>
      </c>
      <c r="N3006">
        <v>379</v>
      </c>
      <c r="O3006">
        <f t="shared" si="94"/>
        <v>2024</v>
      </c>
      <c r="P3006">
        <f t="shared" si="95"/>
        <v>6</v>
      </c>
      <c r="Q3006" t="s">
        <v>325</v>
      </c>
      <c r="R3006" s="546" t="s">
        <v>804</v>
      </c>
    </row>
    <row r="3007" spans="1:18" x14ac:dyDescent="0.3">
      <c r="A3007" t="s">
        <v>627</v>
      </c>
      <c r="B3007" s="16">
        <v>45447</v>
      </c>
      <c r="C3007" t="s">
        <v>3</v>
      </c>
      <c r="D3007" t="s">
        <v>138</v>
      </c>
      <c r="E3007">
        <v>9</v>
      </c>
      <c r="F3007">
        <v>5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4</v>
      </c>
      <c r="N3007">
        <v>9</v>
      </c>
      <c r="O3007">
        <f t="shared" si="94"/>
        <v>2024</v>
      </c>
      <c r="P3007">
        <f t="shared" si="95"/>
        <v>6</v>
      </c>
      <c r="Q3007" t="s">
        <v>325</v>
      </c>
      <c r="R3007" s="546" t="s">
        <v>804</v>
      </c>
    </row>
    <row r="3008" spans="1:18" x14ac:dyDescent="0.3">
      <c r="A3008" t="s">
        <v>627</v>
      </c>
      <c r="B3008" s="16">
        <v>45447</v>
      </c>
      <c r="C3008" t="s">
        <v>3</v>
      </c>
      <c r="D3008" t="s">
        <v>137</v>
      </c>
      <c r="E3008">
        <v>4</v>
      </c>
      <c r="F3008">
        <v>2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4</v>
      </c>
      <c r="O3008">
        <f t="shared" si="94"/>
        <v>2024</v>
      </c>
      <c r="P3008">
        <f t="shared" si="95"/>
        <v>6</v>
      </c>
      <c r="Q3008" t="s">
        <v>325</v>
      </c>
      <c r="R3008" s="546" t="s">
        <v>804</v>
      </c>
    </row>
    <row r="3009" spans="1:18" x14ac:dyDescent="0.3">
      <c r="A3009" t="s">
        <v>627</v>
      </c>
      <c r="B3009" s="16">
        <v>45447</v>
      </c>
      <c r="C3009" t="s">
        <v>3</v>
      </c>
      <c r="D3009" t="s">
        <v>135</v>
      </c>
      <c r="E3009">
        <v>5</v>
      </c>
      <c r="F3009">
        <v>4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f t="shared" si="94"/>
        <v>2024</v>
      </c>
      <c r="P3009">
        <f t="shared" si="95"/>
        <v>6</v>
      </c>
      <c r="Q3009" t="s">
        <v>325</v>
      </c>
      <c r="R3009" s="546" t="s">
        <v>804</v>
      </c>
    </row>
    <row r="3010" spans="1:18" x14ac:dyDescent="0.3">
      <c r="A3010" t="s">
        <v>627</v>
      </c>
      <c r="B3010" s="16">
        <v>45447</v>
      </c>
      <c r="C3010" t="s">
        <v>3</v>
      </c>
      <c r="D3010" t="s">
        <v>133</v>
      </c>
      <c r="E3010">
        <v>21</v>
      </c>
      <c r="F3010">
        <v>17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5</v>
      </c>
      <c r="N3010">
        <v>17</v>
      </c>
      <c r="O3010">
        <f t="shared" si="94"/>
        <v>2024</v>
      </c>
      <c r="P3010">
        <f t="shared" si="95"/>
        <v>6</v>
      </c>
      <c r="Q3010" t="s">
        <v>325</v>
      </c>
      <c r="R3010" s="546" t="s">
        <v>804</v>
      </c>
    </row>
    <row r="3011" spans="1:18" x14ac:dyDescent="0.3">
      <c r="A3011" t="s">
        <v>627</v>
      </c>
      <c r="B3011" s="16">
        <v>45447</v>
      </c>
      <c r="C3011" t="s">
        <v>3</v>
      </c>
      <c r="D3011" t="s">
        <v>130</v>
      </c>
      <c r="E3011">
        <v>241</v>
      </c>
      <c r="F3011">
        <v>81</v>
      </c>
      <c r="G3011">
        <v>13</v>
      </c>
      <c r="H3011">
        <v>2</v>
      </c>
      <c r="I3011">
        <v>31918</v>
      </c>
      <c r="J3011">
        <v>8</v>
      </c>
      <c r="K3011">
        <v>20775</v>
      </c>
      <c r="L3011">
        <v>7</v>
      </c>
      <c r="M3011">
        <v>65</v>
      </c>
      <c r="N3011">
        <v>220</v>
      </c>
      <c r="O3011">
        <f t="shared" si="94"/>
        <v>2024</v>
      </c>
      <c r="P3011">
        <f t="shared" si="95"/>
        <v>6</v>
      </c>
      <c r="Q3011" t="s">
        <v>325</v>
      </c>
      <c r="R3011" s="546" t="s">
        <v>804</v>
      </c>
    </row>
    <row r="3012" spans="1:18" x14ac:dyDescent="0.3">
      <c r="A3012" t="s">
        <v>627</v>
      </c>
      <c r="B3012" s="16">
        <v>45447</v>
      </c>
      <c r="C3012" t="s">
        <v>3</v>
      </c>
      <c r="D3012" t="s">
        <v>128</v>
      </c>
      <c r="E3012">
        <v>793</v>
      </c>
      <c r="F3012">
        <v>593</v>
      </c>
      <c r="G3012">
        <v>32</v>
      </c>
      <c r="H3012">
        <v>11</v>
      </c>
      <c r="I3012">
        <v>35746</v>
      </c>
      <c r="J3012">
        <v>9</v>
      </c>
      <c r="K3012">
        <v>19156</v>
      </c>
      <c r="L3012">
        <v>8</v>
      </c>
      <c r="M3012">
        <v>206</v>
      </c>
      <c r="N3012">
        <v>719</v>
      </c>
      <c r="O3012">
        <f t="shared" si="94"/>
        <v>2024</v>
      </c>
      <c r="P3012">
        <f t="shared" si="95"/>
        <v>6</v>
      </c>
      <c r="Q3012" t="s">
        <v>325</v>
      </c>
      <c r="R3012" s="546" t="s">
        <v>804</v>
      </c>
    </row>
    <row r="3013" spans="1:18" x14ac:dyDescent="0.3">
      <c r="A3013" t="s">
        <v>627</v>
      </c>
      <c r="B3013" s="16">
        <v>45447</v>
      </c>
      <c r="C3013" t="s">
        <v>3</v>
      </c>
      <c r="D3013" t="s">
        <v>127</v>
      </c>
      <c r="E3013">
        <v>2104</v>
      </c>
      <c r="F3013">
        <v>1154</v>
      </c>
      <c r="G3013">
        <v>33</v>
      </c>
      <c r="H3013">
        <v>21</v>
      </c>
      <c r="I3013">
        <v>22255</v>
      </c>
      <c r="J3013">
        <v>7</v>
      </c>
      <c r="K3013">
        <v>16478</v>
      </c>
      <c r="L3013">
        <v>6</v>
      </c>
      <c r="M3013">
        <v>196</v>
      </c>
      <c r="N3013">
        <v>1772</v>
      </c>
      <c r="O3013">
        <f t="shared" si="94"/>
        <v>2024</v>
      </c>
      <c r="P3013">
        <f t="shared" si="95"/>
        <v>6</v>
      </c>
      <c r="Q3013" t="s">
        <v>325</v>
      </c>
      <c r="R3013" s="546" t="s">
        <v>804</v>
      </c>
    </row>
    <row r="3014" spans="1:18" x14ac:dyDescent="0.3">
      <c r="A3014" t="s">
        <v>627</v>
      </c>
      <c r="B3014" s="16">
        <v>45447</v>
      </c>
      <c r="C3014" t="s">
        <v>3</v>
      </c>
      <c r="D3014" t="s">
        <v>126</v>
      </c>
      <c r="E3014">
        <v>79</v>
      </c>
      <c r="F3014">
        <v>53</v>
      </c>
      <c r="G3014">
        <v>3</v>
      </c>
      <c r="H3014">
        <v>2</v>
      </c>
      <c r="I3014">
        <v>0</v>
      </c>
      <c r="J3014">
        <v>0</v>
      </c>
      <c r="K3014">
        <v>0</v>
      </c>
      <c r="L3014">
        <v>0</v>
      </c>
      <c r="M3014">
        <v>11</v>
      </c>
      <c r="N3014">
        <v>77</v>
      </c>
      <c r="O3014">
        <f t="shared" si="94"/>
        <v>2024</v>
      </c>
      <c r="P3014">
        <f t="shared" si="95"/>
        <v>6</v>
      </c>
      <c r="Q3014" t="s">
        <v>325</v>
      </c>
      <c r="R3014" s="546" t="s">
        <v>804</v>
      </c>
    </row>
    <row r="3015" spans="1:18" x14ac:dyDescent="0.3">
      <c r="A3015" t="s">
        <v>627</v>
      </c>
      <c r="B3015" s="16">
        <v>45447</v>
      </c>
      <c r="C3015" t="s">
        <v>3</v>
      </c>
      <c r="D3015" t="s">
        <v>125</v>
      </c>
      <c r="E3015">
        <v>1</v>
      </c>
      <c r="F3015">
        <v>1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1</v>
      </c>
      <c r="O3015">
        <f t="shared" si="94"/>
        <v>2024</v>
      </c>
      <c r="P3015">
        <f t="shared" si="95"/>
        <v>6</v>
      </c>
      <c r="Q3015" t="s">
        <v>325</v>
      </c>
      <c r="R3015" s="546" t="s">
        <v>804</v>
      </c>
    </row>
    <row r="3016" spans="1:18" x14ac:dyDescent="0.3">
      <c r="A3016" t="s">
        <v>627</v>
      </c>
      <c r="B3016" s="16">
        <v>45447</v>
      </c>
      <c r="C3016" t="s">
        <v>3</v>
      </c>
      <c r="D3016" t="s">
        <v>123</v>
      </c>
      <c r="E3016">
        <v>112</v>
      </c>
      <c r="F3016">
        <v>47</v>
      </c>
      <c r="G3016">
        <v>5</v>
      </c>
      <c r="H3016">
        <v>4</v>
      </c>
      <c r="I3016">
        <v>12348</v>
      </c>
      <c r="J3016">
        <v>2</v>
      </c>
      <c r="K3016">
        <v>7874</v>
      </c>
      <c r="L3016">
        <v>2</v>
      </c>
      <c r="M3016">
        <v>50</v>
      </c>
      <c r="N3016">
        <v>92</v>
      </c>
      <c r="O3016">
        <f t="shared" si="94"/>
        <v>2024</v>
      </c>
      <c r="P3016">
        <f t="shared" si="95"/>
        <v>6</v>
      </c>
      <c r="Q3016" t="s">
        <v>325</v>
      </c>
      <c r="R3016" s="546" t="s">
        <v>804</v>
      </c>
    </row>
    <row r="3017" spans="1:18" x14ac:dyDescent="0.3">
      <c r="A3017" t="s">
        <v>627</v>
      </c>
      <c r="B3017" s="16">
        <v>45447</v>
      </c>
      <c r="C3017" t="s">
        <v>3</v>
      </c>
      <c r="D3017" t="s">
        <v>120</v>
      </c>
      <c r="E3017">
        <v>510</v>
      </c>
      <c r="F3017">
        <v>292</v>
      </c>
      <c r="G3017">
        <v>7</v>
      </c>
      <c r="H3017">
        <v>0</v>
      </c>
      <c r="I3017">
        <v>4380</v>
      </c>
      <c r="J3017">
        <v>2</v>
      </c>
      <c r="K3017">
        <v>4380</v>
      </c>
      <c r="L3017">
        <v>2</v>
      </c>
      <c r="M3017">
        <v>48</v>
      </c>
      <c r="N3017">
        <v>507</v>
      </c>
      <c r="O3017">
        <f t="shared" si="94"/>
        <v>2024</v>
      </c>
      <c r="P3017">
        <f t="shared" si="95"/>
        <v>6</v>
      </c>
      <c r="Q3017" t="s">
        <v>325</v>
      </c>
      <c r="R3017" s="546" t="s">
        <v>804</v>
      </c>
    </row>
    <row r="3018" spans="1:18" x14ac:dyDescent="0.3">
      <c r="A3018" t="s">
        <v>627</v>
      </c>
      <c r="B3018" s="16">
        <v>45447</v>
      </c>
      <c r="C3018" t="s">
        <v>3</v>
      </c>
      <c r="D3018" t="s">
        <v>119</v>
      </c>
      <c r="E3018">
        <v>318</v>
      </c>
      <c r="F3018">
        <v>106</v>
      </c>
      <c r="G3018">
        <v>20</v>
      </c>
      <c r="H3018">
        <v>3</v>
      </c>
      <c r="I3018">
        <v>44312</v>
      </c>
      <c r="J3018">
        <v>11</v>
      </c>
      <c r="K3018">
        <v>28008</v>
      </c>
      <c r="L3018">
        <v>9</v>
      </c>
      <c r="M3018">
        <v>82</v>
      </c>
      <c r="N3018">
        <v>298</v>
      </c>
      <c r="O3018">
        <f t="shared" si="94"/>
        <v>2024</v>
      </c>
      <c r="P3018">
        <f t="shared" si="95"/>
        <v>6</v>
      </c>
      <c r="Q3018" t="s">
        <v>325</v>
      </c>
      <c r="R3018" s="546" t="s">
        <v>804</v>
      </c>
    </row>
    <row r="3019" spans="1:18" x14ac:dyDescent="0.3">
      <c r="A3019" t="s">
        <v>627</v>
      </c>
      <c r="B3019" s="16">
        <v>45447</v>
      </c>
      <c r="C3019" t="s">
        <v>3</v>
      </c>
      <c r="D3019" t="s">
        <v>117</v>
      </c>
      <c r="E3019">
        <v>36</v>
      </c>
      <c r="F3019">
        <v>35</v>
      </c>
      <c r="G3019">
        <v>1</v>
      </c>
      <c r="H3019">
        <v>2</v>
      </c>
      <c r="I3019">
        <v>0</v>
      </c>
      <c r="J3019">
        <v>0</v>
      </c>
      <c r="K3019">
        <v>0</v>
      </c>
      <c r="L3019">
        <v>0</v>
      </c>
      <c r="M3019">
        <v>2</v>
      </c>
      <c r="N3019">
        <v>36</v>
      </c>
      <c r="O3019">
        <f t="shared" si="94"/>
        <v>2024</v>
      </c>
      <c r="P3019">
        <f t="shared" si="95"/>
        <v>6</v>
      </c>
      <c r="Q3019" t="s">
        <v>325</v>
      </c>
      <c r="R3019" s="546" t="s">
        <v>804</v>
      </c>
    </row>
    <row r="3020" spans="1:18" x14ac:dyDescent="0.3">
      <c r="A3020" t="s">
        <v>627</v>
      </c>
      <c r="B3020" s="16">
        <v>45447</v>
      </c>
      <c r="C3020" t="s">
        <v>3</v>
      </c>
      <c r="D3020" t="s">
        <v>115</v>
      </c>
      <c r="E3020">
        <v>6</v>
      </c>
      <c r="F3020">
        <v>1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6</v>
      </c>
      <c r="O3020">
        <f t="shared" si="94"/>
        <v>2024</v>
      </c>
      <c r="P3020">
        <f t="shared" si="95"/>
        <v>6</v>
      </c>
      <c r="Q3020" t="s">
        <v>325</v>
      </c>
      <c r="R3020" s="546" t="s">
        <v>804</v>
      </c>
    </row>
    <row r="3021" spans="1:18" x14ac:dyDescent="0.3">
      <c r="A3021" t="s">
        <v>627</v>
      </c>
      <c r="B3021" s="16">
        <v>45447</v>
      </c>
      <c r="C3021" t="s">
        <v>3</v>
      </c>
      <c r="D3021" t="s">
        <v>114</v>
      </c>
      <c r="E3021">
        <v>112</v>
      </c>
      <c r="F3021">
        <v>54</v>
      </c>
      <c r="G3021">
        <v>2</v>
      </c>
      <c r="H3021">
        <v>1</v>
      </c>
      <c r="I3021">
        <v>3083</v>
      </c>
      <c r="J3021">
        <v>2</v>
      </c>
      <c r="K3021">
        <v>1780</v>
      </c>
      <c r="L3021">
        <v>1</v>
      </c>
      <c r="M3021">
        <v>18</v>
      </c>
      <c r="N3021">
        <v>105</v>
      </c>
      <c r="O3021">
        <f t="shared" si="94"/>
        <v>2024</v>
      </c>
      <c r="P3021">
        <f t="shared" si="95"/>
        <v>6</v>
      </c>
      <c r="Q3021" t="s">
        <v>325</v>
      </c>
      <c r="R3021" s="546" t="s">
        <v>804</v>
      </c>
    </row>
    <row r="3022" spans="1:18" x14ac:dyDescent="0.3">
      <c r="A3022" t="s">
        <v>627</v>
      </c>
      <c r="B3022" s="16">
        <v>45447</v>
      </c>
      <c r="C3022" t="s">
        <v>3</v>
      </c>
      <c r="D3022" t="s">
        <v>113</v>
      </c>
      <c r="E3022">
        <v>115</v>
      </c>
      <c r="F3022">
        <v>54</v>
      </c>
      <c r="G3022">
        <v>7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88</v>
      </c>
      <c r="N3022">
        <v>61</v>
      </c>
      <c r="O3022">
        <f t="shared" si="94"/>
        <v>2024</v>
      </c>
      <c r="P3022">
        <f t="shared" si="95"/>
        <v>6</v>
      </c>
      <c r="Q3022" t="s">
        <v>325</v>
      </c>
      <c r="R3022" s="546" t="s">
        <v>804</v>
      </c>
    </row>
    <row r="3023" spans="1:18" x14ac:dyDescent="0.3">
      <c r="A3023" t="s">
        <v>627</v>
      </c>
      <c r="B3023" s="16">
        <v>45447</v>
      </c>
      <c r="C3023" t="s">
        <v>3</v>
      </c>
      <c r="D3023" t="s">
        <v>112</v>
      </c>
      <c r="E3023">
        <v>14</v>
      </c>
      <c r="F3023">
        <v>1</v>
      </c>
      <c r="G3023">
        <v>0</v>
      </c>
      <c r="H3023">
        <v>0</v>
      </c>
      <c r="I3023">
        <v>2980</v>
      </c>
      <c r="J3023">
        <v>1</v>
      </c>
      <c r="K3023">
        <v>2980</v>
      </c>
      <c r="L3023">
        <v>1</v>
      </c>
      <c r="M3023">
        <v>0</v>
      </c>
      <c r="N3023">
        <v>14</v>
      </c>
      <c r="O3023">
        <f t="shared" si="94"/>
        <v>2024</v>
      </c>
      <c r="P3023">
        <f t="shared" si="95"/>
        <v>6</v>
      </c>
      <c r="Q3023" t="s">
        <v>325</v>
      </c>
      <c r="R3023" s="546" t="s">
        <v>804</v>
      </c>
    </row>
    <row r="3024" spans="1:18" x14ac:dyDescent="0.3">
      <c r="A3024" t="s">
        <v>627</v>
      </c>
      <c r="B3024" s="16">
        <v>45447</v>
      </c>
      <c r="C3024" t="s">
        <v>3</v>
      </c>
      <c r="D3024" t="s">
        <v>111</v>
      </c>
      <c r="E3024">
        <v>5</v>
      </c>
      <c r="F3024">
        <v>5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5</v>
      </c>
      <c r="O3024">
        <f t="shared" si="94"/>
        <v>2024</v>
      </c>
      <c r="P3024">
        <f t="shared" si="95"/>
        <v>6</v>
      </c>
      <c r="Q3024" t="s">
        <v>325</v>
      </c>
      <c r="R3024" s="546" t="s">
        <v>804</v>
      </c>
    </row>
    <row r="3025" spans="1:18" x14ac:dyDescent="0.3">
      <c r="A3025" t="s">
        <v>627</v>
      </c>
      <c r="B3025" s="16">
        <v>45446</v>
      </c>
      <c r="C3025" t="s">
        <v>2</v>
      </c>
      <c r="D3025" t="s">
        <v>4</v>
      </c>
      <c r="E3025">
        <v>476</v>
      </c>
      <c r="F3025">
        <v>174</v>
      </c>
      <c r="G3025">
        <v>9</v>
      </c>
      <c r="H3025">
        <v>3</v>
      </c>
      <c r="I3025">
        <v>15978</v>
      </c>
      <c r="J3025">
        <v>6</v>
      </c>
      <c r="K3025">
        <v>12564</v>
      </c>
      <c r="L3025">
        <v>5</v>
      </c>
      <c r="M3025">
        <v>23</v>
      </c>
      <c r="N3025">
        <v>462</v>
      </c>
      <c r="O3025">
        <f t="shared" si="94"/>
        <v>2024</v>
      </c>
      <c r="P3025">
        <f t="shared" si="95"/>
        <v>6</v>
      </c>
      <c r="Q3025" t="s">
        <v>325</v>
      </c>
      <c r="R3025" s="546" t="s">
        <v>804</v>
      </c>
    </row>
    <row r="3026" spans="1:18" x14ac:dyDescent="0.3">
      <c r="A3026" t="s">
        <v>627</v>
      </c>
      <c r="B3026" s="16">
        <v>45446</v>
      </c>
      <c r="C3026" t="s">
        <v>2</v>
      </c>
      <c r="D3026" t="s">
        <v>57</v>
      </c>
      <c r="E3026">
        <v>20320</v>
      </c>
      <c r="F3026">
        <v>12653</v>
      </c>
      <c r="G3026">
        <v>215</v>
      </c>
      <c r="H3026">
        <v>96</v>
      </c>
      <c r="I3026">
        <v>333091.5</v>
      </c>
      <c r="J3026">
        <v>78</v>
      </c>
      <c r="K3026">
        <v>249979.5</v>
      </c>
      <c r="L3026">
        <v>66</v>
      </c>
      <c r="M3026">
        <v>851</v>
      </c>
      <c r="N3026">
        <v>20265</v>
      </c>
      <c r="O3026">
        <f t="shared" si="94"/>
        <v>2024</v>
      </c>
      <c r="P3026">
        <f t="shared" si="95"/>
        <v>6</v>
      </c>
      <c r="Q3026" t="s">
        <v>325</v>
      </c>
      <c r="R3026" s="546" t="s">
        <v>804</v>
      </c>
    </row>
    <row r="3027" spans="1:18" x14ac:dyDescent="0.3">
      <c r="A3027" t="s">
        <v>627</v>
      </c>
      <c r="B3027" s="16">
        <v>45446</v>
      </c>
      <c r="C3027" t="s">
        <v>2</v>
      </c>
      <c r="D3027" t="s">
        <v>52</v>
      </c>
      <c r="E3027">
        <v>2169</v>
      </c>
      <c r="F3027">
        <v>1704</v>
      </c>
      <c r="G3027">
        <v>17</v>
      </c>
      <c r="H3027">
        <v>4</v>
      </c>
      <c r="I3027">
        <v>14393.27</v>
      </c>
      <c r="J3027">
        <v>4</v>
      </c>
      <c r="K3027">
        <v>14393.27</v>
      </c>
      <c r="L3027">
        <v>4</v>
      </c>
      <c r="M3027">
        <v>2169</v>
      </c>
      <c r="N3027">
        <v>541</v>
      </c>
      <c r="O3027">
        <f t="shared" si="94"/>
        <v>2024</v>
      </c>
      <c r="P3027">
        <f t="shared" si="95"/>
        <v>6</v>
      </c>
      <c r="Q3027" t="s">
        <v>325</v>
      </c>
      <c r="R3027" s="546" t="s">
        <v>804</v>
      </c>
    </row>
    <row r="3028" spans="1:18" x14ac:dyDescent="0.3">
      <c r="A3028" t="s">
        <v>627</v>
      </c>
      <c r="B3028" s="16">
        <v>45446</v>
      </c>
      <c r="C3028" t="s">
        <v>2</v>
      </c>
      <c r="D3028" t="s">
        <v>55</v>
      </c>
      <c r="E3028">
        <v>1514</v>
      </c>
      <c r="F3028">
        <v>1001</v>
      </c>
      <c r="G3028">
        <v>3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16</v>
      </c>
      <c r="N3028">
        <v>247</v>
      </c>
      <c r="O3028">
        <f t="shared" si="94"/>
        <v>2024</v>
      </c>
      <c r="P3028">
        <f t="shared" si="95"/>
        <v>6</v>
      </c>
      <c r="Q3028" t="s">
        <v>325</v>
      </c>
      <c r="R3028" s="546" t="s">
        <v>804</v>
      </c>
    </row>
    <row r="3029" spans="1:18" x14ac:dyDescent="0.3">
      <c r="A3029" t="s">
        <v>627</v>
      </c>
      <c r="B3029" s="16">
        <v>45446</v>
      </c>
      <c r="C3029" t="s">
        <v>3</v>
      </c>
      <c r="D3029" t="s">
        <v>155</v>
      </c>
      <c r="E3029">
        <v>2</v>
      </c>
      <c r="F3029">
        <v>1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2</v>
      </c>
      <c r="O3029">
        <f t="shared" si="94"/>
        <v>2024</v>
      </c>
      <c r="P3029">
        <f t="shared" si="95"/>
        <v>6</v>
      </c>
      <c r="Q3029" t="s">
        <v>325</v>
      </c>
      <c r="R3029" s="546" t="s">
        <v>804</v>
      </c>
    </row>
    <row r="3030" spans="1:18" x14ac:dyDescent="0.3">
      <c r="A3030" t="s">
        <v>627</v>
      </c>
      <c r="B3030" s="16">
        <v>45446</v>
      </c>
      <c r="C3030" t="s">
        <v>3</v>
      </c>
      <c r="D3030" t="s">
        <v>154</v>
      </c>
      <c r="E3030">
        <v>196</v>
      </c>
      <c r="F3030">
        <v>179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1</v>
      </c>
      <c r="N3030">
        <v>1</v>
      </c>
      <c r="O3030">
        <f t="shared" si="94"/>
        <v>2024</v>
      </c>
      <c r="P3030">
        <f t="shared" si="95"/>
        <v>6</v>
      </c>
      <c r="Q3030" t="s">
        <v>325</v>
      </c>
      <c r="R3030" s="546" t="s">
        <v>804</v>
      </c>
    </row>
    <row r="3031" spans="1:18" x14ac:dyDescent="0.3">
      <c r="A3031" t="s">
        <v>627</v>
      </c>
      <c r="B3031" s="16">
        <v>45446</v>
      </c>
      <c r="C3031" t="s">
        <v>3</v>
      </c>
      <c r="D3031" t="s">
        <v>153</v>
      </c>
      <c r="E3031">
        <v>450</v>
      </c>
      <c r="F3031">
        <v>140</v>
      </c>
      <c r="G3031">
        <v>62</v>
      </c>
      <c r="H3031">
        <v>3</v>
      </c>
      <c r="I3031">
        <v>307458.15000000002</v>
      </c>
      <c r="J3031">
        <v>85</v>
      </c>
      <c r="K3031">
        <v>230455.15</v>
      </c>
      <c r="L3031">
        <v>79</v>
      </c>
      <c r="M3031">
        <v>149</v>
      </c>
      <c r="N3031">
        <v>430</v>
      </c>
      <c r="O3031">
        <f t="shared" si="94"/>
        <v>2024</v>
      </c>
      <c r="P3031">
        <f t="shared" si="95"/>
        <v>6</v>
      </c>
      <c r="Q3031" t="s">
        <v>325</v>
      </c>
      <c r="R3031" s="546" t="s">
        <v>804</v>
      </c>
    </row>
    <row r="3032" spans="1:18" x14ac:dyDescent="0.3">
      <c r="A3032" t="s">
        <v>627</v>
      </c>
      <c r="B3032" s="16">
        <v>45446</v>
      </c>
      <c r="C3032" t="s">
        <v>3</v>
      </c>
      <c r="D3032" t="s">
        <v>152</v>
      </c>
      <c r="E3032">
        <v>16</v>
      </c>
      <c r="F3032">
        <v>4</v>
      </c>
      <c r="G3032">
        <v>1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12</v>
      </c>
      <c r="O3032">
        <f t="shared" si="94"/>
        <v>2024</v>
      </c>
      <c r="P3032">
        <f t="shared" si="95"/>
        <v>6</v>
      </c>
      <c r="Q3032" t="s">
        <v>325</v>
      </c>
      <c r="R3032" s="546" t="s">
        <v>804</v>
      </c>
    </row>
    <row r="3033" spans="1:18" x14ac:dyDescent="0.3">
      <c r="A3033" t="s">
        <v>627</v>
      </c>
      <c r="B3033" s="16">
        <v>45446</v>
      </c>
      <c r="C3033" t="s">
        <v>3</v>
      </c>
      <c r="D3033" t="s">
        <v>150</v>
      </c>
      <c r="E3033">
        <v>4</v>
      </c>
      <c r="F3033">
        <v>3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4</v>
      </c>
      <c r="O3033">
        <f t="shared" si="94"/>
        <v>2024</v>
      </c>
      <c r="P3033">
        <f t="shared" si="95"/>
        <v>6</v>
      </c>
      <c r="Q3033" t="s">
        <v>325</v>
      </c>
      <c r="R3033" s="546" t="s">
        <v>804</v>
      </c>
    </row>
    <row r="3034" spans="1:18" x14ac:dyDescent="0.3">
      <c r="A3034" t="s">
        <v>627</v>
      </c>
      <c r="B3034" s="16">
        <v>45446</v>
      </c>
      <c r="C3034" t="s">
        <v>3</v>
      </c>
      <c r="D3034" t="s">
        <v>149</v>
      </c>
      <c r="E3034">
        <v>42</v>
      </c>
      <c r="F3034">
        <v>21</v>
      </c>
      <c r="G3034">
        <v>3</v>
      </c>
      <c r="H3034">
        <v>0</v>
      </c>
      <c r="I3034">
        <v>3336.79</v>
      </c>
      <c r="J3034">
        <v>1</v>
      </c>
      <c r="K3034">
        <v>3336.79</v>
      </c>
      <c r="L3034">
        <v>1</v>
      </c>
      <c r="M3034">
        <v>7</v>
      </c>
      <c r="N3034">
        <v>24</v>
      </c>
      <c r="O3034">
        <f t="shared" si="94"/>
        <v>2024</v>
      </c>
      <c r="P3034">
        <f t="shared" si="95"/>
        <v>6</v>
      </c>
      <c r="Q3034" t="s">
        <v>325</v>
      </c>
      <c r="R3034" s="546" t="s">
        <v>804</v>
      </c>
    </row>
    <row r="3035" spans="1:18" x14ac:dyDescent="0.3">
      <c r="A3035" t="s">
        <v>627</v>
      </c>
      <c r="B3035" s="16">
        <v>45446</v>
      </c>
      <c r="C3035" t="s">
        <v>3</v>
      </c>
      <c r="D3035" t="s">
        <v>148</v>
      </c>
      <c r="E3035">
        <v>3</v>
      </c>
      <c r="F3035">
        <v>2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</v>
      </c>
      <c r="N3035">
        <v>2</v>
      </c>
      <c r="O3035">
        <f t="shared" si="94"/>
        <v>2024</v>
      </c>
      <c r="P3035">
        <f t="shared" si="95"/>
        <v>6</v>
      </c>
      <c r="Q3035" t="s">
        <v>325</v>
      </c>
      <c r="R3035" s="546" t="s">
        <v>804</v>
      </c>
    </row>
    <row r="3036" spans="1:18" x14ac:dyDescent="0.3">
      <c r="A3036" t="s">
        <v>627</v>
      </c>
      <c r="B3036" s="16">
        <v>45446</v>
      </c>
      <c r="C3036" t="s">
        <v>3</v>
      </c>
      <c r="D3036" t="s">
        <v>226</v>
      </c>
      <c r="E3036">
        <v>1</v>
      </c>
      <c r="F3036">
        <v>1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f t="shared" si="94"/>
        <v>2024</v>
      </c>
      <c r="P3036">
        <f t="shared" si="95"/>
        <v>6</v>
      </c>
      <c r="Q3036" t="s">
        <v>325</v>
      </c>
      <c r="R3036" s="546" t="s">
        <v>804</v>
      </c>
    </row>
    <row r="3037" spans="1:18" x14ac:dyDescent="0.3">
      <c r="A3037" t="s">
        <v>627</v>
      </c>
      <c r="B3037" s="16">
        <v>45446</v>
      </c>
      <c r="C3037" t="s">
        <v>3</v>
      </c>
      <c r="D3037" t="s">
        <v>147</v>
      </c>
      <c r="E3037">
        <v>50</v>
      </c>
      <c r="F3037">
        <v>41</v>
      </c>
      <c r="G3037">
        <v>22</v>
      </c>
      <c r="H3037">
        <v>0</v>
      </c>
      <c r="I3037">
        <v>13422</v>
      </c>
      <c r="J3037">
        <v>6</v>
      </c>
      <c r="K3037">
        <v>8948</v>
      </c>
      <c r="L3037">
        <v>4</v>
      </c>
      <c r="M3037">
        <v>1</v>
      </c>
      <c r="N3037">
        <v>50</v>
      </c>
      <c r="O3037">
        <f t="shared" si="94"/>
        <v>2024</v>
      </c>
      <c r="P3037">
        <f t="shared" si="95"/>
        <v>6</v>
      </c>
      <c r="Q3037" t="s">
        <v>325</v>
      </c>
      <c r="R3037" s="546" t="s">
        <v>804</v>
      </c>
    </row>
    <row r="3038" spans="1:18" x14ac:dyDescent="0.3">
      <c r="A3038" t="s">
        <v>627</v>
      </c>
      <c r="B3038" s="16">
        <v>45446</v>
      </c>
      <c r="C3038" t="s">
        <v>3</v>
      </c>
      <c r="D3038" t="s">
        <v>251</v>
      </c>
      <c r="E3038">
        <v>2660</v>
      </c>
      <c r="F3038">
        <v>1805</v>
      </c>
      <c r="G3038">
        <v>6</v>
      </c>
      <c r="H3038">
        <v>9</v>
      </c>
      <c r="I3038">
        <v>33304.15</v>
      </c>
      <c r="J3038">
        <v>8</v>
      </c>
      <c r="K3038">
        <v>33304.15</v>
      </c>
      <c r="L3038">
        <v>8</v>
      </c>
      <c r="M3038">
        <v>51</v>
      </c>
      <c r="N3038">
        <v>662</v>
      </c>
      <c r="O3038">
        <f t="shared" si="94"/>
        <v>2024</v>
      </c>
      <c r="P3038">
        <f t="shared" si="95"/>
        <v>6</v>
      </c>
      <c r="Q3038" t="s">
        <v>325</v>
      </c>
      <c r="R3038" s="546" t="s">
        <v>804</v>
      </c>
    </row>
    <row r="3039" spans="1:18" x14ac:dyDescent="0.3">
      <c r="A3039" t="s">
        <v>627</v>
      </c>
      <c r="B3039" s="16">
        <v>45446</v>
      </c>
      <c r="C3039" t="s">
        <v>3</v>
      </c>
      <c r="D3039" t="s">
        <v>143</v>
      </c>
      <c r="E3039">
        <v>29</v>
      </c>
      <c r="F3039">
        <v>28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29</v>
      </c>
      <c r="O3039">
        <f t="shared" si="94"/>
        <v>2024</v>
      </c>
      <c r="P3039">
        <f t="shared" si="95"/>
        <v>6</v>
      </c>
      <c r="Q3039" t="s">
        <v>325</v>
      </c>
      <c r="R3039" s="546" t="s">
        <v>804</v>
      </c>
    </row>
    <row r="3040" spans="1:18" x14ac:dyDescent="0.3">
      <c r="A3040" t="s">
        <v>627</v>
      </c>
      <c r="B3040" s="16">
        <v>45446</v>
      </c>
      <c r="C3040" t="s">
        <v>3</v>
      </c>
      <c r="D3040" t="s">
        <v>142</v>
      </c>
      <c r="E3040">
        <v>37</v>
      </c>
      <c r="F3040">
        <v>8</v>
      </c>
      <c r="G3040">
        <v>0</v>
      </c>
      <c r="H3040">
        <v>0</v>
      </c>
      <c r="I3040">
        <v>3145</v>
      </c>
      <c r="J3040">
        <v>1</v>
      </c>
      <c r="K3040">
        <v>3145</v>
      </c>
      <c r="L3040">
        <v>1</v>
      </c>
      <c r="M3040">
        <v>2</v>
      </c>
      <c r="N3040">
        <v>37</v>
      </c>
      <c r="O3040">
        <f t="shared" si="94"/>
        <v>2024</v>
      </c>
      <c r="P3040">
        <f t="shared" si="95"/>
        <v>6</v>
      </c>
      <c r="Q3040" t="s">
        <v>325</v>
      </c>
      <c r="R3040" s="546" t="s">
        <v>804</v>
      </c>
    </row>
    <row r="3041" spans="1:18" x14ac:dyDescent="0.3">
      <c r="A3041" t="s">
        <v>627</v>
      </c>
      <c r="B3041" s="16">
        <v>45446</v>
      </c>
      <c r="C3041" t="s">
        <v>3</v>
      </c>
      <c r="D3041" t="s">
        <v>141</v>
      </c>
      <c r="E3041">
        <v>1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1</v>
      </c>
      <c r="O3041">
        <f t="shared" si="94"/>
        <v>2024</v>
      </c>
      <c r="P3041">
        <f t="shared" si="95"/>
        <v>6</v>
      </c>
      <c r="Q3041" t="s">
        <v>325</v>
      </c>
      <c r="R3041" s="546" t="s">
        <v>804</v>
      </c>
    </row>
    <row r="3042" spans="1:18" x14ac:dyDescent="0.3">
      <c r="A3042" t="s">
        <v>627</v>
      </c>
      <c r="B3042" s="16">
        <v>45446</v>
      </c>
      <c r="C3042" t="s">
        <v>3</v>
      </c>
      <c r="D3042" t="s">
        <v>140</v>
      </c>
      <c r="E3042">
        <v>7</v>
      </c>
      <c r="F3042">
        <v>6</v>
      </c>
      <c r="G3042">
        <v>2</v>
      </c>
      <c r="H3042">
        <v>1</v>
      </c>
      <c r="I3042">
        <v>49537</v>
      </c>
      <c r="J3042">
        <v>3</v>
      </c>
      <c r="K3042">
        <v>4975</v>
      </c>
      <c r="L3042">
        <v>2</v>
      </c>
      <c r="M3042">
        <v>0</v>
      </c>
      <c r="N3042">
        <v>7</v>
      </c>
      <c r="O3042">
        <f t="shared" si="94"/>
        <v>2024</v>
      </c>
      <c r="P3042">
        <f t="shared" si="95"/>
        <v>6</v>
      </c>
      <c r="Q3042" t="s">
        <v>325</v>
      </c>
      <c r="R3042" s="546" t="s">
        <v>804</v>
      </c>
    </row>
    <row r="3043" spans="1:18" x14ac:dyDescent="0.3">
      <c r="A3043" t="s">
        <v>627</v>
      </c>
      <c r="B3043" s="16">
        <v>45446</v>
      </c>
      <c r="C3043" t="s">
        <v>3</v>
      </c>
      <c r="D3043" t="s">
        <v>139</v>
      </c>
      <c r="E3043">
        <v>651</v>
      </c>
      <c r="F3043">
        <v>342</v>
      </c>
      <c r="G3043">
        <v>25</v>
      </c>
      <c r="H3043">
        <v>1</v>
      </c>
      <c r="I3043">
        <v>79575.78</v>
      </c>
      <c r="J3043">
        <v>19</v>
      </c>
      <c r="K3043">
        <v>67884.78</v>
      </c>
      <c r="L3043">
        <v>20</v>
      </c>
      <c r="M3043">
        <v>284</v>
      </c>
      <c r="N3043">
        <v>451</v>
      </c>
      <c r="O3043">
        <f t="shared" si="94"/>
        <v>2024</v>
      </c>
      <c r="P3043">
        <f t="shared" si="95"/>
        <v>6</v>
      </c>
      <c r="Q3043" t="s">
        <v>325</v>
      </c>
      <c r="R3043" s="546" t="s">
        <v>804</v>
      </c>
    </row>
    <row r="3044" spans="1:18" x14ac:dyDescent="0.3">
      <c r="A3044" t="s">
        <v>627</v>
      </c>
      <c r="B3044" s="16">
        <v>45446</v>
      </c>
      <c r="C3044" t="s">
        <v>3</v>
      </c>
      <c r="D3044" t="s">
        <v>138</v>
      </c>
      <c r="E3044">
        <v>68</v>
      </c>
      <c r="F3044">
        <v>46</v>
      </c>
      <c r="G3044">
        <v>2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11</v>
      </c>
      <c r="N3044">
        <v>67</v>
      </c>
      <c r="O3044">
        <f t="shared" si="94"/>
        <v>2024</v>
      </c>
      <c r="P3044">
        <f t="shared" si="95"/>
        <v>6</v>
      </c>
      <c r="Q3044" t="s">
        <v>325</v>
      </c>
      <c r="R3044" s="546" t="s">
        <v>804</v>
      </c>
    </row>
    <row r="3045" spans="1:18" x14ac:dyDescent="0.3">
      <c r="A3045" t="s">
        <v>627</v>
      </c>
      <c r="B3045" s="16">
        <v>45446</v>
      </c>
      <c r="C3045" t="s">
        <v>3</v>
      </c>
      <c r="D3045" t="s">
        <v>137</v>
      </c>
      <c r="E3045">
        <v>3</v>
      </c>
      <c r="F3045">
        <v>1</v>
      </c>
      <c r="G3045">
        <v>1</v>
      </c>
      <c r="H3045">
        <v>0</v>
      </c>
      <c r="I3045">
        <v>1917</v>
      </c>
      <c r="J3045">
        <v>1</v>
      </c>
      <c r="K3045">
        <v>1917</v>
      </c>
      <c r="L3045">
        <v>1</v>
      </c>
      <c r="M3045">
        <v>1</v>
      </c>
      <c r="N3045">
        <v>3</v>
      </c>
      <c r="O3045">
        <f t="shared" si="94"/>
        <v>2024</v>
      </c>
      <c r="P3045">
        <f t="shared" si="95"/>
        <v>6</v>
      </c>
      <c r="Q3045" t="s">
        <v>325</v>
      </c>
      <c r="R3045" s="546" t="s">
        <v>804</v>
      </c>
    </row>
    <row r="3046" spans="1:18" x14ac:dyDescent="0.3">
      <c r="A3046" t="s">
        <v>627</v>
      </c>
      <c r="B3046" s="16">
        <v>45446</v>
      </c>
      <c r="C3046" t="s">
        <v>3</v>
      </c>
      <c r="D3046" t="s">
        <v>135</v>
      </c>
      <c r="E3046">
        <v>6</v>
      </c>
      <c r="F3046">
        <v>4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2</v>
      </c>
      <c r="O3046">
        <f t="shared" si="94"/>
        <v>2024</v>
      </c>
      <c r="P3046">
        <f t="shared" si="95"/>
        <v>6</v>
      </c>
      <c r="Q3046" t="s">
        <v>325</v>
      </c>
      <c r="R3046" s="546" t="s">
        <v>804</v>
      </c>
    </row>
    <row r="3047" spans="1:18" x14ac:dyDescent="0.3">
      <c r="A3047" t="s">
        <v>627</v>
      </c>
      <c r="B3047" s="16">
        <v>45446</v>
      </c>
      <c r="C3047" t="s">
        <v>3</v>
      </c>
      <c r="D3047" t="s">
        <v>133</v>
      </c>
      <c r="E3047">
        <v>39</v>
      </c>
      <c r="F3047">
        <v>18</v>
      </c>
      <c r="G3047">
        <v>3</v>
      </c>
      <c r="H3047">
        <v>0</v>
      </c>
      <c r="I3047">
        <v>6912</v>
      </c>
      <c r="J3047">
        <v>2</v>
      </c>
      <c r="K3047">
        <v>6912</v>
      </c>
      <c r="L3047">
        <v>2</v>
      </c>
      <c r="M3047">
        <v>5</v>
      </c>
      <c r="N3047">
        <v>35</v>
      </c>
      <c r="O3047">
        <f t="shared" si="94"/>
        <v>2024</v>
      </c>
      <c r="P3047">
        <f t="shared" si="95"/>
        <v>6</v>
      </c>
      <c r="Q3047" t="s">
        <v>325</v>
      </c>
      <c r="R3047" s="546" t="s">
        <v>804</v>
      </c>
    </row>
    <row r="3048" spans="1:18" x14ac:dyDescent="0.3">
      <c r="A3048" t="s">
        <v>627</v>
      </c>
      <c r="B3048" s="16">
        <v>45446</v>
      </c>
      <c r="C3048" t="s">
        <v>3</v>
      </c>
      <c r="D3048" t="s">
        <v>131</v>
      </c>
      <c r="E3048">
        <v>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2</v>
      </c>
      <c r="O3048">
        <f t="shared" si="94"/>
        <v>2024</v>
      </c>
      <c r="P3048">
        <f t="shared" si="95"/>
        <v>6</v>
      </c>
      <c r="Q3048" t="s">
        <v>325</v>
      </c>
      <c r="R3048" s="546" t="s">
        <v>804</v>
      </c>
    </row>
    <row r="3049" spans="1:18" x14ac:dyDescent="0.3">
      <c r="A3049" t="s">
        <v>627</v>
      </c>
      <c r="B3049" s="16">
        <v>45446</v>
      </c>
      <c r="C3049" t="s">
        <v>3</v>
      </c>
      <c r="D3049" t="s">
        <v>130</v>
      </c>
      <c r="E3049">
        <v>328</v>
      </c>
      <c r="F3049">
        <v>131</v>
      </c>
      <c r="G3049">
        <v>28</v>
      </c>
      <c r="H3049">
        <v>6</v>
      </c>
      <c r="I3049">
        <v>60816.35</v>
      </c>
      <c r="J3049">
        <v>20</v>
      </c>
      <c r="K3049">
        <v>60816.35</v>
      </c>
      <c r="L3049">
        <v>20</v>
      </c>
      <c r="M3049">
        <v>77</v>
      </c>
      <c r="N3049">
        <v>314</v>
      </c>
      <c r="O3049">
        <f t="shared" si="94"/>
        <v>2024</v>
      </c>
      <c r="P3049">
        <f t="shared" si="95"/>
        <v>6</v>
      </c>
      <c r="Q3049" t="s">
        <v>325</v>
      </c>
      <c r="R3049" s="546" t="s">
        <v>804</v>
      </c>
    </row>
    <row r="3050" spans="1:18" x14ac:dyDescent="0.3">
      <c r="A3050" t="s">
        <v>627</v>
      </c>
      <c r="B3050" s="16">
        <v>45446</v>
      </c>
      <c r="C3050" t="s">
        <v>3</v>
      </c>
      <c r="D3050" t="s">
        <v>128</v>
      </c>
      <c r="E3050">
        <v>1025</v>
      </c>
      <c r="F3050">
        <v>783</v>
      </c>
      <c r="G3050">
        <v>97</v>
      </c>
      <c r="H3050">
        <v>13</v>
      </c>
      <c r="I3050">
        <v>108295.5</v>
      </c>
      <c r="J3050">
        <v>31</v>
      </c>
      <c r="K3050">
        <v>90705.5</v>
      </c>
      <c r="L3050">
        <v>29</v>
      </c>
      <c r="M3050">
        <v>304</v>
      </c>
      <c r="N3050">
        <v>913</v>
      </c>
      <c r="O3050">
        <f t="shared" si="94"/>
        <v>2024</v>
      </c>
      <c r="P3050">
        <f t="shared" si="95"/>
        <v>6</v>
      </c>
      <c r="Q3050" t="s">
        <v>325</v>
      </c>
      <c r="R3050" s="546" t="s">
        <v>804</v>
      </c>
    </row>
    <row r="3051" spans="1:18" x14ac:dyDescent="0.3">
      <c r="A3051" t="s">
        <v>627</v>
      </c>
      <c r="B3051" s="16">
        <v>45446</v>
      </c>
      <c r="C3051" t="s">
        <v>3</v>
      </c>
      <c r="D3051" t="s">
        <v>127</v>
      </c>
      <c r="E3051">
        <v>2202</v>
      </c>
      <c r="F3051">
        <v>1164</v>
      </c>
      <c r="G3051">
        <v>33</v>
      </c>
      <c r="H3051">
        <v>21</v>
      </c>
      <c r="I3051">
        <v>24967.56</v>
      </c>
      <c r="J3051">
        <v>10</v>
      </c>
      <c r="K3051">
        <v>23196.400000000001</v>
      </c>
      <c r="L3051">
        <v>10</v>
      </c>
      <c r="M3051">
        <v>194</v>
      </c>
      <c r="N3051">
        <v>1875</v>
      </c>
      <c r="O3051">
        <f t="shared" si="94"/>
        <v>2024</v>
      </c>
      <c r="P3051">
        <f t="shared" si="95"/>
        <v>6</v>
      </c>
      <c r="Q3051" t="s">
        <v>325</v>
      </c>
      <c r="R3051" s="546" t="s">
        <v>804</v>
      </c>
    </row>
    <row r="3052" spans="1:18" x14ac:dyDescent="0.3">
      <c r="A3052" t="s">
        <v>627</v>
      </c>
      <c r="B3052" s="16">
        <v>45446</v>
      </c>
      <c r="C3052" t="s">
        <v>3</v>
      </c>
      <c r="D3052" t="s">
        <v>126</v>
      </c>
      <c r="E3052">
        <v>84</v>
      </c>
      <c r="F3052">
        <v>55</v>
      </c>
      <c r="G3052">
        <v>4</v>
      </c>
      <c r="H3052">
        <v>1</v>
      </c>
      <c r="I3052">
        <v>0</v>
      </c>
      <c r="J3052">
        <v>0</v>
      </c>
      <c r="K3052">
        <v>0</v>
      </c>
      <c r="L3052">
        <v>0</v>
      </c>
      <c r="M3052">
        <v>18</v>
      </c>
      <c r="N3052">
        <v>81</v>
      </c>
      <c r="O3052">
        <f t="shared" si="94"/>
        <v>2024</v>
      </c>
      <c r="P3052">
        <f t="shared" si="95"/>
        <v>6</v>
      </c>
      <c r="Q3052" t="s">
        <v>325</v>
      </c>
      <c r="R3052" s="546" t="s">
        <v>804</v>
      </c>
    </row>
    <row r="3053" spans="1:18" x14ac:dyDescent="0.3">
      <c r="A3053" t="s">
        <v>627</v>
      </c>
      <c r="B3053" s="16">
        <v>45446</v>
      </c>
      <c r="C3053" t="s">
        <v>3</v>
      </c>
      <c r="D3053" t="s">
        <v>125</v>
      </c>
      <c r="E3053">
        <v>4</v>
      </c>
      <c r="F3053">
        <v>2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v>4</v>
      </c>
      <c r="O3053">
        <f t="shared" si="94"/>
        <v>2024</v>
      </c>
      <c r="P3053">
        <f t="shared" si="95"/>
        <v>6</v>
      </c>
      <c r="Q3053" t="s">
        <v>325</v>
      </c>
      <c r="R3053" s="546" t="s">
        <v>804</v>
      </c>
    </row>
    <row r="3054" spans="1:18" x14ac:dyDescent="0.3">
      <c r="A3054" t="s">
        <v>627</v>
      </c>
      <c r="B3054" s="16">
        <v>45446</v>
      </c>
      <c r="C3054" t="s">
        <v>3</v>
      </c>
      <c r="D3054" t="s">
        <v>123</v>
      </c>
      <c r="E3054">
        <v>124</v>
      </c>
      <c r="F3054">
        <v>62</v>
      </c>
      <c r="G3054">
        <v>6</v>
      </c>
      <c r="H3054">
        <v>1</v>
      </c>
      <c r="I3054">
        <v>23094.53</v>
      </c>
      <c r="J3054">
        <v>5</v>
      </c>
      <c r="K3054">
        <v>21323.37</v>
      </c>
      <c r="L3054">
        <v>5</v>
      </c>
      <c r="M3054">
        <v>53</v>
      </c>
      <c r="N3054">
        <v>98</v>
      </c>
      <c r="O3054">
        <f t="shared" si="94"/>
        <v>2024</v>
      </c>
      <c r="P3054">
        <f t="shared" si="95"/>
        <v>6</v>
      </c>
      <c r="Q3054" t="s">
        <v>325</v>
      </c>
      <c r="R3054" s="546" t="s">
        <v>804</v>
      </c>
    </row>
    <row r="3055" spans="1:18" x14ac:dyDescent="0.3">
      <c r="A3055" t="s">
        <v>627</v>
      </c>
      <c r="B3055" s="16">
        <v>45446</v>
      </c>
      <c r="C3055" t="s">
        <v>3</v>
      </c>
      <c r="D3055" t="s">
        <v>121</v>
      </c>
      <c r="E3055">
        <v>2</v>
      </c>
      <c r="F3055">
        <v>1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2</v>
      </c>
      <c r="O3055">
        <f t="shared" ref="O3055:O3118" si="96">YEAR(B3055)</f>
        <v>2024</v>
      </c>
      <c r="P3055">
        <f t="shared" ref="P3055:P3118" si="97">MONTH(B3055)</f>
        <v>6</v>
      </c>
      <c r="Q3055" t="s">
        <v>325</v>
      </c>
      <c r="R3055" s="546" t="s">
        <v>804</v>
      </c>
    </row>
    <row r="3056" spans="1:18" x14ac:dyDescent="0.3">
      <c r="A3056" t="s">
        <v>627</v>
      </c>
      <c r="B3056" s="16">
        <v>45446</v>
      </c>
      <c r="C3056" t="s">
        <v>3</v>
      </c>
      <c r="D3056" t="s">
        <v>120</v>
      </c>
      <c r="E3056">
        <v>598</v>
      </c>
      <c r="F3056">
        <v>350</v>
      </c>
      <c r="G3056">
        <v>8</v>
      </c>
      <c r="H3056">
        <v>0</v>
      </c>
      <c r="I3056">
        <v>14731</v>
      </c>
      <c r="J3056">
        <v>7</v>
      </c>
      <c r="K3056">
        <v>12751</v>
      </c>
      <c r="L3056">
        <v>7</v>
      </c>
      <c r="M3056">
        <v>73</v>
      </c>
      <c r="N3056">
        <v>591</v>
      </c>
      <c r="O3056">
        <f t="shared" si="96"/>
        <v>2024</v>
      </c>
      <c r="P3056">
        <f t="shared" si="97"/>
        <v>6</v>
      </c>
      <c r="Q3056" t="s">
        <v>325</v>
      </c>
      <c r="R3056" s="546" t="s">
        <v>804</v>
      </c>
    </row>
    <row r="3057" spans="1:18" x14ac:dyDescent="0.3">
      <c r="A3057" t="s">
        <v>627</v>
      </c>
      <c r="B3057" s="16">
        <v>45446</v>
      </c>
      <c r="C3057" t="s">
        <v>3</v>
      </c>
      <c r="D3057" t="s">
        <v>119</v>
      </c>
      <c r="E3057">
        <v>382</v>
      </c>
      <c r="F3057">
        <v>112</v>
      </c>
      <c r="G3057">
        <v>40</v>
      </c>
      <c r="H3057">
        <v>7</v>
      </c>
      <c r="I3057">
        <v>168793.41</v>
      </c>
      <c r="J3057">
        <v>37</v>
      </c>
      <c r="K3057">
        <v>114843.91</v>
      </c>
      <c r="L3057">
        <v>34</v>
      </c>
      <c r="M3057">
        <v>107</v>
      </c>
      <c r="N3057">
        <v>361</v>
      </c>
      <c r="O3057">
        <f t="shared" si="96"/>
        <v>2024</v>
      </c>
      <c r="P3057">
        <f t="shared" si="97"/>
        <v>6</v>
      </c>
      <c r="Q3057" t="s">
        <v>325</v>
      </c>
      <c r="R3057" s="546" t="s">
        <v>804</v>
      </c>
    </row>
    <row r="3058" spans="1:18" x14ac:dyDescent="0.3">
      <c r="A3058" t="s">
        <v>627</v>
      </c>
      <c r="B3058" s="16">
        <v>45446</v>
      </c>
      <c r="C3058" t="s">
        <v>3</v>
      </c>
      <c r="D3058" t="s">
        <v>115</v>
      </c>
      <c r="E3058">
        <v>6</v>
      </c>
      <c r="F3058">
        <v>1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6</v>
      </c>
      <c r="O3058">
        <f t="shared" si="96"/>
        <v>2024</v>
      </c>
      <c r="P3058">
        <f t="shared" si="97"/>
        <v>6</v>
      </c>
      <c r="Q3058" t="s">
        <v>325</v>
      </c>
      <c r="R3058" s="546" t="s">
        <v>804</v>
      </c>
    </row>
    <row r="3059" spans="1:18" x14ac:dyDescent="0.3">
      <c r="A3059" t="s">
        <v>627</v>
      </c>
      <c r="B3059" s="16">
        <v>45446</v>
      </c>
      <c r="C3059" t="s">
        <v>3</v>
      </c>
      <c r="D3059" t="s">
        <v>114</v>
      </c>
      <c r="E3059">
        <v>130</v>
      </c>
      <c r="F3059">
        <v>64</v>
      </c>
      <c r="G3059">
        <v>5</v>
      </c>
      <c r="H3059">
        <v>0</v>
      </c>
      <c r="I3059">
        <v>3980</v>
      </c>
      <c r="J3059">
        <v>1</v>
      </c>
      <c r="K3059">
        <v>3980</v>
      </c>
      <c r="L3059">
        <v>1</v>
      </c>
      <c r="M3059">
        <v>14</v>
      </c>
      <c r="N3059">
        <v>124</v>
      </c>
      <c r="O3059">
        <f t="shared" si="96"/>
        <v>2024</v>
      </c>
      <c r="P3059">
        <f t="shared" si="97"/>
        <v>6</v>
      </c>
      <c r="Q3059" t="s">
        <v>325</v>
      </c>
      <c r="R3059" s="546" t="s">
        <v>804</v>
      </c>
    </row>
    <row r="3060" spans="1:18" x14ac:dyDescent="0.3">
      <c r="A3060" t="s">
        <v>627</v>
      </c>
      <c r="B3060" s="16">
        <v>45446</v>
      </c>
      <c r="C3060" t="s">
        <v>3</v>
      </c>
      <c r="D3060" t="s">
        <v>113</v>
      </c>
      <c r="E3060">
        <v>124</v>
      </c>
      <c r="F3060">
        <v>56</v>
      </c>
      <c r="G3060">
        <v>2</v>
      </c>
      <c r="H3060">
        <v>0</v>
      </c>
      <c r="I3060">
        <v>991.16</v>
      </c>
      <c r="J3060">
        <v>1</v>
      </c>
      <c r="K3060">
        <v>991.16</v>
      </c>
      <c r="L3060">
        <v>1</v>
      </c>
      <c r="M3060">
        <v>94</v>
      </c>
      <c r="N3060">
        <v>58</v>
      </c>
      <c r="O3060">
        <f t="shared" si="96"/>
        <v>2024</v>
      </c>
      <c r="P3060">
        <f t="shared" si="97"/>
        <v>6</v>
      </c>
      <c r="Q3060" t="s">
        <v>325</v>
      </c>
      <c r="R3060" s="546" t="s">
        <v>804</v>
      </c>
    </row>
    <row r="3061" spans="1:18" x14ac:dyDescent="0.3">
      <c r="A3061" t="s">
        <v>627</v>
      </c>
      <c r="B3061" s="16">
        <v>45446</v>
      </c>
      <c r="C3061" t="s">
        <v>3</v>
      </c>
      <c r="D3061" t="s">
        <v>112</v>
      </c>
      <c r="E3061">
        <v>20</v>
      </c>
      <c r="F3061">
        <v>6</v>
      </c>
      <c r="G3061">
        <v>1</v>
      </c>
      <c r="H3061">
        <v>1</v>
      </c>
      <c r="I3061">
        <v>6475</v>
      </c>
      <c r="J3061">
        <v>2</v>
      </c>
      <c r="K3061">
        <v>6475</v>
      </c>
      <c r="L3061">
        <v>2</v>
      </c>
      <c r="M3061">
        <v>0</v>
      </c>
      <c r="N3061">
        <v>20</v>
      </c>
      <c r="O3061">
        <f t="shared" si="96"/>
        <v>2024</v>
      </c>
      <c r="P3061">
        <f t="shared" si="97"/>
        <v>6</v>
      </c>
      <c r="Q3061" t="s">
        <v>325</v>
      </c>
      <c r="R3061" s="546" t="s">
        <v>804</v>
      </c>
    </row>
    <row r="3062" spans="1:18" x14ac:dyDescent="0.3">
      <c r="A3062" t="s">
        <v>627</v>
      </c>
      <c r="B3062" s="16">
        <v>45446</v>
      </c>
      <c r="C3062" t="s">
        <v>3</v>
      </c>
      <c r="D3062" t="s">
        <v>111</v>
      </c>
      <c r="E3062">
        <v>8</v>
      </c>
      <c r="F3062">
        <v>8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8</v>
      </c>
      <c r="O3062">
        <f t="shared" si="96"/>
        <v>2024</v>
      </c>
      <c r="P3062">
        <f t="shared" si="97"/>
        <v>6</v>
      </c>
      <c r="Q3062" t="s">
        <v>325</v>
      </c>
      <c r="R3062" s="546" t="s">
        <v>804</v>
      </c>
    </row>
    <row r="3063" spans="1:18" x14ac:dyDescent="0.3">
      <c r="A3063" t="s">
        <v>627</v>
      </c>
      <c r="B3063" s="16">
        <v>45445</v>
      </c>
      <c r="C3063" t="s">
        <v>2</v>
      </c>
      <c r="D3063" t="s">
        <v>4</v>
      </c>
      <c r="E3063">
        <v>447</v>
      </c>
      <c r="F3063">
        <v>149</v>
      </c>
      <c r="G3063">
        <v>6</v>
      </c>
      <c r="H3063">
        <v>1</v>
      </c>
      <c r="I3063">
        <v>11818.58</v>
      </c>
      <c r="J3063">
        <v>4</v>
      </c>
      <c r="K3063">
        <v>11818.58</v>
      </c>
      <c r="L3063">
        <v>4</v>
      </c>
      <c r="M3063">
        <v>16</v>
      </c>
      <c r="N3063">
        <v>436</v>
      </c>
      <c r="O3063">
        <f t="shared" si="96"/>
        <v>2024</v>
      </c>
      <c r="P3063">
        <f t="shared" si="97"/>
        <v>6</v>
      </c>
      <c r="Q3063" t="s">
        <v>325</v>
      </c>
      <c r="R3063" s="546" t="s">
        <v>804</v>
      </c>
    </row>
    <row r="3064" spans="1:18" x14ac:dyDescent="0.3">
      <c r="A3064" t="s">
        <v>627</v>
      </c>
      <c r="B3064" s="16">
        <v>45445</v>
      </c>
      <c r="C3064" t="s">
        <v>2</v>
      </c>
      <c r="D3064" t="s">
        <v>57</v>
      </c>
      <c r="E3064">
        <v>20529</v>
      </c>
      <c r="F3064">
        <v>12149</v>
      </c>
      <c r="G3064">
        <v>201</v>
      </c>
      <c r="H3064">
        <v>103</v>
      </c>
      <c r="I3064">
        <v>137364.32</v>
      </c>
      <c r="J3064">
        <v>43</v>
      </c>
      <c r="K3064">
        <v>91808.320000000007</v>
      </c>
      <c r="L3064">
        <v>32</v>
      </c>
      <c r="M3064">
        <v>887</v>
      </c>
      <c r="N3064">
        <v>20487</v>
      </c>
      <c r="O3064">
        <f t="shared" si="96"/>
        <v>2024</v>
      </c>
      <c r="P3064">
        <f t="shared" si="97"/>
        <v>6</v>
      </c>
      <c r="Q3064" t="s">
        <v>325</v>
      </c>
      <c r="R3064" s="546" t="s">
        <v>804</v>
      </c>
    </row>
    <row r="3065" spans="1:18" x14ac:dyDescent="0.3">
      <c r="A3065" t="s">
        <v>627</v>
      </c>
      <c r="B3065" s="16">
        <v>45445</v>
      </c>
      <c r="C3065" t="s">
        <v>2</v>
      </c>
      <c r="D3065" t="s">
        <v>52</v>
      </c>
      <c r="E3065">
        <v>2073</v>
      </c>
      <c r="F3065">
        <v>1625</v>
      </c>
      <c r="G3065">
        <v>35</v>
      </c>
      <c r="H3065">
        <v>5</v>
      </c>
      <c r="I3065">
        <v>35824.5</v>
      </c>
      <c r="J3065">
        <v>11</v>
      </c>
      <c r="K3065">
        <v>35824.5</v>
      </c>
      <c r="L3065">
        <v>11</v>
      </c>
      <c r="M3065">
        <v>2072</v>
      </c>
      <c r="N3065">
        <v>565</v>
      </c>
      <c r="O3065">
        <f t="shared" si="96"/>
        <v>2024</v>
      </c>
      <c r="P3065">
        <f t="shared" si="97"/>
        <v>6</v>
      </c>
      <c r="Q3065" t="s">
        <v>325</v>
      </c>
      <c r="R3065" s="546" t="s">
        <v>804</v>
      </c>
    </row>
    <row r="3066" spans="1:18" x14ac:dyDescent="0.3">
      <c r="A3066" t="s">
        <v>627</v>
      </c>
      <c r="B3066" s="16">
        <v>45445</v>
      </c>
      <c r="C3066" t="s">
        <v>2</v>
      </c>
      <c r="D3066" t="s">
        <v>55</v>
      </c>
      <c r="E3066">
        <v>1620</v>
      </c>
      <c r="F3066">
        <v>1184</v>
      </c>
      <c r="G3066">
        <v>4</v>
      </c>
      <c r="H3066">
        <v>2</v>
      </c>
      <c r="I3066">
        <v>0</v>
      </c>
      <c r="J3066">
        <v>0</v>
      </c>
      <c r="K3066">
        <v>0</v>
      </c>
      <c r="L3066">
        <v>0</v>
      </c>
      <c r="M3066">
        <v>20</v>
      </c>
      <c r="N3066">
        <v>400</v>
      </c>
      <c r="O3066">
        <f t="shared" si="96"/>
        <v>2024</v>
      </c>
      <c r="P3066">
        <f t="shared" si="97"/>
        <v>6</v>
      </c>
      <c r="Q3066" t="s">
        <v>325</v>
      </c>
      <c r="R3066" s="546" t="s">
        <v>804</v>
      </c>
    </row>
    <row r="3067" spans="1:18" x14ac:dyDescent="0.3">
      <c r="A3067" t="s">
        <v>627</v>
      </c>
      <c r="B3067" s="16">
        <v>45445</v>
      </c>
      <c r="C3067" t="s">
        <v>3</v>
      </c>
      <c r="D3067" t="s">
        <v>155</v>
      </c>
      <c r="E3067">
        <v>7</v>
      </c>
      <c r="F3067">
        <v>7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7</v>
      </c>
      <c r="O3067">
        <f t="shared" si="96"/>
        <v>2024</v>
      </c>
      <c r="P3067">
        <f t="shared" si="97"/>
        <v>6</v>
      </c>
      <c r="Q3067" t="s">
        <v>325</v>
      </c>
      <c r="R3067" s="546" t="s">
        <v>804</v>
      </c>
    </row>
    <row r="3068" spans="1:18" x14ac:dyDescent="0.3">
      <c r="A3068" t="s">
        <v>627</v>
      </c>
      <c r="B3068" s="16">
        <v>45445</v>
      </c>
      <c r="C3068" t="s">
        <v>3</v>
      </c>
      <c r="D3068" t="s">
        <v>154</v>
      </c>
      <c r="E3068">
        <v>423</v>
      </c>
      <c r="F3068">
        <v>400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1</v>
      </c>
      <c r="N3068">
        <v>3</v>
      </c>
      <c r="O3068">
        <f t="shared" si="96"/>
        <v>2024</v>
      </c>
      <c r="P3068">
        <f t="shared" si="97"/>
        <v>6</v>
      </c>
      <c r="Q3068" t="s">
        <v>325</v>
      </c>
      <c r="R3068" s="546" t="s">
        <v>804</v>
      </c>
    </row>
    <row r="3069" spans="1:18" x14ac:dyDescent="0.3">
      <c r="A3069" t="s">
        <v>627</v>
      </c>
      <c r="B3069" s="16">
        <v>45445</v>
      </c>
      <c r="C3069" t="s">
        <v>3</v>
      </c>
      <c r="D3069" t="s">
        <v>153</v>
      </c>
      <c r="E3069">
        <v>450</v>
      </c>
      <c r="F3069">
        <v>150</v>
      </c>
      <c r="G3069">
        <v>60</v>
      </c>
      <c r="H3069">
        <v>5</v>
      </c>
      <c r="I3069">
        <v>158130.46</v>
      </c>
      <c r="J3069">
        <v>51</v>
      </c>
      <c r="K3069">
        <v>129145.46</v>
      </c>
      <c r="L3069">
        <v>46</v>
      </c>
      <c r="M3069">
        <v>133</v>
      </c>
      <c r="N3069">
        <v>434</v>
      </c>
      <c r="O3069">
        <f t="shared" si="96"/>
        <v>2024</v>
      </c>
      <c r="P3069">
        <f t="shared" si="97"/>
        <v>6</v>
      </c>
      <c r="Q3069" t="s">
        <v>325</v>
      </c>
      <c r="R3069" s="546" t="s">
        <v>804</v>
      </c>
    </row>
    <row r="3070" spans="1:18" x14ac:dyDescent="0.3">
      <c r="A3070" t="s">
        <v>627</v>
      </c>
      <c r="B3070" s="16">
        <v>45445</v>
      </c>
      <c r="C3070" t="s">
        <v>3</v>
      </c>
      <c r="D3070" t="s">
        <v>152</v>
      </c>
      <c r="E3070">
        <v>17</v>
      </c>
      <c r="F3070">
        <v>1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12</v>
      </c>
      <c r="O3070">
        <f t="shared" si="96"/>
        <v>2024</v>
      </c>
      <c r="P3070">
        <f t="shared" si="97"/>
        <v>6</v>
      </c>
      <c r="Q3070" t="s">
        <v>325</v>
      </c>
      <c r="R3070" s="546" t="s">
        <v>804</v>
      </c>
    </row>
    <row r="3071" spans="1:18" x14ac:dyDescent="0.3">
      <c r="A3071" t="s">
        <v>627</v>
      </c>
      <c r="B3071" s="16">
        <v>45445</v>
      </c>
      <c r="C3071" t="s">
        <v>3</v>
      </c>
      <c r="D3071" t="s">
        <v>150</v>
      </c>
      <c r="E3071">
        <v>6</v>
      </c>
      <c r="F3071">
        <v>2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6</v>
      </c>
      <c r="O3071">
        <f t="shared" si="96"/>
        <v>2024</v>
      </c>
      <c r="P3071">
        <f t="shared" si="97"/>
        <v>6</v>
      </c>
      <c r="Q3071" t="s">
        <v>325</v>
      </c>
      <c r="R3071" s="546" t="s">
        <v>804</v>
      </c>
    </row>
    <row r="3072" spans="1:18" x14ac:dyDescent="0.3">
      <c r="A3072" t="s">
        <v>627</v>
      </c>
      <c r="B3072" s="16">
        <v>45445</v>
      </c>
      <c r="C3072" t="s">
        <v>3</v>
      </c>
      <c r="D3072" t="s">
        <v>149</v>
      </c>
      <c r="E3072">
        <v>46</v>
      </c>
      <c r="F3072">
        <v>20</v>
      </c>
      <c r="G3072">
        <v>1</v>
      </c>
      <c r="H3072">
        <v>0</v>
      </c>
      <c r="I3072">
        <v>2995</v>
      </c>
      <c r="J3072">
        <v>1</v>
      </c>
      <c r="K3072">
        <v>0</v>
      </c>
      <c r="L3072">
        <v>0</v>
      </c>
      <c r="M3072">
        <v>7</v>
      </c>
      <c r="N3072">
        <v>26</v>
      </c>
      <c r="O3072">
        <f t="shared" si="96"/>
        <v>2024</v>
      </c>
      <c r="P3072">
        <f t="shared" si="97"/>
        <v>6</v>
      </c>
      <c r="Q3072" t="s">
        <v>325</v>
      </c>
      <c r="R3072" s="546" t="s">
        <v>804</v>
      </c>
    </row>
    <row r="3073" spans="1:18" x14ac:dyDescent="0.3">
      <c r="A3073" t="s">
        <v>627</v>
      </c>
      <c r="B3073" s="16">
        <v>45445</v>
      </c>
      <c r="C3073" t="s">
        <v>3</v>
      </c>
      <c r="D3073" t="s">
        <v>148</v>
      </c>
      <c r="E3073">
        <v>1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1</v>
      </c>
      <c r="O3073">
        <f t="shared" si="96"/>
        <v>2024</v>
      </c>
      <c r="P3073">
        <f t="shared" si="97"/>
        <v>6</v>
      </c>
      <c r="Q3073" t="s">
        <v>325</v>
      </c>
      <c r="R3073" s="546" t="s">
        <v>804</v>
      </c>
    </row>
    <row r="3074" spans="1:18" x14ac:dyDescent="0.3">
      <c r="A3074" t="s">
        <v>627</v>
      </c>
      <c r="B3074" s="16">
        <v>45445</v>
      </c>
      <c r="C3074" t="s">
        <v>3</v>
      </c>
      <c r="D3074" t="s">
        <v>147</v>
      </c>
      <c r="E3074">
        <v>36</v>
      </c>
      <c r="F3074">
        <v>28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1</v>
      </c>
      <c r="N3074">
        <v>36</v>
      </c>
      <c r="O3074">
        <f t="shared" si="96"/>
        <v>2024</v>
      </c>
      <c r="P3074">
        <f t="shared" si="97"/>
        <v>6</v>
      </c>
      <c r="Q3074" t="s">
        <v>325</v>
      </c>
      <c r="R3074" s="546" t="s">
        <v>804</v>
      </c>
    </row>
    <row r="3075" spans="1:18" x14ac:dyDescent="0.3">
      <c r="A3075" t="s">
        <v>627</v>
      </c>
      <c r="B3075" s="16">
        <v>45445</v>
      </c>
      <c r="C3075" t="s">
        <v>3</v>
      </c>
      <c r="D3075" t="s">
        <v>251</v>
      </c>
      <c r="E3075">
        <v>2517</v>
      </c>
      <c r="F3075">
        <v>1539</v>
      </c>
      <c r="G3075">
        <v>15</v>
      </c>
      <c r="H3075">
        <v>3</v>
      </c>
      <c r="I3075">
        <v>16940.349999999999</v>
      </c>
      <c r="J3075">
        <v>6</v>
      </c>
      <c r="K3075">
        <v>7133.35</v>
      </c>
      <c r="L3075">
        <v>4</v>
      </c>
      <c r="M3075">
        <v>58</v>
      </c>
      <c r="N3075">
        <v>813</v>
      </c>
      <c r="O3075">
        <f t="shared" si="96"/>
        <v>2024</v>
      </c>
      <c r="P3075">
        <f t="shared" si="97"/>
        <v>6</v>
      </c>
      <c r="Q3075" t="s">
        <v>325</v>
      </c>
      <c r="R3075" s="546" t="s">
        <v>804</v>
      </c>
    </row>
    <row r="3076" spans="1:18" x14ac:dyDescent="0.3">
      <c r="A3076" t="s">
        <v>627</v>
      </c>
      <c r="B3076" s="16">
        <v>45445</v>
      </c>
      <c r="C3076" t="s">
        <v>3</v>
      </c>
      <c r="D3076" t="s">
        <v>143</v>
      </c>
      <c r="E3076">
        <v>10</v>
      </c>
      <c r="F3076">
        <v>8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10</v>
      </c>
      <c r="O3076">
        <f t="shared" si="96"/>
        <v>2024</v>
      </c>
      <c r="P3076">
        <f t="shared" si="97"/>
        <v>6</v>
      </c>
      <c r="Q3076" t="s">
        <v>325</v>
      </c>
      <c r="R3076" s="546" t="s">
        <v>804</v>
      </c>
    </row>
    <row r="3077" spans="1:18" x14ac:dyDescent="0.3">
      <c r="A3077" t="s">
        <v>627</v>
      </c>
      <c r="B3077" s="16">
        <v>45445</v>
      </c>
      <c r="C3077" t="s">
        <v>3</v>
      </c>
      <c r="D3077" t="s">
        <v>142</v>
      </c>
      <c r="E3077">
        <v>27</v>
      </c>
      <c r="F3077">
        <v>8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2</v>
      </c>
      <c r="N3077">
        <v>27</v>
      </c>
      <c r="O3077">
        <f t="shared" si="96"/>
        <v>2024</v>
      </c>
      <c r="P3077">
        <f t="shared" si="97"/>
        <v>6</v>
      </c>
      <c r="Q3077" t="s">
        <v>325</v>
      </c>
      <c r="R3077" s="546" t="s">
        <v>804</v>
      </c>
    </row>
    <row r="3078" spans="1:18" x14ac:dyDescent="0.3">
      <c r="A3078" t="s">
        <v>627</v>
      </c>
      <c r="B3078" s="16">
        <v>45445</v>
      </c>
      <c r="C3078" t="s">
        <v>3</v>
      </c>
      <c r="D3078" t="s">
        <v>140</v>
      </c>
      <c r="E3078">
        <v>8</v>
      </c>
      <c r="F3078">
        <v>6</v>
      </c>
      <c r="G3078">
        <v>2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8</v>
      </c>
      <c r="O3078">
        <f t="shared" si="96"/>
        <v>2024</v>
      </c>
      <c r="P3078">
        <f t="shared" si="97"/>
        <v>6</v>
      </c>
      <c r="Q3078" t="s">
        <v>325</v>
      </c>
      <c r="R3078" s="546" t="s">
        <v>804</v>
      </c>
    </row>
    <row r="3079" spans="1:18" x14ac:dyDescent="0.3">
      <c r="A3079" t="s">
        <v>627</v>
      </c>
      <c r="B3079" s="16">
        <v>45445</v>
      </c>
      <c r="C3079" t="s">
        <v>3</v>
      </c>
      <c r="D3079" t="s">
        <v>139</v>
      </c>
      <c r="E3079">
        <v>665</v>
      </c>
      <c r="F3079">
        <v>369</v>
      </c>
      <c r="G3079">
        <v>36</v>
      </c>
      <c r="H3079">
        <v>5</v>
      </c>
      <c r="I3079">
        <v>64680.59</v>
      </c>
      <c r="J3079">
        <v>17</v>
      </c>
      <c r="K3079">
        <v>28853.59</v>
      </c>
      <c r="L3079">
        <v>13</v>
      </c>
      <c r="M3079">
        <v>315</v>
      </c>
      <c r="N3079">
        <v>483</v>
      </c>
      <c r="O3079">
        <f t="shared" si="96"/>
        <v>2024</v>
      </c>
      <c r="P3079">
        <f t="shared" si="97"/>
        <v>6</v>
      </c>
      <c r="Q3079" t="s">
        <v>325</v>
      </c>
      <c r="R3079" s="546" t="s">
        <v>804</v>
      </c>
    </row>
    <row r="3080" spans="1:18" x14ac:dyDescent="0.3">
      <c r="A3080" t="s">
        <v>627</v>
      </c>
      <c r="B3080" s="16">
        <v>45445</v>
      </c>
      <c r="C3080" t="s">
        <v>3</v>
      </c>
      <c r="D3080" t="s">
        <v>138</v>
      </c>
      <c r="E3080">
        <v>42</v>
      </c>
      <c r="F3080">
        <v>27</v>
      </c>
      <c r="G3080">
        <v>1</v>
      </c>
      <c r="H3080">
        <v>0</v>
      </c>
      <c r="I3080">
        <v>2237</v>
      </c>
      <c r="J3080">
        <v>1</v>
      </c>
      <c r="K3080">
        <v>0</v>
      </c>
      <c r="L3080">
        <v>0</v>
      </c>
      <c r="M3080">
        <v>4</v>
      </c>
      <c r="N3080">
        <v>41</v>
      </c>
      <c r="O3080">
        <f t="shared" si="96"/>
        <v>2024</v>
      </c>
      <c r="P3080">
        <f t="shared" si="97"/>
        <v>6</v>
      </c>
      <c r="Q3080" t="s">
        <v>325</v>
      </c>
      <c r="R3080" s="546" t="s">
        <v>804</v>
      </c>
    </row>
    <row r="3081" spans="1:18" x14ac:dyDescent="0.3">
      <c r="A3081" t="s">
        <v>627</v>
      </c>
      <c r="B3081" s="16">
        <v>45445</v>
      </c>
      <c r="C3081" t="s">
        <v>3</v>
      </c>
      <c r="D3081" t="s">
        <v>137</v>
      </c>
      <c r="E3081">
        <v>5</v>
      </c>
      <c r="F3081">
        <v>2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2</v>
      </c>
      <c r="N3081">
        <v>5</v>
      </c>
      <c r="O3081">
        <f t="shared" si="96"/>
        <v>2024</v>
      </c>
      <c r="P3081">
        <f t="shared" si="97"/>
        <v>6</v>
      </c>
      <c r="Q3081" t="s">
        <v>325</v>
      </c>
      <c r="R3081" s="546" t="s">
        <v>804</v>
      </c>
    </row>
    <row r="3082" spans="1:18" x14ac:dyDescent="0.3">
      <c r="A3082" t="s">
        <v>627</v>
      </c>
      <c r="B3082" s="16">
        <v>45445</v>
      </c>
      <c r="C3082" t="s">
        <v>3</v>
      </c>
      <c r="D3082" t="s">
        <v>135</v>
      </c>
      <c r="E3082">
        <v>5</v>
      </c>
      <c r="F3082">
        <v>4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1</v>
      </c>
      <c r="O3082">
        <f t="shared" si="96"/>
        <v>2024</v>
      </c>
      <c r="P3082">
        <f t="shared" si="97"/>
        <v>6</v>
      </c>
      <c r="Q3082" t="s">
        <v>325</v>
      </c>
      <c r="R3082" s="546" t="s">
        <v>804</v>
      </c>
    </row>
    <row r="3083" spans="1:18" x14ac:dyDescent="0.3">
      <c r="A3083" t="s">
        <v>627</v>
      </c>
      <c r="B3083" s="16">
        <v>45445</v>
      </c>
      <c r="C3083" t="s">
        <v>3</v>
      </c>
      <c r="D3083" t="s">
        <v>133</v>
      </c>
      <c r="E3083">
        <v>51</v>
      </c>
      <c r="F3083">
        <v>25</v>
      </c>
      <c r="G3083">
        <v>1</v>
      </c>
      <c r="H3083">
        <v>0</v>
      </c>
      <c r="I3083">
        <v>2996</v>
      </c>
      <c r="J3083">
        <v>2</v>
      </c>
      <c r="K3083">
        <v>2996</v>
      </c>
      <c r="L3083">
        <v>2</v>
      </c>
      <c r="M3083">
        <v>7</v>
      </c>
      <c r="N3083">
        <v>46</v>
      </c>
      <c r="O3083">
        <f t="shared" si="96"/>
        <v>2024</v>
      </c>
      <c r="P3083">
        <f t="shared" si="97"/>
        <v>6</v>
      </c>
      <c r="Q3083" t="s">
        <v>325</v>
      </c>
      <c r="R3083" s="546" t="s">
        <v>804</v>
      </c>
    </row>
    <row r="3084" spans="1:18" x14ac:dyDescent="0.3">
      <c r="A3084" t="s">
        <v>627</v>
      </c>
      <c r="B3084" s="16">
        <v>45445</v>
      </c>
      <c r="C3084" t="s">
        <v>3</v>
      </c>
      <c r="D3084" t="s">
        <v>132</v>
      </c>
      <c r="E3084">
        <v>2</v>
      </c>
      <c r="F3084">
        <v>2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2</v>
      </c>
      <c r="O3084">
        <f t="shared" si="96"/>
        <v>2024</v>
      </c>
      <c r="P3084">
        <f t="shared" si="97"/>
        <v>6</v>
      </c>
      <c r="Q3084" t="s">
        <v>325</v>
      </c>
      <c r="R3084" s="546" t="s">
        <v>804</v>
      </c>
    </row>
    <row r="3085" spans="1:18" x14ac:dyDescent="0.3">
      <c r="A3085" t="s">
        <v>627</v>
      </c>
      <c r="B3085" s="16">
        <v>45445</v>
      </c>
      <c r="C3085" t="s">
        <v>3</v>
      </c>
      <c r="D3085" t="s">
        <v>131</v>
      </c>
      <c r="E3085">
        <v>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2</v>
      </c>
      <c r="O3085">
        <f t="shared" si="96"/>
        <v>2024</v>
      </c>
      <c r="P3085">
        <f t="shared" si="97"/>
        <v>6</v>
      </c>
      <c r="Q3085" t="s">
        <v>325</v>
      </c>
      <c r="R3085" s="546" t="s">
        <v>804</v>
      </c>
    </row>
    <row r="3086" spans="1:18" x14ac:dyDescent="0.3">
      <c r="A3086" t="s">
        <v>627</v>
      </c>
      <c r="B3086" s="16">
        <v>45445</v>
      </c>
      <c r="C3086" t="s">
        <v>3</v>
      </c>
      <c r="D3086" t="s">
        <v>130</v>
      </c>
      <c r="E3086">
        <v>78</v>
      </c>
      <c r="F3086">
        <v>34</v>
      </c>
      <c r="G3086">
        <v>9</v>
      </c>
      <c r="H3086">
        <v>3</v>
      </c>
      <c r="I3086">
        <v>21900</v>
      </c>
      <c r="J3086">
        <v>10</v>
      </c>
      <c r="K3086">
        <v>14229</v>
      </c>
      <c r="L3086">
        <v>8</v>
      </c>
      <c r="M3086">
        <v>34</v>
      </c>
      <c r="N3086">
        <v>68</v>
      </c>
      <c r="O3086">
        <f t="shared" si="96"/>
        <v>2024</v>
      </c>
      <c r="P3086">
        <f t="shared" si="97"/>
        <v>6</v>
      </c>
      <c r="Q3086" t="s">
        <v>325</v>
      </c>
      <c r="R3086" s="546" t="s">
        <v>804</v>
      </c>
    </row>
    <row r="3087" spans="1:18" x14ac:dyDescent="0.3">
      <c r="A3087" t="s">
        <v>627</v>
      </c>
      <c r="B3087" s="16">
        <v>45445</v>
      </c>
      <c r="C3087" t="s">
        <v>3</v>
      </c>
      <c r="D3087" t="s">
        <v>128</v>
      </c>
      <c r="E3087">
        <v>970</v>
      </c>
      <c r="F3087">
        <v>737</v>
      </c>
      <c r="G3087">
        <v>101</v>
      </c>
      <c r="H3087">
        <v>12</v>
      </c>
      <c r="I3087">
        <v>74202.080000000002</v>
      </c>
      <c r="J3087">
        <v>25</v>
      </c>
      <c r="K3087">
        <v>65452.58</v>
      </c>
      <c r="L3087">
        <v>22</v>
      </c>
      <c r="M3087">
        <v>303</v>
      </c>
      <c r="N3087">
        <v>876</v>
      </c>
      <c r="O3087">
        <f t="shared" si="96"/>
        <v>2024</v>
      </c>
      <c r="P3087">
        <f t="shared" si="97"/>
        <v>6</v>
      </c>
      <c r="Q3087" t="s">
        <v>325</v>
      </c>
      <c r="R3087" s="546" t="s">
        <v>804</v>
      </c>
    </row>
    <row r="3088" spans="1:18" x14ac:dyDescent="0.3">
      <c r="A3088" t="s">
        <v>627</v>
      </c>
      <c r="B3088" s="16">
        <v>45445</v>
      </c>
      <c r="C3088" t="s">
        <v>3</v>
      </c>
      <c r="D3088" t="s">
        <v>127</v>
      </c>
      <c r="E3088">
        <v>2259</v>
      </c>
      <c r="F3088">
        <v>1097</v>
      </c>
      <c r="G3088">
        <v>57</v>
      </c>
      <c r="H3088">
        <v>15</v>
      </c>
      <c r="I3088">
        <v>27206.5</v>
      </c>
      <c r="J3088">
        <v>12</v>
      </c>
      <c r="K3088">
        <v>27206.5</v>
      </c>
      <c r="L3088">
        <v>12</v>
      </c>
      <c r="M3088">
        <v>234</v>
      </c>
      <c r="N3088">
        <v>1970</v>
      </c>
      <c r="O3088">
        <f t="shared" si="96"/>
        <v>2024</v>
      </c>
      <c r="P3088">
        <f t="shared" si="97"/>
        <v>6</v>
      </c>
      <c r="Q3088" t="s">
        <v>325</v>
      </c>
      <c r="R3088" s="546" t="s">
        <v>804</v>
      </c>
    </row>
    <row r="3089" spans="1:18" x14ac:dyDescent="0.3">
      <c r="A3089" t="s">
        <v>627</v>
      </c>
      <c r="B3089" s="16">
        <v>45445</v>
      </c>
      <c r="C3089" t="s">
        <v>3</v>
      </c>
      <c r="D3089" t="s">
        <v>126</v>
      </c>
      <c r="E3089">
        <v>77</v>
      </c>
      <c r="F3089">
        <v>50</v>
      </c>
      <c r="G3089">
        <v>2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13</v>
      </c>
      <c r="N3089">
        <v>74</v>
      </c>
      <c r="O3089">
        <f t="shared" si="96"/>
        <v>2024</v>
      </c>
      <c r="P3089">
        <f t="shared" si="97"/>
        <v>6</v>
      </c>
      <c r="Q3089" t="s">
        <v>325</v>
      </c>
      <c r="R3089" s="546" t="s">
        <v>804</v>
      </c>
    </row>
    <row r="3090" spans="1:18" x14ac:dyDescent="0.3">
      <c r="A3090" t="s">
        <v>627</v>
      </c>
      <c r="B3090" s="16">
        <v>45445</v>
      </c>
      <c r="C3090" t="s">
        <v>3</v>
      </c>
      <c r="D3090" t="s">
        <v>125</v>
      </c>
      <c r="E3090">
        <v>6</v>
      </c>
      <c r="F3090">
        <v>3</v>
      </c>
      <c r="G3090">
        <v>0</v>
      </c>
      <c r="H3090">
        <v>0</v>
      </c>
      <c r="I3090">
        <v>1498</v>
      </c>
      <c r="J3090">
        <v>1</v>
      </c>
      <c r="K3090">
        <v>1498</v>
      </c>
      <c r="L3090">
        <v>1</v>
      </c>
      <c r="M3090">
        <v>2</v>
      </c>
      <c r="N3090">
        <v>6</v>
      </c>
      <c r="O3090">
        <f t="shared" si="96"/>
        <v>2024</v>
      </c>
      <c r="P3090">
        <f t="shared" si="97"/>
        <v>6</v>
      </c>
      <c r="Q3090" t="s">
        <v>325</v>
      </c>
      <c r="R3090" s="546" t="s">
        <v>804</v>
      </c>
    </row>
    <row r="3091" spans="1:18" x14ac:dyDescent="0.3">
      <c r="A3091" t="s">
        <v>627</v>
      </c>
      <c r="B3091" s="16">
        <v>45445</v>
      </c>
      <c r="C3091" t="s">
        <v>3</v>
      </c>
      <c r="D3091" t="s">
        <v>123</v>
      </c>
      <c r="E3091">
        <v>162</v>
      </c>
      <c r="F3091">
        <v>72</v>
      </c>
      <c r="G3091">
        <v>9</v>
      </c>
      <c r="H3091">
        <v>4</v>
      </c>
      <c r="I3091">
        <v>4898</v>
      </c>
      <c r="J3091">
        <v>2</v>
      </c>
      <c r="K3091">
        <v>4898</v>
      </c>
      <c r="L3091">
        <v>2</v>
      </c>
      <c r="M3091">
        <v>62</v>
      </c>
      <c r="N3091">
        <v>141</v>
      </c>
      <c r="O3091">
        <f t="shared" si="96"/>
        <v>2024</v>
      </c>
      <c r="P3091">
        <f t="shared" si="97"/>
        <v>6</v>
      </c>
      <c r="Q3091" t="s">
        <v>325</v>
      </c>
      <c r="R3091" s="546" t="s">
        <v>804</v>
      </c>
    </row>
    <row r="3092" spans="1:18" x14ac:dyDescent="0.3">
      <c r="A3092" t="s">
        <v>627</v>
      </c>
      <c r="B3092" s="16">
        <v>45445</v>
      </c>
      <c r="C3092" t="s">
        <v>3</v>
      </c>
      <c r="D3092" t="s">
        <v>122</v>
      </c>
      <c r="E3092">
        <v>1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f t="shared" si="96"/>
        <v>2024</v>
      </c>
      <c r="P3092">
        <f t="shared" si="97"/>
        <v>6</v>
      </c>
      <c r="Q3092" t="s">
        <v>325</v>
      </c>
      <c r="R3092" s="546" t="s">
        <v>804</v>
      </c>
    </row>
    <row r="3093" spans="1:18" x14ac:dyDescent="0.3">
      <c r="A3093" t="s">
        <v>627</v>
      </c>
      <c r="B3093" s="16">
        <v>45445</v>
      </c>
      <c r="C3093" t="s">
        <v>3</v>
      </c>
      <c r="D3093" t="s">
        <v>121</v>
      </c>
      <c r="E3093">
        <v>2</v>
      </c>
      <c r="F3093">
        <v>2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1</v>
      </c>
      <c r="N3093">
        <v>1</v>
      </c>
      <c r="O3093">
        <f t="shared" si="96"/>
        <v>2024</v>
      </c>
      <c r="P3093">
        <f t="shared" si="97"/>
        <v>6</v>
      </c>
      <c r="Q3093" t="s">
        <v>325</v>
      </c>
      <c r="R3093" s="546" t="s">
        <v>804</v>
      </c>
    </row>
    <row r="3094" spans="1:18" x14ac:dyDescent="0.3">
      <c r="A3094" t="s">
        <v>627</v>
      </c>
      <c r="B3094" s="16">
        <v>45445</v>
      </c>
      <c r="C3094" t="s">
        <v>3</v>
      </c>
      <c r="D3094" t="s">
        <v>120</v>
      </c>
      <c r="E3094">
        <v>586</v>
      </c>
      <c r="F3094">
        <v>348</v>
      </c>
      <c r="G3094">
        <v>6</v>
      </c>
      <c r="H3094">
        <v>0</v>
      </c>
      <c r="I3094">
        <v>13853</v>
      </c>
      <c r="J3094">
        <v>5</v>
      </c>
      <c r="K3094">
        <v>6158</v>
      </c>
      <c r="L3094">
        <v>4</v>
      </c>
      <c r="M3094">
        <v>88</v>
      </c>
      <c r="N3094">
        <v>579</v>
      </c>
      <c r="O3094">
        <f t="shared" si="96"/>
        <v>2024</v>
      </c>
      <c r="P3094">
        <f t="shared" si="97"/>
        <v>6</v>
      </c>
      <c r="Q3094" t="s">
        <v>325</v>
      </c>
      <c r="R3094" s="546" t="s">
        <v>804</v>
      </c>
    </row>
    <row r="3095" spans="1:18" x14ac:dyDescent="0.3">
      <c r="A3095" t="s">
        <v>627</v>
      </c>
      <c r="B3095" s="16">
        <v>45445</v>
      </c>
      <c r="C3095" t="s">
        <v>3</v>
      </c>
      <c r="D3095" t="s">
        <v>119</v>
      </c>
      <c r="E3095">
        <v>344</v>
      </c>
      <c r="F3095">
        <v>91</v>
      </c>
      <c r="G3095">
        <v>32</v>
      </c>
      <c r="H3095">
        <v>6</v>
      </c>
      <c r="I3095">
        <v>66981</v>
      </c>
      <c r="J3095">
        <v>19</v>
      </c>
      <c r="K3095">
        <v>34791</v>
      </c>
      <c r="L3095">
        <v>15</v>
      </c>
      <c r="M3095">
        <v>97</v>
      </c>
      <c r="N3095">
        <v>326</v>
      </c>
      <c r="O3095">
        <f t="shared" si="96"/>
        <v>2024</v>
      </c>
      <c r="P3095">
        <f t="shared" si="97"/>
        <v>6</v>
      </c>
      <c r="Q3095" t="s">
        <v>325</v>
      </c>
      <c r="R3095" s="546" t="s">
        <v>804</v>
      </c>
    </row>
    <row r="3096" spans="1:18" x14ac:dyDescent="0.3">
      <c r="A3096" t="s">
        <v>627</v>
      </c>
      <c r="B3096" s="16">
        <v>45445</v>
      </c>
      <c r="C3096" t="s">
        <v>3</v>
      </c>
      <c r="D3096" t="s">
        <v>115</v>
      </c>
      <c r="E3096">
        <v>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2</v>
      </c>
      <c r="O3096">
        <f t="shared" si="96"/>
        <v>2024</v>
      </c>
      <c r="P3096">
        <f t="shared" si="97"/>
        <v>6</v>
      </c>
      <c r="Q3096" t="s">
        <v>325</v>
      </c>
      <c r="R3096" s="546" t="s">
        <v>804</v>
      </c>
    </row>
    <row r="3097" spans="1:18" x14ac:dyDescent="0.3">
      <c r="A3097" t="s">
        <v>627</v>
      </c>
      <c r="B3097" s="16">
        <v>45445</v>
      </c>
      <c r="C3097" t="s">
        <v>3</v>
      </c>
      <c r="D3097" t="s">
        <v>114</v>
      </c>
      <c r="E3097">
        <v>107</v>
      </c>
      <c r="F3097">
        <v>54</v>
      </c>
      <c r="G3097">
        <v>4</v>
      </c>
      <c r="H3097">
        <v>0</v>
      </c>
      <c r="I3097">
        <v>2237</v>
      </c>
      <c r="J3097">
        <v>1</v>
      </c>
      <c r="K3097">
        <v>0</v>
      </c>
      <c r="L3097">
        <v>0</v>
      </c>
      <c r="M3097">
        <v>15</v>
      </c>
      <c r="N3097">
        <v>101</v>
      </c>
      <c r="O3097">
        <f t="shared" si="96"/>
        <v>2024</v>
      </c>
      <c r="P3097">
        <f t="shared" si="97"/>
        <v>6</v>
      </c>
      <c r="Q3097" t="s">
        <v>325</v>
      </c>
      <c r="R3097" s="546" t="s">
        <v>804</v>
      </c>
    </row>
    <row r="3098" spans="1:18" x14ac:dyDescent="0.3">
      <c r="A3098" t="s">
        <v>627</v>
      </c>
      <c r="B3098" s="16">
        <v>45445</v>
      </c>
      <c r="C3098" t="s">
        <v>3</v>
      </c>
      <c r="D3098" t="s">
        <v>113</v>
      </c>
      <c r="E3098">
        <v>153</v>
      </c>
      <c r="F3098">
        <v>76</v>
      </c>
      <c r="G3098">
        <v>4</v>
      </c>
      <c r="H3098">
        <v>2</v>
      </c>
      <c r="I3098">
        <v>0</v>
      </c>
      <c r="J3098">
        <v>0</v>
      </c>
      <c r="K3098">
        <v>0</v>
      </c>
      <c r="L3098">
        <v>0</v>
      </c>
      <c r="M3098">
        <v>94</v>
      </c>
      <c r="N3098">
        <v>94</v>
      </c>
      <c r="O3098">
        <f t="shared" si="96"/>
        <v>2024</v>
      </c>
      <c r="P3098">
        <f t="shared" si="97"/>
        <v>6</v>
      </c>
      <c r="Q3098" t="s">
        <v>325</v>
      </c>
      <c r="R3098" s="546" t="s">
        <v>804</v>
      </c>
    </row>
    <row r="3099" spans="1:18" x14ac:dyDescent="0.3">
      <c r="A3099" t="s">
        <v>627</v>
      </c>
      <c r="B3099" s="16">
        <v>45445</v>
      </c>
      <c r="C3099" t="s">
        <v>3</v>
      </c>
      <c r="D3099" t="s">
        <v>112</v>
      </c>
      <c r="E3099">
        <v>15</v>
      </c>
      <c r="F3099">
        <v>8</v>
      </c>
      <c r="G3099">
        <v>0</v>
      </c>
      <c r="H3099">
        <v>0</v>
      </c>
      <c r="I3099">
        <v>4755</v>
      </c>
      <c r="J3099">
        <v>1</v>
      </c>
      <c r="K3099">
        <v>4755</v>
      </c>
      <c r="L3099">
        <v>1</v>
      </c>
      <c r="M3099">
        <v>2</v>
      </c>
      <c r="N3099">
        <v>15</v>
      </c>
      <c r="O3099">
        <f t="shared" si="96"/>
        <v>2024</v>
      </c>
      <c r="P3099">
        <f t="shared" si="97"/>
        <v>6</v>
      </c>
      <c r="Q3099" t="s">
        <v>325</v>
      </c>
      <c r="R3099" s="546" t="s">
        <v>804</v>
      </c>
    </row>
    <row r="3100" spans="1:18" x14ac:dyDescent="0.3">
      <c r="A3100" t="s">
        <v>627</v>
      </c>
      <c r="B3100" s="16">
        <v>45445</v>
      </c>
      <c r="C3100" t="s">
        <v>3</v>
      </c>
      <c r="D3100" t="s">
        <v>111</v>
      </c>
      <c r="E3100">
        <v>10</v>
      </c>
      <c r="F3100">
        <v>10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1</v>
      </c>
      <c r="N3100">
        <v>10</v>
      </c>
      <c r="O3100">
        <f t="shared" si="96"/>
        <v>2024</v>
      </c>
      <c r="P3100">
        <f t="shared" si="97"/>
        <v>6</v>
      </c>
      <c r="Q3100" t="s">
        <v>325</v>
      </c>
      <c r="R3100" s="546" t="s">
        <v>804</v>
      </c>
    </row>
    <row r="3101" spans="1:18" x14ac:dyDescent="0.3">
      <c r="A3101" t="s">
        <v>627</v>
      </c>
      <c r="B3101" s="16">
        <v>45444</v>
      </c>
      <c r="C3101" t="s">
        <v>2</v>
      </c>
      <c r="D3101" t="s">
        <v>4</v>
      </c>
      <c r="E3101">
        <v>433</v>
      </c>
      <c r="F3101">
        <v>176</v>
      </c>
      <c r="G3101">
        <v>5</v>
      </c>
      <c r="H3101">
        <v>0</v>
      </c>
      <c r="I3101">
        <v>8760.6</v>
      </c>
      <c r="J3101">
        <v>2</v>
      </c>
      <c r="K3101">
        <v>8760.6</v>
      </c>
      <c r="L3101">
        <v>2</v>
      </c>
      <c r="M3101">
        <v>25</v>
      </c>
      <c r="N3101">
        <v>420</v>
      </c>
      <c r="O3101">
        <f t="shared" si="96"/>
        <v>2024</v>
      </c>
      <c r="P3101">
        <f t="shared" si="97"/>
        <v>6</v>
      </c>
      <c r="Q3101" t="s">
        <v>325</v>
      </c>
      <c r="R3101" s="546" t="s">
        <v>804</v>
      </c>
    </row>
    <row r="3102" spans="1:18" x14ac:dyDescent="0.3">
      <c r="A3102" t="s">
        <v>627</v>
      </c>
      <c r="B3102" s="16">
        <v>45444</v>
      </c>
      <c r="C3102" t="s">
        <v>2</v>
      </c>
      <c r="D3102" t="s">
        <v>57</v>
      </c>
      <c r="E3102">
        <v>21028</v>
      </c>
      <c r="F3102">
        <v>12817</v>
      </c>
      <c r="G3102">
        <v>196</v>
      </c>
      <c r="H3102">
        <v>90</v>
      </c>
      <c r="I3102">
        <v>197336.42</v>
      </c>
      <c r="J3102">
        <v>52</v>
      </c>
      <c r="K3102">
        <v>142056.42000000001</v>
      </c>
      <c r="L3102">
        <v>44</v>
      </c>
      <c r="M3102">
        <v>947</v>
      </c>
      <c r="N3102">
        <v>20982</v>
      </c>
      <c r="O3102">
        <f t="shared" si="96"/>
        <v>2024</v>
      </c>
      <c r="P3102">
        <f t="shared" si="97"/>
        <v>6</v>
      </c>
      <c r="Q3102" t="s">
        <v>325</v>
      </c>
      <c r="R3102" s="546" t="s">
        <v>804</v>
      </c>
    </row>
    <row r="3103" spans="1:18" x14ac:dyDescent="0.3">
      <c r="A3103" t="s">
        <v>627</v>
      </c>
      <c r="B3103" s="16">
        <v>45444</v>
      </c>
      <c r="C3103" t="s">
        <v>2</v>
      </c>
      <c r="D3103" t="s">
        <v>52</v>
      </c>
      <c r="E3103">
        <v>2096</v>
      </c>
      <c r="F3103">
        <v>1673</v>
      </c>
      <c r="G3103">
        <v>28</v>
      </c>
      <c r="H3103">
        <v>4</v>
      </c>
      <c r="I3103">
        <v>29407</v>
      </c>
      <c r="J3103">
        <v>9</v>
      </c>
      <c r="K3103">
        <v>28104</v>
      </c>
      <c r="L3103">
        <v>8</v>
      </c>
      <c r="M3103">
        <v>2096</v>
      </c>
      <c r="N3103">
        <v>567</v>
      </c>
      <c r="O3103">
        <f t="shared" si="96"/>
        <v>2024</v>
      </c>
      <c r="P3103">
        <f t="shared" si="97"/>
        <v>6</v>
      </c>
      <c r="Q3103" t="s">
        <v>325</v>
      </c>
      <c r="R3103" s="546" t="s">
        <v>804</v>
      </c>
    </row>
    <row r="3104" spans="1:18" x14ac:dyDescent="0.3">
      <c r="A3104" t="s">
        <v>627</v>
      </c>
      <c r="B3104" s="16">
        <v>45444</v>
      </c>
      <c r="C3104" t="s">
        <v>2</v>
      </c>
      <c r="D3104" t="s">
        <v>55</v>
      </c>
      <c r="E3104">
        <v>58</v>
      </c>
      <c r="F3104">
        <v>31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51</v>
      </c>
      <c r="O3104">
        <f t="shared" si="96"/>
        <v>2024</v>
      </c>
      <c r="P3104">
        <f t="shared" si="97"/>
        <v>6</v>
      </c>
      <c r="Q3104" t="s">
        <v>325</v>
      </c>
      <c r="R3104" s="546" t="s">
        <v>804</v>
      </c>
    </row>
    <row r="3105" spans="1:18" x14ac:dyDescent="0.3">
      <c r="A3105" t="s">
        <v>627</v>
      </c>
      <c r="B3105" s="16">
        <v>45444</v>
      </c>
      <c r="C3105" t="s">
        <v>3</v>
      </c>
      <c r="D3105" t="s">
        <v>155</v>
      </c>
      <c r="E3105">
        <v>5</v>
      </c>
      <c r="F3105">
        <v>2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5</v>
      </c>
      <c r="O3105">
        <f t="shared" si="96"/>
        <v>2024</v>
      </c>
      <c r="P3105">
        <f t="shared" si="97"/>
        <v>6</v>
      </c>
      <c r="Q3105" t="s">
        <v>325</v>
      </c>
      <c r="R3105" s="546" t="s">
        <v>804</v>
      </c>
    </row>
    <row r="3106" spans="1:18" x14ac:dyDescent="0.3">
      <c r="A3106" t="s">
        <v>627</v>
      </c>
      <c r="B3106" s="16">
        <v>45444</v>
      </c>
      <c r="C3106" t="s">
        <v>3</v>
      </c>
      <c r="D3106" t="s">
        <v>154</v>
      </c>
      <c r="E3106">
        <v>5</v>
      </c>
      <c r="F3106">
        <v>3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1</v>
      </c>
      <c r="N3106">
        <v>1</v>
      </c>
      <c r="O3106">
        <f t="shared" si="96"/>
        <v>2024</v>
      </c>
      <c r="P3106">
        <f t="shared" si="97"/>
        <v>6</v>
      </c>
      <c r="Q3106" t="s">
        <v>325</v>
      </c>
      <c r="R3106" s="546" t="s">
        <v>804</v>
      </c>
    </row>
    <row r="3107" spans="1:18" x14ac:dyDescent="0.3">
      <c r="A3107" t="s">
        <v>627</v>
      </c>
      <c r="B3107" s="16">
        <v>45444</v>
      </c>
      <c r="C3107" t="s">
        <v>3</v>
      </c>
      <c r="D3107" t="s">
        <v>153</v>
      </c>
      <c r="E3107">
        <v>519</v>
      </c>
      <c r="F3107">
        <v>137</v>
      </c>
      <c r="G3107">
        <v>61</v>
      </c>
      <c r="H3107">
        <v>2</v>
      </c>
      <c r="I3107">
        <v>192242.57</v>
      </c>
      <c r="J3107">
        <v>60</v>
      </c>
      <c r="K3107">
        <v>179512.57</v>
      </c>
      <c r="L3107">
        <v>58</v>
      </c>
      <c r="M3107">
        <v>132</v>
      </c>
      <c r="N3107">
        <v>503</v>
      </c>
      <c r="O3107">
        <f t="shared" si="96"/>
        <v>2024</v>
      </c>
      <c r="P3107">
        <f t="shared" si="97"/>
        <v>6</v>
      </c>
      <c r="Q3107" t="s">
        <v>325</v>
      </c>
      <c r="R3107" s="546" t="s">
        <v>804</v>
      </c>
    </row>
    <row r="3108" spans="1:18" x14ac:dyDescent="0.3">
      <c r="A3108" t="s">
        <v>627</v>
      </c>
      <c r="B3108" s="16">
        <v>45444</v>
      </c>
      <c r="C3108" t="s">
        <v>3</v>
      </c>
      <c r="D3108" t="s">
        <v>152</v>
      </c>
      <c r="E3108">
        <v>13</v>
      </c>
      <c r="F3108">
        <v>4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1</v>
      </c>
      <c r="N3108">
        <v>13</v>
      </c>
      <c r="O3108">
        <f t="shared" si="96"/>
        <v>2024</v>
      </c>
      <c r="P3108">
        <f t="shared" si="97"/>
        <v>6</v>
      </c>
      <c r="Q3108" t="s">
        <v>325</v>
      </c>
      <c r="R3108" s="546" t="s">
        <v>804</v>
      </c>
    </row>
    <row r="3109" spans="1:18" x14ac:dyDescent="0.3">
      <c r="A3109" t="s">
        <v>627</v>
      </c>
      <c r="B3109" s="16">
        <v>45444</v>
      </c>
      <c r="C3109" t="s">
        <v>3</v>
      </c>
      <c r="D3109" t="s">
        <v>150</v>
      </c>
      <c r="E3109">
        <v>6</v>
      </c>
      <c r="F3109">
        <v>2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6</v>
      </c>
      <c r="O3109">
        <f t="shared" si="96"/>
        <v>2024</v>
      </c>
      <c r="P3109">
        <f t="shared" si="97"/>
        <v>6</v>
      </c>
      <c r="Q3109" t="s">
        <v>325</v>
      </c>
      <c r="R3109" s="546" t="s">
        <v>804</v>
      </c>
    </row>
    <row r="3110" spans="1:18" x14ac:dyDescent="0.3">
      <c r="A3110" t="s">
        <v>627</v>
      </c>
      <c r="B3110" s="16">
        <v>45444</v>
      </c>
      <c r="C3110" t="s">
        <v>3</v>
      </c>
      <c r="D3110" t="s">
        <v>149</v>
      </c>
      <c r="E3110">
        <v>31</v>
      </c>
      <c r="F3110">
        <v>14</v>
      </c>
      <c r="G3110">
        <v>3</v>
      </c>
      <c r="H3110">
        <v>1</v>
      </c>
      <c r="I3110">
        <v>0</v>
      </c>
      <c r="J3110">
        <v>0</v>
      </c>
      <c r="K3110">
        <v>0</v>
      </c>
      <c r="L3110">
        <v>0</v>
      </c>
      <c r="M3110">
        <v>6</v>
      </c>
      <c r="N3110">
        <v>26</v>
      </c>
      <c r="O3110">
        <f t="shared" si="96"/>
        <v>2024</v>
      </c>
      <c r="P3110">
        <f t="shared" si="97"/>
        <v>6</v>
      </c>
      <c r="Q3110" t="s">
        <v>325</v>
      </c>
      <c r="R3110" s="546" t="s">
        <v>804</v>
      </c>
    </row>
    <row r="3111" spans="1:18" x14ac:dyDescent="0.3">
      <c r="A3111" t="s">
        <v>627</v>
      </c>
      <c r="B3111" s="16">
        <v>45444</v>
      </c>
      <c r="C3111" t="s">
        <v>3</v>
      </c>
      <c r="D3111" t="s">
        <v>148</v>
      </c>
      <c r="E3111">
        <v>1</v>
      </c>
      <c r="F3111">
        <v>1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1</v>
      </c>
      <c r="N3111">
        <v>0</v>
      </c>
      <c r="O3111">
        <f t="shared" si="96"/>
        <v>2024</v>
      </c>
      <c r="P3111">
        <f t="shared" si="97"/>
        <v>6</v>
      </c>
      <c r="Q3111" t="s">
        <v>325</v>
      </c>
      <c r="R3111" s="546" t="s">
        <v>804</v>
      </c>
    </row>
    <row r="3112" spans="1:18" x14ac:dyDescent="0.3">
      <c r="A3112" t="s">
        <v>627</v>
      </c>
      <c r="B3112" s="16">
        <v>45444</v>
      </c>
      <c r="C3112" t="s">
        <v>3</v>
      </c>
      <c r="D3112" t="s">
        <v>147</v>
      </c>
      <c r="E3112">
        <v>53</v>
      </c>
      <c r="F3112">
        <v>43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53</v>
      </c>
      <c r="O3112">
        <f t="shared" si="96"/>
        <v>2024</v>
      </c>
      <c r="P3112">
        <f t="shared" si="97"/>
        <v>6</v>
      </c>
      <c r="Q3112" t="s">
        <v>325</v>
      </c>
      <c r="R3112" s="546" t="s">
        <v>804</v>
      </c>
    </row>
    <row r="3113" spans="1:18" x14ac:dyDescent="0.3">
      <c r="A3113" t="s">
        <v>627</v>
      </c>
      <c r="B3113" s="16">
        <v>45444</v>
      </c>
      <c r="C3113" t="s">
        <v>3</v>
      </c>
      <c r="D3113" t="s">
        <v>251</v>
      </c>
      <c r="E3113">
        <v>724</v>
      </c>
      <c r="F3113">
        <v>250</v>
      </c>
      <c r="G3113">
        <v>8</v>
      </c>
      <c r="H3113">
        <v>5</v>
      </c>
      <c r="I3113">
        <v>5407</v>
      </c>
      <c r="J3113">
        <v>3</v>
      </c>
      <c r="K3113">
        <v>5407</v>
      </c>
      <c r="L3113">
        <v>3</v>
      </c>
      <c r="M3113">
        <v>61</v>
      </c>
      <c r="N3113">
        <v>690</v>
      </c>
      <c r="O3113">
        <f t="shared" si="96"/>
        <v>2024</v>
      </c>
      <c r="P3113">
        <f t="shared" si="97"/>
        <v>6</v>
      </c>
      <c r="Q3113" t="s">
        <v>325</v>
      </c>
      <c r="R3113" s="546" t="s">
        <v>804</v>
      </c>
    </row>
    <row r="3114" spans="1:18" x14ac:dyDescent="0.3">
      <c r="A3114" t="s">
        <v>627</v>
      </c>
      <c r="B3114" s="16">
        <v>45444</v>
      </c>
      <c r="C3114" t="s">
        <v>3</v>
      </c>
      <c r="D3114" t="s">
        <v>143</v>
      </c>
      <c r="E3114">
        <v>15</v>
      </c>
      <c r="F3114">
        <v>15</v>
      </c>
      <c r="G3114">
        <v>0</v>
      </c>
      <c r="H3114">
        <v>1</v>
      </c>
      <c r="I3114">
        <v>0</v>
      </c>
      <c r="J3114">
        <v>0</v>
      </c>
      <c r="K3114">
        <v>0</v>
      </c>
      <c r="L3114">
        <v>0</v>
      </c>
      <c r="M3114">
        <v>1</v>
      </c>
      <c r="N3114">
        <v>15</v>
      </c>
      <c r="O3114">
        <f t="shared" si="96"/>
        <v>2024</v>
      </c>
      <c r="P3114">
        <f t="shared" si="97"/>
        <v>6</v>
      </c>
      <c r="Q3114" t="s">
        <v>325</v>
      </c>
      <c r="R3114" s="546" t="s">
        <v>804</v>
      </c>
    </row>
    <row r="3115" spans="1:18" x14ac:dyDescent="0.3">
      <c r="A3115" t="s">
        <v>627</v>
      </c>
      <c r="B3115" s="16">
        <v>45444</v>
      </c>
      <c r="C3115" t="s">
        <v>3</v>
      </c>
      <c r="D3115" t="s">
        <v>142</v>
      </c>
      <c r="E3115">
        <v>13</v>
      </c>
      <c r="F3115">
        <v>3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</v>
      </c>
      <c r="N3115">
        <v>13</v>
      </c>
      <c r="O3115">
        <f t="shared" si="96"/>
        <v>2024</v>
      </c>
      <c r="P3115">
        <f t="shared" si="97"/>
        <v>6</v>
      </c>
      <c r="Q3115" t="s">
        <v>325</v>
      </c>
      <c r="R3115" s="546" t="s">
        <v>804</v>
      </c>
    </row>
    <row r="3116" spans="1:18" x14ac:dyDescent="0.3">
      <c r="A3116" t="s">
        <v>627</v>
      </c>
      <c r="B3116" s="16">
        <v>45444</v>
      </c>
      <c r="C3116" t="s">
        <v>3</v>
      </c>
      <c r="D3116" t="s">
        <v>141</v>
      </c>
      <c r="E3116">
        <v>3</v>
      </c>
      <c r="F3116">
        <v>2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3</v>
      </c>
      <c r="O3116">
        <f t="shared" si="96"/>
        <v>2024</v>
      </c>
      <c r="P3116">
        <f t="shared" si="97"/>
        <v>6</v>
      </c>
      <c r="Q3116" t="s">
        <v>325</v>
      </c>
      <c r="R3116" s="546" t="s">
        <v>804</v>
      </c>
    </row>
    <row r="3117" spans="1:18" x14ac:dyDescent="0.3">
      <c r="A3117" t="s">
        <v>627</v>
      </c>
      <c r="B3117" s="16">
        <v>45444</v>
      </c>
      <c r="C3117" t="s">
        <v>3</v>
      </c>
      <c r="D3117" t="s">
        <v>140</v>
      </c>
      <c r="E3117">
        <v>11</v>
      </c>
      <c r="F3117">
        <v>6</v>
      </c>
      <c r="G3117">
        <v>5</v>
      </c>
      <c r="H3117">
        <v>1</v>
      </c>
      <c r="I3117">
        <v>1961.58</v>
      </c>
      <c r="J3117">
        <v>1</v>
      </c>
      <c r="K3117">
        <v>1961.58</v>
      </c>
      <c r="L3117">
        <v>1</v>
      </c>
      <c r="M3117">
        <v>1</v>
      </c>
      <c r="N3117">
        <v>11</v>
      </c>
      <c r="O3117">
        <f t="shared" si="96"/>
        <v>2024</v>
      </c>
      <c r="P3117">
        <f t="shared" si="97"/>
        <v>6</v>
      </c>
      <c r="Q3117" t="s">
        <v>325</v>
      </c>
      <c r="R3117" s="546" t="s">
        <v>804</v>
      </c>
    </row>
    <row r="3118" spans="1:18" x14ac:dyDescent="0.3">
      <c r="A3118" t="s">
        <v>627</v>
      </c>
      <c r="B3118" s="16">
        <v>45444</v>
      </c>
      <c r="C3118" t="s">
        <v>3</v>
      </c>
      <c r="D3118" t="s">
        <v>139</v>
      </c>
      <c r="E3118">
        <v>602</v>
      </c>
      <c r="F3118">
        <v>329</v>
      </c>
      <c r="G3118">
        <v>26</v>
      </c>
      <c r="H3118">
        <v>6</v>
      </c>
      <c r="I3118">
        <v>76988</v>
      </c>
      <c r="J3118">
        <v>16</v>
      </c>
      <c r="K3118">
        <v>62981</v>
      </c>
      <c r="L3118">
        <v>14</v>
      </c>
      <c r="M3118">
        <v>298</v>
      </c>
      <c r="N3118">
        <v>408</v>
      </c>
      <c r="O3118">
        <f t="shared" si="96"/>
        <v>2024</v>
      </c>
      <c r="P3118">
        <f t="shared" si="97"/>
        <v>6</v>
      </c>
      <c r="Q3118" t="s">
        <v>325</v>
      </c>
      <c r="R3118" s="546" t="s">
        <v>804</v>
      </c>
    </row>
    <row r="3119" spans="1:18" x14ac:dyDescent="0.3">
      <c r="A3119" t="s">
        <v>627</v>
      </c>
      <c r="B3119" s="16">
        <v>45444</v>
      </c>
      <c r="C3119" t="s">
        <v>3</v>
      </c>
      <c r="D3119" t="s">
        <v>138</v>
      </c>
      <c r="E3119">
        <v>61</v>
      </c>
      <c r="F3119">
        <v>43</v>
      </c>
      <c r="G3119">
        <v>0</v>
      </c>
      <c r="H3119">
        <v>1</v>
      </c>
      <c r="I3119">
        <v>0</v>
      </c>
      <c r="J3119">
        <v>0</v>
      </c>
      <c r="K3119">
        <v>0</v>
      </c>
      <c r="L3119">
        <v>0</v>
      </c>
      <c r="M3119">
        <v>8</v>
      </c>
      <c r="N3119">
        <v>60</v>
      </c>
      <c r="O3119">
        <f t="shared" ref="O3119:O3182" si="98">YEAR(B3119)</f>
        <v>2024</v>
      </c>
      <c r="P3119">
        <f t="shared" ref="P3119:P3182" si="99">MONTH(B3119)</f>
        <v>6</v>
      </c>
      <c r="Q3119" t="s">
        <v>325</v>
      </c>
      <c r="R3119" s="546" t="s">
        <v>804</v>
      </c>
    </row>
    <row r="3120" spans="1:18" x14ac:dyDescent="0.3">
      <c r="A3120" t="s">
        <v>627</v>
      </c>
      <c r="B3120" s="16">
        <v>45444</v>
      </c>
      <c r="C3120" t="s">
        <v>3</v>
      </c>
      <c r="D3120" t="s">
        <v>137</v>
      </c>
      <c r="E3120">
        <v>5</v>
      </c>
      <c r="F3120">
        <v>2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5</v>
      </c>
      <c r="O3120">
        <f t="shared" si="98"/>
        <v>2024</v>
      </c>
      <c r="P3120">
        <f t="shared" si="99"/>
        <v>6</v>
      </c>
      <c r="Q3120" t="s">
        <v>325</v>
      </c>
      <c r="R3120" s="546" t="s">
        <v>804</v>
      </c>
    </row>
    <row r="3121" spans="1:18" x14ac:dyDescent="0.3">
      <c r="A3121" t="s">
        <v>627</v>
      </c>
      <c r="B3121" s="16">
        <v>45444</v>
      </c>
      <c r="C3121" t="s">
        <v>3</v>
      </c>
      <c r="D3121" t="s">
        <v>133</v>
      </c>
      <c r="E3121">
        <v>67</v>
      </c>
      <c r="F3121">
        <v>30</v>
      </c>
      <c r="G3121">
        <v>3</v>
      </c>
      <c r="H3121">
        <v>0</v>
      </c>
      <c r="I3121">
        <v>2791</v>
      </c>
      <c r="J3121">
        <v>1</v>
      </c>
      <c r="K3121">
        <v>2791</v>
      </c>
      <c r="L3121">
        <v>1</v>
      </c>
      <c r="M3121">
        <v>12</v>
      </c>
      <c r="N3121">
        <v>62</v>
      </c>
      <c r="O3121">
        <f t="shared" si="98"/>
        <v>2024</v>
      </c>
      <c r="P3121">
        <f t="shared" si="99"/>
        <v>6</v>
      </c>
      <c r="Q3121" t="s">
        <v>325</v>
      </c>
      <c r="R3121" s="546" t="s">
        <v>804</v>
      </c>
    </row>
    <row r="3122" spans="1:18" x14ac:dyDescent="0.3">
      <c r="A3122" t="s">
        <v>627</v>
      </c>
      <c r="B3122" s="16">
        <v>45444</v>
      </c>
      <c r="C3122" t="s">
        <v>3</v>
      </c>
      <c r="D3122" t="s">
        <v>131</v>
      </c>
      <c r="E3122">
        <v>2</v>
      </c>
      <c r="F3122">
        <v>0</v>
      </c>
      <c r="G3122">
        <v>0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2</v>
      </c>
      <c r="O3122">
        <f t="shared" si="98"/>
        <v>2024</v>
      </c>
      <c r="P3122">
        <f t="shared" si="99"/>
        <v>6</v>
      </c>
      <c r="Q3122" t="s">
        <v>325</v>
      </c>
      <c r="R3122" s="546" t="s">
        <v>804</v>
      </c>
    </row>
    <row r="3123" spans="1:18" x14ac:dyDescent="0.3">
      <c r="A3123" t="s">
        <v>627</v>
      </c>
      <c r="B3123" s="16">
        <v>45444</v>
      </c>
      <c r="C3123" t="s">
        <v>3</v>
      </c>
      <c r="D3123" t="s">
        <v>130</v>
      </c>
      <c r="E3123">
        <v>92</v>
      </c>
      <c r="F3123">
        <v>40</v>
      </c>
      <c r="G3123">
        <v>10</v>
      </c>
      <c r="H3123">
        <v>0</v>
      </c>
      <c r="I3123">
        <v>73642</v>
      </c>
      <c r="J3123">
        <v>12</v>
      </c>
      <c r="K3123">
        <v>72339</v>
      </c>
      <c r="L3123">
        <v>12</v>
      </c>
      <c r="M3123">
        <v>34</v>
      </c>
      <c r="N3123">
        <v>86</v>
      </c>
      <c r="O3123">
        <f t="shared" si="98"/>
        <v>2024</v>
      </c>
      <c r="P3123">
        <f t="shared" si="99"/>
        <v>6</v>
      </c>
      <c r="Q3123" t="s">
        <v>325</v>
      </c>
      <c r="R3123" s="546" t="s">
        <v>804</v>
      </c>
    </row>
    <row r="3124" spans="1:18" x14ac:dyDescent="0.3">
      <c r="A3124" t="s">
        <v>627</v>
      </c>
      <c r="B3124" s="16">
        <v>45444</v>
      </c>
      <c r="C3124" t="s">
        <v>3</v>
      </c>
      <c r="D3124" t="s">
        <v>129</v>
      </c>
      <c r="E3124">
        <v>1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1</v>
      </c>
      <c r="O3124">
        <f t="shared" si="98"/>
        <v>2024</v>
      </c>
      <c r="P3124">
        <f t="shared" si="99"/>
        <v>6</v>
      </c>
      <c r="Q3124" t="s">
        <v>325</v>
      </c>
      <c r="R3124" s="546" t="s">
        <v>804</v>
      </c>
    </row>
    <row r="3125" spans="1:18" x14ac:dyDescent="0.3">
      <c r="A3125" t="s">
        <v>627</v>
      </c>
      <c r="B3125" s="16">
        <v>45444</v>
      </c>
      <c r="C3125" t="s">
        <v>3</v>
      </c>
      <c r="D3125" t="s">
        <v>128</v>
      </c>
      <c r="E3125">
        <v>930</v>
      </c>
      <c r="F3125">
        <v>729</v>
      </c>
      <c r="G3125">
        <v>77</v>
      </c>
      <c r="H3125">
        <v>16</v>
      </c>
      <c r="I3125">
        <v>41607</v>
      </c>
      <c r="J3125">
        <v>17</v>
      </c>
      <c r="K3125">
        <v>33272</v>
      </c>
      <c r="L3125">
        <v>16</v>
      </c>
      <c r="M3125">
        <v>258</v>
      </c>
      <c r="N3125">
        <v>832</v>
      </c>
      <c r="O3125">
        <f t="shared" si="98"/>
        <v>2024</v>
      </c>
      <c r="P3125">
        <f t="shared" si="99"/>
        <v>6</v>
      </c>
      <c r="Q3125" t="s">
        <v>325</v>
      </c>
      <c r="R3125" s="546" t="s">
        <v>804</v>
      </c>
    </row>
    <row r="3126" spans="1:18" x14ac:dyDescent="0.3">
      <c r="A3126" t="s">
        <v>627</v>
      </c>
      <c r="B3126" s="16">
        <v>45444</v>
      </c>
      <c r="C3126" t="s">
        <v>3</v>
      </c>
      <c r="D3126" t="s">
        <v>127</v>
      </c>
      <c r="E3126">
        <v>2278</v>
      </c>
      <c r="F3126">
        <v>1180</v>
      </c>
      <c r="G3126">
        <v>48</v>
      </c>
      <c r="H3126">
        <v>13</v>
      </c>
      <c r="I3126">
        <v>76038</v>
      </c>
      <c r="J3126">
        <v>14</v>
      </c>
      <c r="K3126">
        <v>67929</v>
      </c>
      <c r="L3126">
        <v>13</v>
      </c>
      <c r="M3126">
        <v>214</v>
      </c>
      <c r="N3126">
        <v>2160</v>
      </c>
      <c r="O3126">
        <f t="shared" si="98"/>
        <v>2024</v>
      </c>
      <c r="P3126">
        <f t="shared" si="99"/>
        <v>6</v>
      </c>
      <c r="Q3126" t="s">
        <v>325</v>
      </c>
      <c r="R3126" s="546" t="s">
        <v>804</v>
      </c>
    </row>
    <row r="3127" spans="1:18" x14ac:dyDescent="0.3">
      <c r="A3127" t="s">
        <v>627</v>
      </c>
      <c r="B3127" s="16">
        <v>45444</v>
      </c>
      <c r="C3127" t="s">
        <v>3</v>
      </c>
      <c r="D3127" t="s">
        <v>126</v>
      </c>
      <c r="E3127">
        <v>85</v>
      </c>
      <c r="F3127">
        <v>58</v>
      </c>
      <c r="G3127">
        <v>6</v>
      </c>
      <c r="H3127">
        <v>3</v>
      </c>
      <c r="I3127">
        <v>32602.58</v>
      </c>
      <c r="J3127">
        <v>4</v>
      </c>
      <c r="K3127">
        <v>12799.58</v>
      </c>
      <c r="L3127">
        <v>3</v>
      </c>
      <c r="M3127">
        <v>19</v>
      </c>
      <c r="N3127">
        <v>84</v>
      </c>
      <c r="O3127">
        <f t="shared" si="98"/>
        <v>2024</v>
      </c>
      <c r="P3127">
        <f t="shared" si="99"/>
        <v>6</v>
      </c>
      <c r="Q3127" t="s">
        <v>325</v>
      </c>
      <c r="R3127" s="546" t="s">
        <v>804</v>
      </c>
    </row>
    <row r="3128" spans="1:18" x14ac:dyDescent="0.3">
      <c r="A3128" t="s">
        <v>627</v>
      </c>
      <c r="B3128" s="16">
        <v>45444</v>
      </c>
      <c r="C3128" t="s">
        <v>3</v>
      </c>
      <c r="D3128" t="s">
        <v>123</v>
      </c>
      <c r="E3128">
        <v>135</v>
      </c>
      <c r="F3128">
        <v>54</v>
      </c>
      <c r="G3128">
        <v>11</v>
      </c>
      <c r="H3128">
        <v>2</v>
      </c>
      <c r="I3128">
        <v>10315.93</v>
      </c>
      <c r="J3128">
        <v>3</v>
      </c>
      <c r="K3128">
        <v>5662.93</v>
      </c>
      <c r="L3128">
        <v>2</v>
      </c>
      <c r="M3128">
        <v>65</v>
      </c>
      <c r="N3128">
        <v>105</v>
      </c>
      <c r="O3128">
        <f t="shared" si="98"/>
        <v>2024</v>
      </c>
      <c r="P3128">
        <f t="shared" si="99"/>
        <v>6</v>
      </c>
      <c r="Q3128" t="s">
        <v>325</v>
      </c>
      <c r="R3128" s="546" t="s">
        <v>804</v>
      </c>
    </row>
    <row r="3129" spans="1:18" x14ac:dyDescent="0.3">
      <c r="A3129" t="s">
        <v>627</v>
      </c>
      <c r="B3129" s="16">
        <v>45444</v>
      </c>
      <c r="C3129" t="s">
        <v>3</v>
      </c>
      <c r="D3129" t="s">
        <v>120</v>
      </c>
      <c r="E3129">
        <v>629</v>
      </c>
      <c r="F3129">
        <v>384</v>
      </c>
      <c r="G3129">
        <v>7</v>
      </c>
      <c r="H3129">
        <v>2</v>
      </c>
      <c r="I3129">
        <v>57366.5</v>
      </c>
      <c r="J3129">
        <v>12</v>
      </c>
      <c r="K3129">
        <v>53371.5</v>
      </c>
      <c r="L3129">
        <v>12</v>
      </c>
      <c r="M3129">
        <v>69</v>
      </c>
      <c r="N3129">
        <v>625</v>
      </c>
      <c r="O3129">
        <f t="shared" si="98"/>
        <v>2024</v>
      </c>
      <c r="P3129">
        <f t="shared" si="99"/>
        <v>6</v>
      </c>
      <c r="Q3129" t="s">
        <v>325</v>
      </c>
      <c r="R3129" s="546" t="s">
        <v>804</v>
      </c>
    </row>
    <row r="3130" spans="1:18" x14ac:dyDescent="0.3">
      <c r="A3130" t="s">
        <v>627</v>
      </c>
      <c r="B3130" s="16">
        <v>45444</v>
      </c>
      <c r="C3130" t="s">
        <v>3</v>
      </c>
      <c r="D3130" t="s">
        <v>119</v>
      </c>
      <c r="E3130">
        <v>358</v>
      </c>
      <c r="F3130">
        <v>103</v>
      </c>
      <c r="G3130">
        <v>31</v>
      </c>
      <c r="H3130">
        <v>4</v>
      </c>
      <c r="I3130">
        <v>67125.240000000005</v>
      </c>
      <c r="J3130">
        <v>26</v>
      </c>
      <c r="K3130">
        <v>46798.239999999998</v>
      </c>
      <c r="L3130">
        <v>20</v>
      </c>
      <c r="M3130">
        <v>85</v>
      </c>
      <c r="N3130">
        <v>341</v>
      </c>
      <c r="O3130">
        <f t="shared" si="98"/>
        <v>2024</v>
      </c>
      <c r="P3130">
        <f t="shared" si="99"/>
        <v>6</v>
      </c>
      <c r="Q3130" t="s">
        <v>325</v>
      </c>
      <c r="R3130" s="546" t="s">
        <v>804</v>
      </c>
    </row>
    <row r="3131" spans="1:18" x14ac:dyDescent="0.3">
      <c r="A3131" t="s">
        <v>627</v>
      </c>
      <c r="B3131" s="16">
        <v>45444</v>
      </c>
      <c r="C3131" t="s">
        <v>3</v>
      </c>
      <c r="D3131" t="s">
        <v>115</v>
      </c>
      <c r="E3131">
        <v>10</v>
      </c>
      <c r="F3131">
        <v>3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10</v>
      </c>
      <c r="O3131">
        <f t="shared" si="98"/>
        <v>2024</v>
      </c>
      <c r="P3131">
        <f t="shared" si="99"/>
        <v>6</v>
      </c>
      <c r="Q3131" t="s">
        <v>325</v>
      </c>
      <c r="R3131" s="546" t="s">
        <v>804</v>
      </c>
    </row>
    <row r="3132" spans="1:18" x14ac:dyDescent="0.3">
      <c r="A3132" t="s">
        <v>627</v>
      </c>
      <c r="B3132" s="16">
        <v>45444</v>
      </c>
      <c r="C3132" t="s">
        <v>3</v>
      </c>
      <c r="D3132" t="s">
        <v>114</v>
      </c>
      <c r="E3132">
        <v>130</v>
      </c>
      <c r="F3132">
        <v>46</v>
      </c>
      <c r="G3132">
        <v>3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19</v>
      </c>
      <c r="N3132">
        <v>119</v>
      </c>
      <c r="O3132">
        <f t="shared" si="98"/>
        <v>2024</v>
      </c>
      <c r="P3132">
        <f t="shared" si="99"/>
        <v>6</v>
      </c>
      <c r="Q3132" t="s">
        <v>325</v>
      </c>
      <c r="R3132" s="546" t="s">
        <v>804</v>
      </c>
    </row>
    <row r="3133" spans="1:18" x14ac:dyDescent="0.3">
      <c r="A3133" t="s">
        <v>627</v>
      </c>
      <c r="B3133" s="16">
        <v>45444</v>
      </c>
      <c r="C3133" t="s">
        <v>3</v>
      </c>
      <c r="D3133" t="s">
        <v>113</v>
      </c>
      <c r="E3133">
        <v>144</v>
      </c>
      <c r="F3133">
        <v>69</v>
      </c>
      <c r="G3133">
        <v>8</v>
      </c>
      <c r="H3133">
        <v>0</v>
      </c>
      <c r="I3133">
        <v>8259</v>
      </c>
      <c r="J3133">
        <v>2</v>
      </c>
      <c r="K3133">
        <v>6771</v>
      </c>
      <c r="L3133">
        <v>2</v>
      </c>
      <c r="M3133">
        <v>97</v>
      </c>
      <c r="N3133">
        <v>94</v>
      </c>
      <c r="O3133">
        <f t="shared" si="98"/>
        <v>2024</v>
      </c>
      <c r="P3133">
        <f t="shared" si="99"/>
        <v>6</v>
      </c>
      <c r="Q3133" t="s">
        <v>325</v>
      </c>
      <c r="R3133" s="546" t="s">
        <v>804</v>
      </c>
    </row>
    <row r="3134" spans="1:18" x14ac:dyDescent="0.3">
      <c r="A3134" t="s">
        <v>627</v>
      </c>
      <c r="B3134" s="16">
        <v>45444</v>
      </c>
      <c r="C3134" t="s">
        <v>3</v>
      </c>
      <c r="D3134" t="s">
        <v>112</v>
      </c>
      <c r="E3134">
        <v>21</v>
      </c>
      <c r="F3134">
        <v>8</v>
      </c>
      <c r="G3134">
        <v>0</v>
      </c>
      <c r="H3134">
        <v>0</v>
      </c>
      <c r="I3134">
        <v>10968</v>
      </c>
      <c r="J3134">
        <v>4</v>
      </c>
      <c r="K3134">
        <v>10968</v>
      </c>
      <c r="L3134">
        <v>4</v>
      </c>
      <c r="M3134">
        <v>1</v>
      </c>
      <c r="N3134">
        <v>21</v>
      </c>
      <c r="O3134">
        <f t="shared" si="98"/>
        <v>2024</v>
      </c>
      <c r="P3134">
        <f t="shared" si="99"/>
        <v>6</v>
      </c>
      <c r="Q3134" t="s">
        <v>325</v>
      </c>
      <c r="R3134" s="546" t="s">
        <v>804</v>
      </c>
    </row>
    <row r="3135" spans="1:18" x14ac:dyDescent="0.3">
      <c r="A3135" t="s">
        <v>627</v>
      </c>
      <c r="B3135" s="16">
        <v>45444</v>
      </c>
      <c r="C3135" t="s">
        <v>3</v>
      </c>
      <c r="D3135" t="s">
        <v>111</v>
      </c>
      <c r="E3135">
        <v>25</v>
      </c>
      <c r="F3135">
        <v>17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25</v>
      </c>
      <c r="O3135">
        <f t="shared" si="98"/>
        <v>2024</v>
      </c>
      <c r="P3135">
        <f t="shared" si="99"/>
        <v>6</v>
      </c>
      <c r="Q3135" t="s">
        <v>325</v>
      </c>
      <c r="R3135" s="546" t="s">
        <v>804</v>
      </c>
    </row>
    <row r="3136" spans="1:18" x14ac:dyDescent="0.3">
      <c r="A3136" t="s">
        <v>627</v>
      </c>
      <c r="B3136" s="16">
        <v>45443</v>
      </c>
      <c r="C3136" t="s">
        <v>2</v>
      </c>
      <c r="D3136" t="s">
        <v>4</v>
      </c>
      <c r="E3136">
        <v>367</v>
      </c>
      <c r="F3136">
        <v>134</v>
      </c>
      <c r="G3136">
        <v>1</v>
      </c>
      <c r="H3136">
        <v>0</v>
      </c>
      <c r="I3136">
        <v>4863</v>
      </c>
      <c r="J3136">
        <v>3</v>
      </c>
      <c r="K3136">
        <v>4863</v>
      </c>
      <c r="L3136">
        <v>3</v>
      </c>
      <c r="M3136">
        <v>13</v>
      </c>
      <c r="N3136">
        <v>342</v>
      </c>
      <c r="O3136">
        <f t="shared" si="98"/>
        <v>2024</v>
      </c>
      <c r="P3136">
        <f t="shared" si="99"/>
        <v>5</v>
      </c>
      <c r="Q3136" t="s">
        <v>325</v>
      </c>
      <c r="R3136" s="546" t="s">
        <v>804</v>
      </c>
    </row>
    <row r="3137" spans="1:18" x14ac:dyDescent="0.3">
      <c r="A3137" t="s">
        <v>627</v>
      </c>
      <c r="B3137" s="16">
        <v>45443</v>
      </c>
      <c r="C3137" t="s">
        <v>2</v>
      </c>
      <c r="D3137" t="s">
        <v>57</v>
      </c>
      <c r="E3137">
        <v>17846</v>
      </c>
      <c r="F3137">
        <v>10794</v>
      </c>
      <c r="G3137">
        <v>223</v>
      </c>
      <c r="H3137">
        <v>55</v>
      </c>
      <c r="I3137">
        <v>218547.13</v>
      </c>
      <c r="J3137">
        <v>70</v>
      </c>
      <c r="K3137">
        <v>193793.13</v>
      </c>
      <c r="L3137">
        <v>64</v>
      </c>
      <c r="M3137">
        <v>777</v>
      </c>
      <c r="N3137">
        <v>17799</v>
      </c>
      <c r="O3137">
        <f t="shared" si="98"/>
        <v>2024</v>
      </c>
      <c r="P3137">
        <f t="shared" si="99"/>
        <v>5</v>
      </c>
      <c r="Q3137" t="s">
        <v>325</v>
      </c>
      <c r="R3137" s="546" t="s">
        <v>804</v>
      </c>
    </row>
    <row r="3138" spans="1:18" x14ac:dyDescent="0.3">
      <c r="A3138" t="s">
        <v>627</v>
      </c>
      <c r="B3138" s="16">
        <v>45443</v>
      </c>
      <c r="C3138" t="s">
        <v>2</v>
      </c>
      <c r="D3138" t="s">
        <v>52</v>
      </c>
      <c r="E3138">
        <v>2144</v>
      </c>
      <c r="F3138">
        <v>1718</v>
      </c>
      <c r="G3138">
        <v>22</v>
      </c>
      <c r="H3138">
        <v>5</v>
      </c>
      <c r="I3138">
        <v>57063</v>
      </c>
      <c r="J3138">
        <v>10</v>
      </c>
      <c r="K3138">
        <v>49163</v>
      </c>
      <c r="L3138">
        <v>10</v>
      </c>
      <c r="M3138">
        <v>2144</v>
      </c>
      <c r="N3138">
        <v>582</v>
      </c>
      <c r="O3138">
        <f t="shared" si="98"/>
        <v>2024</v>
      </c>
      <c r="P3138">
        <f t="shared" si="99"/>
        <v>5</v>
      </c>
      <c r="Q3138" t="s">
        <v>325</v>
      </c>
      <c r="R3138" s="546" t="s">
        <v>804</v>
      </c>
    </row>
    <row r="3139" spans="1:18" x14ac:dyDescent="0.3">
      <c r="A3139" t="s">
        <v>627</v>
      </c>
      <c r="B3139" s="16">
        <v>45443</v>
      </c>
      <c r="C3139" t="s">
        <v>2</v>
      </c>
      <c r="D3139" t="s">
        <v>55</v>
      </c>
      <c r="E3139">
        <v>5613</v>
      </c>
      <c r="F3139">
        <v>4925</v>
      </c>
      <c r="G3139">
        <v>5</v>
      </c>
      <c r="H3139">
        <v>3</v>
      </c>
      <c r="I3139">
        <v>0</v>
      </c>
      <c r="J3139">
        <v>0</v>
      </c>
      <c r="K3139">
        <v>0</v>
      </c>
      <c r="L3139">
        <v>0</v>
      </c>
      <c r="M3139">
        <v>28</v>
      </c>
      <c r="N3139">
        <v>2969</v>
      </c>
      <c r="O3139">
        <f t="shared" si="98"/>
        <v>2024</v>
      </c>
      <c r="P3139">
        <f t="shared" si="99"/>
        <v>5</v>
      </c>
      <c r="Q3139" t="s">
        <v>325</v>
      </c>
      <c r="R3139" s="546" t="s">
        <v>804</v>
      </c>
    </row>
    <row r="3140" spans="1:18" x14ac:dyDescent="0.3">
      <c r="A3140" t="s">
        <v>627</v>
      </c>
      <c r="B3140" s="16">
        <v>45443</v>
      </c>
      <c r="C3140" t="s">
        <v>3</v>
      </c>
      <c r="D3140" t="s">
        <v>154</v>
      </c>
      <c r="E3140">
        <v>1912</v>
      </c>
      <c r="F3140">
        <v>1804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1</v>
      </c>
      <c r="N3140">
        <v>4</v>
      </c>
      <c r="O3140">
        <f t="shared" si="98"/>
        <v>2024</v>
      </c>
      <c r="P3140">
        <f t="shared" si="99"/>
        <v>5</v>
      </c>
      <c r="Q3140" t="s">
        <v>325</v>
      </c>
      <c r="R3140" s="546" t="s">
        <v>804</v>
      </c>
    </row>
    <row r="3141" spans="1:18" x14ac:dyDescent="0.3">
      <c r="A3141" t="s">
        <v>627</v>
      </c>
      <c r="B3141" s="16">
        <v>45443</v>
      </c>
      <c r="C3141" t="s">
        <v>3</v>
      </c>
      <c r="D3141" t="s">
        <v>153</v>
      </c>
      <c r="E3141">
        <v>644</v>
      </c>
      <c r="F3141">
        <v>182</v>
      </c>
      <c r="G3141">
        <v>77</v>
      </c>
      <c r="H3141">
        <v>7</v>
      </c>
      <c r="I3141">
        <v>364214.74</v>
      </c>
      <c r="J3141">
        <v>102</v>
      </c>
      <c r="K3141">
        <v>310289.74</v>
      </c>
      <c r="L3141">
        <v>94</v>
      </c>
      <c r="M3141">
        <v>185</v>
      </c>
      <c r="N3141">
        <v>619</v>
      </c>
      <c r="O3141">
        <f t="shared" si="98"/>
        <v>2024</v>
      </c>
      <c r="P3141">
        <f t="shared" si="99"/>
        <v>5</v>
      </c>
      <c r="Q3141" t="s">
        <v>325</v>
      </c>
      <c r="R3141" s="546" t="s">
        <v>804</v>
      </c>
    </row>
    <row r="3142" spans="1:18" x14ac:dyDescent="0.3">
      <c r="A3142" t="s">
        <v>627</v>
      </c>
      <c r="B3142" s="16">
        <v>45443</v>
      </c>
      <c r="C3142" t="s">
        <v>3</v>
      </c>
      <c r="D3142" t="s">
        <v>152</v>
      </c>
      <c r="E3142">
        <v>19</v>
      </c>
      <c r="F3142">
        <v>6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8</v>
      </c>
      <c r="O3142">
        <f t="shared" si="98"/>
        <v>2024</v>
      </c>
      <c r="P3142">
        <f t="shared" si="99"/>
        <v>5</v>
      </c>
      <c r="Q3142" t="s">
        <v>325</v>
      </c>
      <c r="R3142" s="546" t="s">
        <v>804</v>
      </c>
    </row>
    <row r="3143" spans="1:18" x14ac:dyDescent="0.3">
      <c r="A3143" t="s">
        <v>627</v>
      </c>
      <c r="B3143" s="16">
        <v>45443</v>
      </c>
      <c r="C3143" t="s">
        <v>3</v>
      </c>
      <c r="D3143" t="s">
        <v>149</v>
      </c>
      <c r="E3143">
        <v>35</v>
      </c>
      <c r="F3143">
        <v>16</v>
      </c>
      <c r="G3143">
        <v>3</v>
      </c>
      <c r="H3143">
        <v>0</v>
      </c>
      <c r="I3143">
        <v>6500</v>
      </c>
      <c r="J3143">
        <v>1</v>
      </c>
      <c r="K3143">
        <v>6500</v>
      </c>
      <c r="L3143">
        <v>1</v>
      </c>
      <c r="M3143">
        <v>8</v>
      </c>
      <c r="N3143">
        <v>29</v>
      </c>
      <c r="O3143">
        <f t="shared" si="98"/>
        <v>2024</v>
      </c>
      <c r="P3143">
        <f t="shared" si="99"/>
        <v>5</v>
      </c>
      <c r="Q3143" t="s">
        <v>325</v>
      </c>
      <c r="R3143" s="546" t="s">
        <v>804</v>
      </c>
    </row>
    <row r="3144" spans="1:18" x14ac:dyDescent="0.3">
      <c r="A3144" t="s">
        <v>627</v>
      </c>
      <c r="B3144" s="16">
        <v>45443</v>
      </c>
      <c r="C3144" t="s">
        <v>3</v>
      </c>
      <c r="D3144" t="s">
        <v>148</v>
      </c>
      <c r="E3144">
        <v>3</v>
      </c>
      <c r="F3144">
        <v>3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2</v>
      </c>
      <c r="N3144">
        <v>1</v>
      </c>
      <c r="O3144">
        <f t="shared" si="98"/>
        <v>2024</v>
      </c>
      <c r="P3144">
        <f t="shared" si="99"/>
        <v>5</v>
      </c>
      <c r="Q3144" t="s">
        <v>325</v>
      </c>
      <c r="R3144" s="546" t="s">
        <v>804</v>
      </c>
    </row>
    <row r="3145" spans="1:18" x14ac:dyDescent="0.3">
      <c r="A3145" t="s">
        <v>627</v>
      </c>
      <c r="B3145" s="16">
        <v>45443</v>
      </c>
      <c r="C3145" t="s">
        <v>3</v>
      </c>
      <c r="D3145" t="s">
        <v>147</v>
      </c>
      <c r="E3145">
        <v>53</v>
      </c>
      <c r="F3145">
        <v>38</v>
      </c>
      <c r="G3145">
        <v>2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53</v>
      </c>
      <c r="O3145">
        <f t="shared" si="98"/>
        <v>2024</v>
      </c>
      <c r="P3145">
        <f t="shared" si="99"/>
        <v>5</v>
      </c>
      <c r="Q3145" t="s">
        <v>325</v>
      </c>
      <c r="R3145" s="546" t="s">
        <v>804</v>
      </c>
    </row>
    <row r="3146" spans="1:18" x14ac:dyDescent="0.3">
      <c r="A3146" t="s">
        <v>627</v>
      </c>
      <c r="B3146" s="16">
        <v>45443</v>
      </c>
      <c r="C3146" t="s">
        <v>3</v>
      </c>
      <c r="D3146" t="s">
        <v>251</v>
      </c>
      <c r="E3146">
        <v>2788</v>
      </c>
      <c r="F3146">
        <v>1916</v>
      </c>
      <c r="G3146">
        <v>18</v>
      </c>
      <c r="H3146">
        <v>4</v>
      </c>
      <c r="I3146">
        <v>26282.44</v>
      </c>
      <c r="J3146">
        <v>10</v>
      </c>
      <c r="K3146">
        <v>23867.08</v>
      </c>
      <c r="L3146">
        <v>9</v>
      </c>
      <c r="M3146">
        <v>85</v>
      </c>
      <c r="N3146">
        <v>693</v>
      </c>
      <c r="O3146">
        <f t="shared" si="98"/>
        <v>2024</v>
      </c>
      <c r="P3146">
        <f t="shared" si="99"/>
        <v>5</v>
      </c>
      <c r="Q3146" t="s">
        <v>325</v>
      </c>
      <c r="R3146" s="546" t="s">
        <v>804</v>
      </c>
    </row>
    <row r="3147" spans="1:18" x14ac:dyDescent="0.3">
      <c r="A3147" t="s">
        <v>627</v>
      </c>
      <c r="B3147" s="16">
        <v>45443</v>
      </c>
      <c r="C3147" t="s">
        <v>3</v>
      </c>
      <c r="D3147" t="s">
        <v>143</v>
      </c>
      <c r="E3147">
        <v>12</v>
      </c>
      <c r="F3147">
        <v>11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12</v>
      </c>
      <c r="O3147">
        <f t="shared" si="98"/>
        <v>2024</v>
      </c>
      <c r="P3147">
        <f t="shared" si="99"/>
        <v>5</v>
      </c>
      <c r="Q3147" t="s">
        <v>325</v>
      </c>
      <c r="R3147" s="546" t="s">
        <v>804</v>
      </c>
    </row>
    <row r="3148" spans="1:18" x14ac:dyDescent="0.3">
      <c r="A3148" t="s">
        <v>627</v>
      </c>
      <c r="B3148" s="16">
        <v>45443</v>
      </c>
      <c r="C3148" t="s">
        <v>3</v>
      </c>
      <c r="D3148" t="s">
        <v>142</v>
      </c>
      <c r="E3148">
        <v>23</v>
      </c>
      <c r="F3148">
        <v>7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1</v>
      </c>
      <c r="N3148">
        <v>23</v>
      </c>
      <c r="O3148">
        <f t="shared" si="98"/>
        <v>2024</v>
      </c>
      <c r="P3148">
        <f t="shared" si="99"/>
        <v>5</v>
      </c>
      <c r="Q3148" t="s">
        <v>325</v>
      </c>
      <c r="R3148" s="546" t="s">
        <v>804</v>
      </c>
    </row>
    <row r="3149" spans="1:18" x14ac:dyDescent="0.3">
      <c r="A3149" t="s">
        <v>627</v>
      </c>
      <c r="B3149" s="16">
        <v>45443</v>
      </c>
      <c r="C3149" t="s">
        <v>3</v>
      </c>
      <c r="D3149" t="s">
        <v>141</v>
      </c>
      <c r="E3149">
        <v>6</v>
      </c>
      <c r="F3149">
        <v>6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3</v>
      </c>
      <c r="N3149">
        <v>3</v>
      </c>
      <c r="O3149">
        <f t="shared" si="98"/>
        <v>2024</v>
      </c>
      <c r="P3149">
        <f t="shared" si="99"/>
        <v>5</v>
      </c>
      <c r="Q3149" t="s">
        <v>325</v>
      </c>
      <c r="R3149" s="546" t="s">
        <v>804</v>
      </c>
    </row>
    <row r="3150" spans="1:18" x14ac:dyDescent="0.3">
      <c r="A3150" t="s">
        <v>627</v>
      </c>
      <c r="B3150" s="16">
        <v>45443</v>
      </c>
      <c r="C3150" t="s">
        <v>3</v>
      </c>
      <c r="D3150" t="s">
        <v>140</v>
      </c>
      <c r="E3150">
        <v>8</v>
      </c>
      <c r="F3150">
        <v>8</v>
      </c>
      <c r="G3150">
        <v>2</v>
      </c>
      <c r="H3150">
        <v>1</v>
      </c>
      <c r="I3150">
        <v>8600</v>
      </c>
      <c r="J3150">
        <v>2</v>
      </c>
      <c r="K3150">
        <v>8600</v>
      </c>
      <c r="L3150">
        <v>2</v>
      </c>
      <c r="M3150">
        <v>2</v>
      </c>
      <c r="N3150">
        <v>8</v>
      </c>
      <c r="O3150">
        <f t="shared" si="98"/>
        <v>2024</v>
      </c>
      <c r="P3150">
        <f t="shared" si="99"/>
        <v>5</v>
      </c>
      <c r="Q3150" t="s">
        <v>325</v>
      </c>
      <c r="R3150" s="546" t="s">
        <v>804</v>
      </c>
    </row>
    <row r="3151" spans="1:18" x14ac:dyDescent="0.3">
      <c r="A3151" t="s">
        <v>627</v>
      </c>
      <c r="B3151" s="16">
        <v>45443</v>
      </c>
      <c r="C3151" t="s">
        <v>3</v>
      </c>
      <c r="D3151" t="s">
        <v>139</v>
      </c>
      <c r="E3151">
        <v>641</v>
      </c>
      <c r="F3151">
        <v>323</v>
      </c>
      <c r="G3151">
        <v>29</v>
      </c>
      <c r="H3151">
        <v>1</v>
      </c>
      <c r="I3151">
        <v>94050.55</v>
      </c>
      <c r="J3151">
        <v>22</v>
      </c>
      <c r="K3151">
        <v>51474.91</v>
      </c>
      <c r="L3151">
        <v>17</v>
      </c>
      <c r="M3151">
        <v>329</v>
      </c>
      <c r="N3151">
        <v>377</v>
      </c>
      <c r="O3151">
        <f t="shared" si="98"/>
        <v>2024</v>
      </c>
      <c r="P3151">
        <f t="shared" si="99"/>
        <v>5</v>
      </c>
      <c r="Q3151" t="s">
        <v>325</v>
      </c>
      <c r="R3151" s="546" t="s">
        <v>804</v>
      </c>
    </row>
    <row r="3152" spans="1:18" x14ac:dyDescent="0.3">
      <c r="A3152" t="s">
        <v>627</v>
      </c>
      <c r="B3152" s="16">
        <v>45443</v>
      </c>
      <c r="C3152" t="s">
        <v>3</v>
      </c>
      <c r="D3152" t="s">
        <v>138</v>
      </c>
      <c r="E3152">
        <v>44</v>
      </c>
      <c r="F3152">
        <v>30</v>
      </c>
      <c r="G3152">
        <v>2</v>
      </c>
      <c r="H3152">
        <v>0</v>
      </c>
      <c r="I3152">
        <v>1498</v>
      </c>
      <c r="J3152">
        <v>1</v>
      </c>
      <c r="K3152">
        <v>1498</v>
      </c>
      <c r="L3152">
        <v>1</v>
      </c>
      <c r="M3152">
        <v>9</v>
      </c>
      <c r="N3152">
        <v>39</v>
      </c>
      <c r="O3152">
        <f t="shared" si="98"/>
        <v>2024</v>
      </c>
      <c r="P3152">
        <f t="shared" si="99"/>
        <v>5</v>
      </c>
      <c r="Q3152" t="s">
        <v>325</v>
      </c>
      <c r="R3152" s="546" t="s">
        <v>804</v>
      </c>
    </row>
    <row r="3153" spans="1:18" x14ac:dyDescent="0.3">
      <c r="A3153" t="s">
        <v>627</v>
      </c>
      <c r="B3153" s="16">
        <v>45443</v>
      </c>
      <c r="C3153" t="s">
        <v>3</v>
      </c>
      <c r="D3153" t="s">
        <v>137</v>
      </c>
      <c r="E3153">
        <v>3</v>
      </c>
      <c r="F3153">
        <v>2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3</v>
      </c>
      <c r="O3153">
        <f t="shared" si="98"/>
        <v>2024</v>
      </c>
      <c r="P3153">
        <f t="shared" si="99"/>
        <v>5</v>
      </c>
      <c r="Q3153" t="s">
        <v>325</v>
      </c>
      <c r="R3153" s="546" t="s">
        <v>804</v>
      </c>
    </row>
    <row r="3154" spans="1:18" x14ac:dyDescent="0.3">
      <c r="A3154" t="s">
        <v>627</v>
      </c>
      <c r="B3154" s="16">
        <v>45443</v>
      </c>
      <c r="C3154" t="s">
        <v>3</v>
      </c>
      <c r="D3154" t="s">
        <v>133</v>
      </c>
      <c r="E3154">
        <v>38</v>
      </c>
      <c r="F3154">
        <v>20</v>
      </c>
      <c r="G3154">
        <v>8</v>
      </c>
      <c r="H3154">
        <v>0</v>
      </c>
      <c r="I3154">
        <v>10773</v>
      </c>
      <c r="J3154">
        <v>5</v>
      </c>
      <c r="K3154">
        <v>10773</v>
      </c>
      <c r="L3154">
        <v>5</v>
      </c>
      <c r="M3154">
        <v>10</v>
      </c>
      <c r="N3154">
        <v>33</v>
      </c>
      <c r="O3154">
        <f t="shared" si="98"/>
        <v>2024</v>
      </c>
      <c r="P3154">
        <f t="shared" si="99"/>
        <v>5</v>
      </c>
      <c r="Q3154" t="s">
        <v>325</v>
      </c>
      <c r="R3154" s="546" t="s">
        <v>804</v>
      </c>
    </row>
    <row r="3155" spans="1:18" x14ac:dyDescent="0.3">
      <c r="A3155" t="s">
        <v>627</v>
      </c>
      <c r="B3155" s="16">
        <v>45443</v>
      </c>
      <c r="C3155" t="s">
        <v>3</v>
      </c>
      <c r="D3155" t="s">
        <v>130</v>
      </c>
      <c r="E3155">
        <v>132</v>
      </c>
      <c r="F3155">
        <v>54</v>
      </c>
      <c r="G3155">
        <v>16</v>
      </c>
      <c r="H3155">
        <v>3</v>
      </c>
      <c r="I3155">
        <v>32727</v>
      </c>
      <c r="J3155">
        <v>12</v>
      </c>
      <c r="K3155">
        <v>27652</v>
      </c>
      <c r="L3155">
        <v>11</v>
      </c>
      <c r="M3155">
        <v>62</v>
      </c>
      <c r="N3155">
        <v>118</v>
      </c>
      <c r="O3155">
        <f t="shared" si="98"/>
        <v>2024</v>
      </c>
      <c r="P3155">
        <f t="shared" si="99"/>
        <v>5</v>
      </c>
      <c r="Q3155" t="s">
        <v>325</v>
      </c>
      <c r="R3155" s="546" t="s">
        <v>804</v>
      </c>
    </row>
    <row r="3156" spans="1:18" x14ac:dyDescent="0.3">
      <c r="A3156" t="s">
        <v>627</v>
      </c>
      <c r="B3156" s="16">
        <v>45443</v>
      </c>
      <c r="C3156" t="s">
        <v>3</v>
      </c>
      <c r="D3156" t="s">
        <v>128</v>
      </c>
      <c r="E3156">
        <v>1056</v>
      </c>
      <c r="F3156">
        <v>808</v>
      </c>
      <c r="G3156">
        <v>108</v>
      </c>
      <c r="H3156">
        <v>17</v>
      </c>
      <c r="I3156">
        <v>61227</v>
      </c>
      <c r="J3156">
        <v>24</v>
      </c>
      <c r="K3156">
        <v>52971</v>
      </c>
      <c r="L3156">
        <v>21</v>
      </c>
      <c r="M3156">
        <v>264</v>
      </c>
      <c r="N3156">
        <v>968</v>
      </c>
      <c r="O3156">
        <f t="shared" si="98"/>
        <v>2024</v>
      </c>
      <c r="P3156">
        <f t="shared" si="99"/>
        <v>5</v>
      </c>
      <c r="Q3156" t="s">
        <v>325</v>
      </c>
      <c r="R3156" s="546" t="s">
        <v>804</v>
      </c>
    </row>
    <row r="3157" spans="1:18" x14ac:dyDescent="0.3">
      <c r="A3157" t="s">
        <v>627</v>
      </c>
      <c r="B3157" s="16">
        <v>45443</v>
      </c>
      <c r="C3157" t="s">
        <v>3</v>
      </c>
      <c r="D3157" t="s">
        <v>127</v>
      </c>
      <c r="E3157">
        <v>2385</v>
      </c>
      <c r="F3157">
        <v>1302</v>
      </c>
      <c r="G3157">
        <v>48</v>
      </c>
      <c r="H3157">
        <v>20</v>
      </c>
      <c r="I3157">
        <v>41224.58</v>
      </c>
      <c r="J3157">
        <v>13</v>
      </c>
      <c r="K3157">
        <v>31122.58</v>
      </c>
      <c r="L3157">
        <v>10</v>
      </c>
      <c r="M3157">
        <v>233</v>
      </c>
      <c r="N3157">
        <v>2088</v>
      </c>
      <c r="O3157">
        <f t="shared" si="98"/>
        <v>2024</v>
      </c>
      <c r="P3157">
        <f t="shared" si="99"/>
        <v>5</v>
      </c>
      <c r="Q3157" t="s">
        <v>325</v>
      </c>
      <c r="R3157" s="546" t="s">
        <v>804</v>
      </c>
    </row>
    <row r="3158" spans="1:18" x14ac:dyDescent="0.3">
      <c r="A3158" t="s">
        <v>627</v>
      </c>
      <c r="B3158" s="16">
        <v>45443</v>
      </c>
      <c r="C3158" t="s">
        <v>3</v>
      </c>
      <c r="D3158" t="s">
        <v>126</v>
      </c>
      <c r="E3158">
        <v>82</v>
      </c>
      <c r="F3158">
        <v>60</v>
      </c>
      <c r="G3158">
        <v>3</v>
      </c>
      <c r="H3158">
        <v>3</v>
      </c>
      <c r="I3158">
        <v>1867</v>
      </c>
      <c r="J3158">
        <v>1</v>
      </c>
      <c r="K3158">
        <v>1867</v>
      </c>
      <c r="L3158">
        <v>1</v>
      </c>
      <c r="M3158">
        <v>11</v>
      </c>
      <c r="N3158">
        <v>80</v>
      </c>
      <c r="O3158">
        <f t="shared" si="98"/>
        <v>2024</v>
      </c>
      <c r="P3158">
        <f t="shared" si="99"/>
        <v>5</v>
      </c>
      <c r="Q3158" t="s">
        <v>325</v>
      </c>
      <c r="R3158" s="546" t="s">
        <v>804</v>
      </c>
    </row>
    <row r="3159" spans="1:18" x14ac:dyDescent="0.3">
      <c r="A3159" t="s">
        <v>627</v>
      </c>
      <c r="B3159" s="16">
        <v>45443</v>
      </c>
      <c r="C3159" t="s">
        <v>3</v>
      </c>
      <c r="D3159" t="s">
        <v>125</v>
      </c>
      <c r="E3159">
        <v>2</v>
      </c>
      <c r="F3159">
        <v>2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1</v>
      </c>
      <c r="N3159">
        <v>2</v>
      </c>
      <c r="O3159">
        <f t="shared" si="98"/>
        <v>2024</v>
      </c>
      <c r="P3159">
        <f t="shared" si="99"/>
        <v>5</v>
      </c>
      <c r="Q3159" t="s">
        <v>325</v>
      </c>
      <c r="R3159" s="546" t="s">
        <v>804</v>
      </c>
    </row>
    <row r="3160" spans="1:18" x14ac:dyDescent="0.3">
      <c r="A3160" t="s">
        <v>627</v>
      </c>
      <c r="B3160" s="16">
        <v>45443</v>
      </c>
      <c r="C3160" t="s">
        <v>3</v>
      </c>
      <c r="D3160" t="s">
        <v>123</v>
      </c>
      <c r="E3160">
        <v>141</v>
      </c>
      <c r="F3160">
        <v>62</v>
      </c>
      <c r="G3160">
        <v>10</v>
      </c>
      <c r="H3160">
        <v>2</v>
      </c>
      <c r="I3160">
        <v>10793</v>
      </c>
      <c r="J3160">
        <v>3</v>
      </c>
      <c r="K3160">
        <v>10793</v>
      </c>
      <c r="L3160">
        <v>3</v>
      </c>
      <c r="M3160">
        <v>60</v>
      </c>
      <c r="N3160">
        <v>118</v>
      </c>
      <c r="O3160">
        <f t="shared" si="98"/>
        <v>2024</v>
      </c>
      <c r="P3160">
        <f t="shared" si="99"/>
        <v>5</v>
      </c>
      <c r="Q3160" t="s">
        <v>325</v>
      </c>
      <c r="R3160" s="546" t="s">
        <v>804</v>
      </c>
    </row>
    <row r="3161" spans="1:18" x14ac:dyDescent="0.3">
      <c r="A3161" t="s">
        <v>627</v>
      </c>
      <c r="B3161" s="16">
        <v>45443</v>
      </c>
      <c r="C3161" t="s">
        <v>3</v>
      </c>
      <c r="D3161" t="s">
        <v>121</v>
      </c>
      <c r="E3161">
        <v>2</v>
      </c>
      <c r="F3161">
        <v>1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2</v>
      </c>
      <c r="O3161">
        <f t="shared" si="98"/>
        <v>2024</v>
      </c>
      <c r="P3161">
        <f t="shared" si="99"/>
        <v>5</v>
      </c>
      <c r="Q3161" t="s">
        <v>325</v>
      </c>
      <c r="R3161" s="546" t="s">
        <v>804</v>
      </c>
    </row>
    <row r="3162" spans="1:18" x14ac:dyDescent="0.3">
      <c r="A3162" t="s">
        <v>627</v>
      </c>
      <c r="B3162" s="16">
        <v>45443</v>
      </c>
      <c r="C3162" t="s">
        <v>3</v>
      </c>
      <c r="D3162" t="s">
        <v>120</v>
      </c>
      <c r="E3162">
        <v>541</v>
      </c>
      <c r="F3162">
        <v>312</v>
      </c>
      <c r="G3162">
        <v>5</v>
      </c>
      <c r="H3162">
        <v>0</v>
      </c>
      <c r="I3162">
        <v>16753.5</v>
      </c>
      <c r="J3162">
        <v>8</v>
      </c>
      <c r="K3162">
        <v>12738.5</v>
      </c>
      <c r="L3162">
        <v>7</v>
      </c>
      <c r="M3162">
        <v>54</v>
      </c>
      <c r="N3162">
        <v>535</v>
      </c>
      <c r="O3162">
        <f t="shared" si="98"/>
        <v>2024</v>
      </c>
      <c r="P3162">
        <f t="shared" si="99"/>
        <v>5</v>
      </c>
      <c r="Q3162" t="s">
        <v>325</v>
      </c>
      <c r="R3162" s="546" t="s">
        <v>804</v>
      </c>
    </row>
    <row r="3163" spans="1:18" x14ac:dyDescent="0.3">
      <c r="A3163" t="s">
        <v>627</v>
      </c>
      <c r="B3163" s="16">
        <v>45443</v>
      </c>
      <c r="C3163" t="s">
        <v>3</v>
      </c>
      <c r="D3163" t="s">
        <v>119</v>
      </c>
      <c r="E3163">
        <v>373</v>
      </c>
      <c r="F3163">
        <v>87</v>
      </c>
      <c r="G3163">
        <v>40</v>
      </c>
      <c r="H3163">
        <v>4</v>
      </c>
      <c r="I3163">
        <v>82632.639999999999</v>
      </c>
      <c r="J3163">
        <v>22</v>
      </c>
      <c r="K3163">
        <v>55968</v>
      </c>
      <c r="L3163">
        <v>18</v>
      </c>
      <c r="M3163">
        <v>76</v>
      </c>
      <c r="N3163">
        <v>358</v>
      </c>
      <c r="O3163">
        <f t="shared" si="98"/>
        <v>2024</v>
      </c>
      <c r="P3163">
        <f t="shared" si="99"/>
        <v>5</v>
      </c>
      <c r="Q3163" t="s">
        <v>325</v>
      </c>
      <c r="R3163" s="546" t="s">
        <v>804</v>
      </c>
    </row>
    <row r="3164" spans="1:18" x14ac:dyDescent="0.3">
      <c r="A3164" t="s">
        <v>627</v>
      </c>
      <c r="B3164" s="16">
        <v>45443</v>
      </c>
      <c r="C3164" t="s">
        <v>3</v>
      </c>
      <c r="D3164" t="s">
        <v>115</v>
      </c>
      <c r="E3164">
        <v>8</v>
      </c>
      <c r="F3164">
        <v>3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8</v>
      </c>
      <c r="O3164">
        <f t="shared" si="98"/>
        <v>2024</v>
      </c>
      <c r="P3164">
        <f t="shared" si="99"/>
        <v>5</v>
      </c>
      <c r="Q3164" t="s">
        <v>325</v>
      </c>
      <c r="R3164" s="546" t="s">
        <v>804</v>
      </c>
    </row>
    <row r="3165" spans="1:18" x14ac:dyDescent="0.3">
      <c r="A3165" t="s">
        <v>627</v>
      </c>
      <c r="B3165" s="16">
        <v>45443</v>
      </c>
      <c r="C3165" t="s">
        <v>3</v>
      </c>
      <c r="D3165" t="s">
        <v>114</v>
      </c>
      <c r="E3165">
        <v>149</v>
      </c>
      <c r="F3165">
        <v>70</v>
      </c>
      <c r="G3165">
        <v>3</v>
      </c>
      <c r="H3165">
        <v>1</v>
      </c>
      <c r="I3165">
        <v>0</v>
      </c>
      <c r="J3165">
        <v>0</v>
      </c>
      <c r="K3165">
        <v>0</v>
      </c>
      <c r="L3165">
        <v>0</v>
      </c>
      <c r="M3165">
        <v>28</v>
      </c>
      <c r="N3165">
        <v>129</v>
      </c>
      <c r="O3165">
        <f t="shared" si="98"/>
        <v>2024</v>
      </c>
      <c r="P3165">
        <f t="shared" si="99"/>
        <v>5</v>
      </c>
      <c r="Q3165" t="s">
        <v>325</v>
      </c>
      <c r="R3165" s="546" t="s">
        <v>804</v>
      </c>
    </row>
    <row r="3166" spans="1:18" x14ac:dyDescent="0.3">
      <c r="A3166" t="s">
        <v>627</v>
      </c>
      <c r="B3166" s="16">
        <v>45443</v>
      </c>
      <c r="C3166" t="s">
        <v>3</v>
      </c>
      <c r="D3166" t="s">
        <v>113</v>
      </c>
      <c r="E3166">
        <v>180</v>
      </c>
      <c r="F3166">
        <v>90</v>
      </c>
      <c r="G3166">
        <v>2</v>
      </c>
      <c r="H3166">
        <v>1</v>
      </c>
      <c r="I3166">
        <v>0</v>
      </c>
      <c r="J3166">
        <v>0</v>
      </c>
      <c r="K3166">
        <v>0</v>
      </c>
      <c r="L3166">
        <v>0</v>
      </c>
      <c r="M3166">
        <v>131</v>
      </c>
      <c r="N3166">
        <v>101</v>
      </c>
      <c r="O3166">
        <f t="shared" si="98"/>
        <v>2024</v>
      </c>
      <c r="P3166">
        <f t="shared" si="99"/>
        <v>5</v>
      </c>
      <c r="Q3166" t="s">
        <v>325</v>
      </c>
      <c r="R3166" s="546" t="s">
        <v>804</v>
      </c>
    </row>
    <row r="3167" spans="1:18" x14ac:dyDescent="0.3">
      <c r="A3167" t="s">
        <v>627</v>
      </c>
      <c r="B3167" s="16">
        <v>45443</v>
      </c>
      <c r="C3167" t="s">
        <v>3</v>
      </c>
      <c r="D3167" t="s">
        <v>112</v>
      </c>
      <c r="E3167">
        <v>21</v>
      </c>
      <c r="F3167">
        <v>8</v>
      </c>
      <c r="G3167">
        <v>1</v>
      </c>
      <c r="H3167">
        <v>0</v>
      </c>
      <c r="I3167">
        <v>9701.01</v>
      </c>
      <c r="J3167">
        <v>5</v>
      </c>
      <c r="K3167">
        <v>9701.01</v>
      </c>
      <c r="L3167">
        <v>5</v>
      </c>
      <c r="M3167">
        <v>1</v>
      </c>
      <c r="N3167">
        <v>21</v>
      </c>
      <c r="O3167">
        <f t="shared" si="98"/>
        <v>2024</v>
      </c>
      <c r="P3167">
        <f t="shared" si="99"/>
        <v>5</v>
      </c>
      <c r="Q3167" t="s">
        <v>325</v>
      </c>
      <c r="R3167" s="546" t="s">
        <v>804</v>
      </c>
    </row>
    <row r="3168" spans="1:18" x14ac:dyDescent="0.3">
      <c r="A3168" t="s">
        <v>627</v>
      </c>
      <c r="B3168" s="16">
        <v>45443</v>
      </c>
      <c r="C3168" t="s">
        <v>3</v>
      </c>
      <c r="D3168" t="s">
        <v>111</v>
      </c>
      <c r="E3168">
        <v>22</v>
      </c>
      <c r="F3168">
        <v>17</v>
      </c>
      <c r="G3168">
        <v>2</v>
      </c>
      <c r="H3168">
        <v>0</v>
      </c>
      <c r="I3168">
        <v>7767.5</v>
      </c>
      <c r="J3168">
        <v>2</v>
      </c>
      <c r="K3168">
        <v>7767.5</v>
      </c>
      <c r="L3168">
        <v>2</v>
      </c>
      <c r="M3168">
        <v>1</v>
      </c>
      <c r="N3168">
        <v>22</v>
      </c>
      <c r="O3168">
        <f t="shared" si="98"/>
        <v>2024</v>
      </c>
      <c r="P3168">
        <f t="shared" si="99"/>
        <v>5</v>
      </c>
      <c r="Q3168" t="s">
        <v>325</v>
      </c>
      <c r="R3168" s="546" t="s">
        <v>804</v>
      </c>
    </row>
    <row r="3169" spans="1:18" x14ac:dyDescent="0.3">
      <c r="A3169" t="s">
        <v>627</v>
      </c>
      <c r="B3169" s="16">
        <v>45442</v>
      </c>
      <c r="C3169" t="s">
        <v>2</v>
      </c>
      <c r="D3169" t="s">
        <v>4</v>
      </c>
      <c r="E3169">
        <v>308</v>
      </c>
      <c r="F3169">
        <v>89</v>
      </c>
      <c r="G3169">
        <v>2</v>
      </c>
      <c r="H3169">
        <v>1</v>
      </c>
      <c r="I3169">
        <v>5483</v>
      </c>
      <c r="J3169">
        <v>3</v>
      </c>
      <c r="K3169">
        <v>5483</v>
      </c>
      <c r="L3169">
        <v>3</v>
      </c>
      <c r="M3169">
        <v>10</v>
      </c>
      <c r="N3169">
        <v>303</v>
      </c>
      <c r="O3169">
        <f t="shared" si="98"/>
        <v>2024</v>
      </c>
      <c r="P3169">
        <f t="shared" si="99"/>
        <v>5</v>
      </c>
      <c r="Q3169" t="s">
        <v>325</v>
      </c>
      <c r="R3169" s="546" t="s">
        <v>804</v>
      </c>
    </row>
    <row r="3170" spans="1:18" x14ac:dyDescent="0.3">
      <c r="A3170" t="s">
        <v>627</v>
      </c>
      <c r="B3170" s="16">
        <v>45442</v>
      </c>
      <c r="C3170" t="s">
        <v>2</v>
      </c>
      <c r="D3170" t="s">
        <v>57</v>
      </c>
      <c r="E3170">
        <v>19540</v>
      </c>
      <c r="F3170">
        <v>11919</v>
      </c>
      <c r="G3170">
        <v>94</v>
      </c>
      <c r="H3170">
        <v>71</v>
      </c>
      <c r="I3170">
        <v>80505</v>
      </c>
      <c r="J3170">
        <v>19</v>
      </c>
      <c r="K3170">
        <v>44660</v>
      </c>
      <c r="L3170">
        <v>12</v>
      </c>
      <c r="M3170">
        <v>686</v>
      </c>
      <c r="N3170">
        <v>19508</v>
      </c>
      <c r="O3170">
        <f t="shared" si="98"/>
        <v>2024</v>
      </c>
      <c r="P3170">
        <f t="shared" si="99"/>
        <v>5</v>
      </c>
      <c r="Q3170" t="s">
        <v>325</v>
      </c>
      <c r="R3170" s="546" t="s">
        <v>804</v>
      </c>
    </row>
    <row r="3171" spans="1:18" x14ac:dyDescent="0.3">
      <c r="A3171" t="s">
        <v>627</v>
      </c>
      <c r="B3171" s="16">
        <v>45442</v>
      </c>
      <c r="C3171" t="s">
        <v>2</v>
      </c>
      <c r="D3171" t="s">
        <v>52</v>
      </c>
      <c r="E3171">
        <v>2275</v>
      </c>
      <c r="F3171">
        <v>1816</v>
      </c>
      <c r="G3171">
        <v>13</v>
      </c>
      <c r="H3171">
        <v>7</v>
      </c>
      <c r="I3171">
        <v>12565</v>
      </c>
      <c r="J3171">
        <v>3</v>
      </c>
      <c r="K3171">
        <v>12565</v>
      </c>
      <c r="L3171">
        <v>3</v>
      </c>
      <c r="M3171">
        <v>2275</v>
      </c>
      <c r="N3171">
        <v>516</v>
      </c>
      <c r="O3171">
        <f t="shared" si="98"/>
        <v>2024</v>
      </c>
      <c r="P3171">
        <f t="shared" si="99"/>
        <v>5</v>
      </c>
      <c r="Q3171" t="s">
        <v>325</v>
      </c>
      <c r="R3171" s="546" t="s">
        <v>804</v>
      </c>
    </row>
    <row r="3172" spans="1:18" x14ac:dyDescent="0.3">
      <c r="A3172" t="s">
        <v>627</v>
      </c>
      <c r="B3172" s="16">
        <v>45442</v>
      </c>
      <c r="C3172" t="s">
        <v>2</v>
      </c>
      <c r="D3172" t="s">
        <v>55</v>
      </c>
      <c r="E3172">
        <v>2671</v>
      </c>
      <c r="F3172">
        <v>2411</v>
      </c>
      <c r="G3172">
        <v>1</v>
      </c>
      <c r="H3172">
        <v>2</v>
      </c>
      <c r="I3172">
        <v>0</v>
      </c>
      <c r="J3172">
        <v>0</v>
      </c>
      <c r="K3172">
        <v>0</v>
      </c>
      <c r="L3172">
        <v>0</v>
      </c>
      <c r="M3172">
        <v>10</v>
      </c>
      <c r="N3172">
        <v>1707</v>
      </c>
      <c r="O3172">
        <f t="shared" si="98"/>
        <v>2024</v>
      </c>
      <c r="P3172">
        <f t="shared" si="99"/>
        <v>5</v>
      </c>
      <c r="Q3172" t="s">
        <v>325</v>
      </c>
      <c r="R3172" s="546" t="s">
        <v>804</v>
      </c>
    </row>
    <row r="3173" spans="1:18" x14ac:dyDescent="0.3">
      <c r="A3173" t="s">
        <v>627</v>
      </c>
      <c r="B3173" s="16">
        <v>45442</v>
      </c>
      <c r="C3173" t="s">
        <v>3</v>
      </c>
      <c r="D3173" t="s">
        <v>155</v>
      </c>
      <c r="E3173">
        <v>3</v>
      </c>
      <c r="F3173">
        <v>3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3</v>
      </c>
      <c r="O3173">
        <f t="shared" si="98"/>
        <v>2024</v>
      </c>
      <c r="P3173">
        <f t="shared" si="99"/>
        <v>5</v>
      </c>
      <c r="Q3173" t="s">
        <v>325</v>
      </c>
      <c r="R3173" s="546" t="s">
        <v>804</v>
      </c>
    </row>
    <row r="3174" spans="1:18" x14ac:dyDescent="0.3">
      <c r="A3174" t="s">
        <v>627</v>
      </c>
      <c r="B3174" s="16">
        <v>45442</v>
      </c>
      <c r="C3174" t="s">
        <v>3</v>
      </c>
      <c r="D3174" t="s">
        <v>154</v>
      </c>
      <c r="E3174">
        <v>568</v>
      </c>
      <c r="F3174">
        <v>542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3</v>
      </c>
      <c r="O3174">
        <f t="shared" si="98"/>
        <v>2024</v>
      </c>
      <c r="P3174">
        <f t="shared" si="99"/>
        <v>5</v>
      </c>
      <c r="Q3174" t="s">
        <v>325</v>
      </c>
      <c r="R3174" s="546" t="s">
        <v>804</v>
      </c>
    </row>
    <row r="3175" spans="1:18" x14ac:dyDescent="0.3">
      <c r="A3175" t="s">
        <v>627</v>
      </c>
      <c r="B3175" s="16">
        <v>45442</v>
      </c>
      <c r="C3175" t="s">
        <v>3</v>
      </c>
      <c r="D3175" t="s">
        <v>153</v>
      </c>
      <c r="E3175">
        <v>383</v>
      </c>
      <c r="F3175">
        <v>70</v>
      </c>
      <c r="G3175">
        <v>34</v>
      </c>
      <c r="H3175">
        <v>2</v>
      </c>
      <c r="I3175">
        <v>90941</v>
      </c>
      <c r="J3175">
        <v>25</v>
      </c>
      <c r="K3175">
        <v>83972</v>
      </c>
      <c r="L3175">
        <v>23</v>
      </c>
      <c r="M3175">
        <v>96</v>
      </c>
      <c r="N3175">
        <v>371</v>
      </c>
      <c r="O3175">
        <f t="shared" si="98"/>
        <v>2024</v>
      </c>
      <c r="P3175">
        <f t="shared" si="99"/>
        <v>5</v>
      </c>
      <c r="Q3175" t="s">
        <v>325</v>
      </c>
      <c r="R3175" s="546" t="s">
        <v>804</v>
      </c>
    </row>
    <row r="3176" spans="1:18" x14ac:dyDescent="0.3">
      <c r="A3176" t="s">
        <v>627</v>
      </c>
      <c r="B3176" s="16">
        <v>45442</v>
      </c>
      <c r="C3176" t="s">
        <v>3</v>
      </c>
      <c r="D3176" t="s">
        <v>152</v>
      </c>
      <c r="E3176">
        <v>18</v>
      </c>
      <c r="F3176">
        <v>5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7</v>
      </c>
      <c r="O3176">
        <f t="shared" si="98"/>
        <v>2024</v>
      </c>
      <c r="P3176">
        <f t="shared" si="99"/>
        <v>5</v>
      </c>
      <c r="Q3176" t="s">
        <v>325</v>
      </c>
      <c r="R3176" s="546" t="s">
        <v>804</v>
      </c>
    </row>
    <row r="3177" spans="1:18" x14ac:dyDescent="0.3">
      <c r="A3177" t="s">
        <v>627</v>
      </c>
      <c r="B3177" s="16">
        <v>45442</v>
      </c>
      <c r="C3177" t="s">
        <v>3</v>
      </c>
      <c r="D3177" t="s">
        <v>150</v>
      </c>
      <c r="E3177">
        <v>5</v>
      </c>
      <c r="F3177">
        <v>2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5</v>
      </c>
      <c r="O3177">
        <f t="shared" si="98"/>
        <v>2024</v>
      </c>
      <c r="P3177">
        <f t="shared" si="99"/>
        <v>5</v>
      </c>
      <c r="Q3177" t="s">
        <v>325</v>
      </c>
      <c r="R3177" s="546" t="s">
        <v>804</v>
      </c>
    </row>
    <row r="3178" spans="1:18" x14ac:dyDescent="0.3">
      <c r="A3178" t="s">
        <v>627</v>
      </c>
      <c r="B3178" s="16">
        <v>45442</v>
      </c>
      <c r="C3178" t="s">
        <v>3</v>
      </c>
      <c r="D3178" t="s">
        <v>149</v>
      </c>
      <c r="E3178">
        <v>46</v>
      </c>
      <c r="F3178">
        <v>27</v>
      </c>
      <c r="G3178">
        <v>6</v>
      </c>
      <c r="H3178">
        <v>0</v>
      </c>
      <c r="I3178">
        <v>5277</v>
      </c>
      <c r="J3178">
        <v>2</v>
      </c>
      <c r="K3178">
        <v>3597</v>
      </c>
      <c r="L3178">
        <v>2</v>
      </c>
      <c r="M3178">
        <v>13</v>
      </c>
      <c r="N3178">
        <v>34</v>
      </c>
      <c r="O3178">
        <f t="shared" si="98"/>
        <v>2024</v>
      </c>
      <c r="P3178">
        <f t="shared" si="99"/>
        <v>5</v>
      </c>
      <c r="Q3178" t="s">
        <v>325</v>
      </c>
      <c r="R3178" s="546" t="s">
        <v>804</v>
      </c>
    </row>
    <row r="3179" spans="1:18" x14ac:dyDescent="0.3">
      <c r="A3179" t="s">
        <v>627</v>
      </c>
      <c r="B3179" s="16">
        <v>45442</v>
      </c>
      <c r="C3179" t="s">
        <v>3</v>
      </c>
      <c r="D3179" t="s">
        <v>148</v>
      </c>
      <c r="E3179">
        <v>1</v>
      </c>
      <c r="F3179">
        <v>1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1</v>
      </c>
      <c r="N3179">
        <v>0</v>
      </c>
      <c r="O3179">
        <f t="shared" si="98"/>
        <v>2024</v>
      </c>
      <c r="P3179">
        <f t="shared" si="99"/>
        <v>5</v>
      </c>
      <c r="Q3179" t="s">
        <v>325</v>
      </c>
      <c r="R3179" s="546" t="s">
        <v>804</v>
      </c>
    </row>
    <row r="3180" spans="1:18" x14ac:dyDescent="0.3">
      <c r="A3180" t="s">
        <v>627</v>
      </c>
      <c r="B3180" s="16">
        <v>45442</v>
      </c>
      <c r="C3180" t="s">
        <v>3</v>
      </c>
      <c r="D3180" t="s">
        <v>147</v>
      </c>
      <c r="E3180">
        <v>21</v>
      </c>
      <c r="F3180">
        <v>14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21</v>
      </c>
      <c r="O3180">
        <f t="shared" si="98"/>
        <v>2024</v>
      </c>
      <c r="P3180">
        <f t="shared" si="99"/>
        <v>5</v>
      </c>
      <c r="Q3180" t="s">
        <v>325</v>
      </c>
      <c r="R3180" s="546" t="s">
        <v>804</v>
      </c>
    </row>
    <row r="3181" spans="1:18" x14ac:dyDescent="0.3">
      <c r="A3181" t="s">
        <v>627</v>
      </c>
      <c r="B3181" s="16">
        <v>45442</v>
      </c>
      <c r="C3181" t="s">
        <v>3</v>
      </c>
      <c r="D3181" t="s">
        <v>251</v>
      </c>
      <c r="E3181">
        <v>1835</v>
      </c>
      <c r="F3181">
        <v>1074</v>
      </c>
      <c r="G3181">
        <v>9</v>
      </c>
      <c r="H3181">
        <v>4</v>
      </c>
      <c r="I3181">
        <v>9709</v>
      </c>
      <c r="J3181">
        <v>3</v>
      </c>
      <c r="K3181">
        <v>8029</v>
      </c>
      <c r="L3181">
        <v>3</v>
      </c>
      <c r="M3181">
        <v>46</v>
      </c>
      <c r="N3181">
        <v>687</v>
      </c>
      <c r="O3181">
        <f t="shared" si="98"/>
        <v>2024</v>
      </c>
      <c r="P3181">
        <f t="shared" si="99"/>
        <v>5</v>
      </c>
      <c r="Q3181" t="s">
        <v>325</v>
      </c>
      <c r="R3181" s="546" t="s">
        <v>804</v>
      </c>
    </row>
    <row r="3182" spans="1:18" x14ac:dyDescent="0.3">
      <c r="A3182" t="s">
        <v>627</v>
      </c>
      <c r="B3182" s="16">
        <v>45442</v>
      </c>
      <c r="C3182" t="s">
        <v>3</v>
      </c>
      <c r="D3182" t="s">
        <v>143</v>
      </c>
      <c r="E3182">
        <v>14</v>
      </c>
      <c r="F3182">
        <v>14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14</v>
      </c>
      <c r="O3182">
        <f t="shared" si="98"/>
        <v>2024</v>
      </c>
      <c r="P3182">
        <f t="shared" si="99"/>
        <v>5</v>
      </c>
      <c r="Q3182" t="s">
        <v>325</v>
      </c>
      <c r="R3182" s="546" t="s">
        <v>804</v>
      </c>
    </row>
    <row r="3183" spans="1:18" x14ac:dyDescent="0.3">
      <c r="A3183" t="s">
        <v>627</v>
      </c>
      <c r="B3183" s="16">
        <v>45442</v>
      </c>
      <c r="C3183" t="s">
        <v>3</v>
      </c>
      <c r="D3183" t="s">
        <v>142</v>
      </c>
      <c r="E3183">
        <v>24</v>
      </c>
      <c r="F3183">
        <v>10</v>
      </c>
      <c r="G3183">
        <v>1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2</v>
      </c>
      <c r="N3183">
        <v>24</v>
      </c>
      <c r="O3183">
        <f t="shared" ref="O3183:O3246" si="100">YEAR(B3183)</f>
        <v>2024</v>
      </c>
      <c r="P3183">
        <f t="shared" ref="P3183:P3246" si="101">MONTH(B3183)</f>
        <v>5</v>
      </c>
      <c r="Q3183" t="s">
        <v>325</v>
      </c>
      <c r="R3183" s="546" t="s">
        <v>804</v>
      </c>
    </row>
    <row r="3184" spans="1:18" x14ac:dyDescent="0.3">
      <c r="A3184" t="s">
        <v>627</v>
      </c>
      <c r="B3184" s="16">
        <v>45442</v>
      </c>
      <c r="C3184" t="s">
        <v>3</v>
      </c>
      <c r="D3184" t="s">
        <v>141</v>
      </c>
      <c r="E3184">
        <v>3</v>
      </c>
      <c r="F3184">
        <v>3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1</v>
      </c>
      <c r="N3184">
        <v>2</v>
      </c>
      <c r="O3184">
        <f t="shared" si="100"/>
        <v>2024</v>
      </c>
      <c r="P3184">
        <f t="shared" si="101"/>
        <v>5</v>
      </c>
      <c r="Q3184" t="s">
        <v>325</v>
      </c>
      <c r="R3184" s="546" t="s">
        <v>804</v>
      </c>
    </row>
    <row r="3185" spans="1:18" x14ac:dyDescent="0.3">
      <c r="A3185" t="s">
        <v>627</v>
      </c>
      <c r="B3185" s="16">
        <v>45442</v>
      </c>
      <c r="C3185" t="s">
        <v>3</v>
      </c>
      <c r="D3185" t="s">
        <v>140</v>
      </c>
      <c r="E3185">
        <v>5</v>
      </c>
      <c r="F3185">
        <v>3</v>
      </c>
      <c r="G3185">
        <v>2</v>
      </c>
      <c r="H3185">
        <v>0</v>
      </c>
      <c r="I3185">
        <v>3354</v>
      </c>
      <c r="J3185">
        <v>1</v>
      </c>
      <c r="K3185">
        <v>3354</v>
      </c>
      <c r="L3185">
        <v>1</v>
      </c>
      <c r="M3185">
        <v>1</v>
      </c>
      <c r="N3185">
        <v>5</v>
      </c>
      <c r="O3185">
        <f t="shared" si="100"/>
        <v>2024</v>
      </c>
      <c r="P3185">
        <f t="shared" si="101"/>
        <v>5</v>
      </c>
      <c r="Q3185" t="s">
        <v>325</v>
      </c>
      <c r="R3185" s="546" t="s">
        <v>804</v>
      </c>
    </row>
    <row r="3186" spans="1:18" x14ac:dyDescent="0.3">
      <c r="A3186" t="s">
        <v>627</v>
      </c>
      <c r="B3186" s="16">
        <v>45442</v>
      </c>
      <c r="C3186" t="s">
        <v>3</v>
      </c>
      <c r="D3186" t="s">
        <v>139</v>
      </c>
      <c r="E3186">
        <v>644</v>
      </c>
      <c r="F3186">
        <v>324</v>
      </c>
      <c r="G3186">
        <v>24</v>
      </c>
      <c r="H3186">
        <v>4</v>
      </c>
      <c r="I3186">
        <v>27154</v>
      </c>
      <c r="J3186">
        <v>8</v>
      </c>
      <c r="K3186">
        <v>18379</v>
      </c>
      <c r="L3186">
        <v>5</v>
      </c>
      <c r="M3186">
        <v>309</v>
      </c>
      <c r="N3186">
        <v>448</v>
      </c>
      <c r="O3186">
        <f t="shared" si="100"/>
        <v>2024</v>
      </c>
      <c r="P3186">
        <f t="shared" si="101"/>
        <v>5</v>
      </c>
      <c r="Q3186" t="s">
        <v>325</v>
      </c>
      <c r="R3186" s="546" t="s">
        <v>804</v>
      </c>
    </row>
    <row r="3187" spans="1:18" x14ac:dyDescent="0.3">
      <c r="A3187" t="s">
        <v>627</v>
      </c>
      <c r="B3187" s="16">
        <v>45442</v>
      </c>
      <c r="C3187" t="s">
        <v>3</v>
      </c>
      <c r="D3187" t="s">
        <v>138</v>
      </c>
      <c r="E3187">
        <v>98</v>
      </c>
      <c r="F3187">
        <v>43</v>
      </c>
      <c r="G3187">
        <v>2</v>
      </c>
      <c r="H3187">
        <v>1</v>
      </c>
      <c r="I3187">
        <v>0</v>
      </c>
      <c r="J3187">
        <v>0</v>
      </c>
      <c r="K3187">
        <v>0</v>
      </c>
      <c r="L3187">
        <v>0</v>
      </c>
      <c r="M3187">
        <v>4</v>
      </c>
      <c r="N3187">
        <v>96</v>
      </c>
      <c r="O3187">
        <f t="shared" si="100"/>
        <v>2024</v>
      </c>
      <c r="P3187">
        <f t="shared" si="101"/>
        <v>5</v>
      </c>
      <c r="Q3187" t="s">
        <v>325</v>
      </c>
      <c r="R3187" s="546" t="s">
        <v>804</v>
      </c>
    </row>
    <row r="3188" spans="1:18" x14ac:dyDescent="0.3">
      <c r="A3188" t="s">
        <v>627</v>
      </c>
      <c r="B3188" s="16">
        <v>45442</v>
      </c>
      <c r="C3188" t="s">
        <v>3</v>
      </c>
      <c r="D3188" t="s">
        <v>135</v>
      </c>
      <c r="E3188">
        <v>2</v>
      </c>
      <c r="F3188">
        <v>2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f t="shared" si="100"/>
        <v>2024</v>
      </c>
      <c r="P3188">
        <f t="shared" si="101"/>
        <v>5</v>
      </c>
      <c r="Q3188" t="s">
        <v>325</v>
      </c>
      <c r="R3188" s="546" t="s">
        <v>804</v>
      </c>
    </row>
    <row r="3189" spans="1:18" x14ac:dyDescent="0.3">
      <c r="A3189" t="s">
        <v>627</v>
      </c>
      <c r="B3189" s="16">
        <v>45442</v>
      </c>
      <c r="C3189" t="s">
        <v>3</v>
      </c>
      <c r="D3189" t="s">
        <v>133</v>
      </c>
      <c r="E3189">
        <v>23</v>
      </c>
      <c r="F3189">
        <v>10</v>
      </c>
      <c r="G3189">
        <v>2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4</v>
      </c>
      <c r="N3189">
        <v>21</v>
      </c>
      <c r="O3189">
        <f t="shared" si="100"/>
        <v>2024</v>
      </c>
      <c r="P3189">
        <f t="shared" si="101"/>
        <v>5</v>
      </c>
      <c r="Q3189" t="s">
        <v>325</v>
      </c>
      <c r="R3189" s="546" t="s">
        <v>804</v>
      </c>
    </row>
    <row r="3190" spans="1:18" x14ac:dyDescent="0.3">
      <c r="A3190" t="s">
        <v>627</v>
      </c>
      <c r="B3190" s="16">
        <v>45442</v>
      </c>
      <c r="C3190" t="s">
        <v>3</v>
      </c>
      <c r="D3190" t="s">
        <v>130</v>
      </c>
      <c r="E3190">
        <v>70</v>
      </c>
      <c r="F3190">
        <v>24</v>
      </c>
      <c r="G3190">
        <v>8</v>
      </c>
      <c r="H3190">
        <v>1</v>
      </c>
      <c r="I3190">
        <v>17616</v>
      </c>
      <c r="J3190">
        <v>7</v>
      </c>
      <c r="K3190">
        <v>10273</v>
      </c>
      <c r="L3190">
        <v>5</v>
      </c>
      <c r="M3190">
        <v>27</v>
      </c>
      <c r="N3190">
        <v>64</v>
      </c>
      <c r="O3190">
        <f t="shared" si="100"/>
        <v>2024</v>
      </c>
      <c r="P3190">
        <f t="shared" si="101"/>
        <v>5</v>
      </c>
      <c r="Q3190" t="s">
        <v>325</v>
      </c>
      <c r="R3190" s="546" t="s">
        <v>804</v>
      </c>
    </row>
    <row r="3191" spans="1:18" x14ac:dyDescent="0.3">
      <c r="A3191" t="s">
        <v>627</v>
      </c>
      <c r="B3191" s="16">
        <v>45442</v>
      </c>
      <c r="C3191" t="s">
        <v>3</v>
      </c>
      <c r="D3191" t="s">
        <v>128</v>
      </c>
      <c r="E3191">
        <v>915</v>
      </c>
      <c r="F3191">
        <v>680</v>
      </c>
      <c r="G3191">
        <v>47</v>
      </c>
      <c r="H3191">
        <v>11</v>
      </c>
      <c r="I3191">
        <v>25380</v>
      </c>
      <c r="J3191">
        <v>11</v>
      </c>
      <c r="K3191">
        <v>16410</v>
      </c>
      <c r="L3191">
        <v>9</v>
      </c>
      <c r="M3191">
        <v>236</v>
      </c>
      <c r="N3191">
        <v>825</v>
      </c>
      <c r="O3191">
        <f t="shared" si="100"/>
        <v>2024</v>
      </c>
      <c r="P3191">
        <f t="shared" si="101"/>
        <v>5</v>
      </c>
      <c r="Q3191" t="s">
        <v>325</v>
      </c>
      <c r="R3191" s="546" t="s">
        <v>804</v>
      </c>
    </row>
    <row r="3192" spans="1:18" x14ac:dyDescent="0.3">
      <c r="A3192" t="s">
        <v>627</v>
      </c>
      <c r="B3192" s="16">
        <v>45442</v>
      </c>
      <c r="C3192" t="s">
        <v>3</v>
      </c>
      <c r="D3192" t="s">
        <v>127</v>
      </c>
      <c r="E3192">
        <v>2183</v>
      </c>
      <c r="F3192">
        <v>1099</v>
      </c>
      <c r="G3192">
        <v>33</v>
      </c>
      <c r="H3192">
        <v>16</v>
      </c>
      <c r="I3192">
        <v>9144</v>
      </c>
      <c r="J3192">
        <v>5</v>
      </c>
      <c r="K3192">
        <v>6161</v>
      </c>
      <c r="L3192">
        <v>4</v>
      </c>
      <c r="M3192">
        <v>192</v>
      </c>
      <c r="N3192">
        <v>1945</v>
      </c>
      <c r="O3192">
        <f t="shared" si="100"/>
        <v>2024</v>
      </c>
      <c r="P3192">
        <f t="shared" si="101"/>
        <v>5</v>
      </c>
      <c r="Q3192" t="s">
        <v>325</v>
      </c>
      <c r="R3192" s="546" t="s">
        <v>804</v>
      </c>
    </row>
    <row r="3193" spans="1:18" x14ac:dyDescent="0.3">
      <c r="A3193" t="s">
        <v>627</v>
      </c>
      <c r="B3193" s="16">
        <v>45442</v>
      </c>
      <c r="C3193" t="s">
        <v>3</v>
      </c>
      <c r="D3193" t="s">
        <v>126</v>
      </c>
      <c r="E3193">
        <v>76</v>
      </c>
      <c r="F3193">
        <v>54</v>
      </c>
      <c r="G3193">
        <v>5</v>
      </c>
      <c r="H3193">
        <v>3</v>
      </c>
      <c r="I3193">
        <v>0</v>
      </c>
      <c r="J3193">
        <v>0</v>
      </c>
      <c r="K3193">
        <v>0</v>
      </c>
      <c r="L3193">
        <v>0</v>
      </c>
      <c r="M3193">
        <v>13</v>
      </c>
      <c r="N3193">
        <v>74</v>
      </c>
      <c r="O3193">
        <f t="shared" si="100"/>
        <v>2024</v>
      </c>
      <c r="P3193">
        <f t="shared" si="101"/>
        <v>5</v>
      </c>
      <c r="Q3193" t="s">
        <v>325</v>
      </c>
      <c r="R3193" s="546" t="s">
        <v>804</v>
      </c>
    </row>
    <row r="3194" spans="1:18" x14ac:dyDescent="0.3">
      <c r="A3194" t="s">
        <v>627</v>
      </c>
      <c r="B3194" s="16">
        <v>45442</v>
      </c>
      <c r="C3194" t="s">
        <v>3</v>
      </c>
      <c r="D3194" t="s">
        <v>125</v>
      </c>
      <c r="E3194">
        <v>3</v>
      </c>
      <c r="F3194">
        <v>2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2</v>
      </c>
      <c r="N3194">
        <v>3</v>
      </c>
      <c r="O3194">
        <f t="shared" si="100"/>
        <v>2024</v>
      </c>
      <c r="P3194">
        <f t="shared" si="101"/>
        <v>5</v>
      </c>
      <c r="Q3194" t="s">
        <v>325</v>
      </c>
      <c r="R3194" s="546" t="s">
        <v>804</v>
      </c>
    </row>
    <row r="3195" spans="1:18" x14ac:dyDescent="0.3">
      <c r="A3195" t="s">
        <v>627</v>
      </c>
      <c r="B3195" s="16">
        <v>45442</v>
      </c>
      <c r="C3195" t="s">
        <v>3</v>
      </c>
      <c r="D3195" t="s">
        <v>124</v>
      </c>
      <c r="E3195">
        <v>1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f t="shared" si="100"/>
        <v>2024</v>
      </c>
      <c r="P3195">
        <f t="shared" si="101"/>
        <v>5</v>
      </c>
      <c r="Q3195" t="s">
        <v>325</v>
      </c>
      <c r="R3195" s="546" t="s">
        <v>804</v>
      </c>
    </row>
    <row r="3196" spans="1:18" x14ac:dyDescent="0.3">
      <c r="A3196" t="s">
        <v>627</v>
      </c>
      <c r="B3196" s="16">
        <v>45442</v>
      </c>
      <c r="C3196" t="s">
        <v>3</v>
      </c>
      <c r="D3196" t="s">
        <v>123</v>
      </c>
      <c r="E3196">
        <v>113</v>
      </c>
      <c r="F3196">
        <v>37</v>
      </c>
      <c r="G3196">
        <v>9</v>
      </c>
      <c r="H3196">
        <v>1</v>
      </c>
      <c r="I3196">
        <v>1498</v>
      </c>
      <c r="J3196">
        <v>1</v>
      </c>
      <c r="K3196">
        <v>1498</v>
      </c>
      <c r="L3196">
        <v>1</v>
      </c>
      <c r="M3196">
        <v>47</v>
      </c>
      <c r="N3196">
        <v>94</v>
      </c>
      <c r="O3196">
        <f t="shared" si="100"/>
        <v>2024</v>
      </c>
      <c r="P3196">
        <f t="shared" si="101"/>
        <v>5</v>
      </c>
      <c r="Q3196" t="s">
        <v>325</v>
      </c>
      <c r="R3196" s="546" t="s">
        <v>804</v>
      </c>
    </row>
    <row r="3197" spans="1:18" x14ac:dyDescent="0.3">
      <c r="A3197" t="s">
        <v>627</v>
      </c>
      <c r="B3197" s="16">
        <v>45442</v>
      </c>
      <c r="C3197" t="s">
        <v>3</v>
      </c>
      <c r="D3197" t="s">
        <v>121</v>
      </c>
      <c r="E3197">
        <v>1</v>
      </c>
      <c r="F3197">
        <v>1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1</v>
      </c>
      <c r="N3197">
        <v>0</v>
      </c>
      <c r="O3197">
        <f t="shared" si="100"/>
        <v>2024</v>
      </c>
      <c r="P3197">
        <f t="shared" si="101"/>
        <v>5</v>
      </c>
      <c r="Q3197" t="s">
        <v>325</v>
      </c>
      <c r="R3197" s="546" t="s">
        <v>804</v>
      </c>
    </row>
    <row r="3198" spans="1:18" x14ac:dyDescent="0.3">
      <c r="A3198" t="s">
        <v>627</v>
      </c>
      <c r="B3198" s="16">
        <v>45442</v>
      </c>
      <c r="C3198" t="s">
        <v>3</v>
      </c>
      <c r="D3198" t="s">
        <v>120</v>
      </c>
      <c r="E3198">
        <v>479</v>
      </c>
      <c r="F3198">
        <v>254</v>
      </c>
      <c r="G3198">
        <v>3</v>
      </c>
      <c r="H3198">
        <v>0</v>
      </c>
      <c r="I3198">
        <v>1498</v>
      </c>
      <c r="J3198">
        <v>1</v>
      </c>
      <c r="K3198">
        <v>1498</v>
      </c>
      <c r="L3198">
        <v>1</v>
      </c>
      <c r="M3198">
        <v>66</v>
      </c>
      <c r="N3198">
        <v>474</v>
      </c>
      <c r="O3198">
        <f t="shared" si="100"/>
        <v>2024</v>
      </c>
      <c r="P3198">
        <f t="shared" si="101"/>
        <v>5</v>
      </c>
      <c r="Q3198" t="s">
        <v>325</v>
      </c>
      <c r="R3198" s="546" t="s">
        <v>804</v>
      </c>
    </row>
    <row r="3199" spans="1:18" x14ac:dyDescent="0.3">
      <c r="A3199" t="s">
        <v>627</v>
      </c>
      <c r="B3199" s="16">
        <v>45442</v>
      </c>
      <c r="C3199" t="s">
        <v>3</v>
      </c>
      <c r="D3199" t="s">
        <v>119</v>
      </c>
      <c r="E3199">
        <v>297</v>
      </c>
      <c r="F3199">
        <v>80</v>
      </c>
      <c r="G3199">
        <v>15</v>
      </c>
      <c r="H3199">
        <v>3</v>
      </c>
      <c r="I3199">
        <v>18929</v>
      </c>
      <c r="J3199">
        <v>8</v>
      </c>
      <c r="K3199">
        <v>18929</v>
      </c>
      <c r="L3199">
        <v>8</v>
      </c>
      <c r="M3199">
        <v>87</v>
      </c>
      <c r="N3199">
        <v>281</v>
      </c>
      <c r="O3199">
        <f t="shared" si="100"/>
        <v>2024</v>
      </c>
      <c r="P3199">
        <f t="shared" si="101"/>
        <v>5</v>
      </c>
      <c r="Q3199" t="s">
        <v>325</v>
      </c>
      <c r="R3199" s="546" t="s">
        <v>804</v>
      </c>
    </row>
    <row r="3200" spans="1:18" x14ac:dyDescent="0.3">
      <c r="A3200" t="s">
        <v>627</v>
      </c>
      <c r="B3200" s="16">
        <v>45442</v>
      </c>
      <c r="C3200" t="s">
        <v>3</v>
      </c>
      <c r="D3200" t="s">
        <v>115</v>
      </c>
      <c r="E3200">
        <v>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2</v>
      </c>
      <c r="N3200">
        <v>1</v>
      </c>
      <c r="O3200">
        <f t="shared" si="100"/>
        <v>2024</v>
      </c>
      <c r="P3200">
        <f t="shared" si="101"/>
        <v>5</v>
      </c>
      <c r="Q3200" t="s">
        <v>325</v>
      </c>
      <c r="R3200" s="546" t="s">
        <v>804</v>
      </c>
    </row>
    <row r="3201" spans="1:18" x14ac:dyDescent="0.3">
      <c r="A3201" t="s">
        <v>627</v>
      </c>
      <c r="B3201" s="16">
        <v>45442</v>
      </c>
      <c r="C3201" t="s">
        <v>3</v>
      </c>
      <c r="D3201" t="s">
        <v>113</v>
      </c>
      <c r="E3201">
        <v>142</v>
      </c>
      <c r="F3201">
        <v>57</v>
      </c>
      <c r="G3201">
        <v>4</v>
      </c>
      <c r="H3201">
        <v>1</v>
      </c>
      <c r="I3201">
        <v>0</v>
      </c>
      <c r="J3201">
        <v>0</v>
      </c>
      <c r="K3201">
        <v>0</v>
      </c>
      <c r="L3201">
        <v>0</v>
      </c>
      <c r="M3201">
        <v>89</v>
      </c>
      <c r="N3201">
        <v>90</v>
      </c>
      <c r="O3201">
        <f t="shared" si="100"/>
        <v>2024</v>
      </c>
      <c r="P3201">
        <f t="shared" si="101"/>
        <v>5</v>
      </c>
      <c r="Q3201" t="s">
        <v>325</v>
      </c>
      <c r="R3201" s="546" t="s">
        <v>804</v>
      </c>
    </row>
    <row r="3202" spans="1:18" x14ac:dyDescent="0.3">
      <c r="A3202" t="s">
        <v>627</v>
      </c>
      <c r="B3202" s="16">
        <v>45442</v>
      </c>
      <c r="C3202" t="s">
        <v>3</v>
      </c>
      <c r="D3202" t="s">
        <v>112</v>
      </c>
      <c r="E3202">
        <v>9</v>
      </c>
      <c r="F3202">
        <v>3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9</v>
      </c>
      <c r="O3202">
        <f t="shared" si="100"/>
        <v>2024</v>
      </c>
      <c r="P3202">
        <f t="shared" si="101"/>
        <v>5</v>
      </c>
      <c r="Q3202" t="s">
        <v>325</v>
      </c>
      <c r="R3202" s="546" t="s">
        <v>804</v>
      </c>
    </row>
    <row r="3203" spans="1:18" x14ac:dyDescent="0.3">
      <c r="A3203" t="s">
        <v>627</v>
      </c>
      <c r="B3203" s="16">
        <v>45442</v>
      </c>
      <c r="C3203" t="s">
        <v>3</v>
      </c>
      <c r="D3203" t="s">
        <v>111</v>
      </c>
      <c r="E3203">
        <v>19</v>
      </c>
      <c r="F3203">
        <v>11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19</v>
      </c>
      <c r="O3203">
        <f t="shared" si="100"/>
        <v>2024</v>
      </c>
      <c r="P3203">
        <f t="shared" si="101"/>
        <v>5</v>
      </c>
      <c r="Q3203" t="s">
        <v>325</v>
      </c>
      <c r="R3203" s="546" t="s">
        <v>804</v>
      </c>
    </row>
    <row r="3204" spans="1:18" x14ac:dyDescent="0.3">
      <c r="A3204" t="s">
        <v>627</v>
      </c>
      <c r="B3204" s="16">
        <v>45441</v>
      </c>
      <c r="C3204" t="s">
        <v>2</v>
      </c>
      <c r="D3204" t="s">
        <v>4</v>
      </c>
      <c r="E3204">
        <v>350</v>
      </c>
      <c r="F3204">
        <v>99</v>
      </c>
      <c r="G3204">
        <v>2</v>
      </c>
      <c r="H3204">
        <v>0</v>
      </c>
      <c r="I3204">
        <v>1498</v>
      </c>
      <c r="J3204">
        <v>1</v>
      </c>
      <c r="K3204">
        <v>1498</v>
      </c>
      <c r="L3204">
        <v>1</v>
      </c>
      <c r="M3204">
        <v>5</v>
      </c>
      <c r="N3204">
        <v>348</v>
      </c>
      <c r="O3204">
        <f t="shared" si="100"/>
        <v>2024</v>
      </c>
      <c r="P3204">
        <f t="shared" si="101"/>
        <v>5</v>
      </c>
      <c r="Q3204" t="s">
        <v>325</v>
      </c>
      <c r="R3204" s="546" t="s">
        <v>804</v>
      </c>
    </row>
    <row r="3205" spans="1:18" x14ac:dyDescent="0.3">
      <c r="A3205" t="s">
        <v>627</v>
      </c>
      <c r="B3205" s="16">
        <v>45441</v>
      </c>
      <c r="C3205" t="s">
        <v>2</v>
      </c>
      <c r="D3205" t="s">
        <v>57</v>
      </c>
      <c r="E3205">
        <v>19476</v>
      </c>
      <c r="F3205">
        <v>12482</v>
      </c>
      <c r="G3205">
        <v>161</v>
      </c>
      <c r="H3205">
        <v>69</v>
      </c>
      <c r="I3205">
        <v>105549</v>
      </c>
      <c r="J3205">
        <v>22</v>
      </c>
      <c r="K3205">
        <v>64980</v>
      </c>
      <c r="L3205">
        <v>17</v>
      </c>
      <c r="M3205">
        <v>743</v>
      </c>
      <c r="N3205">
        <v>19445</v>
      </c>
      <c r="O3205">
        <f t="shared" si="100"/>
        <v>2024</v>
      </c>
      <c r="P3205">
        <f t="shared" si="101"/>
        <v>5</v>
      </c>
      <c r="Q3205" t="s">
        <v>325</v>
      </c>
      <c r="R3205" s="546" t="s">
        <v>804</v>
      </c>
    </row>
    <row r="3206" spans="1:18" x14ac:dyDescent="0.3">
      <c r="A3206" t="s">
        <v>627</v>
      </c>
      <c r="B3206" s="16">
        <v>45441</v>
      </c>
      <c r="C3206" t="s">
        <v>2</v>
      </c>
      <c r="D3206" t="s">
        <v>52</v>
      </c>
      <c r="E3206">
        <v>2237</v>
      </c>
      <c r="F3206">
        <v>1730</v>
      </c>
      <c r="G3206">
        <v>20</v>
      </c>
      <c r="H3206">
        <v>4</v>
      </c>
      <c r="I3206">
        <v>11968</v>
      </c>
      <c r="J3206">
        <v>3</v>
      </c>
      <c r="K3206">
        <v>11968</v>
      </c>
      <c r="L3206">
        <v>3</v>
      </c>
      <c r="M3206">
        <v>2237</v>
      </c>
      <c r="N3206">
        <v>536</v>
      </c>
      <c r="O3206">
        <f t="shared" si="100"/>
        <v>2024</v>
      </c>
      <c r="P3206">
        <f t="shared" si="101"/>
        <v>5</v>
      </c>
      <c r="Q3206" t="s">
        <v>325</v>
      </c>
      <c r="R3206" s="546" t="s">
        <v>804</v>
      </c>
    </row>
    <row r="3207" spans="1:18" x14ac:dyDescent="0.3">
      <c r="A3207" t="s">
        <v>627</v>
      </c>
      <c r="B3207" s="16">
        <v>45441</v>
      </c>
      <c r="C3207" t="s">
        <v>2</v>
      </c>
      <c r="D3207" t="s">
        <v>55</v>
      </c>
      <c r="E3207">
        <v>1195</v>
      </c>
      <c r="F3207">
        <v>889</v>
      </c>
      <c r="G3207">
        <v>5</v>
      </c>
      <c r="H3207">
        <v>3</v>
      </c>
      <c r="I3207">
        <v>0</v>
      </c>
      <c r="J3207">
        <v>0</v>
      </c>
      <c r="K3207">
        <v>0</v>
      </c>
      <c r="L3207">
        <v>0</v>
      </c>
      <c r="M3207">
        <v>25</v>
      </c>
      <c r="N3207">
        <v>352</v>
      </c>
      <c r="O3207">
        <f t="shared" si="100"/>
        <v>2024</v>
      </c>
      <c r="P3207">
        <f t="shared" si="101"/>
        <v>5</v>
      </c>
      <c r="Q3207" t="s">
        <v>325</v>
      </c>
      <c r="R3207" s="546" t="s">
        <v>804</v>
      </c>
    </row>
    <row r="3208" spans="1:18" x14ac:dyDescent="0.3">
      <c r="A3208" t="s">
        <v>627</v>
      </c>
      <c r="B3208" s="16">
        <v>45441</v>
      </c>
      <c r="C3208" t="s">
        <v>3</v>
      </c>
      <c r="D3208" t="s">
        <v>155</v>
      </c>
      <c r="E3208">
        <v>3</v>
      </c>
      <c r="F3208">
        <v>2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1</v>
      </c>
      <c r="N3208">
        <v>3</v>
      </c>
      <c r="O3208">
        <f t="shared" si="100"/>
        <v>2024</v>
      </c>
      <c r="P3208">
        <f t="shared" si="101"/>
        <v>5</v>
      </c>
      <c r="Q3208" t="s">
        <v>325</v>
      </c>
      <c r="R3208" s="546" t="s">
        <v>804</v>
      </c>
    </row>
    <row r="3209" spans="1:18" x14ac:dyDescent="0.3">
      <c r="A3209" t="s">
        <v>627</v>
      </c>
      <c r="B3209" s="16">
        <v>45441</v>
      </c>
      <c r="C3209" t="s">
        <v>3</v>
      </c>
      <c r="D3209" t="s">
        <v>154</v>
      </c>
      <c r="E3209">
        <v>101</v>
      </c>
      <c r="F3209">
        <v>97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f t="shared" si="100"/>
        <v>2024</v>
      </c>
      <c r="P3209">
        <f t="shared" si="101"/>
        <v>5</v>
      </c>
      <c r="Q3209" t="s">
        <v>325</v>
      </c>
      <c r="R3209" s="546" t="s">
        <v>804</v>
      </c>
    </row>
    <row r="3210" spans="1:18" x14ac:dyDescent="0.3">
      <c r="A3210" t="s">
        <v>627</v>
      </c>
      <c r="B3210" s="16">
        <v>45441</v>
      </c>
      <c r="C3210" t="s">
        <v>3</v>
      </c>
      <c r="D3210" t="s">
        <v>153</v>
      </c>
      <c r="E3210">
        <v>383</v>
      </c>
      <c r="F3210">
        <v>61</v>
      </c>
      <c r="G3210">
        <v>34</v>
      </c>
      <c r="H3210">
        <v>6</v>
      </c>
      <c r="I3210">
        <v>46232</v>
      </c>
      <c r="J3210">
        <v>18</v>
      </c>
      <c r="K3210">
        <v>36397</v>
      </c>
      <c r="L3210">
        <v>16</v>
      </c>
      <c r="M3210">
        <v>96</v>
      </c>
      <c r="N3210">
        <v>371</v>
      </c>
      <c r="O3210">
        <f t="shared" si="100"/>
        <v>2024</v>
      </c>
      <c r="P3210">
        <f t="shared" si="101"/>
        <v>5</v>
      </c>
      <c r="Q3210" t="s">
        <v>325</v>
      </c>
      <c r="R3210" s="546" t="s">
        <v>804</v>
      </c>
    </row>
    <row r="3211" spans="1:18" x14ac:dyDescent="0.3">
      <c r="A3211" t="s">
        <v>627</v>
      </c>
      <c r="B3211" s="16">
        <v>45441</v>
      </c>
      <c r="C3211" t="s">
        <v>3</v>
      </c>
      <c r="D3211" t="s">
        <v>152</v>
      </c>
      <c r="E3211">
        <v>15</v>
      </c>
      <c r="F3211">
        <v>7</v>
      </c>
      <c r="G3211">
        <v>0</v>
      </c>
      <c r="H3211">
        <v>0</v>
      </c>
      <c r="I3211">
        <v>5031</v>
      </c>
      <c r="J3211">
        <v>1</v>
      </c>
      <c r="K3211">
        <v>3354</v>
      </c>
      <c r="L3211">
        <v>1</v>
      </c>
      <c r="M3211">
        <v>1</v>
      </c>
      <c r="N3211">
        <v>9</v>
      </c>
      <c r="O3211">
        <f t="shared" si="100"/>
        <v>2024</v>
      </c>
      <c r="P3211">
        <f t="shared" si="101"/>
        <v>5</v>
      </c>
      <c r="Q3211" t="s">
        <v>325</v>
      </c>
      <c r="R3211" s="546" t="s">
        <v>804</v>
      </c>
    </row>
    <row r="3212" spans="1:18" x14ac:dyDescent="0.3">
      <c r="A3212" t="s">
        <v>627</v>
      </c>
      <c r="B3212" s="16">
        <v>45441</v>
      </c>
      <c r="C3212" t="s">
        <v>3</v>
      </c>
      <c r="D3212" t="s">
        <v>150</v>
      </c>
      <c r="E3212">
        <v>4</v>
      </c>
      <c r="F3212">
        <v>1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4</v>
      </c>
      <c r="O3212">
        <f t="shared" si="100"/>
        <v>2024</v>
      </c>
      <c r="P3212">
        <f t="shared" si="101"/>
        <v>5</v>
      </c>
      <c r="Q3212" t="s">
        <v>325</v>
      </c>
      <c r="R3212" s="546" t="s">
        <v>804</v>
      </c>
    </row>
    <row r="3213" spans="1:18" x14ac:dyDescent="0.3">
      <c r="A3213" t="s">
        <v>627</v>
      </c>
      <c r="B3213" s="16">
        <v>45441</v>
      </c>
      <c r="C3213" t="s">
        <v>3</v>
      </c>
      <c r="D3213" t="s">
        <v>149</v>
      </c>
      <c r="E3213">
        <v>44</v>
      </c>
      <c r="F3213">
        <v>21</v>
      </c>
      <c r="G3213">
        <v>3</v>
      </c>
      <c r="H3213">
        <v>1</v>
      </c>
      <c r="I3213">
        <v>0</v>
      </c>
      <c r="J3213">
        <v>0</v>
      </c>
      <c r="K3213">
        <v>0</v>
      </c>
      <c r="L3213">
        <v>0</v>
      </c>
      <c r="M3213">
        <v>5</v>
      </c>
      <c r="N3213">
        <v>33</v>
      </c>
      <c r="O3213">
        <f t="shared" si="100"/>
        <v>2024</v>
      </c>
      <c r="P3213">
        <f t="shared" si="101"/>
        <v>5</v>
      </c>
      <c r="Q3213" t="s">
        <v>325</v>
      </c>
      <c r="R3213" s="546" t="s">
        <v>804</v>
      </c>
    </row>
    <row r="3214" spans="1:18" x14ac:dyDescent="0.3">
      <c r="A3214" t="s">
        <v>627</v>
      </c>
      <c r="B3214" s="16">
        <v>45441</v>
      </c>
      <c r="C3214" t="s">
        <v>3</v>
      </c>
      <c r="D3214" t="s">
        <v>147</v>
      </c>
      <c r="E3214">
        <v>37</v>
      </c>
      <c r="F3214">
        <v>25</v>
      </c>
      <c r="G3214">
        <v>2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1</v>
      </c>
      <c r="N3214">
        <v>37</v>
      </c>
      <c r="O3214">
        <f t="shared" si="100"/>
        <v>2024</v>
      </c>
      <c r="P3214">
        <f t="shared" si="101"/>
        <v>5</v>
      </c>
      <c r="Q3214" t="s">
        <v>325</v>
      </c>
      <c r="R3214" s="546" t="s">
        <v>804</v>
      </c>
    </row>
    <row r="3215" spans="1:18" x14ac:dyDescent="0.3">
      <c r="A3215" t="s">
        <v>627</v>
      </c>
      <c r="B3215" s="16">
        <v>45441</v>
      </c>
      <c r="C3215" t="s">
        <v>3</v>
      </c>
      <c r="D3215" t="s">
        <v>251</v>
      </c>
      <c r="E3215">
        <v>2883</v>
      </c>
      <c r="F3215">
        <v>2010</v>
      </c>
      <c r="G3215">
        <v>12</v>
      </c>
      <c r="H3215">
        <v>4</v>
      </c>
      <c r="I3215">
        <v>18987</v>
      </c>
      <c r="J3215">
        <v>7</v>
      </c>
      <c r="K3215">
        <v>14930</v>
      </c>
      <c r="L3215">
        <v>5</v>
      </c>
      <c r="M3215">
        <v>63</v>
      </c>
      <c r="N3215">
        <v>380</v>
      </c>
      <c r="O3215">
        <f t="shared" si="100"/>
        <v>2024</v>
      </c>
      <c r="P3215">
        <f t="shared" si="101"/>
        <v>5</v>
      </c>
      <c r="Q3215" t="s">
        <v>325</v>
      </c>
      <c r="R3215" s="546" t="s">
        <v>804</v>
      </c>
    </row>
    <row r="3216" spans="1:18" x14ac:dyDescent="0.3">
      <c r="A3216" t="s">
        <v>627</v>
      </c>
      <c r="B3216" s="16">
        <v>45441</v>
      </c>
      <c r="C3216" t="s">
        <v>3</v>
      </c>
      <c r="D3216" t="s">
        <v>143</v>
      </c>
      <c r="E3216">
        <v>10</v>
      </c>
      <c r="F3216">
        <v>10</v>
      </c>
      <c r="G3216">
        <v>0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10</v>
      </c>
      <c r="O3216">
        <f t="shared" si="100"/>
        <v>2024</v>
      </c>
      <c r="P3216">
        <f t="shared" si="101"/>
        <v>5</v>
      </c>
      <c r="Q3216" t="s">
        <v>325</v>
      </c>
      <c r="R3216" s="546" t="s">
        <v>804</v>
      </c>
    </row>
    <row r="3217" spans="1:18" x14ac:dyDescent="0.3">
      <c r="A3217" t="s">
        <v>627</v>
      </c>
      <c r="B3217" s="16">
        <v>45441</v>
      </c>
      <c r="C3217" t="s">
        <v>3</v>
      </c>
      <c r="D3217" t="s">
        <v>142</v>
      </c>
      <c r="E3217">
        <v>18</v>
      </c>
      <c r="F3217">
        <v>8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1</v>
      </c>
      <c r="N3217">
        <v>18</v>
      </c>
      <c r="O3217">
        <f t="shared" si="100"/>
        <v>2024</v>
      </c>
      <c r="P3217">
        <f t="shared" si="101"/>
        <v>5</v>
      </c>
      <c r="Q3217" t="s">
        <v>325</v>
      </c>
      <c r="R3217" s="546" t="s">
        <v>804</v>
      </c>
    </row>
    <row r="3218" spans="1:18" x14ac:dyDescent="0.3">
      <c r="A3218" t="s">
        <v>627</v>
      </c>
      <c r="B3218" s="16">
        <v>45441</v>
      </c>
      <c r="C3218" t="s">
        <v>3</v>
      </c>
      <c r="D3218" t="s">
        <v>141</v>
      </c>
      <c r="E3218">
        <v>7</v>
      </c>
      <c r="F3218">
        <v>5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3</v>
      </c>
      <c r="N3218">
        <v>4</v>
      </c>
      <c r="O3218">
        <f t="shared" si="100"/>
        <v>2024</v>
      </c>
      <c r="P3218">
        <f t="shared" si="101"/>
        <v>5</v>
      </c>
      <c r="Q3218" t="s">
        <v>325</v>
      </c>
      <c r="R3218" s="546" t="s">
        <v>804</v>
      </c>
    </row>
    <row r="3219" spans="1:18" x14ac:dyDescent="0.3">
      <c r="A3219" t="s">
        <v>627</v>
      </c>
      <c r="B3219" s="16">
        <v>45441</v>
      </c>
      <c r="C3219" t="s">
        <v>3</v>
      </c>
      <c r="D3219" t="s">
        <v>140</v>
      </c>
      <c r="E3219">
        <v>4</v>
      </c>
      <c r="F3219">
        <v>4</v>
      </c>
      <c r="G3219">
        <v>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1</v>
      </c>
      <c r="N3219">
        <v>3</v>
      </c>
      <c r="O3219">
        <f t="shared" si="100"/>
        <v>2024</v>
      </c>
      <c r="P3219">
        <f t="shared" si="101"/>
        <v>5</v>
      </c>
      <c r="Q3219" t="s">
        <v>325</v>
      </c>
      <c r="R3219" s="546" t="s">
        <v>804</v>
      </c>
    </row>
    <row r="3220" spans="1:18" x14ac:dyDescent="0.3">
      <c r="A3220" t="s">
        <v>627</v>
      </c>
      <c r="B3220" s="16">
        <v>45441</v>
      </c>
      <c r="C3220" t="s">
        <v>3</v>
      </c>
      <c r="D3220" t="s">
        <v>139</v>
      </c>
      <c r="E3220">
        <v>610</v>
      </c>
      <c r="F3220">
        <v>293</v>
      </c>
      <c r="G3220">
        <v>21</v>
      </c>
      <c r="H3220">
        <v>10</v>
      </c>
      <c r="I3220">
        <v>32623</v>
      </c>
      <c r="J3220">
        <v>15</v>
      </c>
      <c r="K3220">
        <v>27966</v>
      </c>
      <c r="L3220">
        <v>13</v>
      </c>
      <c r="M3220">
        <v>292</v>
      </c>
      <c r="N3220">
        <v>445</v>
      </c>
      <c r="O3220">
        <f t="shared" si="100"/>
        <v>2024</v>
      </c>
      <c r="P3220">
        <f t="shared" si="101"/>
        <v>5</v>
      </c>
      <c r="Q3220" t="s">
        <v>325</v>
      </c>
      <c r="R3220" s="546" t="s">
        <v>804</v>
      </c>
    </row>
    <row r="3221" spans="1:18" x14ac:dyDescent="0.3">
      <c r="A3221" t="s">
        <v>627</v>
      </c>
      <c r="B3221" s="16">
        <v>45441</v>
      </c>
      <c r="C3221" t="s">
        <v>3</v>
      </c>
      <c r="D3221" t="s">
        <v>138</v>
      </c>
      <c r="E3221">
        <v>102</v>
      </c>
      <c r="F3221">
        <v>46</v>
      </c>
      <c r="G3221">
        <v>1</v>
      </c>
      <c r="H3221">
        <v>0</v>
      </c>
      <c r="I3221">
        <v>5062</v>
      </c>
      <c r="J3221">
        <v>2</v>
      </c>
      <c r="K3221">
        <v>1917</v>
      </c>
      <c r="L3221">
        <v>1</v>
      </c>
      <c r="M3221">
        <v>12</v>
      </c>
      <c r="N3221">
        <v>98</v>
      </c>
      <c r="O3221">
        <f t="shared" si="100"/>
        <v>2024</v>
      </c>
      <c r="P3221">
        <f t="shared" si="101"/>
        <v>5</v>
      </c>
      <c r="Q3221" t="s">
        <v>325</v>
      </c>
      <c r="R3221" s="546" t="s">
        <v>804</v>
      </c>
    </row>
    <row r="3222" spans="1:18" x14ac:dyDescent="0.3">
      <c r="A3222" t="s">
        <v>627</v>
      </c>
      <c r="B3222" s="16">
        <v>45441</v>
      </c>
      <c r="C3222" t="s">
        <v>3</v>
      </c>
      <c r="D3222" t="s">
        <v>137</v>
      </c>
      <c r="E3222">
        <v>4</v>
      </c>
      <c r="F3222">
        <v>2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4</v>
      </c>
      <c r="O3222">
        <f t="shared" si="100"/>
        <v>2024</v>
      </c>
      <c r="P3222">
        <f t="shared" si="101"/>
        <v>5</v>
      </c>
      <c r="Q3222" t="s">
        <v>325</v>
      </c>
      <c r="R3222" s="546" t="s">
        <v>804</v>
      </c>
    </row>
    <row r="3223" spans="1:18" x14ac:dyDescent="0.3">
      <c r="A3223" t="s">
        <v>627</v>
      </c>
      <c r="B3223" s="16">
        <v>45441</v>
      </c>
      <c r="C3223" t="s">
        <v>3</v>
      </c>
      <c r="D3223" t="s">
        <v>133</v>
      </c>
      <c r="E3223">
        <v>20</v>
      </c>
      <c r="F3223">
        <v>6</v>
      </c>
      <c r="G3223">
        <v>0</v>
      </c>
      <c r="H3223">
        <v>0</v>
      </c>
      <c r="I3223">
        <v>10941</v>
      </c>
      <c r="J3223">
        <v>3</v>
      </c>
      <c r="K3223">
        <v>4657</v>
      </c>
      <c r="L3223">
        <v>2</v>
      </c>
      <c r="M3223">
        <v>1</v>
      </c>
      <c r="N3223">
        <v>19</v>
      </c>
      <c r="O3223">
        <f t="shared" si="100"/>
        <v>2024</v>
      </c>
      <c r="P3223">
        <f t="shared" si="101"/>
        <v>5</v>
      </c>
      <c r="Q3223" t="s">
        <v>325</v>
      </c>
      <c r="R3223" s="546" t="s">
        <v>804</v>
      </c>
    </row>
    <row r="3224" spans="1:18" x14ac:dyDescent="0.3">
      <c r="A3224" t="s">
        <v>627</v>
      </c>
      <c r="B3224" s="16">
        <v>45441</v>
      </c>
      <c r="C3224" t="s">
        <v>3</v>
      </c>
      <c r="D3224" t="s">
        <v>130</v>
      </c>
      <c r="E3224">
        <v>87</v>
      </c>
      <c r="F3224">
        <v>26</v>
      </c>
      <c r="G3224">
        <v>12</v>
      </c>
      <c r="H3224">
        <v>1</v>
      </c>
      <c r="I3224">
        <v>45064</v>
      </c>
      <c r="J3224">
        <v>13</v>
      </c>
      <c r="K3224">
        <v>38956</v>
      </c>
      <c r="L3224">
        <v>12</v>
      </c>
      <c r="M3224">
        <v>36</v>
      </c>
      <c r="N3224">
        <v>79</v>
      </c>
      <c r="O3224">
        <f t="shared" si="100"/>
        <v>2024</v>
      </c>
      <c r="P3224">
        <f t="shared" si="101"/>
        <v>5</v>
      </c>
      <c r="Q3224" t="s">
        <v>325</v>
      </c>
      <c r="R3224" s="546" t="s">
        <v>804</v>
      </c>
    </row>
    <row r="3225" spans="1:18" x14ac:dyDescent="0.3">
      <c r="A3225" t="s">
        <v>627</v>
      </c>
      <c r="B3225" s="16">
        <v>45441</v>
      </c>
      <c r="C3225" t="s">
        <v>3</v>
      </c>
      <c r="D3225" t="s">
        <v>128</v>
      </c>
      <c r="E3225">
        <v>913</v>
      </c>
      <c r="F3225">
        <v>696</v>
      </c>
      <c r="G3225">
        <v>60</v>
      </c>
      <c r="H3225">
        <v>14</v>
      </c>
      <c r="I3225">
        <v>43419</v>
      </c>
      <c r="J3225">
        <v>12</v>
      </c>
      <c r="K3225">
        <v>33209</v>
      </c>
      <c r="L3225">
        <v>9</v>
      </c>
      <c r="M3225">
        <v>249</v>
      </c>
      <c r="N3225">
        <v>820</v>
      </c>
      <c r="O3225">
        <f t="shared" si="100"/>
        <v>2024</v>
      </c>
      <c r="P3225">
        <f t="shared" si="101"/>
        <v>5</v>
      </c>
      <c r="Q3225" t="s">
        <v>325</v>
      </c>
      <c r="R3225" s="546" t="s">
        <v>804</v>
      </c>
    </row>
    <row r="3226" spans="1:18" x14ac:dyDescent="0.3">
      <c r="A3226" t="s">
        <v>627</v>
      </c>
      <c r="B3226" s="16">
        <v>45441</v>
      </c>
      <c r="C3226" t="s">
        <v>3</v>
      </c>
      <c r="D3226" t="s">
        <v>127</v>
      </c>
      <c r="E3226">
        <v>2321</v>
      </c>
      <c r="F3226">
        <v>1168</v>
      </c>
      <c r="G3226">
        <v>60</v>
      </c>
      <c r="H3226">
        <v>23</v>
      </c>
      <c r="I3226">
        <v>11286</v>
      </c>
      <c r="J3226">
        <v>7</v>
      </c>
      <c r="K3226">
        <v>9788</v>
      </c>
      <c r="L3226">
        <v>6</v>
      </c>
      <c r="M3226">
        <v>218</v>
      </c>
      <c r="N3226">
        <v>1940</v>
      </c>
      <c r="O3226">
        <f t="shared" si="100"/>
        <v>2024</v>
      </c>
      <c r="P3226">
        <f t="shared" si="101"/>
        <v>5</v>
      </c>
      <c r="Q3226" t="s">
        <v>325</v>
      </c>
      <c r="R3226" s="546" t="s">
        <v>804</v>
      </c>
    </row>
    <row r="3227" spans="1:18" x14ac:dyDescent="0.3">
      <c r="A3227" t="s">
        <v>627</v>
      </c>
      <c r="B3227" s="16">
        <v>45441</v>
      </c>
      <c r="C3227" t="s">
        <v>3</v>
      </c>
      <c r="D3227" t="s">
        <v>126</v>
      </c>
      <c r="E3227">
        <v>82</v>
      </c>
      <c r="F3227">
        <v>54</v>
      </c>
      <c r="G3227">
        <v>6</v>
      </c>
      <c r="H3227">
        <v>3</v>
      </c>
      <c r="I3227">
        <v>8575</v>
      </c>
      <c r="J3227">
        <v>3</v>
      </c>
      <c r="K3227">
        <v>6895</v>
      </c>
      <c r="L3227">
        <v>2</v>
      </c>
      <c r="M3227">
        <v>14</v>
      </c>
      <c r="N3227">
        <v>80</v>
      </c>
      <c r="O3227">
        <f t="shared" si="100"/>
        <v>2024</v>
      </c>
      <c r="P3227">
        <f t="shared" si="101"/>
        <v>5</v>
      </c>
      <c r="Q3227" t="s">
        <v>325</v>
      </c>
      <c r="R3227" s="546" t="s">
        <v>804</v>
      </c>
    </row>
    <row r="3228" spans="1:18" x14ac:dyDescent="0.3">
      <c r="A3228" t="s">
        <v>627</v>
      </c>
      <c r="B3228" s="16">
        <v>45441</v>
      </c>
      <c r="C3228" t="s">
        <v>3</v>
      </c>
      <c r="D3228" t="s">
        <v>125</v>
      </c>
      <c r="E3228">
        <v>3</v>
      </c>
      <c r="F3228">
        <v>2</v>
      </c>
      <c r="G3228">
        <v>1</v>
      </c>
      <c r="H3228">
        <v>0</v>
      </c>
      <c r="I3228">
        <v>3834</v>
      </c>
      <c r="J3228">
        <v>1</v>
      </c>
      <c r="K3228">
        <v>3834</v>
      </c>
      <c r="L3228">
        <v>1</v>
      </c>
      <c r="M3228">
        <v>2</v>
      </c>
      <c r="N3228">
        <v>3</v>
      </c>
      <c r="O3228">
        <f t="shared" si="100"/>
        <v>2024</v>
      </c>
      <c r="P3228">
        <f t="shared" si="101"/>
        <v>5</v>
      </c>
      <c r="Q3228" t="s">
        <v>325</v>
      </c>
      <c r="R3228" s="546" t="s">
        <v>804</v>
      </c>
    </row>
    <row r="3229" spans="1:18" x14ac:dyDescent="0.3">
      <c r="A3229" t="s">
        <v>627</v>
      </c>
      <c r="B3229" s="16">
        <v>45441</v>
      </c>
      <c r="C3229" t="s">
        <v>3</v>
      </c>
      <c r="D3229" t="s">
        <v>123</v>
      </c>
      <c r="E3229">
        <v>160</v>
      </c>
      <c r="F3229">
        <v>64</v>
      </c>
      <c r="G3229">
        <v>6</v>
      </c>
      <c r="H3229">
        <v>4</v>
      </c>
      <c r="I3229">
        <v>1498</v>
      </c>
      <c r="J3229">
        <v>1</v>
      </c>
      <c r="K3229">
        <v>0</v>
      </c>
      <c r="L3229">
        <v>0</v>
      </c>
      <c r="M3229">
        <v>69</v>
      </c>
      <c r="N3229">
        <v>129</v>
      </c>
      <c r="O3229">
        <f t="shared" si="100"/>
        <v>2024</v>
      </c>
      <c r="P3229">
        <f t="shared" si="101"/>
        <v>5</v>
      </c>
      <c r="Q3229" t="s">
        <v>325</v>
      </c>
      <c r="R3229" s="546" t="s">
        <v>804</v>
      </c>
    </row>
    <row r="3230" spans="1:18" x14ac:dyDescent="0.3">
      <c r="A3230" t="s">
        <v>627</v>
      </c>
      <c r="B3230" s="16">
        <v>45441</v>
      </c>
      <c r="C3230" t="s">
        <v>3</v>
      </c>
      <c r="D3230" t="s">
        <v>121</v>
      </c>
      <c r="E3230">
        <v>3</v>
      </c>
      <c r="F3230">
        <v>3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1</v>
      </c>
      <c r="N3230">
        <v>2</v>
      </c>
      <c r="O3230">
        <f t="shared" si="100"/>
        <v>2024</v>
      </c>
      <c r="P3230">
        <f t="shared" si="101"/>
        <v>5</v>
      </c>
      <c r="Q3230" t="s">
        <v>325</v>
      </c>
      <c r="R3230" s="546" t="s">
        <v>804</v>
      </c>
    </row>
    <row r="3231" spans="1:18" x14ac:dyDescent="0.3">
      <c r="A3231" t="s">
        <v>627</v>
      </c>
      <c r="B3231" s="16">
        <v>45441</v>
      </c>
      <c r="C3231" t="s">
        <v>3</v>
      </c>
      <c r="D3231" t="s">
        <v>120</v>
      </c>
      <c r="E3231">
        <v>520</v>
      </c>
      <c r="F3231">
        <v>293</v>
      </c>
      <c r="G3231">
        <v>5</v>
      </c>
      <c r="H3231">
        <v>0</v>
      </c>
      <c r="I3231">
        <v>7990</v>
      </c>
      <c r="J3231">
        <v>4</v>
      </c>
      <c r="K3231">
        <v>7990</v>
      </c>
      <c r="L3231">
        <v>4</v>
      </c>
      <c r="M3231">
        <v>52</v>
      </c>
      <c r="N3231">
        <v>514</v>
      </c>
      <c r="O3231">
        <f t="shared" si="100"/>
        <v>2024</v>
      </c>
      <c r="P3231">
        <f t="shared" si="101"/>
        <v>5</v>
      </c>
      <c r="Q3231" t="s">
        <v>325</v>
      </c>
      <c r="R3231" s="546" t="s">
        <v>804</v>
      </c>
    </row>
    <row r="3232" spans="1:18" x14ac:dyDescent="0.3">
      <c r="A3232" t="s">
        <v>627</v>
      </c>
      <c r="B3232" s="16">
        <v>45441</v>
      </c>
      <c r="C3232" t="s">
        <v>3</v>
      </c>
      <c r="D3232" t="s">
        <v>119</v>
      </c>
      <c r="E3232">
        <v>328</v>
      </c>
      <c r="F3232">
        <v>72</v>
      </c>
      <c r="G3232">
        <v>25</v>
      </c>
      <c r="H3232">
        <v>6</v>
      </c>
      <c r="I3232">
        <v>31471</v>
      </c>
      <c r="J3232">
        <v>15</v>
      </c>
      <c r="K3232">
        <v>27596</v>
      </c>
      <c r="L3232">
        <v>13</v>
      </c>
      <c r="M3232">
        <v>72</v>
      </c>
      <c r="N3232">
        <v>314</v>
      </c>
      <c r="O3232">
        <f t="shared" si="100"/>
        <v>2024</v>
      </c>
      <c r="P3232">
        <f t="shared" si="101"/>
        <v>5</v>
      </c>
      <c r="Q3232" t="s">
        <v>325</v>
      </c>
      <c r="R3232" s="546" t="s">
        <v>804</v>
      </c>
    </row>
    <row r="3233" spans="1:18" x14ac:dyDescent="0.3">
      <c r="A3233" t="s">
        <v>627</v>
      </c>
      <c r="B3233" s="16">
        <v>45441</v>
      </c>
      <c r="C3233" t="s">
        <v>3</v>
      </c>
      <c r="D3233" t="s">
        <v>118</v>
      </c>
      <c r="E3233">
        <v>1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1</v>
      </c>
      <c r="N3233">
        <v>0</v>
      </c>
      <c r="O3233">
        <f t="shared" si="100"/>
        <v>2024</v>
      </c>
      <c r="P3233">
        <f t="shared" si="101"/>
        <v>5</v>
      </c>
      <c r="Q3233" t="s">
        <v>325</v>
      </c>
      <c r="R3233" s="546" t="s">
        <v>804</v>
      </c>
    </row>
    <row r="3234" spans="1:18" x14ac:dyDescent="0.3">
      <c r="A3234" t="s">
        <v>627</v>
      </c>
      <c r="B3234" s="16">
        <v>45441</v>
      </c>
      <c r="C3234" t="s">
        <v>3</v>
      </c>
      <c r="D3234" t="s">
        <v>116</v>
      </c>
      <c r="E3234">
        <v>1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1</v>
      </c>
      <c r="O3234">
        <f t="shared" si="100"/>
        <v>2024</v>
      </c>
      <c r="P3234">
        <f t="shared" si="101"/>
        <v>5</v>
      </c>
      <c r="Q3234" t="s">
        <v>325</v>
      </c>
      <c r="R3234" s="546" t="s">
        <v>804</v>
      </c>
    </row>
    <row r="3235" spans="1:18" x14ac:dyDescent="0.3">
      <c r="A3235" t="s">
        <v>627</v>
      </c>
      <c r="B3235" s="16">
        <v>45441</v>
      </c>
      <c r="C3235" t="s">
        <v>3</v>
      </c>
      <c r="D3235" t="s">
        <v>115</v>
      </c>
      <c r="E3235">
        <v>3</v>
      </c>
      <c r="F3235">
        <v>2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3</v>
      </c>
      <c r="O3235">
        <f t="shared" si="100"/>
        <v>2024</v>
      </c>
      <c r="P3235">
        <f t="shared" si="101"/>
        <v>5</v>
      </c>
      <c r="Q3235" t="s">
        <v>325</v>
      </c>
      <c r="R3235" s="546" t="s">
        <v>804</v>
      </c>
    </row>
    <row r="3236" spans="1:18" x14ac:dyDescent="0.3">
      <c r="A3236" t="s">
        <v>627</v>
      </c>
      <c r="B3236" s="16">
        <v>45441</v>
      </c>
      <c r="C3236" t="s">
        <v>3</v>
      </c>
      <c r="D3236" t="s">
        <v>114</v>
      </c>
      <c r="E3236">
        <v>5</v>
      </c>
      <c r="F3236">
        <v>2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1</v>
      </c>
      <c r="N3236">
        <v>4</v>
      </c>
      <c r="O3236">
        <f t="shared" si="100"/>
        <v>2024</v>
      </c>
      <c r="P3236">
        <f t="shared" si="101"/>
        <v>5</v>
      </c>
      <c r="Q3236" t="s">
        <v>325</v>
      </c>
      <c r="R3236" s="546" t="s">
        <v>804</v>
      </c>
    </row>
    <row r="3237" spans="1:18" x14ac:dyDescent="0.3">
      <c r="A3237" t="s">
        <v>627</v>
      </c>
      <c r="B3237" s="16">
        <v>45441</v>
      </c>
      <c r="C3237" t="s">
        <v>3</v>
      </c>
      <c r="D3237" t="s">
        <v>113</v>
      </c>
      <c r="E3237">
        <v>153</v>
      </c>
      <c r="F3237">
        <v>63</v>
      </c>
      <c r="G3237">
        <v>5</v>
      </c>
      <c r="H3237">
        <v>1</v>
      </c>
      <c r="I3237">
        <v>4645</v>
      </c>
      <c r="J3237">
        <v>1</v>
      </c>
      <c r="K3237">
        <v>4645</v>
      </c>
      <c r="L3237">
        <v>1</v>
      </c>
      <c r="M3237">
        <v>99</v>
      </c>
      <c r="N3237">
        <v>93</v>
      </c>
      <c r="O3237">
        <f t="shared" si="100"/>
        <v>2024</v>
      </c>
      <c r="P3237">
        <f t="shared" si="101"/>
        <v>5</v>
      </c>
      <c r="Q3237" t="s">
        <v>325</v>
      </c>
      <c r="R3237" s="546" t="s">
        <v>804</v>
      </c>
    </row>
    <row r="3238" spans="1:18" x14ac:dyDescent="0.3">
      <c r="A3238" t="s">
        <v>627</v>
      </c>
      <c r="B3238" s="16">
        <v>45441</v>
      </c>
      <c r="C3238" t="s">
        <v>3</v>
      </c>
      <c r="D3238" t="s">
        <v>112</v>
      </c>
      <c r="E3238">
        <v>7</v>
      </c>
      <c r="F3238">
        <v>1</v>
      </c>
      <c r="G3238">
        <v>0</v>
      </c>
      <c r="H3238">
        <v>0</v>
      </c>
      <c r="I3238">
        <v>1598</v>
      </c>
      <c r="J3238">
        <v>1</v>
      </c>
      <c r="K3238">
        <v>1598</v>
      </c>
      <c r="L3238">
        <v>1</v>
      </c>
      <c r="M3238">
        <v>0</v>
      </c>
      <c r="N3238">
        <v>7</v>
      </c>
      <c r="O3238">
        <f t="shared" si="100"/>
        <v>2024</v>
      </c>
      <c r="P3238">
        <f t="shared" si="101"/>
        <v>5</v>
      </c>
      <c r="Q3238" t="s">
        <v>325</v>
      </c>
      <c r="R3238" s="546" t="s">
        <v>804</v>
      </c>
    </row>
    <row r="3239" spans="1:18" x14ac:dyDescent="0.3">
      <c r="A3239" t="s">
        <v>627</v>
      </c>
      <c r="B3239" s="16">
        <v>45441</v>
      </c>
      <c r="C3239" t="s">
        <v>3</v>
      </c>
      <c r="D3239" t="s">
        <v>111</v>
      </c>
      <c r="E3239">
        <v>46</v>
      </c>
      <c r="F3239">
        <v>32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1</v>
      </c>
      <c r="N3239">
        <v>46</v>
      </c>
      <c r="O3239">
        <f t="shared" si="100"/>
        <v>2024</v>
      </c>
      <c r="P3239">
        <f t="shared" si="101"/>
        <v>5</v>
      </c>
      <c r="Q3239" t="s">
        <v>325</v>
      </c>
      <c r="R3239" s="546" t="s">
        <v>804</v>
      </c>
    </row>
    <row r="3240" spans="1:18" x14ac:dyDescent="0.3">
      <c r="A3240" t="s">
        <v>627</v>
      </c>
      <c r="B3240" s="16">
        <v>45440</v>
      </c>
      <c r="C3240" t="s">
        <v>2</v>
      </c>
      <c r="D3240" t="s">
        <v>4</v>
      </c>
      <c r="E3240">
        <v>354</v>
      </c>
      <c r="F3240">
        <v>123</v>
      </c>
      <c r="G3240">
        <v>3</v>
      </c>
      <c r="H3240">
        <v>1</v>
      </c>
      <c r="I3240">
        <v>10233</v>
      </c>
      <c r="J3240">
        <v>3</v>
      </c>
      <c r="K3240">
        <v>10233</v>
      </c>
      <c r="L3240">
        <v>3</v>
      </c>
      <c r="M3240">
        <v>13</v>
      </c>
      <c r="N3240">
        <v>351</v>
      </c>
      <c r="O3240">
        <f t="shared" si="100"/>
        <v>2024</v>
      </c>
      <c r="P3240">
        <f t="shared" si="101"/>
        <v>5</v>
      </c>
      <c r="Q3240" t="s">
        <v>325</v>
      </c>
      <c r="R3240" s="546" t="s">
        <v>804</v>
      </c>
    </row>
    <row r="3241" spans="1:18" x14ac:dyDescent="0.3">
      <c r="A3241" t="s">
        <v>627</v>
      </c>
      <c r="B3241" s="16">
        <v>45440</v>
      </c>
      <c r="C3241" t="s">
        <v>2</v>
      </c>
      <c r="D3241" t="s">
        <v>57</v>
      </c>
      <c r="E3241">
        <v>20647</v>
      </c>
      <c r="F3241">
        <v>13019</v>
      </c>
      <c r="G3241">
        <v>204</v>
      </c>
      <c r="H3241">
        <v>104</v>
      </c>
      <c r="I3241">
        <v>289130.11</v>
      </c>
      <c r="J3241">
        <v>79</v>
      </c>
      <c r="K3241">
        <v>209390.61</v>
      </c>
      <c r="L3241">
        <v>68</v>
      </c>
      <c r="M3241">
        <v>797</v>
      </c>
      <c r="N3241">
        <v>20616</v>
      </c>
      <c r="O3241">
        <f t="shared" si="100"/>
        <v>2024</v>
      </c>
      <c r="P3241">
        <f t="shared" si="101"/>
        <v>5</v>
      </c>
      <c r="Q3241" t="s">
        <v>325</v>
      </c>
      <c r="R3241" s="546" t="s">
        <v>804</v>
      </c>
    </row>
    <row r="3242" spans="1:18" x14ac:dyDescent="0.3">
      <c r="A3242" t="s">
        <v>627</v>
      </c>
      <c r="B3242" s="16">
        <v>45440</v>
      </c>
      <c r="C3242" t="s">
        <v>2</v>
      </c>
      <c r="D3242" t="s">
        <v>52</v>
      </c>
      <c r="E3242">
        <v>2514</v>
      </c>
      <c r="F3242">
        <v>1981</v>
      </c>
      <c r="G3242">
        <v>19</v>
      </c>
      <c r="H3242">
        <v>3</v>
      </c>
      <c r="I3242">
        <v>28375</v>
      </c>
      <c r="J3242">
        <v>11</v>
      </c>
      <c r="K3242">
        <v>26877</v>
      </c>
      <c r="L3242">
        <v>11</v>
      </c>
      <c r="M3242">
        <v>2514</v>
      </c>
      <c r="N3242">
        <v>610</v>
      </c>
      <c r="O3242">
        <f t="shared" si="100"/>
        <v>2024</v>
      </c>
      <c r="P3242">
        <f t="shared" si="101"/>
        <v>5</v>
      </c>
      <c r="Q3242" t="s">
        <v>325</v>
      </c>
      <c r="R3242" s="546" t="s">
        <v>804</v>
      </c>
    </row>
    <row r="3243" spans="1:18" x14ac:dyDescent="0.3">
      <c r="A3243" t="s">
        <v>627</v>
      </c>
      <c r="B3243" s="16">
        <v>45440</v>
      </c>
      <c r="C3243" t="s">
        <v>2</v>
      </c>
      <c r="D3243" t="s">
        <v>55</v>
      </c>
      <c r="E3243">
        <v>19</v>
      </c>
      <c r="F3243">
        <v>14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16</v>
      </c>
      <c r="O3243">
        <f t="shared" si="100"/>
        <v>2024</v>
      </c>
      <c r="P3243">
        <f t="shared" si="101"/>
        <v>5</v>
      </c>
      <c r="Q3243" t="s">
        <v>325</v>
      </c>
      <c r="R3243" s="546" t="s">
        <v>804</v>
      </c>
    </row>
    <row r="3244" spans="1:18" x14ac:dyDescent="0.3">
      <c r="A3244" t="s">
        <v>627</v>
      </c>
      <c r="B3244" s="16">
        <v>45440</v>
      </c>
      <c r="C3244" t="s">
        <v>3</v>
      </c>
      <c r="D3244" t="s">
        <v>155</v>
      </c>
      <c r="E3244">
        <v>5</v>
      </c>
      <c r="F3244">
        <v>2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5</v>
      </c>
      <c r="O3244">
        <f t="shared" si="100"/>
        <v>2024</v>
      </c>
      <c r="P3244">
        <f t="shared" si="101"/>
        <v>5</v>
      </c>
      <c r="Q3244" t="s">
        <v>325</v>
      </c>
      <c r="R3244" s="546" t="s">
        <v>804</v>
      </c>
    </row>
    <row r="3245" spans="1:18" x14ac:dyDescent="0.3">
      <c r="A3245" t="s">
        <v>627</v>
      </c>
      <c r="B3245" s="16">
        <v>45440</v>
      </c>
      <c r="C3245" t="s">
        <v>3</v>
      </c>
      <c r="D3245" t="s">
        <v>154</v>
      </c>
      <c r="E3245">
        <v>4</v>
      </c>
      <c r="F3245">
        <v>4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f t="shared" si="100"/>
        <v>2024</v>
      </c>
      <c r="P3245">
        <f t="shared" si="101"/>
        <v>5</v>
      </c>
      <c r="Q3245" t="s">
        <v>325</v>
      </c>
      <c r="R3245" s="546" t="s">
        <v>804</v>
      </c>
    </row>
    <row r="3246" spans="1:18" x14ac:dyDescent="0.3">
      <c r="A3246" t="s">
        <v>627</v>
      </c>
      <c r="B3246" s="16">
        <v>45440</v>
      </c>
      <c r="C3246" t="s">
        <v>3</v>
      </c>
      <c r="D3246" t="s">
        <v>153</v>
      </c>
      <c r="E3246">
        <v>438</v>
      </c>
      <c r="F3246">
        <v>115</v>
      </c>
      <c r="G3246">
        <v>65</v>
      </c>
      <c r="H3246">
        <v>4</v>
      </c>
      <c r="I3246">
        <v>227749.48</v>
      </c>
      <c r="J3246">
        <v>77</v>
      </c>
      <c r="K3246">
        <v>200587.48</v>
      </c>
      <c r="L3246">
        <v>68</v>
      </c>
      <c r="M3246">
        <v>134</v>
      </c>
      <c r="N3246">
        <v>420</v>
      </c>
      <c r="O3246">
        <f t="shared" si="100"/>
        <v>2024</v>
      </c>
      <c r="P3246">
        <f t="shared" si="101"/>
        <v>5</v>
      </c>
      <c r="Q3246" t="s">
        <v>325</v>
      </c>
      <c r="R3246" s="546" t="s">
        <v>804</v>
      </c>
    </row>
    <row r="3247" spans="1:18" x14ac:dyDescent="0.3">
      <c r="A3247" t="s">
        <v>627</v>
      </c>
      <c r="B3247" s="16">
        <v>45440</v>
      </c>
      <c r="C3247" t="s">
        <v>3</v>
      </c>
      <c r="D3247" t="s">
        <v>152</v>
      </c>
      <c r="E3247">
        <v>13</v>
      </c>
      <c r="F3247">
        <v>2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13</v>
      </c>
      <c r="O3247">
        <f t="shared" ref="O3247:O3310" si="102">YEAR(B3247)</f>
        <v>2024</v>
      </c>
      <c r="P3247">
        <f t="shared" ref="P3247:P3310" si="103">MONTH(B3247)</f>
        <v>5</v>
      </c>
      <c r="Q3247" t="s">
        <v>325</v>
      </c>
      <c r="R3247" s="546" t="s">
        <v>804</v>
      </c>
    </row>
    <row r="3248" spans="1:18" x14ac:dyDescent="0.3">
      <c r="A3248" t="s">
        <v>627</v>
      </c>
      <c r="B3248" s="16">
        <v>45440</v>
      </c>
      <c r="C3248" t="s">
        <v>3</v>
      </c>
      <c r="D3248" t="s">
        <v>150</v>
      </c>
      <c r="E3248">
        <v>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2</v>
      </c>
      <c r="O3248">
        <f t="shared" si="102"/>
        <v>2024</v>
      </c>
      <c r="P3248">
        <f t="shared" si="103"/>
        <v>5</v>
      </c>
      <c r="Q3248" t="s">
        <v>325</v>
      </c>
      <c r="R3248" s="546" t="s">
        <v>804</v>
      </c>
    </row>
    <row r="3249" spans="1:18" x14ac:dyDescent="0.3">
      <c r="A3249" t="s">
        <v>627</v>
      </c>
      <c r="B3249" s="16">
        <v>45440</v>
      </c>
      <c r="C3249" t="s">
        <v>3</v>
      </c>
      <c r="D3249" t="s">
        <v>149</v>
      </c>
      <c r="E3249">
        <v>18</v>
      </c>
      <c r="F3249">
        <v>8</v>
      </c>
      <c r="G3249">
        <v>3</v>
      </c>
      <c r="H3249">
        <v>0</v>
      </c>
      <c r="I3249">
        <v>4168</v>
      </c>
      <c r="J3249">
        <v>2</v>
      </c>
      <c r="K3249">
        <v>4168</v>
      </c>
      <c r="L3249">
        <v>2</v>
      </c>
      <c r="M3249">
        <v>7</v>
      </c>
      <c r="N3249">
        <v>14</v>
      </c>
      <c r="O3249">
        <f t="shared" si="102"/>
        <v>2024</v>
      </c>
      <c r="P3249">
        <f t="shared" si="103"/>
        <v>5</v>
      </c>
      <c r="Q3249" t="s">
        <v>325</v>
      </c>
      <c r="R3249" s="546" t="s">
        <v>804</v>
      </c>
    </row>
    <row r="3250" spans="1:18" x14ac:dyDescent="0.3">
      <c r="A3250" t="s">
        <v>627</v>
      </c>
      <c r="B3250" s="16">
        <v>45440</v>
      </c>
      <c r="C3250" t="s">
        <v>3</v>
      </c>
      <c r="D3250" t="s">
        <v>147</v>
      </c>
      <c r="E3250">
        <v>35</v>
      </c>
      <c r="F3250">
        <v>25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35</v>
      </c>
      <c r="O3250">
        <f t="shared" si="102"/>
        <v>2024</v>
      </c>
      <c r="P3250">
        <f t="shared" si="103"/>
        <v>5</v>
      </c>
      <c r="Q3250" t="s">
        <v>325</v>
      </c>
      <c r="R3250" s="546" t="s">
        <v>804</v>
      </c>
    </row>
    <row r="3251" spans="1:18" x14ac:dyDescent="0.3">
      <c r="A3251" t="s">
        <v>627</v>
      </c>
      <c r="B3251" s="16">
        <v>45440</v>
      </c>
      <c r="C3251" t="s">
        <v>3</v>
      </c>
      <c r="D3251" t="s">
        <v>251</v>
      </c>
      <c r="E3251">
        <v>454</v>
      </c>
      <c r="F3251">
        <v>174</v>
      </c>
      <c r="G3251">
        <v>6</v>
      </c>
      <c r="H3251">
        <v>6</v>
      </c>
      <c r="I3251">
        <v>11689.45</v>
      </c>
      <c r="J3251">
        <v>7</v>
      </c>
      <c r="K3251">
        <v>9409.4500000000007</v>
      </c>
      <c r="L3251">
        <v>6</v>
      </c>
      <c r="M3251">
        <v>57</v>
      </c>
      <c r="N3251">
        <v>424</v>
      </c>
      <c r="O3251">
        <f t="shared" si="102"/>
        <v>2024</v>
      </c>
      <c r="P3251">
        <f t="shared" si="103"/>
        <v>5</v>
      </c>
      <c r="Q3251" t="s">
        <v>325</v>
      </c>
      <c r="R3251" s="546" t="s">
        <v>804</v>
      </c>
    </row>
    <row r="3252" spans="1:18" x14ac:dyDescent="0.3">
      <c r="A3252" t="s">
        <v>627</v>
      </c>
      <c r="B3252" s="16">
        <v>45440</v>
      </c>
      <c r="C3252" t="s">
        <v>3</v>
      </c>
      <c r="D3252" t="s">
        <v>143</v>
      </c>
      <c r="E3252">
        <v>13</v>
      </c>
      <c r="F3252">
        <v>12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13</v>
      </c>
      <c r="O3252">
        <f t="shared" si="102"/>
        <v>2024</v>
      </c>
      <c r="P3252">
        <f t="shared" si="103"/>
        <v>5</v>
      </c>
      <c r="Q3252" t="s">
        <v>325</v>
      </c>
      <c r="R3252" s="546" t="s">
        <v>804</v>
      </c>
    </row>
    <row r="3253" spans="1:18" x14ac:dyDescent="0.3">
      <c r="A3253" t="s">
        <v>627</v>
      </c>
      <c r="B3253" s="16">
        <v>45440</v>
      </c>
      <c r="C3253" t="s">
        <v>3</v>
      </c>
      <c r="D3253" t="s">
        <v>142</v>
      </c>
      <c r="E3253">
        <v>28</v>
      </c>
      <c r="F3253">
        <v>11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2</v>
      </c>
      <c r="N3253">
        <v>28</v>
      </c>
      <c r="O3253">
        <f t="shared" si="102"/>
        <v>2024</v>
      </c>
      <c r="P3253">
        <f t="shared" si="103"/>
        <v>5</v>
      </c>
      <c r="Q3253" t="s">
        <v>325</v>
      </c>
      <c r="R3253" s="546" t="s">
        <v>804</v>
      </c>
    </row>
    <row r="3254" spans="1:18" x14ac:dyDescent="0.3">
      <c r="A3254" t="s">
        <v>627</v>
      </c>
      <c r="B3254" s="16">
        <v>45440</v>
      </c>
      <c r="C3254" t="s">
        <v>3</v>
      </c>
      <c r="D3254" t="s">
        <v>141</v>
      </c>
      <c r="E3254">
        <v>3</v>
      </c>
      <c r="F3254">
        <v>3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1</v>
      </c>
      <c r="N3254">
        <v>2</v>
      </c>
      <c r="O3254">
        <f t="shared" si="102"/>
        <v>2024</v>
      </c>
      <c r="P3254">
        <f t="shared" si="103"/>
        <v>5</v>
      </c>
      <c r="Q3254" t="s">
        <v>325</v>
      </c>
      <c r="R3254" s="546" t="s">
        <v>804</v>
      </c>
    </row>
    <row r="3255" spans="1:18" x14ac:dyDescent="0.3">
      <c r="A3255" t="s">
        <v>627</v>
      </c>
      <c r="B3255" s="16">
        <v>45440</v>
      </c>
      <c r="C3255" t="s">
        <v>3</v>
      </c>
      <c r="D3255" t="s">
        <v>140</v>
      </c>
      <c r="E3255">
        <v>8</v>
      </c>
      <c r="F3255">
        <v>8</v>
      </c>
      <c r="G3255">
        <v>3</v>
      </c>
      <c r="H3255">
        <v>0</v>
      </c>
      <c r="I3255">
        <v>1699.44</v>
      </c>
      <c r="J3255">
        <v>1</v>
      </c>
      <c r="K3255">
        <v>1699.44</v>
      </c>
      <c r="L3255">
        <v>1</v>
      </c>
      <c r="M3255">
        <v>2</v>
      </c>
      <c r="N3255">
        <v>8</v>
      </c>
      <c r="O3255">
        <f t="shared" si="102"/>
        <v>2024</v>
      </c>
      <c r="P3255">
        <f t="shared" si="103"/>
        <v>5</v>
      </c>
      <c r="Q3255" t="s">
        <v>325</v>
      </c>
      <c r="R3255" s="546" t="s">
        <v>804</v>
      </c>
    </row>
    <row r="3256" spans="1:18" x14ac:dyDescent="0.3">
      <c r="A3256" t="s">
        <v>627</v>
      </c>
      <c r="B3256" s="16">
        <v>45440</v>
      </c>
      <c r="C3256" t="s">
        <v>3</v>
      </c>
      <c r="D3256" t="s">
        <v>139</v>
      </c>
      <c r="E3256">
        <v>608</v>
      </c>
      <c r="F3256">
        <v>293</v>
      </c>
      <c r="G3256">
        <v>36</v>
      </c>
      <c r="H3256">
        <v>7</v>
      </c>
      <c r="I3256">
        <v>78538.87</v>
      </c>
      <c r="J3256">
        <v>22</v>
      </c>
      <c r="K3256">
        <v>59638.87</v>
      </c>
      <c r="L3256">
        <v>21</v>
      </c>
      <c r="M3256">
        <v>335</v>
      </c>
      <c r="N3256">
        <v>432</v>
      </c>
      <c r="O3256">
        <f t="shared" si="102"/>
        <v>2024</v>
      </c>
      <c r="P3256">
        <f t="shared" si="103"/>
        <v>5</v>
      </c>
      <c r="Q3256" t="s">
        <v>325</v>
      </c>
      <c r="R3256" s="546" t="s">
        <v>804</v>
      </c>
    </row>
    <row r="3257" spans="1:18" x14ac:dyDescent="0.3">
      <c r="A3257" t="s">
        <v>627</v>
      </c>
      <c r="B3257" s="16">
        <v>45440</v>
      </c>
      <c r="C3257" t="s">
        <v>3</v>
      </c>
      <c r="D3257" t="s">
        <v>138</v>
      </c>
      <c r="E3257">
        <v>10</v>
      </c>
      <c r="F3257">
        <v>6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1</v>
      </c>
      <c r="N3257">
        <v>10</v>
      </c>
      <c r="O3257">
        <f t="shared" si="102"/>
        <v>2024</v>
      </c>
      <c r="P3257">
        <f t="shared" si="103"/>
        <v>5</v>
      </c>
      <c r="Q3257" t="s">
        <v>325</v>
      </c>
      <c r="R3257" s="546" t="s">
        <v>804</v>
      </c>
    </row>
    <row r="3258" spans="1:18" x14ac:dyDescent="0.3">
      <c r="A3258" t="s">
        <v>627</v>
      </c>
      <c r="B3258" s="16">
        <v>45440</v>
      </c>
      <c r="C3258" t="s">
        <v>3</v>
      </c>
      <c r="D3258" t="s">
        <v>137</v>
      </c>
      <c r="E3258">
        <v>5</v>
      </c>
      <c r="F3258">
        <v>1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2</v>
      </c>
      <c r="N3258">
        <v>5</v>
      </c>
      <c r="O3258">
        <f t="shared" si="102"/>
        <v>2024</v>
      </c>
      <c r="P3258">
        <f t="shared" si="103"/>
        <v>5</v>
      </c>
      <c r="Q3258" t="s">
        <v>325</v>
      </c>
      <c r="R3258" s="546" t="s">
        <v>804</v>
      </c>
    </row>
    <row r="3259" spans="1:18" x14ac:dyDescent="0.3">
      <c r="A3259" t="s">
        <v>627</v>
      </c>
      <c r="B3259" s="16">
        <v>45440</v>
      </c>
      <c r="C3259" t="s">
        <v>3</v>
      </c>
      <c r="D3259" t="s">
        <v>135</v>
      </c>
      <c r="E3259">
        <v>1</v>
      </c>
      <c r="F3259">
        <v>1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1</v>
      </c>
      <c r="O3259">
        <f t="shared" si="102"/>
        <v>2024</v>
      </c>
      <c r="P3259">
        <f t="shared" si="103"/>
        <v>5</v>
      </c>
      <c r="Q3259" t="s">
        <v>325</v>
      </c>
      <c r="R3259" s="546" t="s">
        <v>804</v>
      </c>
    </row>
    <row r="3260" spans="1:18" x14ac:dyDescent="0.3">
      <c r="A3260" t="s">
        <v>627</v>
      </c>
      <c r="B3260" s="16">
        <v>45440</v>
      </c>
      <c r="C3260" t="s">
        <v>3</v>
      </c>
      <c r="D3260" t="s">
        <v>133</v>
      </c>
      <c r="E3260">
        <v>28</v>
      </c>
      <c r="F3260">
        <v>16</v>
      </c>
      <c r="G3260">
        <v>6</v>
      </c>
      <c r="H3260">
        <v>0</v>
      </c>
      <c r="I3260">
        <v>13225.52</v>
      </c>
      <c r="J3260">
        <v>5</v>
      </c>
      <c r="K3260">
        <v>13225.52</v>
      </c>
      <c r="L3260">
        <v>5</v>
      </c>
      <c r="M3260">
        <v>7</v>
      </c>
      <c r="N3260">
        <v>27</v>
      </c>
      <c r="O3260">
        <f t="shared" si="102"/>
        <v>2024</v>
      </c>
      <c r="P3260">
        <f t="shared" si="103"/>
        <v>5</v>
      </c>
      <c r="Q3260" t="s">
        <v>325</v>
      </c>
      <c r="R3260" s="546" t="s">
        <v>804</v>
      </c>
    </row>
    <row r="3261" spans="1:18" x14ac:dyDescent="0.3">
      <c r="A3261" t="s">
        <v>627</v>
      </c>
      <c r="B3261" s="16">
        <v>45440</v>
      </c>
      <c r="C3261" t="s">
        <v>3</v>
      </c>
      <c r="D3261" t="s">
        <v>132</v>
      </c>
      <c r="E3261">
        <v>1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</v>
      </c>
      <c r="O3261">
        <f t="shared" si="102"/>
        <v>2024</v>
      </c>
      <c r="P3261">
        <f t="shared" si="103"/>
        <v>5</v>
      </c>
      <c r="Q3261" t="s">
        <v>325</v>
      </c>
      <c r="R3261" s="546" t="s">
        <v>804</v>
      </c>
    </row>
    <row r="3262" spans="1:18" x14ac:dyDescent="0.3">
      <c r="A3262" t="s">
        <v>627</v>
      </c>
      <c r="B3262" s="16">
        <v>45440</v>
      </c>
      <c r="C3262" t="s">
        <v>3</v>
      </c>
      <c r="D3262" t="s">
        <v>131</v>
      </c>
      <c r="E3262">
        <v>1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f t="shared" si="102"/>
        <v>2024</v>
      </c>
      <c r="P3262">
        <f t="shared" si="103"/>
        <v>5</v>
      </c>
      <c r="Q3262" t="s">
        <v>325</v>
      </c>
      <c r="R3262" s="546" t="s">
        <v>804</v>
      </c>
    </row>
    <row r="3263" spans="1:18" x14ac:dyDescent="0.3">
      <c r="A3263" t="s">
        <v>627</v>
      </c>
      <c r="B3263" s="16">
        <v>45440</v>
      </c>
      <c r="C3263" t="s">
        <v>3</v>
      </c>
      <c r="D3263" t="s">
        <v>130</v>
      </c>
      <c r="E3263">
        <v>113</v>
      </c>
      <c r="F3263">
        <v>44</v>
      </c>
      <c r="G3263">
        <v>20</v>
      </c>
      <c r="H3263">
        <v>2</v>
      </c>
      <c r="I3263">
        <v>73863.34</v>
      </c>
      <c r="J3263">
        <v>19</v>
      </c>
      <c r="K3263">
        <v>49298.34</v>
      </c>
      <c r="L3263">
        <v>17</v>
      </c>
      <c r="M3263">
        <v>42</v>
      </c>
      <c r="N3263">
        <v>104</v>
      </c>
      <c r="O3263">
        <f t="shared" si="102"/>
        <v>2024</v>
      </c>
      <c r="P3263">
        <f t="shared" si="103"/>
        <v>5</v>
      </c>
      <c r="Q3263" t="s">
        <v>325</v>
      </c>
      <c r="R3263" s="546" t="s">
        <v>804</v>
      </c>
    </row>
    <row r="3264" spans="1:18" x14ac:dyDescent="0.3">
      <c r="A3264" t="s">
        <v>627</v>
      </c>
      <c r="B3264" s="16">
        <v>45440</v>
      </c>
      <c r="C3264" t="s">
        <v>3</v>
      </c>
      <c r="D3264" t="s">
        <v>128</v>
      </c>
      <c r="E3264">
        <v>914</v>
      </c>
      <c r="F3264">
        <v>695</v>
      </c>
      <c r="G3264">
        <v>80</v>
      </c>
      <c r="H3264">
        <v>11</v>
      </c>
      <c r="I3264">
        <v>65691</v>
      </c>
      <c r="J3264">
        <v>24</v>
      </c>
      <c r="K3264">
        <v>63393.5</v>
      </c>
      <c r="L3264">
        <v>24</v>
      </c>
      <c r="M3264">
        <v>261</v>
      </c>
      <c r="N3264">
        <v>829</v>
      </c>
      <c r="O3264">
        <f t="shared" si="102"/>
        <v>2024</v>
      </c>
      <c r="P3264">
        <f t="shared" si="103"/>
        <v>5</v>
      </c>
      <c r="Q3264" t="s">
        <v>325</v>
      </c>
      <c r="R3264" s="546" t="s">
        <v>804</v>
      </c>
    </row>
    <row r="3265" spans="1:18" x14ac:dyDescent="0.3">
      <c r="A3265" t="s">
        <v>627</v>
      </c>
      <c r="B3265" s="16">
        <v>45440</v>
      </c>
      <c r="C3265" t="s">
        <v>3</v>
      </c>
      <c r="D3265" t="s">
        <v>127</v>
      </c>
      <c r="E3265">
        <v>9670</v>
      </c>
      <c r="F3265">
        <v>8282</v>
      </c>
      <c r="G3265">
        <v>178</v>
      </c>
      <c r="H3265">
        <v>93</v>
      </c>
      <c r="I3265">
        <v>95796.44</v>
      </c>
      <c r="J3265">
        <v>39</v>
      </c>
      <c r="K3265">
        <v>53994.44</v>
      </c>
      <c r="L3265">
        <v>25</v>
      </c>
      <c r="M3265">
        <v>1019</v>
      </c>
      <c r="N3265">
        <v>9556</v>
      </c>
      <c r="O3265">
        <f t="shared" si="102"/>
        <v>2024</v>
      </c>
      <c r="P3265">
        <f t="shared" si="103"/>
        <v>5</v>
      </c>
      <c r="Q3265" t="s">
        <v>325</v>
      </c>
      <c r="R3265" s="546" t="s">
        <v>804</v>
      </c>
    </row>
    <row r="3266" spans="1:18" x14ac:dyDescent="0.3">
      <c r="A3266" t="s">
        <v>627</v>
      </c>
      <c r="B3266" s="16">
        <v>45440</v>
      </c>
      <c r="C3266" t="s">
        <v>3</v>
      </c>
      <c r="D3266" t="s">
        <v>126</v>
      </c>
      <c r="E3266">
        <v>102</v>
      </c>
      <c r="F3266">
        <v>71</v>
      </c>
      <c r="G3266">
        <v>5</v>
      </c>
      <c r="H3266">
        <v>4</v>
      </c>
      <c r="I3266">
        <v>7490</v>
      </c>
      <c r="J3266">
        <v>2</v>
      </c>
      <c r="K3266">
        <v>7490</v>
      </c>
      <c r="L3266">
        <v>2</v>
      </c>
      <c r="M3266">
        <v>17</v>
      </c>
      <c r="N3266">
        <v>99</v>
      </c>
      <c r="O3266">
        <f t="shared" si="102"/>
        <v>2024</v>
      </c>
      <c r="P3266">
        <f t="shared" si="103"/>
        <v>5</v>
      </c>
      <c r="Q3266" t="s">
        <v>325</v>
      </c>
      <c r="R3266" s="546" t="s">
        <v>804</v>
      </c>
    </row>
    <row r="3267" spans="1:18" x14ac:dyDescent="0.3">
      <c r="A3267" t="s">
        <v>627</v>
      </c>
      <c r="B3267" s="16">
        <v>45440</v>
      </c>
      <c r="C3267" t="s">
        <v>3</v>
      </c>
      <c r="D3267" t="s">
        <v>125</v>
      </c>
      <c r="E3267">
        <v>1</v>
      </c>
      <c r="F3267">
        <v>1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1</v>
      </c>
      <c r="O3267">
        <f t="shared" si="102"/>
        <v>2024</v>
      </c>
      <c r="P3267">
        <f t="shared" si="103"/>
        <v>5</v>
      </c>
      <c r="Q3267" t="s">
        <v>325</v>
      </c>
      <c r="R3267" s="546" t="s">
        <v>804</v>
      </c>
    </row>
    <row r="3268" spans="1:18" x14ac:dyDescent="0.3">
      <c r="A3268" t="s">
        <v>627</v>
      </c>
      <c r="B3268" s="16">
        <v>45440</v>
      </c>
      <c r="C3268" t="s">
        <v>3</v>
      </c>
      <c r="D3268" t="s">
        <v>123</v>
      </c>
      <c r="E3268">
        <v>312</v>
      </c>
      <c r="F3268">
        <v>197</v>
      </c>
      <c r="G3268">
        <v>22</v>
      </c>
      <c r="H3268">
        <v>6</v>
      </c>
      <c r="I3268">
        <v>36348.949999999997</v>
      </c>
      <c r="J3268">
        <v>9</v>
      </c>
      <c r="K3268">
        <v>17330.95</v>
      </c>
      <c r="L3268">
        <v>6</v>
      </c>
      <c r="M3268">
        <v>102</v>
      </c>
      <c r="N3268">
        <v>284</v>
      </c>
      <c r="O3268">
        <f t="shared" si="102"/>
        <v>2024</v>
      </c>
      <c r="P3268">
        <f t="shared" si="103"/>
        <v>5</v>
      </c>
      <c r="Q3268" t="s">
        <v>325</v>
      </c>
      <c r="R3268" s="546" t="s">
        <v>804</v>
      </c>
    </row>
    <row r="3269" spans="1:18" x14ac:dyDescent="0.3">
      <c r="A3269" t="s">
        <v>627</v>
      </c>
      <c r="B3269" s="16">
        <v>45440</v>
      </c>
      <c r="C3269" t="s">
        <v>3</v>
      </c>
      <c r="D3269" t="s">
        <v>121</v>
      </c>
      <c r="E3269">
        <v>2</v>
      </c>
      <c r="F3269">
        <v>2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2</v>
      </c>
      <c r="N3269">
        <v>0</v>
      </c>
      <c r="O3269">
        <f t="shared" si="102"/>
        <v>2024</v>
      </c>
      <c r="P3269">
        <f t="shared" si="103"/>
        <v>5</v>
      </c>
      <c r="Q3269" t="s">
        <v>325</v>
      </c>
      <c r="R3269" s="546" t="s">
        <v>804</v>
      </c>
    </row>
    <row r="3270" spans="1:18" x14ac:dyDescent="0.3">
      <c r="A3270" t="s">
        <v>627</v>
      </c>
      <c r="B3270" s="16">
        <v>45440</v>
      </c>
      <c r="C3270" t="s">
        <v>3</v>
      </c>
      <c r="D3270" t="s">
        <v>120</v>
      </c>
      <c r="E3270">
        <v>492</v>
      </c>
      <c r="F3270">
        <v>281</v>
      </c>
      <c r="G3270">
        <v>5</v>
      </c>
      <c r="H3270">
        <v>0</v>
      </c>
      <c r="I3270">
        <v>14109.57</v>
      </c>
      <c r="J3270">
        <v>6</v>
      </c>
      <c r="K3270">
        <v>14109.57</v>
      </c>
      <c r="L3270">
        <v>6</v>
      </c>
      <c r="M3270">
        <v>63</v>
      </c>
      <c r="N3270">
        <v>488</v>
      </c>
      <c r="O3270">
        <f t="shared" si="102"/>
        <v>2024</v>
      </c>
      <c r="P3270">
        <f t="shared" si="103"/>
        <v>5</v>
      </c>
      <c r="Q3270" t="s">
        <v>325</v>
      </c>
      <c r="R3270" s="546" t="s">
        <v>804</v>
      </c>
    </row>
    <row r="3271" spans="1:18" x14ac:dyDescent="0.3">
      <c r="A3271" t="s">
        <v>627</v>
      </c>
      <c r="B3271" s="16">
        <v>45440</v>
      </c>
      <c r="C3271" t="s">
        <v>3</v>
      </c>
      <c r="D3271" t="s">
        <v>119</v>
      </c>
      <c r="E3271">
        <v>376</v>
      </c>
      <c r="F3271">
        <v>86</v>
      </c>
      <c r="G3271">
        <v>29</v>
      </c>
      <c r="H3271">
        <v>8</v>
      </c>
      <c r="I3271">
        <v>84444.31</v>
      </c>
      <c r="J3271">
        <v>24</v>
      </c>
      <c r="K3271">
        <v>68427.81</v>
      </c>
      <c r="L3271">
        <v>21</v>
      </c>
      <c r="M3271">
        <v>112</v>
      </c>
      <c r="N3271">
        <v>357</v>
      </c>
      <c r="O3271">
        <f t="shared" si="102"/>
        <v>2024</v>
      </c>
      <c r="P3271">
        <f t="shared" si="103"/>
        <v>5</v>
      </c>
      <c r="Q3271" t="s">
        <v>325</v>
      </c>
      <c r="R3271" s="546" t="s">
        <v>804</v>
      </c>
    </row>
    <row r="3272" spans="1:18" x14ac:dyDescent="0.3">
      <c r="A3272" t="s">
        <v>627</v>
      </c>
      <c r="B3272" s="16">
        <v>45440</v>
      </c>
      <c r="C3272" t="s">
        <v>3</v>
      </c>
      <c r="D3272" t="s">
        <v>118</v>
      </c>
      <c r="E3272">
        <v>1</v>
      </c>
      <c r="F3272">
        <v>1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1</v>
      </c>
      <c r="N3272">
        <v>0</v>
      </c>
      <c r="O3272">
        <f t="shared" si="102"/>
        <v>2024</v>
      </c>
      <c r="P3272">
        <f t="shared" si="103"/>
        <v>5</v>
      </c>
      <c r="Q3272" t="s">
        <v>325</v>
      </c>
      <c r="R3272" s="546" t="s">
        <v>804</v>
      </c>
    </row>
    <row r="3273" spans="1:18" x14ac:dyDescent="0.3">
      <c r="A3273" t="s">
        <v>627</v>
      </c>
      <c r="B3273" s="16">
        <v>45440</v>
      </c>
      <c r="C3273" t="s">
        <v>3</v>
      </c>
      <c r="D3273" t="s">
        <v>116</v>
      </c>
      <c r="E3273">
        <v>1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1</v>
      </c>
      <c r="O3273">
        <f t="shared" si="102"/>
        <v>2024</v>
      </c>
      <c r="P3273">
        <f t="shared" si="103"/>
        <v>5</v>
      </c>
      <c r="Q3273" t="s">
        <v>325</v>
      </c>
      <c r="R3273" s="546" t="s">
        <v>804</v>
      </c>
    </row>
    <row r="3274" spans="1:18" x14ac:dyDescent="0.3">
      <c r="A3274" t="s">
        <v>627</v>
      </c>
      <c r="B3274" s="16">
        <v>45440</v>
      </c>
      <c r="C3274" t="s">
        <v>3</v>
      </c>
      <c r="D3274" t="s">
        <v>115</v>
      </c>
      <c r="E3274">
        <v>3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1</v>
      </c>
      <c r="N3274">
        <v>2</v>
      </c>
      <c r="O3274">
        <f t="shared" si="102"/>
        <v>2024</v>
      </c>
      <c r="P3274">
        <f t="shared" si="103"/>
        <v>5</v>
      </c>
      <c r="Q3274" t="s">
        <v>325</v>
      </c>
      <c r="R3274" s="546" t="s">
        <v>804</v>
      </c>
    </row>
    <row r="3275" spans="1:18" x14ac:dyDescent="0.3">
      <c r="A3275" t="s">
        <v>627</v>
      </c>
      <c r="B3275" s="16">
        <v>45440</v>
      </c>
      <c r="C3275" t="s">
        <v>3</v>
      </c>
      <c r="D3275" t="s">
        <v>114</v>
      </c>
      <c r="E3275">
        <v>116</v>
      </c>
      <c r="F3275">
        <v>47</v>
      </c>
      <c r="G3275">
        <v>4</v>
      </c>
      <c r="H3275">
        <v>1</v>
      </c>
      <c r="I3275">
        <v>9370</v>
      </c>
      <c r="J3275">
        <v>2</v>
      </c>
      <c r="K3275">
        <v>5390</v>
      </c>
      <c r="L3275">
        <v>2</v>
      </c>
      <c r="M3275">
        <v>18</v>
      </c>
      <c r="N3275">
        <v>107</v>
      </c>
      <c r="O3275">
        <f t="shared" si="102"/>
        <v>2024</v>
      </c>
      <c r="P3275">
        <f t="shared" si="103"/>
        <v>5</v>
      </c>
      <c r="Q3275" t="s">
        <v>325</v>
      </c>
      <c r="R3275" s="546" t="s">
        <v>804</v>
      </c>
    </row>
    <row r="3276" spans="1:18" x14ac:dyDescent="0.3">
      <c r="A3276" t="s">
        <v>627</v>
      </c>
      <c r="B3276" s="16">
        <v>45440</v>
      </c>
      <c r="C3276" t="s">
        <v>3</v>
      </c>
      <c r="D3276" t="s">
        <v>113</v>
      </c>
      <c r="E3276">
        <v>120</v>
      </c>
      <c r="F3276">
        <v>56</v>
      </c>
      <c r="G3276">
        <v>1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75</v>
      </c>
      <c r="N3276">
        <v>71</v>
      </c>
      <c r="O3276">
        <f t="shared" si="102"/>
        <v>2024</v>
      </c>
      <c r="P3276">
        <f t="shared" si="103"/>
        <v>5</v>
      </c>
      <c r="Q3276" t="s">
        <v>325</v>
      </c>
      <c r="R3276" s="546" t="s">
        <v>804</v>
      </c>
    </row>
    <row r="3277" spans="1:18" x14ac:dyDescent="0.3">
      <c r="A3277" t="s">
        <v>627</v>
      </c>
      <c r="B3277" s="16">
        <v>45440</v>
      </c>
      <c r="C3277" t="s">
        <v>3</v>
      </c>
      <c r="D3277" t="s">
        <v>112</v>
      </c>
      <c r="E3277">
        <v>17</v>
      </c>
      <c r="F3277">
        <v>5</v>
      </c>
      <c r="G3277">
        <v>2</v>
      </c>
      <c r="H3277">
        <v>0</v>
      </c>
      <c r="I3277">
        <v>15617.5</v>
      </c>
      <c r="J3277">
        <v>7</v>
      </c>
      <c r="K3277">
        <v>14129.5</v>
      </c>
      <c r="L3277">
        <v>7</v>
      </c>
      <c r="M3277">
        <v>0</v>
      </c>
      <c r="N3277">
        <v>17</v>
      </c>
      <c r="O3277">
        <f t="shared" si="102"/>
        <v>2024</v>
      </c>
      <c r="P3277">
        <f t="shared" si="103"/>
        <v>5</v>
      </c>
      <c r="Q3277" t="s">
        <v>325</v>
      </c>
      <c r="R3277" s="546" t="s">
        <v>804</v>
      </c>
    </row>
    <row r="3278" spans="1:18" x14ac:dyDescent="0.3">
      <c r="A3278" t="s">
        <v>627</v>
      </c>
      <c r="B3278" s="16">
        <v>45440</v>
      </c>
      <c r="C3278" t="s">
        <v>3</v>
      </c>
      <c r="D3278" t="s">
        <v>111</v>
      </c>
      <c r="E3278">
        <v>30</v>
      </c>
      <c r="F3278">
        <v>19</v>
      </c>
      <c r="G3278">
        <v>3</v>
      </c>
      <c r="H3278">
        <v>0</v>
      </c>
      <c r="I3278">
        <v>1680</v>
      </c>
      <c r="J3278">
        <v>1</v>
      </c>
      <c r="K3278">
        <v>1680</v>
      </c>
      <c r="L3278">
        <v>1</v>
      </c>
      <c r="M3278">
        <v>0</v>
      </c>
      <c r="N3278">
        <v>30</v>
      </c>
      <c r="O3278">
        <f t="shared" si="102"/>
        <v>2024</v>
      </c>
      <c r="P3278">
        <f t="shared" si="103"/>
        <v>5</v>
      </c>
      <c r="Q3278" t="s">
        <v>325</v>
      </c>
      <c r="R3278" s="546" t="s">
        <v>804</v>
      </c>
    </row>
    <row r="3279" spans="1:18" x14ac:dyDescent="0.3">
      <c r="A3279" t="s">
        <v>627</v>
      </c>
      <c r="B3279" s="16">
        <v>45439</v>
      </c>
      <c r="C3279" t="s">
        <v>2</v>
      </c>
      <c r="D3279" t="s">
        <v>4</v>
      </c>
      <c r="E3279">
        <v>331</v>
      </c>
      <c r="F3279">
        <v>105</v>
      </c>
      <c r="G3279">
        <v>2</v>
      </c>
      <c r="H3279">
        <v>2</v>
      </c>
      <c r="I3279">
        <v>12414.67</v>
      </c>
      <c r="J3279">
        <v>4</v>
      </c>
      <c r="K3279">
        <v>7714.67</v>
      </c>
      <c r="L3279">
        <v>3</v>
      </c>
      <c r="M3279">
        <v>20</v>
      </c>
      <c r="N3279">
        <v>316</v>
      </c>
      <c r="O3279">
        <f t="shared" si="102"/>
        <v>2024</v>
      </c>
      <c r="P3279">
        <f t="shared" si="103"/>
        <v>5</v>
      </c>
      <c r="Q3279" t="s">
        <v>325</v>
      </c>
      <c r="R3279" s="546" t="s">
        <v>804</v>
      </c>
    </row>
    <row r="3280" spans="1:18" x14ac:dyDescent="0.3">
      <c r="A3280" t="s">
        <v>627</v>
      </c>
      <c r="B3280" s="16">
        <v>45439</v>
      </c>
      <c r="C3280" t="s">
        <v>2</v>
      </c>
      <c r="D3280" t="s">
        <v>57</v>
      </c>
      <c r="E3280">
        <v>16463</v>
      </c>
      <c r="F3280">
        <v>9767</v>
      </c>
      <c r="G3280">
        <v>184</v>
      </c>
      <c r="H3280">
        <v>101</v>
      </c>
      <c r="I3280">
        <v>184487.13</v>
      </c>
      <c r="J3280">
        <v>47</v>
      </c>
      <c r="K3280">
        <v>108061.13</v>
      </c>
      <c r="L3280">
        <v>36</v>
      </c>
      <c r="M3280">
        <v>754</v>
      </c>
      <c r="N3280">
        <v>16438</v>
      </c>
      <c r="O3280">
        <f t="shared" si="102"/>
        <v>2024</v>
      </c>
      <c r="P3280">
        <f t="shared" si="103"/>
        <v>5</v>
      </c>
      <c r="Q3280" t="s">
        <v>325</v>
      </c>
      <c r="R3280" s="546" t="s">
        <v>804</v>
      </c>
    </row>
    <row r="3281" spans="1:18" x14ac:dyDescent="0.3">
      <c r="A3281" t="s">
        <v>627</v>
      </c>
      <c r="B3281" s="16">
        <v>45439</v>
      </c>
      <c r="C3281" t="s">
        <v>2</v>
      </c>
      <c r="D3281" t="s">
        <v>52</v>
      </c>
      <c r="E3281">
        <v>2565</v>
      </c>
      <c r="F3281">
        <v>1992</v>
      </c>
      <c r="G3281">
        <v>25</v>
      </c>
      <c r="H3281">
        <v>4</v>
      </c>
      <c r="I3281">
        <v>37626</v>
      </c>
      <c r="J3281">
        <v>4</v>
      </c>
      <c r="K3281">
        <v>37626</v>
      </c>
      <c r="L3281">
        <v>4</v>
      </c>
      <c r="M3281">
        <v>2564</v>
      </c>
      <c r="N3281">
        <v>538</v>
      </c>
      <c r="O3281">
        <f t="shared" si="102"/>
        <v>2024</v>
      </c>
      <c r="P3281">
        <f t="shared" si="103"/>
        <v>5</v>
      </c>
      <c r="Q3281" t="s">
        <v>325</v>
      </c>
      <c r="R3281" s="546" t="s">
        <v>804</v>
      </c>
    </row>
    <row r="3282" spans="1:18" x14ac:dyDescent="0.3">
      <c r="A3282" t="s">
        <v>627</v>
      </c>
      <c r="B3282" s="16">
        <v>45439</v>
      </c>
      <c r="C3282" t="s">
        <v>2</v>
      </c>
      <c r="D3282" t="s">
        <v>55</v>
      </c>
      <c r="E3282">
        <v>3695</v>
      </c>
      <c r="F3282">
        <v>3479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9</v>
      </c>
      <c r="N3282">
        <v>2434</v>
      </c>
      <c r="O3282">
        <f t="shared" si="102"/>
        <v>2024</v>
      </c>
      <c r="P3282">
        <f t="shared" si="103"/>
        <v>5</v>
      </c>
      <c r="Q3282" t="s">
        <v>325</v>
      </c>
      <c r="R3282" s="546" t="s">
        <v>804</v>
      </c>
    </row>
    <row r="3283" spans="1:18" x14ac:dyDescent="0.3">
      <c r="A3283" t="s">
        <v>627</v>
      </c>
      <c r="B3283" s="16">
        <v>45439</v>
      </c>
      <c r="C3283" t="s">
        <v>3</v>
      </c>
      <c r="D3283" t="s">
        <v>155</v>
      </c>
      <c r="E3283">
        <v>3</v>
      </c>
      <c r="F3283">
        <v>2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1</v>
      </c>
      <c r="N3283">
        <v>3</v>
      </c>
      <c r="O3283">
        <f t="shared" si="102"/>
        <v>2024</v>
      </c>
      <c r="P3283">
        <f t="shared" si="103"/>
        <v>5</v>
      </c>
      <c r="Q3283" t="s">
        <v>325</v>
      </c>
      <c r="R3283" s="546" t="s">
        <v>804</v>
      </c>
    </row>
    <row r="3284" spans="1:18" x14ac:dyDescent="0.3">
      <c r="A3284" t="s">
        <v>627</v>
      </c>
      <c r="B3284" s="16">
        <v>45439</v>
      </c>
      <c r="C3284" t="s">
        <v>3</v>
      </c>
      <c r="D3284" t="s">
        <v>154</v>
      </c>
      <c r="E3284">
        <v>830</v>
      </c>
      <c r="F3284">
        <v>802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3</v>
      </c>
      <c r="O3284">
        <f t="shared" si="102"/>
        <v>2024</v>
      </c>
      <c r="P3284">
        <f t="shared" si="103"/>
        <v>5</v>
      </c>
      <c r="Q3284" t="s">
        <v>325</v>
      </c>
      <c r="R3284" s="546" t="s">
        <v>804</v>
      </c>
    </row>
    <row r="3285" spans="1:18" x14ac:dyDescent="0.3">
      <c r="A3285" t="s">
        <v>627</v>
      </c>
      <c r="B3285" s="16">
        <v>45439</v>
      </c>
      <c r="C3285" t="s">
        <v>3</v>
      </c>
      <c r="D3285" t="s">
        <v>153</v>
      </c>
      <c r="E3285">
        <v>379</v>
      </c>
      <c r="F3285">
        <v>100</v>
      </c>
      <c r="G3285">
        <v>45</v>
      </c>
      <c r="H3285">
        <v>5</v>
      </c>
      <c r="I3285">
        <v>141137</v>
      </c>
      <c r="J3285">
        <v>47</v>
      </c>
      <c r="K3285">
        <v>127100</v>
      </c>
      <c r="L3285">
        <v>41</v>
      </c>
      <c r="M3285">
        <v>106</v>
      </c>
      <c r="N3285">
        <v>362</v>
      </c>
      <c r="O3285">
        <f t="shared" si="102"/>
        <v>2024</v>
      </c>
      <c r="P3285">
        <f t="shared" si="103"/>
        <v>5</v>
      </c>
      <c r="Q3285" t="s">
        <v>325</v>
      </c>
      <c r="R3285" s="546" t="s">
        <v>804</v>
      </c>
    </row>
    <row r="3286" spans="1:18" x14ac:dyDescent="0.3">
      <c r="A3286" t="s">
        <v>627</v>
      </c>
      <c r="B3286" s="16">
        <v>45439</v>
      </c>
      <c r="C3286" t="s">
        <v>3</v>
      </c>
      <c r="D3286" t="s">
        <v>152</v>
      </c>
      <c r="E3286">
        <v>15</v>
      </c>
      <c r="F3286">
        <v>2</v>
      </c>
      <c r="G3286">
        <v>1</v>
      </c>
      <c r="H3286">
        <v>0</v>
      </c>
      <c r="I3286">
        <v>3495</v>
      </c>
      <c r="J3286">
        <v>1</v>
      </c>
      <c r="K3286">
        <v>0</v>
      </c>
      <c r="L3286">
        <v>0</v>
      </c>
      <c r="M3286">
        <v>0</v>
      </c>
      <c r="N3286">
        <v>11</v>
      </c>
      <c r="O3286">
        <f t="shared" si="102"/>
        <v>2024</v>
      </c>
      <c r="P3286">
        <f t="shared" si="103"/>
        <v>5</v>
      </c>
      <c r="Q3286" t="s">
        <v>325</v>
      </c>
      <c r="R3286" s="546" t="s">
        <v>804</v>
      </c>
    </row>
    <row r="3287" spans="1:18" x14ac:dyDescent="0.3">
      <c r="A3287" t="s">
        <v>627</v>
      </c>
      <c r="B3287" s="16">
        <v>45439</v>
      </c>
      <c r="C3287" t="s">
        <v>3</v>
      </c>
      <c r="D3287" t="s">
        <v>150</v>
      </c>
      <c r="E3287">
        <v>4</v>
      </c>
      <c r="F3287">
        <v>1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1</v>
      </c>
      <c r="N3287">
        <v>4</v>
      </c>
      <c r="O3287">
        <f t="shared" si="102"/>
        <v>2024</v>
      </c>
      <c r="P3287">
        <f t="shared" si="103"/>
        <v>5</v>
      </c>
      <c r="Q3287" t="s">
        <v>325</v>
      </c>
      <c r="R3287" s="546" t="s">
        <v>804</v>
      </c>
    </row>
    <row r="3288" spans="1:18" x14ac:dyDescent="0.3">
      <c r="A3288" t="s">
        <v>627</v>
      </c>
      <c r="B3288" s="16">
        <v>45439</v>
      </c>
      <c r="C3288" t="s">
        <v>3</v>
      </c>
      <c r="D3288" t="s">
        <v>149</v>
      </c>
      <c r="E3288">
        <v>29</v>
      </c>
      <c r="F3288">
        <v>13</v>
      </c>
      <c r="G3288">
        <v>2</v>
      </c>
      <c r="H3288">
        <v>1</v>
      </c>
      <c r="I3288">
        <v>5037</v>
      </c>
      <c r="J3288">
        <v>2</v>
      </c>
      <c r="K3288">
        <v>3357</v>
      </c>
      <c r="L3288">
        <v>2</v>
      </c>
      <c r="M3288">
        <v>8</v>
      </c>
      <c r="N3288">
        <v>19</v>
      </c>
      <c r="O3288">
        <f t="shared" si="102"/>
        <v>2024</v>
      </c>
      <c r="P3288">
        <f t="shared" si="103"/>
        <v>5</v>
      </c>
      <c r="Q3288" t="s">
        <v>325</v>
      </c>
      <c r="R3288" s="546" t="s">
        <v>804</v>
      </c>
    </row>
    <row r="3289" spans="1:18" x14ac:dyDescent="0.3">
      <c r="A3289" t="s">
        <v>627</v>
      </c>
      <c r="B3289" s="16">
        <v>45439</v>
      </c>
      <c r="C3289" t="s">
        <v>3</v>
      </c>
      <c r="D3289" t="s">
        <v>148</v>
      </c>
      <c r="E3289">
        <v>1</v>
      </c>
      <c r="F3289">
        <v>1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1</v>
      </c>
      <c r="O3289">
        <f t="shared" si="102"/>
        <v>2024</v>
      </c>
      <c r="P3289">
        <f t="shared" si="103"/>
        <v>5</v>
      </c>
      <c r="Q3289" t="s">
        <v>325</v>
      </c>
      <c r="R3289" s="546" t="s">
        <v>804</v>
      </c>
    </row>
    <row r="3290" spans="1:18" x14ac:dyDescent="0.3">
      <c r="A3290" t="s">
        <v>627</v>
      </c>
      <c r="B3290" s="16">
        <v>45439</v>
      </c>
      <c r="C3290" t="s">
        <v>3</v>
      </c>
      <c r="D3290" t="s">
        <v>147</v>
      </c>
      <c r="E3290">
        <v>36</v>
      </c>
      <c r="F3290">
        <v>28</v>
      </c>
      <c r="G3290">
        <v>2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36</v>
      </c>
      <c r="O3290">
        <f t="shared" si="102"/>
        <v>2024</v>
      </c>
      <c r="P3290">
        <f t="shared" si="103"/>
        <v>5</v>
      </c>
      <c r="Q3290" t="s">
        <v>325</v>
      </c>
      <c r="R3290" s="546" t="s">
        <v>804</v>
      </c>
    </row>
    <row r="3291" spans="1:18" x14ac:dyDescent="0.3">
      <c r="A3291" t="s">
        <v>627</v>
      </c>
      <c r="B3291" s="16">
        <v>45439</v>
      </c>
      <c r="C3291" t="s">
        <v>3</v>
      </c>
      <c r="D3291" t="s">
        <v>251</v>
      </c>
      <c r="E3291">
        <v>2205</v>
      </c>
      <c r="F3291">
        <v>1535</v>
      </c>
      <c r="G3291">
        <v>9</v>
      </c>
      <c r="H3291">
        <v>7</v>
      </c>
      <c r="I3291">
        <v>41603.03</v>
      </c>
      <c r="J3291">
        <v>8</v>
      </c>
      <c r="K3291">
        <v>13832.03</v>
      </c>
      <c r="L3291">
        <v>5</v>
      </c>
      <c r="M3291">
        <v>67</v>
      </c>
      <c r="N3291">
        <v>413</v>
      </c>
      <c r="O3291">
        <f t="shared" si="102"/>
        <v>2024</v>
      </c>
      <c r="P3291">
        <f t="shared" si="103"/>
        <v>5</v>
      </c>
      <c r="Q3291" t="s">
        <v>325</v>
      </c>
      <c r="R3291" s="546" t="s">
        <v>804</v>
      </c>
    </row>
    <row r="3292" spans="1:18" x14ac:dyDescent="0.3">
      <c r="A3292" t="s">
        <v>627</v>
      </c>
      <c r="B3292" s="16">
        <v>45439</v>
      </c>
      <c r="C3292" t="s">
        <v>3</v>
      </c>
      <c r="D3292" t="s">
        <v>143</v>
      </c>
      <c r="E3292">
        <v>13</v>
      </c>
      <c r="F3292">
        <v>11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1</v>
      </c>
      <c r="N3292">
        <v>13</v>
      </c>
      <c r="O3292">
        <f t="shared" si="102"/>
        <v>2024</v>
      </c>
      <c r="P3292">
        <f t="shared" si="103"/>
        <v>5</v>
      </c>
      <c r="Q3292" t="s">
        <v>325</v>
      </c>
      <c r="R3292" s="546" t="s">
        <v>804</v>
      </c>
    </row>
    <row r="3293" spans="1:18" x14ac:dyDescent="0.3">
      <c r="A3293" t="s">
        <v>627</v>
      </c>
      <c r="B3293" s="16">
        <v>45439</v>
      </c>
      <c r="C3293" t="s">
        <v>3</v>
      </c>
      <c r="D3293" t="s">
        <v>142</v>
      </c>
      <c r="E3293">
        <v>32</v>
      </c>
      <c r="F3293">
        <v>8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3</v>
      </c>
      <c r="N3293">
        <v>32</v>
      </c>
      <c r="O3293">
        <f t="shared" si="102"/>
        <v>2024</v>
      </c>
      <c r="P3293">
        <f t="shared" si="103"/>
        <v>5</v>
      </c>
      <c r="Q3293" t="s">
        <v>325</v>
      </c>
      <c r="R3293" s="546" t="s">
        <v>804</v>
      </c>
    </row>
    <row r="3294" spans="1:18" x14ac:dyDescent="0.3">
      <c r="A3294" t="s">
        <v>627</v>
      </c>
      <c r="B3294" s="16">
        <v>45439</v>
      </c>
      <c r="C3294" t="s">
        <v>3</v>
      </c>
      <c r="D3294" t="s">
        <v>141</v>
      </c>
      <c r="E3294">
        <v>3</v>
      </c>
      <c r="F3294">
        <v>2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1</v>
      </c>
      <c r="N3294">
        <v>2</v>
      </c>
      <c r="O3294">
        <f t="shared" si="102"/>
        <v>2024</v>
      </c>
      <c r="P3294">
        <f t="shared" si="103"/>
        <v>5</v>
      </c>
      <c r="Q3294" t="s">
        <v>325</v>
      </c>
      <c r="R3294" s="546" t="s">
        <v>804</v>
      </c>
    </row>
    <row r="3295" spans="1:18" x14ac:dyDescent="0.3">
      <c r="A3295" t="s">
        <v>627</v>
      </c>
      <c r="B3295" s="16">
        <v>45439</v>
      </c>
      <c r="C3295" t="s">
        <v>3</v>
      </c>
      <c r="D3295" t="s">
        <v>140</v>
      </c>
      <c r="E3295">
        <v>7</v>
      </c>
      <c r="F3295">
        <v>3</v>
      </c>
      <c r="G3295">
        <v>0</v>
      </c>
      <c r="H3295">
        <v>1</v>
      </c>
      <c r="I3295">
        <v>2237</v>
      </c>
      <c r="J3295">
        <v>1</v>
      </c>
      <c r="K3295">
        <v>2237</v>
      </c>
      <c r="L3295">
        <v>1</v>
      </c>
      <c r="M3295">
        <v>2</v>
      </c>
      <c r="N3295">
        <v>7</v>
      </c>
      <c r="O3295">
        <f t="shared" si="102"/>
        <v>2024</v>
      </c>
      <c r="P3295">
        <f t="shared" si="103"/>
        <v>5</v>
      </c>
      <c r="Q3295" t="s">
        <v>325</v>
      </c>
      <c r="R3295" s="546" t="s">
        <v>804</v>
      </c>
    </row>
    <row r="3296" spans="1:18" x14ac:dyDescent="0.3">
      <c r="A3296" t="s">
        <v>627</v>
      </c>
      <c r="B3296" s="16">
        <v>45439</v>
      </c>
      <c r="C3296" t="s">
        <v>3</v>
      </c>
      <c r="D3296" t="s">
        <v>139</v>
      </c>
      <c r="E3296">
        <v>615</v>
      </c>
      <c r="F3296">
        <v>314</v>
      </c>
      <c r="G3296">
        <v>39</v>
      </c>
      <c r="H3296">
        <v>7</v>
      </c>
      <c r="I3296">
        <v>64842.92</v>
      </c>
      <c r="J3296">
        <v>25</v>
      </c>
      <c r="K3296">
        <v>59249.42</v>
      </c>
      <c r="L3296">
        <v>23</v>
      </c>
      <c r="M3296">
        <v>319</v>
      </c>
      <c r="N3296">
        <v>420</v>
      </c>
      <c r="O3296">
        <f t="shared" si="102"/>
        <v>2024</v>
      </c>
      <c r="P3296">
        <f t="shared" si="103"/>
        <v>5</v>
      </c>
      <c r="Q3296" t="s">
        <v>325</v>
      </c>
      <c r="R3296" s="546" t="s">
        <v>804</v>
      </c>
    </row>
    <row r="3297" spans="1:18" x14ac:dyDescent="0.3">
      <c r="A3297" t="s">
        <v>627</v>
      </c>
      <c r="B3297" s="16">
        <v>45439</v>
      </c>
      <c r="C3297" t="s">
        <v>3</v>
      </c>
      <c r="D3297" t="s">
        <v>138</v>
      </c>
      <c r="E3297">
        <v>11</v>
      </c>
      <c r="F3297">
        <v>7</v>
      </c>
      <c r="G3297">
        <v>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3</v>
      </c>
      <c r="N3297">
        <v>9</v>
      </c>
      <c r="O3297">
        <f t="shared" si="102"/>
        <v>2024</v>
      </c>
      <c r="P3297">
        <f t="shared" si="103"/>
        <v>5</v>
      </c>
      <c r="Q3297" t="s">
        <v>325</v>
      </c>
      <c r="R3297" s="546" t="s">
        <v>804</v>
      </c>
    </row>
    <row r="3298" spans="1:18" x14ac:dyDescent="0.3">
      <c r="A3298" t="s">
        <v>627</v>
      </c>
      <c r="B3298" s="16">
        <v>45439</v>
      </c>
      <c r="C3298" t="s">
        <v>3</v>
      </c>
      <c r="D3298" t="s">
        <v>137</v>
      </c>
      <c r="E3298">
        <v>4</v>
      </c>
      <c r="F3298">
        <v>2</v>
      </c>
      <c r="G3298">
        <v>0</v>
      </c>
      <c r="H3298">
        <v>0</v>
      </c>
      <c r="I3298">
        <v>2996</v>
      </c>
      <c r="J3298">
        <v>1</v>
      </c>
      <c r="K3298">
        <v>1498</v>
      </c>
      <c r="L3298">
        <v>1</v>
      </c>
      <c r="M3298">
        <v>0</v>
      </c>
      <c r="N3298">
        <v>4</v>
      </c>
      <c r="O3298">
        <f t="shared" si="102"/>
        <v>2024</v>
      </c>
      <c r="P3298">
        <f t="shared" si="103"/>
        <v>5</v>
      </c>
      <c r="Q3298" t="s">
        <v>325</v>
      </c>
      <c r="R3298" s="546" t="s">
        <v>804</v>
      </c>
    </row>
    <row r="3299" spans="1:18" x14ac:dyDescent="0.3">
      <c r="A3299" t="s">
        <v>627</v>
      </c>
      <c r="B3299" s="16">
        <v>45439</v>
      </c>
      <c r="C3299" t="s">
        <v>3</v>
      </c>
      <c r="D3299" t="s">
        <v>135</v>
      </c>
      <c r="E3299">
        <v>2</v>
      </c>
      <c r="F3299">
        <v>2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f t="shared" si="102"/>
        <v>2024</v>
      </c>
      <c r="P3299">
        <f t="shared" si="103"/>
        <v>5</v>
      </c>
      <c r="Q3299" t="s">
        <v>325</v>
      </c>
      <c r="R3299" s="546" t="s">
        <v>804</v>
      </c>
    </row>
    <row r="3300" spans="1:18" x14ac:dyDescent="0.3">
      <c r="A3300" t="s">
        <v>627</v>
      </c>
      <c r="B3300" s="16">
        <v>45439</v>
      </c>
      <c r="C3300" t="s">
        <v>3</v>
      </c>
      <c r="D3300" t="s">
        <v>133</v>
      </c>
      <c r="E3300">
        <v>27</v>
      </c>
      <c r="F3300">
        <v>11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10</v>
      </c>
      <c r="N3300">
        <v>21</v>
      </c>
      <c r="O3300">
        <f t="shared" si="102"/>
        <v>2024</v>
      </c>
      <c r="P3300">
        <f t="shared" si="103"/>
        <v>5</v>
      </c>
      <c r="Q3300" t="s">
        <v>325</v>
      </c>
      <c r="R3300" s="546" t="s">
        <v>804</v>
      </c>
    </row>
    <row r="3301" spans="1:18" x14ac:dyDescent="0.3">
      <c r="A3301" t="s">
        <v>627</v>
      </c>
      <c r="B3301" s="16">
        <v>45439</v>
      </c>
      <c r="C3301" t="s">
        <v>3</v>
      </c>
      <c r="D3301" t="s">
        <v>130</v>
      </c>
      <c r="E3301">
        <v>267</v>
      </c>
      <c r="F3301">
        <v>90</v>
      </c>
      <c r="G3301">
        <v>14</v>
      </c>
      <c r="H3301">
        <v>5</v>
      </c>
      <c r="I3301">
        <v>42196</v>
      </c>
      <c r="J3301">
        <v>11</v>
      </c>
      <c r="K3301">
        <v>30958</v>
      </c>
      <c r="L3301">
        <v>10</v>
      </c>
      <c r="M3301">
        <v>59</v>
      </c>
      <c r="N3301">
        <v>254</v>
      </c>
      <c r="O3301">
        <f t="shared" si="102"/>
        <v>2024</v>
      </c>
      <c r="P3301">
        <f t="shared" si="103"/>
        <v>5</v>
      </c>
      <c r="Q3301" t="s">
        <v>325</v>
      </c>
      <c r="R3301" s="546" t="s">
        <v>804</v>
      </c>
    </row>
    <row r="3302" spans="1:18" x14ac:dyDescent="0.3">
      <c r="A3302" t="s">
        <v>627</v>
      </c>
      <c r="B3302" s="16">
        <v>45439</v>
      </c>
      <c r="C3302" t="s">
        <v>3</v>
      </c>
      <c r="D3302" t="s">
        <v>128</v>
      </c>
      <c r="E3302">
        <v>946</v>
      </c>
      <c r="F3302">
        <v>702</v>
      </c>
      <c r="G3302">
        <v>63</v>
      </c>
      <c r="H3302">
        <v>13</v>
      </c>
      <c r="I3302">
        <v>44055.5</v>
      </c>
      <c r="J3302">
        <v>16</v>
      </c>
      <c r="K3302">
        <v>40695.5</v>
      </c>
      <c r="L3302">
        <v>16</v>
      </c>
      <c r="M3302">
        <v>264</v>
      </c>
      <c r="N3302">
        <v>854</v>
      </c>
      <c r="O3302">
        <f t="shared" si="102"/>
        <v>2024</v>
      </c>
      <c r="P3302">
        <f t="shared" si="103"/>
        <v>5</v>
      </c>
      <c r="Q3302" t="s">
        <v>325</v>
      </c>
      <c r="R3302" s="546" t="s">
        <v>804</v>
      </c>
    </row>
    <row r="3303" spans="1:18" x14ac:dyDescent="0.3">
      <c r="A3303" t="s">
        <v>627</v>
      </c>
      <c r="B3303" s="16">
        <v>45439</v>
      </c>
      <c r="C3303" t="s">
        <v>3</v>
      </c>
      <c r="D3303" t="s">
        <v>127</v>
      </c>
      <c r="E3303">
        <v>4411</v>
      </c>
      <c r="F3303">
        <v>3042</v>
      </c>
      <c r="G3303">
        <v>128</v>
      </c>
      <c r="H3303">
        <v>59</v>
      </c>
      <c r="I3303">
        <v>59577</v>
      </c>
      <c r="J3303">
        <v>26</v>
      </c>
      <c r="K3303">
        <v>41852</v>
      </c>
      <c r="L3303">
        <v>19</v>
      </c>
      <c r="M3303">
        <v>535</v>
      </c>
      <c r="N3303">
        <v>3976</v>
      </c>
      <c r="O3303">
        <f t="shared" si="102"/>
        <v>2024</v>
      </c>
      <c r="P3303">
        <f t="shared" si="103"/>
        <v>5</v>
      </c>
      <c r="Q3303" t="s">
        <v>325</v>
      </c>
      <c r="R3303" s="546" t="s">
        <v>804</v>
      </c>
    </row>
    <row r="3304" spans="1:18" x14ac:dyDescent="0.3">
      <c r="A3304" t="s">
        <v>627</v>
      </c>
      <c r="B3304" s="16">
        <v>45439</v>
      </c>
      <c r="C3304" t="s">
        <v>3</v>
      </c>
      <c r="D3304" t="s">
        <v>126</v>
      </c>
      <c r="E3304">
        <v>91</v>
      </c>
      <c r="F3304">
        <v>57</v>
      </c>
      <c r="G3304">
        <v>3</v>
      </c>
      <c r="H3304">
        <v>2</v>
      </c>
      <c r="I3304">
        <v>7483</v>
      </c>
      <c r="J3304">
        <v>2</v>
      </c>
      <c r="K3304">
        <v>7483</v>
      </c>
      <c r="L3304">
        <v>2</v>
      </c>
      <c r="M3304">
        <v>17</v>
      </c>
      <c r="N3304">
        <v>87</v>
      </c>
      <c r="O3304">
        <f t="shared" si="102"/>
        <v>2024</v>
      </c>
      <c r="P3304">
        <f t="shared" si="103"/>
        <v>5</v>
      </c>
      <c r="Q3304" t="s">
        <v>325</v>
      </c>
      <c r="R3304" s="546" t="s">
        <v>804</v>
      </c>
    </row>
    <row r="3305" spans="1:18" x14ac:dyDescent="0.3">
      <c r="A3305" t="s">
        <v>627</v>
      </c>
      <c r="B3305" s="16">
        <v>45439</v>
      </c>
      <c r="C3305" t="s">
        <v>3</v>
      </c>
      <c r="D3305" t="s">
        <v>125</v>
      </c>
      <c r="E3305">
        <v>3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1</v>
      </c>
      <c r="N3305">
        <v>3</v>
      </c>
      <c r="O3305">
        <f t="shared" si="102"/>
        <v>2024</v>
      </c>
      <c r="P3305">
        <f t="shared" si="103"/>
        <v>5</v>
      </c>
      <c r="Q3305" t="s">
        <v>325</v>
      </c>
      <c r="R3305" s="546" t="s">
        <v>804</v>
      </c>
    </row>
    <row r="3306" spans="1:18" x14ac:dyDescent="0.3">
      <c r="A3306" t="s">
        <v>627</v>
      </c>
      <c r="B3306" s="16">
        <v>45439</v>
      </c>
      <c r="C3306" t="s">
        <v>3</v>
      </c>
      <c r="D3306" t="s">
        <v>123</v>
      </c>
      <c r="E3306">
        <v>209</v>
      </c>
      <c r="F3306">
        <v>110</v>
      </c>
      <c r="G3306">
        <v>15</v>
      </c>
      <c r="H3306">
        <v>6</v>
      </c>
      <c r="I3306">
        <v>59815</v>
      </c>
      <c r="J3306">
        <v>10</v>
      </c>
      <c r="K3306">
        <v>49826</v>
      </c>
      <c r="L3306">
        <v>7</v>
      </c>
      <c r="M3306">
        <v>96</v>
      </c>
      <c r="N3306">
        <v>173</v>
      </c>
      <c r="O3306">
        <f t="shared" si="102"/>
        <v>2024</v>
      </c>
      <c r="P3306">
        <f t="shared" si="103"/>
        <v>5</v>
      </c>
      <c r="Q3306" t="s">
        <v>325</v>
      </c>
      <c r="R3306" s="546" t="s">
        <v>804</v>
      </c>
    </row>
    <row r="3307" spans="1:18" x14ac:dyDescent="0.3">
      <c r="A3307" t="s">
        <v>627</v>
      </c>
      <c r="B3307" s="16">
        <v>45439</v>
      </c>
      <c r="C3307" t="s">
        <v>3</v>
      </c>
      <c r="D3307" t="s">
        <v>122</v>
      </c>
      <c r="E3307">
        <v>1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f t="shared" si="102"/>
        <v>2024</v>
      </c>
      <c r="P3307">
        <f t="shared" si="103"/>
        <v>5</v>
      </c>
      <c r="Q3307" t="s">
        <v>325</v>
      </c>
      <c r="R3307" s="546" t="s">
        <v>804</v>
      </c>
    </row>
    <row r="3308" spans="1:18" x14ac:dyDescent="0.3">
      <c r="A3308" t="s">
        <v>627</v>
      </c>
      <c r="B3308" s="16">
        <v>45439</v>
      </c>
      <c r="C3308" t="s">
        <v>3</v>
      </c>
      <c r="D3308" t="s">
        <v>121</v>
      </c>
      <c r="E3308">
        <v>2</v>
      </c>
      <c r="F3308">
        <v>2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2</v>
      </c>
      <c r="O3308">
        <f t="shared" si="102"/>
        <v>2024</v>
      </c>
      <c r="P3308">
        <f t="shared" si="103"/>
        <v>5</v>
      </c>
      <c r="Q3308" t="s">
        <v>325</v>
      </c>
      <c r="R3308" s="546" t="s">
        <v>804</v>
      </c>
    </row>
    <row r="3309" spans="1:18" x14ac:dyDescent="0.3">
      <c r="A3309" t="s">
        <v>627</v>
      </c>
      <c r="B3309" s="16">
        <v>45439</v>
      </c>
      <c r="C3309" t="s">
        <v>3</v>
      </c>
      <c r="D3309" t="s">
        <v>120</v>
      </c>
      <c r="E3309">
        <v>479</v>
      </c>
      <c r="F3309">
        <v>240</v>
      </c>
      <c r="G3309">
        <v>5</v>
      </c>
      <c r="H3309">
        <v>0</v>
      </c>
      <c r="I3309">
        <v>15069.03</v>
      </c>
      <c r="J3309">
        <v>3</v>
      </c>
      <c r="K3309">
        <v>15069.03</v>
      </c>
      <c r="L3309">
        <v>3</v>
      </c>
      <c r="M3309">
        <v>44</v>
      </c>
      <c r="N3309">
        <v>474</v>
      </c>
      <c r="O3309">
        <f t="shared" si="102"/>
        <v>2024</v>
      </c>
      <c r="P3309">
        <f t="shared" si="103"/>
        <v>5</v>
      </c>
      <c r="Q3309" t="s">
        <v>325</v>
      </c>
      <c r="R3309" s="546" t="s">
        <v>804</v>
      </c>
    </row>
    <row r="3310" spans="1:18" x14ac:dyDescent="0.3">
      <c r="A3310" t="s">
        <v>627</v>
      </c>
      <c r="B3310" s="16">
        <v>45439</v>
      </c>
      <c r="C3310" t="s">
        <v>3</v>
      </c>
      <c r="D3310" t="s">
        <v>119</v>
      </c>
      <c r="E3310">
        <v>344</v>
      </c>
      <c r="F3310">
        <v>73</v>
      </c>
      <c r="G3310">
        <v>32</v>
      </c>
      <c r="H3310">
        <v>7</v>
      </c>
      <c r="I3310">
        <v>75074</v>
      </c>
      <c r="J3310">
        <v>23</v>
      </c>
      <c r="K3310">
        <v>67196</v>
      </c>
      <c r="L3310">
        <v>22</v>
      </c>
      <c r="M3310">
        <v>84</v>
      </c>
      <c r="N3310">
        <v>328</v>
      </c>
      <c r="O3310">
        <f t="shared" si="102"/>
        <v>2024</v>
      </c>
      <c r="P3310">
        <f t="shared" si="103"/>
        <v>5</v>
      </c>
      <c r="Q3310" t="s">
        <v>325</v>
      </c>
      <c r="R3310" s="546" t="s">
        <v>804</v>
      </c>
    </row>
    <row r="3311" spans="1:18" x14ac:dyDescent="0.3">
      <c r="A3311" t="s">
        <v>627</v>
      </c>
      <c r="B3311" s="16">
        <v>45439</v>
      </c>
      <c r="C3311" t="s">
        <v>3</v>
      </c>
      <c r="D3311" t="s">
        <v>116</v>
      </c>
      <c r="E3311">
        <v>1</v>
      </c>
      <c r="F3311">
        <v>1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f t="shared" ref="O3311:O3374" si="104">YEAR(B3311)</f>
        <v>2024</v>
      </c>
      <c r="P3311">
        <f t="shared" ref="P3311:P3374" si="105">MONTH(B3311)</f>
        <v>5</v>
      </c>
      <c r="Q3311" t="s">
        <v>325</v>
      </c>
      <c r="R3311" s="546" t="s">
        <v>804</v>
      </c>
    </row>
    <row r="3312" spans="1:18" x14ac:dyDescent="0.3">
      <c r="A3312" t="s">
        <v>627</v>
      </c>
      <c r="B3312" s="16">
        <v>45439</v>
      </c>
      <c r="C3312" t="s">
        <v>3</v>
      </c>
      <c r="D3312" t="s">
        <v>115</v>
      </c>
      <c r="E3312">
        <v>3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3</v>
      </c>
      <c r="O3312">
        <f t="shared" si="104"/>
        <v>2024</v>
      </c>
      <c r="P3312">
        <f t="shared" si="105"/>
        <v>5</v>
      </c>
      <c r="Q3312" t="s">
        <v>325</v>
      </c>
      <c r="R3312" s="546" t="s">
        <v>804</v>
      </c>
    </row>
    <row r="3313" spans="1:18" x14ac:dyDescent="0.3">
      <c r="A3313" t="s">
        <v>627</v>
      </c>
      <c r="B3313" s="16">
        <v>45439</v>
      </c>
      <c r="C3313" t="s">
        <v>3</v>
      </c>
      <c r="D3313" t="s">
        <v>114</v>
      </c>
      <c r="E3313">
        <v>122</v>
      </c>
      <c r="F3313">
        <v>51</v>
      </c>
      <c r="G3313">
        <v>4</v>
      </c>
      <c r="H3313">
        <v>4</v>
      </c>
      <c r="I3313">
        <v>1498</v>
      </c>
      <c r="J3313">
        <v>1</v>
      </c>
      <c r="K3313">
        <v>1498</v>
      </c>
      <c r="L3313">
        <v>1</v>
      </c>
      <c r="M3313">
        <v>18</v>
      </c>
      <c r="N3313">
        <v>113</v>
      </c>
      <c r="O3313">
        <f t="shared" si="104"/>
        <v>2024</v>
      </c>
      <c r="P3313">
        <f t="shared" si="105"/>
        <v>5</v>
      </c>
      <c r="Q3313" t="s">
        <v>325</v>
      </c>
      <c r="R3313" s="546" t="s">
        <v>804</v>
      </c>
    </row>
    <row r="3314" spans="1:18" x14ac:dyDescent="0.3">
      <c r="A3314" t="s">
        <v>627</v>
      </c>
      <c r="B3314" s="16">
        <v>45439</v>
      </c>
      <c r="C3314" t="s">
        <v>3</v>
      </c>
      <c r="D3314" t="s">
        <v>113</v>
      </c>
      <c r="E3314">
        <v>126</v>
      </c>
      <c r="F3314">
        <v>65</v>
      </c>
      <c r="G3314">
        <v>3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80</v>
      </c>
      <c r="N3314">
        <v>76</v>
      </c>
      <c r="O3314">
        <f t="shared" si="104"/>
        <v>2024</v>
      </c>
      <c r="P3314">
        <f t="shared" si="105"/>
        <v>5</v>
      </c>
      <c r="Q3314" t="s">
        <v>325</v>
      </c>
      <c r="R3314" s="546" t="s">
        <v>804</v>
      </c>
    </row>
    <row r="3315" spans="1:18" x14ac:dyDescent="0.3">
      <c r="A3315" t="s">
        <v>627</v>
      </c>
      <c r="B3315" s="16">
        <v>45439</v>
      </c>
      <c r="C3315" t="s">
        <v>3</v>
      </c>
      <c r="D3315" t="s">
        <v>112</v>
      </c>
      <c r="E3315">
        <v>14</v>
      </c>
      <c r="F3315">
        <v>6</v>
      </c>
      <c r="G3315">
        <v>2</v>
      </c>
      <c r="H3315">
        <v>0</v>
      </c>
      <c r="I3315">
        <v>9488</v>
      </c>
      <c r="J3315">
        <v>3</v>
      </c>
      <c r="K3315">
        <v>7990</v>
      </c>
      <c r="L3315">
        <v>3</v>
      </c>
      <c r="M3315">
        <v>0</v>
      </c>
      <c r="N3315">
        <v>14</v>
      </c>
      <c r="O3315">
        <f t="shared" si="104"/>
        <v>2024</v>
      </c>
      <c r="P3315">
        <f t="shared" si="105"/>
        <v>5</v>
      </c>
      <c r="Q3315" t="s">
        <v>325</v>
      </c>
      <c r="R3315" s="546" t="s">
        <v>804</v>
      </c>
    </row>
    <row r="3316" spans="1:18" x14ac:dyDescent="0.3">
      <c r="A3316" t="s">
        <v>627</v>
      </c>
      <c r="B3316" s="16">
        <v>45439</v>
      </c>
      <c r="C3316" t="s">
        <v>3</v>
      </c>
      <c r="D3316" t="s">
        <v>111</v>
      </c>
      <c r="E3316">
        <v>19</v>
      </c>
      <c r="F3316">
        <v>15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19</v>
      </c>
      <c r="O3316">
        <f t="shared" si="104"/>
        <v>2024</v>
      </c>
      <c r="P3316">
        <f t="shared" si="105"/>
        <v>5</v>
      </c>
      <c r="Q3316" t="s">
        <v>325</v>
      </c>
      <c r="R3316" s="546" t="s">
        <v>804</v>
      </c>
    </row>
    <row r="3317" spans="1:18" x14ac:dyDescent="0.3">
      <c r="A3317" t="s">
        <v>627</v>
      </c>
      <c r="B3317" s="16">
        <v>45438</v>
      </c>
      <c r="C3317" t="s">
        <v>2</v>
      </c>
      <c r="D3317" t="s">
        <v>4</v>
      </c>
      <c r="E3317">
        <v>318</v>
      </c>
      <c r="F3317">
        <v>100</v>
      </c>
      <c r="G3317">
        <v>2</v>
      </c>
      <c r="H3317">
        <v>1</v>
      </c>
      <c r="I3317">
        <v>3304</v>
      </c>
      <c r="J3317">
        <v>1</v>
      </c>
      <c r="K3317">
        <v>3304</v>
      </c>
      <c r="L3317">
        <v>1</v>
      </c>
      <c r="M3317">
        <v>18</v>
      </c>
      <c r="N3317">
        <v>306</v>
      </c>
      <c r="O3317">
        <f t="shared" si="104"/>
        <v>2024</v>
      </c>
      <c r="P3317">
        <f t="shared" si="105"/>
        <v>5</v>
      </c>
      <c r="Q3317" t="s">
        <v>325</v>
      </c>
      <c r="R3317" s="546" t="s">
        <v>804</v>
      </c>
    </row>
    <row r="3318" spans="1:18" x14ac:dyDescent="0.3">
      <c r="A3318" t="s">
        <v>627</v>
      </c>
      <c r="B3318" s="16">
        <v>45438</v>
      </c>
      <c r="C3318" t="s">
        <v>2</v>
      </c>
      <c r="D3318" t="s">
        <v>57</v>
      </c>
      <c r="E3318">
        <v>17828</v>
      </c>
      <c r="F3318">
        <v>10174</v>
      </c>
      <c r="G3318">
        <v>193</v>
      </c>
      <c r="H3318">
        <v>97</v>
      </c>
      <c r="I3318">
        <v>173057</v>
      </c>
      <c r="J3318">
        <v>62</v>
      </c>
      <c r="K3318">
        <v>141734</v>
      </c>
      <c r="L3318">
        <v>54</v>
      </c>
      <c r="M3318">
        <v>841</v>
      </c>
      <c r="N3318">
        <v>17800</v>
      </c>
      <c r="O3318">
        <f t="shared" si="104"/>
        <v>2024</v>
      </c>
      <c r="P3318">
        <f t="shared" si="105"/>
        <v>5</v>
      </c>
      <c r="Q3318" t="s">
        <v>325</v>
      </c>
      <c r="R3318" s="546" t="s">
        <v>804</v>
      </c>
    </row>
    <row r="3319" spans="1:18" x14ac:dyDescent="0.3">
      <c r="A3319" t="s">
        <v>627</v>
      </c>
      <c r="B3319" s="16">
        <v>45438</v>
      </c>
      <c r="C3319" t="s">
        <v>2</v>
      </c>
      <c r="D3319" t="s">
        <v>52</v>
      </c>
      <c r="E3319">
        <v>2961</v>
      </c>
      <c r="F3319">
        <v>2392</v>
      </c>
      <c r="G3319">
        <v>18</v>
      </c>
      <c r="H3319">
        <v>5</v>
      </c>
      <c r="I3319">
        <v>15475</v>
      </c>
      <c r="J3319">
        <v>6</v>
      </c>
      <c r="K3319">
        <v>13795</v>
      </c>
      <c r="L3319">
        <v>5</v>
      </c>
      <c r="M3319">
        <v>2960</v>
      </c>
      <c r="N3319">
        <v>657</v>
      </c>
      <c r="O3319">
        <f t="shared" si="104"/>
        <v>2024</v>
      </c>
      <c r="P3319">
        <f t="shared" si="105"/>
        <v>5</v>
      </c>
      <c r="Q3319" t="s">
        <v>325</v>
      </c>
      <c r="R3319" s="546" t="s">
        <v>804</v>
      </c>
    </row>
    <row r="3320" spans="1:18" x14ac:dyDescent="0.3">
      <c r="A3320" t="s">
        <v>627</v>
      </c>
      <c r="B3320" s="16">
        <v>45438</v>
      </c>
      <c r="C3320" t="s">
        <v>2</v>
      </c>
      <c r="D3320" t="s">
        <v>55</v>
      </c>
      <c r="E3320">
        <v>2430</v>
      </c>
      <c r="F3320">
        <v>2235</v>
      </c>
      <c r="G3320">
        <v>2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15</v>
      </c>
      <c r="N3320">
        <v>1592</v>
      </c>
      <c r="O3320">
        <f t="shared" si="104"/>
        <v>2024</v>
      </c>
      <c r="P3320">
        <f t="shared" si="105"/>
        <v>5</v>
      </c>
      <c r="Q3320" t="s">
        <v>325</v>
      </c>
      <c r="R3320" s="546" t="s">
        <v>804</v>
      </c>
    </row>
    <row r="3321" spans="1:18" x14ac:dyDescent="0.3">
      <c r="A3321" t="s">
        <v>627</v>
      </c>
      <c r="B3321" s="16">
        <v>45438</v>
      </c>
      <c r="C3321" t="s">
        <v>3</v>
      </c>
      <c r="D3321" t="s">
        <v>155</v>
      </c>
      <c r="E3321">
        <v>5</v>
      </c>
      <c r="F3321">
        <v>4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5</v>
      </c>
      <c r="O3321">
        <f t="shared" si="104"/>
        <v>2024</v>
      </c>
      <c r="P3321">
        <f t="shared" si="105"/>
        <v>5</v>
      </c>
      <c r="Q3321" t="s">
        <v>325</v>
      </c>
      <c r="R3321" s="546" t="s">
        <v>804</v>
      </c>
    </row>
    <row r="3322" spans="1:18" x14ac:dyDescent="0.3">
      <c r="A3322" t="s">
        <v>627</v>
      </c>
      <c r="B3322" s="16">
        <v>45438</v>
      </c>
      <c r="C3322" t="s">
        <v>3</v>
      </c>
      <c r="D3322" t="s">
        <v>154</v>
      </c>
      <c r="E3322">
        <v>592</v>
      </c>
      <c r="F3322">
        <v>562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2</v>
      </c>
      <c r="N3322">
        <v>1</v>
      </c>
      <c r="O3322">
        <f t="shared" si="104"/>
        <v>2024</v>
      </c>
      <c r="P3322">
        <f t="shared" si="105"/>
        <v>5</v>
      </c>
      <c r="Q3322" t="s">
        <v>325</v>
      </c>
      <c r="R3322" s="546" t="s">
        <v>804</v>
      </c>
    </row>
    <row r="3323" spans="1:18" x14ac:dyDescent="0.3">
      <c r="A3323" t="s">
        <v>627</v>
      </c>
      <c r="B3323" s="16">
        <v>45438</v>
      </c>
      <c r="C3323" t="s">
        <v>3</v>
      </c>
      <c r="D3323" t="s">
        <v>153</v>
      </c>
      <c r="E3323">
        <v>440</v>
      </c>
      <c r="F3323">
        <v>97</v>
      </c>
      <c r="G3323">
        <v>51</v>
      </c>
      <c r="H3323">
        <v>3</v>
      </c>
      <c r="I3323">
        <v>167059.5</v>
      </c>
      <c r="J3323">
        <v>55</v>
      </c>
      <c r="K3323">
        <v>137361.5</v>
      </c>
      <c r="L3323">
        <v>51</v>
      </c>
      <c r="M3323">
        <v>119</v>
      </c>
      <c r="N3323">
        <v>422</v>
      </c>
      <c r="O3323">
        <f t="shared" si="104"/>
        <v>2024</v>
      </c>
      <c r="P3323">
        <f t="shared" si="105"/>
        <v>5</v>
      </c>
      <c r="Q3323" t="s">
        <v>325</v>
      </c>
      <c r="R3323" s="546" t="s">
        <v>804</v>
      </c>
    </row>
    <row r="3324" spans="1:18" x14ac:dyDescent="0.3">
      <c r="A3324" t="s">
        <v>627</v>
      </c>
      <c r="B3324" s="16">
        <v>45438</v>
      </c>
      <c r="C3324" t="s">
        <v>3</v>
      </c>
      <c r="D3324" t="s">
        <v>152</v>
      </c>
      <c r="E3324">
        <v>7</v>
      </c>
      <c r="F3324">
        <v>1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6</v>
      </c>
      <c r="O3324">
        <f t="shared" si="104"/>
        <v>2024</v>
      </c>
      <c r="P3324">
        <f t="shared" si="105"/>
        <v>5</v>
      </c>
      <c r="Q3324" t="s">
        <v>325</v>
      </c>
      <c r="R3324" s="546" t="s">
        <v>804</v>
      </c>
    </row>
    <row r="3325" spans="1:18" x14ac:dyDescent="0.3">
      <c r="A3325" t="s">
        <v>627</v>
      </c>
      <c r="B3325" s="16">
        <v>45438</v>
      </c>
      <c r="C3325" t="s">
        <v>3</v>
      </c>
      <c r="D3325" t="s">
        <v>150</v>
      </c>
      <c r="E3325">
        <v>1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1</v>
      </c>
      <c r="O3325">
        <f t="shared" si="104"/>
        <v>2024</v>
      </c>
      <c r="P3325">
        <f t="shared" si="105"/>
        <v>5</v>
      </c>
      <c r="Q3325" t="s">
        <v>325</v>
      </c>
      <c r="R3325" s="546" t="s">
        <v>804</v>
      </c>
    </row>
    <row r="3326" spans="1:18" x14ac:dyDescent="0.3">
      <c r="A3326" t="s">
        <v>627</v>
      </c>
      <c r="B3326" s="16">
        <v>45438</v>
      </c>
      <c r="C3326" t="s">
        <v>3</v>
      </c>
      <c r="D3326" t="s">
        <v>149</v>
      </c>
      <c r="E3326">
        <v>23</v>
      </c>
      <c r="F3326">
        <v>6</v>
      </c>
      <c r="G3326">
        <v>0</v>
      </c>
      <c r="H3326">
        <v>1</v>
      </c>
      <c r="I3326">
        <v>1677</v>
      </c>
      <c r="J3326">
        <v>1</v>
      </c>
      <c r="K3326">
        <v>1677</v>
      </c>
      <c r="L3326">
        <v>1</v>
      </c>
      <c r="M3326">
        <v>4</v>
      </c>
      <c r="N3326">
        <v>18</v>
      </c>
      <c r="O3326">
        <f t="shared" si="104"/>
        <v>2024</v>
      </c>
      <c r="P3326">
        <f t="shared" si="105"/>
        <v>5</v>
      </c>
      <c r="Q3326" t="s">
        <v>325</v>
      </c>
      <c r="R3326" s="546" t="s">
        <v>804</v>
      </c>
    </row>
    <row r="3327" spans="1:18" x14ac:dyDescent="0.3">
      <c r="A3327" t="s">
        <v>627</v>
      </c>
      <c r="B3327" s="16">
        <v>45438</v>
      </c>
      <c r="C3327" t="s">
        <v>3</v>
      </c>
      <c r="D3327" t="s">
        <v>148</v>
      </c>
      <c r="E3327">
        <v>1</v>
      </c>
      <c r="F3327">
        <v>1</v>
      </c>
      <c r="G3327">
        <v>0</v>
      </c>
      <c r="H3327">
        <v>1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1</v>
      </c>
      <c r="O3327">
        <f t="shared" si="104"/>
        <v>2024</v>
      </c>
      <c r="P3327">
        <f t="shared" si="105"/>
        <v>5</v>
      </c>
      <c r="Q3327" t="s">
        <v>325</v>
      </c>
      <c r="R3327" s="546" t="s">
        <v>804</v>
      </c>
    </row>
    <row r="3328" spans="1:18" x14ac:dyDescent="0.3">
      <c r="A3328" t="s">
        <v>627</v>
      </c>
      <c r="B3328" s="16">
        <v>45438</v>
      </c>
      <c r="C3328" t="s">
        <v>3</v>
      </c>
      <c r="D3328" t="s">
        <v>147</v>
      </c>
      <c r="E3328">
        <v>63</v>
      </c>
      <c r="F3328">
        <v>44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2</v>
      </c>
      <c r="N3328">
        <v>63</v>
      </c>
      <c r="O3328">
        <f t="shared" si="104"/>
        <v>2024</v>
      </c>
      <c r="P3328">
        <f t="shared" si="105"/>
        <v>5</v>
      </c>
      <c r="Q3328" t="s">
        <v>325</v>
      </c>
      <c r="R3328" s="546" t="s">
        <v>804</v>
      </c>
    </row>
    <row r="3329" spans="1:18" x14ac:dyDescent="0.3">
      <c r="A3329" t="s">
        <v>627</v>
      </c>
      <c r="B3329" s="16">
        <v>45438</v>
      </c>
      <c r="C3329" t="s">
        <v>3</v>
      </c>
      <c r="D3329" t="s">
        <v>251</v>
      </c>
      <c r="E3329">
        <v>820</v>
      </c>
      <c r="F3329">
        <v>380</v>
      </c>
      <c r="G3329">
        <v>8</v>
      </c>
      <c r="H3329">
        <v>8</v>
      </c>
      <c r="I3329">
        <v>25443.040000000001</v>
      </c>
      <c r="J3329">
        <v>10</v>
      </c>
      <c r="K3329">
        <v>19390.04</v>
      </c>
      <c r="L3329">
        <v>9</v>
      </c>
      <c r="M3329">
        <v>66</v>
      </c>
      <c r="N3329">
        <v>503</v>
      </c>
      <c r="O3329">
        <f t="shared" si="104"/>
        <v>2024</v>
      </c>
      <c r="P3329">
        <f t="shared" si="105"/>
        <v>5</v>
      </c>
      <c r="Q3329" t="s">
        <v>325</v>
      </c>
      <c r="R3329" s="546" t="s">
        <v>804</v>
      </c>
    </row>
    <row r="3330" spans="1:18" x14ac:dyDescent="0.3">
      <c r="A3330" t="s">
        <v>627</v>
      </c>
      <c r="B3330" s="16">
        <v>45438</v>
      </c>
      <c r="C3330" t="s">
        <v>3</v>
      </c>
      <c r="D3330" t="s">
        <v>143</v>
      </c>
      <c r="E3330">
        <v>11</v>
      </c>
      <c r="F3330">
        <v>10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1</v>
      </c>
      <c r="N3330">
        <v>11</v>
      </c>
      <c r="O3330">
        <f t="shared" si="104"/>
        <v>2024</v>
      </c>
      <c r="P3330">
        <f t="shared" si="105"/>
        <v>5</v>
      </c>
      <c r="Q3330" t="s">
        <v>325</v>
      </c>
      <c r="R3330" s="546" t="s">
        <v>804</v>
      </c>
    </row>
    <row r="3331" spans="1:18" x14ac:dyDescent="0.3">
      <c r="A3331" t="s">
        <v>627</v>
      </c>
      <c r="B3331" s="16">
        <v>45438</v>
      </c>
      <c r="C3331" t="s">
        <v>3</v>
      </c>
      <c r="D3331" t="s">
        <v>142</v>
      </c>
      <c r="E3331">
        <v>26</v>
      </c>
      <c r="F3331">
        <v>7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2</v>
      </c>
      <c r="N3331">
        <v>26</v>
      </c>
      <c r="O3331">
        <f t="shared" si="104"/>
        <v>2024</v>
      </c>
      <c r="P3331">
        <f t="shared" si="105"/>
        <v>5</v>
      </c>
      <c r="Q3331" t="s">
        <v>325</v>
      </c>
      <c r="R3331" s="546" t="s">
        <v>804</v>
      </c>
    </row>
    <row r="3332" spans="1:18" x14ac:dyDescent="0.3">
      <c r="A3332" t="s">
        <v>627</v>
      </c>
      <c r="B3332" s="16">
        <v>45438</v>
      </c>
      <c r="C3332" t="s">
        <v>3</v>
      </c>
      <c r="D3332" t="s">
        <v>141</v>
      </c>
      <c r="E3332">
        <v>1</v>
      </c>
      <c r="F3332">
        <v>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1</v>
      </c>
      <c r="N3332">
        <v>0</v>
      </c>
      <c r="O3332">
        <f t="shared" si="104"/>
        <v>2024</v>
      </c>
      <c r="P3332">
        <f t="shared" si="105"/>
        <v>5</v>
      </c>
      <c r="Q3332" t="s">
        <v>325</v>
      </c>
      <c r="R3332" s="546" t="s">
        <v>804</v>
      </c>
    </row>
    <row r="3333" spans="1:18" x14ac:dyDescent="0.3">
      <c r="A3333" t="s">
        <v>627</v>
      </c>
      <c r="B3333" s="16">
        <v>45438</v>
      </c>
      <c r="C3333" t="s">
        <v>3</v>
      </c>
      <c r="D3333" t="s">
        <v>140</v>
      </c>
      <c r="E3333">
        <v>9</v>
      </c>
      <c r="F3333">
        <v>9</v>
      </c>
      <c r="G3333">
        <v>4</v>
      </c>
      <c r="H3333">
        <v>1</v>
      </c>
      <c r="I3333">
        <v>5777</v>
      </c>
      <c r="J3333">
        <v>3</v>
      </c>
      <c r="K3333">
        <v>3540</v>
      </c>
      <c r="L3333">
        <v>2</v>
      </c>
      <c r="M3333">
        <v>0</v>
      </c>
      <c r="N3333">
        <v>9</v>
      </c>
      <c r="O3333">
        <f t="shared" si="104"/>
        <v>2024</v>
      </c>
      <c r="P3333">
        <f t="shared" si="105"/>
        <v>5</v>
      </c>
      <c r="Q3333" t="s">
        <v>325</v>
      </c>
      <c r="R3333" s="546" t="s">
        <v>804</v>
      </c>
    </row>
    <row r="3334" spans="1:18" x14ac:dyDescent="0.3">
      <c r="A3334" t="s">
        <v>627</v>
      </c>
      <c r="B3334" s="16">
        <v>45438</v>
      </c>
      <c r="C3334" t="s">
        <v>3</v>
      </c>
      <c r="D3334" t="s">
        <v>139</v>
      </c>
      <c r="E3334">
        <v>646</v>
      </c>
      <c r="F3334">
        <v>320</v>
      </c>
      <c r="G3334">
        <v>26</v>
      </c>
      <c r="H3334">
        <v>10</v>
      </c>
      <c r="I3334">
        <v>37768.42</v>
      </c>
      <c r="J3334">
        <v>19</v>
      </c>
      <c r="K3334">
        <v>29378.42</v>
      </c>
      <c r="L3334">
        <v>15</v>
      </c>
      <c r="M3334">
        <v>353</v>
      </c>
      <c r="N3334">
        <v>477</v>
      </c>
      <c r="O3334">
        <f t="shared" si="104"/>
        <v>2024</v>
      </c>
      <c r="P3334">
        <f t="shared" si="105"/>
        <v>5</v>
      </c>
      <c r="Q3334" t="s">
        <v>325</v>
      </c>
      <c r="R3334" s="546" t="s">
        <v>804</v>
      </c>
    </row>
    <row r="3335" spans="1:18" x14ac:dyDescent="0.3">
      <c r="A3335" t="s">
        <v>627</v>
      </c>
      <c r="B3335" s="16">
        <v>45438</v>
      </c>
      <c r="C3335" t="s">
        <v>3</v>
      </c>
      <c r="D3335" t="s">
        <v>138</v>
      </c>
      <c r="E3335">
        <v>16</v>
      </c>
      <c r="F3335">
        <v>8</v>
      </c>
      <c r="G3335">
        <v>3</v>
      </c>
      <c r="H3335">
        <v>0</v>
      </c>
      <c r="I3335">
        <v>8049</v>
      </c>
      <c r="J3335">
        <v>1</v>
      </c>
      <c r="K3335">
        <v>4024.5</v>
      </c>
      <c r="L3335">
        <v>1</v>
      </c>
      <c r="M3335">
        <v>1</v>
      </c>
      <c r="N3335">
        <v>16</v>
      </c>
      <c r="O3335">
        <f t="shared" si="104"/>
        <v>2024</v>
      </c>
      <c r="P3335">
        <f t="shared" si="105"/>
        <v>5</v>
      </c>
      <c r="Q3335" t="s">
        <v>325</v>
      </c>
      <c r="R3335" s="546" t="s">
        <v>804</v>
      </c>
    </row>
    <row r="3336" spans="1:18" x14ac:dyDescent="0.3">
      <c r="A3336" t="s">
        <v>627</v>
      </c>
      <c r="B3336" s="16">
        <v>45438</v>
      </c>
      <c r="C3336" t="s">
        <v>3</v>
      </c>
      <c r="D3336" t="s">
        <v>137</v>
      </c>
      <c r="E3336">
        <v>5</v>
      </c>
      <c r="F3336">
        <v>2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5</v>
      </c>
      <c r="O3336">
        <f t="shared" si="104"/>
        <v>2024</v>
      </c>
      <c r="P3336">
        <f t="shared" si="105"/>
        <v>5</v>
      </c>
      <c r="Q3336" t="s">
        <v>325</v>
      </c>
      <c r="R3336" s="546" t="s">
        <v>804</v>
      </c>
    </row>
    <row r="3337" spans="1:18" x14ac:dyDescent="0.3">
      <c r="A3337" t="s">
        <v>627</v>
      </c>
      <c r="B3337" s="16">
        <v>45438</v>
      </c>
      <c r="C3337" t="s">
        <v>3</v>
      </c>
      <c r="D3337" t="s">
        <v>136</v>
      </c>
      <c r="E3337">
        <v>1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f t="shared" si="104"/>
        <v>2024</v>
      </c>
      <c r="P3337">
        <f t="shared" si="105"/>
        <v>5</v>
      </c>
      <c r="Q3337" t="s">
        <v>325</v>
      </c>
      <c r="R3337" s="546" t="s">
        <v>804</v>
      </c>
    </row>
    <row r="3338" spans="1:18" x14ac:dyDescent="0.3">
      <c r="A3338" t="s">
        <v>627</v>
      </c>
      <c r="B3338" s="16">
        <v>45438</v>
      </c>
      <c r="C3338" t="s">
        <v>3</v>
      </c>
      <c r="D3338" t="s">
        <v>135</v>
      </c>
      <c r="E3338">
        <v>1</v>
      </c>
      <c r="F3338">
        <v>1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f t="shared" si="104"/>
        <v>2024</v>
      </c>
      <c r="P3338">
        <f t="shared" si="105"/>
        <v>5</v>
      </c>
      <c r="Q3338" t="s">
        <v>325</v>
      </c>
      <c r="R3338" s="546" t="s">
        <v>804</v>
      </c>
    </row>
    <row r="3339" spans="1:18" x14ac:dyDescent="0.3">
      <c r="A3339" t="s">
        <v>627</v>
      </c>
      <c r="B3339" s="16">
        <v>45438</v>
      </c>
      <c r="C3339" t="s">
        <v>3</v>
      </c>
      <c r="D3339" t="s">
        <v>133</v>
      </c>
      <c r="E3339">
        <v>39</v>
      </c>
      <c r="F3339">
        <v>22</v>
      </c>
      <c r="G3339">
        <v>1</v>
      </c>
      <c r="H3339">
        <v>0</v>
      </c>
      <c r="I3339">
        <v>4975</v>
      </c>
      <c r="J3339">
        <v>2</v>
      </c>
      <c r="K3339">
        <v>4975</v>
      </c>
      <c r="L3339">
        <v>2</v>
      </c>
      <c r="M3339">
        <v>8</v>
      </c>
      <c r="N3339">
        <v>34</v>
      </c>
      <c r="O3339">
        <f t="shared" si="104"/>
        <v>2024</v>
      </c>
      <c r="P3339">
        <f t="shared" si="105"/>
        <v>5</v>
      </c>
      <c r="Q3339" t="s">
        <v>325</v>
      </c>
      <c r="R3339" s="546" t="s">
        <v>804</v>
      </c>
    </row>
    <row r="3340" spans="1:18" x14ac:dyDescent="0.3">
      <c r="A3340" t="s">
        <v>627</v>
      </c>
      <c r="B3340" s="16">
        <v>45438</v>
      </c>
      <c r="C3340" t="s">
        <v>3</v>
      </c>
      <c r="D3340" t="s">
        <v>130</v>
      </c>
      <c r="E3340">
        <v>415</v>
      </c>
      <c r="F3340">
        <v>176</v>
      </c>
      <c r="G3340">
        <v>35</v>
      </c>
      <c r="H3340">
        <v>6</v>
      </c>
      <c r="I3340">
        <v>38892.04</v>
      </c>
      <c r="J3340">
        <v>18</v>
      </c>
      <c r="K3340">
        <v>35948.04</v>
      </c>
      <c r="L3340">
        <v>17</v>
      </c>
      <c r="M3340">
        <v>105</v>
      </c>
      <c r="N3340">
        <v>402</v>
      </c>
      <c r="O3340">
        <f t="shared" si="104"/>
        <v>2024</v>
      </c>
      <c r="P3340">
        <f t="shared" si="105"/>
        <v>5</v>
      </c>
      <c r="Q3340" t="s">
        <v>325</v>
      </c>
      <c r="R3340" s="546" t="s">
        <v>804</v>
      </c>
    </row>
    <row r="3341" spans="1:18" x14ac:dyDescent="0.3">
      <c r="A3341" t="s">
        <v>627</v>
      </c>
      <c r="B3341" s="16">
        <v>45438</v>
      </c>
      <c r="C3341" t="s">
        <v>3</v>
      </c>
      <c r="D3341" t="s">
        <v>129</v>
      </c>
      <c r="E3341">
        <v>1</v>
      </c>
      <c r="F3341">
        <v>1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1</v>
      </c>
      <c r="O3341">
        <f t="shared" si="104"/>
        <v>2024</v>
      </c>
      <c r="P3341">
        <f t="shared" si="105"/>
        <v>5</v>
      </c>
      <c r="Q3341" t="s">
        <v>325</v>
      </c>
      <c r="R3341" s="546" t="s">
        <v>804</v>
      </c>
    </row>
    <row r="3342" spans="1:18" x14ac:dyDescent="0.3">
      <c r="A3342" t="s">
        <v>627</v>
      </c>
      <c r="B3342" s="16">
        <v>45438</v>
      </c>
      <c r="C3342" t="s">
        <v>3</v>
      </c>
      <c r="D3342" t="s">
        <v>128</v>
      </c>
      <c r="E3342">
        <v>963</v>
      </c>
      <c r="F3342">
        <v>722</v>
      </c>
      <c r="G3342">
        <v>53</v>
      </c>
      <c r="H3342">
        <v>12</v>
      </c>
      <c r="I3342">
        <v>46373</v>
      </c>
      <c r="J3342">
        <v>20</v>
      </c>
      <c r="K3342">
        <v>44693</v>
      </c>
      <c r="L3342">
        <v>19</v>
      </c>
      <c r="M3342">
        <v>256</v>
      </c>
      <c r="N3342">
        <v>881</v>
      </c>
      <c r="O3342">
        <f t="shared" si="104"/>
        <v>2024</v>
      </c>
      <c r="P3342">
        <f t="shared" si="105"/>
        <v>5</v>
      </c>
      <c r="Q3342" t="s">
        <v>325</v>
      </c>
      <c r="R3342" s="546" t="s">
        <v>804</v>
      </c>
    </row>
    <row r="3343" spans="1:18" x14ac:dyDescent="0.3">
      <c r="A3343" t="s">
        <v>627</v>
      </c>
      <c r="B3343" s="16">
        <v>45438</v>
      </c>
      <c r="C3343" t="s">
        <v>3</v>
      </c>
      <c r="D3343" t="s">
        <v>127</v>
      </c>
      <c r="E3343">
        <v>3442</v>
      </c>
      <c r="F3343">
        <v>2281</v>
      </c>
      <c r="G3343">
        <v>96</v>
      </c>
      <c r="H3343">
        <v>41</v>
      </c>
      <c r="I3343">
        <v>42580.01</v>
      </c>
      <c r="J3343">
        <v>23</v>
      </c>
      <c r="K3343">
        <v>30656.5</v>
      </c>
      <c r="L3343">
        <v>16</v>
      </c>
      <c r="M3343">
        <v>490</v>
      </c>
      <c r="N3343">
        <v>3194</v>
      </c>
      <c r="O3343">
        <f t="shared" si="104"/>
        <v>2024</v>
      </c>
      <c r="P3343">
        <f t="shared" si="105"/>
        <v>5</v>
      </c>
      <c r="Q3343" t="s">
        <v>325</v>
      </c>
      <c r="R3343" s="546" t="s">
        <v>804</v>
      </c>
    </row>
    <row r="3344" spans="1:18" x14ac:dyDescent="0.3">
      <c r="A3344" t="s">
        <v>627</v>
      </c>
      <c r="B3344" s="16">
        <v>45438</v>
      </c>
      <c r="C3344" t="s">
        <v>3</v>
      </c>
      <c r="D3344" t="s">
        <v>126</v>
      </c>
      <c r="E3344">
        <v>100</v>
      </c>
      <c r="F3344">
        <v>68</v>
      </c>
      <c r="G3344">
        <v>3</v>
      </c>
      <c r="H3344">
        <v>3</v>
      </c>
      <c r="I3344">
        <v>4763</v>
      </c>
      <c r="J3344">
        <v>3</v>
      </c>
      <c r="K3344">
        <v>2983</v>
      </c>
      <c r="L3344">
        <v>2</v>
      </c>
      <c r="M3344">
        <v>16</v>
      </c>
      <c r="N3344">
        <v>99</v>
      </c>
      <c r="O3344">
        <f t="shared" si="104"/>
        <v>2024</v>
      </c>
      <c r="P3344">
        <f t="shared" si="105"/>
        <v>5</v>
      </c>
      <c r="Q3344" t="s">
        <v>325</v>
      </c>
      <c r="R3344" s="546" t="s">
        <v>804</v>
      </c>
    </row>
    <row r="3345" spans="1:18" x14ac:dyDescent="0.3">
      <c r="A3345" t="s">
        <v>627</v>
      </c>
      <c r="B3345" s="16">
        <v>45438</v>
      </c>
      <c r="C3345" t="s">
        <v>3</v>
      </c>
      <c r="D3345" t="s">
        <v>125</v>
      </c>
      <c r="E3345">
        <v>4</v>
      </c>
      <c r="F3345">
        <v>2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2</v>
      </c>
      <c r="N3345">
        <v>4</v>
      </c>
      <c r="O3345">
        <f t="shared" si="104"/>
        <v>2024</v>
      </c>
      <c r="P3345">
        <f t="shared" si="105"/>
        <v>5</v>
      </c>
      <c r="Q3345" t="s">
        <v>325</v>
      </c>
      <c r="R3345" s="546" t="s">
        <v>804</v>
      </c>
    </row>
    <row r="3346" spans="1:18" x14ac:dyDescent="0.3">
      <c r="A3346" t="s">
        <v>627</v>
      </c>
      <c r="B3346" s="16">
        <v>45438</v>
      </c>
      <c r="C3346" t="s">
        <v>3</v>
      </c>
      <c r="D3346" t="s">
        <v>123</v>
      </c>
      <c r="E3346">
        <v>235</v>
      </c>
      <c r="F3346">
        <v>108</v>
      </c>
      <c r="G3346">
        <v>10</v>
      </c>
      <c r="H3346">
        <v>4</v>
      </c>
      <c r="I3346">
        <v>12651</v>
      </c>
      <c r="J3346">
        <v>5</v>
      </c>
      <c r="K3346">
        <v>12651</v>
      </c>
      <c r="L3346">
        <v>5</v>
      </c>
      <c r="M3346">
        <v>87</v>
      </c>
      <c r="N3346">
        <v>202</v>
      </c>
      <c r="O3346">
        <f t="shared" si="104"/>
        <v>2024</v>
      </c>
      <c r="P3346">
        <f t="shared" si="105"/>
        <v>5</v>
      </c>
      <c r="Q3346" t="s">
        <v>325</v>
      </c>
      <c r="R3346" s="546" t="s">
        <v>804</v>
      </c>
    </row>
    <row r="3347" spans="1:18" x14ac:dyDescent="0.3">
      <c r="A3347" t="s">
        <v>627</v>
      </c>
      <c r="B3347" s="16">
        <v>45438</v>
      </c>
      <c r="C3347" t="s">
        <v>3</v>
      </c>
      <c r="D3347" t="s">
        <v>121</v>
      </c>
      <c r="E3347">
        <v>2</v>
      </c>
      <c r="F3347">
        <v>2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2</v>
      </c>
      <c r="O3347">
        <f t="shared" si="104"/>
        <v>2024</v>
      </c>
      <c r="P3347">
        <f t="shared" si="105"/>
        <v>5</v>
      </c>
      <c r="Q3347" t="s">
        <v>325</v>
      </c>
      <c r="R3347" s="546" t="s">
        <v>804</v>
      </c>
    </row>
    <row r="3348" spans="1:18" x14ac:dyDescent="0.3">
      <c r="A3348" t="s">
        <v>627</v>
      </c>
      <c r="B3348" s="16">
        <v>45438</v>
      </c>
      <c r="C3348" t="s">
        <v>3</v>
      </c>
      <c r="D3348" t="s">
        <v>120</v>
      </c>
      <c r="E3348">
        <v>596</v>
      </c>
      <c r="F3348">
        <v>334</v>
      </c>
      <c r="G3348">
        <v>8</v>
      </c>
      <c r="H3348">
        <v>0</v>
      </c>
      <c r="I3348">
        <v>11160.43</v>
      </c>
      <c r="J3348">
        <v>7</v>
      </c>
      <c r="K3348">
        <v>9857.43</v>
      </c>
      <c r="L3348">
        <v>6</v>
      </c>
      <c r="M3348">
        <v>67</v>
      </c>
      <c r="N3348">
        <v>587</v>
      </c>
      <c r="O3348">
        <f t="shared" si="104"/>
        <v>2024</v>
      </c>
      <c r="P3348">
        <f t="shared" si="105"/>
        <v>5</v>
      </c>
      <c r="Q3348" t="s">
        <v>325</v>
      </c>
      <c r="R3348" s="546" t="s">
        <v>804</v>
      </c>
    </row>
    <row r="3349" spans="1:18" x14ac:dyDescent="0.3">
      <c r="A3349" t="s">
        <v>627</v>
      </c>
      <c r="B3349" s="16">
        <v>45438</v>
      </c>
      <c r="C3349" t="s">
        <v>3</v>
      </c>
      <c r="D3349" t="s">
        <v>119</v>
      </c>
      <c r="E3349">
        <v>345</v>
      </c>
      <c r="F3349">
        <v>85</v>
      </c>
      <c r="G3349">
        <v>23</v>
      </c>
      <c r="H3349">
        <v>7</v>
      </c>
      <c r="I3349">
        <v>56445.04</v>
      </c>
      <c r="J3349">
        <v>20</v>
      </c>
      <c r="K3349">
        <v>48712.04</v>
      </c>
      <c r="L3349">
        <v>18</v>
      </c>
      <c r="M3349">
        <v>101</v>
      </c>
      <c r="N3349">
        <v>327</v>
      </c>
      <c r="O3349">
        <f t="shared" si="104"/>
        <v>2024</v>
      </c>
      <c r="P3349">
        <f t="shared" si="105"/>
        <v>5</v>
      </c>
      <c r="Q3349" t="s">
        <v>325</v>
      </c>
      <c r="R3349" s="546" t="s">
        <v>804</v>
      </c>
    </row>
    <row r="3350" spans="1:18" x14ac:dyDescent="0.3">
      <c r="A3350" t="s">
        <v>627</v>
      </c>
      <c r="B3350" s="16">
        <v>45438</v>
      </c>
      <c r="C3350" t="s">
        <v>3</v>
      </c>
      <c r="D3350" t="s">
        <v>116</v>
      </c>
      <c r="E3350">
        <v>1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1</v>
      </c>
      <c r="O3350">
        <f t="shared" si="104"/>
        <v>2024</v>
      </c>
      <c r="P3350">
        <f t="shared" si="105"/>
        <v>5</v>
      </c>
      <c r="Q3350" t="s">
        <v>325</v>
      </c>
      <c r="R3350" s="546" t="s">
        <v>804</v>
      </c>
    </row>
    <row r="3351" spans="1:18" x14ac:dyDescent="0.3">
      <c r="A3351" t="s">
        <v>627</v>
      </c>
      <c r="B3351" s="16">
        <v>45438</v>
      </c>
      <c r="C3351" t="s">
        <v>3</v>
      </c>
      <c r="D3351" t="s">
        <v>115</v>
      </c>
      <c r="E3351">
        <v>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2</v>
      </c>
      <c r="O3351">
        <f t="shared" si="104"/>
        <v>2024</v>
      </c>
      <c r="P3351">
        <f t="shared" si="105"/>
        <v>5</v>
      </c>
      <c r="Q3351" t="s">
        <v>325</v>
      </c>
      <c r="R3351" s="546" t="s">
        <v>804</v>
      </c>
    </row>
    <row r="3352" spans="1:18" x14ac:dyDescent="0.3">
      <c r="A3352" t="s">
        <v>627</v>
      </c>
      <c r="B3352" s="16">
        <v>45438</v>
      </c>
      <c r="C3352" t="s">
        <v>3</v>
      </c>
      <c r="D3352" t="s">
        <v>114</v>
      </c>
      <c r="E3352">
        <v>127</v>
      </c>
      <c r="F3352">
        <v>57</v>
      </c>
      <c r="G3352">
        <v>3</v>
      </c>
      <c r="H3352">
        <v>2</v>
      </c>
      <c r="I3352">
        <v>0</v>
      </c>
      <c r="J3352">
        <v>0</v>
      </c>
      <c r="K3352">
        <v>0</v>
      </c>
      <c r="L3352">
        <v>0</v>
      </c>
      <c r="M3352">
        <v>19</v>
      </c>
      <c r="N3352">
        <v>112</v>
      </c>
      <c r="O3352">
        <f t="shared" si="104"/>
        <v>2024</v>
      </c>
      <c r="P3352">
        <f t="shared" si="105"/>
        <v>5</v>
      </c>
      <c r="Q3352" t="s">
        <v>325</v>
      </c>
      <c r="R3352" s="546" t="s">
        <v>804</v>
      </c>
    </row>
    <row r="3353" spans="1:18" x14ac:dyDescent="0.3">
      <c r="A3353" t="s">
        <v>627</v>
      </c>
      <c r="B3353" s="16">
        <v>45438</v>
      </c>
      <c r="C3353" t="s">
        <v>3</v>
      </c>
      <c r="D3353" t="s">
        <v>113</v>
      </c>
      <c r="E3353">
        <v>128</v>
      </c>
      <c r="F3353">
        <v>56</v>
      </c>
      <c r="G3353">
        <v>3</v>
      </c>
      <c r="H3353">
        <v>1</v>
      </c>
      <c r="I3353">
        <v>3834</v>
      </c>
      <c r="J3353">
        <v>1</v>
      </c>
      <c r="K3353">
        <v>1917</v>
      </c>
      <c r="L3353">
        <v>1</v>
      </c>
      <c r="M3353">
        <v>86</v>
      </c>
      <c r="N3353">
        <v>76</v>
      </c>
      <c r="O3353">
        <f t="shared" si="104"/>
        <v>2024</v>
      </c>
      <c r="P3353">
        <f t="shared" si="105"/>
        <v>5</v>
      </c>
      <c r="Q3353" t="s">
        <v>325</v>
      </c>
      <c r="R3353" s="546" t="s">
        <v>804</v>
      </c>
    </row>
    <row r="3354" spans="1:18" x14ac:dyDescent="0.3">
      <c r="A3354" t="s">
        <v>627</v>
      </c>
      <c r="B3354" s="16">
        <v>45438</v>
      </c>
      <c r="C3354" t="s">
        <v>3</v>
      </c>
      <c r="D3354" t="s">
        <v>112</v>
      </c>
      <c r="E3354">
        <v>12</v>
      </c>
      <c r="F3354">
        <v>3</v>
      </c>
      <c r="G3354">
        <v>1</v>
      </c>
      <c r="H3354">
        <v>1</v>
      </c>
      <c r="I3354">
        <v>4758</v>
      </c>
      <c r="J3354">
        <v>3</v>
      </c>
      <c r="K3354">
        <v>4758</v>
      </c>
      <c r="L3354">
        <v>3</v>
      </c>
      <c r="M3354">
        <v>0</v>
      </c>
      <c r="N3354">
        <v>12</v>
      </c>
      <c r="O3354">
        <f t="shared" si="104"/>
        <v>2024</v>
      </c>
      <c r="P3354">
        <f t="shared" si="105"/>
        <v>5</v>
      </c>
      <c r="Q3354" t="s">
        <v>325</v>
      </c>
      <c r="R3354" s="546" t="s">
        <v>804</v>
      </c>
    </row>
    <row r="3355" spans="1:18" x14ac:dyDescent="0.3">
      <c r="A3355" t="s">
        <v>627</v>
      </c>
      <c r="B3355" s="16">
        <v>45438</v>
      </c>
      <c r="C3355" t="s">
        <v>3</v>
      </c>
      <c r="D3355" t="s">
        <v>111</v>
      </c>
      <c r="E3355">
        <v>22</v>
      </c>
      <c r="F3355">
        <v>18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22</v>
      </c>
      <c r="O3355">
        <f t="shared" si="104"/>
        <v>2024</v>
      </c>
      <c r="P3355">
        <f t="shared" si="105"/>
        <v>5</v>
      </c>
      <c r="Q3355" t="s">
        <v>325</v>
      </c>
      <c r="R3355" s="546" t="s">
        <v>804</v>
      </c>
    </row>
    <row r="3356" spans="1:18" x14ac:dyDescent="0.3">
      <c r="A3356" t="s">
        <v>627</v>
      </c>
      <c r="B3356" s="16">
        <v>45437</v>
      </c>
      <c r="C3356" t="s">
        <v>2</v>
      </c>
      <c r="D3356" t="s">
        <v>4</v>
      </c>
      <c r="E3356">
        <v>323</v>
      </c>
      <c r="F3356">
        <v>68</v>
      </c>
      <c r="G3356">
        <v>3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11</v>
      </c>
      <c r="N3356">
        <v>319</v>
      </c>
      <c r="O3356">
        <f t="shared" si="104"/>
        <v>2024</v>
      </c>
      <c r="P3356">
        <f t="shared" si="105"/>
        <v>5</v>
      </c>
      <c r="Q3356" t="s">
        <v>325</v>
      </c>
      <c r="R3356" s="546" t="s">
        <v>804</v>
      </c>
    </row>
    <row r="3357" spans="1:18" x14ac:dyDescent="0.3">
      <c r="A3357" t="s">
        <v>627</v>
      </c>
      <c r="B3357" s="16">
        <v>45437</v>
      </c>
      <c r="C3357" t="s">
        <v>2</v>
      </c>
      <c r="D3357" t="s">
        <v>57</v>
      </c>
      <c r="E3357">
        <v>15876</v>
      </c>
      <c r="F3357">
        <v>8356</v>
      </c>
      <c r="G3357">
        <v>226</v>
      </c>
      <c r="H3357">
        <v>106</v>
      </c>
      <c r="I3357">
        <v>200780.96</v>
      </c>
      <c r="J3357">
        <v>51</v>
      </c>
      <c r="K3357">
        <v>151864</v>
      </c>
      <c r="L3357">
        <v>42</v>
      </c>
      <c r="M3357">
        <v>790</v>
      </c>
      <c r="N3357">
        <v>15856</v>
      </c>
      <c r="O3357">
        <f t="shared" si="104"/>
        <v>2024</v>
      </c>
      <c r="P3357">
        <f t="shared" si="105"/>
        <v>5</v>
      </c>
      <c r="Q3357" t="s">
        <v>325</v>
      </c>
      <c r="R3357" s="546" t="s">
        <v>804</v>
      </c>
    </row>
    <row r="3358" spans="1:18" x14ac:dyDescent="0.3">
      <c r="A3358" t="s">
        <v>627</v>
      </c>
      <c r="B3358" s="16">
        <v>45437</v>
      </c>
      <c r="C3358" t="s">
        <v>2</v>
      </c>
      <c r="D3358" t="s">
        <v>52</v>
      </c>
      <c r="E3358">
        <v>3037</v>
      </c>
      <c r="F3358">
        <v>2443</v>
      </c>
      <c r="G3358">
        <v>14</v>
      </c>
      <c r="H3358">
        <v>6</v>
      </c>
      <c r="I3358">
        <v>56801.5</v>
      </c>
      <c r="J3358">
        <v>5</v>
      </c>
      <c r="K3358">
        <v>43456.5</v>
      </c>
      <c r="L3358">
        <v>4</v>
      </c>
      <c r="M3358">
        <v>3037</v>
      </c>
      <c r="N3358">
        <v>611</v>
      </c>
      <c r="O3358">
        <f t="shared" si="104"/>
        <v>2024</v>
      </c>
      <c r="P3358">
        <f t="shared" si="105"/>
        <v>5</v>
      </c>
      <c r="Q3358" t="s">
        <v>325</v>
      </c>
      <c r="R3358" s="546" t="s">
        <v>804</v>
      </c>
    </row>
    <row r="3359" spans="1:18" x14ac:dyDescent="0.3">
      <c r="A3359" t="s">
        <v>627</v>
      </c>
      <c r="B3359" s="16">
        <v>45437</v>
      </c>
      <c r="C3359" t="s">
        <v>2</v>
      </c>
      <c r="D3359" t="s">
        <v>55</v>
      </c>
      <c r="E3359">
        <v>34</v>
      </c>
      <c r="F3359">
        <v>24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33</v>
      </c>
      <c r="O3359">
        <f t="shared" si="104"/>
        <v>2024</v>
      </c>
      <c r="P3359">
        <f t="shared" si="105"/>
        <v>5</v>
      </c>
      <c r="Q3359" t="s">
        <v>325</v>
      </c>
      <c r="R3359" s="546" t="s">
        <v>804</v>
      </c>
    </row>
    <row r="3360" spans="1:18" x14ac:dyDescent="0.3">
      <c r="A3360" t="s">
        <v>627</v>
      </c>
      <c r="B3360" s="16">
        <v>45437</v>
      </c>
      <c r="C3360" t="s">
        <v>3</v>
      </c>
      <c r="D3360" t="s">
        <v>155</v>
      </c>
      <c r="E3360">
        <v>2</v>
      </c>
      <c r="F3360">
        <v>2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2</v>
      </c>
      <c r="O3360">
        <f t="shared" si="104"/>
        <v>2024</v>
      </c>
      <c r="P3360">
        <f t="shared" si="105"/>
        <v>5</v>
      </c>
      <c r="Q3360" t="s">
        <v>325</v>
      </c>
      <c r="R3360" s="546" t="s">
        <v>804</v>
      </c>
    </row>
    <row r="3361" spans="1:18" x14ac:dyDescent="0.3">
      <c r="A3361" t="s">
        <v>627</v>
      </c>
      <c r="B3361" s="16">
        <v>45437</v>
      </c>
      <c r="C3361" t="s">
        <v>3</v>
      </c>
      <c r="D3361" t="s">
        <v>154</v>
      </c>
      <c r="E3361">
        <v>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f t="shared" si="104"/>
        <v>2024</v>
      </c>
      <c r="P3361">
        <f t="shared" si="105"/>
        <v>5</v>
      </c>
      <c r="Q3361" t="s">
        <v>325</v>
      </c>
      <c r="R3361" s="546" t="s">
        <v>804</v>
      </c>
    </row>
    <row r="3362" spans="1:18" x14ac:dyDescent="0.3">
      <c r="A3362" t="s">
        <v>627</v>
      </c>
      <c r="B3362" s="16">
        <v>45437</v>
      </c>
      <c r="C3362" t="s">
        <v>3</v>
      </c>
      <c r="D3362" t="s">
        <v>153</v>
      </c>
      <c r="E3362">
        <v>421</v>
      </c>
      <c r="F3362">
        <v>108</v>
      </c>
      <c r="G3362">
        <v>54</v>
      </c>
      <c r="H3362">
        <v>1</v>
      </c>
      <c r="I3362">
        <v>180566.79</v>
      </c>
      <c r="J3362">
        <v>49</v>
      </c>
      <c r="K3362">
        <v>138509.79</v>
      </c>
      <c r="L3362">
        <v>45</v>
      </c>
      <c r="M3362">
        <v>108</v>
      </c>
      <c r="N3362">
        <v>412</v>
      </c>
      <c r="O3362">
        <f t="shared" si="104"/>
        <v>2024</v>
      </c>
      <c r="P3362">
        <f t="shared" si="105"/>
        <v>5</v>
      </c>
      <c r="Q3362" t="s">
        <v>325</v>
      </c>
      <c r="R3362" s="546" t="s">
        <v>804</v>
      </c>
    </row>
    <row r="3363" spans="1:18" x14ac:dyDescent="0.3">
      <c r="A3363" t="s">
        <v>627</v>
      </c>
      <c r="B3363" s="16">
        <v>45437</v>
      </c>
      <c r="C3363" t="s">
        <v>3</v>
      </c>
      <c r="D3363" t="s">
        <v>152</v>
      </c>
      <c r="E3363">
        <v>13</v>
      </c>
      <c r="F3363">
        <v>1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13</v>
      </c>
      <c r="O3363">
        <f t="shared" si="104"/>
        <v>2024</v>
      </c>
      <c r="P3363">
        <f t="shared" si="105"/>
        <v>5</v>
      </c>
      <c r="Q3363" t="s">
        <v>325</v>
      </c>
      <c r="R3363" s="546" t="s">
        <v>804</v>
      </c>
    </row>
    <row r="3364" spans="1:18" x14ac:dyDescent="0.3">
      <c r="A3364" t="s">
        <v>627</v>
      </c>
      <c r="B3364" s="16">
        <v>45437</v>
      </c>
      <c r="C3364" t="s">
        <v>3</v>
      </c>
      <c r="D3364" t="s">
        <v>150</v>
      </c>
      <c r="E3364">
        <v>4</v>
      </c>
      <c r="F3364">
        <v>2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4</v>
      </c>
      <c r="O3364">
        <f t="shared" si="104"/>
        <v>2024</v>
      </c>
      <c r="P3364">
        <f t="shared" si="105"/>
        <v>5</v>
      </c>
      <c r="Q3364" t="s">
        <v>325</v>
      </c>
      <c r="R3364" s="546" t="s">
        <v>804</v>
      </c>
    </row>
    <row r="3365" spans="1:18" x14ac:dyDescent="0.3">
      <c r="A3365" t="s">
        <v>627</v>
      </c>
      <c r="B3365" s="16">
        <v>45437</v>
      </c>
      <c r="C3365" t="s">
        <v>3</v>
      </c>
      <c r="D3365" t="s">
        <v>149</v>
      </c>
      <c r="E3365">
        <v>20</v>
      </c>
      <c r="F3365">
        <v>9</v>
      </c>
      <c r="G3365">
        <v>1</v>
      </c>
      <c r="H3365">
        <v>1</v>
      </c>
      <c r="I3365">
        <v>0</v>
      </c>
      <c r="J3365">
        <v>0</v>
      </c>
      <c r="K3365">
        <v>0</v>
      </c>
      <c r="L3365">
        <v>0</v>
      </c>
      <c r="M3365">
        <v>4</v>
      </c>
      <c r="N3365">
        <v>17</v>
      </c>
      <c r="O3365">
        <f t="shared" si="104"/>
        <v>2024</v>
      </c>
      <c r="P3365">
        <f t="shared" si="105"/>
        <v>5</v>
      </c>
      <c r="Q3365" t="s">
        <v>325</v>
      </c>
      <c r="R3365" s="546" t="s">
        <v>804</v>
      </c>
    </row>
    <row r="3366" spans="1:18" x14ac:dyDescent="0.3">
      <c r="A3366" t="s">
        <v>627</v>
      </c>
      <c r="B3366" s="16">
        <v>45437</v>
      </c>
      <c r="C3366" t="s">
        <v>3</v>
      </c>
      <c r="D3366" t="s">
        <v>147</v>
      </c>
      <c r="E3366">
        <v>56</v>
      </c>
      <c r="F3366">
        <v>33</v>
      </c>
      <c r="G3366">
        <v>2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56</v>
      </c>
      <c r="O3366">
        <f t="shared" si="104"/>
        <v>2024</v>
      </c>
      <c r="P3366">
        <f t="shared" si="105"/>
        <v>5</v>
      </c>
      <c r="Q3366" t="s">
        <v>325</v>
      </c>
      <c r="R3366" s="546" t="s">
        <v>804</v>
      </c>
    </row>
    <row r="3367" spans="1:18" x14ac:dyDescent="0.3">
      <c r="A3367" t="s">
        <v>627</v>
      </c>
      <c r="B3367" s="16">
        <v>45437</v>
      </c>
      <c r="C3367" t="s">
        <v>3</v>
      </c>
      <c r="D3367" t="s">
        <v>251</v>
      </c>
      <c r="E3367">
        <v>503</v>
      </c>
      <c r="F3367">
        <v>169</v>
      </c>
      <c r="G3367">
        <v>14</v>
      </c>
      <c r="H3367">
        <v>11</v>
      </c>
      <c r="I3367">
        <v>12171.5</v>
      </c>
      <c r="J3367">
        <v>5</v>
      </c>
      <c r="K3367">
        <v>12171.5</v>
      </c>
      <c r="L3367">
        <v>5</v>
      </c>
      <c r="M3367">
        <v>67</v>
      </c>
      <c r="N3367">
        <v>465</v>
      </c>
      <c r="O3367">
        <f t="shared" si="104"/>
        <v>2024</v>
      </c>
      <c r="P3367">
        <f t="shared" si="105"/>
        <v>5</v>
      </c>
      <c r="Q3367" t="s">
        <v>325</v>
      </c>
      <c r="R3367" s="546" t="s">
        <v>804</v>
      </c>
    </row>
    <row r="3368" spans="1:18" x14ac:dyDescent="0.3">
      <c r="A3368" t="s">
        <v>627</v>
      </c>
      <c r="B3368" s="16">
        <v>45437</v>
      </c>
      <c r="C3368" t="s">
        <v>3</v>
      </c>
      <c r="D3368" t="s">
        <v>143</v>
      </c>
      <c r="E3368">
        <v>8</v>
      </c>
      <c r="F3368">
        <v>8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8</v>
      </c>
      <c r="O3368">
        <f t="shared" si="104"/>
        <v>2024</v>
      </c>
      <c r="P3368">
        <f t="shared" si="105"/>
        <v>5</v>
      </c>
      <c r="Q3368" t="s">
        <v>325</v>
      </c>
      <c r="R3368" s="546" t="s">
        <v>804</v>
      </c>
    </row>
    <row r="3369" spans="1:18" x14ac:dyDescent="0.3">
      <c r="A3369" t="s">
        <v>627</v>
      </c>
      <c r="B3369" s="16">
        <v>45437</v>
      </c>
      <c r="C3369" t="s">
        <v>3</v>
      </c>
      <c r="D3369" t="s">
        <v>142</v>
      </c>
      <c r="E3369">
        <v>16</v>
      </c>
      <c r="F3369">
        <v>2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1</v>
      </c>
      <c r="N3369">
        <v>16</v>
      </c>
      <c r="O3369">
        <f t="shared" si="104"/>
        <v>2024</v>
      </c>
      <c r="P3369">
        <f t="shared" si="105"/>
        <v>5</v>
      </c>
      <c r="Q3369" t="s">
        <v>325</v>
      </c>
      <c r="R3369" s="546" t="s">
        <v>804</v>
      </c>
    </row>
    <row r="3370" spans="1:18" x14ac:dyDescent="0.3">
      <c r="A3370" t="s">
        <v>627</v>
      </c>
      <c r="B3370" s="16">
        <v>45437</v>
      </c>
      <c r="C3370" t="s">
        <v>3</v>
      </c>
      <c r="D3370" t="s">
        <v>141</v>
      </c>
      <c r="E3370">
        <v>1</v>
      </c>
      <c r="F3370">
        <v>1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1</v>
      </c>
      <c r="O3370">
        <f t="shared" si="104"/>
        <v>2024</v>
      </c>
      <c r="P3370">
        <f t="shared" si="105"/>
        <v>5</v>
      </c>
      <c r="Q3370" t="s">
        <v>325</v>
      </c>
      <c r="R3370" s="546" t="s">
        <v>804</v>
      </c>
    </row>
    <row r="3371" spans="1:18" x14ac:dyDescent="0.3">
      <c r="A3371" t="s">
        <v>627</v>
      </c>
      <c r="B3371" s="16">
        <v>45437</v>
      </c>
      <c r="C3371" t="s">
        <v>3</v>
      </c>
      <c r="D3371" t="s">
        <v>140</v>
      </c>
      <c r="E3371">
        <v>7</v>
      </c>
      <c r="F3371">
        <v>5</v>
      </c>
      <c r="G3371">
        <v>2</v>
      </c>
      <c r="H3371">
        <v>0</v>
      </c>
      <c r="I3371">
        <v>1488</v>
      </c>
      <c r="J3371">
        <v>1</v>
      </c>
      <c r="K3371">
        <v>1488</v>
      </c>
      <c r="L3371">
        <v>1</v>
      </c>
      <c r="M3371">
        <v>0</v>
      </c>
      <c r="N3371">
        <v>6</v>
      </c>
      <c r="O3371">
        <f t="shared" si="104"/>
        <v>2024</v>
      </c>
      <c r="P3371">
        <f t="shared" si="105"/>
        <v>5</v>
      </c>
      <c r="Q3371" t="s">
        <v>325</v>
      </c>
      <c r="R3371" s="546" t="s">
        <v>804</v>
      </c>
    </row>
    <row r="3372" spans="1:18" x14ac:dyDescent="0.3">
      <c r="A3372" t="s">
        <v>627</v>
      </c>
      <c r="B3372" s="16">
        <v>45437</v>
      </c>
      <c r="C3372" t="s">
        <v>3</v>
      </c>
      <c r="D3372" t="s">
        <v>139</v>
      </c>
      <c r="E3372">
        <v>562</v>
      </c>
      <c r="F3372">
        <v>270</v>
      </c>
      <c r="G3372">
        <v>23</v>
      </c>
      <c r="H3372">
        <v>10</v>
      </c>
      <c r="I3372">
        <v>60195.5</v>
      </c>
      <c r="J3372">
        <v>12</v>
      </c>
      <c r="K3372">
        <v>60195.5</v>
      </c>
      <c r="L3372">
        <v>12</v>
      </c>
      <c r="M3372">
        <v>284</v>
      </c>
      <c r="N3372">
        <v>413</v>
      </c>
      <c r="O3372">
        <f t="shared" si="104"/>
        <v>2024</v>
      </c>
      <c r="P3372">
        <f t="shared" si="105"/>
        <v>5</v>
      </c>
      <c r="Q3372" t="s">
        <v>325</v>
      </c>
      <c r="R3372" s="546" t="s">
        <v>804</v>
      </c>
    </row>
    <row r="3373" spans="1:18" x14ac:dyDescent="0.3">
      <c r="A3373" t="s">
        <v>627</v>
      </c>
      <c r="B3373" s="16">
        <v>45437</v>
      </c>
      <c r="C3373" t="s">
        <v>3</v>
      </c>
      <c r="D3373" t="s">
        <v>138</v>
      </c>
      <c r="E3373">
        <v>13</v>
      </c>
      <c r="F3373">
        <v>9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3</v>
      </c>
      <c r="N3373">
        <v>12</v>
      </c>
      <c r="O3373">
        <f t="shared" si="104"/>
        <v>2024</v>
      </c>
      <c r="P3373">
        <f t="shared" si="105"/>
        <v>5</v>
      </c>
      <c r="Q3373" t="s">
        <v>325</v>
      </c>
      <c r="R3373" s="546" t="s">
        <v>804</v>
      </c>
    </row>
    <row r="3374" spans="1:18" x14ac:dyDescent="0.3">
      <c r="A3374" t="s">
        <v>627</v>
      </c>
      <c r="B3374" s="16">
        <v>45437</v>
      </c>
      <c r="C3374" t="s">
        <v>3</v>
      </c>
      <c r="D3374" t="s">
        <v>137</v>
      </c>
      <c r="E3374">
        <v>7</v>
      </c>
      <c r="F3374">
        <v>4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1</v>
      </c>
      <c r="N3374">
        <v>7</v>
      </c>
      <c r="O3374">
        <f t="shared" si="104"/>
        <v>2024</v>
      </c>
      <c r="P3374">
        <f t="shared" si="105"/>
        <v>5</v>
      </c>
      <c r="Q3374" t="s">
        <v>325</v>
      </c>
      <c r="R3374" s="546" t="s">
        <v>804</v>
      </c>
    </row>
    <row r="3375" spans="1:18" x14ac:dyDescent="0.3">
      <c r="A3375" t="s">
        <v>627</v>
      </c>
      <c r="B3375" s="16">
        <v>45437</v>
      </c>
      <c r="C3375" t="s">
        <v>3</v>
      </c>
      <c r="D3375" t="s">
        <v>133</v>
      </c>
      <c r="E3375">
        <v>23</v>
      </c>
      <c r="F3375">
        <v>11</v>
      </c>
      <c r="G3375">
        <v>1</v>
      </c>
      <c r="H3375">
        <v>0</v>
      </c>
      <c r="I3375">
        <v>2488</v>
      </c>
      <c r="J3375">
        <v>1</v>
      </c>
      <c r="K3375">
        <v>0</v>
      </c>
      <c r="L3375">
        <v>0</v>
      </c>
      <c r="M3375">
        <v>4</v>
      </c>
      <c r="N3375">
        <v>22</v>
      </c>
      <c r="O3375">
        <f t="shared" ref="O3375:O3438" si="106">YEAR(B3375)</f>
        <v>2024</v>
      </c>
      <c r="P3375">
        <f t="shared" ref="P3375:P3438" si="107">MONTH(B3375)</f>
        <v>5</v>
      </c>
      <c r="Q3375" t="s">
        <v>325</v>
      </c>
      <c r="R3375" s="546" t="s">
        <v>804</v>
      </c>
    </row>
    <row r="3376" spans="1:18" x14ac:dyDescent="0.3">
      <c r="A3376" t="s">
        <v>627</v>
      </c>
      <c r="B3376" s="16">
        <v>45437</v>
      </c>
      <c r="C3376" t="s">
        <v>3</v>
      </c>
      <c r="D3376" t="s">
        <v>130</v>
      </c>
      <c r="E3376">
        <v>86</v>
      </c>
      <c r="F3376">
        <v>35</v>
      </c>
      <c r="G3376">
        <v>11</v>
      </c>
      <c r="H3376">
        <v>3</v>
      </c>
      <c r="I3376">
        <v>37860</v>
      </c>
      <c r="J3376">
        <v>7</v>
      </c>
      <c r="K3376">
        <v>33460</v>
      </c>
      <c r="L3376">
        <v>6</v>
      </c>
      <c r="M3376">
        <v>33</v>
      </c>
      <c r="N3376">
        <v>75</v>
      </c>
      <c r="O3376">
        <f t="shared" si="106"/>
        <v>2024</v>
      </c>
      <c r="P3376">
        <f t="shared" si="107"/>
        <v>5</v>
      </c>
      <c r="Q3376" t="s">
        <v>325</v>
      </c>
      <c r="R3376" s="546" t="s">
        <v>804</v>
      </c>
    </row>
    <row r="3377" spans="1:18" x14ac:dyDescent="0.3">
      <c r="A3377" t="s">
        <v>627</v>
      </c>
      <c r="B3377" s="16">
        <v>45437</v>
      </c>
      <c r="C3377" t="s">
        <v>3</v>
      </c>
      <c r="D3377" t="s">
        <v>128</v>
      </c>
      <c r="E3377">
        <v>866</v>
      </c>
      <c r="F3377">
        <v>612</v>
      </c>
      <c r="G3377">
        <v>65</v>
      </c>
      <c r="H3377">
        <v>10</v>
      </c>
      <c r="I3377">
        <v>74525.95</v>
      </c>
      <c r="J3377">
        <v>18</v>
      </c>
      <c r="K3377">
        <v>68153.95</v>
      </c>
      <c r="L3377">
        <v>16</v>
      </c>
      <c r="M3377">
        <v>229</v>
      </c>
      <c r="N3377">
        <v>797</v>
      </c>
      <c r="O3377">
        <f t="shared" si="106"/>
        <v>2024</v>
      </c>
      <c r="P3377">
        <f t="shared" si="107"/>
        <v>5</v>
      </c>
      <c r="Q3377" t="s">
        <v>325</v>
      </c>
      <c r="R3377" s="546" t="s">
        <v>804</v>
      </c>
    </row>
    <row r="3378" spans="1:18" x14ac:dyDescent="0.3">
      <c r="A3378" t="s">
        <v>627</v>
      </c>
      <c r="B3378" s="16">
        <v>45437</v>
      </c>
      <c r="C3378" t="s">
        <v>3</v>
      </c>
      <c r="D3378" t="s">
        <v>127</v>
      </c>
      <c r="E3378">
        <v>3054</v>
      </c>
      <c r="F3378">
        <v>1955</v>
      </c>
      <c r="G3378">
        <v>107</v>
      </c>
      <c r="H3378">
        <v>43</v>
      </c>
      <c r="I3378">
        <v>36100.5</v>
      </c>
      <c r="J3378">
        <v>10</v>
      </c>
      <c r="K3378">
        <v>36100.5</v>
      </c>
      <c r="L3378">
        <v>10</v>
      </c>
      <c r="M3378">
        <v>467</v>
      </c>
      <c r="N3378">
        <v>2914</v>
      </c>
      <c r="O3378">
        <f t="shared" si="106"/>
        <v>2024</v>
      </c>
      <c r="P3378">
        <f t="shared" si="107"/>
        <v>5</v>
      </c>
      <c r="Q3378" t="s">
        <v>325</v>
      </c>
      <c r="R3378" s="546" t="s">
        <v>804</v>
      </c>
    </row>
    <row r="3379" spans="1:18" x14ac:dyDescent="0.3">
      <c r="A3379" t="s">
        <v>627</v>
      </c>
      <c r="B3379" s="16">
        <v>45437</v>
      </c>
      <c r="C3379" t="s">
        <v>3</v>
      </c>
      <c r="D3379" t="s">
        <v>126</v>
      </c>
      <c r="E3379">
        <v>92</v>
      </c>
      <c r="F3379">
        <v>56</v>
      </c>
      <c r="G3379">
        <v>8</v>
      </c>
      <c r="H3379">
        <v>0</v>
      </c>
      <c r="I3379">
        <v>3160.87</v>
      </c>
      <c r="J3379">
        <v>2</v>
      </c>
      <c r="K3379">
        <v>3160.87</v>
      </c>
      <c r="L3379">
        <v>2</v>
      </c>
      <c r="M3379">
        <v>18</v>
      </c>
      <c r="N3379">
        <v>89</v>
      </c>
      <c r="O3379">
        <f t="shared" si="106"/>
        <v>2024</v>
      </c>
      <c r="P3379">
        <f t="shared" si="107"/>
        <v>5</v>
      </c>
      <c r="Q3379" t="s">
        <v>325</v>
      </c>
      <c r="R3379" s="546" t="s">
        <v>804</v>
      </c>
    </row>
    <row r="3380" spans="1:18" x14ac:dyDescent="0.3">
      <c r="A3380" t="s">
        <v>627</v>
      </c>
      <c r="B3380" s="16">
        <v>45437</v>
      </c>
      <c r="C3380" t="s">
        <v>3</v>
      </c>
      <c r="D3380" t="s">
        <v>125</v>
      </c>
      <c r="E3380">
        <v>9</v>
      </c>
      <c r="F3380">
        <v>2</v>
      </c>
      <c r="G3380">
        <v>1</v>
      </c>
      <c r="H3380">
        <v>1</v>
      </c>
      <c r="I3380">
        <v>0</v>
      </c>
      <c r="J3380">
        <v>0</v>
      </c>
      <c r="K3380">
        <v>0</v>
      </c>
      <c r="L3380">
        <v>0</v>
      </c>
      <c r="M3380">
        <v>4</v>
      </c>
      <c r="N3380">
        <v>9</v>
      </c>
      <c r="O3380">
        <f t="shared" si="106"/>
        <v>2024</v>
      </c>
      <c r="P3380">
        <f t="shared" si="107"/>
        <v>5</v>
      </c>
      <c r="Q3380" t="s">
        <v>325</v>
      </c>
      <c r="R3380" s="546" t="s">
        <v>804</v>
      </c>
    </row>
    <row r="3381" spans="1:18" x14ac:dyDescent="0.3">
      <c r="A3381" t="s">
        <v>627</v>
      </c>
      <c r="B3381" s="16">
        <v>45437</v>
      </c>
      <c r="C3381" t="s">
        <v>3</v>
      </c>
      <c r="D3381" t="s">
        <v>123</v>
      </c>
      <c r="E3381">
        <v>209</v>
      </c>
      <c r="F3381">
        <v>86</v>
      </c>
      <c r="G3381">
        <v>17</v>
      </c>
      <c r="H3381">
        <v>7</v>
      </c>
      <c r="I3381">
        <v>27632</v>
      </c>
      <c r="J3381">
        <v>5</v>
      </c>
      <c r="K3381">
        <v>27632</v>
      </c>
      <c r="L3381">
        <v>5</v>
      </c>
      <c r="M3381">
        <v>93</v>
      </c>
      <c r="N3381">
        <v>177</v>
      </c>
      <c r="O3381">
        <f t="shared" si="106"/>
        <v>2024</v>
      </c>
      <c r="P3381">
        <f t="shared" si="107"/>
        <v>5</v>
      </c>
      <c r="Q3381" t="s">
        <v>325</v>
      </c>
      <c r="R3381" s="546" t="s">
        <v>804</v>
      </c>
    </row>
    <row r="3382" spans="1:18" x14ac:dyDescent="0.3">
      <c r="A3382" t="s">
        <v>627</v>
      </c>
      <c r="B3382" s="16">
        <v>45437</v>
      </c>
      <c r="C3382" t="s">
        <v>3</v>
      </c>
      <c r="D3382" t="s">
        <v>120</v>
      </c>
      <c r="E3382">
        <v>641</v>
      </c>
      <c r="F3382">
        <v>364</v>
      </c>
      <c r="G3382">
        <v>7</v>
      </c>
      <c r="H3382">
        <v>0</v>
      </c>
      <c r="I3382">
        <v>6122.5</v>
      </c>
      <c r="J3382">
        <v>4</v>
      </c>
      <c r="K3382">
        <v>6122.5</v>
      </c>
      <c r="L3382">
        <v>4</v>
      </c>
      <c r="M3382">
        <v>86</v>
      </c>
      <c r="N3382">
        <v>639</v>
      </c>
      <c r="O3382">
        <f t="shared" si="106"/>
        <v>2024</v>
      </c>
      <c r="P3382">
        <f t="shared" si="107"/>
        <v>5</v>
      </c>
      <c r="Q3382" t="s">
        <v>325</v>
      </c>
      <c r="R3382" s="546" t="s">
        <v>804</v>
      </c>
    </row>
    <row r="3383" spans="1:18" x14ac:dyDescent="0.3">
      <c r="A3383" t="s">
        <v>627</v>
      </c>
      <c r="B3383" s="16">
        <v>45437</v>
      </c>
      <c r="C3383" t="s">
        <v>3</v>
      </c>
      <c r="D3383" t="s">
        <v>119</v>
      </c>
      <c r="E3383">
        <v>333</v>
      </c>
      <c r="F3383">
        <v>70</v>
      </c>
      <c r="G3383">
        <v>22</v>
      </c>
      <c r="H3383">
        <v>3</v>
      </c>
      <c r="I3383">
        <v>53072.05</v>
      </c>
      <c r="J3383">
        <v>14</v>
      </c>
      <c r="K3383">
        <v>43782.05</v>
      </c>
      <c r="L3383">
        <v>13</v>
      </c>
      <c r="M3383">
        <v>89</v>
      </c>
      <c r="N3383">
        <v>312</v>
      </c>
      <c r="O3383">
        <f t="shared" si="106"/>
        <v>2024</v>
      </c>
      <c r="P3383">
        <f t="shared" si="107"/>
        <v>5</v>
      </c>
      <c r="Q3383" t="s">
        <v>325</v>
      </c>
      <c r="R3383" s="546" t="s">
        <v>804</v>
      </c>
    </row>
    <row r="3384" spans="1:18" x14ac:dyDescent="0.3">
      <c r="A3384" t="s">
        <v>627</v>
      </c>
      <c r="B3384" s="16">
        <v>45437</v>
      </c>
      <c r="C3384" t="s">
        <v>3</v>
      </c>
      <c r="D3384" t="s">
        <v>117</v>
      </c>
      <c r="E3384">
        <v>1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1</v>
      </c>
      <c r="O3384">
        <f t="shared" si="106"/>
        <v>2024</v>
      </c>
      <c r="P3384">
        <f t="shared" si="107"/>
        <v>5</v>
      </c>
      <c r="Q3384" t="s">
        <v>325</v>
      </c>
      <c r="R3384" s="546" t="s">
        <v>804</v>
      </c>
    </row>
    <row r="3385" spans="1:18" x14ac:dyDescent="0.3">
      <c r="A3385" t="s">
        <v>627</v>
      </c>
      <c r="B3385" s="16">
        <v>45437</v>
      </c>
      <c r="C3385" t="s">
        <v>3</v>
      </c>
      <c r="D3385" t="s">
        <v>116</v>
      </c>
      <c r="E3385">
        <v>1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1</v>
      </c>
      <c r="O3385">
        <f t="shared" si="106"/>
        <v>2024</v>
      </c>
      <c r="P3385">
        <f t="shared" si="107"/>
        <v>5</v>
      </c>
      <c r="Q3385" t="s">
        <v>325</v>
      </c>
      <c r="R3385" s="546" t="s">
        <v>804</v>
      </c>
    </row>
    <row r="3386" spans="1:18" x14ac:dyDescent="0.3">
      <c r="A3386" t="s">
        <v>627</v>
      </c>
      <c r="B3386" s="16">
        <v>45437</v>
      </c>
      <c r="C3386" t="s">
        <v>3</v>
      </c>
      <c r="D3386" t="s">
        <v>115</v>
      </c>
      <c r="E3386">
        <v>3</v>
      </c>
      <c r="F3386">
        <v>1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1</v>
      </c>
      <c r="N3386">
        <v>3</v>
      </c>
      <c r="O3386">
        <f t="shared" si="106"/>
        <v>2024</v>
      </c>
      <c r="P3386">
        <f t="shared" si="107"/>
        <v>5</v>
      </c>
      <c r="Q3386" t="s">
        <v>325</v>
      </c>
      <c r="R3386" s="546" t="s">
        <v>804</v>
      </c>
    </row>
    <row r="3387" spans="1:18" x14ac:dyDescent="0.3">
      <c r="A3387" t="s">
        <v>627</v>
      </c>
      <c r="B3387" s="16">
        <v>45437</v>
      </c>
      <c r="C3387" t="s">
        <v>3</v>
      </c>
      <c r="D3387" t="s">
        <v>114</v>
      </c>
      <c r="E3387">
        <v>142</v>
      </c>
      <c r="F3387">
        <v>64</v>
      </c>
      <c r="G3387">
        <v>4</v>
      </c>
      <c r="H3387">
        <v>1</v>
      </c>
      <c r="I3387">
        <v>5072.5</v>
      </c>
      <c r="J3387">
        <v>3</v>
      </c>
      <c r="K3387">
        <v>2475</v>
      </c>
      <c r="L3387">
        <v>2</v>
      </c>
      <c r="M3387">
        <v>19</v>
      </c>
      <c r="N3387">
        <v>132</v>
      </c>
      <c r="O3387">
        <f t="shared" si="106"/>
        <v>2024</v>
      </c>
      <c r="P3387">
        <f t="shared" si="107"/>
        <v>5</v>
      </c>
      <c r="Q3387" t="s">
        <v>325</v>
      </c>
      <c r="R3387" s="546" t="s">
        <v>804</v>
      </c>
    </row>
    <row r="3388" spans="1:18" x14ac:dyDescent="0.3">
      <c r="A3388" t="s">
        <v>627</v>
      </c>
      <c r="B3388" s="16">
        <v>45437</v>
      </c>
      <c r="C3388" t="s">
        <v>3</v>
      </c>
      <c r="D3388" t="s">
        <v>113</v>
      </c>
      <c r="E3388">
        <v>131</v>
      </c>
      <c r="F3388">
        <v>55</v>
      </c>
      <c r="G3388">
        <v>3</v>
      </c>
      <c r="H3388">
        <v>3</v>
      </c>
      <c r="I3388">
        <v>1280</v>
      </c>
      <c r="J3388">
        <v>1</v>
      </c>
      <c r="K3388">
        <v>1280</v>
      </c>
      <c r="L3388">
        <v>1</v>
      </c>
      <c r="M3388">
        <v>82</v>
      </c>
      <c r="N3388">
        <v>85</v>
      </c>
      <c r="O3388">
        <f t="shared" si="106"/>
        <v>2024</v>
      </c>
      <c r="P3388">
        <f t="shared" si="107"/>
        <v>5</v>
      </c>
      <c r="Q3388" t="s">
        <v>325</v>
      </c>
      <c r="R3388" s="546" t="s">
        <v>804</v>
      </c>
    </row>
    <row r="3389" spans="1:18" x14ac:dyDescent="0.3">
      <c r="A3389" t="s">
        <v>627</v>
      </c>
      <c r="B3389" s="16">
        <v>45437</v>
      </c>
      <c r="C3389" t="s">
        <v>3</v>
      </c>
      <c r="D3389" t="s">
        <v>112</v>
      </c>
      <c r="E3389">
        <v>9</v>
      </c>
      <c r="F3389">
        <v>4</v>
      </c>
      <c r="G3389">
        <v>0</v>
      </c>
      <c r="H3389">
        <v>0</v>
      </c>
      <c r="I3389">
        <v>6946</v>
      </c>
      <c r="J3389">
        <v>3</v>
      </c>
      <c r="K3389">
        <v>6946</v>
      </c>
      <c r="L3389">
        <v>3</v>
      </c>
      <c r="M3389">
        <v>0</v>
      </c>
      <c r="N3389">
        <v>9</v>
      </c>
      <c r="O3389">
        <f t="shared" si="106"/>
        <v>2024</v>
      </c>
      <c r="P3389">
        <f t="shared" si="107"/>
        <v>5</v>
      </c>
      <c r="Q3389" t="s">
        <v>325</v>
      </c>
      <c r="R3389" s="546" t="s">
        <v>804</v>
      </c>
    </row>
    <row r="3390" spans="1:18" x14ac:dyDescent="0.3">
      <c r="A3390" t="s">
        <v>627</v>
      </c>
      <c r="B3390" s="16">
        <v>45437</v>
      </c>
      <c r="C3390" t="s">
        <v>3</v>
      </c>
      <c r="D3390" t="s">
        <v>111</v>
      </c>
      <c r="E3390">
        <v>27</v>
      </c>
      <c r="F3390">
        <v>20</v>
      </c>
      <c r="G3390">
        <v>3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27</v>
      </c>
      <c r="O3390">
        <f t="shared" si="106"/>
        <v>2024</v>
      </c>
      <c r="P3390">
        <f t="shared" si="107"/>
        <v>5</v>
      </c>
      <c r="Q3390" t="s">
        <v>325</v>
      </c>
      <c r="R3390" s="546" t="s">
        <v>804</v>
      </c>
    </row>
    <row r="3391" spans="1:18" x14ac:dyDescent="0.3">
      <c r="A3391" t="s">
        <v>627</v>
      </c>
      <c r="B3391" s="16">
        <v>45436</v>
      </c>
      <c r="C3391" t="s">
        <v>2</v>
      </c>
      <c r="D3391" t="s">
        <v>4</v>
      </c>
      <c r="E3391">
        <v>362</v>
      </c>
      <c r="F3391">
        <v>93</v>
      </c>
      <c r="G3391">
        <v>1</v>
      </c>
      <c r="H3391">
        <v>0</v>
      </c>
      <c r="I3391">
        <v>3220</v>
      </c>
      <c r="J3391">
        <v>2</v>
      </c>
      <c r="K3391">
        <v>3220</v>
      </c>
      <c r="L3391">
        <v>2</v>
      </c>
      <c r="M3391">
        <v>12</v>
      </c>
      <c r="N3391">
        <v>353</v>
      </c>
      <c r="O3391">
        <f t="shared" si="106"/>
        <v>2024</v>
      </c>
      <c r="P3391">
        <f t="shared" si="107"/>
        <v>5</v>
      </c>
      <c r="Q3391" t="s">
        <v>325</v>
      </c>
      <c r="R3391" s="546" t="s">
        <v>804</v>
      </c>
    </row>
    <row r="3392" spans="1:18" x14ac:dyDescent="0.3">
      <c r="A3392" t="s">
        <v>627</v>
      </c>
      <c r="B3392" s="16">
        <v>45436</v>
      </c>
      <c r="C3392" t="s">
        <v>2</v>
      </c>
      <c r="D3392" t="s">
        <v>57</v>
      </c>
      <c r="E3392">
        <v>16698</v>
      </c>
      <c r="F3392">
        <v>8797</v>
      </c>
      <c r="G3392">
        <v>229</v>
      </c>
      <c r="H3392">
        <v>100</v>
      </c>
      <c r="I3392">
        <v>155721.5</v>
      </c>
      <c r="J3392">
        <v>48</v>
      </c>
      <c r="K3392">
        <v>118720.5</v>
      </c>
      <c r="L3392">
        <v>40</v>
      </c>
      <c r="M3392">
        <v>803</v>
      </c>
      <c r="N3392">
        <v>16674</v>
      </c>
      <c r="O3392">
        <f t="shared" si="106"/>
        <v>2024</v>
      </c>
      <c r="P3392">
        <f t="shared" si="107"/>
        <v>5</v>
      </c>
      <c r="Q3392" t="s">
        <v>325</v>
      </c>
      <c r="R3392" s="546" t="s">
        <v>804</v>
      </c>
    </row>
    <row r="3393" spans="1:18" x14ac:dyDescent="0.3">
      <c r="A3393" t="s">
        <v>627</v>
      </c>
      <c r="B3393" s="16">
        <v>45436</v>
      </c>
      <c r="C3393" t="s">
        <v>2</v>
      </c>
      <c r="D3393" t="s">
        <v>52</v>
      </c>
      <c r="E3393">
        <v>3329</v>
      </c>
      <c r="F3393">
        <v>2758</v>
      </c>
      <c r="G3393">
        <v>19</v>
      </c>
      <c r="H3393">
        <v>7</v>
      </c>
      <c r="I3393">
        <v>17167.5</v>
      </c>
      <c r="J3393">
        <v>8</v>
      </c>
      <c r="K3393">
        <v>17167.5</v>
      </c>
      <c r="L3393">
        <v>8</v>
      </c>
      <c r="M3393">
        <v>3328</v>
      </c>
      <c r="N3393">
        <v>626</v>
      </c>
      <c r="O3393">
        <f t="shared" si="106"/>
        <v>2024</v>
      </c>
      <c r="P3393">
        <f t="shared" si="107"/>
        <v>5</v>
      </c>
      <c r="Q3393" t="s">
        <v>325</v>
      </c>
      <c r="R3393" s="546" t="s">
        <v>804</v>
      </c>
    </row>
    <row r="3394" spans="1:18" x14ac:dyDescent="0.3">
      <c r="A3394" t="s">
        <v>627</v>
      </c>
      <c r="B3394" s="16">
        <v>45436</v>
      </c>
      <c r="C3394" t="s">
        <v>2</v>
      </c>
      <c r="D3394" t="s">
        <v>55</v>
      </c>
      <c r="E3394">
        <v>2573</v>
      </c>
      <c r="F3394">
        <v>2373</v>
      </c>
      <c r="G3394">
        <v>2</v>
      </c>
      <c r="H3394">
        <v>1</v>
      </c>
      <c r="I3394">
        <v>0</v>
      </c>
      <c r="J3394">
        <v>0</v>
      </c>
      <c r="K3394">
        <v>0</v>
      </c>
      <c r="L3394">
        <v>0</v>
      </c>
      <c r="M3394">
        <v>12</v>
      </c>
      <c r="N3394">
        <v>1968</v>
      </c>
      <c r="O3394">
        <f t="shared" si="106"/>
        <v>2024</v>
      </c>
      <c r="P3394">
        <f t="shared" si="107"/>
        <v>5</v>
      </c>
      <c r="Q3394" t="s">
        <v>325</v>
      </c>
      <c r="R3394" s="546" t="s">
        <v>804</v>
      </c>
    </row>
    <row r="3395" spans="1:18" x14ac:dyDescent="0.3">
      <c r="A3395" t="s">
        <v>627</v>
      </c>
      <c r="B3395" s="16">
        <v>45436</v>
      </c>
      <c r="C3395" t="s">
        <v>3</v>
      </c>
      <c r="D3395" t="s">
        <v>155</v>
      </c>
      <c r="E3395">
        <v>7</v>
      </c>
      <c r="F3395">
        <v>6</v>
      </c>
      <c r="G3395">
        <v>0</v>
      </c>
      <c r="H3395">
        <v>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7</v>
      </c>
      <c r="O3395">
        <f t="shared" si="106"/>
        <v>2024</v>
      </c>
      <c r="P3395">
        <f t="shared" si="107"/>
        <v>5</v>
      </c>
      <c r="Q3395" t="s">
        <v>325</v>
      </c>
      <c r="R3395" s="546" t="s">
        <v>804</v>
      </c>
    </row>
    <row r="3396" spans="1:18" x14ac:dyDescent="0.3">
      <c r="A3396" t="s">
        <v>627</v>
      </c>
      <c r="B3396" s="16">
        <v>45436</v>
      </c>
      <c r="C3396" t="s">
        <v>3</v>
      </c>
      <c r="D3396" t="s">
        <v>154</v>
      </c>
      <c r="E3396">
        <v>424</v>
      </c>
      <c r="F3396">
        <v>416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2</v>
      </c>
      <c r="N3396">
        <v>3</v>
      </c>
      <c r="O3396">
        <f t="shared" si="106"/>
        <v>2024</v>
      </c>
      <c r="P3396">
        <f t="shared" si="107"/>
        <v>5</v>
      </c>
      <c r="Q3396" t="s">
        <v>325</v>
      </c>
      <c r="R3396" s="546" t="s">
        <v>804</v>
      </c>
    </row>
    <row r="3397" spans="1:18" x14ac:dyDescent="0.3">
      <c r="A3397" t="s">
        <v>627</v>
      </c>
      <c r="B3397" s="16">
        <v>45436</v>
      </c>
      <c r="C3397" t="s">
        <v>3</v>
      </c>
      <c r="D3397" t="s">
        <v>153</v>
      </c>
      <c r="E3397">
        <v>440</v>
      </c>
      <c r="F3397">
        <v>118</v>
      </c>
      <c r="G3397">
        <v>41</v>
      </c>
      <c r="H3397">
        <v>6</v>
      </c>
      <c r="I3397">
        <v>133541.49</v>
      </c>
      <c r="J3397">
        <v>48</v>
      </c>
      <c r="K3397">
        <v>120528.49</v>
      </c>
      <c r="L3397">
        <v>45</v>
      </c>
      <c r="M3397">
        <v>129</v>
      </c>
      <c r="N3397">
        <v>420</v>
      </c>
      <c r="O3397">
        <f t="shared" si="106"/>
        <v>2024</v>
      </c>
      <c r="P3397">
        <f t="shared" si="107"/>
        <v>5</v>
      </c>
      <c r="Q3397" t="s">
        <v>325</v>
      </c>
      <c r="R3397" s="546" t="s">
        <v>804</v>
      </c>
    </row>
    <row r="3398" spans="1:18" x14ac:dyDescent="0.3">
      <c r="A3398" t="s">
        <v>627</v>
      </c>
      <c r="B3398" s="16">
        <v>45436</v>
      </c>
      <c r="C3398" t="s">
        <v>3</v>
      </c>
      <c r="D3398" t="s">
        <v>152</v>
      </c>
      <c r="E3398">
        <v>8</v>
      </c>
      <c r="F3398">
        <v>3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8</v>
      </c>
      <c r="O3398">
        <f t="shared" si="106"/>
        <v>2024</v>
      </c>
      <c r="P3398">
        <f t="shared" si="107"/>
        <v>5</v>
      </c>
      <c r="Q3398" t="s">
        <v>325</v>
      </c>
      <c r="R3398" s="546" t="s">
        <v>804</v>
      </c>
    </row>
    <row r="3399" spans="1:18" x14ac:dyDescent="0.3">
      <c r="A3399" t="s">
        <v>627</v>
      </c>
      <c r="B3399" s="16">
        <v>45436</v>
      </c>
      <c r="C3399" t="s">
        <v>3</v>
      </c>
      <c r="D3399" t="s">
        <v>150</v>
      </c>
      <c r="E3399">
        <v>5</v>
      </c>
      <c r="F3399">
        <v>1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1</v>
      </c>
      <c r="N3399">
        <v>5</v>
      </c>
      <c r="O3399">
        <f t="shared" si="106"/>
        <v>2024</v>
      </c>
      <c r="P3399">
        <f t="shared" si="107"/>
        <v>5</v>
      </c>
      <c r="Q3399" t="s">
        <v>325</v>
      </c>
      <c r="R3399" s="546" t="s">
        <v>804</v>
      </c>
    </row>
    <row r="3400" spans="1:18" x14ac:dyDescent="0.3">
      <c r="A3400" t="s">
        <v>627</v>
      </c>
      <c r="B3400" s="16">
        <v>45436</v>
      </c>
      <c r="C3400" t="s">
        <v>3</v>
      </c>
      <c r="D3400" t="s">
        <v>149</v>
      </c>
      <c r="E3400">
        <v>22</v>
      </c>
      <c r="F3400">
        <v>6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5</v>
      </c>
      <c r="N3400">
        <v>15</v>
      </c>
      <c r="O3400">
        <f t="shared" si="106"/>
        <v>2024</v>
      </c>
      <c r="P3400">
        <f t="shared" si="107"/>
        <v>5</v>
      </c>
      <c r="Q3400" t="s">
        <v>325</v>
      </c>
      <c r="R3400" s="546" t="s">
        <v>804</v>
      </c>
    </row>
    <row r="3401" spans="1:18" x14ac:dyDescent="0.3">
      <c r="A3401" t="s">
        <v>627</v>
      </c>
      <c r="B3401" s="16">
        <v>45436</v>
      </c>
      <c r="C3401" t="s">
        <v>3</v>
      </c>
      <c r="D3401" t="s">
        <v>148</v>
      </c>
      <c r="E3401">
        <v>1</v>
      </c>
      <c r="F3401">
        <v>1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1</v>
      </c>
      <c r="O3401">
        <f t="shared" si="106"/>
        <v>2024</v>
      </c>
      <c r="P3401">
        <f t="shared" si="107"/>
        <v>5</v>
      </c>
      <c r="Q3401" t="s">
        <v>325</v>
      </c>
      <c r="R3401" s="546" t="s">
        <v>804</v>
      </c>
    </row>
    <row r="3402" spans="1:18" x14ac:dyDescent="0.3">
      <c r="A3402" t="s">
        <v>627</v>
      </c>
      <c r="B3402" s="16">
        <v>45436</v>
      </c>
      <c r="C3402" t="s">
        <v>3</v>
      </c>
      <c r="D3402" t="s">
        <v>147</v>
      </c>
      <c r="E3402">
        <v>53</v>
      </c>
      <c r="F3402">
        <v>40</v>
      </c>
      <c r="G3402">
        <v>1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53</v>
      </c>
      <c r="O3402">
        <f t="shared" si="106"/>
        <v>2024</v>
      </c>
      <c r="P3402">
        <f t="shared" si="107"/>
        <v>5</v>
      </c>
      <c r="Q3402" t="s">
        <v>325</v>
      </c>
      <c r="R3402" s="546" t="s">
        <v>804</v>
      </c>
    </row>
    <row r="3403" spans="1:18" x14ac:dyDescent="0.3">
      <c r="A3403" t="s">
        <v>627</v>
      </c>
      <c r="B3403" s="16">
        <v>45436</v>
      </c>
      <c r="C3403" t="s">
        <v>3</v>
      </c>
      <c r="D3403" t="s">
        <v>251</v>
      </c>
      <c r="E3403">
        <v>1291</v>
      </c>
      <c r="F3403">
        <v>687</v>
      </c>
      <c r="G3403">
        <v>17</v>
      </c>
      <c r="H3403">
        <v>7</v>
      </c>
      <c r="I3403">
        <v>35734.33</v>
      </c>
      <c r="J3403">
        <v>12</v>
      </c>
      <c r="K3403">
        <v>34246.33</v>
      </c>
      <c r="L3403">
        <v>12</v>
      </c>
      <c r="M3403">
        <v>62</v>
      </c>
      <c r="N3403">
        <v>469</v>
      </c>
      <c r="O3403">
        <f t="shared" si="106"/>
        <v>2024</v>
      </c>
      <c r="P3403">
        <f t="shared" si="107"/>
        <v>5</v>
      </c>
      <c r="Q3403" t="s">
        <v>325</v>
      </c>
      <c r="R3403" s="546" t="s">
        <v>804</v>
      </c>
    </row>
    <row r="3404" spans="1:18" x14ac:dyDescent="0.3">
      <c r="A3404" t="s">
        <v>627</v>
      </c>
      <c r="B3404" s="16">
        <v>45436</v>
      </c>
      <c r="C3404" t="s">
        <v>3</v>
      </c>
      <c r="D3404" t="s">
        <v>143</v>
      </c>
      <c r="E3404">
        <v>11</v>
      </c>
      <c r="F3404">
        <v>11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11</v>
      </c>
      <c r="O3404">
        <f t="shared" si="106"/>
        <v>2024</v>
      </c>
      <c r="P3404">
        <f t="shared" si="107"/>
        <v>5</v>
      </c>
      <c r="Q3404" t="s">
        <v>325</v>
      </c>
      <c r="R3404" s="546" t="s">
        <v>804</v>
      </c>
    </row>
    <row r="3405" spans="1:18" x14ac:dyDescent="0.3">
      <c r="A3405" t="s">
        <v>627</v>
      </c>
      <c r="B3405" s="16">
        <v>45436</v>
      </c>
      <c r="C3405" t="s">
        <v>3</v>
      </c>
      <c r="D3405" t="s">
        <v>142</v>
      </c>
      <c r="E3405">
        <v>16</v>
      </c>
      <c r="F3405">
        <v>4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2</v>
      </c>
      <c r="N3405">
        <v>16</v>
      </c>
      <c r="O3405">
        <f t="shared" si="106"/>
        <v>2024</v>
      </c>
      <c r="P3405">
        <f t="shared" si="107"/>
        <v>5</v>
      </c>
      <c r="Q3405" t="s">
        <v>325</v>
      </c>
      <c r="R3405" s="546" t="s">
        <v>804</v>
      </c>
    </row>
    <row r="3406" spans="1:18" x14ac:dyDescent="0.3">
      <c r="A3406" t="s">
        <v>627</v>
      </c>
      <c r="B3406" s="16">
        <v>45436</v>
      </c>
      <c r="C3406" t="s">
        <v>3</v>
      </c>
      <c r="D3406" t="s">
        <v>141</v>
      </c>
      <c r="E3406">
        <v>1</v>
      </c>
      <c r="F3406">
        <v>1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1</v>
      </c>
      <c r="N3406">
        <v>0</v>
      </c>
      <c r="O3406">
        <f t="shared" si="106"/>
        <v>2024</v>
      </c>
      <c r="P3406">
        <f t="shared" si="107"/>
        <v>5</v>
      </c>
      <c r="Q3406" t="s">
        <v>325</v>
      </c>
      <c r="R3406" s="546" t="s">
        <v>804</v>
      </c>
    </row>
    <row r="3407" spans="1:18" x14ac:dyDescent="0.3">
      <c r="A3407" t="s">
        <v>627</v>
      </c>
      <c r="B3407" s="16">
        <v>45436</v>
      </c>
      <c r="C3407" t="s">
        <v>3</v>
      </c>
      <c r="D3407" t="s">
        <v>140</v>
      </c>
      <c r="E3407">
        <v>5</v>
      </c>
      <c r="F3407">
        <v>5</v>
      </c>
      <c r="G3407">
        <v>1</v>
      </c>
      <c r="H3407">
        <v>0</v>
      </c>
      <c r="I3407">
        <v>9840</v>
      </c>
      <c r="J3407">
        <v>2</v>
      </c>
      <c r="K3407">
        <v>7242.5</v>
      </c>
      <c r="L3407">
        <v>2</v>
      </c>
      <c r="M3407">
        <v>0</v>
      </c>
      <c r="N3407">
        <v>5</v>
      </c>
      <c r="O3407">
        <f t="shared" si="106"/>
        <v>2024</v>
      </c>
      <c r="P3407">
        <f t="shared" si="107"/>
        <v>5</v>
      </c>
      <c r="Q3407" t="s">
        <v>325</v>
      </c>
      <c r="R3407" s="546" t="s">
        <v>804</v>
      </c>
    </row>
    <row r="3408" spans="1:18" x14ac:dyDescent="0.3">
      <c r="A3408" t="s">
        <v>627</v>
      </c>
      <c r="B3408" s="16">
        <v>45436</v>
      </c>
      <c r="C3408" t="s">
        <v>3</v>
      </c>
      <c r="D3408" t="s">
        <v>139</v>
      </c>
      <c r="E3408">
        <v>536</v>
      </c>
      <c r="F3408">
        <v>246</v>
      </c>
      <c r="G3408">
        <v>26</v>
      </c>
      <c r="H3408">
        <v>6</v>
      </c>
      <c r="I3408">
        <v>19195</v>
      </c>
      <c r="J3408">
        <v>9</v>
      </c>
      <c r="K3408">
        <v>19195</v>
      </c>
      <c r="L3408">
        <v>9</v>
      </c>
      <c r="M3408">
        <v>303</v>
      </c>
      <c r="N3408">
        <v>364</v>
      </c>
      <c r="O3408">
        <f t="shared" si="106"/>
        <v>2024</v>
      </c>
      <c r="P3408">
        <f t="shared" si="107"/>
        <v>5</v>
      </c>
      <c r="Q3408" t="s">
        <v>325</v>
      </c>
      <c r="R3408" s="546" t="s">
        <v>804</v>
      </c>
    </row>
    <row r="3409" spans="1:18" x14ac:dyDescent="0.3">
      <c r="A3409" t="s">
        <v>627</v>
      </c>
      <c r="B3409" s="16">
        <v>45436</v>
      </c>
      <c r="C3409" t="s">
        <v>3</v>
      </c>
      <c r="D3409" t="s">
        <v>138</v>
      </c>
      <c r="E3409">
        <v>20</v>
      </c>
      <c r="F3409">
        <v>10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4</v>
      </c>
      <c r="N3409">
        <v>18</v>
      </c>
      <c r="O3409">
        <f t="shared" si="106"/>
        <v>2024</v>
      </c>
      <c r="P3409">
        <f t="shared" si="107"/>
        <v>5</v>
      </c>
      <c r="Q3409" t="s">
        <v>325</v>
      </c>
      <c r="R3409" s="546" t="s">
        <v>804</v>
      </c>
    </row>
    <row r="3410" spans="1:18" x14ac:dyDescent="0.3">
      <c r="A3410" t="s">
        <v>627</v>
      </c>
      <c r="B3410" s="16">
        <v>45436</v>
      </c>
      <c r="C3410" t="s">
        <v>3</v>
      </c>
      <c r="D3410" t="s">
        <v>137</v>
      </c>
      <c r="E3410">
        <v>4</v>
      </c>
      <c r="F3410">
        <v>2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1</v>
      </c>
      <c r="N3410">
        <v>4</v>
      </c>
      <c r="O3410">
        <f t="shared" si="106"/>
        <v>2024</v>
      </c>
      <c r="P3410">
        <f t="shared" si="107"/>
        <v>5</v>
      </c>
      <c r="Q3410" t="s">
        <v>325</v>
      </c>
      <c r="R3410" s="546" t="s">
        <v>804</v>
      </c>
    </row>
    <row r="3411" spans="1:18" x14ac:dyDescent="0.3">
      <c r="A3411" t="s">
        <v>627</v>
      </c>
      <c r="B3411" s="16">
        <v>45436</v>
      </c>
      <c r="C3411" t="s">
        <v>3</v>
      </c>
      <c r="D3411" t="s">
        <v>135</v>
      </c>
      <c r="E3411">
        <v>1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f t="shared" si="106"/>
        <v>2024</v>
      </c>
      <c r="P3411">
        <f t="shared" si="107"/>
        <v>5</v>
      </c>
      <c r="Q3411" t="s">
        <v>325</v>
      </c>
      <c r="R3411" s="546" t="s">
        <v>804</v>
      </c>
    </row>
    <row r="3412" spans="1:18" x14ac:dyDescent="0.3">
      <c r="A3412" t="s">
        <v>627</v>
      </c>
      <c r="B3412" s="16">
        <v>45436</v>
      </c>
      <c r="C3412" t="s">
        <v>3</v>
      </c>
      <c r="D3412" t="s">
        <v>133</v>
      </c>
      <c r="E3412">
        <v>25</v>
      </c>
      <c r="F3412">
        <v>10</v>
      </c>
      <c r="G3412">
        <v>3</v>
      </c>
      <c r="H3412">
        <v>0</v>
      </c>
      <c r="I3412">
        <v>2583</v>
      </c>
      <c r="J3412">
        <v>2</v>
      </c>
      <c r="K3412">
        <v>2583</v>
      </c>
      <c r="L3412">
        <v>2</v>
      </c>
      <c r="M3412">
        <v>6</v>
      </c>
      <c r="N3412">
        <v>22</v>
      </c>
      <c r="O3412">
        <f t="shared" si="106"/>
        <v>2024</v>
      </c>
      <c r="P3412">
        <f t="shared" si="107"/>
        <v>5</v>
      </c>
      <c r="Q3412" t="s">
        <v>325</v>
      </c>
      <c r="R3412" s="546" t="s">
        <v>804</v>
      </c>
    </row>
    <row r="3413" spans="1:18" x14ac:dyDescent="0.3">
      <c r="A3413" t="s">
        <v>627</v>
      </c>
      <c r="B3413" s="16">
        <v>45436</v>
      </c>
      <c r="C3413" t="s">
        <v>3</v>
      </c>
      <c r="D3413" t="s">
        <v>130</v>
      </c>
      <c r="E3413">
        <v>103</v>
      </c>
      <c r="F3413">
        <v>48</v>
      </c>
      <c r="G3413">
        <v>19</v>
      </c>
      <c r="H3413">
        <v>2</v>
      </c>
      <c r="I3413">
        <v>31595</v>
      </c>
      <c r="J3413">
        <v>8</v>
      </c>
      <c r="K3413">
        <v>30107</v>
      </c>
      <c r="L3413">
        <v>8</v>
      </c>
      <c r="M3413">
        <v>50</v>
      </c>
      <c r="N3413">
        <v>96</v>
      </c>
      <c r="O3413">
        <f t="shared" si="106"/>
        <v>2024</v>
      </c>
      <c r="P3413">
        <f t="shared" si="107"/>
        <v>5</v>
      </c>
      <c r="Q3413" t="s">
        <v>325</v>
      </c>
      <c r="R3413" s="546" t="s">
        <v>804</v>
      </c>
    </row>
    <row r="3414" spans="1:18" x14ac:dyDescent="0.3">
      <c r="A3414" t="s">
        <v>627</v>
      </c>
      <c r="B3414" s="16">
        <v>45436</v>
      </c>
      <c r="C3414" t="s">
        <v>3</v>
      </c>
      <c r="D3414" t="s">
        <v>128</v>
      </c>
      <c r="E3414">
        <v>799</v>
      </c>
      <c r="F3414">
        <v>599</v>
      </c>
      <c r="G3414">
        <v>53</v>
      </c>
      <c r="H3414">
        <v>14</v>
      </c>
      <c r="I3414">
        <v>51489.83</v>
      </c>
      <c r="J3414">
        <v>19</v>
      </c>
      <c r="K3414">
        <v>45167.33</v>
      </c>
      <c r="L3414">
        <v>17</v>
      </c>
      <c r="M3414">
        <v>218</v>
      </c>
      <c r="N3414">
        <v>721</v>
      </c>
      <c r="O3414">
        <f t="shared" si="106"/>
        <v>2024</v>
      </c>
      <c r="P3414">
        <f t="shared" si="107"/>
        <v>5</v>
      </c>
      <c r="Q3414" t="s">
        <v>325</v>
      </c>
      <c r="R3414" s="546" t="s">
        <v>804</v>
      </c>
    </row>
    <row r="3415" spans="1:18" x14ac:dyDescent="0.3">
      <c r="A3415" t="s">
        <v>627</v>
      </c>
      <c r="B3415" s="16">
        <v>45436</v>
      </c>
      <c r="C3415" t="s">
        <v>3</v>
      </c>
      <c r="D3415" t="s">
        <v>127</v>
      </c>
      <c r="E3415">
        <v>3314</v>
      </c>
      <c r="F3415">
        <v>2314</v>
      </c>
      <c r="G3415">
        <v>132</v>
      </c>
      <c r="H3415">
        <v>59</v>
      </c>
      <c r="I3415">
        <v>50433.05</v>
      </c>
      <c r="J3415">
        <v>24</v>
      </c>
      <c r="K3415">
        <v>47453.05</v>
      </c>
      <c r="L3415">
        <v>22</v>
      </c>
      <c r="M3415">
        <v>500</v>
      </c>
      <c r="N3415">
        <v>3027</v>
      </c>
      <c r="O3415">
        <f t="shared" si="106"/>
        <v>2024</v>
      </c>
      <c r="P3415">
        <f t="shared" si="107"/>
        <v>5</v>
      </c>
      <c r="Q3415" t="s">
        <v>325</v>
      </c>
      <c r="R3415" s="546" t="s">
        <v>804</v>
      </c>
    </row>
    <row r="3416" spans="1:18" x14ac:dyDescent="0.3">
      <c r="A3416" t="s">
        <v>627</v>
      </c>
      <c r="B3416" s="16">
        <v>45436</v>
      </c>
      <c r="C3416" t="s">
        <v>3</v>
      </c>
      <c r="D3416" t="s">
        <v>126</v>
      </c>
      <c r="E3416">
        <v>99</v>
      </c>
      <c r="F3416">
        <v>71</v>
      </c>
      <c r="G3416">
        <v>2</v>
      </c>
      <c r="H3416">
        <v>4</v>
      </c>
      <c r="I3416">
        <v>5991</v>
      </c>
      <c r="J3416">
        <v>2</v>
      </c>
      <c r="K3416">
        <v>5991</v>
      </c>
      <c r="L3416">
        <v>2</v>
      </c>
      <c r="M3416">
        <v>22</v>
      </c>
      <c r="N3416">
        <v>96</v>
      </c>
      <c r="O3416">
        <f t="shared" si="106"/>
        <v>2024</v>
      </c>
      <c r="P3416">
        <f t="shared" si="107"/>
        <v>5</v>
      </c>
      <c r="Q3416" t="s">
        <v>325</v>
      </c>
      <c r="R3416" s="546" t="s">
        <v>804</v>
      </c>
    </row>
    <row r="3417" spans="1:18" x14ac:dyDescent="0.3">
      <c r="A3417" t="s">
        <v>627</v>
      </c>
      <c r="B3417" s="16">
        <v>45436</v>
      </c>
      <c r="C3417" t="s">
        <v>3</v>
      </c>
      <c r="D3417" t="s">
        <v>125</v>
      </c>
      <c r="E3417">
        <v>9</v>
      </c>
      <c r="F3417">
        <v>3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6</v>
      </c>
      <c r="N3417">
        <v>9</v>
      </c>
      <c r="O3417">
        <f t="shared" si="106"/>
        <v>2024</v>
      </c>
      <c r="P3417">
        <f t="shared" si="107"/>
        <v>5</v>
      </c>
      <c r="Q3417" t="s">
        <v>325</v>
      </c>
      <c r="R3417" s="546" t="s">
        <v>804</v>
      </c>
    </row>
    <row r="3418" spans="1:18" x14ac:dyDescent="0.3">
      <c r="A3418" t="s">
        <v>627</v>
      </c>
      <c r="B3418" s="16">
        <v>45436</v>
      </c>
      <c r="C3418" t="s">
        <v>3</v>
      </c>
      <c r="D3418" t="s">
        <v>124</v>
      </c>
      <c r="E3418">
        <v>1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f t="shared" si="106"/>
        <v>2024</v>
      </c>
      <c r="P3418">
        <f t="shared" si="107"/>
        <v>5</v>
      </c>
      <c r="Q3418" t="s">
        <v>325</v>
      </c>
      <c r="R3418" s="546" t="s">
        <v>804</v>
      </c>
    </row>
    <row r="3419" spans="1:18" x14ac:dyDescent="0.3">
      <c r="A3419" t="s">
        <v>627</v>
      </c>
      <c r="B3419" s="16">
        <v>45436</v>
      </c>
      <c r="C3419" t="s">
        <v>3</v>
      </c>
      <c r="D3419" t="s">
        <v>123</v>
      </c>
      <c r="E3419">
        <v>193</v>
      </c>
      <c r="F3419">
        <v>98</v>
      </c>
      <c r="G3419">
        <v>19</v>
      </c>
      <c r="H3419">
        <v>7</v>
      </c>
      <c r="I3419">
        <v>5570.5</v>
      </c>
      <c r="J3419">
        <v>3</v>
      </c>
      <c r="K3419">
        <v>5570.5</v>
      </c>
      <c r="L3419">
        <v>3</v>
      </c>
      <c r="M3419">
        <v>66</v>
      </c>
      <c r="N3419">
        <v>170</v>
      </c>
      <c r="O3419">
        <f t="shared" si="106"/>
        <v>2024</v>
      </c>
      <c r="P3419">
        <f t="shared" si="107"/>
        <v>5</v>
      </c>
      <c r="Q3419" t="s">
        <v>325</v>
      </c>
      <c r="R3419" s="546" t="s">
        <v>804</v>
      </c>
    </row>
    <row r="3420" spans="1:18" x14ac:dyDescent="0.3">
      <c r="A3420" t="s">
        <v>627</v>
      </c>
      <c r="B3420" s="16">
        <v>45436</v>
      </c>
      <c r="C3420" t="s">
        <v>3</v>
      </c>
      <c r="D3420" t="s">
        <v>120</v>
      </c>
      <c r="E3420">
        <v>582</v>
      </c>
      <c r="F3420">
        <v>348</v>
      </c>
      <c r="G3420">
        <v>8</v>
      </c>
      <c r="H3420">
        <v>0</v>
      </c>
      <c r="I3420">
        <v>7718</v>
      </c>
      <c r="J3420">
        <v>4</v>
      </c>
      <c r="K3420">
        <v>7718</v>
      </c>
      <c r="L3420">
        <v>4</v>
      </c>
      <c r="M3420">
        <v>67</v>
      </c>
      <c r="N3420">
        <v>574</v>
      </c>
      <c r="O3420">
        <f t="shared" si="106"/>
        <v>2024</v>
      </c>
      <c r="P3420">
        <f t="shared" si="107"/>
        <v>5</v>
      </c>
      <c r="Q3420" t="s">
        <v>325</v>
      </c>
      <c r="R3420" s="546" t="s">
        <v>804</v>
      </c>
    </row>
    <row r="3421" spans="1:18" x14ac:dyDescent="0.3">
      <c r="A3421" t="s">
        <v>627</v>
      </c>
      <c r="B3421" s="16">
        <v>45436</v>
      </c>
      <c r="C3421" t="s">
        <v>3</v>
      </c>
      <c r="D3421" t="s">
        <v>119</v>
      </c>
      <c r="E3421">
        <v>366</v>
      </c>
      <c r="F3421">
        <v>90</v>
      </c>
      <c r="G3421">
        <v>35</v>
      </c>
      <c r="H3421">
        <v>5</v>
      </c>
      <c r="I3421">
        <v>46947.45</v>
      </c>
      <c r="J3421">
        <v>18</v>
      </c>
      <c r="K3421">
        <v>36975.449999999997</v>
      </c>
      <c r="L3421">
        <v>16</v>
      </c>
      <c r="M3421">
        <v>110</v>
      </c>
      <c r="N3421">
        <v>349</v>
      </c>
      <c r="O3421">
        <f t="shared" si="106"/>
        <v>2024</v>
      </c>
      <c r="P3421">
        <f t="shared" si="107"/>
        <v>5</v>
      </c>
      <c r="Q3421" t="s">
        <v>325</v>
      </c>
      <c r="R3421" s="546" t="s">
        <v>804</v>
      </c>
    </row>
    <row r="3422" spans="1:18" x14ac:dyDescent="0.3">
      <c r="A3422" t="s">
        <v>627</v>
      </c>
      <c r="B3422" s="16">
        <v>45436</v>
      </c>
      <c r="C3422" t="s">
        <v>3</v>
      </c>
      <c r="D3422" t="s">
        <v>115</v>
      </c>
      <c r="E3422">
        <v>4</v>
      </c>
      <c r="F3422">
        <v>1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4</v>
      </c>
      <c r="O3422">
        <f t="shared" si="106"/>
        <v>2024</v>
      </c>
      <c r="P3422">
        <f t="shared" si="107"/>
        <v>5</v>
      </c>
      <c r="Q3422" t="s">
        <v>325</v>
      </c>
      <c r="R3422" s="546" t="s">
        <v>804</v>
      </c>
    </row>
    <row r="3423" spans="1:18" x14ac:dyDescent="0.3">
      <c r="A3423" t="s">
        <v>627</v>
      </c>
      <c r="B3423" s="16">
        <v>45436</v>
      </c>
      <c r="C3423" t="s">
        <v>3</v>
      </c>
      <c r="D3423" t="s">
        <v>114</v>
      </c>
      <c r="E3423">
        <v>131</v>
      </c>
      <c r="F3423">
        <v>57</v>
      </c>
      <c r="G3423">
        <v>4</v>
      </c>
      <c r="H3423">
        <v>3</v>
      </c>
      <c r="I3423">
        <v>2237</v>
      </c>
      <c r="J3423">
        <v>1</v>
      </c>
      <c r="K3423">
        <v>2237</v>
      </c>
      <c r="L3423">
        <v>1</v>
      </c>
      <c r="M3423">
        <v>24</v>
      </c>
      <c r="N3423">
        <v>118</v>
      </c>
      <c r="O3423">
        <f t="shared" si="106"/>
        <v>2024</v>
      </c>
      <c r="P3423">
        <f t="shared" si="107"/>
        <v>5</v>
      </c>
      <c r="Q3423" t="s">
        <v>325</v>
      </c>
      <c r="R3423" s="546" t="s">
        <v>804</v>
      </c>
    </row>
    <row r="3424" spans="1:18" x14ac:dyDescent="0.3">
      <c r="A3424" t="s">
        <v>627</v>
      </c>
      <c r="B3424" s="16">
        <v>45436</v>
      </c>
      <c r="C3424" t="s">
        <v>3</v>
      </c>
      <c r="D3424" t="s">
        <v>113</v>
      </c>
      <c r="E3424">
        <v>123</v>
      </c>
      <c r="F3424">
        <v>47</v>
      </c>
      <c r="G3424">
        <v>5</v>
      </c>
      <c r="H3424">
        <v>3</v>
      </c>
      <c r="I3424">
        <v>1640</v>
      </c>
      <c r="J3424">
        <v>1</v>
      </c>
      <c r="K3424">
        <v>820</v>
      </c>
      <c r="L3424">
        <v>1</v>
      </c>
      <c r="M3424">
        <v>78</v>
      </c>
      <c r="N3424">
        <v>79</v>
      </c>
      <c r="O3424">
        <f t="shared" si="106"/>
        <v>2024</v>
      </c>
      <c r="P3424">
        <f t="shared" si="107"/>
        <v>5</v>
      </c>
      <c r="Q3424" t="s">
        <v>325</v>
      </c>
      <c r="R3424" s="546" t="s">
        <v>804</v>
      </c>
    </row>
    <row r="3425" spans="1:18" x14ac:dyDescent="0.3">
      <c r="A3425" t="s">
        <v>627</v>
      </c>
      <c r="B3425" s="16">
        <v>45436</v>
      </c>
      <c r="C3425" t="s">
        <v>3</v>
      </c>
      <c r="D3425" t="s">
        <v>112</v>
      </c>
      <c r="E3425">
        <v>8</v>
      </c>
      <c r="F3425">
        <v>5</v>
      </c>
      <c r="G3425">
        <v>1</v>
      </c>
      <c r="H3425">
        <v>0</v>
      </c>
      <c r="I3425">
        <v>4791</v>
      </c>
      <c r="J3425">
        <v>3</v>
      </c>
      <c r="K3425">
        <v>4791</v>
      </c>
      <c r="L3425">
        <v>3</v>
      </c>
      <c r="M3425">
        <v>0</v>
      </c>
      <c r="N3425">
        <v>8</v>
      </c>
      <c r="O3425">
        <f t="shared" si="106"/>
        <v>2024</v>
      </c>
      <c r="P3425">
        <f t="shared" si="107"/>
        <v>5</v>
      </c>
      <c r="Q3425" t="s">
        <v>325</v>
      </c>
      <c r="R3425" s="546" t="s">
        <v>804</v>
      </c>
    </row>
    <row r="3426" spans="1:18" x14ac:dyDescent="0.3">
      <c r="A3426" t="s">
        <v>627</v>
      </c>
      <c r="B3426" s="16">
        <v>45436</v>
      </c>
      <c r="C3426" t="s">
        <v>3</v>
      </c>
      <c r="D3426" t="s">
        <v>111</v>
      </c>
      <c r="E3426">
        <v>19</v>
      </c>
      <c r="F3426">
        <v>10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1</v>
      </c>
      <c r="N3426">
        <v>19</v>
      </c>
      <c r="O3426">
        <f t="shared" si="106"/>
        <v>2024</v>
      </c>
      <c r="P3426">
        <f t="shared" si="107"/>
        <v>5</v>
      </c>
      <c r="Q3426" t="s">
        <v>325</v>
      </c>
      <c r="R3426" s="546" t="s">
        <v>804</v>
      </c>
    </row>
    <row r="3427" spans="1:18" x14ac:dyDescent="0.3">
      <c r="A3427" t="s">
        <v>627</v>
      </c>
      <c r="B3427" s="16">
        <v>45435</v>
      </c>
      <c r="C3427" t="s">
        <v>2</v>
      </c>
      <c r="D3427" t="s">
        <v>4</v>
      </c>
      <c r="E3427">
        <v>361</v>
      </c>
      <c r="F3427">
        <v>96</v>
      </c>
      <c r="G3427">
        <v>0</v>
      </c>
      <c r="H3427">
        <v>0</v>
      </c>
      <c r="I3427">
        <v>2980</v>
      </c>
      <c r="J3427">
        <v>2</v>
      </c>
      <c r="K3427">
        <v>2980</v>
      </c>
      <c r="L3427">
        <v>2</v>
      </c>
      <c r="M3427">
        <v>13</v>
      </c>
      <c r="N3427">
        <v>346</v>
      </c>
      <c r="O3427">
        <f t="shared" si="106"/>
        <v>2024</v>
      </c>
      <c r="P3427">
        <f t="shared" si="107"/>
        <v>5</v>
      </c>
      <c r="Q3427" t="s">
        <v>325</v>
      </c>
      <c r="R3427" s="546" t="s">
        <v>804</v>
      </c>
    </row>
    <row r="3428" spans="1:18" x14ac:dyDescent="0.3">
      <c r="A3428" t="s">
        <v>627</v>
      </c>
      <c r="B3428" s="16">
        <v>45435</v>
      </c>
      <c r="C3428" t="s">
        <v>2</v>
      </c>
      <c r="D3428" t="s">
        <v>57</v>
      </c>
      <c r="E3428">
        <v>20374</v>
      </c>
      <c r="F3428">
        <v>11570</v>
      </c>
      <c r="G3428">
        <v>201</v>
      </c>
      <c r="H3428">
        <v>94</v>
      </c>
      <c r="I3428">
        <v>141077.73000000001</v>
      </c>
      <c r="J3428">
        <v>42</v>
      </c>
      <c r="K3428">
        <v>118705.73</v>
      </c>
      <c r="L3428">
        <v>36</v>
      </c>
      <c r="M3428">
        <v>849</v>
      </c>
      <c r="N3428">
        <v>20334</v>
      </c>
      <c r="O3428">
        <f t="shared" si="106"/>
        <v>2024</v>
      </c>
      <c r="P3428">
        <f t="shared" si="107"/>
        <v>5</v>
      </c>
      <c r="Q3428" t="s">
        <v>325</v>
      </c>
      <c r="R3428" s="546" t="s">
        <v>804</v>
      </c>
    </row>
    <row r="3429" spans="1:18" x14ac:dyDescent="0.3">
      <c r="A3429" t="s">
        <v>627</v>
      </c>
      <c r="B3429" s="16">
        <v>45435</v>
      </c>
      <c r="C3429" t="s">
        <v>2</v>
      </c>
      <c r="D3429" t="s">
        <v>52</v>
      </c>
      <c r="E3429">
        <v>3213</v>
      </c>
      <c r="F3429">
        <v>2596</v>
      </c>
      <c r="G3429">
        <v>23</v>
      </c>
      <c r="H3429">
        <v>6</v>
      </c>
      <c r="I3429">
        <v>23670.5</v>
      </c>
      <c r="J3429">
        <v>7</v>
      </c>
      <c r="K3429">
        <v>17159.5</v>
      </c>
      <c r="L3429">
        <v>6</v>
      </c>
      <c r="M3429">
        <v>3213</v>
      </c>
      <c r="N3429">
        <v>667</v>
      </c>
      <c r="O3429">
        <f t="shared" si="106"/>
        <v>2024</v>
      </c>
      <c r="P3429">
        <f t="shared" si="107"/>
        <v>5</v>
      </c>
      <c r="Q3429" t="s">
        <v>325</v>
      </c>
      <c r="R3429" s="546" t="s">
        <v>804</v>
      </c>
    </row>
    <row r="3430" spans="1:18" x14ac:dyDescent="0.3">
      <c r="A3430" t="s">
        <v>627</v>
      </c>
      <c r="B3430" s="16">
        <v>45435</v>
      </c>
      <c r="C3430" t="s">
        <v>2</v>
      </c>
      <c r="D3430" t="s">
        <v>55</v>
      </c>
      <c r="E3430">
        <v>2271</v>
      </c>
      <c r="F3430">
        <v>2049</v>
      </c>
      <c r="G3430">
        <v>5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9</v>
      </c>
      <c r="N3430">
        <v>861</v>
      </c>
      <c r="O3430">
        <f t="shared" si="106"/>
        <v>2024</v>
      </c>
      <c r="P3430">
        <f t="shared" si="107"/>
        <v>5</v>
      </c>
      <c r="Q3430" t="s">
        <v>325</v>
      </c>
      <c r="R3430" s="546" t="s">
        <v>804</v>
      </c>
    </row>
    <row r="3431" spans="1:18" x14ac:dyDescent="0.3">
      <c r="A3431" t="s">
        <v>627</v>
      </c>
      <c r="B3431" s="16">
        <v>45435</v>
      </c>
      <c r="C3431" t="s">
        <v>3</v>
      </c>
      <c r="D3431" t="s">
        <v>155</v>
      </c>
      <c r="E3431">
        <v>7</v>
      </c>
      <c r="F3431">
        <v>5</v>
      </c>
      <c r="G3431">
        <v>0</v>
      </c>
      <c r="H3431">
        <v>1</v>
      </c>
      <c r="I3431">
        <v>0</v>
      </c>
      <c r="J3431">
        <v>0</v>
      </c>
      <c r="K3431">
        <v>0</v>
      </c>
      <c r="L3431">
        <v>0</v>
      </c>
      <c r="M3431">
        <v>1</v>
      </c>
      <c r="N3431">
        <v>7</v>
      </c>
      <c r="O3431">
        <f t="shared" si="106"/>
        <v>2024</v>
      </c>
      <c r="P3431">
        <f t="shared" si="107"/>
        <v>5</v>
      </c>
      <c r="Q3431" t="s">
        <v>325</v>
      </c>
      <c r="R3431" s="546" t="s">
        <v>804</v>
      </c>
    </row>
    <row r="3432" spans="1:18" x14ac:dyDescent="0.3">
      <c r="A3432" t="s">
        <v>627</v>
      </c>
      <c r="B3432" s="16">
        <v>45435</v>
      </c>
      <c r="C3432" t="s">
        <v>3</v>
      </c>
      <c r="D3432" t="s">
        <v>154</v>
      </c>
      <c r="E3432">
        <v>413</v>
      </c>
      <c r="F3432">
        <v>404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1</v>
      </c>
      <c r="O3432">
        <f t="shared" si="106"/>
        <v>2024</v>
      </c>
      <c r="P3432">
        <f t="shared" si="107"/>
        <v>5</v>
      </c>
      <c r="Q3432" t="s">
        <v>325</v>
      </c>
      <c r="R3432" s="546" t="s">
        <v>804</v>
      </c>
    </row>
    <row r="3433" spans="1:18" x14ac:dyDescent="0.3">
      <c r="A3433" t="s">
        <v>627</v>
      </c>
      <c r="B3433" s="16">
        <v>45435</v>
      </c>
      <c r="C3433" t="s">
        <v>3</v>
      </c>
      <c r="D3433" t="s">
        <v>153</v>
      </c>
      <c r="E3433">
        <v>472</v>
      </c>
      <c r="F3433">
        <v>135</v>
      </c>
      <c r="G3433">
        <v>55</v>
      </c>
      <c r="H3433">
        <v>5</v>
      </c>
      <c r="I3433">
        <v>138618.31</v>
      </c>
      <c r="J3433">
        <v>49</v>
      </c>
      <c r="K3433">
        <v>127291.81</v>
      </c>
      <c r="L3433">
        <v>47</v>
      </c>
      <c r="M3433">
        <v>140</v>
      </c>
      <c r="N3433">
        <v>442</v>
      </c>
      <c r="O3433">
        <f t="shared" si="106"/>
        <v>2024</v>
      </c>
      <c r="P3433">
        <f t="shared" si="107"/>
        <v>5</v>
      </c>
      <c r="Q3433" t="s">
        <v>325</v>
      </c>
      <c r="R3433" s="546" t="s">
        <v>804</v>
      </c>
    </row>
    <row r="3434" spans="1:18" x14ac:dyDescent="0.3">
      <c r="A3434" t="s">
        <v>627</v>
      </c>
      <c r="B3434" s="16">
        <v>45435</v>
      </c>
      <c r="C3434" t="s">
        <v>3</v>
      </c>
      <c r="D3434" t="s">
        <v>152</v>
      </c>
      <c r="E3434">
        <v>31</v>
      </c>
      <c r="F3434">
        <v>26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1</v>
      </c>
      <c r="N3434">
        <v>6</v>
      </c>
      <c r="O3434">
        <f t="shared" si="106"/>
        <v>2024</v>
      </c>
      <c r="P3434">
        <f t="shared" si="107"/>
        <v>5</v>
      </c>
      <c r="Q3434" t="s">
        <v>325</v>
      </c>
      <c r="R3434" s="546" t="s">
        <v>804</v>
      </c>
    </row>
    <row r="3435" spans="1:18" x14ac:dyDescent="0.3">
      <c r="A3435" t="s">
        <v>627</v>
      </c>
      <c r="B3435" s="16">
        <v>45435</v>
      </c>
      <c r="C3435" t="s">
        <v>3</v>
      </c>
      <c r="D3435" t="s">
        <v>150</v>
      </c>
      <c r="E3435">
        <v>3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1</v>
      </c>
      <c r="N3435">
        <v>3</v>
      </c>
      <c r="O3435">
        <f t="shared" si="106"/>
        <v>2024</v>
      </c>
      <c r="P3435">
        <f t="shared" si="107"/>
        <v>5</v>
      </c>
      <c r="Q3435" t="s">
        <v>325</v>
      </c>
      <c r="R3435" s="546" t="s">
        <v>804</v>
      </c>
    </row>
    <row r="3436" spans="1:18" x14ac:dyDescent="0.3">
      <c r="A3436" t="s">
        <v>627</v>
      </c>
      <c r="B3436" s="16">
        <v>45435</v>
      </c>
      <c r="C3436" t="s">
        <v>3</v>
      </c>
      <c r="D3436" t="s">
        <v>149</v>
      </c>
      <c r="E3436">
        <v>81</v>
      </c>
      <c r="F3436">
        <v>66</v>
      </c>
      <c r="G3436">
        <v>2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4</v>
      </c>
      <c r="N3436">
        <v>18</v>
      </c>
      <c r="O3436">
        <f t="shared" si="106"/>
        <v>2024</v>
      </c>
      <c r="P3436">
        <f t="shared" si="107"/>
        <v>5</v>
      </c>
      <c r="Q3436" t="s">
        <v>325</v>
      </c>
      <c r="R3436" s="546" t="s">
        <v>804</v>
      </c>
    </row>
    <row r="3437" spans="1:18" x14ac:dyDescent="0.3">
      <c r="A3437" t="s">
        <v>627</v>
      </c>
      <c r="B3437" s="16">
        <v>45435</v>
      </c>
      <c r="C3437" t="s">
        <v>3</v>
      </c>
      <c r="D3437" t="s">
        <v>148</v>
      </c>
      <c r="E3437">
        <v>1</v>
      </c>
      <c r="F3437">
        <v>1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1</v>
      </c>
      <c r="O3437">
        <f t="shared" si="106"/>
        <v>2024</v>
      </c>
      <c r="P3437">
        <f t="shared" si="107"/>
        <v>5</v>
      </c>
      <c r="Q3437" t="s">
        <v>325</v>
      </c>
      <c r="R3437" s="546" t="s">
        <v>804</v>
      </c>
    </row>
    <row r="3438" spans="1:18" x14ac:dyDescent="0.3">
      <c r="A3438" t="s">
        <v>627</v>
      </c>
      <c r="B3438" s="16">
        <v>45435</v>
      </c>
      <c r="C3438" t="s">
        <v>3</v>
      </c>
      <c r="D3438" t="s">
        <v>147</v>
      </c>
      <c r="E3438">
        <v>54</v>
      </c>
      <c r="F3438">
        <v>40</v>
      </c>
      <c r="G3438">
        <v>2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1</v>
      </c>
      <c r="N3438">
        <v>54</v>
      </c>
      <c r="O3438">
        <f t="shared" si="106"/>
        <v>2024</v>
      </c>
      <c r="P3438">
        <f t="shared" si="107"/>
        <v>5</v>
      </c>
      <c r="Q3438" t="s">
        <v>325</v>
      </c>
      <c r="R3438" s="546" t="s">
        <v>804</v>
      </c>
    </row>
    <row r="3439" spans="1:18" x14ac:dyDescent="0.3">
      <c r="A3439" t="s">
        <v>627</v>
      </c>
      <c r="B3439" s="16">
        <v>45435</v>
      </c>
      <c r="C3439" t="s">
        <v>3</v>
      </c>
      <c r="D3439" t="s">
        <v>144</v>
      </c>
      <c r="E3439">
        <v>2</v>
      </c>
      <c r="F3439">
        <v>2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f t="shared" ref="O3439:O3502" si="108">YEAR(B3439)</f>
        <v>2024</v>
      </c>
      <c r="P3439">
        <f t="shared" ref="P3439:P3502" si="109">MONTH(B3439)</f>
        <v>5</v>
      </c>
      <c r="Q3439" t="s">
        <v>325</v>
      </c>
      <c r="R3439" s="546" t="s">
        <v>804</v>
      </c>
    </row>
    <row r="3440" spans="1:18" x14ac:dyDescent="0.3">
      <c r="A3440" t="s">
        <v>627</v>
      </c>
      <c r="B3440" s="16">
        <v>45435</v>
      </c>
      <c r="C3440" t="s">
        <v>3</v>
      </c>
      <c r="D3440" t="s">
        <v>251</v>
      </c>
      <c r="E3440">
        <v>9755</v>
      </c>
      <c r="F3440">
        <v>8823</v>
      </c>
      <c r="G3440">
        <v>14</v>
      </c>
      <c r="H3440">
        <v>6</v>
      </c>
      <c r="I3440">
        <v>19640.5</v>
      </c>
      <c r="J3440">
        <v>7</v>
      </c>
      <c r="K3440">
        <v>17979.27</v>
      </c>
      <c r="L3440">
        <v>7</v>
      </c>
      <c r="M3440">
        <v>65</v>
      </c>
      <c r="N3440">
        <v>484</v>
      </c>
      <c r="O3440">
        <f t="shared" si="108"/>
        <v>2024</v>
      </c>
      <c r="P3440">
        <f t="shared" si="109"/>
        <v>5</v>
      </c>
      <c r="Q3440" t="s">
        <v>325</v>
      </c>
      <c r="R3440" s="546" t="s">
        <v>804</v>
      </c>
    </row>
    <row r="3441" spans="1:18" x14ac:dyDescent="0.3">
      <c r="A3441" t="s">
        <v>627</v>
      </c>
      <c r="B3441" s="16">
        <v>45435</v>
      </c>
      <c r="C3441" t="s">
        <v>3</v>
      </c>
      <c r="D3441" t="s">
        <v>143</v>
      </c>
      <c r="E3441">
        <v>15</v>
      </c>
      <c r="F3441">
        <v>13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1</v>
      </c>
      <c r="N3441">
        <v>15</v>
      </c>
      <c r="O3441">
        <f t="shared" si="108"/>
        <v>2024</v>
      </c>
      <c r="P3441">
        <f t="shared" si="109"/>
        <v>5</v>
      </c>
      <c r="Q3441" t="s">
        <v>325</v>
      </c>
      <c r="R3441" s="546" t="s">
        <v>804</v>
      </c>
    </row>
    <row r="3442" spans="1:18" x14ac:dyDescent="0.3">
      <c r="A3442" t="s">
        <v>627</v>
      </c>
      <c r="B3442" s="16">
        <v>45435</v>
      </c>
      <c r="C3442" t="s">
        <v>3</v>
      </c>
      <c r="D3442" t="s">
        <v>142</v>
      </c>
      <c r="E3442">
        <v>10</v>
      </c>
      <c r="F3442">
        <v>4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10</v>
      </c>
      <c r="O3442">
        <f t="shared" si="108"/>
        <v>2024</v>
      </c>
      <c r="P3442">
        <f t="shared" si="109"/>
        <v>5</v>
      </c>
      <c r="Q3442" t="s">
        <v>325</v>
      </c>
      <c r="R3442" s="546" t="s">
        <v>804</v>
      </c>
    </row>
    <row r="3443" spans="1:18" x14ac:dyDescent="0.3">
      <c r="A3443" t="s">
        <v>627</v>
      </c>
      <c r="B3443" s="16">
        <v>45435</v>
      </c>
      <c r="C3443" t="s">
        <v>3</v>
      </c>
      <c r="D3443" t="s">
        <v>141</v>
      </c>
      <c r="E3443">
        <v>2</v>
      </c>
      <c r="F3443">
        <v>1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2</v>
      </c>
      <c r="O3443">
        <f t="shared" si="108"/>
        <v>2024</v>
      </c>
      <c r="P3443">
        <f t="shared" si="109"/>
        <v>5</v>
      </c>
      <c r="Q3443" t="s">
        <v>325</v>
      </c>
      <c r="R3443" s="546" t="s">
        <v>804</v>
      </c>
    </row>
    <row r="3444" spans="1:18" x14ac:dyDescent="0.3">
      <c r="A3444" t="s">
        <v>627</v>
      </c>
      <c r="B3444" s="16">
        <v>45435</v>
      </c>
      <c r="C3444" t="s">
        <v>3</v>
      </c>
      <c r="D3444" t="s">
        <v>140</v>
      </c>
      <c r="E3444">
        <v>9</v>
      </c>
      <c r="F3444">
        <v>9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2</v>
      </c>
      <c r="N3444">
        <v>4</v>
      </c>
      <c r="O3444">
        <f t="shared" si="108"/>
        <v>2024</v>
      </c>
      <c r="P3444">
        <f t="shared" si="109"/>
        <v>5</v>
      </c>
      <c r="Q3444" t="s">
        <v>325</v>
      </c>
      <c r="R3444" s="546" t="s">
        <v>804</v>
      </c>
    </row>
    <row r="3445" spans="1:18" x14ac:dyDescent="0.3">
      <c r="A3445" t="s">
        <v>627</v>
      </c>
      <c r="B3445" s="16">
        <v>45435</v>
      </c>
      <c r="C3445" t="s">
        <v>3</v>
      </c>
      <c r="D3445" t="s">
        <v>139</v>
      </c>
      <c r="E3445">
        <v>686</v>
      </c>
      <c r="F3445">
        <v>401</v>
      </c>
      <c r="G3445">
        <v>41</v>
      </c>
      <c r="H3445">
        <v>6</v>
      </c>
      <c r="I3445">
        <v>110520.21</v>
      </c>
      <c r="J3445">
        <v>21</v>
      </c>
      <c r="K3445">
        <v>102987.21</v>
      </c>
      <c r="L3445">
        <v>18</v>
      </c>
      <c r="M3445">
        <v>295</v>
      </c>
      <c r="N3445">
        <v>376</v>
      </c>
      <c r="O3445">
        <f t="shared" si="108"/>
        <v>2024</v>
      </c>
      <c r="P3445">
        <f t="shared" si="109"/>
        <v>5</v>
      </c>
      <c r="Q3445" t="s">
        <v>325</v>
      </c>
      <c r="R3445" s="546" t="s">
        <v>804</v>
      </c>
    </row>
    <row r="3446" spans="1:18" x14ac:dyDescent="0.3">
      <c r="A3446" t="s">
        <v>627</v>
      </c>
      <c r="B3446" s="16">
        <v>45435</v>
      </c>
      <c r="C3446" t="s">
        <v>3</v>
      </c>
      <c r="D3446" t="s">
        <v>138</v>
      </c>
      <c r="E3446">
        <v>16</v>
      </c>
      <c r="F3446">
        <v>7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4</v>
      </c>
      <c r="N3446">
        <v>15</v>
      </c>
      <c r="O3446">
        <f t="shared" si="108"/>
        <v>2024</v>
      </c>
      <c r="P3446">
        <f t="shared" si="109"/>
        <v>5</v>
      </c>
      <c r="Q3446" t="s">
        <v>325</v>
      </c>
      <c r="R3446" s="546" t="s">
        <v>804</v>
      </c>
    </row>
    <row r="3447" spans="1:18" x14ac:dyDescent="0.3">
      <c r="A3447" t="s">
        <v>627</v>
      </c>
      <c r="B3447" s="16">
        <v>45435</v>
      </c>
      <c r="C3447" t="s">
        <v>3</v>
      </c>
      <c r="D3447" t="s">
        <v>137</v>
      </c>
      <c r="E3447">
        <v>6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1</v>
      </c>
      <c r="N3447">
        <v>6</v>
      </c>
      <c r="O3447">
        <f t="shared" si="108"/>
        <v>2024</v>
      </c>
      <c r="P3447">
        <f t="shared" si="109"/>
        <v>5</v>
      </c>
      <c r="Q3447" t="s">
        <v>325</v>
      </c>
      <c r="R3447" s="546" t="s">
        <v>804</v>
      </c>
    </row>
    <row r="3448" spans="1:18" x14ac:dyDescent="0.3">
      <c r="A3448" t="s">
        <v>627</v>
      </c>
      <c r="B3448" s="16">
        <v>45435</v>
      </c>
      <c r="C3448" t="s">
        <v>3</v>
      </c>
      <c r="D3448" t="s">
        <v>135</v>
      </c>
      <c r="E3448">
        <v>1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f t="shared" si="108"/>
        <v>2024</v>
      </c>
      <c r="P3448">
        <f t="shared" si="109"/>
        <v>5</v>
      </c>
      <c r="Q3448" t="s">
        <v>325</v>
      </c>
      <c r="R3448" s="546" t="s">
        <v>804</v>
      </c>
    </row>
    <row r="3449" spans="1:18" x14ac:dyDescent="0.3">
      <c r="A3449" t="s">
        <v>627</v>
      </c>
      <c r="B3449" s="16">
        <v>45435</v>
      </c>
      <c r="C3449" t="s">
        <v>3</v>
      </c>
      <c r="D3449" t="s">
        <v>133</v>
      </c>
      <c r="E3449">
        <v>30</v>
      </c>
      <c r="F3449">
        <v>17</v>
      </c>
      <c r="G3449">
        <v>4</v>
      </c>
      <c r="H3449">
        <v>0</v>
      </c>
      <c r="I3449">
        <v>2980</v>
      </c>
      <c r="J3449">
        <v>2</v>
      </c>
      <c r="K3449">
        <v>2980</v>
      </c>
      <c r="L3449">
        <v>2</v>
      </c>
      <c r="M3449">
        <v>8</v>
      </c>
      <c r="N3449">
        <v>23</v>
      </c>
      <c r="O3449">
        <f t="shared" si="108"/>
        <v>2024</v>
      </c>
      <c r="P3449">
        <f t="shared" si="109"/>
        <v>5</v>
      </c>
      <c r="Q3449" t="s">
        <v>325</v>
      </c>
      <c r="R3449" s="546" t="s">
        <v>804</v>
      </c>
    </row>
    <row r="3450" spans="1:18" x14ac:dyDescent="0.3">
      <c r="A3450" t="s">
        <v>627</v>
      </c>
      <c r="B3450" s="16">
        <v>45435</v>
      </c>
      <c r="C3450" t="s">
        <v>3</v>
      </c>
      <c r="D3450" t="s">
        <v>132</v>
      </c>
      <c r="E3450">
        <v>1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1</v>
      </c>
      <c r="O3450">
        <f t="shared" si="108"/>
        <v>2024</v>
      </c>
      <c r="P3450">
        <f t="shared" si="109"/>
        <v>5</v>
      </c>
      <c r="Q3450" t="s">
        <v>325</v>
      </c>
      <c r="R3450" s="546" t="s">
        <v>804</v>
      </c>
    </row>
    <row r="3451" spans="1:18" x14ac:dyDescent="0.3">
      <c r="A3451" t="s">
        <v>627</v>
      </c>
      <c r="B3451" s="16">
        <v>45435</v>
      </c>
      <c r="C3451" t="s">
        <v>3</v>
      </c>
      <c r="D3451" t="s">
        <v>130</v>
      </c>
      <c r="E3451">
        <v>81</v>
      </c>
      <c r="F3451">
        <v>35</v>
      </c>
      <c r="G3451">
        <v>11</v>
      </c>
      <c r="H3451">
        <v>2</v>
      </c>
      <c r="I3451">
        <v>17631</v>
      </c>
      <c r="J3451">
        <v>9</v>
      </c>
      <c r="K3451">
        <v>13123</v>
      </c>
      <c r="L3451">
        <v>7</v>
      </c>
      <c r="M3451">
        <v>22</v>
      </c>
      <c r="N3451">
        <v>76</v>
      </c>
      <c r="O3451">
        <f t="shared" si="108"/>
        <v>2024</v>
      </c>
      <c r="P3451">
        <f t="shared" si="109"/>
        <v>5</v>
      </c>
      <c r="Q3451" t="s">
        <v>325</v>
      </c>
      <c r="R3451" s="546" t="s">
        <v>804</v>
      </c>
    </row>
    <row r="3452" spans="1:18" x14ac:dyDescent="0.3">
      <c r="A3452" t="s">
        <v>627</v>
      </c>
      <c r="B3452" s="16">
        <v>45435</v>
      </c>
      <c r="C3452" t="s">
        <v>3</v>
      </c>
      <c r="D3452" t="s">
        <v>128</v>
      </c>
      <c r="E3452">
        <v>829</v>
      </c>
      <c r="F3452">
        <v>626</v>
      </c>
      <c r="G3452">
        <v>58</v>
      </c>
      <c r="H3452">
        <v>10</v>
      </c>
      <c r="I3452">
        <v>39505.06</v>
      </c>
      <c r="J3452">
        <v>14</v>
      </c>
      <c r="K3452">
        <v>37843.83</v>
      </c>
      <c r="L3452">
        <v>14</v>
      </c>
      <c r="M3452">
        <v>250</v>
      </c>
      <c r="N3452">
        <v>700</v>
      </c>
      <c r="O3452">
        <f t="shared" si="108"/>
        <v>2024</v>
      </c>
      <c r="P3452">
        <f t="shared" si="109"/>
        <v>5</v>
      </c>
      <c r="Q3452" t="s">
        <v>325</v>
      </c>
      <c r="R3452" s="546" t="s">
        <v>804</v>
      </c>
    </row>
    <row r="3453" spans="1:18" x14ac:dyDescent="0.3">
      <c r="A3453" t="s">
        <v>627</v>
      </c>
      <c r="B3453" s="16">
        <v>45435</v>
      </c>
      <c r="C3453" t="s">
        <v>3</v>
      </c>
      <c r="D3453" t="s">
        <v>127</v>
      </c>
      <c r="E3453">
        <v>10351</v>
      </c>
      <c r="F3453">
        <v>9137</v>
      </c>
      <c r="G3453">
        <v>165</v>
      </c>
      <c r="H3453">
        <v>61</v>
      </c>
      <c r="I3453">
        <v>36547</v>
      </c>
      <c r="J3453">
        <v>21</v>
      </c>
      <c r="K3453">
        <v>25259</v>
      </c>
      <c r="L3453">
        <v>15</v>
      </c>
      <c r="M3453">
        <v>723</v>
      </c>
      <c r="N3453">
        <v>4024</v>
      </c>
      <c r="O3453">
        <f t="shared" si="108"/>
        <v>2024</v>
      </c>
      <c r="P3453">
        <f t="shared" si="109"/>
        <v>5</v>
      </c>
      <c r="Q3453" t="s">
        <v>325</v>
      </c>
      <c r="R3453" s="546" t="s">
        <v>804</v>
      </c>
    </row>
    <row r="3454" spans="1:18" x14ac:dyDescent="0.3">
      <c r="A3454" t="s">
        <v>627</v>
      </c>
      <c r="B3454" s="16">
        <v>45435</v>
      </c>
      <c r="C3454" t="s">
        <v>3</v>
      </c>
      <c r="D3454" t="s">
        <v>126</v>
      </c>
      <c r="E3454">
        <v>96</v>
      </c>
      <c r="F3454">
        <v>73</v>
      </c>
      <c r="G3454">
        <v>2</v>
      </c>
      <c r="H3454">
        <v>1</v>
      </c>
      <c r="I3454">
        <v>1303</v>
      </c>
      <c r="J3454">
        <v>1</v>
      </c>
      <c r="K3454">
        <v>1303</v>
      </c>
      <c r="L3454">
        <v>1</v>
      </c>
      <c r="M3454">
        <v>20</v>
      </c>
      <c r="N3454">
        <v>89</v>
      </c>
      <c r="O3454">
        <f t="shared" si="108"/>
        <v>2024</v>
      </c>
      <c r="P3454">
        <f t="shared" si="109"/>
        <v>5</v>
      </c>
      <c r="Q3454" t="s">
        <v>325</v>
      </c>
      <c r="R3454" s="546" t="s">
        <v>804</v>
      </c>
    </row>
    <row r="3455" spans="1:18" x14ac:dyDescent="0.3">
      <c r="A3455" t="s">
        <v>627</v>
      </c>
      <c r="B3455" s="16">
        <v>45435</v>
      </c>
      <c r="C3455" t="s">
        <v>3</v>
      </c>
      <c r="D3455" t="s">
        <v>125</v>
      </c>
      <c r="E3455">
        <v>3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3</v>
      </c>
      <c r="O3455">
        <f t="shared" si="108"/>
        <v>2024</v>
      </c>
      <c r="P3455">
        <f t="shared" si="109"/>
        <v>5</v>
      </c>
      <c r="Q3455" t="s">
        <v>325</v>
      </c>
      <c r="R3455" s="546" t="s">
        <v>804</v>
      </c>
    </row>
    <row r="3456" spans="1:18" x14ac:dyDescent="0.3">
      <c r="A3456" t="s">
        <v>627</v>
      </c>
      <c r="B3456" s="16">
        <v>45435</v>
      </c>
      <c r="C3456" t="s">
        <v>3</v>
      </c>
      <c r="D3456" t="s">
        <v>123</v>
      </c>
      <c r="E3456">
        <v>273</v>
      </c>
      <c r="F3456">
        <v>150</v>
      </c>
      <c r="G3456">
        <v>14</v>
      </c>
      <c r="H3456">
        <v>6</v>
      </c>
      <c r="I3456">
        <v>9603</v>
      </c>
      <c r="J3456">
        <v>4</v>
      </c>
      <c r="K3456">
        <v>6398</v>
      </c>
      <c r="L3456">
        <v>4</v>
      </c>
      <c r="M3456">
        <v>107</v>
      </c>
      <c r="N3456">
        <v>244</v>
      </c>
      <c r="O3456">
        <f t="shared" si="108"/>
        <v>2024</v>
      </c>
      <c r="P3456">
        <f t="shared" si="109"/>
        <v>5</v>
      </c>
      <c r="Q3456" t="s">
        <v>325</v>
      </c>
      <c r="R3456" s="546" t="s">
        <v>804</v>
      </c>
    </row>
    <row r="3457" spans="1:18" x14ac:dyDescent="0.3">
      <c r="A3457" t="s">
        <v>627</v>
      </c>
      <c r="B3457" s="16">
        <v>45435</v>
      </c>
      <c r="C3457" t="s">
        <v>3</v>
      </c>
      <c r="D3457" t="s">
        <v>121</v>
      </c>
      <c r="E3457">
        <v>2</v>
      </c>
      <c r="F3457">
        <v>2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1</v>
      </c>
      <c r="N3457">
        <v>1</v>
      </c>
      <c r="O3457">
        <f t="shared" si="108"/>
        <v>2024</v>
      </c>
      <c r="P3457">
        <f t="shared" si="109"/>
        <v>5</v>
      </c>
      <c r="Q3457" t="s">
        <v>325</v>
      </c>
      <c r="R3457" s="546" t="s">
        <v>804</v>
      </c>
    </row>
    <row r="3458" spans="1:18" x14ac:dyDescent="0.3">
      <c r="A3458" t="s">
        <v>627</v>
      </c>
      <c r="B3458" s="16">
        <v>45435</v>
      </c>
      <c r="C3458" t="s">
        <v>3</v>
      </c>
      <c r="D3458" t="s">
        <v>120</v>
      </c>
      <c r="E3458">
        <v>477</v>
      </c>
      <c r="F3458">
        <v>251</v>
      </c>
      <c r="G3458">
        <v>6</v>
      </c>
      <c r="H3458">
        <v>0</v>
      </c>
      <c r="I3458">
        <v>15265.5</v>
      </c>
      <c r="J3458">
        <v>6</v>
      </c>
      <c r="K3458">
        <v>15265.5</v>
      </c>
      <c r="L3458">
        <v>6</v>
      </c>
      <c r="M3458">
        <v>51</v>
      </c>
      <c r="N3458">
        <v>475</v>
      </c>
      <c r="O3458">
        <f t="shared" si="108"/>
        <v>2024</v>
      </c>
      <c r="P3458">
        <f t="shared" si="109"/>
        <v>5</v>
      </c>
      <c r="Q3458" t="s">
        <v>325</v>
      </c>
      <c r="R3458" s="546" t="s">
        <v>804</v>
      </c>
    </row>
    <row r="3459" spans="1:18" x14ac:dyDescent="0.3">
      <c r="A3459" t="s">
        <v>627</v>
      </c>
      <c r="B3459" s="16">
        <v>45435</v>
      </c>
      <c r="C3459" t="s">
        <v>3</v>
      </c>
      <c r="D3459" t="s">
        <v>119</v>
      </c>
      <c r="E3459">
        <v>465</v>
      </c>
      <c r="F3459">
        <v>160</v>
      </c>
      <c r="G3459">
        <v>22</v>
      </c>
      <c r="H3459">
        <v>3</v>
      </c>
      <c r="I3459">
        <v>58573.5</v>
      </c>
      <c r="J3459">
        <v>19</v>
      </c>
      <c r="K3459">
        <v>50524.5</v>
      </c>
      <c r="L3459">
        <v>18</v>
      </c>
      <c r="M3459">
        <v>113</v>
      </c>
      <c r="N3459">
        <v>376</v>
      </c>
      <c r="O3459">
        <f t="shared" si="108"/>
        <v>2024</v>
      </c>
      <c r="P3459">
        <f t="shared" si="109"/>
        <v>5</v>
      </c>
      <c r="Q3459" t="s">
        <v>325</v>
      </c>
      <c r="R3459" s="546" t="s">
        <v>804</v>
      </c>
    </row>
    <row r="3460" spans="1:18" x14ac:dyDescent="0.3">
      <c r="A3460" t="s">
        <v>627</v>
      </c>
      <c r="B3460" s="16">
        <v>45435</v>
      </c>
      <c r="C3460" t="s">
        <v>3</v>
      </c>
      <c r="D3460" t="s">
        <v>116</v>
      </c>
      <c r="E3460">
        <v>5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5</v>
      </c>
      <c r="O3460">
        <f t="shared" si="108"/>
        <v>2024</v>
      </c>
      <c r="P3460">
        <f t="shared" si="109"/>
        <v>5</v>
      </c>
      <c r="Q3460" t="s">
        <v>325</v>
      </c>
      <c r="R3460" s="546" t="s">
        <v>804</v>
      </c>
    </row>
    <row r="3461" spans="1:18" x14ac:dyDescent="0.3">
      <c r="A3461" t="s">
        <v>627</v>
      </c>
      <c r="B3461" s="16">
        <v>45435</v>
      </c>
      <c r="C3461" t="s">
        <v>3</v>
      </c>
      <c r="D3461" t="s">
        <v>115</v>
      </c>
      <c r="E3461">
        <v>3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3</v>
      </c>
      <c r="O3461">
        <f t="shared" si="108"/>
        <v>2024</v>
      </c>
      <c r="P3461">
        <f t="shared" si="109"/>
        <v>5</v>
      </c>
      <c r="Q3461" t="s">
        <v>325</v>
      </c>
      <c r="R3461" s="546" t="s">
        <v>804</v>
      </c>
    </row>
    <row r="3462" spans="1:18" x14ac:dyDescent="0.3">
      <c r="A3462" t="s">
        <v>627</v>
      </c>
      <c r="B3462" s="16">
        <v>45435</v>
      </c>
      <c r="C3462" t="s">
        <v>3</v>
      </c>
      <c r="D3462" t="s">
        <v>114</v>
      </c>
      <c r="E3462">
        <v>131</v>
      </c>
      <c r="F3462">
        <v>49</v>
      </c>
      <c r="G3462">
        <v>5</v>
      </c>
      <c r="H3462">
        <v>1</v>
      </c>
      <c r="I3462">
        <v>3468</v>
      </c>
      <c r="J3462">
        <v>2</v>
      </c>
      <c r="K3462">
        <v>1488</v>
      </c>
      <c r="L3462">
        <v>1</v>
      </c>
      <c r="M3462">
        <v>11</v>
      </c>
      <c r="N3462">
        <v>124</v>
      </c>
      <c r="O3462">
        <f t="shared" si="108"/>
        <v>2024</v>
      </c>
      <c r="P3462">
        <f t="shared" si="109"/>
        <v>5</v>
      </c>
      <c r="Q3462" t="s">
        <v>325</v>
      </c>
      <c r="R3462" s="546" t="s">
        <v>804</v>
      </c>
    </row>
    <row r="3463" spans="1:18" x14ac:dyDescent="0.3">
      <c r="A3463" t="s">
        <v>627</v>
      </c>
      <c r="B3463" s="16">
        <v>45435</v>
      </c>
      <c r="C3463" t="s">
        <v>3</v>
      </c>
      <c r="D3463" t="s">
        <v>113</v>
      </c>
      <c r="E3463">
        <v>290</v>
      </c>
      <c r="F3463">
        <v>205</v>
      </c>
      <c r="G3463">
        <v>3</v>
      </c>
      <c r="H3463">
        <v>1</v>
      </c>
      <c r="I3463">
        <v>5233</v>
      </c>
      <c r="J3463">
        <v>2</v>
      </c>
      <c r="K3463">
        <v>5233</v>
      </c>
      <c r="L3463">
        <v>2</v>
      </c>
      <c r="M3463">
        <v>86</v>
      </c>
      <c r="N3463">
        <v>89</v>
      </c>
      <c r="O3463">
        <f t="shared" si="108"/>
        <v>2024</v>
      </c>
      <c r="P3463">
        <f t="shared" si="109"/>
        <v>5</v>
      </c>
      <c r="Q3463" t="s">
        <v>325</v>
      </c>
      <c r="R3463" s="546" t="s">
        <v>804</v>
      </c>
    </row>
    <row r="3464" spans="1:18" x14ac:dyDescent="0.3">
      <c r="A3464" t="s">
        <v>627</v>
      </c>
      <c r="B3464" s="16">
        <v>45435</v>
      </c>
      <c r="C3464" t="s">
        <v>3</v>
      </c>
      <c r="D3464" t="s">
        <v>112</v>
      </c>
      <c r="E3464">
        <v>13</v>
      </c>
      <c r="F3464">
        <v>5</v>
      </c>
      <c r="G3464">
        <v>0</v>
      </c>
      <c r="H3464">
        <v>0</v>
      </c>
      <c r="I3464">
        <v>12020</v>
      </c>
      <c r="J3464">
        <v>5</v>
      </c>
      <c r="K3464">
        <v>12020</v>
      </c>
      <c r="L3464">
        <v>5</v>
      </c>
      <c r="M3464">
        <v>0</v>
      </c>
      <c r="N3464">
        <v>13</v>
      </c>
      <c r="O3464">
        <f t="shared" si="108"/>
        <v>2024</v>
      </c>
      <c r="P3464">
        <f t="shared" si="109"/>
        <v>5</v>
      </c>
      <c r="Q3464" t="s">
        <v>325</v>
      </c>
      <c r="R3464" s="546" t="s">
        <v>804</v>
      </c>
    </row>
    <row r="3465" spans="1:18" x14ac:dyDescent="0.3">
      <c r="A3465" t="s">
        <v>627</v>
      </c>
      <c r="B3465" s="16">
        <v>45435</v>
      </c>
      <c r="C3465" t="s">
        <v>3</v>
      </c>
      <c r="D3465" t="s">
        <v>111</v>
      </c>
      <c r="E3465">
        <v>26</v>
      </c>
      <c r="F3465">
        <v>20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26</v>
      </c>
      <c r="O3465">
        <f t="shared" si="108"/>
        <v>2024</v>
      </c>
      <c r="P3465">
        <f t="shared" si="109"/>
        <v>5</v>
      </c>
      <c r="Q3465" t="s">
        <v>325</v>
      </c>
      <c r="R3465" s="546" t="s">
        <v>804</v>
      </c>
    </row>
    <row r="3466" spans="1:18" x14ac:dyDescent="0.3">
      <c r="A3466" t="s">
        <v>627</v>
      </c>
      <c r="B3466" s="16">
        <v>45434</v>
      </c>
      <c r="C3466" t="s">
        <v>2</v>
      </c>
      <c r="D3466" t="s">
        <v>4</v>
      </c>
      <c r="E3466">
        <v>352</v>
      </c>
      <c r="F3466">
        <v>98</v>
      </c>
      <c r="G3466">
        <v>5</v>
      </c>
      <c r="H3466">
        <v>1</v>
      </c>
      <c r="I3466">
        <v>2910</v>
      </c>
      <c r="J3466">
        <v>2</v>
      </c>
      <c r="K3466">
        <v>2910</v>
      </c>
      <c r="L3466">
        <v>2</v>
      </c>
      <c r="M3466">
        <v>13</v>
      </c>
      <c r="N3466">
        <v>344</v>
      </c>
      <c r="O3466">
        <f t="shared" si="108"/>
        <v>2024</v>
      </c>
      <c r="P3466">
        <f t="shared" si="109"/>
        <v>5</v>
      </c>
      <c r="Q3466" t="s">
        <v>325</v>
      </c>
      <c r="R3466" s="546" t="s">
        <v>804</v>
      </c>
    </row>
    <row r="3467" spans="1:18" x14ac:dyDescent="0.3">
      <c r="A3467" t="s">
        <v>627</v>
      </c>
      <c r="B3467" s="16">
        <v>45434</v>
      </c>
      <c r="C3467" t="s">
        <v>2</v>
      </c>
      <c r="D3467" t="s">
        <v>57</v>
      </c>
      <c r="E3467">
        <v>22111</v>
      </c>
      <c r="F3467">
        <v>13561</v>
      </c>
      <c r="G3467">
        <v>272</v>
      </c>
      <c r="H3467">
        <v>121</v>
      </c>
      <c r="I3467">
        <v>221729.75</v>
      </c>
      <c r="J3467">
        <v>62</v>
      </c>
      <c r="K3467">
        <v>159269.75</v>
      </c>
      <c r="L3467">
        <v>50</v>
      </c>
      <c r="M3467">
        <v>1132</v>
      </c>
      <c r="N3467">
        <v>22077</v>
      </c>
      <c r="O3467">
        <f t="shared" si="108"/>
        <v>2024</v>
      </c>
      <c r="P3467">
        <f t="shared" si="109"/>
        <v>5</v>
      </c>
      <c r="Q3467" t="s">
        <v>325</v>
      </c>
      <c r="R3467" s="546" t="s">
        <v>804</v>
      </c>
    </row>
    <row r="3468" spans="1:18" x14ac:dyDescent="0.3">
      <c r="A3468" t="s">
        <v>627</v>
      </c>
      <c r="B3468" s="16">
        <v>45434</v>
      </c>
      <c r="C3468" t="s">
        <v>2</v>
      </c>
      <c r="D3468" t="s">
        <v>52</v>
      </c>
      <c r="E3468">
        <v>3245</v>
      </c>
      <c r="F3468">
        <v>2693</v>
      </c>
      <c r="G3468">
        <v>17</v>
      </c>
      <c r="H3468">
        <v>7</v>
      </c>
      <c r="I3468">
        <v>10017</v>
      </c>
      <c r="J3468">
        <v>3</v>
      </c>
      <c r="K3468">
        <v>10017</v>
      </c>
      <c r="L3468">
        <v>3</v>
      </c>
      <c r="M3468">
        <v>3245</v>
      </c>
      <c r="N3468">
        <v>723</v>
      </c>
      <c r="O3468">
        <f t="shared" si="108"/>
        <v>2024</v>
      </c>
      <c r="P3468">
        <f t="shared" si="109"/>
        <v>5</v>
      </c>
      <c r="Q3468" t="s">
        <v>325</v>
      </c>
      <c r="R3468" s="546" t="s">
        <v>804</v>
      </c>
    </row>
    <row r="3469" spans="1:18" x14ac:dyDescent="0.3">
      <c r="A3469" t="s">
        <v>627</v>
      </c>
      <c r="B3469" s="16">
        <v>45434</v>
      </c>
      <c r="C3469" t="s">
        <v>2</v>
      </c>
      <c r="D3469" t="s">
        <v>55</v>
      </c>
      <c r="E3469">
        <v>2412</v>
      </c>
      <c r="F3469">
        <v>2240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6</v>
      </c>
      <c r="N3469">
        <v>1689</v>
      </c>
      <c r="O3469">
        <f t="shared" si="108"/>
        <v>2024</v>
      </c>
      <c r="P3469">
        <f t="shared" si="109"/>
        <v>5</v>
      </c>
      <c r="Q3469" t="s">
        <v>325</v>
      </c>
      <c r="R3469" s="546" t="s">
        <v>804</v>
      </c>
    </row>
    <row r="3470" spans="1:18" x14ac:dyDescent="0.3">
      <c r="A3470" t="s">
        <v>627</v>
      </c>
      <c r="B3470" s="16">
        <v>45434</v>
      </c>
      <c r="C3470" t="s">
        <v>3</v>
      </c>
      <c r="D3470" t="s">
        <v>155</v>
      </c>
      <c r="E3470">
        <v>2</v>
      </c>
      <c r="F3470">
        <v>2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2</v>
      </c>
      <c r="O3470">
        <f t="shared" si="108"/>
        <v>2024</v>
      </c>
      <c r="P3470">
        <f t="shared" si="109"/>
        <v>5</v>
      </c>
      <c r="Q3470" t="s">
        <v>325</v>
      </c>
      <c r="R3470" s="546" t="s">
        <v>804</v>
      </c>
    </row>
    <row r="3471" spans="1:18" x14ac:dyDescent="0.3">
      <c r="A3471" t="s">
        <v>627</v>
      </c>
      <c r="B3471" s="16">
        <v>45434</v>
      </c>
      <c r="C3471" t="s">
        <v>3</v>
      </c>
      <c r="D3471" t="s">
        <v>154</v>
      </c>
      <c r="E3471">
        <v>560</v>
      </c>
      <c r="F3471">
        <v>552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1</v>
      </c>
      <c r="N3471">
        <v>3</v>
      </c>
      <c r="O3471">
        <f t="shared" si="108"/>
        <v>2024</v>
      </c>
      <c r="P3471">
        <f t="shared" si="109"/>
        <v>5</v>
      </c>
      <c r="Q3471" t="s">
        <v>325</v>
      </c>
      <c r="R3471" s="546" t="s">
        <v>804</v>
      </c>
    </row>
    <row r="3472" spans="1:18" x14ac:dyDescent="0.3">
      <c r="A3472" t="s">
        <v>627</v>
      </c>
      <c r="B3472" s="16">
        <v>45434</v>
      </c>
      <c r="C3472" t="s">
        <v>3</v>
      </c>
      <c r="D3472" t="s">
        <v>153</v>
      </c>
      <c r="E3472">
        <v>460</v>
      </c>
      <c r="F3472">
        <v>131</v>
      </c>
      <c r="G3472">
        <v>58</v>
      </c>
      <c r="H3472">
        <v>0</v>
      </c>
      <c r="I3472">
        <v>194466.16</v>
      </c>
      <c r="J3472">
        <v>68</v>
      </c>
      <c r="K3472">
        <v>178660.16</v>
      </c>
      <c r="L3472">
        <v>64</v>
      </c>
      <c r="M3472">
        <v>130</v>
      </c>
      <c r="N3472">
        <v>438</v>
      </c>
      <c r="O3472">
        <f t="shared" si="108"/>
        <v>2024</v>
      </c>
      <c r="P3472">
        <f t="shared" si="109"/>
        <v>5</v>
      </c>
      <c r="Q3472" t="s">
        <v>325</v>
      </c>
      <c r="R3472" s="546" t="s">
        <v>804</v>
      </c>
    </row>
    <row r="3473" spans="1:18" x14ac:dyDescent="0.3">
      <c r="A3473" t="s">
        <v>627</v>
      </c>
      <c r="B3473" s="16">
        <v>45434</v>
      </c>
      <c r="C3473" t="s">
        <v>3</v>
      </c>
      <c r="D3473" t="s">
        <v>152</v>
      </c>
      <c r="E3473">
        <v>5</v>
      </c>
      <c r="F3473">
        <v>1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5</v>
      </c>
      <c r="O3473">
        <f t="shared" si="108"/>
        <v>2024</v>
      </c>
      <c r="P3473">
        <f t="shared" si="109"/>
        <v>5</v>
      </c>
      <c r="Q3473" t="s">
        <v>325</v>
      </c>
      <c r="R3473" s="546" t="s">
        <v>804</v>
      </c>
    </row>
    <row r="3474" spans="1:18" x14ac:dyDescent="0.3">
      <c r="A3474" t="s">
        <v>627</v>
      </c>
      <c r="B3474" s="16">
        <v>45434</v>
      </c>
      <c r="C3474" t="s">
        <v>3</v>
      </c>
      <c r="D3474" t="s">
        <v>150</v>
      </c>
      <c r="E3474">
        <v>6</v>
      </c>
      <c r="F3474">
        <v>3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6</v>
      </c>
      <c r="O3474">
        <f t="shared" si="108"/>
        <v>2024</v>
      </c>
      <c r="P3474">
        <f t="shared" si="109"/>
        <v>5</v>
      </c>
      <c r="Q3474" t="s">
        <v>325</v>
      </c>
      <c r="R3474" s="546" t="s">
        <v>804</v>
      </c>
    </row>
    <row r="3475" spans="1:18" x14ac:dyDescent="0.3">
      <c r="A3475" t="s">
        <v>627</v>
      </c>
      <c r="B3475" s="16">
        <v>45434</v>
      </c>
      <c r="C3475" t="s">
        <v>3</v>
      </c>
      <c r="D3475" t="s">
        <v>149</v>
      </c>
      <c r="E3475">
        <v>29</v>
      </c>
      <c r="F3475">
        <v>12</v>
      </c>
      <c r="G3475">
        <v>2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7</v>
      </c>
      <c r="N3475">
        <v>17</v>
      </c>
      <c r="O3475">
        <f t="shared" si="108"/>
        <v>2024</v>
      </c>
      <c r="P3475">
        <f t="shared" si="109"/>
        <v>5</v>
      </c>
      <c r="Q3475" t="s">
        <v>325</v>
      </c>
      <c r="R3475" s="546" t="s">
        <v>804</v>
      </c>
    </row>
    <row r="3476" spans="1:18" x14ac:dyDescent="0.3">
      <c r="A3476" t="s">
        <v>627</v>
      </c>
      <c r="B3476" s="16">
        <v>45434</v>
      </c>
      <c r="C3476" t="s">
        <v>3</v>
      </c>
      <c r="D3476" t="s">
        <v>148</v>
      </c>
      <c r="E3476">
        <v>2</v>
      </c>
      <c r="F3476">
        <v>1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2</v>
      </c>
      <c r="N3476">
        <v>0</v>
      </c>
      <c r="O3476">
        <f t="shared" si="108"/>
        <v>2024</v>
      </c>
      <c r="P3476">
        <f t="shared" si="109"/>
        <v>5</v>
      </c>
      <c r="Q3476" t="s">
        <v>325</v>
      </c>
      <c r="R3476" s="546" t="s">
        <v>804</v>
      </c>
    </row>
    <row r="3477" spans="1:18" x14ac:dyDescent="0.3">
      <c r="A3477" t="s">
        <v>627</v>
      </c>
      <c r="B3477" s="16">
        <v>45434</v>
      </c>
      <c r="C3477" t="s">
        <v>3</v>
      </c>
      <c r="D3477" t="s">
        <v>147</v>
      </c>
      <c r="E3477">
        <v>33</v>
      </c>
      <c r="F3477">
        <v>28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2</v>
      </c>
      <c r="N3477">
        <v>33</v>
      </c>
      <c r="O3477">
        <f t="shared" si="108"/>
        <v>2024</v>
      </c>
      <c r="P3477">
        <f t="shared" si="109"/>
        <v>5</v>
      </c>
      <c r="Q3477" t="s">
        <v>325</v>
      </c>
      <c r="R3477" s="546" t="s">
        <v>804</v>
      </c>
    </row>
    <row r="3478" spans="1:18" x14ac:dyDescent="0.3">
      <c r="A3478" t="s">
        <v>627</v>
      </c>
      <c r="B3478" s="16">
        <v>45434</v>
      </c>
      <c r="C3478" t="s">
        <v>3</v>
      </c>
      <c r="D3478" t="s">
        <v>251</v>
      </c>
      <c r="E3478">
        <v>589</v>
      </c>
      <c r="F3478">
        <v>222</v>
      </c>
      <c r="G3478">
        <v>10</v>
      </c>
      <c r="H3478">
        <v>7</v>
      </c>
      <c r="I3478">
        <v>31729</v>
      </c>
      <c r="J3478">
        <v>7</v>
      </c>
      <c r="K3478">
        <v>12481.5</v>
      </c>
      <c r="L3478">
        <v>6</v>
      </c>
      <c r="M3478">
        <v>70</v>
      </c>
      <c r="N3478">
        <v>464</v>
      </c>
      <c r="O3478">
        <f t="shared" si="108"/>
        <v>2024</v>
      </c>
      <c r="P3478">
        <f t="shared" si="109"/>
        <v>5</v>
      </c>
      <c r="Q3478" t="s">
        <v>325</v>
      </c>
      <c r="R3478" s="546" t="s">
        <v>804</v>
      </c>
    </row>
    <row r="3479" spans="1:18" x14ac:dyDescent="0.3">
      <c r="A3479" t="s">
        <v>627</v>
      </c>
      <c r="B3479" s="16">
        <v>45434</v>
      </c>
      <c r="C3479" t="s">
        <v>3</v>
      </c>
      <c r="D3479" t="s">
        <v>143</v>
      </c>
      <c r="E3479">
        <v>20</v>
      </c>
      <c r="F3479">
        <v>20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20</v>
      </c>
      <c r="O3479">
        <f t="shared" si="108"/>
        <v>2024</v>
      </c>
      <c r="P3479">
        <f t="shared" si="109"/>
        <v>5</v>
      </c>
      <c r="Q3479" t="s">
        <v>325</v>
      </c>
      <c r="R3479" s="546" t="s">
        <v>804</v>
      </c>
    </row>
    <row r="3480" spans="1:18" x14ac:dyDescent="0.3">
      <c r="A3480" t="s">
        <v>627</v>
      </c>
      <c r="B3480" s="16">
        <v>45434</v>
      </c>
      <c r="C3480" t="s">
        <v>3</v>
      </c>
      <c r="D3480" t="s">
        <v>142</v>
      </c>
      <c r="E3480">
        <v>15</v>
      </c>
      <c r="F3480">
        <v>4</v>
      </c>
      <c r="G3480">
        <v>2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3</v>
      </c>
      <c r="N3480">
        <v>15</v>
      </c>
      <c r="O3480">
        <f t="shared" si="108"/>
        <v>2024</v>
      </c>
      <c r="P3480">
        <f t="shared" si="109"/>
        <v>5</v>
      </c>
      <c r="Q3480" t="s">
        <v>325</v>
      </c>
      <c r="R3480" s="546" t="s">
        <v>804</v>
      </c>
    </row>
    <row r="3481" spans="1:18" x14ac:dyDescent="0.3">
      <c r="A3481" t="s">
        <v>627</v>
      </c>
      <c r="B3481" s="16">
        <v>45434</v>
      </c>
      <c r="C3481" t="s">
        <v>3</v>
      </c>
      <c r="D3481" t="s">
        <v>141</v>
      </c>
      <c r="E3481">
        <v>4</v>
      </c>
      <c r="F3481">
        <v>4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3</v>
      </c>
      <c r="N3481">
        <v>1</v>
      </c>
      <c r="O3481">
        <f t="shared" si="108"/>
        <v>2024</v>
      </c>
      <c r="P3481">
        <f t="shared" si="109"/>
        <v>5</v>
      </c>
      <c r="Q3481" t="s">
        <v>325</v>
      </c>
      <c r="R3481" s="546" t="s">
        <v>804</v>
      </c>
    </row>
    <row r="3482" spans="1:18" x14ac:dyDescent="0.3">
      <c r="A3482" t="s">
        <v>627</v>
      </c>
      <c r="B3482" s="16">
        <v>45434</v>
      </c>
      <c r="C3482" t="s">
        <v>3</v>
      </c>
      <c r="D3482" t="s">
        <v>140</v>
      </c>
      <c r="E3482">
        <v>10</v>
      </c>
      <c r="F3482">
        <v>8</v>
      </c>
      <c r="G3482">
        <v>1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5</v>
      </c>
      <c r="N3482">
        <v>8</v>
      </c>
      <c r="O3482">
        <f t="shared" si="108"/>
        <v>2024</v>
      </c>
      <c r="P3482">
        <f t="shared" si="109"/>
        <v>5</v>
      </c>
      <c r="Q3482" t="s">
        <v>325</v>
      </c>
      <c r="R3482" s="546" t="s">
        <v>804</v>
      </c>
    </row>
    <row r="3483" spans="1:18" x14ac:dyDescent="0.3">
      <c r="A3483" t="s">
        <v>627</v>
      </c>
      <c r="B3483" s="16">
        <v>45434</v>
      </c>
      <c r="C3483" t="s">
        <v>3</v>
      </c>
      <c r="D3483" t="s">
        <v>139</v>
      </c>
      <c r="E3483">
        <v>618</v>
      </c>
      <c r="F3483">
        <v>308</v>
      </c>
      <c r="G3483">
        <v>42</v>
      </c>
      <c r="H3483">
        <v>4</v>
      </c>
      <c r="I3483">
        <v>84309.35</v>
      </c>
      <c r="J3483">
        <v>25</v>
      </c>
      <c r="K3483">
        <v>57203.35</v>
      </c>
      <c r="L3483">
        <v>21</v>
      </c>
      <c r="M3483">
        <v>371</v>
      </c>
      <c r="N3483">
        <v>420</v>
      </c>
      <c r="O3483">
        <f t="shared" si="108"/>
        <v>2024</v>
      </c>
      <c r="P3483">
        <f t="shared" si="109"/>
        <v>5</v>
      </c>
      <c r="Q3483" t="s">
        <v>325</v>
      </c>
      <c r="R3483" s="546" t="s">
        <v>804</v>
      </c>
    </row>
    <row r="3484" spans="1:18" x14ac:dyDescent="0.3">
      <c r="A3484" t="s">
        <v>627</v>
      </c>
      <c r="B3484" s="16">
        <v>45434</v>
      </c>
      <c r="C3484" t="s">
        <v>3</v>
      </c>
      <c r="D3484" t="s">
        <v>138</v>
      </c>
      <c r="E3484">
        <v>14</v>
      </c>
      <c r="F3484">
        <v>9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3</v>
      </c>
      <c r="N3484">
        <v>13</v>
      </c>
      <c r="O3484">
        <f t="shared" si="108"/>
        <v>2024</v>
      </c>
      <c r="P3484">
        <f t="shared" si="109"/>
        <v>5</v>
      </c>
      <c r="Q3484" t="s">
        <v>325</v>
      </c>
      <c r="R3484" s="546" t="s">
        <v>804</v>
      </c>
    </row>
    <row r="3485" spans="1:18" x14ac:dyDescent="0.3">
      <c r="A3485" t="s">
        <v>627</v>
      </c>
      <c r="B3485" s="16">
        <v>45434</v>
      </c>
      <c r="C3485" t="s">
        <v>3</v>
      </c>
      <c r="D3485" t="s">
        <v>137</v>
      </c>
      <c r="E3485">
        <v>7</v>
      </c>
      <c r="F3485">
        <v>7</v>
      </c>
      <c r="G3485">
        <v>0</v>
      </c>
      <c r="H3485">
        <v>1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7</v>
      </c>
      <c r="O3485">
        <f t="shared" si="108"/>
        <v>2024</v>
      </c>
      <c r="P3485">
        <f t="shared" si="109"/>
        <v>5</v>
      </c>
      <c r="Q3485" t="s">
        <v>325</v>
      </c>
      <c r="R3485" s="546" t="s">
        <v>804</v>
      </c>
    </row>
    <row r="3486" spans="1:18" x14ac:dyDescent="0.3">
      <c r="A3486" t="s">
        <v>627</v>
      </c>
      <c r="B3486" s="16">
        <v>45434</v>
      </c>
      <c r="C3486" t="s">
        <v>3</v>
      </c>
      <c r="D3486" t="s">
        <v>133</v>
      </c>
      <c r="E3486">
        <v>18</v>
      </c>
      <c r="F3486">
        <v>10</v>
      </c>
      <c r="G3486">
        <v>2</v>
      </c>
      <c r="H3486">
        <v>0</v>
      </c>
      <c r="I3486">
        <v>1677</v>
      </c>
      <c r="J3486">
        <v>1</v>
      </c>
      <c r="K3486">
        <v>1677</v>
      </c>
      <c r="L3486">
        <v>1</v>
      </c>
      <c r="M3486">
        <v>7</v>
      </c>
      <c r="N3486">
        <v>15</v>
      </c>
      <c r="O3486">
        <f t="shared" si="108"/>
        <v>2024</v>
      </c>
      <c r="P3486">
        <f t="shared" si="109"/>
        <v>5</v>
      </c>
      <c r="Q3486" t="s">
        <v>325</v>
      </c>
      <c r="R3486" s="546" t="s">
        <v>804</v>
      </c>
    </row>
    <row r="3487" spans="1:18" x14ac:dyDescent="0.3">
      <c r="A3487" t="s">
        <v>627</v>
      </c>
      <c r="B3487" s="16">
        <v>45434</v>
      </c>
      <c r="C3487" t="s">
        <v>3</v>
      </c>
      <c r="D3487" t="s">
        <v>132</v>
      </c>
      <c r="E3487">
        <v>1</v>
      </c>
      <c r="F3487">
        <v>1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1</v>
      </c>
      <c r="O3487">
        <f t="shared" si="108"/>
        <v>2024</v>
      </c>
      <c r="P3487">
        <f t="shared" si="109"/>
        <v>5</v>
      </c>
      <c r="Q3487" t="s">
        <v>325</v>
      </c>
      <c r="R3487" s="546" t="s">
        <v>804</v>
      </c>
    </row>
    <row r="3488" spans="1:18" x14ac:dyDescent="0.3">
      <c r="A3488" t="s">
        <v>627</v>
      </c>
      <c r="B3488" s="16">
        <v>45434</v>
      </c>
      <c r="C3488" t="s">
        <v>3</v>
      </c>
      <c r="D3488" t="s">
        <v>130</v>
      </c>
      <c r="E3488">
        <v>112</v>
      </c>
      <c r="F3488">
        <v>42</v>
      </c>
      <c r="G3488">
        <v>15</v>
      </c>
      <c r="H3488">
        <v>2</v>
      </c>
      <c r="I3488">
        <v>20047</v>
      </c>
      <c r="J3488">
        <v>10</v>
      </c>
      <c r="K3488">
        <v>15002</v>
      </c>
      <c r="L3488">
        <v>8</v>
      </c>
      <c r="M3488">
        <v>35</v>
      </c>
      <c r="N3488">
        <v>100</v>
      </c>
      <c r="O3488">
        <f t="shared" si="108"/>
        <v>2024</v>
      </c>
      <c r="P3488">
        <f t="shared" si="109"/>
        <v>5</v>
      </c>
      <c r="Q3488" t="s">
        <v>325</v>
      </c>
      <c r="R3488" s="546" t="s">
        <v>804</v>
      </c>
    </row>
    <row r="3489" spans="1:18" x14ac:dyDescent="0.3">
      <c r="A3489" t="s">
        <v>627</v>
      </c>
      <c r="B3489" s="16">
        <v>45434</v>
      </c>
      <c r="C3489" t="s">
        <v>3</v>
      </c>
      <c r="D3489" t="s">
        <v>129</v>
      </c>
      <c r="E3489">
        <v>1</v>
      </c>
      <c r="F3489">
        <v>1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f t="shared" si="108"/>
        <v>2024</v>
      </c>
      <c r="P3489">
        <f t="shared" si="109"/>
        <v>5</v>
      </c>
      <c r="Q3489" t="s">
        <v>325</v>
      </c>
      <c r="R3489" s="546" t="s">
        <v>804</v>
      </c>
    </row>
    <row r="3490" spans="1:18" x14ac:dyDescent="0.3">
      <c r="A3490" t="s">
        <v>627</v>
      </c>
      <c r="B3490" s="16">
        <v>45434</v>
      </c>
      <c r="C3490" t="s">
        <v>3</v>
      </c>
      <c r="D3490" t="s">
        <v>128</v>
      </c>
      <c r="E3490">
        <v>777</v>
      </c>
      <c r="F3490">
        <v>608</v>
      </c>
      <c r="G3490">
        <v>50</v>
      </c>
      <c r="H3490">
        <v>5</v>
      </c>
      <c r="I3490">
        <v>34260</v>
      </c>
      <c r="J3490">
        <v>13</v>
      </c>
      <c r="K3490">
        <v>31957</v>
      </c>
      <c r="L3490">
        <v>11</v>
      </c>
      <c r="M3490">
        <v>250</v>
      </c>
      <c r="N3490">
        <v>660</v>
      </c>
      <c r="O3490">
        <f t="shared" si="108"/>
        <v>2024</v>
      </c>
      <c r="P3490">
        <f t="shared" si="109"/>
        <v>5</v>
      </c>
      <c r="Q3490" t="s">
        <v>325</v>
      </c>
      <c r="R3490" s="546" t="s">
        <v>804</v>
      </c>
    </row>
    <row r="3491" spans="1:18" x14ac:dyDescent="0.3">
      <c r="A3491" t="s">
        <v>627</v>
      </c>
      <c r="B3491" s="16">
        <v>45434</v>
      </c>
      <c r="C3491" t="s">
        <v>3</v>
      </c>
      <c r="D3491" t="s">
        <v>127</v>
      </c>
      <c r="E3491">
        <v>3077</v>
      </c>
      <c r="F3491">
        <v>2201</v>
      </c>
      <c r="G3491">
        <v>105</v>
      </c>
      <c r="H3491">
        <v>42</v>
      </c>
      <c r="I3491">
        <v>37966.089999999997</v>
      </c>
      <c r="J3491">
        <v>21</v>
      </c>
      <c r="K3491">
        <v>35175.089999999997</v>
      </c>
      <c r="L3491">
        <v>19</v>
      </c>
      <c r="M3491">
        <v>496</v>
      </c>
      <c r="N3491">
        <v>2898</v>
      </c>
      <c r="O3491">
        <f t="shared" si="108"/>
        <v>2024</v>
      </c>
      <c r="P3491">
        <f t="shared" si="109"/>
        <v>5</v>
      </c>
      <c r="Q3491" t="s">
        <v>325</v>
      </c>
      <c r="R3491" s="546" t="s">
        <v>804</v>
      </c>
    </row>
    <row r="3492" spans="1:18" x14ac:dyDescent="0.3">
      <c r="A3492" t="s">
        <v>627</v>
      </c>
      <c r="B3492" s="16">
        <v>45434</v>
      </c>
      <c r="C3492" t="s">
        <v>3</v>
      </c>
      <c r="D3492" t="s">
        <v>126</v>
      </c>
      <c r="E3492">
        <v>103</v>
      </c>
      <c r="F3492">
        <v>70</v>
      </c>
      <c r="G3492">
        <v>3</v>
      </c>
      <c r="H3492">
        <v>3</v>
      </c>
      <c r="I3492">
        <v>3078</v>
      </c>
      <c r="J3492">
        <v>2</v>
      </c>
      <c r="K3492">
        <v>1775</v>
      </c>
      <c r="L3492">
        <v>1</v>
      </c>
      <c r="M3492">
        <v>21</v>
      </c>
      <c r="N3492">
        <v>96</v>
      </c>
      <c r="O3492">
        <f t="shared" si="108"/>
        <v>2024</v>
      </c>
      <c r="P3492">
        <f t="shared" si="109"/>
        <v>5</v>
      </c>
      <c r="Q3492" t="s">
        <v>325</v>
      </c>
      <c r="R3492" s="546" t="s">
        <v>804</v>
      </c>
    </row>
    <row r="3493" spans="1:18" x14ac:dyDescent="0.3">
      <c r="A3493" t="s">
        <v>627</v>
      </c>
      <c r="B3493" s="16">
        <v>45434</v>
      </c>
      <c r="C3493" t="s">
        <v>3</v>
      </c>
      <c r="D3493" t="s">
        <v>125</v>
      </c>
      <c r="E3493">
        <v>5</v>
      </c>
      <c r="F3493">
        <v>5</v>
      </c>
      <c r="G3493">
        <v>0</v>
      </c>
      <c r="H3493">
        <v>1</v>
      </c>
      <c r="I3493">
        <v>9195</v>
      </c>
      <c r="J3493">
        <v>1</v>
      </c>
      <c r="K3493">
        <v>0</v>
      </c>
      <c r="L3493">
        <v>0</v>
      </c>
      <c r="M3493">
        <v>2</v>
      </c>
      <c r="N3493">
        <v>5</v>
      </c>
      <c r="O3493">
        <f t="shared" si="108"/>
        <v>2024</v>
      </c>
      <c r="P3493">
        <f t="shared" si="109"/>
        <v>5</v>
      </c>
      <c r="Q3493" t="s">
        <v>325</v>
      </c>
      <c r="R3493" s="546" t="s">
        <v>804</v>
      </c>
    </row>
    <row r="3494" spans="1:18" x14ac:dyDescent="0.3">
      <c r="A3494" t="s">
        <v>627</v>
      </c>
      <c r="B3494" s="16">
        <v>45434</v>
      </c>
      <c r="C3494" t="s">
        <v>3</v>
      </c>
      <c r="D3494" t="s">
        <v>123</v>
      </c>
      <c r="E3494">
        <v>243</v>
      </c>
      <c r="F3494">
        <v>123</v>
      </c>
      <c r="G3494">
        <v>22</v>
      </c>
      <c r="H3494">
        <v>7</v>
      </c>
      <c r="I3494">
        <v>8892</v>
      </c>
      <c r="J3494">
        <v>4</v>
      </c>
      <c r="K3494">
        <v>5442</v>
      </c>
      <c r="L3494">
        <v>3</v>
      </c>
      <c r="M3494">
        <v>94</v>
      </c>
      <c r="N3494">
        <v>205</v>
      </c>
      <c r="O3494">
        <f t="shared" si="108"/>
        <v>2024</v>
      </c>
      <c r="P3494">
        <f t="shared" si="109"/>
        <v>5</v>
      </c>
      <c r="Q3494" t="s">
        <v>325</v>
      </c>
      <c r="R3494" s="546" t="s">
        <v>804</v>
      </c>
    </row>
    <row r="3495" spans="1:18" x14ac:dyDescent="0.3">
      <c r="A3495" t="s">
        <v>627</v>
      </c>
      <c r="B3495" s="16">
        <v>45434</v>
      </c>
      <c r="C3495" t="s">
        <v>3</v>
      </c>
      <c r="D3495" t="s">
        <v>120</v>
      </c>
      <c r="E3495">
        <v>499</v>
      </c>
      <c r="F3495">
        <v>273</v>
      </c>
      <c r="G3495">
        <v>6</v>
      </c>
      <c r="H3495">
        <v>0</v>
      </c>
      <c r="I3495">
        <v>25069.48</v>
      </c>
      <c r="J3495">
        <v>7</v>
      </c>
      <c r="K3495">
        <v>21173.98</v>
      </c>
      <c r="L3495">
        <v>6</v>
      </c>
      <c r="M3495">
        <v>61</v>
      </c>
      <c r="N3495">
        <v>492</v>
      </c>
      <c r="O3495">
        <f t="shared" si="108"/>
        <v>2024</v>
      </c>
      <c r="P3495">
        <f t="shared" si="109"/>
        <v>5</v>
      </c>
      <c r="Q3495" t="s">
        <v>325</v>
      </c>
      <c r="R3495" s="546" t="s">
        <v>804</v>
      </c>
    </row>
    <row r="3496" spans="1:18" x14ac:dyDescent="0.3">
      <c r="A3496" t="s">
        <v>627</v>
      </c>
      <c r="B3496" s="16">
        <v>45434</v>
      </c>
      <c r="C3496" t="s">
        <v>3</v>
      </c>
      <c r="D3496" t="s">
        <v>119</v>
      </c>
      <c r="E3496">
        <v>396</v>
      </c>
      <c r="F3496">
        <v>90</v>
      </c>
      <c r="G3496">
        <v>35</v>
      </c>
      <c r="H3496">
        <v>10</v>
      </c>
      <c r="I3496">
        <v>55450.59</v>
      </c>
      <c r="J3496">
        <v>22</v>
      </c>
      <c r="K3496">
        <v>49342.59</v>
      </c>
      <c r="L3496">
        <v>21</v>
      </c>
      <c r="M3496">
        <v>104</v>
      </c>
      <c r="N3496">
        <v>382</v>
      </c>
      <c r="O3496">
        <f t="shared" si="108"/>
        <v>2024</v>
      </c>
      <c r="P3496">
        <f t="shared" si="109"/>
        <v>5</v>
      </c>
      <c r="Q3496" t="s">
        <v>325</v>
      </c>
      <c r="R3496" s="546" t="s">
        <v>804</v>
      </c>
    </row>
    <row r="3497" spans="1:18" x14ac:dyDescent="0.3">
      <c r="A3497" t="s">
        <v>627</v>
      </c>
      <c r="B3497" s="16">
        <v>45434</v>
      </c>
      <c r="C3497" t="s">
        <v>3</v>
      </c>
      <c r="D3497" t="s">
        <v>116</v>
      </c>
      <c r="E3497">
        <v>3</v>
      </c>
      <c r="F3497">
        <v>2</v>
      </c>
      <c r="G3497">
        <v>2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3</v>
      </c>
      <c r="O3497">
        <f t="shared" si="108"/>
        <v>2024</v>
      </c>
      <c r="P3497">
        <f t="shared" si="109"/>
        <v>5</v>
      </c>
      <c r="Q3497" t="s">
        <v>325</v>
      </c>
      <c r="R3497" s="546" t="s">
        <v>804</v>
      </c>
    </row>
    <row r="3498" spans="1:18" x14ac:dyDescent="0.3">
      <c r="A3498" t="s">
        <v>627</v>
      </c>
      <c r="B3498" s="16">
        <v>45434</v>
      </c>
      <c r="C3498" t="s">
        <v>3</v>
      </c>
      <c r="D3498" t="s">
        <v>115</v>
      </c>
      <c r="E3498">
        <v>3</v>
      </c>
      <c r="F3498">
        <v>1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3</v>
      </c>
      <c r="O3498">
        <f t="shared" si="108"/>
        <v>2024</v>
      </c>
      <c r="P3498">
        <f t="shared" si="109"/>
        <v>5</v>
      </c>
      <c r="Q3498" t="s">
        <v>325</v>
      </c>
      <c r="R3498" s="546" t="s">
        <v>804</v>
      </c>
    </row>
    <row r="3499" spans="1:18" x14ac:dyDescent="0.3">
      <c r="A3499" t="s">
        <v>627</v>
      </c>
      <c r="B3499" s="16">
        <v>45434</v>
      </c>
      <c r="C3499" t="s">
        <v>3</v>
      </c>
      <c r="D3499" t="s">
        <v>114</v>
      </c>
      <c r="E3499">
        <v>88</v>
      </c>
      <c r="F3499">
        <v>47</v>
      </c>
      <c r="G3499">
        <v>4</v>
      </c>
      <c r="H3499">
        <v>1</v>
      </c>
      <c r="I3499">
        <v>0</v>
      </c>
      <c r="J3499">
        <v>0</v>
      </c>
      <c r="K3499">
        <v>0</v>
      </c>
      <c r="L3499">
        <v>0</v>
      </c>
      <c r="M3499">
        <v>8</v>
      </c>
      <c r="N3499">
        <v>87</v>
      </c>
      <c r="O3499">
        <f t="shared" si="108"/>
        <v>2024</v>
      </c>
      <c r="P3499">
        <f t="shared" si="109"/>
        <v>5</v>
      </c>
      <c r="Q3499" t="s">
        <v>325</v>
      </c>
      <c r="R3499" s="546" t="s">
        <v>804</v>
      </c>
    </row>
    <row r="3500" spans="1:18" x14ac:dyDescent="0.3">
      <c r="A3500" t="s">
        <v>627</v>
      </c>
      <c r="B3500" s="16">
        <v>45434</v>
      </c>
      <c r="C3500" t="s">
        <v>3</v>
      </c>
      <c r="D3500" t="s">
        <v>113</v>
      </c>
      <c r="E3500">
        <v>131</v>
      </c>
      <c r="F3500">
        <v>56</v>
      </c>
      <c r="G3500">
        <v>4</v>
      </c>
      <c r="H3500">
        <v>0</v>
      </c>
      <c r="I3500">
        <v>5609</v>
      </c>
      <c r="J3500">
        <v>3</v>
      </c>
      <c r="K3500">
        <v>3692</v>
      </c>
      <c r="L3500">
        <v>2</v>
      </c>
      <c r="M3500">
        <v>78</v>
      </c>
      <c r="N3500">
        <v>90</v>
      </c>
      <c r="O3500">
        <f t="shared" si="108"/>
        <v>2024</v>
      </c>
      <c r="P3500">
        <f t="shared" si="109"/>
        <v>5</v>
      </c>
      <c r="Q3500" t="s">
        <v>325</v>
      </c>
      <c r="R3500" s="546" t="s">
        <v>804</v>
      </c>
    </row>
    <row r="3501" spans="1:18" x14ac:dyDescent="0.3">
      <c r="A3501" t="s">
        <v>627</v>
      </c>
      <c r="B3501" s="16">
        <v>45434</v>
      </c>
      <c r="C3501" t="s">
        <v>3</v>
      </c>
      <c r="D3501" t="s">
        <v>112</v>
      </c>
      <c r="E3501">
        <v>16</v>
      </c>
      <c r="F3501">
        <v>5</v>
      </c>
      <c r="G3501">
        <v>0</v>
      </c>
      <c r="H3501">
        <v>0</v>
      </c>
      <c r="I3501">
        <v>14291.19</v>
      </c>
      <c r="J3501">
        <v>6</v>
      </c>
      <c r="K3501">
        <v>14291.19</v>
      </c>
      <c r="L3501">
        <v>6</v>
      </c>
      <c r="M3501">
        <v>0</v>
      </c>
      <c r="N3501">
        <v>16</v>
      </c>
      <c r="O3501">
        <f t="shared" si="108"/>
        <v>2024</v>
      </c>
      <c r="P3501">
        <f t="shared" si="109"/>
        <v>5</v>
      </c>
      <c r="Q3501" t="s">
        <v>325</v>
      </c>
      <c r="R3501" s="546" t="s">
        <v>804</v>
      </c>
    </row>
    <row r="3502" spans="1:18" x14ac:dyDescent="0.3">
      <c r="A3502" t="s">
        <v>627</v>
      </c>
      <c r="B3502" s="16">
        <v>45434</v>
      </c>
      <c r="C3502" t="s">
        <v>3</v>
      </c>
      <c r="D3502" t="s">
        <v>111</v>
      </c>
      <c r="E3502">
        <v>18</v>
      </c>
      <c r="F3502">
        <v>13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18</v>
      </c>
      <c r="O3502">
        <f t="shared" si="108"/>
        <v>2024</v>
      </c>
      <c r="P3502">
        <f t="shared" si="109"/>
        <v>5</v>
      </c>
      <c r="Q3502" t="s">
        <v>325</v>
      </c>
      <c r="R3502" s="546" t="s">
        <v>804</v>
      </c>
    </row>
    <row r="3503" spans="1:18" x14ac:dyDescent="0.3">
      <c r="A3503" t="s">
        <v>627</v>
      </c>
      <c r="B3503" s="16">
        <v>45433</v>
      </c>
      <c r="C3503" t="s">
        <v>2</v>
      </c>
      <c r="D3503" t="s">
        <v>4</v>
      </c>
      <c r="E3503">
        <v>446</v>
      </c>
      <c r="F3503">
        <v>133</v>
      </c>
      <c r="G3503">
        <v>2</v>
      </c>
      <c r="H3503">
        <v>0</v>
      </c>
      <c r="I3503">
        <v>8242.07</v>
      </c>
      <c r="J3503">
        <v>3</v>
      </c>
      <c r="K3503">
        <v>8242.07</v>
      </c>
      <c r="L3503">
        <v>3</v>
      </c>
      <c r="M3503">
        <v>16</v>
      </c>
      <c r="N3503">
        <v>424</v>
      </c>
      <c r="O3503">
        <f t="shared" ref="O3503:O3566" si="110">YEAR(B3503)</f>
        <v>2024</v>
      </c>
      <c r="P3503">
        <f t="shared" ref="P3503:P3566" si="111">MONTH(B3503)</f>
        <v>5</v>
      </c>
      <c r="Q3503" t="s">
        <v>325</v>
      </c>
      <c r="R3503" s="546" t="s">
        <v>804</v>
      </c>
    </row>
    <row r="3504" spans="1:18" x14ac:dyDescent="0.3">
      <c r="A3504" t="s">
        <v>627</v>
      </c>
      <c r="B3504" s="16">
        <v>45433</v>
      </c>
      <c r="C3504" t="s">
        <v>2</v>
      </c>
      <c r="D3504" t="s">
        <v>57</v>
      </c>
      <c r="E3504">
        <v>28822</v>
      </c>
      <c r="F3504">
        <v>19040</v>
      </c>
      <c r="G3504">
        <v>361</v>
      </c>
      <c r="H3504">
        <v>167</v>
      </c>
      <c r="I3504">
        <v>366245.5</v>
      </c>
      <c r="J3504">
        <v>97</v>
      </c>
      <c r="K3504">
        <v>265055</v>
      </c>
      <c r="L3504">
        <v>80</v>
      </c>
      <c r="M3504">
        <v>1325</v>
      </c>
      <c r="N3504">
        <v>28776</v>
      </c>
      <c r="O3504">
        <f t="shared" si="110"/>
        <v>2024</v>
      </c>
      <c r="P3504">
        <f t="shared" si="111"/>
        <v>5</v>
      </c>
      <c r="Q3504" t="s">
        <v>325</v>
      </c>
      <c r="R3504" s="546" t="s">
        <v>804</v>
      </c>
    </row>
    <row r="3505" spans="1:18" x14ac:dyDescent="0.3">
      <c r="A3505" t="s">
        <v>627</v>
      </c>
      <c r="B3505" s="16">
        <v>45433</v>
      </c>
      <c r="C3505" t="s">
        <v>2</v>
      </c>
      <c r="D3505" t="s">
        <v>52</v>
      </c>
      <c r="E3505">
        <v>2365</v>
      </c>
      <c r="F3505">
        <v>1931</v>
      </c>
      <c r="G3505">
        <v>24</v>
      </c>
      <c r="H3505">
        <v>5</v>
      </c>
      <c r="I3505">
        <v>21638</v>
      </c>
      <c r="J3505">
        <v>6</v>
      </c>
      <c r="K3505">
        <v>16563</v>
      </c>
      <c r="L3505">
        <v>5</v>
      </c>
      <c r="M3505">
        <v>2365</v>
      </c>
      <c r="N3505">
        <v>707</v>
      </c>
      <c r="O3505">
        <f t="shared" si="110"/>
        <v>2024</v>
      </c>
      <c r="P3505">
        <f t="shared" si="111"/>
        <v>5</v>
      </c>
      <c r="Q3505" t="s">
        <v>325</v>
      </c>
      <c r="R3505" s="546" t="s">
        <v>804</v>
      </c>
    </row>
    <row r="3506" spans="1:18" x14ac:dyDescent="0.3">
      <c r="A3506" t="s">
        <v>627</v>
      </c>
      <c r="B3506" s="16">
        <v>45433</v>
      </c>
      <c r="C3506" t="s">
        <v>2</v>
      </c>
      <c r="D3506" t="s">
        <v>55</v>
      </c>
      <c r="E3506">
        <v>2907</v>
      </c>
      <c r="F3506">
        <v>1856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15</v>
      </c>
      <c r="O3506">
        <f t="shared" si="110"/>
        <v>2024</v>
      </c>
      <c r="P3506">
        <f t="shared" si="111"/>
        <v>5</v>
      </c>
      <c r="Q3506" t="s">
        <v>325</v>
      </c>
      <c r="R3506" s="546" t="s">
        <v>804</v>
      </c>
    </row>
    <row r="3507" spans="1:18" x14ac:dyDescent="0.3">
      <c r="A3507" t="s">
        <v>627</v>
      </c>
      <c r="B3507" s="16">
        <v>45433</v>
      </c>
      <c r="C3507" t="s">
        <v>3</v>
      </c>
      <c r="D3507" t="s">
        <v>155</v>
      </c>
      <c r="E3507">
        <v>5</v>
      </c>
      <c r="F3507">
        <v>3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5</v>
      </c>
      <c r="O3507">
        <f t="shared" si="110"/>
        <v>2024</v>
      </c>
      <c r="P3507">
        <f t="shared" si="111"/>
        <v>5</v>
      </c>
      <c r="Q3507" t="s">
        <v>325</v>
      </c>
      <c r="R3507" s="546" t="s">
        <v>804</v>
      </c>
    </row>
    <row r="3508" spans="1:18" x14ac:dyDescent="0.3">
      <c r="A3508" t="s">
        <v>627</v>
      </c>
      <c r="B3508" s="16">
        <v>45433</v>
      </c>
      <c r="C3508" t="s">
        <v>3</v>
      </c>
      <c r="D3508" t="s">
        <v>154</v>
      </c>
      <c r="E3508">
        <v>114</v>
      </c>
      <c r="F3508">
        <v>110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1</v>
      </c>
      <c r="O3508">
        <f t="shared" si="110"/>
        <v>2024</v>
      </c>
      <c r="P3508">
        <f t="shared" si="111"/>
        <v>5</v>
      </c>
      <c r="Q3508" t="s">
        <v>325</v>
      </c>
      <c r="R3508" s="546" t="s">
        <v>804</v>
      </c>
    </row>
    <row r="3509" spans="1:18" x14ac:dyDescent="0.3">
      <c r="A3509" t="s">
        <v>627</v>
      </c>
      <c r="B3509" s="16">
        <v>45433</v>
      </c>
      <c r="C3509" t="s">
        <v>3</v>
      </c>
      <c r="D3509" t="s">
        <v>153</v>
      </c>
      <c r="E3509">
        <v>580</v>
      </c>
      <c r="F3509">
        <v>137</v>
      </c>
      <c r="G3509">
        <v>63</v>
      </c>
      <c r="H3509">
        <v>2</v>
      </c>
      <c r="I3509">
        <v>251965.34</v>
      </c>
      <c r="J3509">
        <v>83</v>
      </c>
      <c r="K3509">
        <v>231192.34</v>
      </c>
      <c r="L3509">
        <v>78</v>
      </c>
      <c r="M3509">
        <v>172</v>
      </c>
      <c r="N3509">
        <v>557</v>
      </c>
      <c r="O3509">
        <f t="shared" si="110"/>
        <v>2024</v>
      </c>
      <c r="P3509">
        <f t="shared" si="111"/>
        <v>5</v>
      </c>
      <c r="Q3509" t="s">
        <v>325</v>
      </c>
      <c r="R3509" s="546" t="s">
        <v>804</v>
      </c>
    </row>
    <row r="3510" spans="1:18" x14ac:dyDescent="0.3">
      <c r="A3510" t="s">
        <v>627</v>
      </c>
      <c r="B3510" s="16">
        <v>45433</v>
      </c>
      <c r="C3510" t="s">
        <v>3</v>
      </c>
      <c r="D3510" t="s">
        <v>152</v>
      </c>
      <c r="E3510">
        <v>9</v>
      </c>
      <c r="F3510">
        <v>3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6</v>
      </c>
      <c r="O3510">
        <f t="shared" si="110"/>
        <v>2024</v>
      </c>
      <c r="P3510">
        <f t="shared" si="111"/>
        <v>5</v>
      </c>
      <c r="Q3510" t="s">
        <v>325</v>
      </c>
      <c r="R3510" s="546" t="s">
        <v>804</v>
      </c>
    </row>
    <row r="3511" spans="1:18" x14ac:dyDescent="0.3">
      <c r="A3511" t="s">
        <v>627</v>
      </c>
      <c r="B3511" s="16">
        <v>45433</v>
      </c>
      <c r="C3511" t="s">
        <v>3</v>
      </c>
      <c r="D3511" t="s">
        <v>150</v>
      </c>
      <c r="E3511">
        <v>3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3</v>
      </c>
      <c r="O3511">
        <f t="shared" si="110"/>
        <v>2024</v>
      </c>
      <c r="P3511">
        <f t="shared" si="111"/>
        <v>5</v>
      </c>
      <c r="Q3511" t="s">
        <v>325</v>
      </c>
      <c r="R3511" s="546" t="s">
        <v>804</v>
      </c>
    </row>
    <row r="3512" spans="1:18" x14ac:dyDescent="0.3">
      <c r="A3512" t="s">
        <v>627</v>
      </c>
      <c r="B3512" s="16">
        <v>45433</v>
      </c>
      <c r="C3512" t="s">
        <v>3</v>
      </c>
      <c r="D3512" t="s">
        <v>149</v>
      </c>
      <c r="E3512">
        <v>50</v>
      </c>
      <c r="F3512">
        <v>35</v>
      </c>
      <c r="G3512">
        <v>1</v>
      </c>
      <c r="H3512">
        <v>0</v>
      </c>
      <c r="I3512">
        <v>2297.5</v>
      </c>
      <c r="J3512">
        <v>1</v>
      </c>
      <c r="K3512">
        <v>2297.5</v>
      </c>
      <c r="L3512">
        <v>1</v>
      </c>
      <c r="M3512">
        <v>3</v>
      </c>
      <c r="N3512">
        <v>16</v>
      </c>
      <c r="O3512">
        <f t="shared" si="110"/>
        <v>2024</v>
      </c>
      <c r="P3512">
        <f t="shared" si="111"/>
        <v>5</v>
      </c>
      <c r="Q3512" t="s">
        <v>325</v>
      </c>
      <c r="R3512" s="546" t="s">
        <v>804</v>
      </c>
    </row>
    <row r="3513" spans="1:18" x14ac:dyDescent="0.3">
      <c r="A3513" t="s">
        <v>627</v>
      </c>
      <c r="B3513" s="16">
        <v>45433</v>
      </c>
      <c r="C3513" t="s">
        <v>3</v>
      </c>
      <c r="D3513" t="s">
        <v>148</v>
      </c>
      <c r="E3513">
        <v>3</v>
      </c>
      <c r="F3513">
        <v>3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3</v>
      </c>
      <c r="O3513">
        <f t="shared" si="110"/>
        <v>2024</v>
      </c>
      <c r="P3513">
        <f t="shared" si="111"/>
        <v>5</v>
      </c>
      <c r="Q3513" t="s">
        <v>325</v>
      </c>
      <c r="R3513" s="546" t="s">
        <v>804</v>
      </c>
    </row>
    <row r="3514" spans="1:18" x14ac:dyDescent="0.3">
      <c r="A3514" t="s">
        <v>627</v>
      </c>
      <c r="B3514" s="16">
        <v>45433</v>
      </c>
      <c r="C3514" t="s">
        <v>3</v>
      </c>
      <c r="D3514" t="s">
        <v>147</v>
      </c>
      <c r="E3514">
        <v>85</v>
      </c>
      <c r="F3514">
        <v>72</v>
      </c>
      <c r="G3514">
        <v>5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2</v>
      </c>
      <c r="N3514">
        <v>85</v>
      </c>
      <c r="O3514">
        <f t="shared" si="110"/>
        <v>2024</v>
      </c>
      <c r="P3514">
        <f t="shared" si="111"/>
        <v>5</v>
      </c>
      <c r="Q3514" t="s">
        <v>325</v>
      </c>
      <c r="R3514" s="546" t="s">
        <v>804</v>
      </c>
    </row>
    <row r="3515" spans="1:18" x14ac:dyDescent="0.3">
      <c r="A3515" t="s">
        <v>627</v>
      </c>
      <c r="B3515" s="16">
        <v>45433</v>
      </c>
      <c r="C3515" t="s">
        <v>3</v>
      </c>
      <c r="D3515" t="s">
        <v>144</v>
      </c>
      <c r="E3515">
        <v>1</v>
      </c>
      <c r="F3515">
        <v>1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f t="shared" si="110"/>
        <v>2024</v>
      </c>
      <c r="P3515">
        <f t="shared" si="111"/>
        <v>5</v>
      </c>
      <c r="Q3515" t="s">
        <v>325</v>
      </c>
      <c r="R3515" s="546" t="s">
        <v>804</v>
      </c>
    </row>
    <row r="3516" spans="1:18" x14ac:dyDescent="0.3">
      <c r="A3516" t="s">
        <v>627</v>
      </c>
      <c r="B3516" s="16">
        <v>45433</v>
      </c>
      <c r="C3516" t="s">
        <v>3</v>
      </c>
      <c r="D3516" t="s">
        <v>251</v>
      </c>
      <c r="E3516">
        <v>2003</v>
      </c>
      <c r="F3516">
        <v>1218</v>
      </c>
      <c r="G3516">
        <v>8</v>
      </c>
      <c r="H3516">
        <v>8</v>
      </c>
      <c r="I3516">
        <v>15443</v>
      </c>
      <c r="J3516">
        <v>7</v>
      </c>
      <c r="K3516">
        <v>11648</v>
      </c>
      <c r="L3516">
        <v>6</v>
      </c>
      <c r="M3516">
        <v>77</v>
      </c>
      <c r="N3516">
        <v>537</v>
      </c>
      <c r="O3516">
        <f t="shared" si="110"/>
        <v>2024</v>
      </c>
      <c r="P3516">
        <f t="shared" si="111"/>
        <v>5</v>
      </c>
      <c r="Q3516" t="s">
        <v>325</v>
      </c>
      <c r="R3516" s="546" t="s">
        <v>804</v>
      </c>
    </row>
    <row r="3517" spans="1:18" x14ac:dyDescent="0.3">
      <c r="A3517" t="s">
        <v>627</v>
      </c>
      <c r="B3517" s="16">
        <v>45433</v>
      </c>
      <c r="C3517" t="s">
        <v>3</v>
      </c>
      <c r="D3517" t="s">
        <v>143</v>
      </c>
      <c r="E3517">
        <v>19</v>
      </c>
      <c r="F3517">
        <v>19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19</v>
      </c>
      <c r="O3517">
        <f t="shared" si="110"/>
        <v>2024</v>
      </c>
      <c r="P3517">
        <f t="shared" si="111"/>
        <v>5</v>
      </c>
      <c r="Q3517" t="s">
        <v>325</v>
      </c>
      <c r="R3517" s="546" t="s">
        <v>804</v>
      </c>
    </row>
    <row r="3518" spans="1:18" x14ac:dyDescent="0.3">
      <c r="A3518" t="s">
        <v>627</v>
      </c>
      <c r="B3518" s="16">
        <v>45433</v>
      </c>
      <c r="C3518" t="s">
        <v>3</v>
      </c>
      <c r="D3518" t="s">
        <v>142</v>
      </c>
      <c r="E3518">
        <v>15</v>
      </c>
      <c r="F3518">
        <v>2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1</v>
      </c>
      <c r="N3518">
        <v>15</v>
      </c>
      <c r="O3518">
        <f t="shared" si="110"/>
        <v>2024</v>
      </c>
      <c r="P3518">
        <f t="shared" si="111"/>
        <v>5</v>
      </c>
      <c r="Q3518" t="s">
        <v>325</v>
      </c>
      <c r="R3518" s="546" t="s">
        <v>804</v>
      </c>
    </row>
    <row r="3519" spans="1:18" x14ac:dyDescent="0.3">
      <c r="A3519" t="s">
        <v>627</v>
      </c>
      <c r="B3519" s="16">
        <v>45433</v>
      </c>
      <c r="C3519" t="s">
        <v>3</v>
      </c>
      <c r="D3519" t="s">
        <v>141</v>
      </c>
      <c r="E3519">
        <v>3</v>
      </c>
      <c r="F3519">
        <v>3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2</v>
      </c>
      <c r="N3519">
        <v>1</v>
      </c>
      <c r="O3519">
        <f t="shared" si="110"/>
        <v>2024</v>
      </c>
      <c r="P3519">
        <f t="shared" si="111"/>
        <v>5</v>
      </c>
      <c r="Q3519" t="s">
        <v>325</v>
      </c>
      <c r="R3519" s="546" t="s">
        <v>804</v>
      </c>
    </row>
    <row r="3520" spans="1:18" x14ac:dyDescent="0.3">
      <c r="A3520" t="s">
        <v>627</v>
      </c>
      <c r="B3520" s="16">
        <v>45433</v>
      </c>
      <c r="C3520" t="s">
        <v>3</v>
      </c>
      <c r="D3520" t="s">
        <v>140</v>
      </c>
      <c r="E3520">
        <v>10</v>
      </c>
      <c r="F3520">
        <v>10</v>
      </c>
      <c r="G3520">
        <v>3</v>
      </c>
      <c r="H3520">
        <v>0</v>
      </c>
      <c r="I3520">
        <v>5224</v>
      </c>
      <c r="J3520">
        <v>2</v>
      </c>
      <c r="K3520">
        <v>5224</v>
      </c>
      <c r="L3520">
        <v>2</v>
      </c>
      <c r="M3520">
        <v>2</v>
      </c>
      <c r="N3520">
        <v>8</v>
      </c>
      <c r="O3520">
        <f t="shared" si="110"/>
        <v>2024</v>
      </c>
      <c r="P3520">
        <f t="shared" si="111"/>
        <v>5</v>
      </c>
      <c r="Q3520" t="s">
        <v>325</v>
      </c>
      <c r="R3520" s="546" t="s">
        <v>804</v>
      </c>
    </row>
    <row r="3521" spans="1:18" x14ac:dyDescent="0.3">
      <c r="A3521" t="s">
        <v>627</v>
      </c>
      <c r="B3521" s="16">
        <v>45433</v>
      </c>
      <c r="C3521" t="s">
        <v>3</v>
      </c>
      <c r="D3521" t="s">
        <v>139</v>
      </c>
      <c r="E3521">
        <v>665</v>
      </c>
      <c r="F3521">
        <v>297</v>
      </c>
      <c r="G3521">
        <v>38</v>
      </c>
      <c r="H3521">
        <v>6</v>
      </c>
      <c r="I3521">
        <v>81578.399999999994</v>
      </c>
      <c r="J3521">
        <v>23</v>
      </c>
      <c r="K3521">
        <v>46898.75</v>
      </c>
      <c r="L3521">
        <v>21</v>
      </c>
      <c r="M3521">
        <v>387</v>
      </c>
      <c r="N3521">
        <v>459</v>
      </c>
      <c r="O3521">
        <f t="shared" si="110"/>
        <v>2024</v>
      </c>
      <c r="P3521">
        <f t="shared" si="111"/>
        <v>5</v>
      </c>
      <c r="Q3521" t="s">
        <v>325</v>
      </c>
      <c r="R3521" s="546" t="s">
        <v>804</v>
      </c>
    </row>
    <row r="3522" spans="1:18" x14ac:dyDescent="0.3">
      <c r="A3522" t="s">
        <v>627</v>
      </c>
      <c r="B3522" s="16">
        <v>45433</v>
      </c>
      <c r="C3522" t="s">
        <v>3</v>
      </c>
      <c r="D3522" t="s">
        <v>138</v>
      </c>
      <c r="E3522">
        <v>17</v>
      </c>
      <c r="F3522">
        <v>11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7</v>
      </c>
      <c r="N3522">
        <v>14</v>
      </c>
      <c r="O3522">
        <f t="shared" si="110"/>
        <v>2024</v>
      </c>
      <c r="P3522">
        <f t="shared" si="111"/>
        <v>5</v>
      </c>
      <c r="Q3522" t="s">
        <v>325</v>
      </c>
      <c r="R3522" s="546" t="s">
        <v>804</v>
      </c>
    </row>
    <row r="3523" spans="1:18" x14ac:dyDescent="0.3">
      <c r="A3523" t="s">
        <v>627</v>
      </c>
      <c r="B3523" s="16">
        <v>45433</v>
      </c>
      <c r="C3523" t="s">
        <v>3</v>
      </c>
      <c r="D3523" t="s">
        <v>137</v>
      </c>
      <c r="E3523">
        <v>8</v>
      </c>
      <c r="F3523">
        <v>5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3</v>
      </c>
      <c r="N3523">
        <v>8</v>
      </c>
      <c r="O3523">
        <f t="shared" si="110"/>
        <v>2024</v>
      </c>
      <c r="P3523">
        <f t="shared" si="111"/>
        <v>5</v>
      </c>
      <c r="Q3523" t="s">
        <v>325</v>
      </c>
      <c r="R3523" s="546" t="s">
        <v>804</v>
      </c>
    </row>
    <row r="3524" spans="1:18" x14ac:dyDescent="0.3">
      <c r="A3524" t="s">
        <v>627</v>
      </c>
      <c r="B3524" s="16">
        <v>45433</v>
      </c>
      <c r="C3524" t="s">
        <v>3</v>
      </c>
      <c r="D3524" t="s">
        <v>133</v>
      </c>
      <c r="E3524">
        <v>21</v>
      </c>
      <c r="F3524">
        <v>7</v>
      </c>
      <c r="G3524">
        <v>5</v>
      </c>
      <c r="H3524">
        <v>0</v>
      </c>
      <c r="I3524">
        <v>7954</v>
      </c>
      <c r="J3524">
        <v>3</v>
      </c>
      <c r="K3524">
        <v>7954</v>
      </c>
      <c r="L3524">
        <v>3</v>
      </c>
      <c r="M3524">
        <v>6</v>
      </c>
      <c r="N3524">
        <v>19</v>
      </c>
      <c r="O3524">
        <f t="shared" si="110"/>
        <v>2024</v>
      </c>
      <c r="P3524">
        <f t="shared" si="111"/>
        <v>5</v>
      </c>
      <c r="Q3524" t="s">
        <v>325</v>
      </c>
      <c r="R3524" s="546" t="s">
        <v>804</v>
      </c>
    </row>
    <row r="3525" spans="1:18" x14ac:dyDescent="0.3">
      <c r="A3525" t="s">
        <v>627</v>
      </c>
      <c r="B3525" s="16">
        <v>45433</v>
      </c>
      <c r="C3525" t="s">
        <v>3</v>
      </c>
      <c r="D3525" t="s">
        <v>132</v>
      </c>
      <c r="E3525">
        <v>1</v>
      </c>
      <c r="F3525">
        <v>1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1</v>
      </c>
      <c r="O3525">
        <f t="shared" si="110"/>
        <v>2024</v>
      </c>
      <c r="P3525">
        <f t="shared" si="111"/>
        <v>5</v>
      </c>
      <c r="Q3525" t="s">
        <v>325</v>
      </c>
      <c r="R3525" s="546" t="s">
        <v>804</v>
      </c>
    </row>
    <row r="3526" spans="1:18" x14ac:dyDescent="0.3">
      <c r="A3526" t="s">
        <v>627</v>
      </c>
      <c r="B3526" s="16">
        <v>45433</v>
      </c>
      <c r="C3526" t="s">
        <v>3</v>
      </c>
      <c r="D3526" t="s">
        <v>131</v>
      </c>
      <c r="E3526">
        <v>1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1</v>
      </c>
      <c r="O3526">
        <f t="shared" si="110"/>
        <v>2024</v>
      </c>
      <c r="P3526">
        <f t="shared" si="111"/>
        <v>5</v>
      </c>
      <c r="Q3526" t="s">
        <v>325</v>
      </c>
      <c r="R3526" s="546" t="s">
        <v>804</v>
      </c>
    </row>
    <row r="3527" spans="1:18" x14ac:dyDescent="0.3">
      <c r="A3527" t="s">
        <v>627</v>
      </c>
      <c r="B3527" s="16">
        <v>45433</v>
      </c>
      <c r="C3527" t="s">
        <v>3</v>
      </c>
      <c r="D3527" t="s">
        <v>130</v>
      </c>
      <c r="E3527">
        <v>132</v>
      </c>
      <c r="F3527">
        <v>60</v>
      </c>
      <c r="G3527">
        <v>15</v>
      </c>
      <c r="H3527">
        <v>2</v>
      </c>
      <c r="I3527">
        <v>90155.63</v>
      </c>
      <c r="J3527">
        <v>18</v>
      </c>
      <c r="K3527">
        <v>51969.63</v>
      </c>
      <c r="L3527">
        <v>16</v>
      </c>
      <c r="M3527">
        <v>66</v>
      </c>
      <c r="N3527">
        <v>119</v>
      </c>
      <c r="O3527">
        <f t="shared" si="110"/>
        <v>2024</v>
      </c>
      <c r="P3527">
        <f t="shared" si="111"/>
        <v>5</v>
      </c>
      <c r="Q3527" t="s">
        <v>325</v>
      </c>
      <c r="R3527" s="546" t="s">
        <v>804</v>
      </c>
    </row>
    <row r="3528" spans="1:18" x14ac:dyDescent="0.3">
      <c r="A3528" t="s">
        <v>627</v>
      </c>
      <c r="B3528" s="16">
        <v>45433</v>
      </c>
      <c r="C3528" t="s">
        <v>3</v>
      </c>
      <c r="D3528" t="s">
        <v>129</v>
      </c>
      <c r="E3528">
        <v>2</v>
      </c>
      <c r="F3528">
        <v>2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f t="shared" si="110"/>
        <v>2024</v>
      </c>
      <c r="P3528">
        <f t="shared" si="111"/>
        <v>5</v>
      </c>
      <c r="Q3528" t="s">
        <v>325</v>
      </c>
      <c r="R3528" s="546" t="s">
        <v>804</v>
      </c>
    </row>
    <row r="3529" spans="1:18" x14ac:dyDescent="0.3">
      <c r="A3529" t="s">
        <v>627</v>
      </c>
      <c r="B3529" s="16">
        <v>45433</v>
      </c>
      <c r="C3529" t="s">
        <v>3</v>
      </c>
      <c r="D3529" t="s">
        <v>128</v>
      </c>
      <c r="E3529">
        <v>721</v>
      </c>
      <c r="F3529">
        <v>552</v>
      </c>
      <c r="G3529">
        <v>57</v>
      </c>
      <c r="H3529">
        <v>9</v>
      </c>
      <c r="I3529">
        <v>93287.5</v>
      </c>
      <c r="J3529">
        <v>22</v>
      </c>
      <c r="K3529">
        <v>49012.5</v>
      </c>
      <c r="L3529">
        <v>19</v>
      </c>
      <c r="M3529">
        <v>272</v>
      </c>
      <c r="N3529">
        <v>603</v>
      </c>
      <c r="O3529">
        <f t="shared" si="110"/>
        <v>2024</v>
      </c>
      <c r="P3529">
        <f t="shared" si="111"/>
        <v>5</v>
      </c>
      <c r="Q3529" t="s">
        <v>325</v>
      </c>
      <c r="R3529" s="546" t="s">
        <v>804</v>
      </c>
    </row>
    <row r="3530" spans="1:18" x14ac:dyDescent="0.3">
      <c r="A3530" t="s">
        <v>627</v>
      </c>
      <c r="B3530" s="16">
        <v>45433</v>
      </c>
      <c r="C3530" t="s">
        <v>3</v>
      </c>
      <c r="D3530" t="s">
        <v>127</v>
      </c>
      <c r="E3530">
        <v>1850</v>
      </c>
      <c r="F3530">
        <v>1151</v>
      </c>
      <c r="G3530">
        <v>44</v>
      </c>
      <c r="H3530">
        <v>17</v>
      </c>
      <c r="I3530">
        <v>24179.13</v>
      </c>
      <c r="J3530">
        <v>11</v>
      </c>
      <c r="K3530">
        <v>20886.13</v>
      </c>
      <c r="L3530">
        <v>9</v>
      </c>
      <c r="M3530">
        <v>333</v>
      </c>
      <c r="N3530">
        <v>1222</v>
      </c>
      <c r="O3530">
        <f t="shared" si="110"/>
        <v>2024</v>
      </c>
      <c r="P3530">
        <f t="shared" si="111"/>
        <v>5</v>
      </c>
      <c r="Q3530" t="s">
        <v>325</v>
      </c>
      <c r="R3530" s="546" t="s">
        <v>804</v>
      </c>
    </row>
    <row r="3531" spans="1:18" x14ac:dyDescent="0.3">
      <c r="A3531" t="s">
        <v>627</v>
      </c>
      <c r="B3531" s="16">
        <v>45433</v>
      </c>
      <c r="C3531" t="s">
        <v>3</v>
      </c>
      <c r="D3531" t="s">
        <v>126</v>
      </c>
      <c r="E3531">
        <v>104</v>
      </c>
      <c r="F3531">
        <v>61</v>
      </c>
      <c r="G3531">
        <v>4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20</v>
      </c>
      <c r="N3531">
        <v>99</v>
      </c>
      <c r="O3531">
        <f t="shared" si="110"/>
        <v>2024</v>
      </c>
      <c r="P3531">
        <f t="shared" si="111"/>
        <v>5</v>
      </c>
      <c r="Q3531" t="s">
        <v>325</v>
      </c>
      <c r="R3531" s="546" t="s">
        <v>804</v>
      </c>
    </row>
    <row r="3532" spans="1:18" x14ac:dyDescent="0.3">
      <c r="A3532" t="s">
        <v>627</v>
      </c>
      <c r="B3532" s="16">
        <v>45433</v>
      </c>
      <c r="C3532" t="s">
        <v>3</v>
      </c>
      <c r="D3532" t="s">
        <v>125</v>
      </c>
      <c r="E3532">
        <v>6</v>
      </c>
      <c r="F3532">
        <v>1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2</v>
      </c>
      <c r="N3532">
        <v>5</v>
      </c>
      <c r="O3532">
        <f t="shared" si="110"/>
        <v>2024</v>
      </c>
      <c r="P3532">
        <f t="shared" si="111"/>
        <v>5</v>
      </c>
      <c r="Q3532" t="s">
        <v>325</v>
      </c>
      <c r="R3532" s="546" t="s">
        <v>804</v>
      </c>
    </row>
    <row r="3533" spans="1:18" x14ac:dyDescent="0.3">
      <c r="A3533" t="s">
        <v>627</v>
      </c>
      <c r="B3533" s="16">
        <v>45433</v>
      </c>
      <c r="C3533" t="s">
        <v>3</v>
      </c>
      <c r="D3533" t="s">
        <v>123</v>
      </c>
      <c r="E3533">
        <v>240</v>
      </c>
      <c r="F3533">
        <v>105</v>
      </c>
      <c r="G3533">
        <v>22</v>
      </c>
      <c r="H3533">
        <v>3</v>
      </c>
      <c r="I3533">
        <v>11715.5</v>
      </c>
      <c r="J3533">
        <v>6</v>
      </c>
      <c r="K3533">
        <v>11715.5</v>
      </c>
      <c r="L3533">
        <v>6</v>
      </c>
      <c r="M3533">
        <v>94</v>
      </c>
      <c r="N3533">
        <v>190</v>
      </c>
      <c r="O3533">
        <f t="shared" si="110"/>
        <v>2024</v>
      </c>
      <c r="P3533">
        <f t="shared" si="111"/>
        <v>5</v>
      </c>
      <c r="Q3533" t="s">
        <v>325</v>
      </c>
      <c r="R3533" s="546" t="s">
        <v>804</v>
      </c>
    </row>
    <row r="3534" spans="1:18" x14ac:dyDescent="0.3">
      <c r="A3534" t="s">
        <v>627</v>
      </c>
      <c r="B3534" s="16">
        <v>45433</v>
      </c>
      <c r="C3534" t="s">
        <v>3</v>
      </c>
      <c r="D3534" t="s">
        <v>121</v>
      </c>
      <c r="E3534">
        <v>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2</v>
      </c>
      <c r="N3534">
        <v>0</v>
      </c>
      <c r="O3534">
        <f t="shared" si="110"/>
        <v>2024</v>
      </c>
      <c r="P3534">
        <f t="shared" si="111"/>
        <v>5</v>
      </c>
      <c r="Q3534" t="s">
        <v>325</v>
      </c>
      <c r="R3534" s="546" t="s">
        <v>804</v>
      </c>
    </row>
    <row r="3535" spans="1:18" x14ac:dyDescent="0.3">
      <c r="A3535" t="s">
        <v>627</v>
      </c>
      <c r="B3535" s="16">
        <v>45433</v>
      </c>
      <c r="C3535" t="s">
        <v>3</v>
      </c>
      <c r="D3535" t="s">
        <v>120</v>
      </c>
      <c r="E3535">
        <v>626</v>
      </c>
      <c r="F3535">
        <v>349</v>
      </c>
      <c r="G3535">
        <v>4</v>
      </c>
      <c r="H3535">
        <v>0</v>
      </c>
      <c r="I3535">
        <v>17200.5</v>
      </c>
      <c r="J3535">
        <v>7</v>
      </c>
      <c r="K3535">
        <v>13405.5</v>
      </c>
      <c r="L3535">
        <v>6</v>
      </c>
      <c r="M3535">
        <v>65</v>
      </c>
      <c r="N3535">
        <v>620</v>
      </c>
      <c r="O3535">
        <f t="shared" si="110"/>
        <v>2024</v>
      </c>
      <c r="P3535">
        <f t="shared" si="111"/>
        <v>5</v>
      </c>
      <c r="Q3535" t="s">
        <v>325</v>
      </c>
      <c r="R3535" s="546" t="s">
        <v>804</v>
      </c>
    </row>
    <row r="3536" spans="1:18" x14ac:dyDescent="0.3">
      <c r="A3536" t="s">
        <v>627</v>
      </c>
      <c r="B3536" s="16">
        <v>45433</v>
      </c>
      <c r="C3536" t="s">
        <v>3</v>
      </c>
      <c r="D3536" t="s">
        <v>119</v>
      </c>
      <c r="E3536">
        <v>445</v>
      </c>
      <c r="F3536">
        <v>131</v>
      </c>
      <c r="G3536">
        <v>34</v>
      </c>
      <c r="H3536">
        <v>4</v>
      </c>
      <c r="I3536">
        <v>95059.87</v>
      </c>
      <c r="J3536">
        <v>29</v>
      </c>
      <c r="K3536">
        <v>74824.87</v>
      </c>
      <c r="L3536">
        <v>26</v>
      </c>
      <c r="M3536">
        <v>126</v>
      </c>
      <c r="N3536">
        <v>398</v>
      </c>
      <c r="O3536">
        <f t="shared" si="110"/>
        <v>2024</v>
      </c>
      <c r="P3536">
        <f t="shared" si="111"/>
        <v>5</v>
      </c>
      <c r="Q3536" t="s">
        <v>325</v>
      </c>
      <c r="R3536" s="546" t="s">
        <v>804</v>
      </c>
    </row>
    <row r="3537" spans="1:18" x14ac:dyDescent="0.3">
      <c r="A3537" t="s">
        <v>627</v>
      </c>
      <c r="B3537" s="16">
        <v>45433</v>
      </c>
      <c r="C3537" t="s">
        <v>3</v>
      </c>
      <c r="D3537" t="s">
        <v>116</v>
      </c>
      <c r="E3537">
        <v>3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3</v>
      </c>
      <c r="O3537">
        <f t="shared" si="110"/>
        <v>2024</v>
      </c>
      <c r="P3537">
        <f t="shared" si="111"/>
        <v>5</v>
      </c>
      <c r="Q3537" t="s">
        <v>325</v>
      </c>
      <c r="R3537" s="546" t="s">
        <v>804</v>
      </c>
    </row>
    <row r="3538" spans="1:18" x14ac:dyDescent="0.3">
      <c r="A3538" t="s">
        <v>627</v>
      </c>
      <c r="B3538" s="16">
        <v>45433</v>
      </c>
      <c r="C3538" t="s">
        <v>3</v>
      </c>
      <c r="D3538" t="s">
        <v>115</v>
      </c>
      <c r="E3538">
        <v>6</v>
      </c>
      <c r="F3538">
        <v>2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1</v>
      </c>
      <c r="N3538">
        <v>5</v>
      </c>
      <c r="O3538">
        <f t="shared" si="110"/>
        <v>2024</v>
      </c>
      <c r="P3538">
        <f t="shared" si="111"/>
        <v>5</v>
      </c>
      <c r="Q3538" t="s">
        <v>325</v>
      </c>
      <c r="R3538" s="546" t="s">
        <v>804</v>
      </c>
    </row>
    <row r="3539" spans="1:18" x14ac:dyDescent="0.3">
      <c r="A3539" t="s">
        <v>627</v>
      </c>
      <c r="B3539" s="16">
        <v>45433</v>
      </c>
      <c r="C3539" t="s">
        <v>3</v>
      </c>
      <c r="D3539" t="s">
        <v>114</v>
      </c>
      <c r="E3539">
        <v>71</v>
      </c>
      <c r="F3539">
        <v>40</v>
      </c>
      <c r="G3539">
        <v>2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6</v>
      </c>
      <c r="N3539">
        <v>63</v>
      </c>
      <c r="O3539">
        <f t="shared" si="110"/>
        <v>2024</v>
      </c>
      <c r="P3539">
        <f t="shared" si="111"/>
        <v>5</v>
      </c>
      <c r="Q3539" t="s">
        <v>325</v>
      </c>
      <c r="R3539" s="546" t="s">
        <v>804</v>
      </c>
    </row>
    <row r="3540" spans="1:18" x14ac:dyDescent="0.3">
      <c r="A3540" t="s">
        <v>627</v>
      </c>
      <c r="B3540" s="16">
        <v>45433</v>
      </c>
      <c r="C3540" t="s">
        <v>3</v>
      </c>
      <c r="D3540" t="s">
        <v>113</v>
      </c>
      <c r="E3540">
        <v>141</v>
      </c>
      <c r="F3540">
        <v>64</v>
      </c>
      <c r="G3540">
        <v>2</v>
      </c>
      <c r="H3540">
        <v>0</v>
      </c>
      <c r="I3540">
        <v>3222</v>
      </c>
      <c r="J3540">
        <v>2</v>
      </c>
      <c r="K3540">
        <v>3222</v>
      </c>
      <c r="L3540">
        <v>2</v>
      </c>
      <c r="M3540">
        <v>86</v>
      </c>
      <c r="N3540">
        <v>81</v>
      </c>
      <c r="O3540">
        <f t="shared" si="110"/>
        <v>2024</v>
      </c>
      <c r="P3540">
        <f t="shared" si="111"/>
        <v>5</v>
      </c>
      <c r="Q3540" t="s">
        <v>325</v>
      </c>
      <c r="R3540" s="546" t="s">
        <v>804</v>
      </c>
    </row>
    <row r="3541" spans="1:18" x14ac:dyDescent="0.3">
      <c r="A3541" t="s">
        <v>627</v>
      </c>
      <c r="B3541" s="16">
        <v>45433</v>
      </c>
      <c r="C3541" t="s">
        <v>3</v>
      </c>
      <c r="D3541" t="s">
        <v>112</v>
      </c>
      <c r="E3541">
        <v>20</v>
      </c>
      <c r="F3541">
        <v>9</v>
      </c>
      <c r="G3541">
        <v>0</v>
      </c>
      <c r="H3541">
        <v>1</v>
      </c>
      <c r="I3541">
        <v>9868</v>
      </c>
      <c r="J3541">
        <v>4</v>
      </c>
      <c r="K3541">
        <v>9868</v>
      </c>
      <c r="L3541">
        <v>4</v>
      </c>
      <c r="M3541">
        <v>0</v>
      </c>
      <c r="N3541">
        <v>20</v>
      </c>
      <c r="O3541">
        <f t="shared" si="110"/>
        <v>2024</v>
      </c>
      <c r="P3541">
        <f t="shared" si="111"/>
        <v>5</v>
      </c>
      <c r="Q3541" t="s">
        <v>325</v>
      </c>
      <c r="R3541" s="546" t="s">
        <v>804</v>
      </c>
    </row>
    <row r="3542" spans="1:18" x14ac:dyDescent="0.3">
      <c r="A3542" t="s">
        <v>627</v>
      </c>
      <c r="B3542" s="16">
        <v>45433</v>
      </c>
      <c r="C3542" t="s">
        <v>3</v>
      </c>
      <c r="D3542" t="s">
        <v>111</v>
      </c>
      <c r="E3542">
        <v>7</v>
      </c>
      <c r="F3542">
        <v>4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7</v>
      </c>
      <c r="O3542">
        <f t="shared" si="110"/>
        <v>2024</v>
      </c>
      <c r="P3542">
        <f t="shared" si="111"/>
        <v>5</v>
      </c>
      <c r="Q3542" t="s">
        <v>325</v>
      </c>
      <c r="R3542" s="546" t="s">
        <v>804</v>
      </c>
    </row>
    <row r="3543" spans="1:18" x14ac:dyDescent="0.3">
      <c r="A3543" t="s">
        <v>627</v>
      </c>
      <c r="B3543" s="16">
        <v>45432</v>
      </c>
      <c r="C3543" t="s">
        <v>2</v>
      </c>
      <c r="D3543" t="s">
        <v>4</v>
      </c>
      <c r="E3543">
        <v>511</v>
      </c>
      <c r="F3543">
        <v>180</v>
      </c>
      <c r="G3543">
        <v>7</v>
      </c>
      <c r="H3543">
        <v>1</v>
      </c>
      <c r="I3543">
        <v>16463.59</v>
      </c>
      <c r="J3543">
        <v>6</v>
      </c>
      <c r="K3543">
        <v>14786.59</v>
      </c>
      <c r="L3543">
        <v>6</v>
      </c>
      <c r="M3543">
        <v>15</v>
      </c>
      <c r="N3543">
        <v>481</v>
      </c>
      <c r="O3543">
        <f t="shared" si="110"/>
        <v>2024</v>
      </c>
      <c r="P3543">
        <f t="shared" si="111"/>
        <v>5</v>
      </c>
      <c r="Q3543" t="s">
        <v>325</v>
      </c>
      <c r="R3543" s="546" t="s">
        <v>804</v>
      </c>
    </row>
    <row r="3544" spans="1:18" x14ac:dyDescent="0.3">
      <c r="A3544" t="s">
        <v>627</v>
      </c>
      <c r="B3544" s="16">
        <v>45432</v>
      </c>
      <c r="C3544" t="s">
        <v>2</v>
      </c>
      <c r="D3544" t="s">
        <v>57</v>
      </c>
      <c r="E3544">
        <v>26768</v>
      </c>
      <c r="F3544">
        <v>16859</v>
      </c>
      <c r="G3544">
        <v>431</v>
      </c>
      <c r="H3544">
        <v>106</v>
      </c>
      <c r="I3544">
        <v>528816.89</v>
      </c>
      <c r="J3544">
        <v>182</v>
      </c>
      <c r="K3544">
        <v>468880.64000000001</v>
      </c>
      <c r="L3544">
        <v>174</v>
      </c>
      <c r="M3544">
        <v>1378</v>
      </c>
      <c r="N3544">
        <v>26702</v>
      </c>
      <c r="O3544">
        <f t="shared" si="110"/>
        <v>2024</v>
      </c>
      <c r="P3544">
        <f t="shared" si="111"/>
        <v>5</v>
      </c>
      <c r="Q3544" t="s">
        <v>325</v>
      </c>
      <c r="R3544" s="546" t="s">
        <v>804</v>
      </c>
    </row>
    <row r="3545" spans="1:18" x14ac:dyDescent="0.3">
      <c r="A3545" t="s">
        <v>627</v>
      </c>
      <c r="B3545" s="16">
        <v>45432</v>
      </c>
      <c r="C3545" t="s">
        <v>2</v>
      </c>
      <c r="D3545" t="s">
        <v>52</v>
      </c>
      <c r="E3545">
        <v>2816</v>
      </c>
      <c r="F3545">
        <v>2277</v>
      </c>
      <c r="G3545">
        <v>24</v>
      </c>
      <c r="H3545">
        <v>9</v>
      </c>
      <c r="I3545">
        <v>44963</v>
      </c>
      <c r="J3545">
        <v>15</v>
      </c>
      <c r="K3545">
        <v>26955</v>
      </c>
      <c r="L3545">
        <v>12</v>
      </c>
      <c r="M3545">
        <v>2816</v>
      </c>
      <c r="N3545">
        <v>919</v>
      </c>
      <c r="O3545">
        <f t="shared" si="110"/>
        <v>2024</v>
      </c>
      <c r="P3545">
        <f t="shared" si="111"/>
        <v>5</v>
      </c>
      <c r="Q3545" t="s">
        <v>325</v>
      </c>
      <c r="R3545" s="546" t="s">
        <v>804</v>
      </c>
    </row>
    <row r="3546" spans="1:18" x14ac:dyDescent="0.3">
      <c r="A3546" t="s">
        <v>627</v>
      </c>
      <c r="B3546" s="16">
        <v>45432</v>
      </c>
      <c r="C3546" t="s">
        <v>2</v>
      </c>
      <c r="D3546" t="s">
        <v>55</v>
      </c>
      <c r="E3546">
        <v>4173</v>
      </c>
      <c r="F3546">
        <v>3722</v>
      </c>
      <c r="G3546">
        <v>7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12</v>
      </c>
      <c r="N3546">
        <v>1522</v>
      </c>
      <c r="O3546">
        <f t="shared" si="110"/>
        <v>2024</v>
      </c>
      <c r="P3546">
        <f t="shared" si="111"/>
        <v>5</v>
      </c>
      <c r="Q3546" t="s">
        <v>325</v>
      </c>
      <c r="R3546" s="546" t="s">
        <v>804</v>
      </c>
    </row>
    <row r="3547" spans="1:18" x14ac:dyDescent="0.3">
      <c r="A3547" t="s">
        <v>627</v>
      </c>
      <c r="B3547" s="16">
        <v>45432</v>
      </c>
      <c r="C3547" t="s">
        <v>3</v>
      </c>
      <c r="D3547" t="s">
        <v>155</v>
      </c>
      <c r="E3547">
        <v>6</v>
      </c>
      <c r="F3547">
        <v>6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6</v>
      </c>
      <c r="O3547">
        <f t="shared" si="110"/>
        <v>2024</v>
      </c>
      <c r="P3547">
        <f t="shared" si="111"/>
        <v>5</v>
      </c>
      <c r="Q3547" t="s">
        <v>325</v>
      </c>
      <c r="R3547" s="546" t="s">
        <v>804</v>
      </c>
    </row>
    <row r="3548" spans="1:18" x14ac:dyDescent="0.3">
      <c r="A3548" t="s">
        <v>627</v>
      </c>
      <c r="B3548" s="16">
        <v>45432</v>
      </c>
      <c r="C3548" t="s">
        <v>3</v>
      </c>
      <c r="D3548" t="s">
        <v>154</v>
      </c>
      <c r="E3548">
        <v>954</v>
      </c>
      <c r="F3548">
        <v>916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1</v>
      </c>
      <c r="O3548">
        <f t="shared" si="110"/>
        <v>2024</v>
      </c>
      <c r="P3548">
        <f t="shared" si="111"/>
        <v>5</v>
      </c>
      <c r="Q3548" t="s">
        <v>325</v>
      </c>
      <c r="R3548" s="546" t="s">
        <v>804</v>
      </c>
    </row>
    <row r="3549" spans="1:18" x14ac:dyDescent="0.3">
      <c r="A3549" t="s">
        <v>627</v>
      </c>
      <c r="B3549" s="16">
        <v>45432</v>
      </c>
      <c r="C3549" t="s">
        <v>3</v>
      </c>
      <c r="D3549" t="s">
        <v>153</v>
      </c>
      <c r="E3549">
        <v>783</v>
      </c>
      <c r="F3549">
        <v>242</v>
      </c>
      <c r="G3549">
        <v>125</v>
      </c>
      <c r="H3549">
        <v>5</v>
      </c>
      <c r="I3549">
        <v>587363.51</v>
      </c>
      <c r="J3549">
        <v>201</v>
      </c>
      <c r="K3549">
        <v>536835.51</v>
      </c>
      <c r="L3549">
        <v>192</v>
      </c>
      <c r="M3549">
        <v>282</v>
      </c>
      <c r="N3549">
        <v>760</v>
      </c>
      <c r="O3549">
        <f t="shared" si="110"/>
        <v>2024</v>
      </c>
      <c r="P3549">
        <f t="shared" si="111"/>
        <v>5</v>
      </c>
      <c r="Q3549" t="s">
        <v>325</v>
      </c>
      <c r="R3549" s="546" t="s">
        <v>804</v>
      </c>
    </row>
    <row r="3550" spans="1:18" x14ac:dyDescent="0.3">
      <c r="A3550" t="s">
        <v>627</v>
      </c>
      <c r="B3550" s="16">
        <v>45432</v>
      </c>
      <c r="C3550" t="s">
        <v>3</v>
      </c>
      <c r="D3550" t="s">
        <v>152</v>
      </c>
      <c r="E3550">
        <v>21</v>
      </c>
      <c r="F3550">
        <v>15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1</v>
      </c>
      <c r="N3550">
        <v>5</v>
      </c>
      <c r="O3550">
        <f t="shared" si="110"/>
        <v>2024</v>
      </c>
      <c r="P3550">
        <f t="shared" si="111"/>
        <v>5</v>
      </c>
      <c r="Q3550" t="s">
        <v>325</v>
      </c>
      <c r="R3550" s="546" t="s">
        <v>804</v>
      </c>
    </row>
    <row r="3551" spans="1:18" x14ac:dyDescent="0.3">
      <c r="A3551" t="s">
        <v>627</v>
      </c>
      <c r="B3551" s="16">
        <v>45432</v>
      </c>
      <c r="C3551" t="s">
        <v>3</v>
      </c>
      <c r="D3551" t="s">
        <v>150</v>
      </c>
      <c r="E3551">
        <v>3</v>
      </c>
      <c r="F3551">
        <v>1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3</v>
      </c>
      <c r="O3551">
        <f t="shared" si="110"/>
        <v>2024</v>
      </c>
      <c r="P3551">
        <f t="shared" si="111"/>
        <v>5</v>
      </c>
      <c r="Q3551" t="s">
        <v>325</v>
      </c>
      <c r="R3551" s="546" t="s">
        <v>804</v>
      </c>
    </row>
    <row r="3552" spans="1:18" x14ac:dyDescent="0.3">
      <c r="A3552" t="s">
        <v>627</v>
      </c>
      <c r="B3552" s="16">
        <v>45432</v>
      </c>
      <c r="C3552" t="s">
        <v>3</v>
      </c>
      <c r="D3552" t="s">
        <v>149</v>
      </c>
      <c r="E3552">
        <v>27</v>
      </c>
      <c r="F3552">
        <v>20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1</v>
      </c>
      <c r="N3552">
        <v>13</v>
      </c>
      <c r="O3552">
        <f t="shared" si="110"/>
        <v>2024</v>
      </c>
      <c r="P3552">
        <f t="shared" si="111"/>
        <v>5</v>
      </c>
      <c r="Q3552" t="s">
        <v>325</v>
      </c>
      <c r="R3552" s="546" t="s">
        <v>804</v>
      </c>
    </row>
    <row r="3553" spans="1:18" x14ac:dyDescent="0.3">
      <c r="A3553" t="s">
        <v>627</v>
      </c>
      <c r="B3553" s="16">
        <v>45432</v>
      </c>
      <c r="C3553" t="s">
        <v>3</v>
      </c>
      <c r="D3553" t="s">
        <v>148</v>
      </c>
      <c r="E3553">
        <v>10</v>
      </c>
      <c r="F3553">
        <v>7</v>
      </c>
      <c r="G3553">
        <v>0</v>
      </c>
      <c r="H3553">
        <v>0</v>
      </c>
      <c r="I3553">
        <v>3360</v>
      </c>
      <c r="J3553">
        <v>1</v>
      </c>
      <c r="K3553">
        <v>3360</v>
      </c>
      <c r="L3553">
        <v>1</v>
      </c>
      <c r="M3553">
        <v>8</v>
      </c>
      <c r="N3553">
        <v>2</v>
      </c>
      <c r="O3553">
        <f t="shared" si="110"/>
        <v>2024</v>
      </c>
      <c r="P3553">
        <f t="shared" si="111"/>
        <v>5</v>
      </c>
      <c r="Q3553" t="s">
        <v>325</v>
      </c>
      <c r="R3553" s="546" t="s">
        <v>804</v>
      </c>
    </row>
    <row r="3554" spans="1:18" x14ac:dyDescent="0.3">
      <c r="A3554" t="s">
        <v>627</v>
      </c>
      <c r="B3554" s="16">
        <v>45432</v>
      </c>
      <c r="C3554" t="s">
        <v>3</v>
      </c>
      <c r="D3554" t="s">
        <v>147</v>
      </c>
      <c r="E3554">
        <v>77</v>
      </c>
      <c r="F3554">
        <v>68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4</v>
      </c>
      <c r="N3554">
        <v>77</v>
      </c>
      <c r="O3554">
        <f t="shared" si="110"/>
        <v>2024</v>
      </c>
      <c r="P3554">
        <f t="shared" si="111"/>
        <v>5</v>
      </c>
      <c r="Q3554" t="s">
        <v>325</v>
      </c>
      <c r="R3554" s="546" t="s">
        <v>804</v>
      </c>
    </row>
    <row r="3555" spans="1:18" x14ac:dyDescent="0.3">
      <c r="A3555" t="s">
        <v>627</v>
      </c>
      <c r="B3555" s="16">
        <v>45432</v>
      </c>
      <c r="C3555" t="s">
        <v>3</v>
      </c>
      <c r="D3555" t="s">
        <v>251</v>
      </c>
      <c r="E3555">
        <v>2390</v>
      </c>
      <c r="F3555">
        <v>1631</v>
      </c>
      <c r="G3555">
        <v>12</v>
      </c>
      <c r="H3555">
        <v>6</v>
      </c>
      <c r="I3555">
        <v>27424.32</v>
      </c>
      <c r="J3555">
        <v>14</v>
      </c>
      <c r="K3555">
        <v>22084.32</v>
      </c>
      <c r="L3555">
        <v>11</v>
      </c>
      <c r="M3555">
        <v>76</v>
      </c>
      <c r="N3555">
        <v>560</v>
      </c>
      <c r="O3555">
        <f t="shared" si="110"/>
        <v>2024</v>
      </c>
      <c r="P3555">
        <f t="shared" si="111"/>
        <v>5</v>
      </c>
      <c r="Q3555" t="s">
        <v>325</v>
      </c>
      <c r="R3555" s="546" t="s">
        <v>804</v>
      </c>
    </row>
    <row r="3556" spans="1:18" x14ac:dyDescent="0.3">
      <c r="A3556" t="s">
        <v>627</v>
      </c>
      <c r="B3556" s="16">
        <v>45432</v>
      </c>
      <c r="C3556" t="s">
        <v>3</v>
      </c>
      <c r="D3556" t="s">
        <v>143</v>
      </c>
      <c r="E3556">
        <v>18</v>
      </c>
      <c r="F3556">
        <v>18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18</v>
      </c>
      <c r="O3556">
        <f t="shared" si="110"/>
        <v>2024</v>
      </c>
      <c r="P3556">
        <f t="shared" si="111"/>
        <v>5</v>
      </c>
      <c r="Q3556" t="s">
        <v>325</v>
      </c>
      <c r="R3556" s="546" t="s">
        <v>804</v>
      </c>
    </row>
    <row r="3557" spans="1:18" x14ac:dyDescent="0.3">
      <c r="A3557" t="s">
        <v>627</v>
      </c>
      <c r="B3557" s="16">
        <v>45432</v>
      </c>
      <c r="C3557" t="s">
        <v>3</v>
      </c>
      <c r="D3557" t="s">
        <v>142</v>
      </c>
      <c r="E3557">
        <v>13</v>
      </c>
      <c r="F3557">
        <v>0</v>
      </c>
      <c r="G3557">
        <v>0</v>
      </c>
      <c r="H3557">
        <v>0</v>
      </c>
      <c r="I3557">
        <v>17353</v>
      </c>
      <c r="J3557">
        <v>3</v>
      </c>
      <c r="K3557">
        <v>13269</v>
      </c>
      <c r="L3557">
        <v>3</v>
      </c>
      <c r="M3557">
        <v>0</v>
      </c>
      <c r="N3557">
        <v>13</v>
      </c>
      <c r="O3557">
        <f t="shared" si="110"/>
        <v>2024</v>
      </c>
      <c r="P3557">
        <f t="shared" si="111"/>
        <v>5</v>
      </c>
      <c r="Q3557" t="s">
        <v>325</v>
      </c>
      <c r="R3557" s="546" t="s">
        <v>804</v>
      </c>
    </row>
    <row r="3558" spans="1:18" x14ac:dyDescent="0.3">
      <c r="A3558" t="s">
        <v>627</v>
      </c>
      <c r="B3558" s="16">
        <v>45432</v>
      </c>
      <c r="C3558" t="s">
        <v>3</v>
      </c>
      <c r="D3558" t="s">
        <v>141</v>
      </c>
      <c r="E3558">
        <v>7</v>
      </c>
      <c r="F3558">
        <v>6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6</v>
      </c>
      <c r="N3558">
        <v>1</v>
      </c>
      <c r="O3558">
        <f t="shared" si="110"/>
        <v>2024</v>
      </c>
      <c r="P3558">
        <f t="shared" si="111"/>
        <v>5</v>
      </c>
      <c r="Q3558" t="s">
        <v>325</v>
      </c>
      <c r="R3558" s="546" t="s">
        <v>804</v>
      </c>
    </row>
    <row r="3559" spans="1:18" x14ac:dyDescent="0.3">
      <c r="A3559" t="s">
        <v>627</v>
      </c>
      <c r="B3559" s="16">
        <v>45432</v>
      </c>
      <c r="C3559" t="s">
        <v>3</v>
      </c>
      <c r="D3559" t="s">
        <v>140</v>
      </c>
      <c r="E3559">
        <v>10</v>
      </c>
      <c r="F3559">
        <v>8</v>
      </c>
      <c r="G3559">
        <v>2</v>
      </c>
      <c r="H3559">
        <v>1</v>
      </c>
      <c r="I3559">
        <v>9028</v>
      </c>
      <c r="J3559">
        <v>3</v>
      </c>
      <c r="K3559">
        <v>9028</v>
      </c>
      <c r="L3559">
        <v>3</v>
      </c>
      <c r="M3559">
        <v>0</v>
      </c>
      <c r="N3559">
        <v>8</v>
      </c>
      <c r="O3559">
        <f t="shared" si="110"/>
        <v>2024</v>
      </c>
      <c r="P3559">
        <f t="shared" si="111"/>
        <v>5</v>
      </c>
      <c r="Q3559" t="s">
        <v>325</v>
      </c>
      <c r="R3559" s="546" t="s">
        <v>804</v>
      </c>
    </row>
    <row r="3560" spans="1:18" x14ac:dyDescent="0.3">
      <c r="A3560" t="s">
        <v>627</v>
      </c>
      <c r="B3560" s="16">
        <v>45432</v>
      </c>
      <c r="C3560" t="s">
        <v>3</v>
      </c>
      <c r="D3560" t="s">
        <v>139</v>
      </c>
      <c r="E3560">
        <v>803</v>
      </c>
      <c r="F3560">
        <v>416</v>
      </c>
      <c r="G3560">
        <v>44</v>
      </c>
      <c r="H3560">
        <v>8</v>
      </c>
      <c r="I3560">
        <v>101622.97</v>
      </c>
      <c r="J3560">
        <v>41</v>
      </c>
      <c r="K3560">
        <v>88833.97</v>
      </c>
      <c r="L3560">
        <v>36</v>
      </c>
      <c r="M3560">
        <v>464</v>
      </c>
      <c r="N3560">
        <v>527</v>
      </c>
      <c r="O3560">
        <f t="shared" si="110"/>
        <v>2024</v>
      </c>
      <c r="P3560">
        <f t="shared" si="111"/>
        <v>5</v>
      </c>
      <c r="Q3560" t="s">
        <v>325</v>
      </c>
      <c r="R3560" s="546" t="s">
        <v>804</v>
      </c>
    </row>
    <row r="3561" spans="1:18" x14ac:dyDescent="0.3">
      <c r="A3561" t="s">
        <v>627</v>
      </c>
      <c r="B3561" s="16">
        <v>45432</v>
      </c>
      <c r="C3561" t="s">
        <v>3</v>
      </c>
      <c r="D3561" t="s">
        <v>138</v>
      </c>
      <c r="E3561">
        <v>9</v>
      </c>
      <c r="F3561">
        <v>4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5</v>
      </c>
      <c r="N3561">
        <v>6</v>
      </c>
      <c r="O3561">
        <f t="shared" si="110"/>
        <v>2024</v>
      </c>
      <c r="P3561">
        <f t="shared" si="111"/>
        <v>5</v>
      </c>
      <c r="Q3561" t="s">
        <v>325</v>
      </c>
      <c r="R3561" s="546" t="s">
        <v>804</v>
      </c>
    </row>
    <row r="3562" spans="1:18" x14ac:dyDescent="0.3">
      <c r="A3562" t="s">
        <v>627</v>
      </c>
      <c r="B3562" s="16">
        <v>45432</v>
      </c>
      <c r="C3562" t="s">
        <v>3</v>
      </c>
      <c r="D3562" t="s">
        <v>137</v>
      </c>
      <c r="E3562">
        <v>5</v>
      </c>
      <c r="F3562">
        <v>3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5</v>
      </c>
      <c r="O3562">
        <f t="shared" si="110"/>
        <v>2024</v>
      </c>
      <c r="P3562">
        <f t="shared" si="111"/>
        <v>5</v>
      </c>
      <c r="Q3562" t="s">
        <v>325</v>
      </c>
      <c r="R3562" s="546" t="s">
        <v>804</v>
      </c>
    </row>
    <row r="3563" spans="1:18" x14ac:dyDescent="0.3">
      <c r="A3563" t="s">
        <v>627</v>
      </c>
      <c r="B3563" s="16">
        <v>45432</v>
      </c>
      <c r="C3563" t="s">
        <v>3</v>
      </c>
      <c r="D3563" t="s">
        <v>133</v>
      </c>
      <c r="E3563">
        <v>38</v>
      </c>
      <c r="F3563">
        <v>27</v>
      </c>
      <c r="G3563">
        <v>7</v>
      </c>
      <c r="H3563">
        <v>0</v>
      </c>
      <c r="I3563">
        <v>12885</v>
      </c>
      <c r="J3563">
        <v>4</v>
      </c>
      <c r="K3563">
        <v>12885</v>
      </c>
      <c r="L3563">
        <v>4</v>
      </c>
      <c r="M3563">
        <v>8</v>
      </c>
      <c r="N3563">
        <v>35</v>
      </c>
      <c r="O3563">
        <f t="shared" si="110"/>
        <v>2024</v>
      </c>
      <c r="P3563">
        <f t="shared" si="111"/>
        <v>5</v>
      </c>
      <c r="Q3563" t="s">
        <v>325</v>
      </c>
      <c r="R3563" s="546" t="s">
        <v>804</v>
      </c>
    </row>
    <row r="3564" spans="1:18" x14ac:dyDescent="0.3">
      <c r="A3564" t="s">
        <v>627</v>
      </c>
      <c r="B3564" s="16">
        <v>45432</v>
      </c>
      <c r="C3564" t="s">
        <v>3</v>
      </c>
      <c r="D3564" t="s">
        <v>131</v>
      </c>
      <c r="E3564">
        <v>1</v>
      </c>
      <c r="F3564">
        <v>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1</v>
      </c>
      <c r="O3564">
        <f t="shared" si="110"/>
        <v>2024</v>
      </c>
      <c r="P3564">
        <f t="shared" si="111"/>
        <v>5</v>
      </c>
      <c r="Q3564" t="s">
        <v>325</v>
      </c>
      <c r="R3564" s="546" t="s">
        <v>804</v>
      </c>
    </row>
    <row r="3565" spans="1:18" x14ac:dyDescent="0.3">
      <c r="A3565" t="s">
        <v>627</v>
      </c>
      <c r="B3565" s="16">
        <v>45432</v>
      </c>
      <c r="C3565" t="s">
        <v>3</v>
      </c>
      <c r="D3565" t="s">
        <v>130</v>
      </c>
      <c r="E3565">
        <v>223</v>
      </c>
      <c r="F3565">
        <v>98</v>
      </c>
      <c r="G3565">
        <v>24</v>
      </c>
      <c r="H3565">
        <v>3</v>
      </c>
      <c r="I3565">
        <v>63585.63</v>
      </c>
      <c r="J3565">
        <v>24</v>
      </c>
      <c r="K3565">
        <v>55916.63</v>
      </c>
      <c r="L3565">
        <v>22</v>
      </c>
      <c r="M3565">
        <v>70</v>
      </c>
      <c r="N3565">
        <v>203</v>
      </c>
      <c r="O3565">
        <f t="shared" si="110"/>
        <v>2024</v>
      </c>
      <c r="P3565">
        <f t="shared" si="111"/>
        <v>5</v>
      </c>
      <c r="Q3565" t="s">
        <v>325</v>
      </c>
      <c r="R3565" s="546" t="s">
        <v>804</v>
      </c>
    </row>
    <row r="3566" spans="1:18" x14ac:dyDescent="0.3">
      <c r="A3566" t="s">
        <v>627</v>
      </c>
      <c r="B3566" s="16">
        <v>45432</v>
      </c>
      <c r="C3566" t="s">
        <v>3</v>
      </c>
      <c r="D3566" t="s">
        <v>129</v>
      </c>
      <c r="E3566">
        <v>1</v>
      </c>
      <c r="F3566">
        <v>1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f t="shared" si="110"/>
        <v>2024</v>
      </c>
      <c r="P3566">
        <f t="shared" si="111"/>
        <v>5</v>
      </c>
      <c r="Q3566" t="s">
        <v>325</v>
      </c>
      <c r="R3566" s="546" t="s">
        <v>804</v>
      </c>
    </row>
    <row r="3567" spans="1:18" x14ac:dyDescent="0.3">
      <c r="A3567" t="s">
        <v>627</v>
      </c>
      <c r="B3567" s="16">
        <v>45432</v>
      </c>
      <c r="C3567" t="s">
        <v>3</v>
      </c>
      <c r="D3567" t="s">
        <v>128</v>
      </c>
      <c r="E3567">
        <v>730</v>
      </c>
      <c r="F3567">
        <v>571</v>
      </c>
      <c r="G3567">
        <v>65</v>
      </c>
      <c r="H3567">
        <v>7</v>
      </c>
      <c r="I3567">
        <v>59108</v>
      </c>
      <c r="J3567">
        <v>17</v>
      </c>
      <c r="K3567">
        <v>50111</v>
      </c>
      <c r="L3567">
        <v>15</v>
      </c>
      <c r="M3567">
        <v>255</v>
      </c>
      <c r="N3567">
        <v>620</v>
      </c>
      <c r="O3567">
        <f t="shared" ref="O3567:O3630" si="112">YEAR(B3567)</f>
        <v>2024</v>
      </c>
      <c r="P3567">
        <f t="shared" ref="P3567:P3630" si="113">MONTH(B3567)</f>
        <v>5</v>
      </c>
      <c r="Q3567" t="s">
        <v>325</v>
      </c>
      <c r="R3567" s="546" t="s">
        <v>804</v>
      </c>
    </row>
    <row r="3568" spans="1:18" x14ac:dyDescent="0.3">
      <c r="A3568" t="s">
        <v>627</v>
      </c>
      <c r="B3568" s="16">
        <v>45432</v>
      </c>
      <c r="C3568" t="s">
        <v>3</v>
      </c>
      <c r="D3568" t="s">
        <v>127</v>
      </c>
      <c r="E3568">
        <v>2135</v>
      </c>
      <c r="F3568">
        <v>1379</v>
      </c>
      <c r="G3568">
        <v>45</v>
      </c>
      <c r="H3568">
        <v>17</v>
      </c>
      <c r="I3568">
        <v>75379.31</v>
      </c>
      <c r="J3568">
        <v>26</v>
      </c>
      <c r="K3568">
        <v>73052.31</v>
      </c>
      <c r="L3568">
        <v>25</v>
      </c>
      <c r="M3568">
        <v>388</v>
      </c>
      <c r="N3568">
        <v>1366</v>
      </c>
      <c r="O3568">
        <f t="shared" si="112"/>
        <v>2024</v>
      </c>
      <c r="P3568">
        <f t="shared" si="113"/>
        <v>5</v>
      </c>
      <c r="Q3568" t="s">
        <v>325</v>
      </c>
      <c r="R3568" s="546" t="s">
        <v>804</v>
      </c>
    </row>
    <row r="3569" spans="1:18" x14ac:dyDescent="0.3">
      <c r="A3569" t="s">
        <v>627</v>
      </c>
      <c r="B3569" s="16">
        <v>45432</v>
      </c>
      <c r="C3569" t="s">
        <v>3</v>
      </c>
      <c r="D3569" t="s">
        <v>126</v>
      </c>
      <c r="E3569">
        <v>93</v>
      </c>
      <c r="F3569">
        <v>67</v>
      </c>
      <c r="G3569">
        <v>6</v>
      </c>
      <c r="H3569">
        <v>2</v>
      </c>
      <c r="I3569">
        <v>12175</v>
      </c>
      <c r="J3569">
        <v>4</v>
      </c>
      <c r="K3569">
        <v>10678</v>
      </c>
      <c r="L3569">
        <v>4</v>
      </c>
      <c r="M3569">
        <v>21</v>
      </c>
      <c r="N3569">
        <v>89</v>
      </c>
      <c r="O3569">
        <f t="shared" si="112"/>
        <v>2024</v>
      </c>
      <c r="P3569">
        <f t="shared" si="113"/>
        <v>5</v>
      </c>
      <c r="Q3569" t="s">
        <v>325</v>
      </c>
      <c r="R3569" s="546" t="s">
        <v>804</v>
      </c>
    </row>
    <row r="3570" spans="1:18" x14ac:dyDescent="0.3">
      <c r="A3570" t="s">
        <v>627</v>
      </c>
      <c r="B3570" s="16">
        <v>45432</v>
      </c>
      <c r="C3570" t="s">
        <v>3</v>
      </c>
      <c r="D3570" t="s">
        <v>125</v>
      </c>
      <c r="E3570">
        <v>2</v>
      </c>
      <c r="F3570">
        <v>2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1</v>
      </c>
      <c r="N3570">
        <v>2</v>
      </c>
      <c r="O3570">
        <f t="shared" si="112"/>
        <v>2024</v>
      </c>
      <c r="P3570">
        <f t="shared" si="113"/>
        <v>5</v>
      </c>
      <c r="Q3570" t="s">
        <v>325</v>
      </c>
      <c r="R3570" s="546" t="s">
        <v>804</v>
      </c>
    </row>
    <row r="3571" spans="1:18" x14ac:dyDescent="0.3">
      <c r="A3571" t="s">
        <v>627</v>
      </c>
      <c r="B3571" s="16">
        <v>45432</v>
      </c>
      <c r="C3571" t="s">
        <v>3</v>
      </c>
      <c r="D3571" t="s">
        <v>123</v>
      </c>
      <c r="E3571">
        <v>274</v>
      </c>
      <c r="F3571">
        <v>123</v>
      </c>
      <c r="G3571">
        <v>25</v>
      </c>
      <c r="H3571">
        <v>1</v>
      </c>
      <c r="I3571">
        <v>29644.63</v>
      </c>
      <c r="J3571">
        <v>10</v>
      </c>
      <c r="K3571">
        <v>29644.63</v>
      </c>
      <c r="L3571">
        <v>10</v>
      </c>
      <c r="M3571">
        <v>123</v>
      </c>
      <c r="N3571">
        <v>233</v>
      </c>
      <c r="O3571">
        <f t="shared" si="112"/>
        <v>2024</v>
      </c>
      <c r="P3571">
        <f t="shared" si="113"/>
        <v>5</v>
      </c>
      <c r="Q3571" t="s">
        <v>325</v>
      </c>
      <c r="R3571" s="546" t="s">
        <v>804</v>
      </c>
    </row>
    <row r="3572" spans="1:18" x14ac:dyDescent="0.3">
      <c r="A3572" t="s">
        <v>627</v>
      </c>
      <c r="B3572" s="16">
        <v>45432</v>
      </c>
      <c r="C3572" t="s">
        <v>3</v>
      </c>
      <c r="D3572" t="s">
        <v>121</v>
      </c>
      <c r="E3572">
        <v>2</v>
      </c>
      <c r="F3572">
        <v>2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2</v>
      </c>
      <c r="N3572">
        <v>0</v>
      </c>
      <c r="O3572">
        <f t="shared" si="112"/>
        <v>2024</v>
      </c>
      <c r="P3572">
        <f t="shared" si="113"/>
        <v>5</v>
      </c>
      <c r="Q3572" t="s">
        <v>325</v>
      </c>
      <c r="R3572" s="546" t="s">
        <v>804</v>
      </c>
    </row>
    <row r="3573" spans="1:18" x14ac:dyDescent="0.3">
      <c r="A3573" t="s">
        <v>627</v>
      </c>
      <c r="B3573" s="16">
        <v>45432</v>
      </c>
      <c r="C3573" t="s">
        <v>3</v>
      </c>
      <c r="D3573" t="s">
        <v>120</v>
      </c>
      <c r="E3573">
        <v>765</v>
      </c>
      <c r="F3573">
        <v>504</v>
      </c>
      <c r="G3573">
        <v>6</v>
      </c>
      <c r="H3573">
        <v>0</v>
      </c>
      <c r="I3573">
        <v>39043</v>
      </c>
      <c r="J3573">
        <v>11</v>
      </c>
      <c r="K3573">
        <v>36813</v>
      </c>
      <c r="L3573">
        <v>10</v>
      </c>
      <c r="M3573">
        <v>56</v>
      </c>
      <c r="N3573">
        <v>764</v>
      </c>
      <c r="O3573">
        <f t="shared" si="112"/>
        <v>2024</v>
      </c>
      <c r="P3573">
        <f t="shared" si="113"/>
        <v>5</v>
      </c>
      <c r="Q3573" t="s">
        <v>325</v>
      </c>
      <c r="R3573" s="546" t="s">
        <v>804</v>
      </c>
    </row>
    <row r="3574" spans="1:18" x14ac:dyDescent="0.3">
      <c r="A3574" t="s">
        <v>627</v>
      </c>
      <c r="B3574" s="16">
        <v>45432</v>
      </c>
      <c r="C3574" t="s">
        <v>3</v>
      </c>
      <c r="D3574" t="s">
        <v>119</v>
      </c>
      <c r="E3574">
        <v>481</v>
      </c>
      <c r="F3574">
        <v>172</v>
      </c>
      <c r="G3574">
        <v>49</v>
      </c>
      <c r="H3574">
        <v>2</v>
      </c>
      <c r="I3574">
        <v>113231.55</v>
      </c>
      <c r="J3574">
        <v>37</v>
      </c>
      <c r="K3574">
        <v>90365.55</v>
      </c>
      <c r="L3574">
        <v>35</v>
      </c>
      <c r="M3574">
        <v>147</v>
      </c>
      <c r="N3574">
        <v>427</v>
      </c>
      <c r="O3574">
        <f t="shared" si="112"/>
        <v>2024</v>
      </c>
      <c r="P3574">
        <f t="shared" si="113"/>
        <v>5</v>
      </c>
      <c r="Q3574" t="s">
        <v>325</v>
      </c>
      <c r="R3574" s="546" t="s">
        <v>804</v>
      </c>
    </row>
    <row r="3575" spans="1:18" x14ac:dyDescent="0.3">
      <c r="A3575" t="s">
        <v>627</v>
      </c>
      <c r="B3575" s="16">
        <v>45432</v>
      </c>
      <c r="C3575" t="s">
        <v>3</v>
      </c>
      <c r="D3575" t="s">
        <v>116</v>
      </c>
      <c r="E3575">
        <v>87</v>
      </c>
      <c r="F3575">
        <v>86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1</v>
      </c>
      <c r="N3575">
        <v>87</v>
      </c>
      <c r="O3575">
        <f t="shared" si="112"/>
        <v>2024</v>
      </c>
      <c r="P3575">
        <f t="shared" si="113"/>
        <v>5</v>
      </c>
      <c r="Q3575" t="s">
        <v>325</v>
      </c>
      <c r="R3575" s="546" t="s">
        <v>804</v>
      </c>
    </row>
    <row r="3576" spans="1:18" x14ac:dyDescent="0.3">
      <c r="A3576" t="s">
        <v>627</v>
      </c>
      <c r="B3576" s="16">
        <v>45432</v>
      </c>
      <c r="C3576" t="s">
        <v>3</v>
      </c>
      <c r="D3576" t="s">
        <v>115</v>
      </c>
      <c r="E3576">
        <v>7</v>
      </c>
      <c r="F3576">
        <v>2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1</v>
      </c>
      <c r="N3576">
        <v>7</v>
      </c>
      <c r="O3576">
        <f t="shared" si="112"/>
        <v>2024</v>
      </c>
      <c r="P3576">
        <f t="shared" si="113"/>
        <v>5</v>
      </c>
      <c r="Q3576" t="s">
        <v>325</v>
      </c>
      <c r="R3576" s="546" t="s">
        <v>804</v>
      </c>
    </row>
    <row r="3577" spans="1:18" x14ac:dyDescent="0.3">
      <c r="A3577" t="s">
        <v>627</v>
      </c>
      <c r="B3577" s="16">
        <v>45432</v>
      </c>
      <c r="C3577" t="s">
        <v>3</v>
      </c>
      <c r="D3577" t="s">
        <v>114</v>
      </c>
      <c r="E3577">
        <v>108</v>
      </c>
      <c r="F3577">
        <v>50</v>
      </c>
      <c r="G3577">
        <v>4</v>
      </c>
      <c r="H3577">
        <v>5</v>
      </c>
      <c r="I3577">
        <v>0</v>
      </c>
      <c r="J3577">
        <v>0</v>
      </c>
      <c r="K3577">
        <v>0</v>
      </c>
      <c r="L3577">
        <v>0</v>
      </c>
      <c r="M3577">
        <v>18</v>
      </c>
      <c r="N3577">
        <v>92</v>
      </c>
      <c r="O3577">
        <f t="shared" si="112"/>
        <v>2024</v>
      </c>
      <c r="P3577">
        <f t="shared" si="113"/>
        <v>5</v>
      </c>
      <c r="Q3577" t="s">
        <v>325</v>
      </c>
      <c r="R3577" s="546" t="s">
        <v>804</v>
      </c>
    </row>
    <row r="3578" spans="1:18" x14ac:dyDescent="0.3">
      <c r="A3578" t="s">
        <v>627</v>
      </c>
      <c r="B3578" s="16">
        <v>45432</v>
      </c>
      <c r="C3578" t="s">
        <v>3</v>
      </c>
      <c r="D3578" t="s">
        <v>113</v>
      </c>
      <c r="E3578">
        <v>181</v>
      </c>
      <c r="F3578">
        <v>89</v>
      </c>
      <c r="G3578">
        <v>8</v>
      </c>
      <c r="H3578">
        <v>1</v>
      </c>
      <c r="I3578">
        <v>1775</v>
      </c>
      <c r="J3578">
        <v>1</v>
      </c>
      <c r="K3578">
        <v>1775</v>
      </c>
      <c r="L3578">
        <v>1</v>
      </c>
      <c r="M3578">
        <v>127</v>
      </c>
      <c r="N3578">
        <v>95</v>
      </c>
      <c r="O3578">
        <f t="shared" si="112"/>
        <v>2024</v>
      </c>
      <c r="P3578">
        <f t="shared" si="113"/>
        <v>5</v>
      </c>
      <c r="Q3578" t="s">
        <v>325</v>
      </c>
      <c r="R3578" s="546" t="s">
        <v>804</v>
      </c>
    </row>
    <row r="3579" spans="1:18" x14ac:dyDescent="0.3">
      <c r="A3579" t="s">
        <v>627</v>
      </c>
      <c r="B3579" s="16">
        <v>45432</v>
      </c>
      <c r="C3579" t="s">
        <v>3</v>
      </c>
      <c r="D3579" t="s">
        <v>112</v>
      </c>
      <c r="E3579">
        <v>32</v>
      </c>
      <c r="F3579">
        <v>10</v>
      </c>
      <c r="G3579">
        <v>2</v>
      </c>
      <c r="H3579">
        <v>0</v>
      </c>
      <c r="I3579">
        <v>39286</v>
      </c>
      <c r="J3579">
        <v>13</v>
      </c>
      <c r="K3579">
        <v>35929</v>
      </c>
      <c r="L3579">
        <v>12</v>
      </c>
      <c r="M3579">
        <v>1</v>
      </c>
      <c r="N3579">
        <v>32</v>
      </c>
      <c r="O3579">
        <f t="shared" si="112"/>
        <v>2024</v>
      </c>
      <c r="P3579">
        <f t="shared" si="113"/>
        <v>5</v>
      </c>
      <c r="Q3579" t="s">
        <v>325</v>
      </c>
      <c r="R3579" s="546" t="s">
        <v>804</v>
      </c>
    </row>
    <row r="3580" spans="1:18" x14ac:dyDescent="0.3">
      <c r="A3580" t="s">
        <v>627</v>
      </c>
      <c r="B3580" s="16">
        <v>45432</v>
      </c>
      <c r="C3580" t="s">
        <v>3</v>
      </c>
      <c r="D3580" t="s">
        <v>111</v>
      </c>
      <c r="E3580">
        <v>3</v>
      </c>
      <c r="F3580">
        <v>3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3</v>
      </c>
      <c r="O3580">
        <f t="shared" si="112"/>
        <v>2024</v>
      </c>
      <c r="P3580">
        <f t="shared" si="113"/>
        <v>5</v>
      </c>
      <c r="Q3580" t="s">
        <v>325</v>
      </c>
      <c r="R3580" s="546" t="s">
        <v>804</v>
      </c>
    </row>
    <row r="3581" spans="1:18" x14ac:dyDescent="0.3">
      <c r="A3581" t="s">
        <v>627</v>
      </c>
      <c r="B3581" s="16">
        <v>45431</v>
      </c>
      <c r="C3581" t="s">
        <v>2</v>
      </c>
      <c r="D3581" t="s">
        <v>4</v>
      </c>
      <c r="E3581">
        <v>381</v>
      </c>
      <c r="F3581">
        <v>113</v>
      </c>
      <c r="G3581">
        <v>0</v>
      </c>
      <c r="H3581">
        <v>0</v>
      </c>
      <c r="I3581">
        <v>2995</v>
      </c>
      <c r="J3581">
        <v>1</v>
      </c>
      <c r="K3581">
        <v>0</v>
      </c>
      <c r="L3581">
        <v>0</v>
      </c>
      <c r="M3581">
        <v>15</v>
      </c>
      <c r="N3581">
        <v>361</v>
      </c>
      <c r="O3581">
        <f t="shared" si="112"/>
        <v>2024</v>
      </c>
      <c r="P3581">
        <f t="shared" si="113"/>
        <v>5</v>
      </c>
      <c r="Q3581" t="s">
        <v>325</v>
      </c>
      <c r="R3581" s="546" t="s">
        <v>804</v>
      </c>
    </row>
    <row r="3582" spans="1:18" x14ac:dyDescent="0.3">
      <c r="A3582" t="s">
        <v>627</v>
      </c>
      <c r="B3582" s="16">
        <v>45431</v>
      </c>
      <c r="C3582" t="s">
        <v>2</v>
      </c>
      <c r="D3582" t="s">
        <v>57</v>
      </c>
      <c r="E3582">
        <v>27844</v>
      </c>
      <c r="F3582">
        <v>18234</v>
      </c>
      <c r="G3582">
        <v>236</v>
      </c>
      <c r="H3582">
        <v>112</v>
      </c>
      <c r="I3582">
        <v>138923.5</v>
      </c>
      <c r="J3582">
        <v>29</v>
      </c>
      <c r="K3582">
        <v>31342</v>
      </c>
      <c r="L3582">
        <v>14</v>
      </c>
      <c r="M3582">
        <v>1251</v>
      </c>
      <c r="N3582">
        <v>27771</v>
      </c>
      <c r="O3582">
        <f t="shared" si="112"/>
        <v>2024</v>
      </c>
      <c r="P3582">
        <f t="shared" si="113"/>
        <v>5</v>
      </c>
      <c r="Q3582" t="s">
        <v>325</v>
      </c>
      <c r="R3582" s="546" t="s">
        <v>804</v>
      </c>
    </row>
    <row r="3583" spans="1:18" x14ac:dyDescent="0.3">
      <c r="A3583" t="s">
        <v>627</v>
      </c>
      <c r="B3583" s="16">
        <v>45431</v>
      </c>
      <c r="C3583" t="s">
        <v>2</v>
      </c>
      <c r="D3583" t="s">
        <v>52</v>
      </c>
      <c r="E3583">
        <v>2889</v>
      </c>
      <c r="F3583">
        <v>2432</v>
      </c>
      <c r="G3583">
        <v>8</v>
      </c>
      <c r="H3583">
        <v>4</v>
      </c>
      <c r="I3583">
        <v>9242.5</v>
      </c>
      <c r="J3583">
        <v>2</v>
      </c>
      <c r="K3583">
        <v>0</v>
      </c>
      <c r="L3583">
        <v>0</v>
      </c>
      <c r="M3583">
        <v>2889</v>
      </c>
      <c r="N3583">
        <v>830</v>
      </c>
      <c r="O3583">
        <f t="shared" si="112"/>
        <v>2024</v>
      </c>
      <c r="P3583">
        <f t="shared" si="113"/>
        <v>5</v>
      </c>
      <c r="Q3583" t="s">
        <v>325</v>
      </c>
      <c r="R3583" s="546" t="s">
        <v>804</v>
      </c>
    </row>
    <row r="3584" spans="1:18" x14ac:dyDescent="0.3">
      <c r="A3584" t="s">
        <v>627</v>
      </c>
      <c r="B3584" s="16">
        <v>45431</v>
      </c>
      <c r="C3584" t="s">
        <v>2</v>
      </c>
      <c r="D3584" t="s">
        <v>55</v>
      </c>
      <c r="E3584">
        <v>2739</v>
      </c>
      <c r="F3584">
        <v>2441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6</v>
      </c>
      <c r="N3584">
        <v>758</v>
      </c>
      <c r="O3584">
        <f t="shared" si="112"/>
        <v>2024</v>
      </c>
      <c r="P3584">
        <f t="shared" si="113"/>
        <v>5</v>
      </c>
      <c r="Q3584" t="s">
        <v>325</v>
      </c>
      <c r="R3584" s="546" t="s">
        <v>804</v>
      </c>
    </row>
    <row r="3585" spans="1:18" x14ac:dyDescent="0.3">
      <c r="A3585" t="s">
        <v>627</v>
      </c>
      <c r="B3585" s="16">
        <v>45431</v>
      </c>
      <c r="C3585" t="s">
        <v>3</v>
      </c>
      <c r="D3585" t="s">
        <v>155</v>
      </c>
      <c r="E3585">
        <v>5</v>
      </c>
      <c r="F3585">
        <v>2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1</v>
      </c>
      <c r="N3585">
        <v>5</v>
      </c>
      <c r="O3585">
        <f t="shared" si="112"/>
        <v>2024</v>
      </c>
      <c r="P3585">
        <f t="shared" si="113"/>
        <v>5</v>
      </c>
      <c r="Q3585" t="s">
        <v>325</v>
      </c>
      <c r="R3585" s="546" t="s">
        <v>804</v>
      </c>
    </row>
    <row r="3586" spans="1:18" x14ac:dyDescent="0.3">
      <c r="A3586" t="s">
        <v>627</v>
      </c>
      <c r="B3586" s="16">
        <v>45431</v>
      </c>
      <c r="C3586" t="s">
        <v>3</v>
      </c>
      <c r="D3586" t="s">
        <v>154</v>
      </c>
      <c r="E3586">
        <v>405</v>
      </c>
      <c r="F3586">
        <v>387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f t="shared" si="112"/>
        <v>2024</v>
      </c>
      <c r="P3586">
        <f t="shared" si="113"/>
        <v>5</v>
      </c>
      <c r="Q3586" t="s">
        <v>325</v>
      </c>
      <c r="R3586" s="546" t="s">
        <v>804</v>
      </c>
    </row>
    <row r="3587" spans="1:18" x14ac:dyDescent="0.3">
      <c r="A3587" t="s">
        <v>627</v>
      </c>
      <c r="B3587" s="16">
        <v>45431</v>
      </c>
      <c r="C3587" t="s">
        <v>3</v>
      </c>
      <c r="D3587" t="s">
        <v>153</v>
      </c>
      <c r="E3587">
        <v>508</v>
      </c>
      <c r="F3587">
        <v>127</v>
      </c>
      <c r="G3587">
        <v>52</v>
      </c>
      <c r="H3587">
        <v>1</v>
      </c>
      <c r="I3587">
        <v>63209</v>
      </c>
      <c r="J3587">
        <v>20</v>
      </c>
      <c r="K3587">
        <v>32457</v>
      </c>
      <c r="L3587">
        <v>12</v>
      </c>
      <c r="M3587">
        <v>142</v>
      </c>
      <c r="N3587">
        <v>485</v>
      </c>
      <c r="O3587">
        <f t="shared" si="112"/>
        <v>2024</v>
      </c>
      <c r="P3587">
        <f t="shared" si="113"/>
        <v>5</v>
      </c>
      <c r="Q3587" t="s">
        <v>325</v>
      </c>
      <c r="R3587" s="546" t="s">
        <v>804</v>
      </c>
    </row>
    <row r="3588" spans="1:18" x14ac:dyDescent="0.3">
      <c r="A3588" t="s">
        <v>627</v>
      </c>
      <c r="B3588" s="16">
        <v>45431</v>
      </c>
      <c r="C3588" t="s">
        <v>3</v>
      </c>
      <c r="D3588" t="s">
        <v>152</v>
      </c>
      <c r="E3588">
        <v>17</v>
      </c>
      <c r="F3588">
        <v>11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1</v>
      </c>
      <c r="N3588">
        <v>4</v>
      </c>
      <c r="O3588">
        <f t="shared" si="112"/>
        <v>2024</v>
      </c>
      <c r="P3588">
        <f t="shared" si="113"/>
        <v>5</v>
      </c>
      <c r="Q3588" t="s">
        <v>325</v>
      </c>
      <c r="R3588" s="546" t="s">
        <v>804</v>
      </c>
    </row>
    <row r="3589" spans="1:18" x14ac:dyDescent="0.3">
      <c r="A3589" t="s">
        <v>627</v>
      </c>
      <c r="B3589" s="16">
        <v>45431</v>
      </c>
      <c r="C3589" t="s">
        <v>3</v>
      </c>
      <c r="D3589" t="s">
        <v>150</v>
      </c>
      <c r="E3589">
        <v>6</v>
      </c>
      <c r="F3589">
        <v>3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6</v>
      </c>
      <c r="O3589">
        <f t="shared" si="112"/>
        <v>2024</v>
      </c>
      <c r="P3589">
        <f t="shared" si="113"/>
        <v>5</v>
      </c>
      <c r="Q3589" t="s">
        <v>325</v>
      </c>
      <c r="R3589" s="546" t="s">
        <v>804</v>
      </c>
    </row>
    <row r="3590" spans="1:18" x14ac:dyDescent="0.3">
      <c r="A3590" t="s">
        <v>627</v>
      </c>
      <c r="B3590" s="16">
        <v>45431</v>
      </c>
      <c r="C3590" t="s">
        <v>3</v>
      </c>
      <c r="D3590" t="s">
        <v>149</v>
      </c>
      <c r="E3590">
        <v>31</v>
      </c>
      <c r="F3590">
        <v>26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6</v>
      </c>
      <c r="O3590">
        <f t="shared" si="112"/>
        <v>2024</v>
      </c>
      <c r="P3590">
        <f t="shared" si="113"/>
        <v>5</v>
      </c>
      <c r="Q3590" t="s">
        <v>325</v>
      </c>
      <c r="R3590" s="546" t="s">
        <v>804</v>
      </c>
    </row>
    <row r="3591" spans="1:18" x14ac:dyDescent="0.3">
      <c r="A3591" t="s">
        <v>627</v>
      </c>
      <c r="B3591" s="16">
        <v>45431</v>
      </c>
      <c r="C3591" t="s">
        <v>3</v>
      </c>
      <c r="D3591" t="s">
        <v>148</v>
      </c>
      <c r="E3591">
        <v>1</v>
      </c>
      <c r="F3591">
        <v>1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1</v>
      </c>
      <c r="O3591">
        <f t="shared" si="112"/>
        <v>2024</v>
      </c>
      <c r="P3591">
        <f t="shared" si="113"/>
        <v>5</v>
      </c>
      <c r="Q3591" t="s">
        <v>325</v>
      </c>
      <c r="R3591" s="546" t="s">
        <v>804</v>
      </c>
    </row>
    <row r="3592" spans="1:18" x14ac:dyDescent="0.3">
      <c r="A3592" t="s">
        <v>627</v>
      </c>
      <c r="B3592" s="16">
        <v>45431</v>
      </c>
      <c r="C3592" t="s">
        <v>3</v>
      </c>
      <c r="D3592" t="s">
        <v>251</v>
      </c>
      <c r="E3592">
        <v>5363</v>
      </c>
      <c r="F3592">
        <v>4423</v>
      </c>
      <c r="G3592">
        <v>5</v>
      </c>
      <c r="H3592">
        <v>10</v>
      </c>
      <c r="I3592">
        <v>6101</v>
      </c>
      <c r="J3592">
        <v>2</v>
      </c>
      <c r="K3592">
        <v>3864</v>
      </c>
      <c r="L3592">
        <v>2</v>
      </c>
      <c r="M3592">
        <v>60</v>
      </c>
      <c r="N3592">
        <v>722</v>
      </c>
      <c r="O3592">
        <f t="shared" si="112"/>
        <v>2024</v>
      </c>
      <c r="P3592">
        <f t="shared" si="113"/>
        <v>5</v>
      </c>
      <c r="Q3592" t="s">
        <v>325</v>
      </c>
      <c r="R3592" s="546" t="s">
        <v>804</v>
      </c>
    </row>
    <row r="3593" spans="1:18" x14ac:dyDescent="0.3">
      <c r="A3593" t="s">
        <v>627</v>
      </c>
      <c r="B3593" s="16">
        <v>45431</v>
      </c>
      <c r="C3593" t="s">
        <v>3</v>
      </c>
      <c r="D3593" t="s">
        <v>143</v>
      </c>
      <c r="E3593">
        <v>13</v>
      </c>
      <c r="F3593">
        <v>13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13</v>
      </c>
      <c r="O3593">
        <f t="shared" si="112"/>
        <v>2024</v>
      </c>
      <c r="P3593">
        <f t="shared" si="113"/>
        <v>5</v>
      </c>
      <c r="Q3593" t="s">
        <v>325</v>
      </c>
      <c r="R3593" s="546" t="s">
        <v>804</v>
      </c>
    </row>
    <row r="3594" spans="1:18" x14ac:dyDescent="0.3">
      <c r="A3594" t="s">
        <v>627</v>
      </c>
      <c r="B3594" s="16">
        <v>45431</v>
      </c>
      <c r="C3594" t="s">
        <v>3</v>
      </c>
      <c r="D3594" t="s">
        <v>142</v>
      </c>
      <c r="E3594">
        <v>7</v>
      </c>
      <c r="F3594">
        <v>1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1</v>
      </c>
      <c r="N3594">
        <v>7</v>
      </c>
      <c r="O3594">
        <f t="shared" si="112"/>
        <v>2024</v>
      </c>
      <c r="P3594">
        <f t="shared" si="113"/>
        <v>5</v>
      </c>
      <c r="Q3594" t="s">
        <v>325</v>
      </c>
      <c r="R3594" s="546" t="s">
        <v>804</v>
      </c>
    </row>
    <row r="3595" spans="1:18" x14ac:dyDescent="0.3">
      <c r="A3595" t="s">
        <v>627</v>
      </c>
      <c r="B3595" s="16">
        <v>45431</v>
      </c>
      <c r="C3595" t="s">
        <v>3</v>
      </c>
      <c r="D3595" t="s">
        <v>140</v>
      </c>
      <c r="E3595">
        <v>13</v>
      </c>
      <c r="F3595">
        <v>10</v>
      </c>
      <c r="G3595">
        <v>2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2</v>
      </c>
      <c r="N3595">
        <v>9</v>
      </c>
      <c r="O3595">
        <f t="shared" si="112"/>
        <v>2024</v>
      </c>
      <c r="P3595">
        <f t="shared" si="113"/>
        <v>5</v>
      </c>
      <c r="Q3595" t="s">
        <v>325</v>
      </c>
      <c r="R3595" s="546" t="s">
        <v>804</v>
      </c>
    </row>
    <row r="3596" spans="1:18" x14ac:dyDescent="0.3">
      <c r="A3596" t="s">
        <v>627</v>
      </c>
      <c r="B3596" s="16">
        <v>45431</v>
      </c>
      <c r="C3596" t="s">
        <v>3</v>
      </c>
      <c r="D3596" t="s">
        <v>139</v>
      </c>
      <c r="E3596">
        <v>773</v>
      </c>
      <c r="F3596">
        <v>469</v>
      </c>
      <c r="G3596">
        <v>22</v>
      </c>
      <c r="H3596">
        <v>2</v>
      </c>
      <c r="I3596">
        <v>9907</v>
      </c>
      <c r="J3596">
        <v>3</v>
      </c>
      <c r="K3596">
        <v>4675</v>
      </c>
      <c r="L3596">
        <v>2</v>
      </c>
      <c r="M3596">
        <v>377</v>
      </c>
      <c r="N3596">
        <v>457</v>
      </c>
      <c r="O3596">
        <f t="shared" si="112"/>
        <v>2024</v>
      </c>
      <c r="P3596">
        <f t="shared" si="113"/>
        <v>5</v>
      </c>
      <c r="Q3596" t="s">
        <v>325</v>
      </c>
      <c r="R3596" s="546" t="s">
        <v>804</v>
      </c>
    </row>
    <row r="3597" spans="1:18" x14ac:dyDescent="0.3">
      <c r="A3597" t="s">
        <v>627</v>
      </c>
      <c r="B3597" s="16">
        <v>45431</v>
      </c>
      <c r="C3597" t="s">
        <v>3</v>
      </c>
      <c r="D3597" t="s">
        <v>138</v>
      </c>
      <c r="E3597">
        <v>5</v>
      </c>
      <c r="F3597">
        <v>2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1</v>
      </c>
      <c r="N3597">
        <v>4</v>
      </c>
      <c r="O3597">
        <f t="shared" si="112"/>
        <v>2024</v>
      </c>
      <c r="P3597">
        <f t="shared" si="113"/>
        <v>5</v>
      </c>
      <c r="Q3597" t="s">
        <v>325</v>
      </c>
      <c r="R3597" s="546" t="s">
        <v>804</v>
      </c>
    </row>
    <row r="3598" spans="1:18" x14ac:dyDescent="0.3">
      <c r="A3598" t="s">
        <v>627</v>
      </c>
      <c r="B3598" s="16">
        <v>45431</v>
      </c>
      <c r="C3598" t="s">
        <v>3</v>
      </c>
      <c r="D3598" t="s">
        <v>137</v>
      </c>
      <c r="E3598">
        <v>7</v>
      </c>
      <c r="F3598">
        <v>3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1</v>
      </c>
      <c r="N3598">
        <v>7</v>
      </c>
      <c r="O3598">
        <f t="shared" si="112"/>
        <v>2024</v>
      </c>
      <c r="P3598">
        <f t="shared" si="113"/>
        <v>5</v>
      </c>
      <c r="Q3598" t="s">
        <v>325</v>
      </c>
      <c r="R3598" s="546" t="s">
        <v>804</v>
      </c>
    </row>
    <row r="3599" spans="1:18" x14ac:dyDescent="0.3">
      <c r="A3599" t="s">
        <v>627</v>
      </c>
      <c r="B3599" s="16">
        <v>45431</v>
      </c>
      <c r="C3599" t="s">
        <v>3</v>
      </c>
      <c r="D3599" t="s">
        <v>133</v>
      </c>
      <c r="E3599">
        <v>16</v>
      </c>
      <c r="F3599">
        <v>9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5</v>
      </c>
      <c r="N3599">
        <v>11</v>
      </c>
      <c r="O3599">
        <f t="shared" si="112"/>
        <v>2024</v>
      </c>
      <c r="P3599">
        <f t="shared" si="113"/>
        <v>5</v>
      </c>
      <c r="Q3599" t="s">
        <v>325</v>
      </c>
      <c r="R3599" s="546" t="s">
        <v>804</v>
      </c>
    </row>
    <row r="3600" spans="1:18" x14ac:dyDescent="0.3">
      <c r="A3600" t="s">
        <v>627</v>
      </c>
      <c r="B3600" s="16">
        <v>45431</v>
      </c>
      <c r="C3600" t="s">
        <v>3</v>
      </c>
      <c r="D3600" t="s">
        <v>130</v>
      </c>
      <c r="E3600">
        <v>296</v>
      </c>
      <c r="F3600">
        <v>130</v>
      </c>
      <c r="G3600">
        <v>16</v>
      </c>
      <c r="H3600">
        <v>2</v>
      </c>
      <c r="I3600">
        <v>12387</v>
      </c>
      <c r="J3600">
        <v>4</v>
      </c>
      <c r="K3600">
        <v>7515</v>
      </c>
      <c r="L3600">
        <v>3</v>
      </c>
      <c r="M3600">
        <v>88</v>
      </c>
      <c r="N3600">
        <v>269</v>
      </c>
      <c r="O3600">
        <f t="shared" si="112"/>
        <v>2024</v>
      </c>
      <c r="P3600">
        <f t="shared" si="113"/>
        <v>5</v>
      </c>
      <c r="Q3600" t="s">
        <v>325</v>
      </c>
      <c r="R3600" s="546" t="s">
        <v>804</v>
      </c>
    </row>
    <row r="3601" spans="1:18" x14ac:dyDescent="0.3">
      <c r="A3601" t="s">
        <v>627</v>
      </c>
      <c r="B3601" s="16">
        <v>45431</v>
      </c>
      <c r="C3601" t="s">
        <v>3</v>
      </c>
      <c r="D3601" t="s">
        <v>128</v>
      </c>
      <c r="E3601">
        <v>528</v>
      </c>
      <c r="F3601">
        <v>391</v>
      </c>
      <c r="G3601">
        <v>23</v>
      </c>
      <c r="H3601">
        <v>1</v>
      </c>
      <c r="I3601">
        <v>4584.5</v>
      </c>
      <c r="J3601">
        <v>2</v>
      </c>
      <c r="K3601">
        <v>2237</v>
      </c>
      <c r="L3601">
        <v>1</v>
      </c>
      <c r="M3601">
        <v>203</v>
      </c>
      <c r="N3601">
        <v>392</v>
      </c>
      <c r="O3601">
        <f t="shared" si="112"/>
        <v>2024</v>
      </c>
      <c r="P3601">
        <f t="shared" si="113"/>
        <v>5</v>
      </c>
      <c r="Q3601" t="s">
        <v>325</v>
      </c>
      <c r="R3601" s="546" t="s">
        <v>804</v>
      </c>
    </row>
    <row r="3602" spans="1:18" x14ac:dyDescent="0.3">
      <c r="A3602" t="s">
        <v>627</v>
      </c>
      <c r="B3602" s="16">
        <v>45431</v>
      </c>
      <c r="C3602" t="s">
        <v>3</v>
      </c>
      <c r="D3602" t="s">
        <v>127</v>
      </c>
      <c r="E3602">
        <v>4686</v>
      </c>
      <c r="F3602">
        <v>3922</v>
      </c>
      <c r="G3602">
        <v>38</v>
      </c>
      <c r="H3602">
        <v>15</v>
      </c>
      <c r="I3602">
        <v>10660</v>
      </c>
      <c r="J3602">
        <v>4</v>
      </c>
      <c r="K3602">
        <v>4970</v>
      </c>
      <c r="L3602">
        <v>2</v>
      </c>
      <c r="M3602">
        <v>272</v>
      </c>
      <c r="N3602">
        <v>1182</v>
      </c>
      <c r="O3602">
        <f t="shared" si="112"/>
        <v>2024</v>
      </c>
      <c r="P3602">
        <f t="shared" si="113"/>
        <v>5</v>
      </c>
      <c r="Q3602" t="s">
        <v>325</v>
      </c>
      <c r="R3602" s="546" t="s">
        <v>804</v>
      </c>
    </row>
    <row r="3603" spans="1:18" x14ac:dyDescent="0.3">
      <c r="A3603" t="s">
        <v>627</v>
      </c>
      <c r="B3603" s="16">
        <v>45431</v>
      </c>
      <c r="C3603" t="s">
        <v>3</v>
      </c>
      <c r="D3603" t="s">
        <v>126</v>
      </c>
      <c r="E3603">
        <v>96</v>
      </c>
      <c r="F3603">
        <v>62</v>
      </c>
      <c r="G3603">
        <v>4</v>
      </c>
      <c r="H3603">
        <v>2</v>
      </c>
      <c r="I3603">
        <v>2187</v>
      </c>
      <c r="J3603">
        <v>1</v>
      </c>
      <c r="K3603">
        <v>2187</v>
      </c>
      <c r="L3603">
        <v>1</v>
      </c>
      <c r="M3603">
        <v>15</v>
      </c>
      <c r="N3603">
        <v>90</v>
      </c>
      <c r="O3603">
        <f t="shared" si="112"/>
        <v>2024</v>
      </c>
      <c r="P3603">
        <f t="shared" si="113"/>
        <v>5</v>
      </c>
      <c r="Q3603" t="s">
        <v>325</v>
      </c>
      <c r="R3603" s="546" t="s">
        <v>804</v>
      </c>
    </row>
    <row r="3604" spans="1:18" x14ac:dyDescent="0.3">
      <c r="A3604" t="s">
        <v>627</v>
      </c>
      <c r="B3604" s="16">
        <v>45431</v>
      </c>
      <c r="C3604" t="s">
        <v>3</v>
      </c>
      <c r="D3604" t="s">
        <v>125</v>
      </c>
      <c r="E3604">
        <v>7</v>
      </c>
      <c r="F3604">
        <v>3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3</v>
      </c>
      <c r="N3604">
        <v>6</v>
      </c>
      <c r="O3604">
        <f t="shared" si="112"/>
        <v>2024</v>
      </c>
      <c r="P3604">
        <f t="shared" si="113"/>
        <v>5</v>
      </c>
      <c r="Q3604" t="s">
        <v>325</v>
      </c>
      <c r="R3604" s="546" t="s">
        <v>804</v>
      </c>
    </row>
    <row r="3605" spans="1:18" x14ac:dyDescent="0.3">
      <c r="A3605" t="s">
        <v>627</v>
      </c>
      <c r="B3605" s="16">
        <v>45431</v>
      </c>
      <c r="C3605" t="s">
        <v>3</v>
      </c>
      <c r="D3605" t="s">
        <v>123</v>
      </c>
      <c r="E3605">
        <v>204</v>
      </c>
      <c r="F3605">
        <v>99</v>
      </c>
      <c r="G3605">
        <v>15</v>
      </c>
      <c r="H3605">
        <v>3</v>
      </c>
      <c r="I3605">
        <v>7815</v>
      </c>
      <c r="J3605">
        <v>3</v>
      </c>
      <c r="K3605">
        <v>2488</v>
      </c>
      <c r="L3605">
        <v>1</v>
      </c>
      <c r="M3605">
        <v>76</v>
      </c>
      <c r="N3605">
        <v>172</v>
      </c>
      <c r="O3605">
        <f t="shared" si="112"/>
        <v>2024</v>
      </c>
      <c r="P3605">
        <f t="shared" si="113"/>
        <v>5</v>
      </c>
      <c r="Q3605" t="s">
        <v>325</v>
      </c>
      <c r="R3605" s="546" t="s">
        <v>804</v>
      </c>
    </row>
    <row r="3606" spans="1:18" x14ac:dyDescent="0.3">
      <c r="A3606" t="s">
        <v>627</v>
      </c>
      <c r="B3606" s="16">
        <v>45431</v>
      </c>
      <c r="C3606" t="s">
        <v>3</v>
      </c>
      <c r="D3606" t="s">
        <v>121</v>
      </c>
      <c r="E3606">
        <v>1</v>
      </c>
      <c r="F3606">
        <v>1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1</v>
      </c>
      <c r="O3606">
        <f t="shared" si="112"/>
        <v>2024</v>
      </c>
      <c r="P3606">
        <f t="shared" si="113"/>
        <v>5</v>
      </c>
      <c r="Q3606" t="s">
        <v>325</v>
      </c>
      <c r="R3606" s="546" t="s">
        <v>804</v>
      </c>
    </row>
    <row r="3607" spans="1:18" x14ac:dyDescent="0.3">
      <c r="A3607" t="s">
        <v>627</v>
      </c>
      <c r="B3607" s="16">
        <v>45431</v>
      </c>
      <c r="C3607" t="s">
        <v>3</v>
      </c>
      <c r="D3607" t="s">
        <v>120</v>
      </c>
      <c r="E3607">
        <v>733</v>
      </c>
      <c r="F3607">
        <v>496</v>
      </c>
      <c r="G3607">
        <v>3</v>
      </c>
      <c r="H3607">
        <v>0</v>
      </c>
      <c r="I3607">
        <v>2438</v>
      </c>
      <c r="J3607">
        <v>1</v>
      </c>
      <c r="K3607">
        <v>2438</v>
      </c>
      <c r="L3607">
        <v>1</v>
      </c>
      <c r="M3607">
        <v>65</v>
      </c>
      <c r="N3607">
        <v>726</v>
      </c>
      <c r="O3607">
        <f t="shared" si="112"/>
        <v>2024</v>
      </c>
      <c r="P3607">
        <f t="shared" si="113"/>
        <v>5</v>
      </c>
      <c r="Q3607" t="s">
        <v>325</v>
      </c>
      <c r="R3607" s="546" t="s">
        <v>804</v>
      </c>
    </row>
    <row r="3608" spans="1:18" x14ac:dyDescent="0.3">
      <c r="A3608" t="s">
        <v>627</v>
      </c>
      <c r="B3608" s="16">
        <v>45431</v>
      </c>
      <c r="C3608" t="s">
        <v>3</v>
      </c>
      <c r="D3608" t="s">
        <v>119</v>
      </c>
      <c r="E3608">
        <v>343</v>
      </c>
      <c r="F3608">
        <v>144</v>
      </c>
      <c r="G3608">
        <v>22</v>
      </c>
      <c r="H3608">
        <v>4</v>
      </c>
      <c r="I3608">
        <v>27361.5</v>
      </c>
      <c r="J3608">
        <v>7</v>
      </c>
      <c r="K3608">
        <v>27361.5</v>
      </c>
      <c r="L3608">
        <v>7</v>
      </c>
      <c r="M3608">
        <v>89</v>
      </c>
      <c r="N3608">
        <v>280</v>
      </c>
      <c r="O3608">
        <f t="shared" si="112"/>
        <v>2024</v>
      </c>
      <c r="P3608">
        <f t="shared" si="113"/>
        <v>5</v>
      </c>
      <c r="Q3608" t="s">
        <v>325</v>
      </c>
      <c r="R3608" s="546" t="s">
        <v>804</v>
      </c>
    </row>
    <row r="3609" spans="1:18" x14ac:dyDescent="0.3">
      <c r="A3609" t="s">
        <v>627</v>
      </c>
      <c r="B3609" s="16">
        <v>45431</v>
      </c>
      <c r="C3609" t="s">
        <v>3</v>
      </c>
      <c r="D3609" t="s">
        <v>116</v>
      </c>
      <c r="E3609">
        <v>1</v>
      </c>
      <c r="F3609">
        <v>1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1</v>
      </c>
      <c r="O3609">
        <f t="shared" si="112"/>
        <v>2024</v>
      </c>
      <c r="P3609">
        <f t="shared" si="113"/>
        <v>5</v>
      </c>
      <c r="Q3609" t="s">
        <v>325</v>
      </c>
      <c r="R3609" s="546" t="s">
        <v>804</v>
      </c>
    </row>
    <row r="3610" spans="1:18" x14ac:dyDescent="0.3">
      <c r="A3610" t="s">
        <v>627</v>
      </c>
      <c r="B3610" s="16">
        <v>45431</v>
      </c>
      <c r="C3610" t="s">
        <v>3</v>
      </c>
      <c r="D3610" t="s">
        <v>115</v>
      </c>
      <c r="E3610">
        <v>7</v>
      </c>
      <c r="F3610">
        <v>4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1</v>
      </c>
      <c r="N3610">
        <v>7</v>
      </c>
      <c r="O3610">
        <f t="shared" si="112"/>
        <v>2024</v>
      </c>
      <c r="P3610">
        <f t="shared" si="113"/>
        <v>5</v>
      </c>
      <c r="Q3610" t="s">
        <v>325</v>
      </c>
      <c r="R3610" s="546" t="s">
        <v>804</v>
      </c>
    </row>
    <row r="3611" spans="1:18" x14ac:dyDescent="0.3">
      <c r="A3611" t="s">
        <v>627</v>
      </c>
      <c r="B3611" s="16">
        <v>45431</v>
      </c>
      <c r="C3611" t="s">
        <v>3</v>
      </c>
      <c r="D3611" t="s">
        <v>114</v>
      </c>
      <c r="E3611">
        <v>104</v>
      </c>
      <c r="F3611">
        <v>42</v>
      </c>
      <c r="G3611">
        <v>3</v>
      </c>
      <c r="H3611">
        <v>0</v>
      </c>
      <c r="I3611">
        <v>2895</v>
      </c>
      <c r="J3611">
        <v>1</v>
      </c>
      <c r="K3611">
        <v>0</v>
      </c>
      <c r="L3611">
        <v>0</v>
      </c>
      <c r="M3611">
        <v>8</v>
      </c>
      <c r="N3611">
        <v>86</v>
      </c>
      <c r="O3611">
        <f t="shared" si="112"/>
        <v>2024</v>
      </c>
      <c r="P3611">
        <f t="shared" si="113"/>
        <v>5</v>
      </c>
      <c r="Q3611" t="s">
        <v>325</v>
      </c>
      <c r="R3611" s="546" t="s">
        <v>804</v>
      </c>
    </row>
    <row r="3612" spans="1:18" x14ac:dyDescent="0.3">
      <c r="A3612" t="s">
        <v>627</v>
      </c>
      <c r="B3612" s="16">
        <v>45431</v>
      </c>
      <c r="C3612" t="s">
        <v>3</v>
      </c>
      <c r="D3612" t="s">
        <v>113</v>
      </c>
      <c r="E3612">
        <v>234</v>
      </c>
      <c r="F3612">
        <v>153</v>
      </c>
      <c r="G3612">
        <v>7</v>
      </c>
      <c r="H3612">
        <v>0</v>
      </c>
      <c r="I3612">
        <v>2187</v>
      </c>
      <c r="J3612">
        <v>1</v>
      </c>
      <c r="K3612">
        <v>2187</v>
      </c>
      <c r="L3612">
        <v>1</v>
      </c>
      <c r="M3612">
        <v>103</v>
      </c>
      <c r="N3612">
        <v>91</v>
      </c>
      <c r="O3612">
        <f t="shared" si="112"/>
        <v>2024</v>
      </c>
      <c r="P3612">
        <f t="shared" si="113"/>
        <v>5</v>
      </c>
      <c r="Q3612" t="s">
        <v>325</v>
      </c>
      <c r="R3612" s="546" t="s">
        <v>804</v>
      </c>
    </row>
    <row r="3613" spans="1:18" x14ac:dyDescent="0.3">
      <c r="A3613" t="s">
        <v>627</v>
      </c>
      <c r="B3613" s="16">
        <v>45431</v>
      </c>
      <c r="C3613" t="s">
        <v>3</v>
      </c>
      <c r="D3613" t="s">
        <v>112</v>
      </c>
      <c r="E3613">
        <v>5</v>
      </c>
      <c r="F3613">
        <v>0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5</v>
      </c>
      <c r="O3613">
        <f t="shared" si="112"/>
        <v>2024</v>
      </c>
      <c r="P3613">
        <f t="shared" si="113"/>
        <v>5</v>
      </c>
      <c r="Q3613" t="s">
        <v>325</v>
      </c>
      <c r="R3613" s="546" t="s">
        <v>804</v>
      </c>
    </row>
    <row r="3614" spans="1:18" x14ac:dyDescent="0.3">
      <c r="A3614" t="s">
        <v>627</v>
      </c>
      <c r="B3614" s="16">
        <v>45431</v>
      </c>
      <c r="C3614" t="s">
        <v>3</v>
      </c>
      <c r="D3614" t="s">
        <v>111</v>
      </c>
      <c r="E3614">
        <v>1</v>
      </c>
      <c r="F3614">
        <v>0</v>
      </c>
      <c r="G3614">
        <v>1</v>
      </c>
      <c r="H3614">
        <v>0</v>
      </c>
      <c r="I3614">
        <v>2237</v>
      </c>
      <c r="J3614">
        <v>1</v>
      </c>
      <c r="K3614">
        <v>0</v>
      </c>
      <c r="L3614">
        <v>0</v>
      </c>
      <c r="M3614">
        <v>1</v>
      </c>
      <c r="N3614">
        <v>1</v>
      </c>
      <c r="O3614">
        <f t="shared" si="112"/>
        <v>2024</v>
      </c>
      <c r="P3614">
        <f t="shared" si="113"/>
        <v>5</v>
      </c>
      <c r="Q3614" t="s">
        <v>325</v>
      </c>
      <c r="R3614" s="546" t="s">
        <v>804</v>
      </c>
    </row>
    <row r="3615" spans="1:18" x14ac:dyDescent="0.3">
      <c r="A3615" t="s">
        <v>627</v>
      </c>
      <c r="B3615" s="16">
        <v>45430</v>
      </c>
      <c r="C3615" t="s">
        <v>2</v>
      </c>
      <c r="D3615" t="s">
        <v>4</v>
      </c>
      <c r="E3615">
        <v>357</v>
      </c>
      <c r="F3615">
        <v>96</v>
      </c>
      <c r="G3615">
        <v>2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17</v>
      </c>
      <c r="N3615">
        <v>350</v>
      </c>
      <c r="O3615">
        <f t="shared" si="112"/>
        <v>2024</v>
      </c>
      <c r="P3615">
        <f t="shared" si="113"/>
        <v>5</v>
      </c>
      <c r="Q3615" t="s">
        <v>325</v>
      </c>
      <c r="R3615" s="546" t="s">
        <v>804</v>
      </c>
    </row>
    <row r="3616" spans="1:18" x14ac:dyDescent="0.3">
      <c r="A3616" t="s">
        <v>627</v>
      </c>
      <c r="B3616" s="16">
        <v>45430</v>
      </c>
      <c r="C3616" t="s">
        <v>2</v>
      </c>
      <c r="D3616" t="s">
        <v>57</v>
      </c>
      <c r="E3616">
        <v>26956</v>
      </c>
      <c r="F3616">
        <v>17393</v>
      </c>
      <c r="G3616">
        <v>249</v>
      </c>
      <c r="H3616">
        <v>102</v>
      </c>
      <c r="I3616">
        <v>125942.5</v>
      </c>
      <c r="J3616">
        <v>37</v>
      </c>
      <c r="K3616">
        <v>72355.5</v>
      </c>
      <c r="L3616">
        <v>28</v>
      </c>
      <c r="M3616">
        <v>1155</v>
      </c>
      <c r="N3616">
        <v>26920</v>
      </c>
      <c r="O3616">
        <f t="shared" si="112"/>
        <v>2024</v>
      </c>
      <c r="P3616">
        <f t="shared" si="113"/>
        <v>5</v>
      </c>
      <c r="Q3616" t="s">
        <v>325</v>
      </c>
      <c r="R3616" s="546" t="s">
        <v>804</v>
      </c>
    </row>
    <row r="3617" spans="1:18" x14ac:dyDescent="0.3">
      <c r="A3617" t="s">
        <v>627</v>
      </c>
      <c r="B3617" s="16">
        <v>45430</v>
      </c>
      <c r="C3617" t="s">
        <v>2</v>
      </c>
      <c r="D3617" t="s">
        <v>52</v>
      </c>
      <c r="E3617">
        <v>2529</v>
      </c>
      <c r="F3617">
        <v>2148</v>
      </c>
      <c r="G3617">
        <v>16</v>
      </c>
      <c r="H3617">
        <v>6</v>
      </c>
      <c r="I3617">
        <v>4510</v>
      </c>
      <c r="J3617">
        <v>1</v>
      </c>
      <c r="K3617">
        <v>4510</v>
      </c>
      <c r="L3617">
        <v>1</v>
      </c>
      <c r="M3617">
        <v>2529</v>
      </c>
      <c r="N3617">
        <v>711</v>
      </c>
      <c r="O3617">
        <f t="shared" si="112"/>
        <v>2024</v>
      </c>
      <c r="P3617">
        <f t="shared" si="113"/>
        <v>5</v>
      </c>
      <c r="Q3617" t="s">
        <v>325</v>
      </c>
      <c r="R3617" s="546" t="s">
        <v>804</v>
      </c>
    </row>
    <row r="3618" spans="1:18" x14ac:dyDescent="0.3">
      <c r="A3618" t="s">
        <v>627</v>
      </c>
      <c r="B3618" s="16">
        <v>45430</v>
      </c>
      <c r="C3618" t="s">
        <v>2</v>
      </c>
      <c r="D3618" t="s">
        <v>55</v>
      </c>
      <c r="E3618">
        <v>8</v>
      </c>
      <c r="F3618">
        <v>8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7</v>
      </c>
      <c r="O3618">
        <f t="shared" si="112"/>
        <v>2024</v>
      </c>
      <c r="P3618">
        <f t="shared" si="113"/>
        <v>5</v>
      </c>
      <c r="Q3618" t="s">
        <v>325</v>
      </c>
      <c r="R3618" s="546" t="s">
        <v>804</v>
      </c>
    </row>
    <row r="3619" spans="1:18" x14ac:dyDescent="0.3">
      <c r="A3619" t="s">
        <v>627</v>
      </c>
      <c r="B3619" s="16">
        <v>45430</v>
      </c>
      <c r="C3619" t="s">
        <v>3</v>
      </c>
      <c r="D3619" t="s">
        <v>155</v>
      </c>
      <c r="E3619">
        <v>7</v>
      </c>
      <c r="F3619">
        <v>5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1</v>
      </c>
      <c r="N3619">
        <v>7</v>
      </c>
      <c r="O3619">
        <f t="shared" si="112"/>
        <v>2024</v>
      </c>
      <c r="P3619">
        <f t="shared" si="113"/>
        <v>5</v>
      </c>
      <c r="Q3619" t="s">
        <v>325</v>
      </c>
      <c r="R3619" s="546" t="s">
        <v>804</v>
      </c>
    </row>
    <row r="3620" spans="1:18" x14ac:dyDescent="0.3">
      <c r="A3620" t="s">
        <v>627</v>
      </c>
      <c r="B3620" s="16">
        <v>45430</v>
      </c>
      <c r="C3620" t="s">
        <v>3</v>
      </c>
      <c r="D3620" t="s">
        <v>154</v>
      </c>
      <c r="E3620">
        <v>3</v>
      </c>
      <c r="F3620">
        <v>1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f t="shared" si="112"/>
        <v>2024</v>
      </c>
      <c r="P3620">
        <f t="shared" si="113"/>
        <v>5</v>
      </c>
      <c r="Q3620" t="s">
        <v>325</v>
      </c>
      <c r="R3620" s="546" t="s">
        <v>804</v>
      </c>
    </row>
    <row r="3621" spans="1:18" x14ac:dyDescent="0.3">
      <c r="A3621" t="s">
        <v>627</v>
      </c>
      <c r="B3621" s="16">
        <v>45430</v>
      </c>
      <c r="C3621" t="s">
        <v>3</v>
      </c>
      <c r="D3621" t="s">
        <v>153</v>
      </c>
      <c r="E3621">
        <v>357</v>
      </c>
      <c r="F3621">
        <v>84</v>
      </c>
      <c r="G3621">
        <v>31</v>
      </c>
      <c r="H3621">
        <v>2</v>
      </c>
      <c r="I3621">
        <v>69862.5</v>
      </c>
      <c r="J3621">
        <v>24</v>
      </c>
      <c r="K3621">
        <v>51900.5</v>
      </c>
      <c r="L3621">
        <v>20</v>
      </c>
      <c r="M3621">
        <v>85</v>
      </c>
      <c r="N3621">
        <v>339</v>
      </c>
      <c r="O3621">
        <f t="shared" si="112"/>
        <v>2024</v>
      </c>
      <c r="P3621">
        <f t="shared" si="113"/>
        <v>5</v>
      </c>
      <c r="Q3621" t="s">
        <v>325</v>
      </c>
      <c r="R3621" s="546" t="s">
        <v>804</v>
      </c>
    </row>
    <row r="3622" spans="1:18" x14ac:dyDescent="0.3">
      <c r="A3622" t="s">
        <v>627</v>
      </c>
      <c r="B3622" s="16">
        <v>45430</v>
      </c>
      <c r="C3622" t="s">
        <v>3</v>
      </c>
      <c r="D3622" t="s">
        <v>152</v>
      </c>
      <c r="E3622">
        <v>4</v>
      </c>
      <c r="F3622">
        <v>2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4</v>
      </c>
      <c r="O3622">
        <f t="shared" si="112"/>
        <v>2024</v>
      </c>
      <c r="P3622">
        <f t="shared" si="113"/>
        <v>5</v>
      </c>
      <c r="Q3622" t="s">
        <v>325</v>
      </c>
      <c r="R3622" s="546" t="s">
        <v>804</v>
      </c>
    </row>
    <row r="3623" spans="1:18" x14ac:dyDescent="0.3">
      <c r="A3623" t="s">
        <v>627</v>
      </c>
      <c r="B3623" s="16">
        <v>45430</v>
      </c>
      <c r="C3623" t="s">
        <v>3</v>
      </c>
      <c r="D3623" t="s">
        <v>150</v>
      </c>
      <c r="E3623">
        <v>4</v>
      </c>
      <c r="F3623">
        <v>1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4</v>
      </c>
      <c r="O3623">
        <f t="shared" si="112"/>
        <v>2024</v>
      </c>
      <c r="P3623">
        <f t="shared" si="113"/>
        <v>5</v>
      </c>
      <c r="Q3623" t="s">
        <v>325</v>
      </c>
      <c r="R3623" s="546" t="s">
        <v>804</v>
      </c>
    </row>
    <row r="3624" spans="1:18" x14ac:dyDescent="0.3">
      <c r="A3624" t="s">
        <v>627</v>
      </c>
      <c r="B3624" s="16">
        <v>45430</v>
      </c>
      <c r="C3624" t="s">
        <v>3</v>
      </c>
      <c r="D3624" t="s">
        <v>149</v>
      </c>
      <c r="E3624">
        <v>13</v>
      </c>
      <c r="F3624">
        <v>7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2</v>
      </c>
      <c r="N3624">
        <v>13</v>
      </c>
      <c r="O3624">
        <f t="shared" si="112"/>
        <v>2024</v>
      </c>
      <c r="P3624">
        <f t="shared" si="113"/>
        <v>5</v>
      </c>
      <c r="Q3624" t="s">
        <v>325</v>
      </c>
      <c r="R3624" s="546" t="s">
        <v>804</v>
      </c>
    </row>
    <row r="3625" spans="1:18" x14ac:dyDescent="0.3">
      <c r="A3625" t="s">
        <v>627</v>
      </c>
      <c r="B3625" s="16">
        <v>45430</v>
      </c>
      <c r="C3625" t="s">
        <v>3</v>
      </c>
      <c r="D3625" t="s">
        <v>148</v>
      </c>
      <c r="E3625">
        <v>1</v>
      </c>
      <c r="F3625">
        <v>1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1</v>
      </c>
      <c r="N3625">
        <v>0</v>
      </c>
      <c r="O3625">
        <f t="shared" si="112"/>
        <v>2024</v>
      </c>
      <c r="P3625">
        <f t="shared" si="113"/>
        <v>5</v>
      </c>
      <c r="Q3625" t="s">
        <v>325</v>
      </c>
      <c r="R3625" s="546" t="s">
        <v>804</v>
      </c>
    </row>
    <row r="3626" spans="1:18" x14ac:dyDescent="0.3">
      <c r="A3626" t="s">
        <v>627</v>
      </c>
      <c r="B3626" s="16">
        <v>45430</v>
      </c>
      <c r="C3626" t="s">
        <v>3</v>
      </c>
      <c r="D3626" t="s">
        <v>146</v>
      </c>
      <c r="E3626">
        <v>1</v>
      </c>
      <c r="F3626">
        <v>1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1</v>
      </c>
      <c r="O3626">
        <f t="shared" si="112"/>
        <v>2024</v>
      </c>
      <c r="P3626">
        <f t="shared" si="113"/>
        <v>5</v>
      </c>
      <c r="Q3626" t="s">
        <v>325</v>
      </c>
      <c r="R3626" s="546" t="s">
        <v>804</v>
      </c>
    </row>
    <row r="3627" spans="1:18" x14ac:dyDescent="0.3">
      <c r="A3627" t="s">
        <v>627</v>
      </c>
      <c r="B3627" s="16">
        <v>45430</v>
      </c>
      <c r="C3627" t="s">
        <v>3</v>
      </c>
      <c r="D3627" t="s">
        <v>251</v>
      </c>
      <c r="E3627">
        <v>611</v>
      </c>
      <c r="F3627">
        <v>202</v>
      </c>
      <c r="G3627">
        <v>8</v>
      </c>
      <c r="H3627">
        <v>8</v>
      </c>
      <c r="I3627">
        <v>2438</v>
      </c>
      <c r="J3627">
        <v>1</v>
      </c>
      <c r="K3627">
        <v>2438</v>
      </c>
      <c r="L3627">
        <v>1</v>
      </c>
      <c r="M3627">
        <v>57</v>
      </c>
      <c r="N3627">
        <v>576</v>
      </c>
      <c r="O3627">
        <f t="shared" si="112"/>
        <v>2024</v>
      </c>
      <c r="P3627">
        <f t="shared" si="113"/>
        <v>5</v>
      </c>
      <c r="Q3627" t="s">
        <v>325</v>
      </c>
      <c r="R3627" s="546" t="s">
        <v>804</v>
      </c>
    </row>
    <row r="3628" spans="1:18" x14ac:dyDescent="0.3">
      <c r="A3628" t="s">
        <v>627</v>
      </c>
      <c r="B3628" s="16">
        <v>45430</v>
      </c>
      <c r="C3628" t="s">
        <v>3</v>
      </c>
      <c r="D3628" t="s">
        <v>143</v>
      </c>
      <c r="E3628">
        <v>8</v>
      </c>
      <c r="F3628">
        <v>8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8</v>
      </c>
      <c r="O3628">
        <f t="shared" si="112"/>
        <v>2024</v>
      </c>
      <c r="P3628">
        <f t="shared" si="113"/>
        <v>5</v>
      </c>
      <c r="Q3628" t="s">
        <v>325</v>
      </c>
      <c r="R3628" s="546" t="s">
        <v>804</v>
      </c>
    </row>
    <row r="3629" spans="1:18" x14ac:dyDescent="0.3">
      <c r="A3629" t="s">
        <v>627</v>
      </c>
      <c r="B3629" s="16">
        <v>45430</v>
      </c>
      <c r="C3629" t="s">
        <v>3</v>
      </c>
      <c r="D3629" t="s">
        <v>142</v>
      </c>
      <c r="E3629">
        <v>4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4</v>
      </c>
      <c r="O3629">
        <f t="shared" si="112"/>
        <v>2024</v>
      </c>
      <c r="P3629">
        <f t="shared" si="113"/>
        <v>5</v>
      </c>
      <c r="Q3629" t="s">
        <v>325</v>
      </c>
      <c r="R3629" s="546" t="s">
        <v>804</v>
      </c>
    </row>
    <row r="3630" spans="1:18" x14ac:dyDescent="0.3">
      <c r="A3630" t="s">
        <v>627</v>
      </c>
      <c r="B3630" s="16">
        <v>45430</v>
      </c>
      <c r="C3630" t="s">
        <v>3</v>
      </c>
      <c r="D3630" t="s">
        <v>140</v>
      </c>
      <c r="E3630">
        <v>4</v>
      </c>
      <c r="F3630">
        <v>2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4</v>
      </c>
      <c r="O3630">
        <f t="shared" si="112"/>
        <v>2024</v>
      </c>
      <c r="P3630">
        <f t="shared" si="113"/>
        <v>5</v>
      </c>
      <c r="Q3630" t="s">
        <v>325</v>
      </c>
      <c r="R3630" s="546" t="s">
        <v>804</v>
      </c>
    </row>
    <row r="3631" spans="1:18" x14ac:dyDescent="0.3">
      <c r="A3631" t="s">
        <v>627</v>
      </c>
      <c r="B3631" s="16">
        <v>45430</v>
      </c>
      <c r="C3631" t="s">
        <v>3</v>
      </c>
      <c r="D3631" t="s">
        <v>139</v>
      </c>
      <c r="E3631">
        <v>703</v>
      </c>
      <c r="F3631">
        <v>351</v>
      </c>
      <c r="G3631">
        <v>28</v>
      </c>
      <c r="H3631">
        <v>9</v>
      </c>
      <c r="I3631">
        <v>36241.5</v>
      </c>
      <c r="J3631">
        <v>11</v>
      </c>
      <c r="K3631">
        <v>23064.5</v>
      </c>
      <c r="L3631">
        <v>9</v>
      </c>
      <c r="M3631">
        <v>420</v>
      </c>
      <c r="N3631">
        <v>455</v>
      </c>
      <c r="O3631">
        <f t="shared" ref="O3631:O3694" si="114">YEAR(B3631)</f>
        <v>2024</v>
      </c>
      <c r="P3631">
        <f t="shared" ref="P3631:P3694" si="115">MONTH(B3631)</f>
        <v>5</v>
      </c>
      <c r="Q3631" t="s">
        <v>325</v>
      </c>
      <c r="R3631" s="546" t="s">
        <v>804</v>
      </c>
    </row>
    <row r="3632" spans="1:18" x14ac:dyDescent="0.3">
      <c r="A3632" t="s">
        <v>627</v>
      </c>
      <c r="B3632" s="16">
        <v>45430</v>
      </c>
      <c r="C3632" t="s">
        <v>3</v>
      </c>
      <c r="D3632" t="s">
        <v>138</v>
      </c>
      <c r="E3632">
        <v>44</v>
      </c>
      <c r="F3632">
        <v>22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7</v>
      </c>
      <c r="N3632">
        <v>42</v>
      </c>
      <c r="O3632">
        <f t="shared" si="114"/>
        <v>2024</v>
      </c>
      <c r="P3632">
        <f t="shared" si="115"/>
        <v>5</v>
      </c>
      <c r="Q3632" t="s">
        <v>325</v>
      </c>
      <c r="R3632" s="546" t="s">
        <v>804</v>
      </c>
    </row>
    <row r="3633" spans="1:18" x14ac:dyDescent="0.3">
      <c r="A3633" t="s">
        <v>627</v>
      </c>
      <c r="B3633" s="16">
        <v>45430</v>
      </c>
      <c r="C3633" t="s">
        <v>3</v>
      </c>
      <c r="D3633" t="s">
        <v>137</v>
      </c>
      <c r="E3633">
        <v>10</v>
      </c>
      <c r="F3633">
        <v>2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2</v>
      </c>
      <c r="N3633">
        <v>10</v>
      </c>
      <c r="O3633">
        <f t="shared" si="114"/>
        <v>2024</v>
      </c>
      <c r="P3633">
        <f t="shared" si="115"/>
        <v>5</v>
      </c>
      <c r="Q3633" t="s">
        <v>325</v>
      </c>
      <c r="R3633" s="546" t="s">
        <v>804</v>
      </c>
    </row>
    <row r="3634" spans="1:18" x14ac:dyDescent="0.3">
      <c r="A3634" t="s">
        <v>627</v>
      </c>
      <c r="B3634" s="16">
        <v>45430</v>
      </c>
      <c r="C3634" t="s">
        <v>3</v>
      </c>
      <c r="D3634" t="s">
        <v>133</v>
      </c>
      <c r="E3634">
        <v>17</v>
      </c>
      <c r="F3634">
        <v>9</v>
      </c>
      <c r="G3634">
        <v>0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3</v>
      </c>
      <c r="N3634">
        <v>14</v>
      </c>
      <c r="O3634">
        <f t="shared" si="114"/>
        <v>2024</v>
      </c>
      <c r="P3634">
        <f t="shared" si="115"/>
        <v>5</v>
      </c>
      <c r="Q3634" t="s">
        <v>325</v>
      </c>
      <c r="R3634" s="546" t="s">
        <v>804</v>
      </c>
    </row>
    <row r="3635" spans="1:18" x14ac:dyDescent="0.3">
      <c r="A3635" t="s">
        <v>627</v>
      </c>
      <c r="B3635" s="16">
        <v>45430</v>
      </c>
      <c r="C3635" t="s">
        <v>3</v>
      </c>
      <c r="D3635" t="s">
        <v>130</v>
      </c>
      <c r="E3635">
        <v>380</v>
      </c>
      <c r="F3635">
        <v>192</v>
      </c>
      <c r="G3635">
        <v>40</v>
      </c>
      <c r="H3635">
        <v>4</v>
      </c>
      <c r="I3635">
        <v>33408</v>
      </c>
      <c r="J3635">
        <v>12</v>
      </c>
      <c r="K3635">
        <v>26868</v>
      </c>
      <c r="L3635">
        <v>11</v>
      </c>
      <c r="M3635">
        <v>118</v>
      </c>
      <c r="N3635">
        <v>359</v>
      </c>
      <c r="O3635">
        <f t="shared" si="114"/>
        <v>2024</v>
      </c>
      <c r="P3635">
        <f t="shared" si="115"/>
        <v>5</v>
      </c>
      <c r="Q3635" t="s">
        <v>325</v>
      </c>
      <c r="R3635" s="546" t="s">
        <v>804</v>
      </c>
    </row>
    <row r="3636" spans="1:18" x14ac:dyDescent="0.3">
      <c r="A3636" t="s">
        <v>627</v>
      </c>
      <c r="B3636" s="16">
        <v>45430</v>
      </c>
      <c r="C3636" t="s">
        <v>3</v>
      </c>
      <c r="D3636" t="s">
        <v>128</v>
      </c>
      <c r="E3636">
        <v>432</v>
      </c>
      <c r="F3636">
        <v>349</v>
      </c>
      <c r="G3636">
        <v>11</v>
      </c>
      <c r="H3636">
        <v>10</v>
      </c>
      <c r="I3636">
        <v>7814</v>
      </c>
      <c r="J3636">
        <v>3</v>
      </c>
      <c r="K3636">
        <v>7814</v>
      </c>
      <c r="L3636">
        <v>3</v>
      </c>
      <c r="M3636">
        <v>198</v>
      </c>
      <c r="N3636">
        <v>338</v>
      </c>
      <c r="O3636">
        <f t="shared" si="114"/>
        <v>2024</v>
      </c>
      <c r="P3636">
        <f t="shared" si="115"/>
        <v>5</v>
      </c>
      <c r="Q3636" t="s">
        <v>325</v>
      </c>
      <c r="R3636" s="546" t="s">
        <v>804</v>
      </c>
    </row>
    <row r="3637" spans="1:18" x14ac:dyDescent="0.3">
      <c r="A3637" t="s">
        <v>627</v>
      </c>
      <c r="B3637" s="16">
        <v>45430</v>
      </c>
      <c r="C3637" t="s">
        <v>3</v>
      </c>
      <c r="D3637" t="s">
        <v>127</v>
      </c>
      <c r="E3637">
        <v>1515</v>
      </c>
      <c r="F3637">
        <v>840</v>
      </c>
      <c r="G3637">
        <v>45</v>
      </c>
      <c r="H3637">
        <v>19</v>
      </c>
      <c r="I3637">
        <v>26139.5</v>
      </c>
      <c r="J3637">
        <v>9</v>
      </c>
      <c r="K3637">
        <v>15904.5</v>
      </c>
      <c r="L3637">
        <v>7</v>
      </c>
      <c r="M3637">
        <v>272</v>
      </c>
      <c r="N3637">
        <v>1354</v>
      </c>
      <c r="O3637">
        <f t="shared" si="114"/>
        <v>2024</v>
      </c>
      <c r="P3637">
        <f t="shared" si="115"/>
        <v>5</v>
      </c>
      <c r="Q3637" t="s">
        <v>325</v>
      </c>
      <c r="R3637" s="546" t="s">
        <v>804</v>
      </c>
    </row>
    <row r="3638" spans="1:18" x14ac:dyDescent="0.3">
      <c r="A3638" t="s">
        <v>627</v>
      </c>
      <c r="B3638" s="16">
        <v>45430</v>
      </c>
      <c r="C3638" t="s">
        <v>3</v>
      </c>
      <c r="D3638" t="s">
        <v>126</v>
      </c>
      <c r="E3638">
        <v>76</v>
      </c>
      <c r="F3638">
        <v>55</v>
      </c>
      <c r="G3638">
        <v>4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9</v>
      </c>
      <c r="N3638">
        <v>75</v>
      </c>
      <c r="O3638">
        <f t="shared" si="114"/>
        <v>2024</v>
      </c>
      <c r="P3638">
        <f t="shared" si="115"/>
        <v>5</v>
      </c>
      <c r="Q3638" t="s">
        <v>325</v>
      </c>
      <c r="R3638" s="546" t="s">
        <v>804</v>
      </c>
    </row>
    <row r="3639" spans="1:18" x14ac:dyDescent="0.3">
      <c r="A3639" t="s">
        <v>627</v>
      </c>
      <c r="B3639" s="16">
        <v>45430</v>
      </c>
      <c r="C3639" t="s">
        <v>3</v>
      </c>
      <c r="D3639" t="s">
        <v>125</v>
      </c>
      <c r="E3639">
        <v>6</v>
      </c>
      <c r="F3639">
        <v>4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2</v>
      </c>
      <c r="N3639">
        <v>5</v>
      </c>
      <c r="O3639">
        <f t="shared" si="114"/>
        <v>2024</v>
      </c>
      <c r="P3639">
        <f t="shared" si="115"/>
        <v>5</v>
      </c>
      <c r="Q3639" t="s">
        <v>325</v>
      </c>
      <c r="R3639" s="546" t="s">
        <v>804</v>
      </c>
    </row>
    <row r="3640" spans="1:18" x14ac:dyDescent="0.3">
      <c r="A3640" t="s">
        <v>627</v>
      </c>
      <c r="B3640" s="16">
        <v>45430</v>
      </c>
      <c r="C3640" t="s">
        <v>3</v>
      </c>
      <c r="D3640" t="s">
        <v>123</v>
      </c>
      <c r="E3640">
        <v>193</v>
      </c>
      <c r="F3640">
        <v>87</v>
      </c>
      <c r="G3640">
        <v>14</v>
      </c>
      <c r="H3640">
        <v>4</v>
      </c>
      <c r="I3640">
        <v>8927</v>
      </c>
      <c r="J3640">
        <v>2</v>
      </c>
      <c r="K3640">
        <v>5582</v>
      </c>
      <c r="L3640">
        <v>2</v>
      </c>
      <c r="M3640">
        <v>78</v>
      </c>
      <c r="N3640">
        <v>167</v>
      </c>
      <c r="O3640">
        <f t="shared" si="114"/>
        <v>2024</v>
      </c>
      <c r="P3640">
        <f t="shared" si="115"/>
        <v>5</v>
      </c>
      <c r="Q3640" t="s">
        <v>325</v>
      </c>
      <c r="R3640" s="546" t="s">
        <v>804</v>
      </c>
    </row>
    <row r="3641" spans="1:18" x14ac:dyDescent="0.3">
      <c r="A3641" t="s">
        <v>627</v>
      </c>
      <c r="B3641" s="16">
        <v>45430</v>
      </c>
      <c r="C3641" t="s">
        <v>3</v>
      </c>
      <c r="D3641" t="s">
        <v>120</v>
      </c>
      <c r="E3641">
        <v>551</v>
      </c>
      <c r="F3641">
        <v>359</v>
      </c>
      <c r="G3641">
        <v>3</v>
      </c>
      <c r="H3641">
        <v>0</v>
      </c>
      <c r="I3641">
        <v>8613</v>
      </c>
      <c r="J3641">
        <v>3</v>
      </c>
      <c r="K3641">
        <v>8613</v>
      </c>
      <c r="L3641">
        <v>3</v>
      </c>
      <c r="M3641">
        <v>57</v>
      </c>
      <c r="N3641">
        <v>546</v>
      </c>
      <c r="O3641">
        <f t="shared" si="114"/>
        <v>2024</v>
      </c>
      <c r="P3641">
        <f t="shared" si="115"/>
        <v>5</v>
      </c>
      <c r="Q3641" t="s">
        <v>325</v>
      </c>
      <c r="R3641" s="546" t="s">
        <v>804</v>
      </c>
    </row>
    <row r="3642" spans="1:18" x14ac:dyDescent="0.3">
      <c r="A3642" t="s">
        <v>627</v>
      </c>
      <c r="B3642" s="16">
        <v>45430</v>
      </c>
      <c r="C3642" t="s">
        <v>3</v>
      </c>
      <c r="D3642" t="s">
        <v>119</v>
      </c>
      <c r="E3642">
        <v>290</v>
      </c>
      <c r="F3642">
        <v>100</v>
      </c>
      <c r="G3642">
        <v>12</v>
      </c>
      <c r="H3642">
        <v>10</v>
      </c>
      <c r="I3642">
        <v>33635.5</v>
      </c>
      <c r="J3642">
        <v>12</v>
      </c>
      <c r="K3642">
        <v>30440.5</v>
      </c>
      <c r="L3642">
        <v>11</v>
      </c>
      <c r="M3642">
        <v>76</v>
      </c>
      <c r="N3642">
        <v>267</v>
      </c>
      <c r="O3642">
        <f t="shared" si="114"/>
        <v>2024</v>
      </c>
      <c r="P3642">
        <f t="shared" si="115"/>
        <v>5</v>
      </c>
      <c r="Q3642" t="s">
        <v>325</v>
      </c>
      <c r="R3642" s="546" t="s">
        <v>804</v>
      </c>
    </row>
    <row r="3643" spans="1:18" x14ac:dyDescent="0.3">
      <c r="A3643" t="s">
        <v>627</v>
      </c>
      <c r="B3643" s="16">
        <v>45430</v>
      </c>
      <c r="C3643" t="s">
        <v>3</v>
      </c>
      <c r="D3643" t="s">
        <v>116</v>
      </c>
      <c r="E3643">
        <v>2</v>
      </c>
      <c r="F3643">
        <v>2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2</v>
      </c>
      <c r="O3643">
        <f t="shared" si="114"/>
        <v>2024</v>
      </c>
      <c r="P3643">
        <f t="shared" si="115"/>
        <v>5</v>
      </c>
      <c r="Q3643" t="s">
        <v>325</v>
      </c>
      <c r="R3643" s="546" t="s">
        <v>804</v>
      </c>
    </row>
    <row r="3644" spans="1:18" x14ac:dyDescent="0.3">
      <c r="A3644" t="s">
        <v>627</v>
      </c>
      <c r="B3644" s="16">
        <v>45430</v>
      </c>
      <c r="C3644" t="s">
        <v>3</v>
      </c>
      <c r="D3644" t="s">
        <v>113</v>
      </c>
      <c r="E3644">
        <v>129</v>
      </c>
      <c r="F3644">
        <v>69</v>
      </c>
      <c r="G3644">
        <v>5</v>
      </c>
      <c r="H3644">
        <v>1</v>
      </c>
      <c r="I3644">
        <v>0</v>
      </c>
      <c r="J3644">
        <v>0</v>
      </c>
      <c r="K3644">
        <v>0</v>
      </c>
      <c r="L3644">
        <v>0</v>
      </c>
      <c r="M3644">
        <v>97</v>
      </c>
      <c r="N3644">
        <v>75</v>
      </c>
      <c r="O3644">
        <f t="shared" si="114"/>
        <v>2024</v>
      </c>
      <c r="P3644">
        <f t="shared" si="115"/>
        <v>5</v>
      </c>
      <c r="Q3644" t="s">
        <v>325</v>
      </c>
      <c r="R3644" s="546" t="s">
        <v>804</v>
      </c>
    </row>
    <row r="3645" spans="1:18" x14ac:dyDescent="0.3">
      <c r="A3645" t="s">
        <v>627</v>
      </c>
      <c r="B3645" s="16">
        <v>45430</v>
      </c>
      <c r="C3645" t="s">
        <v>3</v>
      </c>
      <c r="D3645" t="s">
        <v>112</v>
      </c>
      <c r="E3645">
        <v>10</v>
      </c>
      <c r="F3645">
        <v>2</v>
      </c>
      <c r="G3645">
        <v>0</v>
      </c>
      <c r="H3645">
        <v>0</v>
      </c>
      <c r="I3645">
        <v>3304</v>
      </c>
      <c r="J3645">
        <v>2</v>
      </c>
      <c r="K3645">
        <v>3304</v>
      </c>
      <c r="L3645">
        <v>2</v>
      </c>
      <c r="M3645">
        <v>0</v>
      </c>
      <c r="N3645">
        <v>10</v>
      </c>
      <c r="O3645">
        <f t="shared" si="114"/>
        <v>2024</v>
      </c>
      <c r="P3645">
        <f t="shared" si="115"/>
        <v>5</v>
      </c>
      <c r="Q3645" t="s">
        <v>325</v>
      </c>
      <c r="R3645" s="546" t="s">
        <v>804</v>
      </c>
    </row>
    <row r="3646" spans="1:18" x14ac:dyDescent="0.3">
      <c r="A3646" t="s">
        <v>627</v>
      </c>
      <c r="B3646" s="16">
        <v>45429</v>
      </c>
      <c r="C3646" t="s">
        <v>2</v>
      </c>
      <c r="D3646" t="s">
        <v>4</v>
      </c>
      <c r="E3646">
        <v>324</v>
      </c>
      <c r="F3646">
        <v>86</v>
      </c>
      <c r="G3646">
        <v>2</v>
      </c>
      <c r="H3646">
        <v>3</v>
      </c>
      <c r="I3646">
        <v>4374</v>
      </c>
      <c r="J3646">
        <v>2</v>
      </c>
      <c r="K3646">
        <v>4374</v>
      </c>
      <c r="L3646">
        <v>2</v>
      </c>
      <c r="M3646">
        <v>4</v>
      </c>
      <c r="N3646">
        <v>312</v>
      </c>
      <c r="O3646">
        <f t="shared" si="114"/>
        <v>2024</v>
      </c>
      <c r="P3646">
        <f t="shared" si="115"/>
        <v>5</v>
      </c>
      <c r="Q3646" t="s">
        <v>325</v>
      </c>
      <c r="R3646" s="546" t="s">
        <v>804</v>
      </c>
    </row>
    <row r="3647" spans="1:18" x14ac:dyDescent="0.3">
      <c r="A3647" t="s">
        <v>627</v>
      </c>
      <c r="B3647" s="16">
        <v>45429</v>
      </c>
      <c r="C3647" t="s">
        <v>2</v>
      </c>
      <c r="D3647" t="s">
        <v>57</v>
      </c>
      <c r="E3647">
        <v>20234</v>
      </c>
      <c r="F3647">
        <v>12367</v>
      </c>
      <c r="G3647">
        <v>211</v>
      </c>
      <c r="H3647">
        <v>86</v>
      </c>
      <c r="I3647">
        <v>104703.5</v>
      </c>
      <c r="J3647">
        <v>27</v>
      </c>
      <c r="K3647">
        <v>65153</v>
      </c>
      <c r="L3647">
        <v>19</v>
      </c>
      <c r="M3647">
        <v>1022</v>
      </c>
      <c r="N3647">
        <v>20204</v>
      </c>
      <c r="O3647">
        <f t="shared" si="114"/>
        <v>2024</v>
      </c>
      <c r="P3647">
        <f t="shared" si="115"/>
        <v>5</v>
      </c>
      <c r="Q3647" t="s">
        <v>325</v>
      </c>
      <c r="R3647" s="546" t="s">
        <v>804</v>
      </c>
    </row>
    <row r="3648" spans="1:18" x14ac:dyDescent="0.3">
      <c r="A3648" t="s">
        <v>627</v>
      </c>
      <c r="B3648" s="16">
        <v>45429</v>
      </c>
      <c r="C3648" t="s">
        <v>2</v>
      </c>
      <c r="D3648" t="s">
        <v>52</v>
      </c>
      <c r="E3648">
        <v>3412</v>
      </c>
      <c r="F3648">
        <v>2994</v>
      </c>
      <c r="G3648">
        <v>18</v>
      </c>
      <c r="H3648">
        <v>3</v>
      </c>
      <c r="I3648">
        <v>8736</v>
      </c>
      <c r="J3648">
        <v>3</v>
      </c>
      <c r="K3648">
        <v>8736</v>
      </c>
      <c r="L3648">
        <v>3</v>
      </c>
      <c r="M3648">
        <v>3411</v>
      </c>
      <c r="N3648">
        <v>902</v>
      </c>
      <c r="O3648">
        <f t="shared" si="114"/>
        <v>2024</v>
      </c>
      <c r="P3648">
        <f t="shared" si="115"/>
        <v>5</v>
      </c>
      <c r="Q3648" t="s">
        <v>325</v>
      </c>
      <c r="R3648" s="546" t="s">
        <v>804</v>
      </c>
    </row>
    <row r="3649" spans="1:18" x14ac:dyDescent="0.3">
      <c r="A3649" t="s">
        <v>627</v>
      </c>
      <c r="B3649" s="16">
        <v>45429</v>
      </c>
      <c r="C3649" t="s">
        <v>2</v>
      </c>
      <c r="D3649" t="s">
        <v>55</v>
      </c>
      <c r="E3649">
        <v>1710</v>
      </c>
      <c r="F3649">
        <v>1494</v>
      </c>
      <c r="G3649">
        <v>1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6</v>
      </c>
      <c r="N3649">
        <v>658</v>
      </c>
      <c r="O3649">
        <f t="shared" si="114"/>
        <v>2024</v>
      </c>
      <c r="P3649">
        <f t="shared" si="115"/>
        <v>5</v>
      </c>
      <c r="Q3649" t="s">
        <v>325</v>
      </c>
      <c r="R3649" s="546" t="s">
        <v>804</v>
      </c>
    </row>
    <row r="3650" spans="1:18" x14ac:dyDescent="0.3">
      <c r="A3650" t="s">
        <v>627</v>
      </c>
      <c r="B3650" s="16">
        <v>45429</v>
      </c>
      <c r="C3650" t="s">
        <v>3</v>
      </c>
      <c r="D3650" t="s">
        <v>155</v>
      </c>
      <c r="E3650">
        <v>9</v>
      </c>
      <c r="F3650">
        <v>3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2</v>
      </c>
      <c r="N3650">
        <v>9</v>
      </c>
      <c r="O3650">
        <f t="shared" si="114"/>
        <v>2024</v>
      </c>
      <c r="P3650">
        <f t="shared" si="115"/>
        <v>5</v>
      </c>
      <c r="Q3650" t="s">
        <v>325</v>
      </c>
      <c r="R3650" s="546" t="s">
        <v>804</v>
      </c>
    </row>
    <row r="3651" spans="1:18" x14ac:dyDescent="0.3">
      <c r="A3651" t="s">
        <v>627</v>
      </c>
      <c r="B3651" s="16">
        <v>45429</v>
      </c>
      <c r="C3651" t="s">
        <v>3</v>
      </c>
      <c r="D3651" t="s">
        <v>154</v>
      </c>
      <c r="E3651">
        <v>499</v>
      </c>
      <c r="F3651">
        <v>474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1</v>
      </c>
      <c r="N3651">
        <v>1</v>
      </c>
      <c r="O3651">
        <f t="shared" si="114"/>
        <v>2024</v>
      </c>
      <c r="P3651">
        <f t="shared" si="115"/>
        <v>5</v>
      </c>
      <c r="Q3651" t="s">
        <v>325</v>
      </c>
      <c r="R3651" s="546" t="s">
        <v>804</v>
      </c>
    </row>
    <row r="3652" spans="1:18" x14ac:dyDescent="0.3">
      <c r="A3652" t="s">
        <v>627</v>
      </c>
      <c r="B3652" s="16">
        <v>45429</v>
      </c>
      <c r="C3652" t="s">
        <v>3</v>
      </c>
      <c r="D3652" t="s">
        <v>153</v>
      </c>
      <c r="E3652">
        <v>284</v>
      </c>
      <c r="F3652">
        <v>64</v>
      </c>
      <c r="G3652">
        <v>32</v>
      </c>
      <c r="H3652">
        <v>6</v>
      </c>
      <c r="I3652">
        <v>58062.5</v>
      </c>
      <c r="J3652">
        <v>17</v>
      </c>
      <c r="K3652">
        <v>53417.5</v>
      </c>
      <c r="L3652">
        <v>17</v>
      </c>
      <c r="M3652">
        <v>81</v>
      </c>
      <c r="N3652">
        <v>276</v>
      </c>
      <c r="O3652">
        <f t="shared" si="114"/>
        <v>2024</v>
      </c>
      <c r="P3652">
        <f t="shared" si="115"/>
        <v>5</v>
      </c>
      <c r="Q3652" t="s">
        <v>325</v>
      </c>
      <c r="R3652" s="546" t="s">
        <v>804</v>
      </c>
    </row>
    <row r="3653" spans="1:18" x14ac:dyDescent="0.3">
      <c r="A3653" t="s">
        <v>627</v>
      </c>
      <c r="B3653" s="16">
        <v>45429</v>
      </c>
      <c r="C3653" t="s">
        <v>3</v>
      </c>
      <c r="D3653" t="s">
        <v>152</v>
      </c>
      <c r="E3653">
        <v>15</v>
      </c>
      <c r="F3653">
        <v>8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10</v>
      </c>
      <c r="O3653">
        <f t="shared" si="114"/>
        <v>2024</v>
      </c>
      <c r="P3653">
        <f t="shared" si="115"/>
        <v>5</v>
      </c>
      <c r="Q3653" t="s">
        <v>325</v>
      </c>
      <c r="R3653" s="546" t="s">
        <v>804</v>
      </c>
    </row>
    <row r="3654" spans="1:18" x14ac:dyDescent="0.3">
      <c r="A3654" t="s">
        <v>627</v>
      </c>
      <c r="B3654" s="16">
        <v>45429</v>
      </c>
      <c r="C3654" t="s">
        <v>3</v>
      </c>
      <c r="D3654" t="s">
        <v>150</v>
      </c>
      <c r="E3654">
        <v>3</v>
      </c>
      <c r="F3654">
        <v>2</v>
      </c>
      <c r="G3654">
        <v>0</v>
      </c>
      <c r="H3654">
        <v>1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3</v>
      </c>
      <c r="O3654">
        <f t="shared" si="114"/>
        <v>2024</v>
      </c>
      <c r="P3654">
        <f t="shared" si="115"/>
        <v>5</v>
      </c>
      <c r="Q3654" t="s">
        <v>325</v>
      </c>
      <c r="R3654" s="546" t="s">
        <v>804</v>
      </c>
    </row>
    <row r="3655" spans="1:18" x14ac:dyDescent="0.3">
      <c r="A3655" t="s">
        <v>627</v>
      </c>
      <c r="B3655" s="16">
        <v>45429</v>
      </c>
      <c r="C3655" t="s">
        <v>3</v>
      </c>
      <c r="D3655" t="s">
        <v>149</v>
      </c>
      <c r="E3655">
        <v>14</v>
      </c>
      <c r="F3655">
        <v>10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2</v>
      </c>
      <c r="N3655">
        <v>6</v>
      </c>
      <c r="O3655">
        <f t="shared" si="114"/>
        <v>2024</v>
      </c>
      <c r="P3655">
        <f t="shared" si="115"/>
        <v>5</v>
      </c>
      <c r="Q3655" t="s">
        <v>325</v>
      </c>
      <c r="R3655" s="546" t="s">
        <v>804</v>
      </c>
    </row>
    <row r="3656" spans="1:18" x14ac:dyDescent="0.3">
      <c r="A3656" t="s">
        <v>627</v>
      </c>
      <c r="B3656" s="16">
        <v>45429</v>
      </c>
      <c r="C3656" t="s">
        <v>3</v>
      </c>
      <c r="D3656" t="s">
        <v>148</v>
      </c>
      <c r="E3656">
        <v>1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1</v>
      </c>
      <c r="O3656">
        <f t="shared" si="114"/>
        <v>2024</v>
      </c>
      <c r="P3656">
        <f t="shared" si="115"/>
        <v>5</v>
      </c>
      <c r="Q3656" t="s">
        <v>325</v>
      </c>
      <c r="R3656" s="546" t="s">
        <v>804</v>
      </c>
    </row>
    <row r="3657" spans="1:18" x14ac:dyDescent="0.3">
      <c r="A3657" t="s">
        <v>627</v>
      </c>
      <c r="B3657" s="16">
        <v>45429</v>
      </c>
      <c r="C3657" t="s">
        <v>3</v>
      </c>
      <c r="D3657" t="s">
        <v>251</v>
      </c>
      <c r="E3657">
        <v>1730</v>
      </c>
      <c r="F3657">
        <v>1166</v>
      </c>
      <c r="G3657">
        <v>9</v>
      </c>
      <c r="H3657">
        <v>4</v>
      </c>
      <c r="I3657">
        <v>22682.5</v>
      </c>
      <c r="J3657">
        <v>4</v>
      </c>
      <c r="K3657">
        <v>11092.5</v>
      </c>
      <c r="L3657">
        <v>3</v>
      </c>
      <c r="M3657">
        <v>56</v>
      </c>
      <c r="N3657">
        <v>589</v>
      </c>
      <c r="O3657">
        <f t="shared" si="114"/>
        <v>2024</v>
      </c>
      <c r="P3657">
        <f t="shared" si="115"/>
        <v>5</v>
      </c>
      <c r="Q3657" t="s">
        <v>325</v>
      </c>
      <c r="R3657" s="546" t="s">
        <v>804</v>
      </c>
    </row>
    <row r="3658" spans="1:18" x14ac:dyDescent="0.3">
      <c r="A3658" t="s">
        <v>627</v>
      </c>
      <c r="B3658" s="16">
        <v>45429</v>
      </c>
      <c r="C3658" t="s">
        <v>3</v>
      </c>
      <c r="D3658" t="s">
        <v>143</v>
      </c>
      <c r="E3658">
        <v>10</v>
      </c>
      <c r="F3658">
        <v>10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10</v>
      </c>
      <c r="O3658">
        <f t="shared" si="114"/>
        <v>2024</v>
      </c>
      <c r="P3658">
        <f t="shared" si="115"/>
        <v>5</v>
      </c>
      <c r="Q3658" t="s">
        <v>325</v>
      </c>
      <c r="R3658" s="546" t="s">
        <v>804</v>
      </c>
    </row>
    <row r="3659" spans="1:18" x14ac:dyDescent="0.3">
      <c r="A3659" t="s">
        <v>627</v>
      </c>
      <c r="B3659" s="16">
        <v>45429</v>
      </c>
      <c r="C3659" t="s">
        <v>3</v>
      </c>
      <c r="D3659" t="s">
        <v>142</v>
      </c>
      <c r="E3659">
        <v>5</v>
      </c>
      <c r="F3659">
        <v>1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5</v>
      </c>
      <c r="O3659">
        <f t="shared" si="114"/>
        <v>2024</v>
      </c>
      <c r="P3659">
        <f t="shared" si="115"/>
        <v>5</v>
      </c>
      <c r="Q3659" t="s">
        <v>325</v>
      </c>
      <c r="R3659" s="546" t="s">
        <v>804</v>
      </c>
    </row>
    <row r="3660" spans="1:18" x14ac:dyDescent="0.3">
      <c r="A3660" t="s">
        <v>627</v>
      </c>
      <c r="B3660" s="16">
        <v>45429</v>
      </c>
      <c r="C3660" t="s">
        <v>3</v>
      </c>
      <c r="D3660" t="s">
        <v>141</v>
      </c>
      <c r="E3660">
        <v>1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1</v>
      </c>
      <c r="O3660">
        <f t="shared" si="114"/>
        <v>2024</v>
      </c>
      <c r="P3660">
        <f t="shared" si="115"/>
        <v>5</v>
      </c>
      <c r="Q3660" t="s">
        <v>325</v>
      </c>
      <c r="R3660" s="546" t="s">
        <v>804</v>
      </c>
    </row>
    <row r="3661" spans="1:18" x14ac:dyDescent="0.3">
      <c r="A3661" t="s">
        <v>627</v>
      </c>
      <c r="B3661" s="16">
        <v>45429</v>
      </c>
      <c r="C3661" t="s">
        <v>3</v>
      </c>
      <c r="D3661" t="s">
        <v>140</v>
      </c>
      <c r="E3661">
        <v>3</v>
      </c>
      <c r="F3661">
        <v>3</v>
      </c>
      <c r="G3661">
        <v>0</v>
      </c>
      <c r="H3661">
        <v>0</v>
      </c>
      <c r="I3661">
        <v>2438</v>
      </c>
      <c r="J3661">
        <v>1</v>
      </c>
      <c r="K3661">
        <v>2438</v>
      </c>
      <c r="L3661">
        <v>1</v>
      </c>
      <c r="M3661">
        <v>2</v>
      </c>
      <c r="N3661">
        <v>1</v>
      </c>
      <c r="O3661">
        <f t="shared" si="114"/>
        <v>2024</v>
      </c>
      <c r="P3661">
        <f t="shared" si="115"/>
        <v>5</v>
      </c>
      <c r="Q3661" t="s">
        <v>325</v>
      </c>
      <c r="R3661" s="546" t="s">
        <v>804</v>
      </c>
    </row>
    <row r="3662" spans="1:18" x14ac:dyDescent="0.3">
      <c r="A3662" t="s">
        <v>627</v>
      </c>
      <c r="B3662" s="16">
        <v>45429</v>
      </c>
      <c r="C3662" t="s">
        <v>3</v>
      </c>
      <c r="D3662" t="s">
        <v>139</v>
      </c>
      <c r="E3662">
        <v>629</v>
      </c>
      <c r="F3662">
        <v>374</v>
      </c>
      <c r="G3662">
        <v>16</v>
      </c>
      <c r="H3662">
        <v>9</v>
      </c>
      <c r="I3662">
        <v>35422.5</v>
      </c>
      <c r="J3662">
        <v>10</v>
      </c>
      <c r="K3662">
        <v>28777.5</v>
      </c>
      <c r="L3662">
        <v>9</v>
      </c>
      <c r="M3662">
        <v>336</v>
      </c>
      <c r="N3662">
        <v>380</v>
      </c>
      <c r="O3662">
        <f t="shared" si="114"/>
        <v>2024</v>
      </c>
      <c r="P3662">
        <f t="shared" si="115"/>
        <v>5</v>
      </c>
      <c r="Q3662" t="s">
        <v>325</v>
      </c>
      <c r="R3662" s="546" t="s">
        <v>804</v>
      </c>
    </row>
    <row r="3663" spans="1:18" x14ac:dyDescent="0.3">
      <c r="A3663" t="s">
        <v>627</v>
      </c>
      <c r="B3663" s="16">
        <v>45429</v>
      </c>
      <c r="C3663" t="s">
        <v>3</v>
      </c>
      <c r="D3663" t="s">
        <v>138</v>
      </c>
      <c r="E3663">
        <v>8</v>
      </c>
      <c r="F3663">
        <v>7</v>
      </c>
      <c r="G3663">
        <v>0</v>
      </c>
      <c r="H3663">
        <v>1</v>
      </c>
      <c r="I3663">
        <v>0</v>
      </c>
      <c r="J3663">
        <v>0</v>
      </c>
      <c r="K3663">
        <v>0</v>
      </c>
      <c r="L3663">
        <v>0</v>
      </c>
      <c r="M3663">
        <v>2</v>
      </c>
      <c r="N3663">
        <v>8</v>
      </c>
      <c r="O3663">
        <f t="shared" si="114"/>
        <v>2024</v>
      </c>
      <c r="P3663">
        <f t="shared" si="115"/>
        <v>5</v>
      </c>
      <c r="Q3663" t="s">
        <v>325</v>
      </c>
      <c r="R3663" s="546" t="s">
        <v>804</v>
      </c>
    </row>
    <row r="3664" spans="1:18" x14ac:dyDescent="0.3">
      <c r="A3664" t="s">
        <v>627</v>
      </c>
      <c r="B3664" s="16">
        <v>45429</v>
      </c>
      <c r="C3664" t="s">
        <v>3</v>
      </c>
      <c r="D3664" t="s">
        <v>137</v>
      </c>
      <c r="E3664">
        <v>11</v>
      </c>
      <c r="F3664">
        <v>4</v>
      </c>
      <c r="G3664">
        <v>0</v>
      </c>
      <c r="H3664">
        <v>1</v>
      </c>
      <c r="I3664">
        <v>9640</v>
      </c>
      <c r="J3664">
        <v>1</v>
      </c>
      <c r="K3664">
        <v>4995</v>
      </c>
      <c r="L3664">
        <v>1</v>
      </c>
      <c r="M3664">
        <v>1</v>
      </c>
      <c r="N3664">
        <v>11</v>
      </c>
      <c r="O3664">
        <f t="shared" si="114"/>
        <v>2024</v>
      </c>
      <c r="P3664">
        <f t="shared" si="115"/>
        <v>5</v>
      </c>
      <c r="Q3664" t="s">
        <v>325</v>
      </c>
      <c r="R3664" s="546" t="s">
        <v>804</v>
      </c>
    </row>
    <row r="3665" spans="1:18" x14ac:dyDescent="0.3">
      <c r="A3665" t="s">
        <v>627</v>
      </c>
      <c r="B3665" s="16">
        <v>45429</v>
      </c>
      <c r="C3665" t="s">
        <v>3</v>
      </c>
      <c r="D3665" t="s">
        <v>133</v>
      </c>
      <c r="E3665">
        <v>14</v>
      </c>
      <c r="F3665">
        <v>7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7</v>
      </c>
      <c r="N3665">
        <v>10</v>
      </c>
      <c r="O3665">
        <f t="shared" si="114"/>
        <v>2024</v>
      </c>
      <c r="P3665">
        <f t="shared" si="115"/>
        <v>5</v>
      </c>
      <c r="Q3665" t="s">
        <v>325</v>
      </c>
      <c r="R3665" s="546" t="s">
        <v>804</v>
      </c>
    </row>
    <row r="3666" spans="1:18" x14ac:dyDescent="0.3">
      <c r="A3666" t="s">
        <v>627</v>
      </c>
      <c r="B3666" s="16">
        <v>45429</v>
      </c>
      <c r="C3666" t="s">
        <v>3</v>
      </c>
      <c r="D3666" t="s">
        <v>132</v>
      </c>
      <c r="E3666">
        <v>3</v>
      </c>
      <c r="F3666">
        <v>2</v>
      </c>
      <c r="G3666">
        <v>0</v>
      </c>
      <c r="H3666">
        <v>1</v>
      </c>
      <c r="I3666">
        <v>0</v>
      </c>
      <c r="J3666">
        <v>0</v>
      </c>
      <c r="K3666">
        <v>0</v>
      </c>
      <c r="L3666">
        <v>0</v>
      </c>
      <c r="M3666">
        <v>1</v>
      </c>
      <c r="N3666">
        <v>3</v>
      </c>
      <c r="O3666">
        <f t="shared" si="114"/>
        <v>2024</v>
      </c>
      <c r="P3666">
        <f t="shared" si="115"/>
        <v>5</v>
      </c>
      <c r="Q3666" t="s">
        <v>325</v>
      </c>
      <c r="R3666" s="546" t="s">
        <v>804</v>
      </c>
    </row>
    <row r="3667" spans="1:18" x14ac:dyDescent="0.3">
      <c r="A3667" t="s">
        <v>627</v>
      </c>
      <c r="B3667" s="16">
        <v>45429</v>
      </c>
      <c r="C3667" t="s">
        <v>3</v>
      </c>
      <c r="D3667" t="s">
        <v>130</v>
      </c>
      <c r="E3667">
        <v>66</v>
      </c>
      <c r="F3667">
        <v>30</v>
      </c>
      <c r="G3667">
        <v>10</v>
      </c>
      <c r="H3667">
        <v>1</v>
      </c>
      <c r="I3667">
        <v>27637.5</v>
      </c>
      <c r="J3667">
        <v>6</v>
      </c>
      <c r="K3667">
        <v>24187.5</v>
      </c>
      <c r="L3667">
        <v>6</v>
      </c>
      <c r="M3667">
        <v>35</v>
      </c>
      <c r="N3667">
        <v>57</v>
      </c>
      <c r="O3667">
        <f t="shared" si="114"/>
        <v>2024</v>
      </c>
      <c r="P3667">
        <f t="shared" si="115"/>
        <v>5</v>
      </c>
      <c r="Q3667" t="s">
        <v>325</v>
      </c>
      <c r="R3667" s="546" t="s">
        <v>804</v>
      </c>
    </row>
    <row r="3668" spans="1:18" x14ac:dyDescent="0.3">
      <c r="A3668" t="s">
        <v>627</v>
      </c>
      <c r="B3668" s="16">
        <v>45429</v>
      </c>
      <c r="C3668" t="s">
        <v>3</v>
      </c>
      <c r="D3668" t="s">
        <v>128</v>
      </c>
      <c r="E3668">
        <v>366</v>
      </c>
      <c r="F3668">
        <v>290</v>
      </c>
      <c r="G3668">
        <v>15</v>
      </c>
      <c r="H3668">
        <v>8</v>
      </c>
      <c r="I3668">
        <v>0</v>
      </c>
      <c r="J3668">
        <v>0</v>
      </c>
      <c r="K3668">
        <v>0</v>
      </c>
      <c r="L3668">
        <v>0</v>
      </c>
      <c r="M3668">
        <v>159</v>
      </c>
      <c r="N3668">
        <v>274</v>
      </c>
      <c r="O3668">
        <f t="shared" si="114"/>
        <v>2024</v>
      </c>
      <c r="P3668">
        <f t="shared" si="115"/>
        <v>5</v>
      </c>
      <c r="Q3668" t="s">
        <v>325</v>
      </c>
      <c r="R3668" s="546" t="s">
        <v>804</v>
      </c>
    </row>
    <row r="3669" spans="1:18" x14ac:dyDescent="0.3">
      <c r="A3669" t="s">
        <v>627</v>
      </c>
      <c r="B3669" s="16">
        <v>45429</v>
      </c>
      <c r="C3669" t="s">
        <v>3</v>
      </c>
      <c r="D3669" t="s">
        <v>127</v>
      </c>
      <c r="E3669">
        <v>4323</v>
      </c>
      <c r="F3669">
        <v>3688</v>
      </c>
      <c r="G3669">
        <v>47</v>
      </c>
      <c r="H3669">
        <v>15</v>
      </c>
      <c r="I3669">
        <v>9197.5</v>
      </c>
      <c r="J3669">
        <v>2</v>
      </c>
      <c r="K3669">
        <v>5747.5</v>
      </c>
      <c r="L3669">
        <v>2</v>
      </c>
      <c r="M3669">
        <v>411</v>
      </c>
      <c r="N3669">
        <v>1260</v>
      </c>
      <c r="O3669">
        <f t="shared" si="114"/>
        <v>2024</v>
      </c>
      <c r="P3669">
        <f t="shared" si="115"/>
        <v>5</v>
      </c>
      <c r="Q3669" t="s">
        <v>325</v>
      </c>
      <c r="R3669" s="546" t="s">
        <v>804</v>
      </c>
    </row>
    <row r="3670" spans="1:18" x14ac:dyDescent="0.3">
      <c r="A3670" t="s">
        <v>627</v>
      </c>
      <c r="B3670" s="16">
        <v>45429</v>
      </c>
      <c r="C3670" t="s">
        <v>3</v>
      </c>
      <c r="D3670" t="s">
        <v>126</v>
      </c>
      <c r="E3670">
        <v>76</v>
      </c>
      <c r="F3670">
        <v>56</v>
      </c>
      <c r="G3670">
        <v>2</v>
      </c>
      <c r="H3670">
        <v>1</v>
      </c>
      <c r="I3670">
        <v>0</v>
      </c>
      <c r="J3670">
        <v>0</v>
      </c>
      <c r="K3670">
        <v>0</v>
      </c>
      <c r="L3670">
        <v>0</v>
      </c>
      <c r="M3670">
        <v>21</v>
      </c>
      <c r="N3670">
        <v>74</v>
      </c>
      <c r="O3670">
        <f t="shared" si="114"/>
        <v>2024</v>
      </c>
      <c r="P3670">
        <f t="shared" si="115"/>
        <v>5</v>
      </c>
      <c r="Q3670" t="s">
        <v>325</v>
      </c>
      <c r="R3670" s="546" t="s">
        <v>804</v>
      </c>
    </row>
    <row r="3671" spans="1:18" x14ac:dyDescent="0.3">
      <c r="A3671" t="s">
        <v>627</v>
      </c>
      <c r="B3671" s="16">
        <v>45429</v>
      </c>
      <c r="C3671" t="s">
        <v>3</v>
      </c>
      <c r="D3671" t="s">
        <v>125</v>
      </c>
      <c r="E3671">
        <v>2</v>
      </c>
      <c r="F3671">
        <v>1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2</v>
      </c>
      <c r="O3671">
        <f t="shared" si="114"/>
        <v>2024</v>
      </c>
      <c r="P3671">
        <f t="shared" si="115"/>
        <v>5</v>
      </c>
      <c r="Q3671" t="s">
        <v>325</v>
      </c>
      <c r="R3671" s="546" t="s">
        <v>804</v>
      </c>
    </row>
    <row r="3672" spans="1:18" x14ac:dyDescent="0.3">
      <c r="A3672" t="s">
        <v>627</v>
      </c>
      <c r="B3672" s="16">
        <v>45429</v>
      </c>
      <c r="C3672" t="s">
        <v>3</v>
      </c>
      <c r="D3672" t="s">
        <v>123</v>
      </c>
      <c r="E3672">
        <v>193</v>
      </c>
      <c r="F3672">
        <v>99</v>
      </c>
      <c r="G3672">
        <v>14</v>
      </c>
      <c r="H3672">
        <v>4</v>
      </c>
      <c r="I3672">
        <v>9395</v>
      </c>
      <c r="J3672">
        <v>1</v>
      </c>
      <c r="K3672">
        <v>0</v>
      </c>
      <c r="L3672">
        <v>0</v>
      </c>
      <c r="M3672">
        <v>86</v>
      </c>
      <c r="N3672">
        <v>153</v>
      </c>
      <c r="O3672">
        <f t="shared" si="114"/>
        <v>2024</v>
      </c>
      <c r="P3672">
        <f t="shared" si="115"/>
        <v>5</v>
      </c>
      <c r="Q3672" t="s">
        <v>325</v>
      </c>
      <c r="R3672" s="546" t="s">
        <v>804</v>
      </c>
    </row>
    <row r="3673" spans="1:18" x14ac:dyDescent="0.3">
      <c r="A3673" t="s">
        <v>627</v>
      </c>
      <c r="B3673" s="16">
        <v>45429</v>
      </c>
      <c r="C3673" t="s">
        <v>3</v>
      </c>
      <c r="D3673" t="s">
        <v>120</v>
      </c>
      <c r="E3673">
        <v>513</v>
      </c>
      <c r="F3673">
        <v>335</v>
      </c>
      <c r="G3673">
        <v>3</v>
      </c>
      <c r="H3673">
        <v>0</v>
      </c>
      <c r="I3673">
        <v>5372</v>
      </c>
      <c r="J3673">
        <v>2</v>
      </c>
      <c r="K3673">
        <v>5372</v>
      </c>
      <c r="L3673">
        <v>2</v>
      </c>
      <c r="M3673">
        <v>56</v>
      </c>
      <c r="N3673">
        <v>507</v>
      </c>
      <c r="O3673">
        <f t="shared" si="114"/>
        <v>2024</v>
      </c>
      <c r="P3673">
        <f t="shared" si="115"/>
        <v>5</v>
      </c>
      <c r="Q3673" t="s">
        <v>325</v>
      </c>
      <c r="R3673" s="546" t="s">
        <v>804</v>
      </c>
    </row>
    <row r="3674" spans="1:18" x14ac:dyDescent="0.3">
      <c r="A3674" t="s">
        <v>627</v>
      </c>
      <c r="B3674" s="16">
        <v>45429</v>
      </c>
      <c r="C3674" t="s">
        <v>3</v>
      </c>
      <c r="D3674" t="s">
        <v>119</v>
      </c>
      <c r="E3674">
        <v>289</v>
      </c>
      <c r="F3674">
        <v>132</v>
      </c>
      <c r="G3674">
        <v>15</v>
      </c>
      <c r="H3674">
        <v>7</v>
      </c>
      <c r="I3674">
        <v>29333.5</v>
      </c>
      <c r="J3674">
        <v>8</v>
      </c>
      <c r="K3674">
        <v>25883.5</v>
      </c>
      <c r="L3674">
        <v>8</v>
      </c>
      <c r="M3674">
        <v>84</v>
      </c>
      <c r="N3674">
        <v>238</v>
      </c>
      <c r="O3674">
        <f t="shared" si="114"/>
        <v>2024</v>
      </c>
      <c r="P3674">
        <f t="shared" si="115"/>
        <v>5</v>
      </c>
      <c r="Q3674" t="s">
        <v>325</v>
      </c>
      <c r="R3674" s="546" t="s">
        <v>804</v>
      </c>
    </row>
    <row r="3675" spans="1:18" x14ac:dyDescent="0.3">
      <c r="A3675" t="s">
        <v>627</v>
      </c>
      <c r="B3675" s="16">
        <v>45429</v>
      </c>
      <c r="C3675" t="s">
        <v>3</v>
      </c>
      <c r="D3675" t="s">
        <v>116</v>
      </c>
      <c r="E3675">
        <v>1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1</v>
      </c>
      <c r="O3675">
        <f t="shared" si="114"/>
        <v>2024</v>
      </c>
      <c r="P3675">
        <f t="shared" si="115"/>
        <v>5</v>
      </c>
      <c r="Q3675" t="s">
        <v>325</v>
      </c>
      <c r="R3675" s="546" t="s">
        <v>804</v>
      </c>
    </row>
    <row r="3676" spans="1:18" x14ac:dyDescent="0.3">
      <c r="A3676" t="s">
        <v>627</v>
      </c>
      <c r="B3676" s="16">
        <v>45429</v>
      </c>
      <c r="C3676" t="s">
        <v>3</v>
      </c>
      <c r="D3676" t="s">
        <v>115</v>
      </c>
      <c r="E3676">
        <v>2</v>
      </c>
      <c r="F3676">
        <v>1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2</v>
      </c>
      <c r="O3676">
        <f t="shared" si="114"/>
        <v>2024</v>
      </c>
      <c r="P3676">
        <f t="shared" si="115"/>
        <v>5</v>
      </c>
      <c r="Q3676" t="s">
        <v>325</v>
      </c>
      <c r="R3676" s="546" t="s">
        <v>804</v>
      </c>
    </row>
    <row r="3677" spans="1:18" x14ac:dyDescent="0.3">
      <c r="A3677" t="s">
        <v>627</v>
      </c>
      <c r="B3677" s="16">
        <v>45429</v>
      </c>
      <c r="C3677" t="s">
        <v>3</v>
      </c>
      <c r="D3677" t="s">
        <v>113</v>
      </c>
      <c r="E3677">
        <v>165</v>
      </c>
      <c r="F3677">
        <v>116</v>
      </c>
      <c r="G3677">
        <v>3</v>
      </c>
      <c r="H3677">
        <v>3</v>
      </c>
      <c r="I3677">
        <v>0</v>
      </c>
      <c r="J3677">
        <v>0</v>
      </c>
      <c r="K3677">
        <v>0</v>
      </c>
      <c r="L3677">
        <v>0</v>
      </c>
      <c r="M3677">
        <v>78</v>
      </c>
      <c r="N3677">
        <v>68</v>
      </c>
      <c r="O3677">
        <f t="shared" si="114"/>
        <v>2024</v>
      </c>
      <c r="P3677">
        <f t="shared" si="115"/>
        <v>5</v>
      </c>
      <c r="Q3677" t="s">
        <v>325</v>
      </c>
      <c r="R3677" s="546" t="s">
        <v>804</v>
      </c>
    </row>
    <row r="3678" spans="1:18" x14ac:dyDescent="0.3">
      <c r="A3678" t="s">
        <v>627</v>
      </c>
      <c r="B3678" s="16">
        <v>45429</v>
      </c>
      <c r="C3678" t="s">
        <v>3</v>
      </c>
      <c r="D3678" t="s">
        <v>112</v>
      </c>
      <c r="E3678">
        <v>3</v>
      </c>
      <c r="F3678">
        <v>2</v>
      </c>
      <c r="G3678">
        <v>1</v>
      </c>
      <c r="H3678">
        <v>0</v>
      </c>
      <c r="I3678">
        <v>2247.5</v>
      </c>
      <c r="J3678">
        <v>1</v>
      </c>
      <c r="K3678">
        <v>2247.5</v>
      </c>
      <c r="L3678">
        <v>1</v>
      </c>
      <c r="M3678">
        <v>0</v>
      </c>
      <c r="N3678">
        <v>3</v>
      </c>
      <c r="O3678">
        <f t="shared" si="114"/>
        <v>2024</v>
      </c>
      <c r="P3678">
        <f t="shared" si="115"/>
        <v>5</v>
      </c>
      <c r="Q3678" t="s">
        <v>325</v>
      </c>
      <c r="R3678" s="546" t="s">
        <v>804</v>
      </c>
    </row>
    <row r="3679" spans="1:18" x14ac:dyDescent="0.3">
      <c r="A3679" t="s">
        <v>627</v>
      </c>
      <c r="B3679" s="16">
        <v>45428</v>
      </c>
      <c r="C3679" t="s">
        <v>2</v>
      </c>
      <c r="D3679" t="s">
        <v>4</v>
      </c>
      <c r="E3679">
        <v>335</v>
      </c>
      <c r="F3679">
        <v>100</v>
      </c>
      <c r="G3679">
        <v>0</v>
      </c>
      <c r="H3679">
        <v>0</v>
      </c>
      <c r="I3679">
        <v>3995</v>
      </c>
      <c r="J3679">
        <v>1</v>
      </c>
      <c r="K3679">
        <v>3995</v>
      </c>
      <c r="L3679">
        <v>1</v>
      </c>
      <c r="M3679">
        <v>13</v>
      </c>
      <c r="N3679">
        <v>316</v>
      </c>
      <c r="O3679">
        <f t="shared" si="114"/>
        <v>2024</v>
      </c>
      <c r="P3679">
        <f t="shared" si="115"/>
        <v>5</v>
      </c>
      <c r="Q3679" t="s">
        <v>325</v>
      </c>
      <c r="R3679" s="546" t="s">
        <v>804</v>
      </c>
    </row>
    <row r="3680" spans="1:18" x14ac:dyDescent="0.3">
      <c r="A3680" t="s">
        <v>627</v>
      </c>
      <c r="B3680" s="16">
        <v>45428</v>
      </c>
      <c r="C3680" t="s">
        <v>2</v>
      </c>
      <c r="D3680" t="s">
        <v>57</v>
      </c>
      <c r="E3680">
        <v>20612</v>
      </c>
      <c r="F3680">
        <v>12896</v>
      </c>
      <c r="G3680">
        <v>202</v>
      </c>
      <c r="H3680">
        <v>110</v>
      </c>
      <c r="I3680">
        <v>77241</v>
      </c>
      <c r="J3680">
        <v>30</v>
      </c>
      <c r="K3680">
        <v>69373.5</v>
      </c>
      <c r="L3680">
        <v>27</v>
      </c>
      <c r="M3680">
        <v>1032</v>
      </c>
      <c r="N3680">
        <v>20573</v>
      </c>
      <c r="O3680">
        <f t="shared" si="114"/>
        <v>2024</v>
      </c>
      <c r="P3680">
        <f t="shared" si="115"/>
        <v>5</v>
      </c>
      <c r="Q3680" t="s">
        <v>325</v>
      </c>
      <c r="R3680" s="546" t="s">
        <v>804</v>
      </c>
    </row>
    <row r="3681" spans="1:18" x14ac:dyDescent="0.3">
      <c r="A3681" t="s">
        <v>627</v>
      </c>
      <c r="B3681" s="16">
        <v>45428</v>
      </c>
      <c r="C3681" t="s">
        <v>2</v>
      </c>
      <c r="D3681" t="s">
        <v>52</v>
      </c>
      <c r="E3681">
        <v>3205</v>
      </c>
      <c r="F3681">
        <v>2752</v>
      </c>
      <c r="G3681">
        <v>13</v>
      </c>
      <c r="H3681">
        <v>4</v>
      </c>
      <c r="I3681">
        <v>9517</v>
      </c>
      <c r="J3681">
        <v>3</v>
      </c>
      <c r="K3681">
        <v>9517</v>
      </c>
      <c r="L3681">
        <v>3</v>
      </c>
      <c r="M3681">
        <v>3204</v>
      </c>
      <c r="N3681">
        <v>1010</v>
      </c>
      <c r="O3681">
        <f t="shared" si="114"/>
        <v>2024</v>
      </c>
      <c r="P3681">
        <f t="shared" si="115"/>
        <v>5</v>
      </c>
      <c r="Q3681" t="s">
        <v>325</v>
      </c>
      <c r="R3681" s="546" t="s">
        <v>804</v>
      </c>
    </row>
    <row r="3682" spans="1:18" x14ac:dyDescent="0.3">
      <c r="A3682" t="s">
        <v>627</v>
      </c>
      <c r="B3682" s="16">
        <v>45428</v>
      </c>
      <c r="C3682" t="s">
        <v>2</v>
      </c>
      <c r="D3682" t="s">
        <v>55</v>
      </c>
      <c r="E3682">
        <v>3702</v>
      </c>
      <c r="F3682">
        <v>3325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4</v>
      </c>
      <c r="N3682">
        <v>2097</v>
      </c>
      <c r="O3682">
        <f t="shared" si="114"/>
        <v>2024</v>
      </c>
      <c r="P3682">
        <f t="shared" si="115"/>
        <v>5</v>
      </c>
      <c r="Q3682" t="s">
        <v>325</v>
      </c>
      <c r="R3682" s="546" t="s">
        <v>804</v>
      </c>
    </row>
    <row r="3683" spans="1:18" x14ac:dyDescent="0.3">
      <c r="A3683" t="s">
        <v>627</v>
      </c>
      <c r="B3683" s="16">
        <v>45428</v>
      </c>
      <c r="C3683" t="s">
        <v>3</v>
      </c>
      <c r="D3683" t="s">
        <v>155</v>
      </c>
      <c r="E3683">
        <v>2</v>
      </c>
      <c r="F3683">
        <v>1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2</v>
      </c>
      <c r="O3683">
        <f t="shared" si="114"/>
        <v>2024</v>
      </c>
      <c r="P3683">
        <f t="shared" si="115"/>
        <v>5</v>
      </c>
      <c r="Q3683" t="s">
        <v>325</v>
      </c>
      <c r="R3683" s="546" t="s">
        <v>804</v>
      </c>
    </row>
    <row r="3684" spans="1:18" x14ac:dyDescent="0.3">
      <c r="A3684" t="s">
        <v>627</v>
      </c>
      <c r="B3684" s="16">
        <v>45428</v>
      </c>
      <c r="C3684" t="s">
        <v>3</v>
      </c>
      <c r="D3684" t="s">
        <v>154</v>
      </c>
      <c r="E3684">
        <v>998</v>
      </c>
      <c r="F3684">
        <v>974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3</v>
      </c>
      <c r="O3684">
        <f t="shared" si="114"/>
        <v>2024</v>
      </c>
      <c r="P3684">
        <f t="shared" si="115"/>
        <v>5</v>
      </c>
      <c r="Q3684" t="s">
        <v>325</v>
      </c>
      <c r="R3684" s="546" t="s">
        <v>804</v>
      </c>
    </row>
    <row r="3685" spans="1:18" x14ac:dyDescent="0.3">
      <c r="A3685" t="s">
        <v>627</v>
      </c>
      <c r="B3685" s="16">
        <v>45428</v>
      </c>
      <c r="C3685" t="s">
        <v>3</v>
      </c>
      <c r="D3685" t="s">
        <v>153</v>
      </c>
      <c r="E3685">
        <v>277</v>
      </c>
      <c r="F3685">
        <v>78</v>
      </c>
      <c r="G3685">
        <v>23</v>
      </c>
      <c r="H3685">
        <v>4</v>
      </c>
      <c r="I3685">
        <v>82886.5</v>
      </c>
      <c r="J3685">
        <v>24</v>
      </c>
      <c r="K3685">
        <v>58996</v>
      </c>
      <c r="L3685">
        <v>20</v>
      </c>
      <c r="M3685">
        <v>66</v>
      </c>
      <c r="N3685">
        <v>268</v>
      </c>
      <c r="O3685">
        <f t="shared" si="114"/>
        <v>2024</v>
      </c>
      <c r="P3685">
        <f t="shared" si="115"/>
        <v>5</v>
      </c>
      <c r="Q3685" t="s">
        <v>325</v>
      </c>
      <c r="R3685" s="546" t="s">
        <v>804</v>
      </c>
    </row>
    <row r="3686" spans="1:18" x14ac:dyDescent="0.3">
      <c r="A3686" t="s">
        <v>627</v>
      </c>
      <c r="B3686" s="16">
        <v>45428</v>
      </c>
      <c r="C3686" t="s">
        <v>3</v>
      </c>
      <c r="D3686" t="s">
        <v>152</v>
      </c>
      <c r="E3686">
        <v>7</v>
      </c>
      <c r="F3686">
        <v>1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2</v>
      </c>
      <c r="O3686">
        <f t="shared" si="114"/>
        <v>2024</v>
      </c>
      <c r="P3686">
        <f t="shared" si="115"/>
        <v>5</v>
      </c>
      <c r="Q3686" t="s">
        <v>325</v>
      </c>
      <c r="R3686" s="546" t="s">
        <v>804</v>
      </c>
    </row>
    <row r="3687" spans="1:18" x14ac:dyDescent="0.3">
      <c r="A3687" t="s">
        <v>627</v>
      </c>
      <c r="B3687" s="16">
        <v>45428</v>
      </c>
      <c r="C3687" t="s">
        <v>3</v>
      </c>
      <c r="D3687" t="s">
        <v>150</v>
      </c>
      <c r="E3687">
        <v>1</v>
      </c>
      <c r="F3687">
        <v>1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1</v>
      </c>
      <c r="O3687">
        <f t="shared" si="114"/>
        <v>2024</v>
      </c>
      <c r="P3687">
        <f t="shared" si="115"/>
        <v>5</v>
      </c>
      <c r="Q3687" t="s">
        <v>325</v>
      </c>
      <c r="R3687" s="546" t="s">
        <v>804</v>
      </c>
    </row>
    <row r="3688" spans="1:18" x14ac:dyDescent="0.3">
      <c r="A3688" t="s">
        <v>627</v>
      </c>
      <c r="B3688" s="16">
        <v>45428</v>
      </c>
      <c r="C3688" t="s">
        <v>3</v>
      </c>
      <c r="D3688" t="s">
        <v>149</v>
      </c>
      <c r="E3688">
        <v>18</v>
      </c>
      <c r="F3688">
        <v>8</v>
      </c>
      <c r="G3688">
        <v>1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5</v>
      </c>
      <c r="N3688">
        <v>7</v>
      </c>
      <c r="O3688">
        <f t="shared" si="114"/>
        <v>2024</v>
      </c>
      <c r="P3688">
        <f t="shared" si="115"/>
        <v>5</v>
      </c>
      <c r="Q3688" t="s">
        <v>325</v>
      </c>
      <c r="R3688" s="546" t="s">
        <v>804</v>
      </c>
    </row>
    <row r="3689" spans="1:18" x14ac:dyDescent="0.3">
      <c r="A3689" t="s">
        <v>627</v>
      </c>
      <c r="B3689" s="16">
        <v>45428</v>
      </c>
      <c r="C3689" t="s">
        <v>3</v>
      </c>
      <c r="D3689" t="s">
        <v>251</v>
      </c>
      <c r="E3689">
        <v>1354</v>
      </c>
      <c r="F3689">
        <v>717</v>
      </c>
      <c r="G3689">
        <v>7</v>
      </c>
      <c r="H3689">
        <v>5</v>
      </c>
      <c r="I3689">
        <v>9957</v>
      </c>
      <c r="J3689">
        <v>2</v>
      </c>
      <c r="K3689">
        <v>7469</v>
      </c>
      <c r="L3689">
        <v>2</v>
      </c>
      <c r="M3689">
        <v>44</v>
      </c>
      <c r="N3689">
        <v>713</v>
      </c>
      <c r="O3689">
        <f t="shared" si="114"/>
        <v>2024</v>
      </c>
      <c r="P3689">
        <f t="shared" si="115"/>
        <v>5</v>
      </c>
      <c r="Q3689" t="s">
        <v>325</v>
      </c>
      <c r="R3689" s="546" t="s">
        <v>804</v>
      </c>
    </row>
    <row r="3690" spans="1:18" x14ac:dyDescent="0.3">
      <c r="A3690" t="s">
        <v>627</v>
      </c>
      <c r="B3690" s="16">
        <v>45428</v>
      </c>
      <c r="C3690" t="s">
        <v>3</v>
      </c>
      <c r="D3690" t="s">
        <v>143</v>
      </c>
      <c r="E3690">
        <v>10</v>
      </c>
      <c r="F3690">
        <v>8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10</v>
      </c>
      <c r="O3690">
        <f t="shared" si="114"/>
        <v>2024</v>
      </c>
      <c r="P3690">
        <f t="shared" si="115"/>
        <v>5</v>
      </c>
      <c r="Q3690" t="s">
        <v>325</v>
      </c>
      <c r="R3690" s="546" t="s">
        <v>804</v>
      </c>
    </row>
    <row r="3691" spans="1:18" x14ac:dyDescent="0.3">
      <c r="A3691" t="s">
        <v>627</v>
      </c>
      <c r="B3691" s="16">
        <v>45428</v>
      </c>
      <c r="C3691" t="s">
        <v>3</v>
      </c>
      <c r="D3691" t="s">
        <v>142</v>
      </c>
      <c r="E3691">
        <v>7</v>
      </c>
      <c r="F3691">
        <v>1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7</v>
      </c>
      <c r="O3691">
        <f t="shared" si="114"/>
        <v>2024</v>
      </c>
      <c r="P3691">
        <f t="shared" si="115"/>
        <v>5</v>
      </c>
      <c r="Q3691" t="s">
        <v>325</v>
      </c>
      <c r="R3691" s="546" t="s">
        <v>804</v>
      </c>
    </row>
    <row r="3692" spans="1:18" x14ac:dyDescent="0.3">
      <c r="A3692" t="s">
        <v>627</v>
      </c>
      <c r="B3692" s="16">
        <v>45428</v>
      </c>
      <c r="C3692" t="s">
        <v>3</v>
      </c>
      <c r="D3692" t="s">
        <v>141</v>
      </c>
      <c r="E3692">
        <v>1</v>
      </c>
      <c r="F3692">
        <v>1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1</v>
      </c>
      <c r="N3692">
        <v>0</v>
      </c>
      <c r="O3692">
        <f t="shared" si="114"/>
        <v>2024</v>
      </c>
      <c r="P3692">
        <f t="shared" si="115"/>
        <v>5</v>
      </c>
      <c r="Q3692" t="s">
        <v>325</v>
      </c>
      <c r="R3692" s="546" t="s">
        <v>804</v>
      </c>
    </row>
    <row r="3693" spans="1:18" x14ac:dyDescent="0.3">
      <c r="A3693" t="s">
        <v>627</v>
      </c>
      <c r="B3693" s="16">
        <v>45428</v>
      </c>
      <c r="C3693" t="s">
        <v>3</v>
      </c>
      <c r="D3693" t="s">
        <v>140</v>
      </c>
      <c r="E3693">
        <v>6</v>
      </c>
      <c r="F3693">
        <v>6</v>
      </c>
      <c r="G3693">
        <v>0</v>
      </c>
      <c r="H3693">
        <v>0</v>
      </c>
      <c r="I3693">
        <v>12450</v>
      </c>
      <c r="J3693">
        <v>1</v>
      </c>
      <c r="K3693">
        <v>12450</v>
      </c>
      <c r="L3693">
        <v>1</v>
      </c>
      <c r="M3693">
        <v>0</v>
      </c>
      <c r="N3693">
        <v>5</v>
      </c>
      <c r="O3693">
        <f t="shared" si="114"/>
        <v>2024</v>
      </c>
      <c r="P3693">
        <f t="shared" si="115"/>
        <v>5</v>
      </c>
      <c r="Q3693" t="s">
        <v>325</v>
      </c>
      <c r="R3693" s="546" t="s">
        <v>804</v>
      </c>
    </row>
    <row r="3694" spans="1:18" x14ac:dyDescent="0.3">
      <c r="A3694" t="s">
        <v>627</v>
      </c>
      <c r="B3694" s="16">
        <v>45428</v>
      </c>
      <c r="C3694" t="s">
        <v>3</v>
      </c>
      <c r="D3694" t="s">
        <v>139</v>
      </c>
      <c r="E3694">
        <v>535</v>
      </c>
      <c r="F3694">
        <v>287</v>
      </c>
      <c r="G3694">
        <v>20</v>
      </c>
      <c r="H3694">
        <v>6</v>
      </c>
      <c r="I3694">
        <v>16986</v>
      </c>
      <c r="J3694">
        <v>5</v>
      </c>
      <c r="K3694">
        <v>16986</v>
      </c>
      <c r="L3694">
        <v>5</v>
      </c>
      <c r="M3694">
        <v>335</v>
      </c>
      <c r="N3694">
        <v>314</v>
      </c>
      <c r="O3694">
        <f t="shared" si="114"/>
        <v>2024</v>
      </c>
      <c r="P3694">
        <f t="shared" si="115"/>
        <v>5</v>
      </c>
      <c r="Q3694" t="s">
        <v>325</v>
      </c>
      <c r="R3694" s="546" t="s">
        <v>804</v>
      </c>
    </row>
    <row r="3695" spans="1:18" x14ac:dyDescent="0.3">
      <c r="A3695" t="s">
        <v>627</v>
      </c>
      <c r="B3695" s="16">
        <v>45428</v>
      </c>
      <c r="C3695" t="s">
        <v>3</v>
      </c>
      <c r="D3695" t="s">
        <v>138</v>
      </c>
      <c r="E3695">
        <v>4</v>
      </c>
      <c r="F3695">
        <v>3</v>
      </c>
      <c r="G3695">
        <v>0</v>
      </c>
      <c r="H3695">
        <v>0</v>
      </c>
      <c r="I3695">
        <v>1677</v>
      </c>
      <c r="J3695">
        <v>1</v>
      </c>
      <c r="K3695">
        <v>1677</v>
      </c>
      <c r="L3695">
        <v>1</v>
      </c>
      <c r="M3695">
        <v>1</v>
      </c>
      <c r="N3695">
        <v>3</v>
      </c>
      <c r="O3695">
        <f t="shared" ref="O3695:O3758" si="116">YEAR(B3695)</f>
        <v>2024</v>
      </c>
      <c r="P3695">
        <f t="shared" ref="P3695:P3758" si="117">MONTH(B3695)</f>
        <v>5</v>
      </c>
      <c r="Q3695" t="s">
        <v>325</v>
      </c>
      <c r="R3695" s="546" t="s">
        <v>804</v>
      </c>
    </row>
    <row r="3696" spans="1:18" x14ac:dyDescent="0.3">
      <c r="A3696" t="s">
        <v>627</v>
      </c>
      <c r="B3696" s="16">
        <v>45428</v>
      </c>
      <c r="C3696" t="s">
        <v>3</v>
      </c>
      <c r="D3696" t="s">
        <v>137</v>
      </c>
      <c r="E3696">
        <v>2</v>
      </c>
      <c r="F3696">
        <v>1</v>
      </c>
      <c r="G3696">
        <v>0</v>
      </c>
      <c r="H3696">
        <v>0</v>
      </c>
      <c r="I3696">
        <v>2488</v>
      </c>
      <c r="J3696">
        <v>1</v>
      </c>
      <c r="K3696">
        <v>2488</v>
      </c>
      <c r="L3696">
        <v>1</v>
      </c>
      <c r="M3696">
        <v>1</v>
      </c>
      <c r="N3696">
        <v>2</v>
      </c>
      <c r="O3696">
        <f t="shared" si="116"/>
        <v>2024</v>
      </c>
      <c r="P3696">
        <f t="shared" si="117"/>
        <v>5</v>
      </c>
      <c r="Q3696" t="s">
        <v>325</v>
      </c>
      <c r="R3696" s="546" t="s">
        <v>804</v>
      </c>
    </row>
    <row r="3697" spans="1:18" x14ac:dyDescent="0.3">
      <c r="A3697" t="s">
        <v>627</v>
      </c>
      <c r="B3697" s="16">
        <v>45428</v>
      </c>
      <c r="C3697" t="s">
        <v>3</v>
      </c>
      <c r="D3697" t="s">
        <v>133</v>
      </c>
      <c r="E3697">
        <v>11</v>
      </c>
      <c r="F3697">
        <v>7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3</v>
      </c>
      <c r="N3697">
        <v>9</v>
      </c>
      <c r="O3697">
        <f t="shared" si="116"/>
        <v>2024</v>
      </c>
      <c r="P3697">
        <f t="shared" si="117"/>
        <v>5</v>
      </c>
      <c r="Q3697" t="s">
        <v>325</v>
      </c>
      <c r="R3697" s="546" t="s">
        <v>804</v>
      </c>
    </row>
    <row r="3698" spans="1:18" x14ac:dyDescent="0.3">
      <c r="A3698" t="s">
        <v>627</v>
      </c>
      <c r="B3698" s="16">
        <v>45428</v>
      </c>
      <c r="C3698" t="s">
        <v>3</v>
      </c>
      <c r="D3698" t="s">
        <v>132</v>
      </c>
      <c r="E3698">
        <v>1</v>
      </c>
      <c r="F3698">
        <v>0</v>
      </c>
      <c r="G3698">
        <v>1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1</v>
      </c>
      <c r="N3698">
        <v>1</v>
      </c>
      <c r="O3698">
        <f t="shared" si="116"/>
        <v>2024</v>
      </c>
      <c r="P3698">
        <f t="shared" si="117"/>
        <v>5</v>
      </c>
      <c r="Q3698" t="s">
        <v>325</v>
      </c>
      <c r="R3698" s="546" t="s">
        <v>804</v>
      </c>
    </row>
    <row r="3699" spans="1:18" x14ac:dyDescent="0.3">
      <c r="A3699" t="s">
        <v>627</v>
      </c>
      <c r="B3699" s="16">
        <v>45428</v>
      </c>
      <c r="C3699" t="s">
        <v>3</v>
      </c>
      <c r="D3699" t="s">
        <v>130</v>
      </c>
      <c r="E3699">
        <v>65</v>
      </c>
      <c r="F3699">
        <v>28</v>
      </c>
      <c r="G3699">
        <v>17</v>
      </c>
      <c r="H3699">
        <v>0</v>
      </c>
      <c r="I3699">
        <v>37939.5</v>
      </c>
      <c r="J3699">
        <v>12</v>
      </c>
      <c r="K3699">
        <v>30856.5</v>
      </c>
      <c r="L3699">
        <v>11</v>
      </c>
      <c r="M3699">
        <v>29</v>
      </c>
      <c r="N3699">
        <v>58</v>
      </c>
      <c r="O3699">
        <f t="shared" si="116"/>
        <v>2024</v>
      </c>
      <c r="P3699">
        <f t="shared" si="117"/>
        <v>5</v>
      </c>
      <c r="Q3699" t="s">
        <v>325</v>
      </c>
      <c r="R3699" s="546" t="s">
        <v>804</v>
      </c>
    </row>
    <row r="3700" spans="1:18" x14ac:dyDescent="0.3">
      <c r="A3700" t="s">
        <v>627</v>
      </c>
      <c r="B3700" s="16">
        <v>45428</v>
      </c>
      <c r="C3700" t="s">
        <v>3</v>
      </c>
      <c r="D3700" t="s">
        <v>128</v>
      </c>
      <c r="E3700">
        <v>381</v>
      </c>
      <c r="F3700">
        <v>316</v>
      </c>
      <c r="G3700">
        <v>4</v>
      </c>
      <c r="H3700">
        <v>5</v>
      </c>
      <c r="I3700">
        <v>14980</v>
      </c>
      <c r="J3700">
        <v>4</v>
      </c>
      <c r="K3700">
        <v>10385</v>
      </c>
      <c r="L3700">
        <v>3</v>
      </c>
      <c r="M3700">
        <v>186</v>
      </c>
      <c r="N3700">
        <v>289</v>
      </c>
      <c r="O3700">
        <f t="shared" si="116"/>
        <v>2024</v>
      </c>
      <c r="P3700">
        <f t="shared" si="117"/>
        <v>5</v>
      </c>
      <c r="Q3700" t="s">
        <v>325</v>
      </c>
      <c r="R3700" s="546" t="s">
        <v>804</v>
      </c>
    </row>
    <row r="3701" spans="1:18" x14ac:dyDescent="0.3">
      <c r="A3701" t="s">
        <v>627</v>
      </c>
      <c r="B3701" s="16">
        <v>45428</v>
      </c>
      <c r="C3701" t="s">
        <v>3</v>
      </c>
      <c r="D3701" t="s">
        <v>127</v>
      </c>
      <c r="E3701">
        <v>1316</v>
      </c>
      <c r="F3701">
        <v>887</v>
      </c>
      <c r="G3701">
        <v>30</v>
      </c>
      <c r="H3701">
        <v>10</v>
      </c>
      <c r="I3701">
        <v>12211</v>
      </c>
      <c r="J3701">
        <v>6</v>
      </c>
      <c r="K3701">
        <v>12211</v>
      </c>
      <c r="L3701">
        <v>6</v>
      </c>
      <c r="M3701">
        <v>361</v>
      </c>
      <c r="N3701">
        <v>869</v>
      </c>
      <c r="O3701">
        <f t="shared" si="116"/>
        <v>2024</v>
      </c>
      <c r="P3701">
        <f t="shared" si="117"/>
        <v>5</v>
      </c>
      <c r="Q3701" t="s">
        <v>325</v>
      </c>
      <c r="R3701" s="546" t="s">
        <v>804</v>
      </c>
    </row>
    <row r="3702" spans="1:18" x14ac:dyDescent="0.3">
      <c r="A3702" t="s">
        <v>627</v>
      </c>
      <c r="B3702" s="16">
        <v>45428</v>
      </c>
      <c r="C3702" t="s">
        <v>3</v>
      </c>
      <c r="D3702" t="s">
        <v>126</v>
      </c>
      <c r="E3702">
        <v>88</v>
      </c>
      <c r="F3702">
        <v>62</v>
      </c>
      <c r="G3702">
        <v>3</v>
      </c>
      <c r="H3702">
        <v>1</v>
      </c>
      <c r="I3702">
        <v>4876</v>
      </c>
      <c r="J3702">
        <v>1</v>
      </c>
      <c r="K3702">
        <v>4876</v>
      </c>
      <c r="L3702">
        <v>1</v>
      </c>
      <c r="M3702">
        <v>19</v>
      </c>
      <c r="N3702">
        <v>84</v>
      </c>
      <c r="O3702">
        <f t="shared" si="116"/>
        <v>2024</v>
      </c>
      <c r="P3702">
        <f t="shared" si="117"/>
        <v>5</v>
      </c>
      <c r="Q3702" t="s">
        <v>325</v>
      </c>
      <c r="R3702" s="546" t="s">
        <v>804</v>
      </c>
    </row>
    <row r="3703" spans="1:18" x14ac:dyDescent="0.3">
      <c r="A3703" t="s">
        <v>627</v>
      </c>
      <c r="B3703" s="16">
        <v>45428</v>
      </c>
      <c r="C3703" t="s">
        <v>3</v>
      </c>
      <c r="D3703" t="s">
        <v>125</v>
      </c>
      <c r="E3703">
        <v>4</v>
      </c>
      <c r="F3703">
        <v>1</v>
      </c>
      <c r="G3703">
        <v>1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3</v>
      </c>
      <c r="N3703">
        <v>3</v>
      </c>
      <c r="O3703">
        <f t="shared" si="116"/>
        <v>2024</v>
      </c>
      <c r="P3703">
        <f t="shared" si="117"/>
        <v>5</v>
      </c>
      <c r="Q3703" t="s">
        <v>325</v>
      </c>
      <c r="R3703" s="546" t="s">
        <v>804</v>
      </c>
    </row>
    <row r="3704" spans="1:18" x14ac:dyDescent="0.3">
      <c r="A3704" t="s">
        <v>627</v>
      </c>
      <c r="B3704" s="16">
        <v>45428</v>
      </c>
      <c r="C3704" t="s">
        <v>3</v>
      </c>
      <c r="D3704" t="s">
        <v>124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f t="shared" si="116"/>
        <v>2024</v>
      </c>
      <c r="P3704">
        <f t="shared" si="117"/>
        <v>5</v>
      </c>
      <c r="Q3704" t="s">
        <v>325</v>
      </c>
      <c r="R3704" s="546" t="s">
        <v>804</v>
      </c>
    </row>
    <row r="3705" spans="1:18" x14ac:dyDescent="0.3">
      <c r="A3705" t="s">
        <v>627</v>
      </c>
      <c r="B3705" s="16">
        <v>45428</v>
      </c>
      <c r="C3705" t="s">
        <v>3</v>
      </c>
      <c r="D3705" t="s">
        <v>123</v>
      </c>
      <c r="E3705">
        <v>192</v>
      </c>
      <c r="F3705">
        <v>105</v>
      </c>
      <c r="G3705">
        <v>14</v>
      </c>
      <c r="H3705">
        <v>3</v>
      </c>
      <c r="I3705">
        <v>15666.77</v>
      </c>
      <c r="J3705">
        <v>6</v>
      </c>
      <c r="K3705">
        <v>15666.77</v>
      </c>
      <c r="L3705">
        <v>6</v>
      </c>
      <c r="M3705">
        <v>90</v>
      </c>
      <c r="N3705">
        <v>154</v>
      </c>
      <c r="O3705">
        <f t="shared" si="116"/>
        <v>2024</v>
      </c>
      <c r="P3705">
        <f t="shared" si="117"/>
        <v>5</v>
      </c>
      <c r="Q3705" t="s">
        <v>325</v>
      </c>
      <c r="R3705" s="546" t="s">
        <v>804</v>
      </c>
    </row>
    <row r="3706" spans="1:18" x14ac:dyDescent="0.3">
      <c r="A3706" t="s">
        <v>627</v>
      </c>
      <c r="B3706" s="16">
        <v>45428</v>
      </c>
      <c r="C3706" t="s">
        <v>3</v>
      </c>
      <c r="D3706" t="s">
        <v>121</v>
      </c>
      <c r="E3706">
        <v>2</v>
      </c>
      <c r="F3706">
        <v>1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2</v>
      </c>
      <c r="N3706">
        <v>0</v>
      </c>
      <c r="O3706">
        <f t="shared" si="116"/>
        <v>2024</v>
      </c>
      <c r="P3706">
        <f t="shared" si="117"/>
        <v>5</v>
      </c>
      <c r="Q3706" t="s">
        <v>325</v>
      </c>
      <c r="R3706" s="546" t="s">
        <v>804</v>
      </c>
    </row>
    <row r="3707" spans="1:18" x14ac:dyDescent="0.3">
      <c r="A3707" t="s">
        <v>627</v>
      </c>
      <c r="B3707" s="16">
        <v>45428</v>
      </c>
      <c r="C3707" t="s">
        <v>3</v>
      </c>
      <c r="D3707" t="s">
        <v>120</v>
      </c>
      <c r="E3707">
        <v>414</v>
      </c>
      <c r="F3707">
        <v>279</v>
      </c>
      <c r="G3707">
        <v>7</v>
      </c>
      <c r="H3707">
        <v>0</v>
      </c>
      <c r="I3707">
        <v>2488</v>
      </c>
      <c r="J3707">
        <v>1</v>
      </c>
      <c r="K3707">
        <v>2488</v>
      </c>
      <c r="L3707">
        <v>1</v>
      </c>
      <c r="M3707">
        <v>42</v>
      </c>
      <c r="N3707">
        <v>407</v>
      </c>
      <c r="O3707">
        <f t="shared" si="116"/>
        <v>2024</v>
      </c>
      <c r="P3707">
        <f t="shared" si="117"/>
        <v>5</v>
      </c>
      <c r="Q3707" t="s">
        <v>325</v>
      </c>
      <c r="R3707" s="546" t="s">
        <v>804</v>
      </c>
    </row>
    <row r="3708" spans="1:18" x14ac:dyDescent="0.3">
      <c r="A3708" t="s">
        <v>627</v>
      </c>
      <c r="B3708" s="16">
        <v>45428</v>
      </c>
      <c r="C3708" t="s">
        <v>3</v>
      </c>
      <c r="D3708" t="s">
        <v>119</v>
      </c>
      <c r="E3708">
        <v>221</v>
      </c>
      <c r="F3708">
        <v>90</v>
      </c>
      <c r="G3708">
        <v>13</v>
      </c>
      <c r="H3708">
        <v>4</v>
      </c>
      <c r="I3708">
        <v>41208</v>
      </c>
      <c r="J3708">
        <v>9</v>
      </c>
      <c r="K3708">
        <v>36422.5</v>
      </c>
      <c r="L3708">
        <v>8</v>
      </c>
      <c r="M3708">
        <v>67</v>
      </c>
      <c r="N3708">
        <v>195</v>
      </c>
      <c r="O3708">
        <f t="shared" si="116"/>
        <v>2024</v>
      </c>
      <c r="P3708">
        <f t="shared" si="117"/>
        <v>5</v>
      </c>
      <c r="Q3708" t="s">
        <v>325</v>
      </c>
      <c r="R3708" s="546" t="s">
        <v>804</v>
      </c>
    </row>
    <row r="3709" spans="1:18" x14ac:dyDescent="0.3">
      <c r="A3709" t="s">
        <v>627</v>
      </c>
      <c r="B3709" s="16">
        <v>45428</v>
      </c>
      <c r="C3709" t="s">
        <v>3</v>
      </c>
      <c r="D3709" t="s">
        <v>118</v>
      </c>
      <c r="E3709">
        <v>2</v>
      </c>
      <c r="F3709">
        <v>2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2</v>
      </c>
      <c r="O3709">
        <f t="shared" si="116"/>
        <v>2024</v>
      </c>
      <c r="P3709">
        <f t="shared" si="117"/>
        <v>5</v>
      </c>
      <c r="Q3709" t="s">
        <v>325</v>
      </c>
      <c r="R3709" s="546" t="s">
        <v>804</v>
      </c>
    </row>
    <row r="3710" spans="1:18" x14ac:dyDescent="0.3">
      <c r="A3710" t="s">
        <v>627</v>
      </c>
      <c r="B3710" s="16">
        <v>45428</v>
      </c>
      <c r="C3710" t="s">
        <v>3</v>
      </c>
      <c r="D3710" t="s">
        <v>116</v>
      </c>
      <c r="E3710">
        <v>3</v>
      </c>
      <c r="F3710">
        <v>2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3</v>
      </c>
      <c r="O3710">
        <f t="shared" si="116"/>
        <v>2024</v>
      </c>
      <c r="P3710">
        <f t="shared" si="117"/>
        <v>5</v>
      </c>
      <c r="Q3710" t="s">
        <v>325</v>
      </c>
      <c r="R3710" s="546" t="s">
        <v>804</v>
      </c>
    </row>
    <row r="3711" spans="1:18" x14ac:dyDescent="0.3">
      <c r="A3711" t="s">
        <v>627</v>
      </c>
      <c r="B3711" s="16">
        <v>45428</v>
      </c>
      <c r="C3711" t="s">
        <v>3</v>
      </c>
      <c r="D3711" t="s">
        <v>115</v>
      </c>
      <c r="E3711">
        <v>3</v>
      </c>
      <c r="F3711">
        <v>1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1</v>
      </c>
      <c r="N3711">
        <v>3</v>
      </c>
      <c r="O3711">
        <f t="shared" si="116"/>
        <v>2024</v>
      </c>
      <c r="P3711">
        <f t="shared" si="117"/>
        <v>5</v>
      </c>
      <c r="Q3711" t="s">
        <v>325</v>
      </c>
      <c r="R3711" s="546" t="s">
        <v>804</v>
      </c>
    </row>
    <row r="3712" spans="1:18" x14ac:dyDescent="0.3">
      <c r="A3712" t="s">
        <v>627</v>
      </c>
      <c r="B3712" s="16">
        <v>45428</v>
      </c>
      <c r="C3712" t="s">
        <v>3</v>
      </c>
      <c r="D3712" t="s">
        <v>113</v>
      </c>
      <c r="E3712">
        <v>110</v>
      </c>
      <c r="F3712">
        <v>54</v>
      </c>
      <c r="G3712">
        <v>5</v>
      </c>
      <c r="H3712">
        <v>1</v>
      </c>
      <c r="I3712">
        <v>7667</v>
      </c>
      <c r="J3712">
        <v>3</v>
      </c>
      <c r="K3712">
        <v>4872</v>
      </c>
      <c r="L3712">
        <v>2</v>
      </c>
      <c r="M3712">
        <v>71</v>
      </c>
      <c r="N3712">
        <v>73</v>
      </c>
      <c r="O3712">
        <f t="shared" si="116"/>
        <v>2024</v>
      </c>
      <c r="P3712">
        <f t="shared" si="117"/>
        <v>5</v>
      </c>
      <c r="Q3712" t="s">
        <v>325</v>
      </c>
      <c r="R3712" s="546" t="s">
        <v>804</v>
      </c>
    </row>
    <row r="3713" spans="1:18" x14ac:dyDescent="0.3">
      <c r="A3713" t="s">
        <v>627</v>
      </c>
      <c r="B3713" s="16">
        <v>45428</v>
      </c>
      <c r="C3713" t="s">
        <v>3</v>
      </c>
      <c r="D3713" t="s">
        <v>112</v>
      </c>
      <c r="E3713">
        <v>9</v>
      </c>
      <c r="F3713">
        <v>3</v>
      </c>
      <c r="G3713">
        <v>0</v>
      </c>
      <c r="H3713">
        <v>1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9</v>
      </c>
      <c r="O3713">
        <f t="shared" si="116"/>
        <v>2024</v>
      </c>
      <c r="P3713">
        <f t="shared" si="117"/>
        <v>5</v>
      </c>
      <c r="Q3713" t="s">
        <v>325</v>
      </c>
      <c r="R3713" s="546" t="s">
        <v>804</v>
      </c>
    </row>
    <row r="3714" spans="1:18" x14ac:dyDescent="0.3">
      <c r="A3714" t="s">
        <v>627</v>
      </c>
      <c r="B3714" s="16">
        <v>45427</v>
      </c>
      <c r="C3714" t="s">
        <v>2</v>
      </c>
      <c r="D3714" t="s">
        <v>4</v>
      </c>
      <c r="E3714">
        <v>317</v>
      </c>
      <c r="F3714">
        <v>105</v>
      </c>
      <c r="G3714">
        <v>1</v>
      </c>
      <c r="H3714">
        <v>0</v>
      </c>
      <c r="I3714">
        <v>3304</v>
      </c>
      <c r="J3714">
        <v>1</v>
      </c>
      <c r="K3714">
        <v>3304</v>
      </c>
      <c r="L3714">
        <v>1</v>
      </c>
      <c r="M3714">
        <v>8</v>
      </c>
      <c r="N3714">
        <v>305</v>
      </c>
      <c r="O3714">
        <f t="shared" si="116"/>
        <v>2024</v>
      </c>
      <c r="P3714">
        <f t="shared" si="117"/>
        <v>5</v>
      </c>
      <c r="Q3714" t="s">
        <v>325</v>
      </c>
      <c r="R3714" s="546" t="s">
        <v>804</v>
      </c>
    </row>
    <row r="3715" spans="1:18" x14ac:dyDescent="0.3">
      <c r="A3715" t="s">
        <v>627</v>
      </c>
      <c r="B3715" s="16">
        <v>45427</v>
      </c>
      <c r="C3715" t="s">
        <v>2</v>
      </c>
      <c r="D3715" t="s">
        <v>57</v>
      </c>
      <c r="E3715">
        <v>19766</v>
      </c>
      <c r="F3715">
        <v>13658</v>
      </c>
      <c r="G3715">
        <v>207</v>
      </c>
      <c r="H3715">
        <v>91</v>
      </c>
      <c r="I3715">
        <v>142503</v>
      </c>
      <c r="J3715">
        <v>29</v>
      </c>
      <c r="K3715">
        <v>76683</v>
      </c>
      <c r="L3715">
        <v>19</v>
      </c>
      <c r="M3715">
        <v>1121</v>
      </c>
      <c r="N3715">
        <v>19521</v>
      </c>
      <c r="O3715">
        <f t="shared" si="116"/>
        <v>2024</v>
      </c>
      <c r="P3715">
        <f t="shared" si="117"/>
        <v>5</v>
      </c>
      <c r="Q3715" t="s">
        <v>325</v>
      </c>
      <c r="R3715" s="546" t="s">
        <v>804</v>
      </c>
    </row>
    <row r="3716" spans="1:18" x14ac:dyDescent="0.3">
      <c r="A3716" t="s">
        <v>627</v>
      </c>
      <c r="B3716" s="16">
        <v>45427</v>
      </c>
      <c r="C3716" t="s">
        <v>2</v>
      </c>
      <c r="D3716" t="s">
        <v>52</v>
      </c>
      <c r="E3716">
        <v>2232</v>
      </c>
      <c r="F3716">
        <v>2012</v>
      </c>
      <c r="G3716">
        <v>18</v>
      </c>
      <c r="H3716">
        <v>6</v>
      </c>
      <c r="I3716">
        <v>2438</v>
      </c>
      <c r="J3716">
        <v>1</v>
      </c>
      <c r="K3716">
        <v>2438</v>
      </c>
      <c r="L3716">
        <v>1</v>
      </c>
      <c r="M3716">
        <v>2232</v>
      </c>
      <c r="N3716">
        <v>742</v>
      </c>
      <c r="O3716">
        <f t="shared" si="116"/>
        <v>2024</v>
      </c>
      <c r="P3716">
        <f t="shared" si="117"/>
        <v>5</v>
      </c>
      <c r="Q3716" t="s">
        <v>325</v>
      </c>
      <c r="R3716" s="546" t="s">
        <v>804</v>
      </c>
    </row>
    <row r="3717" spans="1:18" x14ac:dyDescent="0.3">
      <c r="A3717" t="s">
        <v>627</v>
      </c>
      <c r="B3717" s="16">
        <v>45427</v>
      </c>
      <c r="C3717" t="s">
        <v>2</v>
      </c>
      <c r="D3717" t="s">
        <v>55</v>
      </c>
      <c r="E3717">
        <v>2239</v>
      </c>
      <c r="F3717">
        <v>1894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2</v>
      </c>
      <c r="N3717">
        <v>449</v>
      </c>
      <c r="O3717">
        <f t="shared" si="116"/>
        <v>2024</v>
      </c>
      <c r="P3717">
        <f t="shared" si="117"/>
        <v>5</v>
      </c>
      <c r="Q3717" t="s">
        <v>325</v>
      </c>
      <c r="R3717" s="546" t="s">
        <v>804</v>
      </c>
    </row>
    <row r="3718" spans="1:18" x14ac:dyDescent="0.3">
      <c r="A3718" t="s">
        <v>627</v>
      </c>
      <c r="B3718" s="16">
        <v>45427</v>
      </c>
      <c r="C3718" t="s">
        <v>3</v>
      </c>
      <c r="D3718" t="s">
        <v>157</v>
      </c>
      <c r="E3718">
        <v>1</v>
      </c>
      <c r="F3718">
        <v>1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f t="shared" si="116"/>
        <v>2024</v>
      </c>
      <c r="P3718">
        <f t="shared" si="117"/>
        <v>5</v>
      </c>
      <c r="Q3718" t="s">
        <v>325</v>
      </c>
      <c r="R3718" s="546" t="s">
        <v>804</v>
      </c>
    </row>
    <row r="3719" spans="1:18" x14ac:dyDescent="0.3">
      <c r="A3719" t="s">
        <v>627</v>
      </c>
      <c r="B3719" s="16">
        <v>45427</v>
      </c>
      <c r="C3719" t="s">
        <v>3</v>
      </c>
      <c r="D3719" t="s">
        <v>155</v>
      </c>
      <c r="E3719">
        <v>4</v>
      </c>
      <c r="F3719">
        <v>2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4</v>
      </c>
      <c r="O3719">
        <f t="shared" si="116"/>
        <v>2024</v>
      </c>
      <c r="P3719">
        <f t="shared" si="117"/>
        <v>5</v>
      </c>
      <c r="Q3719" t="s">
        <v>325</v>
      </c>
      <c r="R3719" s="546" t="s">
        <v>804</v>
      </c>
    </row>
    <row r="3720" spans="1:18" x14ac:dyDescent="0.3">
      <c r="A3720" t="s">
        <v>627</v>
      </c>
      <c r="B3720" s="16">
        <v>45427</v>
      </c>
      <c r="C3720" t="s">
        <v>3</v>
      </c>
      <c r="D3720" t="s">
        <v>154</v>
      </c>
      <c r="E3720">
        <v>596</v>
      </c>
      <c r="F3720">
        <v>570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f t="shared" si="116"/>
        <v>2024</v>
      </c>
      <c r="P3720">
        <f t="shared" si="117"/>
        <v>5</v>
      </c>
      <c r="Q3720" t="s">
        <v>325</v>
      </c>
      <c r="R3720" s="546" t="s">
        <v>804</v>
      </c>
    </row>
    <row r="3721" spans="1:18" x14ac:dyDescent="0.3">
      <c r="A3721" t="s">
        <v>627</v>
      </c>
      <c r="B3721" s="16">
        <v>45427</v>
      </c>
      <c r="C3721" t="s">
        <v>3</v>
      </c>
      <c r="D3721" t="s">
        <v>153</v>
      </c>
      <c r="E3721">
        <v>272</v>
      </c>
      <c r="F3721">
        <v>76</v>
      </c>
      <c r="G3721">
        <v>36</v>
      </c>
      <c r="H3721">
        <v>3</v>
      </c>
      <c r="I3721">
        <v>132441</v>
      </c>
      <c r="J3721">
        <v>33</v>
      </c>
      <c r="K3721">
        <v>109458.5</v>
      </c>
      <c r="L3721">
        <v>31</v>
      </c>
      <c r="M3721">
        <v>102</v>
      </c>
      <c r="N3721">
        <v>267</v>
      </c>
      <c r="O3721">
        <f t="shared" si="116"/>
        <v>2024</v>
      </c>
      <c r="P3721">
        <f t="shared" si="117"/>
        <v>5</v>
      </c>
      <c r="Q3721" t="s">
        <v>325</v>
      </c>
      <c r="R3721" s="546" t="s">
        <v>804</v>
      </c>
    </row>
    <row r="3722" spans="1:18" x14ac:dyDescent="0.3">
      <c r="A3722" t="s">
        <v>627</v>
      </c>
      <c r="B3722" s="16">
        <v>45427</v>
      </c>
      <c r="C3722" t="s">
        <v>3</v>
      </c>
      <c r="D3722" t="s">
        <v>152</v>
      </c>
      <c r="E3722">
        <v>58</v>
      </c>
      <c r="F3722">
        <v>54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3</v>
      </c>
      <c r="O3722">
        <f t="shared" si="116"/>
        <v>2024</v>
      </c>
      <c r="P3722">
        <f t="shared" si="117"/>
        <v>5</v>
      </c>
      <c r="Q3722" t="s">
        <v>325</v>
      </c>
      <c r="R3722" s="546" t="s">
        <v>804</v>
      </c>
    </row>
    <row r="3723" spans="1:18" x14ac:dyDescent="0.3">
      <c r="A3723" t="s">
        <v>627</v>
      </c>
      <c r="B3723" s="16">
        <v>45427</v>
      </c>
      <c r="C3723" t="s">
        <v>3</v>
      </c>
      <c r="D3723" t="s">
        <v>150</v>
      </c>
      <c r="E3723">
        <v>1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1</v>
      </c>
      <c r="O3723">
        <f t="shared" si="116"/>
        <v>2024</v>
      </c>
      <c r="P3723">
        <f t="shared" si="117"/>
        <v>5</v>
      </c>
      <c r="Q3723" t="s">
        <v>325</v>
      </c>
      <c r="R3723" s="546" t="s">
        <v>804</v>
      </c>
    </row>
    <row r="3724" spans="1:18" x14ac:dyDescent="0.3">
      <c r="A3724" t="s">
        <v>627</v>
      </c>
      <c r="B3724" s="16">
        <v>45427</v>
      </c>
      <c r="C3724" t="s">
        <v>3</v>
      </c>
      <c r="D3724" t="s">
        <v>149</v>
      </c>
      <c r="E3724">
        <v>73</v>
      </c>
      <c r="F3724">
        <v>67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2</v>
      </c>
      <c r="N3724">
        <v>4</v>
      </c>
      <c r="O3724">
        <f t="shared" si="116"/>
        <v>2024</v>
      </c>
      <c r="P3724">
        <f t="shared" si="117"/>
        <v>5</v>
      </c>
      <c r="Q3724" t="s">
        <v>325</v>
      </c>
      <c r="R3724" s="546" t="s">
        <v>804</v>
      </c>
    </row>
    <row r="3725" spans="1:18" x14ac:dyDescent="0.3">
      <c r="A3725" t="s">
        <v>627</v>
      </c>
      <c r="B3725" s="16">
        <v>45427</v>
      </c>
      <c r="C3725" t="s">
        <v>3</v>
      </c>
      <c r="D3725" t="s">
        <v>148</v>
      </c>
      <c r="E3725">
        <v>9</v>
      </c>
      <c r="F3725">
        <v>9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9</v>
      </c>
      <c r="N3725">
        <v>0</v>
      </c>
      <c r="O3725">
        <f t="shared" si="116"/>
        <v>2024</v>
      </c>
      <c r="P3725">
        <f t="shared" si="117"/>
        <v>5</v>
      </c>
      <c r="Q3725" t="s">
        <v>325</v>
      </c>
      <c r="R3725" s="546" t="s">
        <v>804</v>
      </c>
    </row>
    <row r="3726" spans="1:18" x14ac:dyDescent="0.3">
      <c r="A3726" t="s">
        <v>627</v>
      </c>
      <c r="B3726" s="16">
        <v>45427</v>
      </c>
      <c r="C3726" t="s">
        <v>3</v>
      </c>
      <c r="D3726" t="s">
        <v>144</v>
      </c>
      <c r="E3726">
        <v>1</v>
      </c>
      <c r="F3726">
        <v>1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f t="shared" si="116"/>
        <v>2024</v>
      </c>
      <c r="P3726">
        <f t="shared" si="117"/>
        <v>5</v>
      </c>
      <c r="Q3726" t="s">
        <v>325</v>
      </c>
      <c r="R3726" s="546" t="s">
        <v>804</v>
      </c>
    </row>
    <row r="3727" spans="1:18" x14ac:dyDescent="0.3">
      <c r="A3727" t="s">
        <v>627</v>
      </c>
      <c r="B3727" s="16">
        <v>45427</v>
      </c>
      <c r="C3727" t="s">
        <v>3</v>
      </c>
      <c r="D3727" t="s">
        <v>251</v>
      </c>
      <c r="E3727">
        <v>16754</v>
      </c>
      <c r="F3727">
        <v>12537</v>
      </c>
      <c r="G3727">
        <v>9</v>
      </c>
      <c r="H3727">
        <v>3</v>
      </c>
      <c r="I3727">
        <v>6151</v>
      </c>
      <c r="J3727">
        <v>2</v>
      </c>
      <c r="K3727">
        <v>0</v>
      </c>
      <c r="L3727">
        <v>0</v>
      </c>
      <c r="M3727">
        <v>61</v>
      </c>
      <c r="N3727">
        <v>728</v>
      </c>
      <c r="O3727">
        <f t="shared" si="116"/>
        <v>2024</v>
      </c>
      <c r="P3727">
        <f t="shared" si="117"/>
        <v>5</v>
      </c>
      <c r="Q3727" t="s">
        <v>325</v>
      </c>
      <c r="R3727" s="546" t="s">
        <v>804</v>
      </c>
    </row>
    <row r="3728" spans="1:18" x14ac:dyDescent="0.3">
      <c r="A3728" t="s">
        <v>627</v>
      </c>
      <c r="B3728" s="16">
        <v>45427</v>
      </c>
      <c r="C3728" t="s">
        <v>3</v>
      </c>
      <c r="D3728" t="s">
        <v>143</v>
      </c>
      <c r="E3728">
        <v>11</v>
      </c>
      <c r="F3728">
        <v>11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11</v>
      </c>
      <c r="O3728">
        <f t="shared" si="116"/>
        <v>2024</v>
      </c>
      <c r="P3728">
        <f t="shared" si="117"/>
        <v>5</v>
      </c>
      <c r="Q3728" t="s">
        <v>325</v>
      </c>
      <c r="R3728" s="546" t="s">
        <v>804</v>
      </c>
    </row>
    <row r="3729" spans="1:18" x14ac:dyDescent="0.3">
      <c r="A3729" t="s">
        <v>627</v>
      </c>
      <c r="B3729" s="16">
        <v>45427</v>
      </c>
      <c r="C3729" t="s">
        <v>3</v>
      </c>
      <c r="D3729" t="s">
        <v>142</v>
      </c>
      <c r="E3729">
        <v>8</v>
      </c>
      <c r="F3729">
        <v>3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1</v>
      </c>
      <c r="N3729">
        <v>8</v>
      </c>
      <c r="O3729">
        <f t="shared" si="116"/>
        <v>2024</v>
      </c>
      <c r="P3729">
        <f t="shared" si="117"/>
        <v>5</v>
      </c>
      <c r="Q3729" t="s">
        <v>325</v>
      </c>
      <c r="R3729" s="546" t="s">
        <v>804</v>
      </c>
    </row>
    <row r="3730" spans="1:18" x14ac:dyDescent="0.3">
      <c r="A3730" t="s">
        <v>627</v>
      </c>
      <c r="B3730" s="16">
        <v>45427</v>
      </c>
      <c r="C3730" t="s">
        <v>3</v>
      </c>
      <c r="D3730" t="s">
        <v>141</v>
      </c>
      <c r="E3730">
        <v>8</v>
      </c>
      <c r="F3730">
        <v>7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6</v>
      </c>
      <c r="N3730">
        <v>2</v>
      </c>
      <c r="O3730">
        <f t="shared" si="116"/>
        <v>2024</v>
      </c>
      <c r="P3730">
        <f t="shared" si="117"/>
        <v>5</v>
      </c>
      <c r="Q3730" t="s">
        <v>325</v>
      </c>
      <c r="R3730" s="546" t="s">
        <v>804</v>
      </c>
    </row>
    <row r="3731" spans="1:18" x14ac:dyDescent="0.3">
      <c r="A3731" t="s">
        <v>627</v>
      </c>
      <c r="B3731" s="16">
        <v>45427</v>
      </c>
      <c r="C3731" t="s">
        <v>3</v>
      </c>
      <c r="D3731" t="s">
        <v>140</v>
      </c>
      <c r="E3731">
        <v>6</v>
      </c>
      <c r="F3731">
        <v>6</v>
      </c>
      <c r="G3731">
        <v>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1</v>
      </c>
      <c r="N3731">
        <v>4</v>
      </c>
      <c r="O3731">
        <f t="shared" si="116"/>
        <v>2024</v>
      </c>
      <c r="P3731">
        <f t="shared" si="117"/>
        <v>5</v>
      </c>
      <c r="Q3731" t="s">
        <v>325</v>
      </c>
      <c r="R3731" s="546" t="s">
        <v>804</v>
      </c>
    </row>
    <row r="3732" spans="1:18" x14ac:dyDescent="0.3">
      <c r="A3732" t="s">
        <v>627</v>
      </c>
      <c r="B3732" s="16">
        <v>45427</v>
      </c>
      <c r="C3732" t="s">
        <v>3</v>
      </c>
      <c r="D3732" t="s">
        <v>139</v>
      </c>
      <c r="E3732">
        <v>1263</v>
      </c>
      <c r="F3732">
        <v>969</v>
      </c>
      <c r="G3732">
        <v>36</v>
      </c>
      <c r="H3732">
        <v>6</v>
      </c>
      <c r="I3732">
        <v>57791</v>
      </c>
      <c r="J3732">
        <v>14</v>
      </c>
      <c r="K3732">
        <v>41084</v>
      </c>
      <c r="L3732">
        <v>11</v>
      </c>
      <c r="M3732">
        <v>809</v>
      </c>
      <c r="N3732">
        <v>408</v>
      </c>
      <c r="O3732">
        <f t="shared" si="116"/>
        <v>2024</v>
      </c>
      <c r="P3732">
        <f t="shared" si="117"/>
        <v>5</v>
      </c>
      <c r="Q3732" t="s">
        <v>325</v>
      </c>
      <c r="R3732" s="546" t="s">
        <v>804</v>
      </c>
    </row>
    <row r="3733" spans="1:18" x14ac:dyDescent="0.3">
      <c r="A3733" t="s">
        <v>627</v>
      </c>
      <c r="B3733" s="16">
        <v>45427</v>
      </c>
      <c r="C3733" t="s">
        <v>3</v>
      </c>
      <c r="D3733" t="s">
        <v>138</v>
      </c>
      <c r="E3733">
        <v>3</v>
      </c>
      <c r="F3733">
        <v>1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1</v>
      </c>
      <c r="N3733">
        <v>3</v>
      </c>
      <c r="O3733">
        <f t="shared" si="116"/>
        <v>2024</v>
      </c>
      <c r="P3733">
        <f t="shared" si="117"/>
        <v>5</v>
      </c>
      <c r="Q3733" t="s">
        <v>325</v>
      </c>
      <c r="R3733" s="546" t="s">
        <v>804</v>
      </c>
    </row>
    <row r="3734" spans="1:18" x14ac:dyDescent="0.3">
      <c r="A3734" t="s">
        <v>627</v>
      </c>
      <c r="B3734" s="16">
        <v>45427</v>
      </c>
      <c r="C3734" t="s">
        <v>3</v>
      </c>
      <c r="D3734" t="s">
        <v>137</v>
      </c>
      <c r="E3734">
        <v>4</v>
      </c>
      <c r="F3734">
        <v>2</v>
      </c>
      <c r="G3734">
        <v>2</v>
      </c>
      <c r="H3734">
        <v>1</v>
      </c>
      <c r="I3734">
        <v>1677</v>
      </c>
      <c r="J3734">
        <v>1</v>
      </c>
      <c r="K3734">
        <v>1677</v>
      </c>
      <c r="L3734">
        <v>1</v>
      </c>
      <c r="M3734">
        <v>1</v>
      </c>
      <c r="N3734">
        <v>4</v>
      </c>
      <c r="O3734">
        <f t="shared" si="116"/>
        <v>2024</v>
      </c>
      <c r="P3734">
        <f t="shared" si="117"/>
        <v>5</v>
      </c>
      <c r="Q3734" t="s">
        <v>325</v>
      </c>
      <c r="R3734" s="546" t="s">
        <v>804</v>
      </c>
    </row>
    <row r="3735" spans="1:18" x14ac:dyDescent="0.3">
      <c r="A3735" t="s">
        <v>627</v>
      </c>
      <c r="B3735" s="16">
        <v>45427</v>
      </c>
      <c r="C3735" t="s">
        <v>3</v>
      </c>
      <c r="D3735" t="s">
        <v>135</v>
      </c>
      <c r="E3735">
        <v>2</v>
      </c>
      <c r="F3735">
        <v>1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f t="shared" si="116"/>
        <v>2024</v>
      </c>
      <c r="P3735">
        <f t="shared" si="117"/>
        <v>5</v>
      </c>
      <c r="Q3735" t="s">
        <v>325</v>
      </c>
      <c r="R3735" s="546" t="s">
        <v>804</v>
      </c>
    </row>
    <row r="3736" spans="1:18" x14ac:dyDescent="0.3">
      <c r="A3736" t="s">
        <v>627</v>
      </c>
      <c r="B3736" s="16">
        <v>45427</v>
      </c>
      <c r="C3736" t="s">
        <v>3</v>
      </c>
      <c r="D3736" t="s">
        <v>133</v>
      </c>
      <c r="E3736">
        <v>10</v>
      </c>
      <c r="F3736">
        <v>5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6</v>
      </c>
      <c r="N3736">
        <v>4</v>
      </c>
      <c r="O3736">
        <f t="shared" si="116"/>
        <v>2024</v>
      </c>
      <c r="P3736">
        <f t="shared" si="117"/>
        <v>5</v>
      </c>
      <c r="Q3736" t="s">
        <v>325</v>
      </c>
      <c r="R3736" s="546" t="s">
        <v>804</v>
      </c>
    </row>
    <row r="3737" spans="1:18" x14ac:dyDescent="0.3">
      <c r="A3737" t="s">
        <v>627</v>
      </c>
      <c r="B3737" s="16">
        <v>45427</v>
      </c>
      <c r="C3737" t="s">
        <v>3</v>
      </c>
      <c r="D3737" t="s">
        <v>130</v>
      </c>
      <c r="E3737">
        <v>72</v>
      </c>
      <c r="F3737">
        <v>30</v>
      </c>
      <c r="G3737">
        <v>13</v>
      </c>
      <c r="H3737">
        <v>4</v>
      </c>
      <c r="I3737">
        <v>32585.5</v>
      </c>
      <c r="J3737">
        <v>7</v>
      </c>
      <c r="K3737">
        <v>30288</v>
      </c>
      <c r="L3737">
        <v>6</v>
      </c>
      <c r="M3737">
        <v>48</v>
      </c>
      <c r="N3737">
        <v>61</v>
      </c>
      <c r="O3737">
        <f t="shared" si="116"/>
        <v>2024</v>
      </c>
      <c r="P3737">
        <f t="shared" si="117"/>
        <v>5</v>
      </c>
      <c r="Q3737" t="s">
        <v>325</v>
      </c>
      <c r="R3737" s="546" t="s">
        <v>804</v>
      </c>
    </row>
    <row r="3738" spans="1:18" x14ac:dyDescent="0.3">
      <c r="A3738" t="s">
        <v>627</v>
      </c>
      <c r="B3738" s="16">
        <v>45427</v>
      </c>
      <c r="C3738" t="s">
        <v>3</v>
      </c>
      <c r="D3738" t="s">
        <v>129</v>
      </c>
      <c r="E3738">
        <v>1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1</v>
      </c>
      <c r="N3738">
        <v>1</v>
      </c>
      <c r="O3738">
        <f t="shared" si="116"/>
        <v>2024</v>
      </c>
      <c r="P3738">
        <f t="shared" si="117"/>
        <v>5</v>
      </c>
      <c r="Q3738" t="s">
        <v>325</v>
      </c>
      <c r="R3738" s="546" t="s">
        <v>804</v>
      </c>
    </row>
    <row r="3739" spans="1:18" x14ac:dyDescent="0.3">
      <c r="A3739" t="s">
        <v>627</v>
      </c>
      <c r="B3739" s="16">
        <v>45427</v>
      </c>
      <c r="C3739" t="s">
        <v>3</v>
      </c>
      <c r="D3739" t="s">
        <v>128</v>
      </c>
      <c r="E3739">
        <v>406</v>
      </c>
      <c r="F3739">
        <v>337</v>
      </c>
      <c r="G3739">
        <v>12</v>
      </c>
      <c r="H3739">
        <v>4</v>
      </c>
      <c r="I3739">
        <v>5077</v>
      </c>
      <c r="J3739">
        <v>2</v>
      </c>
      <c r="K3739">
        <v>3400</v>
      </c>
      <c r="L3739">
        <v>1</v>
      </c>
      <c r="M3739">
        <v>169</v>
      </c>
      <c r="N3739">
        <v>274</v>
      </c>
      <c r="O3739">
        <f t="shared" si="116"/>
        <v>2024</v>
      </c>
      <c r="P3739">
        <f t="shared" si="117"/>
        <v>5</v>
      </c>
      <c r="Q3739" t="s">
        <v>325</v>
      </c>
      <c r="R3739" s="546" t="s">
        <v>804</v>
      </c>
    </row>
    <row r="3740" spans="1:18" x14ac:dyDescent="0.3">
      <c r="A3740" t="s">
        <v>627</v>
      </c>
      <c r="B3740" s="16">
        <v>45427</v>
      </c>
      <c r="C3740" t="s">
        <v>3</v>
      </c>
      <c r="D3740" t="s">
        <v>127</v>
      </c>
      <c r="E3740">
        <v>10231</v>
      </c>
      <c r="F3740">
        <v>9260</v>
      </c>
      <c r="G3740">
        <v>27</v>
      </c>
      <c r="H3740">
        <v>9</v>
      </c>
      <c r="I3740">
        <v>26540</v>
      </c>
      <c r="J3740">
        <v>5</v>
      </c>
      <c r="K3740">
        <v>22066</v>
      </c>
      <c r="L3740">
        <v>5</v>
      </c>
      <c r="M3740">
        <v>393</v>
      </c>
      <c r="N3740">
        <v>707</v>
      </c>
      <c r="O3740">
        <f t="shared" si="116"/>
        <v>2024</v>
      </c>
      <c r="P3740">
        <f t="shared" si="117"/>
        <v>5</v>
      </c>
      <c r="Q3740" t="s">
        <v>325</v>
      </c>
      <c r="R3740" s="546" t="s">
        <v>804</v>
      </c>
    </row>
    <row r="3741" spans="1:18" x14ac:dyDescent="0.3">
      <c r="A3741" t="s">
        <v>627</v>
      </c>
      <c r="B3741" s="16">
        <v>45427</v>
      </c>
      <c r="C3741" t="s">
        <v>3</v>
      </c>
      <c r="D3741" t="s">
        <v>126</v>
      </c>
      <c r="E3741">
        <v>72</v>
      </c>
      <c r="F3741">
        <v>44</v>
      </c>
      <c r="G3741">
        <v>3</v>
      </c>
      <c r="H3741">
        <v>1</v>
      </c>
      <c r="I3741">
        <v>4695</v>
      </c>
      <c r="J3741">
        <v>1</v>
      </c>
      <c r="K3741">
        <v>4695</v>
      </c>
      <c r="L3741">
        <v>1</v>
      </c>
      <c r="M3741">
        <v>15</v>
      </c>
      <c r="N3741">
        <v>68</v>
      </c>
      <c r="O3741">
        <f t="shared" si="116"/>
        <v>2024</v>
      </c>
      <c r="P3741">
        <f t="shared" si="117"/>
        <v>5</v>
      </c>
      <c r="Q3741" t="s">
        <v>325</v>
      </c>
      <c r="R3741" s="546" t="s">
        <v>804</v>
      </c>
    </row>
    <row r="3742" spans="1:18" x14ac:dyDescent="0.3">
      <c r="A3742" t="s">
        <v>627</v>
      </c>
      <c r="B3742" s="16">
        <v>45427</v>
      </c>
      <c r="C3742" t="s">
        <v>3</v>
      </c>
      <c r="D3742" t="s">
        <v>125</v>
      </c>
      <c r="E3742">
        <v>5</v>
      </c>
      <c r="F3742">
        <v>3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3</v>
      </c>
      <c r="N3742">
        <v>5</v>
      </c>
      <c r="O3742">
        <f t="shared" si="116"/>
        <v>2024</v>
      </c>
      <c r="P3742">
        <f t="shared" si="117"/>
        <v>5</v>
      </c>
      <c r="Q3742" t="s">
        <v>325</v>
      </c>
      <c r="R3742" s="546" t="s">
        <v>804</v>
      </c>
    </row>
    <row r="3743" spans="1:18" x14ac:dyDescent="0.3">
      <c r="A3743" t="s">
        <v>627</v>
      </c>
      <c r="B3743" s="16">
        <v>45427</v>
      </c>
      <c r="C3743" t="s">
        <v>3</v>
      </c>
      <c r="D3743" t="s">
        <v>123</v>
      </c>
      <c r="E3743">
        <v>189</v>
      </c>
      <c r="F3743">
        <v>98</v>
      </c>
      <c r="G3743">
        <v>19</v>
      </c>
      <c r="H3743">
        <v>3</v>
      </c>
      <c r="I3743">
        <v>14424.5</v>
      </c>
      <c r="J3743">
        <v>5</v>
      </c>
      <c r="K3743">
        <v>10774.5</v>
      </c>
      <c r="L3743">
        <v>4</v>
      </c>
      <c r="M3743">
        <v>99</v>
      </c>
      <c r="N3743">
        <v>147</v>
      </c>
      <c r="O3743">
        <f t="shared" si="116"/>
        <v>2024</v>
      </c>
      <c r="P3743">
        <f t="shared" si="117"/>
        <v>5</v>
      </c>
      <c r="Q3743" t="s">
        <v>325</v>
      </c>
      <c r="R3743" s="546" t="s">
        <v>804</v>
      </c>
    </row>
    <row r="3744" spans="1:18" x14ac:dyDescent="0.3">
      <c r="A3744" t="s">
        <v>627</v>
      </c>
      <c r="B3744" s="16">
        <v>45427</v>
      </c>
      <c r="C3744" t="s">
        <v>3</v>
      </c>
      <c r="D3744" t="s">
        <v>120</v>
      </c>
      <c r="E3744">
        <v>358</v>
      </c>
      <c r="F3744">
        <v>240</v>
      </c>
      <c r="G3744">
        <v>4</v>
      </c>
      <c r="H3744">
        <v>0</v>
      </c>
      <c r="I3744">
        <v>10237.5</v>
      </c>
      <c r="J3744">
        <v>3</v>
      </c>
      <c r="K3744">
        <v>10237.5</v>
      </c>
      <c r="L3744">
        <v>3</v>
      </c>
      <c r="M3744">
        <v>49</v>
      </c>
      <c r="N3744">
        <v>351</v>
      </c>
      <c r="O3744">
        <f t="shared" si="116"/>
        <v>2024</v>
      </c>
      <c r="P3744">
        <f t="shared" si="117"/>
        <v>5</v>
      </c>
      <c r="Q3744" t="s">
        <v>325</v>
      </c>
      <c r="R3744" s="546" t="s">
        <v>804</v>
      </c>
    </row>
    <row r="3745" spans="1:18" x14ac:dyDescent="0.3">
      <c r="A3745" t="s">
        <v>627</v>
      </c>
      <c r="B3745" s="16">
        <v>45427</v>
      </c>
      <c r="C3745" t="s">
        <v>3</v>
      </c>
      <c r="D3745" t="s">
        <v>119</v>
      </c>
      <c r="E3745">
        <v>290</v>
      </c>
      <c r="F3745">
        <v>170</v>
      </c>
      <c r="G3745">
        <v>19</v>
      </c>
      <c r="H3745">
        <v>7</v>
      </c>
      <c r="I3745">
        <v>65124.5</v>
      </c>
      <c r="J3745">
        <v>15</v>
      </c>
      <c r="K3745">
        <v>44981</v>
      </c>
      <c r="L3745">
        <v>12</v>
      </c>
      <c r="M3745">
        <v>84</v>
      </c>
      <c r="N3745">
        <v>175</v>
      </c>
      <c r="O3745">
        <f t="shared" si="116"/>
        <v>2024</v>
      </c>
      <c r="P3745">
        <f t="shared" si="117"/>
        <v>5</v>
      </c>
      <c r="Q3745" t="s">
        <v>325</v>
      </c>
      <c r="R3745" s="546" t="s">
        <v>804</v>
      </c>
    </row>
    <row r="3746" spans="1:18" x14ac:dyDescent="0.3">
      <c r="A3746" t="s">
        <v>627</v>
      </c>
      <c r="B3746" s="16">
        <v>45427</v>
      </c>
      <c r="C3746" t="s">
        <v>3</v>
      </c>
      <c r="D3746" t="s">
        <v>118</v>
      </c>
      <c r="E3746">
        <v>1</v>
      </c>
      <c r="F3746">
        <v>1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f t="shared" si="116"/>
        <v>2024</v>
      </c>
      <c r="P3746">
        <f t="shared" si="117"/>
        <v>5</v>
      </c>
      <c r="Q3746" t="s">
        <v>325</v>
      </c>
      <c r="R3746" s="546" t="s">
        <v>804</v>
      </c>
    </row>
    <row r="3747" spans="1:18" x14ac:dyDescent="0.3">
      <c r="A3747" t="s">
        <v>627</v>
      </c>
      <c r="B3747" s="16">
        <v>45427</v>
      </c>
      <c r="C3747" t="s">
        <v>3</v>
      </c>
      <c r="D3747" t="s">
        <v>116</v>
      </c>
      <c r="E3747">
        <v>1</v>
      </c>
      <c r="F3747">
        <v>1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1</v>
      </c>
      <c r="O3747">
        <f t="shared" si="116"/>
        <v>2024</v>
      </c>
      <c r="P3747">
        <f t="shared" si="117"/>
        <v>5</v>
      </c>
      <c r="Q3747" t="s">
        <v>325</v>
      </c>
      <c r="R3747" s="546" t="s">
        <v>804</v>
      </c>
    </row>
    <row r="3748" spans="1:18" x14ac:dyDescent="0.3">
      <c r="A3748" t="s">
        <v>627</v>
      </c>
      <c r="B3748" s="16">
        <v>45427</v>
      </c>
      <c r="C3748" t="s">
        <v>3</v>
      </c>
      <c r="D3748" t="s">
        <v>113</v>
      </c>
      <c r="E3748">
        <v>388</v>
      </c>
      <c r="F3748">
        <v>331</v>
      </c>
      <c r="G3748">
        <v>5</v>
      </c>
      <c r="H3748">
        <v>3</v>
      </c>
      <c r="I3748">
        <v>0</v>
      </c>
      <c r="J3748">
        <v>0</v>
      </c>
      <c r="K3748">
        <v>0</v>
      </c>
      <c r="L3748">
        <v>0</v>
      </c>
      <c r="M3748">
        <v>71</v>
      </c>
      <c r="N3748">
        <v>78</v>
      </c>
      <c r="O3748">
        <f t="shared" si="116"/>
        <v>2024</v>
      </c>
      <c r="P3748">
        <f t="shared" si="117"/>
        <v>5</v>
      </c>
      <c r="Q3748" t="s">
        <v>325</v>
      </c>
      <c r="R3748" s="546" t="s">
        <v>804</v>
      </c>
    </row>
    <row r="3749" spans="1:18" x14ac:dyDescent="0.3">
      <c r="A3749" t="s">
        <v>627</v>
      </c>
      <c r="B3749" s="16">
        <v>45427</v>
      </c>
      <c r="C3749" t="s">
        <v>3</v>
      </c>
      <c r="D3749" t="s">
        <v>112</v>
      </c>
      <c r="E3749">
        <v>7</v>
      </c>
      <c r="F3749">
        <v>4</v>
      </c>
      <c r="G3749">
        <v>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1</v>
      </c>
      <c r="N3749">
        <v>7</v>
      </c>
      <c r="O3749">
        <f t="shared" si="116"/>
        <v>2024</v>
      </c>
      <c r="P3749">
        <f t="shared" si="117"/>
        <v>5</v>
      </c>
      <c r="Q3749" t="s">
        <v>325</v>
      </c>
      <c r="R3749" s="546" t="s">
        <v>804</v>
      </c>
    </row>
    <row r="3750" spans="1:18" x14ac:dyDescent="0.3">
      <c r="A3750" t="s">
        <v>627</v>
      </c>
      <c r="B3750" s="16">
        <v>45426</v>
      </c>
      <c r="C3750" t="s">
        <v>2</v>
      </c>
      <c r="D3750" t="s">
        <v>4</v>
      </c>
      <c r="E3750">
        <v>269</v>
      </c>
      <c r="F3750">
        <v>86</v>
      </c>
      <c r="G3750">
        <v>0</v>
      </c>
      <c r="H3750">
        <v>0</v>
      </c>
      <c r="I3750">
        <v>19500</v>
      </c>
      <c r="J3750">
        <v>1</v>
      </c>
      <c r="K3750">
        <v>19500</v>
      </c>
      <c r="L3750">
        <v>1</v>
      </c>
      <c r="M3750">
        <v>16</v>
      </c>
      <c r="N3750">
        <v>261</v>
      </c>
      <c r="O3750">
        <f t="shared" si="116"/>
        <v>2024</v>
      </c>
      <c r="P3750">
        <f t="shared" si="117"/>
        <v>5</v>
      </c>
      <c r="Q3750" t="s">
        <v>325</v>
      </c>
      <c r="R3750" s="546" t="s">
        <v>804</v>
      </c>
    </row>
    <row r="3751" spans="1:18" x14ac:dyDescent="0.3">
      <c r="A3751" t="s">
        <v>627</v>
      </c>
      <c r="B3751" s="16">
        <v>45426</v>
      </c>
      <c r="C3751" t="s">
        <v>2</v>
      </c>
      <c r="D3751" t="s">
        <v>57</v>
      </c>
      <c r="E3751">
        <v>13558</v>
      </c>
      <c r="F3751">
        <v>8665</v>
      </c>
      <c r="G3751">
        <v>105</v>
      </c>
      <c r="H3751">
        <v>53</v>
      </c>
      <c r="I3751">
        <v>56310</v>
      </c>
      <c r="J3751">
        <v>6</v>
      </c>
      <c r="K3751">
        <v>46920</v>
      </c>
      <c r="L3751">
        <v>6</v>
      </c>
      <c r="M3751">
        <v>682</v>
      </c>
      <c r="N3751">
        <v>12975</v>
      </c>
      <c r="O3751">
        <f t="shared" si="116"/>
        <v>2024</v>
      </c>
      <c r="P3751">
        <f t="shared" si="117"/>
        <v>5</v>
      </c>
      <c r="Q3751" t="s">
        <v>325</v>
      </c>
      <c r="R3751" s="546" t="s">
        <v>804</v>
      </c>
    </row>
    <row r="3752" spans="1:18" x14ac:dyDescent="0.3">
      <c r="A3752" t="s">
        <v>627</v>
      </c>
      <c r="B3752" s="16">
        <v>45426</v>
      </c>
      <c r="C3752" t="s">
        <v>2</v>
      </c>
      <c r="D3752" t="s">
        <v>52</v>
      </c>
      <c r="E3752">
        <v>920</v>
      </c>
      <c r="F3752">
        <v>795</v>
      </c>
      <c r="G3752">
        <v>11</v>
      </c>
      <c r="H3752">
        <v>7</v>
      </c>
      <c r="I3752">
        <v>0</v>
      </c>
      <c r="J3752">
        <v>0</v>
      </c>
      <c r="K3752">
        <v>0</v>
      </c>
      <c r="L3752">
        <v>0</v>
      </c>
      <c r="M3752">
        <v>920</v>
      </c>
      <c r="N3752">
        <v>459</v>
      </c>
      <c r="O3752">
        <f t="shared" si="116"/>
        <v>2024</v>
      </c>
      <c r="P3752">
        <f t="shared" si="117"/>
        <v>5</v>
      </c>
      <c r="Q3752" t="s">
        <v>325</v>
      </c>
      <c r="R3752" s="546" t="s">
        <v>804</v>
      </c>
    </row>
    <row r="3753" spans="1:18" x14ac:dyDescent="0.3">
      <c r="A3753" t="s">
        <v>627</v>
      </c>
      <c r="B3753" s="16">
        <v>45426</v>
      </c>
      <c r="C3753" t="s">
        <v>2</v>
      </c>
      <c r="D3753" t="s">
        <v>55</v>
      </c>
      <c r="E3753">
        <v>1</v>
      </c>
      <c r="F3753">
        <v>1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</v>
      </c>
      <c r="O3753">
        <f t="shared" si="116"/>
        <v>2024</v>
      </c>
      <c r="P3753">
        <f t="shared" si="117"/>
        <v>5</v>
      </c>
      <c r="Q3753" t="s">
        <v>325</v>
      </c>
      <c r="R3753" s="546" t="s">
        <v>804</v>
      </c>
    </row>
    <row r="3754" spans="1:18" x14ac:dyDescent="0.3">
      <c r="A3754" t="s">
        <v>627</v>
      </c>
      <c r="B3754" s="16">
        <v>45426</v>
      </c>
      <c r="C3754" t="s">
        <v>3</v>
      </c>
      <c r="D3754" t="s">
        <v>155</v>
      </c>
      <c r="E3754">
        <v>5</v>
      </c>
      <c r="F3754">
        <v>5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5</v>
      </c>
      <c r="O3754">
        <f t="shared" si="116"/>
        <v>2024</v>
      </c>
      <c r="P3754">
        <f t="shared" si="117"/>
        <v>5</v>
      </c>
      <c r="Q3754" t="s">
        <v>325</v>
      </c>
      <c r="R3754" s="546" t="s">
        <v>804</v>
      </c>
    </row>
    <row r="3755" spans="1:18" x14ac:dyDescent="0.3">
      <c r="A3755" t="s">
        <v>627</v>
      </c>
      <c r="B3755" s="16">
        <v>45426</v>
      </c>
      <c r="C3755" t="s">
        <v>3</v>
      </c>
      <c r="D3755" t="s">
        <v>154</v>
      </c>
      <c r="E3755">
        <v>1</v>
      </c>
      <c r="F3755">
        <v>1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1</v>
      </c>
      <c r="N3755">
        <v>0</v>
      </c>
      <c r="O3755">
        <f t="shared" si="116"/>
        <v>2024</v>
      </c>
      <c r="P3755">
        <f t="shared" si="117"/>
        <v>5</v>
      </c>
      <c r="Q3755" t="s">
        <v>325</v>
      </c>
      <c r="R3755" s="546" t="s">
        <v>804</v>
      </c>
    </row>
    <row r="3756" spans="1:18" x14ac:dyDescent="0.3">
      <c r="A3756" t="s">
        <v>627</v>
      </c>
      <c r="B3756" s="16">
        <v>45426</v>
      </c>
      <c r="C3756" t="s">
        <v>3</v>
      </c>
      <c r="D3756" t="s">
        <v>153</v>
      </c>
      <c r="E3756">
        <v>148</v>
      </c>
      <c r="F3756">
        <v>55</v>
      </c>
      <c r="G3756">
        <v>12</v>
      </c>
      <c r="H3756">
        <v>1</v>
      </c>
      <c r="I3756">
        <v>19530</v>
      </c>
      <c r="J3756">
        <v>5</v>
      </c>
      <c r="K3756">
        <v>19530</v>
      </c>
      <c r="L3756">
        <v>5</v>
      </c>
      <c r="M3756">
        <v>38</v>
      </c>
      <c r="N3756">
        <v>143</v>
      </c>
      <c r="O3756">
        <f t="shared" si="116"/>
        <v>2024</v>
      </c>
      <c r="P3756">
        <f t="shared" si="117"/>
        <v>5</v>
      </c>
      <c r="Q3756" t="s">
        <v>325</v>
      </c>
      <c r="R3756" s="546" t="s">
        <v>804</v>
      </c>
    </row>
    <row r="3757" spans="1:18" x14ac:dyDescent="0.3">
      <c r="A3757" t="s">
        <v>627</v>
      </c>
      <c r="B3757" s="16">
        <v>45426</v>
      </c>
      <c r="C3757" t="s">
        <v>3</v>
      </c>
      <c r="D3757" t="s">
        <v>152</v>
      </c>
      <c r="E3757">
        <v>3</v>
      </c>
      <c r="F3757">
        <v>1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3</v>
      </c>
      <c r="O3757">
        <f t="shared" si="116"/>
        <v>2024</v>
      </c>
      <c r="P3757">
        <f t="shared" si="117"/>
        <v>5</v>
      </c>
      <c r="Q3757" t="s">
        <v>325</v>
      </c>
      <c r="R3757" s="546" t="s">
        <v>804</v>
      </c>
    </row>
    <row r="3758" spans="1:18" x14ac:dyDescent="0.3">
      <c r="A3758" t="s">
        <v>627</v>
      </c>
      <c r="B3758" s="16">
        <v>45426</v>
      </c>
      <c r="C3758" t="s">
        <v>3</v>
      </c>
      <c r="D3758" t="s">
        <v>149</v>
      </c>
      <c r="E3758">
        <v>14</v>
      </c>
      <c r="F3758">
        <v>7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1</v>
      </c>
      <c r="N3758">
        <v>14</v>
      </c>
      <c r="O3758">
        <f t="shared" si="116"/>
        <v>2024</v>
      </c>
      <c r="P3758">
        <f t="shared" si="117"/>
        <v>5</v>
      </c>
      <c r="Q3758" t="s">
        <v>325</v>
      </c>
      <c r="R3758" s="546" t="s">
        <v>804</v>
      </c>
    </row>
    <row r="3759" spans="1:18" x14ac:dyDescent="0.3">
      <c r="A3759" t="s">
        <v>627</v>
      </c>
      <c r="B3759" s="16">
        <v>45426</v>
      </c>
      <c r="C3759" t="s">
        <v>3</v>
      </c>
      <c r="D3759" t="s">
        <v>251</v>
      </c>
      <c r="E3759">
        <v>290</v>
      </c>
      <c r="F3759">
        <v>117</v>
      </c>
      <c r="G3759">
        <v>3</v>
      </c>
      <c r="H3759">
        <v>3</v>
      </c>
      <c r="I3759">
        <v>4695</v>
      </c>
      <c r="J3759">
        <v>1</v>
      </c>
      <c r="K3759">
        <v>4695</v>
      </c>
      <c r="L3759">
        <v>1</v>
      </c>
      <c r="M3759">
        <v>21</v>
      </c>
      <c r="N3759">
        <v>280</v>
      </c>
      <c r="O3759">
        <f t="shared" ref="O3759:O3822" si="118">YEAR(B3759)</f>
        <v>2024</v>
      </c>
      <c r="P3759">
        <f t="shared" ref="P3759:P3822" si="119">MONTH(B3759)</f>
        <v>5</v>
      </c>
      <c r="Q3759" t="s">
        <v>325</v>
      </c>
      <c r="R3759" s="546" t="s">
        <v>804</v>
      </c>
    </row>
    <row r="3760" spans="1:18" x14ac:dyDescent="0.3">
      <c r="A3760" t="s">
        <v>627</v>
      </c>
      <c r="B3760" s="16">
        <v>45426</v>
      </c>
      <c r="C3760" t="s">
        <v>3</v>
      </c>
      <c r="D3760" t="s">
        <v>143</v>
      </c>
      <c r="E3760">
        <v>9</v>
      </c>
      <c r="F3760">
        <v>8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9</v>
      </c>
      <c r="O3760">
        <f t="shared" si="118"/>
        <v>2024</v>
      </c>
      <c r="P3760">
        <f t="shared" si="119"/>
        <v>5</v>
      </c>
      <c r="Q3760" t="s">
        <v>325</v>
      </c>
      <c r="R3760" s="546" t="s">
        <v>804</v>
      </c>
    </row>
    <row r="3761" spans="1:18" x14ac:dyDescent="0.3">
      <c r="A3761" t="s">
        <v>627</v>
      </c>
      <c r="B3761" s="16">
        <v>45426</v>
      </c>
      <c r="C3761" t="s">
        <v>3</v>
      </c>
      <c r="D3761" t="s">
        <v>142</v>
      </c>
      <c r="E3761">
        <v>3</v>
      </c>
      <c r="F3761">
        <v>1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3</v>
      </c>
      <c r="O3761">
        <f t="shared" si="118"/>
        <v>2024</v>
      </c>
      <c r="P3761">
        <f t="shared" si="119"/>
        <v>5</v>
      </c>
      <c r="Q3761" t="s">
        <v>325</v>
      </c>
      <c r="R3761" s="546" t="s">
        <v>804</v>
      </c>
    </row>
    <row r="3762" spans="1:18" x14ac:dyDescent="0.3">
      <c r="A3762" t="s">
        <v>627</v>
      </c>
      <c r="B3762" s="16">
        <v>45426</v>
      </c>
      <c r="C3762" t="s">
        <v>3</v>
      </c>
      <c r="D3762" t="s">
        <v>141</v>
      </c>
      <c r="E3762">
        <v>3</v>
      </c>
      <c r="F3762">
        <v>3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3</v>
      </c>
      <c r="O3762">
        <f t="shared" si="118"/>
        <v>2024</v>
      </c>
      <c r="P3762">
        <f t="shared" si="119"/>
        <v>5</v>
      </c>
      <c r="Q3762" t="s">
        <v>325</v>
      </c>
      <c r="R3762" s="546" t="s">
        <v>804</v>
      </c>
    </row>
    <row r="3763" spans="1:18" x14ac:dyDescent="0.3">
      <c r="A3763" t="s">
        <v>627</v>
      </c>
      <c r="B3763" s="16">
        <v>45426</v>
      </c>
      <c r="C3763" t="s">
        <v>3</v>
      </c>
      <c r="D3763" t="s">
        <v>140</v>
      </c>
      <c r="E3763">
        <v>2</v>
      </c>
      <c r="F3763">
        <v>2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1</v>
      </c>
      <c r="N3763">
        <v>2</v>
      </c>
      <c r="O3763">
        <f t="shared" si="118"/>
        <v>2024</v>
      </c>
      <c r="P3763">
        <f t="shared" si="119"/>
        <v>5</v>
      </c>
      <c r="Q3763" t="s">
        <v>325</v>
      </c>
      <c r="R3763" s="546" t="s">
        <v>804</v>
      </c>
    </row>
    <row r="3764" spans="1:18" x14ac:dyDescent="0.3">
      <c r="A3764" t="s">
        <v>627</v>
      </c>
      <c r="B3764" s="16">
        <v>45426</v>
      </c>
      <c r="C3764" t="s">
        <v>3</v>
      </c>
      <c r="D3764" t="s">
        <v>139</v>
      </c>
      <c r="E3764">
        <v>293</v>
      </c>
      <c r="F3764">
        <v>189</v>
      </c>
      <c r="G3764">
        <v>6</v>
      </c>
      <c r="H3764">
        <v>3</v>
      </c>
      <c r="I3764">
        <v>17880</v>
      </c>
      <c r="J3764">
        <v>3</v>
      </c>
      <c r="K3764">
        <v>17880</v>
      </c>
      <c r="L3764">
        <v>3</v>
      </c>
      <c r="M3764">
        <v>185</v>
      </c>
      <c r="N3764">
        <v>178</v>
      </c>
      <c r="O3764">
        <f t="shared" si="118"/>
        <v>2024</v>
      </c>
      <c r="P3764">
        <f t="shared" si="119"/>
        <v>5</v>
      </c>
      <c r="Q3764" t="s">
        <v>325</v>
      </c>
      <c r="R3764" s="546" t="s">
        <v>804</v>
      </c>
    </row>
    <row r="3765" spans="1:18" x14ac:dyDescent="0.3">
      <c r="A3765" t="s">
        <v>627</v>
      </c>
      <c r="B3765" s="16">
        <v>45426</v>
      </c>
      <c r="C3765" t="s">
        <v>3</v>
      </c>
      <c r="D3765" t="s">
        <v>138</v>
      </c>
      <c r="E3765">
        <v>1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1</v>
      </c>
      <c r="O3765">
        <f t="shared" si="118"/>
        <v>2024</v>
      </c>
      <c r="P3765">
        <f t="shared" si="119"/>
        <v>5</v>
      </c>
      <c r="Q3765" t="s">
        <v>325</v>
      </c>
      <c r="R3765" s="546" t="s">
        <v>804</v>
      </c>
    </row>
    <row r="3766" spans="1:18" x14ac:dyDescent="0.3">
      <c r="A3766" t="s">
        <v>627</v>
      </c>
      <c r="B3766" s="16">
        <v>45426</v>
      </c>
      <c r="C3766" t="s">
        <v>3</v>
      </c>
      <c r="D3766" t="s">
        <v>137</v>
      </c>
      <c r="E3766">
        <v>4</v>
      </c>
      <c r="F3766">
        <v>1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4</v>
      </c>
      <c r="O3766">
        <f t="shared" si="118"/>
        <v>2024</v>
      </c>
      <c r="P3766">
        <f t="shared" si="119"/>
        <v>5</v>
      </c>
      <c r="Q3766" t="s">
        <v>325</v>
      </c>
      <c r="R3766" s="546" t="s">
        <v>804</v>
      </c>
    </row>
    <row r="3767" spans="1:18" x14ac:dyDescent="0.3">
      <c r="A3767" t="s">
        <v>627</v>
      </c>
      <c r="B3767" s="16">
        <v>45426</v>
      </c>
      <c r="C3767" t="s">
        <v>3</v>
      </c>
      <c r="D3767" t="s">
        <v>133</v>
      </c>
      <c r="E3767">
        <v>8</v>
      </c>
      <c r="F3767">
        <v>7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5</v>
      </c>
      <c r="N3767">
        <v>3</v>
      </c>
      <c r="O3767">
        <f t="shared" si="118"/>
        <v>2024</v>
      </c>
      <c r="P3767">
        <f t="shared" si="119"/>
        <v>5</v>
      </c>
      <c r="Q3767" t="s">
        <v>325</v>
      </c>
      <c r="R3767" s="546" t="s">
        <v>804</v>
      </c>
    </row>
    <row r="3768" spans="1:18" x14ac:dyDescent="0.3">
      <c r="A3768" t="s">
        <v>627</v>
      </c>
      <c r="B3768" s="16">
        <v>45426</v>
      </c>
      <c r="C3768" t="s">
        <v>3</v>
      </c>
      <c r="D3768" t="s">
        <v>130</v>
      </c>
      <c r="E3768">
        <v>44</v>
      </c>
      <c r="F3768">
        <v>22</v>
      </c>
      <c r="G3768">
        <v>4</v>
      </c>
      <c r="H3768">
        <v>2</v>
      </c>
      <c r="I3768">
        <v>7490</v>
      </c>
      <c r="J3768">
        <v>2</v>
      </c>
      <c r="K3768">
        <v>7490</v>
      </c>
      <c r="L3768">
        <v>2</v>
      </c>
      <c r="M3768">
        <v>22</v>
      </c>
      <c r="N3768">
        <v>41</v>
      </c>
      <c r="O3768">
        <f t="shared" si="118"/>
        <v>2024</v>
      </c>
      <c r="P3768">
        <f t="shared" si="119"/>
        <v>5</v>
      </c>
      <c r="Q3768" t="s">
        <v>325</v>
      </c>
      <c r="R3768" s="546" t="s">
        <v>804</v>
      </c>
    </row>
    <row r="3769" spans="1:18" x14ac:dyDescent="0.3">
      <c r="A3769" t="s">
        <v>627</v>
      </c>
      <c r="B3769" s="16">
        <v>45426</v>
      </c>
      <c r="C3769" t="s">
        <v>3</v>
      </c>
      <c r="D3769" t="s">
        <v>128</v>
      </c>
      <c r="E3769">
        <v>417</v>
      </c>
      <c r="F3769">
        <v>335</v>
      </c>
      <c r="G3769">
        <v>12</v>
      </c>
      <c r="H3769">
        <v>6</v>
      </c>
      <c r="I3769">
        <v>0</v>
      </c>
      <c r="J3769">
        <v>0</v>
      </c>
      <c r="K3769">
        <v>0</v>
      </c>
      <c r="L3769">
        <v>0</v>
      </c>
      <c r="M3769">
        <v>194</v>
      </c>
      <c r="N3769">
        <v>318</v>
      </c>
      <c r="O3769">
        <f t="shared" si="118"/>
        <v>2024</v>
      </c>
      <c r="P3769">
        <f t="shared" si="119"/>
        <v>5</v>
      </c>
      <c r="Q3769" t="s">
        <v>325</v>
      </c>
      <c r="R3769" s="546" t="s">
        <v>804</v>
      </c>
    </row>
    <row r="3770" spans="1:18" x14ac:dyDescent="0.3">
      <c r="A3770" t="s">
        <v>627</v>
      </c>
      <c r="B3770" s="16">
        <v>45426</v>
      </c>
      <c r="C3770" t="s">
        <v>3</v>
      </c>
      <c r="D3770" t="s">
        <v>127</v>
      </c>
      <c r="E3770">
        <v>798</v>
      </c>
      <c r="F3770">
        <v>539</v>
      </c>
      <c r="G3770">
        <v>18</v>
      </c>
      <c r="H3770">
        <v>5</v>
      </c>
      <c r="I3770">
        <v>4695</v>
      </c>
      <c r="J3770">
        <v>1</v>
      </c>
      <c r="K3770">
        <v>4695</v>
      </c>
      <c r="L3770">
        <v>1</v>
      </c>
      <c r="M3770">
        <v>129</v>
      </c>
      <c r="N3770">
        <v>765</v>
      </c>
      <c r="O3770">
        <f t="shared" si="118"/>
        <v>2024</v>
      </c>
      <c r="P3770">
        <f t="shared" si="119"/>
        <v>5</v>
      </c>
      <c r="Q3770" t="s">
        <v>325</v>
      </c>
      <c r="R3770" s="546" t="s">
        <v>804</v>
      </c>
    </row>
    <row r="3771" spans="1:18" x14ac:dyDescent="0.3">
      <c r="A3771" t="s">
        <v>627</v>
      </c>
      <c r="B3771" s="16">
        <v>45426</v>
      </c>
      <c r="C3771" t="s">
        <v>3</v>
      </c>
      <c r="D3771" t="s">
        <v>126</v>
      </c>
      <c r="E3771">
        <v>62</v>
      </c>
      <c r="F3771">
        <v>42</v>
      </c>
      <c r="G3771">
        <v>3</v>
      </c>
      <c r="H3771">
        <v>5</v>
      </c>
      <c r="I3771">
        <v>0</v>
      </c>
      <c r="J3771">
        <v>0</v>
      </c>
      <c r="K3771">
        <v>0</v>
      </c>
      <c r="L3771">
        <v>0</v>
      </c>
      <c r="M3771">
        <v>9</v>
      </c>
      <c r="N3771">
        <v>57</v>
      </c>
      <c r="O3771">
        <f t="shared" si="118"/>
        <v>2024</v>
      </c>
      <c r="P3771">
        <f t="shared" si="119"/>
        <v>5</v>
      </c>
      <c r="Q3771" t="s">
        <v>325</v>
      </c>
      <c r="R3771" s="546" t="s">
        <v>804</v>
      </c>
    </row>
    <row r="3772" spans="1:18" x14ac:dyDescent="0.3">
      <c r="A3772" t="s">
        <v>627</v>
      </c>
      <c r="B3772" s="16">
        <v>45426</v>
      </c>
      <c r="C3772" t="s">
        <v>3</v>
      </c>
      <c r="D3772" t="s">
        <v>123</v>
      </c>
      <c r="E3772">
        <v>85</v>
      </c>
      <c r="F3772">
        <v>51</v>
      </c>
      <c r="G3772">
        <v>3</v>
      </c>
      <c r="H3772">
        <v>1</v>
      </c>
      <c r="I3772">
        <v>3195</v>
      </c>
      <c r="J3772">
        <v>1</v>
      </c>
      <c r="K3772">
        <v>3195</v>
      </c>
      <c r="L3772">
        <v>1</v>
      </c>
      <c r="M3772">
        <v>43</v>
      </c>
      <c r="N3772">
        <v>69</v>
      </c>
      <c r="O3772">
        <f t="shared" si="118"/>
        <v>2024</v>
      </c>
      <c r="P3772">
        <f t="shared" si="119"/>
        <v>5</v>
      </c>
      <c r="Q3772" t="s">
        <v>325</v>
      </c>
      <c r="R3772" s="546" t="s">
        <v>804</v>
      </c>
    </row>
    <row r="3773" spans="1:18" x14ac:dyDescent="0.3">
      <c r="A3773" t="s">
        <v>627</v>
      </c>
      <c r="B3773" s="16">
        <v>45426</v>
      </c>
      <c r="C3773" t="s">
        <v>3</v>
      </c>
      <c r="D3773" t="s">
        <v>121</v>
      </c>
      <c r="E3773">
        <v>1</v>
      </c>
      <c r="F3773">
        <v>1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1</v>
      </c>
      <c r="N3773">
        <v>0</v>
      </c>
      <c r="O3773">
        <f t="shared" si="118"/>
        <v>2024</v>
      </c>
      <c r="P3773">
        <f t="shared" si="119"/>
        <v>5</v>
      </c>
      <c r="Q3773" t="s">
        <v>325</v>
      </c>
      <c r="R3773" s="546" t="s">
        <v>804</v>
      </c>
    </row>
    <row r="3774" spans="1:18" x14ac:dyDescent="0.3">
      <c r="A3774" t="s">
        <v>627</v>
      </c>
      <c r="B3774" s="16">
        <v>45426</v>
      </c>
      <c r="C3774" t="s">
        <v>3</v>
      </c>
      <c r="D3774" t="s">
        <v>120</v>
      </c>
      <c r="E3774">
        <v>308</v>
      </c>
      <c r="F3774">
        <v>213</v>
      </c>
      <c r="G3774">
        <v>0</v>
      </c>
      <c r="H3774">
        <v>0</v>
      </c>
      <c r="I3774">
        <v>6290</v>
      </c>
      <c r="J3774">
        <v>2</v>
      </c>
      <c r="K3774">
        <v>6290</v>
      </c>
      <c r="L3774">
        <v>2</v>
      </c>
      <c r="M3774">
        <v>38</v>
      </c>
      <c r="N3774">
        <v>291</v>
      </c>
      <c r="O3774">
        <f t="shared" si="118"/>
        <v>2024</v>
      </c>
      <c r="P3774">
        <f t="shared" si="119"/>
        <v>5</v>
      </c>
      <c r="Q3774" t="s">
        <v>325</v>
      </c>
      <c r="R3774" s="546" t="s">
        <v>804</v>
      </c>
    </row>
    <row r="3775" spans="1:18" x14ac:dyDescent="0.3">
      <c r="A3775" t="s">
        <v>627</v>
      </c>
      <c r="B3775" s="16">
        <v>45426</v>
      </c>
      <c r="C3775" t="s">
        <v>3</v>
      </c>
      <c r="D3775" t="s">
        <v>119</v>
      </c>
      <c r="E3775">
        <v>137</v>
      </c>
      <c r="F3775">
        <v>62</v>
      </c>
      <c r="G3775">
        <v>7</v>
      </c>
      <c r="H3775">
        <v>0</v>
      </c>
      <c r="I3775">
        <v>24275</v>
      </c>
      <c r="J3775">
        <v>4</v>
      </c>
      <c r="K3775">
        <v>19580</v>
      </c>
      <c r="L3775">
        <v>4</v>
      </c>
      <c r="M3775">
        <v>36</v>
      </c>
      <c r="N3775">
        <v>127</v>
      </c>
      <c r="O3775">
        <f t="shared" si="118"/>
        <v>2024</v>
      </c>
      <c r="P3775">
        <f t="shared" si="119"/>
        <v>5</v>
      </c>
      <c r="Q3775" t="s">
        <v>325</v>
      </c>
      <c r="R3775" s="546" t="s">
        <v>804</v>
      </c>
    </row>
    <row r="3776" spans="1:18" x14ac:dyDescent="0.3">
      <c r="A3776" t="s">
        <v>627</v>
      </c>
      <c r="B3776" s="16">
        <v>45426</v>
      </c>
      <c r="C3776" t="s">
        <v>3</v>
      </c>
      <c r="D3776" t="s">
        <v>118</v>
      </c>
      <c r="E3776">
        <v>1</v>
      </c>
      <c r="F3776">
        <v>1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1</v>
      </c>
      <c r="O3776">
        <f t="shared" si="118"/>
        <v>2024</v>
      </c>
      <c r="P3776">
        <f t="shared" si="119"/>
        <v>5</v>
      </c>
      <c r="Q3776" t="s">
        <v>325</v>
      </c>
      <c r="R3776" s="546" t="s">
        <v>804</v>
      </c>
    </row>
    <row r="3777" spans="1:18" x14ac:dyDescent="0.3">
      <c r="A3777" t="s">
        <v>627</v>
      </c>
      <c r="B3777" s="16">
        <v>45426</v>
      </c>
      <c r="C3777" t="s">
        <v>3</v>
      </c>
      <c r="D3777" t="s">
        <v>113</v>
      </c>
      <c r="E3777">
        <v>88</v>
      </c>
      <c r="F3777">
        <v>53</v>
      </c>
      <c r="G3777">
        <v>3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54</v>
      </c>
      <c r="N3777">
        <v>56</v>
      </c>
      <c r="O3777">
        <f t="shared" si="118"/>
        <v>2024</v>
      </c>
      <c r="P3777">
        <f t="shared" si="119"/>
        <v>5</v>
      </c>
      <c r="Q3777" t="s">
        <v>325</v>
      </c>
      <c r="R3777" s="546" t="s">
        <v>804</v>
      </c>
    </row>
    <row r="3778" spans="1:18" x14ac:dyDescent="0.3">
      <c r="A3778" t="s">
        <v>627</v>
      </c>
      <c r="B3778" s="16">
        <v>45426</v>
      </c>
      <c r="C3778" t="s">
        <v>3</v>
      </c>
      <c r="D3778" t="s">
        <v>112</v>
      </c>
      <c r="E3778">
        <v>7</v>
      </c>
      <c r="F3778">
        <v>2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7</v>
      </c>
      <c r="O3778">
        <f t="shared" si="118"/>
        <v>2024</v>
      </c>
      <c r="P3778">
        <f t="shared" si="119"/>
        <v>5</v>
      </c>
      <c r="Q3778" t="s">
        <v>325</v>
      </c>
      <c r="R3778" s="546" t="s">
        <v>804</v>
      </c>
    </row>
    <row r="3779" spans="1:18" x14ac:dyDescent="0.3">
      <c r="A3779" t="s">
        <v>627</v>
      </c>
      <c r="B3779" s="16">
        <v>45425</v>
      </c>
      <c r="C3779" t="s">
        <v>2</v>
      </c>
      <c r="D3779" t="s">
        <v>4</v>
      </c>
      <c r="E3779">
        <v>280</v>
      </c>
      <c r="F3779">
        <v>86</v>
      </c>
      <c r="G3779">
        <v>2</v>
      </c>
      <c r="H3779">
        <v>0</v>
      </c>
      <c r="I3779">
        <v>5750</v>
      </c>
      <c r="J3779">
        <v>1</v>
      </c>
      <c r="K3779">
        <v>5750</v>
      </c>
      <c r="L3779">
        <v>1</v>
      </c>
      <c r="M3779">
        <v>10</v>
      </c>
      <c r="N3779">
        <v>274</v>
      </c>
      <c r="O3779">
        <f t="shared" si="118"/>
        <v>2024</v>
      </c>
      <c r="P3779">
        <f t="shared" si="119"/>
        <v>5</v>
      </c>
      <c r="Q3779" t="s">
        <v>325</v>
      </c>
      <c r="R3779" s="546" t="s">
        <v>804</v>
      </c>
    </row>
    <row r="3780" spans="1:18" x14ac:dyDescent="0.3">
      <c r="A3780" t="s">
        <v>627</v>
      </c>
      <c r="B3780" s="16">
        <v>45425</v>
      </c>
      <c r="C3780" t="s">
        <v>2</v>
      </c>
      <c r="D3780" t="s">
        <v>57</v>
      </c>
      <c r="E3780">
        <v>14265</v>
      </c>
      <c r="F3780">
        <v>9393</v>
      </c>
      <c r="G3780">
        <v>75</v>
      </c>
      <c r="H3780">
        <v>58</v>
      </c>
      <c r="I3780">
        <v>32965</v>
      </c>
      <c r="J3780">
        <v>8</v>
      </c>
      <c r="K3780">
        <v>6090</v>
      </c>
      <c r="L3780">
        <v>2</v>
      </c>
      <c r="M3780">
        <v>621</v>
      </c>
      <c r="N3780">
        <v>13576</v>
      </c>
      <c r="O3780">
        <f t="shared" si="118"/>
        <v>2024</v>
      </c>
      <c r="P3780">
        <f t="shared" si="119"/>
        <v>5</v>
      </c>
      <c r="Q3780" t="s">
        <v>325</v>
      </c>
      <c r="R3780" s="546" t="s">
        <v>804</v>
      </c>
    </row>
    <row r="3781" spans="1:18" x14ac:dyDescent="0.3">
      <c r="A3781" t="s">
        <v>627</v>
      </c>
      <c r="B3781" s="16">
        <v>45425</v>
      </c>
      <c r="C3781" t="s">
        <v>2</v>
      </c>
      <c r="D3781" t="s">
        <v>52</v>
      </c>
      <c r="E3781">
        <v>962</v>
      </c>
      <c r="F3781">
        <v>818</v>
      </c>
      <c r="G3781">
        <v>15</v>
      </c>
      <c r="H3781">
        <v>5</v>
      </c>
      <c r="I3781">
        <v>0</v>
      </c>
      <c r="J3781">
        <v>0</v>
      </c>
      <c r="K3781">
        <v>0</v>
      </c>
      <c r="L3781">
        <v>0</v>
      </c>
      <c r="M3781">
        <v>962</v>
      </c>
      <c r="N3781">
        <v>518</v>
      </c>
      <c r="O3781">
        <f t="shared" si="118"/>
        <v>2024</v>
      </c>
      <c r="P3781">
        <f t="shared" si="119"/>
        <v>5</v>
      </c>
      <c r="Q3781" t="s">
        <v>325</v>
      </c>
      <c r="R3781" s="546" t="s">
        <v>804</v>
      </c>
    </row>
    <row r="3782" spans="1:18" x14ac:dyDescent="0.3">
      <c r="A3782" t="s">
        <v>627</v>
      </c>
      <c r="B3782" s="16">
        <v>45425</v>
      </c>
      <c r="C3782" t="s">
        <v>2</v>
      </c>
      <c r="D3782" t="s">
        <v>55</v>
      </c>
      <c r="E3782">
        <v>1</v>
      </c>
      <c r="F3782">
        <v>1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1</v>
      </c>
      <c r="O3782">
        <f t="shared" si="118"/>
        <v>2024</v>
      </c>
      <c r="P3782">
        <f t="shared" si="119"/>
        <v>5</v>
      </c>
      <c r="Q3782" t="s">
        <v>325</v>
      </c>
      <c r="R3782" s="546" t="s">
        <v>804</v>
      </c>
    </row>
    <row r="3783" spans="1:18" x14ac:dyDescent="0.3">
      <c r="A3783" t="s">
        <v>627</v>
      </c>
      <c r="B3783" s="16">
        <v>45425</v>
      </c>
      <c r="C3783" t="s">
        <v>3</v>
      </c>
      <c r="D3783" t="s">
        <v>155</v>
      </c>
      <c r="E3783">
        <v>6</v>
      </c>
      <c r="F3783">
        <v>3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6</v>
      </c>
      <c r="O3783">
        <f t="shared" si="118"/>
        <v>2024</v>
      </c>
      <c r="P3783">
        <f t="shared" si="119"/>
        <v>5</v>
      </c>
      <c r="Q3783" t="s">
        <v>325</v>
      </c>
      <c r="R3783" s="546" t="s">
        <v>804</v>
      </c>
    </row>
    <row r="3784" spans="1:18" x14ac:dyDescent="0.3">
      <c r="A3784" t="s">
        <v>627</v>
      </c>
      <c r="B3784" s="16">
        <v>45425</v>
      </c>
      <c r="C3784" t="s">
        <v>3</v>
      </c>
      <c r="D3784" t="s">
        <v>154</v>
      </c>
      <c r="E3784">
        <v>1</v>
      </c>
      <c r="F3784">
        <v>1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f t="shared" si="118"/>
        <v>2024</v>
      </c>
      <c r="P3784">
        <f t="shared" si="119"/>
        <v>5</v>
      </c>
      <c r="Q3784" t="s">
        <v>325</v>
      </c>
      <c r="R3784" s="546" t="s">
        <v>804</v>
      </c>
    </row>
    <row r="3785" spans="1:18" x14ac:dyDescent="0.3">
      <c r="A3785" t="s">
        <v>627</v>
      </c>
      <c r="B3785" s="16">
        <v>45425</v>
      </c>
      <c r="C3785" t="s">
        <v>3</v>
      </c>
      <c r="D3785" t="s">
        <v>153</v>
      </c>
      <c r="E3785">
        <v>135</v>
      </c>
      <c r="F3785">
        <v>44</v>
      </c>
      <c r="G3785">
        <v>5</v>
      </c>
      <c r="H3785">
        <v>0</v>
      </c>
      <c r="I3785">
        <v>18975</v>
      </c>
      <c r="J3785">
        <v>4</v>
      </c>
      <c r="K3785">
        <v>15780</v>
      </c>
      <c r="L3785">
        <v>4</v>
      </c>
      <c r="M3785">
        <v>42</v>
      </c>
      <c r="N3785">
        <v>129</v>
      </c>
      <c r="O3785">
        <f t="shared" si="118"/>
        <v>2024</v>
      </c>
      <c r="P3785">
        <f t="shared" si="119"/>
        <v>5</v>
      </c>
      <c r="Q3785" t="s">
        <v>325</v>
      </c>
      <c r="R3785" s="546" t="s">
        <v>804</v>
      </c>
    </row>
    <row r="3786" spans="1:18" x14ac:dyDescent="0.3">
      <c r="A3786" t="s">
        <v>627</v>
      </c>
      <c r="B3786" s="16">
        <v>45425</v>
      </c>
      <c r="C3786" t="s">
        <v>3</v>
      </c>
      <c r="D3786" t="s">
        <v>152</v>
      </c>
      <c r="E3786">
        <v>2</v>
      </c>
      <c r="F3786">
        <v>1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2</v>
      </c>
      <c r="O3786">
        <f t="shared" si="118"/>
        <v>2024</v>
      </c>
      <c r="P3786">
        <f t="shared" si="119"/>
        <v>5</v>
      </c>
      <c r="Q3786" t="s">
        <v>325</v>
      </c>
      <c r="R3786" s="546" t="s">
        <v>804</v>
      </c>
    </row>
    <row r="3787" spans="1:18" x14ac:dyDescent="0.3">
      <c r="A3787" t="s">
        <v>627</v>
      </c>
      <c r="B3787" s="16">
        <v>45425</v>
      </c>
      <c r="C3787" t="s">
        <v>3</v>
      </c>
      <c r="D3787" t="s">
        <v>150</v>
      </c>
      <c r="E3787">
        <v>3</v>
      </c>
      <c r="F3787">
        <v>2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1</v>
      </c>
      <c r="N3787">
        <v>3</v>
      </c>
      <c r="O3787">
        <f t="shared" si="118"/>
        <v>2024</v>
      </c>
      <c r="P3787">
        <f t="shared" si="119"/>
        <v>5</v>
      </c>
      <c r="Q3787" t="s">
        <v>325</v>
      </c>
      <c r="R3787" s="546" t="s">
        <v>804</v>
      </c>
    </row>
    <row r="3788" spans="1:18" x14ac:dyDescent="0.3">
      <c r="A3788" t="s">
        <v>627</v>
      </c>
      <c r="B3788" s="16">
        <v>45425</v>
      </c>
      <c r="C3788" t="s">
        <v>3</v>
      </c>
      <c r="D3788" t="s">
        <v>149</v>
      </c>
      <c r="E3788">
        <v>15</v>
      </c>
      <c r="F3788">
        <v>7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1</v>
      </c>
      <c r="N3788">
        <v>15</v>
      </c>
      <c r="O3788">
        <f t="shared" si="118"/>
        <v>2024</v>
      </c>
      <c r="P3788">
        <f t="shared" si="119"/>
        <v>5</v>
      </c>
      <c r="Q3788" t="s">
        <v>325</v>
      </c>
      <c r="R3788" s="546" t="s">
        <v>804</v>
      </c>
    </row>
    <row r="3789" spans="1:18" x14ac:dyDescent="0.3">
      <c r="A3789" t="s">
        <v>627</v>
      </c>
      <c r="B3789" s="16">
        <v>45425</v>
      </c>
      <c r="C3789" t="s">
        <v>3</v>
      </c>
      <c r="D3789" t="s">
        <v>251</v>
      </c>
      <c r="E3789">
        <v>353</v>
      </c>
      <c r="F3789">
        <v>130</v>
      </c>
      <c r="G3789">
        <v>1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23</v>
      </c>
      <c r="N3789">
        <v>337</v>
      </c>
      <c r="O3789">
        <f t="shared" si="118"/>
        <v>2024</v>
      </c>
      <c r="P3789">
        <f t="shared" si="119"/>
        <v>5</v>
      </c>
      <c r="Q3789" t="s">
        <v>325</v>
      </c>
      <c r="R3789" s="546" t="s">
        <v>804</v>
      </c>
    </row>
    <row r="3790" spans="1:18" x14ac:dyDescent="0.3">
      <c r="A3790" t="s">
        <v>627</v>
      </c>
      <c r="B3790" s="16">
        <v>45425</v>
      </c>
      <c r="C3790" t="s">
        <v>3</v>
      </c>
      <c r="D3790" t="s">
        <v>143</v>
      </c>
      <c r="E3790">
        <v>5</v>
      </c>
      <c r="F3790">
        <v>5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5</v>
      </c>
      <c r="O3790">
        <f t="shared" si="118"/>
        <v>2024</v>
      </c>
      <c r="P3790">
        <f t="shared" si="119"/>
        <v>5</v>
      </c>
      <c r="Q3790" t="s">
        <v>325</v>
      </c>
      <c r="R3790" s="546" t="s">
        <v>804</v>
      </c>
    </row>
    <row r="3791" spans="1:18" x14ac:dyDescent="0.3">
      <c r="A3791" t="s">
        <v>627</v>
      </c>
      <c r="B3791" s="16">
        <v>45425</v>
      </c>
      <c r="C3791" t="s">
        <v>3</v>
      </c>
      <c r="D3791" t="s">
        <v>142</v>
      </c>
      <c r="E3791">
        <v>5</v>
      </c>
      <c r="F3791">
        <v>4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5</v>
      </c>
      <c r="O3791">
        <f t="shared" si="118"/>
        <v>2024</v>
      </c>
      <c r="P3791">
        <f t="shared" si="119"/>
        <v>5</v>
      </c>
      <c r="Q3791" t="s">
        <v>325</v>
      </c>
      <c r="R3791" s="546" t="s">
        <v>804</v>
      </c>
    </row>
    <row r="3792" spans="1:18" x14ac:dyDescent="0.3">
      <c r="A3792" t="s">
        <v>627</v>
      </c>
      <c r="B3792" s="16">
        <v>45425</v>
      </c>
      <c r="C3792" t="s">
        <v>3</v>
      </c>
      <c r="D3792" t="s">
        <v>140</v>
      </c>
      <c r="E3792">
        <v>4</v>
      </c>
      <c r="F3792">
        <v>3</v>
      </c>
      <c r="G3792">
        <v>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2</v>
      </c>
      <c r="N3792">
        <v>4</v>
      </c>
      <c r="O3792">
        <f t="shared" si="118"/>
        <v>2024</v>
      </c>
      <c r="P3792">
        <f t="shared" si="119"/>
        <v>5</v>
      </c>
      <c r="Q3792" t="s">
        <v>325</v>
      </c>
      <c r="R3792" s="546" t="s">
        <v>804</v>
      </c>
    </row>
    <row r="3793" spans="1:18" x14ac:dyDescent="0.3">
      <c r="A3793" t="s">
        <v>627</v>
      </c>
      <c r="B3793" s="16">
        <v>45425</v>
      </c>
      <c r="C3793" t="s">
        <v>3</v>
      </c>
      <c r="D3793" t="s">
        <v>139</v>
      </c>
      <c r="E3793">
        <v>303</v>
      </c>
      <c r="F3793">
        <v>196</v>
      </c>
      <c r="G3793">
        <v>10</v>
      </c>
      <c r="H3793">
        <v>3</v>
      </c>
      <c r="I3793">
        <v>3195</v>
      </c>
      <c r="J3793">
        <v>1</v>
      </c>
      <c r="K3793">
        <v>3195</v>
      </c>
      <c r="L3793">
        <v>1</v>
      </c>
      <c r="M3793">
        <v>189</v>
      </c>
      <c r="N3793">
        <v>174</v>
      </c>
      <c r="O3793">
        <f t="shared" si="118"/>
        <v>2024</v>
      </c>
      <c r="P3793">
        <f t="shared" si="119"/>
        <v>5</v>
      </c>
      <c r="Q3793" t="s">
        <v>325</v>
      </c>
      <c r="R3793" s="546" t="s">
        <v>804</v>
      </c>
    </row>
    <row r="3794" spans="1:18" x14ac:dyDescent="0.3">
      <c r="A3794" t="s">
        <v>627</v>
      </c>
      <c r="B3794" s="16">
        <v>45425</v>
      </c>
      <c r="C3794" t="s">
        <v>3</v>
      </c>
      <c r="D3794" t="s">
        <v>138</v>
      </c>
      <c r="E3794">
        <v>1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1</v>
      </c>
      <c r="O3794">
        <f t="shared" si="118"/>
        <v>2024</v>
      </c>
      <c r="P3794">
        <f t="shared" si="119"/>
        <v>5</v>
      </c>
      <c r="Q3794" t="s">
        <v>325</v>
      </c>
      <c r="R3794" s="546" t="s">
        <v>804</v>
      </c>
    </row>
    <row r="3795" spans="1:18" x14ac:dyDescent="0.3">
      <c r="A3795" t="s">
        <v>627</v>
      </c>
      <c r="B3795" s="16">
        <v>45425</v>
      </c>
      <c r="C3795" t="s">
        <v>3</v>
      </c>
      <c r="D3795" t="s">
        <v>137</v>
      </c>
      <c r="E3795">
        <v>5</v>
      </c>
      <c r="F3795">
        <v>3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5</v>
      </c>
      <c r="O3795">
        <f t="shared" si="118"/>
        <v>2024</v>
      </c>
      <c r="P3795">
        <f t="shared" si="119"/>
        <v>5</v>
      </c>
      <c r="Q3795" t="s">
        <v>325</v>
      </c>
      <c r="R3795" s="546" t="s">
        <v>804</v>
      </c>
    </row>
    <row r="3796" spans="1:18" x14ac:dyDescent="0.3">
      <c r="A3796" t="s">
        <v>627</v>
      </c>
      <c r="B3796" s="16">
        <v>45425</v>
      </c>
      <c r="C3796" t="s">
        <v>3</v>
      </c>
      <c r="D3796" t="s">
        <v>133</v>
      </c>
      <c r="E3796">
        <v>9</v>
      </c>
      <c r="F3796">
        <v>4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3</v>
      </c>
      <c r="N3796">
        <v>7</v>
      </c>
      <c r="O3796">
        <f t="shared" si="118"/>
        <v>2024</v>
      </c>
      <c r="P3796">
        <f t="shared" si="119"/>
        <v>5</v>
      </c>
      <c r="Q3796" t="s">
        <v>325</v>
      </c>
      <c r="R3796" s="546" t="s">
        <v>804</v>
      </c>
    </row>
    <row r="3797" spans="1:18" x14ac:dyDescent="0.3">
      <c r="A3797" t="s">
        <v>627</v>
      </c>
      <c r="B3797" s="16">
        <v>45425</v>
      </c>
      <c r="C3797" t="s">
        <v>3</v>
      </c>
      <c r="D3797" t="s">
        <v>132</v>
      </c>
      <c r="E3797">
        <v>2</v>
      </c>
      <c r="F3797">
        <v>2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2</v>
      </c>
      <c r="O3797">
        <f t="shared" si="118"/>
        <v>2024</v>
      </c>
      <c r="P3797">
        <f t="shared" si="119"/>
        <v>5</v>
      </c>
      <c r="Q3797" t="s">
        <v>325</v>
      </c>
      <c r="R3797" s="546" t="s">
        <v>804</v>
      </c>
    </row>
    <row r="3798" spans="1:18" x14ac:dyDescent="0.3">
      <c r="A3798" t="s">
        <v>627</v>
      </c>
      <c r="B3798" s="16">
        <v>45425</v>
      </c>
      <c r="C3798" t="s">
        <v>3</v>
      </c>
      <c r="D3798" t="s">
        <v>130</v>
      </c>
      <c r="E3798">
        <v>28</v>
      </c>
      <c r="F3798">
        <v>10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10</v>
      </c>
      <c r="N3798">
        <v>24</v>
      </c>
      <c r="O3798">
        <f t="shared" si="118"/>
        <v>2024</v>
      </c>
      <c r="P3798">
        <f t="shared" si="119"/>
        <v>5</v>
      </c>
      <c r="Q3798" t="s">
        <v>325</v>
      </c>
      <c r="R3798" s="546" t="s">
        <v>804</v>
      </c>
    </row>
    <row r="3799" spans="1:18" x14ac:dyDescent="0.3">
      <c r="A3799" t="s">
        <v>627</v>
      </c>
      <c r="B3799" s="16">
        <v>45425</v>
      </c>
      <c r="C3799" t="s">
        <v>3</v>
      </c>
      <c r="D3799" t="s">
        <v>129</v>
      </c>
      <c r="E3799">
        <v>1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1</v>
      </c>
      <c r="O3799">
        <f t="shared" si="118"/>
        <v>2024</v>
      </c>
      <c r="P3799">
        <f t="shared" si="119"/>
        <v>5</v>
      </c>
      <c r="Q3799" t="s">
        <v>325</v>
      </c>
      <c r="R3799" s="546" t="s">
        <v>804</v>
      </c>
    </row>
    <row r="3800" spans="1:18" x14ac:dyDescent="0.3">
      <c r="A3800" t="s">
        <v>627</v>
      </c>
      <c r="B3800" s="16">
        <v>45425</v>
      </c>
      <c r="C3800" t="s">
        <v>3</v>
      </c>
      <c r="D3800" t="s">
        <v>128</v>
      </c>
      <c r="E3800">
        <v>425</v>
      </c>
      <c r="F3800">
        <v>366</v>
      </c>
      <c r="G3800">
        <v>3</v>
      </c>
      <c r="H3800">
        <v>6</v>
      </c>
      <c r="I3800">
        <v>0</v>
      </c>
      <c r="J3800">
        <v>0</v>
      </c>
      <c r="K3800">
        <v>0</v>
      </c>
      <c r="L3800">
        <v>0</v>
      </c>
      <c r="M3800">
        <v>189</v>
      </c>
      <c r="N3800">
        <v>332</v>
      </c>
      <c r="O3800">
        <f t="shared" si="118"/>
        <v>2024</v>
      </c>
      <c r="P3800">
        <f t="shared" si="119"/>
        <v>5</v>
      </c>
      <c r="Q3800" t="s">
        <v>325</v>
      </c>
      <c r="R3800" s="546" t="s">
        <v>804</v>
      </c>
    </row>
    <row r="3801" spans="1:18" x14ac:dyDescent="0.3">
      <c r="A3801" t="s">
        <v>627</v>
      </c>
      <c r="B3801" s="16">
        <v>45425</v>
      </c>
      <c r="C3801" t="s">
        <v>3</v>
      </c>
      <c r="D3801" t="s">
        <v>127</v>
      </c>
      <c r="E3801">
        <v>614</v>
      </c>
      <c r="F3801">
        <v>406</v>
      </c>
      <c r="G3801">
        <v>14</v>
      </c>
      <c r="H3801">
        <v>7</v>
      </c>
      <c r="I3801">
        <v>11485</v>
      </c>
      <c r="J3801">
        <v>3</v>
      </c>
      <c r="K3801">
        <v>5195</v>
      </c>
      <c r="L3801">
        <v>1</v>
      </c>
      <c r="M3801">
        <v>74</v>
      </c>
      <c r="N3801">
        <v>572</v>
      </c>
      <c r="O3801">
        <f t="shared" si="118"/>
        <v>2024</v>
      </c>
      <c r="P3801">
        <f t="shared" si="119"/>
        <v>5</v>
      </c>
      <c r="Q3801" t="s">
        <v>325</v>
      </c>
      <c r="R3801" s="546" t="s">
        <v>804</v>
      </c>
    </row>
    <row r="3802" spans="1:18" x14ac:dyDescent="0.3">
      <c r="A3802" t="s">
        <v>627</v>
      </c>
      <c r="B3802" s="16">
        <v>45425</v>
      </c>
      <c r="C3802" t="s">
        <v>3</v>
      </c>
      <c r="D3802" t="s">
        <v>126</v>
      </c>
      <c r="E3802">
        <v>68</v>
      </c>
      <c r="F3802">
        <v>50</v>
      </c>
      <c r="G3802">
        <v>4</v>
      </c>
      <c r="H3802">
        <v>0</v>
      </c>
      <c r="I3802">
        <v>5500</v>
      </c>
      <c r="J3802">
        <v>1</v>
      </c>
      <c r="K3802">
        <v>0</v>
      </c>
      <c r="L3802">
        <v>0</v>
      </c>
      <c r="M3802">
        <v>18</v>
      </c>
      <c r="N3802">
        <v>64</v>
      </c>
      <c r="O3802">
        <f t="shared" si="118"/>
        <v>2024</v>
      </c>
      <c r="P3802">
        <f t="shared" si="119"/>
        <v>5</v>
      </c>
      <c r="Q3802" t="s">
        <v>325</v>
      </c>
      <c r="R3802" s="546" t="s">
        <v>804</v>
      </c>
    </row>
    <row r="3803" spans="1:18" x14ac:dyDescent="0.3">
      <c r="A3803" t="s">
        <v>627</v>
      </c>
      <c r="B3803" s="16">
        <v>45425</v>
      </c>
      <c r="C3803" t="s">
        <v>3</v>
      </c>
      <c r="D3803" t="s">
        <v>125</v>
      </c>
      <c r="E3803">
        <v>2</v>
      </c>
      <c r="F3803">
        <v>1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1</v>
      </c>
      <c r="N3803">
        <v>2</v>
      </c>
      <c r="O3803">
        <f t="shared" si="118"/>
        <v>2024</v>
      </c>
      <c r="P3803">
        <f t="shared" si="119"/>
        <v>5</v>
      </c>
      <c r="Q3803" t="s">
        <v>325</v>
      </c>
      <c r="R3803" s="546" t="s">
        <v>804</v>
      </c>
    </row>
    <row r="3804" spans="1:18" x14ac:dyDescent="0.3">
      <c r="A3804" t="s">
        <v>627</v>
      </c>
      <c r="B3804" s="16">
        <v>45425</v>
      </c>
      <c r="C3804" t="s">
        <v>3</v>
      </c>
      <c r="D3804" t="s">
        <v>123</v>
      </c>
      <c r="E3804">
        <v>76</v>
      </c>
      <c r="F3804">
        <v>44</v>
      </c>
      <c r="G3804">
        <v>2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24</v>
      </c>
      <c r="N3804">
        <v>67</v>
      </c>
      <c r="O3804">
        <f t="shared" si="118"/>
        <v>2024</v>
      </c>
      <c r="P3804">
        <f t="shared" si="119"/>
        <v>5</v>
      </c>
      <c r="Q3804" t="s">
        <v>325</v>
      </c>
      <c r="R3804" s="546" t="s">
        <v>804</v>
      </c>
    </row>
    <row r="3805" spans="1:18" x14ac:dyDescent="0.3">
      <c r="A3805" t="s">
        <v>627</v>
      </c>
      <c r="B3805" s="16">
        <v>45425</v>
      </c>
      <c r="C3805" t="s">
        <v>3</v>
      </c>
      <c r="D3805" t="s">
        <v>121</v>
      </c>
      <c r="E3805">
        <v>1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1</v>
      </c>
      <c r="N3805">
        <v>0</v>
      </c>
      <c r="O3805">
        <f t="shared" si="118"/>
        <v>2024</v>
      </c>
      <c r="P3805">
        <f t="shared" si="119"/>
        <v>5</v>
      </c>
      <c r="Q3805" t="s">
        <v>325</v>
      </c>
      <c r="R3805" s="546" t="s">
        <v>804</v>
      </c>
    </row>
    <row r="3806" spans="1:18" x14ac:dyDescent="0.3">
      <c r="A3806" t="s">
        <v>627</v>
      </c>
      <c r="B3806" s="16">
        <v>45425</v>
      </c>
      <c r="C3806" t="s">
        <v>3</v>
      </c>
      <c r="D3806" t="s">
        <v>120</v>
      </c>
      <c r="E3806">
        <v>327</v>
      </c>
      <c r="F3806">
        <v>228</v>
      </c>
      <c r="G3806">
        <v>6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44</v>
      </c>
      <c r="N3806">
        <v>321</v>
      </c>
      <c r="O3806">
        <f t="shared" si="118"/>
        <v>2024</v>
      </c>
      <c r="P3806">
        <f t="shared" si="119"/>
        <v>5</v>
      </c>
      <c r="Q3806" t="s">
        <v>325</v>
      </c>
      <c r="R3806" s="546" t="s">
        <v>804</v>
      </c>
    </row>
    <row r="3807" spans="1:18" x14ac:dyDescent="0.3">
      <c r="A3807" t="s">
        <v>627</v>
      </c>
      <c r="B3807" s="16">
        <v>45425</v>
      </c>
      <c r="C3807" t="s">
        <v>3</v>
      </c>
      <c r="D3807" t="s">
        <v>119</v>
      </c>
      <c r="E3807">
        <v>117</v>
      </c>
      <c r="F3807">
        <v>58</v>
      </c>
      <c r="G3807">
        <v>7</v>
      </c>
      <c r="H3807">
        <v>3</v>
      </c>
      <c r="I3807">
        <v>2895</v>
      </c>
      <c r="J3807">
        <v>1</v>
      </c>
      <c r="K3807">
        <v>2895</v>
      </c>
      <c r="L3807">
        <v>1</v>
      </c>
      <c r="M3807">
        <v>20</v>
      </c>
      <c r="N3807">
        <v>111</v>
      </c>
      <c r="O3807">
        <f t="shared" si="118"/>
        <v>2024</v>
      </c>
      <c r="P3807">
        <f t="shared" si="119"/>
        <v>5</v>
      </c>
      <c r="Q3807" t="s">
        <v>325</v>
      </c>
      <c r="R3807" s="546" t="s">
        <v>804</v>
      </c>
    </row>
    <row r="3808" spans="1:18" x14ac:dyDescent="0.3">
      <c r="A3808" t="s">
        <v>627</v>
      </c>
      <c r="B3808" s="16">
        <v>45425</v>
      </c>
      <c r="C3808" t="s">
        <v>3</v>
      </c>
      <c r="D3808" t="s">
        <v>118</v>
      </c>
      <c r="E3808">
        <v>1</v>
      </c>
      <c r="F3808">
        <v>1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1</v>
      </c>
      <c r="O3808">
        <f t="shared" si="118"/>
        <v>2024</v>
      </c>
      <c r="P3808">
        <f t="shared" si="119"/>
        <v>5</v>
      </c>
      <c r="Q3808" t="s">
        <v>325</v>
      </c>
      <c r="R3808" s="546" t="s">
        <v>804</v>
      </c>
    </row>
    <row r="3809" spans="1:18" x14ac:dyDescent="0.3">
      <c r="A3809" t="s">
        <v>627</v>
      </c>
      <c r="B3809" s="16">
        <v>45425</v>
      </c>
      <c r="C3809" t="s">
        <v>3</v>
      </c>
      <c r="D3809" t="s">
        <v>115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1</v>
      </c>
      <c r="O3809">
        <f t="shared" si="118"/>
        <v>2024</v>
      </c>
      <c r="P3809">
        <f t="shared" si="119"/>
        <v>5</v>
      </c>
      <c r="Q3809" t="s">
        <v>325</v>
      </c>
      <c r="R3809" s="546" t="s">
        <v>804</v>
      </c>
    </row>
    <row r="3810" spans="1:18" x14ac:dyDescent="0.3">
      <c r="A3810" t="s">
        <v>627</v>
      </c>
      <c r="B3810" s="16">
        <v>45425</v>
      </c>
      <c r="C3810" t="s">
        <v>3</v>
      </c>
      <c r="D3810" t="s">
        <v>113</v>
      </c>
      <c r="E3810">
        <v>72</v>
      </c>
      <c r="F3810">
        <v>44</v>
      </c>
      <c r="G3810">
        <v>2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56</v>
      </c>
      <c r="N3810">
        <v>35</v>
      </c>
      <c r="O3810">
        <f t="shared" si="118"/>
        <v>2024</v>
      </c>
      <c r="P3810">
        <f t="shared" si="119"/>
        <v>5</v>
      </c>
      <c r="Q3810" t="s">
        <v>325</v>
      </c>
      <c r="R3810" s="546" t="s">
        <v>804</v>
      </c>
    </row>
    <row r="3811" spans="1:18" x14ac:dyDescent="0.3">
      <c r="A3811" t="s">
        <v>627</v>
      </c>
      <c r="B3811" s="16">
        <v>45425</v>
      </c>
      <c r="C3811" t="s">
        <v>3</v>
      </c>
      <c r="D3811" t="s">
        <v>112</v>
      </c>
      <c r="E3811">
        <v>3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3</v>
      </c>
      <c r="O3811">
        <f t="shared" si="118"/>
        <v>2024</v>
      </c>
      <c r="P3811">
        <f t="shared" si="119"/>
        <v>5</v>
      </c>
      <c r="Q3811" t="s">
        <v>325</v>
      </c>
      <c r="R3811" s="546" t="s">
        <v>804</v>
      </c>
    </row>
    <row r="3812" spans="1:18" x14ac:dyDescent="0.3">
      <c r="A3812" t="s">
        <v>627</v>
      </c>
      <c r="B3812" s="16">
        <v>45424</v>
      </c>
      <c r="C3812" t="s">
        <v>2</v>
      </c>
      <c r="D3812" t="s">
        <v>4</v>
      </c>
      <c r="E3812">
        <v>312</v>
      </c>
      <c r="F3812">
        <v>152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13</v>
      </c>
      <c r="N3812">
        <v>305</v>
      </c>
      <c r="O3812">
        <f t="shared" si="118"/>
        <v>2024</v>
      </c>
      <c r="P3812">
        <f t="shared" si="119"/>
        <v>5</v>
      </c>
      <c r="Q3812" t="s">
        <v>325</v>
      </c>
      <c r="R3812" s="546" t="s">
        <v>804</v>
      </c>
    </row>
    <row r="3813" spans="1:18" x14ac:dyDescent="0.3">
      <c r="A3813" t="s">
        <v>627</v>
      </c>
      <c r="B3813" s="16">
        <v>45424</v>
      </c>
      <c r="C3813" t="s">
        <v>2</v>
      </c>
      <c r="D3813" t="s">
        <v>57</v>
      </c>
      <c r="E3813">
        <v>17053</v>
      </c>
      <c r="F3813">
        <v>12301</v>
      </c>
      <c r="G3813">
        <v>87</v>
      </c>
      <c r="H3813">
        <v>51</v>
      </c>
      <c r="I3813">
        <v>40500</v>
      </c>
      <c r="J3813">
        <v>11</v>
      </c>
      <c r="K3813">
        <v>19930</v>
      </c>
      <c r="L3813">
        <v>5</v>
      </c>
      <c r="M3813">
        <v>667</v>
      </c>
      <c r="N3813">
        <v>16412</v>
      </c>
      <c r="O3813">
        <f t="shared" si="118"/>
        <v>2024</v>
      </c>
      <c r="P3813">
        <f t="shared" si="119"/>
        <v>5</v>
      </c>
      <c r="Q3813" t="s">
        <v>325</v>
      </c>
      <c r="R3813" s="546" t="s">
        <v>804</v>
      </c>
    </row>
    <row r="3814" spans="1:18" x14ac:dyDescent="0.3">
      <c r="A3814" t="s">
        <v>627</v>
      </c>
      <c r="B3814" s="16">
        <v>45424</v>
      </c>
      <c r="C3814" t="s">
        <v>2</v>
      </c>
      <c r="D3814" t="s">
        <v>52</v>
      </c>
      <c r="E3814">
        <v>1149</v>
      </c>
      <c r="F3814">
        <v>1032</v>
      </c>
      <c r="G3814">
        <v>21</v>
      </c>
      <c r="H3814">
        <v>8</v>
      </c>
      <c r="I3814">
        <v>0</v>
      </c>
      <c r="J3814">
        <v>0</v>
      </c>
      <c r="K3814">
        <v>0</v>
      </c>
      <c r="L3814">
        <v>0</v>
      </c>
      <c r="M3814">
        <v>1149</v>
      </c>
      <c r="N3814">
        <v>624</v>
      </c>
      <c r="O3814">
        <f t="shared" si="118"/>
        <v>2024</v>
      </c>
      <c r="P3814">
        <f t="shared" si="119"/>
        <v>5</v>
      </c>
      <c r="Q3814" t="s">
        <v>325</v>
      </c>
      <c r="R3814" s="546" t="s">
        <v>804</v>
      </c>
    </row>
    <row r="3815" spans="1:18" x14ac:dyDescent="0.3">
      <c r="A3815" t="s">
        <v>627</v>
      </c>
      <c r="B3815" s="16">
        <v>45424</v>
      </c>
      <c r="C3815" t="s">
        <v>2</v>
      </c>
      <c r="D3815" t="s">
        <v>55</v>
      </c>
      <c r="E3815">
        <v>17</v>
      </c>
      <c r="F3815">
        <v>8</v>
      </c>
      <c r="G3815">
        <v>0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1</v>
      </c>
      <c r="N3815">
        <v>11</v>
      </c>
      <c r="O3815">
        <f t="shared" si="118"/>
        <v>2024</v>
      </c>
      <c r="P3815">
        <f t="shared" si="119"/>
        <v>5</v>
      </c>
      <c r="Q3815" t="s">
        <v>325</v>
      </c>
      <c r="R3815" s="546" t="s">
        <v>804</v>
      </c>
    </row>
    <row r="3816" spans="1:18" x14ac:dyDescent="0.3">
      <c r="A3816" t="s">
        <v>627</v>
      </c>
      <c r="B3816" s="16">
        <v>45424</v>
      </c>
      <c r="C3816" t="s">
        <v>3</v>
      </c>
      <c r="D3816" t="s">
        <v>155</v>
      </c>
      <c r="E3816">
        <v>6</v>
      </c>
      <c r="F3816">
        <v>5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6</v>
      </c>
      <c r="O3816">
        <f t="shared" si="118"/>
        <v>2024</v>
      </c>
      <c r="P3816">
        <f t="shared" si="119"/>
        <v>5</v>
      </c>
      <c r="Q3816" t="s">
        <v>325</v>
      </c>
      <c r="R3816" s="546" t="s">
        <v>804</v>
      </c>
    </row>
    <row r="3817" spans="1:18" x14ac:dyDescent="0.3">
      <c r="A3817" t="s">
        <v>627</v>
      </c>
      <c r="B3817" s="16">
        <v>45424</v>
      </c>
      <c r="C3817" t="s">
        <v>3</v>
      </c>
      <c r="D3817" t="s">
        <v>154</v>
      </c>
      <c r="E3817">
        <v>6</v>
      </c>
      <c r="F3817">
        <v>3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1</v>
      </c>
      <c r="O3817">
        <f t="shared" si="118"/>
        <v>2024</v>
      </c>
      <c r="P3817">
        <f t="shared" si="119"/>
        <v>5</v>
      </c>
      <c r="Q3817" t="s">
        <v>325</v>
      </c>
      <c r="R3817" s="546" t="s">
        <v>804</v>
      </c>
    </row>
    <row r="3818" spans="1:18" x14ac:dyDescent="0.3">
      <c r="A3818" t="s">
        <v>627</v>
      </c>
      <c r="B3818" s="16">
        <v>45424</v>
      </c>
      <c r="C3818" t="s">
        <v>3</v>
      </c>
      <c r="D3818" t="s">
        <v>153</v>
      </c>
      <c r="E3818">
        <v>131</v>
      </c>
      <c r="F3818">
        <v>53</v>
      </c>
      <c r="G3818">
        <v>8</v>
      </c>
      <c r="H3818">
        <v>1</v>
      </c>
      <c r="I3818">
        <v>17825</v>
      </c>
      <c r="J3818">
        <v>5</v>
      </c>
      <c r="K3818">
        <v>14630</v>
      </c>
      <c r="L3818">
        <v>4</v>
      </c>
      <c r="M3818">
        <v>42</v>
      </c>
      <c r="N3818">
        <v>120</v>
      </c>
      <c r="O3818">
        <f t="shared" si="118"/>
        <v>2024</v>
      </c>
      <c r="P3818">
        <f t="shared" si="119"/>
        <v>5</v>
      </c>
      <c r="Q3818" t="s">
        <v>325</v>
      </c>
      <c r="R3818" s="546" t="s">
        <v>804</v>
      </c>
    </row>
    <row r="3819" spans="1:18" x14ac:dyDescent="0.3">
      <c r="A3819" t="s">
        <v>627</v>
      </c>
      <c r="B3819" s="16">
        <v>45424</v>
      </c>
      <c r="C3819" t="s">
        <v>3</v>
      </c>
      <c r="D3819" t="s">
        <v>152</v>
      </c>
      <c r="E3819">
        <v>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3</v>
      </c>
      <c r="O3819">
        <f t="shared" si="118"/>
        <v>2024</v>
      </c>
      <c r="P3819">
        <f t="shared" si="119"/>
        <v>5</v>
      </c>
      <c r="Q3819" t="s">
        <v>325</v>
      </c>
      <c r="R3819" s="546" t="s">
        <v>804</v>
      </c>
    </row>
    <row r="3820" spans="1:18" x14ac:dyDescent="0.3">
      <c r="A3820" t="s">
        <v>627</v>
      </c>
      <c r="B3820" s="16">
        <v>45424</v>
      </c>
      <c r="C3820" t="s">
        <v>3</v>
      </c>
      <c r="D3820" t="s">
        <v>150</v>
      </c>
      <c r="E3820">
        <v>2</v>
      </c>
      <c r="F3820">
        <v>2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2</v>
      </c>
      <c r="O3820">
        <f t="shared" si="118"/>
        <v>2024</v>
      </c>
      <c r="P3820">
        <f t="shared" si="119"/>
        <v>5</v>
      </c>
      <c r="Q3820" t="s">
        <v>325</v>
      </c>
      <c r="R3820" s="546" t="s">
        <v>804</v>
      </c>
    </row>
    <row r="3821" spans="1:18" x14ac:dyDescent="0.3">
      <c r="A3821" t="s">
        <v>627</v>
      </c>
      <c r="B3821" s="16">
        <v>45424</v>
      </c>
      <c r="C3821" t="s">
        <v>3</v>
      </c>
      <c r="D3821" t="s">
        <v>149</v>
      </c>
      <c r="E3821">
        <v>13</v>
      </c>
      <c r="F3821">
        <v>9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1</v>
      </c>
      <c r="N3821">
        <v>12</v>
      </c>
      <c r="O3821">
        <f t="shared" si="118"/>
        <v>2024</v>
      </c>
      <c r="P3821">
        <f t="shared" si="119"/>
        <v>5</v>
      </c>
      <c r="Q3821" t="s">
        <v>325</v>
      </c>
      <c r="R3821" s="546" t="s">
        <v>804</v>
      </c>
    </row>
    <row r="3822" spans="1:18" x14ac:dyDescent="0.3">
      <c r="A3822" t="s">
        <v>627</v>
      </c>
      <c r="B3822" s="16">
        <v>45424</v>
      </c>
      <c r="C3822" t="s">
        <v>3</v>
      </c>
      <c r="D3822" t="s">
        <v>148</v>
      </c>
      <c r="E3822">
        <v>2</v>
      </c>
      <c r="F3822">
        <v>2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2</v>
      </c>
      <c r="N3822">
        <v>0</v>
      </c>
      <c r="O3822">
        <f t="shared" si="118"/>
        <v>2024</v>
      </c>
      <c r="P3822">
        <f t="shared" si="119"/>
        <v>5</v>
      </c>
      <c r="Q3822" t="s">
        <v>325</v>
      </c>
      <c r="R3822" s="546" t="s">
        <v>804</v>
      </c>
    </row>
    <row r="3823" spans="1:18" x14ac:dyDescent="0.3">
      <c r="A3823" t="s">
        <v>627</v>
      </c>
      <c r="B3823" s="16">
        <v>45424</v>
      </c>
      <c r="C3823" t="s">
        <v>3</v>
      </c>
      <c r="D3823" t="s">
        <v>251</v>
      </c>
      <c r="E3823">
        <v>470</v>
      </c>
      <c r="F3823">
        <v>178</v>
      </c>
      <c r="G3823">
        <v>3</v>
      </c>
      <c r="H3823">
        <v>1</v>
      </c>
      <c r="I3823">
        <v>0</v>
      </c>
      <c r="J3823">
        <v>0</v>
      </c>
      <c r="K3823">
        <v>0</v>
      </c>
      <c r="L3823">
        <v>0</v>
      </c>
      <c r="M3823">
        <v>30</v>
      </c>
      <c r="N3823">
        <v>443</v>
      </c>
      <c r="O3823">
        <f t="shared" ref="O3823:O3844" si="120">YEAR(B3823)</f>
        <v>2024</v>
      </c>
      <c r="P3823">
        <f t="shared" ref="P3823:P3844" si="121">MONTH(B3823)</f>
        <v>5</v>
      </c>
      <c r="Q3823" t="s">
        <v>325</v>
      </c>
      <c r="R3823" s="546" t="s">
        <v>804</v>
      </c>
    </row>
    <row r="3824" spans="1:18" x14ac:dyDescent="0.3">
      <c r="A3824" t="s">
        <v>627</v>
      </c>
      <c r="B3824" s="16">
        <v>45424</v>
      </c>
      <c r="C3824" t="s">
        <v>3</v>
      </c>
      <c r="D3824" t="s">
        <v>143</v>
      </c>
      <c r="E3824">
        <v>7</v>
      </c>
      <c r="F3824">
        <v>7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</v>
      </c>
      <c r="N3824">
        <v>7</v>
      </c>
      <c r="O3824">
        <f t="shared" si="120"/>
        <v>2024</v>
      </c>
      <c r="P3824">
        <f t="shared" si="121"/>
        <v>5</v>
      </c>
      <c r="Q3824" t="s">
        <v>325</v>
      </c>
      <c r="R3824" s="546" t="s">
        <v>804</v>
      </c>
    </row>
    <row r="3825" spans="1:18" x14ac:dyDescent="0.3">
      <c r="A3825" t="s">
        <v>627</v>
      </c>
      <c r="B3825" s="16">
        <v>45424</v>
      </c>
      <c r="C3825" t="s">
        <v>3</v>
      </c>
      <c r="D3825" t="s">
        <v>142</v>
      </c>
      <c r="E3825">
        <v>3</v>
      </c>
      <c r="F3825">
        <v>1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3</v>
      </c>
      <c r="O3825">
        <f t="shared" si="120"/>
        <v>2024</v>
      </c>
      <c r="P3825">
        <f t="shared" si="121"/>
        <v>5</v>
      </c>
      <c r="Q3825" t="s">
        <v>325</v>
      </c>
      <c r="R3825" s="546" t="s">
        <v>804</v>
      </c>
    </row>
    <row r="3826" spans="1:18" x14ac:dyDescent="0.3">
      <c r="A3826" t="s">
        <v>627</v>
      </c>
      <c r="B3826" s="16">
        <v>45424</v>
      </c>
      <c r="C3826" t="s">
        <v>3</v>
      </c>
      <c r="D3826" t="s">
        <v>141</v>
      </c>
      <c r="E3826">
        <v>3</v>
      </c>
      <c r="F3826">
        <v>3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3</v>
      </c>
      <c r="O3826">
        <f t="shared" si="120"/>
        <v>2024</v>
      </c>
      <c r="P3826">
        <f t="shared" si="121"/>
        <v>5</v>
      </c>
      <c r="Q3826" t="s">
        <v>325</v>
      </c>
      <c r="R3826" s="546" t="s">
        <v>804</v>
      </c>
    </row>
    <row r="3827" spans="1:18" x14ac:dyDescent="0.3">
      <c r="A3827" t="s">
        <v>627</v>
      </c>
      <c r="B3827" s="16">
        <v>45424</v>
      </c>
      <c r="C3827" t="s">
        <v>3</v>
      </c>
      <c r="D3827" t="s">
        <v>140</v>
      </c>
      <c r="E3827">
        <v>5</v>
      </c>
      <c r="F3827">
        <v>4</v>
      </c>
      <c r="G3827">
        <v>0</v>
      </c>
      <c r="H3827">
        <v>1</v>
      </c>
      <c r="I3827">
        <v>0</v>
      </c>
      <c r="J3827">
        <v>0</v>
      </c>
      <c r="K3827">
        <v>0</v>
      </c>
      <c r="L3827">
        <v>0</v>
      </c>
      <c r="M3827">
        <v>1</v>
      </c>
      <c r="N3827">
        <v>4</v>
      </c>
      <c r="O3827">
        <f t="shared" si="120"/>
        <v>2024</v>
      </c>
      <c r="P3827">
        <f t="shared" si="121"/>
        <v>5</v>
      </c>
      <c r="Q3827" t="s">
        <v>325</v>
      </c>
      <c r="R3827" s="546" t="s">
        <v>804</v>
      </c>
    </row>
    <row r="3828" spans="1:18" x14ac:dyDescent="0.3">
      <c r="A3828" t="s">
        <v>627</v>
      </c>
      <c r="B3828" s="16">
        <v>45424</v>
      </c>
      <c r="C3828" t="s">
        <v>3</v>
      </c>
      <c r="D3828" t="s">
        <v>139</v>
      </c>
      <c r="E3828">
        <v>300</v>
      </c>
      <c r="F3828">
        <v>193</v>
      </c>
      <c r="G3828">
        <v>6</v>
      </c>
      <c r="H3828">
        <v>4</v>
      </c>
      <c r="I3828">
        <v>4995</v>
      </c>
      <c r="J3828">
        <v>1</v>
      </c>
      <c r="K3828">
        <v>4995</v>
      </c>
      <c r="L3828">
        <v>1</v>
      </c>
      <c r="M3828">
        <v>212</v>
      </c>
      <c r="N3828">
        <v>161</v>
      </c>
      <c r="O3828">
        <f t="shared" si="120"/>
        <v>2024</v>
      </c>
      <c r="P3828">
        <f t="shared" si="121"/>
        <v>5</v>
      </c>
      <c r="Q3828" t="s">
        <v>325</v>
      </c>
      <c r="R3828" s="546" t="s">
        <v>804</v>
      </c>
    </row>
    <row r="3829" spans="1:18" x14ac:dyDescent="0.3">
      <c r="A3829" t="s">
        <v>627</v>
      </c>
      <c r="B3829" s="16">
        <v>45424</v>
      </c>
      <c r="C3829" t="s">
        <v>3</v>
      </c>
      <c r="D3829" t="s">
        <v>138</v>
      </c>
      <c r="E3829">
        <v>2</v>
      </c>
      <c r="F3829">
        <v>2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1</v>
      </c>
      <c r="N3829">
        <v>1</v>
      </c>
      <c r="O3829">
        <f t="shared" si="120"/>
        <v>2024</v>
      </c>
      <c r="P3829">
        <f t="shared" si="121"/>
        <v>5</v>
      </c>
      <c r="Q3829" t="s">
        <v>325</v>
      </c>
      <c r="R3829" s="546" t="s">
        <v>804</v>
      </c>
    </row>
    <row r="3830" spans="1:18" x14ac:dyDescent="0.3">
      <c r="A3830" t="s">
        <v>627</v>
      </c>
      <c r="B3830" s="16">
        <v>45424</v>
      </c>
      <c r="C3830" t="s">
        <v>3</v>
      </c>
      <c r="D3830" t="s">
        <v>137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1</v>
      </c>
      <c r="O3830">
        <f t="shared" si="120"/>
        <v>2024</v>
      </c>
      <c r="P3830">
        <f t="shared" si="121"/>
        <v>5</v>
      </c>
      <c r="Q3830" t="s">
        <v>325</v>
      </c>
      <c r="R3830" s="546" t="s">
        <v>804</v>
      </c>
    </row>
    <row r="3831" spans="1:18" x14ac:dyDescent="0.3">
      <c r="A3831" t="s">
        <v>627</v>
      </c>
      <c r="B3831" s="16">
        <v>45424</v>
      </c>
      <c r="C3831" t="s">
        <v>3</v>
      </c>
      <c r="D3831" t="s">
        <v>133</v>
      </c>
      <c r="E3831">
        <v>5</v>
      </c>
      <c r="F3831">
        <v>4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2</v>
      </c>
      <c r="N3831">
        <v>4</v>
      </c>
      <c r="O3831">
        <f t="shared" si="120"/>
        <v>2024</v>
      </c>
      <c r="P3831">
        <f t="shared" si="121"/>
        <v>5</v>
      </c>
      <c r="Q3831" t="s">
        <v>325</v>
      </c>
      <c r="R3831" s="546" t="s">
        <v>804</v>
      </c>
    </row>
    <row r="3832" spans="1:18" x14ac:dyDescent="0.3">
      <c r="A3832" t="s">
        <v>627</v>
      </c>
      <c r="B3832" s="16">
        <v>45424</v>
      </c>
      <c r="C3832" t="s">
        <v>3</v>
      </c>
      <c r="D3832" t="s">
        <v>130</v>
      </c>
      <c r="E3832">
        <v>29</v>
      </c>
      <c r="F3832">
        <v>18</v>
      </c>
      <c r="G3832">
        <v>2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15</v>
      </c>
      <c r="N3832">
        <v>25</v>
      </c>
      <c r="O3832">
        <f t="shared" si="120"/>
        <v>2024</v>
      </c>
      <c r="P3832">
        <f t="shared" si="121"/>
        <v>5</v>
      </c>
      <c r="Q3832" t="s">
        <v>325</v>
      </c>
      <c r="R3832" s="546" t="s">
        <v>804</v>
      </c>
    </row>
    <row r="3833" spans="1:18" x14ac:dyDescent="0.3">
      <c r="A3833" t="s">
        <v>627</v>
      </c>
      <c r="B3833" s="16">
        <v>45424</v>
      </c>
      <c r="C3833" t="s">
        <v>3</v>
      </c>
      <c r="D3833" t="s">
        <v>128</v>
      </c>
      <c r="E3833">
        <v>468</v>
      </c>
      <c r="F3833">
        <v>407</v>
      </c>
      <c r="G3833">
        <v>16</v>
      </c>
      <c r="H3833">
        <v>5</v>
      </c>
      <c r="I3833">
        <v>2795</v>
      </c>
      <c r="J3833">
        <v>1</v>
      </c>
      <c r="K3833">
        <v>2795</v>
      </c>
      <c r="L3833">
        <v>1</v>
      </c>
      <c r="M3833">
        <v>230</v>
      </c>
      <c r="N3833">
        <v>339</v>
      </c>
      <c r="O3833">
        <f t="shared" si="120"/>
        <v>2024</v>
      </c>
      <c r="P3833">
        <f t="shared" si="121"/>
        <v>5</v>
      </c>
      <c r="Q3833" t="s">
        <v>325</v>
      </c>
      <c r="R3833" s="546" t="s">
        <v>804</v>
      </c>
    </row>
    <row r="3834" spans="1:18" x14ac:dyDescent="0.3">
      <c r="A3834" t="s">
        <v>627</v>
      </c>
      <c r="B3834" s="16">
        <v>45424</v>
      </c>
      <c r="C3834" t="s">
        <v>3</v>
      </c>
      <c r="D3834" t="s">
        <v>127</v>
      </c>
      <c r="E3834">
        <v>491</v>
      </c>
      <c r="F3834">
        <v>327</v>
      </c>
      <c r="G3834">
        <v>15</v>
      </c>
      <c r="H3834">
        <v>9</v>
      </c>
      <c r="I3834">
        <v>0</v>
      </c>
      <c r="J3834">
        <v>0</v>
      </c>
      <c r="K3834">
        <v>0</v>
      </c>
      <c r="L3834">
        <v>0</v>
      </c>
      <c r="M3834">
        <v>49</v>
      </c>
      <c r="N3834">
        <v>450</v>
      </c>
      <c r="O3834">
        <f t="shared" si="120"/>
        <v>2024</v>
      </c>
      <c r="P3834">
        <f t="shared" si="121"/>
        <v>5</v>
      </c>
      <c r="Q3834" t="s">
        <v>325</v>
      </c>
      <c r="R3834" s="546" t="s">
        <v>804</v>
      </c>
    </row>
    <row r="3835" spans="1:18" x14ac:dyDescent="0.3">
      <c r="A3835" t="s">
        <v>627</v>
      </c>
      <c r="B3835" s="16">
        <v>45424</v>
      </c>
      <c r="C3835" t="s">
        <v>3</v>
      </c>
      <c r="D3835" t="s">
        <v>126</v>
      </c>
      <c r="E3835">
        <v>53</v>
      </c>
      <c r="F3835">
        <v>37</v>
      </c>
      <c r="G3835">
        <v>3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6</v>
      </c>
      <c r="N3835">
        <v>53</v>
      </c>
      <c r="O3835">
        <f t="shared" si="120"/>
        <v>2024</v>
      </c>
      <c r="P3835">
        <f t="shared" si="121"/>
        <v>5</v>
      </c>
      <c r="Q3835" t="s">
        <v>325</v>
      </c>
      <c r="R3835" s="546" t="s">
        <v>804</v>
      </c>
    </row>
    <row r="3836" spans="1:18" x14ac:dyDescent="0.3">
      <c r="A3836" t="s">
        <v>627</v>
      </c>
      <c r="B3836" s="16">
        <v>45424</v>
      </c>
      <c r="C3836" t="s">
        <v>3</v>
      </c>
      <c r="D3836" t="s">
        <v>125</v>
      </c>
      <c r="E3836">
        <v>1</v>
      </c>
      <c r="F3836">
        <v>1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1</v>
      </c>
      <c r="O3836">
        <f t="shared" si="120"/>
        <v>2024</v>
      </c>
      <c r="P3836">
        <f t="shared" si="121"/>
        <v>5</v>
      </c>
      <c r="Q3836" t="s">
        <v>325</v>
      </c>
      <c r="R3836" s="546" t="s">
        <v>804</v>
      </c>
    </row>
    <row r="3837" spans="1:18" x14ac:dyDescent="0.3">
      <c r="A3837" t="s">
        <v>627</v>
      </c>
      <c r="B3837" s="16">
        <v>45424</v>
      </c>
      <c r="C3837" t="s">
        <v>3</v>
      </c>
      <c r="D3837" t="s">
        <v>123</v>
      </c>
      <c r="E3837">
        <v>77</v>
      </c>
      <c r="F3837">
        <v>45</v>
      </c>
      <c r="G3837">
        <v>4</v>
      </c>
      <c r="H3837">
        <v>2</v>
      </c>
      <c r="I3837">
        <v>4995</v>
      </c>
      <c r="J3837">
        <v>1</v>
      </c>
      <c r="K3837">
        <v>4995</v>
      </c>
      <c r="L3837">
        <v>1</v>
      </c>
      <c r="M3837">
        <v>43</v>
      </c>
      <c r="N3837">
        <v>58</v>
      </c>
      <c r="O3837">
        <f t="shared" si="120"/>
        <v>2024</v>
      </c>
      <c r="P3837">
        <f t="shared" si="121"/>
        <v>5</v>
      </c>
      <c r="Q3837" t="s">
        <v>325</v>
      </c>
      <c r="R3837" s="546" t="s">
        <v>804</v>
      </c>
    </row>
    <row r="3838" spans="1:18" x14ac:dyDescent="0.3">
      <c r="A3838" t="s">
        <v>627</v>
      </c>
      <c r="B3838" s="16">
        <v>45424</v>
      </c>
      <c r="C3838" t="s">
        <v>3</v>
      </c>
      <c r="D3838" t="s">
        <v>121</v>
      </c>
      <c r="E3838">
        <v>2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2</v>
      </c>
      <c r="N3838">
        <v>0</v>
      </c>
      <c r="O3838">
        <f t="shared" si="120"/>
        <v>2024</v>
      </c>
      <c r="P3838">
        <f t="shared" si="121"/>
        <v>5</v>
      </c>
      <c r="Q3838" t="s">
        <v>325</v>
      </c>
      <c r="R3838" s="546" t="s">
        <v>804</v>
      </c>
    </row>
    <row r="3839" spans="1:18" x14ac:dyDescent="0.3">
      <c r="A3839" t="s">
        <v>627</v>
      </c>
      <c r="B3839" s="16">
        <v>45424</v>
      </c>
      <c r="C3839" t="s">
        <v>3</v>
      </c>
      <c r="D3839" t="s">
        <v>120</v>
      </c>
      <c r="E3839">
        <v>271</v>
      </c>
      <c r="F3839">
        <v>185</v>
      </c>
      <c r="G3839">
        <v>1</v>
      </c>
      <c r="H3839">
        <v>0</v>
      </c>
      <c r="I3839">
        <v>6290</v>
      </c>
      <c r="J3839">
        <v>2</v>
      </c>
      <c r="K3839">
        <v>3495</v>
      </c>
      <c r="L3839">
        <v>1</v>
      </c>
      <c r="M3839">
        <v>37</v>
      </c>
      <c r="N3839">
        <v>264</v>
      </c>
      <c r="O3839">
        <f t="shared" si="120"/>
        <v>2024</v>
      </c>
      <c r="P3839">
        <f t="shared" si="121"/>
        <v>5</v>
      </c>
      <c r="Q3839" t="s">
        <v>325</v>
      </c>
      <c r="R3839" s="546" t="s">
        <v>804</v>
      </c>
    </row>
    <row r="3840" spans="1:18" x14ac:dyDescent="0.3">
      <c r="A3840" t="s">
        <v>627</v>
      </c>
      <c r="B3840" s="16">
        <v>45424</v>
      </c>
      <c r="C3840" t="s">
        <v>3</v>
      </c>
      <c r="D3840" t="s">
        <v>119</v>
      </c>
      <c r="E3840">
        <v>121</v>
      </c>
      <c r="F3840">
        <v>56</v>
      </c>
      <c r="G3840">
        <v>4</v>
      </c>
      <c r="H3840">
        <v>2</v>
      </c>
      <c r="I3840">
        <v>8385</v>
      </c>
      <c r="J3840">
        <v>1</v>
      </c>
      <c r="K3840">
        <v>8385</v>
      </c>
      <c r="L3840">
        <v>1</v>
      </c>
      <c r="M3840">
        <v>24</v>
      </c>
      <c r="N3840">
        <v>111</v>
      </c>
      <c r="O3840">
        <f t="shared" si="120"/>
        <v>2024</v>
      </c>
      <c r="P3840">
        <f t="shared" si="121"/>
        <v>5</v>
      </c>
      <c r="Q3840" t="s">
        <v>325</v>
      </c>
      <c r="R3840" s="546" t="s">
        <v>804</v>
      </c>
    </row>
    <row r="3841" spans="1:18" x14ac:dyDescent="0.3">
      <c r="A3841" t="s">
        <v>627</v>
      </c>
      <c r="B3841" s="16">
        <v>45424</v>
      </c>
      <c r="C3841" t="s">
        <v>3</v>
      </c>
      <c r="D3841" t="s">
        <v>115</v>
      </c>
      <c r="E3841">
        <v>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1</v>
      </c>
      <c r="N3841">
        <v>2</v>
      </c>
      <c r="O3841">
        <f t="shared" si="120"/>
        <v>2024</v>
      </c>
      <c r="P3841">
        <f t="shared" si="121"/>
        <v>5</v>
      </c>
      <c r="Q3841" t="s">
        <v>325</v>
      </c>
      <c r="R3841" s="546" t="s">
        <v>804</v>
      </c>
    </row>
    <row r="3842" spans="1:18" x14ac:dyDescent="0.3">
      <c r="A3842" t="s">
        <v>627</v>
      </c>
      <c r="B3842" s="16">
        <v>45424</v>
      </c>
      <c r="C3842" t="s">
        <v>3</v>
      </c>
      <c r="D3842" t="s">
        <v>113</v>
      </c>
      <c r="E3842">
        <v>79</v>
      </c>
      <c r="F3842">
        <v>46</v>
      </c>
      <c r="G3842">
        <v>3</v>
      </c>
      <c r="H3842">
        <v>2</v>
      </c>
      <c r="I3842">
        <v>2495</v>
      </c>
      <c r="J3842">
        <v>1</v>
      </c>
      <c r="K3842">
        <v>0</v>
      </c>
      <c r="L3842">
        <v>0</v>
      </c>
      <c r="M3842">
        <v>69</v>
      </c>
      <c r="N3842">
        <v>41</v>
      </c>
      <c r="O3842">
        <f t="shared" si="120"/>
        <v>2024</v>
      </c>
      <c r="P3842">
        <f t="shared" si="121"/>
        <v>5</v>
      </c>
      <c r="Q3842" t="s">
        <v>325</v>
      </c>
      <c r="R3842" s="546" t="s">
        <v>804</v>
      </c>
    </row>
    <row r="3843" spans="1:18" x14ac:dyDescent="0.3">
      <c r="A3843" t="s">
        <v>627</v>
      </c>
      <c r="B3843" s="16">
        <v>45424</v>
      </c>
      <c r="C3843" t="s">
        <v>3</v>
      </c>
      <c r="D3843" t="s">
        <v>112</v>
      </c>
      <c r="E3843">
        <v>8</v>
      </c>
      <c r="F3843">
        <v>4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8</v>
      </c>
      <c r="O3843">
        <f t="shared" si="120"/>
        <v>2024</v>
      </c>
      <c r="P3843">
        <f t="shared" si="121"/>
        <v>5</v>
      </c>
      <c r="Q3843" t="s">
        <v>325</v>
      </c>
      <c r="R3843" s="546" t="s">
        <v>804</v>
      </c>
    </row>
    <row r="3844" spans="1:18" x14ac:dyDescent="0.3">
      <c r="A3844" t="s">
        <v>110</v>
      </c>
      <c r="B3844" s="16">
        <v>45809</v>
      </c>
      <c r="C3844" t="s">
        <v>2</v>
      </c>
      <c r="D3844" t="s">
        <v>4</v>
      </c>
      <c r="E3844">
        <v>4236</v>
      </c>
      <c r="F3844">
        <v>2222</v>
      </c>
      <c r="G3844">
        <v>79</v>
      </c>
      <c r="H3844">
        <v>15</v>
      </c>
      <c r="I3844">
        <v>191140.19</v>
      </c>
      <c r="J3844">
        <v>45</v>
      </c>
      <c r="K3844">
        <v>174858.19</v>
      </c>
      <c r="L3844">
        <v>43</v>
      </c>
      <c r="M3844">
        <v>61</v>
      </c>
      <c r="N3844">
        <v>4192</v>
      </c>
      <c r="O3844">
        <f t="shared" si="120"/>
        <v>2025</v>
      </c>
      <c r="P3844">
        <f t="shared" si="121"/>
        <v>6</v>
      </c>
      <c r="Q3844" t="str">
        <f>_xlfn.XLOOKUP(B3844,全店核心数据_bymonth!A:A,全店核心数据_bymonth!AN:AN)</f>
        <v>BU26</v>
      </c>
    </row>
    <row r="3845" spans="1:18" x14ac:dyDescent="0.3">
      <c r="A3845" t="s">
        <v>110</v>
      </c>
      <c r="B3845" s="16">
        <v>45809</v>
      </c>
      <c r="C3845" t="s">
        <v>2</v>
      </c>
      <c r="D3845" t="s">
        <v>57</v>
      </c>
      <c r="E3845">
        <v>300769</v>
      </c>
      <c r="F3845">
        <v>284019</v>
      </c>
      <c r="G3845">
        <v>3973</v>
      </c>
      <c r="H3845">
        <v>3728</v>
      </c>
      <c r="I3845">
        <v>3449776.52</v>
      </c>
      <c r="J3845">
        <v>791</v>
      </c>
      <c r="K3845">
        <v>1921706.67</v>
      </c>
      <c r="L3845">
        <v>548</v>
      </c>
      <c r="M3845">
        <v>24913</v>
      </c>
      <c r="N3845">
        <v>294706</v>
      </c>
      <c r="O3845">
        <f t="shared" ref="O3845:O3888" si="122">YEAR(B3845)</f>
        <v>2025</v>
      </c>
      <c r="P3845">
        <f t="shared" ref="P3845:P3888" si="123">MONTH(B3845)</f>
        <v>6</v>
      </c>
      <c r="Q3845" t="str">
        <f>_xlfn.XLOOKUP(B3845,全店核心数据_bymonth!A:A,全店核心数据_bymonth!AN:AN)</f>
        <v>BU26</v>
      </c>
    </row>
    <row r="3846" spans="1:18" x14ac:dyDescent="0.3">
      <c r="A3846" t="s">
        <v>110</v>
      </c>
      <c r="B3846" s="16">
        <v>45809</v>
      </c>
      <c r="C3846" t="s">
        <v>2</v>
      </c>
      <c r="D3846" t="s">
        <v>52</v>
      </c>
      <c r="E3846">
        <v>7</v>
      </c>
      <c r="F3846">
        <v>4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2</v>
      </c>
      <c r="N3846">
        <v>6</v>
      </c>
      <c r="O3846">
        <f t="shared" si="122"/>
        <v>2025</v>
      </c>
      <c r="P3846">
        <f t="shared" si="123"/>
        <v>6</v>
      </c>
      <c r="Q3846" t="str">
        <f>_xlfn.XLOOKUP(B3846,全店核心数据_bymonth!A:A,全店核心数据_bymonth!AN:AN)</f>
        <v>BU26</v>
      </c>
    </row>
    <row r="3847" spans="1:18" x14ac:dyDescent="0.3">
      <c r="A3847" t="s">
        <v>110</v>
      </c>
      <c r="B3847" s="16">
        <v>45809</v>
      </c>
      <c r="C3847" t="s">
        <v>2</v>
      </c>
      <c r="D3847" t="s">
        <v>55</v>
      </c>
      <c r="E3847">
        <v>12665</v>
      </c>
      <c r="F3847">
        <v>10574</v>
      </c>
      <c r="G3847">
        <v>170</v>
      </c>
      <c r="H3847">
        <v>13</v>
      </c>
      <c r="I3847">
        <v>0</v>
      </c>
      <c r="J3847">
        <v>0</v>
      </c>
      <c r="K3847">
        <v>0</v>
      </c>
      <c r="L3847">
        <v>0</v>
      </c>
      <c r="M3847">
        <v>275</v>
      </c>
      <c r="N3847">
        <v>2509</v>
      </c>
      <c r="O3847">
        <f t="shared" si="122"/>
        <v>2025</v>
      </c>
      <c r="P3847">
        <f t="shared" si="123"/>
        <v>6</v>
      </c>
      <c r="Q3847" t="str">
        <f>_xlfn.XLOOKUP(B3847,全店核心数据_bymonth!A:A,全店核心数据_bymonth!AN:AN)</f>
        <v>BU26</v>
      </c>
    </row>
    <row r="3848" spans="1:18" x14ac:dyDescent="0.3">
      <c r="A3848" t="s">
        <v>110</v>
      </c>
      <c r="B3848" s="16">
        <v>45809</v>
      </c>
      <c r="C3848" t="s">
        <v>3</v>
      </c>
      <c r="D3848" t="s">
        <v>157</v>
      </c>
      <c r="E3848">
        <v>2</v>
      </c>
      <c r="F3848">
        <v>1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f t="shared" si="122"/>
        <v>2025</v>
      </c>
      <c r="P3848">
        <f t="shared" si="123"/>
        <v>6</v>
      </c>
      <c r="Q3848" t="str">
        <f>_xlfn.XLOOKUP(B3848,全店核心数据_bymonth!A:A,全店核心数据_bymonth!AN:AN)</f>
        <v>BU26</v>
      </c>
    </row>
    <row r="3849" spans="1:18" x14ac:dyDescent="0.3">
      <c r="A3849" t="s">
        <v>110</v>
      </c>
      <c r="B3849" s="16">
        <v>45809</v>
      </c>
      <c r="C3849" t="s">
        <v>3</v>
      </c>
      <c r="D3849" t="s">
        <v>156</v>
      </c>
      <c r="E3849">
        <v>1</v>
      </c>
      <c r="F3849">
        <v>1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f t="shared" si="122"/>
        <v>2025</v>
      </c>
      <c r="P3849">
        <f t="shared" si="123"/>
        <v>6</v>
      </c>
      <c r="Q3849" t="str">
        <f>_xlfn.XLOOKUP(B3849,全店核心数据_bymonth!A:A,全店核心数据_bymonth!AN:AN)</f>
        <v>BU26</v>
      </c>
    </row>
    <row r="3850" spans="1:18" x14ac:dyDescent="0.3">
      <c r="A3850" t="s">
        <v>110</v>
      </c>
      <c r="B3850" s="16">
        <v>45809</v>
      </c>
      <c r="C3850" t="s">
        <v>3</v>
      </c>
      <c r="D3850" t="s">
        <v>155</v>
      </c>
      <c r="E3850">
        <v>72</v>
      </c>
      <c r="F3850">
        <v>49</v>
      </c>
      <c r="G3850">
        <v>0</v>
      </c>
      <c r="H3850">
        <v>0</v>
      </c>
      <c r="I3850">
        <v>5075</v>
      </c>
      <c r="J3850">
        <v>1</v>
      </c>
      <c r="K3850">
        <v>5075</v>
      </c>
      <c r="L3850">
        <v>1</v>
      </c>
      <c r="M3850">
        <v>5</v>
      </c>
      <c r="N3850">
        <v>68</v>
      </c>
      <c r="O3850">
        <f t="shared" si="122"/>
        <v>2025</v>
      </c>
      <c r="P3850">
        <f t="shared" si="123"/>
        <v>6</v>
      </c>
      <c r="Q3850" t="str">
        <f>_xlfn.XLOOKUP(B3850,全店核心数据_bymonth!A:A,全店核心数据_bymonth!AN:AN)</f>
        <v>BU26</v>
      </c>
    </row>
    <row r="3851" spans="1:18" x14ac:dyDescent="0.3">
      <c r="A3851" t="s">
        <v>110</v>
      </c>
      <c r="B3851" s="16">
        <v>45809</v>
      </c>
      <c r="C3851" t="s">
        <v>3</v>
      </c>
      <c r="D3851" t="s">
        <v>154</v>
      </c>
      <c r="E3851">
        <v>6916</v>
      </c>
      <c r="F3851">
        <v>6742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1</v>
      </c>
      <c r="N3851">
        <v>11</v>
      </c>
      <c r="O3851">
        <f t="shared" si="122"/>
        <v>2025</v>
      </c>
      <c r="P3851">
        <f t="shared" si="123"/>
        <v>6</v>
      </c>
      <c r="Q3851" t="str">
        <f>_xlfn.XLOOKUP(B3851,全店核心数据_bymonth!A:A,全店核心数据_bymonth!AN:AN)</f>
        <v>BU26</v>
      </c>
    </row>
    <row r="3852" spans="1:18" x14ac:dyDescent="0.3">
      <c r="A3852" t="s">
        <v>110</v>
      </c>
      <c r="B3852" s="16">
        <v>45809</v>
      </c>
      <c r="C3852" t="s">
        <v>3</v>
      </c>
      <c r="D3852" t="s">
        <v>153</v>
      </c>
      <c r="E3852">
        <v>3828</v>
      </c>
      <c r="F3852">
        <v>1762</v>
      </c>
      <c r="G3852">
        <v>547</v>
      </c>
      <c r="H3852">
        <v>53</v>
      </c>
      <c r="I3852">
        <v>2465647.73</v>
      </c>
      <c r="J3852">
        <v>615</v>
      </c>
      <c r="K3852">
        <v>2158072.73</v>
      </c>
      <c r="L3852">
        <v>578</v>
      </c>
      <c r="M3852">
        <v>1380</v>
      </c>
      <c r="N3852">
        <v>3688</v>
      </c>
      <c r="O3852">
        <f t="shared" si="122"/>
        <v>2025</v>
      </c>
      <c r="P3852">
        <f t="shared" si="123"/>
        <v>6</v>
      </c>
      <c r="Q3852" t="str">
        <f>_xlfn.XLOOKUP(B3852,全店核心数据_bymonth!A:A,全店核心数据_bymonth!AN:AN)</f>
        <v>BU26</v>
      </c>
    </row>
    <row r="3853" spans="1:18" x14ac:dyDescent="0.3">
      <c r="A3853" t="s">
        <v>110</v>
      </c>
      <c r="B3853" s="16">
        <v>45809</v>
      </c>
      <c r="C3853" t="s">
        <v>3</v>
      </c>
      <c r="D3853" t="s">
        <v>152</v>
      </c>
      <c r="E3853">
        <v>1016</v>
      </c>
      <c r="F3853">
        <v>766</v>
      </c>
      <c r="G3853">
        <v>25</v>
      </c>
      <c r="H3853">
        <v>32</v>
      </c>
      <c r="I3853">
        <v>7335</v>
      </c>
      <c r="J3853">
        <v>2</v>
      </c>
      <c r="K3853">
        <v>1490</v>
      </c>
      <c r="L3853">
        <v>1</v>
      </c>
      <c r="M3853">
        <v>8</v>
      </c>
      <c r="N3853">
        <v>557</v>
      </c>
      <c r="O3853">
        <f t="shared" si="122"/>
        <v>2025</v>
      </c>
      <c r="P3853">
        <f t="shared" si="123"/>
        <v>6</v>
      </c>
      <c r="Q3853" t="str">
        <f>_xlfn.XLOOKUP(B3853,全店核心数据_bymonth!A:A,全店核心数据_bymonth!AN:AN)</f>
        <v>BU26</v>
      </c>
    </row>
    <row r="3854" spans="1:18" x14ac:dyDescent="0.3">
      <c r="A3854" t="s">
        <v>110</v>
      </c>
      <c r="B3854" s="16">
        <v>45809</v>
      </c>
      <c r="C3854" t="s">
        <v>3</v>
      </c>
      <c r="D3854" t="s">
        <v>150</v>
      </c>
      <c r="E3854">
        <v>694</v>
      </c>
      <c r="F3854">
        <v>642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3</v>
      </c>
      <c r="N3854">
        <v>32</v>
      </c>
      <c r="O3854">
        <f t="shared" si="122"/>
        <v>2025</v>
      </c>
      <c r="P3854">
        <f t="shared" si="123"/>
        <v>6</v>
      </c>
      <c r="Q3854" t="str">
        <f>_xlfn.XLOOKUP(B3854,全店核心数据_bymonth!A:A,全店核心数据_bymonth!AN:AN)</f>
        <v>BU26</v>
      </c>
    </row>
    <row r="3855" spans="1:18" x14ac:dyDescent="0.3">
      <c r="A3855" t="s">
        <v>110</v>
      </c>
      <c r="B3855" s="16">
        <v>45809</v>
      </c>
      <c r="C3855" t="s">
        <v>3</v>
      </c>
      <c r="D3855" t="s">
        <v>149</v>
      </c>
      <c r="E3855">
        <v>179</v>
      </c>
      <c r="F3855">
        <v>119</v>
      </c>
      <c r="G3855">
        <v>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11</v>
      </c>
      <c r="N3855">
        <v>51</v>
      </c>
      <c r="O3855">
        <f t="shared" si="122"/>
        <v>2025</v>
      </c>
      <c r="P3855">
        <f t="shared" si="123"/>
        <v>6</v>
      </c>
      <c r="Q3855" t="str">
        <f>_xlfn.XLOOKUP(B3855,全店核心数据_bymonth!A:A,全店核心数据_bymonth!AN:AN)</f>
        <v>BU26</v>
      </c>
    </row>
    <row r="3856" spans="1:18" x14ac:dyDescent="0.3">
      <c r="A3856" t="s">
        <v>110</v>
      </c>
      <c r="B3856" s="16">
        <v>45809</v>
      </c>
      <c r="C3856" t="s">
        <v>3</v>
      </c>
      <c r="D3856" t="s">
        <v>148</v>
      </c>
      <c r="E3856">
        <v>19</v>
      </c>
      <c r="F3856">
        <v>19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10</v>
      </c>
      <c r="N3856">
        <v>9</v>
      </c>
      <c r="O3856">
        <f t="shared" si="122"/>
        <v>2025</v>
      </c>
      <c r="P3856">
        <f t="shared" si="123"/>
        <v>6</v>
      </c>
      <c r="Q3856" t="str">
        <f>_xlfn.XLOOKUP(B3856,全店核心数据_bymonth!A:A,全店核心数据_bymonth!AN:AN)</f>
        <v>BU26</v>
      </c>
    </row>
    <row r="3857" spans="1:17" x14ac:dyDescent="0.3">
      <c r="A3857" t="s">
        <v>110</v>
      </c>
      <c r="B3857" s="16">
        <v>45809</v>
      </c>
      <c r="C3857" t="s">
        <v>3</v>
      </c>
      <c r="D3857" t="s">
        <v>367</v>
      </c>
      <c r="E3857">
        <v>1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f t="shared" si="122"/>
        <v>2025</v>
      </c>
      <c r="P3857">
        <f t="shared" si="123"/>
        <v>6</v>
      </c>
      <c r="Q3857" t="str">
        <f>_xlfn.XLOOKUP(B3857,全店核心数据_bymonth!A:A,全店核心数据_bymonth!AN:AN)</f>
        <v>BU26</v>
      </c>
    </row>
    <row r="3858" spans="1:17" x14ac:dyDescent="0.3">
      <c r="A3858" t="s">
        <v>110</v>
      </c>
      <c r="B3858" s="16">
        <v>45809</v>
      </c>
      <c r="C3858" t="s">
        <v>3</v>
      </c>
      <c r="D3858" t="s">
        <v>146</v>
      </c>
      <c r="E3858">
        <v>6</v>
      </c>
      <c r="F3858">
        <v>6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1</v>
      </c>
      <c r="N3858">
        <v>6</v>
      </c>
      <c r="O3858">
        <f t="shared" si="122"/>
        <v>2025</v>
      </c>
      <c r="P3858">
        <f t="shared" si="123"/>
        <v>6</v>
      </c>
      <c r="Q3858" t="str">
        <f>_xlfn.XLOOKUP(B3858,全店核心数据_bymonth!A:A,全店核心数据_bymonth!AN:AN)</f>
        <v>BU26</v>
      </c>
    </row>
    <row r="3859" spans="1:17" x14ac:dyDescent="0.3">
      <c r="A3859" t="s">
        <v>110</v>
      </c>
      <c r="B3859" s="16">
        <v>45809</v>
      </c>
      <c r="C3859" t="s">
        <v>3</v>
      </c>
      <c r="D3859" t="s">
        <v>630</v>
      </c>
      <c r="E3859">
        <v>791</v>
      </c>
      <c r="F3859">
        <v>586</v>
      </c>
      <c r="G3859">
        <v>11</v>
      </c>
      <c r="H3859">
        <v>1</v>
      </c>
      <c r="I3859">
        <v>40222</v>
      </c>
      <c r="J3859">
        <v>13</v>
      </c>
      <c r="K3859">
        <v>38232</v>
      </c>
      <c r="L3859">
        <v>13</v>
      </c>
      <c r="M3859">
        <v>12</v>
      </c>
      <c r="N3859">
        <v>163</v>
      </c>
      <c r="O3859">
        <f t="shared" si="122"/>
        <v>2025</v>
      </c>
      <c r="P3859">
        <f t="shared" si="123"/>
        <v>6</v>
      </c>
      <c r="Q3859" t="str">
        <f>_xlfn.XLOOKUP(B3859,全店核心数据_bymonth!A:A,全店核心数据_bymonth!AN:AN)</f>
        <v>BU26</v>
      </c>
    </row>
    <row r="3860" spans="1:17" x14ac:dyDescent="0.3">
      <c r="A3860" t="s">
        <v>110</v>
      </c>
      <c r="B3860" s="16">
        <v>45809</v>
      </c>
      <c r="C3860" t="s">
        <v>3</v>
      </c>
      <c r="D3860" t="s">
        <v>251</v>
      </c>
      <c r="E3860">
        <v>42034</v>
      </c>
      <c r="F3860">
        <v>39980</v>
      </c>
      <c r="G3860">
        <v>252</v>
      </c>
      <c r="H3860">
        <v>50</v>
      </c>
      <c r="I3860">
        <v>612750.81000000006</v>
      </c>
      <c r="J3860">
        <v>157</v>
      </c>
      <c r="K3860">
        <v>514562.32</v>
      </c>
      <c r="L3860">
        <v>145</v>
      </c>
      <c r="M3860">
        <v>1305</v>
      </c>
      <c r="N3860">
        <v>3259</v>
      </c>
      <c r="O3860">
        <f t="shared" si="122"/>
        <v>2025</v>
      </c>
      <c r="P3860">
        <f t="shared" si="123"/>
        <v>6</v>
      </c>
      <c r="Q3860" t="str">
        <f>_xlfn.XLOOKUP(B3860,全店核心数据_bymonth!A:A,全店核心数据_bymonth!AN:AN)</f>
        <v>BU26</v>
      </c>
    </row>
    <row r="3861" spans="1:17" x14ac:dyDescent="0.3">
      <c r="A3861" t="s">
        <v>110</v>
      </c>
      <c r="B3861" s="16">
        <v>45809</v>
      </c>
      <c r="C3861" t="s">
        <v>3</v>
      </c>
      <c r="D3861" t="s">
        <v>143</v>
      </c>
      <c r="E3861">
        <v>530</v>
      </c>
      <c r="F3861">
        <v>512</v>
      </c>
      <c r="G3861">
        <v>5</v>
      </c>
      <c r="H3861">
        <v>4</v>
      </c>
      <c r="I3861">
        <v>1050</v>
      </c>
      <c r="J3861">
        <v>1</v>
      </c>
      <c r="K3861">
        <v>1050</v>
      </c>
      <c r="L3861">
        <v>1</v>
      </c>
      <c r="M3861">
        <v>7</v>
      </c>
      <c r="N3861">
        <v>529</v>
      </c>
      <c r="O3861">
        <f t="shared" si="122"/>
        <v>2025</v>
      </c>
      <c r="P3861">
        <f t="shared" si="123"/>
        <v>6</v>
      </c>
      <c r="Q3861" t="str">
        <f>_xlfn.XLOOKUP(B3861,全店核心数据_bymonth!A:A,全店核心数据_bymonth!AN:AN)</f>
        <v>BU26</v>
      </c>
    </row>
    <row r="3862" spans="1:17" x14ac:dyDescent="0.3">
      <c r="A3862" t="s">
        <v>110</v>
      </c>
      <c r="B3862" s="16">
        <v>45809</v>
      </c>
      <c r="C3862" t="s">
        <v>3</v>
      </c>
      <c r="D3862" t="s">
        <v>141</v>
      </c>
      <c r="E3862">
        <v>4091</v>
      </c>
      <c r="F3862">
        <v>3196</v>
      </c>
      <c r="G3862">
        <v>82</v>
      </c>
      <c r="H3862">
        <v>8</v>
      </c>
      <c r="I3862">
        <v>3360</v>
      </c>
      <c r="J3862">
        <v>1</v>
      </c>
      <c r="K3862">
        <v>3360</v>
      </c>
      <c r="L3862">
        <v>1</v>
      </c>
      <c r="M3862">
        <v>14</v>
      </c>
      <c r="N3862">
        <v>4077</v>
      </c>
      <c r="O3862">
        <f t="shared" si="122"/>
        <v>2025</v>
      </c>
      <c r="P3862">
        <f t="shared" si="123"/>
        <v>6</v>
      </c>
      <c r="Q3862" t="str">
        <f>_xlfn.XLOOKUP(B3862,全店核心数据_bymonth!A:A,全店核心数据_bymonth!AN:AN)</f>
        <v>BU26</v>
      </c>
    </row>
    <row r="3863" spans="1:17" x14ac:dyDescent="0.3">
      <c r="A3863" t="s">
        <v>110</v>
      </c>
      <c r="B3863" s="16">
        <v>45809</v>
      </c>
      <c r="C3863" t="s">
        <v>3</v>
      </c>
      <c r="D3863" t="s">
        <v>140</v>
      </c>
      <c r="E3863">
        <v>169</v>
      </c>
      <c r="F3863">
        <v>137</v>
      </c>
      <c r="G3863">
        <v>19</v>
      </c>
      <c r="H3863">
        <v>2</v>
      </c>
      <c r="I3863">
        <v>74799</v>
      </c>
      <c r="J3863">
        <v>21</v>
      </c>
      <c r="K3863">
        <v>59649</v>
      </c>
      <c r="L3863">
        <v>18</v>
      </c>
      <c r="M3863">
        <v>28</v>
      </c>
      <c r="N3863">
        <v>150</v>
      </c>
      <c r="O3863">
        <f t="shared" si="122"/>
        <v>2025</v>
      </c>
      <c r="P3863">
        <f t="shared" si="123"/>
        <v>6</v>
      </c>
      <c r="Q3863" t="str">
        <f>_xlfn.XLOOKUP(B3863,全店核心数据_bymonth!A:A,全店核心数据_bymonth!AN:AN)</f>
        <v>BU26</v>
      </c>
    </row>
    <row r="3864" spans="1:17" x14ac:dyDescent="0.3">
      <c r="A3864" t="s">
        <v>110</v>
      </c>
      <c r="B3864" s="16">
        <v>45809</v>
      </c>
      <c r="C3864" t="s">
        <v>3</v>
      </c>
      <c r="D3864" t="s">
        <v>139</v>
      </c>
      <c r="E3864">
        <v>10991</v>
      </c>
      <c r="F3864">
        <v>8105</v>
      </c>
      <c r="G3864">
        <v>581</v>
      </c>
      <c r="H3864">
        <v>129</v>
      </c>
      <c r="I3864">
        <v>1394335.6</v>
      </c>
      <c r="J3864">
        <v>302</v>
      </c>
      <c r="K3864">
        <v>975380.6</v>
      </c>
      <c r="L3864">
        <v>252</v>
      </c>
      <c r="M3864">
        <v>4445</v>
      </c>
      <c r="N3864">
        <v>7427</v>
      </c>
      <c r="O3864">
        <f t="shared" si="122"/>
        <v>2025</v>
      </c>
      <c r="P3864">
        <f t="shared" si="123"/>
        <v>6</v>
      </c>
      <c r="Q3864" t="str">
        <f>_xlfn.XLOOKUP(B3864,全店核心数据_bymonth!A:A,全店核心数据_bymonth!AN:AN)</f>
        <v>BU26</v>
      </c>
    </row>
    <row r="3865" spans="1:17" x14ac:dyDescent="0.3">
      <c r="A3865" t="s">
        <v>110</v>
      </c>
      <c r="B3865" s="16">
        <v>45809</v>
      </c>
      <c r="C3865" t="s">
        <v>3</v>
      </c>
      <c r="D3865" t="s">
        <v>138</v>
      </c>
      <c r="E3865">
        <v>241</v>
      </c>
      <c r="F3865">
        <v>178</v>
      </c>
      <c r="G3865">
        <v>3</v>
      </c>
      <c r="H3865">
        <v>1</v>
      </c>
      <c r="I3865">
        <v>0</v>
      </c>
      <c r="J3865">
        <v>0</v>
      </c>
      <c r="K3865">
        <v>0</v>
      </c>
      <c r="L3865">
        <v>0</v>
      </c>
      <c r="M3865">
        <v>46</v>
      </c>
      <c r="N3865">
        <v>224</v>
      </c>
      <c r="O3865">
        <f t="shared" si="122"/>
        <v>2025</v>
      </c>
      <c r="P3865">
        <f t="shared" si="123"/>
        <v>6</v>
      </c>
      <c r="Q3865" t="str">
        <f>_xlfn.XLOOKUP(B3865,全店核心数据_bymonth!A:A,全店核心数据_bymonth!AN:AN)</f>
        <v>BU26</v>
      </c>
    </row>
    <row r="3866" spans="1:17" x14ac:dyDescent="0.3">
      <c r="A3866" t="s">
        <v>110</v>
      </c>
      <c r="B3866" s="16">
        <v>45809</v>
      </c>
      <c r="C3866" t="s">
        <v>3</v>
      </c>
      <c r="D3866" t="s">
        <v>137</v>
      </c>
      <c r="E3866">
        <v>1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1</v>
      </c>
      <c r="O3866">
        <f t="shared" si="122"/>
        <v>2025</v>
      </c>
      <c r="P3866">
        <f t="shared" si="123"/>
        <v>6</v>
      </c>
      <c r="Q3866" t="str">
        <f>_xlfn.XLOOKUP(B3866,全店核心数据_bymonth!A:A,全店核心数据_bymonth!AN:AN)</f>
        <v>BU26</v>
      </c>
    </row>
    <row r="3867" spans="1:17" x14ac:dyDescent="0.3">
      <c r="A3867" t="s">
        <v>110</v>
      </c>
      <c r="B3867" s="16">
        <v>45809</v>
      </c>
      <c r="C3867" t="s">
        <v>3</v>
      </c>
      <c r="D3867" t="s">
        <v>136</v>
      </c>
      <c r="E3867">
        <v>2</v>
      </c>
      <c r="F3867">
        <v>1</v>
      </c>
      <c r="G3867">
        <v>1</v>
      </c>
      <c r="H3867">
        <v>0</v>
      </c>
      <c r="I3867">
        <v>1680</v>
      </c>
      <c r="J3867">
        <v>1</v>
      </c>
      <c r="K3867">
        <v>1680</v>
      </c>
      <c r="L3867">
        <v>1</v>
      </c>
      <c r="M3867">
        <v>0</v>
      </c>
      <c r="N3867">
        <v>2</v>
      </c>
      <c r="O3867">
        <f t="shared" si="122"/>
        <v>2025</v>
      </c>
      <c r="P3867">
        <f t="shared" si="123"/>
        <v>6</v>
      </c>
      <c r="Q3867" t="str">
        <f>_xlfn.XLOOKUP(B3867,全店核心数据_bymonth!A:A,全店核心数据_bymonth!AN:AN)</f>
        <v>BU26</v>
      </c>
    </row>
    <row r="3868" spans="1:17" x14ac:dyDescent="0.3">
      <c r="A3868" t="s">
        <v>110</v>
      </c>
      <c r="B3868" s="16">
        <v>45809</v>
      </c>
      <c r="C3868" t="s">
        <v>3</v>
      </c>
      <c r="D3868" t="s">
        <v>133</v>
      </c>
      <c r="E3868">
        <v>502</v>
      </c>
      <c r="F3868">
        <v>329</v>
      </c>
      <c r="G3868">
        <v>43</v>
      </c>
      <c r="H3868">
        <v>2</v>
      </c>
      <c r="I3868">
        <v>99416</v>
      </c>
      <c r="J3868">
        <v>25</v>
      </c>
      <c r="K3868">
        <v>84806</v>
      </c>
      <c r="L3868">
        <v>22</v>
      </c>
      <c r="M3868">
        <v>256</v>
      </c>
      <c r="N3868">
        <v>373</v>
      </c>
      <c r="O3868">
        <f t="shared" si="122"/>
        <v>2025</v>
      </c>
      <c r="P3868">
        <f t="shared" si="123"/>
        <v>6</v>
      </c>
      <c r="Q3868" t="str">
        <f>_xlfn.XLOOKUP(B3868,全店核心数据_bymonth!A:A,全店核心数据_bymonth!AN:AN)</f>
        <v>BU26</v>
      </c>
    </row>
    <row r="3869" spans="1:17" x14ac:dyDescent="0.3">
      <c r="A3869" t="s">
        <v>110</v>
      </c>
      <c r="B3869" s="16">
        <v>45809</v>
      </c>
      <c r="C3869" t="s">
        <v>3</v>
      </c>
      <c r="D3869" t="s">
        <v>130</v>
      </c>
      <c r="E3869">
        <v>2138</v>
      </c>
      <c r="F3869">
        <v>1094</v>
      </c>
      <c r="G3869">
        <v>192</v>
      </c>
      <c r="H3869">
        <v>32</v>
      </c>
      <c r="I3869">
        <v>715724.28</v>
      </c>
      <c r="J3869">
        <v>160</v>
      </c>
      <c r="K3869">
        <v>563012.28</v>
      </c>
      <c r="L3869">
        <v>151</v>
      </c>
      <c r="M3869">
        <v>1107</v>
      </c>
      <c r="N3869">
        <v>1764</v>
      </c>
      <c r="O3869">
        <f t="shared" si="122"/>
        <v>2025</v>
      </c>
      <c r="P3869">
        <f t="shared" si="123"/>
        <v>6</v>
      </c>
      <c r="Q3869" t="str">
        <f>_xlfn.XLOOKUP(B3869,全店核心数据_bymonth!A:A,全店核心数据_bymonth!AN:AN)</f>
        <v>BU26</v>
      </c>
    </row>
    <row r="3870" spans="1:17" x14ac:dyDescent="0.3">
      <c r="A3870" t="s">
        <v>110</v>
      </c>
      <c r="B3870" s="16">
        <v>45809</v>
      </c>
      <c r="C3870" t="s">
        <v>3</v>
      </c>
      <c r="D3870" t="s">
        <v>128</v>
      </c>
      <c r="E3870">
        <v>17369</v>
      </c>
      <c r="F3870">
        <v>14758</v>
      </c>
      <c r="G3870">
        <v>754</v>
      </c>
      <c r="H3870">
        <v>185</v>
      </c>
      <c r="I3870">
        <v>866970.4</v>
      </c>
      <c r="J3870">
        <v>191</v>
      </c>
      <c r="K3870">
        <v>609725.4</v>
      </c>
      <c r="L3870">
        <v>169</v>
      </c>
      <c r="M3870">
        <v>8714</v>
      </c>
      <c r="N3870">
        <v>12151</v>
      </c>
      <c r="O3870">
        <f t="shared" si="122"/>
        <v>2025</v>
      </c>
      <c r="P3870">
        <f t="shared" si="123"/>
        <v>6</v>
      </c>
      <c r="Q3870" t="str">
        <f>_xlfn.XLOOKUP(B3870,全店核心数据_bymonth!A:A,全店核心数据_bymonth!AN:AN)</f>
        <v>BU26</v>
      </c>
    </row>
    <row r="3871" spans="1:17" x14ac:dyDescent="0.3">
      <c r="A3871" t="s">
        <v>110</v>
      </c>
      <c r="B3871" s="16">
        <v>45809</v>
      </c>
      <c r="C3871" t="s">
        <v>3</v>
      </c>
      <c r="D3871" t="s">
        <v>127</v>
      </c>
      <c r="E3871">
        <v>110718</v>
      </c>
      <c r="F3871">
        <v>102537</v>
      </c>
      <c r="G3871">
        <v>988</v>
      </c>
      <c r="H3871">
        <v>608</v>
      </c>
      <c r="I3871">
        <v>699764.16</v>
      </c>
      <c r="J3871">
        <v>154</v>
      </c>
      <c r="K3871">
        <v>370973.86</v>
      </c>
      <c r="L3871">
        <v>123</v>
      </c>
      <c r="M3871">
        <v>6682</v>
      </c>
      <c r="N3871">
        <v>103895</v>
      </c>
      <c r="O3871">
        <f t="shared" si="122"/>
        <v>2025</v>
      </c>
      <c r="P3871">
        <f t="shared" si="123"/>
        <v>6</v>
      </c>
      <c r="Q3871" t="str">
        <f>_xlfn.XLOOKUP(B3871,全店核心数据_bymonth!A:A,全店核心数据_bymonth!AN:AN)</f>
        <v>BU26</v>
      </c>
    </row>
    <row r="3872" spans="1:17" x14ac:dyDescent="0.3">
      <c r="A3872" t="s">
        <v>110</v>
      </c>
      <c r="B3872" s="16">
        <v>45809</v>
      </c>
      <c r="C3872" t="s">
        <v>3</v>
      </c>
      <c r="D3872" t="s">
        <v>126</v>
      </c>
      <c r="E3872">
        <v>1926</v>
      </c>
      <c r="F3872">
        <v>1465</v>
      </c>
      <c r="G3872">
        <v>91</v>
      </c>
      <c r="H3872">
        <v>57</v>
      </c>
      <c r="I3872">
        <v>187847</v>
      </c>
      <c r="J3872">
        <v>25</v>
      </c>
      <c r="K3872">
        <v>151752</v>
      </c>
      <c r="L3872">
        <v>22</v>
      </c>
      <c r="M3872">
        <v>331</v>
      </c>
      <c r="N3872">
        <v>1859</v>
      </c>
      <c r="O3872">
        <f t="shared" si="122"/>
        <v>2025</v>
      </c>
      <c r="P3872">
        <f t="shared" si="123"/>
        <v>6</v>
      </c>
      <c r="Q3872" t="str">
        <f>_xlfn.XLOOKUP(B3872,全店核心数据_bymonth!A:A,全店核心数据_bymonth!AN:AN)</f>
        <v>BU26</v>
      </c>
    </row>
    <row r="3873" spans="1:17" x14ac:dyDescent="0.3">
      <c r="A3873" t="s">
        <v>110</v>
      </c>
      <c r="B3873" s="16">
        <v>45809</v>
      </c>
      <c r="C3873" t="s">
        <v>3</v>
      </c>
      <c r="D3873" t="s">
        <v>125</v>
      </c>
      <c r="E3873">
        <v>55</v>
      </c>
      <c r="F3873">
        <v>32</v>
      </c>
      <c r="G3873">
        <v>3</v>
      </c>
      <c r="H3873">
        <v>0</v>
      </c>
      <c r="I3873">
        <v>8592</v>
      </c>
      <c r="J3873">
        <v>3</v>
      </c>
      <c r="K3873">
        <v>8592</v>
      </c>
      <c r="L3873">
        <v>3</v>
      </c>
      <c r="M3873">
        <v>7</v>
      </c>
      <c r="N3873">
        <v>55</v>
      </c>
      <c r="O3873">
        <f t="shared" si="122"/>
        <v>2025</v>
      </c>
      <c r="P3873">
        <f t="shared" si="123"/>
        <v>6</v>
      </c>
      <c r="Q3873" t="str">
        <f>_xlfn.XLOOKUP(B3873,全店核心数据_bymonth!A:A,全店核心数据_bymonth!AN:AN)</f>
        <v>BU26</v>
      </c>
    </row>
    <row r="3874" spans="1:17" x14ac:dyDescent="0.3">
      <c r="A3874" t="s">
        <v>110</v>
      </c>
      <c r="B3874" s="16">
        <v>45809</v>
      </c>
      <c r="C3874" t="s">
        <v>3</v>
      </c>
      <c r="D3874" t="s">
        <v>124</v>
      </c>
      <c r="E3874">
        <v>1</v>
      </c>
      <c r="F3874">
        <v>1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</v>
      </c>
      <c r="N3874">
        <v>0</v>
      </c>
      <c r="O3874">
        <f t="shared" si="122"/>
        <v>2025</v>
      </c>
      <c r="P3874">
        <f t="shared" si="123"/>
        <v>6</v>
      </c>
      <c r="Q3874" t="str">
        <f>_xlfn.XLOOKUP(B3874,全店核心数据_bymonth!A:A,全店核心数据_bymonth!AN:AN)</f>
        <v>BU26</v>
      </c>
    </row>
    <row r="3875" spans="1:17" x14ac:dyDescent="0.3">
      <c r="A3875" t="s">
        <v>110</v>
      </c>
      <c r="B3875" s="16">
        <v>45809</v>
      </c>
      <c r="C3875" t="s">
        <v>3</v>
      </c>
      <c r="D3875" t="s">
        <v>123</v>
      </c>
      <c r="E3875">
        <v>4343</v>
      </c>
      <c r="F3875">
        <v>2756</v>
      </c>
      <c r="G3875">
        <v>185</v>
      </c>
      <c r="H3875">
        <v>78</v>
      </c>
      <c r="I3875">
        <v>264689.93</v>
      </c>
      <c r="J3875">
        <v>68</v>
      </c>
      <c r="K3875">
        <v>204571.93</v>
      </c>
      <c r="L3875">
        <v>60</v>
      </c>
      <c r="M3875">
        <v>1351</v>
      </c>
      <c r="N3875">
        <v>3996</v>
      </c>
      <c r="O3875">
        <f t="shared" si="122"/>
        <v>2025</v>
      </c>
      <c r="P3875">
        <f t="shared" si="123"/>
        <v>6</v>
      </c>
      <c r="Q3875" t="str">
        <f>_xlfn.XLOOKUP(B3875,全店核心数据_bymonth!A:A,全店核心数据_bymonth!AN:AN)</f>
        <v>BU26</v>
      </c>
    </row>
    <row r="3876" spans="1:17" x14ac:dyDescent="0.3">
      <c r="A3876" t="s">
        <v>110</v>
      </c>
      <c r="B3876" s="16">
        <v>45809</v>
      </c>
      <c r="C3876" t="s">
        <v>3</v>
      </c>
      <c r="D3876" t="s">
        <v>122</v>
      </c>
      <c r="E3876">
        <v>6</v>
      </c>
      <c r="F3876">
        <v>3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3</v>
      </c>
      <c r="O3876">
        <f t="shared" si="122"/>
        <v>2025</v>
      </c>
      <c r="P3876">
        <f t="shared" si="123"/>
        <v>6</v>
      </c>
      <c r="Q3876" t="str">
        <f>_xlfn.XLOOKUP(B3876,全店核心数据_bymonth!A:A,全店核心数据_bymonth!AN:AN)</f>
        <v>BU26</v>
      </c>
    </row>
    <row r="3877" spans="1:17" x14ac:dyDescent="0.3">
      <c r="A3877" t="s">
        <v>110</v>
      </c>
      <c r="B3877" s="16">
        <v>45809</v>
      </c>
      <c r="C3877" t="s">
        <v>3</v>
      </c>
      <c r="D3877" t="s">
        <v>121</v>
      </c>
      <c r="E3877">
        <v>17</v>
      </c>
      <c r="F3877">
        <v>15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7</v>
      </c>
      <c r="N3877">
        <v>10</v>
      </c>
      <c r="O3877">
        <f t="shared" si="122"/>
        <v>2025</v>
      </c>
      <c r="P3877">
        <f t="shared" si="123"/>
        <v>6</v>
      </c>
      <c r="Q3877" t="str">
        <f>_xlfn.XLOOKUP(B3877,全店核心数据_bymonth!A:A,全店核心数据_bymonth!AN:AN)</f>
        <v>BU26</v>
      </c>
    </row>
    <row r="3878" spans="1:17" x14ac:dyDescent="0.3">
      <c r="A3878" t="s">
        <v>110</v>
      </c>
      <c r="B3878" s="16">
        <v>45809</v>
      </c>
      <c r="C3878" t="s">
        <v>3</v>
      </c>
      <c r="D3878" t="s">
        <v>119</v>
      </c>
      <c r="E3878">
        <v>3283</v>
      </c>
      <c r="F3878">
        <v>1563</v>
      </c>
      <c r="G3878">
        <v>303</v>
      </c>
      <c r="H3878">
        <v>112</v>
      </c>
      <c r="I3878">
        <v>958011.64</v>
      </c>
      <c r="J3878">
        <v>221</v>
      </c>
      <c r="K3878">
        <v>736674.64</v>
      </c>
      <c r="L3878">
        <v>199</v>
      </c>
      <c r="M3878">
        <v>921</v>
      </c>
      <c r="N3878">
        <v>3147</v>
      </c>
      <c r="O3878">
        <f t="shared" si="122"/>
        <v>2025</v>
      </c>
      <c r="P3878">
        <f t="shared" si="123"/>
        <v>6</v>
      </c>
      <c r="Q3878" t="str">
        <f>_xlfn.XLOOKUP(B3878,全店核心数据_bymonth!A:A,全店核心数据_bymonth!AN:AN)</f>
        <v>BU26</v>
      </c>
    </row>
    <row r="3879" spans="1:17" x14ac:dyDescent="0.3">
      <c r="A3879" t="s">
        <v>110</v>
      </c>
      <c r="B3879" s="16">
        <v>45809</v>
      </c>
      <c r="C3879" t="s">
        <v>3</v>
      </c>
      <c r="D3879" t="s">
        <v>583</v>
      </c>
      <c r="E3879">
        <v>28</v>
      </c>
      <c r="F3879">
        <v>27</v>
      </c>
      <c r="G3879">
        <v>1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28</v>
      </c>
      <c r="O3879">
        <f t="shared" si="122"/>
        <v>2025</v>
      </c>
      <c r="P3879">
        <f t="shared" si="123"/>
        <v>6</v>
      </c>
      <c r="Q3879" t="str">
        <f>_xlfn.XLOOKUP(B3879,全店核心数据_bymonth!A:A,全店核心数据_bymonth!AN:AN)</f>
        <v>BU26</v>
      </c>
    </row>
    <row r="3880" spans="1:17" x14ac:dyDescent="0.3">
      <c r="A3880" t="s">
        <v>110</v>
      </c>
      <c r="B3880" s="16">
        <v>45809</v>
      </c>
      <c r="C3880" t="s">
        <v>3</v>
      </c>
      <c r="D3880" t="s">
        <v>252</v>
      </c>
      <c r="E3880">
        <v>213</v>
      </c>
      <c r="F3880">
        <v>198</v>
      </c>
      <c r="G3880">
        <v>1</v>
      </c>
      <c r="H3880">
        <v>3</v>
      </c>
      <c r="I3880">
        <v>2375</v>
      </c>
      <c r="J3880">
        <v>1</v>
      </c>
      <c r="K3880">
        <v>0</v>
      </c>
      <c r="L3880">
        <v>0</v>
      </c>
      <c r="M3880">
        <v>8</v>
      </c>
      <c r="N3880">
        <v>213</v>
      </c>
      <c r="O3880">
        <f t="shared" si="122"/>
        <v>2025</v>
      </c>
      <c r="P3880">
        <f t="shared" si="123"/>
        <v>6</v>
      </c>
      <c r="Q3880" t="str">
        <f>_xlfn.XLOOKUP(B3880,全店核心数据_bymonth!A:A,全店核心数据_bymonth!AN:AN)</f>
        <v>BU26</v>
      </c>
    </row>
    <row r="3881" spans="1:17" x14ac:dyDescent="0.3">
      <c r="A3881" t="s">
        <v>110</v>
      </c>
      <c r="B3881" s="16">
        <v>45809</v>
      </c>
      <c r="C3881" t="s">
        <v>3</v>
      </c>
      <c r="D3881" t="s">
        <v>118</v>
      </c>
      <c r="E3881">
        <v>1</v>
      </c>
      <c r="F3881">
        <v>1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1</v>
      </c>
      <c r="N3881">
        <v>1</v>
      </c>
      <c r="O3881">
        <f t="shared" si="122"/>
        <v>2025</v>
      </c>
      <c r="P3881">
        <f t="shared" si="123"/>
        <v>6</v>
      </c>
      <c r="Q3881" t="str">
        <f>_xlfn.XLOOKUP(B3881,全店核心数据_bymonth!A:A,全店核心数据_bymonth!AN:AN)</f>
        <v>BU26</v>
      </c>
    </row>
    <row r="3882" spans="1:17" x14ac:dyDescent="0.3">
      <c r="A3882" t="s">
        <v>110</v>
      </c>
      <c r="B3882" s="16">
        <v>45809</v>
      </c>
      <c r="C3882" t="s">
        <v>3</v>
      </c>
      <c r="D3882" t="s">
        <v>117</v>
      </c>
      <c r="E3882">
        <v>17</v>
      </c>
      <c r="F3882">
        <v>14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4</v>
      </c>
      <c r="N3882">
        <v>17</v>
      </c>
      <c r="O3882">
        <f t="shared" si="122"/>
        <v>2025</v>
      </c>
      <c r="P3882">
        <f t="shared" si="123"/>
        <v>6</v>
      </c>
      <c r="Q3882" t="str">
        <f>_xlfn.XLOOKUP(B3882,全店核心数据_bymonth!A:A,全店核心数据_bymonth!AN:AN)</f>
        <v>BU26</v>
      </c>
    </row>
    <row r="3883" spans="1:17" x14ac:dyDescent="0.3">
      <c r="A3883" t="s">
        <v>110</v>
      </c>
      <c r="B3883" s="16">
        <v>45809</v>
      </c>
      <c r="C3883" t="s">
        <v>3</v>
      </c>
      <c r="D3883" t="s">
        <v>186</v>
      </c>
      <c r="E3883">
        <v>1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f t="shared" si="122"/>
        <v>2025</v>
      </c>
      <c r="P3883">
        <f t="shared" si="123"/>
        <v>6</v>
      </c>
      <c r="Q3883" t="str">
        <f>_xlfn.XLOOKUP(B3883,全店核心数据_bymonth!A:A,全店核心数据_bymonth!AN:AN)</f>
        <v>BU26</v>
      </c>
    </row>
    <row r="3884" spans="1:17" x14ac:dyDescent="0.3">
      <c r="A3884" t="s">
        <v>110</v>
      </c>
      <c r="B3884" s="16">
        <v>45809</v>
      </c>
      <c r="C3884" t="s">
        <v>3</v>
      </c>
      <c r="D3884" t="s">
        <v>391</v>
      </c>
      <c r="E3884">
        <v>7543</v>
      </c>
      <c r="F3884">
        <v>6749</v>
      </c>
      <c r="G3884">
        <v>227</v>
      </c>
      <c r="H3884">
        <v>53</v>
      </c>
      <c r="I3884">
        <v>301312.88</v>
      </c>
      <c r="J3884">
        <v>67</v>
      </c>
      <c r="K3884">
        <v>243398.88</v>
      </c>
      <c r="L3884">
        <v>60</v>
      </c>
      <c r="M3884">
        <v>1136</v>
      </c>
      <c r="N3884">
        <v>7386</v>
      </c>
      <c r="O3884">
        <f t="shared" si="122"/>
        <v>2025</v>
      </c>
      <c r="P3884">
        <f t="shared" si="123"/>
        <v>6</v>
      </c>
      <c r="Q3884" t="str">
        <f>_xlfn.XLOOKUP(B3884,全店核心数据_bymonth!A:A,全店核心数据_bymonth!AN:AN)</f>
        <v>BU26</v>
      </c>
    </row>
    <row r="3885" spans="1:17" x14ac:dyDescent="0.3">
      <c r="A3885" t="s">
        <v>110</v>
      </c>
      <c r="B3885" s="16">
        <v>45809</v>
      </c>
      <c r="C3885" t="s">
        <v>3</v>
      </c>
      <c r="D3885" t="s">
        <v>114</v>
      </c>
      <c r="E3885">
        <v>3260</v>
      </c>
      <c r="F3885">
        <v>2243</v>
      </c>
      <c r="G3885">
        <v>82</v>
      </c>
      <c r="H3885">
        <v>61</v>
      </c>
      <c r="I3885">
        <v>99134</v>
      </c>
      <c r="J3885">
        <v>15</v>
      </c>
      <c r="K3885">
        <v>33962</v>
      </c>
      <c r="L3885">
        <v>8</v>
      </c>
      <c r="M3885">
        <v>232</v>
      </c>
      <c r="N3885">
        <v>3117</v>
      </c>
      <c r="O3885">
        <f t="shared" si="122"/>
        <v>2025</v>
      </c>
      <c r="P3885">
        <f t="shared" si="123"/>
        <v>6</v>
      </c>
      <c r="Q3885" t="str">
        <f>_xlfn.XLOOKUP(B3885,全店核心数据_bymonth!A:A,全店核心数据_bymonth!AN:AN)</f>
        <v>BU26</v>
      </c>
    </row>
    <row r="3886" spans="1:17" x14ac:dyDescent="0.3">
      <c r="A3886" t="s">
        <v>110</v>
      </c>
      <c r="B3886" s="16">
        <v>45809</v>
      </c>
      <c r="C3886" t="s">
        <v>3</v>
      </c>
      <c r="D3886" t="s">
        <v>113</v>
      </c>
      <c r="E3886">
        <v>1850</v>
      </c>
      <c r="F3886">
        <v>1310</v>
      </c>
      <c r="G3886">
        <v>62</v>
      </c>
      <c r="H3886">
        <v>18</v>
      </c>
      <c r="I3886">
        <v>43928</v>
      </c>
      <c r="J3886">
        <v>11</v>
      </c>
      <c r="K3886">
        <v>38758</v>
      </c>
      <c r="L3886">
        <v>9</v>
      </c>
      <c r="M3886">
        <v>1505</v>
      </c>
      <c r="N3886">
        <v>1016</v>
      </c>
      <c r="O3886">
        <f t="shared" si="122"/>
        <v>2025</v>
      </c>
      <c r="P3886">
        <f t="shared" si="123"/>
        <v>6</v>
      </c>
      <c r="Q3886" t="str">
        <f>_xlfn.XLOOKUP(B3886,全店核心数据_bymonth!A:A,全店核心数据_bymonth!AN:AN)</f>
        <v>BU26</v>
      </c>
    </row>
    <row r="3887" spans="1:17" x14ac:dyDescent="0.3">
      <c r="A3887" t="s">
        <v>110</v>
      </c>
      <c r="B3887" s="16">
        <v>45809</v>
      </c>
      <c r="C3887" t="s">
        <v>3</v>
      </c>
      <c r="D3887" t="s">
        <v>112</v>
      </c>
      <c r="E3887">
        <v>395</v>
      </c>
      <c r="F3887">
        <v>161</v>
      </c>
      <c r="G3887">
        <v>17</v>
      </c>
      <c r="H3887">
        <v>1</v>
      </c>
      <c r="I3887">
        <v>159368.81</v>
      </c>
      <c r="J3887">
        <v>41</v>
      </c>
      <c r="K3887">
        <v>151773.81</v>
      </c>
      <c r="L3887">
        <v>39</v>
      </c>
      <c r="M3887">
        <v>7</v>
      </c>
      <c r="N3887">
        <v>395</v>
      </c>
      <c r="O3887">
        <f t="shared" si="122"/>
        <v>2025</v>
      </c>
      <c r="P3887">
        <f t="shared" si="123"/>
        <v>6</v>
      </c>
      <c r="Q3887" t="str">
        <f>_xlfn.XLOOKUP(B3887,全店核心数据_bymonth!A:A,全店核心数据_bymonth!AN:AN)</f>
        <v>BU26</v>
      </c>
    </row>
    <row r="3888" spans="1:17" x14ac:dyDescent="0.3">
      <c r="A3888" t="s">
        <v>110</v>
      </c>
      <c r="B3888" s="16">
        <v>45809</v>
      </c>
      <c r="C3888" t="s">
        <v>3</v>
      </c>
      <c r="D3888" t="s">
        <v>111</v>
      </c>
      <c r="E3888">
        <v>59</v>
      </c>
      <c r="F3888">
        <v>12</v>
      </c>
      <c r="G3888">
        <v>4</v>
      </c>
      <c r="H3888">
        <v>1</v>
      </c>
      <c r="I3888">
        <v>5240</v>
      </c>
      <c r="J3888">
        <v>2</v>
      </c>
      <c r="K3888">
        <v>2750</v>
      </c>
      <c r="L3888">
        <v>1</v>
      </c>
      <c r="M3888">
        <v>4</v>
      </c>
      <c r="N3888">
        <v>59</v>
      </c>
      <c r="O3888">
        <f t="shared" si="122"/>
        <v>2025</v>
      </c>
      <c r="P3888">
        <f t="shared" si="123"/>
        <v>6</v>
      </c>
      <c r="Q3888" t="str">
        <f>_xlfn.XLOOKUP(B3888,全店核心数据_bymonth!A:A,全店核心数据_bymonth!AN:AN)</f>
        <v>BU26</v>
      </c>
    </row>
    <row r="3889" spans="1:17" x14ac:dyDescent="0.3">
      <c r="A3889" t="s">
        <v>110</v>
      </c>
      <c r="B3889" s="16">
        <v>45839</v>
      </c>
      <c r="C3889" t="s">
        <v>2</v>
      </c>
      <c r="D3889" t="s">
        <v>4</v>
      </c>
      <c r="E3889">
        <v>2930</v>
      </c>
      <c r="F3889">
        <v>1650</v>
      </c>
      <c r="G3889">
        <v>27</v>
      </c>
      <c r="H3889">
        <v>11</v>
      </c>
      <c r="I3889">
        <v>53005</v>
      </c>
      <c r="J3889">
        <v>9</v>
      </c>
      <c r="K3889">
        <v>53005</v>
      </c>
      <c r="L3889">
        <v>9</v>
      </c>
      <c r="M3889">
        <v>31</v>
      </c>
      <c r="N3889">
        <v>2922</v>
      </c>
      <c r="O3889">
        <f t="shared" ref="O3889:O3926" si="124">YEAR(B3889)</f>
        <v>2025</v>
      </c>
      <c r="P3889">
        <f t="shared" ref="P3889:P3926" si="125">MONTH(B3889)</f>
        <v>7</v>
      </c>
      <c r="Q3889" t="str">
        <f>_xlfn.XLOOKUP(B3889,全店核心数据_bymonth!A:A,全店核心数据_bymonth!AN:AN)</f>
        <v>BU26</v>
      </c>
    </row>
    <row r="3890" spans="1:17" x14ac:dyDescent="0.3">
      <c r="A3890" t="s">
        <v>110</v>
      </c>
      <c r="B3890" s="16">
        <v>45839</v>
      </c>
      <c r="C3890" t="s">
        <v>2</v>
      </c>
      <c r="D3890" t="s">
        <v>57</v>
      </c>
      <c r="E3890">
        <v>222929</v>
      </c>
      <c r="F3890">
        <v>214679</v>
      </c>
      <c r="G3890">
        <v>1498</v>
      </c>
      <c r="H3890">
        <v>1432</v>
      </c>
      <c r="I3890">
        <v>1342872</v>
      </c>
      <c r="J3890">
        <v>158</v>
      </c>
      <c r="K3890">
        <v>520472</v>
      </c>
      <c r="L3890">
        <v>93</v>
      </c>
      <c r="M3890">
        <v>18640</v>
      </c>
      <c r="N3890">
        <v>217459</v>
      </c>
      <c r="O3890">
        <f t="shared" si="124"/>
        <v>2025</v>
      </c>
      <c r="P3890">
        <f t="shared" si="125"/>
        <v>7</v>
      </c>
      <c r="Q3890" t="str">
        <f>_xlfn.XLOOKUP(B3890,全店核心数据_bymonth!A:A,全店核心数据_bymonth!AN:AN)</f>
        <v>BU26</v>
      </c>
    </row>
    <row r="3891" spans="1:17" x14ac:dyDescent="0.3">
      <c r="A3891" t="s">
        <v>110</v>
      </c>
      <c r="B3891" s="16">
        <v>45839</v>
      </c>
      <c r="C3891" t="s">
        <v>2</v>
      </c>
      <c r="D3891" t="s">
        <v>52</v>
      </c>
      <c r="E3891">
        <v>1</v>
      </c>
      <c r="F3891">
        <v>1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1</v>
      </c>
      <c r="N3891">
        <v>0</v>
      </c>
      <c r="O3891">
        <f t="shared" si="124"/>
        <v>2025</v>
      </c>
      <c r="P3891">
        <f t="shared" si="125"/>
        <v>7</v>
      </c>
      <c r="Q3891" t="str">
        <f>_xlfn.XLOOKUP(B3891,全店核心数据_bymonth!A:A,全店核心数据_bymonth!AN:AN)</f>
        <v>BU26</v>
      </c>
    </row>
    <row r="3892" spans="1:17" x14ac:dyDescent="0.3">
      <c r="A3892" t="s">
        <v>110</v>
      </c>
      <c r="B3892" s="16">
        <v>45839</v>
      </c>
      <c r="C3892" t="s">
        <v>2</v>
      </c>
      <c r="D3892" t="s">
        <v>55</v>
      </c>
      <c r="E3892">
        <v>4356</v>
      </c>
      <c r="F3892">
        <v>3209</v>
      </c>
      <c r="G3892">
        <v>15</v>
      </c>
      <c r="H3892">
        <v>6</v>
      </c>
      <c r="I3892">
        <v>0</v>
      </c>
      <c r="J3892">
        <v>0</v>
      </c>
      <c r="K3892">
        <v>0</v>
      </c>
      <c r="L3892">
        <v>0</v>
      </c>
      <c r="M3892">
        <v>85</v>
      </c>
      <c r="N3892">
        <v>1916</v>
      </c>
      <c r="O3892">
        <f t="shared" si="124"/>
        <v>2025</v>
      </c>
      <c r="P3892">
        <f t="shared" si="125"/>
        <v>7</v>
      </c>
      <c r="Q3892" t="str">
        <f>_xlfn.XLOOKUP(B3892,全店核心数据_bymonth!A:A,全店核心数据_bymonth!AN:AN)</f>
        <v>BU26</v>
      </c>
    </row>
    <row r="3893" spans="1:17" x14ac:dyDescent="0.3">
      <c r="A3893" t="s">
        <v>110</v>
      </c>
      <c r="B3893" s="16">
        <v>45839</v>
      </c>
      <c r="C3893" t="s">
        <v>3</v>
      </c>
      <c r="D3893" t="s">
        <v>155</v>
      </c>
      <c r="E3893">
        <v>584</v>
      </c>
      <c r="F3893">
        <v>526</v>
      </c>
      <c r="G3893">
        <v>1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12</v>
      </c>
      <c r="N3893">
        <v>577</v>
      </c>
      <c r="O3893">
        <f t="shared" si="124"/>
        <v>2025</v>
      </c>
      <c r="P3893">
        <f t="shared" si="125"/>
        <v>7</v>
      </c>
      <c r="Q3893" t="str">
        <f>_xlfn.XLOOKUP(B3893,全店核心数据_bymonth!A:A,全店核心数据_bymonth!AN:AN)</f>
        <v>BU26</v>
      </c>
    </row>
    <row r="3894" spans="1:17" x14ac:dyDescent="0.3">
      <c r="A3894" t="s">
        <v>110</v>
      </c>
      <c r="B3894" s="16">
        <v>45839</v>
      </c>
      <c r="C3894" t="s">
        <v>3</v>
      </c>
      <c r="D3894" t="s">
        <v>154</v>
      </c>
      <c r="E3894">
        <v>333</v>
      </c>
      <c r="F3894">
        <v>299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2</v>
      </c>
      <c r="O3894">
        <f t="shared" si="124"/>
        <v>2025</v>
      </c>
      <c r="P3894">
        <f t="shared" si="125"/>
        <v>7</v>
      </c>
      <c r="Q3894" t="str">
        <f>_xlfn.XLOOKUP(B3894,全店核心数据_bymonth!A:A,全店核心数据_bymonth!AN:AN)</f>
        <v>BU26</v>
      </c>
    </row>
    <row r="3895" spans="1:17" x14ac:dyDescent="0.3">
      <c r="A3895" t="s">
        <v>110</v>
      </c>
      <c r="B3895" s="16">
        <v>45839</v>
      </c>
      <c r="C3895" t="s">
        <v>3</v>
      </c>
      <c r="D3895" t="s">
        <v>153</v>
      </c>
      <c r="E3895">
        <v>1816</v>
      </c>
      <c r="F3895">
        <v>1077</v>
      </c>
      <c r="G3895">
        <v>164</v>
      </c>
      <c r="H3895">
        <v>27</v>
      </c>
      <c r="I3895">
        <v>690800</v>
      </c>
      <c r="J3895">
        <v>102</v>
      </c>
      <c r="K3895">
        <v>557030</v>
      </c>
      <c r="L3895">
        <v>95</v>
      </c>
      <c r="M3895">
        <v>615</v>
      </c>
      <c r="N3895">
        <v>1722</v>
      </c>
      <c r="O3895">
        <f t="shared" si="124"/>
        <v>2025</v>
      </c>
      <c r="P3895">
        <f t="shared" si="125"/>
        <v>7</v>
      </c>
      <c r="Q3895" t="str">
        <f>_xlfn.XLOOKUP(B3895,全店核心数据_bymonth!A:A,全店核心数据_bymonth!AN:AN)</f>
        <v>BU26</v>
      </c>
    </row>
    <row r="3896" spans="1:17" x14ac:dyDescent="0.3">
      <c r="A3896" t="s">
        <v>110</v>
      </c>
      <c r="B3896" s="16">
        <v>45839</v>
      </c>
      <c r="C3896" t="s">
        <v>3</v>
      </c>
      <c r="D3896" t="s">
        <v>152</v>
      </c>
      <c r="E3896">
        <v>490</v>
      </c>
      <c r="F3896">
        <v>315</v>
      </c>
      <c r="G3896">
        <v>4</v>
      </c>
      <c r="H3896">
        <v>5</v>
      </c>
      <c r="I3896">
        <v>0</v>
      </c>
      <c r="J3896">
        <v>0</v>
      </c>
      <c r="K3896">
        <v>0</v>
      </c>
      <c r="L3896">
        <v>0</v>
      </c>
      <c r="M3896">
        <v>3</v>
      </c>
      <c r="N3896">
        <v>406</v>
      </c>
      <c r="O3896">
        <f t="shared" si="124"/>
        <v>2025</v>
      </c>
      <c r="P3896">
        <f t="shared" si="125"/>
        <v>7</v>
      </c>
      <c r="Q3896" t="str">
        <f>_xlfn.XLOOKUP(B3896,全店核心数据_bymonth!A:A,全店核心数据_bymonth!AN:AN)</f>
        <v>BU26</v>
      </c>
    </row>
    <row r="3897" spans="1:17" x14ac:dyDescent="0.3">
      <c r="A3897" t="s">
        <v>110</v>
      </c>
      <c r="B3897" s="16">
        <v>45839</v>
      </c>
      <c r="C3897" t="s">
        <v>3</v>
      </c>
      <c r="D3897" t="s">
        <v>150</v>
      </c>
      <c r="E3897">
        <v>284</v>
      </c>
      <c r="F3897">
        <v>175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2</v>
      </c>
      <c r="N3897">
        <v>268</v>
      </c>
      <c r="O3897">
        <f t="shared" si="124"/>
        <v>2025</v>
      </c>
      <c r="P3897">
        <f t="shared" si="125"/>
        <v>7</v>
      </c>
      <c r="Q3897" t="str">
        <f>_xlfn.XLOOKUP(B3897,全店核心数据_bymonth!A:A,全店核心数据_bymonth!AN:AN)</f>
        <v>BU26</v>
      </c>
    </row>
    <row r="3898" spans="1:17" x14ac:dyDescent="0.3">
      <c r="A3898" t="s">
        <v>110</v>
      </c>
      <c r="B3898" s="16">
        <v>45839</v>
      </c>
      <c r="C3898" t="s">
        <v>3</v>
      </c>
      <c r="D3898" t="s">
        <v>149</v>
      </c>
      <c r="E3898">
        <v>59</v>
      </c>
      <c r="F3898">
        <v>43</v>
      </c>
      <c r="G3898">
        <v>1</v>
      </c>
      <c r="H3898">
        <v>1</v>
      </c>
      <c r="I3898">
        <v>0</v>
      </c>
      <c r="J3898">
        <v>0</v>
      </c>
      <c r="K3898">
        <v>0</v>
      </c>
      <c r="L3898">
        <v>0</v>
      </c>
      <c r="M3898">
        <v>6</v>
      </c>
      <c r="N3898">
        <v>35</v>
      </c>
      <c r="O3898">
        <f t="shared" si="124"/>
        <v>2025</v>
      </c>
      <c r="P3898">
        <f t="shared" si="125"/>
        <v>7</v>
      </c>
      <c r="Q3898" t="str">
        <f>_xlfn.XLOOKUP(B3898,全店核心数据_bymonth!A:A,全店核心数据_bymonth!AN:AN)</f>
        <v>BU26</v>
      </c>
    </row>
    <row r="3899" spans="1:17" x14ac:dyDescent="0.3">
      <c r="A3899" t="s">
        <v>110</v>
      </c>
      <c r="B3899" s="16">
        <v>45839</v>
      </c>
      <c r="C3899" t="s">
        <v>3</v>
      </c>
      <c r="D3899" t="s">
        <v>148</v>
      </c>
      <c r="E3899">
        <v>6</v>
      </c>
      <c r="F3899">
        <v>6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4</v>
      </c>
      <c r="N3899">
        <v>2</v>
      </c>
      <c r="O3899">
        <f t="shared" si="124"/>
        <v>2025</v>
      </c>
      <c r="P3899">
        <f t="shared" si="125"/>
        <v>7</v>
      </c>
      <c r="Q3899" t="str">
        <f>_xlfn.XLOOKUP(B3899,全店核心数据_bymonth!A:A,全店核心数据_bymonth!AN:AN)</f>
        <v>BU26</v>
      </c>
    </row>
    <row r="3900" spans="1:17" x14ac:dyDescent="0.3">
      <c r="A3900" t="s">
        <v>110</v>
      </c>
      <c r="B3900" s="16">
        <v>45839</v>
      </c>
      <c r="C3900" t="s">
        <v>3</v>
      </c>
      <c r="D3900" t="s">
        <v>630</v>
      </c>
      <c r="E3900">
        <v>125</v>
      </c>
      <c r="F3900">
        <v>50</v>
      </c>
      <c r="G3900">
        <v>3</v>
      </c>
      <c r="H3900">
        <v>0</v>
      </c>
      <c r="I3900">
        <v>5501</v>
      </c>
      <c r="J3900">
        <v>3</v>
      </c>
      <c r="K3900">
        <v>5501</v>
      </c>
      <c r="L3900">
        <v>3</v>
      </c>
      <c r="M3900">
        <v>3</v>
      </c>
      <c r="N3900">
        <v>101</v>
      </c>
      <c r="O3900">
        <f t="shared" si="124"/>
        <v>2025</v>
      </c>
      <c r="P3900">
        <f t="shared" si="125"/>
        <v>7</v>
      </c>
      <c r="Q3900" t="str">
        <f>_xlfn.XLOOKUP(B3900,全店核心数据_bymonth!A:A,全店核心数据_bymonth!AN:AN)</f>
        <v>BU26</v>
      </c>
    </row>
    <row r="3901" spans="1:17" x14ac:dyDescent="0.3">
      <c r="A3901" t="s">
        <v>110</v>
      </c>
      <c r="B3901" s="16">
        <v>45839</v>
      </c>
      <c r="C3901" t="s">
        <v>3</v>
      </c>
      <c r="D3901" t="s">
        <v>251</v>
      </c>
      <c r="E3901">
        <v>6836</v>
      </c>
      <c r="F3901">
        <v>5945</v>
      </c>
      <c r="G3901">
        <v>68</v>
      </c>
      <c r="H3901">
        <v>26</v>
      </c>
      <c r="I3901">
        <v>138460</v>
      </c>
      <c r="J3901">
        <v>27</v>
      </c>
      <c r="K3901">
        <v>120580</v>
      </c>
      <c r="L3901">
        <v>24</v>
      </c>
      <c r="M3901">
        <v>713</v>
      </c>
      <c r="N3901">
        <v>1980</v>
      </c>
      <c r="O3901">
        <f t="shared" si="124"/>
        <v>2025</v>
      </c>
      <c r="P3901">
        <f t="shared" si="125"/>
        <v>7</v>
      </c>
      <c r="Q3901" t="str">
        <f>_xlfn.XLOOKUP(B3901,全店核心数据_bymonth!A:A,全店核心数据_bymonth!AN:AN)</f>
        <v>BU26</v>
      </c>
    </row>
    <row r="3902" spans="1:17" x14ac:dyDescent="0.3">
      <c r="A3902" t="s">
        <v>110</v>
      </c>
      <c r="B3902" s="16">
        <v>45839</v>
      </c>
      <c r="C3902" t="s">
        <v>3</v>
      </c>
      <c r="D3902" t="s">
        <v>143</v>
      </c>
      <c r="E3902">
        <v>61</v>
      </c>
      <c r="F3902">
        <v>51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v>0</v>
      </c>
      <c r="M3902">
        <v>1</v>
      </c>
      <c r="N3902">
        <v>61</v>
      </c>
      <c r="O3902">
        <f t="shared" si="124"/>
        <v>2025</v>
      </c>
      <c r="P3902">
        <f t="shared" si="125"/>
        <v>7</v>
      </c>
      <c r="Q3902" t="str">
        <f>_xlfn.XLOOKUP(B3902,全店核心数据_bymonth!A:A,全店核心数据_bymonth!AN:AN)</f>
        <v>BU26</v>
      </c>
    </row>
    <row r="3903" spans="1:17" x14ac:dyDescent="0.3">
      <c r="A3903" t="s">
        <v>110</v>
      </c>
      <c r="B3903" s="16">
        <v>45839</v>
      </c>
      <c r="C3903" t="s">
        <v>3</v>
      </c>
      <c r="D3903" t="s">
        <v>141</v>
      </c>
      <c r="E3903">
        <v>3812</v>
      </c>
      <c r="F3903">
        <v>3085</v>
      </c>
      <c r="G3903">
        <v>43</v>
      </c>
      <c r="H3903">
        <v>2</v>
      </c>
      <c r="I3903">
        <v>0</v>
      </c>
      <c r="J3903">
        <v>0</v>
      </c>
      <c r="K3903">
        <v>0</v>
      </c>
      <c r="L3903">
        <v>0</v>
      </c>
      <c r="M3903">
        <v>20</v>
      </c>
      <c r="N3903">
        <v>3792</v>
      </c>
      <c r="O3903">
        <f t="shared" si="124"/>
        <v>2025</v>
      </c>
      <c r="P3903">
        <f t="shared" si="125"/>
        <v>7</v>
      </c>
      <c r="Q3903" t="str">
        <f>_xlfn.XLOOKUP(B3903,全店核心数据_bymonth!A:A,全店核心数据_bymonth!AN:AN)</f>
        <v>BU26</v>
      </c>
    </row>
    <row r="3904" spans="1:17" x14ac:dyDescent="0.3">
      <c r="A3904" t="s">
        <v>110</v>
      </c>
      <c r="B3904" s="16">
        <v>45839</v>
      </c>
      <c r="C3904" t="s">
        <v>3</v>
      </c>
      <c r="D3904" t="s">
        <v>140</v>
      </c>
      <c r="E3904">
        <v>69</v>
      </c>
      <c r="F3904">
        <v>58</v>
      </c>
      <c r="G3904">
        <v>3</v>
      </c>
      <c r="H3904">
        <v>2</v>
      </c>
      <c r="I3904">
        <v>12460</v>
      </c>
      <c r="J3904">
        <v>3</v>
      </c>
      <c r="K3904">
        <v>12460</v>
      </c>
      <c r="L3904">
        <v>3</v>
      </c>
      <c r="M3904">
        <v>10</v>
      </c>
      <c r="N3904">
        <v>63</v>
      </c>
      <c r="O3904">
        <f t="shared" si="124"/>
        <v>2025</v>
      </c>
      <c r="P3904">
        <f t="shared" si="125"/>
        <v>7</v>
      </c>
      <c r="Q3904" t="str">
        <f>_xlfn.XLOOKUP(B3904,全店核心数据_bymonth!A:A,全店核心数据_bymonth!AN:AN)</f>
        <v>BU26</v>
      </c>
    </row>
    <row r="3905" spans="1:17" x14ac:dyDescent="0.3">
      <c r="A3905" t="s">
        <v>110</v>
      </c>
      <c r="B3905" s="16">
        <v>45839</v>
      </c>
      <c r="C3905" t="s">
        <v>3</v>
      </c>
      <c r="D3905" t="s">
        <v>139</v>
      </c>
      <c r="E3905">
        <v>6530</v>
      </c>
      <c r="F3905">
        <v>5057</v>
      </c>
      <c r="G3905">
        <v>209</v>
      </c>
      <c r="H3905">
        <v>68</v>
      </c>
      <c r="I3905">
        <v>410462</v>
      </c>
      <c r="J3905">
        <v>56</v>
      </c>
      <c r="K3905">
        <v>285557</v>
      </c>
      <c r="L3905">
        <v>47</v>
      </c>
      <c r="M3905">
        <v>2969</v>
      </c>
      <c r="N3905">
        <v>4476</v>
      </c>
      <c r="O3905">
        <f t="shared" si="124"/>
        <v>2025</v>
      </c>
      <c r="P3905">
        <f t="shared" si="125"/>
        <v>7</v>
      </c>
      <c r="Q3905" t="str">
        <f>_xlfn.XLOOKUP(B3905,全店核心数据_bymonth!A:A,全店核心数据_bymonth!AN:AN)</f>
        <v>BU26</v>
      </c>
    </row>
    <row r="3906" spans="1:17" x14ac:dyDescent="0.3">
      <c r="A3906" t="s">
        <v>110</v>
      </c>
      <c r="B3906" s="16">
        <v>45839</v>
      </c>
      <c r="C3906" t="s">
        <v>3</v>
      </c>
      <c r="D3906" t="s">
        <v>138</v>
      </c>
      <c r="E3906">
        <v>153</v>
      </c>
      <c r="F3906">
        <v>106</v>
      </c>
      <c r="G3906">
        <v>5</v>
      </c>
      <c r="H3906">
        <v>0</v>
      </c>
      <c r="I3906">
        <v>7750</v>
      </c>
      <c r="J3906">
        <v>2</v>
      </c>
      <c r="K3906">
        <v>4500</v>
      </c>
      <c r="L3906">
        <v>1</v>
      </c>
      <c r="M3906">
        <v>19</v>
      </c>
      <c r="N3906">
        <v>149</v>
      </c>
      <c r="O3906">
        <f t="shared" si="124"/>
        <v>2025</v>
      </c>
      <c r="P3906">
        <f t="shared" si="125"/>
        <v>7</v>
      </c>
      <c r="Q3906" t="str">
        <f>_xlfn.XLOOKUP(B3906,全店核心数据_bymonth!A:A,全店核心数据_bymonth!AN:AN)</f>
        <v>BU26</v>
      </c>
    </row>
    <row r="3907" spans="1:17" x14ac:dyDescent="0.3">
      <c r="A3907" t="s">
        <v>110</v>
      </c>
      <c r="B3907" s="16">
        <v>45839</v>
      </c>
      <c r="C3907" t="s">
        <v>3</v>
      </c>
      <c r="D3907" t="s">
        <v>137</v>
      </c>
      <c r="E3907">
        <v>1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1</v>
      </c>
      <c r="O3907">
        <f t="shared" si="124"/>
        <v>2025</v>
      </c>
      <c r="P3907">
        <f t="shared" si="125"/>
        <v>7</v>
      </c>
      <c r="Q3907" t="str">
        <f>_xlfn.XLOOKUP(B3907,全店核心数据_bymonth!A:A,全店核心数据_bymonth!AN:AN)</f>
        <v>BU26</v>
      </c>
    </row>
    <row r="3908" spans="1:17" x14ac:dyDescent="0.3">
      <c r="A3908" t="s">
        <v>110</v>
      </c>
      <c r="B3908" s="16">
        <v>45839</v>
      </c>
      <c r="C3908" t="s">
        <v>3</v>
      </c>
      <c r="D3908" t="s">
        <v>136</v>
      </c>
      <c r="E3908">
        <v>2</v>
      </c>
      <c r="F3908">
        <v>2</v>
      </c>
      <c r="G3908">
        <v>0</v>
      </c>
      <c r="H3908">
        <v>1</v>
      </c>
      <c r="I3908">
        <v>6880</v>
      </c>
      <c r="J3908">
        <v>1</v>
      </c>
      <c r="K3908">
        <v>6880</v>
      </c>
      <c r="L3908">
        <v>1</v>
      </c>
      <c r="M3908">
        <v>0</v>
      </c>
      <c r="N3908">
        <v>2</v>
      </c>
      <c r="O3908">
        <f t="shared" si="124"/>
        <v>2025</v>
      </c>
      <c r="P3908">
        <f t="shared" si="125"/>
        <v>7</v>
      </c>
      <c r="Q3908" t="str">
        <f>_xlfn.XLOOKUP(B3908,全店核心数据_bymonth!A:A,全店核心数据_bymonth!AN:AN)</f>
        <v>BU26</v>
      </c>
    </row>
    <row r="3909" spans="1:17" x14ac:dyDescent="0.3">
      <c r="A3909" t="s">
        <v>110</v>
      </c>
      <c r="B3909" s="16">
        <v>45839</v>
      </c>
      <c r="C3909" t="s">
        <v>3</v>
      </c>
      <c r="D3909" t="s">
        <v>133</v>
      </c>
      <c r="E3909">
        <v>259</v>
      </c>
      <c r="F3909">
        <v>204</v>
      </c>
      <c r="G3909">
        <v>10</v>
      </c>
      <c r="H3909">
        <v>2</v>
      </c>
      <c r="I3909">
        <v>22180</v>
      </c>
      <c r="J3909">
        <v>5</v>
      </c>
      <c r="K3909">
        <v>22180</v>
      </c>
      <c r="L3909">
        <v>5</v>
      </c>
      <c r="M3909">
        <v>117</v>
      </c>
      <c r="N3909">
        <v>191</v>
      </c>
      <c r="O3909">
        <f t="shared" si="124"/>
        <v>2025</v>
      </c>
      <c r="P3909">
        <f t="shared" si="125"/>
        <v>7</v>
      </c>
      <c r="Q3909" t="str">
        <f>_xlfn.XLOOKUP(B3909,全店核心数据_bymonth!A:A,全店核心数据_bymonth!AN:AN)</f>
        <v>BU26</v>
      </c>
    </row>
    <row r="3910" spans="1:17" x14ac:dyDescent="0.3">
      <c r="A3910" t="s">
        <v>110</v>
      </c>
      <c r="B3910" s="16">
        <v>45839</v>
      </c>
      <c r="C3910" t="s">
        <v>3</v>
      </c>
      <c r="D3910" t="s">
        <v>130</v>
      </c>
      <c r="E3910">
        <v>1664</v>
      </c>
      <c r="F3910">
        <v>1150</v>
      </c>
      <c r="G3910">
        <v>75</v>
      </c>
      <c r="H3910">
        <v>18</v>
      </c>
      <c r="I3910">
        <v>267060</v>
      </c>
      <c r="J3910">
        <v>49</v>
      </c>
      <c r="K3910">
        <v>247125</v>
      </c>
      <c r="L3910">
        <v>47</v>
      </c>
      <c r="M3910">
        <v>918</v>
      </c>
      <c r="N3910">
        <v>1254</v>
      </c>
      <c r="O3910">
        <f t="shared" si="124"/>
        <v>2025</v>
      </c>
      <c r="P3910">
        <f t="shared" si="125"/>
        <v>7</v>
      </c>
      <c r="Q3910" t="str">
        <f>_xlfn.XLOOKUP(B3910,全店核心数据_bymonth!A:A,全店核心数据_bymonth!AN:AN)</f>
        <v>BU26</v>
      </c>
    </row>
    <row r="3911" spans="1:17" x14ac:dyDescent="0.3">
      <c r="A3911" t="s">
        <v>110</v>
      </c>
      <c r="B3911" s="16">
        <v>45839</v>
      </c>
      <c r="C3911" t="s">
        <v>3</v>
      </c>
      <c r="D3911" t="s">
        <v>128</v>
      </c>
      <c r="E3911">
        <v>11717</v>
      </c>
      <c r="F3911">
        <v>10553</v>
      </c>
      <c r="G3911">
        <v>320</v>
      </c>
      <c r="H3911">
        <v>124</v>
      </c>
      <c r="I3911">
        <v>385116</v>
      </c>
      <c r="J3911">
        <v>44</v>
      </c>
      <c r="K3911">
        <v>184351</v>
      </c>
      <c r="L3911">
        <v>30</v>
      </c>
      <c r="M3911">
        <v>6545</v>
      </c>
      <c r="N3911">
        <v>7464</v>
      </c>
      <c r="O3911">
        <f t="shared" si="124"/>
        <v>2025</v>
      </c>
      <c r="P3911">
        <f t="shared" si="125"/>
        <v>7</v>
      </c>
      <c r="Q3911" t="str">
        <f>_xlfn.XLOOKUP(B3911,全店核心数据_bymonth!A:A,全店核心数据_bymonth!AN:AN)</f>
        <v>BU26</v>
      </c>
    </row>
    <row r="3912" spans="1:17" x14ac:dyDescent="0.3">
      <c r="A3912" t="s">
        <v>110</v>
      </c>
      <c r="B3912" s="16">
        <v>45839</v>
      </c>
      <c r="C3912" t="s">
        <v>3</v>
      </c>
      <c r="D3912" t="s">
        <v>127</v>
      </c>
      <c r="E3912">
        <v>42693</v>
      </c>
      <c r="F3912">
        <v>38739</v>
      </c>
      <c r="G3912">
        <v>377</v>
      </c>
      <c r="H3912">
        <v>283</v>
      </c>
      <c r="I3912">
        <v>217992</v>
      </c>
      <c r="J3912">
        <v>32</v>
      </c>
      <c r="K3912">
        <v>156052</v>
      </c>
      <c r="L3912">
        <v>27</v>
      </c>
      <c r="M3912">
        <v>2694</v>
      </c>
      <c r="N3912">
        <v>40775</v>
      </c>
      <c r="O3912">
        <f t="shared" si="124"/>
        <v>2025</v>
      </c>
      <c r="P3912">
        <f t="shared" si="125"/>
        <v>7</v>
      </c>
      <c r="Q3912" t="str">
        <f>_xlfn.XLOOKUP(B3912,全店核心数据_bymonth!A:A,全店核心数据_bymonth!AN:AN)</f>
        <v>BU26</v>
      </c>
    </row>
    <row r="3913" spans="1:17" x14ac:dyDescent="0.3">
      <c r="A3913" t="s">
        <v>110</v>
      </c>
      <c r="B3913" s="16">
        <v>45839</v>
      </c>
      <c r="C3913" t="s">
        <v>3</v>
      </c>
      <c r="D3913" t="s">
        <v>126</v>
      </c>
      <c r="E3913">
        <v>1577</v>
      </c>
      <c r="F3913">
        <v>1337</v>
      </c>
      <c r="G3913">
        <v>60</v>
      </c>
      <c r="H3913">
        <v>30</v>
      </c>
      <c r="I3913">
        <v>52630</v>
      </c>
      <c r="J3913">
        <v>9</v>
      </c>
      <c r="K3913">
        <v>47935</v>
      </c>
      <c r="L3913">
        <v>9</v>
      </c>
      <c r="M3913">
        <v>226</v>
      </c>
      <c r="N3913">
        <v>1531</v>
      </c>
      <c r="O3913">
        <f t="shared" si="124"/>
        <v>2025</v>
      </c>
      <c r="P3913">
        <f t="shared" si="125"/>
        <v>7</v>
      </c>
      <c r="Q3913" t="str">
        <f>_xlfn.XLOOKUP(B3913,全店核心数据_bymonth!A:A,全店核心数据_bymonth!AN:AN)</f>
        <v>BU26</v>
      </c>
    </row>
    <row r="3914" spans="1:17" x14ac:dyDescent="0.3">
      <c r="A3914" t="s">
        <v>110</v>
      </c>
      <c r="B3914" s="16">
        <v>45839</v>
      </c>
      <c r="C3914" t="s">
        <v>3</v>
      </c>
      <c r="D3914" t="s">
        <v>125</v>
      </c>
      <c r="E3914">
        <v>14</v>
      </c>
      <c r="F3914">
        <v>12</v>
      </c>
      <c r="G3914">
        <v>0</v>
      </c>
      <c r="H3914">
        <v>0</v>
      </c>
      <c r="I3914">
        <v>3995</v>
      </c>
      <c r="J3914">
        <v>1</v>
      </c>
      <c r="K3914">
        <v>0</v>
      </c>
      <c r="L3914">
        <v>0</v>
      </c>
      <c r="M3914">
        <v>2</v>
      </c>
      <c r="N3914">
        <v>13</v>
      </c>
      <c r="O3914">
        <f t="shared" si="124"/>
        <v>2025</v>
      </c>
      <c r="P3914">
        <f t="shared" si="125"/>
        <v>7</v>
      </c>
      <c r="Q3914" t="str">
        <f>_xlfn.XLOOKUP(B3914,全店核心数据_bymonth!A:A,全店核心数据_bymonth!AN:AN)</f>
        <v>BU26</v>
      </c>
    </row>
    <row r="3915" spans="1:17" x14ac:dyDescent="0.3">
      <c r="A3915" t="s">
        <v>110</v>
      </c>
      <c r="B3915" s="16">
        <v>45839</v>
      </c>
      <c r="C3915" t="s">
        <v>3</v>
      </c>
      <c r="D3915" t="s">
        <v>123</v>
      </c>
      <c r="E3915">
        <v>1290</v>
      </c>
      <c r="F3915">
        <v>860</v>
      </c>
      <c r="G3915">
        <v>39</v>
      </c>
      <c r="H3915">
        <v>22</v>
      </c>
      <c r="I3915">
        <v>42180</v>
      </c>
      <c r="J3915">
        <v>5</v>
      </c>
      <c r="K3915">
        <v>25535</v>
      </c>
      <c r="L3915">
        <v>4</v>
      </c>
      <c r="M3915">
        <v>521</v>
      </c>
      <c r="N3915">
        <v>1086</v>
      </c>
      <c r="O3915">
        <f t="shared" si="124"/>
        <v>2025</v>
      </c>
      <c r="P3915">
        <f t="shared" si="125"/>
        <v>7</v>
      </c>
      <c r="Q3915" t="str">
        <f>_xlfn.XLOOKUP(B3915,全店核心数据_bymonth!A:A,全店核心数据_bymonth!AN:AN)</f>
        <v>BU26</v>
      </c>
    </row>
    <row r="3916" spans="1:17" x14ac:dyDescent="0.3">
      <c r="A3916" t="s">
        <v>110</v>
      </c>
      <c r="B3916" s="16">
        <v>45839</v>
      </c>
      <c r="C3916" t="s">
        <v>3</v>
      </c>
      <c r="D3916" t="s">
        <v>122</v>
      </c>
      <c r="E3916">
        <v>4</v>
      </c>
      <c r="F3916">
        <v>3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2</v>
      </c>
      <c r="O3916">
        <f t="shared" si="124"/>
        <v>2025</v>
      </c>
      <c r="P3916">
        <f t="shared" si="125"/>
        <v>7</v>
      </c>
      <c r="Q3916" t="str">
        <f>_xlfn.XLOOKUP(B3916,全店核心数据_bymonth!A:A,全店核心数据_bymonth!AN:AN)</f>
        <v>BU26</v>
      </c>
    </row>
    <row r="3917" spans="1:17" x14ac:dyDescent="0.3">
      <c r="A3917" t="s">
        <v>110</v>
      </c>
      <c r="B3917" s="16">
        <v>45839</v>
      </c>
      <c r="C3917" t="s">
        <v>3</v>
      </c>
      <c r="D3917" t="s">
        <v>121</v>
      </c>
      <c r="E3917">
        <v>12</v>
      </c>
      <c r="F3917">
        <v>11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5</v>
      </c>
      <c r="N3917">
        <v>7</v>
      </c>
      <c r="O3917">
        <f t="shared" si="124"/>
        <v>2025</v>
      </c>
      <c r="P3917">
        <f t="shared" si="125"/>
        <v>7</v>
      </c>
      <c r="Q3917" t="str">
        <f>_xlfn.XLOOKUP(B3917,全店核心数据_bymonth!A:A,全店核心数据_bymonth!AN:AN)</f>
        <v>BU26</v>
      </c>
    </row>
    <row r="3918" spans="1:17" x14ac:dyDescent="0.3">
      <c r="A3918" t="s">
        <v>110</v>
      </c>
      <c r="B3918" s="16">
        <v>45839</v>
      </c>
      <c r="C3918" t="s">
        <v>3</v>
      </c>
      <c r="D3918" t="s">
        <v>119</v>
      </c>
      <c r="E3918">
        <v>1861</v>
      </c>
      <c r="F3918">
        <v>1158</v>
      </c>
      <c r="G3918">
        <v>76</v>
      </c>
      <c r="H3918">
        <v>61</v>
      </c>
      <c r="I3918">
        <v>578890</v>
      </c>
      <c r="J3918">
        <v>37</v>
      </c>
      <c r="K3918">
        <v>223324</v>
      </c>
      <c r="L3918">
        <v>32</v>
      </c>
      <c r="M3918">
        <v>451</v>
      </c>
      <c r="N3918">
        <v>1779</v>
      </c>
      <c r="O3918">
        <f t="shared" si="124"/>
        <v>2025</v>
      </c>
      <c r="P3918">
        <f t="shared" si="125"/>
        <v>7</v>
      </c>
      <c r="Q3918" t="str">
        <f>_xlfn.XLOOKUP(B3918,全店核心数据_bymonth!A:A,全店核心数据_bymonth!AN:AN)</f>
        <v>BU26</v>
      </c>
    </row>
    <row r="3919" spans="1:17" x14ac:dyDescent="0.3">
      <c r="A3919" t="s">
        <v>110</v>
      </c>
      <c r="B3919" s="16">
        <v>45839</v>
      </c>
      <c r="C3919" t="s">
        <v>3</v>
      </c>
      <c r="D3919" t="s">
        <v>583</v>
      </c>
      <c r="E3919">
        <v>14</v>
      </c>
      <c r="F3919">
        <v>14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14</v>
      </c>
      <c r="O3919">
        <f t="shared" si="124"/>
        <v>2025</v>
      </c>
      <c r="P3919">
        <f t="shared" si="125"/>
        <v>7</v>
      </c>
      <c r="Q3919" t="str">
        <f>_xlfn.XLOOKUP(B3919,全店核心数据_bymonth!A:A,全店核心数据_bymonth!AN:AN)</f>
        <v>BU26</v>
      </c>
    </row>
    <row r="3920" spans="1:17" x14ac:dyDescent="0.3">
      <c r="A3920" t="s">
        <v>110</v>
      </c>
      <c r="B3920" s="16">
        <v>45839</v>
      </c>
      <c r="C3920" t="s">
        <v>3</v>
      </c>
      <c r="D3920" t="s">
        <v>252</v>
      </c>
      <c r="E3920">
        <v>110</v>
      </c>
      <c r="F3920">
        <v>100</v>
      </c>
      <c r="G3920">
        <v>2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5</v>
      </c>
      <c r="N3920">
        <v>110</v>
      </c>
      <c r="O3920">
        <f t="shared" si="124"/>
        <v>2025</v>
      </c>
      <c r="P3920">
        <f t="shared" si="125"/>
        <v>7</v>
      </c>
      <c r="Q3920" t="str">
        <f>_xlfn.XLOOKUP(B3920,全店核心数据_bymonth!A:A,全店核心数据_bymonth!AN:AN)</f>
        <v>BU26</v>
      </c>
    </row>
    <row r="3921" spans="1:17" x14ac:dyDescent="0.3">
      <c r="A3921" t="s">
        <v>110</v>
      </c>
      <c r="B3921" s="16">
        <v>45839</v>
      </c>
      <c r="C3921" t="s">
        <v>3</v>
      </c>
      <c r="D3921" t="s">
        <v>117</v>
      </c>
      <c r="E3921">
        <v>2</v>
      </c>
      <c r="F3921">
        <v>2</v>
      </c>
      <c r="G3921">
        <v>1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</v>
      </c>
      <c r="N3921">
        <v>2</v>
      </c>
      <c r="O3921">
        <f t="shared" si="124"/>
        <v>2025</v>
      </c>
      <c r="P3921">
        <f t="shared" si="125"/>
        <v>7</v>
      </c>
      <c r="Q3921" t="str">
        <f>_xlfn.XLOOKUP(B3921,全店核心数据_bymonth!A:A,全店核心数据_bymonth!AN:AN)</f>
        <v>BU26</v>
      </c>
    </row>
    <row r="3922" spans="1:17" x14ac:dyDescent="0.3">
      <c r="A3922" t="s">
        <v>110</v>
      </c>
      <c r="B3922" s="16">
        <v>45839</v>
      </c>
      <c r="C3922" t="s">
        <v>3</v>
      </c>
      <c r="D3922" t="s">
        <v>391</v>
      </c>
      <c r="E3922">
        <v>6027</v>
      </c>
      <c r="F3922">
        <v>5619</v>
      </c>
      <c r="G3922">
        <v>128</v>
      </c>
      <c r="H3922">
        <v>44</v>
      </c>
      <c r="I3922">
        <v>70475</v>
      </c>
      <c r="J3922">
        <v>16</v>
      </c>
      <c r="K3922">
        <v>62295</v>
      </c>
      <c r="L3922">
        <v>14</v>
      </c>
      <c r="M3922">
        <v>759</v>
      </c>
      <c r="N3922">
        <v>5929</v>
      </c>
      <c r="O3922">
        <f t="shared" si="124"/>
        <v>2025</v>
      </c>
      <c r="P3922">
        <f t="shared" si="125"/>
        <v>7</v>
      </c>
      <c r="Q3922" t="str">
        <f>_xlfn.XLOOKUP(B3922,全店核心数据_bymonth!A:A,全店核心数据_bymonth!AN:AN)</f>
        <v>BU26</v>
      </c>
    </row>
    <row r="3923" spans="1:17" x14ac:dyDescent="0.3">
      <c r="A3923" t="s">
        <v>110</v>
      </c>
      <c r="B3923" s="16">
        <v>45839</v>
      </c>
      <c r="C3923" t="s">
        <v>3</v>
      </c>
      <c r="D3923" t="s">
        <v>114</v>
      </c>
      <c r="E3923">
        <v>9</v>
      </c>
      <c r="F3923">
        <v>6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1</v>
      </c>
      <c r="N3923">
        <v>1</v>
      </c>
      <c r="O3923">
        <f t="shared" si="124"/>
        <v>2025</v>
      </c>
      <c r="P3923">
        <f t="shared" si="125"/>
        <v>7</v>
      </c>
      <c r="Q3923" t="str">
        <f>_xlfn.XLOOKUP(B3923,全店核心数据_bymonth!A:A,全店核心数据_bymonth!AN:AN)</f>
        <v>BU26</v>
      </c>
    </row>
    <row r="3924" spans="1:17" x14ac:dyDescent="0.3">
      <c r="A3924" t="s">
        <v>110</v>
      </c>
      <c r="B3924" s="16">
        <v>45839</v>
      </c>
      <c r="C3924" t="s">
        <v>3</v>
      </c>
      <c r="D3924" t="s">
        <v>113</v>
      </c>
      <c r="E3924">
        <v>1484</v>
      </c>
      <c r="F3924">
        <v>1180</v>
      </c>
      <c r="G3924">
        <v>32</v>
      </c>
      <c r="H3924">
        <v>16</v>
      </c>
      <c r="I3924">
        <v>15320</v>
      </c>
      <c r="J3924">
        <v>4</v>
      </c>
      <c r="K3924">
        <v>15320</v>
      </c>
      <c r="L3924">
        <v>4</v>
      </c>
      <c r="M3924">
        <v>1247</v>
      </c>
      <c r="N3924">
        <v>760</v>
      </c>
      <c r="O3924">
        <f t="shared" si="124"/>
        <v>2025</v>
      </c>
      <c r="P3924">
        <f t="shared" si="125"/>
        <v>7</v>
      </c>
      <c r="Q3924" t="str">
        <f>_xlfn.XLOOKUP(B3924,全店核心数据_bymonth!A:A,全店核心数据_bymonth!AN:AN)</f>
        <v>BU26</v>
      </c>
    </row>
    <row r="3925" spans="1:17" x14ac:dyDescent="0.3">
      <c r="A3925" t="s">
        <v>110</v>
      </c>
      <c r="B3925" s="16">
        <v>45839</v>
      </c>
      <c r="C3925" t="s">
        <v>3</v>
      </c>
      <c r="D3925" t="s">
        <v>112</v>
      </c>
      <c r="E3925">
        <v>196</v>
      </c>
      <c r="F3925">
        <v>68</v>
      </c>
      <c r="G3925">
        <v>0</v>
      </c>
      <c r="H3925">
        <v>1</v>
      </c>
      <c r="I3925">
        <v>18275</v>
      </c>
      <c r="J3925">
        <v>4</v>
      </c>
      <c r="K3925">
        <v>18275</v>
      </c>
      <c r="L3925">
        <v>4</v>
      </c>
      <c r="M3925">
        <v>1</v>
      </c>
      <c r="N3925">
        <v>195</v>
      </c>
      <c r="O3925">
        <f t="shared" si="124"/>
        <v>2025</v>
      </c>
      <c r="P3925">
        <f t="shared" si="125"/>
        <v>7</v>
      </c>
      <c r="Q3925" t="str">
        <f>_xlfn.XLOOKUP(B3925,全店核心数据_bymonth!A:A,全店核心数据_bymonth!AN:AN)</f>
        <v>BU26</v>
      </c>
    </row>
    <row r="3926" spans="1:17" x14ac:dyDescent="0.3">
      <c r="A3926" t="s">
        <v>110</v>
      </c>
      <c r="B3926" s="16">
        <v>45839</v>
      </c>
      <c r="C3926" t="s">
        <v>3</v>
      </c>
      <c r="D3926" t="s">
        <v>111</v>
      </c>
      <c r="E3926">
        <v>3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1</v>
      </c>
      <c r="N3926">
        <v>3</v>
      </c>
      <c r="O3926">
        <f t="shared" si="124"/>
        <v>2025</v>
      </c>
      <c r="P3926">
        <f t="shared" si="125"/>
        <v>7</v>
      </c>
      <c r="Q3926" t="str">
        <f>_xlfn.XLOOKUP(B3926,全店核心数据_bymonth!A:A,全店核心数据_bymonth!AN:AN)</f>
        <v>BU26</v>
      </c>
    </row>
    <row r="3927" spans="1:17" x14ac:dyDescent="0.3">
      <c r="A3927" t="s">
        <v>110</v>
      </c>
      <c r="B3927" s="16">
        <v>45870</v>
      </c>
      <c r="C3927" t="s">
        <v>2</v>
      </c>
      <c r="D3927" t="s">
        <v>4</v>
      </c>
      <c r="E3927">
        <v>2521</v>
      </c>
      <c r="F3927">
        <v>1227</v>
      </c>
      <c r="G3927">
        <v>16</v>
      </c>
      <c r="H3927">
        <v>6</v>
      </c>
      <c r="I3927">
        <v>82680</v>
      </c>
      <c r="J3927">
        <v>15</v>
      </c>
      <c r="K3927">
        <v>77985</v>
      </c>
      <c r="L3927">
        <v>15</v>
      </c>
      <c r="M3927">
        <v>44</v>
      </c>
      <c r="N3927">
        <v>2502</v>
      </c>
      <c r="O3927">
        <f t="shared" ref="O3927:O3963" si="126">YEAR(B3927)</f>
        <v>2025</v>
      </c>
      <c r="P3927">
        <f t="shared" ref="P3927:P3963" si="127">MONTH(B3927)</f>
        <v>8</v>
      </c>
      <c r="Q3927" t="str">
        <f>_xlfn.XLOOKUP(B3927,全店核心数据_bymonth!A:A,全店核心数据_bymonth!AN:AN)</f>
        <v>BU26</v>
      </c>
    </row>
    <row r="3928" spans="1:17" x14ac:dyDescent="0.3">
      <c r="A3928" t="s">
        <v>110</v>
      </c>
      <c r="B3928" s="16">
        <v>45870</v>
      </c>
      <c r="C3928" t="s">
        <v>2</v>
      </c>
      <c r="D3928" t="s">
        <v>57</v>
      </c>
      <c r="E3928">
        <v>196765</v>
      </c>
      <c r="F3928">
        <v>188910</v>
      </c>
      <c r="G3928">
        <v>1552</v>
      </c>
      <c r="H3928">
        <v>1096</v>
      </c>
      <c r="I3928">
        <v>853253</v>
      </c>
      <c r="J3928">
        <v>152</v>
      </c>
      <c r="K3928">
        <v>410303</v>
      </c>
      <c r="L3928">
        <v>98</v>
      </c>
      <c r="M3928">
        <v>20661</v>
      </c>
      <c r="N3928">
        <v>189988</v>
      </c>
      <c r="O3928">
        <f t="shared" si="126"/>
        <v>2025</v>
      </c>
      <c r="P3928">
        <f t="shared" si="127"/>
        <v>8</v>
      </c>
      <c r="Q3928" t="str">
        <f>_xlfn.XLOOKUP(B3928,全店核心数据_bymonth!A:A,全店核心数据_bymonth!AN:AN)</f>
        <v>BU26</v>
      </c>
    </row>
    <row r="3929" spans="1:17" x14ac:dyDescent="0.3">
      <c r="A3929" t="s">
        <v>110</v>
      </c>
      <c r="B3929" s="16">
        <v>45870</v>
      </c>
      <c r="C3929" t="s">
        <v>2</v>
      </c>
      <c r="D3929" t="s">
        <v>52</v>
      </c>
      <c r="E3929">
        <v>6</v>
      </c>
      <c r="F3929">
        <v>5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2</v>
      </c>
      <c r="N3929">
        <v>4</v>
      </c>
      <c r="O3929">
        <f t="shared" si="126"/>
        <v>2025</v>
      </c>
      <c r="P3929">
        <f t="shared" si="127"/>
        <v>8</v>
      </c>
      <c r="Q3929" t="str">
        <f>_xlfn.XLOOKUP(B3929,全店核心数据_bymonth!A:A,全店核心数据_bymonth!AN:AN)</f>
        <v>BU26</v>
      </c>
    </row>
    <row r="3930" spans="1:17" x14ac:dyDescent="0.3">
      <c r="A3930" t="s">
        <v>110</v>
      </c>
      <c r="B3930" s="16">
        <v>45870</v>
      </c>
      <c r="C3930" t="s">
        <v>2</v>
      </c>
      <c r="D3930" t="s">
        <v>55</v>
      </c>
      <c r="E3930">
        <v>6882</v>
      </c>
      <c r="F3930">
        <v>5739</v>
      </c>
      <c r="G3930">
        <v>35</v>
      </c>
      <c r="H3930">
        <v>7</v>
      </c>
      <c r="I3930">
        <v>22245</v>
      </c>
      <c r="J3930">
        <v>3</v>
      </c>
      <c r="K3930">
        <v>2995</v>
      </c>
      <c r="L3930">
        <v>1</v>
      </c>
      <c r="M3930">
        <v>171</v>
      </c>
      <c r="N3930">
        <v>3967</v>
      </c>
      <c r="O3930">
        <f t="shared" si="126"/>
        <v>2025</v>
      </c>
      <c r="P3930">
        <f t="shared" si="127"/>
        <v>8</v>
      </c>
      <c r="Q3930" t="str">
        <f>_xlfn.XLOOKUP(B3930,全店核心数据_bymonth!A:A,全店核心数据_bymonth!AN:AN)</f>
        <v>BU26</v>
      </c>
    </row>
    <row r="3931" spans="1:17" x14ac:dyDescent="0.3">
      <c r="A3931" t="s">
        <v>110</v>
      </c>
      <c r="B3931" s="16">
        <v>45870</v>
      </c>
      <c r="C3931" t="s">
        <v>3</v>
      </c>
      <c r="D3931" t="s">
        <v>155</v>
      </c>
      <c r="E3931">
        <v>398</v>
      </c>
      <c r="F3931">
        <v>260</v>
      </c>
      <c r="G3931">
        <v>3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20</v>
      </c>
      <c r="N3931">
        <v>383</v>
      </c>
      <c r="O3931">
        <f t="shared" si="126"/>
        <v>2025</v>
      </c>
      <c r="P3931">
        <f t="shared" si="127"/>
        <v>8</v>
      </c>
      <c r="Q3931" t="str">
        <f>_xlfn.XLOOKUP(B3931,全店核心数据_bymonth!A:A,全店核心数据_bymonth!AN:AN)</f>
        <v>BU26</v>
      </c>
    </row>
    <row r="3932" spans="1:17" x14ac:dyDescent="0.3">
      <c r="A3932" t="s">
        <v>110</v>
      </c>
      <c r="B3932" s="16">
        <v>45870</v>
      </c>
      <c r="C3932" t="s">
        <v>3</v>
      </c>
      <c r="D3932" t="s">
        <v>154</v>
      </c>
      <c r="E3932">
        <v>136</v>
      </c>
      <c r="F3932">
        <v>117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1</v>
      </c>
      <c r="N3932">
        <v>1</v>
      </c>
      <c r="O3932">
        <f t="shared" si="126"/>
        <v>2025</v>
      </c>
      <c r="P3932">
        <f t="shared" si="127"/>
        <v>8</v>
      </c>
      <c r="Q3932" t="str">
        <f>_xlfn.XLOOKUP(B3932,全店核心数据_bymonth!A:A,全店核心数据_bymonth!AN:AN)</f>
        <v>BU26</v>
      </c>
    </row>
    <row r="3933" spans="1:17" x14ac:dyDescent="0.3">
      <c r="A3933" t="s">
        <v>110</v>
      </c>
      <c r="B3933" s="16">
        <v>45870</v>
      </c>
      <c r="C3933" t="s">
        <v>3</v>
      </c>
      <c r="D3933" t="s">
        <v>153</v>
      </c>
      <c r="E3933">
        <v>2065</v>
      </c>
      <c r="F3933">
        <v>1207</v>
      </c>
      <c r="G3933">
        <v>190</v>
      </c>
      <c r="H3933">
        <v>31</v>
      </c>
      <c r="I3933">
        <v>980637.27</v>
      </c>
      <c r="J3933">
        <v>183</v>
      </c>
      <c r="K3933">
        <v>897432.27</v>
      </c>
      <c r="L3933">
        <v>169</v>
      </c>
      <c r="M3933">
        <v>703</v>
      </c>
      <c r="N3933">
        <v>1971</v>
      </c>
      <c r="O3933">
        <f t="shared" si="126"/>
        <v>2025</v>
      </c>
      <c r="P3933">
        <f t="shared" si="127"/>
        <v>8</v>
      </c>
      <c r="Q3933" t="str">
        <f>_xlfn.XLOOKUP(B3933,全店核心数据_bymonth!A:A,全店核心数据_bymonth!AN:AN)</f>
        <v>BU26</v>
      </c>
    </row>
    <row r="3934" spans="1:17" x14ac:dyDescent="0.3">
      <c r="A3934" t="s">
        <v>110</v>
      </c>
      <c r="B3934" s="16">
        <v>45870</v>
      </c>
      <c r="C3934" t="s">
        <v>3</v>
      </c>
      <c r="D3934" t="s">
        <v>691</v>
      </c>
      <c r="E3934">
        <v>1</v>
      </c>
      <c r="F3934">
        <v>1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0</v>
      </c>
      <c r="O3934">
        <f t="shared" si="126"/>
        <v>2025</v>
      </c>
      <c r="P3934">
        <f t="shared" si="127"/>
        <v>8</v>
      </c>
      <c r="Q3934" t="str">
        <f>_xlfn.XLOOKUP(B3934,全店核心数据_bymonth!A:A,全店核心数据_bymonth!AN:AN)</f>
        <v>BU26</v>
      </c>
    </row>
    <row r="3935" spans="1:17" x14ac:dyDescent="0.3">
      <c r="A3935" t="s">
        <v>110</v>
      </c>
      <c r="B3935" s="16">
        <v>45870</v>
      </c>
      <c r="C3935" t="s">
        <v>3</v>
      </c>
      <c r="D3935" t="s">
        <v>152</v>
      </c>
      <c r="E3935">
        <v>250</v>
      </c>
      <c r="F3935">
        <v>170</v>
      </c>
      <c r="G3935">
        <v>1</v>
      </c>
      <c r="H3935">
        <v>5</v>
      </c>
      <c r="I3935">
        <v>4450</v>
      </c>
      <c r="J3935">
        <v>1</v>
      </c>
      <c r="K3935">
        <v>0</v>
      </c>
      <c r="L3935">
        <v>0</v>
      </c>
      <c r="M3935">
        <v>2</v>
      </c>
      <c r="N3935">
        <v>246</v>
      </c>
      <c r="O3935">
        <f t="shared" si="126"/>
        <v>2025</v>
      </c>
      <c r="P3935">
        <f t="shared" si="127"/>
        <v>8</v>
      </c>
      <c r="Q3935" t="str">
        <f>_xlfn.XLOOKUP(B3935,全店核心数据_bymonth!A:A,全店核心数据_bymonth!AN:AN)</f>
        <v>BU26</v>
      </c>
    </row>
    <row r="3936" spans="1:17" x14ac:dyDescent="0.3">
      <c r="A3936" t="s">
        <v>110</v>
      </c>
      <c r="B3936" s="16">
        <v>45870</v>
      </c>
      <c r="C3936" t="s">
        <v>3</v>
      </c>
      <c r="D3936" t="s">
        <v>198</v>
      </c>
      <c r="E3936">
        <v>3</v>
      </c>
      <c r="F3936">
        <v>1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3</v>
      </c>
      <c r="O3936">
        <f t="shared" si="126"/>
        <v>2025</v>
      </c>
      <c r="P3936">
        <f t="shared" si="127"/>
        <v>8</v>
      </c>
      <c r="Q3936" t="str">
        <f>_xlfn.XLOOKUP(B3936,全店核心数据_bymonth!A:A,全店核心数据_bymonth!AN:AN)</f>
        <v>BU26</v>
      </c>
    </row>
    <row r="3937" spans="1:17" x14ac:dyDescent="0.3">
      <c r="A3937" t="s">
        <v>110</v>
      </c>
      <c r="B3937" s="16">
        <v>45870</v>
      </c>
      <c r="C3937" t="s">
        <v>3</v>
      </c>
      <c r="D3937" t="s">
        <v>149</v>
      </c>
      <c r="E3937">
        <v>43</v>
      </c>
      <c r="F3937">
        <v>28</v>
      </c>
      <c r="G3937">
        <v>3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29</v>
      </c>
      <c r="O3937">
        <f t="shared" si="126"/>
        <v>2025</v>
      </c>
      <c r="P3937">
        <f t="shared" si="127"/>
        <v>8</v>
      </c>
      <c r="Q3937" t="str">
        <f>_xlfn.XLOOKUP(B3937,全店核心数据_bymonth!A:A,全店核心数据_bymonth!AN:AN)</f>
        <v>BU26</v>
      </c>
    </row>
    <row r="3938" spans="1:17" x14ac:dyDescent="0.3">
      <c r="A3938" t="s">
        <v>110</v>
      </c>
      <c r="B3938" s="16">
        <v>45870</v>
      </c>
      <c r="C3938" t="s">
        <v>3</v>
      </c>
      <c r="D3938" t="s">
        <v>148</v>
      </c>
      <c r="E3938">
        <v>10</v>
      </c>
      <c r="F3938">
        <v>9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8</v>
      </c>
      <c r="N3938">
        <v>2</v>
      </c>
      <c r="O3938">
        <f t="shared" si="126"/>
        <v>2025</v>
      </c>
      <c r="P3938">
        <f t="shared" si="127"/>
        <v>8</v>
      </c>
      <c r="Q3938" t="str">
        <f>_xlfn.XLOOKUP(B3938,全店核心数据_bymonth!A:A,全店核心数据_bymonth!AN:AN)</f>
        <v>BU26</v>
      </c>
    </row>
    <row r="3939" spans="1:17" x14ac:dyDescent="0.3">
      <c r="A3939" t="s">
        <v>110</v>
      </c>
      <c r="B3939" s="16">
        <v>45870</v>
      </c>
      <c r="C3939" t="s">
        <v>3</v>
      </c>
      <c r="D3939" t="s">
        <v>630</v>
      </c>
      <c r="E3939">
        <v>8</v>
      </c>
      <c r="F3939">
        <v>3</v>
      </c>
      <c r="G3939">
        <v>1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2</v>
      </c>
      <c r="N3939">
        <v>8</v>
      </c>
      <c r="O3939">
        <f t="shared" si="126"/>
        <v>2025</v>
      </c>
      <c r="P3939">
        <f t="shared" si="127"/>
        <v>8</v>
      </c>
      <c r="Q3939" t="str">
        <f>_xlfn.XLOOKUP(B3939,全店核心数据_bymonth!A:A,全店核心数据_bymonth!AN:AN)</f>
        <v>BU26</v>
      </c>
    </row>
    <row r="3940" spans="1:17" x14ac:dyDescent="0.3">
      <c r="A3940" t="s">
        <v>110</v>
      </c>
      <c r="B3940" s="16">
        <v>45870</v>
      </c>
      <c r="C3940" t="s">
        <v>3</v>
      </c>
      <c r="D3940" t="s">
        <v>251</v>
      </c>
      <c r="E3940">
        <v>9755</v>
      </c>
      <c r="F3940">
        <v>8559</v>
      </c>
      <c r="G3940">
        <v>98</v>
      </c>
      <c r="H3940">
        <v>38</v>
      </c>
      <c r="I3940">
        <v>209604.75</v>
      </c>
      <c r="J3940">
        <v>41</v>
      </c>
      <c r="K3940">
        <v>174074.75</v>
      </c>
      <c r="L3940">
        <v>34</v>
      </c>
      <c r="M3940">
        <v>760</v>
      </c>
      <c r="N3940">
        <v>4898</v>
      </c>
      <c r="O3940">
        <f t="shared" si="126"/>
        <v>2025</v>
      </c>
      <c r="P3940">
        <f t="shared" si="127"/>
        <v>8</v>
      </c>
      <c r="Q3940" t="str">
        <f>_xlfn.XLOOKUP(B3940,全店核心数据_bymonth!A:A,全店核心数据_bymonth!AN:AN)</f>
        <v>BU26</v>
      </c>
    </row>
    <row r="3941" spans="1:17" x14ac:dyDescent="0.3">
      <c r="A3941" t="s">
        <v>110</v>
      </c>
      <c r="B3941" s="16">
        <v>45870</v>
      </c>
      <c r="C3941" t="s">
        <v>3</v>
      </c>
      <c r="D3941" t="s">
        <v>143</v>
      </c>
      <c r="E3941">
        <v>12</v>
      </c>
      <c r="F3941">
        <v>6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1</v>
      </c>
      <c r="N3941">
        <v>12</v>
      </c>
      <c r="O3941">
        <f t="shared" si="126"/>
        <v>2025</v>
      </c>
      <c r="P3941">
        <f t="shared" si="127"/>
        <v>8</v>
      </c>
      <c r="Q3941" t="str">
        <f>_xlfn.XLOOKUP(B3941,全店核心数据_bymonth!A:A,全店核心数据_bymonth!AN:AN)</f>
        <v>BU26</v>
      </c>
    </row>
    <row r="3942" spans="1:17" x14ac:dyDescent="0.3">
      <c r="A3942" t="s">
        <v>110</v>
      </c>
      <c r="B3942" s="16">
        <v>45870</v>
      </c>
      <c r="C3942" t="s">
        <v>3</v>
      </c>
      <c r="D3942" t="s">
        <v>141</v>
      </c>
      <c r="E3942">
        <v>4740</v>
      </c>
      <c r="F3942">
        <v>3903</v>
      </c>
      <c r="G3942">
        <v>23</v>
      </c>
      <c r="H3942">
        <v>3</v>
      </c>
      <c r="I3942">
        <v>0</v>
      </c>
      <c r="J3942">
        <v>0</v>
      </c>
      <c r="K3942">
        <v>0</v>
      </c>
      <c r="L3942">
        <v>0</v>
      </c>
      <c r="M3942">
        <v>50</v>
      </c>
      <c r="N3942">
        <v>4690</v>
      </c>
      <c r="O3942">
        <f t="shared" si="126"/>
        <v>2025</v>
      </c>
      <c r="P3942">
        <f t="shared" si="127"/>
        <v>8</v>
      </c>
      <c r="Q3942" t="str">
        <f>_xlfn.XLOOKUP(B3942,全店核心数据_bymonth!A:A,全店核心数据_bymonth!AN:AN)</f>
        <v>BU26</v>
      </c>
    </row>
    <row r="3943" spans="1:17" x14ac:dyDescent="0.3">
      <c r="A3943" t="s">
        <v>110</v>
      </c>
      <c r="B3943" s="16">
        <v>45870</v>
      </c>
      <c r="C3943" t="s">
        <v>3</v>
      </c>
      <c r="D3943" t="s">
        <v>140</v>
      </c>
      <c r="E3943">
        <v>114</v>
      </c>
      <c r="F3943">
        <v>101</v>
      </c>
      <c r="G3943">
        <v>12</v>
      </c>
      <c r="H3943">
        <v>3</v>
      </c>
      <c r="I3943">
        <v>27465</v>
      </c>
      <c r="J3943">
        <v>6</v>
      </c>
      <c r="K3943">
        <v>24815</v>
      </c>
      <c r="L3943">
        <v>6</v>
      </c>
      <c r="M3943">
        <v>29</v>
      </c>
      <c r="N3943">
        <v>99</v>
      </c>
      <c r="O3943">
        <f t="shared" si="126"/>
        <v>2025</v>
      </c>
      <c r="P3943">
        <f t="shared" si="127"/>
        <v>8</v>
      </c>
      <c r="Q3943" t="str">
        <f>_xlfn.XLOOKUP(B3943,全店核心数据_bymonth!A:A,全店核心数据_bymonth!AN:AN)</f>
        <v>BU26</v>
      </c>
    </row>
    <row r="3944" spans="1:17" x14ac:dyDescent="0.3">
      <c r="A3944" t="s">
        <v>110</v>
      </c>
      <c r="B3944" s="16">
        <v>45870</v>
      </c>
      <c r="C3944" t="s">
        <v>3</v>
      </c>
      <c r="D3944" t="s">
        <v>139</v>
      </c>
      <c r="E3944">
        <v>8040</v>
      </c>
      <c r="F3944">
        <v>6069</v>
      </c>
      <c r="G3944">
        <v>259</v>
      </c>
      <c r="H3944">
        <v>107</v>
      </c>
      <c r="I3944">
        <v>451159.63</v>
      </c>
      <c r="J3944">
        <v>94</v>
      </c>
      <c r="K3944">
        <v>374554.63</v>
      </c>
      <c r="L3944">
        <v>84</v>
      </c>
      <c r="M3944">
        <v>2861</v>
      </c>
      <c r="N3944">
        <v>6145</v>
      </c>
      <c r="O3944">
        <f t="shared" si="126"/>
        <v>2025</v>
      </c>
      <c r="P3944">
        <f t="shared" si="127"/>
        <v>8</v>
      </c>
      <c r="Q3944" t="str">
        <f>_xlfn.XLOOKUP(B3944,全店核心数据_bymonth!A:A,全店核心数据_bymonth!AN:AN)</f>
        <v>BU26</v>
      </c>
    </row>
    <row r="3945" spans="1:17" x14ac:dyDescent="0.3">
      <c r="A3945" t="s">
        <v>110</v>
      </c>
      <c r="B3945" s="16">
        <v>45870</v>
      </c>
      <c r="C3945" t="s">
        <v>3</v>
      </c>
      <c r="D3945" t="s">
        <v>138</v>
      </c>
      <c r="E3945">
        <v>283</v>
      </c>
      <c r="F3945">
        <v>198</v>
      </c>
      <c r="G3945">
        <v>5</v>
      </c>
      <c r="H3945">
        <v>1</v>
      </c>
      <c r="I3945">
        <v>10974.33</v>
      </c>
      <c r="J3945">
        <v>2</v>
      </c>
      <c r="K3945">
        <v>2924.33</v>
      </c>
      <c r="L3945">
        <v>1</v>
      </c>
      <c r="M3945">
        <v>17</v>
      </c>
      <c r="N3945">
        <v>282</v>
      </c>
      <c r="O3945">
        <f t="shared" si="126"/>
        <v>2025</v>
      </c>
      <c r="P3945">
        <f t="shared" si="127"/>
        <v>8</v>
      </c>
      <c r="Q3945" t="str">
        <f>_xlfn.XLOOKUP(B3945,全店核心数据_bymonth!A:A,全店核心数据_bymonth!AN:AN)</f>
        <v>BU26</v>
      </c>
    </row>
    <row r="3946" spans="1:17" x14ac:dyDescent="0.3">
      <c r="A3946" t="s">
        <v>110</v>
      </c>
      <c r="B3946" s="16">
        <v>45870</v>
      </c>
      <c r="C3946" t="s">
        <v>3</v>
      </c>
      <c r="D3946" t="s">
        <v>136</v>
      </c>
      <c r="E3946">
        <v>1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1</v>
      </c>
      <c r="O3946">
        <f t="shared" si="126"/>
        <v>2025</v>
      </c>
      <c r="P3946">
        <f t="shared" si="127"/>
        <v>8</v>
      </c>
      <c r="Q3946" t="str">
        <f>_xlfn.XLOOKUP(B3946,全店核心数据_bymonth!A:A,全店核心数据_bymonth!AN:AN)</f>
        <v>BU26</v>
      </c>
    </row>
    <row r="3947" spans="1:17" x14ac:dyDescent="0.3">
      <c r="A3947" t="s">
        <v>110</v>
      </c>
      <c r="B3947" s="16">
        <v>45870</v>
      </c>
      <c r="C3947" t="s">
        <v>3</v>
      </c>
      <c r="D3947" t="s">
        <v>133</v>
      </c>
      <c r="E3947">
        <v>177</v>
      </c>
      <c r="F3947">
        <v>140</v>
      </c>
      <c r="G3947">
        <v>9</v>
      </c>
      <c r="H3947">
        <v>1</v>
      </c>
      <c r="I3947">
        <v>10585</v>
      </c>
      <c r="J3947">
        <v>3</v>
      </c>
      <c r="K3947">
        <v>10585</v>
      </c>
      <c r="L3947">
        <v>3</v>
      </c>
      <c r="M3947">
        <v>58</v>
      </c>
      <c r="N3947">
        <v>152</v>
      </c>
      <c r="O3947">
        <f t="shared" si="126"/>
        <v>2025</v>
      </c>
      <c r="P3947">
        <f t="shared" si="127"/>
        <v>8</v>
      </c>
      <c r="Q3947" t="str">
        <f>_xlfn.XLOOKUP(B3947,全店核心数据_bymonth!A:A,全店核心数据_bymonth!AN:AN)</f>
        <v>BU26</v>
      </c>
    </row>
    <row r="3948" spans="1:17" x14ac:dyDescent="0.3">
      <c r="A3948" t="s">
        <v>110</v>
      </c>
      <c r="B3948" s="16">
        <v>45870</v>
      </c>
      <c r="C3948" t="s">
        <v>3</v>
      </c>
      <c r="D3948" t="s">
        <v>130</v>
      </c>
      <c r="E3948">
        <v>1340</v>
      </c>
      <c r="F3948">
        <v>930</v>
      </c>
      <c r="G3948">
        <v>92</v>
      </c>
      <c r="H3948">
        <v>19</v>
      </c>
      <c r="I3948">
        <v>339601.05</v>
      </c>
      <c r="J3948">
        <v>67</v>
      </c>
      <c r="K3948">
        <v>307426.05</v>
      </c>
      <c r="L3948">
        <v>64</v>
      </c>
      <c r="M3948">
        <v>772</v>
      </c>
      <c r="N3948">
        <v>1005</v>
      </c>
      <c r="O3948">
        <f t="shared" si="126"/>
        <v>2025</v>
      </c>
      <c r="P3948">
        <f t="shared" si="127"/>
        <v>8</v>
      </c>
      <c r="Q3948" t="str">
        <f>_xlfn.XLOOKUP(B3948,全店核心数据_bymonth!A:A,全店核心数据_bymonth!AN:AN)</f>
        <v>BU26</v>
      </c>
    </row>
    <row r="3949" spans="1:17" x14ac:dyDescent="0.3">
      <c r="A3949" t="s">
        <v>110</v>
      </c>
      <c r="B3949" s="16">
        <v>45870</v>
      </c>
      <c r="C3949" t="s">
        <v>3</v>
      </c>
      <c r="D3949" t="s">
        <v>128</v>
      </c>
      <c r="E3949">
        <v>25052</v>
      </c>
      <c r="F3949">
        <v>23632</v>
      </c>
      <c r="G3949">
        <v>518</v>
      </c>
      <c r="H3949">
        <v>225</v>
      </c>
      <c r="I3949">
        <v>452726</v>
      </c>
      <c r="J3949">
        <v>94</v>
      </c>
      <c r="K3949">
        <v>303526</v>
      </c>
      <c r="L3949">
        <v>77</v>
      </c>
      <c r="M3949">
        <v>8556</v>
      </c>
      <c r="N3949">
        <v>19949</v>
      </c>
      <c r="O3949">
        <f t="shared" si="126"/>
        <v>2025</v>
      </c>
      <c r="P3949">
        <f t="shared" si="127"/>
        <v>8</v>
      </c>
      <c r="Q3949" t="str">
        <f>_xlfn.XLOOKUP(B3949,全店核心数据_bymonth!A:A,全店核心数据_bymonth!AN:AN)</f>
        <v>BU26</v>
      </c>
    </row>
    <row r="3950" spans="1:17" x14ac:dyDescent="0.3">
      <c r="A3950" t="s">
        <v>110</v>
      </c>
      <c r="B3950" s="16">
        <v>45870</v>
      </c>
      <c r="C3950" t="s">
        <v>3</v>
      </c>
      <c r="D3950" t="s">
        <v>127</v>
      </c>
      <c r="E3950">
        <v>32174</v>
      </c>
      <c r="F3950">
        <v>27211</v>
      </c>
      <c r="G3950">
        <v>519</v>
      </c>
      <c r="H3950">
        <v>245</v>
      </c>
      <c r="I3950">
        <v>219198.79</v>
      </c>
      <c r="J3950">
        <v>46</v>
      </c>
      <c r="K3950">
        <v>131783.79</v>
      </c>
      <c r="L3950">
        <v>32</v>
      </c>
      <c r="M3950">
        <v>2455</v>
      </c>
      <c r="N3950">
        <v>30625</v>
      </c>
      <c r="O3950">
        <f t="shared" si="126"/>
        <v>2025</v>
      </c>
      <c r="P3950">
        <f t="shared" si="127"/>
        <v>8</v>
      </c>
      <c r="Q3950" t="str">
        <f>_xlfn.XLOOKUP(B3950,全店核心数据_bymonth!A:A,全店核心数据_bymonth!AN:AN)</f>
        <v>BU26</v>
      </c>
    </row>
    <row r="3951" spans="1:17" x14ac:dyDescent="0.3">
      <c r="A3951" t="s">
        <v>110</v>
      </c>
      <c r="B3951" s="16">
        <v>45870</v>
      </c>
      <c r="C3951" t="s">
        <v>3</v>
      </c>
      <c r="D3951" t="s">
        <v>126</v>
      </c>
      <c r="E3951">
        <v>1757</v>
      </c>
      <c r="F3951">
        <v>1492</v>
      </c>
      <c r="G3951">
        <v>74</v>
      </c>
      <c r="H3951">
        <v>41</v>
      </c>
      <c r="I3951">
        <v>55980</v>
      </c>
      <c r="J3951">
        <v>10</v>
      </c>
      <c r="K3951">
        <v>45100</v>
      </c>
      <c r="L3951">
        <v>8</v>
      </c>
      <c r="M3951">
        <v>282</v>
      </c>
      <c r="N3951">
        <v>1703</v>
      </c>
      <c r="O3951">
        <f t="shared" si="126"/>
        <v>2025</v>
      </c>
      <c r="P3951">
        <f t="shared" si="127"/>
        <v>8</v>
      </c>
      <c r="Q3951" t="str">
        <f>_xlfn.XLOOKUP(B3951,全店核心数据_bymonth!A:A,全店核心数据_bymonth!AN:AN)</f>
        <v>BU26</v>
      </c>
    </row>
    <row r="3952" spans="1:17" x14ac:dyDescent="0.3">
      <c r="A3952" t="s">
        <v>110</v>
      </c>
      <c r="B3952" s="16">
        <v>45870</v>
      </c>
      <c r="C3952" t="s">
        <v>3</v>
      </c>
      <c r="D3952" t="s">
        <v>125</v>
      </c>
      <c r="E3952">
        <v>24</v>
      </c>
      <c r="F3952">
        <v>19</v>
      </c>
      <c r="G3952">
        <v>1</v>
      </c>
      <c r="H3952">
        <v>1</v>
      </c>
      <c r="I3952">
        <v>2815</v>
      </c>
      <c r="J3952">
        <v>1</v>
      </c>
      <c r="K3952">
        <v>2815</v>
      </c>
      <c r="L3952">
        <v>1</v>
      </c>
      <c r="M3952">
        <v>9</v>
      </c>
      <c r="N3952">
        <v>24</v>
      </c>
      <c r="O3952">
        <f t="shared" si="126"/>
        <v>2025</v>
      </c>
      <c r="P3952">
        <f t="shared" si="127"/>
        <v>8</v>
      </c>
      <c r="Q3952" t="str">
        <f>_xlfn.XLOOKUP(B3952,全店核心数据_bymonth!A:A,全店核心数据_bymonth!AN:AN)</f>
        <v>BU26</v>
      </c>
    </row>
    <row r="3953" spans="1:17" x14ac:dyDescent="0.3">
      <c r="A3953" t="s">
        <v>110</v>
      </c>
      <c r="B3953" s="16">
        <v>45870</v>
      </c>
      <c r="C3953" t="s">
        <v>3</v>
      </c>
      <c r="D3953" t="s">
        <v>123</v>
      </c>
      <c r="E3953">
        <v>513</v>
      </c>
      <c r="F3953">
        <v>370</v>
      </c>
      <c r="G3953">
        <v>21</v>
      </c>
      <c r="H3953">
        <v>9</v>
      </c>
      <c r="I3953">
        <v>15230</v>
      </c>
      <c r="J3953">
        <v>5</v>
      </c>
      <c r="K3953">
        <v>15230</v>
      </c>
      <c r="L3953">
        <v>5</v>
      </c>
      <c r="M3953">
        <v>438</v>
      </c>
      <c r="N3953">
        <v>250</v>
      </c>
      <c r="O3953">
        <f t="shared" si="126"/>
        <v>2025</v>
      </c>
      <c r="P3953">
        <f t="shared" si="127"/>
        <v>8</v>
      </c>
      <c r="Q3953" t="str">
        <f>_xlfn.XLOOKUP(B3953,全店核心数据_bymonth!A:A,全店核心数据_bymonth!AN:AN)</f>
        <v>BU26</v>
      </c>
    </row>
    <row r="3954" spans="1:17" x14ac:dyDescent="0.3">
      <c r="A3954" t="s">
        <v>110</v>
      </c>
      <c r="B3954" s="16">
        <v>45870</v>
      </c>
      <c r="C3954" t="s">
        <v>3</v>
      </c>
      <c r="D3954" t="s">
        <v>122</v>
      </c>
      <c r="E3954">
        <v>7</v>
      </c>
      <c r="F3954">
        <v>4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4</v>
      </c>
      <c r="O3954">
        <f t="shared" si="126"/>
        <v>2025</v>
      </c>
      <c r="P3954">
        <f t="shared" si="127"/>
        <v>8</v>
      </c>
      <c r="Q3954" t="str">
        <f>_xlfn.XLOOKUP(B3954,全店核心数据_bymonth!A:A,全店核心数据_bymonth!AN:AN)</f>
        <v>BU26</v>
      </c>
    </row>
    <row r="3955" spans="1:17" x14ac:dyDescent="0.3">
      <c r="A3955" t="s">
        <v>110</v>
      </c>
      <c r="B3955" s="16">
        <v>45870</v>
      </c>
      <c r="C3955" t="s">
        <v>3</v>
      </c>
      <c r="D3955" t="s">
        <v>121</v>
      </c>
      <c r="E3955">
        <v>5</v>
      </c>
      <c r="F3955">
        <v>5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3</v>
      </c>
      <c r="N3955">
        <v>2</v>
      </c>
      <c r="O3955">
        <f t="shared" si="126"/>
        <v>2025</v>
      </c>
      <c r="P3955">
        <f t="shared" si="127"/>
        <v>8</v>
      </c>
      <c r="Q3955" t="str">
        <f>_xlfn.XLOOKUP(B3955,全店核心数据_bymonth!A:A,全店核心数据_bymonth!AN:AN)</f>
        <v>BU26</v>
      </c>
    </row>
    <row r="3956" spans="1:17" x14ac:dyDescent="0.3">
      <c r="A3956" t="s">
        <v>110</v>
      </c>
      <c r="B3956" s="16">
        <v>45870</v>
      </c>
      <c r="C3956" t="s">
        <v>3</v>
      </c>
      <c r="D3956" t="s">
        <v>119</v>
      </c>
      <c r="E3956">
        <v>1847</v>
      </c>
      <c r="F3956">
        <v>1117</v>
      </c>
      <c r="G3956">
        <v>102</v>
      </c>
      <c r="H3956">
        <v>74</v>
      </c>
      <c r="I3956">
        <v>373018.95</v>
      </c>
      <c r="J3956">
        <v>61</v>
      </c>
      <c r="K3956">
        <v>298122.95</v>
      </c>
      <c r="L3956">
        <v>54</v>
      </c>
      <c r="M3956">
        <v>484</v>
      </c>
      <c r="N3956">
        <v>1775</v>
      </c>
      <c r="O3956">
        <f t="shared" si="126"/>
        <v>2025</v>
      </c>
      <c r="P3956">
        <f t="shared" si="127"/>
        <v>8</v>
      </c>
      <c r="Q3956" t="str">
        <f>_xlfn.XLOOKUP(B3956,全店核心数据_bymonth!A:A,全店核心数据_bymonth!AN:AN)</f>
        <v>BU26</v>
      </c>
    </row>
    <row r="3957" spans="1:17" x14ac:dyDescent="0.3">
      <c r="A3957" t="s">
        <v>110</v>
      </c>
      <c r="B3957" s="16">
        <v>45870</v>
      </c>
      <c r="C3957" t="s">
        <v>3</v>
      </c>
      <c r="D3957" t="s">
        <v>583</v>
      </c>
      <c r="E3957">
        <v>10</v>
      </c>
      <c r="F3957">
        <v>9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10</v>
      </c>
      <c r="O3957">
        <f t="shared" si="126"/>
        <v>2025</v>
      </c>
      <c r="P3957">
        <f t="shared" si="127"/>
        <v>8</v>
      </c>
      <c r="Q3957" t="str">
        <f>_xlfn.XLOOKUP(B3957,全店核心数据_bymonth!A:A,全店核心数据_bymonth!AN:AN)</f>
        <v>BU26</v>
      </c>
    </row>
    <row r="3958" spans="1:17" x14ac:dyDescent="0.3">
      <c r="A3958" t="s">
        <v>110</v>
      </c>
      <c r="B3958" s="16">
        <v>45870</v>
      </c>
      <c r="C3958" t="s">
        <v>3</v>
      </c>
      <c r="D3958" t="s">
        <v>252</v>
      </c>
      <c r="E3958">
        <v>67</v>
      </c>
      <c r="F3958">
        <v>64</v>
      </c>
      <c r="G3958">
        <v>2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5</v>
      </c>
      <c r="N3958">
        <v>67</v>
      </c>
      <c r="O3958">
        <f t="shared" si="126"/>
        <v>2025</v>
      </c>
      <c r="P3958">
        <f t="shared" si="127"/>
        <v>8</v>
      </c>
      <c r="Q3958" t="str">
        <f>_xlfn.XLOOKUP(B3958,全店核心数据_bymonth!A:A,全店核心数据_bymonth!AN:AN)</f>
        <v>BU26</v>
      </c>
    </row>
    <row r="3959" spans="1:17" x14ac:dyDescent="0.3">
      <c r="A3959" t="s">
        <v>110</v>
      </c>
      <c r="B3959" s="16">
        <v>45870</v>
      </c>
      <c r="C3959" t="s">
        <v>3</v>
      </c>
      <c r="D3959" t="s">
        <v>117</v>
      </c>
      <c r="E3959">
        <v>5</v>
      </c>
      <c r="F3959">
        <v>4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5</v>
      </c>
      <c r="O3959">
        <f t="shared" si="126"/>
        <v>2025</v>
      </c>
      <c r="P3959">
        <f t="shared" si="127"/>
        <v>8</v>
      </c>
      <c r="Q3959" t="str">
        <f>_xlfn.XLOOKUP(B3959,全店核心数据_bymonth!A:A,全店核心数据_bymonth!AN:AN)</f>
        <v>BU26</v>
      </c>
    </row>
    <row r="3960" spans="1:17" x14ac:dyDescent="0.3">
      <c r="A3960" t="s">
        <v>110</v>
      </c>
      <c r="B3960" s="16">
        <v>45870</v>
      </c>
      <c r="C3960" t="s">
        <v>3</v>
      </c>
      <c r="D3960" t="s">
        <v>391</v>
      </c>
      <c r="E3960">
        <v>6443</v>
      </c>
      <c r="F3960">
        <v>6026</v>
      </c>
      <c r="G3960">
        <v>107</v>
      </c>
      <c r="H3960">
        <v>29</v>
      </c>
      <c r="I3960">
        <v>100900</v>
      </c>
      <c r="J3960">
        <v>19</v>
      </c>
      <c r="K3960">
        <v>76300</v>
      </c>
      <c r="L3960">
        <v>16</v>
      </c>
      <c r="M3960">
        <v>777</v>
      </c>
      <c r="N3960">
        <v>6324</v>
      </c>
      <c r="O3960">
        <f t="shared" si="126"/>
        <v>2025</v>
      </c>
      <c r="P3960">
        <f t="shared" si="127"/>
        <v>8</v>
      </c>
      <c r="Q3960" t="str">
        <f>_xlfn.XLOOKUP(B3960,全店核心数据_bymonth!A:A,全店核心数据_bymonth!AN:AN)</f>
        <v>BU26</v>
      </c>
    </row>
    <row r="3961" spans="1:17" x14ac:dyDescent="0.3">
      <c r="A3961" t="s">
        <v>110</v>
      </c>
      <c r="B3961" s="16">
        <v>45870</v>
      </c>
      <c r="C3961" t="s">
        <v>3</v>
      </c>
      <c r="D3961" t="s">
        <v>113</v>
      </c>
      <c r="E3961">
        <v>1483</v>
      </c>
      <c r="F3961">
        <v>1187</v>
      </c>
      <c r="G3961">
        <v>40</v>
      </c>
      <c r="H3961">
        <v>18</v>
      </c>
      <c r="I3961">
        <v>10450</v>
      </c>
      <c r="J3961">
        <v>3</v>
      </c>
      <c r="K3961">
        <v>10450</v>
      </c>
      <c r="L3961">
        <v>3</v>
      </c>
      <c r="M3961">
        <v>1279</v>
      </c>
      <c r="N3961">
        <v>772</v>
      </c>
      <c r="O3961">
        <f t="shared" si="126"/>
        <v>2025</v>
      </c>
      <c r="P3961">
        <f t="shared" si="127"/>
        <v>8</v>
      </c>
      <c r="Q3961" t="str">
        <f>_xlfn.XLOOKUP(B3961,全店核心数据_bymonth!A:A,全店核心数据_bymonth!AN:AN)</f>
        <v>BU26</v>
      </c>
    </row>
    <row r="3962" spans="1:17" x14ac:dyDescent="0.3">
      <c r="A3962" t="s">
        <v>110</v>
      </c>
      <c r="B3962" s="16">
        <v>45870</v>
      </c>
      <c r="C3962" t="s">
        <v>3</v>
      </c>
      <c r="D3962" t="s">
        <v>112</v>
      </c>
      <c r="E3962">
        <v>333</v>
      </c>
      <c r="F3962">
        <v>122</v>
      </c>
      <c r="G3962">
        <v>3</v>
      </c>
      <c r="H3962">
        <v>1</v>
      </c>
      <c r="I3962">
        <v>23082</v>
      </c>
      <c r="J3962">
        <v>9</v>
      </c>
      <c r="K3962">
        <v>21092</v>
      </c>
      <c r="L3962">
        <v>8</v>
      </c>
      <c r="M3962">
        <v>1</v>
      </c>
      <c r="N3962">
        <v>333</v>
      </c>
      <c r="O3962">
        <f t="shared" si="126"/>
        <v>2025</v>
      </c>
      <c r="P3962">
        <f t="shared" si="127"/>
        <v>8</v>
      </c>
      <c r="Q3962" t="str">
        <f>_xlfn.XLOOKUP(B3962,全店核心数据_bymonth!A:A,全店核心数据_bymonth!AN:AN)</f>
        <v>BU26</v>
      </c>
    </row>
    <row r="3963" spans="1:17" x14ac:dyDescent="0.3">
      <c r="A3963" t="s">
        <v>110</v>
      </c>
      <c r="B3963" s="16">
        <v>45870</v>
      </c>
      <c r="C3963" t="s">
        <v>3</v>
      </c>
      <c r="D3963" t="s">
        <v>111</v>
      </c>
      <c r="E3963">
        <v>4</v>
      </c>
      <c r="F3963">
        <v>3</v>
      </c>
      <c r="G3963">
        <v>0</v>
      </c>
      <c r="H3963">
        <v>0</v>
      </c>
      <c r="I3963">
        <v>4645</v>
      </c>
      <c r="J3963">
        <v>1</v>
      </c>
      <c r="K3963">
        <v>4645</v>
      </c>
      <c r="L3963">
        <v>1</v>
      </c>
      <c r="M3963">
        <v>0</v>
      </c>
      <c r="N3963">
        <v>4</v>
      </c>
      <c r="O3963">
        <f t="shared" si="126"/>
        <v>2025</v>
      </c>
      <c r="P3963">
        <f t="shared" si="127"/>
        <v>8</v>
      </c>
      <c r="Q3963" t="str">
        <f>_xlfn.XLOOKUP(B3963,全店核心数据_bymonth!A:A,全店核心数据_bymonth!AN:AN)</f>
        <v>BU26</v>
      </c>
    </row>
    <row r="3964" spans="1:17" x14ac:dyDescent="0.3">
      <c r="A3964" t="s">
        <v>110</v>
      </c>
      <c r="B3964" s="16">
        <v>45901</v>
      </c>
      <c r="C3964" t="s">
        <v>2</v>
      </c>
      <c r="D3964" t="s">
        <v>4</v>
      </c>
      <c r="E3964">
        <v>2452</v>
      </c>
      <c r="F3964">
        <v>1152</v>
      </c>
      <c r="G3964">
        <v>11</v>
      </c>
      <c r="H3964">
        <v>8</v>
      </c>
      <c r="I3964">
        <v>37597</v>
      </c>
      <c r="J3964">
        <v>7</v>
      </c>
      <c r="K3964">
        <v>22257</v>
      </c>
      <c r="L3964">
        <v>5</v>
      </c>
      <c r="M3964">
        <v>59</v>
      </c>
      <c r="N3964">
        <v>2421</v>
      </c>
      <c r="O3964">
        <f t="shared" ref="O3964:O3999" si="128">YEAR(B3964)</f>
        <v>2025</v>
      </c>
      <c r="P3964">
        <f t="shared" ref="P3964:P3999" si="129">MONTH(B3964)</f>
        <v>9</v>
      </c>
      <c r="Q3964" t="str">
        <f>_xlfn.XLOOKUP(B3964,全店核心数据_bymonth!A:A,全店核心数据_bymonth!AN:AN)</f>
        <v>BU26</v>
      </c>
    </row>
    <row r="3965" spans="1:17" x14ac:dyDescent="0.3">
      <c r="A3965" t="s">
        <v>110</v>
      </c>
      <c r="B3965" s="16">
        <v>45901</v>
      </c>
      <c r="C3965" t="s">
        <v>2</v>
      </c>
      <c r="D3965" t="s">
        <v>57</v>
      </c>
      <c r="E3965">
        <v>236184</v>
      </c>
      <c r="F3965">
        <v>228650</v>
      </c>
      <c r="G3965">
        <v>1308</v>
      </c>
      <c r="H3965">
        <v>1073</v>
      </c>
      <c r="I3965">
        <v>1271543</v>
      </c>
      <c r="J3965">
        <v>132</v>
      </c>
      <c r="K3965">
        <v>534051</v>
      </c>
      <c r="L3965">
        <v>74</v>
      </c>
      <c r="M3965">
        <v>21687</v>
      </c>
      <c r="N3965">
        <v>227585</v>
      </c>
      <c r="O3965">
        <f t="shared" si="128"/>
        <v>2025</v>
      </c>
      <c r="P3965">
        <f t="shared" si="129"/>
        <v>9</v>
      </c>
      <c r="Q3965" t="str">
        <f>_xlfn.XLOOKUP(B3965,全店核心数据_bymonth!A:A,全店核心数据_bymonth!AN:AN)</f>
        <v>BU26</v>
      </c>
    </row>
    <row r="3966" spans="1:17" x14ac:dyDescent="0.3">
      <c r="A3966" t="s">
        <v>110</v>
      </c>
      <c r="B3966" s="16">
        <v>45901</v>
      </c>
      <c r="C3966" t="s">
        <v>2</v>
      </c>
      <c r="D3966" t="s">
        <v>52</v>
      </c>
      <c r="E3966">
        <v>6</v>
      </c>
      <c r="F3966">
        <v>6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3</v>
      </c>
      <c r="N3966">
        <v>2</v>
      </c>
      <c r="O3966">
        <f t="shared" si="128"/>
        <v>2025</v>
      </c>
      <c r="P3966">
        <f t="shared" si="129"/>
        <v>9</v>
      </c>
      <c r="Q3966" t="str">
        <f>_xlfn.XLOOKUP(B3966,全店核心数据_bymonth!A:A,全店核心数据_bymonth!AN:AN)</f>
        <v>BU26</v>
      </c>
    </row>
    <row r="3967" spans="1:17" x14ac:dyDescent="0.3">
      <c r="A3967" t="s">
        <v>110</v>
      </c>
      <c r="B3967" s="16">
        <v>45901</v>
      </c>
      <c r="C3967" t="s">
        <v>2</v>
      </c>
      <c r="D3967" t="s">
        <v>55</v>
      </c>
      <c r="E3967">
        <v>27688</v>
      </c>
      <c r="F3967">
        <v>24255</v>
      </c>
      <c r="G3967">
        <v>53</v>
      </c>
      <c r="H3967">
        <v>27</v>
      </c>
      <c r="I3967">
        <v>13500</v>
      </c>
      <c r="J3967">
        <v>1</v>
      </c>
      <c r="K3967">
        <v>0</v>
      </c>
      <c r="L3967">
        <v>0</v>
      </c>
      <c r="M3967">
        <v>414</v>
      </c>
      <c r="N3967">
        <v>14177</v>
      </c>
      <c r="O3967">
        <f t="shared" si="128"/>
        <v>2025</v>
      </c>
      <c r="P3967">
        <f t="shared" si="129"/>
        <v>9</v>
      </c>
      <c r="Q3967" t="str">
        <f>_xlfn.XLOOKUP(B3967,全店核心数据_bymonth!A:A,全店核心数据_bymonth!AN:AN)</f>
        <v>BU26</v>
      </c>
    </row>
    <row r="3968" spans="1:17" x14ac:dyDescent="0.3">
      <c r="A3968" t="s">
        <v>110</v>
      </c>
      <c r="B3968" s="16">
        <v>45901</v>
      </c>
      <c r="C3968" t="s">
        <v>3</v>
      </c>
      <c r="D3968" t="s">
        <v>157</v>
      </c>
      <c r="E3968">
        <v>2</v>
      </c>
      <c r="F3968">
        <v>2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f t="shared" si="128"/>
        <v>2025</v>
      </c>
      <c r="P3968">
        <f t="shared" si="129"/>
        <v>9</v>
      </c>
      <c r="Q3968" t="str">
        <f>_xlfn.XLOOKUP(B3968,全店核心数据_bymonth!A:A,全店核心数据_bymonth!AN:AN)</f>
        <v>BU26</v>
      </c>
    </row>
    <row r="3969" spans="1:17" x14ac:dyDescent="0.3">
      <c r="A3969" t="s">
        <v>110</v>
      </c>
      <c r="B3969" s="16">
        <v>45901</v>
      </c>
      <c r="C3969" t="s">
        <v>3</v>
      </c>
      <c r="D3969" t="s">
        <v>155</v>
      </c>
      <c r="E3969">
        <v>404</v>
      </c>
      <c r="F3969">
        <v>276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5</v>
      </c>
      <c r="N3969">
        <v>404</v>
      </c>
      <c r="O3969">
        <f t="shared" si="128"/>
        <v>2025</v>
      </c>
      <c r="P3969">
        <f t="shared" si="129"/>
        <v>9</v>
      </c>
      <c r="Q3969" t="str">
        <f>_xlfn.XLOOKUP(B3969,全店核心数据_bymonth!A:A,全店核心数据_bymonth!AN:AN)</f>
        <v>BU26</v>
      </c>
    </row>
    <row r="3970" spans="1:17" x14ac:dyDescent="0.3">
      <c r="A3970" t="s">
        <v>110</v>
      </c>
      <c r="B3970" s="16">
        <v>45901</v>
      </c>
      <c r="C3970" t="s">
        <v>3</v>
      </c>
      <c r="D3970" t="s">
        <v>154</v>
      </c>
      <c r="E3970">
        <v>14286</v>
      </c>
      <c r="F3970">
        <v>14255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2</v>
      </c>
      <c r="O3970">
        <f t="shared" si="128"/>
        <v>2025</v>
      </c>
      <c r="P3970">
        <f t="shared" si="129"/>
        <v>9</v>
      </c>
      <c r="Q3970" t="str">
        <f>_xlfn.XLOOKUP(B3970,全店核心数据_bymonth!A:A,全店核心数据_bymonth!AN:AN)</f>
        <v>BU26</v>
      </c>
    </row>
    <row r="3971" spans="1:17" x14ac:dyDescent="0.3">
      <c r="A3971" t="s">
        <v>110</v>
      </c>
      <c r="B3971" s="16">
        <v>45901</v>
      </c>
      <c r="C3971" t="s">
        <v>3</v>
      </c>
      <c r="D3971" t="s">
        <v>153</v>
      </c>
      <c r="E3971">
        <v>1703</v>
      </c>
      <c r="F3971">
        <v>981</v>
      </c>
      <c r="G3971">
        <v>151</v>
      </c>
      <c r="H3971">
        <v>32</v>
      </c>
      <c r="I3971">
        <v>739163</v>
      </c>
      <c r="J3971">
        <v>88</v>
      </c>
      <c r="K3971">
        <v>601088</v>
      </c>
      <c r="L3971">
        <v>81</v>
      </c>
      <c r="M3971">
        <v>597</v>
      </c>
      <c r="N3971">
        <v>1615</v>
      </c>
      <c r="O3971">
        <f t="shared" si="128"/>
        <v>2025</v>
      </c>
      <c r="P3971">
        <f t="shared" si="129"/>
        <v>9</v>
      </c>
      <c r="Q3971" t="str">
        <f>_xlfn.XLOOKUP(B3971,全店核心数据_bymonth!A:A,全店核心数据_bymonth!AN:AN)</f>
        <v>BU26</v>
      </c>
    </row>
    <row r="3972" spans="1:17" x14ac:dyDescent="0.3">
      <c r="A3972" t="s">
        <v>110</v>
      </c>
      <c r="B3972" s="16">
        <v>45901</v>
      </c>
      <c r="C3972" t="s">
        <v>3</v>
      </c>
      <c r="D3972" t="s">
        <v>152</v>
      </c>
      <c r="E3972">
        <v>150</v>
      </c>
      <c r="F3972">
        <v>105</v>
      </c>
      <c r="G3972">
        <v>1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2</v>
      </c>
      <c r="N3972">
        <v>127</v>
      </c>
      <c r="O3972">
        <f t="shared" si="128"/>
        <v>2025</v>
      </c>
      <c r="P3972">
        <f t="shared" si="129"/>
        <v>9</v>
      </c>
      <c r="Q3972" t="str">
        <f>_xlfn.XLOOKUP(B3972,全店核心数据_bymonth!A:A,全店核心数据_bymonth!AN:AN)</f>
        <v>BU26</v>
      </c>
    </row>
    <row r="3973" spans="1:17" x14ac:dyDescent="0.3">
      <c r="A3973" t="s">
        <v>110</v>
      </c>
      <c r="B3973" s="16">
        <v>45901</v>
      </c>
      <c r="C3973" t="s">
        <v>3</v>
      </c>
      <c r="D3973" t="s">
        <v>149</v>
      </c>
      <c r="E3973">
        <v>41</v>
      </c>
      <c r="F3973">
        <v>22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2</v>
      </c>
      <c r="N3973">
        <v>21</v>
      </c>
      <c r="O3973">
        <f t="shared" si="128"/>
        <v>2025</v>
      </c>
      <c r="P3973">
        <f t="shared" si="129"/>
        <v>9</v>
      </c>
      <c r="Q3973" t="str">
        <f>_xlfn.XLOOKUP(B3973,全店核心数据_bymonth!A:A,全店核心数据_bymonth!AN:AN)</f>
        <v>BU26</v>
      </c>
    </row>
    <row r="3974" spans="1:17" x14ac:dyDescent="0.3">
      <c r="A3974" t="s">
        <v>110</v>
      </c>
      <c r="B3974" s="16">
        <v>45901</v>
      </c>
      <c r="C3974" t="s">
        <v>3</v>
      </c>
      <c r="D3974" t="s">
        <v>148</v>
      </c>
      <c r="E3974">
        <v>25</v>
      </c>
      <c r="F3974">
        <v>25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21</v>
      </c>
      <c r="N3974">
        <v>4</v>
      </c>
      <c r="O3974">
        <f t="shared" si="128"/>
        <v>2025</v>
      </c>
      <c r="P3974">
        <f t="shared" si="129"/>
        <v>9</v>
      </c>
      <c r="Q3974" t="str">
        <f>_xlfn.XLOOKUP(B3974,全店核心数据_bymonth!A:A,全店核心数据_bymonth!AN:AN)</f>
        <v>BU26</v>
      </c>
    </row>
    <row r="3975" spans="1:17" x14ac:dyDescent="0.3">
      <c r="A3975" t="s">
        <v>110</v>
      </c>
      <c r="B3975" s="16">
        <v>45901</v>
      </c>
      <c r="C3975" t="s">
        <v>3</v>
      </c>
      <c r="D3975" t="s">
        <v>146</v>
      </c>
      <c r="E3975">
        <v>1</v>
      </c>
      <c r="F3975">
        <v>1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1</v>
      </c>
      <c r="N3975">
        <v>1</v>
      </c>
      <c r="O3975">
        <f t="shared" si="128"/>
        <v>2025</v>
      </c>
      <c r="P3975">
        <f t="shared" si="129"/>
        <v>9</v>
      </c>
      <c r="Q3975" t="str">
        <f>_xlfn.XLOOKUP(B3975,全店核心数据_bymonth!A:A,全店核心数据_bymonth!AN:AN)</f>
        <v>BU26</v>
      </c>
    </row>
    <row r="3976" spans="1:17" x14ac:dyDescent="0.3">
      <c r="A3976" t="s">
        <v>110</v>
      </c>
      <c r="B3976" s="16">
        <v>45901</v>
      </c>
      <c r="C3976" t="s">
        <v>3</v>
      </c>
      <c r="D3976" t="s">
        <v>251</v>
      </c>
      <c r="E3976">
        <v>24117</v>
      </c>
      <c r="F3976">
        <v>22960</v>
      </c>
      <c r="G3976">
        <v>76</v>
      </c>
      <c r="H3976">
        <v>30</v>
      </c>
      <c r="I3976">
        <v>127830</v>
      </c>
      <c r="J3976">
        <v>16</v>
      </c>
      <c r="K3976">
        <v>98395</v>
      </c>
      <c r="L3976">
        <v>13</v>
      </c>
      <c r="M3976">
        <v>758</v>
      </c>
      <c r="N3976">
        <v>2981</v>
      </c>
      <c r="O3976">
        <f t="shared" si="128"/>
        <v>2025</v>
      </c>
      <c r="P3976">
        <f t="shared" si="129"/>
        <v>9</v>
      </c>
      <c r="Q3976" t="str">
        <f>_xlfn.XLOOKUP(B3976,全店核心数据_bymonth!A:A,全店核心数据_bymonth!AN:AN)</f>
        <v>BU26</v>
      </c>
    </row>
    <row r="3977" spans="1:17" x14ac:dyDescent="0.3">
      <c r="A3977" t="s">
        <v>110</v>
      </c>
      <c r="B3977" s="16">
        <v>45901</v>
      </c>
      <c r="C3977" t="s">
        <v>3</v>
      </c>
      <c r="D3977" t="s">
        <v>143</v>
      </c>
      <c r="E3977">
        <v>8</v>
      </c>
      <c r="F3977">
        <v>3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8</v>
      </c>
      <c r="O3977">
        <f t="shared" si="128"/>
        <v>2025</v>
      </c>
      <c r="P3977">
        <f t="shared" si="129"/>
        <v>9</v>
      </c>
      <c r="Q3977" t="str">
        <f>_xlfn.XLOOKUP(B3977,全店核心数据_bymonth!A:A,全店核心数据_bymonth!AN:AN)</f>
        <v>BU26</v>
      </c>
    </row>
    <row r="3978" spans="1:17" x14ac:dyDescent="0.3">
      <c r="A3978" t="s">
        <v>110</v>
      </c>
      <c r="B3978" s="16">
        <v>45901</v>
      </c>
      <c r="C3978" t="s">
        <v>3</v>
      </c>
      <c r="D3978" t="s">
        <v>141</v>
      </c>
      <c r="E3978">
        <v>1939</v>
      </c>
      <c r="F3978">
        <v>1552</v>
      </c>
      <c r="G3978">
        <v>11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16</v>
      </c>
      <c r="N3978">
        <v>1923</v>
      </c>
      <c r="O3978">
        <f t="shared" si="128"/>
        <v>2025</v>
      </c>
      <c r="P3978">
        <f t="shared" si="129"/>
        <v>9</v>
      </c>
      <c r="Q3978" t="str">
        <f>_xlfn.XLOOKUP(B3978,全店核心数据_bymonth!A:A,全店核心数据_bymonth!AN:AN)</f>
        <v>BU26</v>
      </c>
    </row>
    <row r="3979" spans="1:17" x14ac:dyDescent="0.3">
      <c r="A3979" t="s">
        <v>110</v>
      </c>
      <c r="B3979" s="16">
        <v>45901</v>
      </c>
      <c r="C3979" t="s">
        <v>3</v>
      </c>
      <c r="D3979" t="s">
        <v>140</v>
      </c>
      <c r="E3979">
        <v>142</v>
      </c>
      <c r="F3979">
        <v>135</v>
      </c>
      <c r="G3979">
        <v>5</v>
      </c>
      <c r="H3979">
        <v>3</v>
      </c>
      <c r="I3979">
        <v>38635</v>
      </c>
      <c r="J3979">
        <v>4</v>
      </c>
      <c r="K3979">
        <v>27045</v>
      </c>
      <c r="L3979">
        <v>3</v>
      </c>
      <c r="M3979">
        <v>20</v>
      </c>
      <c r="N3979">
        <v>131</v>
      </c>
      <c r="O3979">
        <f t="shared" si="128"/>
        <v>2025</v>
      </c>
      <c r="P3979">
        <f t="shared" si="129"/>
        <v>9</v>
      </c>
      <c r="Q3979" t="str">
        <f>_xlfn.XLOOKUP(B3979,全店核心数据_bymonth!A:A,全店核心数据_bymonth!AN:AN)</f>
        <v>BU26</v>
      </c>
    </row>
    <row r="3980" spans="1:17" x14ac:dyDescent="0.3">
      <c r="A3980" t="s">
        <v>110</v>
      </c>
      <c r="B3980" s="16">
        <v>45901</v>
      </c>
      <c r="C3980" t="s">
        <v>3</v>
      </c>
      <c r="D3980" t="s">
        <v>139</v>
      </c>
      <c r="E3980">
        <v>8839</v>
      </c>
      <c r="F3980">
        <v>6898</v>
      </c>
      <c r="G3980">
        <v>225</v>
      </c>
      <c r="H3980">
        <v>61</v>
      </c>
      <c r="I3980">
        <v>313978</v>
      </c>
      <c r="J3980">
        <v>58</v>
      </c>
      <c r="K3980">
        <v>256333</v>
      </c>
      <c r="L3980">
        <v>53</v>
      </c>
      <c r="M3980">
        <v>2702</v>
      </c>
      <c r="N3980">
        <v>5595</v>
      </c>
      <c r="O3980">
        <f t="shared" si="128"/>
        <v>2025</v>
      </c>
      <c r="P3980">
        <f t="shared" si="129"/>
        <v>9</v>
      </c>
      <c r="Q3980" t="str">
        <f>_xlfn.XLOOKUP(B3980,全店核心数据_bymonth!A:A,全店核心数据_bymonth!AN:AN)</f>
        <v>BU26</v>
      </c>
    </row>
    <row r="3981" spans="1:17" x14ac:dyDescent="0.3">
      <c r="A3981" t="s">
        <v>110</v>
      </c>
      <c r="B3981" s="16">
        <v>45901</v>
      </c>
      <c r="C3981" t="s">
        <v>3</v>
      </c>
      <c r="D3981" t="s">
        <v>138</v>
      </c>
      <c r="E3981">
        <v>233</v>
      </c>
      <c r="F3981">
        <v>148</v>
      </c>
      <c r="G3981">
        <v>3</v>
      </c>
      <c r="H3981">
        <v>2</v>
      </c>
      <c r="I3981">
        <v>0</v>
      </c>
      <c r="J3981">
        <v>0</v>
      </c>
      <c r="K3981">
        <v>0</v>
      </c>
      <c r="L3981">
        <v>0</v>
      </c>
      <c r="M3981">
        <v>28</v>
      </c>
      <c r="N3981">
        <v>226</v>
      </c>
      <c r="O3981">
        <f t="shared" si="128"/>
        <v>2025</v>
      </c>
      <c r="P3981">
        <f t="shared" si="129"/>
        <v>9</v>
      </c>
      <c r="Q3981" t="str">
        <f>_xlfn.XLOOKUP(B3981,全店核心数据_bymonth!A:A,全店核心数据_bymonth!AN:AN)</f>
        <v>BU26</v>
      </c>
    </row>
    <row r="3982" spans="1:17" x14ac:dyDescent="0.3">
      <c r="A3982" t="s">
        <v>110</v>
      </c>
      <c r="B3982" s="16">
        <v>45901</v>
      </c>
      <c r="C3982" t="s">
        <v>3</v>
      </c>
      <c r="D3982" t="s">
        <v>137</v>
      </c>
      <c r="E3982">
        <v>1</v>
      </c>
      <c r="F3982">
        <v>1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1</v>
      </c>
      <c r="O3982">
        <f t="shared" si="128"/>
        <v>2025</v>
      </c>
      <c r="P3982">
        <f t="shared" si="129"/>
        <v>9</v>
      </c>
      <c r="Q3982" t="str">
        <f>_xlfn.XLOOKUP(B3982,全店核心数据_bymonth!A:A,全店核心数据_bymonth!AN:AN)</f>
        <v>BU26</v>
      </c>
    </row>
    <row r="3983" spans="1:17" x14ac:dyDescent="0.3">
      <c r="A3983" t="s">
        <v>110</v>
      </c>
      <c r="B3983" s="16">
        <v>45901</v>
      </c>
      <c r="C3983" t="s">
        <v>3</v>
      </c>
      <c r="D3983" t="s">
        <v>133</v>
      </c>
      <c r="E3983">
        <v>163</v>
      </c>
      <c r="F3983">
        <v>134</v>
      </c>
      <c r="G3983">
        <v>5</v>
      </c>
      <c r="H3983">
        <v>1</v>
      </c>
      <c r="I3983">
        <v>32045</v>
      </c>
      <c r="J3983">
        <v>3</v>
      </c>
      <c r="K3983">
        <v>32045</v>
      </c>
      <c r="L3983">
        <v>3</v>
      </c>
      <c r="M3983">
        <v>36</v>
      </c>
      <c r="N3983">
        <v>144</v>
      </c>
      <c r="O3983">
        <f t="shared" si="128"/>
        <v>2025</v>
      </c>
      <c r="P3983">
        <f t="shared" si="129"/>
        <v>9</v>
      </c>
      <c r="Q3983" t="str">
        <f>_xlfn.XLOOKUP(B3983,全店核心数据_bymonth!A:A,全店核心数据_bymonth!AN:AN)</f>
        <v>BU26</v>
      </c>
    </row>
    <row r="3984" spans="1:17" x14ac:dyDescent="0.3">
      <c r="A3984" t="s">
        <v>110</v>
      </c>
      <c r="B3984" s="16">
        <v>45901</v>
      </c>
      <c r="C3984" t="s">
        <v>3</v>
      </c>
      <c r="D3984" t="s">
        <v>130</v>
      </c>
      <c r="E3984">
        <v>1095</v>
      </c>
      <c r="F3984">
        <v>770</v>
      </c>
      <c r="G3984">
        <v>52</v>
      </c>
      <c r="H3984">
        <v>14</v>
      </c>
      <c r="I3984">
        <v>232719</v>
      </c>
      <c r="J3984">
        <v>28</v>
      </c>
      <c r="K3984">
        <v>201329</v>
      </c>
      <c r="L3984">
        <v>26</v>
      </c>
      <c r="M3984">
        <v>488</v>
      </c>
      <c r="N3984">
        <v>892</v>
      </c>
      <c r="O3984">
        <f t="shared" si="128"/>
        <v>2025</v>
      </c>
      <c r="P3984">
        <f t="shared" si="129"/>
        <v>9</v>
      </c>
      <c r="Q3984" t="str">
        <f>_xlfn.XLOOKUP(B3984,全店核心数据_bymonth!A:A,全店核心数据_bymonth!AN:AN)</f>
        <v>BU26</v>
      </c>
    </row>
    <row r="3985" spans="1:17" x14ac:dyDescent="0.3">
      <c r="A3985" t="s">
        <v>110</v>
      </c>
      <c r="B3985" s="16">
        <v>45901</v>
      </c>
      <c r="C3985" t="s">
        <v>3</v>
      </c>
      <c r="D3985" t="s">
        <v>128</v>
      </c>
      <c r="E3985">
        <v>32746</v>
      </c>
      <c r="F3985">
        <v>31401</v>
      </c>
      <c r="G3985">
        <v>417</v>
      </c>
      <c r="H3985">
        <v>233</v>
      </c>
      <c r="I3985">
        <v>516167</v>
      </c>
      <c r="J3985">
        <v>68</v>
      </c>
      <c r="K3985">
        <v>255117</v>
      </c>
      <c r="L3985">
        <v>44</v>
      </c>
      <c r="M3985">
        <v>3792</v>
      </c>
      <c r="N3985">
        <v>31504</v>
      </c>
      <c r="O3985">
        <f t="shared" si="128"/>
        <v>2025</v>
      </c>
      <c r="P3985">
        <f t="shared" si="129"/>
        <v>9</v>
      </c>
      <c r="Q3985" t="str">
        <f>_xlfn.XLOOKUP(B3985,全店核心数据_bymonth!A:A,全店核心数据_bymonth!AN:AN)</f>
        <v>BU26</v>
      </c>
    </row>
    <row r="3986" spans="1:17" x14ac:dyDescent="0.3">
      <c r="A3986" t="s">
        <v>110</v>
      </c>
      <c r="B3986" s="16">
        <v>45901</v>
      </c>
      <c r="C3986" t="s">
        <v>3</v>
      </c>
      <c r="D3986" t="s">
        <v>127</v>
      </c>
      <c r="E3986">
        <v>32498</v>
      </c>
      <c r="F3986">
        <v>27617</v>
      </c>
      <c r="G3986">
        <v>326</v>
      </c>
      <c r="H3986">
        <v>207</v>
      </c>
      <c r="I3986">
        <v>353665</v>
      </c>
      <c r="J3986">
        <v>32</v>
      </c>
      <c r="K3986">
        <v>188605</v>
      </c>
      <c r="L3986">
        <v>19</v>
      </c>
      <c r="M3986">
        <v>1972</v>
      </c>
      <c r="N3986">
        <v>30762</v>
      </c>
      <c r="O3986">
        <f t="shared" si="128"/>
        <v>2025</v>
      </c>
      <c r="P3986">
        <f t="shared" si="129"/>
        <v>9</v>
      </c>
      <c r="Q3986" t="str">
        <f>_xlfn.XLOOKUP(B3986,全店核心数据_bymonth!A:A,全店核心数据_bymonth!AN:AN)</f>
        <v>BU26</v>
      </c>
    </row>
    <row r="3987" spans="1:17" x14ac:dyDescent="0.3">
      <c r="A3987" t="s">
        <v>110</v>
      </c>
      <c r="B3987" s="16">
        <v>45901</v>
      </c>
      <c r="C3987" t="s">
        <v>3</v>
      </c>
      <c r="D3987" t="s">
        <v>126</v>
      </c>
      <c r="E3987">
        <v>1868</v>
      </c>
      <c r="F3987">
        <v>1551</v>
      </c>
      <c r="G3987">
        <v>54</v>
      </c>
      <c r="H3987">
        <v>33</v>
      </c>
      <c r="I3987">
        <v>124975</v>
      </c>
      <c r="J3987">
        <v>11</v>
      </c>
      <c r="K3987">
        <v>109430</v>
      </c>
      <c r="L3987">
        <v>9</v>
      </c>
      <c r="M3987">
        <v>240</v>
      </c>
      <c r="N3987">
        <v>1815</v>
      </c>
      <c r="O3987">
        <f t="shared" si="128"/>
        <v>2025</v>
      </c>
      <c r="P3987">
        <f t="shared" si="129"/>
        <v>9</v>
      </c>
      <c r="Q3987" t="str">
        <f>_xlfn.XLOOKUP(B3987,全店核心数据_bymonth!A:A,全店核心数据_bymonth!AN:AN)</f>
        <v>BU26</v>
      </c>
    </row>
    <row r="3988" spans="1:17" x14ac:dyDescent="0.3">
      <c r="A3988" t="s">
        <v>110</v>
      </c>
      <c r="B3988" s="16">
        <v>45901</v>
      </c>
      <c r="C3988" t="s">
        <v>3</v>
      </c>
      <c r="D3988" t="s">
        <v>125</v>
      </c>
      <c r="E3988">
        <v>8</v>
      </c>
      <c r="F3988">
        <v>7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1</v>
      </c>
      <c r="N3988">
        <v>8</v>
      </c>
      <c r="O3988">
        <f t="shared" si="128"/>
        <v>2025</v>
      </c>
      <c r="P3988">
        <f t="shared" si="129"/>
        <v>9</v>
      </c>
      <c r="Q3988" t="str">
        <f>_xlfn.XLOOKUP(B3988,全店核心数据_bymonth!A:A,全店核心数据_bymonth!AN:AN)</f>
        <v>BU26</v>
      </c>
    </row>
    <row r="3989" spans="1:17" x14ac:dyDescent="0.3">
      <c r="A3989" t="s">
        <v>110</v>
      </c>
      <c r="B3989" s="16">
        <v>45901</v>
      </c>
      <c r="C3989" t="s">
        <v>3</v>
      </c>
      <c r="D3989" t="s">
        <v>123</v>
      </c>
      <c r="E3989">
        <v>612</v>
      </c>
      <c r="F3989">
        <v>480</v>
      </c>
      <c r="G3989">
        <v>13</v>
      </c>
      <c r="H3989">
        <v>7</v>
      </c>
      <c r="I3989">
        <v>9750</v>
      </c>
      <c r="J3989">
        <v>2</v>
      </c>
      <c r="K3989">
        <v>5055</v>
      </c>
      <c r="L3989">
        <v>2</v>
      </c>
      <c r="M3989">
        <v>543</v>
      </c>
      <c r="N3989">
        <v>272</v>
      </c>
      <c r="O3989">
        <f t="shared" si="128"/>
        <v>2025</v>
      </c>
      <c r="P3989">
        <f t="shared" si="129"/>
        <v>9</v>
      </c>
      <c r="Q3989" t="str">
        <f>_xlfn.XLOOKUP(B3989,全店核心数据_bymonth!A:A,全店核心数据_bymonth!AN:AN)</f>
        <v>BU26</v>
      </c>
    </row>
    <row r="3990" spans="1:17" x14ac:dyDescent="0.3">
      <c r="A3990" t="s">
        <v>110</v>
      </c>
      <c r="B3990" s="16">
        <v>45901</v>
      </c>
      <c r="C3990" t="s">
        <v>3</v>
      </c>
      <c r="D3990" t="s">
        <v>122</v>
      </c>
      <c r="E3990">
        <v>1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1</v>
      </c>
      <c r="O3990">
        <f t="shared" si="128"/>
        <v>2025</v>
      </c>
      <c r="P3990">
        <f t="shared" si="129"/>
        <v>9</v>
      </c>
      <c r="Q3990" t="str">
        <f>_xlfn.XLOOKUP(B3990,全店核心数据_bymonth!A:A,全店核心数据_bymonth!AN:AN)</f>
        <v>BU26</v>
      </c>
    </row>
    <row r="3991" spans="1:17" x14ac:dyDescent="0.3">
      <c r="A3991" t="s">
        <v>110</v>
      </c>
      <c r="B3991" s="16">
        <v>45901</v>
      </c>
      <c r="C3991" t="s">
        <v>3</v>
      </c>
      <c r="D3991" t="s">
        <v>121</v>
      </c>
      <c r="E3991">
        <v>13</v>
      </c>
      <c r="F3991">
        <v>12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v>0</v>
      </c>
      <c r="M3991">
        <v>5</v>
      </c>
      <c r="N3991">
        <v>8</v>
      </c>
      <c r="O3991">
        <f t="shared" si="128"/>
        <v>2025</v>
      </c>
      <c r="P3991">
        <f t="shared" si="129"/>
        <v>9</v>
      </c>
      <c r="Q3991" t="str">
        <f>_xlfn.XLOOKUP(B3991,全店核心数据_bymonth!A:A,全店核心数据_bymonth!AN:AN)</f>
        <v>BU26</v>
      </c>
    </row>
    <row r="3992" spans="1:17" x14ac:dyDescent="0.3">
      <c r="A3992" t="s">
        <v>110</v>
      </c>
      <c r="B3992" s="16">
        <v>45901</v>
      </c>
      <c r="C3992" t="s">
        <v>3</v>
      </c>
      <c r="D3992" t="s">
        <v>119</v>
      </c>
      <c r="E3992">
        <v>1742</v>
      </c>
      <c r="F3992">
        <v>1094</v>
      </c>
      <c r="G3992">
        <v>89</v>
      </c>
      <c r="H3992">
        <v>60</v>
      </c>
      <c r="I3992">
        <v>377673</v>
      </c>
      <c r="J3992">
        <v>42</v>
      </c>
      <c r="K3992">
        <v>160498</v>
      </c>
      <c r="L3992">
        <v>30</v>
      </c>
      <c r="M3992">
        <v>424</v>
      </c>
      <c r="N3992">
        <v>1685</v>
      </c>
      <c r="O3992">
        <f t="shared" si="128"/>
        <v>2025</v>
      </c>
      <c r="P3992">
        <f t="shared" si="129"/>
        <v>9</v>
      </c>
      <c r="Q3992" t="str">
        <f>_xlfn.XLOOKUP(B3992,全店核心数据_bymonth!A:A,全店核心数据_bymonth!AN:AN)</f>
        <v>BU26</v>
      </c>
    </row>
    <row r="3993" spans="1:17" x14ac:dyDescent="0.3">
      <c r="A3993" t="s">
        <v>110</v>
      </c>
      <c r="B3993" s="16">
        <v>45901</v>
      </c>
      <c r="C3993" t="s">
        <v>3</v>
      </c>
      <c r="D3993" t="s">
        <v>583</v>
      </c>
      <c r="E3993">
        <v>2</v>
      </c>
      <c r="F3993">
        <v>2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2</v>
      </c>
      <c r="O3993">
        <f t="shared" si="128"/>
        <v>2025</v>
      </c>
      <c r="P3993">
        <f t="shared" si="129"/>
        <v>9</v>
      </c>
      <c r="Q3993" t="str">
        <f>_xlfn.XLOOKUP(B3993,全店核心数据_bymonth!A:A,全店核心数据_bymonth!AN:AN)</f>
        <v>BU26</v>
      </c>
    </row>
    <row r="3994" spans="1:17" x14ac:dyDescent="0.3">
      <c r="A3994" t="s">
        <v>110</v>
      </c>
      <c r="B3994" s="16">
        <v>45901</v>
      </c>
      <c r="C3994" t="s">
        <v>3</v>
      </c>
      <c r="D3994" t="s">
        <v>252</v>
      </c>
      <c r="E3994">
        <v>117</v>
      </c>
      <c r="F3994">
        <v>110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8</v>
      </c>
      <c r="N3994">
        <v>117</v>
      </c>
      <c r="O3994">
        <f t="shared" si="128"/>
        <v>2025</v>
      </c>
      <c r="P3994">
        <f t="shared" si="129"/>
        <v>9</v>
      </c>
      <c r="Q3994" t="str">
        <f>_xlfn.XLOOKUP(B3994,全店核心数据_bymonth!A:A,全店核心数据_bymonth!AN:AN)</f>
        <v>BU26</v>
      </c>
    </row>
    <row r="3995" spans="1:17" x14ac:dyDescent="0.3">
      <c r="A3995" t="s">
        <v>110</v>
      </c>
      <c r="B3995" s="16">
        <v>45901</v>
      </c>
      <c r="C3995" t="s">
        <v>3</v>
      </c>
      <c r="D3995" t="s">
        <v>117</v>
      </c>
      <c r="E3995">
        <v>3</v>
      </c>
      <c r="F3995">
        <v>3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3</v>
      </c>
      <c r="O3995">
        <f t="shared" si="128"/>
        <v>2025</v>
      </c>
      <c r="P3995">
        <f t="shared" si="129"/>
        <v>9</v>
      </c>
      <c r="Q3995" t="str">
        <f>_xlfn.XLOOKUP(B3995,全店核心数据_bymonth!A:A,全店核心数据_bymonth!AN:AN)</f>
        <v>BU26</v>
      </c>
    </row>
    <row r="3996" spans="1:17" x14ac:dyDescent="0.3">
      <c r="A3996" t="s">
        <v>110</v>
      </c>
      <c r="B3996" s="16">
        <v>45901</v>
      </c>
      <c r="C3996" t="s">
        <v>3</v>
      </c>
      <c r="D3996" t="s">
        <v>391</v>
      </c>
      <c r="E3996">
        <v>5079</v>
      </c>
      <c r="F3996">
        <v>4684</v>
      </c>
      <c r="G3996">
        <v>93</v>
      </c>
      <c r="H3996">
        <v>40</v>
      </c>
      <c r="I3996">
        <v>49040</v>
      </c>
      <c r="J3996">
        <v>8</v>
      </c>
      <c r="K3996">
        <v>37200</v>
      </c>
      <c r="L3996">
        <v>6</v>
      </c>
      <c r="M3996">
        <v>704</v>
      </c>
      <c r="N3996">
        <v>4979</v>
      </c>
      <c r="O3996">
        <f t="shared" si="128"/>
        <v>2025</v>
      </c>
      <c r="P3996">
        <f t="shared" si="129"/>
        <v>9</v>
      </c>
      <c r="Q3996" t="str">
        <f>_xlfn.XLOOKUP(B3996,全店核心数据_bymonth!A:A,全店核心数据_bymonth!AN:AN)</f>
        <v>BU26</v>
      </c>
    </row>
    <row r="3997" spans="1:17" x14ac:dyDescent="0.3">
      <c r="A3997" t="s">
        <v>110</v>
      </c>
      <c r="B3997" s="16">
        <v>45901</v>
      </c>
      <c r="C3997" t="s">
        <v>3</v>
      </c>
      <c r="D3997" t="s">
        <v>113</v>
      </c>
      <c r="E3997">
        <v>1454</v>
      </c>
      <c r="F3997">
        <v>1140</v>
      </c>
      <c r="G3997">
        <v>39</v>
      </c>
      <c r="H3997">
        <v>8</v>
      </c>
      <c r="I3997">
        <v>4845</v>
      </c>
      <c r="J3997">
        <v>1</v>
      </c>
      <c r="K3997">
        <v>0</v>
      </c>
      <c r="L3997">
        <v>0</v>
      </c>
      <c r="M3997">
        <v>1239</v>
      </c>
      <c r="N3997">
        <v>751</v>
      </c>
      <c r="O3997">
        <f t="shared" si="128"/>
        <v>2025</v>
      </c>
      <c r="P3997">
        <f t="shared" si="129"/>
        <v>9</v>
      </c>
      <c r="Q3997" t="str">
        <f>_xlfn.XLOOKUP(B3997,全店核心数据_bymonth!A:A,全店核心数据_bymonth!AN:AN)</f>
        <v>BU26</v>
      </c>
    </row>
    <row r="3998" spans="1:17" x14ac:dyDescent="0.3">
      <c r="A3998" t="s">
        <v>110</v>
      </c>
      <c r="B3998" s="16">
        <v>45901</v>
      </c>
      <c r="C3998" t="s">
        <v>3</v>
      </c>
      <c r="D3998" t="s">
        <v>112</v>
      </c>
      <c r="E3998">
        <v>506</v>
      </c>
      <c r="F3998">
        <v>153</v>
      </c>
      <c r="G3998">
        <v>0</v>
      </c>
      <c r="H3998">
        <v>0</v>
      </c>
      <c r="I3998">
        <v>12935</v>
      </c>
      <c r="J3998">
        <v>2</v>
      </c>
      <c r="K3998">
        <v>12935</v>
      </c>
      <c r="L3998">
        <v>2</v>
      </c>
      <c r="M3998">
        <v>0</v>
      </c>
      <c r="N3998">
        <v>506</v>
      </c>
      <c r="O3998">
        <f t="shared" si="128"/>
        <v>2025</v>
      </c>
      <c r="P3998">
        <f t="shared" si="129"/>
        <v>9</v>
      </c>
      <c r="Q3998" t="str">
        <f>_xlfn.XLOOKUP(B3998,全店核心数据_bymonth!A:A,全店核心数据_bymonth!AN:AN)</f>
        <v>BU26</v>
      </c>
    </row>
    <row r="3999" spans="1:17" x14ac:dyDescent="0.3">
      <c r="A3999" t="s">
        <v>110</v>
      </c>
      <c r="B3999" s="16">
        <v>45901</v>
      </c>
      <c r="C3999" t="s">
        <v>3</v>
      </c>
      <c r="D3999" t="s">
        <v>111</v>
      </c>
      <c r="E3999">
        <v>2</v>
      </c>
      <c r="F3999">
        <v>2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2</v>
      </c>
      <c r="O3999">
        <f t="shared" si="128"/>
        <v>2025</v>
      </c>
      <c r="P3999">
        <f t="shared" si="129"/>
        <v>9</v>
      </c>
      <c r="Q3999" t="str">
        <f>_xlfn.XLOOKUP(B3999,全店核心数据_bymonth!A:A,全店核心数据_bymonth!AN:AN)</f>
        <v>BU26</v>
      </c>
    </row>
    <row r="4000" spans="1:17" x14ac:dyDescent="0.3">
      <c r="A4000" t="s">
        <v>110</v>
      </c>
      <c r="B4000" s="16">
        <v>45931</v>
      </c>
      <c r="C4000" t="s">
        <v>2</v>
      </c>
      <c r="D4000" t="s">
        <v>4</v>
      </c>
      <c r="E4000">
        <v>6067</v>
      </c>
      <c r="F4000">
        <v>2810</v>
      </c>
      <c r="G4000">
        <v>78</v>
      </c>
      <c r="H4000">
        <v>28</v>
      </c>
      <c r="I4000">
        <v>324637.33</v>
      </c>
      <c r="J4000">
        <v>36</v>
      </c>
      <c r="K4000">
        <v>294804.46000000002</v>
      </c>
      <c r="L4000">
        <v>34</v>
      </c>
      <c r="M4000">
        <v>126</v>
      </c>
      <c r="N4000">
        <v>5970</v>
      </c>
      <c r="O4000">
        <f t="shared" ref="O4000:O4040" si="130">YEAR(B4000)</f>
        <v>2025</v>
      </c>
      <c r="P4000">
        <f t="shared" ref="P4000:P4040" si="131">MONTH(B4000)</f>
        <v>10</v>
      </c>
      <c r="Q4000" t="str">
        <f>_xlfn.XLOOKUP(B4000,全店核心数据_bymonth!A:A,全店核心数据_bymonth!AN:AN)</f>
        <v>BU26</v>
      </c>
    </row>
    <row r="4001" spans="1:17" x14ac:dyDescent="0.3">
      <c r="A4001" t="s">
        <v>110</v>
      </c>
      <c r="B4001" s="16">
        <v>45931</v>
      </c>
      <c r="C4001" t="s">
        <v>2</v>
      </c>
      <c r="D4001" t="s">
        <v>57</v>
      </c>
      <c r="E4001">
        <v>580462</v>
      </c>
      <c r="F4001">
        <v>559444</v>
      </c>
      <c r="G4001">
        <v>4162</v>
      </c>
      <c r="H4001">
        <v>3331</v>
      </c>
      <c r="I4001">
        <v>4128421.45</v>
      </c>
      <c r="J4001">
        <v>577</v>
      </c>
      <c r="K4001">
        <v>2425981.4500000002</v>
      </c>
      <c r="L4001">
        <v>436</v>
      </c>
      <c r="M4001">
        <v>38080</v>
      </c>
      <c r="N4001">
        <v>569882</v>
      </c>
      <c r="O4001">
        <f t="shared" si="130"/>
        <v>2025</v>
      </c>
      <c r="P4001">
        <f t="shared" si="131"/>
        <v>10</v>
      </c>
      <c r="Q4001" t="str">
        <f>_xlfn.XLOOKUP(B4001,全店核心数据_bymonth!A:A,全店核心数据_bymonth!AN:AN)</f>
        <v>BU26</v>
      </c>
    </row>
    <row r="4002" spans="1:17" x14ac:dyDescent="0.3">
      <c r="A4002" t="s">
        <v>110</v>
      </c>
      <c r="B4002" s="16">
        <v>45931</v>
      </c>
      <c r="C4002" t="s">
        <v>2</v>
      </c>
      <c r="D4002" t="s">
        <v>52</v>
      </c>
      <c r="E4002">
        <v>7</v>
      </c>
      <c r="F4002">
        <v>4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3</v>
      </c>
      <c r="N4002">
        <v>2</v>
      </c>
      <c r="O4002">
        <f t="shared" si="130"/>
        <v>2025</v>
      </c>
      <c r="P4002">
        <f t="shared" si="131"/>
        <v>10</v>
      </c>
      <c r="Q4002" t="str">
        <f>_xlfn.XLOOKUP(B4002,全店核心数据_bymonth!A:A,全店核心数据_bymonth!AN:AN)</f>
        <v>BU26</v>
      </c>
    </row>
    <row r="4003" spans="1:17" x14ac:dyDescent="0.3">
      <c r="A4003" t="s">
        <v>110</v>
      </c>
      <c r="B4003" s="16">
        <v>45931</v>
      </c>
      <c r="C4003" t="s">
        <v>2</v>
      </c>
      <c r="D4003" t="s">
        <v>55</v>
      </c>
      <c r="E4003">
        <v>26707</v>
      </c>
      <c r="F4003">
        <v>18879</v>
      </c>
      <c r="G4003">
        <v>245</v>
      </c>
      <c r="H4003">
        <v>40</v>
      </c>
      <c r="I4003">
        <v>21750</v>
      </c>
      <c r="J4003">
        <v>2</v>
      </c>
      <c r="K4003">
        <v>0</v>
      </c>
      <c r="L4003">
        <v>0</v>
      </c>
      <c r="M4003">
        <v>701</v>
      </c>
      <c r="N4003">
        <v>10353</v>
      </c>
      <c r="O4003">
        <f t="shared" si="130"/>
        <v>2025</v>
      </c>
      <c r="P4003">
        <f t="shared" si="131"/>
        <v>10</v>
      </c>
      <c r="Q4003" t="str">
        <f>_xlfn.XLOOKUP(B4003,全店核心数据_bymonth!A:A,全店核心数据_bymonth!AN:AN)</f>
        <v>BU26</v>
      </c>
    </row>
    <row r="4004" spans="1:17" x14ac:dyDescent="0.3">
      <c r="A4004" t="s">
        <v>110</v>
      </c>
      <c r="B4004" s="16">
        <v>45931</v>
      </c>
      <c r="C4004" t="s">
        <v>3</v>
      </c>
      <c r="D4004" t="s">
        <v>157</v>
      </c>
      <c r="E4004">
        <v>8</v>
      </c>
      <c r="F4004">
        <v>5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f t="shared" si="130"/>
        <v>2025</v>
      </c>
      <c r="P4004">
        <f t="shared" si="131"/>
        <v>10</v>
      </c>
      <c r="Q4004" t="str">
        <f>_xlfn.XLOOKUP(B4004,全店核心数据_bymonth!A:A,全店核心数据_bymonth!AN:AN)</f>
        <v>BU26</v>
      </c>
    </row>
    <row r="4005" spans="1:17" x14ac:dyDescent="0.3">
      <c r="A4005" t="s">
        <v>110</v>
      </c>
      <c r="B4005" s="16">
        <v>45931</v>
      </c>
      <c r="C4005" t="s">
        <v>3</v>
      </c>
      <c r="D4005" t="s">
        <v>155</v>
      </c>
      <c r="E4005">
        <v>1181</v>
      </c>
      <c r="F4005">
        <v>572</v>
      </c>
      <c r="G4005">
        <v>9</v>
      </c>
      <c r="H4005">
        <v>5</v>
      </c>
      <c r="I4005">
        <v>28950</v>
      </c>
      <c r="J4005">
        <v>4</v>
      </c>
      <c r="K4005">
        <v>28950</v>
      </c>
      <c r="L4005">
        <v>4</v>
      </c>
      <c r="M4005">
        <v>20</v>
      </c>
      <c r="N4005">
        <v>1180</v>
      </c>
      <c r="O4005">
        <f t="shared" si="130"/>
        <v>2025</v>
      </c>
      <c r="P4005">
        <f t="shared" si="131"/>
        <v>10</v>
      </c>
      <c r="Q4005" t="str">
        <f>_xlfn.XLOOKUP(B4005,全店核心数据_bymonth!A:A,全店核心数据_bymonth!AN:AN)</f>
        <v>BU26</v>
      </c>
    </row>
    <row r="4006" spans="1:17" x14ac:dyDescent="0.3">
      <c r="A4006" t="s">
        <v>110</v>
      </c>
      <c r="B4006" s="16">
        <v>45931</v>
      </c>
      <c r="C4006" t="s">
        <v>3</v>
      </c>
      <c r="D4006" t="s">
        <v>154</v>
      </c>
      <c r="E4006">
        <v>54302</v>
      </c>
      <c r="F4006">
        <v>53972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1</v>
      </c>
      <c r="O4006">
        <f t="shared" si="130"/>
        <v>2025</v>
      </c>
      <c r="P4006">
        <f t="shared" si="131"/>
        <v>10</v>
      </c>
      <c r="Q4006" t="str">
        <f>_xlfn.XLOOKUP(B4006,全店核心数据_bymonth!A:A,全店核心数据_bymonth!AN:AN)</f>
        <v>BU26</v>
      </c>
    </row>
    <row r="4007" spans="1:17" x14ac:dyDescent="0.3">
      <c r="A4007" t="s">
        <v>110</v>
      </c>
      <c r="B4007" s="16">
        <v>45931</v>
      </c>
      <c r="C4007" t="s">
        <v>3</v>
      </c>
      <c r="D4007" t="s">
        <v>153</v>
      </c>
      <c r="E4007">
        <v>4532</v>
      </c>
      <c r="F4007">
        <v>1872</v>
      </c>
      <c r="G4007">
        <v>675</v>
      </c>
      <c r="H4007">
        <v>83</v>
      </c>
      <c r="I4007">
        <v>4396533.54</v>
      </c>
      <c r="J4007">
        <v>698</v>
      </c>
      <c r="K4007">
        <v>3954827.41</v>
      </c>
      <c r="L4007">
        <v>671</v>
      </c>
      <c r="M4007">
        <v>1683</v>
      </c>
      <c r="N4007">
        <v>4396</v>
      </c>
      <c r="O4007">
        <f t="shared" si="130"/>
        <v>2025</v>
      </c>
      <c r="P4007">
        <f t="shared" si="131"/>
        <v>10</v>
      </c>
      <c r="Q4007" t="str">
        <f>_xlfn.XLOOKUP(B4007,全店核心数据_bymonth!A:A,全店核心数据_bymonth!AN:AN)</f>
        <v>BU26</v>
      </c>
    </row>
    <row r="4008" spans="1:17" x14ac:dyDescent="0.3">
      <c r="A4008" t="s">
        <v>110</v>
      </c>
      <c r="B4008" s="16">
        <v>45931</v>
      </c>
      <c r="C4008" t="s">
        <v>3</v>
      </c>
      <c r="D4008" t="s">
        <v>152</v>
      </c>
      <c r="E4008">
        <v>382</v>
      </c>
      <c r="F4008">
        <v>221</v>
      </c>
      <c r="G4008">
        <v>4</v>
      </c>
      <c r="H4008">
        <v>5</v>
      </c>
      <c r="I4008">
        <v>6080</v>
      </c>
      <c r="J4008">
        <v>2</v>
      </c>
      <c r="K4008">
        <v>3990</v>
      </c>
      <c r="L4008">
        <v>1</v>
      </c>
      <c r="M4008">
        <v>6</v>
      </c>
      <c r="N4008">
        <v>299</v>
      </c>
      <c r="O4008">
        <f t="shared" si="130"/>
        <v>2025</v>
      </c>
      <c r="P4008">
        <f t="shared" si="131"/>
        <v>10</v>
      </c>
      <c r="Q4008" t="str">
        <f>_xlfn.XLOOKUP(B4008,全店核心数据_bymonth!A:A,全店核心数据_bymonth!AN:AN)</f>
        <v>BU26</v>
      </c>
    </row>
    <row r="4009" spans="1:17" x14ac:dyDescent="0.3">
      <c r="A4009" t="s">
        <v>110</v>
      </c>
      <c r="B4009" s="16">
        <v>45931</v>
      </c>
      <c r="C4009" t="s">
        <v>3</v>
      </c>
      <c r="D4009" t="s">
        <v>198</v>
      </c>
      <c r="E4009">
        <v>1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1</v>
      </c>
      <c r="O4009">
        <f t="shared" si="130"/>
        <v>2025</v>
      </c>
      <c r="P4009">
        <f t="shared" si="131"/>
        <v>10</v>
      </c>
      <c r="Q4009" t="str">
        <f>_xlfn.XLOOKUP(B4009,全店核心数据_bymonth!A:A,全店核心数据_bymonth!AN:AN)</f>
        <v>BU26</v>
      </c>
    </row>
    <row r="4010" spans="1:17" x14ac:dyDescent="0.3">
      <c r="A4010" t="s">
        <v>110</v>
      </c>
      <c r="B4010" s="16">
        <v>45931</v>
      </c>
      <c r="C4010" t="s">
        <v>3</v>
      </c>
      <c r="D4010" t="s">
        <v>149</v>
      </c>
      <c r="E4010">
        <v>112</v>
      </c>
      <c r="F4010">
        <v>40</v>
      </c>
      <c r="G4010">
        <v>2</v>
      </c>
      <c r="H4010">
        <v>2</v>
      </c>
      <c r="I4010">
        <v>6780</v>
      </c>
      <c r="J4010">
        <v>1</v>
      </c>
      <c r="K4010">
        <v>0</v>
      </c>
      <c r="L4010">
        <v>0</v>
      </c>
      <c r="M4010">
        <v>9</v>
      </c>
      <c r="N4010">
        <v>45</v>
      </c>
      <c r="O4010">
        <f t="shared" si="130"/>
        <v>2025</v>
      </c>
      <c r="P4010">
        <f t="shared" si="131"/>
        <v>10</v>
      </c>
      <c r="Q4010" t="str">
        <f>_xlfn.XLOOKUP(B4010,全店核心数据_bymonth!A:A,全店核心数据_bymonth!AN:AN)</f>
        <v>BU26</v>
      </c>
    </row>
    <row r="4011" spans="1:17" x14ac:dyDescent="0.3">
      <c r="A4011" t="s">
        <v>110</v>
      </c>
      <c r="B4011" s="16">
        <v>45931</v>
      </c>
      <c r="C4011" t="s">
        <v>3</v>
      </c>
      <c r="D4011" t="s">
        <v>148</v>
      </c>
      <c r="E4011">
        <v>67</v>
      </c>
      <c r="F4011">
        <v>66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62</v>
      </c>
      <c r="N4011">
        <v>5</v>
      </c>
      <c r="O4011">
        <f t="shared" si="130"/>
        <v>2025</v>
      </c>
      <c r="P4011">
        <f t="shared" si="131"/>
        <v>10</v>
      </c>
      <c r="Q4011" t="str">
        <f>_xlfn.XLOOKUP(B4011,全店核心数据_bymonth!A:A,全店核心数据_bymonth!AN:AN)</f>
        <v>BU26</v>
      </c>
    </row>
    <row r="4012" spans="1:17" x14ac:dyDescent="0.3">
      <c r="A4012" t="s">
        <v>110</v>
      </c>
      <c r="B4012" s="16">
        <v>45931</v>
      </c>
      <c r="C4012" t="s">
        <v>3</v>
      </c>
      <c r="D4012" t="s">
        <v>367</v>
      </c>
      <c r="E4012">
        <v>736</v>
      </c>
      <c r="F4012">
        <v>552</v>
      </c>
      <c r="G4012">
        <v>33</v>
      </c>
      <c r="H4012">
        <v>5</v>
      </c>
      <c r="I4012">
        <v>52530</v>
      </c>
      <c r="J4012">
        <v>9</v>
      </c>
      <c r="K4012">
        <v>26520</v>
      </c>
      <c r="L4012">
        <v>6</v>
      </c>
      <c r="M4012">
        <v>2</v>
      </c>
      <c r="N4012">
        <v>736</v>
      </c>
      <c r="O4012">
        <f t="shared" si="130"/>
        <v>2025</v>
      </c>
      <c r="P4012">
        <f t="shared" si="131"/>
        <v>10</v>
      </c>
      <c r="Q4012" t="str">
        <f>_xlfn.XLOOKUP(B4012,全店核心数据_bymonth!A:A,全店核心数据_bymonth!AN:AN)</f>
        <v>BU26</v>
      </c>
    </row>
    <row r="4013" spans="1:17" x14ac:dyDescent="0.3">
      <c r="A4013" t="s">
        <v>110</v>
      </c>
      <c r="B4013" s="16">
        <v>45931</v>
      </c>
      <c r="C4013" t="s">
        <v>3</v>
      </c>
      <c r="D4013" t="s">
        <v>146</v>
      </c>
      <c r="E4013">
        <v>2</v>
      </c>
      <c r="F4013">
        <v>2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2</v>
      </c>
      <c r="O4013">
        <f t="shared" si="130"/>
        <v>2025</v>
      </c>
      <c r="P4013">
        <f t="shared" si="131"/>
        <v>10</v>
      </c>
      <c r="Q4013" t="str">
        <f>_xlfn.XLOOKUP(B4013,全店核心数据_bymonth!A:A,全店核心数据_bymonth!AN:AN)</f>
        <v>BU26</v>
      </c>
    </row>
    <row r="4014" spans="1:17" x14ac:dyDescent="0.3">
      <c r="A4014" t="s">
        <v>110</v>
      </c>
      <c r="B4014" s="16">
        <v>45931</v>
      </c>
      <c r="C4014" t="s">
        <v>3</v>
      </c>
      <c r="D4014" t="s">
        <v>630</v>
      </c>
      <c r="E4014">
        <v>1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1</v>
      </c>
      <c r="O4014">
        <f t="shared" si="130"/>
        <v>2025</v>
      </c>
      <c r="P4014">
        <f t="shared" si="131"/>
        <v>10</v>
      </c>
      <c r="Q4014" t="str">
        <f>_xlfn.XLOOKUP(B4014,全店核心数据_bymonth!A:A,全店核心数据_bymonth!AN:AN)</f>
        <v>BU26</v>
      </c>
    </row>
    <row r="4015" spans="1:17" x14ac:dyDescent="0.3">
      <c r="A4015" t="s">
        <v>110</v>
      </c>
      <c r="B4015" s="16">
        <v>45931</v>
      </c>
      <c r="C4015" t="s">
        <v>3</v>
      </c>
      <c r="D4015" t="s">
        <v>251</v>
      </c>
      <c r="E4015">
        <v>50587</v>
      </c>
      <c r="F4015">
        <v>46265</v>
      </c>
      <c r="G4015">
        <v>362</v>
      </c>
      <c r="H4015">
        <v>99</v>
      </c>
      <c r="I4015">
        <v>1205973.82</v>
      </c>
      <c r="J4015">
        <v>188</v>
      </c>
      <c r="K4015">
        <v>1067818.82</v>
      </c>
      <c r="L4015">
        <v>174</v>
      </c>
      <c r="M4015">
        <v>2176</v>
      </c>
      <c r="N4015">
        <v>6453</v>
      </c>
      <c r="O4015">
        <f t="shared" si="130"/>
        <v>2025</v>
      </c>
      <c r="P4015">
        <f t="shared" si="131"/>
        <v>10</v>
      </c>
      <c r="Q4015" t="str">
        <f>_xlfn.XLOOKUP(B4015,全店核心数据_bymonth!A:A,全店核心数据_bymonth!AN:AN)</f>
        <v>BU26</v>
      </c>
    </row>
    <row r="4016" spans="1:17" x14ac:dyDescent="0.3">
      <c r="A4016" t="s">
        <v>110</v>
      </c>
      <c r="B4016" s="16">
        <v>45931</v>
      </c>
      <c r="C4016" t="s">
        <v>3</v>
      </c>
      <c r="D4016" t="s">
        <v>143</v>
      </c>
      <c r="E4016">
        <v>22</v>
      </c>
      <c r="F4016">
        <v>12</v>
      </c>
      <c r="G4016">
        <v>2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22</v>
      </c>
      <c r="O4016">
        <f t="shared" si="130"/>
        <v>2025</v>
      </c>
      <c r="P4016">
        <f t="shared" si="131"/>
        <v>10</v>
      </c>
      <c r="Q4016" t="str">
        <f>_xlfn.XLOOKUP(B4016,全店核心数据_bymonth!A:A,全店核心数据_bymonth!AN:AN)</f>
        <v>BU26</v>
      </c>
    </row>
    <row r="4017" spans="1:17" x14ac:dyDescent="0.3">
      <c r="A4017" t="s">
        <v>110</v>
      </c>
      <c r="B4017" s="16">
        <v>45931</v>
      </c>
      <c r="C4017" t="s">
        <v>3</v>
      </c>
      <c r="D4017" t="s">
        <v>141</v>
      </c>
      <c r="E4017">
        <v>3512</v>
      </c>
      <c r="F4017">
        <v>2135</v>
      </c>
      <c r="G4017">
        <v>68</v>
      </c>
      <c r="H4017">
        <v>9</v>
      </c>
      <c r="I4017">
        <v>30790</v>
      </c>
      <c r="J4017">
        <v>5</v>
      </c>
      <c r="K4017">
        <v>10540</v>
      </c>
      <c r="L4017">
        <v>3</v>
      </c>
      <c r="M4017">
        <v>26</v>
      </c>
      <c r="N4017">
        <v>3486</v>
      </c>
      <c r="O4017">
        <f t="shared" si="130"/>
        <v>2025</v>
      </c>
      <c r="P4017">
        <f t="shared" si="131"/>
        <v>10</v>
      </c>
      <c r="Q4017" t="str">
        <f>_xlfn.XLOOKUP(B4017,全店核心数据_bymonth!A:A,全店核心数据_bymonth!AN:AN)</f>
        <v>BU26</v>
      </c>
    </row>
    <row r="4018" spans="1:17" x14ac:dyDescent="0.3">
      <c r="A4018" t="s">
        <v>110</v>
      </c>
      <c r="B4018" s="16">
        <v>45931</v>
      </c>
      <c r="C4018" t="s">
        <v>3</v>
      </c>
      <c r="D4018" t="s">
        <v>140</v>
      </c>
      <c r="E4018">
        <v>223</v>
      </c>
      <c r="F4018">
        <v>196</v>
      </c>
      <c r="G4018">
        <v>25</v>
      </c>
      <c r="H4018">
        <v>9</v>
      </c>
      <c r="I4018">
        <v>86345</v>
      </c>
      <c r="J4018">
        <v>14</v>
      </c>
      <c r="K4018">
        <v>80495</v>
      </c>
      <c r="L4018">
        <v>13</v>
      </c>
      <c r="M4018">
        <v>30</v>
      </c>
      <c r="N4018">
        <v>218</v>
      </c>
      <c r="O4018">
        <f t="shared" si="130"/>
        <v>2025</v>
      </c>
      <c r="P4018">
        <f t="shared" si="131"/>
        <v>10</v>
      </c>
      <c r="Q4018" t="str">
        <f>_xlfn.XLOOKUP(B4018,全店核心数据_bymonth!A:A,全店核心数据_bymonth!AN:AN)</f>
        <v>BU26</v>
      </c>
    </row>
    <row r="4019" spans="1:17" x14ac:dyDescent="0.3">
      <c r="A4019" t="s">
        <v>110</v>
      </c>
      <c r="B4019" s="16">
        <v>45931</v>
      </c>
      <c r="C4019" t="s">
        <v>3</v>
      </c>
      <c r="D4019" t="s">
        <v>139</v>
      </c>
      <c r="E4019">
        <v>30103</v>
      </c>
      <c r="F4019">
        <v>20516</v>
      </c>
      <c r="G4019">
        <v>1037</v>
      </c>
      <c r="H4019">
        <v>278</v>
      </c>
      <c r="I4019">
        <v>2496452.35</v>
      </c>
      <c r="J4019">
        <v>388</v>
      </c>
      <c r="K4019">
        <v>1979825.48</v>
      </c>
      <c r="L4019">
        <v>345</v>
      </c>
      <c r="M4019">
        <v>6862</v>
      </c>
      <c r="N4019">
        <v>19298</v>
      </c>
      <c r="O4019">
        <f t="shared" si="130"/>
        <v>2025</v>
      </c>
      <c r="P4019">
        <f t="shared" si="131"/>
        <v>10</v>
      </c>
      <c r="Q4019" t="str">
        <f>_xlfn.XLOOKUP(B4019,全店核心数据_bymonth!A:A,全店核心数据_bymonth!AN:AN)</f>
        <v>BU26</v>
      </c>
    </row>
    <row r="4020" spans="1:17" x14ac:dyDescent="0.3">
      <c r="A4020" t="s">
        <v>110</v>
      </c>
      <c r="B4020" s="16">
        <v>45931</v>
      </c>
      <c r="C4020" t="s">
        <v>3</v>
      </c>
      <c r="D4020" t="s">
        <v>138</v>
      </c>
      <c r="E4020">
        <v>518</v>
      </c>
      <c r="F4020">
        <v>267</v>
      </c>
      <c r="G4020">
        <v>25</v>
      </c>
      <c r="H4020">
        <v>8</v>
      </c>
      <c r="I4020">
        <v>173240.94</v>
      </c>
      <c r="J4020">
        <v>18</v>
      </c>
      <c r="K4020">
        <v>131320.94</v>
      </c>
      <c r="L4020">
        <v>15</v>
      </c>
      <c r="M4020">
        <v>71</v>
      </c>
      <c r="N4020">
        <v>499</v>
      </c>
      <c r="O4020">
        <f t="shared" si="130"/>
        <v>2025</v>
      </c>
      <c r="P4020">
        <f t="shared" si="131"/>
        <v>10</v>
      </c>
      <c r="Q4020" t="str">
        <f>_xlfn.XLOOKUP(B4020,全店核心数据_bymonth!A:A,全店核心数据_bymonth!AN:AN)</f>
        <v>BU26</v>
      </c>
    </row>
    <row r="4021" spans="1:17" x14ac:dyDescent="0.3">
      <c r="A4021" t="s">
        <v>110</v>
      </c>
      <c r="B4021" s="16">
        <v>45931</v>
      </c>
      <c r="C4021" t="s">
        <v>3</v>
      </c>
      <c r="D4021" t="s">
        <v>136</v>
      </c>
      <c r="E4021">
        <v>5</v>
      </c>
      <c r="F4021">
        <v>1</v>
      </c>
      <c r="G4021">
        <v>2</v>
      </c>
      <c r="H4021">
        <v>0</v>
      </c>
      <c r="I4021">
        <v>2990</v>
      </c>
      <c r="J4021">
        <v>1</v>
      </c>
      <c r="K4021">
        <v>0</v>
      </c>
      <c r="L4021">
        <v>0</v>
      </c>
      <c r="M4021">
        <v>0</v>
      </c>
      <c r="N4021">
        <v>5</v>
      </c>
      <c r="O4021">
        <f t="shared" si="130"/>
        <v>2025</v>
      </c>
      <c r="P4021">
        <f t="shared" si="131"/>
        <v>10</v>
      </c>
      <c r="Q4021" t="str">
        <f>_xlfn.XLOOKUP(B4021,全店核心数据_bymonth!A:A,全店核心数据_bymonth!AN:AN)</f>
        <v>BU26</v>
      </c>
    </row>
    <row r="4022" spans="1:17" x14ac:dyDescent="0.3">
      <c r="A4022" t="s">
        <v>110</v>
      </c>
      <c r="B4022" s="16">
        <v>45931</v>
      </c>
      <c r="C4022" t="s">
        <v>3</v>
      </c>
      <c r="D4022" t="s">
        <v>133</v>
      </c>
      <c r="E4022">
        <v>431</v>
      </c>
      <c r="F4022">
        <v>326</v>
      </c>
      <c r="G4022">
        <v>35</v>
      </c>
      <c r="H4022">
        <v>6</v>
      </c>
      <c r="I4022">
        <v>96947.44</v>
      </c>
      <c r="J4022">
        <v>17</v>
      </c>
      <c r="K4022">
        <v>89977.44</v>
      </c>
      <c r="L4022">
        <v>15</v>
      </c>
      <c r="M4022">
        <v>85</v>
      </c>
      <c r="N4022">
        <v>389</v>
      </c>
      <c r="O4022">
        <f t="shared" si="130"/>
        <v>2025</v>
      </c>
      <c r="P4022">
        <f t="shared" si="131"/>
        <v>10</v>
      </c>
      <c r="Q4022" t="str">
        <f>_xlfn.XLOOKUP(B4022,全店核心数据_bymonth!A:A,全店核心数据_bymonth!AN:AN)</f>
        <v>BU26</v>
      </c>
    </row>
    <row r="4023" spans="1:17" x14ac:dyDescent="0.3">
      <c r="A4023" t="s">
        <v>110</v>
      </c>
      <c r="B4023" s="16">
        <v>45931</v>
      </c>
      <c r="C4023" t="s">
        <v>3</v>
      </c>
      <c r="D4023" t="s">
        <v>130</v>
      </c>
      <c r="E4023">
        <v>2219</v>
      </c>
      <c r="F4023">
        <v>1134</v>
      </c>
      <c r="G4023">
        <v>186</v>
      </c>
      <c r="H4023">
        <v>33</v>
      </c>
      <c r="I4023">
        <v>899578.6</v>
      </c>
      <c r="J4023">
        <v>139</v>
      </c>
      <c r="K4023">
        <v>785028.6</v>
      </c>
      <c r="L4023">
        <v>132</v>
      </c>
      <c r="M4023">
        <v>1117</v>
      </c>
      <c r="N4023">
        <v>1826</v>
      </c>
      <c r="O4023">
        <f t="shared" si="130"/>
        <v>2025</v>
      </c>
      <c r="P4023">
        <f t="shared" si="131"/>
        <v>10</v>
      </c>
      <c r="Q4023" t="str">
        <f>_xlfn.XLOOKUP(B4023,全店核心数据_bymonth!A:A,全店核心数据_bymonth!AN:AN)</f>
        <v>BU26</v>
      </c>
    </row>
    <row r="4024" spans="1:17" x14ac:dyDescent="0.3">
      <c r="A4024" t="s">
        <v>110</v>
      </c>
      <c r="B4024" s="16">
        <v>45931</v>
      </c>
      <c r="C4024" t="s">
        <v>3</v>
      </c>
      <c r="D4024" t="s">
        <v>128</v>
      </c>
      <c r="E4024">
        <v>38401</v>
      </c>
      <c r="F4024">
        <v>34315</v>
      </c>
      <c r="G4024">
        <v>1004</v>
      </c>
      <c r="H4024">
        <v>303</v>
      </c>
      <c r="I4024">
        <v>1031240.43</v>
      </c>
      <c r="J4024">
        <v>174</v>
      </c>
      <c r="K4024">
        <v>676895.43</v>
      </c>
      <c r="L4024">
        <v>137</v>
      </c>
      <c r="M4024">
        <v>6208</v>
      </c>
      <c r="N4024">
        <v>36745</v>
      </c>
      <c r="O4024">
        <f t="shared" si="130"/>
        <v>2025</v>
      </c>
      <c r="P4024">
        <f t="shared" si="131"/>
        <v>10</v>
      </c>
      <c r="Q4024" t="str">
        <f>_xlfn.XLOOKUP(B4024,全店核心数据_bymonth!A:A,全店核心数据_bymonth!AN:AN)</f>
        <v>BU26</v>
      </c>
    </row>
    <row r="4025" spans="1:17" x14ac:dyDescent="0.3">
      <c r="A4025" t="s">
        <v>110</v>
      </c>
      <c r="B4025" s="16">
        <v>45931</v>
      </c>
      <c r="C4025" t="s">
        <v>3</v>
      </c>
      <c r="D4025" t="s">
        <v>127</v>
      </c>
      <c r="E4025">
        <v>102630</v>
      </c>
      <c r="F4025">
        <v>82968</v>
      </c>
      <c r="G4025">
        <v>2174</v>
      </c>
      <c r="H4025">
        <v>724</v>
      </c>
      <c r="I4025">
        <v>2469726.7999999998</v>
      </c>
      <c r="J4025">
        <v>401</v>
      </c>
      <c r="K4025">
        <v>1918091.8</v>
      </c>
      <c r="L4025">
        <v>344</v>
      </c>
      <c r="M4025">
        <v>7364</v>
      </c>
      <c r="N4025">
        <v>100866</v>
      </c>
      <c r="O4025">
        <f t="shared" si="130"/>
        <v>2025</v>
      </c>
      <c r="P4025">
        <f t="shared" si="131"/>
        <v>10</v>
      </c>
      <c r="Q4025" t="str">
        <f>_xlfn.XLOOKUP(B4025,全店核心数据_bymonth!A:A,全店核心数据_bymonth!AN:AN)</f>
        <v>BU26</v>
      </c>
    </row>
    <row r="4026" spans="1:17" x14ac:dyDescent="0.3">
      <c r="A4026" t="s">
        <v>110</v>
      </c>
      <c r="B4026" s="16">
        <v>45931</v>
      </c>
      <c r="C4026" t="s">
        <v>3</v>
      </c>
      <c r="D4026" t="s">
        <v>126</v>
      </c>
      <c r="E4026">
        <v>3126</v>
      </c>
      <c r="F4026">
        <v>2181</v>
      </c>
      <c r="G4026">
        <v>129</v>
      </c>
      <c r="H4026">
        <v>58</v>
      </c>
      <c r="I4026">
        <v>159010</v>
      </c>
      <c r="J4026">
        <v>24</v>
      </c>
      <c r="K4026">
        <v>100560</v>
      </c>
      <c r="L4026">
        <v>20</v>
      </c>
      <c r="M4026">
        <v>428</v>
      </c>
      <c r="N4026">
        <v>3014</v>
      </c>
      <c r="O4026">
        <f t="shared" si="130"/>
        <v>2025</v>
      </c>
      <c r="P4026">
        <f t="shared" si="131"/>
        <v>10</v>
      </c>
      <c r="Q4026" t="str">
        <f>_xlfn.XLOOKUP(B4026,全店核心数据_bymonth!A:A,全店核心数据_bymonth!AN:AN)</f>
        <v>BU26</v>
      </c>
    </row>
    <row r="4027" spans="1:17" x14ac:dyDescent="0.3">
      <c r="A4027" t="s">
        <v>110</v>
      </c>
      <c r="B4027" s="16">
        <v>45931</v>
      </c>
      <c r="C4027" t="s">
        <v>3</v>
      </c>
      <c r="D4027" t="s">
        <v>125</v>
      </c>
      <c r="E4027">
        <v>7</v>
      </c>
      <c r="F4027">
        <v>4</v>
      </c>
      <c r="G4027">
        <v>1</v>
      </c>
      <c r="H4027">
        <v>0</v>
      </c>
      <c r="I4027">
        <v>6940</v>
      </c>
      <c r="J4027">
        <v>1</v>
      </c>
      <c r="K4027">
        <v>6940</v>
      </c>
      <c r="L4027">
        <v>1</v>
      </c>
      <c r="M4027">
        <v>4</v>
      </c>
      <c r="N4027">
        <v>7</v>
      </c>
      <c r="O4027">
        <f t="shared" si="130"/>
        <v>2025</v>
      </c>
      <c r="P4027">
        <f t="shared" si="131"/>
        <v>10</v>
      </c>
      <c r="Q4027" t="str">
        <f>_xlfn.XLOOKUP(B4027,全店核心数据_bymonth!A:A,全店核心数据_bymonth!AN:AN)</f>
        <v>BU26</v>
      </c>
    </row>
    <row r="4028" spans="1:17" x14ac:dyDescent="0.3">
      <c r="A4028" t="s">
        <v>110</v>
      </c>
      <c r="B4028" s="16">
        <v>45931</v>
      </c>
      <c r="C4028" t="s">
        <v>3</v>
      </c>
      <c r="D4028" t="s">
        <v>123</v>
      </c>
      <c r="E4028">
        <v>1032</v>
      </c>
      <c r="F4028">
        <v>582</v>
      </c>
      <c r="G4028">
        <v>62</v>
      </c>
      <c r="H4028">
        <v>6</v>
      </c>
      <c r="I4028">
        <v>71777.649999999994</v>
      </c>
      <c r="J4028">
        <v>16</v>
      </c>
      <c r="K4028">
        <v>57467.65</v>
      </c>
      <c r="L4028">
        <v>15</v>
      </c>
      <c r="M4028">
        <v>933</v>
      </c>
      <c r="N4028">
        <v>498</v>
      </c>
      <c r="O4028">
        <f t="shared" si="130"/>
        <v>2025</v>
      </c>
      <c r="P4028">
        <f t="shared" si="131"/>
        <v>10</v>
      </c>
      <c r="Q4028" t="str">
        <f>_xlfn.XLOOKUP(B4028,全店核心数据_bymonth!A:A,全店核心数据_bymonth!AN:AN)</f>
        <v>BU26</v>
      </c>
    </row>
    <row r="4029" spans="1:17" x14ac:dyDescent="0.3">
      <c r="A4029" t="s">
        <v>110</v>
      </c>
      <c r="B4029" s="16">
        <v>45931</v>
      </c>
      <c r="C4029" t="s">
        <v>3</v>
      </c>
      <c r="D4029" t="s">
        <v>122</v>
      </c>
      <c r="E4029">
        <v>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2</v>
      </c>
      <c r="O4029">
        <f t="shared" si="130"/>
        <v>2025</v>
      </c>
      <c r="P4029">
        <f t="shared" si="131"/>
        <v>10</v>
      </c>
      <c r="Q4029" t="str">
        <f>_xlfn.XLOOKUP(B4029,全店核心数据_bymonth!A:A,全店核心数据_bymonth!AN:AN)</f>
        <v>BU26</v>
      </c>
    </row>
    <row r="4030" spans="1:17" x14ac:dyDescent="0.3">
      <c r="A4030" t="s">
        <v>110</v>
      </c>
      <c r="B4030" s="16">
        <v>45931</v>
      </c>
      <c r="C4030" t="s">
        <v>3</v>
      </c>
      <c r="D4030" t="s">
        <v>121</v>
      </c>
      <c r="E4030">
        <v>27</v>
      </c>
      <c r="F4030">
        <v>23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5</v>
      </c>
      <c r="N4030">
        <v>22</v>
      </c>
      <c r="O4030">
        <f t="shared" si="130"/>
        <v>2025</v>
      </c>
      <c r="P4030">
        <f t="shared" si="131"/>
        <v>10</v>
      </c>
      <c r="Q4030" t="str">
        <f>_xlfn.XLOOKUP(B4030,全店核心数据_bymonth!A:A,全店核心数据_bymonth!AN:AN)</f>
        <v>BU26</v>
      </c>
    </row>
    <row r="4031" spans="1:17" x14ac:dyDescent="0.3">
      <c r="A4031" t="s">
        <v>110</v>
      </c>
      <c r="B4031" s="16">
        <v>45931</v>
      </c>
      <c r="C4031" t="s">
        <v>3</v>
      </c>
      <c r="D4031" t="s">
        <v>119</v>
      </c>
      <c r="E4031">
        <v>3894</v>
      </c>
      <c r="F4031">
        <v>1754</v>
      </c>
      <c r="G4031">
        <v>375</v>
      </c>
      <c r="H4031">
        <v>147</v>
      </c>
      <c r="I4031">
        <v>1758638.64</v>
      </c>
      <c r="J4031">
        <v>251</v>
      </c>
      <c r="K4031">
        <v>1427658.64</v>
      </c>
      <c r="L4031">
        <v>232</v>
      </c>
      <c r="M4031">
        <v>1015</v>
      </c>
      <c r="N4031">
        <v>3787</v>
      </c>
      <c r="O4031">
        <f t="shared" si="130"/>
        <v>2025</v>
      </c>
      <c r="P4031">
        <f t="shared" si="131"/>
        <v>10</v>
      </c>
      <c r="Q4031" t="str">
        <f>_xlfn.XLOOKUP(B4031,全店核心数据_bymonth!A:A,全店核心数据_bymonth!AN:AN)</f>
        <v>BU26</v>
      </c>
    </row>
    <row r="4032" spans="1:17" x14ac:dyDescent="0.3">
      <c r="A4032" t="s">
        <v>110</v>
      </c>
      <c r="B4032" s="16">
        <v>45931</v>
      </c>
      <c r="C4032" t="s">
        <v>3</v>
      </c>
      <c r="D4032" t="s">
        <v>583</v>
      </c>
      <c r="E4032">
        <v>4</v>
      </c>
      <c r="F4032">
        <v>4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4</v>
      </c>
      <c r="O4032">
        <f t="shared" si="130"/>
        <v>2025</v>
      </c>
      <c r="P4032">
        <f t="shared" si="131"/>
        <v>10</v>
      </c>
      <c r="Q4032" t="str">
        <f>_xlfn.XLOOKUP(B4032,全店核心数据_bymonth!A:A,全店核心数据_bymonth!AN:AN)</f>
        <v>BU26</v>
      </c>
    </row>
    <row r="4033" spans="1:18" x14ac:dyDescent="0.3">
      <c r="A4033" t="s">
        <v>110</v>
      </c>
      <c r="B4033" s="16">
        <v>45931</v>
      </c>
      <c r="C4033" t="s">
        <v>3</v>
      </c>
      <c r="D4033" t="s">
        <v>252</v>
      </c>
      <c r="E4033">
        <v>64</v>
      </c>
      <c r="F4033">
        <v>61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1</v>
      </c>
      <c r="N4033">
        <v>64</v>
      </c>
      <c r="O4033">
        <f t="shared" si="130"/>
        <v>2025</v>
      </c>
      <c r="P4033">
        <f t="shared" si="131"/>
        <v>10</v>
      </c>
      <c r="Q4033" t="str">
        <f>_xlfn.XLOOKUP(B4033,全店核心数据_bymonth!A:A,全店核心数据_bymonth!AN:AN)</f>
        <v>BU26</v>
      </c>
    </row>
    <row r="4034" spans="1:18" x14ac:dyDescent="0.3">
      <c r="A4034" t="s">
        <v>110</v>
      </c>
      <c r="B4034" s="16">
        <v>45931</v>
      </c>
      <c r="C4034" t="s">
        <v>3</v>
      </c>
      <c r="D4034" t="s">
        <v>118</v>
      </c>
      <c r="E4034">
        <v>1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1</v>
      </c>
      <c r="N4034">
        <v>0</v>
      </c>
      <c r="O4034">
        <f t="shared" si="130"/>
        <v>2025</v>
      </c>
      <c r="P4034">
        <f t="shared" si="131"/>
        <v>10</v>
      </c>
      <c r="Q4034" t="str">
        <f>_xlfn.XLOOKUP(B4034,全店核心数据_bymonth!A:A,全店核心数据_bymonth!AN:AN)</f>
        <v>BU26</v>
      </c>
    </row>
    <row r="4035" spans="1:18" x14ac:dyDescent="0.3">
      <c r="A4035" t="s">
        <v>110</v>
      </c>
      <c r="B4035" s="16">
        <v>45931</v>
      </c>
      <c r="C4035" t="s">
        <v>3</v>
      </c>
      <c r="D4035" t="s">
        <v>117</v>
      </c>
      <c r="E4035">
        <v>23</v>
      </c>
      <c r="F4035">
        <v>20</v>
      </c>
      <c r="G4035">
        <v>2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1</v>
      </c>
      <c r="N4035">
        <v>23</v>
      </c>
      <c r="O4035">
        <f t="shared" si="130"/>
        <v>2025</v>
      </c>
      <c r="P4035">
        <f t="shared" si="131"/>
        <v>10</v>
      </c>
      <c r="Q4035" t="str">
        <f>_xlfn.XLOOKUP(B4035,全店核心数据_bymonth!A:A,全店核心数据_bymonth!AN:AN)</f>
        <v>BU26</v>
      </c>
    </row>
    <row r="4036" spans="1:18" x14ac:dyDescent="0.3">
      <c r="A4036" t="s">
        <v>110</v>
      </c>
      <c r="B4036" s="16">
        <v>45931</v>
      </c>
      <c r="C4036" t="s">
        <v>3</v>
      </c>
      <c r="D4036" t="s">
        <v>391</v>
      </c>
      <c r="E4036">
        <v>8592</v>
      </c>
      <c r="F4036">
        <v>7721</v>
      </c>
      <c r="G4036">
        <v>311</v>
      </c>
      <c r="H4036">
        <v>51</v>
      </c>
      <c r="I4036">
        <v>796876.01</v>
      </c>
      <c r="J4036">
        <v>102</v>
      </c>
      <c r="K4036">
        <v>645476.01</v>
      </c>
      <c r="L4036">
        <v>93</v>
      </c>
      <c r="M4036">
        <v>1289</v>
      </c>
      <c r="N4036">
        <v>8471</v>
      </c>
      <c r="O4036">
        <f t="shared" si="130"/>
        <v>2025</v>
      </c>
      <c r="P4036">
        <f t="shared" si="131"/>
        <v>10</v>
      </c>
      <c r="Q4036" t="str">
        <f>_xlfn.XLOOKUP(B4036,全店核心数据_bymonth!A:A,全店核心数据_bymonth!AN:AN)</f>
        <v>BU26</v>
      </c>
    </row>
    <row r="4037" spans="1:18" x14ac:dyDescent="0.3">
      <c r="A4037" t="s">
        <v>110</v>
      </c>
      <c r="B4037" s="16">
        <v>45931</v>
      </c>
      <c r="C4037" t="s">
        <v>3</v>
      </c>
      <c r="D4037" t="s">
        <v>114</v>
      </c>
      <c r="E4037">
        <v>2131</v>
      </c>
      <c r="F4037">
        <v>941</v>
      </c>
      <c r="G4037">
        <v>73</v>
      </c>
      <c r="H4037">
        <v>26</v>
      </c>
      <c r="I4037">
        <v>49280</v>
      </c>
      <c r="J4037">
        <v>10</v>
      </c>
      <c r="K4037">
        <v>35610</v>
      </c>
      <c r="L4037">
        <v>7</v>
      </c>
      <c r="M4037">
        <v>220</v>
      </c>
      <c r="N4037">
        <v>2035</v>
      </c>
      <c r="O4037">
        <f t="shared" si="130"/>
        <v>2025</v>
      </c>
      <c r="P4037">
        <f t="shared" si="131"/>
        <v>10</v>
      </c>
      <c r="Q4037" t="str">
        <f>_xlfn.XLOOKUP(B4037,全店核心数据_bymonth!A:A,全店核心数据_bymonth!AN:AN)</f>
        <v>BU26</v>
      </c>
    </row>
    <row r="4038" spans="1:18" x14ac:dyDescent="0.3">
      <c r="A4038" t="s">
        <v>110</v>
      </c>
      <c r="B4038" s="16">
        <v>45931</v>
      </c>
      <c r="C4038" t="s">
        <v>3</v>
      </c>
      <c r="D4038" t="s">
        <v>113</v>
      </c>
      <c r="E4038">
        <v>2265</v>
      </c>
      <c r="F4038">
        <v>1552</v>
      </c>
      <c r="G4038">
        <v>92</v>
      </c>
      <c r="H4038">
        <v>35</v>
      </c>
      <c r="I4038">
        <v>71335</v>
      </c>
      <c r="J4038">
        <v>11</v>
      </c>
      <c r="K4038">
        <v>63365</v>
      </c>
      <c r="L4038">
        <v>11</v>
      </c>
      <c r="M4038">
        <v>1914</v>
      </c>
      <c r="N4038">
        <v>1312</v>
      </c>
      <c r="O4038">
        <f t="shared" si="130"/>
        <v>2025</v>
      </c>
      <c r="P4038">
        <f t="shared" si="131"/>
        <v>10</v>
      </c>
      <c r="Q4038" t="str">
        <f>_xlfn.XLOOKUP(B4038,全店核心数据_bymonth!A:A,全店核心数据_bymonth!AN:AN)</f>
        <v>BU26</v>
      </c>
    </row>
    <row r="4039" spans="1:18" x14ac:dyDescent="0.3">
      <c r="A4039" t="s">
        <v>110</v>
      </c>
      <c r="B4039" s="16">
        <v>45931</v>
      </c>
      <c r="C4039" t="s">
        <v>3</v>
      </c>
      <c r="D4039" t="s">
        <v>112</v>
      </c>
      <c r="E4039">
        <v>959</v>
      </c>
      <c r="F4039">
        <v>288</v>
      </c>
      <c r="G4039">
        <v>16</v>
      </c>
      <c r="H4039">
        <v>1</v>
      </c>
      <c r="I4039">
        <v>244404.43</v>
      </c>
      <c r="J4039">
        <v>50</v>
      </c>
      <c r="K4039">
        <v>242914.43</v>
      </c>
      <c r="L4039">
        <v>50</v>
      </c>
      <c r="M4039">
        <v>8</v>
      </c>
      <c r="N4039">
        <v>959</v>
      </c>
      <c r="O4039">
        <f t="shared" si="130"/>
        <v>2025</v>
      </c>
      <c r="P4039">
        <f t="shared" si="131"/>
        <v>10</v>
      </c>
      <c r="Q4039" t="str">
        <f>_xlfn.XLOOKUP(B4039,全店核心数据_bymonth!A:A,全店核心数据_bymonth!AN:AN)</f>
        <v>BU26</v>
      </c>
    </row>
    <row r="4040" spans="1:18" x14ac:dyDescent="0.3">
      <c r="A4040" t="s">
        <v>110</v>
      </c>
      <c r="B4040" s="16">
        <v>45931</v>
      </c>
      <c r="C4040" t="s">
        <v>3</v>
      </c>
      <c r="D4040" t="s">
        <v>111</v>
      </c>
      <c r="E4040">
        <v>24</v>
      </c>
      <c r="F4040">
        <v>6</v>
      </c>
      <c r="G4040">
        <v>0</v>
      </c>
      <c r="H4040">
        <v>0</v>
      </c>
      <c r="I4040">
        <v>3990</v>
      </c>
      <c r="J4040">
        <v>1</v>
      </c>
      <c r="K4040">
        <v>0</v>
      </c>
      <c r="L4040">
        <v>0</v>
      </c>
      <c r="M4040">
        <v>0</v>
      </c>
      <c r="N4040">
        <v>24</v>
      </c>
      <c r="O4040">
        <f t="shared" si="130"/>
        <v>2025</v>
      </c>
      <c r="P4040">
        <f t="shared" si="131"/>
        <v>10</v>
      </c>
      <c r="Q4040" t="str">
        <f>_xlfn.XLOOKUP(B4040,全店核心数据_bymonth!A:A,全店核心数据_bymonth!AN:AN)</f>
        <v>BU26</v>
      </c>
    </row>
    <row r="4041" spans="1:18" x14ac:dyDescent="0.3">
      <c r="A4041" t="s">
        <v>627</v>
      </c>
      <c r="B4041" s="16">
        <v>45975</v>
      </c>
      <c r="C4041" t="s">
        <v>2</v>
      </c>
      <c r="D4041" t="s">
        <v>4</v>
      </c>
      <c r="E4041">
        <v>350</v>
      </c>
      <c r="F4041">
        <v>65</v>
      </c>
      <c r="G4041">
        <v>5</v>
      </c>
      <c r="H4041">
        <v>3</v>
      </c>
      <c r="I4041">
        <v>48700.480000000003</v>
      </c>
      <c r="J4041">
        <v>7</v>
      </c>
      <c r="K4041">
        <v>41710.480000000003</v>
      </c>
      <c r="L4041">
        <v>7</v>
      </c>
      <c r="M4041">
        <v>11</v>
      </c>
      <c r="N4041">
        <v>348</v>
      </c>
      <c r="O4041">
        <f t="shared" ref="O4041:O4104" si="132">YEAR(B4041)</f>
        <v>2025</v>
      </c>
      <c r="P4041">
        <f t="shared" ref="P4041:P4104" si="133">MONTH(B4041)</f>
        <v>11</v>
      </c>
      <c r="Q4041" t="s">
        <v>784</v>
      </c>
      <c r="R4041" t="s">
        <v>805</v>
      </c>
    </row>
    <row r="4042" spans="1:18" x14ac:dyDescent="0.3">
      <c r="A4042" t="s">
        <v>627</v>
      </c>
      <c r="B4042" s="16">
        <v>45975</v>
      </c>
      <c r="C4042" t="s">
        <v>2</v>
      </c>
      <c r="D4042" t="s">
        <v>57</v>
      </c>
      <c r="E4042">
        <v>19052</v>
      </c>
      <c r="F4042">
        <v>9220</v>
      </c>
      <c r="G4042">
        <v>87</v>
      </c>
      <c r="H4042">
        <v>91</v>
      </c>
      <c r="I4042">
        <v>180560</v>
      </c>
      <c r="J4042">
        <v>21</v>
      </c>
      <c r="K4042">
        <v>77360</v>
      </c>
      <c r="L4042">
        <v>17</v>
      </c>
      <c r="M4042">
        <v>1186</v>
      </c>
      <c r="N4042">
        <v>18690</v>
      </c>
      <c r="O4042">
        <f t="shared" si="132"/>
        <v>2025</v>
      </c>
      <c r="P4042">
        <f t="shared" si="133"/>
        <v>11</v>
      </c>
      <c r="Q4042" t="s">
        <v>784</v>
      </c>
      <c r="R4042" t="s">
        <v>805</v>
      </c>
    </row>
    <row r="4043" spans="1:18" x14ac:dyDescent="0.3">
      <c r="A4043" t="s">
        <v>627</v>
      </c>
      <c r="B4043" s="16">
        <v>45975</v>
      </c>
      <c r="C4043" t="s">
        <v>2</v>
      </c>
      <c r="D4043" t="s">
        <v>52</v>
      </c>
      <c r="E4043">
        <v>1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1</v>
      </c>
      <c r="O4043">
        <f t="shared" si="132"/>
        <v>2025</v>
      </c>
      <c r="P4043">
        <f t="shared" si="133"/>
        <v>11</v>
      </c>
      <c r="Q4043" t="s">
        <v>784</v>
      </c>
      <c r="R4043" t="s">
        <v>805</v>
      </c>
    </row>
    <row r="4044" spans="1:18" x14ac:dyDescent="0.3">
      <c r="A4044" t="s">
        <v>627</v>
      </c>
      <c r="B4044" s="16">
        <v>45975</v>
      </c>
      <c r="C4044" t="s">
        <v>2</v>
      </c>
      <c r="D4044" t="s">
        <v>55</v>
      </c>
      <c r="E4044">
        <v>10</v>
      </c>
      <c r="F4044">
        <v>5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10</v>
      </c>
      <c r="O4044">
        <f t="shared" si="132"/>
        <v>2025</v>
      </c>
      <c r="P4044">
        <f t="shared" si="133"/>
        <v>11</v>
      </c>
      <c r="Q4044" t="s">
        <v>784</v>
      </c>
      <c r="R4044" t="s">
        <v>805</v>
      </c>
    </row>
    <row r="4045" spans="1:18" x14ac:dyDescent="0.3">
      <c r="A4045" t="s">
        <v>627</v>
      </c>
      <c r="B4045" s="16">
        <v>45975</v>
      </c>
      <c r="C4045" t="s">
        <v>3</v>
      </c>
      <c r="D4045" t="s">
        <v>155</v>
      </c>
      <c r="E4045">
        <v>78</v>
      </c>
      <c r="F4045">
        <v>21</v>
      </c>
      <c r="G4045">
        <v>1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1</v>
      </c>
      <c r="N4045">
        <v>78</v>
      </c>
      <c r="O4045">
        <f t="shared" si="132"/>
        <v>2025</v>
      </c>
      <c r="P4045">
        <f t="shared" si="133"/>
        <v>11</v>
      </c>
      <c r="Q4045" t="s">
        <v>784</v>
      </c>
      <c r="R4045" t="s">
        <v>805</v>
      </c>
    </row>
    <row r="4046" spans="1:18" x14ac:dyDescent="0.3">
      <c r="A4046" t="s">
        <v>627</v>
      </c>
      <c r="B4046" s="16">
        <v>45975</v>
      </c>
      <c r="C4046" t="s">
        <v>3</v>
      </c>
      <c r="D4046" t="s">
        <v>153</v>
      </c>
      <c r="E4046">
        <v>378</v>
      </c>
      <c r="F4046">
        <v>66</v>
      </c>
      <c r="G4046">
        <v>37</v>
      </c>
      <c r="H4046">
        <v>1</v>
      </c>
      <c r="I4046">
        <v>224453.39</v>
      </c>
      <c r="J4046">
        <v>43</v>
      </c>
      <c r="K4046">
        <v>204448.39</v>
      </c>
      <c r="L4046">
        <v>40</v>
      </c>
      <c r="M4046">
        <v>88</v>
      </c>
      <c r="N4046">
        <v>366</v>
      </c>
      <c r="O4046">
        <f t="shared" si="132"/>
        <v>2025</v>
      </c>
      <c r="P4046">
        <f t="shared" si="133"/>
        <v>11</v>
      </c>
      <c r="Q4046" t="s">
        <v>784</v>
      </c>
      <c r="R4046" t="s">
        <v>805</v>
      </c>
    </row>
    <row r="4047" spans="1:18" x14ac:dyDescent="0.3">
      <c r="A4047" t="s">
        <v>627</v>
      </c>
      <c r="B4047" s="16">
        <v>45975</v>
      </c>
      <c r="C4047" t="s">
        <v>3</v>
      </c>
      <c r="D4047" t="s">
        <v>152</v>
      </c>
      <c r="E4047">
        <v>13</v>
      </c>
      <c r="F4047">
        <v>5</v>
      </c>
      <c r="G4047">
        <v>1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13</v>
      </c>
      <c r="O4047">
        <f t="shared" si="132"/>
        <v>2025</v>
      </c>
      <c r="P4047">
        <f t="shared" si="133"/>
        <v>11</v>
      </c>
      <c r="Q4047" t="s">
        <v>784</v>
      </c>
      <c r="R4047" t="s">
        <v>805</v>
      </c>
    </row>
    <row r="4048" spans="1:18" x14ac:dyDescent="0.3">
      <c r="A4048" t="s">
        <v>627</v>
      </c>
      <c r="B4048" s="16">
        <v>45975</v>
      </c>
      <c r="C4048" t="s">
        <v>3</v>
      </c>
      <c r="D4048" t="s">
        <v>148</v>
      </c>
      <c r="E4048">
        <v>1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1</v>
      </c>
      <c r="N4048">
        <v>0</v>
      </c>
      <c r="O4048">
        <f t="shared" si="132"/>
        <v>2025</v>
      </c>
      <c r="P4048">
        <f t="shared" si="133"/>
        <v>11</v>
      </c>
      <c r="Q4048" t="s">
        <v>784</v>
      </c>
      <c r="R4048" t="s">
        <v>805</v>
      </c>
    </row>
    <row r="4049" spans="1:18" x14ac:dyDescent="0.3">
      <c r="A4049" t="s">
        <v>627</v>
      </c>
      <c r="B4049" s="16">
        <v>45975</v>
      </c>
      <c r="C4049" t="s">
        <v>3</v>
      </c>
      <c r="D4049" t="s">
        <v>367</v>
      </c>
      <c r="E4049">
        <v>39</v>
      </c>
      <c r="F4049">
        <v>22</v>
      </c>
      <c r="G4049">
        <v>1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39</v>
      </c>
      <c r="O4049">
        <f t="shared" si="132"/>
        <v>2025</v>
      </c>
      <c r="P4049">
        <f t="shared" si="133"/>
        <v>11</v>
      </c>
      <c r="Q4049" t="s">
        <v>784</v>
      </c>
      <c r="R4049" t="s">
        <v>805</v>
      </c>
    </row>
    <row r="4050" spans="1:18" x14ac:dyDescent="0.3">
      <c r="A4050" t="s">
        <v>627</v>
      </c>
      <c r="B4050" s="16">
        <v>45975</v>
      </c>
      <c r="C4050" t="s">
        <v>3</v>
      </c>
      <c r="D4050" t="s">
        <v>146</v>
      </c>
      <c r="E4050">
        <v>1</v>
      </c>
      <c r="F4050">
        <v>1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1</v>
      </c>
      <c r="O4050">
        <f t="shared" si="132"/>
        <v>2025</v>
      </c>
      <c r="P4050">
        <f t="shared" si="133"/>
        <v>11</v>
      </c>
      <c r="Q4050" t="s">
        <v>784</v>
      </c>
      <c r="R4050" t="s">
        <v>805</v>
      </c>
    </row>
    <row r="4051" spans="1:18" x14ac:dyDescent="0.3">
      <c r="A4051" t="s">
        <v>627</v>
      </c>
      <c r="B4051" s="16">
        <v>45975</v>
      </c>
      <c r="C4051" t="s">
        <v>3</v>
      </c>
      <c r="D4051" t="s">
        <v>251</v>
      </c>
      <c r="E4051">
        <v>655</v>
      </c>
      <c r="F4051">
        <v>203</v>
      </c>
      <c r="G4051">
        <v>17</v>
      </c>
      <c r="H4051">
        <v>0</v>
      </c>
      <c r="I4051">
        <v>85931.9</v>
      </c>
      <c r="J4051">
        <v>12</v>
      </c>
      <c r="K4051">
        <v>64441.9</v>
      </c>
      <c r="L4051">
        <v>11</v>
      </c>
      <c r="M4051">
        <v>115</v>
      </c>
      <c r="N4051">
        <v>595</v>
      </c>
      <c r="O4051">
        <f t="shared" si="132"/>
        <v>2025</v>
      </c>
      <c r="P4051">
        <f t="shared" si="133"/>
        <v>11</v>
      </c>
      <c r="Q4051" t="s">
        <v>784</v>
      </c>
      <c r="R4051" t="s">
        <v>805</v>
      </c>
    </row>
    <row r="4052" spans="1:18" x14ac:dyDescent="0.3">
      <c r="A4052" t="s">
        <v>627</v>
      </c>
      <c r="B4052" s="16">
        <v>45975</v>
      </c>
      <c r="C4052" t="s">
        <v>3</v>
      </c>
      <c r="D4052" t="s">
        <v>143</v>
      </c>
      <c r="E4052">
        <v>2</v>
      </c>
      <c r="F4052">
        <v>1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2</v>
      </c>
      <c r="O4052">
        <f t="shared" si="132"/>
        <v>2025</v>
      </c>
      <c r="P4052">
        <f t="shared" si="133"/>
        <v>11</v>
      </c>
      <c r="Q4052" t="s">
        <v>784</v>
      </c>
      <c r="R4052" t="s">
        <v>805</v>
      </c>
    </row>
    <row r="4053" spans="1:18" x14ac:dyDescent="0.3">
      <c r="A4053" t="s">
        <v>627</v>
      </c>
      <c r="B4053" s="16">
        <v>45975</v>
      </c>
      <c r="C4053" t="s">
        <v>3</v>
      </c>
      <c r="D4053" t="s">
        <v>141</v>
      </c>
      <c r="E4053">
        <v>352</v>
      </c>
      <c r="F4053">
        <v>92</v>
      </c>
      <c r="G4053">
        <v>5</v>
      </c>
      <c r="H4053">
        <v>0</v>
      </c>
      <c r="I4053">
        <v>8430</v>
      </c>
      <c r="J4053">
        <v>2</v>
      </c>
      <c r="K4053">
        <v>8430</v>
      </c>
      <c r="L4053">
        <v>2</v>
      </c>
      <c r="M4053">
        <v>3</v>
      </c>
      <c r="N4053">
        <v>349</v>
      </c>
      <c r="O4053">
        <f t="shared" si="132"/>
        <v>2025</v>
      </c>
      <c r="P4053">
        <f t="shared" si="133"/>
        <v>11</v>
      </c>
      <c r="Q4053" t="s">
        <v>784</v>
      </c>
      <c r="R4053" t="s">
        <v>805</v>
      </c>
    </row>
    <row r="4054" spans="1:18" x14ac:dyDescent="0.3">
      <c r="A4054" t="s">
        <v>627</v>
      </c>
      <c r="B4054" s="16">
        <v>45975</v>
      </c>
      <c r="C4054" t="s">
        <v>3</v>
      </c>
      <c r="D4054" t="s">
        <v>140</v>
      </c>
      <c r="E4054">
        <v>11</v>
      </c>
      <c r="F4054">
        <v>10</v>
      </c>
      <c r="G4054">
        <v>1</v>
      </c>
      <c r="H4054">
        <v>0</v>
      </c>
      <c r="I4054">
        <v>5350</v>
      </c>
      <c r="J4054">
        <v>1</v>
      </c>
      <c r="K4054">
        <v>5350</v>
      </c>
      <c r="L4054">
        <v>1</v>
      </c>
      <c r="M4054">
        <v>2</v>
      </c>
      <c r="N4054">
        <v>11</v>
      </c>
      <c r="O4054">
        <f t="shared" si="132"/>
        <v>2025</v>
      </c>
      <c r="P4054">
        <f t="shared" si="133"/>
        <v>11</v>
      </c>
      <c r="Q4054" t="s">
        <v>784</v>
      </c>
      <c r="R4054" t="s">
        <v>805</v>
      </c>
    </row>
    <row r="4055" spans="1:18" x14ac:dyDescent="0.3">
      <c r="A4055" t="s">
        <v>627</v>
      </c>
      <c r="B4055" s="16">
        <v>45975</v>
      </c>
      <c r="C4055" t="s">
        <v>3</v>
      </c>
      <c r="D4055" t="s">
        <v>139</v>
      </c>
      <c r="E4055">
        <v>1459</v>
      </c>
      <c r="F4055">
        <v>582</v>
      </c>
      <c r="G4055">
        <v>35</v>
      </c>
      <c r="H4055">
        <v>10</v>
      </c>
      <c r="I4055">
        <v>141872.44</v>
      </c>
      <c r="J4055">
        <v>27</v>
      </c>
      <c r="K4055">
        <v>92877.440000000002</v>
      </c>
      <c r="L4055">
        <v>20</v>
      </c>
      <c r="M4055">
        <v>323</v>
      </c>
      <c r="N4055">
        <v>1349</v>
      </c>
      <c r="O4055">
        <f t="shared" si="132"/>
        <v>2025</v>
      </c>
      <c r="P4055">
        <f t="shared" si="133"/>
        <v>11</v>
      </c>
      <c r="Q4055" t="s">
        <v>784</v>
      </c>
      <c r="R4055" t="s">
        <v>805</v>
      </c>
    </row>
    <row r="4056" spans="1:18" x14ac:dyDescent="0.3">
      <c r="A4056" t="s">
        <v>627</v>
      </c>
      <c r="B4056" s="16">
        <v>45975</v>
      </c>
      <c r="C4056" t="s">
        <v>3</v>
      </c>
      <c r="D4056" t="s">
        <v>138</v>
      </c>
      <c r="E4056">
        <v>75</v>
      </c>
      <c r="F4056">
        <v>35</v>
      </c>
      <c r="G4056">
        <v>4</v>
      </c>
      <c r="H4056">
        <v>0</v>
      </c>
      <c r="I4056">
        <v>27470</v>
      </c>
      <c r="J4056">
        <v>5</v>
      </c>
      <c r="K4056">
        <v>27470</v>
      </c>
      <c r="L4056">
        <v>5</v>
      </c>
      <c r="M4056">
        <v>7</v>
      </c>
      <c r="N4056">
        <v>75</v>
      </c>
      <c r="O4056">
        <f t="shared" si="132"/>
        <v>2025</v>
      </c>
      <c r="P4056">
        <f t="shared" si="133"/>
        <v>11</v>
      </c>
      <c r="Q4056" t="s">
        <v>784</v>
      </c>
      <c r="R4056" t="s">
        <v>805</v>
      </c>
    </row>
    <row r="4057" spans="1:18" x14ac:dyDescent="0.3">
      <c r="A4057" t="s">
        <v>627</v>
      </c>
      <c r="B4057" s="16">
        <v>45975</v>
      </c>
      <c r="C4057" t="s">
        <v>3</v>
      </c>
      <c r="D4057" t="s">
        <v>133</v>
      </c>
      <c r="E4057">
        <v>5</v>
      </c>
      <c r="F4057">
        <v>5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3</v>
      </c>
      <c r="N4057">
        <v>4</v>
      </c>
      <c r="O4057">
        <f t="shared" si="132"/>
        <v>2025</v>
      </c>
      <c r="P4057">
        <f t="shared" si="133"/>
        <v>11</v>
      </c>
      <c r="Q4057" t="s">
        <v>784</v>
      </c>
      <c r="R4057" t="s">
        <v>805</v>
      </c>
    </row>
    <row r="4058" spans="1:18" x14ac:dyDescent="0.3">
      <c r="A4058" t="s">
        <v>627</v>
      </c>
      <c r="B4058" s="16">
        <v>45975</v>
      </c>
      <c r="C4058" t="s">
        <v>3</v>
      </c>
      <c r="D4058" t="s">
        <v>130</v>
      </c>
      <c r="E4058">
        <v>91</v>
      </c>
      <c r="F4058">
        <v>27</v>
      </c>
      <c r="G4058">
        <v>6</v>
      </c>
      <c r="H4058">
        <v>0</v>
      </c>
      <c r="I4058">
        <v>77141.899999999994</v>
      </c>
      <c r="J4058">
        <v>11</v>
      </c>
      <c r="K4058">
        <v>77141.899999999994</v>
      </c>
      <c r="L4058">
        <v>11</v>
      </c>
      <c r="M4058">
        <v>38</v>
      </c>
      <c r="N4058">
        <v>74</v>
      </c>
      <c r="O4058">
        <f t="shared" si="132"/>
        <v>2025</v>
      </c>
      <c r="P4058">
        <f t="shared" si="133"/>
        <v>11</v>
      </c>
      <c r="Q4058" t="s">
        <v>784</v>
      </c>
      <c r="R4058" t="s">
        <v>805</v>
      </c>
    </row>
    <row r="4059" spans="1:18" x14ac:dyDescent="0.3">
      <c r="A4059" t="s">
        <v>627</v>
      </c>
      <c r="B4059" s="16">
        <v>45975</v>
      </c>
      <c r="C4059" t="s">
        <v>3</v>
      </c>
      <c r="D4059" t="s">
        <v>128</v>
      </c>
      <c r="E4059">
        <v>2956</v>
      </c>
      <c r="F4059">
        <v>2515</v>
      </c>
      <c r="G4059">
        <v>59</v>
      </c>
      <c r="H4059">
        <v>17</v>
      </c>
      <c r="I4059">
        <v>52785.61</v>
      </c>
      <c r="J4059">
        <v>11</v>
      </c>
      <c r="K4059">
        <v>35285.61</v>
      </c>
      <c r="L4059">
        <v>10</v>
      </c>
      <c r="M4059">
        <v>379</v>
      </c>
      <c r="N4059">
        <v>2866</v>
      </c>
      <c r="O4059">
        <f t="shared" si="132"/>
        <v>2025</v>
      </c>
      <c r="P4059">
        <f t="shared" si="133"/>
        <v>11</v>
      </c>
      <c r="Q4059" t="s">
        <v>784</v>
      </c>
      <c r="R4059" t="s">
        <v>805</v>
      </c>
    </row>
    <row r="4060" spans="1:18" x14ac:dyDescent="0.3">
      <c r="A4060" t="s">
        <v>627</v>
      </c>
      <c r="B4060" s="16">
        <v>45975</v>
      </c>
      <c r="C4060" t="s">
        <v>3</v>
      </c>
      <c r="D4060" t="s">
        <v>127</v>
      </c>
      <c r="E4060">
        <v>5986</v>
      </c>
      <c r="F4060">
        <v>2273</v>
      </c>
      <c r="G4060">
        <v>109</v>
      </c>
      <c r="H4060">
        <v>27</v>
      </c>
      <c r="I4060">
        <v>144440</v>
      </c>
      <c r="J4060">
        <v>26</v>
      </c>
      <c r="K4060">
        <v>119430</v>
      </c>
      <c r="L4060">
        <v>22</v>
      </c>
      <c r="M4060">
        <v>405</v>
      </c>
      <c r="N4060">
        <v>5960</v>
      </c>
      <c r="O4060">
        <f t="shared" si="132"/>
        <v>2025</v>
      </c>
      <c r="P4060">
        <f t="shared" si="133"/>
        <v>11</v>
      </c>
      <c r="Q4060" t="s">
        <v>784</v>
      </c>
      <c r="R4060" t="s">
        <v>805</v>
      </c>
    </row>
    <row r="4061" spans="1:18" x14ac:dyDescent="0.3">
      <c r="A4061" t="s">
        <v>627</v>
      </c>
      <c r="B4061" s="16">
        <v>45975</v>
      </c>
      <c r="C4061" t="s">
        <v>3</v>
      </c>
      <c r="D4061" t="s">
        <v>126</v>
      </c>
      <c r="E4061">
        <v>165</v>
      </c>
      <c r="F4061">
        <v>94</v>
      </c>
      <c r="G4061">
        <v>6</v>
      </c>
      <c r="H4061">
        <v>2</v>
      </c>
      <c r="I4061">
        <v>25250</v>
      </c>
      <c r="J4061">
        <v>5</v>
      </c>
      <c r="K4061">
        <v>25250</v>
      </c>
      <c r="L4061">
        <v>5</v>
      </c>
      <c r="M4061">
        <v>19</v>
      </c>
      <c r="N4061">
        <v>162</v>
      </c>
      <c r="O4061">
        <f t="shared" si="132"/>
        <v>2025</v>
      </c>
      <c r="P4061">
        <f t="shared" si="133"/>
        <v>11</v>
      </c>
      <c r="Q4061" t="s">
        <v>784</v>
      </c>
      <c r="R4061" t="s">
        <v>805</v>
      </c>
    </row>
    <row r="4062" spans="1:18" x14ac:dyDescent="0.3">
      <c r="A4062" t="s">
        <v>627</v>
      </c>
      <c r="B4062" s="16">
        <v>45975</v>
      </c>
      <c r="C4062" t="s">
        <v>3</v>
      </c>
      <c r="D4062" t="s">
        <v>125</v>
      </c>
      <c r="E4062">
        <v>1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1</v>
      </c>
      <c r="O4062">
        <f t="shared" si="132"/>
        <v>2025</v>
      </c>
      <c r="P4062">
        <f t="shared" si="133"/>
        <v>11</v>
      </c>
      <c r="Q4062" t="s">
        <v>784</v>
      </c>
      <c r="R4062" t="s">
        <v>805</v>
      </c>
    </row>
    <row r="4063" spans="1:18" x14ac:dyDescent="0.3">
      <c r="A4063" t="s">
        <v>627</v>
      </c>
      <c r="B4063" s="16">
        <v>45975</v>
      </c>
      <c r="C4063" t="s">
        <v>3</v>
      </c>
      <c r="D4063" t="s">
        <v>123</v>
      </c>
      <c r="E4063">
        <v>42</v>
      </c>
      <c r="F4063">
        <v>21</v>
      </c>
      <c r="G4063">
        <v>4</v>
      </c>
      <c r="H4063">
        <v>0</v>
      </c>
      <c r="I4063">
        <v>11205</v>
      </c>
      <c r="J4063">
        <v>3</v>
      </c>
      <c r="K4063">
        <v>11205</v>
      </c>
      <c r="L4063">
        <v>3</v>
      </c>
      <c r="M4063">
        <v>36</v>
      </c>
      <c r="N4063">
        <v>18</v>
      </c>
      <c r="O4063">
        <f t="shared" si="132"/>
        <v>2025</v>
      </c>
      <c r="P4063">
        <f t="shared" si="133"/>
        <v>11</v>
      </c>
      <c r="Q4063" t="s">
        <v>784</v>
      </c>
      <c r="R4063" t="s">
        <v>805</v>
      </c>
    </row>
    <row r="4064" spans="1:18" x14ac:dyDescent="0.3">
      <c r="A4064" t="s">
        <v>627</v>
      </c>
      <c r="B4064" s="16">
        <v>45975</v>
      </c>
      <c r="C4064" t="s">
        <v>3</v>
      </c>
      <c r="D4064" t="s">
        <v>121</v>
      </c>
      <c r="E4064">
        <v>2</v>
      </c>
      <c r="F4064">
        <v>1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2</v>
      </c>
      <c r="N4064">
        <v>0</v>
      </c>
      <c r="O4064">
        <f t="shared" si="132"/>
        <v>2025</v>
      </c>
      <c r="P4064">
        <f t="shared" si="133"/>
        <v>11</v>
      </c>
      <c r="Q4064" t="s">
        <v>784</v>
      </c>
      <c r="R4064" t="s">
        <v>805</v>
      </c>
    </row>
    <row r="4065" spans="1:18" x14ac:dyDescent="0.3">
      <c r="A4065" t="s">
        <v>627</v>
      </c>
      <c r="B4065" s="16">
        <v>45975</v>
      </c>
      <c r="C4065" t="s">
        <v>3</v>
      </c>
      <c r="D4065" t="s">
        <v>119</v>
      </c>
      <c r="E4065">
        <v>306</v>
      </c>
      <c r="F4065">
        <v>63</v>
      </c>
      <c r="G4065">
        <v>16</v>
      </c>
      <c r="H4065">
        <v>3</v>
      </c>
      <c r="I4065">
        <v>107709.99</v>
      </c>
      <c r="J4065">
        <v>17</v>
      </c>
      <c r="K4065">
        <v>100719.99</v>
      </c>
      <c r="L4065">
        <v>17</v>
      </c>
      <c r="M4065">
        <v>68</v>
      </c>
      <c r="N4065">
        <v>297</v>
      </c>
      <c r="O4065">
        <f t="shared" si="132"/>
        <v>2025</v>
      </c>
      <c r="P4065">
        <f t="shared" si="133"/>
        <v>11</v>
      </c>
      <c r="Q4065" t="s">
        <v>784</v>
      </c>
      <c r="R4065" t="s">
        <v>805</v>
      </c>
    </row>
    <row r="4066" spans="1:18" x14ac:dyDescent="0.3">
      <c r="A4066" t="s">
        <v>627</v>
      </c>
      <c r="B4066" s="16">
        <v>45975</v>
      </c>
      <c r="C4066" t="s">
        <v>3</v>
      </c>
      <c r="D4066" t="s">
        <v>252</v>
      </c>
      <c r="E4066">
        <v>5</v>
      </c>
      <c r="F4066">
        <v>4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5</v>
      </c>
      <c r="O4066">
        <f t="shared" si="132"/>
        <v>2025</v>
      </c>
      <c r="P4066">
        <f t="shared" si="133"/>
        <v>11</v>
      </c>
      <c r="Q4066" t="s">
        <v>784</v>
      </c>
      <c r="R4066" t="s">
        <v>805</v>
      </c>
    </row>
    <row r="4067" spans="1:18" x14ac:dyDescent="0.3">
      <c r="A4067" t="s">
        <v>627</v>
      </c>
      <c r="B4067" s="16">
        <v>45975</v>
      </c>
      <c r="C4067" t="s">
        <v>3</v>
      </c>
      <c r="D4067" t="s">
        <v>391</v>
      </c>
      <c r="E4067">
        <v>512</v>
      </c>
      <c r="F4067">
        <v>236</v>
      </c>
      <c r="G4067">
        <v>14</v>
      </c>
      <c r="H4067">
        <v>1</v>
      </c>
      <c r="I4067">
        <v>40190</v>
      </c>
      <c r="J4067">
        <v>8</v>
      </c>
      <c r="K4067">
        <v>19480</v>
      </c>
      <c r="L4067">
        <v>5</v>
      </c>
      <c r="M4067">
        <v>72</v>
      </c>
      <c r="N4067">
        <v>508</v>
      </c>
      <c r="O4067">
        <f t="shared" si="132"/>
        <v>2025</v>
      </c>
      <c r="P4067">
        <f t="shared" si="133"/>
        <v>11</v>
      </c>
      <c r="Q4067" t="s">
        <v>784</v>
      </c>
      <c r="R4067" t="s">
        <v>805</v>
      </c>
    </row>
    <row r="4068" spans="1:18" x14ac:dyDescent="0.3">
      <c r="A4068" t="s">
        <v>627</v>
      </c>
      <c r="B4068" s="16">
        <v>45975</v>
      </c>
      <c r="C4068" t="s">
        <v>3</v>
      </c>
      <c r="D4068" t="s">
        <v>114</v>
      </c>
      <c r="E4068">
        <v>124</v>
      </c>
      <c r="F4068">
        <v>54</v>
      </c>
      <c r="G4068">
        <v>3</v>
      </c>
      <c r="H4068">
        <v>3</v>
      </c>
      <c r="I4068">
        <v>0</v>
      </c>
      <c r="J4068">
        <v>0</v>
      </c>
      <c r="K4068">
        <v>0</v>
      </c>
      <c r="L4068">
        <v>0</v>
      </c>
      <c r="M4068">
        <v>16</v>
      </c>
      <c r="N4068">
        <v>123</v>
      </c>
      <c r="O4068">
        <f t="shared" si="132"/>
        <v>2025</v>
      </c>
      <c r="P4068">
        <f t="shared" si="133"/>
        <v>11</v>
      </c>
      <c r="Q4068" t="s">
        <v>784</v>
      </c>
      <c r="R4068" t="s">
        <v>805</v>
      </c>
    </row>
    <row r="4069" spans="1:18" x14ac:dyDescent="0.3">
      <c r="A4069" t="s">
        <v>627</v>
      </c>
      <c r="B4069" s="16">
        <v>45975</v>
      </c>
      <c r="C4069" t="s">
        <v>3</v>
      </c>
      <c r="D4069" t="s">
        <v>113</v>
      </c>
      <c r="E4069">
        <v>117</v>
      </c>
      <c r="F4069">
        <v>41</v>
      </c>
      <c r="G4069">
        <v>7</v>
      </c>
      <c r="H4069">
        <v>0</v>
      </c>
      <c r="I4069">
        <v>11385</v>
      </c>
      <c r="J4069">
        <v>2</v>
      </c>
      <c r="K4069">
        <v>11385</v>
      </c>
      <c r="L4069">
        <v>2</v>
      </c>
      <c r="M4069">
        <v>95</v>
      </c>
      <c r="N4069">
        <v>68</v>
      </c>
      <c r="O4069">
        <f t="shared" si="132"/>
        <v>2025</v>
      </c>
      <c r="P4069">
        <f t="shared" si="133"/>
        <v>11</v>
      </c>
      <c r="Q4069" t="s">
        <v>784</v>
      </c>
      <c r="R4069" t="s">
        <v>805</v>
      </c>
    </row>
    <row r="4070" spans="1:18" x14ac:dyDescent="0.3">
      <c r="A4070" t="s">
        <v>627</v>
      </c>
      <c r="B4070" s="16">
        <v>45975</v>
      </c>
      <c r="C4070" t="s">
        <v>3</v>
      </c>
      <c r="D4070" t="s">
        <v>112</v>
      </c>
      <c r="E4070">
        <v>49</v>
      </c>
      <c r="F4070">
        <v>11</v>
      </c>
      <c r="G4070">
        <v>1</v>
      </c>
      <c r="H4070">
        <v>0</v>
      </c>
      <c r="I4070">
        <v>20408.439999999999</v>
      </c>
      <c r="J4070">
        <v>7</v>
      </c>
      <c r="K4070">
        <v>15708.44</v>
      </c>
      <c r="L4070">
        <v>6</v>
      </c>
      <c r="M4070">
        <v>0</v>
      </c>
      <c r="N4070">
        <v>49</v>
      </c>
      <c r="O4070">
        <f t="shared" si="132"/>
        <v>2025</v>
      </c>
      <c r="P4070">
        <f t="shared" si="133"/>
        <v>11</v>
      </c>
      <c r="Q4070" t="s">
        <v>784</v>
      </c>
      <c r="R4070" t="s">
        <v>805</v>
      </c>
    </row>
    <row r="4071" spans="1:18" x14ac:dyDescent="0.3">
      <c r="A4071" t="s">
        <v>627</v>
      </c>
      <c r="B4071" s="16">
        <v>45975</v>
      </c>
      <c r="C4071" t="s">
        <v>3</v>
      </c>
      <c r="D4071" t="s">
        <v>111</v>
      </c>
      <c r="E4071">
        <v>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2</v>
      </c>
      <c r="O4071">
        <f t="shared" si="132"/>
        <v>2025</v>
      </c>
      <c r="P4071">
        <f t="shared" si="133"/>
        <v>11</v>
      </c>
      <c r="Q4071" t="s">
        <v>784</v>
      </c>
      <c r="R4071" t="s">
        <v>805</v>
      </c>
    </row>
    <row r="4072" spans="1:18" x14ac:dyDescent="0.3">
      <c r="A4072" t="s">
        <v>627</v>
      </c>
      <c r="B4072" s="16">
        <v>45974</v>
      </c>
      <c r="C4072" t="s">
        <v>2</v>
      </c>
      <c r="D4072" t="s">
        <v>4</v>
      </c>
      <c r="E4072">
        <v>435</v>
      </c>
      <c r="F4072">
        <v>89</v>
      </c>
      <c r="G4072">
        <v>4</v>
      </c>
      <c r="H4072">
        <v>0</v>
      </c>
      <c r="I4072">
        <v>33240</v>
      </c>
      <c r="J4072">
        <v>5</v>
      </c>
      <c r="K4072">
        <v>33240</v>
      </c>
      <c r="L4072">
        <v>5</v>
      </c>
      <c r="M4072">
        <v>10</v>
      </c>
      <c r="N4072">
        <v>434</v>
      </c>
      <c r="O4072">
        <f t="shared" si="132"/>
        <v>2025</v>
      </c>
      <c r="P4072">
        <f t="shared" si="133"/>
        <v>11</v>
      </c>
      <c r="Q4072" t="s">
        <v>784</v>
      </c>
      <c r="R4072" t="s">
        <v>805</v>
      </c>
    </row>
    <row r="4073" spans="1:18" x14ac:dyDescent="0.3">
      <c r="A4073" t="s">
        <v>627</v>
      </c>
      <c r="B4073" s="16">
        <v>45974</v>
      </c>
      <c r="C4073" t="s">
        <v>2</v>
      </c>
      <c r="D4073" t="s">
        <v>57</v>
      </c>
      <c r="E4073">
        <v>35109</v>
      </c>
      <c r="F4073">
        <v>18953</v>
      </c>
      <c r="G4073">
        <v>176</v>
      </c>
      <c r="H4073">
        <v>232</v>
      </c>
      <c r="I4073">
        <v>184612</v>
      </c>
      <c r="J4073">
        <v>24</v>
      </c>
      <c r="K4073">
        <v>129680</v>
      </c>
      <c r="L4073">
        <v>18</v>
      </c>
      <c r="M4073">
        <v>1633</v>
      </c>
      <c r="N4073">
        <v>34699</v>
      </c>
      <c r="O4073">
        <f t="shared" si="132"/>
        <v>2025</v>
      </c>
      <c r="P4073">
        <f t="shared" si="133"/>
        <v>11</v>
      </c>
      <c r="Q4073" t="s">
        <v>784</v>
      </c>
      <c r="R4073" t="s">
        <v>805</v>
      </c>
    </row>
    <row r="4074" spans="1:18" x14ac:dyDescent="0.3">
      <c r="A4074" t="s">
        <v>627</v>
      </c>
      <c r="B4074" s="16">
        <v>45974</v>
      </c>
      <c r="C4074" t="s">
        <v>2</v>
      </c>
      <c r="D4074" t="s">
        <v>55</v>
      </c>
      <c r="E4074">
        <v>17</v>
      </c>
      <c r="F4074">
        <v>5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17</v>
      </c>
      <c r="O4074">
        <f t="shared" si="132"/>
        <v>2025</v>
      </c>
      <c r="P4074">
        <f t="shared" si="133"/>
        <v>11</v>
      </c>
      <c r="Q4074" t="s">
        <v>784</v>
      </c>
      <c r="R4074" t="s">
        <v>805</v>
      </c>
    </row>
    <row r="4075" spans="1:18" x14ac:dyDescent="0.3">
      <c r="A4075" t="s">
        <v>627</v>
      </c>
      <c r="B4075" s="16">
        <v>45974</v>
      </c>
      <c r="C4075" t="s">
        <v>3</v>
      </c>
      <c r="D4075" t="s">
        <v>155</v>
      </c>
      <c r="E4075">
        <v>87</v>
      </c>
      <c r="F4075">
        <v>35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87</v>
      </c>
      <c r="O4075">
        <f t="shared" si="132"/>
        <v>2025</v>
      </c>
      <c r="P4075">
        <f t="shared" si="133"/>
        <v>11</v>
      </c>
      <c r="Q4075" t="s">
        <v>784</v>
      </c>
      <c r="R4075" t="s">
        <v>805</v>
      </c>
    </row>
    <row r="4076" spans="1:18" x14ac:dyDescent="0.3">
      <c r="A4076" t="s">
        <v>627</v>
      </c>
      <c r="B4076" s="16">
        <v>45974</v>
      </c>
      <c r="C4076" t="s">
        <v>3</v>
      </c>
      <c r="D4076" t="s">
        <v>154</v>
      </c>
      <c r="E4076">
        <v>2</v>
      </c>
      <c r="F4076">
        <v>2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f t="shared" si="132"/>
        <v>2025</v>
      </c>
      <c r="P4076">
        <f t="shared" si="133"/>
        <v>11</v>
      </c>
      <c r="Q4076" t="s">
        <v>784</v>
      </c>
      <c r="R4076" t="s">
        <v>805</v>
      </c>
    </row>
    <row r="4077" spans="1:18" x14ac:dyDescent="0.3">
      <c r="A4077" t="s">
        <v>627</v>
      </c>
      <c r="B4077" s="16">
        <v>45974</v>
      </c>
      <c r="C4077" t="s">
        <v>3</v>
      </c>
      <c r="D4077" t="s">
        <v>153</v>
      </c>
      <c r="E4077">
        <v>410</v>
      </c>
      <c r="F4077">
        <v>81</v>
      </c>
      <c r="G4077">
        <v>34</v>
      </c>
      <c r="H4077">
        <v>2</v>
      </c>
      <c r="I4077">
        <v>229098.84</v>
      </c>
      <c r="J4077">
        <v>44</v>
      </c>
      <c r="K4077">
        <v>175773.84</v>
      </c>
      <c r="L4077">
        <v>39</v>
      </c>
      <c r="M4077">
        <v>115</v>
      </c>
      <c r="N4077">
        <v>392</v>
      </c>
      <c r="O4077">
        <f t="shared" si="132"/>
        <v>2025</v>
      </c>
      <c r="P4077">
        <f t="shared" si="133"/>
        <v>11</v>
      </c>
      <c r="Q4077" t="s">
        <v>784</v>
      </c>
      <c r="R4077" t="s">
        <v>805</v>
      </c>
    </row>
    <row r="4078" spans="1:18" x14ac:dyDescent="0.3">
      <c r="A4078" t="s">
        <v>627</v>
      </c>
      <c r="B4078" s="16">
        <v>45974</v>
      </c>
      <c r="C4078" t="s">
        <v>3</v>
      </c>
      <c r="D4078" t="s">
        <v>152</v>
      </c>
      <c r="E4078">
        <v>16</v>
      </c>
      <c r="F4078">
        <v>4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16</v>
      </c>
      <c r="O4078">
        <f t="shared" si="132"/>
        <v>2025</v>
      </c>
      <c r="P4078">
        <f t="shared" si="133"/>
        <v>11</v>
      </c>
      <c r="Q4078" t="s">
        <v>784</v>
      </c>
      <c r="R4078" t="s">
        <v>805</v>
      </c>
    </row>
    <row r="4079" spans="1:18" x14ac:dyDescent="0.3">
      <c r="A4079" t="s">
        <v>627</v>
      </c>
      <c r="B4079" s="16">
        <v>45974</v>
      </c>
      <c r="C4079" t="s">
        <v>3</v>
      </c>
      <c r="D4079" t="s">
        <v>149</v>
      </c>
      <c r="E4079">
        <v>1</v>
      </c>
      <c r="F4079">
        <v>1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f t="shared" si="132"/>
        <v>2025</v>
      </c>
      <c r="P4079">
        <f t="shared" si="133"/>
        <v>11</v>
      </c>
      <c r="Q4079" t="s">
        <v>784</v>
      </c>
      <c r="R4079" t="s">
        <v>805</v>
      </c>
    </row>
    <row r="4080" spans="1:18" x14ac:dyDescent="0.3">
      <c r="A4080" t="s">
        <v>627</v>
      </c>
      <c r="B4080" s="16">
        <v>45974</v>
      </c>
      <c r="C4080" t="s">
        <v>3</v>
      </c>
      <c r="D4080" t="s">
        <v>148</v>
      </c>
      <c r="E4080">
        <v>3</v>
      </c>
      <c r="F4080">
        <v>3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1</v>
      </c>
      <c r="N4080">
        <v>2</v>
      </c>
      <c r="O4080">
        <f t="shared" si="132"/>
        <v>2025</v>
      </c>
      <c r="P4080">
        <f t="shared" si="133"/>
        <v>11</v>
      </c>
      <c r="Q4080" t="s">
        <v>784</v>
      </c>
      <c r="R4080" t="s">
        <v>805</v>
      </c>
    </row>
    <row r="4081" spans="1:18" x14ac:dyDescent="0.3">
      <c r="A4081" t="s">
        <v>627</v>
      </c>
      <c r="B4081" s="16">
        <v>45974</v>
      </c>
      <c r="C4081" t="s">
        <v>3</v>
      </c>
      <c r="D4081" t="s">
        <v>367</v>
      </c>
      <c r="E4081">
        <v>26</v>
      </c>
      <c r="F4081">
        <v>13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26</v>
      </c>
      <c r="O4081">
        <f t="shared" si="132"/>
        <v>2025</v>
      </c>
      <c r="P4081">
        <f t="shared" si="133"/>
        <v>11</v>
      </c>
      <c r="Q4081" t="s">
        <v>784</v>
      </c>
      <c r="R4081" t="s">
        <v>805</v>
      </c>
    </row>
    <row r="4082" spans="1:18" x14ac:dyDescent="0.3">
      <c r="A4082" t="s">
        <v>627</v>
      </c>
      <c r="B4082" s="16">
        <v>45974</v>
      </c>
      <c r="C4082" t="s">
        <v>3</v>
      </c>
      <c r="D4082" t="s">
        <v>146</v>
      </c>
      <c r="E4082">
        <v>1</v>
      </c>
      <c r="F4082">
        <v>1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f t="shared" si="132"/>
        <v>2025</v>
      </c>
      <c r="P4082">
        <f t="shared" si="133"/>
        <v>11</v>
      </c>
      <c r="Q4082" t="s">
        <v>784</v>
      </c>
      <c r="R4082" t="s">
        <v>805</v>
      </c>
    </row>
    <row r="4083" spans="1:18" x14ac:dyDescent="0.3">
      <c r="A4083" t="s">
        <v>627</v>
      </c>
      <c r="B4083" s="16">
        <v>45974</v>
      </c>
      <c r="C4083" t="s">
        <v>3</v>
      </c>
      <c r="D4083" t="s">
        <v>251</v>
      </c>
      <c r="E4083">
        <v>831</v>
      </c>
      <c r="F4083">
        <v>310</v>
      </c>
      <c r="G4083">
        <v>8</v>
      </c>
      <c r="H4083">
        <v>4</v>
      </c>
      <c r="I4083">
        <v>83770</v>
      </c>
      <c r="J4083">
        <v>14</v>
      </c>
      <c r="K4083">
        <v>61040</v>
      </c>
      <c r="L4083">
        <v>13</v>
      </c>
      <c r="M4083">
        <v>101</v>
      </c>
      <c r="N4083">
        <v>783</v>
      </c>
      <c r="O4083">
        <f t="shared" si="132"/>
        <v>2025</v>
      </c>
      <c r="P4083">
        <f t="shared" si="133"/>
        <v>11</v>
      </c>
      <c r="Q4083" t="s">
        <v>784</v>
      </c>
      <c r="R4083" t="s">
        <v>805</v>
      </c>
    </row>
    <row r="4084" spans="1:18" x14ac:dyDescent="0.3">
      <c r="A4084" t="s">
        <v>627</v>
      </c>
      <c r="B4084" s="16">
        <v>45974</v>
      </c>
      <c r="C4084" t="s">
        <v>3</v>
      </c>
      <c r="D4084" t="s">
        <v>143</v>
      </c>
      <c r="E4084">
        <v>2</v>
      </c>
      <c r="F4084">
        <v>1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2</v>
      </c>
      <c r="O4084">
        <f t="shared" si="132"/>
        <v>2025</v>
      </c>
      <c r="P4084">
        <f t="shared" si="133"/>
        <v>11</v>
      </c>
      <c r="Q4084" t="s">
        <v>784</v>
      </c>
      <c r="R4084" t="s">
        <v>805</v>
      </c>
    </row>
    <row r="4085" spans="1:18" x14ac:dyDescent="0.3">
      <c r="A4085" t="s">
        <v>627</v>
      </c>
      <c r="B4085" s="16">
        <v>45974</v>
      </c>
      <c r="C4085" t="s">
        <v>3</v>
      </c>
      <c r="D4085" t="s">
        <v>141</v>
      </c>
      <c r="E4085">
        <v>403</v>
      </c>
      <c r="F4085">
        <v>121</v>
      </c>
      <c r="G4085">
        <v>5</v>
      </c>
      <c r="H4085">
        <v>0</v>
      </c>
      <c r="I4085">
        <v>5400</v>
      </c>
      <c r="J4085">
        <v>1</v>
      </c>
      <c r="K4085">
        <v>0</v>
      </c>
      <c r="L4085">
        <v>0</v>
      </c>
      <c r="M4085">
        <v>2</v>
      </c>
      <c r="N4085">
        <v>401</v>
      </c>
      <c r="O4085">
        <f t="shared" si="132"/>
        <v>2025</v>
      </c>
      <c r="P4085">
        <f t="shared" si="133"/>
        <v>11</v>
      </c>
      <c r="Q4085" t="s">
        <v>784</v>
      </c>
      <c r="R4085" t="s">
        <v>805</v>
      </c>
    </row>
    <row r="4086" spans="1:18" x14ac:dyDescent="0.3">
      <c r="A4086" t="s">
        <v>627</v>
      </c>
      <c r="B4086" s="16">
        <v>45974</v>
      </c>
      <c r="C4086" t="s">
        <v>3</v>
      </c>
      <c r="D4086" t="s">
        <v>140</v>
      </c>
      <c r="E4086">
        <v>9</v>
      </c>
      <c r="F4086">
        <v>8</v>
      </c>
      <c r="G4086">
        <v>2</v>
      </c>
      <c r="H4086">
        <v>0</v>
      </c>
      <c r="I4086">
        <v>7400</v>
      </c>
      <c r="J4086">
        <v>1</v>
      </c>
      <c r="K4086">
        <v>3700</v>
      </c>
      <c r="L4086">
        <v>1</v>
      </c>
      <c r="M4086">
        <v>1</v>
      </c>
      <c r="N4086">
        <v>9</v>
      </c>
      <c r="O4086">
        <f t="shared" si="132"/>
        <v>2025</v>
      </c>
      <c r="P4086">
        <f t="shared" si="133"/>
        <v>11</v>
      </c>
      <c r="Q4086" t="s">
        <v>784</v>
      </c>
      <c r="R4086" t="s">
        <v>805</v>
      </c>
    </row>
    <row r="4087" spans="1:18" x14ac:dyDescent="0.3">
      <c r="A4087" t="s">
        <v>627</v>
      </c>
      <c r="B4087" s="16">
        <v>45974</v>
      </c>
      <c r="C4087" t="s">
        <v>3</v>
      </c>
      <c r="D4087" t="s">
        <v>139</v>
      </c>
      <c r="E4087">
        <v>1696</v>
      </c>
      <c r="F4087">
        <v>716</v>
      </c>
      <c r="G4087">
        <v>45</v>
      </c>
      <c r="H4087">
        <v>15</v>
      </c>
      <c r="I4087">
        <v>181208.42</v>
      </c>
      <c r="J4087">
        <v>22</v>
      </c>
      <c r="K4087">
        <v>86258.42</v>
      </c>
      <c r="L4087">
        <v>21</v>
      </c>
      <c r="M4087">
        <v>400</v>
      </c>
      <c r="N4087">
        <v>1545</v>
      </c>
      <c r="O4087">
        <f t="shared" si="132"/>
        <v>2025</v>
      </c>
      <c r="P4087">
        <f t="shared" si="133"/>
        <v>11</v>
      </c>
      <c r="Q4087" t="s">
        <v>784</v>
      </c>
      <c r="R4087" t="s">
        <v>805</v>
      </c>
    </row>
    <row r="4088" spans="1:18" x14ac:dyDescent="0.3">
      <c r="A4088" t="s">
        <v>627</v>
      </c>
      <c r="B4088" s="16">
        <v>45974</v>
      </c>
      <c r="C4088" t="s">
        <v>3</v>
      </c>
      <c r="D4088" t="s">
        <v>138</v>
      </c>
      <c r="E4088">
        <v>37</v>
      </c>
      <c r="F4088">
        <v>20</v>
      </c>
      <c r="G4088">
        <v>2</v>
      </c>
      <c r="H4088">
        <v>0</v>
      </c>
      <c r="I4088">
        <v>9980</v>
      </c>
      <c r="J4088">
        <v>1</v>
      </c>
      <c r="K4088">
        <v>4990</v>
      </c>
      <c r="L4088">
        <v>1</v>
      </c>
      <c r="M4088">
        <v>3</v>
      </c>
      <c r="N4088">
        <v>37</v>
      </c>
      <c r="O4088">
        <f t="shared" si="132"/>
        <v>2025</v>
      </c>
      <c r="P4088">
        <f t="shared" si="133"/>
        <v>11</v>
      </c>
      <c r="Q4088" t="s">
        <v>784</v>
      </c>
      <c r="R4088" t="s">
        <v>805</v>
      </c>
    </row>
    <row r="4089" spans="1:18" x14ac:dyDescent="0.3">
      <c r="A4089" t="s">
        <v>627</v>
      </c>
      <c r="B4089" s="16">
        <v>45974</v>
      </c>
      <c r="C4089" t="s">
        <v>3</v>
      </c>
      <c r="D4089" t="s">
        <v>136</v>
      </c>
      <c r="E4089">
        <v>1</v>
      </c>
      <c r="F4089">
        <v>1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1</v>
      </c>
      <c r="O4089">
        <f t="shared" si="132"/>
        <v>2025</v>
      </c>
      <c r="P4089">
        <f t="shared" si="133"/>
        <v>11</v>
      </c>
      <c r="Q4089" t="s">
        <v>784</v>
      </c>
      <c r="R4089" t="s">
        <v>805</v>
      </c>
    </row>
    <row r="4090" spans="1:18" x14ac:dyDescent="0.3">
      <c r="A4090" t="s">
        <v>627</v>
      </c>
      <c r="B4090" s="16">
        <v>45974</v>
      </c>
      <c r="C4090" t="s">
        <v>3</v>
      </c>
      <c r="D4090" t="s">
        <v>133</v>
      </c>
      <c r="E4090">
        <v>17</v>
      </c>
      <c r="F4090">
        <v>11</v>
      </c>
      <c r="G4090">
        <v>1</v>
      </c>
      <c r="H4090">
        <v>0</v>
      </c>
      <c r="I4090">
        <v>3800</v>
      </c>
      <c r="J4090">
        <v>1</v>
      </c>
      <c r="K4090">
        <v>3800</v>
      </c>
      <c r="L4090">
        <v>1</v>
      </c>
      <c r="M4090">
        <v>5</v>
      </c>
      <c r="N4090">
        <v>16</v>
      </c>
      <c r="O4090">
        <f t="shared" si="132"/>
        <v>2025</v>
      </c>
      <c r="P4090">
        <f t="shared" si="133"/>
        <v>11</v>
      </c>
      <c r="Q4090" t="s">
        <v>784</v>
      </c>
      <c r="R4090" t="s">
        <v>805</v>
      </c>
    </row>
    <row r="4091" spans="1:18" x14ac:dyDescent="0.3">
      <c r="A4091" t="s">
        <v>627</v>
      </c>
      <c r="B4091" s="16">
        <v>45974</v>
      </c>
      <c r="C4091" t="s">
        <v>3</v>
      </c>
      <c r="D4091" t="s">
        <v>130</v>
      </c>
      <c r="E4091">
        <v>139</v>
      </c>
      <c r="F4091">
        <v>47</v>
      </c>
      <c r="G4091">
        <v>5</v>
      </c>
      <c r="H4091">
        <v>1</v>
      </c>
      <c r="I4091">
        <v>57635</v>
      </c>
      <c r="J4091">
        <v>11</v>
      </c>
      <c r="K4091">
        <v>52645</v>
      </c>
      <c r="L4091">
        <v>11</v>
      </c>
      <c r="M4091">
        <v>57</v>
      </c>
      <c r="N4091">
        <v>120</v>
      </c>
      <c r="O4091">
        <f t="shared" si="132"/>
        <v>2025</v>
      </c>
      <c r="P4091">
        <f t="shared" si="133"/>
        <v>11</v>
      </c>
      <c r="Q4091" t="s">
        <v>784</v>
      </c>
      <c r="R4091" t="s">
        <v>805</v>
      </c>
    </row>
    <row r="4092" spans="1:18" x14ac:dyDescent="0.3">
      <c r="A4092" t="s">
        <v>627</v>
      </c>
      <c r="B4092" s="16">
        <v>45974</v>
      </c>
      <c r="C4092" t="s">
        <v>3</v>
      </c>
      <c r="D4092" t="s">
        <v>128</v>
      </c>
      <c r="E4092">
        <v>3243</v>
      </c>
      <c r="F4092">
        <v>2750</v>
      </c>
      <c r="G4092">
        <v>57</v>
      </c>
      <c r="H4092">
        <v>19</v>
      </c>
      <c r="I4092">
        <v>81450</v>
      </c>
      <c r="J4092">
        <v>13</v>
      </c>
      <c r="K4092">
        <v>62520</v>
      </c>
      <c r="L4092">
        <v>13</v>
      </c>
      <c r="M4092">
        <v>397</v>
      </c>
      <c r="N4092">
        <v>3153</v>
      </c>
      <c r="O4092">
        <f t="shared" si="132"/>
        <v>2025</v>
      </c>
      <c r="P4092">
        <f t="shared" si="133"/>
        <v>11</v>
      </c>
      <c r="Q4092" t="s">
        <v>784</v>
      </c>
      <c r="R4092" t="s">
        <v>805</v>
      </c>
    </row>
    <row r="4093" spans="1:18" x14ac:dyDescent="0.3">
      <c r="A4093" t="s">
        <v>627</v>
      </c>
      <c r="B4093" s="16">
        <v>45974</v>
      </c>
      <c r="C4093" t="s">
        <v>3</v>
      </c>
      <c r="D4093" t="s">
        <v>127</v>
      </c>
      <c r="E4093">
        <v>7436</v>
      </c>
      <c r="F4093">
        <v>3357</v>
      </c>
      <c r="G4093">
        <v>127</v>
      </c>
      <c r="H4093">
        <v>36</v>
      </c>
      <c r="I4093">
        <v>117515</v>
      </c>
      <c r="J4093">
        <v>19</v>
      </c>
      <c r="K4093">
        <v>66350</v>
      </c>
      <c r="L4093">
        <v>13</v>
      </c>
      <c r="M4093">
        <v>469</v>
      </c>
      <c r="N4093">
        <v>7401</v>
      </c>
      <c r="O4093">
        <f t="shared" si="132"/>
        <v>2025</v>
      </c>
      <c r="P4093">
        <f t="shared" si="133"/>
        <v>11</v>
      </c>
      <c r="Q4093" t="s">
        <v>784</v>
      </c>
      <c r="R4093" t="s">
        <v>805</v>
      </c>
    </row>
    <row r="4094" spans="1:18" x14ac:dyDescent="0.3">
      <c r="A4094" t="s">
        <v>627</v>
      </c>
      <c r="B4094" s="16">
        <v>45974</v>
      </c>
      <c r="C4094" t="s">
        <v>3</v>
      </c>
      <c r="D4094" t="s">
        <v>126</v>
      </c>
      <c r="E4094">
        <v>149</v>
      </c>
      <c r="F4094">
        <v>94</v>
      </c>
      <c r="G4094">
        <v>5</v>
      </c>
      <c r="H4094">
        <v>4</v>
      </c>
      <c r="I4094">
        <v>6930</v>
      </c>
      <c r="J4094">
        <v>2</v>
      </c>
      <c r="K4094">
        <v>6930</v>
      </c>
      <c r="L4094">
        <v>2</v>
      </c>
      <c r="M4094">
        <v>20</v>
      </c>
      <c r="N4094">
        <v>145</v>
      </c>
      <c r="O4094">
        <f t="shared" si="132"/>
        <v>2025</v>
      </c>
      <c r="P4094">
        <f t="shared" si="133"/>
        <v>11</v>
      </c>
      <c r="Q4094" t="s">
        <v>784</v>
      </c>
      <c r="R4094" t="s">
        <v>805</v>
      </c>
    </row>
    <row r="4095" spans="1:18" x14ac:dyDescent="0.3">
      <c r="A4095" t="s">
        <v>627</v>
      </c>
      <c r="B4095" s="16">
        <v>45974</v>
      </c>
      <c r="C4095" t="s">
        <v>3</v>
      </c>
      <c r="D4095" t="s">
        <v>125</v>
      </c>
      <c r="E4095">
        <v>1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1</v>
      </c>
      <c r="N4095">
        <v>1</v>
      </c>
      <c r="O4095">
        <f t="shared" si="132"/>
        <v>2025</v>
      </c>
      <c r="P4095">
        <f t="shared" si="133"/>
        <v>11</v>
      </c>
      <c r="Q4095" t="s">
        <v>784</v>
      </c>
      <c r="R4095" t="s">
        <v>805</v>
      </c>
    </row>
    <row r="4096" spans="1:18" x14ac:dyDescent="0.3">
      <c r="A4096" t="s">
        <v>627</v>
      </c>
      <c r="B4096" s="16">
        <v>45974</v>
      </c>
      <c r="C4096" t="s">
        <v>3</v>
      </c>
      <c r="D4096" t="s">
        <v>123</v>
      </c>
      <c r="E4096">
        <v>54</v>
      </c>
      <c r="F4096">
        <v>31</v>
      </c>
      <c r="G4096">
        <v>1</v>
      </c>
      <c r="H4096">
        <v>2</v>
      </c>
      <c r="I4096">
        <v>3700</v>
      </c>
      <c r="J4096">
        <v>1</v>
      </c>
      <c r="K4096">
        <v>3700</v>
      </c>
      <c r="L4096">
        <v>1</v>
      </c>
      <c r="M4096">
        <v>48</v>
      </c>
      <c r="N4096">
        <v>23</v>
      </c>
      <c r="O4096">
        <f t="shared" si="132"/>
        <v>2025</v>
      </c>
      <c r="P4096">
        <f t="shared" si="133"/>
        <v>11</v>
      </c>
      <c r="Q4096" t="s">
        <v>784</v>
      </c>
      <c r="R4096" t="s">
        <v>805</v>
      </c>
    </row>
    <row r="4097" spans="1:18" x14ac:dyDescent="0.3">
      <c r="A4097" t="s">
        <v>627</v>
      </c>
      <c r="B4097" s="16">
        <v>45974</v>
      </c>
      <c r="C4097" t="s">
        <v>3</v>
      </c>
      <c r="D4097" t="s">
        <v>121</v>
      </c>
      <c r="E4097">
        <v>2</v>
      </c>
      <c r="F4097">
        <v>2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2</v>
      </c>
      <c r="O4097">
        <f t="shared" si="132"/>
        <v>2025</v>
      </c>
      <c r="P4097">
        <f t="shared" si="133"/>
        <v>11</v>
      </c>
      <c r="Q4097" t="s">
        <v>784</v>
      </c>
      <c r="R4097" t="s">
        <v>805</v>
      </c>
    </row>
    <row r="4098" spans="1:18" x14ac:dyDescent="0.3">
      <c r="A4098" t="s">
        <v>627</v>
      </c>
      <c r="B4098" s="16">
        <v>45974</v>
      </c>
      <c r="C4098" t="s">
        <v>3</v>
      </c>
      <c r="D4098" t="s">
        <v>119</v>
      </c>
      <c r="E4098">
        <v>286</v>
      </c>
      <c r="F4098">
        <v>70</v>
      </c>
      <c r="G4098">
        <v>18</v>
      </c>
      <c r="H4098">
        <v>8</v>
      </c>
      <c r="I4098">
        <v>72876</v>
      </c>
      <c r="J4098">
        <v>12</v>
      </c>
      <c r="K4098">
        <v>57776</v>
      </c>
      <c r="L4098">
        <v>10</v>
      </c>
      <c r="M4098">
        <v>76</v>
      </c>
      <c r="N4098">
        <v>275</v>
      </c>
      <c r="O4098">
        <f t="shared" si="132"/>
        <v>2025</v>
      </c>
      <c r="P4098">
        <f t="shared" si="133"/>
        <v>11</v>
      </c>
      <c r="Q4098" t="s">
        <v>784</v>
      </c>
      <c r="R4098" t="s">
        <v>805</v>
      </c>
    </row>
    <row r="4099" spans="1:18" x14ac:dyDescent="0.3">
      <c r="A4099" t="s">
        <v>627</v>
      </c>
      <c r="B4099" s="16">
        <v>45974</v>
      </c>
      <c r="C4099" t="s">
        <v>3</v>
      </c>
      <c r="D4099" t="s">
        <v>252</v>
      </c>
      <c r="E4099">
        <v>3</v>
      </c>
      <c r="F4099">
        <v>3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3</v>
      </c>
      <c r="O4099">
        <f t="shared" si="132"/>
        <v>2025</v>
      </c>
      <c r="P4099">
        <f t="shared" si="133"/>
        <v>11</v>
      </c>
      <c r="Q4099" t="s">
        <v>784</v>
      </c>
      <c r="R4099" t="s">
        <v>805</v>
      </c>
    </row>
    <row r="4100" spans="1:18" x14ac:dyDescent="0.3">
      <c r="A4100" t="s">
        <v>627</v>
      </c>
      <c r="B4100" s="16">
        <v>45974</v>
      </c>
      <c r="C4100" t="s">
        <v>3</v>
      </c>
      <c r="D4100" t="s">
        <v>117</v>
      </c>
      <c r="E4100">
        <v>1</v>
      </c>
      <c r="F4100">
        <v>1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1</v>
      </c>
      <c r="N4100">
        <v>1</v>
      </c>
      <c r="O4100">
        <f t="shared" si="132"/>
        <v>2025</v>
      </c>
      <c r="P4100">
        <f t="shared" si="133"/>
        <v>11</v>
      </c>
      <c r="Q4100" t="s">
        <v>784</v>
      </c>
      <c r="R4100" t="s">
        <v>805</v>
      </c>
    </row>
    <row r="4101" spans="1:18" x14ac:dyDescent="0.3">
      <c r="A4101" t="s">
        <v>627</v>
      </c>
      <c r="B4101" s="16">
        <v>45974</v>
      </c>
      <c r="C4101" t="s">
        <v>3</v>
      </c>
      <c r="D4101" t="s">
        <v>391</v>
      </c>
      <c r="E4101">
        <v>533</v>
      </c>
      <c r="F4101">
        <v>239</v>
      </c>
      <c r="G4101">
        <v>9</v>
      </c>
      <c r="H4101">
        <v>4</v>
      </c>
      <c r="I4101">
        <v>24315</v>
      </c>
      <c r="J4101">
        <v>5</v>
      </c>
      <c r="K4101">
        <v>24315</v>
      </c>
      <c r="L4101">
        <v>5</v>
      </c>
      <c r="M4101">
        <v>76</v>
      </c>
      <c r="N4101">
        <v>521</v>
      </c>
      <c r="O4101">
        <f t="shared" si="132"/>
        <v>2025</v>
      </c>
      <c r="P4101">
        <f t="shared" si="133"/>
        <v>11</v>
      </c>
      <c r="Q4101" t="s">
        <v>784</v>
      </c>
      <c r="R4101" t="s">
        <v>805</v>
      </c>
    </row>
    <row r="4102" spans="1:18" x14ac:dyDescent="0.3">
      <c r="A4102" t="s">
        <v>627</v>
      </c>
      <c r="B4102" s="16">
        <v>45974</v>
      </c>
      <c r="C4102" t="s">
        <v>3</v>
      </c>
      <c r="D4102" t="s">
        <v>114</v>
      </c>
      <c r="E4102">
        <v>114</v>
      </c>
      <c r="F4102">
        <v>37</v>
      </c>
      <c r="G4102">
        <v>5</v>
      </c>
      <c r="H4102">
        <v>0</v>
      </c>
      <c r="I4102">
        <v>11530</v>
      </c>
      <c r="J4102">
        <v>2</v>
      </c>
      <c r="K4102">
        <v>4990</v>
      </c>
      <c r="L4102">
        <v>1</v>
      </c>
      <c r="M4102">
        <v>9</v>
      </c>
      <c r="N4102">
        <v>114</v>
      </c>
      <c r="O4102">
        <f t="shared" si="132"/>
        <v>2025</v>
      </c>
      <c r="P4102">
        <f t="shared" si="133"/>
        <v>11</v>
      </c>
      <c r="Q4102" t="s">
        <v>784</v>
      </c>
      <c r="R4102" t="s">
        <v>805</v>
      </c>
    </row>
    <row r="4103" spans="1:18" x14ac:dyDescent="0.3">
      <c r="A4103" t="s">
        <v>627</v>
      </c>
      <c r="B4103" s="16">
        <v>45974</v>
      </c>
      <c r="C4103" t="s">
        <v>3</v>
      </c>
      <c r="D4103" t="s">
        <v>113</v>
      </c>
      <c r="E4103">
        <v>124</v>
      </c>
      <c r="F4103">
        <v>54</v>
      </c>
      <c r="G4103">
        <v>5</v>
      </c>
      <c r="H4103">
        <v>0</v>
      </c>
      <c r="I4103">
        <v>18930</v>
      </c>
      <c r="J4103">
        <v>1</v>
      </c>
      <c r="K4103">
        <v>18930</v>
      </c>
      <c r="L4103">
        <v>1</v>
      </c>
      <c r="M4103">
        <v>98</v>
      </c>
      <c r="N4103">
        <v>78</v>
      </c>
      <c r="O4103">
        <f t="shared" si="132"/>
        <v>2025</v>
      </c>
      <c r="P4103">
        <f t="shared" si="133"/>
        <v>11</v>
      </c>
      <c r="Q4103" t="s">
        <v>784</v>
      </c>
      <c r="R4103" t="s">
        <v>805</v>
      </c>
    </row>
    <row r="4104" spans="1:18" x14ac:dyDescent="0.3">
      <c r="A4104" t="s">
        <v>627</v>
      </c>
      <c r="B4104" s="16">
        <v>45974</v>
      </c>
      <c r="C4104" t="s">
        <v>3</v>
      </c>
      <c r="D4104" t="s">
        <v>112</v>
      </c>
      <c r="E4104">
        <v>58</v>
      </c>
      <c r="F4104">
        <v>6</v>
      </c>
      <c r="G4104">
        <v>1</v>
      </c>
      <c r="H4104">
        <v>0</v>
      </c>
      <c r="I4104">
        <v>10748.42</v>
      </c>
      <c r="J4104">
        <v>3</v>
      </c>
      <c r="K4104">
        <v>10748.42</v>
      </c>
      <c r="L4104">
        <v>3</v>
      </c>
      <c r="M4104">
        <v>1</v>
      </c>
      <c r="N4104">
        <v>58</v>
      </c>
      <c r="O4104">
        <f t="shared" si="132"/>
        <v>2025</v>
      </c>
      <c r="P4104">
        <f t="shared" si="133"/>
        <v>11</v>
      </c>
      <c r="Q4104" t="s">
        <v>784</v>
      </c>
      <c r="R4104" t="s">
        <v>805</v>
      </c>
    </row>
    <row r="4105" spans="1:18" x14ac:dyDescent="0.3">
      <c r="A4105" t="s">
        <v>627</v>
      </c>
      <c r="B4105" s="16">
        <v>45974</v>
      </c>
      <c r="C4105" t="s">
        <v>3</v>
      </c>
      <c r="D4105" t="s">
        <v>111</v>
      </c>
      <c r="E4105">
        <v>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2</v>
      </c>
      <c r="O4105">
        <f t="shared" ref="O4105:O4168" si="134">YEAR(B4105)</f>
        <v>2025</v>
      </c>
      <c r="P4105">
        <f t="shared" ref="P4105:P4168" si="135">MONTH(B4105)</f>
        <v>11</v>
      </c>
      <c r="Q4105" t="s">
        <v>784</v>
      </c>
      <c r="R4105" t="s">
        <v>805</v>
      </c>
    </row>
    <row r="4106" spans="1:18" x14ac:dyDescent="0.3">
      <c r="A4106" t="s">
        <v>627</v>
      </c>
      <c r="B4106" s="16">
        <v>45973</v>
      </c>
      <c r="C4106" t="s">
        <v>2</v>
      </c>
      <c r="D4106" t="s">
        <v>4</v>
      </c>
      <c r="E4106">
        <v>463</v>
      </c>
      <c r="F4106">
        <v>121</v>
      </c>
      <c r="G4106">
        <v>2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4</v>
      </c>
      <c r="N4106">
        <v>463</v>
      </c>
      <c r="O4106">
        <f t="shared" si="134"/>
        <v>2025</v>
      </c>
      <c r="P4106">
        <f t="shared" si="135"/>
        <v>11</v>
      </c>
      <c r="Q4106" t="s">
        <v>784</v>
      </c>
      <c r="R4106" t="s">
        <v>805</v>
      </c>
    </row>
    <row r="4107" spans="1:18" x14ac:dyDescent="0.3">
      <c r="A4107" t="s">
        <v>627</v>
      </c>
      <c r="B4107" s="16">
        <v>45973</v>
      </c>
      <c r="C4107" t="s">
        <v>2</v>
      </c>
      <c r="D4107" t="s">
        <v>57</v>
      </c>
      <c r="E4107">
        <v>36181</v>
      </c>
      <c r="F4107">
        <v>21076</v>
      </c>
      <c r="G4107">
        <v>157</v>
      </c>
      <c r="H4107">
        <v>185</v>
      </c>
      <c r="I4107">
        <v>142589</v>
      </c>
      <c r="J4107">
        <v>24</v>
      </c>
      <c r="K4107">
        <v>87674</v>
      </c>
      <c r="L4107">
        <v>18</v>
      </c>
      <c r="M4107">
        <v>1543</v>
      </c>
      <c r="N4107">
        <v>35791</v>
      </c>
      <c r="O4107">
        <f t="shared" si="134"/>
        <v>2025</v>
      </c>
      <c r="P4107">
        <f t="shared" si="135"/>
        <v>11</v>
      </c>
      <c r="Q4107" t="s">
        <v>784</v>
      </c>
      <c r="R4107" t="s">
        <v>805</v>
      </c>
    </row>
    <row r="4108" spans="1:18" x14ac:dyDescent="0.3">
      <c r="A4108" t="s">
        <v>627</v>
      </c>
      <c r="B4108" s="16">
        <v>45973</v>
      </c>
      <c r="C4108" t="s">
        <v>2</v>
      </c>
      <c r="D4108" t="s">
        <v>55</v>
      </c>
      <c r="E4108">
        <v>29</v>
      </c>
      <c r="F4108">
        <v>13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29</v>
      </c>
      <c r="O4108">
        <f t="shared" si="134"/>
        <v>2025</v>
      </c>
      <c r="P4108">
        <f t="shared" si="135"/>
        <v>11</v>
      </c>
      <c r="Q4108" t="s">
        <v>784</v>
      </c>
      <c r="R4108" t="s">
        <v>805</v>
      </c>
    </row>
    <row r="4109" spans="1:18" x14ac:dyDescent="0.3">
      <c r="A4109" t="s">
        <v>627</v>
      </c>
      <c r="B4109" s="16">
        <v>45973</v>
      </c>
      <c r="C4109" t="s">
        <v>3</v>
      </c>
      <c r="D4109" t="s">
        <v>155</v>
      </c>
      <c r="E4109">
        <v>95</v>
      </c>
      <c r="F4109">
        <v>43</v>
      </c>
      <c r="G4109">
        <v>1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4</v>
      </c>
      <c r="N4109">
        <v>95</v>
      </c>
      <c r="O4109">
        <f t="shared" si="134"/>
        <v>2025</v>
      </c>
      <c r="P4109">
        <f t="shared" si="135"/>
        <v>11</v>
      </c>
      <c r="Q4109" t="s">
        <v>784</v>
      </c>
      <c r="R4109" t="s">
        <v>805</v>
      </c>
    </row>
    <row r="4110" spans="1:18" x14ac:dyDescent="0.3">
      <c r="A4110" t="s">
        <v>627</v>
      </c>
      <c r="B4110" s="16">
        <v>45973</v>
      </c>
      <c r="C4110" t="s">
        <v>3</v>
      </c>
      <c r="D4110" t="s">
        <v>153</v>
      </c>
      <c r="E4110">
        <v>472</v>
      </c>
      <c r="F4110">
        <v>78</v>
      </c>
      <c r="G4110">
        <v>40</v>
      </c>
      <c r="H4110">
        <v>2</v>
      </c>
      <c r="I4110">
        <v>199910</v>
      </c>
      <c r="J4110">
        <v>38</v>
      </c>
      <c r="K4110">
        <v>188180</v>
      </c>
      <c r="L4110">
        <v>38</v>
      </c>
      <c r="M4110">
        <v>108</v>
      </c>
      <c r="N4110">
        <v>455</v>
      </c>
      <c r="O4110">
        <f t="shared" si="134"/>
        <v>2025</v>
      </c>
      <c r="P4110">
        <f t="shared" si="135"/>
        <v>11</v>
      </c>
      <c r="Q4110" t="s">
        <v>784</v>
      </c>
      <c r="R4110" t="s">
        <v>805</v>
      </c>
    </row>
    <row r="4111" spans="1:18" x14ac:dyDescent="0.3">
      <c r="A4111" t="s">
        <v>627</v>
      </c>
      <c r="B4111" s="16">
        <v>45973</v>
      </c>
      <c r="C4111" t="s">
        <v>3</v>
      </c>
      <c r="D4111" t="s">
        <v>152</v>
      </c>
      <c r="E4111">
        <v>32</v>
      </c>
      <c r="F4111">
        <v>13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1</v>
      </c>
      <c r="N4111">
        <v>32</v>
      </c>
      <c r="O4111">
        <f t="shared" si="134"/>
        <v>2025</v>
      </c>
      <c r="P4111">
        <f t="shared" si="135"/>
        <v>11</v>
      </c>
      <c r="Q4111" t="s">
        <v>784</v>
      </c>
      <c r="R4111" t="s">
        <v>805</v>
      </c>
    </row>
    <row r="4112" spans="1:18" x14ac:dyDescent="0.3">
      <c r="A4112" t="s">
        <v>627</v>
      </c>
      <c r="B4112" s="16">
        <v>45973</v>
      </c>
      <c r="C4112" t="s">
        <v>3</v>
      </c>
      <c r="D4112" t="s">
        <v>149</v>
      </c>
      <c r="E4112">
        <v>1</v>
      </c>
      <c r="F4112">
        <v>1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1</v>
      </c>
      <c r="O4112">
        <f t="shared" si="134"/>
        <v>2025</v>
      </c>
      <c r="P4112">
        <f t="shared" si="135"/>
        <v>11</v>
      </c>
      <c r="Q4112" t="s">
        <v>784</v>
      </c>
      <c r="R4112" t="s">
        <v>805</v>
      </c>
    </row>
    <row r="4113" spans="1:18" x14ac:dyDescent="0.3">
      <c r="A4113" t="s">
        <v>627</v>
      </c>
      <c r="B4113" s="16">
        <v>45973</v>
      </c>
      <c r="C4113" t="s">
        <v>3</v>
      </c>
      <c r="D4113" t="s">
        <v>148</v>
      </c>
      <c r="E4113">
        <v>4</v>
      </c>
      <c r="F4113">
        <v>3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3</v>
      </c>
      <c r="N4113">
        <v>1</v>
      </c>
      <c r="O4113">
        <f t="shared" si="134"/>
        <v>2025</v>
      </c>
      <c r="P4113">
        <f t="shared" si="135"/>
        <v>11</v>
      </c>
      <c r="Q4113" t="s">
        <v>784</v>
      </c>
      <c r="R4113" t="s">
        <v>805</v>
      </c>
    </row>
    <row r="4114" spans="1:18" x14ac:dyDescent="0.3">
      <c r="A4114" t="s">
        <v>627</v>
      </c>
      <c r="B4114" s="16">
        <v>45973</v>
      </c>
      <c r="C4114" t="s">
        <v>3</v>
      </c>
      <c r="D4114" t="s">
        <v>367</v>
      </c>
      <c r="E4114">
        <v>45</v>
      </c>
      <c r="F4114">
        <v>25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45</v>
      </c>
      <c r="O4114">
        <f t="shared" si="134"/>
        <v>2025</v>
      </c>
      <c r="P4114">
        <f t="shared" si="135"/>
        <v>11</v>
      </c>
      <c r="Q4114" t="s">
        <v>784</v>
      </c>
      <c r="R4114" t="s">
        <v>805</v>
      </c>
    </row>
    <row r="4115" spans="1:18" x14ac:dyDescent="0.3">
      <c r="A4115" t="s">
        <v>627</v>
      </c>
      <c r="B4115" s="16">
        <v>45973</v>
      </c>
      <c r="C4115" t="s">
        <v>3</v>
      </c>
      <c r="D4115" t="s">
        <v>251</v>
      </c>
      <c r="E4115">
        <v>1661</v>
      </c>
      <c r="F4115">
        <v>1138</v>
      </c>
      <c r="G4115">
        <v>20</v>
      </c>
      <c r="H4115">
        <v>9</v>
      </c>
      <c r="I4115">
        <v>70560</v>
      </c>
      <c r="J4115">
        <v>13</v>
      </c>
      <c r="K4115">
        <v>70259.94</v>
      </c>
      <c r="L4115">
        <v>14</v>
      </c>
      <c r="M4115">
        <v>85</v>
      </c>
      <c r="N4115">
        <v>1627</v>
      </c>
      <c r="O4115">
        <f t="shared" si="134"/>
        <v>2025</v>
      </c>
      <c r="P4115">
        <f t="shared" si="135"/>
        <v>11</v>
      </c>
      <c r="Q4115" t="s">
        <v>784</v>
      </c>
      <c r="R4115" t="s">
        <v>805</v>
      </c>
    </row>
    <row r="4116" spans="1:18" x14ac:dyDescent="0.3">
      <c r="A4116" t="s">
        <v>627</v>
      </c>
      <c r="B4116" s="16">
        <v>45973</v>
      </c>
      <c r="C4116" t="s">
        <v>3</v>
      </c>
      <c r="D4116" t="s">
        <v>143</v>
      </c>
      <c r="E4116">
        <v>1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1</v>
      </c>
      <c r="O4116">
        <f t="shared" si="134"/>
        <v>2025</v>
      </c>
      <c r="P4116">
        <f t="shared" si="135"/>
        <v>11</v>
      </c>
      <c r="Q4116" t="s">
        <v>784</v>
      </c>
      <c r="R4116" t="s">
        <v>805</v>
      </c>
    </row>
    <row r="4117" spans="1:18" x14ac:dyDescent="0.3">
      <c r="A4117" t="s">
        <v>627</v>
      </c>
      <c r="B4117" s="16">
        <v>45973</v>
      </c>
      <c r="C4117" t="s">
        <v>3</v>
      </c>
      <c r="D4117" t="s">
        <v>141</v>
      </c>
      <c r="E4117">
        <v>509</v>
      </c>
      <c r="F4117">
        <v>194</v>
      </c>
      <c r="G4117">
        <v>7</v>
      </c>
      <c r="H4117">
        <v>1</v>
      </c>
      <c r="I4117">
        <v>26090</v>
      </c>
      <c r="J4117">
        <v>2</v>
      </c>
      <c r="K4117">
        <v>11540</v>
      </c>
      <c r="L4117">
        <v>2</v>
      </c>
      <c r="M4117">
        <v>4</v>
      </c>
      <c r="N4117">
        <v>505</v>
      </c>
      <c r="O4117">
        <f t="shared" si="134"/>
        <v>2025</v>
      </c>
      <c r="P4117">
        <f t="shared" si="135"/>
        <v>11</v>
      </c>
      <c r="Q4117" t="s">
        <v>784</v>
      </c>
      <c r="R4117" t="s">
        <v>805</v>
      </c>
    </row>
    <row r="4118" spans="1:18" x14ac:dyDescent="0.3">
      <c r="A4118" t="s">
        <v>627</v>
      </c>
      <c r="B4118" s="16">
        <v>45973</v>
      </c>
      <c r="C4118" t="s">
        <v>3</v>
      </c>
      <c r="D4118" t="s">
        <v>140</v>
      </c>
      <c r="E4118">
        <v>10</v>
      </c>
      <c r="F4118">
        <v>10</v>
      </c>
      <c r="G4118">
        <v>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10</v>
      </c>
      <c r="O4118">
        <f t="shared" si="134"/>
        <v>2025</v>
      </c>
      <c r="P4118">
        <f t="shared" si="135"/>
        <v>11</v>
      </c>
      <c r="Q4118" t="s">
        <v>784</v>
      </c>
      <c r="R4118" t="s">
        <v>805</v>
      </c>
    </row>
    <row r="4119" spans="1:18" x14ac:dyDescent="0.3">
      <c r="A4119" t="s">
        <v>627</v>
      </c>
      <c r="B4119" s="16">
        <v>45973</v>
      </c>
      <c r="C4119" t="s">
        <v>3</v>
      </c>
      <c r="D4119" t="s">
        <v>139</v>
      </c>
      <c r="E4119">
        <v>2570</v>
      </c>
      <c r="F4119">
        <v>1126</v>
      </c>
      <c r="G4119">
        <v>53</v>
      </c>
      <c r="H4119">
        <v>12</v>
      </c>
      <c r="I4119">
        <v>129265.11</v>
      </c>
      <c r="J4119">
        <v>25</v>
      </c>
      <c r="K4119">
        <v>100975.11</v>
      </c>
      <c r="L4119">
        <v>23</v>
      </c>
      <c r="M4119">
        <v>405</v>
      </c>
      <c r="N4119">
        <v>2420</v>
      </c>
      <c r="O4119">
        <f t="shared" si="134"/>
        <v>2025</v>
      </c>
      <c r="P4119">
        <f t="shared" si="135"/>
        <v>11</v>
      </c>
      <c r="Q4119" t="s">
        <v>784</v>
      </c>
      <c r="R4119" t="s">
        <v>805</v>
      </c>
    </row>
    <row r="4120" spans="1:18" x14ac:dyDescent="0.3">
      <c r="A4120" t="s">
        <v>627</v>
      </c>
      <c r="B4120" s="16">
        <v>45973</v>
      </c>
      <c r="C4120" t="s">
        <v>3</v>
      </c>
      <c r="D4120" t="s">
        <v>138</v>
      </c>
      <c r="E4120">
        <v>23</v>
      </c>
      <c r="F4120">
        <v>12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2</v>
      </c>
      <c r="N4120">
        <v>23</v>
      </c>
      <c r="O4120">
        <f t="shared" si="134"/>
        <v>2025</v>
      </c>
      <c r="P4120">
        <f t="shared" si="135"/>
        <v>11</v>
      </c>
      <c r="Q4120" t="s">
        <v>784</v>
      </c>
      <c r="R4120" t="s">
        <v>805</v>
      </c>
    </row>
    <row r="4121" spans="1:18" x14ac:dyDescent="0.3">
      <c r="A4121" t="s">
        <v>627</v>
      </c>
      <c r="B4121" s="16">
        <v>45973</v>
      </c>
      <c r="C4121" t="s">
        <v>3</v>
      </c>
      <c r="D4121" t="s">
        <v>133</v>
      </c>
      <c r="E4121">
        <v>21</v>
      </c>
      <c r="F4121">
        <v>13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8</v>
      </c>
      <c r="N4121">
        <v>17</v>
      </c>
      <c r="O4121">
        <f t="shared" si="134"/>
        <v>2025</v>
      </c>
      <c r="P4121">
        <f t="shared" si="135"/>
        <v>11</v>
      </c>
      <c r="Q4121" t="s">
        <v>784</v>
      </c>
      <c r="R4121" t="s">
        <v>805</v>
      </c>
    </row>
    <row r="4122" spans="1:18" x14ac:dyDescent="0.3">
      <c r="A4122" t="s">
        <v>627</v>
      </c>
      <c r="B4122" s="16">
        <v>45973</v>
      </c>
      <c r="C4122" t="s">
        <v>3</v>
      </c>
      <c r="D4122" t="s">
        <v>130</v>
      </c>
      <c r="E4122">
        <v>169</v>
      </c>
      <c r="F4122">
        <v>48</v>
      </c>
      <c r="G4122">
        <v>9</v>
      </c>
      <c r="H4122">
        <v>1</v>
      </c>
      <c r="I4122">
        <v>38534</v>
      </c>
      <c r="J4122">
        <v>7</v>
      </c>
      <c r="K4122">
        <v>23984</v>
      </c>
      <c r="L4122">
        <v>7</v>
      </c>
      <c r="M4122">
        <v>65</v>
      </c>
      <c r="N4122">
        <v>139</v>
      </c>
      <c r="O4122">
        <f t="shared" si="134"/>
        <v>2025</v>
      </c>
      <c r="P4122">
        <f t="shared" si="135"/>
        <v>11</v>
      </c>
      <c r="Q4122" t="s">
        <v>784</v>
      </c>
      <c r="R4122" t="s">
        <v>805</v>
      </c>
    </row>
    <row r="4123" spans="1:18" x14ac:dyDescent="0.3">
      <c r="A4123" t="s">
        <v>627</v>
      </c>
      <c r="B4123" s="16">
        <v>45973</v>
      </c>
      <c r="C4123" t="s">
        <v>3</v>
      </c>
      <c r="D4123" t="s">
        <v>128</v>
      </c>
      <c r="E4123">
        <v>2928</v>
      </c>
      <c r="F4123">
        <v>2435</v>
      </c>
      <c r="G4123">
        <v>55</v>
      </c>
      <c r="H4123">
        <v>24</v>
      </c>
      <c r="I4123">
        <v>101425</v>
      </c>
      <c r="J4123">
        <v>18</v>
      </c>
      <c r="K4123">
        <v>69585</v>
      </c>
      <c r="L4123">
        <v>16</v>
      </c>
      <c r="M4123">
        <v>382</v>
      </c>
      <c r="N4123">
        <v>2844</v>
      </c>
      <c r="O4123">
        <f t="shared" si="134"/>
        <v>2025</v>
      </c>
      <c r="P4123">
        <f t="shared" si="135"/>
        <v>11</v>
      </c>
      <c r="Q4123" t="s">
        <v>784</v>
      </c>
      <c r="R4123" t="s">
        <v>805</v>
      </c>
    </row>
    <row r="4124" spans="1:18" x14ac:dyDescent="0.3">
      <c r="A4124" t="s">
        <v>627</v>
      </c>
      <c r="B4124" s="16">
        <v>45973</v>
      </c>
      <c r="C4124" t="s">
        <v>3</v>
      </c>
      <c r="D4124" t="s">
        <v>127</v>
      </c>
      <c r="E4124">
        <v>9479</v>
      </c>
      <c r="F4124">
        <v>4957</v>
      </c>
      <c r="G4124">
        <v>151</v>
      </c>
      <c r="H4124">
        <v>53</v>
      </c>
      <c r="I4124">
        <v>117890</v>
      </c>
      <c r="J4124">
        <v>23</v>
      </c>
      <c r="K4124">
        <v>95175</v>
      </c>
      <c r="L4124">
        <v>21</v>
      </c>
      <c r="M4124">
        <v>509</v>
      </c>
      <c r="N4124">
        <v>9434</v>
      </c>
      <c r="O4124">
        <f t="shared" si="134"/>
        <v>2025</v>
      </c>
      <c r="P4124">
        <f t="shared" si="135"/>
        <v>11</v>
      </c>
      <c r="Q4124" t="s">
        <v>784</v>
      </c>
      <c r="R4124" t="s">
        <v>805</v>
      </c>
    </row>
    <row r="4125" spans="1:18" x14ac:dyDescent="0.3">
      <c r="A4125" t="s">
        <v>627</v>
      </c>
      <c r="B4125" s="16">
        <v>45973</v>
      </c>
      <c r="C4125" t="s">
        <v>3</v>
      </c>
      <c r="D4125" t="s">
        <v>126</v>
      </c>
      <c r="E4125">
        <v>199</v>
      </c>
      <c r="F4125">
        <v>124</v>
      </c>
      <c r="G4125">
        <v>6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23</v>
      </c>
      <c r="N4125">
        <v>194</v>
      </c>
      <c r="O4125">
        <f t="shared" si="134"/>
        <v>2025</v>
      </c>
      <c r="P4125">
        <f t="shared" si="135"/>
        <v>11</v>
      </c>
      <c r="Q4125" t="s">
        <v>784</v>
      </c>
      <c r="R4125" t="s">
        <v>805</v>
      </c>
    </row>
    <row r="4126" spans="1:18" x14ac:dyDescent="0.3">
      <c r="A4126" t="s">
        <v>627</v>
      </c>
      <c r="B4126" s="16">
        <v>45973</v>
      </c>
      <c r="C4126" t="s">
        <v>3</v>
      </c>
      <c r="D4126" t="s">
        <v>123</v>
      </c>
      <c r="E4126">
        <v>56</v>
      </c>
      <c r="F4126">
        <v>26</v>
      </c>
      <c r="G4126">
        <v>3</v>
      </c>
      <c r="H4126">
        <v>2</v>
      </c>
      <c r="I4126">
        <v>0</v>
      </c>
      <c r="J4126">
        <v>0</v>
      </c>
      <c r="K4126">
        <v>0</v>
      </c>
      <c r="L4126">
        <v>0</v>
      </c>
      <c r="M4126">
        <v>50</v>
      </c>
      <c r="N4126">
        <v>26</v>
      </c>
      <c r="O4126">
        <f t="shared" si="134"/>
        <v>2025</v>
      </c>
      <c r="P4126">
        <f t="shared" si="135"/>
        <v>11</v>
      </c>
      <c r="Q4126" t="s">
        <v>784</v>
      </c>
      <c r="R4126" t="s">
        <v>805</v>
      </c>
    </row>
    <row r="4127" spans="1:18" x14ac:dyDescent="0.3">
      <c r="A4127" t="s">
        <v>627</v>
      </c>
      <c r="B4127" s="16">
        <v>45973</v>
      </c>
      <c r="C4127" t="s">
        <v>3</v>
      </c>
      <c r="D4127" t="s">
        <v>122</v>
      </c>
      <c r="E4127">
        <v>1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1</v>
      </c>
      <c r="O4127">
        <f t="shared" si="134"/>
        <v>2025</v>
      </c>
      <c r="P4127">
        <f t="shared" si="135"/>
        <v>11</v>
      </c>
      <c r="Q4127" t="s">
        <v>784</v>
      </c>
      <c r="R4127" t="s">
        <v>805</v>
      </c>
    </row>
    <row r="4128" spans="1:18" x14ac:dyDescent="0.3">
      <c r="A4128" t="s">
        <v>627</v>
      </c>
      <c r="B4128" s="16">
        <v>45973</v>
      </c>
      <c r="C4128" t="s">
        <v>3</v>
      </c>
      <c r="D4128" t="s">
        <v>121</v>
      </c>
      <c r="E4128">
        <v>3</v>
      </c>
      <c r="F4128">
        <v>3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1</v>
      </c>
      <c r="N4128">
        <v>2</v>
      </c>
      <c r="O4128">
        <f t="shared" si="134"/>
        <v>2025</v>
      </c>
      <c r="P4128">
        <f t="shared" si="135"/>
        <v>11</v>
      </c>
      <c r="Q4128" t="s">
        <v>784</v>
      </c>
      <c r="R4128" t="s">
        <v>805</v>
      </c>
    </row>
    <row r="4129" spans="1:18" x14ac:dyDescent="0.3">
      <c r="A4129" t="s">
        <v>627</v>
      </c>
      <c r="B4129" s="16">
        <v>45973</v>
      </c>
      <c r="C4129" t="s">
        <v>3</v>
      </c>
      <c r="D4129" t="s">
        <v>119</v>
      </c>
      <c r="E4129">
        <v>311</v>
      </c>
      <c r="F4129">
        <v>59</v>
      </c>
      <c r="G4129">
        <v>28</v>
      </c>
      <c r="H4129">
        <v>7</v>
      </c>
      <c r="I4129">
        <v>84187</v>
      </c>
      <c r="J4129">
        <v>19</v>
      </c>
      <c r="K4129">
        <v>81307.350000000006</v>
      </c>
      <c r="L4129">
        <v>18</v>
      </c>
      <c r="M4129">
        <v>62</v>
      </c>
      <c r="N4129">
        <v>307</v>
      </c>
      <c r="O4129">
        <f t="shared" si="134"/>
        <v>2025</v>
      </c>
      <c r="P4129">
        <f t="shared" si="135"/>
        <v>11</v>
      </c>
      <c r="Q4129" t="s">
        <v>784</v>
      </c>
      <c r="R4129" t="s">
        <v>805</v>
      </c>
    </row>
    <row r="4130" spans="1:18" x14ac:dyDescent="0.3">
      <c r="A4130" t="s">
        <v>627</v>
      </c>
      <c r="B4130" s="16">
        <v>45973</v>
      </c>
      <c r="C4130" t="s">
        <v>3</v>
      </c>
      <c r="D4130" t="s">
        <v>252</v>
      </c>
      <c r="E4130">
        <v>9</v>
      </c>
      <c r="F4130">
        <v>7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9</v>
      </c>
      <c r="O4130">
        <f t="shared" si="134"/>
        <v>2025</v>
      </c>
      <c r="P4130">
        <f t="shared" si="135"/>
        <v>11</v>
      </c>
      <c r="Q4130" t="s">
        <v>784</v>
      </c>
      <c r="R4130" t="s">
        <v>805</v>
      </c>
    </row>
    <row r="4131" spans="1:18" x14ac:dyDescent="0.3">
      <c r="A4131" t="s">
        <v>627</v>
      </c>
      <c r="B4131" s="16">
        <v>45973</v>
      </c>
      <c r="C4131" t="s">
        <v>3</v>
      </c>
      <c r="D4131" t="s">
        <v>117</v>
      </c>
      <c r="E4131">
        <v>1</v>
      </c>
      <c r="F4131">
        <v>1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1</v>
      </c>
      <c r="O4131">
        <f t="shared" si="134"/>
        <v>2025</v>
      </c>
      <c r="P4131">
        <f t="shared" si="135"/>
        <v>11</v>
      </c>
      <c r="Q4131" t="s">
        <v>784</v>
      </c>
      <c r="R4131" t="s">
        <v>805</v>
      </c>
    </row>
    <row r="4132" spans="1:18" x14ac:dyDescent="0.3">
      <c r="A4132" t="s">
        <v>627</v>
      </c>
      <c r="B4132" s="16">
        <v>45973</v>
      </c>
      <c r="C4132" t="s">
        <v>3</v>
      </c>
      <c r="D4132" t="s">
        <v>391</v>
      </c>
      <c r="E4132">
        <v>600</v>
      </c>
      <c r="F4132">
        <v>293</v>
      </c>
      <c r="G4132">
        <v>17</v>
      </c>
      <c r="H4132">
        <v>3</v>
      </c>
      <c r="I4132">
        <v>35275</v>
      </c>
      <c r="J4132">
        <v>7</v>
      </c>
      <c r="K4132">
        <v>31665</v>
      </c>
      <c r="L4132">
        <v>7</v>
      </c>
      <c r="M4132">
        <v>85</v>
      </c>
      <c r="N4132">
        <v>589</v>
      </c>
      <c r="O4132">
        <f t="shared" si="134"/>
        <v>2025</v>
      </c>
      <c r="P4132">
        <f t="shared" si="135"/>
        <v>11</v>
      </c>
      <c r="Q4132" t="s">
        <v>784</v>
      </c>
      <c r="R4132" t="s">
        <v>805</v>
      </c>
    </row>
    <row r="4133" spans="1:18" x14ac:dyDescent="0.3">
      <c r="A4133" t="s">
        <v>627</v>
      </c>
      <c r="B4133" s="16">
        <v>45973</v>
      </c>
      <c r="C4133" t="s">
        <v>3</v>
      </c>
      <c r="D4133" t="s">
        <v>114</v>
      </c>
      <c r="E4133">
        <v>118</v>
      </c>
      <c r="F4133">
        <v>53</v>
      </c>
      <c r="G4133">
        <v>4</v>
      </c>
      <c r="H4133">
        <v>0</v>
      </c>
      <c r="I4133">
        <v>1990</v>
      </c>
      <c r="J4133">
        <v>1</v>
      </c>
      <c r="K4133">
        <v>1990</v>
      </c>
      <c r="L4133">
        <v>1</v>
      </c>
      <c r="M4133">
        <v>6</v>
      </c>
      <c r="N4133">
        <v>117</v>
      </c>
      <c r="O4133">
        <f t="shared" si="134"/>
        <v>2025</v>
      </c>
      <c r="P4133">
        <f t="shared" si="135"/>
        <v>11</v>
      </c>
      <c r="Q4133" t="s">
        <v>784</v>
      </c>
      <c r="R4133" t="s">
        <v>805</v>
      </c>
    </row>
    <row r="4134" spans="1:18" x14ac:dyDescent="0.3">
      <c r="A4134" t="s">
        <v>627</v>
      </c>
      <c r="B4134" s="16">
        <v>45973</v>
      </c>
      <c r="C4134" t="s">
        <v>3</v>
      </c>
      <c r="D4134" t="s">
        <v>113</v>
      </c>
      <c r="E4134">
        <v>120</v>
      </c>
      <c r="F4134">
        <v>47</v>
      </c>
      <c r="G4134">
        <v>5</v>
      </c>
      <c r="H4134">
        <v>2</v>
      </c>
      <c r="I4134">
        <v>0</v>
      </c>
      <c r="J4134">
        <v>0</v>
      </c>
      <c r="K4134">
        <v>0</v>
      </c>
      <c r="L4134">
        <v>0</v>
      </c>
      <c r="M4134">
        <v>95</v>
      </c>
      <c r="N4134">
        <v>76</v>
      </c>
      <c r="O4134">
        <f t="shared" si="134"/>
        <v>2025</v>
      </c>
      <c r="P4134">
        <f t="shared" si="135"/>
        <v>11</v>
      </c>
      <c r="Q4134" t="s">
        <v>784</v>
      </c>
      <c r="R4134" t="s">
        <v>805</v>
      </c>
    </row>
    <row r="4135" spans="1:18" x14ac:dyDescent="0.3">
      <c r="A4135" t="s">
        <v>627</v>
      </c>
      <c r="B4135" s="16">
        <v>45973</v>
      </c>
      <c r="C4135" t="s">
        <v>3</v>
      </c>
      <c r="D4135" t="s">
        <v>112</v>
      </c>
      <c r="E4135">
        <v>44</v>
      </c>
      <c r="F4135">
        <v>11</v>
      </c>
      <c r="G4135">
        <v>0</v>
      </c>
      <c r="H4135">
        <v>0</v>
      </c>
      <c r="I4135">
        <v>6940</v>
      </c>
      <c r="J4135">
        <v>1</v>
      </c>
      <c r="K4135">
        <v>6940</v>
      </c>
      <c r="L4135">
        <v>1</v>
      </c>
      <c r="M4135">
        <v>1</v>
      </c>
      <c r="N4135">
        <v>44</v>
      </c>
      <c r="O4135">
        <f t="shared" si="134"/>
        <v>2025</v>
      </c>
      <c r="P4135">
        <f t="shared" si="135"/>
        <v>11</v>
      </c>
      <c r="Q4135" t="s">
        <v>784</v>
      </c>
      <c r="R4135" t="s">
        <v>805</v>
      </c>
    </row>
    <row r="4136" spans="1:18" x14ac:dyDescent="0.3">
      <c r="A4136" t="s">
        <v>627</v>
      </c>
      <c r="B4136" s="16">
        <v>45973</v>
      </c>
      <c r="C4136" t="s">
        <v>3</v>
      </c>
      <c r="D4136" t="s">
        <v>111</v>
      </c>
      <c r="E4136">
        <v>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2</v>
      </c>
      <c r="O4136">
        <f t="shared" si="134"/>
        <v>2025</v>
      </c>
      <c r="P4136">
        <f t="shared" si="135"/>
        <v>11</v>
      </c>
      <c r="Q4136" t="s">
        <v>784</v>
      </c>
      <c r="R4136" t="s">
        <v>805</v>
      </c>
    </row>
    <row r="4137" spans="1:18" x14ac:dyDescent="0.3">
      <c r="A4137" t="s">
        <v>627</v>
      </c>
      <c r="B4137" s="16">
        <v>45972</v>
      </c>
      <c r="C4137" t="s">
        <v>2</v>
      </c>
      <c r="D4137" t="s">
        <v>4</v>
      </c>
      <c r="E4137">
        <v>589</v>
      </c>
      <c r="F4137">
        <v>228</v>
      </c>
      <c r="G4137">
        <v>6</v>
      </c>
      <c r="H4137">
        <v>2</v>
      </c>
      <c r="I4137">
        <v>41311.18</v>
      </c>
      <c r="J4137">
        <v>9</v>
      </c>
      <c r="K4137">
        <v>37321.18</v>
      </c>
      <c r="L4137">
        <v>9</v>
      </c>
      <c r="M4137">
        <v>5</v>
      </c>
      <c r="N4137">
        <v>586</v>
      </c>
      <c r="O4137">
        <f t="shared" si="134"/>
        <v>2025</v>
      </c>
      <c r="P4137">
        <f t="shared" si="135"/>
        <v>11</v>
      </c>
      <c r="Q4137" t="s">
        <v>784</v>
      </c>
      <c r="R4137" t="s">
        <v>805</v>
      </c>
    </row>
    <row r="4138" spans="1:18" x14ac:dyDescent="0.3">
      <c r="A4138" t="s">
        <v>627</v>
      </c>
      <c r="B4138" s="16">
        <v>45972</v>
      </c>
      <c r="C4138" t="s">
        <v>2</v>
      </c>
      <c r="D4138" t="s">
        <v>57</v>
      </c>
      <c r="E4138">
        <v>27545</v>
      </c>
      <c r="F4138">
        <v>14284</v>
      </c>
      <c r="G4138">
        <v>165</v>
      </c>
      <c r="H4138">
        <v>149</v>
      </c>
      <c r="I4138">
        <v>200040</v>
      </c>
      <c r="J4138">
        <v>34</v>
      </c>
      <c r="K4138">
        <v>122600</v>
      </c>
      <c r="L4138">
        <v>28</v>
      </c>
      <c r="M4138">
        <v>1593</v>
      </c>
      <c r="N4138">
        <v>27120</v>
      </c>
      <c r="O4138">
        <f t="shared" si="134"/>
        <v>2025</v>
      </c>
      <c r="P4138">
        <f t="shared" si="135"/>
        <v>11</v>
      </c>
      <c r="Q4138" t="s">
        <v>784</v>
      </c>
      <c r="R4138" t="s">
        <v>805</v>
      </c>
    </row>
    <row r="4139" spans="1:18" x14ac:dyDescent="0.3">
      <c r="A4139" t="s">
        <v>627</v>
      </c>
      <c r="B4139" s="16">
        <v>45972</v>
      </c>
      <c r="C4139" t="s">
        <v>2</v>
      </c>
      <c r="D4139" t="s">
        <v>55</v>
      </c>
      <c r="E4139">
        <v>1009</v>
      </c>
      <c r="F4139">
        <v>715</v>
      </c>
      <c r="G4139">
        <v>17</v>
      </c>
      <c r="H4139">
        <v>1</v>
      </c>
      <c r="I4139">
        <v>0</v>
      </c>
      <c r="J4139">
        <v>0</v>
      </c>
      <c r="K4139">
        <v>0</v>
      </c>
      <c r="L4139">
        <v>0</v>
      </c>
      <c r="M4139">
        <v>37</v>
      </c>
      <c r="N4139">
        <v>362</v>
      </c>
      <c r="O4139">
        <f t="shared" si="134"/>
        <v>2025</v>
      </c>
      <c r="P4139">
        <f t="shared" si="135"/>
        <v>11</v>
      </c>
      <c r="Q4139" t="s">
        <v>784</v>
      </c>
      <c r="R4139" t="s">
        <v>805</v>
      </c>
    </row>
    <row r="4140" spans="1:18" x14ac:dyDescent="0.3">
      <c r="A4140" t="s">
        <v>627</v>
      </c>
      <c r="B4140" s="16">
        <v>45972</v>
      </c>
      <c r="C4140" t="s">
        <v>3</v>
      </c>
      <c r="D4140" t="s">
        <v>157</v>
      </c>
      <c r="E4140">
        <v>1</v>
      </c>
      <c r="F4140">
        <v>1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f t="shared" si="134"/>
        <v>2025</v>
      </c>
      <c r="P4140">
        <f t="shared" si="135"/>
        <v>11</v>
      </c>
      <c r="Q4140" t="s">
        <v>784</v>
      </c>
      <c r="R4140" t="s">
        <v>805</v>
      </c>
    </row>
    <row r="4141" spans="1:18" x14ac:dyDescent="0.3">
      <c r="A4141" t="s">
        <v>627</v>
      </c>
      <c r="B4141" s="16">
        <v>45972</v>
      </c>
      <c r="C4141" t="s">
        <v>3</v>
      </c>
      <c r="D4141" t="s">
        <v>155</v>
      </c>
      <c r="E4141">
        <v>67</v>
      </c>
      <c r="F4141">
        <v>37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67</v>
      </c>
      <c r="O4141">
        <f t="shared" si="134"/>
        <v>2025</v>
      </c>
      <c r="P4141">
        <f t="shared" si="135"/>
        <v>11</v>
      </c>
      <c r="Q4141" t="s">
        <v>784</v>
      </c>
      <c r="R4141" t="s">
        <v>805</v>
      </c>
    </row>
    <row r="4142" spans="1:18" x14ac:dyDescent="0.3">
      <c r="A4142" t="s">
        <v>627</v>
      </c>
      <c r="B4142" s="16">
        <v>45972</v>
      </c>
      <c r="C4142" t="s">
        <v>3</v>
      </c>
      <c r="D4142" t="s">
        <v>154</v>
      </c>
      <c r="E4142">
        <v>34</v>
      </c>
      <c r="F4142">
        <v>28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f t="shared" si="134"/>
        <v>2025</v>
      </c>
      <c r="P4142">
        <f t="shared" si="135"/>
        <v>11</v>
      </c>
      <c r="Q4142" t="s">
        <v>784</v>
      </c>
      <c r="R4142" t="s">
        <v>805</v>
      </c>
    </row>
    <row r="4143" spans="1:18" x14ac:dyDescent="0.3">
      <c r="A4143" t="s">
        <v>627</v>
      </c>
      <c r="B4143" s="16">
        <v>45972</v>
      </c>
      <c r="C4143" t="s">
        <v>3</v>
      </c>
      <c r="D4143" t="s">
        <v>153</v>
      </c>
      <c r="E4143">
        <v>713</v>
      </c>
      <c r="F4143">
        <v>150</v>
      </c>
      <c r="G4143">
        <v>60</v>
      </c>
      <c r="H4143">
        <v>5</v>
      </c>
      <c r="I4143">
        <v>326543.02</v>
      </c>
      <c r="J4143">
        <v>81</v>
      </c>
      <c r="K4143">
        <v>294907.61</v>
      </c>
      <c r="L4143">
        <v>75</v>
      </c>
      <c r="M4143">
        <v>177</v>
      </c>
      <c r="N4143">
        <v>690</v>
      </c>
      <c r="O4143">
        <f t="shared" si="134"/>
        <v>2025</v>
      </c>
      <c r="P4143">
        <f t="shared" si="135"/>
        <v>11</v>
      </c>
      <c r="Q4143" t="s">
        <v>784</v>
      </c>
      <c r="R4143" t="s">
        <v>805</v>
      </c>
    </row>
    <row r="4144" spans="1:18" x14ac:dyDescent="0.3">
      <c r="A4144" t="s">
        <v>627</v>
      </c>
      <c r="B4144" s="16">
        <v>45972</v>
      </c>
      <c r="C4144" t="s">
        <v>3</v>
      </c>
      <c r="D4144" t="s">
        <v>152</v>
      </c>
      <c r="E4144">
        <v>18</v>
      </c>
      <c r="F4144">
        <v>13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15</v>
      </c>
      <c r="O4144">
        <f t="shared" si="134"/>
        <v>2025</v>
      </c>
      <c r="P4144">
        <f t="shared" si="135"/>
        <v>11</v>
      </c>
      <c r="Q4144" t="s">
        <v>784</v>
      </c>
      <c r="R4144" t="s">
        <v>805</v>
      </c>
    </row>
    <row r="4145" spans="1:18" x14ac:dyDescent="0.3">
      <c r="A4145" t="s">
        <v>627</v>
      </c>
      <c r="B4145" s="16">
        <v>45972</v>
      </c>
      <c r="C4145" t="s">
        <v>3</v>
      </c>
      <c r="D4145" t="s">
        <v>149</v>
      </c>
      <c r="E4145">
        <v>6</v>
      </c>
      <c r="F4145">
        <v>2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3</v>
      </c>
      <c r="O4145">
        <f t="shared" si="134"/>
        <v>2025</v>
      </c>
      <c r="P4145">
        <f t="shared" si="135"/>
        <v>11</v>
      </c>
      <c r="Q4145" t="s">
        <v>784</v>
      </c>
      <c r="R4145" t="s">
        <v>805</v>
      </c>
    </row>
    <row r="4146" spans="1:18" x14ac:dyDescent="0.3">
      <c r="A4146" t="s">
        <v>627</v>
      </c>
      <c r="B4146" s="16">
        <v>45972</v>
      </c>
      <c r="C4146" t="s">
        <v>3</v>
      </c>
      <c r="D4146" t="s">
        <v>148</v>
      </c>
      <c r="E4146">
        <v>13</v>
      </c>
      <c r="F4146">
        <v>12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10</v>
      </c>
      <c r="N4146">
        <v>3</v>
      </c>
      <c r="O4146">
        <f t="shared" si="134"/>
        <v>2025</v>
      </c>
      <c r="P4146">
        <f t="shared" si="135"/>
        <v>11</v>
      </c>
      <c r="Q4146" t="s">
        <v>784</v>
      </c>
      <c r="R4146" t="s">
        <v>805</v>
      </c>
    </row>
    <row r="4147" spans="1:18" x14ac:dyDescent="0.3">
      <c r="A4147" t="s">
        <v>627</v>
      </c>
      <c r="B4147" s="16">
        <v>45972</v>
      </c>
      <c r="C4147" t="s">
        <v>3</v>
      </c>
      <c r="D4147" t="s">
        <v>367</v>
      </c>
      <c r="E4147">
        <v>158</v>
      </c>
      <c r="F4147">
        <v>92</v>
      </c>
      <c r="G4147">
        <v>1</v>
      </c>
      <c r="H4147">
        <v>0</v>
      </c>
      <c r="I4147">
        <v>6980</v>
      </c>
      <c r="J4147">
        <v>2</v>
      </c>
      <c r="K4147">
        <v>6980</v>
      </c>
      <c r="L4147">
        <v>2</v>
      </c>
      <c r="M4147">
        <v>0</v>
      </c>
      <c r="N4147">
        <v>158</v>
      </c>
      <c r="O4147">
        <f t="shared" si="134"/>
        <v>2025</v>
      </c>
      <c r="P4147">
        <f t="shared" si="135"/>
        <v>11</v>
      </c>
      <c r="Q4147" t="s">
        <v>784</v>
      </c>
      <c r="R4147" t="s">
        <v>805</v>
      </c>
    </row>
    <row r="4148" spans="1:18" x14ac:dyDescent="0.3">
      <c r="A4148" t="s">
        <v>627</v>
      </c>
      <c r="B4148" s="16">
        <v>45972</v>
      </c>
      <c r="C4148" t="s">
        <v>3</v>
      </c>
      <c r="D4148" t="s">
        <v>146</v>
      </c>
      <c r="E4148">
        <v>2</v>
      </c>
      <c r="F4148">
        <v>1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2</v>
      </c>
      <c r="O4148">
        <f t="shared" si="134"/>
        <v>2025</v>
      </c>
      <c r="P4148">
        <f t="shared" si="135"/>
        <v>11</v>
      </c>
      <c r="Q4148" t="s">
        <v>784</v>
      </c>
      <c r="R4148" t="s">
        <v>805</v>
      </c>
    </row>
    <row r="4149" spans="1:18" x14ac:dyDescent="0.3">
      <c r="A4149" t="s">
        <v>627</v>
      </c>
      <c r="B4149" s="16">
        <v>45972</v>
      </c>
      <c r="C4149" t="s">
        <v>3</v>
      </c>
      <c r="D4149" t="s">
        <v>251</v>
      </c>
      <c r="E4149">
        <v>1927</v>
      </c>
      <c r="F4149">
        <v>1490</v>
      </c>
      <c r="G4149">
        <v>29</v>
      </c>
      <c r="H4149">
        <v>4</v>
      </c>
      <c r="I4149">
        <v>83610.009999999995</v>
      </c>
      <c r="J4149">
        <v>25</v>
      </c>
      <c r="K4149">
        <v>80130.009999999995</v>
      </c>
      <c r="L4149">
        <v>25</v>
      </c>
      <c r="M4149">
        <v>149</v>
      </c>
      <c r="N4149">
        <v>1442</v>
      </c>
      <c r="O4149">
        <f t="shared" si="134"/>
        <v>2025</v>
      </c>
      <c r="P4149">
        <f t="shared" si="135"/>
        <v>11</v>
      </c>
      <c r="Q4149" t="s">
        <v>784</v>
      </c>
      <c r="R4149" t="s">
        <v>805</v>
      </c>
    </row>
    <row r="4150" spans="1:18" x14ac:dyDescent="0.3">
      <c r="A4150" t="s">
        <v>627</v>
      </c>
      <c r="B4150" s="16">
        <v>45972</v>
      </c>
      <c r="C4150" t="s">
        <v>3</v>
      </c>
      <c r="D4150" t="s">
        <v>141</v>
      </c>
      <c r="E4150">
        <v>401</v>
      </c>
      <c r="F4150">
        <v>197</v>
      </c>
      <c r="G4150">
        <v>3</v>
      </c>
      <c r="H4150">
        <v>6</v>
      </c>
      <c r="I4150">
        <v>1490</v>
      </c>
      <c r="J4150">
        <v>1</v>
      </c>
      <c r="K4150">
        <v>1490</v>
      </c>
      <c r="L4150">
        <v>1</v>
      </c>
      <c r="M4150">
        <v>12</v>
      </c>
      <c r="N4150">
        <v>389</v>
      </c>
      <c r="O4150">
        <f t="shared" si="134"/>
        <v>2025</v>
      </c>
      <c r="P4150">
        <f t="shared" si="135"/>
        <v>11</v>
      </c>
      <c r="Q4150" t="s">
        <v>784</v>
      </c>
      <c r="R4150" t="s">
        <v>805</v>
      </c>
    </row>
    <row r="4151" spans="1:18" x14ac:dyDescent="0.3">
      <c r="A4151" t="s">
        <v>627</v>
      </c>
      <c r="B4151" s="16">
        <v>45972</v>
      </c>
      <c r="C4151" t="s">
        <v>3</v>
      </c>
      <c r="D4151" t="s">
        <v>140</v>
      </c>
      <c r="E4151">
        <v>68</v>
      </c>
      <c r="F4151">
        <v>55</v>
      </c>
      <c r="G4151">
        <v>2</v>
      </c>
      <c r="H4151">
        <v>15</v>
      </c>
      <c r="I4151">
        <v>0</v>
      </c>
      <c r="J4151">
        <v>0</v>
      </c>
      <c r="K4151">
        <v>0</v>
      </c>
      <c r="L4151">
        <v>0</v>
      </c>
      <c r="M4151">
        <v>4</v>
      </c>
      <c r="N4151">
        <v>67</v>
      </c>
      <c r="O4151">
        <f t="shared" si="134"/>
        <v>2025</v>
      </c>
      <c r="P4151">
        <f t="shared" si="135"/>
        <v>11</v>
      </c>
      <c r="Q4151" t="s">
        <v>784</v>
      </c>
      <c r="R4151" t="s">
        <v>805</v>
      </c>
    </row>
    <row r="4152" spans="1:18" x14ac:dyDescent="0.3">
      <c r="A4152" t="s">
        <v>627</v>
      </c>
      <c r="B4152" s="16">
        <v>45972</v>
      </c>
      <c r="C4152" t="s">
        <v>3</v>
      </c>
      <c r="D4152" t="s">
        <v>139</v>
      </c>
      <c r="E4152">
        <v>5282</v>
      </c>
      <c r="F4152">
        <v>3330</v>
      </c>
      <c r="G4152">
        <v>59</v>
      </c>
      <c r="H4152">
        <v>22</v>
      </c>
      <c r="I4152">
        <v>123862</v>
      </c>
      <c r="J4152">
        <v>35</v>
      </c>
      <c r="K4152">
        <v>103422</v>
      </c>
      <c r="L4152">
        <v>30</v>
      </c>
      <c r="M4152">
        <v>485</v>
      </c>
      <c r="N4152">
        <v>4791</v>
      </c>
      <c r="O4152">
        <f t="shared" si="134"/>
        <v>2025</v>
      </c>
      <c r="P4152">
        <f t="shared" si="135"/>
        <v>11</v>
      </c>
      <c r="Q4152" t="s">
        <v>784</v>
      </c>
      <c r="R4152" t="s">
        <v>805</v>
      </c>
    </row>
    <row r="4153" spans="1:18" x14ac:dyDescent="0.3">
      <c r="A4153" t="s">
        <v>627</v>
      </c>
      <c r="B4153" s="16">
        <v>45972</v>
      </c>
      <c r="C4153" t="s">
        <v>3</v>
      </c>
      <c r="D4153" t="s">
        <v>138</v>
      </c>
      <c r="E4153">
        <v>57</v>
      </c>
      <c r="F4153">
        <v>31</v>
      </c>
      <c r="G4153">
        <v>2</v>
      </c>
      <c r="H4153">
        <v>1</v>
      </c>
      <c r="I4153">
        <v>2090</v>
      </c>
      <c r="J4153">
        <v>1</v>
      </c>
      <c r="K4153">
        <v>0</v>
      </c>
      <c r="L4153">
        <v>0</v>
      </c>
      <c r="M4153">
        <v>6</v>
      </c>
      <c r="N4153">
        <v>56</v>
      </c>
      <c r="O4153">
        <f t="shared" si="134"/>
        <v>2025</v>
      </c>
      <c r="P4153">
        <f t="shared" si="135"/>
        <v>11</v>
      </c>
      <c r="Q4153" t="s">
        <v>784</v>
      </c>
      <c r="R4153" t="s">
        <v>805</v>
      </c>
    </row>
    <row r="4154" spans="1:18" x14ac:dyDescent="0.3">
      <c r="A4154" t="s">
        <v>627</v>
      </c>
      <c r="B4154" s="16">
        <v>45972</v>
      </c>
      <c r="C4154" t="s">
        <v>3</v>
      </c>
      <c r="D4154" t="s">
        <v>133</v>
      </c>
      <c r="E4154">
        <v>22</v>
      </c>
      <c r="F4154">
        <v>12</v>
      </c>
      <c r="G4154">
        <v>2</v>
      </c>
      <c r="H4154">
        <v>0</v>
      </c>
      <c r="I4154">
        <v>5190</v>
      </c>
      <c r="J4154">
        <v>2</v>
      </c>
      <c r="K4154">
        <v>3100</v>
      </c>
      <c r="L4154">
        <v>1</v>
      </c>
      <c r="M4154">
        <v>10</v>
      </c>
      <c r="N4154">
        <v>17</v>
      </c>
      <c r="O4154">
        <f t="shared" si="134"/>
        <v>2025</v>
      </c>
      <c r="P4154">
        <f t="shared" si="135"/>
        <v>11</v>
      </c>
      <c r="Q4154" t="s">
        <v>784</v>
      </c>
      <c r="R4154" t="s">
        <v>805</v>
      </c>
    </row>
    <row r="4155" spans="1:18" x14ac:dyDescent="0.3">
      <c r="A4155" t="s">
        <v>627</v>
      </c>
      <c r="B4155" s="16">
        <v>45972</v>
      </c>
      <c r="C4155" t="s">
        <v>3</v>
      </c>
      <c r="D4155" t="s">
        <v>130</v>
      </c>
      <c r="E4155">
        <v>148</v>
      </c>
      <c r="F4155">
        <v>59</v>
      </c>
      <c r="G4155">
        <v>15</v>
      </c>
      <c r="H4155">
        <v>0</v>
      </c>
      <c r="I4155">
        <v>55320.01</v>
      </c>
      <c r="J4155">
        <v>13</v>
      </c>
      <c r="K4155">
        <v>50330.01</v>
      </c>
      <c r="L4155">
        <v>12</v>
      </c>
      <c r="M4155">
        <v>87</v>
      </c>
      <c r="N4155">
        <v>112</v>
      </c>
      <c r="O4155">
        <f t="shared" si="134"/>
        <v>2025</v>
      </c>
      <c r="P4155">
        <f t="shared" si="135"/>
        <v>11</v>
      </c>
      <c r="Q4155" t="s">
        <v>784</v>
      </c>
      <c r="R4155" t="s">
        <v>805</v>
      </c>
    </row>
    <row r="4156" spans="1:18" x14ac:dyDescent="0.3">
      <c r="A4156" t="s">
        <v>627</v>
      </c>
      <c r="B4156" s="16">
        <v>45972</v>
      </c>
      <c r="C4156" t="s">
        <v>3</v>
      </c>
      <c r="D4156" t="s">
        <v>128</v>
      </c>
      <c r="E4156">
        <v>2762</v>
      </c>
      <c r="F4156">
        <v>2265</v>
      </c>
      <c r="G4156">
        <v>83</v>
      </c>
      <c r="H4156">
        <v>16</v>
      </c>
      <c r="I4156">
        <v>154796.18</v>
      </c>
      <c r="J4156">
        <v>29</v>
      </c>
      <c r="K4156">
        <v>85336.18</v>
      </c>
      <c r="L4156">
        <v>21</v>
      </c>
      <c r="M4156">
        <v>401</v>
      </c>
      <c r="N4156">
        <v>2668</v>
      </c>
      <c r="O4156">
        <f t="shared" si="134"/>
        <v>2025</v>
      </c>
      <c r="P4156">
        <f t="shared" si="135"/>
        <v>11</v>
      </c>
      <c r="Q4156" t="s">
        <v>784</v>
      </c>
      <c r="R4156" t="s">
        <v>805</v>
      </c>
    </row>
    <row r="4157" spans="1:18" x14ac:dyDescent="0.3">
      <c r="A4157" t="s">
        <v>627</v>
      </c>
      <c r="B4157" s="16">
        <v>45972</v>
      </c>
      <c r="C4157" t="s">
        <v>3</v>
      </c>
      <c r="D4157" t="s">
        <v>127</v>
      </c>
      <c r="E4157">
        <v>9242</v>
      </c>
      <c r="F4157">
        <v>4528</v>
      </c>
      <c r="G4157">
        <v>135</v>
      </c>
      <c r="H4157">
        <v>54</v>
      </c>
      <c r="I4157">
        <v>138780.01</v>
      </c>
      <c r="J4157">
        <v>29</v>
      </c>
      <c r="K4157">
        <v>119870.01</v>
      </c>
      <c r="L4157">
        <v>27</v>
      </c>
      <c r="M4157">
        <v>531</v>
      </c>
      <c r="N4157">
        <v>9117</v>
      </c>
      <c r="O4157">
        <f t="shared" si="134"/>
        <v>2025</v>
      </c>
      <c r="P4157">
        <f t="shared" si="135"/>
        <v>11</v>
      </c>
      <c r="Q4157" t="s">
        <v>784</v>
      </c>
      <c r="R4157" t="s">
        <v>805</v>
      </c>
    </row>
    <row r="4158" spans="1:18" x14ac:dyDescent="0.3">
      <c r="A4158" t="s">
        <v>627</v>
      </c>
      <c r="B4158" s="16">
        <v>45972</v>
      </c>
      <c r="C4158" t="s">
        <v>3</v>
      </c>
      <c r="D4158" t="s">
        <v>126</v>
      </c>
      <c r="E4158">
        <v>190</v>
      </c>
      <c r="F4158">
        <v>116</v>
      </c>
      <c r="G4158">
        <v>7</v>
      </c>
      <c r="H4158">
        <v>1</v>
      </c>
      <c r="I4158">
        <v>6270</v>
      </c>
      <c r="J4158">
        <v>1</v>
      </c>
      <c r="K4158">
        <v>6270</v>
      </c>
      <c r="L4158">
        <v>1</v>
      </c>
      <c r="M4158">
        <v>22</v>
      </c>
      <c r="N4158">
        <v>187</v>
      </c>
      <c r="O4158">
        <f t="shared" si="134"/>
        <v>2025</v>
      </c>
      <c r="P4158">
        <f t="shared" si="135"/>
        <v>11</v>
      </c>
      <c r="Q4158" t="s">
        <v>784</v>
      </c>
      <c r="R4158" t="s">
        <v>805</v>
      </c>
    </row>
    <row r="4159" spans="1:18" x14ac:dyDescent="0.3">
      <c r="A4159" t="s">
        <v>627</v>
      </c>
      <c r="B4159" s="16">
        <v>45972</v>
      </c>
      <c r="C4159" t="s">
        <v>3</v>
      </c>
      <c r="D4159" t="s">
        <v>123</v>
      </c>
      <c r="E4159">
        <v>74</v>
      </c>
      <c r="F4159">
        <v>44</v>
      </c>
      <c r="G4159">
        <v>1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64</v>
      </c>
      <c r="N4159">
        <v>31</v>
      </c>
      <c r="O4159">
        <f t="shared" si="134"/>
        <v>2025</v>
      </c>
      <c r="P4159">
        <f t="shared" si="135"/>
        <v>11</v>
      </c>
      <c r="Q4159" t="s">
        <v>784</v>
      </c>
      <c r="R4159" t="s">
        <v>805</v>
      </c>
    </row>
    <row r="4160" spans="1:18" x14ac:dyDescent="0.3">
      <c r="A4160" t="s">
        <v>627</v>
      </c>
      <c r="B4160" s="16">
        <v>45972</v>
      </c>
      <c r="C4160" t="s">
        <v>3</v>
      </c>
      <c r="D4160" t="s">
        <v>121</v>
      </c>
      <c r="E4160">
        <v>5</v>
      </c>
      <c r="F4160">
        <v>5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4</v>
      </c>
      <c r="N4160">
        <v>1</v>
      </c>
      <c r="O4160">
        <f t="shared" si="134"/>
        <v>2025</v>
      </c>
      <c r="P4160">
        <f t="shared" si="135"/>
        <v>11</v>
      </c>
      <c r="Q4160" t="s">
        <v>784</v>
      </c>
      <c r="R4160" t="s">
        <v>805</v>
      </c>
    </row>
    <row r="4161" spans="1:18" x14ac:dyDescent="0.3">
      <c r="A4161" t="s">
        <v>627</v>
      </c>
      <c r="B4161" s="16">
        <v>45972</v>
      </c>
      <c r="C4161" t="s">
        <v>3</v>
      </c>
      <c r="D4161" t="s">
        <v>119</v>
      </c>
      <c r="E4161">
        <v>399</v>
      </c>
      <c r="F4161">
        <v>96</v>
      </c>
      <c r="G4161">
        <v>35</v>
      </c>
      <c r="H4161">
        <v>9</v>
      </c>
      <c r="I4161">
        <v>130848.18</v>
      </c>
      <c r="J4161">
        <v>20</v>
      </c>
      <c r="K4161">
        <v>65426.18</v>
      </c>
      <c r="L4161">
        <v>13</v>
      </c>
      <c r="M4161">
        <v>81</v>
      </c>
      <c r="N4161">
        <v>387</v>
      </c>
      <c r="O4161">
        <f t="shared" si="134"/>
        <v>2025</v>
      </c>
      <c r="P4161">
        <f t="shared" si="135"/>
        <v>11</v>
      </c>
      <c r="Q4161" t="s">
        <v>784</v>
      </c>
      <c r="R4161" t="s">
        <v>805</v>
      </c>
    </row>
    <row r="4162" spans="1:18" x14ac:dyDescent="0.3">
      <c r="A4162" t="s">
        <v>627</v>
      </c>
      <c r="B4162" s="16">
        <v>45972</v>
      </c>
      <c r="C4162" t="s">
        <v>3</v>
      </c>
      <c r="D4162" t="s">
        <v>252</v>
      </c>
      <c r="E4162">
        <v>3</v>
      </c>
      <c r="F4162">
        <v>2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3</v>
      </c>
      <c r="O4162">
        <f t="shared" si="134"/>
        <v>2025</v>
      </c>
      <c r="P4162">
        <f t="shared" si="135"/>
        <v>11</v>
      </c>
      <c r="Q4162" t="s">
        <v>784</v>
      </c>
      <c r="R4162" t="s">
        <v>805</v>
      </c>
    </row>
    <row r="4163" spans="1:18" x14ac:dyDescent="0.3">
      <c r="A4163" t="s">
        <v>627</v>
      </c>
      <c r="B4163" s="16">
        <v>45972</v>
      </c>
      <c r="C4163" t="s">
        <v>3</v>
      </c>
      <c r="D4163" t="s">
        <v>391</v>
      </c>
      <c r="E4163">
        <v>849</v>
      </c>
      <c r="F4163">
        <v>437</v>
      </c>
      <c r="G4163">
        <v>24</v>
      </c>
      <c r="H4163">
        <v>7</v>
      </c>
      <c r="I4163">
        <v>79809.98</v>
      </c>
      <c r="J4163">
        <v>16</v>
      </c>
      <c r="K4163">
        <v>61114.99</v>
      </c>
      <c r="L4163">
        <v>15</v>
      </c>
      <c r="M4163">
        <v>124</v>
      </c>
      <c r="N4163">
        <v>830</v>
      </c>
      <c r="O4163">
        <f t="shared" si="134"/>
        <v>2025</v>
      </c>
      <c r="P4163">
        <f t="shared" si="135"/>
        <v>11</v>
      </c>
      <c r="Q4163" t="s">
        <v>784</v>
      </c>
      <c r="R4163" t="s">
        <v>805</v>
      </c>
    </row>
    <row r="4164" spans="1:18" x14ac:dyDescent="0.3">
      <c r="A4164" t="s">
        <v>627</v>
      </c>
      <c r="B4164" s="16">
        <v>45972</v>
      </c>
      <c r="C4164" t="s">
        <v>3</v>
      </c>
      <c r="D4164" t="s">
        <v>114</v>
      </c>
      <c r="E4164">
        <v>249</v>
      </c>
      <c r="F4164">
        <v>120</v>
      </c>
      <c r="G4164">
        <v>2</v>
      </c>
      <c r="H4164">
        <v>4</v>
      </c>
      <c r="I4164">
        <v>28220</v>
      </c>
      <c r="J4164">
        <v>2</v>
      </c>
      <c r="K4164">
        <v>19870</v>
      </c>
      <c r="L4164">
        <v>1</v>
      </c>
      <c r="M4164">
        <v>23</v>
      </c>
      <c r="N4164">
        <v>248</v>
      </c>
      <c r="O4164">
        <f t="shared" si="134"/>
        <v>2025</v>
      </c>
      <c r="P4164">
        <f t="shared" si="135"/>
        <v>11</v>
      </c>
      <c r="Q4164" t="s">
        <v>784</v>
      </c>
      <c r="R4164" t="s">
        <v>805</v>
      </c>
    </row>
    <row r="4165" spans="1:18" x14ac:dyDescent="0.3">
      <c r="A4165" t="s">
        <v>627</v>
      </c>
      <c r="B4165" s="16">
        <v>45972</v>
      </c>
      <c r="C4165" t="s">
        <v>3</v>
      </c>
      <c r="D4165" t="s">
        <v>113</v>
      </c>
      <c r="E4165">
        <v>165</v>
      </c>
      <c r="F4165">
        <v>74</v>
      </c>
      <c r="G4165">
        <v>5</v>
      </c>
      <c r="H4165">
        <v>1</v>
      </c>
      <c r="I4165">
        <v>2875</v>
      </c>
      <c r="J4165">
        <v>1</v>
      </c>
      <c r="K4165">
        <v>2875</v>
      </c>
      <c r="L4165">
        <v>1</v>
      </c>
      <c r="M4165">
        <v>129</v>
      </c>
      <c r="N4165">
        <v>103</v>
      </c>
      <c r="O4165">
        <f t="shared" si="134"/>
        <v>2025</v>
      </c>
      <c r="P4165">
        <f t="shared" si="135"/>
        <v>11</v>
      </c>
      <c r="Q4165" t="s">
        <v>784</v>
      </c>
      <c r="R4165" t="s">
        <v>805</v>
      </c>
    </row>
    <row r="4166" spans="1:18" x14ac:dyDescent="0.3">
      <c r="A4166" t="s">
        <v>627</v>
      </c>
      <c r="B4166" s="16">
        <v>45972</v>
      </c>
      <c r="C4166" t="s">
        <v>3</v>
      </c>
      <c r="D4166" t="s">
        <v>112</v>
      </c>
      <c r="E4166">
        <v>64</v>
      </c>
      <c r="F4166">
        <v>20</v>
      </c>
      <c r="G4166">
        <v>2</v>
      </c>
      <c r="H4166">
        <v>0</v>
      </c>
      <c r="I4166">
        <v>17830</v>
      </c>
      <c r="J4166">
        <v>6</v>
      </c>
      <c r="K4166">
        <v>17830</v>
      </c>
      <c r="L4166">
        <v>6</v>
      </c>
      <c r="M4166">
        <v>0</v>
      </c>
      <c r="N4166">
        <v>64</v>
      </c>
      <c r="O4166">
        <f t="shared" si="134"/>
        <v>2025</v>
      </c>
      <c r="P4166">
        <f t="shared" si="135"/>
        <v>11</v>
      </c>
      <c r="Q4166" t="s">
        <v>784</v>
      </c>
      <c r="R4166" t="s">
        <v>805</v>
      </c>
    </row>
    <row r="4167" spans="1:18" x14ac:dyDescent="0.3">
      <c r="A4167" t="s">
        <v>627</v>
      </c>
      <c r="B4167" s="16">
        <v>45972</v>
      </c>
      <c r="C4167" t="s">
        <v>3</v>
      </c>
      <c r="D4167" t="s">
        <v>111</v>
      </c>
      <c r="E4167">
        <v>3</v>
      </c>
      <c r="F4167">
        <v>0</v>
      </c>
      <c r="G4167">
        <v>0</v>
      </c>
      <c r="H4167">
        <v>0</v>
      </c>
      <c r="I4167">
        <v>2450</v>
      </c>
      <c r="J4167">
        <v>1</v>
      </c>
      <c r="K4167">
        <v>2450</v>
      </c>
      <c r="L4167">
        <v>1</v>
      </c>
      <c r="M4167">
        <v>0</v>
      </c>
      <c r="N4167">
        <v>3</v>
      </c>
      <c r="O4167">
        <f t="shared" si="134"/>
        <v>2025</v>
      </c>
      <c r="P4167">
        <f t="shared" si="135"/>
        <v>11</v>
      </c>
      <c r="Q4167" t="s">
        <v>784</v>
      </c>
      <c r="R4167" t="s">
        <v>805</v>
      </c>
    </row>
    <row r="4168" spans="1:18" x14ac:dyDescent="0.3">
      <c r="A4168" t="s">
        <v>627</v>
      </c>
      <c r="B4168" s="16">
        <v>45971</v>
      </c>
      <c r="C4168" t="s">
        <v>2</v>
      </c>
      <c r="D4168" t="s">
        <v>4</v>
      </c>
      <c r="E4168">
        <v>501</v>
      </c>
      <c r="F4168">
        <v>212</v>
      </c>
      <c r="G4168">
        <v>3</v>
      </c>
      <c r="H4168">
        <v>4</v>
      </c>
      <c r="I4168">
        <v>5980</v>
      </c>
      <c r="J4168">
        <v>2</v>
      </c>
      <c r="K4168">
        <v>3990</v>
      </c>
      <c r="L4168">
        <v>1</v>
      </c>
      <c r="M4168">
        <v>4</v>
      </c>
      <c r="N4168">
        <v>495</v>
      </c>
      <c r="O4168">
        <f t="shared" si="134"/>
        <v>2025</v>
      </c>
      <c r="P4168">
        <f t="shared" si="135"/>
        <v>11</v>
      </c>
      <c r="Q4168" t="s">
        <v>784</v>
      </c>
      <c r="R4168" t="s">
        <v>805</v>
      </c>
    </row>
    <row r="4169" spans="1:18" x14ac:dyDescent="0.3">
      <c r="A4169" t="s">
        <v>627</v>
      </c>
      <c r="B4169" s="16">
        <v>45971</v>
      </c>
      <c r="C4169" t="s">
        <v>2</v>
      </c>
      <c r="D4169" t="s">
        <v>57</v>
      </c>
      <c r="E4169">
        <v>31836</v>
      </c>
      <c r="F4169">
        <v>16825</v>
      </c>
      <c r="G4169">
        <v>177</v>
      </c>
      <c r="H4169">
        <v>164</v>
      </c>
      <c r="I4169">
        <v>129382</v>
      </c>
      <c r="J4169">
        <v>24</v>
      </c>
      <c r="K4169">
        <v>67522</v>
      </c>
      <c r="L4169">
        <v>19</v>
      </c>
      <c r="M4169">
        <v>1739</v>
      </c>
      <c r="N4169">
        <v>31343</v>
      </c>
      <c r="O4169">
        <f t="shared" ref="O4169:O4232" si="136">YEAR(B4169)</f>
        <v>2025</v>
      </c>
      <c r="P4169">
        <f t="shared" ref="P4169:P4232" si="137">MONTH(B4169)</f>
        <v>11</v>
      </c>
      <c r="Q4169" t="s">
        <v>784</v>
      </c>
      <c r="R4169" t="s">
        <v>805</v>
      </c>
    </row>
    <row r="4170" spans="1:18" x14ac:dyDescent="0.3">
      <c r="A4170" t="s">
        <v>627</v>
      </c>
      <c r="B4170" s="16">
        <v>45971</v>
      </c>
      <c r="C4170" t="s">
        <v>2</v>
      </c>
      <c r="D4170" t="s">
        <v>55</v>
      </c>
      <c r="E4170">
        <v>866</v>
      </c>
      <c r="F4170">
        <v>491</v>
      </c>
      <c r="G4170">
        <v>11</v>
      </c>
      <c r="H4170">
        <v>2</v>
      </c>
      <c r="I4170">
        <v>0</v>
      </c>
      <c r="J4170">
        <v>0</v>
      </c>
      <c r="K4170">
        <v>0</v>
      </c>
      <c r="L4170">
        <v>0</v>
      </c>
      <c r="M4170">
        <v>40</v>
      </c>
      <c r="N4170">
        <v>441</v>
      </c>
      <c r="O4170">
        <f t="shared" si="136"/>
        <v>2025</v>
      </c>
      <c r="P4170">
        <f t="shared" si="137"/>
        <v>11</v>
      </c>
      <c r="Q4170" t="s">
        <v>784</v>
      </c>
      <c r="R4170" t="s">
        <v>805</v>
      </c>
    </row>
    <row r="4171" spans="1:18" x14ac:dyDescent="0.3">
      <c r="A4171" t="s">
        <v>627</v>
      </c>
      <c r="B4171" s="16">
        <v>45971</v>
      </c>
      <c r="C4171" t="s">
        <v>3</v>
      </c>
      <c r="D4171" t="s">
        <v>157</v>
      </c>
      <c r="E4171">
        <v>1</v>
      </c>
      <c r="F4171">
        <v>1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f t="shared" si="136"/>
        <v>2025</v>
      </c>
      <c r="P4171">
        <f t="shared" si="137"/>
        <v>11</v>
      </c>
      <c r="Q4171" t="s">
        <v>784</v>
      </c>
      <c r="R4171" t="s">
        <v>805</v>
      </c>
    </row>
    <row r="4172" spans="1:18" x14ac:dyDescent="0.3">
      <c r="A4172" t="s">
        <v>627</v>
      </c>
      <c r="B4172" s="16">
        <v>45971</v>
      </c>
      <c r="C4172" t="s">
        <v>3</v>
      </c>
      <c r="D4172" t="s">
        <v>155</v>
      </c>
      <c r="E4172">
        <v>50</v>
      </c>
      <c r="F4172">
        <v>16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1</v>
      </c>
      <c r="N4172">
        <v>50</v>
      </c>
      <c r="O4172">
        <f t="shared" si="136"/>
        <v>2025</v>
      </c>
      <c r="P4172">
        <f t="shared" si="137"/>
        <v>11</v>
      </c>
      <c r="Q4172" t="s">
        <v>784</v>
      </c>
      <c r="R4172" t="s">
        <v>805</v>
      </c>
    </row>
    <row r="4173" spans="1:18" x14ac:dyDescent="0.3">
      <c r="A4173" t="s">
        <v>627</v>
      </c>
      <c r="B4173" s="16">
        <v>45971</v>
      </c>
      <c r="C4173" t="s">
        <v>3</v>
      </c>
      <c r="D4173" t="s">
        <v>154</v>
      </c>
      <c r="E4173">
        <v>82</v>
      </c>
      <c r="F4173">
        <v>61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f t="shared" si="136"/>
        <v>2025</v>
      </c>
      <c r="P4173">
        <f t="shared" si="137"/>
        <v>11</v>
      </c>
      <c r="Q4173" t="s">
        <v>784</v>
      </c>
      <c r="R4173" t="s">
        <v>805</v>
      </c>
    </row>
    <row r="4174" spans="1:18" x14ac:dyDescent="0.3">
      <c r="A4174" t="s">
        <v>627</v>
      </c>
      <c r="B4174" s="16">
        <v>45971</v>
      </c>
      <c r="C4174" t="s">
        <v>3</v>
      </c>
      <c r="D4174" t="s">
        <v>153</v>
      </c>
      <c r="E4174">
        <v>524</v>
      </c>
      <c r="F4174">
        <v>112</v>
      </c>
      <c r="G4174">
        <v>44</v>
      </c>
      <c r="H4174">
        <v>5</v>
      </c>
      <c r="I4174">
        <v>227350</v>
      </c>
      <c r="J4174">
        <v>46</v>
      </c>
      <c r="K4174">
        <v>191540</v>
      </c>
      <c r="L4174">
        <v>41</v>
      </c>
      <c r="M4174">
        <v>143</v>
      </c>
      <c r="N4174">
        <v>504</v>
      </c>
      <c r="O4174">
        <f t="shared" si="136"/>
        <v>2025</v>
      </c>
      <c r="P4174">
        <f t="shared" si="137"/>
        <v>11</v>
      </c>
      <c r="Q4174" t="s">
        <v>784</v>
      </c>
      <c r="R4174" t="s">
        <v>805</v>
      </c>
    </row>
    <row r="4175" spans="1:18" x14ac:dyDescent="0.3">
      <c r="A4175" t="s">
        <v>627</v>
      </c>
      <c r="B4175" s="16">
        <v>45971</v>
      </c>
      <c r="C4175" t="s">
        <v>3</v>
      </c>
      <c r="D4175" t="s">
        <v>152</v>
      </c>
      <c r="E4175">
        <v>15</v>
      </c>
      <c r="F4175">
        <v>8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14</v>
      </c>
      <c r="O4175">
        <f t="shared" si="136"/>
        <v>2025</v>
      </c>
      <c r="P4175">
        <f t="shared" si="137"/>
        <v>11</v>
      </c>
      <c r="Q4175" t="s">
        <v>784</v>
      </c>
      <c r="R4175" t="s">
        <v>805</v>
      </c>
    </row>
    <row r="4176" spans="1:18" x14ac:dyDescent="0.3">
      <c r="A4176" t="s">
        <v>627</v>
      </c>
      <c r="B4176" s="16">
        <v>45971</v>
      </c>
      <c r="C4176" t="s">
        <v>3</v>
      </c>
      <c r="D4176" t="s">
        <v>149</v>
      </c>
      <c r="E4176">
        <v>9</v>
      </c>
      <c r="F4176">
        <v>5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1</v>
      </c>
      <c r="N4176">
        <v>4</v>
      </c>
      <c r="O4176">
        <f t="shared" si="136"/>
        <v>2025</v>
      </c>
      <c r="P4176">
        <f t="shared" si="137"/>
        <v>11</v>
      </c>
      <c r="Q4176" t="s">
        <v>784</v>
      </c>
      <c r="R4176" t="s">
        <v>805</v>
      </c>
    </row>
    <row r="4177" spans="1:18" x14ac:dyDescent="0.3">
      <c r="A4177" t="s">
        <v>627</v>
      </c>
      <c r="B4177" s="16">
        <v>45971</v>
      </c>
      <c r="C4177" t="s">
        <v>3</v>
      </c>
      <c r="D4177" t="s">
        <v>148</v>
      </c>
      <c r="E4177">
        <v>1</v>
      </c>
      <c r="F4177">
        <v>1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1</v>
      </c>
      <c r="N4177">
        <v>0</v>
      </c>
      <c r="O4177">
        <f t="shared" si="136"/>
        <v>2025</v>
      </c>
      <c r="P4177">
        <f t="shared" si="137"/>
        <v>11</v>
      </c>
      <c r="Q4177" t="s">
        <v>784</v>
      </c>
      <c r="R4177" t="s">
        <v>805</v>
      </c>
    </row>
    <row r="4178" spans="1:18" x14ac:dyDescent="0.3">
      <c r="A4178" t="s">
        <v>627</v>
      </c>
      <c r="B4178" s="16">
        <v>45971</v>
      </c>
      <c r="C4178" t="s">
        <v>3</v>
      </c>
      <c r="D4178" t="s">
        <v>367</v>
      </c>
      <c r="E4178">
        <v>151</v>
      </c>
      <c r="F4178">
        <v>91</v>
      </c>
      <c r="G4178">
        <v>7</v>
      </c>
      <c r="H4178">
        <v>4</v>
      </c>
      <c r="I4178">
        <v>1990</v>
      </c>
      <c r="J4178">
        <v>1</v>
      </c>
      <c r="K4178">
        <v>0</v>
      </c>
      <c r="L4178">
        <v>0</v>
      </c>
      <c r="M4178">
        <v>0</v>
      </c>
      <c r="N4178">
        <v>151</v>
      </c>
      <c r="O4178">
        <f t="shared" si="136"/>
        <v>2025</v>
      </c>
      <c r="P4178">
        <f t="shared" si="137"/>
        <v>11</v>
      </c>
      <c r="Q4178" t="s">
        <v>784</v>
      </c>
      <c r="R4178" t="s">
        <v>805</v>
      </c>
    </row>
    <row r="4179" spans="1:18" x14ac:dyDescent="0.3">
      <c r="A4179" t="s">
        <v>627</v>
      </c>
      <c r="B4179" s="16">
        <v>45971</v>
      </c>
      <c r="C4179" t="s">
        <v>3</v>
      </c>
      <c r="D4179" t="s">
        <v>146</v>
      </c>
      <c r="E4179">
        <v>2</v>
      </c>
      <c r="F4179">
        <v>1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2</v>
      </c>
      <c r="O4179">
        <f t="shared" si="136"/>
        <v>2025</v>
      </c>
      <c r="P4179">
        <f t="shared" si="137"/>
        <v>11</v>
      </c>
      <c r="Q4179" t="s">
        <v>784</v>
      </c>
      <c r="R4179" t="s">
        <v>805</v>
      </c>
    </row>
    <row r="4180" spans="1:18" x14ac:dyDescent="0.3">
      <c r="A4180" t="s">
        <v>627</v>
      </c>
      <c r="B4180" s="16">
        <v>45971</v>
      </c>
      <c r="C4180" t="s">
        <v>3</v>
      </c>
      <c r="D4180" t="s">
        <v>251</v>
      </c>
      <c r="E4180">
        <v>971</v>
      </c>
      <c r="F4180">
        <v>604</v>
      </c>
      <c r="G4180">
        <v>20</v>
      </c>
      <c r="H4180">
        <v>3</v>
      </c>
      <c r="I4180">
        <v>53265</v>
      </c>
      <c r="J4180">
        <v>10</v>
      </c>
      <c r="K4180">
        <v>41285</v>
      </c>
      <c r="L4180">
        <v>8</v>
      </c>
      <c r="M4180">
        <v>118</v>
      </c>
      <c r="N4180">
        <v>699</v>
      </c>
      <c r="O4180">
        <f t="shared" si="136"/>
        <v>2025</v>
      </c>
      <c r="P4180">
        <f t="shared" si="137"/>
        <v>11</v>
      </c>
      <c r="Q4180" t="s">
        <v>784</v>
      </c>
      <c r="R4180" t="s">
        <v>805</v>
      </c>
    </row>
    <row r="4181" spans="1:18" x14ac:dyDescent="0.3">
      <c r="A4181" t="s">
        <v>627</v>
      </c>
      <c r="B4181" s="16">
        <v>45971</v>
      </c>
      <c r="C4181" t="s">
        <v>3</v>
      </c>
      <c r="D4181" t="s">
        <v>143</v>
      </c>
      <c r="E4181">
        <v>2</v>
      </c>
      <c r="F4181">
        <v>1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2</v>
      </c>
      <c r="O4181">
        <f t="shared" si="136"/>
        <v>2025</v>
      </c>
      <c r="P4181">
        <f t="shared" si="137"/>
        <v>11</v>
      </c>
      <c r="Q4181" t="s">
        <v>784</v>
      </c>
      <c r="R4181" t="s">
        <v>805</v>
      </c>
    </row>
    <row r="4182" spans="1:18" x14ac:dyDescent="0.3">
      <c r="A4182" t="s">
        <v>627</v>
      </c>
      <c r="B4182" s="16">
        <v>45971</v>
      </c>
      <c r="C4182" t="s">
        <v>3</v>
      </c>
      <c r="D4182" t="s">
        <v>141</v>
      </c>
      <c r="E4182">
        <v>414</v>
      </c>
      <c r="F4182">
        <v>252</v>
      </c>
      <c r="G4182">
        <v>6</v>
      </c>
      <c r="H4182">
        <v>21</v>
      </c>
      <c r="I4182">
        <v>0</v>
      </c>
      <c r="J4182">
        <v>0</v>
      </c>
      <c r="K4182">
        <v>0</v>
      </c>
      <c r="L4182">
        <v>0</v>
      </c>
      <c r="M4182">
        <v>1</v>
      </c>
      <c r="N4182">
        <v>413</v>
      </c>
      <c r="O4182">
        <f t="shared" si="136"/>
        <v>2025</v>
      </c>
      <c r="P4182">
        <f t="shared" si="137"/>
        <v>11</v>
      </c>
      <c r="Q4182" t="s">
        <v>784</v>
      </c>
      <c r="R4182" t="s">
        <v>805</v>
      </c>
    </row>
    <row r="4183" spans="1:18" x14ac:dyDescent="0.3">
      <c r="A4183" t="s">
        <v>627</v>
      </c>
      <c r="B4183" s="16">
        <v>45971</v>
      </c>
      <c r="C4183" t="s">
        <v>3</v>
      </c>
      <c r="D4183" t="s">
        <v>140</v>
      </c>
      <c r="E4183">
        <v>136</v>
      </c>
      <c r="F4183">
        <v>133</v>
      </c>
      <c r="G4183">
        <v>1</v>
      </c>
      <c r="H4183">
        <v>53</v>
      </c>
      <c r="I4183">
        <v>0</v>
      </c>
      <c r="J4183">
        <v>0</v>
      </c>
      <c r="K4183">
        <v>0</v>
      </c>
      <c r="L4183">
        <v>0</v>
      </c>
      <c r="M4183">
        <v>1</v>
      </c>
      <c r="N4183">
        <v>136</v>
      </c>
      <c r="O4183">
        <f t="shared" si="136"/>
        <v>2025</v>
      </c>
      <c r="P4183">
        <f t="shared" si="137"/>
        <v>11</v>
      </c>
      <c r="Q4183" t="s">
        <v>784</v>
      </c>
      <c r="R4183" t="s">
        <v>805</v>
      </c>
    </row>
    <row r="4184" spans="1:18" x14ac:dyDescent="0.3">
      <c r="A4184" t="s">
        <v>627</v>
      </c>
      <c r="B4184" s="16">
        <v>45971</v>
      </c>
      <c r="C4184" t="s">
        <v>3</v>
      </c>
      <c r="D4184" t="s">
        <v>139</v>
      </c>
      <c r="E4184">
        <v>3404</v>
      </c>
      <c r="F4184">
        <v>2385</v>
      </c>
      <c r="G4184">
        <v>55</v>
      </c>
      <c r="H4184">
        <v>14</v>
      </c>
      <c r="I4184">
        <v>68250</v>
      </c>
      <c r="J4184">
        <v>18</v>
      </c>
      <c r="K4184">
        <v>59265</v>
      </c>
      <c r="L4184">
        <v>17</v>
      </c>
      <c r="M4184">
        <v>438</v>
      </c>
      <c r="N4184">
        <v>2977</v>
      </c>
      <c r="O4184">
        <f t="shared" si="136"/>
        <v>2025</v>
      </c>
      <c r="P4184">
        <f t="shared" si="137"/>
        <v>11</v>
      </c>
      <c r="Q4184" t="s">
        <v>784</v>
      </c>
      <c r="R4184" t="s">
        <v>805</v>
      </c>
    </row>
    <row r="4185" spans="1:18" x14ac:dyDescent="0.3">
      <c r="A4185" t="s">
        <v>627</v>
      </c>
      <c r="B4185" s="16">
        <v>45971</v>
      </c>
      <c r="C4185" t="s">
        <v>3</v>
      </c>
      <c r="D4185" t="s">
        <v>138</v>
      </c>
      <c r="E4185">
        <v>38</v>
      </c>
      <c r="F4185">
        <v>22</v>
      </c>
      <c r="G4185">
        <v>0</v>
      </c>
      <c r="H4185">
        <v>0</v>
      </c>
      <c r="I4185">
        <v>990</v>
      </c>
      <c r="J4185">
        <v>1</v>
      </c>
      <c r="K4185">
        <v>990</v>
      </c>
      <c r="L4185">
        <v>1</v>
      </c>
      <c r="M4185">
        <v>7</v>
      </c>
      <c r="N4185">
        <v>38</v>
      </c>
      <c r="O4185">
        <f t="shared" si="136"/>
        <v>2025</v>
      </c>
      <c r="P4185">
        <f t="shared" si="137"/>
        <v>11</v>
      </c>
      <c r="Q4185" t="s">
        <v>784</v>
      </c>
      <c r="R4185" t="s">
        <v>805</v>
      </c>
    </row>
    <row r="4186" spans="1:18" x14ac:dyDescent="0.3">
      <c r="A4186" t="s">
        <v>627</v>
      </c>
      <c r="B4186" s="16">
        <v>45971</v>
      </c>
      <c r="C4186" t="s">
        <v>3</v>
      </c>
      <c r="D4186" t="s">
        <v>133</v>
      </c>
      <c r="E4186">
        <v>25</v>
      </c>
      <c r="F4186">
        <v>16</v>
      </c>
      <c r="G4186">
        <v>2</v>
      </c>
      <c r="H4186">
        <v>0</v>
      </c>
      <c r="I4186">
        <v>25100</v>
      </c>
      <c r="J4186">
        <v>2</v>
      </c>
      <c r="K4186">
        <v>21300</v>
      </c>
      <c r="L4186">
        <v>2</v>
      </c>
      <c r="M4186">
        <v>6</v>
      </c>
      <c r="N4186">
        <v>23</v>
      </c>
      <c r="O4186">
        <f t="shared" si="136"/>
        <v>2025</v>
      </c>
      <c r="P4186">
        <f t="shared" si="137"/>
        <v>11</v>
      </c>
      <c r="Q4186" t="s">
        <v>784</v>
      </c>
      <c r="R4186" t="s">
        <v>805</v>
      </c>
    </row>
    <row r="4187" spans="1:18" x14ac:dyDescent="0.3">
      <c r="A4187" t="s">
        <v>627</v>
      </c>
      <c r="B4187" s="16">
        <v>45971</v>
      </c>
      <c r="C4187" t="s">
        <v>3</v>
      </c>
      <c r="D4187" t="s">
        <v>130</v>
      </c>
      <c r="E4187">
        <v>120</v>
      </c>
      <c r="F4187">
        <v>58</v>
      </c>
      <c r="G4187">
        <v>5</v>
      </c>
      <c r="H4187">
        <v>5</v>
      </c>
      <c r="I4187">
        <v>46050</v>
      </c>
      <c r="J4187">
        <v>7</v>
      </c>
      <c r="K4187">
        <v>32065</v>
      </c>
      <c r="L4187">
        <v>6</v>
      </c>
      <c r="M4187">
        <v>60</v>
      </c>
      <c r="N4187">
        <v>94</v>
      </c>
      <c r="O4187">
        <f t="shared" si="136"/>
        <v>2025</v>
      </c>
      <c r="P4187">
        <f t="shared" si="137"/>
        <v>11</v>
      </c>
      <c r="Q4187" t="s">
        <v>784</v>
      </c>
      <c r="R4187" t="s">
        <v>805</v>
      </c>
    </row>
    <row r="4188" spans="1:18" x14ac:dyDescent="0.3">
      <c r="A4188" t="s">
        <v>627</v>
      </c>
      <c r="B4188" s="16">
        <v>45971</v>
      </c>
      <c r="C4188" t="s">
        <v>3</v>
      </c>
      <c r="D4188" t="s">
        <v>128</v>
      </c>
      <c r="E4188">
        <v>3570</v>
      </c>
      <c r="F4188">
        <v>3039</v>
      </c>
      <c r="G4188">
        <v>77</v>
      </c>
      <c r="H4188">
        <v>24</v>
      </c>
      <c r="I4188">
        <v>128185</v>
      </c>
      <c r="J4188">
        <v>19</v>
      </c>
      <c r="K4188">
        <v>50775</v>
      </c>
      <c r="L4188">
        <v>12</v>
      </c>
      <c r="M4188">
        <v>463</v>
      </c>
      <c r="N4188">
        <v>3457</v>
      </c>
      <c r="O4188">
        <f t="shared" si="136"/>
        <v>2025</v>
      </c>
      <c r="P4188">
        <f t="shared" si="137"/>
        <v>11</v>
      </c>
      <c r="Q4188" t="s">
        <v>784</v>
      </c>
      <c r="R4188" t="s">
        <v>805</v>
      </c>
    </row>
    <row r="4189" spans="1:18" x14ac:dyDescent="0.3">
      <c r="A4189" t="s">
        <v>627</v>
      </c>
      <c r="B4189" s="16">
        <v>45971</v>
      </c>
      <c r="C4189" t="s">
        <v>3</v>
      </c>
      <c r="D4189" t="s">
        <v>127</v>
      </c>
      <c r="E4189">
        <v>9140</v>
      </c>
      <c r="F4189">
        <v>4770</v>
      </c>
      <c r="G4189">
        <v>134</v>
      </c>
      <c r="H4189">
        <v>55</v>
      </c>
      <c r="I4189">
        <v>103835</v>
      </c>
      <c r="J4189">
        <v>24</v>
      </c>
      <c r="K4189">
        <v>69300</v>
      </c>
      <c r="L4189">
        <v>17</v>
      </c>
      <c r="M4189">
        <v>492</v>
      </c>
      <c r="N4189">
        <v>9010</v>
      </c>
      <c r="O4189">
        <f t="shared" si="136"/>
        <v>2025</v>
      </c>
      <c r="P4189">
        <f t="shared" si="137"/>
        <v>11</v>
      </c>
      <c r="Q4189" t="s">
        <v>784</v>
      </c>
      <c r="R4189" t="s">
        <v>805</v>
      </c>
    </row>
    <row r="4190" spans="1:18" x14ac:dyDescent="0.3">
      <c r="A4190" t="s">
        <v>627</v>
      </c>
      <c r="B4190" s="16">
        <v>45971</v>
      </c>
      <c r="C4190" t="s">
        <v>3</v>
      </c>
      <c r="D4190" t="s">
        <v>126</v>
      </c>
      <c r="E4190">
        <v>231</v>
      </c>
      <c r="F4190">
        <v>122</v>
      </c>
      <c r="G4190">
        <v>14</v>
      </c>
      <c r="H4190">
        <v>4</v>
      </c>
      <c r="I4190">
        <v>52215</v>
      </c>
      <c r="J4190">
        <v>5</v>
      </c>
      <c r="K4190">
        <v>33740</v>
      </c>
      <c r="L4190">
        <v>3</v>
      </c>
      <c r="M4190">
        <v>22</v>
      </c>
      <c r="N4190">
        <v>230</v>
      </c>
      <c r="O4190">
        <f t="shared" si="136"/>
        <v>2025</v>
      </c>
      <c r="P4190">
        <f t="shared" si="137"/>
        <v>11</v>
      </c>
      <c r="Q4190" t="s">
        <v>784</v>
      </c>
      <c r="R4190" t="s">
        <v>805</v>
      </c>
    </row>
    <row r="4191" spans="1:18" x14ac:dyDescent="0.3">
      <c r="A4191" t="s">
        <v>627</v>
      </c>
      <c r="B4191" s="16">
        <v>45971</v>
      </c>
      <c r="C4191" t="s">
        <v>3</v>
      </c>
      <c r="D4191" t="s">
        <v>123</v>
      </c>
      <c r="E4191">
        <v>59</v>
      </c>
      <c r="F4191">
        <v>36</v>
      </c>
      <c r="G4191">
        <v>3</v>
      </c>
      <c r="H4191">
        <v>1</v>
      </c>
      <c r="I4191">
        <v>4695</v>
      </c>
      <c r="J4191">
        <v>1</v>
      </c>
      <c r="K4191">
        <v>4695</v>
      </c>
      <c r="L4191">
        <v>1</v>
      </c>
      <c r="M4191">
        <v>51</v>
      </c>
      <c r="N4191">
        <v>30</v>
      </c>
      <c r="O4191">
        <f t="shared" si="136"/>
        <v>2025</v>
      </c>
      <c r="P4191">
        <f t="shared" si="137"/>
        <v>11</v>
      </c>
      <c r="Q4191" t="s">
        <v>784</v>
      </c>
      <c r="R4191" t="s">
        <v>805</v>
      </c>
    </row>
    <row r="4192" spans="1:18" x14ac:dyDescent="0.3">
      <c r="A4192" t="s">
        <v>627</v>
      </c>
      <c r="B4192" s="16">
        <v>45971</v>
      </c>
      <c r="C4192" t="s">
        <v>3</v>
      </c>
      <c r="D4192" t="s">
        <v>121</v>
      </c>
      <c r="E4192">
        <v>4</v>
      </c>
      <c r="F4192">
        <v>4</v>
      </c>
      <c r="G4192">
        <v>0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1</v>
      </c>
      <c r="N4192">
        <v>3</v>
      </c>
      <c r="O4192">
        <f t="shared" si="136"/>
        <v>2025</v>
      </c>
      <c r="P4192">
        <f t="shared" si="137"/>
        <v>11</v>
      </c>
      <c r="Q4192" t="s">
        <v>784</v>
      </c>
      <c r="R4192" t="s">
        <v>805</v>
      </c>
    </row>
    <row r="4193" spans="1:18" x14ac:dyDescent="0.3">
      <c r="A4193" t="s">
        <v>627</v>
      </c>
      <c r="B4193" s="16">
        <v>45971</v>
      </c>
      <c r="C4193" t="s">
        <v>3</v>
      </c>
      <c r="D4193" t="s">
        <v>119</v>
      </c>
      <c r="E4193">
        <v>313</v>
      </c>
      <c r="F4193">
        <v>77</v>
      </c>
      <c r="G4193">
        <v>21</v>
      </c>
      <c r="H4193">
        <v>7</v>
      </c>
      <c r="I4193">
        <v>60125.25</v>
      </c>
      <c r="J4193">
        <v>12</v>
      </c>
      <c r="K4193">
        <v>30940</v>
      </c>
      <c r="L4193">
        <v>8</v>
      </c>
      <c r="M4193">
        <v>55</v>
      </c>
      <c r="N4193">
        <v>303</v>
      </c>
      <c r="O4193">
        <f t="shared" si="136"/>
        <v>2025</v>
      </c>
      <c r="P4193">
        <f t="shared" si="137"/>
        <v>11</v>
      </c>
      <c r="Q4193" t="s">
        <v>784</v>
      </c>
      <c r="R4193" t="s">
        <v>805</v>
      </c>
    </row>
    <row r="4194" spans="1:18" x14ac:dyDescent="0.3">
      <c r="A4194" t="s">
        <v>627</v>
      </c>
      <c r="B4194" s="16">
        <v>45971</v>
      </c>
      <c r="C4194" t="s">
        <v>3</v>
      </c>
      <c r="D4194" t="s">
        <v>252</v>
      </c>
      <c r="E4194">
        <v>6</v>
      </c>
      <c r="F4194">
        <v>5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6</v>
      </c>
      <c r="O4194">
        <f t="shared" si="136"/>
        <v>2025</v>
      </c>
      <c r="P4194">
        <f t="shared" si="137"/>
        <v>11</v>
      </c>
      <c r="Q4194" t="s">
        <v>784</v>
      </c>
      <c r="R4194" t="s">
        <v>805</v>
      </c>
    </row>
    <row r="4195" spans="1:18" x14ac:dyDescent="0.3">
      <c r="A4195" t="s">
        <v>627</v>
      </c>
      <c r="B4195" s="16">
        <v>45971</v>
      </c>
      <c r="C4195" t="s">
        <v>3</v>
      </c>
      <c r="D4195" t="s">
        <v>117</v>
      </c>
      <c r="E4195">
        <v>5</v>
      </c>
      <c r="F4195">
        <v>2</v>
      </c>
      <c r="G4195">
        <v>0</v>
      </c>
      <c r="H4195">
        <v>0</v>
      </c>
      <c r="I4195">
        <v>3980</v>
      </c>
      <c r="J4195">
        <v>2</v>
      </c>
      <c r="K4195">
        <v>0</v>
      </c>
      <c r="L4195">
        <v>0</v>
      </c>
      <c r="M4195">
        <v>2</v>
      </c>
      <c r="N4195">
        <v>5</v>
      </c>
      <c r="O4195">
        <f t="shared" si="136"/>
        <v>2025</v>
      </c>
      <c r="P4195">
        <f t="shared" si="137"/>
        <v>11</v>
      </c>
      <c r="Q4195" t="s">
        <v>784</v>
      </c>
      <c r="R4195" t="s">
        <v>805</v>
      </c>
    </row>
    <row r="4196" spans="1:18" x14ac:dyDescent="0.3">
      <c r="A4196" t="s">
        <v>627</v>
      </c>
      <c r="B4196" s="16">
        <v>45971</v>
      </c>
      <c r="C4196" t="s">
        <v>3</v>
      </c>
      <c r="D4196" t="s">
        <v>391</v>
      </c>
      <c r="E4196">
        <v>800</v>
      </c>
      <c r="F4196">
        <v>426</v>
      </c>
      <c r="G4196">
        <v>21</v>
      </c>
      <c r="H4196">
        <v>2</v>
      </c>
      <c r="I4196">
        <v>24643.51</v>
      </c>
      <c r="J4196">
        <v>5</v>
      </c>
      <c r="K4196">
        <v>14373.51</v>
      </c>
      <c r="L4196">
        <v>3</v>
      </c>
      <c r="M4196">
        <v>107</v>
      </c>
      <c r="N4196">
        <v>790</v>
      </c>
      <c r="O4196">
        <f t="shared" si="136"/>
        <v>2025</v>
      </c>
      <c r="P4196">
        <f t="shared" si="137"/>
        <v>11</v>
      </c>
      <c r="Q4196" t="s">
        <v>784</v>
      </c>
      <c r="R4196" t="s">
        <v>805</v>
      </c>
    </row>
    <row r="4197" spans="1:18" x14ac:dyDescent="0.3">
      <c r="A4197" t="s">
        <v>627</v>
      </c>
      <c r="B4197" s="16">
        <v>45971</v>
      </c>
      <c r="C4197" t="s">
        <v>3</v>
      </c>
      <c r="D4197" t="s">
        <v>114</v>
      </c>
      <c r="E4197">
        <v>182</v>
      </c>
      <c r="F4197">
        <v>95</v>
      </c>
      <c r="G4197">
        <v>2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12</v>
      </c>
      <c r="N4197">
        <v>182</v>
      </c>
      <c r="O4197">
        <f t="shared" si="136"/>
        <v>2025</v>
      </c>
      <c r="P4197">
        <f t="shared" si="137"/>
        <v>11</v>
      </c>
      <c r="Q4197" t="s">
        <v>784</v>
      </c>
      <c r="R4197" t="s">
        <v>805</v>
      </c>
    </row>
    <row r="4198" spans="1:18" x14ac:dyDescent="0.3">
      <c r="A4198" t="s">
        <v>627</v>
      </c>
      <c r="B4198" s="16">
        <v>45971</v>
      </c>
      <c r="C4198" t="s">
        <v>3</v>
      </c>
      <c r="D4198" t="s">
        <v>113</v>
      </c>
      <c r="E4198">
        <v>142</v>
      </c>
      <c r="F4198">
        <v>61</v>
      </c>
      <c r="G4198">
        <v>4</v>
      </c>
      <c r="H4198">
        <v>1</v>
      </c>
      <c r="I4198">
        <v>0</v>
      </c>
      <c r="J4198">
        <v>0</v>
      </c>
      <c r="K4198">
        <v>0</v>
      </c>
      <c r="L4198">
        <v>0</v>
      </c>
      <c r="M4198">
        <v>117</v>
      </c>
      <c r="N4198">
        <v>83</v>
      </c>
      <c r="O4198">
        <f t="shared" si="136"/>
        <v>2025</v>
      </c>
      <c r="P4198">
        <f t="shared" si="137"/>
        <v>11</v>
      </c>
      <c r="Q4198" t="s">
        <v>784</v>
      </c>
      <c r="R4198" t="s">
        <v>805</v>
      </c>
    </row>
    <row r="4199" spans="1:18" x14ac:dyDescent="0.3">
      <c r="A4199" t="s">
        <v>627</v>
      </c>
      <c r="B4199" s="16">
        <v>45971</v>
      </c>
      <c r="C4199" t="s">
        <v>3</v>
      </c>
      <c r="D4199" t="s">
        <v>112</v>
      </c>
      <c r="E4199">
        <v>49</v>
      </c>
      <c r="F4199">
        <v>11</v>
      </c>
      <c r="G4199">
        <v>1</v>
      </c>
      <c r="H4199">
        <v>0</v>
      </c>
      <c r="I4199">
        <v>24810</v>
      </c>
      <c r="J4199">
        <v>6</v>
      </c>
      <c r="K4199">
        <v>24810</v>
      </c>
      <c r="L4199">
        <v>6</v>
      </c>
      <c r="M4199">
        <v>2</v>
      </c>
      <c r="N4199">
        <v>49</v>
      </c>
      <c r="O4199">
        <f t="shared" si="136"/>
        <v>2025</v>
      </c>
      <c r="P4199">
        <f t="shared" si="137"/>
        <v>11</v>
      </c>
      <c r="Q4199" t="s">
        <v>784</v>
      </c>
      <c r="R4199" t="s">
        <v>805</v>
      </c>
    </row>
    <row r="4200" spans="1:18" x14ac:dyDescent="0.3">
      <c r="A4200" t="s">
        <v>627</v>
      </c>
      <c r="B4200" s="16">
        <v>45971</v>
      </c>
      <c r="C4200" t="s">
        <v>3</v>
      </c>
      <c r="D4200" t="s">
        <v>111</v>
      </c>
      <c r="E4200">
        <v>4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4</v>
      </c>
      <c r="O4200">
        <f t="shared" si="136"/>
        <v>2025</v>
      </c>
      <c r="P4200">
        <f t="shared" si="137"/>
        <v>11</v>
      </c>
      <c r="Q4200" t="s">
        <v>784</v>
      </c>
      <c r="R4200" t="s">
        <v>805</v>
      </c>
    </row>
    <row r="4201" spans="1:18" x14ac:dyDescent="0.3">
      <c r="A4201" t="s">
        <v>627</v>
      </c>
      <c r="B4201" s="16">
        <v>45970</v>
      </c>
      <c r="C4201" t="s">
        <v>2</v>
      </c>
      <c r="D4201" t="s">
        <v>4</v>
      </c>
      <c r="E4201">
        <v>453</v>
      </c>
      <c r="F4201">
        <v>147</v>
      </c>
      <c r="G4201">
        <v>5</v>
      </c>
      <c r="H4201">
        <v>4</v>
      </c>
      <c r="I4201">
        <v>0</v>
      </c>
      <c r="J4201">
        <v>0</v>
      </c>
      <c r="K4201">
        <v>0</v>
      </c>
      <c r="L4201">
        <v>0</v>
      </c>
      <c r="M4201">
        <v>13</v>
      </c>
      <c r="N4201">
        <v>448</v>
      </c>
      <c r="O4201">
        <f t="shared" si="136"/>
        <v>2025</v>
      </c>
      <c r="P4201">
        <f t="shared" si="137"/>
        <v>11</v>
      </c>
      <c r="Q4201" t="s">
        <v>784</v>
      </c>
      <c r="R4201" t="s">
        <v>805</v>
      </c>
    </row>
    <row r="4202" spans="1:18" x14ac:dyDescent="0.3">
      <c r="A4202" t="s">
        <v>627</v>
      </c>
      <c r="B4202" s="16">
        <v>45970</v>
      </c>
      <c r="C4202" t="s">
        <v>2</v>
      </c>
      <c r="D4202" t="s">
        <v>57</v>
      </c>
      <c r="E4202">
        <v>30758</v>
      </c>
      <c r="F4202">
        <v>16388</v>
      </c>
      <c r="G4202">
        <v>194</v>
      </c>
      <c r="H4202">
        <v>151</v>
      </c>
      <c r="I4202">
        <v>126458</v>
      </c>
      <c r="J4202">
        <v>25</v>
      </c>
      <c r="K4202">
        <v>79188</v>
      </c>
      <c r="L4202">
        <v>22</v>
      </c>
      <c r="M4202">
        <v>1974</v>
      </c>
      <c r="N4202">
        <v>30263</v>
      </c>
      <c r="O4202">
        <f t="shared" si="136"/>
        <v>2025</v>
      </c>
      <c r="P4202">
        <f t="shared" si="137"/>
        <v>11</v>
      </c>
      <c r="Q4202" t="s">
        <v>784</v>
      </c>
      <c r="R4202" t="s">
        <v>805</v>
      </c>
    </row>
    <row r="4203" spans="1:18" x14ac:dyDescent="0.3">
      <c r="A4203" t="s">
        <v>627</v>
      </c>
      <c r="B4203" s="16">
        <v>45970</v>
      </c>
      <c r="C4203" t="s">
        <v>2</v>
      </c>
      <c r="D4203" t="s">
        <v>52</v>
      </c>
      <c r="E4203">
        <v>1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1</v>
      </c>
      <c r="O4203">
        <f t="shared" si="136"/>
        <v>2025</v>
      </c>
      <c r="P4203">
        <f t="shared" si="137"/>
        <v>11</v>
      </c>
      <c r="Q4203" t="s">
        <v>784</v>
      </c>
      <c r="R4203" t="s">
        <v>805</v>
      </c>
    </row>
    <row r="4204" spans="1:18" x14ac:dyDescent="0.3">
      <c r="A4204" t="s">
        <v>627</v>
      </c>
      <c r="B4204" s="16">
        <v>45970</v>
      </c>
      <c r="C4204" t="s">
        <v>2</v>
      </c>
      <c r="D4204" t="s">
        <v>55</v>
      </c>
      <c r="E4204">
        <v>1247</v>
      </c>
      <c r="F4204">
        <v>997</v>
      </c>
      <c r="G4204">
        <v>10</v>
      </c>
      <c r="H4204">
        <v>2</v>
      </c>
      <c r="I4204">
        <v>0</v>
      </c>
      <c r="J4204">
        <v>0</v>
      </c>
      <c r="K4204">
        <v>0</v>
      </c>
      <c r="L4204">
        <v>0</v>
      </c>
      <c r="M4204">
        <v>45</v>
      </c>
      <c r="N4204">
        <v>317</v>
      </c>
      <c r="O4204">
        <f t="shared" si="136"/>
        <v>2025</v>
      </c>
      <c r="P4204">
        <f t="shared" si="137"/>
        <v>11</v>
      </c>
      <c r="Q4204" t="s">
        <v>784</v>
      </c>
      <c r="R4204" t="s">
        <v>805</v>
      </c>
    </row>
    <row r="4205" spans="1:18" x14ac:dyDescent="0.3">
      <c r="A4205" t="s">
        <v>627</v>
      </c>
      <c r="B4205" s="16">
        <v>45970</v>
      </c>
      <c r="C4205" t="s">
        <v>3</v>
      </c>
      <c r="D4205" t="s">
        <v>155</v>
      </c>
      <c r="E4205">
        <v>73</v>
      </c>
      <c r="F4205">
        <v>27</v>
      </c>
      <c r="G4205">
        <v>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4</v>
      </c>
      <c r="N4205">
        <v>73</v>
      </c>
      <c r="O4205">
        <f t="shared" si="136"/>
        <v>2025</v>
      </c>
      <c r="P4205">
        <f t="shared" si="137"/>
        <v>11</v>
      </c>
      <c r="Q4205" t="s">
        <v>784</v>
      </c>
      <c r="R4205" t="s">
        <v>805</v>
      </c>
    </row>
    <row r="4206" spans="1:18" x14ac:dyDescent="0.3">
      <c r="A4206" t="s">
        <v>627</v>
      </c>
      <c r="B4206" s="16">
        <v>45970</v>
      </c>
      <c r="C4206" t="s">
        <v>3</v>
      </c>
      <c r="D4206" t="s">
        <v>154</v>
      </c>
      <c r="E4206">
        <v>138</v>
      </c>
      <c r="F4206">
        <v>109</v>
      </c>
      <c r="G4206">
        <v>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1</v>
      </c>
      <c r="O4206">
        <f t="shared" si="136"/>
        <v>2025</v>
      </c>
      <c r="P4206">
        <f t="shared" si="137"/>
        <v>11</v>
      </c>
      <c r="Q4206" t="s">
        <v>784</v>
      </c>
      <c r="R4206" t="s">
        <v>805</v>
      </c>
    </row>
    <row r="4207" spans="1:18" x14ac:dyDescent="0.3">
      <c r="A4207" t="s">
        <v>627</v>
      </c>
      <c r="B4207" s="16">
        <v>45970</v>
      </c>
      <c r="C4207" t="s">
        <v>3</v>
      </c>
      <c r="D4207" t="s">
        <v>153</v>
      </c>
      <c r="E4207">
        <v>457</v>
      </c>
      <c r="F4207">
        <v>86</v>
      </c>
      <c r="G4207">
        <v>37</v>
      </c>
      <c r="H4207">
        <v>5</v>
      </c>
      <c r="I4207">
        <v>217335</v>
      </c>
      <c r="J4207">
        <v>36</v>
      </c>
      <c r="K4207">
        <v>166690</v>
      </c>
      <c r="L4207">
        <v>31</v>
      </c>
      <c r="M4207">
        <v>120</v>
      </c>
      <c r="N4207">
        <v>440</v>
      </c>
      <c r="O4207">
        <f t="shared" si="136"/>
        <v>2025</v>
      </c>
      <c r="P4207">
        <f t="shared" si="137"/>
        <v>11</v>
      </c>
      <c r="Q4207" t="s">
        <v>784</v>
      </c>
      <c r="R4207" t="s">
        <v>805</v>
      </c>
    </row>
    <row r="4208" spans="1:18" x14ac:dyDescent="0.3">
      <c r="A4208" t="s">
        <v>627</v>
      </c>
      <c r="B4208" s="16">
        <v>45970</v>
      </c>
      <c r="C4208" t="s">
        <v>3</v>
      </c>
      <c r="D4208" t="s">
        <v>152</v>
      </c>
      <c r="E4208">
        <v>11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11</v>
      </c>
      <c r="O4208">
        <f t="shared" si="136"/>
        <v>2025</v>
      </c>
      <c r="P4208">
        <f t="shared" si="137"/>
        <v>11</v>
      </c>
      <c r="Q4208" t="s">
        <v>784</v>
      </c>
      <c r="R4208" t="s">
        <v>805</v>
      </c>
    </row>
    <row r="4209" spans="1:18" x14ac:dyDescent="0.3">
      <c r="A4209" t="s">
        <v>627</v>
      </c>
      <c r="B4209" s="16">
        <v>45970</v>
      </c>
      <c r="C4209" t="s">
        <v>3</v>
      </c>
      <c r="D4209" t="s">
        <v>149</v>
      </c>
      <c r="E4209">
        <v>4</v>
      </c>
      <c r="F4209">
        <v>2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1</v>
      </c>
      <c r="O4209">
        <f t="shared" si="136"/>
        <v>2025</v>
      </c>
      <c r="P4209">
        <f t="shared" si="137"/>
        <v>11</v>
      </c>
      <c r="Q4209" t="s">
        <v>784</v>
      </c>
      <c r="R4209" t="s">
        <v>805</v>
      </c>
    </row>
    <row r="4210" spans="1:18" x14ac:dyDescent="0.3">
      <c r="A4210" t="s">
        <v>627</v>
      </c>
      <c r="B4210" s="16">
        <v>45970</v>
      </c>
      <c r="C4210" t="s">
        <v>3</v>
      </c>
      <c r="D4210" t="s">
        <v>148</v>
      </c>
      <c r="E4210">
        <v>1</v>
      </c>
      <c r="F4210">
        <v>1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1</v>
      </c>
      <c r="O4210">
        <f t="shared" si="136"/>
        <v>2025</v>
      </c>
      <c r="P4210">
        <f t="shared" si="137"/>
        <v>11</v>
      </c>
      <c r="Q4210" t="s">
        <v>784</v>
      </c>
      <c r="R4210" t="s">
        <v>805</v>
      </c>
    </row>
    <row r="4211" spans="1:18" x14ac:dyDescent="0.3">
      <c r="A4211" t="s">
        <v>627</v>
      </c>
      <c r="B4211" s="16">
        <v>45970</v>
      </c>
      <c r="C4211" t="s">
        <v>3</v>
      </c>
      <c r="D4211" t="s">
        <v>367</v>
      </c>
      <c r="E4211">
        <v>272</v>
      </c>
      <c r="F4211">
        <v>178</v>
      </c>
      <c r="G4211">
        <v>11</v>
      </c>
      <c r="H4211">
        <v>2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272</v>
      </c>
      <c r="O4211">
        <f t="shared" si="136"/>
        <v>2025</v>
      </c>
      <c r="P4211">
        <f t="shared" si="137"/>
        <v>11</v>
      </c>
      <c r="Q4211" t="s">
        <v>784</v>
      </c>
      <c r="R4211" t="s">
        <v>805</v>
      </c>
    </row>
    <row r="4212" spans="1:18" x14ac:dyDescent="0.3">
      <c r="A4212" t="s">
        <v>627</v>
      </c>
      <c r="B4212" s="16">
        <v>45970</v>
      </c>
      <c r="C4212" t="s">
        <v>3</v>
      </c>
      <c r="D4212" t="s">
        <v>146</v>
      </c>
      <c r="E4212">
        <v>1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1</v>
      </c>
      <c r="O4212">
        <f t="shared" si="136"/>
        <v>2025</v>
      </c>
      <c r="P4212">
        <f t="shared" si="137"/>
        <v>11</v>
      </c>
      <c r="Q4212" t="s">
        <v>784</v>
      </c>
      <c r="R4212" t="s">
        <v>805</v>
      </c>
    </row>
    <row r="4213" spans="1:18" x14ac:dyDescent="0.3">
      <c r="A4213" t="s">
        <v>627</v>
      </c>
      <c r="B4213" s="16">
        <v>45970</v>
      </c>
      <c r="C4213" t="s">
        <v>3</v>
      </c>
      <c r="D4213" t="s">
        <v>251</v>
      </c>
      <c r="E4213">
        <v>2311</v>
      </c>
      <c r="F4213">
        <v>1885</v>
      </c>
      <c r="G4213">
        <v>18</v>
      </c>
      <c r="H4213">
        <v>0</v>
      </c>
      <c r="I4213">
        <v>49235</v>
      </c>
      <c r="J4213">
        <v>10</v>
      </c>
      <c r="K4213">
        <v>49235</v>
      </c>
      <c r="L4213">
        <v>10</v>
      </c>
      <c r="M4213">
        <v>112</v>
      </c>
      <c r="N4213">
        <v>556</v>
      </c>
      <c r="O4213">
        <f t="shared" si="136"/>
        <v>2025</v>
      </c>
      <c r="P4213">
        <f t="shared" si="137"/>
        <v>11</v>
      </c>
      <c r="Q4213" t="s">
        <v>784</v>
      </c>
      <c r="R4213" t="s">
        <v>805</v>
      </c>
    </row>
    <row r="4214" spans="1:18" x14ac:dyDescent="0.3">
      <c r="A4214" t="s">
        <v>627</v>
      </c>
      <c r="B4214" s="16">
        <v>45970</v>
      </c>
      <c r="C4214" t="s">
        <v>3</v>
      </c>
      <c r="D4214" t="s">
        <v>143</v>
      </c>
      <c r="E4214">
        <v>1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1</v>
      </c>
      <c r="O4214">
        <f t="shared" si="136"/>
        <v>2025</v>
      </c>
      <c r="P4214">
        <f t="shared" si="137"/>
        <v>11</v>
      </c>
      <c r="Q4214" t="s">
        <v>784</v>
      </c>
      <c r="R4214" t="s">
        <v>805</v>
      </c>
    </row>
    <row r="4215" spans="1:18" x14ac:dyDescent="0.3">
      <c r="A4215" t="s">
        <v>627</v>
      </c>
      <c r="B4215" s="16">
        <v>45970</v>
      </c>
      <c r="C4215" t="s">
        <v>3</v>
      </c>
      <c r="D4215" t="s">
        <v>141</v>
      </c>
      <c r="E4215">
        <v>234</v>
      </c>
      <c r="F4215">
        <v>67</v>
      </c>
      <c r="G4215">
        <v>1</v>
      </c>
      <c r="H4215">
        <v>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234</v>
      </c>
      <c r="O4215">
        <f t="shared" si="136"/>
        <v>2025</v>
      </c>
      <c r="P4215">
        <f t="shared" si="137"/>
        <v>11</v>
      </c>
      <c r="Q4215" t="s">
        <v>784</v>
      </c>
      <c r="R4215" t="s">
        <v>805</v>
      </c>
    </row>
    <row r="4216" spans="1:18" x14ac:dyDescent="0.3">
      <c r="A4216" t="s">
        <v>627</v>
      </c>
      <c r="B4216" s="16">
        <v>45970</v>
      </c>
      <c r="C4216" t="s">
        <v>3</v>
      </c>
      <c r="D4216" t="s">
        <v>140</v>
      </c>
      <c r="E4216">
        <v>11</v>
      </c>
      <c r="F4216">
        <v>8</v>
      </c>
      <c r="G4216">
        <v>2</v>
      </c>
      <c r="H4216">
        <v>0</v>
      </c>
      <c r="I4216">
        <v>3800</v>
      </c>
      <c r="J4216">
        <v>1</v>
      </c>
      <c r="K4216">
        <v>3800</v>
      </c>
      <c r="L4216">
        <v>1</v>
      </c>
      <c r="M4216">
        <v>0</v>
      </c>
      <c r="N4216">
        <v>11</v>
      </c>
      <c r="O4216">
        <f t="shared" si="136"/>
        <v>2025</v>
      </c>
      <c r="P4216">
        <f t="shared" si="137"/>
        <v>11</v>
      </c>
      <c r="Q4216" t="s">
        <v>784</v>
      </c>
      <c r="R4216" t="s">
        <v>805</v>
      </c>
    </row>
    <row r="4217" spans="1:18" x14ac:dyDescent="0.3">
      <c r="A4217" t="s">
        <v>627</v>
      </c>
      <c r="B4217" s="16">
        <v>45970</v>
      </c>
      <c r="C4217" t="s">
        <v>3</v>
      </c>
      <c r="D4217" t="s">
        <v>139</v>
      </c>
      <c r="E4217">
        <v>1530</v>
      </c>
      <c r="F4217">
        <v>669</v>
      </c>
      <c r="G4217">
        <v>47</v>
      </c>
      <c r="H4217">
        <v>17</v>
      </c>
      <c r="I4217">
        <v>85713.46</v>
      </c>
      <c r="J4217">
        <v>20</v>
      </c>
      <c r="K4217">
        <v>76688.460000000006</v>
      </c>
      <c r="L4217">
        <v>19</v>
      </c>
      <c r="M4217">
        <v>404</v>
      </c>
      <c r="N4217">
        <v>1273</v>
      </c>
      <c r="O4217">
        <f t="shared" si="136"/>
        <v>2025</v>
      </c>
      <c r="P4217">
        <f t="shared" si="137"/>
        <v>11</v>
      </c>
      <c r="Q4217" t="s">
        <v>784</v>
      </c>
      <c r="R4217" t="s">
        <v>805</v>
      </c>
    </row>
    <row r="4218" spans="1:18" x14ac:dyDescent="0.3">
      <c r="A4218" t="s">
        <v>627</v>
      </c>
      <c r="B4218" s="16">
        <v>45970</v>
      </c>
      <c r="C4218" t="s">
        <v>3</v>
      </c>
      <c r="D4218" t="s">
        <v>138</v>
      </c>
      <c r="E4218">
        <v>49</v>
      </c>
      <c r="F4218">
        <v>28</v>
      </c>
      <c r="G4218">
        <v>3</v>
      </c>
      <c r="H4218">
        <v>2</v>
      </c>
      <c r="I4218">
        <v>9260.5</v>
      </c>
      <c r="J4218">
        <v>3</v>
      </c>
      <c r="K4218">
        <v>8850</v>
      </c>
      <c r="L4218">
        <v>2</v>
      </c>
      <c r="M4218">
        <v>4</v>
      </c>
      <c r="N4218">
        <v>49</v>
      </c>
      <c r="O4218">
        <f t="shared" si="136"/>
        <v>2025</v>
      </c>
      <c r="P4218">
        <f t="shared" si="137"/>
        <v>11</v>
      </c>
      <c r="Q4218" t="s">
        <v>784</v>
      </c>
      <c r="R4218" t="s">
        <v>805</v>
      </c>
    </row>
    <row r="4219" spans="1:18" x14ac:dyDescent="0.3">
      <c r="A4219" t="s">
        <v>627</v>
      </c>
      <c r="B4219" s="16">
        <v>45970</v>
      </c>
      <c r="C4219" t="s">
        <v>3</v>
      </c>
      <c r="D4219" t="s">
        <v>133</v>
      </c>
      <c r="E4219">
        <v>20</v>
      </c>
      <c r="F4219">
        <v>12</v>
      </c>
      <c r="G4219">
        <v>1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3</v>
      </c>
      <c r="N4219">
        <v>19</v>
      </c>
      <c r="O4219">
        <f t="shared" si="136"/>
        <v>2025</v>
      </c>
      <c r="P4219">
        <f t="shared" si="137"/>
        <v>11</v>
      </c>
      <c r="Q4219" t="s">
        <v>784</v>
      </c>
      <c r="R4219" t="s">
        <v>805</v>
      </c>
    </row>
    <row r="4220" spans="1:18" x14ac:dyDescent="0.3">
      <c r="A4220" t="s">
        <v>627</v>
      </c>
      <c r="B4220" s="16">
        <v>45970</v>
      </c>
      <c r="C4220" t="s">
        <v>3</v>
      </c>
      <c r="D4220" t="s">
        <v>130</v>
      </c>
      <c r="E4220">
        <v>142</v>
      </c>
      <c r="F4220">
        <v>46</v>
      </c>
      <c r="G4220">
        <v>10</v>
      </c>
      <c r="H4220">
        <v>2</v>
      </c>
      <c r="I4220">
        <v>36735</v>
      </c>
      <c r="J4220">
        <v>9</v>
      </c>
      <c r="K4220">
        <v>28575</v>
      </c>
      <c r="L4220">
        <v>9</v>
      </c>
      <c r="M4220">
        <v>64</v>
      </c>
      <c r="N4220">
        <v>111</v>
      </c>
      <c r="O4220">
        <f t="shared" si="136"/>
        <v>2025</v>
      </c>
      <c r="P4220">
        <f t="shared" si="137"/>
        <v>11</v>
      </c>
      <c r="Q4220" t="s">
        <v>784</v>
      </c>
      <c r="R4220" t="s">
        <v>805</v>
      </c>
    </row>
    <row r="4221" spans="1:18" x14ac:dyDescent="0.3">
      <c r="A4221" t="s">
        <v>627</v>
      </c>
      <c r="B4221" s="16">
        <v>45970</v>
      </c>
      <c r="C4221" t="s">
        <v>3</v>
      </c>
      <c r="D4221" t="s">
        <v>128</v>
      </c>
      <c r="E4221">
        <v>3201</v>
      </c>
      <c r="F4221">
        <v>2668</v>
      </c>
      <c r="G4221">
        <v>66</v>
      </c>
      <c r="H4221">
        <v>24</v>
      </c>
      <c r="I4221">
        <v>100255</v>
      </c>
      <c r="J4221">
        <v>19</v>
      </c>
      <c r="K4221">
        <v>39235</v>
      </c>
      <c r="L4221">
        <v>11</v>
      </c>
      <c r="M4221">
        <v>437</v>
      </c>
      <c r="N4221">
        <v>3069</v>
      </c>
      <c r="O4221">
        <f t="shared" si="136"/>
        <v>2025</v>
      </c>
      <c r="P4221">
        <f t="shared" si="137"/>
        <v>11</v>
      </c>
      <c r="Q4221" t="s">
        <v>784</v>
      </c>
      <c r="R4221" t="s">
        <v>805</v>
      </c>
    </row>
    <row r="4222" spans="1:18" x14ac:dyDescent="0.3">
      <c r="A4222" t="s">
        <v>627</v>
      </c>
      <c r="B4222" s="16">
        <v>45970</v>
      </c>
      <c r="C4222" t="s">
        <v>3</v>
      </c>
      <c r="D4222" t="s">
        <v>127</v>
      </c>
      <c r="E4222">
        <v>11880</v>
      </c>
      <c r="F4222">
        <v>7142</v>
      </c>
      <c r="G4222">
        <v>138</v>
      </c>
      <c r="H4222">
        <v>48</v>
      </c>
      <c r="I4222">
        <v>149480</v>
      </c>
      <c r="J4222">
        <v>24</v>
      </c>
      <c r="K4222">
        <v>114300</v>
      </c>
      <c r="L4222">
        <v>20</v>
      </c>
      <c r="M4222">
        <v>518</v>
      </c>
      <c r="N4222">
        <v>11737</v>
      </c>
      <c r="O4222">
        <f t="shared" si="136"/>
        <v>2025</v>
      </c>
      <c r="P4222">
        <f t="shared" si="137"/>
        <v>11</v>
      </c>
      <c r="Q4222" t="s">
        <v>784</v>
      </c>
      <c r="R4222" t="s">
        <v>805</v>
      </c>
    </row>
    <row r="4223" spans="1:18" x14ac:dyDescent="0.3">
      <c r="A4223" t="s">
        <v>627</v>
      </c>
      <c r="B4223" s="16">
        <v>45970</v>
      </c>
      <c r="C4223" t="s">
        <v>3</v>
      </c>
      <c r="D4223" t="s">
        <v>126</v>
      </c>
      <c r="E4223">
        <v>243</v>
      </c>
      <c r="F4223">
        <v>145</v>
      </c>
      <c r="G4223">
        <v>9</v>
      </c>
      <c r="H4223">
        <v>4</v>
      </c>
      <c r="I4223">
        <v>14180</v>
      </c>
      <c r="J4223">
        <v>3</v>
      </c>
      <c r="K4223">
        <v>11830</v>
      </c>
      <c r="L4223">
        <v>2</v>
      </c>
      <c r="M4223">
        <v>23</v>
      </c>
      <c r="N4223">
        <v>238</v>
      </c>
      <c r="O4223">
        <f t="shared" si="136"/>
        <v>2025</v>
      </c>
      <c r="P4223">
        <f t="shared" si="137"/>
        <v>11</v>
      </c>
      <c r="Q4223" t="s">
        <v>784</v>
      </c>
      <c r="R4223" t="s">
        <v>805</v>
      </c>
    </row>
    <row r="4224" spans="1:18" x14ac:dyDescent="0.3">
      <c r="A4224" t="s">
        <v>627</v>
      </c>
      <c r="B4224" s="16">
        <v>45970</v>
      </c>
      <c r="C4224" t="s">
        <v>3</v>
      </c>
      <c r="D4224" t="s">
        <v>123</v>
      </c>
      <c r="E4224">
        <v>57</v>
      </c>
      <c r="F4224">
        <v>35</v>
      </c>
      <c r="G4224">
        <v>2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46</v>
      </c>
      <c r="N4224">
        <v>26</v>
      </c>
      <c r="O4224">
        <f t="shared" si="136"/>
        <v>2025</v>
      </c>
      <c r="P4224">
        <f t="shared" si="137"/>
        <v>11</v>
      </c>
      <c r="Q4224" t="s">
        <v>784</v>
      </c>
      <c r="R4224" t="s">
        <v>805</v>
      </c>
    </row>
    <row r="4225" spans="1:18" x14ac:dyDescent="0.3">
      <c r="A4225" t="s">
        <v>627</v>
      </c>
      <c r="B4225" s="16">
        <v>45970</v>
      </c>
      <c r="C4225" t="s">
        <v>3</v>
      </c>
      <c r="D4225" t="s">
        <v>119</v>
      </c>
      <c r="E4225">
        <v>325</v>
      </c>
      <c r="F4225">
        <v>83</v>
      </c>
      <c r="G4225">
        <v>25</v>
      </c>
      <c r="H4225">
        <v>9</v>
      </c>
      <c r="I4225">
        <v>63310.25</v>
      </c>
      <c r="J4225">
        <v>16</v>
      </c>
      <c r="K4225">
        <v>54945</v>
      </c>
      <c r="L4225">
        <v>15</v>
      </c>
      <c r="M4225">
        <v>71</v>
      </c>
      <c r="N4225">
        <v>316</v>
      </c>
      <c r="O4225">
        <f t="shared" si="136"/>
        <v>2025</v>
      </c>
      <c r="P4225">
        <f t="shared" si="137"/>
        <v>11</v>
      </c>
      <c r="Q4225" t="s">
        <v>784</v>
      </c>
      <c r="R4225" t="s">
        <v>805</v>
      </c>
    </row>
    <row r="4226" spans="1:18" x14ac:dyDescent="0.3">
      <c r="A4226" t="s">
        <v>627</v>
      </c>
      <c r="B4226" s="16">
        <v>45970</v>
      </c>
      <c r="C4226" t="s">
        <v>3</v>
      </c>
      <c r="D4226" t="s">
        <v>252</v>
      </c>
      <c r="E4226">
        <v>4</v>
      </c>
      <c r="F4226">
        <v>4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4</v>
      </c>
      <c r="O4226">
        <f t="shared" si="136"/>
        <v>2025</v>
      </c>
      <c r="P4226">
        <f t="shared" si="137"/>
        <v>11</v>
      </c>
      <c r="Q4226" t="s">
        <v>784</v>
      </c>
      <c r="R4226" t="s">
        <v>805</v>
      </c>
    </row>
    <row r="4227" spans="1:18" x14ac:dyDescent="0.3">
      <c r="A4227" t="s">
        <v>627</v>
      </c>
      <c r="B4227" s="16">
        <v>45970</v>
      </c>
      <c r="C4227" t="s">
        <v>3</v>
      </c>
      <c r="D4227" t="s">
        <v>117</v>
      </c>
      <c r="E4227">
        <v>5</v>
      </c>
      <c r="F4227">
        <v>4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5</v>
      </c>
      <c r="O4227">
        <f t="shared" si="136"/>
        <v>2025</v>
      </c>
      <c r="P4227">
        <f t="shared" si="137"/>
        <v>11</v>
      </c>
      <c r="Q4227" t="s">
        <v>784</v>
      </c>
      <c r="R4227" t="s">
        <v>805</v>
      </c>
    </row>
    <row r="4228" spans="1:18" x14ac:dyDescent="0.3">
      <c r="A4228" t="s">
        <v>627</v>
      </c>
      <c r="B4228" s="16">
        <v>45970</v>
      </c>
      <c r="C4228" t="s">
        <v>3</v>
      </c>
      <c r="D4228" t="s">
        <v>391</v>
      </c>
      <c r="E4228">
        <v>734</v>
      </c>
      <c r="F4228">
        <v>358</v>
      </c>
      <c r="G4228">
        <v>24</v>
      </c>
      <c r="H4228">
        <v>4</v>
      </c>
      <c r="I4228">
        <v>24640</v>
      </c>
      <c r="J4228">
        <v>6</v>
      </c>
      <c r="K4228">
        <v>24640</v>
      </c>
      <c r="L4228">
        <v>6</v>
      </c>
      <c r="M4228">
        <v>116</v>
      </c>
      <c r="N4228">
        <v>717</v>
      </c>
      <c r="O4228">
        <f t="shared" si="136"/>
        <v>2025</v>
      </c>
      <c r="P4228">
        <f t="shared" si="137"/>
        <v>11</v>
      </c>
      <c r="Q4228" t="s">
        <v>784</v>
      </c>
      <c r="R4228" t="s">
        <v>805</v>
      </c>
    </row>
    <row r="4229" spans="1:18" x14ac:dyDescent="0.3">
      <c r="A4229" t="s">
        <v>627</v>
      </c>
      <c r="B4229" s="16">
        <v>45970</v>
      </c>
      <c r="C4229" t="s">
        <v>3</v>
      </c>
      <c r="D4229" t="s">
        <v>114</v>
      </c>
      <c r="E4229">
        <v>176</v>
      </c>
      <c r="F4229">
        <v>92</v>
      </c>
      <c r="G4229">
        <v>2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18</v>
      </c>
      <c r="N4229">
        <v>176</v>
      </c>
      <c r="O4229">
        <f t="shared" si="136"/>
        <v>2025</v>
      </c>
      <c r="P4229">
        <f t="shared" si="137"/>
        <v>11</v>
      </c>
      <c r="Q4229" t="s">
        <v>784</v>
      </c>
      <c r="R4229" t="s">
        <v>805</v>
      </c>
    </row>
    <row r="4230" spans="1:18" x14ac:dyDescent="0.3">
      <c r="A4230" t="s">
        <v>627</v>
      </c>
      <c r="B4230" s="16">
        <v>45970</v>
      </c>
      <c r="C4230" t="s">
        <v>3</v>
      </c>
      <c r="D4230" t="s">
        <v>113</v>
      </c>
      <c r="E4230">
        <v>143</v>
      </c>
      <c r="F4230">
        <v>69</v>
      </c>
      <c r="G4230">
        <v>5</v>
      </c>
      <c r="H4230">
        <v>0</v>
      </c>
      <c r="I4230">
        <v>2990</v>
      </c>
      <c r="J4230">
        <v>1</v>
      </c>
      <c r="K4230">
        <v>2990</v>
      </c>
      <c r="L4230">
        <v>1</v>
      </c>
      <c r="M4230">
        <v>111</v>
      </c>
      <c r="N4230">
        <v>90</v>
      </c>
      <c r="O4230">
        <f t="shared" si="136"/>
        <v>2025</v>
      </c>
      <c r="P4230">
        <f t="shared" si="137"/>
        <v>11</v>
      </c>
      <c r="Q4230" t="s">
        <v>784</v>
      </c>
      <c r="R4230" t="s">
        <v>805</v>
      </c>
    </row>
    <row r="4231" spans="1:18" x14ac:dyDescent="0.3">
      <c r="A4231" t="s">
        <v>627</v>
      </c>
      <c r="B4231" s="16">
        <v>45970</v>
      </c>
      <c r="C4231" t="s">
        <v>3</v>
      </c>
      <c r="D4231" t="s">
        <v>112</v>
      </c>
      <c r="E4231">
        <v>58</v>
      </c>
      <c r="F4231">
        <v>14</v>
      </c>
      <c r="G4231">
        <v>1</v>
      </c>
      <c r="H4231">
        <v>0</v>
      </c>
      <c r="I4231">
        <v>17790</v>
      </c>
      <c r="J4231">
        <v>5</v>
      </c>
      <c r="K4231">
        <v>17790</v>
      </c>
      <c r="L4231">
        <v>5</v>
      </c>
      <c r="M4231">
        <v>0</v>
      </c>
      <c r="N4231">
        <v>58</v>
      </c>
      <c r="O4231">
        <f t="shared" si="136"/>
        <v>2025</v>
      </c>
      <c r="P4231">
        <f t="shared" si="137"/>
        <v>11</v>
      </c>
      <c r="Q4231" t="s">
        <v>784</v>
      </c>
      <c r="R4231" t="s">
        <v>805</v>
      </c>
    </row>
    <row r="4232" spans="1:18" x14ac:dyDescent="0.3">
      <c r="A4232" t="s">
        <v>627</v>
      </c>
      <c r="B4232" s="16">
        <v>45969</v>
      </c>
      <c r="C4232" t="s">
        <v>2</v>
      </c>
      <c r="D4232" t="s">
        <v>4</v>
      </c>
      <c r="E4232">
        <v>454</v>
      </c>
      <c r="F4232">
        <v>139</v>
      </c>
      <c r="G4232">
        <v>4</v>
      </c>
      <c r="H4232">
        <v>1</v>
      </c>
      <c r="I4232">
        <v>16830</v>
      </c>
      <c r="J4232">
        <v>3</v>
      </c>
      <c r="K4232">
        <v>16830</v>
      </c>
      <c r="L4232">
        <v>3</v>
      </c>
      <c r="M4232">
        <v>3</v>
      </c>
      <c r="N4232">
        <v>452</v>
      </c>
      <c r="O4232">
        <f t="shared" si="136"/>
        <v>2025</v>
      </c>
      <c r="P4232">
        <f t="shared" si="137"/>
        <v>11</v>
      </c>
      <c r="Q4232" t="s">
        <v>784</v>
      </c>
      <c r="R4232" t="s">
        <v>805</v>
      </c>
    </row>
    <row r="4233" spans="1:18" x14ac:dyDescent="0.3">
      <c r="A4233" t="s">
        <v>627</v>
      </c>
      <c r="B4233" s="16">
        <v>45969</v>
      </c>
      <c r="C4233" t="s">
        <v>2</v>
      </c>
      <c r="D4233" t="s">
        <v>57</v>
      </c>
      <c r="E4233">
        <v>30933</v>
      </c>
      <c r="F4233">
        <v>16652</v>
      </c>
      <c r="G4233">
        <v>196</v>
      </c>
      <c r="H4233">
        <v>156</v>
      </c>
      <c r="I4233">
        <v>170335</v>
      </c>
      <c r="J4233">
        <v>30</v>
      </c>
      <c r="K4233">
        <v>104110</v>
      </c>
      <c r="L4233">
        <v>24</v>
      </c>
      <c r="M4233">
        <v>1697</v>
      </c>
      <c r="N4233">
        <v>30423</v>
      </c>
      <c r="O4233">
        <f t="shared" ref="O4233:O4296" si="138">YEAR(B4233)</f>
        <v>2025</v>
      </c>
      <c r="P4233">
        <f t="shared" ref="P4233:P4296" si="139">MONTH(B4233)</f>
        <v>11</v>
      </c>
      <c r="Q4233" t="s">
        <v>784</v>
      </c>
      <c r="R4233" t="s">
        <v>805</v>
      </c>
    </row>
    <row r="4234" spans="1:18" x14ac:dyDescent="0.3">
      <c r="A4234" t="s">
        <v>627</v>
      </c>
      <c r="B4234" s="16">
        <v>45969</v>
      </c>
      <c r="C4234" t="s">
        <v>2</v>
      </c>
      <c r="D4234" t="s">
        <v>52</v>
      </c>
      <c r="E4234">
        <v>1</v>
      </c>
      <c r="F4234">
        <v>1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1</v>
      </c>
      <c r="O4234">
        <f t="shared" si="138"/>
        <v>2025</v>
      </c>
      <c r="P4234">
        <f t="shared" si="139"/>
        <v>11</v>
      </c>
      <c r="Q4234" t="s">
        <v>784</v>
      </c>
      <c r="R4234" t="s">
        <v>805</v>
      </c>
    </row>
    <row r="4235" spans="1:18" x14ac:dyDescent="0.3">
      <c r="A4235" t="s">
        <v>627</v>
      </c>
      <c r="B4235" s="16">
        <v>45969</v>
      </c>
      <c r="C4235" t="s">
        <v>2</v>
      </c>
      <c r="D4235" t="s">
        <v>55</v>
      </c>
      <c r="E4235">
        <v>40</v>
      </c>
      <c r="F4235">
        <v>17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33</v>
      </c>
      <c r="O4235">
        <f t="shared" si="138"/>
        <v>2025</v>
      </c>
      <c r="P4235">
        <f t="shared" si="139"/>
        <v>11</v>
      </c>
      <c r="Q4235" t="s">
        <v>784</v>
      </c>
      <c r="R4235" t="s">
        <v>805</v>
      </c>
    </row>
    <row r="4236" spans="1:18" x14ac:dyDescent="0.3">
      <c r="A4236" t="s">
        <v>627</v>
      </c>
      <c r="B4236" s="16">
        <v>45969</v>
      </c>
      <c r="C4236" t="s">
        <v>3</v>
      </c>
      <c r="D4236" t="s">
        <v>155</v>
      </c>
      <c r="E4236">
        <v>81</v>
      </c>
      <c r="F4236">
        <v>33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2</v>
      </c>
      <c r="N4236">
        <v>81</v>
      </c>
      <c r="O4236">
        <f t="shared" si="138"/>
        <v>2025</v>
      </c>
      <c r="P4236">
        <f t="shared" si="139"/>
        <v>11</v>
      </c>
      <c r="Q4236" t="s">
        <v>784</v>
      </c>
      <c r="R4236" t="s">
        <v>805</v>
      </c>
    </row>
    <row r="4237" spans="1:18" x14ac:dyDescent="0.3">
      <c r="A4237" t="s">
        <v>627</v>
      </c>
      <c r="B4237" s="16">
        <v>45969</v>
      </c>
      <c r="C4237" t="s">
        <v>3</v>
      </c>
      <c r="D4237" t="s">
        <v>153</v>
      </c>
      <c r="E4237">
        <v>495</v>
      </c>
      <c r="F4237">
        <v>73</v>
      </c>
      <c r="G4237">
        <v>50</v>
      </c>
      <c r="H4237">
        <v>3</v>
      </c>
      <c r="I4237">
        <v>208847</v>
      </c>
      <c r="J4237">
        <v>43</v>
      </c>
      <c r="K4237">
        <v>171457</v>
      </c>
      <c r="L4237">
        <v>40</v>
      </c>
      <c r="M4237">
        <v>126</v>
      </c>
      <c r="N4237">
        <v>482</v>
      </c>
      <c r="O4237">
        <f t="shared" si="138"/>
        <v>2025</v>
      </c>
      <c r="P4237">
        <f t="shared" si="139"/>
        <v>11</v>
      </c>
      <c r="Q4237" t="s">
        <v>784</v>
      </c>
      <c r="R4237" t="s">
        <v>805</v>
      </c>
    </row>
    <row r="4238" spans="1:18" x14ac:dyDescent="0.3">
      <c r="A4238" t="s">
        <v>627</v>
      </c>
      <c r="B4238" s="16">
        <v>45969</v>
      </c>
      <c r="C4238" t="s">
        <v>3</v>
      </c>
      <c r="D4238" t="s">
        <v>152</v>
      </c>
      <c r="E4238">
        <v>13</v>
      </c>
      <c r="F4238">
        <v>1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13</v>
      </c>
      <c r="O4238">
        <f t="shared" si="138"/>
        <v>2025</v>
      </c>
      <c r="P4238">
        <f t="shared" si="139"/>
        <v>11</v>
      </c>
      <c r="Q4238" t="s">
        <v>784</v>
      </c>
      <c r="R4238" t="s">
        <v>805</v>
      </c>
    </row>
    <row r="4239" spans="1:18" x14ac:dyDescent="0.3">
      <c r="A4239" t="s">
        <v>627</v>
      </c>
      <c r="B4239" s="16">
        <v>45969</v>
      </c>
      <c r="C4239" t="s">
        <v>3</v>
      </c>
      <c r="D4239" t="s">
        <v>149</v>
      </c>
      <c r="E4239">
        <v>2</v>
      </c>
      <c r="F4239">
        <v>1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2</v>
      </c>
      <c r="O4239">
        <f t="shared" si="138"/>
        <v>2025</v>
      </c>
      <c r="P4239">
        <f t="shared" si="139"/>
        <v>11</v>
      </c>
      <c r="Q4239" t="s">
        <v>784</v>
      </c>
      <c r="R4239" t="s">
        <v>805</v>
      </c>
    </row>
    <row r="4240" spans="1:18" x14ac:dyDescent="0.3">
      <c r="A4240" t="s">
        <v>627</v>
      </c>
      <c r="B4240" s="16">
        <v>45969</v>
      </c>
      <c r="C4240" t="s">
        <v>3</v>
      </c>
      <c r="D4240" t="s">
        <v>367</v>
      </c>
      <c r="E4240">
        <v>425</v>
      </c>
      <c r="F4240">
        <v>305</v>
      </c>
      <c r="G4240">
        <v>8</v>
      </c>
      <c r="H4240">
        <v>1</v>
      </c>
      <c r="I4240">
        <v>1990</v>
      </c>
      <c r="J4240">
        <v>1</v>
      </c>
      <c r="K4240">
        <v>1990</v>
      </c>
      <c r="L4240">
        <v>1</v>
      </c>
      <c r="M4240">
        <v>0</v>
      </c>
      <c r="N4240">
        <v>425</v>
      </c>
      <c r="O4240">
        <f t="shared" si="138"/>
        <v>2025</v>
      </c>
      <c r="P4240">
        <f t="shared" si="139"/>
        <v>11</v>
      </c>
      <c r="Q4240" t="s">
        <v>784</v>
      </c>
      <c r="R4240" t="s">
        <v>805</v>
      </c>
    </row>
    <row r="4241" spans="1:18" x14ac:dyDescent="0.3">
      <c r="A4241" t="s">
        <v>627</v>
      </c>
      <c r="B4241" s="16">
        <v>45969</v>
      </c>
      <c r="C4241" t="s">
        <v>3</v>
      </c>
      <c r="D4241" t="s">
        <v>146</v>
      </c>
      <c r="E4241">
        <v>2</v>
      </c>
      <c r="F4241">
        <v>1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2</v>
      </c>
      <c r="O4241">
        <f t="shared" si="138"/>
        <v>2025</v>
      </c>
      <c r="P4241">
        <f t="shared" si="139"/>
        <v>11</v>
      </c>
      <c r="Q4241" t="s">
        <v>784</v>
      </c>
      <c r="R4241" t="s">
        <v>805</v>
      </c>
    </row>
    <row r="4242" spans="1:18" x14ac:dyDescent="0.3">
      <c r="A4242" t="s">
        <v>627</v>
      </c>
      <c r="B4242" s="16">
        <v>45969</v>
      </c>
      <c r="C4242" t="s">
        <v>3</v>
      </c>
      <c r="D4242" t="s">
        <v>251</v>
      </c>
      <c r="E4242">
        <v>614</v>
      </c>
      <c r="F4242">
        <v>236</v>
      </c>
      <c r="G4242">
        <v>20</v>
      </c>
      <c r="H4242">
        <v>4</v>
      </c>
      <c r="I4242">
        <v>42475</v>
      </c>
      <c r="J4242">
        <v>9</v>
      </c>
      <c r="K4242">
        <v>35485</v>
      </c>
      <c r="L4242">
        <v>8</v>
      </c>
      <c r="M4242">
        <v>110</v>
      </c>
      <c r="N4242">
        <v>563</v>
      </c>
      <c r="O4242">
        <f t="shared" si="138"/>
        <v>2025</v>
      </c>
      <c r="P4242">
        <f t="shared" si="139"/>
        <v>11</v>
      </c>
      <c r="Q4242" t="s">
        <v>784</v>
      </c>
      <c r="R4242" t="s">
        <v>805</v>
      </c>
    </row>
    <row r="4243" spans="1:18" x14ac:dyDescent="0.3">
      <c r="A4243" t="s">
        <v>627</v>
      </c>
      <c r="B4243" s="16">
        <v>45969</v>
      </c>
      <c r="C4243" t="s">
        <v>3</v>
      </c>
      <c r="D4243" t="s">
        <v>143</v>
      </c>
      <c r="E4243">
        <v>1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1</v>
      </c>
      <c r="O4243">
        <f t="shared" si="138"/>
        <v>2025</v>
      </c>
      <c r="P4243">
        <f t="shared" si="139"/>
        <v>11</v>
      </c>
      <c r="Q4243" t="s">
        <v>784</v>
      </c>
      <c r="R4243" t="s">
        <v>805</v>
      </c>
    </row>
    <row r="4244" spans="1:18" x14ac:dyDescent="0.3">
      <c r="A4244" t="s">
        <v>627</v>
      </c>
      <c r="B4244" s="16">
        <v>45969</v>
      </c>
      <c r="C4244" t="s">
        <v>3</v>
      </c>
      <c r="D4244" t="s">
        <v>141</v>
      </c>
      <c r="E4244">
        <v>240</v>
      </c>
      <c r="F4244">
        <v>66</v>
      </c>
      <c r="G4244">
        <v>7</v>
      </c>
      <c r="H4244">
        <v>0</v>
      </c>
      <c r="I4244">
        <v>3990</v>
      </c>
      <c r="J4244">
        <v>1</v>
      </c>
      <c r="K4244">
        <v>3990</v>
      </c>
      <c r="L4244">
        <v>1</v>
      </c>
      <c r="M4244">
        <v>0</v>
      </c>
      <c r="N4244">
        <v>240</v>
      </c>
      <c r="O4244">
        <f t="shared" si="138"/>
        <v>2025</v>
      </c>
      <c r="P4244">
        <f t="shared" si="139"/>
        <v>11</v>
      </c>
      <c r="Q4244" t="s">
        <v>784</v>
      </c>
      <c r="R4244" t="s">
        <v>805</v>
      </c>
    </row>
    <row r="4245" spans="1:18" x14ac:dyDescent="0.3">
      <c r="A4245" t="s">
        <v>627</v>
      </c>
      <c r="B4245" s="16">
        <v>45969</v>
      </c>
      <c r="C4245" t="s">
        <v>3</v>
      </c>
      <c r="D4245" t="s">
        <v>140</v>
      </c>
      <c r="E4245">
        <v>14</v>
      </c>
      <c r="F4245">
        <v>8</v>
      </c>
      <c r="G4245">
        <v>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14</v>
      </c>
      <c r="O4245">
        <f t="shared" si="138"/>
        <v>2025</v>
      </c>
      <c r="P4245">
        <f t="shared" si="139"/>
        <v>11</v>
      </c>
      <c r="Q4245" t="s">
        <v>784</v>
      </c>
      <c r="R4245" t="s">
        <v>805</v>
      </c>
    </row>
    <row r="4246" spans="1:18" x14ac:dyDescent="0.3">
      <c r="A4246" t="s">
        <v>627</v>
      </c>
      <c r="B4246" s="16">
        <v>45969</v>
      </c>
      <c r="C4246" t="s">
        <v>3</v>
      </c>
      <c r="D4246" t="s">
        <v>139</v>
      </c>
      <c r="E4246">
        <v>1456</v>
      </c>
      <c r="F4246">
        <v>631</v>
      </c>
      <c r="G4246">
        <v>61</v>
      </c>
      <c r="H4246">
        <v>11</v>
      </c>
      <c r="I4246">
        <v>90600</v>
      </c>
      <c r="J4246">
        <v>21</v>
      </c>
      <c r="K4246">
        <v>85610</v>
      </c>
      <c r="L4246">
        <v>20</v>
      </c>
      <c r="M4246">
        <v>356</v>
      </c>
      <c r="N4246">
        <v>1325</v>
      </c>
      <c r="O4246">
        <f t="shared" si="138"/>
        <v>2025</v>
      </c>
      <c r="P4246">
        <f t="shared" si="139"/>
        <v>11</v>
      </c>
      <c r="Q4246" t="s">
        <v>784</v>
      </c>
      <c r="R4246" t="s">
        <v>805</v>
      </c>
    </row>
    <row r="4247" spans="1:18" x14ac:dyDescent="0.3">
      <c r="A4247" t="s">
        <v>627</v>
      </c>
      <c r="B4247" s="16">
        <v>45969</v>
      </c>
      <c r="C4247" t="s">
        <v>3</v>
      </c>
      <c r="D4247" t="s">
        <v>138</v>
      </c>
      <c r="E4247">
        <v>45</v>
      </c>
      <c r="F4247">
        <v>18</v>
      </c>
      <c r="G4247">
        <v>5</v>
      </c>
      <c r="H4247">
        <v>0</v>
      </c>
      <c r="I4247">
        <v>36363.42</v>
      </c>
      <c r="J4247">
        <v>4</v>
      </c>
      <c r="K4247">
        <v>11710</v>
      </c>
      <c r="L4247">
        <v>3</v>
      </c>
      <c r="M4247">
        <v>8</v>
      </c>
      <c r="N4247">
        <v>43</v>
      </c>
      <c r="O4247">
        <f t="shared" si="138"/>
        <v>2025</v>
      </c>
      <c r="P4247">
        <f t="shared" si="139"/>
        <v>11</v>
      </c>
      <c r="Q4247" t="s">
        <v>784</v>
      </c>
      <c r="R4247" t="s">
        <v>805</v>
      </c>
    </row>
    <row r="4248" spans="1:18" x14ac:dyDescent="0.3">
      <c r="A4248" t="s">
        <v>627</v>
      </c>
      <c r="B4248" s="16">
        <v>45969</v>
      </c>
      <c r="C4248" t="s">
        <v>3</v>
      </c>
      <c r="D4248" t="s">
        <v>133</v>
      </c>
      <c r="E4248">
        <v>12</v>
      </c>
      <c r="F4248">
        <v>8</v>
      </c>
      <c r="G4248">
        <v>2</v>
      </c>
      <c r="H4248">
        <v>0</v>
      </c>
      <c r="I4248">
        <v>14980</v>
      </c>
      <c r="J4248">
        <v>1</v>
      </c>
      <c r="K4248">
        <v>14980</v>
      </c>
      <c r="L4248">
        <v>1</v>
      </c>
      <c r="M4248">
        <v>1</v>
      </c>
      <c r="N4248">
        <v>11</v>
      </c>
      <c r="O4248">
        <f t="shared" si="138"/>
        <v>2025</v>
      </c>
      <c r="P4248">
        <f t="shared" si="139"/>
        <v>11</v>
      </c>
      <c r="Q4248" t="s">
        <v>784</v>
      </c>
      <c r="R4248" t="s">
        <v>805</v>
      </c>
    </row>
    <row r="4249" spans="1:18" x14ac:dyDescent="0.3">
      <c r="A4249" t="s">
        <v>627</v>
      </c>
      <c r="B4249" s="16">
        <v>45969</v>
      </c>
      <c r="C4249" t="s">
        <v>3</v>
      </c>
      <c r="D4249" t="s">
        <v>130</v>
      </c>
      <c r="E4249">
        <v>166</v>
      </c>
      <c r="F4249">
        <v>58</v>
      </c>
      <c r="G4249">
        <v>11</v>
      </c>
      <c r="H4249">
        <v>1</v>
      </c>
      <c r="I4249">
        <v>43075</v>
      </c>
      <c r="J4249">
        <v>8</v>
      </c>
      <c r="K4249">
        <v>43075</v>
      </c>
      <c r="L4249">
        <v>8</v>
      </c>
      <c r="M4249">
        <v>111</v>
      </c>
      <c r="N4249">
        <v>94</v>
      </c>
      <c r="O4249">
        <f t="shared" si="138"/>
        <v>2025</v>
      </c>
      <c r="P4249">
        <f t="shared" si="139"/>
        <v>11</v>
      </c>
      <c r="Q4249" t="s">
        <v>784</v>
      </c>
      <c r="R4249" t="s">
        <v>805</v>
      </c>
    </row>
    <row r="4250" spans="1:18" x14ac:dyDescent="0.3">
      <c r="A4250" t="s">
        <v>627</v>
      </c>
      <c r="B4250" s="16">
        <v>45969</v>
      </c>
      <c r="C4250" t="s">
        <v>3</v>
      </c>
      <c r="D4250" t="s">
        <v>128</v>
      </c>
      <c r="E4250">
        <v>2594</v>
      </c>
      <c r="F4250">
        <v>2124</v>
      </c>
      <c r="G4250">
        <v>46</v>
      </c>
      <c r="H4250">
        <v>15</v>
      </c>
      <c r="I4250">
        <v>151225</v>
      </c>
      <c r="J4250">
        <v>22</v>
      </c>
      <c r="K4250">
        <v>62415</v>
      </c>
      <c r="L4250">
        <v>16</v>
      </c>
      <c r="M4250">
        <v>374</v>
      </c>
      <c r="N4250">
        <v>2484</v>
      </c>
      <c r="O4250">
        <f t="shared" si="138"/>
        <v>2025</v>
      </c>
      <c r="P4250">
        <f t="shared" si="139"/>
        <v>11</v>
      </c>
      <c r="Q4250" t="s">
        <v>784</v>
      </c>
      <c r="R4250" t="s">
        <v>805</v>
      </c>
    </row>
    <row r="4251" spans="1:18" x14ac:dyDescent="0.3">
      <c r="A4251" t="s">
        <v>627</v>
      </c>
      <c r="B4251" s="16">
        <v>45969</v>
      </c>
      <c r="C4251" t="s">
        <v>3</v>
      </c>
      <c r="D4251" t="s">
        <v>127</v>
      </c>
      <c r="E4251">
        <v>9516</v>
      </c>
      <c r="F4251">
        <v>4786</v>
      </c>
      <c r="G4251">
        <v>165</v>
      </c>
      <c r="H4251">
        <v>60</v>
      </c>
      <c r="I4251">
        <v>144630</v>
      </c>
      <c r="J4251">
        <v>28</v>
      </c>
      <c r="K4251">
        <v>81980</v>
      </c>
      <c r="L4251">
        <v>20</v>
      </c>
      <c r="M4251">
        <v>508</v>
      </c>
      <c r="N4251">
        <v>9370</v>
      </c>
      <c r="O4251">
        <f t="shared" si="138"/>
        <v>2025</v>
      </c>
      <c r="P4251">
        <f t="shared" si="139"/>
        <v>11</v>
      </c>
      <c r="Q4251" t="s">
        <v>784</v>
      </c>
      <c r="R4251" t="s">
        <v>805</v>
      </c>
    </row>
    <row r="4252" spans="1:18" x14ac:dyDescent="0.3">
      <c r="A4252" t="s">
        <v>627</v>
      </c>
      <c r="B4252" s="16">
        <v>45969</v>
      </c>
      <c r="C4252" t="s">
        <v>3</v>
      </c>
      <c r="D4252" t="s">
        <v>126</v>
      </c>
      <c r="E4252">
        <v>197</v>
      </c>
      <c r="F4252">
        <v>110</v>
      </c>
      <c r="G4252">
        <v>12</v>
      </c>
      <c r="H4252">
        <v>3</v>
      </c>
      <c r="I4252">
        <v>0</v>
      </c>
      <c r="J4252">
        <v>0</v>
      </c>
      <c r="K4252">
        <v>0</v>
      </c>
      <c r="L4252">
        <v>0</v>
      </c>
      <c r="M4252">
        <v>30</v>
      </c>
      <c r="N4252">
        <v>196</v>
      </c>
      <c r="O4252">
        <f t="shared" si="138"/>
        <v>2025</v>
      </c>
      <c r="P4252">
        <f t="shared" si="139"/>
        <v>11</v>
      </c>
      <c r="Q4252" t="s">
        <v>784</v>
      </c>
      <c r="R4252" t="s">
        <v>805</v>
      </c>
    </row>
    <row r="4253" spans="1:18" x14ac:dyDescent="0.3">
      <c r="A4253" t="s">
        <v>627</v>
      </c>
      <c r="B4253" s="16">
        <v>45969</v>
      </c>
      <c r="C4253" t="s">
        <v>3</v>
      </c>
      <c r="D4253" t="s">
        <v>123</v>
      </c>
      <c r="E4253">
        <v>55</v>
      </c>
      <c r="F4253">
        <v>30</v>
      </c>
      <c r="G4253">
        <v>3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47</v>
      </c>
      <c r="N4253">
        <v>23</v>
      </c>
      <c r="O4253">
        <f t="shared" si="138"/>
        <v>2025</v>
      </c>
      <c r="P4253">
        <f t="shared" si="139"/>
        <v>11</v>
      </c>
      <c r="Q4253" t="s">
        <v>784</v>
      </c>
      <c r="R4253" t="s">
        <v>805</v>
      </c>
    </row>
    <row r="4254" spans="1:18" x14ac:dyDescent="0.3">
      <c r="A4254" t="s">
        <v>627</v>
      </c>
      <c r="B4254" s="16">
        <v>45969</v>
      </c>
      <c r="C4254" t="s">
        <v>3</v>
      </c>
      <c r="D4254" t="s">
        <v>121</v>
      </c>
      <c r="E4254">
        <v>1</v>
      </c>
      <c r="F4254">
        <v>1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1</v>
      </c>
      <c r="O4254">
        <f t="shared" si="138"/>
        <v>2025</v>
      </c>
      <c r="P4254">
        <f t="shared" si="139"/>
        <v>11</v>
      </c>
      <c r="Q4254" t="s">
        <v>784</v>
      </c>
      <c r="R4254" t="s">
        <v>805</v>
      </c>
    </row>
    <row r="4255" spans="1:18" x14ac:dyDescent="0.3">
      <c r="A4255" t="s">
        <v>627</v>
      </c>
      <c r="B4255" s="16">
        <v>45969</v>
      </c>
      <c r="C4255" t="s">
        <v>3</v>
      </c>
      <c r="D4255" t="s">
        <v>119</v>
      </c>
      <c r="E4255">
        <v>313</v>
      </c>
      <c r="F4255">
        <v>70</v>
      </c>
      <c r="G4255">
        <v>16</v>
      </c>
      <c r="H4255">
        <v>8</v>
      </c>
      <c r="I4255">
        <v>51425</v>
      </c>
      <c r="J4255">
        <v>13</v>
      </c>
      <c r="K4255">
        <v>36205</v>
      </c>
      <c r="L4255">
        <v>10</v>
      </c>
      <c r="M4255">
        <v>67</v>
      </c>
      <c r="N4255">
        <v>303</v>
      </c>
      <c r="O4255">
        <f t="shared" si="138"/>
        <v>2025</v>
      </c>
      <c r="P4255">
        <f t="shared" si="139"/>
        <v>11</v>
      </c>
      <c r="Q4255" t="s">
        <v>784</v>
      </c>
      <c r="R4255" t="s">
        <v>805</v>
      </c>
    </row>
    <row r="4256" spans="1:18" x14ac:dyDescent="0.3">
      <c r="A4256" t="s">
        <v>627</v>
      </c>
      <c r="B4256" s="16">
        <v>45969</v>
      </c>
      <c r="C4256" t="s">
        <v>3</v>
      </c>
      <c r="D4256" t="s">
        <v>252</v>
      </c>
      <c r="E4256">
        <v>5</v>
      </c>
      <c r="F4256">
        <v>4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5</v>
      </c>
      <c r="O4256">
        <f t="shared" si="138"/>
        <v>2025</v>
      </c>
      <c r="P4256">
        <f t="shared" si="139"/>
        <v>11</v>
      </c>
      <c r="Q4256" t="s">
        <v>784</v>
      </c>
      <c r="R4256" t="s">
        <v>805</v>
      </c>
    </row>
    <row r="4257" spans="1:18" x14ac:dyDescent="0.3">
      <c r="A4257" t="s">
        <v>627</v>
      </c>
      <c r="B4257" s="16">
        <v>45969</v>
      </c>
      <c r="C4257" t="s">
        <v>3</v>
      </c>
      <c r="D4257" t="s">
        <v>117</v>
      </c>
      <c r="E4257">
        <v>2</v>
      </c>
      <c r="F4257">
        <v>2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2</v>
      </c>
      <c r="O4257">
        <f t="shared" si="138"/>
        <v>2025</v>
      </c>
      <c r="P4257">
        <f t="shared" si="139"/>
        <v>11</v>
      </c>
      <c r="Q4257" t="s">
        <v>784</v>
      </c>
      <c r="R4257" t="s">
        <v>805</v>
      </c>
    </row>
    <row r="4258" spans="1:18" x14ac:dyDescent="0.3">
      <c r="A4258" t="s">
        <v>627</v>
      </c>
      <c r="B4258" s="16">
        <v>45969</v>
      </c>
      <c r="C4258" t="s">
        <v>3</v>
      </c>
      <c r="D4258" t="s">
        <v>391</v>
      </c>
      <c r="E4258">
        <v>751</v>
      </c>
      <c r="F4258">
        <v>387</v>
      </c>
      <c r="G4258">
        <v>20</v>
      </c>
      <c r="H4258">
        <v>3</v>
      </c>
      <c r="I4258">
        <v>35120</v>
      </c>
      <c r="J4258">
        <v>6</v>
      </c>
      <c r="K4258">
        <v>35120</v>
      </c>
      <c r="L4258">
        <v>6</v>
      </c>
      <c r="M4258">
        <v>125</v>
      </c>
      <c r="N4258">
        <v>738</v>
      </c>
      <c r="O4258">
        <f t="shared" si="138"/>
        <v>2025</v>
      </c>
      <c r="P4258">
        <f t="shared" si="139"/>
        <v>11</v>
      </c>
      <c r="Q4258" t="s">
        <v>784</v>
      </c>
      <c r="R4258" t="s">
        <v>805</v>
      </c>
    </row>
    <row r="4259" spans="1:18" x14ac:dyDescent="0.3">
      <c r="A4259" t="s">
        <v>627</v>
      </c>
      <c r="B4259" s="16">
        <v>45969</v>
      </c>
      <c r="C4259" t="s">
        <v>3</v>
      </c>
      <c r="D4259" t="s">
        <v>114</v>
      </c>
      <c r="E4259">
        <v>211</v>
      </c>
      <c r="F4259">
        <v>121</v>
      </c>
      <c r="G4259">
        <v>5</v>
      </c>
      <c r="H4259">
        <v>3</v>
      </c>
      <c r="I4259">
        <v>3940</v>
      </c>
      <c r="J4259">
        <v>1</v>
      </c>
      <c r="K4259">
        <v>3940</v>
      </c>
      <c r="L4259">
        <v>1</v>
      </c>
      <c r="M4259">
        <v>14</v>
      </c>
      <c r="N4259">
        <v>211</v>
      </c>
      <c r="O4259">
        <f t="shared" si="138"/>
        <v>2025</v>
      </c>
      <c r="P4259">
        <f t="shared" si="139"/>
        <v>11</v>
      </c>
      <c r="Q4259" t="s">
        <v>784</v>
      </c>
      <c r="R4259" t="s">
        <v>805</v>
      </c>
    </row>
    <row r="4260" spans="1:18" x14ac:dyDescent="0.3">
      <c r="A4260" t="s">
        <v>627</v>
      </c>
      <c r="B4260" s="16">
        <v>45969</v>
      </c>
      <c r="C4260" t="s">
        <v>3</v>
      </c>
      <c r="D4260" t="s">
        <v>113</v>
      </c>
      <c r="E4260">
        <v>127</v>
      </c>
      <c r="F4260">
        <v>56</v>
      </c>
      <c r="G4260">
        <v>8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103</v>
      </c>
      <c r="N4260">
        <v>83</v>
      </c>
      <c r="O4260">
        <f t="shared" si="138"/>
        <v>2025</v>
      </c>
      <c r="P4260">
        <f t="shared" si="139"/>
        <v>11</v>
      </c>
      <c r="Q4260" t="s">
        <v>784</v>
      </c>
      <c r="R4260" t="s">
        <v>805</v>
      </c>
    </row>
    <row r="4261" spans="1:18" x14ac:dyDescent="0.3">
      <c r="A4261" t="s">
        <v>627</v>
      </c>
      <c r="B4261" s="16">
        <v>45969</v>
      </c>
      <c r="C4261" t="s">
        <v>3</v>
      </c>
      <c r="D4261" t="s">
        <v>112</v>
      </c>
      <c r="E4261">
        <v>47</v>
      </c>
      <c r="F4261">
        <v>9</v>
      </c>
      <c r="G4261">
        <v>2</v>
      </c>
      <c r="H4261">
        <v>0</v>
      </c>
      <c r="I4261">
        <v>68.42</v>
      </c>
      <c r="J4261">
        <v>1</v>
      </c>
      <c r="K4261">
        <v>68.42</v>
      </c>
      <c r="L4261">
        <v>1</v>
      </c>
      <c r="M4261">
        <v>0</v>
      </c>
      <c r="N4261">
        <v>47</v>
      </c>
      <c r="O4261">
        <f t="shared" si="138"/>
        <v>2025</v>
      </c>
      <c r="P4261">
        <f t="shared" si="139"/>
        <v>11</v>
      </c>
      <c r="Q4261" t="s">
        <v>784</v>
      </c>
      <c r="R4261" t="s">
        <v>805</v>
      </c>
    </row>
    <row r="4262" spans="1:18" x14ac:dyDescent="0.3">
      <c r="A4262" t="s">
        <v>627</v>
      </c>
      <c r="B4262" s="16">
        <v>45969</v>
      </c>
      <c r="C4262" t="s">
        <v>3</v>
      </c>
      <c r="D4262" t="s">
        <v>111</v>
      </c>
      <c r="E4262">
        <v>1</v>
      </c>
      <c r="F4262">
        <v>1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1</v>
      </c>
      <c r="O4262">
        <f t="shared" si="138"/>
        <v>2025</v>
      </c>
      <c r="P4262">
        <f t="shared" si="139"/>
        <v>11</v>
      </c>
      <c r="Q4262" t="s">
        <v>784</v>
      </c>
      <c r="R4262" t="s">
        <v>805</v>
      </c>
    </row>
    <row r="4263" spans="1:18" x14ac:dyDescent="0.3">
      <c r="A4263" t="s">
        <v>627</v>
      </c>
      <c r="B4263" s="16">
        <v>45968</v>
      </c>
      <c r="C4263" t="s">
        <v>2</v>
      </c>
      <c r="D4263" t="s">
        <v>4</v>
      </c>
      <c r="E4263">
        <v>418</v>
      </c>
      <c r="F4263">
        <v>153</v>
      </c>
      <c r="G4263">
        <v>4</v>
      </c>
      <c r="H4263">
        <v>3</v>
      </c>
      <c r="I4263">
        <v>5140</v>
      </c>
      <c r="J4263">
        <v>2</v>
      </c>
      <c r="K4263">
        <v>8290</v>
      </c>
      <c r="L4263">
        <v>3</v>
      </c>
      <c r="M4263">
        <v>2</v>
      </c>
      <c r="N4263">
        <v>418</v>
      </c>
      <c r="O4263">
        <f t="shared" si="138"/>
        <v>2025</v>
      </c>
      <c r="P4263">
        <f t="shared" si="139"/>
        <v>11</v>
      </c>
      <c r="Q4263" t="s">
        <v>784</v>
      </c>
      <c r="R4263" t="s">
        <v>805</v>
      </c>
    </row>
    <row r="4264" spans="1:18" x14ac:dyDescent="0.3">
      <c r="A4264" t="s">
        <v>627</v>
      </c>
      <c r="B4264" s="16">
        <v>45968</v>
      </c>
      <c r="C4264" t="s">
        <v>2</v>
      </c>
      <c r="D4264" t="s">
        <v>57</v>
      </c>
      <c r="E4264">
        <v>32442</v>
      </c>
      <c r="F4264">
        <v>18405</v>
      </c>
      <c r="G4264">
        <v>151</v>
      </c>
      <c r="H4264">
        <v>168</v>
      </c>
      <c r="I4264">
        <v>73734</v>
      </c>
      <c r="J4264">
        <v>17</v>
      </c>
      <c r="K4264">
        <v>31954</v>
      </c>
      <c r="L4264">
        <v>10</v>
      </c>
      <c r="M4264">
        <v>1451</v>
      </c>
      <c r="N4264">
        <v>32034</v>
      </c>
      <c r="O4264">
        <f t="shared" si="138"/>
        <v>2025</v>
      </c>
      <c r="P4264">
        <f t="shared" si="139"/>
        <v>11</v>
      </c>
      <c r="Q4264" t="s">
        <v>784</v>
      </c>
      <c r="R4264" t="s">
        <v>805</v>
      </c>
    </row>
    <row r="4265" spans="1:18" x14ac:dyDescent="0.3">
      <c r="A4265" t="s">
        <v>627</v>
      </c>
      <c r="B4265" s="16">
        <v>45968</v>
      </c>
      <c r="C4265" t="s">
        <v>2</v>
      </c>
      <c r="D4265" t="s">
        <v>55</v>
      </c>
      <c r="E4265">
        <v>1033</v>
      </c>
      <c r="F4265">
        <v>509</v>
      </c>
      <c r="G4265">
        <v>13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46</v>
      </c>
      <c r="N4265">
        <v>475</v>
      </c>
      <c r="O4265">
        <f t="shared" si="138"/>
        <v>2025</v>
      </c>
      <c r="P4265">
        <f t="shared" si="139"/>
        <v>11</v>
      </c>
      <c r="Q4265" t="s">
        <v>784</v>
      </c>
      <c r="R4265" t="s">
        <v>805</v>
      </c>
    </row>
    <row r="4266" spans="1:18" x14ac:dyDescent="0.3">
      <c r="A4266" t="s">
        <v>627</v>
      </c>
      <c r="B4266" s="16">
        <v>45968</v>
      </c>
      <c r="C4266" t="s">
        <v>3</v>
      </c>
      <c r="D4266" t="s">
        <v>157</v>
      </c>
      <c r="E4266">
        <v>1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f t="shared" si="138"/>
        <v>2025</v>
      </c>
      <c r="P4266">
        <f t="shared" si="139"/>
        <v>11</v>
      </c>
      <c r="Q4266" t="s">
        <v>784</v>
      </c>
      <c r="R4266" t="s">
        <v>805</v>
      </c>
    </row>
    <row r="4267" spans="1:18" x14ac:dyDescent="0.3">
      <c r="A4267" t="s">
        <v>627</v>
      </c>
      <c r="B4267" s="16">
        <v>45968</v>
      </c>
      <c r="C4267" t="s">
        <v>3</v>
      </c>
      <c r="D4267" t="s">
        <v>155</v>
      </c>
      <c r="E4267">
        <v>70</v>
      </c>
      <c r="F4267">
        <v>26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70</v>
      </c>
      <c r="O4267">
        <f t="shared" si="138"/>
        <v>2025</v>
      </c>
      <c r="P4267">
        <f t="shared" si="139"/>
        <v>11</v>
      </c>
      <c r="Q4267" t="s">
        <v>784</v>
      </c>
      <c r="R4267" t="s">
        <v>805</v>
      </c>
    </row>
    <row r="4268" spans="1:18" x14ac:dyDescent="0.3">
      <c r="A4268" t="s">
        <v>627</v>
      </c>
      <c r="B4268" s="16">
        <v>45968</v>
      </c>
      <c r="C4268" t="s">
        <v>3</v>
      </c>
      <c r="D4268" t="s">
        <v>154</v>
      </c>
      <c r="E4268">
        <v>113</v>
      </c>
      <c r="F4268">
        <v>84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f t="shared" si="138"/>
        <v>2025</v>
      </c>
      <c r="P4268">
        <f t="shared" si="139"/>
        <v>11</v>
      </c>
      <c r="Q4268" t="s">
        <v>784</v>
      </c>
      <c r="R4268" t="s">
        <v>805</v>
      </c>
    </row>
    <row r="4269" spans="1:18" x14ac:dyDescent="0.3">
      <c r="A4269" t="s">
        <v>627</v>
      </c>
      <c r="B4269" s="16">
        <v>45968</v>
      </c>
      <c r="C4269" t="s">
        <v>3</v>
      </c>
      <c r="D4269" t="s">
        <v>153</v>
      </c>
      <c r="E4269">
        <v>437</v>
      </c>
      <c r="F4269">
        <v>79</v>
      </c>
      <c r="G4269">
        <v>44</v>
      </c>
      <c r="H4269">
        <v>2</v>
      </c>
      <c r="I4269">
        <v>170809</v>
      </c>
      <c r="J4269">
        <v>36</v>
      </c>
      <c r="K4269">
        <v>170809</v>
      </c>
      <c r="L4269">
        <v>36</v>
      </c>
      <c r="M4269">
        <v>120</v>
      </c>
      <c r="N4269">
        <v>419</v>
      </c>
      <c r="O4269">
        <f t="shared" si="138"/>
        <v>2025</v>
      </c>
      <c r="P4269">
        <f t="shared" si="139"/>
        <v>11</v>
      </c>
      <c r="Q4269" t="s">
        <v>784</v>
      </c>
      <c r="R4269" t="s">
        <v>805</v>
      </c>
    </row>
    <row r="4270" spans="1:18" x14ac:dyDescent="0.3">
      <c r="A4270" t="s">
        <v>627</v>
      </c>
      <c r="B4270" s="16">
        <v>45968</v>
      </c>
      <c r="C4270" t="s">
        <v>3</v>
      </c>
      <c r="D4270" t="s">
        <v>152</v>
      </c>
      <c r="E4270">
        <v>17</v>
      </c>
      <c r="F4270">
        <v>3</v>
      </c>
      <c r="G4270">
        <v>2</v>
      </c>
      <c r="H4270">
        <v>1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12</v>
      </c>
      <c r="O4270">
        <f t="shared" si="138"/>
        <v>2025</v>
      </c>
      <c r="P4270">
        <f t="shared" si="139"/>
        <v>11</v>
      </c>
      <c r="Q4270" t="s">
        <v>784</v>
      </c>
      <c r="R4270" t="s">
        <v>805</v>
      </c>
    </row>
    <row r="4271" spans="1:18" x14ac:dyDescent="0.3">
      <c r="A4271" t="s">
        <v>627</v>
      </c>
      <c r="B4271" s="16">
        <v>45968</v>
      </c>
      <c r="C4271" t="s">
        <v>3</v>
      </c>
      <c r="D4271" t="s">
        <v>198</v>
      </c>
      <c r="E4271">
        <v>1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1</v>
      </c>
      <c r="O4271">
        <f t="shared" si="138"/>
        <v>2025</v>
      </c>
      <c r="P4271">
        <f t="shared" si="139"/>
        <v>11</v>
      </c>
      <c r="Q4271" t="s">
        <v>784</v>
      </c>
      <c r="R4271" t="s">
        <v>805</v>
      </c>
    </row>
    <row r="4272" spans="1:18" x14ac:dyDescent="0.3">
      <c r="A4272" t="s">
        <v>627</v>
      </c>
      <c r="B4272" s="16">
        <v>45968</v>
      </c>
      <c r="C4272" t="s">
        <v>3</v>
      </c>
      <c r="D4272" t="s">
        <v>149</v>
      </c>
      <c r="E4272">
        <v>6</v>
      </c>
      <c r="F4272">
        <v>2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1</v>
      </c>
      <c r="O4272">
        <f t="shared" si="138"/>
        <v>2025</v>
      </c>
      <c r="P4272">
        <f t="shared" si="139"/>
        <v>11</v>
      </c>
      <c r="Q4272" t="s">
        <v>784</v>
      </c>
      <c r="R4272" t="s">
        <v>805</v>
      </c>
    </row>
    <row r="4273" spans="1:18" x14ac:dyDescent="0.3">
      <c r="A4273" t="s">
        <v>627</v>
      </c>
      <c r="B4273" s="16">
        <v>45968</v>
      </c>
      <c r="C4273" t="s">
        <v>3</v>
      </c>
      <c r="D4273" t="s">
        <v>367</v>
      </c>
      <c r="E4273">
        <v>416</v>
      </c>
      <c r="F4273">
        <v>307</v>
      </c>
      <c r="G4273">
        <v>4</v>
      </c>
      <c r="H4273">
        <v>7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416</v>
      </c>
      <c r="O4273">
        <f t="shared" si="138"/>
        <v>2025</v>
      </c>
      <c r="P4273">
        <f t="shared" si="139"/>
        <v>11</v>
      </c>
      <c r="Q4273" t="s">
        <v>784</v>
      </c>
      <c r="R4273" t="s">
        <v>805</v>
      </c>
    </row>
    <row r="4274" spans="1:18" x14ac:dyDescent="0.3">
      <c r="A4274" t="s">
        <v>627</v>
      </c>
      <c r="B4274" s="16">
        <v>45968</v>
      </c>
      <c r="C4274" t="s">
        <v>3</v>
      </c>
      <c r="D4274" t="s">
        <v>251</v>
      </c>
      <c r="E4274">
        <v>904</v>
      </c>
      <c r="F4274">
        <v>465</v>
      </c>
      <c r="G4274">
        <v>23</v>
      </c>
      <c r="H4274">
        <v>4</v>
      </c>
      <c r="I4274">
        <v>72230</v>
      </c>
      <c r="J4274">
        <v>11</v>
      </c>
      <c r="K4274">
        <v>72230</v>
      </c>
      <c r="L4274">
        <v>11</v>
      </c>
      <c r="M4274">
        <v>103</v>
      </c>
      <c r="N4274">
        <v>555</v>
      </c>
      <c r="O4274">
        <f t="shared" si="138"/>
        <v>2025</v>
      </c>
      <c r="P4274">
        <f t="shared" si="139"/>
        <v>11</v>
      </c>
      <c r="Q4274" t="s">
        <v>784</v>
      </c>
      <c r="R4274" t="s">
        <v>805</v>
      </c>
    </row>
    <row r="4275" spans="1:18" x14ac:dyDescent="0.3">
      <c r="A4275" t="s">
        <v>627</v>
      </c>
      <c r="B4275" s="16">
        <v>45968</v>
      </c>
      <c r="C4275" t="s">
        <v>3</v>
      </c>
      <c r="D4275" t="s">
        <v>141</v>
      </c>
      <c r="E4275">
        <v>1381</v>
      </c>
      <c r="F4275">
        <v>1222</v>
      </c>
      <c r="G4275">
        <v>3</v>
      </c>
      <c r="H4275">
        <v>6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1381</v>
      </c>
      <c r="O4275">
        <f t="shared" si="138"/>
        <v>2025</v>
      </c>
      <c r="P4275">
        <f t="shared" si="139"/>
        <v>11</v>
      </c>
      <c r="Q4275" t="s">
        <v>784</v>
      </c>
      <c r="R4275" t="s">
        <v>805</v>
      </c>
    </row>
    <row r="4276" spans="1:18" x14ac:dyDescent="0.3">
      <c r="A4276" t="s">
        <v>627</v>
      </c>
      <c r="B4276" s="16">
        <v>45968</v>
      </c>
      <c r="C4276" t="s">
        <v>3</v>
      </c>
      <c r="D4276" t="s">
        <v>140</v>
      </c>
      <c r="E4276">
        <v>1234</v>
      </c>
      <c r="F4276">
        <v>1233</v>
      </c>
      <c r="G4276">
        <v>1</v>
      </c>
      <c r="H4276">
        <v>10</v>
      </c>
      <c r="I4276">
        <v>6440</v>
      </c>
      <c r="J4276">
        <v>2</v>
      </c>
      <c r="K4276">
        <v>6440</v>
      </c>
      <c r="L4276">
        <v>2</v>
      </c>
      <c r="M4276">
        <v>0</v>
      </c>
      <c r="N4276">
        <v>1234</v>
      </c>
      <c r="O4276">
        <f t="shared" si="138"/>
        <v>2025</v>
      </c>
      <c r="P4276">
        <f t="shared" si="139"/>
        <v>11</v>
      </c>
      <c r="Q4276" t="s">
        <v>784</v>
      </c>
      <c r="R4276" t="s">
        <v>805</v>
      </c>
    </row>
    <row r="4277" spans="1:18" x14ac:dyDescent="0.3">
      <c r="A4277" t="s">
        <v>627</v>
      </c>
      <c r="B4277" s="16">
        <v>45968</v>
      </c>
      <c r="C4277" t="s">
        <v>3</v>
      </c>
      <c r="D4277" t="s">
        <v>139</v>
      </c>
      <c r="E4277">
        <v>1917</v>
      </c>
      <c r="F4277">
        <v>935</v>
      </c>
      <c r="G4277">
        <v>60</v>
      </c>
      <c r="H4277">
        <v>15</v>
      </c>
      <c r="I4277">
        <v>125980</v>
      </c>
      <c r="J4277">
        <v>18</v>
      </c>
      <c r="K4277">
        <v>93940</v>
      </c>
      <c r="L4277">
        <v>16</v>
      </c>
      <c r="M4277">
        <v>359</v>
      </c>
      <c r="N4277">
        <v>1348</v>
      </c>
      <c r="O4277">
        <f t="shared" si="138"/>
        <v>2025</v>
      </c>
      <c r="P4277">
        <f t="shared" si="139"/>
        <v>11</v>
      </c>
      <c r="Q4277" t="s">
        <v>784</v>
      </c>
      <c r="R4277" t="s">
        <v>805</v>
      </c>
    </row>
    <row r="4278" spans="1:18" x14ac:dyDescent="0.3">
      <c r="A4278" t="s">
        <v>627</v>
      </c>
      <c r="B4278" s="16">
        <v>45968</v>
      </c>
      <c r="C4278" t="s">
        <v>3</v>
      </c>
      <c r="D4278" t="s">
        <v>138</v>
      </c>
      <c r="E4278">
        <v>49</v>
      </c>
      <c r="F4278">
        <v>20</v>
      </c>
      <c r="G4278">
        <v>9</v>
      </c>
      <c r="H4278">
        <v>0</v>
      </c>
      <c r="I4278">
        <v>44843.42</v>
      </c>
      <c r="J4278">
        <v>8</v>
      </c>
      <c r="K4278">
        <v>37848.42</v>
      </c>
      <c r="L4278">
        <v>8</v>
      </c>
      <c r="M4278">
        <v>10</v>
      </c>
      <c r="N4278">
        <v>49</v>
      </c>
      <c r="O4278">
        <f t="shared" si="138"/>
        <v>2025</v>
      </c>
      <c r="P4278">
        <f t="shared" si="139"/>
        <v>11</v>
      </c>
      <c r="Q4278" t="s">
        <v>784</v>
      </c>
      <c r="R4278" t="s">
        <v>805</v>
      </c>
    </row>
    <row r="4279" spans="1:18" x14ac:dyDescent="0.3">
      <c r="A4279" t="s">
        <v>627</v>
      </c>
      <c r="B4279" s="16">
        <v>45968</v>
      </c>
      <c r="C4279" t="s">
        <v>3</v>
      </c>
      <c r="D4279" t="s">
        <v>133</v>
      </c>
      <c r="E4279">
        <v>18</v>
      </c>
      <c r="F4279">
        <v>13</v>
      </c>
      <c r="G4279">
        <v>1</v>
      </c>
      <c r="H4279">
        <v>0</v>
      </c>
      <c r="I4279">
        <v>2134</v>
      </c>
      <c r="J4279">
        <v>2</v>
      </c>
      <c r="K4279">
        <v>2134</v>
      </c>
      <c r="L4279">
        <v>2</v>
      </c>
      <c r="M4279">
        <v>7</v>
      </c>
      <c r="N4279">
        <v>16</v>
      </c>
      <c r="O4279">
        <f t="shared" si="138"/>
        <v>2025</v>
      </c>
      <c r="P4279">
        <f t="shared" si="139"/>
        <v>11</v>
      </c>
      <c r="Q4279" t="s">
        <v>784</v>
      </c>
      <c r="R4279" t="s">
        <v>805</v>
      </c>
    </row>
    <row r="4280" spans="1:18" x14ac:dyDescent="0.3">
      <c r="A4280" t="s">
        <v>627</v>
      </c>
      <c r="B4280" s="16">
        <v>45968</v>
      </c>
      <c r="C4280" t="s">
        <v>3</v>
      </c>
      <c r="D4280" t="s">
        <v>130</v>
      </c>
      <c r="E4280">
        <v>105</v>
      </c>
      <c r="F4280">
        <v>43</v>
      </c>
      <c r="G4280">
        <v>13</v>
      </c>
      <c r="H4280">
        <v>0</v>
      </c>
      <c r="I4280">
        <v>46318</v>
      </c>
      <c r="J4280">
        <v>8</v>
      </c>
      <c r="K4280">
        <v>46318</v>
      </c>
      <c r="L4280">
        <v>8</v>
      </c>
      <c r="M4280">
        <v>58</v>
      </c>
      <c r="N4280">
        <v>72</v>
      </c>
      <c r="O4280">
        <f t="shared" si="138"/>
        <v>2025</v>
      </c>
      <c r="P4280">
        <f t="shared" si="139"/>
        <v>11</v>
      </c>
      <c r="Q4280" t="s">
        <v>784</v>
      </c>
      <c r="R4280" t="s">
        <v>805</v>
      </c>
    </row>
    <row r="4281" spans="1:18" x14ac:dyDescent="0.3">
      <c r="A4281" t="s">
        <v>627</v>
      </c>
      <c r="B4281" s="16">
        <v>45968</v>
      </c>
      <c r="C4281" t="s">
        <v>3</v>
      </c>
      <c r="D4281" t="s">
        <v>128</v>
      </c>
      <c r="E4281">
        <v>2341</v>
      </c>
      <c r="F4281">
        <v>1935</v>
      </c>
      <c r="G4281">
        <v>43</v>
      </c>
      <c r="H4281">
        <v>9</v>
      </c>
      <c r="I4281">
        <v>27650</v>
      </c>
      <c r="J4281">
        <v>5</v>
      </c>
      <c r="K4281">
        <v>27650</v>
      </c>
      <c r="L4281">
        <v>5</v>
      </c>
      <c r="M4281">
        <v>287</v>
      </c>
      <c r="N4281">
        <v>2268</v>
      </c>
      <c r="O4281">
        <f t="shared" si="138"/>
        <v>2025</v>
      </c>
      <c r="P4281">
        <f t="shared" si="139"/>
        <v>11</v>
      </c>
      <c r="Q4281" t="s">
        <v>784</v>
      </c>
      <c r="R4281" t="s">
        <v>805</v>
      </c>
    </row>
    <row r="4282" spans="1:18" x14ac:dyDescent="0.3">
      <c r="A4282" t="s">
        <v>627</v>
      </c>
      <c r="B4282" s="16">
        <v>45968</v>
      </c>
      <c r="C4282" t="s">
        <v>3</v>
      </c>
      <c r="D4282" t="s">
        <v>127</v>
      </c>
      <c r="E4282">
        <v>9258</v>
      </c>
      <c r="F4282">
        <v>5160</v>
      </c>
      <c r="G4282">
        <v>136</v>
      </c>
      <c r="H4282">
        <v>35</v>
      </c>
      <c r="I4282">
        <v>100695</v>
      </c>
      <c r="J4282">
        <v>17</v>
      </c>
      <c r="K4282">
        <v>81315</v>
      </c>
      <c r="L4282">
        <v>14</v>
      </c>
      <c r="M4282">
        <v>440</v>
      </c>
      <c r="N4282">
        <v>9103</v>
      </c>
      <c r="O4282">
        <f t="shared" si="138"/>
        <v>2025</v>
      </c>
      <c r="P4282">
        <f t="shared" si="139"/>
        <v>11</v>
      </c>
      <c r="Q4282" t="s">
        <v>784</v>
      </c>
      <c r="R4282" t="s">
        <v>805</v>
      </c>
    </row>
    <row r="4283" spans="1:18" x14ac:dyDescent="0.3">
      <c r="A4283" t="s">
        <v>627</v>
      </c>
      <c r="B4283" s="16">
        <v>45968</v>
      </c>
      <c r="C4283" t="s">
        <v>3</v>
      </c>
      <c r="D4283" t="s">
        <v>126</v>
      </c>
      <c r="E4283">
        <v>182</v>
      </c>
      <c r="F4283">
        <v>107</v>
      </c>
      <c r="G4283">
        <v>11</v>
      </c>
      <c r="H4283">
        <v>3</v>
      </c>
      <c r="I4283">
        <v>0</v>
      </c>
      <c r="J4283">
        <v>0</v>
      </c>
      <c r="K4283">
        <v>0</v>
      </c>
      <c r="L4283">
        <v>0</v>
      </c>
      <c r="M4283">
        <v>27</v>
      </c>
      <c r="N4283">
        <v>174</v>
      </c>
      <c r="O4283">
        <f t="shared" si="138"/>
        <v>2025</v>
      </c>
      <c r="P4283">
        <f t="shared" si="139"/>
        <v>11</v>
      </c>
      <c r="Q4283" t="s">
        <v>784</v>
      </c>
      <c r="R4283" t="s">
        <v>805</v>
      </c>
    </row>
    <row r="4284" spans="1:18" x14ac:dyDescent="0.3">
      <c r="A4284" t="s">
        <v>627</v>
      </c>
      <c r="B4284" s="16">
        <v>45968</v>
      </c>
      <c r="C4284" t="s">
        <v>3</v>
      </c>
      <c r="D4284" t="s">
        <v>125</v>
      </c>
      <c r="E4284">
        <v>1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1</v>
      </c>
      <c r="O4284">
        <f t="shared" si="138"/>
        <v>2025</v>
      </c>
      <c r="P4284">
        <f t="shared" si="139"/>
        <v>11</v>
      </c>
      <c r="Q4284" t="s">
        <v>784</v>
      </c>
      <c r="R4284" t="s">
        <v>805</v>
      </c>
    </row>
    <row r="4285" spans="1:18" x14ac:dyDescent="0.3">
      <c r="A4285" t="s">
        <v>627</v>
      </c>
      <c r="B4285" s="16">
        <v>45968</v>
      </c>
      <c r="C4285" t="s">
        <v>3</v>
      </c>
      <c r="D4285" t="s">
        <v>123</v>
      </c>
      <c r="E4285">
        <v>49</v>
      </c>
      <c r="F4285">
        <v>18</v>
      </c>
      <c r="G4285">
        <v>6</v>
      </c>
      <c r="H4285">
        <v>0</v>
      </c>
      <c r="I4285">
        <v>10820</v>
      </c>
      <c r="J4285">
        <v>3</v>
      </c>
      <c r="K4285">
        <v>10820</v>
      </c>
      <c r="L4285">
        <v>3</v>
      </c>
      <c r="M4285">
        <v>37</v>
      </c>
      <c r="N4285">
        <v>30</v>
      </c>
      <c r="O4285">
        <f t="shared" si="138"/>
        <v>2025</v>
      </c>
      <c r="P4285">
        <f t="shared" si="139"/>
        <v>11</v>
      </c>
      <c r="Q4285" t="s">
        <v>784</v>
      </c>
      <c r="R4285" t="s">
        <v>805</v>
      </c>
    </row>
    <row r="4286" spans="1:18" x14ac:dyDescent="0.3">
      <c r="A4286" t="s">
        <v>627</v>
      </c>
      <c r="B4286" s="16">
        <v>45968</v>
      </c>
      <c r="C4286" t="s">
        <v>3</v>
      </c>
      <c r="D4286" t="s">
        <v>121</v>
      </c>
      <c r="E4286">
        <v>15</v>
      </c>
      <c r="F4286">
        <v>15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15</v>
      </c>
      <c r="O4286">
        <f t="shared" si="138"/>
        <v>2025</v>
      </c>
      <c r="P4286">
        <f t="shared" si="139"/>
        <v>11</v>
      </c>
      <c r="Q4286" t="s">
        <v>784</v>
      </c>
      <c r="R4286" t="s">
        <v>805</v>
      </c>
    </row>
    <row r="4287" spans="1:18" x14ac:dyDescent="0.3">
      <c r="A4287" t="s">
        <v>627</v>
      </c>
      <c r="B4287" s="16">
        <v>45968</v>
      </c>
      <c r="C4287" t="s">
        <v>3</v>
      </c>
      <c r="D4287" t="s">
        <v>119</v>
      </c>
      <c r="E4287">
        <v>285</v>
      </c>
      <c r="F4287">
        <v>58</v>
      </c>
      <c r="G4287">
        <v>20</v>
      </c>
      <c r="H4287">
        <v>5</v>
      </c>
      <c r="I4287">
        <v>128090</v>
      </c>
      <c r="J4287">
        <v>18</v>
      </c>
      <c r="K4287">
        <v>93055</v>
      </c>
      <c r="L4287">
        <v>17</v>
      </c>
      <c r="M4287">
        <v>49</v>
      </c>
      <c r="N4287">
        <v>278</v>
      </c>
      <c r="O4287">
        <f t="shared" si="138"/>
        <v>2025</v>
      </c>
      <c r="P4287">
        <f t="shared" si="139"/>
        <v>11</v>
      </c>
      <c r="Q4287" t="s">
        <v>784</v>
      </c>
      <c r="R4287" t="s">
        <v>805</v>
      </c>
    </row>
    <row r="4288" spans="1:18" x14ac:dyDescent="0.3">
      <c r="A4288" t="s">
        <v>627</v>
      </c>
      <c r="B4288" s="16">
        <v>45968</v>
      </c>
      <c r="C4288" t="s">
        <v>3</v>
      </c>
      <c r="D4288" t="s">
        <v>252</v>
      </c>
      <c r="E4288">
        <v>6</v>
      </c>
      <c r="F4288">
        <v>6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6</v>
      </c>
      <c r="O4288">
        <f t="shared" si="138"/>
        <v>2025</v>
      </c>
      <c r="P4288">
        <f t="shared" si="139"/>
        <v>11</v>
      </c>
      <c r="Q4288" t="s">
        <v>784</v>
      </c>
      <c r="R4288" t="s">
        <v>805</v>
      </c>
    </row>
    <row r="4289" spans="1:18" x14ac:dyDescent="0.3">
      <c r="A4289" t="s">
        <v>627</v>
      </c>
      <c r="B4289" s="16">
        <v>45968</v>
      </c>
      <c r="C4289" t="s">
        <v>3</v>
      </c>
      <c r="D4289" t="s">
        <v>117</v>
      </c>
      <c r="E4289">
        <v>2</v>
      </c>
      <c r="F4289">
        <v>2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2</v>
      </c>
      <c r="O4289">
        <f t="shared" si="138"/>
        <v>2025</v>
      </c>
      <c r="P4289">
        <f t="shared" si="139"/>
        <v>11</v>
      </c>
      <c r="Q4289" t="s">
        <v>784</v>
      </c>
      <c r="R4289" t="s">
        <v>805</v>
      </c>
    </row>
    <row r="4290" spans="1:18" x14ac:dyDescent="0.3">
      <c r="A4290" t="s">
        <v>627</v>
      </c>
      <c r="B4290" s="16">
        <v>45968</v>
      </c>
      <c r="C4290" t="s">
        <v>3</v>
      </c>
      <c r="D4290" t="s">
        <v>391</v>
      </c>
      <c r="E4290">
        <v>637</v>
      </c>
      <c r="F4290">
        <v>326</v>
      </c>
      <c r="G4290">
        <v>27</v>
      </c>
      <c r="H4290">
        <v>4</v>
      </c>
      <c r="I4290">
        <v>29978.42</v>
      </c>
      <c r="J4290">
        <v>5</v>
      </c>
      <c r="K4290">
        <v>33128.42</v>
      </c>
      <c r="L4290">
        <v>6</v>
      </c>
      <c r="M4290">
        <v>95</v>
      </c>
      <c r="N4290">
        <v>627</v>
      </c>
      <c r="O4290">
        <f t="shared" si="138"/>
        <v>2025</v>
      </c>
      <c r="P4290">
        <f t="shared" si="139"/>
        <v>11</v>
      </c>
      <c r="Q4290" t="s">
        <v>784</v>
      </c>
      <c r="R4290" t="s">
        <v>805</v>
      </c>
    </row>
    <row r="4291" spans="1:18" x14ac:dyDescent="0.3">
      <c r="A4291" t="s">
        <v>627</v>
      </c>
      <c r="B4291" s="16">
        <v>45968</v>
      </c>
      <c r="C4291" t="s">
        <v>3</v>
      </c>
      <c r="D4291" t="s">
        <v>114</v>
      </c>
      <c r="E4291">
        <v>159</v>
      </c>
      <c r="F4291">
        <v>65</v>
      </c>
      <c r="G4291">
        <v>5</v>
      </c>
      <c r="H4291">
        <v>3</v>
      </c>
      <c r="I4291">
        <v>0</v>
      </c>
      <c r="J4291">
        <v>0</v>
      </c>
      <c r="K4291">
        <v>0</v>
      </c>
      <c r="L4291">
        <v>0</v>
      </c>
      <c r="M4291">
        <v>6</v>
      </c>
      <c r="N4291">
        <v>158</v>
      </c>
      <c r="O4291">
        <f t="shared" si="138"/>
        <v>2025</v>
      </c>
      <c r="P4291">
        <f t="shared" si="139"/>
        <v>11</v>
      </c>
      <c r="Q4291" t="s">
        <v>784</v>
      </c>
      <c r="R4291" t="s">
        <v>805</v>
      </c>
    </row>
    <row r="4292" spans="1:18" x14ac:dyDescent="0.3">
      <c r="A4292" t="s">
        <v>627</v>
      </c>
      <c r="B4292" s="16">
        <v>45968</v>
      </c>
      <c r="C4292" t="s">
        <v>3</v>
      </c>
      <c r="D4292" t="s">
        <v>113</v>
      </c>
      <c r="E4292">
        <v>130</v>
      </c>
      <c r="F4292">
        <v>58</v>
      </c>
      <c r="G4292">
        <v>7</v>
      </c>
      <c r="H4292">
        <v>1</v>
      </c>
      <c r="I4292">
        <v>6635</v>
      </c>
      <c r="J4292">
        <v>2</v>
      </c>
      <c r="K4292">
        <v>6635</v>
      </c>
      <c r="L4292">
        <v>2</v>
      </c>
      <c r="M4292">
        <v>104</v>
      </c>
      <c r="N4292">
        <v>63</v>
      </c>
      <c r="O4292">
        <f t="shared" si="138"/>
        <v>2025</v>
      </c>
      <c r="P4292">
        <f t="shared" si="139"/>
        <v>11</v>
      </c>
      <c r="Q4292" t="s">
        <v>784</v>
      </c>
      <c r="R4292" t="s">
        <v>805</v>
      </c>
    </row>
    <row r="4293" spans="1:18" x14ac:dyDescent="0.3">
      <c r="A4293" t="s">
        <v>627</v>
      </c>
      <c r="B4293" s="16">
        <v>45968</v>
      </c>
      <c r="C4293" t="s">
        <v>3</v>
      </c>
      <c r="D4293" t="s">
        <v>112</v>
      </c>
      <c r="E4293">
        <v>46</v>
      </c>
      <c r="F4293">
        <v>14</v>
      </c>
      <c r="G4293">
        <v>1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46</v>
      </c>
      <c r="O4293">
        <f t="shared" si="138"/>
        <v>2025</v>
      </c>
      <c r="P4293">
        <f t="shared" si="139"/>
        <v>11</v>
      </c>
      <c r="Q4293" t="s">
        <v>784</v>
      </c>
      <c r="R4293" t="s">
        <v>805</v>
      </c>
    </row>
    <row r="4294" spans="1:18" x14ac:dyDescent="0.3">
      <c r="A4294" t="s">
        <v>627</v>
      </c>
      <c r="B4294" s="16">
        <v>45968</v>
      </c>
      <c r="C4294" t="s">
        <v>3</v>
      </c>
      <c r="D4294" t="s">
        <v>111</v>
      </c>
      <c r="E4294">
        <v>6</v>
      </c>
      <c r="F4294">
        <v>1</v>
      </c>
      <c r="G4294">
        <v>1</v>
      </c>
      <c r="H4294">
        <v>0</v>
      </c>
      <c r="I4294">
        <v>990</v>
      </c>
      <c r="J4294">
        <v>1</v>
      </c>
      <c r="K4294">
        <v>990</v>
      </c>
      <c r="L4294">
        <v>1</v>
      </c>
      <c r="M4294">
        <v>0</v>
      </c>
      <c r="N4294">
        <v>6</v>
      </c>
      <c r="O4294">
        <f t="shared" si="138"/>
        <v>2025</v>
      </c>
      <c r="P4294">
        <f t="shared" si="139"/>
        <v>11</v>
      </c>
      <c r="Q4294" t="s">
        <v>784</v>
      </c>
      <c r="R4294" t="s">
        <v>805</v>
      </c>
    </row>
    <row r="4295" spans="1:18" x14ac:dyDescent="0.3">
      <c r="A4295" t="s">
        <v>627</v>
      </c>
      <c r="B4295" s="16">
        <v>45967</v>
      </c>
      <c r="C4295" t="s">
        <v>2</v>
      </c>
      <c r="D4295" t="s">
        <v>4</v>
      </c>
      <c r="E4295">
        <v>348</v>
      </c>
      <c r="F4295">
        <v>97</v>
      </c>
      <c r="G4295">
        <v>5</v>
      </c>
      <c r="H4295">
        <v>1</v>
      </c>
      <c r="I4295">
        <v>12922.44</v>
      </c>
      <c r="J4295">
        <v>3</v>
      </c>
      <c r="K4295">
        <v>12922.44</v>
      </c>
      <c r="L4295">
        <v>3</v>
      </c>
      <c r="M4295">
        <v>2</v>
      </c>
      <c r="N4295">
        <v>348</v>
      </c>
      <c r="O4295">
        <f t="shared" si="138"/>
        <v>2025</v>
      </c>
      <c r="P4295">
        <f t="shared" si="139"/>
        <v>11</v>
      </c>
      <c r="Q4295" t="s">
        <v>784</v>
      </c>
      <c r="R4295" t="s">
        <v>805</v>
      </c>
    </row>
    <row r="4296" spans="1:18" x14ac:dyDescent="0.3">
      <c r="A4296" t="s">
        <v>627</v>
      </c>
      <c r="B4296" s="16">
        <v>45967</v>
      </c>
      <c r="C4296" t="s">
        <v>2</v>
      </c>
      <c r="D4296" t="s">
        <v>57</v>
      </c>
      <c r="E4296">
        <v>32325</v>
      </c>
      <c r="F4296">
        <v>17782</v>
      </c>
      <c r="G4296">
        <v>129</v>
      </c>
      <c r="H4296">
        <v>136</v>
      </c>
      <c r="I4296">
        <v>78903</v>
      </c>
      <c r="J4296">
        <v>15</v>
      </c>
      <c r="K4296">
        <v>43593</v>
      </c>
      <c r="L4296">
        <v>11</v>
      </c>
      <c r="M4296">
        <v>1403</v>
      </c>
      <c r="N4296">
        <v>31925</v>
      </c>
      <c r="O4296">
        <f t="shared" si="138"/>
        <v>2025</v>
      </c>
      <c r="P4296">
        <f t="shared" si="139"/>
        <v>11</v>
      </c>
      <c r="Q4296" t="s">
        <v>784</v>
      </c>
      <c r="R4296" t="s">
        <v>805</v>
      </c>
    </row>
    <row r="4297" spans="1:18" x14ac:dyDescent="0.3">
      <c r="A4297" t="s">
        <v>627</v>
      </c>
      <c r="B4297" s="16">
        <v>45967</v>
      </c>
      <c r="C4297" t="s">
        <v>2</v>
      </c>
      <c r="D4297" t="s">
        <v>55</v>
      </c>
      <c r="E4297">
        <v>859</v>
      </c>
      <c r="F4297">
        <v>443</v>
      </c>
      <c r="G4297">
        <v>12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38</v>
      </c>
      <c r="N4297">
        <v>432</v>
      </c>
      <c r="O4297">
        <f t="shared" ref="O4297:O4360" si="140">YEAR(B4297)</f>
        <v>2025</v>
      </c>
      <c r="P4297">
        <f t="shared" ref="P4297:P4360" si="141">MONTH(B4297)</f>
        <v>11</v>
      </c>
      <c r="Q4297" t="s">
        <v>784</v>
      </c>
      <c r="R4297" t="s">
        <v>805</v>
      </c>
    </row>
    <row r="4298" spans="1:18" x14ac:dyDescent="0.3">
      <c r="A4298" t="s">
        <v>627</v>
      </c>
      <c r="B4298" s="16">
        <v>45967</v>
      </c>
      <c r="C4298" t="s">
        <v>3</v>
      </c>
      <c r="D4298" t="s">
        <v>155</v>
      </c>
      <c r="E4298">
        <v>58</v>
      </c>
      <c r="F4298">
        <v>24</v>
      </c>
      <c r="G4298">
        <v>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1</v>
      </c>
      <c r="N4298">
        <v>58</v>
      </c>
      <c r="O4298">
        <f t="shared" si="140"/>
        <v>2025</v>
      </c>
      <c r="P4298">
        <f t="shared" si="141"/>
        <v>11</v>
      </c>
      <c r="Q4298" t="s">
        <v>784</v>
      </c>
      <c r="R4298" t="s">
        <v>805</v>
      </c>
    </row>
    <row r="4299" spans="1:18" x14ac:dyDescent="0.3">
      <c r="A4299" t="s">
        <v>627</v>
      </c>
      <c r="B4299" s="16">
        <v>45967</v>
      </c>
      <c r="C4299" t="s">
        <v>3</v>
      </c>
      <c r="D4299" t="s">
        <v>154</v>
      </c>
      <c r="E4299">
        <v>215</v>
      </c>
      <c r="F4299">
        <v>171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f t="shared" si="140"/>
        <v>2025</v>
      </c>
      <c r="P4299">
        <f t="shared" si="141"/>
        <v>11</v>
      </c>
      <c r="Q4299" t="s">
        <v>784</v>
      </c>
      <c r="R4299" t="s">
        <v>805</v>
      </c>
    </row>
    <row r="4300" spans="1:18" x14ac:dyDescent="0.3">
      <c r="A4300" t="s">
        <v>627</v>
      </c>
      <c r="B4300" s="16">
        <v>45967</v>
      </c>
      <c r="C4300" t="s">
        <v>3</v>
      </c>
      <c r="D4300" t="s">
        <v>153</v>
      </c>
      <c r="E4300">
        <v>375</v>
      </c>
      <c r="F4300">
        <v>72</v>
      </c>
      <c r="G4300">
        <v>34</v>
      </c>
      <c r="H4300">
        <v>1</v>
      </c>
      <c r="I4300">
        <v>143628.44</v>
      </c>
      <c r="J4300">
        <v>30</v>
      </c>
      <c r="K4300">
        <v>113718.44</v>
      </c>
      <c r="L4300">
        <v>28</v>
      </c>
      <c r="M4300">
        <v>103</v>
      </c>
      <c r="N4300">
        <v>356</v>
      </c>
      <c r="O4300">
        <f t="shared" si="140"/>
        <v>2025</v>
      </c>
      <c r="P4300">
        <f t="shared" si="141"/>
        <v>11</v>
      </c>
      <c r="Q4300" t="s">
        <v>784</v>
      </c>
      <c r="R4300" t="s">
        <v>805</v>
      </c>
    </row>
    <row r="4301" spans="1:18" x14ac:dyDescent="0.3">
      <c r="A4301" t="s">
        <v>627</v>
      </c>
      <c r="B4301" s="16">
        <v>45967</v>
      </c>
      <c r="C4301" t="s">
        <v>3</v>
      </c>
      <c r="D4301" t="s">
        <v>152</v>
      </c>
      <c r="E4301">
        <v>14</v>
      </c>
      <c r="F4301">
        <v>2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12</v>
      </c>
      <c r="O4301">
        <f t="shared" si="140"/>
        <v>2025</v>
      </c>
      <c r="P4301">
        <f t="shared" si="141"/>
        <v>11</v>
      </c>
      <c r="Q4301" t="s">
        <v>784</v>
      </c>
      <c r="R4301" t="s">
        <v>805</v>
      </c>
    </row>
    <row r="4302" spans="1:18" x14ac:dyDescent="0.3">
      <c r="A4302" t="s">
        <v>627</v>
      </c>
      <c r="B4302" s="16">
        <v>45967</v>
      </c>
      <c r="C4302" t="s">
        <v>3</v>
      </c>
      <c r="D4302" t="s">
        <v>149</v>
      </c>
      <c r="E4302">
        <v>6</v>
      </c>
      <c r="F4302">
        <v>1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1</v>
      </c>
      <c r="O4302">
        <f t="shared" si="140"/>
        <v>2025</v>
      </c>
      <c r="P4302">
        <f t="shared" si="141"/>
        <v>11</v>
      </c>
      <c r="Q4302" t="s">
        <v>784</v>
      </c>
      <c r="R4302" t="s">
        <v>805</v>
      </c>
    </row>
    <row r="4303" spans="1:18" x14ac:dyDescent="0.3">
      <c r="A4303" t="s">
        <v>627</v>
      </c>
      <c r="B4303" s="16">
        <v>45967</v>
      </c>
      <c r="C4303" t="s">
        <v>3</v>
      </c>
      <c r="D4303" t="s">
        <v>367</v>
      </c>
      <c r="E4303">
        <v>261</v>
      </c>
      <c r="F4303">
        <v>189</v>
      </c>
      <c r="G4303">
        <v>5</v>
      </c>
      <c r="H4303">
        <v>3</v>
      </c>
      <c r="I4303">
        <v>10470</v>
      </c>
      <c r="J4303">
        <v>1</v>
      </c>
      <c r="K4303">
        <v>0</v>
      </c>
      <c r="L4303">
        <v>0</v>
      </c>
      <c r="M4303">
        <v>0</v>
      </c>
      <c r="N4303">
        <v>261</v>
      </c>
      <c r="O4303">
        <f t="shared" si="140"/>
        <v>2025</v>
      </c>
      <c r="P4303">
        <f t="shared" si="141"/>
        <v>11</v>
      </c>
      <c r="Q4303" t="s">
        <v>784</v>
      </c>
      <c r="R4303" t="s">
        <v>805</v>
      </c>
    </row>
    <row r="4304" spans="1:18" x14ac:dyDescent="0.3">
      <c r="A4304" t="s">
        <v>627</v>
      </c>
      <c r="B4304" s="16">
        <v>45967</v>
      </c>
      <c r="C4304" t="s">
        <v>3</v>
      </c>
      <c r="D4304" t="s">
        <v>251</v>
      </c>
      <c r="E4304">
        <v>1424</v>
      </c>
      <c r="F4304">
        <v>1032</v>
      </c>
      <c r="G4304">
        <v>26</v>
      </c>
      <c r="H4304">
        <v>4</v>
      </c>
      <c r="I4304">
        <v>39162.44</v>
      </c>
      <c r="J4304">
        <v>8</v>
      </c>
      <c r="K4304">
        <v>39162.44</v>
      </c>
      <c r="L4304">
        <v>8</v>
      </c>
      <c r="M4304">
        <v>107</v>
      </c>
      <c r="N4304">
        <v>490</v>
      </c>
      <c r="O4304">
        <f t="shared" si="140"/>
        <v>2025</v>
      </c>
      <c r="P4304">
        <f t="shared" si="141"/>
        <v>11</v>
      </c>
      <c r="Q4304" t="s">
        <v>784</v>
      </c>
      <c r="R4304" t="s">
        <v>805</v>
      </c>
    </row>
    <row r="4305" spans="1:18" x14ac:dyDescent="0.3">
      <c r="A4305" t="s">
        <v>627</v>
      </c>
      <c r="B4305" s="16">
        <v>45967</v>
      </c>
      <c r="C4305" t="s">
        <v>3</v>
      </c>
      <c r="D4305" t="s">
        <v>143</v>
      </c>
      <c r="E4305">
        <v>1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1</v>
      </c>
      <c r="O4305">
        <f t="shared" si="140"/>
        <v>2025</v>
      </c>
      <c r="P4305">
        <f t="shared" si="141"/>
        <v>11</v>
      </c>
      <c r="Q4305" t="s">
        <v>784</v>
      </c>
      <c r="R4305" t="s">
        <v>805</v>
      </c>
    </row>
    <row r="4306" spans="1:18" x14ac:dyDescent="0.3">
      <c r="A4306" t="s">
        <v>627</v>
      </c>
      <c r="B4306" s="16">
        <v>45967</v>
      </c>
      <c r="C4306" t="s">
        <v>3</v>
      </c>
      <c r="D4306" t="s">
        <v>141</v>
      </c>
      <c r="E4306">
        <v>245</v>
      </c>
      <c r="F4306">
        <v>62</v>
      </c>
      <c r="G4306">
        <v>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2</v>
      </c>
      <c r="N4306">
        <v>243</v>
      </c>
      <c r="O4306">
        <f t="shared" si="140"/>
        <v>2025</v>
      </c>
      <c r="P4306">
        <f t="shared" si="141"/>
        <v>11</v>
      </c>
      <c r="Q4306" t="s">
        <v>784</v>
      </c>
      <c r="R4306" t="s">
        <v>805</v>
      </c>
    </row>
    <row r="4307" spans="1:18" x14ac:dyDescent="0.3">
      <c r="A4307" t="s">
        <v>627</v>
      </c>
      <c r="B4307" s="16">
        <v>45967</v>
      </c>
      <c r="C4307" t="s">
        <v>3</v>
      </c>
      <c r="D4307" t="s">
        <v>140</v>
      </c>
      <c r="E4307">
        <v>4</v>
      </c>
      <c r="F4307">
        <v>3</v>
      </c>
      <c r="G4307">
        <v>1</v>
      </c>
      <c r="H4307">
        <v>1</v>
      </c>
      <c r="I4307">
        <v>3800</v>
      </c>
      <c r="J4307">
        <v>1</v>
      </c>
      <c r="K4307">
        <v>3800</v>
      </c>
      <c r="L4307">
        <v>1</v>
      </c>
      <c r="M4307">
        <v>1</v>
      </c>
      <c r="N4307">
        <v>4</v>
      </c>
      <c r="O4307">
        <f t="shared" si="140"/>
        <v>2025</v>
      </c>
      <c r="P4307">
        <f t="shared" si="141"/>
        <v>11</v>
      </c>
      <c r="Q4307" t="s">
        <v>784</v>
      </c>
      <c r="R4307" t="s">
        <v>805</v>
      </c>
    </row>
    <row r="4308" spans="1:18" x14ac:dyDescent="0.3">
      <c r="A4308" t="s">
        <v>627</v>
      </c>
      <c r="B4308" s="16">
        <v>45967</v>
      </c>
      <c r="C4308" t="s">
        <v>3</v>
      </c>
      <c r="D4308" t="s">
        <v>139</v>
      </c>
      <c r="E4308">
        <v>1518</v>
      </c>
      <c r="F4308">
        <v>611</v>
      </c>
      <c r="G4308">
        <v>61</v>
      </c>
      <c r="H4308">
        <v>11</v>
      </c>
      <c r="I4308">
        <v>66416.63</v>
      </c>
      <c r="J4308">
        <v>11</v>
      </c>
      <c r="K4308">
        <v>47486.63</v>
      </c>
      <c r="L4308">
        <v>10</v>
      </c>
      <c r="M4308">
        <v>363</v>
      </c>
      <c r="N4308">
        <v>1240</v>
      </c>
      <c r="O4308">
        <f t="shared" si="140"/>
        <v>2025</v>
      </c>
      <c r="P4308">
        <f t="shared" si="141"/>
        <v>11</v>
      </c>
      <c r="Q4308" t="s">
        <v>784</v>
      </c>
      <c r="R4308" t="s">
        <v>805</v>
      </c>
    </row>
    <row r="4309" spans="1:18" x14ac:dyDescent="0.3">
      <c r="A4309" t="s">
        <v>627</v>
      </c>
      <c r="B4309" s="16">
        <v>45967</v>
      </c>
      <c r="C4309" t="s">
        <v>3</v>
      </c>
      <c r="D4309" t="s">
        <v>138</v>
      </c>
      <c r="E4309">
        <v>24</v>
      </c>
      <c r="F4309">
        <v>9</v>
      </c>
      <c r="G4309">
        <v>0</v>
      </c>
      <c r="H4309">
        <v>0</v>
      </c>
      <c r="I4309">
        <v>3840.19</v>
      </c>
      <c r="J4309">
        <v>1</v>
      </c>
      <c r="K4309">
        <v>3840.19</v>
      </c>
      <c r="L4309">
        <v>1</v>
      </c>
      <c r="M4309">
        <v>1</v>
      </c>
      <c r="N4309">
        <v>24</v>
      </c>
      <c r="O4309">
        <f t="shared" si="140"/>
        <v>2025</v>
      </c>
      <c r="P4309">
        <f t="shared" si="141"/>
        <v>11</v>
      </c>
      <c r="Q4309" t="s">
        <v>784</v>
      </c>
      <c r="R4309" t="s">
        <v>805</v>
      </c>
    </row>
    <row r="4310" spans="1:18" x14ac:dyDescent="0.3">
      <c r="A4310" t="s">
        <v>627</v>
      </c>
      <c r="B4310" s="16">
        <v>45967</v>
      </c>
      <c r="C4310" t="s">
        <v>3</v>
      </c>
      <c r="D4310" t="s">
        <v>133</v>
      </c>
      <c r="E4310">
        <v>35</v>
      </c>
      <c r="F4310">
        <v>27</v>
      </c>
      <c r="G4310">
        <v>1</v>
      </c>
      <c r="H4310">
        <v>0</v>
      </c>
      <c r="I4310">
        <v>5250</v>
      </c>
      <c r="J4310">
        <v>1</v>
      </c>
      <c r="K4310">
        <v>5250</v>
      </c>
      <c r="L4310">
        <v>1</v>
      </c>
      <c r="M4310">
        <v>5</v>
      </c>
      <c r="N4310">
        <v>33</v>
      </c>
      <c r="O4310">
        <f t="shared" si="140"/>
        <v>2025</v>
      </c>
      <c r="P4310">
        <f t="shared" si="141"/>
        <v>11</v>
      </c>
      <c r="Q4310" t="s">
        <v>784</v>
      </c>
      <c r="R4310" t="s">
        <v>805</v>
      </c>
    </row>
    <row r="4311" spans="1:18" x14ac:dyDescent="0.3">
      <c r="A4311" t="s">
        <v>627</v>
      </c>
      <c r="B4311" s="16">
        <v>45967</v>
      </c>
      <c r="C4311" t="s">
        <v>3</v>
      </c>
      <c r="D4311" t="s">
        <v>130</v>
      </c>
      <c r="E4311">
        <v>165</v>
      </c>
      <c r="F4311">
        <v>60</v>
      </c>
      <c r="G4311">
        <v>8</v>
      </c>
      <c r="H4311">
        <v>1</v>
      </c>
      <c r="I4311">
        <v>32983</v>
      </c>
      <c r="J4311">
        <v>6</v>
      </c>
      <c r="K4311">
        <v>17523</v>
      </c>
      <c r="L4311">
        <v>4</v>
      </c>
      <c r="M4311">
        <v>97</v>
      </c>
      <c r="N4311">
        <v>107</v>
      </c>
      <c r="O4311">
        <f t="shared" si="140"/>
        <v>2025</v>
      </c>
      <c r="P4311">
        <f t="shared" si="141"/>
        <v>11</v>
      </c>
      <c r="Q4311" t="s">
        <v>784</v>
      </c>
      <c r="R4311" t="s">
        <v>805</v>
      </c>
    </row>
    <row r="4312" spans="1:18" x14ac:dyDescent="0.3">
      <c r="A4312" t="s">
        <v>627</v>
      </c>
      <c r="B4312" s="16">
        <v>45967</v>
      </c>
      <c r="C4312" t="s">
        <v>3</v>
      </c>
      <c r="D4312" t="s">
        <v>128</v>
      </c>
      <c r="E4312">
        <v>2519</v>
      </c>
      <c r="F4312">
        <v>2105</v>
      </c>
      <c r="G4312">
        <v>69</v>
      </c>
      <c r="H4312">
        <v>21</v>
      </c>
      <c r="I4312">
        <v>87435.44</v>
      </c>
      <c r="J4312">
        <v>17</v>
      </c>
      <c r="K4312">
        <v>64075.44</v>
      </c>
      <c r="L4312">
        <v>14</v>
      </c>
      <c r="M4312">
        <v>321</v>
      </c>
      <c r="N4312">
        <v>2427</v>
      </c>
      <c r="O4312">
        <f t="shared" si="140"/>
        <v>2025</v>
      </c>
      <c r="P4312">
        <f t="shared" si="141"/>
        <v>11</v>
      </c>
      <c r="Q4312" t="s">
        <v>784</v>
      </c>
      <c r="R4312" t="s">
        <v>805</v>
      </c>
    </row>
    <row r="4313" spans="1:18" x14ac:dyDescent="0.3">
      <c r="A4313" t="s">
        <v>627</v>
      </c>
      <c r="B4313" s="16">
        <v>45967</v>
      </c>
      <c r="C4313" t="s">
        <v>3</v>
      </c>
      <c r="D4313" t="s">
        <v>127</v>
      </c>
      <c r="E4313">
        <v>8727</v>
      </c>
      <c r="F4313">
        <v>3705</v>
      </c>
      <c r="G4313">
        <v>157</v>
      </c>
      <c r="H4313">
        <v>53</v>
      </c>
      <c r="I4313">
        <v>83650.19</v>
      </c>
      <c r="J4313">
        <v>17</v>
      </c>
      <c r="K4313">
        <v>62690.19</v>
      </c>
      <c r="L4313">
        <v>16</v>
      </c>
      <c r="M4313">
        <v>448</v>
      </c>
      <c r="N4313">
        <v>8651</v>
      </c>
      <c r="O4313">
        <f t="shared" si="140"/>
        <v>2025</v>
      </c>
      <c r="P4313">
        <f t="shared" si="141"/>
        <v>11</v>
      </c>
      <c r="Q4313" t="s">
        <v>784</v>
      </c>
      <c r="R4313" t="s">
        <v>805</v>
      </c>
    </row>
    <row r="4314" spans="1:18" x14ac:dyDescent="0.3">
      <c r="A4314" t="s">
        <v>627</v>
      </c>
      <c r="B4314" s="16">
        <v>45967</v>
      </c>
      <c r="C4314" t="s">
        <v>3</v>
      </c>
      <c r="D4314" t="s">
        <v>126</v>
      </c>
      <c r="E4314">
        <v>202</v>
      </c>
      <c r="F4314">
        <v>134</v>
      </c>
      <c r="G4314">
        <v>7</v>
      </c>
      <c r="H4314">
        <v>1</v>
      </c>
      <c r="I4314">
        <v>0</v>
      </c>
      <c r="J4314">
        <v>0</v>
      </c>
      <c r="K4314">
        <v>0</v>
      </c>
      <c r="L4314">
        <v>0</v>
      </c>
      <c r="M4314">
        <v>25</v>
      </c>
      <c r="N4314">
        <v>192</v>
      </c>
      <c r="O4314">
        <f t="shared" si="140"/>
        <v>2025</v>
      </c>
      <c r="P4314">
        <f t="shared" si="141"/>
        <v>11</v>
      </c>
      <c r="Q4314" t="s">
        <v>784</v>
      </c>
      <c r="R4314" t="s">
        <v>805</v>
      </c>
    </row>
    <row r="4315" spans="1:18" x14ac:dyDescent="0.3">
      <c r="A4315" t="s">
        <v>627</v>
      </c>
      <c r="B4315" s="16">
        <v>45967</v>
      </c>
      <c r="C4315" t="s">
        <v>3</v>
      </c>
      <c r="D4315" t="s">
        <v>125</v>
      </c>
      <c r="E4315">
        <v>1</v>
      </c>
      <c r="F4315">
        <v>1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1</v>
      </c>
      <c r="N4315">
        <v>1</v>
      </c>
      <c r="O4315">
        <f t="shared" si="140"/>
        <v>2025</v>
      </c>
      <c r="P4315">
        <f t="shared" si="141"/>
        <v>11</v>
      </c>
      <c r="Q4315" t="s">
        <v>784</v>
      </c>
      <c r="R4315" t="s">
        <v>805</v>
      </c>
    </row>
    <row r="4316" spans="1:18" x14ac:dyDescent="0.3">
      <c r="A4316" t="s">
        <v>627</v>
      </c>
      <c r="B4316" s="16">
        <v>45967</v>
      </c>
      <c r="C4316" t="s">
        <v>3</v>
      </c>
      <c r="D4316" t="s">
        <v>123</v>
      </c>
      <c r="E4316">
        <v>48</v>
      </c>
      <c r="F4316">
        <v>24</v>
      </c>
      <c r="G4316">
        <v>3</v>
      </c>
      <c r="H4316">
        <v>0</v>
      </c>
      <c r="I4316">
        <v>16025</v>
      </c>
      <c r="J4316">
        <v>3</v>
      </c>
      <c r="K4316">
        <v>16025</v>
      </c>
      <c r="L4316">
        <v>3</v>
      </c>
      <c r="M4316">
        <v>42</v>
      </c>
      <c r="N4316">
        <v>28</v>
      </c>
      <c r="O4316">
        <f t="shared" si="140"/>
        <v>2025</v>
      </c>
      <c r="P4316">
        <f t="shared" si="141"/>
        <v>11</v>
      </c>
      <c r="Q4316" t="s">
        <v>784</v>
      </c>
      <c r="R4316" t="s">
        <v>805</v>
      </c>
    </row>
    <row r="4317" spans="1:18" x14ac:dyDescent="0.3">
      <c r="A4317" t="s">
        <v>627</v>
      </c>
      <c r="B4317" s="16">
        <v>45967</v>
      </c>
      <c r="C4317" t="s">
        <v>3</v>
      </c>
      <c r="D4317" t="s">
        <v>119</v>
      </c>
      <c r="E4317">
        <v>266</v>
      </c>
      <c r="F4317">
        <v>54</v>
      </c>
      <c r="G4317">
        <v>19</v>
      </c>
      <c r="H4317">
        <v>4</v>
      </c>
      <c r="I4317">
        <v>75120</v>
      </c>
      <c r="J4317">
        <v>13</v>
      </c>
      <c r="K4317">
        <v>36700</v>
      </c>
      <c r="L4317">
        <v>10</v>
      </c>
      <c r="M4317">
        <v>47</v>
      </c>
      <c r="N4317">
        <v>257</v>
      </c>
      <c r="O4317">
        <f t="shared" si="140"/>
        <v>2025</v>
      </c>
      <c r="P4317">
        <f t="shared" si="141"/>
        <v>11</v>
      </c>
      <c r="Q4317" t="s">
        <v>784</v>
      </c>
      <c r="R4317" t="s">
        <v>805</v>
      </c>
    </row>
    <row r="4318" spans="1:18" x14ac:dyDescent="0.3">
      <c r="A4318" t="s">
        <v>627</v>
      </c>
      <c r="B4318" s="16">
        <v>45967</v>
      </c>
      <c r="C4318" t="s">
        <v>3</v>
      </c>
      <c r="D4318" t="s">
        <v>252</v>
      </c>
      <c r="E4318">
        <v>3</v>
      </c>
      <c r="F4318">
        <v>3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3</v>
      </c>
      <c r="O4318">
        <f t="shared" si="140"/>
        <v>2025</v>
      </c>
      <c r="P4318">
        <f t="shared" si="141"/>
        <v>11</v>
      </c>
      <c r="Q4318" t="s">
        <v>784</v>
      </c>
      <c r="R4318" t="s">
        <v>805</v>
      </c>
    </row>
    <row r="4319" spans="1:18" x14ac:dyDescent="0.3">
      <c r="A4319" t="s">
        <v>627</v>
      </c>
      <c r="B4319" s="16">
        <v>45967</v>
      </c>
      <c r="C4319" t="s">
        <v>3</v>
      </c>
      <c r="D4319" t="s">
        <v>117</v>
      </c>
      <c r="E4319">
        <v>1</v>
      </c>
      <c r="F4319">
        <v>1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1</v>
      </c>
      <c r="O4319">
        <f t="shared" si="140"/>
        <v>2025</v>
      </c>
      <c r="P4319">
        <f t="shared" si="141"/>
        <v>11</v>
      </c>
      <c r="Q4319" t="s">
        <v>784</v>
      </c>
      <c r="R4319" t="s">
        <v>805</v>
      </c>
    </row>
    <row r="4320" spans="1:18" x14ac:dyDescent="0.3">
      <c r="A4320" t="s">
        <v>627</v>
      </c>
      <c r="B4320" s="16">
        <v>45967</v>
      </c>
      <c r="C4320" t="s">
        <v>3</v>
      </c>
      <c r="D4320" t="s">
        <v>391</v>
      </c>
      <c r="E4320">
        <v>580</v>
      </c>
      <c r="F4320">
        <v>302</v>
      </c>
      <c r="G4320">
        <v>16</v>
      </c>
      <c r="H4320">
        <v>3</v>
      </c>
      <c r="I4320">
        <v>14506.87</v>
      </c>
      <c r="J4320">
        <v>3</v>
      </c>
      <c r="K4320">
        <v>11356.87</v>
      </c>
      <c r="L4320">
        <v>2</v>
      </c>
      <c r="M4320">
        <v>83</v>
      </c>
      <c r="N4320">
        <v>568</v>
      </c>
      <c r="O4320">
        <f t="shared" si="140"/>
        <v>2025</v>
      </c>
      <c r="P4320">
        <f t="shared" si="141"/>
        <v>11</v>
      </c>
      <c r="Q4320" t="s">
        <v>784</v>
      </c>
      <c r="R4320" t="s">
        <v>805</v>
      </c>
    </row>
    <row r="4321" spans="1:18" x14ac:dyDescent="0.3">
      <c r="A4321" t="s">
        <v>627</v>
      </c>
      <c r="B4321" s="16">
        <v>45967</v>
      </c>
      <c r="C4321" t="s">
        <v>3</v>
      </c>
      <c r="D4321" t="s">
        <v>114</v>
      </c>
      <c r="E4321">
        <v>139</v>
      </c>
      <c r="F4321">
        <v>59</v>
      </c>
      <c r="G4321">
        <v>3</v>
      </c>
      <c r="H4321">
        <v>1</v>
      </c>
      <c r="I4321">
        <v>0</v>
      </c>
      <c r="J4321">
        <v>0</v>
      </c>
      <c r="K4321">
        <v>0</v>
      </c>
      <c r="L4321">
        <v>0</v>
      </c>
      <c r="M4321">
        <v>14</v>
      </c>
      <c r="N4321">
        <v>138</v>
      </c>
      <c r="O4321">
        <f t="shared" si="140"/>
        <v>2025</v>
      </c>
      <c r="P4321">
        <f t="shared" si="141"/>
        <v>11</v>
      </c>
      <c r="Q4321" t="s">
        <v>784</v>
      </c>
      <c r="R4321" t="s">
        <v>805</v>
      </c>
    </row>
    <row r="4322" spans="1:18" x14ac:dyDescent="0.3">
      <c r="A4322" t="s">
        <v>627</v>
      </c>
      <c r="B4322" s="16">
        <v>45967</v>
      </c>
      <c r="C4322" t="s">
        <v>3</v>
      </c>
      <c r="D4322" t="s">
        <v>113</v>
      </c>
      <c r="E4322">
        <v>109</v>
      </c>
      <c r="F4322">
        <v>41</v>
      </c>
      <c r="G4322">
        <v>2</v>
      </c>
      <c r="H4322">
        <v>4</v>
      </c>
      <c r="I4322">
        <v>2650</v>
      </c>
      <c r="J4322">
        <v>1</v>
      </c>
      <c r="K4322">
        <v>2650</v>
      </c>
      <c r="L4322">
        <v>1</v>
      </c>
      <c r="M4322">
        <v>94</v>
      </c>
      <c r="N4322">
        <v>67</v>
      </c>
      <c r="O4322">
        <f t="shared" si="140"/>
        <v>2025</v>
      </c>
      <c r="P4322">
        <f t="shared" si="141"/>
        <v>11</v>
      </c>
      <c r="Q4322" t="s">
        <v>784</v>
      </c>
      <c r="R4322" t="s">
        <v>805</v>
      </c>
    </row>
    <row r="4323" spans="1:18" x14ac:dyDescent="0.3">
      <c r="A4323" t="s">
        <v>627</v>
      </c>
      <c r="B4323" s="16">
        <v>45967</v>
      </c>
      <c r="C4323" t="s">
        <v>3</v>
      </c>
      <c r="D4323" t="s">
        <v>112</v>
      </c>
      <c r="E4323">
        <v>50</v>
      </c>
      <c r="F4323">
        <v>5</v>
      </c>
      <c r="G4323">
        <v>2</v>
      </c>
      <c r="H4323">
        <v>1</v>
      </c>
      <c r="I4323">
        <v>8175</v>
      </c>
      <c r="J4323">
        <v>2</v>
      </c>
      <c r="K4323">
        <v>8175</v>
      </c>
      <c r="L4323">
        <v>2</v>
      </c>
      <c r="M4323">
        <v>0</v>
      </c>
      <c r="N4323">
        <v>50</v>
      </c>
      <c r="O4323">
        <f t="shared" si="140"/>
        <v>2025</v>
      </c>
      <c r="P4323">
        <f t="shared" si="141"/>
        <v>11</v>
      </c>
      <c r="Q4323" t="s">
        <v>784</v>
      </c>
      <c r="R4323" t="s">
        <v>805</v>
      </c>
    </row>
    <row r="4324" spans="1:18" x14ac:dyDescent="0.3">
      <c r="A4324" t="s">
        <v>627</v>
      </c>
      <c r="B4324" s="16">
        <v>45967</v>
      </c>
      <c r="C4324" t="s">
        <v>3</v>
      </c>
      <c r="D4324" t="s">
        <v>111</v>
      </c>
      <c r="E4324">
        <v>4</v>
      </c>
      <c r="F4324">
        <v>0</v>
      </c>
      <c r="G4324">
        <v>0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4</v>
      </c>
      <c r="O4324">
        <f t="shared" si="140"/>
        <v>2025</v>
      </c>
      <c r="P4324">
        <f t="shared" si="141"/>
        <v>11</v>
      </c>
      <c r="Q4324" t="s">
        <v>784</v>
      </c>
      <c r="R4324" t="s">
        <v>805</v>
      </c>
    </row>
    <row r="4325" spans="1:18" x14ac:dyDescent="0.3">
      <c r="A4325" t="s">
        <v>627</v>
      </c>
      <c r="B4325" s="16">
        <v>45966</v>
      </c>
      <c r="C4325" t="s">
        <v>2</v>
      </c>
      <c r="D4325" t="s">
        <v>4</v>
      </c>
      <c r="E4325">
        <v>394</v>
      </c>
      <c r="F4325">
        <v>97</v>
      </c>
      <c r="G4325">
        <v>3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5</v>
      </c>
      <c r="N4325">
        <v>392</v>
      </c>
      <c r="O4325">
        <f t="shared" si="140"/>
        <v>2025</v>
      </c>
      <c r="P4325">
        <f t="shared" si="141"/>
        <v>11</v>
      </c>
      <c r="Q4325" t="s">
        <v>784</v>
      </c>
      <c r="R4325" t="s">
        <v>805</v>
      </c>
    </row>
    <row r="4326" spans="1:18" x14ac:dyDescent="0.3">
      <c r="A4326" t="s">
        <v>627</v>
      </c>
      <c r="B4326" s="16">
        <v>45966</v>
      </c>
      <c r="C4326" t="s">
        <v>2</v>
      </c>
      <c r="D4326" t="s">
        <v>57</v>
      </c>
      <c r="E4326">
        <v>36201</v>
      </c>
      <c r="F4326">
        <v>19817</v>
      </c>
      <c r="G4326">
        <v>185</v>
      </c>
      <c r="H4326">
        <v>180</v>
      </c>
      <c r="I4326">
        <v>156885</v>
      </c>
      <c r="J4326">
        <v>31</v>
      </c>
      <c r="K4326">
        <v>74015</v>
      </c>
      <c r="L4326">
        <v>20</v>
      </c>
      <c r="M4326">
        <v>1613</v>
      </c>
      <c r="N4326">
        <v>35794</v>
      </c>
      <c r="O4326">
        <f t="shared" si="140"/>
        <v>2025</v>
      </c>
      <c r="P4326">
        <f t="shared" si="141"/>
        <v>11</v>
      </c>
      <c r="Q4326" t="s">
        <v>784</v>
      </c>
      <c r="R4326" t="s">
        <v>805</v>
      </c>
    </row>
    <row r="4327" spans="1:18" x14ac:dyDescent="0.3">
      <c r="A4327" t="s">
        <v>627</v>
      </c>
      <c r="B4327" s="16">
        <v>45966</v>
      </c>
      <c r="C4327" t="s">
        <v>2</v>
      </c>
      <c r="D4327" t="s">
        <v>52</v>
      </c>
      <c r="E4327">
        <v>3</v>
      </c>
      <c r="F4327">
        <v>2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3</v>
      </c>
      <c r="O4327">
        <f t="shared" si="140"/>
        <v>2025</v>
      </c>
      <c r="P4327">
        <f t="shared" si="141"/>
        <v>11</v>
      </c>
      <c r="Q4327" t="s">
        <v>784</v>
      </c>
      <c r="R4327" t="s">
        <v>805</v>
      </c>
    </row>
    <row r="4328" spans="1:18" x14ac:dyDescent="0.3">
      <c r="A4328" t="s">
        <v>627</v>
      </c>
      <c r="B4328" s="16">
        <v>45966</v>
      </c>
      <c r="C4328" t="s">
        <v>2</v>
      </c>
      <c r="D4328" t="s">
        <v>55</v>
      </c>
      <c r="E4328">
        <v>1449</v>
      </c>
      <c r="F4328">
        <v>988</v>
      </c>
      <c r="G4328">
        <v>11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34</v>
      </c>
      <c r="N4328">
        <v>365</v>
      </c>
      <c r="O4328">
        <f t="shared" si="140"/>
        <v>2025</v>
      </c>
      <c r="P4328">
        <f t="shared" si="141"/>
        <v>11</v>
      </c>
      <c r="Q4328" t="s">
        <v>784</v>
      </c>
      <c r="R4328" t="s">
        <v>805</v>
      </c>
    </row>
    <row r="4329" spans="1:18" x14ac:dyDescent="0.3">
      <c r="A4329" t="s">
        <v>627</v>
      </c>
      <c r="B4329" s="16">
        <v>45966</v>
      </c>
      <c r="C4329" t="s">
        <v>3</v>
      </c>
      <c r="D4329" t="s">
        <v>155</v>
      </c>
      <c r="E4329">
        <v>89</v>
      </c>
      <c r="F4329">
        <v>36</v>
      </c>
      <c r="G4329">
        <v>0</v>
      </c>
      <c r="H4329">
        <v>2</v>
      </c>
      <c r="I4329">
        <v>0</v>
      </c>
      <c r="J4329">
        <v>0</v>
      </c>
      <c r="K4329">
        <v>0</v>
      </c>
      <c r="L4329">
        <v>0</v>
      </c>
      <c r="M4329">
        <v>2</v>
      </c>
      <c r="N4329">
        <v>89</v>
      </c>
      <c r="O4329">
        <f t="shared" si="140"/>
        <v>2025</v>
      </c>
      <c r="P4329">
        <f t="shared" si="141"/>
        <v>11</v>
      </c>
      <c r="Q4329" t="s">
        <v>784</v>
      </c>
      <c r="R4329" t="s">
        <v>805</v>
      </c>
    </row>
    <row r="4330" spans="1:18" x14ac:dyDescent="0.3">
      <c r="A4330" t="s">
        <v>627</v>
      </c>
      <c r="B4330" s="16">
        <v>45966</v>
      </c>
      <c r="C4330" t="s">
        <v>3</v>
      </c>
      <c r="D4330" t="s">
        <v>154</v>
      </c>
      <c r="E4330">
        <v>266</v>
      </c>
      <c r="F4330">
        <v>220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1</v>
      </c>
      <c r="O4330">
        <f t="shared" si="140"/>
        <v>2025</v>
      </c>
      <c r="P4330">
        <f t="shared" si="141"/>
        <v>11</v>
      </c>
      <c r="Q4330" t="s">
        <v>784</v>
      </c>
      <c r="R4330" t="s">
        <v>805</v>
      </c>
    </row>
    <row r="4331" spans="1:18" x14ac:dyDescent="0.3">
      <c r="A4331" t="s">
        <v>627</v>
      </c>
      <c r="B4331" s="16">
        <v>45966</v>
      </c>
      <c r="C4331" t="s">
        <v>3</v>
      </c>
      <c r="D4331" t="s">
        <v>153</v>
      </c>
      <c r="E4331">
        <v>373</v>
      </c>
      <c r="F4331">
        <v>70</v>
      </c>
      <c r="G4331">
        <v>35</v>
      </c>
      <c r="H4331">
        <v>6</v>
      </c>
      <c r="I4331">
        <v>251310.6</v>
      </c>
      <c r="J4331">
        <v>44</v>
      </c>
      <c r="K4331">
        <v>201735.6</v>
      </c>
      <c r="L4331">
        <v>42</v>
      </c>
      <c r="M4331">
        <v>80</v>
      </c>
      <c r="N4331">
        <v>367</v>
      </c>
      <c r="O4331">
        <f t="shared" si="140"/>
        <v>2025</v>
      </c>
      <c r="P4331">
        <f t="shared" si="141"/>
        <v>11</v>
      </c>
      <c r="Q4331" t="s">
        <v>784</v>
      </c>
      <c r="R4331" t="s">
        <v>805</v>
      </c>
    </row>
    <row r="4332" spans="1:18" x14ac:dyDescent="0.3">
      <c r="A4332" t="s">
        <v>627</v>
      </c>
      <c r="B4332" s="16">
        <v>45966</v>
      </c>
      <c r="C4332" t="s">
        <v>3</v>
      </c>
      <c r="D4332" t="s">
        <v>152</v>
      </c>
      <c r="E4332">
        <v>10</v>
      </c>
      <c r="F4332">
        <v>5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5</v>
      </c>
      <c r="O4332">
        <f t="shared" si="140"/>
        <v>2025</v>
      </c>
      <c r="P4332">
        <f t="shared" si="141"/>
        <v>11</v>
      </c>
      <c r="Q4332" t="s">
        <v>784</v>
      </c>
      <c r="R4332" t="s">
        <v>805</v>
      </c>
    </row>
    <row r="4333" spans="1:18" x14ac:dyDescent="0.3">
      <c r="A4333" t="s">
        <v>627</v>
      </c>
      <c r="B4333" s="16">
        <v>45966</v>
      </c>
      <c r="C4333" t="s">
        <v>3</v>
      </c>
      <c r="D4333" t="s">
        <v>149</v>
      </c>
      <c r="E4333">
        <v>5</v>
      </c>
      <c r="F4333">
        <v>2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1</v>
      </c>
      <c r="O4333">
        <f t="shared" si="140"/>
        <v>2025</v>
      </c>
      <c r="P4333">
        <f t="shared" si="141"/>
        <v>11</v>
      </c>
      <c r="Q4333" t="s">
        <v>784</v>
      </c>
      <c r="R4333" t="s">
        <v>805</v>
      </c>
    </row>
    <row r="4334" spans="1:18" x14ac:dyDescent="0.3">
      <c r="A4334" t="s">
        <v>627</v>
      </c>
      <c r="B4334" s="16">
        <v>45966</v>
      </c>
      <c r="C4334" t="s">
        <v>3</v>
      </c>
      <c r="D4334" t="s">
        <v>148</v>
      </c>
      <c r="E4334">
        <v>1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1</v>
      </c>
      <c r="N4334">
        <v>0</v>
      </c>
      <c r="O4334">
        <f t="shared" si="140"/>
        <v>2025</v>
      </c>
      <c r="P4334">
        <f t="shared" si="141"/>
        <v>11</v>
      </c>
      <c r="Q4334" t="s">
        <v>784</v>
      </c>
      <c r="R4334" t="s">
        <v>805</v>
      </c>
    </row>
    <row r="4335" spans="1:18" x14ac:dyDescent="0.3">
      <c r="A4335" t="s">
        <v>627</v>
      </c>
      <c r="B4335" s="16">
        <v>45966</v>
      </c>
      <c r="C4335" t="s">
        <v>3</v>
      </c>
      <c r="D4335" t="s">
        <v>367</v>
      </c>
      <c r="E4335">
        <v>187</v>
      </c>
      <c r="F4335">
        <v>130</v>
      </c>
      <c r="G4335">
        <v>2</v>
      </c>
      <c r="H4335">
        <v>0</v>
      </c>
      <c r="I4335">
        <v>7980</v>
      </c>
      <c r="J4335">
        <v>1</v>
      </c>
      <c r="K4335">
        <v>3990</v>
      </c>
      <c r="L4335">
        <v>1</v>
      </c>
      <c r="M4335">
        <v>0</v>
      </c>
      <c r="N4335">
        <v>187</v>
      </c>
      <c r="O4335">
        <f t="shared" si="140"/>
        <v>2025</v>
      </c>
      <c r="P4335">
        <f t="shared" si="141"/>
        <v>11</v>
      </c>
      <c r="Q4335" t="s">
        <v>784</v>
      </c>
      <c r="R4335" t="s">
        <v>805</v>
      </c>
    </row>
    <row r="4336" spans="1:18" x14ac:dyDescent="0.3">
      <c r="A4336" t="s">
        <v>627</v>
      </c>
      <c r="B4336" s="16">
        <v>45966</v>
      </c>
      <c r="C4336" t="s">
        <v>3</v>
      </c>
      <c r="D4336" t="s">
        <v>251</v>
      </c>
      <c r="E4336">
        <v>6608</v>
      </c>
      <c r="F4336">
        <v>5948</v>
      </c>
      <c r="G4336">
        <v>16</v>
      </c>
      <c r="H4336">
        <v>2</v>
      </c>
      <c r="I4336">
        <v>51674.39</v>
      </c>
      <c r="J4336">
        <v>10</v>
      </c>
      <c r="K4336">
        <v>43354.39</v>
      </c>
      <c r="L4336">
        <v>9</v>
      </c>
      <c r="M4336">
        <v>82</v>
      </c>
      <c r="N4336">
        <v>428</v>
      </c>
      <c r="O4336">
        <f t="shared" si="140"/>
        <v>2025</v>
      </c>
      <c r="P4336">
        <f t="shared" si="141"/>
        <v>11</v>
      </c>
      <c r="Q4336" t="s">
        <v>784</v>
      </c>
      <c r="R4336" t="s">
        <v>805</v>
      </c>
    </row>
    <row r="4337" spans="1:18" x14ac:dyDescent="0.3">
      <c r="A4337" t="s">
        <v>627</v>
      </c>
      <c r="B4337" s="16">
        <v>45966</v>
      </c>
      <c r="C4337" t="s">
        <v>3</v>
      </c>
      <c r="D4337" t="s">
        <v>143</v>
      </c>
      <c r="E4337">
        <v>3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3</v>
      </c>
      <c r="O4337">
        <f t="shared" si="140"/>
        <v>2025</v>
      </c>
      <c r="P4337">
        <f t="shared" si="141"/>
        <v>11</v>
      </c>
      <c r="Q4337" t="s">
        <v>784</v>
      </c>
      <c r="R4337" t="s">
        <v>805</v>
      </c>
    </row>
    <row r="4338" spans="1:18" x14ac:dyDescent="0.3">
      <c r="A4338" t="s">
        <v>627</v>
      </c>
      <c r="B4338" s="16">
        <v>45966</v>
      </c>
      <c r="C4338" t="s">
        <v>3</v>
      </c>
      <c r="D4338" t="s">
        <v>141</v>
      </c>
      <c r="E4338">
        <v>286</v>
      </c>
      <c r="F4338">
        <v>86</v>
      </c>
      <c r="G4338">
        <v>6</v>
      </c>
      <c r="H4338">
        <v>1</v>
      </c>
      <c r="I4338">
        <v>20750</v>
      </c>
      <c r="J4338">
        <v>2</v>
      </c>
      <c r="K4338">
        <v>4440</v>
      </c>
      <c r="L4338">
        <v>1</v>
      </c>
      <c r="M4338">
        <v>2</v>
      </c>
      <c r="N4338">
        <v>284</v>
      </c>
      <c r="O4338">
        <f t="shared" si="140"/>
        <v>2025</v>
      </c>
      <c r="P4338">
        <f t="shared" si="141"/>
        <v>11</v>
      </c>
      <c r="Q4338" t="s">
        <v>784</v>
      </c>
      <c r="R4338" t="s">
        <v>805</v>
      </c>
    </row>
    <row r="4339" spans="1:18" x14ac:dyDescent="0.3">
      <c r="A4339" t="s">
        <v>627</v>
      </c>
      <c r="B4339" s="16">
        <v>45966</v>
      </c>
      <c r="C4339" t="s">
        <v>3</v>
      </c>
      <c r="D4339" t="s">
        <v>140</v>
      </c>
      <c r="E4339">
        <v>6</v>
      </c>
      <c r="F4339">
        <v>5</v>
      </c>
      <c r="G4339">
        <v>1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1</v>
      </c>
      <c r="N4339">
        <v>6</v>
      </c>
      <c r="O4339">
        <f t="shared" si="140"/>
        <v>2025</v>
      </c>
      <c r="P4339">
        <f t="shared" si="141"/>
        <v>11</v>
      </c>
      <c r="Q4339" t="s">
        <v>784</v>
      </c>
      <c r="R4339" t="s">
        <v>805</v>
      </c>
    </row>
    <row r="4340" spans="1:18" x14ac:dyDescent="0.3">
      <c r="A4340" t="s">
        <v>627</v>
      </c>
      <c r="B4340" s="16">
        <v>45966</v>
      </c>
      <c r="C4340" t="s">
        <v>3</v>
      </c>
      <c r="D4340" t="s">
        <v>139</v>
      </c>
      <c r="E4340">
        <v>1682</v>
      </c>
      <c r="F4340">
        <v>695</v>
      </c>
      <c r="G4340">
        <v>40</v>
      </c>
      <c r="H4340">
        <v>18</v>
      </c>
      <c r="I4340">
        <v>139120</v>
      </c>
      <c r="J4340">
        <v>24</v>
      </c>
      <c r="K4340">
        <v>104080</v>
      </c>
      <c r="L4340">
        <v>21</v>
      </c>
      <c r="M4340">
        <v>330</v>
      </c>
      <c r="N4340">
        <v>1301</v>
      </c>
      <c r="O4340">
        <f t="shared" si="140"/>
        <v>2025</v>
      </c>
      <c r="P4340">
        <f t="shared" si="141"/>
        <v>11</v>
      </c>
      <c r="Q4340" t="s">
        <v>784</v>
      </c>
      <c r="R4340" t="s">
        <v>805</v>
      </c>
    </row>
    <row r="4341" spans="1:18" x14ac:dyDescent="0.3">
      <c r="A4341" t="s">
        <v>627</v>
      </c>
      <c r="B4341" s="16">
        <v>45966</v>
      </c>
      <c r="C4341" t="s">
        <v>3</v>
      </c>
      <c r="D4341" t="s">
        <v>138</v>
      </c>
      <c r="E4341">
        <v>22</v>
      </c>
      <c r="F4341">
        <v>10</v>
      </c>
      <c r="G4341">
        <v>1</v>
      </c>
      <c r="H4341">
        <v>1</v>
      </c>
      <c r="I4341">
        <v>22375</v>
      </c>
      <c r="J4341">
        <v>4</v>
      </c>
      <c r="K4341">
        <v>22375</v>
      </c>
      <c r="L4341">
        <v>4</v>
      </c>
      <c r="M4341">
        <v>2</v>
      </c>
      <c r="N4341">
        <v>22</v>
      </c>
      <c r="O4341">
        <f t="shared" si="140"/>
        <v>2025</v>
      </c>
      <c r="P4341">
        <f t="shared" si="141"/>
        <v>11</v>
      </c>
      <c r="Q4341" t="s">
        <v>784</v>
      </c>
      <c r="R4341" t="s">
        <v>805</v>
      </c>
    </row>
    <row r="4342" spans="1:18" x14ac:dyDescent="0.3">
      <c r="A4342" t="s">
        <v>627</v>
      </c>
      <c r="B4342" s="16">
        <v>45966</v>
      </c>
      <c r="C4342" t="s">
        <v>3</v>
      </c>
      <c r="D4342" t="s">
        <v>133</v>
      </c>
      <c r="E4342">
        <v>20</v>
      </c>
      <c r="F4342">
        <v>15</v>
      </c>
      <c r="G4342">
        <v>4</v>
      </c>
      <c r="H4342">
        <v>1</v>
      </c>
      <c r="I4342">
        <v>4930</v>
      </c>
      <c r="J4342">
        <v>2</v>
      </c>
      <c r="K4342">
        <v>4930</v>
      </c>
      <c r="L4342">
        <v>2</v>
      </c>
      <c r="M4342">
        <v>3</v>
      </c>
      <c r="N4342">
        <v>20</v>
      </c>
      <c r="O4342">
        <f t="shared" si="140"/>
        <v>2025</v>
      </c>
      <c r="P4342">
        <f t="shared" si="141"/>
        <v>11</v>
      </c>
      <c r="Q4342" t="s">
        <v>784</v>
      </c>
      <c r="R4342" t="s">
        <v>805</v>
      </c>
    </row>
    <row r="4343" spans="1:18" x14ac:dyDescent="0.3">
      <c r="A4343" t="s">
        <v>627</v>
      </c>
      <c r="B4343" s="16">
        <v>45966</v>
      </c>
      <c r="C4343" t="s">
        <v>3</v>
      </c>
      <c r="D4343" t="s">
        <v>130</v>
      </c>
      <c r="E4343">
        <v>114</v>
      </c>
      <c r="F4343">
        <v>35</v>
      </c>
      <c r="G4343">
        <v>19</v>
      </c>
      <c r="H4343">
        <v>3</v>
      </c>
      <c r="I4343">
        <v>50295</v>
      </c>
      <c r="J4343">
        <v>11</v>
      </c>
      <c r="K4343">
        <v>36155</v>
      </c>
      <c r="L4343">
        <v>10</v>
      </c>
      <c r="M4343">
        <v>43</v>
      </c>
      <c r="N4343">
        <v>105</v>
      </c>
      <c r="O4343">
        <f t="shared" si="140"/>
        <v>2025</v>
      </c>
      <c r="P4343">
        <f t="shared" si="141"/>
        <v>11</v>
      </c>
      <c r="Q4343" t="s">
        <v>784</v>
      </c>
      <c r="R4343" t="s">
        <v>805</v>
      </c>
    </row>
    <row r="4344" spans="1:18" x14ac:dyDescent="0.3">
      <c r="A4344" t="s">
        <v>627</v>
      </c>
      <c r="B4344" s="16">
        <v>45966</v>
      </c>
      <c r="C4344" t="s">
        <v>3</v>
      </c>
      <c r="D4344" t="s">
        <v>128</v>
      </c>
      <c r="E4344">
        <v>2863</v>
      </c>
      <c r="F4344">
        <v>2413</v>
      </c>
      <c r="G4344">
        <v>76</v>
      </c>
      <c r="H4344">
        <v>16</v>
      </c>
      <c r="I4344">
        <v>122210</v>
      </c>
      <c r="J4344">
        <v>19</v>
      </c>
      <c r="K4344">
        <v>44050</v>
      </c>
      <c r="L4344">
        <v>14</v>
      </c>
      <c r="M4344">
        <v>336</v>
      </c>
      <c r="N4344">
        <v>2779</v>
      </c>
      <c r="O4344">
        <f t="shared" si="140"/>
        <v>2025</v>
      </c>
      <c r="P4344">
        <f t="shared" si="141"/>
        <v>11</v>
      </c>
      <c r="Q4344" t="s">
        <v>784</v>
      </c>
      <c r="R4344" t="s">
        <v>805</v>
      </c>
    </row>
    <row r="4345" spans="1:18" x14ac:dyDescent="0.3">
      <c r="A4345" t="s">
        <v>627</v>
      </c>
      <c r="B4345" s="16">
        <v>45966</v>
      </c>
      <c r="C4345" t="s">
        <v>3</v>
      </c>
      <c r="D4345" t="s">
        <v>127</v>
      </c>
      <c r="E4345">
        <v>9634</v>
      </c>
      <c r="F4345">
        <v>4263</v>
      </c>
      <c r="G4345">
        <v>156</v>
      </c>
      <c r="H4345">
        <v>42</v>
      </c>
      <c r="I4345">
        <v>218400</v>
      </c>
      <c r="J4345">
        <v>29</v>
      </c>
      <c r="K4345">
        <v>155230</v>
      </c>
      <c r="L4345">
        <v>25</v>
      </c>
      <c r="M4345">
        <v>407</v>
      </c>
      <c r="N4345">
        <v>9540</v>
      </c>
      <c r="O4345">
        <f t="shared" si="140"/>
        <v>2025</v>
      </c>
      <c r="P4345">
        <f t="shared" si="141"/>
        <v>11</v>
      </c>
      <c r="Q4345" t="s">
        <v>784</v>
      </c>
      <c r="R4345" t="s">
        <v>805</v>
      </c>
    </row>
    <row r="4346" spans="1:18" x14ac:dyDescent="0.3">
      <c r="A4346" t="s">
        <v>627</v>
      </c>
      <c r="B4346" s="16">
        <v>45966</v>
      </c>
      <c r="C4346" t="s">
        <v>3</v>
      </c>
      <c r="D4346" t="s">
        <v>126</v>
      </c>
      <c r="E4346">
        <v>237</v>
      </c>
      <c r="F4346">
        <v>147</v>
      </c>
      <c r="G4346">
        <v>12</v>
      </c>
      <c r="H4346">
        <v>4</v>
      </c>
      <c r="I4346">
        <v>2090</v>
      </c>
      <c r="J4346">
        <v>1</v>
      </c>
      <c r="K4346">
        <v>2090</v>
      </c>
      <c r="L4346">
        <v>1</v>
      </c>
      <c r="M4346">
        <v>30</v>
      </c>
      <c r="N4346">
        <v>228</v>
      </c>
      <c r="O4346">
        <f t="shared" si="140"/>
        <v>2025</v>
      </c>
      <c r="P4346">
        <f t="shared" si="141"/>
        <v>11</v>
      </c>
      <c r="Q4346" t="s">
        <v>784</v>
      </c>
      <c r="R4346" t="s">
        <v>805</v>
      </c>
    </row>
    <row r="4347" spans="1:18" x14ac:dyDescent="0.3">
      <c r="A4347" t="s">
        <v>627</v>
      </c>
      <c r="B4347" s="16">
        <v>45966</v>
      </c>
      <c r="C4347" t="s">
        <v>3</v>
      </c>
      <c r="D4347" t="s">
        <v>123</v>
      </c>
      <c r="E4347">
        <v>49</v>
      </c>
      <c r="F4347">
        <v>26</v>
      </c>
      <c r="G4347">
        <v>3</v>
      </c>
      <c r="H4347">
        <v>1</v>
      </c>
      <c r="I4347">
        <v>20040</v>
      </c>
      <c r="J4347">
        <v>2</v>
      </c>
      <c r="K4347">
        <v>14640</v>
      </c>
      <c r="L4347">
        <v>2</v>
      </c>
      <c r="M4347">
        <v>40</v>
      </c>
      <c r="N4347">
        <v>28</v>
      </c>
      <c r="O4347">
        <f t="shared" si="140"/>
        <v>2025</v>
      </c>
      <c r="P4347">
        <f t="shared" si="141"/>
        <v>11</v>
      </c>
      <c r="Q4347" t="s">
        <v>784</v>
      </c>
      <c r="R4347" t="s">
        <v>805</v>
      </c>
    </row>
    <row r="4348" spans="1:18" x14ac:dyDescent="0.3">
      <c r="A4348" t="s">
        <v>627</v>
      </c>
      <c r="B4348" s="16">
        <v>45966</v>
      </c>
      <c r="C4348" t="s">
        <v>3</v>
      </c>
      <c r="D4348" t="s">
        <v>119</v>
      </c>
      <c r="E4348">
        <v>260</v>
      </c>
      <c r="F4348">
        <v>62</v>
      </c>
      <c r="G4348">
        <v>20</v>
      </c>
      <c r="H4348">
        <v>5</v>
      </c>
      <c r="I4348">
        <v>164690</v>
      </c>
      <c r="J4348">
        <v>22</v>
      </c>
      <c r="K4348">
        <v>140615</v>
      </c>
      <c r="L4348">
        <v>21</v>
      </c>
      <c r="M4348">
        <v>56</v>
      </c>
      <c r="N4348">
        <v>254</v>
      </c>
      <c r="O4348">
        <f t="shared" si="140"/>
        <v>2025</v>
      </c>
      <c r="P4348">
        <f t="shared" si="141"/>
        <v>11</v>
      </c>
      <c r="Q4348" t="s">
        <v>784</v>
      </c>
      <c r="R4348" t="s">
        <v>805</v>
      </c>
    </row>
    <row r="4349" spans="1:18" x14ac:dyDescent="0.3">
      <c r="A4349" t="s">
        <v>627</v>
      </c>
      <c r="B4349" s="16">
        <v>45966</v>
      </c>
      <c r="C4349" t="s">
        <v>3</v>
      </c>
      <c r="D4349" t="s">
        <v>252</v>
      </c>
      <c r="E4349">
        <v>4</v>
      </c>
      <c r="F4349">
        <v>4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4</v>
      </c>
      <c r="O4349">
        <f t="shared" si="140"/>
        <v>2025</v>
      </c>
      <c r="P4349">
        <f t="shared" si="141"/>
        <v>11</v>
      </c>
      <c r="Q4349" t="s">
        <v>784</v>
      </c>
      <c r="R4349" t="s">
        <v>805</v>
      </c>
    </row>
    <row r="4350" spans="1:18" x14ac:dyDescent="0.3">
      <c r="A4350" t="s">
        <v>627</v>
      </c>
      <c r="B4350" s="16">
        <v>45966</v>
      </c>
      <c r="C4350" t="s">
        <v>3</v>
      </c>
      <c r="D4350" t="s">
        <v>117</v>
      </c>
      <c r="E4350">
        <v>1</v>
      </c>
      <c r="F4350">
        <v>1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1</v>
      </c>
      <c r="O4350">
        <f t="shared" si="140"/>
        <v>2025</v>
      </c>
      <c r="P4350">
        <f t="shared" si="141"/>
        <v>11</v>
      </c>
      <c r="Q4350" t="s">
        <v>784</v>
      </c>
      <c r="R4350" t="s">
        <v>805</v>
      </c>
    </row>
    <row r="4351" spans="1:18" x14ac:dyDescent="0.3">
      <c r="A4351" t="s">
        <v>627</v>
      </c>
      <c r="B4351" s="16">
        <v>45966</v>
      </c>
      <c r="C4351" t="s">
        <v>3</v>
      </c>
      <c r="D4351" t="s">
        <v>391</v>
      </c>
      <c r="E4351">
        <v>594</v>
      </c>
      <c r="F4351">
        <v>283</v>
      </c>
      <c r="G4351">
        <v>20</v>
      </c>
      <c r="H4351">
        <v>3</v>
      </c>
      <c r="I4351">
        <v>13565</v>
      </c>
      <c r="J4351">
        <v>3</v>
      </c>
      <c r="K4351">
        <v>13565</v>
      </c>
      <c r="L4351">
        <v>3</v>
      </c>
      <c r="M4351">
        <v>84</v>
      </c>
      <c r="N4351">
        <v>577</v>
      </c>
      <c r="O4351">
        <f t="shared" si="140"/>
        <v>2025</v>
      </c>
      <c r="P4351">
        <f t="shared" si="141"/>
        <v>11</v>
      </c>
      <c r="Q4351" t="s">
        <v>784</v>
      </c>
      <c r="R4351" t="s">
        <v>805</v>
      </c>
    </row>
    <row r="4352" spans="1:18" x14ac:dyDescent="0.3">
      <c r="A4352" t="s">
        <v>627</v>
      </c>
      <c r="B4352" s="16">
        <v>45966</v>
      </c>
      <c r="C4352" t="s">
        <v>3</v>
      </c>
      <c r="D4352" t="s">
        <v>114</v>
      </c>
      <c r="E4352">
        <v>178</v>
      </c>
      <c r="F4352">
        <v>92</v>
      </c>
      <c r="G4352">
        <v>10</v>
      </c>
      <c r="H4352">
        <v>3</v>
      </c>
      <c r="I4352">
        <v>6480</v>
      </c>
      <c r="J4352">
        <v>2</v>
      </c>
      <c r="K4352">
        <v>3490</v>
      </c>
      <c r="L4352">
        <v>1</v>
      </c>
      <c r="M4352">
        <v>14</v>
      </c>
      <c r="N4352">
        <v>177</v>
      </c>
      <c r="O4352">
        <f t="shared" si="140"/>
        <v>2025</v>
      </c>
      <c r="P4352">
        <f t="shared" si="141"/>
        <v>11</v>
      </c>
      <c r="Q4352" t="s">
        <v>784</v>
      </c>
      <c r="R4352" t="s">
        <v>805</v>
      </c>
    </row>
    <row r="4353" spans="1:18" x14ac:dyDescent="0.3">
      <c r="A4353" t="s">
        <v>627</v>
      </c>
      <c r="B4353" s="16">
        <v>45966</v>
      </c>
      <c r="C4353" t="s">
        <v>3</v>
      </c>
      <c r="D4353" t="s">
        <v>113</v>
      </c>
      <c r="E4353">
        <v>97</v>
      </c>
      <c r="F4353">
        <v>36</v>
      </c>
      <c r="G4353">
        <v>3</v>
      </c>
      <c r="H4353">
        <v>0</v>
      </c>
      <c r="I4353">
        <v>21280</v>
      </c>
      <c r="J4353">
        <v>2</v>
      </c>
      <c r="K4353">
        <v>12435</v>
      </c>
      <c r="L4353">
        <v>2</v>
      </c>
      <c r="M4353">
        <v>75</v>
      </c>
      <c r="N4353">
        <v>59</v>
      </c>
      <c r="O4353">
        <f t="shared" si="140"/>
        <v>2025</v>
      </c>
      <c r="P4353">
        <f t="shared" si="141"/>
        <v>11</v>
      </c>
      <c r="Q4353" t="s">
        <v>784</v>
      </c>
      <c r="R4353" t="s">
        <v>805</v>
      </c>
    </row>
    <row r="4354" spans="1:18" x14ac:dyDescent="0.3">
      <c r="A4354" t="s">
        <v>627</v>
      </c>
      <c r="B4354" s="16">
        <v>45966</v>
      </c>
      <c r="C4354" t="s">
        <v>3</v>
      </c>
      <c r="D4354" t="s">
        <v>112</v>
      </c>
      <c r="E4354">
        <v>52</v>
      </c>
      <c r="F4354">
        <v>12</v>
      </c>
      <c r="G4354">
        <v>2</v>
      </c>
      <c r="H4354">
        <v>1</v>
      </c>
      <c r="I4354">
        <v>18549.38</v>
      </c>
      <c r="J4354">
        <v>4</v>
      </c>
      <c r="K4354">
        <v>14559.38</v>
      </c>
      <c r="L4354">
        <v>4</v>
      </c>
      <c r="M4354">
        <v>1</v>
      </c>
      <c r="N4354">
        <v>52</v>
      </c>
      <c r="O4354">
        <f t="shared" si="140"/>
        <v>2025</v>
      </c>
      <c r="P4354">
        <f t="shared" si="141"/>
        <v>11</v>
      </c>
      <c r="Q4354" t="s">
        <v>784</v>
      </c>
      <c r="R4354" t="s">
        <v>805</v>
      </c>
    </row>
    <row r="4355" spans="1:18" x14ac:dyDescent="0.3">
      <c r="A4355" t="s">
        <v>627</v>
      </c>
      <c r="B4355" s="16">
        <v>45965</v>
      </c>
      <c r="C4355" t="s">
        <v>2</v>
      </c>
      <c r="D4355" t="s">
        <v>4</v>
      </c>
      <c r="E4355">
        <v>377</v>
      </c>
      <c r="F4355">
        <v>92</v>
      </c>
      <c r="G4355">
        <v>0</v>
      </c>
      <c r="H4355">
        <v>3</v>
      </c>
      <c r="I4355">
        <v>9850</v>
      </c>
      <c r="J4355">
        <v>1</v>
      </c>
      <c r="K4355">
        <v>9850</v>
      </c>
      <c r="L4355">
        <v>1</v>
      </c>
      <c r="M4355">
        <v>3</v>
      </c>
      <c r="N4355">
        <v>376</v>
      </c>
      <c r="O4355">
        <f t="shared" si="140"/>
        <v>2025</v>
      </c>
      <c r="P4355">
        <f t="shared" si="141"/>
        <v>11</v>
      </c>
      <c r="Q4355" t="s">
        <v>784</v>
      </c>
      <c r="R4355" t="s">
        <v>805</v>
      </c>
    </row>
    <row r="4356" spans="1:18" x14ac:dyDescent="0.3">
      <c r="A4356" t="s">
        <v>627</v>
      </c>
      <c r="B4356" s="16">
        <v>45965</v>
      </c>
      <c r="C4356" t="s">
        <v>2</v>
      </c>
      <c r="D4356" t="s">
        <v>57</v>
      </c>
      <c r="E4356">
        <v>33613</v>
      </c>
      <c r="F4356">
        <v>18414</v>
      </c>
      <c r="G4356">
        <v>166</v>
      </c>
      <c r="H4356">
        <v>168</v>
      </c>
      <c r="I4356">
        <v>107130</v>
      </c>
      <c r="J4356">
        <v>22</v>
      </c>
      <c r="K4356">
        <v>56780</v>
      </c>
      <c r="L4356">
        <v>14</v>
      </c>
      <c r="M4356">
        <v>1536</v>
      </c>
      <c r="N4356">
        <v>33217</v>
      </c>
      <c r="O4356">
        <f t="shared" si="140"/>
        <v>2025</v>
      </c>
      <c r="P4356">
        <f t="shared" si="141"/>
        <v>11</v>
      </c>
      <c r="Q4356" t="s">
        <v>784</v>
      </c>
      <c r="R4356" t="s">
        <v>805</v>
      </c>
    </row>
    <row r="4357" spans="1:18" x14ac:dyDescent="0.3">
      <c r="A4357" t="s">
        <v>627</v>
      </c>
      <c r="B4357" s="16">
        <v>45965</v>
      </c>
      <c r="C4357" t="s">
        <v>2</v>
      </c>
      <c r="D4357" t="s">
        <v>52</v>
      </c>
      <c r="E4357">
        <v>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2</v>
      </c>
      <c r="O4357">
        <f t="shared" si="140"/>
        <v>2025</v>
      </c>
      <c r="P4357">
        <f t="shared" si="141"/>
        <v>11</v>
      </c>
      <c r="Q4357" t="s">
        <v>784</v>
      </c>
      <c r="R4357" t="s">
        <v>805</v>
      </c>
    </row>
    <row r="4358" spans="1:18" x14ac:dyDescent="0.3">
      <c r="A4358" t="s">
        <v>627</v>
      </c>
      <c r="B4358" s="16">
        <v>45965</v>
      </c>
      <c r="C4358" t="s">
        <v>2</v>
      </c>
      <c r="D4358" t="s">
        <v>55</v>
      </c>
      <c r="E4358">
        <v>65</v>
      </c>
      <c r="F4358">
        <v>41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64</v>
      </c>
      <c r="O4358">
        <f t="shared" si="140"/>
        <v>2025</v>
      </c>
      <c r="P4358">
        <f t="shared" si="141"/>
        <v>11</v>
      </c>
      <c r="Q4358" t="s">
        <v>784</v>
      </c>
      <c r="R4358" t="s">
        <v>805</v>
      </c>
    </row>
    <row r="4359" spans="1:18" x14ac:dyDescent="0.3">
      <c r="A4359" t="s">
        <v>627</v>
      </c>
      <c r="B4359" s="16">
        <v>45965</v>
      </c>
      <c r="C4359" t="s">
        <v>3</v>
      </c>
      <c r="D4359" t="s">
        <v>155</v>
      </c>
      <c r="E4359">
        <v>70</v>
      </c>
      <c r="F4359">
        <v>26</v>
      </c>
      <c r="G4359">
        <v>1</v>
      </c>
      <c r="H4359">
        <v>1</v>
      </c>
      <c r="I4359">
        <v>0</v>
      </c>
      <c r="J4359">
        <v>0</v>
      </c>
      <c r="K4359">
        <v>0</v>
      </c>
      <c r="L4359">
        <v>0</v>
      </c>
      <c r="M4359">
        <v>1</v>
      </c>
      <c r="N4359">
        <v>70</v>
      </c>
      <c r="O4359">
        <f t="shared" si="140"/>
        <v>2025</v>
      </c>
      <c r="P4359">
        <f t="shared" si="141"/>
        <v>11</v>
      </c>
      <c r="Q4359" t="s">
        <v>784</v>
      </c>
      <c r="R4359" t="s">
        <v>805</v>
      </c>
    </row>
    <row r="4360" spans="1:18" x14ac:dyDescent="0.3">
      <c r="A4360" t="s">
        <v>627</v>
      </c>
      <c r="B4360" s="16">
        <v>45965</v>
      </c>
      <c r="C4360" t="s">
        <v>3</v>
      </c>
      <c r="D4360" t="s">
        <v>154</v>
      </c>
      <c r="E4360">
        <v>1</v>
      </c>
      <c r="F4360">
        <v>1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f t="shared" si="140"/>
        <v>2025</v>
      </c>
      <c r="P4360">
        <f t="shared" si="141"/>
        <v>11</v>
      </c>
      <c r="Q4360" t="s">
        <v>784</v>
      </c>
      <c r="R4360" t="s">
        <v>805</v>
      </c>
    </row>
    <row r="4361" spans="1:18" x14ac:dyDescent="0.3">
      <c r="A4361" t="s">
        <v>627</v>
      </c>
      <c r="B4361" s="16">
        <v>45965</v>
      </c>
      <c r="C4361" t="s">
        <v>3</v>
      </c>
      <c r="D4361" t="s">
        <v>153</v>
      </c>
      <c r="E4361">
        <v>400</v>
      </c>
      <c r="F4361">
        <v>79</v>
      </c>
      <c r="G4361">
        <v>32</v>
      </c>
      <c r="H4361">
        <v>3</v>
      </c>
      <c r="I4361">
        <v>128469.21</v>
      </c>
      <c r="J4361">
        <v>29</v>
      </c>
      <c r="K4361">
        <v>97809.21</v>
      </c>
      <c r="L4361">
        <v>26</v>
      </c>
      <c r="M4361">
        <v>96</v>
      </c>
      <c r="N4361">
        <v>389</v>
      </c>
      <c r="O4361">
        <f t="shared" ref="O4361:O4424" si="142">YEAR(B4361)</f>
        <v>2025</v>
      </c>
      <c r="P4361">
        <f t="shared" ref="P4361:P4424" si="143">MONTH(B4361)</f>
        <v>11</v>
      </c>
      <c r="Q4361" t="s">
        <v>784</v>
      </c>
      <c r="R4361" t="s">
        <v>805</v>
      </c>
    </row>
    <row r="4362" spans="1:18" x14ac:dyDescent="0.3">
      <c r="A4362" t="s">
        <v>627</v>
      </c>
      <c r="B4362" s="16">
        <v>45965</v>
      </c>
      <c r="C4362" t="s">
        <v>3</v>
      </c>
      <c r="D4362" t="s">
        <v>152</v>
      </c>
      <c r="E4362">
        <v>38</v>
      </c>
      <c r="F4362">
        <v>19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38</v>
      </c>
      <c r="O4362">
        <f t="shared" si="142"/>
        <v>2025</v>
      </c>
      <c r="P4362">
        <f t="shared" si="143"/>
        <v>11</v>
      </c>
      <c r="Q4362" t="s">
        <v>784</v>
      </c>
      <c r="R4362" t="s">
        <v>805</v>
      </c>
    </row>
    <row r="4363" spans="1:18" x14ac:dyDescent="0.3">
      <c r="A4363" t="s">
        <v>627</v>
      </c>
      <c r="B4363" s="16">
        <v>45965</v>
      </c>
      <c r="C4363" t="s">
        <v>3</v>
      </c>
      <c r="D4363" t="s">
        <v>148</v>
      </c>
      <c r="E4363">
        <v>1</v>
      </c>
      <c r="F4363">
        <v>1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1</v>
      </c>
      <c r="O4363">
        <f t="shared" si="142"/>
        <v>2025</v>
      </c>
      <c r="P4363">
        <f t="shared" si="143"/>
        <v>11</v>
      </c>
      <c r="Q4363" t="s">
        <v>784</v>
      </c>
      <c r="R4363" t="s">
        <v>805</v>
      </c>
    </row>
    <row r="4364" spans="1:18" x14ac:dyDescent="0.3">
      <c r="A4364" t="s">
        <v>627</v>
      </c>
      <c r="B4364" s="16">
        <v>45965</v>
      </c>
      <c r="C4364" t="s">
        <v>3</v>
      </c>
      <c r="D4364" t="s">
        <v>367</v>
      </c>
      <c r="E4364">
        <v>189</v>
      </c>
      <c r="F4364">
        <v>139</v>
      </c>
      <c r="G4364">
        <v>4</v>
      </c>
      <c r="H4364">
        <v>1</v>
      </c>
      <c r="I4364">
        <v>6990</v>
      </c>
      <c r="J4364">
        <v>1</v>
      </c>
      <c r="K4364">
        <v>6990</v>
      </c>
      <c r="L4364">
        <v>1</v>
      </c>
      <c r="M4364">
        <v>1</v>
      </c>
      <c r="N4364">
        <v>189</v>
      </c>
      <c r="O4364">
        <f t="shared" si="142"/>
        <v>2025</v>
      </c>
      <c r="P4364">
        <f t="shared" si="143"/>
        <v>11</v>
      </c>
      <c r="Q4364" t="s">
        <v>784</v>
      </c>
      <c r="R4364" t="s">
        <v>805</v>
      </c>
    </row>
    <row r="4365" spans="1:18" x14ac:dyDescent="0.3">
      <c r="A4365" t="s">
        <v>627</v>
      </c>
      <c r="B4365" s="16">
        <v>45965</v>
      </c>
      <c r="C4365" t="s">
        <v>3</v>
      </c>
      <c r="D4365" t="s">
        <v>251</v>
      </c>
      <c r="E4365">
        <v>477</v>
      </c>
      <c r="F4365">
        <v>194</v>
      </c>
      <c r="G4365">
        <v>15</v>
      </c>
      <c r="H4365">
        <v>6</v>
      </c>
      <c r="I4365">
        <v>32650</v>
      </c>
      <c r="J4365">
        <v>5</v>
      </c>
      <c r="K4365">
        <v>24670</v>
      </c>
      <c r="L4365">
        <v>5</v>
      </c>
      <c r="M4365">
        <v>96</v>
      </c>
      <c r="N4365">
        <v>435</v>
      </c>
      <c r="O4365">
        <f t="shared" si="142"/>
        <v>2025</v>
      </c>
      <c r="P4365">
        <f t="shared" si="143"/>
        <v>11</v>
      </c>
      <c r="Q4365" t="s">
        <v>784</v>
      </c>
      <c r="R4365" t="s">
        <v>805</v>
      </c>
    </row>
    <row r="4366" spans="1:18" x14ac:dyDescent="0.3">
      <c r="A4366" t="s">
        <v>627</v>
      </c>
      <c r="B4366" s="16">
        <v>45965</v>
      </c>
      <c r="C4366" t="s">
        <v>3</v>
      </c>
      <c r="D4366" t="s">
        <v>143</v>
      </c>
      <c r="E4366">
        <v>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2</v>
      </c>
      <c r="O4366">
        <f t="shared" si="142"/>
        <v>2025</v>
      </c>
      <c r="P4366">
        <f t="shared" si="143"/>
        <v>11</v>
      </c>
      <c r="Q4366" t="s">
        <v>784</v>
      </c>
      <c r="R4366" t="s">
        <v>805</v>
      </c>
    </row>
    <row r="4367" spans="1:18" x14ac:dyDescent="0.3">
      <c r="A4367" t="s">
        <v>627</v>
      </c>
      <c r="B4367" s="16">
        <v>45965</v>
      </c>
      <c r="C4367" t="s">
        <v>3</v>
      </c>
      <c r="D4367" t="s">
        <v>141</v>
      </c>
      <c r="E4367">
        <v>265</v>
      </c>
      <c r="F4367">
        <v>97</v>
      </c>
      <c r="G4367">
        <v>3</v>
      </c>
      <c r="H4367">
        <v>2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265</v>
      </c>
      <c r="O4367">
        <f t="shared" si="142"/>
        <v>2025</v>
      </c>
      <c r="P4367">
        <f t="shared" si="143"/>
        <v>11</v>
      </c>
      <c r="Q4367" t="s">
        <v>784</v>
      </c>
      <c r="R4367" t="s">
        <v>805</v>
      </c>
    </row>
    <row r="4368" spans="1:18" x14ac:dyDescent="0.3">
      <c r="A4368" t="s">
        <v>627</v>
      </c>
      <c r="B4368" s="16">
        <v>45965</v>
      </c>
      <c r="C4368" t="s">
        <v>3</v>
      </c>
      <c r="D4368" t="s">
        <v>140</v>
      </c>
      <c r="E4368">
        <v>18</v>
      </c>
      <c r="F4368">
        <v>15</v>
      </c>
      <c r="G4368">
        <v>3</v>
      </c>
      <c r="H4368">
        <v>1</v>
      </c>
      <c r="I4368">
        <v>7295</v>
      </c>
      <c r="J4368">
        <v>1</v>
      </c>
      <c r="K4368">
        <v>7295</v>
      </c>
      <c r="L4368">
        <v>1</v>
      </c>
      <c r="M4368">
        <v>3</v>
      </c>
      <c r="N4368">
        <v>18</v>
      </c>
      <c r="O4368">
        <f t="shared" si="142"/>
        <v>2025</v>
      </c>
      <c r="P4368">
        <f t="shared" si="143"/>
        <v>11</v>
      </c>
      <c r="Q4368" t="s">
        <v>784</v>
      </c>
      <c r="R4368" t="s">
        <v>805</v>
      </c>
    </row>
    <row r="4369" spans="1:18" x14ac:dyDescent="0.3">
      <c r="A4369" t="s">
        <v>627</v>
      </c>
      <c r="B4369" s="16">
        <v>45965</v>
      </c>
      <c r="C4369" t="s">
        <v>3</v>
      </c>
      <c r="D4369" t="s">
        <v>139</v>
      </c>
      <c r="E4369">
        <v>2320</v>
      </c>
      <c r="F4369">
        <v>1165</v>
      </c>
      <c r="G4369">
        <v>55</v>
      </c>
      <c r="H4369">
        <v>13</v>
      </c>
      <c r="I4369">
        <v>78774</v>
      </c>
      <c r="J4369">
        <v>17</v>
      </c>
      <c r="K4369">
        <v>76274</v>
      </c>
      <c r="L4369">
        <v>16</v>
      </c>
      <c r="M4369">
        <v>293</v>
      </c>
      <c r="N4369">
        <v>2235</v>
      </c>
      <c r="O4369">
        <f t="shared" si="142"/>
        <v>2025</v>
      </c>
      <c r="P4369">
        <f t="shared" si="143"/>
        <v>11</v>
      </c>
      <c r="Q4369" t="s">
        <v>784</v>
      </c>
      <c r="R4369" t="s">
        <v>805</v>
      </c>
    </row>
    <row r="4370" spans="1:18" x14ac:dyDescent="0.3">
      <c r="A4370" t="s">
        <v>627</v>
      </c>
      <c r="B4370" s="16">
        <v>45965</v>
      </c>
      <c r="C4370" t="s">
        <v>3</v>
      </c>
      <c r="D4370" t="s">
        <v>138</v>
      </c>
      <c r="E4370">
        <v>30</v>
      </c>
      <c r="F4370">
        <v>12</v>
      </c>
      <c r="G4370">
        <v>0</v>
      </c>
      <c r="H4370">
        <v>0</v>
      </c>
      <c r="I4370">
        <v>4495</v>
      </c>
      <c r="J4370">
        <v>1</v>
      </c>
      <c r="K4370">
        <v>4495</v>
      </c>
      <c r="L4370">
        <v>1</v>
      </c>
      <c r="M4370">
        <v>4</v>
      </c>
      <c r="N4370">
        <v>30</v>
      </c>
      <c r="O4370">
        <f t="shared" si="142"/>
        <v>2025</v>
      </c>
      <c r="P4370">
        <f t="shared" si="143"/>
        <v>11</v>
      </c>
      <c r="Q4370" t="s">
        <v>784</v>
      </c>
      <c r="R4370" t="s">
        <v>805</v>
      </c>
    </row>
    <row r="4371" spans="1:18" x14ac:dyDescent="0.3">
      <c r="A4371" t="s">
        <v>627</v>
      </c>
      <c r="B4371" s="16">
        <v>45965</v>
      </c>
      <c r="C4371" t="s">
        <v>3</v>
      </c>
      <c r="D4371" t="s">
        <v>133</v>
      </c>
      <c r="E4371">
        <v>17</v>
      </c>
      <c r="F4371">
        <v>13</v>
      </c>
      <c r="G4371">
        <v>2</v>
      </c>
      <c r="H4371">
        <v>0</v>
      </c>
      <c r="I4371">
        <v>10930</v>
      </c>
      <c r="J4371">
        <v>2</v>
      </c>
      <c r="K4371">
        <v>3940</v>
      </c>
      <c r="L4371">
        <v>1</v>
      </c>
      <c r="M4371">
        <v>2</v>
      </c>
      <c r="N4371">
        <v>17</v>
      </c>
      <c r="O4371">
        <f t="shared" si="142"/>
        <v>2025</v>
      </c>
      <c r="P4371">
        <f t="shared" si="143"/>
        <v>11</v>
      </c>
      <c r="Q4371" t="s">
        <v>784</v>
      </c>
      <c r="R4371" t="s">
        <v>805</v>
      </c>
    </row>
    <row r="4372" spans="1:18" x14ac:dyDescent="0.3">
      <c r="A4372" t="s">
        <v>627</v>
      </c>
      <c r="B4372" s="16">
        <v>45965</v>
      </c>
      <c r="C4372" t="s">
        <v>3</v>
      </c>
      <c r="D4372" t="s">
        <v>130</v>
      </c>
      <c r="E4372">
        <v>113</v>
      </c>
      <c r="F4372">
        <v>39</v>
      </c>
      <c r="G4372">
        <v>4</v>
      </c>
      <c r="H4372">
        <v>1</v>
      </c>
      <c r="I4372">
        <v>8570</v>
      </c>
      <c r="J4372">
        <v>3</v>
      </c>
      <c r="K4372">
        <v>4080</v>
      </c>
      <c r="L4372">
        <v>2</v>
      </c>
      <c r="M4372">
        <v>44</v>
      </c>
      <c r="N4372">
        <v>95</v>
      </c>
      <c r="O4372">
        <f t="shared" si="142"/>
        <v>2025</v>
      </c>
      <c r="P4372">
        <f t="shared" si="143"/>
        <v>11</v>
      </c>
      <c r="Q4372" t="s">
        <v>784</v>
      </c>
      <c r="R4372" t="s">
        <v>805</v>
      </c>
    </row>
    <row r="4373" spans="1:18" x14ac:dyDescent="0.3">
      <c r="A4373" t="s">
        <v>627</v>
      </c>
      <c r="B4373" s="16">
        <v>45965</v>
      </c>
      <c r="C4373" t="s">
        <v>3</v>
      </c>
      <c r="D4373" t="s">
        <v>128</v>
      </c>
      <c r="E4373">
        <v>2492</v>
      </c>
      <c r="F4373">
        <v>2037</v>
      </c>
      <c r="G4373">
        <v>67</v>
      </c>
      <c r="H4373">
        <v>14</v>
      </c>
      <c r="I4373">
        <v>45065</v>
      </c>
      <c r="J4373">
        <v>11</v>
      </c>
      <c r="K4373">
        <v>37085</v>
      </c>
      <c r="L4373">
        <v>11</v>
      </c>
      <c r="M4373">
        <v>367</v>
      </c>
      <c r="N4373">
        <v>2407</v>
      </c>
      <c r="O4373">
        <f t="shared" si="142"/>
        <v>2025</v>
      </c>
      <c r="P4373">
        <f t="shared" si="143"/>
        <v>11</v>
      </c>
      <c r="Q4373" t="s">
        <v>784</v>
      </c>
      <c r="R4373" t="s">
        <v>805</v>
      </c>
    </row>
    <row r="4374" spans="1:18" x14ac:dyDescent="0.3">
      <c r="A4374" t="s">
        <v>627</v>
      </c>
      <c r="B4374" s="16">
        <v>45965</v>
      </c>
      <c r="C4374" t="s">
        <v>3</v>
      </c>
      <c r="D4374" t="s">
        <v>127</v>
      </c>
      <c r="E4374">
        <v>22420</v>
      </c>
      <c r="F4374">
        <v>13509</v>
      </c>
      <c r="G4374">
        <v>123</v>
      </c>
      <c r="H4374">
        <v>45</v>
      </c>
      <c r="I4374">
        <v>48735</v>
      </c>
      <c r="J4374">
        <v>10</v>
      </c>
      <c r="K4374">
        <v>39505</v>
      </c>
      <c r="L4374">
        <v>8</v>
      </c>
      <c r="M4374">
        <v>439</v>
      </c>
      <c r="N4374">
        <v>22389</v>
      </c>
      <c r="O4374">
        <f t="shared" si="142"/>
        <v>2025</v>
      </c>
      <c r="P4374">
        <f t="shared" si="143"/>
        <v>11</v>
      </c>
      <c r="Q4374" t="s">
        <v>784</v>
      </c>
      <c r="R4374" t="s">
        <v>805</v>
      </c>
    </row>
    <row r="4375" spans="1:18" x14ac:dyDescent="0.3">
      <c r="A4375" t="s">
        <v>627</v>
      </c>
      <c r="B4375" s="16">
        <v>45965</v>
      </c>
      <c r="C4375" t="s">
        <v>3</v>
      </c>
      <c r="D4375" t="s">
        <v>126</v>
      </c>
      <c r="E4375">
        <v>179</v>
      </c>
      <c r="F4375">
        <v>110</v>
      </c>
      <c r="G4375">
        <v>8</v>
      </c>
      <c r="H4375">
        <v>3</v>
      </c>
      <c r="I4375">
        <v>7490</v>
      </c>
      <c r="J4375">
        <v>2</v>
      </c>
      <c r="K4375">
        <v>3150</v>
      </c>
      <c r="L4375">
        <v>1</v>
      </c>
      <c r="M4375">
        <v>24</v>
      </c>
      <c r="N4375">
        <v>174</v>
      </c>
      <c r="O4375">
        <f t="shared" si="142"/>
        <v>2025</v>
      </c>
      <c r="P4375">
        <f t="shared" si="143"/>
        <v>11</v>
      </c>
      <c r="Q4375" t="s">
        <v>784</v>
      </c>
      <c r="R4375" t="s">
        <v>805</v>
      </c>
    </row>
    <row r="4376" spans="1:18" x14ac:dyDescent="0.3">
      <c r="A4376" t="s">
        <v>627</v>
      </c>
      <c r="B4376" s="16">
        <v>45965</v>
      </c>
      <c r="C4376" t="s">
        <v>3</v>
      </c>
      <c r="D4376" t="s">
        <v>125</v>
      </c>
      <c r="E4376">
        <v>1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1</v>
      </c>
      <c r="O4376">
        <f t="shared" si="142"/>
        <v>2025</v>
      </c>
      <c r="P4376">
        <f t="shared" si="143"/>
        <v>11</v>
      </c>
      <c r="Q4376" t="s">
        <v>784</v>
      </c>
      <c r="R4376" t="s">
        <v>805</v>
      </c>
    </row>
    <row r="4377" spans="1:18" x14ac:dyDescent="0.3">
      <c r="A4377" t="s">
        <v>627</v>
      </c>
      <c r="B4377" s="16">
        <v>45965</v>
      </c>
      <c r="C4377" t="s">
        <v>3</v>
      </c>
      <c r="D4377" t="s">
        <v>123</v>
      </c>
      <c r="E4377">
        <v>56</v>
      </c>
      <c r="F4377">
        <v>22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43</v>
      </c>
      <c r="N4377">
        <v>31</v>
      </c>
      <c r="O4377">
        <f t="shared" si="142"/>
        <v>2025</v>
      </c>
      <c r="P4377">
        <f t="shared" si="143"/>
        <v>11</v>
      </c>
      <c r="Q4377" t="s">
        <v>784</v>
      </c>
      <c r="R4377" t="s">
        <v>805</v>
      </c>
    </row>
    <row r="4378" spans="1:18" x14ac:dyDescent="0.3">
      <c r="A4378" t="s">
        <v>627</v>
      </c>
      <c r="B4378" s="16">
        <v>45965</v>
      </c>
      <c r="C4378" t="s">
        <v>3</v>
      </c>
      <c r="D4378" t="s">
        <v>121</v>
      </c>
      <c r="E4378">
        <v>2</v>
      </c>
      <c r="F4378">
        <v>2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2</v>
      </c>
      <c r="O4378">
        <f t="shared" si="142"/>
        <v>2025</v>
      </c>
      <c r="P4378">
        <f t="shared" si="143"/>
        <v>11</v>
      </c>
      <c r="Q4378" t="s">
        <v>784</v>
      </c>
      <c r="R4378" t="s">
        <v>805</v>
      </c>
    </row>
    <row r="4379" spans="1:18" x14ac:dyDescent="0.3">
      <c r="A4379" t="s">
        <v>627</v>
      </c>
      <c r="B4379" s="16">
        <v>45965</v>
      </c>
      <c r="C4379" t="s">
        <v>3</v>
      </c>
      <c r="D4379" t="s">
        <v>119</v>
      </c>
      <c r="E4379">
        <v>272</v>
      </c>
      <c r="F4379">
        <v>72</v>
      </c>
      <c r="G4379">
        <v>18</v>
      </c>
      <c r="H4379">
        <v>6</v>
      </c>
      <c r="I4379">
        <v>74720</v>
      </c>
      <c r="J4379">
        <v>13</v>
      </c>
      <c r="K4379">
        <v>53760</v>
      </c>
      <c r="L4379">
        <v>11</v>
      </c>
      <c r="M4379">
        <v>49</v>
      </c>
      <c r="N4379">
        <v>265</v>
      </c>
      <c r="O4379">
        <f t="shared" si="142"/>
        <v>2025</v>
      </c>
      <c r="P4379">
        <f t="shared" si="143"/>
        <v>11</v>
      </c>
      <c r="Q4379" t="s">
        <v>784</v>
      </c>
      <c r="R4379" t="s">
        <v>805</v>
      </c>
    </row>
    <row r="4380" spans="1:18" x14ac:dyDescent="0.3">
      <c r="A4380" t="s">
        <v>627</v>
      </c>
      <c r="B4380" s="16">
        <v>45965</v>
      </c>
      <c r="C4380" t="s">
        <v>3</v>
      </c>
      <c r="D4380" t="s">
        <v>252</v>
      </c>
      <c r="E4380">
        <v>6</v>
      </c>
      <c r="F4380">
        <v>5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6</v>
      </c>
      <c r="O4380">
        <f t="shared" si="142"/>
        <v>2025</v>
      </c>
      <c r="P4380">
        <f t="shared" si="143"/>
        <v>11</v>
      </c>
      <c r="Q4380" t="s">
        <v>784</v>
      </c>
      <c r="R4380" t="s">
        <v>805</v>
      </c>
    </row>
    <row r="4381" spans="1:18" x14ac:dyDescent="0.3">
      <c r="A4381" t="s">
        <v>627</v>
      </c>
      <c r="B4381" s="16">
        <v>45965</v>
      </c>
      <c r="C4381" t="s">
        <v>3</v>
      </c>
      <c r="D4381" t="s">
        <v>117</v>
      </c>
      <c r="E4381">
        <v>1</v>
      </c>
      <c r="F4381">
        <v>1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1</v>
      </c>
      <c r="O4381">
        <f t="shared" si="142"/>
        <v>2025</v>
      </c>
      <c r="P4381">
        <f t="shared" si="143"/>
        <v>11</v>
      </c>
      <c r="Q4381" t="s">
        <v>784</v>
      </c>
      <c r="R4381" t="s">
        <v>805</v>
      </c>
    </row>
    <row r="4382" spans="1:18" x14ac:dyDescent="0.3">
      <c r="A4382" t="s">
        <v>627</v>
      </c>
      <c r="B4382" s="16">
        <v>45965</v>
      </c>
      <c r="C4382" t="s">
        <v>3</v>
      </c>
      <c r="D4382" t="s">
        <v>391</v>
      </c>
      <c r="E4382">
        <v>588</v>
      </c>
      <c r="F4382">
        <v>299</v>
      </c>
      <c r="G4382">
        <v>19</v>
      </c>
      <c r="H4382">
        <v>5</v>
      </c>
      <c r="I4382">
        <v>33370</v>
      </c>
      <c r="J4382">
        <v>5</v>
      </c>
      <c r="K4382">
        <v>18420</v>
      </c>
      <c r="L4382">
        <v>4</v>
      </c>
      <c r="M4382">
        <v>87</v>
      </c>
      <c r="N4382">
        <v>579</v>
      </c>
      <c r="O4382">
        <f t="shared" si="142"/>
        <v>2025</v>
      </c>
      <c r="P4382">
        <f t="shared" si="143"/>
        <v>11</v>
      </c>
      <c r="Q4382" t="s">
        <v>784</v>
      </c>
      <c r="R4382" t="s">
        <v>805</v>
      </c>
    </row>
    <row r="4383" spans="1:18" x14ac:dyDescent="0.3">
      <c r="A4383" t="s">
        <v>627</v>
      </c>
      <c r="B4383" s="16">
        <v>45965</v>
      </c>
      <c r="C4383" t="s">
        <v>3</v>
      </c>
      <c r="D4383" t="s">
        <v>114</v>
      </c>
      <c r="E4383">
        <v>146</v>
      </c>
      <c r="F4383">
        <v>61</v>
      </c>
      <c r="G4383">
        <v>5</v>
      </c>
      <c r="H4383">
        <v>1</v>
      </c>
      <c r="I4383">
        <v>0</v>
      </c>
      <c r="J4383">
        <v>0</v>
      </c>
      <c r="K4383">
        <v>0</v>
      </c>
      <c r="L4383">
        <v>0</v>
      </c>
      <c r="M4383">
        <v>8</v>
      </c>
      <c r="N4383">
        <v>144</v>
      </c>
      <c r="O4383">
        <f t="shared" si="142"/>
        <v>2025</v>
      </c>
      <c r="P4383">
        <f t="shared" si="143"/>
        <v>11</v>
      </c>
      <c r="Q4383" t="s">
        <v>784</v>
      </c>
      <c r="R4383" t="s">
        <v>805</v>
      </c>
    </row>
    <row r="4384" spans="1:18" x14ac:dyDescent="0.3">
      <c r="A4384" t="s">
        <v>627</v>
      </c>
      <c r="B4384" s="16">
        <v>45965</v>
      </c>
      <c r="C4384" t="s">
        <v>3</v>
      </c>
      <c r="D4384" t="s">
        <v>113</v>
      </c>
      <c r="E4384">
        <v>121</v>
      </c>
      <c r="F4384">
        <v>48</v>
      </c>
      <c r="G4384">
        <v>3</v>
      </c>
      <c r="H4384">
        <v>2</v>
      </c>
      <c r="I4384">
        <v>6990</v>
      </c>
      <c r="J4384">
        <v>1</v>
      </c>
      <c r="K4384">
        <v>6990</v>
      </c>
      <c r="L4384">
        <v>1</v>
      </c>
      <c r="M4384">
        <v>98</v>
      </c>
      <c r="N4384">
        <v>71</v>
      </c>
      <c r="O4384">
        <f t="shared" si="142"/>
        <v>2025</v>
      </c>
      <c r="P4384">
        <f t="shared" si="143"/>
        <v>11</v>
      </c>
      <c r="Q4384" t="s">
        <v>784</v>
      </c>
      <c r="R4384" t="s">
        <v>805</v>
      </c>
    </row>
    <row r="4385" spans="1:18" x14ac:dyDescent="0.3">
      <c r="A4385" t="s">
        <v>627</v>
      </c>
      <c r="B4385" s="16">
        <v>45965</v>
      </c>
      <c r="C4385" t="s">
        <v>3</v>
      </c>
      <c r="D4385" t="s">
        <v>112</v>
      </c>
      <c r="E4385">
        <v>47</v>
      </c>
      <c r="F4385">
        <v>9</v>
      </c>
      <c r="G4385">
        <v>1</v>
      </c>
      <c r="H4385">
        <v>0</v>
      </c>
      <c r="I4385">
        <v>5930</v>
      </c>
      <c r="J4385">
        <v>2</v>
      </c>
      <c r="K4385">
        <v>5930</v>
      </c>
      <c r="L4385">
        <v>2</v>
      </c>
      <c r="M4385">
        <v>0</v>
      </c>
      <c r="N4385">
        <v>47</v>
      </c>
      <c r="O4385">
        <f t="shared" si="142"/>
        <v>2025</v>
      </c>
      <c r="P4385">
        <f t="shared" si="143"/>
        <v>11</v>
      </c>
      <c r="Q4385" t="s">
        <v>784</v>
      </c>
      <c r="R4385" t="s">
        <v>805</v>
      </c>
    </row>
    <row r="4386" spans="1:18" x14ac:dyDescent="0.3">
      <c r="A4386" t="s">
        <v>627</v>
      </c>
      <c r="B4386" s="16">
        <v>45964</v>
      </c>
      <c r="C4386" t="s">
        <v>2</v>
      </c>
      <c r="D4386" t="s">
        <v>4</v>
      </c>
      <c r="E4386">
        <v>353</v>
      </c>
      <c r="F4386">
        <v>109</v>
      </c>
      <c r="G4386">
        <v>7</v>
      </c>
      <c r="H4386">
        <v>1</v>
      </c>
      <c r="I4386">
        <v>3750</v>
      </c>
      <c r="J4386">
        <v>1</v>
      </c>
      <c r="K4386">
        <v>3750</v>
      </c>
      <c r="L4386">
        <v>1</v>
      </c>
      <c r="M4386">
        <v>6</v>
      </c>
      <c r="N4386">
        <v>353</v>
      </c>
      <c r="O4386">
        <f t="shared" si="142"/>
        <v>2025</v>
      </c>
      <c r="P4386">
        <f t="shared" si="143"/>
        <v>11</v>
      </c>
      <c r="Q4386" t="s">
        <v>784</v>
      </c>
      <c r="R4386" t="s">
        <v>805</v>
      </c>
    </row>
    <row r="4387" spans="1:18" x14ac:dyDescent="0.3">
      <c r="A4387" t="s">
        <v>627</v>
      </c>
      <c r="B4387" s="16">
        <v>45964</v>
      </c>
      <c r="C4387" t="s">
        <v>2</v>
      </c>
      <c r="D4387" t="s">
        <v>57</v>
      </c>
      <c r="E4387">
        <v>31310</v>
      </c>
      <c r="F4387">
        <v>17188</v>
      </c>
      <c r="G4387">
        <v>169</v>
      </c>
      <c r="H4387">
        <v>154</v>
      </c>
      <c r="I4387">
        <v>109850</v>
      </c>
      <c r="J4387">
        <v>17</v>
      </c>
      <c r="K4387">
        <v>69170</v>
      </c>
      <c r="L4387">
        <v>14</v>
      </c>
      <c r="M4387">
        <v>1578</v>
      </c>
      <c r="N4387">
        <v>30866</v>
      </c>
      <c r="O4387">
        <f t="shared" si="142"/>
        <v>2025</v>
      </c>
      <c r="P4387">
        <f t="shared" si="143"/>
        <v>11</v>
      </c>
      <c r="Q4387" t="s">
        <v>784</v>
      </c>
      <c r="R4387" t="s">
        <v>805</v>
      </c>
    </row>
    <row r="4388" spans="1:18" x14ac:dyDescent="0.3">
      <c r="A4388" t="s">
        <v>627</v>
      </c>
      <c r="B4388" s="16">
        <v>45964</v>
      </c>
      <c r="C4388" t="s">
        <v>2</v>
      </c>
      <c r="D4388" t="s">
        <v>55</v>
      </c>
      <c r="E4388">
        <v>1677</v>
      </c>
      <c r="F4388">
        <v>892</v>
      </c>
      <c r="G4388">
        <v>21</v>
      </c>
      <c r="H4388">
        <v>1</v>
      </c>
      <c r="I4388">
        <v>0</v>
      </c>
      <c r="J4388">
        <v>0</v>
      </c>
      <c r="K4388">
        <v>0</v>
      </c>
      <c r="L4388">
        <v>0</v>
      </c>
      <c r="M4388">
        <v>47</v>
      </c>
      <c r="N4388">
        <v>583</v>
      </c>
      <c r="O4388">
        <f t="shared" si="142"/>
        <v>2025</v>
      </c>
      <c r="P4388">
        <f t="shared" si="143"/>
        <v>11</v>
      </c>
      <c r="Q4388" t="s">
        <v>784</v>
      </c>
      <c r="R4388" t="s">
        <v>805</v>
      </c>
    </row>
    <row r="4389" spans="1:18" x14ac:dyDescent="0.3">
      <c r="A4389" t="s">
        <v>627</v>
      </c>
      <c r="B4389" s="16">
        <v>45964</v>
      </c>
      <c r="C4389" t="s">
        <v>3</v>
      </c>
      <c r="D4389" t="s">
        <v>157</v>
      </c>
      <c r="E4389">
        <v>1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f t="shared" si="142"/>
        <v>2025</v>
      </c>
      <c r="P4389">
        <f t="shared" si="143"/>
        <v>11</v>
      </c>
      <c r="Q4389" t="s">
        <v>784</v>
      </c>
      <c r="R4389" t="s">
        <v>805</v>
      </c>
    </row>
    <row r="4390" spans="1:18" x14ac:dyDescent="0.3">
      <c r="A4390" t="s">
        <v>627</v>
      </c>
      <c r="B4390" s="16">
        <v>45964</v>
      </c>
      <c r="C4390" t="s">
        <v>3</v>
      </c>
      <c r="D4390" t="s">
        <v>155</v>
      </c>
      <c r="E4390">
        <v>76</v>
      </c>
      <c r="F4390">
        <v>31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1</v>
      </c>
      <c r="N4390">
        <v>76</v>
      </c>
      <c r="O4390">
        <f t="shared" si="142"/>
        <v>2025</v>
      </c>
      <c r="P4390">
        <f t="shared" si="143"/>
        <v>11</v>
      </c>
      <c r="Q4390" t="s">
        <v>784</v>
      </c>
      <c r="R4390" t="s">
        <v>805</v>
      </c>
    </row>
    <row r="4391" spans="1:18" x14ac:dyDescent="0.3">
      <c r="A4391" t="s">
        <v>627</v>
      </c>
      <c r="B4391" s="16">
        <v>45964</v>
      </c>
      <c r="C4391" t="s">
        <v>3</v>
      </c>
      <c r="D4391" t="s">
        <v>154</v>
      </c>
      <c r="E4391">
        <v>152</v>
      </c>
      <c r="F4391">
        <v>121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f t="shared" si="142"/>
        <v>2025</v>
      </c>
      <c r="P4391">
        <f t="shared" si="143"/>
        <v>11</v>
      </c>
      <c r="Q4391" t="s">
        <v>784</v>
      </c>
      <c r="R4391" t="s">
        <v>805</v>
      </c>
    </row>
    <row r="4392" spans="1:18" x14ac:dyDescent="0.3">
      <c r="A4392" t="s">
        <v>627</v>
      </c>
      <c r="B4392" s="16">
        <v>45964</v>
      </c>
      <c r="C4392" t="s">
        <v>3</v>
      </c>
      <c r="D4392" t="s">
        <v>153</v>
      </c>
      <c r="E4392">
        <v>426</v>
      </c>
      <c r="F4392">
        <v>104</v>
      </c>
      <c r="G4392">
        <v>37</v>
      </c>
      <c r="H4392">
        <v>0</v>
      </c>
      <c r="I4392">
        <v>130105</v>
      </c>
      <c r="J4392">
        <v>23</v>
      </c>
      <c r="K4392">
        <v>111365</v>
      </c>
      <c r="L4392">
        <v>22</v>
      </c>
      <c r="M4392">
        <v>121</v>
      </c>
      <c r="N4392">
        <v>407</v>
      </c>
      <c r="O4392">
        <f t="shared" si="142"/>
        <v>2025</v>
      </c>
      <c r="P4392">
        <f t="shared" si="143"/>
        <v>11</v>
      </c>
      <c r="Q4392" t="s">
        <v>784</v>
      </c>
      <c r="R4392" t="s">
        <v>805</v>
      </c>
    </row>
    <row r="4393" spans="1:18" x14ac:dyDescent="0.3">
      <c r="A4393" t="s">
        <v>627</v>
      </c>
      <c r="B4393" s="16">
        <v>45964</v>
      </c>
      <c r="C4393" t="s">
        <v>3</v>
      </c>
      <c r="D4393" t="s">
        <v>152</v>
      </c>
      <c r="E4393">
        <v>11</v>
      </c>
      <c r="F4393">
        <v>4</v>
      </c>
      <c r="G4393">
        <v>0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1</v>
      </c>
      <c r="N4393">
        <v>9</v>
      </c>
      <c r="O4393">
        <f t="shared" si="142"/>
        <v>2025</v>
      </c>
      <c r="P4393">
        <f t="shared" si="143"/>
        <v>11</v>
      </c>
      <c r="Q4393" t="s">
        <v>784</v>
      </c>
      <c r="R4393" t="s">
        <v>805</v>
      </c>
    </row>
    <row r="4394" spans="1:18" x14ac:dyDescent="0.3">
      <c r="A4394" t="s">
        <v>627</v>
      </c>
      <c r="B4394" s="16">
        <v>45964</v>
      </c>
      <c r="C4394" t="s">
        <v>3</v>
      </c>
      <c r="D4394" t="s">
        <v>783</v>
      </c>
      <c r="E4394">
        <v>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f t="shared" si="142"/>
        <v>2025</v>
      </c>
      <c r="P4394">
        <f t="shared" si="143"/>
        <v>11</v>
      </c>
      <c r="Q4394" t="s">
        <v>784</v>
      </c>
      <c r="R4394" t="s">
        <v>805</v>
      </c>
    </row>
    <row r="4395" spans="1:18" x14ac:dyDescent="0.3">
      <c r="A4395" t="s">
        <v>627</v>
      </c>
      <c r="B4395" s="16">
        <v>45964</v>
      </c>
      <c r="C4395" t="s">
        <v>3</v>
      </c>
      <c r="D4395" t="s">
        <v>149</v>
      </c>
      <c r="E4395">
        <v>6</v>
      </c>
      <c r="F4395">
        <v>2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1</v>
      </c>
      <c r="O4395">
        <f t="shared" si="142"/>
        <v>2025</v>
      </c>
      <c r="P4395">
        <f t="shared" si="143"/>
        <v>11</v>
      </c>
      <c r="Q4395" t="s">
        <v>784</v>
      </c>
      <c r="R4395" t="s">
        <v>805</v>
      </c>
    </row>
    <row r="4396" spans="1:18" x14ac:dyDescent="0.3">
      <c r="A4396" t="s">
        <v>627</v>
      </c>
      <c r="B4396" s="16">
        <v>45964</v>
      </c>
      <c r="C4396" t="s">
        <v>3</v>
      </c>
      <c r="D4396" t="s">
        <v>367</v>
      </c>
      <c r="E4396">
        <v>179</v>
      </c>
      <c r="F4396">
        <v>119</v>
      </c>
      <c r="G4396">
        <v>5</v>
      </c>
      <c r="H4396">
        <v>0</v>
      </c>
      <c r="I4396">
        <v>14470</v>
      </c>
      <c r="J4396">
        <v>3</v>
      </c>
      <c r="K4396">
        <v>14470</v>
      </c>
      <c r="L4396">
        <v>3</v>
      </c>
      <c r="M4396">
        <v>0</v>
      </c>
      <c r="N4396">
        <v>179</v>
      </c>
      <c r="O4396">
        <f t="shared" si="142"/>
        <v>2025</v>
      </c>
      <c r="P4396">
        <f t="shared" si="143"/>
        <v>11</v>
      </c>
      <c r="Q4396" t="s">
        <v>784</v>
      </c>
      <c r="R4396" t="s">
        <v>805</v>
      </c>
    </row>
    <row r="4397" spans="1:18" x14ac:dyDescent="0.3">
      <c r="A4397" t="s">
        <v>627</v>
      </c>
      <c r="B4397" s="16">
        <v>45964</v>
      </c>
      <c r="C4397" t="s">
        <v>3</v>
      </c>
      <c r="D4397" t="s">
        <v>146</v>
      </c>
      <c r="E4397">
        <v>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2</v>
      </c>
      <c r="O4397">
        <f t="shared" si="142"/>
        <v>2025</v>
      </c>
      <c r="P4397">
        <f t="shared" si="143"/>
        <v>11</v>
      </c>
      <c r="Q4397" t="s">
        <v>784</v>
      </c>
      <c r="R4397" t="s">
        <v>805</v>
      </c>
    </row>
    <row r="4398" spans="1:18" x14ac:dyDescent="0.3">
      <c r="A4398" t="s">
        <v>627</v>
      </c>
      <c r="B4398" s="16">
        <v>45964</v>
      </c>
      <c r="C4398" t="s">
        <v>3</v>
      </c>
      <c r="D4398" t="s">
        <v>251</v>
      </c>
      <c r="E4398">
        <v>8066</v>
      </c>
      <c r="F4398">
        <v>7061</v>
      </c>
      <c r="G4398">
        <v>15</v>
      </c>
      <c r="H4398">
        <v>3</v>
      </c>
      <c r="I4398">
        <v>41545</v>
      </c>
      <c r="J4398">
        <v>6</v>
      </c>
      <c r="K4398">
        <v>28755</v>
      </c>
      <c r="L4398">
        <v>6</v>
      </c>
      <c r="M4398">
        <v>98</v>
      </c>
      <c r="N4398">
        <v>373</v>
      </c>
      <c r="O4398">
        <f t="shared" si="142"/>
        <v>2025</v>
      </c>
      <c r="P4398">
        <f t="shared" si="143"/>
        <v>11</v>
      </c>
      <c r="Q4398" t="s">
        <v>784</v>
      </c>
      <c r="R4398" t="s">
        <v>805</v>
      </c>
    </row>
    <row r="4399" spans="1:18" x14ac:dyDescent="0.3">
      <c r="A4399" t="s">
        <v>627</v>
      </c>
      <c r="B4399" s="16">
        <v>45964</v>
      </c>
      <c r="C4399" t="s">
        <v>3</v>
      </c>
      <c r="D4399" t="s">
        <v>143</v>
      </c>
      <c r="E4399">
        <v>1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1</v>
      </c>
      <c r="O4399">
        <f t="shared" si="142"/>
        <v>2025</v>
      </c>
      <c r="P4399">
        <f t="shared" si="143"/>
        <v>11</v>
      </c>
      <c r="Q4399" t="s">
        <v>784</v>
      </c>
      <c r="R4399" t="s">
        <v>805</v>
      </c>
    </row>
    <row r="4400" spans="1:18" x14ac:dyDescent="0.3">
      <c r="A4400" t="s">
        <v>627</v>
      </c>
      <c r="B4400" s="16">
        <v>45964</v>
      </c>
      <c r="C4400" t="s">
        <v>3</v>
      </c>
      <c r="D4400" t="s">
        <v>141</v>
      </c>
      <c r="E4400">
        <v>241</v>
      </c>
      <c r="F4400">
        <v>82</v>
      </c>
      <c r="G4400">
        <v>5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241</v>
      </c>
      <c r="O4400">
        <f t="shared" si="142"/>
        <v>2025</v>
      </c>
      <c r="P4400">
        <f t="shared" si="143"/>
        <v>11</v>
      </c>
      <c r="Q4400" t="s">
        <v>784</v>
      </c>
      <c r="R4400" t="s">
        <v>805</v>
      </c>
    </row>
    <row r="4401" spans="1:18" x14ac:dyDescent="0.3">
      <c r="A4401" t="s">
        <v>627</v>
      </c>
      <c r="B4401" s="16">
        <v>45964</v>
      </c>
      <c r="C4401" t="s">
        <v>3</v>
      </c>
      <c r="D4401" t="s">
        <v>140</v>
      </c>
      <c r="E4401">
        <v>9</v>
      </c>
      <c r="F4401">
        <v>9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1</v>
      </c>
      <c r="N4401">
        <v>9</v>
      </c>
      <c r="O4401">
        <f t="shared" si="142"/>
        <v>2025</v>
      </c>
      <c r="P4401">
        <f t="shared" si="143"/>
        <v>11</v>
      </c>
      <c r="Q4401" t="s">
        <v>784</v>
      </c>
      <c r="R4401" t="s">
        <v>805</v>
      </c>
    </row>
    <row r="4402" spans="1:18" x14ac:dyDescent="0.3">
      <c r="A4402" t="s">
        <v>627</v>
      </c>
      <c r="B4402" s="16">
        <v>45964</v>
      </c>
      <c r="C4402" t="s">
        <v>3</v>
      </c>
      <c r="D4402" t="s">
        <v>139</v>
      </c>
      <c r="E4402">
        <v>2078</v>
      </c>
      <c r="F4402">
        <v>970</v>
      </c>
      <c r="G4402">
        <v>41</v>
      </c>
      <c r="H4402">
        <v>16</v>
      </c>
      <c r="I4402">
        <v>229120</v>
      </c>
      <c r="J4402">
        <v>19</v>
      </c>
      <c r="K4402">
        <v>47830</v>
      </c>
      <c r="L4402">
        <v>9</v>
      </c>
      <c r="M4402">
        <v>313</v>
      </c>
      <c r="N4402">
        <v>1569</v>
      </c>
      <c r="O4402">
        <f t="shared" si="142"/>
        <v>2025</v>
      </c>
      <c r="P4402">
        <f t="shared" si="143"/>
        <v>11</v>
      </c>
      <c r="Q4402" t="s">
        <v>784</v>
      </c>
      <c r="R4402" t="s">
        <v>805</v>
      </c>
    </row>
    <row r="4403" spans="1:18" x14ac:dyDescent="0.3">
      <c r="A4403" t="s">
        <v>627</v>
      </c>
      <c r="B4403" s="16">
        <v>45964</v>
      </c>
      <c r="C4403" t="s">
        <v>3</v>
      </c>
      <c r="D4403" t="s">
        <v>138</v>
      </c>
      <c r="E4403">
        <v>30</v>
      </c>
      <c r="F4403">
        <v>12</v>
      </c>
      <c r="G4403">
        <v>1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3</v>
      </c>
      <c r="N4403">
        <v>30</v>
      </c>
      <c r="O4403">
        <f t="shared" si="142"/>
        <v>2025</v>
      </c>
      <c r="P4403">
        <f t="shared" si="143"/>
        <v>11</v>
      </c>
      <c r="Q4403" t="s">
        <v>784</v>
      </c>
      <c r="R4403" t="s">
        <v>805</v>
      </c>
    </row>
    <row r="4404" spans="1:18" x14ac:dyDescent="0.3">
      <c r="A4404" t="s">
        <v>627</v>
      </c>
      <c r="B4404" s="16">
        <v>45964</v>
      </c>
      <c r="C4404" t="s">
        <v>3</v>
      </c>
      <c r="D4404" t="s">
        <v>133</v>
      </c>
      <c r="E4404">
        <v>37</v>
      </c>
      <c r="F4404">
        <v>30</v>
      </c>
      <c r="G4404">
        <v>5</v>
      </c>
      <c r="H4404">
        <v>0</v>
      </c>
      <c r="I4404">
        <v>19600</v>
      </c>
      <c r="J4404">
        <v>1</v>
      </c>
      <c r="K4404">
        <v>9800</v>
      </c>
      <c r="L4404">
        <v>1</v>
      </c>
      <c r="M4404">
        <v>7</v>
      </c>
      <c r="N4404">
        <v>33</v>
      </c>
      <c r="O4404">
        <f t="shared" si="142"/>
        <v>2025</v>
      </c>
      <c r="P4404">
        <f t="shared" si="143"/>
        <v>11</v>
      </c>
      <c r="Q4404" t="s">
        <v>784</v>
      </c>
      <c r="R4404" t="s">
        <v>805</v>
      </c>
    </row>
    <row r="4405" spans="1:18" x14ac:dyDescent="0.3">
      <c r="A4405" t="s">
        <v>627</v>
      </c>
      <c r="B4405" s="16">
        <v>45964</v>
      </c>
      <c r="C4405" t="s">
        <v>3</v>
      </c>
      <c r="D4405" t="s">
        <v>130</v>
      </c>
      <c r="E4405">
        <v>129</v>
      </c>
      <c r="F4405">
        <v>44</v>
      </c>
      <c r="G4405">
        <v>12</v>
      </c>
      <c r="H4405">
        <v>1</v>
      </c>
      <c r="I4405">
        <v>2980</v>
      </c>
      <c r="J4405">
        <v>1</v>
      </c>
      <c r="K4405">
        <v>2980</v>
      </c>
      <c r="L4405">
        <v>1</v>
      </c>
      <c r="M4405">
        <v>56</v>
      </c>
      <c r="N4405">
        <v>108</v>
      </c>
      <c r="O4405">
        <f t="shared" si="142"/>
        <v>2025</v>
      </c>
      <c r="P4405">
        <f t="shared" si="143"/>
        <v>11</v>
      </c>
      <c r="Q4405" t="s">
        <v>784</v>
      </c>
      <c r="R4405" t="s">
        <v>805</v>
      </c>
    </row>
    <row r="4406" spans="1:18" x14ac:dyDescent="0.3">
      <c r="A4406" t="s">
        <v>627</v>
      </c>
      <c r="B4406" s="16">
        <v>45964</v>
      </c>
      <c r="C4406" t="s">
        <v>3</v>
      </c>
      <c r="D4406" t="s">
        <v>128</v>
      </c>
      <c r="E4406">
        <v>2605</v>
      </c>
      <c r="F4406">
        <v>2153</v>
      </c>
      <c r="G4406">
        <v>73</v>
      </c>
      <c r="H4406">
        <v>17</v>
      </c>
      <c r="I4406">
        <v>63635</v>
      </c>
      <c r="J4406">
        <v>10</v>
      </c>
      <c r="K4406">
        <v>31180</v>
      </c>
      <c r="L4406">
        <v>8</v>
      </c>
      <c r="M4406">
        <v>344</v>
      </c>
      <c r="N4406">
        <v>2507</v>
      </c>
      <c r="O4406">
        <f t="shared" si="142"/>
        <v>2025</v>
      </c>
      <c r="P4406">
        <f t="shared" si="143"/>
        <v>11</v>
      </c>
      <c r="Q4406" t="s">
        <v>784</v>
      </c>
      <c r="R4406" t="s">
        <v>805</v>
      </c>
    </row>
    <row r="4407" spans="1:18" x14ac:dyDescent="0.3">
      <c r="A4407" t="s">
        <v>627</v>
      </c>
      <c r="B4407" s="16">
        <v>45964</v>
      </c>
      <c r="C4407" t="s">
        <v>3</v>
      </c>
      <c r="D4407" t="s">
        <v>127</v>
      </c>
      <c r="E4407">
        <v>11549</v>
      </c>
      <c r="F4407">
        <v>5493</v>
      </c>
      <c r="G4407">
        <v>147</v>
      </c>
      <c r="H4407">
        <v>45</v>
      </c>
      <c r="I4407">
        <v>68825</v>
      </c>
      <c r="J4407">
        <v>12</v>
      </c>
      <c r="K4407">
        <v>59025</v>
      </c>
      <c r="L4407">
        <v>12</v>
      </c>
      <c r="M4407">
        <v>430</v>
      </c>
      <c r="N4407">
        <v>11440</v>
      </c>
      <c r="O4407">
        <f t="shared" si="142"/>
        <v>2025</v>
      </c>
      <c r="P4407">
        <f t="shared" si="143"/>
        <v>11</v>
      </c>
      <c r="Q4407" t="s">
        <v>784</v>
      </c>
      <c r="R4407" t="s">
        <v>805</v>
      </c>
    </row>
    <row r="4408" spans="1:18" x14ac:dyDescent="0.3">
      <c r="A4408" t="s">
        <v>627</v>
      </c>
      <c r="B4408" s="16">
        <v>45964</v>
      </c>
      <c r="C4408" t="s">
        <v>3</v>
      </c>
      <c r="D4408" t="s">
        <v>126</v>
      </c>
      <c r="E4408">
        <v>196</v>
      </c>
      <c r="F4408">
        <v>121</v>
      </c>
      <c r="G4408">
        <v>7</v>
      </c>
      <c r="H4408">
        <v>3</v>
      </c>
      <c r="I4408">
        <v>27580</v>
      </c>
      <c r="J4408">
        <v>3</v>
      </c>
      <c r="K4408">
        <v>17780</v>
      </c>
      <c r="L4408">
        <v>3</v>
      </c>
      <c r="M4408">
        <v>22</v>
      </c>
      <c r="N4408">
        <v>194</v>
      </c>
      <c r="O4408">
        <f t="shared" si="142"/>
        <v>2025</v>
      </c>
      <c r="P4408">
        <f t="shared" si="143"/>
        <v>11</v>
      </c>
      <c r="Q4408" t="s">
        <v>784</v>
      </c>
      <c r="R4408" t="s">
        <v>805</v>
      </c>
    </row>
    <row r="4409" spans="1:18" x14ac:dyDescent="0.3">
      <c r="A4409" t="s">
        <v>627</v>
      </c>
      <c r="B4409" s="16">
        <v>45964</v>
      </c>
      <c r="C4409" t="s">
        <v>3</v>
      </c>
      <c r="D4409" t="s">
        <v>125</v>
      </c>
      <c r="E4409">
        <v>1</v>
      </c>
      <c r="F4409">
        <v>1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1</v>
      </c>
      <c r="O4409">
        <f t="shared" si="142"/>
        <v>2025</v>
      </c>
      <c r="P4409">
        <f t="shared" si="143"/>
        <v>11</v>
      </c>
      <c r="Q4409" t="s">
        <v>784</v>
      </c>
      <c r="R4409" t="s">
        <v>805</v>
      </c>
    </row>
    <row r="4410" spans="1:18" x14ac:dyDescent="0.3">
      <c r="A4410" t="s">
        <v>627</v>
      </c>
      <c r="B4410" s="16">
        <v>45964</v>
      </c>
      <c r="C4410" t="s">
        <v>3</v>
      </c>
      <c r="D4410" t="s">
        <v>123</v>
      </c>
      <c r="E4410">
        <v>49</v>
      </c>
      <c r="F4410">
        <v>20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40</v>
      </c>
      <c r="N4410">
        <v>25</v>
      </c>
      <c r="O4410">
        <f t="shared" si="142"/>
        <v>2025</v>
      </c>
      <c r="P4410">
        <f t="shared" si="143"/>
        <v>11</v>
      </c>
      <c r="Q4410" t="s">
        <v>784</v>
      </c>
      <c r="R4410" t="s">
        <v>805</v>
      </c>
    </row>
    <row r="4411" spans="1:18" x14ac:dyDescent="0.3">
      <c r="A4411" t="s">
        <v>627</v>
      </c>
      <c r="B4411" s="16">
        <v>45964</v>
      </c>
      <c r="C4411" t="s">
        <v>3</v>
      </c>
      <c r="D4411" t="s">
        <v>121</v>
      </c>
      <c r="E4411">
        <v>2</v>
      </c>
      <c r="F4411">
        <v>2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1</v>
      </c>
      <c r="N4411">
        <v>1</v>
      </c>
      <c r="O4411">
        <f t="shared" si="142"/>
        <v>2025</v>
      </c>
      <c r="P4411">
        <f t="shared" si="143"/>
        <v>11</v>
      </c>
      <c r="Q4411" t="s">
        <v>784</v>
      </c>
      <c r="R4411" t="s">
        <v>805</v>
      </c>
    </row>
    <row r="4412" spans="1:18" x14ac:dyDescent="0.3">
      <c r="A4412" t="s">
        <v>627</v>
      </c>
      <c r="B4412" s="16">
        <v>45964</v>
      </c>
      <c r="C4412" t="s">
        <v>3</v>
      </c>
      <c r="D4412" t="s">
        <v>119</v>
      </c>
      <c r="E4412">
        <v>298</v>
      </c>
      <c r="F4412">
        <v>84</v>
      </c>
      <c r="G4412">
        <v>14</v>
      </c>
      <c r="H4412">
        <v>5</v>
      </c>
      <c r="I4412">
        <v>152995</v>
      </c>
      <c r="J4412">
        <v>21</v>
      </c>
      <c r="K4412">
        <v>61515</v>
      </c>
      <c r="L4412">
        <v>12</v>
      </c>
      <c r="M4412">
        <v>62</v>
      </c>
      <c r="N4412">
        <v>295</v>
      </c>
      <c r="O4412">
        <f t="shared" si="142"/>
        <v>2025</v>
      </c>
      <c r="P4412">
        <f t="shared" si="143"/>
        <v>11</v>
      </c>
      <c r="Q4412" t="s">
        <v>784</v>
      </c>
      <c r="R4412" t="s">
        <v>805</v>
      </c>
    </row>
    <row r="4413" spans="1:18" x14ac:dyDescent="0.3">
      <c r="A4413" t="s">
        <v>627</v>
      </c>
      <c r="B4413" s="16">
        <v>45964</v>
      </c>
      <c r="C4413" t="s">
        <v>3</v>
      </c>
      <c r="D4413" t="s">
        <v>252</v>
      </c>
      <c r="E4413">
        <v>3</v>
      </c>
      <c r="F4413">
        <v>3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3</v>
      </c>
      <c r="O4413">
        <f t="shared" si="142"/>
        <v>2025</v>
      </c>
      <c r="P4413">
        <f t="shared" si="143"/>
        <v>11</v>
      </c>
      <c r="Q4413" t="s">
        <v>784</v>
      </c>
      <c r="R4413" t="s">
        <v>805</v>
      </c>
    </row>
    <row r="4414" spans="1:18" x14ac:dyDescent="0.3">
      <c r="A4414" t="s">
        <v>627</v>
      </c>
      <c r="B4414" s="16">
        <v>45964</v>
      </c>
      <c r="C4414" t="s">
        <v>3</v>
      </c>
      <c r="D4414" t="s">
        <v>117</v>
      </c>
      <c r="E4414">
        <v>3</v>
      </c>
      <c r="F4414">
        <v>2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3</v>
      </c>
      <c r="O4414">
        <f t="shared" si="142"/>
        <v>2025</v>
      </c>
      <c r="P4414">
        <f t="shared" si="143"/>
        <v>11</v>
      </c>
      <c r="Q4414" t="s">
        <v>784</v>
      </c>
      <c r="R4414" t="s">
        <v>805</v>
      </c>
    </row>
    <row r="4415" spans="1:18" x14ac:dyDescent="0.3">
      <c r="A4415" t="s">
        <v>627</v>
      </c>
      <c r="B4415" s="16">
        <v>45964</v>
      </c>
      <c r="C4415" t="s">
        <v>3</v>
      </c>
      <c r="D4415" t="s">
        <v>391</v>
      </c>
      <c r="E4415">
        <v>656</v>
      </c>
      <c r="F4415">
        <v>355</v>
      </c>
      <c r="G4415">
        <v>20</v>
      </c>
      <c r="H4415">
        <v>4</v>
      </c>
      <c r="I4415">
        <v>12545</v>
      </c>
      <c r="J4415">
        <v>4</v>
      </c>
      <c r="K4415">
        <v>12545</v>
      </c>
      <c r="L4415">
        <v>4</v>
      </c>
      <c r="M4415">
        <v>103</v>
      </c>
      <c r="N4415">
        <v>646</v>
      </c>
      <c r="O4415">
        <f t="shared" si="142"/>
        <v>2025</v>
      </c>
      <c r="P4415">
        <f t="shared" si="143"/>
        <v>11</v>
      </c>
      <c r="Q4415" t="s">
        <v>784</v>
      </c>
      <c r="R4415" t="s">
        <v>805</v>
      </c>
    </row>
    <row r="4416" spans="1:18" x14ac:dyDescent="0.3">
      <c r="A4416" t="s">
        <v>627</v>
      </c>
      <c r="B4416" s="16">
        <v>45964</v>
      </c>
      <c r="C4416" t="s">
        <v>3</v>
      </c>
      <c r="D4416" t="s">
        <v>114</v>
      </c>
      <c r="E4416">
        <v>200</v>
      </c>
      <c r="F4416">
        <v>101</v>
      </c>
      <c r="G4416">
        <v>5</v>
      </c>
      <c r="H4416">
        <v>5</v>
      </c>
      <c r="I4416">
        <v>0</v>
      </c>
      <c r="J4416">
        <v>0</v>
      </c>
      <c r="K4416">
        <v>0</v>
      </c>
      <c r="L4416">
        <v>0</v>
      </c>
      <c r="M4416">
        <v>19</v>
      </c>
      <c r="N4416">
        <v>187</v>
      </c>
      <c r="O4416">
        <f t="shared" si="142"/>
        <v>2025</v>
      </c>
      <c r="P4416">
        <f t="shared" si="143"/>
        <v>11</v>
      </c>
      <c r="Q4416" t="s">
        <v>784</v>
      </c>
      <c r="R4416" t="s">
        <v>805</v>
      </c>
    </row>
    <row r="4417" spans="1:18" x14ac:dyDescent="0.3">
      <c r="A4417" t="s">
        <v>627</v>
      </c>
      <c r="B4417" s="16">
        <v>45964</v>
      </c>
      <c r="C4417" t="s">
        <v>3</v>
      </c>
      <c r="D4417" t="s">
        <v>113</v>
      </c>
      <c r="E4417">
        <v>129</v>
      </c>
      <c r="F4417">
        <v>54</v>
      </c>
      <c r="G4417">
        <v>4</v>
      </c>
      <c r="H4417">
        <v>1</v>
      </c>
      <c r="I4417">
        <v>0</v>
      </c>
      <c r="J4417">
        <v>0</v>
      </c>
      <c r="K4417">
        <v>0</v>
      </c>
      <c r="L4417">
        <v>0</v>
      </c>
      <c r="M4417">
        <v>106</v>
      </c>
      <c r="N4417">
        <v>79</v>
      </c>
      <c r="O4417">
        <f t="shared" si="142"/>
        <v>2025</v>
      </c>
      <c r="P4417">
        <f t="shared" si="143"/>
        <v>11</v>
      </c>
      <c r="Q4417" t="s">
        <v>784</v>
      </c>
      <c r="R4417" t="s">
        <v>805</v>
      </c>
    </row>
    <row r="4418" spans="1:18" x14ac:dyDescent="0.3">
      <c r="A4418" t="s">
        <v>627</v>
      </c>
      <c r="B4418" s="16">
        <v>45964</v>
      </c>
      <c r="C4418" t="s">
        <v>3</v>
      </c>
      <c r="D4418" t="s">
        <v>112</v>
      </c>
      <c r="E4418">
        <v>52</v>
      </c>
      <c r="F4418">
        <v>12</v>
      </c>
      <c r="G4418">
        <v>0</v>
      </c>
      <c r="H4418">
        <v>1</v>
      </c>
      <c r="I4418">
        <v>3980</v>
      </c>
      <c r="J4418">
        <v>1</v>
      </c>
      <c r="K4418">
        <v>3980</v>
      </c>
      <c r="L4418">
        <v>1</v>
      </c>
      <c r="M4418">
        <v>2</v>
      </c>
      <c r="N4418">
        <v>52</v>
      </c>
      <c r="O4418">
        <f t="shared" si="142"/>
        <v>2025</v>
      </c>
      <c r="P4418">
        <f t="shared" si="143"/>
        <v>11</v>
      </c>
      <c r="Q4418" t="s">
        <v>784</v>
      </c>
      <c r="R4418" t="s">
        <v>805</v>
      </c>
    </row>
    <row r="4419" spans="1:18" x14ac:dyDescent="0.3">
      <c r="A4419" t="s">
        <v>627</v>
      </c>
      <c r="B4419" s="16">
        <v>45964</v>
      </c>
      <c r="C4419" t="s">
        <v>3</v>
      </c>
      <c r="D4419" t="s">
        <v>111</v>
      </c>
      <c r="E4419">
        <v>3</v>
      </c>
      <c r="F4419">
        <v>2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3</v>
      </c>
      <c r="O4419">
        <f t="shared" si="142"/>
        <v>2025</v>
      </c>
      <c r="P4419">
        <f t="shared" si="143"/>
        <v>11</v>
      </c>
      <c r="Q4419" t="s">
        <v>784</v>
      </c>
      <c r="R4419" t="s">
        <v>805</v>
      </c>
    </row>
    <row r="4420" spans="1:18" x14ac:dyDescent="0.3">
      <c r="A4420" t="s">
        <v>627</v>
      </c>
      <c r="B4420" s="16">
        <v>45963</v>
      </c>
      <c r="C4420" t="s">
        <v>2</v>
      </c>
      <c r="D4420" t="s">
        <v>4</v>
      </c>
      <c r="E4420">
        <v>364</v>
      </c>
      <c r="F4420">
        <v>104</v>
      </c>
      <c r="G4420">
        <v>5</v>
      </c>
      <c r="H4420">
        <v>1</v>
      </c>
      <c r="I4420">
        <v>16470</v>
      </c>
      <c r="J4420">
        <v>4</v>
      </c>
      <c r="K4420">
        <v>16470</v>
      </c>
      <c r="L4420">
        <v>4</v>
      </c>
      <c r="M4420">
        <v>9</v>
      </c>
      <c r="N4420">
        <v>358</v>
      </c>
      <c r="O4420">
        <f t="shared" si="142"/>
        <v>2025</v>
      </c>
      <c r="P4420">
        <f t="shared" si="143"/>
        <v>11</v>
      </c>
      <c r="Q4420" t="s">
        <v>784</v>
      </c>
      <c r="R4420" t="s">
        <v>805</v>
      </c>
    </row>
    <row r="4421" spans="1:18" x14ac:dyDescent="0.3">
      <c r="A4421" t="s">
        <v>627</v>
      </c>
      <c r="B4421" s="16">
        <v>45963</v>
      </c>
      <c r="C4421" t="s">
        <v>2</v>
      </c>
      <c r="D4421" t="s">
        <v>57</v>
      </c>
      <c r="E4421">
        <v>33346</v>
      </c>
      <c r="F4421">
        <v>20137</v>
      </c>
      <c r="G4421">
        <v>160</v>
      </c>
      <c r="H4421">
        <v>162</v>
      </c>
      <c r="I4421">
        <v>207110</v>
      </c>
      <c r="J4421">
        <v>26</v>
      </c>
      <c r="K4421">
        <v>114250</v>
      </c>
      <c r="L4421">
        <v>20</v>
      </c>
      <c r="M4421">
        <v>1595</v>
      </c>
      <c r="N4421">
        <v>32890</v>
      </c>
      <c r="O4421">
        <f t="shared" si="142"/>
        <v>2025</v>
      </c>
      <c r="P4421">
        <f t="shared" si="143"/>
        <v>11</v>
      </c>
      <c r="Q4421" t="s">
        <v>784</v>
      </c>
      <c r="R4421" t="s">
        <v>805</v>
      </c>
    </row>
    <row r="4422" spans="1:18" x14ac:dyDescent="0.3">
      <c r="A4422" t="s">
        <v>627</v>
      </c>
      <c r="B4422" s="16">
        <v>45963</v>
      </c>
      <c r="C4422" t="s">
        <v>2</v>
      </c>
      <c r="D4422" t="s">
        <v>52</v>
      </c>
      <c r="E4422">
        <v>1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1</v>
      </c>
      <c r="O4422">
        <f t="shared" si="142"/>
        <v>2025</v>
      </c>
      <c r="P4422">
        <f t="shared" si="143"/>
        <v>11</v>
      </c>
      <c r="Q4422" t="s">
        <v>784</v>
      </c>
      <c r="R4422" t="s">
        <v>805</v>
      </c>
    </row>
    <row r="4423" spans="1:18" x14ac:dyDescent="0.3">
      <c r="A4423" t="s">
        <v>627</v>
      </c>
      <c r="B4423" s="16">
        <v>45963</v>
      </c>
      <c r="C4423" t="s">
        <v>2</v>
      </c>
      <c r="D4423" t="s">
        <v>55</v>
      </c>
      <c r="E4423">
        <v>1766</v>
      </c>
      <c r="F4423">
        <v>1143</v>
      </c>
      <c r="G4423">
        <v>22</v>
      </c>
      <c r="H4423">
        <v>6</v>
      </c>
      <c r="I4423">
        <v>0</v>
      </c>
      <c r="J4423">
        <v>0</v>
      </c>
      <c r="K4423">
        <v>0</v>
      </c>
      <c r="L4423">
        <v>0</v>
      </c>
      <c r="M4423">
        <v>53</v>
      </c>
      <c r="N4423">
        <v>1114</v>
      </c>
      <c r="O4423">
        <f t="shared" si="142"/>
        <v>2025</v>
      </c>
      <c r="P4423">
        <f t="shared" si="143"/>
        <v>11</v>
      </c>
      <c r="Q4423" t="s">
        <v>784</v>
      </c>
      <c r="R4423" t="s">
        <v>805</v>
      </c>
    </row>
    <row r="4424" spans="1:18" x14ac:dyDescent="0.3">
      <c r="A4424" t="s">
        <v>627</v>
      </c>
      <c r="B4424" s="16">
        <v>45963</v>
      </c>
      <c r="C4424" t="s">
        <v>3</v>
      </c>
      <c r="D4424" t="s">
        <v>155</v>
      </c>
      <c r="E4424">
        <v>58</v>
      </c>
      <c r="F4424">
        <v>26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58</v>
      </c>
      <c r="O4424">
        <f t="shared" si="142"/>
        <v>2025</v>
      </c>
      <c r="P4424">
        <f t="shared" si="143"/>
        <v>11</v>
      </c>
      <c r="Q4424" t="s">
        <v>784</v>
      </c>
      <c r="R4424" t="s">
        <v>805</v>
      </c>
    </row>
    <row r="4425" spans="1:18" x14ac:dyDescent="0.3">
      <c r="A4425" t="s">
        <v>627</v>
      </c>
      <c r="B4425" s="16">
        <v>45963</v>
      </c>
      <c r="C4425" t="s">
        <v>3</v>
      </c>
      <c r="D4425" t="s">
        <v>154</v>
      </c>
      <c r="E4425">
        <v>163</v>
      </c>
      <c r="F4425">
        <v>112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f t="shared" ref="O4425:O4488" si="144">YEAR(B4425)</f>
        <v>2025</v>
      </c>
      <c r="P4425">
        <f t="shared" ref="P4425:P4488" si="145">MONTH(B4425)</f>
        <v>11</v>
      </c>
      <c r="Q4425" t="s">
        <v>784</v>
      </c>
      <c r="R4425" t="s">
        <v>805</v>
      </c>
    </row>
    <row r="4426" spans="1:18" x14ac:dyDescent="0.3">
      <c r="A4426" t="s">
        <v>627</v>
      </c>
      <c r="B4426" s="16">
        <v>45963</v>
      </c>
      <c r="C4426" t="s">
        <v>3</v>
      </c>
      <c r="D4426" t="s">
        <v>153</v>
      </c>
      <c r="E4426">
        <v>389</v>
      </c>
      <c r="F4426">
        <v>60</v>
      </c>
      <c r="G4426">
        <v>41</v>
      </c>
      <c r="H4426">
        <v>2</v>
      </c>
      <c r="I4426">
        <v>245969.78</v>
      </c>
      <c r="J4426">
        <v>40</v>
      </c>
      <c r="K4426">
        <v>230294.78</v>
      </c>
      <c r="L4426">
        <v>38</v>
      </c>
      <c r="M4426">
        <v>95</v>
      </c>
      <c r="N4426">
        <v>381</v>
      </c>
      <c r="O4426">
        <f t="shared" si="144"/>
        <v>2025</v>
      </c>
      <c r="P4426">
        <f t="shared" si="145"/>
        <v>11</v>
      </c>
      <c r="Q4426" t="s">
        <v>784</v>
      </c>
      <c r="R4426" t="s">
        <v>805</v>
      </c>
    </row>
    <row r="4427" spans="1:18" x14ac:dyDescent="0.3">
      <c r="A4427" t="s">
        <v>627</v>
      </c>
      <c r="B4427" s="16">
        <v>45963</v>
      </c>
      <c r="C4427" t="s">
        <v>3</v>
      </c>
      <c r="D4427" t="s">
        <v>152</v>
      </c>
      <c r="E4427">
        <v>16</v>
      </c>
      <c r="F4427">
        <v>8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15</v>
      </c>
      <c r="O4427">
        <f t="shared" si="144"/>
        <v>2025</v>
      </c>
      <c r="P4427">
        <f t="shared" si="145"/>
        <v>11</v>
      </c>
      <c r="Q4427" t="s">
        <v>784</v>
      </c>
      <c r="R4427" t="s">
        <v>805</v>
      </c>
    </row>
    <row r="4428" spans="1:18" x14ac:dyDescent="0.3">
      <c r="A4428" t="s">
        <v>627</v>
      </c>
      <c r="B4428" s="16">
        <v>45963</v>
      </c>
      <c r="C4428" t="s">
        <v>3</v>
      </c>
      <c r="D4428" t="s">
        <v>149</v>
      </c>
      <c r="E4428">
        <v>8</v>
      </c>
      <c r="F4428">
        <v>2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3</v>
      </c>
      <c r="O4428">
        <f t="shared" si="144"/>
        <v>2025</v>
      </c>
      <c r="P4428">
        <f t="shared" si="145"/>
        <v>11</v>
      </c>
      <c r="Q4428" t="s">
        <v>784</v>
      </c>
      <c r="R4428" t="s">
        <v>805</v>
      </c>
    </row>
    <row r="4429" spans="1:18" x14ac:dyDescent="0.3">
      <c r="A4429" t="s">
        <v>627</v>
      </c>
      <c r="B4429" s="16">
        <v>45963</v>
      </c>
      <c r="C4429" t="s">
        <v>3</v>
      </c>
      <c r="D4429" t="s">
        <v>148</v>
      </c>
      <c r="E4429">
        <v>1</v>
      </c>
      <c r="F4429">
        <v>1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1</v>
      </c>
      <c r="N4429">
        <v>0</v>
      </c>
      <c r="O4429">
        <f t="shared" si="144"/>
        <v>2025</v>
      </c>
      <c r="P4429">
        <f t="shared" si="145"/>
        <v>11</v>
      </c>
      <c r="Q4429" t="s">
        <v>784</v>
      </c>
      <c r="R4429" t="s">
        <v>805</v>
      </c>
    </row>
    <row r="4430" spans="1:18" x14ac:dyDescent="0.3">
      <c r="A4430" t="s">
        <v>627</v>
      </c>
      <c r="B4430" s="16">
        <v>45963</v>
      </c>
      <c r="C4430" t="s">
        <v>3</v>
      </c>
      <c r="D4430" t="s">
        <v>367</v>
      </c>
      <c r="E4430">
        <v>235</v>
      </c>
      <c r="F4430">
        <v>157</v>
      </c>
      <c r="G4430">
        <v>4</v>
      </c>
      <c r="H4430">
        <v>2</v>
      </c>
      <c r="I4430">
        <v>11925</v>
      </c>
      <c r="J4430">
        <v>3</v>
      </c>
      <c r="K4430">
        <v>8930</v>
      </c>
      <c r="L4430">
        <v>2</v>
      </c>
      <c r="M4430">
        <v>0</v>
      </c>
      <c r="N4430">
        <v>235</v>
      </c>
      <c r="O4430">
        <f t="shared" si="144"/>
        <v>2025</v>
      </c>
      <c r="P4430">
        <f t="shared" si="145"/>
        <v>11</v>
      </c>
      <c r="Q4430" t="s">
        <v>784</v>
      </c>
      <c r="R4430" t="s">
        <v>805</v>
      </c>
    </row>
    <row r="4431" spans="1:18" x14ac:dyDescent="0.3">
      <c r="A4431" t="s">
        <v>627</v>
      </c>
      <c r="B4431" s="16">
        <v>45963</v>
      </c>
      <c r="C4431" t="s">
        <v>3</v>
      </c>
      <c r="D4431" t="s">
        <v>251</v>
      </c>
      <c r="E4431">
        <v>5727</v>
      </c>
      <c r="F4431">
        <v>5051</v>
      </c>
      <c r="G4431">
        <v>25</v>
      </c>
      <c r="H4431">
        <v>5</v>
      </c>
      <c r="I4431">
        <v>115352.12</v>
      </c>
      <c r="J4431">
        <v>15</v>
      </c>
      <c r="K4431">
        <v>89162.12</v>
      </c>
      <c r="L4431">
        <v>12</v>
      </c>
      <c r="M4431">
        <v>95</v>
      </c>
      <c r="N4431">
        <v>466</v>
      </c>
      <c r="O4431">
        <f t="shared" si="144"/>
        <v>2025</v>
      </c>
      <c r="P4431">
        <f t="shared" si="145"/>
        <v>11</v>
      </c>
      <c r="Q4431" t="s">
        <v>784</v>
      </c>
      <c r="R4431" t="s">
        <v>805</v>
      </c>
    </row>
    <row r="4432" spans="1:18" x14ac:dyDescent="0.3">
      <c r="A4432" t="s">
        <v>627</v>
      </c>
      <c r="B4432" s="16">
        <v>45963</v>
      </c>
      <c r="C4432" t="s">
        <v>3</v>
      </c>
      <c r="D4432" t="s">
        <v>143</v>
      </c>
      <c r="E4432">
        <v>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1</v>
      </c>
      <c r="N4432">
        <v>2</v>
      </c>
      <c r="O4432">
        <f t="shared" si="144"/>
        <v>2025</v>
      </c>
      <c r="P4432">
        <f t="shared" si="145"/>
        <v>11</v>
      </c>
      <c r="Q4432" t="s">
        <v>784</v>
      </c>
      <c r="R4432" t="s">
        <v>805</v>
      </c>
    </row>
    <row r="4433" spans="1:18" x14ac:dyDescent="0.3">
      <c r="A4433" t="s">
        <v>627</v>
      </c>
      <c r="B4433" s="16">
        <v>45963</v>
      </c>
      <c r="C4433" t="s">
        <v>3</v>
      </c>
      <c r="D4433" t="s">
        <v>141</v>
      </c>
      <c r="E4433">
        <v>271</v>
      </c>
      <c r="F4433">
        <v>88</v>
      </c>
      <c r="G4433">
        <v>8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1</v>
      </c>
      <c r="N4433">
        <v>270</v>
      </c>
      <c r="O4433">
        <f t="shared" si="144"/>
        <v>2025</v>
      </c>
      <c r="P4433">
        <f t="shared" si="145"/>
        <v>11</v>
      </c>
      <c r="Q4433" t="s">
        <v>784</v>
      </c>
      <c r="R4433" t="s">
        <v>805</v>
      </c>
    </row>
    <row r="4434" spans="1:18" x14ac:dyDescent="0.3">
      <c r="A4434" t="s">
        <v>627</v>
      </c>
      <c r="B4434" s="16">
        <v>45963</v>
      </c>
      <c r="C4434" t="s">
        <v>3</v>
      </c>
      <c r="D4434" t="s">
        <v>140</v>
      </c>
      <c r="E4434">
        <v>6</v>
      </c>
      <c r="F4434">
        <v>4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3</v>
      </c>
      <c r="N4434">
        <v>6</v>
      </c>
      <c r="O4434">
        <f t="shared" si="144"/>
        <v>2025</v>
      </c>
      <c r="P4434">
        <f t="shared" si="145"/>
        <v>11</v>
      </c>
      <c r="Q4434" t="s">
        <v>784</v>
      </c>
      <c r="R4434" t="s">
        <v>805</v>
      </c>
    </row>
    <row r="4435" spans="1:18" x14ac:dyDescent="0.3">
      <c r="A4435" t="s">
        <v>627</v>
      </c>
      <c r="B4435" s="16">
        <v>45963</v>
      </c>
      <c r="C4435" t="s">
        <v>3</v>
      </c>
      <c r="D4435" t="s">
        <v>139</v>
      </c>
      <c r="E4435">
        <v>1933</v>
      </c>
      <c r="F4435">
        <v>941</v>
      </c>
      <c r="G4435">
        <v>60</v>
      </c>
      <c r="H4435">
        <v>13</v>
      </c>
      <c r="I4435">
        <v>131473.76</v>
      </c>
      <c r="J4435">
        <v>18</v>
      </c>
      <c r="K4435">
        <v>121333.75999999999</v>
      </c>
      <c r="L4435">
        <v>17</v>
      </c>
      <c r="M4435">
        <v>271</v>
      </c>
      <c r="N4435">
        <v>1642</v>
      </c>
      <c r="O4435">
        <f t="shared" si="144"/>
        <v>2025</v>
      </c>
      <c r="P4435">
        <f t="shared" si="145"/>
        <v>11</v>
      </c>
      <c r="Q4435" t="s">
        <v>784</v>
      </c>
      <c r="R4435" t="s">
        <v>805</v>
      </c>
    </row>
    <row r="4436" spans="1:18" x14ac:dyDescent="0.3">
      <c r="A4436" t="s">
        <v>627</v>
      </c>
      <c r="B4436" s="16">
        <v>45963</v>
      </c>
      <c r="C4436" t="s">
        <v>3</v>
      </c>
      <c r="D4436" t="s">
        <v>138</v>
      </c>
      <c r="E4436">
        <v>24</v>
      </c>
      <c r="F4436">
        <v>11</v>
      </c>
      <c r="G4436">
        <v>2</v>
      </c>
      <c r="H4436">
        <v>0</v>
      </c>
      <c r="I4436">
        <v>4545</v>
      </c>
      <c r="J4436">
        <v>1</v>
      </c>
      <c r="K4436">
        <v>4545</v>
      </c>
      <c r="L4436">
        <v>1</v>
      </c>
      <c r="M4436">
        <v>3</v>
      </c>
      <c r="N4436">
        <v>24</v>
      </c>
      <c r="O4436">
        <f t="shared" si="144"/>
        <v>2025</v>
      </c>
      <c r="P4436">
        <f t="shared" si="145"/>
        <v>11</v>
      </c>
      <c r="Q4436" t="s">
        <v>784</v>
      </c>
      <c r="R4436" t="s">
        <v>805</v>
      </c>
    </row>
    <row r="4437" spans="1:18" x14ac:dyDescent="0.3">
      <c r="A4437" t="s">
        <v>627</v>
      </c>
      <c r="B4437" s="16">
        <v>45963</v>
      </c>
      <c r="C4437" t="s">
        <v>3</v>
      </c>
      <c r="D4437" t="s">
        <v>133</v>
      </c>
      <c r="E4437">
        <v>22</v>
      </c>
      <c r="F4437">
        <v>14</v>
      </c>
      <c r="G4437">
        <v>0</v>
      </c>
      <c r="H4437">
        <v>1</v>
      </c>
      <c r="I4437">
        <v>2990</v>
      </c>
      <c r="J4437">
        <v>1</v>
      </c>
      <c r="K4437">
        <v>2990</v>
      </c>
      <c r="L4437">
        <v>1</v>
      </c>
      <c r="M4437">
        <v>3</v>
      </c>
      <c r="N4437">
        <v>22</v>
      </c>
      <c r="O4437">
        <f t="shared" si="144"/>
        <v>2025</v>
      </c>
      <c r="P4437">
        <f t="shared" si="145"/>
        <v>11</v>
      </c>
      <c r="Q4437" t="s">
        <v>784</v>
      </c>
      <c r="R4437" t="s">
        <v>805</v>
      </c>
    </row>
    <row r="4438" spans="1:18" x14ac:dyDescent="0.3">
      <c r="A4438" t="s">
        <v>627</v>
      </c>
      <c r="B4438" s="16">
        <v>45963</v>
      </c>
      <c r="C4438" t="s">
        <v>3</v>
      </c>
      <c r="D4438" t="s">
        <v>130</v>
      </c>
      <c r="E4438">
        <v>150</v>
      </c>
      <c r="F4438">
        <v>44</v>
      </c>
      <c r="G4438">
        <v>9</v>
      </c>
      <c r="H4438">
        <v>2</v>
      </c>
      <c r="I4438">
        <v>51752.36</v>
      </c>
      <c r="J4438">
        <v>6</v>
      </c>
      <c r="K4438">
        <v>44762.36</v>
      </c>
      <c r="L4438">
        <v>5</v>
      </c>
      <c r="M4438">
        <v>55</v>
      </c>
      <c r="N4438">
        <v>129</v>
      </c>
      <c r="O4438">
        <f t="shared" si="144"/>
        <v>2025</v>
      </c>
      <c r="P4438">
        <f t="shared" si="145"/>
        <v>11</v>
      </c>
      <c r="Q4438" t="s">
        <v>784</v>
      </c>
      <c r="R4438" t="s">
        <v>805</v>
      </c>
    </row>
    <row r="4439" spans="1:18" x14ac:dyDescent="0.3">
      <c r="A4439" t="s">
        <v>627</v>
      </c>
      <c r="B4439" s="16">
        <v>45963</v>
      </c>
      <c r="C4439" t="s">
        <v>3</v>
      </c>
      <c r="D4439" t="s">
        <v>128</v>
      </c>
      <c r="E4439">
        <v>2086</v>
      </c>
      <c r="F4439">
        <v>1621</v>
      </c>
      <c r="G4439">
        <v>51</v>
      </c>
      <c r="H4439">
        <v>24</v>
      </c>
      <c r="I4439">
        <v>91875</v>
      </c>
      <c r="J4439">
        <v>14</v>
      </c>
      <c r="K4439">
        <v>81975</v>
      </c>
      <c r="L4439">
        <v>13</v>
      </c>
      <c r="M4439">
        <v>324</v>
      </c>
      <c r="N4439">
        <v>1996</v>
      </c>
      <c r="O4439">
        <f t="shared" si="144"/>
        <v>2025</v>
      </c>
      <c r="P4439">
        <f t="shared" si="145"/>
        <v>11</v>
      </c>
      <c r="Q4439" t="s">
        <v>784</v>
      </c>
      <c r="R4439" t="s">
        <v>805</v>
      </c>
    </row>
    <row r="4440" spans="1:18" x14ac:dyDescent="0.3">
      <c r="A4440" t="s">
        <v>627</v>
      </c>
      <c r="B4440" s="16">
        <v>45963</v>
      </c>
      <c r="C4440" t="s">
        <v>3</v>
      </c>
      <c r="D4440" t="s">
        <v>127</v>
      </c>
      <c r="E4440">
        <v>13166</v>
      </c>
      <c r="F4440">
        <v>7267</v>
      </c>
      <c r="G4440">
        <v>167</v>
      </c>
      <c r="H4440">
        <v>40</v>
      </c>
      <c r="I4440">
        <v>176585</v>
      </c>
      <c r="J4440">
        <v>27</v>
      </c>
      <c r="K4440">
        <v>133965</v>
      </c>
      <c r="L4440">
        <v>22</v>
      </c>
      <c r="M4440">
        <v>423</v>
      </c>
      <c r="N4440">
        <v>13099</v>
      </c>
      <c r="O4440">
        <f t="shared" si="144"/>
        <v>2025</v>
      </c>
      <c r="P4440">
        <f t="shared" si="145"/>
        <v>11</v>
      </c>
      <c r="Q4440" t="s">
        <v>784</v>
      </c>
      <c r="R4440" t="s">
        <v>805</v>
      </c>
    </row>
    <row r="4441" spans="1:18" x14ac:dyDescent="0.3">
      <c r="A4441" t="s">
        <v>627</v>
      </c>
      <c r="B4441" s="16">
        <v>45963</v>
      </c>
      <c r="C4441" t="s">
        <v>3</v>
      </c>
      <c r="D4441" t="s">
        <v>126</v>
      </c>
      <c r="E4441">
        <v>197</v>
      </c>
      <c r="F4441">
        <v>112</v>
      </c>
      <c r="G4441">
        <v>7</v>
      </c>
      <c r="H4441">
        <v>2</v>
      </c>
      <c r="I4441">
        <v>5050</v>
      </c>
      <c r="J4441">
        <v>1</v>
      </c>
      <c r="K4441">
        <v>5050</v>
      </c>
      <c r="L4441">
        <v>1</v>
      </c>
      <c r="M4441">
        <v>21</v>
      </c>
      <c r="N4441">
        <v>194</v>
      </c>
      <c r="O4441">
        <f t="shared" si="144"/>
        <v>2025</v>
      </c>
      <c r="P4441">
        <f t="shared" si="145"/>
        <v>11</v>
      </c>
      <c r="Q4441" t="s">
        <v>784</v>
      </c>
      <c r="R4441" t="s">
        <v>805</v>
      </c>
    </row>
    <row r="4442" spans="1:18" x14ac:dyDescent="0.3">
      <c r="A4442" t="s">
        <v>627</v>
      </c>
      <c r="B4442" s="16">
        <v>45963</v>
      </c>
      <c r="C4442" t="s">
        <v>3</v>
      </c>
      <c r="D4442" t="s">
        <v>123</v>
      </c>
      <c r="E4442">
        <v>37</v>
      </c>
      <c r="F4442">
        <v>17</v>
      </c>
      <c r="G4442">
        <v>1</v>
      </c>
      <c r="H4442">
        <v>0</v>
      </c>
      <c r="I4442">
        <v>4290</v>
      </c>
      <c r="J4442">
        <v>1</v>
      </c>
      <c r="K4442">
        <v>4290</v>
      </c>
      <c r="L4442">
        <v>1</v>
      </c>
      <c r="M4442">
        <v>33</v>
      </c>
      <c r="N4442">
        <v>24</v>
      </c>
      <c r="O4442">
        <f t="shared" si="144"/>
        <v>2025</v>
      </c>
      <c r="P4442">
        <f t="shared" si="145"/>
        <v>11</v>
      </c>
      <c r="Q4442" t="s">
        <v>784</v>
      </c>
      <c r="R4442" t="s">
        <v>805</v>
      </c>
    </row>
    <row r="4443" spans="1:18" x14ac:dyDescent="0.3">
      <c r="A4443" t="s">
        <v>627</v>
      </c>
      <c r="B4443" s="16">
        <v>45963</v>
      </c>
      <c r="C4443" t="s">
        <v>3</v>
      </c>
      <c r="D4443" t="s">
        <v>121</v>
      </c>
      <c r="E4443">
        <v>1</v>
      </c>
      <c r="F4443">
        <v>1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1</v>
      </c>
      <c r="O4443">
        <f t="shared" si="144"/>
        <v>2025</v>
      </c>
      <c r="P4443">
        <f t="shared" si="145"/>
        <v>11</v>
      </c>
      <c r="Q4443" t="s">
        <v>784</v>
      </c>
      <c r="R4443" t="s">
        <v>805</v>
      </c>
    </row>
    <row r="4444" spans="1:18" x14ac:dyDescent="0.3">
      <c r="A4444" t="s">
        <v>627</v>
      </c>
      <c r="B4444" s="16">
        <v>45963</v>
      </c>
      <c r="C4444" t="s">
        <v>3</v>
      </c>
      <c r="D4444" t="s">
        <v>119</v>
      </c>
      <c r="E4444">
        <v>283</v>
      </c>
      <c r="F4444">
        <v>70</v>
      </c>
      <c r="G4444">
        <v>17</v>
      </c>
      <c r="H4444">
        <v>4</v>
      </c>
      <c r="I4444">
        <v>114447.85</v>
      </c>
      <c r="J4444">
        <v>11</v>
      </c>
      <c r="K4444">
        <v>99557.85</v>
      </c>
      <c r="L4444">
        <v>10</v>
      </c>
      <c r="M4444">
        <v>62</v>
      </c>
      <c r="N4444">
        <v>272</v>
      </c>
      <c r="O4444">
        <f t="shared" si="144"/>
        <v>2025</v>
      </c>
      <c r="P4444">
        <f t="shared" si="145"/>
        <v>11</v>
      </c>
      <c r="Q4444" t="s">
        <v>784</v>
      </c>
      <c r="R4444" t="s">
        <v>805</v>
      </c>
    </row>
    <row r="4445" spans="1:18" x14ac:dyDescent="0.3">
      <c r="A4445" t="s">
        <v>627</v>
      </c>
      <c r="B4445" s="16">
        <v>45963</v>
      </c>
      <c r="C4445" t="s">
        <v>3</v>
      </c>
      <c r="D4445" t="s">
        <v>252</v>
      </c>
      <c r="E4445">
        <v>3</v>
      </c>
      <c r="F4445">
        <v>3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3</v>
      </c>
      <c r="O4445">
        <f t="shared" si="144"/>
        <v>2025</v>
      </c>
      <c r="P4445">
        <f t="shared" si="145"/>
        <v>11</v>
      </c>
      <c r="Q4445" t="s">
        <v>784</v>
      </c>
      <c r="R4445" t="s">
        <v>805</v>
      </c>
    </row>
    <row r="4446" spans="1:18" x14ac:dyDescent="0.3">
      <c r="A4446" t="s">
        <v>627</v>
      </c>
      <c r="B4446" s="16">
        <v>45963</v>
      </c>
      <c r="C4446" t="s">
        <v>3</v>
      </c>
      <c r="D4446" t="s">
        <v>117</v>
      </c>
      <c r="E4446">
        <v>2</v>
      </c>
      <c r="F4446">
        <v>1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2</v>
      </c>
      <c r="O4446">
        <f t="shared" si="144"/>
        <v>2025</v>
      </c>
      <c r="P4446">
        <f t="shared" si="145"/>
        <v>11</v>
      </c>
      <c r="Q4446" t="s">
        <v>784</v>
      </c>
      <c r="R4446" t="s">
        <v>805</v>
      </c>
    </row>
    <row r="4447" spans="1:18" x14ac:dyDescent="0.3">
      <c r="A4447" t="s">
        <v>627</v>
      </c>
      <c r="B4447" s="16">
        <v>45963</v>
      </c>
      <c r="C4447" t="s">
        <v>3</v>
      </c>
      <c r="D4447" t="s">
        <v>391</v>
      </c>
      <c r="E4447">
        <v>681</v>
      </c>
      <c r="F4447">
        <v>352</v>
      </c>
      <c r="G4447">
        <v>25</v>
      </c>
      <c r="H4447">
        <v>4</v>
      </c>
      <c r="I4447">
        <v>54005</v>
      </c>
      <c r="J4447">
        <v>8</v>
      </c>
      <c r="K4447">
        <v>26315</v>
      </c>
      <c r="L4447">
        <v>5</v>
      </c>
      <c r="M4447">
        <v>119</v>
      </c>
      <c r="N4447">
        <v>665</v>
      </c>
      <c r="O4447">
        <f t="shared" si="144"/>
        <v>2025</v>
      </c>
      <c r="P4447">
        <f t="shared" si="145"/>
        <v>11</v>
      </c>
      <c r="Q4447" t="s">
        <v>784</v>
      </c>
      <c r="R4447" t="s">
        <v>805</v>
      </c>
    </row>
    <row r="4448" spans="1:18" x14ac:dyDescent="0.3">
      <c r="A4448" t="s">
        <v>627</v>
      </c>
      <c r="B4448" s="16">
        <v>45963</v>
      </c>
      <c r="C4448" t="s">
        <v>3</v>
      </c>
      <c r="D4448" t="s">
        <v>114</v>
      </c>
      <c r="E4448">
        <v>134</v>
      </c>
      <c r="F4448">
        <v>63</v>
      </c>
      <c r="G4448">
        <v>3</v>
      </c>
      <c r="H4448">
        <v>1</v>
      </c>
      <c r="I4448">
        <v>0</v>
      </c>
      <c r="J4448">
        <v>0</v>
      </c>
      <c r="K4448">
        <v>0</v>
      </c>
      <c r="L4448">
        <v>0</v>
      </c>
      <c r="M4448">
        <v>11</v>
      </c>
      <c r="N4448">
        <v>133</v>
      </c>
      <c r="O4448">
        <f t="shared" si="144"/>
        <v>2025</v>
      </c>
      <c r="P4448">
        <f t="shared" si="145"/>
        <v>11</v>
      </c>
      <c r="Q4448" t="s">
        <v>784</v>
      </c>
      <c r="R4448" t="s">
        <v>805</v>
      </c>
    </row>
    <row r="4449" spans="1:18" x14ac:dyDescent="0.3">
      <c r="A4449" t="s">
        <v>627</v>
      </c>
      <c r="B4449" s="16">
        <v>45963</v>
      </c>
      <c r="C4449" t="s">
        <v>3</v>
      </c>
      <c r="D4449" t="s">
        <v>113</v>
      </c>
      <c r="E4449">
        <v>124</v>
      </c>
      <c r="F4449">
        <v>54</v>
      </c>
      <c r="G4449">
        <v>4</v>
      </c>
      <c r="H4449">
        <v>3</v>
      </c>
      <c r="I4449">
        <v>990</v>
      </c>
      <c r="J4449">
        <v>1</v>
      </c>
      <c r="K4449">
        <v>0</v>
      </c>
      <c r="L4449">
        <v>0</v>
      </c>
      <c r="M4449">
        <v>101</v>
      </c>
      <c r="N4449">
        <v>75</v>
      </c>
      <c r="O4449">
        <f t="shared" si="144"/>
        <v>2025</v>
      </c>
      <c r="P4449">
        <f t="shared" si="145"/>
        <v>11</v>
      </c>
      <c r="Q4449" t="s">
        <v>784</v>
      </c>
      <c r="R4449" t="s">
        <v>805</v>
      </c>
    </row>
    <row r="4450" spans="1:18" x14ac:dyDescent="0.3">
      <c r="A4450" t="s">
        <v>627</v>
      </c>
      <c r="B4450" s="16">
        <v>45963</v>
      </c>
      <c r="C4450" t="s">
        <v>3</v>
      </c>
      <c r="D4450" t="s">
        <v>112</v>
      </c>
      <c r="E4450">
        <v>46</v>
      </c>
      <c r="F4450">
        <v>9</v>
      </c>
      <c r="G4450">
        <v>1</v>
      </c>
      <c r="H4450">
        <v>0</v>
      </c>
      <c r="I4450">
        <v>5855</v>
      </c>
      <c r="J4450">
        <v>2</v>
      </c>
      <c r="K4450">
        <v>4865</v>
      </c>
      <c r="L4450">
        <v>2</v>
      </c>
      <c r="M4450">
        <v>0</v>
      </c>
      <c r="N4450">
        <v>46</v>
      </c>
      <c r="O4450">
        <f t="shared" si="144"/>
        <v>2025</v>
      </c>
      <c r="P4450">
        <f t="shared" si="145"/>
        <v>11</v>
      </c>
      <c r="Q4450" t="s">
        <v>784</v>
      </c>
      <c r="R4450" t="s">
        <v>805</v>
      </c>
    </row>
    <row r="4451" spans="1:18" x14ac:dyDescent="0.3">
      <c r="A4451" t="s">
        <v>627</v>
      </c>
      <c r="B4451" s="16">
        <v>45963</v>
      </c>
      <c r="C4451" t="s">
        <v>3</v>
      </c>
      <c r="D4451" t="s">
        <v>111</v>
      </c>
      <c r="E4451">
        <v>8</v>
      </c>
      <c r="F4451">
        <v>3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8</v>
      </c>
      <c r="O4451">
        <f t="shared" si="144"/>
        <v>2025</v>
      </c>
      <c r="P4451">
        <f t="shared" si="145"/>
        <v>11</v>
      </c>
      <c r="Q4451" t="s">
        <v>784</v>
      </c>
      <c r="R4451" t="s">
        <v>805</v>
      </c>
    </row>
    <row r="4452" spans="1:18" x14ac:dyDescent="0.3">
      <c r="A4452" t="s">
        <v>627</v>
      </c>
      <c r="B4452" s="16">
        <v>45962</v>
      </c>
      <c r="C4452" t="s">
        <v>2</v>
      </c>
      <c r="D4452" t="s">
        <v>4</v>
      </c>
      <c r="E4452">
        <v>349</v>
      </c>
      <c r="F4452">
        <v>99</v>
      </c>
      <c r="G4452">
        <v>7</v>
      </c>
      <c r="H4452">
        <v>0</v>
      </c>
      <c r="I4452">
        <v>10640</v>
      </c>
      <c r="J4452">
        <v>2</v>
      </c>
      <c r="K4452">
        <v>10640</v>
      </c>
      <c r="L4452">
        <v>2</v>
      </c>
      <c r="M4452">
        <v>1</v>
      </c>
      <c r="N4452">
        <v>347</v>
      </c>
      <c r="O4452">
        <f t="shared" si="144"/>
        <v>2025</v>
      </c>
      <c r="P4452">
        <f t="shared" si="145"/>
        <v>11</v>
      </c>
      <c r="Q4452" t="s">
        <v>784</v>
      </c>
      <c r="R4452" t="s">
        <v>805</v>
      </c>
    </row>
    <row r="4453" spans="1:18" x14ac:dyDescent="0.3">
      <c r="A4453" t="s">
        <v>627</v>
      </c>
      <c r="B4453" s="16">
        <v>45962</v>
      </c>
      <c r="C4453" t="s">
        <v>2</v>
      </c>
      <c r="D4453" t="s">
        <v>57</v>
      </c>
      <c r="E4453">
        <v>29516</v>
      </c>
      <c r="F4453">
        <v>17496</v>
      </c>
      <c r="G4453">
        <v>120</v>
      </c>
      <c r="H4453">
        <v>150</v>
      </c>
      <c r="I4453">
        <v>137840</v>
      </c>
      <c r="J4453">
        <v>19</v>
      </c>
      <c r="K4453">
        <v>71920</v>
      </c>
      <c r="L4453">
        <v>13</v>
      </c>
      <c r="M4453">
        <v>1377</v>
      </c>
      <c r="N4453">
        <v>29116</v>
      </c>
      <c r="O4453">
        <f t="shared" si="144"/>
        <v>2025</v>
      </c>
      <c r="P4453">
        <f t="shared" si="145"/>
        <v>11</v>
      </c>
      <c r="Q4453" t="s">
        <v>784</v>
      </c>
      <c r="R4453" t="s">
        <v>805</v>
      </c>
    </row>
    <row r="4454" spans="1:18" x14ac:dyDescent="0.3">
      <c r="A4454" t="s">
        <v>627</v>
      </c>
      <c r="B4454" s="16">
        <v>45962</v>
      </c>
      <c r="C4454" t="s">
        <v>2</v>
      </c>
      <c r="D4454" t="s">
        <v>52</v>
      </c>
      <c r="E4454">
        <v>1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1</v>
      </c>
      <c r="O4454">
        <f t="shared" si="144"/>
        <v>2025</v>
      </c>
      <c r="P4454">
        <f t="shared" si="145"/>
        <v>11</v>
      </c>
      <c r="Q4454" t="s">
        <v>784</v>
      </c>
      <c r="R4454" t="s">
        <v>805</v>
      </c>
    </row>
    <row r="4455" spans="1:18" x14ac:dyDescent="0.3">
      <c r="A4455" t="s">
        <v>627</v>
      </c>
      <c r="B4455" s="16">
        <v>45962</v>
      </c>
      <c r="C4455" t="s">
        <v>2</v>
      </c>
      <c r="D4455" t="s">
        <v>55</v>
      </c>
      <c r="E4455">
        <v>1599</v>
      </c>
      <c r="F4455">
        <v>1126</v>
      </c>
      <c r="G4455">
        <v>7</v>
      </c>
      <c r="H4455">
        <v>2</v>
      </c>
      <c r="I4455">
        <v>0</v>
      </c>
      <c r="J4455">
        <v>0</v>
      </c>
      <c r="K4455">
        <v>0</v>
      </c>
      <c r="L4455">
        <v>0</v>
      </c>
      <c r="M4455">
        <v>32</v>
      </c>
      <c r="N4455">
        <v>616</v>
      </c>
      <c r="O4455">
        <f t="shared" si="144"/>
        <v>2025</v>
      </c>
      <c r="P4455">
        <f t="shared" si="145"/>
        <v>11</v>
      </c>
      <c r="Q4455" t="s">
        <v>784</v>
      </c>
      <c r="R4455" t="s">
        <v>805</v>
      </c>
    </row>
    <row r="4456" spans="1:18" x14ac:dyDescent="0.3">
      <c r="A4456" t="s">
        <v>627</v>
      </c>
      <c r="B4456" s="16">
        <v>45962</v>
      </c>
      <c r="C4456" t="s">
        <v>3</v>
      </c>
      <c r="D4456" t="s">
        <v>155</v>
      </c>
      <c r="E4456">
        <v>64</v>
      </c>
      <c r="F4456">
        <v>26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4</v>
      </c>
      <c r="N4456">
        <v>63</v>
      </c>
      <c r="O4456">
        <f t="shared" si="144"/>
        <v>2025</v>
      </c>
      <c r="P4456">
        <f t="shared" si="145"/>
        <v>11</v>
      </c>
      <c r="Q4456" t="s">
        <v>784</v>
      </c>
      <c r="R4456" t="s">
        <v>805</v>
      </c>
    </row>
    <row r="4457" spans="1:18" x14ac:dyDescent="0.3">
      <c r="A4457" t="s">
        <v>627</v>
      </c>
      <c r="B4457" s="16">
        <v>45962</v>
      </c>
      <c r="C4457" t="s">
        <v>3</v>
      </c>
      <c r="D4457" t="s">
        <v>154</v>
      </c>
      <c r="E4457">
        <v>149</v>
      </c>
      <c r="F4457">
        <v>110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f t="shared" si="144"/>
        <v>2025</v>
      </c>
      <c r="P4457">
        <f t="shared" si="145"/>
        <v>11</v>
      </c>
      <c r="Q4457" t="s">
        <v>784</v>
      </c>
      <c r="R4457" t="s">
        <v>805</v>
      </c>
    </row>
    <row r="4458" spans="1:18" x14ac:dyDescent="0.3">
      <c r="A4458" t="s">
        <v>627</v>
      </c>
      <c r="B4458" s="16">
        <v>45962</v>
      </c>
      <c r="C4458" t="s">
        <v>3</v>
      </c>
      <c r="D4458" t="s">
        <v>153</v>
      </c>
      <c r="E4458">
        <v>452</v>
      </c>
      <c r="F4458">
        <v>78</v>
      </c>
      <c r="G4458">
        <v>56</v>
      </c>
      <c r="H4458">
        <v>2</v>
      </c>
      <c r="I4458">
        <v>201518.52</v>
      </c>
      <c r="J4458">
        <v>36</v>
      </c>
      <c r="K4458">
        <v>163178.51999999999</v>
      </c>
      <c r="L4458">
        <v>29</v>
      </c>
      <c r="M4458">
        <v>124</v>
      </c>
      <c r="N4458">
        <v>441</v>
      </c>
      <c r="O4458">
        <f t="shared" si="144"/>
        <v>2025</v>
      </c>
      <c r="P4458">
        <f t="shared" si="145"/>
        <v>11</v>
      </c>
      <c r="Q4458" t="s">
        <v>784</v>
      </c>
      <c r="R4458" t="s">
        <v>805</v>
      </c>
    </row>
    <row r="4459" spans="1:18" x14ac:dyDescent="0.3">
      <c r="A4459" t="s">
        <v>627</v>
      </c>
      <c r="B4459" s="16">
        <v>45962</v>
      </c>
      <c r="C4459" t="s">
        <v>3</v>
      </c>
      <c r="D4459" t="s">
        <v>152</v>
      </c>
      <c r="E4459">
        <v>15</v>
      </c>
      <c r="F4459">
        <v>6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1</v>
      </c>
      <c r="N4459">
        <v>12</v>
      </c>
      <c r="O4459">
        <f t="shared" si="144"/>
        <v>2025</v>
      </c>
      <c r="P4459">
        <f t="shared" si="145"/>
        <v>11</v>
      </c>
      <c r="Q4459" t="s">
        <v>784</v>
      </c>
      <c r="R4459" t="s">
        <v>805</v>
      </c>
    </row>
    <row r="4460" spans="1:18" x14ac:dyDescent="0.3">
      <c r="A4460" t="s">
        <v>627</v>
      </c>
      <c r="B4460" s="16">
        <v>45962</v>
      </c>
      <c r="C4460" t="s">
        <v>3</v>
      </c>
      <c r="D4460" t="s">
        <v>198</v>
      </c>
      <c r="E4460">
        <v>1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1</v>
      </c>
      <c r="O4460">
        <f t="shared" si="144"/>
        <v>2025</v>
      </c>
      <c r="P4460">
        <f t="shared" si="145"/>
        <v>11</v>
      </c>
      <c r="Q4460" t="s">
        <v>784</v>
      </c>
      <c r="R4460" t="s">
        <v>805</v>
      </c>
    </row>
    <row r="4461" spans="1:18" x14ac:dyDescent="0.3">
      <c r="A4461" t="s">
        <v>627</v>
      </c>
      <c r="B4461" s="16">
        <v>45962</v>
      </c>
      <c r="C4461" t="s">
        <v>3</v>
      </c>
      <c r="D4461" t="s">
        <v>149</v>
      </c>
      <c r="E4461">
        <v>6</v>
      </c>
      <c r="F4461">
        <v>4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5</v>
      </c>
      <c r="O4461">
        <f t="shared" si="144"/>
        <v>2025</v>
      </c>
      <c r="P4461">
        <f t="shared" si="145"/>
        <v>11</v>
      </c>
      <c r="Q4461" t="s">
        <v>784</v>
      </c>
      <c r="R4461" t="s">
        <v>805</v>
      </c>
    </row>
    <row r="4462" spans="1:18" x14ac:dyDescent="0.3">
      <c r="A4462" t="s">
        <v>627</v>
      </c>
      <c r="B4462" s="16">
        <v>45962</v>
      </c>
      <c r="C4462" t="s">
        <v>3</v>
      </c>
      <c r="D4462" t="s">
        <v>367</v>
      </c>
      <c r="E4462">
        <v>247</v>
      </c>
      <c r="F4462">
        <v>157</v>
      </c>
      <c r="G4462">
        <v>9</v>
      </c>
      <c r="H4462">
        <v>3</v>
      </c>
      <c r="I4462">
        <v>21730</v>
      </c>
      <c r="J4462">
        <v>3</v>
      </c>
      <c r="K4462">
        <v>13980</v>
      </c>
      <c r="L4462">
        <v>2</v>
      </c>
      <c r="M4462">
        <v>1</v>
      </c>
      <c r="N4462">
        <v>247</v>
      </c>
      <c r="O4462">
        <f t="shared" si="144"/>
        <v>2025</v>
      </c>
      <c r="P4462">
        <f t="shared" si="145"/>
        <v>11</v>
      </c>
      <c r="Q4462" t="s">
        <v>784</v>
      </c>
      <c r="R4462" t="s">
        <v>805</v>
      </c>
    </row>
    <row r="4463" spans="1:18" x14ac:dyDescent="0.3">
      <c r="A4463" t="s">
        <v>627</v>
      </c>
      <c r="B4463" s="16">
        <v>45962</v>
      </c>
      <c r="C4463" t="s">
        <v>3</v>
      </c>
      <c r="D4463" t="s">
        <v>251</v>
      </c>
      <c r="E4463">
        <v>3211</v>
      </c>
      <c r="F4463">
        <v>2738</v>
      </c>
      <c r="G4463">
        <v>19</v>
      </c>
      <c r="H4463">
        <v>1</v>
      </c>
      <c r="I4463">
        <v>64220</v>
      </c>
      <c r="J4463">
        <v>12</v>
      </c>
      <c r="K4463">
        <v>60730</v>
      </c>
      <c r="L4463">
        <v>11</v>
      </c>
      <c r="M4463">
        <v>107</v>
      </c>
      <c r="N4463">
        <v>448</v>
      </c>
      <c r="O4463">
        <f t="shared" si="144"/>
        <v>2025</v>
      </c>
      <c r="P4463">
        <f t="shared" si="145"/>
        <v>11</v>
      </c>
      <c r="Q4463" t="s">
        <v>784</v>
      </c>
      <c r="R4463" t="s">
        <v>805</v>
      </c>
    </row>
    <row r="4464" spans="1:18" x14ac:dyDescent="0.3">
      <c r="A4464" t="s">
        <v>627</v>
      </c>
      <c r="B4464" s="16">
        <v>45962</v>
      </c>
      <c r="C4464" t="s">
        <v>3</v>
      </c>
      <c r="D4464" t="s">
        <v>143</v>
      </c>
      <c r="E4464">
        <v>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2</v>
      </c>
      <c r="O4464">
        <f t="shared" si="144"/>
        <v>2025</v>
      </c>
      <c r="P4464">
        <f t="shared" si="145"/>
        <v>11</v>
      </c>
      <c r="Q4464" t="s">
        <v>784</v>
      </c>
      <c r="R4464" t="s">
        <v>805</v>
      </c>
    </row>
    <row r="4465" spans="1:18" x14ac:dyDescent="0.3">
      <c r="A4465" t="s">
        <v>627</v>
      </c>
      <c r="B4465" s="16">
        <v>45962</v>
      </c>
      <c r="C4465" t="s">
        <v>3</v>
      </c>
      <c r="D4465" t="s">
        <v>141</v>
      </c>
      <c r="E4465">
        <v>249</v>
      </c>
      <c r="F4465">
        <v>92</v>
      </c>
      <c r="G4465">
        <v>4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2</v>
      </c>
      <c r="N4465">
        <v>247</v>
      </c>
      <c r="O4465">
        <f t="shared" si="144"/>
        <v>2025</v>
      </c>
      <c r="P4465">
        <f t="shared" si="145"/>
        <v>11</v>
      </c>
      <c r="Q4465" t="s">
        <v>784</v>
      </c>
      <c r="R4465" t="s">
        <v>805</v>
      </c>
    </row>
    <row r="4466" spans="1:18" x14ac:dyDescent="0.3">
      <c r="A4466" t="s">
        <v>627</v>
      </c>
      <c r="B4466" s="16">
        <v>45962</v>
      </c>
      <c r="C4466" t="s">
        <v>3</v>
      </c>
      <c r="D4466" t="s">
        <v>140</v>
      </c>
      <c r="E4466">
        <v>4</v>
      </c>
      <c r="F4466">
        <v>3</v>
      </c>
      <c r="G4466">
        <v>0</v>
      </c>
      <c r="H4466">
        <v>0</v>
      </c>
      <c r="I4466">
        <v>4990</v>
      </c>
      <c r="J4466">
        <v>1</v>
      </c>
      <c r="K4466">
        <v>4990</v>
      </c>
      <c r="L4466">
        <v>1</v>
      </c>
      <c r="M4466">
        <v>0</v>
      </c>
      <c r="N4466">
        <v>4</v>
      </c>
      <c r="O4466">
        <f t="shared" si="144"/>
        <v>2025</v>
      </c>
      <c r="P4466">
        <f t="shared" si="145"/>
        <v>11</v>
      </c>
      <c r="Q4466" t="s">
        <v>784</v>
      </c>
      <c r="R4466" t="s">
        <v>805</v>
      </c>
    </row>
    <row r="4467" spans="1:18" x14ac:dyDescent="0.3">
      <c r="A4467" t="s">
        <v>627</v>
      </c>
      <c r="B4467" s="16">
        <v>45962</v>
      </c>
      <c r="C4467" t="s">
        <v>3</v>
      </c>
      <c r="D4467" t="s">
        <v>139</v>
      </c>
      <c r="E4467">
        <v>2594</v>
      </c>
      <c r="F4467">
        <v>1448</v>
      </c>
      <c r="G4467">
        <v>57</v>
      </c>
      <c r="H4467">
        <v>18</v>
      </c>
      <c r="I4467">
        <v>117386.15</v>
      </c>
      <c r="J4467">
        <v>26</v>
      </c>
      <c r="K4467">
        <v>100856.15</v>
      </c>
      <c r="L4467">
        <v>22</v>
      </c>
      <c r="M4467">
        <v>339</v>
      </c>
      <c r="N4467">
        <v>2067</v>
      </c>
      <c r="O4467">
        <f t="shared" si="144"/>
        <v>2025</v>
      </c>
      <c r="P4467">
        <f t="shared" si="145"/>
        <v>11</v>
      </c>
      <c r="Q4467" t="s">
        <v>784</v>
      </c>
      <c r="R4467" t="s">
        <v>805</v>
      </c>
    </row>
    <row r="4468" spans="1:18" x14ac:dyDescent="0.3">
      <c r="A4468" t="s">
        <v>627</v>
      </c>
      <c r="B4468" s="16">
        <v>45962</v>
      </c>
      <c r="C4468" t="s">
        <v>3</v>
      </c>
      <c r="D4468" t="s">
        <v>138</v>
      </c>
      <c r="E4468">
        <v>30</v>
      </c>
      <c r="F4468">
        <v>15</v>
      </c>
      <c r="G4468">
        <v>5</v>
      </c>
      <c r="H4468">
        <v>1</v>
      </c>
      <c r="I4468">
        <v>12497.5</v>
      </c>
      <c r="J4468">
        <v>3</v>
      </c>
      <c r="K4468">
        <v>9007.5</v>
      </c>
      <c r="L4468">
        <v>2</v>
      </c>
      <c r="M4468">
        <v>4</v>
      </c>
      <c r="N4468">
        <v>30</v>
      </c>
      <c r="O4468">
        <f t="shared" si="144"/>
        <v>2025</v>
      </c>
      <c r="P4468">
        <f t="shared" si="145"/>
        <v>11</v>
      </c>
      <c r="Q4468" t="s">
        <v>784</v>
      </c>
      <c r="R4468" t="s">
        <v>805</v>
      </c>
    </row>
    <row r="4469" spans="1:18" x14ac:dyDescent="0.3">
      <c r="A4469" t="s">
        <v>627</v>
      </c>
      <c r="B4469" s="16">
        <v>45962</v>
      </c>
      <c r="C4469" t="s">
        <v>3</v>
      </c>
      <c r="D4469" t="s">
        <v>133</v>
      </c>
      <c r="E4469">
        <v>24</v>
      </c>
      <c r="F4469">
        <v>16</v>
      </c>
      <c r="G4469">
        <v>5</v>
      </c>
      <c r="H4469">
        <v>1</v>
      </c>
      <c r="I4469">
        <v>6645</v>
      </c>
      <c r="J4469">
        <v>2</v>
      </c>
      <c r="K4469">
        <v>6645</v>
      </c>
      <c r="L4469">
        <v>2</v>
      </c>
      <c r="M4469">
        <v>4</v>
      </c>
      <c r="N4469">
        <v>23</v>
      </c>
      <c r="O4469">
        <f t="shared" si="144"/>
        <v>2025</v>
      </c>
      <c r="P4469">
        <f t="shared" si="145"/>
        <v>11</v>
      </c>
      <c r="Q4469" t="s">
        <v>784</v>
      </c>
      <c r="R4469" t="s">
        <v>805</v>
      </c>
    </row>
    <row r="4470" spans="1:18" x14ac:dyDescent="0.3">
      <c r="A4470" t="s">
        <v>627</v>
      </c>
      <c r="B4470" s="16">
        <v>45962</v>
      </c>
      <c r="C4470" t="s">
        <v>3</v>
      </c>
      <c r="D4470" t="s">
        <v>130</v>
      </c>
      <c r="E4470">
        <v>154</v>
      </c>
      <c r="F4470">
        <v>43</v>
      </c>
      <c r="G4470">
        <v>13</v>
      </c>
      <c r="H4470">
        <v>2</v>
      </c>
      <c r="I4470">
        <v>33485</v>
      </c>
      <c r="J4470">
        <v>8</v>
      </c>
      <c r="K4470">
        <v>25505</v>
      </c>
      <c r="L4470">
        <v>6</v>
      </c>
      <c r="M4470">
        <v>68</v>
      </c>
      <c r="N4470">
        <v>129</v>
      </c>
      <c r="O4470">
        <f t="shared" si="144"/>
        <v>2025</v>
      </c>
      <c r="P4470">
        <f t="shared" si="145"/>
        <v>11</v>
      </c>
      <c r="Q4470" t="s">
        <v>784</v>
      </c>
      <c r="R4470" t="s">
        <v>805</v>
      </c>
    </row>
    <row r="4471" spans="1:18" x14ac:dyDescent="0.3">
      <c r="A4471" t="s">
        <v>627</v>
      </c>
      <c r="B4471" s="16">
        <v>45962</v>
      </c>
      <c r="C4471" t="s">
        <v>3</v>
      </c>
      <c r="D4471" t="s">
        <v>128</v>
      </c>
      <c r="E4471">
        <v>2407</v>
      </c>
      <c r="F4471">
        <v>1981</v>
      </c>
      <c r="G4471">
        <v>72</v>
      </c>
      <c r="H4471">
        <v>19</v>
      </c>
      <c r="I4471">
        <v>115155</v>
      </c>
      <c r="J4471">
        <v>19</v>
      </c>
      <c r="K4471">
        <v>66490</v>
      </c>
      <c r="L4471">
        <v>13</v>
      </c>
      <c r="M4471">
        <v>312</v>
      </c>
      <c r="N4471">
        <v>2347</v>
      </c>
      <c r="O4471">
        <f t="shared" si="144"/>
        <v>2025</v>
      </c>
      <c r="P4471">
        <f t="shared" si="145"/>
        <v>11</v>
      </c>
      <c r="Q4471" t="s">
        <v>784</v>
      </c>
      <c r="R4471" t="s">
        <v>805</v>
      </c>
    </row>
    <row r="4472" spans="1:18" x14ac:dyDescent="0.3">
      <c r="A4472" t="s">
        <v>627</v>
      </c>
      <c r="B4472" s="16">
        <v>45962</v>
      </c>
      <c r="C4472" t="s">
        <v>3</v>
      </c>
      <c r="D4472" t="s">
        <v>127</v>
      </c>
      <c r="E4472">
        <v>13234</v>
      </c>
      <c r="F4472">
        <v>7210</v>
      </c>
      <c r="G4472">
        <v>151</v>
      </c>
      <c r="H4472">
        <v>36</v>
      </c>
      <c r="I4472">
        <v>115788.2</v>
      </c>
      <c r="J4472">
        <v>26</v>
      </c>
      <c r="K4472">
        <v>86708.2</v>
      </c>
      <c r="L4472">
        <v>21</v>
      </c>
      <c r="M4472">
        <v>375</v>
      </c>
      <c r="N4472">
        <v>13171</v>
      </c>
      <c r="O4472">
        <f t="shared" si="144"/>
        <v>2025</v>
      </c>
      <c r="P4472">
        <f t="shared" si="145"/>
        <v>11</v>
      </c>
      <c r="Q4472" t="s">
        <v>784</v>
      </c>
      <c r="R4472" t="s">
        <v>805</v>
      </c>
    </row>
    <row r="4473" spans="1:18" x14ac:dyDescent="0.3">
      <c r="A4473" t="s">
        <v>627</v>
      </c>
      <c r="B4473" s="16">
        <v>45962</v>
      </c>
      <c r="C4473" t="s">
        <v>3</v>
      </c>
      <c r="D4473" t="s">
        <v>126</v>
      </c>
      <c r="E4473">
        <v>186</v>
      </c>
      <c r="F4473">
        <v>114</v>
      </c>
      <c r="G4473">
        <v>8</v>
      </c>
      <c r="H4473">
        <v>4</v>
      </c>
      <c r="I4473">
        <v>8980</v>
      </c>
      <c r="J4473">
        <v>2</v>
      </c>
      <c r="K4473">
        <v>3990</v>
      </c>
      <c r="L4473">
        <v>1</v>
      </c>
      <c r="M4473">
        <v>21</v>
      </c>
      <c r="N4473">
        <v>184</v>
      </c>
      <c r="O4473">
        <f t="shared" si="144"/>
        <v>2025</v>
      </c>
      <c r="P4473">
        <f t="shared" si="145"/>
        <v>11</v>
      </c>
      <c r="Q4473" t="s">
        <v>784</v>
      </c>
      <c r="R4473" t="s">
        <v>805</v>
      </c>
    </row>
    <row r="4474" spans="1:18" x14ac:dyDescent="0.3">
      <c r="A4474" t="s">
        <v>627</v>
      </c>
      <c r="B4474" s="16">
        <v>45962</v>
      </c>
      <c r="C4474" t="s">
        <v>3</v>
      </c>
      <c r="D4474" t="s">
        <v>123</v>
      </c>
      <c r="E4474">
        <v>44</v>
      </c>
      <c r="F4474">
        <v>16</v>
      </c>
      <c r="G4474">
        <v>4</v>
      </c>
      <c r="H4474">
        <v>0</v>
      </c>
      <c r="I4474">
        <v>6940</v>
      </c>
      <c r="J4474">
        <v>3</v>
      </c>
      <c r="K4474">
        <v>3450</v>
      </c>
      <c r="L4474">
        <v>2</v>
      </c>
      <c r="M4474">
        <v>39</v>
      </c>
      <c r="N4474">
        <v>24</v>
      </c>
      <c r="O4474">
        <f t="shared" si="144"/>
        <v>2025</v>
      </c>
      <c r="P4474">
        <f t="shared" si="145"/>
        <v>11</v>
      </c>
      <c r="Q4474" t="s">
        <v>784</v>
      </c>
      <c r="R4474" t="s">
        <v>805</v>
      </c>
    </row>
    <row r="4475" spans="1:18" x14ac:dyDescent="0.3">
      <c r="A4475" t="s">
        <v>627</v>
      </c>
      <c r="B4475" s="16">
        <v>45962</v>
      </c>
      <c r="C4475" t="s">
        <v>3</v>
      </c>
      <c r="D4475" t="s">
        <v>119</v>
      </c>
      <c r="E4475">
        <v>306</v>
      </c>
      <c r="F4475">
        <v>74</v>
      </c>
      <c r="G4475">
        <v>17</v>
      </c>
      <c r="H4475">
        <v>9</v>
      </c>
      <c r="I4475">
        <v>85895</v>
      </c>
      <c r="J4475">
        <v>16</v>
      </c>
      <c r="K4475">
        <v>67195</v>
      </c>
      <c r="L4475">
        <v>15</v>
      </c>
      <c r="M4475">
        <v>66</v>
      </c>
      <c r="N4475">
        <v>296</v>
      </c>
      <c r="O4475">
        <f t="shared" si="144"/>
        <v>2025</v>
      </c>
      <c r="P4475">
        <f t="shared" si="145"/>
        <v>11</v>
      </c>
      <c r="Q4475" t="s">
        <v>784</v>
      </c>
      <c r="R4475" t="s">
        <v>805</v>
      </c>
    </row>
    <row r="4476" spans="1:18" x14ac:dyDescent="0.3">
      <c r="A4476" t="s">
        <v>627</v>
      </c>
      <c r="B4476" s="16">
        <v>45962</v>
      </c>
      <c r="C4476" t="s">
        <v>3</v>
      </c>
      <c r="D4476" t="s">
        <v>252</v>
      </c>
      <c r="E4476">
        <v>2</v>
      </c>
      <c r="F4476">
        <v>2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2</v>
      </c>
      <c r="O4476">
        <f t="shared" si="144"/>
        <v>2025</v>
      </c>
      <c r="P4476">
        <f t="shared" si="145"/>
        <v>11</v>
      </c>
      <c r="Q4476" t="s">
        <v>784</v>
      </c>
      <c r="R4476" t="s">
        <v>805</v>
      </c>
    </row>
    <row r="4477" spans="1:18" x14ac:dyDescent="0.3">
      <c r="A4477" t="s">
        <v>627</v>
      </c>
      <c r="B4477" s="16">
        <v>45962</v>
      </c>
      <c r="C4477" t="s">
        <v>3</v>
      </c>
      <c r="D4477" t="s">
        <v>117</v>
      </c>
      <c r="E4477">
        <v>1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1</v>
      </c>
      <c r="O4477">
        <f t="shared" si="144"/>
        <v>2025</v>
      </c>
      <c r="P4477">
        <f t="shared" si="145"/>
        <v>11</v>
      </c>
      <c r="Q4477" t="s">
        <v>784</v>
      </c>
      <c r="R4477" t="s">
        <v>805</v>
      </c>
    </row>
    <row r="4478" spans="1:18" x14ac:dyDescent="0.3">
      <c r="A4478" t="s">
        <v>627</v>
      </c>
      <c r="B4478" s="16">
        <v>45962</v>
      </c>
      <c r="C4478" t="s">
        <v>3</v>
      </c>
      <c r="D4478" t="s">
        <v>391</v>
      </c>
      <c r="E4478">
        <v>676</v>
      </c>
      <c r="F4478">
        <v>362</v>
      </c>
      <c r="G4478">
        <v>32</v>
      </c>
      <c r="H4478">
        <v>3</v>
      </c>
      <c r="I4478">
        <v>47385</v>
      </c>
      <c r="J4478">
        <v>7</v>
      </c>
      <c r="K4478">
        <v>48175</v>
      </c>
      <c r="L4478">
        <v>8</v>
      </c>
      <c r="M4478">
        <v>98</v>
      </c>
      <c r="N4478">
        <v>665</v>
      </c>
      <c r="O4478">
        <f t="shared" si="144"/>
        <v>2025</v>
      </c>
      <c r="P4478">
        <f t="shared" si="145"/>
        <v>11</v>
      </c>
      <c r="Q4478" t="s">
        <v>784</v>
      </c>
      <c r="R4478" t="s">
        <v>805</v>
      </c>
    </row>
    <row r="4479" spans="1:18" x14ac:dyDescent="0.3">
      <c r="A4479" t="s">
        <v>627</v>
      </c>
      <c r="B4479" s="16">
        <v>45962</v>
      </c>
      <c r="C4479" t="s">
        <v>3</v>
      </c>
      <c r="D4479" t="s">
        <v>114</v>
      </c>
      <c r="E4479">
        <v>98</v>
      </c>
      <c r="F4479">
        <v>62</v>
      </c>
      <c r="G4479">
        <v>1</v>
      </c>
      <c r="H4479">
        <v>0</v>
      </c>
      <c r="I4479">
        <v>6990</v>
      </c>
      <c r="J4479">
        <v>1</v>
      </c>
      <c r="K4479">
        <v>0</v>
      </c>
      <c r="L4479">
        <v>0</v>
      </c>
      <c r="M4479">
        <v>9</v>
      </c>
      <c r="N4479">
        <v>95</v>
      </c>
      <c r="O4479">
        <f t="shared" si="144"/>
        <v>2025</v>
      </c>
      <c r="P4479">
        <f t="shared" si="145"/>
        <v>11</v>
      </c>
      <c r="Q4479" t="s">
        <v>784</v>
      </c>
      <c r="R4479" t="s">
        <v>805</v>
      </c>
    </row>
    <row r="4480" spans="1:18" x14ac:dyDescent="0.3">
      <c r="A4480" t="s">
        <v>627</v>
      </c>
      <c r="B4480" s="16">
        <v>45962</v>
      </c>
      <c r="C4480" t="s">
        <v>3</v>
      </c>
      <c r="D4480" t="s">
        <v>113</v>
      </c>
      <c r="E4480">
        <v>123</v>
      </c>
      <c r="F4480">
        <v>46</v>
      </c>
      <c r="G4480">
        <v>4</v>
      </c>
      <c r="H4480">
        <v>2</v>
      </c>
      <c r="I4480">
        <v>0</v>
      </c>
      <c r="J4480">
        <v>0</v>
      </c>
      <c r="K4480">
        <v>0</v>
      </c>
      <c r="L4480">
        <v>0</v>
      </c>
      <c r="M4480">
        <v>98</v>
      </c>
      <c r="N4480">
        <v>87</v>
      </c>
      <c r="O4480">
        <f t="shared" si="144"/>
        <v>2025</v>
      </c>
      <c r="P4480">
        <f t="shared" si="145"/>
        <v>11</v>
      </c>
      <c r="Q4480" t="s">
        <v>784</v>
      </c>
      <c r="R4480" t="s">
        <v>805</v>
      </c>
    </row>
    <row r="4481" spans="1:18" x14ac:dyDescent="0.3">
      <c r="A4481" t="s">
        <v>627</v>
      </c>
      <c r="B4481" s="16">
        <v>45962</v>
      </c>
      <c r="C4481" t="s">
        <v>3</v>
      </c>
      <c r="D4481" t="s">
        <v>112</v>
      </c>
      <c r="E4481">
        <v>58</v>
      </c>
      <c r="F4481">
        <v>12</v>
      </c>
      <c r="G4481">
        <v>1</v>
      </c>
      <c r="H4481">
        <v>0</v>
      </c>
      <c r="I4481">
        <v>27070</v>
      </c>
      <c r="J4481">
        <v>7</v>
      </c>
      <c r="K4481">
        <v>24080</v>
      </c>
      <c r="L4481">
        <v>6</v>
      </c>
      <c r="M4481">
        <v>0</v>
      </c>
      <c r="N4481">
        <v>58</v>
      </c>
      <c r="O4481">
        <f t="shared" si="144"/>
        <v>2025</v>
      </c>
      <c r="P4481">
        <f t="shared" si="145"/>
        <v>11</v>
      </c>
      <c r="Q4481" t="s">
        <v>784</v>
      </c>
      <c r="R4481" t="s">
        <v>805</v>
      </c>
    </row>
    <row r="4482" spans="1:18" x14ac:dyDescent="0.3">
      <c r="A4482" t="s">
        <v>627</v>
      </c>
      <c r="B4482" s="16">
        <v>45962</v>
      </c>
      <c r="C4482" t="s">
        <v>3</v>
      </c>
      <c r="D4482" t="s">
        <v>111</v>
      </c>
      <c r="E4482">
        <v>6</v>
      </c>
      <c r="F4482">
        <v>2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6</v>
      </c>
      <c r="O4482">
        <f t="shared" si="144"/>
        <v>2025</v>
      </c>
      <c r="P4482">
        <f t="shared" si="145"/>
        <v>11</v>
      </c>
      <c r="Q4482" t="s">
        <v>784</v>
      </c>
      <c r="R4482" t="s">
        <v>805</v>
      </c>
    </row>
    <row r="4483" spans="1:18" x14ac:dyDescent="0.3">
      <c r="A4483" t="s">
        <v>627</v>
      </c>
      <c r="B4483" s="16">
        <v>45961</v>
      </c>
      <c r="C4483" t="s">
        <v>2</v>
      </c>
      <c r="D4483" t="s">
        <v>4</v>
      </c>
      <c r="E4483">
        <v>313</v>
      </c>
      <c r="F4483">
        <v>100</v>
      </c>
      <c r="G4483">
        <v>6</v>
      </c>
      <c r="H4483">
        <v>2</v>
      </c>
      <c r="I4483">
        <v>30750</v>
      </c>
      <c r="J4483">
        <v>2</v>
      </c>
      <c r="K4483">
        <v>16820</v>
      </c>
      <c r="L4483">
        <v>2</v>
      </c>
      <c r="M4483">
        <v>4</v>
      </c>
      <c r="N4483">
        <v>311</v>
      </c>
      <c r="O4483">
        <f t="shared" si="144"/>
        <v>2025</v>
      </c>
      <c r="P4483">
        <f t="shared" si="145"/>
        <v>10</v>
      </c>
      <c r="Q4483" t="s">
        <v>784</v>
      </c>
      <c r="R4483" t="s">
        <v>805</v>
      </c>
    </row>
    <row r="4484" spans="1:18" x14ac:dyDescent="0.3">
      <c r="A4484" t="s">
        <v>627</v>
      </c>
      <c r="B4484" s="16">
        <v>45961</v>
      </c>
      <c r="C4484" t="s">
        <v>2</v>
      </c>
      <c r="D4484" t="s">
        <v>57</v>
      </c>
      <c r="E4484">
        <v>25387</v>
      </c>
      <c r="F4484">
        <v>13481</v>
      </c>
      <c r="G4484">
        <v>135</v>
      </c>
      <c r="H4484">
        <v>133</v>
      </c>
      <c r="I4484">
        <v>176395</v>
      </c>
      <c r="J4484">
        <v>31</v>
      </c>
      <c r="K4484">
        <v>112585</v>
      </c>
      <c r="L4484">
        <v>25</v>
      </c>
      <c r="M4484">
        <v>1278</v>
      </c>
      <c r="N4484">
        <v>25017</v>
      </c>
      <c r="O4484">
        <f t="shared" si="144"/>
        <v>2025</v>
      </c>
      <c r="P4484">
        <f t="shared" si="145"/>
        <v>10</v>
      </c>
      <c r="Q4484" t="s">
        <v>784</v>
      </c>
      <c r="R4484" t="s">
        <v>805</v>
      </c>
    </row>
    <row r="4485" spans="1:18" x14ac:dyDescent="0.3">
      <c r="A4485" t="s">
        <v>627</v>
      </c>
      <c r="B4485" s="16">
        <v>45961</v>
      </c>
      <c r="C4485" t="s">
        <v>2</v>
      </c>
      <c r="D4485" t="s">
        <v>55</v>
      </c>
      <c r="E4485">
        <v>1219</v>
      </c>
      <c r="F4485">
        <v>668</v>
      </c>
      <c r="G4485">
        <v>11</v>
      </c>
      <c r="H4485">
        <v>1</v>
      </c>
      <c r="I4485">
        <v>0</v>
      </c>
      <c r="J4485">
        <v>0</v>
      </c>
      <c r="K4485">
        <v>0</v>
      </c>
      <c r="L4485">
        <v>0</v>
      </c>
      <c r="M4485">
        <v>21</v>
      </c>
      <c r="N4485">
        <v>418</v>
      </c>
      <c r="O4485">
        <f t="shared" si="144"/>
        <v>2025</v>
      </c>
      <c r="P4485">
        <f t="shared" si="145"/>
        <v>10</v>
      </c>
      <c r="Q4485" t="s">
        <v>784</v>
      </c>
      <c r="R4485" t="s">
        <v>805</v>
      </c>
    </row>
    <row r="4486" spans="1:18" x14ac:dyDescent="0.3">
      <c r="A4486" t="s">
        <v>627</v>
      </c>
      <c r="B4486" s="16">
        <v>45961</v>
      </c>
      <c r="C4486" t="s">
        <v>3</v>
      </c>
      <c r="D4486" t="s">
        <v>155</v>
      </c>
      <c r="E4486">
        <v>59</v>
      </c>
      <c r="F4486">
        <v>20</v>
      </c>
      <c r="G4486">
        <v>1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3</v>
      </c>
      <c r="N4486">
        <v>57</v>
      </c>
      <c r="O4486">
        <f t="shared" si="144"/>
        <v>2025</v>
      </c>
      <c r="P4486">
        <f t="shared" si="145"/>
        <v>10</v>
      </c>
      <c r="Q4486" t="s">
        <v>784</v>
      </c>
      <c r="R4486" t="s">
        <v>805</v>
      </c>
    </row>
    <row r="4487" spans="1:18" x14ac:dyDescent="0.3">
      <c r="A4487" t="s">
        <v>627</v>
      </c>
      <c r="B4487" s="16">
        <v>45961</v>
      </c>
      <c r="C4487" t="s">
        <v>3</v>
      </c>
      <c r="D4487" t="s">
        <v>154</v>
      </c>
      <c r="E4487">
        <v>124</v>
      </c>
      <c r="F4487">
        <v>100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f t="shared" si="144"/>
        <v>2025</v>
      </c>
      <c r="P4487">
        <f t="shared" si="145"/>
        <v>10</v>
      </c>
      <c r="Q4487" t="s">
        <v>784</v>
      </c>
      <c r="R4487" t="s">
        <v>805</v>
      </c>
    </row>
    <row r="4488" spans="1:18" x14ac:dyDescent="0.3">
      <c r="A4488" t="s">
        <v>627</v>
      </c>
      <c r="B4488" s="16">
        <v>45961</v>
      </c>
      <c r="C4488" t="s">
        <v>3</v>
      </c>
      <c r="D4488" t="s">
        <v>153</v>
      </c>
      <c r="E4488">
        <v>438</v>
      </c>
      <c r="F4488">
        <v>73</v>
      </c>
      <c r="G4488">
        <v>39</v>
      </c>
      <c r="H4488">
        <v>0</v>
      </c>
      <c r="I4488">
        <v>199845.48</v>
      </c>
      <c r="J4488">
        <v>43</v>
      </c>
      <c r="K4488">
        <v>170475.48</v>
      </c>
      <c r="L4488">
        <v>41</v>
      </c>
      <c r="M4488">
        <v>102</v>
      </c>
      <c r="N4488">
        <v>426</v>
      </c>
      <c r="O4488">
        <f t="shared" si="144"/>
        <v>2025</v>
      </c>
      <c r="P4488">
        <f t="shared" si="145"/>
        <v>10</v>
      </c>
      <c r="Q4488" t="s">
        <v>784</v>
      </c>
      <c r="R4488" t="s">
        <v>805</v>
      </c>
    </row>
    <row r="4489" spans="1:18" x14ac:dyDescent="0.3">
      <c r="A4489" t="s">
        <v>627</v>
      </c>
      <c r="B4489" s="16">
        <v>45961</v>
      </c>
      <c r="C4489" t="s">
        <v>3</v>
      </c>
      <c r="D4489" t="s">
        <v>152</v>
      </c>
      <c r="E4489">
        <v>11</v>
      </c>
      <c r="F4489">
        <v>5</v>
      </c>
      <c r="G4489">
        <v>0</v>
      </c>
      <c r="H4489">
        <v>1</v>
      </c>
      <c r="I4489">
        <v>0</v>
      </c>
      <c r="J4489">
        <v>0</v>
      </c>
      <c r="K4489">
        <v>0</v>
      </c>
      <c r="L4489">
        <v>0</v>
      </c>
      <c r="M4489">
        <v>1</v>
      </c>
      <c r="N4489">
        <v>8</v>
      </c>
      <c r="O4489">
        <f t="shared" ref="O4489:O4552" si="146">YEAR(B4489)</f>
        <v>2025</v>
      </c>
      <c r="P4489">
        <f t="shared" ref="P4489:P4552" si="147">MONTH(B4489)</f>
        <v>10</v>
      </c>
      <c r="Q4489" t="s">
        <v>784</v>
      </c>
      <c r="R4489" t="s">
        <v>805</v>
      </c>
    </row>
    <row r="4490" spans="1:18" x14ac:dyDescent="0.3">
      <c r="A4490" t="s">
        <v>627</v>
      </c>
      <c r="B4490" s="16">
        <v>45961</v>
      </c>
      <c r="C4490" t="s">
        <v>3</v>
      </c>
      <c r="D4490" t="s">
        <v>149</v>
      </c>
      <c r="E4490">
        <v>5</v>
      </c>
      <c r="F4490">
        <v>3</v>
      </c>
      <c r="G4490">
        <v>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2</v>
      </c>
      <c r="O4490">
        <f t="shared" si="146"/>
        <v>2025</v>
      </c>
      <c r="P4490">
        <f t="shared" si="147"/>
        <v>10</v>
      </c>
      <c r="Q4490" t="s">
        <v>784</v>
      </c>
      <c r="R4490" t="s">
        <v>805</v>
      </c>
    </row>
    <row r="4491" spans="1:18" x14ac:dyDescent="0.3">
      <c r="A4491" t="s">
        <v>627</v>
      </c>
      <c r="B4491" s="16">
        <v>45961</v>
      </c>
      <c r="C4491" t="s">
        <v>3</v>
      </c>
      <c r="D4491" t="s">
        <v>367</v>
      </c>
      <c r="E4491">
        <v>244</v>
      </c>
      <c r="F4491">
        <v>174</v>
      </c>
      <c r="G4491">
        <v>14</v>
      </c>
      <c r="H4491">
        <v>2</v>
      </c>
      <c r="I4491">
        <v>39800</v>
      </c>
      <c r="J4491">
        <v>4</v>
      </c>
      <c r="K4491">
        <v>18380</v>
      </c>
      <c r="L4491">
        <v>3</v>
      </c>
      <c r="M4491">
        <v>1</v>
      </c>
      <c r="N4491">
        <v>244</v>
      </c>
      <c r="O4491">
        <f t="shared" si="146"/>
        <v>2025</v>
      </c>
      <c r="P4491">
        <f t="shared" si="147"/>
        <v>10</v>
      </c>
      <c r="Q4491" t="s">
        <v>784</v>
      </c>
      <c r="R4491" t="s">
        <v>805</v>
      </c>
    </row>
    <row r="4492" spans="1:18" x14ac:dyDescent="0.3">
      <c r="A4492" t="s">
        <v>627</v>
      </c>
      <c r="B4492" s="16">
        <v>45961</v>
      </c>
      <c r="C4492" t="s">
        <v>3</v>
      </c>
      <c r="D4492" t="s">
        <v>146</v>
      </c>
      <c r="E4492">
        <v>1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1</v>
      </c>
      <c r="O4492">
        <f t="shared" si="146"/>
        <v>2025</v>
      </c>
      <c r="P4492">
        <f t="shared" si="147"/>
        <v>10</v>
      </c>
      <c r="Q4492" t="s">
        <v>784</v>
      </c>
      <c r="R4492" t="s">
        <v>805</v>
      </c>
    </row>
    <row r="4493" spans="1:18" x14ac:dyDescent="0.3">
      <c r="A4493" t="s">
        <v>627</v>
      </c>
      <c r="B4493" s="16">
        <v>45961</v>
      </c>
      <c r="C4493" t="s">
        <v>3</v>
      </c>
      <c r="D4493" t="s">
        <v>251</v>
      </c>
      <c r="E4493">
        <v>3033</v>
      </c>
      <c r="F4493">
        <v>2299</v>
      </c>
      <c r="G4493">
        <v>13</v>
      </c>
      <c r="H4493">
        <v>2</v>
      </c>
      <c r="I4493">
        <v>19695</v>
      </c>
      <c r="J4493">
        <v>7</v>
      </c>
      <c r="K4493">
        <v>17705</v>
      </c>
      <c r="L4493">
        <v>7</v>
      </c>
      <c r="M4493">
        <v>101</v>
      </c>
      <c r="N4493">
        <v>372</v>
      </c>
      <c r="O4493">
        <f t="shared" si="146"/>
        <v>2025</v>
      </c>
      <c r="P4493">
        <f t="shared" si="147"/>
        <v>10</v>
      </c>
      <c r="Q4493" t="s">
        <v>784</v>
      </c>
      <c r="R4493" t="s">
        <v>805</v>
      </c>
    </row>
    <row r="4494" spans="1:18" x14ac:dyDescent="0.3">
      <c r="A4494" t="s">
        <v>627</v>
      </c>
      <c r="B4494" s="16">
        <v>45961</v>
      </c>
      <c r="C4494" t="s">
        <v>3</v>
      </c>
      <c r="D4494" t="s">
        <v>143</v>
      </c>
      <c r="E4494">
        <v>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2</v>
      </c>
      <c r="O4494">
        <f t="shared" si="146"/>
        <v>2025</v>
      </c>
      <c r="P4494">
        <f t="shared" si="147"/>
        <v>10</v>
      </c>
      <c r="Q4494" t="s">
        <v>784</v>
      </c>
      <c r="R4494" t="s">
        <v>805</v>
      </c>
    </row>
    <row r="4495" spans="1:18" x14ac:dyDescent="0.3">
      <c r="A4495" t="s">
        <v>627</v>
      </c>
      <c r="B4495" s="16">
        <v>45961</v>
      </c>
      <c r="C4495" t="s">
        <v>3</v>
      </c>
      <c r="D4495" t="s">
        <v>141</v>
      </c>
      <c r="E4495">
        <v>280</v>
      </c>
      <c r="F4495">
        <v>96</v>
      </c>
      <c r="G4495">
        <v>4</v>
      </c>
      <c r="H4495">
        <v>0</v>
      </c>
      <c r="I4495">
        <v>1990</v>
      </c>
      <c r="J4495">
        <v>1</v>
      </c>
      <c r="K4495">
        <v>1990</v>
      </c>
      <c r="L4495">
        <v>1</v>
      </c>
      <c r="M4495">
        <v>2</v>
      </c>
      <c r="N4495">
        <v>278</v>
      </c>
      <c r="O4495">
        <f t="shared" si="146"/>
        <v>2025</v>
      </c>
      <c r="P4495">
        <f t="shared" si="147"/>
        <v>10</v>
      </c>
      <c r="Q4495" t="s">
        <v>784</v>
      </c>
      <c r="R4495" t="s">
        <v>805</v>
      </c>
    </row>
    <row r="4496" spans="1:18" x14ac:dyDescent="0.3">
      <c r="A4496" t="s">
        <v>627</v>
      </c>
      <c r="B4496" s="16">
        <v>45961</v>
      </c>
      <c r="C4496" t="s">
        <v>3</v>
      </c>
      <c r="D4496" t="s">
        <v>140</v>
      </c>
      <c r="E4496">
        <v>6</v>
      </c>
      <c r="F4496">
        <v>3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1</v>
      </c>
      <c r="N4496">
        <v>6</v>
      </c>
      <c r="O4496">
        <f t="shared" si="146"/>
        <v>2025</v>
      </c>
      <c r="P4496">
        <f t="shared" si="147"/>
        <v>10</v>
      </c>
      <c r="Q4496" t="s">
        <v>784</v>
      </c>
      <c r="R4496" t="s">
        <v>805</v>
      </c>
    </row>
    <row r="4497" spans="1:18" x14ac:dyDescent="0.3">
      <c r="A4497" t="s">
        <v>627</v>
      </c>
      <c r="B4497" s="16">
        <v>45961</v>
      </c>
      <c r="C4497" t="s">
        <v>3</v>
      </c>
      <c r="D4497" t="s">
        <v>139</v>
      </c>
      <c r="E4497">
        <v>2072</v>
      </c>
      <c r="F4497">
        <v>1040</v>
      </c>
      <c r="G4497">
        <v>47</v>
      </c>
      <c r="H4497">
        <v>14</v>
      </c>
      <c r="I4497">
        <v>107470</v>
      </c>
      <c r="J4497">
        <v>18</v>
      </c>
      <c r="K4497">
        <v>88845</v>
      </c>
      <c r="L4497">
        <v>15</v>
      </c>
      <c r="M4497">
        <v>325</v>
      </c>
      <c r="N4497">
        <v>1495</v>
      </c>
      <c r="O4497">
        <f t="shared" si="146"/>
        <v>2025</v>
      </c>
      <c r="P4497">
        <f t="shared" si="147"/>
        <v>10</v>
      </c>
      <c r="Q4497" t="s">
        <v>784</v>
      </c>
      <c r="R4497" t="s">
        <v>805</v>
      </c>
    </row>
    <row r="4498" spans="1:18" x14ac:dyDescent="0.3">
      <c r="A4498" t="s">
        <v>627</v>
      </c>
      <c r="B4498" s="16">
        <v>45961</v>
      </c>
      <c r="C4498" t="s">
        <v>3</v>
      </c>
      <c r="D4498" t="s">
        <v>138</v>
      </c>
      <c r="E4498">
        <v>34</v>
      </c>
      <c r="F4498">
        <v>14</v>
      </c>
      <c r="G4498">
        <v>1</v>
      </c>
      <c r="H4498">
        <v>1</v>
      </c>
      <c r="I4498">
        <v>3745.94</v>
      </c>
      <c r="J4498">
        <v>1</v>
      </c>
      <c r="K4498">
        <v>3745.94</v>
      </c>
      <c r="L4498">
        <v>1</v>
      </c>
      <c r="M4498">
        <v>3</v>
      </c>
      <c r="N4498">
        <v>34</v>
      </c>
      <c r="O4498">
        <f t="shared" si="146"/>
        <v>2025</v>
      </c>
      <c r="P4498">
        <f t="shared" si="147"/>
        <v>10</v>
      </c>
      <c r="Q4498" t="s">
        <v>784</v>
      </c>
      <c r="R4498" t="s">
        <v>805</v>
      </c>
    </row>
    <row r="4499" spans="1:18" x14ac:dyDescent="0.3">
      <c r="A4499" t="s">
        <v>627</v>
      </c>
      <c r="B4499" s="16">
        <v>45961</v>
      </c>
      <c r="C4499" t="s">
        <v>3</v>
      </c>
      <c r="D4499" t="s">
        <v>133</v>
      </c>
      <c r="E4499">
        <v>24</v>
      </c>
      <c r="F4499">
        <v>21</v>
      </c>
      <c r="G4499">
        <v>1</v>
      </c>
      <c r="H4499">
        <v>0</v>
      </c>
      <c r="I4499">
        <v>1990</v>
      </c>
      <c r="J4499">
        <v>1</v>
      </c>
      <c r="K4499">
        <v>1990</v>
      </c>
      <c r="L4499">
        <v>1</v>
      </c>
      <c r="M4499">
        <v>3</v>
      </c>
      <c r="N4499">
        <v>22</v>
      </c>
      <c r="O4499">
        <f t="shared" si="146"/>
        <v>2025</v>
      </c>
      <c r="P4499">
        <f t="shared" si="147"/>
        <v>10</v>
      </c>
      <c r="Q4499" t="s">
        <v>784</v>
      </c>
      <c r="R4499" t="s">
        <v>805</v>
      </c>
    </row>
    <row r="4500" spans="1:18" x14ac:dyDescent="0.3">
      <c r="A4500" t="s">
        <v>627</v>
      </c>
      <c r="B4500" s="16">
        <v>45961</v>
      </c>
      <c r="C4500" t="s">
        <v>3</v>
      </c>
      <c r="D4500" t="s">
        <v>130</v>
      </c>
      <c r="E4500">
        <v>135</v>
      </c>
      <c r="F4500">
        <v>34</v>
      </c>
      <c r="G4500">
        <v>6</v>
      </c>
      <c r="H4500">
        <v>1</v>
      </c>
      <c r="I4500">
        <v>52785</v>
      </c>
      <c r="J4500">
        <v>8</v>
      </c>
      <c r="K4500">
        <v>52785</v>
      </c>
      <c r="L4500">
        <v>8</v>
      </c>
      <c r="M4500">
        <v>82</v>
      </c>
      <c r="N4500">
        <v>80</v>
      </c>
      <c r="O4500">
        <f t="shared" si="146"/>
        <v>2025</v>
      </c>
      <c r="P4500">
        <f t="shared" si="147"/>
        <v>10</v>
      </c>
      <c r="Q4500" t="s">
        <v>784</v>
      </c>
      <c r="R4500" t="s">
        <v>805</v>
      </c>
    </row>
    <row r="4501" spans="1:18" x14ac:dyDescent="0.3">
      <c r="A4501" t="s">
        <v>627</v>
      </c>
      <c r="B4501" s="16">
        <v>45961</v>
      </c>
      <c r="C4501" t="s">
        <v>3</v>
      </c>
      <c r="D4501" t="s">
        <v>128</v>
      </c>
      <c r="E4501">
        <v>3387</v>
      </c>
      <c r="F4501">
        <v>2916</v>
      </c>
      <c r="G4501">
        <v>65</v>
      </c>
      <c r="H4501">
        <v>19</v>
      </c>
      <c r="I4501">
        <v>101318.43</v>
      </c>
      <c r="J4501">
        <v>18</v>
      </c>
      <c r="K4501">
        <v>57998.43</v>
      </c>
      <c r="L4501">
        <v>15</v>
      </c>
      <c r="M4501">
        <v>341</v>
      </c>
      <c r="N4501">
        <v>3308</v>
      </c>
      <c r="O4501">
        <f t="shared" si="146"/>
        <v>2025</v>
      </c>
      <c r="P4501">
        <f t="shared" si="147"/>
        <v>10</v>
      </c>
      <c r="Q4501" t="s">
        <v>784</v>
      </c>
      <c r="R4501" t="s">
        <v>805</v>
      </c>
    </row>
    <row r="4502" spans="1:18" x14ac:dyDescent="0.3">
      <c r="A4502" t="s">
        <v>627</v>
      </c>
      <c r="B4502" s="16">
        <v>45961</v>
      </c>
      <c r="C4502" t="s">
        <v>3</v>
      </c>
      <c r="D4502" t="s">
        <v>127</v>
      </c>
      <c r="E4502">
        <v>9434</v>
      </c>
      <c r="F4502">
        <v>4680</v>
      </c>
      <c r="G4502">
        <v>141</v>
      </c>
      <c r="H4502">
        <v>48</v>
      </c>
      <c r="I4502">
        <v>167130</v>
      </c>
      <c r="J4502">
        <v>32</v>
      </c>
      <c r="K4502">
        <v>120995</v>
      </c>
      <c r="L4502">
        <v>25</v>
      </c>
      <c r="M4502">
        <v>291</v>
      </c>
      <c r="N4502">
        <v>9380</v>
      </c>
      <c r="O4502">
        <f t="shared" si="146"/>
        <v>2025</v>
      </c>
      <c r="P4502">
        <f t="shared" si="147"/>
        <v>10</v>
      </c>
      <c r="Q4502" t="s">
        <v>784</v>
      </c>
      <c r="R4502" t="s">
        <v>805</v>
      </c>
    </row>
    <row r="4503" spans="1:18" x14ac:dyDescent="0.3">
      <c r="A4503" t="s">
        <v>627</v>
      </c>
      <c r="B4503" s="16">
        <v>45961</v>
      </c>
      <c r="C4503" t="s">
        <v>3</v>
      </c>
      <c r="D4503" t="s">
        <v>126</v>
      </c>
      <c r="E4503">
        <v>214</v>
      </c>
      <c r="F4503">
        <v>115</v>
      </c>
      <c r="G4503">
        <v>8</v>
      </c>
      <c r="H4503">
        <v>2</v>
      </c>
      <c r="I4503">
        <v>3990</v>
      </c>
      <c r="J4503">
        <v>1</v>
      </c>
      <c r="K4503">
        <v>3990</v>
      </c>
      <c r="L4503">
        <v>1</v>
      </c>
      <c r="M4503">
        <v>22</v>
      </c>
      <c r="N4503">
        <v>208</v>
      </c>
      <c r="O4503">
        <f t="shared" si="146"/>
        <v>2025</v>
      </c>
      <c r="P4503">
        <f t="shared" si="147"/>
        <v>10</v>
      </c>
      <c r="Q4503" t="s">
        <v>784</v>
      </c>
      <c r="R4503" t="s">
        <v>805</v>
      </c>
    </row>
    <row r="4504" spans="1:18" x14ac:dyDescent="0.3">
      <c r="A4504" t="s">
        <v>627</v>
      </c>
      <c r="B4504" s="16">
        <v>45961</v>
      </c>
      <c r="C4504" t="s">
        <v>3</v>
      </c>
      <c r="D4504" t="s">
        <v>123</v>
      </c>
      <c r="E4504">
        <v>49</v>
      </c>
      <c r="F4504">
        <v>20</v>
      </c>
      <c r="G4504">
        <v>6</v>
      </c>
      <c r="H4504">
        <v>0</v>
      </c>
      <c r="I4504">
        <v>9285</v>
      </c>
      <c r="J4504">
        <v>3</v>
      </c>
      <c r="K4504">
        <v>9285</v>
      </c>
      <c r="L4504">
        <v>3</v>
      </c>
      <c r="M4504">
        <v>41</v>
      </c>
      <c r="N4504">
        <v>26</v>
      </c>
      <c r="O4504">
        <f t="shared" si="146"/>
        <v>2025</v>
      </c>
      <c r="P4504">
        <f t="shared" si="147"/>
        <v>10</v>
      </c>
      <c r="Q4504" t="s">
        <v>784</v>
      </c>
      <c r="R4504" t="s">
        <v>805</v>
      </c>
    </row>
    <row r="4505" spans="1:18" x14ac:dyDescent="0.3">
      <c r="A4505" t="s">
        <v>627</v>
      </c>
      <c r="B4505" s="16">
        <v>45961</v>
      </c>
      <c r="C4505" t="s">
        <v>3</v>
      </c>
      <c r="D4505" t="s">
        <v>122</v>
      </c>
      <c r="E4505">
        <v>1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1</v>
      </c>
      <c r="O4505">
        <f t="shared" si="146"/>
        <v>2025</v>
      </c>
      <c r="P4505">
        <f t="shared" si="147"/>
        <v>10</v>
      </c>
      <c r="Q4505" t="s">
        <v>784</v>
      </c>
      <c r="R4505" t="s">
        <v>805</v>
      </c>
    </row>
    <row r="4506" spans="1:18" x14ac:dyDescent="0.3">
      <c r="A4506" t="s">
        <v>627</v>
      </c>
      <c r="B4506" s="16">
        <v>45961</v>
      </c>
      <c r="C4506" t="s">
        <v>3</v>
      </c>
      <c r="D4506" t="s">
        <v>121</v>
      </c>
      <c r="E4506">
        <v>3</v>
      </c>
      <c r="F4506">
        <v>3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3</v>
      </c>
      <c r="O4506">
        <f t="shared" si="146"/>
        <v>2025</v>
      </c>
      <c r="P4506">
        <f t="shared" si="147"/>
        <v>10</v>
      </c>
      <c r="Q4506" t="s">
        <v>784</v>
      </c>
      <c r="R4506" t="s">
        <v>805</v>
      </c>
    </row>
    <row r="4507" spans="1:18" x14ac:dyDescent="0.3">
      <c r="A4507" t="s">
        <v>627</v>
      </c>
      <c r="B4507" s="16">
        <v>45961</v>
      </c>
      <c r="C4507" t="s">
        <v>3</v>
      </c>
      <c r="D4507" t="s">
        <v>119</v>
      </c>
      <c r="E4507">
        <v>291</v>
      </c>
      <c r="F4507">
        <v>80</v>
      </c>
      <c r="G4507">
        <v>17</v>
      </c>
      <c r="H4507">
        <v>8</v>
      </c>
      <c r="I4507">
        <v>115385</v>
      </c>
      <c r="J4507">
        <v>19</v>
      </c>
      <c r="K4507">
        <v>76950</v>
      </c>
      <c r="L4507">
        <v>15</v>
      </c>
      <c r="M4507">
        <v>60</v>
      </c>
      <c r="N4507">
        <v>284</v>
      </c>
      <c r="O4507">
        <f t="shared" si="146"/>
        <v>2025</v>
      </c>
      <c r="P4507">
        <f t="shared" si="147"/>
        <v>10</v>
      </c>
      <c r="Q4507" t="s">
        <v>784</v>
      </c>
      <c r="R4507" t="s">
        <v>805</v>
      </c>
    </row>
    <row r="4508" spans="1:18" x14ac:dyDescent="0.3">
      <c r="A4508" t="s">
        <v>627</v>
      </c>
      <c r="B4508" s="16">
        <v>45961</v>
      </c>
      <c r="C4508" t="s">
        <v>3</v>
      </c>
      <c r="D4508" t="s">
        <v>252</v>
      </c>
      <c r="E4508">
        <v>3</v>
      </c>
      <c r="F4508">
        <v>3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3</v>
      </c>
      <c r="O4508">
        <f t="shared" si="146"/>
        <v>2025</v>
      </c>
      <c r="P4508">
        <f t="shared" si="147"/>
        <v>10</v>
      </c>
      <c r="Q4508" t="s">
        <v>784</v>
      </c>
      <c r="R4508" t="s">
        <v>805</v>
      </c>
    </row>
    <row r="4509" spans="1:18" x14ac:dyDescent="0.3">
      <c r="A4509" t="s">
        <v>627</v>
      </c>
      <c r="B4509" s="16">
        <v>45961</v>
      </c>
      <c r="C4509" t="s">
        <v>3</v>
      </c>
      <c r="D4509" t="s">
        <v>117</v>
      </c>
      <c r="E4509">
        <v>2</v>
      </c>
      <c r="F4509">
        <v>2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2</v>
      </c>
      <c r="O4509">
        <f t="shared" si="146"/>
        <v>2025</v>
      </c>
      <c r="P4509">
        <f t="shared" si="147"/>
        <v>10</v>
      </c>
      <c r="Q4509" t="s">
        <v>784</v>
      </c>
      <c r="R4509" t="s">
        <v>805</v>
      </c>
    </row>
    <row r="4510" spans="1:18" x14ac:dyDescent="0.3">
      <c r="A4510" t="s">
        <v>627</v>
      </c>
      <c r="B4510" s="16">
        <v>45961</v>
      </c>
      <c r="C4510" t="s">
        <v>3</v>
      </c>
      <c r="D4510" t="s">
        <v>391</v>
      </c>
      <c r="E4510">
        <v>669</v>
      </c>
      <c r="F4510">
        <v>372</v>
      </c>
      <c r="G4510">
        <v>26</v>
      </c>
      <c r="H4510">
        <v>2</v>
      </c>
      <c r="I4510">
        <v>106665</v>
      </c>
      <c r="J4510">
        <v>10</v>
      </c>
      <c r="K4510">
        <v>34715</v>
      </c>
      <c r="L4510">
        <v>8</v>
      </c>
      <c r="M4510">
        <v>93</v>
      </c>
      <c r="N4510">
        <v>661</v>
      </c>
      <c r="O4510">
        <f t="shared" si="146"/>
        <v>2025</v>
      </c>
      <c r="P4510">
        <f t="shared" si="147"/>
        <v>10</v>
      </c>
      <c r="Q4510" t="s">
        <v>784</v>
      </c>
      <c r="R4510" t="s">
        <v>805</v>
      </c>
    </row>
    <row r="4511" spans="1:18" x14ac:dyDescent="0.3">
      <c r="A4511" t="s">
        <v>627</v>
      </c>
      <c r="B4511" s="16">
        <v>45961</v>
      </c>
      <c r="C4511" t="s">
        <v>3</v>
      </c>
      <c r="D4511" t="s">
        <v>114</v>
      </c>
      <c r="E4511">
        <v>182</v>
      </c>
      <c r="F4511">
        <v>80</v>
      </c>
      <c r="G4511">
        <v>1</v>
      </c>
      <c r="H4511">
        <v>1</v>
      </c>
      <c r="I4511">
        <v>6990</v>
      </c>
      <c r="J4511">
        <v>1</v>
      </c>
      <c r="K4511">
        <v>6990</v>
      </c>
      <c r="L4511">
        <v>1</v>
      </c>
      <c r="M4511">
        <v>16</v>
      </c>
      <c r="N4511">
        <v>176</v>
      </c>
      <c r="O4511">
        <f t="shared" si="146"/>
        <v>2025</v>
      </c>
      <c r="P4511">
        <f t="shared" si="147"/>
        <v>10</v>
      </c>
      <c r="Q4511" t="s">
        <v>784</v>
      </c>
      <c r="R4511" t="s">
        <v>805</v>
      </c>
    </row>
    <row r="4512" spans="1:18" x14ac:dyDescent="0.3">
      <c r="A4512" t="s">
        <v>627</v>
      </c>
      <c r="B4512" s="16">
        <v>45961</v>
      </c>
      <c r="C4512" t="s">
        <v>3</v>
      </c>
      <c r="D4512" t="s">
        <v>113</v>
      </c>
      <c r="E4512">
        <v>113</v>
      </c>
      <c r="F4512">
        <v>40</v>
      </c>
      <c r="G4512">
        <v>7</v>
      </c>
      <c r="H4512">
        <v>0</v>
      </c>
      <c r="I4512">
        <v>25070</v>
      </c>
      <c r="J4512">
        <v>3</v>
      </c>
      <c r="K4512">
        <v>25070</v>
      </c>
      <c r="L4512">
        <v>3</v>
      </c>
      <c r="M4512">
        <v>90</v>
      </c>
      <c r="N4512">
        <v>70</v>
      </c>
      <c r="O4512">
        <f t="shared" si="146"/>
        <v>2025</v>
      </c>
      <c r="P4512">
        <f t="shared" si="147"/>
        <v>10</v>
      </c>
      <c r="Q4512" t="s">
        <v>784</v>
      </c>
      <c r="R4512" t="s">
        <v>805</v>
      </c>
    </row>
    <row r="4513" spans="1:18" x14ac:dyDescent="0.3">
      <c r="A4513" t="s">
        <v>627</v>
      </c>
      <c r="B4513" s="16">
        <v>45961</v>
      </c>
      <c r="C4513" t="s">
        <v>3</v>
      </c>
      <c r="D4513" t="s">
        <v>112</v>
      </c>
      <c r="E4513">
        <v>55</v>
      </c>
      <c r="F4513">
        <v>8</v>
      </c>
      <c r="G4513">
        <v>2</v>
      </c>
      <c r="H4513">
        <v>0</v>
      </c>
      <c r="I4513">
        <v>24804.43</v>
      </c>
      <c r="J4513">
        <v>5</v>
      </c>
      <c r="K4513">
        <v>24804.43</v>
      </c>
      <c r="L4513">
        <v>5</v>
      </c>
      <c r="M4513">
        <v>0</v>
      </c>
      <c r="N4513">
        <v>55</v>
      </c>
      <c r="O4513">
        <f t="shared" si="146"/>
        <v>2025</v>
      </c>
      <c r="P4513">
        <f t="shared" si="147"/>
        <v>10</v>
      </c>
      <c r="Q4513" t="s">
        <v>784</v>
      </c>
      <c r="R4513" t="s">
        <v>805</v>
      </c>
    </row>
    <row r="4514" spans="1:18" x14ac:dyDescent="0.3">
      <c r="A4514" t="s">
        <v>627</v>
      </c>
      <c r="B4514" s="16">
        <v>45961</v>
      </c>
      <c r="C4514" t="s">
        <v>3</v>
      </c>
      <c r="D4514" t="s">
        <v>111</v>
      </c>
      <c r="E4514">
        <v>1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1</v>
      </c>
      <c r="O4514">
        <f t="shared" si="146"/>
        <v>2025</v>
      </c>
      <c r="P4514">
        <f t="shared" si="147"/>
        <v>10</v>
      </c>
      <c r="Q4514" t="s">
        <v>784</v>
      </c>
      <c r="R4514" t="s">
        <v>805</v>
      </c>
    </row>
    <row r="4515" spans="1:18" x14ac:dyDescent="0.3">
      <c r="A4515" t="s">
        <v>627</v>
      </c>
      <c r="B4515" s="16">
        <v>45960</v>
      </c>
      <c r="C4515" t="s">
        <v>2</v>
      </c>
      <c r="D4515" t="s">
        <v>4</v>
      </c>
      <c r="E4515">
        <v>356</v>
      </c>
      <c r="F4515">
        <v>104</v>
      </c>
      <c r="G4515">
        <v>3</v>
      </c>
      <c r="H4515">
        <v>0</v>
      </c>
      <c r="I4515">
        <v>19860</v>
      </c>
      <c r="J4515">
        <v>4</v>
      </c>
      <c r="K4515">
        <v>14865</v>
      </c>
      <c r="L4515">
        <v>3</v>
      </c>
      <c r="M4515">
        <v>5</v>
      </c>
      <c r="N4515">
        <v>353</v>
      </c>
      <c r="O4515">
        <f t="shared" si="146"/>
        <v>2025</v>
      </c>
      <c r="P4515">
        <f t="shared" si="147"/>
        <v>10</v>
      </c>
      <c r="Q4515" t="s">
        <v>784</v>
      </c>
      <c r="R4515" t="s">
        <v>805</v>
      </c>
    </row>
    <row r="4516" spans="1:18" x14ac:dyDescent="0.3">
      <c r="A4516" t="s">
        <v>627</v>
      </c>
      <c r="B4516" s="16">
        <v>45960</v>
      </c>
      <c r="C4516" t="s">
        <v>2</v>
      </c>
      <c r="D4516" t="s">
        <v>57</v>
      </c>
      <c r="E4516">
        <v>48239</v>
      </c>
      <c r="F4516">
        <v>30734</v>
      </c>
      <c r="G4516">
        <v>188</v>
      </c>
      <c r="H4516">
        <v>193</v>
      </c>
      <c r="I4516">
        <v>158960</v>
      </c>
      <c r="J4516">
        <v>30</v>
      </c>
      <c r="K4516">
        <v>99700</v>
      </c>
      <c r="L4516">
        <v>25</v>
      </c>
      <c r="M4516">
        <v>1547</v>
      </c>
      <c r="N4516">
        <v>47863</v>
      </c>
      <c r="O4516">
        <f t="shared" si="146"/>
        <v>2025</v>
      </c>
      <c r="P4516">
        <f t="shared" si="147"/>
        <v>10</v>
      </c>
      <c r="Q4516" t="s">
        <v>784</v>
      </c>
      <c r="R4516" t="s">
        <v>805</v>
      </c>
    </row>
    <row r="4517" spans="1:18" x14ac:dyDescent="0.3">
      <c r="A4517" t="s">
        <v>627</v>
      </c>
      <c r="B4517" s="16">
        <v>45960</v>
      </c>
      <c r="C4517" t="s">
        <v>2</v>
      </c>
      <c r="D4517" t="s">
        <v>55</v>
      </c>
      <c r="E4517">
        <v>1196</v>
      </c>
      <c r="F4517">
        <v>673</v>
      </c>
      <c r="G4517">
        <v>20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32</v>
      </c>
      <c r="N4517">
        <v>512</v>
      </c>
      <c r="O4517">
        <f t="shared" si="146"/>
        <v>2025</v>
      </c>
      <c r="P4517">
        <f t="shared" si="147"/>
        <v>10</v>
      </c>
      <c r="Q4517" t="s">
        <v>784</v>
      </c>
      <c r="R4517" t="s">
        <v>805</v>
      </c>
    </row>
    <row r="4518" spans="1:18" x14ac:dyDescent="0.3">
      <c r="A4518" t="s">
        <v>627</v>
      </c>
      <c r="B4518" s="16">
        <v>45960</v>
      </c>
      <c r="C4518" t="s">
        <v>3</v>
      </c>
      <c r="D4518" t="s">
        <v>157</v>
      </c>
      <c r="E4518">
        <v>1</v>
      </c>
      <c r="F4518">
        <v>1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f t="shared" si="146"/>
        <v>2025</v>
      </c>
      <c r="P4518">
        <f t="shared" si="147"/>
        <v>10</v>
      </c>
      <c r="Q4518" t="s">
        <v>784</v>
      </c>
      <c r="R4518" t="s">
        <v>805</v>
      </c>
    </row>
    <row r="4519" spans="1:18" x14ac:dyDescent="0.3">
      <c r="A4519" t="s">
        <v>627</v>
      </c>
      <c r="B4519" s="16">
        <v>45960</v>
      </c>
      <c r="C4519" t="s">
        <v>3</v>
      </c>
      <c r="D4519" t="s">
        <v>155</v>
      </c>
      <c r="E4519">
        <v>58</v>
      </c>
      <c r="F4519">
        <v>16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58</v>
      </c>
      <c r="O4519">
        <f t="shared" si="146"/>
        <v>2025</v>
      </c>
      <c r="P4519">
        <f t="shared" si="147"/>
        <v>10</v>
      </c>
      <c r="Q4519" t="s">
        <v>784</v>
      </c>
      <c r="R4519" t="s">
        <v>805</v>
      </c>
    </row>
    <row r="4520" spans="1:18" x14ac:dyDescent="0.3">
      <c r="A4520" t="s">
        <v>627</v>
      </c>
      <c r="B4520" s="16">
        <v>45960</v>
      </c>
      <c r="C4520" t="s">
        <v>3</v>
      </c>
      <c r="D4520" t="s">
        <v>154</v>
      </c>
      <c r="E4520">
        <v>199</v>
      </c>
      <c r="F4520">
        <v>149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f t="shared" si="146"/>
        <v>2025</v>
      </c>
      <c r="P4520">
        <f t="shared" si="147"/>
        <v>10</v>
      </c>
      <c r="Q4520" t="s">
        <v>784</v>
      </c>
      <c r="R4520" t="s">
        <v>805</v>
      </c>
    </row>
    <row r="4521" spans="1:18" x14ac:dyDescent="0.3">
      <c r="A4521" t="s">
        <v>627</v>
      </c>
      <c r="B4521" s="16">
        <v>45960</v>
      </c>
      <c r="C4521" t="s">
        <v>3</v>
      </c>
      <c r="D4521" t="s">
        <v>153</v>
      </c>
      <c r="E4521">
        <v>401</v>
      </c>
      <c r="F4521">
        <v>73</v>
      </c>
      <c r="G4521">
        <v>30</v>
      </c>
      <c r="H4521">
        <v>3</v>
      </c>
      <c r="I4521">
        <v>203770</v>
      </c>
      <c r="J4521">
        <v>38</v>
      </c>
      <c r="K4521">
        <v>177615</v>
      </c>
      <c r="L4521">
        <v>36</v>
      </c>
      <c r="M4521">
        <v>100</v>
      </c>
      <c r="N4521">
        <v>389</v>
      </c>
      <c r="O4521">
        <f t="shared" si="146"/>
        <v>2025</v>
      </c>
      <c r="P4521">
        <f t="shared" si="147"/>
        <v>10</v>
      </c>
      <c r="Q4521" t="s">
        <v>784</v>
      </c>
      <c r="R4521" t="s">
        <v>805</v>
      </c>
    </row>
    <row r="4522" spans="1:18" x14ac:dyDescent="0.3">
      <c r="A4522" t="s">
        <v>627</v>
      </c>
      <c r="B4522" s="16">
        <v>45960</v>
      </c>
      <c r="C4522" t="s">
        <v>3</v>
      </c>
      <c r="D4522" t="s">
        <v>152</v>
      </c>
      <c r="E4522">
        <v>17</v>
      </c>
      <c r="F4522">
        <v>7</v>
      </c>
      <c r="G4522">
        <v>0</v>
      </c>
      <c r="H4522">
        <v>1</v>
      </c>
      <c r="I4522">
        <v>0</v>
      </c>
      <c r="J4522">
        <v>0</v>
      </c>
      <c r="K4522">
        <v>0</v>
      </c>
      <c r="L4522">
        <v>0</v>
      </c>
      <c r="M4522">
        <v>1</v>
      </c>
      <c r="N4522">
        <v>16</v>
      </c>
      <c r="O4522">
        <f t="shared" si="146"/>
        <v>2025</v>
      </c>
      <c r="P4522">
        <f t="shared" si="147"/>
        <v>10</v>
      </c>
      <c r="Q4522" t="s">
        <v>784</v>
      </c>
      <c r="R4522" t="s">
        <v>805</v>
      </c>
    </row>
    <row r="4523" spans="1:18" x14ac:dyDescent="0.3">
      <c r="A4523" t="s">
        <v>627</v>
      </c>
      <c r="B4523" s="16">
        <v>45960</v>
      </c>
      <c r="C4523" t="s">
        <v>3</v>
      </c>
      <c r="D4523" t="s">
        <v>149</v>
      </c>
      <c r="E4523">
        <v>13</v>
      </c>
      <c r="F4523">
        <v>3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2</v>
      </c>
      <c r="N4523">
        <v>5</v>
      </c>
      <c r="O4523">
        <f t="shared" si="146"/>
        <v>2025</v>
      </c>
      <c r="P4523">
        <f t="shared" si="147"/>
        <v>10</v>
      </c>
      <c r="Q4523" t="s">
        <v>784</v>
      </c>
      <c r="R4523" t="s">
        <v>805</v>
      </c>
    </row>
    <row r="4524" spans="1:18" x14ac:dyDescent="0.3">
      <c r="A4524" t="s">
        <v>627</v>
      </c>
      <c r="B4524" s="16">
        <v>45960</v>
      </c>
      <c r="C4524" t="s">
        <v>3</v>
      </c>
      <c r="D4524" t="s">
        <v>148</v>
      </c>
      <c r="E4524">
        <v>1</v>
      </c>
      <c r="F4524">
        <v>1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1</v>
      </c>
      <c r="N4524">
        <v>0</v>
      </c>
      <c r="O4524">
        <f t="shared" si="146"/>
        <v>2025</v>
      </c>
      <c r="P4524">
        <f t="shared" si="147"/>
        <v>10</v>
      </c>
      <c r="Q4524" t="s">
        <v>784</v>
      </c>
      <c r="R4524" t="s">
        <v>805</v>
      </c>
    </row>
    <row r="4525" spans="1:18" x14ac:dyDescent="0.3">
      <c r="A4525" t="s">
        <v>627</v>
      </c>
      <c r="B4525" s="16">
        <v>45960</v>
      </c>
      <c r="C4525" t="s">
        <v>3</v>
      </c>
      <c r="D4525" t="s">
        <v>367</v>
      </c>
      <c r="E4525">
        <v>111</v>
      </c>
      <c r="F4525">
        <v>86</v>
      </c>
      <c r="G4525">
        <v>7</v>
      </c>
      <c r="H4525">
        <v>0</v>
      </c>
      <c r="I4525">
        <v>5650</v>
      </c>
      <c r="J4525">
        <v>2</v>
      </c>
      <c r="K4525">
        <v>3150</v>
      </c>
      <c r="L4525">
        <v>1</v>
      </c>
      <c r="M4525">
        <v>0</v>
      </c>
      <c r="N4525">
        <v>111</v>
      </c>
      <c r="O4525">
        <f t="shared" si="146"/>
        <v>2025</v>
      </c>
      <c r="P4525">
        <f t="shared" si="147"/>
        <v>10</v>
      </c>
      <c r="Q4525" t="s">
        <v>784</v>
      </c>
      <c r="R4525" t="s">
        <v>805</v>
      </c>
    </row>
    <row r="4526" spans="1:18" x14ac:dyDescent="0.3">
      <c r="A4526" t="s">
        <v>627</v>
      </c>
      <c r="B4526" s="16">
        <v>45960</v>
      </c>
      <c r="C4526" t="s">
        <v>3</v>
      </c>
      <c r="D4526" t="s">
        <v>251</v>
      </c>
      <c r="E4526">
        <v>5125</v>
      </c>
      <c r="F4526">
        <v>4230</v>
      </c>
      <c r="G4526">
        <v>7</v>
      </c>
      <c r="H4526">
        <v>0</v>
      </c>
      <c r="I4526">
        <v>20830</v>
      </c>
      <c r="J4526">
        <v>5</v>
      </c>
      <c r="K4526">
        <v>18840</v>
      </c>
      <c r="L4526">
        <v>5</v>
      </c>
      <c r="M4526">
        <v>88</v>
      </c>
      <c r="N4526">
        <v>499</v>
      </c>
      <c r="O4526">
        <f t="shared" si="146"/>
        <v>2025</v>
      </c>
      <c r="P4526">
        <f t="shared" si="147"/>
        <v>10</v>
      </c>
      <c r="Q4526" t="s">
        <v>784</v>
      </c>
      <c r="R4526" t="s">
        <v>805</v>
      </c>
    </row>
    <row r="4527" spans="1:18" x14ac:dyDescent="0.3">
      <c r="A4527" t="s">
        <v>627</v>
      </c>
      <c r="B4527" s="16">
        <v>45960</v>
      </c>
      <c r="C4527" t="s">
        <v>3</v>
      </c>
      <c r="D4527" t="s">
        <v>143</v>
      </c>
      <c r="E4527">
        <v>1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1</v>
      </c>
      <c r="O4527">
        <f t="shared" si="146"/>
        <v>2025</v>
      </c>
      <c r="P4527">
        <f t="shared" si="147"/>
        <v>10</v>
      </c>
      <c r="Q4527" t="s">
        <v>784</v>
      </c>
      <c r="R4527" t="s">
        <v>805</v>
      </c>
    </row>
    <row r="4528" spans="1:18" x14ac:dyDescent="0.3">
      <c r="A4528" t="s">
        <v>627</v>
      </c>
      <c r="B4528" s="16">
        <v>45960</v>
      </c>
      <c r="C4528" t="s">
        <v>3</v>
      </c>
      <c r="D4528" t="s">
        <v>141</v>
      </c>
      <c r="E4528">
        <v>180</v>
      </c>
      <c r="F4528">
        <v>58</v>
      </c>
      <c r="G4528">
        <v>2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1</v>
      </c>
      <c r="N4528">
        <v>179</v>
      </c>
      <c r="O4528">
        <f t="shared" si="146"/>
        <v>2025</v>
      </c>
      <c r="P4528">
        <f t="shared" si="147"/>
        <v>10</v>
      </c>
      <c r="Q4528" t="s">
        <v>784</v>
      </c>
      <c r="R4528" t="s">
        <v>805</v>
      </c>
    </row>
    <row r="4529" spans="1:18" x14ac:dyDescent="0.3">
      <c r="A4529" t="s">
        <v>627</v>
      </c>
      <c r="B4529" s="16">
        <v>45960</v>
      </c>
      <c r="C4529" t="s">
        <v>3</v>
      </c>
      <c r="D4529" t="s">
        <v>140</v>
      </c>
      <c r="E4529">
        <v>9</v>
      </c>
      <c r="F4529">
        <v>8</v>
      </c>
      <c r="G4529">
        <v>0</v>
      </c>
      <c r="H4529">
        <v>0</v>
      </c>
      <c r="I4529">
        <v>6685</v>
      </c>
      <c r="J4529">
        <v>2</v>
      </c>
      <c r="K4529">
        <v>6685</v>
      </c>
      <c r="L4529">
        <v>2</v>
      </c>
      <c r="M4529">
        <v>2</v>
      </c>
      <c r="N4529">
        <v>8</v>
      </c>
      <c r="O4529">
        <f t="shared" si="146"/>
        <v>2025</v>
      </c>
      <c r="P4529">
        <f t="shared" si="147"/>
        <v>10</v>
      </c>
      <c r="Q4529" t="s">
        <v>784</v>
      </c>
      <c r="R4529" t="s">
        <v>805</v>
      </c>
    </row>
    <row r="4530" spans="1:18" x14ac:dyDescent="0.3">
      <c r="A4530" t="s">
        <v>627</v>
      </c>
      <c r="B4530" s="16">
        <v>45960</v>
      </c>
      <c r="C4530" t="s">
        <v>3</v>
      </c>
      <c r="D4530" t="s">
        <v>139</v>
      </c>
      <c r="E4530">
        <v>1563</v>
      </c>
      <c r="F4530">
        <v>770</v>
      </c>
      <c r="G4530">
        <v>36</v>
      </c>
      <c r="H4530">
        <v>8</v>
      </c>
      <c r="I4530">
        <v>77507</v>
      </c>
      <c r="J4530">
        <v>14</v>
      </c>
      <c r="K4530">
        <v>58782</v>
      </c>
      <c r="L4530">
        <v>13</v>
      </c>
      <c r="M4530">
        <v>332</v>
      </c>
      <c r="N4530">
        <v>1255</v>
      </c>
      <c r="O4530">
        <f t="shared" si="146"/>
        <v>2025</v>
      </c>
      <c r="P4530">
        <f t="shared" si="147"/>
        <v>10</v>
      </c>
      <c r="Q4530" t="s">
        <v>784</v>
      </c>
      <c r="R4530" t="s">
        <v>805</v>
      </c>
    </row>
    <row r="4531" spans="1:18" x14ac:dyDescent="0.3">
      <c r="A4531" t="s">
        <v>627</v>
      </c>
      <c r="B4531" s="16">
        <v>45960</v>
      </c>
      <c r="C4531" t="s">
        <v>3</v>
      </c>
      <c r="D4531" t="s">
        <v>138</v>
      </c>
      <c r="E4531">
        <v>31</v>
      </c>
      <c r="F4531">
        <v>11</v>
      </c>
      <c r="G4531">
        <v>5</v>
      </c>
      <c r="H4531">
        <v>1</v>
      </c>
      <c r="I4531">
        <v>30680</v>
      </c>
      <c r="J4531">
        <v>3</v>
      </c>
      <c r="K4531">
        <v>18095</v>
      </c>
      <c r="L4531">
        <v>2</v>
      </c>
      <c r="M4531">
        <v>6</v>
      </c>
      <c r="N4531">
        <v>31</v>
      </c>
      <c r="O4531">
        <f t="shared" si="146"/>
        <v>2025</v>
      </c>
      <c r="P4531">
        <f t="shared" si="147"/>
        <v>10</v>
      </c>
      <c r="Q4531" t="s">
        <v>784</v>
      </c>
      <c r="R4531" t="s">
        <v>805</v>
      </c>
    </row>
    <row r="4532" spans="1:18" x14ac:dyDescent="0.3">
      <c r="A4532" t="s">
        <v>627</v>
      </c>
      <c r="B4532" s="16">
        <v>45960</v>
      </c>
      <c r="C4532" t="s">
        <v>3</v>
      </c>
      <c r="D4532" t="s">
        <v>136</v>
      </c>
      <c r="E4532">
        <v>1</v>
      </c>
      <c r="F4532">
        <v>0</v>
      </c>
      <c r="G4532">
        <v>1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1</v>
      </c>
      <c r="O4532">
        <f t="shared" si="146"/>
        <v>2025</v>
      </c>
      <c r="P4532">
        <f t="shared" si="147"/>
        <v>10</v>
      </c>
      <c r="Q4532" t="s">
        <v>784</v>
      </c>
      <c r="R4532" t="s">
        <v>805</v>
      </c>
    </row>
    <row r="4533" spans="1:18" x14ac:dyDescent="0.3">
      <c r="A4533" t="s">
        <v>627</v>
      </c>
      <c r="B4533" s="16">
        <v>45960</v>
      </c>
      <c r="C4533" t="s">
        <v>3</v>
      </c>
      <c r="D4533" t="s">
        <v>133</v>
      </c>
      <c r="E4533">
        <v>14</v>
      </c>
      <c r="F4533">
        <v>8</v>
      </c>
      <c r="G4533">
        <v>1</v>
      </c>
      <c r="H4533">
        <v>0</v>
      </c>
      <c r="I4533">
        <v>18930</v>
      </c>
      <c r="J4533">
        <v>1</v>
      </c>
      <c r="K4533">
        <v>18930</v>
      </c>
      <c r="L4533">
        <v>1</v>
      </c>
      <c r="M4533">
        <v>2</v>
      </c>
      <c r="N4533">
        <v>13</v>
      </c>
      <c r="O4533">
        <f t="shared" si="146"/>
        <v>2025</v>
      </c>
      <c r="P4533">
        <f t="shared" si="147"/>
        <v>10</v>
      </c>
      <c r="Q4533" t="s">
        <v>784</v>
      </c>
      <c r="R4533" t="s">
        <v>805</v>
      </c>
    </row>
    <row r="4534" spans="1:18" x14ac:dyDescent="0.3">
      <c r="A4534" t="s">
        <v>627</v>
      </c>
      <c r="B4534" s="16">
        <v>45960</v>
      </c>
      <c r="C4534" t="s">
        <v>3</v>
      </c>
      <c r="D4534" t="s">
        <v>130</v>
      </c>
      <c r="E4534">
        <v>99</v>
      </c>
      <c r="F4534">
        <v>31</v>
      </c>
      <c r="G4534">
        <v>13</v>
      </c>
      <c r="H4534">
        <v>1</v>
      </c>
      <c r="I4534">
        <v>55820</v>
      </c>
      <c r="J4534">
        <v>11</v>
      </c>
      <c r="K4534">
        <v>55820</v>
      </c>
      <c r="L4534">
        <v>11</v>
      </c>
      <c r="M4534">
        <v>32</v>
      </c>
      <c r="N4534">
        <v>88</v>
      </c>
      <c r="O4534">
        <f t="shared" si="146"/>
        <v>2025</v>
      </c>
      <c r="P4534">
        <f t="shared" si="147"/>
        <v>10</v>
      </c>
      <c r="Q4534" t="s">
        <v>784</v>
      </c>
      <c r="R4534" t="s">
        <v>805</v>
      </c>
    </row>
    <row r="4535" spans="1:18" x14ac:dyDescent="0.3">
      <c r="A4535" t="s">
        <v>627</v>
      </c>
      <c r="B4535" s="16">
        <v>45960</v>
      </c>
      <c r="C4535" t="s">
        <v>3</v>
      </c>
      <c r="D4535" t="s">
        <v>128</v>
      </c>
      <c r="E4535">
        <v>2333</v>
      </c>
      <c r="F4535">
        <v>1914</v>
      </c>
      <c r="G4535">
        <v>69</v>
      </c>
      <c r="H4535">
        <v>18</v>
      </c>
      <c r="I4535">
        <v>71315</v>
      </c>
      <c r="J4535">
        <v>11</v>
      </c>
      <c r="K4535">
        <v>50335</v>
      </c>
      <c r="L4535">
        <v>9</v>
      </c>
      <c r="M4535">
        <v>277</v>
      </c>
      <c r="N4535">
        <v>2277</v>
      </c>
      <c r="O4535">
        <f t="shared" si="146"/>
        <v>2025</v>
      </c>
      <c r="P4535">
        <f t="shared" si="147"/>
        <v>10</v>
      </c>
      <c r="Q4535" t="s">
        <v>784</v>
      </c>
      <c r="R4535" t="s">
        <v>805</v>
      </c>
    </row>
    <row r="4536" spans="1:18" x14ac:dyDescent="0.3">
      <c r="A4536" t="s">
        <v>627</v>
      </c>
      <c r="B4536" s="16">
        <v>45960</v>
      </c>
      <c r="C4536" t="s">
        <v>3</v>
      </c>
      <c r="D4536" t="s">
        <v>127</v>
      </c>
      <c r="E4536">
        <v>10092</v>
      </c>
      <c r="F4536">
        <v>5487</v>
      </c>
      <c r="G4536">
        <v>134</v>
      </c>
      <c r="H4536">
        <v>35</v>
      </c>
      <c r="I4536">
        <v>93811.27</v>
      </c>
      <c r="J4536">
        <v>25</v>
      </c>
      <c r="K4536">
        <v>78196.27</v>
      </c>
      <c r="L4536">
        <v>23</v>
      </c>
      <c r="M4536">
        <v>316</v>
      </c>
      <c r="N4536">
        <v>9853</v>
      </c>
      <c r="O4536">
        <f t="shared" si="146"/>
        <v>2025</v>
      </c>
      <c r="P4536">
        <f t="shared" si="147"/>
        <v>10</v>
      </c>
      <c r="Q4536" t="s">
        <v>784</v>
      </c>
      <c r="R4536" t="s">
        <v>805</v>
      </c>
    </row>
    <row r="4537" spans="1:18" x14ac:dyDescent="0.3">
      <c r="A4537" t="s">
        <v>627</v>
      </c>
      <c r="B4537" s="16">
        <v>45960</v>
      </c>
      <c r="C4537" t="s">
        <v>3</v>
      </c>
      <c r="D4537" t="s">
        <v>126</v>
      </c>
      <c r="E4537">
        <v>158</v>
      </c>
      <c r="F4537">
        <v>94</v>
      </c>
      <c r="G4537">
        <v>7</v>
      </c>
      <c r="H4537">
        <v>1</v>
      </c>
      <c r="I4537">
        <v>3990</v>
      </c>
      <c r="J4537">
        <v>1</v>
      </c>
      <c r="K4537">
        <v>0</v>
      </c>
      <c r="L4537">
        <v>0</v>
      </c>
      <c r="M4537">
        <v>14</v>
      </c>
      <c r="N4537">
        <v>153</v>
      </c>
      <c r="O4537">
        <f t="shared" si="146"/>
        <v>2025</v>
      </c>
      <c r="P4537">
        <f t="shared" si="147"/>
        <v>10</v>
      </c>
      <c r="Q4537" t="s">
        <v>784</v>
      </c>
      <c r="R4537" t="s">
        <v>805</v>
      </c>
    </row>
    <row r="4538" spans="1:18" x14ac:dyDescent="0.3">
      <c r="A4538" t="s">
        <v>627</v>
      </c>
      <c r="B4538" s="16">
        <v>45960</v>
      </c>
      <c r="C4538" t="s">
        <v>3</v>
      </c>
      <c r="D4538" t="s">
        <v>125</v>
      </c>
      <c r="E4538">
        <v>1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1</v>
      </c>
      <c r="O4538">
        <f t="shared" si="146"/>
        <v>2025</v>
      </c>
      <c r="P4538">
        <f t="shared" si="147"/>
        <v>10</v>
      </c>
      <c r="Q4538" t="s">
        <v>784</v>
      </c>
      <c r="R4538" t="s">
        <v>805</v>
      </c>
    </row>
    <row r="4539" spans="1:18" x14ac:dyDescent="0.3">
      <c r="A4539" t="s">
        <v>627</v>
      </c>
      <c r="B4539" s="16">
        <v>45960</v>
      </c>
      <c r="C4539" t="s">
        <v>3</v>
      </c>
      <c r="D4539" t="s">
        <v>123</v>
      </c>
      <c r="E4539">
        <v>40</v>
      </c>
      <c r="F4539">
        <v>16</v>
      </c>
      <c r="G4539">
        <v>1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36</v>
      </c>
      <c r="N4539">
        <v>22</v>
      </c>
      <c r="O4539">
        <f t="shared" si="146"/>
        <v>2025</v>
      </c>
      <c r="P4539">
        <f t="shared" si="147"/>
        <v>10</v>
      </c>
      <c r="Q4539" t="s">
        <v>784</v>
      </c>
      <c r="R4539" t="s">
        <v>805</v>
      </c>
    </row>
    <row r="4540" spans="1:18" x14ac:dyDescent="0.3">
      <c r="A4540" t="s">
        <v>627</v>
      </c>
      <c r="B4540" s="16">
        <v>45960</v>
      </c>
      <c r="C4540" t="s">
        <v>3</v>
      </c>
      <c r="D4540" t="s">
        <v>121</v>
      </c>
      <c r="E4540">
        <v>1</v>
      </c>
      <c r="F4540">
        <v>1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1</v>
      </c>
      <c r="O4540">
        <f t="shared" si="146"/>
        <v>2025</v>
      </c>
      <c r="P4540">
        <f t="shared" si="147"/>
        <v>10</v>
      </c>
      <c r="Q4540" t="s">
        <v>784</v>
      </c>
      <c r="R4540" t="s">
        <v>805</v>
      </c>
    </row>
    <row r="4541" spans="1:18" x14ac:dyDescent="0.3">
      <c r="A4541" t="s">
        <v>627</v>
      </c>
      <c r="B4541" s="16">
        <v>45960</v>
      </c>
      <c r="C4541" t="s">
        <v>3</v>
      </c>
      <c r="D4541" t="s">
        <v>119</v>
      </c>
      <c r="E4541">
        <v>306</v>
      </c>
      <c r="F4541">
        <v>75</v>
      </c>
      <c r="G4541">
        <v>28</v>
      </c>
      <c r="H4541">
        <v>1</v>
      </c>
      <c r="I4541">
        <v>98930</v>
      </c>
      <c r="J4541">
        <v>17</v>
      </c>
      <c r="K4541">
        <v>88245</v>
      </c>
      <c r="L4541">
        <v>16</v>
      </c>
      <c r="M4541">
        <v>65</v>
      </c>
      <c r="N4541">
        <v>297</v>
      </c>
      <c r="O4541">
        <f t="shared" si="146"/>
        <v>2025</v>
      </c>
      <c r="P4541">
        <f t="shared" si="147"/>
        <v>10</v>
      </c>
      <c r="Q4541" t="s">
        <v>784</v>
      </c>
      <c r="R4541" t="s">
        <v>805</v>
      </c>
    </row>
    <row r="4542" spans="1:18" x14ac:dyDescent="0.3">
      <c r="A4542" t="s">
        <v>627</v>
      </c>
      <c r="B4542" s="16">
        <v>45960</v>
      </c>
      <c r="C4542" t="s">
        <v>3</v>
      </c>
      <c r="D4542" t="s">
        <v>252</v>
      </c>
      <c r="E4542">
        <v>1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1</v>
      </c>
      <c r="O4542">
        <f t="shared" si="146"/>
        <v>2025</v>
      </c>
      <c r="P4542">
        <f t="shared" si="147"/>
        <v>10</v>
      </c>
      <c r="Q4542" t="s">
        <v>784</v>
      </c>
      <c r="R4542" t="s">
        <v>805</v>
      </c>
    </row>
    <row r="4543" spans="1:18" x14ac:dyDescent="0.3">
      <c r="A4543" t="s">
        <v>627</v>
      </c>
      <c r="B4543" s="16">
        <v>45960</v>
      </c>
      <c r="C4543" t="s">
        <v>3</v>
      </c>
      <c r="D4543" t="s">
        <v>391</v>
      </c>
      <c r="E4543">
        <v>612</v>
      </c>
      <c r="F4543">
        <v>303</v>
      </c>
      <c r="G4543">
        <v>22</v>
      </c>
      <c r="H4543">
        <v>0</v>
      </c>
      <c r="I4543">
        <v>53668.73</v>
      </c>
      <c r="J4543">
        <v>7</v>
      </c>
      <c r="K4543">
        <v>51678.73</v>
      </c>
      <c r="L4543">
        <v>7</v>
      </c>
      <c r="M4543">
        <v>90</v>
      </c>
      <c r="N4543">
        <v>605</v>
      </c>
      <c r="O4543">
        <f t="shared" si="146"/>
        <v>2025</v>
      </c>
      <c r="P4543">
        <f t="shared" si="147"/>
        <v>10</v>
      </c>
      <c r="Q4543" t="s">
        <v>784</v>
      </c>
      <c r="R4543" t="s">
        <v>805</v>
      </c>
    </row>
    <row r="4544" spans="1:18" x14ac:dyDescent="0.3">
      <c r="A4544" t="s">
        <v>627</v>
      </c>
      <c r="B4544" s="16">
        <v>45960</v>
      </c>
      <c r="C4544" t="s">
        <v>3</v>
      </c>
      <c r="D4544" t="s">
        <v>114</v>
      </c>
      <c r="E4544">
        <v>172</v>
      </c>
      <c r="F4544">
        <v>73</v>
      </c>
      <c r="G4544">
        <v>5</v>
      </c>
      <c r="H4544">
        <v>1</v>
      </c>
      <c r="I4544">
        <v>0</v>
      </c>
      <c r="J4544">
        <v>0</v>
      </c>
      <c r="K4544">
        <v>0</v>
      </c>
      <c r="L4544">
        <v>0</v>
      </c>
      <c r="M4544">
        <v>13</v>
      </c>
      <c r="N4544">
        <v>169</v>
      </c>
      <c r="O4544">
        <f t="shared" si="146"/>
        <v>2025</v>
      </c>
      <c r="P4544">
        <f t="shared" si="147"/>
        <v>10</v>
      </c>
      <c r="Q4544" t="s">
        <v>784</v>
      </c>
      <c r="R4544" t="s">
        <v>805</v>
      </c>
    </row>
    <row r="4545" spans="1:18" x14ac:dyDescent="0.3">
      <c r="A4545" t="s">
        <v>627</v>
      </c>
      <c r="B4545" s="16">
        <v>45960</v>
      </c>
      <c r="C4545" t="s">
        <v>3</v>
      </c>
      <c r="D4545" t="s">
        <v>113</v>
      </c>
      <c r="E4545">
        <v>111</v>
      </c>
      <c r="F4545">
        <v>52</v>
      </c>
      <c r="G4545">
        <v>1</v>
      </c>
      <c r="H4545">
        <v>1</v>
      </c>
      <c r="I4545">
        <v>0</v>
      </c>
      <c r="J4545">
        <v>0</v>
      </c>
      <c r="K4545">
        <v>0</v>
      </c>
      <c r="L4545">
        <v>0</v>
      </c>
      <c r="M4545">
        <v>87</v>
      </c>
      <c r="N4545">
        <v>65</v>
      </c>
      <c r="O4545">
        <f t="shared" si="146"/>
        <v>2025</v>
      </c>
      <c r="P4545">
        <f t="shared" si="147"/>
        <v>10</v>
      </c>
      <c r="Q4545" t="s">
        <v>784</v>
      </c>
      <c r="R4545" t="s">
        <v>805</v>
      </c>
    </row>
    <row r="4546" spans="1:18" x14ac:dyDescent="0.3">
      <c r="A4546" t="s">
        <v>627</v>
      </c>
      <c r="B4546" s="16">
        <v>45960</v>
      </c>
      <c r="C4546" t="s">
        <v>3</v>
      </c>
      <c r="D4546" t="s">
        <v>112</v>
      </c>
      <c r="E4546">
        <v>46</v>
      </c>
      <c r="F4546">
        <v>4</v>
      </c>
      <c r="G4546">
        <v>0</v>
      </c>
      <c r="H4546">
        <v>0</v>
      </c>
      <c r="I4546">
        <v>12055</v>
      </c>
      <c r="J4546">
        <v>3</v>
      </c>
      <c r="K4546">
        <v>12055</v>
      </c>
      <c r="L4546">
        <v>3</v>
      </c>
      <c r="M4546">
        <v>0</v>
      </c>
      <c r="N4546">
        <v>46</v>
      </c>
      <c r="O4546">
        <f t="shared" si="146"/>
        <v>2025</v>
      </c>
      <c r="P4546">
        <f t="shared" si="147"/>
        <v>10</v>
      </c>
      <c r="Q4546" t="s">
        <v>784</v>
      </c>
      <c r="R4546" t="s">
        <v>805</v>
      </c>
    </row>
    <row r="4547" spans="1:18" x14ac:dyDescent="0.3">
      <c r="A4547" t="s">
        <v>627</v>
      </c>
      <c r="B4547" s="16">
        <v>45960</v>
      </c>
      <c r="C4547" t="s">
        <v>3</v>
      </c>
      <c r="D4547" t="s">
        <v>111</v>
      </c>
      <c r="E4547">
        <v>3</v>
      </c>
      <c r="F4547">
        <v>1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3</v>
      </c>
      <c r="O4547">
        <f t="shared" si="146"/>
        <v>2025</v>
      </c>
      <c r="P4547">
        <f t="shared" si="147"/>
        <v>10</v>
      </c>
      <c r="Q4547" t="s">
        <v>784</v>
      </c>
      <c r="R4547" t="s">
        <v>805</v>
      </c>
    </row>
    <row r="4548" spans="1:18" x14ac:dyDescent="0.3">
      <c r="A4548" t="s">
        <v>627</v>
      </c>
      <c r="B4548" s="16">
        <v>45959</v>
      </c>
      <c r="C4548" t="s">
        <v>2</v>
      </c>
      <c r="D4548" t="s">
        <v>4</v>
      </c>
      <c r="E4548">
        <v>347</v>
      </c>
      <c r="F4548">
        <v>117</v>
      </c>
      <c r="G4548">
        <v>5</v>
      </c>
      <c r="H4548">
        <v>1</v>
      </c>
      <c r="I4548">
        <v>35825</v>
      </c>
      <c r="J4548">
        <v>4</v>
      </c>
      <c r="K4548">
        <v>35825</v>
      </c>
      <c r="L4548">
        <v>4</v>
      </c>
      <c r="M4548">
        <v>7</v>
      </c>
      <c r="N4548">
        <v>347</v>
      </c>
      <c r="O4548">
        <f t="shared" si="146"/>
        <v>2025</v>
      </c>
      <c r="P4548">
        <f t="shared" si="147"/>
        <v>10</v>
      </c>
      <c r="Q4548" t="s">
        <v>784</v>
      </c>
      <c r="R4548" t="s">
        <v>805</v>
      </c>
    </row>
    <row r="4549" spans="1:18" x14ac:dyDescent="0.3">
      <c r="A4549" t="s">
        <v>627</v>
      </c>
      <c r="B4549" s="16">
        <v>45959</v>
      </c>
      <c r="C4549" t="s">
        <v>2</v>
      </c>
      <c r="D4549" t="s">
        <v>57</v>
      </c>
      <c r="E4549">
        <v>31852</v>
      </c>
      <c r="F4549">
        <v>17860</v>
      </c>
      <c r="G4549">
        <v>178</v>
      </c>
      <c r="H4549">
        <v>146</v>
      </c>
      <c r="I4549">
        <v>155445</v>
      </c>
      <c r="J4549">
        <v>24</v>
      </c>
      <c r="K4549">
        <v>123165</v>
      </c>
      <c r="L4549">
        <v>21</v>
      </c>
      <c r="M4549">
        <v>1425</v>
      </c>
      <c r="N4549">
        <v>31460</v>
      </c>
      <c r="O4549">
        <f t="shared" si="146"/>
        <v>2025</v>
      </c>
      <c r="P4549">
        <f t="shared" si="147"/>
        <v>10</v>
      </c>
      <c r="Q4549" t="s">
        <v>784</v>
      </c>
      <c r="R4549" t="s">
        <v>805</v>
      </c>
    </row>
    <row r="4550" spans="1:18" x14ac:dyDescent="0.3">
      <c r="A4550" t="s">
        <v>627</v>
      </c>
      <c r="B4550" s="16">
        <v>45959</v>
      </c>
      <c r="C4550" t="s">
        <v>2</v>
      </c>
      <c r="D4550" t="s">
        <v>55</v>
      </c>
      <c r="E4550">
        <v>1338</v>
      </c>
      <c r="F4550">
        <v>759</v>
      </c>
      <c r="G4550">
        <v>11</v>
      </c>
      <c r="H4550">
        <v>1</v>
      </c>
      <c r="I4550">
        <v>0</v>
      </c>
      <c r="J4550">
        <v>0</v>
      </c>
      <c r="K4550">
        <v>0</v>
      </c>
      <c r="L4550">
        <v>0</v>
      </c>
      <c r="M4550">
        <v>30</v>
      </c>
      <c r="N4550">
        <v>571</v>
      </c>
      <c r="O4550">
        <f t="shared" si="146"/>
        <v>2025</v>
      </c>
      <c r="P4550">
        <f t="shared" si="147"/>
        <v>10</v>
      </c>
      <c r="Q4550" t="s">
        <v>784</v>
      </c>
      <c r="R4550" t="s">
        <v>805</v>
      </c>
    </row>
    <row r="4551" spans="1:18" x14ac:dyDescent="0.3">
      <c r="A4551" t="s">
        <v>627</v>
      </c>
      <c r="B4551" s="16">
        <v>45959</v>
      </c>
      <c r="C4551" t="s">
        <v>3</v>
      </c>
      <c r="D4551" t="s">
        <v>157</v>
      </c>
      <c r="E4551">
        <v>1</v>
      </c>
      <c r="F4551">
        <v>1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f t="shared" si="146"/>
        <v>2025</v>
      </c>
      <c r="P4551">
        <f t="shared" si="147"/>
        <v>10</v>
      </c>
      <c r="Q4551" t="s">
        <v>784</v>
      </c>
      <c r="R4551" t="s">
        <v>805</v>
      </c>
    </row>
    <row r="4552" spans="1:18" x14ac:dyDescent="0.3">
      <c r="A4552" t="s">
        <v>627</v>
      </c>
      <c r="B4552" s="16">
        <v>45959</v>
      </c>
      <c r="C4552" t="s">
        <v>3</v>
      </c>
      <c r="D4552" t="s">
        <v>155</v>
      </c>
      <c r="E4552">
        <v>68</v>
      </c>
      <c r="F4552">
        <v>32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2</v>
      </c>
      <c r="N4552">
        <v>68</v>
      </c>
      <c r="O4552">
        <f t="shared" si="146"/>
        <v>2025</v>
      </c>
      <c r="P4552">
        <f t="shared" si="147"/>
        <v>10</v>
      </c>
      <c r="Q4552" t="s">
        <v>784</v>
      </c>
      <c r="R4552" t="s">
        <v>805</v>
      </c>
    </row>
    <row r="4553" spans="1:18" x14ac:dyDescent="0.3">
      <c r="A4553" t="s">
        <v>627</v>
      </c>
      <c r="B4553" s="16">
        <v>45959</v>
      </c>
      <c r="C4553" t="s">
        <v>3</v>
      </c>
      <c r="D4553" t="s">
        <v>154</v>
      </c>
      <c r="E4553">
        <v>235</v>
      </c>
      <c r="F4553">
        <v>203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f t="shared" ref="O4553:O4616" si="148">YEAR(B4553)</f>
        <v>2025</v>
      </c>
      <c r="P4553">
        <f t="shared" ref="P4553:P4616" si="149">MONTH(B4553)</f>
        <v>10</v>
      </c>
      <c r="Q4553" t="s">
        <v>784</v>
      </c>
      <c r="R4553" t="s">
        <v>805</v>
      </c>
    </row>
    <row r="4554" spans="1:18" x14ac:dyDescent="0.3">
      <c r="A4554" t="s">
        <v>627</v>
      </c>
      <c r="B4554" s="16">
        <v>45959</v>
      </c>
      <c r="C4554" t="s">
        <v>3</v>
      </c>
      <c r="D4554" t="s">
        <v>153</v>
      </c>
      <c r="E4554">
        <v>399</v>
      </c>
      <c r="F4554">
        <v>70</v>
      </c>
      <c r="G4554">
        <v>33</v>
      </c>
      <c r="H4554">
        <v>3</v>
      </c>
      <c r="I4554">
        <v>168234.09</v>
      </c>
      <c r="J4554">
        <v>28</v>
      </c>
      <c r="K4554">
        <v>167730.09</v>
      </c>
      <c r="L4554">
        <v>27</v>
      </c>
      <c r="M4554">
        <v>104</v>
      </c>
      <c r="N4554">
        <v>382</v>
      </c>
      <c r="O4554">
        <f t="shared" si="148"/>
        <v>2025</v>
      </c>
      <c r="P4554">
        <f t="shared" si="149"/>
        <v>10</v>
      </c>
      <c r="Q4554" t="s">
        <v>784</v>
      </c>
      <c r="R4554" t="s">
        <v>805</v>
      </c>
    </row>
    <row r="4555" spans="1:18" x14ac:dyDescent="0.3">
      <c r="A4555" t="s">
        <v>627</v>
      </c>
      <c r="B4555" s="16">
        <v>45959</v>
      </c>
      <c r="C4555" t="s">
        <v>3</v>
      </c>
      <c r="D4555" t="s">
        <v>152</v>
      </c>
      <c r="E4555">
        <v>20</v>
      </c>
      <c r="F4555">
        <v>10</v>
      </c>
      <c r="G4555">
        <v>1</v>
      </c>
      <c r="H4555">
        <v>1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20</v>
      </c>
      <c r="O4555">
        <f t="shared" si="148"/>
        <v>2025</v>
      </c>
      <c r="P4555">
        <f t="shared" si="149"/>
        <v>10</v>
      </c>
      <c r="Q4555" t="s">
        <v>784</v>
      </c>
      <c r="R4555" t="s">
        <v>805</v>
      </c>
    </row>
    <row r="4556" spans="1:18" x14ac:dyDescent="0.3">
      <c r="A4556" t="s">
        <v>627</v>
      </c>
      <c r="B4556" s="16">
        <v>45959</v>
      </c>
      <c r="C4556" t="s">
        <v>3</v>
      </c>
      <c r="D4556" t="s">
        <v>149</v>
      </c>
      <c r="E4556">
        <v>9</v>
      </c>
      <c r="F4556">
        <v>4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2</v>
      </c>
      <c r="O4556">
        <f t="shared" si="148"/>
        <v>2025</v>
      </c>
      <c r="P4556">
        <f t="shared" si="149"/>
        <v>10</v>
      </c>
      <c r="Q4556" t="s">
        <v>784</v>
      </c>
      <c r="R4556" t="s">
        <v>805</v>
      </c>
    </row>
    <row r="4557" spans="1:18" x14ac:dyDescent="0.3">
      <c r="A4557" t="s">
        <v>627</v>
      </c>
      <c r="B4557" s="16">
        <v>45959</v>
      </c>
      <c r="C4557" t="s">
        <v>3</v>
      </c>
      <c r="D4557" t="s">
        <v>148</v>
      </c>
      <c r="E4557">
        <v>1</v>
      </c>
      <c r="F4557">
        <v>1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1</v>
      </c>
      <c r="O4557">
        <f t="shared" si="148"/>
        <v>2025</v>
      </c>
      <c r="P4557">
        <f t="shared" si="149"/>
        <v>10</v>
      </c>
      <c r="Q4557" t="s">
        <v>784</v>
      </c>
      <c r="R4557" t="s">
        <v>805</v>
      </c>
    </row>
    <row r="4558" spans="1:18" x14ac:dyDescent="0.3">
      <c r="A4558" t="s">
        <v>627</v>
      </c>
      <c r="B4558" s="16">
        <v>45959</v>
      </c>
      <c r="C4558" t="s">
        <v>3</v>
      </c>
      <c r="D4558" t="s">
        <v>367</v>
      </c>
      <c r="E4558">
        <v>35</v>
      </c>
      <c r="F4558">
        <v>21</v>
      </c>
      <c r="G4558">
        <v>3</v>
      </c>
      <c r="H4558">
        <v>3</v>
      </c>
      <c r="I4558">
        <v>2090</v>
      </c>
      <c r="J4558">
        <v>1</v>
      </c>
      <c r="K4558">
        <v>2090</v>
      </c>
      <c r="L4558">
        <v>1</v>
      </c>
      <c r="M4558">
        <v>1</v>
      </c>
      <c r="N4558">
        <v>35</v>
      </c>
      <c r="O4558">
        <f t="shared" si="148"/>
        <v>2025</v>
      </c>
      <c r="P4558">
        <f t="shared" si="149"/>
        <v>10</v>
      </c>
      <c r="Q4558" t="s">
        <v>784</v>
      </c>
      <c r="R4558" t="s">
        <v>805</v>
      </c>
    </row>
    <row r="4559" spans="1:18" x14ac:dyDescent="0.3">
      <c r="A4559" t="s">
        <v>627</v>
      </c>
      <c r="B4559" s="16">
        <v>45959</v>
      </c>
      <c r="C4559" t="s">
        <v>3</v>
      </c>
      <c r="D4559" t="s">
        <v>251</v>
      </c>
      <c r="E4559">
        <v>2854</v>
      </c>
      <c r="F4559">
        <v>2298</v>
      </c>
      <c r="G4559">
        <v>16</v>
      </c>
      <c r="H4559">
        <v>7</v>
      </c>
      <c r="I4559">
        <v>15450.09</v>
      </c>
      <c r="J4559">
        <v>4</v>
      </c>
      <c r="K4559">
        <v>15450.09</v>
      </c>
      <c r="L4559">
        <v>4</v>
      </c>
      <c r="M4559">
        <v>96</v>
      </c>
      <c r="N4559">
        <v>526</v>
      </c>
      <c r="O4559">
        <f t="shared" si="148"/>
        <v>2025</v>
      </c>
      <c r="P4559">
        <f t="shared" si="149"/>
        <v>10</v>
      </c>
      <c r="Q4559" t="s">
        <v>784</v>
      </c>
      <c r="R4559" t="s">
        <v>805</v>
      </c>
    </row>
    <row r="4560" spans="1:18" x14ac:dyDescent="0.3">
      <c r="A4560" t="s">
        <v>627</v>
      </c>
      <c r="B4560" s="16">
        <v>45959</v>
      </c>
      <c r="C4560" t="s">
        <v>3</v>
      </c>
      <c r="D4560" t="s">
        <v>143</v>
      </c>
      <c r="E4560">
        <v>2</v>
      </c>
      <c r="F4560">
        <v>1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2</v>
      </c>
      <c r="O4560">
        <f t="shared" si="148"/>
        <v>2025</v>
      </c>
      <c r="P4560">
        <f t="shared" si="149"/>
        <v>10</v>
      </c>
      <c r="Q4560" t="s">
        <v>784</v>
      </c>
      <c r="R4560" t="s">
        <v>805</v>
      </c>
    </row>
    <row r="4561" spans="1:18" x14ac:dyDescent="0.3">
      <c r="A4561" t="s">
        <v>627</v>
      </c>
      <c r="B4561" s="16">
        <v>45959</v>
      </c>
      <c r="C4561" t="s">
        <v>3</v>
      </c>
      <c r="D4561" t="s">
        <v>141</v>
      </c>
      <c r="E4561">
        <v>206</v>
      </c>
      <c r="F4561">
        <v>58</v>
      </c>
      <c r="G4561">
        <v>2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206</v>
      </c>
      <c r="O4561">
        <f t="shared" si="148"/>
        <v>2025</v>
      </c>
      <c r="P4561">
        <f t="shared" si="149"/>
        <v>10</v>
      </c>
      <c r="Q4561" t="s">
        <v>784</v>
      </c>
      <c r="R4561" t="s">
        <v>805</v>
      </c>
    </row>
    <row r="4562" spans="1:18" x14ac:dyDescent="0.3">
      <c r="A4562" t="s">
        <v>627</v>
      </c>
      <c r="B4562" s="16">
        <v>45959</v>
      </c>
      <c r="C4562" t="s">
        <v>3</v>
      </c>
      <c r="D4562" t="s">
        <v>140</v>
      </c>
      <c r="E4562">
        <v>10</v>
      </c>
      <c r="F4562">
        <v>7</v>
      </c>
      <c r="G4562">
        <v>1</v>
      </c>
      <c r="H4562">
        <v>0</v>
      </c>
      <c r="I4562">
        <v>1990</v>
      </c>
      <c r="J4562">
        <v>1</v>
      </c>
      <c r="K4562">
        <v>1990</v>
      </c>
      <c r="L4562">
        <v>1</v>
      </c>
      <c r="M4562">
        <v>2</v>
      </c>
      <c r="N4562">
        <v>10</v>
      </c>
      <c r="O4562">
        <f t="shared" si="148"/>
        <v>2025</v>
      </c>
      <c r="P4562">
        <f t="shared" si="149"/>
        <v>10</v>
      </c>
      <c r="Q4562" t="s">
        <v>784</v>
      </c>
      <c r="R4562" t="s">
        <v>805</v>
      </c>
    </row>
    <row r="4563" spans="1:18" x14ac:dyDescent="0.3">
      <c r="A4563" t="s">
        <v>627</v>
      </c>
      <c r="B4563" s="16">
        <v>45959</v>
      </c>
      <c r="C4563" t="s">
        <v>3</v>
      </c>
      <c r="D4563" t="s">
        <v>139</v>
      </c>
      <c r="E4563">
        <v>2028</v>
      </c>
      <c r="F4563">
        <v>1160</v>
      </c>
      <c r="G4563">
        <v>51</v>
      </c>
      <c r="H4563">
        <v>14</v>
      </c>
      <c r="I4563">
        <v>142339.09</v>
      </c>
      <c r="J4563">
        <v>22</v>
      </c>
      <c r="K4563">
        <v>125960.09</v>
      </c>
      <c r="L4563">
        <v>18</v>
      </c>
      <c r="M4563">
        <v>293</v>
      </c>
      <c r="N4563">
        <v>1613</v>
      </c>
      <c r="O4563">
        <f t="shared" si="148"/>
        <v>2025</v>
      </c>
      <c r="P4563">
        <f t="shared" si="149"/>
        <v>10</v>
      </c>
      <c r="Q4563" t="s">
        <v>784</v>
      </c>
      <c r="R4563" t="s">
        <v>805</v>
      </c>
    </row>
    <row r="4564" spans="1:18" x14ac:dyDescent="0.3">
      <c r="A4564" t="s">
        <v>627</v>
      </c>
      <c r="B4564" s="16">
        <v>45959</v>
      </c>
      <c r="C4564" t="s">
        <v>3</v>
      </c>
      <c r="D4564" t="s">
        <v>138</v>
      </c>
      <c r="E4564">
        <v>39</v>
      </c>
      <c r="F4564">
        <v>10</v>
      </c>
      <c r="G4564">
        <v>2</v>
      </c>
      <c r="H4564">
        <v>0</v>
      </c>
      <c r="I4564">
        <v>17500</v>
      </c>
      <c r="J4564">
        <v>1</v>
      </c>
      <c r="K4564">
        <v>17500</v>
      </c>
      <c r="L4564">
        <v>1</v>
      </c>
      <c r="M4564">
        <v>5</v>
      </c>
      <c r="N4564">
        <v>37</v>
      </c>
      <c r="O4564">
        <f t="shared" si="148"/>
        <v>2025</v>
      </c>
      <c r="P4564">
        <f t="shared" si="149"/>
        <v>10</v>
      </c>
      <c r="Q4564" t="s">
        <v>784</v>
      </c>
      <c r="R4564" t="s">
        <v>805</v>
      </c>
    </row>
    <row r="4565" spans="1:18" x14ac:dyDescent="0.3">
      <c r="A4565" t="s">
        <v>627</v>
      </c>
      <c r="B4565" s="16">
        <v>45959</v>
      </c>
      <c r="C4565" t="s">
        <v>3</v>
      </c>
      <c r="D4565" t="s">
        <v>133</v>
      </c>
      <c r="E4565">
        <v>29</v>
      </c>
      <c r="F4565">
        <v>17</v>
      </c>
      <c r="G4565">
        <v>2</v>
      </c>
      <c r="H4565">
        <v>1</v>
      </c>
      <c r="I4565">
        <v>17500</v>
      </c>
      <c r="J4565">
        <v>1</v>
      </c>
      <c r="K4565">
        <v>17500</v>
      </c>
      <c r="L4565">
        <v>1</v>
      </c>
      <c r="M4565">
        <v>4</v>
      </c>
      <c r="N4565">
        <v>27</v>
      </c>
      <c r="O4565">
        <f t="shared" si="148"/>
        <v>2025</v>
      </c>
      <c r="P4565">
        <f t="shared" si="149"/>
        <v>10</v>
      </c>
      <c r="Q4565" t="s">
        <v>784</v>
      </c>
      <c r="R4565" t="s">
        <v>805</v>
      </c>
    </row>
    <row r="4566" spans="1:18" x14ac:dyDescent="0.3">
      <c r="A4566" t="s">
        <v>627</v>
      </c>
      <c r="B4566" s="16">
        <v>45959</v>
      </c>
      <c r="C4566" t="s">
        <v>3</v>
      </c>
      <c r="D4566" t="s">
        <v>130</v>
      </c>
      <c r="E4566">
        <v>121</v>
      </c>
      <c r="F4566">
        <v>52</v>
      </c>
      <c r="G4566">
        <v>7</v>
      </c>
      <c r="H4566">
        <v>2</v>
      </c>
      <c r="I4566">
        <v>24300</v>
      </c>
      <c r="J4566">
        <v>4</v>
      </c>
      <c r="K4566">
        <v>22310</v>
      </c>
      <c r="L4566">
        <v>4</v>
      </c>
      <c r="M4566">
        <v>39</v>
      </c>
      <c r="N4566">
        <v>111</v>
      </c>
      <c r="O4566">
        <f t="shared" si="148"/>
        <v>2025</v>
      </c>
      <c r="P4566">
        <f t="shared" si="149"/>
        <v>10</v>
      </c>
      <c r="Q4566" t="s">
        <v>784</v>
      </c>
      <c r="R4566" t="s">
        <v>805</v>
      </c>
    </row>
    <row r="4567" spans="1:18" x14ac:dyDescent="0.3">
      <c r="A4567" t="s">
        <v>627</v>
      </c>
      <c r="B4567" s="16">
        <v>45959</v>
      </c>
      <c r="C4567" t="s">
        <v>3</v>
      </c>
      <c r="D4567" t="s">
        <v>128</v>
      </c>
      <c r="E4567">
        <v>2029</v>
      </c>
      <c r="F4567">
        <v>1624</v>
      </c>
      <c r="G4567">
        <v>59</v>
      </c>
      <c r="H4567">
        <v>13</v>
      </c>
      <c r="I4567">
        <v>25302</v>
      </c>
      <c r="J4567">
        <v>8</v>
      </c>
      <c r="K4567">
        <v>25302</v>
      </c>
      <c r="L4567">
        <v>8</v>
      </c>
      <c r="M4567">
        <v>305</v>
      </c>
      <c r="N4567">
        <v>1959</v>
      </c>
      <c r="O4567">
        <f t="shared" si="148"/>
        <v>2025</v>
      </c>
      <c r="P4567">
        <f t="shared" si="149"/>
        <v>10</v>
      </c>
      <c r="Q4567" t="s">
        <v>784</v>
      </c>
      <c r="R4567" t="s">
        <v>805</v>
      </c>
    </row>
    <row r="4568" spans="1:18" x14ac:dyDescent="0.3">
      <c r="A4568" t="s">
        <v>627</v>
      </c>
      <c r="B4568" s="16">
        <v>45959</v>
      </c>
      <c r="C4568" t="s">
        <v>3</v>
      </c>
      <c r="D4568" t="s">
        <v>127</v>
      </c>
      <c r="E4568">
        <v>12964</v>
      </c>
      <c r="F4568">
        <v>7923</v>
      </c>
      <c r="G4568">
        <v>144</v>
      </c>
      <c r="H4568">
        <v>47</v>
      </c>
      <c r="I4568">
        <v>164860</v>
      </c>
      <c r="J4568">
        <v>29</v>
      </c>
      <c r="K4568">
        <v>151235</v>
      </c>
      <c r="L4568">
        <v>27</v>
      </c>
      <c r="M4568">
        <v>400</v>
      </c>
      <c r="N4568">
        <v>12894</v>
      </c>
      <c r="O4568">
        <f t="shared" si="148"/>
        <v>2025</v>
      </c>
      <c r="P4568">
        <f t="shared" si="149"/>
        <v>10</v>
      </c>
      <c r="Q4568" t="s">
        <v>784</v>
      </c>
      <c r="R4568" t="s">
        <v>805</v>
      </c>
    </row>
    <row r="4569" spans="1:18" x14ac:dyDescent="0.3">
      <c r="A4569" t="s">
        <v>627</v>
      </c>
      <c r="B4569" s="16">
        <v>45959</v>
      </c>
      <c r="C4569" t="s">
        <v>3</v>
      </c>
      <c r="D4569" t="s">
        <v>126</v>
      </c>
      <c r="E4569">
        <v>145</v>
      </c>
      <c r="F4569">
        <v>90</v>
      </c>
      <c r="G4569">
        <v>5</v>
      </c>
      <c r="H4569">
        <v>3</v>
      </c>
      <c r="I4569">
        <v>3980</v>
      </c>
      <c r="J4569">
        <v>2</v>
      </c>
      <c r="K4569">
        <v>1990</v>
      </c>
      <c r="L4569">
        <v>1</v>
      </c>
      <c r="M4569">
        <v>17</v>
      </c>
      <c r="N4569">
        <v>139</v>
      </c>
      <c r="O4569">
        <f t="shared" si="148"/>
        <v>2025</v>
      </c>
      <c r="P4569">
        <f t="shared" si="149"/>
        <v>10</v>
      </c>
      <c r="Q4569" t="s">
        <v>784</v>
      </c>
      <c r="R4569" t="s">
        <v>805</v>
      </c>
    </row>
    <row r="4570" spans="1:18" x14ac:dyDescent="0.3">
      <c r="A4570" t="s">
        <v>627</v>
      </c>
      <c r="B4570" s="16">
        <v>45959</v>
      </c>
      <c r="C4570" t="s">
        <v>3</v>
      </c>
      <c r="D4570" t="s">
        <v>125</v>
      </c>
      <c r="E4570">
        <v>2</v>
      </c>
      <c r="F4570">
        <v>1</v>
      </c>
      <c r="G4570">
        <v>0</v>
      </c>
      <c r="H4570">
        <v>0</v>
      </c>
      <c r="I4570">
        <v>6940</v>
      </c>
      <c r="J4570">
        <v>1</v>
      </c>
      <c r="K4570">
        <v>6940</v>
      </c>
      <c r="L4570">
        <v>1</v>
      </c>
      <c r="M4570">
        <v>2</v>
      </c>
      <c r="N4570">
        <v>2</v>
      </c>
      <c r="O4570">
        <f t="shared" si="148"/>
        <v>2025</v>
      </c>
      <c r="P4570">
        <f t="shared" si="149"/>
        <v>10</v>
      </c>
      <c r="Q4570" t="s">
        <v>784</v>
      </c>
      <c r="R4570" t="s">
        <v>805</v>
      </c>
    </row>
    <row r="4571" spans="1:18" x14ac:dyDescent="0.3">
      <c r="A4571" t="s">
        <v>627</v>
      </c>
      <c r="B4571" s="16">
        <v>45959</v>
      </c>
      <c r="C4571" t="s">
        <v>3</v>
      </c>
      <c r="D4571" t="s">
        <v>123</v>
      </c>
      <c r="E4571">
        <v>47</v>
      </c>
      <c r="F4571">
        <v>24</v>
      </c>
      <c r="G4571">
        <v>3</v>
      </c>
      <c r="H4571">
        <v>0</v>
      </c>
      <c r="I4571">
        <v>2990</v>
      </c>
      <c r="J4571">
        <v>1</v>
      </c>
      <c r="K4571">
        <v>2990</v>
      </c>
      <c r="L4571">
        <v>1</v>
      </c>
      <c r="M4571">
        <v>38</v>
      </c>
      <c r="N4571">
        <v>32</v>
      </c>
      <c r="O4571">
        <f t="shared" si="148"/>
        <v>2025</v>
      </c>
      <c r="P4571">
        <f t="shared" si="149"/>
        <v>10</v>
      </c>
      <c r="Q4571" t="s">
        <v>784</v>
      </c>
      <c r="R4571" t="s">
        <v>805</v>
      </c>
    </row>
    <row r="4572" spans="1:18" x14ac:dyDescent="0.3">
      <c r="A4572" t="s">
        <v>627</v>
      </c>
      <c r="B4572" s="16">
        <v>45959</v>
      </c>
      <c r="C4572" t="s">
        <v>3</v>
      </c>
      <c r="D4572" t="s">
        <v>121</v>
      </c>
      <c r="E4572">
        <v>2</v>
      </c>
      <c r="F4572">
        <v>1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2</v>
      </c>
      <c r="O4572">
        <f t="shared" si="148"/>
        <v>2025</v>
      </c>
      <c r="P4572">
        <f t="shared" si="149"/>
        <v>10</v>
      </c>
      <c r="Q4572" t="s">
        <v>784</v>
      </c>
      <c r="R4572" t="s">
        <v>805</v>
      </c>
    </row>
    <row r="4573" spans="1:18" x14ac:dyDescent="0.3">
      <c r="A4573" t="s">
        <v>627</v>
      </c>
      <c r="B4573" s="16">
        <v>45959</v>
      </c>
      <c r="C4573" t="s">
        <v>3</v>
      </c>
      <c r="D4573" t="s">
        <v>119</v>
      </c>
      <c r="E4573">
        <v>299</v>
      </c>
      <c r="F4573">
        <v>75</v>
      </c>
      <c r="G4573">
        <v>15</v>
      </c>
      <c r="H4573">
        <v>5</v>
      </c>
      <c r="I4573">
        <v>98385</v>
      </c>
      <c r="J4573">
        <v>16</v>
      </c>
      <c r="K4573">
        <v>88875</v>
      </c>
      <c r="L4573">
        <v>13</v>
      </c>
      <c r="M4573">
        <v>64</v>
      </c>
      <c r="N4573">
        <v>289</v>
      </c>
      <c r="O4573">
        <f t="shared" si="148"/>
        <v>2025</v>
      </c>
      <c r="P4573">
        <f t="shared" si="149"/>
        <v>10</v>
      </c>
      <c r="Q4573" t="s">
        <v>784</v>
      </c>
      <c r="R4573" t="s">
        <v>805</v>
      </c>
    </row>
    <row r="4574" spans="1:18" x14ac:dyDescent="0.3">
      <c r="A4574" t="s">
        <v>627</v>
      </c>
      <c r="B4574" s="16">
        <v>45959</v>
      </c>
      <c r="C4574" t="s">
        <v>3</v>
      </c>
      <c r="D4574" t="s">
        <v>252</v>
      </c>
      <c r="E4574">
        <v>1</v>
      </c>
      <c r="F4574">
        <v>1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1</v>
      </c>
      <c r="O4574">
        <f t="shared" si="148"/>
        <v>2025</v>
      </c>
      <c r="P4574">
        <f t="shared" si="149"/>
        <v>10</v>
      </c>
      <c r="Q4574" t="s">
        <v>784</v>
      </c>
      <c r="R4574" t="s">
        <v>805</v>
      </c>
    </row>
    <row r="4575" spans="1:18" x14ac:dyDescent="0.3">
      <c r="A4575" t="s">
        <v>627</v>
      </c>
      <c r="B4575" s="16">
        <v>45959</v>
      </c>
      <c r="C4575" t="s">
        <v>3</v>
      </c>
      <c r="D4575" t="s">
        <v>391</v>
      </c>
      <c r="E4575">
        <v>616</v>
      </c>
      <c r="F4575">
        <v>302</v>
      </c>
      <c r="G4575">
        <v>16</v>
      </c>
      <c r="H4575">
        <v>4</v>
      </c>
      <c r="I4575">
        <v>32480</v>
      </c>
      <c r="J4575">
        <v>3</v>
      </c>
      <c r="K4575">
        <v>25490</v>
      </c>
      <c r="L4575">
        <v>2</v>
      </c>
      <c r="M4575">
        <v>75</v>
      </c>
      <c r="N4575">
        <v>613</v>
      </c>
      <c r="O4575">
        <f t="shared" si="148"/>
        <v>2025</v>
      </c>
      <c r="P4575">
        <f t="shared" si="149"/>
        <v>10</v>
      </c>
      <c r="Q4575" t="s">
        <v>784</v>
      </c>
      <c r="R4575" t="s">
        <v>805</v>
      </c>
    </row>
    <row r="4576" spans="1:18" x14ac:dyDescent="0.3">
      <c r="A4576" t="s">
        <v>627</v>
      </c>
      <c r="B4576" s="16">
        <v>45959</v>
      </c>
      <c r="C4576" t="s">
        <v>3</v>
      </c>
      <c r="D4576" t="s">
        <v>114</v>
      </c>
      <c r="E4576">
        <v>161</v>
      </c>
      <c r="F4576">
        <v>63</v>
      </c>
      <c r="G4576">
        <v>5</v>
      </c>
      <c r="H4576">
        <v>3</v>
      </c>
      <c r="I4576">
        <v>0</v>
      </c>
      <c r="J4576">
        <v>0</v>
      </c>
      <c r="K4576">
        <v>0</v>
      </c>
      <c r="L4576">
        <v>0</v>
      </c>
      <c r="M4576">
        <v>12</v>
      </c>
      <c r="N4576">
        <v>157</v>
      </c>
      <c r="O4576">
        <f t="shared" si="148"/>
        <v>2025</v>
      </c>
      <c r="P4576">
        <f t="shared" si="149"/>
        <v>10</v>
      </c>
      <c r="Q4576" t="s">
        <v>784</v>
      </c>
      <c r="R4576" t="s">
        <v>805</v>
      </c>
    </row>
    <row r="4577" spans="1:18" x14ac:dyDescent="0.3">
      <c r="A4577" t="s">
        <v>627</v>
      </c>
      <c r="B4577" s="16">
        <v>45959</v>
      </c>
      <c r="C4577" t="s">
        <v>3</v>
      </c>
      <c r="D4577" t="s">
        <v>113</v>
      </c>
      <c r="E4577">
        <v>115</v>
      </c>
      <c r="F4577">
        <v>53</v>
      </c>
      <c r="G4577">
        <v>6</v>
      </c>
      <c r="H4577">
        <v>2</v>
      </c>
      <c r="I4577">
        <v>3940</v>
      </c>
      <c r="J4577">
        <v>1</v>
      </c>
      <c r="K4577">
        <v>3940</v>
      </c>
      <c r="L4577">
        <v>1</v>
      </c>
      <c r="M4577">
        <v>94</v>
      </c>
      <c r="N4577">
        <v>70</v>
      </c>
      <c r="O4577">
        <f t="shared" si="148"/>
        <v>2025</v>
      </c>
      <c r="P4577">
        <f t="shared" si="149"/>
        <v>10</v>
      </c>
      <c r="Q4577" t="s">
        <v>784</v>
      </c>
      <c r="R4577" t="s">
        <v>805</v>
      </c>
    </row>
    <row r="4578" spans="1:18" x14ac:dyDescent="0.3">
      <c r="A4578" t="s">
        <v>627</v>
      </c>
      <c r="B4578" s="16">
        <v>45959</v>
      </c>
      <c r="C4578" t="s">
        <v>3</v>
      </c>
      <c r="D4578" t="s">
        <v>112</v>
      </c>
      <c r="E4578">
        <v>46</v>
      </c>
      <c r="F4578">
        <v>9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46</v>
      </c>
      <c r="O4578">
        <f t="shared" si="148"/>
        <v>2025</v>
      </c>
      <c r="P4578">
        <f t="shared" si="149"/>
        <v>10</v>
      </c>
      <c r="Q4578" t="s">
        <v>784</v>
      </c>
      <c r="R4578" t="s">
        <v>805</v>
      </c>
    </row>
    <row r="4579" spans="1:18" x14ac:dyDescent="0.3">
      <c r="A4579" t="s">
        <v>627</v>
      </c>
      <c r="B4579" s="16">
        <v>45959</v>
      </c>
      <c r="C4579" t="s">
        <v>3</v>
      </c>
      <c r="D4579" t="s">
        <v>111</v>
      </c>
      <c r="E4579">
        <v>1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1</v>
      </c>
      <c r="O4579">
        <f t="shared" si="148"/>
        <v>2025</v>
      </c>
      <c r="P4579">
        <f t="shared" si="149"/>
        <v>10</v>
      </c>
      <c r="Q4579" t="s">
        <v>784</v>
      </c>
      <c r="R4579" t="s">
        <v>805</v>
      </c>
    </row>
    <row r="4580" spans="1:18" x14ac:dyDescent="0.3">
      <c r="A4580" t="s">
        <v>627</v>
      </c>
      <c r="B4580" s="16">
        <v>45958</v>
      </c>
      <c r="C4580" t="s">
        <v>2</v>
      </c>
      <c r="D4580" t="s">
        <v>4</v>
      </c>
      <c r="E4580">
        <v>291</v>
      </c>
      <c r="F4580">
        <v>95</v>
      </c>
      <c r="G4580">
        <v>4</v>
      </c>
      <c r="H4580">
        <v>1</v>
      </c>
      <c r="I4580">
        <v>16540</v>
      </c>
      <c r="J4580">
        <v>1</v>
      </c>
      <c r="K4580">
        <v>16540</v>
      </c>
      <c r="L4580">
        <v>1</v>
      </c>
      <c r="M4580">
        <v>6</v>
      </c>
      <c r="N4580">
        <v>290</v>
      </c>
      <c r="O4580">
        <f t="shared" si="148"/>
        <v>2025</v>
      </c>
      <c r="P4580">
        <f t="shared" si="149"/>
        <v>10</v>
      </c>
      <c r="Q4580" t="s">
        <v>784</v>
      </c>
      <c r="R4580" t="s">
        <v>805</v>
      </c>
    </row>
    <row r="4581" spans="1:18" x14ac:dyDescent="0.3">
      <c r="A4581" t="s">
        <v>627</v>
      </c>
      <c r="B4581" s="16">
        <v>45958</v>
      </c>
      <c r="C4581" t="s">
        <v>2</v>
      </c>
      <c r="D4581" t="s">
        <v>57</v>
      </c>
      <c r="E4581">
        <v>30779</v>
      </c>
      <c r="F4581">
        <v>18053</v>
      </c>
      <c r="G4581">
        <v>173</v>
      </c>
      <c r="H4581">
        <v>138</v>
      </c>
      <c r="I4581">
        <v>240297</v>
      </c>
      <c r="J4581">
        <v>31</v>
      </c>
      <c r="K4581">
        <v>142352</v>
      </c>
      <c r="L4581">
        <v>24</v>
      </c>
      <c r="M4581">
        <v>1492</v>
      </c>
      <c r="N4581">
        <v>30371</v>
      </c>
      <c r="O4581">
        <f t="shared" si="148"/>
        <v>2025</v>
      </c>
      <c r="P4581">
        <f t="shared" si="149"/>
        <v>10</v>
      </c>
      <c r="Q4581" t="s">
        <v>784</v>
      </c>
      <c r="R4581" t="s">
        <v>805</v>
      </c>
    </row>
    <row r="4582" spans="1:18" x14ac:dyDescent="0.3">
      <c r="A4582" t="s">
        <v>627</v>
      </c>
      <c r="B4582" s="16">
        <v>45958</v>
      </c>
      <c r="C4582" t="s">
        <v>2</v>
      </c>
      <c r="D4582" t="s">
        <v>55</v>
      </c>
      <c r="E4582">
        <v>143</v>
      </c>
      <c r="F4582">
        <v>102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5</v>
      </c>
      <c r="N4582">
        <v>136</v>
      </c>
      <c r="O4582">
        <f t="shared" si="148"/>
        <v>2025</v>
      </c>
      <c r="P4582">
        <f t="shared" si="149"/>
        <v>10</v>
      </c>
      <c r="Q4582" t="s">
        <v>784</v>
      </c>
      <c r="R4582" t="s">
        <v>805</v>
      </c>
    </row>
    <row r="4583" spans="1:18" x14ac:dyDescent="0.3">
      <c r="A4583" t="s">
        <v>627</v>
      </c>
      <c r="B4583" s="16">
        <v>45958</v>
      </c>
      <c r="C4583" t="s">
        <v>3</v>
      </c>
      <c r="D4583" t="s">
        <v>155</v>
      </c>
      <c r="E4583">
        <v>59</v>
      </c>
      <c r="F4583">
        <v>23</v>
      </c>
      <c r="G4583">
        <v>1</v>
      </c>
      <c r="H4583">
        <v>0</v>
      </c>
      <c r="I4583">
        <v>15980</v>
      </c>
      <c r="J4583">
        <v>1</v>
      </c>
      <c r="K4583">
        <v>15980</v>
      </c>
      <c r="L4583">
        <v>1</v>
      </c>
      <c r="M4583">
        <v>2</v>
      </c>
      <c r="N4583">
        <v>59</v>
      </c>
      <c r="O4583">
        <f t="shared" si="148"/>
        <v>2025</v>
      </c>
      <c r="P4583">
        <f t="shared" si="149"/>
        <v>10</v>
      </c>
      <c r="Q4583" t="s">
        <v>784</v>
      </c>
      <c r="R4583" t="s">
        <v>805</v>
      </c>
    </row>
    <row r="4584" spans="1:18" x14ac:dyDescent="0.3">
      <c r="A4584" t="s">
        <v>627</v>
      </c>
      <c r="B4584" s="16">
        <v>45958</v>
      </c>
      <c r="C4584" t="s">
        <v>3</v>
      </c>
      <c r="D4584" t="s">
        <v>153</v>
      </c>
      <c r="E4584">
        <v>384</v>
      </c>
      <c r="F4584">
        <v>63</v>
      </c>
      <c r="G4584">
        <v>36</v>
      </c>
      <c r="H4584">
        <v>3</v>
      </c>
      <c r="I4584">
        <v>208518.07</v>
      </c>
      <c r="J4584">
        <v>36</v>
      </c>
      <c r="K4584">
        <v>193068.07</v>
      </c>
      <c r="L4584">
        <v>33</v>
      </c>
      <c r="M4584">
        <v>110</v>
      </c>
      <c r="N4584">
        <v>373</v>
      </c>
      <c r="O4584">
        <f t="shared" si="148"/>
        <v>2025</v>
      </c>
      <c r="P4584">
        <f t="shared" si="149"/>
        <v>10</v>
      </c>
      <c r="Q4584" t="s">
        <v>784</v>
      </c>
      <c r="R4584" t="s">
        <v>805</v>
      </c>
    </row>
    <row r="4585" spans="1:18" x14ac:dyDescent="0.3">
      <c r="A4585" t="s">
        <v>627</v>
      </c>
      <c r="B4585" s="16">
        <v>45958</v>
      </c>
      <c r="C4585" t="s">
        <v>3</v>
      </c>
      <c r="D4585" t="s">
        <v>152</v>
      </c>
      <c r="E4585">
        <v>8</v>
      </c>
      <c r="F4585">
        <v>2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8</v>
      </c>
      <c r="O4585">
        <f t="shared" si="148"/>
        <v>2025</v>
      </c>
      <c r="P4585">
        <f t="shared" si="149"/>
        <v>10</v>
      </c>
      <c r="Q4585" t="s">
        <v>784</v>
      </c>
      <c r="R4585" t="s">
        <v>805</v>
      </c>
    </row>
    <row r="4586" spans="1:18" x14ac:dyDescent="0.3">
      <c r="A4586" t="s">
        <v>627</v>
      </c>
      <c r="B4586" s="16">
        <v>45958</v>
      </c>
      <c r="C4586" t="s">
        <v>3</v>
      </c>
      <c r="D4586" t="s">
        <v>367</v>
      </c>
      <c r="E4586">
        <v>84</v>
      </c>
      <c r="F4586">
        <v>63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84</v>
      </c>
      <c r="O4586">
        <f t="shared" si="148"/>
        <v>2025</v>
      </c>
      <c r="P4586">
        <f t="shared" si="149"/>
        <v>10</v>
      </c>
      <c r="Q4586" t="s">
        <v>784</v>
      </c>
      <c r="R4586" t="s">
        <v>805</v>
      </c>
    </row>
    <row r="4587" spans="1:18" x14ac:dyDescent="0.3">
      <c r="A4587" t="s">
        <v>627</v>
      </c>
      <c r="B4587" s="16">
        <v>45958</v>
      </c>
      <c r="C4587" t="s">
        <v>3</v>
      </c>
      <c r="D4587" t="s">
        <v>251</v>
      </c>
      <c r="E4587">
        <v>450</v>
      </c>
      <c r="F4587">
        <v>176</v>
      </c>
      <c r="G4587">
        <v>22</v>
      </c>
      <c r="H4587">
        <v>2</v>
      </c>
      <c r="I4587">
        <v>123185</v>
      </c>
      <c r="J4587">
        <v>14</v>
      </c>
      <c r="K4587">
        <v>123185</v>
      </c>
      <c r="L4587">
        <v>14</v>
      </c>
      <c r="M4587">
        <v>86</v>
      </c>
      <c r="N4587">
        <v>400</v>
      </c>
      <c r="O4587">
        <f t="shared" si="148"/>
        <v>2025</v>
      </c>
      <c r="P4587">
        <f t="shared" si="149"/>
        <v>10</v>
      </c>
      <c r="Q4587" t="s">
        <v>784</v>
      </c>
      <c r="R4587" t="s">
        <v>805</v>
      </c>
    </row>
    <row r="4588" spans="1:18" x14ac:dyDescent="0.3">
      <c r="A4588" t="s">
        <v>627</v>
      </c>
      <c r="B4588" s="16">
        <v>45958</v>
      </c>
      <c r="C4588" t="s">
        <v>3</v>
      </c>
      <c r="D4588" t="s">
        <v>143</v>
      </c>
      <c r="E4588">
        <v>1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1</v>
      </c>
      <c r="O4588">
        <f t="shared" si="148"/>
        <v>2025</v>
      </c>
      <c r="P4588">
        <f t="shared" si="149"/>
        <v>10</v>
      </c>
      <c r="Q4588" t="s">
        <v>784</v>
      </c>
      <c r="R4588" t="s">
        <v>805</v>
      </c>
    </row>
    <row r="4589" spans="1:18" x14ac:dyDescent="0.3">
      <c r="A4589" t="s">
        <v>627</v>
      </c>
      <c r="B4589" s="16">
        <v>45958</v>
      </c>
      <c r="C4589" t="s">
        <v>3</v>
      </c>
      <c r="D4589" t="s">
        <v>141</v>
      </c>
      <c r="E4589">
        <v>166</v>
      </c>
      <c r="F4589">
        <v>51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166</v>
      </c>
      <c r="O4589">
        <f t="shared" si="148"/>
        <v>2025</v>
      </c>
      <c r="P4589">
        <f t="shared" si="149"/>
        <v>10</v>
      </c>
      <c r="Q4589" t="s">
        <v>784</v>
      </c>
      <c r="R4589" t="s">
        <v>805</v>
      </c>
    </row>
    <row r="4590" spans="1:18" x14ac:dyDescent="0.3">
      <c r="A4590" t="s">
        <v>627</v>
      </c>
      <c r="B4590" s="16">
        <v>45958</v>
      </c>
      <c r="C4590" t="s">
        <v>3</v>
      </c>
      <c r="D4590" t="s">
        <v>140</v>
      </c>
      <c r="E4590">
        <v>18</v>
      </c>
      <c r="F4590">
        <v>13</v>
      </c>
      <c r="G4590">
        <v>1</v>
      </c>
      <c r="H4590">
        <v>0</v>
      </c>
      <c r="I4590">
        <v>18930</v>
      </c>
      <c r="J4590">
        <v>1</v>
      </c>
      <c r="K4590">
        <v>18930</v>
      </c>
      <c r="L4590">
        <v>1</v>
      </c>
      <c r="M4590">
        <v>2</v>
      </c>
      <c r="N4590">
        <v>18</v>
      </c>
      <c r="O4590">
        <f t="shared" si="148"/>
        <v>2025</v>
      </c>
      <c r="P4590">
        <f t="shared" si="149"/>
        <v>10</v>
      </c>
      <c r="Q4590" t="s">
        <v>784</v>
      </c>
      <c r="R4590" t="s">
        <v>805</v>
      </c>
    </row>
    <row r="4591" spans="1:18" x14ac:dyDescent="0.3">
      <c r="A4591" t="s">
        <v>627</v>
      </c>
      <c r="B4591" s="16">
        <v>45958</v>
      </c>
      <c r="C4591" t="s">
        <v>3</v>
      </c>
      <c r="D4591" t="s">
        <v>139</v>
      </c>
      <c r="E4591">
        <v>1250</v>
      </c>
      <c r="F4591">
        <v>599</v>
      </c>
      <c r="G4591">
        <v>59</v>
      </c>
      <c r="H4591">
        <v>10</v>
      </c>
      <c r="I4591">
        <v>160929.67000000001</v>
      </c>
      <c r="J4591">
        <v>23</v>
      </c>
      <c r="K4591">
        <v>140219.67000000001</v>
      </c>
      <c r="L4591">
        <v>21</v>
      </c>
      <c r="M4591">
        <v>306</v>
      </c>
      <c r="N4591">
        <v>1112</v>
      </c>
      <c r="O4591">
        <f t="shared" si="148"/>
        <v>2025</v>
      </c>
      <c r="P4591">
        <f t="shared" si="149"/>
        <v>10</v>
      </c>
      <c r="Q4591" t="s">
        <v>784</v>
      </c>
      <c r="R4591" t="s">
        <v>805</v>
      </c>
    </row>
    <row r="4592" spans="1:18" x14ac:dyDescent="0.3">
      <c r="A4592" t="s">
        <v>627</v>
      </c>
      <c r="B4592" s="16">
        <v>45958</v>
      </c>
      <c r="C4592" t="s">
        <v>3</v>
      </c>
      <c r="D4592" t="s">
        <v>138</v>
      </c>
      <c r="E4592">
        <v>36</v>
      </c>
      <c r="F4592">
        <v>14</v>
      </c>
      <c r="G4592">
        <v>3</v>
      </c>
      <c r="H4592">
        <v>0</v>
      </c>
      <c r="I4592">
        <v>36120</v>
      </c>
      <c r="J4592">
        <v>5</v>
      </c>
      <c r="K4592">
        <v>28975</v>
      </c>
      <c r="L4592">
        <v>4</v>
      </c>
      <c r="M4592">
        <v>4</v>
      </c>
      <c r="N4592">
        <v>36</v>
      </c>
      <c r="O4592">
        <f t="shared" si="148"/>
        <v>2025</v>
      </c>
      <c r="P4592">
        <f t="shared" si="149"/>
        <v>10</v>
      </c>
      <c r="Q4592" t="s">
        <v>784</v>
      </c>
      <c r="R4592" t="s">
        <v>805</v>
      </c>
    </row>
    <row r="4593" spans="1:18" x14ac:dyDescent="0.3">
      <c r="A4593" t="s">
        <v>627</v>
      </c>
      <c r="B4593" s="16">
        <v>45958</v>
      </c>
      <c r="C4593" t="s">
        <v>3</v>
      </c>
      <c r="D4593" t="s">
        <v>133</v>
      </c>
      <c r="E4593">
        <v>20</v>
      </c>
      <c r="F4593">
        <v>14</v>
      </c>
      <c r="G4593">
        <v>1</v>
      </c>
      <c r="H4593">
        <v>1</v>
      </c>
      <c r="I4593">
        <v>0</v>
      </c>
      <c r="J4593">
        <v>0</v>
      </c>
      <c r="K4593">
        <v>0</v>
      </c>
      <c r="L4593">
        <v>0</v>
      </c>
      <c r="M4593">
        <v>1</v>
      </c>
      <c r="N4593">
        <v>20</v>
      </c>
      <c r="O4593">
        <f t="shared" si="148"/>
        <v>2025</v>
      </c>
      <c r="P4593">
        <f t="shared" si="149"/>
        <v>10</v>
      </c>
      <c r="Q4593" t="s">
        <v>784</v>
      </c>
      <c r="R4593" t="s">
        <v>805</v>
      </c>
    </row>
    <row r="4594" spans="1:18" x14ac:dyDescent="0.3">
      <c r="A4594" t="s">
        <v>627</v>
      </c>
      <c r="B4594" s="16">
        <v>45958</v>
      </c>
      <c r="C4594" t="s">
        <v>3</v>
      </c>
      <c r="D4594" t="s">
        <v>130</v>
      </c>
      <c r="E4594">
        <v>114</v>
      </c>
      <c r="F4594">
        <v>41</v>
      </c>
      <c r="G4594">
        <v>4</v>
      </c>
      <c r="H4594">
        <v>2</v>
      </c>
      <c r="I4594">
        <v>88095</v>
      </c>
      <c r="J4594">
        <v>11</v>
      </c>
      <c r="K4594">
        <v>88095</v>
      </c>
      <c r="L4594">
        <v>11</v>
      </c>
      <c r="M4594">
        <v>45</v>
      </c>
      <c r="N4594">
        <v>102</v>
      </c>
      <c r="O4594">
        <f t="shared" si="148"/>
        <v>2025</v>
      </c>
      <c r="P4594">
        <f t="shared" si="149"/>
        <v>10</v>
      </c>
      <c r="Q4594" t="s">
        <v>784</v>
      </c>
      <c r="R4594" t="s">
        <v>805</v>
      </c>
    </row>
    <row r="4595" spans="1:18" x14ac:dyDescent="0.3">
      <c r="A4595" t="s">
        <v>627</v>
      </c>
      <c r="B4595" s="16">
        <v>45958</v>
      </c>
      <c r="C4595" t="s">
        <v>3</v>
      </c>
      <c r="D4595" t="s">
        <v>128</v>
      </c>
      <c r="E4595">
        <v>2417</v>
      </c>
      <c r="F4595">
        <v>2007</v>
      </c>
      <c r="G4595">
        <v>71</v>
      </c>
      <c r="H4595">
        <v>10</v>
      </c>
      <c r="I4595">
        <v>55645</v>
      </c>
      <c r="J4595">
        <v>10</v>
      </c>
      <c r="K4595">
        <v>39370</v>
      </c>
      <c r="L4595">
        <v>8</v>
      </c>
      <c r="M4595">
        <v>329</v>
      </c>
      <c r="N4595">
        <v>2337</v>
      </c>
      <c r="O4595">
        <f t="shared" si="148"/>
        <v>2025</v>
      </c>
      <c r="P4595">
        <f t="shared" si="149"/>
        <v>10</v>
      </c>
      <c r="Q4595" t="s">
        <v>784</v>
      </c>
      <c r="R4595" t="s">
        <v>805</v>
      </c>
    </row>
    <row r="4596" spans="1:18" x14ac:dyDescent="0.3">
      <c r="A4596" t="s">
        <v>627</v>
      </c>
      <c r="B4596" s="16">
        <v>45958</v>
      </c>
      <c r="C4596" t="s">
        <v>3</v>
      </c>
      <c r="D4596" t="s">
        <v>127</v>
      </c>
      <c r="E4596">
        <v>7161</v>
      </c>
      <c r="F4596">
        <v>3409</v>
      </c>
      <c r="G4596">
        <v>145</v>
      </c>
      <c r="H4596">
        <v>35</v>
      </c>
      <c r="I4596">
        <v>170715</v>
      </c>
      <c r="J4596">
        <v>29</v>
      </c>
      <c r="K4596">
        <v>161095</v>
      </c>
      <c r="L4596">
        <v>26</v>
      </c>
      <c r="M4596">
        <v>446</v>
      </c>
      <c r="N4596">
        <v>7103</v>
      </c>
      <c r="O4596">
        <f t="shared" si="148"/>
        <v>2025</v>
      </c>
      <c r="P4596">
        <f t="shared" si="149"/>
        <v>10</v>
      </c>
      <c r="Q4596" t="s">
        <v>784</v>
      </c>
      <c r="R4596" t="s">
        <v>805</v>
      </c>
    </row>
    <row r="4597" spans="1:18" x14ac:dyDescent="0.3">
      <c r="A4597" t="s">
        <v>627</v>
      </c>
      <c r="B4597" s="16">
        <v>45958</v>
      </c>
      <c r="C4597" t="s">
        <v>3</v>
      </c>
      <c r="D4597" t="s">
        <v>126</v>
      </c>
      <c r="E4597">
        <v>163</v>
      </c>
      <c r="F4597">
        <v>88</v>
      </c>
      <c r="G4597">
        <v>10</v>
      </c>
      <c r="H4597">
        <v>2</v>
      </c>
      <c r="I4597">
        <v>11200</v>
      </c>
      <c r="J4597">
        <v>3</v>
      </c>
      <c r="K4597">
        <v>11200</v>
      </c>
      <c r="L4597">
        <v>3</v>
      </c>
      <c r="M4597">
        <v>9</v>
      </c>
      <c r="N4597">
        <v>163</v>
      </c>
      <c r="O4597">
        <f t="shared" si="148"/>
        <v>2025</v>
      </c>
      <c r="P4597">
        <f t="shared" si="149"/>
        <v>10</v>
      </c>
      <c r="Q4597" t="s">
        <v>784</v>
      </c>
      <c r="R4597" t="s">
        <v>805</v>
      </c>
    </row>
    <row r="4598" spans="1:18" x14ac:dyDescent="0.3">
      <c r="A4598" t="s">
        <v>627</v>
      </c>
      <c r="B4598" s="16">
        <v>45958</v>
      </c>
      <c r="C4598" t="s">
        <v>3</v>
      </c>
      <c r="D4598" t="s">
        <v>125</v>
      </c>
      <c r="E4598">
        <v>1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1</v>
      </c>
      <c r="O4598">
        <f t="shared" si="148"/>
        <v>2025</v>
      </c>
      <c r="P4598">
        <f t="shared" si="149"/>
        <v>10</v>
      </c>
      <c r="Q4598" t="s">
        <v>784</v>
      </c>
      <c r="R4598" t="s">
        <v>805</v>
      </c>
    </row>
    <row r="4599" spans="1:18" x14ac:dyDescent="0.3">
      <c r="A4599" t="s">
        <v>627</v>
      </c>
      <c r="B4599" s="16">
        <v>45958</v>
      </c>
      <c r="C4599" t="s">
        <v>3</v>
      </c>
      <c r="D4599" t="s">
        <v>123</v>
      </c>
      <c r="E4599">
        <v>37</v>
      </c>
      <c r="F4599">
        <v>20</v>
      </c>
      <c r="G4599">
        <v>3</v>
      </c>
      <c r="H4599">
        <v>0</v>
      </c>
      <c r="I4599">
        <v>2150</v>
      </c>
      <c r="J4599">
        <v>1</v>
      </c>
      <c r="K4599">
        <v>2150</v>
      </c>
      <c r="L4599">
        <v>1</v>
      </c>
      <c r="M4599">
        <v>34</v>
      </c>
      <c r="N4599">
        <v>16</v>
      </c>
      <c r="O4599">
        <f t="shared" si="148"/>
        <v>2025</v>
      </c>
      <c r="P4599">
        <f t="shared" si="149"/>
        <v>10</v>
      </c>
      <c r="Q4599" t="s">
        <v>784</v>
      </c>
      <c r="R4599" t="s">
        <v>805</v>
      </c>
    </row>
    <row r="4600" spans="1:18" x14ac:dyDescent="0.3">
      <c r="A4600" t="s">
        <v>627</v>
      </c>
      <c r="B4600" s="16">
        <v>45958</v>
      </c>
      <c r="C4600" t="s">
        <v>3</v>
      </c>
      <c r="D4600" t="s">
        <v>121</v>
      </c>
      <c r="E4600">
        <v>1</v>
      </c>
      <c r="F4600">
        <v>1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1</v>
      </c>
      <c r="N4600">
        <v>0</v>
      </c>
      <c r="O4600">
        <f t="shared" si="148"/>
        <v>2025</v>
      </c>
      <c r="P4600">
        <f t="shared" si="149"/>
        <v>10</v>
      </c>
      <c r="Q4600" t="s">
        <v>784</v>
      </c>
      <c r="R4600" t="s">
        <v>805</v>
      </c>
    </row>
    <row r="4601" spans="1:18" x14ac:dyDescent="0.3">
      <c r="A4601" t="s">
        <v>627</v>
      </c>
      <c r="B4601" s="16">
        <v>45958</v>
      </c>
      <c r="C4601" t="s">
        <v>3</v>
      </c>
      <c r="D4601" t="s">
        <v>119</v>
      </c>
      <c r="E4601">
        <v>303</v>
      </c>
      <c r="F4601">
        <v>76</v>
      </c>
      <c r="G4601">
        <v>21</v>
      </c>
      <c r="H4601">
        <v>9</v>
      </c>
      <c r="I4601">
        <v>141412</v>
      </c>
      <c r="J4601">
        <v>19</v>
      </c>
      <c r="K4601">
        <v>119522</v>
      </c>
      <c r="L4601">
        <v>16</v>
      </c>
      <c r="M4601">
        <v>64</v>
      </c>
      <c r="N4601">
        <v>295</v>
      </c>
      <c r="O4601">
        <f t="shared" si="148"/>
        <v>2025</v>
      </c>
      <c r="P4601">
        <f t="shared" si="149"/>
        <v>10</v>
      </c>
      <c r="Q4601" t="s">
        <v>784</v>
      </c>
      <c r="R4601" t="s">
        <v>805</v>
      </c>
    </row>
    <row r="4602" spans="1:18" x14ac:dyDescent="0.3">
      <c r="A4602" t="s">
        <v>627</v>
      </c>
      <c r="B4602" s="16">
        <v>45958</v>
      </c>
      <c r="C4602" t="s">
        <v>3</v>
      </c>
      <c r="D4602" t="s">
        <v>117</v>
      </c>
      <c r="E4602">
        <v>4</v>
      </c>
      <c r="F4602">
        <v>3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4</v>
      </c>
      <c r="O4602">
        <f t="shared" si="148"/>
        <v>2025</v>
      </c>
      <c r="P4602">
        <f t="shared" si="149"/>
        <v>10</v>
      </c>
      <c r="Q4602" t="s">
        <v>784</v>
      </c>
      <c r="R4602" t="s">
        <v>805</v>
      </c>
    </row>
    <row r="4603" spans="1:18" x14ac:dyDescent="0.3">
      <c r="A4603" t="s">
        <v>627</v>
      </c>
      <c r="B4603" s="16">
        <v>45958</v>
      </c>
      <c r="C4603" t="s">
        <v>3</v>
      </c>
      <c r="D4603" t="s">
        <v>391</v>
      </c>
      <c r="E4603">
        <v>584</v>
      </c>
      <c r="F4603">
        <v>307</v>
      </c>
      <c r="G4603">
        <v>23</v>
      </c>
      <c r="H4603">
        <v>2</v>
      </c>
      <c r="I4603">
        <v>36495</v>
      </c>
      <c r="J4603">
        <v>6</v>
      </c>
      <c r="K4603">
        <v>35005</v>
      </c>
      <c r="L4603">
        <v>5</v>
      </c>
      <c r="M4603">
        <v>74</v>
      </c>
      <c r="N4603">
        <v>577</v>
      </c>
      <c r="O4603">
        <f t="shared" si="148"/>
        <v>2025</v>
      </c>
      <c r="P4603">
        <f t="shared" si="149"/>
        <v>10</v>
      </c>
      <c r="Q4603" t="s">
        <v>784</v>
      </c>
      <c r="R4603" t="s">
        <v>805</v>
      </c>
    </row>
    <row r="4604" spans="1:18" x14ac:dyDescent="0.3">
      <c r="A4604" t="s">
        <v>627</v>
      </c>
      <c r="B4604" s="16">
        <v>45958</v>
      </c>
      <c r="C4604" t="s">
        <v>3</v>
      </c>
      <c r="D4604" t="s">
        <v>114</v>
      </c>
      <c r="E4604">
        <v>184</v>
      </c>
      <c r="F4604">
        <v>83</v>
      </c>
      <c r="G4604">
        <v>6</v>
      </c>
      <c r="H4604">
        <v>4</v>
      </c>
      <c r="I4604">
        <v>6220</v>
      </c>
      <c r="J4604">
        <v>1</v>
      </c>
      <c r="K4604">
        <v>6220</v>
      </c>
      <c r="L4604">
        <v>1</v>
      </c>
      <c r="M4604">
        <v>28</v>
      </c>
      <c r="N4604">
        <v>177</v>
      </c>
      <c r="O4604">
        <f t="shared" si="148"/>
        <v>2025</v>
      </c>
      <c r="P4604">
        <f t="shared" si="149"/>
        <v>10</v>
      </c>
      <c r="Q4604" t="s">
        <v>784</v>
      </c>
      <c r="R4604" t="s">
        <v>805</v>
      </c>
    </row>
    <row r="4605" spans="1:18" x14ac:dyDescent="0.3">
      <c r="A4605" t="s">
        <v>627</v>
      </c>
      <c r="B4605" s="16">
        <v>45958</v>
      </c>
      <c r="C4605" t="s">
        <v>3</v>
      </c>
      <c r="D4605" t="s">
        <v>113</v>
      </c>
      <c r="E4605">
        <v>113</v>
      </c>
      <c r="F4605">
        <v>43</v>
      </c>
      <c r="G4605">
        <v>5</v>
      </c>
      <c r="H4605">
        <v>4</v>
      </c>
      <c r="I4605">
        <v>9210</v>
      </c>
      <c r="J4605">
        <v>2</v>
      </c>
      <c r="K4605">
        <v>6220</v>
      </c>
      <c r="L4605">
        <v>1</v>
      </c>
      <c r="M4605">
        <v>91</v>
      </c>
      <c r="N4605">
        <v>71</v>
      </c>
      <c r="O4605">
        <f t="shared" si="148"/>
        <v>2025</v>
      </c>
      <c r="P4605">
        <f t="shared" si="149"/>
        <v>10</v>
      </c>
      <c r="Q4605" t="s">
        <v>784</v>
      </c>
      <c r="R4605" t="s">
        <v>805</v>
      </c>
    </row>
    <row r="4606" spans="1:18" x14ac:dyDescent="0.3">
      <c r="A4606" t="s">
        <v>627</v>
      </c>
      <c r="B4606" s="16">
        <v>45958</v>
      </c>
      <c r="C4606" t="s">
        <v>3</v>
      </c>
      <c r="D4606" t="s">
        <v>112</v>
      </c>
      <c r="E4606">
        <v>52</v>
      </c>
      <c r="F4606">
        <v>12</v>
      </c>
      <c r="G4606">
        <v>2</v>
      </c>
      <c r="H4606">
        <v>0</v>
      </c>
      <c r="I4606">
        <v>11220</v>
      </c>
      <c r="J4606">
        <v>4</v>
      </c>
      <c r="K4606">
        <v>11220</v>
      </c>
      <c r="L4606">
        <v>4</v>
      </c>
      <c r="M4606">
        <v>0</v>
      </c>
      <c r="N4606">
        <v>52</v>
      </c>
      <c r="O4606">
        <f t="shared" si="148"/>
        <v>2025</v>
      </c>
      <c r="P4606">
        <f t="shared" si="149"/>
        <v>10</v>
      </c>
      <c r="Q4606" t="s">
        <v>784</v>
      </c>
      <c r="R4606" t="s">
        <v>805</v>
      </c>
    </row>
    <row r="4607" spans="1:18" x14ac:dyDescent="0.3">
      <c r="A4607" t="s">
        <v>627</v>
      </c>
      <c r="B4607" s="16">
        <v>45957</v>
      </c>
      <c r="C4607" t="s">
        <v>2</v>
      </c>
      <c r="D4607" t="s">
        <v>4</v>
      </c>
      <c r="E4607">
        <v>327</v>
      </c>
      <c r="F4607">
        <v>103</v>
      </c>
      <c r="G4607">
        <v>6</v>
      </c>
      <c r="H4607">
        <v>0</v>
      </c>
      <c r="I4607">
        <v>30839.46</v>
      </c>
      <c r="J4607">
        <v>4</v>
      </c>
      <c r="K4607">
        <v>30839.46</v>
      </c>
      <c r="L4607">
        <v>4</v>
      </c>
      <c r="M4607">
        <v>9</v>
      </c>
      <c r="N4607">
        <v>319</v>
      </c>
      <c r="O4607">
        <f t="shared" si="148"/>
        <v>2025</v>
      </c>
      <c r="P4607">
        <f t="shared" si="149"/>
        <v>10</v>
      </c>
      <c r="Q4607" t="s">
        <v>784</v>
      </c>
      <c r="R4607" t="s">
        <v>805</v>
      </c>
    </row>
    <row r="4608" spans="1:18" x14ac:dyDescent="0.3">
      <c r="A4608" t="s">
        <v>627</v>
      </c>
      <c r="B4608" s="16">
        <v>45957</v>
      </c>
      <c r="C4608" t="s">
        <v>2</v>
      </c>
      <c r="D4608" t="s">
        <v>57</v>
      </c>
      <c r="E4608">
        <v>28380</v>
      </c>
      <c r="F4608">
        <v>15696</v>
      </c>
      <c r="G4608">
        <v>184</v>
      </c>
      <c r="H4608">
        <v>138</v>
      </c>
      <c r="I4608">
        <v>152674.46</v>
      </c>
      <c r="J4608">
        <v>15</v>
      </c>
      <c r="K4608">
        <v>39944.46</v>
      </c>
      <c r="L4608">
        <v>10</v>
      </c>
      <c r="M4608">
        <v>1692</v>
      </c>
      <c r="N4608">
        <v>27863</v>
      </c>
      <c r="O4608">
        <f t="shared" si="148"/>
        <v>2025</v>
      </c>
      <c r="P4608">
        <f t="shared" si="149"/>
        <v>10</v>
      </c>
      <c r="Q4608" t="s">
        <v>784</v>
      </c>
      <c r="R4608" t="s">
        <v>805</v>
      </c>
    </row>
    <row r="4609" spans="1:18" x14ac:dyDescent="0.3">
      <c r="A4609" t="s">
        <v>627</v>
      </c>
      <c r="B4609" s="16">
        <v>45957</v>
      </c>
      <c r="C4609" t="s">
        <v>2</v>
      </c>
      <c r="D4609" t="s">
        <v>52</v>
      </c>
      <c r="E4609">
        <v>1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1</v>
      </c>
      <c r="N4609">
        <v>0</v>
      </c>
      <c r="O4609">
        <f t="shared" si="148"/>
        <v>2025</v>
      </c>
      <c r="P4609">
        <f t="shared" si="149"/>
        <v>10</v>
      </c>
      <c r="Q4609" t="s">
        <v>784</v>
      </c>
      <c r="R4609" t="s">
        <v>805</v>
      </c>
    </row>
    <row r="4610" spans="1:18" x14ac:dyDescent="0.3">
      <c r="A4610" t="s">
        <v>627</v>
      </c>
      <c r="B4610" s="16">
        <v>45957</v>
      </c>
      <c r="C4610" t="s">
        <v>2</v>
      </c>
      <c r="D4610" t="s">
        <v>55</v>
      </c>
      <c r="E4610">
        <v>1575</v>
      </c>
      <c r="F4610">
        <v>962</v>
      </c>
      <c r="G4610">
        <v>13</v>
      </c>
      <c r="H4610">
        <v>3</v>
      </c>
      <c r="I4610">
        <v>0</v>
      </c>
      <c r="J4610">
        <v>0</v>
      </c>
      <c r="K4610">
        <v>0</v>
      </c>
      <c r="L4610">
        <v>0</v>
      </c>
      <c r="M4610">
        <v>45</v>
      </c>
      <c r="N4610">
        <v>584</v>
      </c>
      <c r="O4610">
        <f t="shared" si="148"/>
        <v>2025</v>
      </c>
      <c r="P4610">
        <f t="shared" si="149"/>
        <v>10</v>
      </c>
      <c r="Q4610" t="s">
        <v>784</v>
      </c>
      <c r="R4610" t="s">
        <v>805</v>
      </c>
    </row>
    <row r="4611" spans="1:18" x14ac:dyDescent="0.3">
      <c r="A4611" t="s">
        <v>627</v>
      </c>
      <c r="B4611" s="16">
        <v>45957</v>
      </c>
      <c r="C4611" t="s">
        <v>3</v>
      </c>
      <c r="D4611" t="s">
        <v>157</v>
      </c>
      <c r="E4611">
        <v>2</v>
      </c>
      <c r="F4611">
        <v>1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f t="shared" si="148"/>
        <v>2025</v>
      </c>
      <c r="P4611">
        <f t="shared" si="149"/>
        <v>10</v>
      </c>
      <c r="Q4611" t="s">
        <v>784</v>
      </c>
      <c r="R4611" t="s">
        <v>805</v>
      </c>
    </row>
    <row r="4612" spans="1:18" x14ac:dyDescent="0.3">
      <c r="A4612" t="s">
        <v>627</v>
      </c>
      <c r="B4612" s="16">
        <v>45957</v>
      </c>
      <c r="C4612" t="s">
        <v>3</v>
      </c>
      <c r="D4612" t="s">
        <v>155</v>
      </c>
      <c r="E4612">
        <v>54</v>
      </c>
      <c r="F4612">
        <v>12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54</v>
      </c>
      <c r="O4612">
        <f t="shared" si="148"/>
        <v>2025</v>
      </c>
      <c r="P4612">
        <f t="shared" si="149"/>
        <v>10</v>
      </c>
      <c r="Q4612" t="s">
        <v>784</v>
      </c>
      <c r="R4612" t="s">
        <v>805</v>
      </c>
    </row>
    <row r="4613" spans="1:18" x14ac:dyDescent="0.3">
      <c r="A4613" t="s">
        <v>627</v>
      </c>
      <c r="B4613" s="16">
        <v>45957</v>
      </c>
      <c r="C4613" t="s">
        <v>3</v>
      </c>
      <c r="D4613" t="s">
        <v>154</v>
      </c>
      <c r="E4613">
        <v>432</v>
      </c>
      <c r="F4613">
        <v>22628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f t="shared" si="148"/>
        <v>2025</v>
      </c>
      <c r="P4613">
        <f t="shared" si="149"/>
        <v>10</v>
      </c>
      <c r="Q4613" t="s">
        <v>784</v>
      </c>
      <c r="R4613" t="s">
        <v>805</v>
      </c>
    </row>
    <row r="4614" spans="1:18" x14ac:dyDescent="0.3">
      <c r="A4614" t="s">
        <v>627</v>
      </c>
      <c r="B4614" s="16">
        <v>45957</v>
      </c>
      <c r="C4614" t="s">
        <v>3</v>
      </c>
      <c r="D4614" t="s">
        <v>153</v>
      </c>
      <c r="E4614">
        <v>404</v>
      </c>
      <c r="F4614">
        <v>73</v>
      </c>
      <c r="G4614">
        <v>32</v>
      </c>
      <c r="H4614">
        <v>2</v>
      </c>
      <c r="I4614">
        <v>183929.46</v>
      </c>
      <c r="J4614">
        <v>28</v>
      </c>
      <c r="K4614">
        <v>155084.46</v>
      </c>
      <c r="L4614">
        <v>27</v>
      </c>
      <c r="M4614">
        <v>92</v>
      </c>
      <c r="N4614">
        <v>390</v>
      </c>
      <c r="O4614">
        <f t="shared" si="148"/>
        <v>2025</v>
      </c>
      <c r="P4614">
        <f t="shared" si="149"/>
        <v>10</v>
      </c>
      <c r="Q4614" t="s">
        <v>784</v>
      </c>
      <c r="R4614" t="s">
        <v>805</v>
      </c>
    </row>
    <row r="4615" spans="1:18" x14ac:dyDescent="0.3">
      <c r="A4615" t="s">
        <v>627</v>
      </c>
      <c r="B4615" s="16">
        <v>45957</v>
      </c>
      <c r="C4615" t="s">
        <v>3</v>
      </c>
      <c r="D4615" t="s">
        <v>152</v>
      </c>
      <c r="E4615">
        <v>15</v>
      </c>
      <c r="F4615">
        <v>3</v>
      </c>
      <c r="G4615">
        <v>0</v>
      </c>
      <c r="H4615">
        <v>1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15</v>
      </c>
      <c r="O4615">
        <f t="shared" si="148"/>
        <v>2025</v>
      </c>
      <c r="P4615">
        <f t="shared" si="149"/>
        <v>10</v>
      </c>
      <c r="Q4615" t="s">
        <v>784</v>
      </c>
      <c r="R4615" t="s">
        <v>805</v>
      </c>
    </row>
    <row r="4616" spans="1:18" x14ac:dyDescent="0.3">
      <c r="A4616" t="s">
        <v>627</v>
      </c>
      <c r="B4616" s="16">
        <v>45957</v>
      </c>
      <c r="C4616" t="s">
        <v>3</v>
      </c>
      <c r="D4616" t="s">
        <v>149</v>
      </c>
      <c r="E4616">
        <v>12</v>
      </c>
      <c r="F4616">
        <v>3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1</v>
      </c>
      <c r="O4616">
        <f t="shared" si="148"/>
        <v>2025</v>
      </c>
      <c r="P4616">
        <f t="shared" si="149"/>
        <v>10</v>
      </c>
      <c r="Q4616" t="s">
        <v>784</v>
      </c>
      <c r="R4616" t="s">
        <v>805</v>
      </c>
    </row>
    <row r="4617" spans="1:18" x14ac:dyDescent="0.3">
      <c r="A4617" t="s">
        <v>627</v>
      </c>
      <c r="B4617" s="16">
        <v>45957</v>
      </c>
      <c r="C4617" t="s">
        <v>3</v>
      </c>
      <c r="D4617" t="s">
        <v>148</v>
      </c>
      <c r="E4617">
        <v>2</v>
      </c>
      <c r="F4617">
        <v>1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2</v>
      </c>
      <c r="N4617">
        <v>0</v>
      </c>
      <c r="O4617">
        <f t="shared" ref="O4617:O4680" si="150">YEAR(B4617)</f>
        <v>2025</v>
      </c>
      <c r="P4617">
        <f t="shared" ref="P4617:P4680" si="151">MONTH(B4617)</f>
        <v>10</v>
      </c>
      <c r="Q4617" t="s">
        <v>784</v>
      </c>
      <c r="R4617" t="s">
        <v>805</v>
      </c>
    </row>
    <row r="4618" spans="1:18" x14ac:dyDescent="0.3">
      <c r="A4618" t="s">
        <v>627</v>
      </c>
      <c r="B4618" s="16">
        <v>45957</v>
      </c>
      <c r="C4618" t="s">
        <v>3</v>
      </c>
      <c r="D4618" t="s">
        <v>367</v>
      </c>
      <c r="E4618">
        <v>90</v>
      </c>
      <c r="F4618">
        <v>69</v>
      </c>
      <c r="G4618">
        <v>3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90</v>
      </c>
      <c r="O4618">
        <f t="shared" si="150"/>
        <v>2025</v>
      </c>
      <c r="P4618">
        <f t="shared" si="151"/>
        <v>10</v>
      </c>
      <c r="Q4618" t="s">
        <v>784</v>
      </c>
      <c r="R4618" t="s">
        <v>805</v>
      </c>
    </row>
    <row r="4619" spans="1:18" x14ac:dyDescent="0.3">
      <c r="A4619" t="s">
        <v>627</v>
      </c>
      <c r="B4619" s="16">
        <v>45957</v>
      </c>
      <c r="C4619" t="s">
        <v>3</v>
      </c>
      <c r="D4619" t="s">
        <v>146</v>
      </c>
      <c r="E4619">
        <v>1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1</v>
      </c>
      <c r="O4619">
        <f t="shared" si="150"/>
        <v>2025</v>
      </c>
      <c r="P4619">
        <f t="shared" si="151"/>
        <v>10</v>
      </c>
      <c r="Q4619" t="s">
        <v>784</v>
      </c>
      <c r="R4619" t="s">
        <v>805</v>
      </c>
    </row>
    <row r="4620" spans="1:18" x14ac:dyDescent="0.3">
      <c r="A4620" t="s">
        <v>627</v>
      </c>
      <c r="B4620" s="16">
        <v>45957</v>
      </c>
      <c r="C4620" t="s">
        <v>3</v>
      </c>
      <c r="D4620" t="s">
        <v>251</v>
      </c>
      <c r="E4620">
        <v>3692</v>
      </c>
      <c r="F4620">
        <v>3100</v>
      </c>
      <c r="G4620">
        <v>17</v>
      </c>
      <c r="H4620">
        <v>8</v>
      </c>
      <c r="I4620">
        <v>83645</v>
      </c>
      <c r="J4620">
        <v>13</v>
      </c>
      <c r="K4620">
        <v>68765</v>
      </c>
      <c r="L4620">
        <v>12</v>
      </c>
      <c r="M4620">
        <v>118</v>
      </c>
      <c r="N4620">
        <v>460</v>
      </c>
      <c r="O4620">
        <f t="shared" si="150"/>
        <v>2025</v>
      </c>
      <c r="P4620">
        <f t="shared" si="151"/>
        <v>10</v>
      </c>
      <c r="Q4620" t="s">
        <v>784</v>
      </c>
      <c r="R4620" t="s">
        <v>805</v>
      </c>
    </row>
    <row r="4621" spans="1:18" x14ac:dyDescent="0.3">
      <c r="A4621" t="s">
        <v>627</v>
      </c>
      <c r="B4621" s="16">
        <v>45957</v>
      </c>
      <c r="C4621" t="s">
        <v>3</v>
      </c>
      <c r="D4621" t="s">
        <v>143</v>
      </c>
      <c r="E4621">
        <v>1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1</v>
      </c>
      <c r="O4621">
        <f t="shared" si="150"/>
        <v>2025</v>
      </c>
      <c r="P4621">
        <f t="shared" si="151"/>
        <v>10</v>
      </c>
      <c r="Q4621" t="s">
        <v>784</v>
      </c>
      <c r="R4621" t="s">
        <v>805</v>
      </c>
    </row>
    <row r="4622" spans="1:18" x14ac:dyDescent="0.3">
      <c r="A4622" t="s">
        <v>627</v>
      </c>
      <c r="B4622" s="16">
        <v>45957</v>
      </c>
      <c r="C4622" t="s">
        <v>3</v>
      </c>
      <c r="D4622" t="s">
        <v>141</v>
      </c>
      <c r="E4622">
        <v>185</v>
      </c>
      <c r="F4622">
        <v>58</v>
      </c>
      <c r="G4622">
        <v>3</v>
      </c>
      <c r="H4622">
        <v>0</v>
      </c>
      <c r="I4622">
        <v>6990</v>
      </c>
      <c r="J4622">
        <v>1</v>
      </c>
      <c r="K4622">
        <v>0</v>
      </c>
      <c r="L4622">
        <v>0</v>
      </c>
      <c r="M4622">
        <v>2</v>
      </c>
      <c r="N4622">
        <v>183</v>
      </c>
      <c r="O4622">
        <f t="shared" si="150"/>
        <v>2025</v>
      </c>
      <c r="P4622">
        <f t="shared" si="151"/>
        <v>10</v>
      </c>
      <c r="Q4622" t="s">
        <v>784</v>
      </c>
      <c r="R4622" t="s">
        <v>805</v>
      </c>
    </row>
    <row r="4623" spans="1:18" x14ac:dyDescent="0.3">
      <c r="A4623" t="s">
        <v>627</v>
      </c>
      <c r="B4623" s="16">
        <v>45957</v>
      </c>
      <c r="C4623" t="s">
        <v>3</v>
      </c>
      <c r="D4623" t="s">
        <v>140</v>
      </c>
      <c r="E4623">
        <v>11</v>
      </c>
      <c r="F4623">
        <v>9</v>
      </c>
      <c r="G4623">
        <v>4</v>
      </c>
      <c r="H4623">
        <v>0</v>
      </c>
      <c r="I4623">
        <v>3990</v>
      </c>
      <c r="J4623">
        <v>1</v>
      </c>
      <c r="K4623">
        <v>3990</v>
      </c>
      <c r="L4623">
        <v>1</v>
      </c>
      <c r="M4623">
        <v>1</v>
      </c>
      <c r="N4623">
        <v>11</v>
      </c>
      <c r="O4623">
        <f t="shared" si="150"/>
        <v>2025</v>
      </c>
      <c r="P4623">
        <f t="shared" si="151"/>
        <v>10</v>
      </c>
      <c r="Q4623" t="s">
        <v>784</v>
      </c>
      <c r="R4623" t="s">
        <v>805</v>
      </c>
    </row>
    <row r="4624" spans="1:18" x14ac:dyDescent="0.3">
      <c r="A4624" t="s">
        <v>627</v>
      </c>
      <c r="B4624" s="16">
        <v>45957</v>
      </c>
      <c r="C4624" t="s">
        <v>3</v>
      </c>
      <c r="D4624" t="s">
        <v>139</v>
      </c>
      <c r="E4624">
        <v>1396</v>
      </c>
      <c r="F4624">
        <v>573</v>
      </c>
      <c r="G4624">
        <v>45</v>
      </c>
      <c r="H4624">
        <v>17</v>
      </c>
      <c r="I4624">
        <v>126435</v>
      </c>
      <c r="J4624">
        <v>18</v>
      </c>
      <c r="K4624">
        <v>90895</v>
      </c>
      <c r="L4624">
        <v>16</v>
      </c>
      <c r="M4624">
        <v>340</v>
      </c>
      <c r="N4624">
        <v>1190</v>
      </c>
      <c r="O4624">
        <f t="shared" si="150"/>
        <v>2025</v>
      </c>
      <c r="P4624">
        <f t="shared" si="151"/>
        <v>10</v>
      </c>
      <c r="Q4624" t="s">
        <v>784</v>
      </c>
      <c r="R4624" t="s">
        <v>805</v>
      </c>
    </row>
    <row r="4625" spans="1:18" x14ac:dyDescent="0.3">
      <c r="A4625" t="s">
        <v>627</v>
      </c>
      <c r="B4625" s="16">
        <v>45957</v>
      </c>
      <c r="C4625" t="s">
        <v>3</v>
      </c>
      <c r="D4625" t="s">
        <v>138</v>
      </c>
      <c r="E4625">
        <v>35</v>
      </c>
      <c r="F4625">
        <v>22</v>
      </c>
      <c r="G4625">
        <v>2</v>
      </c>
      <c r="H4625">
        <v>1</v>
      </c>
      <c r="I4625">
        <v>0</v>
      </c>
      <c r="J4625">
        <v>0</v>
      </c>
      <c r="K4625">
        <v>0</v>
      </c>
      <c r="L4625">
        <v>0</v>
      </c>
      <c r="M4625">
        <v>4</v>
      </c>
      <c r="N4625">
        <v>34</v>
      </c>
      <c r="O4625">
        <f t="shared" si="150"/>
        <v>2025</v>
      </c>
      <c r="P4625">
        <f t="shared" si="151"/>
        <v>10</v>
      </c>
      <c r="Q4625" t="s">
        <v>784</v>
      </c>
      <c r="R4625" t="s">
        <v>805</v>
      </c>
    </row>
    <row r="4626" spans="1:18" x14ac:dyDescent="0.3">
      <c r="A4626" t="s">
        <v>627</v>
      </c>
      <c r="B4626" s="16">
        <v>45957</v>
      </c>
      <c r="C4626" t="s">
        <v>3</v>
      </c>
      <c r="D4626" t="s">
        <v>133</v>
      </c>
      <c r="E4626">
        <v>26</v>
      </c>
      <c r="F4626">
        <v>17</v>
      </c>
      <c r="G4626">
        <v>2</v>
      </c>
      <c r="H4626">
        <v>1</v>
      </c>
      <c r="I4626">
        <v>0</v>
      </c>
      <c r="J4626">
        <v>0</v>
      </c>
      <c r="K4626">
        <v>0</v>
      </c>
      <c r="L4626">
        <v>0</v>
      </c>
      <c r="M4626">
        <v>3</v>
      </c>
      <c r="N4626">
        <v>25</v>
      </c>
      <c r="O4626">
        <f t="shared" si="150"/>
        <v>2025</v>
      </c>
      <c r="P4626">
        <f t="shared" si="151"/>
        <v>10</v>
      </c>
      <c r="Q4626" t="s">
        <v>784</v>
      </c>
      <c r="R4626" t="s">
        <v>805</v>
      </c>
    </row>
    <row r="4627" spans="1:18" x14ac:dyDescent="0.3">
      <c r="A4627" t="s">
        <v>627</v>
      </c>
      <c r="B4627" s="16">
        <v>45957</v>
      </c>
      <c r="C4627" t="s">
        <v>3</v>
      </c>
      <c r="D4627" t="s">
        <v>130</v>
      </c>
      <c r="E4627">
        <v>129</v>
      </c>
      <c r="F4627">
        <v>40</v>
      </c>
      <c r="G4627">
        <v>9</v>
      </c>
      <c r="H4627">
        <v>1</v>
      </c>
      <c r="I4627">
        <v>84370</v>
      </c>
      <c r="J4627">
        <v>7</v>
      </c>
      <c r="K4627">
        <v>42690</v>
      </c>
      <c r="L4627">
        <v>6</v>
      </c>
      <c r="M4627">
        <v>43</v>
      </c>
      <c r="N4627">
        <v>117</v>
      </c>
      <c r="O4627">
        <f t="shared" si="150"/>
        <v>2025</v>
      </c>
      <c r="P4627">
        <f t="shared" si="151"/>
        <v>10</v>
      </c>
      <c r="Q4627" t="s">
        <v>784</v>
      </c>
      <c r="R4627" t="s">
        <v>805</v>
      </c>
    </row>
    <row r="4628" spans="1:18" x14ac:dyDescent="0.3">
      <c r="A4628" t="s">
        <v>627</v>
      </c>
      <c r="B4628" s="16">
        <v>45957</v>
      </c>
      <c r="C4628" t="s">
        <v>3</v>
      </c>
      <c r="D4628" t="s">
        <v>128</v>
      </c>
      <c r="E4628">
        <v>1357</v>
      </c>
      <c r="F4628">
        <v>1032</v>
      </c>
      <c r="G4628">
        <v>51</v>
      </c>
      <c r="H4628">
        <v>10</v>
      </c>
      <c r="I4628">
        <v>30710</v>
      </c>
      <c r="J4628">
        <v>8</v>
      </c>
      <c r="K4628">
        <v>23930</v>
      </c>
      <c r="L4628">
        <v>7</v>
      </c>
      <c r="M4628">
        <v>286</v>
      </c>
      <c r="N4628">
        <v>1290</v>
      </c>
      <c r="O4628">
        <f t="shared" si="150"/>
        <v>2025</v>
      </c>
      <c r="P4628">
        <f t="shared" si="151"/>
        <v>10</v>
      </c>
      <c r="Q4628" t="s">
        <v>784</v>
      </c>
      <c r="R4628" t="s">
        <v>805</v>
      </c>
    </row>
    <row r="4629" spans="1:18" x14ac:dyDescent="0.3">
      <c r="A4629" t="s">
        <v>627</v>
      </c>
      <c r="B4629" s="16">
        <v>45957</v>
      </c>
      <c r="C4629" t="s">
        <v>3</v>
      </c>
      <c r="D4629" t="s">
        <v>127</v>
      </c>
      <c r="E4629">
        <v>7672</v>
      </c>
      <c r="F4629">
        <v>3198</v>
      </c>
      <c r="G4629">
        <v>126</v>
      </c>
      <c r="H4629">
        <v>49</v>
      </c>
      <c r="I4629">
        <v>147280</v>
      </c>
      <c r="J4629">
        <v>21</v>
      </c>
      <c r="K4629">
        <v>86615</v>
      </c>
      <c r="L4629">
        <v>18</v>
      </c>
      <c r="M4629">
        <v>365</v>
      </c>
      <c r="N4629">
        <v>7525</v>
      </c>
      <c r="O4629">
        <f t="shared" si="150"/>
        <v>2025</v>
      </c>
      <c r="P4629">
        <f t="shared" si="151"/>
        <v>10</v>
      </c>
      <c r="Q4629" t="s">
        <v>784</v>
      </c>
      <c r="R4629" t="s">
        <v>805</v>
      </c>
    </row>
    <row r="4630" spans="1:18" x14ac:dyDescent="0.3">
      <c r="A4630" t="s">
        <v>627</v>
      </c>
      <c r="B4630" s="16">
        <v>45957</v>
      </c>
      <c r="C4630" t="s">
        <v>3</v>
      </c>
      <c r="D4630" t="s">
        <v>126</v>
      </c>
      <c r="E4630">
        <v>150</v>
      </c>
      <c r="F4630">
        <v>97</v>
      </c>
      <c r="G4630">
        <v>6</v>
      </c>
      <c r="H4630">
        <v>1</v>
      </c>
      <c r="I4630">
        <v>29540</v>
      </c>
      <c r="J4630">
        <v>2</v>
      </c>
      <c r="K4630">
        <v>990</v>
      </c>
      <c r="L4630">
        <v>1</v>
      </c>
      <c r="M4630">
        <v>16</v>
      </c>
      <c r="N4630">
        <v>144</v>
      </c>
      <c r="O4630">
        <f t="shared" si="150"/>
        <v>2025</v>
      </c>
      <c r="P4630">
        <f t="shared" si="151"/>
        <v>10</v>
      </c>
      <c r="Q4630" t="s">
        <v>784</v>
      </c>
      <c r="R4630" t="s">
        <v>805</v>
      </c>
    </row>
    <row r="4631" spans="1:18" x14ac:dyDescent="0.3">
      <c r="A4631" t="s">
        <v>627</v>
      </c>
      <c r="B4631" s="16">
        <v>45957</v>
      </c>
      <c r="C4631" t="s">
        <v>3</v>
      </c>
      <c r="D4631" t="s">
        <v>125</v>
      </c>
      <c r="E4631">
        <v>1</v>
      </c>
      <c r="F4631">
        <v>1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1</v>
      </c>
      <c r="N4631">
        <v>1</v>
      </c>
      <c r="O4631">
        <f t="shared" si="150"/>
        <v>2025</v>
      </c>
      <c r="P4631">
        <f t="shared" si="151"/>
        <v>10</v>
      </c>
      <c r="Q4631" t="s">
        <v>784</v>
      </c>
      <c r="R4631" t="s">
        <v>805</v>
      </c>
    </row>
    <row r="4632" spans="1:18" x14ac:dyDescent="0.3">
      <c r="A4632" t="s">
        <v>627</v>
      </c>
      <c r="B4632" s="16">
        <v>45957</v>
      </c>
      <c r="C4632" t="s">
        <v>3</v>
      </c>
      <c r="D4632" t="s">
        <v>123</v>
      </c>
      <c r="E4632">
        <v>53</v>
      </c>
      <c r="F4632">
        <v>19</v>
      </c>
      <c r="G4632">
        <v>5</v>
      </c>
      <c r="H4632">
        <v>0</v>
      </c>
      <c r="I4632">
        <v>4900</v>
      </c>
      <c r="J4632">
        <v>1</v>
      </c>
      <c r="K4632">
        <v>4900</v>
      </c>
      <c r="L4632">
        <v>1</v>
      </c>
      <c r="M4632">
        <v>50</v>
      </c>
      <c r="N4632">
        <v>21</v>
      </c>
      <c r="O4632">
        <f t="shared" si="150"/>
        <v>2025</v>
      </c>
      <c r="P4632">
        <f t="shared" si="151"/>
        <v>10</v>
      </c>
      <c r="Q4632" t="s">
        <v>784</v>
      </c>
      <c r="R4632" t="s">
        <v>805</v>
      </c>
    </row>
    <row r="4633" spans="1:18" x14ac:dyDescent="0.3">
      <c r="A4633" t="s">
        <v>627</v>
      </c>
      <c r="B4633" s="16">
        <v>45957</v>
      </c>
      <c r="C4633" t="s">
        <v>3</v>
      </c>
      <c r="D4633" t="s">
        <v>121</v>
      </c>
      <c r="E4633">
        <v>2</v>
      </c>
      <c r="F4633">
        <v>2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2</v>
      </c>
      <c r="O4633">
        <f t="shared" si="150"/>
        <v>2025</v>
      </c>
      <c r="P4633">
        <f t="shared" si="151"/>
        <v>10</v>
      </c>
      <c r="Q4633" t="s">
        <v>784</v>
      </c>
      <c r="R4633" t="s">
        <v>805</v>
      </c>
    </row>
    <row r="4634" spans="1:18" x14ac:dyDescent="0.3">
      <c r="A4634" t="s">
        <v>627</v>
      </c>
      <c r="B4634" s="16">
        <v>45957</v>
      </c>
      <c r="C4634" t="s">
        <v>3</v>
      </c>
      <c r="D4634" t="s">
        <v>119</v>
      </c>
      <c r="E4634">
        <v>279</v>
      </c>
      <c r="F4634">
        <v>57</v>
      </c>
      <c r="G4634">
        <v>14</v>
      </c>
      <c r="H4634">
        <v>3</v>
      </c>
      <c r="I4634">
        <v>121679.46</v>
      </c>
      <c r="J4634">
        <v>15</v>
      </c>
      <c r="K4634">
        <v>97164.46</v>
      </c>
      <c r="L4634">
        <v>12</v>
      </c>
      <c r="M4634">
        <v>50</v>
      </c>
      <c r="N4634">
        <v>272</v>
      </c>
      <c r="O4634">
        <f t="shared" si="150"/>
        <v>2025</v>
      </c>
      <c r="P4634">
        <f t="shared" si="151"/>
        <v>10</v>
      </c>
      <c r="Q4634" t="s">
        <v>784</v>
      </c>
      <c r="R4634" t="s">
        <v>805</v>
      </c>
    </row>
    <row r="4635" spans="1:18" x14ac:dyDescent="0.3">
      <c r="A4635" t="s">
        <v>627</v>
      </c>
      <c r="B4635" s="16">
        <v>45957</v>
      </c>
      <c r="C4635" t="s">
        <v>3</v>
      </c>
      <c r="D4635" t="s">
        <v>117</v>
      </c>
      <c r="E4635">
        <v>5</v>
      </c>
      <c r="F4635">
        <v>5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5</v>
      </c>
      <c r="O4635">
        <f t="shared" si="150"/>
        <v>2025</v>
      </c>
      <c r="P4635">
        <f t="shared" si="151"/>
        <v>10</v>
      </c>
      <c r="Q4635" t="s">
        <v>784</v>
      </c>
      <c r="R4635" t="s">
        <v>805</v>
      </c>
    </row>
    <row r="4636" spans="1:18" x14ac:dyDescent="0.3">
      <c r="A4636" t="s">
        <v>627</v>
      </c>
      <c r="B4636" s="16">
        <v>45957</v>
      </c>
      <c r="C4636" t="s">
        <v>3</v>
      </c>
      <c r="D4636" t="s">
        <v>391</v>
      </c>
      <c r="E4636">
        <v>648</v>
      </c>
      <c r="F4636">
        <v>320</v>
      </c>
      <c r="G4636">
        <v>18</v>
      </c>
      <c r="H4636">
        <v>4</v>
      </c>
      <c r="I4636">
        <v>24850</v>
      </c>
      <c r="J4636">
        <v>5</v>
      </c>
      <c r="K4636">
        <v>24850</v>
      </c>
      <c r="L4636">
        <v>5</v>
      </c>
      <c r="M4636">
        <v>79</v>
      </c>
      <c r="N4636">
        <v>637</v>
      </c>
      <c r="O4636">
        <f t="shared" si="150"/>
        <v>2025</v>
      </c>
      <c r="P4636">
        <f t="shared" si="151"/>
        <v>10</v>
      </c>
      <c r="Q4636" t="s">
        <v>784</v>
      </c>
      <c r="R4636" t="s">
        <v>805</v>
      </c>
    </row>
    <row r="4637" spans="1:18" x14ac:dyDescent="0.3">
      <c r="A4637" t="s">
        <v>627</v>
      </c>
      <c r="B4637" s="16">
        <v>45957</v>
      </c>
      <c r="C4637" t="s">
        <v>3</v>
      </c>
      <c r="D4637" t="s">
        <v>114</v>
      </c>
      <c r="E4637">
        <v>172</v>
      </c>
      <c r="F4637">
        <v>70</v>
      </c>
      <c r="G4637">
        <v>7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14</v>
      </c>
      <c r="N4637">
        <v>170</v>
      </c>
      <c r="O4637">
        <f t="shared" si="150"/>
        <v>2025</v>
      </c>
      <c r="P4637">
        <f t="shared" si="151"/>
        <v>10</v>
      </c>
      <c r="Q4637" t="s">
        <v>784</v>
      </c>
      <c r="R4637" t="s">
        <v>805</v>
      </c>
    </row>
    <row r="4638" spans="1:18" x14ac:dyDescent="0.3">
      <c r="A4638" t="s">
        <v>627</v>
      </c>
      <c r="B4638" s="16">
        <v>45957</v>
      </c>
      <c r="C4638" t="s">
        <v>3</v>
      </c>
      <c r="D4638" t="s">
        <v>113</v>
      </c>
      <c r="E4638">
        <v>113</v>
      </c>
      <c r="F4638">
        <v>41</v>
      </c>
      <c r="G4638">
        <v>2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96</v>
      </c>
      <c r="N4638">
        <v>65</v>
      </c>
      <c r="O4638">
        <f t="shared" si="150"/>
        <v>2025</v>
      </c>
      <c r="P4638">
        <f t="shared" si="151"/>
        <v>10</v>
      </c>
      <c r="Q4638" t="s">
        <v>784</v>
      </c>
      <c r="R4638" t="s">
        <v>805</v>
      </c>
    </row>
    <row r="4639" spans="1:18" x14ac:dyDescent="0.3">
      <c r="A4639" t="s">
        <v>627</v>
      </c>
      <c r="B4639" s="16">
        <v>45957</v>
      </c>
      <c r="C4639" t="s">
        <v>3</v>
      </c>
      <c r="D4639" t="s">
        <v>112</v>
      </c>
      <c r="E4639">
        <v>38</v>
      </c>
      <c r="F4639">
        <v>8</v>
      </c>
      <c r="G4639">
        <v>1</v>
      </c>
      <c r="H4639">
        <v>0</v>
      </c>
      <c r="I4639">
        <v>11840</v>
      </c>
      <c r="J4639">
        <v>2</v>
      </c>
      <c r="K4639">
        <v>11840</v>
      </c>
      <c r="L4639">
        <v>2</v>
      </c>
      <c r="M4639">
        <v>1</v>
      </c>
      <c r="N4639">
        <v>38</v>
      </c>
      <c r="O4639">
        <f t="shared" si="150"/>
        <v>2025</v>
      </c>
      <c r="P4639">
        <f t="shared" si="151"/>
        <v>10</v>
      </c>
      <c r="Q4639" t="s">
        <v>784</v>
      </c>
      <c r="R4639" t="s">
        <v>805</v>
      </c>
    </row>
    <row r="4640" spans="1:18" x14ac:dyDescent="0.3">
      <c r="A4640" t="s">
        <v>627</v>
      </c>
      <c r="B4640" s="16">
        <v>45957</v>
      </c>
      <c r="C4640" t="s">
        <v>3</v>
      </c>
      <c r="D4640" t="s">
        <v>111</v>
      </c>
      <c r="E4640">
        <v>1</v>
      </c>
      <c r="F4640">
        <v>1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1</v>
      </c>
      <c r="O4640">
        <f t="shared" si="150"/>
        <v>2025</v>
      </c>
      <c r="P4640">
        <f t="shared" si="151"/>
        <v>10</v>
      </c>
      <c r="Q4640" t="s">
        <v>784</v>
      </c>
      <c r="R4640" t="s">
        <v>805</v>
      </c>
    </row>
    <row r="4641" spans="1:18" x14ac:dyDescent="0.3">
      <c r="A4641" t="s">
        <v>627</v>
      </c>
      <c r="B4641" s="16">
        <v>45956</v>
      </c>
      <c r="C4641" t="s">
        <v>2</v>
      </c>
      <c r="D4641" t="s">
        <v>57</v>
      </c>
      <c r="E4641">
        <v>29581</v>
      </c>
      <c r="F4641">
        <v>17019</v>
      </c>
      <c r="G4641">
        <v>189</v>
      </c>
      <c r="H4641">
        <v>161</v>
      </c>
      <c r="I4641">
        <v>95990</v>
      </c>
      <c r="J4641">
        <v>20</v>
      </c>
      <c r="K4641">
        <v>63650</v>
      </c>
      <c r="L4641">
        <v>16</v>
      </c>
      <c r="M4641">
        <v>1779</v>
      </c>
      <c r="N4641">
        <v>29072</v>
      </c>
      <c r="O4641">
        <f t="shared" ref="O4641:O4673" si="152">YEAR(B4641)</f>
        <v>2025</v>
      </c>
      <c r="P4641">
        <f t="shared" ref="P4641:P4673" si="153">MONTH(B4641)</f>
        <v>10</v>
      </c>
      <c r="Q4641" t="s">
        <v>784</v>
      </c>
      <c r="R4641" t="s">
        <v>805</v>
      </c>
    </row>
    <row r="4642" spans="1:18" x14ac:dyDescent="0.3">
      <c r="A4642" t="s">
        <v>627</v>
      </c>
      <c r="B4642" s="16">
        <v>45956</v>
      </c>
      <c r="C4642" t="s">
        <v>3</v>
      </c>
      <c r="D4642" t="s">
        <v>127</v>
      </c>
      <c r="E4642">
        <v>6370</v>
      </c>
      <c r="F4642">
        <v>2441</v>
      </c>
      <c r="G4642">
        <v>156</v>
      </c>
      <c r="H4642">
        <v>48</v>
      </c>
      <c r="I4642">
        <v>118239.37</v>
      </c>
      <c r="J4642">
        <v>26</v>
      </c>
      <c r="K4642">
        <v>96559.37</v>
      </c>
      <c r="L4642">
        <v>23</v>
      </c>
      <c r="M4642">
        <v>445</v>
      </c>
      <c r="N4642">
        <v>6354</v>
      </c>
      <c r="O4642">
        <f t="shared" si="152"/>
        <v>2025</v>
      </c>
      <c r="P4642">
        <f t="shared" si="153"/>
        <v>10</v>
      </c>
      <c r="Q4642" t="s">
        <v>784</v>
      </c>
      <c r="R4642" t="s">
        <v>805</v>
      </c>
    </row>
    <row r="4643" spans="1:18" x14ac:dyDescent="0.3">
      <c r="A4643" t="s">
        <v>627</v>
      </c>
      <c r="B4643" s="16">
        <v>45956</v>
      </c>
      <c r="C4643" t="s">
        <v>3</v>
      </c>
      <c r="D4643" t="s">
        <v>128</v>
      </c>
      <c r="E4643">
        <v>1197</v>
      </c>
      <c r="F4643">
        <v>835</v>
      </c>
      <c r="G4643">
        <v>52</v>
      </c>
      <c r="H4643">
        <v>16</v>
      </c>
      <c r="I4643">
        <v>23850</v>
      </c>
      <c r="J4643">
        <v>6</v>
      </c>
      <c r="K4643">
        <v>23850</v>
      </c>
      <c r="L4643">
        <v>6</v>
      </c>
      <c r="M4643">
        <v>261</v>
      </c>
      <c r="N4643">
        <v>1131</v>
      </c>
      <c r="O4643">
        <f t="shared" si="152"/>
        <v>2025</v>
      </c>
      <c r="P4643">
        <f t="shared" si="153"/>
        <v>10</v>
      </c>
      <c r="Q4643" t="s">
        <v>784</v>
      </c>
      <c r="R4643" t="s">
        <v>805</v>
      </c>
    </row>
    <row r="4644" spans="1:18" x14ac:dyDescent="0.3">
      <c r="A4644" t="s">
        <v>627</v>
      </c>
      <c r="B4644" s="16">
        <v>45956</v>
      </c>
      <c r="C4644" t="s">
        <v>3</v>
      </c>
      <c r="D4644" t="s">
        <v>139</v>
      </c>
      <c r="E4644">
        <v>1091</v>
      </c>
      <c r="F4644">
        <v>409</v>
      </c>
      <c r="G4644">
        <v>53</v>
      </c>
      <c r="H4644">
        <v>17</v>
      </c>
      <c r="I4644">
        <v>79445</v>
      </c>
      <c r="J4644">
        <v>17</v>
      </c>
      <c r="K4644">
        <v>76455</v>
      </c>
      <c r="L4644">
        <v>16</v>
      </c>
      <c r="M4644">
        <v>347</v>
      </c>
      <c r="N4644">
        <v>1014</v>
      </c>
      <c r="O4644">
        <f t="shared" si="152"/>
        <v>2025</v>
      </c>
      <c r="P4644">
        <f t="shared" si="153"/>
        <v>10</v>
      </c>
      <c r="Q4644" t="s">
        <v>784</v>
      </c>
      <c r="R4644" t="s">
        <v>805</v>
      </c>
    </row>
    <row r="4645" spans="1:18" x14ac:dyDescent="0.3">
      <c r="A4645" t="s">
        <v>627</v>
      </c>
      <c r="B4645" s="16">
        <v>45956</v>
      </c>
      <c r="C4645" t="s">
        <v>3</v>
      </c>
      <c r="D4645" t="s">
        <v>391</v>
      </c>
      <c r="E4645">
        <v>664</v>
      </c>
      <c r="F4645">
        <v>339</v>
      </c>
      <c r="G4645">
        <v>19</v>
      </c>
      <c r="H4645">
        <v>3</v>
      </c>
      <c r="I4645">
        <v>36120</v>
      </c>
      <c r="J4645">
        <v>6</v>
      </c>
      <c r="K4645">
        <v>36120</v>
      </c>
      <c r="L4645">
        <v>6</v>
      </c>
      <c r="M4645">
        <v>88</v>
      </c>
      <c r="N4645">
        <v>659</v>
      </c>
      <c r="O4645">
        <f t="shared" si="152"/>
        <v>2025</v>
      </c>
      <c r="P4645">
        <f t="shared" si="153"/>
        <v>10</v>
      </c>
      <c r="Q4645" t="s">
        <v>784</v>
      </c>
      <c r="R4645" t="s">
        <v>805</v>
      </c>
    </row>
    <row r="4646" spans="1:18" x14ac:dyDescent="0.3">
      <c r="A4646" t="s">
        <v>627</v>
      </c>
      <c r="B4646" s="16">
        <v>45956</v>
      </c>
      <c r="C4646" t="s">
        <v>3</v>
      </c>
      <c r="D4646" t="s">
        <v>251</v>
      </c>
      <c r="E4646">
        <v>465</v>
      </c>
      <c r="F4646">
        <v>192</v>
      </c>
      <c r="G4646">
        <v>17</v>
      </c>
      <c r="H4646">
        <v>4</v>
      </c>
      <c r="I4646">
        <v>62297.39</v>
      </c>
      <c r="J4646">
        <v>11</v>
      </c>
      <c r="K4646">
        <v>59307.39</v>
      </c>
      <c r="L4646">
        <v>10</v>
      </c>
      <c r="M4646">
        <v>106</v>
      </c>
      <c r="N4646">
        <v>413</v>
      </c>
      <c r="O4646">
        <f t="shared" si="152"/>
        <v>2025</v>
      </c>
      <c r="P4646">
        <f t="shared" si="153"/>
        <v>10</v>
      </c>
      <c r="Q4646" t="s">
        <v>784</v>
      </c>
      <c r="R4646" t="s">
        <v>805</v>
      </c>
    </row>
    <row r="4647" spans="1:18" x14ac:dyDescent="0.3">
      <c r="A4647" t="s">
        <v>627</v>
      </c>
      <c r="B4647" s="16">
        <v>45956</v>
      </c>
      <c r="C4647" t="s">
        <v>3</v>
      </c>
      <c r="D4647" t="s">
        <v>153</v>
      </c>
      <c r="E4647">
        <v>458</v>
      </c>
      <c r="F4647">
        <v>78</v>
      </c>
      <c r="G4647">
        <v>40</v>
      </c>
      <c r="H4647">
        <v>5</v>
      </c>
      <c r="I4647">
        <v>203940.83</v>
      </c>
      <c r="J4647">
        <v>40</v>
      </c>
      <c r="K4647">
        <v>185590.83</v>
      </c>
      <c r="L4647">
        <v>39</v>
      </c>
      <c r="M4647">
        <v>128</v>
      </c>
      <c r="N4647">
        <v>437</v>
      </c>
      <c r="O4647">
        <f t="shared" si="152"/>
        <v>2025</v>
      </c>
      <c r="P4647">
        <f t="shared" si="153"/>
        <v>10</v>
      </c>
      <c r="Q4647" t="s">
        <v>784</v>
      </c>
      <c r="R4647" t="s">
        <v>805</v>
      </c>
    </row>
    <row r="4648" spans="1:18" x14ac:dyDescent="0.3">
      <c r="A4648" t="s">
        <v>627</v>
      </c>
      <c r="B4648" s="16">
        <v>45956</v>
      </c>
      <c r="C4648" t="s">
        <v>2</v>
      </c>
      <c r="D4648" t="s">
        <v>4</v>
      </c>
      <c r="E4648">
        <v>309</v>
      </c>
      <c r="F4648">
        <v>82</v>
      </c>
      <c r="G4648">
        <v>5</v>
      </c>
      <c r="H4648">
        <v>2</v>
      </c>
      <c r="I4648">
        <v>19415</v>
      </c>
      <c r="J4648">
        <v>2</v>
      </c>
      <c r="K4648">
        <v>19415</v>
      </c>
      <c r="L4648">
        <v>2</v>
      </c>
      <c r="M4648">
        <v>6</v>
      </c>
      <c r="N4648">
        <v>308</v>
      </c>
      <c r="O4648">
        <f t="shared" si="152"/>
        <v>2025</v>
      </c>
      <c r="P4648">
        <f t="shared" si="153"/>
        <v>10</v>
      </c>
      <c r="Q4648" t="s">
        <v>784</v>
      </c>
      <c r="R4648" t="s">
        <v>805</v>
      </c>
    </row>
    <row r="4649" spans="1:18" x14ac:dyDescent="0.3">
      <c r="A4649" t="s">
        <v>627</v>
      </c>
      <c r="B4649" s="16">
        <v>45956</v>
      </c>
      <c r="C4649" t="s">
        <v>3</v>
      </c>
      <c r="D4649" t="s">
        <v>119</v>
      </c>
      <c r="E4649">
        <v>303</v>
      </c>
      <c r="F4649">
        <v>53</v>
      </c>
      <c r="G4649">
        <v>21</v>
      </c>
      <c r="H4649">
        <v>10</v>
      </c>
      <c r="I4649">
        <v>57415</v>
      </c>
      <c r="J4649">
        <v>10</v>
      </c>
      <c r="K4649">
        <v>54425</v>
      </c>
      <c r="L4649">
        <v>9</v>
      </c>
      <c r="M4649">
        <v>70</v>
      </c>
      <c r="N4649">
        <v>293</v>
      </c>
      <c r="O4649">
        <f t="shared" si="152"/>
        <v>2025</v>
      </c>
      <c r="P4649">
        <f t="shared" si="153"/>
        <v>10</v>
      </c>
      <c r="Q4649" t="s">
        <v>784</v>
      </c>
      <c r="R4649" t="s">
        <v>805</v>
      </c>
    </row>
    <row r="4650" spans="1:18" x14ac:dyDescent="0.3">
      <c r="A4650" t="s">
        <v>627</v>
      </c>
      <c r="B4650" s="16">
        <v>45956</v>
      </c>
      <c r="C4650" t="s">
        <v>3</v>
      </c>
      <c r="D4650" t="s">
        <v>141</v>
      </c>
      <c r="E4650">
        <v>224</v>
      </c>
      <c r="F4650">
        <v>69</v>
      </c>
      <c r="G4650">
        <v>3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</v>
      </c>
      <c r="N4650">
        <v>220</v>
      </c>
      <c r="O4650">
        <f t="shared" si="152"/>
        <v>2025</v>
      </c>
      <c r="P4650">
        <f t="shared" si="153"/>
        <v>10</v>
      </c>
      <c r="Q4650" t="s">
        <v>784</v>
      </c>
      <c r="R4650" t="s">
        <v>805</v>
      </c>
    </row>
    <row r="4651" spans="1:18" x14ac:dyDescent="0.3">
      <c r="A4651" t="s">
        <v>627</v>
      </c>
      <c r="B4651" s="16">
        <v>45956</v>
      </c>
      <c r="C4651" t="s">
        <v>3</v>
      </c>
      <c r="D4651" t="s">
        <v>130</v>
      </c>
      <c r="E4651">
        <v>178</v>
      </c>
      <c r="F4651">
        <v>46</v>
      </c>
      <c r="G4651">
        <v>6</v>
      </c>
      <c r="H4651">
        <v>2</v>
      </c>
      <c r="I4651">
        <v>26935</v>
      </c>
      <c r="J4651">
        <v>6</v>
      </c>
      <c r="K4651">
        <v>26935</v>
      </c>
      <c r="L4651">
        <v>6</v>
      </c>
      <c r="M4651">
        <v>67</v>
      </c>
      <c r="N4651">
        <v>154</v>
      </c>
      <c r="O4651">
        <f t="shared" si="152"/>
        <v>2025</v>
      </c>
      <c r="P4651">
        <f t="shared" si="153"/>
        <v>10</v>
      </c>
      <c r="Q4651" t="s">
        <v>784</v>
      </c>
      <c r="R4651" t="s">
        <v>805</v>
      </c>
    </row>
    <row r="4652" spans="1:18" x14ac:dyDescent="0.3">
      <c r="A4652" t="s">
        <v>627</v>
      </c>
      <c r="B4652" s="16">
        <v>45956</v>
      </c>
      <c r="C4652" t="s">
        <v>3</v>
      </c>
      <c r="D4652" t="s">
        <v>114</v>
      </c>
      <c r="E4652">
        <v>159</v>
      </c>
      <c r="F4652">
        <v>68</v>
      </c>
      <c r="G4652">
        <v>9</v>
      </c>
      <c r="H4652">
        <v>1</v>
      </c>
      <c r="I4652">
        <v>3990</v>
      </c>
      <c r="J4652">
        <v>1</v>
      </c>
      <c r="K4652">
        <v>3990</v>
      </c>
      <c r="L4652">
        <v>1</v>
      </c>
      <c r="M4652">
        <v>13</v>
      </c>
      <c r="N4652">
        <v>154</v>
      </c>
      <c r="O4652">
        <f t="shared" si="152"/>
        <v>2025</v>
      </c>
      <c r="P4652">
        <f t="shared" si="153"/>
        <v>10</v>
      </c>
      <c r="Q4652" t="s">
        <v>784</v>
      </c>
      <c r="R4652" t="s">
        <v>805</v>
      </c>
    </row>
    <row r="4653" spans="1:18" x14ac:dyDescent="0.3">
      <c r="A4653" t="s">
        <v>627</v>
      </c>
      <c r="B4653" s="16">
        <v>45956</v>
      </c>
      <c r="C4653" t="s">
        <v>3</v>
      </c>
      <c r="D4653" t="s">
        <v>126</v>
      </c>
      <c r="E4653">
        <v>149</v>
      </c>
      <c r="F4653">
        <v>86</v>
      </c>
      <c r="G4653">
        <v>5</v>
      </c>
      <c r="H4653">
        <v>2</v>
      </c>
      <c r="I4653">
        <v>0</v>
      </c>
      <c r="J4653">
        <v>0</v>
      </c>
      <c r="K4653">
        <v>0</v>
      </c>
      <c r="L4653">
        <v>0</v>
      </c>
      <c r="M4653">
        <v>17</v>
      </c>
      <c r="N4653">
        <v>147</v>
      </c>
      <c r="O4653">
        <f t="shared" si="152"/>
        <v>2025</v>
      </c>
      <c r="P4653">
        <f t="shared" si="153"/>
        <v>10</v>
      </c>
      <c r="Q4653" t="s">
        <v>784</v>
      </c>
      <c r="R4653" t="s">
        <v>805</v>
      </c>
    </row>
    <row r="4654" spans="1:18" x14ac:dyDescent="0.3">
      <c r="A4654" t="s">
        <v>627</v>
      </c>
      <c r="B4654" s="16">
        <v>45956</v>
      </c>
      <c r="C4654" t="s">
        <v>2</v>
      </c>
      <c r="D4654" t="s">
        <v>55</v>
      </c>
      <c r="E4654">
        <v>140</v>
      </c>
      <c r="F4654">
        <v>100</v>
      </c>
      <c r="G4654">
        <v>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3</v>
      </c>
      <c r="N4654">
        <v>129</v>
      </c>
      <c r="O4654">
        <f t="shared" si="152"/>
        <v>2025</v>
      </c>
      <c r="P4654">
        <f t="shared" si="153"/>
        <v>10</v>
      </c>
      <c r="Q4654" t="s">
        <v>784</v>
      </c>
      <c r="R4654" t="s">
        <v>805</v>
      </c>
    </row>
    <row r="4655" spans="1:18" x14ac:dyDescent="0.3">
      <c r="A4655" t="s">
        <v>627</v>
      </c>
      <c r="B4655" s="16">
        <v>45956</v>
      </c>
      <c r="C4655" t="s">
        <v>3</v>
      </c>
      <c r="D4655" t="s">
        <v>113</v>
      </c>
      <c r="E4655">
        <v>137</v>
      </c>
      <c r="F4655">
        <v>58</v>
      </c>
      <c r="G4655">
        <v>5</v>
      </c>
      <c r="H4655">
        <v>2</v>
      </c>
      <c r="I4655">
        <v>8375</v>
      </c>
      <c r="J4655">
        <v>1</v>
      </c>
      <c r="K4655">
        <v>8375</v>
      </c>
      <c r="L4655">
        <v>1</v>
      </c>
      <c r="M4655">
        <v>108</v>
      </c>
      <c r="N4655">
        <v>92</v>
      </c>
      <c r="O4655">
        <f t="shared" si="152"/>
        <v>2025</v>
      </c>
      <c r="P4655">
        <f t="shared" si="153"/>
        <v>10</v>
      </c>
      <c r="Q4655" t="s">
        <v>784</v>
      </c>
      <c r="R4655" t="s">
        <v>805</v>
      </c>
    </row>
    <row r="4656" spans="1:18" x14ac:dyDescent="0.3">
      <c r="A4656" t="s">
        <v>627</v>
      </c>
      <c r="B4656" s="16">
        <v>45956</v>
      </c>
      <c r="C4656" t="s">
        <v>3</v>
      </c>
      <c r="D4656" t="s">
        <v>367</v>
      </c>
      <c r="E4656">
        <v>136</v>
      </c>
      <c r="F4656">
        <v>103</v>
      </c>
      <c r="G4656">
        <v>3</v>
      </c>
      <c r="H4656">
        <v>0</v>
      </c>
      <c r="I4656">
        <v>4990</v>
      </c>
      <c r="J4656">
        <v>2</v>
      </c>
      <c r="K4656">
        <v>2900</v>
      </c>
      <c r="L4656">
        <v>1</v>
      </c>
      <c r="M4656">
        <v>0</v>
      </c>
      <c r="N4656">
        <v>136</v>
      </c>
      <c r="O4656">
        <f t="shared" si="152"/>
        <v>2025</v>
      </c>
      <c r="P4656">
        <f t="shared" si="153"/>
        <v>10</v>
      </c>
      <c r="Q4656" t="s">
        <v>784</v>
      </c>
      <c r="R4656" t="s">
        <v>805</v>
      </c>
    </row>
    <row r="4657" spans="1:18" x14ac:dyDescent="0.3">
      <c r="A4657" t="s">
        <v>627</v>
      </c>
      <c r="B4657" s="16">
        <v>45956</v>
      </c>
      <c r="C4657" t="s">
        <v>3</v>
      </c>
      <c r="D4657" t="s">
        <v>155</v>
      </c>
      <c r="E4657">
        <v>78</v>
      </c>
      <c r="F4657">
        <v>24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78</v>
      </c>
      <c r="O4657">
        <f t="shared" si="152"/>
        <v>2025</v>
      </c>
      <c r="P4657">
        <f t="shared" si="153"/>
        <v>10</v>
      </c>
      <c r="Q4657" t="s">
        <v>784</v>
      </c>
      <c r="R4657" t="s">
        <v>805</v>
      </c>
    </row>
    <row r="4658" spans="1:18" x14ac:dyDescent="0.3">
      <c r="A4658" t="s">
        <v>627</v>
      </c>
      <c r="B4658" s="16">
        <v>45956</v>
      </c>
      <c r="C4658" t="s">
        <v>3</v>
      </c>
      <c r="D4658" t="s">
        <v>154</v>
      </c>
      <c r="E4658">
        <v>66</v>
      </c>
      <c r="F4658">
        <v>66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f t="shared" si="152"/>
        <v>2025</v>
      </c>
      <c r="P4658">
        <f t="shared" si="153"/>
        <v>10</v>
      </c>
      <c r="Q4658" t="s">
        <v>784</v>
      </c>
      <c r="R4658" t="s">
        <v>805</v>
      </c>
    </row>
    <row r="4659" spans="1:18" x14ac:dyDescent="0.3">
      <c r="A4659" t="s">
        <v>627</v>
      </c>
      <c r="B4659" s="16">
        <v>45956</v>
      </c>
      <c r="C4659" t="s">
        <v>3</v>
      </c>
      <c r="D4659" t="s">
        <v>112</v>
      </c>
      <c r="E4659">
        <v>46</v>
      </c>
      <c r="F4659">
        <v>9</v>
      </c>
      <c r="G4659">
        <v>2</v>
      </c>
      <c r="H4659">
        <v>0</v>
      </c>
      <c r="I4659">
        <v>3490</v>
      </c>
      <c r="J4659">
        <v>1</v>
      </c>
      <c r="K4659">
        <v>3490</v>
      </c>
      <c r="L4659">
        <v>1</v>
      </c>
      <c r="M4659">
        <v>1</v>
      </c>
      <c r="N4659">
        <v>46</v>
      </c>
      <c r="O4659">
        <f t="shared" si="152"/>
        <v>2025</v>
      </c>
      <c r="P4659">
        <f t="shared" si="153"/>
        <v>10</v>
      </c>
      <c r="Q4659" t="s">
        <v>784</v>
      </c>
      <c r="R4659" t="s">
        <v>805</v>
      </c>
    </row>
    <row r="4660" spans="1:18" x14ac:dyDescent="0.3">
      <c r="A4660" t="s">
        <v>627</v>
      </c>
      <c r="B4660" s="16">
        <v>45956</v>
      </c>
      <c r="C4660" t="s">
        <v>3</v>
      </c>
      <c r="D4660" t="s">
        <v>123</v>
      </c>
      <c r="E4660">
        <v>44</v>
      </c>
      <c r="F4660">
        <v>21</v>
      </c>
      <c r="G4660">
        <v>3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41</v>
      </c>
      <c r="N4660">
        <v>19</v>
      </c>
      <c r="O4660">
        <f t="shared" si="152"/>
        <v>2025</v>
      </c>
      <c r="P4660">
        <f t="shared" si="153"/>
        <v>10</v>
      </c>
      <c r="Q4660" t="s">
        <v>784</v>
      </c>
      <c r="R4660" t="s">
        <v>805</v>
      </c>
    </row>
    <row r="4661" spans="1:18" x14ac:dyDescent="0.3">
      <c r="A4661" t="s">
        <v>627</v>
      </c>
      <c r="B4661" s="16">
        <v>45956</v>
      </c>
      <c r="C4661" t="s">
        <v>3</v>
      </c>
      <c r="D4661" t="s">
        <v>138</v>
      </c>
      <c r="E4661">
        <v>26</v>
      </c>
      <c r="F4661">
        <v>9</v>
      </c>
      <c r="G4661">
        <v>4</v>
      </c>
      <c r="H4661">
        <v>1</v>
      </c>
      <c r="I4661">
        <v>17200</v>
      </c>
      <c r="J4661">
        <v>1</v>
      </c>
      <c r="K4661">
        <v>0</v>
      </c>
      <c r="L4661">
        <v>0</v>
      </c>
      <c r="M4661">
        <v>4</v>
      </c>
      <c r="N4661">
        <v>26</v>
      </c>
      <c r="O4661">
        <f t="shared" si="152"/>
        <v>2025</v>
      </c>
      <c r="P4661">
        <f t="shared" si="153"/>
        <v>10</v>
      </c>
      <c r="Q4661" t="s">
        <v>784</v>
      </c>
      <c r="R4661" t="s">
        <v>805</v>
      </c>
    </row>
    <row r="4662" spans="1:18" x14ac:dyDescent="0.3">
      <c r="A4662" t="s">
        <v>627</v>
      </c>
      <c r="B4662" s="16">
        <v>45956</v>
      </c>
      <c r="C4662" t="s">
        <v>3</v>
      </c>
      <c r="D4662" t="s">
        <v>133</v>
      </c>
      <c r="E4662">
        <v>25</v>
      </c>
      <c r="F4662">
        <v>18</v>
      </c>
      <c r="G4662">
        <v>2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5</v>
      </c>
      <c r="N4662">
        <v>24</v>
      </c>
      <c r="O4662">
        <f t="shared" si="152"/>
        <v>2025</v>
      </c>
      <c r="P4662">
        <f t="shared" si="153"/>
        <v>10</v>
      </c>
      <c r="Q4662" t="s">
        <v>784</v>
      </c>
      <c r="R4662" t="s">
        <v>805</v>
      </c>
    </row>
    <row r="4663" spans="1:18" x14ac:dyDescent="0.3">
      <c r="A4663" t="s">
        <v>627</v>
      </c>
      <c r="B4663" s="16">
        <v>45956</v>
      </c>
      <c r="C4663" t="s">
        <v>3</v>
      </c>
      <c r="D4663" t="s">
        <v>152</v>
      </c>
      <c r="E4663">
        <v>21</v>
      </c>
      <c r="F4663">
        <v>5</v>
      </c>
      <c r="G4663">
        <v>1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1</v>
      </c>
      <c r="N4663">
        <v>21</v>
      </c>
      <c r="O4663">
        <f t="shared" si="152"/>
        <v>2025</v>
      </c>
      <c r="P4663">
        <f t="shared" si="153"/>
        <v>10</v>
      </c>
      <c r="Q4663" t="s">
        <v>784</v>
      </c>
      <c r="R4663" t="s">
        <v>805</v>
      </c>
    </row>
    <row r="4664" spans="1:18" x14ac:dyDescent="0.3">
      <c r="A4664" t="s">
        <v>627</v>
      </c>
      <c r="B4664" s="16">
        <v>45956</v>
      </c>
      <c r="C4664" t="s">
        <v>3</v>
      </c>
      <c r="D4664" t="s">
        <v>140</v>
      </c>
      <c r="E4664">
        <v>6</v>
      </c>
      <c r="F4664">
        <v>6</v>
      </c>
      <c r="G4664">
        <v>1</v>
      </c>
      <c r="H4664">
        <v>0</v>
      </c>
      <c r="I4664">
        <v>6490</v>
      </c>
      <c r="J4664">
        <v>2</v>
      </c>
      <c r="K4664">
        <v>4440</v>
      </c>
      <c r="L4664">
        <v>1</v>
      </c>
      <c r="M4664">
        <v>1</v>
      </c>
      <c r="N4664">
        <v>6</v>
      </c>
      <c r="O4664">
        <f t="shared" si="152"/>
        <v>2025</v>
      </c>
      <c r="P4664">
        <f t="shared" si="153"/>
        <v>10</v>
      </c>
      <c r="Q4664" t="s">
        <v>784</v>
      </c>
      <c r="R4664" t="s">
        <v>805</v>
      </c>
    </row>
    <row r="4665" spans="1:18" x14ac:dyDescent="0.3">
      <c r="A4665" t="s">
        <v>627</v>
      </c>
      <c r="B4665" s="16">
        <v>45956</v>
      </c>
      <c r="C4665" t="s">
        <v>3</v>
      </c>
      <c r="D4665" t="s">
        <v>148</v>
      </c>
      <c r="E4665">
        <v>4</v>
      </c>
      <c r="F4665">
        <v>3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4</v>
      </c>
      <c r="N4665">
        <v>0</v>
      </c>
      <c r="O4665">
        <f t="shared" si="152"/>
        <v>2025</v>
      </c>
      <c r="P4665">
        <f t="shared" si="153"/>
        <v>10</v>
      </c>
      <c r="Q4665" t="s">
        <v>784</v>
      </c>
      <c r="R4665" t="s">
        <v>805</v>
      </c>
    </row>
    <row r="4666" spans="1:18" x14ac:dyDescent="0.3">
      <c r="A4666" t="s">
        <v>627</v>
      </c>
      <c r="B4666" s="16">
        <v>45956</v>
      </c>
      <c r="C4666" t="s">
        <v>3</v>
      </c>
      <c r="D4666" t="s">
        <v>252</v>
      </c>
      <c r="E4666">
        <v>3</v>
      </c>
      <c r="F4666">
        <v>3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3</v>
      </c>
      <c r="O4666">
        <f t="shared" si="152"/>
        <v>2025</v>
      </c>
      <c r="P4666">
        <f t="shared" si="153"/>
        <v>10</v>
      </c>
      <c r="Q4666" t="s">
        <v>784</v>
      </c>
      <c r="R4666" t="s">
        <v>805</v>
      </c>
    </row>
    <row r="4667" spans="1:18" x14ac:dyDescent="0.3">
      <c r="A4667" t="s">
        <v>627</v>
      </c>
      <c r="B4667" s="16">
        <v>45956</v>
      </c>
      <c r="C4667" t="s">
        <v>3</v>
      </c>
      <c r="D4667" t="s">
        <v>121</v>
      </c>
      <c r="E4667">
        <v>2</v>
      </c>
      <c r="F4667">
        <v>2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2</v>
      </c>
      <c r="O4667">
        <f t="shared" si="152"/>
        <v>2025</v>
      </c>
      <c r="P4667">
        <f t="shared" si="153"/>
        <v>10</v>
      </c>
      <c r="Q4667" t="s">
        <v>784</v>
      </c>
      <c r="R4667" t="s">
        <v>805</v>
      </c>
    </row>
    <row r="4668" spans="1:18" x14ac:dyDescent="0.3">
      <c r="A4668" t="s">
        <v>627</v>
      </c>
      <c r="B4668" s="16">
        <v>45956</v>
      </c>
      <c r="C4668" t="s">
        <v>3</v>
      </c>
      <c r="D4668" t="s">
        <v>117</v>
      </c>
      <c r="E4668">
        <v>2</v>
      </c>
      <c r="F4668">
        <v>2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2</v>
      </c>
      <c r="O4668">
        <f t="shared" si="152"/>
        <v>2025</v>
      </c>
      <c r="P4668">
        <f t="shared" si="153"/>
        <v>10</v>
      </c>
      <c r="Q4668" t="s">
        <v>784</v>
      </c>
      <c r="R4668" t="s">
        <v>805</v>
      </c>
    </row>
    <row r="4669" spans="1:18" x14ac:dyDescent="0.3">
      <c r="A4669" t="s">
        <v>627</v>
      </c>
      <c r="B4669" s="16">
        <v>45956</v>
      </c>
      <c r="C4669" t="s">
        <v>3</v>
      </c>
      <c r="D4669" t="s">
        <v>111</v>
      </c>
      <c r="E4669">
        <v>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2</v>
      </c>
      <c r="O4669">
        <f t="shared" si="152"/>
        <v>2025</v>
      </c>
      <c r="P4669">
        <f t="shared" si="153"/>
        <v>10</v>
      </c>
      <c r="Q4669" t="s">
        <v>784</v>
      </c>
      <c r="R4669" t="s">
        <v>805</v>
      </c>
    </row>
    <row r="4670" spans="1:18" x14ac:dyDescent="0.3">
      <c r="A4670" t="s">
        <v>627</v>
      </c>
      <c r="B4670" s="16">
        <v>45956</v>
      </c>
      <c r="C4670" t="s">
        <v>3</v>
      </c>
      <c r="D4670" t="s">
        <v>149</v>
      </c>
      <c r="E4670">
        <v>1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1</v>
      </c>
      <c r="O4670">
        <f t="shared" si="152"/>
        <v>2025</v>
      </c>
      <c r="P4670">
        <f t="shared" si="153"/>
        <v>10</v>
      </c>
      <c r="Q4670" t="s">
        <v>784</v>
      </c>
      <c r="R4670" t="s">
        <v>805</v>
      </c>
    </row>
    <row r="4671" spans="1:18" x14ac:dyDescent="0.3">
      <c r="A4671" t="s">
        <v>627</v>
      </c>
      <c r="B4671" s="16">
        <v>45956</v>
      </c>
      <c r="C4671" t="s">
        <v>3</v>
      </c>
      <c r="D4671" t="s">
        <v>146</v>
      </c>
      <c r="E4671">
        <v>1</v>
      </c>
      <c r="F4671">
        <v>1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1</v>
      </c>
      <c r="O4671">
        <f t="shared" si="152"/>
        <v>2025</v>
      </c>
      <c r="P4671">
        <f t="shared" si="153"/>
        <v>10</v>
      </c>
      <c r="Q4671" t="s">
        <v>784</v>
      </c>
      <c r="R4671" t="s">
        <v>805</v>
      </c>
    </row>
    <row r="4672" spans="1:18" x14ac:dyDescent="0.3">
      <c r="A4672" t="s">
        <v>627</v>
      </c>
      <c r="B4672" s="16">
        <v>45956</v>
      </c>
      <c r="C4672" t="s">
        <v>3</v>
      </c>
      <c r="D4672" t="s">
        <v>143</v>
      </c>
      <c r="E4672">
        <v>1</v>
      </c>
      <c r="F4672">
        <v>1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1</v>
      </c>
      <c r="O4672">
        <f t="shared" si="152"/>
        <v>2025</v>
      </c>
      <c r="P4672">
        <f t="shared" si="153"/>
        <v>10</v>
      </c>
      <c r="Q4672" t="s">
        <v>784</v>
      </c>
      <c r="R4672" t="s">
        <v>805</v>
      </c>
    </row>
    <row r="4673" spans="1:18" x14ac:dyDescent="0.3">
      <c r="A4673" t="s">
        <v>627</v>
      </c>
      <c r="B4673" s="16">
        <v>45956</v>
      </c>
      <c r="C4673" t="s">
        <v>3</v>
      </c>
      <c r="D4673" t="s">
        <v>125</v>
      </c>
      <c r="E4673">
        <v>1</v>
      </c>
      <c r="F4673">
        <v>1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1</v>
      </c>
      <c r="O4673">
        <f t="shared" si="152"/>
        <v>2025</v>
      </c>
      <c r="P4673">
        <f t="shared" si="153"/>
        <v>10</v>
      </c>
      <c r="Q4673" t="s">
        <v>784</v>
      </c>
      <c r="R4673" t="s">
        <v>805</v>
      </c>
    </row>
    <row r="4674" spans="1:18" x14ac:dyDescent="0.3">
      <c r="A4674" t="s">
        <v>627</v>
      </c>
      <c r="B4674" s="16">
        <v>45955</v>
      </c>
      <c r="C4674" t="s">
        <v>2</v>
      </c>
      <c r="D4674" t="s">
        <v>4</v>
      </c>
      <c r="E4674">
        <v>322</v>
      </c>
      <c r="F4674">
        <v>78</v>
      </c>
      <c r="G4674">
        <v>6</v>
      </c>
      <c r="H4674">
        <v>1</v>
      </c>
      <c r="I4674">
        <v>4945</v>
      </c>
      <c r="J4674">
        <v>1</v>
      </c>
      <c r="K4674">
        <v>4945</v>
      </c>
      <c r="L4674">
        <v>1</v>
      </c>
      <c r="M4674">
        <v>5</v>
      </c>
      <c r="N4674">
        <v>319</v>
      </c>
      <c r="O4674">
        <f t="shared" si="150"/>
        <v>2025</v>
      </c>
      <c r="P4674">
        <f t="shared" si="151"/>
        <v>10</v>
      </c>
      <c r="Q4674" t="s">
        <v>784</v>
      </c>
      <c r="R4674" t="s">
        <v>805</v>
      </c>
    </row>
    <row r="4675" spans="1:18" x14ac:dyDescent="0.3">
      <c r="A4675" t="s">
        <v>627</v>
      </c>
      <c r="B4675" s="16">
        <v>45955</v>
      </c>
      <c r="C4675" t="s">
        <v>2</v>
      </c>
      <c r="D4675" t="s">
        <v>57</v>
      </c>
      <c r="E4675">
        <v>24490</v>
      </c>
      <c r="F4675">
        <v>13207</v>
      </c>
      <c r="G4675">
        <v>177</v>
      </c>
      <c r="H4675">
        <v>146</v>
      </c>
      <c r="I4675">
        <v>81415</v>
      </c>
      <c r="J4675">
        <v>16</v>
      </c>
      <c r="K4675">
        <v>42455</v>
      </c>
      <c r="L4675">
        <v>11</v>
      </c>
      <c r="M4675">
        <v>1590</v>
      </c>
      <c r="N4675">
        <v>24004</v>
      </c>
      <c r="O4675">
        <f t="shared" si="150"/>
        <v>2025</v>
      </c>
      <c r="P4675">
        <f t="shared" si="151"/>
        <v>10</v>
      </c>
      <c r="Q4675" t="s">
        <v>784</v>
      </c>
      <c r="R4675" t="s">
        <v>805</v>
      </c>
    </row>
    <row r="4676" spans="1:18" x14ac:dyDescent="0.3">
      <c r="A4676" t="s">
        <v>627</v>
      </c>
      <c r="B4676" s="16">
        <v>45955</v>
      </c>
      <c r="C4676" t="s">
        <v>2</v>
      </c>
      <c r="D4676" t="s">
        <v>52</v>
      </c>
      <c r="E4676">
        <v>1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f t="shared" si="150"/>
        <v>2025</v>
      </c>
      <c r="P4676">
        <f t="shared" si="151"/>
        <v>10</v>
      </c>
      <c r="Q4676" t="s">
        <v>784</v>
      </c>
      <c r="R4676" t="s">
        <v>805</v>
      </c>
    </row>
    <row r="4677" spans="1:18" x14ac:dyDescent="0.3">
      <c r="A4677" t="s">
        <v>627</v>
      </c>
      <c r="B4677" s="16">
        <v>45955</v>
      </c>
      <c r="C4677" t="s">
        <v>2</v>
      </c>
      <c r="D4677" t="s">
        <v>55</v>
      </c>
      <c r="E4677">
        <v>1252</v>
      </c>
      <c r="F4677">
        <v>636</v>
      </c>
      <c r="G4677">
        <v>27</v>
      </c>
      <c r="H4677">
        <v>3</v>
      </c>
      <c r="I4677">
        <v>0</v>
      </c>
      <c r="J4677">
        <v>0</v>
      </c>
      <c r="K4677">
        <v>0</v>
      </c>
      <c r="L4677">
        <v>0</v>
      </c>
      <c r="M4677">
        <v>41</v>
      </c>
      <c r="N4677">
        <v>620</v>
      </c>
      <c r="O4677">
        <f t="shared" si="150"/>
        <v>2025</v>
      </c>
      <c r="P4677">
        <f t="shared" si="151"/>
        <v>10</v>
      </c>
      <c r="Q4677" t="s">
        <v>784</v>
      </c>
      <c r="R4677" t="s">
        <v>805</v>
      </c>
    </row>
    <row r="4678" spans="1:18" x14ac:dyDescent="0.3">
      <c r="A4678" t="s">
        <v>627</v>
      </c>
      <c r="B4678" s="16">
        <v>45955</v>
      </c>
      <c r="C4678" t="s">
        <v>3</v>
      </c>
      <c r="D4678" t="s">
        <v>155</v>
      </c>
      <c r="E4678">
        <v>51</v>
      </c>
      <c r="F4678">
        <v>16</v>
      </c>
      <c r="G4678">
        <v>0</v>
      </c>
      <c r="H4678">
        <v>1</v>
      </c>
      <c r="I4678">
        <v>0</v>
      </c>
      <c r="J4678">
        <v>0</v>
      </c>
      <c r="K4678">
        <v>0</v>
      </c>
      <c r="L4678">
        <v>0</v>
      </c>
      <c r="M4678">
        <v>1</v>
      </c>
      <c r="N4678">
        <v>51</v>
      </c>
      <c r="O4678">
        <f t="shared" si="150"/>
        <v>2025</v>
      </c>
      <c r="P4678">
        <f t="shared" si="151"/>
        <v>10</v>
      </c>
      <c r="Q4678" t="s">
        <v>784</v>
      </c>
      <c r="R4678" t="s">
        <v>805</v>
      </c>
    </row>
    <row r="4679" spans="1:18" x14ac:dyDescent="0.3">
      <c r="A4679" t="s">
        <v>627</v>
      </c>
      <c r="B4679" s="16">
        <v>45955</v>
      </c>
      <c r="C4679" t="s">
        <v>3</v>
      </c>
      <c r="D4679" t="s">
        <v>154</v>
      </c>
      <c r="E4679">
        <v>161</v>
      </c>
      <c r="F4679">
        <v>128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f t="shared" si="150"/>
        <v>2025</v>
      </c>
      <c r="P4679">
        <f t="shared" si="151"/>
        <v>10</v>
      </c>
      <c r="Q4679" t="s">
        <v>784</v>
      </c>
      <c r="R4679" t="s">
        <v>805</v>
      </c>
    </row>
    <row r="4680" spans="1:18" x14ac:dyDescent="0.3">
      <c r="A4680" t="s">
        <v>627</v>
      </c>
      <c r="B4680" s="16">
        <v>45955</v>
      </c>
      <c r="C4680" t="s">
        <v>3</v>
      </c>
      <c r="D4680" t="s">
        <v>153</v>
      </c>
      <c r="E4680">
        <v>417</v>
      </c>
      <c r="F4680">
        <v>68</v>
      </c>
      <c r="G4680">
        <v>40</v>
      </c>
      <c r="H4680">
        <v>3</v>
      </c>
      <c r="I4680">
        <v>159017.82999999999</v>
      </c>
      <c r="J4680">
        <v>33</v>
      </c>
      <c r="K4680">
        <v>147617.82999999999</v>
      </c>
      <c r="L4680">
        <v>31</v>
      </c>
      <c r="M4680">
        <v>118</v>
      </c>
      <c r="N4680">
        <v>399</v>
      </c>
      <c r="O4680">
        <f t="shared" si="150"/>
        <v>2025</v>
      </c>
      <c r="P4680">
        <f t="shared" si="151"/>
        <v>10</v>
      </c>
      <c r="Q4680" t="s">
        <v>784</v>
      </c>
      <c r="R4680" t="s">
        <v>805</v>
      </c>
    </row>
    <row r="4681" spans="1:18" x14ac:dyDescent="0.3">
      <c r="A4681" t="s">
        <v>627</v>
      </c>
      <c r="B4681" s="16">
        <v>45955</v>
      </c>
      <c r="C4681" t="s">
        <v>3</v>
      </c>
      <c r="D4681" t="s">
        <v>152</v>
      </c>
      <c r="E4681">
        <v>19</v>
      </c>
      <c r="F4681">
        <v>10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11</v>
      </c>
      <c r="O4681">
        <f t="shared" ref="O4681:O4744" si="154">YEAR(B4681)</f>
        <v>2025</v>
      </c>
      <c r="P4681">
        <f t="shared" ref="P4681:P4744" si="155">MONTH(B4681)</f>
        <v>10</v>
      </c>
      <c r="Q4681" t="s">
        <v>784</v>
      </c>
      <c r="R4681" t="s">
        <v>805</v>
      </c>
    </row>
    <row r="4682" spans="1:18" x14ac:dyDescent="0.3">
      <c r="A4682" t="s">
        <v>627</v>
      </c>
      <c r="B4682" s="16">
        <v>45955</v>
      </c>
      <c r="C4682" t="s">
        <v>3</v>
      </c>
      <c r="D4682" t="s">
        <v>149</v>
      </c>
      <c r="E4682">
        <v>7</v>
      </c>
      <c r="F4682">
        <v>3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2</v>
      </c>
      <c r="O4682">
        <f t="shared" si="154"/>
        <v>2025</v>
      </c>
      <c r="P4682">
        <f t="shared" si="155"/>
        <v>10</v>
      </c>
      <c r="Q4682" t="s">
        <v>784</v>
      </c>
      <c r="R4682" t="s">
        <v>805</v>
      </c>
    </row>
    <row r="4683" spans="1:18" x14ac:dyDescent="0.3">
      <c r="A4683" t="s">
        <v>627</v>
      </c>
      <c r="B4683" s="16">
        <v>45955</v>
      </c>
      <c r="C4683" t="s">
        <v>3</v>
      </c>
      <c r="D4683" t="s">
        <v>367</v>
      </c>
      <c r="E4683">
        <v>50</v>
      </c>
      <c r="F4683">
        <v>35</v>
      </c>
      <c r="G4683">
        <v>2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50</v>
      </c>
      <c r="O4683">
        <f t="shared" si="154"/>
        <v>2025</v>
      </c>
      <c r="P4683">
        <f t="shared" si="155"/>
        <v>10</v>
      </c>
      <c r="Q4683" t="s">
        <v>784</v>
      </c>
      <c r="R4683" t="s">
        <v>805</v>
      </c>
    </row>
    <row r="4684" spans="1:18" x14ac:dyDescent="0.3">
      <c r="A4684" t="s">
        <v>627</v>
      </c>
      <c r="B4684" s="16">
        <v>45955</v>
      </c>
      <c r="C4684" t="s">
        <v>3</v>
      </c>
      <c r="D4684" t="s">
        <v>146</v>
      </c>
      <c r="E4684">
        <v>1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1</v>
      </c>
      <c r="O4684">
        <f t="shared" si="154"/>
        <v>2025</v>
      </c>
      <c r="P4684">
        <f t="shared" si="155"/>
        <v>10</v>
      </c>
      <c r="Q4684" t="s">
        <v>784</v>
      </c>
      <c r="R4684" t="s">
        <v>805</v>
      </c>
    </row>
    <row r="4685" spans="1:18" x14ac:dyDescent="0.3">
      <c r="A4685" t="s">
        <v>627</v>
      </c>
      <c r="B4685" s="16">
        <v>45955</v>
      </c>
      <c r="C4685" t="s">
        <v>3</v>
      </c>
      <c r="D4685" t="s">
        <v>251</v>
      </c>
      <c r="E4685">
        <v>1556</v>
      </c>
      <c r="F4685">
        <v>1178</v>
      </c>
      <c r="G4685">
        <v>26</v>
      </c>
      <c r="H4685">
        <v>5</v>
      </c>
      <c r="I4685">
        <v>71737.83</v>
      </c>
      <c r="J4685">
        <v>14</v>
      </c>
      <c r="K4685">
        <v>57982.83</v>
      </c>
      <c r="L4685">
        <v>13</v>
      </c>
      <c r="M4685">
        <v>105</v>
      </c>
      <c r="N4685">
        <v>347</v>
      </c>
      <c r="O4685">
        <f t="shared" si="154"/>
        <v>2025</v>
      </c>
      <c r="P4685">
        <f t="shared" si="155"/>
        <v>10</v>
      </c>
      <c r="Q4685" t="s">
        <v>784</v>
      </c>
      <c r="R4685" t="s">
        <v>805</v>
      </c>
    </row>
    <row r="4686" spans="1:18" x14ac:dyDescent="0.3">
      <c r="A4686" t="s">
        <v>627</v>
      </c>
      <c r="B4686" s="16">
        <v>45955</v>
      </c>
      <c r="C4686" t="s">
        <v>3</v>
      </c>
      <c r="D4686" t="s">
        <v>143</v>
      </c>
      <c r="E4686">
        <v>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2</v>
      </c>
      <c r="O4686">
        <f t="shared" si="154"/>
        <v>2025</v>
      </c>
      <c r="P4686">
        <f t="shared" si="155"/>
        <v>10</v>
      </c>
      <c r="Q4686" t="s">
        <v>784</v>
      </c>
      <c r="R4686" t="s">
        <v>805</v>
      </c>
    </row>
    <row r="4687" spans="1:18" x14ac:dyDescent="0.3">
      <c r="A4687" t="s">
        <v>627</v>
      </c>
      <c r="B4687" s="16">
        <v>45955</v>
      </c>
      <c r="C4687" t="s">
        <v>3</v>
      </c>
      <c r="D4687" t="s">
        <v>141</v>
      </c>
      <c r="E4687">
        <v>224</v>
      </c>
      <c r="F4687">
        <v>81</v>
      </c>
      <c r="G4687">
        <v>3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1</v>
      </c>
      <c r="N4687">
        <v>223</v>
      </c>
      <c r="O4687">
        <f t="shared" si="154"/>
        <v>2025</v>
      </c>
      <c r="P4687">
        <f t="shared" si="155"/>
        <v>10</v>
      </c>
      <c r="Q4687" t="s">
        <v>784</v>
      </c>
      <c r="R4687" t="s">
        <v>805</v>
      </c>
    </row>
    <row r="4688" spans="1:18" x14ac:dyDescent="0.3">
      <c r="A4688" t="s">
        <v>627</v>
      </c>
      <c r="B4688" s="16">
        <v>45955</v>
      </c>
      <c r="C4688" t="s">
        <v>3</v>
      </c>
      <c r="D4688" t="s">
        <v>140</v>
      </c>
      <c r="E4688">
        <v>14</v>
      </c>
      <c r="F4688">
        <v>11</v>
      </c>
      <c r="G4688">
        <v>1</v>
      </c>
      <c r="H4688">
        <v>1</v>
      </c>
      <c r="I4688">
        <v>0</v>
      </c>
      <c r="J4688">
        <v>0</v>
      </c>
      <c r="K4688">
        <v>0</v>
      </c>
      <c r="L4688">
        <v>0</v>
      </c>
      <c r="M4688">
        <v>1</v>
      </c>
      <c r="N4688">
        <v>14</v>
      </c>
      <c r="O4688">
        <f t="shared" si="154"/>
        <v>2025</v>
      </c>
      <c r="P4688">
        <f t="shared" si="155"/>
        <v>10</v>
      </c>
      <c r="Q4688" t="s">
        <v>784</v>
      </c>
      <c r="R4688" t="s">
        <v>805</v>
      </c>
    </row>
    <row r="4689" spans="1:18" x14ac:dyDescent="0.3">
      <c r="A4689" t="s">
        <v>627</v>
      </c>
      <c r="B4689" s="16">
        <v>45955</v>
      </c>
      <c r="C4689" t="s">
        <v>3</v>
      </c>
      <c r="D4689" t="s">
        <v>139</v>
      </c>
      <c r="E4689">
        <v>1695</v>
      </c>
      <c r="F4689">
        <v>904</v>
      </c>
      <c r="G4689">
        <v>42</v>
      </c>
      <c r="H4689">
        <v>11</v>
      </c>
      <c r="I4689">
        <v>56797</v>
      </c>
      <c r="J4689">
        <v>15</v>
      </c>
      <c r="K4689">
        <v>49887</v>
      </c>
      <c r="L4689">
        <v>15</v>
      </c>
      <c r="M4689">
        <v>311</v>
      </c>
      <c r="N4689">
        <v>962</v>
      </c>
      <c r="O4689">
        <f t="shared" si="154"/>
        <v>2025</v>
      </c>
      <c r="P4689">
        <f t="shared" si="155"/>
        <v>10</v>
      </c>
      <c r="Q4689" t="s">
        <v>784</v>
      </c>
      <c r="R4689" t="s">
        <v>805</v>
      </c>
    </row>
    <row r="4690" spans="1:18" x14ac:dyDescent="0.3">
      <c r="A4690" t="s">
        <v>627</v>
      </c>
      <c r="B4690" s="16">
        <v>45955</v>
      </c>
      <c r="C4690" t="s">
        <v>3</v>
      </c>
      <c r="D4690" t="s">
        <v>138</v>
      </c>
      <c r="E4690">
        <v>26</v>
      </c>
      <c r="F4690">
        <v>9</v>
      </c>
      <c r="G4690">
        <v>1</v>
      </c>
      <c r="H4690">
        <v>0</v>
      </c>
      <c r="I4690">
        <v>8715</v>
      </c>
      <c r="J4690">
        <v>2</v>
      </c>
      <c r="K4690">
        <v>8715</v>
      </c>
      <c r="L4690">
        <v>2</v>
      </c>
      <c r="M4690">
        <v>2</v>
      </c>
      <c r="N4690">
        <v>25</v>
      </c>
      <c r="O4690">
        <f t="shared" si="154"/>
        <v>2025</v>
      </c>
      <c r="P4690">
        <f t="shared" si="155"/>
        <v>10</v>
      </c>
      <c r="Q4690" t="s">
        <v>784</v>
      </c>
      <c r="R4690" t="s">
        <v>805</v>
      </c>
    </row>
    <row r="4691" spans="1:18" x14ac:dyDescent="0.3">
      <c r="A4691" t="s">
        <v>627</v>
      </c>
      <c r="B4691" s="16">
        <v>45955</v>
      </c>
      <c r="C4691" t="s">
        <v>3</v>
      </c>
      <c r="D4691" t="s">
        <v>133</v>
      </c>
      <c r="E4691">
        <v>17</v>
      </c>
      <c r="F4691">
        <v>14</v>
      </c>
      <c r="G4691">
        <v>1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17</v>
      </c>
      <c r="O4691">
        <f t="shared" si="154"/>
        <v>2025</v>
      </c>
      <c r="P4691">
        <f t="shared" si="155"/>
        <v>10</v>
      </c>
      <c r="Q4691" t="s">
        <v>784</v>
      </c>
      <c r="R4691" t="s">
        <v>805</v>
      </c>
    </row>
    <row r="4692" spans="1:18" x14ac:dyDescent="0.3">
      <c r="A4692" t="s">
        <v>627</v>
      </c>
      <c r="B4692" s="16">
        <v>45955</v>
      </c>
      <c r="C4692" t="s">
        <v>3</v>
      </c>
      <c r="D4692" t="s">
        <v>130</v>
      </c>
      <c r="E4692">
        <v>174</v>
      </c>
      <c r="F4692">
        <v>39</v>
      </c>
      <c r="G4692">
        <v>11</v>
      </c>
      <c r="H4692">
        <v>2</v>
      </c>
      <c r="I4692">
        <v>17760</v>
      </c>
      <c r="J4692">
        <v>5</v>
      </c>
      <c r="K4692">
        <v>16770</v>
      </c>
      <c r="L4692">
        <v>5</v>
      </c>
      <c r="M4692">
        <v>58</v>
      </c>
      <c r="N4692">
        <v>152</v>
      </c>
      <c r="O4692">
        <f t="shared" si="154"/>
        <v>2025</v>
      </c>
      <c r="P4692">
        <f t="shared" si="155"/>
        <v>10</v>
      </c>
      <c r="Q4692" t="s">
        <v>784</v>
      </c>
      <c r="R4692" t="s">
        <v>805</v>
      </c>
    </row>
    <row r="4693" spans="1:18" x14ac:dyDescent="0.3">
      <c r="A4693" t="s">
        <v>627</v>
      </c>
      <c r="B4693" s="16">
        <v>45955</v>
      </c>
      <c r="C4693" t="s">
        <v>3</v>
      </c>
      <c r="D4693" t="s">
        <v>128</v>
      </c>
      <c r="E4693">
        <v>1063</v>
      </c>
      <c r="F4693">
        <v>711</v>
      </c>
      <c r="G4693">
        <v>57</v>
      </c>
      <c r="H4693">
        <v>11</v>
      </c>
      <c r="I4693">
        <v>29210</v>
      </c>
      <c r="J4693">
        <v>7</v>
      </c>
      <c r="K4693">
        <v>22480</v>
      </c>
      <c r="L4693">
        <v>6</v>
      </c>
      <c r="M4693">
        <v>238</v>
      </c>
      <c r="N4693">
        <v>1019</v>
      </c>
      <c r="O4693">
        <f t="shared" si="154"/>
        <v>2025</v>
      </c>
      <c r="P4693">
        <f t="shared" si="155"/>
        <v>10</v>
      </c>
      <c r="Q4693" t="s">
        <v>784</v>
      </c>
      <c r="R4693" t="s">
        <v>805</v>
      </c>
    </row>
    <row r="4694" spans="1:18" x14ac:dyDescent="0.3">
      <c r="A4694" t="s">
        <v>627</v>
      </c>
      <c r="B4694" s="16">
        <v>45955</v>
      </c>
      <c r="C4694" t="s">
        <v>3</v>
      </c>
      <c r="D4694" t="s">
        <v>127</v>
      </c>
      <c r="E4694">
        <v>7183</v>
      </c>
      <c r="F4694">
        <v>3811</v>
      </c>
      <c r="G4694">
        <v>121</v>
      </c>
      <c r="H4694">
        <v>28</v>
      </c>
      <c r="I4694">
        <v>65440</v>
      </c>
      <c r="J4694">
        <v>15</v>
      </c>
      <c r="K4694">
        <v>50230</v>
      </c>
      <c r="L4694">
        <v>12</v>
      </c>
      <c r="M4694">
        <v>316</v>
      </c>
      <c r="N4694">
        <v>7117</v>
      </c>
      <c r="O4694">
        <f t="shared" si="154"/>
        <v>2025</v>
      </c>
      <c r="P4694">
        <f t="shared" si="155"/>
        <v>10</v>
      </c>
      <c r="Q4694" t="s">
        <v>784</v>
      </c>
      <c r="R4694" t="s">
        <v>805</v>
      </c>
    </row>
    <row r="4695" spans="1:18" x14ac:dyDescent="0.3">
      <c r="A4695" t="s">
        <v>627</v>
      </c>
      <c r="B4695" s="16">
        <v>45955</v>
      </c>
      <c r="C4695" t="s">
        <v>3</v>
      </c>
      <c r="D4695" t="s">
        <v>126</v>
      </c>
      <c r="E4695">
        <v>139</v>
      </c>
      <c r="F4695">
        <v>66</v>
      </c>
      <c r="G4695">
        <v>5</v>
      </c>
      <c r="H4695">
        <v>0</v>
      </c>
      <c r="I4695">
        <v>4990</v>
      </c>
      <c r="J4695">
        <v>1</v>
      </c>
      <c r="K4695">
        <v>4990</v>
      </c>
      <c r="L4695">
        <v>1</v>
      </c>
      <c r="M4695">
        <v>13</v>
      </c>
      <c r="N4695">
        <v>134</v>
      </c>
      <c r="O4695">
        <f t="shared" si="154"/>
        <v>2025</v>
      </c>
      <c r="P4695">
        <f t="shared" si="155"/>
        <v>10</v>
      </c>
      <c r="Q4695" t="s">
        <v>784</v>
      </c>
      <c r="R4695" t="s">
        <v>805</v>
      </c>
    </row>
    <row r="4696" spans="1:18" x14ac:dyDescent="0.3">
      <c r="A4696" t="s">
        <v>627</v>
      </c>
      <c r="B4696" s="16">
        <v>45955</v>
      </c>
      <c r="C4696" t="s">
        <v>3</v>
      </c>
      <c r="D4696" t="s">
        <v>125</v>
      </c>
      <c r="E4696">
        <v>1</v>
      </c>
      <c r="F4696">
        <v>0</v>
      </c>
      <c r="G4696">
        <v>1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1</v>
      </c>
      <c r="O4696">
        <f t="shared" si="154"/>
        <v>2025</v>
      </c>
      <c r="P4696">
        <f t="shared" si="155"/>
        <v>10</v>
      </c>
      <c r="Q4696" t="s">
        <v>784</v>
      </c>
      <c r="R4696" t="s">
        <v>805</v>
      </c>
    </row>
    <row r="4697" spans="1:18" x14ac:dyDescent="0.3">
      <c r="A4697" t="s">
        <v>627</v>
      </c>
      <c r="B4697" s="16">
        <v>45955</v>
      </c>
      <c r="C4697" t="s">
        <v>3</v>
      </c>
      <c r="D4697" t="s">
        <v>123</v>
      </c>
      <c r="E4697">
        <v>41</v>
      </c>
      <c r="F4697">
        <v>17</v>
      </c>
      <c r="G4697">
        <v>1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34</v>
      </c>
      <c r="N4697">
        <v>20</v>
      </c>
      <c r="O4697">
        <f t="shared" si="154"/>
        <v>2025</v>
      </c>
      <c r="P4697">
        <f t="shared" si="155"/>
        <v>10</v>
      </c>
      <c r="Q4697" t="s">
        <v>784</v>
      </c>
      <c r="R4697" t="s">
        <v>805</v>
      </c>
    </row>
    <row r="4698" spans="1:18" x14ac:dyDescent="0.3">
      <c r="A4698" t="s">
        <v>627</v>
      </c>
      <c r="B4698" s="16">
        <v>45955</v>
      </c>
      <c r="C4698" t="s">
        <v>3</v>
      </c>
      <c r="D4698" t="s">
        <v>119</v>
      </c>
      <c r="E4698">
        <v>304</v>
      </c>
      <c r="F4698">
        <v>51</v>
      </c>
      <c r="G4698">
        <v>24</v>
      </c>
      <c r="H4698">
        <v>9</v>
      </c>
      <c r="I4698">
        <v>46720</v>
      </c>
      <c r="J4698">
        <v>13</v>
      </c>
      <c r="K4698">
        <v>37945</v>
      </c>
      <c r="L4698">
        <v>11</v>
      </c>
      <c r="M4698">
        <v>57</v>
      </c>
      <c r="N4698">
        <v>296</v>
      </c>
      <c r="O4698">
        <f t="shared" si="154"/>
        <v>2025</v>
      </c>
      <c r="P4698">
        <f t="shared" si="155"/>
        <v>10</v>
      </c>
      <c r="Q4698" t="s">
        <v>784</v>
      </c>
      <c r="R4698" t="s">
        <v>805</v>
      </c>
    </row>
    <row r="4699" spans="1:18" x14ac:dyDescent="0.3">
      <c r="A4699" t="s">
        <v>627</v>
      </c>
      <c r="B4699" s="16">
        <v>45955</v>
      </c>
      <c r="C4699" t="s">
        <v>3</v>
      </c>
      <c r="D4699" t="s">
        <v>252</v>
      </c>
      <c r="E4699">
        <v>2</v>
      </c>
      <c r="F4699">
        <v>2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2</v>
      </c>
      <c r="O4699">
        <f t="shared" si="154"/>
        <v>2025</v>
      </c>
      <c r="P4699">
        <f t="shared" si="155"/>
        <v>10</v>
      </c>
      <c r="Q4699" t="s">
        <v>784</v>
      </c>
      <c r="R4699" t="s">
        <v>805</v>
      </c>
    </row>
    <row r="4700" spans="1:18" x14ac:dyDescent="0.3">
      <c r="A4700" t="s">
        <v>627</v>
      </c>
      <c r="B4700" s="16">
        <v>45955</v>
      </c>
      <c r="C4700" t="s">
        <v>3</v>
      </c>
      <c r="D4700" t="s">
        <v>117</v>
      </c>
      <c r="E4700">
        <v>3</v>
      </c>
      <c r="F4700">
        <v>3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3</v>
      </c>
      <c r="O4700">
        <f t="shared" si="154"/>
        <v>2025</v>
      </c>
      <c r="P4700">
        <f t="shared" si="155"/>
        <v>10</v>
      </c>
      <c r="Q4700" t="s">
        <v>784</v>
      </c>
      <c r="R4700" t="s">
        <v>805</v>
      </c>
    </row>
    <row r="4701" spans="1:18" x14ac:dyDescent="0.3">
      <c r="A4701" t="s">
        <v>627</v>
      </c>
      <c r="B4701" s="16">
        <v>45955</v>
      </c>
      <c r="C4701" t="s">
        <v>3</v>
      </c>
      <c r="D4701" t="s">
        <v>391</v>
      </c>
      <c r="E4701">
        <v>625</v>
      </c>
      <c r="F4701">
        <v>342</v>
      </c>
      <c r="G4701">
        <v>22</v>
      </c>
      <c r="H4701">
        <v>3</v>
      </c>
      <c r="I4701">
        <v>19450</v>
      </c>
      <c r="J4701">
        <v>5</v>
      </c>
      <c r="K4701">
        <v>16460</v>
      </c>
      <c r="L4701">
        <v>4</v>
      </c>
      <c r="M4701">
        <v>64</v>
      </c>
      <c r="N4701">
        <v>616</v>
      </c>
      <c r="O4701">
        <f t="shared" si="154"/>
        <v>2025</v>
      </c>
      <c r="P4701">
        <f t="shared" si="155"/>
        <v>10</v>
      </c>
      <c r="Q4701" t="s">
        <v>784</v>
      </c>
      <c r="R4701" t="s">
        <v>805</v>
      </c>
    </row>
    <row r="4702" spans="1:18" x14ac:dyDescent="0.3">
      <c r="A4702" t="s">
        <v>627</v>
      </c>
      <c r="B4702" s="16">
        <v>45955</v>
      </c>
      <c r="C4702" t="s">
        <v>3</v>
      </c>
      <c r="D4702" t="s">
        <v>114</v>
      </c>
      <c r="E4702">
        <v>159</v>
      </c>
      <c r="F4702">
        <v>65</v>
      </c>
      <c r="G4702">
        <v>5</v>
      </c>
      <c r="H4702">
        <v>1</v>
      </c>
      <c r="I4702">
        <v>4990</v>
      </c>
      <c r="J4702">
        <v>1</v>
      </c>
      <c r="K4702">
        <v>4990</v>
      </c>
      <c r="L4702">
        <v>1</v>
      </c>
      <c r="M4702">
        <v>18</v>
      </c>
      <c r="N4702">
        <v>155</v>
      </c>
      <c r="O4702">
        <f t="shared" si="154"/>
        <v>2025</v>
      </c>
      <c r="P4702">
        <f t="shared" si="155"/>
        <v>10</v>
      </c>
      <c r="Q4702" t="s">
        <v>784</v>
      </c>
      <c r="R4702" t="s">
        <v>805</v>
      </c>
    </row>
    <row r="4703" spans="1:18" x14ac:dyDescent="0.3">
      <c r="A4703" t="s">
        <v>627</v>
      </c>
      <c r="B4703" s="16">
        <v>45955</v>
      </c>
      <c r="C4703" t="s">
        <v>3</v>
      </c>
      <c r="D4703" t="s">
        <v>113</v>
      </c>
      <c r="E4703">
        <v>140</v>
      </c>
      <c r="F4703">
        <v>52</v>
      </c>
      <c r="G4703">
        <v>5</v>
      </c>
      <c r="H4703">
        <v>0</v>
      </c>
      <c r="I4703">
        <v>2990</v>
      </c>
      <c r="J4703">
        <v>1</v>
      </c>
      <c r="K4703">
        <v>2990</v>
      </c>
      <c r="L4703">
        <v>1</v>
      </c>
      <c r="M4703">
        <v>118</v>
      </c>
      <c r="N4703">
        <v>83</v>
      </c>
      <c r="O4703">
        <f t="shared" si="154"/>
        <v>2025</v>
      </c>
      <c r="P4703">
        <f t="shared" si="155"/>
        <v>10</v>
      </c>
      <c r="Q4703" t="s">
        <v>784</v>
      </c>
      <c r="R4703" t="s">
        <v>805</v>
      </c>
    </row>
    <row r="4704" spans="1:18" x14ac:dyDescent="0.3">
      <c r="A4704" t="s">
        <v>627</v>
      </c>
      <c r="B4704" s="16">
        <v>45955</v>
      </c>
      <c r="C4704" t="s">
        <v>3</v>
      </c>
      <c r="D4704" t="s">
        <v>112</v>
      </c>
      <c r="E4704">
        <v>39</v>
      </c>
      <c r="F4704">
        <v>6</v>
      </c>
      <c r="G4704">
        <v>1</v>
      </c>
      <c r="H4704">
        <v>0</v>
      </c>
      <c r="I4704">
        <v>1990</v>
      </c>
      <c r="J4704">
        <v>1</v>
      </c>
      <c r="K4704">
        <v>1990</v>
      </c>
      <c r="L4704">
        <v>1</v>
      </c>
      <c r="M4704">
        <v>1</v>
      </c>
      <c r="N4704">
        <v>39</v>
      </c>
      <c r="O4704">
        <f t="shared" si="154"/>
        <v>2025</v>
      </c>
      <c r="P4704">
        <f t="shared" si="155"/>
        <v>10</v>
      </c>
      <c r="Q4704" t="s">
        <v>784</v>
      </c>
      <c r="R4704" t="s">
        <v>805</v>
      </c>
    </row>
    <row r="4705" spans="1:18" x14ac:dyDescent="0.3">
      <c r="A4705" t="s">
        <v>627</v>
      </c>
      <c r="B4705" s="16">
        <v>45955</v>
      </c>
      <c r="C4705" t="s">
        <v>3</v>
      </c>
      <c r="D4705" t="s">
        <v>111</v>
      </c>
      <c r="E4705">
        <v>4</v>
      </c>
      <c r="F4705">
        <v>0</v>
      </c>
      <c r="G4705">
        <v>0</v>
      </c>
      <c r="H4705">
        <v>0</v>
      </c>
      <c r="I4705">
        <v>3990</v>
      </c>
      <c r="J4705">
        <v>1</v>
      </c>
      <c r="K4705">
        <v>0</v>
      </c>
      <c r="L4705">
        <v>0</v>
      </c>
      <c r="M4705">
        <v>0</v>
      </c>
      <c r="N4705">
        <v>4</v>
      </c>
      <c r="O4705">
        <f t="shared" si="154"/>
        <v>2025</v>
      </c>
      <c r="P4705">
        <f t="shared" si="155"/>
        <v>10</v>
      </c>
      <c r="Q4705" t="s">
        <v>784</v>
      </c>
      <c r="R4705" t="s">
        <v>805</v>
      </c>
    </row>
    <row r="4706" spans="1:18" x14ac:dyDescent="0.3">
      <c r="A4706" t="s">
        <v>627</v>
      </c>
      <c r="B4706" s="16">
        <v>45954</v>
      </c>
      <c r="C4706" t="s">
        <v>2</v>
      </c>
      <c r="D4706" t="s">
        <v>4</v>
      </c>
      <c r="E4706">
        <v>396</v>
      </c>
      <c r="F4706">
        <v>92</v>
      </c>
      <c r="G4706">
        <v>1</v>
      </c>
      <c r="H4706">
        <v>0</v>
      </c>
      <c r="I4706">
        <v>1490</v>
      </c>
      <c r="J4706">
        <v>1</v>
      </c>
      <c r="K4706">
        <v>1490</v>
      </c>
      <c r="L4706">
        <v>1</v>
      </c>
      <c r="M4706">
        <v>2</v>
      </c>
      <c r="N4706">
        <v>394</v>
      </c>
      <c r="O4706">
        <f t="shared" si="154"/>
        <v>2025</v>
      </c>
      <c r="P4706">
        <f t="shared" si="155"/>
        <v>10</v>
      </c>
      <c r="Q4706" t="s">
        <v>784</v>
      </c>
      <c r="R4706" t="s">
        <v>805</v>
      </c>
    </row>
    <row r="4707" spans="1:18" x14ac:dyDescent="0.3">
      <c r="A4707" t="s">
        <v>627</v>
      </c>
      <c r="B4707" s="16">
        <v>45954</v>
      </c>
      <c r="C4707" t="s">
        <v>2</v>
      </c>
      <c r="D4707" t="s">
        <v>57</v>
      </c>
      <c r="E4707">
        <v>29125</v>
      </c>
      <c r="F4707">
        <v>16171</v>
      </c>
      <c r="G4707">
        <v>140</v>
      </c>
      <c r="H4707">
        <v>121</v>
      </c>
      <c r="I4707">
        <v>143580</v>
      </c>
      <c r="J4707">
        <v>23</v>
      </c>
      <c r="K4707">
        <v>95700</v>
      </c>
      <c r="L4707">
        <v>18</v>
      </c>
      <c r="M4707">
        <v>1606</v>
      </c>
      <c r="N4707">
        <v>28650</v>
      </c>
      <c r="O4707">
        <f t="shared" si="154"/>
        <v>2025</v>
      </c>
      <c r="P4707">
        <f t="shared" si="155"/>
        <v>10</v>
      </c>
      <c r="Q4707" t="s">
        <v>784</v>
      </c>
      <c r="R4707" t="s">
        <v>805</v>
      </c>
    </row>
    <row r="4708" spans="1:18" x14ac:dyDescent="0.3">
      <c r="A4708" t="s">
        <v>627</v>
      </c>
      <c r="B4708" s="16">
        <v>45954</v>
      </c>
      <c r="C4708" t="s">
        <v>2</v>
      </c>
      <c r="D4708" t="s">
        <v>55</v>
      </c>
      <c r="E4708">
        <v>128</v>
      </c>
      <c r="F4708">
        <v>104</v>
      </c>
      <c r="G4708">
        <v>0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3</v>
      </c>
      <c r="N4708">
        <v>123</v>
      </c>
      <c r="O4708">
        <f t="shared" si="154"/>
        <v>2025</v>
      </c>
      <c r="P4708">
        <f t="shared" si="155"/>
        <v>10</v>
      </c>
      <c r="Q4708" t="s">
        <v>784</v>
      </c>
      <c r="R4708" t="s">
        <v>805</v>
      </c>
    </row>
    <row r="4709" spans="1:18" x14ac:dyDescent="0.3">
      <c r="A4709" t="s">
        <v>627</v>
      </c>
      <c r="B4709" s="16">
        <v>45954</v>
      </c>
      <c r="C4709" t="s">
        <v>3</v>
      </c>
      <c r="D4709" t="s">
        <v>155</v>
      </c>
      <c r="E4709">
        <v>46</v>
      </c>
      <c r="F4709">
        <v>15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46</v>
      </c>
      <c r="O4709">
        <f t="shared" si="154"/>
        <v>2025</v>
      </c>
      <c r="P4709">
        <f t="shared" si="155"/>
        <v>10</v>
      </c>
      <c r="Q4709" t="s">
        <v>784</v>
      </c>
      <c r="R4709" t="s">
        <v>805</v>
      </c>
    </row>
    <row r="4710" spans="1:18" x14ac:dyDescent="0.3">
      <c r="A4710" t="s">
        <v>627</v>
      </c>
      <c r="B4710" s="16">
        <v>45954</v>
      </c>
      <c r="C4710" t="s">
        <v>3</v>
      </c>
      <c r="D4710" t="s">
        <v>153</v>
      </c>
      <c r="E4710">
        <v>379</v>
      </c>
      <c r="F4710">
        <v>53</v>
      </c>
      <c r="G4710">
        <v>37</v>
      </c>
      <c r="H4710">
        <v>3</v>
      </c>
      <c r="I4710">
        <v>155165.32999999999</v>
      </c>
      <c r="J4710">
        <v>31</v>
      </c>
      <c r="K4710">
        <v>143605.32999999999</v>
      </c>
      <c r="L4710">
        <v>30</v>
      </c>
      <c r="M4710">
        <v>100</v>
      </c>
      <c r="N4710">
        <v>363</v>
      </c>
      <c r="O4710">
        <f t="shared" si="154"/>
        <v>2025</v>
      </c>
      <c r="P4710">
        <f t="shared" si="155"/>
        <v>10</v>
      </c>
      <c r="Q4710" t="s">
        <v>784</v>
      </c>
      <c r="R4710" t="s">
        <v>805</v>
      </c>
    </row>
    <row r="4711" spans="1:18" x14ac:dyDescent="0.3">
      <c r="A4711" t="s">
        <v>627</v>
      </c>
      <c r="B4711" s="16">
        <v>45954</v>
      </c>
      <c r="C4711" t="s">
        <v>3</v>
      </c>
      <c r="D4711" t="s">
        <v>152</v>
      </c>
      <c r="E4711">
        <v>9</v>
      </c>
      <c r="F4711">
        <v>4</v>
      </c>
      <c r="G4711">
        <v>0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9</v>
      </c>
      <c r="O4711">
        <f t="shared" si="154"/>
        <v>2025</v>
      </c>
      <c r="P4711">
        <f t="shared" si="155"/>
        <v>10</v>
      </c>
      <c r="Q4711" t="s">
        <v>784</v>
      </c>
      <c r="R4711" t="s">
        <v>805</v>
      </c>
    </row>
    <row r="4712" spans="1:18" x14ac:dyDescent="0.3">
      <c r="A4712" t="s">
        <v>627</v>
      </c>
      <c r="B4712" s="16">
        <v>45954</v>
      </c>
      <c r="C4712" t="s">
        <v>3</v>
      </c>
      <c r="D4712" t="s">
        <v>148</v>
      </c>
      <c r="E4712">
        <v>1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1</v>
      </c>
      <c r="N4712">
        <v>0</v>
      </c>
      <c r="O4712">
        <f t="shared" si="154"/>
        <v>2025</v>
      </c>
      <c r="P4712">
        <f t="shared" si="155"/>
        <v>10</v>
      </c>
      <c r="Q4712" t="s">
        <v>784</v>
      </c>
      <c r="R4712" t="s">
        <v>805</v>
      </c>
    </row>
    <row r="4713" spans="1:18" x14ac:dyDescent="0.3">
      <c r="A4713" t="s">
        <v>627</v>
      </c>
      <c r="B4713" s="16">
        <v>45954</v>
      </c>
      <c r="C4713" t="s">
        <v>3</v>
      </c>
      <c r="D4713" t="s">
        <v>367</v>
      </c>
      <c r="E4713">
        <v>3</v>
      </c>
      <c r="F4713">
        <v>1</v>
      </c>
      <c r="G4713">
        <v>1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3</v>
      </c>
      <c r="O4713">
        <f t="shared" si="154"/>
        <v>2025</v>
      </c>
      <c r="P4713">
        <f t="shared" si="155"/>
        <v>10</v>
      </c>
      <c r="Q4713" t="s">
        <v>784</v>
      </c>
      <c r="R4713" t="s">
        <v>805</v>
      </c>
    </row>
    <row r="4714" spans="1:18" x14ac:dyDescent="0.3">
      <c r="A4714" t="s">
        <v>627</v>
      </c>
      <c r="B4714" s="16">
        <v>45954</v>
      </c>
      <c r="C4714" t="s">
        <v>3</v>
      </c>
      <c r="D4714" t="s">
        <v>146</v>
      </c>
      <c r="E4714">
        <v>1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1</v>
      </c>
      <c r="O4714">
        <f t="shared" si="154"/>
        <v>2025</v>
      </c>
      <c r="P4714">
        <f t="shared" si="155"/>
        <v>10</v>
      </c>
      <c r="Q4714" t="s">
        <v>784</v>
      </c>
      <c r="R4714" t="s">
        <v>805</v>
      </c>
    </row>
    <row r="4715" spans="1:18" x14ac:dyDescent="0.3">
      <c r="A4715" t="s">
        <v>627</v>
      </c>
      <c r="B4715" s="16">
        <v>45954</v>
      </c>
      <c r="C4715" t="s">
        <v>3</v>
      </c>
      <c r="D4715" t="s">
        <v>251</v>
      </c>
      <c r="E4715">
        <v>379</v>
      </c>
      <c r="F4715">
        <v>123</v>
      </c>
      <c r="G4715">
        <v>13</v>
      </c>
      <c r="H4715">
        <v>4</v>
      </c>
      <c r="I4715">
        <v>22670</v>
      </c>
      <c r="J4715">
        <v>5</v>
      </c>
      <c r="K4715">
        <v>22670</v>
      </c>
      <c r="L4715">
        <v>5</v>
      </c>
      <c r="M4715">
        <v>91</v>
      </c>
      <c r="N4715">
        <v>329</v>
      </c>
      <c r="O4715">
        <f t="shared" si="154"/>
        <v>2025</v>
      </c>
      <c r="P4715">
        <f t="shared" si="155"/>
        <v>10</v>
      </c>
      <c r="Q4715" t="s">
        <v>784</v>
      </c>
      <c r="R4715" t="s">
        <v>805</v>
      </c>
    </row>
    <row r="4716" spans="1:18" x14ac:dyDescent="0.3">
      <c r="A4716" t="s">
        <v>627</v>
      </c>
      <c r="B4716" s="16">
        <v>45954</v>
      </c>
      <c r="C4716" t="s">
        <v>3</v>
      </c>
      <c r="D4716" t="s">
        <v>141</v>
      </c>
      <c r="E4716">
        <v>240</v>
      </c>
      <c r="F4716">
        <v>67</v>
      </c>
      <c r="G4716">
        <v>3</v>
      </c>
      <c r="H4716">
        <v>2</v>
      </c>
      <c r="I4716">
        <v>3875</v>
      </c>
      <c r="J4716">
        <v>1</v>
      </c>
      <c r="K4716">
        <v>3875</v>
      </c>
      <c r="L4716">
        <v>1</v>
      </c>
      <c r="M4716">
        <v>0</v>
      </c>
      <c r="N4716">
        <v>240</v>
      </c>
      <c r="O4716">
        <f t="shared" si="154"/>
        <v>2025</v>
      </c>
      <c r="P4716">
        <f t="shared" si="155"/>
        <v>10</v>
      </c>
      <c r="Q4716" t="s">
        <v>784</v>
      </c>
      <c r="R4716" t="s">
        <v>805</v>
      </c>
    </row>
    <row r="4717" spans="1:18" x14ac:dyDescent="0.3">
      <c r="A4717" t="s">
        <v>627</v>
      </c>
      <c r="B4717" s="16">
        <v>45954</v>
      </c>
      <c r="C4717" t="s">
        <v>3</v>
      </c>
      <c r="D4717" t="s">
        <v>140</v>
      </c>
      <c r="E4717">
        <v>14</v>
      </c>
      <c r="F4717">
        <v>13</v>
      </c>
      <c r="G4717">
        <v>2</v>
      </c>
      <c r="H4717">
        <v>2</v>
      </c>
      <c r="I4717">
        <v>1490</v>
      </c>
      <c r="J4717">
        <v>1</v>
      </c>
      <c r="K4717">
        <v>1490</v>
      </c>
      <c r="L4717">
        <v>1</v>
      </c>
      <c r="M4717">
        <v>0</v>
      </c>
      <c r="N4717">
        <v>14</v>
      </c>
      <c r="O4717">
        <f t="shared" si="154"/>
        <v>2025</v>
      </c>
      <c r="P4717">
        <f t="shared" si="155"/>
        <v>10</v>
      </c>
      <c r="Q4717" t="s">
        <v>784</v>
      </c>
      <c r="R4717" t="s">
        <v>805</v>
      </c>
    </row>
    <row r="4718" spans="1:18" x14ac:dyDescent="0.3">
      <c r="A4718" t="s">
        <v>627</v>
      </c>
      <c r="B4718" s="16">
        <v>45954</v>
      </c>
      <c r="C4718" t="s">
        <v>3</v>
      </c>
      <c r="D4718" t="s">
        <v>139</v>
      </c>
      <c r="E4718">
        <v>1078</v>
      </c>
      <c r="F4718">
        <v>364</v>
      </c>
      <c r="G4718">
        <v>42</v>
      </c>
      <c r="H4718">
        <v>6</v>
      </c>
      <c r="I4718">
        <v>63800</v>
      </c>
      <c r="J4718">
        <v>9</v>
      </c>
      <c r="K4718">
        <v>51365</v>
      </c>
      <c r="L4718">
        <v>7</v>
      </c>
      <c r="M4718">
        <v>288</v>
      </c>
      <c r="N4718">
        <v>998</v>
      </c>
      <c r="O4718">
        <f t="shared" si="154"/>
        <v>2025</v>
      </c>
      <c r="P4718">
        <f t="shared" si="155"/>
        <v>10</v>
      </c>
      <c r="Q4718" t="s">
        <v>784</v>
      </c>
      <c r="R4718" t="s">
        <v>805</v>
      </c>
    </row>
    <row r="4719" spans="1:18" x14ac:dyDescent="0.3">
      <c r="A4719" t="s">
        <v>627</v>
      </c>
      <c r="B4719" s="16">
        <v>45954</v>
      </c>
      <c r="C4719" t="s">
        <v>3</v>
      </c>
      <c r="D4719" t="s">
        <v>138</v>
      </c>
      <c r="E4719">
        <v>16</v>
      </c>
      <c r="F4719">
        <v>1</v>
      </c>
      <c r="G4719">
        <v>0</v>
      </c>
      <c r="H4719">
        <v>1</v>
      </c>
      <c r="I4719">
        <v>6220</v>
      </c>
      <c r="J4719">
        <v>1</v>
      </c>
      <c r="K4719">
        <v>6220</v>
      </c>
      <c r="L4719">
        <v>1</v>
      </c>
      <c r="M4719">
        <v>2</v>
      </c>
      <c r="N4719">
        <v>16</v>
      </c>
      <c r="O4719">
        <f t="shared" si="154"/>
        <v>2025</v>
      </c>
      <c r="P4719">
        <f t="shared" si="155"/>
        <v>10</v>
      </c>
      <c r="Q4719" t="s">
        <v>784</v>
      </c>
      <c r="R4719" t="s">
        <v>805</v>
      </c>
    </row>
    <row r="4720" spans="1:18" x14ac:dyDescent="0.3">
      <c r="A4720" t="s">
        <v>627</v>
      </c>
      <c r="B4720" s="16">
        <v>45954</v>
      </c>
      <c r="C4720" t="s">
        <v>3</v>
      </c>
      <c r="D4720" t="s">
        <v>133</v>
      </c>
      <c r="E4720">
        <v>11</v>
      </c>
      <c r="F4720">
        <v>7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1</v>
      </c>
      <c r="N4720">
        <v>9</v>
      </c>
      <c r="O4720">
        <f t="shared" si="154"/>
        <v>2025</v>
      </c>
      <c r="P4720">
        <f t="shared" si="155"/>
        <v>10</v>
      </c>
      <c r="Q4720" t="s">
        <v>784</v>
      </c>
      <c r="R4720" t="s">
        <v>805</v>
      </c>
    </row>
    <row r="4721" spans="1:18" x14ac:dyDescent="0.3">
      <c r="A4721" t="s">
        <v>627</v>
      </c>
      <c r="B4721" s="16">
        <v>45954</v>
      </c>
      <c r="C4721" t="s">
        <v>3</v>
      </c>
      <c r="D4721" t="s">
        <v>130</v>
      </c>
      <c r="E4721">
        <v>89</v>
      </c>
      <c r="F4721">
        <v>25</v>
      </c>
      <c r="G4721">
        <v>5</v>
      </c>
      <c r="H4721">
        <v>2</v>
      </c>
      <c r="I4721">
        <v>30195</v>
      </c>
      <c r="J4721">
        <v>6</v>
      </c>
      <c r="K4721">
        <v>26205</v>
      </c>
      <c r="L4721">
        <v>6</v>
      </c>
      <c r="M4721">
        <v>37</v>
      </c>
      <c r="N4721">
        <v>76</v>
      </c>
      <c r="O4721">
        <f t="shared" si="154"/>
        <v>2025</v>
      </c>
      <c r="P4721">
        <f t="shared" si="155"/>
        <v>10</v>
      </c>
      <c r="Q4721" t="s">
        <v>784</v>
      </c>
      <c r="R4721" t="s">
        <v>805</v>
      </c>
    </row>
    <row r="4722" spans="1:18" x14ac:dyDescent="0.3">
      <c r="A4722" t="s">
        <v>627</v>
      </c>
      <c r="B4722" s="16">
        <v>45954</v>
      </c>
      <c r="C4722" t="s">
        <v>3</v>
      </c>
      <c r="D4722" t="s">
        <v>128</v>
      </c>
      <c r="E4722">
        <v>1087</v>
      </c>
      <c r="F4722">
        <v>784</v>
      </c>
      <c r="G4722">
        <v>36</v>
      </c>
      <c r="H4722">
        <v>15</v>
      </c>
      <c r="I4722">
        <v>35885</v>
      </c>
      <c r="J4722">
        <v>7</v>
      </c>
      <c r="K4722">
        <v>24905</v>
      </c>
      <c r="L4722">
        <v>6</v>
      </c>
      <c r="M4722">
        <v>255</v>
      </c>
      <c r="N4722">
        <v>1022</v>
      </c>
      <c r="O4722">
        <f t="shared" si="154"/>
        <v>2025</v>
      </c>
      <c r="P4722">
        <f t="shared" si="155"/>
        <v>10</v>
      </c>
      <c r="Q4722" t="s">
        <v>784</v>
      </c>
      <c r="R4722" t="s">
        <v>805</v>
      </c>
    </row>
    <row r="4723" spans="1:18" x14ac:dyDescent="0.3">
      <c r="A4723" t="s">
        <v>627</v>
      </c>
      <c r="B4723" s="16">
        <v>45954</v>
      </c>
      <c r="C4723" t="s">
        <v>3</v>
      </c>
      <c r="D4723" t="s">
        <v>127</v>
      </c>
      <c r="E4723">
        <v>5502</v>
      </c>
      <c r="F4723">
        <v>2138</v>
      </c>
      <c r="G4723">
        <v>118</v>
      </c>
      <c r="H4723">
        <v>40</v>
      </c>
      <c r="I4723">
        <v>74070</v>
      </c>
      <c r="J4723">
        <v>16</v>
      </c>
      <c r="K4723">
        <v>55075</v>
      </c>
      <c r="L4723">
        <v>11</v>
      </c>
      <c r="M4723">
        <v>404</v>
      </c>
      <c r="N4723">
        <v>5480</v>
      </c>
      <c r="O4723">
        <f t="shared" si="154"/>
        <v>2025</v>
      </c>
      <c r="P4723">
        <f t="shared" si="155"/>
        <v>10</v>
      </c>
      <c r="Q4723" t="s">
        <v>784</v>
      </c>
      <c r="R4723" t="s">
        <v>805</v>
      </c>
    </row>
    <row r="4724" spans="1:18" x14ac:dyDescent="0.3">
      <c r="A4724" t="s">
        <v>627</v>
      </c>
      <c r="B4724" s="16">
        <v>45954</v>
      </c>
      <c r="C4724" t="s">
        <v>3</v>
      </c>
      <c r="D4724" t="s">
        <v>126</v>
      </c>
      <c r="E4724">
        <v>131</v>
      </c>
      <c r="F4724">
        <v>67</v>
      </c>
      <c r="G4724">
        <v>9</v>
      </c>
      <c r="H4724">
        <v>1</v>
      </c>
      <c r="I4724">
        <v>5400</v>
      </c>
      <c r="J4724">
        <v>1</v>
      </c>
      <c r="K4724">
        <v>5400</v>
      </c>
      <c r="L4724">
        <v>1</v>
      </c>
      <c r="M4724">
        <v>20</v>
      </c>
      <c r="N4724">
        <v>127</v>
      </c>
      <c r="O4724">
        <f t="shared" si="154"/>
        <v>2025</v>
      </c>
      <c r="P4724">
        <f t="shared" si="155"/>
        <v>10</v>
      </c>
      <c r="Q4724" t="s">
        <v>784</v>
      </c>
      <c r="R4724" t="s">
        <v>805</v>
      </c>
    </row>
    <row r="4725" spans="1:18" x14ac:dyDescent="0.3">
      <c r="A4725" t="s">
        <v>627</v>
      </c>
      <c r="B4725" s="16">
        <v>45954</v>
      </c>
      <c r="C4725" t="s">
        <v>3</v>
      </c>
      <c r="D4725" t="s">
        <v>123</v>
      </c>
      <c r="E4725">
        <v>38</v>
      </c>
      <c r="F4725">
        <v>23</v>
      </c>
      <c r="G4725">
        <v>2</v>
      </c>
      <c r="H4725">
        <v>2</v>
      </c>
      <c r="I4725">
        <v>0</v>
      </c>
      <c r="J4725">
        <v>0</v>
      </c>
      <c r="K4725">
        <v>0</v>
      </c>
      <c r="L4725">
        <v>0</v>
      </c>
      <c r="M4725">
        <v>35</v>
      </c>
      <c r="N4725">
        <v>22</v>
      </c>
      <c r="O4725">
        <f t="shared" si="154"/>
        <v>2025</v>
      </c>
      <c r="P4725">
        <f t="shared" si="155"/>
        <v>10</v>
      </c>
      <c r="Q4725" t="s">
        <v>784</v>
      </c>
      <c r="R4725" t="s">
        <v>805</v>
      </c>
    </row>
    <row r="4726" spans="1:18" x14ac:dyDescent="0.3">
      <c r="A4726" t="s">
        <v>627</v>
      </c>
      <c r="B4726" s="16">
        <v>45954</v>
      </c>
      <c r="C4726" t="s">
        <v>3</v>
      </c>
      <c r="D4726" t="s">
        <v>119</v>
      </c>
      <c r="E4726">
        <v>296</v>
      </c>
      <c r="F4726">
        <v>45</v>
      </c>
      <c r="G4726">
        <v>15</v>
      </c>
      <c r="H4726">
        <v>13</v>
      </c>
      <c r="I4726">
        <v>71410</v>
      </c>
      <c r="J4726">
        <v>13</v>
      </c>
      <c r="K4726">
        <v>34720</v>
      </c>
      <c r="L4726">
        <v>10</v>
      </c>
      <c r="M4726">
        <v>71</v>
      </c>
      <c r="N4726">
        <v>290</v>
      </c>
      <c r="O4726">
        <f t="shared" si="154"/>
        <v>2025</v>
      </c>
      <c r="P4726">
        <f t="shared" si="155"/>
        <v>10</v>
      </c>
      <c r="Q4726" t="s">
        <v>784</v>
      </c>
      <c r="R4726" t="s">
        <v>805</v>
      </c>
    </row>
    <row r="4727" spans="1:18" x14ac:dyDescent="0.3">
      <c r="A4727" t="s">
        <v>627</v>
      </c>
      <c r="B4727" s="16">
        <v>45954</v>
      </c>
      <c r="C4727" t="s">
        <v>3</v>
      </c>
      <c r="D4727" t="s">
        <v>252</v>
      </c>
      <c r="E4727">
        <v>1</v>
      </c>
      <c r="F4727">
        <v>1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1</v>
      </c>
      <c r="O4727">
        <f t="shared" si="154"/>
        <v>2025</v>
      </c>
      <c r="P4727">
        <f t="shared" si="155"/>
        <v>10</v>
      </c>
      <c r="Q4727" t="s">
        <v>784</v>
      </c>
      <c r="R4727" t="s">
        <v>805</v>
      </c>
    </row>
    <row r="4728" spans="1:18" x14ac:dyDescent="0.3">
      <c r="A4728" t="s">
        <v>627</v>
      </c>
      <c r="B4728" s="16">
        <v>45954</v>
      </c>
      <c r="C4728" t="s">
        <v>3</v>
      </c>
      <c r="D4728" t="s">
        <v>117</v>
      </c>
      <c r="E4728">
        <v>2</v>
      </c>
      <c r="F4728">
        <v>2</v>
      </c>
      <c r="G4728">
        <v>1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2</v>
      </c>
      <c r="O4728">
        <f t="shared" si="154"/>
        <v>2025</v>
      </c>
      <c r="P4728">
        <f t="shared" si="155"/>
        <v>10</v>
      </c>
      <c r="Q4728" t="s">
        <v>784</v>
      </c>
      <c r="R4728" t="s">
        <v>805</v>
      </c>
    </row>
    <row r="4729" spans="1:18" x14ac:dyDescent="0.3">
      <c r="A4729" t="s">
        <v>627</v>
      </c>
      <c r="B4729" s="16">
        <v>45954</v>
      </c>
      <c r="C4729" t="s">
        <v>3</v>
      </c>
      <c r="D4729" t="s">
        <v>391</v>
      </c>
      <c r="E4729">
        <v>581</v>
      </c>
      <c r="F4729">
        <v>290</v>
      </c>
      <c r="G4729">
        <v>19</v>
      </c>
      <c r="H4729">
        <v>0</v>
      </c>
      <c r="I4729">
        <v>28860</v>
      </c>
      <c r="J4729">
        <v>6</v>
      </c>
      <c r="K4729">
        <v>29860</v>
      </c>
      <c r="L4729">
        <v>6</v>
      </c>
      <c r="M4729">
        <v>63</v>
      </c>
      <c r="N4729">
        <v>576</v>
      </c>
      <c r="O4729">
        <f t="shared" si="154"/>
        <v>2025</v>
      </c>
      <c r="P4729">
        <f t="shared" si="155"/>
        <v>10</v>
      </c>
      <c r="Q4729" t="s">
        <v>784</v>
      </c>
      <c r="R4729" t="s">
        <v>805</v>
      </c>
    </row>
    <row r="4730" spans="1:18" x14ac:dyDescent="0.3">
      <c r="A4730" t="s">
        <v>627</v>
      </c>
      <c r="B4730" s="16">
        <v>45954</v>
      </c>
      <c r="C4730" t="s">
        <v>3</v>
      </c>
      <c r="D4730" t="s">
        <v>114</v>
      </c>
      <c r="E4730">
        <v>130</v>
      </c>
      <c r="F4730">
        <v>56</v>
      </c>
      <c r="G4730">
        <v>4</v>
      </c>
      <c r="H4730">
        <v>2</v>
      </c>
      <c r="I4730">
        <v>3990</v>
      </c>
      <c r="J4730">
        <v>1</v>
      </c>
      <c r="K4730">
        <v>0</v>
      </c>
      <c r="L4730">
        <v>0</v>
      </c>
      <c r="M4730">
        <v>9</v>
      </c>
      <c r="N4730">
        <v>126</v>
      </c>
      <c r="O4730">
        <f t="shared" si="154"/>
        <v>2025</v>
      </c>
      <c r="P4730">
        <f t="shared" si="155"/>
        <v>10</v>
      </c>
      <c r="Q4730" t="s">
        <v>784</v>
      </c>
      <c r="R4730" t="s">
        <v>805</v>
      </c>
    </row>
    <row r="4731" spans="1:18" x14ac:dyDescent="0.3">
      <c r="A4731" t="s">
        <v>627</v>
      </c>
      <c r="B4731" s="16">
        <v>45954</v>
      </c>
      <c r="C4731" t="s">
        <v>3</v>
      </c>
      <c r="D4731" t="s">
        <v>113</v>
      </c>
      <c r="E4731">
        <v>101</v>
      </c>
      <c r="F4731">
        <v>43</v>
      </c>
      <c r="G4731">
        <v>2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83</v>
      </c>
      <c r="N4731">
        <v>58</v>
      </c>
      <c r="O4731">
        <f t="shared" si="154"/>
        <v>2025</v>
      </c>
      <c r="P4731">
        <f t="shared" si="155"/>
        <v>10</v>
      </c>
      <c r="Q4731" t="s">
        <v>784</v>
      </c>
      <c r="R4731" t="s">
        <v>805</v>
      </c>
    </row>
    <row r="4732" spans="1:18" x14ac:dyDescent="0.3">
      <c r="A4732" t="s">
        <v>627</v>
      </c>
      <c r="B4732" s="16">
        <v>45954</v>
      </c>
      <c r="C4732" t="s">
        <v>3</v>
      </c>
      <c r="D4732" t="s">
        <v>112</v>
      </c>
      <c r="E4732">
        <v>47</v>
      </c>
      <c r="F4732">
        <v>3</v>
      </c>
      <c r="G4732">
        <v>2</v>
      </c>
      <c r="H4732">
        <v>0</v>
      </c>
      <c r="I4732">
        <v>20150</v>
      </c>
      <c r="J4732">
        <v>5</v>
      </c>
      <c r="K4732">
        <v>18660</v>
      </c>
      <c r="L4732">
        <v>5</v>
      </c>
      <c r="M4732">
        <v>1</v>
      </c>
      <c r="N4732">
        <v>47</v>
      </c>
      <c r="O4732">
        <f t="shared" si="154"/>
        <v>2025</v>
      </c>
      <c r="P4732">
        <f t="shared" si="155"/>
        <v>10</v>
      </c>
      <c r="Q4732" t="s">
        <v>784</v>
      </c>
      <c r="R4732" t="s">
        <v>805</v>
      </c>
    </row>
    <row r="4733" spans="1:18" x14ac:dyDescent="0.3">
      <c r="A4733" t="s">
        <v>627</v>
      </c>
      <c r="B4733" s="16">
        <v>45954</v>
      </c>
      <c r="C4733" t="s">
        <v>3</v>
      </c>
      <c r="D4733" t="s">
        <v>111</v>
      </c>
      <c r="E4733">
        <v>1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1</v>
      </c>
      <c r="O4733">
        <f t="shared" si="154"/>
        <v>2025</v>
      </c>
      <c r="P4733">
        <f t="shared" si="155"/>
        <v>10</v>
      </c>
      <c r="Q4733" t="s">
        <v>784</v>
      </c>
      <c r="R4733" t="s">
        <v>805</v>
      </c>
    </row>
    <row r="4734" spans="1:18" x14ac:dyDescent="0.3">
      <c r="A4734" t="s">
        <v>627</v>
      </c>
      <c r="B4734" s="16">
        <v>45953</v>
      </c>
      <c r="C4734" t="s">
        <v>2</v>
      </c>
      <c r="D4734" t="s">
        <v>4</v>
      </c>
      <c r="E4734">
        <v>443</v>
      </c>
      <c r="F4734">
        <v>133</v>
      </c>
      <c r="G4734">
        <v>8</v>
      </c>
      <c r="H4734">
        <v>2</v>
      </c>
      <c r="I4734">
        <v>14260</v>
      </c>
      <c r="J4734">
        <v>3</v>
      </c>
      <c r="K4734">
        <v>14260</v>
      </c>
      <c r="L4734">
        <v>3</v>
      </c>
      <c r="M4734">
        <v>3</v>
      </c>
      <c r="N4734">
        <v>435</v>
      </c>
      <c r="O4734">
        <f t="shared" si="154"/>
        <v>2025</v>
      </c>
      <c r="P4734">
        <f t="shared" si="155"/>
        <v>10</v>
      </c>
      <c r="Q4734" t="s">
        <v>784</v>
      </c>
      <c r="R4734" t="s">
        <v>805</v>
      </c>
    </row>
    <row r="4735" spans="1:18" x14ac:dyDescent="0.3">
      <c r="A4735" t="s">
        <v>627</v>
      </c>
      <c r="B4735" s="16">
        <v>45953</v>
      </c>
      <c r="C4735" t="s">
        <v>2</v>
      </c>
      <c r="D4735" t="s">
        <v>57</v>
      </c>
      <c r="E4735">
        <v>49119</v>
      </c>
      <c r="F4735">
        <v>27717</v>
      </c>
      <c r="G4735">
        <v>252</v>
      </c>
      <c r="H4735">
        <v>318</v>
      </c>
      <c r="I4735">
        <v>247645</v>
      </c>
      <c r="J4735">
        <v>39</v>
      </c>
      <c r="K4735">
        <v>194465</v>
      </c>
      <c r="L4735">
        <v>35</v>
      </c>
      <c r="M4735">
        <v>1813</v>
      </c>
      <c r="N4735">
        <v>48706</v>
      </c>
      <c r="O4735">
        <f t="shared" si="154"/>
        <v>2025</v>
      </c>
      <c r="P4735">
        <f t="shared" si="155"/>
        <v>10</v>
      </c>
      <c r="Q4735" t="s">
        <v>784</v>
      </c>
      <c r="R4735" t="s">
        <v>805</v>
      </c>
    </row>
    <row r="4736" spans="1:18" x14ac:dyDescent="0.3">
      <c r="A4736" t="s">
        <v>627</v>
      </c>
      <c r="B4736" s="16">
        <v>45953</v>
      </c>
      <c r="C4736" t="s">
        <v>2</v>
      </c>
      <c r="D4736" t="s">
        <v>52</v>
      </c>
      <c r="E4736">
        <v>1</v>
      </c>
      <c r="F4736">
        <v>1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f t="shared" si="154"/>
        <v>2025</v>
      </c>
      <c r="P4736">
        <f t="shared" si="155"/>
        <v>10</v>
      </c>
      <c r="Q4736" t="s">
        <v>784</v>
      </c>
      <c r="R4736" t="s">
        <v>805</v>
      </c>
    </row>
    <row r="4737" spans="1:18" x14ac:dyDescent="0.3">
      <c r="A4737" t="s">
        <v>627</v>
      </c>
      <c r="B4737" s="16">
        <v>45953</v>
      </c>
      <c r="C4737" t="s">
        <v>2</v>
      </c>
      <c r="D4737" t="s">
        <v>55</v>
      </c>
      <c r="E4737">
        <v>1272</v>
      </c>
      <c r="F4737">
        <v>728</v>
      </c>
      <c r="G4737">
        <v>16</v>
      </c>
      <c r="H4737">
        <v>2</v>
      </c>
      <c r="I4737">
        <v>0</v>
      </c>
      <c r="J4737">
        <v>0</v>
      </c>
      <c r="K4737">
        <v>0</v>
      </c>
      <c r="L4737">
        <v>0</v>
      </c>
      <c r="M4737">
        <v>43</v>
      </c>
      <c r="N4737">
        <v>526</v>
      </c>
      <c r="O4737">
        <f t="shared" si="154"/>
        <v>2025</v>
      </c>
      <c r="P4737">
        <f t="shared" si="155"/>
        <v>10</v>
      </c>
      <c r="Q4737" t="s">
        <v>784</v>
      </c>
      <c r="R4737" t="s">
        <v>805</v>
      </c>
    </row>
    <row r="4738" spans="1:18" x14ac:dyDescent="0.3">
      <c r="A4738" t="s">
        <v>627</v>
      </c>
      <c r="B4738" s="16">
        <v>45953</v>
      </c>
      <c r="C4738" t="s">
        <v>3</v>
      </c>
      <c r="D4738" t="s">
        <v>157</v>
      </c>
      <c r="E4738">
        <v>1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f t="shared" si="154"/>
        <v>2025</v>
      </c>
      <c r="P4738">
        <f t="shared" si="155"/>
        <v>10</v>
      </c>
      <c r="Q4738" t="s">
        <v>784</v>
      </c>
      <c r="R4738" t="s">
        <v>805</v>
      </c>
    </row>
    <row r="4739" spans="1:18" x14ac:dyDescent="0.3">
      <c r="A4739" t="s">
        <v>627</v>
      </c>
      <c r="B4739" s="16">
        <v>45953</v>
      </c>
      <c r="C4739" t="s">
        <v>3</v>
      </c>
      <c r="D4739" t="s">
        <v>155</v>
      </c>
      <c r="E4739">
        <v>64</v>
      </c>
      <c r="F4739">
        <v>20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64</v>
      </c>
      <c r="O4739">
        <f t="shared" si="154"/>
        <v>2025</v>
      </c>
      <c r="P4739">
        <f t="shared" si="155"/>
        <v>10</v>
      </c>
      <c r="Q4739" t="s">
        <v>784</v>
      </c>
      <c r="R4739" t="s">
        <v>805</v>
      </c>
    </row>
    <row r="4740" spans="1:18" x14ac:dyDescent="0.3">
      <c r="A4740" t="s">
        <v>627</v>
      </c>
      <c r="B4740" s="16">
        <v>45953</v>
      </c>
      <c r="C4740" t="s">
        <v>3</v>
      </c>
      <c r="D4740" t="s">
        <v>154</v>
      </c>
      <c r="E4740">
        <v>316</v>
      </c>
      <c r="F4740">
        <v>275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f t="shared" si="154"/>
        <v>2025</v>
      </c>
      <c r="P4740">
        <f t="shared" si="155"/>
        <v>10</v>
      </c>
      <c r="Q4740" t="s">
        <v>784</v>
      </c>
      <c r="R4740" t="s">
        <v>805</v>
      </c>
    </row>
    <row r="4741" spans="1:18" x14ac:dyDescent="0.3">
      <c r="A4741" t="s">
        <v>627</v>
      </c>
      <c r="B4741" s="16">
        <v>45953</v>
      </c>
      <c r="C4741" t="s">
        <v>3</v>
      </c>
      <c r="D4741" t="s">
        <v>153</v>
      </c>
      <c r="E4741">
        <v>443</v>
      </c>
      <c r="F4741">
        <v>65</v>
      </c>
      <c r="G4741">
        <v>46</v>
      </c>
      <c r="H4741">
        <v>8</v>
      </c>
      <c r="I4741">
        <v>215185</v>
      </c>
      <c r="J4741">
        <v>43</v>
      </c>
      <c r="K4741">
        <v>177625</v>
      </c>
      <c r="L4741">
        <v>39</v>
      </c>
      <c r="M4741">
        <v>112</v>
      </c>
      <c r="N4741">
        <v>431</v>
      </c>
      <c r="O4741">
        <f t="shared" si="154"/>
        <v>2025</v>
      </c>
      <c r="P4741">
        <f t="shared" si="155"/>
        <v>10</v>
      </c>
      <c r="Q4741" t="s">
        <v>784</v>
      </c>
      <c r="R4741" t="s">
        <v>805</v>
      </c>
    </row>
    <row r="4742" spans="1:18" x14ac:dyDescent="0.3">
      <c r="A4742" t="s">
        <v>627</v>
      </c>
      <c r="B4742" s="16">
        <v>45953</v>
      </c>
      <c r="C4742" t="s">
        <v>3</v>
      </c>
      <c r="D4742" t="s">
        <v>152</v>
      </c>
      <c r="E4742">
        <v>26</v>
      </c>
      <c r="F4742">
        <v>8</v>
      </c>
      <c r="G4742">
        <v>0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26</v>
      </c>
      <c r="O4742">
        <f t="shared" si="154"/>
        <v>2025</v>
      </c>
      <c r="P4742">
        <f t="shared" si="155"/>
        <v>10</v>
      </c>
      <c r="Q4742" t="s">
        <v>784</v>
      </c>
      <c r="R4742" t="s">
        <v>805</v>
      </c>
    </row>
    <row r="4743" spans="1:18" x14ac:dyDescent="0.3">
      <c r="A4743" t="s">
        <v>627</v>
      </c>
      <c r="B4743" s="16">
        <v>45953</v>
      </c>
      <c r="C4743" t="s">
        <v>3</v>
      </c>
      <c r="D4743" t="s">
        <v>149</v>
      </c>
      <c r="E4743">
        <v>12</v>
      </c>
      <c r="F4743">
        <v>1</v>
      </c>
      <c r="G4743">
        <v>0</v>
      </c>
      <c r="H4743">
        <v>1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4</v>
      </c>
      <c r="O4743">
        <f t="shared" si="154"/>
        <v>2025</v>
      </c>
      <c r="P4743">
        <f t="shared" si="155"/>
        <v>10</v>
      </c>
      <c r="Q4743" t="s">
        <v>784</v>
      </c>
      <c r="R4743" t="s">
        <v>805</v>
      </c>
    </row>
    <row r="4744" spans="1:18" x14ac:dyDescent="0.3">
      <c r="A4744" t="s">
        <v>627</v>
      </c>
      <c r="B4744" s="16">
        <v>45953</v>
      </c>
      <c r="C4744" t="s">
        <v>3</v>
      </c>
      <c r="D4744" t="s">
        <v>148</v>
      </c>
      <c r="E4744">
        <v>1</v>
      </c>
      <c r="F4744">
        <v>1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1</v>
      </c>
      <c r="N4744">
        <v>0</v>
      </c>
      <c r="O4744">
        <f t="shared" si="154"/>
        <v>2025</v>
      </c>
      <c r="P4744">
        <f t="shared" si="155"/>
        <v>10</v>
      </c>
      <c r="Q4744" t="s">
        <v>784</v>
      </c>
      <c r="R4744" t="s">
        <v>805</v>
      </c>
    </row>
    <row r="4745" spans="1:18" x14ac:dyDescent="0.3">
      <c r="A4745" t="s">
        <v>627</v>
      </c>
      <c r="B4745" s="16">
        <v>45953</v>
      </c>
      <c r="C4745" t="s">
        <v>3</v>
      </c>
      <c r="D4745" t="s">
        <v>146</v>
      </c>
      <c r="E4745">
        <v>1</v>
      </c>
      <c r="F4745">
        <v>1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1</v>
      </c>
      <c r="O4745">
        <f t="shared" ref="O4745:O4808" si="156">YEAR(B4745)</f>
        <v>2025</v>
      </c>
      <c r="P4745">
        <f t="shared" ref="P4745:P4808" si="157">MONTH(B4745)</f>
        <v>10</v>
      </c>
      <c r="Q4745" t="s">
        <v>784</v>
      </c>
      <c r="R4745" t="s">
        <v>805</v>
      </c>
    </row>
    <row r="4746" spans="1:18" x14ac:dyDescent="0.3">
      <c r="A4746" t="s">
        <v>627</v>
      </c>
      <c r="B4746" s="16">
        <v>45953</v>
      </c>
      <c r="C4746" t="s">
        <v>3</v>
      </c>
      <c r="D4746" t="s">
        <v>251</v>
      </c>
      <c r="E4746">
        <v>1994</v>
      </c>
      <c r="F4746">
        <v>1480</v>
      </c>
      <c r="G4746">
        <v>23</v>
      </c>
      <c r="H4746">
        <v>5</v>
      </c>
      <c r="I4746">
        <v>72800</v>
      </c>
      <c r="J4746">
        <v>14</v>
      </c>
      <c r="K4746">
        <v>72800</v>
      </c>
      <c r="L4746">
        <v>14</v>
      </c>
      <c r="M4746">
        <v>152</v>
      </c>
      <c r="N4746">
        <v>461</v>
      </c>
      <c r="O4746">
        <f t="shared" si="156"/>
        <v>2025</v>
      </c>
      <c r="P4746">
        <f t="shared" si="157"/>
        <v>10</v>
      </c>
      <c r="Q4746" t="s">
        <v>784</v>
      </c>
      <c r="R4746" t="s">
        <v>805</v>
      </c>
    </row>
    <row r="4747" spans="1:18" x14ac:dyDescent="0.3">
      <c r="A4747" t="s">
        <v>627</v>
      </c>
      <c r="B4747" s="16">
        <v>45953</v>
      </c>
      <c r="C4747" t="s">
        <v>3</v>
      </c>
      <c r="D4747" t="s">
        <v>141</v>
      </c>
      <c r="E4747">
        <v>380</v>
      </c>
      <c r="F4747">
        <v>140</v>
      </c>
      <c r="G4747">
        <v>7</v>
      </c>
      <c r="H4747">
        <v>1</v>
      </c>
      <c r="I4747">
        <v>0</v>
      </c>
      <c r="J4747">
        <v>0</v>
      </c>
      <c r="K4747">
        <v>0</v>
      </c>
      <c r="L4747">
        <v>0</v>
      </c>
      <c r="M4747">
        <v>1</v>
      </c>
      <c r="N4747">
        <v>379</v>
      </c>
      <c r="O4747">
        <f t="shared" si="156"/>
        <v>2025</v>
      </c>
      <c r="P4747">
        <f t="shared" si="157"/>
        <v>10</v>
      </c>
      <c r="Q4747" t="s">
        <v>784</v>
      </c>
      <c r="R4747" t="s">
        <v>805</v>
      </c>
    </row>
    <row r="4748" spans="1:18" x14ac:dyDescent="0.3">
      <c r="A4748" t="s">
        <v>627</v>
      </c>
      <c r="B4748" s="16">
        <v>45953</v>
      </c>
      <c r="C4748" t="s">
        <v>3</v>
      </c>
      <c r="D4748" t="s">
        <v>140</v>
      </c>
      <c r="E4748">
        <v>14</v>
      </c>
      <c r="F4748">
        <v>13</v>
      </c>
      <c r="G4748">
        <v>2</v>
      </c>
      <c r="H4748">
        <v>4</v>
      </c>
      <c r="I4748">
        <v>0</v>
      </c>
      <c r="J4748">
        <v>0</v>
      </c>
      <c r="K4748">
        <v>0</v>
      </c>
      <c r="L4748">
        <v>0</v>
      </c>
      <c r="M4748">
        <v>2</v>
      </c>
      <c r="N4748">
        <v>14</v>
      </c>
      <c r="O4748">
        <f t="shared" si="156"/>
        <v>2025</v>
      </c>
      <c r="P4748">
        <f t="shared" si="157"/>
        <v>10</v>
      </c>
      <c r="Q4748" t="s">
        <v>784</v>
      </c>
      <c r="R4748" t="s">
        <v>805</v>
      </c>
    </row>
    <row r="4749" spans="1:18" x14ac:dyDescent="0.3">
      <c r="A4749" t="s">
        <v>627</v>
      </c>
      <c r="B4749" s="16">
        <v>45953</v>
      </c>
      <c r="C4749" t="s">
        <v>3</v>
      </c>
      <c r="D4749" t="s">
        <v>139</v>
      </c>
      <c r="E4749">
        <v>1421</v>
      </c>
      <c r="F4749">
        <v>557</v>
      </c>
      <c r="G4749">
        <v>65</v>
      </c>
      <c r="H4749">
        <v>21</v>
      </c>
      <c r="I4749">
        <v>139375</v>
      </c>
      <c r="J4749">
        <v>31</v>
      </c>
      <c r="K4749">
        <v>102225</v>
      </c>
      <c r="L4749">
        <v>26</v>
      </c>
      <c r="M4749">
        <v>384</v>
      </c>
      <c r="N4749">
        <v>1259</v>
      </c>
      <c r="O4749">
        <f t="shared" si="156"/>
        <v>2025</v>
      </c>
      <c r="P4749">
        <f t="shared" si="157"/>
        <v>10</v>
      </c>
      <c r="Q4749" t="s">
        <v>784</v>
      </c>
      <c r="R4749" t="s">
        <v>805</v>
      </c>
    </row>
    <row r="4750" spans="1:18" x14ac:dyDescent="0.3">
      <c r="A4750" t="s">
        <v>627</v>
      </c>
      <c r="B4750" s="16">
        <v>45953</v>
      </c>
      <c r="C4750" t="s">
        <v>3</v>
      </c>
      <c r="D4750" t="s">
        <v>138</v>
      </c>
      <c r="E4750">
        <v>20</v>
      </c>
      <c r="F4750">
        <v>10</v>
      </c>
      <c r="G4750">
        <v>1</v>
      </c>
      <c r="H4750">
        <v>0</v>
      </c>
      <c r="I4750">
        <v>16480</v>
      </c>
      <c r="J4750">
        <v>2</v>
      </c>
      <c r="K4750">
        <v>11490</v>
      </c>
      <c r="L4750">
        <v>2</v>
      </c>
      <c r="M4750">
        <v>6</v>
      </c>
      <c r="N4750">
        <v>19</v>
      </c>
      <c r="O4750">
        <f t="shared" si="156"/>
        <v>2025</v>
      </c>
      <c r="P4750">
        <f t="shared" si="157"/>
        <v>10</v>
      </c>
      <c r="Q4750" t="s">
        <v>784</v>
      </c>
      <c r="R4750" t="s">
        <v>805</v>
      </c>
    </row>
    <row r="4751" spans="1:18" x14ac:dyDescent="0.3">
      <c r="A4751" t="s">
        <v>627</v>
      </c>
      <c r="B4751" s="16">
        <v>45953</v>
      </c>
      <c r="C4751" t="s">
        <v>3</v>
      </c>
      <c r="D4751" t="s">
        <v>136</v>
      </c>
      <c r="E4751">
        <v>1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1</v>
      </c>
      <c r="O4751">
        <f t="shared" si="156"/>
        <v>2025</v>
      </c>
      <c r="P4751">
        <f t="shared" si="157"/>
        <v>10</v>
      </c>
      <c r="Q4751" t="s">
        <v>784</v>
      </c>
      <c r="R4751" t="s">
        <v>805</v>
      </c>
    </row>
    <row r="4752" spans="1:18" x14ac:dyDescent="0.3">
      <c r="A4752" t="s">
        <v>627</v>
      </c>
      <c r="B4752" s="16">
        <v>45953</v>
      </c>
      <c r="C4752" t="s">
        <v>3</v>
      </c>
      <c r="D4752" t="s">
        <v>133</v>
      </c>
      <c r="E4752">
        <v>17</v>
      </c>
      <c r="F4752">
        <v>12</v>
      </c>
      <c r="G4752">
        <v>2</v>
      </c>
      <c r="H4752">
        <v>0</v>
      </c>
      <c r="I4752">
        <v>5942.44</v>
      </c>
      <c r="J4752">
        <v>2</v>
      </c>
      <c r="K4752">
        <v>5942.44</v>
      </c>
      <c r="L4752">
        <v>2</v>
      </c>
      <c r="M4752">
        <v>4</v>
      </c>
      <c r="N4752">
        <v>15</v>
      </c>
      <c r="O4752">
        <f t="shared" si="156"/>
        <v>2025</v>
      </c>
      <c r="P4752">
        <f t="shared" si="157"/>
        <v>10</v>
      </c>
      <c r="Q4752" t="s">
        <v>784</v>
      </c>
      <c r="R4752" t="s">
        <v>805</v>
      </c>
    </row>
    <row r="4753" spans="1:18" x14ac:dyDescent="0.3">
      <c r="A4753" t="s">
        <v>627</v>
      </c>
      <c r="B4753" s="16">
        <v>45953</v>
      </c>
      <c r="C4753" t="s">
        <v>3</v>
      </c>
      <c r="D4753" t="s">
        <v>130</v>
      </c>
      <c r="E4753">
        <v>120</v>
      </c>
      <c r="F4753">
        <v>36</v>
      </c>
      <c r="G4753">
        <v>13</v>
      </c>
      <c r="H4753">
        <v>4</v>
      </c>
      <c r="I4753">
        <v>80450</v>
      </c>
      <c r="J4753">
        <v>9</v>
      </c>
      <c r="K4753">
        <v>70470</v>
      </c>
      <c r="L4753">
        <v>8</v>
      </c>
      <c r="M4753">
        <v>50</v>
      </c>
      <c r="N4753">
        <v>102</v>
      </c>
      <c r="O4753">
        <f t="shared" si="156"/>
        <v>2025</v>
      </c>
      <c r="P4753">
        <f t="shared" si="157"/>
        <v>10</v>
      </c>
      <c r="Q4753" t="s">
        <v>784</v>
      </c>
      <c r="R4753" t="s">
        <v>805</v>
      </c>
    </row>
    <row r="4754" spans="1:18" x14ac:dyDescent="0.3">
      <c r="A4754" t="s">
        <v>627</v>
      </c>
      <c r="B4754" s="16">
        <v>45953</v>
      </c>
      <c r="C4754" t="s">
        <v>3</v>
      </c>
      <c r="D4754" t="s">
        <v>128</v>
      </c>
      <c r="E4754">
        <v>1334</v>
      </c>
      <c r="F4754">
        <v>943</v>
      </c>
      <c r="G4754">
        <v>50</v>
      </c>
      <c r="H4754">
        <v>15</v>
      </c>
      <c r="I4754">
        <v>53190</v>
      </c>
      <c r="J4754">
        <v>10</v>
      </c>
      <c r="K4754">
        <v>53190</v>
      </c>
      <c r="L4754">
        <v>10</v>
      </c>
      <c r="M4754">
        <v>311</v>
      </c>
      <c r="N4754">
        <v>1266</v>
      </c>
      <c r="O4754">
        <f t="shared" si="156"/>
        <v>2025</v>
      </c>
      <c r="P4754">
        <f t="shared" si="157"/>
        <v>10</v>
      </c>
      <c r="Q4754" t="s">
        <v>784</v>
      </c>
      <c r="R4754" t="s">
        <v>805</v>
      </c>
    </row>
    <row r="4755" spans="1:18" x14ac:dyDescent="0.3">
      <c r="A4755" t="s">
        <v>627</v>
      </c>
      <c r="B4755" s="16">
        <v>45953</v>
      </c>
      <c r="C4755" t="s">
        <v>3</v>
      </c>
      <c r="D4755" t="s">
        <v>127</v>
      </c>
      <c r="E4755">
        <v>5819</v>
      </c>
      <c r="F4755">
        <v>2285</v>
      </c>
      <c r="G4755">
        <v>146</v>
      </c>
      <c r="H4755">
        <v>40</v>
      </c>
      <c r="I4755">
        <v>152400</v>
      </c>
      <c r="J4755">
        <v>30</v>
      </c>
      <c r="K4755">
        <v>128040</v>
      </c>
      <c r="L4755">
        <v>27</v>
      </c>
      <c r="M4755">
        <v>504</v>
      </c>
      <c r="N4755">
        <v>5699</v>
      </c>
      <c r="O4755">
        <f t="shared" si="156"/>
        <v>2025</v>
      </c>
      <c r="P4755">
        <f t="shared" si="157"/>
        <v>10</v>
      </c>
      <c r="Q4755" t="s">
        <v>784</v>
      </c>
      <c r="R4755" t="s">
        <v>805</v>
      </c>
    </row>
    <row r="4756" spans="1:18" x14ac:dyDescent="0.3">
      <c r="A4756" t="s">
        <v>627</v>
      </c>
      <c r="B4756" s="16">
        <v>45953</v>
      </c>
      <c r="C4756" t="s">
        <v>3</v>
      </c>
      <c r="D4756" t="s">
        <v>126</v>
      </c>
      <c r="E4756">
        <v>152</v>
      </c>
      <c r="F4756">
        <v>90</v>
      </c>
      <c r="G4756">
        <v>5</v>
      </c>
      <c r="H4756">
        <v>5</v>
      </c>
      <c r="I4756">
        <v>8980</v>
      </c>
      <c r="J4756">
        <v>2</v>
      </c>
      <c r="K4756">
        <v>7990</v>
      </c>
      <c r="L4756">
        <v>1</v>
      </c>
      <c r="M4756">
        <v>24</v>
      </c>
      <c r="N4756">
        <v>145</v>
      </c>
      <c r="O4756">
        <f t="shared" si="156"/>
        <v>2025</v>
      </c>
      <c r="P4756">
        <f t="shared" si="157"/>
        <v>10</v>
      </c>
      <c r="Q4756" t="s">
        <v>784</v>
      </c>
      <c r="R4756" t="s">
        <v>805</v>
      </c>
    </row>
    <row r="4757" spans="1:18" x14ac:dyDescent="0.3">
      <c r="A4757" t="s">
        <v>627</v>
      </c>
      <c r="B4757" s="16">
        <v>45953</v>
      </c>
      <c r="C4757" t="s">
        <v>3</v>
      </c>
      <c r="D4757" t="s">
        <v>125</v>
      </c>
      <c r="E4757">
        <v>1</v>
      </c>
      <c r="F4757">
        <v>1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1</v>
      </c>
      <c r="O4757">
        <f t="shared" si="156"/>
        <v>2025</v>
      </c>
      <c r="P4757">
        <f t="shared" si="157"/>
        <v>10</v>
      </c>
      <c r="Q4757" t="s">
        <v>784</v>
      </c>
      <c r="R4757" t="s">
        <v>805</v>
      </c>
    </row>
    <row r="4758" spans="1:18" x14ac:dyDescent="0.3">
      <c r="A4758" t="s">
        <v>627</v>
      </c>
      <c r="B4758" s="16">
        <v>45953</v>
      </c>
      <c r="C4758" t="s">
        <v>3</v>
      </c>
      <c r="D4758" t="s">
        <v>123</v>
      </c>
      <c r="E4758">
        <v>40</v>
      </c>
      <c r="F4758">
        <v>18</v>
      </c>
      <c r="G4758">
        <v>6</v>
      </c>
      <c r="H4758">
        <v>1</v>
      </c>
      <c r="I4758">
        <v>5400</v>
      </c>
      <c r="J4758">
        <v>1</v>
      </c>
      <c r="K4758">
        <v>0</v>
      </c>
      <c r="L4758">
        <v>0</v>
      </c>
      <c r="M4758">
        <v>34</v>
      </c>
      <c r="N4758">
        <v>25</v>
      </c>
      <c r="O4758">
        <f t="shared" si="156"/>
        <v>2025</v>
      </c>
      <c r="P4758">
        <f t="shared" si="157"/>
        <v>10</v>
      </c>
      <c r="Q4758" t="s">
        <v>784</v>
      </c>
      <c r="R4758" t="s">
        <v>805</v>
      </c>
    </row>
    <row r="4759" spans="1:18" x14ac:dyDescent="0.3">
      <c r="A4759" t="s">
        <v>627</v>
      </c>
      <c r="B4759" s="16">
        <v>45953</v>
      </c>
      <c r="C4759" t="s">
        <v>3</v>
      </c>
      <c r="D4759" t="s">
        <v>121</v>
      </c>
      <c r="E4759">
        <v>1</v>
      </c>
      <c r="F4759">
        <v>1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1</v>
      </c>
      <c r="O4759">
        <f t="shared" si="156"/>
        <v>2025</v>
      </c>
      <c r="P4759">
        <f t="shared" si="157"/>
        <v>10</v>
      </c>
      <c r="Q4759" t="s">
        <v>784</v>
      </c>
      <c r="R4759" t="s">
        <v>805</v>
      </c>
    </row>
    <row r="4760" spans="1:18" x14ac:dyDescent="0.3">
      <c r="A4760" t="s">
        <v>627</v>
      </c>
      <c r="B4760" s="16">
        <v>45953</v>
      </c>
      <c r="C4760" t="s">
        <v>3</v>
      </c>
      <c r="D4760" t="s">
        <v>119</v>
      </c>
      <c r="E4760">
        <v>375</v>
      </c>
      <c r="F4760">
        <v>69</v>
      </c>
      <c r="G4760">
        <v>26</v>
      </c>
      <c r="H4760">
        <v>9</v>
      </c>
      <c r="I4760">
        <v>107395</v>
      </c>
      <c r="J4760">
        <v>18</v>
      </c>
      <c r="K4760">
        <v>104485</v>
      </c>
      <c r="L4760">
        <v>18</v>
      </c>
      <c r="M4760">
        <v>70</v>
      </c>
      <c r="N4760">
        <v>367</v>
      </c>
      <c r="O4760">
        <f t="shared" si="156"/>
        <v>2025</v>
      </c>
      <c r="P4760">
        <f t="shared" si="157"/>
        <v>10</v>
      </c>
      <c r="Q4760" t="s">
        <v>784</v>
      </c>
      <c r="R4760" t="s">
        <v>805</v>
      </c>
    </row>
    <row r="4761" spans="1:18" x14ac:dyDescent="0.3">
      <c r="A4761" t="s">
        <v>627</v>
      </c>
      <c r="B4761" s="16">
        <v>45953</v>
      </c>
      <c r="C4761" t="s">
        <v>3</v>
      </c>
      <c r="D4761" t="s">
        <v>252</v>
      </c>
      <c r="E4761">
        <v>3</v>
      </c>
      <c r="F4761">
        <v>3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1</v>
      </c>
      <c r="N4761">
        <v>3</v>
      </c>
      <c r="O4761">
        <f t="shared" si="156"/>
        <v>2025</v>
      </c>
      <c r="P4761">
        <f t="shared" si="157"/>
        <v>10</v>
      </c>
      <c r="Q4761" t="s">
        <v>784</v>
      </c>
      <c r="R4761" t="s">
        <v>805</v>
      </c>
    </row>
    <row r="4762" spans="1:18" x14ac:dyDescent="0.3">
      <c r="A4762" t="s">
        <v>627</v>
      </c>
      <c r="B4762" s="16">
        <v>45953</v>
      </c>
      <c r="C4762" t="s">
        <v>3</v>
      </c>
      <c r="D4762" t="s">
        <v>117</v>
      </c>
      <c r="E4762">
        <v>2</v>
      </c>
      <c r="F4762">
        <v>2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2</v>
      </c>
      <c r="O4762">
        <f t="shared" si="156"/>
        <v>2025</v>
      </c>
      <c r="P4762">
        <f t="shared" si="157"/>
        <v>10</v>
      </c>
      <c r="Q4762" t="s">
        <v>784</v>
      </c>
      <c r="R4762" t="s">
        <v>805</v>
      </c>
    </row>
    <row r="4763" spans="1:18" x14ac:dyDescent="0.3">
      <c r="A4763" t="s">
        <v>627</v>
      </c>
      <c r="B4763" s="16">
        <v>45953</v>
      </c>
      <c r="C4763" t="s">
        <v>3</v>
      </c>
      <c r="D4763" t="s">
        <v>391</v>
      </c>
      <c r="E4763">
        <v>696</v>
      </c>
      <c r="F4763">
        <v>333</v>
      </c>
      <c r="G4763">
        <v>18</v>
      </c>
      <c r="H4763">
        <v>2</v>
      </c>
      <c r="I4763">
        <v>79875</v>
      </c>
      <c r="J4763">
        <v>9</v>
      </c>
      <c r="K4763">
        <v>69945</v>
      </c>
      <c r="L4763">
        <v>8</v>
      </c>
      <c r="M4763">
        <v>71</v>
      </c>
      <c r="N4763">
        <v>688</v>
      </c>
      <c r="O4763">
        <f t="shared" si="156"/>
        <v>2025</v>
      </c>
      <c r="P4763">
        <f t="shared" si="157"/>
        <v>10</v>
      </c>
      <c r="Q4763" t="s">
        <v>784</v>
      </c>
      <c r="R4763" t="s">
        <v>805</v>
      </c>
    </row>
    <row r="4764" spans="1:18" x14ac:dyDescent="0.3">
      <c r="A4764" t="s">
        <v>627</v>
      </c>
      <c r="B4764" s="16">
        <v>45953</v>
      </c>
      <c r="C4764" t="s">
        <v>3</v>
      </c>
      <c r="D4764" t="s">
        <v>114</v>
      </c>
      <c r="E4764">
        <v>143</v>
      </c>
      <c r="F4764">
        <v>62</v>
      </c>
      <c r="G4764">
        <v>5</v>
      </c>
      <c r="H4764">
        <v>1</v>
      </c>
      <c r="I4764">
        <v>2490</v>
      </c>
      <c r="J4764">
        <v>1</v>
      </c>
      <c r="K4764">
        <v>2490</v>
      </c>
      <c r="L4764">
        <v>1</v>
      </c>
      <c r="M4764">
        <v>14</v>
      </c>
      <c r="N4764">
        <v>140</v>
      </c>
      <c r="O4764">
        <f t="shared" si="156"/>
        <v>2025</v>
      </c>
      <c r="P4764">
        <f t="shared" si="157"/>
        <v>10</v>
      </c>
      <c r="Q4764" t="s">
        <v>784</v>
      </c>
      <c r="R4764" t="s">
        <v>805</v>
      </c>
    </row>
    <row r="4765" spans="1:18" x14ac:dyDescent="0.3">
      <c r="A4765" t="s">
        <v>627</v>
      </c>
      <c r="B4765" s="16">
        <v>45953</v>
      </c>
      <c r="C4765" t="s">
        <v>3</v>
      </c>
      <c r="D4765" t="s">
        <v>113</v>
      </c>
      <c r="E4765">
        <v>129</v>
      </c>
      <c r="F4765">
        <v>50</v>
      </c>
      <c r="G4765">
        <v>1</v>
      </c>
      <c r="H4765">
        <v>3</v>
      </c>
      <c r="I4765">
        <v>0</v>
      </c>
      <c r="J4765">
        <v>0</v>
      </c>
      <c r="K4765">
        <v>0</v>
      </c>
      <c r="L4765">
        <v>0</v>
      </c>
      <c r="M4765">
        <v>108</v>
      </c>
      <c r="N4765">
        <v>75</v>
      </c>
      <c r="O4765">
        <f t="shared" si="156"/>
        <v>2025</v>
      </c>
      <c r="P4765">
        <f t="shared" si="157"/>
        <v>10</v>
      </c>
      <c r="Q4765" t="s">
        <v>784</v>
      </c>
      <c r="R4765" t="s">
        <v>805</v>
      </c>
    </row>
    <row r="4766" spans="1:18" x14ac:dyDescent="0.3">
      <c r="A4766" t="s">
        <v>627</v>
      </c>
      <c r="B4766" s="16">
        <v>45953</v>
      </c>
      <c r="C4766" t="s">
        <v>3</v>
      </c>
      <c r="D4766" t="s">
        <v>112</v>
      </c>
      <c r="E4766">
        <v>61</v>
      </c>
      <c r="F4766">
        <v>13</v>
      </c>
      <c r="G4766">
        <v>0</v>
      </c>
      <c r="H4766">
        <v>0</v>
      </c>
      <c r="I4766">
        <v>4940</v>
      </c>
      <c r="J4766">
        <v>1</v>
      </c>
      <c r="K4766">
        <v>4940</v>
      </c>
      <c r="L4766">
        <v>1</v>
      </c>
      <c r="M4766">
        <v>0</v>
      </c>
      <c r="N4766">
        <v>61</v>
      </c>
      <c r="O4766">
        <f t="shared" si="156"/>
        <v>2025</v>
      </c>
      <c r="P4766">
        <f t="shared" si="157"/>
        <v>10</v>
      </c>
      <c r="Q4766" t="s">
        <v>784</v>
      </c>
      <c r="R4766" t="s">
        <v>805</v>
      </c>
    </row>
    <row r="4767" spans="1:18" x14ac:dyDescent="0.3">
      <c r="A4767" t="s">
        <v>627</v>
      </c>
      <c r="B4767" s="16">
        <v>45953</v>
      </c>
      <c r="C4767" t="s">
        <v>3</v>
      </c>
      <c r="D4767" t="s">
        <v>111</v>
      </c>
      <c r="E4767">
        <v>4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4</v>
      </c>
      <c r="O4767">
        <f t="shared" si="156"/>
        <v>2025</v>
      </c>
      <c r="P4767">
        <f t="shared" si="157"/>
        <v>10</v>
      </c>
      <c r="Q4767" t="s">
        <v>784</v>
      </c>
      <c r="R4767" t="s">
        <v>805</v>
      </c>
    </row>
    <row r="4768" spans="1:18" x14ac:dyDescent="0.3">
      <c r="A4768" t="s">
        <v>627</v>
      </c>
      <c r="B4768" s="16">
        <v>45952</v>
      </c>
      <c r="C4768" t="s">
        <v>2</v>
      </c>
      <c r="D4768" t="s">
        <v>4</v>
      </c>
      <c r="E4768">
        <v>450</v>
      </c>
      <c r="F4768">
        <v>137</v>
      </c>
      <c r="G4768">
        <v>6</v>
      </c>
      <c r="H4768">
        <v>2</v>
      </c>
      <c r="I4768">
        <v>23635</v>
      </c>
      <c r="J4768">
        <v>3</v>
      </c>
      <c r="K4768">
        <v>20945</v>
      </c>
      <c r="L4768">
        <v>3</v>
      </c>
      <c r="M4768">
        <v>4</v>
      </c>
      <c r="N4768">
        <v>439</v>
      </c>
      <c r="O4768">
        <f t="shared" si="156"/>
        <v>2025</v>
      </c>
      <c r="P4768">
        <f t="shared" si="157"/>
        <v>10</v>
      </c>
      <c r="Q4768" t="s">
        <v>784</v>
      </c>
      <c r="R4768" t="s">
        <v>805</v>
      </c>
    </row>
    <row r="4769" spans="1:18" x14ac:dyDescent="0.3">
      <c r="A4769" t="s">
        <v>627</v>
      </c>
      <c r="B4769" s="16">
        <v>45952</v>
      </c>
      <c r="C4769" t="s">
        <v>2</v>
      </c>
      <c r="D4769" t="s">
        <v>57</v>
      </c>
      <c r="E4769">
        <v>52381</v>
      </c>
      <c r="F4769">
        <v>31059</v>
      </c>
      <c r="G4769">
        <v>294</v>
      </c>
      <c r="H4769">
        <v>345</v>
      </c>
      <c r="I4769">
        <v>248540</v>
      </c>
      <c r="J4769">
        <v>42</v>
      </c>
      <c r="K4769">
        <v>149760</v>
      </c>
      <c r="L4769">
        <v>30</v>
      </c>
      <c r="M4769">
        <v>2022</v>
      </c>
      <c r="N4769">
        <v>51938</v>
      </c>
      <c r="O4769">
        <f t="shared" si="156"/>
        <v>2025</v>
      </c>
      <c r="P4769">
        <f t="shared" si="157"/>
        <v>10</v>
      </c>
      <c r="Q4769" t="s">
        <v>784</v>
      </c>
      <c r="R4769" t="s">
        <v>805</v>
      </c>
    </row>
    <row r="4770" spans="1:18" x14ac:dyDescent="0.3">
      <c r="A4770" t="s">
        <v>627</v>
      </c>
      <c r="B4770" s="16">
        <v>45952</v>
      </c>
      <c r="C4770" t="s">
        <v>2</v>
      </c>
      <c r="D4770" t="s">
        <v>55</v>
      </c>
      <c r="E4770">
        <v>1479</v>
      </c>
      <c r="F4770">
        <v>975</v>
      </c>
      <c r="G4770">
        <v>17</v>
      </c>
      <c r="H4770">
        <v>3</v>
      </c>
      <c r="I4770">
        <v>0</v>
      </c>
      <c r="J4770">
        <v>0</v>
      </c>
      <c r="K4770">
        <v>0</v>
      </c>
      <c r="L4770">
        <v>0</v>
      </c>
      <c r="M4770">
        <v>51</v>
      </c>
      <c r="N4770">
        <v>515</v>
      </c>
      <c r="O4770">
        <f t="shared" si="156"/>
        <v>2025</v>
      </c>
      <c r="P4770">
        <f t="shared" si="157"/>
        <v>10</v>
      </c>
      <c r="Q4770" t="s">
        <v>784</v>
      </c>
      <c r="R4770" t="s">
        <v>805</v>
      </c>
    </row>
    <row r="4771" spans="1:18" x14ac:dyDescent="0.3">
      <c r="A4771" t="s">
        <v>627</v>
      </c>
      <c r="B4771" s="16">
        <v>45952</v>
      </c>
      <c r="C4771" t="s">
        <v>3</v>
      </c>
      <c r="D4771" t="s">
        <v>157</v>
      </c>
      <c r="E4771">
        <v>1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f t="shared" si="156"/>
        <v>2025</v>
      </c>
      <c r="P4771">
        <f t="shared" si="157"/>
        <v>10</v>
      </c>
      <c r="Q4771" t="s">
        <v>784</v>
      </c>
      <c r="R4771" t="s">
        <v>805</v>
      </c>
    </row>
    <row r="4772" spans="1:18" x14ac:dyDescent="0.3">
      <c r="A4772" t="s">
        <v>627</v>
      </c>
      <c r="B4772" s="16">
        <v>45952</v>
      </c>
      <c r="C4772" t="s">
        <v>3</v>
      </c>
      <c r="D4772" t="s">
        <v>155</v>
      </c>
      <c r="E4772">
        <v>86</v>
      </c>
      <c r="F4772">
        <v>25</v>
      </c>
      <c r="G4772">
        <v>1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2</v>
      </c>
      <c r="N4772">
        <v>86</v>
      </c>
      <c r="O4772">
        <f t="shared" si="156"/>
        <v>2025</v>
      </c>
      <c r="P4772">
        <f t="shared" si="157"/>
        <v>10</v>
      </c>
      <c r="Q4772" t="s">
        <v>784</v>
      </c>
      <c r="R4772" t="s">
        <v>805</v>
      </c>
    </row>
    <row r="4773" spans="1:18" x14ac:dyDescent="0.3">
      <c r="A4773" t="s">
        <v>627</v>
      </c>
      <c r="B4773" s="16">
        <v>45952</v>
      </c>
      <c r="C4773" t="s">
        <v>3</v>
      </c>
      <c r="D4773" t="s">
        <v>154</v>
      </c>
      <c r="E4773">
        <v>258</v>
      </c>
      <c r="F4773">
        <v>208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f t="shared" si="156"/>
        <v>2025</v>
      </c>
      <c r="P4773">
        <f t="shared" si="157"/>
        <v>10</v>
      </c>
      <c r="Q4773" t="s">
        <v>784</v>
      </c>
      <c r="R4773" t="s">
        <v>805</v>
      </c>
    </row>
    <row r="4774" spans="1:18" x14ac:dyDescent="0.3">
      <c r="A4774" t="s">
        <v>627</v>
      </c>
      <c r="B4774" s="16">
        <v>45952</v>
      </c>
      <c r="C4774" t="s">
        <v>3</v>
      </c>
      <c r="D4774" t="s">
        <v>153</v>
      </c>
      <c r="E4774">
        <v>513</v>
      </c>
      <c r="F4774">
        <v>105</v>
      </c>
      <c r="G4774">
        <v>45</v>
      </c>
      <c r="H4774">
        <v>11</v>
      </c>
      <c r="I4774">
        <v>335414.42</v>
      </c>
      <c r="J4774">
        <v>52</v>
      </c>
      <c r="K4774">
        <v>305814.42</v>
      </c>
      <c r="L4774">
        <v>49</v>
      </c>
      <c r="M4774">
        <v>141</v>
      </c>
      <c r="N4774">
        <v>490</v>
      </c>
      <c r="O4774">
        <f t="shared" si="156"/>
        <v>2025</v>
      </c>
      <c r="P4774">
        <f t="shared" si="157"/>
        <v>10</v>
      </c>
      <c r="Q4774" t="s">
        <v>784</v>
      </c>
      <c r="R4774" t="s">
        <v>805</v>
      </c>
    </row>
    <row r="4775" spans="1:18" x14ac:dyDescent="0.3">
      <c r="A4775" t="s">
        <v>627</v>
      </c>
      <c r="B4775" s="16">
        <v>45952</v>
      </c>
      <c r="C4775" t="s">
        <v>3</v>
      </c>
      <c r="D4775" t="s">
        <v>152</v>
      </c>
      <c r="E4775">
        <v>20</v>
      </c>
      <c r="F4775">
        <v>10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1</v>
      </c>
      <c r="N4775">
        <v>18</v>
      </c>
      <c r="O4775">
        <f t="shared" si="156"/>
        <v>2025</v>
      </c>
      <c r="P4775">
        <f t="shared" si="157"/>
        <v>10</v>
      </c>
      <c r="Q4775" t="s">
        <v>784</v>
      </c>
      <c r="R4775" t="s">
        <v>805</v>
      </c>
    </row>
    <row r="4776" spans="1:18" x14ac:dyDescent="0.3">
      <c r="A4776" t="s">
        <v>627</v>
      </c>
      <c r="B4776" s="16">
        <v>45952</v>
      </c>
      <c r="C4776" t="s">
        <v>3</v>
      </c>
      <c r="D4776" t="s">
        <v>149</v>
      </c>
      <c r="E4776">
        <v>7</v>
      </c>
      <c r="F4776">
        <v>3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1</v>
      </c>
      <c r="O4776">
        <f t="shared" si="156"/>
        <v>2025</v>
      </c>
      <c r="P4776">
        <f t="shared" si="157"/>
        <v>10</v>
      </c>
      <c r="Q4776" t="s">
        <v>784</v>
      </c>
      <c r="R4776" t="s">
        <v>805</v>
      </c>
    </row>
    <row r="4777" spans="1:18" x14ac:dyDescent="0.3">
      <c r="A4777" t="s">
        <v>627</v>
      </c>
      <c r="B4777" s="16">
        <v>45952</v>
      </c>
      <c r="C4777" t="s">
        <v>3</v>
      </c>
      <c r="D4777" t="s">
        <v>148</v>
      </c>
      <c r="E4777">
        <v>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1</v>
      </c>
      <c r="N4777">
        <v>0</v>
      </c>
      <c r="O4777">
        <f t="shared" si="156"/>
        <v>2025</v>
      </c>
      <c r="P4777">
        <f t="shared" si="157"/>
        <v>10</v>
      </c>
      <c r="Q4777" t="s">
        <v>784</v>
      </c>
      <c r="R4777" t="s">
        <v>805</v>
      </c>
    </row>
    <row r="4778" spans="1:18" x14ac:dyDescent="0.3">
      <c r="A4778" t="s">
        <v>627</v>
      </c>
      <c r="B4778" s="16">
        <v>45952</v>
      </c>
      <c r="C4778" t="s">
        <v>3</v>
      </c>
      <c r="D4778" t="s">
        <v>251</v>
      </c>
      <c r="E4778">
        <v>2814</v>
      </c>
      <c r="F4778">
        <v>2273</v>
      </c>
      <c r="G4778">
        <v>28</v>
      </c>
      <c r="H4778">
        <v>9</v>
      </c>
      <c r="I4778">
        <v>92394.16</v>
      </c>
      <c r="J4778">
        <v>15</v>
      </c>
      <c r="K4778">
        <v>89404.160000000003</v>
      </c>
      <c r="L4778">
        <v>15</v>
      </c>
      <c r="M4778">
        <v>150</v>
      </c>
      <c r="N4778">
        <v>539</v>
      </c>
      <c r="O4778">
        <f t="shared" si="156"/>
        <v>2025</v>
      </c>
      <c r="P4778">
        <f t="shared" si="157"/>
        <v>10</v>
      </c>
      <c r="Q4778" t="s">
        <v>784</v>
      </c>
      <c r="R4778" t="s">
        <v>805</v>
      </c>
    </row>
    <row r="4779" spans="1:18" x14ac:dyDescent="0.3">
      <c r="A4779" t="s">
        <v>627</v>
      </c>
      <c r="B4779" s="16">
        <v>45952</v>
      </c>
      <c r="C4779" t="s">
        <v>3</v>
      </c>
      <c r="D4779" t="s">
        <v>143</v>
      </c>
      <c r="E4779">
        <v>2</v>
      </c>
      <c r="F4779">
        <v>2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2</v>
      </c>
      <c r="O4779">
        <f t="shared" si="156"/>
        <v>2025</v>
      </c>
      <c r="P4779">
        <f t="shared" si="157"/>
        <v>10</v>
      </c>
      <c r="Q4779" t="s">
        <v>784</v>
      </c>
      <c r="R4779" t="s">
        <v>805</v>
      </c>
    </row>
    <row r="4780" spans="1:18" x14ac:dyDescent="0.3">
      <c r="A4780" t="s">
        <v>627</v>
      </c>
      <c r="B4780" s="16">
        <v>45952</v>
      </c>
      <c r="C4780" t="s">
        <v>3</v>
      </c>
      <c r="D4780" t="s">
        <v>141</v>
      </c>
      <c r="E4780">
        <v>358</v>
      </c>
      <c r="F4780">
        <v>117</v>
      </c>
      <c r="G4780">
        <v>6</v>
      </c>
      <c r="H4780">
        <v>1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358</v>
      </c>
      <c r="O4780">
        <f t="shared" si="156"/>
        <v>2025</v>
      </c>
      <c r="P4780">
        <f t="shared" si="157"/>
        <v>10</v>
      </c>
      <c r="Q4780" t="s">
        <v>784</v>
      </c>
      <c r="R4780" t="s">
        <v>805</v>
      </c>
    </row>
    <row r="4781" spans="1:18" x14ac:dyDescent="0.3">
      <c r="A4781" t="s">
        <v>627</v>
      </c>
      <c r="B4781" s="16">
        <v>45952</v>
      </c>
      <c r="C4781" t="s">
        <v>3</v>
      </c>
      <c r="D4781" t="s">
        <v>140</v>
      </c>
      <c r="E4781">
        <v>17</v>
      </c>
      <c r="F4781">
        <v>14</v>
      </c>
      <c r="G4781">
        <v>3</v>
      </c>
      <c r="H4781">
        <v>0</v>
      </c>
      <c r="I4781">
        <v>8710</v>
      </c>
      <c r="J4781">
        <v>1</v>
      </c>
      <c r="K4781">
        <v>8710</v>
      </c>
      <c r="L4781">
        <v>1</v>
      </c>
      <c r="M4781">
        <v>5</v>
      </c>
      <c r="N4781">
        <v>17</v>
      </c>
      <c r="O4781">
        <f t="shared" si="156"/>
        <v>2025</v>
      </c>
      <c r="P4781">
        <f t="shared" si="157"/>
        <v>10</v>
      </c>
      <c r="Q4781" t="s">
        <v>784</v>
      </c>
      <c r="R4781" t="s">
        <v>805</v>
      </c>
    </row>
    <row r="4782" spans="1:18" x14ac:dyDescent="0.3">
      <c r="A4782" t="s">
        <v>627</v>
      </c>
      <c r="B4782" s="16">
        <v>45952</v>
      </c>
      <c r="C4782" t="s">
        <v>3</v>
      </c>
      <c r="D4782" t="s">
        <v>139</v>
      </c>
      <c r="E4782">
        <v>1710</v>
      </c>
      <c r="F4782">
        <v>718</v>
      </c>
      <c r="G4782">
        <v>66</v>
      </c>
      <c r="H4782">
        <v>24</v>
      </c>
      <c r="I4782">
        <v>172454.85</v>
      </c>
      <c r="J4782">
        <v>29</v>
      </c>
      <c r="K4782">
        <v>140319.85</v>
      </c>
      <c r="L4782">
        <v>26</v>
      </c>
      <c r="M4782">
        <v>419</v>
      </c>
      <c r="N4782">
        <v>1334</v>
      </c>
      <c r="O4782">
        <f t="shared" si="156"/>
        <v>2025</v>
      </c>
      <c r="P4782">
        <f t="shared" si="157"/>
        <v>10</v>
      </c>
      <c r="Q4782" t="s">
        <v>784</v>
      </c>
      <c r="R4782" t="s">
        <v>805</v>
      </c>
    </row>
    <row r="4783" spans="1:18" x14ac:dyDescent="0.3">
      <c r="A4783" t="s">
        <v>627</v>
      </c>
      <c r="B4783" s="16">
        <v>45952</v>
      </c>
      <c r="C4783" t="s">
        <v>3</v>
      </c>
      <c r="D4783" t="s">
        <v>138</v>
      </c>
      <c r="E4783">
        <v>17</v>
      </c>
      <c r="F4783">
        <v>6</v>
      </c>
      <c r="G4783">
        <v>0</v>
      </c>
      <c r="H4783">
        <v>0</v>
      </c>
      <c r="I4783">
        <v>36580</v>
      </c>
      <c r="J4783">
        <v>2</v>
      </c>
      <c r="K4783">
        <v>36580</v>
      </c>
      <c r="L4783">
        <v>2</v>
      </c>
      <c r="M4783">
        <v>3</v>
      </c>
      <c r="N4783">
        <v>15</v>
      </c>
      <c r="O4783">
        <f t="shared" si="156"/>
        <v>2025</v>
      </c>
      <c r="P4783">
        <f t="shared" si="157"/>
        <v>10</v>
      </c>
      <c r="Q4783" t="s">
        <v>784</v>
      </c>
      <c r="R4783" t="s">
        <v>805</v>
      </c>
    </row>
    <row r="4784" spans="1:18" x14ac:dyDescent="0.3">
      <c r="A4784" t="s">
        <v>627</v>
      </c>
      <c r="B4784" s="16">
        <v>45952</v>
      </c>
      <c r="C4784" t="s">
        <v>3</v>
      </c>
      <c r="D4784" t="s">
        <v>133</v>
      </c>
      <c r="E4784">
        <v>26</v>
      </c>
      <c r="F4784">
        <v>18</v>
      </c>
      <c r="G4784">
        <v>4</v>
      </c>
      <c r="H4784">
        <v>0</v>
      </c>
      <c r="I4784">
        <v>7240</v>
      </c>
      <c r="J4784">
        <v>2</v>
      </c>
      <c r="K4784">
        <v>5260</v>
      </c>
      <c r="L4784">
        <v>1</v>
      </c>
      <c r="M4784">
        <v>2</v>
      </c>
      <c r="N4784">
        <v>23</v>
      </c>
      <c r="O4784">
        <f t="shared" si="156"/>
        <v>2025</v>
      </c>
      <c r="P4784">
        <f t="shared" si="157"/>
        <v>10</v>
      </c>
      <c r="Q4784" t="s">
        <v>784</v>
      </c>
      <c r="R4784" t="s">
        <v>805</v>
      </c>
    </row>
    <row r="4785" spans="1:18" x14ac:dyDescent="0.3">
      <c r="A4785" t="s">
        <v>627</v>
      </c>
      <c r="B4785" s="16">
        <v>45952</v>
      </c>
      <c r="C4785" t="s">
        <v>3</v>
      </c>
      <c r="D4785" t="s">
        <v>130</v>
      </c>
      <c r="E4785">
        <v>125</v>
      </c>
      <c r="F4785">
        <v>45</v>
      </c>
      <c r="G4785">
        <v>12</v>
      </c>
      <c r="H4785">
        <v>2</v>
      </c>
      <c r="I4785">
        <v>82790.47</v>
      </c>
      <c r="J4785">
        <v>14</v>
      </c>
      <c r="K4785">
        <v>75800.47</v>
      </c>
      <c r="L4785">
        <v>13</v>
      </c>
      <c r="M4785">
        <v>48</v>
      </c>
      <c r="N4785">
        <v>108</v>
      </c>
      <c r="O4785">
        <f t="shared" si="156"/>
        <v>2025</v>
      </c>
      <c r="P4785">
        <f t="shared" si="157"/>
        <v>10</v>
      </c>
      <c r="Q4785" t="s">
        <v>784</v>
      </c>
      <c r="R4785" t="s">
        <v>805</v>
      </c>
    </row>
    <row r="4786" spans="1:18" x14ac:dyDescent="0.3">
      <c r="A4786" t="s">
        <v>627</v>
      </c>
      <c r="B4786" s="16">
        <v>45952</v>
      </c>
      <c r="C4786" t="s">
        <v>3</v>
      </c>
      <c r="D4786" t="s">
        <v>128</v>
      </c>
      <c r="E4786">
        <v>1336</v>
      </c>
      <c r="F4786">
        <v>992</v>
      </c>
      <c r="G4786">
        <v>37</v>
      </c>
      <c r="H4786">
        <v>10</v>
      </c>
      <c r="I4786">
        <v>48025</v>
      </c>
      <c r="J4786">
        <v>7</v>
      </c>
      <c r="K4786">
        <v>36095</v>
      </c>
      <c r="L4786">
        <v>5</v>
      </c>
      <c r="M4786">
        <v>302</v>
      </c>
      <c r="N4786">
        <v>1259</v>
      </c>
      <c r="O4786">
        <f t="shared" si="156"/>
        <v>2025</v>
      </c>
      <c r="P4786">
        <f t="shared" si="157"/>
        <v>10</v>
      </c>
      <c r="Q4786" t="s">
        <v>784</v>
      </c>
      <c r="R4786" t="s">
        <v>805</v>
      </c>
    </row>
    <row r="4787" spans="1:18" x14ac:dyDescent="0.3">
      <c r="A4787" t="s">
        <v>627</v>
      </c>
      <c r="B4787" s="16">
        <v>45952</v>
      </c>
      <c r="C4787" t="s">
        <v>3</v>
      </c>
      <c r="D4787" t="s">
        <v>127</v>
      </c>
      <c r="E4787">
        <v>6846</v>
      </c>
      <c r="F4787">
        <v>3143</v>
      </c>
      <c r="G4787">
        <v>127</v>
      </c>
      <c r="H4787">
        <v>41</v>
      </c>
      <c r="I4787">
        <v>227999.16</v>
      </c>
      <c r="J4787">
        <v>34</v>
      </c>
      <c r="K4787">
        <v>203144.16</v>
      </c>
      <c r="L4787">
        <v>33</v>
      </c>
      <c r="M4787">
        <v>588</v>
      </c>
      <c r="N4787">
        <v>6710</v>
      </c>
      <c r="O4787">
        <f t="shared" si="156"/>
        <v>2025</v>
      </c>
      <c r="P4787">
        <f t="shared" si="157"/>
        <v>10</v>
      </c>
      <c r="Q4787" t="s">
        <v>784</v>
      </c>
      <c r="R4787" t="s">
        <v>805</v>
      </c>
    </row>
    <row r="4788" spans="1:18" x14ac:dyDescent="0.3">
      <c r="A4788" t="s">
        <v>627</v>
      </c>
      <c r="B4788" s="16">
        <v>45952</v>
      </c>
      <c r="C4788" t="s">
        <v>3</v>
      </c>
      <c r="D4788" t="s">
        <v>126</v>
      </c>
      <c r="E4788">
        <v>171</v>
      </c>
      <c r="F4788">
        <v>104</v>
      </c>
      <c r="G4788">
        <v>6</v>
      </c>
      <c r="H4788">
        <v>3</v>
      </c>
      <c r="I4788">
        <v>0</v>
      </c>
      <c r="J4788">
        <v>0</v>
      </c>
      <c r="K4788">
        <v>0</v>
      </c>
      <c r="L4788">
        <v>0</v>
      </c>
      <c r="M4788">
        <v>28</v>
      </c>
      <c r="N4788">
        <v>161</v>
      </c>
      <c r="O4788">
        <f t="shared" si="156"/>
        <v>2025</v>
      </c>
      <c r="P4788">
        <f t="shared" si="157"/>
        <v>10</v>
      </c>
      <c r="Q4788" t="s">
        <v>784</v>
      </c>
      <c r="R4788" t="s">
        <v>805</v>
      </c>
    </row>
    <row r="4789" spans="1:18" x14ac:dyDescent="0.3">
      <c r="A4789" t="s">
        <v>627</v>
      </c>
      <c r="B4789" s="16">
        <v>45952</v>
      </c>
      <c r="C4789" t="s">
        <v>3</v>
      </c>
      <c r="D4789" t="s">
        <v>123</v>
      </c>
      <c r="E4789">
        <v>52</v>
      </c>
      <c r="F4789">
        <v>18</v>
      </c>
      <c r="G4789">
        <v>3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47</v>
      </c>
      <c r="N4789">
        <v>22</v>
      </c>
      <c r="O4789">
        <f t="shared" si="156"/>
        <v>2025</v>
      </c>
      <c r="P4789">
        <f t="shared" si="157"/>
        <v>10</v>
      </c>
      <c r="Q4789" t="s">
        <v>784</v>
      </c>
      <c r="R4789" t="s">
        <v>805</v>
      </c>
    </row>
    <row r="4790" spans="1:18" x14ac:dyDescent="0.3">
      <c r="A4790" t="s">
        <v>627</v>
      </c>
      <c r="B4790" s="16">
        <v>45952</v>
      </c>
      <c r="C4790" t="s">
        <v>3</v>
      </c>
      <c r="D4790" t="s">
        <v>119</v>
      </c>
      <c r="E4790">
        <v>402</v>
      </c>
      <c r="F4790">
        <v>87</v>
      </c>
      <c r="G4790">
        <v>33</v>
      </c>
      <c r="H4790">
        <v>15</v>
      </c>
      <c r="I4790">
        <v>100160</v>
      </c>
      <c r="J4790">
        <v>19</v>
      </c>
      <c r="K4790">
        <v>87220</v>
      </c>
      <c r="L4790">
        <v>16</v>
      </c>
      <c r="M4790">
        <v>92</v>
      </c>
      <c r="N4790">
        <v>396</v>
      </c>
      <c r="O4790">
        <f t="shared" si="156"/>
        <v>2025</v>
      </c>
      <c r="P4790">
        <f t="shared" si="157"/>
        <v>10</v>
      </c>
      <c r="Q4790" t="s">
        <v>784</v>
      </c>
      <c r="R4790" t="s">
        <v>805</v>
      </c>
    </row>
    <row r="4791" spans="1:18" x14ac:dyDescent="0.3">
      <c r="A4791" t="s">
        <v>627</v>
      </c>
      <c r="B4791" s="16">
        <v>45952</v>
      </c>
      <c r="C4791" t="s">
        <v>3</v>
      </c>
      <c r="D4791" t="s">
        <v>252</v>
      </c>
      <c r="E4791">
        <v>4</v>
      </c>
      <c r="F4791">
        <v>4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4</v>
      </c>
      <c r="O4791">
        <f t="shared" si="156"/>
        <v>2025</v>
      </c>
      <c r="P4791">
        <f t="shared" si="157"/>
        <v>10</v>
      </c>
      <c r="Q4791" t="s">
        <v>784</v>
      </c>
      <c r="R4791" t="s">
        <v>805</v>
      </c>
    </row>
    <row r="4792" spans="1:18" x14ac:dyDescent="0.3">
      <c r="A4792" t="s">
        <v>627</v>
      </c>
      <c r="B4792" s="16">
        <v>45952</v>
      </c>
      <c r="C4792" t="s">
        <v>3</v>
      </c>
      <c r="D4792" t="s">
        <v>117</v>
      </c>
      <c r="E4792">
        <v>1</v>
      </c>
      <c r="F4792">
        <v>0</v>
      </c>
      <c r="G4792">
        <v>1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1</v>
      </c>
      <c r="O4792">
        <f t="shared" si="156"/>
        <v>2025</v>
      </c>
      <c r="P4792">
        <f t="shared" si="157"/>
        <v>10</v>
      </c>
      <c r="Q4792" t="s">
        <v>784</v>
      </c>
      <c r="R4792" t="s">
        <v>805</v>
      </c>
    </row>
    <row r="4793" spans="1:18" x14ac:dyDescent="0.3">
      <c r="A4793" t="s">
        <v>627</v>
      </c>
      <c r="B4793" s="16">
        <v>45952</v>
      </c>
      <c r="C4793" t="s">
        <v>3</v>
      </c>
      <c r="D4793" t="s">
        <v>391</v>
      </c>
      <c r="E4793">
        <v>761</v>
      </c>
      <c r="F4793">
        <v>399</v>
      </c>
      <c r="G4793">
        <v>25</v>
      </c>
      <c r="H4793">
        <v>5</v>
      </c>
      <c r="I4793">
        <v>42610</v>
      </c>
      <c r="J4793">
        <v>6</v>
      </c>
      <c r="K4793">
        <v>35715</v>
      </c>
      <c r="L4793">
        <v>6</v>
      </c>
      <c r="M4793">
        <v>82</v>
      </c>
      <c r="N4793">
        <v>745</v>
      </c>
      <c r="O4793">
        <f t="shared" si="156"/>
        <v>2025</v>
      </c>
      <c r="P4793">
        <f t="shared" si="157"/>
        <v>10</v>
      </c>
      <c r="Q4793" t="s">
        <v>784</v>
      </c>
      <c r="R4793" t="s">
        <v>805</v>
      </c>
    </row>
    <row r="4794" spans="1:18" x14ac:dyDescent="0.3">
      <c r="A4794" t="s">
        <v>627</v>
      </c>
      <c r="B4794" s="16">
        <v>45952</v>
      </c>
      <c r="C4794" t="s">
        <v>3</v>
      </c>
      <c r="D4794" t="s">
        <v>114</v>
      </c>
      <c r="E4794">
        <v>149</v>
      </c>
      <c r="F4794">
        <v>63</v>
      </c>
      <c r="G4794">
        <v>3</v>
      </c>
      <c r="H4794">
        <v>4</v>
      </c>
      <c r="I4794">
        <v>0</v>
      </c>
      <c r="J4794">
        <v>0</v>
      </c>
      <c r="K4794">
        <v>0</v>
      </c>
      <c r="L4794">
        <v>0</v>
      </c>
      <c r="M4794">
        <v>11</v>
      </c>
      <c r="N4794">
        <v>135</v>
      </c>
      <c r="O4794">
        <f t="shared" si="156"/>
        <v>2025</v>
      </c>
      <c r="P4794">
        <f t="shared" si="157"/>
        <v>10</v>
      </c>
      <c r="Q4794" t="s">
        <v>784</v>
      </c>
      <c r="R4794" t="s">
        <v>805</v>
      </c>
    </row>
    <row r="4795" spans="1:18" x14ac:dyDescent="0.3">
      <c r="A4795" t="s">
        <v>627</v>
      </c>
      <c r="B4795" s="16">
        <v>45952</v>
      </c>
      <c r="C4795" t="s">
        <v>3</v>
      </c>
      <c r="D4795" t="s">
        <v>113</v>
      </c>
      <c r="E4795">
        <v>145</v>
      </c>
      <c r="F4795">
        <v>59</v>
      </c>
      <c r="G4795">
        <v>1</v>
      </c>
      <c r="H4795">
        <v>1</v>
      </c>
      <c r="I4795">
        <v>6990</v>
      </c>
      <c r="J4795">
        <v>1</v>
      </c>
      <c r="K4795">
        <v>6990</v>
      </c>
      <c r="L4795">
        <v>1</v>
      </c>
      <c r="M4795">
        <v>114</v>
      </c>
      <c r="N4795">
        <v>83</v>
      </c>
      <c r="O4795">
        <f t="shared" si="156"/>
        <v>2025</v>
      </c>
      <c r="P4795">
        <f t="shared" si="157"/>
        <v>10</v>
      </c>
      <c r="Q4795" t="s">
        <v>784</v>
      </c>
      <c r="R4795" t="s">
        <v>805</v>
      </c>
    </row>
    <row r="4796" spans="1:18" x14ac:dyDescent="0.3">
      <c r="A4796" t="s">
        <v>627</v>
      </c>
      <c r="B4796" s="16">
        <v>45952</v>
      </c>
      <c r="C4796" t="s">
        <v>3</v>
      </c>
      <c r="D4796" t="s">
        <v>112</v>
      </c>
      <c r="E4796">
        <v>43</v>
      </c>
      <c r="F4796">
        <v>5</v>
      </c>
      <c r="G4796">
        <v>0</v>
      </c>
      <c r="H4796">
        <v>0</v>
      </c>
      <c r="I4796">
        <v>14625</v>
      </c>
      <c r="J4796">
        <v>3</v>
      </c>
      <c r="K4796">
        <v>14625</v>
      </c>
      <c r="L4796">
        <v>3</v>
      </c>
      <c r="M4796">
        <v>2</v>
      </c>
      <c r="N4796">
        <v>43</v>
      </c>
      <c r="O4796">
        <f t="shared" si="156"/>
        <v>2025</v>
      </c>
      <c r="P4796">
        <f t="shared" si="157"/>
        <v>10</v>
      </c>
      <c r="Q4796" t="s">
        <v>784</v>
      </c>
      <c r="R4796" t="s">
        <v>805</v>
      </c>
    </row>
    <row r="4797" spans="1:18" x14ac:dyDescent="0.3">
      <c r="A4797" t="s">
        <v>627</v>
      </c>
      <c r="B4797" s="16">
        <v>45952</v>
      </c>
      <c r="C4797" t="s">
        <v>3</v>
      </c>
      <c r="D4797" t="s">
        <v>111</v>
      </c>
      <c r="E4797">
        <v>2</v>
      </c>
      <c r="F4797">
        <v>2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2</v>
      </c>
      <c r="O4797">
        <f t="shared" si="156"/>
        <v>2025</v>
      </c>
      <c r="P4797">
        <f t="shared" si="157"/>
        <v>10</v>
      </c>
      <c r="Q4797" t="s">
        <v>784</v>
      </c>
      <c r="R4797" t="s">
        <v>805</v>
      </c>
    </row>
    <row r="4798" spans="1:18" x14ac:dyDescent="0.3">
      <c r="A4798" t="s">
        <v>627</v>
      </c>
      <c r="B4798" s="16">
        <v>45951</v>
      </c>
      <c r="C4798" t="s">
        <v>2</v>
      </c>
      <c r="D4798" t="s">
        <v>4</v>
      </c>
      <c r="E4798">
        <v>485</v>
      </c>
      <c r="F4798">
        <v>167</v>
      </c>
      <c r="G4798">
        <v>3</v>
      </c>
      <c r="H4798">
        <v>3</v>
      </c>
      <c r="I4798">
        <v>35730</v>
      </c>
      <c r="J4798">
        <v>2</v>
      </c>
      <c r="K4798">
        <v>35730</v>
      </c>
      <c r="L4798">
        <v>2</v>
      </c>
      <c r="M4798">
        <v>12</v>
      </c>
      <c r="N4798">
        <v>472</v>
      </c>
      <c r="O4798">
        <f t="shared" si="156"/>
        <v>2025</v>
      </c>
      <c r="P4798">
        <f t="shared" si="157"/>
        <v>10</v>
      </c>
      <c r="Q4798" t="s">
        <v>784</v>
      </c>
      <c r="R4798" t="s">
        <v>805</v>
      </c>
    </row>
    <row r="4799" spans="1:18" x14ac:dyDescent="0.3">
      <c r="A4799" t="s">
        <v>627</v>
      </c>
      <c r="B4799" s="16">
        <v>45951</v>
      </c>
      <c r="C4799" t="s">
        <v>2</v>
      </c>
      <c r="D4799" t="s">
        <v>57</v>
      </c>
      <c r="E4799">
        <v>42655</v>
      </c>
      <c r="F4799">
        <v>24312</v>
      </c>
      <c r="G4799">
        <v>294</v>
      </c>
      <c r="H4799">
        <v>321</v>
      </c>
      <c r="I4799">
        <v>279886.26</v>
      </c>
      <c r="J4799">
        <v>48</v>
      </c>
      <c r="K4799">
        <v>166636.26</v>
      </c>
      <c r="L4799">
        <v>40</v>
      </c>
      <c r="M4799">
        <v>1976</v>
      </c>
      <c r="N4799">
        <v>42189</v>
      </c>
      <c r="O4799">
        <f t="shared" si="156"/>
        <v>2025</v>
      </c>
      <c r="P4799">
        <f t="shared" si="157"/>
        <v>10</v>
      </c>
      <c r="Q4799" t="s">
        <v>784</v>
      </c>
      <c r="R4799" t="s">
        <v>805</v>
      </c>
    </row>
    <row r="4800" spans="1:18" x14ac:dyDescent="0.3">
      <c r="A4800" t="s">
        <v>627</v>
      </c>
      <c r="B4800" s="16">
        <v>45951</v>
      </c>
      <c r="C4800" t="s">
        <v>2</v>
      </c>
      <c r="D4800" t="s">
        <v>55</v>
      </c>
      <c r="E4800">
        <v>2399</v>
      </c>
      <c r="F4800">
        <v>1816</v>
      </c>
      <c r="G4800">
        <v>23</v>
      </c>
      <c r="H4800">
        <v>1</v>
      </c>
      <c r="I4800">
        <v>0</v>
      </c>
      <c r="J4800">
        <v>0</v>
      </c>
      <c r="K4800">
        <v>0</v>
      </c>
      <c r="L4800">
        <v>0</v>
      </c>
      <c r="M4800">
        <v>47</v>
      </c>
      <c r="N4800">
        <v>524</v>
      </c>
      <c r="O4800">
        <f t="shared" si="156"/>
        <v>2025</v>
      </c>
      <c r="P4800">
        <f t="shared" si="157"/>
        <v>10</v>
      </c>
      <c r="Q4800" t="s">
        <v>784</v>
      </c>
      <c r="R4800" t="s">
        <v>805</v>
      </c>
    </row>
    <row r="4801" spans="1:18" x14ac:dyDescent="0.3">
      <c r="A4801" t="s">
        <v>627</v>
      </c>
      <c r="B4801" s="16">
        <v>45951</v>
      </c>
      <c r="C4801" t="s">
        <v>3</v>
      </c>
      <c r="D4801" t="s">
        <v>155</v>
      </c>
      <c r="E4801">
        <v>134</v>
      </c>
      <c r="F4801">
        <v>47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3</v>
      </c>
      <c r="N4801">
        <v>134</v>
      </c>
      <c r="O4801">
        <f t="shared" si="156"/>
        <v>2025</v>
      </c>
      <c r="P4801">
        <f t="shared" si="157"/>
        <v>10</v>
      </c>
      <c r="Q4801" t="s">
        <v>784</v>
      </c>
      <c r="R4801" t="s">
        <v>805</v>
      </c>
    </row>
    <row r="4802" spans="1:18" x14ac:dyDescent="0.3">
      <c r="A4802" t="s">
        <v>627</v>
      </c>
      <c r="B4802" s="16">
        <v>45951</v>
      </c>
      <c r="C4802" t="s">
        <v>3</v>
      </c>
      <c r="D4802" t="s">
        <v>154</v>
      </c>
      <c r="E4802">
        <v>160</v>
      </c>
      <c r="F4802">
        <v>125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f t="shared" si="156"/>
        <v>2025</v>
      </c>
      <c r="P4802">
        <f t="shared" si="157"/>
        <v>10</v>
      </c>
      <c r="Q4802" t="s">
        <v>784</v>
      </c>
      <c r="R4802" t="s">
        <v>805</v>
      </c>
    </row>
    <row r="4803" spans="1:18" x14ac:dyDescent="0.3">
      <c r="A4803" t="s">
        <v>627</v>
      </c>
      <c r="B4803" s="16">
        <v>45951</v>
      </c>
      <c r="C4803" t="s">
        <v>3</v>
      </c>
      <c r="D4803" t="s">
        <v>153</v>
      </c>
      <c r="E4803">
        <v>631</v>
      </c>
      <c r="F4803">
        <v>101</v>
      </c>
      <c r="G4803">
        <v>64</v>
      </c>
      <c r="H4803">
        <v>4</v>
      </c>
      <c r="I4803">
        <v>346576.18</v>
      </c>
      <c r="J4803">
        <v>67</v>
      </c>
      <c r="K4803">
        <v>319826.18</v>
      </c>
      <c r="L4803">
        <v>64</v>
      </c>
      <c r="M4803">
        <v>172</v>
      </c>
      <c r="N4803">
        <v>608</v>
      </c>
      <c r="O4803">
        <f t="shared" si="156"/>
        <v>2025</v>
      </c>
      <c r="P4803">
        <f t="shared" si="157"/>
        <v>10</v>
      </c>
      <c r="Q4803" t="s">
        <v>784</v>
      </c>
      <c r="R4803" t="s">
        <v>805</v>
      </c>
    </row>
    <row r="4804" spans="1:18" x14ac:dyDescent="0.3">
      <c r="A4804" t="s">
        <v>627</v>
      </c>
      <c r="B4804" s="16">
        <v>45951</v>
      </c>
      <c r="C4804" t="s">
        <v>3</v>
      </c>
      <c r="D4804" t="s">
        <v>152</v>
      </c>
      <c r="E4804">
        <v>22</v>
      </c>
      <c r="F4804">
        <v>7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18</v>
      </c>
      <c r="O4804">
        <f t="shared" si="156"/>
        <v>2025</v>
      </c>
      <c r="P4804">
        <f t="shared" si="157"/>
        <v>10</v>
      </c>
      <c r="Q4804" t="s">
        <v>784</v>
      </c>
      <c r="R4804" t="s">
        <v>805</v>
      </c>
    </row>
    <row r="4805" spans="1:18" x14ac:dyDescent="0.3">
      <c r="A4805" t="s">
        <v>627</v>
      </c>
      <c r="B4805" s="16">
        <v>45951</v>
      </c>
      <c r="C4805" t="s">
        <v>3</v>
      </c>
      <c r="D4805" t="s">
        <v>149</v>
      </c>
      <c r="E4805">
        <v>4</v>
      </c>
      <c r="F4805">
        <v>3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f t="shared" si="156"/>
        <v>2025</v>
      </c>
      <c r="P4805">
        <f t="shared" si="157"/>
        <v>10</v>
      </c>
      <c r="Q4805" t="s">
        <v>784</v>
      </c>
      <c r="R4805" t="s">
        <v>805</v>
      </c>
    </row>
    <row r="4806" spans="1:18" x14ac:dyDescent="0.3">
      <c r="A4806" t="s">
        <v>627</v>
      </c>
      <c r="B4806" s="16">
        <v>45951</v>
      </c>
      <c r="C4806" t="s">
        <v>3</v>
      </c>
      <c r="D4806" t="s">
        <v>148</v>
      </c>
      <c r="E4806">
        <v>3</v>
      </c>
      <c r="F4806">
        <v>3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3</v>
      </c>
      <c r="N4806">
        <v>0</v>
      </c>
      <c r="O4806">
        <f t="shared" si="156"/>
        <v>2025</v>
      </c>
      <c r="P4806">
        <f t="shared" si="157"/>
        <v>10</v>
      </c>
      <c r="Q4806" t="s">
        <v>784</v>
      </c>
      <c r="R4806" t="s">
        <v>805</v>
      </c>
    </row>
    <row r="4807" spans="1:18" x14ac:dyDescent="0.3">
      <c r="A4807" t="s">
        <v>627</v>
      </c>
      <c r="B4807" s="16">
        <v>45951</v>
      </c>
      <c r="C4807" t="s">
        <v>3</v>
      </c>
      <c r="D4807" t="s">
        <v>251</v>
      </c>
      <c r="E4807">
        <v>5862</v>
      </c>
      <c r="F4807">
        <v>5159</v>
      </c>
      <c r="G4807">
        <v>36</v>
      </c>
      <c r="H4807">
        <v>8</v>
      </c>
      <c r="I4807">
        <v>150745</v>
      </c>
      <c r="J4807">
        <v>25</v>
      </c>
      <c r="K4807">
        <v>129015</v>
      </c>
      <c r="L4807">
        <v>21</v>
      </c>
      <c r="M4807">
        <v>182</v>
      </c>
      <c r="N4807">
        <v>516</v>
      </c>
      <c r="O4807">
        <f t="shared" si="156"/>
        <v>2025</v>
      </c>
      <c r="P4807">
        <f t="shared" si="157"/>
        <v>10</v>
      </c>
      <c r="Q4807" t="s">
        <v>784</v>
      </c>
      <c r="R4807" t="s">
        <v>805</v>
      </c>
    </row>
    <row r="4808" spans="1:18" x14ac:dyDescent="0.3">
      <c r="A4808" t="s">
        <v>627</v>
      </c>
      <c r="B4808" s="16">
        <v>45951</v>
      </c>
      <c r="C4808" t="s">
        <v>3</v>
      </c>
      <c r="D4808" t="s">
        <v>143</v>
      </c>
      <c r="E4808">
        <v>1</v>
      </c>
      <c r="F4808">
        <v>1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1</v>
      </c>
      <c r="O4808">
        <f t="shared" si="156"/>
        <v>2025</v>
      </c>
      <c r="P4808">
        <f t="shared" si="157"/>
        <v>10</v>
      </c>
      <c r="Q4808" t="s">
        <v>784</v>
      </c>
      <c r="R4808" t="s">
        <v>805</v>
      </c>
    </row>
    <row r="4809" spans="1:18" x14ac:dyDescent="0.3">
      <c r="A4809" t="s">
        <v>627</v>
      </c>
      <c r="B4809" s="16">
        <v>45951</v>
      </c>
      <c r="C4809" t="s">
        <v>3</v>
      </c>
      <c r="D4809" t="s">
        <v>141</v>
      </c>
      <c r="E4809">
        <v>432</v>
      </c>
      <c r="F4809">
        <v>152</v>
      </c>
      <c r="G4809">
        <v>3</v>
      </c>
      <c r="H4809">
        <v>1</v>
      </c>
      <c r="I4809">
        <v>0</v>
      </c>
      <c r="J4809">
        <v>0</v>
      </c>
      <c r="K4809">
        <v>0</v>
      </c>
      <c r="L4809">
        <v>0</v>
      </c>
      <c r="M4809">
        <v>1</v>
      </c>
      <c r="N4809">
        <v>431</v>
      </c>
      <c r="O4809">
        <f t="shared" ref="O4809:O4872" si="158">YEAR(B4809)</f>
        <v>2025</v>
      </c>
      <c r="P4809">
        <f t="shared" ref="P4809:P4872" si="159">MONTH(B4809)</f>
        <v>10</v>
      </c>
      <c r="Q4809" t="s">
        <v>784</v>
      </c>
      <c r="R4809" t="s">
        <v>805</v>
      </c>
    </row>
    <row r="4810" spans="1:18" x14ac:dyDescent="0.3">
      <c r="A4810" t="s">
        <v>627</v>
      </c>
      <c r="B4810" s="16">
        <v>45951</v>
      </c>
      <c r="C4810" t="s">
        <v>3</v>
      </c>
      <c r="D4810" t="s">
        <v>140</v>
      </c>
      <c r="E4810">
        <v>9</v>
      </c>
      <c r="F4810">
        <v>8</v>
      </c>
      <c r="G4810">
        <v>1</v>
      </c>
      <c r="H4810">
        <v>0</v>
      </c>
      <c r="I4810">
        <v>13390</v>
      </c>
      <c r="J4810">
        <v>1</v>
      </c>
      <c r="K4810">
        <v>9590</v>
      </c>
      <c r="L4810">
        <v>1</v>
      </c>
      <c r="M4810">
        <v>1</v>
      </c>
      <c r="N4810">
        <v>9</v>
      </c>
      <c r="O4810">
        <f t="shared" si="158"/>
        <v>2025</v>
      </c>
      <c r="P4810">
        <f t="shared" si="159"/>
        <v>10</v>
      </c>
      <c r="Q4810" t="s">
        <v>784</v>
      </c>
      <c r="R4810" t="s">
        <v>805</v>
      </c>
    </row>
    <row r="4811" spans="1:18" x14ac:dyDescent="0.3">
      <c r="A4811" t="s">
        <v>627</v>
      </c>
      <c r="B4811" s="16">
        <v>45951</v>
      </c>
      <c r="C4811" t="s">
        <v>3</v>
      </c>
      <c r="D4811" t="s">
        <v>139</v>
      </c>
      <c r="E4811">
        <v>2593</v>
      </c>
      <c r="F4811">
        <v>1327</v>
      </c>
      <c r="G4811">
        <v>87</v>
      </c>
      <c r="H4811">
        <v>16</v>
      </c>
      <c r="I4811">
        <v>239440.24</v>
      </c>
      <c r="J4811">
        <v>43</v>
      </c>
      <c r="K4811">
        <v>199000.24</v>
      </c>
      <c r="L4811">
        <v>40</v>
      </c>
      <c r="M4811">
        <v>442</v>
      </c>
      <c r="N4811">
        <v>1796</v>
      </c>
      <c r="O4811">
        <f t="shared" si="158"/>
        <v>2025</v>
      </c>
      <c r="P4811">
        <f t="shared" si="159"/>
        <v>10</v>
      </c>
      <c r="Q4811" t="s">
        <v>784</v>
      </c>
      <c r="R4811" t="s">
        <v>805</v>
      </c>
    </row>
    <row r="4812" spans="1:18" x14ac:dyDescent="0.3">
      <c r="A4812" t="s">
        <v>627</v>
      </c>
      <c r="B4812" s="16">
        <v>45951</v>
      </c>
      <c r="C4812" t="s">
        <v>3</v>
      </c>
      <c r="D4812" t="s">
        <v>138</v>
      </c>
      <c r="E4812">
        <v>30</v>
      </c>
      <c r="F4812">
        <v>17</v>
      </c>
      <c r="G4812">
        <v>1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5</v>
      </c>
      <c r="N4812">
        <v>26</v>
      </c>
      <c r="O4812">
        <f t="shared" si="158"/>
        <v>2025</v>
      </c>
      <c r="P4812">
        <f t="shared" si="159"/>
        <v>10</v>
      </c>
      <c r="Q4812" t="s">
        <v>784</v>
      </c>
      <c r="R4812" t="s">
        <v>805</v>
      </c>
    </row>
    <row r="4813" spans="1:18" x14ac:dyDescent="0.3">
      <c r="A4813" t="s">
        <v>627</v>
      </c>
      <c r="B4813" s="16">
        <v>45951</v>
      </c>
      <c r="C4813" t="s">
        <v>3</v>
      </c>
      <c r="D4813" t="s">
        <v>133</v>
      </c>
      <c r="E4813">
        <v>37</v>
      </c>
      <c r="F4813">
        <v>25</v>
      </c>
      <c r="G4813">
        <v>5</v>
      </c>
      <c r="H4813">
        <v>0</v>
      </c>
      <c r="I4813">
        <v>19200</v>
      </c>
      <c r="J4813">
        <v>4</v>
      </c>
      <c r="K4813">
        <v>19200</v>
      </c>
      <c r="L4813">
        <v>4</v>
      </c>
      <c r="M4813">
        <v>8</v>
      </c>
      <c r="N4813">
        <v>35</v>
      </c>
      <c r="O4813">
        <f t="shared" si="158"/>
        <v>2025</v>
      </c>
      <c r="P4813">
        <f t="shared" si="159"/>
        <v>10</v>
      </c>
      <c r="Q4813" t="s">
        <v>784</v>
      </c>
      <c r="R4813" t="s">
        <v>805</v>
      </c>
    </row>
    <row r="4814" spans="1:18" x14ac:dyDescent="0.3">
      <c r="A4814" t="s">
        <v>627</v>
      </c>
      <c r="B4814" s="16">
        <v>45951</v>
      </c>
      <c r="C4814" t="s">
        <v>3</v>
      </c>
      <c r="D4814" t="s">
        <v>130</v>
      </c>
      <c r="E4814">
        <v>125</v>
      </c>
      <c r="F4814">
        <v>39</v>
      </c>
      <c r="G4814">
        <v>12</v>
      </c>
      <c r="H4814">
        <v>1</v>
      </c>
      <c r="I4814">
        <v>51635</v>
      </c>
      <c r="J4814">
        <v>7</v>
      </c>
      <c r="K4814">
        <v>43695</v>
      </c>
      <c r="L4814">
        <v>7</v>
      </c>
      <c r="M4814">
        <v>48</v>
      </c>
      <c r="N4814">
        <v>109</v>
      </c>
      <c r="O4814">
        <f t="shared" si="158"/>
        <v>2025</v>
      </c>
      <c r="P4814">
        <f t="shared" si="159"/>
        <v>10</v>
      </c>
      <c r="Q4814" t="s">
        <v>784</v>
      </c>
      <c r="R4814" t="s">
        <v>805</v>
      </c>
    </row>
    <row r="4815" spans="1:18" x14ac:dyDescent="0.3">
      <c r="A4815" t="s">
        <v>627</v>
      </c>
      <c r="B4815" s="16">
        <v>45951</v>
      </c>
      <c r="C4815" t="s">
        <v>3</v>
      </c>
      <c r="D4815" t="s">
        <v>128</v>
      </c>
      <c r="E4815">
        <v>1034</v>
      </c>
      <c r="F4815">
        <v>751</v>
      </c>
      <c r="G4815">
        <v>43</v>
      </c>
      <c r="H4815">
        <v>9</v>
      </c>
      <c r="I4815">
        <v>48730</v>
      </c>
      <c r="J4815">
        <v>10</v>
      </c>
      <c r="K4815">
        <v>27490</v>
      </c>
      <c r="L4815">
        <v>8</v>
      </c>
      <c r="M4815">
        <v>232</v>
      </c>
      <c r="N4815">
        <v>972</v>
      </c>
      <c r="O4815">
        <f t="shared" si="158"/>
        <v>2025</v>
      </c>
      <c r="P4815">
        <f t="shared" si="159"/>
        <v>10</v>
      </c>
      <c r="Q4815" t="s">
        <v>784</v>
      </c>
      <c r="R4815" t="s">
        <v>805</v>
      </c>
    </row>
    <row r="4816" spans="1:18" x14ac:dyDescent="0.3">
      <c r="A4816" t="s">
        <v>627</v>
      </c>
      <c r="B4816" s="16">
        <v>45951</v>
      </c>
      <c r="C4816" t="s">
        <v>3</v>
      </c>
      <c r="D4816" t="s">
        <v>127</v>
      </c>
      <c r="E4816">
        <v>6833</v>
      </c>
      <c r="F4816">
        <v>3081</v>
      </c>
      <c r="G4816">
        <v>162</v>
      </c>
      <c r="H4816">
        <v>46</v>
      </c>
      <c r="I4816">
        <v>176360</v>
      </c>
      <c r="J4816">
        <v>25</v>
      </c>
      <c r="K4816">
        <v>131240</v>
      </c>
      <c r="L4816">
        <v>21</v>
      </c>
      <c r="M4816">
        <v>556</v>
      </c>
      <c r="N4816">
        <v>6539</v>
      </c>
      <c r="O4816">
        <f t="shared" si="158"/>
        <v>2025</v>
      </c>
      <c r="P4816">
        <f t="shared" si="159"/>
        <v>10</v>
      </c>
      <c r="Q4816" t="s">
        <v>784</v>
      </c>
      <c r="R4816" t="s">
        <v>805</v>
      </c>
    </row>
    <row r="4817" spans="1:18" x14ac:dyDescent="0.3">
      <c r="A4817" t="s">
        <v>627</v>
      </c>
      <c r="B4817" s="16">
        <v>45951</v>
      </c>
      <c r="C4817" t="s">
        <v>3</v>
      </c>
      <c r="D4817" t="s">
        <v>126</v>
      </c>
      <c r="E4817">
        <v>151</v>
      </c>
      <c r="F4817">
        <v>88</v>
      </c>
      <c r="G4817">
        <v>5</v>
      </c>
      <c r="H4817">
        <v>4</v>
      </c>
      <c r="I4817">
        <v>10395</v>
      </c>
      <c r="J4817">
        <v>2</v>
      </c>
      <c r="K4817">
        <v>10395</v>
      </c>
      <c r="L4817">
        <v>2</v>
      </c>
      <c r="M4817">
        <v>22</v>
      </c>
      <c r="N4817">
        <v>146</v>
      </c>
      <c r="O4817">
        <f t="shared" si="158"/>
        <v>2025</v>
      </c>
      <c r="P4817">
        <f t="shared" si="159"/>
        <v>10</v>
      </c>
      <c r="Q4817" t="s">
        <v>784</v>
      </c>
      <c r="R4817" t="s">
        <v>805</v>
      </c>
    </row>
    <row r="4818" spans="1:18" x14ac:dyDescent="0.3">
      <c r="A4818" t="s">
        <v>627</v>
      </c>
      <c r="B4818" s="16">
        <v>45951</v>
      </c>
      <c r="C4818" t="s">
        <v>3</v>
      </c>
      <c r="D4818" t="s">
        <v>123</v>
      </c>
      <c r="E4818">
        <v>67</v>
      </c>
      <c r="F4818">
        <v>31</v>
      </c>
      <c r="G4818">
        <v>5</v>
      </c>
      <c r="H4818">
        <v>1</v>
      </c>
      <c r="I4818">
        <v>20325</v>
      </c>
      <c r="J4818">
        <v>4</v>
      </c>
      <c r="K4818">
        <v>11415</v>
      </c>
      <c r="L4818">
        <v>4</v>
      </c>
      <c r="M4818">
        <v>62</v>
      </c>
      <c r="N4818">
        <v>31</v>
      </c>
      <c r="O4818">
        <f t="shared" si="158"/>
        <v>2025</v>
      </c>
      <c r="P4818">
        <f t="shared" si="159"/>
        <v>10</v>
      </c>
      <c r="Q4818" t="s">
        <v>784</v>
      </c>
      <c r="R4818" t="s">
        <v>805</v>
      </c>
    </row>
    <row r="4819" spans="1:18" x14ac:dyDescent="0.3">
      <c r="A4819" t="s">
        <v>627</v>
      </c>
      <c r="B4819" s="16">
        <v>45951</v>
      </c>
      <c r="C4819" t="s">
        <v>3</v>
      </c>
      <c r="D4819" t="s">
        <v>121</v>
      </c>
      <c r="E4819">
        <v>2</v>
      </c>
      <c r="F4819">
        <v>2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2</v>
      </c>
      <c r="O4819">
        <f t="shared" si="158"/>
        <v>2025</v>
      </c>
      <c r="P4819">
        <f t="shared" si="159"/>
        <v>10</v>
      </c>
      <c r="Q4819" t="s">
        <v>784</v>
      </c>
      <c r="R4819" t="s">
        <v>805</v>
      </c>
    </row>
    <row r="4820" spans="1:18" x14ac:dyDescent="0.3">
      <c r="A4820" t="s">
        <v>627</v>
      </c>
      <c r="B4820" s="16">
        <v>45951</v>
      </c>
      <c r="C4820" t="s">
        <v>3</v>
      </c>
      <c r="D4820" t="s">
        <v>119</v>
      </c>
      <c r="E4820">
        <v>442</v>
      </c>
      <c r="F4820">
        <v>83</v>
      </c>
      <c r="G4820">
        <v>33</v>
      </c>
      <c r="H4820">
        <v>10</v>
      </c>
      <c r="I4820">
        <v>125765</v>
      </c>
      <c r="J4820">
        <v>18</v>
      </c>
      <c r="K4820">
        <v>95605</v>
      </c>
      <c r="L4820">
        <v>19</v>
      </c>
      <c r="M4820">
        <v>98</v>
      </c>
      <c r="N4820">
        <v>430</v>
      </c>
      <c r="O4820">
        <f t="shared" si="158"/>
        <v>2025</v>
      </c>
      <c r="P4820">
        <f t="shared" si="159"/>
        <v>10</v>
      </c>
      <c r="Q4820" t="s">
        <v>784</v>
      </c>
      <c r="R4820" t="s">
        <v>805</v>
      </c>
    </row>
    <row r="4821" spans="1:18" x14ac:dyDescent="0.3">
      <c r="A4821" t="s">
        <v>627</v>
      </c>
      <c r="B4821" s="16">
        <v>45951</v>
      </c>
      <c r="C4821" t="s">
        <v>3</v>
      </c>
      <c r="D4821" t="s">
        <v>252</v>
      </c>
      <c r="E4821">
        <v>4</v>
      </c>
      <c r="F4821">
        <v>4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4</v>
      </c>
      <c r="O4821">
        <f t="shared" si="158"/>
        <v>2025</v>
      </c>
      <c r="P4821">
        <f t="shared" si="159"/>
        <v>10</v>
      </c>
      <c r="Q4821" t="s">
        <v>784</v>
      </c>
      <c r="R4821" t="s">
        <v>805</v>
      </c>
    </row>
    <row r="4822" spans="1:18" x14ac:dyDescent="0.3">
      <c r="A4822" t="s">
        <v>627</v>
      </c>
      <c r="B4822" s="16">
        <v>45951</v>
      </c>
      <c r="C4822" t="s">
        <v>3</v>
      </c>
      <c r="D4822" t="s">
        <v>391</v>
      </c>
      <c r="E4822">
        <v>849</v>
      </c>
      <c r="F4822">
        <v>464</v>
      </c>
      <c r="G4822">
        <v>34</v>
      </c>
      <c r="H4822">
        <v>4</v>
      </c>
      <c r="I4822">
        <v>89835</v>
      </c>
      <c r="J4822">
        <v>14</v>
      </c>
      <c r="K4822">
        <v>69735</v>
      </c>
      <c r="L4822">
        <v>11</v>
      </c>
      <c r="M4822">
        <v>104</v>
      </c>
      <c r="N4822">
        <v>845</v>
      </c>
      <c r="O4822">
        <f t="shared" si="158"/>
        <v>2025</v>
      </c>
      <c r="P4822">
        <f t="shared" si="159"/>
        <v>10</v>
      </c>
      <c r="Q4822" t="s">
        <v>784</v>
      </c>
      <c r="R4822" t="s">
        <v>805</v>
      </c>
    </row>
    <row r="4823" spans="1:18" x14ac:dyDescent="0.3">
      <c r="A4823" t="s">
        <v>627</v>
      </c>
      <c r="B4823" s="16">
        <v>45951</v>
      </c>
      <c r="C4823" t="s">
        <v>3</v>
      </c>
      <c r="D4823" t="s">
        <v>114</v>
      </c>
      <c r="E4823">
        <v>171</v>
      </c>
      <c r="F4823">
        <v>75</v>
      </c>
      <c r="G4823">
        <v>5</v>
      </c>
      <c r="H4823">
        <v>1</v>
      </c>
      <c r="I4823">
        <v>2690</v>
      </c>
      <c r="J4823">
        <v>1</v>
      </c>
      <c r="K4823">
        <v>0</v>
      </c>
      <c r="L4823">
        <v>0</v>
      </c>
      <c r="M4823">
        <v>19</v>
      </c>
      <c r="N4823">
        <v>159</v>
      </c>
      <c r="O4823">
        <f t="shared" si="158"/>
        <v>2025</v>
      </c>
      <c r="P4823">
        <f t="shared" si="159"/>
        <v>10</v>
      </c>
      <c r="Q4823" t="s">
        <v>784</v>
      </c>
      <c r="R4823" t="s">
        <v>805</v>
      </c>
    </row>
    <row r="4824" spans="1:18" x14ac:dyDescent="0.3">
      <c r="A4824" t="s">
        <v>627</v>
      </c>
      <c r="B4824" s="16">
        <v>45951</v>
      </c>
      <c r="C4824" t="s">
        <v>3</v>
      </c>
      <c r="D4824" t="s">
        <v>113</v>
      </c>
      <c r="E4824">
        <v>147</v>
      </c>
      <c r="F4824">
        <v>60</v>
      </c>
      <c r="G4824">
        <v>11</v>
      </c>
      <c r="H4824">
        <v>3</v>
      </c>
      <c r="I4824">
        <v>4800</v>
      </c>
      <c r="J4824">
        <v>1</v>
      </c>
      <c r="K4824">
        <v>4800</v>
      </c>
      <c r="L4824">
        <v>1</v>
      </c>
      <c r="M4824">
        <v>121</v>
      </c>
      <c r="N4824">
        <v>80</v>
      </c>
      <c r="O4824">
        <f t="shared" si="158"/>
        <v>2025</v>
      </c>
      <c r="P4824">
        <f t="shared" si="159"/>
        <v>10</v>
      </c>
      <c r="Q4824" t="s">
        <v>784</v>
      </c>
      <c r="R4824" t="s">
        <v>805</v>
      </c>
    </row>
    <row r="4825" spans="1:18" x14ac:dyDescent="0.3">
      <c r="A4825" t="s">
        <v>627</v>
      </c>
      <c r="B4825" s="16">
        <v>45951</v>
      </c>
      <c r="C4825" t="s">
        <v>3</v>
      </c>
      <c r="D4825" t="s">
        <v>112</v>
      </c>
      <c r="E4825">
        <v>61</v>
      </c>
      <c r="F4825">
        <v>16</v>
      </c>
      <c r="G4825">
        <v>3</v>
      </c>
      <c r="H4825">
        <v>0</v>
      </c>
      <c r="I4825">
        <v>13405</v>
      </c>
      <c r="J4825">
        <v>4</v>
      </c>
      <c r="K4825">
        <v>13405</v>
      </c>
      <c r="L4825">
        <v>4</v>
      </c>
      <c r="M4825">
        <v>1</v>
      </c>
      <c r="N4825">
        <v>61</v>
      </c>
      <c r="O4825">
        <f t="shared" si="158"/>
        <v>2025</v>
      </c>
      <c r="P4825">
        <f t="shared" si="159"/>
        <v>10</v>
      </c>
      <c r="Q4825" t="s">
        <v>784</v>
      </c>
      <c r="R4825" t="s">
        <v>805</v>
      </c>
    </row>
    <row r="4826" spans="1:18" x14ac:dyDescent="0.3">
      <c r="A4826" t="s">
        <v>627</v>
      </c>
      <c r="B4826" s="16">
        <v>45951</v>
      </c>
      <c r="C4826" t="s">
        <v>3</v>
      </c>
      <c r="D4826" t="s">
        <v>111</v>
      </c>
      <c r="E4826">
        <v>2</v>
      </c>
      <c r="F4826">
        <v>1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2</v>
      </c>
      <c r="O4826">
        <f t="shared" si="158"/>
        <v>2025</v>
      </c>
      <c r="P4826">
        <f t="shared" si="159"/>
        <v>10</v>
      </c>
      <c r="Q4826" t="s">
        <v>784</v>
      </c>
      <c r="R4826" t="s">
        <v>805</v>
      </c>
    </row>
    <row r="4827" spans="1:18" x14ac:dyDescent="0.3">
      <c r="A4827" t="s">
        <v>627</v>
      </c>
      <c r="B4827" s="16">
        <v>45950</v>
      </c>
      <c r="C4827" t="s">
        <v>2</v>
      </c>
      <c r="D4827" t="s">
        <v>4</v>
      </c>
      <c r="E4827">
        <v>554</v>
      </c>
      <c r="F4827">
        <v>192</v>
      </c>
      <c r="G4827">
        <v>9</v>
      </c>
      <c r="H4827">
        <v>2</v>
      </c>
      <c r="I4827">
        <v>60267.87</v>
      </c>
      <c r="J4827">
        <v>7</v>
      </c>
      <c r="K4827">
        <v>55040</v>
      </c>
      <c r="L4827">
        <v>7</v>
      </c>
      <c r="M4827">
        <v>8</v>
      </c>
      <c r="N4827">
        <v>549</v>
      </c>
      <c r="O4827">
        <f t="shared" si="158"/>
        <v>2025</v>
      </c>
      <c r="P4827">
        <f t="shared" si="159"/>
        <v>10</v>
      </c>
      <c r="Q4827" t="s">
        <v>784</v>
      </c>
      <c r="R4827" t="s">
        <v>805</v>
      </c>
    </row>
    <row r="4828" spans="1:18" x14ac:dyDescent="0.3">
      <c r="A4828" t="s">
        <v>627</v>
      </c>
      <c r="B4828" s="16">
        <v>45950</v>
      </c>
      <c r="C4828" t="s">
        <v>2</v>
      </c>
      <c r="D4828" t="s">
        <v>57</v>
      </c>
      <c r="E4828">
        <v>41896</v>
      </c>
      <c r="F4828">
        <v>24840</v>
      </c>
      <c r="G4828">
        <v>309</v>
      </c>
      <c r="H4828">
        <v>281</v>
      </c>
      <c r="I4828">
        <v>607121.34</v>
      </c>
      <c r="J4828">
        <v>86</v>
      </c>
      <c r="K4828">
        <v>451986.34</v>
      </c>
      <c r="L4828">
        <v>76</v>
      </c>
      <c r="M4828">
        <v>2089</v>
      </c>
      <c r="N4828">
        <v>41435</v>
      </c>
      <c r="O4828">
        <f t="shared" si="158"/>
        <v>2025</v>
      </c>
      <c r="P4828">
        <f t="shared" si="159"/>
        <v>10</v>
      </c>
      <c r="Q4828" t="s">
        <v>784</v>
      </c>
      <c r="R4828" t="s">
        <v>805</v>
      </c>
    </row>
    <row r="4829" spans="1:18" x14ac:dyDescent="0.3">
      <c r="A4829" t="s">
        <v>627</v>
      </c>
      <c r="B4829" s="16">
        <v>45950</v>
      </c>
      <c r="C4829" t="s">
        <v>2</v>
      </c>
      <c r="D4829" t="s">
        <v>52</v>
      </c>
      <c r="E4829">
        <v>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1</v>
      </c>
      <c r="N4829">
        <v>0</v>
      </c>
      <c r="O4829">
        <f t="shared" si="158"/>
        <v>2025</v>
      </c>
      <c r="P4829">
        <f t="shared" si="159"/>
        <v>10</v>
      </c>
      <c r="Q4829" t="s">
        <v>784</v>
      </c>
      <c r="R4829" t="s">
        <v>805</v>
      </c>
    </row>
    <row r="4830" spans="1:18" x14ac:dyDescent="0.3">
      <c r="A4830" t="s">
        <v>627</v>
      </c>
      <c r="B4830" s="16">
        <v>45950</v>
      </c>
      <c r="C4830" t="s">
        <v>2</v>
      </c>
      <c r="D4830" t="s">
        <v>55</v>
      </c>
      <c r="E4830">
        <v>2095</v>
      </c>
      <c r="F4830">
        <v>1279</v>
      </c>
      <c r="G4830">
        <v>38</v>
      </c>
      <c r="H4830">
        <v>3</v>
      </c>
      <c r="I4830">
        <v>0</v>
      </c>
      <c r="J4830">
        <v>0</v>
      </c>
      <c r="K4830">
        <v>0</v>
      </c>
      <c r="L4830">
        <v>0</v>
      </c>
      <c r="M4830">
        <v>69</v>
      </c>
      <c r="N4830">
        <v>789</v>
      </c>
      <c r="O4830">
        <f t="shared" si="158"/>
        <v>2025</v>
      </c>
      <c r="P4830">
        <f t="shared" si="159"/>
        <v>10</v>
      </c>
      <c r="Q4830" t="s">
        <v>784</v>
      </c>
      <c r="R4830" t="s">
        <v>805</v>
      </c>
    </row>
    <row r="4831" spans="1:18" x14ac:dyDescent="0.3">
      <c r="A4831" t="s">
        <v>627</v>
      </c>
      <c r="B4831" s="16">
        <v>45950</v>
      </c>
      <c r="C4831" t="s">
        <v>3</v>
      </c>
      <c r="D4831" t="s">
        <v>155</v>
      </c>
      <c r="E4831">
        <v>94</v>
      </c>
      <c r="F4831">
        <v>35</v>
      </c>
      <c r="G4831">
        <v>1</v>
      </c>
      <c r="H4831">
        <v>0</v>
      </c>
      <c r="I4831">
        <v>9980</v>
      </c>
      <c r="J4831">
        <v>2</v>
      </c>
      <c r="K4831">
        <v>9980</v>
      </c>
      <c r="L4831">
        <v>2</v>
      </c>
      <c r="M4831">
        <v>0</v>
      </c>
      <c r="N4831">
        <v>94</v>
      </c>
      <c r="O4831">
        <f t="shared" si="158"/>
        <v>2025</v>
      </c>
      <c r="P4831">
        <f t="shared" si="159"/>
        <v>10</v>
      </c>
      <c r="Q4831" t="s">
        <v>784</v>
      </c>
      <c r="R4831" t="s">
        <v>805</v>
      </c>
    </row>
    <row r="4832" spans="1:18" x14ac:dyDescent="0.3">
      <c r="A4832" t="s">
        <v>627</v>
      </c>
      <c r="B4832" s="16">
        <v>45950</v>
      </c>
      <c r="C4832" t="s">
        <v>3</v>
      </c>
      <c r="D4832" t="s">
        <v>154</v>
      </c>
      <c r="E4832">
        <v>135</v>
      </c>
      <c r="F4832">
        <v>108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f t="shared" si="158"/>
        <v>2025</v>
      </c>
      <c r="P4832">
        <f t="shared" si="159"/>
        <v>10</v>
      </c>
      <c r="Q4832" t="s">
        <v>784</v>
      </c>
      <c r="R4832" t="s">
        <v>805</v>
      </c>
    </row>
    <row r="4833" spans="1:18" x14ac:dyDescent="0.3">
      <c r="A4833" t="s">
        <v>627</v>
      </c>
      <c r="B4833" s="16">
        <v>45950</v>
      </c>
      <c r="C4833" t="s">
        <v>3</v>
      </c>
      <c r="D4833" t="s">
        <v>153</v>
      </c>
      <c r="E4833">
        <v>930</v>
      </c>
      <c r="F4833">
        <v>168</v>
      </c>
      <c r="G4833">
        <v>115</v>
      </c>
      <c r="H4833">
        <v>12</v>
      </c>
      <c r="I4833">
        <v>1115432.6599999999</v>
      </c>
      <c r="J4833">
        <v>198</v>
      </c>
      <c r="K4833">
        <v>1004480.53</v>
      </c>
      <c r="L4833">
        <v>191</v>
      </c>
      <c r="M4833">
        <v>266</v>
      </c>
      <c r="N4833">
        <v>903</v>
      </c>
      <c r="O4833">
        <f t="shared" si="158"/>
        <v>2025</v>
      </c>
      <c r="P4833">
        <f t="shared" si="159"/>
        <v>10</v>
      </c>
      <c r="Q4833" t="s">
        <v>784</v>
      </c>
      <c r="R4833" t="s">
        <v>805</v>
      </c>
    </row>
    <row r="4834" spans="1:18" x14ac:dyDescent="0.3">
      <c r="A4834" t="s">
        <v>627</v>
      </c>
      <c r="B4834" s="16">
        <v>45950</v>
      </c>
      <c r="C4834" t="s">
        <v>3</v>
      </c>
      <c r="D4834" t="s">
        <v>152</v>
      </c>
      <c r="E4834">
        <v>9</v>
      </c>
      <c r="F4834">
        <v>5</v>
      </c>
      <c r="G4834">
        <v>0</v>
      </c>
      <c r="H4834">
        <v>0</v>
      </c>
      <c r="I4834">
        <v>2090</v>
      </c>
      <c r="J4834">
        <v>1</v>
      </c>
      <c r="K4834">
        <v>0</v>
      </c>
      <c r="L4834">
        <v>0</v>
      </c>
      <c r="M4834">
        <v>0</v>
      </c>
      <c r="N4834">
        <v>8</v>
      </c>
      <c r="O4834">
        <f t="shared" si="158"/>
        <v>2025</v>
      </c>
      <c r="P4834">
        <f t="shared" si="159"/>
        <v>10</v>
      </c>
      <c r="Q4834" t="s">
        <v>784</v>
      </c>
      <c r="R4834" t="s">
        <v>805</v>
      </c>
    </row>
    <row r="4835" spans="1:18" x14ac:dyDescent="0.3">
      <c r="A4835" t="s">
        <v>627</v>
      </c>
      <c r="B4835" s="16">
        <v>45950</v>
      </c>
      <c r="C4835" t="s">
        <v>3</v>
      </c>
      <c r="D4835" t="s">
        <v>198</v>
      </c>
      <c r="E4835">
        <v>1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1</v>
      </c>
      <c r="O4835">
        <f t="shared" si="158"/>
        <v>2025</v>
      </c>
      <c r="P4835">
        <f t="shared" si="159"/>
        <v>10</v>
      </c>
      <c r="Q4835" t="s">
        <v>784</v>
      </c>
      <c r="R4835" t="s">
        <v>805</v>
      </c>
    </row>
    <row r="4836" spans="1:18" x14ac:dyDescent="0.3">
      <c r="A4836" t="s">
        <v>627</v>
      </c>
      <c r="B4836" s="16">
        <v>45950</v>
      </c>
      <c r="C4836" t="s">
        <v>3</v>
      </c>
      <c r="D4836" t="s">
        <v>149</v>
      </c>
      <c r="E4836">
        <v>10</v>
      </c>
      <c r="F4836">
        <v>1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1</v>
      </c>
      <c r="N4836">
        <v>3</v>
      </c>
      <c r="O4836">
        <f t="shared" si="158"/>
        <v>2025</v>
      </c>
      <c r="P4836">
        <f t="shared" si="159"/>
        <v>10</v>
      </c>
      <c r="Q4836" t="s">
        <v>784</v>
      </c>
      <c r="R4836" t="s">
        <v>805</v>
      </c>
    </row>
    <row r="4837" spans="1:18" x14ac:dyDescent="0.3">
      <c r="A4837" t="s">
        <v>627</v>
      </c>
      <c r="B4837" s="16">
        <v>45950</v>
      </c>
      <c r="C4837" t="s">
        <v>3</v>
      </c>
      <c r="D4837" t="s">
        <v>148</v>
      </c>
      <c r="E4837">
        <v>20</v>
      </c>
      <c r="F4837">
        <v>20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19</v>
      </c>
      <c r="N4837">
        <v>1</v>
      </c>
      <c r="O4837">
        <f t="shared" si="158"/>
        <v>2025</v>
      </c>
      <c r="P4837">
        <f t="shared" si="159"/>
        <v>10</v>
      </c>
      <c r="Q4837" t="s">
        <v>784</v>
      </c>
      <c r="R4837" t="s">
        <v>805</v>
      </c>
    </row>
    <row r="4838" spans="1:18" x14ac:dyDescent="0.3">
      <c r="A4838" t="s">
        <v>627</v>
      </c>
      <c r="B4838" s="16">
        <v>45950</v>
      </c>
      <c r="C4838" t="s">
        <v>3</v>
      </c>
      <c r="D4838" t="s">
        <v>251</v>
      </c>
      <c r="E4838">
        <v>2412</v>
      </c>
      <c r="F4838">
        <v>1924</v>
      </c>
      <c r="G4838">
        <v>33</v>
      </c>
      <c r="H4838">
        <v>7</v>
      </c>
      <c r="I4838">
        <v>240832</v>
      </c>
      <c r="J4838">
        <v>39</v>
      </c>
      <c r="K4838">
        <v>203707</v>
      </c>
      <c r="L4838">
        <v>37</v>
      </c>
      <c r="M4838">
        <v>182</v>
      </c>
      <c r="N4838">
        <v>471</v>
      </c>
      <c r="O4838">
        <f t="shared" si="158"/>
        <v>2025</v>
      </c>
      <c r="P4838">
        <f t="shared" si="159"/>
        <v>10</v>
      </c>
      <c r="Q4838" t="s">
        <v>784</v>
      </c>
      <c r="R4838" t="s">
        <v>805</v>
      </c>
    </row>
    <row r="4839" spans="1:18" x14ac:dyDescent="0.3">
      <c r="A4839" t="s">
        <v>627</v>
      </c>
      <c r="B4839" s="16">
        <v>45950</v>
      </c>
      <c r="C4839" t="s">
        <v>3</v>
      </c>
      <c r="D4839" t="s">
        <v>141</v>
      </c>
      <c r="E4839">
        <v>287</v>
      </c>
      <c r="F4839">
        <v>89</v>
      </c>
      <c r="G4839">
        <v>3</v>
      </c>
      <c r="H4839">
        <v>1</v>
      </c>
      <c r="I4839">
        <v>10945</v>
      </c>
      <c r="J4839">
        <v>2</v>
      </c>
      <c r="K4839">
        <v>4675</v>
      </c>
      <c r="L4839">
        <v>1</v>
      </c>
      <c r="M4839">
        <v>2</v>
      </c>
      <c r="N4839">
        <v>285</v>
      </c>
      <c r="O4839">
        <f t="shared" si="158"/>
        <v>2025</v>
      </c>
      <c r="P4839">
        <f t="shared" si="159"/>
        <v>10</v>
      </c>
      <c r="Q4839" t="s">
        <v>784</v>
      </c>
      <c r="R4839" t="s">
        <v>805</v>
      </c>
    </row>
    <row r="4840" spans="1:18" x14ac:dyDescent="0.3">
      <c r="A4840" t="s">
        <v>627</v>
      </c>
      <c r="B4840" s="16">
        <v>45950</v>
      </c>
      <c r="C4840" t="s">
        <v>3</v>
      </c>
      <c r="D4840" t="s">
        <v>140</v>
      </c>
      <c r="E4840">
        <v>12</v>
      </c>
      <c r="F4840">
        <v>11</v>
      </c>
      <c r="G4840">
        <v>1</v>
      </c>
      <c r="H4840">
        <v>0</v>
      </c>
      <c r="I4840">
        <v>6990</v>
      </c>
      <c r="J4840">
        <v>1</v>
      </c>
      <c r="K4840">
        <v>6990</v>
      </c>
      <c r="L4840">
        <v>1</v>
      </c>
      <c r="M4840">
        <v>1</v>
      </c>
      <c r="N4840">
        <v>12</v>
      </c>
      <c r="O4840">
        <f t="shared" si="158"/>
        <v>2025</v>
      </c>
      <c r="P4840">
        <f t="shared" si="159"/>
        <v>10</v>
      </c>
      <c r="Q4840" t="s">
        <v>784</v>
      </c>
      <c r="R4840" t="s">
        <v>805</v>
      </c>
    </row>
    <row r="4841" spans="1:18" x14ac:dyDescent="0.3">
      <c r="A4841" t="s">
        <v>627</v>
      </c>
      <c r="B4841" s="16">
        <v>45950</v>
      </c>
      <c r="C4841" t="s">
        <v>3</v>
      </c>
      <c r="D4841" t="s">
        <v>139</v>
      </c>
      <c r="E4841">
        <v>2354</v>
      </c>
      <c r="F4841">
        <v>1134</v>
      </c>
      <c r="G4841">
        <v>93</v>
      </c>
      <c r="H4841">
        <v>13</v>
      </c>
      <c r="I4841">
        <v>428205.86</v>
      </c>
      <c r="J4841">
        <v>75</v>
      </c>
      <c r="K4841">
        <v>359182.99</v>
      </c>
      <c r="L4841">
        <v>69</v>
      </c>
      <c r="M4841">
        <v>530</v>
      </c>
      <c r="N4841">
        <v>1560</v>
      </c>
      <c r="O4841">
        <f t="shared" si="158"/>
        <v>2025</v>
      </c>
      <c r="P4841">
        <f t="shared" si="159"/>
        <v>10</v>
      </c>
      <c r="Q4841" t="s">
        <v>784</v>
      </c>
      <c r="R4841" t="s">
        <v>805</v>
      </c>
    </row>
    <row r="4842" spans="1:18" x14ac:dyDescent="0.3">
      <c r="A4842" t="s">
        <v>627</v>
      </c>
      <c r="B4842" s="16">
        <v>45950</v>
      </c>
      <c r="C4842" t="s">
        <v>3</v>
      </c>
      <c r="D4842" t="s">
        <v>138</v>
      </c>
      <c r="E4842">
        <v>24</v>
      </c>
      <c r="F4842">
        <v>17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3</v>
      </c>
      <c r="N4842">
        <v>23</v>
      </c>
      <c r="O4842">
        <f t="shared" si="158"/>
        <v>2025</v>
      </c>
      <c r="P4842">
        <f t="shared" si="159"/>
        <v>10</v>
      </c>
      <c r="Q4842" t="s">
        <v>784</v>
      </c>
      <c r="R4842" t="s">
        <v>805</v>
      </c>
    </row>
    <row r="4843" spans="1:18" x14ac:dyDescent="0.3">
      <c r="A4843" t="s">
        <v>627</v>
      </c>
      <c r="B4843" s="16">
        <v>45950</v>
      </c>
      <c r="C4843" t="s">
        <v>3</v>
      </c>
      <c r="D4843" t="s">
        <v>133</v>
      </c>
      <c r="E4843">
        <v>28</v>
      </c>
      <c r="F4843">
        <v>11</v>
      </c>
      <c r="G4843">
        <v>5</v>
      </c>
      <c r="H4843">
        <v>0</v>
      </c>
      <c r="I4843">
        <v>19160</v>
      </c>
      <c r="J4843">
        <v>4</v>
      </c>
      <c r="K4843">
        <v>14170</v>
      </c>
      <c r="L4843">
        <v>3</v>
      </c>
      <c r="M4843">
        <v>7</v>
      </c>
      <c r="N4843">
        <v>24</v>
      </c>
      <c r="O4843">
        <f t="shared" si="158"/>
        <v>2025</v>
      </c>
      <c r="P4843">
        <f t="shared" si="159"/>
        <v>10</v>
      </c>
      <c r="Q4843" t="s">
        <v>784</v>
      </c>
      <c r="R4843" t="s">
        <v>805</v>
      </c>
    </row>
    <row r="4844" spans="1:18" x14ac:dyDescent="0.3">
      <c r="A4844" t="s">
        <v>627</v>
      </c>
      <c r="B4844" s="16">
        <v>45950</v>
      </c>
      <c r="C4844" t="s">
        <v>3</v>
      </c>
      <c r="D4844" t="s">
        <v>130</v>
      </c>
      <c r="E4844">
        <v>205</v>
      </c>
      <c r="F4844">
        <v>60</v>
      </c>
      <c r="G4844">
        <v>18</v>
      </c>
      <c r="H4844">
        <v>1</v>
      </c>
      <c r="I4844">
        <v>114600</v>
      </c>
      <c r="J4844">
        <v>21</v>
      </c>
      <c r="K4844">
        <v>93560</v>
      </c>
      <c r="L4844">
        <v>19</v>
      </c>
      <c r="M4844">
        <v>77</v>
      </c>
      <c r="N4844">
        <v>175</v>
      </c>
      <c r="O4844">
        <f t="shared" si="158"/>
        <v>2025</v>
      </c>
      <c r="P4844">
        <f t="shared" si="159"/>
        <v>10</v>
      </c>
      <c r="Q4844" t="s">
        <v>784</v>
      </c>
      <c r="R4844" t="s">
        <v>805</v>
      </c>
    </row>
    <row r="4845" spans="1:18" x14ac:dyDescent="0.3">
      <c r="A4845" t="s">
        <v>627</v>
      </c>
      <c r="B4845" s="16">
        <v>45950</v>
      </c>
      <c r="C4845" t="s">
        <v>3</v>
      </c>
      <c r="D4845" t="s">
        <v>128</v>
      </c>
      <c r="E4845">
        <v>1291</v>
      </c>
      <c r="F4845">
        <v>963</v>
      </c>
      <c r="G4845">
        <v>60</v>
      </c>
      <c r="H4845">
        <v>15</v>
      </c>
      <c r="I4845">
        <v>86705</v>
      </c>
      <c r="J4845">
        <v>18</v>
      </c>
      <c r="K4845">
        <v>75530</v>
      </c>
      <c r="L4845">
        <v>14</v>
      </c>
      <c r="M4845">
        <v>272</v>
      </c>
      <c r="N4845">
        <v>1214</v>
      </c>
      <c r="O4845">
        <f t="shared" si="158"/>
        <v>2025</v>
      </c>
      <c r="P4845">
        <f t="shared" si="159"/>
        <v>10</v>
      </c>
      <c r="Q4845" t="s">
        <v>784</v>
      </c>
      <c r="R4845" t="s">
        <v>805</v>
      </c>
    </row>
    <row r="4846" spans="1:18" x14ac:dyDescent="0.3">
      <c r="A4846" t="s">
        <v>627</v>
      </c>
      <c r="B4846" s="16">
        <v>45950</v>
      </c>
      <c r="C4846" t="s">
        <v>3</v>
      </c>
      <c r="D4846" t="s">
        <v>127</v>
      </c>
      <c r="E4846">
        <v>7050</v>
      </c>
      <c r="F4846">
        <v>3596</v>
      </c>
      <c r="G4846">
        <v>180</v>
      </c>
      <c r="H4846">
        <v>53</v>
      </c>
      <c r="I4846">
        <v>256695.65</v>
      </c>
      <c r="J4846">
        <v>55</v>
      </c>
      <c r="K4846">
        <v>199575.65</v>
      </c>
      <c r="L4846">
        <v>48</v>
      </c>
      <c r="M4846">
        <v>747</v>
      </c>
      <c r="N4846">
        <v>6920</v>
      </c>
      <c r="O4846">
        <f t="shared" si="158"/>
        <v>2025</v>
      </c>
      <c r="P4846">
        <f t="shared" si="159"/>
        <v>10</v>
      </c>
      <c r="Q4846" t="s">
        <v>784</v>
      </c>
      <c r="R4846" t="s">
        <v>805</v>
      </c>
    </row>
    <row r="4847" spans="1:18" x14ac:dyDescent="0.3">
      <c r="A4847" t="s">
        <v>627</v>
      </c>
      <c r="B4847" s="16">
        <v>45950</v>
      </c>
      <c r="C4847" t="s">
        <v>3</v>
      </c>
      <c r="D4847" t="s">
        <v>126</v>
      </c>
      <c r="E4847">
        <v>135</v>
      </c>
      <c r="F4847">
        <v>82</v>
      </c>
      <c r="G4847">
        <v>6</v>
      </c>
      <c r="H4847">
        <v>1</v>
      </c>
      <c r="I4847">
        <v>13670</v>
      </c>
      <c r="J4847">
        <v>3</v>
      </c>
      <c r="K4847">
        <v>12680</v>
      </c>
      <c r="L4847">
        <v>3</v>
      </c>
      <c r="M4847">
        <v>27</v>
      </c>
      <c r="N4847">
        <v>124</v>
      </c>
      <c r="O4847">
        <f t="shared" si="158"/>
        <v>2025</v>
      </c>
      <c r="P4847">
        <f t="shared" si="159"/>
        <v>10</v>
      </c>
      <c r="Q4847" t="s">
        <v>784</v>
      </c>
      <c r="R4847" t="s">
        <v>805</v>
      </c>
    </row>
    <row r="4848" spans="1:18" x14ac:dyDescent="0.3">
      <c r="A4848" t="s">
        <v>627</v>
      </c>
      <c r="B4848" s="16">
        <v>45950</v>
      </c>
      <c r="C4848" t="s">
        <v>3</v>
      </c>
      <c r="D4848" t="s">
        <v>123</v>
      </c>
      <c r="E4848">
        <v>77</v>
      </c>
      <c r="F4848">
        <v>29</v>
      </c>
      <c r="G4848">
        <v>5</v>
      </c>
      <c r="H4848">
        <v>0</v>
      </c>
      <c r="I4848">
        <v>4330</v>
      </c>
      <c r="J4848">
        <v>1</v>
      </c>
      <c r="K4848">
        <v>4330</v>
      </c>
      <c r="L4848">
        <v>1</v>
      </c>
      <c r="M4848">
        <v>71</v>
      </c>
      <c r="N4848">
        <v>32</v>
      </c>
      <c r="O4848">
        <f t="shared" si="158"/>
        <v>2025</v>
      </c>
      <c r="P4848">
        <f t="shared" si="159"/>
        <v>10</v>
      </c>
      <c r="Q4848" t="s">
        <v>784</v>
      </c>
      <c r="R4848" t="s">
        <v>805</v>
      </c>
    </row>
    <row r="4849" spans="1:18" x14ac:dyDescent="0.3">
      <c r="A4849" t="s">
        <v>627</v>
      </c>
      <c r="B4849" s="16">
        <v>45950</v>
      </c>
      <c r="C4849" t="s">
        <v>3</v>
      </c>
      <c r="D4849" t="s">
        <v>121</v>
      </c>
      <c r="E4849">
        <v>3</v>
      </c>
      <c r="F4849">
        <v>1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1</v>
      </c>
      <c r="N4849">
        <v>2</v>
      </c>
      <c r="O4849">
        <f t="shared" si="158"/>
        <v>2025</v>
      </c>
      <c r="P4849">
        <f t="shared" si="159"/>
        <v>10</v>
      </c>
      <c r="Q4849" t="s">
        <v>784</v>
      </c>
      <c r="R4849" t="s">
        <v>805</v>
      </c>
    </row>
    <row r="4850" spans="1:18" x14ac:dyDescent="0.3">
      <c r="A4850" t="s">
        <v>627</v>
      </c>
      <c r="B4850" s="16">
        <v>45950</v>
      </c>
      <c r="C4850" t="s">
        <v>3</v>
      </c>
      <c r="D4850" t="s">
        <v>119</v>
      </c>
      <c r="E4850">
        <v>466</v>
      </c>
      <c r="F4850">
        <v>108</v>
      </c>
      <c r="G4850">
        <v>42</v>
      </c>
      <c r="H4850">
        <v>9</v>
      </c>
      <c r="I4850">
        <v>304401.18</v>
      </c>
      <c r="J4850">
        <v>52</v>
      </c>
      <c r="K4850">
        <v>264566.18</v>
      </c>
      <c r="L4850">
        <v>48</v>
      </c>
      <c r="M4850">
        <v>102</v>
      </c>
      <c r="N4850">
        <v>452</v>
      </c>
      <c r="O4850">
        <f t="shared" si="158"/>
        <v>2025</v>
      </c>
      <c r="P4850">
        <f t="shared" si="159"/>
        <v>10</v>
      </c>
      <c r="Q4850" t="s">
        <v>784</v>
      </c>
      <c r="R4850" t="s">
        <v>805</v>
      </c>
    </row>
    <row r="4851" spans="1:18" x14ac:dyDescent="0.3">
      <c r="A4851" t="s">
        <v>627</v>
      </c>
      <c r="B4851" s="16">
        <v>45950</v>
      </c>
      <c r="C4851" t="s">
        <v>3</v>
      </c>
      <c r="D4851" t="s">
        <v>252</v>
      </c>
      <c r="E4851">
        <v>6</v>
      </c>
      <c r="F4851">
        <v>6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6</v>
      </c>
      <c r="O4851">
        <f t="shared" si="158"/>
        <v>2025</v>
      </c>
      <c r="P4851">
        <f t="shared" si="159"/>
        <v>10</v>
      </c>
      <c r="Q4851" t="s">
        <v>784</v>
      </c>
      <c r="R4851" t="s">
        <v>805</v>
      </c>
    </row>
    <row r="4852" spans="1:18" x14ac:dyDescent="0.3">
      <c r="A4852" t="s">
        <v>627</v>
      </c>
      <c r="B4852" s="16">
        <v>45950</v>
      </c>
      <c r="C4852" t="s">
        <v>3</v>
      </c>
      <c r="D4852" t="s">
        <v>391</v>
      </c>
      <c r="E4852">
        <v>940</v>
      </c>
      <c r="F4852">
        <v>587</v>
      </c>
      <c r="G4852">
        <v>38</v>
      </c>
      <c r="H4852">
        <v>4</v>
      </c>
      <c r="I4852">
        <v>121931.28</v>
      </c>
      <c r="J4852">
        <v>26</v>
      </c>
      <c r="K4852">
        <v>115296.28</v>
      </c>
      <c r="L4852">
        <v>24</v>
      </c>
      <c r="M4852">
        <v>101</v>
      </c>
      <c r="N4852">
        <v>933</v>
      </c>
      <c r="O4852">
        <f t="shared" si="158"/>
        <v>2025</v>
      </c>
      <c r="P4852">
        <f t="shared" si="159"/>
        <v>10</v>
      </c>
      <c r="Q4852" t="s">
        <v>784</v>
      </c>
      <c r="R4852" t="s">
        <v>805</v>
      </c>
    </row>
    <row r="4853" spans="1:18" x14ac:dyDescent="0.3">
      <c r="A4853" t="s">
        <v>627</v>
      </c>
      <c r="B4853" s="16">
        <v>45950</v>
      </c>
      <c r="C4853" t="s">
        <v>3</v>
      </c>
      <c r="D4853" t="s">
        <v>114</v>
      </c>
      <c r="E4853">
        <v>126</v>
      </c>
      <c r="F4853">
        <v>42</v>
      </c>
      <c r="G4853">
        <v>6</v>
      </c>
      <c r="H4853">
        <v>0</v>
      </c>
      <c r="I4853">
        <v>10930</v>
      </c>
      <c r="J4853">
        <v>2</v>
      </c>
      <c r="K4853">
        <v>10930</v>
      </c>
      <c r="L4853">
        <v>2</v>
      </c>
      <c r="M4853">
        <v>12</v>
      </c>
      <c r="N4853">
        <v>121</v>
      </c>
      <c r="O4853">
        <f t="shared" si="158"/>
        <v>2025</v>
      </c>
      <c r="P4853">
        <f t="shared" si="159"/>
        <v>10</v>
      </c>
      <c r="Q4853" t="s">
        <v>784</v>
      </c>
      <c r="R4853" t="s">
        <v>805</v>
      </c>
    </row>
    <row r="4854" spans="1:18" x14ac:dyDescent="0.3">
      <c r="A4854" t="s">
        <v>627</v>
      </c>
      <c r="B4854" s="16">
        <v>45950</v>
      </c>
      <c r="C4854" t="s">
        <v>3</v>
      </c>
      <c r="D4854" t="s">
        <v>113</v>
      </c>
      <c r="E4854">
        <v>168</v>
      </c>
      <c r="F4854">
        <v>75</v>
      </c>
      <c r="G4854">
        <v>5</v>
      </c>
      <c r="H4854">
        <v>2</v>
      </c>
      <c r="I4854">
        <v>1980</v>
      </c>
      <c r="J4854">
        <v>1</v>
      </c>
      <c r="K4854">
        <v>990</v>
      </c>
      <c r="L4854">
        <v>1</v>
      </c>
      <c r="M4854">
        <v>143</v>
      </c>
      <c r="N4854">
        <v>101</v>
      </c>
      <c r="O4854">
        <f t="shared" si="158"/>
        <v>2025</v>
      </c>
      <c r="P4854">
        <f t="shared" si="159"/>
        <v>10</v>
      </c>
      <c r="Q4854" t="s">
        <v>784</v>
      </c>
      <c r="R4854" t="s">
        <v>805</v>
      </c>
    </row>
    <row r="4855" spans="1:18" x14ac:dyDescent="0.3">
      <c r="A4855" t="s">
        <v>627</v>
      </c>
      <c r="B4855" s="16">
        <v>45950</v>
      </c>
      <c r="C4855" t="s">
        <v>3</v>
      </c>
      <c r="D4855" t="s">
        <v>112</v>
      </c>
      <c r="E4855">
        <v>74</v>
      </c>
      <c r="F4855">
        <v>17</v>
      </c>
      <c r="G4855">
        <v>4</v>
      </c>
      <c r="H4855">
        <v>0</v>
      </c>
      <c r="I4855">
        <v>76495</v>
      </c>
      <c r="J4855">
        <v>15</v>
      </c>
      <c r="K4855">
        <v>76495</v>
      </c>
      <c r="L4855">
        <v>15</v>
      </c>
      <c r="M4855">
        <v>0</v>
      </c>
      <c r="N4855">
        <v>74</v>
      </c>
      <c r="O4855">
        <f t="shared" si="158"/>
        <v>2025</v>
      </c>
      <c r="P4855">
        <f t="shared" si="159"/>
        <v>10</v>
      </c>
      <c r="Q4855" t="s">
        <v>784</v>
      </c>
      <c r="R4855" t="s">
        <v>805</v>
      </c>
    </row>
    <row r="4856" spans="1:18" x14ac:dyDescent="0.3">
      <c r="A4856" t="s">
        <v>627</v>
      </c>
      <c r="B4856" s="16">
        <v>45950</v>
      </c>
      <c r="C4856" t="s">
        <v>3</v>
      </c>
      <c r="D4856" t="s">
        <v>111</v>
      </c>
      <c r="E4856">
        <v>2</v>
      </c>
      <c r="F4856">
        <v>1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2</v>
      </c>
      <c r="O4856">
        <f t="shared" si="158"/>
        <v>2025</v>
      </c>
      <c r="P4856">
        <f t="shared" si="159"/>
        <v>10</v>
      </c>
      <c r="Q4856" t="s">
        <v>784</v>
      </c>
      <c r="R4856" t="s">
        <v>805</v>
      </c>
    </row>
    <row r="4857" spans="1:18" x14ac:dyDescent="0.3">
      <c r="A4857" t="s">
        <v>627</v>
      </c>
      <c r="B4857" s="16">
        <v>45949</v>
      </c>
      <c r="C4857" t="s">
        <v>2</v>
      </c>
      <c r="D4857" t="s">
        <v>4</v>
      </c>
      <c r="E4857">
        <v>520</v>
      </c>
      <c r="F4857">
        <v>161</v>
      </c>
      <c r="G4857">
        <v>4</v>
      </c>
      <c r="H4857">
        <v>3</v>
      </c>
      <c r="I4857">
        <v>0</v>
      </c>
      <c r="J4857">
        <v>0</v>
      </c>
      <c r="K4857">
        <v>0</v>
      </c>
      <c r="L4857">
        <v>0</v>
      </c>
      <c r="M4857">
        <v>4</v>
      </c>
      <c r="N4857">
        <v>520</v>
      </c>
      <c r="O4857">
        <f t="shared" si="158"/>
        <v>2025</v>
      </c>
      <c r="P4857">
        <f t="shared" si="159"/>
        <v>10</v>
      </c>
      <c r="Q4857" t="s">
        <v>784</v>
      </c>
      <c r="R4857" t="s">
        <v>805</v>
      </c>
    </row>
    <row r="4858" spans="1:18" x14ac:dyDescent="0.3">
      <c r="A4858" t="s">
        <v>627</v>
      </c>
      <c r="B4858" s="16">
        <v>45949</v>
      </c>
      <c r="C4858" t="s">
        <v>2</v>
      </c>
      <c r="D4858" t="s">
        <v>57</v>
      </c>
      <c r="E4858">
        <v>53825</v>
      </c>
      <c r="F4858">
        <v>33934</v>
      </c>
      <c r="G4858">
        <v>383</v>
      </c>
      <c r="H4858">
        <v>420</v>
      </c>
      <c r="I4858">
        <v>120615</v>
      </c>
      <c r="J4858">
        <v>13</v>
      </c>
      <c r="K4858">
        <v>71860</v>
      </c>
      <c r="L4858">
        <v>7</v>
      </c>
      <c r="M4858">
        <v>2461</v>
      </c>
      <c r="N4858">
        <v>53365</v>
      </c>
      <c r="O4858">
        <f t="shared" si="158"/>
        <v>2025</v>
      </c>
      <c r="P4858">
        <f t="shared" si="159"/>
        <v>10</v>
      </c>
      <c r="Q4858" t="s">
        <v>784</v>
      </c>
      <c r="R4858" t="s">
        <v>805</v>
      </c>
    </row>
    <row r="4859" spans="1:18" x14ac:dyDescent="0.3">
      <c r="A4859" t="s">
        <v>627</v>
      </c>
      <c r="B4859" s="16">
        <v>45949</v>
      </c>
      <c r="C4859" t="s">
        <v>2</v>
      </c>
      <c r="D4859" t="s">
        <v>52</v>
      </c>
      <c r="E4859">
        <v>1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1</v>
      </c>
      <c r="O4859">
        <f t="shared" si="158"/>
        <v>2025</v>
      </c>
      <c r="P4859">
        <f t="shared" si="159"/>
        <v>10</v>
      </c>
      <c r="Q4859" t="s">
        <v>784</v>
      </c>
      <c r="R4859" t="s">
        <v>805</v>
      </c>
    </row>
    <row r="4860" spans="1:18" x14ac:dyDescent="0.3">
      <c r="A4860" t="s">
        <v>627</v>
      </c>
      <c r="B4860" s="16">
        <v>45949</v>
      </c>
      <c r="C4860" t="s">
        <v>2</v>
      </c>
      <c r="D4860" t="s">
        <v>55</v>
      </c>
      <c r="E4860">
        <v>743</v>
      </c>
      <c r="F4860">
        <v>333</v>
      </c>
      <c r="G4860">
        <v>1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11</v>
      </c>
      <c r="N4860">
        <v>436</v>
      </c>
      <c r="O4860">
        <f t="shared" si="158"/>
        <v>2025</v>
      </c>
      <c r="P4860">
        <f t="shared" si="159"/>
        <v>10</v>
      </c>
      <c r="Q4860" t="s">
        <v>784</v>
      </c>
      <c r="R4860" t="s">
        <v>805</v>
      </c>
    </row>
    <row r="4861" spans="1:18" x14ac:dyDescent="0.3">
      <c r="A4861" t="s">
        <v>627</v>
      </c>
      <c r="B4861" s="16">
        <v>45949</v>
      </c>
      <c r="C4861" t="s">
        <v>3</v>
      </c>
      <c r="D4861" t="s">
        <v>155</v>
      </c>
      <c r="E4861">
        <v>81</v>
      </c>
      <c r="F4861">
        <v>25</v>
      </c>
      <c r="G4861">
        <v>1</v>
      </c>
      <c r="H4861">
        <v>0</v>
      </c>
      <c r="I4861">
        <v>2990</v>
      </c>
      <c r="J4861">
        <v>1</v>
      </c>
      <c r="K4861">
        <v>2990</v>
      </c>
      <c r="L4861">
        <v>1</v>
      </c>
      <c r="M4861">
        <v>2</v>
      </c>
      <c r="N4861">
        <v>81</v>
      </c>
      <c r="O4861">
        <f t="shared" si="158"/>
        <v>2025</v>
      </c>
      <c r="P4861">
        <f t="shared" si="159"/>
        <v>10</v>
      </c>
      <c r="Q4861" t="s">
        <v>784</v>
      </c>
      <c r="R4861" t="s">
        <v>805</v>
      </c>
    </row>
    <row r="4862" spans="1:18" x14ac:dyDescent="0.3">
      <c r="A4862" t="s">
        <v>627</v>
      </c>
      <c r="B4862" s="16">
        <v>45949</v>
      </c>
      <c r="C4862" t="s">
        <v>3</v>
      </c>
      <c r="D4862" t="s">
        <v>153</v>
      </c>
      <c r="E4862">
        <v>501</v>
      </c>
      <c r="F4862">
        <v>94</v>
      </c>
      <c r="G4862">
        <v>44</v>
      </c>
      <c r="H4862">
        <v>10</v>
      </c>
      <c r="I4862">
        <v>15490</v>
      </c>
      <c r="J4862">
        <v>3</v>
      </c>
      <c r="K4862">
        <v>11690</v>
      </c>
      <c r="L4862">
        <v>2</v>
      </c>
      <c r="M4862">
        <v>137</v>
      </c>
      <c r="N4862">
        <v>488</v>
      </c>
      <c r="O4862">
        <f t="shared" si="158"/>
        <v>2025</v>
      </c>
      <c r="P4862">
        <f t="shared" si="159"/>
        <v>10</v>
      </c>
      <c r="Q4862" t="s">
        <v>784</v>
      </c>
      <c r="R4862" t="s">
        <v>805</v>
      </c>
    </row>
    <row r="4863" spans="1:18" x14ac:dyDescent="0.3">
      <c r="A4863" t="s">
        <v>627</v>
      </c>
      <c r="B4863" s="16">
        <v>45949</v>
      </c>
      <c r="C4863" t="s">
        <v>3</v>
      </c>
      <c r="D4863" t="s">
        <v>152</v>
      </c>
      <c r="E4863">
        <v>10</v>
      </c>
      <c r="F4863">
        <v>6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10</v>
      </c>
      <c r="O4863">
        <f t="shared" si="158"/>
        <v>2025</v>
      </c>
      <c r="P4863">
        <f t="shared" si="159"/>
        <v>10</v>
      </c>
      <c r="Q4863" t="s">
        <v>784</v>
      </c>
      <c r="R4863" t="s">
        <v>805</v>
      </c>
    </row>
    <row r="4864" spans="1:18" x14ac:dyDescent="0.3">
      <c r="A4864" t="s">
        <v>627</v>
      </c>
      <c r="B4864" s="16">
        <v>45949</v>
      </c>
      <c r="C4864" t="s">
        <v>3</v>
      </c>
      <c r="D4864" t="s">
        <v>149</v>
      </c>
      <c r="E4864">
        <v>2</v>
      </c>
      <c r="F4864">
        <v>1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2</v>
      </c>
      <c r="O4864">
        <f t="shared" si="158"/>
        <v>2025</v>
      </c>
      <c r="P4864">
        <f t="shared" si="159"/>
        <v>10</v>
      </c>
      <c r="Q4864" t="s">
        <v>784</v>
      </c>
      <c r="R4864" t="s">
        <v>805</v>
      </c>
    </row>
    <row r="4865" spans="1:18" x14ac:dyDescent="0.3">
      <c r="A4865" t="s">
        <v>627</v>
      </c>
      <c r="B4865" s="16">
        <v>45949</v>
      </c>
      <c r="C4865" t="s">
        <v>3</v>
      </c>
      <c r="D4865" t="s">
        <v>251</v>
      </c>
      <c r="E4865">
        <v>433</v>
      </c>
      <c r="F4865">
        <v>197</v>
      </c>
      <c r="G4865">
        <v>18</v>
      </c>
      <c r="H4865">
        <v>6</v>
      </c>
      <c r="I4865">
        <v>13605</v>
      </c>
      <c r="J4865">
        <v>3</v>
      </c>
      <c r="K4865">
        <v>8930</v>
      </c>
      <c r="L4865">
        <v>2</v>
      </c>
      <c r="M4865">
        <v>119</v>
      </c>
      <c r="N4865">
        <v>365</v>
      </c>
      <c r="O4865">
        <f t="shared" si="158"/>
        <v>2025</v>
      </c>
      <c r="P4865">
        <f t="shared" si="159"/>
        <v>10</v>
      </c>
      <c r="Q4865" t="s">
        <v>784</v>
      </c>
      <c r="R4865" t="s">
        <v>805</v>
      </c>
    </row>
    <row r="4866" spans="1:18" x14ac:dyDescent="0.3">
      <c r="A4866" t="s">
        <v>627</v>
      </c>
      <c r="B4866" s="16">
        <v>45949</v>
      </c>
      <c r="C4866" t="s">
        <v>3</v>
      </c>
      <c r="D4866" t="s">
        <v>141</v>
      </c>
      <c r="E4866">
        <v>296</v>
      </c>
      <c r="F4866">
        <v>103</v>
      </c>
      <c r="G4866">
        <v>6</v>
      </c>
      <c r="H4866">
        <v>1</v>
      </c>
      <c r="I4866">
        <v>0</v>
      </c>
      <c r="J4866">
        <v>0</v>
      </c>
      <c r="K4866">
        <v>0</v>
      </c>
      <c r="L4866">
        <v>0</v>
      </c>
      <c r="M4866">
        <v>2</v>
      </c>
      <c r="N4866">
        <v>294</v>
      </c>
      <c r="O4866">
        <f t="shared" si="158"/>
        <v>2025</v>
      </c>
      <c r="P4866">
        <f t="shared" si="159"/>
        <v>10</v>
      </c>
      <c r="Q4866" t="s">
        <v>784</v>
      </c>
      <c r="R4866" t="s">
        <v>805</v>
      </c>
    </row>
    <row r="4867" spans="1:18" x14ac:dyDescent="0.3">
      <c r="A4867" t="s">
        <v>627</v>
      </c>
      <c r="B4867" s="16">
        <v>45949</v>
      </c>
      <c r="C4867" t="s">
        <v>3</v>
      </c>
      <c r="D4867" t="s">
        <v>140</v>
      </c>
      <c r="E4867">
        <v>10</v>
      </c>
      <c r="F4867">
        <v>7</v>
      </c>
      <c r="G4867">
        <v>2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1</v>
      </c>
      <c r="N4867">
        <v>10</v>
      </c>
      <c r="O4867">
        <f t="shared" si="158"/>
        <v>2025</v>
      </c>
      <c r="P4867">
        <f t="shared" si="159"/>
        <v>10</v>
      </c>
      <c r="Q4867" t="s">
        <v>784</v>
      </c>
      <c r="R4867" t="s">
        <v>805</v>
      </c>
    </row>
    <row r="4868" spans="1:18" x14ac:dyDescent="0.3">
      <c r="A4868" t="s">
        <v>627</v>
      </c>
      <c r="B4868" s="16">
        <v>45949</v>
      </c>
      <c r="C4868" t="s">
        <v>3</v>
      </c>
      <c r="D4868" t="s">
        <v>139</v>
      </c>
      <c r="E4868">
        <v>1223</v>
      </c>
      <c r="F4868">
        <v>525</v>
      </c>
      <c r="G4868">
        <v>67</v>
      </c>
      <c r="H4868">
        <v>18</v>
      </c>
      <c r="I4868">
        <v>25395</v>
      </c>
      <c r="J4868">
        <v>6</v>
      </c>
      <c r="K4868">
        <v>17820</v>
      </c>
      <c r="L4868">
        <v>4</v>
      </c>
      <c r="M4868">
        <v>433</v>
      </c>
      <c r="N4868">
        <v>1104</v>
      </c>
      <c r="O4868">
        <f t="shared" si="158"/>
        <v>2025</v>
      </c>
      <c r="P4868">
        <f t="shared" si="159"/>
        <v>10</v>
      </c>
      <c r="Q4868" t="s">
        <v>784</v>
      </c>
      <c r="R4868" t="s">
        <v>805</v>
      </c>
    </row>
    <row r="4869" spans="1:18" x14ac:dyDescent="0.3">
      <c r="A4869" t="s">
        <v>627</v>
      </c>
      <c r="B4869" s="16">
        <v>45949</v>
      </c>
      <c r="C4869" t="s">
        <v>3</v>
      </c>
      <c r="D4869" t="s">
        <v>138</v>
      </c>
      <c r="E4869">
        <v>11</v>
      </c>
      <c r="F4869">
        <v>8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3</v>
      </c>
      <c r="N4869">
        <v>10</v>
      </c>
      <c r="O4869">
        <f t="shared" si="158"/>
        <v>2025</v>
      </c>
      <c r="P4869">
        <f t="shared" si="159"/>
        <v>10</v>
      </c>
      <c r="Q4869" t="s">
        <v>784</v>
      </c>
      <c r="R4869" t="s">
        <v>805</v>
      </c>
    </row>
    <row r="4870" spans="1:18" x14ac:dyDescent="0.3">
      <c r="A4870" t="s">
        <v>627</v>
      </c>
      <c r="B4870" s="16">
        <v>45949</v>
      </c>
      <c r="C4870" t="s">
        <v>3</v>
      </c>
      <c r="D4870" t="s">
        <v>133</v>
      </c>
      <c r="E4870">
        <v>36</v>
      </c>
      <c r="F4870">
        <v>21</v>
      </c>
      <c r="G4870">
        <v>1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4</v>
      </c>
      <c r="N4870">
        <v>33</v>
      </c>
      <c r="O4870">
        <f t="shared" si="158"/>
        <v>2025</v>
      </c>
      <c r="P4870">
        <f t="shared" si="159"/>
        <v>10</v>
      </c>
      <c r="Q4870" t="s">
        <v>784</v>
      </c>
      <c r="R4870" t="s">
        <v>805</v>
      </c>
    </row>
    <row r="4871" spans="1:18" x14ac:dyDescent="0.3">
      <c r="A4871" t="s">
        <v>627</v>
      </c>
      <c r="B4871" s="16">
        <v>45949</v>
      </c>
      <c r="C4871" t="s">
        <v>3</v>
      </c>
      <c r="D4871" t="s">
        <v>130</v>
      </c>
      <c r="E4871">
        <v>152</v>
      </c>
      <c r="F4871">
        <v>45</v>
      </c>
      <c r="G4871">
        <v>11</v>
      </c>
      <c r="H4871">
        <v>2</v>
      </c>
      <c r="I4871">
        <v>0</v>
      </c>
      <c r="J4871">
        <v>0</v>
      </c>
      <c r="K4871">
        <v>0</v>
      </c>
      <c r="L4871">
        <v>0</v>
      </c>
      <c r="M4871">
        <v>64</v>
      </c>
      <c r="N4871">
        <v>134</v>
      </c>
      <c r="O4871">
        <f t="shared" si="158"/>
        <v>2025</v>
      </c>
      <c r="P4871">
        <f t="shared" si="159"/>
        <v>10</v>
      </c>
      <c r="Q4871" t="s">
        <v>784</v>
      </c>
      <c r="R4871" t="s">
        <v>805</v>
      </c>
    </row>
    <row r="4872" spans="1:18" x14ac:dyDescent="0.3">
      <c r="A4872" t="s">
        <v>627</v>
      </c>
      <c r="B4872" s="16">
        <v>45949</v>
      </c>
      <c r="C4872" t="s">
        <v>3</v>
      </c>
      <c r="D4872" t="s">
        <v>128</v>
      </c>
      <c r="E4872">
        <v>886</v>
      </c>
      <c r="F4872">
        <v>630</v>
      </c>
      <c r="G4872">
        <v>44</v>
      </c>
      <c r="H4872">
        <v>6</v>
      </c>
      <c r="I4872">
        <v>32220</v>
      </c>
      <c r="J4872">
        <v>4</v>
      </c>
      <c r="K4872">
        <v>7990</v>
      </c>
      <c r="L4872">
        <v>1</v>
      </c>
      <c r="M4872">
        <v>239</v>
      </c>
      <c r="N4872">
        <v>814</v>
      </c>
      <c r="O4872">
        <f t="shared" si="158"/>
        <v>2025</v>
      </c>
      <c r="P4872">
        <f t="shared" si="159"/>
        <v>10</v>
      </c>
      <c r="Q4872" t="s">
        <v>784</v>
      </c>
      <c r="R4872" t="s">
        <v>805</v>
      </c>
    </row>
    <row r="4873" spans="1:18" x14ac:dyDescent="0.3">
      <c r="A4873" t="s">
        <v>627</v>
      </c>
      <c r="B4873" s="16">
        <v>45949</v>
      </c>
      <c r="C4873" t="s">
        <v>3</v>
      </c>
      <c r="D4873" t="s">
        <v>127</v>
      </c>
      <c r="E4873">
        <v>5218</v>
      </c>
      <c r="F4873">
        <v>2532</v>
      </c>
      <c r="G4873">
        <v>127</v>
      </c>
      <c r="H4873">
        <v>48</v>
      </c>
      <c r="I4873">
        <v>54200</v>
      </c>
      <c r="J4873">
        <v>6</v>
      </c>
      <c r="K4873">
        <v>34025</v>
      </c>
      <c r="L4873">
        <v>4</v>
      </c>
      <c r="M4873">
        <v>497</v>
      </c>
      <c r="N4873">
        <v>5178</v>
      </c>
      <c r="O4873">
        <f t="shared" ref="O4873:O4936" si="160">YEAR(B4873)</f>
        <v>2025</v>
      </c>
      <c r="P4873">
        <f t="shared" ref="P4873:P4936" si="161">MONTH(B4873)</f>
        <v>10</v>
      </c>
      <c r="Q4873" t="s">
        <v>784</v>
      </c>
      <c r="R4873" t="s">
        <v>805</v>
      </c>
    </row>
    <row r="4874" spans="1:18" x14ac:dyDescent="0.3">
      <c r="A4874" t="s">
        <v>627</v>
      </c>
      <c r="B4874" s="16">
        <v>45949</v>
      </c>
      <c r="C4874" t="s">
        <v>3</v>
      </c>
      <c r="D4874" t="s">
        <v>126</v>
      </c>
      <c r="E4874">
        <v>117</v>
      </c>
      <c r="F4874">
        <v>78</v>
      </c>
      <c r="G4874">
        <v>6</v>
      </c>
      <c r="H4874">
        <v>4</v>
      </c>
      <c r="I4874">
        <v>2990</v>
      </c>
      <c r="J4874">
        <v>1</v>
      </c>
      <c r="K4874">
        <v>2990</v>
      </c>
      <c r="L4874">
        <v>1</v>
      </c>
      <c r="M4874">
        <v>17</v>
      </c>
      <c r="N4874">
        <v>113</v>
      </c>
      <c r="O4874">
        <f t="shared" si="160"/>
        <v>2025</v>
      </c>
      <c r="P4874">
        <f t="shared" si="161"/>
        <v>10</v>
      </c>
      <c r="Q4874" t="s">
        <v>784</v>
      </c>
      <c r="R4874" t="s">
        <v>805</v>
      </c>
    </row>
    <row r="4875" spans="1:18" x14ac:dyDescent="0.3">
      <c r="A4875" t="s">
        <v>627</v>
      </c>
      <c r="B4875" s="16">
        <v>45949</v>
      </c>
      <c r="C4875" t="s">
        <v>3</v>
      </c>
      <c r="D4875" t="s">
        <v>125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1</v>
      </c>
      <c r="O4875">
        <f t="shared" si="160"/>
        <v>2025</v>
      </c>
      <c r="P4875">
        <f t="shared" si="161"/>
        <v>10</v>
      </c>
      <c r="Q4875" t="s">
        <v>784</v>
      </c>
      <c r="R4875" t="s">
        <v>805</v>
      </c>
    </row>
    <row r="4876" spans="1:18" x14ac:dyDescent="0.3">
      <c r="A4876" t="s">
        <v>627</v>
      </c>
      <c r="B4876" s="16">
        <v>45949</v>
      </c>
      <c r="C4876" t="s">
        <v>3</v>
      </c>
      <c r="D4876" t="s">
        <v>123</v>
      </c>
      <c r="E4876">
        <v>51</v>
      </c>
      <c r="F4876">
        <v>28</v>
      </c>
      <c r="G4876">
        <v>2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46</v>
      </c>
      <c r="N4876">
        <v>28</v>
      </c>
      <c r="O4876">
        <f t="shared" si="160"/>
        <v>2025</v>
      </c>
      <c r="P4876">
        <f t="shared" si="161"/>
        <v>10</v>
      </c>
      <c r="Q4876" t="s">
        <v>784</v>
      </c>
      <c r="R4876" t="s">
        <v>805</v>
      </c>
    </row>
    <row r="4877" spans="1:18" x14ac:dyDescent="0.3">
      <c r="A4877" t="s">
        <v>627</v>
      </c>
      <c r="B4877" s="16">
        <v>45949</v>
      </c>
      <c r="C4877" t="s">
        <v>3</v>
      </c>
      <c r="D4877" t="s">
        <v>121</v>
      </c>
      <c r="E4877">
        <v>2</v>
      </c>
      <c r="F4877">
        <v>2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1</v>
      </c>
      <c r="N4877">
        <v>1</v>
      </c>
      <c r="O4877">
        <f t="shared" si="160"/>
        <v>2025</v>
      </c>
      <c r="P4877">
        <f t="shared" si="161"/>
        <v>10</v>
      </c>
      <c r="Q4877" t="s">
        <v>784</v>
      </c>
      <c r="R4877" t="s">
        <v>805</v>
      </c>
    </row>
    <row r="4878" spans="1:18" x14ac:dyDescent="0.3">
      <c r="A4878" t="s">
        <v>627</v>
      </c>
      <c r="B4878" s="16">
        <v>45949</v>
      </c>
      <c r="C4878" t="s">
        <v>3</v>
      </c>
      <c r="D4878" t="s">
        <v>119</v>
      </c>
      <c r="E4878">
        <v>267</v>
      </c>
      <c r="F4878">
        <v>71</v>
      </c>
      <c r="G4878">
        <v>18</v>
      </c>
      <c r="H4878">
        <v>13</v>
      </c>
      <c r="I4878">
        <v>2900</v>
      </c>
      <c r="J4878">
        <v>1</v>
      </c>
      <c r="K4878">
        <v>2900</v>
      </c>
      <c r="L4878">
        <v>1</v>
      </c>
      <c r="M4878">
        <v>51</v>
      </c>
      <c r="N4878">
        <v>257</v>
      </c>
      <c r="O4878">
        <f t="shared" si="160"/>
        <v>2025</v>
      </c>
      <c r="P4878">
        <f t="shared" si="161"/>
        <v>10</v>
      </c>
      <c r="Q4878" t="s">
        <v>784</v>
      </c>
      <c r="R4878" t="s">
        <v>805</v>
      </c>
    </row>
    <row r="4879" spans="1:18" x14ac:dyDescent="0.3">
      <c r="A4879" t="s">
        <v>627</v>
      </c>
      <c r="B4879" s="16">
        <v>45949</v>
      </c>
      <c r="C4879" t="s">
        <v>3</v>
      </c>
      <c r="D4879" t="s">
        <v>252</v>
      </c>
      <c r="E4879">
        <v>8</v>
      </c>
      <c r="F4879">
        <v>6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8</v>
      </c>
      <c r="O4879">
        <f t="shared" si="160"/>
        <v>2025</v>
      </c>
      <c r="P4879">
        <f t="shared" si="161"/>
        <v>10</v>
      </c>
      <c r="Q4879" t="s">
        <v>784</v>
      </c>
      <c r="R4879" t="s">
        <v>805</v>
      </c>
    </row>
    <row r="4880" spans="1:18" x14ac:dyDescent="0.3">
      <c r="A4880" t="s">
        <v>627</v>
      </c>
      <c r="B4880" s="16">
        <v>45949</v>
      </c>
      <c r="C4880" t="s">
        <v>3</v>
      </c>
      <c r="D4880" t="s">
        <v>391</v>
      </c>
      <c r="E4880">
        <v>664</v>
      </c>
      <c r="F4880">
        <v>429</v>
      </c>
      <c r="G4880">
        <v>24</v>
      </c>
      <c r="H4880">
        <v>6</v>
      </c>
      <c r="I4880">
        <v>0</v>
      </c>
      <c r="J4880">
        <v>0</v>
      </c>
      <c r="K4880">
        <v>0</v>
      </c>
      <c r="L4880">
        <v>0</v>
      </c>
      <c r="M4880">
        <v>66</v>
      </c>
      <c r="N4880">
        <v>659</v>
      </c>
      <c r="O4880">
        <f t="shared" si="160"/>
        <v>2025</v>
      </c>
      <c r="P4880">
        <f t="shared" si="161"/>
        <v>10</v>
      </c>
      <c r="Q4880" t="s">
        <v>784</v>
      </c>
      <c r="R4880" t="s">
        <v>805</v>
      </c>
    </row>
    <row r="4881" spans="1:18" x14ac:dyDescent="0.3">
      <c r="A4881" t="s">
        <v>627</v>
      </c>
      <c r="B4881" s="16">
        <v>45949</v>
      </c>
      <c r="C4881" t="s">
        <v>3</v>
      </c>
      <c r="D4881" t="s">
        <v>114</v>
      </c>
      <c r="E4881">
        <v>144</v>
      </c>
      <c r="F4881">
        <v>59</v>
      </c>
      <c r="G4881">
        <v>5</v>
      </c>
      <c r="H4881">
        <v>3</v>
      </c>
      <c r="I4881">
        <v>0</v>
      </c>
      <c r="J4881">
        <v>0</v>
      </c>
      <c r="K4881">
        <v>0</v>
      </c>
      <c r="L4881">
        <v>0</v>
      </c>
      <c r="M4881">
        <v>24</v>
      </c>
      <c r="N4881">
        <v>137</v>
      </c>
      <c r="O4881">
        <f t="shared" si="160"/>
        <v>2025</v>
      </c>
      <c r="P4881">
        <f t="shared" si="161"/>
        <v>10</v>
      </c>
      <c r="Q4881" t="s">
        <v>784</v>
      </c>
      <c r="R4881" t="s">
        <v>805</v>
      </c>
    </row>
    <row r="4882" spans="1:18" x14ac:dyDescent="0.3">
      <c r="A4882" t="s">
        <v>627</v>
      </c>
      <c r="B4882" s="16">
        <v>45949</v>
      </c>
      <c r="C4882" t="s">
        <v>3</v>
      </c>
      <c r="D4882" t="s">
        <v>113</v>
      </c>
      <c r="E4882">
        <v>141</v>
      </c>
      <c r="F4882">
        <v>70</v>
      </c>
      <c r="G4882">
        <v>3</v>
      </c>
      <c r="H4882">
        <v>2</v>
      </c>
      <c r="I4882">
        <v>0</v>
      </c>
      <c r="J4882">
        <v>0</v>
      </c>
      <c r="K4882">
        <v>0</v>
      </c>
      <c r="L4882">
        <v>0</v>
      </c>
      <c r="M4882">
        <v>116</v>
      </c>
      <c r="N4882">
        <v>82</v>
      </c>
      <c r="O4882">
        <f t="shared" si="160"/>
        <v>2025</v>
      </c>
      <c r="P4882">
        <f t="shared" si="161"/>
        <v>10</v>
      </c>
      <c r="Q4882" t="s">
        <v>784</v>
      </c>
      <c r="R4882" t="s">
        <v>805</v>
      </c>
    </row>
    <row r="4883" spans="1:18" x14ac:dyDescent="0.3">
      <c r="A4883" t="s">
        <v>627</v>
      </c>
      <c r="B4883" s="16">
        <v>45949</v>
      </c>
      <c r="C4883" t="s">
        <v>3</v>
      </c>
      <c r="D4883" t="s">
        <v>112</v>
      </c>
      <c r="E4883">
        <v>57</v>
      </c>
      <c r="F4883">
        <v>14</v>
      </c>
      <c r="G4883">
        <v>0</v>
      </c>
      <c r="H4883">
        <v>0</v>
      </c>
      <c r="I4883">
        <v>7990</v>
      </c>
      <c r="J4883">
        <v>1</v>
      </c>
      <c r="K4883">
        <v>7990</v>
      </c>
      <c r="L4883">
        <v>1</v>
      </c>
      <c r="M4883">
        <v>0</v>
      </c>
      <c r="N4883">
        <v>57</v>
      </c>
      <c r="O4883">
        <f t="shared" si="160"/>
        <v>2025</v>
      </c>
      <c r="P4883">
        <f t="shared" si="161"/>
        <v>10</v>
      </c>
      <c r="Q4883" t="s">
        <v>784</v>
      </c>
      <c r="R4883" t="s">
        <v>805</v>
      </c>
    </row>
    <row r="4884" spans="1:18" x14ac:dyDescent="0.3">
      <c r="A4884" t="s">
        <v>627</v>
      </c>
      <c r="B4884" s="16">
        <v>45948</v>
      </c>
      <c r="C4884" t="s">
        <v>2</v>
      </c>
      <c r="D4884" t="s">
        <v>4</v>
      </c>
      <c r="E4884">
        <v>403</v>
      </c>
      <c r="F4884">
        <v>150</v>
      </c>
      <c r="G4884">
        <v>3</v>
      </c>
      <c r="H4884">
        <v>1</v>
      </c>
      <c r="I4884">
        <v>0</v>
      </c>
      <c r="J4884">
        <v>0</v>
      </c>
      <c r="K4884">
        <v>0</v>
      </c>
      <c r="L4884">
        <v>0</v>
      </c>
      <c r="M4884">
        <v>6</v>
      </c>
      <c r="N4884">
        <v>398</v>
      </c>
      <c r="O4884">
        <f t="shared" si="160"/>
        <v>2025</v>
      </c>
      <c r="P4884">
        <f t="shared" si="161"/>
        <v>10</v>
      </c>
      <c r="Q4884" t="s">
        <v>784</v>
      </c>
      <c r="R4884" t="s">
        <v>805</v>
      </c>
    </row>
    <row r="4885" spans="1:18" x14ac:dyDescent="0.3">
      <c r="A4885" t="s">
        <v>627</v>
      </c>
      <c r="B4885" s="16">
        <v>45948</v>
      </c>
      <c r="C4885" t="s">
        <v>2</v>
      </c>
      <c r="D4885" t="s">
        <v>57</v>
      </c>
      <c r="E4885">
        <v>45005</v>
      </c>
      <c r="F4885">
        <v>29765</v>
      </c>
      <c r="G4885">
        <v>297</v>
      </c>
      <c r="H4885">
        <v>250</v>
      </c>
      <c r="I4885">
        <v>133130</v>
      </c>
      <c r="J4885">
        <v>13</v>
      </c>
      <c r="K4885">
        <v>33095</v>
      </c>
      <c r="L4885">
        <v>5</v>
      </c>
      <c r="M4885">
        <v>2034</v>
      </c>
      <c r="N4885">
        <v>44592</v>
      </c>
      <c r="O4885">
        <f t="shared" si="160"/>
        <v>2025</v>
      </c>
      <c r="P4885">
        <f t="shared" si="161"/>
        <v>10</v>
      </c>
      <c r="Q4885" t="s">
        <v>784</v>
      </c>
      <c r="R4885" t="s">
        <v>805</v>
      </c>
    </row>
    <row r="4886" spans="1:18" x14ac:dyDescent="0.3">
      <c r="A4886" t="s">
        <v>627</v>
      </c>
      <c r="B4886" s="16">
        <v>45948</v>
      </c>
      <c r="C4886" t="s">
        <v>2</v>
      </c>
      <c r="D4886" t="s">
        <v>55</v>
      </c>
      <c r="E4886">
        <v>1849</v>
      </c>
      <c r="F4886">
        <v>1134</v>
      </c>
      <c r="G4886">
        <v>11</v>
      </c>
      <c r="H4886">
        <v>4</v>
      </c>
      <c r="I4886">
        <v>0</v>
      </c>
      <c r="J4886">
        <v>0</v>
      </c>
      <c r="K4886">
        <v>0</v>
      </c>
      <c r="L4886">
        <v>0</v>
      </c>
      <c r="M4886">
        <v>42</v>
      </c>
      <c r="N4886">
        <v>693</v>
      </c>
      <c r="O4886">
        <f t="shared" si="160"/>
        <v>2025</v>
      </c>
      <c r="P4886">
        <f t="shared" si="161"/>
        <v>10</v>
      </c>
      <c r="Q4886" t="s">
        <v>784</v>
      </c>
      <c r="R4886" t="s">
        <v>805</v>
      </c>
    </row>
    <row r="4887" spans="1:18" x14ac:dyDescent="0.3">
      <c r="A4887" t="s">
        <v>627</v>
      </c>
      <c r="B4887" s="16">
        <v>45948</v>
      </c>
      <c r="C4887" t="s">
        <v>3</v>
      </c>
      <c r="D4887" t="s">
        <v>157</v>
      </c>
      <c r="E4887">
        <v>3</v>
      </c>
      <c r="F4887">
        <v>2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f t="shared" si="160"/>
        <v>2025</v>
      </c>
      <c r="P4887">
        <f t="shared" si="161"/>
        <v>10</v>
      </c>
      <c r="Q4887" t="s">
        <v>784</v>
      </c>
      <c r="R4887" t="s">
        <v>805</v>
      </c>
    </row>
    <row r="4888" spans="1:18" x14ac:dyDescent="0.3">
      <c r="A4888" t="s">
        <v>627</v>
      </c>
      <c r="B4888" s="16">
        <v>45948</v>
      </c>
      <c r="C4888" t="s">
        <v>3</v>
      </c>
      <c r="D4888" t="s">
        <v>155</v>
      </c>
      <c r="E4888">
        <v>72</v>
      </c>
      <c r="F4888">
        <v>32</v>
      </c>
      <c r="G4888">
        <v>1</v>
      </c>
      <c r="H4888">
        <v>1</v>
      </c>
      <c r="I4888">
        <v>0</v>
      </c>
      <c r="J4888">
        <v>0</v>
      </c>
      <c r="K4888">
        <v>0</v>
      </c>
      <c r="L4888">
        <v>0</v>
      </c>
      <c r="M4888">
        <v>2</v>
      </c>
      <c r="N4888">
        <v>72</v>
      </c>
      <c r="O4888">
        <f t="shared" si="160"/>
        <v>2025</v>
      </c>
      <c r="P4888">
        <f t="shared" si="161"/>
        <v>10</v>
      </c>
      <c r="Q4888" t="s">
        <v>784</v>
      </c>
      <c r="R4888" t="s">
        <v>805</v>
      </c>
    </row>
    <row r="4889" spans="1:18" x14ac:dyDescent="0.3">
      <c r="A4889" t="s">
        <v>627</v>
      </c>
      <c r="B4889" s="16">
        <v>45948</v>
      </c>
      <c r="C4889" t="s">
        <v>3</v>
      </c>
      <c r="D4889" t="s">
        <v>154</v>
      </c>
      <c r="E4889">
        <v>187</v>
      </c>
      <c r="F4889">
        <v>154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f t="shared" si="160"/>
        <v>2025</v>
      </c>
      <c r="P4889">
        <f t="shared" si="161"/>
        <v>10</v>
      </c>
      <c r="Q4889" t="s">
        <v>784</v>
      </c>
      <c r="R4889" t="s">
        <v>805</v>
      </c>
    </row>
    <row r="4890" spans="1:18" x14ac:dyDescent="0.3">
      <c r="A4890" t="s">
        <v>627</v>
      </c>
      <c r="B4890" s="16">
        <v>45948</v>
      </c>
      <c r="C4890" t="s">
        <v>3</v>
      </c>
      <c r="D4890" t="s">
        <v>153</v>
      </c>
      <c r="E4890">
        <v>448</v>
      </c>
      <c r="F4890">
        <v>68</v>
      </c>
      <c r="G4890">
        <v>44</v>
      </c>
      <c r="H4890">
        <v>2</v>
      </c>
      <c r="I4890">
        <v>34250</v>
      </c>
      <c r="J4890">
        <v>7</v>
      </c>
      <c r="K4890">
        <v>34250</v>
      </c>
      <c r="L4890">
        <v>7</v>
      </c>
      <c r="M4890">
        <v>114</v>
      </c>
      <c r="N4890">
        <v>437</v>
      </c>
      <c r="O4890">
        <f t="shared" si="160"/>
        <v>2025</v>
      </c>
      <c r="P4890">
        <f t="shared" si="161"/>
        <v>10</v>
      </c>
      <c r="Q4890" t="s">
        <v>784</v>
      </c>
      <c r="R4890" t="s">
        <v>805</v>
      </c>
    </row>
    <row r="4891" spans="1:18" x14ac:dyDescent="0.3">
      <c r="A4891" t="s">
        <v>627</v>
      </c>
      <c r="B4891" s="16">
        <v>45948</v>
      </c>
      <c r="C4891" t="s">
        <v>3</v>
      </c>
      <c r="D4891" t="s">
        <v>152</v>
      </c>
      <c r="E4891">
        <v>15</v>
      </c>
      <c r="F4891">
        <v>6</v>
      </c>
      <c r="G4891">
        <v>1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9</v>
      </c>
      <c r="O4891">
        <f t="shared" si="160"/>
        <v>2025</v>
      </c>
      <c r="P4891">
        <f t="shared" si="161"/>
        <v>10</v>
      </c>
      <c r="Q4891" t="s">
        <v>784</v>
      </c>
      <c r="R4891" t="s">
        <v>805</v>
      </c>
    </row>
    <row r="4892" spans="1:18" x14ac:dyDescent="0.3">
      <c r="A4892" t="s">
        <v>627</v>
      </c>
      <c r="B4892" s="16">
        <v>45948</v>
      </c>
      <c r="C4892" t="s">
        <v>3</v>
      </c>
      <c r="D4892" t="s">
        <v>149</v>
      </c>
      <c r="E4892">
        <v>11</v>
      </c>
      <c r="F4892">
        <v>3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2</v>
      </c>
      <c r="N4892">
        <v>7</v>
      </c>
      <c r="O4892">
        <f t="shared" si="160"/>
        <v>2025</v>
      </c>
      <c r="P4892">
        <f t="shared" si="161"/>
        <v>10</v>
      </c>
      <c r="Q4892" t="s">
        <v>784</v>
      </c>
      <c r="R4892" t="s">
        <v>805</v>
      </c>
    </row>
    <row r="4893" spans="1:18" x14ac:dyDescent="0.3">
      <c r="A4893" t="s">
        <v>627</v>
      </c>
      <c r="B4893" s="16">
        <v>45948</v>
      </c>
      <c r="C4893" t="s">
        <v>3</v>
      </c>
      <c r="D4893" t="s">
        <v>251</v>
      </c>
      <c r="E4893">
        <v>4946</v>
      </c>
      <c r="F4893">
        <v>4452</v>
      </c>
      <c r="G4893">
        <v>25</v>
      </c>
      <c r="H4893">
        <v>7</v>
      </c>
      <c r="I4893">
        <v>12930</v>
      </c>
      <c r="J4893">
        <v>4</v>
      </c>
      <c r="K4893">
        <v>12930</v>
      </c>
      <c r="L4893">
        <v>4</v>
      </c>
      <c r="M4893">
        <v>115</v>
      </c>
      <c r="N4893">
        <v>334</v>
      </c>
      <c r="O4893">
        <f t="shared" si="160"/>
        <v>2025</v>
      </c>
      <c r="P4893">
        <f t="shared" si="161"/>
        <v>10</v>
      </c>
      <c r="Q4893" t="s">
        <v>784</v>
      </c>
      <c r="R4893" t="s">
        <v>805</v>
      </c>
    </row>
    <row r="4894" spans="1:18" x14ac:dyDescent="0.3">
      <c r="A4894" t="s">
        <v>627</v>
      </c>
      <c r="B4894" s="16">
        <v>45948</v>
      </c>
      <c r="C4894" t="s">
        <v>3</v>
      </c>
      <c r="D4894" t="s">
        <v>143</v>
      </c>
      <c r="E4894">
        <v>1</v>
      </c>
      <c r="F4894">
        <v>1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1</v>
      </c>
      <c r="O4894">
        <f t="shared" si="160"/>
        <v>2025</v>
      </c>
      <c r="P4894">
        <f t="shared" si="161"/>
        <v>10</v>
      </c>
      <c r="Q4894" t="s">
        <v>784</v>
      </c>
      <c r="R4894" t="s">
        <v>805</v>
      </c>
    </row>
    <row r="4895" spans="1:18" x14ac:dyDescent="0.3">
      <c r="A4895" t="s">
        <v>627</v>
      </c>
      <c r="B4895" s="16">
        <v>45948</v>
      </c>
      <c r="C4895" t="s">
        <v>3</v>
      </c>
      <c r="D4895" t="s">
        <v>141</v>
      </c>
      <c r="E4895">
        <v>331</v>
      </c>
      <c r="F4895">
        <v>137</v>
      </c>
      <c r="G4895">
        <v>9</v>
      </c>
      <c r="H4895">
        <v>1</v>
      </c>
      <c r="I4895">
        <v>6990</v>
      </c>
      <c r="J4895">
        <v>1</v>
      </c>
      <c r="K4895">
        <v>0</v>
      </c>
      <c r="L4895">
        <v>0</v>
      </c>
      <c r="M4895">
        <v>0</v>
      </c>
      <c r="N4895">
        <v>331</v>
      </c>
      <c r="O4895">
        <f t="shared" si="160"/>
        <v>2025</v>
      </c>
      <c r="P4895">
        <f t="shared" si="161"/>
        <v>10</v>
      </c>
      <c r="Q4895" t="s">
        <v>784</v>
      </c>
      <c r="R4895" t="s">
        <v>805</v>
      </c>
    </row>
    <row r="4896" spans="1:18" x14ac:dyDescent="0.3">
      <c r="A4896" t="s">
        <v>627</v>
      </c>
      <c r="B4896" s="16">
        <v>45948</v>
      </c>
      <c r="C4896" t="s">
        <v>3</v>
      </c>
      <c r="D4896" t="s">
        <v>140</v>
      </c>
      <c r="E4896">
        <v>13</v>
      </c>
      <c r="F4896">
        <v>11</v>
      </c>
      <c r="G4896">
        <v>2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13</v>
      </c>
      <c r="O4896">
        <f t="shared" si="160"/>
        <v>2025</v>
      </c>
      <c r="P4896">
        <f t="shared" si="161"/>
        <v>10</v>
      </c>
      <c r="Q4896" t="s">
        <v>784</v>
      </c>
      <c r="R4896" t="s">
        <v>805</v>
      </c>
    </row>
    <row r="4897" spans="1:18" x14ac:dyDescent="0.3">
      <c r="A4897" t="s">
        <v>627</v>
      </c>
      <c r="B4897" s="16">
        <v>45948</v>
      </c>
      <c r="C4897" t="s">
        <v>3</v>
      </c>
      <c r="D4897" t="s">
        <v>139</v>
      </c>
      <c r="E4897">
        <v>1979</v>
      </c>
      <c r="F4897">
        <v>1051</v>
      </c>
      <c r="G4897">
        <v>58</v>
      </c>
      <c r="H4897">
        <v>20</v>
      </c>
      <c r="I4897">
        <v>69430</v>
      </c>
      <c r="J4897">
        <v>6</v>
      </c>
      <c r="K4897">
        <v>15850</v>
      </c>
      <c r="L4897">
        <v>3</v>
      </c>
      <c r="M4897">
        <v>372</v>
      </c>
      <c r="N4897">
        <v>1302</v>
      </c>
      <c r="O4897">
        <f t="shared" si="160"/>
        <v>2025</v>
      </c>
      <c r="P4897">
        <f t="shared" si="161"/>
        <v>10</v>
      </c>
      <c r="Q4897" t="s">
        <v>784</v>
      </c>
      <c r="R4897" t="s">
        <v>805</v>
      </c>
    </row>
    <row r="4898" spans="1:18" x14ac:dyDescent="0.3">
      <c r="A4898" t="s">
        <v>627</v>
      </c>
      <c r="B4898" s="16">
        <v>45948</v>
      </c>
      <c r="C4898" t="s">
        <v>3</v>
      </c>
      <c r="D4898" t="s">
        <v>138</v>
      </c>
      <c r="E4898">
        <v>12</v>
      </c>
      <c r="F4898">
        <v>8</v>
      </c>
      <c r="G4898">
        <v>1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3</v>
      </c>
      <c r="N4898">
        <v>11</v>
      </c>
      <c r="O4898">
        <f t="shared" si="160"/>
        <v>2025</v>
      </c>
      <c r="P4898">
        <f t="shared" si="161"/>
        <v>10</v>
      </c>
      <c r="Q4898" t="s">
        <v>784</v>
      </c>
      <c r="R4898" t="s">
        <v>805</v>
      </c>
    </row>
    <row r="4899" spans="1:18" x14ac:dyDescent="0.3">
      <c r="A4899" t="s">
        <v>627</v>
      </c>
      <c r="B4899" s="16">
        <v>45948</v>
      </c>
      <c r="C4899" t="s">
        <v>3</v>
      </c>
      <c r="D4899" t="s">
        <v>133</v>
      </c>
      <c r="E4899">
        <v>28</v>
      </c>
      <c r="F4899">
        <v>18</v>
      </c>
      <c r="G4899">
        <v>2</v>
      </c>
      <c r="H4899">
        <v>1</v>
      </c>
      <c r="I4899">
        <v>0</v>
      </c>
      <c r="J4899">
        <v>0</v>
      </c>
      <c r="K4899">
        <v>0</v>
      </c>
      <c r="L4899">
        <v>0</v>
      </c>
      <c r="M4899">
        <v>7</v>
      </c>
      <c r="N4899">
        <v>28</v>
      </c>
      <c r="O4899">
        <f t="shared" si="160"/>
        <v>2025</v>
      </c>
      <c r="P4899">
        <f t="shared" si="161"/>
        <v>10</v>
      </c>
      <c r="Q4899" t="s">
        <v>784</v>
      </c>
      <c r="R4899" t="s">
        <v>805</v>
      </c>
    </row>
    <row r="4900" spans="1:18" x14ac:dyDescent="0.3">
      <c r="A4900" t="s">
        <v>627</v>
      </c>
      <c r="B4900" s="16">
        <v>45948</v>
      </c>
      <c r="C4900" t="s">
        <v>3</v>
      </c>
      <c r="D4900" t="s">
        <v>130</v>
      </c>
      <c r="E4900">
        <v>72</v>
      </c>
      <c r="F4900">
        <v>28</v>
      </c>
      <c r="G4900">
        <v>12</v>
      </c>
      <c r="H4900">
        <v>1</v>
      </c>
      <c r="I4900">
        <v>17590</v>
      </c>
      <c r="J4900">
        <v>3</v>
      </c>
      <c r="K4900">
        <v>17590</v>
      </c>
      <c r="L4900">
        <v>3</v>
      </c>
      <c r="M4900">
        <v>24</v>
      </c>
      <c r="N4900">
        <v>65</v>
      </c>
      <c r="O4900">
        <f t="shared" si="160"/>
        <v>2025</v>
      </c>
      <c r="P4900">
        <f t="shared" si="161"/>
        <v>10</v>
      </c>
      <c r="Q4900" t="s">
        <v>784</v>
      </c>
      <c r="R4900" t="s">
        <v>805</v>
      </c>
    </row>
    <row r="4901" spans="1:18" x14ac:dyDescent="0.3">
      <c r="A4901" t="s">
        <v>627</v>
      </c>
      <c r="B4901" s="16">
        <v>45948</v>
      </c>
      <c r="C4901" t="s">
        <v>3</v>
      </c>
      <c r="D4901" t="s">
        <v>128</v>
      </c>
      <c r="E4901">
        <v>896</v>
      </c>
      <c r="F4901">
        <v>657</v>
      </c>
      <c r="G4901">
        <v>44</v>
      </c>
      <c r="H4901">
        <v>11</v>
      </c>
      <c r="I4901">
        <v>28070</v>
      </c>
      <c r="J4901">
        <v>5</v>
      </c>
      <c r="K4901">
        <v>16480</v>
      </c>
      <c r="L4901">
        <v>4</v>
      </c>
      <c r="M4901">
        <v>219</v>
      </c>
      <c r="N4901">
        <v>836</v>
      </c>
      <c r="O4901">
        <f t="shared" si="160"/>
        <v>2025</v>
      </c>
      <c r="P4901">
        <f t="shared" si="161"/>
        <v>10</v>
      </c>
      <c r="Q4901" t="s">
        <v>784</v>
      </c>
      <c r="R4901" t="s">
        <v>805</v>
      </c>
    </row>
    <row r="4902" spans="1:18" x14ac:dyDescent="0.3">
      <c r="A4902" t="s">
        <v>627</v>
      </c>
      <c r="B4902" s="16">
        <v>45948</v>
      </c>
      <c r="C4902" t="s">
        <v>3</v>
      </c>
      <c r="D4902" t="s">
        <v>127</v>
      </c>
      <c r="E4902">
        <v>5518</v>
      </c>
      <c r="F4902">
        <v>2840</v>
      </c>
      <c r="G4902">
        <v>123</v>
      </c>
      <c r="H4902">
        <v>31</v>
      </c>
      <c r="I4902">
        <v>81680</v>
      </c>
      <c r="J4902">
        <v>11</v>
      </c>
      <c r="K4902">
        <v>40250</v>
      </c>
      <c r="L4902">
        <v>7</v>
      </c>
      <c r="M4902">
        <v>447</v>
      </c>
      <c r="N4902">
        <v>5451</v>
      </c>
      <c r="O4902">
        <f t="shared" si="160"/>
        <v>2025</v>
      </c>
      <c r="P4902">
        <f t="shared" si="161"/>
        <v>10</v>
      </c>
      <c r="Q4902" t="s">
        <v>784</v>
      </c>
      <c r="R4902" t="s">
        <v>805</v>
      </c>
    </row>
    <row r="4903" spans="1:18" x14ac:dyDescent="0.3">
      <c r="A4903" t="s">
        <v>627</v>
      </c>
      <c r="B4903" s="16">
        <v>45948</v>
      </c>
      <c r="C4903" t="s">
        <v>3</v>
      </c>
      <c r="D4903" t="s">
        <v>126</v>
      </c>
      <c r="E4903">
        <v>112</v>
      </c>
      <c r="F4903">
        <v>66</v>
      </c>
      <c r="G4903">
        <v>1</v>
      </c>
      <c r="H4903">
        <v>3</v>
      </c>
      <c r="I4903">
        <v>4990</v>
      </c>
      <c r="J4903">
        <v>1</v>
      </c>
      <c r="K4903">
        <v>0</v>
      </c>
      <c r="L4903">
        <v>0</v>
      </c>
      <c r="M4903">
        <v>10</v>
      </c>
      <c r="N4903">
        <v>107</v>
      </c>
      <c r="O4903">
        <f t="shared" si="160"/>
        <v>2025</v>
      </c>
      <c r="P4903">
        <f t="shared" si="161"/>
        <v>10</v>
      </c>
      <c r="Q4903" t="s">
        <v>784</v>
      </c>
      <c r="R4903" t="s">
        <v>805</v>
      </c>
    </row>
    <row r="4904" spans="1:18" x14ac:dyDescent="0.3">
      <c r="A4904" t="s">
        <v>627</v>
      </c>
      <c r="B4904" s="16">
        <v>45948</v>
      </c>
      <c r="C4904" t="s">
        <v>3</v>
      </c>
      <c r="D4904" t="s">
        <v>123</v>
      </c>
      <c r="E4904">
        <v>44</v>
      </c>
      <c r="F4904">
        <v>22</v>
      </c>
      <c r="G4904">
        <v>3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40</v>
      </c>
      <c r="N4904">
        <v>25</v>
      </c>
      <c r="O4904">
        <f t="shared" si="160"/>
        <v>2025</v>
      </c>
      <c r="P4904">
        <f t="shared" si="161"/>
        <v>10</v>
      </c>
      <c r="Q4904" t="s">
        <v>784</v>
      </c>
      <c r="R4904" t="s">
        <v>805</v>
      </c>
    </row>
    <row r="4905" spans="1:18" x14ac:dyDescent="0.3">
      <c r="A4905" t="s">
        <v>627</v>
      </c>
      <c r="B4905" s="16">
        <v>45948</v>
      </c>
      <c r="C4905" t="s">
        <v>3</v>
      </c>
      <c r="D4905" t="s">
        <v>121</v>
      </c>
      <c r="E4905">
        <v>1</v>
      </c>
      <c r="F4905">
        <v>1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1</v>
      </c>
      <c r="O4905">
        <f t="shared" si="160"/>
        <v>2025</v>
      </c>
      <c r="P4905">
        <f t="shared" si="161"/>
        <v>10</v>
      </c>
      <c r="Q4905" t="s">
        <v>784</v>
      </c>
      <c r="R4905" t="s">
        <v>805</v>
      </c>
    </row>
    <row r="4906" spans="1:18" x14ac:dyDescent="0.3">
      <c r="A4906" t="s">
        <v>627</v>
      </c>
      <c r="B4906" s="16">
        <v>45948</v>
      </c>
      <c r="C4906" t="s">
        <v>3</v>
      </c>
      <c r="D4906" t="s">
        <v>119</v>
      </c>
      <c r="E4906">
        <v>224</v>
      </c>
      <c r="F4906">
        <v>64</v>
      </c>
      <c r="G4906">
        <v>16</v>
      </c>
      <c r="H4906">
        <v>9</v>
      </c>
      <c r="I4906">
        <v>24240</v>
      </c>
      <c r="J4906">
        <v>5</v>
      </c>
      <c r="K4906">
        <v>10450</v>
      </c>
      <c r="L4906">
        <v>2</v>
      </c>
      <c r="M4906">
        <v>36</v>
      </c>
      <c r="N4906">
        <v>218</v>
      </c>
      <c r="O4906">
        <f t="shared" si="160"/>
        <v>2025</v>
      </c>
      <c r="P4906">
        <f t="shared" si="161"/>
        <v>10</v>
      </c>
      <c r="Q4906" t="s">
        <v>784</v>
      </c>
      <c r="R4906" t="s">
        <v>805</v>
      </c>
    </row>
    <row r="4907" spans="1:18" x14ac:dyDescent="0.3">
      <c r="A4907" t="s">
        <v>627</v>
      </c>
      <c r="B4907" s="16">
        <v>45948</v>
      </c>
      <c r="C4907" t="s">
        <v>3</v>
      </c>
      <c r="D4907" t="s">
        <v>252</v>
      </c>
      <c r="E4907">
        <v>4</v>
      </c>
      <c r="F4907">
        <v>4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4</v>
      </c>
      <c r="O4907">
        <f t="shared" si="160"/>
        <v>2025</v>
      </c>
      <c r="P4907">
        <f t="shared" si="161"/>
        <v>10</v>
      </c>
      <c r="Q4907" t="s">
        <v>784</v>
      </c>
      <c r="R4907" t="s">
        <v>805</v>
      </c>
    </row>
    <row r="4908" spans="1:18" x14ac:dyDescent="0.3">
      <c r="A4908" t="s">
        <v>627</v>
      </c>
      <c r="B4908" s="16">
        <v>45948</v>
      </c>
      <c r="C4908" t="s">
        <v>3</v>
      </c>
      <c r="D4908" t="s">
        <v>391</v>
      </c>
      <c r="E4908">
        <v>550</v>
      </c>
      <c r="F4908">
        <v>331</v>
      </c>
      <c r="G4908">
        <v>15</v>
      </c>
      <c r="H4908">
        <v>2</v>
      </c>
      <c r="I4908">
        <v>6650</v>
      </c>
      <c r="J4908">
        <v>1</v>
      </c>
      <c r="K4908">
        <v>6650</v>
      </c>
      <c r="L4908">
        <v>1</v>
      </c>
      <c r="M4908">
        <v>70</v>
      </c>
      <c r="N4908">
        <v>540</v>
      </c>
      <c r="O4908">
        <f t="shared" si="160"/>
        <v>2025</v>
      </c>
      <c r="P4908">
        <f t="shared" si="161"/>
        <v>10</v>
      </c>
      <c r="Q4908" t="s">
        <v>784</v>
      </c>
      <c r="R4908" t="s">
        <v>805</v>
      </c>
    </row>
    <row r="4909" spans="1:18" x14ac:dyDescent="0.3">
      <c r="A4909" t="s">
        <v>627</v>
      </c>
      <c r="B4909" s="16">
        <v>45948</v>
      </c>
      <c r="C4909" t="s">
        <v>3</v>
      </c>
      <c r="D4909" t="s">
        <v>114</v>
      </c>
      <c r="E4909">
        <v>105</v>
      </c>
      <c r="F4909">
        <v>41</v>
      </c>
      <c r="G4909">
        <v>5</v>
      </c>
      <c r="H4909">
        <v>1</v>
      </c>
      <c r="I4909">
        <v>0</v>
      </c>
      <c r="J4909">
        <v>0</v>
      </c>
      <c r="K4909">
        <v>0</v>
      </c>
      <c r="L4909">
        <v>0</v>
      </c>
      <c r="M4909">
        <v>12</v>
      </c>
      <c r="N4909">
        <v>93</v>
      </c>
      <c r="O4909">
        <f t="shared" si="160"/>
        <v>2025</v>
      </c>
      <c r="P4909">
        <f t="shared" si="161"/>
        <v>10</v>
      </c>
      <c r="Q4909" t="s">
        <v>784</v>
      </c>
      <c r="R4909" t="s">
        <v>805</v>
      </c>
    </row>
    <row r="4910" spans="1:18" x14ac:dyDescent="0.3">
      <c r="A4910" t="s">
        <v>627</v>
      </c>
      <c r="B4910" s="16">
        <v>45948</v>
      </c>
      <c r="C4910" t="s">
        <v>3</v>
      </c>
      <c r="D4910" t="s">
        <v>113</v>
      </c>
      <c r="E4910">
        <v>137</v>
      </c>
      <c r="F4910">
        <v>68</v>
      </c>
      <c r="G4910">
        <v>7</v>
      </c>
      <c r="H4910">
        <v>2</v>
      </c>
      <c r="I4910">
        <v>0</v>
      </c>
      <c r="J4910">
        <v>0</v>
      </c>
      <c r="K4910">
        <v>0</v>
      </c>
      <c r="L4910">
        <v>0</v>
      </c>
      <c r="M4910">
        <v>113</v>
      </c>
      <c r="N4910">
        <v>86</v>
      </c>
      <c r="O4910">
        <f t="shared" si="160"/>
        <v>2025</v>
      </c>
      <c r="P4910">
        <f t="shared" si="161"/>
        <v>10</v>
      </c>
      <c r="Q4910" t="s">
        <v>784</v>
      </c>
      <c r="R4910" t="s">
        <v>805</v>
      </c>
    </row>
    <row r="4911" spans="1:18" x14ac:dyDescent="0.3">
      <c r="A4911" t="s">
        <v>627</v>
      </c>
      <c r="B4911" s="16">
        <v>45948</v>
      </c>
      <c r="C4911" t="s">
        <v>3</v>
      </c>
      <c r="D4911" t="s">
        <v>112</v>
      </c>
      <c r="E4911">
        <v>52</v>
      </c>
      <c r="F4911">
        <v>13</v>
      </c>
      <c r="G4911">
        <v>0</v>
      </c>
      <c r="H4911">
        <v>0</v>
      </c>
      <c r="I4911">
        <v>2900</v>
      </c>
      <c r="J4911">
        <v>1</v>
      </c>
      <c r="K4911">
        <v>2900</v>
      </c>
      <c r="L4911">
        <v>1</v>
      </c>
      <c r="M4911">
        <v>0</v>
      </c>
      <c r="N4911">
        <v>52</v>
      </c>
      <c r="O4911">
        <f t="shared" si="160"/>
        <v>2025</v>
      </c>
      <c r="P4911">
        <f t="shared" si="161"/>
        <v>10</v>
      </c>
      <c r="Q4911" t="s">
        <v>784</v>
      </c>
      <c r="R4911" t="s">
        <v>805</v>
      </c>
    </row>
    <row r="4912" spans="1:18" x14ac:dyDescent="0.3">
      <c r="A4912" t="s">
        <v>627</v>
      </c>
      <c r="B4912" s="16">
        <v>45947</v>
      </c>
      <c r="C4912" t="s">
        <v>2</v>
      </c>
      <c r="D4912" t="s">
        <v>4</v>
      </c>
      <c r="E4912">
        <v>342</v>
      </c>
      <c r="F4912">
        <v>122</v>
      </c>
      <c r="G4912">
        <v>2</v>
      </c>
      <c r="H4912">
        <v>1</v>
      </c>
      <c r="I4912">
        <v>8845</v>
      </c>
      <c r="J4912">
        <v>1</v>
      </c>
      <c r="K4912">
        <v>8845</v>
      </c>
      <c r="L4912">
        <v>1</v>
      </c>
      <c r="M4912">
        <v>5</v>
      </c>
      <c r="N4912">
        <v>333</v>
      </c>
      <c r="O4912">
        <f t="shared" si="160"/>
        <v>2025</v>
      </c>
      <c r="P4912">
        <f t="shared" si="161"/>
        <v>10</v>
      </c>
      <c r="Q4912" t="s">
        <v>784</v>
      </c>
      <c r="R4912" t="s">
        <v>805</v>
      </c>
    </row>
    <row r="4913" spans="1:18" x14ac:dyDescent="0.3">
      <c r="A4913" t="s">
        <v>627</v>
      </c>
      <c r="B4913" s="16">
        <v>45947</v>
      </c>
      <c r="C4913" t="s">
        <v>2</v>
      </c>
      <c r="D4913" t="s">
        <v>57</v>
      </c>
      <c r="E4913">
        <v>36219</v>
      </c>
      <c r="F4913">
        <v>24824</v>
      </c>
      <c r="G4913">
        <v>185</v>
      </c>
      <c r="H4913">
        <v>154</v>
      </c>
      <c r="I4913">
        <v>45900</v>
      </c>
      <c r="J4913">
        <v>6</v>
      </c>
      <c r="K4913">
        <v>16330</v>
      </c>
      <c r="L4913">
        <v>3</v>
      </c>
      <c r="M4913">
        <v>1593</v>
      </c>
      <c r="N4913">
        <v>35826</v>
      </c>
      <c r="O4913">
        <f t="shared" si="160"/>
        <v>2025</v>
      </c>
      <c r="P4913">
        <f t="shared" si="161"/>
        <v>10</v>
      </c>
      <c r="Q4913" t="s">
        <v>784</v>
      </c>
      <c r="R4913" t="s">
        <v>805</v>
      </c>
    </row>
    <row r="4914" spans="1:18" x14ac:dyDescent="0.3">
      <c r="A4914" t="s">
        <v>627</v>
      </c>
      <c r="B4914" s="16">
        <v>45947</v>
      </c>
      <c r="C4914" t="s">
        <v>2</v>
      </c>
      <c r="D4914" t="s">
        <v>52</v>
      </c>
      <c r="E4914">
        <v>1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1</v>
      </c>
      <c r="N4914">
        <v>0</v>
      </c>
      <c r="O4914">
        <f t="shared" si="160"/>
        <v>2025</v>
      </c>
      <c r="P4914">
        <f t="shared" si="161"/>
        <v>10</v>
      </c>
      <c r="Q4914" t="s">
        <v>784</v>
      </c>
      <c r="R4914" t="s">
        <v>805</v>
      </c>
    </row>
    <row r="4915" spans="1:18" x14ac:dyDescent="0.3">
      <c r="A4915" t="s">
        <v>627</v>
      </c>
      <c r="B4915" s="16">
        <v>45947</v>
      </c>
      <c r="C4915" t="s">
        <v>2</v>
      </c>
      <c r="D4915" t="s">
        <v>55</v>
      </c>
      <c r="E4915">
        <v>2380</v>
      </c>
      <c r="F4915">
        <v>1562</v>
      </c>
      <c r="G4915">
        <v>13</v>
      </c>
      <c r="H4915">
        <v>3</v>
      </c>
      <c r="I4915">
        <v>0</v>
      </c>
      <c r="J4915">
        <v>0</v>
      </c>
      <c r="K4915">
        <v>0</v>
      </c>
      <c r="L4915">
        <v>0</v>
      </c>
      <c r="M4915">
        <v>35</v>
      </c>
      <c r="N4915">
        <v>678</v>
      </c>
      <c r="O4915">
        <f t="shared" si="160"/>
        <v>2025</v>
      </c>
      <c r="P4915">
        <f t="shared" si="161"/>
        <v>10</v>
      </c>
      <c r="Q4915" t="s">
        <v>784</v>
      </c>
      <c r="R4915" t="s">
        <v>805</v>
      </c>
    </row>
    <row r="4916" spans="1:18" x14ac:dyDescent="0.3">
      <c r="A4916" t="s">
        <v>627</v>
      </c>
      <c r="B4916" s="16">
        <v>45947</v>
      </c>
      <c r="C4916" t="s">
        <v>3</v>
      </c>
      <c r="D4916" t="s">
        <v>155</v>
      </c>
      <c r="E4916">
        <v>65</v>
      </c>
      <c r="F4916">
        <v>16</v>
      </c>
      <c r="G4916">
        <v>2</v>
      </c>
      <c r="H4916">
        <v>1</v>
      </c>
      <c r="I4916">
        <v>0</v>
      </c>
      <c r="J4916">
        <v>0</v>
      </c>
      <c r="K4916">
        <v>0</v>
      </c>
      <c r="L4916">
        <v>0</v>
      </c>
      <c r="M4916">
        <v>1</v>
      </c>
      <c r="N4916">
        <v>65</v>
      </c>
      <c r="O4916">
        <f t="shared" si="160"/>
        <v>2025</v>
      </c>
      <c r="P4916">
        <f t="shared" si="161"/>
        <v>10</v>
      </c>
      <c r="Q4916" t="s">
        <v>784</v>
      </c>
      <c r="R4916" t="s">
        <v>805</v>
      </c>
    </row>
    <row r="4917" spans="1:18" x14ac:dyDescent="0.3">
      <c r="A4917" t="s">
        <v>627</v>
      </c>
      <c r="B4917" s="16">
        <v>45947</v>
      </c>
      <c r="C4917" t="s">
        <v>3</v>
      </c>
      <c r="D4917" t="s">
        <v>154</v>
      </c>
      <c r="E4917">
        <v>146</v>
      </c>
      <c r="F4917">
        <v>116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f t="shared" si="160"/>
        <v>2025</v>
      </c>
      <c r="P4917">
        <f t="shared" si="161"/>
        <v>10</v>
      </c>
      <c r="Q4917" t="s">
        <v>784</v>
      </c>
      <c r="R4917" t="s">
        <v>805</v>
      </c>
    </row>
    <row r="4918" spans="1:18" x14ac:dyDescent="0.3">
      <c r="A4918" t="s">
        <v>627</v>
      </c>
      <c r="B4918" s="16">
        <v>45947</v>
      </c>
      <c r="C4918" t="s">
        <v>3</v>
      </c>
      <c r="D4918" t="s">
        <v>153</v>
      </c>
      <c r="E4918">
        <v>389</v>
      </c>
      <c r="F4918">
        <v>61</v>
      </c>
      <c r="G4918">
        <v>34</v>
      </c>
      <c r="H4918">
        <v>2</v>
      </c>
      <c r="I4918">
        <v>45865</v>
      </c>
      <c r="J4918">
        <v>5</v>
      </c>
      <c r="K4918">
        <v>45865</v>
      </c>
      <c r="L4918">
        <v>5</v>
      </c>
      <c r="M4918">
        <v>113</v>
      </c>
      <c r="N4918">
        <v>373</v>
      </c>
      <c r="O4918">
        <f t="shared" si="160"/>
        <v>2025</v>
      </c>
      <c r="P4918">
        <f t="shared" si="161"/>
        <v>10</v>
      </c>
      <c r="Q4918" t="s">
        <v>784</v>
      </c>
      <c r="R4918" t="s">
        <v>805</v>
      </c>
    </row>
    <row r="4919" spans="1:18" x14ac:dyDescent="0.3">
      <c r="A4919" t="s">
        <v>627</v>
      </c>
      <c r="B4919" s="16">
        <v>45947</v>
      </c>
      <c r="C4919" t="s">
        <v>3</v>
      </c>
      <c r="D4919" t="s">
        <v>152</v>
      </c>
      <c r="E4919">
        <v>22</v>
      </c>
      <c r="F4919">
        <v>15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8</v>
      </c>
      <c r="O4919">
        <f t="shared" si="160"/>
        <v>2025</v>
      </c>
      <c r="P4919">
        <f t="shared" si="161"/>
        <v>10</v>
      </c>
      <c r="Q4919" t="s">
        <v>784</v>
      </c>
      <c r="R4919" t="s">
        <v>805</v>
      </c>
    </row>
    <row r="4920" spans="1:18" x14ac:dyDescent="0.3">
      <c r="A4920" t="s">
        <v>627</v>
      </c>
      <c r="B4920" s="16">
        <v>45947</v>
      </c>
      <c r="C4920" t="s">
        <v>3</v>
      </c>
      <c r="D4920" t="s">
        <v>149</v>
      </c>
      <c r="E4920">
        <v>3</v>
      </c>
      <c r="F4920">
        <v>2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1</v>
      </c>
      <c r="N4920">
        <v>1</v>
      </c>
      <c r="O4920">
        <f t="shared" si="160"/>
        <v>2025</v>
      </c>
      <c r="P4920">
        <f t="shared" si="161"/>
        <v>10</v>
      </c>
      <c r="Q4920" t="s">
        <v>784</v>
      </c>
      <c r="R4920" t="s">
        <v>805</v>
      </c>
    </row>
    <row r="4921" spans="1:18" x14ac:dyDescent="0.3">
      <c r="A4921" t="s">
        <v>627</v>
      </c>
      <c r="B4921" s="16">
        <v>45947</v>
      </c>
      <c r="C4921" t="s">
        <v>3</v>
      </c>
      <c r="D4921" t="s">
        <v>148</v>
      </c>
      <c r="E4921">
        <v>4</v>
      </c>
      <c r="F4921">
        <v>4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3</v>
      </c>
      <c r="N4921">
        <v>1</v>
      </c>
      <c r="O4921">
        <f t="shared" si="160"/>
        <v>2025</v>
      </c>
      <c r="P4921">
        <f t="shared" si="161"/>
        <v>10</v>
      </c>
      <c r="Q4921" t="s">
        <v>784</v>
      </c>
      <c r="R4921" t="s">
        <v>805</v>
      </c>
    </row>
    <row r="4922" spans="1:18" x14ac:dyDescent="0.3">
      <c r="A4922" t="s">
        <v>627</v>
      </c>
      <c r="B4922" s="16">
        <v>45947</v>
      </c>
      <c r="C4922" t="s">
        <v>3</v>
      </c>
      <c r="D4922" t="s">
        <v>251</v>
      </c>
      <c r="E4922">
        <v>3142</v>
      </c>
      <c r="F4922">
        <v>2672</v>
      </c>
      <c r="G4922">
        <v>17</v>
      </c>
      <c r="H4922">
        <v>2</v>
      </c>
      <c r="I4922">
        <v>28670</v>
      </c>
      <c r="J4922">
        <v>3</v>
      </c>
      <c r="K4922">
        <v>28670</v>
      </c>
      <c r="L4922">
        <v>3</v>
      </c>
      <c r="M4922">
        <v>82</v>
      </c>
      <c r="N4922">
        <v>278</v>
      </c>
      <c r="O4922">
        <f t="shared" si="160"/>
        <v>2025</v>
      </c>
      <c r="P4922">
        <f t="shared" si="161"/>
        <v>10</v>
      </c>
      <c r="Q4922" t="s">
        <v>784</v>
      </c>
      <c r="R4922" t="s">
        <v>805</v>
      </c>
    </row>
    <row r="4923" spans="1:18" x14ac:dyDescent="0.3">
      <c r="A4923" t="s">
        <v>627</v>
      </c>
      <c r="B4923" s="16">
        <v>45947</v>
      </c>
      <c r="C4923" t="s">
        <v>3</v>
      </c>
      <c r="D4923" t="s">
        <v>143</v>
      </c>
      <c r="E4923">
        <v>2</v>
      </c>
      <c r="F4923">
        <v>2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2</v>
      </c>
      <c r="O4923">
        <f t="shared" si="160"/>
        <v>2025</v>
      </c>
      <c r="P4923">
        <f t="shared" si="161"/>
        <v>10</v>
      </c>
      <c r="Q4923" t="s">
        <v>784</v>
      </c>
      <c r="R4923" t="s">
        <v>805</v>
      </c>
    </row>
    <row r="4924" spans="1:18" x14ac:dyDescent="0.3">
      <c r="A4924" t="s">
        <v>627</v>
      </c>
      <c r="B4924" s="16">
        <v>45947</v>
      </c>
      <c r="C4924" t="s">
        <v>3</v>
      </c>
      <c r="D4924" t="s">
        <v>141</v>
      </c>
      <c r="E4924">
        <v>256</v>
      </c>
      <c r="F4924">
        <v>95</v>
      </c>
      <c r="G4924">
        <v>4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2</v>
      </c>
      <c r="N4924">
        <v>254</v>
      </c>
      <c r="O4924">
        <f t="shared" si="160"/>
        <v>2025</v>
      </c>
      <c r="P4924">
        <f t="shared" si="161"/>
        <v>10</v>
      </c>
      <c r="Q4924" t="s">
        <v>784</v>
      </c>
      <c r="R4924" t="s">
        <v>805</v>
      </c>
    </row>
    <row r="4925" spans="1:18" x14ac:dyDescent="0.3">
      <c r="A4925" t="s">
        <v>627</v>
      </c>
      <c r="B4925" s="16">
        <v>45947</v>
      </c>
      <c r="C4925" t="s">
        <v>3</v>
      </c>
      <c r="D4925" t="s">
        <v>140</v>
      </c>
      <c r="E4925">
        <v>3</v>
      </c>
      <c r="F4925">
        <v>3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1</v>
      </c>
      <c r="N4925">
        <v>3</v>
      </c>
      <c r="O4925">
        <f t="shared" si="160"/>
        <v>2025</v>
      </c>
      <c r="P4925">
        <f t="shared" si="161"/>
        <v>10</v>
      </c>
      <c r="Q4925" t="s">
        <v>784</v>
      </c>
      <c r="R4925" t="s">
        <v>805</v>
      </c>
    </row>
    <row r="4926" spans="1:18" x14ac:dyDescent="0.3">
      <c r="A4926" t="s">
        <v>627</v>
      </c>
      <c r="B4926" s="16">
        <v>45947</v>
      </c>
      <c r="C4926" t="s">
        <v>3</v>
      </c>
      <c r="D4926" t="s">
        <v>139</v>
      </c>
      <c r="E4926">
        <v>2989</v>
      </c>
      <c r="F4926">
        <v>2268</v>
      </c>
      <c r="G4926">
        <v>45</v>
      </c>
      <c r="H4926">
        <v>8</v>
      </c>
      <c r="I4926">
        <v>34045</v>
      </c>
      <c r="J4926">
        <v>4</v>
      </c>
      <c r="K4926">
        <v>29050</v>
      </c>
      <c r="L4926">
        <v>3</v>
      </c>
      <c r="M4926">
        <v>272</v>
      </c>
      <c r="N4926">
        <v>778</v>
      </c>
      <c r="O4926">
        <f t="shared" si="160"/>
        <v>2025</v>
      </c>
      <c r="P4926">
        <f t="shared" si="161"/>
        <v>10</v>
      </c>
      <c r="Q4926" t="s">
        <v>784</v>
      </c>
      <c r="R4926" t="s">
        <v>805</v>
      </c>
    </row>
    <row r="4927" spans="1:18" x14ac:dyDescent="0.3">
      <c r="A4927" t="s">
        <v>627</v>
      </c>
      <c r="B4927" s="16">
        <v>45947</v>
      </c>
      <c r="C4927" t="s">
        <v>3</v>
      </c>
      <c r="D4927" t="s">
        <v>138</v>
      </c>
      <c r="E4927">
        <v>5</v>
      </c>
      <c r="F4927">
        <v>2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5</v>
      </c>
      <c r="O4927">
        <f t="shared" si="160"/>
        <v>2025</v>
      </c>
      <c r="P4927">
        <f t="shared" si="161"/>
        <v>10</v>
      </c>
      <c r="Q4927" t="s">
        <v>784</v>
      </c>
      <c r="R4927" t="s">
        <v>805</v>
      </c>
    </row>
    <row r="4928" spans="1:18" x14ac:dyDescent="0.3">
      <c r="A4928" t="s">
        <v>627</v>
      </c>
      <c r="B4928" s="16">
        <v>45947</v>
      </c>
      <c r="C4928" t="s">
        <v>3</v>
      </c>
      <c r="D4928" t="s">
        <v>133</v>
      </c>
      <c r="E4928">
        <v>15</v>
      </c>
      <c r="F4928">
        <v>10</v>
      </c>
      <c r="G4928">
        <v>4</v>
      </c>
      <c r="H4928">
        <v>1</v>
      </c>
      <c r="I4928">
        <v>0</v>
      </c>
      <c r="J4928">
        <v>0</v>
      </c>
      <c r="K4928">
        <v>0</v>
      </c>
      <c r="L4928">
        <v>0</v>
      </c>
      <c r="M4928">
        <v>3</v>
      </c>
      <c r="N4928">
        <v>14</v>
      </c>
      <c r="O4928">
        <f t="shared" si="160"/>
        <v>2025</v>
      </c>
      <c r="P4928">
        <f t="shared" si="161"/>
        <v>10</v>
      </c>
      <c r="Q4928" t="s">
        <v>784</v>
      </c>
      <c r="R4928" t="s">
        <v>805</v>
      </c>
    </row>
    <row r="4929" spans="1:18" x14ac:dyDescent="0.3">
      <c r="A4929" t="s">
        <v>627</v>
      </c>
      <c r="B4929" s="16">
        <v>45947</v>
      </c>
      <c r="C4929" t="s">
        <v>3</v>
      </c>
      <c r="D4929" t="s">
        <v>130</v>
      </c>
      <c r="E4929">
        <v>71</v>
      </c>
      <c r="F4929">
        <v>29</v>
      </c>
      <c r="G4929">
        <v>5</v>
      </c>
      <c r="H4929">
        <v>0</v>
      </c>
      <c r="I4929">
        <v>25745</v>
      </c>
      <c r="J4929">
        <v>2</v>
      </c>
      <c r="K4929">
        <v>25745</v>
      </c>
      <c r="L4929">
        <v>2</v>
      </c>
      <c r="M4929">
        <v>25</v>
      </c>
      <c r="N4929">
        <v>57</v>
      </c>
      <c r="O4929">
        <f t="shared" si="160"/>
        <v>2025</v>
      </c>
      <c r="P4929">
        <f t="shared" si="161"/>
        <v>10</v>
      </c>
      <c r="Q4929" t="s">
        <v>784</v>
      </c>
      <c r="R4929" t="s">
        <v>805</v>
      </c>
    </row>
    <row r="4930" spans="1:18" x14ac:dyDescent="0.3">
      <c r="A4930" t="s">
        <v>627</v>
      </c>
      <c r="B4930" s="16">
        <v>45947</v>
      </c>
      <c r="C4930" t="s">
        <v>3</v>
      </c>
      <c r="D4930" t="s">
        <v>128</v>
      </c>
      <c r="E4930">
        <v>799</v>
      </c>
      <c r="F4930">
        <v>608</v>
      </c>
      <c r="G4930">
        <v>30</v>
      </c>
      <c r="H4930">
        <v>6</v>
      </c>
      <c r="I4930">
        <v>13055</v>
      </c>
      <c r="J4930">
        <v>3</v>
      </c>
      <c r="K4930">
        <v>1070</v>
      </c>
      <c r="L4930">
        <v>1</v>
      </c>
      <c r="M4930">
        <v>183</v>
      </c>
      <c r="N4930">
        <v>740</v>
      </c>
      <c r="O4930">
        <f t="shared" si="160"/>
        <v>2025</v>
      </c>
      <c r="P4930">
        <f t="shared" si="161"/>
        <v>10</v>
      </c>
      <c r="Q4930" t="s">
        <v>784</v>
      </c>
      <c r="R4930" t="s">
        <v>805</v>
      </c>
    </row>
    <row r="4931" spans="1:18" x14ac:dyDescent="0.3">
      <c r="A4931" t="s">
        <v>627</v>
      </c>
      <c r="B4931" s="16">
        <v>45947</v>
      </c>
      <c r="C4931" t="s">
        <v>3</v>
      </c>
      <c r="D4931" t="s">
        <v>127</v>
      </c>
      <c r="E4931">
        <v>5059</v>
      </c>
      <c r="F4931">
        <v>2474</v>
      </c>
      <c r="G4931">
        <v>124</v>
      </c>
      <c r="H4931">
        <v>29</v>
      </c>
      <c r="I4931">
        <v>43770</v>
      </c>
      <c r="J4931">
        <v>5</v>
      </c>
      <c r="K4931">
        <v>10580</v>
      </c>
      <c r="L4931">
        <v>2</v>
      </c>
      <c r="M4931">
        <v>434</v>
      </c>
      <c r="N4931">
        <v>5008</v>
      </c>
      <c r="O4931">
        <f t="shared" si="160"/>
        <v>2025</v>
      </c>
      <c r="P4931">
        <f t="shared" si="161"/>
        <v>10</v>
      </c>
      <c r="Q4931" t="s">
        <v>784</v>
      </c>
      <c r="R4931" t="s">
        <v>805</v>
      </c>
    </row>
    <row r="4932" spans="1:18" x14ac:dyDescent="0.3">
      <c r="A4932" t="s">
        <v>627</v>
      </c>
      <c r="B4932" s="16">
        <v>45947</v>
      </c>
      <c r="C4932" t="s">
        <v>3</v>
      </c>
      <c r="D4932" t="s">
        <v>126</v>
      </c>
      <c r="E4932">
        <v>99</v>
      </c>
      <c r="F4932">
        <v>60</v>
      </c>
      <c r="G4932">
        <v>3</v>
      </c>
      <c r="H4932">
        <v>2</v>
      </c>
      <c r="I4932">
        <v>15645</v>
      </c>
      <c r="J4932">
        <v>1</v>
      </c>
      <c r="K4932">
        <v>15645</v>
      </c>
      <c r="L4932">
        <v>1</v>
      </c>
      <c r="M4932">
        <v>8</v>
      </c>
      <c r="N4932">
        <v>98</v>
      </c>
      <c r="O4932">
        <f t="shared" si="160"/>
        <v>2025</v>
      </c>
      <c r="P4932">
        <f t="shared" si="161"/>
        <v>10</v>
      </c>
      <c r="Q4932" t="s">
        <v>784</v>
      </c>
      <c r="R4932" t="s">
        <v>805</v>
      </c>
    </row>
    <row r="4933" spans="1:18" x14ac:dyDescent="0.3">
      <c r="A4933" t="s">
        <v>627</v>
      </c>
      <c r="B4933" s="16">
        <v>45947</v>
      </c>
      <c r="C4933" t="s">
        <v>3</v>
      </c>
      <c r="D4933" t="s">
        <v>125</v>
      </c>
      <c r="E4933">
        <v>1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1</v>
      </c>
      <c r="O4933">
        <f t="shared" si="160"/>
        <v>2025</v>
      </c>
      <c r="P4933">
        <f t="shared" si="161"/>
        <v>10</v>
      </c>
      <c r="Q4933" t="s">
        <v>784</v>
      </c>
      <c r="R4933" t="s">
        <v>805</v>
      </c>
    </row>
    <row r="4934" spans="1:18" x14ac:dyDescent="0.3">
      <c r="A4934" t="s">
        <v>627</v>
      </c>
      <c r="B4934" s="16">
        <v>45947</v>
      </c>
      <c r="C4934" t="s">
        <v>3</v>
      </c>
      <c r="D4934" t="s">
        <v>123</v>
      </c>
      <c r="E4934">
        <v>40</v>
      </c>
      <c r="F4934">
        <v>20</v>
      </c>
      <c r="G4934">
        <v>3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31</v>
      </c>
      <c r="N4934">
        <v>16</v>
      </c>
      <c r="O4934">
        <f t="shared" si="160"/>
        <v>2025</v>
      </c>
      <c r="P4934">
        <f t="shared" si="161"/>
        <v>10</v>
      </c>
      <c r="Q4934" t="s">
        <v>784</v>
      </c>
      <c r="R4934" t="s">
        <v>805</v>
      </c>
    </row>
    <row r="4935" spans="1:18" x14ac:dyDescent="0.3">
      <c r="A4935" t="s">
        <v>627</v>
      </c>
      <c r="B4935" s="16">
        <v>45947</v>
      </c>
      <c r="C4935" t="s">
        <v>3</v>
      </c>
      <c r="D4935" t="s">
        <v>119</v>
      </c>
      <c r="E4935">
        <v>187</v>
      </c>
      <c r="F4935">
        <v>55</v>
      </c>
      <c r="G4935">
        <v>17</v>
      </c>
      <c r="H4935">
        <v>3</v>
      </c>
      <c r="I4935">
        <v>8980</v>
      </c>
      <c r="J4935">
        <v>2</v>
      </c>
      <c r="K4935">
        <v>8980</v>
      </c>
      <c r="L4935">
        <v>2</v>
      </c>
      <c r="M4935">
        <v>31</v>
      </c>
      <c r="N4935">
        <v>182</v>
      </c>
      <c r="O4935">
        <f t="shared" si="160"/>
        <v>2025</v>
      </c>
      <c r="P4935">
        <f t="shared" si="161"/>
        <v>10</v>
      </c>
      <c r="Q4935" t="s">
        <v>784</v>
      </c>
      <c r="R4935" t="s">
        <v>805</v>
      </c>
    </row>
    <row r="4936" spans="1:18" x14ac:dyDescent="0.3">
      <c r="A4936" t="s">
        <v>627</v>
      </c>
      <c r="B4936" s="16">
        <v>45947</v>
      </c>
      <c r="C4936" t="s">
        <v>3</v>
      </c>
      <c r="D4936" t="s">
        <v>252</v>
      </c>
      <c r="E4936">
        <v>13</v>
      </c>
      <c r="F4936">
        <v>13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13</v>
      </c>
      <c r="O4936">
        <f t="shared" si="160"/>
        <v>2025</v>
      </c>
      <c r="P4936">
        <f t="shared" si="161"/>
        <v>10</v>
      </c>
      <c r="Q4936" t="s">
        <v>784</v>
      </c>
      <c r="R4936" t="s">
        <v>805</v>
      </c>
    </row>
    <row r="4937" spans="1:18" x14ac:dyDescent="0.3">
      <c r="A4937" t="s">
        <v>627</v>
      </c>
      <c r="B4937" s="16">
        <v>45947</v>
      </c>
      <c r="C4937" t="s">
        <v>3</v>
      </c>
      <c r="D4937" t="s">
        <v>117</v>
      </c>
      <c r="E4937">
        <v>1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1</v>
      </c>
      <c r="O4937">
        <f t="shared" ref="O4937:O5000" si="162">YEAR(B4937)</f>
        <v>2025</v>
      </c>
      <c r="P4937">
        <f t="shared" ref="P4937:P5000" si="163">MONTH(B4937)</f>
        <v>10</v>
      </c>
      <c r="Q4937" t="s">
        <v>784</v>
      </c>
      <c r="R4937" t="s">
        <v>805</v>
      </c>
    </row>
    <row r="4938" spans="1:18" x14ac:dyDescent="0.3">
      <c r="A4938" t="s">
        <v>627</v>
      </c>
      <c r="B4938" s="16">
        <v>45947</v>
      </c>
      <c r="C4938" t="s">
        <v>3</v>
      </c>
      <c r="D4938" t="s">
        <v>391</v>
      </c>
      <c r="E4938">
        <v>430</v>
      </c>
      <c r="F4938">
        <v>233</v>
      </c>
      <c r="G4938">
        <v>16</v>
      </c>
      <c r="H4938">
        <v>5</v>
      </c>
      <c r="I4938">
        <v>9950</v>
      </c>
      <c r="J4938">
        <v>1</v>
      </c>
      <c r="K4938">
        <v>9950</v>
      </c>
      <c r="L4938">
        <v>1</v>
      </c>
      <c r="M4938">
        <v>53</v>
      </c>
      <c r="N4938">
        <v>423</v>
      </c>
      <c r="O4938">
        <f t="shared" si="162"/>
        <v>2025</v>
      </c>
      <c r="P4938">
        <f t="shared" si="163"/>
        <v>10</v>
      </c>
      <c r="Q4938" t="s">
        <v>784</v>
      </c>
      <c r="R4938" t="s">
        <v>805</v>
      </c>
    </row>
    <row r="4939" spans="1:18" x14ac:dyDescent="0.3">
      <c r="A4939" t="s">
        <v>627</v>
      </c>
      <c r="B4939" s="16">
        <v>45947</v>
      </c>
      <c r="C4939" t="s">
        <v>3</v>
      </c>
      <c r="D4939" t="s">
        <v>114</v>
      </c>
      <c r="E4939">
        <v>109</v>
      </c>
      <c r="F4939">
        <v>42</v>
      </c>
      <c r="G4939">
        <v>2</v>
      </c>
      <c r="H4939">
        <v>2</v>
      </c>
      <c r="I4939">
        <v>6990</v>
      </c>
      <c r="J4939">
        <v>1</v>
      </c>
      <c r="K4939">
        <v>0</v>
      </c>
      <c r="L4939">
        <v>0</v>
      </c>
      <c r="M4939">
        <v>8</v>
      </c>
      <c r="N4939">
        <v>97</v>
      </c>
      <c r="O4939">
        <f t="shared" si="162"/>
        <v>2025</v>
      </c>
      <c r="P4939">
        <f t="shared" si="163"/>
        <v>10</v>
      </c>
      <c r="Q4939" t="s">
        <v>784</v>
      </c>
      <c r="R4939" t="s">
        <v>805</v>
      </c>
    </row>
    <row r="4940" spans="1:18" x14ac:dyDescent="0.3">
      <c r="A4940" t="s">
        <v>627</v>
      </c>
      <c r="B4940" s="16">
        <v>45947</v>
      </c>
      <c r="C4940" t="s">
        <v>3</v>
      </c>
      <c r="D4940" t="s">
        <v>113</v>
      </c>
      <c r="E4940">
        <v>109</v>
      </c>
      <c r="F4940">
        <v>48</v>
      </c>
      <c r="G4940">
        <v>4</v>
      </c>
      <c r="H4940">
        <v>2</v>
      </c>
      <c r="I4940">
        <v>0</v>
      </c>
      <c r="J4940">
        <v>0</v>
      </c>
      <c r="K4940">
        <v>0</v>
      </c>
      <c r="L4940">
        <v>0</v>
      </c>
      <c r="M4940">
        <v>95</v>
      </c>
      <c r="N4940">
        <v>62</v>
      </c>
      <c r="O4940">
        <f t="shared" si="162"/>
        <v>2025</v>
      </c>
      <c r="P4940">
        <f t="shared" si="163"/>
        <v>10</v>
      </c>
      <c r="Q4940" t="s">
        <v>784</v>
      </c>
      <c r="R4940" t="s">
        <v>805</v>
      </c>
    </row>
    <row r="4941" spans="1:18" x14ac:dyDescent="0.3">
      <c r="A4941" t="s">
        <v>627</v>
      </c>
      <c r="B4941" s="16">
        <v>45947</v>
      </c>
      <c r="C4941" t="s">
        <v>3</v>
      </c>
      <c r="D4941" t="s">
        <v>112</v>
      </c>
      <c r="E4941">
        <v>39</v>
      </c>
      <c r="F4941">
        <v>10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39</v>
      </c>
      <c r="O4941">
        <f t="shared" si="162"/>
        <v>2025</v>
      </c>
      <c r="P4941">
        <f t="shared" si="163"/>
        <v>10</v>
      </c>
      <c r="Q4941" t="s">
        <v>784</v>
      </c>
      <c r="R4941" t="s">
        <v>805</v>
      </c>
    </row>
    <row r="4942" spans="1:18" x14ac:dyDescent="0.3">
      <c r="A4942" t="s">
        <v>627</v>
      </c>
      <c r="B4942" s="16">
        <v>45947</v>
      </c>
      <c r="C4942" t="s">
        <v>3</v>
      </c>
      <c r="D4942" t="s">
        <v>111</v>
      </c>
      <c r="E4942">
        <v>1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1</v>
      </c>
      <c r="O4942">
        <f t="shared" si="162"/>
        <v>2025</v>
      </c>
      <c r="P4942">
        <f t="shared" si="163"/>
        <v>10</v>
      </c>
      <c r="Q4942" t="s">
        <v>784</v>
      </c>
      <c r="R4942" t="s">
        <v>805</v>
      </c>
    </row>
    <row r="4943" spans="1:18" x14ac:dyDescent="0.3">
      <c r="A4943" t="s">
        <v>627</v>
      </c>
      <c r="B4943" s="16">
        <v>45946</v>
      </c>
      <c r="C4943" t="s">
        <v>2</v>
      </c>
      <c r="D4943" t="s">
        <v>4</v>
      </c>
      <c r="E4943">
        <v>318</v>
      </c>
      <c r="F4943">
        <v>87</v>
      </c>
      <c r="G4943">
        <v>0</v>
      </c>
      <c r="H4943">
        <v>1</v>
      </c>
      <c r="I4943">
        <v>0</v>
      </c>
      <c r="J4943">
        <v>0</v>
      </c>
      <c r="K4943">
        <v>0</v>
      </c>
      <c r="L4943">
        <v>0</v>
      </c>
      <c r="M4943">
        <v>2</v>
      </c>
      <c r="N4943">
        <v>311</v>
      </c>
      <c r="O4943">
        <f t="shared" si="162"/>
        <v>2025</v>
      </c>
      <c r="P4943">
        <f t="shared" si="163"/>
        <v>10</v>
      </c>
      <c r="Q4943" t="s">
        <v>784</v>
      </c>
      <c r="R4943" t="s">
        <v>805</v>
      </c>
    </row>
    <row r="4944" spans="1:18" x14ac:dyDescent="0.3">
      <c r="A4944" t="s">
        <v>627</v>
      </c>
      <c r="B4944" s="16">
        <v>45946</v>
      </c>
      <c r="C4944" t="s">
        <v>2</v>
      </c>
      <c r="D4944" t="s">
        <v>57</v>
      </c>
      <c r="E4944">
        <v>25833</v>
      </c>
      <c r="F4944">
        <v>14203</v>
      </c>
      <c r="G4944">
        <v>194</v>
      </c>
      <c r="H4944">
        <v>157</v>
      </c>
      <c r="I4944">
        <v>108185</v>
      </c>
      <c r="J4944">
        <v>16</v>
      </c>
      <c r="K4944">
        <v>38410</v>
      </c>
      <c r="L4944">
        <v>9</v>
      </c>
      <c r="M4944">
        <v>1556</v>
      </c>
      <c r="N4944">
        <v>25426</v>
      </c>
      <c r="O4944">
        <f t="shared" si="162"/>
        <v>2025</v>
      </c>
      <c r="P4944">
        <f t="shared" si="163"/>
        <v>10</v>
      </c>
      <c r="Q4944" t="s">
        <v>784</v>
      </c>
      <c r="R4944" t="s">
        <v>805</v>
      </c>
    </row>
    <row r="4945" spans="1:18" x14ac:dyDescent="0.3">
      <c r="A4945" t="s">
        <v>627</v>
      </c>
      <c r="B4945" s="16">
        <v>45946</v>
      </c>
      <c r="C4945" t="s">
        <v>2</v>
      </c>
      <c r="D4945" t="s">
        <v>55</v>
      </c>
      <c r="E4945">
        <v>2216</v>
      </c>
      <c r="F4945">
        <v>1150</v>
      </c>
      <c r="G4945">
        <v>7</v>
      </c>
      <c r="H4945">
        <v>1</v>
      </c>
      <c r="I4945">
        <v>0</v>
      </c>
      <c r="J4945">
        <v>0</v>
      </c>
      <c r="K4945">
        <v>0</v>
      </c>
      <c r="L4945">
        <v>0</v>
      </c>
      <c r="M4945">
        <v>29</v>
      </c>
      <c r="N4945">
        <v>541</v>
      </c>
      <c r="O4945">
        <f t="shared" si="162"/>
        <v>2025</v>
      </c>
      <c r="P4945">
        <f t="shared" si="163"/>
        <v>10</v>
      </c>
      <c r="Q4945" t="s">
        <v>784</v>
      </c>
      <c r="R4945" t="s">
        <v>805</v>
      </c>
    </row>
    <row r="4946" spans="1:18" x14ac:dyDescent="0.3">
      <c r="A4946" t="s">
        <v>627</v>
      </c>
      <c r="B4946" s="16">
        <v>45946</v>
      </c>
      <c r="C4946" t="s">
        <v>3</v>
      </c>
      <c r="D4946" t="s">
        <v>155</v>
      </c>
      <c r="E4946">
        <v>48</v>
      </c>
      <c r="F4946">
        <v>11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48</v>
      </c>
      <c r="O4946">
        <f t="shared" si="162"/>
        <v>2025</v>
      </c>
      <c r="P4946">
        <f t="shared" si="163"/>
        <v>10</v>
      </c>
      <c r="Q4946" t="s">
        <v>784</v>
      </c>
      <c r="R4946" t="s">
        <v>805</v>
      </c>
    </row>
    <row r="4947" spans="1:18" x14ac:dyDescent="0.3">
      <c r="A4947" t="s">
        <v>627</v>
      </c>
      <c r="B4947" s="16">
        <v>45946</v>
      </c>
      <c r="C4947" t="s">
        <v>3</v>
      </c>
      <c r="D4947" t="s">
        <v>154</v>
      </c>
      <c r="E4947">
        <v>150</v>
      </c>
      <c r="F4947">
        <v>118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f t="shared" si="162"/>
        <v>2025</v>
      </c>
      <c r="P4947">
        <f t="shared" si="163"/>
        <v>10</v>
      </c>
      <c r="Q4947" t="s">
        <v>784</v>
      </c>
      <c r="R4947" t="s">
        <v>805</v>
      </c>
    </row>
    <row r="4948" spans="1:18" x14ac:dyDescent="0.3">
      <c r="A4948" t="s">
        <v>627</v>
      </c>
      <c r="B4948" s="16">
        <v>45946</v>
      </c>
      <c r="C4948" t="s">
        <v>3</v>
      </c>
      <c r="D4948" t="s">
        <v>153</v>
      </c>
      <c r="E4948">
        <v>301</v>
      </c>
      <c r="F4948">
        <v>60</v>
      </c>
      <c r="G4948">
        <v>34</v>
      </c>
      <c r="H4948">
        <v>3</v>
      </c>
      <c r="I4948">
        <v>45950</v>
      </c>
      <c r="J4948">
        <v>11</v>
      </c>
      <c r="K4948">
        <v>42960</v>
      </c>
      <c r="L4948">
        <v>10</v>
      </c>
      <c r="M4948">
        <v>76</v>
      </c>
      <c r="N4948">
        <v>290</v>
      </c>
      <c r="O4948">
        <f t="shared" si="162"/>
        <v>2025</v>
      </c>
      <c r="P4948">
        <f t="shared" si="163"/>
        <v>10</v>
      </c>
      <c r="Q4948" t="s">
        <v>784</v>
      </c>
      <c r="R4948" t="s">
        <v>805</v>
      </c>
    </row>
    <row r="4949" spans="1:18" x14ac:dyDescent="0.3">
      <c r="A4949" t="s">
        <v>627</v>
      </c>
      <c r="B4949" s="16">
        <v>45946</v>
      </c>
      <c r="C4949" t="s">
        <v>3</v>
      </c>
      <c r="D4949" t="s">
        <v>152</v>
      </c>
      <c r="E4949">
        <v>9</v>
      </c>
      <c r="F4949">
        <v>4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5</v>
      </c>
      <c r="O4949">
        <f t="shared" si="162"/>
        <v>2025</v>
      </c>
      <c r="P4949">
        <f t="shared" si="163"/>
        <v>10</v>
      </c>
      <c r="Q4949" t="s">
        <v>784</v>
      </c>
      <c r="R4949" t="s">
        <v>805</v>
      </c>
    </row>
    <row r="4950" spans="1:18" x14ac:dyDescent="0.3">
      <c r="A4950" t="s">
        <v>627</v>
      </c>
      <c r="B4950" s="16">
        <v>45946</v>
      </c>
      <c r="C4950" t="s">
        <v>3</v>
      </c>
      <c r="D4950" t="s">
        <v>149</v>
      </c>
      <c r="E4950">
        <v>4</v>
      </c>
      <c r="F4950">
        <v>2</v>
      </c>
      <c r="G4950">
        <v>1</v>
      </c>
      <c r="H4950">
        <v>0</v>
      </c>
      <c r="I4950">
        <v>6780</v>
      </c>
      <c r="J4950">
        <v>1</v>
      </c>
      <c r="K4950">
        <v>0</v>
      </c>
      <c r="L4950">
        <v>0</v>
      </c>
      <c r="M4950">
        <v>1</v>
      </c>
      <c r="N4950">
        <v>3</v>
      </c>
      <c r="O4950">
        <f t="shared" si="162"/>
        <v>2025</v>
      </c>
      <c r="P4950">
        <f t="shared" si="163"/>
        <v>10</v>
      </c>
      <c r="Q4950" t="s">
        <v>784</v>
      </c>
      <c r="R4950" t="s">
        <v>805</v>
      </c>
    </row>
    <row r="4951" spans="1:18" x14ac:dyDescent="0.3">
      <c r="A4951" t="s">
        <v>627</v>
      </c>
      <c r="B4951" s="16">
        <v>45946</v>
      </c>
      <c r="C4951" t="s">
        <v>3</v>
      </c>
      <c r="D4951" t="s">
        <v>148</v>
      </c>
      <c r="E4951">
        <v>1</v>
      </c>
      <c r="F4951">
        <v>1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1</v>
      </c>
      <c r="N4951">
        <v>0</v>
      </c>
      <c r="O4951">
        <f t="shared" si="162"/>
        <v>2025</v>
      </c>
      <c r="P4951">
        <f t="shared" si="163"/>
        <v>10</v>
      </c>
      <c r="Q4951" t="s">
        <v>784</v>
      </c>
      <c r="R4951" t="s">
        <v>805</v>
      </c>
    </row>
    <row r="4952" spans="1:18" x14ac:dyDescent="0.3">
      <c r="A4952" t="s">
        <v>627</v>
      </c>
      <c r="B4952" s="16">
        <v>45946</v>
      </c>
      <c r="C4952" t="s">
        <v>3</v>
      </c>
      <c r="D4952" t="s">
        <v>251</v>
      </c>
      <c r="E4952">
        <v>3065</v>
      </c>
      <c r="F4952">
        <v>2590</v>
      </c>
      <c r="G4952">
        <v>18</v>
      </c>
      <c r="H4952">
        <v>6</v>
      </c>
      <c r="I4952">
        <v>10885</v>
      </c>
      <c r="J4952">
        <v>2</v>
      </c>
      <c r="K4952">
        <v>10885</v>
      </c>
      <c r="L4952">
        <v>2</v>
      </c>
      <c r="M4952">
        <v>81</v>
      </c>
      <c r="N4952">
        <v>301</v>
      </c>
      <c r="O4952">
        <f t="shared" si="162"/>
        <v>2025</v>
      </c>
      <c r="P4952">
        <f t="shared" si="163"/>
        <v>10</v>
      </c>
      <c r="Q4952" t="s">
        <v>784</v>
      </c>
      <c r="R4952" t="s">
        <v>805</v>
      </c>
    </row>
    <row r="4953" spans="1:18" x14ac:dyDescent="0.3">
      <c r="A4953" t="s">
        <v>627</v>
      </c>
      <c r="B4953" s="16">
        <v>45946</v>
      </c>
      <c r="C4953" t="s">
        <v>3</v>
      </c>
      <c r="D4953" t="s">
        <v>143</v>
      </c>
      <c r="E4953">
        <v>1</v>
      </c>
      <c r="F4953">
        <v>1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1</v>
      </c>
      <c r="O4953">
        <f t="shared" si="162"/>
        <v>2025</v>
      </c>
      <c r="P4953">
        <f t="shared" si="163"/>
        <v>10</v>
      </c>
      <c r="Q4953" t="s">
        <v>784</v>
      </c>
      <c r="R4953" t="s">
        <v>805</v>
      </c>
    </row>
    <row r="4954" spans="1:18" x14ac:dyDescent="0.3">
      <c r="A4954" t="s">
        <v>627</v>
      </c>
      <c r="B4954" s="16">
        <v>45946</v>
      </c>
      <c r="C4954" t="s">
        <v>3</v>
      </c>
      <c r="D4954" t="s">
        <v>141</v>
      </c>
      <c r="E4954">
        <v>224</v>
      </c>
      <c r="F4954">
        <v>83</v>
      </c>
      <c r="G4954">
        <v>2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224</v>
      </c>
      <c r="O4954">
        <f t="shared" si="162"/>
        <v>2025</v>
      </c>
      <c r="P4954">
        <f t="shared" si="163"/>
        <v>10</v>
      </c>
      <c r="Q4954" t="s">
        <v>784</v>
      </c>
      <c r="R4954" t="s">
        <v>805</v>
      </c>
    </row>
    <row r="4955" spans="1:18" x14ac:dyDescent="0.3">
      <c r="A4955" t="s">
        <v>627</v>
      </c>
      <c r="B4955" s="16">
        <v>45946</v>
      </c>
      <c r="C4955" t="s">
        <v>3</v>
      </c>
      <c r="D4955" t="s">
        <v>140</v>
      </c>
      <c r="E4955">
        <v>14</v>
      </c>
      <c r="F4955">
        <v>11</v>
      </c>
      <c r="G4955">
        <v>2</v>
      </c>
      <c r="H4955">
        <v>0</v>
      </c>
      <c r="I4955">
        <v>4940</v>
      </c>
      <c r="J4955">
        <v>1</v>
      </c>
      <c r="K4955">
        <v>4940</v>
      </c>
      <c r="L4955">
        <v>1</v>
      </c>
      <c r="M4955">
        <v>1</v>
      </c>
      <c r="N4955">
        <v>13</v>
      </c>
      <c r="O4955">
        <f t="shared" si="162"/>
        <v>2025</v>
      </c>
      <c r="P4955">
        <f t="shared" si="163"/>
        <v>10</v>
      </c>
      <c r="Q4955" t="s">
        <v>784</v>
      </c>
      <c r="R4955" t="s">
        <v>805</v>
      </c>
    </row>
    <row r="4956" spans="1:18" x14ac:dyDescent="0.3">
      <c r="A4956" t="s">
        <v>627</v>
      </c>
      <c r="B4956" s="16">
        <v>45946</v>
      </c>
      <c r="C4956" t="s">
        <v>3</v>
      </c>
      <c r="D4956" t="s">
        <v>139</v>
      </c>
      <c r="E4956">
        <v>1705</v>
      </c>
      <c r="F4956">
        <v>767</v>
      </c>
      <c r="G4956">
        <v>53</v>
      </c>
      <c r="H4956">
        <v>10</v>
      </c>
      <c r="I4956">
        <v>27555</v>
      </c>
      <c r="J4956">
        <v>7</v>
      </c>
      <c r="K4956">
        <v>20775</v>
      </c>
      <c r="L4956">
        <v>6</v>
      </c>
      <c r="M4956">
        <v>305</v>
      </c>
      <c r="N4956">
        <v>757</v>
      </c>
      <c r="O4956">
        <f t="shared" si="162"/>
        <v>2025</v>
      </c>
      <c r="P4956">
        <f t="shared" si="163"/>
        <v>10</v>
      </c>
      <c r="Q4956" t="s">
        <v>784</v>
      </c>
      <c r="R4956" t="s">
        <v>805</v>
      </c>
    </row>
    <row r="4957" spans="1:18" x14ac:dyDescent="0.3">
      <c r="A4957" t="s">
        <v>627</v>
      </c>
      <c r="B4957" s="16">
        <v>45946</v>
      </c>
      <c r="C4957" t="s">
        <v>3</v>
      </c>
      <c r="D4957" t="s">
        <v>138</v>
      </c>
      <c r="E4957">
        <v>9</v>
      </c>
      <c r="F4957">
        <v>5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3</v>
      </c>
      <c r="N4957">
        <v>8</v>
      </c>
      <c r="O4957">
        <f t="shared" si="162"/>
        <v>2025</v>
      </c>
      <c r="P4957">
        <f t="shared" si="163"/>
        <v>10</v>
      </c>
      <c r="Q4957" t="s">
        <v>784</v>
      </c>
      <c r="R4957" t="s">
        <v>805</v>
      </c>
    </row>
    <row r="4958" spans="1:18" x14ac:dyDescent="0.3">
      <c r="A4958" t="s">
        <v>627</v>
      </c>
      <c r="B4958" s="16">
        <v>45946</v>
      </c>
      <c r="C4958" t="s">
        <v>3</v>
      </c>
      <c r="D4958" t="s">
        <v>133</v>
      </c>
      <c r="E4958">
        <v>11</v>
      </c>
      <c r="F4958">
        <v>8</v>
      </c>
      <c r="G4958">
        <v>0</v>
      </c>
      <c r="H4958">
        <v>1</v>
      </c>
      <c r="I4958">
        <v>0</v>
      </c>
      <c r="J4958">
        <v>0</v>
      </c>
      <c r="K4958">
        <v>0</v>
      </c>
      <c r="L4958">
        <v>0</v>
      </c>
      <c r="M4958">
        <v>1</v>
      </c>
      <c r="N4958">
        <v>10</v>
      </c>
      <c r="O4958">
        <f t="shared" si="162"/>
        <v>2025</v>
      </c>
      <c r="P4958">
        <f t="shared" si="163"/>
        <v>10</v>
      </c>
      <c r="Q4958" t="s">
        <v>784</v>
      </c>
      <c r="R4958" t="s">
        <v>805</v>
      </c>
    </row>
    <row r="4959" spans="1:18" x14ac:dyDescent="0.3">
      <c r="A4959" t="s">
        <v>627</v>
      </c>
      <c r="B4959" s="16">
        <v>45946</v>
      </c>
      <c r="C4959" t="s">
        <v>3</v>
      </c>
      <c r="D4959" t="s">
        <v>130</v>
      </c>
      <c r="E4959">
        <v>86</v>
      </c>
      <c r="F4959">
        <v>30</v>
      </c>
      <c r="G4959">
        <v>8</v>
      </c>
      <c r="H4959">
        <v>0</v>
      </c>
      <c r="I4959">
        <v>13355</v>
      </c>
      <c r="J4959">
        <v>3</v>
      </c>
      <c r="K4959">
        <v>13355</v>
      </c>
      <c r="L4959">
        <v>3</v>
      </c>
      <c r="M4959">
        <v>36</v>
      </c>
      <c r="N4959">
        <v>72</v>
      </c>
      <c r="O4959">
        <f t="shared" si="162"/>
        <v>2025</v>
      </c>
      <c r="P4959">
        <f t="shared" si="163"/>
        <v>10</v>
      </c>
      <c r="Q4959" t="s">
        <v>784</v>
      </c>
      <c r="R4959" t="s">
        <v>805</v>
      </c>
    </row>
    <row r="4960" spans="1:18" x14ac:dyDescent="0.3">
      <c r="A4960" t="s">
        <v>627</v>
      </c>
      <c r="B4960" s="16">
        <v>45946</v>
      </c>
      <c r="C4960" t="s">
        <v>3</v>
      </c>
      <c r="D4960" t="s">
        <v>128</v>
      </c>
      <c r="E4960">
        <v>527</v>
      </c>
      <c r="F4960">
        <v>384</v>
      </c>
      <c r="G4960">
        <v>16</v>
      </c>
      <c r="H4960">
        <v>7</v>
      </c>
      <c r="I4960">
        <v>10040</v>
      </c>
      <c r="J4960">
        <v>4</v>
      </c>
      <c r="K4960">
        <v>10040</v>
      </c>
      <c r="L4960">
        <v>4</v>
      </c>
      <c r="M4960">
        <v>159</v>
      </c>
      <c r="N4960">
        <v>471</v>
      </c>
      <c r="O4960">
        <f t="shared" si="162"/>
        <v>2025</v>
      </c>
      <c r="P4960">
        <f t="shared" si="163"/>
        <v>10</v>
      </c>
      <c r="Q4960" t="s">
        <v>784</v>
      </c>
      <c r="R4960" t="s">
        <v>805</v>
      </c>
    </row>
    <row r="4961" spans="1:18" x14ac:dyDescent="0.3">
      <c r="A4961" t="s">
        <v>627</v>
      </c>
      <c r="B4961" s="16">
        <v>45946</v>
      </c>
      <c r="C4961" t="s">
        <v>3</v>
      </c>
      <c r="D4961" t="s">
        <v>127</v>
      </c>
      <c r="E4961">
        <v>4096</v>
      </c>
      <c r="F4961">
        <v>2006</v>
      </c>
      <c r="G4961">
        <v>95</v>
      </c>
      <c r="H4961">
        <v>28</v>
      </c>
      <c r="I4961">
        <v>38280</v>
      </c>
      <c r="J4961">
        <v>8</v>
      </c>
      <c r="K4961">
        <v>30580</v>
      </c>
      <c r="L4961">
        <v>7</v>
      </c>
      <c r="M4961">
        <v>382</v>
      </c>
      <c r="N4961">
        <v>4043</v>
      </c>
      <c r="O4961">
        <f t="shared" si="162"/>
        <v>2025</v>
      </c>
      <c r="P4961">
        <f t="shared" si="163"/>
        <v>10</v>
      </c>
      <c r="Q4961" t="s">
        <v>784</v>
      </c>
      <c r="R4961" t="s">
        <v>805</v>
      </c>
    </row>
    <row r="4962" spans="1:18" x14ac:dyDescent="0.3">
      <c r="A4962" t="s">
        <v>627</v>
      </c>
      <c r="B4962" s="16">
        <v>45946</v>
      </c>
      <c r="C4962" t="s">
        <v>3</v>
      </c>
      <c r="D4962" t="s">
        <v>126</v>
      </c>
      <c r="E4962">
        <v>100</v>
      </c>
      <c r="F4962">
        <v>65</v>
      </c>
      <c r="G4962">
        <v>7</v>
      </c>
      <c r="H4962">
        <v>2</v>
      </c>
      <c r="I4962">
        <v>0</v>
      </c>
      <c r="J4962">
        <v>0</v>
      </c>
      <c r="K4962">
        <v>0</v>
      </c>
      <c r="L4962">
        <v>0</v>
      </c>
      <c r="M4962">
        <v>18</v>
      </c>
      <c r="N4962">
        <v>97</v>
      </c>
      <c r="O4962">
        <f t="shared" si="162"/>
        <v>2025</v>
      </c>
      <c r="P4962">
        <f t="shared" si="163"/>
        <v>10</v>
      </c>
      <c r="Q4962" t="s">
        <v>784</v>
      </c>
      <c r="R4962" t="s">
        <v>805</v>
      </c>
    </row>
    <row r="4963" spans="1:18" x14ac:dyDescent="0.3">
      <c r="A4963" t="s">
        <v>627</v>
      </c>
      <c r="B4963" s="16">
        <v>45946</v>
      </c>
      <c r="C4963" t="s">
        <v>3</v>
      </c>
      <c r="D4963" t="s">
        <v>123</v>
      </c>
      <c r="E4963">
        <v>45</v>
      </c>
      <c r="F4963">
        <v>19</v>
      </c>
      <c r="G4963">
        <v>1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38</v>
      </c>
      <c r="N4963">
        <v>23</v>
      </c>
      <c r="O4963">
        <f t="shared" si="162"/>
        <v>2025</v>
      </c>
      <c r="P4963">
        <f t="shared" si="163"/>
        <v>10</v>
      </c>
      <c r="Q4963" t="s">
        <v>784</v>
      </c>
      <c r="R4963" t="s">
        <v>805</v>
      </c>
    </row>
    <row r="4964" spans="1:18" x14ac:dyDescent="0.3">
      <c r="A4964" t="s">
        <v>627</v>
      </c>
      <c r="B4964" s="16">
        <v>45946</v>
      </c>
      <c r="C4964" t="s">
        <v>3</v>
      </c>
      <c r="D4964" t="s">
        <v>121</v>
      </c>
      <c r="E4964">
        <v>2</v>
      </c>
      <c r="F4964">
        <v>2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1</v>
      </c>
      <c r="N4964">
        <v>1</v>
      </c>
      <c r="O4964">
        <f t="shared" si="162"/>
        <v>2025</v>
      </c>
      <c r="P4964">
        <f t="shared" si="163"/>
        <v>10</v>
      </c>
      <c r="Q4964" t="s">
        <v>784</v>
      </c>
      <c r="R4964" t="s">
        <v>805</v>
      </c>
    </row>
    <row r="4965" spans="1:18" x14ac:dyDescent="0.3">
      <c r="A4965" t="s">
        <v>627</v>
      </c>
      <c r="B4965" s="16">
        <v>45946</v>
      </c>
      <c r="C4965" t="s">
        <v>3</v>
      </c>
      <c r="D4965" t="s">
        <v>119</v>
      </c>
      <c r="E4965">
        <v>190</v>
      </c>
      <c r="F4965">
        <v>52</v>
      </c>
      <c r="G4965">
        <v>14</v>
      </c>
      <c r="H4965">
        <v>3</v>
      </c>
      <c r="I4965">
        <v>0</v>
      </c>
      <c r="J4965">
        <v>0</v>
      </c>
      <c r="K4965">
        <v>0</v>
      </c>
      <c r="L4965">
        <v>0</v>
      </c>
      <c r="M4965">
        <v>38</v>
      </c>
      <c r="N4965">
        <v>183</v>
      </c>
      <c r="O4965">
        <f t="shared" si="162"/>
        <v>2025</v>
      </c>
      <c r="P4965">
        <f t="shared" si="163"/>
        <v>10</v>
      </c>
      <c r="Q4965" t="s">
        <v>784</v>
      </c>
      <c r="R4965" t="s">
        <v>805</v>
      </c>
    </row>
    <row r="4966" spans="1:18" x14ac:dyDescent="0.3">
      <c r="A4966" t="s">
        <v>627</v>
      </c>
      <c r="B4966" s="16">
        <v>45946</v>
      </c>
      <c r="C4966" t="s">
        <v>3</v>
      </c>
      <c r="D4966" t="s">
        <v>252</v>
      </c>
      <c r="E4966">
        <v>3</v>
      </c>
      <c r="F4966">
        <v>3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3</v>
      </c>
      <c r="O4966">
        <f t="shared" si="162"/>
        <v>2025</v>
      </c>
      <c r="P4966">
        <f t="shared" si="163"/>
        <v>10</v>
      </c>
      <c r="Q4966" t="s">
        <v>784</v>
      </c>
      <c r="R4966" t="s">
        <v>805</v>
      </c>
    </row>
    <row r="4967" spans="1:18" x14ac:dyDescent="0.3">
      <c r="A4967" t="s">
        <v>627</v>
      </c>
      <c r="B4967" s="16">
        <v>45946</v>
      </c>
      <c r="C4967" t="s">
        <v>3</v>
      </c>
      <c r="D4967" t="s">
        <v>391</v>
      </c>
      <c r="E4967">
        <v>413</v>
      </c>
      <c r="F4967">
        <v>228</v>
      </c>
      <c r="G4967">
        <v>19</v>
      </c>
      <c r="H4967">
        <v>2</v>
      </c>
      <c r="I4967">
        <v>7050</v>
      </c>
      <c r="J4967">
        <v>2</v>
      </c>
      <c r="K4967">
        <v>3250</v>
      </c>
      <c r="L4967">
        <v>1</v>
      </c>
      <c r="M4967">
        <v>66</v>
      </c>
      <c r="N4967">
        <v>407</v>
      </c>
      <c r="O4967">
        <f t="shared" si="162"/>
        <v>2025</v>
      </c>
      <c r="P4967">
        <f t="shared" si="163"/>
        <v>10</v>
      </c>
      <c r="Q4967" t="s">
        <v>784</v>
      </c>
      <c r="R4967" t="s">
        <v>805</v>
      </c>
    </row>
    <row r="4968" spans="1:18" x14ac:dyDescent="0.3">
      <c r="A4968" t="s">
        <v>627</v>
      </c>
      <c r="B4968" s="16">
        <v>45946</v>
      </c>
      <c r="C4968" t="s">
        <v>3</v>
      </c>
      <c r="D4968" t="s">
        <v>113</v>
      </c>
      <c r="E4968">
        <v>109</v>
      </c>
      <c r="F4968">
        <v>52</v>
      </c>
      <c r="G4968">
        <v>2</v>
      </c>
      <c r="H4968">
        <v>2</v>
      </c>
      <c r="I4968">
        <v>0</v>
      </c>
      <c r="J4968">
        <v>0</v>
      </c>
      <c r="K4968">
        <v>0</v>
      </c>
      <c r="L4968">
        <v>0</v>
      </c>
      <c r="M4968">
        <v>87</v>
      </c>
      <c r="N4968">
        <v>69</v>
      </c>
      <c r="O4968">
        <f t="shared" si="162"/>
        <v>2025</v>
      </c>
      <c r="P4968">
        <f t="shared" si="163"/>
        <v>10</v>
      </c>
      <c r="Q4968" t="s">
        <v>784</v>
      </c>
      <c r="R4968" t="s">
        <v>805</v>
      </c>
    </row>
    <row r="4969" spans="1:18" x14ac:dyDescent="0.3">
      <c r="A4969" t="s">
        <v>627</v>
      </c>
      <c r="B4969" s="16">
        <v>45946</v>
      </c>
      <c r="C4969" t="s">
        <v>3</v>
      </c>
      <c r="D4969" t="s">
        <v>112</v>
      </c>
      <c r="E4969">
        <v>32</v>
      </c>
      <c r="F4969">
        <v>7</v>
      </c>
      <c r="G4969">
        <v>0</v>
      </c>
      <c r="H4969">
        <v>0</v>
      </c>
      <c r="I4969">
        <v>2490</v>
      </c>
      <c r="J4969">
        <v>1</v>
      </c>
      <c r="K4969">
        <v>2490</v>
      </c>
      <c r="L4969">
        <v>1</v>
      </c>
      <c r="M4969">
        <v>0</v>
      </c>
      <c r="N4969">
        <v>32</v>
      </c>
      <c r="O4969">
        <f t="shared" si="162"/>
        <v>2025</v>
      </c>
      <c r="P4969">
        <f t="shared" si="163"/>
        <v>10</v>
      </c>
      <c r="Q4969" t="s">
        <v>784</v>
      </c>
      <c r="R4969" t="s">
        <v>805</v>
      </c>
    </row>
    <row r="4970" spans="1:18" x14ac:dyDescent="0.3">
      <c r="A4970" t="s">
        <v>627</v>
      </c>
      <c r="B4970" s="16">
        <v>45945</v>
      </c>
      <c r="C4970" t="s">
        <v>2</v>
      </c>
      <c r="D4970" t="s">
        <v>4</v>
      </c>
      <c r="E4970">
        <v>366</v>
      </c>
      <c r="F4970">
        <v>108</v>
      </c>
      <c r="G4970">
        <v>0</v>
      </c>
      <c r="H4970">
        <v>1</v>
      </c>
      <c r="I4970">
        <v>0</v>
      </c>
      <c r="J4970">
        <v>0</v>
      </c>
      <c r="K4970">
        <v>0</v>
      </c>
      <c r="L4970">
        <v>0</v>
      </c>
      <c r="M4970">
        <v>4</v>
      </c>
      <c r="N4970">
        <v>358</v>
      </c>
      <c r="O4970">
        <f t="shared" si="162"/>
        <v>2025</v>
      </c>
      <c r="P4970">
        <f t="shared" si="163"/>
        <v>10</v>
      </c>
      <c r="Q4970" t="s">
        <v>784</v>
      </c>
      <c r="R4970" t="s">
        <v>805</v>
      </c>
    </row>
    <row r="4971" spans="1:18" x14ac:dyDescent="0.3">
      <c r="A4971" t="s">
        <v>627</v>
      </c>
      <c r="B4971" s="16">
        <v>45945</v>
      </c>
      <c r="C4971" t="s">
        <v>2</v>
      </c>
      <c r="D4971" t="s">
        <v>57</v>
      </c>
      <c r="E4971">
        <v>30449</v>
      </c>
      <c r="F4971">
        <v>19816</v>
      </c>
      <c r="G4971">
        <v>176</v>
      </c>
      <c r="H4971">
        <v>141</v>
      </c>
      <c r="I4971">
        <v>133239</v>
      </c>
      <c r="J4971">
        <v>14</v>
      </c>
      <c r="K4971">
        <v>29304</v>
      </c>
      <c r="L4971">
        <v>7</v>
      </c>
      <c r="M4971">
        <v>1476</v>
      </c>
      <c r="N4971">
        <v>30057</v>
      </c>
      <c r="O4971">
        <f t="shared" si="162"/>
        <v>2025</v>
      </c>
      <c r="P4971">
        <f t="shared" si="163"/>
        <v>10</v>
      </c>
      <c r="Q4971" t="s">
        <v>784</v>
      </c>
      <c r="R4971" t="s">
        <v>805</v>
      </c>
    </row>
    <row r="4972" spans="1:18" x14ac:dyDescent="0.3">
      <c r="A4972" t="s">
        <v>627</v>
      </c>
      <c r="B4972" s="16">
        <v>45945</v>
      </c>
      <c r="C4972" t="s">
        <v>2</v>
      </c>
      <c r="D4972" t="s">
        <v>52</v>
      </c>
      <c r="E4972">
        <v>1</v>
      </c>
      <c r="F4972">
        <v>1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1</v>
      </c>
      <c r="N4972">
        <v>0</v>
      </c>
      <c r="O4972">
        <f t="shared" si="162"/>
        <v>2025</v>
      </c>
      <c r="P4972">
        <f t="shared" si="163"/>
        <v>10</v>
      </c>
      <c r="Q4972" t="s">
        <v>784</v>
      </c>
      <c r="R4972" t="s">
        <v>805</v>
      </c>
    </row>
    <row r="4973" spans="1:18" x14ac:dyDescent="0.3">
      <c r="A4973" t="s">
        <v>627</v>
      </c>
      <c r="B4973" s="16">
        <v>45945</v>
      </c>
      <c r="C4973" t="s">
        <v>2</v>
      </c>
      <c r="D4973" t="s">
        <v>55</v>
      </c>
      <c r="E4973">
        <v>1948</v>
      </c>
      <c r="F4973">
        <v>1051</v>
      </c>
      <c r="G4973">
        <v>11</v>
      </c>
      <c r="H4973">
        <v>3</v>
      </c>
      <c r="I4973">
        <v>0</v>
      </c>
      <c r="J4973">
        <v>0</v>
      </c>
      <c r="K4973">
        <v>0</v>
      </c>
      <c r="L4973">
        <v>0</v>
      </c>
      <c r="M4973">
        <v>38</v>
      </c>
      <c r="N4973">
        <v>680</v>
      </c>
      <c r="O4973">
        <f t="shared" si="162"/>
        <v>2025</v>
      </c>
      <c r="P4973">
        <f t="shared" si="163"/>
        <v>10</v>
      </c>
      <c r="Q4973" t="s">
        <v>784</v>
      </c>
      <c r="R4973" t="s">
        <v>805</v>
      </c>
    </row>
    <row r="4974" spans="1:18" x14ac:dyDescent="0.3">
      <c r="A4974" t="s">
        <v>627</v>
      </c>
      <c r="B4974" s="16">
        <v>45945</v>
      </c>
      <c r="C4974" t="s">
        <v>3</v>
      </c>
      <c r="D4974" t="s">
        <v>155</v>
      </c>
      <c r="E4974">
        <v>49</v>
      </c>
      <c r="F4974">
        <v>20</v>
      </c>
      <c r="G4974">
        <v>0</v>
      </c>
      <c r="H4974">
        <v>2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49</v>
      </c>
      <c r="O4974">
        <f t="shared" si="162"/>
        <v>2025</v>
      </c>
      <c r="P4974">
        <f t="shared" si="163"/>
        <v>10</v>
      </c>
      <c r="Q4974" t="s">
        <v>784</v>
      </c>
      <c r="R4974" t="s">
        <v>805</v>
      </c>
    </row>
    <row r="4975" spans="1:18" x14ac:dyDescent="0.3">
      <c r="A4975" t="s">
        <v>627</v>
      </c>
      <c r="B4975" s="16">
        <v>45945</v>
      </c>
      <c r="C4975" t="s">
        <v>3</v>
      </c>
      <c r="D4975" t="s">
        <v>154</v>
      </c>
      <c r="E4975">
        <v>55</v>
      </c>
      <c r="F4975">
        <v>42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f t="shared" si="162"/>
        <v>2025</v>
      </c>
      <c r="P4975">
        <f t="shared" si="163"/>
        <v>10</v>
      </c>
      <c r="Q4975" t="s">
        <v>784</v>
      </c>
      <c r="R4975" t="s">
        <v>805</v>
      </c>
    </row>
    <row r="4976" spans="1:18" x14ac:dyDescent="0.3">
      <c r="A4976" t="s">
        <v>627</v>
      </c>
      <c r="B4976" s="16">
        <v>45945</v>
      </c>
      <c r="C4976" t="s">
        <v>3</v>
      </c>
      <c r="D4976" t="s">
        <v>153</v>
      </c>
      <c r="E4976">
        <v>350</v>
      </c>
      <c r="F4976">
        <v>86</v>
      </c>
      <c r="G4976">
        <v>33</v>
      </c>
      <c r="H4976">
        <v>4</v>
      </c>
      <c r="I4976">
        <v>74595</v>
      </c>
      <c r="J4976">
        <v>13</v>
      </c>
      <c r="K4976">
        <v>67145</v>
      </c>
      <c r="L4976">
        <v>13</v>
      </c>
      <c r="M4976">
        <v>105</v>
      </c>
      <c r="N4976">
        <v>341</v>
      </c>
      <c r="O4976">
        <f t="shared" si="162"/>
        <v>2025</v>
      </c>
      <c r="P4976">
        <f t="shared" si="163"/>
        <v>10</v>
      </c>
      <c r="Q4976" t="s">
        <v>784</v>
      </c>
      <c r="R4976" t="s">
        <v>805</v>
      </c>
    </row>
    <row r="4977" spans="1:18" x14ac:dyDescent="0.3">
      <c r="A4977" t="s">
        <v>627</v>
      </c>
      <c r="B4977" s="16">
        <v>45945</v>
      </c>
      <c r="C4977" t="s">
        <v>3</v>
      </c>
      <c r="D4977" t="s">
        <v>152</v>
      </c>
      <c r="E4977">
        <v>19</v>
      </c>
      <c r="F4977">
        <v>11</v>
      </c>
      <c r="G4977">
        <v>1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5</v>
      </c>
      <c r="O4977">
        <f t="shared" si="162"/>
        <v>2025</v>
      </c>
      <c r="P4977">
        <f t="shared" si="163"/>
        <v>10</v>
      </c>
      <c r="Q4977" t="s">
        <v>784</v>
      </c>
      <c r="R4977" t="s">
        <v>805</v>
      </c>
    </row>
    <row r="4978" spans="1:18" x14ac:dyDescent="0.3">
      <c r="A4978" t="s">
        <v>627</v>
      </c>
      <c r="B4978" s="16">
        <v>45945</v>
      </c>
      <c r="C4978" t="s">
        <v>3</v>
      </c>
      <c r="D4978" t="s">
        <v>149</v>
      </c>
      <c r="E4978">
        <v>5</v>
      </c>
      <c r="F4978">
        <v>2</v>
      </c>
      <c r="G4978">
        <v>0</v>
      </c>
      <c r="H4978">
        <v>1</v>
      </c>
      <c r="I4978">
        <v>0</v>
      </c>
      <c r="J4978">
        <v>0</v>
      </c>
      <c r="K4978">
        <v>0</v>
      </c>
      <c r="L4978">
        <v>0</v>
      </c>
      <c r="M4978">
        <v>1</v>
      </c>
      <c r="N4978">
        <v>3</v>
      </c>
      <c r="O4978">
        <f t="shared" si="162"/>
        <v>2025</v>
      </c>
      <c r="P4978">
        <f t="shared" si="163"/>
        <v>10</v>
      </c>
      <c r="Q4978" t="s">
        <v>784</v>
      </c>
      <c r="R4978" t="s">
        <v>805</v>
      </c>
    </row>
    <row r="4979" spans="1:18" x14ac:dyDescent="0.3">
      <c r="A4979" t="s">
        <v>627</v>
      </c>
      <c r="B4979" s="16">
        <v>45945</v>
      </c>
      <c r="C4979" t="s">
        <v>3</v>
      </c>
      <c r="D4979" t="s">
        <v>148</v>
      </c>
      <c r="E4979">
        <v>2</v>
      </c>
      <c r="F4979">
        <v>1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2</v>
      </c>
      <c r="N4979">
        <v>0</v>
      </c>
      <c r="O4979">
        <f t="shared" si="162"/>
        <v>2025</v>
      </c>
      <c r="P4979">
        <f t="shared" si="163"/>
        <v>10</v>
      </c>
      <c r="Q4979" t="s">
        <v>784</v>
      </c>
      <c r="R4979" t="s">
        <v>805</v>
      </c>
    </row>
    <row r="4980" spans="1:18" x14ac:dyDescent="0.3">
      <c r="A4980" t="s">
        <v>627</v>
      </c>
      <c r="B4980" s="16">
        <v>45945</v>
      </c>
      <c r="C4980" t="s">
        <v>3</v>
      </c>
      <c r="D4980" t="s">
        <v>251</v>
      </c>
      <c r="E4980">
        <v>1773</v>
      </c>
      <c r="F4980">
        <v>1368</v>
      </c>
      <c r="G4980">
        <v>18</v>
      </c>
      <c r="H4980">
        <v>4</v>
      </c>
      <c r="I4980">
        <v>0</v>
      </c>
      <c r="J4980">
        <v>0</v>
      </c>
      <c r="K4980">
        <v>0</v>
      </c>
      <c r="L4980">
        <v>0</v>
      </c>
      <c r="M4980">
        <v>91</v>
      </c>
      <c r="N4980">
        <v>316</v>
      </c>
      <c r="O4980">
        <f t="shared" si="162"/>
        <v>2025</v>
      </c>
      <c r="P4980">
        <f t="shared" si="163"/>
        <v>10</v>
      </c>
      <c r="Q4980" t="s">
        <v>784</v>
      </c>
      <c r="R4980" t="s">
        <v>805</v>
      </c>
    </row>
    <row r="4981" spans="1:18" x14ac:dyDescent="0.3">
      <c r="A4981" t="s">
        <v>627</v>
      </c>
      <c r="B4981" s="16">
        <v>45945</v>
      </c>
      <c r="C4981" t="s">
        <v>3</v>
      </c>
      <c r="D4981" t="s">
        <v>143</v>
      </c>
      <c r="E4981">
        <v>2</v>
      </c>
      <c r="F4981">
        <v>1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2</v>
      </c>
      <c r="O4981">
        <f t="shared" si="162"/>
        <v>2025</v>
      </c>
      <c r="P4981">
        <f t="shared" si="163"/>
        <v>10</v>
      </c>
      <c r="Q4981" t="s">
        <v>784</v>
      </c>
      <c r="R4981" t="s">
        <v>805</v>
      </c>
    </row>
    <row r="4982" spans="1:18" x14ac:dyDescent="0.3">
      <c r="A4982" t="s">
        <v>627</v>
      </c>
      <c r="B4982" s="16">
        <v>45945</v>
      </c>
      <c r="C4982" t="s">
        <v>3</v>
      </c>
      <c r="D4982" t="s">
        <v>141</v>
      </c>
      <c r="E4982">
        <v>215</v>
      </c>
      <c r="F4982">
        <v>85</v>
      </c>
      <c r="G4982">
        <v>2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215</v>
      </c>
      <c r="O4982">
        <f t="shared" si="162"/>
        <v>2025</v>
      </c>
      <c r="P4982">
        <f t="shared" si="163"/>
        <v>10</v>
      </c>
      <c r="Q4982" t="s">
        <v>784</v>
      </c>
      <c r="R4982" t="s">
        <v>805</v>
      </c>
    </row>
    <row r="4983" spans="1:18" x14ac:dyDescent="0.3">
      <c r="A4983" t="s">
        <v>627</v>
      </c>
      <c r="B4983" s="16">
        <v>45945</v>
      </c>
      <c r="C4983" t="s">
        <v>3</v>
      </c>
      <c r="D4983" t="s">
        <v>140</v>
      </c>
      <c r="E4983">
        <v>6</v>
      </c>
      <c r="F4983">
        <v>4</v>
      </c>
      <c r="G4983">
        <v>1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3</v>
      </c>
      <c r="N4983">
        <v>5</v>
      </c>
      <c r="O4983">
        <f t="shared" si="162"/>
        <v>2025</v>
      </c>
      <c r="P4983">
        <f t="shared" si="163"/>
        <v>10</v>
      </c>
      <c r="Q4983" t="s">
        <v>784</v>
      </c>
      <c r="R4983" t="s">
        <v>805</v>
      </c>
    </row>
    <row r="4984" spans="1:18" x14ac:dyDescent="0.3">
      <c r="A4984" t="s">
        <v>627</v>
      </c>
      <c r="B4984" s="16">
        <v>45945</v>
      </c>
      <c r="C4984" t="s">
        <v>3</v>
      </c>
      <c r="D4984" t="s">
        <v>139</v>
      </c>
      <c r="E4984">
        <v>1674</v>
      </c>
      <c r="F4984">
        <v>692</v>
      </c>
      <c r="G4984">
        <v>41</v>
      </c>
      <c r="H4984">
        <v>8</v>
      </c>
      <c r="I4984">
        <v>57089.29</v>
      </c>
      <c r="J4984">
        <v>9</v>
      </c>
      <c r="K4984">
        <v>44849.29</v>
      </c>
      <c r="L4984">
        <v>8</v>
      </c>
      <c r="M4984">
        <v>334</v>
      </c>
      <c r="N4984">
        <v>672</v>
      </c>
      <c r="O4984">
        <f t="shared" si="162"/>
        <v>2025</v>
      </c>
      <c r="P4984">
        <f t="shared" si="163"/>
        <v>10</v>
      </c>
      <c r="Q4984" t="s">
        <v>784</v>
      </c>
      <c r="R4984" t="s">
        <v>805</v>
      </c>
    </row>
    <row r="4985" spans="1:18" x14ac:dyDescent="0.3">
      <c r="A4985" t="s">
        <v>627</v>
      </c>
      <c r="B4985" s="16">
        <v>45945</v>
      </c>
      <c r="C4985" t="s">
        <v>3</v>
      </c>
      <c r="D4985" t="s">
        <v>138</v>
      </c>
      <c r="E4985">
        <v>12</v>
      </c>
      <c r="F4985">
        <v>6</v>
      </c>
      <c r="G4985">
        <v>1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12</v>
      </c>
      <c r="O4985">
        <f t="shared" si="162"/>
        <v>2025</v>
      </c>
      <c r="P4985">
        <f t="shared" si="163"/>
        <v>10</v>
      </c>
      <c r="Q4985" t="s">
        <v>784</v>
      </c>
      <c r="R4985" t="s">
        <v>805</v>
      </c>
    </row>
    <row r="4986" spans="1:18" x14ac:dyDescent="0.3">
      <c r="A4986" t="s">
        <v>627</v>
      </c>
      <c r="B4986" s="16">
        <v>45945</v>
      </c>
      <c r="C4986" t="s">
        <v>3</v>
      </c>
      <c r="D4986" t="s">
        <v>133</v>
      </c>
      <c r="E4986">
        <v>20</v>
      </c>
      <c r="F4986">
        <v>16</v>
      </c>
      <c r="G4986">
        <v>1</v>
      </c>
      <c r="H4986">
        <v>0</v>
      </c>
      <c r="I4986">
        <v>2995</v>
      </c>
      <c r="J4986">
        <v>1</v>
      </c>
      <c r="K4986">
        <v>2995</v>
      </c>
      <c r="L4986">
        <v>1</v>
      </c>
      <c r="M4986">
        <v>2</v>
      </c>
      <c r="N4986">
        <v>19</v>
      </c>
      <c r="O4986">
        <f t="shared" si="162"/>
        <v>2025</v>
      </c>
      <c r="P4986">
        <f t="shared" si="163"/>
        <v>10</v>
      </c>
      <c r="Q4986" t="s">
        <v>784</v>
      </c>
      <c r="R4986" t="s">
        <v>805</v>
      </c>
    </row>
    <row r="4987" spans="1:18" x14ac:dyDescent="0.3">
      <c r="A4987" t="s">
        <v>627</v>
      </c>
      <c r="B4987" s="16">
        <v>45945</v>
      </c>
      <c r="C4987" t="s">
        <v>3</v>
      </c>
      <c r="D4987" t="s">
        <v>130</v>
      </c>
      <c r="E4987">
        <v>135</v>
      </c>
      <c r="F4987">
        <v>51</v>
      </c>
      <c r="G4987">
        <v>7</v>
      </c>
      <c r="H4987">
        <v>0</v>
      </c>
      <c r="I4987">
        <v>8392.1299999999992</v>
      </c>
      <c r="J4987">
        <v>3</v>
      </c>
      <c r="K4987">
        <v>8392.1299999999992</v>
      </c>
      <c r="L4987">
        <v>3</v>
      </c>
      <c r="M4987">
        <v>50</v>
      </c>
      <c r="N4987">
        <v>115</v>
      </c>
      <c r="O4987">
        <f t="shared" si="162"/>
        <v>2025</v>
      </c>
      <c r="P4987">
        <f t="shared" si="163"/>
        <v>10</v>
      </c>
      <c r="Q4987" t="s">
        <v>784</v>
      </c>
      <c r="R4987" t="s">
        <v>805</v>
      </c>
    </row>
    <row r="4988" spans="1:18" x14ac:dyDescent="0.3">
      <c r="A4988" t="s">
        <v>627</v>
      </c>
      <c r="B4988" s="16">
        <v>45945</v>
      </c>
      <c r="C4988" t="s">
        <v>3</v>
      </c>
      <c r="D4988" t="s">
        <v>128</v>
      </c>
      <c r="E4988">
        <v>686</v>
      </c>
      <c r="F4988">
        <v>524</v>
      </c>
      <c r="G4988">
        <v>27</v>
      </c>
      <c r="H4988">
        <v>7</v>
      </c>
      <c r="I4988">
        <v>23350</v>
      </c>
      <c r="J4988">
        <v>3</v>
      </c>
      <c r="K4988">
        <v>16570</v>
      </c>
      <c r="L4988">
        <v>2</v>
      </c>
      <c r="M4988">
        <v>160</v>
      </c>
      <c r="N4988">
        <v>632</v>
      </c>
      <c r="O4988">
        <f t="shared" si="162"/>
        <v>2025</v>
      </c>
      <c r="P4988">
        <f t="shared" si="163"/>
        <v>10</v>
      </c>
      <c r="Q4988" t="s">
        <v>784</v>
      </c>
      <c r="R4988" t="s">
        <v>805</v>
      </c>
    </row>
    <row r="4989" spans="1:18" x14ac:dyDescent="0.3">
      <c r="A4989" t="s">
        <v>627</v>
      </c>
      <c r="B4989" s="16">
        <v>45945</v>
      </c>
      <c r="C4989" t="s">
        <v>3</v>
      </c>
      <c r="D4989" t="s">
        <v>127</v>
      </c>
      <c r="E4989">
        <v>3884</v>
      </c>
      <c r="F4989">
        <v>1824</v>
      </c>
      <c r="G4989">
        <v>85</v>
      </c>
      <c r="H4989">
        <v>24</v>
      </c>
      <c r="I4989">
        <v>46230</v>
      </c>
      <c r="J4989">
        <v>10</v>
      </c>
      <c r="K4989">
        <v>42240</v>
      </c>
      <c r="L4989">
        <v>9</v>
      </c>
      <c r="M4989">
        <v>382</v>
      </c>
      <c r="N4989">
        <v>3825</v>
      </c>
      <c r="O4989">
        <f t="shared" si="162"/>
        <v>2025</v>
      </c>
      <c r="P4989">
        <f t="shared" si="163"/>
        <v>10</v>
      </c>
      <c r="Q4989" t="s">
        <v>784</v>
      </c>
      <c r="R4989" t="s">
        <v>805</v>
      </c>
    </row>
    <row r="4990" spans="1:18" x14ac:dyDescent="0.3">
      <c r="A4990" t="s">
        <v>627</v>
      </c>
      <c r="B4990" s="16">
        <v>45945</v>
      </c>
      <c r="C4990" t="s">
        <v>3</v>
      </c>
      <c r="D4990" t="s">
        <v>126</v>
      </c>
      <c r="E4990">
        <v>83</v>
      </c>
      <c r="F4990">
        <v>58</v>
      </c>
      <c r="G4990">
        <v>4</v>
      </c>
      <c r="H4990">
        <v>3</v>
      </c>
      <c r="I4990">
        <v>0</v>
      </c>
      <c r="J4990">
        <v>0</v>
      </c>
      <c r="K4990">
        <v>0</v>
      </c>
      <c r="L4990">
        <v>0</v>
      </c>
      <c r="M4990">
        <v>17</v>
      </c>
      <c r="N4990">
        <v>76</v>
      </c>
      <c r="O4990">
        <f t="shared" si="162"/>
        <v>2025</v>
      </c>
      <c r="P4990">
        <f t="shared" si="163"/>
        <v>10</v>
      </c>
      <c r="Q4990" t="s">
        <v>784</v>
      </c>
      <c r="R4990" t="s">
        <v>805</v>
      </c>
    </row>
    <row r="4991" spans="1:18" x14ac:dyDescent="0.3">
      <c r="A4991" t="s">
        <v>627</v>
      </c>
      <c r="B4991" s="16">
        <v>45945</v>
      </c>
      <c r="C4991" t="s">
        <v>3</v>
      </c>
      <c r="D4991" t="s">
        <v>123</v>
      </c>
      <c r="E4991">
        <v>61</v>
      </c>
      <c r="F4991">
        <v>26</v>
      </c>
      <c r="G4991">
        <v>4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53</v>
      </c>
      <c r="N4991">
        <v>27</v>
      </c>
      <c r="O4991">
        <f t="shared" si="162"/>
        <v>2025</v>
      </c>
      <c r="P4991">
        <f t="shared" si="163"/>
        <v>10</v>
      </c>
      <c r="Q4991" t="s">
        <v>784</v>
      </c>
      <c r="R4991" t="s">
        <v>805</v>
      </c>
    </row>
    <row r="4992" spans="1:18" x14ac:dyDescent="0.3">
      <c r="A4992" t="s">
        <v>627</v>
      </c>
      <c r="B4992" s="16">
        <v>45945</v>
      </c>
      <c r="C4992" t="s">
        <v>3</v>
      </c>
      <c r="D4992" t="s">
        <v>119</v>
      </c>
      <c r="E4992">
        <v>204</v>
      </c>
      <c r="F4992">
        <v>65</v>
      </c>
      <c r="G4992">
        <v>12</v>
      </c>
      <c r="H4992">
        <v>7</v>
      </c>
      <c r="I4992">
        <v>15855</v>
      </c>
      <c r="J4992">
        <v>4</v>
      </c>
      <c r="K4992">
        <v>15855</v>
      </c>
      <c r="L4992">
        <v>4</v>
      </c>
      <c r="M4992">
        <v>37</v>
      </c>
      <c r="N4992">
        <v>199</v>
      </c>
      <c r="O4992">
        <f t="shared" si="162"/>
        <v>2025</v>
      </c>
      <c r="P4992">
        <f t="shared" si="163"/>
        <v>10</v>
      </c>
      <c r="Q4992" t="s">
        <v>784</v>
      </c>
      <c r="R4992" t="s">
        <v>805</v>
      </c>
    </row>
    <row r="4993" spans="1:18" x14ac:dyDescent="0.3">
      <c r="A4993" t="s">
        <v>627</v>
      </c>
      <c r="B4993" s="16">
        <v>45945</v>
      </c>
      <c r="C4993" t="s">
        <v>3</v>
      </c>
      <c r="D4993" t="s">
        <v>391</v>
      </c>
      <c r="E4993">
        <v>437</v>
      </c>
      <c r="F4993">
        <v>255</v>
      </c>
      <c r="G4993">
        <v>14</v>
      </c>
      <c r="H4993">
        <v>3</v>
      </c>
      <c r="I4993">
        <v>2206</v>
      </c>
      <c r="J4993">
        <v>3</v>
      </c>
      <c r="K4993">
        <v>2206</v>
      </c>
      <c r="L4993">
        <v>3</v>
      </c>
      <c r="M4993">
        <v>66</v>
      </c>
      <c r="N4993">
        <v>433</v>
      </c>
      <c r="O4993">
        <f t="shared" si="162"/>
        <v>2025</v>
      </c>
      <c r="P4993">
        <f t="shared" si="163"/>
        <v>10</v>
      </c>
      <c r="Q4993" t="s">
        <v>784</v>
      </c>
      <c r="R4993" t="s">
        <v>805</v>
      </c>
    </row>
    <row r="4994" spans="1:18" x14ac:dyDescent="0.3">
      <c r="A4994" t="s">
        <v>627</v>
      </c>
      <c r="B4994" s="16">
        <v>45945</v>
      </c>
      <c r="C4994" t="s">
        <v>3</v>
      </c>
      <c r="D4994" t="s">
        <v>113</v>
      </c>
      <c r="E4994">
        <v>113</v>
      </c>
      <c r="F4994">
        <v>58</v>
      </c>
      <c r="G4994">
        <v>6</v>
      </c>
      <c r="H4994">
        <v>1</v>
      </c>
      <c r="I4994">
        <v>0</v>
      </c>
      <c r="J4994">
        <v>0</v>
      </c>
      <c r="K4994">
        <v>0</v>
      </c>
      <c r="L4994">
        <v>0</v>
      </c>
      <c r="M4994">
        <v>90</v>
      </c>
      <c r="N4994">
        <v>57</v>
      </c>
      <c r="O4994">
        <f t="shared" si="162"/>
        <v>2025</v>
      </c>
      <c r="P4994">
        <f t="shared" si="163"/>
        <v>10</v>
      </c>
      <c r="Q4994" t="s">
        <v>784</v>
      </c>
      <c r="R4994" t="s">
        <v>805</v>
      </c>
    </row>
    <row r="4995" spans="1:18" x14ac:dyDescent="0.3">
      <c r="A4995" t="s">
        <v>627</v>
      </c>
      <c r="B4995" s="16">
        <v>45945</v>
      </c>
      <c r="C4995" t="s">
        <v>3</v>
      </c>
      <c r="D4995" t="s">
        <v>112</v>
      </c>
      <c r="E4995">
        <v>47</v>
      </c>
      <c r="F4995">
        <v>7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47</v>
      </c>
      <c r="O4995">
        <f t="shared" si="162"/>
        <v>2025</v>
      </c>
      <c r="P4995">
        <f t="shared" si="163"/>
        <v>10</v>
      </c>
      <c r="Q4995" t="s">
        <v>784</v>
      </c>
      <c r="R4995" t="s">
        <v>805</v>
      </c>
    </row>
    <row r="4996" spans="1:18" x14ac:dyDescent="0.3">
      <c r="A4996" t="s">
        <v>627</v>
      </c>
      <c r="B4996" s="16">
        <v>45944</v>
      </c>
      <c r="C4996" t="s">
        <v>2</v>
      </c>
      <c r="D4996" t="s">
        <v>4</v>
      </c>
      <c r="E4996">
        <v>237</v>
      </c>
      <c r="F4996">
        <v>41</v>
      </c>
      <c r="G4996">
        <v>1</v>
      </c>
      <c r="H4996">
        <v>3</v>
      </c>
      <c r="I4996">
        <v>2990</v>
      </c>
      <c r="J4996">
        <v>1</v>
      </c>
      <c r="K4996">
        <v>0</v>
      </c>
      <c r="L4996">
        <v>0</v>
      </c>
      <c r="M4996">
        <v>5</v>
      </c>
      <c r="N4996">
        <v>235</v>
      </c>
      <c r="O4996">
        <f t="shared" si="162"/>
        <v>2025</v>
      </c>
      <c r="P4996">
        <f t="shared" si="163"/>
        <v>10</v>
      </c>
      <c r="Q4996" t="s">
        <v>784</v>
      </c>
      <c r="R4996" t="s">
        <v>805</v>
      </c>
    </row>
    <row r="4997" spans="1:18" x14ac:dyDescent="0.3">
      <c r="A4997" t="s">
        <v>627</v>
      </c>
      <c r="B4997" s="16">
        <v>45944</v>
      </c>
      <c r="C4997" t="s">
        <v>2</v>
      </c>
      <c r="D4997" t="s">
        <v>57</v>
      </c>
      <c r="E4997">
        <v>24455</v>
      </c>
      <c r="F4997">
        <v>12798</v>
      </c>
      <c r="G4997">
        <v>163</v>
      </c>
      <c r="H4997">
        <v>101</v>
      </c>
      <c r="I4997">
        <v>142390</v>
      </c>
      <c r="J4997">
        <v>16</v>
      </c>
      <c r="K4997">
        <v>59380</v>
      </c>
      <c r="L4997">
        <v>11</v>
      </c>
      <c r="M4997">
        <v>1462</v>
      </c>
      <c r="N4997">
        <v>24038</v>
      </c>
      <c r="O4997">
        <f t="shared" si="162"/>
        <v>2025</v>
      </c>
      <c r="P4997">
        <f t="shared" si="163"/>
        <v>10</v>
      </c>
      <c r="Q4997" t="s">
        <v>784</v>
      </c>
      <c r="R4997" t="s">
        <v>805</v>
      </c>
    </row>
    <row r="4998" spans="1:18" x14ac:dyDescent="0.3">
      <c r="A4998" t="s">
        <v>627</v>
      </c>
      <c r="B4998" s="16">
        <v>45944</v>
      </c>
      <c r="C4998" t="s">
        <v>2</v>
      </c>
      <c r="D4998" t="s">
        <v>52</v>
      </c>
      <c r="E4998">
        <v>1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1</v>
      </c>
      <c r="O4998">
        <f t="shared" si="162"/>
        <v>2025</v>
      </c>
      <c r="P4998">
        <f t="shared" si="163"/>
        <v>10</v>
      </c>
      <c r="Q4998" t="s">
        <v>784</v>
      </c>
      <c r="R4998" t="s">
        <v>805</v>
      </c>
    </row>
    <row r="4999" spans="1:18" x14ac:dyDescent="0.3">
      <c r="A4999" t="s">
        <v>627</v>
      </c>
      <c r="B4999" s="16">
        <v>45944</v>
      </c>
      <c r="C4999" t="s">
        <v>2</v>
      </c>
      <c r="D4999" t="s">
        <v>55</v>
      </c>
      <c r="E4999">
        <v>1858</v>
      </c>
      <c r="F4999">
        <v>1175</v>
      </c>
      <c r="G4999">
        <v>11</v>
      </c>
      <c r="H4999">
        <v>2</v>
      </c>
      <c r="I4999">
        <v>0</v>
      </c>
      <c r="J4999">
        <v>0</v>
      </c>
      <c r="K4999">
        <v>0</v>
      </c>
      <c r="L4999">
        <v>0</v>
      </c>
      <c r="M4999">
        <v>36</v>
      </c>
      <c r="N4999">
        <v>611</v>
      </c>
      <c r="O4999">
        <f t="shared" si="162"/>
        <v>2025</v>
      </c>
      <c r="P4999">
        <f t="shared" si="163"/>
        <v>10</v>
      </c>
      <c r="Q4999" t="s">
        <v>784</v>
      </c>
      <c r="R4999" t="s">
        <v>805</v>
      </c>
    </row>
    <row r="5000" spans="1:18" x14ac:dyDescent="0.3">
      <c r="A5000" t="s">
        <v>627</v>
      </c>
      <c r="B5000" s="16">
        <v>45944</v>
      </c>
      <c r="C5000" t="s">
        <v>3</v>
      </c>
      <c r="D5000" t="s">
        <v>155</v>
      </c>
      <c r="E5000">
        <v>58</v>
      </c>
      <c r="F5000">
        <v>17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58</v>
      </c>
      <c r="O5000">
        <f t="shared" si="162"/>
        <v>2025</v>
      </c>
      <c r="P5000">
        <f t="shared" si="163"/>
        <v>10</v>
      </c>
      <c r="Q5000" t="s">
        <v>784</v>
      </c>
      <c r="R5000" t="s">
        <v>805</v>
      </c>
    </row>
    <row r="5001" spans="1:18" x14ac:dyDescent="0.3">
      <c r="A5001" t="s">
        <v>627</v>
      </c>
      <c r="B5001" s="16">
        <v>45944</v>
      </c>
      <c r="C5001" t="s">
        <v>3</v>
      </c>
      <c r="D5001" t="s">
        <v>154</v>
      </c>
      <c r="E5001">
        <v>157</v>
      </c>
      <c r="F5001">
        <v>132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f t="shared" ref="O5001:O5064" si="164">YEAR(B5001)</f>
        <v>2025</v>
      </c>
      <c r="P5001">
        <f t="shared" ref="P5001:P5064" si="165">MONTH(B5001)</f>
        <v>10</v>
      </c>
      <c r="Q5001" t="s">
        <v>784</v>
      </c>
      <c r="R5001" t="s">
        <v>805</v>
      </c>
    </row>
    <row r="5002" spans="1:18" x14ac:dyDescent="0.3">
      <c r="A5002" t="s">
        <v>627</v>
      </c>
      <c r="B5002" s="16">
        <v>45944</v>
      </c>
      <c r="C5002" t="s">
        <v>3</v>
      </c>
      <c r="D5002" t="s">
        <v>153</v>
      </c>
      <c r="E5002">
        <v>278</v>
      </c>
      <c r="F5002">
        <v>44</v>
      </c>
      <c r="G5002">
        <v>23</v>
      </c>
      <c r="H5002">
        <v>3</v>
      </c>
      <c r="I5002">
        <v>66820</v>
      </c>
      <c r="J5002">
        <v>16</v>
      </c>
      <c r="K5002">
        <v>61830</v>
      </c>
      <c r="L5002">
        <v>15</v>
      </c>
      <c r="M5002">
        <v>67</v>
      </c>
      <c r="N5002">
        <v>273</v>
      </c>
      <c r="O5002">
        <f t="shared" si="164"/>
        <v>2025</v>
      </c>
      <c r="P5002">
        <f t="shared" si="165"/>
        <v>10</v>
      </c>
      <c r="Q5002" t="s">
        <v>784</v>
      </c>
      <c r="R5002" t="s">
        <v>805</v>
      </c>
    </row>
    <row r="5003" spans="1:18" x14ac:dyDescent="0.3">
      <c r="A5003" t="s">
        <v>627</v>
      </c>
      <c r="B5003" s="16">
        <v>45944</v>
      </c>
      <c r="C5003" t="s">
        <v>3</v>
      </c>
      <c r="D5003" t="s">
        <v>152</v>
      </c>
      <c r="E5003">
        <v>16</v>
      </c>
      <c r="F5003">
        <v>5</v>
      </c>
      <c r="G5003">
        <v>0</v>
      </c>
      <c r="H5003">
        <v>0</v>
      </c>
      <c r="I5003">
        <v>3990</v>
      </c>
      <c r="J5003">
        <v>1</v>
      </c>
      <c r="K5003">
        <v>3990</v>
      </c>
      <c r="L5003">
        <v>1</v>
      </c>
      <c r="M5003">
        <v>1</v>
      </c>
      <c r="N5003">
        <v>14</v>
      </c>
      <c r="O5003">
        <f t="shared" si="164"/>
        <v>2025</v>
      </c>
      <c r="P5003">
        <f t="shared" si="165"/>
        <v>10</v>
      </c>
      <c r="Q5003" t="s">
        <v>784</v>
      </c>
      <c r="R5003" t="s">
        <v>805</v>
      </c>
    </row>
    <row r="5004" spans="1:18" x14ac:dyDescent="0.3">
      <c r="A5004" t="s">
        <v>627</v>
      </c>
      <c r="B5004" s="16">
        <v>45944</v>
      </c>
      <c r="C5004" t="s">
        <v>3</v>
      </c>
      <c r="D5004" t="s">
        <v>149</v>
      </c>
      <c r="E5004">
        <v>8</v>
      </c>
      <c r="F5004">
        <v>3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4</v>
      </c>
      <c r="O5004">
        <f t="shared" si="164"/>
        <v>2025</v>
      </c>
      <c r="P5004">
        <f t="shared" si="165"/>
        <v>10</v>
      </c>
      <c r="Q5004" t="s">
        <v>784</v>
      </c>
      <c r="R5004" t="s">
        <v>805</v>
      </c>
    </row>
    <row r="5005" spans="1:18" x14ac:dyDescent="0.3">
      <c r="A5005" t="s">
        <v>627</v>
      </c>
      <c r="B5005" s="16">
        <v>45944</v>
      </c>
      <c r="C5005" t="s">
        <v>3</v>
      </c>
      <c r="D5005" t="s">
        <v>148</v>
      </c>
      <c r="E5005">
        <v>1</v>
      </c>
      <c r="F5005">
        <v>1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1</v>
      </c>
      <c r="N5005">
        <v>0</v>
      </c>
      <c r="O5005">
        <f t="shared" si="164"/>
        <v>2025</v>
      </c>
      <c r="P5005">
        <f t="shared" si="165"/>
        <v>10</v>
      </c>
      <c r="Q5005" t="s">
        <v>784</v>
      </c>
      <c r="R5005" t="s">
        <v>805</v>
      </c>
    </row>
    <row r="5006" spans="1:18" x14ac:dyDescent="0.3">
      <c r="A5006" t="s">
        <v>627</v>
      </c>
      <c r="B5006" s="16">
        <v>45944</v>
      </c>
      <c r="C5006" t="s">
        <v>3</v>
      </c>
      <c r="D5006" t="s">
        <v>251</v>
      </c>
      <c r="E5006">
        <v>5070</v>
      </c>
      <c r="F5006">
        <v>4709</v>
      </c>
      <c r="G5006">
        <v>8</v>
      </c>
      <c r="H5006">
        <v>6</v>
      </c>
      <c r="I5006">
        <v>17345</v>
      </c>
      <c r="J5006">
        <v>4</v>
      </c>
      <c r="K5006">
        <v>17345</v>
      </c>
      <c r="L5006">
        <v>4</v>
      </c>
      <c r="M5006">
        <v>95</v>
      </c>
      <c r="N5006">
        <v>250</v>
      </c>
      <c r="O5006">
        <f t="shared" si="164"/>
        <v>2025</v>
      </c>
      <c r="P5006">
        <f t="shared" si="165"/>
        <v>10</v>
      </c>
      <c r="Q5006" t="s">
        <v>784</v>
      </c>
      <c r="R5006" t="s">
        <v>805</v>
      </c>
    </row>
    <row r="5007" spans="1:18" x14ac:dyDescent="0.3">
      <c r="A5007" t="s">
        <v>627</v>
      </c>
      <c r="B5007" s="16">
        <v>45944</v>
      </c>
      <c r="C5007" t="s">
        <v>3</v>
      </c>
      <c r="D5007" t="s">
        <v>143</v>
      </c>
      <c r="E5007">
        <v>1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1</v>
      </c>
      <c r="O5007">
        <f t="shared" si="164"/>
        <v>2025</v>
      </c>
      <c r="P5007">
        <f t="shared" si="165"/>
        <v>10</v>
      </c>
      <c r="Q5007" t="s">
        <v>784</v>
      </c>
      <c r="R5007" t="s">
        <v>805</v>
      </c>
    </row>
    <row r="5008" spans="1:18" x14ac:dyDescent="0.3">
      <c r="A5008" t="s">
        <v>627</v>
      </c>
      <c r="B5008" s="16">
        <v>45944</v>
      </c>
      <c r="C5008" t="s">
        <v>3</v>
      </c>
      <c r="D5008" t="s">
        <v>141</v>
      </c>
      <c r="E5008">
        <v>209</v>
      </c>
      <c r="F5008">
        <v>76</v>
      </c>
      <c r="G5008">
        <v>1</v>
      </c>
      <c r="H5008">
        <v>1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209</v>
      </c>
      <c r="O5008">
        <f t="shared" si="164"/>
        <v>2025</v>
      </c>
      <c r="P5008">
        <f t="shared" si="165"/>
        <v>10</v>
      </c>
      <c r="Q5008" t="s">
        <v>784</v>
      </c>
      <c r="R5008" t="s">
        <v>805</v>
      </c>
    </row>
    <row r="5009" spans="1:18" x14ac:dyDescent="0.3">
      <c r="A5009" t="s">
        <v>627</v>
      </c>
      <c r="B5009" s="16">
        <v>45944</v>
      </c>
      <c r="C5009" t="s">
        <v>3</v>
      </c>
      <c r="D5009" t="s">
        <v>140</v>
      </c>
      <c r="E5009">
        <v>9</v>
      </c>
      <c r="F5009">
        <v>9</v>
      </c>
      <c r="G5009">
        <v>1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9</v>
      </c>
      <c r="O5009">
        <f t="shared" si="164"/>
        <v>2025</v>
      </c>
      <c r="P5009">
        <f t="shared" si="165"/>
        <v>10</v>
      </c>
      <c r="Q5009" t="s">
        <v>784</v>
      </c>
      <c r="R5009" t="s">
        <v>805</v>
      </c>
    </row>
    <row r="5010" spans="1:18" x14ac:dyDescent="0.3">
      <c r="A5010" t="s">
        <v>627</v>
      </c>
      <c r="B5010" s="16">
        <v>45944</v>
      </c>
      <c r="C5010" t="s">
        <v>3</v>
      </c>
      <c r="D5010" t="s">
        <v>139</v>
      </c>
      <c r="E5010">
        <v>1099</v>
      </c>
      <c r="F5010">
        <v>467</v>
      </c>
      <c r="G5010">
        <v>38</v>
      </c>
      <c r="H5010">
        <v>15</v>
      </c>
      <c r="I5010">
        <v>62140</v>
      </c>
      <c r="J5010">
        <v>10</v>
      </c>
      <c r="K5010">
        <v>52210</v>
      </c>
      <c r="L5010">
        <v>9</v>
      </c>
      <c r="M5010">
        <v>289</v>
      </c>
      <c r="N5010">
        <v>692</v>
      </c>
      <c r="O5010">
        <f t="shared" si="164"/>
        <v>2025</v>
      </c>
      <c r="P5010">
        <f t="shared" si="165"/>
        <v>10</v>
      </c>
      <c r="Q5010" t="s">
        <v>784</v>
      </c>
      <c r="R5010" t="s">
        <v>805</v>
      </c>
    </row>
    <row r="5011" spans="1:18" x14ac:dyDescent="0.3">
      <c r="A5011" t="s">
        <v>627</v>
      </c>
      <c r="B5011" s="16">
        <v>45944</v>
      </c>
      <c r="C5011" t="s">
        <v>3</v>
      </c>
      <c r="D5011" t="s">
        <v>138</v>
      </c>
      <c r="E5011">
        <v>2</v>
      </c>
      <c r="F5011">
        <v>1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1</v>
      </c>
      <c r="N5011">
        <v>2</v>
      </c>
      <c r="O5011">
        <f t="shared" si="164"/>
        <v>2025</v>
      </c>
      <c r="P5011">
        <f t="shared" si="165"/>
        <v>10</v>
      </c>
      <c r="Q5011" t="s">
        <v>784</v>
      </c>
      <c r="R5011" t="s">
        <v>805</v>
      </c>
    </row>
    <row r="5012" spans="1:18" x14ac:dyDescent="0.3">
      <c r="A5012" t="s">
        <v>627</v>
      </c>
      <c r="B5012" s="16">
        <v>45944</v>
      </c>
      <c r="C5012" t="s">
        <v>3</v>
      </c>
      <c r="D5012" t="s">
        <v>133</v>
      </c>
      <c r="E5012">
        <v>8</v>
      </c>
      <c r="F5012">
        <v>6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2</v>
      </c>
      <c r="N5012">
        <v>6</v>
      </c>
      <c r="O5012">
        <f t="shared" si="164"/>
        <v>2025</v>
      </c>
      <c r="P5012">
        <f t="shared" si="165"/>
        <v>10</v>
      </c>
      <c r="Q5012" t="s">
        <v>784</v>
      </c>
      <c r="R5012" t="s">
        <v>805</v>
      </c>
    </row>
    <row r="5013" spans="1:18" x14ac:dyDescent="0.3">
      <c r="A5013" t="s">
        <v>627</v>
      </c>
      <c r="B5013" s="16">
        <v>45944</v>
      </c>
      <c r="C5013" t="s">
        <v>3</v>
      </c>
      <c r="D5013" t="s">
        <v>130</v>
      </c>
      <c r="E5013">
        <v>89</v>
      </c>
      <c r="F5013">
        <v>38</v>
      </c>
      <c r="G5013">
        <v>6</v>
      </c>
      <c r="H5013">
        <v>3</v>
      </c>
      <c r="I5013">
        <v>12970</v>
      </c>
      <c r="J5013">
        <v>2</v>
      </c>
      <c r="K5013">
        <v>8980</v>
      </c>
      <c r="L5013">
        <v>1</v>
      </c>
      <c r="M5013">
        <v>49</v>
      </c>
      <c r="N5013">
        <v>69</v>
      </c>
      <c r="O5013">
        <f t="shared" si="164"/>
        <v>2025</v>
      </c>
      <c r="P5013">
        <f t="shared" si="165"/>
        <v>10</v>
      </c>
      <c r="Q5013" t="s">
        <v>784</v>
      </c>
      <c r="R5013" t="s">
        <v>805</v>
      </c>
    </row>
    <row r="5014" spans="1:18" x14ac:dyDescent="0.3">
      <c r="A5014" t="s">
        <v>627</v>
      </c>
      <c r="B5014" s="16">
        <v>45944</v>
      </c>
      <c r="C5014" t="s">
        <v>3</v>
      </c>
      <c r="D5014" t="s">
        <v>128</v>
      </c>
      <c r="E5014">
        <v>1040</v>
      </c>
      <c r="F5014">
        <v>888</v>
      </c>
      <c r="G5014">
        <v>22</v>
      </c>
      <c r="H5014">
        <v>5</v>
      </c>
      <c r="I5014">
        <v>24800</v>
      </c>
      <c r="J5014">
        <v>3</v>
      </c>
      <c r="K5014">
        <v>2050</v>
      </c>
      <c r="L5014">
        <v>1</v>
      </c>
      <c r="M5014">
        <v>167</v>
      </c>
      <c r="N5014">
        <v>981</v>
      </c>
      <c r="O5014">
        <f t="shared" si="164"/>
        <v>2025</v>
      </c>
      <c r="P5014">
        <f t="shared" si="165"/>
        <v>10</v>
      </c>
      <c r="Q5014" t="s">
        <v>784</v>
      </c>
      <c r="R5014" t="s">
        <v>805</v>
      </c>
    </row>
    <row r="5015" spans="1:18" x14ac:dyDescent="0.3">
      <c r="A5015" t="s">
        <v>627</v>
      </c>
      <c r="B5015" s="16">
        <v>45944</v>
      </c>
      <c r="C5015" t="s">
        <v>3</v>
      </c>
      <c r="D5015" t="s">
        <v>127</v>
      </c>
      <c r="E5015">
        <v>3859</v>
      </c>
      <c r="F5015">
        <v>1742</v>
      </c>
      <c r="G5015">
        <v>89</v>
      </c>
      <c r="H5015">
        <v>27</v>
      </c>
      <c r="I5015">
        <v>98046.96</v>
      </c>
      <c r="J5015">
        <v>17</v>
      </c>
      <c r="K5015">
        <v>82136.960000000006</v>
      </c>
      <c r="L5015">
        <v>14</v>
      </c>
      <c r="M5015">
        <v>346</v>
      </c>
      <c r="N5015">
        <v>3806</v>
      </c>
      <c r="O5015">
        <f t="shared" si="164"/>
        <v>2025</v>
      </c>
      <c r="P5015">
        <f t="shared" si="165"/>
        <v>10</v>
      </c>
      <c r="Q5015" t="s">
        <v>784</v>
      </c>
      <c r="R5015" t="s">
        <v>805</v>
      </c>
    </row>
    <row r="5016" spans="1:18" x14ac:dyDescent="0.3">
      <c r="A5016" t="s">
        <v>627</v>
      </c>
      <c r="B5016" s="16">
        <v>45944</v>
      </c>
      <c r="C5016" t="s">
        <v>3</v>
      </c>
      <c r="D5016" t="s">
        <v>126</v>
      </c>
      <c r="E5016">
        <v>84</v>
      </c>
      <c r="F5016">
        <v>55</v>
      </c>
      <c r="G5016">
        <v>4</v>
      </c>
      <c r="H5016">
        <v>0</v>
      </c>
      <c r="I5016">
        <v>3990</v>
      </c>
      <c r="J5016">
        <v>1</v>
      </c>
      <c r="K5016">
        <v>3990</v>
      </c>
      <c r="L5016">
        <v>1</v>
      </c>
      <c r="M5016">
        <v>9</v>
      </c>
      <c r="N5016">
        <v>78</v>
      </c>
      <c r="O5016">
        <f t="shared" si="164"/>
        <v>2025</v>
      </c>
      <c r="P5016">
        <f t="shared" si="165"/>
        <v>10</v>
      </c>
      <c r="Q5016" t="s">
        <v>784</v>
      </c>
      <c r="R5016" t="s">
        <v>805</v>
      </c>
    </row>
    <row r="5017" spans="1:18" x14ac:dyDescent="0.3">
      <c r="A5017" t="s">
        <v>627</v>
      </c>
      <c r="B5017" s="16">
        <v>45944</v>
      </c>
      <c r="C5017" t="s">
        <v>3</v>
      </c>
      <c r="D5017" t="s">
        <v>123</v>
      </c>
      <c r="E5017">
        <v>36</v>
      </c>
      <c r="F5017">
        <v>25</v>
      </c>
      <c r="G5017">
        <v>2</v>
      </c>
      <c r="H5017">
        <v>1</v>
      </c>
      <c r="I5017">
        <v>0</v>
      </c>
      <c r="J5017">
        <v>0</v>
      </c>
      <c r="K5017">
        <v>0</v>
      </c>
      <c r="L5017">
        <v>0</v>
      </c>
      <c r="M5017">
        <v>32</v>
      </c>
      <c r="N5017">
        <v>13</v>
      </c>
      <c r="O5017">
        <f t="shared" si="164"/>
        <v>2025</v>
      </c>
      <c r="P5017">
        <f t="shared" si="165"/>
        <v>10</v>
      </c>
      <c r="Q5017" t="s">
        <v>784</v>
      </c>
      <c r="R5017" t="s">
        <v>805</v>
      </c>
    </row>
    <row r="5018" spans="1:18" x14ac:dyDescent="0.3">
      <c r="A5018" t="s">
        <v>627</v>
      </c>
      <c r="B5018" s="16">
        <v>45944</v>
      </c>
      <c r="C5018" t="s">
        <v>3</v>
      </c>
      <c r="D5018" t="s">
        <v>119</v>
      </c>
      <c r="E5018">
        <v>159</v>
      </c>
      <c r="F5018">
        <v>59</v>
      </c>
      <c r="G5018">
        <v>10</v>
      </c>
      <c r="H5018">
        <v>2</v>
      </c>
      <c r="I5018">
        <v>120010</v>
      </c>
      <c r="J5018">
        <v>11</v>
      </c>
      <c r="K5018">
        <v>62630</v>
      </c>
      <c r="L5018">
        <v>9</v>
      </c>
      <c r="M5018">
        <v>31</v>
      </c>
      <c r="N5018">
        <v>155</v>
      </c>
      <c r="O5018">
        <f t="shared" si="164"/>
        <v>2025</v>
      </c>
      <c r="P5018">
        <f t="shared" si="165"/>
        <v>10</v>
      </c>
      <c r="Q5018" t="s">
        <v>784</v>
      </c>
      <c r="R5018" t="s">
        <v>805</v>
      </c>
    </row>
    <row r="5019" spans="1:18" x14ac:dyDescent="0.3">
      <c r="A5019" t="s">
        <v>627</v>
      </c>
      <c r="B5019" s="16">
        <v>45944</v>
      </c>
      <c r="C5019" t="s">
        <v>3</v>
      </c>
      <c r="D5019" t="s">
        <v>391</v>
      </c>
      <c r="E5019">
        <v>387</v>
      </c>
      <c r="F5019">
        <v>235</v>
      </c>
      <c r="G5019">
        <v>11</v>
      </c>
      <c r="H5019">
        <v>1</v>
      </c>
      <c r="I5019">
        <v>7980</v>
      </c>
      <c r="J5019">
        <v>1</v>
      </c>
      <c r="K5019">
        <v>7980</v>
      </c>
      <c r="L5019">
        <v>1</v>
      </c>
      <c r="M5019">
        <v>56</v>
      </c>
      <c r="N5019">
        <v>379</v>
      </c>
      <c r="O5019">
        <f t="shared" si="164"/>
        <v>2025</v>
      </c>
      <c r="P5019">
        <f t="shared" si="165"/>
        <v>10</v>
      </c>
      <c r="Q5019" t="s">
        <v>784</v>
      </c>
      <c r="R5019" t="s">
        <v>805</v>
      </c>
    </row>
    <row r="5020" spans="1:18" x14ac:dyDescent="0.3">
      <c r="A5020" t="s">
        <v>627</v>
      </c>
      <c r="B5020" s="16">
        <v>45944</v>
      </c>
      <c r="C5020" t="s">
        <v>3</v>
      </c>
      <c r="D5020" t="s">
        <v>113</v>
      </c>
      <c r="E5020">
        <v>111</v>
      </c>
      <c r="F5020">
        <v>70</v>
      </c>
      <c r="G5020">
        <v>1</v>
      </c>
      <c r="H5020">
        <v>2</v>
      </c>
      <c r="I5020">
        <v>0</v>
      </c>
      <c r="J5020">
        <v>0</v>
      </c>
      <c r="K5020">
        <v>0</v>
      </c>
      <c r="L5020">
        <v>0</v>
      </c>
      <c r="M5020">
        <v>98</v>
      </c>
      <c r="N5020">
        <v>63</v>
      </c>
      <c r="O5020">
        <f t="shared" si="164"/>
        <v>2025</v>
      </c>
      <c r="P5020">
        <f t="shared" si="165"/>
        <v>10</v>
      </c>
      <c r="Q5020" t="s">
        <v>784</v>
      </c>
      <c r="R5020" t="s">
        <v>805</v>
      </c>
    </row>
    <row r="5021" spans="1:18" x14ac:dyDescent="0.3">
      <c r="A5021" t="s">
        <v>627</v>
      </c>
      <c r="B5021" s="16">
        <v>45944</v>
      </c>
      <c r="C5021" t="s">
        <v>3</v>
      </c>
      <c r="D5021" t="s">
        <v>112</v>
      </c>
      <c r="E5021">
        <v>52</v>
      </c>
      <c r="F5021">
        <v>4</v>
      </c>
      <c r="G5021">
        <v>0</v>
      </c>
      <c r="H5021">
        <v>0</v>
      </c>
      <c r="I5021">
        <v>7360</v>
      </c>
      <c r="J5021">
        <v>2</v>
      </c>
      <c r="K5021">
        <v>7360</v>
      </c>
      <c r="L5021">
        <v>2</v>
      </c>
      <c r="M5021">
        <v>1</v>
      </c>
      <c r="N5021">
        <v>52</v>
      </c>
      <c r="O5021">
        <f t="shared" si="164"/>
        <v>2025</v>
      </c>
      <c r="P5021">
        <f t="shared" si="165"/>
        <v>10</v>
      </c>
      <c r="Q5021" t="s">
        <v>784</v>
      </c>
      <c r="R5021" t="s">
        <v>805</v>
      </c>
    </row>
    <row r="5022" spans="1:18" x14ac:dyDescent="0.3">
      <c r="A5022" t="s">
        <v>627</v>
      </c>
      <c r="B5022" s="16">
        <v>45943</v>
      </c>
      <c r="C5022" t="s">
        <v>2</v>
      </c>
      <c r="D5022" t="s">
        <v>4</v>
      </c>
      <c r="E5022">
        <v>281</v>
      </c>
      <c r="F5022">
        <v>68</v>
      </c>
      <c r="G5022">
        <v>2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6</v>
      </c>
      <c r="N5022">
        <v>277</v>
      </c>
      <c r="O5022">
        <f t="shared" si="164"/>
        <v>2025</v>
      </c>
      <c r="P5022">
        <f t="shared" si="165"/>
        <v>10</v>
      </c>
      <c r="Q5022" t="s">
        <v>784</v>
      </c>
      <c r="R5022" t="s">
        <v>805</v>
      </c>
    </row>
    <row r="5023" spans="1:18" x14ac:dyDescent="0.3">
      <c r="A5023" t="s">
        <v>627</v>
      </c>
      <c r="B5023" s="16">
        <v>45943</v>
      </c>
      <c r="C5023" t="s">
        <v>2</v>
      </c>
      <c r="D5023" t="s">
        <v>57</v>
      </c>
      <c r="E5023">
        <v>26894</v>
      </c>
      <c r="F5023">
        <v>16047</v>
      </c>
      <c r="G5023">
        <v>152</v>
      </c>
      <c r="H5023">
        <v>88</v>
      </c>
      <c r="I5023">
        <v>117132</v>
      </c>
      <c r="J5023">
        <v>23</v>
      </c>
      <c r="K5023">
        <v>61122</v>
      </c>
      <c r="L5023">
        <v>15</v>
      </c>
      <c r="M5023">
        <v>1365</v>
      </c>
      <c r="N5023">
        <v>26476</v>
      </c>
      <c r="O5023">
        <f t="shared" si="164"/>
        <v>2025</v>
      </c>
      <c r="P5023">
        <f t="shared" si="165"/>
        <v>10</v>
      </c>
      <c r="Q5023" t="s">
        <v>784</v>
      </c>
      <c r="R5023" t="s">
        <v>805</v>
      </c>
    </row>
    <row r="5024" spans="1:18" x14ac:dyDescent="0.3">
      <c r="A5024" t="s">
        <v>627</v>
      </c>
      <c r="B5024" s="16">
        <v>45943</v>
      </c>
      <c r="C5024" t="s">
        <v>2</v>
      </c>
      <c r="D5024" t="s">
        <v>52</v>
      </c>
      <c r="E5024">
        <v>2</v>
      </c>
      <c r="F5024">
        <v>1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2</v>
      </c>
      <c r="N5024">
        <v>0</v>
      </c>
      <c r="O5024">
        <f t="shared" si="164"/>
        <v>2025</v>
      </c>
      <c r="P5024">
        <f t="shared" si="165"/>
        <v>10</v>
      </c>
      <c r="Q5024" t="s">
        <v>784</v>
      </c>
      <c r="R5024" t="s">
        <v>805</v>
      </c>
    </row>
    <row r="5025" spans="1:18" x14ac:dyDescent="0.3">
      <c r="A5025" t="s">
        <v>627</v>
      </c>
      <c r="B5025" s="16">
        <v>45943</v>
      </c>
      <c r="C5025" t="s">
        <v>2</v>
      </c>
      <c r="D5025" t="s">
        <v>55</v>
      </c>
      <c r="E5025">
        <v>488</v>
      </c>
      <c r="F5025">
        <v>273</v>
      </c>
      <c r="G5025">
        <v>1</v>
      </c>
      <c r="H5025">
        <v>0</v>
      </c>
      <c r="I5025">
        <v>13500</v>
      </c>
      <c r="J5025">
        <v>1</v>
      </c>
      <c r="K5025">
        <v>0</v>
      </c>
      <c r="L5025">
        <v>0</v>
      </c>
      <c r="M5025">
        <v>7</v>
      </c>
      <c r="N5025">
        <v>261</v>
      </c>
      <c r="O5025">
        <f t="shared" si="164"/>
        <v>2025</v>
      </c>
      <c r="P5025">
        <f t="shared" si="165"/>
        <v>10</v>
      </c>
      <c r="Q5025" t="s">
        <v>784</v>
      </c>
      <c r="R5025" t="s">
        <v>805</v>
      </c>
    </row>
    <row r="5026" spans="1:18" x14ac:dyDescent="0.3">
      <c r="A5026" t="s">
        <v>627</v>
      </c>
      <c r="B5026" s="16">
        <v>45943</v>
      </c>
      <c r="C5026" t="s">
        <v>3</v>
      </c>
      <c r="D5026" t="s">
        <v>155</v>
      </c>
      <c r="E5026">
        <v>34</v>
      </c>
      <c r="F5026">
        <v>11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34</v>
      </c>
      <c r="O5026">
        <f t="shared" si="164"/>
        <v>2025</v>
      </c>
      <c r="P5026">
        <f t="shared" si="165"/>
        <v>10</v>
      </c>
      <c r="Q5026" t="s">
        <v>784</v>
      </c>
      <c r="R5026" t="s">
        <v>805</v>
      </c>
    </row>
    <row r="5027" spans="1:18" x14ac:dyDescent="0.3">
      <c r="A5027" t="s">
        <v>627</v>
      </c>
      <c r="B5027" s="16">
        <v>45943</v>
      </c>
      <c r="C5027" t="s">
        <v>3</v>
      </c>
      <c r="D5027" t="s">
        <v>153</v>
      </c>
      <c r="E5027">
        <v>237</v>
      </c>
      <c r="F5027">
        <v>53</v>
      </c>
      <c r="G5027">
        <v>24</v>
      </c>
      <c r="H5027">
        <v>2</v>
      </c>
      <c r="I5027">
        <v>85077</v>
      </c>
      <c r="J5027">
        <v>18</v>
      </c>
      <c r="K5027">
        <v>85077</v>
      </c>
      <c r="L5027">
        <v>18</v>
      </c>
      <c r="M5027">
        <v>83</v>
      </c>
      <c r="N5027">
        <v>226</v>
      </c>
      <c r="O5027">
        <f t="shared" si="164"/>
        <v>2025</v>
      </c>
      <c r="P5027">
        <f t="shared" si="165"/>
        <v>10</v>
      </c>
      <c r="Q5027" t="s">
        <v>784</v>
      </c>
      <c r="R5027" t="s">
        <v>805</v>
      </c>
    </row>
    <row r="5028" spans="1:18" x14ac:dyDescent="0.3">
      <c r="A5028" t="s">
        <v>627</v>
      </c>
      <c r="B5028" s="16">
        <v>45943</v>
      </c>
      <c r="C5028" t="s">
        <v>3</v>
      </c>
      <c r="D5028" t="s">
        <v>152</v>
      </c>
      <c r="E5028">
        <v>11</v>
      </c>
      <c r="F5028">
        <v>4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11</v>
      </c>
      <c r="O5028">
        <f t="shared" si="164"/>
        <v>2025</v>
      </c>
      <c r="P5028">
        <f t="shared" si="165"/>
        <v>10</v>
      </c>
      <c r="Q5028" t="s">
        <v>784</v>
      </c>
      <c r="R5028" t="s">
        <v>805</v>
      </c>
    </row>
    <row r="5029" spans="1:18" x14ac:dyDescent="0.3">
      <c r="A5029" t="s">
        <v>627</v>
      </c>
      <c r="B5029" s="16">
        <v>45943</v>
      </c>
      <c r="C5029" t="s">
        <v>3</v>
      </c>
      <c r="D5029" t="s">
        <v>149</v>
      </c>
      <c r="E5029">
        <v>1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1</v>
      </c>
      <c r="O5029">
        <f t="shared" si="164"/>
        <v>2025</v>
      </c>
      <c r="P5029">
        <f t="shared" si="165"/>
        <v>10</v>
      </c>
      <c r="Q5029" t="s">
        <v>784</v>
      </c>
      <c r="R5029" t="s">
        <v>805</v>
      </c>
    </row>
    <row r="5030" spans="1:18" x14ac:dyDescent="0.3">
      <c r="A5030" t="s">
        <v>627</v>
      </c>
      <c r="B5030" s="16">
        <v>45943</v>
      </c>
      <c r="C5030" t="s">
        <v>3</v>
      </c>
      <c r="D5030" t="s">
        <v>148</v>
      </c>
      <c r="E5030">
        <v>2</v>
      </c>
      <c r="F5030">
        <v>2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2</v>
      </c>
      <c r="N5030">
        <v>0</v>
      </c>
      <c r="O5030">
        <f t="shared" si="164"/>
        <v>2025</v>
      </c>
      <c r="P5030">
        <f t="shared" si="165"/>
        <v>10</v>
      </c>
      <c r="Q5030" t="s">
        <v>784</v>
      </c>
      <c r="R5030" t="s">
        <v>805</v>
      </c>
    </row>
    <row r="5031" spans="1:18" x14ac:dyDescent="0.3">
      <c r="A5031" t="s">
        <v>627</v>
      </c>
      <c r="B5031" s="16">
        <v>45943</v>
      </c>
      <c r="C5031" t="s">
        <v>3</v>
      </c>
      <c r="D5031" t="s">
        <v>630</v>
      </c>
      <c r="E5031">
        <v>1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1</v>
      </c>
      <c r="O5031">
        <f t="shared" si="164"/>
        <v>2025</v>
      </c>
      <c r="P5031">
        <f t="shared" si="165"/>
        <v>10</v>
      </c>
      <c r="Q5031" t="s">
        <v>784</v>
      </c>
      <c r="R5031" t="s">
        <v>805</v>
      </c>
    </row>
    <row r="5032" spans="1:18" x14ac:dyDescent="0.3">
      <c r="A5032" t="s">
        <v>627</v>
      </c>
      <c r="B5032" s="16">
        <v>45943</v>
      </c>
      <c r="C5032" t="s">
        <v>3</v>
      </c>
      <c r="D5032" t="s">
        <v>251</v>
      </c>
      <c r="E5032">
        <v>256</v>
      </c>
      <c r="F5032">
        <v>115</v>
      </c>
      <c r="G5032">
        <v>10</v>
      </c>
      <c r="H5032">
        <v>4</v>
      </c>
      <c r="I5032">
        <v>19825</v>
      </c>
      <c r="J5032">
        <v>4</v>
      </c>
      <c r="K5032">
        <v>15835</v>
      </c>
      <c r="L5032">
        <v>3</v>
      </c>
      <c r="M5032">
        <v>74</v>
      </c>
      <c r="N5032">
        <v>219</v>
      </c>
      <c r="O5032">
        <f t="shared" si="164"/>
        <v>2025</v>
      </c>
      <c r="P5032">
        <f t="shared" si="165"/>
        <v>10</v>
      </c>
      <c r="Q5032" t="s">
        <v>784</v>
      </c>
      <c r="R5032" t="s">
        <v>805</v>
      </c>
    </row>
    <row r="5033" spans="1:18" x14ac:dyDescent="0.3">
      <c r="A5033" t="s">
        <v>627</v>
      </c>
      <c r="B5033" s="16">
        <v>45943</v>
      </c>
      <c r="C5033" t="s">
        <v>3</v>
      </c>
      <c r="D5033" t="s">
        <v>141</v>
      </c>
      <c r="E5033">
        <v>199</v>
      </c>
      <c r="F5033">
        <v>79</v>
      </c>
      <c r="G5033">
        <v>3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1</v>
      </c>
      <c r="N5033">
        <v>198</v>
      </c>
      <c r="O5033">
        <f t="shared" si="164"/>
        <v>2025</v>
      </c>
      <c r="P5033">
        <f t="shared" si="165"/>
        <v>10</v>
      </c>
      <c r="Q5033" t="s">
        <v>784</v>
      </c>
      <c r="R5033" t="s">
        <v>805</v>
      </c>
    </row>
    <row r="5034" spans="1:18" x14ac:dyDescent="0.3">
      <c r="A5034" t="s">
        <v>627</v>
      </c>
      <c r="B5034" s="16">
        <v>45943</v>
      </c>
      <c r="C5034" t="s">
        <v>3</v>
      </c>
      <c r="D5034" t="s">
        <v>140</v>
      </c>
      <c r="E5034">
        <v>2</v>
      </c>
      <c r="F5034">
        <v>2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2</v>
      </c>
      <c r="O5034">
        <f t="shared" si="164"/>
        <v>2025</v>
      </c>
      <c r="P5034">
        <f t="shared" si="165"/>
        <v>10</v>
      </c>
      <c r="Q5034" t="s">
        <v>784</v>
      </c>
      <c r="R5034" t="s">
        <v>805</v>
      </c>
    </row>
    <row r="5035" spans="1:18" x14ac:dyDescent="0.3">
      <c r="A5035" t="s">
        <v>627</v>
      </c>
      <c r="B5035" s="16">
        <v>45943</v>
      </c>
      <c r="C5035" t="s">
        <v>3</v>
      </c>
      <c r="D5035" t="s">
        <v>139</v>
      </c>
      <c r="E5035">
        <v>754</v>
      </c>
      <c r="F5035">
        <v>366</v>
      </c>
      <c r="G5035">
        <v>32</v>
      </c>
      <c r="H5035">
        <v>10</v>
      </c>
      <c r="I5035">
        <v>38860</v>
      </c>
      <c r="J5035">
        <v>8</v>
      </c>
      <c r="K5035">
        <v>17960</v>
      </c>
      <c r="L5035">
        <v>6</v>
      </c>
      <c r="M5035">
        <v>287</v>
      </c>
      <c r="N5035">
        <v>670</v>
      </c>
      <c r="O5035">
        <f t="shared" si="164"/>
        <v>2025</v>
      </c>
      <c r="P5035">
        <f t="shared" si="165"/>
        <v>10</v>
      </c>
      <c r="Q5035" t="s">
        <v>784</v>
      </c>
      <c r="R5035" t="s">
        <v>805</v>
      </c>
    </row>
    <row r="5036" spans="1:18" x14ac:dyDescent="0.3">
      <c r="A5036" t="s">
        <v>627</v>
      </c>
      <c r="B5036" s="16">
        <v>45943</v>
      </c>
      <c r="C5036" t="s">
        <v>3</v>
      </c>
      <c r="D5036" t="s">
        <v>138</v>
      </c>
      <c r="E5036">
        <v>2</v>
      </c>
      <c r="F5036">
        <v>2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2</v>
      </c>
      <c r="O5036">
        <f t="shared" si="164"/>
        <v>2025</v>
      </c>
      <c r="P5036">
        <f t="shared" si="165"/>
        <v>10</v>
      </c>
      <c r="Q5036" t="s">
        <v>784</v>
      </c>
      <c r="R5036" t="s">
        <v>805</v>
      </c>
    </row>
    <row r="5037" spans="1:18" x14ac:dyDescent="0.3">
      <c r="A5037" t="s">
        <v>627</v>
      </c>
      <c r="B5037" s="16">
        <v>45943</v>
      </c>
      <c r="C5037" t="s">
        <v>3</v>
      </c>
      <c r="D5037" t="s">
        <v>133</v>
      </c>
      <c r="E5037">
        <v>10</v>
      </c>
      <c r="F5037">
        <v>8</v>
      </c>
      <c r="G5037">
        <v>0</v>
      </c>
      <c r="H5037">
        <v>0</v>
      </c>
      <c r="I5037">
        <v>3990</v>
      </c>
      <c r="J5037">
        <v>1</v>
      </c>
      <c r="K5037">
        <v>3990</v>
      </c>
      <c r="L5037">
        <v>1</v>
      </c>
      <c r="M5037">
        <v>2</v>
      </c>
      <c r="N5037">
        <v>8</v>
      </c>
      <c r="O5037">
        <f t="shared" si="164"/>
        <v>2025</v>
      </c>
      <c r="P5037">
        <f t="shared" si="165"/>
        <v>10</v>
      </c>
      <c r="Q5037" t="s">
        <v>784</v>
      </c>
      <c r="R5037" t="s">
        <v>805</v>
      </c>
    </row>
    <row r="5038" spans="1:18" x14ac:dyDescent="0.3">
      <c r="A5038" t="s">
        <v>627</v>
      </c>
      <c r="B5038" s="16">
        <v>45943</v>
      </c>
      <c r="C5038" t="s">
        <v>3</v>
      </c>
      <c r="D5038" t="s">
        <v>130</v>
      </c>
      <c r="E5038">
        <v>122</v>
      </c>
      <c r="F5038">
        <v>59</v>
      </c>
      <c r="G5038">
        <v>7</v>
      </c>
      <c r="H5038">
        <v>2</v>
      </c>
      <c r="I5038">
        <v>18660</v>
      </c>
      <c r="J5038">
        <v>6</v>
      </c>
      <c r="K5038">
        <v>10680</v>
      </c>
      <c r="L5038">
        <v>4</v>
      </c>
      <c r="M5038">
        <v>45</v>
      </c>
      <c r="N5038">
        <v>104</v>
      </c>
      <c r="O5038">
        <f t="shared" si="164"/>
        <v>2025</v>
      </c>
      <c r="P5038">
        <f t="shared" si="165"/>
        <v>10</v>
      </c>
      <c r="Q5038" t="s">
        <v>784</v>
      </c>
      <c r="R5038" t="s">
        <v>805</v>
      </c>
    </row>
    <row r="5039" spans="1:18" x14ac:dyDescent="0.3">
      <c r="A5039" t="s">
        <v>627</v>
      </c>
      <c r="B5039" s="16">
        <v>45943</v>
      </c>
      <c r="C5039" t="s">
        <v>3</v>
      </c>
      <c r="D5039" t="s">
        <v>128</v>
      </c>
      <c r="E5039">
        <v>1932</v>
      </c>
      <c r="F5039">
        <v>1791</v>
      </c>
      <c r="G5039">
        <v>28</v>
      </c>
      <c r="H5039">
        <v>12</v>
      </c>
      <c r="I5039">
        <v>24740</v>
      </c>
      <c r="J5039">
        <v>4</v>
      </c>
      <c r="K5039">
        <v>24740</v>
      </c>
      <c r="L5039">
        <v>4</v>
      </c>
      <c r="M5039">
        <v>221</v>
      </c>
      <c r="N5039">
        <v>1867</v>
      </c>
      <c r="O5039">
        <f t="shared" si="164"/>
        <v>2025</v>
      </c>
      <c r="P5039">
        <f t="shared" si="165"/>
        <v>10</v>
      </c>
      <c r="Q5039" t="s">
        <v>784</v>
      </c>
      <c r="R5039" t="s">
        <v>805</v>
      </c>
    </row>
    <row r="5040" spans="1:18" x14ac:dyDescent="0.3">
      <c r="A5040" t="s">
        <v>627</v>
      </c>
      <c r="B5040" s="16">
        <v>45943</v>
      </c>
      <c r="C5040" t="s">
        <v>3</v>
      </c>
      <c r="D5040" t="s">
        <v>127</v>
      </c>
      <c r="E5040">
        <v>3730</v>
      </c>
      <c r="F5040">
        <v>2024</v>
      </c>
      <c r="G5040">
        <v>73</v>
      </c>
      <c r="H5040">
        <v>17</v>
      </c>
      <c r="I5040">
        <v>65525</v>
      </c>
      <c r="J5040">
        <v>11</v>
      </c>
      <c r="K5040">
        <v>49050</v>
      </c>
      <c r="L5040">
        <v>7</v>
      </c>
      <c r="M5040">
        <v>259</v>
      </c>
      <c r="N5040">
        <v>3704</v>
      </c>
      <c r="O5040">
        <f t="shared" si="164"/>
        <v>2025</v>
      </c>
      <c r="P5040">
        <f t="shared" si="165"/>
        <v>10</v>
      </c>
      <c r="Q5040" t="s">
        <v>784</v>
      </c>
      <c r="R5040" t="s">
        <v>805</v>
      </c>
    </row>
    <row r="5041" spans="1:18" x14ac:dyDescent="0.3">
      <c r="A5041" t="s">
        <v>627</v>
      </c>
      <c r="B5041" s="16">
        <v>45943</v>
      </c>
      <c r="C5041" t="s">
        <v>3</v>
      </c>
      <c r="D5041" t="s">
        <v>126</v>
      </c>
      <c r="E5041">
        <v>108</v>
      </c>
      <c r="F5041">
        <v>81</v>
      </c>
      <c r="G5041">
        <v>3</v>
      </c>
      <c r="H5041">
        <v>1</v>
      </c>
      <c r="I5041">
        <v>0</v>
      </c>
      <c r="J5041">
        <v>0</v>
      </c>
      <c r="K5041">
        <v>0</v>
      </c>
      <c r="L5041">
        <v>0</v>
      </c>
      <c r="M5041">
        <v>12</v>
      </c>
      <c r="N5041">
        <v>106</v>
      </c>
      <c r="O5041">
        <f t="shared" si="164"/>
        <v>2025</v>
      </c>
      <c r="P5041">
        <f t="shared" si="165"/>
        <v>10</v>
      </c>
      <c r="Q5041" t="s">
        <v>784</v>
      </c>
      <c r="R5041" t="s">
        <v>805</v>
      </c>
    </row>
    <row r="5042" spans="1:18" x14ac:dyDescent="0.3">
      <c r="A5042" t="s">
        <v>627</v>
      </c>
      <c r="B5042" s="16">
        <v>45943</v>
      </c>
      <c r="C5042" t="s">
        <v>3</v>
      </c>
      <c r="D5042" t="s">
        <v>123</v>
      </c>
      <c r="E5042">
        <v>48</v>
      </c>
      <c r="F5042">
        <v>20</v>
      </c>
      <c r="G5042">
        <v>1</v>
      </c>
      <c r="H5042">
        <v>0</v>
      </c>
      <c r="I5042">
        <v>7080</v>
      </c>
      <c r="J5042">
        <v>2</v>
      </c>
      <c r="K5042">
        <v>7080</v>
      </c>
      <c r="L5042">
        <v>2</v>
      </c>
      <c r="M5042">
        <v>43</v>
      </c>
      <c r="N5042">
        <v>27</v>
      </c>
      <c r="O5042">
        <f t="shared" si="164"/>
        <v>2025</v>
      </c>
      <c r="P5042">
        <f t="shared" si="165"/>
        <v>10</v>
      </c>
      <c r="Q5042" t="s">
        <v>784</v>
      </c>
      <c r="R5042" t="s">
        <v>805</v>
      </c>
    </row>
    <row r="5043" spans="1:18" x14ac:dyDescent="0.3">
      <c r="A5043" t="s">
        <v>627</v>
      </c>
      <c r="B5043" s="16">
        <v>45943</v>
      </c>
      <c r="C5043" t="s">
        <v>3</v>
      </c>
      <c r="D5043" t="s">
        <v>121</v>
      </c>
      <c r="E5043">
        <v>1</v>
      </c>
      <c r="F5043">
        <v>1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1</v>
      </c>
      <c r="N5043">
        <v>0</v>
      </c>
      <c r="O5043">
        <f t="shared" si="164"/>
        <v>2025</v>
      </c>
      <c r="P5043">
        <f t="shared" si="165"/>
        <v>10</v>
      </c>
      <c r="Q5043" t="s">
        <v>784</v>
      </c>
      <c r="R5043" t="s">
        <v>805</v>
      </c>
    </row>
    <row r="5044" spans="1:18" x14ac:dyDescent="0.3">
      <c r="A5044" t="s">
        <v>627</v>
      </c>
      <c r="B5044" s="16">
        <v>45943</v>
      </c>
      <c r="C5044" t="s">
        <v>3</v>
      </c>
      <c r="D5044" t="s">
        <v>119</v>
      </c>
      <c r="E5044">
        <v>180</v>
      </c>
      <c r="F5044">
        <v>62</v>
      </c>
      <c r="G5044">
        <v>9</v>
      </c>
      <c r="H5044">
        <v>5</v>
      </c>
      <c r="I5044">
        <v>26785</v>
      </c>
      <c r="J5044">
        <v>6</v>
      </c>
      <c r="K5044">
        <v>25040</v>
      </c>
      <c r="L5044">
        <v>6</v>
      </c>
      <c r="M5044">
        <v>39</v>
      </c>
      <c r="N5044">
        <v>173</v>
      </c>
      <c r="O5044">
        <f t="shared" si="164"/>
        <v>2025</v>
      </c>
      <c r="P5044">
        <f t="shared" si="165"/>
        <v>10</v>
      </c>
      <c r="Q5044" t="s">
        <v>784</v>
      </c>
      <c r="R5044" t="s">
        <v>805</v>
      </c>
    </row>
    <row r="5045" spans="1:18" x14ac:dyDescent="0.3">
      <c r="A5045" t="s">
        <v>627</v>
      </c>
      <c r="B5045" s="16">
        <v>45943</v>
      </c>
      <c r="C5045" t="s">
        <v>3</v>
      </c>
      <c r="D5045" t="s">
        <v>118</v>
      </c>
      <c r="E5045">
        <v>1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1</v>
      </c>
      <c r="N5045">
        <v>0</v>
      </c>
      <c r="O5045">
        <f t="shared" si="164"/>
        <v>2025</v>
      </c>
      <c r="P5045">
        <f t="shared" si="165"/>
        <v>10</v>
      </c>
      <c r="Q5045" t="s">
        <v>784</v>
      </c>
      <c r="R5045" t="s">
        <v>805</v>
      </c>
    </row>
    <row r="5046" spans="1:18" x14ac:dyDescent="0.3">
      <c r="A5046" t="s">
        <v>627</v>
      </c>
      <c r="B5046" s="16">
        <v>45943</v>
      </c>
      <c r="C5046" t="s">
        <v>3</v>
      </c>
      <c r="D5046" t="s">
        <v>117</v>
      </c>
      <c r="E5046">
        <v>1</v>
      </c>
      <c r="F5046">
        <v>1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1</v>
      </c>
      <c r="N5046">
        <v>1</v>
      </c>
      <c r="O5046">
        <f t="shared" si="164"/>
        <v>2025</v>
      </c>
      <c r="P5046">
        <f t="shared" si="165"/>
        <v>10</v>
      </c>
      <c r="Q5046" t="s">
        <v>784</v>
      </c>
      <c r="R5046" t="s">
        <v>805</v>
      </c>
    </row>
    <row r="5047" spans="1:18" x14ac:dyDescent="0.3">
      <c r="A5047" t="s">
        <v>627</v>
      </c>
      <c r="B5047" s="16">
        <v>45943</v>
      </c>
      <c r="C5047" t="s">
        <v>3</v>
      </c>
      <c r="D5047" t="s">
        <v>391</v>
      </c>
      <c r="E5047">
        <v>375</v>
      </c>
      <c r="F5047">
        <v>230</v>
      </c>
      <c r="G5047">
        <v>11</v>
      </c>
      <c r="H5047">
        <v>3</v>
      </c>
      <c r="I5047">
        <v>16905</v>
      </c>
      <c r="J5047">
        <v>3</v>
      </c>
      <c r="K5047">
        <v>11475</v>
      </c>
      <c r="L5047">
        <v>3</v>
      </c>
      <c r="M5047">
        <v>70</v>
      </c>
      <c r="N5047">
        <v>367</v>
      </c>
      <c r="O5047">
        <f t="shared" si="164"/>
        <v>2025</v>
      </c>
      <c r="P5047">
        <f t="shared" si="165"/>
        <v>10</v>
      </c>
      <c r="Q5047" t="s">
        <v>784</v>
      </c>
      <c r="R5047" t="s">
        <v>805</v>
      </c>
    </row>
    <row r="5048" spans="1:18" x14ac:dyDescent="0.3">
      <c r="A5048" t="s">
        <v>627</v>
      </c>
      <c r="B5048" s="16">
        <v>45943</v>
      </c>
      <c r="C5048" t="s">
        <v>3</v>
      </c>
      <c r="D5048" t="s">
        <v>113</v>
      </c>
      <c r="E5048">
        <v>85</v>
      </c>
      <c r="F5048">
        <v>46</v>
      </c>
      <c r="G5048">
        <v>3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69</v>
      </c>
      <c r="N5048">
        <v>52</v>
      </c>
      <c r="O5048">
        <f t="shared" si="164"/>
        <v>2025</v>
      </c>
      <c r="P5048">
        <f t="shared" si="165"/>
        <v>10</v>
      </c>
      <c r="Q5048" t="s">
        <v>784</v>
      </c>
      <c r="R5048" t="s">
        <v>805</v>
      </c>
    </row>
    <row r="5049" spans="1:18" x14ac:dyDescent="0.3">
      <c r="A5049" t="s">
        <v>627</v>
      </c>
      <c r="B5049" s="16">
        <v>45943</v>
      </c>
      <c r="C5049" t="s">
        <v>3</v>
      </c>
      <c r="D5049" t="s">
        <v>112</v>
      </c>
      <c r="E5049">
        <v>47</v>
      </c>
      <c r="F5049">
        <v>11</v>
      </c>
      <c r="G5049">
        <v>0</v>
      </c>
      <c r="H5049">
        <v>0</v>
      </c>
      <c r="I5049">
        <v>4440</v>
      </c>
      <c r="J5049">
        <v>1</v>
      </c>
      <c r="K5049">
        <v>4440</v>
      </c>
      <c r="L5049">
        <v>1</v>
      </c>
      <c r="M5049">
        <v>0</v>
      </c>
      <c r="N5049">
        <v>47</v>
      </c>
      <c r="O5049">
        <f t="shared" si="164"/>
        <v>2025</v>
      </c>
      <c r="P5049">
        <f t="shared" si="165"/>
        <v>10</v>
      </c>
      <c r="Q5049" t="s">
        <v>784</v>
      </c>
      <c r="R5049" t="s">
        <v>805</v>
      </c>
    </row>
    <row r="5050" spans="1:18" x14ac:dyDescent="0.3">
      <c r="A5050" t="s">
        <v>627</v>
      </c>
      <c r="B5050" s="16">
        <v>45942</v>
      </c>
      <c r="C5050" t="s">
        <v>2</v>
      </c>
      <c r="D5050" t="s">
        <v>4</v>
      </c>
      <c r="E5050">
        <v>297</v>
      </c>
      <c r="F5050">
        <v>60</v>
      </c>
      <c r="G5050">
        <v>2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4</v>
      </c>
      <c r="N5050">
        <v>297</v>
      </c>
      <c r="O5050">
        <f t="shared" si="164"/>
        <v>2025</v>
      </c>
      <c r="P5050">
        <f t="shared" si="165"/>
        <v>10</v>
      </c>
      <c r="Q5050" t="s">
        <v>784</v>
      </c>
      <c r="R5050" t="s">
        <v>805</v>
      </c>
    </row>
    <row r="5051" spans="1:18" x14ac:dyDescent="0.3">
      <c r="A5051" t="s">
        <v>627</v>
      </c>
      <c r="B5051" s="16">
        <v>45942</v>
      </c>
      <c r="C5051" t="s">
        <v>2</v>
      </c>
      <c r="D5051" t="s">
        <v>57</v>
      </c>
      <c r="E5051">
        <v>26169</v>
      </c>
      <c r="F5051">
        <v>14828</v>
      </c>
      <c r="G5051">
        <v>146</v>
      </c>
      <c r="H5051">
        <v>99</v>
      </c>
      <c r="I5051">
        <v>150575</v>
      </c>
      <c r="J5051">
        <v>23</v>
      </c>
      <c r="K5051">
        <v>95460</v>
      </c>
      <c r="L5051">
        <v>16</v>
      </c>
      <c r="M5051">
        <v>1295</v>
      </c>
      <c r="N5051">
        <v>25791</v>
      </c>
      <c r="O5051">
        <f t="shared" si="164"/>
        <v>2025</v>
      </c>
      <c r="P5051">
        <f t="shared" si="165"/>
        <v>10</v>
      </c>
      <c r="Q5051" t="s">
        <v>784</v>
      </c>
      <c r="R5051" t="s">
        <v>805</v>
      </c>
    </row>
    <row r="5052" spans="1:18" x14ac:dyDescent="0.3">
      <c r="A5052" t="s">
        <v>627</v>
      </c>
      <c r="B5052" s="16">
        <v>45942</v>
      </c>
      <c r="C5052" t="s">
        <v>2</v>
      </c>
      <c r="D5052" t="s">
        <v>55</v>
      </c>
      <c r="E5052">
        <v>543</v>
      </c>
      <c r="F5052">
        <v>315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6</v>
      </c>
      <c r="N5052">
        <v>247</v>
      </c>
      <c r="O5052">
        <f t="shared" si="164"/>
        <v>2025</v>
      </c>
      <c r="P5052">
        <f t="shared" si="165"/>
        <v>10</v>
      </c>
      <c r="Q5052" t="s">
        <v>784</v>
      </c>
      <c r="R5052" t="s">
        <v>805</v>
      </c>
    </row>
    <row r="5053" spans="1:18" x14ac:dyDescent="0.3">
      <c r="A5053" t="s">
        <v>627</v>
      </c>
      <c r="B5053" s="16">
        <v>45942</v>
      </c>
      <c r="C5053" t="s">
        <v>3</v>
      </c>
      <c r="D5053" t="s">
        <v>155</v>
      </c>
      <c r="E5053">
        <v>42</v>
      </c>
      <c r="F5053">
        <v>16</v>
      </c>
      <c r="G5053">
        <v>1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1</v>
      </c>
      <c r="N5053">
        <v>42</v>
      </c>
      <c r="O5053">
        <f t="shared" si="164"/>
        <v>2025</v>
      </c>
      <c r="P5053">
        <f t="shared" si="165"/>
        <v>10</v>
      </c>
      <c r="Q5053" t="s">
        <v>784</v>
      </c>
      <c r="R5053" t="s">
        <v>805</v>
      </c>
    </row>
    <row r="5054" spans="1:18" x14ac:dyDescent="0.3">
      <c r="A5054" t="s">
        <v>627</v>
      </c>
      <c r="B5054" s="16">
        <v>45942</v>
      </c>
      <c r="C5054" t="s">
        <v>3</v>
      </c>
      <c r="D5054" t="s">
        <v>153</v>
      </c>
      <c r="E5054">
        <v>229</v>
      </c>
      <c r="F5054">
        <v>60</v>
      </c>
      <c r="G5054">
        <v>19</v>
      </c>
      <c r="H5054">
        <v>1</v>
      </c>
      <c r="I5054">
        <v>76377.19</v>
      </c>
      <c r="J5054">
        <v>16</v>
      </c>
      <c r="K5054">
        <v>67087.19</v>
      </c>
      <c r="L5054">
        <v>14</v>
      </c>
      <c r="M5054">
        <v>74</v>
      </c>
      <c r="N5054">
        <v>219</v>
      </c>
      <c r="O5054">
        <f t="shared" si="164"/>
        <v>2025</v>
      </c>
      <c r="P5054">
        <f t="shared" si="165"/>
        <v>10</v>
      </c>
      <c r="Q5054" t="s">
        <v>784</v>
      </c>
      <c r="R5054" t="s">
        <v>805</v>
      </c>
    </row>
    <row r="5055" spans="1:18" x14ac:dyDescent="0.3">
      <c r="A5055" t="s">
        <v>627</v>
      </c>
      <c r="B5055" s="16">
        <v>45942</v>
      </c>
      <c r="C5055" t="s">
        <v>3</v>
      </c>
      <c r="D5055" t="s">
        <v>152</v>
      </c>
      <c r="E5055">
        <v>9</v>
      </c>
      <c r="F5055">
        <v>4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1</v>
      </c>
      <c r="N5055">
        <v>9</v>
      </c>
      <c r="O5055">
        <f t="shared" si="164"/>
        <v>2025</v>
      </c>
      <c r="P5055">
        <f t="shared" si="165"/>
        <v>10</v>
      </c>
      <c r="Q5055" t="s">
        <v>784</v>
      </c>
      <c r="R5055" t="s">
        <v>805</v>
      </c>
    </row>
    <row r="5056" spans="1:18" x14ac:dyDescent="0.3">
      <c r="A5056" t="s">
        <v>627</v>
      </c>
      <c r="B5056" s="16">
        <v>45942</v>
      </c>
      <c r="C5056" t="s">
        <v>3</v>
      </c>
      <c r="D5056" t="s">
        <v>148</v>
      </c>
      <c r="E5056">
        <v>5</v>
      </c>
      <c r="F5056">
        <v>3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5</v>
      </c>
      <c r="N5056">
        <v>0</v>
      </c>
      <c r="O5056">
        <f t="shared" si="164"/>
        <v>2025</v>
      </c>
      <c r="P5056">
        <f t="shared" si="165"/>
        <v>10</v>
      </c>
      <c r="Q5056" t="s">
        <v>784</v>
      </c>
      <c r="R5056" t="s">
        <v>805</v>
      </c>
    </row>
    <row r="5057" spans="1:18" x14ac:dyDescent="0.3">
      <c r="A5057" t="s">
        <v>627</v>
      </c>
      <c r="B5057" s="16">
        <v>45942</v>
      </c>
      <c r="C5057" t="s">
        <v>3</v>
      </c>
      <c r="D5057" t="s">
        <v>251</v>
      </c>
      <c r="E5057">
        <v>225</v>
      </c>
      <c r="F5057">
        <v>94</v>
      </c>
      <c r="G5057">
        <v>7</v>
      </c>
      <c r="H5057">
        <v>4</v>
      </c>
      <c r="I5057">
        <v>13950</v>
      </c>
      <c r="J5057">
        <v>2</v>
      </c>
      <c r="K5057">
        <v>10850</v>
      </c>
      <c r="L5057">
        <v>2</v>
      </c>
      <c r="M5057">
        <v>61</v>
      </c>
      <c r="N5057">
        <v>195</v>
      </c>
      <c r="O5057">
        <f t="shared" si="164"/>
        <v>2025</v>
      </c>
      <c r="P5057">
        <f t="shared" si="165"/>
        <v>10</v>
      </c>
      <c r="Q5057" t="s">
        <v>784</v>
      </c>
      <c r="R5057" t="s">
        <v>805</v>
      </c>
    </row>
    <row r="5058" spans="1:18" x14ac:dyDescent="0.3">
      <c r="A5058" t="s">
        <v>627</v>
      </c>
      <c r="B5058" s="16">
        <v>45942</v>
      </c>
      <c r="C5058" t="s">
        <v>3</v>
      </c>
      <c r="D5058" t="s">
        <v>143</v>
      </c>
      <c r="E5058">
        <v>1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1</v>
      </c>
      <c r="O5058">
        <f t="shared" si="164"/>
        <v>2025</v>
      </c>
      <c r="P5058">
        <f t="shared" si="165"/>
        <v>10</v>
      </c>
      <c r="Q5058" t="s">
        <v>784</v>
      </c>
      <c r="R5058" t="s">
        <v>805</v>
      </c>
    </row>
    <row r="5059" spans="1:18" x14ac:dyDescent="0.3">
      <c r="A5059" t="s">
        <v>627</v>
      </c>
      <c r="B5059" s="16">
        <v>45942</v>
      </c>
      <c r="C5059" t="s">
        <v>3</v>
      </c>
      <c r="D5059" t="s">
        <v>141</v>
      </c>
      <c r="E5059">
        <v>234</v>
      </c>
      <c r="F5059">
        <v>113</v>
      </c>
      <c r="G5059">
        <v>4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1</v>
      </c>
      <c r="N5059">
        <v>233</v>
      </c>
      <c r="O5059">
        <f t="shared" si="164"/>
        <v>2025</v>
      </c>
      <c r="P5059">
        <f t="shared" si="165"/>
        <v>10</v>
      </c>
      <c r="Q5059" t="s">
        <v>784</v>
      </c>
      <c r="R5059" t="s">
        <v>805</v>
      </c>
    </row>
    <row r="5060" spans="1:18" x14ac:dyDescent="0.3">
      <c r="A5060" t="s">
        <v>627</v>
      </c>
      <c r="B5060" s="16">
        <v>45942</v>
      </c>
      <c r="C5060" t="s">
        <v>3</v>
      </c>
      <c r="D5060" t="s">
        <v>140</v>
      </c>
      <c r="E5060">
        <v>5</v>
      </c>
      <c r="F5060">
        <v>5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5</v>
      </c>
      <c r="O5060">
        <f t="shared" si="164"/>
        <v>2025</v>
      </c>
      <c r="P5060">
        <f t="shared" si="165"/>
        <v>10</v>
      </c>
      <c r="Q5060" t="s">
        <v>784</v>
      </c>
      <c r="R5060" t="s">
        <v>805</v>
      </c>
    </row>
    <row r="5061" spans="1:18" x14ac:dyDescent="0.3">
      <c r="A5061" t="s">
        <v>627</v>
      </c>
      <c r="B5061" s="16">
        <v>45942</v>
      </c>
      <c r="C5061" t="s">
        <v>3</v>
      </c>
      <c r="D5061" t="s">
        <v>139</v>
      </c>
      <c r="E5061">
        <v>729</v>
      </c>
      <c r="F5061">
        <v>361</v>
      </c>
      <c r="G5061">
        <v>46</v>
      </c>
      <c r="H5061">
        <v>12</v>
      </c>
      <c r="I5061">
        <v>86545</v>
      </c>
      <c r="J5061">
        <v>13</v>
      </c>
      <c r="K5061">
        <v>74810</v>
      </c>
      <c r="L5061">
        <v>11</v>
      </c>
      <c r="M5061">
        <v>286</v>
      </c>
      <c r="N5061">
        <v>628</v>
      </c>
      <c r="O5061">
        <f t="shared" si="164"/>
        <v>2025</v>
      </c>
      <c r="P5061">
        <f t="shared" si="165"/>
        <v>10</v>
      </c>
      <c r="Q5061" t="s">
        <v>784</v>
      </c>
      <c r="R5061" t="s">
        <v>805</v>
      </c>
    </row>
    <row r="5062" spans="1:18" x14ac:dyDescent="0.3">
      <c r="A5062" t="s">
        <v>627</v>
      </c>
      <c r="B5062" s="16">
        <v>45942</v>
      </c>
      <c r="C5062" t="s">
        <v>3</v>
      </c>
      <c r="D5062" t="s">
        <v>138</v>
      </c>
      <c r="E5062">
        <v>3</v>
      </c>
      <c r="F5062">
        <v>2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1</v>
      </c>
      <c r="N5062">
        <v>3</v>
      </c>
      <c r="O5062">
        <f t="shared" si="164"/>
        <v>2025</v>
      </c>
      <c r="P5062">
        <f t="shared" si="165"/>
        <v>10</v>
      </c>
      <c r="Q5062" t="s">
        <v>784</v>
      </c>
      <c r="R5062" t="s">
        <v>805</v>
      </c>
    </row>
    <row r="5063" spans="1:18" x14ac:dyDescent="0.3">
      <c r="A5063" t="s">
        <v>627</v>
      </c>
      <c r="B5063" s="16">
        <v>45942</v>
      </c>
      <c r="C5063" t="s">
        <v>3</v>
      </c>
      <c r="D5063" t="s">
        <v>133</v>
      </c>
      <c r="E5063">
        <v>12</v>
      </c>
      <c r="F5063">
        <v>8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4</v>
      </c>
      <c r="N5063">
        <v>9</v>
      </c>
      <c r="O5063">
        <f t="shared" si="164"/>
        <v>2025</v>
      </c>
      <c r="P5063">
        <f t="shared" si="165"/>
        <v>10</v>
      </c>
      <c r="Q5063" t="s">
        <v>784</v>
      </c>
      <c r="R5063" t="s">
        <v>805</v>
      </c>
    </row>
    <row r="5064" spans="1:18" x14ac:dyDescent="0.3">
      <c r="A5064" t="s">
        <v>627</v>
      </c>
      <c r="B5064" s="16">
        <v>45942</v>
      </c>
      <c r="C5064" t="s">
        <v>3</v>
      </c>
      <c r="D5064" t="s">
        <v>130</v>
      </c>
      <c r="E5064">
        <v>223</v>
      </c>
      <c r="F5064">
        <v>114</v>
      </c>
      <c r="G5064">
        <v>13</v>
      </c>
      <c r="H5064">
        <v>3</v>
      </c>
      <c r="I5064">
        <v>21764</v>
      </c>
      <c r="J5064">
        <v>4</v>
      </c>
      <c r="K5064">
        <v>13784</v>
      </c>
      <c r="L5064">
        <v>3</v>
      </c>
      <c r="M5064">
        <v>87</v>
      </c>
      <c r="N5064">
        <v>202</v>
      </c>
      <c r="O5064">
        <f t="shared" si="164"/>
        <v>2025</v>
      </c>
      <c r="P5064">
        <f t="shared" si="165"/>
        <v>10</v>
      </c>
      <c r="Q5064" t="s">
        <v>784</v>
      </c>
      <c r="R5064" t="s">
        <v>805</v>
      </c>
    </row>
    <row r="5065" spans="1:18" x14ac:dyDescent="0.3">
      <c r="A5065" t="s">
        <v>627</v>
      </c>
      <c r="B5065" s="16">
        <v>45942</v>
      </c>
      <c r="C5065" t="s">
        <v>3</v>
      </c>
      <c r="D5065" t="s">
        <v>128</v>
      </c>
      <c r="E5065">
        <v>1486</v>
      </c>
      <c r="F5065">
        <v>1335</v>
      </c>
      <c r="G5065">
        <v>26</v>
      </c>
      <c r="H5065">
        <v>9</v>
      </c>
      <c r="I5065">
        <v>56950</v>
      </c>
      <c r="J5065">
        <v>7</v>
      </c>
      <c r="K5065">
        <v>37930</v>
      </c>
      <c r="L5065">
        <v>5</v>
      </c>
      <c r="M5065">
        <v>212</v>
      </c>
      <c r="N5065">
        <v>1429</v>
      </c>
      <c r="O5065">
        <f t="shared" ref="O5065:O5128" si="166">YEAR(B5065)</f>
        <v>2025</v>
      </c>
      <c r="P5065">
        <f t="shared" ref="P5065:P5128" si="167">MONTH(B5065)</f>
        <v>10</v>
      </c>
      <c r="Q5065" t="s">
        <v>784</v>
      </c>
      <c r="R5065" t="s">
        <v>805</v>
      </c>
    </row>
    <row r="5066" spans="1:18" x14ac:dyDescent="0.3">
      <c r="A5066" t="s">
        <v>627</v>
      </c>
      <c r="B5066" s="16">
        <v>45942</v>
      </c>
      <c r="C5066" t="s">
        <v>3</v>
      </c>
      <c r="D5066" t="s">
        <v>127</v>
      </c>
      <c r="E5066">
        <v>3104</v>
      </c>
      <c r="F5066">
        <v>1655</v>
      </c>
      <c r="G5066">
        <v>76</v>
      </c>
      <c r="H5066">
        <v>17</v>
      </c>
      <c r="I5066">
        <v>45960</v>
      </c>
      <c r="J5066">
        <v>8</v>
      </c>
      <c r="K5066">
        <v>41265</v>
      </c>
      <c r="L5066">
        <v>7</v>
      </c>
      <c r="M5066">
        <v>221</v>
      </c>
      <c r="N5066">
        <v>3020</v>
      </c>
      <c r="O5066">
        <f t="shared" si="166"/>
        <v>2025</v>
      </c>
      <c r="P5066">
        <f t="shared" si="167"/>
        <v>10</v>
      </c>
      <c r="Q5066" t="s">
        <v>784</v>
      </c>
      <c r="R5066" t="s">
        <v>805</v>
      </c>
    </row>
    <row r="5067" spans="1:18" x14ac:dyDescent="0.3">
      <c r="A5067" t="s">
        <v>627</v>
      </c>
      <c r="B5067" s="16">
        <v>45942</v>
      </c>
      <c r="C5067" t="s">
        <v>3</v>
      </c>
      <c r="D5067" t="s">
        <v>126</v>
      </c>
      <c r="E5067">
        <v>90</v>
      </c>
      <c r="F5067">
        <v>61</v>
      </c>
      <c r="G5067">
        <v>4</v>
      </c>
      <c r="H5067">
        <v>3</v>
      </c>
      <c r="I5067">
        <v>0</v>
      </c>
      <c r="J5067">
        <v>0</v>
      </c>
      <c r="K5067">
        <v>0</v>
      </c>
      <c r="L5067">
        <v>0</v>
      </c>
      <c r="M5067">
        <v>18</v>
      </c>
      <c r="N5067">
        <v>85</v>
      </c>
      <c r="O5067">
        <f t="shared" si="166"/>
        <v>2025</v>
      </c>
      <c r="P5067">
        <f t="shared" si="167"/>
        <v>10</v>
      </c>
      <c r="Q5067" t="s">
        <v>784</v>
      </c>
      <c r="R5067" t="s">
        <v>805</v>
      </c>
    </row>
    <row r="5068" spans="1:18" x14ac:dyDescent="0.3">
      <c r="A5068" t="s">
        <v>627</v>
      </c>
      <c r="B5068" s="16">
        <v>45942</v>
      </c>
      <c r="C5068" t="s">
        <v>3</v>
      </c>
      <c r="D5068" t="s">
        <v>123</v>
      </c>
      <c r="E5068">
        <v>46</v>
      </c>
      <c r="F5068">
        <v>23</v>
      </c>
      <c r="G5068">
        <v>3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41</v>
      </c>
      <c r="N5068">
        <v>15</v>
      </c>
      <c r="O5068">
        <f t="shared" si="166"/>
        <v>2025</v>
      </c>
      <c r="P5068">
        <f t="shared" si="167"/>
        <v>10</v>
      </c>
      <c r="Q5068" t="s">
        <v>784</v>
      </c>
      <c r="R5068" t="s">
        <v>805</v>
      </c>
    </row>
    <row r="5069" spans="1:18" x14ac:dyDescent="0.3">
      <c r="A5069" t="s">
        <v>627</v>
      </c>
      <c r="B5069" s="16">
        <v>45942</v>
      </c>
      <c r="C5069" t="s">
        <v>3</v>
      </c>
      <c r="D5069" t="s">
        <v>119</v>
      </c>
      <c r="E5069">
        <v>175</v>
      </c>
      <c r="F5069">
        <v>47</v>
      </c>
      <c r="G5069">
        <v>11</v>
      </c>
      <c r="H5069">
        <v>6</v>
      </c>
      <c r="I5069">
        <v>9440</v>
      </c>
      <c r="J5069">
        <v>3</v>
      </c>
      <c r="K5069">
        <v>6340</v>
      </c>
      <c r="L5069">
        <v>3</v>
      </c>
      <c r="M5069">
        <v>46</v>
      </c>
      <c r="N5069">
        <v>168</v>
      </c>
      <c r="O5069">
        <f t="shared" si="166"/>
        <v>2025</v>
      </c>
      <c r="P5069">
        <f t="shared" si="167"/>
        <v>10</v>
      </c>
      <c r="Q5069" t="s">
        <v>784</v>
      </c>
      <c r="R5069" t="s">
        <v>805</v>
      </c>
    </row>
    <row r="5070" spans="1:18" x14ac:dyDescent="0.3">
      <c r="A5070" t="s">
        <v>627</v>
      </c>
      <c r="B5070" s="16">
        <v>45942</v>
      </c>
      <c r="C5070" t="s">
        <v>3</v>
      </c>
      <c r="D5070" t="s">
        <v>391</v>
      </c>
      <c r="E5070">
        <v>366</v>
      </c>
      <c r="F5070">
        <v>224</v>
      </c>
      <c r="G5070">
        <v>14</v>
      </c>
      <c r="H5070">
        <v>2</v>
      </c>
      <c r="I5070">
        <v>15920</v>
      </c>
      <c r="J5070">
        <v>2</v>
      </c>
      <c r="K5070">
        <v>15920</v>
      </c>
      <c r="L5070">
        <v>2</v>
      </c>
      <c r="M5070">
        <v>50</v>
      </c>
      <c r="N5070">
        <v>364</v>
      </c>
      <c r="O5070">
        <f t="shared" si="166"/>
        <v>2025</v>
      </c>
      <c r="P5070">
        <f t="shared" si="167"/>
        <v>10</v>
      </c>
      <c r="Q5070" t="s">
        <v>784</v>
      </c>
      <c r="R5070" t="s">
        <v>805</v>
      </c>
    </row>
    <row r="5071" spans="1:18" x14ac:dyDescent="0.3">
      <c r="A5071" t="s">
        <v>627</v>
      </c>
      <c r="B5071" s="16">
        <v>45942</v>
      </c>
      <c r="C5071" t="s">
        <v>3</v>
      </c>
      <c r="D5071" t="s">
        <v>113</v>
      </c>
      <c r="E5071">
        <v>105</v>
      </c>
      <c r="F5071">
        <v>58</v>
      </c>
      <c r="G5071">
        <v>5</v>
      </c>
      <c r="H5071">
        <v>1</v>
      </c>
      <c r="I5071">
        <v>0</v>
      </c>
      <c r="J5071">
        <v>0</v>
      </c>
      <c r="K5071">
        <v>0</v>
      </c>
      <c r="L5071">
        <v>0</v>
      </c>
      <c r="M5071">
        <v>90</v>
      </c>
      <c r="N5071">
        <v>63</v>
      </c>
      <c r="O5071">
        <f t="shared" si="166"/>
        <v>2025</v>
      </c>
      <c r="P5071">
        <f t="shared" si="167"/>
        <v>10</v>
      </c>
      <c r="Q5071" t="s">
        <v>784</v>
      </c>
      <c r="R5071" t="s">
        <v>805</v>
      </c>
    </row>
    <row r="5072" spans="1:18" x14ac:dyDescent="0.3">
      <c r="A5072" t="s">
        <v>627</v>
      </c>
      <c r="B5072" s="16">
        <v>45942</v>
      </c>
      <c r="C5072" t="s">
        <v>3</v>
      </c>
      <c r="D5072" t="s">
        <v>112</v>
      </c>
      <c r="E5072">
        <v>62</v>
      </c>
      <c r="F5072">
        <v>5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62</v>
      </c>
      <c r="O5072">
        <f t="shared" si="166"/>
        <v>2025</v>
      </c>
      <c r="P5072">
        <f t="shared" si="167"/>
        <v>10</v>
      </c>
      <c r="Q5072" t="s">
        <v>784</v>
      </c>
      <c r="R5072" t="s">
        <v>805</v>
      </c>
    </row>
    <row r="5073" spans="1:18" x14ac:dyDescent="0.3">
      <c r="A5073" t="s">
        <v>627</v>
      </c>
      <c r="B5073" s="16">
        <v>45941</v>
      </c>
      <c r="C5073" t="s">
        <v>2</v>
      </c>
      <c r="D5073" t="s">
        <v>4</v>
      </c>
      <c r="E5073">
        <v>378</v>
      </c>
      <c r="F5073">
        <v>95</v>
      </c>
      <c r="G5073">
        <v>2</v>
      </c>
      <c r="H5073">
        <v>1</v>
      </c>
      <c r="I5073">
        <v>0</v>
      </c>
      <c r="J5073">
        <v>0</v>
      </c>
      <c r="K5073">
        <v>0</v>
      </c>
      <c r="L5073">
        <v>0</v>
      </c>
      <c r="M5073">
        <v>2</v>
      </c>
      <c r="N5073">
        <v>375</v>
      </c>
      <c r="O5073">
        <f t="shared" si="166"/>
        <v>2025</v>
      </c>
      <c r="P5073">
        <f t="shared" si="167"/>
        <v>10</v>
      </c>
      <c r="Q5073" t="s">
        <v>784</v>
      </c>
      <c r="R5073" t="s">
        <v>805</v>
      </c>
    </row>
    <row r="5074" spans="1:18" x14ac:dyDescent="0.3">
      <c r="A5074" t="s">
        <v>627</v>
      </c>
      <c r="B5074" s="16">
        <v>45941</v>
      </c>
      <c r="C5074" t="s">
        <v>2</v>
      </c>
      <c r="D5074" t="s">
        <v>57</v>
      </c>
      <c r="E5074">
        <v>44311</v>
      </c>
      <c r="F5074">
        <v>30679</v>
      </c>
      <c r="G5074">
        <v>119</v>
      </c>
      <c r="H5074">
        <v>84</v>
      </c>
      <c r="I5074">
        <v>170660</v>
      </c>
      <c r="J5074">
        <v>24</v>
      </c>
      <c r="K5074">
        <v>94105</v>
      </c>
      <c r="L5074">
        <v>17</v>
      </c>
      <c r="M5074">
        <v>1297</v>
      </c>
      <c r="N5074">
        <v>43950</v>
      </c>
      <c r="O5074">
        <f t="shared" si="166"/>
        <v>2025</v>
      </c>
      <c r="P5074">
        <f t="shared" si="167"/>
        <v>10</v>
      </c>
      <c r="Q5074" t="s">
        <v>784</v>
      </c>
      <c r="R5074" t="s">
        <v>805</v>
      </c>
    </row>
    <row r="5075" spans="1:18" x14ac:dyDescent="0.3">
      <c r="A5075" t="s">
        <v>627</v>
      </c>
      <c r="B5075" s="16">
        <v>45941</v>
      </c>
      <c r="C5075" t="s">
        <v>2</v>
      </c>
      <c r="D5075" t="s">
        <v>55</v>
      </c>
      <c r="E5075">
        <v>1932</v>
      </c>
      <c r="F5075">
        <v>1267</v>
      </c>
      <c r="G5075">
        <v>12</v>
      </c>
      <c r="H5075">
        <v>3</v>
      </c>
      <c r="I5075">
        <v>0</v>
      </c>
      <c r="J5075">
        <v>0</v>
      </c>
      <c r="K5075">
        <v>0</v>
      </c>
      <c r="L5075">
        <v>0</v>
      </c>
      <c r="M5075">
        <v>38</v>
      </c>
      <c r="N5075">
        <v>622</v>
      </c>
      <c r="O5075">
        <f t="shared" si="166"/>
        <v>2025</v>
      </c>
      <c r="P5075">
        <f t="shared" si="167"/>
        <v>10</v>
      </c>
      <c r="Q5075" t="s">
        <v>784</v>
      </c>
      <c r="R5075" t="s">
        <v>805</v>
      </c>
    </row>
    <row r="5076" spans="1:18" x14ac:dyDescent="0.3">
      <c r="A5076" t="s">
        <v>627</v>
      </c>
      <c r="B5076" s="16">
        <v>45941</v>
      </c>
      <c r="C5076" t="s">
        <v>3</v>
      </c>
      <c r="D5076" t="s">
        <v>155</v>
      </c>
      <c r="E5076">
        <v>39</v>
      </c>
      <c r="F5076">
        <v>21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39</v>
      </c>
      <c r="O5076">
        <f t="shared" si="166"/>
        <v>2025</v>
      </c>
      <c r="P5076">
        <f t="shared" si="167"/>
        <v>10</v>
      </c>
      <c r="Q5076" t="s">
        <v>784</v>
      </c>
      <c r="R5076" t="s">
        <v>805</v>
      </c>
    </row>
    <row r="5077" spans="1:18" x14ac:dyDescent="0.3">
      <c r="A5077" t="s">
        <v>627</v>
      </c>
      <c r="B5077" s="16">
        <v>45941</v>
      </c>
      <c r="C5077" t="s">
        <v>3</v>
      </c>
      <c r="D5077" t="s">
        <v>154</v>
      </c>
      <c r="E5077">
        <v>74</v>
      </c>
      <c r="F5077">
        <v>57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f t="shared" si="166"/>
        <v>2025</v>
      </c>
      <c r="P5077">
        <f t="shared" si="167"/>
        <v>10</v>
      </c>
      <c r="Q5077" t="s">
        <v>784</v>
      </c>
      <c r="R5077" t="s">
        <v>805</v>
      </c>
    </row>
    <row r="5078" spans="1:18" x14ac:dyDescent="0.3">
      <c r="A5078" t="s">
        <v>627</v>
      </c>
      <c r="B5078" s="16">
        <v>45941</v>
      </c>
      <c r="C5078" t="s">
        <v>3</v>
      </c>
      <c r="D5078" t="s">
        <v>153</v>
      </c>
      <c r="E5078">
        <v>224</v>
      </c>
      <c r="F5078">
        <v>62</v>
      </c>
      <c r="G5078">
        <v>21</v>
      </c>
      <c r="H5078">
        <v>4</v>
      </c>
      <c r="I5078">
        <v>141200</v>
      </c>
      <c r="J5078">
        <v>25</v>
      </c>
      <c r="K5078">
        <v>129525</v>
      </c>
      <c r="L5078">
        <v>23</v>
      </c>
      <c r="M5078">
        <v>71</v>
      </c>
      <c r="N5078">
        <v>214</v>
      </c>
      <c r="O5078">
        <f t="shared" si="166"/>
        <v>2025</v>
      </c>
      <c r="P5078">
        <f t="shared" si="167"/>
        <v>10</v>
      </c>
      <c r="Q5078" t="s">
        <v>784</v>
      </c>
      <c r="R5078" t="s">
        <v>805</v>
      </c>
    </row>
    <row r="5079" spans="1:18" x14ac:dyDescent="0.3">
      <c r="A5079" t="s">
        <v>627</v>
      </c>
      <c r="B5079" s="16">
        <v>45941</v>
      </c>
      <c r="C5079" t="s">
        <v>3</v>
      </c>
      <c r="D5079" t="s">
        <v>152</v>
      </c>
      <c r="E5079">
        <v>27</v>
      </c>
      <c r="F5079">
        <v>16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13</v>
      </c>
      <c r="O5079">
        <f t="shared" si="166"/>
        <v>2025</v>
      </c>
      <c r="P5079">
        <f t="shared" si="167"/>
        <v>10</v>
      </c>
      <c r="Q5079" t="s">
        <v>784</v>
      </c>
      <c r="R5079" t="s">
        <v>805</v>
      </c>
    </row>
    <row r="5080" spans="1:18" x14ac:dyDescent="0.3">
      <c r="A5080" t="s">
        <v>627</v>
      </c>
      <c r="B5080" s="16">
        <v>45941</v>
      </c>
      <c r="C5080" t="s">
        <v>3</v>
      </c>
      <c r="D5080" t="s">
        <v>149</v>
      </c>
      <c r="E5080">
        <v>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1</v>
      </c>
      <c r="N5080">
        <v>1</v>
      </c>
      <c r="O5080">
        <f t="shared" si="166"/>
        <v>2025</v>
      </c>
      <c r="P5080">
        <f t="shared" si="167"/>
        <v>10</v>
      </c>
      <c r="Q5080" t="s">
        <v>784</v>
      </c>
      <c r="R5080" t="s">
        <v>805</v>
      </c>
    </row>
    <row r="5081" spans="1:18" x14ac:dyDescent="0.3">
      <c r="A5081" t="s">
        <v>627</v>
      </c>
      <c r="B5081" s="16">
        <v>45941</v>
      </c>
      <c r="C5081" t="s">
        <v>3</v>
      </c>
      <c r="D5081" t="s">
        <v>148</v>
      </c>
      <c r="E5081">
        <v>3</v>
      </c>
      <c r="F5081">
        <v>2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3</v>
      </c>
      <c r="N5081">
        <v>0</v>
      </c>
      <c r="O5081">
        <f t="shared" si="166"/>
        <v>2025</v>
      </c>
      <c r="P5081">
        <f t="shared" si="167"/>
        <v>10</v>
      </c>
      <c r="Q5081" t="s">
        <v>784</v>
      </c>
      <c r="R5081" t="s">
        <v>805</v>
      </c>
    </row>
    <row r="5082" spans="1:18" x14ac:dyDescent="0.3">
      <c r="A5082" t="s">
        <v>627</v>
      </c>
      <c r="B5082" s="16">
        <v>45941</v>
      </c>
      <c r="C5082" t="s">
        <v>3</v>
      </c>
      <c r="D5082" t="s">
        <v>251</v>
      </c>
      <c r="E5082">
        <v>2837</v>
      </c>
      <c r="F5082">
        <v>2170</v>
      </c>
      <c r="G5082">
        <v>10</v>
      </c>
      <c r="H5082">
        <v>2</v>
      </c>
      <c r="I5082">
        <v>52560</v>
      </c>
      <c r="J5082">
        <v>7</v>
      </c>
      <c r="K5082">
        <v>40570</v>
      </c>
      <c r="L5082">
        <v>5</v>
      </c>
      <c r="M5082">
        <v>76</v>
      </c>
      <c r="N5082">
        <v>272</v>
      </c>
      <c r="O5082">
        <f t="shared" si="166"/>
        <v>2025</v>
      </c>
      <c r="P5082">
        <f t="shared" si="167"/>
        <v>10</v>
      </c>
      <c r="Q5082" t="s">
        <v>784</v>
      </c>
      <c r="R5082" t="s">
        <v>805</v>
      </c>
    </row>
    <row r="5083" spans="1:18" x14ac:dyDescent="0.3">
      <c r="A5083" t="s">
        <v>627</v>
      </c>
      <c r="B5083" s="16">
        <v>45941</v>
      </c>
      <c r="C5083" t="s">
        <v>3</v>
      </c>
      <c r="D5083" t="s">
        <v>143</v>
      </c>
      <c r="E5083">
        <v>1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1</v>
      </c>
      <c r="O5083">
        <f t="shared" si="166"/>
        <v>2025</v>
      </c>
      <c r="P5083">
        <f t="shared" si="167"/>
        <v>10</v>
      </c>
      <c r="Q5083" t="s">
        <v>784</v>
      </c>
      <c r="R5083" t="s">
        <v>805</v>
      </c>
    </row>
    <row r="5084" spans="1:18" x14ac:dyDescent="0.3">
      <c r="A5084" t="s">
        <v>627</v>
      </c>
      <c r="B5084" s="16">
        <v>45941</v>
      </c>
      <c r="C5084" t="s">
        <v>3</v>
      </c>
      <c r="D5084" t="s">
        <v>141</v>
      </c>
      <c r="E5084">
        <v>166</v>
      </c>
      <c r="F5084">
        <v>62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1</v>
      </c>
      <c r="N5084">
        <v>165</v>
      </c>
      <c r="O5084">
        <f t="shared" si="166"/>
        <v>2025</v>
      </c>
      <c r="P5084">
        <f t="shared" si="167"/>
        <v>10</v>
      </c>
      <c r="Q5084" t="s">
        <v>784</v>
      </c>
      <c r="R5084" t="s">
        <v>805</v>
      </c>
    </row>
    <row r="5085" spans="1:18" x14ac:dyDescent="0.3">
      <c r="A5085" t="s">
        <v>627</v>
      </c>
      <c r="B5085" s="16">
        <v>45941</v>
      </c>
      <c r="C5085" t="s">
        <v>3</v>
      </c>
      <c r="D5085" t="s">
        <v>140</v>
      </c>
      <c r="E5085">
        <v>5</v>
      </c>
      <c r="F5085">
        <v>4</v>
      </c>
      <c r="G5085">
        <v>0</v>
      </c>
      <c r="H5085">
        <v>1</v>
      </c>
      <c r="I5085">
        <v>0</v>
      </c>
      <c r="J5085">
        <v>0</v>
      </c>
      <c r="K5085">
        <v>0</v>
      </c>
      <c r="L5085">
        <v>0</v>
      </c>
      <c r="M5085">
        <v>2</v>
      </c>
      <c r="N5085">
        <v>4</v>
      </c>
      <c r="O5085">
        <f t="shared" si="166"/>
        <v>2025</v>
      </c>
      <c r="P5085">
        <f t="shared" si="167"/>
        <v>10</v>
      </c>
      <c r="Q5085" t="s">
        <v>784</v>
      </c>
      <c r="R5085" t="s">
        <v>805</v>
      </c>
    </row>
    <row r="5086" spans="1:18" x14ac:dyDescent="0.3">
      <c r="A5086" t="s">
        <v>627</v>
      </c>
      <c r="B5086" s="16">
        <v>45941</v>
      </c>
      <c r="C5086" t="s">
        <v>3</v>
      </c>
      <c r="D5086" t="s">
        <v>139</v>
      </c>
      <c r="E5086">
        <v>1797</v>
      </c>
      <c r="F5086">
        <v>1149</v>
      </c>
      <c r="G5086">
        <v>36</v>
      </c>
      <c r="H5086">
        <v>6</v>
      </c>
      <c r="I5086">
        <v>90965</v>
      </c>
      <c r="J5086">
        <v>13</v>
      </c>
      <c r="K5086">
        <v>61515</v>
      </c>
      <c r="L5086">
        <v>11</v>
      </c>
      <c r="M5086">
        <v>266</v>
      </c>
      <c r="N5086">
        <v>605</v>
      </c>
      <c r="O5086">
        <f t="shared" si="166"/>
        <v>2025</v>
      </c>
      <c r="P5086">
        <f t="shared" si="167"/>
        <v>10</v>
      </c>
      <c r="Q5086" t="s">
        <v>784</v>
      </c>
      <c r="R5086" t="s">
        <v>805</v>
      </c>
    </row>
    <row r="5087" spans="1:18" x14ac:dyDescent="0.3">
      <c r="A5087" t="s">
        <v>627</v>
      </c>
      <c r="B5087" s="16">
        <v>45941</v>
      </c>
      <c r="C5087" t="s">
        <v>3</v>
      </c>
      <c r="D5087" t="s">
        <v>138</v>
      </c>
      <c r="E5087">
        <v>5</v>
      </c>
      <c r="F5087">
        <v>5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5</v>
      </c>
      <c r="O5087">
        <f t="shared" si="166"/>
        <v>2025</v>
      </c>
      <c r="P5087">
        <f t="shared" si="167"/>
        <v>10</v>
      </c>
      <c r="Q5087" t="s">
        <v>784</v>
      </c>
      <c r="R5087" t="s">
        <v>805</v>
      </c>
    </row>
    <row r="5088" spans="1:18" x14ac:dyDescent="0.3">
      <c r="A5088" t="s">
        <v>627</v>
      </c>
      <c r="B5088" s="16">
        <v>45941</v>
      </c>
      <c r="C5088" t="s">
        <v>3</v>
      </c>
      <c r="D5088" t="s">
        <v>136</v>
      </c>
      <c r="E5088">
        <v>2</v>
      </c>
      <c r="F5088">
        <v>1</v>
      </c>
      <c r="G5088">
        <v>1</v>
      </c>
      <c r="H5088">
        <v>0</v>
      </c>
      <c r="I5088">
        <v>2990</v>
      </c>
      <c r="J5088">
        <v>1</v>
      </c>
      <c r="K5088">
        <v>0</v>
      </c>
      <c r="L5088">
        <v>0</v>
      </c>
      <c r="M5088">
        <v>0</v>
      </c>
      <c r="N5088">
        <v>2</v>
      </c>
      <c r="O5088">
        <f t="shared" si="166"/>
        <v>2025</v>
      </c>
      <c r="P5088">
        <f t="shared" si="167"/>
        <v>10</v>
      </c>
      <c r="Q5088" t="s">
        <v>784</v>
      </c>
      <c r="R5088" t="s">
        <v>805</v>
      </c>
    </row>
    <row r="5089" spans="1:18" x14ac:dyDescent="0.3">
      <c r="A5089" t="s">
        <v>627</v>
      </c>
      <c r="B5089" s="16">
        <v>45941</v>
      </c>
      <c r="C5089" t="s">
        <v>3</v>
      </c>
      <c r="D5089" t="s">
        <v>133</v>
      </c>
      <c r="E5089">
        <v>13</v>
      </c>
      <c r="F5089">
        <v>9</v>
      </c>
      <c r="G5089">
        <v>1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7</v>
      </c>
      <c r="N5089">
        <v>9</v>
      </c>
      <c r="O5089">
        <f t="shared" si="166"/>
        <v>2025</v>
      </c>
      <c r="P5089">
        <f t="shared" si="167"/>
        <v>10</v>
      </c>
      <c r="Q5089" t="s">
        <v>784</v>
      </c>
      <c r="R5089" t="s">
        <v>805</v>
      </c>
    </row>
    <row r="5090" spans="1:18" x14ac:dyDescent="0.3">
      <c r="A5090" t="s">
        <v>627</v>
      </c>
      <c r="B5090" s="16">
        <v>45941</v>
      </c>
      <c r="C5090" t="s">
        <v>3</v>
      </c>
      <c r="D5090" t="s">
        <v>130</v>
      </c>
      <c r="E5090">
        <v>78</v>
      </c>
      <c r="F5090">
        <v>47</v>
      </c>
      <c r="G5090">
        <v>6</v>
      </c>
      <c r="H5090">
        <v>1</v>
      </c>
      <c r="I5090">
        <v>23525</v>
      </c>
      <c r="J5090">
        <v>4</v>
      </c>
      <c r="K5090">
        <v>23525</v>
      </c>
      <c r="L5090">
        <v>4</v>
      </c>
      <c r="M5090">
        <v>57</v>
      </c>
      <c r="N5090">
        <v>38</v>
      </c>
      <c r="O5090">
        <f t="shared" si="166"/>
        <v>2025</v>
      </c>
      <c r="P5090">
        <f t="shared" si="167"/>
        <v>10</v>
      </c>
      <c r="Q5090" t="s">
        <v>784</v>
      </c>
      <c r="R5090" t="s">
        <v>805</v>
      </c>
    </row>
    <row r="5091" spans="1:18" x14ac:dyDescent="0.3">
      <c r="A5091" t="s">
        <v>627</v>
      </c>
      <c r="B5091" s="16">
        <v>45941</v>
      </c>
      <c r="C5091" t="s">
        <v>3</v>
      </c>
      <c r="D5091" t="s">
        <v>128</v>
      </c>
      <c r="E5091">
        <v>957</v>
      </c>
      <c r="F5091">
        <v>835</v>
      </c>
      <c r="G5091">
        <v>23</v>
      </c>
      <c r="H5091">
        <v>4</v>
      </c>
      <c r="I5091">
        <v>11285</v>
      </c>
      <c r="J5091">
        <v>2</v>
      </c>
      <c r="K5091">
        <v>0</v>
      </c>
      <c r="L5091">
        <v>0</v>
      </c>
      <c r="M5091">
        <v>175</v>
      </c>
      <c r="N5091">
        <v>890</v>
      </c>
      <c r="O5091">
        <f t="shared" si="166"/>
        <v>2025</v>
      </c>
      <c r="P5091">
        <f t="shared" si="167"/>
        <v>10</v>
      </c>
      <c r="Q5091" t="s">
        <v>784</v>
      </c>
      <c r="R5091" t="s">
        <v>805</v>
      </c>
    </row>
    <row r="5092" spans="1:18" x14ac:dyDescent="0.3">
      <c r="A5092" t="s">
        <v>627</v>
      </c>
      <c r="B5092" s="16">
        <v>45941</v>
      </c>
      <c r="C5092" t="s">
        <v>3</v>
      </c>
      <c r="D5092" t="s">
        <v>127</v>
      </c>
      <c r="E5092">
        <v>2715</v>
      </c>
      <c r="F5092">
        <v>1550</v>
      </c>
      <c r="G5092">
        <v>53</v>
      </c>
      <c r="H5092">
        <v>8</v>
      </c>
      <c r="I5092">
        <v>65960</v>
      </c>
      <c r="J5092">
        <v>8</v>
      </c>
      <c r="K5092">
        <v>38620</v>
      </c>
      <c r="L5092">
        <v>6</v>
      </c>
      <c r="M5092">
        <v>208</v>
      </c>
      <c r="N5092">
        <v>2510</v>
      </c>
      <c r="O5092">
        <f t="shared" si="166"/>
        <v>2025</v>
      </c>
      <c r="P5092">
        <f t="shared" si="167"/>
        <v>10</v>
      </c>
      <c r="Q5092" t="s">
        <v>784</v>
      </c>
      <c r="R5092" t="s">
        <v>805</v>
      </c>
    </row>
    <row r="5093" spans="1:18" x14ac:dyDescent="0.3">
      <c r="A5093" t="s">
        <v>627</v>
      </c>
      <c r="B5093" s="16">
        <v>45941</v>
      </c>
      <c r="C5093" t="s">
        <v>3</v>
      </c>
      <c r="D5093" t="s">
        <v>126</v>
      </c>
      <c r="E5093">
        <v>80</v>
      </c>
      <c r="F5093">
        <v>49</v>
      </c>
      <c r="G5093">
        <v>4</v>
      </c>
      <c r="H5093">
        <v>2</v>
      </c>
      <c r="I5093">
        <v>8460</v>
      </c>
      <c r="J5093">
        <v>2</v>
      </c>
      <c r="K5093">
        <v>8460</v>
      </c>
      <c r="L5093">
        <v>2</v>
      </c>
      <c r="M5093">
        <v>13</v>
      </c>
      <c r="N5093">
        <v>77</v>
      </c>
      <c r="O5093">
        <f t="shared" si="166"/>
        <v>2025</v>
      </c>
      <c r="P5093">
        <f t="shared" si="167"/>
        <v>10</v>
      </c>
      <c r="Q5093" t="s">
        <v>784</v>
      </c>
      <c r="R5093" t="s">
        <v>805</v>
      </c>
    </row>
    <row r="5094" spans="1:18" x14ac:dyDescent="0.3">
      <c r="A5094" t="s">
        <v>627</v>
      </c>
      <c r="B5094" s="16">
        <v>45941</v>
      </c>
      <c r="C5094" t="s">
        <v>3</v>
      </c>
      <c r="D5094" t="s">
        <v>123</v>
      </c>
      <c r="E5094">
        <v>43</v>
      </c>
      <c r="F5094">
        <v>23</v>
      </c>
      <c r="G5094">
        <v>2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39</v>
      </c>
      <c r="N5094">
        <v>16</v>
      </c>
      <c r="O5094">
        <f t="shared" si="166"/>
        <v>2025</v>
      </c>
      <c r="P5094">
        <f t="shared" si="167"/>
        <v>10</v>
      </c>
      <c r="Q5094" t="s">
        <v>784</v>
      </c>
      <c r="R5094" t="s">
        <v>805</v>
      </c>
    </row>
    <row r="5095" spans="1:18" x14ac:dyDescent="0.3">
      <c r="A5095" t="s">
        <v>627</v>
      </c>
      <c r="B5095" s="16">
        <v>45941</v>
      </c>
      <c r="C5095" t="s">
        <v>3</v>
      </c>
      <c r="D5095" t="s">
        <v>122</v>
      </c>
      <c r="E5095">
        <v>1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1</v>
      </c>
      <c r="O5095">
        <f t="shared" si="166"/>
        <v>2025</v>
      </c>
      <c r="P5095">
        <f t="shared" si="167"/>
        <v>10</v>
      </c>
      <c r="Q5095" t="s">
        <v>784</v>
      </c>
      <c r="R5095" t="s">
        <v>805</v>
      </c>
    </row>
    <row r="5096" spans="1:18" x14ac:dyDescent="0.3">
      <c r="A5096" t="s">
        <v>627</v>
      </c>
      <c r="B5096" s="16">
        <v>45941</v>
      </c>
      <c r="C5096" t="s">
        <v>3</v>
      </c>
      <c r="D5096" t="s">
        <v>121</v>
      </c>
      <c r="E5096">
        <v>2</v>
      </c>
      <c r="F5096">
        <v>1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2</v>
      </c>
      <c r="O5096">
        <f t="shared" si="166"/>
        <v>2025</v>
      </c>
      <c r="P5096">
        <f t="shared" si="167"/>
        <v>10</v>
      </c>
      <c r="Q5096" t="s">
        <v>784</v>
      </c>
      <c r="R5096" t="s">
        <v>805</v>
      </c>
    </row>
    <row r="5097" spans="1:18" x14ac:dyDescent="0.3">
      <c r="A5097" t="s">
        <v>627</v>
      </c>
      <c r="B5097" s="16">
        <v>45941</v>
      </c>
      <c r="C5097" t="s">
        <v>3</v>
      </c>
      <c r="D5097" t="s">
        <v>119</v>
      </c>
      <c r="E5097">
        <v>165</v>
      </c>
      <c r="F5097">
        <v>56</v>
      </c>
      <c r="G5097">
        <v>13</v>
      </c>
      <c r="H5097">
        <v>4</v>
      </c>
      <c r="I5097">
        <v>55065</v>
      </c>
      <c r="J5097">
        <v>11</v>
      </c>
      <c r="K5097">
        <v>52075</v>
      </c>
      <c r="L5097">
        <v>10</v>
      </c>
      <c r="M5097">
        <v>47</v>
      </c>
      <c r="N5097">
        <v>157</v>
      </c>
      <c r="O5097">
        <f t="shared" si="166"/>
        <v>2025</v>
      </c>
      <c r="P5097">
        <f t="shared" si="167"/>
        <v>10</v>
      </c>
      <c r="Q5097" t="s">
        <v>784</v>
      </c>
      <c r="R5097" t="s">
        <v>805</v>
      </c>
    </row>
    <row r="5098" spans="1:18" x14ac:dyDescent="0.3">
      <c r="A5098" t="s">
        <v>627</v>
      </c>
      <c r="B5098" s="16">
        <v>45941</v>
      </c>
      <c r="C5098" t="s">
        <v>3</v>
      </c>
      <c r="D5098" t="s">
        <v>252</v>
      </c>
      <c r="E5098">
        <v>1</v>
      </c>
      <c r="F5098">
        <v>1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1</v>
      </c>
      <c r="O5098">
        <f t="shared" si="166"/>
        <v>2025</v>
      </c>
      <c r="P5098">
        <f t="shared" si="167"/>
        <v>10</v>
      </c>
      <c r="Q5098" t="s">
        <v>784</v>
      </c>
      <c r="R5098" t="s">
        <v>805</v>
      </c>
    </row>
    <row r="5099" spans="1:18" x14ac:dyDescent="0.3">
      <c r="A5099" t="s">
        <v>627</v>
      </c>
      <c r="B5099" s="16">
        <v>45941</v>
      </c>
      <c r="C5099" t="s">
        <v>3</v>
      </c>
      <c r="D5099" t="s">
        <v>391</v>
      </c>
      <c r="E5099">
        <v>361</v>
      </c>
      <c r="F5099">
        <v>233</v>
      </c>
      <c r="G5099">
        <v>13</v>
      </c>
      <c r="H5099">
        <v>1</v>
      </c>
      <c r="I5099">
        <v>13270</v>
      </c>
      <c r="J5099">
        <v>2</v>
      </c>
      <c r="K5099">
        <v>13270</v>
      </c>
      <c r="L5099">
        <v>2</v>
      </c>
      <c r="M5099">
        <v>58</v>
      </c>
      <c r="N5099">
        <v>354</v>
      </c>
      <c r="O5099">
        <f t="shared" si="166"/>
        <v>2025</v>
      </c>
      <c r="P5099">
        <f t="shared" si="167"/>
        <v>10</v>
      </c>
      <c r="Q5099" t="s">
        <v>784</v>
      </c>
      <c r="R5099" t="s">
        <v>805</v>
      </c>
    </row>
    <row r="5100" spans="1:18" x14ac:dyDescent="0.3">
      <c r="A5100" t="s">
        <v>627</v>
      </c>
      <c r="B5100" s="16">
        <v>45941</v>
      </c>
      <c r="C5100" t="s">
        <v>3</v>
      </c>
      <c r="D5100" t="s">
        <v>113</v>
      </c>
      <c r="E5100">
        <v>95</v>
      </c>
      <c r="F5100">
        <v>61</v>
      </c>
      <c r="G5100">
        <v>2</v>
      </c>
      <c r="H5100">
        <v>0</v>
      </c>
      <c r="I5100">
        <v>7980</v>
      </c>
      <c r="J5100">
        <v>1</v>
      </c>
      <c r="K5100">
        <v>3990</v>
      </c>
      <c r="L5100">
        <v>1</v>
      </c>
      <c r="M5100">
        <v>80</v>
      </c>
      <c r="N5100">
        <v>54</v>
      </c>
      <c r="O5100">
        <f t="shared" si="166"/>
        <v>2025</v>
      </c>
      <c r="P5100">
        <f t="shared" si="167"/>
        <v>10</v>
      </c>
      <c r="Q5100" t="s">
        <v>784</v>
      </c>
      <c r="R5100" t="s">
        <v>805</v>
      </c>
    </row>
    <row r="5101" spans="1:18" x14ac:dyDescent="0.3">
      <c r="A5101" t="s">
        <v>627</v>
      </c>
      <c r="B5101" s="16">
        <v>45941</v>
      </c>
      <c r="C5101" t="s">
        <v>3</v>
      </c>
      <c r="D5101" t="s">
        <v>112</v>
      </c>
      <c r="E5101">
        <v>74</v>
      </c>
      <c r="F5101">
        <v>21</v>
      </c>
      <c r="G5101">
        <v>2</v>
      </c>
      <c r="H5101">
        <v>0</v>
      </c>
      <c r="I5101">
        <v>11070</v>
      </c>
      <c r="J5101">
        <v>2</v>
      </c>
      <c r="K5101">
        <v>11070</v>
      </c>
      <c r="L5101">
        <v>2</v>
      </c>
      <c r="M5101">
        <v>0</v>
      </c>
      <c r="N5101">
        <v>74</v>
      </c>
      <c r="O5101">
        <f t="shared" si="166"/>
        <v>2025</v>
      </c>
      <c r="P5101">
        <f t="shared" si="167"/>
        <v>10</v>
      </c>
      <c r="Q5101" t="s">
        <v>784</v>
      </c>
      <c r="R5101" t="s">
        <v>805</v>
      </c>
    </row>
    <row r="5102" spans="1:18" x14ac:dyDescent="0.3">
      <c r="A5102" t="s">
        <v>627</v>
      </c>
      <c r="B5102" s="16">
        <v>45940</v>
      </c>
      <c r="C5102" t="s">
        <v>2</v>
      </c>
      <c r="D5102" t="s">
        <v>4</v>
      </c>
      <c r="E5102">
        <v>314</v>
      </c>
      <c r="F5102">
        <v>117</v>
      </c>
      <c r="G5102">
        <v>3</v>
      </c>
      <c r="H5102">
        <v>1</v>
      </c>
      <c r="I5102">
        <v>6745</v>
      </c>
      <c r="J5102">
        <v>2</v>
      </c>
      <c r="K5102">
        <v>6745</v>
      </c>
      <c r="L5102">
        <v>2</v>
      </c>
      <c r="M5102">
        <v>2</v>
      </c>
      <c r="N5102">
        <v>314</v>
      </c>
      <c r="O5102">
        <f t="shared" si="166"/>
        <v>2025</v>
      </c>
      <c r="P5102">
        <f t="shared" si="167"/>
        <v>10</v>
      </c>
      <c r="Q5102" t="s">
        <v>784</v>
      </c>
      <c r="R5102" t="s">
        <v>805</v>
      </c>
    </row>
    <row r="5103" spans="1:18" x14ac:dyDescent="0.3">
      <c r="A5103" t="s">
        <v>627</v>
      </c>
      <c r="B5103" s="16">
        <v>45940</v>
      </c>
      <c r="C5103" t="s">
        <v>2</v>
      </c>
      <c r="D5103" t="s">
        <v>57</v>
      </c>
      <c r="E5103">
        <v>44678</v>
      </c>
      <c r="F5103">
        <v>30596</v>
      </c>
      <c r="G5103">
        <v>184</v>
      </c>
      <c r="H5103">
        <v>91</v>
      </c>
      <c r="I5103">
        <v>110259.39</v>
      </c>
      <c r="J5103">
        <v>22</v>
      </c>
      <c r="K5103">
        <v>80589.39</v>
      </c>
      <c r="L5103">
        <v>18</v>
      </c>
      <c r="M5103">
        <v>1606</v>
      </c>
      <c r="N5103">
        <v>44227</v>
      </c>
      <c r="O5103">
        <f t="shared" si="166"/>
        <v>2025</v>
      </c>
      <c r="P5103">
        <f t="shared" si="167"/>
        <v>10</v>
      </c>
      <c r="Q5103" t="s">
        <v>784</v>
      </c>
      <c r="R5103" t="s">
        <v>805</v>
      </c>
    </row>
    <row r="5104" spans="1:18" x14ac:dyDescent="0.3">
      <c r="A5104" t="s">
        <v>627</v>
      </c>
      <c r="B5104" s="16">
        <v>45940</v>
      </c>
      <c r="C5104" t="s">
        <v>2</v>
      </c>
      <c r="D5104" t="s">
        <v>52</v>
      </c>
      <c r="E5104">
        <v>1</v>
      </c>
      <c r="F5104">
        <v>1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1</v>
      </c>
      <c r="N5104">
        <v>0</v>
      </c>
      <c r="O5104">
        <f t="shared" si="166"/>
        <v>2025</v>
      </c>
      <c r="P5104">
        <f t="shared" si="167"/>
        <v>10</v>
      </c>
      <c r="Q5104" t="s">
        <v>784</v>
      </c>
      <c r="R5104" t="s">
        <v>805</v>
      </c>
    </row>
    <row r="5105" spans="1:18" x14ac:dyDescent="0.3">
      <c r="A5105" t="s">
        <v>627</v>
      </c>
      <c r="B5105" s="16">
        <v>45940</v>
      </c>
      <c r="C5105" t="s">
        <v>2</v>
      </c>
      <c r="D5105" t="s">
        <v>55</v>
      </c>
      <c r="E5105">
        <v>1739</v>
      </c>
      <c r="F5105">
        <v>1139</v>
      </c>
      <c r="G5105">
        <v>8</v>
      </c>
      <c r="H5105">
        <v>3</v>
      </c>
      <c r="I5105">
        <v>0</v>
      </c>
      <c r="J5105">
        <v>0</v>
      </c>
      <c r="K5105">
        <v>0</v>
      </c>
      <c r="L5105">
        <v>0</v>
      </c>
      <c r="M5105">
        <v>46</v>
      </c>
      <c r="N5105">
        <v>504</v>
      </c>
      <c r="O5105">
        <f t="shared" si="166"/>
        <v>2025</v>
      </c>
      <c r="P5105">
        <f t="shared" si="167"/>
        <v>10</v>
      </c>
      <c r="Q5105" t="s">
        <v>784</v>
      </c>
      <c r="R5105" t="s">
        <v>805</v>
      </c>
    </row>
    <row r="5106" spans="1:18" x14ac:dyDescent="0.3">
      <c r="A5106" t="s">
        <v>627</v>
      </c>
      <c r="B5106" s="16">
        <v>45940</v>
      </c>
      <c r="C5106" t="s">
        <v>3</v>
      </c>
      <c r="D5106" t="s">
        <v>155</v>
      </c>
      <c r="E5106">
        <v>30</v>
      </c>
      <c r="F5106">
        <v>17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1</v>
      </c>
      <c r="N5106">
        <v>30</v>
      </c>
      <c r="O5106">
        <f t="shared" si="166"/>
        <v>2025</v>
      </c>
      <c r="P5106">
        <f t="shared" si="167"/>
        <v>10</v>
      </c>
      <c r="Q5106" t="s">
        <v>784</v>
      </c>
      <c r="R5106" t="s">
        <v>805</v>
      </c>
    </row>
    <row r="5107" spans="1:18" x14ac:dyDescent="0.3">
      <c r="A5107" t="s">
        <v>627</v>
      </c>
      <c r="B5107" s="16">
        <v>45940</v>
      </c>
      <c r="C5107" t="s">
        <v>3</v>
      </c>
      <c r="D5107" t="s">
        <v>154</v>
      </c>
      <c r="E5107">
        <v>142</v>
      </c>
      <c r="F5107">
        <v>122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f t="shared" si="166"/>
        <v>2025</v>
      </c>
      <c r="P5107">
        <f t="shared" si="167"/>
        <v>10</v>
      </c>
      <c r="Q5107" t="s">
        <v>784</v>
      </c>
      <c r="R5107" t="s">
        <v>805</v>
      </c>
    </row>
    <row r="5108" spans="1:18" x14ac:dyDescent="0.3">
      <c r="A5108" t="s">
        <v>627</v>
      </c>
      <c r="B5108" s="16">
        <v>45940</v>
      </c>
      <c r="C5108" t="s">
        <v>3</v>
      </c>
      <c r="D5108" t="s">
        <v>153</v>
      </c>
      <c r="E5108">
        <v>211</v>
      </c>
      <c r="F5108">
        <v>66</v>
      </c>
      <c r="G5108">
        <v>22</v>
      </c>
      <c r="H5108">
        <v>1</v>
      </c>
      <c r="I5108">
        <v>152900</v>
      </c>
      <c r="J5108">
        <v>33</v>
      </c>
      <c r="K5108">
        <v>141335</v>
      </c>
      <c r="L5108">
        <v>32</v>
      </c>
      <c r="M5108">
        <v>70</v>
      </c>
      <c r="N5108">
        <v>201</v>
      </c>
      <c r="O5108">
        <f t="shared" si="166"/>
        <v>2025</v>
      </c>
      <c r="P5108">
        <f t="shared" si="167"/>
        <v>10</v>
      </c>
      <c r="Q5108" t="s">
        <v>784</v>
      </c>
      <c r="R5108" t="s">
        <v>805</v>
      </c>
    </row>
    <row r="5109" spans="1:18" x14ac:dyDescent="0.3">
      <c r="A5109" t="s">
        <v>627</v>
      </c>
      <c r="B5109" s="16">
        <v>45940</v>
      </c>
      <c r="C5109" t="s">
        <v>3</v>
      </c>
      <c r="D5109" t="s">
        <v>152</v>
      </c>
      <c r="E5109">
        <v>21</v>
      </c>
      <c r="F5109">
        <v>13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10</v>
      </c>
      <c r="O5109">
        <f t="shared" si="166"/>
        <v>2025</v>
      </c>
      <c r="P5109">
        <f t="shared" si="167"/>
        <v>10</v>
      </c>
      <c r="Q5109" t="s">
        <v>784</v>
      </c>
      <c r="R5109" t="s">
        <v>805</v>
      </c>
    </row>
    <row r="5110" spans="1:18" x14ac:dyDescent="0.3">
      <c r="A5110" t="s">
        <v>627</v>
      </c>
      <c r="B5110" s="16">
        <v>45940</v>
      </c>
      <c r="C5110" t="s">
        <v>3</v>
      </c>
      <c r="D5110" t="s">
        <v>149</v>
      </c>
      <c r="E5110">
        <v>5</v>
      </c>
      <c r="F5110">
        <v>1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1</v>
      </c>
      <c r="N5110">
        <v>3</v>
      </c>
      <c r="O5110">
        <f t="shared" si="166"/>
        <v>2025</v>
      </c>
      <c r="P5110">
        <f t="shared" si="167"/>
        <v>10</v>
      </c>
      <c r="Q5110" t="s">
        <v>784</v>
      </c>
      <c r="R5110" t="s">
        <v>805</v>
      </c>
    </row>
    <row r="5111" spans="1:18" x14ac:dyDescent="0.3">
      <c r="A5111" t="s">
        <v>627</v>
      </c>
      <c r="B5111" s="16">
        <v>45940</v>
      </c>
      <c r="C5111" t="s">
        <v>3</v>
      </c>
      <c r="D5111" t="s">
        <v>148</v>
      </c>
      <c r="E5111">
        <v>22</v>
      </c>
      <c r="F5111">
        <v>22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22</v>
      </c>
      <c r="N5111">
        <v>0</v>
      </c>
      <c r="O5111">
        <f t="shared" si="166"/>
        <v>2025</v>
      </c>
      <c r="P5111">
        <f t="shared" si="167"/>
        <v>10</v>
      </c>
      <c r="Q5111" t="s">
        <v>784</v>
      </c>
      <c r="R5111" t="s">
        <v>805</v>
      </c>
    </row>
    <row r="5112" spans="1:18" x14ac:dyDescent="0.3">
      <c r="A5112" t="s">
        <v>627</v>
      </c>
      <c r="B5112" s="16">
        <v>45940</v>
      </c>
      <c r="C5112" t="s">
        <v>3</v>
      </c>
      <c r="D5112" t="s">
        <v>251</v>
      </c>
      <c r="E5112">
        <v>3983</v>
      </c>
      <c r="F5112">
        <v>3632</v>
      </c>
      <c r="G5112">
        <v>9</v>
      </c>
      <c r="H5112">
        <v>2</v>
      </c>
      <c r="I5112">
        <v>38177.35</v>
      </c>
      <c r="J5112">
        <v>5</v>
      </c>
      <c r="K5112">
        <v>21227.35</v>
      </c>
      <c r="L5112">
        <v>4</v>
      </c>
      <c r="M5112">
        <v>85</v>
      </c>
      <c r="N5112">
        <v>305</v>
      </c>
      <c r="O5112">
        <f t="shared" si="166"/>
        <v>2025</v>
      </c>
      <c r="P5112">
        <f t="shared" si="167"/>
        <v>10</v>
      </c>
      <c r="Q5112" t="s">
        <v>784</v>
      </c>
      <c r="R5112" t="s">
        <v>805</v>
      </c>
    </row>
    <row r="5113" spans="1:18" x14ac:dyDescent="0.3">
      <c r="A5113" t="s">
        <v>627</v>
      </c>
      <c r="B5113" s="16">
        <v>45940</v>
      </c>
      <c r="C5113" t="s">
        <v>3</v>
      </c>
      <c r="D5113" t="s">
        <v>143</v>
      </c>
      <c r="E5113">
        <v>1</v>
      </c>
      <c r="F5113">
        <v>1</v>
      </c>
      <c r="G5113">
        <v>1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1</v>
      </c>
      <c r="N5113">
        <v>1</v>
      </c>
      <c r="O5113">
        <f t="shared" si="166"/>
        <v>2025</v>
      </c>
      <c r="P5113">
        <f t="shared" si="167"/>
        <v>10</v>
      </c>
      <c r="Q5113" t="s">
        <v>784</v>
      </c>
      <c r="R5113" t="s">
        <v>805</v>
      </c>
    </row>
    <row r="5114" spans="1:18" x14ac:dyDescent="0.3">
      <c r="A5114" t="s">
        <v>627</v>
      </c>
      <c r="B5114" s="16">
        <v>45940</v>
      </c>
      <c r="C5114" t="s">
        <v>3</v>
      </c>
      <c r="D5114" t="s">
        <v>141</v>
      </c>
      <c r="E5114">
        <v>76</v>
      </c>
      <c r="F5114">
        <v>36</v>
      </c>
      <c r="G5114">
        <v>1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2</v>
      </c>
      <c r="N5114">
        <v>74</v>
      </c>
      <c r="O5114">
        <f t="shared" si="166"/>
        <v>2025</v>
      </c>
      <c r="P5114">
        <f t="shared" si="167"/>
        <v>10</v>
      </c>
      <c r="Q5114" t="s">
        <v>784</v>
      </c>
      <c r="R5114" t="s">
        <v>805</v>
      </c>
    </row>
    <row r="5115" spans="1:18" x14ac:dyDescent="0.3">
      <c r="A5115" t="s">
        <v>627</v>
      </c>
      <c r="B5115" s="16">
        <v>45940</v>
      </c>
      <c r="C5115" t="s">
        <v>3</v>
      </c>
      <c r="D5115" t="s">
        <v>140</v>
      </c>
      <c r="E5115">
        <v>4</v>
      </c>
      <c r="F5115">
        <v>4</v>
      </c>
      <c r="G5115">
        <v>0</v>
      </c>
      <c r="H5115">
        <v>0</v>
      </c>
      <c r="I5115">
        <v>6990</v>
      </c>
      <c r="J5115">
        <v>1</v>
      </c>
      <c r="K5115">
        <v>6990</v>
      </c>
      <c r="L5115">
        <v>1</v>
      </c>
      <c r="M5115">
        <v>1</v>
      </c>
      <c r="N5115">
        <v>4</v>
      </c>
      <c r="O5115">
        <f t="shared" si="166"/>
        <v>2025</v>
      </c>
      <c r="P5115">
        <f t="shared" si="167"/>
        <v>10</v>
      </c>
      <c r="Q5115" t="s">
        <v>784</v>
      </c>
      <c r="R5115" t="s">
        <v>805</v>
      </c>
    </row>
    <row r="5116" spans="1:18" x14ac:dyDescent="0.3">
      <c r="A5116" t="s">
        <v>627</v>
      </c>
      <c r="B5116" s="16">
        <v>45940</v>
      </c>
      <c r="C5116" t="s">
        <v>3</v>
      </c>
      <c r="D5116" t="s">
        <v>139</v>
      </c>
      <c r="E5116">
        <v>1603</v>
      </c>
      <c r="F5116">
        <v>889</v>
      </c>
      <c r="G5116">
        <v>62</v>
      </c>
      <c r="H5116">
        <v>6</v>
      </c>
      <c r="I5116">
        <v>95462.35</v>
      </c>
      <c r="J5116">
        <v>13</v>
      </c>
      <c r="K5116">
        <v>52847.35</v>
      </c>
      <c r="L5116">
        <v>11</v>
      </c>
      <c r="M5116">
        <v>470</v>
      </c>
      <c r="N5116">
        <v>624</v>
      </c>
      <c r="O5116">
        <f t="shared" si="166"/>
        <v>2025</v>
      </c>
      <c r="P5116">
        <f t="shared" si="167"/>
        <v>10</v>
      </c>
      <c r="Q5116" t="s">
        <v>784</v>
      </c>
      <c r="R5116" t="s">
        <v>805</v>
      </c>
    </row>
    <row r="5117" spans="1:18" x14ac:dyDescent="0.3">
      <c r="A5117" t="s">
        <v>627</v>
      </c>
      <c r="B5117" s="16">
        <v>45940</v>
      </c>
      <c r="C5117" t="s">
        <v>3</v>
      </c>
      <c r="D5117" t="s">
        <v>138</v>
      </c>
      <c r="E5117">
        <v>27</v>
      </c>
      <c r="F5117">
        <v>16</v>
      </c>
      <c r="G5117">
        <v>1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3</v>
      </c>
      <c r="N5117">
        <v>27</v>
      </c>
      <c r="O5117">
        <f t="shared" si="166"/>
        <v>2025</v>
      </c>
      <c r="P5117">
        <f t="shared" si="167"/>
        <v>10</v>
      </c>
      <c r="Q5117" t="s">
        <v>784</v>
      </c>
      <c r="R5117" t="s">
        <v>805</v>
      </c>
    </row>
    <row r="5118" spans="1:18" x14ac:dyDescent="0.3">
      <c r="A5118" t="s">
        <v>627</v>
      </c>
      <c r="B5118" s="16">
        <v>45940</v>
      </c>
      <c r="C5118" t="s">
        <v>3</v>
      </c>
      <c r="D5118" t="s">
        <v>136</v>
      </c>
      <c r="E5118">
        <v>1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1</v>
      </c>
      <c r="O5118">
        <f t="shared" si="166"/>
        <v>2025</v>
      </c>
      <c r="P5118">
        <f t="shared" si="167"/>
        <v>10</v>
      </c>
      <c r="Q5118" t="s">
        <v>784</v>
      </c>
      <c r="R5118" t="s">
        <v>805</v>
      </c>
    </row>
    <row r="5119" spans="1:18" x14ac:dyDescent="0.3">
      <c r="A5119" t="s">
        <v>627</v>
      </c>
      <c r="B5119" s="16">
        <v>45940</v>
      </c>
      <c r="C5119" t="s">
        <v>3</v>
      </c>
      <c r="D5119" t="s">
        <v>133</v>
      </c>
      <c r="E5119">
        <v>13</v>
      </c>
      <c r="F5119">
        <v>8</v>
      </c>
      <c r="G5119">
        <v>2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6</v>
      </c>
      <c r="N5119">
        <v>9</v>
      </c>
      <c r="O5119">
        <f t="shared" si="166"/>
        <v>2025</v>
      </c>
      <c r="P5119">
        <f t="shared" si="167"/>
        <v>10</v>
      </c>
      <c r="Q5119" t="s">
        <v>784</v>
      </c>
      <c r="R5119" t="s">
        <v>805</v>
      </c>
    </row>
    <row r="5120" spans="1:18" x14ac:dyDescent="0.3">
      <c r="A5120" t="s">
        <v>627</v>
      </c>
      <c r="B5120" s="16">
        <v>45940</v>
      </c>
      <c r="C5120" t="s">
        <v>3</v>
      </c>
      <c r="D5120" t="s">
        <v>130</v>
      </c>
      <c r="E5120">
        <v>136</v>
      </c>
      <c r="F5120">
        <v>69</v>
      </c>
      <c r="G5120">
        <v>6</v>
      </c>
      <c r="H5120">
        <v>0</v>
      </c>
      <c r="I5120">
        <v>4980</v>
      </c>
      <c r="J5120">
        <v>2</v>
      </c>
      <c r="K5120">
        <v>4980</v>
      </c>
      <c r="L5120">
        <v>2</v>
      </c>
      <c r="M5120">
        <v>114</v>
      </c>
      <c r="N5120">
        <v>50</v>
      </c>
      <c r="O5120">
        <f t="shared" si="166"/>
        <v>2025</v>
      </c>
      <c r="P5120">
        <f t="shared" si="167"/>
        <v>10</v>
      </c>
      <c r="Q5120" t="s">
        <v>784</v>
      </c>
      <c r="R5120" t="s">
        <v>805</v>
      </c>
    </row>
    <row r="5121" spans="1:18" x14ac:dyDescent="0.3">
      <c r="A5121" t="s">
        <v>627</v>
      </c>
      <c r="B5121" s="16">
        <v>45940</v>
      </c>
      <c r="C5121" t="s">
        <v>3</v>
      </c>
      <c r="D5121" t="s">
        <v>128</v>
      </c>
      <c r="E5121">
        <v>874</v>
      </c>
      <c r="F5121">
        <v>768</v>
      </c>
      <c r="G5121">
        <v>22</v>
      </c>
      <c r="H5121">
        <v>6</v>
      </c>
      <c r="I5121">
        <v>68885</v>
      </c>
      <c r="J5121">
        <v>5</v>
      </c>
      <c r="K5121">
        <v>28155</v>
      </c>
      <c r="L5121">
        <v>4</v>
      </c>
      <c r="M5121">
        <v>144</v>
      </c>
      <c r="N5121">
        <v>825</v>
      </c>
      <c r="O5121">
        <f t="shared" si="166"/>
        <v>2025</v>
      </c>
      <c r="P5121">
        <f t="shared" si="167"/>
        <v>10</v>
      </c>
      <c r="Q5121" t="s">
        <v>784</v>
      </c>
      <c r="R5121" t="s">
        <v>805</v>
      </c>
    </row>
    <row r="5122" spans="1:18" x14ac:dyDescent="0.3">
      <c r="A5122" t="s">
        <v>627</v>
      </c>
      <c r="B5122" s="16">
        <v>45940</v>
      </c>
      <c r="C5122" t="s">
        <v>3</v>
      </c>
      <c r="D5122" t="s">
        <v>127</v>
      </c>
      <c r="E5122">
        <v>1712</v>
      </c>
      <c r="F5122">
        <v>950</v>
      </c>
      <c r="G5122">
        <v>18</v>
      </c>
      <c r="H5122">
        <v>13</v>
      </c>
      <c r="I5122">
        <v>27944.39</v>
      </c>
      <c r="J5122">
        <v>6</v>
      </c>
      <c r="K5122">
        <v>23954.39</v>
      </c>
      <c r="L5122">
        <v>6</v>
      </c>
      <c r="M5122">
        <v>153</v>
      </c>
      <c r="N5122">
        <v>1608</v>
      </c>
      <c r="O5122">
        <f t="shared" si="166"/>
        <v>2025</v>
      </c>
      <c r="P5122">
        <f t="shared" si="167"/>
        <v>10</v>
      </c>
      <c r="Q5122" t="s">
        <v>784</v>
      </c>
      <c r="R5122" t="s">
        <v>805</v>
      </c>
    </row>
    <row r="5123" spans="1:18" x14ac:dyDescent="0.3">
      <c r="A5123" t="s">
        <v>627</v>
      </c>
      <c r="B5123" s="16">
        <v>45940</v>
      </c>
      <c r="C5123" t="s">
        <v>3</v>
      </c>
      <c r="D5123" t="s">
        <v>126</v>
      </c>
      <c r="E5123">
        <v>82</v>
      </c>
      <c r="F5123">
        <v>55</v>
      </c>
      <c r="G5123">
        <v>5</v>
      </c>
      <c r="H5123">
        <v>1</v>
      </c>
      <c r="I5123">
        <v>16950</v>
      </c>
      <c r="J5123">
        <v>1</v>
      </c>
      <c r="K5123">
        <v>0</v>
      </c>
      <c r="L5123">
        <v>0</v>
      </c>
      <c r="M5123">
        <v>10</v>
      </c>
      <c r="N5123">
        <v>82</v>
      </c>
      <c r="O5123">
        <f t="shared" si="166"/>
        <v>2025</v>
      </c>
      <c r="P5123">
        <f t="shared" si="167"/>
        <v>10</v>
      </c>
      <c r="Q5123" t="s">
        <v>784</v>
      </c>
      <c r="R5123" t="s">
        <v>805</v>
      </c>
    </row>
    <row r="5124" spans="1:18" x14ac:dyDescent="0.3">
      <c r="A5124" t="s">
        <v>627</v>
      </c>
      <c r="B5124" s="16">
        <v>45940</v>
      </c>
      <c r="C5124" t="s">
        <v>3</v>
      </c>
      <c r="D5124" t="s">
        <v>123</v>
      </c>
      <c r="E5124">
        <v>55</v>
      </c>
      <c r="F5124">
        <v>31</v>
      </c>
      <c r="G5124">
        <v>3</v>
      </c>
      <c r="H5124">
        <v>0</v>
      </c>
      <c r="I5124">
        <v>5467.65</v>
      </c>
      <c r="J5124">
        <v>2</v>
      </c>
      <c r="K5124">
        <v>5467.65</v>
      </c>
      <c r="L5124">
        <v>2</v>
      </c>
      <c r="M5124">
        <v>50</v>
      </c>
      <c r="N5124">
        <v>21</v>
      </c>
      <c r="O5124">
        <f t="shared" si="166"/>
        <v>2025</v>
      </c>
      <c r="P5124">
        <f t="shared" si="167"/>
        <v>10</v>
      </c>
      <c r="Q5124" t="s">
        <v>784</v>
      </c>
      <c r="R5124" t="s">
        <v>805</v>
      </c>
    </row>
    <row r="5125" spans="1:18" x14ac:dyDescent="0.3">
      <c r="A5125" t="s">
        <v>627</v>
      </c>
      <c r="B5125" s="16">
        <v>45940</v>
      </c>
      <c r="C5125" t="s">
        <v>3</v>
      </c>
      <c r="D5125" t="s">
        <v>119</v>
      </c>
      <c r="E5125">
        <v>158</v>
      </c>
      <c r="F5125">
        <v>64</v>
      </c>
      <c r="G5125">
        <v>12</v>
      </c>
      <c r="H5125">
        <v>7</v>
      </c>
      <c r="I5125">
        <v>25321</v>
      </c>
      <c r="J5125">
        <v>7</v>
      </c>
      <c r="K5125">
        <v>20626</v>
      </c>
      <c r="L5125">
        <v>6</v>
      </c>
      <c r="M5125">
        <v>34</v>
      </c>
      <c r="N5125">
        <v>149</v>
      </c>
      <c r="O5125">
        <f t="shared" si="166"/>
        <v>2025</v>
      </c>
      <c r="P5125">
        <f t="shared" si="167"/>
        <v>10</v>
      </c>
      <c r="Q5125" t="s">
        <v>784</v>
      </c>
      <c r="R5125" t="s">
        <v>805</v>
      </c>
    </row>
    <row r="5126" spans="1:18" x14ac:dyDescent="0.3">
      <c r="A5126" t="s">
        <v>627</v>
      </c>
      <c r="B5126" s="16">
        <v>45940</v>
      </c>
      <c r="C5126" t="s">
        <v>3</v>
      </c>
      <c r="D5126" t="s">
        <v>583</v>
      </c>
      <c r="E5126">
        <v>1</v>
      </c>
      <c r="F5126">
        <v>1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1</v>
      </c>
      <c r="O5126">
        <f t="shared" si="166"/>
        <v>2025</v>
      </c>
      <c r="P5126">
        <f t="shared" si="167"/>
        <v>10</v>
      </c>
      <c r="Q5126" t="s">
        <v>784</v>
      </c>
      <c r="R5126" t="s">
        <v>805</v>
      </c>
    </row>
    <row r="5127" spans="1:18" x14ac:dyDescent="0.3">
      <c r="A5127" t="s">
        <v>627</v>
      </c>
      <c r="B5127" s="16">
        <v>45940</v>
      </c>
      <c r="C5127" t="s">
        <v>3</v>
      </c>
      <c r="D5127" t="s">
        <v>252</v>
      </c>
      <c r="E5127">
        <v>1</v>
      </c>
      <c r="F5127">
        <v>1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1</v>
      </c>
      <c r="O5127">
        <f t="shared" si="166"/>
        <v>2025</v>
      </c>
      <c r="P5127">
        <f t="shared" si="167"/>
        <v>10</v>
      </c>
      <c r="Q5127" t="s">
        <v>784</v>
      </c>
      <c r="R5127" t="s">
        <v>805</v>
      </c>
    </row>
    <row r="5128" spans="1:18" x14ac:dyDescent="0.3">
      <c r="A5128" t="s">
        <v>627</v>
      </c>
      <c r="B5128" s="16">
        <v>45940</v>
      </c>
      <c r="C5128" t="s">
        <v>3</v>
      </c>
      <c r="D5128" t="s">
        <v>391</v>
      </c>
      <c r="E5128">
        <v>346</v>
      </c>
      <c r="F5128">
        <v>230</v>
      </c>
      <c r="G5128">
        <v>14</v>
      </c>
      <c r="H5128">
        <v>2</v>
      </c>
      <c r="I5128">
        <v>13055</v>
      </c>
      <c r="J5128">
        <v>4</v>
      </c>
      <c r="K5128">
        <v>13055</v>
      </c>
      <c r="L5128">
        <v>4</v>
      </c>
      <c r="M5128">
        <v>54</v>
      </c>
      <c r="N5128">
        <v>339</v>
      </c>
      <c r="O5128">
        <f t="shared" si="166"/>
        <v>2025</v>
      </c>
      <c r="P5128">
        <f t="shared" si="167"/>
        <v>10</v>
      </c>
      <c r="Q5128" t="s">
        <v>784</v>
      </c>
      <c r="R5128" t="s">
        <v>805</v>
      </c>
    </row>
    <row r="5129" spans="1:18" x14ac:dyDescent="0.3">
      <c r="A5129" t="s">
        <v>627</v>
      </c>
      <c r="B5129" s="16">
        <v>45940</v>
      </c>
      <c r="C5129" t="s">
        <v>3</v>
      </c>
      <c r="D5129" t="s">
        <v>113</v>
      </c>
      <c r="E5129">
        <v>103</v>
      </c>
      <c r="F5129">
        <v>63</v>
      </c>
      <c r="G5129">
        <v>4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90</v>
      </c>
      <c r="N5129">
        <v>51</v>
      </c>
      <c r="O5129">
        <f t="shared" ref="O5129:O5192" si="168">YEAR(B5129)</f>
        <v>2025</v>
      </c>
      <c r="P5129">
        <f t="shared" ref="P5129:P5192" si="169">MONTH(B5129)</f>
        <v>10</v>
      </c>
      <c r="Q5129" t="s">
        <v>784</v>
      </c>
      <c r="R5129" t="s">
        <v>805</v>
      </c>
    </row>
    <row r="5130" spans="1:18" x14ac:dyDescent="0.3">
      <c r="A5130" t="s">
        <v>627</v>
      </c>
      <c r="B5130" s="16">
        <v>45940</v>
      </c>
      <c r="C5130" t="s">
        <v>3</v>
      </c>
      <c r="D5130" t="s">
        <v>112</v>
      </c>
      <c r="E5130">
        <v>60</v>
      </c>
      <c r="F5130">
        <v>12</v>
      </c>
      <c r="G5130">
        <v>0</v>
      </c>
      <c r="H5130">
        <v>0</v>
      </c>
      <c r="I5130">
        <v>13140</v>
      </c>
      <c r="J5130">
        <v>3</v>
      </c>
      <c r="K5130">
        <v>13140</v>
      </c>
      <c r="L5130">
        <v>3</v>
      </c>
      <c r="M5130">
        <v>0</v>
      </c>
      <c r="N5130">
        <v>60</v>
      </c>
      <c r="O5130">
        <f t="shared" si="168"/>
        <v>2025</v>
      </c>
      <c r="P5130">
        <f t="shared" si="169"/>
        <v>10</v>
      </c>
      <c r="Q5130" t="s">
        <v>784</v>
      </c>
      <c r="R5130" t="s">
        <v>805</v>
      </c>
    </row>
    <row r="5131" spans="1:18" x14ac:dyDescent="0.3">
      <c r="A5131" t="s">
        <v>627</v>
      </c>
      <c r="B5131" s="16">
        <v>45610</v>
      </c>
      <c r="C5131" t="s">
        <v>2</v>
      </c>
      <c r="D5131" t="s">
        <v>4</v>
      </c>
      <c r="E5131">
        <v>207</v>
      </c>
      <c r="F5131">
        <v>69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11</v>
      </c>
      <c r="N5131">
        <v>203</v>
      </c>
      <c r="O5131">
        <f t="shared" si="168"/>
        <v>2024</v>
      </c>
      <c r="P5131">
        <f t="shared" si="169"/>
        <v>11</v>
      </c>
      <c r="Q5131" t="s">
        <v>785</v>
      </c>
    </row>
    <row r="5132" spans="1:18" x14ac:dyDescent="0.3">
      <c r="A5132" t="s">
        <v>627</v>
      </c>
      <c r="B5132" s="16">
        <v>45610</v>
      </c>
      <c r="C5132" t="s">
        <v>2</v>
      </c>
      <c r="D5132" t="s">
        <v>57</v>
      </c>
      <c r="E5132">
        <v>8019</v>
      </c>
      <c r="F5132">
        <v>4597</v>
      </c>
      <c r="G5132">
        <v>163</v>
      </c>
      <c r="H5132">
        <v>119</v>
      </c>
      <c r="I5132">
        <v>75607</v>
      </c>
      <c r="J5132">
        <v>15</v>
      </c>
      <c r="K5132">
        <v>27087</v>
      </c>
      <c r="L5132">
        <v>7</v>
      </c>
      <c r="M5132">
        <v>601</v>
      </c>
      <c r="N5132">
        <v>7990</v>
      </c>
      <c r="O5132">
        <f t="shared" si="168"/>
        <v>2024</v>
      </c>
      <c r="P5132">
        <f t="shared" si="169"/>
        <v>11</v>
      </c>
      <c r="Q5132" t="s">
        <v>785</v>
      </c>
    </row>
    <row r="5133" spans="1:18" x14ac:dyDescent="0.3">
      <c r="A5133" t="s">
        <v>627</v>
      </c>
      <c r="B5133" s="16">
        <v>45610</v>
      </c>
      <c r="C5133" t="s">
        <v>2</v>
      </c>
      <c r="D5133" t="s">
        <v>52</v>
      </c>
      <c r="E5133">
        <v>555</v>
      </c>
      <c r="F5133">
        <v>462</v>
      </c>
      <c r="G5133">
        <v>16</v>
      </c>
      <c r="H5133">
        <v>4</v>
      </c>
      <c r="I5133">
        <v>4695</v>
      </c>
      <c r="J5133">
        <v>1</v>
      </c>
      <c r="K5133">
        <v>4695</v>
      </c>
      <c r="L5133">
        <v>1</v>
      </c>
      <c r="M5133">
        <v>555</v>
      </c>
      <c r="N5133">
        <v>310</v>
      </c>
      <c r="O5133">
        <f t="shared" si="168"/>
        <v>2024</v>
      </c>
      <c r="P5133">
        <f t="shared" si="169"/>
        <v>11</v>
      </c>
      <c r="Q5133" t="s">
        <v>785</v>
      </c>
    </row>
    <row r="5134" spans="1:18" x14ac:dyDescent="0.3">
      <c r="A5134" t="s">
        <v>627</v>
      </c>
      <c r="B5134" s="16">
        <v>45610</v>
      </c>
      <c r="C5134" t="s">
        <v>2</v>
      </c>
      <c r="D5134" t="s">
        <v>55</v>
      </c>
      <c r="E5134">
        <v>108</v>
      </c>
      <c r="F5134">
        <v>79</v>
      </c>
      <c r="G5134">
        <v>3</v>
      </c>
      <c r="H5134">
        <v>3</v>
      </c>
      <c r="I5134">
        <v>0</v>
      </c>
      <c r="J5134">
        <v>0</v>
      </c>
      <c r="K5134">
        <v>0</v>
      </c>
      <c r="L5134">
        <v>0</v>
      </c>
      <c r="M5134">
        <v>4</v>
      </c>
      <c r="N5134">
        <v>81</v>
      </c>
      <c r="O5134">
        <f t="shared" si="168"/>
        <v>2024</v>
      </c>
      <c r="P5134">
        <f t="shared" si="169"/>
        <v>11</v>
      </c>
      <c r="Q5134" t="s">
        <v>785</v>
      </c>
    </row>
    <row r="5135" spans="1:18" x14ac:dyDescent="0.3">
      <c r="A5135" t="s">
        <v>627</v>
      </c>
      <c r="B5135" s="16">
        <v>45610</v>
      </c>
      <c r="C5135" t="s">
        <v>3</v>
      </c>
      <c r="D5135" t="s">
        <v>155</v>
      </c>
      <c r="E5135">
        <v>2</v>
      </c>
      <c r="F5135">
        <v>1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2</v>
      </c>
      <c r="O5135">
        <f t="shared" si="168"/>
        <v>2024</v>
      </c>
      <c r="P5135">
        <f t="shared" si="169"/>
        <v>11</v>
      </c>
      <c r="Q5135" t="s">
        <v>785</v>
      </c>
    </row>
    <row r="5136" spans="1:18" x14ac:dyDescent="0.3">
      <c r="A5136" t="s">
        <v>627</v>
      </c>
      <c r="B5136" s="16">
        <v>45610</v>
      </c>
      <c r="C5136" t="s">
        <v>3</v>
      </c>
      <c r="D5136" t="s">
        <v>153</v>
      </c>
      <c r="E5136">
        <v>283</v>
      </c>
      <c r="F5136">
        <v>58</v>
      </c>
      <c r="G5136">
        <v>11</v>
      </c>
      <c r="H5136">
        <v>1</v>
      </c>
      <c r="I5136">
        <v>11860</v>
      </c>
      <c r="J5136">
        <v>2</v>
      </c>
      <c r="K5136">
        <v>11860</v>
      </c>
      <c r="L5136">
        <v>2</v>
      </c>
      <c r="M5136">
        <v>54</v>
      </c>
      <c r="N5136">
        <v>275</v>
      </c>
      <c r="O5136">
        <f t="shared" si="168"/>
        <v>2024</v>
      </c>
      <c r="P5136">
        <f t="shared" si="169"/>
        <v>11</v>
      </c>
      <c r="Q5136" t="s">
        <v>785</v>
      </c>
    </row>
    <row r="5137" spans="1:17" x14ac:dyDescent="0.3">
      <c r="A5137" t="s">
        <v>627</v>
      </c>
      <c r="B5137" s="16">
        <v>45610</v>
      </c>
      <c r="C5137" t="s">
        <v>3</v>
      </c>
      <c r="D5137" t="s">
        <v>152</v>
      </c>
      <c r="E5137">
        <v>5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5</v>
      </c>
      <c r="O5137">
        <f t="shared" si="168"/>
        <v>2024</v>
      </c>
      <c r="P5137">
        <f t="shared" si="169"/>
        <v>11</v>
      </c>
      <c r="Q5137" t="s">
        <v>785</v>
      </c>
    </row>
    <row r="5138" spans="1:17" x14ac:dyDescent="0.3">
      <c r="A5138" t="s">
        <v>627</v>
      </c>
      <c r="B5138" s="16">
        <v>45610</v>
      </c>
      <c r="C5138" t="s">
        <v>3</v>
      </c>
      <c r="D5138" t="s">
        <v>150</v>
      </c>
      <c r="E5138">
        <v>5</v>
      </c>
      <c r="F5138">
        <v>2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5</v>
      </c>
      <c r="O5138">
        <f t="shared" si="168"/>
        <v>2024</v>
      </c>
      <c r="P5138">
        <f t="shared" si="169"/>
        <v>11</v>
      </c>
      <c r="Q5138" t="s">
        <v>785</v>
      </c>
    </row>
    <row r="5139" spans="1:17" x14ac:dyDescent="0.3">
      <c r="A5139" t="s">
        <v>627</v>
      </c>
      <c r="B5139" s="16">
        <v>45610</v>
      </c>
      <c r="C5139" t="s">
        <v>3</v>
      </c>
      <c r="D5139" t="s">
        <v>149</v>
      </c>
      <c r="E5139">
        <v>8</v>
      </c>
      <c r="F5139">
        <v>2</v>
      </c>
      <c r="G5139">
        <v>1</v>
      </c>
      <c r="H5139">
        <v>0</v>
      </c>
      <c r="I5139">
        <v>17500</v>
      </c>
      <c r="J5139">
        <v>1</v>
      </c>
      <c r="K5139">
        <v>17500</v>
      </c>
      <c r="L5139">
        <v>1</v>
      </c>
      <c r="M5139">
        <v>1</v>
      </c>
      <c r="N5139">
        <v>8</v>
      </c>
      <c r="O5139">
        <f t="shared" si="168"/>
        <v>2024</v>
      </c>
      <c r="P5139">
        <f t="shared" si="169"/>
        <v>11</v>
      </c>
      <c r="Q5139" t="s">
        <v>785</v>
      </c>
    </row>
    <row r="5140" spans="1:17" x14ac:dyDescent="0.3">
      <c r="A5140" t="s">
        <v>627</v>
      </c>
      <c r="B5140" s="16">
        <v>45610</v>
      </c>
      <c r="C5140" t="s">
        <v>3</v>
      </c>
      <c r="D5140" t="s">
        <v>148</v>
      </c>
      <c r="E5140">
        <v>1</v>
      </c>
      <c r="F5140">
        <v>1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1</v>
      </c>
      <c r="O5140">
        <f t="shared" si="168"/>
        <v>2024</v>
      </c>
      <c r="P5140">
        <f t="shared" si="169"/>
        <v>11</v>
      </c>
      <c r="Q5140" t="s">
        <v>785</v>
      </c>
    </row>
    <row r="5141" spans="1:17" x14ac:dyDescent="0.3">
      <c r="A5141" t="s">
        <v>627</v>
      </c>
      <c r="B5141" s="16">
        <v>45610</v>
      </c>
      <c r="C5141" t="s">
        <v>3</v>
      </c>
      <c r="D5141" t="s">
        <v>251</v>
      </c>
      <c r="E5141">
        <v>254</v>
      </c>
      <c r="F5141">
        <v>100</v>
      </c>
      <c r="G5141">
        <v>7</v>
      </c>
      <c r="H5141">
        <v>2</v>
      </c>
      <c r="I5141">
        <v>0</v>
      </c>
      <c r="J5141">
        <v>0</v>
      </c>
      <c r="K5141">
        <v>0</v>
      </c>
      <c r="L5141">
        <v>0</v>
      </c>
      <c r="M5141">
        <v>47</v>
      </c>
      <c r="N5141">
        <v>228</v>
      </c>
      <c r="O5141">
        <f t="shared" si="168"/>
        <v>2024</v>
      </c>
      <c r="P5141">
        <f t="shared" si="169"/>
        <v>11</v>
      </c>
      <c r="Q5141" t="s">
        <v>785</v>
      </c>
    </row>
    <row r="5142" spans="1:17" x14ac:dyDescent="0.3">
      <c r="A5142" t="s">
        <v>627</v>
      </c>
      <c r="B5142" s="16">
        <v>45610</v>
      </c>
      <c r="C5142" t="s">
        <v>3</v>
      </c>
      <c r="D5142" t="s">
        <v>143</v>
      </c>
      <c r="E5142">
        <v>12</v>
      </c>
      <c r="F5142">
        <v>12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12</v>
      </c>
      <c r="O5142">
        <f t="shared" si="168"/>
        <v>2024</v>
      </c>
      <c r="P5142">
        <f t="shared" si="169"/>
        <v>11</v>
      </c>
      <c r="Q5142" t="s">
        <v>785</v>
      </c>
    </row>
    <row r="5143" spans="1:17" x14ac:dyDescent="0.3">
      <c r="A5143" t="s">
        <v>627</v>
      </c>
      <c r="B5143" s="16">
        <v>45610</v>
      </c>
      <c r="C5143" t="s">
        <v>3</v>
      </c>
      <c r="D5143" t="s">
        <v>141</v>
      </c>
      <c r="E5143">
        <v>3</v>
      </c>
      <c r="F5143">
        <v>3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3</v>
      </c>
      <c r="O5143">
        <f t="shared" si="168"/>
        <v>2024</v>
      </c>
      <c r="P5143">
        <f t="shared" si="169"/>
        <v>11</v>
      </c>
      <c r="Q5143" t="s">
        <v>785</v>
      </c>
    </row>
    <row r="5144" spans="1:17" x14ac:dyDescent="0.3">
      <c r="A5144" t="s">
        <v>627</v>
      </c>
      <c r="B5144" s="16">
        <v>45610</v>
      </c>
      <c r="C5144" t="s">
        <v>3</v>
      </c>
      <c r="D5144" t="s">
        <v>140</v>
      </c>
      <c r="E5144">
        <v>3</v>
      </c>
      <c r="F5144">
        <v>2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1</v>
      </c>
      <c r="N5144">
        <v>3</v>
      </c>
      <c r="O5144">
        <f t="shared" si="168"/>
        <v>2024</v>
      </c>
      <c r="P5144">
        <f t="shared" si="169"/>
        <v>11</v>
      </c>
      <c r="Q5144" t="s">
        <v>785</v>
      </c>
    </row>
    <row r="5145" spans="1:17" x14ac:dyDescent="0.3">
      <c r="A5145" t="s">
        <v>627</v>
      </c>
      <c r="B5145" s="16">
        <v>45610</v>
      </c>
      <c r="C5145" t="s">
        <v>3</v>
      </c>
      <c r="D5145" t="s">
        <v>139</v>
      </c>
      <c r="E5145">
        <v>953</v>
      </c>
      <c r="F5145">
        <v>464</v>
      </c>
      <c r="G5145">
        <v>26</v>
      </c>
      <c r="H5145">
        <v>3</v>
      </c>
      <c r="I5145">
        <v>24432</v>
      </c>
      <c r="J5145">
        <v>6</v>
      </c>
      <c r="K5145">
        <v>24432</v>
      </c>
      <c r="L5145">
        <v>6</v>
      </c>
      <c r="M5145">
        <v>229</v>
      </c>
      <c r="N5145">
        <v>871</v>
      </c>
      <c r="O5145">
        <f t="shared" si="168"/>
        <v>2024</v>
      </c>
      <c r="P5145">
        <f t="shared" si="169"/>
        <v>11</v>
      </c>
      <c r="Q5145" t="s">
        <v>785</v>
      </c>
    </row>
    <row r="5146" spans="1:17" x14ac:dyDescent="0.3">
      <c r="A5146" t="s">
        <v>627</v>
      </c>
      <c r="B5146" s="16">
        <v>45610</v>
      </c>
      <c r="C5146" t="s">
        <v>3</v>
      </c>
      <c r="D5146" t="s">
        <v>138</v>
      </c>
      <c r="E5146">
        <v>11</v>
      </c>
      <c r="F5146">
        <v>9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2</v>
      </c>
      <c r="N5146">
        <v>9</v>
      </c>
      <c r="O5146">
        <f t="shared" si="168"/>
        <v>2024</v>
      </c>
      <c r="P5146">
        <f t="shared" si="169"/>
        <v>11</v>
      </c>
      <c r="Q5146" t="s">
        <v>785</v>
      </c>
    </row>
    <row r="5147" spans="1:17" x14ac:dyDescent="0.3">
      <c r="A5147" t="s">
        <v>627</v>
      </c>
      <c r="B5147" s="16">
        <v>45610</v>
      </c>
      <c r="C5147" t="s">
        <v>3</v>
      </c>
      <c r="D5147" t="s">
        <v>137</v>
      </c>
      <c r="E5147">
        <v>6</v>
      </c>
      <c r="F5147">
        <v>4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1</v>
      </c>
      <c r="N5147">
        <v>6</v>
      </c>
      <c r="O5147">
        <f t="shared" si="168"/>
        <v>2024</v>
      </c>
      <c r="P5147">
        <f t="shared" si="169"/>
        <v>11</v>
      </c>
      <c r="Q5147" t="s">
        <v>785</v>
      </c>
    </row>
    <row r="5148" spans="1:17" x14ac:dyDescent="0.3">
      <c r="A5148" t="s">
        <v>627</v>
      </c>
      <c r="B5148" s="16">
        <v>45610</v>
      </c>
      <c r="C5148" t="s">
        <v>3</v>
      </c>
      <c r="D5148" t="s">
        <v>135</v>
      </c>
      <c r="E5148">
        <v>16</v>
      </c>
      <c r="F5148">
        <v>3</v>
      </c>
      <c r="G5148">
        <v>1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1</v>
      </c>
      <c r="N5148">
        <v>16</v>
      </c>
      <c r="O5148">
        <f t="shared" si="168"/>
        <v>2024</v>
      </c>
      <c r="P5148">
        <f t="shared" si="169"/>
        <v>11</v>
      </c>
      <c r="Q5148" t="s">
        <v>785</v>
      </c>
    </row>
    <row r="5149" spans="1:17" x14ac:dyDescent="0.3">
      <c r="A5149" t="s">
        <v>627</v>
      </c>
      <c r="B5149" s="16">
        <v>45610</v>
      </c>
      <c r="C5149" t="s">
        <v>3</v>
      </c>
      <c r="D5149" t="s">
        <v>133</v>
      </c>
      <c r="E5149">
        <v>27</v>
      </c>
      <c r="F5149">
        <v>8</v>
      </c>
      <c r="G5149">
        <v>1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6</v>
      </c>
      <c r="N5149">
        <v>24</v>
      </c>
      <c r="O5149">
        <f t="shared" si="168"/>
        <v>2024</v>
      </c>
      <c r="P5149">
        <f t="shared" si="169"/>
        <v>11</v>
      </c>
      <c r="Q5149" t="s">
        <v>785</v>
      </c>
    </row>
    <row r="5150" spans="1:17" x14ac:dyDescent="0.3">
      <c r="A5150" t="s">
        <v>627</v>
      </c>
      <c r="B5150" s="16">
        <v>45610</v>
      </c>
      <c r="C5150" t="s">
        <v>3</v>
      </c>
      <c r="D5150" t="s">
        <v>130</v>
      </c>
      <c r="E5150">
        <v>163</v>
      </c>
      <c r="F5150">
        <v>75</v>
      </c>
      <c r="G5150">
        <v>10</v>
      </c>
      <c r="H5150">
        <v>6</v>
      </c>
      <c r="I5150">
        <v>38180</v>
      </c>
      <c r="J5150">
        <v>6</v>
      </c>
      <c r="K5150">
        <v>35185</v>
      </c>
      <c r="L5150">
        <v>5</v>
      </c>
      <c r="M5150">
        <v>38</v>
      </c>
      <c r="N5150">
        <v>154</v>
      </c>
      <c r="O5150">
        <f t="shared" si="168"/>
        <v>2024</v>
      </c>
      <c r="P5150">
        <f t="shared" si="169"/>
        <v>11</v>
      </c>
      <c r="Q5150" t="s">
        <v>785</v>
      </c>
    </row>
    <row r="5151" spans="1:17" x14ac:dyDescent="0.3">
      <c r="A5151" t="s">
        <v>627</v>
      </c>
      <c r="B5151" s="16">
        <v>45610</v>
      </c>
      <c r="C5151" t="s">
        <v>3</v>
      </c>
      <c r="D5151" t="s">
        <v>128</v>
      </c>
      <c r="E5151">
        <v>1074</v>
      </c>
      <c r="F5151">
        <v>845</v>
      </c>
      <c r="G5151">
        <v>24</v>
      </c>
      <c r="H5151">
        <v>13</v>
      </c>
      <c r="I5151">
        <v>15045</v>
      </c>
      <c r="J5151">
        <v>2</v>
      </c>
      <c r="K5151">
        <v>4095</v>
      </c>
      <c r="L5151">
        <v>1</v>
      </c>
      <c r="M5151">
        <v>269</v>
      </c>
      <c r="N5151">
        <v>949</v>
      </c>
      <c r="O5151">
        <f t="shared" si="168"/>
        <v>2024</v>
      </c>
      <c r="P5151">
        <f t="shared" si="169"/>
        <v>11</v>
      </c>
      <c r="Q5151" t="s">
        <v>785</v>
      </c>
    </row>
    <row r="5152" spans="1:17" x14ac:dyDescent="0.3">
      <c r="A5152" t="s">
        <v>627</v>
      </c>
      <c r="B5152" s="16">
        <v>45610</v>
      </c>
      <c r="C5152" t="s">
        <v>3</v>
      </c>
      <c r="D5152" t="s">
        <v>127</v>
      </c>
      <c r="E5152">
        <v>3297</v>
      </c>
      <c r="F5152">
        <v>1464</v>
      </c>
      <c r="G5152">
        <v>50</v>
      </c>
      <c r="H5152">
        <v>30</v>
      </c>
      <c r="I5152">
        <v>19180</v>
      </c>
      <c r="J5152">
        <v>2</v>
      </c>
      <c r="K5152">
        <v>17500</v>
      </c>
      <c r="L5152">
        <v>1</v>
      </c>
      <c r="M5152">
        <v>226</v>
      </c>
      <c r="N5152">
        <v>3260</v>
      </c>
      <c r="O5152">
        <f t="shared" si="168"/>
        <v>2024</v>
      </c>
      <c r="P5152">
        <f t="shared" si="169"/>
        <v>11</v>
      </c>
      <c r="Q5152" t="s">
        <v>785</v>
      </c>
    </row>
    <row r="5153" spans="1:17" x14ac:dyDescent="0.3">
      <c r="A5153" t="s">
        <v>627</v>
      </c>
      <c r="B5153" s="16">
        <v>45610</v>
      </c>
      <c r="C5153" t="s">
        <v>3</v>
      </c>
      <c r="D5153" t="s">
        <v>126</v>
      </c>
      <c r="E5153">
        <v>127</v>
      </c>
      <c r="F5153">
        <v>88</v>
      </c>
      <c r="G5153">
        <v>3</v>
      </c>
      <c r="H5153">
        <v>2</v>
      </c>
      <c r="I5153">
        <v>0</v>
      </c>
      <c r="J5153">
        <v>0</v>
      </c>
      <c r="K5153">
        <v>0</v>
      </c>
      <c r="L5153">
        <v>0</v>
      </c>
      <c r="M5153">
        <v>21</v>
      </c>
      <c r="N5153">
        <v>124</v>
      </c>
      <c r="O5153">
        <f t="shared" si="168"/>
        <v>2024</v>
      </c>
      <c r="P5153">
        <f t="shared" si="169"/>
        <v>11</v>
      </c>
      <c r="Q5153" t="s">
        <v>785</v>
      </c>
    </row>
    <row r="5154" spans="1:17" x14ac:dyDescent="0.3">
      <c r="A5154" t="s">
        <v>627</v>
      </c>
      <c r="B5154" s="16">
        <v>45610</v>
      </c>
      <c r="C5154" t="s">
        <v>3</v>
      </c>
      <c r="D5154" t="s">
        <v>125</v>
      </c>
      <c r="E5154">
        <v>5</v>
      </c>
      <c r="F5154">
        <v>2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1</v>
      </c>
      <c r="N5154">
        <v>5</v>
      </c>
      <c r="O5154">
        <f t="shared" si="168"/>
        <v>2024</v>
      </c>
      <c r="P5154">
        <f t="shared" si="169"/>
        <v>11</v>
      </c>
      <c r="Q5154" t="s">
        <v>785</v>
      </c>
    </row>
    <row r="5155" spans="1:17" x14ac:dyDescent="0.3">
      <c r="A5155" t="s">
        <v>627</v>
      </c>
      <c r="B5155" s="16">
        <v>45610</v>
      </c>
      <c r="C5155" t="s">
        <v>3</v>
      </c>
      <c r="D5155" t="s">
        <v>123</v>
      </c>
      <c r="E5155">
        <v>161</v>
      </c>
      <c r="F5155">
        <v>73</v>
      </c>
      <c r="G5155">
        <v>2</v>
      </c>
      <c r="H5155">
        <v>4</v>
      </c>
      <c r="I5155">
        <v>0</v>
      </c>
      <c r="J5155">
        <v>0</v>
      </c>
      <c r="K5155">
        <v>0</v>
      </c>
      <c r="L5155">
        <v>0</v>
      </c>
      <c r="M5155">
        <v>35</v>
      </c>
      <c r="N5155">
        <v>146</v>
      </c>
      <c r="O5155">
        <f t="shared" si="168"/>
        <v>2024</v>
      </c>
      <c r="P5155">
        <f t="shared" si="169"/>
        <v>11</v>
      </c>
      <c r="Q5155" t="s">
        <v>785</v>
      </c>
    </row>
    <row r="5156" spans="1:17" x14ac:dyDescent="0.3">
      <c r="A5156" t="s">
        <v>627</v>
      </c>
      <c r="B5156" s="16">
        <v>45610</v>
      </c>
      <c r="C5156" t="s">
        <v>3</v>
      </c>
      <c r="D5156" t="s">
        <v>122</v>
      </c>
      <c r="E5156">
        <v>1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1</v>
      </c>
      <c r="O5156">
        <f t="shared" si="168"/>
        <v>2024</v>
      </c>
      <c r="P5156">
        <f t="shared" si="169"/>
        <v>11</v>
      </c>
      <c r="Q5156" t="s">
        <v>785</v>
      </c>
    </row>
    <row r="5157" spans="1:17" x14ac:dyDescent="0.3">
      <c r="A5157" t="s">
        <v>627</v>
      </c>
      <c r="B5157" s="16">
        <v>45610</v>
      </c>
      <c r="C5157" t="s">
        <v>3</v>
      </c>
      <c r="D5157" t="s">
        <v>121</v>
      </c>
      <c r="E5157">
        <v>3</v>
      </c>
      <c r="F5157">
        <v>3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1</v>
      </c>
      <c r="N5157">
        <v>2</v>
      </c>
      <c r="O5157">
        <f t="shared" si="168"/>
        <v>2024</v>
      </c>
      <c r="P5157">
        <f t="shared" si="169"/>
        <v>11</v>
      </c>
      <c r="Q5157" t="s">
        <v>785</v>
      </c>
    </row>
    <row r="5158" spans="1:17" x14ac:dyDescent="0.3">
      <c r="A5158" t="s">
        <v>627</v>
      </c>
      <c r="B5158" s="16">
        <v>45610</v>
      </c>
      <c r="C5158" t="s">
        <v>3</v>
      </c>
      <c r="D5158" t="s">
        <v>119</v>
      </c>
      <c r="E5158">
        <v>319</v>
      </c>
      <c r="F5158">
        <v>50</v>
      </c>
      <c r="G5158">
        <v>10</v>
      </c>
      <c r="H5158">
        <v>3</v>
      </c>
      <c r="I5158">
        <v>16800</v>
      </c>
      <c r="J5158">
        <v>6</v>
      </c>
      <c r="K5158">
        <v>14810</v>
      </c>
      <c r="L5158">
        <v>5</v>
      </c>
      <c r="M5158">
        <v>67</v>
      </c>
      <c r="N5158">
        <v>308</v>
      </c>
      <c r="O5158">
        <f t="shared" si="168"/>
        <v>2024</v>
      </c>
      <c r="P5158">
        <f t="shared" si="169"/>
        <v>11</v>
      </c>
      <c r="Q5158" t="s">
        <v>785</v>
      </c>
    </row>
    <row r="5159" spans="1:17" x14ac:dyDescent="0.3">
      <c r="A5159" t="s">
        <v>627</v>
      </c>
      <c r="B5159" s="16">
        <v>45610</v>
      </c>
      <c r="C5159" t="s">
        <v>3</v>
      </c>
      <c r="D5159" t="s">
        <v>117</v>
      </c>
      <c r="E5159">
        <v>5</v>
      </c>
      <c r="F5159">
        <v>5</v>
      </c>
      <c r="G5159">
        <v>0</v>
      </c>
      <c r="H5159">
        <v>1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5</v>
      </c>
      <c r="O5159">
        <f t="shared" si="168"/>
        <v>2024</v>
      </c>
      <c r="P5159">
        <f t="shared" si="169"/>
        <v>11</v>
      </c>
      <c r="Q5159" t="s">
        <v>785</v>
      </c>
    </row>
    <row r="5160" spans="1:17" x14ac:dyDescent="0.3">
      <c r="A5160" t="s">
        <v>627</v>
      </c>
      <c r="B5160" s="16">
        <v>45610</v>
      </c>
      <c r="C5160" t="s">
        <v>3</v>
      </c>
      <c r="D5160" t="s">
        <v>115</v>
      </c>
      <c r="E5160">
        <v>2</v>
      </c>
      <c r="F5160">
        <v>1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2</v>
      </c>
      <c r="O5160">
        <f t="shared" si="168"/>
        <v>2024</v>
      </c>
      <c r="P5160">
        <f t="shared" si="169"/>
        <v>11</v>
      </c>
      <c r="Q5160" t="s">
        <v>785</v>
      </c>
    </row>
    <row r="5161" spans="1:17" x14ac:dyDescent="0.3">
      <c r="A5161" t="s">
        <v>627</v>
      </c>
      <c r="B5161" s="16">
        <v>45610</v>
      </c>
      <c r="C5161" t="s">
        <v>3</v>
      </c>
      <c r="D5161" t="s">
        <v>113</v>
      </c>
      <c r="E5161">
        <v>84</v>
      </c>
      <c r="F5161">
        <v>25</v>
      </c>
      <c r="G5161">
        <v>2</v>
      </c>
      <c r="H5161">
        <v>2</v>
      </c>
      <c r="I5161">
        <v>0</v>
      </c>
      <c r="J5161">
        <v>0</v>
      </c>
      <c r="K5161">
        <v>0</v>
      </c>
      <c r="L5161">
        <v>0</v>
      </c>
      <c r="M5161">
        <v>59</v>
      </c>
      <c r="N5161">
        <v>56</v>
      </c>
      <c r="O5161">
        <f t="shared" si="168"/>
        <v>2024</v>
      </c>
      <c r="P5161">
        <f t="shared" si="169"/>
        <v>11</v>
      </c>
      <c r="Q5161" t="s">
        <v>785</v>
      </c>
    </row>
    <row r="5162" spans="1:17" x14ac:dyDescent="0.3">
      <c r="A5162" t="s">
        <v>627</v>
      </c>
      <c r="B5162" s="16">
        <v>45610</v>
      </c>
      <c r="C5162" t="s">
        <v>3</v>
      </c>
      <c r="D5162" t="s">
        <v>112</v>
      </c>
      <c r="E5162">
        <v>9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9</v>
      </c>
      <c r="O5162">
        <f t="shared" si="168"/>
        <v>2024</v>
      </c>
      <c r="P5162">
        <f t="shared" si="169"/>
        <v>11</v>
      </c>
      <c r="Q5162" t="s">
        <v>785</v>
      </c>
    </row>
    <row r="5163" spans="1:17" x14ac:dyDescent="0.3">
      <c r="A5163" t="s">
        <v>627</v>
      </c>
      <c r="B5163" s="16">
        <v>45609</v>
      </c>
      <c r="C5163" t="s">
        <v>2</v>
      </c>
      <c r="D5163" t="s">
        <v>4</v>
      </c>
      <c r="E5163">
        <v>194</v>
      </c>
      <c r="F5163">
        <v>65</v>
      </c>
      <c r="G5163">
        <v>3</v>
      </c>
      <c r="H5163">
        <v>1</v>
      </c>
      <c r="I5163">
        <v>0</v>
      </c>
      <c r="J5163">
        <v>0</v>
      </c>
      <c r="K5163">
        <v>0</v>
      </c>
      <c r="L5163">
        <v>0</v>
      </c>
      <c r="M5163">
        <v>15</v>
      </c>
      <c r="N5163">
        <v>191</v>
      </c>
      <c r="O5163">
        <f t="shared" si="168"/>
        <v>2024</v>
      </c>
      <c r="P5163">
        <f t="shared" si="169"/>
        <v>11</v>
      </c>
      <c r="Q5163" t="s">
        <v>785</v>
      </c>
    </row>
    <row r="5164" spans="1:17" x14ac:dyDescent="0.3">
      <c r="A5164" t="s">
        <v>627</v>
      </c>
      <c r="B5164" s="16">
        <v>45609</v>
      </c>
      <c r="C5164" t="s">
        <v>2</v>
      </c>
      <c r="D5164" t="s">
        <v>57</v>
      </c>
      <c r="E5164">
        <v>7985</v>
      </c>
      <c r="F5164">
        <v>4686</v>
      </c>
      <c r="G5164">
        <v>189</v>
      </c>
      <c r="H5164">
        <v>93</v>
      </c>
      <c r="I5164">
        <v>183743</v>
      </c>
      <c r="J5164">
        <v>18</v>
      </c>
      <c r="K5164">
        <v>87570</v>
      </c>
      <c r="L5164">
        <v>12</v>
      </c>
      <c r="M5164">
        <v>556</v>
      </c>
      <c r="N5164">
        <v>7951</v>
      </c>
      <c r="O5164">
        <f t="shared" si="168"/>
        <v>2024</v>
      </c>
      <c r="P5164">
        <f t="shared" si="169"/>
        <v>11</v>
      </c>
      <c r="Q5164" t="s">
        <v>785</v>
      </c>
    </row>
    <row r="5165" spans="1:17" x14ac:dyDescent="0.3">
      <c r="A5165" t="s">
        <v>627</v>
      </c>
      <c r="B5165" s="16">
        <v>45609</v>
      </c>
      <c r="C5165" t="s">
        <v>2</v>
      </c>
      <c r="D5165" t="s">
        <v>52</v>
      </c>
      <c r="E5165">
        <v>612</v>
      </c>
      <c r="F5165">
        <v>508</v>
      </c>
      <c r="G5165">
        <v>8</v>
      </c>
      <c r="H5165">
        <v>2</v>
      </c>
      <c r="I5165">
        <v>9950</v>
      </c>
      <c r="J5165">
        <v>2</v>
      </c>
      <c r="K5165">
        <v>9950</v>
      </c>
      <c r="L5165">
        <v>2</v>
      </c>
      <c r="M5165">
        <v>612</v>
      </c>
      <c r="N5165">
        <v>327</v>
      </c>
      <c r="O5165">
        <f t="shared" si="168"/>
        <v>2024</v>
      </c>
      <c r="P5165">
        <f t="shared" si="169"/>
        <v>11</v>
      </c>
      <c r="Q5165" t="s">
        <v>785</v>
      </c>
    </row>
    <row r="5166" spans="1:17" x14ac:dyDescent="0.3">
      <c r="A5166" t="s">
        <v>627</v>
      </c>
      <c r="B5166" s="16">
        <v>45609</v>
      </c>
      <c r="C5166" t="s">
        <v>2</v>
      </c>
      <c r="D5166" t="s">
        <v>55</v>
      </c>
      <c r="E5166">
        <v>56</v>
      </c>
      <c r="F5166">
        <v>38</v>
      </c>
      <c r="G5166">
        <v>9</v>
      </c>
      <c r="H5166">
        <v>1</v>
      </c>
      <c r="I5166">
        <v>0</v>
      </c>
      <c r="J5166">
        <v>0</v>
      </c>
      <c r="K5166">
        <v>0</v>
      </c>
      <c r="L5166">
        <v>0</v>
      </c>
      <c r="M5166">
        <v>2</v>
      </c>
      <c r="N5166">
        <v>49</v>
      </c>
      <c r="O5166">
        <f t="shared" si="168"/>
        <v>2024</v>
      </c>
      <c r="P5166">
        <f t="shared" si="169"/>
        <v>11</v>
      </c>
      <c r="Q5166" t="s">
        <v>785</v>
      </c>
    </row>
    <row r="5167" spans="1:17" x14ac:dyDescent="0.3">
      <c r="A5167" t="s">
        <v>627</v>
      </c>
      <c r="B5167" s="16">
        <v>45609</v>
      </c>
      <c r="C5167" t="s">
        <v>3</v>
      </c>
      <c r="D5167" t="s">
        <v>155</v>
      </c>
      <c r="E5167">
        <v>5</v>
      </c>
      <c r="F5167">
        <v>3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5</v>
      </c>
      <c r="O5167">
        <f t="shared" si="168"/>
        <v>2024</v>
      </c>
      <c r="P5167">
        <f t="shared" si="169"/>
        <v>11</v>
      </c>
      <c r="Q5167" t="s">
        <v>785</v>
      </c>
    </row>
    <row r="5168" spans="1:17" x14ac:dyDescent="0.3">
      <c r="A5168" t="s">
        <v>627</v>
      </c>
      <c r="B5168" s="16">
        <v>45609</v>
      </c>
      <c r="C5168" t="s">
        <v>3</v>
      </c>
      <c r="D5168" t="s">
        <v>154</v>
      </c>
      <c r="E5168">
        <v>1</v>
      </c>
      <c r="F5168">
        <v>1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f t="shared" si="168"/>
        <v>2024</v>
      </c>
      <c r="P5168">
        <f t="shared" si="169"/>
        <v>11</v>
      </c>
      <c r="Q5168" t="s">
        <v>785</v>
      </c>
    </row>
    <row r="5169" spans="1:17" x14ac:dyDescent="0.3">
      <c r="A5169" t="s">
        <v>627</v>
      </c>
      <c r="B5169" s="16">
        <v>45609</v>
      </c>
      <c r="C5169" t="s">
        <v>3</v>
      </c>
      <c r="D5169" t="s">
        <v>153</v>
      </c>
      <c r="E5169">
        <v>382</v>
      </c>
      <c r="F5169">
        <v>68</v>
      </c>
      <c r="G5169">
        <v>17</v>
      </c>
      <c r="H5169">
        <v>3</v>
      </c>
      <c r="I5169">
        <v>96202</v>
      </c>
      <c r="J5169">
        <v>13</v>
      </c>
      <c r="K5169">
        <v>84702</v>
      </c>
      <c r="L5169">
        <v>13</v>
      </c>
      <c r="M5169">
        <v>78</v>
      </c>
      <c r="N5169">
        <v>368</v>
      </c>
      <c r="O5169">
        <f t="shared" si="168"/>
        <v>2024</v>
      </c>
      <c r="P5169">
        <f t="shared" si="169"/>
        <v>11</v>
      </c>
      <c r="Q5169" t="s">
        <v>785</v>
      </c>
    </row>
    <row r="5170" spans="1:17" x14ac:dyDescent="0.3">
      <c r="A5170" t="s">
        <v>627</v>
      </c>
      <c r="B5170" s="16">
        <v>45609</v>
      </c>
      <c r="C5170" t="s">
        <v>3</v>
      </c>
      <c r="D5170" t="s">
        <v>152</v>
      </c>
      <c r="E5170">
        <v>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2</v>
      </c>
      <c r="O5170">
        <f t="shared" si="168"/>
        <v>2024</v>
      </c>
      <c r="P5170">
        <f t="shared" si="169"/>
        <v>11</v>
      </c>
      <c r="Q5170" t="s">
        <v>785</v>
      </c>
    </row>
    <row r="5171" spans="1:17" x14ac:dyDescent="0.3">
      <c r="A5171" t="s">
        <v>627</v>
      </c>
      <c r="B5171" s="16">
        <v>45609</v>
      </c>
      <c r="C5171" t="s">
        <v>3</v>
      </c>
      <c r="D5171" t="s">
        <v>150</v>
      </c>
      <c r="E5171">
        <v>4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4</v>
      </c>
      <c r="O5171">
        <f t="shared" si="168"/>
        <v>2024</v>
      </c>
      <c r="P5171">
        <f t="shared" si="169"/>
        <v>11</v>
      </c>
      <c r="Q5171" t="s">
        <v>785</v>
      </c>
    </row>
    <row r="5172" spans="1:17" x14ac:dyDescent="0.3">
      <c r="A5172" t="s">
        <v>627</v>
      </c>
      <c r="B5172" s="16">
        <v>45609</v>
      </c>
      <c r="C5172" t="s">
        <v>3</v>
      </c>
      <c r="D5172" t="s">
        <v>149</v>
      </c>
      <c r="E5172">
        <v>13</v>
      </c>
      <c r="F5172">
        <v>7</v>
      </c>
      <c r="G5172">
        <v>3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5</v>
      </c>
      <c r="N5172">
        <v>12</v>
      </c>
      <c r="O5172">
        <f t="shared" si="168"/>
        <v>2024</v>
      </c>
      <c r="P5172">
        <f t="shared" si="169"/>
        <v>11</v>
      </c>
      <c r="Q5172" t="s">
        <v>785</v>
      </c>
    </row>
    <row r="5173" spans="1:17" x14ac:dyDescent="0.3">
      <c r="A5173" t="s">
        <v>627</v>
      </c>
      <c r="B5173" s="16">
        <v>45609</v>
      </c>
      <c r="C5173" t="s">
        <v>3</v>
      </c>
      <c r="D5173" t="s">
        <v>148</v>
      </c>
      <c r="E5173">
        <v>1</v>
      </c>
      <c r="F5173">
        <v>1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1</v>
      </c>
      <c r="N5173">
        <v>0</v>
      </c>
      <c r="O5173">
        <f t="shared" si="168"/>
        <v>2024</v>
      </c>
      <c r="P5173">
        <f t="shared" si="169"/>
        <v>11</v>
      </c>
      <c r="Q5173" t="s">
        <v>785</v>
      </c>
    </row>
    <row r="5174" spans="1:17" x14ac:dyDescent="0.3">
      <c r="A5174" t="s">
        <v>627</v>
      </c>
      <c r="B5174" s="16">
        <v>45609</v>
      </c>
      <c r="C5174" t="s">
        <v>3</v>
      </c>
      <c r="D5174" t="s">
        <v>251</v>
      </c>
      <c r="E5174">
        <v>312</v>
      </c>
      <c r="F5174">
        <v>136</v>
      </c>
      <c r="G5174">
        <v>6</v>
      </c>
      <c r="H5174">
        <v>1</v>
      </c>
      <c r="I5174">
        <v>1980</v>
      </c>
      <c r="J5174">
        <v>1</v>
      </c>
      <c r="K5174">
        <v>1980</v>
      </c>
      <c r="L5174">
        <v>1</v>
      </c>
      <c r="M5174">
        <v>72</v>
      </c>
      <c r="N5174">
        <v>271</v>
      </c>
      <c r="O5174">
        <f t="shared" si="168"/>
        <v>2024</v>
      </c>
      <c r="P5174">
        <f t="shared" si="169"/>
        <v>11</v>
      </c>
      <c r="Q5174" t="s">
        <v>785</v>
      </c>
    </row>
    <row r="5175" spans="1:17" x14ac:dyDescent="0.3">
      <c r="A5175" t="s">
        <v>627</v>
      </c>
      <c r="B5175" s="16">
        <v>45609</v>
      </c>
      <c r="C5175" t="s">
        <v>3</v>
      </c>
      <c r="D5175" t="s">
        <v>143</v>
      </c>
      <c r="E5175">
        <v>12</v>
      </c>
      <c r="F5175">
        <v>8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12</v>
      </c>
      <c r="O5175">
        <f t="shared" si="168"/>
        <v>2024</v>
      </c>
      <c r="P5175">
        <f t="shared" si="169"/>
        <v>11</v>
      </c>
      <c r="Q5175" t="s">
        <v>785</v>
      </c>
    </row>
    <row r="5176" spans="1:17" x14ac:dyDescent="0.3">
      <c r="A5176" t="s">
        <v>627</v>
      </c>
      <c r="B5176" s="16">
        <v>45609</v>
      </c>
      <c r="C5176" t="s">
        <v>3</v>
      </c>
      <c r="D5176" t="s">
        <v>141</v>
      </c>
      <c r="E5176">
        <v>7</v>
      </c>
      <c r="F5176">
        <v>6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7</v>
      </c>
      <c r="O5176">
        <f t="shared" si="168"/>
        <v>2024</v>
      </c>
      <c r="P5176">
        <f t="shared" si="169"/>
        <v>11</v>
      </c>
      <c r="Q5176" t="s">
        <v>785</v>
      </c>
    </row>
    <row r="5177" spans="1:17" x14ac:dyDescent="0.3">
      <c r="A5177" t="s">
        <v>627</v>
      </c>
      <c r="B5177" s="16">
        <v>45609</v>
      </c>
      <c r="C5177" t="s">
        <v>3</v>
      </c>
      <c r="D5177" t="s">
        <v>140</v>
      </c>
      <c r="E5177">
        <v>4</v>
      </c>
      <c r="F5177">
        <v>2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1</v>
      </c>
      <c r="N5177">
        <v>3</v>
      </c>
      <c r="O5177">
        <f t="shared" si="168"/>
        <v>2024</v>
      </c>
      <c r="P5177">
        <f t="shared" si="169"/>
        <v>11</v>
      </c>
      <c r="Q5177" t="s">
        <v>785</v>
      </c>
    </row>
    <row r="5178" spans="1:17" x14ac:dyDescent="0.3">
      <c r="A5178" t="s">
        <v>627</v>
      </c>
      <c r="B5178" s="16">
        <v>45609</v>
      </c>
      <c r="C5178" t="s">
        <v>3</v>
      </c>
      <c r="D5178" t="s">
        <v>139</v>
      </c>
      <c r="E5178">
        <v>989</v>
      </c>
      <c r="F5178">
        <v>470</v>
      </c>
      <c r="G5178">
        <v>23</v>
      </c>
      <c r="H5178">
        <v>7</v>
      </c>
      <c r="I5178">
        <v>68580</v>
      </c>
      <c r="J5178">
        <v>10</v>
      </c>
      <c r="K5178">
        <v>62830</v>
      </c>
      <c r="L5178">
        <v>10</v>
      </c>
      <c r="M5178">
        <v>243</v>
      </c>
      <c r="N5178">
        <v>914</v>
      </c>
      <c r="O5178">
        <f t="shared" si="168"/>
        <v>2024</v>
      </c>
      <c r="P5178">
        <f t="shared" si="169"/>
        <v>11</v>
      </c>
      <c r="Q5178" t="s">
        <v>785</v>
      </c>
    </row>
    <row r="5179" spans="1:17" x14ac:dyDescent="0.3">
      <c r="A5179" t="s">
        <v>627</v>
      </c>
      <c r="B5179" s="16">
        <v>45609</v>
      </c>
      <c r="C5179" t="s">
        <v>3</v>
      </c>
      <c r="D5179" t="s">
        <v>138</v>
      </c>
      <c r="E5179">
        <v>10</v>
      </c>
      <c r="F5179">
        <v>4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2</v>
      </c>
      <c r="N5179">
        <v>10</v>
      </c>
      <c r="O5179">
        <f t="shared" si="168"/>
        <v>2024</v>
      </c>
      <c r="P5179">
        <f t="shared" si="169"/>
        <v>11</v>
      </c>
      <c r="Q5179" t="s">
        <v>785</v>
      </c>
    </row>
    <row r="5180" spans="1:17" x14ac:dyDescent="0.3">
      <c r="A5180" t="s">
        <v>627</v>
      </c>
      <c r="B5180" s="16">
        <v>45609</v>
      </c>
      <c r="C5180" t="s">
        <v>3</v>
      </c>
      <c r="D5180" t="s">
        <v>137</v>
      </c>
      <c r="E5180">
        <v>4</v>
      </c>
      <c r="F5180">
        <v>1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2</v>
      </c>
      <c r="N5180">
        <v>4</v>
      </c>
      <c r="O5180">
        <f t="shared" si="168"/>
        <v>2024</v>
      </c>
      <c r="P5180">
        <f t="shared" si="169"/>
        <v>11</v>
      </c>
      <c r="Q5180" t="s">
        <v>785</v>
      </c>
    </row>
    <row r="5181" spans="1:17" x14ac:dyDescent="0.3">
      <c r="A5181" t="s">
        <v>627</v>
      </c>
      <c r="B5181" s="16">
        <v>45609</v>
      </c>
      <c r="C5181" t="s">
        <v>3</v>
      </c>
      <c r="D5181" t="s">
        <v>135</v>
      </c>
      <c r="E5181">
        <v>19</v>
      </c>
      <c r="F5181">
        <v>6</v>
      </c>
      <c r="G5181">
        <v>0</v>
      </c>
      <c r="H5181">
        <v>1</v>
      </c>
      <c r="I5181">
        <v>0</v>
      </c>
      <c r="J5181">
        <v>0</v>
      </c>
      <c r="K5181">
        <v>0</v>
      </c>
      <c r="L5181">
        <v>0</v>
      </c>
      <c r="M5181">
        <v>1</v>
      </c>
      <c r="N5181">
        <v>19</v>
      </c>
      <c r="O5181">
        <f t="shared" si="168"/>
        <v>2024</v>
      </c>
      <c r="P5181">
        <f t="shared" si="169"/>
        <v>11</v>
      </c>
      <c r="Q5181" t="s">
        <v>785</v>
      </c>
    </row>
    <row r="5182" spans="1:17" x14ac:dyDescent="0.3">
      <c r="A5182" t="s">
        <v>627</v>
      </c>
      <c r="B5182" s="16">
        <v>45609</v>
      </c>
      <c r="C5182" t="s">
        <v>3</v>
      </c>
      <c r="D5182" t="s">
        <v>133</v>
      </c>
      <c r="E5182">
        <v>24</v>
      </c>
      <c r="F5182">
        <v>14</v>
      </c>
      <c r="G5182">
        <v>1</v>
      </c>
      <c r="H5182">
        <v>0</v>
      </c>
      <c r="I5182">
        <v>1980</v>
      </c>
      <c r="J5182">
        <v>1</v>
      </c>
      <c r="K5182">
        <v>1980</v>
      </c>
      <c r="L5182">
        <v>1</v>
      </c>
      <c r="M5182">
        <v>4</v>
      </c>
      <c r="N5182">
        <v>22</v>
      </c>
      <c r="O5182">
        <f t="shared" si="168"/>
        <v>2024</v>
      </c>
      <c r="P5182">
        <f t="shared" si="169"/>
        <v>11</v>
      </c>
      <c r="Q5182" t="s">
        <v>785</v>
      </c>
    </row>
    <row r="5183" spans="1:17" x14ac:dyDescent="0.3">
      <c r="A5183" t="s">
        <v>627</v>
      </c>
      <c r="B5183" s="16">
        <v>45609</v>
      </c>
      <c r="C5183" t="s">
        <v>3</v>
      </c>
      <c r="D5183" t="s">
        <v>130</v>
      </c>
      <c r="E5183">
        <v>342</v>
      </c>
      <c r="F5183">
        <v>128</v>
      </c>
      <c r="G5183">
        <v>12</v>
      </c>
      <c r="H5183">
        <v>2</v>
      </c>
      <c r="I5183">
        <v>75403</v>
      </c>
      <c r="J5183">
        <v>14</v>
      </c>
      <c r="K5183">
        <v>71235</v>
      </c>
      <c r="L5183">
        <v>12</v>
      </c>
      <c r="M5183">
        <v>55</v>
      </c>
      <c r="N5183">
        <v>324</v>
      </c>
      <c r="O5183">
        <f t="shared" si="168"/>
        <v>2024</v>
      </c>
      <c r="P5183">
        <f t="shared" si="169"/>
        <v>11</v>
      </c>
      <c r="Q5183" t="s">
        <v>785</v>
      </c>
    </row>
    <row r="5184" spans="1:17" x14ac:dyDescent="0.3">
      <c r="A5184" t="s">
        <v>627</v>
      </c>
      <c r="B5184" s="16">
        <v>45609</v>
      </c>
      <c r="C5184" t="s">
        <v>3</v>
      </c>
      <c r="D5184" t="s">
        <v>128</v>
      </c>
      <c r="E5184">
        <v>976</v>
      </c>
      <c r="F5184">
        <v>724</v>
      </c>
      <c r="G5184">
        <v>28</v>
      </c>
      <c r="H5184">
        <v>12</v>
      </c>
      <c r="I5184">
        <v>41970</v>
      </c>
      <c r="J5184">
        <v>5</v>
      </c>
      <c r="K5184">
        <v>28790</v>
      </c>
      <c r="L5184">
        <v>4</v>
      </c>
      <c r="M5184">
        <v>232</v>
      </c>
      <c r="N5184">
        <v>878</v>
      </c>
      <c r="O5184">
        <f t="shared" si="168"/>
        <v>2024</v>
      </c>
      <c r="P5184">
        <f t="shared" si="169"/>
        <v>11</v>
      </c>
      <c r="Q5184" t="s">
        <v>785</v>
      </c>
    </row>
    <row r="5185" spans="1:17" x14ac:dyDescent="0.3">
      <c r="A5185" t="s">
        <v>627</v>
      </c>
      <c r="B5185" s="16">
        <v>45609</v>
      </c>
      <c r="C5185" t="s">
        <v>3</v>
      </c>
      <c r="D5185" t="s">
        <v>127</v>
      </c>
      <c r="E5185">
        <v>3479</v>
      </c>
      <c r="F5185">
        <v>1409</v>
      </c>
      <c r="G5185">
        <v>44</v>
      </c>
      <c r="H5185">
        <v>20</v>
      </c>
      <c r="I5185">
        <v>34680</v>
      </c>
      <c r="J5185">
        <v>3</v>
      </c>
      <c r="K5185">
        <v>34680</v>
      </c>
      <c r="L5185">
        <v>3</v>
      </c>
      <c r="M5185">
        <v>235</v>
      </c>
      <c r="N5185">
        <v>3441</v>
      </c>
      <c r="O5185">
        <f t="shared" si="168"/>
        <v>2024</v>
      </c>
      <c r="P5185">
        <f t="shared" si="169"/>
        <v>11</v>
      </c>
      <c r="Q5185" t="s">
        <v>785</v>
      </c>
    </row>
    <row r="5186" spans="1:17" x14ac:dyDescent="0.3">
      <c r="A5186" t="s">
        <v>627</v>
      </c>
      <c r="B5186" s="16">
        <v>45609</v>
      </c>
      <c r="C5186" t="s">
        <v>3</v>
      </c>
      <c r="D5186" t="s">
        <v>126</v>
      </c>
      <c r="E5186">
        <v>125</v>
      </c>
      <c r="F5186">
        <v>89</v>
      </c>
      <c r="G5186">
        <v>6</v>
      </c>
      <c r="H5186">
        <v>4</v>
      </c>
      <c r="I5186">
        <v>9945</v>
      </c>
      <c r="J5186">
        <v>3</v>
      </c>
      <c r="K5186">
        <v>9945</v>
      </c>
      <c r="L5186">
        <v>3</v>
      </c>
      <c r="M5186">
        <v>15</v>
      </c>
      <c r="N5186">
        <v>121</v>
      </c>
      <c r="O5186">
        <f t="shared" si="168"/>
        <v>2024</v>
      </c>
      <c r="P5186">
        <f t="shared" si="169"/>
        <v>11</v>
      </c>
      <c r="Q5186" t="s">
        <v>785</v>
      </c>
    </row>
    <row r="5187" spans="1:17" x14ac:dyDescent="0.3">
      <c r="A5187" t="s">
        <v>627</v>
      </c>
      <c r="B5187" s="16">
        <v>45609</v>
      </c>
      <c r="C5187" t="s">
        <v>3</v>
      </c>
      <c r="D5187" t="s">
        <v>125</v>
      </c>
      <c r="E5187">
        <v>4</v>
      </c>
      <c r="F5187">
        <v>1</v>
      </c>
      <c r="G5187">
        <v>1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3</v>
      </c>
      <c r="N5187">
        <v>4</v>
      </c>
      <c r="O5187">
        <f t="shared" si="168"/>
        <v>2024</v>
      </c>
      <c r="P5187">
        <f t="shared" si="169"/>
        <v>11</v>
      </c>
      <c r="Q5187" t="s">
        <v>785</v>
      </c>
    </row>
    <row r="5188" spans="1:17" x14ac:dyDescent="0.3">
      <c r="A5188" t="s">
        <v>627</v>
      </c>
      <c r="B5188" s="16">
        <v>45609</v>
      </c>
      <c r="C5188" t="s">
        <v>3</v>
      </c>
      <c r="D5188" t="s">
        <v>123</v>
      </c>
      <c r="E5188">
        <v>169</v>
      </c>
      <c r="F5188">
        <v>70</v>
      </c>
      <c r="G5188">
        <v>7</v>
      </c>
      <c r="H5188">
        <v>2</v>
      </c>
      <c r="I5188">
        <v>21480</v>
      </c>
      <c r="J5188">
        <v>2</v>
      </c>
      <c r="K5188">
        <v>21480</v>
      </c>
      <c r="L5188">
        <v>2</v>
      </c>
      <c r="M5188">
        <v>56</v>
      </c>
      <c r="N5188">
        <v>153</v>
      </c>
      <c r="O5188">
        <f t="shared" si="168"/>
        <v>2024</v>
      </c>
      <c r="P5188">
        <f t="shared" si="169"/>
        <v>11</v>
      </c>
      <c r="Q5188" t="s">
        <v>785</v>
      </c>
    </row>
    <row r="5189" spans="1:17" x14ac:dyDescent="0.3">
      <c r="A5189" t="s">
        <v>627</v>
      </c>
      <c r="B5189" s="16">
        <v>45609</v>
      </c>
      <c r="C5189" t="s">
        <v>3</v>
      </c>
      <c r="D5189" t="s">
        <v>121</v>
      </c>
      <c r="E5189">
        <v>3</v>
      </c>
      <c r="F5189">
        <v>2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1</v>
      </c>
      <c r="N5189">
        <v>3</v>
      </c>
      <c r="O5189">
        <f t="shared" si="168"/>
        <v>2024</v>
      </c>
      <c r="P5189">
        <f t="shared" si="169"/>
        <v>11</v>
      </c>
      <c r="Q5189" t="s">
        <v>785</v>
      </c>
    </row>
    <row r="5190" spans="1:17" x14ac:dyDescent="0.3">
      <c r="A5190" t="s">
        <v>627</v>
      </c>
      <c r="B5190" s="16">
        <v>45609</v>
      </c>
      <c r="C5190" t="s">
        <v>3</v>
      </c>
      <c r="D5190" t="s">
        <v>119</v>
      </c>
      <c r="E5190">
        <v>387</v>
      </c>
      <c r="F5190">
        <v>61</v>
      </c>
      <c r="G5190">
        <v>16</v>
      </c>
      <c r="H5190">
        <v>5</v>
      </c>
      <c r="I5190">
        <v>12410</v>
      </c>
      <c r="J5190">
        <v>4</v>
      </c>
      <c r="K5190">
        <v>12410</v>
      </c>
      <c r="L5190">
        <v>4</v>
      </c>
      <c r="M5190">
        <v>61</v>
      </c>
      <c r="N5190">
        <v>377</v>
      </c>
      <c r="O5190">
        <f t="shared" si="168"/>
        <v>2024</v>
      </c>
      <c r="P5190">
        <f t="shared" si="169"/>
        <v>11</v>
      </c>
      <c r="Q5190" t="s">
        <v>785</v>
      </c>
    </row>
    <row r="5191" spans="1:17" x14ac:dyDescent="0.3">
      <c r="A5191" t="s">
        <v>627</v>
      </c>
      <c r="B5191" s="16">
        <v>45609</v>
      </c>
      <c r="C5191" t="s">
        <v>3</v>
      </c>
      <c r="D5191" t="s">
        <v>252</v>
      </c>
      <c r="E5191">
        <v>2</v>
      </c>
      <c r="F5191">
        <v>2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2</v>
      </c>
      <c r="O5191">
        <f t="shared" si="168"/>
        <v>2024</v>
      </c>
      <c r="P5191">
        <f t="shared" si="169"/>
        <v>11</v>
      </c>
      <c r="Q5191" t="s">
        <v>785</v>
      </c>
    </row>
    <row r="5192" spans="1:17" x14ac:dyDescent="0.3">
      <c r="A5192" t="s">
        <v>627</v>
      </c>
      <c r="B5192" s="16">
        <v>45609</v>
      </c>
      <c r="C5192" t="s">
        <v>3</v>
      </c>
      <c r="D5192" t="s">
        <v>117</v>
      </c>
      <c r="E5192">
        <v>1</v>
      </c>
      <c r="F5192">
        <v>1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1</v>
      </c>
      <c r="N5192">
        <v>1</v>
      </c>
      <c r="O5192">
        <f t="shared" si="168"/>
        <v>2024</v>
      </c>
      <c r="P5192">
        <f t="shared" si="169"/>
        <v>11</v>
      </c>
      <c r="Q5192" t="s">
        <v>785</v>
      </c>
    </row>
    <row r="5193" spans="1:17" x14ac:dyDescent="0.3">
      <c r="A5193" t="s">
        <v>627</v>
      </c>
      <c r="B5193" s="16">
        <v>45609</v>
      </c>
      <c r="C5193" t="s">
        <v>3</v>
      </c>
      <c r="D5193" t="s">
        <v>115</v>
      </c>
      <c r="E5193">
        <v>6</v>
      </c>
      <c r="F5193">
        <v>2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6</v>
      </c>
      <c r="O5193">
        <f t="shared" ref="O5193:O5256" si="170">YEAR(B5193)</f>
        <v>2024</v>
      </c>
      <c r="P5193">
        <f t="shared" ref="P5193:P5256" si="171">MONTH(B5193)</f>
        <v>11</v>
      </c>
      <c r="Q5193" t="s">
        <v>785</v>
      </c>
    </row>
    <row r="5194" spans="1:17" x14ac:dyDescent="0.3">
      <c r="A5194" t="s">
        <v>627</v>
      </c>
      <c r="B5194" s="16">
        <v>45609</v>
      </c>
      <c r="C5194" t="s">
        <v>3</v>
      </c>
      <c r="D5194" t="s">
        <v>114</v>
      </c>
      <c r="E5194">
        <v>4</v>
      </c>
      <c r="F5194">
        <v>2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1</v>
      </c>
      <c r="N5194">
        <v>3</v>
      </c>
      <c r="O5194">
        <f t="shared" si="170"/>
        <v>2024</v>
      </c>
      <c r="P5194">
        <f t="shared" si="171"/>
        <v>11</v>
      </c>
      <c r="Q5194" t="s">
        <v>785</v>
      </c>
    </row>
    <row r="5195" spans="1:17" x14ac:dyDescent="0.3">
      <c r="A5195" t="s">
        <v>627</v>
      </c>
      <c r="B5195" s="16">
        <v>45609</v>
      </c>
      <c r="C5195" t="s">
        <v>3</v>
      </c>
      <c r="D5195" t="s">
        <v>113</v>
      </c>
      <c r="E5195">
        <v>104</v>
      </c>
      <c r="F5195">
        <v>47</v>
      </c>
      <c r="G5195">
        <v>0</v>
      </c>
      <c r="H5195">
        <v>1</v>
      </c>
      <c r="I5195">
        <v>0</v>
      </c>
      <c r="J5195">
        <v>0</v>
      </c>
      <c r="K5195">
        <v>0</v>
      </c>
      <c r="L5195">
        <v>0</v>
      </c>
      <c r="M5195">
        <v>71</v>
      </c>
      <c r="N5195">
        <v>68</v>
      </c>
      <c r="O5195">
        <f t="shared" si="170"/>
        <v>2024</v>
      </c>
      <c r="P5195">
        <f t="shared" si="171"/>
        <v>11</v>
      </c>
      <c r="Q5195" t="s">
        <v>785</v>
      </c>
    </row>
    <row r="5196" spans="1:17" x14ac:dyDescent="0.3">
      <c r="A5196" t="s">
        <v>627</v>
      </c>
      <c r="B5196" s="16">
        <v>45609</v>
      </c>
      <c r="C5196" t="s">
        <v>3</v>
      </c>
      <c r="D5196" t="s">
        <v>112</v>
      </c>
      <c r="E5196">
        <v>11</v>
      </c>
      <c r="F5196">
        <v>1</v>
      </c>
      <c r="G5196">
        <v>0</v>
      </c>
      <c r="H5196">
        <v>0</v>
      </c>
      <c r="I5196">
        <v>1990</v>
      </c>
      <c r="J5196">
        <v>1</v>
      </c>
      <c r="K5196">
        <v>1990</v>
      </c>
      <c r="L5196">
        <v>1</v>
      </c>
      <c r="M5196">
        <v>0</v>
      </c>
      <c r="N5196">
        <v>11</v>
      </c>
      <c r="O5196">
        <f t="shared" si="170"/>
        <v>2024</v>
      </c>
      <c r="P5196">
        <f t="shared" si="171"/>
        <v>11</v>
      </c>
      <c r="Q5196" t="s">
        <v>785</v>
      </c>
    </row>
    <row r="5197" spans="1:17" x14ac:dyDescent="0.3">
      <c r="A5197" t="s">
        <v>627</v>
      </c>
      <c r="B5197" s="16">
        <v>45608</v>
      </c>
      <c r="C5197" t="s">
        <v>2</v>
      </c>
      <c r="D5197" t="s">
        <v>4</v>
      </c>
      <c r="E5197">
        <v>259</v>
      </c>
      <c r="F5197">
        <v>87</v>
      </c>
      <c r="G5197">
        <v>4</v>
      </c>
      <c r="H5197">
        <v>0</v>
      </c>
      <c r="I5197">
        <v>4995</v>
      </c>
      <c r="J5197">
        <v>1</v>
      </c>
      <c r="K5197">
        <v>4995</v>
      </c>
      <c r="L5197">
        <v>1</v>
      </c>
      <c r="M5197">
        <v>23</v>
      </c>
      <c r="N5197">
        <v>254</v>
      </c>
      <c r="O5197">
        <f t="shared" si="170"/>
        <v>2024</v>
      </c>
      <c r="P5197">
        <f t="shared" si="171"/>
        <v>11</v>
      </c>
      <c r="Q5197" t="s">
        <v>785</v>
      </c>
    </row>
    <row r="5198" spans="1:17" x14ac:dyDescent="0.3">
      <c r="A5198" t="s">
        <v>627</v>
      </c>
      <c r="B5198" s="16">
        <v>45608</v>
      </c>
      <c r="C5198" t="s">
        <v>2</v>
      </c>
      <c r="D5198" t="s">
        <v>57</v>
      </c>
      <c r="E5198">
        <v>7376</v>
      </c>
      <c r="F5198">
        <v>3884</v>
      </c>
      <c r="G5198">
        <v>173</v>
      </c>
      <c r="H5198">
        <v>84</v>
      </c>
      <c r="I5198">
        <v>89657</v>
      </c>
      <c r="J5198">
        <v>15</v>
      </c>
      <c r="K5198">
        <v>43812</v>
      </c>
      <c r="L5198">
        <v>12</v>
      </c>
      <c r="M5198">
        <v>497</v>
      </c>
      <c r="N5198">
        <v>7350</v>
      </c>
      <c r="O5198">
        <f t="shared" si="170"/>
        <v>2024</v>
      </c>
      <c r="P5198">
        <f t="shared" si="171"/>
        <v>11</v>
      </c>
      <c r="Q5198" t="s">
        <v>785</v>
      </c>
    </row>
    <row r="5199" spans="1:17" x14ac:dyDescent="0.3">
      <c r="A5199" t="s">
        <v>627</v>
      </c>
      <c r="B5199" s="16">
        <v>45608</v>
      </c>
      <c r="C5199" t="s">
        <v>2</v>
      </c>
      <c r="D5199" t="s">
        <v>52</v>
      </c>
      <c r="E5199">
        <v>676</v>
      </c>
      <c r="F5199">
        <v>534</v>
      </c>
      <c r="G5199">
        <v>11</v>
      </c>
      <c r="H5199">
        <v>3</v>
      </c>
      <c r="I5199">
        <v>5917</v>
      </c>
      <c r="J5199">
        <v>4</v>
      </c>
      <c r="K5199">
        <v>5917</v>
      </c>
      <c r="L5199">
        <v>4</v>
      </c>
      <c r="M5199">
        <v>676</v>
      </c>
      <c r="N5199">
        <v>354</v>
      </c>
      <c r="O5199">
        <f t="shared" si="170"/>
        <v>2024</v>
      </c>
      <c r="P5199">
        <f t="shared" si="171"/>
        <v>11</v>
      </c>
      <c r="Q5199" t="s">
        <v>785</v>
      </c>
    </row>
    <row r="5200" spans="1:17" x14ac:dyDescent="0.3">
      <c r="A5200" t="s">
        <v>627</v>
      </c>
      <c r="B5200" s="16">
        <v>45608</v>
      </c>
      <c r="C5200" t="s">
        <v>2</v>
      </c>
      <c r="D5200" t="s">
        <v>55</v>
      </c>
      <c r="E5200">
        <v>50</v>
      </c>
      <c r="F5200">
        <v>31</v>
      </c>
      <c r="G5200">
        <v>3</v>
      </c>
      <c r="H5200">
        <v>5</v>
      </c>
      <c r="I5200">
        <v>0</v>
      </c>
      <c r="J5200">
        <v>0</v>
      </c>
      <c r="K5200">
        <v>0</v>
      </c>
      <c r="L5200">
        <v>0</v>
      </c>
      <c r="M5200">
        <v>2</v>
      </c>
      <c r="N5200">
        <v>40</v>
      </c>
      <c r="O5200">
        <f t="shared" si="170"/>
        <v>2024</v>
      </c>
      <c r="P5200">
        <f t="shared" si="171"/>
        <v>11</v>
      </c>
      <c r="Q5200" t="s">
        <v>785</v>
      </c>
    </row>
    <row r="5201" spans="1:17" x14ac:dyDescent="0.3">
      <c r="A5201" t="s">
        <v>627</v>
      </c>
      <c r="B5201" s="16">
        <v>45608</v>
      </c>
      <c r="C5201" t="s">
        <v>3</v>
      </c>
      <c r="D5201" t="s">
        <v>155</v>
      </c>
      <c r="E5201">
        <v>3</v>
      </c>
      <c r="F5201">
        <v>1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3</v>
      </c>
      <c r="O5201">
        <f t="shared" si="170"/>
        <v>2024</v>
      </c>
      <c r="P5201">
        <f t="shared" si="171"/>
        <v>11</v>
      </c>
      <c r="Q5201" t="s">
        <v>785</v>
      </c>
    </row>
    <row r="5202" spans="1:17" x14ac:dyDescent="0.3">
      <c r="A5202" t="s">
        <v>627</v>
      </c>
      <c r="B5202" s="16">
        <v>45608</v>
      </c>
      <c r="C5202" t="s">
        <v>3</v>
      </c>
      <c r="D5202" t="s">
        <v>154</v>
      </c>
      <c r="E5202">
        <v>2</v>
      </c>
      <c r="F5202">
        <v>1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1</v>
      </c>
      <c r="N5202">
        <v>1</v>
      </c>
      <c r="O5202">
        <f t="shared" si="170"/>
        <v>2024</v>
      </c>
      <c r="P5202">
        <f t="shared" si="171"/>
        <v>11</v>
      </c>
      <c r="Q5202" t="s">
        <v>785</v>
      </c>
    </row>
    <row r="5203" spans="1:17" x14ac:dyDescent="0.3">
      <c r="A5203" t="s">
        <v>627</v>
      </c>
      <c r="B5203" s="16">
        <v>45608</v>
      </c>
      <c r="C5203" t="s">
        <v>3</v>
      </c>
      <c r="D5203" t="s">
        <v>153</v>
      </c>
      <c r="E5203">
        <v>589</v>
      </c>
      <c r="F5203">
        <v>75</v>
      </c>
      <c r="G5203">
        <v>27</v>
      </c>
      <c r="H5203">
        <v>6</v>
      </c>
      <c r="I5203">
        <v>85241</v>
      </c>
      <c r="J5203">
        <v>17</v>
      </c>
      <c r="K5203">
        <v>81146</v>
      </c>
      <c r="L5203">
        <v>16</v>
      </c>
      <c r="M5203">
        <v>104</v>
      </c>
      <c r="N5203">
        <v>569</v>
      </c>
      <c r="O5203">
        <f t="shared" si="170"/>
        <v>2024</v>
      </c>
      <c r="P5203">
        <f t="shared" si="171"/>
        <v>11</v>
      </c>
      <c r="Q5203" t="s">
        <v>785</v>
      </c>
    </row>
    <row r="5204" spans="1:17" x14ac:dyDescent="0.3">
      <c r="A5204" t="s">
        <v>627</v>
      </c>
      <c r="B5204" s="16">
        <v>45608</v>
      </c>
      <c r="C5204" t="s">
        <v>3</v>
      </c>
      <c r="D5204" t="s">
        <v>152</v>
      </c>
      <c r="E5204">
        <v>1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1</v>
      </c>
      <c r="O5204">
        <f t="shared" si="170"/>
        <v>2024</v>
      </c>
      <c r="P5204">
        <f t="shared" si="171"/>
        <v>11</v>
      </c>
      <c r="Q5204" t="s">
        <v>785</v>
      </c>
    </row>
    <row r="5205" spans="1:17" x14ac:dyDescent="0.3">
      <c r="A5205" t="s">
        <v>627</v>
      </c>
      <c r="B5205" s="16">
        <v>45608</v>
      </c>
      <c r="C5205" t="s">
        <v>3</v>
      </c>
      <c r="D5205" t="s">
        <v>150</v>
      </c>
      <c r="E5205">
        <v>1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1</v>
      </c>
      <c r="O5205">
        <f t="shared" si="170"/>
        <v>2024</v>
      </c>
      <c r="P5205">
        <f t="shared" si="171"/>
        <v>11</v>
      </c>
      <c r="Q5205" t="s">
        <v>785</v>
      </c>
    </row>
    <row r="5206" spans="1:17" x14ac:dyDescent="0.3">
      <c r="A5206" t="s">
        <v>627</v>
      </c>
      <c r="B5206" s="16">
        <v>45608</v>
      </c>
      <c r="C5206" t="s">
        <v>3</v>
      </c>
      <c r="D5206" t="s">
        <v>149</v>
      </c>
      <c r="E5206">
        <v>11</v>
      </c>
      <c r="F5206">
        <v>6</v>
      </c>
      <c r="G5206">
        <v>0</v>
      </c>
      <c r="H5206">
        <v>1</v>
      </c>
      <c r="I5206">
        <v>0</v>
      </c>
      <c r="J5206">
        <v>0</v>
      </c>
      <c r="K5206">
        <v>0</v>
      </c>
      <c r="L5206">
        <v>0</v>
      </c>
      <c r="M5206">
        <v>2</v>
      </c>
      <c r="N5206">
        <v>9</v>
      </c>
      <c r="O5206">
        <f t="shared" si="170"/>
        <v>2024</v>
      </c>
      <c r="P5206">
        <f t="shared" si="171"/>
        <v>11</v>
      </c>
      <c r="Q5206" t="s">
        <v>785</v>
      </c>
    </row>
    <row r="5207" spans="1:17" x14ac:dyDescent="0.3">
      <c r="A5207" t="s">
        <v>627</v>
      </c>
      <c r="B5207" s="16">
        <v>45608</v>
      </c>
      <c r="C5207" t="s">
        <v>3</v>
      </c>
      <c r="D5207" t="s">
        <v>148</v>
      </c>
      <c r="E5207">
        <v>2</v>
      </c>
      <c r="F5207">
        <v>1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1</v>
      </c>
      <c r="N5207">
        <v>1</v>
      </c>
      <c r="O5207">
        <f t="shared" si="170"/>
        <v>2024</v>
      </c>
      <c r="P5207">
        <f t="shared" si="171"/>
        <v>11</v>
      </c>
      <c r="Q5207" t="s">
        <v>785</v>
      </c>
    </row>
    <row r="5208" spans="1:17" x14ac:dyDescent="0.3">
      <c r="A5208" t="s">
        <v>627</v>
      </c>
      <c r="B5208" s="16">
        <v>45608</v>
      </c>
      <c r="C5208" t="s">
        <v>3</v>
      </c>
      <c r="D5208" t="s">
        <v>367</v>
      </c>
      <c r="E5208">
        <v>1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1</v>
      </c>
      <c r="O5208">
        <f t="shared" si="170"/>
        <v>2024</v>
      </c>
      <c r="P5208">
        <f t="shared" si="171"/>
        <v>11</v>
      </c>
      <c r="Q5208" t="s">
        <v>785</v>
      </c>
    </row>
    <row r="5209" spans="1:17" x14ac:dyDescent="0.3">
      <c r="A5209" t="s">
        <v>627</v>
      </c>
      <c r="B5209" s="16">
        <v>45608</v>
      </c>
      <c r="C5209" t="s">
        <v>3</v>
      </c>
      <c r="D5209" t="s">
        <v>251</v>
      </c>
      <c r="E5209">
        <v>308</v>
      </c>
      <c r="F5209">
        <v>95</v>
      </c>
      <c r="G5209">
        <v>10</v>
      </c>
      <c r="H5209">
        <v>3</v>
      </c>
      <c r="I5209">
        <v>34530</v>
      </c>
      <c r="J5209">
        <v>4</v>
      </c>
      <c r="K5209">
        <v>12780</v>
      </c>
      <c r="L5209">
        <v>3</v>
      </c>
      <c r="M5209">
        <v>53</v>
      </c>
      <c r="N5209">
        <v>266</v>
      </c>
      <c r="O5209">
        <f t="shared" si="170"/>
        <v>2024</v>
      </c>
      <c r="P5209">
        <f t="shared" si="171"/>
        <v>11</v>
      </c>
      <c r="Q5209" t="s">
        <v>785</v>
      </c>
    </row>
    <row r="5210" spans="1:17" x14ac:dyDescent="0.3">
      <c r="A5210" t="s">
        <v>627</v>
      </c>
      <c r="B5210" s="16">
        <v>45608</v>
      </c>
      <c r="C5210" t="s">
        <v>3</v>
      </c>
      <c r="D5210" t="s">
        <v>143</v>
      </c>
      <c r="E5210">
        <v>15</v>
      </c>
      <c r="F5210">
        <v>14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15</v>
      </c>
      <c r="O5210">
        <f t="shared" si="170"/>
        <v>2024</v>
      </c>
      <c r="P5210">
        <f t="shared" si="171"/>
        <v>11</v>
      </c>
      <c r="Q5210" t="s">
        <v>785</v>
      </c>
    </row>
    <row r="5211" spans="1:17" x14ac:dyDescent="0.3">
      <c r="A5211" t="s">
        <v>627</v>
      </c>
      <c r="B5211" s="16">
        <v>45608</v>
      </c>
      <c r="C5211" t="s">
        <v>3</v>
      </c>
      <c r="D5211" t="s">
        <v>141</v>
      </c>
      <c r="E5211">
        <v>8</v>
      </c>
      <c r="F5211">
        <v>8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1</v>
      </c>
      <c r="N5211">
        <v>7</v>
      </c>
      <c r="O5211">
        <f t="shared" si="170"/>
        <v>2024</v>
      </c>
      <c r="P5211">
        <f t="shared" si="171"/>
        <v>11</v>
      </c>
      <c r="Q5211" t="s">
        <v>785</v>
      </c>
    </row>
    <row r="5212" spans="1:17" x14ac:dyDescent="0.3">
      <c r="A5212" t="s">
        <v>627</v>
      </c>
      <c r="B5212" s="16">
        <v>45608</v>
      </c>
      <c r="C5212" t="s">
        <v>3</v>
      </c>
      <c r="D5212" t="s">
        <v>140</v>
      </c>
      <c r="E5212">
        <v>11</v>
      </c>
      <c r="F5212">
        <v>8</v>
      </c>
      <c r="G5212">
        <v>2</v>
      </c>
      <c r="H5212">
        <v>0</v>
      </c>
      <c r="I5212">
        <v>5800</v>
      </c>
      <c r="J5212">
        <v>1</v>
      </c>
      <c r="K5212">
        <v>5800</v>
      </c>
      <c r="L5212">
        <v>1</v>
      </c>
      <c r="M5212">
        <v>1</v>
      </c>
      <c r="N5212">
        <v>11</v>
      </c>
      <c r="O5212">
        <f t="shared" si="170"/>
        <v>2024</v>
      </c>
      <c r="P5212">
        <f t="shared" si="171"/>
        <v>11</v>
      </c>
      <c r="Q5212" t="s">
        <v>785</v>
      </c>
    </row>
    <row r="5213" spans="1:17" x14ac:dyDescent="0.3">
      <c r="A5213" t="s">
        <v>627</v>
      </c>
      <c r="B5213" s="16">
        <v>45608</v>
      </c>
      <c r="C5213" t="s">
        <v>3</v>
      </c>
      <c r="D5213" t="s">
        <v>139</v>
      </c>
      <c r="E5213">
        <v>1084</v>
      </c>
      <c r="F5213">
        <v>497</v>
      </c>
      <c r="G5213">
        <v>39</v>
      </c>
      <c r="H5213">
        <v>7</v>
      </c>
      <c r="I5213">
        <v>153097</v>
      </c>
      <c r="J5213">
        <v>12</v>
      </c>
      <c r="K5213">
        <v>94152</v>
      </c>
      <c r="L5213">
        <v>10</v>
      </c>
      <c r="M5213">
        <v>286</v>
      </c>
      <c r="N5213">
        <v>980</v>
      </c>
      <c r="O5213">
        <f t="shared" si="170"/>
        <v>2024</v>
      </c>
      <c r="P5213">
        <f t="shared" si="171"/>
        <v>11</v>
      </c>
      <c r="Q5213" t="s">
        <v>785</v>
      </c>
    </row>
    <row r="5214" spans="1:17" x14ac:dyDescent="0.3">
      <c r="A5214" t="s">
        <v>627</v>
      </c>
      <c r="B5214" s="16">
        <v>45608</v>
      </c>
      <c r="C5214" t="s">
        <v>3</v>
      </c>
      <c r="D5214" t="s">
        <v>138</v>
      </c>
      <c r="E5214">
        <v>8</v>
      </c>
      <c r="F5214">
        <v>5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1</v>
      </c>
      <c r="N5214">
        <v>8</v>
      </c>
      <c r="O5214">
        <f t="shared" si="170"/>
        <v>2024</v>
      </c>
      <c r="P5214">
        <f t="shared" si="171"/>
        <v>11</v>
      </c>
      <c r="Q5214" t="s">
        <v>785</v>
      </c>
    </row>
    <row r="5215" spans="1:17" x14ac:dyDescent="0.3">
      <c r="A5215" t="s">
        <v>627</v>
      </c>
      <c r="B5215" s="16">
        <v>45608</v>
      </c>
      <c r="C5215" t="s">
        <v>3</v>
      </c>
      <c r="D5215" t="s">
        <v>137</v>
      </c>
      <c r="E5215">
        <v>6</v>
      </c>
      <c r="F5215">
        <v>1</v>
      </c>
      <c r="G5215">
        <v>1</v>
      </c>
      <c r="H5215">
        <v>0</v>
      </c>
      <c r="I5215">
        <v>2980</v>
      </c>
      <c r="J5215">
        <v>1</v>
      </c>
      <c r="K5215">
        <v>2980</v>
      </c>
      <c r="L5215">
        <v>1</v>
      </c>
      <c r="M5215">
        <v>2</v>
      </c>
      <c r="N5215">
        <v>6</v>
      </c>
      <c r="O5215">
        <f t="shared" si="170"/>
        <v>2024</v>
      </c>
      <c r="P5215">
        <f t="shared" si="171"/>
        <v>11</v>
      </c>
      <c r="Q5215" t="s">
        <v>785</v>
      </c>
    </row>
    <row r="5216" spans="1:17" x14ac:dyDescent="0.3">
      <c r="A5216" t="s">
        <v>627</v>
      </c>
      <c r="B5216" s="16">
        <v>45608</v>
      </c>
      <c r="C5216" t="s">
        <v>3</v>
      </c>
      <c r="D5216" t="s">
        <v>135</v>
      </c>
      <c r="E5216">
        <v>21</v>
      </c>
      <c r="F5216">
        <v>5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1</v>
      </c>
      <c r="N5216">
        <v>21</v>
      </c>
      <c r="O5216">
        <f t="shared" si="170"/>
        <v>2024</v>
      </c>
      <c r="P5216">
        <f t="shared" si="171"/>
        <v>11</v>
      </c>
      <c r="Q5216" t="s">
        <v>785</v>
      </c>
    </row>
    <row r="5217" spans="1:18" x14ac:dyDescent="0.3">
      <c r="A5217" t="s">
        <v>627</v>
      </c>
      <c r="B5217" s="16">
        <v>45608</v>
      </c>
      <c r="C5217" t="s">
        <v>3</v>
      </c>
      <c r="D5217" t="s">
        <v>133</v>
      </c>
      <c r="E5217">
        <v>25</v>
      </c>
      <c r="F5217">
        <v>12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6</v>
      </c>
      <c r="N5217">
        <v>22</v>
      </c>
      <c r="O5217">
        <f t="shared" si="170"/>
        <v>2024</v>
      </c>
      <c r="P5217">
        <f t="shared" si="171"/>
        <v>11</v>
      </c>
      <c r="Q5217" t="s">
        <v>785</v>
      </c>
    </row>
    <row r="5218" spans="1:18" x14ac:dyDescent="0.3">
      <c r="A5218" t="s">
        <v>627</v>
      </c>
      <c r="B5218" s="16">
        <v>45608</v>
      </c>
      <c r="C5218" t="s">
        <v>3</v>
      </c>
      <c r="D5218" t="s">
        <v>130</v>
      </c>
      <c r="E5218">
        <v>117</v>
      </c>
      <c r="F5218">
        <v>42</v>
      </c>
      <c r="G5218">
        <v>6</v>
      </c>
      <c r="H5218">
        <v>5</v>
      </c>
      <c r="I5218">
        <v>35705</v>
      </c>
      <c r="J5218">
        <v>6</v>
      </c>
      <c r="K5218">
        <v>30715</v>
      </c>
      <c r="L5218">
        <v>6</v>
      </c>
      <c r="M5218">
        <v>33</v>
      </c>
      <c r="N5218">
        <v>108</v>
      </c>
      <c r="O5218">
        <f t="shared" si="170"/>
        <v>2024</v>
      </c>
      <c r="P5218">
        <f t="shared" si="171"/>
        <v>11</v>
      </c>
      <c r="Q5218" t="s">
        <v>785</v>
      </c>
    </row>
    <row r="5219" spans="1:18" x14ac:dyDescent="0.3">
      <c r="A5219" t="s">
        <v>627</v>
      </c>
      <c r="B5219" s="16">
        <v>45608</v>
      </c>
      <c r="C5219" t="s">
        <v>3</v>
      </c>
      <c r="D5219" t="s">
        <v>128</v>
      </c>
      <c r="E5219">
        <v>1201</v>
      </c>
      <c r="F5219">
        <v>902</v>
      </c>
      <c r="G5219">
        <v>20</v>
      </c>
      <c r="H5219">
        <v>11</v>
      </c>
      <c r="I5219">
        <v>12192</v>
      </c>
      <c r="J5219">
        <v>3</v>
      </c>
      <c r="K5219">
        <v>7597</v>
      </c>
      <c r="L5219">
        <v>2</v>
      </c>
      <c r="M5219">
        <v>285</v>
      </c>
      <c r="N5219">
        <v>1063</v>
      </c>
      <c r="O5219">
        <f t="shared" si="170"/>
        <v>2024</v>
      </c>
      <c r="P5219">
        <f t="shared" si="171"/>
        <v>11</v>
      </c>
      <c r="Q5219" t="s">
        <v>785</v>
      </c>
    </row>
    <row r="5220" spans="1:18" x14ac:dyDescent="0.3">
      <c r="A5220" t="s">
        <v>627</v>
      </c>
      <c r="B5220" s="16">
        <v>45608</v>
      </c>
      <c r="C5220" t="s">
        <v>3</v>
      </c>
      <c r="D5220" t="s">
        <v>127</v>
      </c>
      <c r="E5220">
        <v>3585</v>
      </c>
      <c r="F5220">
        <v>1545</v>
      </c>
      <c r="G5220">
        <v>34</v>
      </c>
      <c r="H5220">
        <v>21</v>
      </c>
      <c r="I5220">
        <v>34598</v>
      </c>
      <c r="J5220">
        <v>8</v>
      </c>
      <c r="K5220">
        <v>26248</v>
      </c>
      <c r="L5220">
        <v>7</v>
      </c>
      <c r="M5220">
        <v>203</v>
      </c>
      <c r="N5220">
        <v>3533</v>
      </c>
      <c r="O5220">
        <f t="shared" si="170"/>
        <v>2024</v>
      </c>
      <c r="P5220">
        <f t="shared" si="171"/>
        <v>11</v>
      </c>
      <c r="Q5220" t="s">
        <v>785</v>
      </c>
    </row>
    <row r="5221" spans="1:18" x14ac:dyDescent="0.3">
      <c r="A5221" t="s">
        <v>627</v>
      </c>
      <c r="B5221" s="16">
        <v>45608</v>
      </c>
      <c r="C5221" t="s">
        <v>3</v>
      </c>
      <c r="D5221" t="s">
        <v>126</v>
      </c>
      <c r="E5221">
        <v>152</v>
      </c>
      <c r="F5221">
        <v>98</v>
      </c>
      <c r="G5221">
        <v>4</v>
      </c>
      <c r="H5221">
        <v>2</v>
      </c>
      <c r="I5221">
        <v>5750</v>
      </c>
      <c r="J5221">
        <v>1</v>
      </c>
      <c r="K5221">
        <v>5750</v>
      </c>
      <c r="L5221">
        <v>1</v>
      </c>
      <c r="M5221">
        <v>27</v>
      </c>
      <c r="N5221">
        <v>143</v>
      </c>
      <c r="O5221">
        <f t="shared" si="170"/>
        <v>2024</v>
      </c>
      <c r="P5221">
        <f t="shared" si="171"/>
        <v>11</v>
      </c>
      <c r="Q5221" t="s">
        <v>785</v>
      </c>
    </row>
    <row r="5222" spans="1:18" x14ac:dyDescent="0.3">
      <c r="A5222" t="s">
        <v>627</v>
      </c>
      <c r="B5222" s="16">
        <v>45608</v>
      </c>
      <c r="C5222" t="s">
        <v>3</v>
      </c>
      <c r="D5222" t="s">
        <v>125</v>
      </c>
      <c r="E5222">
        <v>6</v>
      </c>
      <c r="F5222">
        <v>1</v>
      </c>
      <c r="G5222">
        <v>0</v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2</v>
      </c>
      <c r="N5222">
        <v>6</v>
      </c>
      <c r="O5222">
        <f t="shared" si="170"/>
        <v>2024</v>
      </c>
      <c r="P5222">
        <f t="shared" si="171"/>
        <v>11</v>
      </c>
      <c r="Q5222" t="s">
        <v>785</v>
      </c>
    </row>
    <row r="5223" spans="1:18" x14ac:dyDescent="0.3">
      <c r="A5223" t="s">
        <v>627</v>
      </c>
      <c r="B5223" s="16">
        <v>45608</v>
      </c>
      <c r="C5223" t="s">
        <v>3</v>
      </c>
      <c r="D5223" t="s">
        <v>123</v>
      </c>
      <c r="E5223">
        <v>142</v>
      </c>
      <c r="F5223">
        <v>50</v>
      </c>
      <c r="G5223">
        <v>4</v>
      </c>
      <c r="H5223">
        <v>2</v>
      </c>
      <c r="I5223">
        <v>8865</v>
      </c>
      <c r="J5223">
        <v>3</v>
      </c>
      <c r="K5223">
        <v>8865</v>
      </c>
      <c r="L5223">
        <v>3</v>
      </c>
      <c r="M5223">
        <v>46</v>
      </c>
      <c r="N5223">
        <v>124</v>
      </c>
      <c r="O5223">
        <f t="shared" si="170"/>
        <v>2024</v>
      </c>
      <c r="P5223">
        <f t="shared" si="171"/>
        <v>11</v>
      </c>
      <c r="Q5223" t="s">
        <v>785</v>
      </c>
    </row>
    <row r="5224" spans="1:18" x14ac:dyDescent="0.3">
      <c r="A5224" t="s">
        <v>627</v>
      </c>
      <c r="B5224" s="16">
        <v>45608</v>
      </c>
      <c r="C5224" t="s">
        <v>3</v>
      </c>
      <c r="D5224" t="s">
        <v>122</v>
      </c>
      <c r="E5224">
        <v>1</v>
      </c>
      <c r="F5224">
        <v>1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1</v>
      </c>
      <c r="O5224">
        <f t="shared" si="170"/>
        <v>2024</v>
      </c>
      <c r="P5224">
        <f t="shared" si="171"/>
        <v>11</v>
      </c>
      <c r="Q5224" t="s">
        <v>785</v>
      </c>
    </row>
    <row r="5225" spans="1:18" x14ac:dyDescent="0.3">
      <c r="A5225" t="s">
        <v>627</v>
      </c>
      <c r="B5225" s="16">
        <v>45608</v>
      </c>
      <c r="C5225" t="s">
        <v>3</v>
      </c>
      <c r="D5225" t="s">
        <v>121</v>
      </c>
      <c r="E5225">
        <v>4</v>
      </c>
      <c r="F5225">
        <v>3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1</v>
      </c>
      <c r="N5225">
        <v>3</v>
      </c>
      <c r="O5225">
        <f t="shared" si="170"/>
        <v>2024</v>
      </c>
      <c r="P5225">
        <f t="shared" si="171"/>
        <v>11</v>
      </c>
      <c r="Q5225" t="s">
        <v>785</v>
      </c>
    </row>
    <row r="5226" spans="1:18" x14ac:dyDescent="0.3">
      <c r="A5226" t="s">
        <v>627</v>
      </c>
      <c r="B5226" s="16">
        <v>45608</v>
      </c>
      <c r="C5226" t="s">
        <v>3</v>
      </c>
      <c r="D5226" t="s">
        <v>119</v>
      </c>
      <c r="E5226">
        <v>526</v>
      </c>
      <c r="F5226">
        <v>65</v>
      </c>
      <c r="G5226">
        <v>22</v>
      </c>
      <c r="H5226">
        <v>8</v>
      </c>
      <c r="I5226">
        <v>56977</v>
      </c>
      <c r="J5226">
        <v>7</v>
      </c>
      <c r="K5226">
        <v>24122</v>
      </c>
      <c r="L5226">
        <v>6</v>
      </c>
      <c r="M5226">
        <v>113</v>
      </c>
      <c r="N5226">
        <v>510</v>
      </c>
      <c r="O5226">
        <f t="shared" si="170"/>
        <v>2024</v>
      </c>
      <c r="P5226">
        <f t="shared" si="171"/>
        <v>11</v>
      </c>
      <c r="Q5226" t="s">
        <v>785</v>
      </c>
    </row>
    <row r="5227" spans="1:18" x14ac:dyDescent="0.3">
      <c r="A5227" t="s">
        <v>627</v>
      </c>
      <c r="B5227" s="16">
        <v>45608</v>
      </c>
      <c r="C5227" t="s">
        <v>3</v>
      </c>
      <c r="D5227" t="s">
        <v>117</v>
      </c>
      <c r="E5227">
        <v>2</v>
      </c>
      <c r="F5227">
        <v>2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1</v>
      </c>
      <c r="N5227">
        <v>2</v>
      </c>
      <c r="O5227">
        <f t="shared" si="170"/>
        <v>2024</v>
      </c>
      <c r="P5227">
        <f t="shared" si="171"/>
        <v>11</v>
      </c>
      <c r="Q5227" t="s">
        <v>785</v>
      </c>
    </row>
    <row r="5228" spans="1:18" x14ac:dyDescent="0.3">
      <c r="A5228" t="s">
        <v>627</v>
      </c>
      <c r="B5228" s="16">
        <v>45608</v>
      </c>
      <c r="C5228" t="s">
        <v>3</v>
      </c>
      <c r="D5228" t="s">
        <v>115</v>
      </c>
      <c r="E5228">
        <v>8</v>
      </c>
      <c r="F5228">
        <v>1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8</v>
      </c>
      <c r="O5228">
        <f t="shared" si="170"/>
        <v>2024</v>
      </c>
      <c r="P5228">
        <f t="shared" si="171"/>
        <v>11</v>
      </c>
      <c r="Q5228" t="s">
        <v>785</v>
      </c>
    </row>
    <row r="5229" spans="1:18" x14ac:dyDescent="0.3">
      <c r="A5229" t="s">
        <v>627</v>
      </c>
      <c r="B5229" s="16">
        <v>45608</v>
      </c>
      <c r="C5229" t="s">
        <v>3</v>
      </c>
      <c r="D5229" t="s">
        <v>114</v>
      </c>
      <c r="E5229">
        <v>5</v>
      </c>
      <c r="F5229">
        <v>4</v>
      </c>
      <c r="G5229">
        <v>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5</v>
      </c>
      <c r="O5229">
        <f t="shared" si="170"/>
        <v>2024</v>
      </c>
      <c r="P5229">
        <f t="shared" si="171"/>
        <v>11</v>
      </c>
      <c r="Q5229" t="s">
        <v>785</v>
      </c>
    </row>
    <row r="5230" spans="1:18" x14ac:dyDescent="0.3">
      <c r="A5230" t="s">
        <v>627</v>
      </c>
      <c r="B5230" s="16">
        <v>45608</v>
      </c>
      <c r="C5230" t="s">
        <v>3</v>
      </c>
      <c r="D5230" t="s">
        <v>113</v>
      </c>
      <c r="E5230">
        <v>119</v>
      </c>
      <c r="F5230">
        <v>53</v>
      </c>
      <c r="G5230">
        <v>7</v>
      </c>
      <c r="H5230">
        <v>2</v>
      </c>
      <c r="I5230">
        <v>32550</v>
      </c>
      <c r="J5230">
        <v>1</v>
      </c>
      <c r="K5230">
        <v>32550</v>
      </c>
      <c r="L5230">
        <v>1</v>
      </c>
      <c r="M5230">
        <v>79</v>
      </c>
      <c r="N5230">
        <v>83</v>
      </c>
      <c r="O5230">
        <f t="shared" si="170"/>
        <v>2024</v>
      </c>
      <c r="P5230">
        <f t="shared" si="171"/>
        <v>11</v>
      </c>
      <c r="Q5230" t="s">
        <v>785</v>
      </c>
    </row>
    <row r="5231" spans="1:18" x14ac:dyDescent="0.3">
      <c r="A5231" t="s">
        <v>627</v>
      </c>
      <c r="B5231" s="16">
        <v>45608</v>
      </c>
      <c r="C5231" t="s">
        <v>3</v>
      </c>
      <c r="D5231" t="s">
        <v>112</v>
      </c>
      <c r="E5231">
        <v>9</v>
      </c>
      <c r="F5231">
        <v>1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9</v>
      </c>
      <c r="O5231">
        <f t="shared" si="170"/>
        <v>2024</v>
      </c>
      <c r="P5231">
        <f t="shared" si="171"/>
        <v>11</v>
      </c>
      <c r="Q5231" t="s">
        <v>785</v>
      </c>
    </row>
    <row r="5232" spans="1:18" x14ac:dyDescent="0.3">
      <c r="A5232" t="s">
        <v>627</v>
      </c>
      <c r="B5232" s="16">
        <v>45607</v>
      </c>
      <c r="C5232" t="s">
        <v>2</v>
      </c>
      <c r="D5232" t="s">
        <v>4</v>
      </c>
      <c r="E5232">
        <v>342</v>
      </c>
      <c r="F5232">
        <v>142</v>
      </c>
      <c r="G5232">
        <v>12</v>
      </c>
      <c r="H5232">
        <v>0</v>
      </c>
      <c r="I5232">
        <v>14026.14</v>
      </c>
      <c r="J5232">
        <v>5</v>
      </c>
      <c r="K5232">
        <v>12988.14</v>
      </c>
      <c r="L5232">
        <v>5</v>
      </c>
      <c r="M5232">
        <v>27</v>
      </c>
      <c r="N5232">
        <v>335</v>
      </c>
      <c r="O5232">
        <f t="shared" si="170"/>
        <v>2024</v>
      </c>
      <c r="P5232">
        <f t="shared" si="171"/>
        <v>11</v>
      </c>
      <c r="Q5232" t="s">
        <v>785</v>
      </c>
      <c r="R5232" t="s">
        <v>805</v>
      </c>
    </row>
    <row r="5233" spans="1:18" x14ac:dyDescent="0.3">
      <c r="A5233" t="s">
        <v>627</v>
      </c>
      <c r="B5233" s="16">
        <v>45607</v>
      </c>
      <c r="C5233" t="s">
        <v>2</v>
      </c>
      <c r="D5233" t="s">
        <v>57</v>
      </c>
      <c r="E5233">
        <v>15478</v>
      </c>
      <c r="F5233">
        <v>9421</v>
      </c>
      <c r="G5233">
        <v>671</v>
      </c>
      <c r="H5233">
        <v>163</v>
      </c>
      <c r="I5233">
        <v>864490.27</v>
      </c>
      <c r="J5233">
        <v>185</v>
      </c>
      <c r="K5233">
        <v>719614.27</v>
      </c>
      <c r="L5233">
        <v>169</v>
      </c>
      <c r="M5233">
        <v>1400</v>
      </c>
      <c r="N5233">
        <v>15424</v>
      </c>
      <c r="O5233">
        <f t="shared" si="170"/>
        <v>2024</v>
      </c>
      <c r="P5233">
        <f t="shared" si="171"/>
        <v>11</v>
      </c>
      <c r="Q5233" t="s">
        <v>785</v>
      </c>
      <c r="R5233" t="s">
        <v>805</v>
      </c>
    </row>
    <row r="5234" spans="1:18" x14ac:dyDescent="0.3">
      <c r="A5234" t="s">
        <v>627</v>
      </c>
      <c r="B5234" s="16">
        <v>45607</v>
      </c>
      <c r="C5234" t="s">
        <v>2</v>
      </c>
      <c r="D5234" t="s">
        <v>52</v>
      </c>
      <c r="E5234">
        <v>1985</v>
      </c>
      <c r="F5234">
        <v>1607</v>
      </c>
      <c r="G5234">
        <v>42</v>
      </c>
      <c r="H5234">
        <v>5</v>
      </c>
      <c r="I5234">
        <v>81461</v>
      </c>
      <c r="J5234">
        <v>24</v>
      </c>
      <c r="K5234">
        <v>71501</v>
      </c>
      <c r="L5234">
        <v>20</v>
      </c>
      <c r="M5234">
        <v>1985</v>
      </c>
      <c r="N5234">
        <v>728</v>
      </c>
      <c r="O5234">
        <f t="shared" si="170"/>
        <v>2024</v>
      </c>
      <c r="P5234">
        <f t="shared" si="171"/>
        <v>11</v>
      </c>
      <c r="Q5234" t="s">
        <v>785</v>
      </c>
      <c r="R5234" t="s">
        <v>805</v>
      </c>
    </row>
    <row r="5235" spans="1:18" x14ac:dyDescent="0.3">
      <c r="A5235" t="s">
        <v>627</v>
      </c>
      <c r="B5235" s="16">
        <v>45607</v>
      </c>
      <c r="C5235" t="s">
        <v>2</v>
      </c>
      <c r="D5235" t="s">
        <v>55</v>
      </c>
      <c r="E5235">
        <v>1240</v>
      </c>
      <c r="F5235">
        <v>747</v>
      </c>
      <c r="G5235">
        <v>43</v>
      </c>
      <c r="H5235">
        <v>2</v>
      </c>
      <c r="I5235">
        <v>0</v>
      </c>
      <c r="J5235">
        <v>0</v>
      </c>
      <c r="K5235">
        <v>0</v>
      </c>
      <c r="L5235">
        <v>0</v>
      </c>
      <c r="M5235">
        <v>37</v>
      </c>
      <c r="N5235">
        <v>247</v>
      </c>
      <c r="O5235">
        <f t="shared" si="170"/>
        <v>2024</v>
      </c>
      <c r="P5235">
        <f t="shared" si="171"/>
        <v>11</v>
      </c>
      <c r="Q5235" t="s">
        <v>785</v>
      </c>
      <c r="R5235" t="s">
        <v>805</v>
      </c>
    </row>
    <row r="5236" spans="1:18" x14ac:dyDescent="0.3">
      <c r="A5236" t="s">
        <v>627</v>
      </c>
      <c r="B5236" s="16">
        <v>45607</v>
      </c>
      <c r="C5236" t="s">
        <v>3</v>
      </c>
      <c r="D5236" t="s">
        <v>155</v>
      </c>
      <c r="E5236">
        <v>10</v>
      </c>
      <c r="F5236">
        <v>7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1</v>
      </c>
      <c r="N5236">
        <v>10</v>
      </c>
      <c r="O5236">
        <f t="shared" si="170"/>
        <v>2024</v>
      </c>
      <c r="P5236">
        <f t="shared" si="171"/>
        <v>11</v>
      </c>
      <c r="Q5236" t="s">
        <v>785</v>
      </c>
      <c r="R5236" t="s">
        <v>805</v>
      </c>
    </row>
    <row r="5237" spans="1:18" x14ac:dyDescent="0.3">
      <c r="A5237" t="s">
        <v>627</v>
      </c>
      <c r="B5237" s="16">
        <v>45607</v>
      </c>
      <c r="C5237" t="s">
        <v>3</v>
      </c>
      <c r="D5237" t="s">
        <v>154</v>
      </c>
      <c r="E5237">
        <v>577</v>
      </c>
      <c r="F5237">
        <v>357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1</v>
      </c>
      <c r="O5237">
        <f t="shared" si="170"/>
        <v>2024</v>
      </c>
      <c r="P5237">
        <f t="shared" si="171"/>
        <v>11</v>
      </c>
      <c r="Q5237" t="s">
        <v>785</v>
      </c>
      <c r="R5237" t="s">
        <v>805</v>
      </c>
    </row>
    <row r="5238" spans="1:18" x14ac:dyDescent="0.3">
      <c r="A5238" t="s">
        <v>627</v>
      </c>
      <c r="B5238" s="16">
        <v>45607</v>
      </c>
      <c r="C5238" t="s">
        <v>3</v>
      </c>
      <c r="D5238" t="s">
        <v>153</v>
      </c>
      <c r="E5238">
        <v>1286</v>
      </c>
      <c r="F5238">
        <v>440</v>
      </c>
      <c r="G5238">
        <v>192</v>
      </c>
      <c r="H5238">
        <v>11</v>
      </c>
      <c r="I5238">
        <v>1351892.42</v>
      </c>
      <c r="J5238">
        <v>253</v>
      </c>
      <c r="K5238">
        <v>1039991.92</v>
      </c>
      <c r="L5238">
        <v>236</v>
      </c>
      <c r="M5238">
        <v>355</v>
      </c>
      <c r="N5238">
        <v>1239</v>
      </c>
      <c r="O5238">
        <f t="shared" si="170"/>
        <v>2024</v>
      </c>
      <c r="P5238">
        <f t="shared" si="171"/>
        <v>11</v>
      </c>
      <c r="Q5238" t="s">
        <v>785</v>
      </c>
      <c r="R5238" t="s">
        <v>805</v>
      </c>
    </row>
    <row r="5239" spans="1:18" x14ac:dyDescent="0.3">
      <c r="A5239" t="s">
        <v>627</v>
      </c>
      <c r="B5239" s="16">
        <v>45607</v>
      </c>
      <c r="C5239" t="s">
        <v>3</v>
      </c>
      <c r="D5239" t="s">
        <v>152</v>
      </c>
      <c r="E5239">
        <v>29</v>
      </c>
      <c r="F5239">
        <v>24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f t="shared" si="170"/>
        <v>2024</v>
      </c>
      <c r="P5239">
        <f t="shared" si="171"/>
        <v>11</v>
      </c>
      <c r="Q5239" t="s">
        <v>785</v>
      </c>
      <c r="R5239" t="s">
        <v>805</v>
      </c>
    </row>
    <row r="5240" spans="1:18" x14ac:dyDescent="0.3">
      <c r="A5240" t="s">
        <v>627</v>
      </c>
      <c r="B5240" s="16">
        <v>45607</v>
      </c>
      <c r="C5240" t="s">
        <v>3</v>
      </c>
      <c r="D5240" t="s">
        <v>150</v>
      </c>
      <c r="E5240">
        <v>1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1</v>
      </c>
      <c r="O5240">
        <f t="shared" si="170"/>
        <v>2024</v>
      </c>
      <c r="P5240">
        <f t="shared" si="171"/>
        <v>11</v>
      </c>
      <c r="Q5240" t="s">
        <v>785</v>
      </c>
      <c r="R5240" t="s">
        <v>805</v>
      </c>
    </row>
    <row r="5241" spans="1:18" x14ac:dyDescent="0.3">
      <c r="A5241" t="s">
        <v>627</v>
      </c>
      <c r="B5241" s="16">
        <v>45607</v>
      </c>
      <c r="C5241" t="s">
        <v>3</v>
      </c>
      <c r="D5241" t="s">
        <v>149</v>
      </c>
      <c r="E5241">
        <v>53</v>
      </c>
      <c r="F5241">
        <v>31</v>
      </c>
      <c r="G5241">
        <v>4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4</v>
      </c>
      <c r="N5241">
        <v>43</v>
      </c>
      <c r="O5241">
        <f t="shared" si="170"/>
        <v>2024</v>
      </c>
      <c r="P5241">
        <f t="shared" si="171"/>
        <v>11</v>
      </c>
      <c r="Q5241" t="s">
        <v>785</v>
      </c>
      <c r="R5241" t="s">
        <v>805</v>
      </c>
    </row>
    <row r="5242" spans="1:18" x14ac:dyDescent="0.3">
      <c r="A5242" t="s">
        <v>627</v>
      </c>
      <c r="B5242" s="16">
        <v>45607</v>
      </c>
      <c r="C5242" t="s">
        <v>3</v>
      </c>
      <c r="D5242" t="s">
        <v>148</v>
      </c>
      <c r="E5242">
        <v>3</v>
      </c>
      <c r="F5242">
        <v>2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2</v>
      </c>
      <c r="N5242">
        <v>1</v>
      </c>
      <c r="O5242">
        <f t="shared" si="170"/>
        <v>2024</v>
      </c>
      <c r="P5242">
        <f t="shared" si="171"/>
        <v>11</v>
      </c>
      <c r="Q5242" t="s">
        <v>785</v>
      </c>
      <c r="R5242" t="s">
        <v>805</v>
      </c>
    </row>
    <row r="5243" spans="1:18" x14ac:dyDescent="0.3">
      <c r="A5243" t="s">
        <v>627</v>
      </c>
      <c r="B5243" s="16">
        <v>45607</v>
      </c>
      <c r="C5243" t="s">
        <v>3</v>
      </c>
      <c r="D5243" t="s">
        <v>251</v>
      </c>
      <c r="E5243">
        <v>8307</v>
      </c>
      <c r="F5243">
        <v>7521</v>
      </c>
      <c r="G5243">
        <v>36</v>
      </c>
      <c r="H5243">
        <v>7</v>
      </c>
      <c r="I5243">
        <v>115523.2</v>
      </c>
      <c r="J5243">
        <v>23</v>
      </c>
      <c r="K5243">
        <v>86973.2</v>
      </c>
      <c r="L5243">
        <v>20</v>
      </c>
      <c r="M5243">
        <v>166</v>
      </c>
      <c r="N5243">
        <v>564</v>
      </c>
      <c r="O5243">
        <f t="shared" si="170"/>
        <v>2024</v>
      </c>
      <c r="P5243">
        <f t="shared" si="171"/>
        <v>11</v>
      </c>
      <c r="Q5243" t="s">
        <v>785</v>
      </c>
      <c r="R5243" t="s">
        <v>805</v>
      </c>
    </row>
    <row r="5244" spans="1:18" x14ac:dyDescent="0.3">
      <c r="A5244" t="s">
        <v>627</v>
      </c>
      <c r="B5244" s="16">
        <v>45607</v>
      </c>
      <c r="C5244" t="s">
        <v>3</v>
      </c>
      <c r="D5244" t="s">
        <v>143</v>
      </c>
      <c r="E5244">
        <v>24</v>
      </c>
      <c r="F5244">
        <v>21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24</v>
      </c>
      <c r="O5244">
        <f t="shared" si="170"/>
        <v>2024</v>
      </c>
      <c r="P5244">
        <f t="shared" si="171"/>
        <v>11</v>
      </c>
      <c r="Q5244" t="s">
        <v>785</v>
      </c>
      <c r="R5244" t="s">
        <v>805</v>
      </c>
    </row>
    <row r="5245" spans="1:18" x14ac:dyDescent="0.3">
      <c r="A5245" t="s">
        <v>627</v>
      </c>
      <c r="B5245" s="16">
        <v>45607</v>
      </c>
      <c r="C5245" t="s">
        <v>3</v>
      </c>
      <c r="D5245" t="s">
        <v>141</v>
      </c>
      <c r="E5245">
        <v>7</v>
      </c>
      <c r="F5245">
        <v>7</v>
      </c>
      <c r="G5245">
        <v>0</v>
      </c>
      <c r="H5245">
        <v>0</v>
      </c>
      <c r="I5245">
        <v>8500</v>
      </c>
      <c r="J5245">
        <v>2</v>
      </c>
      <c r="K5245">
        <v>5000</v>
      </c>
      <c r="L5245">
        <v>2</v>
      </c>
      <c r="M5245">
        <v>0</v>
      </c>
      <c r="N5245">
        <v>7</v>
      </c>
      <c r="O5245">
        <f t="shared" si="170"/>
        <v>2024</v>
      </c>
      <c r="P5245">
        <f t="shared" si="171"/>
        <v>11</v>
      </c>
      <c r="Q5245" t="s">
        <v>785</v>
      </c>
      <c r="R5245" t="s">
        <v>805</v>
      </c>
    </row>
    <row r="5246" spans="1:18" x14ac:dyDescent="0.3">
      <c r="A5246" t="s">
        <v>627</v>
      </c>
      <c r="B5246" s="16">
        <v>45607</v>
      </c>
      <c r="C5246" t="s">
        <v>3</v>
      </c>
      <c r="D5246" t="s">
        <v>140</v>
      </c>
      <c r="E5246">
        <v>17</v>
      </c>
      <c r="F5246">
        <v>13</v>
      </c>
      <c r="G5246">
        <v>3</v>
      </c>
      <c r="H5246">
        <v>0</v>
      </c>
      <c r="I5246">
        <v>11105</v>
      </c>
      <c r="J5246">
        <v>3</v>
      </c>
      <c r="K5246">
        <v>7605</v>
      </c>
      <c r="L5246">
        <v>3</v>
      </c>
      <c r="M5246">
        <v>3</v>
      </c>
      <c r="N5246">
        <v>17</v>
      </c>
      <c r="O5246">
        <f t="shared" si="170"/>
        <v>2024</v>
      </c>
      <c r="P5246">
        <f t="shared" si="171"/>
        <v>11</v>
      </c>
      <c r="Q5246" t="s">
        <v>785</v>
      </c>
      <c r="R5246" t="s">
        <v>805</v>
      </c>
    </row>
    <row r="5247" spans="1:18" x14ac:dyDescent="0.3">
      <c r="A5247" t="s">
        <v>627</v>
      </c>
      <c r="B5247" s="16">
        <v>45607</v>
      </c>
      <c r="C5247" t="s">
        <v>3</v>
      </c>
      <c r="D5247" t="s">
        <v>139</v>
      </c>
      <c r="E5247">
        <v>2413</v>
      </c>
      <c r="F5247">
        <v>1347</v>
      </c>
      <c r="G5247">
        <v>174</v>
      </c>
      <c r="H5247">
        <v>24</v>
      </c>
      <c r="I5247">
        <v>660694.64</v>
      </c>
      <c r="J5247">
        <v>120</v>
      </c>
      <c r="K5247">
        <v>450897.14</v>
      </c>
      <c r="L5247">
        <v>104</v>
      </c>
      <c r="M5247">
        <v>725</v>
      </c>
      <c r="N5247">
        <v>2151</v>
      </c>
      <c r="O5247">
        <f t="shared" si="170"/>
        <v>2024</v>
      </c>
      <c r="P5247">
        <f t="shared" si="171"/>
        <v>11</v>
      </c>
      <c r="Q5247" t="s">
        <v>785</v>
      </c>
      <c r="R5247" t="s">
        <v>805</v>
      </c>
    </row>
    <row r="5248" spans="1:18" x14ac:dyDescent="0.3">
      <c r="A5248" t="s">
        <v>627</v>
      </c>
      <c r="B5248" s="16">
        <v>45607</v>
      </c>
      <c r="C5248" t="s">
        <v>3</v>
      </c>
      <c r="D5248" t="s">
        <v>138</v>
      </c>
      <c r="E5248">
        <v>446</v>
      </c>
      <c r="F5248">
        <v>411</v>
      </c>
      <c r="G5248">
        <v>3</v>
      </c>
      <c r="H5248">
        <v>1</v>
      </c>
      <c r="I5248">
        <v>14685</v>
      </c>
      <c r="J5248">
        <v>3</v>
      </c>
      <c r="K5248">
        <v>5865</v>
      </c>
      <c r="L5248">
        <v>2</v>
      </c>
      <c r="M5248">
        <v>13</v>
      </c>
      <c r="N5248">
        <v>444</v>
      </c>
      <c r="O5248">
        <f t="shared" si="170"/>
        <v>2024</v>
      </c>
      <c r="P5248">
        <f t="shared" si="171"/>
        <v>11</v>
      </c>
      <c r="Q5248" t="s">
        <v>785</v>
      </c>
      <c r="R5248" t="s">
        <v>805</v>
      </c>
    </row>
    <row r="5249" spans="1:18" x14ac:dyDescent="0.3">
      <c r="A5249" t="s">
        <v>627</v>
      </c>
      <c r="B5249" s="16">
        <v>45607</v>
      </c>
      <c r="C5249" t="s">
        <v>3</v>
      </c>
      <c r="D5249" t="s">
        <v>137</v>
      </c>
      <c r="E5249">
        <v>7</v>
      </c>
      <c r="F5249">
        <v>4</v>
      </c>
      <c r="G5249">
        <v>1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7</v>
      </c>
      <c r="O5249">
        <f t="shared" si="170"/>
        <v>2024</v>
      </c>
      <c r="P5249">
        <f t="shared" si="171"/>
        <v>11</v>
      </c>
      <c r="Q5249" t="s">
        <v>785</v>
      </c>
      <c r="R5249" t="s">
        <v>805</v>
      </c>
    </row>
    <row r="5250" spans="1:18" x14ac:dyDescent="0.3">
      <c r="A5250" t="s">
        <v>627</v>
      </c>
      <c r="B5250" s="16">
        <v>45607</v>
      </c>
      <c r="C5250" t="s">
        <v>3</v>
      </c>
      <c r="D5250" t="s">
        <v>136</v>
      </c>
      <c r="E5250">
        <v>1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f t="shared" si="170"/>
        <v>2024</v>
      </c>
      <c r="P5250">
        <f t="shared" si="171"/>
        <v>11</v>
      </c>
      <c r="Q5250" t="s">
        <v>785</v>
      </c>
      <c r="R5250" t="s">
        <v>805</v>
      </c>
    </row>
    <row r="5251" spans="1:18" x14ac:dyDescent="0.3">
      <c r="A5251" t="s">
        <v>627</v>
      </c>
      <c r="B5251" s="16">
        <v>45607</v>
      </c>
      <c r="C5251" t="s">
        <v>3</v>
      </c>
      <c r="D5251" t="s">
        <v>135</v>
      </c>
      <c r="E5251">
        <v>45</v>
      </c>
      <c r="F5251">
        <v>9</v>
      </c>
      <c r="G5251">
        <v>1</v>
      </c>
      <c r="H5251">
        <v>1</v>
      </c>
      <c r="I5251">
        <v>9621.59</v>
      </c>
      <c r="J5251">
        <v>2</v>
      </c>
      <c r="K5251">
        <v>5796.59</v>
      </c>
      <c r="L5251">
        <v>2</v>
      </c>
      <c r="M5251">
        <v>4</v>
      </c>
      <c r="N5251">
        <v>37</v>
      </c>
      <c r="O5251">
        <f t="shared" si="170"/>
        <v>2024</v>
      </c>
      <c r="P5251">
        <f t="shared" si="171"/>
        <v>11</v>
      </c>
      <c r="Q5251" t="s">
        <v>785</v>
      </c>
      <c r="R5251" t="s">
        <v>805</v>
      </c>
    </row>
    <row r="5252" spans="1:18" x14ac:dyDescent="0.3">
      <c r="A5252" t="s">
        <v>627</v>
      </c>
      <c r="B5252" s="16">
        <v>45607</v>
      </c>
      <c r="C5252" t="s">
        <v>3</v>
      </c>
      <c r="D5252" t="s">
        <v>133</v>
      </c>
      <c r="E5252">
        <v>74</v>
      </c>
      <c r="F5252">
        <v>42</v>
      </c>
      <c r="G5252">
        <v>11</v>
      </c>
      <c r="H5252">
        <v>1</v>
      </c>
      <c r="I5252">
        <v>69643.06</v>
      </c>
      <c r="J5252">
        <v>11</v>
      </c>
      <c r="K5252">
        <v>69643.06</v>
      </c>
      <c r="L5252">
        <v>11</v>
      </c>
      <c r="M5252">
        <v>27</v>
      </c>
      <c r="N5252">
        <v>63</v>
      </c>
      <c r="O5252">
        <f t="shared" si="170"/>
        <v>2024</v>
      </c>
      <c r="P5252">
        <f t="shared" si="171"/>
        <v>11</v>
      </c>
      <c r="Q5252" t="s">
        <v>785</v>
      </c>
      <c r="R5252" t="s">
        <v>805</v>
      </c>
    </row>
    <row r="5253" spans="1:18" x14ac:dyDescent="0.3">
      <c r="A5253" t="s">
        <v>627</v>
      </c>
      <c r="B5253" s="16">
        <v>45607</v>
      </c>
      <c r="C5253" t="s">
        <v>3</v>
      </c>
      <c r="D5253" t="s">
        <v>130</v>
      </c>
      <c r="E5253">
        <v>249</v>
      </c>
      <c r="F5253">
        <v>94</v>
      </c>
      <c r="G5253">
        <v>33</v>
      </c>
      <c r="H5253">
        <v>5</v>
      </c>
      <c r="I5253">
        <v>236869.3</v>
      </c>
      <c r="J5253">
        <v>40</v>
      </c>
      <c r="K5253">
        <v>170571.8</v>
      </c>
      <c r="L5253">
        <v>37</v>
      </c>
      <c r="M5253">
        <v>88</v>
      </c>
      <c r="N5253">
        <v>227</v>
      </c>
      <c r="O5253">
        <f t="shared" si="170"/>
        <v>2024</v>
      </c>
      <c r="P5253">
        <f t="shared" si="171"/>
        <v>11</v>
      </c>
      <c r="Q5253" t="s">
        <v>785</v>
      </c>
      <c r="R5253" t="s">
        <v>805</v>
      </c>
    </row>
    <row r="5254" spans="1:18" x14ac:dyDescent="0.3">
      <c r="A5254" t="s">
        <v>627</v>
      </c>
      <c r="B5254" s="16">
        <v>45607</v>
      </c>
      <c r="C5254" t="s">
        <v>3</v>
      </c>
      <c r="D5254" t="s">
        <v>128</v>
      </c>
      <c r="E5254">
        <v>2584</v>
      </c>
      <c r="F5254">
        <v>2021</v>
      </c>
      <c r="G5254">
        <v>296</v>
      </c>
      <c r="H5254">
        <v>25</v>
      </c>
      <c r="I5254">
        <v>520013.11</v>
      </c>
      <c r="J5254">
        <v>122</v>
      </c>
      <c r="K5254">
        <v>418580.61</v>
      </c>
      <c r="L5254">
        <v>108</v>
      </c>
      <c r="M5254">
        <v>550</v>
      </c>
      <c r="N5254">
        <v>2408</v>
      </c>
      <c r="O5254">
        <f t="shared" si="170"/>
        <v>2024</v>
      </c>
      <c r="P5254">
        <f t="shared" si="171"/>
        <v>11</v>
      </c>
      <c r="Q5254" t="s">
        <v>785</v>
      </c>
      <c r="R5254" t="s">
        <v>805</v>
      </c>
    </row>
    <row r="5255" spans="1:18" x14ac:dyDescent="0.3">
      <c r="A5255" t="s">
        <v>627</v>
      </c>
      <c r="B5255" s="16">
        <v>45607</v>
      </c>
      <c r="C5255" t="s">
        <v>3</v>
      </c>
      <c r="D5255" t="s">
        <v>127</v>
      </c>
      <c r="E5255">
        <v>7796</v>
      </c>
      <c r="F5255">
        <v>4848</v>
      </c>
      <c r="G5255">
        <v>100</v>
      </c>
      <c r="H5255">
        <v>32</v>
      </c>
      <c r="I5255">
        <v>305185.34999999998</v>
      </c>
      <c r="J5255">
        <v>54</v>
      </c>
      <c r="K5255">
        <v>179507.85</v>
      </c>
      <c r="L5255">
        <v>47</v>
      </c>
      <c r="M5255">
        <v>1471</v>
      </c>
      <c r="N5255">
        <v>6434</v>
      </c>
      <c r="O5255">
        <f t="shared" si="170"/>
        <v>2024</v>
      </c>
      <c r="P5255">
        <f t="shared" si="171"/>
        <v>11</v>
      </c>
      <c r="Q5255" t="s">
        <v>785</v>
      </c>
      <c r="R5255" t="s">
        <v>805</v>
      </c>
    </row>
    <row r="5256" spans="1:18" x14ac:dyDescent="0.3">
      <c r="A5256" t="s">
        <v>627</v>
      </c>
      <c r="B5256" s="16">
        <v>45607</v>
      </c>
      <c r="C5256" t="s">
        <v>3</v>
      </c>
      <c r="D5256" t="s">
        <v>126</v>
      </c>
      <c r="E5256">
        <v>204</v>
      </c>
      <c r="F5256">
        <v>137</v>
      </c>
      <c r="G5256">
        <v>10</v>
      </c>
      <c r="H5256">
        <v>6</v>
      </c>
      <c r="I5256">
        <v>16961.88</v>
      </c>
      <c r="J5256">
        <v>5</v>
      </c>
      <c r="K5256">
        <v>10961.88</v>
      </c>
      <c r="L5256">
        <v>3</v>
      </c>
      <c r="M5256">
        <v>42</v>
      </c>
      <c r="N5256">
        <v>195</v>
      </c>
      <c r="O5256">
        <f t="shared" si="170"/>
        <v>2024</v>
      </c>
      <c r="P5256">
        <f t="shared" si="171"/>
        <v>11</v>
      </c>
      <c r="Q5256" t="s">
        <v>785</v>
      </c>
      <c r="R5256" t="s">
        <v>805</v>
      </c>
    </row>
    <row r="5257" spans="1:18" x14ac:dyDescent="0.3">
      <c r="A5257" t="s">
        <v>627</v>
      </c>
      <c r="B5257" s="16">
        <v>45607</v>
      </c>
      <c r="C5257" t="s">
        <v>3</v>
      </c>
      <c r="D5257" t="s">
        <v>125</v>
      </c>
      <c r="E5257">
        <v>14</v>
      </c>
      <c r="F5257">
        <v>4</v>
      </c>
      <c r="G5257">
        <v>1</v>
      </c>
      <c r="H5257">
        <v>1</v>
      </c>
      <c r="I5257">
        <v>6950</v>
      </c>
      <c r="J5257">
        <v>2</v>
      </c>
      <c r="K5257">
        <v>3450</v>
      </c>
      <c r="L5257">
        <v>2</v>
      </c>
      <c r="M5257">
        <v>3</v>
      </c>
      <c r="N5257">
        <v>13</v>
      </c>
      <c r="O5257">
        <f t="shared" ref="O5257:O5320" si="172">YEAR(B5257)</f>
        <v>2024</v>
      </c>
      <c r="P5257">
        <f t="shared" ref="P5257:P5320" si="173">MONTH(B5257)</f>
        <v>11</v>
      </c>
      <c r="Q5257" t="s">
        <v>785</v>
      </c>
      <c r="R5257" t="s">
        <v>805</v>
      </c>
    </row>
    <row r="5258" spans="1:18" x14ac:dyDescent="0.3">
      <c r="A5258" t="s">
        <v>627</v>
      </c>
      <c r="B5258" s="16">
        <v>45607</v>
      </c>
      <c r="C5258" t="s">
        <v>3</v>
      </c>
      <c r="D5258" t="s">
        <v>123</v>
      </c>
      <c r="E5258">
        <v>413</v>
      </c>
      <c r="F5258">
        <v>172</v>
      </c>
      <c r="G5258">
        <v>24</v>
      </c>
      <c r="H5258">
        <v>7</v>
      </c>
      <c r="I5258">
        <v>48872</v>
      </c>
      <c r="J5258">
        <v>12</v>
      </c>
      <c r="K5258">
        <v>38092</v>
      </c>
      <c r="L5258">
        <v>9</v>
      </c>
      <c r="M5258">
        <v>139</v>
      </c>
      <c r="N5258">
        <v>358</v>
      </c>
      <c r="O5258">
        <f t="shared" si="172"/>
        <v>2024</v>
      </c>
      <c r="P5258">
        <f t="shared" si="173"/>
        <v>11</v>
      </c>
      <c r="Q5258" t="s">
        <v>785</v>
      </c>
      <c r="R5258" t="s">
        <v>805</v>
      </c>
    </row>
    <row r="5259" spans="1:18" x14ac:dyDescent="0.3">
      <c r="A5259" t="s">
        <v>627</v>
      </c>
      <c r="B5259" s="16">
        <v>45607</v>
      </c>
      <c r="C5259" t="s">
        <v>3</v>
      </c>
      <c r="D5259" t="s">
        <v>122</v>
      </c>
      <c r="E5259">
        <v>1</v>
      </c>
      <c r="F5259">
        <v>1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1</v>
      </c>
      <c r="O5259">
        <f t="shared" si="172"/>
        <v>2024</v>
      </c>
      <c r="P5259">
        <f t="shared" si="173"/>
        <v>11</v>
      </c>
      <c r="Q5259" t="s">
        <v>785</v>
      </c>
      <c r="R5259" t="s">
        <v>805</v>
      </c>
    </row>
    <row r="5260" spans="1:18" x14ac:dyDescent="0.3">
      <c r="A5260" t="s">
        <v>627</v>
      </c>
      <c r="B5260" s="16">
        <v>45607</v>
      </c>
      <c r="C5260" t="s">
        <v>3</v>
      </c>
      <c r="D5260" t="s">
        <v>121</v>
      </c>
      <c r="E5260">
        <v>5</v>
      </c>
      <c r="F5260">
        <v>4</v>
      </c>
      <c r="G5260">
        <v>0</v>
      </c>
      <c r="H5260">
        <v>0</v>
      </c>
      <c r="I5260">
        <v>5250</v>
      </c>
      <c r="J5260">
        <v>1</v>
      </c>
      <c r="K5260">
        <v>1750</v>
      </c>
      <c r="L5260">
        <v>1</v>
      </c>
      <c r="M5260">
        <v>1</v>
      </c>
      <c r="N5260">
        <v>4</v>
      </c>
      <c r="O5260">
        <f t="shared" si="172"/>
        <v>2024</v>
      </c>
      <c r="P5260">
        <f t="shared" si="173"/>
        <v>11</v>
      </c>
      <c r="Q5260" t="s">
        <v>785</v>
      </c>
      <c r="R5260" t="s">
        <v>805</v>
      </c>
    </row>
    <row r="5261" spans="1:18" x14ac:dyDescent="0.3">
      <c r="A5261" t="s">
        <v>627</v>
      </c>
      <c r="B5261" s="16">
        <v>45607</v>
      </c>
      <c r="C5261" t="s">
        <v>3</v>
      </c>
      <c r="D5261" t="s">
        <v>119</v>
      </c>
      <c r="E5261">
        <v>794</v>
      </c>
      <c r="F5261">
        <v>219</v>
      </c>
      <c r="G5261">
        <v>96</v>
      </c>
      <c r="H5261">
        <v>14</v>
      </c>
      <c r="I5261">
        <v>439036.23</v>
      </c>
      <c r="J5261">
        <v>76</v>
      </c>
      <c r="K5261">
        <v>296319.73</v>
      </c>
      <c r="L5261">
        <v>60</v>
      </c>
      <c r="M5261">
        <v>192</v>
      </c>
      <c r="N5261">
        <v>753</v>
      </c>
      <c r="O5261">
        <f t="shared" si="172"/>
        <v>2024</v>
      </c>
      <c r="P5261">
        <f t="shared" si="173"/>
        <v>11</v>
      </c>
      <c r="Q5261" t="s">
        <v>785</v>
      </c>
      <c r="R5261" t="s">
        <v>805</v>
      </c>
    </row>
    <row r="5262" spans="1:18" x14ac:dyDescent="0.3">
      <c r="A5262" t="s">
        <v>627</v>
      </c>
      <c r="B5262" s="16">
        <v>45607</v>
      </c>
      <c r="C5262" t="s">
        <v>3</v>
      </c>
      <c r="D5262" t="s">
        <v>252</v>
      </c>
      <c r="E5262">
        <v>9</v>
      </c>
      <c r="F5262">
        <v>3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9</v>
      </c>
      <c r="O5262">
        <f t="shared" si="172"/>
        <v>2024</v>
      </c>
      <c r="P5262">
        <f t="shared" si="173"/>
        <v>11</v>
      </c>
      <c r="Q5262" t="s">
        <v>785</v>
      </c>
      <c r="R5262" t="s">
        <v>805</v>
      </c>
    </row>
    <row r="5263" spans="1:18" x14ac:dyDescent="0.3">
      <c r="A5263" t="s">
        <v>627</v>
      </c>
      <c r="B5263" s="16">
        <v>45607</v>
      </c>
      <c r="C5263" t="s">
        <v>3</v>
      </c>
      <c r="D5263" t="s">
        <v>117</v>
      </c>
      <c r="E5263">
        <v>63</v>
      </c>
      <c r="F5263">
        <v>59</v>
      </c>
      <c r="G5263">
        <v>1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3</v>
      </c>
      <c r="N5263">
        <v>63</v>
      </c>
      <c r="O5263">
        <f t="shared" si="172"/>
        <v>2024</v>
      </c>
      <c r="P5263">
        <f t="shared" si="173"/>
        <v>11</v>
      </c>
      <c r="Q5263" t="s">
        <v>785</v>
      </c>
      <c r="R5263" t="s">
        <v>805</v>
      </c>
    </row>
    <row r="5264" spans="1:18" x14ac:dyDescent="0.3">
      <c r="A5264" t="s">
        <v>627</v>
      </c>
      <c r="B5264" s="16">
        <v>45607</v>
      </c>
      <c r="C5264" t="s">
        <v>3</v>
      </c>
      <c r="D5264" t="s">
        <v>115</v>
      </c>
      <c r="E5264">
        <v>6</v>
      </c>
      <c r="F5264">
        <v>3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1</v>
      </c>
      <c r="N5264">
        <v>6</v>
      </c>
      <c r="O5264">
        <f t="shared" si="172"/>
        <v>2024</v>
      </c>
      <c r="P5264">
        <f t="shared" si="173"/>
        <v>11</v>
      </c>
      <c r="Q5264" t="s">
        <v>785</v>
      </c>
      <c r="R5264" t="s">
        <v>805</v>
      </c>
    </row>
    <row r="5265" spans="1:18" x14ac:dyDescent="0.3">
      <c r="A5265" t="s">
        <v>627</v>
      </c>
      <c r="B5265" s="16">
        <v>45607</v>
      </c>
      <c r="C5265" t="s">
        <v>3</v>
      </c>
      <c r="D5265" t="s">
        <v>114</v>
      </c>
      <c r="E5265">
        <v>415</v>
      </c>
      <c r="F5265">
        <v>289</v>
      </c>
      <c r="G5265">
        <v>8</v>
      </c>
      <c r="H5265">
        <v>4</v>
      </c>
      <c r="I5265">
        <v>18615</v>
      </c>
      <c r="J5265">
        <v>6</v>
      </c>
      <c r="K5265">
        <v>13685</v>
      </c>
      <c r="L5265">
        <v>5</v>
      </c>
      <c r="M5265">
        <v>32</v>
      </c>
      <c r="N5265">
        <v>404</v>
      </c>
      <c r="O5265">
        <f t="shared" si="172"/>
        <v>2024</v>
      </c>
      <c r="P5265">
        <f t="shared" si="173"/>
        <v>11</v>
      </c>
      <c r="Q5265" t="s">
        <v>785</v>
      </c>
      <c r="R5265" t="s">
        <v>805</v>
      </c>
    </row>
    <row r="5266" spans="1:18" x14ac:dyDescent="0.3">
      <c r="A5266" t="s">
        <v>627</v>
      </c>
      <c r="B5266" s="16">
        <v>45607</v>
      </c>
      <c r="C5266" t="s">
        <v>3</v>
      </c>
      <c r="D5266" t="s">
        <v>113</v>
      </c>
      <c r="E5266">
        <v>182</v>
      </c>
      <c r="F5266">
        <v>80</v>
      </c>
      <c r="G5266">
        <v>4</v>
      </c>
      <c r="H5266">
        <v>0</v>
      </c>
      <c r="I5266">
        <v>3930</v>
      </c>
      <c r="J5266">
        <v>1</v>
      </c>
      <c r="K5266">
        <v>3930</v>
      </c>
      <c r="L5266">
        <v>1</v>
      </c>
      <c r="M5266">
        <v>146</v>
      </c>
      <c r="N5266">
        <v>106</v>
      </c>
      <c r="O5266">
        <f t="shared" si="172"/>
        <v>2024</v>
      </c>
      <c r="P5266">
        <f t="shared" si="173"/>
        <v>11</v>
      </c>
      <c r="Q5266" t="s">
        <v>785</v>
      </c>
      <c r="R5266" t="s">
        <v>805</v>
      </c>
    </row>
    <row r="5267" spans="1:18" x14ac:dyDescent="0.3">
      <c r="A5267" t="s">
        <v>627</v>
      </c>
      <c r="B5267" s="16">
        <v>45607</v>
      </c>
      <c r="C5267" t="s">
        <v>3</v>
      </c>
      <c r="D5267" t="s">
        <v>112</v>
      </c>
      <c r="E5267">
        <v>69</v>
      </c>
      <c r="F5267">
        <v>33</v>
      </c>
      <c r="G5267">
        <v>12</v>
      </c>
      <c r="H5267">
        <v>0</v>
      </c>
      <c r="I5267">
        <v>92551.62</v>
      </c>
      <c r="J5267">
        <v>22</v>
      </c>
      <c r="K5267">
        <v>83794.62</v>
      </c>
      <c r="L5267">
        <v>22</v>
      </c>
      <c r="M5267">
        <v>0</v>
      </c>
      <c r="N5267">
        <v>69</v>
      </c>
      <c r="O5267">
        <f t="shared" si="172"/>
        <v>2024</v>
      </c>
      <c r="P5267">
        <f t="shared" si="173"/>
        <v>11</v>
      </c>
      <c r="Q5267" t="s">
        <v>785</v>
      </c>
      <c r="R5267" t="s">
        <v>805</v>
      </c>
    </row>
    <row r="5268" spans="1:18" x14ac:dyDescent="0.3">
      <c r="A5268" t="s">
        <v>627</v>
      </c>
      <c r="B5268" s="16">
        <v>45606</v>
      </c>
      <c r="C5268" t="s">
        <v>2</v>
      </c>
      <c r="D5268" t="s">
        <v>4</v>
      </c>
      <c r="E5268">
        <v>389</v>
      </c>
      <c r="F5268">
        <v>153</v>
      </c>
      <c r="G5268">
        <v>14</v>
      </c>
      <c r="H5268">
        <v>1</v>
      </c>
      <c r="I5268">
        <v>27451</v>
      </c>
      <c r="J5268">
        <v>6</v>
      </c>
      <c r="K5268">
        <v>27451</v>
      </c>
      <c r="L5268">
        <v>6</v>
      </c>
      <c r="M5268">
        <v>36</v>
      </c>
      <c r="N5268">
        <v>376</v>
      </c>
      <c r="O5268">
        <f t="shared" si="172"/>
        <v>2024</v>
      </c>
      <c r="P5268">
        <f t="shared" si="173"/>
        <v>11</v>
      </c>
      <c r="Q5268" t="s">
        <v>785</v>
      </c>
      <c r="R5268" t="s">
        <v>805</v>
      </c>
    </row>
    <row r="5269" spans="1:18" x14ac:dyDescent="0.3">
      <c r="A5269" t="s">
        <v>627</v>
      </c>
      <c r="B5269" s="16">
        <v>45606</v>
      </c>
      <c r="C5269" t="s">
        <v>2</v>
      </c>
      <c r="D5269" t="s">
        <v>57</v>
      </c>
      <c r="E5269">
        <v>16352</v>
      </c>
      <c r="F5269">
        <v>10140</v>
      </c>
      <c r="G5269">
        <v>763</v>
      </c>
      <c r="H5269">
        <v>205</v>
      </c>
      <c r="I5269">
        <v>744674</v>
      </c>
      <c r="J5269">
        <v>194</v>
      </c>
      <c r="K5269">
        <v>610331</v>
      </c>
      <c r="L5269">
        <v>174</v>
      </c>
      <c r="M5269">
        <v>1535</v>
      </c>
      <c r="N5269">
        <v>16298</v>
      </c>
      <c r="O5269">
        <f t="shared" si="172"/>
        <v>2024</v>
      </c>
      <c r="P5269">
        <f t="shared" si="173"/>
        <v>11</v>
      </c>
      <c r="Q5269" t="s">
        <v>785</v>
      </c>
      <c r="R5269" t="s">
        <v>805</v>
      </c>
    </row>
    <row r="5270" spans="1:18" x14ac:dyDescent="0.3">
      <c r="A5270" t="s">
        <v>627</v>
      </c>
      <c r="B5270" s="16">
        <v>45606</v>
      </c>
      <c r="C5270" t="s">
        <v>2</v>
      </c>
      <c r="D5270" t="s">
        <v>52</v>
      </c>
      <c r="E5270">
        <v>1984</v>
      </c>
      <c r="F5270">
        <v>1657</v>
      </c>
      <c r="G5270">
        <v>48</v>
      </c>
      <c r="H5270">
        <v>11</v>
      </c>
      <c r="I5270">
        <v>69336</v>
      </c>
      <c r="J5270">
        <v>21</v>
      </c>
      <c r="K5270">
        <v>61322</v>
      </c>
      <c r="L5270">
        <v>19</v>
      </c>
      <c r="M5270">
        <v>1984</v>
      </c>
      <c r="N5270">
        <v>770</v>
      </c>
      <c r="O5270">
        <f t="shared" si="172"/>
        <v>2024</v>
      </c>
      <c r="P5270">
        <f t="shared" si="173"/>
        <v>11</v>
      </c>
      <c r="Q5270" t="s">
        <v>785</v>
      </c>
      <c r="R5270" t="s">
        <v>805</v>
      </c>
    </row>
    <row r="5271" spans="1:18" x14ac:dyDescent="0.3">
      <c r="A5271" t="s">
        <v>627</v>
      </c>
      <c r="B5271" s="16">
        <v>45606</v>
      </c>
      <c r="C5271" t="s">
        <v>2</v>
      </c>
      <c r="D5271" t="s">
        <v>55</v>
      </c>
      <c r="E5271">
        <v>1354</v>
      </c>
      <c r="F5271">
        <v>946</v>
      </c>
      <c r="G5271">
        <v>30</v>
      </c>
      <c r="H5271">
        <v>9</v>
      </c>
      <c r="I5271">
        <v>0</v>
      </c>
      <c r="J5271">
        <v>0</v>
      </c>
      <c r="K5271">
        <v>0</v>
      </c>
      <c r="L5271">
        <v>0</v>
      </c>
      <c r="M5271">
        <v>32</v>
      </c>
      <c r="N5271">
        <v>275</v>
      </c>
      <c r="O5271">
        <f t="shared" si="172"/>
        <v>2024</v>
      </c>
      <c r="P5271">
        <f t="shared" si="173"/>
        <v>11</v>
      </c>
      <c r="Q5271" t="s">
        <v>785</v>
      </c>
      <c r="R5271" t="s">
        <v>805</v>
      </c>
    </row>
    <row r="5272" spans="1:18" x14ac:dyDescent="0.3">
      <c r="A5272" t="s">
        <v>627</v>
      </c>
      <c r="B5272" s="16">
        <v>45606</v>
      </c>
      <c r="C5272" t="s">
        <v>3</v>
      </c>
      <c r="D5272" t="s">
        <v>155</v>
      </c>
      <c r="E5272">
        <v>9</v>
      </c>
      <c r="F5272">
        <v>8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9</v>
      </c>
      <c r="O5272">
        <f t="shared" si="172"/>
        <v>2024</v>
      </c>
      <c r="P5272">
        <f t="shared" si="173"/>
        <v>11</v>
      </c>
      <c r="Q5272" t="s">
        <v>785</v>
      </c>
      <c r="R5272" t="s">
        <v>805</v>
      </c>
    </row>
    <row r="5273" spans="1:18" x14ac:dyDescent="0.3">
      <c r="A5273" t="s">
        <v>627</v>
      </c>
      <c r="B5273" s="16">
        <v>45606</v>
      </c>
      <c r="C5273" t="s">
        <v>3</v>
      </c>
      <c r="D5273" t="s">
        <v>154</v>
      </c>
      <c r="E5273">
        <v>499</v>
      </c>
      <c r="F5273">
        <v>382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1</v>
      </c>
      <c r="O5273">
        <f t="shared" si="172"/>
        <v>2024</v>
      </c>
      <c r="P5273">
        <f t="shared" si="173"/>
        <v>11</v>
      </c>
      <c r="Q5273" t="s">
        <v>785</v>
      </c>
      <c r="R5273" t="s">
        <v>805</v>
      </c>
    </row>
    <row r="5274" spans="1:18" x14ac:dyDescent="0.3">
      <c r="A5274" t="s">
        <v>627</v>
      </c>
      <c r="B5274" s="16">
        <v>45606</v>
      </c>
      <c r="C5274" t="s">
        <v>3</v>
      </c>
      <c r="D5274" t="s">
        <v>153</v>
      </c>
      <c r="E5274">
        <v>1355</v>
      </c>
      <c r="F5274">
        <v>446</v>
      </c>
      <c r="G5274">
        <v>198</v>
      </c>
      <c r="H5274">
        <v>13</v>
      </c>
      <c r="I5274">
        <v>982870.25</v>
      </c>
      <c r="J5274">
        <v>226</v>
      </c>
      <c r="K5274">
        <v>882448.25</v>
      </c>
      <c r="L5274">
        <v>219</v>
      </c>
      <c r="M5274">
        <v>413</v>
      </c>
      <c r="N5274">
        <v>1293</v>
      </c>
      <c r="O5274">
        <f t="shared" si="172"/>
        <v>2024</v>
      </c>
      <c r="P5274">
        <f t="shared" si="173"/>
        <v>11</v>
      </c>
      <c r="Q5274" t="s">
        <v>785</v>
      </c>
      <c r="R5274" t="s">
        <v>805</v>
      </c>
    </row>
    <row r="5275" spans="1:18" x14ac:dyDescent="0.3">
      <c r="A5275" t="s">
        <v>627</v>
      </c>
      <c r="B5275" s="16">
        <v>45606</v>
      </c>
      <c r="C5275" t="s">
        <v>3</v>
      </c>
      <c r="D5275" t="s">
        <v>152</v>
      </c>
      <c r="E5275">
        <v>34</v>
      </c>
      <c r="F5275">
        <v>26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4</v>
      </c>
      <c r="O5275">
        <f t="shared" si="172"/>
        <v>2024</v>
      </c>
      <c r="P5275">
        <f t="shared" si="173"/>
        <v>11</v>
      </c>
      <c r="Q5275" t="s">
        <v>785</v>
      </c>
      <c r="R5275" t="s">
        <v>805</v>
      </c>
    </row>
    <row r="5276" spans="1:18" x14ac:dyDescent="0.3">
      <c r="A5276" t="s">
        <v>627</v>
      </c>
      <c r="B5276" s="16">
        <v>45606</v>
      </c>
      <c r="C5276" t="s">
        <v>3</v>
      </c>
      <c r="D5276" t="s">
        <v>150</v>
      </c>
      <c r="E5276">
        <v>5</v>
      </c>
      <c r="F5276">
        <v>2</v>
      </c>
      <c r="G5276">
        <v>1</v>
      </c>
      <c r="H5276">
        <v>0</v>
      </c>
      <c r="I5276">
        <v>1988</v>
      </c>
      <c r="J5276">
        <v>1</v>
      </c>
      <c r="K5276">
        <v>1988</v>
      </c>
      <c r="L5276">
        <v>1</v>
      </c>
      <c r="M5276">
        <v>0</v>
      </c>
      <c r="N5276">
        <v>5</v>
      </c>
      <c r="O5276">
        <f t="shared" si="172"/>
        <v>2024</v>
      </c>
      <c r="P5276">
        <f t="shared" si="173"/>
        <v>11</v>
      </c>
      <c r="Q5276" t="s">
        <v>785</v>
      </c>
      <c r="R5276" t="s">
        <v>805</v>
      </c>
    </row>
    <row r="5277" spans="1:18" x14ac:dyDescent="0.3">
      <c r="A5277" t="s">
        <v>627</v>
      </c>
      <c r="B5277" s="16">
        <v>45606</v>
      </c>
      <c r="C5277" t="s">
        <v>3</v>
      </c>
      <c r="D5277" t="s">
        <v>149</v>
      </c>
      <c r="E5277">
        <v>50</v>
      </c>
      <c r="F5277">
        <v>38</v>
      </c>
      <c r="G5277">
        <v>0</v>
      </c>
      <c r="H5277">
        <v>2</v>
      </c>
      <c r="I5277">
        <v>0</v>
      </c>
      <c r="J5277">
        <v>0</v>
      </c>
      <c r="K5277">
        <v>0</v>
      </c>
      <c r="L5277">
        <v>0</v>
      </c>
      <c r="M5277">
        <v>4</v>
      </c>
      <c r="N5277">
        <v>44</v>
      </c>
      <c r="O5277">
        <f t="shared" si="172"/>
        <v>2024</v>
      </c>
      <c r="P5277">
        <f t="shared" si="173"/>
        <v>11</v>
      </c>
      <c r="Q5277" t="s">
        <v>785</v>
      </c>
      <c r="R5277" t="s">
        <v>805</v>
      </c>
    </row>
    <row r="5278" spans="1:18" x14ac:dyDescent="0.3">
      <c r="A5278" t="s">
        <v>627</v>
      </c>
      <c r="B5278" s="16">
        <v>45606</v>
      </c>
      <c r="C5278" t="s">
        <v>3</v>
      </c>
      <c r="D5278" t="s">
        <v>251</v>
      </c>
      <c r="E5278">
        <v>1386</v>
      </c>
      <c r="F5278">
        <v>928</v>
      </c>
      <c r="G5278">
        <v>32</v>
      </c>
      <c r="H5278">
        <v>12</v>
      </c>
      <c r="I5278">
        <v>60450</v>
      </c>
      <c r="J5278">
        <v>14</v>
      </c>
      <c r="K5278">
        <v>60450</v>
      </c>
      <c r="L5278">
        <v>14</v>
      </c>
      <c r="M5278">
        <v>168</v>
      </c>
      <c r="N5278">
        <v>622</v>
      </c>
      <c r="O5278">
        <f t="shared" si="172"/>
        <v>2024</v>
      </c>
      <c r="P5278">
        <f t="shared" si="173"/>
        <v>11</v>
      </c>
      <c r="Q5278" t="s">
        <v>785</v>
      </c>
      <c r="R5278" t="s">
        <v>805</v>
      </c>
    </row>
    <row r="5279" spans="1:18" x14ac:dyDescent="0.3">
      <c r="A5279" t="s">
        <v>627</v>
      </c>
      <c r="B5279" s="16">
        <v>45606</v>
      </c>
      <c r="C5279" t="s">
        <v>3</v>
      </c>
      <c r="D5279" t="s">
        <v>143</v>
      </c>
      <c r="E5279">
        <v>24</v>
      </c>
      <c r="F5279">
        <v>23</v>
      </c>
      <c r="G5279">
        <v>0</v>
      </c>
      <c r="H5279">
        <v>0</v>
      </c>
      <c r="I5279">
        <v>4940</v>
      </c>
      <c r="J5279">
        <v>1</v>
      </c>
      <c r="K5279">
        <v>4940</v>
      </c>
      <c r="L5279">
        <v>1</v>
      </c>
      <c r="M5279">
        <v>0</v>
      </c>
      <c r="N5279">
        <v>24</v>
      </c>
      <c r="O5279">
        <f t="shared" si="172"/>
        <v>2024</v>
      </c>
      <c r="P5279">
        <f t="shared" si="173"/>
        <v>11</v>
      </c>
      <c r="Q5279" t="s">
        <v>785</v>
      </c>
      <c r="R5279" t="s">
        <v>805</v>
      </c>
    </row>
    <row r="5280" spans="1:18" x14ac:dyDescent="0.3">
      <c r="A5280" t="s">
        <v>627</v>
      </c>
      <c r="B5280" s="16">
        <v>45606</v>
      </c>
      <c r="C5280" t="s">
        <v>3</v>
      </c>
      <c r="D5280" t="s">
        <v>141</v>
      </c>
      <c r="E5280">
        <v>4</v>
      </c>
      <c r="F5280">
        <v>3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4</v>
      </c>
      <c r="O5280">
        <f t="shared" si="172"/>
        <v>2024</v>
      </c>
      <c r="P5280">
        <f t="shared" si="173"/>
        <v>11</v>
      </c>
      <c r="Q5280" t="s">
        <v>785</v>
      </c>
      <c r="R5280" t="s">
        <v>805</v>
      </c>
    </row>
    <row r="5281" spans="1:18" x14ac:dyDescent="0.3">
      <c r="A5281" t="s">
        <v>627</v>
      </c>
      <c r="B5281" s="16">
        <v>45606</v>
      </c>
      <c r="C5281" t="s">
        <v>3</v>
      </c>
      <c r="D5281" t="s">
        <v>140</v>
      </c>
      <c r="E5281">
        <v>14</v>
      </c>
      <c r="F5281">
        <v>9</v>
      </c>
      <c r="G5281">
        <v>2</v>
      </c>
      <c r="H5281">
        <v>1</v>
      </c>
      <c r="I5281">
        <v>2375</v>
      </c>
      <c r="J5281">
        <v>1</v>
      </c>
      <c r="K5281">
        <v>2375</v>
      </c>
      <c r="L5281">
        <v>1</v>
      </c>
      <c r="M5281">
        <v>4</v>
      </c>
      <c r="N5281">
        <v>13</v>
      </c>
      <c r="O5281">
        <f t="shared" si="172"/>
        <v>2024</v>
      </c>
      <c r="P5281">
        <f t="shared" si="173"/>
        <v>11</v>
      </c>
      <c r="Q5281" t="s">
        <v>785</v>
      </c>
      <c r="R5281" t="s">
        <v>805</v>
      </c>
    </row>
    <row r="5282" spans="1:18" x14ac:dyDescent="0.3">
      <c r="A5282" t="s">
        <v>627</v>
      </c>
      <c r="B5282" s="16">
        <v>45606</v>
      </c>
      <c r="C5282" t="s">
        <v>3</v>
      </c>
      <c r="D5282" t="s">
        <v>139</v>
      </c>
      <c r="E5282">
        <v>2370</v>
      </c>
      <c r="F5282">
        <v>1296</v>
      </c>
      <c r="G5282">
        <v>165</v>
      </c>
      <c r="H5282">
        <v>30</v>
      </c>
      <c r="I5282">
        <v>504586.71</v>
      </c>
      <c r="J5282">
        <v>93</v>
      </c>
      <c r="K5282">
        <v>401726.21</v>
      </c>
      <c r="L5282">
        <v>84</v>
      </c>
      <c r="M5282">
        <v>790</v>
      </c>
      <c r="N5282">
        <v>2093</v>
      </c>
      <c r="O5282">
        <f t="shared" si="172"/>
        <v>2024</v>
      </c>
      <c r="P5282">
        <f t="shared" si="173"/>
        <v>11</v>
      </c>
      <c r="Q5282" t="s">
        <v>785</v>
      </c>
      <c r="R5282" t="s">
        <v>805</v>
      </c>
    </row>
    <row r="5283" spans="1:18" x14ac:dyDescent="0.3">
      <c r="A5283" t="s">
        <v>627</v>
      </c>
      <c r="B5283" s="16">
        <v>45606</v>
      </c>
      <c r="C5283" t="s">
        <v>3</v>
      </c>
      <c r="D5283" t="s">
        <v>138</v>
      </c>
      <c r="E5283">
        <v>285</v>
      </c>
      <c r="F5283">
        <v>263</v>
      </c>
      <c r="G5283">
        <v>7</v>
      </c>
      <c r="H5283">
        <v>1</v>
      </c>
      <c r="I5283">
        <v>5580</v>
      </c>
      <c r="J5283">
        <v>1</v>
      </c>
      <c r="K5283">
        <v>0</v>
      </c>
      <c r="L5283">
        <v>0</v>
      </c>
      <c r="M5283">
        <v>11</v>
      </c>
      <c r="N5283">
        <v>282</v>
      </c>
      <c r="O5283">
        <f t="shared" si="172"/>
        <v>2024</v>
      </c>
      <c r="P5283">
        <f t="shared" si="173"/>
        <v>11</v>
      </c>
      <c r="Q5283" t="s">
        <v>785</v>
      </c>
      <c r="R5283" t="s">
        <v>805</v>
      </c>
    </row>
    <row r="5284" spans="1:18" x14ac:dyDescent="0.3">
      <c r="A5284" t="s">
        <v>627</v>
      </c>
      <c r="B5284" s="16">
        <v>45606</v>
      </c>
      <c r="C5284" t="s">
        <v>3</v>
      </c>
      <c r="D5284" t="s">
        <v>137</v>
      </c>
      <c r="E5284">
        <v>9</v>
      </c>
      <c r="F5284">
        <v>3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4</v>
      </c>
      <c r="N5284">
        <v>9</v>
      </c>
      <c r="O5284">
        <f t="shared" si="172"/>
        <v>2024</v>
      </c>
      <c r="P5284">
        <f t="shared" si="173"/>
        <v>11</v>
      </c>
      <c r="Q5284" t="s">
        <v>785</v>
      </c>
      <c r="R5284" t="s">
        <v>805</v>
      </c>
    </row>
    <row r="5285" spans="1:18" x14ac:dyDescent="0.3">
      <c r="A5285" t="s">
        <v>627</v>
      </c>
      <c r="B5285" s="16">
        <v>45606</v>
      </c>
      <c r="C5285" t="s">
        <v>3</v>
      </c>
      <c r="D5285" t="s">
        <v>135</v>
      </c>
      <c r="E5285">
        <v>53</v>
      </c>
      <c r="F5285">
        <v>22</v>
      </c>
      <c r="G5285">
        <v>3</v>
      </c>
      <c r="H5285">
        <v>1</v>
      </c>
      <c r="I5285">
        <v>7761.41</v>
      </c>
      <c r="J5285">
        <v>2</v>
      </c>
      <c r="K5285">
        <v>7761.41</v>
      </c>
      <c r="L5285">
        <v>2</v>
      </c>
      <c r="M5285">
        <v>5</v>
      </c>
      <c r="N5285">
        <v>50</v>
      </c>
      <c r="O5285">
        <f t="shared" si="172"/>
        <v>2024</v>
      </c>
      <c r="P5285">
        <f t="shared" si="173"/>
        <v>11</v>
      </c>
      <c r="Q5285" t="s">
        <v>785</v>
      </c>
      <c r="R5285" t="s">
        <v>805</v>
      </c>
    </row>
    <row r="5286" spans="1:18" x14ac:dyDescent="0.3">
      <c r="A5286" t="s">
        <v>627</v>
      </c>
      <c r="B5286" s="16">
        <v>45606</v>
      </c>
      <c r="C5286" t="s">
        <v>3</v>
      </c>
      <c r="D5286" t="s">
        <v>133</v>
      </c>
      <c r="E5286">
        <v>84</v>
      </c>
      <c r="F5286">
        <v>41</v>
      </c>
      <c r="G5286">
        <v>14</v>
      </c>
      <c r="H5286">
        <v>1</v>
      </c>
      <c r="I5286">
        <v>35890</v>
      </c>
      <c r="J5286">
        <v>7</v>
      </c>
      <c r="K5286">
        <v>35890</v>
      </c>
      <c r="L5286">
        <v>7</v>
      </c>
      <c r="M5286">
        <v>14</v>
      </c>
      <c r="N5286">
        <v>75</v>
      </c>
      <c r="O5286">
        <f t="shared" si="172"/>
        <v>2024</v>
      </c>
      <c r="P5286">
        <f t="shared" si="173"/>
        <v>11</v>
      </c>
      <c r="Q5286" t="s">
        <v>785</v>
      </c>
      <c r="R5286" t="s">
        <v>805</v>
      </c>
    </row>
    <row r="5287" spans="1:18" x14ac:dyDescent="0.3">
      <c r="A5287" t="s">
        <v>627</v>
      </c>
      <c r="B5287" s="16">
        <v>45606</v>
      </c>
      <c r="C5287" t="s">
        <v>3</v>
      </c>
      <c r="D5287" t="s">
        <v>130</v>
      </c>
      <c r="E5287">
        <v>325</v>
      </c>
      <c r="F5287">
        <v>105</v>
      </c>
      <c r="G5287">
        <v>48</v>
      </c>
      <c r="H5287">
        <v>9</v>
      </c>
      <c r="I5287">
        <v>104758.5</v>
      </c>
      <c r="J5287">
        <v>31</v>
      </c>
      <c r="K5287">
        <v>98038.5</v>
      </c>
      <c r="L5287">
        <v>29</v>
      </c>
      <c r="M5287">
        <v>109</v>
      </c>
      <c r="N5287">
        <v>296</v>
      </c>
      <c r="O5287">
        <f t="shared" si="172"/>
        <v>2024</v>
      </c>
      <c r="P5287">
        <f t="shared" si="173"/>
        <v>11</v>
      </c>
      <c r="Q5287" t="s">
        <v>785</v>
      </c>
      <c r="R5287" t="s">
        <v>805</v>
      </c>
    </row>
    <row r="5288" spans="1:18" x14ac:dyDescent="0.3">
      <c r="A5288" t="s">
        <v>627</v>
      </c>
      <c r="B5288" s="16">
        <v>45606</v>
      </c>
      <c r="C5288" t="s">
        <v>3</v>
      </c>
      <c r="D5288" t="s">
        <v>128</v>
      </c>
      <c r="E5288">
        <v>2410</v>
      </c>
      <c r="F5288">
        <v>1906</v>
      </c>
      <c r="G5288">
        <v>236</v>
      </c>
      <c r="H5288">
        <v>29</v>
      </c>
      <c r="I5288">
        <v>252212</v>
      </c>
      <c r="J5288">
        <v>59</v>
      </c>
      <c r="K5288">
        <v>225171</v>
      </c>
      <c r="L5288">
        <v>52</v>
      </c>
      <c r="M5288">
        <v>544</v>
      </c>
      <c r="N5288">
        <v>2224</v>
      </c>
      <c r="O5288">
        <f t="shared" si="172"/>
        <v>2024</v>
      </c>
      <c r="P5288">
        <f t="shared" si="173"/>
        <v>11</v>
      </c>
      <c r="Q5288" t="s">
        <v>785</v>
      </c>
      <c r="R5288" t="s">
        <v>805</v>
      </c>
    </row>
    <row r="5289" spans="1:18" x14ac:dyDescent="0.3">
      <c r="A5289" t="s">
        <v>627</v>
      </c>
      <c r="B5289" s="16">
        <v>45606</v>
      </c>
      <c r="C5289" t="s">
        <v>3</v>
      </c>
      <c r="D5289" t="s">
        <v>127</v>
      </c>
      <c r="E5289">
        <v>7398</v>
      </c>
      <c r="F5289">
        <v>4351</v>
      </c>
      <c r="G5289">
        <v>128</v>
      </c>
      <c r="H5289">
        <v>39</v>
      </c>
      <c r="I5289">
        <v>112713.5</v>
      </c>
      <c r="J5289">
        <v>28</v>
      </c>
      <c r="K5289">
        <v>85918.5</v>
      </c>
      <c r="L5289">
        <v>23</v>
      </c>
      <c r="M5289">
        <v>1669</v>
      </c>
      <c r="N5289">
        <v>5774</v>
      </c>
      <c r="O5289">
        <f t="shared" si="172"/>
        <v>2024</v>
      </c>
      <c r="P5289">
        <f t="shared" si="173"/>
        <v>11</v>
      </c>
      <c r="Q5289" t="s">
        <v>785</v>
      </c>
      <c r="R5289" t="s">
        <v>805</v>
      </c>
    </row>
    <row r="5290" spans="1:18" x14ac:dyDescent="0.3">
      <c r="A5290" t="s">
        <v>627</v>
      </c>
      <c r="B5290" s="16">
        <v>45606</v>
      </c>
      <c r="C5290" t="s">
        <v>3</v>
      </c>
      <c r="D5290" t="s">
        <v>126</v>
      </c>
      <c r="E5290">
        <v>230</v>
      </c>
      <c r="F5290">
        <v>155</v>
      </c>
      <c r="G5290">
        <v>10</v>
      </c>
      <c r="H5290">
        <v>5</v>
      </c>
      <c r="I5290">
        <v>8167</v>
      </c>
      <c r="J5290">
        <v>3</v>
      </c>
      <c r="K5290">
        <v>8167</v>
      </c>
      <c r="L5290">
        <v>3</v>
      </c>
      <c r="M5290">
        <v>38</v>
      </c>
      <c r="N5290">
        <v>226</v>
      </c>
      <c r="O5290">
        <f t="shared" si="172"/>
        <v>2024</v>
      </c>
      <c r="P5290">
        <f t="shared" si="173"/>
        <v>11</v>
      </c>
      <c r="Q5290" t="s">
        <v>785</v>
      </c>
      <c r="R5290" t="s">
        <v>805</v>
      </c>
    </row>
    <row r="5291" spans="1:18" x14ac:dyDescent="0.3">
      <c r="A5291" t="s">
        <v>627</v>
      </c>
      <c r="B5291" s="16">
        <v>45606</v>
      </c>
      <c r="C5291" t="s">
        <v>3</v>
      </c>
      <c r="D5291" t="s">
        <v>125</v>
      </c>
      <c r="E5291">
        <v>10</v>
      </c>
      <c r="F5291">
        <v>4</v>
      </c>
      <c r="G5291">
        <v>1</v>
      </c>
      <c r="H5291">
        <v>0</v>
      </c>
      <c r="I5291">
        <v>2445</v>
      </c>
      <c r="J5291">
        <v>1</v>
      </c>
      <c r="K5291">
        <v>2445</v>
      </c>
      <c r="L5291">
        <v>1</v>
      </c>
      <c r="M5291">
        <v>2</v>
      </c>
      <c r="N5291">
        <v>10</v>
      </c>
      <c r="O5291">
        <f t="shared" si="172"/>
        <v>2024</v>
      </c>
      <c r="P5291">
        <f t="shared" si="173"/>
        <v>11</v>
      </c>
      <c r="Q5291" t="s">
        <v>785</v>
      </c>
      <c r="R5291" t="s">
        <v>805</v>
      </c>
    </row>
    <row r="5292" spans="1:18" x14ac:dyDescent="0.3">
      <c r="A5292" t="s">
        <v>627</v>
      </c>
      <c r="B5292" s="16">
        <v>45606</v>
      </c>
      <c r="C5292" t="s">
        <v>3</v>
      </c>
      <c r="D5292" t="s">
        <v>123</v>
      </c>
      <c r="E5292">
        <v>541</v>
      </c>
      <c r="F5292">
        <v>254</v>
      </c>
      <c r="G5292">
        <v>27</v>
      </c>
      <c r="H5292">
        <v>10</v>
      </c>
      <c r="I5292">
        <v>54491</v>
      </c>
      <c r="J5292">
        <v>13</v>
      </c>
      <c r="K5292">
        <v>50696</v>
      </c>
      <c r="L5292">
        <v>12</v>
      </c>
      <c r="M5292">
        <v>195</v>
      </c>
      <c r="N5292">
        <v>485</v>
      </c>
      <c r="O5292">
        <f t="shared" si="172"/>
        <v>2024</v>
      </c>
      <c r="P5292">
        <f t="shared" si="173"/>
        <v>11</v>
      </c>
      <c r="Q5292" t="s">
        <v>785</v>
      </c>
      <c r="R5292" t="s">
        <v>805</v>
      </c>
    </row>
    <row r="5293" spans="1:18" x14ac:dyDescent="0.3">
      <c r="A5293" t="s">
        <v>627</v>
      </c>
      <c r="B5293" s="16">
        <v>45606</v>
      </c>
      <c r="C5293" t="s">
        <v>3</v>
      </c>
      <c r="D5293" t="s">
        <v>121</v>
      </c>
      <c r="E5293">
        <v>3</v>
      </c>
      <c r="F5293">
        <v>2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3</v>
      </c>
      <c r="O5293">
        <f t="shared" si="172"/>
        <v>2024</v>
      </c>
      <c r="P5293">
        <f t="shared" si="173"/>
        <v>11</v>
      </c>
      <c r="Q5293" t="s">
        <v>785</v>
      </c>
      <c r="R5293" t="s">
        <v>805</v>
      </c>
    </row>
    <row r="5294" spans="1:18" x14ac:dyDescent="0.3">
      <c r="A5294" t="s">
        <v>627</v>
      </c>
      <c r="B5294" s="16">
        <v>45606</v>
      </c>
      <c r="C5294" t="s">
        <v>3</v>
      </c>
      <c r="D5294" t="s">
        <v>119</v>
      </c>
      <c r="E5294">
        <v>639</v>
      </c>
      <c r="F5294">
        <v>194</v>
      </c>
      <c r="G5294">
        <v>63</v>
      </c>
      <c r="H5294">
        <v>12</v>
      </c>
      <c r="I5294">
        <v>218390.85</v>
      </c>
      <c r="J5294">
        <v>41</v>
      </c>
      <c r="K5294">
        <v>191515.85</v>
      </c>
      <c r="L5294">
        <v>37</v>
      </c>
      <c r="M5294">
        <v>153</v>
      </c>
      <c r="N5294">
        <v>599</v>
      </c>
      <c r="O5294">
        <f t="shared" si="172"/>
        <v>2024</v>
      </c>
      <c r="P5294">
        <f t="shared" si="173"/>
        <v>11</v>
      </c>
      <c r="Q5294" t="s">
        <v>785</v>
      </c>
      <c r="R5294" t="s">
        <v>805</v>
      </c>
    </row>
    <row r="5295" spans="1:18" x14ac:dyDescent="0.3">
      <c r="A5295" t="s">
        <v>627</v>
      </c>
      <c r="B5295" s="16">
        <v>45606</v>
      </c>
      <c r="C5295" t="s">
        <v>3</v>
      </c>
      <c r="D5295" t="s">
        <v>252</v>
      </c>
      <c r="E5295">
        <v>9</v>
      </c>
      <c r="F5295">
        <v>4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9</v>
      </c>
      <c r="O5295">
        <f t="shared" si="172"/>
        <v>2024</v>
      </c>
      <c r="P5295">
        <f t="shared" si="173"/>
        <v>11</v>
      </c>
      <c r="Q5295" t="s">
        <v>785</v>
      </c>
      <c r="R5295" t="s">
        <v>805</v>
      </c>
    </row>
    <row r="5296" spans="1:18" x14ac:dyDescent="0.3">
      <c r="A5296" t="s">
        <v>627</v>
      </c>
      <c r="B5296" s="16">
        <v>45606</v>
      </c>
      <c r="C5296" t="s">
        <v>3</v>
      </c>
      <c r="D5296" t="s">
        <v>117</v>
      </c>
      <c r="E5296">
        <v>57</v>
      </c>
      <c r="F5296">
        <v>47</v>
      </c>
      <c r="G5296">
        <v>2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6</v>
      </c>
      <c r="N5296">
        <v>57</v>
      </c>
      <c r="O5296">
        <f t="shared" si="172"/>
        <v>2024</v>
      </c>
      <c r="P5296">
        <f t="shared" si="173"/>
        <v>11</v>
      </c>
      <c r="Q5296" t="s">
        <v>785</v>
      </c>
      <c r="R5296" t="s">
        <v>805</v>
      </c>
    </row>
    <row r="5297" spans="1:18" x14ac:dyDescent="0.3">
      <c r="A5297" t="s">
        <v>627</v>
      </c>
      <c r="B5297" s="16">
        <v>45606</v>
      </c>
      <c r="C5297" t="s">
        <v>3</v>
      </c>
      <c r="D5297" t="s">
        <v>115</v>
      </c>
      <c r="E5297">
        <v>5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5</v>
      </c>
      <c r="O5297">
        <f t="shared" si="172"/>
        <v>2024</v>
      </c>
      <c r="P5297">
        <f t="shared" si="173"/>
        <v>11</v>
      </c>
      <c r="Q5297" t="s">
        <v>785</v>
      </c>
      <c r="R5297" t="s">
        <v>805</v>
      </c>
    </row>
    <row r="5298" spans="1:18" x14ac:dyDescent="0.3">
      <c r="A5298" t="s">
        <v>627</v>
      </c>
      <c r="B5298" s="16">
        <v>45606</v>
      </c>
      <c r="C5298" t="s">
        <v>3</v>
      </c>
      <c r="D5298" t="s">
        <v>114</v>
      </c>
      <c r="E5298">
        <v>315</v>
      </c>
      <c r="F5298">
        <v>195</v>
      </c>
      <c r="G5298">
        <v>7</v>
      </c>
      <c r="H5298">
        <v>7</v>
      </c>
      <c r="I5298">
        <v>5093</v>
      </c>
      <c r="J5298">
        <v>2</v>
      </c>
      <c r="K5298">
        <v>2298</v>
      </c>
      <c r="L5298">
        <v>1</v>
      </c>
      <c r="M5298">
        <v>26</v>
      </c>
      <c r="N5298">
        <v>311</v>
      </c>
      <c r="O5298">
        <f t="shared" si="172"/>
        <v>2024</v>
      </c>
      <c r="P5298">
        <f t="shared" si="173"/>
        <v>11</v>
      </c>
      <c r="Q5298" t="s">
        <v>785</v>
      </c>
      <c r="R5298" t="s">
        <v>805</v>
      </c>
    </row>
    <row r="5299" spans="1:18" x14ac:dyDescent="0.3">
      <c r="A5299" t="s">
        <v>627</v>
      </c>
      <c r="B5299" s="16">
        <v>45606</v>
      </c>
      <c r="C5299" t="s">
        <v>3</v>
      </c>
      <c r="D5299" t="s">
        <v>113</v>
      </c>
      <c r="E5299">
        <v>215</v>
      </c>
      <c r="F5299">
        <v>112</v>
      </c>
      <c r="G5299">
        <v>5</v>
      </c>
      <c r="H5299">
        <v>6</v>
      </c>
      <c r="I5299">
        <v>7252</v>
      </c>
      <c r="J5299">
        <v>2</v>
      </c>
      <c r="K5299">
        <v>7252</v>
      </c>
      <c r="L5299">
        <v>2</v>
      </c>
      <c r="M5299">
        <v>166</v>
      </c>
      <c r="N5299">
        <v>138</v>
      </c>
      <c r="O5299">
        <f t="shared" si="172"/>
        <v>2024</v>
      </c>
      <c r="P5299">
        <f t="shared" si="173"/>
        <v>11</v>
      </c>
      <c r="Q5299" t="s">
        <v>785</v>
      </c>
      <c r="R5299" t="s">
        <v>805</v>
      </c>
    </row>
    <row r="5300" spans="1:18" x14ac:dyDescent="0.3">
      <c r="A5300" t="s">
        <v>627</v>
      </c>
      <c r="B5300" s="16">
        <v>45606</v>
      </c>
      <c r="C5300" t="s">
        <v>3</v>
      </c>
      <c r="D5300" t="s">
        <v>112</v>
      </c>
      <c r="E5300">
        <v>55</v>
      </c>
      <c r="F5300">
        <v>20</v>
      </c>
      <c r="G5300">
        <v>8</v>
      </c>
      <c r="H5300">
        <v>0</v>
      </c>
      <c r="I5300">
        <v>73738.16</v>
      </c>
      <c r="J5300">
        <v>21</v>
      </c>
      <c r="K5300">
        <v>70068.160000000003</v>
      </c>
      <c r="L5300">
        <v>21</v>
      </c>
      <c r="M5300">
        <v>3</v>
      </c>
      <c r="N5300">
        <v>55</v>
      </c>
      <c r="O5300">
        <f t="shared" si="172"/>
        <v>2024</v>
      </c>
      <c r="P5300">
        <f t="shared" si="173"/>
        <v>11</v>
      </c>
      <c r="Q5300" t="s">
        <v>785</v>
      </c>
      <c r="R5300" t="s">
        <v>805</v>
      </c>
    </row>
    <row r="5301" spans="1:18" x14ac:dyDescent="0.3">
      <c r="A5301" t="s">
        <v>627</v>
      </c>
      <c r="B5301" s="16">
        <v>45606</v>
      </c>
      <c r="C5301" t="s">
        <v>3</v>
      </c>
      <c r="D5301" t="s">
        <v>111</v>
      </c>
      <c r="E5301">
        <v>1</v>
      </c>
      <c r="F5301">
        <v>1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1</v>
      </c>
      <c r="O5301">
        <f t="shared" si="172"/>
        <v>2024</v>
      </c>
      <c r="P5301">
        <f t="shared" si="173"/>
        <v>11</v>
      </c>
      <c r="Q5301" t="s">
        <v>785</v>
      </c>
      <c r="R5301" t="s">
        <v>805</v>
      </c>
    </row>
    <row r="5302" spans="1:18" x14ac:dyDescent="0.3">
      <c r="A5302" t="s">
        <v>627</v>
      </c>
      <c r="B5302" s="16">
        <v>45605</v>
      </c>
      <c r="C5302" t="s">
        <v>2</v>
      </c>
      <c r="D5302" t="s">
        <v>4</v>
      </c>
      <c r="E5302">
        <v>360</v>
      </c>
      <c r="F5302">
        <v>154</v>
      </c>
      <c r="G5302">
        <v>12</v>
      </c>
      <c r="H5302">
        <v>1</v>
      </c>
      <c r="I5302">
        <v>8775</v>
      </c>
      <c r="J5302">
        <v>3</v>
      </c>
      <c r="K5302">
        <v>8775</v>
      </c>
      <c r="L5302">
        <v>3</v>
      </c>
      <c r="M5302">
        <v>36</v>
      </c>
      <c r="N5302">
        <v>347</v>
      </c>
      <c r="O5302">
        <f t="shared" si="172"/>
        <v>2024</v>
      </c>
      <c r="P5302">
        <f t="shared" si="173"/>
        <v>11</v>
      </c>
      <c r="Q5302" t="s">
        <v>785</v>
      </c>
      <c r="R5302" t="s">
        <v>805</v>
      </c>
    </row>
    <row r="5303" spans="1:18" x14ac:dyDescent="0.3">
      <c r="A5303" t="s">
        <v>627</v>
      </c>
      <c r="B5303" s="16">
        <v>45605</v>
      </c>
      <c r="C5303" t="s">
        <v>2</v>
      </c>
      <c r="D5303" t="s">
        <v>57</v>
      </c>
      <c r="E5303">
        <v>13859</v>
      </c>
      <c r="F5303">
        <v>8213</v>
      </c>
      <c r="G5303">
        <v>377</v>
      </c>
      <c r="H5303">
        <v>201</v>
      </c>
      <c r="I5303">
        <v>163193</v>
      </c>
      <c r="J5303">
        <v>42</v>
      </c>
      <c r="K5303">
        <v>95946</v>
      </c>
      <c r="L5303">
        <v>30</v>
      </c>
      <c r="M5303">
        <v>1182</v>
      </c>
      <c r="N5303">
        <v>13805</v>
      </c>
      <c r="O5303">
        <f t="shared" si="172"/>
        <v>2024</v>
      </c>
      <c r="P5303">
        <f t="shared" si="173"/>
        <v>11</v>
      </c>
      <c r="Q5303" t="s">
        <v>785</v>
      </c>
      <c r="R5303" t="s">
        <v>805</v>
      </c>
    </row>
    <row r="5304" spans="1:18" x14ac:dyDescent="0.3">
      <c r="A5304" t="s">
        <v>627</v>
      </c>
      <c r="B5304" s="16">
        <v>45605</v>
      </c>
      <c r="C5304" t="s">
        <v>2</v>
      </c>
      <c r="D5304" t="s">
        <v>52</v>
      </c>
      <c r="E5304">
        <v>1516</v>
      </c>
      <c r="F5304">
        <v>1285</v>
      </c>
      <c r="G5304">
        <v>24</v>
      </c>
      <c r="H5304">
        <v>7</v>
      </c>
      <c r="I5304">
        <v>40520</v>
      </c>
      <c r="J5304">
        <v>3</v>
      </c>
      <c r="K5304">
        <v>25525</v>
      </c>
      <c r="L5304">
        <v>2</v>
      </c>
      <c r="M5304">
        <v>1516</v>
      </c>
      <c r="N5304">
        <v>563</v>
      </c>
      <c r="O5304">
        <f t="shared" si="172"/>
        <v>2024</v>
      </c>
      <c r="P5304">
        <f t="shared" si="173"/>
        <v>11</v>
      </c>
      <c r="Q5304" t="s">
        <v>785</v>
      </c>
      <c r="R5304" t="s">
        <v>805</v>
      </c>
    </row>
    <row r="5305" spans="1:18" x14ac:dyDescent="0.3">
      <c r="A5305" t="s">
        <v>627</v>
      </c>
      <c r="B5305" s="16">
        <v>45605</v>
      </c>
      <c r="C5305" t="s">
        <v>2</v>
      </c>
      <c r="D5305" t="s">
        <v>55</v>
      </c>
      <c r="E5305">
        <v>1921</v>
      </c>
      <c r="F5305">
        <v>1411</v>
      </c>
      <c r="G5305">
        <v>27</v>
      </c>
      <c r="H5305">
        <v>11</v>
      </c>
      <c r="I5305">
        <v>0</v>
      </c>
      <c r="J5305">
        <v>0</v>
      </c>
      <c r="K5305">
        <v>0</v>
      </c>
      <c r="L5305">
        <v>0</v>
      </c>
      <c r="M5305">
        <v>59</v>
      </c>
      <c r="N5305">
        <v>596</v>
      </c>
      <c r="O5305">
        <f t="shared" si="172"/>
        <v>2024</v>
      </c>
      <c r="P5305">
        <f t="shared" si="173"/>
        <v>11</v>
      </c>
      <c r="Q5305" t="s">
        <v>785</v>
      </c>
      <c r="R5305" t="s">
        <v>805</v>
      </c>
    </row>
    <row r="5306" spans="1:18" x14ac:dyDescent="0.3">
      <c r="A5306" t="s">
        <v>627</v>
      </c>
      <c r="B5306" s="16">
        <v>45605</v>
      </c>
      <c r="C5306" t="s">
        <v>3</v>
      </c>
      <c r="D5306" t="s">
        <v>156</v>
      </c>
      <c r="E5306">
        <v>1</v>
      </c>
      <c r="F5306">
        <v>1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f t="shared" si="172"/>
        <v>2024</v>
      </c>
      <c r="P5306">
        <f t="shared" si="173"/>
        <v>11</v>
      </c>
      <c r="Q5306" t="s">
        <v>785</v>
      </c>
      <c r="R5306" t="s">
        <v>805</v>
      </c>
    </row>
    <row r="5307" spans="1:18" x14ac:dyDescent="0.3">
      <c r="A5307" t="s">
        <v>627</v>
      </c>
      <c r="B5307" s="16">
        <v>45605</v>
      </c>
      <c r="C5307" t="s">
        <v>3</v>
      </c>
      <c r="D5307" t="s">
        <v>155</v>
      </c>
      <c r="E5307">
        <v>9</v>
      </c>
      <c r="F5307">
        <v>6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1</v>
      </c>
      <c r="N5307">
        <v>9</v>
      </c>
      <c r="O5307">
        <f t="shared" si="172"/>
        <v>2024</v>
      </c>
      <c r="P5307">
        <f t="shared" si="173"/>
        <v>11</v>
      </c>
      <c r="Q5307" t="s">
        <v>785</v>
      </c>
      <c r="R5307" t="s">
        <v>805</v>
      </c>
    </row>
    <row r="5308" spans="1:18" x14ac:dyDescent="0.3">
      <c r="A5308" t="s">
        <v>627</v>
      </c>
      <c r="B5308" s="16">
        <v>45605</v>
      </c>
      <c r="C5308" t="s">
        <v>3</v>
      </c>
      <c r="D5308" t="s">
        <v>154</v>
      </c>
      <c r="E5308">
        <v>864</v>
      </c>
      <c r="F5308">
        <v>768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f t="shared" si="172"/>
        <v>2024</v>
      </c>
      <c r="P5308">
        <f t="shared" si="173"/>
        <v>11</v>
      </c>
      <c r="Q5308" t="s">
        <v>785</v>
      </c>
      <c r="R5308" t="s">
        <v>805</v>
      </c>
    </row>
    <row r="5309" spans="1:18" x14ac:dyDescent="0.3">
      <c r="A5309" t="s">
        <v>627</v>
      </c>
      <c r="B5309" s="16">
        <v>45605</v>
      </c>
      <c r="C5309" t="s">
        <v>3</v>
      </c>
      <c r="D5309" t="s">
        <v>153</v>
      </c>
      <c r="E5309">
        <v>730</v>
      </c>
      <c r="F5309">
        <v>175</v>
      </c>
      <c r="G5309">
        <v>66</v>
      </c>
      <c r="H5309">
        <v>3</v>
      </c>
      <c r="I5309">
        <v>178077.58</v>
      </c>
      <c r="J5309">
        <v>34</v>
      </c>
      <c r="K5309">
        <v>130272.58</v>
      </c>
      <c r="L5309">
        <v>28</v>
      </c>
      <c r="M5309">
        <v>175</v>
      </c>
      <c r="N5309">
        <v>701</v>
      </c>
      <c r="O5309">
        <f t="shared" si="172"/>
        <v>2024</v>
      </c>
      <c r="P5309">
        <f t="shared" si="173"/>
        <v>11</v>
      </c>
      <c r="Q5309" t="s">
        <v>785</v>
      </c>
      <c r="R5309" t="s">
        <v>805</v>
      </c>
    </row>
    <row r="5310" spans="1:18" x14ac:dyDescent="0.3">
      <c r="A5310" t="s">
        <v>627</v>
      </c>
      <c r="B5310" s="16">
        <v>45605</v>
      </c>
      <c r="C5310" t="s">
        <v>3</v>
      </c>
      <c r="D5310" t="s">
        <v>152</v>
      </c>
      <c r="E5310">
        <v>37</v>
      </c>
      <c r="F5310">
        <v>28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4</v>
      </c>
      <c r="O5310">
        <f t="shared" si="172"/>
        <v>2024</v>
      </c>
      <c r="P5310">
        <f t="shared" si="173"/>
        <v>11</v>
      </c>
      <c r="Q5310" t="s">
        <v>785</v>
      </c>
      <c r="R5310" t="s">
        <v>805</v>
      </c>
    </row>
    <row r="5311" spans="1:18" x14ac:dyDescent="0.3">
      <c r="A5311" t="s">
        <v>627</v>
      </c>
      <c r="B5311" s="16">
        <v>45605</v>
      </c>
      <c r="C5311" t="s">
        <v>3</v>
      </c>
      <c r="D5311" t="s">
        <v>150</v>
      </c>
      <c r="E5311">
        <v>4</v>
      </c>
      <c r="F5311">
        <v>0</v>
      </c>
      <c r="G5311">
        <v>1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4</v>
      </c>
      <c r="O5311">
        <f t="shared" si="172"/>
        <v>2024</v>
      </c>
      <c r="P5311">
        <f t="shared" si="173"/>
        <v>11</v>
      </c>
      <c r="Q5311" t="s">
        <v>785</v>
      </c>
      <c r="R5311" t="s">
        <v>805</v>
      </c>
    </row>
    <row r="5312" spans="1:18" x14ac:dyDescent="0.3">
      <c r="A5312" t="s">
        <v>627</v>
      </c>
      <c r="B5312" s="16">
        <v>45605</v>
      </c>
      <c r="C5312" t="s">
        <v>3</v>
      </c>
      <c r="D5312" t="s">
        <v>149</v>
      </c>
      <c r="E5312">
        <v>51</v>
      </c>
      <c r="F5312">
        <v>33</v>
      </c>
      <c r="G5312">
        <v>4</v>
      </c>
      <c r="H5312">
        <v>1</v>
      </c>
      <c r="I5312">
        <v>0</v>
      </c>
      <c r="J5312">
        <v>0</v>
      </c>
      <c r="K5312">
        <v>0</v>
      </c>
      <c r="L5312">
        <v>0</v>
      </c>
      <c r="M5312">
        <v>1</v>
      </c>
      <c r="N5312">
        <v>38</v>
      </c>
      <c r="O5312">
        <f t="shared" si="172"/>
        <v>2024</v>
      </c>
      <c r="P5312">
        <f t="shared" si="173"/>
        <v>11</v>
      </c>
      <c r="Q5312" t="s">
        <v>785</v>
      </c>
      <c r="R5312" t="s">
        <v>805</v>
      </c>
    </row>
    <row r="5313" spans="1:18" x14ac:dyDescent="0.3">
      <c r="A5313" t="s">
        <v>627</v>
      </c>
      <c r="B5313" s="16">
        <v>45605</v>
      </c>
      <c r="C5313" t="s">
        <v>3</v>
      </c>
      <c r="D5313" t="s">
        <v>148</v>
      </c>
      <c r="E5313">
        <v>2</v>
      </c>
      <c r="F5313">
        <v>1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2</v>
      </c>
      <c r="N5313">
        <v>0</v>
      </c>
      <c r="O5313">
        <f t="shared" si="172"/>
        <v>2024</v>
      </c>
      <c r="P5313">
        <f t="shared" si="173"/>
        <v>11</v>
      </c>
      <c r="Q5313" t="s">
        <v>785</v>
      </c>
      <c r="R5313" t="s">
        <v>805</v>
      </c>
    </row>
    <row r="5314" spans="1:18" x14ac:dyDescent="0.3">
      <c r="A5314" t="s">
        <v>627</v>
      </c>
      <c r="B5314" s="16">
        <v>45605</v>
      </c>
      <c r="C5314" t="s">
        <v>3</v>
      </c>
      <c r="D5314" t="s">
        <v>145</v>
      </c>
      <c r="E5314">
        <v>1</v>
      </c>
      <c r="F5314">
        <v>1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f t="shared" si="172"/>
        <v>2024</v>
      </c>
      <c r="P5314">
        <f t="shared" si="173"/>
        <v>11</v>
      </c>
      <c r="Q5314" t="s">
        <v>785</v>
      </c>
      <c r="R5314" t="s">
        <v>805</v>
      </c>
    </row>
    <row r="5315" spans="1:18" x14ac:dyDescent="0.3">
      <c r="A5315" t="s">
        <v>627</v>
      </c>
      <c r="B5315" s="16">
        <v>45605</v>
      </c>
      <c r="C5315" t="s">
        <v>3</v>
      </c>
      <c r="D5315" t="s">
        <v>251</v>
      </c>
      <c r="E5315">
        <v>1146</v>
      </c>
      <c r="F5315">
        <v>763</v>
      </c>
      <c r="G5315">
        <v>27</v>
      </c>
      <c r="H5315">
        <v>5</v>
      </c>
      <c r="I5315">
        <v>60083</v>
      </c>
      <c r="J5315">
        <v>10</v>
      </c>
      <c r="K5315">
        <v>39373</v>
      </c>
      <c r="L5315">
        <v>8</v>
      </c>
      <c r="M5315">
        <v>135</v>
      </c>
      <c r="N5315">
        <v>522</v>
      </c>
      <c r="O5315">
        <f t="shared" si="172"/>
        <v>2024</v>
      </c>
      <c r="P5315">
        <f t="shared" si="173"/>
        <v>11</v>
      </c>
      <c r="Q5315" t="s">
        <v>785</v>
      </c>
      <c r="R5315" t="s">
        <v>805</v>
      </c>
    </row>
    <row r="5316" spans="1:18" x14ac:dyDescent="0.3">
      <c r="A5316" t="s">
        <v>627</v>
      </c>
      <c r="B5316" s="16">
        <v>45605</v>
      </c>
      <c r="C5316" t="s">
        <v>3</v>
      </c>
      <c r="D5316" t="s">
        <v>143</v>
      </c>
      <c r="E5316">
        <v>26</v>
      </c>
      <c r="F5316">
        <v>22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26</v>
      </c>
      <c r="O5316">
        <f t="shared" si="172"/>
        <v>2024</v>
      </c>
      <c r="P5316">
        <f t="shared" si="173"/>
        <v>11</v>
      </c>
      <c r="Q5316" t="s">
        <v>785</v>
      </c>
      <c r="R5316" t="s">
        <v>805</v>
      </c>
    </row>
    <row r="5317" spans="1:18" x14ac:dyDescent="0.3">
      <c r="A5317" t="s">
        <v>627</v>
      </c>
      <c r="B5317" s="16">
        <v>45605</v>
      </c>
      <c r="C5317" t="s">
        <v>3</v>
      </c>
      <c r="D5317" t="s">
        <v>141</v>
      </c>
      <c r="E5317">
        <v>4</v>
      </c>
      <c r="F5317">
        <v>3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4</v>
      </c>
      <c r="O5317">
        <f t="shared" si="172"/>
        <v>2024</v>
      </c>
      <c r="P5317">
        <f t="shared" si="173"/>
        <v>11</v>
      </c>
      <c r="Q5317" t="s">
        <v>785</v>
      </c>
      <c r="R5317" t="s">
        <v>805</v>
      </c>
    </row>
    <row r="5318" spans="1:18" x14ac:dyDescent="0.3">
      <c r="A5318" t="s">
        <v>627</v>
      </c>
      <c r="B5318" s="16">
        <v>45605</v>
      </c>
      <c r="C5318" t="s">
        <v>3</v>
      </c>
      <c r="D5318" t="s">
        <v>140</v>
      </c>
      <c r="E5318">
        <v>11</v>
      </c>
      <c r="F5318">
        <v>10</v>
      </c>
      <c r="G5318">
        <v>1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3</v>
      </c>
      <c r="N5318">
        <v>9</v>
      </c>
      <c r="O5318">
        <f t="shared" si="172"/>
        <v>2024</v>
      </c>
      <c r="P5318">
        <f t="shared" si="173"/>
        <v>11</v>
      </c>
      <c r="Q5318" t="s">
        <v>785</v>
      </c>
      <c r="R5318" t="s">
        <v>805</v>
      </c>
    </row>
    <row r="5319" spans="1:18" x14ac:dyDescent="0.3">
      <c r="A5319" t="s">
        <v>627</v>
      </c>
      <c r="B5319" s="16">
        <v>45605</v>
      </c>
      <c r="C5319" t="s">
        <v>3</v>
      </c>
      <c r="D5319" t="s">
        <v>139</v>
      </c>
      <c r="E5319">
        <v>1969</v>
      </c>
      <c r="F5319">
        <v>1073</v>
      </c>
      <c r="G5319">
        <v>90</v>
      </c>
      <c r="H5319">
        <v>15</v>
      </c>
      <c r="I5319">
        <v>84809</v>
      </c>
      <c r="J5319">
        <v>17</v>
      </c>
      <c r="K5319">
        <v>48232</v>
      </c>
      <c r="L5319">
        <v>12</v>
      </c>
      <c r="M5319">
        <v>604</v>
      </c>
      <c r="N5319">
        <v>1738</v>
      </c>
      <c r="O5319">
        <f t="shared" si="172"/>
        <v>2024</v>
      </c>
      <c r="P5319">
        <f t="shared" si="173"/>
        <v>11</v>
      </c>
      <c r="Q5319" t="s">
        <v>785</v>
      </c>
      <c r="R5319" t="s">
        <v>805</v>
      </c>
    </row>
    <row r="5320" spans="1:18" x14ac:dyDescent="0.3">
      <c r="A5320" t="s">
        <v>627</v>
      </c>
      <c r="B5320" s="16">
        <v>45605</v>
      </c>
      <c r="C5320" t="s">
        <v>3</v>
      </c>
      <c r="D5320" t="s">
        <v>138</v>
      </c>
      <c r="E5320">
        <v>130</v>
      </c>
      <c r="F5320">
        <v>110</v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8</v>
      </c>
      <c r="N5320">
        <v>128</v>
      </c>
      <c r="O5320">
        <f t="shared" si="172"/>
        <v>2024</v>
      </c>
      <c r="P5320">
        <f t="shared" si="173"/>
        <v>11</v>
      </c>
      <c r="Q5320" t="s">
        <v>785</v>
      </c>
      <c r="R5320" t="s">
        <v>805</v>
      </c>
    </row>
    <row r="5321" spans="1:18" x14ac:dyDescent="0.3">
      <c r="A5321" t="s">
        <v>627</v>
      </c>
      <c r="B5321" s="16">
        <v>45605</v>
      </c>
      <c r="C5321" t="s">
        <v>3</v>
      </c>
      <c r="D5321" t="s">
        <v>137</v>
      </c>
      <c r="E5321">
        <v>9</v>
      </c>
      <c r="F5321">
        <v>6</v>
      </c>
      <c r="G5321">
        <v>0</v>
      </c>
      <c r="H5321">
        <v>1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9</v>
      </c>
      <c r="O5321">
        <f t="shared" ref="O5321:O5384" si="174">YEAR(B5321)</f>
        <v>2024</v>
      </c>
      <c r="P5321">
        <f t="shared" ref="P5321:P5384" si="175">MONTH(B5321)</f>
        <v>11</v>
      </c>
      <c r="Q5321" t="s">
        <v>785</v>
      </c>
      <c r="R5321" t="s">
        <v>805</v>
      </c>
    </row>
    <row r="5322" spans="1:18" x14ac:dyDescent="0.3">
      <c r="A5322" t="s">
        <v>627</v>
      </c>
      <c r="B5322" s="16">
        <v>45605</v>
      </c>
      <c r="C5322" t="s">
        <v>3</v>
      </c>
      <c r="D5322" t="s">
        <v>135</v>
      </c>
      <c r="E5322">
        <v>35</v>
      </c>
      <c r="F5322">
        <v>10</v>
      </c>
      <c r="G5322">
        <v>2</v>
      </c>
      <c r="H5322">
        <v>1</v>
      </c>
      <c r="I5322">
        <v>4990</v>
      </c>
      <c r="J5322">
        <v>1</v>
      </c>
      <c r="K5322">
        <v>4990</v>
      </c>
      <c r="L5322">
        <v>1</v>
      </c>
      <c r="M5322">
        <v>2</v>
      </c>
      <c r="N5322">
        <v>31</v>
      </c>
      <c r="O5322">
        <f t="shared" si="174"/>
        <v>2024</v>
      </c>
      <c r="P5322">
        <f t="shared" si="175"/>
        <v>11</v>
      </c>
      <c r="Q5322" t="s">
        <v>785</v>
      </c>
      <c r="R5322" t="s">
        <v>805</v>
      </c>
    </row>
    <row r="5323" spans="1:18" x14ac:dyDescent="0.3">
      <c r="A5323" t="s">
        <v>627</v>
      </c>
      <c r="B5323" s="16">
        <v>45605</v>
      </c>
      <c r="C5323" t="s">
        <v>3</v>
      </c>
      <c r="D5323" t="s">
        <v>133</v>
      </c>
      <c r="E5323">
        <v>31</v>
      </c>
      <c r="F5323">
        <v>18</v>
      </c>
      <c r="G5323">
        <v>4</v>
      </c>
      <c r="H5323">
        <v>0</v>
      </c>
      <c r="I5323">
        <v>2990</v>
      </c>
      <c r="J5323">
        <v>1</v>
      </c>
      <c r="K5323">
        <v>2990</v>
      </c>
      <c r="L5323">
        <v>1</v>
      </c>
      <c r="M5323">
        <v>4</v>
      </c>
      <c r="N5323">
        <v>29</v>
      </c>
      <c r="O5323">
        <f t="shared" si="174"/>
        <v>2024</v>
      </c>
      <c r="P5323">
        <f t="shared" si="175"/>
        <v>11</v>
      </c>
      <c r="Q5323" t="s">
        <v>785</v>
      </c>
      <c r="R5323" t="s">
        <v>805</v>
      </c>
    </row>
    <row r="5324" spans="1:18" x14ac:dyDescent="0.3">
      <c r="A5324" t="s">
        <v>627</v>
      </c>
      <c r="B5324" s="16">
        <v>45605</v>
      </c>
      <c r="C5324" t="s">
        <v>3</v>
      </c>
      <c r="D5324" t="s">
        <v>130</v>
      </c>
      <c r="E5324">
        <v>133</v>
      </c>
      <c r="F5324">
        <v>48</v>
      </c>
      <c r="G5324">
        <v>24</v>
      </c>
      <c r="H5324">
        <v>1</v>
      </c>
      <c r="I5324">
        <v>93505</v>
      </c>
      <c r="J5324">
        <v>15</v>
      </c>
      <c r="K5324">
        <v>44060</v>
      </c>
      <c r="L5324">
        <v>10</v>
      </c>
      <c r="M5324">
        <v>50</v>
      </c>
      <c r="N5324">
        <v>124</v>
      </c>
      <c r="O5324">
        <f t="shared" si="174"/>
        <v>2024</v>
      </c>
      <c r="P5324">
        <f t="shared" si="175"/>
        <v>11</v>
      </c>
      <c r="Q5324" t="s">
        <v>785</v>
      </c>
      <c r="R5324" t="s">
        <v>805</v>
      </c>
    </row>
    <row r="5325" spans="1:18" x14ac:dyDescent="0.3">
      <c r="A5325" t="s">
        <v>627</v>
      </c>
      <c r="B5325" s="16">
        <v>45605</v>
      </c>
      <c r="C5325" t="s">
        <v>3</v>
      </c>
      <c r="D5325" t="s">
        <v>128</v>
      </c>
      <c r="E5325">
        <v>1637</v>
      </c>
      <c r="F5325">
        <v>1226</v>
      </c>
      <c r="G5325">
        <v>80</v>
      </c>
      <c r="H5325">
        <v>16</v>
      </c>
      <c r="I5325">
        <v>36980</v>
      </c>
      <c r="J5325">
        <v>7</v>
      </c>
      <c r="K5325">
        <v>29063</v>
      </c>
      <c r="L5325">
        <v>7</v>
      </c>
      <c r="M5325">
        <v>400</v>
      </c>
      <c r="N5325">
        <v>1488</v>
      </c>
      <c r="O5325">
        <f t="shared" si="174"/>
        <v>2024</v>
      </c>
      <c r="P5325">
        <f t="shared" si="175"/>
        <v>11</v>
      </c>
      <c r="Q5325" t="s">
        <v>785</v>
      </c>
      <c r="R5325" t="s">
        <v>805</v>
      </c>
    </row>
    <row r="5326" spans="1:18" x14ac:dyDescent="0.3">
      <c r="A5326" t="s">
        <v>627</v>
      </c>
      <c r="B5326" s="16">
        <v>45605</v>
      </c>
      <c r="C5326" t="s">
        <v>3</v>
      </c>
      <c r="D5326" t="s">
        <v>127</v>
      </c>
      <c r="E5326">
        <v>7209</v>
      </c>
      <c r="F5326">
        <v>4409</v>
      </c>
      <c r="G5326">
        <v>108</v>
      </c>
      <c r="H5326">
        <v>44</v>
      </c>
      <c r="I5326">
        <v>129915</v>
      </c>
      <c r="J5326">
        <v>20</v>
      </c>
      <c r="K5326">
        <v>44323</v>
      </c>
      <c r="L5326">
        <v>13</v>
      </c>
      <c r="M5326">
        <v>1494</v>
      </c>
      <c r="N5326">
        <v>4888</v>
      </c>
      <c r="O5326">
        <f t="shared" si="174"/>
        <v>2024</v>
      </c>
      <c r="P5326">
        <f t="shared" si="175"/>
        <v>11</v>
      </c>
      <c r="Q5326" t="s">
        <v>785</v>
      </c>
      <c r="R5326" t="s">
        <v>805</v>
      </c>
    </row>
    <row r="5327" spans="1:18" x14ac:dyDescent="0.3">
      <c r="A5327" t="s">
        <v>627</v>
      </c>
      <c r="B5327" s="16">
        <v>45605</v>
      </c>
      <c r="C5327" t="s">
        <v>3</v>
      </c>
      <c r="D5327" t="s">
        <v>126</v>
      </c>
      <c r="E5327">
        <v>151</v>
      </c>
      <c r="F5327">
        <v>104</v>
      </c>
      <c r="G5327">
        <v>7</v>
      </c>
      <c r="H5327">
        <v>4</v>
      </c>
      <c r="I5327">
        <v>5980</v>
      </c>
      <c r="J5327">
        <v>1</v>
      </c>
      <c r="K5327">
        <v>0</v>
      </c>
      <c r="L5327">
        <v>0</v>
      </c>
      <c r="M5327">
        <v>19</v>
      </c>
      <c r="N5327">
        <v>149</v>
      </c>
      <c r="O5327">
        <f t="shared" si="174"/>
        <v>2024</v>
      </c>
      <c r="P5327">
        <f t="shared" si="175"/>
        <v>11</v>
      </c>
      <c r="Q5327" t="s">
        <v>785</v>
      </c>
      <c r="R5327" t="s">
        <v>805</v>
      </c>
    </row>
    <row r="5328" spans="1:18" x14ac:dyDescent="0.3">
      <c r="A5328" t="s">
        <v>627</v>
      </c>
      <c r="B5328" s="16">
        <v>45605</v>
      </c>
      <c r="C5328" t="s">
        <v>3</v>
      </c>
      <c r="D5328" t="s">
        <v>125</v>
      </c>
      <c r="E5328">
        <v>3</v>
      </c>
      <c r="F5328">
        <v>2</v>
      </c>
      <c r="G5328">
        <v>1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1</v>
      </c>
      <c r="N5328">
        <v>2</v>
      </c>
      <c r="O5328">
        <f t="shared" si="174"/>
        <v>2024</v>
      </c>
      <c r="P5328">
        <f t="shared" si="175"/>
        <v>11</v>
      </c>
      <c r="Q5328" t="s">
        <v>785</v>
      </c>
      <c r="R5328" t="s">
        <v>805</v>
      </c>
    </row>
    <row r="5329" spans="1:18" x14ac:dyDescent="0.3">
      <c r="A5329" t="s">
        <v>627</v>
      </c>
      <c r="B5329" s="16">
        <v>45605</v>
      </c>
      <c r="C5329" t="s">
        <v>3</v>
      </c>
      <c r="D5329" t="s">
        <v>123</v>
      </c>
      <c r="E5329">
        <v>397</v>
      </c>
      <c r="F5329">
        <v>188</v>
      </c>
      <c r="G5329">
        <v>27</v>
      </c>
      <c r="H5329">
        <v>5</v>
      </c>
      <c r="I5329">
        <v>39070</v>
      </c>
      <c r="J5329">
        <v>7</v>
      </c>
      <c r="K5329">
        <v>15390</v>
      </c>
      <c r="L5329">
        <v>5</v>
      </c>
      <c r="M5329">
        <v>133</v>
      </c>
      <c r="N5329">
        <v>357</v>
      </c>
      <c r="O5329">
        <f t="shared" si="174"/>
        <v>2024</v>
      </c>
      <c r="P5329">
        <f t="shared" si="175"/>
        <v>11</v>
      </c>
      <c r="Q5329" t="s">
        <v>785</v>
      </c>
      <c r="R5329" t="s">
        <v>805</v>
      </c>
    </row>
    <row r="5330" spans="1:18" x14ac:dyDescent="0.3">
      <c r="A5330" t="s">
        <v>627</v>
      </c>
      <c r="B5330" s="16">
        <v>45605</v>
      </c>
      <c r="C5330" t="s">
        <v>3</v>
      </c>
      <c r="D5330" t="s">
        <v>121</v>
      </c>
      <c r="E5330">
        <v>4</v>
      </c>
      <c r="F5330">
        <v>4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1</v>
      </c>
      <c r="N5330">
        <v>3</v>
      </c>
      <c r="O5330">
        <f t="shared" si="174"/>
        <v>2024</v>
      </c>
      <c r="P5330">
        <f t="shared" si="175"/>
        <v>11</v>
      </c>
      <c r="Q5330" t="s">
        <v>785</v>
      </c>
      <c r="R5330" t="s">
        <v>805</v>
      </c>
    </row>
    <row r="5331" spans="1:18" x14ac:dyDescent="0.3">
      <c r="A5331" t="s">
        <v>627</v>
      </c>
      <c r="B5331" s="16">
        <v>45605</v>
      </c>
      <c r="C5331" t="s">
        <v>3</v>
      </c>
      <c r="D5331" t="s">
        <v>119</v>
      </c>
      <c r="E5331">
        <v>437</v>
      </c>
      <c r="F5331">
        <v>110</v>
      </c>
      <c r="G5331">
        <v>23</v>
      </c>
      <c r="H5331">
        <v>7</v>
      </c>
      <c r="I5331">
        <v>75439</v>
      </c>
      <c r="J5331">
        <v>13</v>
      </c>
      <c r="K5331">
        <v>51759</v>
      </c>
      <c r="L5331">
        <v>11</v>
      </c>
      <c r="M5331">
        <v>81</v>
      </c>
      <c r="N5331">
        <v>414</v>
      </c>
      <c r="O5331">
        <f t="shared" si="174"/>
        <v>2024</v>
      </c>
      <c r="P5331">
        <f t="shared" si="175"/>
        <v>11</v>
      </c>
      <c r="Q5331" t="s">
        <v>785</v>
      </c>
      <c r="R5331" t="s">
        <v>805</v>
      </c>
    </row>
    <row r="5332" spans="1:18" x14ac:dyDescent="0.3">
      <c r="A5332" t="s">
        <v>627</v>
      </c>
      <c r="B5332" s="16">
        <v>45605</v>
      </c>
      <c r="C5332" t="s">
        <v>3</v>
      </c>
      <c r="D5332" t="s">
        <v>252</v>
      </c>
      <c r="E5332">
        <v>5</v>
      </c>
      <c r="F5332">
        <v>2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5</v>
      </c>
      <c r="O5332">
        <f t="shared" si="174"/>
        <v>2024</v>
      </c>
      <c r="P5332">
        <f t="shared" si="175"/>
        <v>11</v>
      </c>
      <c r="Q5332" t="s">
        <v>785</v>
      </c>
      <c r="R5332" t="s">
        <v>805</v>
      </c>
    </row>
    <row r="5333" spans="1:18" x14ac:dyDescent="0.3">
      <c r="A5333" t="s">
        <v>627</v>
      </c>
      <c r="B5333" s="16">
        <v>45605</v>
      </c>
      <c r="C5333" t="s">
        <v>3</v>
      </c>
      <c r="D5333" t="s">
        <v>117</v>
      </c>
      <c r="E5333">
        <v>15</v>
      </c>
      <c r="F5333">
        <v>13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2</v>
      </c>
      <c r="N5333">
        <v>15</v>
      </c>
      <c r="O5333">
        <f t="shared" si="174"/>
        <v>2024</v>
      </c>
      <c r="P5333">
        <f t="shared" si="175"/>
        <v>11</v>
      </c>
      <c r="Q5333" t="s">
        <v>785</v>
      </c>
      <c r="R5333" t="s">
        <v>805</v>
      </c>
    </row>
    <row r="5334" spans="1:18" x14ac:dyDescent="0.3">
      <c r="A5334" t="s">
        <v>627</v>
      </c>
      <c r="B5334" s="16">
        <v>45605</v>
      </c>
      <c r="C5334" t="s">
        <v>3</v>
      </c>
      <c r="D5334" t="s">
        <v>115</v>
      </c>
      <c r="E5334">
        <v>4</v>
      </c>
      <c r="F5334">
        <v>2</v>
      </c>
      <c r="G5334">
        <v>1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4</v>
      </c>
      <c r="O5334">
        <f t="shared" si="174"/>
        <v>2024</v>
      </c>
      <c r="P5334">
        <f t="shared" si="175"/>
        <v>11</v>
      </c>
      <c r="Q5334" t="s">
        <v>785</v>
      </c>
      <c r="R5334" t="s">
        <v>805</v>
      </c>
    </row>
    <row r="5335" spans="1:18" x14ac:dyDescent="0.3">
      <c r="A5335" t="s">
        <v>627</v>
      </c>
      <c r="B5335" s="16">
        <v>45605</v>
      </c>
      <c r="C5335" t="s">
        <v>3</v>
      </c>
      <c r="D5335" t="s">
        <v>114</v>
      </c>
      <c r="E5335">
        <v>204</v>
      </c>
      <c r="F5335">
        <v>127</v>
      </c>
      <c r="G5335">
        <v>3</v>
      </c>
      <c r="H5335">
        <v>1</v>
      </c>
      <c r="I5335">
        <v>3960</v>
      </c>
      <c r="J5335">
        <v>1</v>
      </c>
      <c r="K5335">
        <v>1980</v>
      </c>
      <c r="L5335">
        <v>1</v>
      </c>
      <c r="M5335">
        <v>19</v>
      </c>
      <c r="N5335">
        <v>201</v>
      </c>
      <c r="O5335">
        <f t="shared" si="174"/>
        <v>2024</v>
      </c>
      <c r="P5335">
        <f t="shared" si="175"/>
        <v>11</v>
      </c>
      <c r="Q5335" t="s">
        <v>785</v>
      </c>
      <c r="R5335" t="s">
        <v>805</v>
      </c>
    </row>
    <row r="5336" spans="1:18" x14ac:dyDescent="0.3">
      <c r="A5336" t="s">
        <v>627</v>
      </c>
      <c r="B5336" s="16">
        <v>45605</v>
      </c>
      <c r="C5336" t="s">
        <v>3</v>
      </c>
      <c r="D5336" t="s">
        <v>113</v>
      </c>
      <c r="E5336">
        <v>139</v>
      </c>
      <c r="F5336">
        <v>70</v>
      </c>
      <c r="G5336">
        <v>3</v>
      </c>
      <c r="H5336">
        <v>1</v>
      </c>
      <c r="I5336">
        <v>0</v>
      </c>
      <c r="J5336">
        <v>0</v>
      </c>
      <c r="K5336">
        <v>0</v>
      </c>
      <c r="L5336">
        <v>0</v>
      </c>
      <c r="M5336">
        <v>88</v>
      </c>
      <c r="N5336">
        <v>88</v>
      </c>
      <c r="O5336">
        <f t="shared" si="174"/>
        <v>2024</v>
      </c>
      <c r="P5336">
        <f t="shared" si="175"/>
        <v>11</v>
      </c>
      <c r="Q5336" t="s">
        <v>785</v>
      </c>
      <c r="R5336" t="s">
        <v>805</v>
      </c>
    </row>
    <row r="5337" spans="1:18" x14ac:dyDescent="0.3">
      <c r="A5337" t="s">
        <v>627</v>
      </c>
      <c r="B5337" s="16">
        <v>45605</v>
      </c>
      <c r="C5337" t="s">
        <v>3</v>
      </c>
      <c r="D5337" t="s">
        <v>112</v>
      </c>
      <c r="E5337">
        <v>18</v>
      </c>
      <c r="F5337">
        <v>2</v>
      </c>
      <c r="G5337">
        <v>1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18</v>
      </c>
      <c r="O5337">
        <f t="shared" si="174"/>
        <v>2024</v>
      </c>
      <c r="P5337">
        <f t="shared" si="175"/>
        <v>11</v>
      </c>
      <c r="Q5337" t="s">
        <v>785</v>
      </c>
      <c r="R5337" t="s">
        <v>805</v>
      </c>
    </row>
    <row r="5338" spans="1:18" x14ac:dyDescent="0.3">
      <c r="A5338" t="s">
        <v>627</v>
      </c>
      <c r="B5338" s="16">
        <v>45604</v>
      </c>
      <c r="C5338" t="s">
        <v>2</v>
      </c>
      <c r="D5338" t="s">
        <v>4</v>
      </c>
      <c r="E5338">
        <v>277</v>
      </c>
      <c r="F5338">
        <v>94</v>
      </c>
      <c r="G5338">
        <v>6</v>
      </c>
      <c r="H5338">
        <v>2</v>
      </c>
      <c r="I5338">
        <v>15930</v>
      </c>
      <c r="J5338">
        <v>2</v>
      </c>
      <c r="K5338">
        <v>15930</v>
      </c>
      <c r="L5338">
        <v>2</v>
      </c>
      <c r="M5338">
        <v>28</v>
      </c>
      <c r="N5338">
        <v>262</v>
      </c>
      <c r="O5338">
        <f t="shared" si="174"/>
        <v>2024</v>
      </c>
      <c r="P5338">
        <f t="shared" si="175"/>
        <v>11</v>
      </c>
      <c r="Q5338" t="s">
        <v>785</v>
      </c>
      <c r="R5338" t="s">
        <v>805</v>
      </c>
    </row>
    <row r="5339" spans="1:18" x14ac:dyDescent="0.3">
      <c r="A5339" t="s">
        <v>627</v>
      </c>
      <c r="B5339" s="16">
        <v>45604</v>
      </c>
      <c r="C5339" t="s">
        <v>2</v>
      </c>
      <c r="D5339" t="s">
        <v>57</v>
      </c>
      <c r="E5339">
        <v>11729</v>
      </c>
      <c r="F5339">
        <v>6681</v>
      </c>
      <c r="G5339">
        <v>352</v>
      </c>
      <c r="H5339">
        <v>165</v>
      </c>
      <c r="I5339">
        <v>293685.5</v>
      </c>
      <c r="J5339">
        <v>38</v>
      </c>
      <c r="K5339">
        <v>139616</v>
      </c>
      <c r="L5339">
        <v>28</v>
      </c>
      <c r="M5339">
        <v>968</v>
      </c>
      <c r="N5339">
        <v>11694</v>
      </c>
      <c r="O5339">
        <f t="shared" si="174"/>
        <v>2024</v>
      </c>
      <c r="P5339">
        <f t="shared" si="175"/>
        <v>11</v>
      </c>
      <c r="Q5339" t="s">
        <v>785</v>
      </c>
      <c r="R5339" t="s">
        <v>805</v>
      </c>
    </row>
    <row r="5340" spans="1:18" x14ac:dyDescent="0.3">
      <c r="A5340" t="s">
        <v>627</v>
      </c>
      <c r="B5340" s="16">
        <v>45604</v>
      </c>
      <c r="C5340" t="s">
        <v>2</v>
      </c>
      <c r="D5340" t="s">
        <v>52</v>
      </c>
      <c r="E5340">
        <v>1167</v>
      </c>
      <c r="F5340">
        <v>963</v>
      </c>
      <c r="G5340">
        <v>27</v>
      </c>
      <c r="H5340">
        <v>7</v>
      </c>
      <c r="I5340">
        <v>62840</v>
      </c>
      <c r="J5340">
        <v>3</v>
      </c>
      <c r="K5340">
        <v>58845</v>
      </c>
      <c r="L5340">
        <v>2</v>
      </c>
      <c r="M5340">
        <v>1167</v>
      </c>
      <c r="N5340">
        <v>415</v>
      </c>
      <c r="O5340">
        <f t="shared" si="174"/>
        <v>2024</v>
      </c>
      <c r="P5340">
        <f t="shared" si="175"/>
        <v>11</v>
      </c>
      <c r="Q5340" t="s">
        <v>785</v>
      </c>
      <c r="R5340" t="s">
        <v>805</v>
      </c>
    </row>
    <row r="5341" spans="1:18" x14ac:dyDescent="0.3">
      <c r="A5341" t="s">
        <v>627</v>
      </c>
      <c r="B5341" s="16">
        <v>45604</v>
      </c>
      <c r="C5341" t="s">
        <v>2</v>
      </c>
      <c r="D5341" t="s">
        <v>55</v>
      </c>
      <c r="E5341">
        <v>178</v>
      </c>
      <c r="F5341">
        <v>123</v>
      </c>
      <c r="G5341">
        <v>10</v>
      </c>
      <c r="H5341">
        <v>8</v>
      </c>
      <c r="I5341">
        <v>0</v>
      </c>
      <c r="J5341">
        <v>0</v>
      </c>
      <c r="K5341">
        <v>0</v>
      </c>
      <c r="L5341">
        <v>0</v>
      </c>
      <c r="M5341">
        <v>2</v>
      </c>
      <c r="N5341">
        <v>126</v>
      </c>
      <c r="O5341">
        <f t="shared" si="174"/>
        <v>2024</v>
      </c>
      <c r="P5341">
        <f t="shared" si="175"/>
        <v>11</v>
      </c>
      <c r="Q5341" t="s">
        <v>785</v>
      </c>
      <c r="R5341" t="s">
        <v>805</v>
      </c>
    </row>
    <row r="5342" spans="1:18" x14ac:dyDescent="0.3">
      <c r="A5342" t="s">
        <v>627</v>
      </c>
      <c r="B5342" s="16">
        <v>45604</v>
      </c>
      <c r="C5342" t="s">
        <v>3</v>
      </c>
      <c r="D5342" t="s">
        <v>155</v>
      </c>
      <c r="E5342">
        <v>4</v>
      </c>
      <c r="F5342">
        <v>3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4</v>
      </c>
      <c r="O5342">
        <f t="shared" si="174"/>
        <v>2024</v>
      </c>
      <c r="P5342">
        <f t="shared" si="175"/>
        <v>11</v>
      </c>
      <c r="Q5342" t="s">
        <v>785</v>
      </c>
      <c r="R5342" t="s">
        <v>805</v>
      </c>
    </row>
    <row r="5343" spans="1:18" x14ac:dyDescent="0.3">
      <c r="A5343" t="s">
        <v>627</v>
      </c>
      <c r="B5343" s="16">
        <v>45604</v>
      </c>
      <c r="C5343" t="s">
        <v>3</v>
      </c>
      <c r="D5343" t="s">
        <v>154</v>
      </c>
      <c r="E5343">
        <v>3</v>
      </c>
      <c r="F5343">
        <v>1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1</v>
      </c>
      <c r="O5343">
        <f t="shared" si="174"/>
        <v>2024</v>
      </c>
      <c r="P5343">
        <f t="shared" si="175"/>
        <v>11</v>
      </c>
      <c r="Q5343" t="s">
        <v>785</v>
      </c>
      <c r="R5343" t="s">
        <v>805</v>
      </c>
    </row>
    <row r="5344" spans="1:18" x14ac:dyDescent="0.3">
      <c r="A5344" t="s">
        <v>627</v>
      </c>
      <c r="B5344" s="16">
        <v>45604</v>
      </c>
      <c r="C5344" t="s">
        <v>3</v>
      </c>
      <c r="D5344" t="s">
        <v>153</v>
      </c>
      <c r="E5344">
        <v>570</v>
      </c>
      <c r="F5344">
        <v>113</v>
      </c>
      <c r="G5344">
        <v>46</v>
      </c>
      <c r="H5344">
        <v>5</v>
      </c>
      <c r="I5344">
        <v>179309.01</v>
      </c>
      <c r="J5344">
        <v>29</v>
      </c>
      <c r="K5344">
        <v>139126.51</v>
      </c>
      <c r="L5344">
        <v>26</v>
      </c>
      <c r="M5344">
        <v>144</v>
      </c>
      <c r="N5344">
        <v>553</v>
      </c>
      <c r="O5344">
        <f t="shared" si="174"/>
        <v>2024</v>
      </c>
      <c r="P5344">
        <f t="shared" si="175"/>
        <v>11</v>
      </c>
      <c r="Q5344" t="s">
        <v>785</v>
      </c>
      <c r="R5344" t="s">
        <v>805</v>
      </c>
    </row>
    <row r="5345" spans="1:18" x14ac:dyDescent="0.3">
      <c r="A5345" t="s">
        <v>627</v>
      </c>
      <c r="B5345" s="16">
        <v>45604</v>
      </c>
      <c r="C5345" t="s">
        <v>3</v>
      </c>
      <c r="D5345" t="s">
        <v>152</v>
      </c>
      <c r="E5345">
        <v>4</v>
      </c>
      <c r="F5345">
        <v>1</v>
      </c>
      <c r="G5345">
        <v>1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4</v>
      </c>
      <c r="O5345">
        <f t="shared" si="174"/>
        <v>2024</v>
      </c>
      <c r="P5345">
        <f t="shared" si="175"/>
        <v>11</v>
      </c>
      <c r="Q5345" t="s">
        <v>785</v>
      </c>
      <c r="R5345" t="s">
        <v>805</v>
      </c>
    </row>
    <row r="5346" spans="1:18" x14ac:dyDescent="0.3">
      <c r="A5346" t="s">
        <v>627</v>
      </c>
      <c r="B5346" s="16">
        <v>45604</v>
      </c>
      <c r="C5346" t="s">
        <v>3</v>
      </c>
      <c r="D5346" t="s">
        <v>150</v>
      </c>
      <c r="E5346">
        <v>3</v>
      </c>
      <c r="F5346">
        <v>1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3</v>
      </c>
      <c r="O5346">
        <f t="shared" si="174"/>
        <v>2024</v>
      </c>
      <c r="P5346">
        <f t="shared" si="175"/>
        <v>11</v>
      </c>
      <c r="Q5346" t="s">
        <v>785</v>
      </c>
      <c r="R5346" t="s">
        <v>805</v>
      </c>
    </row>
    <row r="5347" spans="1:18" x14ac:dyDescent="0.3">
      <c r="A5347" t="s">
        <v>627</v>
      </c>
      <c r="B5347" s="16">
        <v>45604</v>
      </c>
      <c r="C5347" t="s">
        <v>3</v>
      </c>
      <c r="D5347" t="s">
        <v>149</v>
      </c>
      <c r="E5347">
        <v>15</v>
      </c>
      <c r="F5347">
        <v>9</v>
      </c>
      <c r="G5347">
        <v>1</v>
      </c>
      <c r="H5347">
        <v>0</v>
      </c>
      <c r="I5347">
        <v>8267</v>
      </c>
      <c r="J5347">
        <v>1</v>
      </c>
      <c r="K5347">
        <v>0</v>
      </c>
      <c r="L5347">
        <v>0</v>
      </c>
      <c r="M5347">
        <v>5</v>
      </c>
      <c r="N5347">
        <v>13</v>
      </c>
      <c r="O5347">
        <f t="shared" si="174"/>
        <v>2024</v>
      </c>
      <c r="P5347">
        <f t="shared" si="175"/>
        <v>11</v>
      </c>
      <c r="Q5347" t="s">
        <v>785</v>
      </c>
      <c r="R5347" t="s">
        <v>805</v>
      </c>
    </row>
    <row r="5348" spans="1:18" x14ac:dyDescent="0.3">
      <c r="A5348" t="s">
        <v>627</v>
      </c>
      <c r="B5348" s="16">
        <v>45604</v>
      </c>
      <c r="C5348" t="s">
        <v>3</v>
      </c>
      <c r="D5348" t="s">
        <v>148</v>
      </c>
      <c r="E5348">
        <v>2</v>
      </c>
      <c r="F5348">
        <v>1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2</v>
      </c>
      <c r="O5348">
        <f t="shared" si="174"/>
        <v>2024</v>
      </c>
      <c r="P5348">
        <f t="shared" si="175"/>
        <v>11</v>
      </c>
      <c r="Q5348" t="s">
        <v>785</v>
      </c>
      <c r="R5348" t="s">
        <v>805</v>
      </c>
    </row>
    <row r="5349" spans="1:18" x14ac:dyDescent="0.3">
      <c r="A5349" t="s">
        <v>627</v>
      </c>
      <c r="B5349" s="16">
        <v>45604</v>
      </c>
      <c r="C5349" t="s">
        <v>3</v>
      </c>
      <c r="D5349" t="s">
        <v>251</v>
      </c>
      <c r="E5349">
        <v>461</v>
      </c>
      <c r="F5349">
        <v>206</v>
      </c>
      <c r="G5349">
        <v>18</v>
      </c>
      <c r="H5349">
        <v>8</v>
      </c>
      <c r="I5349">
        <v>38932</v>
      </c>
      <c r="J5349">
        <v>7</v>
      </c>
      <c r="K5349">
        <v>22300</v>
      </c>
      <c r="L5349">
        <v>5</v>
      </c>
      <c r="M5349">
        <v>78</v>
      </c>
      <c r="N5349">
        <v>402</v>
      </c>
      <c r="O5349">
        <f t="shared" si="174"/>
        <v>2024</v>
      </c>
      <c r="P5349">
        <f t="shared" si="175"/>
        <v>11</v>
      </c>
      <c r="Q5349" t="s">
        <v>785</v>
      </c>
      <c r="R5349" t="s">
        <v>805</v>
      </c>
    </row>
    <row r="5350" spans="1:18" x14ac:dyDescent="0.3">
      <c r="A5350" t="s">
        <v>627</v>
      </c>
      <c r="B5350" s="16">
        <v>45604</v>
      </c>
      <c r="C5350" t="s">
        <v>3</v>
      </c>
      <c r="D5350" t="s">
        <v>143</v>
      </c>
      <c r="E5350">
        <v>15</v>
      </c>
      <c r="F5350">
        <v>14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15</v>
      </c>
      <c r="O5350">
        <f t="shared" si="174"/>
        <v>2024</v>
      </c>
      <c r="P5350">
        <f t="shared" si="175"/>
        <v>11</v>
      </c>
      <c r="Q5350" t="s">
        <v>785</v>
      </c>
      <c r="R5350" t="s">
        <v>805</v>
      </c>
    </row>
    <row r="5351" spans="1:18" x14ac:dyDescent="0.3">
      <c r="A5351" t="s">
        <v>627</v>
      </c>
      <c r="B5351" s="16">
        <v>45604</v>
      </c>
      <c r="C5351" t="s">
        <v>3</v>
      </c>
      <c r="D5351" t="s">
        <v>141</v>
      </c>
      <c r="E5351">
        <v>2</v>
      </c>
      <c r="F5351">
        <v>2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2</v>
      </c>
      <c r="O5351">
        <f t="shared" si="174"/>
        <v>2024</v>
      </c>
      <c r="P5351">
        <f t="shared" si="175"/>
        <v>11</v>
      </c>
      <c r="Q5351" t="s">
        <v>785</v>
      </c>
      <c r="R5351" t="s">
        <v>805</v>
      </c>
    </row>
    <row r="5352" spans="1:18" x14ac:dyDescent="0.3">
      <c r="A5352" t="s">
        <v>627</v>
      </c>
      <c r="B5352" s="16">
        <v>45604</v>
      </c>
      <c r="C5352" t="s">
        <v>3</v>
      </c>
      <c r="D5352" t="s">
        <v>140</v>
      </c>
      <c r="E5352">
        <v>16</v>
      </c>
      <c r="F5352">
        <v>12</v>
      </c>
      <c r="G5352">
        <v>3</v>
      </c>
      <c r="H5352">
        <v>0</v>
      </c>
      <c r="I5352">
        <v>4925</v>
      </c>
      <c r="J5352">
        <v>1</v>
      </c>
      <c r="K5352">
        <v>4925</v>
      </c>
      <c r="L5352">
        <v>1</v>
      </c>
      <c r="M5352">
        <v>3</v>
      </c>
      <c r="N5352">
        <v>16</v>
      </c>
      <c r="O5352">
        <f t="shared" si="174"/>
        <v>2024</v>
      </c>
      <c r="P5352">
        <f t="shared" si="175"/>
        <v>11</v>
      </c>
      <c r="Q5352" t="s">
        <v>785</v>
      </c>
      <c r="R5352" t="s">
        <v>805</v>
      </c>
    </row>
    <row r="5353" spans="1:18" x14ac:dyDescent="0.3">
      <c r="A5353" t="s">
        <v>627</v>
      </c>
      <c r="B5353" s="16">
        <v>45604</v>
      </c>
      <c r="C5353" t="s">
        <v>3</v>
      </c>
      <c r="D5353" t="s">
        <v>139</v>
      </c>
      <c r="E5353">
        <v>1698</v>
      </c>
      <c r="F5353">
        <v>907</v>
      </c>
      <c r="G5353">
        <v>77</v>
      </c>
      <c r="H5353">
        <v>11</v>
      </c>
      <c r="I5353">
        <v>163951.01</v>
      </c>
      <c r="J5353">
        <v>18</v>
      </c>
      <c r="K5353">
        <v>105576.51</v>
      </c>
      <c r="L5353">
        <v>15</v>
      </c>
      <c r="M5353">
        <v>479</v>
      </c>
      <c r="N5353">
        <v>1570</v>
      </c>
      <c r="O5353">
        <f t="shared" si="174"/>
        <v>2024</v>
      </c>
      <c r="P5353">
        <f t="shared" si="175"/>
        <v>11</v>
      </c>
      <c r="Q5353" t="s">
        <v>785</v>
      </c>
      <c r="R5353" t="s">
        <v>805</v>
      </c>
    </row>
    <row r="5354" spans="1:18" x14ac:dyDescent="0.3">
      <c r="A5354" t="s">
        <v>627</v>
      </c>
      <c r="B5354" s="16">
        <v>45604</v>
      </c>
      <c r="C5354" t="s">
        <v>3</v>
      </c>
      <c r="D5354" t="s">
        <v>138</v>
      </c>
      <c r="E5354">
        <v>31</v>
      </c>
      <c r="F5354">
        <v>17</v>
      </c>
      <c r="G5354">
        <v>0</v>
      </c>
      <c r="H5354">
        <v>2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31</v>
      </c>
      <c r="O5354">
        <f t="shared" si="174"/>
        <v>2024</v>
      </c>
      <c r="P5354">
        <f t="shared" si="175"/>
        <v>11</v>
      </c>
      <c r="Q5354" t="s">
        <v>785</v>
      </c>
      <c r="R5354" t="s">
        <v>805</v>
      </c>
    </row>
    <row r="5355" spans="1:18" x14ac:dyDescent="0.3">
      <c r="A5355" t="s">
        <v>627</v>
      </c>
      <c r="B5355" s="16">
        <v>45604</v>
      </c>
      <c r="C5355" t="s">
        <v>3</v>
      </c>
      <c r="D5355" t="s">
        <v>137</v>
      </c>
      <c r="E5355">
        <v>4</v>
      </c>
      <c r="F5355">
        <v>2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4</v>
      </c>
      <c r="O5355">
        <f t="shared" si="174"/>
        <v>2024</v>
      </c>
      <c r="P5355">
        <f t="shared" si="175"/>
        <v>11</v>
      </c>
      <c r="Q5355" t="s">
        <v>785</v>
      </c>
      <c r="R5355" t="s">
        <v>805</v>
      </c>
    </row>
    <row r="5356" spans="1:18" x14ac:dyDescent="0.3">
      <c r="A5356" t="s">
        <v>627</v>
      </c>
      <c r="B5356" s="16">
        <v>45604</v>
      </c>
      <c r="C5356" t="s">
        <v>3</v>
      </c>
      <c r="D5356" t="s">
        <v>135</v>
      </c>
      <c r="E5356">
        <v>12</v>
      </c>
      <c r="F5356">
        <v>2</v>
      </c>
      <c r="G5356">
        <v>2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11</v>
      </c>
      <c r="O5356">
        <f t="shared" si="174"/>
        <v>2024</v>
      </c>
      <c r="P5356">
        <f t="shared" si="175"/>
        <v>11</v>
      </c>
      <c r="Q5356" t="s">
        <v>785</v>
      </c>
      <c r="R5356" t="s">
        <v>805</v>
      </c>
    </row>
    <row r="5357" spans="1:18" x14ac:dyDescent="0.3">
      <c r="A5357" t="s">
        <v>627</v>
      </c>
      <c r="B5357" s="16">
        <v>45604</v>
      </c>
      <c r="C5357" t="s">
        <v>3</v>
      </c>
      <c r="D5357" t="s">
        <v>133</v>
      </c>
      <c r="E5357">
        <v>30</v>
      </c>
      <c r="F5357">
        <v>13</v>
      </c>
      <c r="G5357">
        <v>3</v>
      </c>
      <c r="H5357">
        <v>0</v>
      </c>
      <c r="I5357">
        <v>2750</v>
      </c>
      <c r="J5357">
        <v>1</v>
      </c>
      <c r="K5357">
        <v>2750</v>
      </c>
      <c r="L5357">
        <v>1</v>
      </c>
      <c r="M5357">
        <v>5</v>
      </c>
      <c r="N5357">
        <v>28</v>
      </c>
      <c r="O5357">
        <f t="shared" si="174"/>
        <v>2024</v>
      </c>
      <c r="P5357">
        <f t="shared" si="175"/>
        <v>11</v>
      </c>
      <c r="Q5357" t="s">
        <v>785</v>
      </c>
      <c r="R5357" t="s">
        <v>805</v>
      </c>
    </row>
    <row r="5358" spans="1:18" x14ac:dyDescent="0.3">
      <c r="A5358" t="s">
        <v>627</v>
      </c>
      <c r="B5358" s="16">
        <v>45604</v>
      </c>
      <c r="C5358" t="s">
        <v>3</v>
      </c>
      <c r="D5358" t="s">
        <v>130</v>
      </c>
      <c r="E5358">
        <v>108</v>
      </c>
      <c r="F5358">
        <v>45</v>
      </c>
      <c r="G5358">
        <v>11</v>
      </c>
      <c r="H5358">
        <v>5</v>
      </c>
      <c r="I5358">
        <v>51882.01</v>
      </c>
      <c r="J5358">
        <v>5</v>
      </c>
      <c r="K5358">
        <v>46082.01</v>
      </c>
      <c r="L5358">
        <v>5</v>
      </c>
      <c r="M5358">
        <v>33</v>
      </c>
      <c r="N5358">
        <v>100</v>
      </c>
      <c r="O5358">
        <f t="shared" si="174"/>
        <v>2024</v>
      </c>
      <c r="P5358">
        <f t="shared" si="175"/>
        <v>11</v>
      </c>
      <c r="Q5358" t="s">
        <v>785</v>
      </c>
      <c r="R5358" t="s">
        <v>805</v>
      </c>
    </row>
    <row r="5359" spans="1:18" x14ac:dyDescent="0.3">
      <c r="A5359" t="s">
        <v>627</v>
      </c>
      <c r="B5359" s="16">
        <v>45604</v>
      </c>
      <c r="C5359" t="s">
        <v>3</v>
      </c>
      <c r="D5359" t="s">
        <v>128</v>
      </c>
      <c r="E5359">
        <v>1273</v>
      </c>
      <c r="F5359">
        <v>932</v>
      </c>
      <c r="G5359">
        <v>49</v>
      </c>
      <c r="H5359">
        <v>17</v>
      </c>
      <c r="I5359">
        <v>56044</v>
      </c>
      <c r="J5359">
        <v>12</v>
      </c>
      <c r="K5359">
        <v>41954</v>
      </c>
      <c r="L5359">
        <v>10</v>
      </c>
      <c r="M5359">
        <v>302</v>
      </c>
      <c r="N5359">
        <v>1178</v>
      </c>
      <c r="O5359">
        <f t="shared" si="174"/>
        <v>2024</v>
      </c>
      <c r="P5359">
        <f t="shared" si="175"/>
        <v>11</v>
      </c>
      <c r="Q5359" t="s">
        <v>785</v>
      </c>
      <c r="R5359" t="s">
        <v>805</v>
      </c>
    </row>
    <row r="5360" spans="1:18" x14ac:dyDescent="0.3">
      <c r="A5360" t="s">
        <v>627</v>
      </c>
      <c r="B5360" s="16">
        <v>45604</v>
      </c>
      <c r="C5360" t="s">
        <v>3</v>
      </c>
      <c r="D5360" t="s">
        <v>127</v>
      </c>
      <c r="E5360">
        <v>4873</v>
      </c>
      <c r="F5360">
        <v>2705</v>
      </c>
      <c r="G5360">
        <v>102</v>
      </c>
      <c r="H5360">
        <v>37</v>
      </c>
      <c r="I5360">
        <v>55149.5</v>
      </c>
      <c r="J5360">
        <v>12</v>
      </c>
      <c r="K5360">
        <v>28230</v>
      </c>
      <c r="L5360">
        <v>6</v>
      </c>
      <c r="M5360">
        <v>1448</v>
      </c>
      <c r="N5360">
        <v>3756</v>
      </c>
      <c r="O5360">
        <f t="shared" si="174"/>
        <v>2024</v>
      </c>
      <c r="P5360">
        <f t="shared" si="175"/>
        <v>11</v>
      </c>
      <c r="Q5360" t="s">
        <v>785</v>
      </c>
      <c r="R5360" t="s">
        <v>805</v>
      </c>
    </row>
    <row r="5361" spans="1:18" x14ac:dyDescent="0.3">
      <c r="A5361" t="s">
        <v>627</v>
      </c>
      <c r="B5361" s="16">
        <v>45604</v>
      </c>
      <c r="C5361" t="s">
        <v>3</v>
      </c>
      <c r="D5361" t="s">
        <v>126</v>
      </c>
      <c r="E5361">
        <v>137</v>
      </c>
      <c r="F5361">
        <v>96</v>
      </c>
      <c r="G5361">
        <v>10</v>
      </c>
      <c r="H5361">
        <v>0</v>
      </c>
      <c r="I5361">
        <v>1750</v>
      </c>
      <c r="J5361">
        <v>1</v>
      </c>
      <c r="K5361">
        <v>1750</v>
      </c>
      <c r="L5361">
        <v>1</v>
      </c>
      <c r="M5361">
        <v>22</v>
      </c>
      <c r="N5361">
        <v>135</v>
      </c>
      <c r="O5361">
        <f t="shared" si="174"/>
        <v>2024</v>
      </c>
      <c r="P5361">
        <f t="shared" si="175"/>
        <v>11</v>
      </c>
      <c r="Q5361" t="s">
        <v>785</v>
      </c>
      <c r="R5361" t="s">
        <v>805</v>
      </c>
    </row>
    <row r="5362" spans="1:18" x14ac:dyDescent="0.3">
      <c r="A5362" t="s">
        <v>627</v>
      </c>
      <c r="B5362" s="16">
        <v>45604</v>
      </c>
      <c r="C5362" t="s">
        <v>3</v>
      </c>
      <c r="D5362" t="s">
        <v>125</v>
      </c>
      <c r="E5362">
        <v>5</v>
      </c>
      <c r="F5362">
        <v>3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1</v>
      </c>
      <c r="N5362">
        <v>5</v>
      </c>
      <c r="O5362">
        <f t="shared" si="174"/>
        <v>2024</v>
      </c>
      <c r="P5362">
        <f t="shared" si="175"/>
        <v>11</v>
      </c>
      <c r="Q5362" t="s">
        <v>785</v>
      </c>
      <c r="R5362" t="s">
        <v>805</v>
      </c>
    </row>
    <row r="5363" spans="1:18" x14ac:dyDescent="0.3">
      <c r="A5363" t="s">
        <v>627</v>
      </c>
      <c r="B5363" s="16">
        <v>45604</v>
      </c>
      <c r="C5363" t="s">
        <v>3</v>
      </c>
      <c r="D5363" t="s">
        <v>123</v>
      </c>
      <c r="E5363">
        <v>338</v>
      </c>
      <c r="F5363">
        <v>154</v>
      </c>
      <c r="G5363">
        <v>30</v>
      </c>
      <c r="H5363">
        <v>10</v>
      </c>
      <c r="I5363">
        <v>18300</v>
      </c>
      <c r="J5363">
        <v>4</v>
      </c>
      <c r="K5363">
        <v>10033</v>
      </c>
      <c r="L5363">
        <v>3</v>
      </c>
      <c r="M5363">
        <v>114</v>
      </c>
      <c r="N5363">
        <v>303</v>
      </c>
      <c r="O5363">
        <f t="shared" si="174"/>
        <v>2024</v>
      </c>
      <c r="P5363">
        <f t="shared" si="175"/>
        <v>11</v>
      </c>
      <c r="Q5363" t="s">
        <v>785</v>
      </c>
      <c r="R5363" t="s">
        <v>805</v>
      </c>
    </row>
    <row r="5364" spans="1:18" x14ac:dyDescent="0.3">
      <c r="A5364" t="s">
        <v>627</v>
      </c>
      <c r="B5364" s="16">
        <v>45604</v>
      </c>
      <c r="C5364" t="s">
        <v>3</v>
      </c>
      <c r="D5364" t="s">
        <v>121</v>
      </c>
      <c r="E5364">
        <v>1</v>
      </c>
      <c r="F5364">
        <v>1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1</v>
      </c>
      <c r="O5364">
        <f t="shared" si="174"/>
        <v>2024</v>
      </c>
      <c r="P5364">
        <f t="shared" si="175"/>
        <v>11</v>
      </c>
      <c r="Q5364" t="s">
        <v>785</v>
      </c>
      <c r="R5364" t="s">
        <v>805</v>
      </c>
    </row>
    <row r="5365" spans="1:18" x14ac:dyDescent="0.3">
      <c r="A5365" t="s">
        <v>627</v>
      </c>
      <c r="B5365" s="16">
        <v>45604</v>
      </c>
      <c r="C5365" t="s">
        <v>3</v>
      </c>
      <c r="D5365" t="s">
        <v>119</v>
      </c>
      <c r="E5365">
        <v>377</v>
      </c>
      <c r="F5365">
        <v>86</v>
      </c>
      <c r="G5365">
        <v>27</v>
      </c>
      <c r="H5365">
        <v>8</v>
      </c>
      <c r="I5365">
        <v>42591.5</v>
      </c>
      <c r="J5365">
        <v>12</v>
      </c>
      <c r="K5365">
        <v>32459</v>
      </c>
      <c r="L5365">
        <v>11</v>
      </c>
      <c r="M5365">
        <v>76</v>
      </c>
      <c r="N5365">
        <v>362</v>
      </c>
      <c r="O5365">
        <f t="shared" si="174"/>
        <v>2024</v>
      </c>
      <c r="P5365">
        <f t="shared" si="175"/>
        <v>11</v>
      </c>
      <c r="Q5365" t="s">
        <v>785</v>
      </c>
      <c r="R5365" t="s">
        <v>805</v>
      </c>
    </row>
    <row r="5366" spans="1:18" x14ac:dyDescent="0.3">
      <c r="A5366" t="s">
        <v>627</v>
      </c>
      <c r="B5366" s="16">
        <v>45604</v>
      </c>
      <c r="C5366" t="s">
        <v>3</v>
      </c>
      <c r="D5366" t="s">
        <v>252</v>
      </c>
      <c r="E5366">
        <v>2</v>
      </c>
      <c r="F5366">
        <v>1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2</v>
      </c>
      <c r="O5366">
        <f t="shared" si="174"/>
        <v>2024</v>
      </c>
      <c r="P5366">
        <f t="shared" si="175"/>
        <v>11</v>
      </c>
      <c r="Q5366" t="s">
        <v>785</v>
      </c>
      <c r="R5366" t="s">
        <v>805</v>
      </c>
    </row>
    <row r="5367" spans="1:18" x14ac:dyDescent="0.3">
      <c r="A5367" t="s">
        <v>627</v>
      </c>
      <c r="B5367" s="16">
        <v>45604</v>
      </c>
      <c r="C5367" t="s">
        <v>3</v>
      </c>
      <c r="D5367" t="s">
        <v>117</v>
      </c>
      <c r="E5367">
        <v>14</v>
      </c>
      <c r="F5367">
        <v>12</v>
      </c>
      <c r="G5367">
        <v>0</v>
      </c>
      <c r="H5367">
        <v>1</v>
      </c>
      <c r="I5367">
        <v>0</v>
      </c>
      <c r="J5367">
        <v>0</v>
      </c>
      <c r="K5367">
        <v>0</v>
      </c>
      <c r="L5367">
        <v>0</v>
      </c>
      <c r="M5367">
        <v>1</v>
      </c>
      <c r="N5367">
        <v>14</v>
      </c>
      <c r="O5367">
        <f t="shared" si="174"/>
        <v>2024</v>
      </c>
      <c r="P5367">
        <f t="shared" si="175"/>
        <v>11</v>
      </c>
      <c r="Q5367" t="s">
        <v>785</v>
      </c>
      <c r="R5367" t="s">
        <v>805</v>
      </c>
    </row>
    <row r="5368" spans="1:18" x14ac:dyDescent="0.3">
      <c r="A5368" t="s">
        <v>627</v>
      </c>
      <c r="B5368" s="16">
        <v>45604</v>
      </c>
      <c r="C5368" t="s">
        <v>3</v>
      </c>
      <c r="D5368" t="s">
        <v>115</v>
      </c>
      <c r="E5368">
        <v>7</v>
      </c>
      <c r="F5368">
        <v>4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7</v>
      </c>
      <c r="O5368">
        <f t="shared" si="174"/>
        <v>2024</v>
      </c>
      <c r="P5368">
        <f t="shared" si="175"/>
        <v>11</v>
      </c>
      <c r="Q5368" t="s">
        <v>785</v>
      </c>
      <c r="R5368" t="s">
        <v>805</v>
      </c>
    </row>
    <row r="5369" spans="1:18" x14ac:dyDescent="0.3">
      <c r="A5369" t="s">
        <v>627</v>
      </c>
      <c r="B5369" s="16">
        <v>45604</v>
      </c>
      <c r="C5369" t="s">
        <v>3</v>
      </c>
      <c r="D5369" t="s">
        <v>114</v>
      </c>
      <c r="E5369">
        <v>185</v>
      </c>
      <c r="F5369">
        <v>85</v>
      </c>
      <c r="G5369">
        <v>3</v>
      </c>
      <c r="H5369">
        <v>2</v>
      </c>
      <c r="I5369">
        <v>2610</v>
      </c>
      <c r="J5369">
        <v>1</v>
      </c>
      <c r="K5369">
        <v>2610</v>
      </c>
      <c r="L5369">
        <v>1</v>
      </c>
      <c r="M5369">
        <v>13</v>
      </c>
      <c r="N5369">
        <v>178</v>
      </c>
      <c r="O5369">
        <f t="shared" si="174"/>
        <v>2024</v>
      </c>
      <c r="P5369">
        <f t="shared" si="175"/>
        <v>11</v>
      </c>
      <c r="Q5369" t="s">
        <v>785</v>
      </c>
      <c r="R5369" t="s">
        <v>805</v>
      </c>
    </row>
    <row r="5370" spans="1:18" x14ac:dyDescent="0.3">
      <c r="A5370" t="s">
        <v>627</v>
      </c>
      <c r="B5370" s="16">
        <v>45604</v>
      </c>
      <c r="C5370" t="s">
        <v>3</v>
      </c>
      <c r="D5370" t="s">
        <v>113</v>
      </c>
      <c r="E5370">
        <v>106</v>
      </c>
      <c r="F5370">
        <v>43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85</v>
      </c>
      <c r="N5370">
        <v>66</v>
      </c>
      <c r="O5370">
        <f t="shared" si="174"/>
        <v>2024</v>
      </c>
      <c r="P5370">
        <f t="shared" si="175"/>
        <v>11</v>
      </c>
      <c r="Q5370" t="s">
        <v>785</v>
      </c>
      <c r="R5370" t="s">
        <v>805</v>
      </c>
    </row>
    <row r="5371" spans="1:18" x14ac:dyDescent="0.3">
      <c r="A5371" t="s">
        <v>627</v>
      </c>
      <c r="B5371" s="16">
        <v>45604</v>
      </c>
      <c r="C5371" t="s">
        <v>3</v>
      </c>
      <c r="D5371" t="s">
        <v>112</v>
      </c>
      <c r="E5371">
        <v>11</v>
      </c>
      <c r="F5371">
        <v>2</v>
      </c>
      <c r="G5371">
        <v>1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1</v>
      </c>
      <c r="N5371">
        <v>11</v>
      </c>
      <c r="O5371">
        <f t="shared" si="174"/>
        <v>2024</v>
      </c>
      <c r="P5371">
        <f t="shared" si="175"/>
        <v>11</v>
      </c>
      <c r="Q5371" t="s">
        <v>785</v>
      </c>
      <c r="R5371" t="s">
        <v>805</v>
      </c>
    </row>
    <row r="5372" spans="1:18" x14ac:dyDescent="0.3">
      <c r="A5372" t="s">
        <v>627</v>
      </c>
      <c r="B5372" s="16">
        <v>45603</v>
      </c>
      <c r="C5372" t="s">
        <v>2</v>
      </c>
      <c r="D5372" t="s">
        <v>4</v>
      </c>
      <c r="E5372">
        <v>293</v>
      </c>
      <c r="F5372">
        <v>95</v>
      </c>
      <c r="G5372">
        <v>4</v>
      </c>
      <c r="H5372">
        <v>2</v>
      </c>
      <c r="I5372">
        <v>1990</v>
      </c>
      <c r="J5372">
        <v>1</v>
      </c>
      <c r="K5372">
        <v>1990</v>
      </c>
      <c r="L5372">
        <v>1</v>
      </c>
      <c r="M5372">
        <v>23</v>
      </c>
      <c r="N5372">
        <v>286</v>
      </c>
      <c r="O5372">
        <f t="shared" si="174"/>
        <v>2024</v>
      </c>
      <c r="P5372">
        <f t="shared" si="175"/>
        <v>11</v>
      </c>
      <c r="Q5372" t="s">
        <v>785</v>
      </c>
      <c r="R5372" t="s">
        <v>805</v>
      </c>
    </row>
    <row r="5373" spans="1:18" x14ac:dyDescent="0.3">
      <c r="A5373" t="s">
        <v>627</v>
      </c>
      <c r="B5373" s="16">
        <v>45603</v>
      </c>
      <c r="C5373" t="s">
        <v>2</v>
      </c>
      <c r="D5373" t="s">
        <v>57</v>
      </c>
      <c r="E5373">
        <v>10926</v>
      </c>
      <c r="F5373">
        <v>5961</v>
      </c>
      <c r="G5373">
        <v>269</v>
      </c>
      <c r="H5373">
        <v>134</v>
      </c>
      <c r="I5373">
        <v>172687</v>
      </c>
      <c r="J5373">
        <v>32</v>
      </c>
      <c r="K5373">
        <v>93559.5</v>
      </c>
      <c r="L5373">
        <v>22</v>
      </c>
      <c r="M5373">
        <v>845</v>
      </c>
      <c r="N5373">
        <v>10887</v>
      </c>
      <c r="O5373">
        <f t="shared" si="174"/>
        <v>2024</v>
      </c>
      <c r="P5373">
        <f t="shared" si="175"/>
        <v>11</v>
      </c>
      <c r="Q5373" t="s">
        <v>785</v>
      </c>
      <c r="R5373" t="s">
        <v>805</v>
      </c>
    </row>
    <row r="5374" spans="1:18" x14ac:dyDescent="0.3">
      <c r="A5374" t="s">
        <v>627</v>
      </c>
      <c r="B5374" s="16">
        <v>45603</v>
      </c>
      <c r="C5374" t="s">
        <v>2</v>
      </c>
      <c r="D5374" t="s">
        <v>52</v>
      </c>
      <c r="E5374">
        <v>1100</v>
      </c>
      <c r="F5374">
        <v>909</v>
      </c>
      <c r="G5374">
        <v>13</v>
      </c>
      <c r="H5374">
        <v>4</v>
      </c>
      <c r="I5374">
        <v>25343</v>
      </c>
      <c r="J5374">
        <v>9</v>
      </c>
      <c r="K5374">
        <v>16328</v>
      </c>
      <c r="L5374">
        <v>7</v>
      </c>
      <c r="M5374">
        <v>1100</v>
      </c>
      <c r="N5374">
        <v>417</v>
      </c>
      <c r="O5374">
        <f t="shared" si="174"/>
        <v>2024</v>
      </c>
      <c r="P5374">
        <f t="shared" si="175"/>
        <v>11</v>
      </c>
      <c r="Q5374" t="s">
        <v>785</v>
      </c>
      <c r="R5374" t="s">
        <v>805</v>
      </c>
    </row>
    <row r="5375" spans="1:18" x14ac:dyDescent="0.3">
      <c r="A5375" t="s">
        <v>627</v>
      </c>
      <c r="B5375" s="16">
        <v>45603</v>
      </c>
      <c r="C5375" t="s">
        <v>2</v>
      </c>
      <c r="D5375" t="s">
        <v>55</v>
      </c>
      <c r="E5375">
        <v>1917</v>
      </c>
      <c r="F5375">
        <v>1391</v>
      </c>
      <c r="G5375">
        <v>13</v>
      </c>
      <c r="H5375">
        <v>4</v>
      </c>
      <c r="I5375">
        <v>0</v>
      </c>
      <c r="J5375">
        <v>0</v>
      </c>
      <c r="K5375">
        <v>0</v>
      </c>
      <c r="L5375">
        <v>0</v>
      </c>
      <c r="M5375">
        <v>58</v>
      </c>
      <c r="N5375">
        <v>546</v>
      </c>
      <c r="O5375">
        <f t="shared" si="174"/>
        <v>2024</v>
      </c>
      <c r="P5375">
        <f t="shared" si="175"/>
        <v>11</v>
      </c>
      <c r="Q5375" t="s">
        <v>785</v>
      </c>
      <c r="R5375" t="s">
        <v>805</v>
      </c>
    </row>
    <row r="5376" spans="1:18" x14ac:dyDescent="0.3">
      <c r="A5376" t="s">
        <v>627</v>
      </c>
      <c r="B5376" s="16">
        <v>45603</v>
      </c>
      <c r="C5376" t="s">
        <v>3</v>
      </c>
      <c r="D5376" t="s">
        <v>156</v>
      </c>
      <c r="E5376">
        <v>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f t="shared" si="174"/>
        <v>2024</v>
      </c>
      <c r="P5376">
        <f t="shared" si="175"/>
        <v>11</v>
      </c>
      <c r="Q5376" t="s">
        <v>785</v>
      </c>
      <c r="R5376" t="s">
        <v>805</v>
      </c>
    </row>
    <row r="5377" spans="1:18" x14ac:dyDescent="0.3">
      <c r="A5377" t="s">
        <v>627</v>
      </c>
      <c r="B5377" s="16">
        <v>45603</v>
      </c>
      <c r="C5377" t="s">
        <v>3</v>
      </c>
      <c r="D5377" t="s">
        <v>155</v>
      </c>
      <c r="E5377">
        <v>10</v>
      </c>
      <c r="F5377">
        <v>7</v>
      </c>
      <c r="G5377">
        <v>1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2</v>
      </c>
      <c r="N5377">
        <v>10</v>
      </c>
      <c r="O5377">
        <f t="shared" si="174"/>
        <v>2024</v>
      </c>
      <c r="P5377">
        <f t="shared" si="175"/>
        <v>11</v>
      </c>
      <c r="Q5377" t="s">
        <v>785</v>
      </c>
      <c r="R5377" t="s">
        <v>805</v>
      </c>
    </row>
    <row r="5378" spans="1:18" x14ac:dyDescent="0.3">
      <c r="A5378" t="s">
        <v>627</v>
      </c>
      <c r="B5378" s="16">
        <v>45603</v>
      </c>
      <c r="C5378" t="s">
        <v>3</v>
      </c>
      <c r="D5378" t="s">
        <v>154</v>
      </c>
      <c r="E5378">
        <v>925</v>
      </c>
      <c r="F5378">
        <v>805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f t="shared" si="174"/>
        <v>2024</v>
      </c>
      <c r="P5378">
        <f t="shared" si="175"/>
        <v>11</v>
      </c>
      <c r="Q5378" t="s">
        <v>785</v>
      </c>
      <c r="R5378" t="s">
        <v>805</v>
      </c>
    </row>
    <row r="5379" spans="1:18" x14ac:dyDescent="0.3">
      <c r="A5379" t="s">
        <v>627</v>
      </c>
      <c r="B5379" s="16">
        <v>45603</v>
      </c>
      <c r="C5379" t="s">
        <v>3</v>
      </c>
      <c r="D5379" t="s">
        <v>153</v>
      </c>
      <c r="E5379">
        <v>512</v>
      </c>
      <c r="F5379">
        <v>96</v>
      </c>
      <c r="G5379">
        <v>39</v>
      </c>
      <c r="H5379">
        <v>6</v>
      </c>
      <c r="I5379">
        <v>130888.5</v>
      </c>
      <c r="J5379">
        <v>23</v>
      </c>
      <c r="K5379">
        <v>117308.5</v>
      </c>
      <c r="L5379">
        <v>21</v>
      </c>
      <c r="M5379">
        <v>109</v>
      </c>
      <c r="N5379">
        <v>500</v>
      </c>
      <c r="O5379">
        <f t="shared" si="174"/>
        <v>2024</v>
      </c>
      <c r="P5379">
        <f t="shared" si="175"/>
        <v>11</v>
      </c>
      <c r="Q5379" t="s">
        <v>785</v>
      </c>
      <c r="R5379" t="s">
        <v>805</v>
      </c>
    </row>
    <row r="5380" spans="1:18" x14ac:dyDescent="0.3">
      <c r="A5380" t="s">
        <v>627</v>
      </c>
      <c r="B5380" s="16">
        <v>45603</v>
      </c>
      <c r="C5380" t="s">
        <v>3</v>
      </c>
      <c r="D5380" t="s">
        <v>152</v>
      </c>
      <c r="E5380">
        <v>40</v>
      </c>
      <c r="F5380">
        <v>32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3</v>
      </c>
      <c r="O5380">
        <f t="shared" si="174"/>
        <v>2024</v>
      </c>
      <c r="P5380">
        <f t="shared" si="175"/>
        <v>11</v>
      </c>
      <c r="Q5380" t="s">
        <v>785</v>
      </c>
      <c r="R5380" t="s">
        <v>805</v>
      </c>
    </row>
    <row r="5381" spans="1:18" x14ac:dyDescent="0.3">
      <c r="A5381" t="s">
        <v>627</v>
      </c>
      <c r="B5381" s="16">
        <v>45603</v>
      </c>
      <c r="C5381" t="s">
        <v>3</v>
      </c>
      <c r="D5381" t="s">
        <v>150</v>
      </c>
      <c r="E5381">
        <v>3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2</v>
      </c>
      <c r="O5381">
        <f t="shared" si="174"/>
        <v>2024</v>
      </c>
      <c r="P5381">
        <f t="shared" si="175"/>
        <v>11</v>
      </c>
      <c r="Q5381" t="s">
        <v>785</v>
      </c>
      <c r="R5381" t="s">
        <v>805</v>
      </c>
    </row>
    <row r="5382" spans="1:18" x14ac:dyDescent="0.3">
      <c r="A5382" t="s">
        <v>627</v>
      </c>
      <c r="B5382" s="16">
        <v>45603</v>
      </c>
      <c r="C5382" t="s">
        <v>3</v>
      </c>
      <c r="D5382" t="s">
        <v>149</v>
      </c>
      <c r="E5382">
        <v>40</v>
      </c>
      <c r="F5382">
        <v>32</v>
      </c>
      <c r="G5382">
        <v>1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1</v>
      </c>
      <c r="N5382">
        <v>9</v>
      </c>
      <c r="O5382">
        <f t="shared" si="174"/>
        <v>2024</v>
      </c>
      <c r="P5382">
        <f t="shared" si="175"/>
        <v>11</v>
      </c>
      <c r="Q5382" t="s">
        <v>785</v>
      </c>
      <c r="R5382" t="s">
        <v>805</v>
      </c>
    </row>
    <row r="5383" spans="1:18" x14ac:dyDescent="0.3">
      <c r="A5383" t="s">
        <v>627</v>
      </c>
      <c r="B5383" s="16">
        <v>45603</v>
      </c>
      <c r="C5383" t="s">
        <v>3</v>
      </c>
      <c r="D5383" t="s">
        <v>148</v>
      </c>
      <c r="E5383">
        <v>3</v>
      </c>
      <c r="F5383">
        <v>2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3</v>
      </c>
      <c r="O5383">
        <f t="shared" si="174"/>
        <v>2024</v>
      </c>
      <c r="P5383">
        <f t="shared" si="175"/>
        <v>11</v>
      </c>
      <c r="Q5383" t="s">
        <v>785</v>
      </c>
      <c r="R5383" t="s">
        <v>805</v>
      </c>
    </row>
    <row r="5384" spans="1:18" x14ac:dyDescent="0.3">
      <c r="A5384" t="s">
        <v>627</v>
      </c>
      <c r="B5384" s="16">
        <v>45603</v>
      </c>
      <c r="C5384" t="s">
        <v>3</v>
      </c>
      <c r="D5384" t="s">
        <v>251</v>
      </c>
      <c r="E5384">
        <v>8523</v>
      </c>
      <c r="F5384">
        <v>8043</v>
      </c>
      <c r="G5384">
        <v>21</v>
      </c>
      <c r="H5384">
        <v>7</v>
      </c>
      <c r="I5384">
        <v>31077</v>
      </c>
      <c r="J5384">
        <v>8</v>
      </c>
      <c r="K5384">
        <v>26629.5</v>
      </c>
      <c r="L5384">
        <v>8</v>
      </c>
      <c r="M5384">
        <v>86</v>
      </c>
      <c r="N5384">
        <v>403</v>
      </c>
      <c r="O5384">
        <f t="shared" si="174"/>
        <v>2024</v>
      </c>
      <c r="P5384">
        <f t="shared" si="175"/>
        <v>11</v>
      </c>
      <c r="Q5384" t="s">
        <v>785</v>
      </c>
      <c r="R5384" t="s">
        <v>805</v>
      </c>
    </row>
    <row r="5385" spans="1:18" x14ac:dyDescent="0.3">
      <c r="A5385" t="s">
        <v>627</v>
      </c>
      <c r="B5385" s="16">
        <v>45603</v>
      </c>
      <c r="C5385" t="s">
        <v>3</v>
      </c>
      <c r="D5385" t="s">
        <v>143</v>
      </c>
      <c r="E5385">
        <v>23</v>
      </c>
      <c r="F5385">
        <v>21</v>
      </c>
      <c r="G5385">
        <v>1</v>
      </c>
      <c r="H5385">
        <v>1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23</v>
      </c>
      <c r="O5385">
        <f t="shared" ref="O5385:O5448" si="176">YEAR(B5385)</f>
        <v>2024</v>
      </c>
      <c r="P5385">
        <f t="shared" ref="P5385:P5448" si="177">MONTH(B5385)</f>
        <v>11</v>
      </c>
      <c r="Q5385" t="s">
        <v>785</v>
      </c>
      <c r="R5385" t="s">
        <v>805</v>
      </c>
    </row>
    <row r="5386" spans="1:18" x14ac:dyDescent="0.3">
      <c r="A5386" t="s">
        <v>627</v>
      </c>
      <c r="B5386" s="16">
        <v>45603</v>
      </c>
      <c r="C5386" t="s">
        <v>3</v>
      </c>
      <c r="D5386" t="s">
        <v>141</v>
      </c>
      <c r="E5386">
        <v>1</v>
      </c>
      <c r="F5386">
        <v>1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1</v>
      </c>
      <c r="O5386">
        <f t="shared" si="176"/>
        <v>2024</v>
      </c>
      <c r="P5386">
        <f t="shared" si="177"/>
        <v>11</v>
      </c>
      <c r="Q5386" t="s">
        <v>785</v>
      </c>
      <c r="R5386" t="s">
        <v>805</v>
      </c>
    </row>
    <row r="5387" spans="1:18" x14ac:dyDescent="0.3">
      <c r="A5387" t="s">
        <v>627</v>
      </c>
      <c r="B5387" s="16">
        <v>45603</v>
      </c>
      <c r="C5387" t="s">
        <v>3</v>
      </c>
      <c r="D5387" t="s">
        <v>140</v>
      </c>
      <c r="E5387">
        <v>9</v>
      </c>
      <c r="F5387">
        <v>8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1</v>
      </c>
      <c r="N5387">
        <v>6</v>
      </c>
      <c r="O5387">
        <f t="shared" si="176"/>
        <v>2024</v>
      </c>
      <c r="P5387">
        <f t="shared" si="177"/>
        <v>11</v>
      </c>
      <c r="Q5387" t="s">
        <v>785</v>
      </c>
      <c r="R5387" t="s">
        <v>805</v>
      </c>
    </row>
    <row r="5388" spans="1:18" x14ac:dyDescent="0.3">
      <c r="A5388" t="s">
        <v>627</v>
      </c>
      <c r="B5388" s="16">
        <v>45603</v>
      </c>
      <c r="C5388" t="s">
        <v>3</v>
      </c>
      <c r="D5388" t="s">
        <v>139</v>
      </c>
      <c r="E5388">
        <v>1963</v>
      </c>
      <c r="F5388">
        <v>1189</v>
      </c>
      <c r="G5388">
        <v>59</v>
      </c>
      <c r="H5388">
        <v>23</v>
      </c>
      <c r="I5388">
        <v>121681</v>
      </c>
      <c r="J5388">
        <v>22</v>
      </c>
      <c r="K5388">
        <v>86449</v>
      </c>
      <c r="L5388">
        <v>18</v>
      </c>
      <c r="M5388">
        <v>443</v>
      </c>
      <c r="N5388">
        <v>1692</v>
      </c>
      <c r="O5388">
        <f t="shared" si="176"/>
        <v>2024</v>
      </c>
      <c r="P5388">
        <f t="shared" si="177"/>
        <v>11</v>
      </c>
      <c r="Q5388" t="s">
        <v>785</v>
      </c>
      <c r="R5388" t="s">
        <v>805</v>
      </c>
    </row>
    <row r="5389" spans="1:18" x14ac:dyDescent="0.3">
      <c r="A5389" t="s">
        <v>627</v>
      </c>
      <c r="B5389" s="16">
        <v>45603</v>
      </c>
      <c r="C5389" t="s">
        <v>3</v>
      </c>
      <c r="D5389" t="s">
        <v>138</v>
      </c>
      <c r="E5389">
        <v>28</v>
      </c>
      <c r="F5389">
        <v>17</v>
      </c>
      <c r="G5389">
        <v>1</v>
      </c>
      <c r="H5389">
        <v>0</v>
      </c>
      <c r="I5389">
        <v>2457</v>
      </c>
      <c r="J5389">
        <v>1</v>
      </c>
      <c r="K5389">
        <v>0</v>
      </c>
      <c r="L5389">
        <v>0</v>
      </c>
      <c r="M5389">
        <v>2</v>
      </c>
      <c r="N5389">
        <v>28</v>
      </c>
      <c r="O5389">
        <f t="shared" si="176"/>
        <v>2024</v>
      </c>
      <c r="P5389">
        <f t="shared" si="177"/>
        <v>11</v>
      </c>
      <c r="Q5389" t="s">
        <v>785</v>
      </c>
      <c r="R5389" t="s">
        <v>805</v>
      </c>
    </row>
    <row r="5390" spans="1:18" x14ac:dyDescent="0.3">
      <c r="A5390" t="s">
        <v>627</v>
      </c>
      <c r="B5390" s="16">
        <v>45603</v>
      </c>
      <c r="C5390" t="s">
        <v>3</v>
      </c>
      <c r="D5390" t="s">
        <v>137</v>
      </c>
      <c r="E5390">
        <v>6</v>
      </c>
      <c r="F5390">
        <v>5</v>
      </c>
      <c r="G5390">
        <v>1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1</v>
      </c>
      <c r="N5390">
        <v>6</v>
      </c>
      <c r="O5390">
        <f t="shared" si="176"/>
        <v>2024</v>
      </c>
      <c r="P5390">
        <f t="shared" si="177"/>
        <v>11</v>
      </c>
      <c r="Q5390" t="s">
        <v>785</v>
      </c>
      <c r="R5390" t="s">
        <v>805</v>
      </c>
    </row>
    <row r="5391" spans="1:18" x14ac:dyDescent="0.3">
      <c r="A5391" t="s">
        <v>627</v>
      </c>
      <c r="B5391" s="16">
        <v>45603</v>
      </c>
      <c r="C5391" t="s">
        <v>3</v>
      </c>
      <c r="D5391" t="s">
        <v>135</v>
      </c>
      <c r="E5391">
        <v>22</v>
      </c>
      <c r="F5391">
        <v>13</v>
      </c>
      <c r="G5391">
        <v>1</v>
      </c>
      <c r="H5391">
        <v>0</v>
      </c>
      <c r="I5391">
        <v>3450</v>
      </c>
      <c r="J5391">
        <v>1</v>
      </c>
      <c r="K5391">
        <v>3450</v>
      </c>
      <c r="L5391">
        <v>1</v>
      </c>
      <c r="M5391">
        <v>0</v>
      </c>
      <c r="N5391">
        <v>10</v>
      </c>
      <c r="O5391">
        <f t="shared" si="176"/>
        <v>2024</v>
      </c>
      <c r="P5391">
        <f t="shared" si="177"/>
        <v>11</v>
      </c>
      <c r="Q5391" t="s">
        <v>785</v>
      </c>
      <c r="R5391" t="s">
        <v>805</v>
      </c>
    </row>
    <row r="5392" spans="1:18" x14ac:dyDescent="0.3">
      <c r="A5392" t="s">
        <v>627</v>
      </c>
      <c r="B5392" s="16">
        <v>45603</v>
      </c>
      <c r="C5392" t="s">
        <v>3</v>
      </c>
      <c r="D5392" t="s">
        <v>133</v>
      </c>
      <c r="E5392">
        <v>29</v>
      </c>
      <c r="F5392">
        <v>14</v>
      </c>
      <c r="G5392">
        <v>1</v>
      </c>
      <c r="H5392">
        <v>0</v>
      </c>
      <c r="I5392">
        <v>1980</v>
      </c>
      <c r="J5392">
        <v>1</v>
      </c>
      <c r="K5392">
        <v>1980</v>
      </c>
      <c r="L5392">
        <v>1</v>
      </c>
      <c r="M5392">
        <v>1</v>
      </c>
      <c r="N5392">
        <v>26</v>
      </c>
      <c r="O5392">
        <f t="shared" si="176"/>
        <v>2024</v>
      </c>
      <c r="P5392">
        <f t="shared" si="177"/>
        <v>11</v>
      </c>
      <c r="Q5392" t="s">
        <v>785</v>
      </c>
      <c r="R5392" t="s">
        <v>805</v>
      </c>
    </row>
    <row r="5393" spans="1:18" x14ac:dyDescent="0.3">
      <c r="A5393" t="s">
        <v>627</v>
      </c>
      <c r="B5393" s="16">
        <v>45603</v>
      </c>
      <c r="C5393" t="s">
        <v>3</v>
      </c>
      <c r="D5393" t="s">
        <v>130</v>
      </c>
      <c r="E5393">
        <v>127</v>
      </c>
      <c r="F5393">
        <v>46</v>
      </c>
      <c r="G5393">
        <v>15</v>
      </c>
      <c r="H5393">
        <v>3</v>
      </c>
      <c r="I5393">
        <v>45702</v>
      </c>
      <c r="J5393">
        <v>8</v>
      </c>
      <c r="K5393">
        <v>37294.5</v>
      </c>
      <c r="L5393">
        <v>8</v>
      </c>
      <c r="M5393">
        <v>40</v>
      </c>
      <c r="N5393">
        <v>124</v>
      </c>
      <c r="O5393">
        <f t="shared" si="176"/>
        <v>2024</v>
      </c>
      <c r="P5393">
        <f t="shared" si="177"/>
        <v>11</v>
      </c>
      <c r="Q5393" t="s">
        <v>785</v>
      </c>
      <c r="R5393" t="s">
        <v>805</v>
      </c>
    </row>
    <row r="5394" spans="1:18" x14ac:dyDescent="0.3">
      <c r="A5394" t="s">
        <v>627</v>
      </c>
      <c r="B5394" s="16">
        <v>45603</v>
      </c>
      <c r="C5394" t="s">
        <v>3</v>
      </c>
      <c r="D5394" t="s">
        <v>128</v>
      </c>
      <c r="E5394">
        <v>1219</v>
      </c>
      <c r="F5394">
        <v>896</v>
      </c>
      <c r="G5394">
        <v>40</v>
      </c>
      <c r="H5394">
        <v>15</v>
      </c>
      <c r="I5394">
        <v>28753</v>
      </c>
      <c r="J5394">
        <v>9</v>
      </c>
      <c r="K5394">
        <v>25015</v>
      </c>
      <c r="L5394">
        <v>7</v>
      </c>
      <c r="M5394">
        <v>314</v>
      </c>
      <c r="N5394">
        <v>1057</v>
      </c>
      <c r="O5394">
        <f t="shared" si="176"/>
        <v>2024</v>
      </c>
      <c r="P5394">
        <f t="shared" si="177"/>
        <v>11</v>
      </c>
      <c r="Q5394" t="s">
        <v>785</v>
      </c>
      <c r="R5394" t="s">
        <v>805</v>
      </c>
    </row>
    <row r="5395" spans="1:18" x14ac:dyDescent="0.3">
      <c r="A5395" t="s">
        <v>627</v>
      </c>
      <c r="B5395" s="16">
        <v>45603</v>
      </c>
      <c r="C5395" t="s">
        <v>3</v>
      </c>
      <c r="D5395" t="s">
        <v>127</v>
      </c>
      <c r="E5395">
        <v>8308</v>
      </c>
      <c r="F5395">
        <v>5347</v>
      </c>
      <c r="G5395">
        <v>122</v>
      </c>
      <c r="H5395">
        <v>36</v>
      </c>
      <c r="I5395">
        <v>80134.5</v>
      </c>
      <c r="J5395">
        <v>17</v>
      </c>
      <c r="K5395">
        <v>57935</v>
      </c>
      <c r="L5395">
        <v>10</v>
      </c>
      <c r="M5395">
        <v>1395</v>
      </c>
      <c r="N5395">
        <v>5050</v>
      </c>
      <c r="O5395">
        <f t="shared" si="176"/>
        <v>2024</v>
      </c>
      <c r="P5395">
        <f t="shared" si="177"/>
        <v>11</v>
      </c>
      <c r="Q5395" t="s">
        <v>785</v>
      </c>
      <c r="R5395" t="s">
        <v>805</v>
      </c>
    </row>
    <row r="5396" spans="1:18" x14ac:dyDescent="0.3">
      <c r="A5396" t="s">
        <v>627</v>
      </c>
      <c r="B5396" s="16">
        <v>45603</v>
      </c>
      <c r="C5396" t="s">
        <v>3</v>
      </c>
      <c r="D5396" t="s">
        <v>126</v>
      </c>
      <c r="E5396">
        <v>151</v>
      </c>
      <c r="F5396">
        <v>94</v>
      </c>
      <c r="G5396">
        <v>4</v>
      </c>
      <c r="H5396">
        <v>0</v>
      </c>
      <c r="I5396">
        <v>12795</v>
      </c>
      <c r="J5396">
        <v>2</v>
      </c>
      <c r="K5396">
        <v>4447.5</v>
      </c>
      <c r="L5396">
        <v>1</v>
      </c>
      <c r="M5396">
        <v>20</v>
      </c>
      <c r="N5396">
        <v>150</v>
      </c>
      <c r="O5396">
        <f t="shared" si="176"/>
        <v>2024</v>
      </c>
      <c r="P5396">
        <f t="shared" si="177"/>
        <v>11</v>
      </c>
      <c r="Q5396" t="s">
        <v>785</v>
      </c>
      <c r="R5396" t="s">
        <v>805</v>
      </c>
    </row>
    <row r="5397" spans="1:18" x14ac:dyDescent="0.3">
      <c r="A5397" t="s">
        <v>627</v>
      </c>
      <c r="B5397" s="16">
        <v>45603</v>
      </c>
      <c r="C5397" t="s">
        <v>3</v>
      </c>
      <c r="D5397" t="s">
        <v>125</v>
      </c>
      <c r="E5397">
        <v>6</v>
      </c>
      <c r="F5397">
        <v>2</v>
      </c>
      <c r="G5397">
        <v>2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5</v>
      </c>
      <c r="N5397">
        <v>6</v>
      </c>
      <c r="O5397">
        <f t="shared" si="176"/>
        <v>2024</v>
      </c>
      <c r="P5397">
        <f t="shared" si="177"/>
        <v>11</v>
      </c>
      <c r="Q5397" t="s">
        <v>785</v>
      </c>
      <c r="R5397" t="s">
        <v>805</v>
      </c>
    </row>
    <row r="5398" spans="1:18" x14ac:dyDescent="0.3">
      <c r="A5398" t="s">
        <v>627</v>
      </c>
      <c r="B5398" s="16">
        <v>45603</v>
      </c>
      <c r="C5398" t="s">
        <v>3</v>
      </c>
      <c r="D5398" t="s">
        <v>123</v>
      </c>
      <c r="E5398">
        <v>346</v>
      </c>
      <c r="F5398">
        <v>134</v>
      </c>
      <c r="G5398">
        <v>28</v>
      </c>
      <c r="H5398">
        <v>6</v>
      </c>
      <c r="I5398">
        <v>20478</v>
      </c>
      <c r="J5398">
        <v>4</v>
      </c>
      <c r="K5398">
        <v>20478</v>
      </c>
      <c r="L5398">
        <v>4</v>
      </c>
      <c r="M5398">
        <v>113</v>
      </c>
      <c r="N5398">
        <v>299</v>
      </c>
      <c r="O5398">
        <f t="shared" si="176"/>
        <v>2024</v>
      </c>
      <c r="P5398">
        <f t="shared" si="177"/>
        <v>11</v>
      </c>
      <c r="Q5398" t="s">
        <v>785</v>
      </c>
      <c r="R5398" t="s">
        <v>805</v>
      </c>
    </row>
    <row r="5399" spans="1:18" x14ac:dyDescent="0.3">
      <c r="A5399" t="s">
        <v>627</v>
      </c>
      <c r="B5399" s="16">
        <v>45603</v>
      </c>
      <c r="C5399" t="s">
        <v>3</v>
      </c>
      <c r="D5399" t="s">
        <v>121</v>
      </c>
      <c r="E5399">
        <v>1</v>
      </c>
      <c r="F5399">
        <v>1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1</v>
      </c>
      <c r="O5399">
        <f t="shared" si="176"/>
        <v>2024</v>
      </c>
      <c r="P5399">
        <f t="shared" si="177"/>
        <v>11</v>
      </c>
      <c r="Q5399" t="s">
        <v>785</v>
      </c>
      <c r="R5399" t="s">
        <v>805</v>
      </c>
    </row>
    <row r="5400" spans="1:18" x14ac:dyDescent="0.3">
      <c r="A5400" t="s">
        <v>627</v>
      </c>
      <c r="B5400" s="16">
        <v>45603</v>
      </c>
      <c r="C5400" t="s">
        <v>3</v>
      </c>
      <c r="D5400" t="s">
        <v>119</v>
      </c>
      <c r="E5400">
        <v>403</v>
      </c>
      <c r="F5400">
        <v>103</v>
      </c>
      <c r="G5400">
        <v>21</v>
      </c>
      <c r="H5400">
        <v>8</v>
      </c>
      <c r="I5400">
        <v>68992.5</v>
      </c>
      <c r="J5400">
        <v>12</v>
      </c>
      <c r="K5400">
        <v>52697.5</v>
      </c>
      <c r="L5400">
        <v>10</v>
      </c>
      <c r="M5400">
        <v>73</v>
      </c>
      <c r="N5400">
        <v>362</v>
      </c>
      <c r="O5400">
        <f t="shared" si="176"/>
        <v>2024</v>
      </c>
      <c r="P5400">
        <f t="shared" si="177"/>
        <v>11</v>
      </c>
      <c r="Q5400" t="s">
        <v>785</v>
      </c>
      <c r="R5400" t="s">
        <v>805</v>
      </c>
    </row>
    <row r="5401" spans="1:18" x14ac:dyDescent="0.3">
      <c r="A5401" t="s">
        <v>627</v>
      </c>
      <c r="B5401" s="16">
        <v>45603</v>
      </c>
      <c r="C5401" t="s">
        <v>3</v>
      </c>
      <c r="D5401" t="s">
        <v>252</v>
      </c>
      <c r="E5401">
        <v>4</v>
      </c>
      <c r="F5401">
        <v>1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4</v>
      </c>
      <c r="O5401">
        <f t="shared" si="176"/>
        <v>2024</v>
      </c>
      <c r="P5401">
        <f t="shared" si="177"/>
        <v>11</v>
      </c>
      <c r="Q5401" t="s">
        <v>785</v>
      </c>
      <c r="R5401" t="s">
        <v>805</v>
      </c>
    </row>
    <row r="5402" spans="1:18" x14ac:dyDescent="0.3">
      <c r="A5402" t="s">
        <v>627</v>
      </c>
      <c r="B5402" s="16">
        <v>45603</v>
      </c>
      <c r="C5402" t="s">
        <v>3</v>
      </c>
      <c r="D5402" t="s">
        <v>117</v>
      </c>
      <c r="E5402">
        <v>18</v>
      </c>
      <c r="F5402">
        <v>14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1</v>
      </c>
      <c r="N5402">
        <v>18</v>
      </c>
      <c r="O5402">
        <f t="shared" si="176"/>
        <v>2024</v>
      </c>
      <c r="P5402">
        <f t="shared" si="177"/>
        <v>11</v>
      </c>
      <c r="Q5402" t="s">
        <v>785</v>
      </c>
      <c r="R5402" t="s">
        <v>805</v>
      </c>
    </row>
    <row r="5403" spans="1:18" x14ac:dyDescent="0.3">
      <c r="A5403" t="s">
        <v>627</v>
      </c>
      <c r="B5403" s="16">
        <v>45603</v>
      </c>
      <c r="C5403" t="s">
        <v>3</v>
      </c>
      <c r="D5403" t="s">
        <v>115</v>
      </c>
      <c r="E5403">
        <v>2</v>
      </c>
      <c r="F5403">
        <v>1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2</v>
      </c>
      <c r="O5403">
        <f t="shared" si="176"/>
        <v>2024</v>
      </c>
      <c r="P5403">
        <f t="shared" si="177"/>
        <v>11</v>
      </c>
      <c r="Q5403" t="s">
        <v>785</v>
      </c>
      <c r="R5403" t="s">
        <v>805</v>
      </c>
    </row>
    <row r="5404" spans="1:18" x14ac:dyDescent="0.3">
      <c r="A5404" t="s">
        <v>627</v>
      </c>
      <c r="B5404" s="16">
        <v>45603</v>
      </c>
      <c r="C5404" t="s">
        <v>3</v>
      </c>
      <c r="D5404" t="s">
        <v>114</v>
      </c>
      <c r="E5404">
        <v>174</v>
      </c>
      <c r="F5404">
        <v>99</v>
      </c>
      <c r="G5404">
        <v>3</v>
      </c>
      <c r="H5404">
        <v>2</v>
      </c>
      <c r="I5404">
        <v>5700</v>
      </c>
      <c r="J5404">
        <v>1</v>
      </c>
      <c r="K5404">
        <v>5700</v>
      </c>
      <c r="L5404">
        <v>1</v>
      </c>
      <c r="M5404">
        <v>14</v>
      </c>
      <c r="N5404">
        <v>164</v>
      </c>
      <c r="O5404">
        <f t="shared" si="176"/>
        <v>2024</v>
      </c>
      <c r="P5404">
        <f t="shared" si="177"/>
        <v>11</v>
      </c>
      <c r="Q5404" t="s">
        <v>785</v>
      </c>
      <c r="R5404" t="s">
        <v>805</v>
      </c>
    </row>
    <row r="5405" spans="1:18" x14ac:dyDescent="0.3">
      <c r="A5405" t="s">
        <v>627</v>
      </c>
      <c r="B5405" s="16">
        <v>45603</v>
      </c>
      <c r="C5405" t="s">
        <v>3</v>
      </c>
      <c r="D5405" t="s">
        <v>113</v>
      </c>
      <c r="E5405">
        <v>162</v>
      </c>
      <c r="F5405">
        <v>95</v>
      </c>
      <c r="G5405">
        <v>3</v>
      </c>
      <c r="H5405">
        <v>1</v>
      </c>
      <c r="I5405">
        <v>0</v>
      </c>
      <c r="J5405">
        <v>0</v>
      </c>
      <c r="K5405">
        <v>0</v>
      </c>
      <c r="L5405">
        <v>0</v>
      </c>
      <c r="M5405">
        <v>87</v>
      </c>
      <c r="N5405">
        <v>72</v>
      </c>
      <c r="O5405">
        <f t="shared" si="176"/>
        <v>2024</v>
      </c>
      <c r="P5405">
        <f t="shared" si="177"/>
        <v>11</v>
      </c>
      <c r="Q5405" t="s">
        <v>785</v>
      </c>
      <c r="R5405" t="s">
        <v>805</v>
      </c>
    </row>
    <row r="5406" spans="1:18" x14ac:dyDescent="0.3">
      <c r="A5406" t="s">
        <v>627</v>
      </c>
      <c r="B5406" s="16">
        <v>45603</v>
      </c>
      <c r="C5406" t="s">
        <v>3</v>
      </c>
      <c r="D5406" t="s">
        <v>112</v>
      </c>
      <c r="E5406">
        <v>5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5</v>
      </c>
      <c r="O5406">
        <f t="shared" si="176"/>
        <v>2024</v>
      </c>
      <c r="P5406">
        <f t="shared" si="177"/>
        <v>11</v>
      </c>
      <c r="Q5406" t="s">
        <v>785</v>
      </c>
      <c r="R5406" t="s">
        <v>805</v>
      </c>
    </row>
    <row r="5407" spans="1:18" x14ac:dyDescent="0.3">
      <c r="A5407" t="s">
        <v>627</v>
      </c>
      <c r="B5407" s="16">
        <v>45602</v>
      </c>
      <c r="C5407" t="s">
        <v>2</v>
      </c>
      <c r="D5407" t="s">
        <v>4</v>
      </c>
      <c r="E5407">
        <v>305</v>
      </c>
      <c r="F5407">
        <v>103</v>
      </c>
      <c r="G5407">
        <v>7</v>
      </c>
      <c r="H5407">
        <v>1</v>
      </c>
      <c r="I5407">
        <v>0</v>
      </c>
      <c r="J5407">
        <v>0</v>
      </c>
      <c r="K5407">
        <v>0</v>
      </c>
      <c r="L5407">
        <v>0</v>
      </c>
      <c r="M5407">
        <v>21</v>
      </c>
      <c r="N5407">
        <v>300</v>
      </c>
      <c r="O5407">
        <f t="shared" si="176"/>
        <v>2024</v>
      </c>
      <c r="P5407">
        <f t="shared" si="177"/>
        <v>11</v>
      </c>
      <c r="Q5407" t="s">
        <v>785</v>
      </c>
      <c r="R5407" t="s">
        <v>805</v>
      </c>
    </row>
    <row r="5408" spans="1:18" x14ac:dyDescent="0.3">
      <c r="A5408" t="s">
        <v>627</v>
      </c>
      <c r="B5408" s="16">
        <v>45602</v>
      </c>
      <c r="C5408" t="s">
        <v>2</v>
      </c>
      <c r="D5408" t="s">
        <v>57</v>
      </c>
      <c r="E5408">
        <v>11476</v>
      </c>
      <c r="F5408">
        <v>6489</v>
      </c>
      <c r="G5408">
        <v>263</v>
      </c>
      <c r="H5408">
        <v>126</v>
      </c>
      <c r="I5408">
        <v>157130</v>
      </c>
      <c r="J5408">
        <v>25</v>
      </c>
      <c r="K5408">
        <v>72015</v>
      </c>
      <c r="L5408">
        <v>16</v>
      </c>
      <c r="M5408">
        <v>868</v>
      </c>
      <c r="N5408">
        <v>11430</v>
      </c>
      <c r="O5408">
        <f t="shared" si="176"/>
        <v>2024</v>
      </c>
      <c r="P5408">
        <f t="shared" si="177"/>
        <v>11</v>
      </c>
      <c r="Q5408" t="s">
        <v>785</v>
      </c>
      <c r="R5408" t="s">
        <v>805</v>
      </c>
    </row>
    <row r="5409" spans="1:18" x14ac:dyDescent="0.3">
      <c r="A5409" t="s">
        <v>627</v>
      </c>
      <c r="B5409" s="16">
        <v>45602</v>
      </c>
      <c r="C5409" t="s">
        <v>2</v>
      </c>
      <c r="D5409" t="s">
        <v>52</v>
      </c>
      <c r="E5409">
        <v>1131</v>
      </c>
      <c r="F5409">
        <v>935</v>
      </c>
      <c r="G5409">
        <v>17</v>
      </c>
      <c r="H5409">
        <v>6</v>
      </c>
      <c r="I5409">
        <v>32296.5</v>
      </c>
      <c r="J5409">
        <v>8</v>
      </c>
      <c r="K5409">
        <v>32296.5</v>
      </c>
      <c r="L5409">
        <v>8</v>
      </c>
      <c r="M5409">
        <v>1130</v>
      </c>
      <c r="N5409">
        <v>422</v>
      </c>
      <c r="O5409">
        <f t="shared" si="176"/>
        <v>2024</v>
      </c>
      <c r="P5409">
        <f t="shared" si="177"/>
        <v>11</v>
      </c>
      <c r="Q5409" t="s">
        <v>785</v>
      </c>
      <c r="R5409" t="s">
        <v>805</v>
      </c>
    </row>
    <row r="5410" spans="1:18" x14ac:dyDescent="0.3">
      <c r="A5410" t="s">
        <v>627</v>
      </c>
      <c r="B5410" s="16">
        <v>45602</v>
      </c>
      <c r="C5410" t="s">
        <v>2</v>
      </c>
      <c r="D5410" t="s">
        <v>55</v>
      </c>
      <c r="E5410">
        <v>1808</v>
      </c>
      <c r="F5410">
        <v>1256</v>
      </c>
      <c r="G5410">
        <v>19</v>
      </c>
      <c r="H5410">
        <v>11</v>
      </c>
      <c r="I5410">
        <v>0</v>
      </c>
      <c r="J5410">
        <v>0</v>
      </c>
      <c r="K5410">
        <v>0</v>
      </c>
      <c r="L5410">
        <v>0</v>
      </c>
      <c r="M5410">
        <v>54</v>
      </c>
      <c r="N5410">
        <v>314</v>
      </c>
      <c r="O5410">
        <f t="shared" si="176"/>
        <v>2024</v>
      </c>
      <c r="P5410">
        <f t="shared" si="177"/>
        <v>11</v>
      </c>
      <c r="Q5410" t="s">
        <v>785</v>
      </c>
      <c r="R5410" t="s">
        <v>805</v>
      </c>
    </row>
    <row r="5411" spans="1:18" x14ac:dyDescent="0.3">
      <c r="A5411" t="s">
        <v>627</v>
      </c>
      <c r="B5411" s="16">
        <v>45602</v>
      </c>
      <c r="C5411" t="s">
        <v>3</v>
      </c>
      <c r="D5411" t="s">
        <v>155</v>
      </c>
      <c r="E5411">
        <v>5</v>
      </c>
      <c r="F5411">
        <v>3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5</v>
      </c>
      <c r="O5411">
        <f t="shared" si="176"/>
        <v>2024</v>
      </c>
      <c r="P5411">
        <f t="shared" si="177"/>
        <v>11</v>
      </c>
      <c r="Q5411" t="s">
        <v>785</v>
      </c>
      <c r="R5411" t="s">
        <v>805</v>
      </c>
    </row>
    <row r="5412" spans="1:18" x14ac:dyDescent="0.3">
      <c r="A5412" t="s">
        <v>627</v>
      </c>
      <c r="B5412" s="16">
        <v>45602</v>
      </c>
      <c r="C5412" t="s">
        <v>3</v>
      </c>
      <c r="D5412" t="s">
        <v>154</v>
      </c>
      <c r="E5412">
        <v>847</v>
      </c>
      <c r="F5412">
        <v>711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f t="shared" si="176"/>
        <v>2024</v>
      </c>
      <c r="P5412">
        <f t="shared" si="177"/>
        <v>11</v>
      </c>
      <c r="Q5412" t="s">
        <v>785</v>
      </c>
      <c r="R5412" t="s">
        <v>805</v>
      </c>
    </row>
    <row r="5413" spans="1:18" x14ac:dyDescent="0.3">
      <c r="A5413" t="s">
        <v>627</v>
      </c>
      <c r="B5413" s="16">
        <v>45602</v>
      </c>
      <c r="C5413" t="s">
        <v>3</v>
      </c>
      <c r="D5413" t="s">
        <v>153</v>
      </c>
      <c r="E5413">
        <v>540</v>
      </c>
      <c r="F5413">
        <v>90</v>
      </c>
      <c r="G5413">
        <v>50</v>
      </c>
      <c r="H5413">
        <v>4</v>
      </c>
      <c r="I5413">
        <v>128782.5</v>
      </c>
      <c r="J5413">
        <v>26</v>
      </c>
      <c r="K5413">
        <v>89738</v>
      </c>
      <c r="L5413">
        <v>18</v>
      </c>
      <c r="M5413">
        <v>107</v>
      </c>
      <c r="N5413">
        <v>528</v>
      </c>
      <c r="O5413">
        <f t="shared" si="176"/>
        <v>2024</v>
      </c>
      <c r="P5413">
        <f t="shared" si="177"/>
        <v>11</v>
      </c>
      <c r="Q5413" t="s">
        <v>785</v>
      </c>
      <c r="R5413" t="s">
        <v>805</v>
      </c>
    </row>
    <row r="5414" spans="1:18" x14ac:dyDescent="0.3">
      <c r="A5414" t="s">
        <v>627</v>
      </c>
      <c r="B5414" s="16">
        <v>45602</v>
      </c>
      <c r="C5414" t="s">
        <v>3</v>
      </c>
      <c r="D5414" t="s">
        <v>152</v>
      </c>
      <c r="E5414">
        <v>21</v>
      </c>
      <c r="F5414">
        <v>15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3</v>
      </c>
      <c r="O5414">
        <f t="shared" si="176"/>
        <v>2024</v>
      </c>
      <c r="P5414">
        <f t="shared" si="177"/>
        <v>11</v>
      </c>
      <c r="Q5414" t="s">
        <v>785</v>
      </c>
      <c r="R5414" t="s">
        <v>805</v>
      </c>
    </row>
    <row r="5415" spans="1:18" x14ac:dyDescent="0.3">
      <c r="A5415" t="s">
        <v>627</v>
      </c>
      <c r="B5415" s="16">
        <v>45602</v>
      </c>
      <c r="C5415" t="s">
        <v>3</v>
      </c>
      <c r="D5415" t="s">
        <v>150</v>
      </c>
      <c r="E5415">
        <v>7</v>
      </c>
      <c r="F5415">
        <v>4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1</v>
      </c>
      <c r="N5415">
        <v>5</v>
      </c>
      <c r="O5415">
        <f t="shared" si="176"/>
        <v>2024</v>
      </c>
      <c r="P5415">
        <f t="shared" si="177"/>
        <v>11</v>
      </c>
      <c r="Q5415" t="s">
        <v>785</v>
      </c>
      <c r="R5415" t="s">
        <v>805</v>
      </c>
    </row>
    <row r="5416" spans="1:18" x14ac:dyDescent="0.3">
      <c r="A5416" t="s">
        <v>627</v>
      </c>
      <c r="B5416" s="16">
        <v>45602</v>
      </c>
      <c r="C5416" t="s">
        <v>3</v>
      </c>
      <c r="D5416" t="s">
        <v>149</v>
      </c>
      <c r="E5416">
        <v>21</v>
      </c>
      <c r="F5416">
        <v>18</v>
      </c>
      <c r="G5416">
        <v>1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1</v>
      </c>
      <c r="N5416">
        <v>3</v>
      </c>
      <c r="O5416">
        <f t="shared" si="176"/>
        <v>2024</v>
      </c>
      <c r="P5416">
        <f t="shared" si="177"/>
        <v>11</v>
      </c>
      <c r="Q5416" t="s">
        <v>785</v>
      </c>
      <c r="R5416" t="s">
        <v>805</v>
      </c>
    </row>
    <row r="5417" spans="1:18" x14ac:dyDescent="0.3">
      <c r="A5417" t="s">
        <v>627</v>
      </c>
      <c r="B5417" s="16">
        <v>45602</v>
      </c>
      <c r="C5417" t="s">
        <v>3</v>
      </c>
      <c r="D5417" t="s">
        <v>148</v>
      </c>
      <c r="E5417">
        <v>1</v>
      </c>
      <c r="F5417">
        <v>1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1</v>
      </c>
      <c r="N5417">
        <v>0</v>
      </c>
      <c r="O5417">
        <f t="shared" si="176"/>
        <v>2024</v>
      </c>
      <c r="P5417">
        <f t="shared" si="177"/>
        <v>11</v>
      </c>
      <c r="Q5417" t="s">
        <v>785</v>
      </c>
      <c r="R5417" t="s">
        <v>805</v>
      </c>
    </row>
    <row r="5418" spans="1:18" x14ac:dyDescent="0.3">
      <c r="A5418" t="s">
        <v>627</v>
      </c>
      <c r="B5418" s="16">
        <v>45602</v>
      </c>
      <c r="C5418" t="s">
        <v>3</v>
      </c>
      <c r="D5418" t="s">
        <v>367</v>
      </c>
      <c r="E5418">
        <v>1</v>
      </c>
      <c r="F5418">
        <v>1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f t="shared" si="176"/>
        <v>2024</v>
      </c>
      <c r="P5418">
        <f t="shared" si="177"/>
        <v>11</v>
      </c>
      <c r="Q5418" t="s">
        <v>785</v>
      </c>
      <c r="R5418" t="s">
        <v>805</v>
      </c>
    </row>
    <row r="5419" spans="1:18" x14ac:dyDescent="0.3">
      <c r="A5419" t="s">
        <v>627</v>
      </c>
      <c r="B5419" s="16">
        <v>45602</v>
      </c>
      <c r="C5419" t="s">
        <v>3</v>
      </c>
      <c r="D5419" t="s">
        <v>251</v>
      </c>
      <c r="E5419">
        <v>3922</v>
      </c>
      <c r="F5419">
        <v>3542</v>
      </c>
      <c r="G5419">
        <v>23</v>
      </c>
      <c r="H5419">
        <v>6</v>
      </c>
      <c r="I5419">
        <v>26725</v>
      </c>
      <c r="J5419">
        <v>4</v>
      </c>
      <c r="K5419">
        <v>10325</v>
      </c>
      <c r="L5419">
        <v>3</v>
      </c>
      <c r="M5419">
        <v>100</v>
      </c>
      <c r="N5419">
        <v>393</v>
      </c>
      <c r="O5419">
        <f t="shared" si="176"/>
        <v>2024</v>
      </c>
      <c r="P5419">
        <f t="shared" si="177"/>
        <v>11</v>
      </c>
      <c r="Q5419" t="s">
        <v>785</v>
      </c>
      <c r="R5419" t="s">
        <v>805</v>
      </c>
    </row>
    <row r="5420" spans="1:18" x14ac:dyDescent="0.3">
      <c r="A5420" t="s">
        <v>627</v>
      </c>
      <c r="B5420" s="16">
        <v>45602</v>
      </c>
      <c r="C5420" t="s">
        <v>3</v>
      </c>
      <c r="D5420" t="s">
        <v>143</v>
      </c>
      <c r="E5420">
        <v>14</v>
      </c>
      <c r="F5420">
        <v>13</v>
      </c>
      <c r="G5420">
        <v>1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14</v>
      </c>
      <c r="O5420">
        <f t="shared" si="176"/>
        <v>2024</v>
      </c>
      <c r="P5420">
        <f t="shared" si="177"/>
        <v>11</v>
      </c>
      <c r="Q5420" t="s">
        <v>785</v>
      </c>
      <c r="R5420" t="s">
        <v>805</v>
      </c>
    </row>
    <row r="5421" spans="1:18" x14ac:dyDescent="0.3">
      <c r="A5421" t="s">
        <v>627</v>
      </c>
      <c r="B5421" s="16">
        <v>45602</v>
      </c>
      <c r="C5421" t="s">
        <v>3</v>
      </c>
      <c r="D5421" t="s">
        <v>141</v>
      </c>
      <c r="E5421">
        <v>8</v>
      </c>
      <c r="F5421">
        <v>7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8</v>
      </c>
      <c r="O5421">
        <f t="shared" si="176"/>
        <v>2024</v>
      </c>
      <c r="P5421">
        <f t="shared" si="177"/>
        <v>11</v>
      </c>
      <c r="Q5421" t="s">
        <v>785</v>
      </c>
      <c r="R5421" t="s">
        <v>805</v>
      </c>
    </row>
    <row r="5422" spans="1:18" x14ac:dyDescent="0.3">
      <c r="A5422" t="s">
        <v>627</v>
      </c>
      <c r="B5422" s="16">
        <v>45602</v>
      </c>
      <c r="C5422" t="s">
        <v>3</v>
      </c>
      <c r="D5422" t="s">
        <v>140</v>
      </c>
      <c r="E5422">
        <v>9</v>
      </c>
      <c r="F5422">
        <v>8</v>
      </c>
      <c r="G5422">
        <v>1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1</v>
      </c>
      <c r="N5422">
        <v>8</v>
      </c>
      <c r="O5422">
        <f t="shared" si="176"/>
        <v>2024</v>
      </c>
      <c r="P5422">
        <f t="shared" si="177"/>
        <v>11</v>
      </c>
      <c r="Q5422" t="s">
        <v>785</v>
      </c>
      <c r="R5422" t="s">
        <v>805</v>
      </c>
    </row>
    <row r="5423" spans="1:18" x14ac:dyDescent="0.3">
      <c r="A5423" t="s">
        <v>627</v>
      </c>
      <c r="B5423" s="16">
        <v>45602</v>
      </c>
      <c r="C5423" t="s">
        <v>3</v>
      </c>
      <c r="D5423" t="s">
        <v>139</v>
      </c>
      <c r="E5423">
        <v>2132</v>
      </c>
      <c r="F5423">
        <v>1260</v>
      </c>
      <c r="G5423">
        <v>77</v>
      </c>
      <c r="H5423">
        <v>22</v>
      </c>
      <c r="I5423">
        <v>97357</v>
      </c>
      <c r="J5423">
        <v>18</v>
      </c>
      <c r="K5423">
        <v>66742</v>
      </c>
      <c r="L5423">
        <v>13</v>
      </c>
      <c r="M5423">
        <v>455</v>
      </c>
      <c r="N5423">
        <v>1888</v>
      </c>
      <c r="O5423">
        <f t="shared" si="176"/>
        <v>2024</v>
      </c>
      <c r="P5423">
        <f t="shared" si="177"/>
        <v>11</v>
      </c>
      <c r="Q5423" t="s">
        <v>785</v>
      </c>
      <c r="R5423" t="s">
        <v>805</v>
      </c>
    </row>
    <row r="5424" spans="1:18" x14ac:dyDescent="0.3">
      <c r="A5424" t="s">
        <v>627</v>
      </c>
      <c r="B5424" s="16">
        <v>45602</v>
      </c>
      <c r="C5424" t="s">
        <v>3</v>
      </c>
      <c r="D5424" t="s">
        <v>138</v>
      </c>
      <c r="E5424">
        <v>39</v>
      </c>
      <c r="F5424">
        <v>20</v>
      </c>
      <c r="G5424">
        <v>0</v>
      </c>
      <c r="H5424">
        <v>1</v>
      </c>
      <c r="I5424">
        <v>0</v>
      </c>
      <c r="J5424">
        <v>0</v>
      </c>
      <c r="K5424">
        <v>0</v>
      </c>
      <c r="L5424">
        <v>0</v>
      </c>
      <c r="M5424">
        <v>1</v>
      </c>
      <c r="N5424">
        <v>39</v>
      </c>
      <c r="O5424">
        <f t="shared" si="176"/>
        <v>2024</v>
      </c>
      <c r="P5424">
        <f t="shared" si="177"/>
        <v>11</v>
      </c>
      <c r="Q5424" t="s">
        <v>785</v>
      </c>
      <c r="R5424" t="s">
        <v>805</v>
      </c>
    </row>
    <row r="5425" spans="1:18" x14ac:dyDescent="0.3">
      <c r="A5425" t="s">
        <v>627</v>
      </c>
      <c r="B5425" s="16">
        <v>45602</v>
      </c>
      <c r="C5425" t="s">
        <v>3</v>
      </c>
      <c r="D5425" t="s">
        <v>137</v>
      </c>
      <c r="E5425">
        <v>3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3</v>
      </c>
      <c r="O5425">
        <f t="shared" si="176"/>
        <v>2024</v>
      </c>
      <c r="P5425">
        <f t="shared" si="177"/>
        <v>11</v>
      </c>
      <c r="Q5425" t="s">
        <v>785</v>
      </c>
      <c r="R5425" t="s">
        <v>805</v>
      </c>
    </row>
    <row r="5426" spans="1:18" x14ac:dyDescent="0.3">
      <c r="A5426" t="s">
        <v>627</v>
      </c>
      <c r="B5426" s="16">
        <v>45602</v>
      </c>
      <c r="C5426" t="s">
        <v>3</v>
      </c>
      <c r="D5426" t="s">
        <v>135</v>
      </c>
      <c r="E5426">
        <v>28</v>
      </c>
      <c r="F5426">
        <v>20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10</v>
      </c>
      <c r="O5426">
        <f t="shared" si="176"/>
        <v>2024</v>
      </c>
      <c r="P5426">
        <f t="shared" si="177"/>
        <v>11</v>
      </c>
      <c r="Q5426" t="s">
        <v>785</v>
      </c>
      <c r="R5426" t="s">
        <v>805</v>
      </c>
    </row>
    <row r="5427" spans="1:18" x14ac:dyDescent="0.3">
      <c r="A5427" t="s">
        <v>627</v>
      </c>
      <c r="B5427" s="16">
        <v>45602</v>
      </c>
      <c r="C5427" t="s">
        <v>3</v>
      </c>
      <c r="D5427" t="s">
        <v>133</v>
      </c>
      <c r="E5427">
        <v>32</v>
      </c>
      <c r="F5427">
        <v>15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9</v>
      </c>
      <c r="N5427">
        <v>24</v>
      </c>
      <c r="O5427">
        <f t="shared" si="176"/>
        <v>2024</v>
      </c>
      <c r="P5427">
        <f t="shared" si="177"/>
        <v>11</v>
      </c>
      <c r="Q5427" t="s">
        <v>785</v>
      </c>
      <c r="R5427" t="s">
        <v>805</v>
      </c>
    </row>
    <row r="5428" spans="1:18" x14ac:dyDescent="0.3">
      <c r="A5428" t="s">
        <v>627</v>
      </c>
      <c r="B5428" s="16">
        <v>45602</v>
      </c>
      <c r="C5428" t="s">
        <v>3</v>
      </c>
      <c r="D5428" t="s">
        <v>130</v>
      </c>
      <c r="E5428">
        <v>171</v>
      </c>
      <c r="F5428">
        <v>53</v>
      </c>
      <c r="G5428">
        <v>16</v>
      </c>
      <c r="H5428">
        <v>2</v>
      </c>
      <c r="I5428">
        <v>68590</v>
      </c>
      <c r="J5428">
        <v>13</v>
      </c>
      <c r="K5428">
        <v>46390</v>
      </c>
      <c r="L5428">
        <v>11</v>
      </c>
      <c r="M5428">
        <v>52</v>
      </c>
      <c r="N5428">
        <v>163</v>
      </c>
      <c r="O5428">
        <f t="shared" si="176"/>
        <v>2024</v>
      </c>
      <c r="P5428">
        <f t="shared" si="177"/>
        <v>11</v>
      </c>
      <c r="Q5428" t="s">
        <v>785</v>
      </c>
      <c r="R5428" t="s">
        <v>805</v>
      </c>
    </row>
    <row r="5429" spans="1:18" x14ac:dyDescent="0.3">
      <c r="A5429" t="s">
        <v>627</v>
      </c>
      <c r="B5429" s="16">
        <v>45602</v>
      </c>
      <c r="C5429" t="s">
        <v>3</v>
      </c>
      <c r="D5429" t="s">
        <v>128</v>
      </c>
      <c r="E5429">
        <v>1415</v>
      </c>
      <c r="F5429">
        <v>1053</v>
      </c>
      <c r="G5429">
        <v>45</v>
      </c>
      <c r="H5429">
        <v>22</v>
      </c>
      <c r="I5429">
        <v>31600</v>
      </c>
      <c r="J5429">
        <v>8</v>
      </c>
      <c r="K5429">
        <v>22400</v>
      </c>
      <c r="L5429">
        <v>6</v>
      </c>
      <c r="M5429">
        <v>327</v>
      </c>
      <c r="N5429">
        <v>1249</v>
      </c>
      <c r="O5429">
        <f t="shared" si="176"/>
        <v>2024</v>
      </c>
      <c r="P5429">
        <f t="shared" si="177"/>
        <v>11</v>
      </c>
      <c r="Q5429" t="s">
        <v>785</v>
      </c>
      <c r="R5429" t="s">
        <v>805</v>
      </c>
    </row>
    <row r="5430" spans="1:18" x14ac:dyDescent="0.3">
      <c r="A5430" t="s">
        <v>627</v>
      </c>
      <c r="B5430" s="16">
        <v>45602</v>
      </c>
      <c r="C5430" t="s">
        <v>3</v>
      </c>
      <c r="D5430" t="s">
        <v>127</v>
      </c>
      <c r="E5430">
        <v>8057</v>
      </c>
      <c r="F5430">
        <v>5133</v>
      </c>
      <c r="G5430">
        <v>142</v>
      </c>
      <c r="H5430">
        <v>55</v>
      </c>
      <c r="I5430">
        <v>79151</v>
      </c>
      <c r="J5430">
        <v>15</v>
      </c>
      <c r="K5430">
        <v>60613</v>
      </c>
      <c r="L5430">
        <v>11</v>
      </c>
      <c r="M5430">
        <v>1461</v>
      </c>
      <c r="N5430">
        <v>5255</v>
      </c>
      <c r="O5430">
        <f t="shared" si="176"/>
        <v>2024</v>
      </c>
      <c r="P5430">
        <f t="shared" si="177"/>
        <v>11</v>
      </c>
      <c r="Q5430" t="s">
        <v>785</v>
      </c>
      <c r="R5430" t="s">
        <v>805</v>
      </c>
    </row>
    <row r="5431" spans="1:18" x14ac:dyDescent="0.3">
      <c r="A5431" t="s">
        <v>627</v>
      </c>
      <c r="B5431" s="16">
        <v>45602</v>
      </c>
      <c r="C5431" t="s">
        <v>3</v>
      </c>
      <c r="D5431" t="s">
        <v>126</v>
      </c>
      <c r="E5431">
        <v>142</v>
      </c>
      <c r="F5431">
        <v>91</v>
      </c>
      <c r="G5431">
        <v>5</v>
      </c>
      <c r="H5431">
        <v>4</v>
      </c>
      <c r="I5431">
        <v>0</v>
      </c>
      <c r="J5431">
        <v>0</v>
      </c>
      <c r="K5431">
        <v>0</v>
      </c>
      <c r="L5431">
        <v>0</v>
      </c>
      <c r="M5431">
        <v>14</v>
      </c>
      <c r="N5431">
        <v>135</v>
      </c>
      <c r="O5431">
        <f t="shared" si="176"/>
        <v>2024</v>
      </c>
      <c r="P5431">
        <f t="shared" si="177"/>
        <v>11</v>
      </c>
      <c r="Q5431" t="s">
        <v>785</v>
      </c>
      <c r="R5431" t="s">
        <v>805</v>
      </c>
    </row>
    <row r="5432" spans="1:18" x14ac:dyDescent="0.3">
      <c r="A5432" t="s">
        <v>627</v>
      </c>
      <c r="B5432" s="16">
        <v>45602</v>
      </c>
      <c r="C5432" t="s">
        <v>3</v>
      </c>
      <c r="D5432" t="s">
        <v>125</v>
      </c>
      <c r="E5432">
        <v>5</v>
      </c>
      <c r="F5432">
        <v>1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3</v>
      </c>
      <c r="N5432">
        <v>5</v>
      </c>
      <c r="O5432">
        <f t="shared" si="176"/>
        <v>2024</v>
      </c>
      <c r="P5432">
        <f t="shared" si="177"/>
        <v>11</v>
      </c>
      <c r="Q5432" t="s">
        <v>785</v>
      </c>
      <c r="R5432" t="s">
        <v>805</v>
      </c>
    </row>
    <row r="5433" spans="1:18" x14ac:dyDescent="0.3">
      <c r="A5433" t="s">
        <v>627</v>
      </c>
      <c r="B5433" s="16">
        <v>45602</v>
      </c>
      <c r="C5433" t="s">
        <v>3</v>
      </c>
      <c r="D5433" t="s">
        <v>123</v>
      </c>
      <c r="E5433">
        <v>328</v>
      </c>
      <c r="F5433">
        <v>129</v>
      </c>
      <c r="G5433">
        <v>16</v>
      </c>
      <c r="H5433">
        <v>5</v>
      </c>
      <c r="I5433">
        <v>33140</v>
      </c>
      <c r="J5433">
        <v>6</v>
      </c>
      <c r="K5433">
        <v>12840</v>
      </c>
      <c r="L5433">
        <v>4</v>
      </c>
      <c r="M5433">
        <v>109</v>
      </c>
      <c r="N5433">
        <v>290</v>
      </c>
      <c r="O5433">
        <f t="shared" si="176"/>
        <v>2024</v>
      </c>
      <c r="P5433">
        <f t="shared" si="177"/>
        <v>11</v>
      </c>
      <c r="Q5433" t="s">
        <v>785</v>
      </c>
      <c r="R5433" t="s">
        <v>805</v>
      </c>
    </row>
    <row r="5434" spans="1:18" x14ac:dyDescent="0.3">
      <c r="A5434" t="s">
        <v>627</v>
      </c>
      <c r="B5434" s="16">
        <v>45602</v>
      </c>
      <c r="C5434" t="s">
        <v>3</v>
      </c>
      <c r="D5434" t="s">
        <v>121</v>
      </c>
      <c r="E5434">
        <v>4</v>
      </c>
      <c r="F5434">
        <v>3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1</v>
      </c>
      <c r="N5434">
        <v>4</v>
      </c>
      <c r="O5434">
        <f t="shared" si="176"/>
        <v>2024</v>
      </c>
      <c r="P5434">
        <f t="shared" si="177"/>
        <v>11</v>
      </c>
      <c r="Q5434" t="s">
        <v>785</v>
      </c>
      <c r="R5434" t="s">
        <v>805</v>
      </c>
    </row>
    <row r="5435" spans="1:18" x14ac:dyDescent="0.3">
      <c r="A5435" t="s">
        <v>627</v>
      </c>
      <c r="B5435" s="16">
        <v>45602</v>
      </c>
      <c r="C5435" t="s">
        <v>3</v>
      </c>
      <c r="D5435" t="s">
        <v>119</v>
      </c>
      <c r="E5435">
        <v>423</v>
      </c>
      <c r="F5435">
        <v>93</v>
      </c>
      <c r="G5435">
        <v>21</v>
      </c>
      <c r="H5435">
        <v>6</v>
      </c>
      <c r="I5435">
        <v>128304.5</v>
      </c>
      <c r="J5435">
        <v>18</v>
      </c>
      <c r="K5435">
        <v>98642</v>
      </c>
      <c r="L5435">
        <v>13</v>
      </c>
      <c r="M5435">
        <v>82</v>
      </c>
      <c r="N5435">
        <v>392</v>
      </c>
      <c r="O5435">
        <f t="shared" si="176"/>
        <v>2024</v>
      </c>
      <c r="P5435">
        <f t="shared" si="177"/>
        <v>11</v>
      </c>
      <c r="Q5435" t="s">
        <v>785</v>
      </c>
      <c r="R5435" t="s">
        <v>805</v>
      </c>
    </row>
    <row r="5436" spans="1:18" x14ac:dyDescent="0.3">
      <c r="A5436" t="s">
        <v>627</v>
      </c>
      <c r="B5436" s="16">
        <v>45602</v>
      </c>
      <c r="C5436" t="s">
        <v>3</v>
      </c>
      <c r="D5436" t="s">
        <v>252</v>
      </c>
      <c r="E5436">
        <v>4</v>
      </c>
      <c r="F5436">
        <v>4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4</v>
      </c>
      <c r="O5436">
        <f t="shared" si="176"/>
        <v>2024</v>
      </c>
      <c r="P5436">
        <f t="shared" si="177"/>
        <v>11</v>
      </c>
      <c r="Q5436" t="s">
        <v>785</v>
      </c>
      <c r="R5436" t="s">
        <v>805</v>
      </c>
    </row>
    <row r="5437" spans="1:18" x14ac:dyDescent="0.3">
      <c r="A5437" t="s">
        <v>627</v>
      </c>
      <c r="B5437" s="16">
        <v>45602</v>
      </c>
      <c r="C5437" t="s">
        <v>3</v>
      </c>
      <c r="D5437" t="s">
        <v>117</v>
      </c>
      <c r="E5437">
        <v>17</v>
      </c>
      <c r="F5437">
        <v>12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2</v>
      </c>
      <c r="N5437">
        <v>17</v>
      </c>
      <c r="O5437">
        <f t="shared" si="176"/>
        <v>2024</v>
      </c>
      <c r="P5437">
        <f t="shared" si="177"/>
        <v>11</v>
      </c>
      <c r="Q5437" t="s">
        <v>785</v>
      </c>
      <c r="R5437" t="s">
        <v>805</v>
      </c>
    </row>
    <row r="5438" spans="1:18" x14ac:dyDescent="0.3">
      <c r="A5438" t="s">
        <v>627</v>
      </c>
      <c r="B5438" s="16">
        <v>45602</v>
      </c>
      <c r="C5438" t="s">
        <v>3</v>
      </c>
      <c r="D5438" t="s">
        <v>115</v>
      </c>
      <c r="E5438">
        <v>5</v>
      </c>
      <c r="F5438">
        <v>2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1</v>
      </c>
      <c r="N5438">
        <v>4</v>
      </c>
      <c r="O5438">
        <f t="shared" si="176"/>
        <v>2024</v>
      </c>
      <c r="P5438">
        <f t="shared" si="177"/>
        <v>11</v>
      </c>
      <c r="Q5438" t="s">
        <v>785</v>
      </c>
      <c r="R5438" t="s">
        <v>805</v>
      </c>
    </row>
    <row r="5439" spans="1:18" x14ac:dyDescent="0.3">
      <c r="A5439" t="s">
        <v>627</v>
      </c>
      <c r="B5439" s="16">
        <v>45602</v>
      </c>
      <c r="C5439" t="s">
        <v>3</v>
      </c>
      <c r="D5439" t="s">
        <v>114</v>
      </c>
      <c r="E5439">
        <v>167</v>
      </c>
      <c r="F5439">
        <v>69</v>
      </c>
      <c r="G5439">
        <v>4</v>
      </c>
      <c r="H5439">
        <v>2</v>
      </c>
      <c r="I5439">
        <v>3900</v>
      </c>
      <c r="J5439">
        <v>1</v>
      </c>
      <c r="K5439">
        <v>3900</v>
      </c>
      <c r="L5439">
        <v>1</v>
      </c>
      <c r="M5439">
        <v>15</v>
      </c>
      <c r="N5439">
        <v>162</v>
      </c>
      <c r="O5439">
        <f t="shared" si="176"/>
        <v>2024</v>
      </c>
      <c r="P5439">
        <f t="shared" si="177"/>
        <v>11</v>
      </c>
      <c r="Q5439" t="s">
        <v>785</v>
      </c>
      <c r="R5439" t="s">
        <v>805</v>
      </c>
    </row>
    <row r="5440" spans="1:18" x14ac:dyDescent="0.3">
      <c r="A5440" t="s">
        <v>627</v>
      </c>
      <c r="B5440" s="16">
        <v>45602</v>
      </c>
      <c r="C5440" t="s">
        <v>3</v>
      </c>
      <c r="D5440" t="s">
        <v>113</v>
      </c>
      <c r="E5440">
        <v>123</v>
      </c>
      <c r="F5440">
        <v>63</v>
      </c>
      <c r="G5440">
        <v>7</v>
      </c>
      <c r="H5440">
        <v>0</v>
      </c>
      <c r="I5440">
        <v>5400</v>
      </c>
      <c r="J5440">
        <v>1</v>
      </c>
      <c r="K5440">
        <v>0</v>
      </c>
      <c r="L5440">
        <v>0</v>
      </c>
      <c r="M5440">
        <v>76</v>
      </c>
      <c r="N5440">
        <v>59</v>
      </c>
      <c r="O5440">
        <f t="shared" si="176"/>
        <v>2024</v>
      </c>
      <c r="P5440">
        <f t="shared" si="177"/>
        <v>11</v>
      </c>
      <c r="Q5440" t="s">
        <v>785</v>
      </c>
      <c r="R5440" t="s">
        <v>805</v>
      </c>
    </row>
    <row r="5441" spans="1:18" x14ac:dyDescent="0.3">
      <c r="A5441" t="s">
        <v>627</v>
      </c>
      <c r="B5441" s="16">
        <v>45602</v>
      </c>
      <c r="C5441" t="s">
        <v>3</v>
      </c>
      <c r="D5441" t="s">
        <v>112</v>
      </c>
      <c r="E5441">
        <v>14</v>
      </c>
      <c r="F5441">
        <v>0</v>
      </c>
      <c r="G5441">
        <v>0</v>
      </c>
      <c r="H5441">
        <v>0</v>
      </c>
      <c r="I5441">
        <v>3900</v>
      </c>
      <c r="J5441">
        <v>1</v>
      </c>
      <c r="K5441">
        <v>3900</v>
      </c>
      <c r="L5441">
        <v>1</v>
      </c>
      <c r="M5441">
        <v>0</v>
      </c>
      <c r="N5441">
        <v>14</v>
      </c>
      <c r="O5441">
        <f t="shared" si="176"/>
        <v>2024</v>
      </c>
      <c r="P5441">
        <f t="shared" si="177"/>
        <v>11</v>
      </c>
      <c r="Q5441" t="s">
        <v>785</v>
      </c>
      <c r="R5441" t="s">
        <v>805</v>
      </c>
    </row>
    <row r="5442" spans="1:18" x14ac:dyDescent="0.3">
      <c r="A5442" t="s">
        <v>627</v>
      </c>
      <c r="B5442" s="16">
        <v>45601</v>
      </c>
      <c r="C5442" t="s">
        <v>2</v>
      </c>
      <c r="D5442" t="s">
        <v>4</v>
      </c>
      <c r="E5442">
        <v>288</v>
      </c>
      <c r="F5442">
        <v>107</v>
      </c>
      <c r="G5442">
        <v>4</v>
      </c>
      <c r="H5442">
        <v>2</v>
      </c>
      <c r="I5442">
        <v>0</v>
      </c>
      <c r="J5442">
        <v>0</v>
      </c>
      <c r="K5442">
        <v>0</v>
      </c>
      <c r="L5442">
        <v>0</v>
      </c>
      <c r="M5442">
        <v>18</v>
      </c>
      <c r="N5442">
        <v>282</v>
      </c>
      <c r="O5442">
        <f t="shared" si="176"/>
        <v>2024</v>
      </c>
      <c r="P5442">
        <f t="shared" si="177"/>
        <v>11</v>
      </c>
      <c r="Q5442" t="s">
        <v>785</v>
      </c>
      <c r="R5442" t="s">
        <v>805</v>
      </c>
    </row>
    <row r="5443" spans="1:18" x14ac:dyDescent="0.3">
      <c r="A5443" t="s">
        <v>627</v>
      </c>
      <c r="B5443" s="16">
        <v>45601</v>
      </c>
      <c r="C5443" t="s">
        <v>2</v>
      </c>
      <c r="D5443" t="s">
        <v>57</v>
      </c>
      <c r="E5443">
        <v>11351</v>
      </c>
      <c r="F5443">
        <v>6541</v>
      </c>
      <c r="G5443">
        <v>288</v>
      </c>
      <c r="H5443">
        <v>140</v>
      </c>
      <c r="I5443">
        <v>204708</v>
      </c>
      <c r="J5443">
        <v>34</v>
      </c>
      <c r="K5443">
        <v>111149.5</v>
      </c>
      <c r="L5443">
        <v>22</v>
      </c>
      <c r="M5443">
        <v>841</v>
      </c>
      <c r="N5443">
        <v>11312</v>
      </c>
      <c r="O5443">
        <f t="shared" si="176"/>
        <v>2024</v>
      </c>
      <c r="P5443">
        <f t="shared" si="177"/>
        <v>11</v>
      </c>
      <c r="Q5443" t="s">
        <v>785</v>
      </c>
      <c r="R5443" t="s">
        <v>805</v>
      </c>
    </row>
    <row r="5444" spans="1:18" x14ac:dyDescent="0.3">
      <c r="A5444" t="s">
        <v>627</v>
      </c>
      <c r="B5444" s="16">
        <v>45601</v>
      </c>
      <c r="C5444" t="s">
        <v>2</v>
      </c>
      <c r="D5444" t="s">
        <v>52</v>
      </c>
      <c r="E5444">
        <v>1129</v>
      </c>
      <c r="F5444">
        <v>916</v>
      </c>
      <c r="G5444">
        <v>16</v>
      </c>
      <c r="H5444">
        <v>4</v>
      </c>
      <c r="I5444">
        <v>14555</v>
      </c>
      <c r="J5444">
        <v>4</v>
      </c>
      <c r="K5444">
        <v>9560</v>
      </c>
      <c r="L5444">
        <v>3</v>
      </c>
      <c r="M5444">
        <v>1129</v>
      </c>
      <c r="N5444">
        <v>414</v>
      </c>
      <c r="O5444">
        <f t="shared" si="176"/>
        <v>2024</v>
      </c>
      <c r="P5444">
        <f t="shared" si="177"/>
        <v>11</v>
      </c>
      <c r="Q5444" t="s">
        <v>785</v>
      </c>
      <c r="R5444" t="s">
        <v>805</v>
      </c>
    </row>
    <row r="5445" spans="1:18" x14ac:dyDescent="0.3">
      <c r="A5445" t="s">
        <v>627</v>
      </c>
      <c r="B5445" s="16">
        <v>45601</v>
      </c>
      <c r="C5445" t="s">
        <v>2</v>
      </c>
      <c r="D5445" t="s">
        <v>55</v>
      </c>
      <c r="E5445">
        <v>285</v>
      </c>
      <c r="F5445">
        <v>158</v>
      </c>
      <c r="G5445">
        <v>11</v>
      </c>
      <c r="H5445">
        <v>12</v>
      </c>
      <c r="I5445">
        <v>0</v>
      </c>
      <c r="J5445">
        <v>0</v>
      </c>
      <c r="K5445">
        <v>0</v>
      </c>
      <c r="L5445">
        <v>0</v>
      </c>
      <c r="M5445">
        <v>8</v>
      </c>
      <c r="N5445">
        <v>236</v>
      </c>
      <c r="O5445">
        <f t="shared" si="176"/>
        <v>2024</v>
      </c>
      <c r="P5445">
        <f t="shared" si="177"/>
        <v>11</v>
      </c>
      <c r="Q5445" t="s">
        <v>785</v>
      </c>
      <c r="R5445" t="s">
        <v>805</v>
      </c>
    </row>
    <row r="5446" spans="1:18" x14ac:dyDescent="0.3">
      <c r="A5446" t="s">
        <v>627</v>
      </c>
      <c r="B5446" s="16">
        <v>45601</v>
      </c>
      <c r="C5446" t="s">
        <v>3</v>
      </c>
      <c r="D5446" t="s">
        <v>155</v>
      </c>
      <c r="E5446">
        <v>4</v>
      </c>
      <c r="F5446">
        <v>4</v>
      </c>
      <c r="G5446">
        <v>0</v>
      </c>
      <c r="H5446">
        <v>1</v>
      </c>
      <c r="I5446">
        <v>0</v>
      </c>
      <c r="J5446">
        <v>0</v>
      </c>
      <c r="K5446">
        <v>0</v>
      </c>
      <c r="L5446">
        <v>0</v>
      </c>
      <c r="M5446">
        <v>1</v>
      </c>
      <c r="N5446">
        <v>4</v>
      </c>
      <c r="O5446">
        <f t="shared" si="176"/>
        <v>2024</v>
      </c>
      <c r="P5446">
        <f t="shared" si="177"/>
        <v>11</v>
      </c>
      <c r="Q5446" t="s">
        <v>785</v>
      </c>
      <c r="R5446" t="s">
        <v>805</v>
      </c>
    </row>
    <row r="5447" spans="1:18" x14ac:dyDescent="0.3">
      <c r="A5447" t="s">
        <v>627</v>
      </c>
      <c r="B5447" s="16">
        <v>45601</v>
      </c>
      <c r="C5447" t="s">
        <v>3</v>
      </c>
      <c r="D5447" t="s">
        <v>154</v>
      </c>
      <c r="E5447">
        <v>1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1</v>
      </c>
      <c r="O5447">
        <f t="shared" si="176"/>
        <v>2024</v>
      </c>
      <c r="P5447">
        <f t="shared" si="177"/>
        <v>11</v>
      </c>
      <c r="Q5447" t="s">
        <v>785</v>
      </c>
      <c r="R5447" t="s">
        <v>805</v>
      </c>
    </row>
    <row r="5448" spans="1:18" x14ac:dyDescent="0.3">
      <c r="A5448" t="s">
        <v>627</v>
      </c>
      <c r="B5448" s="16">
        <v>45601</v>
      </c>
      <c r="C5448" t="s">
        <v>3</v>
      </c>
      <c r="D5448" t="s">
        <v>153</v>
      </c>
      <c r="E5448">
        <v>575</v>
      </c>
      <c r="F5448">
        <v>105</v>
      </c>
      <c r="G5448">
        <v>40</v>
      </c>
      <c r="H5448">
        <v>5</v>
      </c>
      <c r="I5448">
        <v>181364.5</v>
      </c>
      <c r="J5448">
        <v>33</v>
      </c>
      <c r="K5448">
        <v>178384.5</v>
      </c>
      <c r="L5448">
        <v>31</v>
      </c>
      <c r="M5448">
        <v>124</v>
      </c>
      <c r="N5448">
        <v>556</v>
      </c>
      <c r="O5448">
        <f t="shared" si="176"/>
        <v>2024</v>
      </c>
      <c r="P5448">
        <f t="shared" si="177"/>
        <v>11</v>
      </c>
      <c r="Q5448" t="s">
        <v>785</v>
      </c>
      <c r="R5448" t="s">
        <v>805</v>
      </c>
    </row>
    <row r="5449" spans="1:18" x14ac:dyDescent="0.3">
      <c r="A5449" t="s">
        <v>627</v>
      </c>
      <c r="B5449" s="16">
        <v>45601</v>
      </c>
      <c r="C5449" t="s">
        <v>3</v>
      </c>
      <c r="D5449" t="s">
        <v>152</v>
      </c>
      <c r="E5449">
        <v>3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3</v>
      </c>
      <c r="O5449">
        <f t="shared" ref="O5449:O5512" si="178">YEAR(B5449)</f>
        <v>2024</v>
      </c>
      <c r="P5449">
        <f t="shared" ref="P5449:P5512" si="179">MONTH(B5449)</f>
        <v>11</v>
      </c>
      <c r="Q5449" t="s">
        <v>785</v>
      </c>
      <c r="R5449" t="s">
        <v>805</v>
      </c>
    </row>
    <row r="5450" spans="1:18" x14ac:dyDescent="0.3">
      <c r="A5450" t="s">
        <v>627</v>
      </c>
      <c r="B5450" s="16">
        <v>45601</v>
      </c>
      <c r="C5450" t="s">
        <v>3</v>
      </c>
      <c r="D5450" t="s">
        <v>150</v>
      </c>
      <c r="E5450">
        <v>7</v>
      </c>
      <c r="F5450">
        <v>1</v>
      </c>
      <c r="G5450">
        <v>1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1</v>
      </c>
      <c r="N5450">
        <v>7</v>
      </c>
      <c r="O5450">
        <f t="shared" si="178"/>
        <v>2024</v>
      </c>
      <c r="P5450">
        <f t="shared" si="179"/>
        <v>11</v>
      </c>
      <c r="Q5450" t="s">
        <v>785</v>
      </c>
      <c r="R5450" t="s">
        <v>805</v>
      </c>
    </row>
    <row r="5451" spans="1:18" x14ac:dyDescent="0.3">
      <c r="A5451" t="s">
        <v>627</v>
      </c>
      <c r="B5451" s="16">
        <v>45601</v>
      </c>
      <c r="C5451" t="s">
        <v>3</v>
      </c>
      <c r="D5451" t="s">
        <v>149</v>
      </c>
      <c r="E5451">
        <v>20</v>
      </c>
      <c r="F5451">
        <v>9</v>
      </c>
      <c r="G5451">
        <v>2</v>
      </c>
      <c r="H5451">
        <v>1</v>
      </c>
      <c r="I5451">
        <v>0</v>
      </c>
      <c r="J5451">
        <v>0</v>
      </c>
      <c r="K5451">
        <v>0</v>
      </c>
      <c r="L5451">
        <v>0</v>
      </c>
      <c r="M5451">
        <v>2</v>
      </c>
      <c r="N5451">
        <v>19</v>
      </c>
      <c r="O5451">
        <f t="shared" si="178"/>
        <v>2024</v>
      </c>
      <c r="P5451">
        <f t="shared" si="179"/>
        <v>11</v>
      </c>
      <c r="Q5451" t="s">
        <v>785</v>
      </c>
      <c r="R5451" t="s">
        <v>805</v>
      </c>
    </row>
    <row r="5452" spans="1:18" x14ac:dyDescent="0.3">
      <c r="A5452" t="s">
        <v>627</v>
      </c>
      <c r="B5452" s="16">
        <v>45601</v>
      </c>
      <c r="C5452" t="s">
        <v>3</v>
      </c>
      <c r="D5452" t="s">
        <v>148</v>
      </c>
      <c r="E5452">
        <v>3</v>
      </c>
      <c r="F5452">
        <v>1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1</v>
      </c>
      <c r="N5452">
        <v>2</v>
      </c>
      <c r="O5452">
        <f t="shared" si="178"/>
        <v>2024</v>
      </c>
      <c r="P5452">
        <f t="shared" si="179"/>
        <v>11</v>
      </c>
      <c r="Q5452" t="s">
        <v>785</v>
      </c>
      <c r="R5452" t="s">
        <v>805</v>
      </c>
    </row>
    <row r="5453" spans="1:18" x14ac:dyDescent="0.3">
      <c r="A5453" t="s">
        <v>627</v>
      </c>
      <c r="B5453" s="16">
        <v>45601</v>
      </c>
      <c r="C5453" t="s">
        <v>3</v>
      </c>
      <c r="D5453" t="s">
        <v>251</v>
      </c>
      <c r="E5453">
        <v>400</v>
      </c>
      <c r="F5453">
        <v>147</v>
      </c>
      <c r="G5453">
        <v>28</v>
      </c>
      <c r="H5453">
        <v>9</v>
      </c>
      <c r="I5453">
        <v>31562.5</v>
      </c>
      <c r="J5453">
        <v>6</v>
      </c>
      <c r="K5453">
        <v>21315</v>
      </c>
      <c r="L5453">
        <v>5</v>
      </c>
      <c r="M5453">
        <v>98</v>
      </c>
      <c r="N5453">
        <v>353</v>
      </c>
      <c r="O5453">
        <f t="shared" si="178"/>
        <v>2024</v>
      </c>
      <c r="P5453">
        <f t="shared" si="179"/>
        <v>11</v>
      </c>
      <c r="Q5453" t="s">
        <v>785</v>
      </c>
      <c r="R5453" t="s">
        <v>805</v>
      </c>
    </row>
    <row r="5454" spans="1:18" x14ac:dyDescent="0.3">
      <c r="A5454" t="s">
        <v>627</v>
      </c>
      <c r="B5454" s="16">
        <v>45601</v>
      </c>
      <c r="C5454" t="s">
        <v>3</v>
      </c>
      <c r="D5454" t="s">
        <v>143</v>
      </c>
      <c r="E5454">
        <v>15</v>
      </c>
      <c r="F5454">
        <v>15</v>
      </c>
      <c r="G5454">
        <v>1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15</v>
      </c>
      <c r="O5454">
        <f t="shared" si="178"/>
        <v>2024</v>
      </c>
      <c r="P5454">
        <f t="shared" si="179"/>
        <v>11</v>
      </c>
      <c r="Q5454" t="s">
        <v>785</v>
      </c>
      <c r="R5454" t="s">
        <v>805</v>
      </c>
    </row>
    <row r="5455" spans="1:18" x14ac:dyDescent="0.3">
      <c r="A5455" t="s">
        <v>627</v>
      </c>
      <c r="B5455" s="16">
        <v>45601</v>
      </c>
      <c r="C5455" t="s">
        <v>3</v>
      </c>
      <c r="D5455" t="s">
        <v>141</v>
      </c>
      <c r="E5455">
        <v>6</v>
      </c>
      <c r="F5455">
        <v>6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6</v>
      </c>
      <c r="O5455">
        <f t="shared" si="178"/>
        <v>2024</v>
      </c>
      <c r="P5455">
        <f t="shared" si="179"/>
        <v>11</v>
      </c>
      <c r="Q5455" t="s">
        <v>785</v>
      </c>
      <c r="R5455" t="s">
        <v>805</v>
      </c>
    </row>
    <row r="5456" spans="1:18" x14ac:dyDescent="0.3">
      <c r="A5456" t="s">
        <v>627</v>
      </c>
      <c r="B5456" s="16">
        <v>45601</v>
      </c>
      <c r="C5456" t="s">
        <v>3</v>
      </c>
      <c r="D5456" t="s">
        <v>140</v>
      </c>
      <c r="E5456">
        <v>5</v>
      </c>
      <c r="F5456">
        <v>1</v>
      </c>
      <c r="G5456">
        <v>0</v>
      </c>
      <c r="H5456">
        <v>1</v>
      </c>
      <c r="I5456">
        <v>0</v>
      </c>
      <c r="J5456">
        <v>0</v>
      </c>
      <c r="K5456">
        <v>0</v>
      </c>
      <c r="L5456">
        <v>0</v>
      </c>
      <c r="M5456">
        <v>3</v>
      </c>
      <c r="N5456">
        <v>5</v>
      </c>
      <c r="O5456">
        <f t="shared" si="178"/>
        <v>2024</v>
      </c>
      <c r="P5456">
        <f t="shared" si="179"/>
        <v>11</v>
      </c>
      <c r="Q5456" t="s">
        <v>785</v>
      </c>
      <c r="R5456" t="s">
        <v>805</v>
      </c>
    </row>
    <row r="5457" spans="1:18" x14ac:dyDescent="0.3">
      <c r="A5457" t="s">
        <v>627</v>
      </c>
      <c r="B5457" s="16">
        <v>45601</v>
      </c>
      <c r="C5457" t="s">
        <v>3</v>
      </c>
      <c r="D5457" t="s">
        <v>139</v>
      </c>
      <c r="E5457">
        <v>2288</v>
      </c>
      <c r="F5457">
        <v>1418</v>
      </c>
      <c r="G5457">
        <v>108</v>
      </c>
      <c r="H5457">
        <v>28</v>
      </c>
      <c r="I5457">
        <v>155721.98000000001</v>
      </c>
      <c r="J5457">
        <v>25</v>
      </c>
      <c r="K5457">
        <v>100648.98</v>
      </c>
      <c r="L5457">
        <v>19</v>
      </c>
      <c r="M5457">
        <v>486</v>
      </c>
      <c r="N5457">
        <v>2189</v>
      </c>
      <c r="O5457">
        <f t="shared" si="178"/>
        <v>2024</v>
      </c>
      <c r="P5457">
        <f t="shared" si="179"/>
        <v>11</v>
      </c>
      <c r="Q5457" t="s">
        <v>785</v>
      </c>
      <c r="R5457" t="s">
        <v>805</v>
      </c>
    </row>
    <row r="5458" spans="1:18" x14ac:dyDescent="0.3">
      <c r="A5458" t="s">
        <v>627</v>
      </c>
      <c r="B5458" s="16">
        <v>45601</v>
      </c>
      <c r="C5458" t="s">
        <v>3</v>
      </c>
      <c r="D5458" t="s">
        <v>138</v>
      </c>
      <c r="E5458">
        <v>50</v>
      </c>
      <c r="F5458">
        <v>30</v>
      </c>
      <c r="G5458">
        <v>1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3</v>
      </c>
      <c r="N5458">
        <v>50</v>
      </c>
      <c r="O5458">
        <f t="shared" si="178"/>
        <v>2024</v>
      </c>
      <c r="P5458">
        <f t="shared" si="179"/>
        <v>11</v>
      </c>
      <c r="Q5458" t="s">
        <v>785</v>
      </c>
      <c r="R5458" t="s">
        <v>805</v>
      </c>
    </row>
    <row r="5459" spans="1:18" x14ac:dyDescent="0.3">
      <c r="A5459" t="s">
        <v>627</v>
      </c>
      <c r="B5459" s="16">
        <v>45601</v>
      </c>
      <c r="C5459" t="s">
        <v>3</v>
      </c>
      <c r="D5459" t="s">
        <v>137</v>
      </c>
      <c r="E5459">
        <v>4</v>
      </c>
      <c r="F5459">
        <v>2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4</v>
      </c>
      <c r="O5459">
        <f t="shared" si="178"/>
        <v>2024</v>
      </c>
      <c r="P5459">
        <f t="shared" si="179"/>
        <v>11</v>
      </c>
      <c r="Q5459" t="s">
        <v>785</v>
      </c>
      <c r="R5459" t="s">
        <v>805</v>
      </c>
    </row>
    <row r="5460" spans="1:18" x14ac:dyDescent="0.3">
      <c r="A5460" t="s">
        <v>627</v>
      </c>
      <c r="B5460" s="16">
        <v>45601</v>
      </c>
      <c r="C5460" t="s">
        <v>3</v>
      </c>
      <c r="D5460" t="s">
        <v>135</v>
      </c>
      <c r="E5460">
        <v>10</v>
      </c>
      <c r="F5460">
        <v>4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10</v>
      </c>
      <c r="O5460">
        <f t="shared" si="178"/>
        <v>2024</v>
      </c>
      <c r="P5460">
        <f t="shared" si="179"/>
        <v>11</v>
      </c>
      <c r="Q5460" t="s">
        <v>785</v>
      </c>
      <c r="R5460" t="s">
        <v>805</v>
      </c>
    </row>
    <row r="5461" spans="1:18" x14ac:dyDescent="0.3">
      <c r="A5461" t="s">
        <v>627</v>
      </c>
      <c r="B5461" s="16">
        <v>45601</v>
      </c>
      <c r="C5461" t="s">
        <v>3</v>
      </c>
      <c r="D5461" t="s">
        <v>133</v>
      </c>
      <c r="E5461">
        <v>33</v>
      </c>
      <c r="F5461">
        <v>20</v>
      </c>
      <c r="G5461">
        <v>3</v>
      </c>
      <c r="H5461">
        <v>0</v>
      </c>
      <c r="I5461">
        <v>11005</v>
      </c>
      <c r="J5461">
        <v>2</v>
      </c>
      <c r="K5461">
        <v>11005</v>
      </c>
      <c r="L5461">
        <v>2</v>
      </c>
      <c r="M5461">
        <v>5</v>
      </c>
      <c r="N5461">
        <v>29</v>
      </c>
      <c r="O5461">
        <f t="shared" si="178"/>
        <v>2024</v>
      </c>
      <c r="P5461">
        <f t="shared" si="179"/>
        <v>11</v>
      </c>
      <c r="Q5461" t="s">
        <v>785</v>
      </c>
      <c r="R5461" t="s">
        <v>805</v>
      </c>
    </row>
    <row r="5462" spans="1:18" x14ac:dyDescent="0.3">
      <c r="A5462" t="s">
        <v>627</v>
      </c>
      <c r="B5462" s="16">
        <v>45601</v>
      </c>
      <c r="C5462" t="s">
        <v>3</v>
      </c>
      <c r="D5462" t="s">
        <v>130</v>
      </c>
      <c r="E5462">
        <v>405</v>
      </c>
      <c r="F5462">
        <v>118</v>
      </c>
      <c r="G5462">
        <v>16</v>
      </c>
      <c r="H5462">
        <v>7</v>
      </c>
      <c r="I5462">
        <v>69101</v>
      </c>
      <c r="J5462">
        <v>12</v>
      </c>
      <c r="K5462">
        <v>61328</v>
      </c>
      <c r="L5462">
        <v>12</v>
      </c>
      <c r="M5462">
        <v>98</v>
      </c>
      <c r="N5462">
        <v>389</v>
      </c>
      <c r="O5462">
        <f t="shared" si="178"/>
        <v>2024</v>
      </c>
      <c r="P5462">
        <f t="shared" si="179"/>
        <v>11</v>
      </c>
      <c r="Q5462" t="s">
        <v>785</v>
      </c>
      <c r="R5462" t="s">
        <v>805</v>
      </c>
    </row>
    <row r="5463" spans="1:18" x14ac:dyDescent="0.3">
      <c r="A5463" t="s">
        <v>627</v>
      </c>
      <c r="B5463" s="16">
        <v>45601</v>
      </c>
      <c r="C5463" t="s">
        <v>3</v>
      </c>
      <c r="D5463" t="s">
        <v>128</v>
      </c>
      <c r="E5463">
        <v>1676</v>
      </c>
      <c r="F5463">
        <v>1287</v>
      </c>
      <c r="G5463">
        <v>44</v>
      </c>
      <c r="H5463">
        <v>15</v>
      </c>
      <c r="I5463">
        <v>64018.5</v>
      </c>
      <c r="J5463">
        <v>14</v>
      </c>
      <c r="K5463">
        <v>48733</v>
      </c>
      <c r="L5463">
        <v>11</v>
      </c>
      <c r="M5463">
        <v>334</v>
      </c>
      <c r="N5463">
        <v>1565</v>
      </c>
      <c r="O5463">
        <f t="shared" si="178"/>
        <v>2024</v>
      </c>
      <c r="P5463">
        <f t="shared" si="179"/>
        <v>11</v>
      </c>
      <c r="Q5463" t="s">
        <v>785</v>
      </c>
      <c r="R5463" t="s">
        <v>805</v>
      </c>
    </row>
    <row r="5464" spans="1:18" x14ac:dyDescent="0.3">
      <c r="A5464" t="s">
        <v>627</v>
      </c>
      <c r="B5464" s="16">
        <v>45601</v>
      </c>
      <c r="C5464" t="s">
        <v>3</v>
      </c>
      <c r="D5464" t="s">
        <v>127</v>
      </c>
      <c r="E5464">
        <v>5737</v>
      </c>
      <c r="F5464">
        <v>3175</v>
      </c>
      <c r="G5464">
        <v>122</v>
      </c>
      <c r="H5464">
        <v>56</v>
      </c>
      <c r="I5464">
        <v>60865</v>
      </c>
      <c r="J5464">
        <v>10</v>
      </c>
      <c r="K5464">
        <v>21470</v>
      </c>
      <c r="L5464">
        <v>6</v>
      </c>
      <c r="M5464">
        <v>1472</v>
      </c>
      <c r="N5464">
        <v>4656</v>
      </c>
      <c r="O5464">
        <f t="shared" si="178"/>
        <v>2024</v>
      </c>
      <c r="P5464">
        <f t="shared" si="179"/>
        <v>11</v>
      </c>
      <c r="Q5464" t="s">
        <v>785</v>
      </c>
      <c r="R5464" t="s">
        <v>805</v>
      </c>
    </row>
    <row r="5465" spans="1:18" x14ac:dyDescent="0.3">
      <c r="A5465" t="s">
        <v>627</v>
      </c>
      <c r="B5465" s="16">
        <v>45601</v>
      </c>
      <c r="C5465" t="s">
        <v>3</v>
      </c>
      <c r="D5465" t="s">
        <v>126</v>
      </c>
      <c r="E5465">
        <v>161</v>
      </c>
      <c r="F5465">
        <v>103</v>
      </c>
      <c r="G5465">
        <v>7</v>
      </c>
      <c r="H5465">
        <v>4</v>
      </c>
      <c r="I5465">
        <v>2990</v>
      </c>
      <c r="J5465">
        <v>1</v>
      </c>
      <c r="K5465">
        <v>0</v>
      </c>
      <c r="L5465">
        <v>0</v>
      </c>
      <c r="M5465">
        <v>24</v>
      </c>
      <c r="N5465">
        <v>157</v>
      </c>
      <c r="O5465">
        <f t="shared" si="178"/>
        <v>2024</v>
      </c>
      <c r="P5465">
        <f t="shared" si="179"/>
        <v>11</v>
      </c>
      <c r="Q5465" t="s">
        <v>785</v>
      </c>
      <c r="R5465" t="s">
        <v>805</v>
      </c>
    </row>
    <row r="5466" spans="1:18" x14ac:dyDescent="0.3">
      <c r="A5466" t="s">
        <v>627</v>
      </c>
      <c r="B5466" s="16">
        <v>45601</v>
      </c>
      <c r="C5466" t="s">
        <v>3</v>
      </c>
      <c r="D5466" t="s">
        <v>125</v>
      </c>
      <c r="E5466">
        <v>5</v>
      </c>
      <c r="F5466">
        <v>3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5</v>
      </c>
      <c r="O5466">
        <f t="shared" si="178"/>
        <v>2024</v>
      </c>
      <c r="P5466">
        <f t="shared" si="179"/>
        <v>11</v>
      </c>
      <c r="Q5466" t="s">
        <v>785</v>
      </c>
      <c r="R5466" t="s">
        <v>805</v>
      </c>
    </row>
    <row r="5467" spans="1:18" x14ac:dyDescent="0.3">
      <c r="A5467" t="s">
        <v>627</v>
      </c>
      <c r="B5467" s="16">
        <v>45601</v>
      </c>
      <c r="C5467" t="s">
        <v>3</v>
      </c>
      <c r="D5467" t="s">
        <v>123</v>
      </c>
      <c r="E5467">
        <v>304</v>
      </c>
      <c r="F5467">
        <v>115</v>
      </c>
      <c r="G5467">
        <v>20</v>
      </c>
      <c r="H5467">
        <v>5</v>
      </c>
      <c r="I5467">
        <v>23457.23</v>
      </c>
      <c r="J5467">
        <v>7</v>
      </c>
      <c r="K5467">
        <v>16497.23</v>
      </c>
      <c r="L5467">
        <v>5</v>
      </c>
      <c r="M5467">
        <v>97</v>
      </c>
      <c r="N5467">
        <v>274</v>
      </c>
      <c r="O5467">
        <f t="shared" si="178"/>
        <v>2024</v>
      </c>
      <c r="P5467">
        <f t="shared" si="179"/>
        <v>11</v>
      </c>
      <c r="Q5467" t="s">
        <v>785</v>
      </c>
      <c r="R5467" t="s">
        <v>805</v>
      </c>
    </row>
    <row r="5468" spans="1:18" x14ac:dyDescent="0.3">
      <c r="A5468" t="s">
        <v>627</v>
      </c>
      <c r="B5468" s="16">
        <v>45601</v>
      </c>
      <c r="C5468" t="s">
        <v>3</v>
      </c>
      <c r="D5468" t="s">
        <v>121</v>
      </c>
      <c r="E5468">
        <v>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3</v>
      </c>
      <c r="O5468">
        <f t="shared" si="178"/>
        <v>2024</v>
      </c>
      <c r="P5468">
        <f t="shared" si="179"/>
        <v>11</v>
      </c>
      <c r="Q5468" t="s">
        <v>785</v>
      </c>
      <c r="R5468" t="s">
        <v>805</v>
      </c>
    </row>
    <row r="5469" spans="1:18" x14ac:dyDescent="0.3">
      <c r="A5469" t="s">
        <v>627</v>
      </c>
      <c r="B5469" s="16">
        <v>45601</v>
      </c>
      <c r="C5469" t="s">
        <v>3</v>
      </c>
      <c r="D5469" t="s">
        <v>119</v>
      </c>
      <c r="E5469">
        <v>432</v>
      </c>
      <c r="F5469">
        <v>85</v>
      </c>
      <c r="G5469">
        <v>28</v>
      </c>
      <c r="H5469">
        <v>9</v>
      </c>
      <c r="I5469">
        <v>52973.98</v>
      </c>
      <c r="J5469">
        <v>11</v>
      </c>
      <c r="K5469">
        <v>41577.980000000003</v>
      </c>
      <c r="L5469">
        <v>8</v>
      </c>
      <c r="M5469">
        <v>109</v>
      </c>
      <c r="N5469">
        <v>406</v>
      </c>
      <c r="O5469">
        <f t="shared" si="178"/>
        <v>2024</v>
      </c>
      <c r="P5469">
        <f t="shared" si="179"/>
        <v>11</v>
      </c>
      <c r="Q5469" t="s">
        <v>785</v>
      </c>
      <c r="R5469" t="s">
        <v>805</v>
      </c>
    </row>
    <row r="5470" spans="1:18" x14ac:dyDescent="0.3">
      <c r="A5470" t="s">
        <v>627</v>
      </c>
      <c r="B5470" s="16">
        <v>45601</v>
      </c>
      <c r="C5470" t="s">
        <v>3</v>
      </c>
      <c r="D5470" t="s">
        <v>252</v>
      </c>
      <c r="E5470">
        <v>3</v>
      </c>
      <c r="F5470">
        <v>2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3</v>
      </c>
      <c r="O5470">
        <f t="shared" si="178"/>
        <v>2024</v>
      </c>
      <c r="P5470">
        <f t="shared" si="179"/>
        <v>11</v>
      </c>
      <c r="Q5470" t="s">
        <v>785</v>
      </c>
      <c r="R5470" t="s">
        <v>805</v>
      </c>
    </row>
    <row r="5471" spans="1:18" x14ac:dyDescent="0.3">
      <c r="A5471" t="s">
        <v>627</v>
      </c>
      <c r="B5471" s="16">
        <v>45601</v>
      </c>
      <c r="C5471" t="s">
        <v>3</v>
      </c>
      <c r="D5471" t="s">
        <v>117</v>
      </c>
      <c r="E5471">
        <v>20</v>
      </c>
      <c r="F5471">
        <v>18</v>
      </c>
      <c r="G5471">
        <v>1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3</v>
      </c>
      <c r="N5471">
        <v>20</v>
      </c>
      <c r="O5471">
        <f t="shared" si="178"/>
        <v>2024</v>
      </c>
      <c r="P5471">
        <f t="shared" si="179"/>
        <v>11</v>
      </c>
      <c r="Q5471" t="s">
        <v>785</v>
      </c>
      <c r="R5471" t="s">
        <v>805</v>
      </c>
    </row>
    <row r="5472" spans="1:18" x14ac:dyDescent="0.3">
      <c r="A5472" t="s">
        <v>627</v>
      </c>
      <c r="B5472" s="16">
        <v>45601</v>
      </c>
      <c r="C5472" t="s">
        <v>3</v>
      </c>
      <c r="D5472" t="s">
        <v>115</v>
      </c>
      <c r="E5472">
        <v>5</v>
      </c>
      <c r="F5472">
        <v>2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1</v>
      </c>
      <c r="N5472">
        <v>5</v>
      </c>
      <c r="O5472">
        <f t="shared" si="178"/>
        <v>2024</v>
      </c>
      <c r="P5472">
        <f t="shared" si="179"/>
        <v>11</v>
      </c>
      <c r="Q5472" t="s">
        <v>785</v>
      </c>
      <c r="R5472" t="s">
        <v>805</v>
      </c>
    </row>
    <row r="5473" spans="1:18" x14ac:dyDescent="0.3">
      <c r="A5473" t="s">
        <v>627</v>
      </c>
      <c r="B5473" s="16">
        <v>45601</v>
      </c>
      <c r="C5473" t="s">
        <v>3</v>
      </c>
      <c r="D5473" t="s">
        <v>114</v>
      </c>
      <c r="E5473">
        <v>167</v>
      </c>
      <c r="F5473">
        <v>80</v>
      </c>
      <c r="G5473">
        <v>3</v>
      </c>
      <c r="H5473">
        <v>3</v>
      </c>
      <c r="I5473">
        <v>0</v>
      </c>
      <c r="J5473">
        <v>0</v>
      </c>
      <c r="K5473">
        <v>0</v>
      </c>
      <c r="L5473">
        <v>0</v>
      </c>
      <c r="M5473">
        <v>14</v>
      </c>
      <c r="N5473">
        <v>162</v>
      </c>
      <c r="O5473">
        <f t="shared" si="178"/>
        <v>2024</v>
      </c>
      <c r="P5473">
        <f t="shared" si="179"/>
        <v>11</v>
      </c>
      <c r="Q5473" t="s">
        <v>785</v>
      </c>
      <c r="R5473" t="s">
        <v>805</v>
      </c>
    </row>
    <row r="5474" spans="1:18" x14ac:dyDescent="0.3">
      <c r="A5474" t="s">
        <v>627</v>
      </c>
      <c r="B5474" s="16">
        <v>45601</v>
      </c>
      <c r="C5474" t="s">
        <v>3</v>
      </c>
      <c r="D5474" t="s">
        <v>113</v>
      </c>
      <c r="E5474">
        <v>110</v>
      </c>
      <c r="F5474">
        <v>50</v>
      </c>
      <c r="G5474">
        <v>1</v>
      </c>
      <c r="H5474">
        <v>1</v>
      </c>
      <c r="I5474">
        <v>0</v>
      </c>
      <c r="J5474">
        <v>0</v>
      </c>
      <c r="K5474">
        <v>0</v>
      </c>
      <c r="L5474">
        <v>0</v>
      </c>
      <c r="M5474">
        <v>90</v>
      </c>
      <c r="N5474">
        <v>60</v>
      </c>
      <c r="O5474">
        <f t="shared" si="178"/>
        <v>2024</v>
      </c>
      <c r="P5474">
        <f t="shared" si="179"/>
        <v>11</v>
      </c>
      <c r="Q5474" t="s">
        <v>785</v>
      </c>
      <c r="R5474" t="s">
        <v>805</v>
      </c>
    </row>
    <row r="5475" spans="1:18" x14ac:dyDescent="0.3">
      <c r="A5475" t="s">
        <v>627</v>
      </c>
      <c r="B5475" s="16">
        <v>45601</v>
      </c>
      <c r="C5475" t="s">
        <v>3</v>
      </c>
      <c r="D5475" t="s">
        <v>112</v>
      </c>
      <c r="E5475">
        <v>19</v>
      </c>
      <c r="F5475">
        <v>6</v>
      </c>
      <c r="G5475">
        <v>1</v>
      </c>
      <c r="H5475">
        <v>0</v>
      </c>
      <c r="I5475">
        <v>7720</v>
      </c>
      <c r="J5475">
        <v>1</v>
      </c>
      <c r="K5475">
        <v>7720</v>
      </c>
      <c r="L5475">
        <v>1</v>
      </c>
      <c r="M5475">
        <v>0</v>
      </c>
      <c r="N5475">
        <v>19</v>
      </c>
      <c r="O5475">
        <f t="shared" si="178"/>
        <v>2024</v>
      </c>
      <c r="P5475">
        <f t="shared" si="179"/>
        <v>11</v>
      </c>
      <c r="Q5475" t="s">
        <v>785</v>
      </c>
      <c r="R5475" t="s">
        <v>805</v>
      </c>
    </row>
    <row r="5476" spans="1:18" x14ac:dyDescent="0.3">
      <c r="A5476" t="s">
        <v>627</v>
      </c>
      <c r="B5476" s="16">
        <v>45601</v>
      </c>
      <c r="C5476" t="s">
        <v>3</v>
      </c>
      <c r="D5476" t="s">
        <v>111</v>
      </c>
      <c r="E5476">
        <v>1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1</v>
      </c>
      <c r="O5476">
        <f t="shared" si="178"/>
        <v>2024</v>
      </c>
      <c r="P5476">
        <f t="shared" si="179"/>
        <v>11</v>
      </c>
      <c r="Q5476" t="s">
        <v>785</v>
      </c>
      <c r="R5476" t="s">
        <v>805</v>
      </c>
    </row>
    <row r="5477" spans="1:18" x14ac:dyDescent="0.3">
      <c r="A5477" t="s">
        <v>627</v>
      </c>
      <c r="B5477" s="16">
        <v>45600</v>
      </c>
      <c r="C5477" t="s">
        <v>2</v>
      </c>
      <c r="D5477" t="s">
        <v>4</v>
      </c>
      <c r="E5477">
        <v>351</v>
      </c>
      <c r="F5477">
        <v>113</v>
      </c>
      <c r="G5477">
        <v>4</v>
      </c>
      <c r="H5477">
        <v>0</v>
      </c>
      <c r="I5477">
        <v>9395</v>
      </c>
      <c r="J5477">
        <v>1</v>
      </c>
      <c r="K5477">
        <v>3875</v>
      </c>
      <c r="L5477">
        <v>1</v>
      </c>
      <c r="M5477">
        <v>15</v>
      </c>
      <c r="N5477">
        <v>347</v>
      </c>
      <c r="O5477">
        <f t="shared" si="178"/>
        <v>2024</v>
      </c>
      <c r="P5477">
        <f t="shared" si="179"/>
        <v>11</v>
      </c>
      <c r="Q5477" t="s">
        <v>785</v>
      </c>
      <c r="R5477" t="s">
        <v>805</v>
      </c>
    </row>
    <row r="5478" spans="1:18" x14ac:dyDescent="0.3">
      <c r="A5478" t="s">
        <v>627</v>
      </c>
      <c r="B5478" s="16">
        <v>45600</v>
      </c>
      <c r="C5478" t="s">
        <v>2</v>
      </c>
      <c r="D5478" t="s">
        <v>57</v>
      </c>
      <c r="E5478">
        <v>12692</v>
      </c>
      <c r="F5478">
        <v>7114</v>
      </c>
      <c r="G5478">
        <v>297</v>
      </c>
      <c r="H5478">
        <v>157</v>
      </c>
      <c r="I5478">
        <v>220468</v>
      </c>
      <c r="J5478">
        <v>40</v>
      </c>
      <c r="K5478">
        <v>87671</v>
      </c>
      <c r="L5478">
        <v>23</v>
      </c>
      <c r="M5478">
        <v>847</v>
      </c>
      <c r="N5478">
        <v>12662</v>
      </c>
      <c r="O5478">
        <f t="shared" si="178"/>
        <v>2024</v>
      </c>
      <c r="P5478">
        <f t="shared" si="179"/>
        <v>11</v>
      </c>
      <c r="Q5478" t="s">
        <v>785</v>
      </c>
      <c r="R5478" t="s">
        <v>805</v>
      </c>
    </row>
    <row r="5479" spans="1:18" x14ac:dyDescent="0.3">
      <c r="A5479" t="s">
        <v>627</v>
      </c>
      <c r="B5479" s="16">
        <v>45600</v>
      </c>
      <c r="C5479" t="s">
        <v>2</v>
      </c>
      <c r="D5479" t="s">
        <v>52</v>
      </c>
      <c r="E5479">
        <v>1499</v>
      </c>
      <c r="F5479">
        <v>1246</v>
      </c>
      <c r="G5479">
        <v>21</v>
      </c>
      <c r="H5479">
        <v>8</v>
      </c>
      <c r="I5479">
        <v>12238</v>
      </c>
      <c r="J5479">
        <v>4</v>
      </c>
      <c r="K5479">
        <v>10558</v>
      </c>
      <c r="L5479">
        <v>4</v>
      </c>
      <c r="M5479">
        <v>1499</v>
      </c>
      <c r="N5479">
        <v>515</v>
      </c>
      <c r="O5479">
        <f t="shared" si="178"/>
        <v>2024</v>
      </c>
      <c r="P5479">
        <f t="shared" si="179"/>
        <v>11</v>
      </c>
      <c r="Q5479" t="s">
        <v>785</v>
      </c>
      <c r="R5479" t="s">
        <v>805</v>
      </c>
    </row>
    <row r="5480" spans="1:18" x14ac:dyDescent="0.3">
      <c r="A5480" t="s">
        <v>627</v>
      </c>
      <c r="B5480" s="16">
        <v>45600</v>
      </c>
      <c r="C5480" t="s">
        <v>2</v>
      </c>
      <c r="D5480" t="s">
        <v>55</v>
      </c>
      <c r="E5480">
        <v>172</v>
      </c>
      <c r="F5480">
        <v>103</v>
      </c>
      <c r="G5480">
        <v>9</v>
      </c>
      <c r="H5480">
        <v>5</v>
      </c>
      <c r="I5480">
        <v>0</v>
      </c>
      <c r="J5480">
        <v>0</v>
      </c>
      <c r="K5480">
        <v>0</v>
      </c>
      <c r="L5480">
        <v>0</v>
      </c>
      <c r="M5480">
        <v>5</v>
      </c>
      <c r="N5480">
        <v>122</v>
      </c>
      <c r="O5480">
        <f t="shared" si="178"/>
        <v>2024</v>
      </c>
      <c r="P5480">
        <f t="shared" si="179"/>
        <v>11</v>
      </c>
      <c r="Q5480" t="s">
        <v>785</v>
      </c>
      <c r="R5480" t="s">
        <v>805</v>
      </c>
    </row>
    <row r="5481" spans="1:18" x14ac:dyDescent="0.3">
      <c r="A5481" t="s">
        <v>627</v>
      </c>
      <c r="B5481" s="16">
        <v>45600</v>
      </c>
      <c r="C5481" t="s">
        <v>3</v>
      </c>
      <c r="D5481" t="s">
        <v>155</v>
      </c>
      <c r="E5481">
        <v>5</v>
      </c>
      <c r="F5481">
        <v>4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5</v>
      </c>
      <c r="O5481">
        <f t="shared" si="178"/>
        <v>2024</v>
      </c>
      <c r="P5481">
        <f t="shared" si="179"/>
        <v>11</v>
      </c>
      <c r="Q5481" t="s">
        <v>785</v>
      </c>
      <c r="R5481" t="s">
        <v>805</v>
      </c>
    </row>
    <row r="5482" spans="1:18" x14ac:dyDescent="0.3">
      <c r="A5482" t="s">
        <v>627</v>
      </c>
      <c r="B5482" s="16">
        <v>45600</v>
      </c>
      <c r="C5482" t="s">
        <v>3</v>
      </c>
      <c r="D5482" t="s">
        <v>154</v>
      </c>
      <c r="E5482">
        <v>3</v>
      </c>
      <c r="F5482">
        <v>2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f t="shared" si="178"/>
        <v>2024</v>
      </c>
      <c r="P5482">
        <f t="shared" si="179"/>
        <v>11</v>
      </c>
      <c r="Q5482" t="s">
        <v>785</v>
      </c>
      <c r="R5482" t="s">
        <v>805</v>
      </c>
    </row>
    <row r="5483" spans="1:18" x14ac:dyDescent="0.3">
      <c r="A5483" t="s">
        <v>627</v>
      </c>
      <c r="B5483" s="16">
        <v>45600</v>
      </c>
      <c r="C5483" t="s">
        <v>3</v>
      </c>
      <c r="D5483" t="s">
        <v>153</v>
      </c>
      <c r="E5483">
        <v>550</v>
      </c>
      <c r="F5483">
        <v>107</v>
      </c>
      <c r="G5483">
        <v>43</v>
      </c>
      <c r="H5483">
        <v>3</v>
      </c>
      <c r="I5483">
        <v>168346</v>
      </c>
      <c r="J5483">
        <v>32</v>
      </c>
      <c r="K5483">
        <v>124043.5</v>
      </c>
      <c r="L5483">
        <v>27</v>
      </c>
      <c r="M5483">
        <v>112</v>
      </c>
      <c r="N5483">
        <v>534</v>
      </c>
      <c r="O5483">
        <f t="shared" si="178"/>
        <v>2024</v>
      </c>
      <c r="P5483">
        <f t="shared" si="179"/>
        <v>11</v>
      </c>
      <c r="Q5483" t="s">
        <v>785</v>
      </c>
      <c r="R5483" t="s">
        <v>805</v>
      </c>
    </row>
    <row r="5484" spans="1:18" x14ac:dyDescent="0.3">
      <c r="A5484" t="s">
        <v>627</v>
      </c>
      <c r="B5484" s="16">
        <v>45600</v>
      </c>
      <c r="C5484" t="s">
        <v>3</v>
      </c>
      <c r="D5484" t="s">
        <v>152</v>
      </c>
      <c r="E5484">
        <v>6</v>
      </c>
      <c r="F5484">
        <v>2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6</v>
      </c>
      <c r="O5484">
        <f t="shared" si="178"/>
        <v>2024</v>
      </c>
      <c r="P5484">
        <f t="shared" si="179"/>
        <v>11</v>
      </c>
      <c r="Q5484" t="s">
        <v>785</v>
      </c>
      <c r="R5484" t="s">
        <v>805</v>
      </c>
    </row>
    <row r="5485" spans="1:18" x14ac:dyDescent="0.3">
      <c r="A5485" t="s">
        <v>627</v>
      </c>
      <c r="B5485" s="16">
        <v>45600</v>
      </c>
      <c r="C5485" t="s">
        <v>3</v>
      </c>
      <c r="D5485" t="s">
        <v>150</v>
      </c>
      <c r="E5485">
        <v>2</v>
      </c>
      <c r="F5485">
        <v>1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2</v>
      </c>
      <c r="O5485">
        <f t="shared" si="178"/>
        <v>2024</v>
      </c>
      <c r="P5485">
        <f t="shared" si="179"/>
        <v>11</v>
      </c>
      <c r="Q5485" t="s">
        <v>785</v>
      </c>
      <c r="R5485" t="s">
        <v>805</v>
      </c>
    </row>
    <row r="5486" spans="1:18" x14ac:dyDescent="0.3">
      <c r="A5486" t="s">
        <v>627</v>
      </c>
      <c r="B5486" s="16">
        <v>45600</v>
      </c>
      <c r="C5486" t="s">
        <v>3</v>
      </c>
      <c r="D5486" t="s">
        <v>149</v>
      </c>
      <c r="E5486">
        <v>23</v>
      </c>
      <c r="F5486">
        <v>11</v>
      </c>
      <c r="G5486">
        <v>1</v>
      </c>
      <c r="H5486">
        <v>1</v>
      </c>
      <c r="I5486">
        <v>0</v>
      </c>
      <c r="J5486">
        <v>0</v>
      </c>
      <c r="K5486">
        <v>0</v>
      </c>
      <c r="L5486">
        <v>0</v>
      </c>
      <c r="M5486">
        <v>2</v>
      </c>
      <c r="N5486">
        <v>22</v>
      </c>
      <c r="O5486">
        <f t="shared" si="178"/>
        <v>2024</v>
      </c>
      <c r="P5486">
        <f t="shared" si="179"/>
        <v>11</v>
      </c>
      <c r="Q5486" t="s">
        <v>785</v>
      </c>
      <c r="R5486" t="s">
        <v>805</v>
      </c>
    </row>
    <row r="5487" spans="1:18" x14ac:dyDescent="0.3">
      <c r="A5487" t="s">
        <v>627</v>
      </c>
      <c r="B5487" s="16">
        <v>45600</v>
      </c>
      <c r="C5487" t="s">
        <v>3</v>
      </c>
      <c r="D5487" t="s">
        <v>148</v>
      </c>
      <c r="E5487">
        <v>2</v>
      </c>
      <c r="F5487">
        <v>2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2</v>
      </c>
      <c r="N5487">
        <v>0</v>
      </c>
      <c r="O5487">
        <f t="shared" si="178"/>
        <v>2024</v>
      </c>
      <c r="P5487">
        <f t="shared" si="179"/>
        <v>11</v>
      </c>
      <c r="Q5487" t="s">
        <v>785</v>
      </c>
      <c r="R5487" t="s">
        <v>805</v>
      </c>
    </row>
    <row r="5488" spans="1:18" x14ac:dyDescent="0.3">
      <c r="A5488" t="s">
        <v>627</v>
      </c>
      <c r="B5488" s="16">
        <v>45600</v>
      </c>
      <c r="C5488" t="s">
        <v>3</v>
      </c>
      <c r="D5488" t="s">
        <v>251</v>
      </c>
      <c r="E5488">
        <v>476</v>
      </c>
      <c r="F5488">
        <v>169</v>
      </c>
      <c r="G5488">
        <v>29</v>
      </c>
      <c r="H5488">
        <v>7</v>
      </c>
      <c r="I5488">
        <v>56330</v>
      </c>
      <c r="J5488">
        <v>8</v>
      </c>
      <c r="K5488">
        <v>25850</v>
      </c>
      <c r="L5488">
        <v>5</v>
      </c>
      <c r="M5488">
        <v>72</v>
      </c>
      <c r="N5488">
        <v>422</v>
      </c>
      <c r="O5488">
        <f t="shared" si="178"/>
        <v>2024</v>
      </c>
      <c r="P5488">
        <f t="shared" si="179"/>
        <v>11</v>
      </c>
      <c r="Q5488" t="s">
        <v>785</v>
      </c>
      <c r="R5488" t="s">
        <v>805</v>
      </c>
    </row>
    <row r="5489" spans="1:18" x14ac:dyDescent="0.3">
      <c r="A5489" t="s">
        <v>627</v>
      </c>
      <c r="B5489" s="16">
        <v>45600</v>
      </c>
      <c r="C5489" t="s">
        <v>3</v>
      </c>
      <c r="D5489" t="s">
        <v>143</v>
      </c>
      <c r="E5489">
        <v>20</v>
      </c>
      <c r="F5489">
        <v>15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20</v>
      </c>
      <c r="O5489">
        <f t="shared" si="178"/>
        <v>2024</v>
      </c>
      <c r="P5489">
        <f t="shared" si="179"/>
        <v>11</v>
      </c>
      <c r="Q5489" t="s">
        <v>785</v>
      </c>
      <c r="R5489" t="s">
        <v>805</v>
      </c>
    </row>
    <row r="5490" spans="1:18" x14ac:dyDescent="0.3">
      <c r="A5490" t="s">
        <v>627</v>
      </c>
      <c r="B5490" s="16">
        <v>45600</v>
      </c>
      <c r="C5490" t="s">
        <v>3</v>
      </c>
      <c r="D5490" t="s">
        <v>141</v>
      </c>
      <c r="E5490">
        <v>9</v>
      </c>
      <c r="F5490">
        <v>8</v>
      </c>
      <c r="G5490">
        <v>1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9</v>
      </c>
      <c r="O5490">
        <f t="shared" si="178"/>
        <v>2024</v>
      </c>
      <c r="P5490">
        <f t="shared" si="179"/>
        <v>11</v>
      </c>
      <c r="Q5490" t="s">
        <v>785</v>
      </c>
      <c r="R5490" t="s">
        <v>805</v>
      </c>
    </row>
    <row r="5491" spans="1:18" x14ac:dyDescent="0.3">
      <c r="A5491" t="s">
        <v>627</v>
      </c>
      <c r="B5491" s="16">
        <v>45600</v>
      </c>
      <c r="C5491" t="s">
        <v>3</v>
      </c>
      <c r="D5491" t="s">
        <v>140</v>
      </c>
      <c r="E5491">
        <v>10</v>
      </c>
      <c r="F5491">
        <v>5</v>
      </c>
      <c r="G5491">
        <v>2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1</v>
      </c>
      <c r="N5491">
        <v>10</v>
      </c>
      <c r="O5491">
        <f t="shared" si="178"/>
        <v>2024</v>
      </c>
      <c r="P5491">
        <f t="shared" si="179"/>
        <v>11</v>
      </c>
      <c r="Q5491" t="s">
        <v>785</v>
      </c>
      <c r="R5491" t="s">
        <v>805</v>
      </c>
    </row>
    <row r="5492" spans="1:18" x14ac:dyDescent="0.3">
      <c r="A5492" t="s">
        <v>627</v>
      </c>
      <c r="B5492" s="16">
        <v>45600</v>
      </c>
      <c r="C5492" t="s">
        <v>3</v>
      </c>
      <c r="D5492" t="s">
        <v>139</v>
      </c>
      <c r="E5492">
        <v>1914</v>
      </c>
      <c r="F5492">
        <v>1065</v>
      </c>
      <c r="G5492">
        <v>66</v>
      </c>
      <c r="H5492">
        <v>16</v>
      </c>
      <c r="I5492">
        <v>102430.5</v>
      </c>
      <c r="J5492">
        <v>18</v>
      </c>
      <c r="K5492">
        <v>69843</v>
      </c>
      <c r="L5492">
        <v>14</v>
      </c>
      <c r="M5492">
        <v>496</v>
      </c>
      <c r="N5492">
        <v>1774</v>
      </c>
      <c r="O5492">
        <f t="shared" si="178"/>
        <v>2024</v>
      </c>
      <c r="P5492">
        <f t="shared" si="179"/>
        <v>11</v>
      </c>
      <c r="Q5492" t="s">
        <v>785</v>
      </c>
      <c r="R5492" t="s">
        <v>805</v>
      </c>
    </row>
    <row r="5493" spans="1:18" x14ac:dyDescent="0.3">
      <c r="A5493" t="s">
        <v>627</v>
      </c>
      <c r="B5493" s="16">
        <v>45600</v>
      </c>
      <c r="C5493" t="s">
        <v>3</v>
      </c>
      <c r="D5493" t="s">
        <v>138</v>
      </c>
      <c r="E5493">
        <v>74</v>
      </c>
      <c r="F5493">
        <v>45</v>
      </c>
      <c r="G5493">
        <v>1</v>
      </c>
      <c r="H5493">
        <v>0</v>
      </c>
      <c r="I5493">
        <v>7770</v>
      </c>
      <c r="J5493">
        <v>1</v>
      </c>
      <c r="K5493">
        <v>0</v>
      </c>
      <c r="L5493">
        <v>0</v>
      </c>
      <c r="M5493">
        <v>7</v>
      </c>
      <c r="N5493">
        <v>73</v>
      </c>
      <c r="O5493">
        <f t="shared" si="178"/>
        <v>2024</v>
      </c>
      <c r="P5493">
        <f t="shared" si="179"/>
        <v>11</v>
      </c>
      <c r="Q5493" t="s">
        <v>785</v>
      </c>
      <c r="R5493" t="s">
        <v>805</v>
      </c>
    </row>
    <row r="5494" spans="1:18" x14ac:dyDescent="0.3">
      <c r="A5494" t="s">
        <v>627</v>
      </c>
      <c r="B5494" s="16">
        <v>45600</v>
      </c>
      <c r="C5494" t="s">
        <v>3</v>
      </c>
      <c r="D5494" t="s">
        <v>137</v>
      </c>
      <c r="E5494">
        <v>2</v>
      </c>
      <c r="F5494">
        <v>2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2</v>
      </c>
      <c r="O5494">
        <f t="shared" si="178"/>
        <v>2024</v>
      </c>
      <c r="P5494">
        <f t="shared" si="179"/>
        <v>11</v>
      </c>
      <c r="Q5494" t="s">
        <v>785</v>
      </c>
      <c r="R5494" t="s">
        <v>805</v>
      </c>
    </row>
    <row r="5495" spans="1:18" x14ac:dyDescent="0.3">
      <c r="A5495" t="s">
        <v>627</v>
      </c>
      <c r="B5495" s="16">
        <v>45600</v>
      </c>
      <c r="C5495" t="s">
        <v>3</v>
      </c>
      <c r="D5495" t="s">
        <v>135</v>
      </c>
      <c r="E5495">
        <v>3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3</v>
      </c>
      <c r="O5495">
        <f t="shared" si="178"/>
        <v>2024</v>
      </c>
      <c r="P5495">
        <f t="shared" si="179"/>
        <v>11</v>
      </c>
      <c r="Q5495" t="s">
        <v>785</v>
      </c>
      <c r="R5495" t="s">
        <v>805</v>
      </c>
    </row>
    <row r="5496" spans="1:18" x14ac:dyDescent="0.3">
      <c r="A5496" t="s">
        <v>627</v>
      </c>
      <c r="B5496" s="16">
        <v>45600</v>
      </c>
      <c r="C5496" t="s">
        <v>3</v>
      </c>
      <c r="D5496" t="s">
        <v>133</v>
      </c>
      <c r="E5496">
        <v>19</v>
      </c>
      <c r="F5496">
        <v>15</v>
      </c>
      <c r="G5496">
        <v>2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5</v>
      </c>
      <c r="N5496">
        <v>17</v>
      </c>
      <c r="O5496">
        <f t="shared" si="178"/>
        <v>2024</v>
      </c>
      <c r="P5496">
        <f t="shared" si="179"/>
        <v>11</v>
      </c>
      <c r="Q5496" t="s">
        <v>785</v>
      </c>
      <c r="R5496" t="s">
        <v>805</v>
      </c>
    </row>
    <row r="5497" spans="1:18" x14ac:dyDescent="0.3">
      <c r="A5497" t="s">
        <v>627</v>
      </c>
      <c r="B5497" s="16">
        <v>45600</v>
      </c>
      <c r="C5497" t="s">
        <v>3</v>
      </c>
      <c r="D5497" t="s">
        <v>130</v>
      </c>
      <c r="E5497">
        <v>128</v>
      </c>
      <c r="F5497">
        <v>40</v>
      </c>
      <c r="G5497">
        <v>26</v>
      </c>
      <c r="H5497">
        <v>1</v>
      </c>
      <c r="I5497">
        <v>67592.5</v>
      </c>
      <c r="J5497">
        <v>12</v>
      </c>
      <c r="K5497">
        <v>34757.5</v>
      </c>
      <c r="L5497">
        <v>9</v>
      </c>
      <c r="M5497">
        <v>35</v>
      </c>
      <c r="N5497">
        <v>122</v>
      </c>
      <c r="O5497">
        <f t="shared" si="178"/>
        <v>2024</v>
      </c>
      <c r="P5497">
        <f t="shared" si="179"/>
        <v>11</v>
      </c>
      <c r="Q5497" t="s">
        <v>785</v>
      </c>
      <c r="R5497" t="s">
        <v>805</v>
      </c>
    </row>
    <row r="5498" spans="1:18" x14ac:dyDescent="0.3">
      <c r="A5498" t="s">
        <v>627</v>
      </c>
      <c r="B5498" s="16">
        <v>45600</v>
      </c>
      <c r="C5498" t="s">
        <v>3</v>
      </c>
      <c r="D5498" t="s">
        <v>128</v>
      </c>
      <c r="E5498">
        <v>1827</v>
      </c>
      <c r="F5498">
        <v>1379</v>
      </c>
      <c r="G5498">
        <v>62</v>
      </c>
      <c r="H5498">
        <v>21</v>
      </c>
      <c r="I5498">
        <v>68103</v>
      </c>
      <c r="J5498">
        <v>10</v>
      </c>
      <c r="K5498">
        <v>45863</v>
      </c>
      <c r="L5498">
        <v>7</v>
      </c>
      <c r="M5498">
        <v>354</v>
      </c>
      <c r="N5498">
        <v>1714</v>
      </c>
      <c r="O5498">
        <f t="shared" si="178"/>
        <v>2024</v>
      </c>
      <c r="P5498">
        <f t="shared" si="179"/>
        <v>11</v>
      </c>
      <c r="Q5498" t="s">
        <v>785</v>
      </c>
      <c r="R5498" t="s">
        <v>805</v>
      </c>
    </row>
    <row r="5499" spans="1:18" x14ac:dyDescent="0.3">
      <c r="A5499" t="s">
        <v>627</v>
      </c>
      <c r="B5499" s="16">
        <v>45600</v>
      </c>
      <c r="C5499" t="s">
        <v>3</v>
      </c>
      <c r="D5499" t="s">
        <v>127</v>
      </c>
      <c r="E5499">
        <v>5402</v>
      </c>
      <c r="F5499">
        <v>2834</v>
      </c>
      <c r="G5499">
        <v>119</v>
      </c>
      <c r="H5499">
        <v>49</v>
      </c>
      <c r="I5499">
        <v>60270</v>
      </c>
      <c r="J5499">
        <v>16</v>
      </c>
      <c r="K5499">
        <v>36490</v>
      </c>
      <c r="L5499">
        <v>12</v>
      </c>
      <c r="M5499">
        <v>852</v>
      </c>
      <c r="N5499">
        <v>4940</v>
      </c>
      <c r="O5499">
        <f t="shared" si="178"/>
        <v>2024</v>
      </c>
      <c r="P5499">
        <f t="shared" si="179"/>
        <v>11</v>
      </c>
      <c r="Q5499" t="s">
        <v>785</v>
      </c>
      <c r="R5499" t="s">
        <v>805</v>
      </c>
    </row>
    <row r="5500" spans="1:18" x14ac:dyDescent="0.3">
      <c r="A5500" t="s">
        <v>627</v>
      </c>
      <c r="B5500" s="16">
        <v>45600</v>
      </c>
      <c r="C5500" t="s">
        <v>3</v>
      </c>
      <c r="D5500" t="s">
        <v>126</v>
      </c>
      <c r="E5500">
        <v>155</v>
      </c>
      <c r="F5500">
        <v>97</v>
      </c>
      <c r="G5500">
        <v>7</v>
      </c>
      <c r="H5500">
        <v>2</v>
      </c>
      <c r="I5500">
        <v>20425</v>
      </c>
      <c r="J5500">
        <v>2</v>
      </c>
      <c r="K5500">
        <v>2500</v>
      </c>
      <c r="L5500">
        <v>1</v>
      </c>
      <c r="M5500">
        <v>14</v>
      </c>
      <c r="N5500">
        <v>151</v>
      </c>
      <c r="O5500">
        <f t="shared" si="178"/>
        <v>2024</v>
      </c>
      <c r="P5500">
        <f t="shared" si="179"/>
        <v>11</v>
      </c>
      <c r="Q5500" t="s">
        <v>785</v>
      </c>
      <c r="R5500" t="s">
        <v>805</v>
      </c>
    </row>
    <row r="5501" spans="1:18" x14ac:dyDescent="0.3">
      <c r="A5501" t="s">
        <v>627</v>
      </c>
      <c r="B5501" s="16">
        <v>45600</v>
      </c>
      <c r="C5501" t="s">
        <v>3</v>
      </c>
      <c r="D5501" t="s">
        <v>125</v>
      </c>
      <c r="E5501">
        <v>6</v>
      </c>
      <c r="F5501">
        <v>1</v>
      </c>
      <c r="G5501">
        <v>0</v>
      </c>
      <c r="H5501">
        <v>1</v>
      </c>
      <c r="I5501">
        <v>0</v>
      </c>
      <c r="J5501">
        <v>0</v>
      </c>
      <c r="K5501">
        <v>0</v>
      </c>
      <c r="L5501">
        <v>0</v>
      </c>
      <c r="M5501">
        <v>2</v>
      </c>
      <c r="N5501">
        <v>6</v>
      </c>
      <c r="O5501">
        <f t="shared" si="178"/>
        <v>2024</v>
      </c>
      <c r="P5501">
        <f t="shared" si="179"/>
        <v>11</v>
      </c>
      <c r="Q5501" t="s">
        <v>785</v>
      </c>
      <c r="R5501" t="s">
        <v>805</v>
      </c>
    </row>
    <row r="5502" spans="1:18" x14ac:dyDescent="0.3">
      <c r="A5502" t="s">
        <v>627</v>
      </c>
      <c r="B5502" s="16">
        <v>45600</v>
      </c>
      <c r="C5502" t="s">
        <v>3</v>
      </c>
      <c r="D5502" t="s">
        <v>123</v>
      </c>
      <c r="E5502">
        <v>340</v>
      </c>
      <c r="F5502">
        <v>144</v>
      </c>
      <c r="G5502">
        <v>21</v>
      </c>
      <c r="H5502">
        <v>8</v>
      </c>
      <c r="I5502">
        <v>12510</v>
      </c>
      <c r="J5502">
        <v>3</v>
      </c>
      <c r="K5502">
        <v>6930</v>
      </c>
      <c r="L5502">
        <v>2</v>
      </c>
      <c r="M5502">
        <v>111</v>
      </c>
      <c r="N5502">
        <v>310</v>
      </c>
      <c r="O5502">
        <f t="shared" si="178"/>
        <v>2024</v>
      </c>
      <c r="P5502">
        <f t="shared" si="179"/>
        <v>11</v>
      </c>
      <c r="Q5502" t="s">
        <v>785</v>
      </c>
      <c r="R5502" t="s">
        <v>805</v>
      </c>
    </row>
    <row r="5503" spans="1:18" x14ac:dyDescent="0.3">
      <c r="A5503" t="s">
        <v>627</v>
      </c>
      <c r="B5503" s="16">
        <v>45600</v>
      </c>
      <c r="C5503" t="s">
        <v>3</v>
      </c>
      <c r="D5503" t="s">
        <v>122</v>
      </c>
      <c r="E5503">
        <v>1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1</v>
      </c>
      <c r="O5503">
        <f t="shared" si="178"/>
        <v>2024</v>
      </c>
      <c r="P5503">
        <f t="shared" si="179"/>
        <v>11</v>
      </c>
      <c r="Q5503" t="s">
        <v>785</v>
      </c>
      <c r="R5503" t="s">
        <v>805</v>
      </c>
    </row>
    <row r="5504" spans="1:18" x14ac:dyDescent="0.3">
      <c r="A5504" t="s">
        <v>627</v>
      </c>
      <c r="B5504" s="16">
        <v>45600</v>
      </c>
      <c r="C5504" t="s">
        <v>3</v>
      </c>
      <c r="D5504" t="s">
        <v>121</v>
      </c>
      <c r="E5504">
        <v>5</v>
      </c>
      <c r="F5504">
        <v>5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1</v>
      </c>
      <c r="N5504">
        <v>4</v>
      </c>
      <c r="O5504">
        <f t="shared" si="178"/>
        <v>2024</v>
      </c>
      <c r="P5504">
        <f t="shared" si="179"/>
        <v>11</v>
      </c>
      <c r="Q5504" t="s">
        <v>785</v>
      </c>
      <c r="R5504" t="s">
        <v>805</v>
      </c>
    </row>
    <row r="5505" spans="1:18" x14ac:dyDescent="0.3">
      <c r="A5505" t="s">
        <v>627</v>
      </c>
      <c r="B5505" s="16">
        <v>45600</v>
      </c>
      <c r="C5505" t="s">
        <v>3</v>
      </c>
      <c r="D5505" t="s">
        <v>119</v>
      </c>
      <c r="E5505">
        <v>490</v>
      </c>
      <c r="F5505">
        <v>90</v>
      </c>
      <c r="G5505">
        <v>30</v>
      </c>
      <c r="H5505">
        <v>9</v>
      </c>
      <c r="I5505">
        <v>76012</v>
      </c>
      <c r="J5505">
        <v>17</v>
      </c>
      <c r="K5505">
        <v>62152</v>
      </c>
      <c r="L5505">
        <v>14</v>
      </c>
      <c r="M5505">
        <v>102</v>
      </c>
      <c r="N5505">
        <v>466</v>
      </c>
      <c r="O5505">
        <f t="shared" si="178"/>
        <v>2024</v>
      </c>
      <c r="P5505">
        <f t="shared" si="179"/>
        <v>11</v>
      </c>
      <c r="Q5505" t="s">
        <v>785</v>
      </c>
      <c r="R5505" t="s">
        <v>805</v>
      </c>
    </row>
    <row r="5506" spans="1:18" x14ac:dyDescent="0.3">
      <c r="A5506" t="s">
        <v>627</v>
      </c>
      <c r="B5506" s="16">
        <v>45600</v>
      </c>
      <c r="C5506" t="s">
        <v>3</v>
      </c>
      <c r="D5506" t="s">
        <v>117</v>
      </c>
      <c r="E5506">
        <v>22</v>
      </c>
      <c r="F5506">
        <v>19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3</v>
      </c>
      <c r="N5506">
        <v>22</v>
      </c>
      <c r="O5506">
        <f t="shared" si="178"/>
        <v>2024</v>
      </c>
      <c r="P5506">
        <f t="shared" si="179"/>
        <v>11</v>
      </c>
      <c r="Q5506" t="s">
        <v>785</v>
      </c>
      <c r="R5506" t="s">
        <v>805</v>
      </c>
    </row>
    <row r="5507" spans="1:18" x14ac:dyDescent="0.3">
      <c r="A5507" t="s">
        <v>627</v>
      </c>
      <c r="B5507" s="16">
        <v>45600</v>
      </c>
      <c r="C5507" t="s">
        <v>3</v>
      </c>
      <c r="D5507" t="s">
        <v>115</v>
      </c>
      <c r="E5507">
        <v>6</v>
      </c>
      <c r="F5507">
        <v>2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6</v>
      </c>
      <c r="O5507">
        <f t="shared" si="178"/>
        <v>2024</v>
      </c>
      <c r="P5507">
        <f t="shared" si="179"/>
        <v>11</v>
      </c>
      <c r="Q5507" t="s">
        <v>785</v>
      </c>
      <c r="R5507" t="s">
        <v>805</v>
      </c>
    </row>
    <row r="5508" spans="1:18" x14ac:dyDescent="0.3">
      <c r="A5508" t="s">
        <v>627</v>
      </c>
      <c r="B5508" s="16">
        <v>45600</v>
      </c>
      <c r="C5508" t="s">
        <v>3</v>
      </c>
      <c r="D5508" t="s">
        <v>114</v>
      </c>
      <c r="E5508">
        <v>160</v>
      </c>
      <c r="F5508">
        <v>66</v>
      </c>
      <c r="G5508">
        <v>3</v>
      </c>
      <c r="H5508">
        <v>6</v>
      </c>
      <c r="I5508">
        <v>2500</v>
      </c>
      <c r="J5508">
        <v>1</v>
      </c>
      <c r="K5508">
        <v>2500</v>
      </c>
      <c r="L5508">
        <v>1</v>
      </c>
      <c r="M5508">
        <v>15</v>
      </c>
      <c r="N5508">
        <v>157</v>
      </c>
      <c r="O5508">
        <f t="shared" si="178"/>
        <v>2024</v>
      </c>
      <c r="P5508">
        <f t="shared" si="179"/>
        <v>11</v>
      </c>
      <c r="Q5508" t="s">
        <v>785</v>
      </c>
      <c r="R5508" t="s">
        <v>805</v>
      </c>
    </row>
    <row r="5509" spans="1:18" x14ac:dyDescent="0.3">
      <c r="A5509" t="s">
        <v>627</v>
      </c>
      <c r="B5509" s="16">
        <v>45600</v>
      </c>
      <c r="C5509" t="s">
        <v>3</v>
      </c>
      <c r="D5509" t="s">
        <v>113</v>
      </c>
      <c r="E5509">
        <v>110</v>
      </c>
      <c r="F5509">
        <v>44</v>
      </c>
      <c r="G5509">
        <v>4</v>
      </c>
      <c r="H5509">
        <v>2</v>
      </c>
      <c r="I5509">
        <v>8250</v>
      </c>
      <c r="J5509">
        <v>1</v>
      </c>
      <c r="K5509">
        <v>0</v>
      </c>
      <c r="L5509">
        <v>0</v>
      </c>
      <c r="M5509">
        <v>85</v>
      </c>
      <c r="N5509">
        <v>65</v>
      </c>
      <c r="O5509">
        <f t="shared" si="178"/>
        <v>2024</v>
      </c>
      <c r="P5509">
        <f t="shared" si="179"/>
        <v>11</v>
      </c>
      <c r="Q5509" t="s">
        <v>785</v>
      </c>
      <c r="R5509" t="s">
        <v>805</v>
      </c>
    </row>
    <row r="5510" spans="1:18" x14ac:dyDescent="0.3">
      <c r="A5510" t="s">
        <v>627</v>
      </c>
      <c r="B5510" s="16">
        <v>45600</v>
      </c>
      <c r="C5510" t="s">
        <v>3</v>
      </c>
      <c r="D5510" t="s">
        <v>112</v>
      </c>
      <c r="E5510">
        <v>10</v>
      </c>
      <c r="F5510">
        <v>1</v>
      </c>
      <c r="G5510">
        <v>1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10</v>
      </c>
      <c r="O5510">
        <f t="shared" si="178"/>
        <v>2024</v>
      </c>
      <c r="P5510">
        <f t="shared" si="179"/>
        <v>11</v>
      </c>
      <c r="Q5510" t="s">
        <v>785</v>
      </c>
      <c r="R5510" t="s">
        <v>805</v>
      </c>
    </row>
    <row r="5511" spans="1:18" x14ac:dyDescent="0.3">
      <c r="A5511" t="s">
        <v>627</v>
      </c>
      <c r="B5511" s="16">
        <v>45599</v>
      </c>
      <c r="C5511" t="s">
        <v>2</v>
      </c>
      <c r="D5511" t="s">
        <v>4</v>
      </c>
      <c r="E5511">
        <v>353</v>
      </c>
      <c r="F5511">
        <v>113</v>
      </c>
      <c r="G5511">
        <v>9</v>
      </c>
      <c r="H5511">
        <v>0</v>
      </c>
      <c r="I5511">
        <v>29499.27</v>
      </c>
      <c r="J5511">
        <v>8</v>
      </c>
      <c r="K5511">
        <v>21597.27</v>
      </c>
      <c r="L5511">
        <v>6</v>
      </c>
      <c r="M5511">
        <v>18</v>
      </c>
      <c r="N5511">
        <v>341</v>
      </c>
      <c r="O5511">
        <f t="shared" si="178"/>
        <v>2024</v>
      </c>
      <c r="P5511">
        <f t="shared" si="179"/>
        <v>11</v>
      </c>
      <c r="Q5511" t="s">
        <v>785</v>
      </c>
      <c r="R5511" t="s">
        <v>805</v>
      </c>
    </row>
    <row r="5512" spans="1:18" x14ac:dyDescent="0.3">
      <c r="A5512" t="s">
        <v>627</v>
      </c>
      <c r="B5512" s="16">
        <v>45599</v>
      </c>
      <c r="C5512" t="s">
        <v>2</v>
      </c>
      <c r="D5512" t="s">
        <v>57</v>
      </c>
      <c r="E5512">
        <v>16410</v>
      </c>
      <c r="F5512">
        <v>9447</v>
      </c>
      <c r="G5512">
        <v>624</v>
      </c>
      <c r="H5512">
        <v>183</v>
      </c>
      <c r="I5512">
        <v>713917.02</v>
      </c>
      <c r="J5512">
        <v>145</v>
      </c>
      <c r="K5512">
        <v>559153.52</v>
      </c>
      <c r="L5512">
        <v>130</v>
      </c>
      <c r="M5512">
        <v>1356</v>
      </c>
      <c r="N5512">
        <v>16338</v>
      </c>
      <c r="O5512">
        <f t="shared" si="178"/>
        <v>2024</v>
      </c>
      <c r="P5512">
        <f t="shared" si="179"/>
        <v>11</v>
      </c>
      <c r="Q5512" t="s">
        <v>785</v>
      </c>
      <c r="R5512" t="s">
        <v>805</v>
      </c>
    </row>
    <row r="5513" spans="1:18" x14ac:dyDescent="0.3">
      <c r="A5513" t="s">
        <v>627</v>
      </c>
      <c r="B5513" s="16">
        <v>45599</v>
      </c>
      <c r="C5513" t="s">
        <v>2</v>
      </c>
      <c r="D5513" t="s">
        <v>52</v>
      </c>
      <c r="E5513">
        <v>1309</v>
      </c>
      <c r="F5513">
        <v>1089</v>
      </c>
      <c r="G5513">
        <v>38</v>
      </c>
      <c r="H5513">
        <v>4</v>
      </c>
      <c r="I5513">
        <v>103852</v>
      </c>
      <c r="J5513">
        <v>13</v>
      </c>
      <c r="K5513">
        <v>69742</v>
      </c>
      <c r="L5513">
        <v>11</v>
      </c>
      <c r="M5513">
        <v>1308</v>
      </c>
      <c r="N5513">
        <v>526</v>
      </c>
      <c r="O5513">
        <f t="shared" ref="O5513:O5576" si="180">YEAR(B5513)</f>
        <v>2024</v>
      </c>
      <c r="P5513">
        <f t="shared" ref="P5513:P5576" si="181">MONTH(B5513)</f>
        <v>11</v>
      </c>
      <c r="Q5513" t="s">
        <v>785</v>
      </c>
      <c r="R5513" t="s">
        <v>805</v>
      </c>
    </row>
    <row r="5514" spans="1:18" x14ac:dyDescent="0.3">
      <c r="A5514" t="s">
        <v>627</v>
      </c>
      <c r="B5514" s="16">
        <v>45599</v>
      </c>
      <c r="C5514" t="s">
        <v>2</v>
      </c>
      <c r="D5514" t="s">
        <v>55</v>
      </c>
      <c r="E5514">
        <v>1969</v>
      </c>
      <c r="F5514">
        <v>1410</v>
      </c>
      <c r="G5514">
        <v>27</v>
      </c>
      <c r="H5514">
        <v>10</v>
      </c>
      <c r="I5514">
        <v>0</v>
      </c>
      <c r="J5514">
        <v>0</v>
      </c>
      <c r="K5514">
        <v>0</v>
      </c>
      <c r="L5514">
        <v>0</v>
      </c>
      <c r="M5514">
        <v>45</v>
      </c>
      <c r="N5514">
        <v>744</v>
      </c>
      <c r="O5514">
        <f t="shared" si="180"/>
        <v>2024</v>
      </c>
      <c r="P5514">
        <f t="shared" si="181"/>
        <v>11</v>
      </c>
      <c r="Q5514" t="s">
        <v>785</v>
      </c>
      <c r="R5514" t="s">
        <v>805</v>
      </c>
    </row>
    <row r="5515" spans="1:18" x14ac:dyDescent="0.3">
      <c r="A5515" t="s">
        <v>627</v>
      </c>
      <c r="B5515" s="16">
        <v>45599</v>
      </c>
      <c r="C5515" t="s">
        <v>3</v>
      </c>
      <c r="D5515" t="s">
        <v>155</v>
      </c>
      <c r="E5515">
        <v>5</v>
      </c>
      <c r="F5515">
        <v>2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1</v>
      </c>
      <c r="N5515">
        <v>5</v>
      </c>
      <c r="O5515">
        <f t="shared" si="180"/>
        <v>2024</v>
      </c>
      <c r="P5515">
        <f t="shared" si="181"/>
        <v>11</v>
      </c>
      <c r="Q5515" t="s">
        <v>785</v>
      </c>
      <c r="R5515" t="s">
        <v>805</v>
      </c>
    </row>
    <row r="5516" spans="1:18" x14ac:dyDescent="0.3">
      <c r="A5516" t="s">
        <v>627</v>
      </c>
      <c r="B5516" s="16">
        <v>45599</v>
      </c>
      <c r="C5516" t="s">
        <v>3</v>
      </c>
      <c r="D5516" t="s">
        <v>154</v>
      </c>
      <c r="E5516">
        <v>659</v>
      </c>
      <c r="F5516">
        <v>509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3</v>
      </c>
      <c r="O5516">
        <f t="shared" si="180"/>
        <v>2024</v>
      </c>
      <c r="P5516">
        <f t="shared" si="181"/>
        <v>11</v>
      </c>
      <c r="Q5516" t="s">
        <v>785</v>
      </c>
      <c r="R5516" t="s">
        <v>805</v>
      </c>
    </row>
    <row r="5517" spans="1:18" x14ac:dyDescent="0.3">
      <c r="A5517" t="s">
        <v>627</v>
      </c>
      <c r="B5517" s="16">
        <v>45599</v>
      </c>
      <c r="C5517" t="s">
        <v>3</v>
      </c>
      <c r="D5517" t="s">
        <v>153</v>
      </c>
      <c r="E5517">
        <v>907</v>
      </c>
      <c r="F5517">
        <v>286</v>
      </c>
      <c r="G5517">
        <v>113</v>
      </c>
      <c r="H5517">
        <v>5</v>
      </c>
      <c r="I5517">
        <v>661512.39</v>
      </c>
      <c r="J5517">
        <v>125</v>
      </c>
      <c r="K5517">
        <v>550774.39</v>
      </c>
      <c r="L5517">
        <v>121</v>
      </c>
      <c r="M5517">
        <v>255</v>
      </c>
      <c r="N5517">
        <v>873</v>
      </c>
      <c r="O5517">
        <f t="shared" si="180"/>
        <v>2024</v>
      </c>
      <c r="P5517">
        <f t="shared" si="181"/>
        <v>11</v>
      </c>
      <c r="Q5517" t="s">
        <v>785</v>
      </c>
      <c r="R5517" t="s">
        <v>805</v>
      </c>
    </row>
    <row r="5518" spans="1:18" x14ac:dyDescent="0.3">
      <c r="A5518" t="s">
        <v>627</v>
      </c>
      <c r="B5518" s="16">
        <v>45599</v>
      </c>
      <c r="C5518" t="s">
        <v>3</v>
      </c>
      <c r="D5518" t="s">
        <v>152</v>
      </c>
      <c r="E5518">
        <v>32</v>
      </c>
      <c r="F5518">
        <v>26</v>
      </c>
      <c r="G5518">
        <v>0</v>
      </c>
      <c r="H5518">
        <v>1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3</v>
      </c>
      <c r="O5518">
        <f t="shared" si="180"/>
        <v>2024</v>
      </c>
      <c r="P5518">
        <f t="shared" si="181"/>
        <v>11</v>
      </c>
      <c r="Q5518" t="s">
        <v>785</v>
      </c>
      <c r="R5518" t="s">
        <v>805</v>
      </c>
    </row>
    <row r="5519" spans="1:18" x14ac:dyDescent="0.3">
      <c r="A5519" t="s">
        <v>627</v>
      </c>
      <c r="B5519" s="16">
        <v>45599</v>
      </c>
      <c r="C5519" t="s">
        <v>3</v>
      </c>
      <c r="D5519" t="s">
        <v>150</v>
      </c>
      <c r="E5519">
        <v>3</v>
      </c>
      <c r="F5519">
        <v>2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1</v>
      </c>
      <c r="O5519">
        <f t="shared" si="180"/>
        <v>2024</v>
      </c>
      <c r="P5519">
        <f t="shared" si="181"/>
        <v>11</v>
      </c>
      <c r="Q5519" t="s">
        <v>785</v>
      </c>
      <c r="R5519" t="s">
        <v>805</v>
      </c>
    </row>
    <row r="5520" spans="1:18" x14ac:dyDescent="0.3">
      <c r="A5520" t="s">
        <v>627</v>
      </c>
      <c r="B5520" s="16">
        <v>45599</v>
      </c>
      <c r="C5520" t="s">
        <v>3</v>
      </c>
      <c r="D5520" t="s">
        <v>149</v>
      </c>
      <c r="E5520">
        <v>35</v>
      </c>
      <c r="F5520">
        <v>24</v>
      </c>
      <c r="G5520">
        <v>1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3</v>
      </c>
      <c r="N5520">
        <v>20</v>
      </c>
      <c r="O5520">
        <f t="shared" si="180"/>
        <v>2024</v>
      </c>
      <c r="P5520">
        <f t="shared" si="181"/>
        <v>11</v>
      </c>
      <c r="Q5520" t="s">
        <v>785</v>
      </c>
      <c r="R5520" t="s">
        <v>805</v>
      </c>
    </row>
    <row r="5521" spans="1:18" x14ac:dyDescent="0.3">
      <c r="A5521" t="s">
        <v>627</v>
      </c>
      <c r="B5521" s="16">
        <v>45599</v>
      </c>
      <c r="C5521" t="s">
        <v>3</v>
      </c>
      <c r="D5521" t="s">
        <v>148</v>
      </c>
      <c r="E5521">
        <v>2</v>
      </c>
      <c r="F5521">
        <v>1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1</v>
      </c>
      <c r="N5521">
        <v>1</v>
      </c>
      <c r="O5521">
        <f t="shared" si="180"/>
        <v>2024</v>
      </c>
      <c r="P5521">
        <f t="shared" si="181"/>
        <v>11</v>
      </c>
      <c r="Q5521" t="s">
        <v>785</v>
      </c>
      <c r="R5521" t="s">
        <v>805</v>
      </c>
    </row>
    <row r="5522" spans="1:18" x14ac:dyDescent="0.3">
      <c r="A5522" t="s">
        <v>627</v>
      </c>
      <c r="B5522" s="16">
        <v>45599</v>
      </c>
      <c r="C5522" t="s">
        <v>3</v>
      </c>
      <c r="D5522" t="s">
        <v>251</v>
      </c>
      <c r="E5522">
        <v>1457</v>
      </c>
      <c r="F5522">
        <v>981</v>
      </c>
      <c r="G5522">
        <v>39</v>
      </c>
      <c r="H5522">
        <v>10</v>
      </c>
      <c r="I5522">
        <v>107942.01</v>
      </c>
      <c r="J5522">
        <v>17</v>
      </c>
      <c r="K5522">
        <v>74342.009999999995</v>
      </c>
      <c r="L5522">
        <v>15</v>
      </c>
      <c r="M5522">
        <v>142</v>
      </c>
      <c r="N5522">
        <v>579</v>
      </c>
      <c r="O5522">
        <f t="shared" si="180"/>
        <v>2024</v>
      </c>
      <c r="P5522">
        <f t="shared" si="181"/>
        <v>11</v>
      </c>
      <c r="Q5522" t="s">
        <v>785</v>
      </c>
      <c r="R5522" t="s">
        <v>805</v>
      </c>
    </row>
    <row r="5523" spans="1:18" x14ac:dyDescent="0.3">
      <c r="A5523" t="s">
        <v>627</v>
      </c>
      <c r="B5523" s="16">
        <v>45599</v>
      </c>
      <c r="C5523" t="s">
        <v>3</v>
      </c>
      <c r="D5523" t="s">
        <v>143</v>
      </c>
      <c r="E5523">
        <v>12</v>
      </c>
      <c r="F5523">
        <v>10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12</v>
      </c>
      <c r="O5523">
        <f t="shared" si="180"/>
        <v>2024</v>
      </c>
      <c r="P5523">
        <f t="shared" si="181"/>
        <v>11</v>
      </c>
      <c r="Q5523" t="s">
        <v>785</v>
      </c>
      <c r="R5523" t="s">
        <v>805</v>
      </c>
    </row>
    <row r="5524" spans="1:18" x14ac:dyDescent="0.3">
      <c r="A5524" t="s">
        <v>627</v>
      </c>
      <c r="B5524" s="16">
        <v>45599</v>
      </c>
      <c r="C5524" t="s">
        <v>3</v>
      </c>
      <c r="D5524" t="s">
        <v>141</v>
      </c>
      <c r="E5524">
        <v>3</v>
      </c>
      <c r="F5524">
        <v>2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3</v>
      </c>
      <c r="O5524">
        <f t="shared" si="180"/>
        <v>2024</v>
      </c>
      <c r="P5524">
        <f t="shared" si="181"/>
        <v>11</v>
      </c>
      <c r="Q5524" t="s">
        <v>785</v>
      </c>
      <c r="R5524" t="s">
        <v>805</v>
      </c>
    </row>
    <row r="5525" spans="1:18" x14ac:dyDescent="0.3">
      <c r="A5525" t="s">
        <v>627</v>
      </c>
      <c r="B5525" s="16">
        <v>45599</v>
      </c>
      <c r="C5525" t="s">
        <v>3</v>
      </c>
      <c r="D5525" t="s">
        <v>140</v>
      </c>
      <c r="E5525">
        <v>14</v>
      </c>
      <c r="F5525">
        <v>10</v>
      </c>
      <c r="G5525">
        <v>1</v>
      </c>
      <c r="H5525">
        <v>0</v>
      </c>
      <c r="I5525">
        <v>8350</v>
      </c>
      <c r="J5525">
        <v>1</v>
      </c>
      <c r="K5525">
        <v>8350</v>
      </c>
      <c r="L5525">
        <v>1</v>
      </c>
      <c r="M5525">
        <v>2</v>
      </c>
      <c r="N5525">
        <v>12</v>
      </c>
      <c r="O5525">
        <f t="shared" si="180"/>
        <v>2024</v>
      </c>
      <c r="P5525">
        <f t="shared" si="181"/>
        <v>11</v>
      </c>
      <c r="Q5525" t="s">
        <v>785</v>
      </c>
      <c r="R5525" t="s">
        <v>805</v>
      </c>
    </row>
    <row r="5526" spans="1:18" x14ac:dyDescent="0.3">
      <c r="A5526" t="s">
        <v>627</v>
      </c>
      <c r="B5526" s="16">
        <v>45599</v>
      </c>
      <c r="C5526" t="s">
        <v>3</v>
      </c>
      <c r="D5526" t="s">
        <v>139</v>
      </c>
      <c r="E5526">
        <v>2469</v>
      </c>
      <c r="F5526">
        <v>1427</v>
      </c>
      <c r="G5526">
        <v>124</v>
      </c>
      <c r="H5526">
        <v>21</v>
      </c>
      <c r="I5526">
        <v>359470.45</v>
      </c>
      <c r="J5526">
        <v>61</v>
      </c>
      <c r="K5526">
        <v>298858.45</v>
      </c>
      <c r="L5526">
        <v>55</v>
      </c>
      <c r="M5526">
        <v>616</v>
      </c>
      <c r="N5526">
        <v>2168</v>
      </c>
      <c r="O5526">
        <f t="shared" si="180"/>
        <v>2024</v>
      </c>
      <c r="P5526">
        <f t="shared" si="181"/>
        <v>11</v>
      </c>
      <c r="Q5526" t="s">
        <v>785</v>
      </c>
      <c r="R5526" t="s">
        <v>805</v>
      </c>
    </row>
    <row r="5527" spans="1:18" x14ac:dyDescent="0.3">
      <c r="A5527" t="s">
        <v>627</v>
      </c>
      <c r="B5527" s="16">
        <v>45599</v>
      </c>
      <c r="C5527" t="s">
        <v>3</v>
      </c>
      <c r="D5527" t="s">
        <v>138</v>
      </c>
      <c r="E5527">
        <v>120</v>
      </c>
      <c r="F5527">
        <v>81</v>
      </c>
      <c r="G5527">
        <v>4</v>
      </c>
      <c r="H5527">
        <v>2</v>
      </c>
      <c r="I5527">
        <v>0</v>
      </c>
      <c r="J5527">
        <v>0</v>
      </c>
      <c r="K5527">
        <v>0</v>
      </c>
      <c r="L5527">
        <v>0</v>
      </c>
      <c r="M5527">
        <v>15</v>
      </c>
      <c r="N5527">
        <v>118</v>
      </c>
      <c r="O5527">
        <f t="shared" si="180"/>
        <v>2024</v>
      </c>
      <c r="P5527">
        <f t="shared" si="181"/>
        <v>11</v>
      </c>
      <c r="Q5527" t="s">
        <v>785</v>
      </c>
      <c r="R5527" t="s">
        <v>805</v>
      </c>
    </row>
    <row r="5528" spans="1:18" x14ac:dyDescent="0.3">
      <c r="A5528" t="s">
        <v>627</v>
      </c>
      <c r="B5528" s="16">
        <v>45599</v>
      </c>
      <c r="C5528" t="s">
        <v>3</v>
      </c>
      <c r="D5528" t="s">
        <v>137</v>
      </c>
      <c r="E5528">
        <v>5</v>
      </c>
      <c r="F5528">
        <v>1</v>
      </c>
      <c r="G5528">
        <v>1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1</v>
      </c>
      <c r="N5528">
        <v>5</v>
      </c>
      <c r="O5528">
        <f t="shared" si="180"/>
        <v>2024</v>
      </c>
      <c r="P5528">
        <f t="shared" si="181"/>
        <v>11</v>
      </c>
      <c r="Q5528" t="s">
        <v>785</v>
      </c>
      <c r="R5528" t="s">
        <v>805</v>
      </c>
    </row>
    <row r="5529" spans="1:18" x14ac:dyDescent="0.3">
      <c r="A5529" t="s">
        <v>627</v>
      </c>
      <c r="B5529" s="16">
        <v>45599</v>
      </c>
      <c r="C5529" t="s">
        <v>3</v>
      </c>
      <c r="D5529" t="s">
        <v>135</v>
      </c>
      <c r="E5529">
        <v>24</v>
      </c>
      <c r="F5529">
        <v>12</v>
      </c>
      <c r="G5529">
        <v>1</v>
      </c>
      <c r="H5529">
        <v>0</v>
      </c>
      <c r="I5529">
        <v>14297.5</v>
      </c>
      <c r="J5529">
        <v>2</v>
      </c>
      <c r="K5529">
        <v>14297.5</v>
      </c>
      <c r="L5529">
        <v>2</v>
      </c>
      <c r="M5529">
        <v>1</v>
      </c>
      <c r="N5529">
        <v>13</v>
      </c>
      <c r="O5529">
        <f t="shared" si="180"/>
        <v>2024</v>
      </c>
      <c r="P5529">
        <f t="shared" si="181"/>
        <v>11</v>
      </c>
      <c r="Q5529" t="s">
        <v>785</v>
      </c>
      <c r="R5529" t="s">
        <v>805</v>
      </c>
    </row>
    <row r="5530" spans="1:18" x14ac:dyDescent="0.3">
      <c r="A5530" t="s">
        <v>627</v>
      </c>
      <c r="B5530" s="16">
        <v>45599</v>
      </c>
      <c r="C5530" t="s">
        <v>3</v>
      </c>
      <c r="D5530" t="s">
        <v>133</v>
      </c>
      <c r="E5530">
        <v>48</v>
      </c>
      <c r="F5530">
        <v>25</v>
      </c>
      <c r="G5530">
        <v>9</v>
      </c>
      <c r="H5530">
        <v>0</v>
      </c>
      <c r="I5530">
        <v>87665</v>
      </c>
      <c r="J5530">
        <v>8</v>
      </c>
      <c r="K5530">
        <v>75965</v>
      </c>
      <c r="L5530">
        <v>8</v>
      </c>
      <c r="M5530">
        <v>7</v>
      </c>
      <c r="N5530">
        <v>45</v>
      </c>
      <c r="O5530">
        <f t="shared" si="180"/>
        <v>2024</v>
      </c>
      <c r="P5530">
        <f t="shared" si="181"/>
        <v>11</v>
      </c>
      <c r="Q5530" t="s">
        <v>785</v>
      </c>
      <c r="R5530" t="s">
        <v>805</v>
      </c>
    </row>
    <row r="5531" spans="1:18" x14ac:dyDescent="0.3">
      <c r="A5531" t="s">
        <v>627</v>
      </c>
      <c r="B5531" s="16">
        <v>45599</v>
      </c>
      <c r="C5531" t="s">
        <v>3</v>
      </c>
      <c r="D5531" t="s">
        <v>130</v>
      </c>
      <c r="E5531">
        <v>186</v>
      </c>
      <c r="F5531">
        <v>59</v>
      </c>
      <c r="G5531">
        <v>15</v>
      </c>
      <c r="H5531">
        <v>6</v>
      </c>
      <c r="I5531">
        <v>136993</v>
      </c>
      <c r="J5531">
        <v>22</v>
      </c>
      <c r="K5531">
        <v>116495</v>
      </c>
      <c r="L5531">
        <v>21</v>
      </c>
      <c r="M5531">
        <v>54</v>
      </c>
      <c r="N5531">
        <v>176</v>
      </c>
      <c r="O5531">
        <f t="shared" si="180"/>
        <v>2024</v>
      </c>
      <c r="P5531">
        <f t="shared" si="181"/>
        <v>11</v>
      </c>
      <c r="Q5531" t="s">
        <v>785</v>
      </c>
      <c r="R5531" t="s">
        <v>805</v>
      </c>
    </row>
    <row r="5532" spans="1:18" x14ac:dyDescent="0.3">
      <c r="A5532" t="s">
        <v>627</v>
      </c>
      <c r="B5532" s="16">
        <v>45599</v>
      </c>
      <c r="C5532" t="s">
        <v>3</v>
      </c>
      <c r="D5532" t="s">
        <v>128</v>
      </c>
      <c r="E5532">
        <v>2050</v>
      </c>
      <c r="F5532">
        <v>1572</v>
      </c>
      <c r="G5532">
        <v>230</v>
      </c>
      <c r="H5532">
        <v>13</v>
      </c>
      <c r="I5532">
        <v>349048.95</v>
      </c>
      <c r="J5532">
        <v>78</v>
      </c>
      <c r="K5532">
        <v>292351.95</v>
      </c>
      <c r="L5532">
        <v>71</v>
      </c>
      <c r="M5532">
        <v>460</v>
      </c>
      <c r="N5532">
        <v>1843</v>
      </c>
      <c r="O5532">
        <f t="shared" si="180"/>
        <v>2024</v>
      </c>
      <c r="P5532">
        <f t="shared" si="181"/>
        <v>11</v>
      </c>
      <c r="Q5532" t="s">
        <v>785</v>
      </c>
      <c r="R5532" t="s">
        <v>805</v>
      </c>
    </row>
    <row r="5533" spans="1:18" x14ac:dyDescent="0.3">
      <c r="A5533" t="s">
        <v>627</v>
      </c>
      <c r="B5533" s="16">
        <v>45599</v>
      </c>
      <c r="C5533" t="s">
        <v>3</v>
      </c>
      <c r="D5533" t="s">
        <v>127</v>
      </c>
      <c r="E5533">
        <v>7696</v>
      </c>
      <c r="F5533">
        <v>4542</v>
      </c>
      <c r="G5533">
        <v>131</v>
      </c>
      <c r="H5533">
        <v>50</v>
      </c>
      <c r="I5533">
        <v>223294.5</v>
      </c>
      <c r="J5533">
        <v>30</v>
      </c>
      <c r="K5533">
        <v>127625.5</v>
      </c>
      <c r="L5533">
        <v>25</v>
      </c>
      <c r="M5533">
        <v>1109</v>
      </c>
      <c r="N5533">
        <v>5084</v>
      </c>
      <c r="O5533">
        <f t="shared" si="180"/>
        <v>2024</v>
      </c>
      <c r="P5533">
        <f t="shared" si="181"/>
        <v>11</v>
      </c>
      <c r="Q5533" t="s">
        <v>785</v>
      </c>
      <c r="R5533" t="s">
        <v>805</v>
      </c>
    </row>
    <row r="5534" spans="1:18" x14ac:dyDescent="0.3">
      <c r="A5534" t="s">
        <v>627</v>
      </c>
      <c r="B5534" s="16">
        <v>45599</v>
      </c>
      <c r="C5534" t="s">
        <v>3</v>
      </c>
      <c r="D5534" t="s">
        <v>126</v>
      </c>
      <c r="E5534">
        <v>190</v>
      </c>
      <c r="F5534">
        <v>111</v>
      </c>
      <c r="G5534">
        <v>5</v>
      </c>
      <c r="H5534">
        <v>0</v>
      </c>
      <c r="I5534">
        <v>6245.27</v>
      </c>
      <c r="J5534">
        <v>2</v>
      </c>
      <c r="K5534">
        <v>6245.27</v>
      </c>
      <c r="L5534">
        <v>2</v>
      </c>
      <c r="M5534">
        <v>27</v>
      </c>
      <c r="N5534">
        <v>184</v>
      </c>
      <c r="O5534">
        <f t="shared" si="180"/>
        <v>2024</v>
      </c>
      <c r="P5534">
        <f t="shared" si="181"/>
        <v>11</v>
      </c>
      <c r="Q5534" t="s">
        <v>785</v>
      </c>
      <c r="R5534" t="s">
        <v>805</v>
      </c>
    </row>
    <row r="5535" spans="1:18" x14ac:dyDescent="0.3">
      <c r="A5535" t="s">
        <v>627</v>
      </c>
      <c r="B5535" s="16">
        <v>45599</v>
      </c>
      <c r="C5535" t="s">
        <v>3</v>
      </c>
      <c r="D5535" t="s">
        <v>125</v>
      </c>
      <c r="E5535">
        <v>4</v>
      </c>
      <c r="F5535">
        <v>2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4</v>
      </c>
      <c r="O5535">
        <f t="shared" si="180"/>
        <v>2024</v>
      </c>
      <c r="P5535">
        <f t="shared" si="181"/>
        <v>11</v>
      </c>
      <c r="Q5535" t="s">
        <v>785</v>
      </c>
      <c r="R5535" t="s">
        <v>805</v>
      </c>
    </row>
    <row r="5536" spans="1:18" x14ac:dyDescent="0.3">
      <c r="A5536" t="s">
        <v>627</v>
      </c>
      <c r="B5536" s="16">
        <v>45599</v>
      </c>
      <c r="C5536" t="s">
        <v>3</v>
      </c>
      <c r="D5536" t="s">
        <v>123</v>
      </c>
      <c r="E5536">
        <v>432</v>
      </c>
      <c r="F5536">
        <v>172</v>
      </c>
      <c r="G5536">
        <v>30</v>
      </c>
      <c r="H5536">
        <v>8</v>
      </c>
      <c r="I5536">
        <v>58837.8</v>
      </c>
      <c r="J5536">
        <v>10</v>
      </c>
      <c r="K5536">
        <v>49487.8</v>
      </c>
      <c r="L5536">
        <v>9</v>
      </c>
      <c r="M5536">
        <v>126</v>
      </c>
      <c r="N5536">
        <v>396</v>
      </c>
      <c r="O5536">
        <f t="shared" si="180"/>
        <v>2024</v>
      </c>
      <c r="P5536">
        <f t="shared" si="181"/>
        <v>11</v>
      </c>
      <c r="Q5536" t="s">
        <v>785</v>
      </c>
      <c r="R5536" t="s">
        <v>805</v>
      </c>
    </row>
    <row r="5537" spans="1:18" x14ac:dyDescent="0.3">
      <c r="A5537" t="s">
        <v>627</v>
      </c>
      <c r="B5537" s="16">
        <v>45599</v>
      </c>
      <c r="C5537" t="s">
        <v>3</v>
      </c>
      <c r="D5537" t="s">
        <v>121</v>
      </c>
      <c r="E5537">
        <v>3</v>
      </c>
      <c r="F5537">
        <v>3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1</v>
      </c>
      <c r="N5537">
        <v>2</v>
      </c>
      <c r="O5537">
        <f t="shared" si="180"/>
        <v>2024</v>
      </c>
      <c r="P5537">
        <f t="shared" si="181"/>
        <v>11</v>
      </c>
      <c r="Q5537" t="s">
        <v>785</v>
      </c>
      <c r="R5537" t="s">
        <v>805</v>
      </c>
    </row>
    <row r="5538" spans="1:18" x14ac:dyDescent="0.3">
      <c r="A5538" t="s">
        <v>627</v>
      </c>
      <c r="B5538" s="16">
        <v>45599</v>
      </c>
      <c r="C5538" t="s">
        <v>3</v>
      </c>
      <c r="D5538" t="s">
        <v>119</v>
      </c>
      <c r="E5538">
        <v>626</v>
      </c>
      <c r="F5538">
        <v>162</v>
      </c>
      <c r="G5538">
        <v>78</v>
      </c>
      <c r="H5538">
        <v>17</v>
      </c>
      <c r="I5538">
        <v>379094.77</v>
      </c>
      <c r="J5538">
        <v>54</v>
      </c>
      <c r="K5538">
        <v>299829.77</v>
      </c>
      <c r="L5538">
        <v>49</v>
      </c>
      <c r="M5538">
        <v>146</v>
      </c>
      <c r="N5538">
        <v>575</v>
      </c>
      <c r="O5538">
        <f t="shared" si="180"/>
        <v>2024</v>
      </c>
      <c r="P5538">
        <f t="shared" si="181"/>
        <v>11</v>
      </c>
      <c r="Q5538" t="s">
        <v>785</v>
      </c>
      <c r="R5538" t="s">
        <v>805</v>
      </c>
    </row>
    <row r="5539" spans="1:18" x14ac:dyDescent="0.3">
      <c r="A5539" t="s">
        <v>627</v>
      </c>
      <c r="B5539" s="16">
        <v>45599</v>
      </c>
      <c r="C5539" t="s">
        <v>3</v>
      </c>
      <c r="D5539" t="s">
        <v>252</v>
      </c>
      <c r="E5539">
        <v>3</v>
      </c>
      <c r="F5539">
        <v>1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3</v>
      </c>
      <c r="O5539">
        <f t="shared" si="180"/>
        <v>2024</v>
      </c>
      <c r="P5539">
        <f t="shared" si="181"/>
        <v>11</v>
      </c>
      <c r="Q5539" t="s">
        <v>785</v>
      </c>
      <c r="R5539" t="s">
        <v>805</v>
      </c>
    </row>
    <row r="5540" spans="1:18" x14ac:dyDescent="0.3">
      <c r="A5540" t="s">
        <v>627</v>
      </c>
      <c r="B5540" s="16">
        <v>45599</v>
      </c>
      <c r="C5540" t="s">
        <v>3</v>
      </c>
      <c r="D5540" t="s">
        <v>117</v>
      </c>
      <c r="E5540">
        <v>19</v>
      </c>
      <c r="F5540">
        <v>18</v>
      </c>
      <c r="G5540">
        <v>2</v>
      </c>
      <c r="H5540">
        <v>1</v>
      </c>
      <c r="I5540">
        <v>3900</v>
      </c>
      <c r="J5540">
        <v>1</v>
      </c>
      <c r="K5540">
        <v>3900</v>
      </c>
      <c r="L5540">
        <v>1</v>
      </c>
      <c r="M5540">
        <v>3</v>
      </c>
      <c r="N5540">
        <v>19</v>
      </c>
      <c r="O5540">
        <f t="shared" si="180"/>
        <v>2024</v>
      </c>
      <c r="P5540">
        <f t="shared" si="181"/>
        <v>11</v>
      </c>
      <c r="Q5540" t="s">
        <v>785</v>
      </c>
      <c r="R5540" t="s">
        <v>805</v>
      </c>
    </row>
    <row r="5541" spans="1:18" x14ac:dyDescent="0.3">
      <c r="A5541" t="s">
        <v>627</v>
      </c>
      <c r="B5541" s="16">
        <v>45599</v>
      </c>
      <c r="C5541" t="s">
        <v>3</v>
      </c>
      <c r="D5541" t="s">
        <v>115</v>
      </c>
      <c r="E5541">
        <v>3</v>
      </c>
      <c r="F5541">
        <v>2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3</v>
      </c>
      <c r="O5541">
        <f t="shared" si="180"/>
        <v>2024</v>
      </c>
      <c r="P5541">
        <f t="shared" si="181"/>
        <v>11</v>
      </c>
      <c r="Q5541" t="s">
        <v>785</v>
      </c>
      <c r="R5541" t="s">
        <v>805</v>
      </c>
    </row>
    <row r="5542" spans="1:18" x14ac:dyDescent="0.3">
      <c r="A5542" t="s">
        <v>627</v>
      </c>
      <c r="B5542" s="16">
        <v>45599</v>
      </c>
      <c r="C5542" t="s">
        <v>3</v>
      </c>
      <c r="D5542" t="s">
        <v>114</v>
      </c>
      <c r="E5542">
        <v>231</v>
      </c>
      <c r="F5542">
        <v>106</v>
      </c>
      <c r="G5542">
        <v>6</v>
      </c>
      <c r="H5542">
        <v>6</v>
      </c>
      <c r="I5542">
        <v>6857</v>
      </c>
      <c r="J5542">
        <v>2</v>
      </c>
      <c r="K5542">
        <v>6857</v>
      </c>
      <c r="L5542">
        <v>2</v>
      </c>
      <c r="M5542">
        <v>25</v>
      </c>
      <c r="N5542">
        <v>227</v>
      </c>
      <c r="O5542">
        <f t="shared" si="180"/>
        <v>2024</v>
      </c>
      <c r="P5542">
        <f t="shared" si="181"/>
        <v>11</v>
      </c>
      <c r="Q5542" t="s">
        <v>785</v>
      </c>
      <c r="R5542" t="s">
        <v>805</v>
      </c>
    </row>
    <row r="5543" spans="1:18" x14ac:dyDescent="0.3">
      <c r="A5543" t="s">
        <v>627</v>
      </c>
      <c r="B5543" s="16">
        <v>45599</v>
      </c>
      <c r="C5543" t="s">
        <v>3</v>
      </c>
      <c r="D5543" t="s">
        <v>113</v>
      </c>
      <c r="E5543">
        <v>186</v>
      </c>
      <c r="F5543">
        <v>103</v>
      </c>
      <c r="G5543">
        <v>3</v>
      </c>
      <c r="H5543">
        <v>0</v>
      </c>
      <c r="I5543">
        <v>8660</v>
      </c>
      <c r="J5543">
        <v>3</v>
      </c>
      <c r="K5543">
        <v>8660</v>
      </c>
      <c r="L5543">
        <v>3</v>
      </c>
      <c r="M5543">
        <v>114</v>
      </c>
      <c r="N5543">
        <v>101</v>
      </c>
      <c r="O5543">
        <f t="shared" si="180"/>
        <v>2024</v>
      </c>
      <c r="P5543">
        <f t="shared" si="181"/>
        <v>11</v>
      </c>
      <c r="Q5543" t="s">
        <v>785</v>
      </c>
      <c r="R5543" t="s">
        <v>805</v>
      </c>
    </row>
    <row r="5544" spans="1:18" x14ac:dyDescent="0.3">
      <c r="A5544" t="s">
        <v>627</v>
      </c>
      <c r="B5544" s="16">
        <v>45599</v>
      </c>
      <c r="C5544" t="s">
        <v>3</v>
      </c>
      <c r="D5544" t="s">
        <v>112</v>
      </c>
      <c r="E5544">
        <v>34</v>
      </c>
      <c r="F5544">
        <v>13</v>
      </c>
      <c r="G5544">
        <v>8</v>
      </c>
      <c r="H5544">
        <v>0</v>
      </c>
      <c r="I5544">
        <v>60630.5</v>
      </c>
      <c r="J5544">
        <v>10</v>
      </c>
      <c r="K5544">
        <v>42608</v>
      </c>
      <c r="L5544">
        <v>9</v>
      </c>
      <c r="M5544">
        <v>2</v>
      </c>
      <c r="N5544">
        <v>34</v>
      </c>
      <c r="O5544">
        <f t="shared" si="180"/>
        <v>2024</v>
      </c>
      <c r="P5544">
        <f t="shared" si="181"/>
        <v>11</v>
      </c>
      <c r="Q5544" t="s">
        <v>785</v>
      </c>
      <c r="R5544" t="s">
        <v>805</v>
      </c>
    </row>
    <row r="5545" spans="1:18" x14ac:dyDescent="0.3">
      <c r="A5545" t="s">
        <v>627</v>
      </c>
      <c r="B5545" s="16">
        <v>45599</v>
      </c>
      <c r="C5545" t="s">
        <v>3</v>
      </c>
      <c r="D5545" t="s">
        <v>111</v>
      </c>
      <c r="E5545">
        <v>1</v>
      </c>
      <c r="F5545">
        <v>1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1</v>
      </c>
      <c r="N5545">
        <v>0</v>
      </c>
      <c r="O5545">
        <f t="shared" si="180"/>
        <v>2024</v>
      </c>
      <c r="P5545">
        <f t="shared" si="181"/>
        <v>11</v>
      </c>
      <c r="Q5545" t="s">
        <v>785</v>
      </c>
      <c r="R5545" t="s">
        <v>805</v>
      </c>
    </row>
    <row r="5546" spans="1:18" x14ac:dyDescent="0.3">
      <c r="A5546" t="s">
        <v>627</v>
      </c>
      <c r="B5546" s="16">
        <v>45598</v>
      </c>
      <c r="C5546" t="s">
        <v>2</v>
      </c>
      <c r="D5546" t="s">
        <v>4</v>
      </c>
      <c r="E5546">
        <v>385</v>
      </c>
      <c r="F5546">
        <v>141</v>
      </c>
      <c r="G5546">
        <v>9</v>
      </c>
      <c r="H5546">
        <v>2</v>
      </c>
      <c r="I5546">
        <v>14564</v>
      </c>
      <c r="J5546">
        <v>4</v>
      </c>
      <c r="K5546">
        <v>10487</v>
      </c>
      <c r="L5546">
        <v>4</v>
      </c>
      <c r="M5546">
        <v>32</v>
      </c>
      <c r="N5546">
        <v>377</v>
      </c>
      <c r="O5546">
        <f t="shared" si="180"/>
        <v>2024</v>
      </c>
      <c r="P5546">
        <f t="shared" si="181"/>
        <v>11</v>
      </c>
      <c r="Q5546" t="s">
        <v>785</v>
      </c>
      <c r="R5546" t="s">
        <v>805</v>
      </c>
    </row>
    <row r="5547" spans="1:18" x14ac:dyDescent="0.3">
      <c r="A5547" t="s">
        <v>627</v>
      </c>
      <c r="B5547" s="16">
        <v>45598</v>
      </c>
      <c r="C5547" t="s">
        <v>2</v>
      </c>
      <c r="D5547" t="s">
        <v>57</v>
      </c>
      <c r="E5547">
        <v>15357</v>
      </c>
      <c r="F5547">
        <v>9010</v>
      </c>
      <c r="G5547">
        <v>505</v>
      </c>
      <c r="H5547">
        <v>190</v>
      </c>
      <c r="I5547">
        <v>494102.19</v>
      </c>
      <c r="J5547">
        <v>110</v>
      </c>
      <c r="K5547">
        <v>406375.19</v>
      </c>
      <c r="L5547">
        <v>98</v>
      </c>
      <c r="M5547">
        <v>1297</v>
      </c>
      <c r="N5547">
        <v>15301</v>
      </c>
      <c r="O5547">
        <f t="shared" si="180"/>
        <v>2024</v>
      </c>
      <c r="P5547">
        <f t="shared" si="181"/>
        <v>11</v>
      </c>
      <c r="Q5547" t="s">
        <v>785</v>
      </c>
      <c r="R5547" t="s">
        <v>805</v>
      </c>
    </row>
    <row r="5548" spans="1:18" x14ac:dyDescent="0.3">
      <c r="A5548" t="s">
        <v>627</v>
      </c>
      <c r="B5548" s="16">
        <v>45598</v>
      </c>
      <c r="C5548" t="s">
        <v>2</v>
      </c>
      <c r="D5548" t="s">
        <v>52</v>
      </c>
      <c r="E5548">
        <v>1436</v>
      </c>
      <c r="F5548">
        <v>1162</v>
      </c>
      <c r="G5548">
        <v>36</v>
      </c>
      <c r="H5548">
        <v>5</v>
      </c>
      <c r="I5548">
        <v>20818</v>
      </c>
      <c r="J5548">
        <v>5</v>
      </c>
      <c r="K5548">
        <v>20818</v>
      </c>
      <c r="L5548">
        <v>5</v>
      </c>
      <c r="M5548">
        <v>1436</v>
      </c>
      <c r="N5548">
        <v>566</v>
      </c>
      <c r="O5548">
        <f t="shared" si="180"/>
        <v>2024</v>
      </c>
      <c r="P5548">
        <f t="shared" si="181"/>
        <v>11</v>
      </c>
      <c r="Q5548" t="s">
        <v>785</v>
      </c>
      <c r="R5548" t="s">
        <v>805</v>
      </c>
    </row>
    <row r="5549" spans="1:18" x14ac:dyDescent="0.3">
      <c r="A5549" t="s">
        <v>627</v>
      </c>
      <c r="B5549" s="16">
        <v>45598</v>
      </c>
      <c r="C5549" t="s">
        <v>2</v>
      </c>
      <c r="D5549" t="s">
        <v>55</v>
      </c>
      <c r="E5549">
        <v>1580</v>
      </c>
      <c r="F5549">
        <v>1072</v>
      </c>
      <c r="G5549">
        <v>24</v>
      </c>
      <c r="H5549">
        <v>6</v>
      </c>
      <c r="I5549">
        <v>0</v>
      </c>
      <c r="J5549">
        <v>0</v>
      </c>
      <c r="K5549">
        <v>0</v>
      </c>
      <c r="L5549">
        <v>0</v>
      </c>
      <c r="M5549">
        <v>51</v>
      </c>
      <c r="N5549">
        <v>456</v>
      </c>
      <c r="O5549">
        <f t="shared" si="180"/>
        <v>2024</v>
      </c>
      <c r="P5549">
        <f t="shared" si="181"/>
        <v>11</v>
      </c>
      <c r="Q5549" t="s">
        <v>785</v>
      </c>
      <c r="R5549" t="s">
        <v>805</v>
      </c>
    </row>
    <row r="5550" spans="1:18" x14ac:dyDescent="0.3">
      <c r="A5550" t="s">
        <v>627</v>
      </c>
      <c r="B5550" s="16">
        <v>45598</v>
      </c>
      <c r="C5550" t="s">
        <v>3</v>
      </c>
      <c r="D5550" t="s">
        <v>155</v>
      </c>
      <c r="E5550">
        <v>4</v>
      </c>
      <c r="F5550">
        <v>4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4</v>
      </c>
      <c r="O5550">
        <f t="shared" si="180"/>
        <v>2024</v>
      </c>
      <c r="P5550">
        <f t="shared" si="181"/>
        <v>11</v>
      </c>
      <c r="Q5550" t="s">
        <v>785</v>
      </c>
      <c r="R5550" t="s">
        <v>805</v>
      </c>
    </row>
    <row r="5551" spans="1:18" x14ac:dyDescent="0.3">
      <c r="A5551" t="s">
        <v>627</v>
      </c>
      <c r="B5551" s="16">
        <v>45598</v>
      </c>
      <c r="C5551" t="s">
        <v>3</v>
      </c>
      <c r="D5551" t="s">
        <v>154</v>
      </c>
      <c r="E5551">
        <v>590</v>
      </c>
      <c r="F5551">
        <v>481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2</v>
      </c>
      <c r="O5551">
        <f t="shared" si="180"/>
        <v>2024</v>
      </c>
      <c r="P5551">
        <f t="shared" si="181"/>
        <v>11</v>
      </c>
      <c r="Q5551" t="s">
        <v>785</v>
      </c>
      <c r="R5551" t="s">
        <v>805</v>
      </c>
    </row>
    <row r="5552" spans="1:18" x14ac:dyDescent="0.3">
      <c r="A5552" t="s">
        <v>627</v>
      </c>
      <c r="B5552" s="16">
        <v>45598</v>
      </c>
      <c r="C5552" t="s">
        <v>3</v>
      </c>
      <c r="D5552" t="s">
        <v>153</v>
      </c>
      <c r="E5552">
        <v>794</v>
      </c>
      <c r="F5552">
        <v>209</v>
      </c>
      <c r="G5552">
        <v>94</v>
      </c>
      <c r="H5552">
        <v>3</v>
      </c>
      <c r="I5552">
        <v>426564.5</v>
      </c>
      <c r="J5552">
        <v>92</v>
      </c>
      <c r="K5552">
        <v>394864.5</v>
      </c>
      <c r="L5552">
        <v>89</v>
      </c>
      <c r="M5552">
        <v>206</v>
      </c>
      <c r="N5552">
        <v>764</v>
      </c>
      <c r="O5552">
        <f t="shared" si="180"/>
        <v>2024</v>
      </c>
      <c r="P5552">
        <f t="shared" si="181"/>
        <v>11</v>
      </c>
      <c r="Q5552" t="s">
        <v>785</v>
      </c>
      <c r="R5552" t="s">
        <v>805</v>
      </c>
    </row>
    <row r="5553" spans="1:18" x14ac:dyDescent="0.3">
      <c r="A5553" t="s">
        <v>627</v>
      </c>
      <c r="B5553" s="16">
        <v>45598</v>
      </c>
      <c r="C5553" t="s">
        <v>3</v>
      </c>
      <c r="D5553" t="s">
        <v>152</v>
      </c>
      <c r="E5553">
        <v>13</v>
      </c>
      <c r="F5553">
        <v>11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f t="shared" si="180"/>
        <v>2024</v>
      </c>
      <c r="P5553">
        <f t="shared" si="181"/>
        <v>11</v>
      </c>
      <c r="Q5553" t="s">
        <v>785</v>
      </c>
      <c r="R5553" t="s">
        <v>805</v>
      </c>
    </row>
    <row r="5554" spans="1:18" x14ac:dyDescent="0.3">
      <c r="A5554" t="s">
        <v>627</v>
      </c>
      <c r="B5554" s="16">
        <v>45598</v>
      </c>
      <c r="C5554" t="s">
        <v>3</v>
      </c>
      <c r="D5554" t="s">
        <v>150</v>
      </c>
      <c r="E5554">
        <v>5</v>
      </c>
      <c r="F5554">
        <v>2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4</v>
      </c>
      <c r="O5554">
        <f t="shared" si="180"/>
        <v>2024</v>
      </c>
      <c r="P5554">
        <f t="shared" si="181"/>
        <v>11</v>
      </c>
      <c r="Q5554" t="s">
        <v>785</v>
      </c>
      <c r="R5554" t="s">
        <v>805</v>
      </c>
    </row>
    <row r="5555" spans="1:18" x14ac:dyDescent="0.3">
      <c r="A5555" t="s">
        <v>627</v>
      </c>
      <c r="B5555" s="16">
        <v>45598</v>
      </c>
      <c r="C5555" t="s">
        <v>3</v>
      </c>
      <c r="D5555" t="s">
        <v>149</v>
      </c>
      <c r="E5555">
        <v>27</v>
      </c>
      <c r="F5555">
        <v>17</v>
      </c>
      <c r="G5555">
        <v>0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11</v>
      </c>
      <c r="O5555">
        <f t="shared" si="180"/>
        <v>2024</v>
      </c>
      <c r="P5555">
        <f t="shared" si="181"/>
        <v>11</v>
      </c>
      <c r="Q5555" t="s">
        <v>785</v>
      </c>
      <c r="R5555" t="s">
        <v>805</v>
      </c>
    </row>
    <row r="5556" spans="1:18" x14ac:dyDescent="0.3">
      <c r="A5556" t="s">
        <v>627</v>
      </c>
      <c r="B5556" s="16">
        <v>45598</v>
      </c>
      <c r="C5556" t="s">
        <v>3</v>
      </c>
      <c r="D5556" t="s">
        <v>148</v>
      </c>
      <c r="E5556">
        <v>4</v>
      </c>
      <c r="F5556">
        <v>3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3</v>
      </c>
      <c r="N5556">
        <v>1</v>
      </c>
      <c r="O5556">
        <f t="shared" si="180"/>
        <v>2024</v>
      </c>
      <c r="P5556">
        <f t="shared" si="181"/>
        <v>11</v>
      </c>
      <c r="Q5556" t="s">
        <v>785</v>
      </c>
      <c r="R5556" t="s">
        <v>805</v>
      </c>
    </row>
    <row r="5557" spans="1:18" x14ac:dyDescent="0.3">
      <c r="A5557" t="s">
        <v>627</v>
      </c>
      <c r="B5557" s="16">
        <v>45598</v>
      </c>
      <c r="C5557" t="s">
        <v>3</v>
      </c>
      <c r="D5557" t="s">
        <v>251</v>
      </c>
      <c r="E5557">
        <v>2350</v>
      </c>
      <c r="F5557">
        <v>1862</v>
      </c>
      <c r="G5557">
        <v>26</v>
      </c>
      <c r="H5557">
        <v>7</v>
      </c>
      <c r="I5557">
        <v>105302</v>
      </c>
      <c r="J5557">
        <v>15</v>
      </c>
      <c r="K5557">
        <v>77577</v>
      </c>
      <c r="L5557">
        <v>15</v>
      </c>
      <c r="M5557">
        <v>128</v>
      </c>
      <c r="N5557">
        <v>564</v>
      </c>
      <c r="O5557">
        <f t="shared" si="180"/>
        <v>2024</v>
      </c>
      <c r="P5557">
        <f t="shared" si="181"/>
        <v>11</v>
      </c>
      <c r="Q5557" t="s">
        <v>785</v>
      </c>
      <c r="R5557" t="s">
        <v>805</v>
      </c>
    </row>
    <row r="5558" spans="1:18" x14ac:dyDescent="0.3">
      <c r="A5558" t="s">
        <v>627</v>
      </c>
      <c r="B5558" s="16">
        <v>45598</v>
      </c>
      <c r="C5558" t="s">
        <v>3</v>
      </c>
      <c r="D5558" t="s">
        <v>143</v>
      </c>
      <c r="E5558">
        <v>14</v>
      </c>
      <c r="F5558">
        <v>10</v>
      </c>
      <c r="G5558">
        <v>0</v>
      </c>
      <c r="H5558">
        <v>1</v>
      </c>
      <c r="I5558">
        <v>0</v>
      </c>
      <c r="J5558">
        <v>0</v>
      </c>
      <c r="K5558">
        <v>0</v>
      </c>
      <c r="L5558">
        <v>0</v>
      </c>
      <c r="M5558">
        <v>1</v>
      </c>
      <c r="N5558">
        <v>14</v>
      </c>
      <c r="O5558">
        <f t="shared" si="180"/>
        <v>2024</v>
      </c>
      <c r="P5558">
        <f t="shared" si="181"/>
        <v>11</v>
      </c>
      <c r="Q5558" t="s">
        <v>785</v>
      </c>
      <c r="R5558" t="s">
        <v>805</v>
      </c>
    </row>
    <row r="5559" spans="1:18" x14ac:dyDescent="0.3">
      <c r="A5559" t="s">
        <v>627</v>
      </c>
      <c r="B5559" s="16">
        <v>45598</v>
      </c>
      <c r="C5559" t="s">
        <v>3</v>
      </c>
      <c r="D5559" t="s">
        <v>141</v>
      </c>
      <c r="E5559">
        <v>10</v>
      </c>
      <c r="F5559">
        <v>8</v>
      </c>
      <c r="G5559">
        <v>0</v>
      </c>
      <c r="H5559">
        <v>0</v>
      </c>
      <c r="I5559">
        <v>1750</v>
      </c>
      <c r="J5559">
        <v>1</v>
      </c>
      <c r="K5559">
        <v>1750</v>
      </c>
      <c r="L5559">
        <v>1</v>
      </c>
      <c r="M5559">
        <v>0</v>
      </c>
      <c r="N5559">
        <v>10</v>
      </c>
      <c r="O5559">
        <f t="shared" si="180"/>
        <v>2024</v>
      </c>
      <c r="P5559">
        <f t="shared" si="181"/>
        <v>11</v>
      </c>
      <c r="Q5559" t="s">
        <v>785</v>
      </c>
      <c r="R5559" t="s">
        <v>805</v>
      </c>
    </row>
    <row r="5560" spans="1:18" x14ac:dyDescent="0.3">
      <c r="A5560" t="s">
        <v>627</v>
      </c>
      <c r="B5560" s="16">
        <v>45598</v>
      </c>
      <c r="C5560" t="s">
        <v>3</v>
      </c>
      <c r="D5560" t="s">
        <v>140</v>
      </c>
      <c r="E5560">
        <v>13</v>
      </c>
      <c r="F5560">
        <v>10</v>
      </c>
      <c r="G5560">
        <v>2</v>
      </c>
      <c r="H5560">
        <v>0</v>
      </c>
      <c r="I5560">
        <v>21325</v>
      </c>
      <c r="J5560">
        <v>3</v>
      </c>
      <c r="K5560">
        <v>18825</v>
      </c>
      <c r="L5560">
        <v>3</v>
      </c>
      <c r="M5560">
        <v>3</v>
      </c>
      <c r="N5560">
        <v>11</v>
      </c>
      <c r="O5560">
        <f t="shared" si="180"/>
        <v>2024</v>
      </c>
      <c r="P5560">
        <f t="shared" si="181"/>
        <v>11</v>
      </c>
      <c r="Q5560" t="s">
        <v>785</v>
      </c>
      <c r="R5560" t="s">
        <v>805</v>
      </c>
    </row>
    <row r="5561" spans="1:18" x14ac:dyDescent="0.3">
      <c r="A5561" t="s">
        <v>627</v>
      </c>
      <c r="B5561" s="16">
        <v>45598</v>
      </c>
      <c r="C5561" t="s">
        <v>3</v>
      </c>
      <c r="D5561" t="s">
        <v>139</v>
      </c>
      <c r="E5561">
        <v>2309</v>
      </c>
      <c r="F5561">
        <v>1320</v>
      </c>
      <c r="G5561">
        <v>112</v>
      </c>
      <c r="H5561">
        <v>28</v>
      </c>
      <c r="I5561">
        <v>265988.32</v>
      </c>
      <c r="J5561">
        <v>52</v>
      </c>
      <c r="K5561">
        <v>208959.32</v>
      </c>
      <c r="L5561">
        <v>48</v>
      </c>
      <c r="M5561">
        <v>592</v>
      </c>
      <c r="N5561">
        <v>2036</v>
      </c>
      <c r="O5561">
        <f t="shared" si="180"/>
        <v>2024</v>
      </c>
      <c r="P5561">
        <f t="shared" si="181"/>
        <v>11</v>
      </c>
      <c r="Q5561" t="s">
        <v>785</v>
      </c>
      <c r="R5561" t="s">
        <v>805</v>
      </c>
    </row>
    <row r="5562" spans="1:18" x14ac:dyDescent="0.3">
      <c r="A5562" t="s">
        <v>627</v>
      </c>
      <c r="B5562" s="16">
        <v>45598</v>
      </c>
      <c r="C5562" t="s">
        <v>3</v>
      </c>
      <c r="D5562" t="s">
        <v>138</v>
      </c>
      <c r="E5562">
        <v>130</v>
      </c>
      <c r="F5562">
        <v>100</v>
      </c>
      <c r="G5562">
        <v>2</v>
      </c>
      <c r="H5562">
        <v>4</v>
      </c>
      <c r="I5562">
        <v>1498</v>
      </c>
      <c r="J5562">
        <v>1</v>
      </c>
      <c r="K5562">
        <v>1498</v>
      </c>
      <c r="L5562">
        <v>1</v>
      </c>
      <c r="M5562">
        <v>13</v>
      </c>
      <c r="N5562">
        <v>128</v>
      </c>
      <c r="O5562">
        <f t="shared" si="180"/>
        <v>2024</v>
      </c>
      <c r="P5562">
        <f t="shared" si="181"/>
        <v>11</v>
      </c>
      <c r="Q5562" t="s">
        <v>785</v>
      </c>
      <c r="R5562" t="s">
        <v>805</v>
      </c>
    </row>
    <row r="5563" spans="1:18" x14ac:dyDescent="0.3">
      <c r="A5563" t="s">
        <v>627</v>
      </c>
      <c r="B5563" s="16">
        <v>45598</v>
      </c>
      <c r="C5563" t="s">
        <v>3</v>
      </c>
      <c r="D5563" t="s">
        <v>137</v>
      </c>
      <c r="E5563">
        <v>4</v>
      </c>
      <c r="F5563">
        <v>2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4</v>
      </c>
      <c r="O5563">
        <f t="shared" si="180"/>
        <v>2024</v>
      </c>
      <c r="P5563">
        <f t="shared" si="181"/>
        <v>11</v>
      </c>
      <c r="Q5563" t="s">
        <v>785</v>
      </c>
      <c r="R5563" t="s">
        <v>805</v>
      </c>
    </row>
    <row r="5564" spans="1:18" x14ac:dyDescent="0.3">
      <c r="A5564" t="s">
        <v>627</v>
      </c>
      <c r="B5564" s="16">
        <v>45598</v>
      </c>
      <c r="C5564" t="s">
        <v>3</v>
      </c>
      <c r="D5564" t="s">
        <v>135</v>
      </c>
      <c r="E5564">
        <v>11</v>
      </c>
      <c r="F5564">
        <v>5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3</v>
      </c>
      <c r="O5564">
        <f t="shared" si="180"/>
        <v>2024</v>
      </c>
      <c r="P5564">
        <f t="shared" si="181"/>
        <v>11</v>
      </c>
      <c r="Q5564" t="s">
        <v>785</v>
      </c>
      <c r="R5564" t="s">
        <v>805</v>
      </c>
    </row>
    <row r="5565" spans="1:18" x14ac:dyDescent="0.3">
      <c r="A5565" t="s">
        <v>627</v>
      </c>
      <c r="B5565" s="16">
        <v>45598</v>
      </c>
      <c r="C5565" t="s">
        <v>3</v>
      </c>
      <c r="D5565" t="s">
        <v>133</v>
      </c>
      <c r="E5565">
        <v>30</v>
      </c>
      <c r="F5565">
        <v>19</v>
      </c>
      <c r="G5565">
        <v>4</v>
      </c>
      <c r="H5565">
        <v>0</v>
      </c>
      <c r="I5565">
        <v>15600</v>
      </c>
      <c r="J5565">
        <v>1</v>
      </c>
      <c r="K5565">
        <v>15600</v>
      </c>
      <c r="L5565">
        <v>1</v>
      </c>
      <c r="M5565">
        <v>6</v>
      </c>
      <c r="N5565">
        <v>27</v>
      </c>
      <c r="O5565">
        <f t="shared" si="180"/>
        <v>2024</v>
      </c>
      <c r="P5565">
        <f t="shared" si="181"/>
        <v>11</v>
      </c>
      <c r="Q5565" t="s">
        <v>785</v>
      </c>
      <c r="R5565" t="s">
        <v>805</v>
      </c>
    </row>
    <row r="5566" spans="1:18" x14ac:dyDescent="0.3">
      <c r="A5566" t="s">
        <v>627</v>
      </c>
      <c r="B5566" s="16">
        <v>45598</v>
      </c>
      <c r="C5566" t="s">
        <v>3</v>
      </c>
      <c r="D5566" t="s">
        <v>130</v>
      </c>
      <c r="E5566">
        <v>213</v>
      </c>
      <c r="F5566">
        <v>59</v>
      </c>
      <c r="G5566">
        <v>27</v>
      </c>
      <c r="H5566">
        <v>3</v>
      </c>
      <c r="I5566">
        <v>123466.73</v>
      </c>
      <c r="J5566">
        <v>24</v>
      </c>
      <c r="K5566">
        <v>117716.73</v>
      </c>
      <c r="L5566">
        <v>23</v>
      </c>
      <c r="M5566">
        <v>63</v>
      </c>
      <c r="N5566">
        <v>205</v>
      </c>
      <c r="O5566">
        <f t="shared" si="180"/>
        <v>2024</v>
      </c>
      <c r="P5566">
        <f t="shared" si="181"/>
        <v>11</v>
      </c>
      <c r="Q5566" t="s">
        <v>785</v>
      </c>
      <c r="R5566" t="s">
        <v>805</v>
      </c>
    </row>
    <row r="5567" spans="1:18" x14ac:dyDescent="0.3">
      <c r="A5567" t="s">
        <v>627</v>
      </c>
      <c r="B5567" s="16">
        <v>45598</v>
      </c>
      <c r="C5567" t="s">
        <v>3</v>
      </c>
      <c r="D5567" t="s">
        <v>128</v>
      </c>
      <c r="E5567">
        <v>2006</v>
      </c>
      <c r="F5567">
        <v>1541</v>
      </c>
      <c r="G5567">
        <v>138</v>
      </c>
      <c r="H5567">
        <v>27</v>
      </c>
      <c r="I5567">
        <v>187650.11</v>
      </c>
      <c r="J5567">
        <v>50</v>
      </c>
      <c r="K5567">
        <v>158740.10999999999</v>
      </c>
      <c r="L5567">
        <v>45</v>
      </c>
      <c r="M5567">
        <v>403</v>
      </c>
      <c r="N5567">
        <v>1860</v>
      </c>
      <c r="O5567">
        <f t="shared" si="180"/>
        <v>2024</v>
      </c>
      <c r="P5567">
        <f t="shared" si="181"/>
        <v>11</v>
      </c>
      <c r="Q5567" t="s">
        <v>785</v>
      </c>
      <c r="R5567" t="s">
        <v>805</v>
      </c>
    </row>
    <row r="5568" spans="1:18" x14ac:dyDescent="0.3">
      <c r="A5568" t="s">
        <v>627</v>
      </c>
      <c r="B5568" s="16">
        <v>45598</v>
      </c>
      <c r="C5568" t="s">
        <v>3</v>
      </c>
      <c r="D5568" t="s">
        <v>127</v>
      </c>
      <c r="E5568">
        <v>8104</v>
      </c>
      <c r="F5568">
        <v>4836</v>
      </c>
      <c r="G5568">
        <v>148</v>
      </c>
      <c r="H5568">
        <v>58</v>
      </c>
      <c r="I5568">
        <v>95804.5</v>
      </c>
      <c r="J5568">
        <v>21</v>
      </c>
      <c r="K5568">
        <v>91894.5</v>
      </c>
      <c r="L5568">
        <v>20</v>
      </c>
      <c r="M5568">
        <v>1074</v>
      </c>
      <c r="N5568">
        <v>6095</v>
      </c>
      <c r="O5568">
        <f t="shared" si="180"/>
        <v>2024</v>
      </c>
      <c r="P5568">
        <f t="shared" si="181"/>
        <v>11</v>
      </c>
      <c r="Q5568" t="s">
        <v>785</v>
      </c>
      <c r="R5568" t="s">
        <v>805</v>
      </c>
    </row>
    <row r="5569" spans="1:18" x14ac:dyDescent="0.3">
      <c r="A5569" t="s">
        <v>627</v>
      </c>
      <c r="B5569" s="16">
        <v>45598</v>
      </c>
      <c r="C5569" t="s">
        <v>3</v>
      </c>
      <c r="D5569" t="s">
        <v>126</v>
      </c>
      <c r="E5569">
        <v>179</v>
      </c>
      <c r="F5569">
        <v>106</v>
      </c>
      <c r="G5569">
        <v>7</v>
      </c>
      <c r="H5569">
        <v>5</v>
      </c>
      <c r="I5569">
        <v>11672.5</v>
      </c>
      <c r="J5569">
        <v>3</v>
      </c>
      <c r="K5569">
        <v>7772.5</v>
      </c>
      <c r="L5569">
        <v>2</v>
      </c>
      <c r="M5569">
        <v>28</v>
      </c>
      <c r="N5569">
        <v>175</v>
      </c>
      <c r="O5569">
        <f t="shared" si="180"/>
        <v>2024</v>
      </c>
      <c r="P5569">
        <f t="shared" si="181"/>
        <v>11</v>
      </c>
      <c r="Q5569" t="s">
        <v>785</v>
      </c>
      <c r="R5569" t="s">
        <v>805</v>
      </c>
    </row>
    <row r="5570" spans="1:18" x14ac:dyDescent="0.3">
      <c r="A5570" t="s">
        <v>627</v>
      </c>
      <c r="B5570" s="16">
        <v>45598</v>
      </c>
      <c r="C5570" t="s">
        <v>3</v>
      </c>
      <c r="D5570" t="s">
        <v>125</v>
      </c>
      <c r="E5570">
        <v>3</v>
      </c>
      <c r="F5570">
        <v>3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3</v>
      </c>
      <c r="O5570">
        <f t="shared" si="180"/>
        <v>2024</v>
      </c>
      <c r="P5570">
        <f t="shared" si="181"/>
        <v>11</v>
      </c>
      <c r="Q5570" t="s">
        <v>785</v>
      </c>
      <c r="R5570" t="s">
        <v>805</v>
      </c>
    </row>
    <row r="5571" spans="1:18" x14ac:dyDescent="0.3">
      <c r="A5571" t="s">
        <v>627</v>
      </c>
      <c r="B5571" s="16">
        <v>45598</v>
      </c>
      <c r="C5571" t="s">
        <v>3</v>
      </c>
      <c r="D5571" t="s">
        <v>123</v>
      </c>
      <c r="E5571">
        <v>436</v>
      </c>
      <c r="F5571">
        <v>179</v>
      </c>
      <c r="G5571">
        <v>28</v>
      </c>
      <c r="H5571">
        <v>9</v>
      </c>
      <c r="I5571">
        <v>29440</v>
      </c>
      <c r="J5571">
        <v>7</v>
      </c>
      <c r="K5571">
        <v>24042</v>
      </c>
      <c r="L5571">
        <v>6</v>
      </c>
      <c r="M5571">
        <v>132</v>
      </c>
      <c r="N5571">
        <v>397</v>
      </c>
      <c r="O5571">
        <f t="shared" si="180"/>
        <v>2024</v>
      </c>
      <c r="P5571">
        <f t="shared" si="181"/>
        <v>11</v>
      </c>
      <c r="Q5571" t="s">
        <v>785</v>
      </c>
      <c r="R5571" t="s">
        <v>805</v>
      </c>
    </row>
    <row r="5572" spans="1:18" x14ac:dyDescent="0.3">
      <c r="A5572" t="s">
        <v>627</v>
      </c>
      <c r="B5572" s="16">
        <v>45598</v>
      </c>
      <c r="C5572" t="s">
        <v>3</v>
      </c>
      <c r="D5572" t="s">
        <v>121</v>
      </c>
      <c r="E5572">
        <v>3</v>
      </c>
      <c r="F5572">
        <v>3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3</v>
      </c>
      <c r="O5572">
        <f t="shared" si="180"/>
        <v>2024</v>
      </c>
      <c r="P5572">
        <f t="shared" si="181"/>
        <v>11</v>
      </c>
      <c r="Q5572" t="s">
        <v>785</v>
      </c>
      <c r="R5572" t="s">
        <v>805</v>
      </c>
    </row>
    <row r="5573" spans="1:18" x14ac:dyDescent="0.3">
      <c r="A5573" t="s">
        <v>627</v>
      </c>
      <c r="B5573" s="16">
        <v>45598</v>
      </c>
      <c r="C5573" t="s">
        <v>3</v>
      </c>
      <c r="D5573" t="s">
        <v>119</v>
      </c>
      <c r="E5573">
        <v>600</v>
      </c>
      <c r="F5573">
        <v>152</v>
      </c>
      <c r="G5573">
        <v>52</v>
      </c>
      <c r="H5573">
        <v>14</v>
      </c>
      <c r="I5573">
        <v>163504.5</v>
      </c>
      <c r="J5573">
        <v>35</v>
      </c>
      <c r="K5573">
        <v>123734.5</v>
      </c>
      <c r="L5573">
        <v>30</v>
      </c>
      <c r="M5573">
        <v>139</v>
      </c>
      <c r="N5573">
        <v>557</v>
      </c>
      <c r="O5573">
        <f t="shared" si="180"/>
        <v>2024</v>
      </c>
      <c r="P5573">
        <f t="shared" si="181"/>
        <v>11</v>
      </c>
      <c r="Q5573" t="s">
        <v>785</v>
      </c>
      <c r="R5573" t="s">
        <v>805</v>
      </c>
    </row>
    <row r="5574" spans="1:18" x14ac:dyDescent="0.3">
      <c r="A5574" t="s">
        <v>627</v>
      </c>
      <c r="B5574" s="16">
        <v>45598</v>
      </c>
      <c r="C5574" t="s">
        <v>3</v>
      </c>
      <c r="D5574" t="s">
        <v>252</v>
      </c>
      <c r="E5574">
        <v>5</v>
      </c>
      <c r="F5574">
        <v>4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1</v>
      </c>
      <c r="N5574">
        <v>5</v>
      </c>
      <c r="O5574">
        <f t="shared" si="180"/>
        <v>2024</v>
      </c>
      <c r="P5574">
        <f t="shared" si="181"/>
        <v>11</v>
      </c>
      <c r="Q5574" t="s">
        <v>785</v>
      </c>
      <c r="R5574" t="s">
        <v>805</v>
      </c>
    </row>
    <row r="5575" spans="1:18" x14ac:dyDescent="0.3">
      <c r="A5575" t="s">
        <v>627</v>
      </c>
      <c r="B5575" s="16">
        <v>45598</v>
      </c>
      <c r="C5575" t="s">
        <v>3</v>
      </c>
      <c r="D5575" t="s">
        <v>117</v>
      </c>
      <c r="E5575">
        <v>1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1</v>
      </c>
      <c r="O5575">
        <f t="shared" si="180"/>
        <v>2024</v>
      </c>
      <c r="P5575">
        <f t="shared" si="181"/>
        <v>11</v>
      </c>
      <c r="Q5575" t="s">
        <v>785</v>
      </c>
      <c r="R5575" t="s">
        <v>805</v>
      </c>
    </row>
    <row r="5576" spans="1:18" x14ac:dyDescent="0.3">
      <c r="A5576" t="s">
        <v>627</v>
      </c>
      <c r="B5576" s="16">
        <v>45598</v>
      </c>
      <c r="C5576" t="s">
        <v>3</v>
      </c>
      <c r="D5576" t="s">
        <v>115</v>
      </c>
      <c r="E5576">
        <v>6</v>
      </c>
      <c r="F5576">
        <v>1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6</v>
      </c>
      <c r="O5576">
        <f t="shared" si="180"/>
        <v>2024</v>
      </c>
      <c r="P5576">
        <f t="shared" si="181"/>
        <v>11</v>
      </c>
      <c r="Q5576" t="s">
        <v>785</v>
      </c>
      <c r="R5576" t="s">
        <v>805</v>
      </c>
    </row>
    <row r="5577" spans="1:18" x14ac:dyDescent="0.3">
      <c r="A5577" t="s">
        <v>627</v>
      </c>
      <c r="B5577" s="16">
        <v>45598</v>
      </c>
      <c r="C5577" t="s">
        <v>3</v>
      </c>
      <c r="D5577" t="s">
        <v>114</v>
      </c>
      <c r="E5577">
        <v>282</v>
      </c>
      <c r="F5577">
        <v>137</v>
      </c>
      <c r="G5577">
        <v>7</v>
      </c>
      <c r="H5577">
        <v>15</v>
      </c>
      <c r="I5577">
        <v>0</v>
      </c>
      <c r="J5577">
        <v>0</v>
      </c>
      <c r="K5577">
        <v>0</v>
      </c>
      <c r="L5577">
        <v>0</v>
      </c>
      <c r="M5577">
        <v>26</v>
      </c>
      <c r="N5577">
        <v>275</v>
      </c>
      <c r="O5577">
        <f t="shared" ref="O5577:O5640" si="182">YEAR(B5577)</f>
        <v>2024</v>
      </c>
      <c r="P5577">
        <f t="shared" ref="P5577:P5640" si="183">MONTH(B5577)</f>
        <v>11</v>
      </c>
      <c r="Q5577" t="s">
        <v>785</v>
      </c>
      <c r="R5577" t="s">
        <v>805</v>
      </c>
    </row>
    <row r="5578" spans="1:18" x14ac:dyDescent="0.3">
      <c r="A5578" t="s">
        <v>627</v>
      </c>
      <c r="B5578" s="16">
        <v>45598</v>
      </c>
      <c r="C5578" t="s">
        <v>3</v>
      </c>
      <c r="D5578" t="s">
        <v>113</v>
      </c>
      <c r="E5578">
        <v>151</v>
      </c>
      <c r="F5578">
        <v>74</v>
      </c>
      <c r="G5578">
        <v>7</v>
      </c>
      <c r="H5578">
        <v>1</v>
      </c>
      <c r="I5578">
        <v>6700</v>
      </c>
      <c r="J5578">
        <v>1</v>
      </c>
      <c r="K5578">
        <v>6700</v>
      </c>
      <c r="L5578">
        <v>1</v>
      </c>
      <c r="M5578">
        <v>101</v>
      </c>
      <c r="N5578">
        <v>84</v>
      </c>
      <c r="O5578">
        <f t="shared" si="182"/>
        <v>2024</v>
      </c>
      <c r="P5578">
        <f t="shared" si="183"/>
        <v>11</v>
      </c>
      <c r="Q5578" t="s">
        <v>785</v>
      </c>
      <c r="R5578" t="s">
        <v>805</v>
      </c>
    </row>
    <row r="5579" spans="1:18" x14ac:dyDescent="0.3">
      <c r="A5579" t="s">
        <v>627</v>
      </c>
      <c r="B5579" s="16">
        <v>45598</v>
      </c>
      <c r="C5579" t="s">
        <v>3</v>
      </c>
      <c r="D5579" t="s">
        <v>112</v>
      </c>
      <c r="E5579">
        <v>27</v>
      </c>
      <c r="F5579">
        <v>10</v>
      </c>
      <c r="G5579">
        <v>1</v>
      </c>
      <c r="H5579">
        <v>0</v>
      </c>
      <c r="I5579">
        <v>36874</v>
      </c>
      <c r="J5579">
        <v>10</v>
      </c>
      <c r="K5579">
        <v>32974</v>
      </c>
      <c r="L5579">
        <v>9</v>
      </c>
      <c r="M5579">
        <v>1</v>
      </c>
      <c r="N5579">
        <v>27</v>
      </c>
      <c r="O5579">
        <f t="shared" si="182"/>
        <v>2024</v>
      </c>
      <c r="P5579">
        <f t="shared" si="183"/>
        <v>11</v>
      </c>
      <c r="Q5579" t="s">
        <v>785</v>
      </c>
      <c r="R5579" t="s">
        <v>805</v>
      </c>
    </row>
    <row r="5580" spans="1:18" x14ac:dyDescent="0.3">
      <c r="A5580" t="s">
        <v>627</v>
      </c>
      <c r="B5580" s="16">
        <v>45598</v>
      </c>
      <c r="C5580" t="s">
        <v>3</v>
      </c>
      <c r="D5580" t="s">
        <v>111</v>
      </c>
      <c r="E5580">
        <v>1</v>
      </c>
      <c r="F5580">
        <v>1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1</v>
      </c>
      <c r="N5580">
        <v>1</v>
      </c>
      <c r="O5580">
        <f t="shared" si="182"/>
        <v>2024</v>
      </c>
      <c r="P5580">
        <f t="shared" si="183"/>
        <v>11</v>
      </c>
      <c r="Q5580" t="s">
        <v>785</v>
      </c>
      <c r="R5580" t="s">
        <v>805</v>
      </c>
    </row>
    <row r="5581" spans="1:18" x14ac:dyDescent="0.3">
      <c r="A5581" t="s">
        <v>627</v>
      </c>
      <c r="B5581" s="16">
        <v>45597</v>
      </c>
      <c r="C5581" t="s">
        <v>2</v>
      </c>
      <c r="D5581" t="s">
        <v>4</v>
      </c>
      <c r="E5581">
        <v>395</v>
      </c>
      <c r="F5581">
        <v>147</v>
      </c>
      <c r="G5581">
        <v>14</v>
      </c>
      <c r="H5581">
        <v>0</v>
      </c>
      <c r="I5581">
        <v>28180</v>
      </c>
      <c r="J5581">
        <v>5</v>
      </c>
      <c r="K5581">
        <v>28180</v>
      </c>
      <c r="L5581">
        <v>5</v>
      </c>
      <c r="M5581">
        <v>24</v>
      </c>
      <c r="N5581">
        <v>388</v>
      </c>
      <c r="O5581">
        <f t="shared" si="182"/>
        <v>2024</v>
      </c>
      <c r="P5581">
        <f t="shared" si="183"/>
        <v>11</v>
      </c>
      <c r="Q5581" t="s">
        <v>785</v>
      </c>
      <c r="R5581" t="s">
        <v>805</v>
      </c>
    </row>
    <row r="5582" spans="1:18" x14ac:dyDescent="0.3">
      <c r="A5582" t="s">
        <v>627</v>
      </c>
      <c r="B5582" s="16">
        <v>45597</v>
      </c>
      <c r="C5582" t="s">
        <v>2</v>
      </c>
      <c r="D5582" t="s">
        <v>57</v>
      </c>
      <c r="E5582">
        <v>15952</v>
      </c>
      <c r="F5582">
        <v>9752</v>
      </c>
      <c r="G5582">
        <v>675</v>
      </c>
      <c r="H5582">
        <v>181</v>
      </c>
      <c r="I5582">
        <v>694825.24</v>
      </c>
      <c r="J5582">
        <v>150</v>
      </c>
      <c r="K5582">
        <v>577372.87</v>
      </c>
      <c r="L5582">
        <v>133</v>
      </c>
      <c r="M5582">
        <v>1337</v>
      </c>
      <c r="N5582">
        <v>15892</v>
      </c>
      <c r="O5582">
        <f t="shared" si="182"/>
        <v>2024</v>
      </c>
      <c r="P5582">
        <f t="shared" si="183"/>
        <v>11</v>
      </c>
      <c r="Q5582" t="s">
        <v>785</v>
      </c>
      <c r="R5582" t="s">
        <v>805</v>
      </c>
    </row>
    <row r="5583" spans="1:18" x14ac:dyDescent="0.3">
      <c r="A5583" t="s">
        <v>627</v>
      </c>
      <c r="B5583" s="16">
        <v>45597</v>
      </c>
      <c r="C5583" t="s">
        <v>2</v>
      </c>
      <c r="D5583" t="s">
        <v>52</v>
      </c>
      <c r="E5583">
        <v>870</v>
      </c>
      <c r="F5583">
        <v>696</v>
      </c>
      <c r="G5583">
        <v>30</v>
      </c>
      <c r="H5583">
        <v>9</v>
      </c>
      <c r="I5583">
        <v>16405</v>
      </c>
      <c r="J5583">
        <v>3</v>
      </c>
      <c r="K5583">
        <v>15110</v>
      </c>
      <c r="L5583">
        <v>3</v>
      </c>
      <c r="M5583">
        <v>870</v>
      </c>
      <c r="N5583">
        <v>420</v>
      </c>
      <c r="O5583">
        <f t="shared" si="182"/>
        <v>2024</v>
      </c>
      <c r="P5583">
        <f t="shared" si="183"/>
        <v>11</v>
      </c>
      <c r="Q5583" t="s">
        <v>785</v>
      </c>
      <c r="R5583" t="s">
        <v>805</v>
      </c>
    </row>
    <row r="5584" spans="1:18" x14ac:dyDescent="0.3">
      <c r="A5584" t="s">
        <v>627</v>
      </c>
      <c r="B5584" s="16">
        <v>45597</v>
      </c>
      <c r="C5584" t="s">
        <v>2</v>
      </c>
      <c r="D5584" t="s">
        <v>55</v>
      </c>
      <c r="E5584">
        <v>1572</v>
      </c>
      <c r="F5584">
        <v>1189</v>
      </c>
      <c r="G5584">
        <v>11</v>
      </c>
      <c r="H5584">
        <v>13</v>
      </c>
      <c r="I5584">
        <v>0</v>
      </c>
      <c r="J5584">
        <v>0</v>
      </c>
      <c r="K5584">
        <v>0</v>
      </c>
      <c r="L5584">
        <v>0</v>
      </c>
      <c r="M5584">
        <v>26</v>
      </c>
      <c r="N5584">
        <v>261</v>
      </c>
      <c r="O5584">
        <f t="shared" si="182"/>
        <v>2024</v>
      </c>
      <c r="P5584">
        <f t="shared" si="183"/>
        <v>11</v>
      </c>
      <c r="Q5584" t="s">
        <v>785</v>
      </c>
      <c r="R5584" t="s">
        <v>805</v>
      </c>
    </row>
    <row r="5585" spans="1:18" x14ac:dyDescent="0.3">
      <c r="A5585" t="s">
        <v>627</v>
      </c>
      <c r="B5585" s="16">
        <v>45597</v>
      </c>
      <c r="C5585" t="s">
        <v>3</v>
      </c>
      <c r="D5585" t="s">
        <v>155</v>
      </c>
      <c r="E5585">
        <v>5</v>
      </c>
      <c r="F5585">
        <v>4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5</v>
      </c>
      <c r="O5585">
        <f t="shared" si="182"/>
        <v>2024</v>
      </c>
      <c r="P5585">
        <f t="shared" si="183"/>
        <v>11</v>
      </c>
      <c r="Q5585" t="s">
        <v>785</v>
      </c>
      <c r="R5585" t="s">
        <v>805</v>
      </c>
    </row>
    <row r="5586" spans="1:18" x14ac:dyDescent="0.3">
      <c r="A5586" t="s">
        <v>627</v>
      </c>
      <c r="B5586" s="16">
        <v>45597</v>
      </c>
      <c r="C5586" t="s">
        <v>3</v>
      </c>
      <c r="D5586" t="s">
        <v>154</v>
      </c>
      <c r="E5586">
        <v>381</v>
      </c>
      <c r="F5586">
        <v>306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f t="shared" si="182"/>
        <v>2024</v>
      </c>
      <c r="P5586">
        <f t="shared" si="183"/>
        <v>11</v>
      </c>
      <c r="Q5586" t="s">
        <v>785</v>
      </c>
      <c r="R5586" t="s">
        <v>805</v>
      </c>
    </row>
    <row r="5587" spans="1:18" x14ac:dyDescent="0.3">
      <c r="A5587" t="s">
        <v>627</v>
      </c>
      <c r="B5587" s="16">
        <v>45597</v>
      </c>
      <c r="C5587" t="s">
        <v>3</v>
      </c>
      <c r="D5587" t="s">
        <v>153</v>
      </c>
      <c r="E5587">
        <v>943</v>
      </c>
      <c r="F5587">
        <v>273</v>
      </c>
      <c r="G5587">
        <v>146</v>
      </c>
      <c r="H5587">
        <v>12</v>
      </c>
      <c r="I5587">
        <v>529964.89</v>
      </c>
      <c r="J5587">
        <v>110</v>
      </c>
      <c r="K5587">
        <v>456693.02</v>
      </c>
      <c r="L5587">
        <v>104</v>
      </c>
      <c r="M5587">
        <v>266</v>
      </c>
      <c r="N5587">
        <v>910</v>
      </c>
      <c r="O5587">
        <f t="shared" si="182"/>
        <v>2024</v>
      </c>
      <c r="P5587">
        <f t="shared" si="183"/>
        <v>11</v>
      </c>
      <c r="Q5587" t="s">
        <v>785</v>
      </c>
      <c r="R5587" t="s">
        <v>805</v>
      </c>
    </row>
    <row r="5588" spans="1:18" x14ac:dyDescent="0.3">
      <c r="A5588" t="s">
        <v>627</v>
      </c>
      <c r="B5588" s="16">
        <v>45597</v>
      </c>
      <c r="C5588" t="s">
        <v>3</v>
      </c>
      <c r="D5588" t="s">
        <v>152</v>
      </c>
      <c r="E5588">
        <v>57</v>
      </c>
      <c r="F5588">
        <v>48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3</v>
      </c>
      <c r="O5588">
        <f t="shared" si="182"/>
        <v>2024</v>
      </c>
      <c r="P5588">
        <f t="shared" si="183"/>
        <v>11</v>
      </c>
      <c r="Q5588" t="s">
        <v>785</v>
      </c>
      <c r="R5588" t="s">
        <v>805</v>
      </c>
    </row>
    <row r="5589" spans="1:18" x14ac:dyDescent="0.3">
      <c r="A5589" t="s">
        <v>627</v>
      </c>
      <c r="B5589" s="16">
        <v>45597</v>
      </c>
      <c r="C5589" t="s">
        <v>3</v>
      </c>
      <c r="D5589" t="s">
        <v>150</v>
      </c>
      <c r="E5589">
        <v>5</v>
      </c>
      <c r="F5589">
        <v>2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3</v>
      </c>
      <c r="O5589">
        <f t="shared" si="182"/>
        <v>2024</v>
      </c>
      <c r="P5589">
        <f t="shared" si="183"/>
        <v>11</v>
      </c>
      <c r="Q5589" t="s">
        <v>785</v>
      </c>
      <c r="R5589" t="s">
        <v>805</v>
      </c>
    </row>
    <row r="5590" spans="1:18" x14ac:dyDescent="0.3">
      <c r="A5590" t="s">
        <v>627</v>
      </c>
      <c r="B5590" s="16">
        <v>45597</v>
      </c>
      <c r="C5590" t="s">
        <v>3</v>
      </c>
      <c r="D5590" t="s">
        <v>149</v>
      </c>
      <c r="E5590">
        <v>20</v>
      </c>
      <c r="F5590">
        <v>14</v>
      </c>
      <c r="G5590">
        <v>1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11</v>
      </c>
      <c r="O5590">
        <f t="shared" si="182"/>
        <v>2024</v>
      </c>
      <c r="P5590">
        <f t="shared" si="183"/>
        <v>11</v>
      </c>
      <c r="Q5590" t="s">
        <v>785</v>
      </c>
      <c r="R5590" t="s">
        <v>805</v>
      </c>
    </row>
    <row r="5591" spans="1:18" x14ac:dyDescent="0.3">
      <c r="A5591" t="s">
        <v>627</v>
      </c>
      <c r="B5591" s="16">
        <v>45597</v>
      </c>
      <c r="C5591" t="s">
        <v>3</v>
      </c>
      <c r="D5591" t="s">
        <v>148</v>
      </c>
      <c r="E5591">
        <v>8</v>
      </c>
      <c r="F5591">
        <v>7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5</v>
      </c>
      <c r="N5591">
        <v>3</v>
      </c>
      <c r="O5591">
        <f t="shared" si="182"/>
        <v>2024</v>
      </c>
      <c r="P5591">
        <f t="shared" si="183"/>
        <v>11</v>
      </c>
      <c r="Q5591" t="s">
        <v>785</v>
      </c>
      <c r="R5591" t="s">
        <v>805</v>
      </c>
    </row>
    <row r="5592" spans="1:18" x14ac:dyDescent="0.3">
      <c r="A5592" t="s">
        <v>627</v>
      </c>
      <c r="B5592" s="16">
        <v>45597</v>
      </c>
      <c r="C5592" t="s">
        <v>3</v>
      </c>
      <c r="D5592" t="s">
        <v>370</v>
      </c>
      <c r="E5592">
        <v>1</v>
      </c>
      <c r="F5592">
        <v>1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f t="shared" si="182"/>
        <v>2024</v>
      </c>
      <c r="P5592">
        <f t="shared" si="183"/>
        <v>11</v>
      </c>
      <c r="Q5592" t="s">
        <v>785</v>
      </c>
      <c r="R5592" t="s">
        <v>805</v>
      </c>
    </row>
    <row r="5593" spans="1:18" x14ac:dyDescent="0.3">
      <c r="A5593" t="s">
        <v>627</v>
      </c>
      <c r="B5593" s="16">
        <v>45597</v>
      </c>
      <c r="C5593" t="s">
        <v>3</v>
      </c>
      <c r="D5593" t="s">
        <v>251</v>
      </c>
      <c r="E5593">
        <v>1875</v>
      </c>
      <c r="F5593">
        <v>1438</v>
      </c>
      <c r="G5593">
        <v>26</v>
      </c>
      <c r="H5593">
        <v>9</v>
      </c>
      <c r="I5593">
        <v>91881.04</v>
      </c>
      <c r="J5593">
        <v>11</v>
      </c>
      <c r="K5593">
        <v>37043.040000000001</v>
      </c>
      <c r="L5593">
        <v>8</v>
      </c>
      <c r="M5593">
        <v>128</v>
      </c>
      <c r="N5593">
        <v>463</v>
      </c>
      <c r="O5593">
        <f t="shared" si="182"/>
        <v>2024</v>
      </c>
      <c r="P5593">
        <f t="shared" si="183"/>
        <v>11</v>
      </c>
      <c r="Q5593" t="s">
        <v>785</v>
      </c>
      <c r="R5593" t="s">
        <v>805</v>
      </c>
    </row>
    <row r="5594" spans="1:18" x14ac:dyDescent="0.3">
      <c r="A5594" t="s">
        <v>627</v>
      </c>
      <c r="B5594" s="16">
        <v>45597</v>
      </c>
      <c r="C5594" t="s">
        <v>3</v>
      </c>
      <c r="D5594" t="s">
        <v>143</v>
      </c>
      <c r="E5594">
        <v>16</v>
      </c>
      <c r="F5594">
        <v>15</v>
      </c>
      <c r="G5594">
        <v>0</v>
      </c>
      <c r="H5594">
        <v>1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16</v>
      </c>
      <c r="O5594">
        <f t="shared" si="182"/>
        <v>2024</v>
      </c>
      <c r="P5594">
        <f t="shared" si="183"/>
        <v>11</v>
      </c>
      <c r="Q5594" t="s">
        <v>785</v>
      </c>
      <c r="R5594" t="s">
        <v>805</v>
      </c>
    </row>
    <row r="5595" spans="1:18" x14ac:dyDescent="0.3">
      <c r="A5595" t="s">
        <v>627</v>
      </c>
      <c r="B5595" s="16">
        <v>45597</v>
      </c>
      <c r="C5595" t="s">
        <v>3</v>
      </c>
      <c r="D5595" t="s">
        <v>141</v>
      </c>
      <c r="E5595">
        <v>6</v>
      </c>
      <c r="F5595">
        <v>6</v>
      </c>
      <c r="G5595">
        <v>1</v>
      </c>
      <c r="H5595">
        <v>0</v>
      </c>
      <c r="I5595">
        <v>7464</v>
      </c>
      <c r="J5595">
        <v>1</v>
      </c>
      <c r="K5595">
        <v>2488</v>
      </c>
      <c r="L5595">
        <v>1</v>
      </c>
      <c r="M5595">
        <v>0</v>
      </c>
      <c r="N5595">
        <v>6</v>
      </c>
      <c r="O5595">
        <f t="shared" si="182"/>
        <v>2024</v>
      </c>
      <c r="P5595">
        <f t="shared" si="183"/>
        <v>11</v>
      </c>
      <c r="Q5595" t="s">
        <v>785</v>
      </c>
      <c r="R5595" t="s">
        <v>805</v>
      </c>
    </row>
    <row r="5596" spans="1:18" x14ac:dyDescent="0.3">
      <c r="A5596" t="s">
        <v>627</v>
      </c>
      <c r="B5596" s="16">
        <v>45597</v>
      </c>
      <c r="C5596" t="s">
        <v>3</v>
      </c>
      <c r="D5596" t="s">
        <v>140</v>
      </c>
      <c r="E5596">
        <v>19</v>
      </c>
      <c r="F5596">
        <v>16</v>
      </c>
      <c r="G5596">
        <v>3</v>
      </c>
      <c r="H5596">
        <v>0</v>
      </c>
      <c r="I5596">
        <v>5530</v>
      </c>
      <c r="J5596">
        <v>1</v>
      </c>
      <c r="K5596">
        <v>5530</v>
      </c>
      <c r="L5596">
        <v>1</v>
      </c>
      <c r="M5596">
        <v>3</v>
      </c>
      <c r="N5596">
        <v>13</v>
      </c>
      <c r="O5596">
        <f t="shared" si="182"/>
        <v>2024</v>
      </c>
      <c r="P5596">
        <f t="shared" si="183"/>
        <v>11</v>
      </c>
      <c r="Q5596" t="s">
        <v>785</v>
      </c>
      <c r="R5596" t="s">
        <v>805</v>
      </c>
    </row>
    <row r="5597" spans="1:18" x14ac:dyDescent="0.3">
      <c r="A5597" t="s">
        <v>627</v>
      </c>
      <c r="B5597" s="16">
        <v>45597</v>
      </c>
      <c r="C5597" t="s">
        <v>3</v>
      </c>
      <c r="D5597" t="s">
        <v>139</v>
      </c>
      <c r="E5597">
        <v>2617</v>
      </c>
      <c r="F5597">
        <v>1550</v>
      </c>
      <c r="G5597">
        <v>116</v>
      </c>
      <c r="H5597">
        <v>22</v>
      </c>
      <c r="I5597">
        <v>289829.74</v>
      </c>
      <c r="J5597">
        <v>53</v>
      </c>
      <c r="K5597">
        <v>205553.87</v>
      </c>
      <c r="L5597">
        <v>45</v>
      </c>
      <c r="M5597">
        <v>702</v>
      </c>
      <c r="N5597">
        <v>2298</v>
      </c>
      <c r="O5597">
        <f t="shared" si="182"/>
        <v>2024</v>
      </c>
      <c r="P5597">
        <f t="shared" si="183"/>
        <v>11</v>
      </c>
      <c r="Q5597" t="s">
        <v>785</v>
      </c>
      <c r="R5597" t="s">
        <v>805</v>
      </c>
    </row>
    <row r="5598" spans="1:18" x14ac:dyDescent="0.3">
      <c r="A5598" t="s">
        <v>627</v>
      </c>
      <c r="B5598" s="16">
        <v>45597</v>
      </c>
      <c r="C5598" t="s">
        <v>3</v>
      </c>
      <c r="D5598" t="s">
        <v>138</v>
      </c>
      <c r="E5598">
        <v>119</v>
      </c>
      <c r="F5598">
        <v>91</v>
      </c>
      <c r="G5598">
        <v>1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7</v>
      </c>
      <c r="N5598">
        <v>114</v>
      </c>
      <c r="O5598">
        <f t="shared" si="182"/>
        <v>2024</v>
      </c>
      <c r="P5598">
        <f t="shared" si="183"/>
        <v>11</v>
      </c>
      <c r="Q5598" t="s">
        <v>785</v>
      </c>
      <c r="R5598" t="s">
        <v>805</v>
      </c>
    </row>
    <row r="5599" spans="1:18" x14ac:dyDescent="0.3">
      <c r="A5599" t="s">
        <v>627</v>
      </c>
      <c r="B5599" s="16">
        <v>45597</v>
      </c>
      <c r="C5599" t="s">
        <v>3</v>
      </c>
      <c r="D5599" t="s">
        <v>137</v>
      </c>
      <c r="E5599">
        <v>8</v>
      </c>
      <c r="F5599">
        <v>3</v>
      </c>
      <c r="G5599">
        <v>1</v>
      </c>
      <c r="H5599">
        <v>1</v>
      </c>
      <c r="I5599">
        <v>0</v>
      </c>
      <c r="J5599">
        <v>0</v>
      </c>
      <c r="K5599">
        <v>0</v>
      </c>
      <c r="L5599">
        <v>0</v>
      </c>
      <c r="M5599">
        <v>3</v>
      </c>
      <c r="N5599">
        <v>8</v>
      </c>
      <c r="O5599">
        <f t="shared" si="182"/>
        <v>2024</v>
      </c>
      <c r="P5599">
        <f t="shared" si="183"/>
        <v>11</v>
      </c>
      <c r="Q5599" t="s">
        <v>785</v>
      </c>
      <c r="R5599" t="s">
        <v>805</v>
      </c>
    </row>
    <row r="5600" spans="1:18" x14ac:dyDescent="0.3">
      <c r="A5600" t="s">
        <v>627</v>
      </c>
      <c r="B5600" s="16">
        <v>45597</v>
      </c>
      <c r="C5600" t="s">
        <v>3</v>
      </c>
      <c r="D5600" t="s">
        <v>135</v>
      </c>
      <c r="E5600">
        <v>9</v>
      </c>
      <c r="F5600">
        <v>3</v>
      </c>
      <c r="G5600">
        <v>1</v>
      </c>
      <c r="H5600">
        <v>0</v>
      </c>
      <c r="I5600">
        <v>3416.37</v>
      </c>
      <c r="J5600">
        <v>1</v>
      </c>
      <c r="K5600">
        <v>3416.37</v>
      </c>
      <c r="L5600">
        <v>1</v>
      </c>
      <c r="M5600">
        <v>0</v>
      </c>
      <c r="N5600">
        <v>6</v>
      </c>
      <c r="O5600">
        <f t="shared" si="182"/>
        <v>2024</v>
      </c>
      <c r="P5600">
        <f t="shared" si="183"/>
        <v>11</v>
      </c>
      <c r="Q5600" t="s">
        <v>785</v>
      </c>
      <c r="R5600" t="s">
        <v>805</v>
      </c>
    </row>
    <row r="5601" spans="1:18" x14ac:dyDescent="0.3">
      <c r="A5601" t="s">
        <v>627</v>
      </c>
      <c r="B5601" s="16">
        <v>45597</v>
      </c>
      <c r="C5601" t="s">
        <v>3</v>
      </c>
      <c r="D5601" t="s">
        <v>133</v>
      </c>
      <c r="E5601">
        <v>37</v>
      </c>
      <c r="F5601">
        <v>18</v>
      </c>
      <c r="G5601">
        <v>5</v>
      </c>
      <c r="H5601">
        <v>1</v>
      </c>
      <c r="I5601">
        <v>10302.5</v>
      </c>
      <c r="J5601">
        <v>2</v>
      </c>
      <c r="K5601">
        <v>10302.5</v>
      </c>
      <c r="L5601">
        <v>2</v>
      </c>
      <c r="M5601">
        <v>7</v>
      </c>
      <c r="N5601">
        <v>34</v>
      </c>
      <c r="O5601">
        <f t="shared" si="182"/>
        <v>2024</v>
      </c>
      <c r="P5601">
        <f t="shared" si="183"/>
        <v>11</v>
      </c>
      <c r="Q5601" t="s">
        <v>785</v>
      </c>
      <c r="R5601" t="s">
        <v>805</v>
      </c>
    </row>
    <row r="5602" spans="1:18" x14ac:dyDescent="0.3">
      <c r="A5602" t="s">
        <v>627</v>
      </c>
      <c r="B5602" s="16">
        <v>45597</v>
      </c>
      <c r="C5602" t="s">
        <v>3</v>
      </c>
      <c r="D5602" t="s">
        <v>130</v>
      </c>
      <c r="E5602">
        <v>502</v>
      </c>
      <c r="F5602">
        <v>149</v>
      </c>
      <c r="G5602">
        <v>30</v>
      </c>
      <c r="H5602">
        <v>12</v>
      </c>
      <c r="I5602">
        <v>181274</v>
      </c>
      <c r="J5602">
        <v>27</v>
      </c>
      <c r="K5602">
        <v>127238.5</v>
      </c>
      <c r="L5602">
        <v>24</v>
      </c>
      <c r="M5602">
        <v>110</v>
      </c>
      <c r="N5602">
        <v>473</v>
      </c>
      <c r="O5602">
        <f t="shared" si="182"/>
        <v>2024</v>
      </c>
      <c r="P5602">
        <f t="shared" si="183"/>
        <v>11</v>
      </c>
      <c r="Q5602" t="s">
        <v>785</v>
      </c>
      <c r="R5602" t="s">
        <v>805</v>
      </c>
    </row>
    <row r="5603" spans="1:18" x14ac:dyDescent="0.3">
      <c r="A5603" t="s">
        <v>627</v>
      </c>
      <c r="B5603" s="16">
        <v>45597</v>
      </c>
      <c r="C5603" t="s">
        <v>3</v>
      </c>
      <c r="D5603" t="s">
        <v>128</v>
      </c>
      <c r="E5603">
        <v>2167</v>
      </c>
      <c r="F5603">
        <v>1707</v>
      </c>
      <c r="G5603">
        <v>125</v>
      </c>
      <c r="H5603">
        <v>19</v>
      </c>
      <c r="I5603">
        <v>156693.5</v>
      </c>
      <c r="J5603">
        <v>35</v>
      </c>
      <c r="K5603">
        <v>133182</v>
      </c>
      <c r="L5603">
        <v>29</v>
      </c>
      <c r="M5603">
        <v>415</v>
      </c>
      <c r="N5603">
        <v>1987</v>
      </c>
      <c r="O5603">
        <f t="shared" si="182"/>
        <v>2024</v>
      </c>
      <c r="P5603">
        <f t="shared" si="183"/>
        <v>11</v>
      </c>
      <c r="Q5603" t="s">
        <v>785</v>
      </c>
      <c r="R5603" t="s">
        <v>805</v>
      </c>
    </row>
    <row r="5604" spans="1:18" x14ac:dyDescent="0.3">
      <c r="A5604" t="s">
        <v>627</v>
      </c>
      <c r="B5604" s="16">
        <v>45597</v>
      </c>
      <c r="C5604" t="s">
        <v>3</v>
      </c>
      <c r="D5604" t="s">
        <v>127</v>
      </c>
      <c r="E5604">
        <v>7245</v>
      </c>
      <c r="F5604">
        <v>4224</v>
      </c>
      <c r="G5604">
        <v>139</v>
      </c>
      <c r="H5604">
        <v>67</v>
      </c>
      <c r="I5604">
        <v>81169</v>
      </c>
      <c r="J5604">
        <v>19</v>
      </c>
      <c r="K5604">
        <v>61031.5</v>
      </c>
      <c r="L5604">
        <v>16</v>
      </c>
      <c r="M5604">
        <v>1480</v>
      </c>
      <c r="N5604">
        <v>5602</v>
      </c>
      <c r="O5604">
        <f t="shared" si="182"/>
        <v>2024</v>
      </c>
      <c r="P5604">
        <f t="shared" si="183"/>
        <v>11</v>
      </c>
      <c r="Q5604" t="s">
        <v>785</v>
      </c>
      <c r="R5604" t="s">
        <v>805</v>
      </c>
    </row>
    <row r="5605" spans="1:18" x14ac:dyDescent="0.3">
      <c r="A5605" t="s">
        <v>627</v>
      </c>
      <c r="B5605" s="16">
        <v>45597</v>
      </c>
      <c r="C5605" t="s">
        <v>3</v>
      </c>
      <c r="D5605" t="s">
        <v>126</v>
      </c>
      <c r="E5605">
        <v>200</v>
      </c>
      <c r="F5605">
        <v>125</v>
      </c>
      <c r="G5605">
        <v>8</v>
      </c>
      <c r="H5605">
        <v>1</v>
      </c>
      <c r="I5605">
        <v>0</v>
      </c>
      <c r="J5605">
        <v>0</v>
      </c>
      <c r="K5605">
        <v>0</v>
      </c>
      <c r="L5605">
        <v>0</v>
      </c>
      <c r="M5605">
        <v>27</v>
      </c>
      <c r="N5605">
        <v>196</v>
      </c>
      <c r="O5605">
        <f t="shared" si="182"/>
        <v>2024</v>
      </c>
      <c r="P5605">
        <f t="shared" si="183"/>
        <v>11</v>
      </c>
      <c r="Q5605" t="s">
        <v>785</v>
      </c>
      <c r="R5605" t="s">
        <v>805</v>
      </c>
    </row>
    <row r="5606" spans="1:18" x14ac:dyDescent="0.3">
      <c r="A5606" t="s">
        <v>627</v>
      </c>
      <c r="B5606" s="16">
        <v>45597</v>
      </c>
      <c r="C5606" t="s">
        <v>3</v>
      </c>
      <c r="D5606" t="s">
        <v>125</v>
      </c>
      <c r="E5606">
        <v>12</v>
      </c>
      <c r="F5606">
        <v>5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3</v>
      </c>
      <c r="N5606">
        <v>11</v>
      </c>
      <c r="O5606">
        <f t="shared" si="182"/>
        <v>2024</v>
      </c>
      <c r="P5606">
        <f t="shared" si="183"/>
        <v>11</v>
      </c>
      <c r="Q5606" t="s">
        <v>785</v>
      </c>
      <c r="R5606" t="s">
        <v>805</v>
      </c>
    </row>
    <row r="5607" spans="1:18" x14ac:dyDescent="0.3">
      <c r="A5607" t="s">
        <v>627</v>
      </c>
      <c r="B5607" s="16">
        <v>45597</v>
      </c>
      <c r="C5607" t="s">
        <v>3</v>
      </c>
      <c r="D5607" t="s">
        <v>123</v>
      </c>
      <c r="E5607">
        <v>415</v>
      </c>
      <c r="F5607">
        <v>165</v>
      </c>
      <c r="G5607">
        <v>21</v>
      </c>
      <c r="H5607">
        <v>13</v>
      </c>
      <c r="I5607">
        <v>30542.74</v>
      </c>
      <c r="J5607">
        <v>9</v>
      </c>
      <c r="K5607">
        <v>21176.37</v>
      </c>
      <c r="L5607">
        <v>8</v>
      </c>
      <c r="M5607">
        <v>129</v>
      </c>
      <c r="N5607">
        <v>376</v>
      </c>
      <c r="O5607">
        <f t="shared" si="182"/>
        <v>2024</v>
      </c>
      <c r="P5607">
        <f t="shared" si="183"/>
        <v>11</v>
      </c>
      <c r="Q5607" t="s">
        <v>785</v>
      </c>
      <c r="R5607" t="s">
        <v>805</v>
      </c>
    </row>
    <row r="5608" spans="1:18" x14ac:dyDescent="0.3">
      <c r="A5608" t="s">
        <v>627</v>
      </c>
      <c r="B5608" s="16">
        <v>45597</v>
      </c>
      <c r="C5608" t="s">
        <v>3</v>
      </c>
      <c r="D5608" t="s">
        <v>121</v>
      </c>
      <c r="E5608">
        <v>8</v>
      </c>
      <c r="F5608">
        <v>7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8</v>
      </c>
      <c r="O5608">
        <f t="shared" si="182"/>
        <v>2024</v>
      </c>
      <c r="P5608">
        <f t="shared" si="183"/>
        <v>11</v>
      </c>
      <c r="Q5608" t="s">
        <v>785</v>
      </c>
      <c r="R5608" t="s">
        <v>805</v>
      </c>
    </row>
    <row r="5609" spans="1:18" x14ac:dyDescent="0.3">
      <c r="A5609" t="s">
        <v>627</v>
      </c>
      <c r="B5609" s="16">
        <v>45597</v>
      </c>
      <c r="C5609" t="s">
        <v>3</v>
      </c>
      <c r="D5609" t="s">
        <v>119</v>
      </c>
      <c r="E5609">
        <v>612</v>
      </c>
      <c r="F5609">
        <v>159</v>
      </c>
      <c r="G5609">
        <v>63</v>
      </c>
      <c r="H5609">
        <v>18</v>
      </c>
      <c r="I5609">
        <v>136066.56</v>
      </c>
      <c r="J5609">
        <v>28</v>
      </c>
      <c r="K5609">
        <v>90122.559999999998</v>
      </c>
      <c r="L5609">
        <v>23</v>
      </c>
      <c r="M5609">
        <v>142</v>
      </c>
      <c r="N5609">
        <v>568</v>
      </c>
      <c r="O5609">
        <f t="shared" si="182"/>
        <v>2024</v>
      </c>
      <c r="P5609">
        <f t="shared" si="183"/>
        <v>11</v>
      </c>
      <c r="Q5609" t="s">
        <v>785</v>
      </c>
      <c r="R5609" t="s">
        <v>805</v>
      </c>
    </row>
    <row r="5610" spans="1:18" x14ac:dyDescent="0.3">
      <c r="A5610" t="s">
        <v>627</v>
      </c>
      <c r="B5610" s="16">
        <v>45597</v>
      </c>
      <c r="C5610" t="s">
        <v>3</v>
      </c>
      <c r="D5610" t="s">
        <v>252</v>
      </c>
      <c r="E5610">
        <v>2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2</v>
      </c>
      <c r="O5610">
        <f t="shared" si="182"/>
        <v>2024</v>
      </c>
      <c r="P5610">
        <f t="shared" si="183"/>
        <v>11</v>
      </c>
      <c r="Q5610" t="s">
        <v>785</v>
      </c>
      <c r="R5610" t="s">
        <v>805</v>
      </c>
    </row>
    <row r="5611" spans="1:18" x14ac:dyDescent="0.3">
      <c r="A5611" t="s">
        <v>627</v>
      </c>
      <c r="B5611" s="16">
        <v>45597</v>
      </c>
      <c r="C5611" t="s">
        <v>3</v>
      </c>
      <c r="D5611" t="s">
        <v>117</v>
      </c>
      <c r="E5611">
        <v>2</v>
      </c>
      <c r="F5611">
        <v>2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2</v>
      </c>
      <c r="O5611">
        <f t="shared" si="182"/>
        <v>2024</v>
      </c>
      <c r="P5611">
        <f t="shared" si="183"/>
        <v>11</v>
      </c>
      <c r="Q5611" t="s">
        <v>785</v>
      </c>
      <c r="R5611" t="s">
        <v>805</v>
      </c>
    </row>
    <row r="5612" spans="1:18" x14ac:dyDescent="0.3">
      <c r="A5612" t="s">
        <v>627</v>
      </c>
      <c r="B5612" s="16">
        <v>45597</v>
      </c>
      <c r="C5612" t="s">
        <v>3</v>
      </c>
      <c r="D5612" t="s">
        <v>115</v>
      </c>
      <c r="E5612">
        <v>5</v>
      </c>
      <c r="F5612">
        <v>1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5</v>
      </c>
      <c r="O5612">
        <f t="shared" si="182"/>
        <v>2024</v>
      </c>
      <c r="P5612">
        <f t="shared" si="183"/>
        <v>11</v>
      </c>
      <c r="Q5612" t="s">
        <v>785</v>
      </c>
      <c r="R5612" t="s">
        <v>805</v>
      </c>
    </row>
    <row r="5613" spans="1:18" x14ac:dyDescent="0.3">
      <c r="A5613" t="s">
        <v>627</v>
      </c>
      <c r="B5613" s="16">
        <v>45597</v>
      </c>
      <c r="C5613" t="s">
        <v>3</v>
      </c>
      <c r="D5613" t="s">
        <v>114</v>
      </c>
      <c r="E5613">
        <v>235</v>
      </c>
      <c r="F5613">
        <v>128</v>
      </c>
      <c r="G5613">
        <v>8</v>
      </c>
      <c r="H5613">
        <v>12</v>
      </c>
      <c r="I5613">
        <v>2300</v>
      </c>
      <c r="J5613">
        <v>1</v>
      </c>
      <c r="K5613">
        <v>2300</v>
      </c>
      <c r="L5613">
        <v>1</v>
      </c>
      <c r="M5613">
        <v>27</v>
      </c>
      <c r="N5613">
        <v>232</v>
      </c>
      <c r="O5613">
        <f t="shared" si="182"/>
        <v>2024</v>
      </c>
      <c r="P5613">
        <f t="shared" si="183"/>
        <v>11</v>
      </c>
      <c r="Q5613" t="s">
        <v>785</v>
      </c>
      <c r="R5613" t="s">
        <v>805</v>
      </c>
    </row>
    <row r="5614" spans="1:18" x14ac:dyDescent="0.3">
      <c r="A5614" t="s">
        <v>627</v>
      </c>
      <c r="B5614" s="16">
        <v>45597</v>
      </c>
      <c r="C5614" t="s">
        <v>3</v>
      </c>
      <c r="D5614" t="s">
        <v>113</v>
      </c>
      <c r="E5614">
        <v>153</v>
      </c>
      <c r="F5614">
        <v>69</v>
      </c>
      <c r="G5614">
        <v>6</v>
      </c>
      <c r="H5614">
        <v>3</v>
      </c>
      <c r="I5614">
        <v>8725</v>
      </c>
      <c r="J5614">
        <v>2</v>
      </c>
      <c r="K5614">
        <v>8725</v>
      </c>
      <c r="L5614">
        <v>2</v>
      </c>
      <c r="M5614">
        <v>110</v>
      </c>
      <c r="N5614">
        <v>101</v>
      </c>
      <c r="O5614">
        <f t="shared" si="182"/>
        <v>2024</v>
      </c>
      <c r="P5614">
        <f t="shared" si="183"/>
        <v>11</v>
      </c>
      <c r="Q5614" t="s">
        <v>785</v>
      </c>
      <c r="R5614" t="s">
        <v>805</v>
      </c>
    </row>
    <row r="5615" spans="1:18" x14ac:dyDescent="0.3">
      <c r="A5615" t="s">
        <v>627</v>
      </c>
      <c r="B5615" s="16">
        <v>45597</v>
      </c>
      <c r="C5615" t="s">
        <v>3</v>
      </c>
      <c r="D5615" t="s">
        <v>112</v>
      </c>
      <c r="E5615">
        <v>39</v>
      </c>
      <c r="F5615">
        <v>19</v>
      </c>
      <c r="G5615">
        <v>3</v>
      </c>
      <c r="H5615">
        <v>0</v>
      </c>
      <c r="I5615">
        <v>33090</v>
      </c>
      <c r="J5615">
        <v>9</v>
      </c>
      <c r="K5615">
        <v>29130</v>
      </c>
      <c r="L5615">
        <v>8</v>
      </c>
      <c r="M5615">
        <v>1</v>
      </c>
      <c r="N5615">
        <v>39</v>
      </c>
      <c r="O5615">
        <f t="shared" si="182"/>
        <v>2024</v>
      </c>
      <c r="P5615">
        <f t="shared" si="183"/>
        <v>11</v>
      </c>
      <c r="Q5615" t="s">
        <v>785</v>
      </c>
      <c r="R5615" t="s">
        <v>805</v>
      </c>
    </row>
    <row r="5616" spans="1:18" x14ac:dyDescent="0.3">
      <c r="A5616" t="s">
        <v>627</v>
      </c>
      <c r="B5616" s="16">
        <v>45597</v>
      </c>
      <c r="C5616" t="s">
        <v>3</v>
      </c>
      <c r="D5616" t="s">
        <v>111</v>
      </c>
      <c r="E5616">
        <v>2</v>
      </c>
      <c r="F5616">
        <v>2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2</v>
      </c>
      <c r="O5616">
        <f t="shared" si="182"/>
        <v>2024</v>
      </c>
      <c r="P5616">
        <f t="shared" si="183"/>
        <v>11</v>
      </c>
      <c r="Q5616" t="s">
        <v>785</v>
      </c>
      <c r="R5616" t="s">
        <v>805</v>
      </c>
    </row>
    <row r="5617" spans="1:18" x14ac:dyDescent="0.3">
      <c r="A5617" t="s">
        <v>627</v>
      </c>
      <c r="B5617" s="16">
        <v>45596</v>
      </c>
      <c r="C5617" t="s">
        <v>2</v>
      </c>
      <c r="D5617" t="s">
        <v>4</v>
      </c>
      <c r="E5617">
        <v>341</v>
      </c>
      <c r="F5617">
        <v>129</v>
      </c>
      <c r="G5617">
        <v>17</v>
      </c>
      <c r="H5617">
        <v>1</v>
      </c>
      <c r="I5617">
        <v>37901</v>
      </c>
      <c r="J5617">
        <v>8</v>
      </c>
      <c r="K5617">
        <v>33433</v>
      </c>
      <c r="L5617">
        <v>6</v>
      </c>
      <c r="M5617">
        <v>21</v>
      </c>
      <c r="N5617">
        <v>328</v>
      </c>
      <c r="O5617">
        <f t="shared" si="182"/>
        <v>2024</v>
      </c>
      <c r="P5617">
        <f t="shared" si="183"/>
        <v>10</v>
      </c>
      <c r="Q5617" t="s">
        <v>785</v>
      </c>
      <c r="R5617" t="s">
        <v>805</v>
      </c>
    </row>
    <row r="5618" spans="1:18" x14ac:dyDescent="0.3">
      <c r="A5618" t="s">
        <v>627</v>
      </c>
      <c r="B5618" s="16">
        <v>45596</v>
      </c>
      <c r="C5618" t="s">
        <v>2</v>
      </c>
      <c r="D5618" t="s">
        <v>57</v>
      </c>
      <c r="E5618">
        <v>14690</v>
      </c>
      <c r="F5618">
        <v>9103</v>
      </c>
      <c r="G5618">
        <v>772</v>
      </c>
      <c r="H5618">
        <v>172</v>
      </c>
      <c r="I5618">
        <v>1095368</v>
      </c>
      <c r="J5618">
        <v>250</v>
      </c>
      <c r="K5618">
        <v>934815.5</v>
      </c>
      <c r="L5618">
        <v>229</v>
      </c>
      <c r="M5618">
        <v>1257</v>
      </c>
      <c r="N5618">
        <v>14618</v>
      </c>
      <c r="O5618">
        <f t="shared" si="182"/>
        <v>2024</v>
      </c>
      <c r="P5618">
        <f t="shared" si="183"/>
        <v>10</v>
      </c>
      <c r="Q5618" t="s">
        <v>785</v>
      </c>
      <c r="R5618" t="s">
        <v>805</v>
      </c>
    </row>
    <row r="5619" spans="1:18" x14ac:dyDescent="0.3">
      <c r="A5619" t="s">
        <v>627</v>
      </c>
      <c r="B5619" s="16">
        <v>45596</v>
      </c>
      <c r="C5619" t="s">
        <v>2</v>
      </c>
      <c r="D5619" t="s">
        <v>52</v>
      </c>
      <c r="E5619">
        <v>803</v>
      </c>
      <c r="F5619">
        <v>613</v>
      </c>
      <c r="G5619">
        <v>39</v>
      </c>
      <c r="H5619">
        <v>11</v>
      </c>
      <c r="I5619">
        <v>50896</v>
      </c>
      <c r="J5619">
        <v>14</v>
      </c>
      <c r="K5619">
        <v>48101</v>
      </c>
      <c r="L5619">
        <v>13</v>
      </c>
      <c r="M5619">
        <v>803</v>
      </c>
      <c r="N5619">
        <v>478</v>
      </c>
      <c r="O5619">
        <f t="shared" si="182"/>
        <v>2024</v>
      </c>
      <c r="P5619">
        <f t="shared" si="183"/>
        <v>10</v>
      </c>
      <c r="Q5619" t="s">
        <v>785</v>
      </c>
      <c r="R5619" t="s">
        <v>805</v>
      </c>
    </row>
    <row r="5620" spans="1:18" x14ac:dyDescent="0.3">
      <c r="A5620" t="s">
        <v>627</v>
      </c>
      <c r="B5620" s="16">
        <v>45596</v>
      </c>
      <c r="C5620" t="s">
        <v>2</v>
      </c>
      <c r="D5620" t="s">
        <v>55</v>
      </c>
      <c r="E5620">
        <v>1857</v>
      </c>
      <c r="F5620">
        <v>1444</v>
      </c>
      <c r="G5620">
        <v>10</v>
      </c>
      <c r="H5620">
        <v>2</v>
      </c>
      <c r="I5620">
        <v>0</v>
      </c>
      <c r="J5620">
        <v>0</v>
      </c>
      <c r="K5620">
        <v>0</v>
      </c>
      <c r="L5620">
        <v>0</v>
      </c>
      <c r="M5620">
        <v>25</v>
      </c>
      <c r="N5620">
        <v>353</v>
      </c>
      <c r="O5620">
        <f t="shared" si="182"/>
        <v>2024</v>
      </c>
      <c r="P5620">
        <f t="shared" si="183"/>
        <v>10</v>
      </c>
      <c r="Q5620" t="s">
        <v>785</v>
      </c>
      <c r="R5620" t="s">
        <v>805</v>
      </c>
    </row>
    <row r="5621" spans="1:18" x14ac:dyDescent="0.3">
      <c r="A5621" t="s">
        <v>627</v>
      </c>
      <c r="B5621" s="16">
        <v>45596</v>
      </c>
      <c r="C5621" t="s">
        <v>3</v>
      </c>
      <c r="D5621" t="s">
        <v>156</v>
      </c>
      <c r="E5621">
        <v>1</v>
      </c>
      <c r="F5621">
        <v>1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f t="shared" si="182"/>
        <v>2024</v>
      </c>
      <c r="P5621">
        <f t="shared" si="183"/>
        <v>10</v>
      </c>
      <c r="Q5621" t="s">
        <v>785</v>
      </c>
      <c r="R5621" t="s">
        <v>805</v>
      </c>
    </row>
    <row r="5622" spans="1:18" x14ac:dyDescent="0.3">
      <c r="A5622" t="s">
        <v>627</v>
      </c>
      <c r="B5622" s="16">
        <v>45596</v>
      </c>
      <c r="C5622" t="s">
        <v>3</v>
      </c>
      <c r="D5622" t="s">
        <v>155</v>
      </c>
      <c r="E5622">
        <v>5</v>
      </c>
      <c r="F5622">
        <v>2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5</v>
      </c>
      <c r="O5622">
        <f t="shared" si="182"/>
        <v>2024</v>
      </c>
      <c r="P5622">
        <f t="shared" si="183"/>
        <v>10</v>
      </c>
      <c r="Q5622" t="s">
        <v>785</v>
      </c>
      <c r="R5622" t="s">
        <v>805</v>
      </c>
    </row>
    <row r="5623" spans="1:18" x14ac:dyDescent="0.3">
      <c r="A5623" t="s">
        <v>627</v>
      </c>
      <c r="B5623" s="16">
        <v>45596</v>
      </c>
      <c r="C5623" t="s">
        <v>3</v>
      </c>
      <c r="D5623" t="s">
        <v>154</v>
      </c>
      <c r="E5623">
        <v>495</v>
      </c>
      <c r="F5623">
        <v>377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f t="shared" si="182"/>
        <v>2024</v>
      </c>
      <c r="P5623">
        <f t="shared" si="183"/>
        <v>10</v>
      </c>
      <c r="Q5623" t="s">
        <v>785</v>
      </c>
      <c r="R5623" t="s">
        <v>805</v>
      </c>
    </row>
    <row r="5624" spans="1:18" x14ac:dyDescent="0.3">
      <c r="A5624" t="s">
        <v>627</v>
      </c>
      <c r="B5624" s="16">
        <v>45596</v>
      </c>
      <c r="C5624" t="s">
        <v>3</v>
      </c>
      <c r="D5624" t="s">
        <v>153</v>
      </c>
      <c r="E5624">
        <v>1323</v>
      </c>
      <c r="F5624">
        <v>400</v>
      </c>
      <c r="G5624">
        <v>193</v>
      </c>
      <c r="H5624">
        <v>16</v>
      </c>
      <c r="I5624">
        <v>1041103.12</v>
      </c>
      <c r="J5624">
        <v>250</v>
      </c>
      <c r="K5624">
        <v>959841.29</v>
      </c>
      <c r="L5624">
        <v>243</v>
      </c>
      <c r="M5624">
        <v>359</v>
      </c>
      <c r="N5624">
        <v>1274</v>
      </c>
      <c r="O5624">
        <f t="shared" si="182"/>
        <v>2024</v>
      </c>
      <c r="P5624">
        <f t="shared" si="183"/>
        <v>10</v>
      </c>
      <c r="Q5624" t="s">
        <v>785</v>
      </c>
      <c r="R5624" t="s">
        <v>805</v>
      </c>
    </row>
    <row r="5625" spans="1:18" x14ac:dyDescent="0.3">
      <c r="A5625" t="s">
        <v>627</v>
      </c>
      <c r="B5625" s="16">
        <v>45596</v>
      </c>
      <c r="C5625" t="s">
        <v>3</v>
      </c>
      <c r="D5625" t="s">
        <v>152</v>
      </c>
      <c r="E5625">
        <v>15</v>
      </c>
      <c r="F5625">
        <v>13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1</v>
      </c>
      <c r="O5625">
        <f t="shared" si="182"/>
        <v>2024</v>
      </c>
      <c r="P5625">
        <f t="shared" si="183"/>
        <v>10</v>
      </c>
      <c r="Q5625" t="s">
        <v>785</v>
      </c>
      <c r="R5625" t="s">
        <v>805</v>
      </c>
    </row>
    <row r="5626" spans="1:18" x14ac:dyDescent="0.3">
      <c r="A5626" t="s">
        <v>627</v>
      </c>
      <c r="B5626" s="16">
        <v>45596</v>
      </c>
      <c r="C5626" t="s">
        <v>3</v>
      </c>
      <c r="D5626" t="s">
        <v>150</v>
      </c>
      <c r="E5626">
        <v>7</v>
      </c>
      <c r="F5626">
        <v>2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1</v>
      </c>
      <c r="N5626">
        <v>7</v>
      </c>
      <c r="O5626">
        <f t="shared" si="182"/>
        <v>2024</v>
      </c>
      <c r="P5626">
        <f t="shared" si="183"/>
        <v>10</v>
      </c>
      <c r="Q5626" t="s">
        <v>785</v>
      </c>
      <c r="R5626" t="s">
        <v>805</v>
      </c>
    </row>
    <row r="5627" spans="1:18" x14ac:dyDescent="0.3">
      <c r="A5627" t="s">
        <v>627</v>
      </c>
      <c r="B5627" s="16">
        <v>45596</v>
      </c>
      <c r="C5627" t="s">
        <v>3</v>
      </c>
      <c r="D5627" t="s">
        <v>149</v>
      </c>
      <c r="E5627">
        <v>13</v>
      </c>
      <c r="F5627">
        <v>6</v>
      </c>
      <c r="G5627">
        <v>2</v>
      </c>
      <c r="H5627">
        <v>1</v>
      </c>
      <c r="I5627">
        <v>0</v>
      </c>
      <c r="J5627">
        <v>0</v>
      </c>
      <c r="K5627">
        <v>0</v>
      </c>
      <c r="L5627">
        <v>0</v>
      </c>
      <c r="M5627">
        <v>1</v>
      </c>
      <c r="N5627">
        <v>11</v>
      </c>
      <c r="O5627">
        <f t="shared" si="182"/>
        <v>2024</v>
      </c>
      <c r="P5627">
        <f t="shared" si="183"/>
        <v>10</v>
      </c>
      <c r="Q5627" t="s">
        <v>785</v>
      </c>
      <c r="R5627" t="s">
        <v>805</v>
      </c>
    </row>
    <row r="5628" spans="1:18" x14ac:dyDescent="0.3">
      <c r="A5628" t="s">
        <v>627</v>
      </c>
      <c r="B5628" s="16">
        <v>45596</v>
      </c>
      <c r="C5628" t="s">
        <v>3</v>
      </c>
      <c r="D5628" t="s">
        <v>148</v>
      </c>
      <c r="E5628">
        <v>25</v>
      </c>
      <c r="F5628">
        <v>23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24</v>
      </c>
      <c r="N5628">
        <v>1</v>
      </c>
      <c r="O5628">
        <f t="shared" si="182"/>
        <v>2024</v>
      </c>
      <c r="P5628">
        <f t="shared" si="183"/>
        <v>10</v>
      </c>
      <c r="Q5628" t="s">
        <v>785</v>
      </c>
      <c r="R5628" t="s">
        <v>805</v>
      </c>
    </row>
    <row r="5629" spans="1:18" x14ac:dyDescent="0.3">
      <c r="A5629" t="s">
        <v>627</v>
      </c>
      <c r="B5629" s="16">
        <v>45596</v>
      </c>
      <c r="C5629" t="s">
        <v>3</v>
      </c>
      <c r="D5629" t="s">
        <v>367</v>
      </c>
      <c r="E5629">
        <v>13</v>
      </c>
      <c r="F5629">
        <v>8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13</v>
      </c>
      <c r="O5629">
        <f t="shared" si="182"/>
        <v>2024</v>
      </c>
      <c r="P5629">
        <f t="shared" si="183"/>
        <v>10</v>
      </c>
      <c r="Q5629" t="s">
        <v>785</v>
      </c>
      <c r="R5629" t="s">
        <v>805</v>
      </c>
    </row>
    <row r="5630" spans="1:18" x14ac:dyDescent="0.3">
      <c r="A5630" t="s">
        <v>627</v>
      </c>
      <c r="B5630" s="16">
        <v>45596</v>
      </c>
      <c r="C5630" t="s">
        <v>3</v>
      </c>
      <c r="D5630" t="s">
        <v>251</v>
      </c>
      <c r="E5630">
        <v>1788</v>
      </c>
      <c r="F5630">
        <v>1260</v>
      </c>
      <c r="G5630">
        <v>42</v>
      </c>
      <c r="H5630">
        <v>11</v>
      </c>
      <c r="I5630">
        <v>151790.32</v>
      </c>
      <c r="J5630">
        <v>24</v>
      </c>
      <c r="K5630">
        <v>143018.32</v>
      </c>
      <c r="L5630">
        <v>23</v>
      </c>
      <c r="M5630">
        <v>145</v>
      </c>
      <c r="N5630">
        <v>613</v>
      </c>
      <c r="O5630">
        <f t="shared" si="182"/>
        <v>2024</v>
      </c>
      <c r="P5630">
        <f t="shared" si="183"/>
        <v>10</v>
      </c>
      <c r="Q5630" t="s">
        <v>785</v>
      </c>
      <c r="R5630" t="s">
        <v>805</v>
      </c>
    </row>
    <row r="5631" spans="1:18" x14ac:dyDescent="0.3">
      <c r="A5631" t="s">
        <v>627</v>
      </c>
      <c r="B5631" s="16">
        <v>45596</v>
      </c>
      <c r="C5631" t="s">
        <v>3</v>
      </c>
      <c r="D5631" t="s">
        <v>143</v>
      </c>
      <c r="E5631">
        <v>12</v>
      </c>
      <c r="F5631">
        <v>11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12</v>
      </c>
      <c r="O5631">
        <f t="shared" si="182"/>
        <v>2024</v>
      </c>
      <c r="P5631">
        <f t="shared" si="183"/>
        <v>10</v>
      </c>
      <c r="Q5631" t="s">
        <v>785</v>
      </c>
      <c r="R5631" t="s">
        <v>805</v>
      </c>
    </row>
    <row r="5632" spans="1:18" x14ac:dyDescent="0.3">
      <c r="A5632" t="s">
        <v>627</v>
      </c>
      <c r="B5632" s="16">
        <v>45596</v>
      </c>
      <c r="C5632" t="s">
        <v>3</v>
      </c>
      <c r="D5632" t="s">
        <v>141</v>
      </c>
      <c r="E5632">
        <v>12</v>
      </c>
      <c r="F5632">
        <v>9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3</v>
      </c>
      <c r="N5632">
        <v>9</v>
      </c>
      <c r="O5632">
        <f t="shared" si="182"/>
        <v>2024</v>
      </c>
      <c r="P5632">
        <f t="shared" si="183"/>
        <v>10</v>
      </c>
      <c r="Q5632" t="s">
        <v>785</v>
      </c>
      <c r="R5632" t="s">
        <v>805</v>
      </c>
    </row>
    <row r="5633" spans="1:18" x14ac:dyDescent="0.3">
      <c r="A5633" t="s">
        <v>627</v>
      </c>
      <c r="B5633" s="16">
        <v>45596</v>
      </c>
      <c r="C5633" t="s">
        <v>3</v>
      </c>
      <c r="D5633" t="s">
        <v>140</v>
      </c>
      <c r="E5633">
        <v>18</v>
      </c>
      <c r="F5633">
        <v>17</v>
      </c>
      <c r="G5633">
        <v>6</v>
      </c>
      <c r="H5633">
        <v>1</v>
      </c>
      <c r="I5633">
        <v>49053.5</v>
      </c>
      <c r="J5633">
        <v>6</v>
      </c>
      <c r="K5633">
        <v>49053.5</v>
      </c>
      <c r="L5633">
        <v>6</v>
      </c>
      <c r="M5633">
        <v>4</v>
      </c>
      <c r="N5633">
        <v>18</v>
      </c>
      <c r="O5633">
        <f t="shared" si="182"/>
        <v>2024</v>
      </c>
      <c r="P5633">
        <f t="shared" si="183"/>
        <v>10</v>
      </c>
      <c r="Q5633" t="s">
        <v>785</v>
      </c>
      <c r="R5633" t="s">
        <v>805</v>
      </c>
    </row>
    <row r="5634" spans="1:18" x14ac:dyDescent="0.3">
      <c r="A5634" t="s">
        <v>627</v>
      </c>
      <c r="B5634" s="16">
        <v>45596</v>
      </c>
      <c r="C5634" t="s">
        <v>3</v>
      </c>
      <c r="D5634" t="s">
        <v>139</v>
      </c>
      <c r="E5634">
        <v>2322</v>
      </c>
      <c r="F5634">
        <v>1264</v>
      </c>
      <c r="G5634">
        <v>143</v>
      </c>
      <c r="H5634">
        <v>20</v>
      </c>
      <c r="I5634">
        <v>447961.35</v>
      </c>
      <c r="J5634">
        <v>82</v>
      </c>
      <c r="K5634">
        <v>349022.35</v>
      </c>
      <c r="L5634">
        <v>79</v>
      </c>
      <c r="M5634">
        <v>720</v>
      </c>
      <c r="N5634">
        <v>2096</v>
      </c>
      <c r="O5634">
        <f t="shared" si="182"/>
        <v>2024</v>
      </c>
      <c r="P5634">
        <f t="shared" si="183"/>
        <v>10</v>
      </c>
      <c r="Q5634" t="s">
        <v>785</v>
      </c>
      <c r="R5634" t="s">
        <v>805</v>
      </c>
    </row>
    <row r="5635" spans="1:18" x14ac:dyDescent="0.3">
      <c r="A5635" t="s">
        <v>627</v>
      </c>
      <c r="B5635" s="16">
        <v>45596</v>
      </c>
      <c r="C5635" t="s">
        <v>3</v>
      </c>
      <c r="D5635" t="s">
        <v>138</v>
      </c>
      <c r="E5635">
        <v>103</v>
      </c>
      <c r="F5635">
        <v>82</v>
      </c>
      <c r="G5635">
        <v>1</v>
      </c>
      <c r="H5635">
        <v>1</v>
      </c>
      <c r="I5635">
        <v>0</v>
      </c>
      <c r="J5635">
        <v>0</v>
      </c>
      <c r="K5635">
        <v>0</v>
      </c>
      <c r="L5635">
        <v>0</v>
      </c>
      <c r="M5635">
        <v>9</v>
      </c>
      <c r="N5635">
        <v>102</v>
      </c>
      <c r="O5635">
        <f t="shared" si="182"/>
        <v>2024</v>
      </c>
      <c r="P5635">
        <f t="shared" si="183"/>
        <v>10</v>
      </c>
      <c r="Q5635" t="s">
        <v>785</v>
      </c>
      <c r="R5635" t="s">
        <v>805</v>
      </c>
    </row>
    <row r="5636" spans="1:18" x14ac:dyDescent="0.3">
      <c r="A5636" t="s">
        <v>627</v>
      </c>
      <c r="B5636" s="16">
        <v>45596</v>
      </c>
      <c r="C5636" t="s">
        <v>3</v>
      </c>
      <c r="D5636" t="s">
        <v>137</v>
      </c>
      <c r="E5636">
        <v>6</v>
      </c>
      <c r="F5636">
        <v>5</v>
      </c>
      <c r="G5636">
        <v>1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1</v>
      </c>
      <c r="N5636">
        <v>6</v>
      </c>
      <c r="O5636">
        <f t="shared" si="182"/>
        <v>2024</v>
      </c>
      <c r="P5636">
        <f t="shared" si="183"/>
        <v>10</v>
      </c>
      <c r="Q5636" t="s">
        <v>785</v>
      </c>
      <c r="R5636" t="s">
        <v>805</v>
      </c>
    </row>
    <row r="5637" spans="1:18" x14ac:dyDescent="0.3">
      <c r="A5637" t="s">
        <v>627</v>
      </c>
      <c r="B5637" s="16">
        <v>45596</v>
      </c>
      <c r="C5637" t="s">
        <v>3</v>
      </c>
      <c r="D5637" t="s">
        <v>135</v>
      </c>
      <c r="E5637">
        <v>6</v>
      </c>
      <c r="F5637">
        <v>1</v>
      </c>
      <c r="G5637">
        <v>0</v>
      </c>
      <c r="H5637">
        <v>0</v>
      </c>
      <c r="I5637">
        <v>2941.14</v>
      </c>
      <c r="J5637">
        <v>1</v>
      </c>
      <c r="K5637">
        <v>2941.14</v>
      </c>
      <c r="L5637">
        <v>1</v>
      </c>
      <c r="M5637">
        <v>0</v>
      </c>
      <c r="N5637">
        <v>6</v>
      </c>
      <c r="O5637">
        <f t="shared" si="182"/>
        <v>2024</v>
      </c>
      <c r="P5637">
        <f t="shared" si="183"/>
        <v>10</v>
      </c>
      <c r="Q5637" t="s">
        <v>785</v>
      </c>
      <c r="R5637" t="s">
        <v>805</v>
      </c>
    </row>
    <row r="5638" spans="1:18" x14ac:dyDescent="0.3">
      <c r="A5638" t="s">
        <v>627</v>
      </c>
      <c r="B5638" s="16">
        <v>45596</v>
      </c>
      <c r="C5638" t="s">
        <v>3</v>
      </c>
      <c r="D5638" t="s">
        <v>133</v>
      </c>
      <c r="E5638">
        <v>44</v>
      </c>
      <c r="F5638">
        <v>29</v>
      </c>
      <c r="G5638">
        <v>7</v>
      </c>
      <c r="H5638">
        <v>0</v>
      </c>
      <c r="I5638">
        <v>15047.5</v>
      </c>
      <c r="J5638">
        <v>3</v>
      </c>
      <c r="K5638">
        <v>15047.5</v>
      </c>
      <c r="L5638">
        <v>3</v>
      </c>
      <c r="M5638">
        <v>13</v>
      </c>
      <c r="N5638">
        <v>36</v>
      </c>
      <c r="O5638">
        <f t="shared" si="182"/>
        <v>2024</v>
      </c>
      <c r="P5638">
        <f t="shared" si="183"/>
        <v>10</v>
      </c>
      <c r="Q5638" t="s">
        <v>785</v>
      </c>
      <c r="R5638" t="s">
        <v>805</v>
      </c>
    </row>
    <row r="5639" spans="1:18" x14ac:dyDescent="0.3">
      <c r="A5639" t="s">
        <v>627</v>
      </c>
      <c r="B5639" s="16">
        <v>45596</v>
      </c>
      <c r="C5639" t="s">
        <v>3</v>
      </c>
      <c r="D5639" t="s">
        <v>130</v>
      </c>
      <c r="E5639">
        <v>191</v>
      </c>
      <c r="F5639">
        <v>75</v>
      </c>
      <c r="G5639">
        <v>33</v>
      </c>
      <c r="H5639">
        <v>1</v>
      </c>
      <c r="I5639">
        <v>190955.79</v>
      </c>
      <c r="J5639">
        <v>31</v>
      </c>
      <c r="K5639">
        <v>150734.82999999999</v>
      </c>
      <c r="L5639">
        <v>29</v>
      </c>
      <c r="M5639">
        <v>65</v>
      </c>
      <c r="N5639">
        <v>178</v>
      </c>
      <c r="O5639">
        <f t="shared" si="182"/>
        <v>2024</v>
      </c>
      <c r="P5639">
        <f t="shared" si="183"/>
        <v>10</v>
      </c>
      <c r="Q5639" t="s">
        <v>785</v>
      </c>
      <c r="R5639" t="s">
        <v>805</v>
      </c>
    </row>
    <row r="5640" spans="1:18" x14ac:dyDescent="0.3">
      <c r="A5640" t="s">
        <v>627</v>
      </c>
      <c r="B5640" s="16">
        <v>45596</v>
      </c>
      <c r="C5640" t="s">
        <v>3</v>
      </c>
      <c r="D5640" t="s">
        <v>128</v>
      </c>
      <c r="E5640">
        <v>2618</v>
      </c>
      <c r="F5640">
        <v>2154</v>
      </c>
      <c r="G5640">
        <v>178</v>
      </c>
      <c r="H5640">
        <v>20</v>
      </c>
      <c r="I5640">
        <v>219991.5</v>
      </c>
      <c r="J5640">
        <v>55</v>
      </c>
      <c r="K5640">
        <v>194787.5</v>
      </c>
      <c r="L5640">
        <v>49</v>
      </c>
      <c r="M5640">
        <v>385</v>
      </c>
      <c r="N5640">
        <v>2469</v>
      </c>
      <c r="O5640">
        <f t="shared" si="182"/>
        <v>2024</v>
      </c>
      <c r="P5640">
        <f t="shared" si="183"/>
        <v>10</v>
      </c>
      <c r="Q5640" t="s">
        <v>785</v>
      </c>
      <c r="R5640" t="s">
        <v>805</v>
      </c>
    </row>
    <row r="5641" spans="1:18" x14ac:dyDescent="0.3">
      <c r="A5641" t="s">
        <v>627</v>
      </c>
      <c r="B5641" s="16">
        <v>45596</v>
      </c>
      <c r="C5641" t="s">
        <v>3</v>
      </c>
      <c r="D5641" t="s">
        <v>127</v>
      </c>
      <c r="E5641">
        <v>6983</v>
      </c>
      <c r="F5641">
        <v>4064</v>
      </c>
      <c r="G5641">
        <v>158</v>
      </c>
      <c r="H5641">
        <v>46</v>
      </c>
      <c r="I5641">
        <v>235926.88</v>
      </c>
      <c r="J5641">
        <v>45</v>
      </c>
      <c r="K5641">
        <v>178927.88</v>
      </c>
      <c r="L5641">
        <v>39</v>
      </c>
      <c r="M5641">
        <v>1823</v>
      </c>
      <c r="N5641">
        <v>5360</v>
      </c>
      <c r="O5641">
        <f t="shared" ref="O5641:O5704" si="184">YEAR(B5641)</f>
        <v>2024</v>
      </c>
      <c r="P5641">
        <f t="shared" ref="P5641:P5704" si="185">MONTH(B5641)</f>
        <v>10</v>
      </c>
      <c r="Q5641" t="s">
        <v>785</v>
      </c>
      <c r="R5641" t="s">
        <v>805</v>
      </c>
    </row>
    <row r="5642" spans="1:18" x14ac:dyDescent="0.3">
      <c r="A5642" t="s">
        <v>627</v>
      </c>
      <c r="B5642" s="16">
        <v>45596</v>
      </c>
      <c r="C5642" t="s">
        <v>3</v>
      </c>
      <c r="D5642" t="s">
        <v>126</v>
      </c>
      <c r="E5642">
        <v>197</v>
      </c>
      <c r="F5642">
        <v>121</v>
      </c>
      <c r="G5642">
        <v>12</v>
      </c>
      <c r="H5642">
        <v>8</v>
      </c>
      <c r="I5642">
        <v>10038</v>
      </c>
      <c r="J5642">
        <v>3</v>
      </c>
      <c r="K5642">
        <v>10038</v>
      </c>
      <c r="L5642">
        <v>3</v>
      </c>
      <c r="M5642">
        <v>21</v>
      </c>
      <c r="N5642">
        <v>195</v>
      </c>
      <c r="O5642">
        <f t="shared" si="184"/>
        <v>2024</v>
      </c>
      <c r="P5642">
        <f t="shared" si="185"/>
        <v>10</v>
      </c>
      <c r="Q5642" t="s">
        <v>785</v>
      </c>
      <c r="R5642" t="s">
        <v>805</v>
      </c>
    </row>
    <row r="5643" spans="1:18" x14ac:dyDescent="0.3">
      <c r="A5643" t="s">
        <v>627</v>
      </c>
      <c r="B5643" s="16">
        <v>45596</v>
      </c>
      <c r="C5643" t="s">
        <v>3</v>
      </c>
      <c r="D5643" t="s">
        <v>125</v>
      </c>
      <c r="E5643">
        <v>7</v>
      </c>
      <c r="F5643">
        <v>3</v>
      </c>
      <c r="G5643">
        <v>1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2</v>
      </c>
      <c r="N5643">
        <v>7</v>
      </c>
      <c r="O5643">
        <f t="shared" si="184"/>
        <v>2024</v>
      </c>
      <c r="P5643">
        <f t="shared" si="185"/>
        <v>10</v>
      </c>
      <c r="Q5643" t="s">
        <v>785</v>
      </c>
      <c r="R5643" t="s">
        <v>805</v>
      </c>
    </row>
    <row r="5644" spans="1:18" x14ac:dyDescent="0.3">
      <c r="A5644" t="s">
        <v>627</v>
      </c>
      <c r="B5644" s="16">
        <v>45596</v>
      </c>
      <c r="C5644" t="s">
        <v>3</v>
      </c>
      <c r="D5644" t="s">
        <v>123</v>
      </c>
      <c r="E5644">
        <v>464</v>
      </c>
      <c r="F5644">
        <v>183</v>
      </c>
      <c r="G5644">
        <v>39</v>
      </c>
      <c r="H5644">
        <v>3</v>
      </c>
      <c r="I5644">
        <v>70781.320000000007</v>
      </c>
      <c r="J5644">
        <v>16</v>
      </c>
      <c r="K5644">
        <v>70781.320000000007</v>
      </c>
      <c r="L5644">
        <v>16</v>
      </c>
      <c r="M5644">
        <v>163</v>
      </c>
      <c r="N5644">
        <v>410</v>
      </c>
      <c r="O5644">
        <f t="shared" si="184"/>
        <v>2024</v>
      </c>
      <c r="P5644">
        <f t="shared" si="185"/>
        <v>10</v>
      </c>
      <c r="Q5644" t="s">
        <v>785</v>
      </c>
      <c r="R5644" t="s">
        <v>805</v>
      </c>
    </row>
    <row r="5645" spans="1:18" x14ac:dyDescent="0.3">
      <c r="A5645" t="s">
        <v>627</v>
      </c>
      <c r="B5645" s="16">
        <v>45596</v>
      </c>
      <c r="C5645" t="s">
        <v>3</v>
      </c>
      <c r="D5645" t="s">
        <v>122</v>
      </c>
      <c r="E5645">
        <v>1</v>
      </c>
      <c r="F5645">
        <v>1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1</v>
      </c>
      <c r="O5645">
        <f t="shared" si="184"/>
        <v>2024</v>
      </c>
      <c r="P5645">
        <f t="shared" si="185"/>
        <v>10</v>
      </c>
      <c r="Q5645" t="s">
        <v>785</v>
      </c>
      <c r="R5645" t="s">
        <v>805</v>
      </c>
    </row>
    <row r="5646" spans="1:18" x14ac:dyDescent="0.3">
      <c r="A5646" t="s">
        <v>627</v>
      </c>
      <c r="B5646" s="16">
        <v>45596</v>
      </c>
      <c r="C5646" t="s">
        <v>3</v>
      </c>
      <c r="D5646" t="s">
        <v>121</v>
      </c>
      <c r="E5646">
        <v>2</v>
      </c>
      <c r="F5646">
        <v>2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1</v>
      </c>
      <c r="N5646">
        <v>1</v>
      </c>
      <c r="O5646">
        <f t="shared" si="184"/>
        <v>2024</v>
      </c>
      <c r="P5646">
        <f t="shared" si="185"/>
        <v>10</v>
      </c>
      <c r="Q5646" t="s">
        <v>785</v>
      </c>
      <c r="R5646" t="s">
        <v>805</v>
      </c>
    </row>
    <row r="5647" spans="1:18" x14ac:dyDescent="0.3">
      <c r="A5647" t="s">
        <v>627</v>
      </c>
      <c r="B5647" s="16">
        <v>45596</v>
      </c>
      <c r="C5647" t="s">
        <v>3</v>
      </c>
      <c r="D5647" t="s">
        <v>119</v>
      </c>
      <c r="E5647">
        <v>695</v>
      </c>
      <c r="F5647">
        <v>192</v>
      </c>
      <c r="G5647">
        <v>93</v>
      </c>
      <c r="H5647">
        <v>5</v>
      </c>
      <c r="I5647">
        <v>390913.49</v>
      </c>
      <c r="J5647">
        <v>75</v>
      </c>
      <c r="K5647">
        <v>329306.49</v>
      </c>
      <c r="L5647">
        <v>66</v>
      </c>
      <c r="M5647">
        <v>151</v>
      </c>
      <c r="N5647">
        <v>657</v>
      </c>
      <c r="O5647">
        <f t="shared" si="184"/>
        <v>2024</v>
      </c>
      <c r="P5647">
        <f t="shared" si="185"/>
        <v>10</v>
      </c>
      <c r="Q5647" t="s">
        <v>785</v>
      </c>
      <c r="R5647" t="s">
        <v>805</v>
      </c>
    </row>
    <row r="5648" spans="1:18" x14ac:dyDescent="0.3">
      <c r="A5648" t="s">
        <v>627</v>
      </c>
      <c r="B5648" s="16">
        <v>45596</v>
      </c>
      <c r="C5648" t="s">
        <v>3</v>
      </c>
      <c r="D5648" t="s">
        <v>117</v>
      </c>
      <c r="E5648">
        <v>3</v>
      </c>
      <c r="F5648">
        <v>1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1</v>
      </c>
      <c r="N5648">
        <v>3</v>
      </c>
      <c r="O5648">
        <f t="shared" si="184"/>
        <v>2024</v>
      </c>
      <c r="P5648">
        <f t="shared" si="185"/>
        <v>10</v>
      </c>
      <c r="Q5648" t="s">
        <v>785</v>
      </c>
      <c r="R5648" t="s">
        <v>805</v>
      </c>
    </row>
    <row r="5649" spans="1:18" x14ac:dyDescent="0.3">
      <c r="A5649" t="s">
        <v>627</v>
      </c>
      <c r="B5649" s="16">
        <v>45596</v>
      </c>
      <c r="C5649" t="s">
        <v>3</v>
      </c>
      <c r="D5649" t="s">
        <v>115</v>
      </c>
      <c r="E5649">
        <v>5</v>
      </c>
      <c r="F5649">
        <v>2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5</v>
      </c>
      <c r="O5649">
        <f t="shared" si="184"/>
        <v>2024</v>
      </c>
      <c r="P5649">
        <f t="shared" si="185"/>
        <v>10</v>
      </c>
      <c r="Q5649" t="s">
        <v>785</v>
      </c>
      <c r="R5649" t="s">
        <v>805</v>
      </c>
    </row>
    <row r="5650" spans="1:18" x14ac:dyDescent="0.3">
      <c r="A5650" t="s">
        <v>627</v>
      </c>
      <c r="B5650" s="16">
        <v>45596</v>
      </c>
      <c r="C5650" t="s">
        <v>3</v>
      </c>
      <c r="D5650" t="s">
        <v>114</v>
      </c>
      <c r="E5650">
        <v>206</v>
      </c>
      <c r="F5650">
        <v>102</v>
      </c>
      <c r="G5650">
        <v>8</v>
      </c>
      <c r="H5650">
        <v>3</v>
      </c>
      <c r="I5650">
        <v>9298</v>
      </c>
      <c r="J5650">
        <v>2</v>
      </c>
      <c r="K5650">
        <v>9298</v>
      </c>
      <c r="L5650">
        <v>2</v>
      </c>
      <c r="M5650">
        <v>19</v>
      </c>
      <c r="N5650">
        <v>203</v>
      </c>
      <c r="O5650">
        <f t="shared" si="184"/>
        <v>2024</v>
      </c>
      <c r="P5650">
        <f t="shared" si="185"/>
        <v>10</v>
      </c>
      <c r="Q5650" t="s">
        <v>785</v>
      </c>
      <c r="R5650" t="s">
        <v>805</v>
      </c>
    </row>
    <row r="5651" spans="1:18" x14ac:dyDescent="0.3">
      <c r="A5651" t="s">
        <v>627</v>
      </c>
      <c r="B5651" s="16">
        <v>45596</v>
      </c>
      <c r="C5651" t="s">
        <v>3</v>
      </c>
      <c r="D5651" t="s">
        <v>113</v>
      </c>
      <c r="E5651">
        <v>169</v>
      </c>
      <c r="F5651">
        <v>83</v>
      </c>
      <c r="G5651">
        <v>8</v>
      </c>
      <c r="H5651">
        <v>2</v>
      </c>
      <c r="I5651">
        <v>4975</v>
      </c>
      <c r="J5651">
        <v>1</v>
      </c>
      <c r="K5651">
        <v>4975</v>
      </c>
      <c r="L5651">
        <v>1</v>
      </c>
      <c r="M5651">
        <v>124</v>
      </c>
      <c r="N5651">
        <v>100</v>
      </c>
      <c r="O5651">
        <f t="shared" si="184"/>
        <v>2024</v>
      </c>
      <c r="P5651">
        <f t="shared" si="185"/>
        <v>10</v>
      </c>
      <c r="Q5651" t="s">
        <v>785</v>
      </c>
      <c r="R5651" t="s">
        <v>805</v>
      </c>
    </row>
    <row r="5652" spans="1:18" x14ac:dyDescent="0.3">
      <c r="A5652" t="s">
        <v>627</v>
      </c>
      <c r="B5652" s="16">
        <v>45596</v>
      </c>
      <c r="C5652" t="s">
        <v>3</v>
      </c>
      <c r="D5652" t="s">
        <v>112</v>
      </c>
      <c r="E5652">
        <v>44</v>
      </c>
      <c r="F5652">
        <v>17</v>
      </c>
      <c r="G5652">
        <v>6</v>
      </c>
      <c r="H5652">
        <v>1</v>
      </c>
      <c r="I5652">
        <v>67245.36</v>
      </c>
      <c r="J5652">
        <v>21</v>
      </c>
      <c r="K5652">
        <v>63478.36</v>
      </c>
      <c r="L5652">
        <v>20</v>
      </c>
      <c r="M5652">
        <v>1</v>
      </c>
      <c r="N5652">
        <v>44</v>
      </c>
      <c r="O5652">
        <f t="shared" si="184"/>
        <v>2024</v>
      </c>
      <c r="P5652">
        <f t="shared" si="185"/>
        <v>10</v>
      </c>
      <c r="Q5652" t="s">
        <v>785</v>
      </c>
      <c r="R5652" t="s">
        <v>805</v>
      </c>
    </row>
    <row r="5653" spans="1:18" x14ac:dyDescent="0.3">
      <c r="A5653" t="s">
        <v>627</v>
      </c>
      <c r="B5653" s="16">
        <v>45596</v>
      </c>
      <c r="C5653" t="s">
        <v>3</v>
      </c>
      <c r="D5653" t="s">
        <v>111</v>
      </c>
      <c r="E5653">
        <v>3</v>
      </c>
      <c r="F5653">
        <v>3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3</v>
      </c>
      <c r="O5653">
        <f t="shared" si="184"/>
        <v>2024</v>
      </c>
      <c r="P5653">
        <f t="shared" si="185"/>
        <v>10</v>
      </c>
      <c r="Q5653" t="s">
        <v>785</v>
      </c>
      <c r="R5653" t="s">
        <v>805</v>
      </c>
    </row>
    <row r="5654" spans="1:18" x14ac:dyDescent="0.3">
      <c r="A5654" t="s">
        <v>627</v>
      </c>
      <c r="B5654" s="16">
        <v>45595</v>
      </c>
      <c r="C5654" t="s">
        <v>2</v>
      </c>
      <c r="D5654" t="s">
        <v>4</v>
      </c>
      <c r="E5654">
        <v>272</v>
      </c>
      <c r="F5654">
        <v>83</v>
      </c>
      <c r="G5654">
        <v>9</v>
      </c>
      <c r="H5654">
        <v>0</v>
      </c>
      <c r="I5654">
        <v>5530</v>
      </c>
      <c r="J5654">
        <v>1</v>
      </c>
      <c r="K5654">
        <v>5530</v>
      </c>
      <c r="L5654">
        <v>1</v>
      </c>
      <c r="M5654">
        <v>17</v>
      </c>
      <c r="N5654">
        <v>267</v>
      </c>
      <c r="O5654">
        <f t="shared" si="184"/>
        <v>2024</v>
      </c>
      <c r="P5654">
        <f t="shared" si="185"/>
        <v>10</v>
      </c>
      <c r="Q5654" t="s">
        <v>785</v>
      </c>
      <c r="R5654" t="s">
        <v>805</v>
      </c>
    </row>
    <row r="5655" spans="1:18" x14ac:dyDescent="0.3">
      <c r="A5655" t="s">
        <v>627</v>
      </c>
      <c r="B5655" s="16">
        <v>45595</v>
      </c>
      <c r="C5655" t="s">
        <v>2</v>
      </c>
      <c r="D5655" t="s">
        <v>57</v>
      </c>
      <c r="E5655">
        <v>14712</v>
      </c>
      <c r="F5655">
        <v>9030</v>
      </c>
      <c r="G5655">
        <v>367</v>
      </c>
      <c r="H5655">
        <v>154</v>
      </c>
      <c r="I5655">
        <v>206085</v>
      </c>
      <c r="J5655">
        <v>38</v>
      </c>
      <c r="K5655">
        <v>101942.5</v>
      </c>
      <c r="L5655">
        <v>21</v>
      </c>
      <c r="M5655">
        <v>1071</v>
      </c>
      <c r="N5655">
        <v>14665</v>
      </c>
      <c r="O5655">
        <f t="shared" si="184"/>
        <v>2024</v>
      </c>
      <c r="P5655">
        <f t="shared" si="185"/>
        <v>10</v>
      </c>
      <c r="Q5655" t="s">
        <v>785</v>
      </c>
      <c r="R5655" t="s">
        <v>805</v>
      </c>
    </row>
    <row r="5656" spans="1:18" x14ac:dyDescent="0.3">
      <c r="A5656" t="s">
        <v>627</v>
      </c>
      <c r="B5656" s="16">
        <v>45595</v>
      </c>
      <c r="C5656" t="s">
        <v>2</v>
      </c>
      <c r="D5656" t="s">
        <v>52</v>
      </c>
      <c r="E5656">
        <v>665</v>
      </c>
      <c r="F5656">
        <v>525</v>
      </c>
      <c r="G5656">
        <v>41</v>
      </c>
      <c r="H5656">
        <v>8</v>
      </c>
      <c r="I5656">
        <v>25695</v>
      </c>
      <c r="J5656">
        <v>7</v>
      </c>
      <c r="K5656">
        <v>20330</v>
      </c>
      <c r="L5656">
        <v>6</v>
      </c>
      <c r="M5656">
        <v>665</v>
      </c>
      <c r="N5656">
        <v>402</v>
      </c>
      <c r="O5656">
        <f t="shared" si="184"/>
        <v>2024</v>
      </c>
      <c r="P5656">
        <f t="shared" si="185"/>
        <v>10</v>
      </c>
      <c r="Q5656" t="s">
        <v>785</v>
      </c>
      <c r="R5656" t="s">
        <v>805</v>
      </c>
    </row>
    <row r="5657" spans="1:18" x14ac:dyDescent="0.3">
      <c r="A5657" t="s">
        <v>627</v>
      </c>
      <c r="B5657" s="16">
        <v>45595</v>
      </c>
      <c r="C5657" t="s">
        <v>2</v>
      </c>
      <c r="D5657" t="s">
        <v>55</v>
      </c>
      <c r="E5657">
        <v>1697</v>
      </c>
      <c r="F5657">
        <v>1406</v>
      </c>
      <c r="G5657">
        <v>10</v>
      </c>
      <c r="H5657">
        <v>6</v>
      </c>
      <c r="I5657">
        <v>0</v>
      </c>
      <c r="J5657">
        <v>0</v>
      </c>
      <c r="K5657">
        <v>0</v>
      </c>
      <c r="L5657">
        <v>0</v>
      </c>
      <c r="M5657">
        <v>23</v>
      </c>
      <c r="N5657">
        <v>256</v>
      </c>
      <c r="O5657">
        <f t="shared" si="184"/>
        <v>2024</v>
      </c>
      <c r="P5657">
        <f t="shared" si="185"/>
        <v>10</v>
      </c>
      <c r="Q5657" t="s">
        <v>785</v>
      </c>
      <c r="R5657" t="s">
        <v>805</v>
      </c>
    </row>
    <row r="5658" spans="1:18" x14ac:dyDescent="0.3">
      <c r="A5658" t="s">
        <v>627</v>
      </c>
      <c r="B5658" s="16">
        <v>45595</v>
      </c>
      <c r="C5658" t="s">
        <v>3</v>
      </c>
      <c r="D5658" t="s">
        <v>155</v>
      </c>
      <c r="E5658">
        <v>11</v>
      </c>
      <c r="F5658">
        <v>5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1</v>
      </c>
      <c r="N5658">
        <v>11</v>
      </c>
      <c r="O5658">
        <f t="shared" si="184"/>
        <v>2024</v>
      </c>
      <c r="P5658">
        <f t="shared" si="185"/>
        <v>10</v>
      </c>
      <c r="Q5658" t="s">
        <v>785</v>
      </c>
      <c r="R5658" t="s">
        <v>805</v>
      </c>
    </row>
    <row r="5659" spans="1:18" x14ac:dyDescent="0.3">
      <c r="A5659" t="s">
        <v>627</v>
      </c>
      <c r="B5659" s="16">
        <v>45595</v>
      </c>
      <c r="C5659" t="s">
        <v>3</v>
      </c>
      <c r="D5659" t="s">
        <v>154</v>
      </c>
      <c r="E5659">
        <v>876</v>
      </c>
      <c r="F5659">
        <v>805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1</v>
      </c>
      <c r="N5659">
        <v>1</v>
      </c>
      <c r="O5659">
        <f t="shared" si="184"/>
        <v>2024</v>
      </c>
      <c r="P5659">
        <f t="shared" si="185"/>
        <v>10</v>
      </c>
      <c r="Q5659" t="s">
        <v>785</v>
      </c>
      <c r="R5659" t="s">
        <v>805</v>
      </c>
    </row>
    <row r="5660" spans="1:18" x14ac:dyDescent="0.3">
      <c r="A5660" t="s">
        <v>627</v>
      </c>
      <c r="B5660" s="16">
        <v>45595</v>
      </c>
      <c r="C5660" t="s">
        <v>3</v>
      </c>
      <c r="D5660" t="s">
        <v>153</v>
      </c>
      <c r="E5660">
        <v>685</v>
      </c>
      <c r="F5660">
        <v>139</v>
      </c>
      <c r="G5660">
        <v>54</v>
      </c>
      <c r="H5660">
        <v>4</v>
      </c>
      <c r="I5660">
        <v>120218.5</v>
      </c>
      <c r="J5660">
        <v>21</v>
      </c>
      <c r="K5660">
        <v>75493.5</v>
      </c>
      <c r="L5660">
        <v>15</v>
      </c>
      <c r="M5660">
        <v>153</v>
      </c>
      <c r="N5660">
        <v>657</v>
      </c>
      <c r="O5660">
        <f t="shared" si="184"/>
        <v>2024</v>
      </c>
      <c r="P5660">
        <f t="shared" si="185"/>
        <v>10</v>
      </c>
      <c r="Q5660" t="s">
        <v>785</v>
      </c>
      <c r="R5660" t="s">
        <v>805</v>
      </c>
    </row>
    <row r="5661" spans="1:18" x14ac:dyDescent="0.3">
      <c r="A5661" t="s">
        <v>627</v>
      </c>
      <c r="B5661" s="16">
        <v>45595</v>
      </c>
      <c r="C5661" t="s">
        <v>3</v>
      </c>
      <c r="D5661" t="s">
        <v>152</v>
      </c>
      <c r="E5661">
        <v>18</v>
      </c>
      <c r="F5661">
        <v>13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5</v>
      </c>
      <c r="O5661">
        <f t="shared" si="184"/>
        <v>2024</v>
      </c>
      <c r="P5661">
        <f t="shared" si="185"/>
        <v>10</v>
      </c>
      <c r="Q5661" t="s">
        <v>785</v>
      </c>
      <c r="R5661" t="s">
        <v>805</v>
      </c>
    </row>
    <row r="5662" spans="1:18" x14ac:dyDescent="0.3">
      <c r="A5662" t="s">
        <v>627</v>
      </c>
      <c r="B5662" s="16">
        <v>45595</v>
      </c>
      <c r="C5662" t="s">
        <v>3</v>
      </c>
      <c r="D5662" t="s">
        <v>150</v>
      </c>
      <c r="E5662">
        <v>3</v>
      </c>
      <c r="F5662">
        <v>1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2</v>
      </c>
      <c r="O5662">
        <f t="shared" si="184"/>
        <v>2024</v>
      </c>
      <c r="P5662">
        <f t="shared" si="185"/>
        <v>10</v>
      </c>
      <c r="Q5662" t="s">
        <v>785</v>
      </c>
      <c r="R5662" t="s">
        <v>805</v>
      </c>
    </row>
    <row r="5663" spans="1:18" x14ac:dyDescent="0.3">
      <c r="A5663" t="s">
        <v>627</v>
      </c>
      <c r="B5663" s="16">
        <v>45595</v>
      </c>
      <c r="C5663" t="s">
        <v>3</v>
      </c>
      <c r="D5663" t="s">
        <v>198</v>
      </c>
      <c r="E5663">
        <v>1</v>
      </c>
      <c r="F5663">
        <v>1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1</v>
      </c>
      <c r="O5663">
        <f t="shared" si="184"/>
        <v>2024</v>
      </c>
      <c r="P5663">
        <f t="shared" si="185"/>
        <v>10</v>
      </c>
      <c r="Q5663" t="s">
        <v>785</v>
      </c>
      <c r="R5663" t="s">
        <v>805</v>
      </c>
    </row>
    <row r="5664" spans="1:18" x14ac:dyDescent="0.3">
      <c r="A5664" t="s">
        <v>627</v>
      </c>
      <c r="B5664" s="16">
        <v>45595</v>
      </c>
      <c r="C5664" t="s">
        <v>3</v>
      </c>
      <c r="D5664" t="s">
        <v>149</v>
      </c>
      <c r="E5664">
        <v>42</v>
      </c>
      <c r="F5664">
        <v>32</v>
      </c>
      <c r="G5664">
        <v>0</v>
      </c>
      <c r="H5664">
        <v>1</v>
      </c>
      <c r="I5664">
        <v>0</v>
      </c>
      <c r="J5664">
        <v>0</v>
      </c>
      <c r="K5664">
        <v>0</v>
      </c>
      <c r="L5664">
        <v>0</v>
      </c>
      <c r="M5664">
        <v>3</v>
      </c>
      <c r="N5664">
        <v>17</v>
      </c>
      <c r="O5664">
        <f t="shared" si="184"/>
        <v>2024</v>
      </c>
      <c r="P5664">
        <f t="shared" si="185"/>
        <v>10</v>
      </c>
      <c r="Q5664" t="s">
        <v>785</v>
      </c>
      <c r="R5664" t="s">
        <v>805</v>
      </c>
    </row>
    <row r="5665" spans="1:18" x14ac:dyDescent="0.3">
      <c r="A5665" t="s">
        <v>627</v>
      </c>
      <c r="B5665" s="16">
        <v>45595</v>
      </c>
      <c r="C5665" t="s">
        <v>3</v>
      </c>
      <c r="D5665" t="s">
        <v>148</v>
      </c>
      <c r="E5665">
        <v>4</v>
      </c>
      <c r="F5665">
        <v>4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1</v>
      </c>
      <c r="N5665">
        <v>3</v>
      </c>
      <c r="O5665">
        <f t="shared" si="184"/>
        <v>2024</v>
      </c>
      <c r="P5665">
        <f t="shared" si="185"/>
        <v>10</v>
      </c>
      <c r="Q5665" t="s">
        <v>785</v>
      </c>
      <c r="R5665" t="s">
        <v>805</v>
      </c>
    </row>
    <row r="5666" spans="1:18" x14ac:dyDescent="0.3">
      <c r="A5666" t="s">
        <v>627</v>
      </c>
      <c r="B5666" s="16">
        <v>45595</v>
      </c>
      <c r="C5666" t="s">
        <v>3</v>
      </c>
      <c r="D5666" t="s">
        <v>367</v>
      </c>
      <c r="E5666">
        <v>47</v>
      </c>
      <c r="F5666">
        <v>30</v>
      </c>
      <c r="G5666">
        <v>1</v>
      </c>
      <c r="H5666">
        <v>1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47</v>
      </c>
      <c r="O5666">
        <f t="shared" si="184"/>
        <v>2024</v>
      </c>
      <c r="P5666">
        <f t="shared" si="185"/>
        <v>10</v>
      </c>
      <c r="Q5666" t="s">
        <v>785</v>
      </c>
      <c r="R5666" t="s">
        <v>805</v>
      </c>
    </row>
    <row r="5667" spans="1:18" x14ac:dyDescent="0.3">
      <c r="A5667" t="s">
        <v>627</v>
      </c>
      <c r="B5667" s="16">
        <v>45595</v>
      </c>
      <c r="C5667" t="s">
        <v>3</v>
      </c>
      <c r="D5667" t="s">
        <v>145</v>
      </c>
      <c r="E5667">
        <v>2</v>
      </c>
      <c r="F5667">
        <v>2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f t="shared" si="184"/>
        <v>2024</v>
      </c>
      <c r="P5667">
        <f t="shared" si="185"/>
        <v>10</v>
      </c>
      <c r="Q5667" t="s">
        <v>785</v>
      </c>
      <c r="R5667" t="s">
        <v>805</v>
      </c>
    </row>
    <row r="5668" spans="1:18" x14ac:dyDescent="0.3">
      <c r="A5668" t="s">
        <v>627</v>
      </c>
      <c r="B5668" s="16">
        <v>45595</v>
      </c>
      <c r="C5668" t="s">
        <v>3</v>
      </c>
      <c r="D5668" t="s">
        <v>251</v>
      </c>
      <c r="E5668">
        <v>4136</v>
      </c>
      <c r="F5668">
        <v>3642</v>
      </c>
      <c r="G5668">
        <v>34</v>
      </c>
      <c r="H5668">
        <v>6</v>
      </c>
      <c r="I5668">
        <v>33955</v>
      </c>
      <c r="J5668">
        <v>5</v>
      </c>
      <c r="K5668">
        <v>11352.5</v>
      </c>
      <c r="L5668">
        <v>3</v>
      </c>
      <c r="M5668">
        <v>100</v>
      </c>
      <c r="N5668">
        <v>567</v>
      </c>
      <c r="O5668">
        <f t="shared" si="184"/>
        <v>2024</v>
      </c>
      <c r="P5668">
        <f t="shared" si="185"/>
        <v>10</v>
      </c>
      <c r="Q5668" t="s">
        <v>785</v>
      </c>
      <c r="R5668" t="s">
        <v>805</v>
      </c>
    </row>
    <row r="5669" spans="1:18" x14ac:dyDescent="0.3">
      <c r="A5669" t="s">
        <v>627</v>
      </c>
      <c r="B5669" s="16">
        <v>45595</v>
      </c>
      <c r="C5669" t="s">
        <v>3</v>
      </c>
      <c r="D5669" t="s">
        <v>143</v>
      </c>
      <c r="E5669">
        <v>10</v>
      </c>
      <c r="F5669">
        <v>9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10</v>
      </c>
      <c r="O5669">
        <f t="shared" si="184"/>
        <v>2024</v>
      </c>
      <c r="P5669">
        <f t="shared" si="185"/>
        <v>10</v>
      </c>
      <c r="Q5669" t="s">
        <v>785</v>
      </c>
      <c r="R5669" t="s">
        <v>805</v>
      </c>
    </row>
    <row r="5670" spans="1:18" x14ac:dyDescent="0.3">
      <c r="A5670" t="s">
        <v>627</v>
      </c>
      <c r="B5670" s="16">
        <v>45595</v>
      </c>
      <c r="C5670" t="s">
        <v>3</v>
      </c>
      <c r="D5670" t="s">
        <v>141</v>
      </c>
      <c r="E5670">
        <v>11</v>
      </c>
      <c r="F5670">
        <v>8</v>
      </c>
      <c r="G5670">
        <v>0</v>
      </c>
      <c r="H5670">
        <v>0</v>
      </c>
      <c r="I5670">
        <v>3400</v>
      </c>
      <c r="J5670">
        <v>1</v>
      </c>
      <c r="K5670">
        <v>3400</v>
      </c>
      <c r="L5670">
        <v>1</v>
      </c>
      <c r="M5670">
        <v>2</v>
      </c>
      <c r="N5670">
        <v>9</v>
      </c>
      <c r="O5670">
        <f t="shared" si="184"/>
        <v>2024</v>
      </c>
      <c r="P5670">
        <f t="shared" si="185"/>
        <v>10</v>
      </c>
      <c r="Q5670" t="s">
        <v>785</v>
      </c>
      <c r="R5670" t="s">
        <v>805</v>
      </c>
    </row>
    <row r="5671" spans="1:18" x14ac:dyDescent="0.3">
      <c r="A5671" t="s">
        <v>627</v>
      </c>
      <c r="B5671" s="16">
        <v>45595</v>
      </c>
      <c r="C5671" t="s">
        <v>3</v>
      </c>
      <c r="D5671" t="s">
        <v>140</v>
      </c>
      <c r="E5671">
        <v>12</v>
      </c>
      <c r="F5671">
        <v>9</v>
      </c>
      <c r="G5671">
        <v>4</v>
      </c>
      <c r="H5671">
        <v>0</v>
      </c>
      <c r="I5671">
        <v>3400</v>
      </c>
      <c r="J5671">
        <v>1</v>
      </c>
      <c r="K5671">
        <v>3400</v>
      </c>
      <c r="L5671">
        <v>1</v>
      </c>
      <c r="M5671">
        <v>0</v>
      </c>
      <c r="N5671">
        <v>11</v>
      </c>
      <c r="O5671">
        <f t="shared" si="184"/>
        <v>2024</v>
      </c>
      <c r="P5671">
        <f t="shared" si="185"/>
        <v>10</v>
      </c>
      <c r="Q5671" t="s">
        <v>785</v>
      </c>
      <c r="R5671" t="s">
        <v>805</v>
      </c>
    </row>
    <row r="5672" spans="1:18" x14ac:dyDescent="0.3">
      <c r="A5672" t="s">
        <v>627</v>
      </c>
      <c r="B5672" s="16">
        <v>45595</v>
      </c>
      <c r="C5672" t="s">
        <v>3</v>
      </c>
      <c r="D5672" t="s">
        <v>139</v>
      </c>
      <c r="E5672">
        <v>2253</v>
      </c>
      <c r="F5672">
        <v>1329</v>
      </c>
      <c r="G5672">
        <v>94</v>
      </c>
      <c r="H5672">
        <v>22</v>
      </c>
      <c r="I5672">
        <v>89505</v>
      </c>
      <c r="J5672">
        <v>16</v>
      </c>
      <c r="K5672">
        <v>52852.5</v>
      </c>
      <c r="L5672">
        <v>12</v>
      </c>
      <c r="M5672">
        <v>517</v>
      </c>
      <c r="N5672">
        <v>1888</v>
      </c>
      <c r="O5672">
        <f t="shared" si="184"/>
        <v>2024</v>
      </c>
      <c r="P5672">
        <f t="shared" si="185"/>
        <v>10</v>
      </c>
      <c r="Q5672" t="s">
        <v>785</v>
      </c>
      <c r="R5672" t="s">
        <v>805</v>
      </c>
    </row>
    <row r="5673" spans="1:18" x14ac:dyDescent="0.3">
      <c r="A5673" t="s">
        <v>627</v>
      </c>
      <c r="B5673" s="16">
        <v>45595</v>
      </c>
      <c r="C5673" t="s">
        <v>3</v>
      </c>
      <c r="D5673" t="s">
        <v>138</v>
      </c>
      <c r="E5673">
        <v>61</v>
      </c>
      <c r="F5673">
        <v>51</v>
      </c>
      <c r="G5673">
        <v>2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2</v>
      </c>
      <c r="N5673">
        <v>61</v>
      </c>
      <c r="O5673">
        <f t="shared" si="184"/>
        <v>2024</v>
      </c>
      <c r="P5673">
        <f t="shared" si="185"/>
        <v>10</v>
      </c>
      <c r="Q5673" t="s">
        <v>785</v>
      </c>
      <c r="R5673" t="s">
        <v>805</v>
      </c>
    </row>
    <row r="5674" spans="1:18" x14ac:dyDescent="0.3">
      <c r="A5674" t="s">
        <v>627</v>
      </c>
      <c r="B5674" s="16">
        <v>45595</v>
      </c>
      <c r="C5674" t="s">
        <v>3</v>
      </c>
      <c r="D5674" t="s">
        <v>137</v>
      </c>
      <c r="E5674">
        <v>6</v>
      </c>
      <c r="F5674">
        <v>4</v>
      </c>
      <c r="G5674">
        <v>1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2</v>
      </c>
      <c r="N5674">
        <v>6</v>
      </c>
      <c r="O5674">
        <f t="shared" si="184"/>
        <v>2024</v>
      </c>
      <c r="P5674">
        <f t="shared" si="185"/>
        <v>10</v>
      </c>
      <c r="Q5674" t="s">
        <v>785</v>
      </c>
      <c r="R5674" t="s">
        <v>805</v>
      </c>
    </row>
    <row r="5675" spans="1:18" x14ac:dyDescent="0.3">
      <c r="A5675" t="s">
        <v>627</v>
      </c>
      <c r="B5675" s="16">
        <v>45595</v>
      </c>
      <c r="C5675" t="s">
        <v>3</v>
      </c>
      <c r="D5675" t="s">
        <v>135</v>
      </c>
      <c r="E5675">
        <v>21</v>
      </c>
      <c r="F5675">
        <v>13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7</v>
      </c>
      <c r="O5675">
        <f t="shared" si="184"/>
        <v>2024</v>
      </c>
      <c r="P5675">
        <f t="shared" si="185"/>
        <v>10</v>
      </c>
      <c r="Q5675" t="s">
        <v>785</v>
      </c>
      <c r="R5675" t="s">
        <v>805</v>
      </c>
    </row>
    <row r="5676" spans="1:18" x14ac:dyDescent="0.3">
      <c r="A5676" t="s">
        <v>627</v>
      </c>
      <c r="B5676" s="16">
        <v>45595</v>
      </c>
      <c r="C5676" t="s">
        <v>3</v>
      </c>
      <c r="D5676" t="s">
        <v>133</v>
      </c>
      <c r="E5676">
        <v>33</v>
      </c>
      <c r="F5676">
        <v>24</v>
      </c>
      <c r="G5676">
        <v>1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7</v>
      </c>
      <c r="N5676">
        <v>28</v>
      </c>
      <c r="O5676">
        <f t="shared" si="184"/>
        <v>2024</v>
      </c>
      <c r="P5676">
        <f t="shared" si="185"/>
        <v>10</v>
      </c>
      <c r="Q5676" t="s">
        <v>785</v>
      </c>
      <c r="R5676" t="s">
        <v>805</v>
      </c>
    </row>
    <row r="5677" spans="1:18" x14ac:dyDescent="0.3">
      <c r="A5677" t="s">
        <v>627</v>
      </c>
      <c r="B5677" s="16">
        <v>45595</v>
      </c>
      <c r="C5677" t="s">
        <v>3</v>
      </c>
      <c r="D5677" t="s">
        <v>130</v>
      </c>
      <c r="E5677">
        <v>134</v>
      </c>
      <c r="F5677">
        <v>52</v>
      </c>
      <c r="G5677">
        <v>17</v>
      </c>
      <c r="H5677">
        <v>3</v>
      </c>
      <c r="I5677">
        <v>74670</v>
      </c>
      <c r="J5677">
        <v>14</v>
      </c>
      <c r="K5677">
        <v>57780</v>
      </c>
      <c r="L5677">
        <v>12</v>
      </c>
      <c r="M5677">
        <v>42</v>
      </c>
      <c r="N5677">
        <v>130</v>
      </c>
      <c r="O5677">
        <f t="shared" si="184"/>
        <v>2024</v>
      </c>
      <c r="P5677">
        <f t="shared" si="185"/>
        <v>10</v>
      </c>
      <c r="Q5677" t="s">
        <v>785</v>
      </c>
      <c r="R5677" t="s">
        <v>805</v>
      </c>
    </row>
    <row r="5678" spans="1:18" x14ac:dyDescent="0.3">
      <c r="A5678" t="s">
        <v>627</v>
      </c>
      <c r="B5678" s="16">
        <v>45595</v>
      </c>
      <c r="C5678" t="s">
        <v>3</v>
      </c>
      <c r="D5678" t="s">
        <v>128</v>
      </c>
      <c r="E5678">
        <v>2244</v>
      </c>
      <c r="F5678">
        <v>1833</v>
      </c>
      <c r="G5678">
        <v>63</v>
      </c>
      <c r="H5678">
        <v>18</v>
      </c>
      <c r="I5678">
        <v>63467.5</v>
      </c>
      <c r="J5678">
        <v>7</v>
      </c>
      <c r="K5678">
        <v>42345</v>
      </c>
      <c r="L5678">
        <v>4</v>
      </c>
      <c r="M5678">
        <v>315</v>
      </c>
      <c r="N5678">
        <v>2030</v>
      </c>
      <c r="O5678">
        <f t="shared" si="184"/>
        <v>2024</v>
      </c>
      <c r="P5678">
        <f t="shared" si="185"/>
        <v>10</v>
      </c>
      <c r="Q5678" t="s">
        <v>785</v>
      </c>
      <c r="R5678" t="s">
        <v>805</v>
      </c>
    </row>
    <row r="5679" spans="1:18" x14ac:dyDescent="0.3">
      <c r="A5679" t="s">
        <v>627</v>
      </c>
      <c r="B5679" s="16">
        <v>45595</v>
      </c>
      <c r="C5679" t="s">
        <v>3</v>
      </c>
      <c r="D5679" t="s">
        <v>127</v>
      </c>
      <c r="E5679">
        <v>9469</v>
      </c>
      <c r="F5679">
        <v>6520</v>
      </c>
      <c r="G5679">
        <v>136</v>
      </c>
      <c r="H5679">
        <v>50</v>
      </c>
      <c r="I5679">
        <v>45463.5</v>
      </c>
      <c r="J5679">
        <v>12</v>
      </c>
      <c r="K5679">
        <v>29649</v>
      </c>
      <c r="L5679">
        <v>9</v>
      </c>
      <c r="M5679">
        <v>1573</v>
      </c>
      <c r="N5679">
        <v>5369</v>
      </c>
      <c r="O5679">
        <f t="shared" si="184"/>
        <v>2024</v>
      </c>
      <c r="P5679">
        <f t="shared" si="185"/>
        <v>10</v>
      </c>
      <c r="Q5679" t="s">
        <v>785</v>
      </c>
      <c r="R5679" t="s">
        <v>805</v>
      </c>
    </row>
    <row r="5680" spans="1:18" x14ac:dyDescent="0.3">
      <c r="A5680" t="s">
        <v>627</v>
      </c>
      <c r="B5680" s="16">
        <v>45595</v>
      </c>
      <c r="C5680" t="s">
        <v>3</v>
      </c>
      <c r="D5680" t="s">
        <v>126</v>
      </c>
      <c r="E5680">
        <v>177</v>
      </c>
      <c r="F5680">
        <v>110</v>
      </c>
      <c r="G5680">
        <v>9</v>
      </c>
      <c r="H5680">
        <v>2</v>
      </c>
      <c r="I5680">
        <v>5900</v>
      </c>
      <c r="J5680">
        <v>2</v>
      </c>
      <c r="K5680">
        <v>5900</v>
      </c>
      <c r="L5680">
        <v>2</v>
      </c>
      <c r="M5680">
        <v>26</v>
      </c>
      <c r="N5680">
        <v>167</v>
      </c>
      <c r="O5680">
        <f t="shared" si="184"/>
        <v>2024</v>
      </c>
      <c r="P5680">
        <f t="shared" si="185"/>
        <v>10</v>
      </c>
      <c r="Q5680" t="s">
        <v>785</v>
      </c>
      <c r="R5680" t="s">
        <v>805</v>
      </c>
    </row>
    <row r="5681" spans="1:18" x14ac:dyDescent="0.3">
      <c r="A5681" t="s">
        <v>627</v>
      </c>
      <c r="B5681" s="16">
        <v>45595</v>
      </c>
      <c r="C5681" t="s">
        <v>3</v>
      </c>
      <c r="D5681" t="s">
        <v>125</v>
      </c>
      <c r="E5681">
        <v>5</v>
      </c>
      <c r="F5681">
        <v>1</v>
      </c>
      <c r="G5681">
        <v>1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2</v>
      </c>
      <c r="N5681">
        <v>5</v>
      </c>
      <c r="O5681">
        <f t="shared" si="184"/>
        <v>2024</v>
      </c>
      <c r="P5681">
        <f t="shared" si="185"/>
        <v>10</v>
      </c>
      <c r="Q5681" t="s">
        <v>785</v>
      </c>
      <c r="R5681" t="s">
        <v>805</v>
      </c>
    </row>
    <row r="5682" spans="1:18" x14ac:dyDescent="0.3">
      <c r="A5682" t="s">
        <v>627</v>
      </c>
      <c r="B5682" s="16">
        <v>45595</v>
      </c>
      <c r="C5682" t="s">
        <v>3</v>
      </c>
      <c r="D5682" t="s">
        <v>123</v>
      </c>
      <c r="E5682">
        <v>426</v>
      </c>
      <c r="F5682">
        <v>170</v>
      </c>
      <c r="G5682">
        <v>32</v>
      </c>
      <c r="H5682">
        <v>11</v>
      </c>
      <c r="I5682">
        <v>21727</v>
      </c>
      <c r="J5682">
        <v>4</v>
      </c>
      <c r="K5682">
        <v>17747</v>
      </c>
      <c r="L5682">
        <v>3</v>
      </c>
      <c r="M5682">
        <v>125</v>
      </c>
      <c r="N5682">
        <v>390</v>
      </c>
      <c r="O5682">
        <f t="shared" si="184"/>
        <v>2024</v>
      </c>
      <c r="P5682">
        <f t="shared" si="185"/>
        <v>10</v>
      </c>
      <c r="Q5682" t="s">
        <v>785</v>
      </c>
      <c r="R5682" t="s">
        <v>805</v>
      </c>
    </row>
    <row r="5683" spans="1:18" x14ac:dyDescent="0.3">
      <c r="A5683" t="s">
        <v>627</v>
      </c>
      <c r="B5683" s="16">
        <v>45595</v>
      </c>
      <c r="C5683" t="s">
        <v>3</v>
      </c>
      <c r="D5683" t="s">
        <v>122</v>
      </c>
      <c r="E5683">
        <v>1</v>
      </c>
      <c r="F5683">
        <v>0</v>
      </c>
      <c r="G5683">
        <v>1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1</v>
      </c>
      <c r="O5683">
        <f t="shared" si="184"/>
        <v>2024</v>
      </c>
      <c r="P5683">
        <f t="shared" si="185"/>
        <v>10</v>
      </c>
      <c r="Q5683" t="s">
        <v>785</v>
      </c>
      <c r="R5683" t="s">
        <v>805</v>
      </c>
    </row>
    <row r="5684" spans="1:18" x14ac:dyDescent="0.3">
      <c r="A5684" t="s">
        <v>627</v>
      </c>
      <c r="B5684" s="16">
        <v>45595</v>
      </c>
      <c r="C5684" t="s">
        <v>3</v>
      </c>
      <c r="D5684" t="s">
        <v>121</v>
      </c>
      <c r="E5684">
        <v>1</v>
      </c>
      <c r="F5684">
        <v>1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1</v>
      </c>
      <c r="O5684">
        <f t="shared" si="184"/>
        <v>2024</v>
      </c>
      <c r="P5684">
        <f t="shared" si="185"/>
        <v>10</v>
      </c>
      <c r="Q5684" t="s">
        <v>785</v>
      </c>
      <c r="R5684" t="s">
        <v>805</v>
      </c>
    </row>
    <row r="5685" spans="1:18" x14ac:dyDescent="0.3">
      <c r="A5685" t="s">
        <v>627</v>
      </c>
      <c r="B5685" s="16">
        <v>45595</v>
      </c>
      <c r="C5685" t="s">
        <v>3</v>
      </c>
      <c r="D5685" t="s">
        <v>119</v>
      </c>
      <c r="E5685">
        <v>462</v>
      </c>
      <c r="F5685">
        <v>113</v>
      </c>
      <c r="G5685">
        <v>30</v>
      </c>
      <c r="H5685">
        <v>12</v>
      </c>
      <c r="I5685">
        <v>56426.5</v>
      </c>
      <c r="J5685">
        <v>12</v>
      </c>
      <c r="K5685">
        <v>24270</v>
      </c>
      <c r="L5685">
        <v>8</v>
      </c>
      <c r="M5685">
        <v>91</v>
      </c>
      <c r="N5685">
        <v>421</v>
      </c>
      <c r="O5685">
        <f t="shared" si="184"/>
        <v>2024</v>
      </c>
      <c r="P5685">
        <f t="shared" si="185"/>
        <v>10</v>
      </c>
      <c r="Q5685" t="s">
        <v>785</v>
      </c>
      <c r="R5685" t="s">
        <v>805</v>
      </c>
    </row>
    <row r="5686" spans="1:18" x14ac:dyDescent="0.3">
      <c r="A5686" t="s">
        <v>627</v>
      </c>
      <c r="B5686" s="16">
        <v>45595</v>
      </c>
      <c r="C5686" t="s">
        <v>3</v>
      </c>
      <c r="D5686" t="s">
        <v>252</v>
      </c>
      <c r="E5686">
        <v>1</v>
      </c>
      <c r="F5686">
        <v>1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1</v>
      </c>
      <c r="O5686">
        <f t="shared" si="184"/>
        <v>2024</v>
      </c>
      <c r="P5686">
        <f t="shared" si="185"/>
        <v>10</v>
      </c>
      <c r="Q5686" t="s">
        <v>785</v>
      </c>
      <c r="R5686" t="s">
        <v>805</v>
      </c>
    </row>
    <row r="5687" spans="1:18" x14ac:dyDescent="0.3">
      <c r="A5687" t="s">
        <v>627</v>
      </c>
      <c r="B5687" s="16">
        <v>45595</v>
      </c>
      <c r="C5687" t="s">
        <v>3</v>
      </c>
      <c r="D5687" t="s">
        <v>117</v>
      </c>
      <c r="E5687">
        <v>2</v>
      </c>
      <c r="F5687">
        <v>1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1</v>
      </c>
      <c r="N5687">
        <v>2</v>
      </c>
      <c r="O5687">
        <f t="shared" si="184"/>
        <v>2024</v>
      </c>
      <c r="P5687">
        <f t="shared" si="185"/>
        <v>10</v>
      </c>
      <c r="Q5687" t="s">
        <v>785</v>
      </c>
      <c r="R5687" t="s">
        <v>805</v>
      </c>
    </row>
    <row r="5688" spans="1:18" x14ac:dyDescent="0.3">
      <c r="A5688" t="s">
        <v>627</v>
      </c>
      <c r="B5688" s="16">
        <v>45595</v>
      </c>
      <c r="C5688" t="s">
        <v>3</v>
      </c>
      <c r="D5688" t="s">
        <v>115</v>
      </c>
      <c r="E5688">
        <v>2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2</v>
      </c>
      <c r="O5688">
        <f t="shared" si="184"/>
        <v>2024</v>
      </c>
      <c r="P5688">
        <f t="shared" si="185"/>
        <v>10</v>
      </c>
      <c r="Q5688" t="s">
        <v>785</v>
      </c>
      <c r="R5688" t="s">
        <v>805</v>
      </c>
    </row>
    <row r="5689" spans="1:18" x14ac:dyDescent="0.3">
      <c r="A5689" t="s">
        <v>627</v>
      </c>
      <c r="B5689" s="16">
        <v>45595</v>
      </c>
      <c r="C5689" t="s">
        <v>3</v>
      </c>
      <c r="D5689" t="s">
        <v>114</v>
      </c>
      <c r="E5689">
        <v>181</v>
      </c>
      <c r="F5689">
        <v>87</v>
      </c>
      <c r="G5689">
        <v>5</v>
      </c>
      <c r="H5689">
        <v>1</v>
      </c>
      <c r="I5689">
        <v>3900</v>
      </c>
      <c r="J5689">
        <v>1</v>
      </c>
      <c r="K5689">
        <v>0</v>
      </c>
      <c r="L5689">
        <v>0</v>
      </c>
      <c r="M5689">
        <v>18</v>
      </c>
      <c r="N5689">
        <v>170</v>
      </c>
      <c r="O5689">
        <f t="shared" si="184"/>
        <v>2024</v>
      </c>
      <c r="P5689">
        <f t="shared" si="185"/>
        <v>10</v>
      </c>
      <c r="Q5689" t="s">
        <v>785</v>
      </c>
      <c r="R5689" t="s">
        <v>805</v>
      </c>
    </row>
    <row r="5690" spans="1:18" x14ac:dyDescent="0.3">
      <c r="A5690" t="s">
        <v>627</v>
      </c>
      <c r="B5690" s="16">
        <v>45595</v>
      </c>
      <c r="C5690" t="s">
        <v>3</v>
      </c>
      <c r="D5690" t="s">
        <v>113</v>
      </c>
      <c r="E5690">
        <v>162</v>
      </c>
      <c r="F5690">
        <v>91</v>
      </c>
      <c r="G5690">
        <v>8</v>
      </c>
      <c r="H5690">
        <v>1</v>
      </c>
      <c r="I5690">
        <v>11330</v>
      </c>
      <c r="J5690">
        <v>2</v>
      </c>
      <c r="K5690">
        <v>11330</v>
      </c>
      <c r="L5690">
        <v>2</v>
      </c>
      <c r="M5690">
        <v>96</v>
      </c>
      <c r="N5690">
        <v>78</v>
      </c>
      <c r="O5690">
        <f t="shared" si="184"/>
        <v>2024</v>
      </c>
      <c r="P5690">
        <f t="shared" si="185"/>
        <v>10</v>
      </c>
      <c r="Q5690" t="s">
        <v>785</v>
      </c>
      <c r="R5690" t="s">
        <v>805</v>
      </c>
    </row>
    <row r="5691" spans="1:18" x14ac:dyDescent="0.3">
      <c r="A5691" t="s">
        <v>627</v>
      </c>
      <c r="B5691" s="16">
        <v>45595</v>
      </c>
      <c r="C5691" t="s">
        <v>3</v>
      </c>
      <c r="D5691" t="s">
        <v>112</v>
      </c>
      <c r="E5691">
        <v>16</v>
      </c>
      <c r="F5691">
        <v>4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16</v>
      </c>
      <c r="O5691">
        <f t="shared" si="184"/>
        <v>2024</v>
      </c>
      <c r="P5691">
        <f t="shared" si="185"/>
        <v>10</v>
      </c>
      <c r="Q5691" t="s">
        <v>785</v>
      </c>
      <c r="R5691" t="s">
        <v>805</v>
      </c>
    </row>
    <row r="5692" spans="1:18" x14ac:dyDescent="0.3">
      <c r="A5692" t="s">
        <v>627</v>
      </c>
      <c r="B5692" s="16">
        <v>45594</v>
      </c>
      <c r="C5692" t="s">
        <v>2</v>
      </c>
      <c r="D5692" t="s">
        <v>4</v>
      </c>
      <c r="E5692">
        <v>310</v>
      </c>
      <c r="F5692">
        <v>104</v>
      </c>
      <c r="G5692">
        <v>16</v>
      </c>
      <c r="H5692">
        <v>2</v>
      </c>
      <c r="I5692">
        <v>0</v>
      </c>
      <c r="J5692">
        <v>0</v>
      </c>
      <c r="K5692">
        <v>0</v>
      </c>
      <c r="L5692">
        <v>0</v>
      </c>
      <c r="M5692">
        <v>21</v>
      </c>
      <c r="N5692">
        <v>303</v>
      </c>
      <c r="O5692">
        <f t="shared" si="184"/>
        <v>2024</v>
      </c>
      <c r="P5692">
        <f t="shared" si="185"/>
        <v>10</v>
      </c>
      <c r="Q5692" t="s">
        <v>785</v>
      </c>
      <c r="R5692" t="s">
        <v>805</v>
      </c>
    </row>
    <row r="5693" spans="1:18" x14ac:dyDescent="0.3">
      <c r="A5693" t="s">
        <v>627</v>
      </c>
      <c r="B5693" s="16">
        <v>45594</v>
      </c>
      <c r="C5693" t="s">
        <v>2</v>
      </c>
      <c r="D5693" t="s">
        <v>57</v>
      </c>
      <c r="E5693">
        <v>13529</v>
      </c>
      <c r="F5693">
        <v>8111</v>
      </c>
      <c r="G5693">
        <v>306</v>
      </c>
      <c r="H5693">
        <v>162</v>
      </c>
      <c r="I5693">
        <v>237452</v>
      </c>
      <c r="J5693">
        <v>36</v>
      </c>
      <c r="K5693">
        <v>110522</v>
      </c>
      <c r="L5693">
        <v>24</v>
      </c>
      <c r="M5693">
        <v>883</v>
      </c>
      <c r="N5693">
        <v>13493</v>
      </c>
      <c r="O5693">
        <f t="shared" si="184"/>
        <v>2024</v>
      </c>
      <c r="P5693">
        <f t="shared" si="185"/>
        <v>10</v>
      </c>
      <c r="Q5693" t="s">
        <v>785</v>
      </c>
      <c r="R5693" t="s">
        <v>805</v>
      </c>
    </row>
    <row r="5694" spans="1:18" x14ac:dyDescent="0.3">
      <c r="A5694" t="s">
        <v>627</v>
      </c>
      <c r="B5694" s="16">
        <v>45594</v>
      </c>
      <c r="C5694" t="s">
        <v>2</v>
      </c>
      <c r="D5694" t="s">
        <v>52</v>
      </c>
      <c r="E5694">
        <v>679</v>
      </c>
      <c r="F5694">
        <v>538</v>
      </c>
      <c r="G5694">
        <v>39</v>
      </c>
      <c r="H5694">
        <v>7</v>
      </c>
      <c r="I5694">
        <v>27060</v>
      </c>
      <c r="J5694">
        <v>7</v>
      </c>
      <c r="K5694">
        <v>20770</v>
      </c>
      <c r="L5694">
        <v>5</v>
      </c>
      <c r="M5694">
        <v>678</v>
      </c>
      <c r="N5694">
        <v>415</v>
      </c>
      <c r="O5694">
        <f t="shared" si="184"/>
        <v>2024</v>
      </c>
      <c r="P5694">
        <f t="shared" si="185"/>
        <v>10</v>
      </c>
      <c r="Q5694" t="s">
        <v>785</v>
      </c>
      <c r="R5694" t="s">
        <v>805</v>
      </c>
    </row>
    <row r="5695" spans="1:18" x14ac:dyDescent="0.3">
      <c r="A5695" t="s">
        <v>627</v>
      </c>
      <c r="B5695" s="16">
        <v>45594</v>
      </c>
      <c r="C5695" t="s">
        <v>2</v>
      </c>
      <c r="D5695" t="s">
        <v>55</v>
      </c>
      <c r="E5695">
        <v>221</v>
      </c>
      <c r="F5695">
        <v>167</v>
      </c>
      <c r="G5695">
        <v>6</v>
      </c>
      <c r="H5695">
        <v>4</v>
      </c>
      <c r="I5695">
        <v>0</v>
      </c>
      <c r="J5695">
        <v>0</v>
      </c>
      <c r="K5695">
        <v>0</v>
      </c>
      <c r="L5695">
        <v>0</v>
      </c>
      <c r="M5695">
        <v>3</v>
      </c>
      <c r="N5695">
        <v>186</v>
      </c>
      <c r="O5695">
        <f t="shared" si="184"/>
        <v>2024</v>
      </c>
      <c r="P5695">
        <f t="shared" si="185"/>
        <v>10</v>
      </c>
      <c r="Q5695" t="s">
        <v>785</v>
      </c>
      <c r="R5695" t="s">
        <v>805</v>
      </c>
    </row>
    <row r="5696" spans="1:18" x14ac:dyDescent="0.3">
      <c r="A5696" t="s">
        <v>627</v>
      </c>
      <c r="B5696" s="16">
        <v>45594</v>
      </c>
      <c r="C5696" t="s">
        <v>3</v>
      </c>
      <c r="D5696" t="s">
        <v>155</v>
      </c>
      <c r="E5696">
        <v>9</v>
      </c>
      <c r="F5696">
        <v>5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9</v>
      </c>
      <c r="O5696">
        <f t="shared" si="184"/>
        <v>2024</v>
      </c>
      <c r="P5696">
        <f t="shared" si="185"/>
        <v>10</v>
      </c>
      <c r="Q5696" t="s">
        <v>785</v>
      </c>
      <c r="R5696" t="s">
        <v>805</v>
      </c>
    </row>
    <row r="5697" spans="1:18" x14ac:dyDescent="0.3">
      <c r="A5697" t="s">
        <v>627</v>
      </c>
      <c r="B5697" s="16">
        <v>45594</v>
      </c>
      <c r="C5697" t="s">
        <v>3</v>
      </c>
      <c r="D5697" t="s">
        <v>154</v>
      </c>
      <c r="E5697">
        <v>2</v>
      </c>
      <c r="F5697">
        <v>2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f t="shared" si="184"/>
        <v>2024</v>
      </c>
      <c r="P5697">
        <f t="shared" si="185"/>
        <v>10</v>
      </c>
      <c r="Q5697" t="s">
        <v>785</v>
      </c>
      <c r="R5697" t="s">
        <v>805</v>
      </c>
    </row>
    <row r="5698" spans="1:18" x14ac:dyDescent="0.3">
      <c r="A5698" t="s">
        <v>627</v>
      </c>
      <c r="B5698" s="16">
        <v>45594</v>
      </c>
      <c r="C5698" t="s">
        <v>3</v>
      </c>
      <c r="D5698" t="s">
        <v>153</v>
      </c>
      <c r="E5698">
        <v>632</v>
      </c>
      <c r="F5698">
        <v>123</v>
      </c>
      <c r="G5698">
        <v>58</v>
      </c>
      <c r="H5698">
        <v>4</v>
      </c>
      <c r="I5698">
        <v>164142</v>
      </c>
      <c r="J5698">
        <v>24</v>
      </c>
      <c r="K5698">
        <v>134513</v>
      </c>
      <c r="L5698">
        <v>21</v>
      </c>
      <c r="M5698">
        <v>151</v>
      </c>
      <c r="N5698">
        <v>614</v>
      </c>
      <c r="O5698">
        <f t="shared" si="184"/>
        <v>2024</v>
      </c>
      <c r="P5698">
        <f t="shared" si="185"/>
        <v>10</v>
      </c>
      <c r="Q5698" t="s">
        <v>785</v>
      </c>
      <c r="R5698" t="s">
        <v>805</v>
      </c>
    </row>
    <row r="5699" spans="1:18" x14ac:dyDescent="0.3">
      <c r="A5699" t="s">
        <v>627</v>
      </c>
      <c r="B5699" s="16">
        <v>45594</v>
      </c>
      <c r="C5699" t="s">
        <v>3</v>
      </c>
      <c r="D5699" t="s">
        <v>152</v>
      </c>
      <c r="E5699">
        <v>6</v>
      </c>
      <c r="F5699">
        <v>1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6</v>
      </c>
      <c r="O5699">
        <f t="shared" si="184"/>
        <v>2024</v>
      </c>
      <c r="P5699">
        <f t="shared" si="185"/>
        <v>10</v>
      </c>
      <c r="Q5699" t="s">
        <v>785</v>
      </c>
      <c r="R5699" t="s">
        <v>805</v>
      </c>
    </row>
    <row r="5700" spans="1:18" x14ac:dyDescent="0.3">
      <c r="A5700" t="s">
        <v>627</v>
      </c>
      <c r="B5700" s="16">
        <v>45594</v>
      </c>
      <c r="C5700" t="s">
        <v>3</v>
      </c>
      <c r="D5700" t="s">
        <v>150</v>
      </c>
      <c r="E5700">
        <v>4</v>
      </c>
      <c r="F5700">
        <v>1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4</v>
      </c>
      <c r="O5700">
        <f t="shared" si="184"/>
        <v>2024</v>
      </c>
      <c r="P5700">
        <f t="shared" si="185"/>
        <v>10</v>
      </c>
      <c r="Q5700" t="s">
        <v>785</v>
      </c>
      <c r="R5700" t="s">
        <v>805</v>
      </c>
    </row>
    <row r="5701" spans="1:18" x14ac:dyDescent="0.3">
      <c r="A5701" t="s">
        <v>627</v>
      </c>
      <c r="B5701" s="16">
        <v>45594</v>
      </c>
      <c r="C5701" t="s">
        <v>3</v>
      </c>
      <c r="D5701" t="s">
        <v>149</v>
      </c>
      <c r="E5701">
        <v>10</v>
      </c>
      <c r="F5701">
        <v>4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5</v>
      </c>
      <c r="N5701">
        <v>6</v>
      </c>
      <c r="O5701">
        <f t="shared" si="184"/>
        <v>2024</v>
      </c>
      <c r="P5701">
        <f t="shared" si="185"/>
        <v>10</v>
      </c>
      <c r="Q5701" t="s">
        <v>785</v>
      </c>
      <c r="R5701" t="s">
        <v>805</v>
      </c>
    </row>
    <row r="5702" spans="1:18" x14ac:dyDescent="0.3">
      <c r="A5702" t="s">
        <v>627</v>
      </c>
      <c r="B5702" s="16">
        <v>45594</v>
      </c>
      <c r="C5702" t="s">
        <v>3</v>
      </c>
      <c r="D5702" t="s">
        <v>148</v>
      </c>
      <c r="E5702">
        <v>3</v>
      </c>
      <c r="F5702">
        <v>2</v>
      </c>
      <c r="G5702">
        <v>0</v>
      </c>
      <c r="H5702">
        <v>1</v>
      </c>
      <c r="I5702">
        <v>0</v>
      </c>
      <c r="J5702">
        <v>0</v>
      </c>
      <c r="K5702">
        <v>0</v>
      </c>
      <c r="L5702">
        <v>0</v>
      </c>
      <c r="M5702">
        <v>1</v>
      </c>
      <c r="N5702">
        <v>2</v>
      </c>
      <c r="O5702">
        <f t="shared" si="184"/>
        <v>2024</v>
      </c>
      <c r="P5702">
        <f t="shared" si="185"/>
        <v>10</v>
      </c>
      <c r="Q5702" t="s">
        <v>785</v>
      </c>
      <c r="R5702" t="s">
        <v>805</v>
      </c>
    </row>
    <row r="5703" spans="1:18" x14ac:dyDescent="0.3">
      <c r="A5703" t="s">
        <v>627</v>
      </c>
      <c r="B5703" s="16">
        <v>45594</v>
      </c>
      <c r="C5703" t="s">
        <v>3</v>
      </c>
      <c r="D5703" t="s">
        <v>367</v>
      </c>
      <c r="E5703">
        <v>98</v>
      </c>
      <c r="F5703">
        <v>50</v>
      </c>
      <c r="G5703">
        <v>4</v>
      </c>
      <c r="H5703">
        <v>1</v>
      </c>
      <c r="I5703">
        <v>7288</v>
      </c>
      <c r="J5703">
        <v>2</v>
      </c>
      <c r="K5703">
        <v>4990</v>
      </c>
      <c r="L5703">
        <v>1</v>
      </c>
      <c r="M5703">
        <v>0</v>
      </c>
      <c r="N5703">
        <v>98</v>
      </c>
      <c r="O5703">
        <f t="shared" si="184"/>
        <v>2024</v>
      </c>
      <c r="P5703">
        <f t="shared" si="185"/>
        <v>10</v>
      </c>
      <c r="Q5703" t="s">
        <v>785</v>
      </c>
      <c r="R5703" t="s">
        <v>805</v>
      </c>
    </row>
    <row r="5704" spans="1:18" x14ac:dyDescent="0.3">
      <c r="A5704" t="s">
        <v>627</v>
      </c>
      <c r="B5704" s="16">
        <v>45594</v>
      </c>
      <c r="C5704" t="s">
        <v>3</v>
      </c>
      <c r="D5704" t="s">
        <v>251</v>
      </c>
      <c r="E5704">
        <v>550</v>
      </c>
      <c r="F5704">
        <v>210</v>
      </c>
      <c r="G5704">
        <v>14</v>
      </c>
      <c r="H5704">
        <v>5</v>
      </c>
      <c r="I5704">
        <v>28547.5</v>
      </c>
      <c r="J5704">
        <v>6</v>
      </c>
      <c r="K5704">
        <v>17617.5</v>
      </c>
      <c r="L5704">
        <v>5</v>
      </c>
      <c r="M5704">
        <v>84</v>
      </c>
      <c r="N5704">
        <v>502</v>
      </c>
      <c r="O5704">
        <f t="shared" si="184"/>
        <v>2024</v>
      </c>
      <c r="P5704">
        <f t="shared" si="185"/>
        <v>10</v>
      </c>
      <c r="Q5704" t="s">
        <v>785</v>
      </c>
      <c r="R5704" t="s">
        <v>805</v>
      </c>
    </row>
    <row r="5705" spans="1:18" x14ac:dyDescent="0.3">
      <c r="A5705" t="s">
        <v>627</v>
      </c>
      <c r="B5705" s="16">
        <v>45594</v>
      </c>
      <c r="C5705" t="s">
        <v>3</v>
      </c>
      <c r="D5705" t="s">
        <v>143</v>
      </c>
      <c r="E5705">
        <v>13</v>
      </c>
      <c r="F5705">
        <v>10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13</v>
      </c>
      <c r="O5705">
        <f t="shared" ref="O5705:O5768" si="186">YEAR(B5705)</f>
        <v>2024</v>
      </c>
      <c r="P5705">
        <f t="shared" ref="P5705:P5768" si="187">MONTH(B5705)</f>
        <v>10</v>
      </c>
      <c r="Q5705" t="s">
        <v>785</v>
      </c>
      <c r="R5705" t="s">
        <v>805</v>
      </c>
    </row>
    <row r="5706" spans="1:18" x14ac:dyDescent="0.3">
      <c r="A5706" t="s">
        <v>627</v>
      </c>
      <c r="B5706" s="16">
        <v>45594</v>
      </c>
      <c r="C5706" t="s">
        <v>3</v>
      </c>
      <c r="D5706" t="s">
        <v>141</v>
      </c>
      <c r="E5706">
        <v>10</v>
      </c>
      <c r="F5706">
        <v>10</v>
      </c>
      <c r="G5706">
        <v>0</v>
      </c>
      <c r="H5706">
        <v>1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10</v>
      </c>
      <c r="O5706">
        <f t="shared" si="186"/>
        <v>2024</v>
      </c>
      <c r="P5706">
        <f t="shared" si="187"/>
        <v>10</v>
      </c>
      <c r="Q5706" t="s">
        <v>785</v>
      </c>
      <c r="R5706" t="s">
        <v>805</v>
      </c>
    </row>
    <row r="5707" spans="1:18" x14ac:dyDescent="0.3">
      <c r="A5707" t="s">
        <v>627</v>
      </c>
      <c r="B5707" s="16">
        <v>45594</v>
      </c>
      <c r="C5707" t="s">
        <v>3</v>
      </c>
      <c r="D5707" t="s">
        <v>140</v>
      </c>
      <c r="E5707">
        <v>15</v>
      </c>
      <c r="F5707">
        <v>13</v>
      </c>
      <c r="G5707">
        <v>1</v>
      </c>
      <c r="H5707">
        <v>0</v>
      </c>
      <c r="I5707">
        <v>2990</v>
      </c>
      <c r="J5707">
        <v>1</v>
      </c>
      <c r="K5707">
        <v>2990</v>
      </c>
      <c r="L5707">
        <v>1</v>
      </c>
      <c r="M5707">
        <v>1</v>
      </c>
      <c r="N5707">
        <v>15</v>
      </c>
      <c r="O5707">
        <f t="shared" si="186"/>
        <v>2024</v>
      </c>
      <c r="P5707">
        <f t="shared" si="187"/>
        <v>10</v>
      </c>
      <c r="Q5707" t="s">
        <v>785</v>
      </c>
      <c r="R5707" t="s">
        <v>805</v>
      </c>
    </row>
    <row r="5708" spans="1:18" x14ac:dyDescent="0.3">
      <c r="A5708" t="s">
        <v>627</v>
      </c>
      <c r="B5708" s="16">
        <v>45594</v>
      </c>
      <c r="C5708" t="s">
        <v>3</v>
      </c>
      <c r="D5708" t="s">
        <v>139</v>
      </c>
      <c r="E5708">
        <v>1371</v>
      </c>
      <c r="F5708">
        <v>748</v>
      </c>
      <c r="G5708">
        <v>61</v>
      </c>
      <c r="H5708">
        <v>20</v>
      </c>
      <c r="I5708">
        <v>78570.5</v>
      </c>
      <c r="J5708">
        <v>11</v>
      </c>
      <c r="K5708">
        <v>66546.5</v>
      </c>
      <c r="L5708">
        <v>10</v>
      </c>
      <c r="M5708">
        <v>464</v>
      </c>
      <c r="N5708">
        <v>1233</v>
      </c>
      <c r="O5708">
        <f t="shared" si="186"/>
        <v>2024</v>
      </c>
      <c r="P5708">
        <f t="shared" si="187"/>
        <v>10</v>
      </c>
      <c r="Q5708" t="s">
        <v>785</v>
      </c>
      <c r="R5708" t="s">
        <v>805</v>
      </c>
    </row>
    <row r="5709" spans="1:18" x14ac:dyDescent="0.3">
      <c r="A5709" t="s">
        <v>627</v>
      </c>
      <c r="B5709" s="16">
        <v>45594</v>
      </c>
      <c r="C5709" t="s">
        <v>3</v>
      </c>
      <c r="D5709" t="s">
        <v>138</v>
      </c>
      <c r="E5709">
        <v>92</v>
      </c>
      <c r="F5709">
        <v>79</v>
      </c>
      <c r="G5709">
        <v>1</v>
      </c>
      <c r="H5709">
        <v>1</v>
      </c>
      <c r="I5709">
        <v>0</v>
      </c>
      <c r="J5709">
        <v>0</v>
      </c>
      <c r="K5709">
        <v>0</v>
      </c>
      <c r="L5709">
        <v>0</v>
      </c>
      <c r="M5709">
        <v>7</v>
      </c>
      <c r="N5709">
        <v>91</v>
      </c>
      <c r="O5709">
        <f t="shared" si="186"/>
        <v>2024</v>
      </c>
      <c r="P5709">
        <f t="shared" si="187"/>
        <v>10</v>
      </c>
      <c r="Q5709" t="s">
        <v>785</v>
      </c>
      <c r="R5709" t="s">
        <v>805</v>
      </c>
    </row>
    <row r="5710" spans="1:18" x14ac:dyDescent="0.3">
      <c r="A5710" t="s">
        <v>627</v>
      </c>
      <c r="B5710" s="16">
        <v>45594</v>
      </c>
      <c r="C5710" t="s">
        <v>3</v>
      </c>
      <c r="D5710" t="s">
        <v>137</v>
      </c>
      <c r="E5710">
        <v>8</v>
      </c>
      <c r="F5710">
        <v>4</v>
      </c>
      <c r="G5710">
        <v>0</v>
      </c>
      <c r="H5710">
        <v>0</v>
      </c>
      <c r="I5710">
        <v>1797</v>
      </c>
      <c r="J5710">
        <v>1</v>
      </c>
      <c r="K5710">
        <v>1797</v>
      </c>
      <c r="L5710">
        <v>1</v>
      </c>
      <c r="M5710">
        <v>2</v>
      </c>
      <c r="N5710">
        <v>8</v>
      </c>
      <c r="O5710">
        <f t="shared" si="186"/>
        <v>2024</v>
      </c>
      <c r="P5710">
        <f t="shared" si="187"/>
        <v>10</v>
      </c>
      <c r="Q5710" t="s">
        <v>785</v>
      </c>
      <c r="R5710" t="s">
        <v>805</v>
      </c>
    </row>
    <row r="5711" spans="1:18" x14ac:dyDescent="0.3">
      <c r="A5711" t="s">
        <v>627</v>
      </c>
      <c r="B5711" s="16">
        <v>45594</v>
      </c>
      <c r="C5711" t="s">
        <v>3</v>
      </c>
      <c r="D5711" t="s">
        <v>135</v>
      </c>
      <c r="E5711">
        <v>8</v>
      </c>
      <c r="F5711">
        <v>1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7</v>
      </c>
      <c r="O5711">
        <f t="shared" si="186"/>
        <v>2024</v>
      </c>
      <c r="P5711">
        <f t="shared" si="187"/>
        <v>10</v>
      </c>
      <c r="Q5711" t="s">
        <v>785</v>
      </c>
      <c r="R5711" t="s">
        <v>805</v>
      </c>
    </row>
    <row r="5712" spans="1:18" x14ac:dyDescent="0.3">
      <c r="A5712" t="s">
        <v>627</v>
      </c>
      <c r="B5712" s="16">
        <v>45594</v>
      </c>
      <c r="C5712" t="s">
        <v>3</v>
      </c>
      <c r="D5712" t="s">
        <v>133</v>
      </c>
      <c r="E5712">
        <v>41</v>
      </c>
      <c r="F5712">
        <v>22</v>
      </c>
      <c r="G5712">
        <v>3</v>
      </c>
      <c r="H5712">
        <v>0</v>
      </c>
      <c r="I5712">
        <v>5863</v>
      </c>
      <c r="J5712">
        <v>2</v>
      </c>
      <c r="K5712">
        <v>5863</v>
      </c>
      <c r="L5712">
        <v>2</v>
      </c>
      <c r="M5712">
        <v>8</v>
      </c>
      <c r="N5712">
        <v>39</v>
      </c>
      <c r="O5712">
        <f t="shared" si="186"/>
        <v>2024</v>
      </c>
      <c r="P5712">
        <f t="shared" si="187"/>
        <v>10</v>
      </c>
      <c r="Q5712" t="s">
        <v>785</v>
      </c>
      <c r="R5712" t="s">
        <v>805</v>
      </c>
    </row>
    <row r="5713" spans="1:18" x14ac:dyDescent="0.3">
      <c r="A5713" t="s">
        <v>627</v>
      </c>
      <c r="B5713" s="16">
        <v>45594</v>
      </c>
      <c r="C5713" t="s">
        <v>3</v>
      </c>
      <c r="D5713" t="s">
        <v>130</v>
      </c>
      <c r="E5713">
        <v>221</v>
      </c>
      <c r="F5713">
        <v>73</v>
      </c>
      <c r="G5713">
        <v>20</v>
      </c>
      <c r="H5713">
        <v>3</v>
      </c>
      <c r="I5713">
        <v>83129</v>
      </c>
      <c r="J5713">
        <v>16</v>
      </c>
      <c r="K5713">
        <v>67322</v>
      </c>
      <c r="L5713">
        <v>14</v>
      </c>
      <c r="M5713">
        <v>56</v>
      </c>
      <c r="N5713">
        <v>215</v>
      </c>
      <c r="O5713">
        <f t="shared" si="186"/>
        <v>2024</v>
      </c>
      <c r="P5713">
        <f t="shared" si="187"/>
        <v>10</v>
      </c>
      <c r="Q5713" t="s">
        <v>785</v>
      </c>
      <c r="R5713" t="s">
        <v>805</v>
      </c>
    </row>
    <row r="5714" spans="1:18" x14ac:dyDescent="0.3">
      <c r="A5714" t="s">
        <v>627</v>
      </c>
      <c r="B5714" s="16">
        <v>45594</v>
      </c>
      <c r="C5714" t="s">
        <v>3</v>
      </c>
      <c r="D5714" t="s">
        <v>128</v>
      </c>
      <c r="E5714">
        <v>1748</v>
      </c>
      <c r="F5714">
        <v>1320</v>
      </c>
      <c r="G5714">
        <v>61</v>
      </c>
      <c r="H5714">
        <v>19</v>
      </c>
      <c r="I5714">
        <v>76620</v>
      </c>
      <c r="J5714">
        <v>8</v>
      </c>
      <c r="K5714">
        <v>55100</v>
      </c>
      <c r="L5714">
        <v>7</v>
      </c>
      <c r="M5714">
        <v>320</v>
      </c>
      <c r="N5714">
        <v>1637</v>
      </c>
      <c r="O5714">
        <f t="shared" si="186"/>
        <v>2024</v>
      </c>
      <c r="P5714">
        <f t="shared" si="187"/>
        <v>10</v>
      </c>
      <c r="Q5714" t="s">
        <v>785</v>
      </c>
      <c r="R5714" t="s">
        <v>805</v>
      </c>
    </row>
    <row r="5715" spans="1:18" x14ac:dyDescent="0.3">
      <c r="A5715" t="s">
        <v>627</v>
      </c>
      <c r="B5715" s="16">
        <v>45594</v>
      </c>
      <c r="C5715" t="s">
        <v>3</v>
      </c>
      <c r="D5715" t="s">
        <v>127</v>
      </c>
      <c r="E5715">
        <v>5648</v>
      </c>
      <c r="F5715">
        <v>3361</v>
      </c>
      <c r="G5715">
        <v>108</v>
      </c>
      <c r="H5715">
        <v>44</v>
      </c>
      <c r="I5715">
        <v>44791.18</v>
      </c>
      <c r="J5715">
        <v>12</v>
      </c>
      <c r="K5715">
        <v>30561.18</v>
      </c>
      <c r="L5715">
        <v>9</v>
      </c>
      <c r="M5715">
        <v>1513</v>
      </c>
      <c r="N5715">
        <v>4492</v>
      </c>
      <c r="O5715">
        <f t="shared" si="186"/>
        <v>2024</v>
      </c>
      <c r="P5715">
        <f t="shared" si="187"/>
        <v>10</v>
      </c>
      <c r="Q5715" t="s">
        <v>785</v>
      </c>
      <c r="R5715" t="s">
        <v>805</v>
      </c>
    </row>
    <row r="5716" spans="1:18" x14ac:dyDescent="0.3">
      <c r="A5716" t="s">
        <v>627</v>
      </c>
      <c r="B5716" s="16">
        <v>45594</v>
      </c>
      <c r="C5716" t="s">
        <v>3</v>
      </c>
      <c r="D5716" t="s">
        <v>126</v>
      </c>
      <c r="E5716">
        <v>165</v>
      </c>
      <c r="F5716">
        <v>112</v>
      </c>
      <c r="G5716">
        <v>5</v>
      </c>
      <c r="H5716">
        <v>2</v>
      </c>
      <c r="I5716">
        <v>2750</v>
      </c>
      <c r="J5716">
        <v>1</v>
      </c>
      <c r="K5716">
        <v>2750</v>
      </c>
      <c r="L5716">
        <v>1</v>
      </c>
      <c r="M5716">
        <v>22</v>
      </c>
      <c r="N5716">
        <v>159</v>
      </c>
      <c r="O5716">
        <f t="shared" si="186"/>
        <v>2024</v>
      </c>
      <c r="P5716">
        <f t="shared" si="187"/>
        <v>10</v>
      </c>
      <c r="Q5716" t="s">
        <v>785</v>
      </c>
      <c r="R5716" t="s">
        <v>805</v>
      </c>
    </row>
    <row r="5717" spans="1:18" x14ac:dyDescent="0.3">
      <c r="A5717" t="s">
        <v>627</v>
      </c>
      <c r="B5717" s="16">
        <v>45594</v>
      </c>
      <c r="C5717" t="s">
        <v>3</v>
      </c>
      <c r="D5717" t="s">
        <v>125</v>
      </c>
      <c r="E5717">
        <v>7</v>
      </c>
      <c r="F5717">
        <v>4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1</v>
      </c>
      <c r="N5717">
        <v>7</v>
      </c>
      <c r="O5717">
        <f t="shared" si="186"/>
        <v>2024</v>
      </c>
      <c r="P5717">
        <f t="shared" si="187"/>
        <v>10</v>
      </c>
      <c r="Q5717" t="s">
        <v>785</v>
      </c>
      <c r="R5717" t="s">
        <v>805</v>
      </c>
    </row>
    <row r="5718" spans="1:18" x14ac:dyDescent="0.3">
      <c r="A5718" t="s">
        <v>627</v>
      </c>
      <c r="B5718" s="16">
        <v>45594</v>
      </c>
      <c r="C5718" t="s">
        <v>3</v>
      </c>
      <c r="D5718" t="s">
        <v>123</v>
      </c>
      <c r="E5718">
        <v>366</v>
      </c>
      <c r="F5718">
        <v>143</v>
      </c>
      <c r="G5718">
        <v>26</v>
      </c>
      <c r="H5718">
        <v>13</v>
      </c>
      <c r="I5718">
        <v>26001.5</v>
      </c>
      <c r="J5718">
        <v>6</v>
      </c>
      <c r="K5718">
        <v>20061.5</v>
      </c>
      <c r="L5718">
        <v>6</v>
      </c>
      <c r="M5718">
        <v>104</v>
      </c>
      <c r="N5718">
        <v>336</v>
      </c>
      <c r="O5718">
        <f t="shared" si="186"/>
        <v>2024</v>
      </c>
      <c r="P5718">
        <f t="shared" si="187"/>
        <v>10</v>
      </c>
      <c r="Q5718" t="s">
        <v>785</v>
      </c>
      <c r="R5718" t="s">
        <v>805</v>
      </c>
    </row>
    <row r="5719" spans="1:18" x14ac:dyDescent="0.3">
      <c r="A5719" t="s">
        <v>627</v>
      </c>
      <c r="B5719" s="16">
        <v>45594</v>
      </c>
      <c r="C5719" t="s">
        <v>3</v>
      </c>
      <c r="D5719" t="s">
        <v>121</v>
      </c>
      <c r="E5719">
        <v>5</v>
      </c>
      <c r="F5719">
        <v>5</v>
      </c>
      <c r="G5719">
        <v>0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5</v>
      </c>
      <c r="O5719">
        <f t="shared" si="186"/>
        <v>2024</v>
      </c>
      <c r="P5719">
        <f t="shared" si="187"/>
        <v>10</v>
      </c>
      <c r="Q5719" t="s">
        <v>785</v>
      </c>
      <c r="R5719" t="s">
        <v>805</v>
      </c>
    </row>
    <row r="5720" spans="1:18" x14ac:dyDescent="0.3">
      <c r="A5720" t="s">
        <v>627</v>
      </c>
      <c r="B5720" s="16">
        <v>45594</v>
      </c>
      <c r="C5720" t="s">
        <v>3</v>
      </c>
      <c r="D5720" t="s">
        <v>120</v>
      </c>
      <c r="E5720">
        <v>606</v>
      </c>
      <c r="F5720">
        <v>263</v>
      </c>
      <c r="G5720">
        <v>26</v>
      </c>
      <c r="H5720">
        <v>0</v>
      </c>
      <c r="I5720">
        <v>22000</v>
      </c>
      <c r="J5720">
        <v>4</v>
      </c>
      <c r="K5720">
        <v>14070</v>
      </c>
      <c r="L5720">
        <v>3</v>
      </c>
      <c r="M5720">
        <v>76</v>
      </c>
      <c r="N5720">
        <v>601</v>
      </c>
      <c r="O5720">
        <f t="shared" si="186"/>
        <v>2024</v>
      </c>
      <c r="P5720">
        <f t="shared" si="187"/>
        <v>10</v>
      </c>
      <c r="Q5720" t="s">
        <v>785</v>
      </c>
      <c r="R5720" t="s">
        <v>805</v>
      </c>
    </row>
    <row r="5721" spans="1:18" x14ac:dyDescent="0.3">
      <c r="A5721" t="s">
        <v>627</v>
      </c>
      <c r="B5721" s="16">
        <v>45594</v>
      </c>
      <c r="C5721" t="s">
        <v>3</v>
      </c>
      <c r="D5721" t="s">
        <v>119</v>
      </c>
      <c r="E5721">
        <v>454</v>
      </c>
      <c r="F5721">
        <v>96</v>
      </c>
      <c r="G5721">
        <v>25</v>
      </c>
      <c r="H5721">
        <v>10</v>
      </c>
      <c r="I5721">
        <v>66743.5</v>
      </c>
      <c r="J5721">
        <v>14</v>
      </c>
      <c r="K5721">
        <v>44779.5</v>
      </c>
      <c r="L5721">
        <v>11</v>
      </c>
      <c r="M5721">
        <v>92</v>
      </c>
      <c r="N5721">
        <v>437</v>
      </c>
      <c r="O5721">
        <f t="shared" si="186"/>
        <v>2024</v>
      </c>
      <c r="P5721">
        <f t="shared" si="187"/>
        <v>10</v>
      </c>
      <c r="Q5721" t="s">
        <v>785</v>
      </c>
      <c r="R5721" t="s">
        <v>805</v>
      </c>
    </row>
    <row r="5722" spans="1:18" x14ac:dyDescent="0.3">
      <c r="A5722" t="s">
        <v>627</v>
      </c>
      <c r="B5722" s="16">
        <v>45594</v>
      </c>
      <c r="C5722" t="s">
        <v>3</v>
      </c>
      <c r="D5722" t="s">
        <v>252</v>
      </c>
      <c r="E5722">
        <v>1</v>
      </c>
      <c r="F5722">
        <v>1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1</v>
      </c>
      <c r="O5722">
        <f t="shared" si="186"/>
        <v>2024</v>
      </c>
      <c r="P5722">
        <f t="shared" si="187"/>
        <v>10</v>
      </c>
      <c r="Q5722" t="s">
        <v>785</v>
      </c>
      <c r="R5722" t="s">
        <v>805</v>
      </c>
    </row>
    <row r="5723" spans="1:18" x14ac:dyDescent="0.3">
      <c r="A5723" t="s">
        <v>627</v>
      </c>
      <c r="B5723" s="16">
        <v>45594</v>
      </c>
      <c r="C5723" t="s">
        <v>3</v>
      </c>
      <c r="D5723" t="s">
        <v>117</v>
      </c>
      <c r="E5723">
        <v>2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2</v>
      </c>
      <c r="O5723">
        <f t="shared" si="186"/>
        <v>2024</v>
      </c>
      <c r="P5723">
        <f t="shared" si="187"/>
        <v>10</v>
      </c>
      <c r="Q5723" t="s">
        <v>785</v>
      </c>
      <c r="R5723" t="s">
        <v>805</v>
      </c>
    </row>
    <row r="5724" spans="1:18" x14ac:dyDescent="0.3">
      <c r="A5724" t="s">
        <v>627</v>
      </c>
      <c r="B5724" s="16">
        <v>45594</v>
      </c>
      <c r="C5724" t="s">
        <v>3</v>
      </c>
      <c r="D5724" t="s">
        <v>115</v>
      </c>
      <c r="E5724">
        <v>5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1</v>
      </c>
      <c r="N5724">
        <v>4</v>
      </c>
      <c r="O5724">
        <f t="shared" si="186"/>
        <v>2024</v>
      </c>
      <c r="P5724">
        <f t="shared" si="187"/>
        <v>10</v>
      </c>
      <c r="Q5724" t="s">
        <v>785</v>
      </c>
      <c r="R5724" t="s">
        <v>805</v>
      </c>
    </row>
    <row r="5725" spans="1:18" x14ac:dyDescent="0.3">
      <c r="A5725" t="s">
        <v>627</v>
      </c>
      <c r="B5725" s="16">
        <v>45594</v>
      </c>
      <c r="C5725" t="s">
        <v>3</v>
      </c>
      <c r="D5725" t="s">
        <v>114</v>
      </c>
      <c r="E5725">
        <v>185</v>
      </c>
      <c r="F5725">
        <v>90</v>
      </c>
      <c r="G5725">
        <v>8</v>
      </c>
      <c r="H5725">
        <v>7</v>
      </c>
      <c r="I5725">
        <v>8980</v>
      </c>
      <c r="J5725">
        <v>2</v>
      </c>
      <c r="K5725">
        <v>5580</v>
      </c>
      <c r="L5725">
        <v>1</v>
      </c>
      <c r="M5725">
        <v>24</v>
      </c>
      <c r="N5725">
        <v>178</v>
      </c>
      <c r="O5725">
        <f t="shared" si="186"/>
        <v>2024</v>
      </c>
      <c r="P5725">
        <f t="shared" si="187"/>
        <v>10</v>
      </c>
      <c r="Q5725" t="s">
        <v>785</v>
      </c>
      <c r="R5725" t="s">
        <v>805</v>
      </c>
    </row>
    <row r="5726" spans="1:18" x14ac:dyDescent="0.3">
      <c r="A5726" t="s">
        <v>627</v>
      </c>
      <c r="B5726" s="16">
        <v>45594</v>
      </c>
      <c r="C5726" t="s">
        <v>3</v>
      </c>
      <c r="D5726" t="s">
        <v>113</v>
      </c>
      <c r="E5726">
        <v>117</v>
      </c>
      <c r="F5726">
        <v>53</v>
      </c>
      <c r="G5726">
        <v>3</v>
      </c>
      <c r="H5726">
        <v>2</v>
      </c>
      <c r="I5726">
        <v>0</v>
      </c>
      <c r="J5726">
        <v>0</v>
      </c>
      <c r="K5726">
        <v>0</v>
      </c>
      <c r="L5726">
        <v>0</v>
      </c>
      <c r="M5726">
        <v>85</v>
      </c>
      <c r="N5726">
        <v>77</v>
      </c>
      <c r="O5726">
        <f t="shared" si="186"/>
        <v>2024</v>
      </c>
      <c r="P5726">
        <f t="shared" si="187"/>
        <v>10</v>
      </c>
      <c r="Q5726" t="s">
        <v>785</v>
      </c>
      <c r="R5726" t="s">
        <v>805</v>
      </c>
    </row>
    <row r="5727" spans="1:18" x14ac:dyDescent="0.3">
      <c r="A5727" t="s">
        <v>627</v>
      </c>
      <c r="B5727" s="16">
        <v>45594</v>
      </c>
      <c r="C5727" t="s">
        <v>3</v>
      </c>
      <c r="D5727" t="s">
        <v>112</v>
      </c>
      <c r="E5727">
        <v>14</v>
      </c>
      <c r="F5727">
        <v>4</v>
      </c>
      <c r="G5727">
        <v>1</v>
      </c>
      <c r="H5727">
        <v>0</v>
      </c>
      <c r="I5727">
        <v>3850</v>
      </c>
      <c r="J5727">
        <v>1</v>
      </c>
      <c r="K5727">
        <v>3850</v>
      </c>
      <c r="L5727">
        <v>1</v>
      </c>
      <c r="M5727">
        <v>2</v>
      </c>
      <c r="N5727">
        <v>14</v>
      </c>
      <c r="O5727">
        <f t="shared" si="186"/>
        <v>2024</v>
      </c>
      <c r="P5727">
        <f t="shared" si="187"/>
        <v>10</v>
      </c>
      <c r="Q5727" t="s">
        <v>785</v>
      </c>
      <c r="R5727" t="s">
        <v>805</v>
      </c>
    </row>
    <row r="5728" spans="1:18" x14ac:dyDescent="0.3">
      <c r="A5728" t="s">
        <v>627</v>
      </c>
      <c r="B5728" s="16">
        <v>45594</v>
      </c>
      <c r="C5728" t="s">
        <v>3</v>
      </c>
      <c r="D5728" t="s">
        <v>111</v>
      </c>
      <c r="E5728">
        <v>1</v>
      </c>
      <c r="F5728">
        <v>1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1</v>
      </c>
      <c r="O5728">
        <f t="shared" si="186"/>
        <v>2024</v>
      </c>
      <c r="P5728">
        <f t="shared" si="187"/>
        <v>10</v>
      </c>
      <c r="Q5728" t="s">
        <v>785</v>
      </c>
      <c r="R5728" t="s">
        <v>805</v>
      </c>
    </row>
    <row r="5729" spans="1:18" x14ac:dyDescent="0.3">
      <c r="A5729" t="s">
        <v>627</v>
      </c>
      <c r="B5729" s="16">
        <v>45593</v>
      </c>
      <c r="C5729" t="s">
        <v>2</v>
      </c>
      <c r="D5729" t="s">
        <v>4</v>
      </c>
      <c r="E5729">
        <v>309</v>
      </c>
      <c r="F5729">
        <v>120</v>
      </c>
      <c r="G5729">
        <v>12</v>
      </c>
      <c r="H5729">
        <v>1</v>
      </c>
      <c r="I5729">
        <v>0</v>
      </c>
      <c r="J5729">
        <v>0</v>
      </c>
      <c r="K5729">
        <v>0</v>
      </c>
      <c r="L5729">
        <v>0</v>
      </c>
      <c r="M5729">
        <v>25</v>
      </c>
      <c r="N5729">
        <v>295</v>
      </c>
      <c r="O5729">
        <f t="shared" si="186"/>
        <v>2024</v>
      </c>
      <c r="P5729">
        <f t="shared" si="187"/>
        <v>10</v>
      </c>
      <c r="Q5729" t="s">
        <v>785</v>
      </c>
      <c r="R5729" t="s">
        <v>805</v>
      </c>
    </row>
    <row r="5730" spans="1:18" x14ac:dyDescent="0.3">
      <c r="A5730" t="s">
        <v>627</v>
      </c>
      <c r="B5730" s="16">
        <v>45593</v>
      </c>
      <c r="C5730" t="s">
        <v>2</v>
      </c>
      <c r="D5730" t="s">
        <v>57</v>
      </c>
      <c r="E5730">
        <v>15873</v>
      </c>
      <c r="F5730">
        <v>9994</v>
      </c>
      <c r="G5730">
        <v>361</v>
      </c>
      <c r="H5730">
        <v>174</v>
      </c>
      <c r="I5730">
        <v>230666.5</v>
      </c>
      <c r="J5730">
        <v>35</v>
      </c>
      <c r="K5730">
        <v>80171</v>
      </c>
      <c r="L5730">
        <v>14</v>
      </c>
      <c r="M5730">
        <v>1080</v>
      </c>
      <c r="N5730">
        <v>15823</v>
      </c>
      <c r="O5730">
        <f t="shared" si="186"/>
        <v>2024</v>
      </c>
      <c r="P5730">
        <f t="shared" si="187"/>
        <v>10</v>
      </c>
      <c r="Q5730" t="s">
        <v>785</v>
      </c>
      <c r="R5730" t="s">
        <v>805</v>
      </c>
    </row>
    <row r="5731" spans="1:18" x14ac:dyDescent="0.3">
      <c r="A5731" t="s">
        <v>627</v>
      </c>
      <c r="B5731" s="16">
        <v>45593</v>
      </c>
      <c r="C5731" t="s">
        <v>2</v>
      </c>
      <c r="D5731" t="s">
        <v>52</v>
      </c>
      <c r="E5731">
        <v>695</v>
      </c>
      <c r="F5731">
        <v>539</v>
      </c>
      <c r="G5731">
        <v>30</v>
      </c>
      <c r="H5731">
        <v>11</v>
      </c>
      <c r="I5731">
        <v>19244.5</v>
      </c>
      <c r="J5731">
        <v>3</v>
      </c>
      <c r="K5731">
        <v>11579.5</v>
      </c>
      <c r="L5731">
        <v>2</v>
      </c>
      <c r="M5731">
        <v>694</v>
      </c>
      <c r="N5731">
        <v>429</v>
      </c>
      <c r="O5731">
        <f t="shared" si="186"/>
        <v>2024</v>
      </c>
      <c r="P5731">
        <f t="shared" si="187"/>
        <v>10</v>
      </c>
      <c r="Q5731" t="s">
        <v>785</v>
      </c>
      <c r="R5731" t="s">
        <v>805</v>
      </c>
    </row>
    <row r="5732" spans="1:18" x14ac:dyDescent="0.3">
      <c r="A5732" t="s">
        <v>627</v>
      </c>
      <c r="B5732" s="16">
        <v>45593</v>
      </c>
      <c r="C5732" t="s">
        <v>2</v>
      </c>
      <c r="D5732" t="s">
        <v>55</v>
      </c>
      <c r="E5732">
        <v>2102</v>
      </c>
      <c r="F5732">
        <v>1699</v>
      </c>
      <c r="G5732">
        <v>14</v>
      </c>
      <c r="H5732">
        <v>8</v>
      </c>
      <c r="I5732">
        <v>0</v>
      </c>
      <c r="J5732">
        <v>0</v>
      </c>
      <c r="K5732">
        <v>0</v>
      </c>
      <c r="L5732">
        <v>0</v>
      </c>
      <c r="M5732">
        <v>36</v>
      </c>
      <c r="N5732">
        <v>368</v>
      </c>
      <c r="O5732">
        <f t="shared" si="186"/>
        <v>2024</v>
      </c>
      <c r="P5732">
        <f t="shared" si="187"/>
        <v>10</v>
      </c>
      <c r="Q5732" t="s">
        <v>785</v>
      </c>
      <c r="R5732" t="s">
        <v>805</v>
      </c>
    </row>
    <row r="5733" spans="1:18" x14ac:dyDescent="0.3">
      <c r="A5733" t="s">
        <v>627</v>
      </c>
      <c r="B5733" s="16">
        <v>45593</v>
      </c>
      <c r="C5733" t="s">
        <v>3</v>
      </c>
      <c r="D5733" t="s">
        <v>155</v>
      </c>
      <c r="E5733">
        <v>6</v>
      </c>
      <c r="F5733">
        <v>5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6</v>
      </c>
      <c r="O5733">
        <f t="shared" si="186"/>
        <v>2024</v>
      </c>
      <c r="P5733">
        <f t="shared" si="187"/>
        <v>10</v>
      </c>
      <c r="Q5733" t="s">
        <v>785</v>
      </c>
      <c r="R5733" t="s">
        <v>805</v>
      </c>
    </row>
    <row r="5734" spans="1:18" x14ac:dyDescent="0.3">
      <c r="A5734" t="s">
        <v>627</v>
      </c>
      <c r="B5734" s="16">
        <v>45593</v>
      </c>
      <c r="C5734" t="s">
        <v>3</v>
      </c>
      <c r="D5734" t="s">
        <v>154</v>
      </c>
      <c r="E5734">
        <v>1091</v>
      </c>
      <c r="F5734">
        <v>951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2</v>
      </c>
      <c r="O5734">
        <f t="shared" si="186"/>
        <v>2024</v>
      </c>
      <c r="P5734">
        <f t="shared" si="187"/>
        <v>10</v>
      </c>
      <c r="Q5734" t="s">
        <v>785</v>
      </c>
      <c r="R5734" t="s">
        <v>805</v>
      </c>
    </row>
    <row r="5735" spans="1:18" x14ac:dyDescent="0.3">
      <c r="A5735" t="s">
        <v>627</v>
      </c>
      <c r="B5735" s="16">
        <v>45593</v>
      </c>
      <c r="C5735" t="s">
        <v>3</v>
      </c>
      <c r="D5735" t="s">
        <v>153</v>
      </c>
      <c r="E5735">
        <v>642</v>
      </c>
      <c r="F5735">
        <v>120</v>
      </c>
      <c r="G5735">
        <v>51</v>
      </c>
      <c r="H5735">
        <v>4</v>
      </c>
      <c r="I5735">
        <v>143192.57999999999</v>
      </c>
      <c r="J5735">
        <v>27</v>
      </c>
      <c r="K5735">
        <v>128830.58</v>
      </c>
      <c r="L5735">
        <v>23</v>
      </c>
      <c r="M5735">
        <v>114</v>
      </c>
      <c r="N5735">
        <v>624</v>
      </c>
      <c r="O5735">
        <f t="shared" si="186"/>
        <v>2024</v>
      </c>
      <c r="P5735">
        <f t="shared" si="187"/>
        <v>10</v>
      </c>
      <c r="Q5735" t="s">
        <v>785</v>
      </c>
      <c r="R5735" t="s">
        <v>805</v>
      </c>
    </row>
    <row r="5736" spans="1:18" x14ac:dyDescent="0.3">
      <c r="A5736" t="s">
        <v>627</v>
      </c>
      <c r="B5736" s="16">
        <v>45593</v>
      </c>
      <c r="C5736" t="s">
        <v>3</v>
      </c>
      <c r="D5736" t="s">
        <v>152</v>
      </c>
      <c r="E5736">
        <v>63</v>
      </c>
      <c r="F5736">
        <v>53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7</v>
      </c>
      <c r="O5736">
        <f t="shared" si="186"/>
        <v>2024</v>
      </c>
      <c r="P5736">
        <f t="shared" si="187"/>
        <v>10</v>
      </c>
      <c r="Q5736" t="s">
        <v>785</v>
      </c>
      <c r="R5736" t="s">
        <v>805</v>
      </c>
    </row>
    <row r="5737" spans="1:18" x14ac:dyDescent="0.3">
      <c r="A5737" t="s">
        <v>627</v>
      </c>
      <c r="B5737" s="16">
        <v>45593</v>
      </c>
      <c r="C5737" t="s">
        <v>3</v>
      </c>
      <c r="D5737" t="s">
        <v>150</v>
      </c>
      <c r="E5737">
        <v>12</v>
      </c>
      <c r="F5737">
        <v>8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1</v>
      </c>
      <c r="N5737">
        <v>2</v>
      </c>
      <c r="O5737">
        <f t="shared" si="186"/>
        <v>2024</v>
      </c>
      <c r="P5737">
        <f t="shared" si="187"/>
        <v>10</v>
      </c>
      <c r="Q5737" t="s">
        <v>785</v>
      </c>
      <c r="R5737" t="s">
        <v>805</v>
      </c>
    </row>
    <row r="5738" spans="1:18" x14ac:dyDescent="0.3">
      <c r="A5738" t="s">
        <v>627</v>
      </c>
      <c r="B5738" s="16">
        <v>45593</v>
      </c>
      <c r="C5738" t="s">
        <v>3</v>
      </c>
      <c r="D5738" t="s">
        <v>149</v>
      </c>
      <c r="E5738">
        <v>28</v>
      </c>
      <c r="F5738">
        <v>24</v>
      </c>
      <c r="G5738">
        <v>1</v>
      </c>
      <c r="H5738">
        <v>1</v>
      </c>
      <c r="I5738">
        <v>0</v>
      </c>
      <c r="J5738">
        <v>0</v>
      </c>
      <c r="K5738">
        <v>0</v>
      </c>
      <c r="L5738">
        <v>0</v>
      </c>
      <c r="M5738">
        <v>1</v>
      </c>
      <c r="N5738">
        <v>9</v>
      </c>
      <c r="O5738">
        <f t="shared" si="186"/>
        <v>2024</v>
      </c>
      <c r="P5738">
        <f t="shared" si="187"/>
        <v>10</v>
      </c>
      <c r="Q5738" t="s">
        <v>785</v>
      </c>
      <c r="R5738" t="s">
        <v>805</v>
      </c>
    </row>
    <row r="5739" spans="1:18" x14ac:dyDescent="0.3">
      <c r="A5739" t="s">
        <v>627</v>
      </c>
      <c r="B5739" s="16">
        <v>45593</v>
      </c>
      <c r="C5739" t="s">
        <v>3</v>
      </c>
      <c r="D5739" t="s">
        <v>148</v>
      </c>
      <c r="E5739">
        <v>1</v>
      </c>
      <c r="F5739">
        <v>1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1</v>
      </c>
      <c r="N5739">
        <v>0</v>
      </c>
      <c r="O5739">
        <f t="shared" si="186"/>
        <v>2024</v>
      </c>
      <c r="P5739">
        <f t="shared" si="187"/>
        <v>10</v>
      </c>
      <c r="Q5739" t="s">
        <v>785</v>
      </c>
      <c r="R5739" t="s">
        <v>805</v>
      </c>
    </row>
    <row r="5740" spans="1:18" x14ac:dyDescent="0.3">
      <c r="A5740" t="s">
        <v>627</v>
      </c>
      <c r="B5740" s="16">
        <v>45593</v>
      </c>
      <c r="C5740" t="s">
        <v>3</v>
      </c>
      <c r="D5740" t="s">
        <v>367</v>
      </c>
      <c r="E5740">
        <v>98</v>
      </c>
      <c r="F5740">
        <v>51</v>
      </c>
      <c r="G5740">
        <v>4</v>
      </c>
      <c r="H5740">
        <v>1</v>
      </c>
      <c r="I5740">
        <v>4975</v>
      </c>
      <c r="J5740">
        <v>1</v>
      </c>
      <c r="K5740">
        <v>4975</v>
      </c>
      <c r="L5740">
        <v>1</v>
      </c>
      <c r="M5740">
        <v>1</v>
      </c>
      <c r="N5740">
        <v>98</v>
      </c>
      <c r="O5740">
        <f t="shared" si="186"/>
        <v>2024</v>
      </c>
      <c r="P5740">
        <f t="shared" si="187"/>
        <v>10</v>
      </c>
      <c r="Q5740" t="s">
        <v>785</v>
      </c>
      <c r="R5740" t="s">
        <v>805</v>
      </c>
    </row>
    <row r="5741" spans="1:18" x14ac:dyDescent="0.3">
      <c r="A5741" t="s">
        <v>627</v>
      </c>
      <c r="B5741" s="16">
        <v>45593</v>
      </c>
      <c r="C5741" t="s">
        <v>3</v>
      </c>
      <c r="D5741" t="s">
        <v>251</v>
      </c>
      <c r="E5741">
        <v>5743</v>
      </c>
      <c r="F5741">
        <v>5251</v>
      </c>
      <c r="G5741">
        <v>20</v>
      </c>
      <c r="H5741">
        <v>5</v>
      </c>
      <c r="I5741">
        <v>51502</v>
      </c>
      <c r="J5741">
        <v>6</v>
      </c>
      <c r="K5741">
        <v>30049.5</v>
      </c>
      <c r="L5741">
        <v>4</v>
      </c>
      <c r="M5741">
        <v>111</v>
      </c>
      <c r="N5741">
        <v>566</v>
      </c>
      <c r="O5741">
        <f t="shared" si="186"/>
        <v>2024</v>
      </c>
      <c r="P5741">
        <f t="shared" si="187"/>
        <v>10</v>
      </c>
      <c r="Q5741" t="s">
        <v>785</v>
      </c>
      <c r="R5741" t="s">
        <v>805</v>
      </c>
    </row>
    <row r="5742" spans="1:18" x14ac:dyDescent="0.3">
      <c r="A5742" t="s">
        <v>627</v>
      </c>
      <c r="B5742" s="16">
        <v>45593</v>
      </c>
      <c r="C5742" t="s">
        <v>3</v>
      </c>
      <c r="D5742" t="s">
        <v>143</v>
      </c>
      <c r="E5742">
        <v>22</v>
      </c>
      <c r="F5742">
        <v>21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22</v>
      </c>
      <c r="O5742">
        <f t="shared" si="186"/>
        <v>2024</v>
      </c>
      <c r="P5742">
        <f t="shared" si="187"/>
        <v>10</v>
      </c>
      <c r="Q5742" t="s">
        <v>785</v>
      </c>
      <c r="R5742" t="s">
        <v>805</v>
      </c>
    </row>
    <row r="5743" spans="1:18" x14ac:dyDescent="0.3">
      <c r="A5743" t="s">
        <v>627</v>
      </c>
      <c r="B5743" s="16">
        <v>45593</v>
      </c>
      <c r="C5743" t="s">
        <v>3</v>
      </c>
      <c r="D5743" t="s">
        <v>141</v>
      </c>
      <c r="E5743">
        <v>5</v>
      </c>
      <c r="F5743">
        <v>5</v>
      </c>
      <c r="G5743">
        <v>1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1</v>
      </c>
      <c r="N5743">
        <v>4</v>
      </c>
      <c r="O5743">
        <f t="shared" si="186"/>
        <v>2024</v>
      </c>
      <c r="P5743">
        <f t="shared" si="187"/>
        <v>10</v>
      </c>
      <c r="Q5743" t="s">
        <v>785</v>
      </c>
      <c r="R5743" t="s">
        <v>805</v>
      </c>
    </row>
    <row r="5744" spans="1:18" x14ac:dyDescent="0.3">
      <c r="A5744" t="s">
        <v>627</v>
      </c>
      <c r="B5744" s="16">
        <v>45593</v>
      </c>
      <c r="C5744" t="s">
        <v>3</v>
      </c>
      <c r="D5744" t="s">
        <v>140</v>
      </c>
      <c r="E5744">
        <v>19</v>
      </c>
      <c r="F5744">
        <v>18</v>
      </c>
      <c r="G5744">
        <v>2</v>
      </c>
      <c r="H5744">
        <v>0</v>
      </c>
      <c r="I5744">
        <v>4950</v>
      </c>
      <c r="J5744">
        <v>1</v>
      </c>
      <c r="K5744">
        <v>4950</v>
      </c>
      <c r="L5744">
        <v>1</v>
      </c>
      <c r="M5744">
        <v>6</v>
      </c>
      <c r="N5744">
        <v>12</v>
      </c>
      <c r="O5744">
        <f t="shared" si="186"/>
        <v>2024</v>
      </c>
      <c r="P5744">
        <f t="shared" si="187"/>
        <v>10</v>
      </c>
      <c r="Q5744" t="s">
        <v>785</v>
      </c>
      <c r="R5744" t="s">
        <v>805</v>
      </c>
    </row>
    <row r="5745" spans="1:18" x14ac:dyDescent="0.3">
      <c r="A5745" t="s">
        <v>627</v>
      </c>
      <c r="B5745" s="16">
        <v>45593</v>
      </c>
      <c r="C5745" t="s">
        <v>3</v>
      </c>
      <c r="D5745" t="s">
        <v>139</v>
      </c>
      <c r="E5745">
        <v>1652</v>
      </c>
      <c r="F5745">
        <v>1012</v>
      </c>
      <c r="G5745">
        <v>63</v>
      </c>
      <c r="H5745">
        <v>21</v>
      </c>
      <c r="I5745">
        <v>77735.820000000007</v>
      </c>
      <c r="J5745">
        <v>16</v>
      </c>
      <c r="K5745">
        <v>71478.820000000007</v>
      </c>
      <c r="L5745">
        <v>14</v>
      </c>
      <c r="M5745">
        <v>513</v>
      </c>
      <c r="N5745">
        <v>1349</v>
      </c>
      <c r="O5745">
        <f t="shared" si="186"/>
        <v>2024</v>
      </c>
      <c r="P5745">
        <f t="shared" si="187"/>
        <v>10</v>
      </c>
      <c r="Q5745" t="s">
        <v>785</v>
      </c>
      <c r="R5745" t="s">
        <v>805</v>
      </c>
    </row>
    <row r="5746" spans="1:18" x14ac:dyDescent="0.3">
      <c r="A5746" t="s">
        <v>627</v>
      </c>
      <c r="B5746" s="16">
        <v>45593</v>
      </c>
      <c r="C5746" t="s">
        <v>3</v>
      </c>
      <c r="D5746" t="s">
        <v>138</v>
      </c>
      <c r="E5746">
        <v>124</v>
      </c>
      <c r="F5746">
        <v>103</v>
      </c>
      <c r="G5746">
        <v>2</v>
      </c>
      <c r="H5746">
        <v>1</v>
      </c>
      <c r="I5746">
        <v>0</v>
      </c>
      <c r="J5746">
        <v>0</v>
      </c>
      <c r="K5746">
        <v>0</v>
      </c>
      <c r="L5746">
        <v>0</v>
      </c>
      <c r="M5746">
        <v>7</v>
      </c>
      <c r="N5746">
        <v>124</v>
      </c>
      <c r="O5746">
        <f t="shared" si="186"/>
        <v>2024</v>
      </c>
      <c r="P5746">
        <f t="shared" si="187"/>
        <v>10</v>
      </c>
      <c r="Q5746" t="s">
        <v>785</v>
      </c>
      <c r="R5746" t="s">
        <v>805</v>
      </c>
    </row>
    <row r="5747" spans="1:18" x14ac:dyDescent="0.3">
      <c r="A5747" t="s">
        <v>627</v>
      </c>
      <c r="B5747" s="16">
        <v>45593</v>
      </c>
      <c r="C5747" t="s">
        <v>3</v>
      </c>
      <c r="D5747" t="s">
        <v>137</v>
      </c>
      <c r="E5747">
        <v>6</v>
      </c>
      <c r="F5747">
        <v>4</v>
      </c>
      <c r="G5747">
        <v>2</v>
      </c>
      <c r="H5747">
        <v>0</v>
      </c>
      <c r="I5747">
        <v>2995</v>
      </c>
      <c r="J5747">
        <v>1</v>
      </c>
      <c r="K5747">
        <v>2995</v>
      </c>
      <c r="L5747">
        <v>1</v>
      </c>
      <c r="M5747">
        <v>1</v>
      </c>
      <c r="N5747">
        <v>6</v>
      </c>
      <c r="O5747">
        <f t="shared" si="186"/>
        <v>2024</v>
      </c>
      <c r="P5747">
        <f t="shared" si="187"/>
        <v>10</v>
      </c>
      <c r="Q5747" t="s">
        <v>785</v>
      </c>
      <c r="R5747" t="s">
        <v>805</v>
      </c>
    </row>
    <row r="5748" spans="1:18" x14ac:dyDescent="0.3">
      <c r="A5748" t="s">
        <v>627</v>
      </c>
      <c r="B5748" s="16">
        <v>45593</v>
      </c>
      <c r="C5748" t="s">
        <v>3</v>
      </c>
      <c r="D5748" t="s">
        <v>135</v>
      </c>
      <c r="E5748">
        <v>55</v>
      </c>
      <c r="F5748">
        <v>40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17</v>
      </c>
      <c r="O5748">
        <f t="shared" si="186"/>
        <v>2024</v>
      </c>
      <c r="P5748">
        <f t="shared" si="187"/>
        <v>10</v>
      </c>
      <c r="Q5748" t="s">
        <v>785</v>
      </c>
      <c r="R5748" t="s">
        <v>805</v>
      </c>
    </row>
    <row r="5749" spans="1:18" x14ac:dyDescent="0.3">
      <c r="A5749" t="s">
        <v>627</v>
      </c>
      <c r="B5749" s="16">
        <v>45593</v>
      </c>
      <c r="C5749" t="s">
        <v>3</v>
      </c>
      <c r="D5749" t="s">
        <v>133</v>
      </c>
      <c r="E5749">
        <v>35</v>
      </c>
      <c r="F5749">
        <v>15</v>
      </c>
      <c r="G5749">
        <v>1</v>
      </c>
      <c r="H5749">
        <v>2</v>
      </c>
      <c r="I5749">
        <v>0</v>
      </c>
      <c r="J5749">
        <v>0</v>
      </c>
      <c r="K5749">
        <v>0</v>
      </c>
      <c r="L5749">
        <v>0</v>
      </c>
      <c r="M5749">
        <v>7</v>
      </c>
      <c r="N5749">
        <v>32</v>
      </c>
      <c r="O5749">
        <f t="shared" si="186"/>
        <v>2024</v>
      </c>
      <c r="P5749">
        <f t="shared" si="187"/>
        <v>10</v>
      </c>
      <c r="Q5749" t="s">
        <v>785</v>
      </c>
      <c r="R5749" t="s">
        <v>805</v>
      </c>
    </row>
    <row r="5750" spans="1:18" x14ac:dyDescent="0.3">
      <c r="A5750" t="s">
        <v>627</v>
      </c>
      <c r="B5750" s="16">
        <v>45593</v>
      </c>
      <c r="C5750" t="s">
        <v>3</v>
      </c>
      <c r="D5750" t="s">
        <v>130</v>
      </c>
      <c r="E5750">
        <v>397</v>
      </c>
      <c r="F5750">
        <v>145</v>
      </c>
      <c r="G5750">
        <v>27</v>
      </c>
      <c r="H5750">
        <v>9</v>
      </c>
      <c r="I5750">
        <v>61042</v>
      </c>
      <c r="J5750">
        <v>14</v>
      </c>
      <c r="K5750">
        <v>51325</v>
      </c>
      <c r="L5750">
        <v>11</v>
      </c>
      <c r="M5750">
        <v>90</v>
      </c>
      <c r="N5750">
        <v>377</v>
      </c>
      <c r="O5750">
        <f t="shared" si="186"/>
        <v>2024</v>
      </c>
      <c r="P5750">
        <f t="shared" si="187"/>
        <v>10</v>
      </c>
      <c r="Q5750" t="s">
        <v>785</v>
      </c>
      <c r="R5750" t="s">
        <v>805</v>
      </c>
    </row>
    <row r="5751" spans="1:18" x14ac:dyDescent="0.3">
      <c r="A5751" t="s">
        <v>627</v>
      </c>
      <c r="B5751" s="16">
        <v>45593</v>
      </c>
      <c r="C5751" t="s">
        <v>3</v>
      </c>
      <c r="D5751" t="s">
        <v>128</v>
      </c>
      <c r="E5751">
        <v>1681</v>
      </c>
      <c r="F5751">
        <v>1269</v>
      </c>
      <c r="G5751">
        <v>66</v>
      </c>
      <c r="H5751">
        <v>31</v>
      </c>
      <c r="I5751">
        <v>38237</v>
      </c>
      <c r="J5751">
        <v>5</v>
      </c>
      <c r="K5751">
        <v>35737</v>
      </c>
      <c r="L5751">
        <v>4</v>
      </c>
      <c r="M5751">
        <v>351</v>
      </c>
      <c r="N5751">
        <v>1520</v>
      </c>
      <c r="O5751">
        <f t="shared" si="186"/>
        <v>2024</v>
      </c>
      <c r="P5751">
        <f t="shared" si="187"/>
        <v>10</v>
      </c>
      <c r="Q5751" t="s">
        <v>785</v>
      </c>
      <c r="R5751" t="s">
        <v>805</v>
      </c>
    </row>
    <row r="5752" spans="1:18" x14ac:dyDescent="0.3">
      <c r="A5752" t="s">
        <v>627</v>
      </c>
      <c r="B5752" s="16">
        <v>45593</v>
      </c>
      <c r="C5752" t="s">
        <v>3</v>
      </c>
      <c r="D5752" t="s">
        <v>127</v>
      </c>
      <c r="E5752">
        <v>7570</v>
      </c>
      <c r="F5752">
        <v>5183</v>
      </c>
      <c r="G5752">
        <v>117</v>
      </c>
      <c r="H5752">
        <v>55</v>
      </c>
      <c r="I5752">
        <v>47747.68</v>
      </c>
      <c r="J5752">
        <v>11</v>
      </c>
      <c r="K5752">
        <v>34197.68</v>
      </c>
      <c r="L5752">
        <v>8</v>
      </c>
      <c r="M5752">
        <v>1516</v>
      </c>
      <c r="N5752">
        <v>4278</v>
      </c>
      <c r="O5752">
        <f t="shared" si="186"/>
        <v>2024</v>
      </c>
      <c r="P5752">
        <f t="shared" si="187"/>
        <v>10</v>
      </c>
      <c r="Q5752" t="s">
        <v>785</v>
      </c>
      <c r="R5752" t="s">
        <v>805</v>
      </c>
    </row>
    <row r="5753" spans="1:18" x14ac:dyDescent="0.3">
      <c r="A5753" t="s">
        <v>627</v>
      </c>
      <c r="B5753" s="16">
        <v>45593</v>
      </c>
      <c r="C5753" t="s">
        <v>3</v>
      </c>
      <c r="D5753" t="s">
        <v>126</v>
      </c>
      <c r="E5753">
        <v>217</v>
      </c>
      <c r="F5753">
        <v>159</v>
      </c>
      <c r="G5753">
        <v>9</v>
      </c>
      <c r="H5753">
        <v>5</v>
      </c>
      <c r="I5753">
        <v>0</v>
      </c>
      <c r="J5753">
        <v>0</v>
      </c>
      <c r="K5753">
        <v>0</v>
      </c>
      <c r="L5753">
        <v>0</v>
      </c>
      <c r="M5753">
        <v>23</v>
      </c>
      <c r="N5753">
        <v>216</v>
      </c>
      <c r="O5753">
        <f t="shared" si="186"/>
        <v>2024</v>
      </c>
      <c r="P5753">
        <f t="shared" si="187"/>
        <v>10</v>
      </c>
      <c r="Q5753" t="s">
        <v>785</v>
      </c>
      <c r="R5753" t="s">
        <v>805</v>
      </c>
    </row>
    <row r="5754" spans="1:18" x14ac:dyDescent="0.3">
      <c r="A5754" t="s">
        <v>627</v>
      </c>
      <c r="B5754" s="16">
        <v>45593</v>
      </c>
      <c r="C5754" t="s">
        <v>3</v>
      </c>
      <c r="D5754" t="s">
        <v>125</v>
      </c>
      <c r="E5754">
        <v>5</v>
      </c>
      <c r="F5754">
        <v>3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4</v>
      </c>
      <c r="N5754">
        <v>5</v>
      </c>
      <c r="O5754">
        <f t="shared" si="186"/>
        <v>2024</v>
      </c>
      <c r="P5754">
        <f t="shared" si="187"/>
        <v>10</v>
      </c>
      <c r="Q5754" t="s">
        <v>785</v>
      </c>
      <c r="R5754" t="s">
        <v>805</v>
      </c>
    </row>
    <row r="5755" spans="1:18" x14ac:dyDescent="0.3">
      <c r="A5755" t="s">
        <v>627</v>
      </c>
      <c r="B5755" s="16">
        <v>45593</v>
      </c>
      <c r="C5755" t="s">
        <v>3</v>
      </c>
      <c r="D5755" t="s">
        <v>123</v>
      </c>
      <c r="E5755">
        <v>387</v>
      </c>
      <c r="F5755">
        <v>161</v>
      </c>
      <c r="G5755">
        <v>29</v>
      </c>
      <c r="H5755">
        <v>5</v>
      </c>
      <c r="I5755">
        <v>47406.5</v>
      </c>
      <c r="J5755">
        <v>6</v>
      </c>
      <c r="K5755">
        <v>35984</v>
      </c>
      <c r="L5755">
        <v>4</v>
      </c>
      <c r="M5755">
        <v>103</v>
      </c>
      <c r="N5755">
        <v>351</v>
      </c>
      <c r="O5755">
        <f t="shared" si="186"/>
        <v>2024</v>
      </c>
      <c r="P5755">
        <f t="shared" si="187"/>
        <v>10</v>
      </c>
      <c r="Q5755" t="s">
        <v>785</v>
      </c>
      <c r="R5755" t="s">
        <v>805</v>
      </c>
    </row>
    <row r="5756" spans="1:18" x14ac:dyDescent="0.3">
      <c r="A5756" t="s">
        <v>627</v>
      </c>
      <c r="B5756" s="16">
        <v>45593</v>
      </c>
      <c r="C5756" t="s">
        <v>3</v>
      </c>
      <c r="D5756" t="s">
        <v>121</v>
      </c>
      <c r="E5756">
        <v>4</v>
      </c>
      <c r="F5756">
        <v>4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4</v>
      </c>
      <c r="O5756">
        <f t="shared" si="186"/>
        <v>2024</v>
      </c>
      <c r="P5756">
        <f t="shared" si="187"/>
        <v>10</v>
      </c>
      <c r="Q5756" t="s">
        <v>785</v>
      </c>
      <c r="R5756" t="s">
        <v>805</v>
      </c>
    </row>
    <row r="5757" spans="1:18" x14ac:dyDescent="0.3">
      <c r="A5757" t="s">
        <v>627</v>
      </c>
      <c r="B5757" s="16">
        <v>45593</v>
      </c>
      <c r="C5757" t="s">
        <v>3</v>
      </c>
      <c r="D5757" t="s">
        <v>120</v>
      </c>
      <c r="E5757">
        <v>545</v>
      </c>
      <c r="F5757">
        <v>240</v>
      </c>
      <c r="G5757">
        <v>17</v>
      </c>
      <c r="H5757">
        <v>0</v>
      </c>
      <c r="I5757">
        <v>25811</v>
      </c>
      <c r="J5757">
        <v>6</v>
      </c>
      <c r="K5757">
        <v>12840</v>
      </c>
      <c r="L5757">
        <v>3</v>
      </c>
      <c r="M5757">
        <v>80</v>
      </c>
      <c r="N5757">
        <v>534</v>
      </c>
      <c r="O5757">
        <f t="shared" si="186"/>
        <v>2024</v>
      </c>
      <c r="P5757">
        <f t="shared" si="187"/>
        <v>10</v>
      </c>
      <c r="Q5757" t="s">
        <v>785</v>
      </c>
      <c r="R5757" t="s">
        <v>805</v>
      </c>
    </row>
    <row r="5758" spans="1:18" x14ac:dyDescent="0.3">
      <c r="A5758" t="s">
        <v>627</v>
      </c>
      <c r="B5758" s="16">
        <v>45593</v>
      </c>
      <c r="C5758" t="s">
        <v>3</v>
      </c>
      <c r="D5758" t="s">
        <v>119</v>
      </c>
      <c r="E5758">
        <v>471</v>
      </c>
      <c r="F5758">
        <v>124</v>
      </c>
      <c r="G5758">
        <v>27</v>
      </c>
      <c r="H5758">
        <v>7</v>
      </c>
      <c r="I5758">
        <v>65014.5</v>
      </c>
      <c r="J5758">
        <v>14</v>
      </c>
      <c r="K5758">
        <v>63451.5</v>
      </c>
      <c r="L5758">
        <v>11</v>
      </c>
      <c r="M5758">
        <v>112</v>
      </c>
      <c r="N5758">
        <v>424</v>
      </c>
      <c r="O5758">
        <f t="shared" si="186"/>
        <v>2024</v>
      </c>
      <c r="P5758">
        <f t="shared" si="187"/>
        <v>10</v>
      </c>
      <c r="Q5758" t="s">
        <v>785</v>
      </c>
      <c r="R5758" t="s">
        <v>805</v>
      </c>
    </row>
    <row r="5759" spans="1:18" x14ac:dyDescent="0.3">
      <c r="A5759" t="s">
        <v>627</v>
      </c>
      <c r="B5759" s="16">
        <v>45593</v>
      </c>
      <c r="C5759" t="s">
        <v>3</v>
      </c>
      <c r="D5759" t="s">
        <v>252</v>
      </c>
      <c r="E5759">
        <v>1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1</v>
      </c>
      <c r="O5759">
        <f t="shared" si="186"/>
        <v>2024</v>
      </c>
      <c r="P5759">
        <f t="shared" si="187"/>
        <v>10</v>
      </c>
      <c r="Q5759" t="s">
        <v>785</v>
      </c>
      <c r="R5759" t="s">
        <v>805</v>
      </c>
    </row>
    <row r="5760" spans="1:18" x14ac:dyDescent="0.3">
      <c r="A5760" t="s">
        <v>627</v>
      </c>
      <c r="B5760" s="16">
        <v>45593</v>
      </c>
      <c r="C5760" t="s">
        <v>3</v>
      </c>
      <c r="D5760" t="s">
        <v>117</v>
      </c>
      <c r="E5760">
        <v>1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1</v>
      </c>
      <c r="O5760">
        <f t="shared" si="186"/>
        <v>2024</v>
      </c>
      <c r="P5760">
        <f t="shared" si="187"/>
        <v>10</v>
      </c>
      <c r="Q5760" t="s">
        <v>785</v>
      </c>
      <c r="R5760" t="s">
        <v>805</v>
      </c>
    </row>
    <row r="5761" spans="1:18" x14ac:dyDescent="0.3">
      <c r="A5761" t="s">
        <v>627</v>
      </c>
      <c r="B5761" s="16">
        <v>45593</v>
      </c>
      <c r="C5761" t="s">
        <v>3</v>
      </c>
      <c r="D5761" t="s">
        <v>115</v>
      </c>
      <c r="E5761">
        <v>4</v>
      </c>
      <c r="F5761">
        <v>1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1</v>
      </c>
      <c r="N5761">
        <v>4</v>
      </c>
      <c r="O5761">
        <f t="shared" si="186"/>
        <v>2024</v>
      </c>
      <c r="P5761">
        <f t="shared" si="187"/>
        <v>10</v>
      </c>
      <c r="Q5761" t="s">
        <v>785</v>
      </c>
      <c r="R5761" t="s">
        <v>805</v>
      </c>
    </row>
    <row r="5762" spans="1:18" x14ac:dyDescent="0.3">
      <c r="A5762" t="s">
        <v>627</v>
      </c>
      <c r="B5762" s="16">
        <v>45593</v>
      </c>
      <c r="C5762" t="s">
        <v>3</v>
      </c>
      <c r="D5762" t="s">
        <v>114</v>
      </c>
      <c r="E5762">
        <v>172</v>
      </c>
      <c r="F5762">
        <v>78</v>
      </c>
      <c r="G5762">
        <v>9</v>
      </c>
      <c r="H5762">
        <v>1</v>
      </c>
      <c r="I5762">
        <v>0</v>
      </c>
      <c r="J5762">
        <v>0</v>
      </c>
      <c r="K5762">
        <v>0</v>
      </c>
      <c r="L5762">
        <v>0</v>
      </c>
      <c r="M5762">
        <v>20</v>
      </c>
      <c r="N5762">
        <v>169</v>
      </c>
      <c r="O5762">
        <f t="shared" si="186"/>
        <v>2024</v>
      </c>
      <c r="P5762">
        <f t="shared" si="187"/>
        <v>10</v>
      </c>
      <c r="Q5762" t="s">
        <v>785</v>
      </c>
      <c r="R5762" t="s">
        <v>805</v>
      </c>
    </row>
    <row r="5763" spans="1:18" x14ac:dyDescent="0.3">
      <c r="A5763" t="s">
        <v>627</v>
      </c>
      <c r="B5763" s="16">
        <v>45593</v>
      </c>
      <c r="C5763" t="s">
        <v>3</v>
      </c>
      <c r="D5763" t="s">
        <v>113</v>
      </c>
      <c r="E5763">
        <v>145</v>
      </c>
      <c r="F5763">
        <v>85</v>
      </c>
      <c r="G5763">
        <v>5</v>
      </c>
      <c r="H5763">
        <v>1</v>
      </c>
      <c r="I5763">
        <v>3900</v>
      </c>
      <c r="J5763">
        <v>1</v>
      </c>
      <c r="K5763">
        <v>0</v>
      </c>
      <c r="L5763">
        <v>0</v>
      </c>
      <c r="M5763">
        <v>104</v>
      </c>
      <c r="N5763">
        <v>75</v>
      </c>
      <c r="O5763">
        <f t="shared" si="186"/>
        <v>2024</v>
      </c>
      <c r="P5763">
        <f t="shared" si="187"/>
        <v>10</v>
      </c>
      <c r="Q5763" t="s">
        <v>785</v>
      </c>
      <c r="R5763" t="s">
        <v>805</v>
      </c>
    </row>
    <row r="5764" spans="1:18" x14ac:dyDescent="0.3">
      <c r="A5764" t="s">
        <v>627</v>
      </c>
      <c r="B5764" s="16">
        <v>45593</v>
      </c>
      <c r="C5764" t="s">
        <v>3</v>
      </c>
      <c r="D5764" t="s">
        <v>112</v>
      </c>
      <c r="E5764">
        <v>13</v>
      </c>
      <c r="F5764">
        <v>4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1</v>
      </c>
      <c r="N5764">
        <v>13</v>
      </c>
      <c r="O5764">
        <f t="shared" si="186"/>
        <v>2024</v>
      </c>
      <c r="P5764">
        <f t="shared" si="187"/>
        <v>10</v>
      </c>
      <c r="Q5764" t="s">
        <v>785</v>
      </c>
      <c r="R5764" t="s">
        <v>805</v>
      </c>
    </row>
    <row r="5765" spans="1:18" x14ac:dyDescent="0.3">
      <c r="A5765" t="s">
        <v>627</v>
      </c>
      <c r="B5765" s="16">
        <v>45593</v>
      </c>
      <c r="C5765" t="s">
        <v>3</v>
      </c>
      <c r="D5765" t="s">
        <v>111</v>
      </c>
      <c r="E5765">
        <v>1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1</v>
      </c>
      <c r="O5765">
        <f t="shared" si="186"/>
        <v>2024</v>
      </c>
      <c r="P5765">
        <f t="shared" si="187"/>
        <v>10</v>
      </c>
      <c r="Q5765" t="s">
        <v>785</v>
      </c>
      <c r="R5765" t="s">
        <v>805</v>
      </c>
    </row>
    <row r="5766" spans="1:18" x14ac:dyDescent="0.3">
      <c r="A5766" t="s">
        <v>627</v>
      </c>
      <c r="B5766" s="16">
        <v>45592</v>
      </c>
      <c r="C5766" t="s">
        <v>2</v>
      </c>
      <c r="D5766" t="s">
        <v>4</v>
      </c>
      <c r="E5766">
        <v>350</v>
      </c>
      <c r="F5766">
        <v>125</v>
      </c>
      <c r="G5766">
        <v>18</v>
      </c>
      <c r="H5766">
        <v>0</v>
      </c>
      <c r="I5766">
        <v>20932.5</v>
      </c>
      <c r="J5766">
        <v>3</v>
      </c>
      <c r="K5766">
        <v>20932.5</v>
      </c>
      <c r="L5766">
        <v>3</v>
      </c>
      <c r="M5766">
        <v>30</v>
      </c>
      <c r="N5766">
        <v>336</v>
      </c>
      <c r="O5766">
        <f t="shared" si="186"/>
        <v>2024</v>
      </c>
      <c r="P5766">
        <f t="shared" si="187"/>
        <v>10</v>
      </c>
      <c r="Q5766" t="s">
        <v>785</v>
      </c>
      <c r="R5766" t="s">
        <v>805</v>
      </c>
    </row>
    <row r="5767" spans="1:18" x14ac:dyDescent="0.3">
      <c r="A5767" t="s">
        <v>627</v>
      </c>
      <c r="B5767" s="16">
        <v>45592</v>
      </c>
      <c r="C5767" t="s">
        <v>2</v>
      </c>
      <c r="D5767" t="s">
        <v>57</v>
      </c>
      <c r="E5767">
        <v>12647</v>
      </c>
      <c r="F5767">
        <v>7115</v>
      </c>
      <c r="G5767">
        <v>349</v>
      </c>
      <c r="H5767">
        <v>172</v>
      </c>
      <c r="I5767">
        <v>240754.93</v>
      </c>
      <c r="J5767">
        <v>46</v>
      </c>
      <c r="K5767">
        <v>149809.43</v>
      </c>
      <c r="L5767">
        <v>32</v>
      </c>
      <c r="M5767">
        <v>961</v>
      </c>
      <c r="N5767">
        <v>12618</v>
      </c>
      <c r="O5767">
        <f t="shared" si="186"/>
        <v>2024</v>
      </c>
      <c r="P5767">
        <f t="shared" si="187"/>
        <v>10</v>
      </c>
      <c r="Q5767" t="s">
        <v>785</v>
      </c>
      <c r="R5767" t="s">
        <v>805</v>
      </c>
    </row>
    <row r="5768" spans="1:18" x14ac:dyDescent="0.3">
      <c r="A5768" t="s">
        <v>627</v>
      </c>
      <c r="B5768" s="16">
        <v>45592</v>
      </c>
      <c r="C5768" t="s">
        <v>2</v>
      </c>
      <c r="D5768" t="s">
        <v>52</v>
      </c>
      <c r="E5768">
        <v>683</v>
      </c>
      <c r="F5768">
        <v>533</v>
      </c>
      <c r="G5768">
        <v>33</v>
      </c>
      <c r="H5768">
        <v>7</v>
      </c>
      <c r="I5768">
        <v>35150</v>
      </c>
      <c r="J5768">
        <v>5</v>
      </c>
      <c r="K5768">
        <v>35150</v>
      </c>
      <c r="L5768">
        <v>5</v>
      </c>
      <c r="M5768">
        <v>683</v>
      </c>
      <c r="N5768">
        <v>404</v>
      </c>
      <c r="O5768">
        <f t="shared" si="186"/>
        <v>2024</v>
      </c>
      <c r="P5768">
        <f t="shared" si="187"/>
        <v>10</v>
      </c>
      <c r="Q5768" t="s">
        <v>785</v>
      </c>
      <c r="R5768" t="s">
        <v>805</v>
      </c>
    </row>
    <row r="5769" spans="1:18" x14ac:dyDescent="0.3">
      <c r="A5769" t="s">
        <v>627</v>
      </c>
      <c r="B5769" s="16">
        <v>45592</v>
      </c>
      <c r="C5769" t="s">
        <v>2</v>
      </c>
      <c r="D5769" t="s">
        <v>55</v>
      </c>
      <c r="E5769">
        <v>257</v>
      </c>
      <c r="F5769">
        <v>194</v>
      </c>
      <c r="G5769">
        <v>8</v>
      </c>
      <c r="H5769">
        <v>7</v>
      </c>
      <c r="I5769">
        <v>0</v>
      </c>
      <c r="J5769">
        <v>0</v>
      </c>
      <c r="K5769">
        <v>0</v>
      </c>
      <c r="L5769">
        <v>0</v>
      </c>
      <c r="M5769">
        <v>6</v>
      </c>
      <c r="N5769">
        <v>215</v>
      </c>
      <c r="O5769">
        <f t="shared" ref="O5769:O5832" si="188">YEAR(B5769)</f>
        <v>2024</v>
      </c>
      <c r="P5769">
        <f t="shared" ref="P5769:P5832" si="189">MONTH(B5769)</f>
        <v>10</v>
      </c>
      <c r="Q5769" t="s">
        <v>785</v>
      </c>
      <c r="R5769" t="s">
        <v>805</v>
      </c>
    </row>
    <row r="5770" spans="1:18" x14ac:dyDescent="0.3">
      <c r="A5770" t="s">
        <v>627</v>
      </c>
      <c r="B5770" s="16">
        <v>45592</v>
      </c>
      <c r="C5770" t="s">
        <v>3</v>
      </c>
      <c r="D5770" t="s">
        <v>155</v>
      </c>
      <c r="E5770">
        <v>2</v>
      </c>
      <c r="F5770">
        <v>1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2</v>
      </c>
      <c r="O5770">
        <f t="shared" si="188"/>
        <v>2024</v>
      </c>
      <c r="P5770">
        <f t="shared" si="189"/>
        <v>10</v>
      </c>
      <c r="Q5770" t="s">
        <v>785</v>
      </c>
      <c r="R5770" t="s">
        <v>805</v>
      </c>
    </row>
    <row r="5771" spans="1:18" x14ac:dyDescent="0.3">
      <c r="A5771" t="s">
        <v>627</v>
      </c>
      <c r="B5771" s="16">
        <v>45592</v>
      </c>
      <c r="C5771" t="s">
        <v>3</v>
      </c>
      <c r="D5771" t="s">
        <v>153</v>
      </c>
      <c r="E5771">
        <v>612</v>
      </c>
      <c r="F5771">
        <v>92</v>
      </c>
      <c r="G5771">
        <v>67</v>
      </c>
      <c r="H5771">
        <v>5</v>
      </c>
      <c r="I5771">
        <v>281577.92</v>
      </c>
      <c r="J5771">
        <v>49</v>
      </c>
      <c r="K5771">
        <v>219599.92</v>
      </c>
      <c r="L5771">
        <v>40</v>
      </c>
      <c r="M5771">
        <v>171</v>
      </c>
      <c r="N5771">
        <v>592</v>
      </c>
      <c r="O5771">
        <f t="shared" si="188"/>
        <v>2024</v>
      </c>
      <c r="P5771">
        <f t="shared" si="189"/>
        <v>10</v>
      </c>
      <c r="Q5771" t="s">
        <v>785</v>
      </c>
      <c r="R5771" t="s">
        <v>805</v>
      </c>
    </row>
    <row r="5772" spans="1:18" x14ac:dyDescent="0.3">
      <c r="A5772" t="s">
        <v>627</v>
      </c>
      <c r="B5772" s="16">
        <v>45592</v>
      </c>
      <c r="C5772" t="s">
        <v>3</v>
      </c>
      <c r="D5772" t="s">
        <v>152</v>
      </c>
      <c r="E5772">
        <v>12</v>
      </c>
      <c r="F5772">
        <v>5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12</v>
      </c>
      <c r="O5772">
        <f t="shared" si="188"/>
        <v>2024</v>
      </c>
      <c r="P5772">
        <f t="shared" si="189"/>
        <v>10</v>
      </c>
      <c r="Q5772" t="s">
        <v>785</v>
      </c>
      <c r="R5772" t="s">
        <v>805</v>
      </c>
    </row>
    <row r="5773" spans="1:18" x14ac:dyDescent="0.3">
      <c r="A5773" t="s">
        <v>627</v>
      </c>
      <c r="B5773" s="16">
        <v>45592</v>
      </c>
      <c r="C5773" t="s">
        <v>3</v>
      </c>
      <c r="D5773" t="s">
        <v>150</v>
      </c>
      <c r="E5773">
        <v>3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3</v>
      </c>
      <c r="O5773">
        <f t="shared" si="188"/>
        <v>2024</v>
      </c>
      <c r="P5773">
        <f t="shared" si="189"/>
        <v>10</v>
      </c>
      <c r="Q5773" t="s">
        <v>785</v>
      </c>
      <c r="R5773" t="s">
        <v>805</v>
      </c>
    </row>
    <row r="5774" spans="1:18" x14ac:dyDescent="0.3">
      <c r="A5774" t="s">
        <v>627</v>
      </c>
      <c r="B5774" s="16">
        <v>45592</v>
      </c>
      <c r="C5774" t="s">
        <v>3</v>
      </c>
      <c r="D5774" t="s">
        <v>149</v>
      </c>
      <c r="E5774">
        <v>9</v>
      </c>
      <c r="F5774">
        <v>7</v>
      </c>
      <c r="G5774">
        <v>1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3</v>
      </c>
      <c r="N5774">
        <v>8</v>
      </c>
      <c r="O5774">
        <f t="shared" si="188"/>
        <v>2024</v>
      </c>
      <c r="P5774">
        <f t="shared" si="189"/>
        <v>10</v>
      </c>
      <c r="Q5774" t="s">
        <v>785</v>
      </c>
      <c r="R5774" t="s">
        <v>805</v>
      </c>
    </row>
    <row r="5775" spans="1:18" x14ac:dyDescent="0.3">
      <c r="A5775" t="s">
        <v>627</v>
      </c>
      <c r="B5775" s="16">
        <v>45592</v>
      </c>
      <c r="C5775" t="s">
        <v>3</v>
      </c>
      <c r="D5775" t="s">
        <v>148</v>
      </c>
      <c r="E5775">
        <v>2</v>
      </c>
      <c r="F5775">
        <v>1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2</v>
      </c>
      <c r="N5775">
        <v>0</v>
      </c>
      <c r="O5775">
        <f t="shared" si="188"/>
        <v>2024</v>
      </c>
      <c r="P5775">
        <f t="shared" si="189"/>
        <v>10</v>
      </c>
      <c r="Q5775" t="s">
        <v>785</v>
      </c>
      <c r="R5775" t="s">
        <v>805</v>
      </c>
    </row>
    <row r="5776" spans="1:18" x14ac:dyDescent="0.3">
      <c r="A5776" t="s">
        <v>627</v>
      </c>
      <c r="B5776" s="16">
        <v>45592</v>
      </c>
      <c r="C5776" t="s">
        <v>3</v>
      </c>
      <c r="D5776" t="s">
        <v>367</v>
      </c>
      <c r="E5776">
        <v>100</v>
      </c>
      <c r="F5776">
        <v>52</v>
      </c>
      <c r="G5776">
        <v>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100</v>
      </c>
      <c r="O5776">
        <f t="shared" si="188"/>
        <v>2024</v>
      </c>
      <c r="P5776">
        <f t="shared" si="189"/>
        <v>10</v>
      </c>
      <c r="Q5776" t="s">
        <v>785</v>
      </c>
      <c r="R5776" t="s">
        <v>805</v>
      </c>
    </row>
    <row r="5777" spans="1:18" x14ac:dyDescent="0.3">
      <c r="A5777" t="s">
        <v>627</v>
      </c>
      <c r="B5777" s="16">
        <v>45592</v>
      </c>
      <c r="C5777" t="s">
        <v>3</v>
      </c>
      <c r="D5777" t="s">
        <v>146</v>
      </c>
      <c r="E5777">
        <v>2</v>
      </c>
      <c r="F5777">
        <v>1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2</v>
      </c>
      <c r="O5777">
        <f t="shared" si="188"/>
        <v>2024</v>
      </c>
      <c r="P5777">
        <f t="shared" si="189"/>
        <v>10</v>
      </c>
      <c r="Q5777" t="s">
        <v>785</v>
      </c>
      <c r="R5777" t="s">
        <v>805</v>
      </c>
    </row>
    <row r="5778" spans="1:18" x14ac:dyDescent="0.3">
      <c r="A5778" t="s">
        <v>627</v>
      </c>
      <c r="B5778" s="16">
        <v>45592</v>
      </c>
      <c r="C5778" t="s">
        <v>3</v>
      </c>
      <c r="D5778" t="s">
        <v>251</v>
      </c>
      <c r="E5778">
        <v>453</v>
      </c>
      <c r="F5778">
        <v>138</v>
      </c>
      <c r="G5778">
        <v>21</v>
      </c>
      <c r="H5778">
        <v>10</v>
      </c>
      <c r="I5778">
        <v>20612.52</v>
      </c>
      <c r="J5778">
        <v>7</v>
      </c>
      <c r="K5778">
        <v>20612.52</v>
      </c>
      <c r="L5778">
        <v>7</v>
      </c>
      <c r="M5778">
        <v>83</v>
      </c>
      <c r="N5778">
        <v>412</v>
      </c>
      <c r="O5778">
        <f t="shared" si="188"/>
        <v>2024</v>
      </c>
      <c r="P5778">
        <f t="shared" si="189"/>
        <v>10</v>
      </c>
      <c r="Q5778" t="s">
        <v>785</v>
      </c>
      <c r="R5778" t="s">
        <v>805</v>
      </c>
    </row>
    <row r="5779" spans="1:18" x14ac:dyDescent="0.3">
      <c r="A5779" t="s">
        <v>627</v>
      </c>
      <c r="B5779" s="16">
        <v>45592</v>
      </c>
      <c r="C5779" t="s">
        <v>3</v>
      </c>
      <c r="D5779" t="s">
        <v>143</v>
      </c>
      <c r="E5779">
        <v>19</v>
      </c>
      <c r="F5779">
        <v>17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19</v>
      </c>
      <c r="O5779">
        <f t="shared" si="188"/>
        <v>2024</v>
      </c>
      <c r="P5779">
        <f t="shared" si="189"/>
        <v>10</v>
      </c>
      <c r="Q5779" t="s">
        <v>785</v>
      </c>
      <c r="R5779" t="s">
        <v>805</v>
      </c>
    </row>
    <row r="5780" spans="1:18" x14ac:dyDescent="0.3">
      <c r="A5780" t="s">
        <v>627</v>
      </c>
      <c r="B5780" s="16">
        <v>45592</v>
      </c>
      <c r="C5780" t="s">
        <v>3</v>
      </c>
      <c r="D5780" t="s">
        <v>141</v>
      </c>
      <c r="E5780">
        <v>2</v>
      </c>
      <c r="F5780">
        <v>2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2</v>
      </c>
      <c r="O5780">
        <f t="shared" si="188"/>
        <v>2024</v>
      </c>
      <c r="P5780">
        <f t="shared" si="189"/>
        <v>10</v>
      </c>
      <c r="Q5780" t="s">
        <v>785</v>
      </c>
      <c r="R5780" t="s">
        <v>805</v>
      </c>
    </row>
    <row r="5781" spans="1:18" x14ac:dyDescent="0.3">
      <c r="A5781" t="s">
        <v>627</v>
      </c>
      <c r="B5781" s="16">
        <v>45592</v>
      </c>
      <c r="C5781" t="s">
        <v>3</v>
      </c>
      <c r="D5781" t="s">
        <v>140</v>
      </c>
      <c r="E5781">
        <v>6</v>
      </c>
      <c r="F5781">
        <v>5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1</v>
      </c>
      <c r="N5781">
        <v>5</v>
      </c>
      <c r="O5781">
        <f t="shared" si="188"/>
        <v>2024</v>
      </c>
      <c r="P5781">
        <f t="shared" si="189"/>
        <v>10</v>
      </c>
      <c r="Q5781" t="s">
        <v>785</v>
      </c>
      <c r="R5781" t="s">
        <v>805</v>
      </c>
    </row>
    <row r="5782" spans="1:18" x14ac:dyDescent="0.3">
      <c r="A5782" t="s">
        <v>627</v>
      </c>
      <c r="B5782" s="16">
        <v>45592</v>
      </c>
      <c r="C5782" t="s">
        <v>3</v>
      </c>
      <c r="D5782" t="s">
        <v>139</v>
      </c>
      <c r="E5782">
        <v>1252</v>
      </c>
      <c r="F5782">
        <v>663</v>
      </c>
      <c r="G5782">
        <v>61</v>
      </c>
      <c r="H5782">
        <v>17</v>
      </c>
      <c r="I5782">
        <v>137864.5</v>
      </c>
      <c r="J5782">
        <v>19</v>
      </c>
      <c r="K5782">
        <v>79019.5</v>
      </c>
      <c r="L5782">
        <v>15</v>
      </c>
      <c r="M5782">
        <v>508</v>
      </c>
      <c r="N5782">
        <v>1083</v>
      </c>
      <c r="O5782">
        <f t="shared" si="188"/>
        <v>2024</v>
      </c>
      <c r="P5782">
        <f t="shared" si="189"/>
        <v>10</v>
      </c>
      <c r="Q5782" t="s">
        <v>785</v>
      </c>
      <c r="R5782" t="s">
        <v>805</v>
      </c>
    </row>
    <row r="5783" spans="1:18" x14ac:dyDescent="0.3">
      <c r="A5783" t="s">
        <v>627</v>
      </c>
      <c r="B5783" s="16">
        <v>45592</v>
      </c>
      <c r="C5783" t="s">
        <v>3</v>
      </c>
      <c r="D5783" t="s">
        <v>138</v>
      </c>
      <c r="E5783">
        <v>4</v>
      </c>
      <c r="F5783">
        <v>2</v>
      </c>
      <c r="G5783">
        <v>0</v>
      </c>
      <c r="H5783">
        <v>1</v>
      </c>
      <c r="I5783">
        <v>0</v>
      </c>
      <c r="J5783">
        <v>0</v>
      </c>
      <c r="K5783">
        <v>0</v>
      </c>
      <c r="L5783">
        <v>0</v>
      </c>
      <c r="M5783">
        <v>3</v>
      </c>
      <c r="N5783">
        <v>2</v>
      </c>
      <c r="O5783">
        <f t="shared" si="188"/>
        <v>2024</v>
      </c>
      <c r="P5783">
        <f t="shared" si="189"/>
        <v>10</v>
      </c>
      <c r="Q5783" t="s">
        <v>785</v>
      </c>
      <c r="R5783" t="s">
        <v>805</v>
      </c>
    </row>
    <row r="5784" spans="1:18" x14ac:dyDescent="0.3">
      <c r="A5784" t="s">
        <v>627</v>
      </c>
      <c r="B5784" s="16">
        <v>45592</v>
      </c>
      <c r="C5784" t="s">
        <v>3</v>
      </c>
      <c r="D5784" t="s">
        <v>137</v>
      </c>
      <c r="E5784">
        <v>8</v>
      </c>
      <c r="F5784">
        <v>4</v>
      </c>
      <c r="G5784">
        <v>1</v>
      </c>
      <c r="H5784">
        <v>0</v>
      </c>
      <c r="I5784">
        <v>3980</v>
      </c>
      <c r="J5784">
        <v>1</v>
      </c>
      <c r="K5784">
        <v>3980</v>
      </c>
      <c r="L5784">
        <v>1</v>
      </c>
      <c r="M5784">
        <v>1</v>
      </c>
      <c r="N5784">
        <v>8</v>
      </c>
      <c r="O5784">
        <f t="shared" si="188"/>
        <v>2024</v>
      </c>
      <c r="P5784">
        <f t="shared" si="189"/>
        <v>10</v>
      </c>
      <c r="Q5784" t="s">
        <v>785</v>
      </c>
      <c r="R5784" t="s">
        <v>805</v>
      </c>
    </row>
    <row r="5785" spans="1:18" x14ac:dyDescent="0.3">
      <c r="A5785" t="s">
        <v>627</v>
      </c>
      <c r="B5785" s="16">
        <v>45592</v>
      </c>
      <c r="C5785" t="s">
        <v>3</v>
      </c>
      <c r="D5785" t="s">
        <v>135</v>
      </c>
      <c r="E5785">
        <v>18</v>
      </c>
      <c r="F5785">
        <v>8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18</v>
      </c>
      <c r="O5785">
        <f t="shared" si="188"/>
        <v>2024</v>
      </c>
      <c r="P5785">
        <f t="shared" si="189"/>
        <v>10</v>
      </c>
      <c r="Q5785" t="s">
        <v>785</v>
      </c>
      <c r="R5785" t="s">
        <v>805</v>
      </c>
    </row>
    <row r="5786" spans="1:18" x14ac:dyDescent="0.3">
      <c r="A5786" t="s">
        <v>627</v>
      </c>
      <c r="B5786" s="16">
        <v>45592</v>
      </c>
      <c r="C5786" t="s">
        <v>3</v>
      </c>
      <c r="D5786" t="s">
        <v>133</v>
      </c>
      <c r="E5786">
        <v>30</v>
      </c>
      <c r="F5786">
        <v>17</v>
      </c>
      <c r="G5786">
        <v>0</v>
      </c>
      <c r="H5786">
        <v>1</v>
      </c>
      <c r="I5786">
        <v>0</v>
      </c>
      <c r="J5786">
        <v>0</v>
      </c>
      <c r="K5786">
        <v>0</v>
      </c>
      <c r="L5786">
        <v>0</v>
      </c>
      <c r="M5786">
        <v>4</v>
      </c>
      <c r="N5786">
        <v>29</v>
      </c>
      <c r="O5786">
        <f t="shared" si="188"/>
        <v>2024</v>
      </c>
      <c r="P5786">
        <f t="shared" si="189"/>
        <v>10</v>
      </c>
      <c r="Q5786" t="s">
        <v>785</v>
      </c>
      <c r="R5786" t="s">
        <v>805</v>
      </c>
    </row>
    <row r="5787" spans="1:18" x14ac:dyDescent="0.3">
      <c r="A5787" t="s">
        <v>627</v>
      </c>
      <c r="B5787" s="16">
        <v>45592</v>
      </c>
      <c r="C5787" t="s">
        <v>3</v>
      </c>
      <c r="D5787" t="s">
        <v>130</v>
      </c>
      <c r="E5787">
        <v>148</v>
      </c>
      <c r="F5787">
        <v>32</v>
      </c>
      <c r="G5787">
        <v>20</v>
      </c>
      <c r="H5787">
        <v>8</v>
      </c>
      <c r="I5787">
        <v>41594.5</v>
      </c>
      <c r="J5787">
        <v>13</v>
      </c>
      <c r="K5787">
        <v>41594.5</v>
      </c>
      <c r="L5787">
        <v>13</v>
      </c>
      <c r="M5787">
        <v>41</v>
      </c>
      <c r="N5787">
        <v>144</v>
      </c>
      <c r="O5787">
        <f t="shared" si="188"/>
        <v>2024</v>
      </c>
      <c r="P5787">
        <f t="shared" si="189"/>
        <v>10</v>
      </c>
      <c r="Q5787" t="s">
        <v>785</v>
      </c>
      <c r="R5787" t="s">
        <v>805</v>
      </c>
    </row>
    <row r="5788" spans="1:18" x14ac:dyDescent="0.3">
      <c r="A5788" t="s">
        <v>627</v>
      </c>
      <c r="B5788" s="16">
        <v>45592</v>
      </c>
      <c r="C5788" t="s">
        <v>3</v>
      </c>
      <c r="D5788" t="s">
        <v>128</v>
      </c>
      <c r="E5788">
        <v>1640</v>
      </c>
      <c r="F5788">
        <v>1218</v>
      </c>
      <c r="G5788">
        <v>61</v>
      </c>
      <c r="H5788">
        <v>27</v>
      </c>
      <c r="I5788">
        <v>52349.56</v>
      </c>
      <c r="J5788">
        <v>10</v>
      </c>
      <c r="K5788">
        <v>50869.56</v>
      </c>
      <c r="L5788">
        <v>9</v>
      </c>
      <c r="M5788">
        <v>377</v>
      </c>
      <c r="N5788">
        <v>1517</v>
      </c>
      <c r="O5788">
        <f t="shared" si="188"/>
        <v>2024</v>
      </c>
      <c r="P5788">
        <f t="shared" si="189"/>
        <v>10</v>
      </c>
      <c r="Q5788" t="s">
        <v>785</v>
      </c>
      <c r="R5788" t="s">
        <v>805</v>
      </c>
    </row>
    <row r="5789" spans="1:18" x14ac:dyDescent="0.3">
      <c r="A5789" t="s">
        <v>627</v>
      </c>
      <c r="B5789" s="16">
        <v>45592</v>
      </c>
      <c r="C5789" t="s">
        <v>3</v>
      </c>
      <c r="D5789" t="s">
        <v>127</v>
      </c>
      <c r="E5789">
        <v>4598</v>
      </c>
      <c r="F5789">
        <v>2566</v>
      </c>
      <c r="G5789">
        <v>112</v>
      </c>
      <c r="H5789">
        <v>41</v>
      </c>
      <c r="I5789">
        <v>81344.59</v>
      </c>
      <c r="J5789">
        <v>18</v>
      </c>
      <c r="K5789">
        <v>54044.59</v>
      </c>
      <c r="L5789">
        <v>13</v>
      </c>
      <c r="M5789">
        <v>1558</v>
      </c>
      <c r="N5789">
        <v>3340</v>
      </c>
      <c r="O5789">
        <f t="shared" si="188"/>
        <v>2024</v>
      </c>
      <c r="P5789">
        <f t="shared" si="189"/>
        <v>10</v>
      </c>
      <c r="Q5789" t="s">
        <v>785</v>
      </c>
      <c r="R5789" t="s">
        <v>805</v>
      </c>
    </row>
    <row r="5790" spans="1:18" x14ac:dyDescent="0.3">
      <c r="A5790" t="s">
        <v>627</v>
      </c>
      <c r="B5790" s="16">
        <v>45592</v>
      </c>
      <c r="C5790" t="s">
        <v>3</v>
      </c>
      <c r="D5790" t="s">
        <v>126</v>
      </c>
      <c r="E5790">
        <v>186</v>
      </c>
      <c r="F5790">
        <v>120</v>
      </c>
      <c r="G5790">
        <v>5</v>
      </c>
      <c r="H5790">
        <v>3</v>
      </c>
      <c r="I5790">
        <v>7926</v>
      </c>
      <c r="J5790">
        <v>2</v>
      </c>
      <c r="K5790">
        <v>4703</v>
      </c>
      <c r="L5790">
        <v>2</v>
      </c>
      <c r="M5790">
        <v>21</v>
      </c>
      <c r="N5790">
        <v>182</v>
      </c>
      <c r="O5790">
        <f t="shared" si="188"/>
        <v>2024</v>
      </c>
      <c r="P5790">
        <f t="shared" si="189"/>
        <v>10</v>
      </c>
      <c r="Q5790" t="s">
        <v>785</v>
      </c>
      <c r="R5790" t="s">
        <v>805</v>
      </c>
    </row>
    <row r="5791" spans="1:18" x14ac:dyDescent="0.3">
      <c r="A5791" t="s">
        <v>627</v>
      </c>
      <c r="B5791" s="16">
        <v>45592</v>
      </c>
      <c r="C5791" t="s">
        <v>3</v>
      </c>
      <c r="D5791" t="s">
        <v>125</v>
      </c>
      <c r="E5791">
        <v>3</v>
      </c>
      <c r="F5791">
        <v>2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1</v>
      </c>
      <c r="N5791">
        <v>3</v>
      </c>
      <c r="O5791">
        <f t="shared" si="188"/>
        <v>2024</v>
      </c>
      <c r="P5791">
        <f t="shared" si="189"/>
        <v>10</v>
      </c>
      <c r="Q5791" t="s">
        <v>785</v>
      </c>
      <c r="R5791" t="s">
        <v>805</v>
      </c>
    </row>
    <row r="5792" spans="1:18" x14ac:dyDescent="0.3">
      <c r="A5792" t="s">
        <v>627</v>
      </c>
      <c r="B5792" s="16">
        <v>45592</v>
      </c>
      <c r="C5792" t="s">
        <v>3</v>
      </c>
      <c r="D5792" t="s">
        <v>123</v>
      </c>
      <c r="E5792">
        <v>387</v>
      </c>
      <c r="F5792">
        <v>148</v>
      </c>
      <c r="G5792">
        <v>23</v>
      </c>
      <c r="H5792">
        <v>12</v>
      </c>
      <c r="I5792">
        <v>46649.78</v>
      </c>
      <c r="J5792">
        <v>13</v>
      </c>
      <c r="K5792">
        <v>29034.78</v>
      </c>
      <c r="L5792">
        <v>9</v>
      </c>
      <c r="M5792">
        <v>111</v>
      </c>
      <c r="N5792">
        <v>354</v>
      </c>
      <c r="O5792">
        <f t="shared" si="188"/>
        <v>2024</v>
      </c>
      <c r="P5792">
        <f t="shared" si="189"/>
        <v>10</v>
      </c>
      <c r="Q5792" t="s">
        <v>785</v>
      </c>
      <c r="R5792" t="s">
        <v>805</v>
      </c>
    </row>
    <row r="5793" spans="1:18" x14ac:dyDescent="0.3">
      <c r="A5793" t="s">
        <v>627</v>
      </c>
      <c r="B5793" s="16">
        <v>45592</v>
      </c>
      <c r="C5793" t="s">
        <v>3</v>
      </c>
      <c r="D5793" t="s">
        <v>120</v>
      </c>
      <c r="E5793">
        <v>653</v>
      </c>
      <c r="F5793">
        <v>327</v>
      </c>
      <c r="G5793">
        <v>29</v>
      </c>
      <c r="H5793">
        <v>0</v>
      </c>
      <c r="I5793">
        <v>64840</v>
      </c>
      <c r="J5793">
        <v>9</v>
      </c>
      <c r="K5793">
        <v>53977.5</v>
      </c>
      <c r="L5793">
        <v>6</v>
      </c>
      <c r="M5793">
        <v>90</v>
      </c>
      <c r="N5793">
        <v>650</v>
      </c>
      <c r="O5793">
        <f t="shared" si="188"/>
        <v>2024</v>
      </c>
      <c r="P5793">
        <f t="shared" si="189"/>
        <v>10</v>
      </c>
      <c r="Q5793" t="s">
        <v>785</v>
      </c>
      <c r="R5793" t="s">
        <v>805</v>
      </c>
    </row>
    <row r="5794" spans="1:18" x14ac:dyDescent="0.3">
      <c r="A5794" t="s">
        <v>627</v>
      </c>
      <c r="B5794" s="16">
        <v>45592</v>
      </c>
      <c r="C5794" t="s">
        <v>3</v>
      </c>
      <c r="D5794" t="s">
        <v>119</v>
      </c>
      <c r="E5794">
        <v>490</v>
      </c>
      <c r="F5794">
        <v>93</v>
      </c>
      <c r="G5794">
        <v>35</v>
      </c>
      <c r="H5794">
        <v>12</v>
      </c>
      <c r="I5794">
        <v>91392.5</v>
      </c>
      <c r="J5794">
        <v>18</v>
      </c>
      <c r="K5794">
        <v>70732.5</v>
      </c>
      <c r="L5794">
        <v>16</v>
      </c>
      <c r="M5794">
        <v>110</v>
      </c>
      <c r="N5794">
        <v>472</v>
      </c>
      <c r="O5794">
        <f t="shared" si="188"/>
        <v>2024</v>
      </c>
      <c r="P5794">
        <f t="shared" si="189"/>
        <v>10</v>
      </c>
      <c r="Q5794" t="s">
        <v>785</v>
      </c>
      <c r="R5794" t="s">
        <v>805</v>
      </c>
    </row>
    <row r="5795" spans="1:18" x14ac:dyDescent="0.3">
      <c r="A5795" t="s">
        <v>627</v>
      </c>
      <c r="B5795" s="16">
        <v>45592</v>
      </c>
      <c r="C5795" t="s">
        <v>3</v>
      </c>
      <c r="D5795" t="s">
        <v>252</v>
      </c>
      <c r="E5795">
        <v>1</v>
      </c>
      <c r="F5795">
        <v>1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1</v>
      </c>
      <c r="O5795">
        <f t="shared" si="188"/>
        <v>2024</v>
      </c>
      <c r="P5795">
        <f t="shared" si="189"/>
        <v>10</v>
      </c>
      <c r="Q5795" t="s">
        <v>785</v>
      </c>
      <c r="R5795" t="s">
        <v>805</v>
      </c>
    </row>
    <row r="5796" spans="1:18" x14ac:dyDescent="0.3">
      <c r="A5796" t="s">
        <v>627</v>
      </c>
      <c r="B5796" s="16">
        <v>45592</v>
      </c>
      <c r="C5796" t="s">
        <v>3</v>
      </c>
      <c r="D5796" t="s">
        <v>117</v>
      </c>
      <c r="E5796">
        <v>19</v>
      </c>
      <c r="F5796">
        <v>7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4</v>
      </c>
      <c r="N5796">
        <v>19</v>
      </c>
      <c r="O5796">
        <f t="shared" si="188"/>
        <v>2024</v>
      </c>
      <c r="P5796">
        <f t="shared" si="189"/>
        <v>10</v>
      </c>
      <c r="Q5796" t="s">
        <v>785</v>
      </c>
      <c r="R5796" t="s">
        <v>805</v>
      </c>
    </row>
    <row r="5797" spans="1:18" x14ac:dyDescent="0.3">
      <c r="A5797" t="s">
        <v>627</v>
      </c>
      <c r="B5797" s="16">
        <v>45592</v>
      </c>
      <c r="C5797" t="s">
        <v>3</v>
      </c>
      <c r="D5797" t="s">
        <v>115</v>
      </c>
      <c r="E5797">
        <v>8</v>
      </c>
      <c r="F5797">
        <v>2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1</v>
      </c>
      <c r="N5797">
        <v>8</v>
      </c>
      <c r="O5797">
        <f t="shared" si="188"/>
        <v>2024</v>
      </c>
      <c r="P5797">
        <f t="shared" si="189"/>
        <v>10</v>
      </c>
      <c r="Q5797" t="s">
        <v>785</v>
      </c>
      <c r="R5797" t="s">
        <v>805</v>
      </c>
    </row>
    <row r="5798" spans="1:18" x14ac:dyDescent="0.3">
      <c r="A5798" t="s">
        <v>627</v>
      </c>
      <c r="B5798" s="16">
        <v>45592</v>
      </c>
      <c r="C5798" t="s">
        <v>3</v>
      </c>
      <c r="D5798" t="s">
        <v>114</v>
      </c>
      <c r="E5798">
        <v>1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1</v>
      </c>
      <c r="O5798">
        <f t="shared" si="188"/>
        <v>2024</v>
      </c>
      <c r="P5798">
        <f t="shared" si="189"/>
        <v>10</v>
      </c>
      <c r="Q5798" t="s">
        <v>785</v>
      </c>
      <c r="R5798" t="s">
        <v>805</v>
      </c>
    </row>
    <row r="5799" spans="1:18" x14ac:dyDescent="0.3">
      <c r="A5799" t="s">
        <v>627</v>
      </c>
      <c r="B5799" s="16">
        <v>45592</v>
      </c>
      <c r="C5799" t="s">
        <v>3</v>
      </c>
      <c r="D5799" t="s">
        <v>113</v>
      </c>
      <c r="E5799">
        <v>117</v>
      </c>
      <c r="F5799">
        <v>55</v>
      </c>
      <c r="G5799">
        <v>4</v>
      </c>
      <c r="H5799">
        <v>3</v>
      </c>
      <c r="I5799">
        <v>1797</v>
      </c>
      <c r="J5799">
        <v>1</v>
      </c>
      <c r="K5799">
        <v>1797</v>
      </c>
      <c r="L5799">
        <v>1</v>
      </c>
      <c r="M5799">
        <v>99</v>
      </c>
      <c r="N5799">
        <v>65</v>
      </c>
      <c r="O5799">
        <f t="shared" si="188"/>
        <v>2024</v>
      </c>
      <c r="P5799">
        <f t="shared" si="189"/>
        <v>10</v>
      </c>
      <c r="Q5799" t="s">
        <v>785</v>
      </c>
      <c r="R5799" t="s">
        <v>805</v>
      </c>
    </row>
    <row r="5800" spans="1:18" x14ac:dyDescent="0.3">
      <c r="A5800" t="s">
        <v>627</v>
      </c>
      <c r="B5800" s="16">
        <v>45592</v>
      </c>
      <c r="C5800" t="s">
        <v>3</v>
      </c>
      <c r="D5800" t="s">
        <v>112</v>
      </c>
      <c r="E5800">
        <v>15</v>
      </c>
      <c r="F5800">
        <v>1</v>
      </c>
      <c r="G5800">
        <v>1</v>
      </c>
      <c r="H5800">
        <v>0</v>
      </c>
      <c r="I5800">
        <v>25515</v>
      </c>
      <c r="J5800">
        <v>2</v>
      </c>
      <c r="K5800">
        <v>25515</v>
      </c>
      <c r="L5800">
        <v>2</v>
      </c>
      <c r="M5800">
        <v>1</v>
      </c>
      <c r="N5800">
        <v>15</v>
      </c>
      <c r="O5800">
        <f t="shared" si="188"/>
        <v>2024</v>
      </c>
      <c r="P5800">
        <f t="shared" si="189"/>
        <v>10</v>
      </c>
      <c r="Q5800" t="s">
        <v>785</v>
      </c>
      <c r="R5800" t="s">
        <v>805</v>
      </c>
    </row>
    <row r="5801" spans="1:18" x14ac:dyDescent="0.3">
      <c r="A5801" t="s">
        <v>627</v>
      </c>
      <c r="B5801" s="16">
        <v>45592</v>
      </c>
      <c r="C5801" t="s">
        <v>3</v>
      </c>
      <c r="D5801" t="s">
        <v>111</v>
      </c>
      <c r="E5801">
        <v>3</v>
      </c>
      <c r="F5801">
        <v>1</v>
      </c>
      <c r="G5801">
        <v>0</v>
      </c>
      <c r="H5801">
        <v>0</v>
      </c>
      <c r="I5801">
        <v>1980</v>
      </c>
      <c r="J5801">
        <v>1</v>
      </c>
      <c r="K5801">
        <v>1980</v>
      </c>
      <c r="L5801">
        <v>1</v>
      </c>
      <c r="M5801">
        <v>0</v>
      </c>
      <c r="N5801">
        <v>3</v>
      </c>
      <c r="O5801">
        <f t="shared" si="188"/>
        <v>2024</v>
      </c>
      <c r="P5801">
        <f t="shared" si="189"/>
        <v>10</v>
      </c>
      <c r="Q5801" t="s">
        <v>785</v>
      </c>
      <c r="R5801" t="s">
        <v>805</v>
      </c>
    </row>
    <row r="5802" spans="1:18" x14ac:dyDescent="0.3">
      <c r="A5802" t="s">
        <v>627</v>
      </c>
      <c r="B5802" s="16">
        <v>45591</v>
      </c>
      <c r="C5802" t="s">
        <v>2</v>
      </c>
      <c r="D5802" t="s">
        <v>4</v>
      </c>
      <c r="E5802">
        <v>345</v>
      </c>
      <c r="F5802">
        <v>123</v>
      </c>
      <c r="G5802">
        <v>20</v>
      </c>
      <c r="H5802">
        <v>0</v>
      </c>
      <c r="I5802">
        <v>10280</v>
      </c>
      <c r="J5802">
        <v>2</v>
      </c>
      <c r="K5802">
        <v>10280</v>
      </c>
      <c r="L5802">
        <v>2</v>
      </c>
      <c r="M5802">
        <v>29</v>
      </c>
      <c r="N5802">
        <v>331</v>
      </c>
      <c r="O5802">
        <f t="shared" si="188"/>
        <v>2024</v>
      </c>
      <c r="P5802">
        <f t="shared" si="189"/>
        <v>10</v>
      </c>
      <c r="Q5802" t="s">
        <v>785</v>
      </c>
      <c r="R5802" t="s">
        <v>805</v>
      </c>
    </row>
    <row r="5803" spans="1:18" x14ac:dyDescent="0.3">
      <c r="A5803" t="s">
        <v>627</v>
      </c>
      <c r="B5803" s="16">
        <v>45591</v>
      </c>
      <c r="C5803" t="s">
        <v>2</v>
      </c>
      <c r="D5803" t="s">
        <v>57</v>
      </c>
      <c r="E5803">
        <v>12433</v>
      </c>
      <c r="F5803">
        <v>6981</v>
      </c>
      <c r="G5803">
        <v>358</v>
      </c>
      <c r="H5803">
        <v>166</v>
      </c>
      <c r="I5803">
        <v>308889.5</v>
      </c>
      <c r="J5803">
        <v>49</v>
      </c>
      <c r="K5803">
        <v>181612.5</v>
      </c>
      <c r="L5803">
        <v>35</v>
      </c>
      <c r="M5803">
        <v>950</v>
      </c>
      <c r="N5803">
        <v>12416</v>
      </c>
      <c r="O5803">
        <f t="shared" si="188"/>
        <v>2024</v>
      </c>
      <c r="P5803">
        <f t="shared" si="189"/>
        <v>10</v>
      </c>
      <c r="Q5803" t="s">
        <v>785</v>
      </c>
      <c r="R5803" t="s">
        <v>805</v>
      </c>
    </row>
    <row r="5804" spans="1:18" x14ac:dyDescent="0.3">
      <c r="A5804" t="s">
        <v>627</v>
      </c>
      <c r="B5804" s="16">
        <v>45591</v>
      </c>
      <c r="C5804" t="s">
        <v>2</v>
      </c>
      <c r="D5804" t="s">
        <v>52</v>
      </c>
      <c r="E5804">
        <v>715</v>
      </c>
      <c r="F5804">
        <v>541</v>
      </c>
      <c r="G5804">
        <v>38</v>
      </c>
      <c r="H5804">
        <v>3</v>
      </c>
      <c r="I5804">
        <v>58594</v>
      </c>
      <c r="J5804">
        <v>8</v>
      </c>
      <c r="K5804">
        <v>28094</v>
      </c>
      <c r="L5804">
        <v>7</v>
      </c>
      <c r="M5804">
        <v>715</v>
      </c>
      <c r="N5804">
        <v>444</v>
      </c>
      <c r="O5804">
        <f t="shared" si="188"/>
        <v>2024</v>
      </c>
      <c r="P5804">
        <f t="shared" si="189"/>
        <v>10</v>
      </c>
      <c r="Q5804" t="s">
        <v>785</v>
      </c>
      <c r="R5804" t="s">
        <v>805</v>
      </c>
    </row>
    <row r="5805" spans="1:18" x14ac:dyDescent="0.3">
      <c r="A5805" t="s">
        <v>627</v>
      </c>
      <c r="B5805" s="16">
        <v>45591</v>
      </c>
      <c r="C5805" t="s">
        <v>2</v>
      </c>
      <c r="D5805" t="s">
        <v>55</v>
      </c>
      <c r="E5805">
        <v>1166</v>
      </c>
      <c r="F5805">
        <v>926</v>
      </c>
      <c r="G5805">
        <v>9</v>
      </c>
      <c r="H5805">
        <v>5</v>
      </c>
      <c r="I5805">
        <v>0</v>
      </c>
      <c r="J5805">
        <v>0</v>
      </c>
      <c r="K5805">
        <v>0</v>
      </c>
      <c r="L5805">
        <v>0</v>
      </c>
      <c r="M5805">
        <v>13</v>
      </c>
      <c r="N5805">
        <v>346</v>
      </c>
      <c r="O5805">
        <f t="shared" si="188"/>
        <v>2024</v>
      </c>
      <c r="P5805">
        <f t="shared" si="189"/>
        <v>10</v>
      </c>
      <c r="Q5805" t="s">
        <v>785</v>
      </c>
      <c r="R5805" t="s">
        <v>805</v>
      </c>
    </row>
    <row r="5806" spans="1:18" x14ac:dyDescent="0.3">
      <c r="A5806" t="s">
        <v>627</v>
      </c>
      <c r="B5806" s="16">
        <v>45591</v>
      </c>
      <c r="C5806" t="s">
        <v>3</v>
      </c>
      <c r="D5806" t="s">
        <v>155</v>
      </c>
      <c r="E5806">
        <v>7</v>
      </c>
      <c r="F5806">
        <v>3</v>
      </c>
      <c r="G5806">
        <v>1</v>
      </c>
      <c r="H5806">
        <v>0</v>
      </c>
      <c r="I5806">
        <v>2447.5</v>
      </c>
      <c r="J5806">
        <v>1</v>
      </c>
      <c r="K5806">
        <v>2447.5</v>
      </c>
      <c r="L5806">
        <v>1</v>
      </c>
      <c r="M5806">
        <v>1</v>
      </c>
      <c r="N5806">
        <v>7</v>
      </c>
      <c r="O5806">
        <f t="shared" si="188"/>
        <v>2024</v>
      </c>
      <c r="P5806">
        <f t="shared" si="189"/>
        <v>10</v>
      </c>
      <c r="Q5806" t="s">
        <v>785</v>
      </c>
      <c r="R5806" t="s">
        <v>805</v>
      </c>
    </row>
    <row r="5807" spans="1:18" x14ac:dyDescent="0.3">
      <c r="A5807" t="s">
        <v>627</v>
      </c>
      <c r="B5807" s="16">
        <v>45591</v>
      </c>
      <c r="C5807" t="s">
        <v>3</v>
      </c>
      <c r="D5807" t="s">
        <v>154</v>
      </c>
      <c r="E5807">
        <v>87</v>
      </c>
      <c r="F5807">
        <v>85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f t="shared" si="188"/>
        <v>2024</v>
      </c>
      <c r="P5807">
        <f t="shared" si="189"/>
        <v>10</v>
      </c>
      <c r="Q5807" t="s">
        <v>785</v>
      </c>
      <c r="R5807" t="s">
        <v>805</v>
      </c>
    </row>
    <row r="5808" spans="1:18" x14ac:dyDescent="0.3">
      <c r="A5808" t="s">
        <v>627</v>
      </c>
      <c r="B5808" s="16">
        <v>45591</v>
      </c>
      <c r="C5808" t="s">
        <v>3</v>
      </c>
      <c r="D5808" t="s">
        <v>153</v>
      </c>
      <c r="E5808">
        <v>622</v>
      </c>
      <c r="F5808">
        <v>107</v>
      </c>
      <c r="G5808">
        <v>64</v>
      </c>
      <c r="H5808">
        <v>6</v>
      </c>
      <c r="I5808">
        <v>159817</v>
      </c>
      <c r="J5808">
        <v>34</v>
      </c>
      <c r="K5808">
        <v>154077</v>
      </c>
      <c r="L5808">
        <v>32</v>
      </c>
      <c r="M5808">
        <v>154</v>
      </c>
      <c r="N5808">
        <v>611</v>
      </c>
      <c r="O5808">
        <f t="shared" si="188"/>
        <v>2024</v>
      </c>
      <c r="P5808">
        <f t="shared" si="189"/>
        <v>10</v>
      </c>
      <c r="Q5808" t="s">
        <v>785</v>
      </c>
      <c r="R5808" t="s">
        <v>805</v>
      </c>
    </row>
    <row r="5809" spans="1:18" x14ac:dyDescent="0.3">
      <c r="A5809" t="s">
        <v>627</v>
      </c>
      <c r="B5809" s="16">
        <v>45591</v>
      </c>
      <c r="C5809" t="s">
        <v>3</v>
      </c>
      <c r="D5809" t="s">
        <v>152</v>
      </c>
      <c r="E5809">
        <v>113</v>
      </c>
      <c r="F5809">
        <v>104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7</v>
      </c>
      <c r="O5809">
        <f t="shared" si="188"/>
        <v>2024</v>
      </c>
      <c r="P5809">
        <f t="shared" si="189"/>
        <v>10</v>
      </c>
      <c r="Q5809" t="s">
        <v>785</v>
      </c>
      <c r="R5809" t="s">
        <v>805</v>
      </c>
    </row>
    <row r="5810" spans="1:18" x14ac:dyDescent="0.3">
      <c r="A5810" t="s">
        <v>627</v>
      </c>
      <c r="B5810" s="16">
        <v>45591</v>
      </c>
      <c r="C5810" t="s">
        <v>3</v>
      </c>
      <c r="D5810" t="s">
        <v>150</v>
      </c>
      <c r="E5810">
        <v>48</v>
      </c>
      <c r="F5810">
        <v>45</v>
      </c>
      <c r="G5810">
        <v>1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3</v>
      </c>
      <c r="O5810">
        <f t="shared" si="188"/>
        <v>2024</v>
      </c>
      <c r="P5810">
        <f t="shared" si="189"/>
        <v>10</v>
      </c>
      <c r="Q5810" t="s">
        <v>785</v>
      </c>
      <c r="R5810" t="s">
        <v>805</v>
      </c>
    </row>
    <row r="5811" spans="1:18" x14ac:dyDescent="0.3">
      <c r="A5811" t="s">
        <v>627</v>
      </c>
      <c r="B5811" s="16">
        <v>45591</v>
      </c>
      <c r="C5811" t="s">
        <v>3</v>
      </c>
      <c r="D5811" t="s">
        <v>149</v>
      </c>
      <c r="E5811">
        <v>17</v>
      </c>
      <c r="F5811">
        <v>11</v>
      </c>
      <c r="G5811">
        <v>1</v>
      </c>
      <c r="H5811">
        <v>1</v>
      </c>
      <c r="I5811">
        <v>0</v>
      </c>
      <c r="J5811">
        <v>0</v>
      </c>
      <c r="K5811">
        <v>0</v>
      </c>
      <c r="L5811">
        <v>0</v>
      </c>
      <c r="M5811">
        <v>3</v>
      </c>
      <c r="N5811">
        <v>11</v>
      </c>
      <c r="O5811">
        <f t="shared" si="188"/>
        <v>2024</v>
      </c>
      <c r="P5811">
        <f t="shared" si="189"/>
        <v>10</v>
      </c>
      <c r="Q5811" t="s">
        <v>785</v>
      </c>
      <c r="R5811" t="s">
        <v>805</v>
      </c>
    </row>
    <row r="5812" spans="1:18" x14ac:dyDescent="0.3">
      <c r="A5812" t="s">
        <v>627</v>
      </c>
      <c r="B5812" s="16">
        <v>45591</v>
      </c>
      <c r="C5812" t="s">
        <v>3</v>
      </c>
      <c r="D5812" t="s">
        <v>148</v>
      </c>
      <c r="E5812">
        <v>1</v>
      </c>
      <c r="F5812">
        <v>1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1</v>
      </c>
      <c r="O5812">
        <f t="shared" si="188"/>
        <v>2024</v>
      </c>
      <c r="P5812">
        <f t="shared" si="189"/>
        <v>10</v>
      </c>
      <c r="Q5812" t="s">
        <v>785</v>
      </c>
      <c r="R5812" t="s">
        <v>805</v>
      </c>
    </row>
    <row r="5813" spans="1:18" x14ac:dyDescent="0.3">
      <c r="A5813" t="s">
        <v>627</v>
      </c>
      <c r="B5813" s="16">
        <v>45591</v>
      </c>
      <c r="C5813" t="s">
        <v>3</v>
      </c>
      <c r="D5813" t="s">
        <v>367</v>
      </c>
      <c r="E5813">
        <v>136</v>
      </c>
      <c r="F5813">
        <v>77</v>
      </c>
      <c r="G5813">
        <v>4</v>
      </c>
      <c r="H5813">
        <v>3</v>
      </c>
      <c r="I5813">
        <v>0</v>
      </c>
      <c r="J5813">
        <v>0</v>
      </c>
      <c r="K5813">
        <v>0</v>
      </c>
      <c r="L5813">
        <v>0</v>
      </c>
      <c r="M5813">
        <v>2</v>
      </c>
      <c r="N5813">
        <v>136</v>
      </c>
      <c r="O5813">
        <f t="shared" si="188"/>
        <v>2024</v>
      </c>
      <c r="P5813">
        <f t="shared" si="189"/>
        <v>10</v>
      </c>
      <c r="Q5813" t="s">
        <v>785</v>
      </c>
      <c r="R5813" t="s">
        <v>805</v>
      </c>
    </row>
    <row r="5814" spans="1:18" x14ac:dyDescent="0.3">
      <c r="A5814" t="s">
        <v>627</v>
      </c>
      <c r="B5814" s="16">
        <v>45591</v>
      </c>
      <c r="C5814" t="s">
        <v>3</v>
      </c>
      <c r="D5814" t="s">
        <v>251</v>
      </c>
      <c r="E5814">
        <v>2050</v>
      </c>
      <c r="F5814">
        <v>1656</v>
      </c>
      <c r="G5814">
        <v>16</v>
      </c>
      <c r="H5814">
        <v>8</v>
      </c>
      <c r="I5814">
        <v>37752</v>
      </c>
      <c r="J5814">
        <v>6</v>
      </c>
      <c r="K5814">
        <v>37752</v>
      </c>
      <c r="L5814">
        <v>6</v>
      </c>
      <c r="M5814">
        <v>71</v>
      </c>
      <c r="N5814">
        <v>451</v>
      </c>
      <c r="O5814">
        <f t="shared" si="188"/>
        <v>2024</v>
      </c>
      <c r="P5814">
        <f t="shared" si="189"/>
        <v>10</v>
      </c>
      <c r="Q5814" t="s">
        <v>785</v>
      </c>
      <c r="R5814" t="s">
        <v>805</v>
      </c>
    </row>
    <row r="5815" spans="1:18" x14ac:dyDescent="0.3">
      <c r="A5815" t="s">
        <v>627</v>
      </c>
      <c r="B5815" s="16">
        <v>45591</v>
      </c>
      <c r="C5815" t="s">
        <v>3</v>
      </c>
      <c r="D5815" t="s">
        <v>143</v>
      </c>
      <c r="E5815">
        <v>11</v>
      </c>
      <c r="F5815">
        <v>10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11</v>
      </c>
      <c r="O5815">
        <f t="shared" si="188"/>
        <v>2024</v>
      </c>
      <c r="P5815">
        <f t="shared" si="189"/>
        <v>10</v>
      </c>
      <c r="Q5815" t="s">
        <v>785</v>
      </c>
      <c r="R5815" t="s">
        <v>805</v>
      </c>
    </row>
    <row r="5816" spans="1:18" x14ac:dyDescent="0.3">
      <c r="A5816" t="s">
        <v>627</v>
      </c>
      <c r="B5816" s="16">
        <v>45591</v>
      </c>
      <c r="C5816" t="s">
        <v>3</v>
      </c>
      <c r="D5816" t="s">
        <v>141</v>
      </c>
      <c r="E5816">
        <v>3</v>
      </c>
      <c r="F5816">
        <v>3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1</v>
      </c>
      <c r="N5816">
        <v>2</v>
      </c>
      <c r="O5816">
        <f t="shared" si="188"/>
        <v>2024</v>
      </c>
      <c r="P5816">
        <f t="shared" si="189"/>
        <v>10</v>
      </c>
      <c r="Q5816" t="s">
        <v>785</v>
      </c>
      <c r="R5816" t="s">
        <v>805</v>
      </c>
    </row>
    <row r="5817" spans="1:18" x14ac:dyDescent="0.3">
      <c r="A5817" t="s">
        <v>627</v>
      </c>
      <c r="B5817" s="16">
        <v>45591</v>
      </c>
      <c r="C5817" t="s">
        <v>3</v>
      </c>
      <c r="D5817" t="s">
        <v>140</v>
      </c>
      <c r="E5817">
        <v>8</v>
      </c>
      <c r="F5817">
        <v>6</v>
      </c>
      <c r="G5817">
        <v>2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7</v>
      </c>
      <c r="O5817">
        <f t="shared" si="188"/>
        <v>2024</v>
      </c>
      <c r="P5817">
        <f t="shared" si="189"/>
        <v>10</v>
      </c>
      <c r="Q5817" t="s">
        <v>785</v>
      </c>
      <c r="R5817" t="s">
        <v>805</v>
      </c>
    </row>
    <row r="5818" spans="1:18" x14ac:dyDescent="0.3">
      <c r="A5818" t="s">
        <v>627</v>
      </c>
      <c r="B5818" s="16">
        <v>45591</v>
      </c>
      <c r="C5818" t="s">
        <v>3</v>
      </c>
      <c r="D5818" t="s">
        <v>139</v>
      </c>
      <c r="E5818">
        <v>1293</v>
      </c>
      <c r="F5818">
        <v>683</v>
      </c>
      <c r="G5818">
        <v>76</v>
      </c>
      <c r="H5818">
        <v>23</v>
      </c>
      <c r="I5818">
        <v>113267.5</v>
      </c>
      <c r="J5818">
        <v>20</v>
      </c>
      <c r="K5818">
        <v>98992.5</v>
      </c>
      <c r="L5818">
        <v>18</v>
      </c>
      <c r="M5818">
        <v>493</v>
      </c>
      <c r="N5818">
        <v>1125</v>
      </c>
      <c r="O5818">
        <f t="shared" si="188"/>
        <v>2024</v>
      </c>
      <c r="P5818">
        <f t="shared" si="189"/>
        <v>10</v>
      </c>
      <c r="Q5818" t="s">
        <v>785</v>
      </c>
      <c r="R5818" t="s">
        <v>805</v>
      </c>
    </row>
    <row r="5819" spans="1:18" x14ac:dyDescent="0.3">
      <c r="A5819" t="s">
        <v>627</v>
      </c>
      <c r="B5819" s="16">
        <v>45591</v>
      </c>
      <c r="C5819" t="s">
        <v>3</v>
      </c>
      <c r="D5819" t="s">
        <v>138</v>
      </c>
      <c r="E5819">
        <v>4</v>
      </c>
      <c r="F5819">
        <v>4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1</v>
      </c>
      <c r="N5819">
        <v>4</v>
      </c>
      <c r="O5819">
        <f t="shared" si="188"/>
        <v>2024</v>
      </c>
      <c r="P5819">
        <f t="shared" si="189"/>
        <v>10</v>
      </c>
      <c r="Q5819" t="s">
        <v>785</v>
      </c>
      <c r="R5819" t="s">
        <v>805</v>
      </c>
    </row>
    <row r="5820" spans="1:18" x14ac:dyDescent="0.3">
      <c r="A5820" t="s">
        <v>627</v>
      </c>
      <c r="B5820" s="16">
        <v>45591</v>
      </c>
      <c r="C5820" t="s">
        <v>3</v>
      </c>
      <c r="D5820" t="s">
        <v>137</v>
      </c>
      <c r="E5820">
        <v>8</v>
      </c>
      <c r="F5820">
        <v>1</v>
      </c>
      <c r="G5820">
        <v>2</v>
      </c>
      <c r="H5820">
        <v>0</v>
      </c>
      <c r="I5820">
        <v>4300</v>
      </c>
      <c r="J5820">
        <v>1</v>
      </c>
      <c r="K5820">
        <v>4300</v>
      </c>
      <c r="L5820">
        <v>1</v>
      </c>
      <c r="M5820">
        <v>2</v>
      </c>
      <c r="N5820">
        <v>8</v>
      </c>
      <c r="O5820">
        <f t="shared" si="188"/>
        <v>2024</v>
      </c>
      <c r="P5820">
        <f t="shared" si="189"/>
        <v>10</v>
      </c>
      <c r="Q5820" t="s">
        <v>785</v>
      </c>
      <c r="R5820" t="s">
        <v>805</v>
      </c>
    </row>
    <row r="5821" spans="1:18" x14ac:dyDescent="0.3">
      <c r="A5821" t="s">
        <v>627</v>
      </c>
      <c r="B5821" s="16">
        <v>45591</v>
      </c>
      <c r="C5821" t="s">
        <v>3</v>
      </c>
      <c r="D5821" t="s">
        <v>135</v>
      </c>
      <c r="E5821">
        <v>96</v>
      </c>
      <c r="F5821">
        <v>81</v>
      </c>
      <c r="G5821">
        <v>2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2</v>
      </c>
      <c r="N5821">
        <v>16</v>
      </c>
      <c r="O5821">
        <f t="shared" si="188"/>
        <v>2024</v>
      </c>
      <c r="P5821">
        <f t="shared" si="189"/>
        <v>10</v>
      </c>
      <c r="Q5821" t="s">
        <v>785</v>
      </c>
      <c r="R5821" t="s">
        <v>805</v>
      </c>
    </row>
    <row r="5822" spans="1:18" x14ac:dyDescent="0.3">
      <c r="A5822" t="s">
        <v>627</v>
      </c>
      <c r="B5822" s="16">
        <v>45591</v>
      </c>
      <c r="C5822" t="s">
        <v>3</v>
      </c>
      <c r="D5822" t="s">
        <v>133</v>
      </c>
      <c r="E5822">
        <v>34</v>
      </c>
      <c r="F5822">
        <v>14</v>
      </c>
      <c r="G5822">
        <v>2</v>
      </c>
      <c r="H5822">
        <v>1</v>
      </c>
      <c r="I5822">
        <v>0</v>
      </c>
      <c r="J5822">
        <v>0</v>
      </c>
      <c r="K5822">
        <v>0</v>
      </c>
      <c r="L5822">
        <v>0</v>
      </c>
      <c r="M5822">
        <v>15</v>
      </c>
      <c r="N5822">
        <v>28</v>
      </c>
      <c r="O5822">
        <f t="shared" si="188"/>
        <v>2024</v>
      </c>
      <c r="P5822">
        <f t="shared" si="189"/>
        <v>10</v>
      </c>
      <c r="Q5822" t="s">
        <v>785</v>
      </c>
      <c r="R5822" t="s">
        <v>805</v>
      </c>
    </row>
    <row r="5823" spans="1:18" x14ac:dyDescent="0.3">
      <c r="A5823" t="s">
        <v>627</v>
      </c>
      <c r="B5823" s="16">
        <v>45591</v>
      </c>
      <c r="C5823" t="s">
        <v>3</v>
      </c>
      <c r="D5823" t="s">
        <v>130</v>
      </c>
      <c r="E5823">
        <v>143</v>
      </c>
      <c r="F5823">
        <v>34</v>
      </c>
      <c r="G5823">
        <v>20</v>
      </c>
      <c r="H5823">
        <v>5</v>
      </c>
      <c r="I5823">
        <v>141149.5</v>
      </c>
      <c r="J5823">
        <v>17</v>
      </c>
      <c r="K5823">
        <v>141149.5</v>
      </c>
      <c r="L5823">
        <v>17</v>
      </c>
      <c r="M5823">
        <v>46</v>
      </c>
      <c r="N5823">
        <v>137</v>
      </c>
      <c r="O5823">
        <f t="shared" si="188"/>
        <v>2024</v>
      </c>
      <c r="P5823">
        <f t="shared" si="189"/>
        <v>10</v>
      </c>
      <c r="Q5823" t="s">
        <v>785</v>
      </c>
      <c r="R5823" t="s">
        <v>805</v>
      </c>
    </row>
    <row r="5824" spans="1:18" x14ac:dyDescent="0.3">
      <c r="A5824" t="s">
        <v>627</v>
      </c>
      <c r="B5824" s="16">
        <v>45591</v>
      </c>
      <c r="C5824" t="s">
        <v>3</v>
      </c>
      <c r="D5824" t="s">
        <v>128</v>
      </c>
      <c r="E5824">
        <v>1342</v>
      </c>
      <c r="F5824">
        <v>967</v>
      </c>
      <c r="G5824">
        <v>56</v>
      </c>
      <c r="H5824">
        <v>20</v>
      </c>
      <c r="I5824">
        <v>28845</v>
      </c>
      <c r="J5824">
        <v>7</v>
      </c>
      <c r="K5824">
        <v>26928</v>
      </c>
      <c r="L5824">
        <v>6</v>
      </c>
      <c r="M5824">
        <v>293</v>
      </c>
      <c r="N5824">
        <v>1248</v>
      </c>
      <c r="O5824">
        <f t="shared" si="188"/>
        <v>2024</v>
      </c>
      <c r="P5824">
        <f t="shared" si="189"/>
        <v>10</v>
      </c>
      <c r="Q5824" t="s">
        <v>785</v>
      </c>
      <c r="R5824" t="s">
        <v>805</v>
      </c>
    </row>
    <row r="5825" spans="1:18" x14ac:dyDescent="0.3">
      <c r="A5825" t="s">
        <v>627</v>
      </c>
      <c r="B5825" s="16">
        <v>45591</v>
      </c>
      <c r="C5825" t="s">
        <v>3</v>
      </c>
      <c r="D5825" t="s">
        <v>127</v>
      </c>
      <c r="E5825">
        <v>5820</v>
      </c>
      <c r="F5825">
        <v>3425</v>
      </c>
      <c r="G5825">
        <v>120</v>
      </c>
      <c r="H5825">
        <v>50</v>
      </c>
      <c r="I5825">
        <v>95885</v>
      </c>
      <c r="J5825">
        <v>19</v>
      </c>
      <c r="K5825">
        <v>72775</v>
      </c>
      <c r="L5825">
        <v>14</v>
      </c>
      <c r="M5825">
        <v>1593</v>
      </c>
      <c r="N5825">
        <v>3931</v>
      </c>
      <c r="O5825">
        <f t="shared" si="188"/>
        <v>2024</v>
      </c>
      <c r="P5825">
        <f t="shared" si="189"/>
        <v>10</v>
      </c>
      <c r="Q5825" t="s">
        <v>785</v>
      </c>
      <c r="R5825" t="s">
        <v>805</v>
      </c>
    </row>
    <row r="5826" spans="1:18" x14ac:dyDescent="0.3">
      <c r="A5826" t="s">
        <v>627</v>
      </c>
      <c r="B5826" s="16">
        <v>45591</v>
      </c>
      <c r="C5826" t="s">
        <v>3</v>
      </c>
      <c r="D5826" t="s">
        <v>126</v>
      </c>
      <c r="E5826">
        <v>171</v>
      </c>
      <c r="F5826">
        <v>112</v>
      </c>
      <c r="G5826">
        <v>8</v>
      </c>
      <c r="H5826">
        <v>4</v>
      </c>
      <c r="I5826">
        <v>3960</v>
      </c>
      <c r="J5826">
        <v>1</v>
      </c>
      <c r="K5826">
        <v>1980</v>
      </c>
      <c r="L5826">
        <v>1</v>
      </c>
      <c r="M5826">
        <v>20</v>
      </c>
      <c r="N5826">
        <v>169</v>
      </c>
      <c r="O5826">
        <f t="shared" si="188"/>
        <v>2024</v>
      </c>
      <c r="P5826">
        <f t="shared" si="189"/>
        <v>10</v>
      </c>
      <c r="Q5826" t="s">
        <v>785</v>
      </c>
      <c r="R5826" t="s">
        <v>805</v>
      </c>
    </row>
    <row r="5827" spans="1:18" x14ac:dyDescent="0.3">
      <c r="A5827" t="s">
        <v>627</v>
      </c>
      <c r="B5827" s="16">
        <v>45591</v>
      </c>
      <c r="C5827" t="s">
        <v>3</v>
      </c>
      <c r="D5827" t="s">
        <v>125</v>
      </c>
      <c r="E5827">
        <v>3</v>
      </c>
      <c r="F5827">
        <v>2</v>
      </c>
      <c r="G5827">
        <v>1</v>
      </c>
      <c r="H5827">
        <v>0</v>
      </c>
      <c r="I5827">
        <v>2447.5</v>
      </c>
      <c r="J5827">
        <v>1</v>
      </c>
      <c r="K5827">
        <v>2447.5</v>
      </c>
      <c r="L5827">
        <v>1</v>
      </c>
      <c r="M5827">
        <v>3</v>
      </c>
      <c r="N5827">
        <v>3</v>
      </c>
      <c r="O5827">
        <f t="shared" si="188"/>
        <v>2024</v>
      </c>
      <c r="P5827">
        <f t="shared" si="189"/>
        <v>10</v>
      </c>
      <c r="Q5827" t="s">
        <v>785</v>
      </c>
      <c r="R5827" t="s">
        <v>805</v>
      </c>
    </row>
    <row r="5828" spans="1:18" x14ac:dyDescent="0.3">
      <c r="A5828" t="s">
        <v>627</v>
      </c>
      <c r="B5828" s="16">
        <v>45591</v>
      </c>
      <c r="C5828" t="s">
        <v>3</v>
      </c>
      <c r="D5828" t="s">
        <v>123</v>
      </c>
      <c r="E5828">
        <v>360</v>
      </c>
      <c r="F5828">
        <v>124</v>
      </c>
      <c r="G5828">
        <v>17</v>
      </c>
      <c r="H5828">
        <v>7</v>
      </c>
      <c r="I5828">
        <v>5373</v>
      </c>
      <c r="J5828">
        <v>2</v>
      </c>
      <c r="K5828">
        <v>5373</v>
      </c>
      <c r="L5828">
        <v>2</v>
      </c>
      <c r="M5828">
        <v>81</v>
      </c>
      <c r="N5828">
        <v>342</v>
      </c>
      <c r="O5828">
        <f t="shared" si="188"/>
        <v>2024</v>
      </c>
      <c r="P5828">
        <f t="shared" si="189"/>
        <v>10</v>
      </c>
      <c r="Q5828" t="s">
        <v>785</v>
      </c>
      <c r="R5828" t="s">
        <v>805</v>
      </c>
    </row>
    <row r="5829" spans="1:18" x14ac:dyDescent="0.3">
      <c r="A5829" t="s">
        <v>627</v>
      </c>
      <c r="B5829" s="16">
        <v>45591</v>
      </c>
      <c r="C5829" t="s">
        <v>3</v>
      </c>
      <c r="D5829" t="s">
        <v>121</v>
      </c>
      <c r="E5829">
        <v>4</v>
      </c>
      <c r="F5829">
        <v>4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4</v>
      </c>
      <c r="O5829">
        <f t="shared" si="188"/>
        <v>2024</v>
      </c>
      <c r="P5829">
        <f t="shared" si="189"/>
        <v>10</v>
      </c>
      <c r="Q5829" t="s">
        <v>785</v>
      </c>
      <c r="R5829" t="s">
        <v>805</v>
      </c>
    </row>
    <row r="5830" spans="1:18" x14ac:dyDescent="0.3">
      <c r="A5830" t="s">
        <v>627</v>
      </c>
      <c r="B5830" s="16">
        <v>45591</v>
      </c>
      <c r="C5830" t="s">
        <v>3</v>
      </c>
      <c r="D5830" t="s">
        <v>120</v>
      </c>
      <c r="E5830">
        <v>612</v>
      </c>
      <c r="F5830">
        <v>303</v>
      </c>
      <c r="G5830">
        <v>21</v>
      </c>
      <c r="H5830">
        <v>0</v>
      </c>
      <c r="I5830">
        <v>54135</v>
      </c>
      <c r="J5830">
        <v>10</v>
      </c>
      <c r="K5830">
        <v>31270</v>
      </c>
      <c r="L5830">
        <v>7</v>
      </c>
      <c r="M5830">
        <v>89</v>
      </c>
      <c r="N5830">
        <v>604</v>
      </c>
      <c r="O5830">
        <f t="shared" si="188"/>
        <v>2024</v>
      </c>
      <c r="P5830">
        <f t="shared" si="189"/>
        <v>10</v>
      </c>
      <c r="Q5830" t="s">
        <v>785</v>
      </c>
      <c r="R5830" t="s">
        <v>805</v>
      </c>
    </row>
    <row r="5831" spans="1:18" x14ac:dyDescent="0.3">
      <c r="A5831" t="s">
        <v>627</v>
      </c>
      <c r="B5831" s="16">
        <v>45591</v>
      </c>
      <c r="C5831" t="s">
        <v>3</v>
      </c>
      <c r="D5831" t="s">
        <v>119</v>
      </c>
      <c r="E5831">
        <v>540</v>
      </c>
      <c r="F5831">
        <v>106</v>
      </c>
      <c r="G5831">
        <v>36</v>
      </c>
      <c r="H5831">
        <v>7</v>
      </c>
      <c r="I5831">
        <v>85796</v>
      </c>
      <c r="J5831">
        <v>18</v>
      </c>
      <c r="K5831">
        <v>83816</v>
      </c>
      <c r="L5831">
        <v>18</v>
      </c>
      <c r="M5831">
        <v>117</v>
      </c>
      <c r="N5831">
        <v>511</v>
      </c>
      <c r="O5831">
        <f t="shared" si="188"/>
        <v>2024</v>
      </c>
      <c r="P5831">
        <f t="shared" si="189"/>
        <v>10</v>
      </c>
      <c r="Q5831" t="s">
        <v>785</v>
      </c>
      <c r="R5831" t="s">
        <v>805</v>
      </c>
    </row>
    <row r="5832" spans="1:18" x14ac:dyDescent="0.3">
      <c r="A5832" t="s">
        <v>627</v>
      </c>
      <c r="B5832" s="16">
        <v>45591</v>
      </c>
      <c r="C5832" t="s">
        <v>3</v>
      </c>
      <c r="D5832" t="s">
        <v>117</v>
      </c>
      <c r="E5832">
        <v>19</v>
      </c>
      <c r="F5832">
        <v>8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3</v>
      </c>
      <c r="N5832">
        <v>19</v>
      </c>
      <c r="O5832">
        <f t="shared" si="188"/>
        <v>2024</v>
      </c>
      <c r="P5832">
        <f t="shared" si="189"/>
        <v>10</v>
      </c>
      <c r="Q5832" t="s">
        <v>785</v>
      </c>
      <c r="R5832" t="s">
        <v>805</v>
      </c>
    </row>
    <row r="5833" spans="1:18" x14ac:dyDescent="0.3">
      <c r="A5833" t="s">
        <v>627</v>
      </c>
      <c r="B5833" s="16">
        <v>45591</v>
      </c>
      <c r="C5833" t="s">
        <v>3</v>
      </c>
      <c r="D5833" t="s">
        <v>115</v>
      </c>
      <c r="E5833">
        <v>6</v>
      </c>
      <c r="F5833">
        <v>1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6</v>
      </c>
      <c r="O5833">
        <f t="shared" ref="O5833:O5896" si="190">YEAR(B5833)</f>
        <v>2024</v>
      </c>
      <c r="P5833">
        <f t="shared" ref="P5833:P5896" si="191">MONTH(B5833)</f>
        <v>10</v>
      </c>
      <c r="Q5833" t="s">
        <v>785</v>
      </c>
      <c r="R5833" t="s">
        <v>805</v>
      </c>
    </row>
    <row r="5834" spans="1:18" x14ac:dyDescent="0.3">
      <c r="A5834" t="s">
        <v>627</v>
      </c>
      <c r="B5834" s="16">
        <v>45591</v>
      </c>
      <c r="C5834" t="s">
        <v>3</v>
      </c>
      <c r="D5834" t="s">
        <v>114</v>
      </c>
      <c r="E5834">
        <v>5</v>
      </c>
      <c r="F5834">
        <v>3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1</v>
      </c>
      <c r="N5834">
        <v>1</v>
      </c>
      <c r="O5834">
        <f t="shared" si="190"/>
        <v>2024</v>
      </c>
      <c r="P5834">
        <f t="shared" si="191"/>
        <v>10</v>
      </c>
      <c r="Q5834" t="s">
        <v>785</v>
      </c>
      <c r="R5834" t="s">
        <v>805</v>
      </c>
    </row>
    <row r="5835" spans="1:18" x14ac:dyDescent="0.3">
      <c r="A5835" t="s">
        <v>627</v>
      </c>
      <c r="B5835" s="16">
        <v>45591</v>
      </c>
      <c r="C5835" t="s">
        <v>3</v>
      </c>
      <c r="D5835" t="s">
        <v>113</v>
      </c>
      <c r="E5835">
        <v>113</v>
      </c>
      <c r="F5835">
        <v>44</v>
      </c>
      <c r="G5835">
        <v>5</v>
      </c>
      <c r="H5835">
        <v>1</v>
      </c>
      <c r="I5835">
        <v>5990</v>
      </c>
      <c r="J5835">
        <v>1</v>
      </c>
      <c r="K5835">
        <v>5990</v>
      </c>
      <c r="L5835">
        <v>1</v>
      </c>
      <c r="M5835">
        <v>85</v>
      </c>
      <c r="N5835">
        <v>67</v>
      </c>
      <c r="O5835">
        <f t="shared" si="190"/>
        <v>2024</v>
      </c>
      <c r="P5835">
        <f t="shared" si="191"/>
        <v>10</v>
      </c>
      <c r="Q5835" t="s">
        <v>785</v>
      </c>
      <c r="R5835" t="s">
        <v>805</v>
      </c>
    </row>
    <row r="5836" spans="1:18" x14ac:dyDescent="0.3">
      <c r="A5836" t="s">
        <v>627</v>
      </c>
      <c r="B5836" s="16">
        <v>45591</v>
      </c>
      <c r="C5836" t="s">
        <v>3</v>
      </c>
      <c r="D5836" t="s">
        <v>112</v>
      </c>
      <c r="E5836">
        <v>15</v>
      </c>
      <c r="F5836">
        <v>3</v>
      </c>
      <c r="G5836">
        <v>1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15</v>
      </c>
      <c r="O5836">
        <f t="shared" si="190"/>
        <v>2024</v>
      </c>
      <c r="P5836">
        <f t="shared" si="191"/>
        <v>10</v>
      </c>
      <c r="Q5836" t="s">
        <v>785</v>
      </c>
      <c r="R5836" t="s">
        <v>805</v>
      </c>
    </row>
    <row r="5837" spans="1:18" x14ac:dyDescent="0.3">
      <c r="A5837" t="s">
        <v>627</v>
      </c>
      <c r="B5837" s="16">
        <v>45591</v>
      </c>
      <c r="C5837" t="s">
        <v>3</v>
      </c>
      <c r="D5837" t="s">
        <v>111</v>
      </c>
      <c r="E5837">
        <v>3</v>
      </c>
      <c r="F5837">
        <v>1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3</v>
      </c>
      <c r="O5837">
        <f t="shared" si="190"/>
        <v>2024</v>
      </c>
      <c r="P5837">
        <f t="shared" si="191"/>
        <v>10</v>
      </c>
      <c r="Q5837" t="s">
        <v>785</v>
      </c>
      <c r="R5837" t="s">
        <v>805</v>
      </c>
    </row>
    <row r="5838" spans="1:18" x14ac:dyDescent="0.3">
      <c r="A5838" t="s">
        <v>627</v>
      </c>
      <c r="B5838" s="16">
        <v>45590</v>
      </c>
      <c r="C5838" t="s">
        <v>2</v>
      </c>
      <c r="D5838" t="s">
        <v>4</v>
      </c>
      <c r="E5838">
        <v>420</v>
      </c>
      <c r="F5838">
        <v>160</v>
      </c>
      <c r="G5838">
        <v>33</v>
      </c>
      <c r="H5838">
        <v>0</v>
      </c>
      <c r="I5838">
        <v>19088</v>
      </c>
      <c r="J5838">
        <v>3</v>
      </c>
      <c r="K5838">
        <v>8100</v>
      </c>
      <c r="L5838">
        <v>2</v>
      </c>
      <c r="M5838">
        <v>29</v>
      </c>
      <c r="N5838">
        <v>411</v>
      </c>
      <c r="O5838">
        <f t="shared" si="190"/>
        <v>2024</v>
      </c>
      <c r="P5838">
        <f t="shared" si="191"/>
        <v>10</v>
      </c>
      <c r="Q5838" t="s">
        <v>785</v>
      </c>
      <c r="R5838" t="s">
        <v>805</v>
      </c>
    </row>
    <row r="5839" spans="1:18" x14ac:dyDescent="0.3">
      <c r="A5839" t="s">
        <v>627</v>
      </c>
      <c r="B5839" s="16">
        <v>45590</v>
      </c>
      <c r="C5839" t="s">
        <v>2</v>
      </c>
      <c r="D5839" t="s">
        <v>57</v>
      </c>
      <c r="E5839">
        <v>11905</v>
      </c>
      <c r="F5839">
        <v>6765</v>
      </c>
      <c r="G5839">
        <v>300</v>
      </c>
      <c r="H5839">
        <v>134</v>
      </c>
      <c r="I5839">
        <v>350477</v>
      </c>
      <c r="J5839">
        <v>46</v>
      </c>
      <c r="K5839">
        <v>224934</v>
      </c>
      <c r="L5839">
        <v>33</v>
      </c>
      <c r="M5839">
        <v>773</v>
      </c>
      <c r="N5839">
        <v>11876</v>
      </c>
      <c r="O5839">
        <f t="shared" si="190"/>
        <v>2024</v>
      </c>
      <c r="P5839">
        <f t="shared" si="191"/>
        <v>10</v>
      </c>
      <c r="Q5839" t="s">
        <v>785</v>
      </c>
      <c r="R5839" t="s">
        <v>805</v>
      </c>
    </row>
    <row r="5840" spans="1:18" x14ac:dyDescent="0.3">
      <c r="A5840" t="s">
        <v>627</v>
      </c>
      <c r="B5840" s="16">
        <v>45590</v>
      </c>
      <c r="C5840" t="s">
        <v>2</v>
      </c>
      <c r="D5840" t="s">
        <v>52</v>
      </c>
      <c r="E5840">
        <v>660</v>
      </c>
      <c r="F5840">
        <v>484</v>
      </c>
      <c r="G5840">
        <v>33</v>
      </c>
      <c r="H5840">
        <v>2</v>
      </c>
      <c r="I5840">
        <v>47631</v>
      </c>
      <c r="J5840">
        <v>7</v>
      </c>
      <c r="K5840">
        <v>38731</v>
      </c>
      <c r="L5840">
        <v>6</v>
      </c>
      <c r="M5840">
        <v>660</v>
      </c>
      <c r="N5840">
        <v>398</v>
      </c>
      <c r="O5840">
        <f t="shared" si="190"/>
        <v>2024</v>
      </c>
      <c r="P5840">
        <f t="shared" si="191"/>
        <v>10</v>
      </c>
      <c r="Q5840" t="s">
        <v>785</v>
      </c>
      <c r="R5840" t="s">
        <v>805</v>
      </c>
    </row>
    <row r="5841" spans="1:18" x14ac:dyDescent="0.3">
      <c r="A5841" t="s">
        <v>627</v>
      </c>
      <c r="B5841" s="16">
        <v>45590</v>
      </c>
      <c r="C5841" t="s">
        <v>2</v>
      </c>
      <c r="D5841" t="s">
        <v>55</v>
      </c>
      <c r="E5841">
        <v>222</v>
      </c>
      <c r="F5841">
        <v>167</v>
      </c>
      <c r="G5841">
        <v>4</v>
      </c>
      <c r="H5841">
        <v>3</v>
      </c>
      <c r="I5841">
        <v>0</v>
      </c>
      <c r="J5841">
        <v>0</v>
      </c>
      <c r="K5841">
        <v>0</v>
      </c>
      <c r="L5841">
        <v>0</v>
      </c>
      <c r="M5841">
        <v>4</v>
      </c>
      <c r="N5841">
        <v>174</v>
      </c>
      <c r="O5841">
        <f t="shared" si="190"/>
        <v>2024</v>
      </c>
      <c r="P5841">
        <f t="shared" si="191"/>
        <v>10</v>
      </c>
      <c r="Q5841" t="s">
        <v>785</v>
      </c>
      <c r="R5841" t="s">
        <v>805</v>
      </c>
    </row>
    <row r="5842" spans="1:18" x14ac:dyDescent="0.3">
      <c r="A5842" t="s">
        <v>627</v>
      </c>
      <c r="B5842" s="16">
        <v>45590</v>
      </c>
      <c r="C5842" t="s">
        <v>3</v>
      </c>
      <c r="D5842" t="s">
        <v>155</v>
      </c>
      <c r="E5842">
        <v>6</v>
      </c>
      <c r="F5842">
        <v>6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6</v>
      </c>
      <c r="O5842">
        <f t="shared" si="190"/>
        <v>2024</v>
      </c>
      <c r="P5842">
        <f t="shared" si="191"/>
        <v>10</v>
      </c>
      <c r="Q5842" t="s">
        <v>785</v>
      </c>
      <c r="R5842" t="s">
        <v>805</v>
      </c>
    </row>
    <row r="5843" spans="1:18" x14ac:dyDescent="0.3">
      <c r="A5843" t="s">
        <v>627</v>
      </c>
      <c r="B5843" s="16">
        <v>45590</v>
      </c>
      <c r="C5843" t="s">
        <v>3</v>
      </c>
      <c r="D5843" t="s">
        <v>153</v>
      </c>
      <c r="E5843">
        <v>624</v>
      </c>
      <c r="F5843">
        <v>112</v>
      </c>
      <c r="G5843">
        <v>54</v>
      </c>
      <c r="H5843">
        <v>10</v>
      </c>
      <c r="I5843">
        <v>391065.74</v>
      </c>
      <c r="J5843">
        <v>45</v>
      </c>
      <c r="K5843">
        <v>341195.74</v>
      </c>
      <c r="L5843">
        <v>39</v>
      </c>
      <c r="M5843">
        <v>127</v>
      </c>
      <c r="N5843">
        <v>608</v>
      </c>
      <c r="O5843">
        <f t="shared" si="190"/>
        <v>2024</v>
      </c>
      <c r="P5843">
        <f t="shared" si="191"/>
        <v>10</v>
      </c>
      <c r="Q5843" t="s">
        <v>785</v>
      </c>
      <c r="R5843" t="s">
        <v>805</v>
      </c>
    </row>
    <row r="5844" spans="1:18" x14ac:dyDescent="0.3">
      <c r="A5844" t="s">
        <v>627</v>
      </c>
      <c r="B5844" s="16">
        <v>45590</v>
      </c>
      <c r="C5844" t="s">
        <v>3</v>
      </c>
      <c r="D5844" t="s">
        <v>152</v>
      </c>
      <c r="E5844">
        <v>9</v>
      </c>
      <c r="F5844">
        <v>1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9</v>
      </c>
      <c r="O5844">
        <f t="shared" si="190"/>
        <v>2024</v>
      </c>
      <c r="P5844">
        <f t="shared" si="191"/>
        <v>10</v>
      </c>
      <c r="Q5844" t="s">
        <v>785</v>
      </c>
      <c r="R5844" t="s">
        <v>805</v>
      </c>
    </row>
    <row r="5845" spans="1:18" x14ac:dyDescent="0.3">
      <c r="A5845" t="s">
        <v>627</v>
      </c>
      <c r="B5845" s="16">
        <v>45590</v>
      </c>
      <c r="C5845" t="s">
        <v>3</v>
      </c>
      <c r="D5845" t="s">
        <v>150</v>
      </c>
      <c r="E5845">
        <v>12</v>
      </c>
      <c r="F5845">
        <v>4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12</v>
      </c>
      <c r="O5845">
        <f t="shared" si="190"/>
        <v>2024</v>
      </c>
      <c r="P5845">
        <f t="shared" si="191"/>
        <v>10</v>
      </c>
      <c r="Q5845" t="s">
        <v>785</v>
      </c>
      <c r="R5845" t="s">
        <v>805</v>
      </c>
    </row>
    <row r="5846" spans="1:18" x14ac:dyDescent="0.3">
      <c r="A5846" t="s">
        <v>627</v>
      </c>
      <c r="B5846" s="16">
        <v>45590</v>
      </c>
      <c r="C5846" t="s">
        <v>3</v>
      </c>
      <c r="D5846" t="s">
        <v>149</v>
      </c>
      <c r="E5846">
        <v>4</v>
      </c>
      <c r="F5846">
        <v>4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1</v>
      </c>
      <c r="N5846">
        <v>4</v>
      </c>
      <c r="O5846">
        <f t="shared" si="190"/>
        <v>2024</v>
      </c>
      <c r="P5846">
        <f t="shared" si="191"/>
        <v>10</v>
      </c>
      <c r="Q5846" t="s">
        <v>785</v>
      </c>
      <c r="R5846" t="s">
        <v>805</v>
      </c>
    </row>
    <row r="5847" spans="1:18" x14ac:dyDescent="0.3">
      <c r="A5847" t="s">
        <v>627</v>
      </c>
      <c r="B5847" s="16">
        <v>45590</v>
      </c>
      <c r="C5847" t="s">
        <v>3</v>
      </c>
      <c r="D5847" t="s">
        <v>148</v>
      </c>
      <c r="E5847">
        <v>4</v>
      </c>
      <c r="F5847">
        <v>3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2</v>
      </c>
      <c r="N5847">
        <v>2</v>
      </c>
      <c r="O5847">
        <f t="shared" si="190"/>
        <v>2024</v>
      </c>
      <c r="P5847">
        <f t="shared" si="191"/>
        <v>10</v>
      </c>
      <c r="Q5847" t="s">
        <v>785</v>
      </c>
      <c r="R5847" t="s">
        <v>805</v>
      </c>
    </row>
    <row r="5848" spans="1:18" x14ac:dyDescent="0.3">
      <c r="A5848" t="s">
        <v>627</v>
      </c>
      <c r="B5848" s="16">
        <v>45590</v>
      </c>
      <c r="C5848" t="s">
        <v>3</v>
      </c>
      <c r="D5848" t="s">
        <v>367</v>
      </c>
      <c r="E5848">
        <v>73</v>
      </c>
      <c r="F5848">
        <v>50</v>
      </c>
      <c r="G5848">
        <v>2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73</v>
      </c>
      <c r="O5848">
        <f t="shared" si="190"/>
        <v>2024</v>
      </c>
      <c r="P5848">
        <f t="shared" si="191"/>
        <v>10</v>
      </c>
      <c r="Q5848" t="s">
        <v>785</v>
      </c>
      <c r="R5848" t="s">
        <v>805</v>
      </c>
    </row>
    <row r="5849" spans="1:18" x14ac:dyDescent="0.3">
      <c r="A5849" t="s">
        <v>627</v>
      </c>
      <c r="B5849" s="16">
        <v>45590</v>
      </c>
      <c r="C5849" t="s">
        <v>3</v>
      </c>
      <c r="D5849" t="s">
        <v>251</v>
      </c>
      <c r="E5849">
        <v>413</v>
      </c>
      <c r="F5849">
        <v>141</v>
      </c>
      <c r="G5849">
        <v>19</v>
      </c>
      <c r="H5849">
        <v>6</v>
      </c>
      <c r="I5849">
        <v>41694.26</v>
      </c>
      <c r="J5849">
        <v>6</v>
      </c>
      <c r="K5849">
        <v>37819.26</v>
      </c>
      <c r="L5849">
        <v>5</v>
      </c>
      <c r="M5849">
        <v>86</v>
      </c>
      <c r="N5849">
        <v>356</v>
      </c>
      <c r="O5849">
        <f t="shared" si="190"/>
        <v>2024</v>
      </c>
      <c r="P5849">
        <f t="shared" si="191"/>
        <v>10</v>
      </c>
      <c r="Q5849" t="s">
        <v>785</v>
      </c>
      <c r="R5849" t="s">
        <v>805</v>
      </c>
    </row>
    <row r="5850" spans="1:18" x14ac:dyDescent="0.3">
      <c r="A5850" t="s">
        <v>627</v>
      </c>
      <c r="B5850" s="16">
        <v>45590</v>
      </c>
      <c r="C5850" t="s">
        <v>3</v>
      </c>
      <c r="D5850" t="s">
        <v>143</v>
      </c>
      <c r="E5850">
        <v>15</v>
      </c>
      <c r="F5850">
        <v>14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15</v>
      </c>
      <c r="O5850">
        <f t="shared" si="190"/>
        <v>2024</v>
      </c>
      <c r="P5850">
        <f t="shared" si="191"/>
        <v>10</v>
      </c>
      <c r="Q5850" t="s">
        <v>785</v>
      </c>
      <c r="R5850" t="s">
        <v>805</v>
      </c>
    </row>
    <row r="5851" spans="1:18" x14ac:dyDescent="0.3">
      <c r="A5851" t="s">
        <v>627</v>
      </c>
      <c r="B5851" s="16">
        <v>45590</v>
      </c>
      <c r="C5851" t="s">
        <v>3</v>
      </c>
      <c r="D5851" t="s">
        <v>141</v>
      </c>
      <c r="E5851">
        <v>3</v>
      </c>
      <c r="F5851">
        <v>2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3</v>
      </c>
      <c r="O5851">
        <f t="shared" si="190"/>
        <v>2024</v>
      </c>
      <c r="P5851">
        <f t="shared" si="191"/>
        <v>10</v>
      </c>
      <c r="Q5851" t="s">
        <v>785</v>
      </c>
      <c r="R5851" t="s">
        <v>805</v>
      </c>
    </row>
    <row r="5852" spans="1:18" x14ac:dyDescent="0.3">
      <c r="A5852" t="s">
        <v>627</v>
      </c>
      <c r="B5852" s="16">
        <v>45590</v>
      </c>
      <c r="C5852" t="s">
        <v>3</v>
      </c>
      <c r="D5852" t="s">
        <v>140</v>
      </c>
      <c r="E5852">
        <v>13</v>
      </c>
      <c r="F5852">
        <v>8</v>
      </c>
      <c r="G5852">
        <v>3</v>
      </c>
      <c r="H5852">
        <v>0</v>
      </c>
      <c r="I5852">
        <v>5475</v>
      </c>
      <c r="J5852">
        <v>1</v>
      </c>
      <c r="K5852">
        <v>5475</v>
      </c>
      <c r="L5852">
        <v>1</v>
      </c>
      <c r="M5852">
        <v>0</v>
      </c>
      <c r="N5852">
        <v>13</v>
      </c>
      <c r="O5852">
        <f t="shared" si="190"/>
        <v>2024</v>
      </c>
      <c r="P5852">
        <f t="shared" si="191"/>
        <v>10</v>
      </c>
      <c r="Q5852" t="s">
        <v>785</v>
      </c>
      <c r="R5852" t="s">
        <v>805</v>
      </c>
    </row>
    <row r="5853" spans="1:18" x14ac:dyDescent="0.3">
      <c r="A5853" t="s">
        <v>627</v>
      </c>
      <c r="B5853" s="16">
        <v>45590</v>
      </c>
      <c r="C5853" t="s">
        <v>3</v>
      </c>
      <c r="D5853" t="s">
        <v>139</v>
      </c>
      <c r="E5853">
        <v>1128</v>
      </c>
      <c r="F5853">
        <v>614</v>
      </c>
      <c r="G5853">
        <v>52</v>
      </c>
      <c r="H5853">
        <v>15</v>
      </c>
      <c r="I5853">
        <v>154198.42000000001</v>
      </c>
      <c r="J5853">
        <v>22</v>
      </c>
      <c r="K5853">
        <v>117523.42</v>
      </c>
      <c r="L5853">
        <v>19</v>
      </c>
      <c r="M5853">
        <v>485</v>
      </c>
      <c r="N5853">
        <v>1000</v>
      </c>
      <c r="O5853">
        <f t="shared" si="190"/>
        <v>2024</v>
      </c>
      <c r="P5853">
        <f t="shared" si="191"/>
        <v>10</v>
      </c>
      <c r="Q5853" t="s">
        <v>785</v>
      </c>
      <c r="R5853" t="s">
        <v>805</v>
      </c>
    </row>
    <row r="5854" spans="1:18" x14ac:dyDescent="0.3">
      <c r="A5854" t="s">
        <v>627</v>
      </c>
      <c r="B5854" s="16">
        <v>45590</v>
      </c>
      <c r="C5854" t="s">
        <v>3</v>
      </c>
      <c r="D5854" t="s">
        <v>138</v>
      </c>
      <c r="E5854">
        <v>3</v>
      </c>
      <c r="F5854">
        <v>1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2</v>
      </c>
      <c r="N5854">
        <v>2</v>
      </c>
      <c r="O5854">
        <f t="shared" si="190"/>
        <v>2024</v>
      </c>
      <c r="P5854">
        <f t="shared" si="191"/>
        <v>10</v>
      </c>
      <c r="Q5854" t="s">
        <v>785</v>
      </c>
      <c r="R5854" t="s">
        <v>805</v>
      </c>
    </row>
    <row r="5855" spans="1:18" x14ac:dyDescent="0.3">
      <c r="A5855" t="s">
        <v>627</v>
      </c>
      <c r="B5855" s="16">
        <v>45590</v>
      </c>
      <c r="C5855" t="s">
        <v>3</v>
      </c>
      <c r="D5855" t="s">
        <v>137</v>
      </c>
      <c r="E5855">
        <v>11</v>
      </c>
      <c r="F5855">
        <v>5</v>
      </c>
      <c r="G5855">
        <v>4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2</v>
      </c>
      <c r="N5855">
        <v>11</v>
      </c>
      <c r="O5855">
        <f t="shared" si="190"/>
        <v>2024</v>
      </c>
      <c r="P5855">
        <f t="shared" si="191"/>
        <v>10</v>
      </c>
      <c r="Q5855" t="s">
        <v>785</v>
      </c>
      <c r="R5855" t="s">
        <v>805</v>
      </c>
    </row>
    <row r="5856" spans="1:18" x14ac:dyDescent="0.3">
      <c r="A5856" t="s">
        <v>627</v>
      </c>
      <c r="B5856" s="16">
        <v>45590</v>
      </c>
      <c r="C5856" t="s">
        <v>3</v>
      </c>
      <c r="D5856" t="s">
        <v>135</v>
      </c>
      <c r="E5856">
        <v>32</v>
      </c>
      <c r="F5856">
        <v>13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32</v>
      </c>
      <c r="O5856">
        <f t="shared" si="190"/>
        <v>2024</v>
      </c>
      <c r="P5856">
        <f t="shared" si="191"/>
        <v>10</v>
      </c>
      <c r="Q5856" t="s">
        <v>785</v>
      </c>
      <c r="R5856" t="s">
        <v>805</v>
      </c>
    </row>
    <row r="5857" spans="1:18" x14ac:dyDescent="0.3">
      <c r="A5857" t="s">
        <v>627</v>
      </c>
      <c r="B5857" s="16">
        <v>45590</v>
      </c>
      <c r="C5857" t="s">
        <v>3</v>
      </c>
      <c r="D5857" t="s">
        <v>133</v>
      </c>
      <c r="E5857">
        <v>30</v>
      </c>
      <c r="F5857">
        <v>16</v>
      </c>
      <c r="G5857">
        <v>2</v>
      </c>
      <c r="H5857">
        <v>2</v>
      </c>
      <c r="I5857">
        <v>12750</v>
      </c>
      <c r="J5857">
        <v>1</v>
      </c>
      <c r="K5857">
        <v>4250</v>
      </c>
      <c r="L5857">
        <v>1</v>
      </c>
      <c r="M5857">
        <v>9</v>
      </c>
      <c r="N5857">
        <v>27</v>
      </c>
      <c r="O5857">
        <f t="shared" si="190"/>
        <v>2024</v>
      </c>
      <c r="P5857">
        <f t="shared" si="191"/>
        <v>10</v>
      </c>
      <c r="Q5857" t="s">
        <v>785</v>
      </c>
      <c r="R5857" t="s">
        <v>805</v>
      </c>
    </row>
    <row r="5858" spans="1:18" x14ac:dyDescent="0.3">
      <c r="A5858" t="s">
        <v>627</v>
      </c>
      <c r="B5858" s="16">
        <v>45590</v>
      </c>
      <c r="C5858" t="s">
        <v>3</v>
      </c>
      <c r="D5858" t="s">
        <v>130</v>
      </c>
      <c r="E5858">
        <v>141</v>
      </c>
      <c r="F5858">
        <v>31</v>
      </c>
      <c r="G5858">
        <v>17</v>
      </c>
      <c r="H5858">
        <v>4</v>
      </c>
      <c r="I5858">
        <v>129918.18</v>
      </c>
      <c r="J5858">
        <v>19</v>
      </c>
      <c r="K5858">
        <v>102028.18</v>
      </c>
      <c r="L5858">
        <v>18</v>
      </c>
      <c r="M5858">
        <v>39</v>
      </c>
      <c r="N5858">
        <v>133</v>
      </c>
      <c r="O5858">
        <f t="shared" si="190"/>
        <v>2024</v>
      </c>
      <c r="P5858">
        <f t="shared" si="191"/>
        <v>10</v>
      </c>
      <c r="Q5858" t="s">
        <v>785</v>
      </c>
      <c r="R5858" t="s">
        <v>805</v>
      </c>
    </row>
    <row r="5859" spans="1:18" x14ac:dyDescent="0.3">
      <c r="A5859" t="s">
        <v>627</v>
      </c>
      <c r="B5859" s="16">
        <v>45590</v>
      </c>
      <c r="C5859" t="s">
        <v>3</v>
      </c>
      <c r="D5859" t="s">
        <v>128</v>
      </c>
      <c r="E5859">
        <v>1081</v>
      </c>
      <c r="F5859">
        <v>723</v>
      </c>
      <c r="G5859">
        <v>37</v>
      </c>
      <c r="H5859">
        <v>12</v>
      </c>
      <c r="I5859">
        <v>73758</v>
      </c>
      <c r="J5859">
        <v>9</v>
      </c>
      <c r="K5859">
        <v>47788</v>
      </c>
      <c r="L5859">
        <v>6</v>
      </c>
      <c r="M5859">
        <v>255</v>
      </c>
      <c r="N5859">
        <v>998</v>
      </c>
      <c r="O5859">
        <f t="shared" si="190"/>
        <v>2024</v>
      </c>
      <c r="P5859">
        <f t="shared" si="191"/>
        <v>10</v>
      </c>
      <c r="Q5859" t="s">
        <v>785</v>
      </c>
      <c r="R5859" t="s">
        <v>805</v>
      </c>
    </row>
    <row r="5860" spans="1:18" x14ac:dyDescent="0.3">
      <c r="A5860" t="s">
        <v>627</v>
      </c>
      <c r="B5860" s="16">
        <v>45590</v>
      </c>
      <c r="C5860" t="s">
        <v>3</v>
      </c>
      <c r="D5860" t="s">
        <v>127</v>
      </c>
      <c r="E5860">
        <v>5759</v>
      </c>
      <c r="F5860">
        <v>3261</v>
      </c>
      <c r="G5860">
        <v>144</v>
      </c>
      <c r="H5860">
        <v>45</v>
      </c>
      <c r="I5860">
        <v>181953.24</v>
      </c>
      <c r="J5860">
        <v>20</v>
      </c>
      <c r="K5860">
        <v>145378.23999999999</v>
      </c>
      <c r="L5860">
        <v>16</v>
      </c>
      <c r="M5860">
        <v>1558</v>
      </c>
      <c r="N5860">
        <v>4512</v>
      </c>
      <c r="O5860">
        <f t="shared" si="190"/>
        <v>2024</v>
      </c>
      <c r="P5860">
        <f t="shared" si="191"/>
        <v>10</v>
      </c>
      <c r="Q5860" t="s">
        <v>785</v>
      </c>
      <c r="R5860" t="s">
        <v>805</v>
      </c>
    </row>
    <row r="5861" spans="1:18" x14ac:dyDescent="0.3">
      <c r="A5861" t="s">
        <v>627</v>
      </c>
      <c r="B5861" s="16">
        <v>45590</v>
      </c>
      <c r="C5861" t="s">
        <v>3</v>
      </c>
      <c r="D5861" t="s">
        <v>126</v>
      </c>
      <c r="E5861">
        <v>149</v>
      </c>
      <c r="F5861">
        <v>98</v>
      </c>
      <c r="G5861">
        <v>8</v>
      </c>
      <c r="H5861">
        <v>6</v>
      </c>
      <c r="I5861">
        <v>7800</v>
      </c>
      <c r="J5861">
        <v>1</v>
      </c>
      <c r="K5861">
        <v>7800</v>
      </c>
      <c r="L5861">
        <v>1</v>
      </c>
      <c r="M5861">
        <v>13</v>
      </c>
      <c r="N5861">
        <v>147</v>
      </c>
      <c r="O5861">
        <f t="shared" si="190"/>
        <v>2024</v>
      </c>
      <c r="P5861">
        <f t="shared" si="191"/>
        <v>10</v>
      </c>
      <c r="Q5861" t="s">
        <v>785</v>
      </c>
      <c r="R5861" t="s">
        <v>805</v>
      </c>
    </row>
    <row r="5862" spans="1:18" x14ac:dyDescent="0.3">
      <c r="A5862" t="s">
        <v>627</v>
      </c>
      <c r="B5862" s="16">
        <v>45590</v>
      </c>
      <c r="C5862" t="s">
        <v>3</v>
      </c>
      <c r="D5862" t="s">
        <v>125</v>
      </c>
      <c r="E5862">
        <v>6</v>
      </c>
      <c r="F5862">
        <v>2</v>
      </c>
      <c r="G5862">
        <v>2</v>
      </c>
      <c r="H5862">
        <v>1</v>
      </c>
      <c r="I5862">
        <v>3850</v>
      </c>
      <c r="J5862">
        <v>1</v>
      </c>
      <c r="K5862">
        <v>3850</v>
      </c>
      <c r="L5862">
        <v>1</v>
      </c>
      <c r="M5862">
        <v>0</v>
      </c>
      <c r="N5862">
        <v>6</v>
      </c>
      <c r="O5862">
        <f t="shared" si="190"/>
        <v>2024</v>
      </c>
      <c r="P5862">
        <f t="shared" si="191"/>
        <v>10</v>
      </c>
      <c r="Q5862" t="s">
        <v>785</v>
      </c>
      <c r="R5862" t="s">
        <v>805</v>
      </c>
    </row>
    <row r="5863" spans="1:18" x14ac:dyDescent="0.3">
      <c r="A5863" t="s">
        <v>627</v>
      </c>
      <c r="B5863" s="16">
        <v>45590</v>
      </c>
      <c r="C5863" t="s">
        <v>3</v>
      </c>
      <c r="D5863" t="s">
        <v>123</v>
      </c>
      <c r="E5863">
        <v>384</v>
      </c>
      <c r="F5863">
        <v>140</v>
      </c>
      <c r="G5863">
        <v>24</v>
      </c>
      <c r="H5863">
        <v>7</v>
      </c>
      <c r="I5863">
        <v>38834.26</v>
      </c>
      <c r="J5863">
        <v>6</v>
      </c>
      <c r="K5863">
        <v>38834.26</v>
      </c>
      <c r="L5863">
        <v>6</v>
      </c>
      <c r="M5863">
        <v>98</v>
      </c>
      <c r="N5863">
        <v>354</v>
      </c>
      <c r="O5863">
        <f t="shared" si="190"/>
        <v>2024</v>
      </c>
      <c r="P5863">
        <f t="shared" si="191"/>
        <v>10</v>
      </c>
      <c r="Q5863" t="s">
        <v>785</v>
      </c>
      <c r="R5863" t="s">
        <v>805</v>
      </c>
    </row>
    <row r="5864" spans="1:18" x14ac:dyDescent="0.3">
      <c r="A5864" t="s">
        <v>627</v>
      </c>
      <c r="B5864" s="16">
        <v>45590</v>
      </c>
      <c r="C5864" t="s">
        <v>3</v>
      </c>
      <c r="D5864" t="s">
        <v>120</v>
      </c>
      <c r="E5864">
        <v>533</v>
      </c>
      <c r="F5864">
        <v>271</v>
      </c>
      <c r="G5864">
        <v>20</v>
      </c>
      <c r="H5864">
        <v>0</v>
      </c>
      <c r="I5864">
        <v>17751.63</v>
      </c>
      <c r="J5864">
        <v>2</v>
      </c>
      <c r="K5864">
        <v>16234.63</v>
      </c>
      <c r="L5864">
        <v>2</v>
      </c>
      <c r="M5864">
        <v>82</v>
      </c>
      <c r="N5864">
        <v>525</v>
      </c>
      <c r="O5864">
        <f t="shared" si="190"/>
        <v>2024</v>
      </c>
      <c r="P5864">
        <f t="shared" si="191"/>
        <v>10</v>
      </c>
      <c r="Q5864" t="s">
        <v>785</v>
      </c>
      <c r="R5864" t="s">
        <v>805</v>
      </c>
    </row>
    <row r="5865" spans="1:18" x14ac:dyDescent="0.3">
      <c r="A5865" t="s">
        <v>627</v>
      </c>
      <c r="B5865" s="16">
        <v>45590</v>
      </c>
      <c r="C5865" t="s">
        <v>3</v>
      </c>
      <c r="D5865" t="s">
        <v>119</v>
      </c>
      <c r="E5865">
        <v>592</v>
      </c>
      <c r="F5865">
        <v>110</v>
      </c>
      <c r="G5865">
        <v>40</v>
      </c>
      <c r="H5865">
        <v>12</v>
      </c>
      <c r="I5865">
        <v>200770.08</v>
      </c>
      <c r="J5865">
        <v>34</v>
      </c>
      <c r="K5865">
        <v>132700.07999999999</v>
      </c>
      <c r="L5865">
        <v>26</v>
      </c>
      <c r="M5865">
        <v>150</v>
      </c>
      <c r="N5865">
        <v>562</v>
      </c>
      <c r="O5865">
        <f t="shared" si="190"/>
        <v>2024</v>
      </c>
      <c r="P5865">
        <f t="shared" si="191"/>
        <v>10</v>
      </c>
      <c r="Q5865" t="s">
        <v>785</v>
      </c>
      <c r="R5865" t="s">
        <v>805</v>
      </c>
    </row>
    <row r="5866" spans="1:18" x14ac:dyDescent="0.3">
      <c r="A5866" t="s">
        <v>627</v>
      </c>
      <c r="B5866" s="16">
        <v>45590</v>
      </c>
      <c r="C5866" t="s">
        <v>3</v>
      </c>
      <c r="D5866" t="s">
        <v>117</v>
      </c>
      <c r="E5866">
        <v>1</v>
      </c>
      <c r="F5866">
        <v>1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1</v>
      </c>
      <c r="O5866">
        <f t="shared" si="190"/>
        <v>2024</v>
      </c>
      <c r="P5866">
        <f t="shared" si="191"/>
        <v>10</v>
      </c>
      <c r="Q5866" t="s">
        <v>785</v>
      </c>
      <c r="R5866" t="s">
        <v>805</v>
      </c>
    </row>
    <row r="5867" spans="1:18" x14ac:dyDescent="0.3">
      <c r="A5867" t="s">
        <v>627</v>
      </c>
      <c r="B5867" s="16">
        <v>45590</v>
      </c>
      <c r="C5867" t="s">
        <v>3</v>
      </c>
      <c r="D5867" t="s">
        <v>115</v>
      </c>
      <c r="E5867">
        <v>2</v>
      </c>
      <c r="F5867">
        <v>1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2</v>
      </c>
      <c r="O5867">
        <f t="shared" si="190"/>
        <v>2024</v>
      </c>
      <c r="P5867">
        <f t="shared" si="191"/>
        <v>10</v>
      </c>
      <c r="Q5867" t="s">
        <v>785</v>
      </c>
      <c r="R5867" t="s">
        <v>805</v>
      </c>
    </row>
    <row r="5868" spans="1:18" x14ac:dyDescent="0.3">
      <c r="A5868" t="s">
        <v>627</v>
      </c>
      <c r="B5868" s="16">
        <v>45590</v>
      </c>
      <c r="C5868" t="s">
        <v>3</v>
      </c>
      <c r="D5868" t="s">
        <v>114</v>
      </c>
      <c r="E5868">
        <v>2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1</v>
      </c>
      <c r="N5868">
        <v>1</v>
      </c>
      <c r="O5868">
        <f t="shared" si="190"/>
        <v>2024</v>
      </c>
      <c r="P5868">
        <f t="shared" si="191"/>
        <v>10</v>
      </c>
      <c r="Q5868" t="s">
        <v>785</v>
      </c>
      <c r="R5868" t="s">
        <v>805</v>
      </c>
    </row>
    <row r="5869" spans="1:18" x14ac:dyDescent="0.3">
      <c r="A5869" t="s">
        <v>627</v>
      </c>
      <c r="B5869" s="16">
        <v>45590</v>
      </c>
      <c r="C5869" t="s">
        <v>3</v>
      </c>
      <c r="D5869" t="s">
        <v>113</v>
      </c>
      <c r="E5869">
        <v>118</v>
      </c>
      <c r="F5869">
        <v>50</v>
      </c>
      <c r="G5869">
        <v>3</v>
      </c>
      <c r="H5869">
        <v>2</v>
      </c>
      <c r="I5869">
        <v>24890</v>
      </c>
      <c r="J5869">
        <v>3</v>
      </c>
      <c r="K5869">
        <v>16340</v>
      </c>
      <c r="L5869">
        <v>3</v>
      </c>
      <c r="M5869">
        <v>88</v>
      </c>
      <c r="N5869">
        <v>79</v>
      </c>
      <c r="O5869">
        <f t="shared" si="190"/>
        <v>2024</v>
      </c>
      <c r="P5869">
        <f t="shared" si="191"/>
        <v>10</v>
      </c>
      <c r="Q5869" t="s">
        <v>785</v>
      </c>
      <c r="R5869" t="s">
        <v>805</v>
      </c>
    </row>
    <row r="5870" spans="1:18" x14ac:dyDescent="0.3">
      <c r="A5870" t="s">
        <v>627</v>
      </c>
      <c r="B5870" s="16">
        <v>45590</v>
      </c>
      <c r="C5870" t="s">
        <v>3</v>
      </c>
      <c r="D5870" t="s">
        <v>112</v>
      </c>
      <c r="E5870">
        <v>16</v>
      </c>
      <c r="F5870">
        <v>7</v>
      </c>
      <c r="G5870">
        <v>0</v>
      </c>
      <c r="H5870">
        <v>0</v>
      </c>
      <c r="I5870">
        <v>16368</v>
      </c>
      <c r="J5870">
        <v>1</v>
      </c>
      <c r="K5870">
        <v>16368</v>
      </c>
      <c r="L5870">
        <v>1</v>
      </c>
      <c r="M5870">
        <v>0</v>
      </c>
      <c r="N5870">
        <v>16</v>
      </c>
      <c r="O5870">
        <f t="shared" si="190"/>
        <v>2024</v>
      </c>
      <c r="P5870">
        <f t="shared" si="191"/>
        <v>10</v>
      </c>
      <c r="Q5870" t="s">
        <v>785</v>
      </c>
      <c r="R5870" t="s">
        <v>805</v>
      </c>
    </row>
    <row r="5871" spans="1:18" x14ac:dyDescent="0.3">
      <c r="A5871" t="s">
        <v>627</v>
      </c>
      <c r="B5871" s="16">
        <v>45589</v>
      </c>
      <c r="C5871" t="s">
        <v>2</v>
      </c>
      <c r="D5871" t="s">
        <v>4</v>
      </c>
      <c r="E5871">
        <v>4083</v>
      </c>
      <c r="F5871">
        <v>3849</v>
      </c>
      <c r="G5871">
        <v>247</v>
      </c>
      <c r="H5871">
        <v>16</v>
      </c>
      <c r="I5871">
        <v>189513</v>
      </c>
      <c r="J5871">
        <v>54</v>
      </c>
      <c r="K5871">
        <v>152193</v>
      </c>
      <c r="L5871">
        <v>48</v>
      </c>
      <c r="M5871">
        <v>50</v>
      </c>
      <c r="N5871">
        <v>4066</v>
      </c>
      <c r="O5871">
        <f t="shared" si="190"/>
        <v>2024</v>
      </c>
      <c r="P5871">
        <f t="shared" si="191"/>
        <v>10</v>
      </c>
      <c r="Q5871" t="s">
        <v>785</v>
      </c>
      <c r="R5871" t="s">
        <v>805</v>
      </c>
    </row>
    <row r="5872" spans="1:18" x14ac:dyDescent="0.3">
      <c r="A5872" t="s">
        <v>627</v>
      </c>
      <c r="B5872" s="16">
        <v>45589</v>
      </c>
      <c r="C5872" t="s">
        <v>2</v>
      </c>
      <c r="D5872" t="s">
        <v>57</v>
      </c>
      <c r="E5872">
        <v>16923</v>
      </c>
      <c r="F5872">
        <v>10762</v>
      </c>
      <c r="G5872">
        <v>845</v>
      </c>
      <c r="H5872">
        <v>187</v>
      </c>
      <c r="I5872">
        <v>1401360.84</v>
      </c>
      <c r="J5872">
        <v>238</v>
      </c>
      <c r="K5872">
        <v>1124207.3400000001</v>
      </c>
      <c r="L5872">
        <v>209</v>
      </c>
      <c r="M5872">
        <v>1249</v>
      </c>
      <c r="N5872">
        <v>16842</v>
      </c>
      <c r="O5872">
        <f t="shared" si="190"/>
        <v>2024</v>
      </c>
      <c r="P5872">
        <f t="shared" si="191"/>
        <v>10</v>
      </c>
      <c r="Q5872" t="s">
        <v>785</v>
      </c>
      <c r="R5872" t="s">
        <v>805</v>
      </c>
    </row>
    <row r="5873" spans="1:18" x14ac:dyDescent="0.3">
      <c r="A5873" t="s">
        <v>627</v>
      </c>
      <c r="B5873" s="16">
        <v>45589</v>
      </c>
      <c r="C5873" t="s">
        <v>2</v>
      </c>
      <c r="D5873" t="s">
        <v>52</v>
      </c>
      <c r="E5873">
        <v>682</v>
      </c>
      <c r="F5873">
        <v>501</v>
      </c>
      <c r="G5873">
        <v>49</v>
      </c>
      <c r="H5873">
        <v>10</v>
      </c>
      <c r="I5873">
        <v>124136.93</v>
      </c>
      <c r="J5873">
        <v>23</v>
      </c>
      <c r="K5873">
        <v>119836.93</v>
      </c>
      <c r="L5873">
        <v>23</v>
      </c>
      <c r="M5873">
        <v>682</v>
      </c>
      <c r="N5873">
        <v>431</v>
      </c>
      <c r="O5873">
        <f t="shared" si="190"/>
        <v>2024</v>
      </c>
      <c r="P5873">
        <f t="shared" si="191"/>
        <v>10</v>
      </c>
      <c r="Q5873" t="s">
        <v>785</v>
      </c>
      <c r="R5873" t="s">
        <v>805</v>
      </c>
    </row>
    <row r="5874" spans="1:18" x14ac:dyDescent="0.3">
      <c r="A5874" t="s">
        <v>627</v>
      </c>
      <c r="B5874" s="16">
        <v>45589</v>
      </c>
      <c r="C5874" t="s">
        <v>2</v>
      </c>
      <c r="D5874" t="s">
        <v>55</v>
      </c>
      <c r="E5874">
        <v>2104</v>
      </c>
      <c r="F5874">
        <v>1586</v>
      </c>
      <c r="G5874">
        <v>16</v>
      </c>
      <c r="H5874">
        <v>5</v>
      </c>
      <c r="I5874">
        <v>0</v>
      </c>
      <c r="J5874">
        <v>0</v>
      </c>
      <c r="K5874">
        <v>0</v>
      </c>
      <c r="L5874">
        <v>0</v>
      </c>
      <c r="M5874">
        <v>30</v>
      </c>
      <c r="N5874">
        <v>435</v>
      </c>
      <c r="O5874">
        <f t="shared" si="190"/>
        <v>2024</v>
      </c>
      <c r="P5874">
        <f t="shared" si="191"/>
        <v>10</v>
      </c>
      <c r="Q5874" t="s">
        <v>785</v>
      </c>
      <c r="R5874" t="s">
        <v>805</v>
      </c>
    </row>
    <row r="5875" spans="1:18" x14ac:dyDescent="0.3">
      <c r="A5875" t="s">
        <v>627</v>
      </c>
      <c r="B5875" s="16">
        <v>45589</v>
      </c>
      <c r="C5875" t="s">
        <v>3</v>
      </c>
      <c r="D5875" t="s">
        <v>155</v>
      </c>
      <c r="E5875">
        <v>5</v>
      </c>
      <c r="F5875">
        <v>3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1</v>
      </c>
      <c r="N5875">
        <v>5</v>
      </c>
      <c r="O5875">
        <f t="shared" si="190"/>
        <v>2024</v>
      </c>
      <c r="P5875">
        <f t="shared" si="191"/>
        <v>10</v>
      </c>
      <c r="Q5875" t="s">
        <v>785</v>
      </c>
      <c r="R5875" t="s">
        <v>805</v>
      </c>
    </row>
    <row r="5876" spans="1:18" x14ac:dyDescent="0.3">
      <c r="A5876" t="s">
        <v>627</v>
      </c>
      <c r="B5876" s="16">
        <v>45589</v>
      </c>
      <c r="C5876" t="s">
        <v>3</v>
      </c>
      <c r="D5876" t="s">
        <v>154</v>
      </c>
      <c r="E5876">
        <v>585</v>
      </c>
      <c r="F5876">
        <v>443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2</v>
      </c>
      <c r="O5876">
        <f t="shared" si="190"/>
        <v>2024</v>
      </c>
      <c r="P5876">
        <f t="shared" si="191"/>
        <v>10</v>
      </c>
      <c r="Q5876" t="s">
        <v>785</v>
      </c>
      <c r="R5876" t="s">
        <v>805</v>
      </c>
    </row>
    <row r="5877" spans="1:18" x14ac:dyDescent="0.3">
      <c r="A5877" t="s">
        <v>627</v>
      </c>
      <c r="B5877" s="16">
        <v>45589</v>
      </c>
      <c r="C5877" t="s">
        <v>3</v>
      </c>
      <c r="D5877" t="s">
        <v>153</v>
      </c>
      <c r="E5877">
        <v>1159</v>
      </c>
      <c r="F5877">
        <v>485</v>
      </c>
      <c r="G5877">
        <v>214</v>
      </c>
      <c r="H5877">
        <v>13</v>
      </c>
      <c r="I5877">
        <v>1239881.08</v>
      </c>
      <c r="J5877">
        <v>240</v>
      </c>
      <c r="K5877">
        <v>1134636.48</v>
      </c>
      <c r="L5877">
        <v>229</v>
      </c>
      <c r="M5877">
        <v>337</v>
      </c>
      <c r="N5877">
        <v>1119</v>
      </c>
      <c r="O5877">
        <f t="shared" si="190"/>
        <v>2024</v>
      </c>
      <c r="P5877">
        <f t="shared" si="191"/>
        <v>10</v>
      </c>
      <c r="Q5877" t="s">
        <v>785</v>
      </c>
      <c r="R5877" t="s">
        <v>805</v>
      </c>
    </row>
    <row r="5878" spans="1:18" x14ac:dyDescent="0.3">
      <c r="A5878" t="s">
        <v>627</v>
      </c>
      <c r="B5878" s="16">
        <v>45589</v>
      </c>
      <c r="C5878" t="s">
        <v>3</v>
      </c>
      <c r="D5878" t="s">
        <v>152</v>
      </c>
      <c r="E5878">
        <v>188</v>
      </c>
      <c r="F5878">
        <v>166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10</v>
      </c>
      <c r="O5878">
        <f t="shared" si="190"/>
        <v>2024</v>
      </c>
      <c r="P5878">
        <f t="shared" si="191"/>
        <v>10</v>
      </c>
      <c r="Q5878" t="s">
        <v>785</v>
      </c>
      <c r="R5878" t="s">
        <v>805</v>
      </c>
    </row>
    <row r="5879" spans="1:18" x14ac:dyDescent="0.3">
      <c r="A5879" t="s">
        <v>627</v>
      </c>
      <c r="B5879" s="16">
        <v>45589</v>
      </c>
      <c r="C5879" t="s">
        <v>3</v>
      </c>
      <c r="D5879" t="s">
        <v>150</v>
      </c>
      <c r="E5879">
        <v>62</v>
      </c>
      <c r="F5879">
        <v>52</v>
      </c>
      <c r="G5879">
        <v>1</v>
      </c>
      <c r="H5879">
        <v>1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7</v>
      </c>
      <c r="O5879">
        <f t="shared" si="190"/>
        <v>2024</v>
      </c>
      <c r="P5879">
        <f t="shared" si="191"/>
        <v>10</v>
      </c>
      <c r="Q5879" t="s">
        <v>785</v>
      </c>
      <c r="R5879" t="s">
        <v>805</v>
      </c>
    </row>
    <row r="5880" spans="1:18" x14ac:dyDescent="0.3">
      <c r="A5880" t="s">
        <v>627</v>
      </c>
      <c r="B5880" s="16">
        <v>45589</v>
      </c>
      <c r="C5880" t="s">
        <v>3</v>
      </c>
      <c r="D5880" t="s">
        <v>149</v>
      </c>
      <c r="E5880">
        <v>12</v>
      </c>
      <c r="F5880">
        <v>6</v>
      </c>
      <c r="G5880">
        <v>0</v>
      </c>
      <c r="H5880">
        <v>1</v>
      </c>
      <c r="I5880">
        <v>0</v>
      </c>
      <c r="J5880">
        <v>0</v>
      </c>
      <c r="K5880">
        <v>0</v>
      </c>
      <c r="L5880">
        <v>0</v>
      </c>
      <c r="M5880">
        <v>1</v>
      </c>
      <c r="N5880">
        <v>8</v>
      </c>
      <c r="O5880">
        <f t="shared" si="190"/>
        <v>2024</v>
      </c>
      <c r="P5880">
        <f t="shared" si="191"/>
        <v>10</v>
      </c>
      <c r="Q5880" t="s">
        <v>785</v>
      </c>
      <c r="R5880" t="s">
        <v>805</v>
      </c>
    </row>
    <row r="5881" spans="1:18" x14ac:dyDescent="0.3">
      <c r="A5881" t="s">
        <v>627</v>
      </c>
      <c r="B5881" s="16">
        <v>45589</v>
      </c>
      <c r="C5881" t="s">
        <v>3</v>
      </c>
      <c r="D5881" t="s">
        <v>148</v>
      </c>
      <c r="E5881">
        <v>1</v>
      </c>
      <c r="F5881">
        <v>1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1</v>
      </c>
      <c r="N5881">
        <v>0</v>
      </c>
      <c r="O5881">
        <f t="shared" si="190"/>
        <v>2024</v>
      </c>
      <c r="P5881">
        <f t="shared" si="191"/>
        <v>10</v>
      </c>
      <c r="Q5881" t="s">
        <v>785</v>
      </c>
      <c r="R5881" t="s">
        <v>805</v>
      </c>
    </row>
    <row r="5882" spans="1:18" x14ac:dyDescent="0.3">
      <c r="A5882" t="s">
        <v>627</v>
      </c>
      <c r="B5882" s="16">
        <v>45589</v>
      </c>
      <c r="C5882" t="s">
        <v>3</v>
      </c>
      <c r="D5882" t="s">
        <v>367</v>
      </c>
      <c r="E5882">
        <v>135</v>
      </c>
      <c r="F5882">
        <v>85</v>
      </c>
      <c r="G5882">
        <v>2</v>
      </c>
      <c r="H5882">
        <v>1</v>
      </c>
      <c r="I5882">
        <v>0</v>
      </c>
      <c r="J5882">
        <v>0</v>
      </c>
      <c r="K5882">
        <v>0</v>
      </c>
      <c r="L5882">
        <v>0</v>
      </c>
      <c r="M5882">
        <v>2</v>
      </c>
      <c r="N5882">
        <v>135</v>
      </c>
      <c r="O5882">
        <f t="shared" si="190"/>
        <v>2024</v>
      </c>
      <c r="P5882">
        <f t="shared" si="191"/>
        <v>10</v>
      </c>
      <c r="Q5882" t="s">
        <v>785</v>
      </c>
      <c r="R5882" t="s">
        <v>805</v>
      </c>
    </row>
    <row r="5883" spans="1:18" x14ac:dyDescent="0.3">
      <c r="A5883" t="s">
        <v>627</v>
      </c>
      <c r="B5883" s="16">
        <v>45589</v>
      </c>
      <c r="C5883" t="s">
        <v>3</v>
      </c>
      <c r="D5883" t="s">
        <v>146</v>
      </c>
      <c r="E5883">
        <v>4</v>
      </c>
      <c r="F5883">
        <v>4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4</v>
      </c>
      <c r="O5883">
        <f t="shared" si="190"/>
        <v>2024</v>
      </c>
      <c r="P5883">
        <f t="shared" si="191"/>
        <v>10</v>
      </c>
      <c r="Q5883" t="s">
        <v>785</v>
      </c>
      <c r="R5883" t="s">
        <v>805</v>
      </c>
    </row>
    <row r="5884" spans="1:18" x14ac:dyDescent="0.3">
      <c r="A5884" t="s">
        <v>627</v>
      </c>
      <c r="B5884" s="16">
        <v>45589</v>
      </c>
      <c r="C5884" t="s">
        <v>3</v>
      </c>
      <c r="D5884" t="s">
        <v>251</v>
      </c>
      <c r="E5884">
        <v>11210</v>
      </c>
      <c r="F5884">
        <v>10730</v>
      </c>
      <c r="G5884">
        <v>38</v>
      </c>
      <c r="H5884">
        <v>12</v>
      </c>
      <c r="I5884">
        <v>162913.15</v>
      </c>
      <c r="J5884">
        <v>21</v>
      </c>
      <c r="K5884">
        <v>146463.15</v>
      </c>
      <c r="L5884">
        <v>19</v>
      </c>
      <c r="M5884">
        <v>144</v>
      </c>
      <c r="N5884">
        <v>496</v>
      </c>
      <c r="O5884">
        <f t="shared" si="190"/>
        <v>2024</v>
      </c>
      <c r="P5884">
        <f t="shared" si="191"/>
        <v>10</v>
      </c>
      <c r="Q5884" t="s">
        <v>785</v>
      </c>
      <c r="R5884" t="s">
        <v>805</v>
      </c>
    </row>
    <row r="5885" spans="1:18" x14ac:dyDescent="0.3">
      <c r="A5885" t="s">
        <v>627</v>
      </c>
      <c r="B5885" s="16">
        <v>45589</v>
      </c>
      <c r="C5885" t="s">
        <v>3</v>
      </c>
      <c r="D5885" t="s">
        <v>143</v>
      </c>
      <c r="E5885">
        <v>24</v>
      </c>
      <c r="F5885">
        <v>22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1</v>
      </c>
      <c r="N5885">
        <v>24</v>
      </c>
      <c r="O5885">
        <f t="shared" si="190"/>
        <v>2024</v>
      </c>
      <c r="P5885">
        <f t="shared" si="191"/>
        <v>10</v>
      </c>
      <c r="Q5885" t="s">
        <v>785</v>
      </c>
      <c r="R5885" t="s">
        <v>805</v>
      </c>
    </row>
    <row r="5886" spans="1:18" x14ac:dyDescent="0.3">
      <c r="A5886" t="s">
        <v>627</v>
      </c>
      <c r="B5886" s="16">
        <v>45589</v>
      </c>
      <c r="C5886" t="s">
        <v>3</v>
      </c>
      <c r="D5886" t="s">
        <v>141</v>
      </c>
      <c r="E5886">
        <v>9</v>
      </c>
      <c r="F5886">
        <v>9</v>
      </c>
      <c r="G5886">
        <v>2</v>
      </c>
      <c r="H5886">
        <v>0</v>
      </c>
      <c r="I5886">
        <v>1498</v>
      </c>
      <c r="J5886">
        <v>1</v>
      </c>
      <c r="K5886">
        <v>1498</v>
      </c>
      <c r="L5886">
        <v>1</v>
      </c>
      <c r="M5886">
        <v>0</v>
      </c>
      <c r="N5886">
        <v>9</v>
      </c>
      <c r="O5886">
        <f t="shared" si="190"/>
        <v>2024</v>
      </c>
      <c r="P5886">
        <f t="shared" si="191"/>
        <v>10</v>
      </c>
      <c r="Q5886" t="s">
        <v>785</v>
      </c>
      <c r="R5886" t="s">
        <v>805</v>
      </c>
    </row>
    <row r="5887" spans="1:18" x14ac:dyDescent="0.3">
      <c r="A5887" t="s">
        <v>627</v>
      </c>
      <c r="B5887" s="16">
        <v>45589</v>
      </c>
      <c r="C5887" t="s">
        <v>3</v>
      </c>
      <c r="D5887" t="s">
        <v>140</v>
      </c>
      <c r="E5887">
        <v>60</v>
      </c>
      <c r="F5887">
        <v>56</v>
      </c>
      <c r="G5887">
        <v>16</v>
      </c>
      <c r="H5887">
        <v>2</v>
      </c>
      <c r="I5887">
        <v>32670</v>
      </c>
      <c r="J5887">
        <v>9</v>
      </c>
      <c r="K5887">
        <v>32670</v>
      </c>
      <c r="L5887">
        <v>9</v>
      </c>
      <c r="M5887">
        <v>4</v>
      </c>
      <c r="N5887">
        <v>58</v>
      </c>
      <c r="O5887">
        <f t="shared" si="190"/>
        <v>2024</v>
      </c>
      <c r="P5887">
        <f t="shared" si="191"/>
        <v>10</v>
      </c>
      <c r="Q5887" t="s">
        <v>785</v>
      </c>
      <c r="R5887" t="s">
        <v>805</v>
      </c>
    </row>
    <row r="5888" spans="1:18" x14ac:dyDescent="0.3">
      <c r="A5888" t="s">
        <v>627</v>
      </c>
      <c r="B5888" s="16">
        <v>45589</v>
      </c>
      <c r="C5888" t="s">
        <v>3</v>
      </c>
      <c r="D5888" t="s">
        <v>139</v>
      </c>
      <c r="E5888">
        <v>1533</v>
      </c>
      <c r="F5888">
        <v>905</v>
      </c>
      <c r="G5888">
        <v>136</v>
      </c>
      <c r="H5888">
        <v>23</v>
      </c>
      <c r="I5888">
        <v>365763.09</v>
      </c>
      <c r="J5888">
        <v>70</v>
      </c>
      <c r="K5888">
        <v>328754.08</v>
      </c>
      <c r="L5888">
        <v>67</v>
      </c>
      <c r="M5888">
        <v>608</v>
      </c>
      <c r="N5888">
        <v>1298</v>
      </c>
      <c r="O5888">
        <f t="shared" si="190"/>
        <v>2024</v>
      </c>
      <c r="P5888">
        <f t="shared" si="191"/>
        <v>10</v>
      </c>
      <c r="Q5888" t="s">
        <v>785</v>
      </c>
      <c r="R5888" t="s">
        <v>805</v>
      </c>
    </row>
    <row r="5889" spans="1:18" x14ac:dyDescent="0.3">
      <c r="A5889" t="s">
        <v>627</v>
      </c>
      <c r="B5889" s="16">
        <v>45589</v>
      </c>
      <c r="C5889" t="s">
        <v>3</v>
      </c>
      <c r="D5889" t="s">
        <v>138</v>
      </c>
      <c r="E5889">
        <v>15</v>
      </c>
      <c r="F5889">
        <v>6</v>
      </c>
      <c r="G5889">
        <v>2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1</v>
      </c>
      <c r="N5889">
        <v>15</v>
      </c>
      <c r="O5889">
        <f t="shared" si="190"/>
        <v>2024</v>
      </c>
      <c r="P5889">
        <f t="shared" si="191"/>
        <v>10</v>
      </c>
      <c r="Q5889" t="s">
        <v>785</v>
      </c>
      <c r="R5889" t="s">
        <v>805</v>
      </c>
    </row>
    <row r="5890" spans="1:18" x14ac:dyDescent="0.3">
      <c r="A5890" t="s">
        <v>627</v>
      </c>
      <c r="B5890" s="16">
        <v>45589</v>
      </c>
      <c r="C5890" t="s">
        <v>3</v>
      </c>
      <c r="D5890" t="s">
        <v>137</v>
      </c>
      <c r="E5890">
        <v>10</v>
      </c>
      <c r="F5890">
        <v>8</v>
      </c>
      <c r="G5890">
        <v>1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1</v>
      </c>
      <c r="N5890">
        <v>10</v>
      </c>
      <c r="O5890">
        <f t="shared" si="190"/>
        <v>2024</v>
      </c>
      <c r="P5890">
        <f t="shared" si="191"/>
        <v>10</v>
      </c>
      <c r="Q5890" t="s">
        <v>785</v>
      </c>
      <c r="R5890" t="s">
        <v>805</v>
      </c>
    </row>
    <row r="5891" spans="1:18" x14ac:dyDescent="0.3">
      <c r="A5891" t="s">
        <v>627</v>
      </c>
      <c r="B5891" s="16">
        <v>45589</v>
      </c>
      <c r="C5891" t="s">
        <v>3</v>
      </c>
      <c r="D5891" t="s">
        <v>135</v>
      </c>
      <c r="E5891">
        <v>61</v>
      </c>
      <c r="F5891">
        <v>43</v>
      </c>
      <c r="G5891">
        <v>0</v>
      </c>
      <c r="H5891">
        <v>1</v>
      </c>
      <c r="I5891">
        <v>0</v>
      </c>
      <c r="J5891">
        <v>0</v>
      </c>
      <c r="K5891">
        <v>0</v>
      </c>
      <c r="L5891">
        <v>0</v>
      </c>
      <c r="M5891">
        <v>1</v>
      </c>
      <c r="N5891">
        <v>21</v>
      </c>
      <c r="O5891">
        <f t="shared" si="190"/>
        <v>2024</v>
      </c>
      <c r="P5891">
        <f t="shared" si="191"/>
        <v>10</v>
      </c>
      <c r="Q5891" t="s">
        <v>785</v>
      </c>
      <c r="R5891" t="s">
        <v>805</v>
      </c>
    </row>
    <row r="5892" spans="1:18" x14ac:dyDescent="0.3">
      <c r="A5892" t="s">
        <v>627</v>
      </c>
      <c r="B5892" s="16">
        <v>45589</v>
      </c>
      <c r="C5892" t="s">
        <v>3</v>
      </c>
      <c r="D5892" t="s">
        <v>133</v>
      </c>
      <c r="E5892">
        <v>55</v>
      </c>
      <c r="F5892">
        <v>38</v>
      </c>
      <c r="G5892">
        <v>7</v>
      </c>
      <c r="H5892">
        <v>1</v>
      </c>
      <c r="I5892">
        <v>17178</v>
      </c>
      <c r="J5892">
        <v>5</v>
      </c>
      <c r="K5892">
        <v>17178</v>
      </c>
      <c r="L5892">
        <v>5</v>
      </c>
      <c r="M5892">
        <v>13</v>
      </c>
      <c r="N5892">
        <v>50</v>
      </c>
      <c r="O5892">
        <f t="shared" si="190"/>
        <v>2024</v>
      </c>
      <c r="P5892">
        <f t="shared" si="191"/>
        <v>10</v>
      </c>
      <c r="Q5892" t="s">
        <v>785</v>
      </c>
      <c r="R5892" t="s">
        <v>805</v>
      </c>
    </row>
    <row r="5893" spans="1:18" x14ac:dyDescent="0.3">
      <c r="A5893" t="s">
        <v>627</v>
      </c>
      <c r="B5893" s="16">
        <v>45589</v>
      </c>
      <c r="C5893" t="s">
        <v>3</v>
      </c>
      <c r="D5893" t="s">
        <v>130</v>
      </c>
      <c r="E5893">
        <v>213</v>
      </c>
      <c r="F5893">
        <v>70</v>
      </c>
      <c r="G5893">
        <v>31</v>
      </c>
      <c r="H5893">
        <v>5</v>
      </c>
      <c r="I5893">
        <v>187111.1</v>
      </c>
      <c r="J5893">
        <v>31</v>
      </c>
      <c r="K5893">
        <v>167721.1</v>
      </c>
      <c r="L5893">
        <v>29</v>
      </c>
      <c r="M5893">
        <v>61</v>
      </c>
      <c r="N5893">
        <v>203</v>
      </c>
      <c r="O5893">
        <f t="shared" si="190"/>
        <v>2024</v>
      </c>
      <c r="P5893">
        <f t="shared" si="191"/>
        <v>10</v>
      </c>
      <c r="Q5893" t="s">
        <v>785</v>
      </c>
      <c r="R5893" t="s">
        <v>805</v>
      </c>
    </row>
    <row r="5894" spans="1:18" x14ac:dyDescent="0.3">
      <c r="A5894" t="s">
        <v>627</v>
      </c>
      <c r="B5894" s="16">
        <v>45589</v>
      </c>
      <c r="C5894" t="s">
        <v>3</v>
      </c>
      <c r="D5894" t="s">
        <v>128</v>
      </c>
      <c r="E5894">
        <v>2592</v>
      </c>
      <c r="F5894">
        <v>2103</v>
      </c>
      <c r="G5894">
        <v>460</v>
      </c>
      <c r="H5894">
        <v>28</v>
      </c>
      <c r="I5894">
        <v>876586.5</v>
      </c>
      <c r="J5894">
        <v>182</v>
      </c>
      <c r="K5894">
        <v>760746.5</v>
      </c>
      <c r="L5894">
        <v>163</v>
      </c>
      <c r="M5894">
        <v>454</v>
      </c>
      <c r="N5894">
        <v>2422</v>
      </c>
      <c r="O5894">
        <f t="shared" si="190"/>
        <v>2024</v>
      </c>
      <c r="P5894">
        <f t="shared" si="191"/>
        <v>10</v>
      </c>
      <c r="Q5894" t="s">
        <v>785</v>
      </c>
      <c r="R5894" t="s">
        <v>805</v>
      </c>
    </row>
    <row r="5895" spans="1:18" x14ac:dyDescent="0.3">
      <c r="A5895" t="s">
        <v>627</v>
      </c>
      <c r="B5895" s="16">
        <v>45589</v>
      </c>
      <c r="C5895" t="s">
        <v>3</v>
      </c>
      <c r="D5895" t="s">
        <v>127</v>
      </c>
      <c r="E5895">
        <v>7235</v>
      </c>
      <c r="F5895">
        <v>4475</v>
      </c>
      <c r="G5895">
        <v>184</v>
      </c>
      <c r="H5895">
        <v>57</v>
      </c>
      <c r="I5895">
        <v>200817.5</v>
      </c>
      <c r="J5895">
        <v>45</v>
      </c>
      <c r="K5895">
        <v>161912</v>
      </c>
      <c r="L5895">
        <v>40</v>
      </c>
      <c r="M5895">
        <v>1701</v>
      </c>
      <c r="N5895">
        <v>5476</v>
      </c>
      <c r="O5895">
        <f t="shared" si="190"/>
        <v>2024</v>
      </c>
      <c r="P5895">
        <f t="shared" si="191"/>
        <v>10</v>
      </c>
      <c r="Q5895" t="s">
        <v>785</v>
      </c>
      <c r="R5895" t="s">
        <v>805</v>
      </c>
    </row>
    <row r="5896" spans="1:18" x14ac:dyDescent="0.3">
      <c r="A5896" t="s">
        <v>627</v>
      </c>
      <c r="B5896" s="16">
        <v>45589</v>
      </c>
      <c r="C5896" t="s">
        <v>3</v>
      </c>
      <c r="D5896" t="s">
        <v>126</v>
      </c>
      <c r="E5896">
        <v>246</v>
      </c>
      <c r="F5896">
        <v>159</v>
      </c>
      <c r="G5896">
        <v>16</v>
      </c>
      <c r="H5896">
        <v>5</v>
      </c>
      <c r="I5896">
        <v>51630.5</v>
      </c>
      <c r="J5896">
        <v>6</v>
      </c>
      <c r="K5896">
        <v>43100.5</v>
      </c>
      <c r="L5896">
        <v>6</v>
      </c>
      <c r="M5896">
        <v>24</v>
      </c>
      <c r="N5896">
        <v>240</v>
      </c>
      <c r="O5896">
        <f t="shared" si="190"/>
        <v>2024</v>
      </c>
      <c r="P5896">
        <f t="shared" si="191"/>
        <v>10</v>
      </c>
      <c r="Q5896" t="s">
        <v>785</v>
      </c>
      <c r="R5896" t="s">
        <v>805</v>
      </c>
    </row>
    <row r="5897" spans="1:18" x14ac:dyDescent="0.3">
      <c r="A5897" t="s">
        <v>627</v>
      </c>
      <c r="B5897" s="16">
        <v>45589</v>
      </c>
      <c r="C5897" t="s">
        <v>3</v>
      </c>
      <c r="D5897" t="s">
        <v>125</v>
      </c>
      <c r="E5897">
        <v>11</v>
      </c>
      <c r="F5897">
        <v>5</v>
      </c>
      <c r="G5897">
        <v>2</v>
      </c>
      <c r="H5897">
        <v>0</v>
      </c>
      <c r="I5897">
        <v>6700</v>
      </c>
      <c r="J5897">
        <v>1</v>
      </c>
      <c r="K5897">
        <v>6700</v>
      </c>
      <c r="L5897">
        <v>1</v>
      </c>
      <c r="M5897">
        <v>4</v>
      </c>
      <c r="N5897">
        <v>11</v>
      </c>
      <c r="O5897">
        <f t="shared" ref="O5897:O5960" si="192">YEAR(B5897)</f>
        <v>2024</v>
      </c>
      <c r="P5897">
        <f t="shared" ref="P5897:P5960" si="193">MONTH(B5897)</f>
        <v>10</v>
      </c>
      <c r="Q5897" t="s">
        <v>785</v>
      </c>
      <c r="R5897" t="s">
        <v>805</v>
      </c>
    </row>
    <row r="5898" spans="1:18" x14ac:dyDescent="0.3">
      <c r="A5898" t="s">
        <v>627</v>
      </c>
      <c r="B5898" s="16">
        <v>45589</v>
      </c>
      <c r="C5898" t="s">
        <v>3</v>
      </c>
      <c r="D5898" t="s">
        <v>123</v>
      </c>
      <c r="E5898">
        <v>480</v>
      </c>
      <c r="F5898">
        <v>198</v>
      </c>
      <c r="G5898">
        <v>55</v>
      </c>
      <c r="H5898">
        <v>4</v>
      </c>
      <c r="I5898">
        <v>62688.639999999999</v>
      </c>
      <c r="J5898">
        <v>16</v>
      </c>
      <c r="K5898">
        <v>62688.639999999999</v>
      </c>
      <c r="L5898">
        <v>16</v>
      </c>
      <c r="M5898">
        <v>119</v>
      </c>
      <c r="N5898">
        <v>442</v>
      </c>
      <c r="O5898">
        <f t="shared" si="192"/>
        <v>2024</v>
      </c>
      <c r="P5898">
        <f t="shared" si="193"/>
        <v>10</v>
      </c>
      <c r="Q5898" t="s">
        <v>785</v>
      </c>
      <c r="R5898" t="s">
        <v>805</v>
      </c>
    </row>
    <row r="5899" spans="1:18" x14ac:dyDescent="0.3">
      <c r="A5899" t="s">
        <v>627</v>
      </c>
      <c r="B5899" s="16">
        <v>45589</v>
      </c>
      <c r="C5899" t="s">
        <v>3</v>
      </c>
      <c r="D5899" t="s">
        <v>121</v>
      </c>
      <c r="E5899">
        <v>3</v>
      </c>
      <c r="F5899">
        <v>3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3</v>
      </c>
      <c r="O5899">
        <f t="shared" si="192"/>
        <v>2024</v>
      </c>
      <c r="P5899">
        <f t="shared" si="193"/>
        <v>10</v>
      </c>
      <c r="Q5899" t="s">
        <v>785</v>
      </c>
      <c r="R5899" t="s">
        <v>805</v>
      </c>
    </row>
    <row r="5900" spans="1:18" x14ac:dyDescent="0.3">
      <c r="A5900" t="s">
        <v>627</v>
      </c>
      <c r="B5900" s="16">
        <v>45589</v>
      </c>
      <c r="C5900" t="s">
        <v>3</v>
      </c>
      <c r="D5900" t="s">
        <v>120</v>
      </c>
      <c r="E5900">
        <v>556</v>
      </c>
      <c r="F5900">
        <v>282</v>
      </c>
      <c r="G5900">
        <v>41</v>
      </c>
      <c r="H5900">
        <v>0</v>
      </c>
      <c r="I5900">
        <v>56436</v>
      </c>
      <c r="J5900">
        <v>13</v>
      </c>
      <c r="K5900">
        <v>41656</v>
      </c>
      <c r="L5900">
        <v>10</v>
      </c>
      <c r="M5900">
        <v>74</v>
      </c>
      <c r="N5900">
        <v>552</v>
      </c>
      <c r="O5900">
        <f t="shared" si="192"/>
        <v>2024</v>
      </c>
      <c r="P5900">
        <f t="shared" si="193"/>
        <v>10</v>
      </c>
      <c r="Q5900" t="s">
        <v>785</v>
      </c>
      <c r="R5900" t="s">
        <v>805</v>
      </c>
    </row>
    <row r="5901" spans="1:18" x14ac:dyDescent="0.3">
      <c r="A5901" t="s">
        <v>627</v>
      </c>
      <c r="B5901" s="16">
        <v>45589</v>
      </c>
      <c r="C5901" t="s">
        <v>3</v>
      </c>
      <c r="D5901" t="s">
        <v>119</v>
      </c>
      <c r="E5901">
        <v>782</v>
      </c>
      <c r="F5901">
        <v>230</v>
      </c>
      <c r="G5901">
        <v>131</v>
      </c>
      <c r="H5901">
        <v>14</v>
      </c>
      <c r="I5901">
        <v>469641.98</v>
      </c>
      <c r="J5901">
        <v>72</v>
      </c>
      <c r="K5901">
        <v>395587.56</v>
      </c>
      <c r="L5901">
        <v>66</v>
      </c>
      <c r="M5901">
        <v>191</v>
      </c>
      <c r="N5901">
        <v>734</v>
      </c>
      <c r="O5901">
        <f t="shared" si="192"/>
        <v>2024</v>
      </c>
      <c r="P5901">
        <f t="shared" si="193"/>
        <v>10</v>
      </c>
      <c r="Q5901" t="s">
        <v>785</v>
      </c>
      <c r="R5901" t="s">
        <v>805</v>
      </c>
    </row>
    <row r="5902" spans="1:18" x14ac:dyDescent="0.3">
      <c r="A5902" t="s">
        <v>627</v>
      </c>
      <c r="B5902" s="16">
        <v>45589</v>
      </c>
      <c r="C5902" t="s">
        <v>3</v>
      </c>
      <c r="D5902" t="s">
        <v>252</v>
      </c>
      <c r="E5902">
        <v>1</v>
      </c>
      <c r="F5902">
        <v>1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1</v>
      </c>
      <c r="O5902">
        <f t="shared" si="192"/>
        <v>2024</v>
      </c>
      <c r="P5902">
        <f t="shared" si="193"/>
        <v>10</v>
      </c>
      <c r="Q5902" t="s">
        <v>785</v>
      </c>
      <c r="R5902" t="s">
        <v>805</v>
      </c>
    </row>
    <row r="5903" spans="1:18" x14ac:dyDescent="0.3">
      <c r="A5903" t="s">
        <v>627</v>
      </c>
      <c r="B5903" s="16">
        <v>45589</v>
      </c>
      <c r="C5903" t="s">
        <v>3</v>
      </c>
      <c r="D5903" t="s">
        <v>117</v>
      </c>
      <c r="E5903">
        <v>2</v>
      </c>
      <c r="F5903">
        <v>2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2</v>
      </c>
      <c r="O5903">
        <f t="shared" si="192"/>
        <v>2024</v>
      </c>
      <c r="P5903">
        <f t="shared" si="193"/>
        <v>10</v>
      </c>
      <c r="Q5903" t="s">
        <v>785</v>
      </c>
      <c r="R5903" t="s">
        <v>805</v>
      </c>
    </row>
    <row r="5904" spans="1:18" x14ac:dyDescent="0.3">
      <c r="A5904" t="s">
        <v>627</v>
      </c>
      <c r="B5904" s="16">
        <v>45589</v>
      </c>
      <c r="C5904" t="s">
        <v>3</v>
      </c>
      <c r="D5904" t="s">
        <v>114</v>
      </c>
      <c r="E5904">
        <v>188</v>
      </c>
      <c r="F5904">
        <v>66</v>
      </c>
      <c r="G5904">
        <v>5</v>
      </c>
      <c r="H5904">
        <v>1</v>
      </c>
      <c r="I5904">
        <v>12634</v>
      </c>
      <c r="J5904">
        <v>2</v>
      </c>
      <c r="K5904">
        <v>8734</v>
      </c>
      <c r="L5904">
        <v>1</v>
      </c>
      <c r="M5904">
        <v>16</v>
      </c>
      <c r="N5904">
        <v>179</v>
      </c>
      <c r="O5904">
        <f t="shared" si="192"/>
        <v>2024</v>
      </c>
      <c r="P5904">
        <f t="shared" si="193"/>
        <v>10</v>
      </c>
      <c r="Q5904" t="s">
        <v>785</v>
      </c>
      <c r="R5904" t="s">
        <v>805</v>
      </c>
    </row>
    <row r="5905" spans="1:18" x14ac:dyDescent="0.3">
      <c r="A5905" t="s">
        <v>627</v>
      </c>
      <c r="B5905" s="16">
        <v>45589</v>
      </c>
      <c r="C5905" t="s">
        <v>3</v>
      </c>
      <c r="D5905" t="s">
        <v>113</v>
      </c>
      <c r="E5905">
        <v>149</v>
      </c>
      <c r="F5905">
        <v>67</v>
      </c>
      <c r="G5905">
        <v>4</v>
      </c>
      <c r="H5905">
        <v>0</v>
      </c>
      <c r="I5905">
        <v>4200</v>
      </c>
      <c r="J5905">
        <v>1</v>
      </c>
      <c r="K5905">
        <v>4200</v>
      </c>
      <c r="L5905">
        <v>1</v>
      </c>
      <c r="M5905">
        <v>114</v>
      </c>
      <c r="N5905">
        <v>80</v>
      </c>
      <c r="O5905">
        <f t="shared" si="192"/>
        <v>2024</v>
      </c>
      <c r="P5905">
        <f t="shared" si="193"/>
        <v>10</v>
      </c>
      <c r="Q5905" t="s">
        <v>785</v>
      </c>
      <c r="R5905" t="s">
        <v>805</v>
      </c>
    </row>
    <row r="5906" spans="1:18" x14ac:dyDescent="0.3">
      <c r="A5906" t="s">
        <v>627</v>
      </c>
      <c r="B5906" s="16">
        <v>45589</v>
      </c>
      <c r="C5906" t="s">
        <v>3</v>
      </c>
      <c r="D5906" t="s">
        <v>112</v>
      </c>
      <c r="E5906">
        <v>57</v>
      </c>
      <c r="F5906">
        <v>33</v>
      </c>
      <c r="G5906">
        <v>14</v>
      </c>
      <c r="H5906">
        <v>0</v>
      </c>
      <c r="I5906">
        <v>136950.85999999999</v>
      </c>
      <c r="J5906">
        <v>28</v>
      </c>
      <c r="K5906">
        <v>128099.86</v>
      </c>
      <c r="L5906">
        <v>28</v>
      </c>
      <c r="M5906">
        <v>2</v>
      </c>
      <c r="N5906">
        <v>57</v>
      </c>
      <c r="O5906">
        <f t="shared" si="192"/>
        <v>2024</v>
      </c>
      <c r="P5906">
        <f t="shared" si="193"/>
        <v>10</v>
      </c>
      <c r="Q5906" t="s">
        <v>785</v>
      </c>
      <c r="R5906" t="s">
        <v>805</v>
      </c>
    </row>
    <row r="5907" spans="1:18" x14ac:dyDescent="0.3">
      <c r="A5907" t="s">
        <v>627</v>
      </c>
      <c r="B5907" s="16">
        <v>45588</v>
      </c>
      <c r="C5907" t="s">
        <v>2</v>
      </c>
      <c r="D5907" t="s">
        <v>4</v>
      </c>
      <c r="E5907">
        <v>369</v>
      </c>
      <c r="F5907">
        <v>156</v>
      </c>
      <c r="G5907">
        <v>10</v>
      </c>
      <c r="H5907">
        <v>0</v>
      </c>
      <c r="I5907">
        <v>13362.5</v>
      </c>
      <c r="J5907">
        <v>5</v>
      </c>
      <c r="K5907">
        <v>13362.5</v>
      </c>
      <c r="L5907">
        <v>5</v>
      </c>
      <c r="M5907">
        <v>20</v>
      </c>
      <c r="N5907">
        <v>353</v>
      </c>
      <c r="O5907">
        <f t="shared" si="192"/>
        <v>2024</v>
      </c>
      <c r="P5907">
        <f t="shared" si="193"/>
        <v>10</v>
      </c>
      <c r="Q5907" t="s">
        <v>785</v>
      </c>
      <c r="R5907" t="s">
        <v>805</v>
      </c>
    </row>
    <row r="5908" spans="1:18" x14ac:dyDescent="0.3">
      <c r="A5908" t="s">
        <v>627</v>
      </c>
      <c r="B5908" s="16">
        <v>45588</v>
      </c>
      <c r="C5908" t="s">
        <v>2</v>
      </c>
      <c r="D5908" t="s">
        <v>57</v>
      </c>
      <c r="E5908">
        <v>17022</v>
      </c>
      <c r="F5908">
        <v>10694</v>
      </c>
      <c r="G5908">
        <v>653</v>
      </c>
      <c r="H5908">
        <v>196</v>
      </c>
      <c r="I5908">
        <v>856359.79</v>
      </c>
      <c r="J5908">
        <v>160</v>
      </c>
      <c r="K5908">
        <v>647542.37</v>
      </c>
      <c r="L5908">
        <v>131</v>
      </c>
      <c r="M5908">
        <v>1171</v>
      </c>
      <c r="N5908">
        <v>16966</v>
      </c>
      <c r="O5908">
        <f t="shared" si="192"/>
        <v>2024</v>
      </c>
      <c r="P5908">
        <f t="shared" si="193"/>
        <v>10</v>
      </c>
      <c r="Q5908" t="s">
        <v>785</v>
      </c>
      <c r="R5908" t="s">
        <v>805</v>
      </c>
    </row>
    <row r="5909" spans="1:18" x14ac:dyDescent="0.3">
      <c r="A5909" t="s">
        <v>627</v>
      </c>
      <c r="B5909" s="16">
        <v>45588</v>
      </c>
      <c r="C5909" t="s">
        <v>2</v>
      </c>
      <c r="D5909" t="s">
        <v>52</v>
      </c>
      <c r="E5909">
        <v>720</v>
      </c>
      <c r="F5909">
        <v>542</v>
      </c>
      <c r="G5909">
        <v>36</v>
      </c>
      <c r="H5909">
        <v>7</v>
      </c>
      <c r="I5909">
        <v>70308</v>
      </c>
      <c r="J5909">
        <v>12</v>
      </c>
      <c r="K5909">
        <v>36358</v>
      </c>
      <c r="L5909">
        <v>11</v>
      </c>
      <c r="M5909">
        <v>720</v>
      </c>
      <c r="N5909">
        <v>438</v>
      </c>
      <c r="O5909">
        <f t="shared" si="192"/>
        <v>2024</v>
      </c>
      <c r="P5909">
        <f t="shared" si="193"/>
        <v>10</v>
      </c>
      <c r="Q5909" t="s">
        <v>785</v>
      </c>
      <c r="R5909" t="s">
        <v>805</v>
      </c>
    </row>
    <row r="5910" spans="1:18" x14ac:dyDescent="0.3">
      <c r="A5910" t="s">
        <v>627</v>
      </c>
      <c r="B5910" s="16">
        <v>45588</v>
      </c>
      <c r="C5910" t="s">
        <v>2</v>
      </c>
      <c r="D5910" t="s">
        <v>55</v>
      </c>
      <c r="E5910">
        <v>2038</v>
      </c>
      <c r="F5910">
        <v>1607</v>
      </c>
      <c r="G5910">
        <v>13</v>
      </c>
      <c r="H5910">
        <v>3</v>
      </c>
      <c r="I5910">
        <v>0</v>
      </c>
      <c r="J5910">
        <v>0</v>
      </c>
      <c r="K5910">
        <v>0</v>
      </c>
      <c r="L5910">
        <v>0</v>
      </c>
      <c r="M5910">
        <v>13</v>
      </c>
      <c r="N5910">
        <v>359</v>
      </c>
      <c r="O5910">
        <f t="shared" si="192"/>
        <v>2024</v>
      </c>
      <c r="P5910">
        <f t="shared" si="193"/>
        <v>10</v>
      </c>
      <c r="Q5910" t="s">
        <v>785</v>
      </c>
      <c r="R5910" t="s">
        <v>805</v>
      </c>
    </row>
    <row r="5911" spans="1:18" x14ac:dyDescent="0.3">
      <c r="A5911" t="s">
        <v>627</v>
      </c>
      <c r="B5911" s="16">
        <v>45588</v>
      </c>
      <c r="C5911" t="s">
        <v>3</v>
      </c>
      <c r="D5911" t="s">
        <v>155</v>
      </c>
      <c r="E5911">
        <v>9</v>
      </c>
      <c r="F5911">
        <v>8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9</v>
      </c>
      <c r="O5911">
        <f t="shared" si="192"/>
        <v>2024</v>
      </c>
      <c r="P5911">
        <f t="shared" si="193"/>
        <v>10</v>
      </c>
      <c r="Q5911" t="s">
        <v>785</v>
      </c>
      <c r="R5911" t="s">
        <v>805</v>
      </c>
    </row>
    <row r="5912" spans="1:18" x14ac:dyDescent="0.3">
      <c r="A5912" t="s">
        <v>627</v>
      </c>
      <c r="B5912" s="16">
        <v>45588</v>
      </c>
      <c r="C5912" t="s">
        <v>3</v>
      </c>
      <c r="D5912" t="s">
        <v>154</v>
      </c>
      <c r="E5912">
        <v>689</v>
      </c>
      <c r="F5912">
        <v>556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f t="shared" si="192"/>
        <v>2024</v>
      </c>
      <c r="P5912">
        <f t="shared" si="193"/>
        <v>10</v>
      </c>
      <c r="Q5912" t="s">
        <v>785</v>
      </c>
      <c r="R5912" t="s">
        <v>805</v>
      </c>
    </row>
    <row r="5913" spans="1:18" x14ac:dyDescent="0.3">
      <c r="A5913" t="s">
        <v>627</v>
      </c>
      <c r="B5913" s="16">
        <v>45588</v>
      </c>
      <c r="C5913" t="s">
        <v>3</v>
      </c>
      <c r="D5913" t="s">
        <v>153</v>
      </c>
      <c r="E5913">
        <v>890</v>
      </c>
      <c r="F5913">
        <v>276</v>
      </c>
      <c r="G5913">
        <v>139</v>
      </c>
      <c r="H5913">
        <v>11</v>
      </c>
      <c r="I5913">
        <v>671644.92</v>
      </c>
      <c r="J5913">
        <v>125</v>
      </c>
      <c r="K5913">
        <v>590244.42000000004</v>
      </c>
      <c r="L5913">
        <v>119</v>
      </c>
      <c r="M5913">
        <v>263</v>
      </c>
      <c r="N5913">
        <v>854</v>
      </c>
      <c r="O5913">
        <f t="shared" si="192"/>
        <v>2024</v>
      </c>
      <c r="P5913">
        <f t="shared" si="193"/>
        <v>10</v>
      </c>
      <c r="Q5913" t="s">
        <v>785</v>
      </c>
      <c r="R5913" t="s">
        <v>805</v>
      </c>
    </row>
    <row r="5914" spans="1:18" x14ac:dyDescent="0.3">
      <c r="A5914" t="s">
        <v>627</v>
      </c>
      <c r="B5914" s="16">
        <v>45588</v>
      </c>
      <c r="C5914" t="s">
        <v>3</v>
      </c>
      <c r="D5914" t="s">
        <v>152</v>
      </c>
      <c r="E5914">
        <v>165</v>
      </c>
      <c r="F5914">
        <v>143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2</v>
      </c>
      <c r="O5914">
        <f t="shared" si="192"/>
        <v>2024</v>
      </c>
      <c r="P5914">
        <f t="shared" si="193"/>
        <v>10</v>
      </c>
      <c r="Q5914" t="s">
        <v>785</v>
      </c>
      <c r="R5914" t="s">
        <v>805</v>
      </c>
    </row>
    <row r="5915" spans="1:18" x14ac:dyDescent="0.3">
      <c r="A5915" t="s">
        <v>627</v>
      </c>
      <c r="B5915" s="16">
        <v>45588</v>
      </c>
      <c r="C5915" t="s">
        <v>3</v>
      </c>
      <c r="D5915" t="s">
        <v>150</v>
      </c>
      <c r="E5915">
        <v>5</v>
      </c>
      <c r="F5915">
        <v>3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3</v>
      </c>
      <c r="O5915">
        <f t="shared" si="192"/>
        <v>2024</v>
      </c>
      <c r="P5915">
        <f t="shared" si="193"/>
        <v>10</v>
      </c>
      <c r="Q5915" t="s">
        <v>785</v>
      </c>
      <c r="R5915" t="s">
        <v>805</v>
      </c>
    </row>
    <row r="5916" spans="1:18" x14ac:dyDescent="0.3">
      <c r="A5916" t="s">
        <v>627</v>
      </c>
      <c r="B5916" s="16">
        <v>45588</v>
      </c>
      <c r="C5916" t="s">
        <v>3</v>
      </c>
      <c r="D5916" t="s">
        <v>149</v>
      </c>
      <c r="E5916">
        <v>9</v>
      </c>
      <c r="F5916">
        <v>5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3</v>
      </c>
      <c r="O5916">
        <f t="shared" si="192"/>
        <v>2024</v>
      </c>
      <c r="P5916">
        <f t="shared" si="193"/>
        <v>10</v>
      </c>
      <c r="Q5916" t="s">
        <v>785</v>
      </c>
      <c r="R5916" t="s">
        <v>805</v>
      </c>
    </row>
    <row r="5917" spans="1:18" x14ac:dyDescent="0.3">
      <c r="A5917" t="s">
        <v>627</v>
      </c>
      <c r="B5917" s="16">
        <v>45588</v>
      </c>
      <c r="C5917" t="s">
        <v>3</v>
      </c>
      <c r="D5917" t="s">
        <v>148</v>
      </c>
      <c r="E5917">
        <v>4</v>
      </c>
      <c r="F5917">
        <v>2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3</v>
      </c>
      <c r="N5917">
        <v>1</v>
      </c>
      <c r="O5917">
        <f t="shared" si="192"/>
        <v>2024</v>
      </c>
      <c r="P5917">
        <f t="shared" si="193"/>
        <v>10</v>
      </c>
      <c r="Q5917" t="s">
        <v>785</v>
      </c>
      <c r="R5917" t="s">
        <v>805</v>
      </c>
    </row>
    <row r="5918" spans="1:18" x14ac:dyDescent="0.3">
      <c r="A5918" t="s">
        <v>627</v>
      </c>
      <c r="B5918" s="16">
        <v>45588</v>
      </c>
      <c r="C5918" t="s">
        <v>3</v>
      </c>
      <c r="D5918" t="s">
        <v>367</v>
      </c>
      <c r="E5918">
        <v>99</v>
      </c>
      <c r="F5918">
        <v>67</v>
      </c>
      <c r="G5918">
        <v>7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99</v>
      </c>
      <c r="O5918">
        <f t="shared" si="192"/>
        <v>2024</v>
      </c>
      <c r="P5918">
        <f t="shared" si="193"/>
        <v>10</v>
      </c>
      <c r="Q5918" t="s">
        <v>785</v>
      </c>
      <c r="R5918" t="s">
        <v>805</v>
      </c>
    </row>
    <row r="5919" spans="1:18" x14ac:dyDescent="0.3">
      <c r="A5919" t="s">
        <v>627</v>
      </c>
      <c r="B5919" s="16">
        <v>45588</v>
      </c>
      <c r="C5919" t="s">
        <v>3</v>
      </c>
      <c r="D5919" t="s">
        <v>146</v>
      </c>
      <c r="E5919">
        <v>4</v>
      </c>
      <c r="F5919">
        <v>3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4</v>
      </c>
      <c r="O5919">
        <f t="shared" si="192"/>
        <v>2024</v>
      </c>
      <c r="P5919">
        <f t="shared" si="193"/>
        <v>10</v>
      </c>
      <c r="Q5919" t="s">
        <v>785</v>
      </c>
      <c r="R5919" t="s">
        <v>805</v>
      </c>
    </row>
    <row r="5920" spans="1:18" x14ac:dyDescent="0.3">
      <c r="A5920" t="s">
        <v>627</v>
      </c>
      <c r="B5920" s="16">
        <v>45588</v>
      </c>
      <c r="C5920" t="s">
        <v>3</v>
      </c>
      <c r="D5920" t="s">
        <v>251</v>
      </c>
      <c r="E5920">
        <v>1732</v>
      </c>
      <c r="F5920">
        <v>1323</v>
      </c>
      <c r="G5920">
        <v>38</v>
      </c>
      <c r="H5920">
        <v>5</v>
      </c>
      <c r="I5920">
        <v>86489.5</v>
      </c>
      <c r="J5920">
        <v>13</v>
      </c>
      <c r="K5920">
        <v>86489.5</v>
      </c>
      <c r="L5920">
        <v>13</v>
      </c>
      <c r="M5920">
        <v>115</v>
      </c>
      <c r="N5920">
        <v>480</v>
      </c>
      <c r="O5920">
        <f t="shared" si="192"/>
        <v>2024</v>
      </c>
      <c r="P5920">
        <f t="shared" si="193"/>
        <v>10</v>
      </c>
      <c r="Q5920" t="s">
        <v>785</v>
      </c>
      <c r="R5920" t="s">
        <v>805</v>
      </c>
    </row>
    <row r="5921" spans="1:18" x14ac:dyDescent="0.3">
      <c r="A5921" t="s">
        <v>627</v>
      </c>
      <c r="B5921" s="16">
        <v>45588</v>
      </c>
      <c r="C5921" t="s">
        <v>3</v>
      </c>
      <c r="D5921" t="s">
        <v>143</v>
      </c>
      <c r="E5921">
        <v>21</v>
      </c>
      <c r="F5921">
        <v>19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2</v>
      </c>
      <c r="N5921">
        <v>21</v>
      </c>
      <c r="O5921">
        <f t="shared" si="192"/>
        <v>2024</v>
      </c>
      <c r="P5921">
        <f t="shared" si="193"/>
        <v>10</v>
      </c>
      <c r="Q5921" t="s">
        <v>785</v>
      </c>
      <c r="R5921" t="s">
        <v>805</v>
      </c>
    </row>
    <row r="5922" spans="1:18" x14ac:dyDescent="0.3">
      <c r="A5922" t="s">
        <v>627</v>
      </c>
      <c r="B5922" s="16">
        <v>45588</v>
      </c>
      <c r="C5922" t="s">
        <v>3</v>
      </c>
      <c r="D5922" t="s">
        <v>141</v>
      </c>
      <c r="E5922">
        <v>13</v>
      </c>
      <c r="F5922">
        <v>11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13</v>
      </c>
      <c r="O5922">
        <f t="shared" si="192"/>
        <v>2024</v>
      </c>
      <c r="P5922">
        <f t="shared" si="193"/>
        <v>10</v>
      </c>
      <c r="Q5922" t="s">
        <v>785</v>
      </c>
      <c r="R5922" t="s">
        <v>805</v>
      </c>
    </row>
    <row r="5923" spans="1:18" x14ac:dyDescent="0.3">
      <c r="A5923" t="s">
        <v>627</v>
      </c>
      <c r="B5923" s="16">
        <v>45588</v>
      </c>
      <c r="C5923" t="s">
        <v>3</v>
      </c>
      <c r="D5923" t="s">
        <v>140</v>
      </c>
      <c r="E5923">
        <v>12</v>
      </c>
      <c r="F5923">
        <v>11</v>
      </c>
      <c r="G5923">
        <v>2</v>
      </c>
      <c r="H5923">
        <v>1</v>
      </c>
      <c r="I5923">
        <v>2447.5</v>
      </c>
      <c r="J5923">
        <v>1</v>
      </c>
      <c r="K5923">
        <v>2447.5</v>
      </c>
      <c r="L5923">
        <v>1</v>
      </c>
      <c r="M5923">
        <v>2</v>
      </c>
      <c r="N5923">
        <v>12</v>
      </c>
      <c r="O5923">
        <f t="shared" si="192"/>
        <v>2024</v>
      </c>
      <c r="P5923">
        <f t="shared" si="193"/>
        <v>10</v>
      </c>
      <c r="Q5923" t="s">
        <v>785</v>
      </c>
      <c r="R5923" t="s">
        <v>805</v>
      </c>
    </row>
    <row r="5924" spans="1:18" x14ac:dyDescent="0.3">
      <c r="A5924" t="s">
        <v>627</v>
      </c>
      <c r="B5924" s="16">
        <v>45588</v>
      </c>
      <c r="C5924" t="s">
        <v>3</v>
      </c>
      <c r="D5924" t="s">
        <v>139</v>
      </c>
      <c r="E5924">
        <v>1371</v>
      </c>
      <c r="F5924">
        <v>787</v>
      </c>
      <c r="G5924">
        <v>116</v>
      </c>
      <c r="H5924">
        <v>17</v>
      </c>
      <c r="I5924">
        <v>256758.24</v>
      </c>
      <c r="J5924">
        <v>47</v>
      </c>
      <c r="K5924">
        <v>189544.32000000001</v>
      </c>
      <c r="L5924">
        <v>39</v>
      </c>
      <c r="M5924">
        <v>538</v>
      </c>
      <c r="N5924">
        <v>1132</v>
      </c>
      <c r="O5924">
        <f t="shared" si="192"/>
        <v>2024</v>
      </c>
      <c r="P5924">
        <f t="shared" si="193"/>
        <v>10</v>
      </c>
      <c r="Q5924" t="s">
        <v>785</v>
      </c>
      <c r="R5924" t="s">
        <v>805</v>
      </c>
    </row>
    <row r="5925" spans="1:18" x14ac:dyDescent="0.3">
      <c r="A5925" t="s">
        <v>627</v>
      </c>
      <c r="B5925" s="16">
        <v>45588</v>
      </c>
      <c r="C5925" t="s">
        <v>3</v>
      </c>
      <c r="D5925" t="s">
        <v>138</v>
      </c>
      <c r="E5925">
        <v>25</v>
      </c>
      <c r="F5925">
        <v>11</v>
      </c>
      <c r="G5925">
        <v>2</v>
      </c>
      <c r="H5925">
        <v>0</v>
      </c>
      <c r="I5925">
        <v>5500</v>
      </c>
      <c r="J5925">
        <v>1</v>
      </c>
      <c r="K5925">
        <v>2750</v>
      </c>
      <c r="L5925">
        <v>1</v>
      </c>
      <c r="M5925">
        <v>5</v>
      </c>
      <c r="N5925">
        <v>22</v>
      </c>
      <c r="O5925">
        <f t="shared" si="192"/>
        <v>2024</v>
      </c>
      <c r="P5925">
        <f t="shared" si="193"/>
        <v>10</v>
      </c>
      <c r="Q5925" t="s">
        <v>785</v>
      </c>
      <c r="R5925" t="s">
        <v>805</v>
      </c>
    </row>
    <row r="5926" spans="1:18" x14ac:dyDescent="0.3">
      <c r="A5926" t="s">
        <v>627</v>
      </c>
      <c r="B5926" s="16">
        <v>45588</v>
      </c>
      <c r="C5926" t="s">
        <v>3</v>
      </c>
      <c r="D5926" t="s">
        <v>137</v>
      </c>
      <c r="E5926">
        <v>6</v>
      </c>
      <c r="F5926">
        <v>3</v>
      </c>
      <c r="G5926">
        <v>1</v>
      </c>
      <c r="H5926">
        <v>0</v>
      </c>
      <c r="I5926">
        <v>4250</v>
      </c>
      <c r="J5926">
        <v>1</v>
      </c>
      <c r="K5926">
        <v>0</v>
      </c>
      <c r="L5926">
        <v>0</v>
      </c>
      <c r="M5926">
        <v>3</v>
      </c>
      <c r="N5926">
        <v>6</v>
      </c>
      <c r="O5926">
        <f t="shared" si="192"/>
        <v>2024</v>
      </c>
      <c r="P5926">
        <f t="shared" si="193"/>
        <v>10</v>
      </c>
      <c r="Q5926" t="s">
        <v>785</v>
      </c>
      <c r="R5926" t="s">
        <v>805</v>
      </c>
    </row>
    <row r="5927" spans="1:18" x14ac:dyDescent="0.3">
      <c r="A5927" t="s">
        <v>627</v>
      </c>
      <c r="B5927" s="16">
        <v>45588</v>
      </c>
      <c r="C5927" t="s">
        <v>3</v>
      </c>
      <c r="D5927" t="s">
        <v>135</v>
      </c>
      <c r="E5927">
        <v>17</v>
      </c>
      <c r="F5927">
        <v>9</v>
      </c>
      <c r="G5927">
        <v>1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16</v>
      </c>
      <c r="O5927">
        <f t="shared" si="192"/>
        <v>2024</v>
      </c>
      <c r="P5927">
        <f t="shared" si="193"/>
        <v>10</v>
      </c>
      <c r="Q5927" t="s">
        <v>785</v>
      </c>
      <c r="R5927" t="s">
        <v>805</v>
      </c>
    </row>
    <row r="5928" spans="1:18" x14ac:dyDescent="0.3">
      <c r="A5928" t="s">
        <v>627</v>
      </c>
      <c r="B5928" s="16">
        <v>45588</v>
      </c>
      <c r="C5928" t="s">
        <v>3</v>
      </c>
      <c r="D5928" t="s">
        <v>133</v>
      </c>
      <c r="E5928">
        <v>44</v>
      </c>
      <c r="F5928">
        <v>25</v>
      </c>
      <c r="G5928">
        <v>5</v>
      </c>
      <c r="H5928">
        <v>1</v>
      </c>
      <c r="I5928">
        <v>11047.5</v>
      </c>
      <c r="J5928">
        <v>2</v>
      </c>
      <c r="K5928">
        <v>11047.5</v>
      </c>
      <c r="L5928">
        <v>2</v>
      </c>
      <c r="M5928">
        <v>13</v>
      </c>
      <c r="N5928">
        <v>39</v>
      </c>
      <c r="O5928">
        <f t="shared" si="192"/>
        <v>2024</v>
      </c>
      <c r="P5928">
        <f t="shared" si="193"/>
        <v>10</v>
      </c>
      <c r="Q5928" t="s">
        <v>785</v>
      </c>
      <c r="R5928" t="s">
        <v>805</v>
      </c>
    </row>
    <row r="5929" spans="1:18" x14ac:dyDescent="0.3">
      <c r="A5929" t="s">
        <v>627</v>
      </c>
      <c r="B5929" s="16">
        <v>45588</v>
      </c>
      <c r="C5929" t="s">
        <v>3</v>
      </c>
      <c r="D5929" t="s">
        <v>130</v>
      </c>
      <c r="E5929">
        <v>236</v>
      </c>
      <c r="F5929">
        <v>87</v>
      </c>
      <c r="G5929">
        <v>22</v>
      </c>
      <c r="H5929">
        <v>4</v>
      </c>
      <c r="I5929">
        <v>120362.5</v>
      </c>
      <c r="J5929">
        <v>21</v>
      </c>
      <c r="K5929">
        <v>112592.5</v>
      </c>
      <c r="L5929">
        <v>20</v>
      </c>
      <c r="M5929">
        <v>81</v>
      </c>
      <c r="N5929">
        <v>222</v>
      </c>
      <c r="O5929">
        <f t="shared" si="192"/>
        <v>2024</v>
      </c>
      <c r="P5929">
        <f t="shared" si="193"/>
        <v>10</v>
      </c>
      <c r="Q5929" t="s">
        <v>785</v>
      </c>
      <c r="R5929" t="s">
        <v>805</v>
      </c>
    </row>
    <row r="5930" spans="1:18" x14ac:dyDescent="0.3">
      <c r="A5930" t="s">
        <v>627</v>
      </c>
      <c r="B5930" s="16">
        <v>45588</v>
      </c>
      <c r="C5930" t="s">
        <v>3</v>
      </c>
      <c r="D5930" t="s">
        <v>128</v>
      </c>
      <c r="E5930">
        <v>1739</v>
      </c>
      <c r="F5930">
        <v>1358</v>
      </c>
      <c r="G5930">
        <v>213</v>
      </c>
      <c r="H5930">
        <v>14</v>
      </c>
      <c r="I5930">
        <v>286478</v>
      </c>
      <c r="J5930">
        <v>53</v>
      </c>
      <c r="K5930">
        <v>234205</v>
      </c>
      <c r="L5930">
        <v>48</v>
      </c>
      <c r="M5930">
        <v>378</v>
      </c>
      <c r="N5930">
        <v>1566</v>
      </c>
      <c r="O5930">
        <f t="shared" si="192"/>
        <v>2024</v>
      </c>
      <c r="P5930">
        <f t="shared" si="193"/>
        <v>10</v>
      </c>
      <c r="Q5930" t="s">
        <v>785</v>
      </c>
      <c r="R5930" t="s">
        <v>805</v>
      </c>
    </row>
    <row r="5931" spans="1:18" x14ac:dyDescent="0.3">
      <c r="A5931" t="s">
        <v>627</v>
      </c>
      <c r="B5931" s="16">
        <v>45588</v>
      </c>
      <c r="C5931" t="s">
        <v>3</v>
      </c>
      <c r="D5931" t="s">
        <v>127</v>
      </c>
      <c r="E5931">
        <v>6520</v>
      </c>
      <c r="F5931">
        <v>4083</v>
      </c>
      <c r="G5931">
        <v>116</v>
      </c>
      <c r="H5931">
        <v>38</v>
      </c>
      <c r="I5931">
        <v>124485</v>
      </c>
      <c r="J5931">
        <v>23</v>
      </c>
      <c r="K5931">
        <v>80000</v>
      </c>
      <c r="L5931">
        <v>19</v>
      </c>
      <c r="M5931">
        <v>1400</v>
      </c>
      <c r="N5931">
        <v>4749</v>
      </c>
      <c r="O5931">
        <f t="shared" si="192"/>
        <v>2024</v>
      </c>
      <c r="P5931">
        <f t="shared" si="193"/>
        <v>10</v>
      </c>
      <c r="Q5931" t="s">
        <v>785</v>
      </c>
      <c r="R5931" t="s">
        <v>805</v>
      </c>
    </row>
    <row r="5932" spans="1:18" x14ac:dyDescent="0.3">
      <c r="A5932" t="s">
        <v>627</v>
      </c>
      <c r="B5932" s="16">
        <v>45588</v>
      </c>
      <c r="C5932" t="s">
        <v>3</v>
      </c>
      <c r="D5932" t="s">
        <v>126</v>
      </c>
      <c r="E5932">
        <v>230</v>
      </c>
      <c r="F5932">
        <v>154</v>
      </c>
      <c r="G5932">
        <v>15</v>
      </c>
      <c r="H5932">
        <v>3</v>
      </c>
      <c r="I5932">
        <v>30481.22</v>
      </c>
      <c r="J5932">
        <v>5</v>
      </c>
      <c r="K5932">
        <v>26231.22</v>
      </c>
      <c r="L5932">
        <v>4</v>
      </c>
      <c r="M5932">
        <v>38</v>
      </c>
      <c r="N5932">
        <v>223</v>
      </c>
      <c r="O5932">
        <f t="shared" si="192"/>
        <v>2024</v>
      </c>
      <c r="P5932">
        <f t="shared" si="193"/>
        <v>10</v>
      </c>
      <c r="Q5932" t="s">
        <v>785</v>
      </c>
      <c r="R5932" t="s">
        <v>805</v>
      </c>
    </row>
    <row r="5933" spans="1:18" x14ac:dyDescent="0.3">
      <c r="A5933" t="s">
        <v>627</v>
      </c>
      <c r="B5933" s="16">
        <v>45588</v>
      </c>
      <c r="C5933" t="s">
        <v>3</v>
      </c>
      <c r="D5933" t="s">
        <v>125</v>
      </c>
      <c r="E5933">
        <v>13</v>
      </c>
      <c r="F5933">
        <v>10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2</v>
      </c>
      <c r="N5933">
        <v>13</v>
      </c>
      <c r="O5933">
        <f t="shared" si="192"/>
        <v>2024</v>
      </c>
      <c r="P5933">
        <f t="shared" si="193"/>
        <v>10</v>
      </c>
      <c r="Q5933" t="s">
        <v>785</v>
      </c>
      <c r="R5933" t="s">
        <v>805</v>
      </c>
    </row>
    <row r="5934" spans="1:18" x14ac:dyDescent="0.3">
      <c r="A5934" t="s">
        <v>627</v>
      </c>
      <c r="B5934" s="16">
        <v>45588</v>
      </c>
      <c r="C5934" t="s">
        <v>3</v>
      </c>
      <c r="D5934" t="s">
        <v>123</v>
      </c>
      <c r="E5934">
        <v>486</v>
      </c>
      <c r="F5934">
        <v>215</v>
      </c>
      <c r="G5934">
        <v>43</v>
      </c>
      <c r="H5934">
        <v>9</v>
      </c>
      <c r="I5934">
        <v>42501.2</v>
      </c>
      <c r="J5934">
        <v>10</v>
      </c>
      <c r="K5934">
        <v>37103.78</v>
      </c>
      <c r="L5934">
        <v>8</v>
      </c>
      <c r="M5934">
        <v>123</v>
      </c>
      <c r="N5934">
        <v>441</v>
      </c>
      <c r="O5934">
        <f t="shared" si="192"/>
        <v>2024</v>
      </c>
      <c r="P5934">
        <f t="shared" si="193"/>
        <v>10</v>
      </c>
      <c r="Q5934" t="s">
        <v>785</v>
      </c>
      <c r="R5934" t="s">
        <v>805</v>
      </c>
    </row>
    <row r="5935" spans="1:18" x14ac:dyDescent="0.3">
      <c r="A5935" t="s">
        <v>627</v>
      </c>
      <c r="B5935" s="16">
        <v>45588</v>
      </c>
      <c r="C5935" t="s">
        <v>3</v>
      </c>
      <c r="D5935" t="s">
        <v>121</v>
      </c>
      <c r="E5935">
        <v>8</v>
      </c>
      <c r="F5935">
        <v>8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1</v>
      </c>
      <c r="N5935">
        <v>7</v>
      </c>
      <c r="O5935">
        <f t="shared" si="192"/>
        <v>2024</v>
      </c>
      <c r="P5935">
        <f t="shared" si="193"/>
        <v>10</v>
      </c>
      <c r="Q5935" t="s">
        <v>785</v>
      </c>
      <c r="R5935" t="s">
        <v>805</v>
      </c>
    </row>
    <row r="5936" spans="1:18" x14ac:dyDescent="0.3">
      <c r="A5936" t="s">
        <v>627</v>
      </c>
      <c r="B5936" s="16">
        <v>45588</v>
      </c>
      <c r="C5936" t="s">
        <v>3</v>
      </c>
      <c r="D5936" t="s">
        <v>120</v>
      </c>
      <c r="E5936">
        <v>550</v>
      </c>
      <c r="F5936">
        <v>288</v>
      </c>
      <c r="G5936">
        <v>30</v>
      </c>
      <c r="H5936">
        <v>0</v>
      </c>
      <c r="I5936">
        <v>37690.410000000003</v>
      </c>
      <c r="J5936">
        <v>7</v>
      </c>
      <c r="K5936">
        <v>29590.41</v>
      </c>
      <c r="L5936">
        <v>7</v>
      </c>
      <c r="M5936">
        <v>71</v>
      </c>
      <c r="N5936">
        <v>540</v>
      </c>
      <c r="O5936">
        <f t="shared" si="192"/>
        <v>2024</v>
      </c>
      <c r="P5936">
        <f t="shared" si="193"/>
        <v>10</v>
      </c>
      <c r="Q5936" t="s">
        <v>785</v>
      </c>
      <c r="R5936" t="s">
        <v>805</v>
      </c>
    </row>
    <row r="5937" spans="1:18" x14ac:dyDescent="0.3">
      <c r="A5937" t="s">
        <v>627</v>
      </c>
      <c r="B5937" s="16">
        <v>45588</v>
      </c>
      <c r="C5937" t="s">
        <v>3</v>
      </c>
      <c r="D5937" t="s">
        <v>119</v>
      </c>
      <c r="E5937">
        <v>648</v>
      </c>
      <c r="F5937">
        <v>144</v>
      </c>
      <c r="G5937">
        <v>76</v>
      </c>
      <c r="H5937">
        <v>17</v>
      </c>
      <c r="I5937">
        <v>221894.32</v>
      </c>
      <c r="J5937">
        <v>36</v>
      </c>
      <c r="K5937">
        <v>161834.82</v>
      </c>
      <c r="L5937">
        <v>33</v>
      </c>
      <c r="M5937">
        <v>160</v>
      </c>
      <c r="N5937">
        <v>611</v>
      </c>
      <c r="O5937">
        <f t="shared" si="192"/>
        <v>2024</v>
      </c>
      <c r="P5937">
        <f t="shared" si="193"/>
        <v>10</v>
      </c>
      <c r="Q5937" t="s">
        <v>785</v>
      </c>
      <c r="R5937" t="s">
        <v>805</v>
      </c>
    </row>
    <row r="5938" spans="1:18" x14ac:dyDescent="0.3">
      <c r="A5938" t="s">
        <v>627</v>
      </c>
      <c r="B5938" s="16">
        <v>45588</v>
      </c>
      <c r="C5938" t="s">
        <v>3</v>
      </c>
      <c r="D5938" t="s">
        <v>252</v>
      </c>
      <c r="E5938">
        <v>3</v>
      </c>
      <c r="F5938">
        <v>3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1</v>
      </c>
      <c r="N5938">
        <v>3</v>
      </c>
      <c r="O5938">
        <f t="shared" si="192"/>
        <v>2024</v>
      </c>
      <c r="P5938">
        <f t="shared" si="193"/>
        <v>10</v>
      </c>
      <c r="Q5938" t="s">
        <v>785</v>
      </c>
      <c r="R5938" t="s">
        <v>805</v>
      </c>
    </row>
    <row r="5939" spans="1:18" x14ac:dyDescent="0.3">
      <c r="A5939" t="s">
        <v>627</v>
      </c>
      <c r="B5939" s="16">
        <v>45588</v>
      </c>
      <c r="C5939" t="s">
        <v>3</v>
      </c>
      <c r="D5939" t="s">
        <v>117</v>
      </c>
      <c r="E5939">
        <v>1</v>
      </c>
      <c r="F5939">
        <v>1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1</v>
      </c>
      <c r="O5939">
        <f t="shared" si="192"/>
        <v>2024</v>
      </c>
      <c r="P5939">
        <f t="shared" si="193"/>
        <v>10</v>
      </c>
      <c r="Q5939" t="s">
        <v>785</v>
      </c>
      <c r="R5939" t="s">
        <v>805</v>
      </c>
    </row>
    <row r="5940" spans="1:18" x14ac:dyDescent="0.3">
      <c r="A5940" t="s">
        <v>627</v>
      </c>
      <c r="B5940" s="16">
        <v>45588</v>
      </c>
      <c r="C5940" t="s">
        <v>3</v>
      </c>
      <c r="D5940" t="s">
        <v>115</v>
      </c>
      <c r="E5940">
        <v>2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1</v>
      </c>
      <c r="N5940">
        <v>1</v>
      </c>
      <c r="O5940">
        <f t="shared" si="192"/>
        <v>2024</v>
      </c>
      <c r="P5940">
        <f t="shared" si="193"/>
        <v>10</v>
      </c>
      <c r="Q5940" t="s">
        <v>785</v>
      </c>
      <c r="R5940" t="s">
        <v>805</v>
      </c>
    </row>
    <row r="5941" spans="1:18" x14ac:dyDescent="0.3">
      <c r="A5941" t="s">
        <v>627</v>
      </c>
      <c r="B5941" s="16">
        <v>45588</v>
      </c>
      <c r="C5941" t="s">
        <v>3</v>
      </c>
      <c r="D5941" t="s">
        <v>114</v>
      </c>
      <c r="E5941">
        <v>201</v>
      </c>
      <c r="F5941">
        <v>76</v>
      </c>
      <c r="G5941">
        <v>6</v>
      </c>
      <c r="H5941">
        <v>2</v>
      </c>
      <c r="I5941">
        <v>1498</v>
      </c>
      <c r="J5941">
        <v>1</v>
      </c>
      <c r="K5941">
        <v>1498</v>
      </c>
      <c r="L5941">
        <v>1</v>
      </c>
      <c r="M5941">
        <v>23</v>
      </c>
      <c r="N5941">
        <v>189</v>
      </c>
      <c r="O5941">
        <f t="shared" si="192"/>
        <v>2024</v>
      </c>
      <c r="P5941">
        <f t="shared" si="193"/>
        <v>10</v>
      </c>
      <c r="Q5941" t="s">
        <v>785</v>
      </c>
      <c r="R5941" t="s">
        <v>805</v>
      </c>
    </row>
    <row r="5942" spans="1:18" x14ac:dyDescent="0.3">
      <c r="A5942" t="s">
        <v>627</v>
      </c>
      <c r="B5942" s="16">
        <v>45588</v>
      </c>
      <c r="C5942" t="s">
        <v>3</v>
      </c>
      <c r="D5942" t="s">
        <v>113</v>
      </c>
      <c r="E5942">
        <v>133</v>
      </c>
      <c r="F5942">
        <v>52</v>
      </c>
      <c r="G5942">
        <v>6</v>
      </c>
      <c r="H5942">
        <v>0</v>
      </c>
      <c r="I5942">
        <v>1990</v>
      </c>
      <c r="J5942">
        <v>1</v>
      </c>
      <c r="K5942">
        <v>1990</v>
      </c>
      <c r="L5942">
        <v>1</v>
      </c>
      <c r="M5942">
        <v>109</v>
      </c>
      <c r="N5942">
        <v>80</v>
      </c>
      <c r="O5942">
        <f t="shared" si="192"/>
        <v>2024</v>
      </c>
      <c r="P5942">
        <f t="shared" si="193"/>
        <v>10</v>
      </c>
      <c r="Q5942" t="s">
        <v>785</v>
      </c>
      <c r="R5942" t="s">
        <v>805</v>
      </c>
    </row>
    <row r="5943" spans="1:18" x14ac:dyDescent="0.3">
      <c r="A5943" t="s">
        <v>627</v>
      </c>
      <c r="B5943" s="16">
        <v>45588</v>
      </c>
      <c r="C5943" t="s">
        <v>3</v>
      </c>
      <c r="D5943" t="s">
        <v>112</v>
      </c>
      <c r="E5943">
        <v>42</v>
      </c>
      <c r="F5943">
        <v>17</v>
      </c>
      <c r="G5943">
        <v>6</v>
      </c>
      <c r="H5943">
        <v>1</v>
      </c>
      <c r="I5943">
        <v>57412.08</v>
      </c>
      <c r="J5943">
        <v>12</v>
      </c>
      <c r="K5943">
        <v>39266.5</v>
      </c>
      <c r="L5943">
        <v>9</v>
      </c>
      <c r="M5943">
        <v>2</v>
      </c>
      <c r="N5943">
        <v>42</v>
      </c>
      <c r="O5943">
        <f t="shared" si="192"/>
        <v>2024</v>
      </c>
      <c r="P5943">
        <f t="shared" si="193"/>
        <v>10</v>
      </c>
      <c r="Q5943" t="s">
        <v>785</v>
      </c>
      <c r="R5943" t="s">
        <v>805</v>
      </c>
    </row>
    <row r="5944" spans="1:18" x14ac:dyDescent="0.3">
      <c r="A5944" t="s">
        <v>627</v>
      </c>
      <c r="B5944" s="16">
        <v>45587</v>
      </c>
      <c r="C5944" t="s">
        <v>2</v>
      </c>
      <c r="D5944" t="s">
        <v>4</v>
      </c>
      <c r="E5944">
        <v>312</v>
      </c>
      <c r="F5944">
        <v>124</v>
      </c>
      <c r="G5944">
        <v>5</v>
      </c>
      <c r="H5944">
        <v>1</v>
      </c>
      <c r="I5944">
        <v>27877</v>
      </c>
      <c r="J5944">
        <v>5</v>
      </c>
      <c r="K5944">
        <v>27877</v>
      </c>
      <c r="L5944">
        <v>5</v>
      </c>
      <c r="M5944">
        <v>11</v>
      </c>
      <c r="N5944">
        <v>306</v>
      </c>
      <c r="O5944">
        <f t="shared" si="192"/>
        <v>2024</v>
      </c>
      <c r="P5944">
        <f t="shared" si="193"/>
        <v>10</v>
      </c>
      <c r="Q5944" t="s">
        <v>785</v>
      </c>
      <c r="R5944" t="s">
        <v>805</v>
      </c>
    </row>
    <row r="5945" spans="1:18" x14ac:dyDescent="0.3">
      <c r="A5945" t="s">
        <v>627</v>
      </c>
      <c r="B5945" s="16">
        <v>45587</v>
      </c>
      <c r="C5945" t="s">
        <v>2</v>
      </c>
      <c r="D5945" t="s">
        <v>57</v>
      </c>
      <c r="E5945">
        <v>16940</v>
      </c>
      <c r="F5945">
        <v>10708</v>
      </c>
      <c r="G5945">
        <v>789</v>
      </c>
      <c r="H5945">
        <v>202</v>
      </c>
      <c r="I5945">
        <v>1340856.8899999999</v>
      </c>
      <c r="J5945">
        <v>233</v>
      </c>
      <c r="K5945">
        <v>946528.39</v>
      </c>
      <c r="L5945">
        <v>195</v>
      </c>
      <c r="M5945">
        <v>1235</v>
      </c>
      <c r="N5945">
        <v>16880</v>
      </c>
      <c r="O5945">
        <f t="shared" si="192"/>
        <v>2024</v>
      </c>
      <c r="P5945">
        <f t="shared" si="193"/>
        <v>10</v>
      </c>
      <c r="Q5945" t="s">
        <v>785</v>
      </c>
      <c r="R5945" t="s">
        <v>805</v>
      </c>
    </row>
    <row r="5946" spans="1:18" x14ac:dyDescent="0.3">
      <c r="A5946" t="s">
        <v>627</v>
      </c>
      <c r="B5946" s="16">
        <v>45587</v>
      </c>
      <c r="C5946" t="s">
        <v>2</v>
      </c>
      <c r="D5946" t="s">
        <v>52</v>
      </c>
      <c r="E5946">
        <v>759</v>
      </c>
      <c r="F5946">
        <v>562</v>
      </c>
      <c r="G5946">
        <v>42</v>
      </c>
      <c r="H5946">
        <v>9</v>
      </c>
      <c r="I5946">
        <v>266567</v>
      </c>
      <c r="J5946">
        <v>13</v>
      </c>
      <c r="K5946">
        <v>41387</v>
      </c>
      <c r="L5946">
        <v>9</v>
      </c>
      <c r="M5946">
        <v>759</v>
      </c>
      <c r="N5946">
        <v>477</v>
      </c>
      <c r="O5946">
        <f t="shared" si="192"/>
        <v>2024</v>
      </c>
      <c r="P5946">
        <f t="shared" si="193"/>
        <v>10</v>
      </c>
      <c r="Q5946" t="s">
        <v>785</v>
      </c>
      <c r="R5946" t="s">
        <v>805</v>
      </c>
    </row>
    <row r="5947" spans="1:18" x14ac:dyDescent="0.3">
      <c r="A5947" t="s">
        <v>627</v>
      </c>
      <c r="B5947" s="16">
        <v>45587</v>
      </c>
      <c r="C5947" t="s">
        <v>2</v>
      </c>
      <c r="D5947" t="s">
        <v>55</v>
      </c>
      <c r="E5947">
        <v>1842</v>
      </c>
      <c r="F5947">
        <v>1366</v>
      </c>
      <c r="G5947">
        <v>14</v>
      </c>
      <c r="H5947">
        <v>1</v>
      </c>
      <c r="I5947">
        <v>0</v>
      </c>
      <c r="J5947">
        <v>0</v>
      </c>
      <c r="K5947">
        <v>0</v>
      </c>
      <c r="L5947">
        <v>0</v>
      </c>
      <c r="M5947">
        <v>26</v>
      </c>
      <c r="N5947">
        <v>256</v>
      </c>
      <c r="O5947">
        <f t="shared" si="192"/>
        <v>2024</v>
      </c>
      <c r="P5947">
        <f t="shared" si="193"/>
        <v>10</v>
      </c>
      <c r="Q5947" t="s">
        <v>785</v>
      </c>
      <c r="R5947" t="s">
        <v>805</v>
      </c>
    </row>
    <row r="5948" spans="1:18" x14ac:dyDescent="0.3">
      <c r="A5948" t="s">
        <v>627</v>
      </c>
      <c r="B5948" s="16">
        <v>45587</v>
      </c>
      <c r="C5948" t="s">
        <v>3</v>
      </c>
      <c r="D5948" t="s">
        <v>155</v>
      </c>
      <c r="E5948">
        <v>9</v>
      </c>
      <c r="F5948">
        <v>6</v>
      </c>
      <c r="G5948">
        <v>0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9</v>
      </c>
      <c r="O5948">
        <f t="shared" si="192"/>
        <v>2024</v>
      </c>
      <c r="P5948">
        <f t="shared" si="193"/>
        <v>10</v>
      </c>
      <c r="Q5948" t="s">
        <v>785</v>
      </c>
      <c r="R5948" t="s">
        <v>805</v>
      </c>
    </row>
    <row r="5949" spans="1:18" x14ac:dyDescent="0.3">
      <c r="A5949" t="s">
        <v>627</v>
      </c>
      <c r="B5949" s="16">
        <v>45587</v>
      </c>
      <c r="C5949" t="s">
        <v>3</v>
      </c>
      <c r="D5949" t="s">
        <v>154</v>
      </c>
      <c r="E5949">
        <v>634</v>
      </c>
      <c r="F5949">
        <v>495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f t="shared" si="192"/>
        <v>2024</v>
      </c>
      <c r="P5949">
        <f t="shared" si="193"/>
        <v>10</v>
      </c>
      <c r="Q5949" t="s">
        <v>785</v>
      </c>
      <c r="R5949" t="s">
        <v>805</v>
      </c>
    </row>
    <row r="5950" spans="1:18" x14ac:dyDescent="0.3">
      <c r="A5950" t="s">
        <v>627</v>
      </c>
      <c r="B5950" s="16">
        <v>45587</v>
      </c>
      <c r="C5950" t="s">
        <v>3</v>
      </c>
      <c r="D5950" t="s">
        <v>153</v>
      </c>
      <c r="E5950">
        <v>1149</v>
      </c>
      <c r="F5950">
        <v>409</v>
      </c>
      <c r="G5950">
        <v>202</v>
      </c>
      <c r="H5950">
        <v>11</v>
      </c>
      <c r="I5950">
        <v>1034138.86</v>
      </c>
      <c r="J5950">
        <v>190</v>
      </c>
      <c r="K5950">
        <v>822748.92</v>
      </c>
      <c r="L5950">
        <v>175</v>
      </c>
      <c r="M5950">
        <v>327</v>
      </c>
      <c r="N5950">
        <v>1106</v>
      </c>
      <c r="O5950">
        <f t="shared" si="192"/>
        <v>2024</v>
      </c>
      <c r="P5950">
        <f t="shared" si="193"/>
        <v>10</v>
      </c>
      <c r="Q5950" t="s">
        <v>785</v>
      </c>
      <c r="R5950" t="s">
        <v>805</v>
      </c>
    </row>
    <row r="5951" spans="1:18" x14ac:dyDescent="0.3">
      <c r="A5951" t="s">
        <v>627</v>
      </c>
      <c r="B5951" s="16">
        <v>45587</v>
      </c>
      <c r="C5951" t="s">
        <v>3</v>
      </c>
      <c r="D5951" t="s">
        <v>152</v>
      </c>
      <c r="E5951">
        <v>141</v>
      </c>
      <c r="F5951">
        <v>126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2</v>
      </c>
      <c r="O5951">
        <f t="shared" si="192"/>
        <v>2024</v>
      </c>
      <c r="P5951">
        <f t="shared" si="193"/>
        <v>10</v>
      </c>
      <c r="Q5951" t="s">
        <v>785</v>
      </c>
      <c r="R5951" t="s">
        <v>805</v>
      </c>
    </row>
    <row r="5952" spans="1:18" x14ac:dyDescent="0.3">
      <c r="A5952" t="s">
        <v>627</v>
      </c>
      <c r="B5952" s="16">
        <v>45587</v>
      </c>
      <c r="C5952" t="s">
        <v>3</v>
      </c>
      <c r="D5952" t="s">
        <v>150</v>
      </c>
      <c r="E5952">
        <v>16</v>
      </c>
      <c r="F5952">
        <v>11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4</v>
      </c>
      <c r="O5952">
        <f t="shared" si="192"/>
        <v>2024</v>
      </c>
      <c r="P5952">
        <f t="shared" si="193"/>
        <v>10</v>
      </c>
      <c r="Q5952" t="s">
        <v>785</v>
      </c>
      <c r="R5952" t="s">
        <v>805</v>
      </c>
    </row>
    <row r="5953" spans="1:18" x14ac:dyDescent="0.3">
      <c r="A5953" t="s">
        <v>627</v>
      </c>
      <c r="B5953" s="16">
        <v>45587</v>
      </c>
      <c r="C5953" t="s">
        <v>3</v>
      </c>
      <c r="D5953" t="s">
        <v>149</v>
      </c>
      <c r="E5953">
        <v>14</v>
      </c>
      <c r="F5953">
        <v>7</v>
      </c>
      <c r="G5953">
        <v>2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1</v>
      </c>
      <c r="N5953">
        <v>8</v>
      </c>
      <c r="O5953">
        <f t="shared" si="192"/>
        <v>2024</v>
      </c>
      <c r="P5953">
        <f t="shared" si="193"/>
        <v>10</v>
      </c>
      <c r="Q5953" t="s">
        <v>785</v>
      </c>
      <c r="R5953" t="s">
        <v>805</v>
      </c>
    </row>
    <row r="5954" spans="1:18" x14ac:dyDescent="0.3">
      <c r="A5954" t="s">
        <v>627</v>
      </c>
      <c r="B5954" s="16">
        <v>45587</v>
      </c>
      <c r="C5954" t="s">
        <v>3</v>
      </c>
      <c r="D5954" t="s">
        <v>148</v>
      </c>
      <c r="E5954">
        <v>8</v>
      </c>
      <c r="F5954">
        <v>4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6</v>
      </c>
      <c r="N5954">
        <v>2</v>
      </c>
      <c r="O5954">
        <f t="shared" si="192"/>
        <v>2024</v>
      </c>
      <c r="P5954">
        <f t="shared" si="193"/>
        <v>10</v>
      </c>
      <c r="Q5954" t="s">
        <v>785</v>
      </c>
      <c r="R5954" t="s">
        <v>805</v>
      </c>
    </row>
    <row r="5955" spans="1:18" x14ac:dyDescent="0.3">
      <c r="A5955" t="s">
        <v>627</v>
      </c>
      <c r="B5955" s="16">
        <v>45587</v>
      </c>
      <c r="C5955" t="s">
        <v>3</v>
      </c>
      <c r="D5955" t="s">
        <v>367</v>
      </c>
      <c r="E5955">
        <v>117</v>
      </c>
      <c r="F5955">
        <v>93</v>
      </c>
      <c r="G5955">
        <v>3</v>
      </c>
      <c r="H5955">
        <v>0</v>
      </c>
      <c r="I5955">
        <v>9675</v>
      </c>
      <c r="J5955">
        <v>2</v>
      </c>
      <c r="K5955">
        <v>9675</v>
      </c>
      <c r="L5955">
        <v>2</v>
      </c>
      <c r="M5955">
        <v>2</v>
      </c>
      <c r="N5955">
        <v>117</v>
      </c>
      <c r="O5955">
        <f t="shared" si="192"/>
        <v>2024</v>
      </c>
      <c r="P5955">
        <f t="shared" si="193"/>
        <v>10</v>
      </c>
      <c r="Q5955" t="s">
        <v>785</v>
      </c>
      <c r="R5955" t="s">
        <v>805</v>
      </c>
    </row>
    <row r="5956" spans="1:18" x14ac:dyDescent="0.3">
      <c r="A5956" t="s">
        <v>627</v>
      </c>
      <c r="B5956" s="16">
        <v>45587</v>
      </c>
      <c r="C5956" t="s">
        <v>3</v>
      </c>
      <c r="D5956" t="s">
        <v>251</v>
      </c>
      <c r="E5956">
        <v>1883</v>
      </c>
      <c r="F5956">
        <v>1513</v>
      </c>
      <c r="G5956">
        <v>32</v>
      </c>
      <c r="H5956">
        <v>9</v>
      </c>
      <c r="I5956">
        <v>81669.08</v>
      </c>
      <c r="J5956">
        <v>16</v>
      </c>
      <c r="K5956">
        <v>57409.08</v>
      </c>
      <c r="L5956">
        <v>14</v>
      </c>
      <c r="M5956">
        <v>140</v>
      </c>
      <c r="N5956">
        <v>475</v>
      </c>
      <c r="O5956">
        <f t="shared" si="192"/>
        <v>2024</v>
      </c>
      <c r="P5956">
        <f t="shared" si="193"/>
        <v>10</v>
      </c>
      <c r="Q5956" t="s">
        <v>785</v>
      </c>
      <c r="R5956" t="s">
        <v>805</v>
      </c>
    </row>
    <row r="5957" spans="1:18" x14ac:dyDescent="0.3">
      <c r="A5957" t="s">
        <v>627</v>
      </c>
      <c r="B5957" s="16">
        <v>45587</v>
      </c>
      <c r="C5957" t="s">
        <v>3</v>
      </c>
      <c r="D5957" t="s">
        <v>143</v>
      </c>
      <c r="E5957">
        <v>26</v>
      </c>
      <c r="F5957">
        <v>25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26</v>
      </c>
      <c r="O5957">
        <f t="shared" si="192"/>
        <v>2024</v>
      </c>
      <c r="P5957">
        <f t="shared" si="193"/>
        <v>10</v>
      </c>
      <c r="Q5957" t="s">
        <v>785</v>
      </c>
      <c r="R5957" t="s">
        <v>805</v>
      </c>
    </row>
    <row r="5958" spans="1:18" x14ac:dyDescent="0.3">
      <c r="A5958" t="s">
        <v>627</v>
      </c>
      <c r="B5958" s="16">
        <v>45587</v>
      </c>
      <c r="C5958" t="s">
        <v>3</v>
      </c>
      <c r="D5958" t="s">
        <v>141</v>
      </c>
      <c r="E5958">
        <v>6</v>
      </c>
      <c r="F5958">
        <v>5</v>
      </c>
      <c r="G5958">
        <v>0</v>
      </c>
      <c r="H5958">
        <v>0</v>
      </c>
      <c r="I5958">
        <v>8750</v>
      </c>
      <c r="J5958">
        <v>1</v>
      </c>
      <c r="K5958">
        <v>8750</v>
      </c>
      <c r="L5958">
        <v>1</v>
      </c>
      <c r="M5958">
        <v>1</v>
      </c>
      <c r="N5958">
        <v>5</v>
      </c>
      <c r="O5958">
        <f t="shared" si="192"/>
        <v>2024</v>
      </c>
      <c r="P5958">
        <f t="shared" si="193"/>
        <v>10</v>
      </c>
      <c r="Q5958" t="s">
        <v>785</v>
      </c>
      <c r="R5958" t="s">
        <v>805</v>
      </c>
    </row>
    <row r="5959" spans="1:18" x14ac:dyDescent="0.3">
      <c r="A5959" t="s">
        <v>627</v>
      </c>
      <c r="B5959" s="16">
        <v>45587</v>
      </c>
      <c r="C5959" t="s">
        <v>3</v>
      </c>
      <c r="D5959" t="s">
        <v>140</v>
      </c>
      <c r="E5959">
        <v>24</v>
      </c>
      <c r="F5959">
        <v>18</v>
      </c>
      <c r="G5959">
        <v>4</v>
      </c>
      <c r="H5959">
        <v>0</v>
      </c>
      <c r="I5959">
        <v>18947</v>
      </c>
      <c r="J5959">
        <v>3</v>
      </c>
      <c r="K5959">
        <v>18947</v>
      </c>
      <c r="L5959">
        <v>3</v>
      </c>
      <c r="M5959">
        <v>1</v>
      </c>
      <c r="N5959">
        <v>22</v>
      </c>
      <c r="O5959">
        <f t="shared" si="192"/>
        <v>2024</v>
      </c>
      <c r="P5959">
        <f t="shared" si="193"/>
        <v>10</v>
      </c>
      <c r="Q5959" t="s">
        <v>785</v>
      </c>
      <c r="R5959" t="s">
        <v>805</v>
      </c>
    </row>
    <row r="5960" spans="1:18" x14ac:dyDescent="0.3">
      <c r="A5960" t="s">
        <v>627</v>
      </c>
      <c r="B5960" s="16">
        <v>45587</v>
      </c>
      <c r="C5960" t="s">
        <v>3</v>
      </c>
      <c r="D5960" t="s">
        <v>139</v>
      </c>
      <c r="E5960">
        <v>1349</v>
      </c>
      <c r="F5960">
        <v>750</v>
      </c>
      <c r="G5960">
        <v>137</v>
      </c>
      <c r="H5960">
        <v>23</v>
      </c>
      <c r="I5960">
        <v>540512.05000000005</v>
      </c>
      <c r="J5960">
        <v>72</v>
      </c>
      <c r="K5960">
        <v>313193.55</v>
      </c>
      <c r="L5960">
        <v>62</v>
      </c>
      <c r="M5960">
        <v>599</v>
      </c>
      <c r="N5960">
        <v>1112</v>
      </c>
      <c r="O5960">
        <f t="shared" si="192"/>
        <v>2024</v>
      </c>
      <c r="P5960">
        <f t="shared" si="193"/>
        <v>10</v>
      </c>
      <c r="Q5960" t="s">
        <v>785</v>
      </c>
      <c r="R5960" t="s">
        <v>805</v>
      </c>
    </row>
    <row r="5961" spans="1:18" x14ac:dyDescent="0.3">
      <c r="A5961" t="s">
        <v>627</v>
      </c>
      <c r="B5961" s="16">
        <v>45587</v>
      </c>
      <c r="C5961" t="s">
        <v>3</v>
      </c>
      <c r="D5961" t="s">
        <v>138</v>
      </c>
      <c r="E5961">
        <v>13</v>
      </c>
      <c r="F5961">
        <v>9</v>
      </c>
      <c r="G5961">
        <v>1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3</v>
      </c>
      <c r="N5961">
        <v>12</v>
      </c>
      <c r="O5961">
        <f t="shared" ref="O5961:O6024" si="194">YEAR(B5961)</f>
        <v>2024</v>
      </c>
      <c r="P5961">
        <f t="shared" ref="P5961:P6024" si="195">MONTH(B5961)</f>
        <v>10</v>
      </c>
      <c r="Q5961" t="s">
        <v>785</v>
      </c>
      <c r="R5961" t="s">
        <v>805</v>
      </c>
    </row>
    <row r="5962" spans="1:18" x14ac:dyDescent="0.3">
      <c r="A5962" t="s">
        <v>627</v>
      </c>
      <c r="B5962" s="16">
        <v>45587</v>
      </c>
      <c r="C5962" t="s">
        <v>3</v>
      </c>
      <c r="D5962" t="s">
        <v>137</v>
      </c>
      <c r="E5962">
        <v>5</v>
      </c>
      <c r="F5962">
        <v>1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1</v>
      </c>
      <c r="N5962">
        <v>5</v>
      </c>
      <c r="O5962">
        <f t="shared" si="194"/>
        <v>2024</v>
      </c>
      <c r="P5962">
        <f t="shared" si="195"/>
        <v>10</v>
      </c>
      <c r="Q5962" t="s">
        <v>785</v>
      </c>
      <c r="R5962" t="s">
        <v>805</v>
      </c>
    </row>
    <row r="5963" spans="1:18" x14ac:dyDescent="0.3">
      <c r="A5963" t="s">
        <v>627</v>
      </c>
      <c r="B5963" s="16">
        <v>45587</v>
      </c>
      <c r="C5963" t="s">
        <v>3</v>
      </c>
      <c r="D5963" t="s">
        <v>135</v>
      </c>
      <c r="E5963">
        <v>52</v>
      </c>
      <c r="F5963">
        <v>43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12</v>
      </c>
      <c r="O5963">
        <f t="shared" si="194"/>
        <v>2024</v>
      </c>
      <c r="P5963">
        <f t="shared" si="195"/>
        <v>10</v>
      </c>
      <c r="Q5963" t="s">
        <v>785</v>
      </c>
      <c r="R5963" t="s">
        <v>805</v>
      </c>
    </row>
    <row r="5964" spans="1:18" x14ac:dyDescent="0.3">
      <c r="A5964" t="s">
        <v>627</v>
      </c>
      <c r="B5964" s="16">
        <v>45587</v>
      </c>
      <c r="C5964" t="s">
        <v>3</v>
      </c>
      <c r="D5964" t="s">
        <v>133</v>
      </c>
      <c r="E5964">
        <v>56</v>
      </c>
      <c r="F5964">
        <v>37</v>
      </c>
      <c r="G5964">
        <v>8</v>
      </c>
      <c r="H5964">
        <v>1</v>
      </c>
      <c r="I5964">
        <v>8542.5</v>
      </c>
      <c r="J5964">
        <v>4</v>
      </c>
      <c r="K5964">
        <v>8542.5</v>
      </c>
      <c r="L5964">
        <v>4</v>
      </c>
      <c r="M5964">
        <v>12</v>
      </c>
      <c r="N5964">
        <v>49</v>
      </c>
      <c r="O5964">
        <f t="shared" si="194"/>
        <v>2024</v>
      </c>
      <c r="P5964">
        <f t="shared" si="195"/>
        <v>10</v>
      </c>
      <c r="Q5964" t="s">
        <v>785</v>
      </c>
      <c r="R5964" t="s">
        <v>805</v>
      </c>
    </row>
    <row r="5965" spans="1:18" x14ac:dyDescent="0.3">
      <c r="A5965" t="s">
        <v>627</v>
      </c>
      <c r="B5965" s="16">
        <v>45587</v>
      </c>
      <c r="C5965" t="s">
        <v>3</v>
      </c>
      <c r="D5965" t="s">
        <v>130</v>
      </c>
      <c r="E5965">
        <v>419</v>
      </c>
      <c r="F5965">
        <v>142</v>
      </c>
      <c r="G5965">
        <v>45</v>
      </c>
      <c r="H5965">
        <v>6</v>
      </c>
      <c r="I5965">
        <v>199470.89</v>
      </c>
      <c r="J5965">
        <v>34</v>
      </c>
      <c r="K5965">
        <v>149215.89000000001</v>
      </c>
      <c r="L5965">
        <v>30</v>
      </c>
      <c r="M5965">
        <v>106</v>
      </c>
      <c r="N5965">
        <v>400</v>
      </c>
      <c r="O5965">
        <f t="shared" si="194"/>
        <v>2024</v>
      </c>
      <c r="P5965">
        <f t="shared" si="195"/>
        <v>10</v>
      </c>
      <c r="Q5965" t="s">
        <v>785</v>
      </c>
      <c r="R5965" t="s">
        <v>805</v>
      </c>
    </row>
    <row r="5966" spans="1:18" x14ac:dyDescent="0.3">
      <c r="A5966" t="s">
        <v>627</v>
      </c>
      <c r="B5966" s="16">
        <v>45587</v>
      </c>
      <c r="C5966" t="s">
        <v>3</v>
      </c>
      <c r="D5966" t="s">
        <v>128</v>
      </c>
      <c r="E5966">
        <v>1972</v>
      </c>
      <c r="F5966">
        <v>1508</v>
      </c>
      <c r="G5966">
        <v>323</v>
      </c>
      <c r="H5966">
        <v>23</v>
      </c>
      <c r="I5966">
        <v>329791.08</v>
      </c>
      <c r="J5966">
        <v>81</v>
      </c>
      <c r="K5966">
        <v>262016.08</v>
      </c>
      <c r="L5966">
        <v>74</v>
      </c>
      <c r="M5966">
        <v>413</v>
      </c>
      <c r="N5966">
        <v>1795</v>
      </c>
      <c r="O5966">
        <f t="shared" si="194"/>
        <v>2024</v>
      </c>
      <c r="P5966">
        <f t="shared" si="195"/>
        <v>10</v>
      </c>
      <c r="Q5966" t="s">
        <v>785</v>
      </c>
      <c r="R5966" t="s">
        <v>805</v>
      </c>
    </row>
    <row r="5967" spans="1:18" x14ac:dyDescent="0.3">
      <c r="A5967" t="s">
        <v>627</v>
      </c>
      <c r="B5967" s="16">
        <v>45587</v>
      </c>
      <c r="C5967" t="s">
        <v>3</v>
      </c>
      <c r="D5967" t="s">
        <v>127</v>
      </c>
      <c r="E5967">
        <v>6572</v>
      </c>
      <c r="F5967">
        <v>4278</v>
      </c>
      <c r="G5967">
        <v>144</v>
      </c>
      <c r="H5967">
        <v>42</v>
      </c>
      <c r="I5967">
        <v>133453.5</v>
      </c>
      <c r="J5967">
        <v>26</v>
      </c>
      <c r="K5967">
        <v>57915.5</v>
      </c>
      <c r="L5967">
        <v>16</v>
      </c>
      <c r="M5967">
        <v>1593</v>
      </c>
      <c r="N5967">
        <v>4475</v>
      </c>
      <c r="O5967">
        <f t="shared" si="194"/>
        <v>2024</v>
      </c>
      <c r="P5967">
        <f t="shared" si="195"/>
        <v>10</v>
      </c>
      <c r="Q5967" t="s">
        <v>785</v>
      </c>
      <c r="R5967" t="s">
        <v>805</v>
      </c>
    </row>
    <row r="5968" spans="1:18" x14ac:dyDescent="0.3">
      <c r="A5968" t="s">
        <v>627</v>
      </c>
      <c r="B5968" s="16">
        <v>45587</v>
      </c>
      <c r="C5968" t="s">
        <v>3</v>
      </c>
      <c r="D5968" t="s">
        <v>126</v>
      </c>
      <c r="E5968">
        <v>216</v>
      </c>
      <c r="F5968">
        <v>150</v>
      </c>
      <c r="G5968">
        <v>14</v>
      </c>
      <c r="H5968">
        <v>7</v>
      </c>
      <c r="I5968">
        <v>36994</v>
      </c>
      <c r="J5968">
        <v>5</v>
      </c>
      <c r="K5968">
        <v>14414</v>
      </c>
      <c r="L5968">
        <v>2</v>
      </c>
      <c r="M5968">
        <v>32</v>
      </c>
      <c r="N5968">
        <v>209</v>
      </c>
      <c r="O5968">
        <f t="shared" si="194"/>
        <v>2024</v>
      </c>
      <c r="P5968">
        <f t="shared" si="195"/>
        <v>10</v>
      </c>
      <c r="Q5968" t="s">
        <v>785</v>
      </c>
      <c r="R5968" t="s">
        <v>805</v>
      </c>
    </row>
    <row r="5969" spans="1:18" x14ac:dyDescent="0.3">
      <c r="A5969" t="s">
        <v>627</v>
      </c>
      <c r="B5969" s="16">
        <v>45587</v>
      </c>
      <c r="C5969" t="s">
        <v>3</v>
      </c>
      <c r="D5969" t="s">
        <v>125</v>
      </c>
      <c r="E5969">
        <v>9</v>
      </c>
      <c r="F5969">
        <v>6</v>
      </c>
      <c r="G5969">
        <v>1</v>
      </c>
      <c r="H5969">
        <v>2</v>
      </c>
      <c r="I5969">
        <v>0</v>
      </c>
      <c r="J5969">
        <v>0</v>
      </c>
      <c r="K5969">
        <v>0</v>
      </c>
      <c r="L5969">
        <v>0</v>
      </c>
      <c r="M5969">
        <v>2</v>
      </c>
      <c r="N5969">
        <v>8</v>
      </c>
      <c r="O5969">
        <f t="shared" si="194"/>
        <v>2024</v>
      </c>
      <c r="P5969">
        <f t="shared" si="195"/>
        <v>10</v>
      </c>
      <c r="Q5969" t="s">
        <v>785</v>
      </c>
      <c r="R5969" t="s">
        <v>805</v>
      </c>
    </row>
    <row r="5970" spans="1:18" x14ac:dyDescent="0.3">
      <c r="A5970" t="s">
        <v>627</v>
      </c>
      <c r="B5970" s="16">
        <v>45587</v>
      </c>
      <c r="C5970" t="s">
        <v>3</v>
      </c>
      <c r="D5970" t="s">
        <v>123</v>
      </c>
      <c r="E5970">
        <v>563</v>
      </c>
      <c r="F5970">
        <v>213</v>
      </c>
      <c r="G5970">
        <v>38</v>
      </c>
      <c r="H5970">
        <v>7</v>
      </c>
      <c r="I5970">
        <v>61043.58</v>
      </c>
      <c r="J5970">
        <v>12</v>
      </c>
      <c r="K5970">
        <v>42853.58</v>
      </c>
      <c r="L5970">
        <v>10</v>
      </c>
      <c r="M5970">
        <v>152</v>
      </c>
      <c r="N5970">
        <v>516</v>
      </c>
      <c r="O5970">
        <f t="shared" si="194"/>
        <v>2024</v>
      </c>
      <c r="P5970">
        <f t="shared" si="195"/>
        <v>10</v>
      </c>
      <c r="Q5970" t="s">
        <v>785</v>
      </c>
      <c r="R5970" t="s">
        <v>805</v>
      </c>
    </row>
    <row r="5971" spans="1:18" x14ac:dyDescent="0.3">
      <c r="A5971" t="s">
        <v>627</v>
      </c>
      <c r="B5971" s="16">
        <v>45587</v>
      </c>
      <c r="C5971" t="s">
        <v>3</v>
      </c>
      <c r="D5971" t="s">
        <v>122</v>
      </c>
      <c r="E5971">
        <v>1</v>
      </c>
      <c r="F5971">
        <v>1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1</v>
      </c>
      <c r="O5971">
        <f t="shared" si="194"/>
        <v>2024</v>
      </c>
      <c r="P5971">
        <f t="shared" si="195"/>
        <v>10</v>
      </c>
      <c r="Q5971" t="s">
        <v>785</v>
      </c>
      <c r="R5971" t="s">
        <v>805</v>
      </c>
    </row>
    <row r="5972" spans="1:18" x14ac:dyDescent="0.3">
      <c r="A5972" t="s">
        <v>627</v>
      </c>
      <c r="B5972" s="16">
        <v>45587</v>
      </c>
      <c r="C5972" t="s">
        <v>3</v>
      </c>
      <c r="D5972" t="s">
        <v>121</v>
      </c>
      <c r="E5972">
        <v>6</v>
      </c>
      <c r="F5972">
        <v>4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6</v>
      </c>
      <c r="O5972">
        <f t="shared" si="194"/>
        <v>2024</v>
      </c>
      <c r="P5972">
        <f t="shared" si="195"/>
        <v>10</v>
      </c>
      <c r="Q5972" t="s">
        <v>785</v>
      </c>
      <c r="R5972" t="s">
        <v>805</v>
      </c>
    </row>
    <row r="5973" spans="1:18" x14ac:dyDescent="0.3">
      <c r="A5973" t="s">
        <v>627</v>
      </c>
      <c r="B5973" s="16">
        <v>45587</v>
      </c>
      <c r="C5973" t="s">
        <v>3</v>
      </c>
      <c r="D5973" t="s">
        <v>120</v>
      </c>
      <c r="E5973">
        <v>539</v>
      </c>
      <c r="F5973">
        <v>288</v>
      </c>
      <c r="G5973">
        <v>19</v>
      </c>
      <c r="H5973">
        <v>0</v>
      </c>
      <c r="I5973">
        <v>48083.94</v>
      </c>
      <c r="J5973">
        <v>7</v>
      </c>
      <c r="K5973">
        <v>38243.94</v>
      </c>
      <c r="L5973">
        <v>6</v>
      </c>
      <c r="M5973">
        <v>76</v>
      </c>
      <c r="N5973">
        <v>532</v>
      </c>
      <c r="O5973">
        <f t="shared" si="194"/>
        <v>2024</v>
      </c>
      <c r="P5973">
        <f t="shared" si="195"/>
        <v>10</v>
      </c>
      <c r="Q5973" t="s">
        <v>785</v>
      </c>
      <c r="R5973" t="s">
        <v>805</v>
      </c>
    </row>
    <row r="5974" spans="1:18" x14ac:dyDescent="0.3">
      <c r="A5974" t="s">
        <v>627</v>
      </c>
      <c r="B5974" s="16">
        <v>45587</v>
      </c>
      <c r="C5974" t="s">
        <v>3</v>
      </c>
      <c r="D5974" t="s">
        <v>119</v>
      </c>
      <c r="E5974">
        <v>718</v>
      </c>
      <c r="F5974">
        <v>188</v>
      </c>
      <c r="G5974">
        <v>107</v>
      </c>
      <c r="H5974">
        <v>17</v>
      </c>
      <c r="I5974">
        <v>370113.48</v>
      </c>
      <c r="J5974">
        <v>61</v>
      </c>
      <c r="K5974">
        <v>230251.48</v>
      </c>
      <c r="L5974">
        <v>48</v>
      </c>
      <c r="M5974">
        <v>166</v>
      </c>
      <c r="N5974">
        <v>678</v>
      </c>
      <c r="O5974">
        <f t="shared" si="194"/>
        <v>2024</v>
      </c>
      <c r="P5974">
        <f t="shared" si="195"/>
        <v>10</v>
      </c>
      <c r="Q5974" t="s">
        <v>785</v>
      </c>
      <c r="R5974" t="s">
        <v>805</v>
      </c>
    </row>
    <row r="5975" spans="1:18" x14ac:dyDescent="0.3">
      <c r="A5975" t="s">
        <v>627</v>
      </c>
      <c r="B5975" s="16">
        <v>45587</v>
      </c>
      <c r="C5975" t="s">
        <v>3</v>
      </c>
      <c r="D5975" t="s">
        <v>252</v>
      </c>
      <c r="E5975">
        <v>8</v>
      </c>
      <c r="F5975">
        <v>5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1</v>
      </c>
      <c r="N5975">
        <v>8</v>
      </c>
      <c r="O5975">
        <f t="shared" si="194"/>
        <v>2024</v>
      </c>
      <c r="P5975">
        <f t="shared" si="195"/>
        <v>10</v>
      </c>
      <c r="Q5975" t="s">
        <v>785</v>
      </c>
      <c r="R5975" t="s">
        <v>805</v>
      </c>
    </row>
    <row r="5976" spans="1:18" x14ac:dyDescent="0.3">
      <c r="A5976" t="s">
        <v>627</v>
      </c>
      <c r="B5976" s="16">
        <v>45587</v>
      </c>
      <c r="C5976" t="s">
        <v>3</v>
      </c>
      <c r="D5976" t="s">
        <v>115</v>
      </c>
      <c r="E5976">
        <v>1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1</v>
      </c>
      <c r="O5976">
        <f t="shared" si="194"/>
        <v>2024</v>
      </c>
      <c r="P5976">
        <f t="shared" si="195"/>
        <v>10</v>
      </c>
      <c r="Q5976" t="s">
        <v>785</v>
      </c>
      <c r="R5976" t="s">
        <v>805</v>
      </c>
    </row>
    <row r="5977" spans="1:18" x14ac:dyDescent="0.3">
      <c r="A5977" t="s">
        <v>627</v>
      </c>
      <c r="B5977" s="16">
        <v>45587</v>
      </c>
      <c r="C5977" t="s">
        <v>3</v>
      </c>
      <c r="D5977" t="s">
        <v>114</v>
      </c>
      <c r="E5977">
        <v>226</v>
      </c>
      <c r="F5977">
        <v>84</v>
      </c>
      <c r="G5977">
        <v>6</v>
      </c>
      <c r="H5977">
        <v>4</v>
      </c>
      <c r="I5977">
        <v>25945</v>
      </c>
      <c r="J5977">
        <v>5</v>
      </c>
      <c r="K5977">
        <v>20365</v>
      </c>
      <c r="L5977">
        <v>4</v>
      </c>
      <c r="M5977">
        <v>19</v>
      </c>
      <c r="N5977">
        <v>209</v>
      </c>
      <c r="O5977">
        <f t="shared" si="194"/>
        <v>2024</v>
      </c>
      <c r="P5977">
        <f t="shared" si="195"/>
        <v>10</v>
      </c>
      <c r="Q5977" t="s">
        <v>785</v>
      </c>
      <c r="R5977" t="s">
        <v>805</v>
      </c>
    </row>
    <row r="5978" spans="1:18" x14ac:dyDescent="0.3">
      <c r="A5978" t="s">
        <v>627</v>
      </c>
      <c r="B5978" s="16">
        <v>45587</v>
      </c>
      <c r="C5978" t="s">
        <v>3</v>
      </c>
      <c r="D5978" t="s">
        <v>113</v>
      </c>
      <c r="E5978">
        <v>167</v>
      </c>
      <c r="F5978">
        <v>84</v>
      </c>
      <c r="G5978">
        <v>7</v>
      </c>
      <c r="H5978">
        <v>3</v>
      </c>
      <c r="I5978">
        <v>3825</v>
      </c>
      <c r="J5978">
        <v>1</v>
      </c>
      <c r="K5978">
        <v>3825</v>
      </c>
      <c r="L5978">
        <v>1</v>
      </c>
      <c r="M5978">
        <v>126</v>
      </c>
      <c r="N5978">
        <v>99</v>
      </c>
      <c r="O5978">
        <f t="shared" si="194"/>
        <v>2024</v>
      </c>
      <c r="P5978">
        <f t="shared" si="195"/>
        <v>10</v>
      </c>
      <c r="Q5978" t="s">
        <v>785</v>
      </c>
      <c r="R5978" t="s">
        <v>805</v>
      </c>
    </row>
    <row r="5979" spans="1:18" x14ac:dyDescent="0.3">
      <c r="A5979" t="s">
        <v>627</v>
      </c>
      <c r="B5979" s="16">
        <v>45587</v>
      </c>
      <c r="C5979" t="s">
        <v>3</v>
      </c>
      <c r="D5979" t="s">
        <v>112</v>
      </c>
      <c r="E5979">
        <v>47</v>
      </c>
      <c r="F5979">
        <v>22</v>
      </c>
      <c r="G5979">
        <v>8</v>
      </c>
      <c r="H5979">
        <v>0</v>
      </c>
      <c r="I5979">
        <v>86041.81</v>
      </c>
      <c r="J5979">
        <v>17</v>
      </c>
      <c r="K5979">
        <v>66541.81</v>
      </c>
      <c r="L5979">
        <v>16</v>
      </c>
      <c r="M5979">
        <v>5</v>
      </c>
      <c r="N5979">
        <v>47</v>
      </c>
      <c r="O5979">
        <f t="shared" si="194"/>
        <v>2024</v>
      </c>
      <c r="P5979">
        <f t="shared" si="195"/>
        <v>10</v>
      </c>
      <c r="Q5979" t="s">
        <v>785</v>
      </c>
      <c r="R5979" t="s">
        <v>805</v>
      </c>
    </row>
    <row r="5980" spans="1:18" x14ac:dyDescent="0.3">
      <c r="A5980" t="s">
        <v>627</v>
      </c>
      <c r="B5980" s="16">
        <v>45586</v>
      </c>
      <c r="C5980" t="s">
        <v>2</v>
      </c>
      <c r="D5980" t="s">
        <v>4</v>
      </c>
      <c r="E5980">
        <v>580</v>
      </c>
      <c r="F5980">
        <v>166</v>
      </c>
      <c r="G5980">
        <v>8</v>
      </c>
      <c r="H5980">
        <v>0</v>
      </c>
      <c r="I5980">
        <v>44200.18</v>
      </c>
      <c r="J5980">
        <v>9</v>
      </c>
      <c r="K5980">
        <v>36670.18</v>
      </c>
      <c r="L5980">
        <v>8</v>
      </c>
      <c r="M5980">
        <v>25</v>
      </c>
      <c r="N5980">
        <v>566</v>
      </c>
      <c r="O5980">
        <f t="shared" si="194"/>
        <v>2024</v>
      </c>
      <c r="P5980">
        <f t="shared" si="195"/>
        <v>10</v>
      </c>
      <c r="Q5980" t="s">
        <v>785</v>
      </c>
      <c r="R5980" t="s">
        <v>805</v>
      </c>
    </row>
    <row r="5981" spans="1:18" x14ac:dyDescent="0.3">
      <c r="A5981" t="s">
        <v>627</v>
      </c>
      <c r="B5981" s="16">
        <v>45586</v>
      </c>
      <c r="C5981" t="s">
        <v>2</v>
      </c>
      <c r="D5981" t="s">
        <v>57</v>
      </c>
      <c r="E5981">
        <v>16304</v>
      </c>
      <c r="F5981">
        <v>11007</v>
      </c>
      <c r="G5981">
        <v>1148</v>
      </c>
      <c r="H5981">
        <v>167</v>
      </c>
      <c r="I5981">
        <v>2085616.12</v>
      </c>
      <c r="J5981">
        <v>383</v>
      </c>
      <c r="K5981">
        <v>1756835.12</v>
      </c>
      <c r="L5981">
        <v>345</v>
      </c>
      <c r="M5981">
        <v>1190</v>
      </c>
      <c r="N5981">
        <v>16251</v>
      </c>
      <c r="O5981">
        <f t="shared" si="194"/>
        <v>2024</v>
      </c>
      <c r="P5981">
        <f t="shared" si="195"/>
        <v>10</v>
      </c>
      <c r="Q5981" t="s">
        <v>785</v>
      </c>
      <c r="R5981" t="s">
        <v>805</v>
      </c>
    </row>
    <row r="5982" spans="1:18" x14ac:dyDescent="0.3">
      <c r="A5982" t="s">
        <v>627</v>
      </c>
      <c r="B5982" s="16">
        <v>45586</v>
      </c>
      <c r="C5982" t="s">
        <v>2</v>
      </c>
      <c r="D5982" t="s">
        <v>52</v>
      </c>
      <c r="E5982">
        <v>881</v>
      </c>
      <c r="F5982">
        <v>667</v>
      </c>
      <c r="G5982">
        <v>58</v>
      </c>
      <c r="H5982">
        <v>9</v>
      </c>
      <c r="I5982">
        <v>140874.64000000001</v>
      </c>
      <c r="J5982">
        <v>30</v>
      </c>
      <c r="K5982">
        <v>104144.64</v>
      </c>
      <c r="L5982">
        <v>26</v>
      </c>
      <c r="M5982">
        <v>880</v>
      </c>
      <c r="N5982">
        <v>526</v>
      </c>
      <c r="O5982">
        <f t="shared" si="194"/>
        <v>2024</v>
      </c>
      <c r="P5982">
        <f t="shared" si="195"/>
        <v>10</v>
      </c>
      <c r="Q5982" t="s">
        <v>785</v>
      </c>
      <c r="R5982" t="s">
        <v>805</v>
      </c>
    </row>
    <row r="5983" spans="1:18" x14ac:dyDescent="0.3">
      <c r="A5983" t="s">
        <v>627</v>
      </c>
      <c r="B5983" s="16">
        <v>45586</v>
      </c>
      <c r="C5983" t="s">
        <v>2</v>
      </c>
      <c r="D5983" t="s">
        <v>55</v>
      </c>
      <c r="E5983">
        <v>1674</v>
      </c>
      <c r="F5983">
        <v>1318</v>
      </c>
      <c r="G5983">
        <v>23</v>
      </c>
      <c r="H5983">
        <v>4</v>
      </c>
      <c r="I5983">
        <v>0</v>
      </c>
      <c r="J5983">
        <v>0</v>
      </c>
      <c r="K5983">
        <v>0</v>
      </c>
      <c r="L5983">
        <v>0</v>
      </c>
      <c r="M5983">
        <v>29</v>
      </c>
      <c r="N5983">
        <v>286</v>
      </c>
      <c r="O5983">
        <f t="shared" si="194"/>
        <v>2024</v>
      </c>
      <c r="P5983">
        <f t="shared" si="195"/>
        <v>10</v>
      </c>
      <c r="Q5983" t="s">
        <v>785</v>
      </c>
      <c r="R5983" t="s">
        <v>805</v>
      </c>
    </row>
    <row r="5984" spans="1:18" x14ac:dyDescent="0.3">
      <c r="A5984" t="s">
        <v>627</v>
      </c>
      <c r="B5984" s="16">
        <v>45586</v>
      </c>
      <c r="C5984" t="s">
        <v>3</v>
      </c>
      <c r="D5984" t="s">
        <v>155</v>
      </c>
      <c r="E5984">
        <v>8</v>
      </c>
      <c r="F5984">
        <v>4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1</v>
      </c>
      <c r="N5984">
        <v>8</v>
      </c>
      <c r="O5984">
        <f t="shared" si="194"/>
        <v>2024</v>
      </c>
      <c r="P5984">
        <f t="shared" si="195"/>
        <v>10</v>
      </c>
      <c r="Q5984" t="s">
        <v>785</v>
      </c>
      <c r="R5984" t="s">
        <v>805</v>
      </c>
    </row>
    <row r="5985" spans="1:18" x14ac:dyDescent="0.3">
      <c r="A5985" t="s">
        <v>627</v>
      </c>
      <c r="B5985" s="16">
        <v>45586</v>
      </c>
      <c r="C5985" t="s">
        <v>3</v>
      </c>
      <c r="D5985" t="s">
        <v>154</v>
      </c>
      <c r="E5985">
        <v>352</v>
      </c>
      <c r="F5985">
        <v>244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2</v>
      </c>
      <c r="O5985">
        <f t="shared" si="194"/>
        <v>2024</v>
      </c>
      <c r="P5985">
        <f t="shared" si="195"/>
        <v>10</v>
      </c>
      <c r="Q5985" t="s">
        <v>785</v>
      </c>
      <c r="R5985" t="s">
        <v>805</v>
      </c>
    </row>
    <row r="5986" spans="1:18" x14ac:dyDescent="0.3">
      <c r="A5986" t="s">
        <v>627</v>
      </c>
      <c r="B5986" s="16">
        <v>45586</v>
      </c>
      <c r="C5986" t="s">
        <v>3</v>
      </c>
      <c r="D5986" t="s">
        <v>153</v>
      </c>
      <c r="E5986">
        <v>1716</v>
      </c>
      <c r="F5986">
        <v>631</v>
      </c>
      <c r="G5986">
        <v>293</v>
      </c>
      <c r="H5986">
        <v>12</v>
      </c>
      <c r="I5986">
        <v>2577274.46</v>
      </c>
      <c r="J5986">
        <v>425</v>
      </c>
      <c r="K5986">
        <v>2289785.46</v>
      </c>
      <c r="L5986">
        <v>410</v>
      </c>
      <c r="M5986">
        <v>488</v>
      </c>
      <c r="N5986">
        <v>1666</v>
      </c>
      <c r="O5986">
        <f t="shared" si="194"/>
        <v>2024</v>
      </c>
      <c r="P5986">
        <f t="shared" si="195"/>
        <v>10</v>
      </c>
      <c r="Q5986" t="s">
        <v>785</v>
      </c>
      <c r="R5986" t="s">
        <v>805</v>
      </c>
    </row>
    <row r="5987" spans="1:18" x14ac:dyDescent="0.3">
      <c r="A5987" t="s">
        <v>627</v>
      </c>
      <c r="B5987" s="16">
        <v>45586</v>
      </c>
      <c r="C5987" t="s">
        <v>3</v>
      </c>
      <c r="D5987" t="s">
        <v>152</v>
      </c>
      <c r="E5987">
        <v>9</v>
      </c>
      <c r="F5987">
        <v>4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4</v>
      </c>
      <c r="O5987">
        <f t="shared" si="194"/>
        <v>2024</v>
      </c>
      <c r="P5987">
        <f t="shared" si="195"/>
        <v>10</v>
      </c>
      <c r="Q5987" t="s">
        <v>785</v>
      </c>
      <c r="R5987" t="s">
        <v>805</v>
      </c>
    </row>
    <row r="5988" spans="1:18" x14ac:dyDescent="0.3">
      <c r="A5988" t="s">
        <v>627</v>
      </c>
      <c r="B5988" s="16">
        <v>45586</v>
      </c>
      <c r="C5988" t="s">
        <v>3</v>
      </c>
      <c r="D5988" t="s">
        <v>150</v>
      </c>
      <c r="E5988">
        <v>8</v>
      </c>
      <c r="F5988">
        <v>1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1</v>
      </c>
      <c r="N5988">
        <v>8</v>
      </c>
      <c r="O5988">
        <f t="shared" si="194"/>
        <v>2024</v>
      </c>
      <c r="P5988">
        <f t="shared" si="195"/>
        <v>10</v>
      </c>
      <c r="Q5988" t="s">
        <v>785</v>
      </c>
      <c r="R5988" t="s">
        <v>805</v>
      </c>
    </row>
    <row r="5989" spans="1:18" x14ac:dyDescent="0.3">
      <c r="A5989" t="s">
        <v>627</v>
      </c>
      <c r="B5989" s="16">
        <v>45586</v>
      </c>
      <c r="C5989" t="s">
        <v>3</v>
      </c>
      <c r="D5989" t="s">
        <v>149</v>
      </c>
      <c r="E5989">
        <v>7</v>
      </c>
      <c r="F5989">
        <v>3</v>
      </c>
      <c r="G5989">
        <v>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1</v>
      </c>
      <c r="N5989">
        <v>5</v>
      </c>
      <c r="O5989">
        <f t="shared" si="194"/>
        <v>2024</v>
      </c>
      <c r="P5989">
        <f t="shared" si="195"/>
        <v>10</v>
      </c>
      <c r="Q5989" t="s">
        <v>785</v>
      </c>
      <c r="R5989" t="s">
        <v>805</v>
      </c>
    </row>
    <row r="5990" spans="1:18" x14ac:dyDescent="0.3">
      <c r="A5990" t="s">
        <v>627</v>
      </c>
      <c r="B5990" s="16">
        <v>45586</v>
      </c>
      <c r="C5990" t="s">
        <v>3</v>
      </c>
      <c r="D5990" t="s">
        <v>148</v>
      </c>
      <c r="E5990">
        <v>32</v>
      </c>
      <c r="F5990">
        <v>27</v>
      </c>
      <c r="G5990">
        <v>0</v>
      </c>
      <c r="H5990">
        <v>0</v>
      </c>
      <c r="I5990">
        <v>1498</v>
      </c>
      <c r="J5990">
        <v>1</v>
      </c>
      <c r="K5990">
        <v>1498</v>
      </c>
      <c r="L5990">
        <v>1</v>
      </c>
      <c r="M5990">
        <v>28</v>
      </c>
      <c r="N5990">
        <v>4</v>
      </c>
      <c r="O5990">
        <f t="shared" si="194"/>
        <v>2024</v>
      </c>
      <c r="P5990">
        <f t="shared" si="195"/>
        <v>10</v>
      </c>
      <c r="Q5990" t="s">
        <v>785</v>
      </c>
      <c r="R5990" t="s">
        <v>805</v>
      </c>
    </row>
    <row r="5991" spans="1:18" x14ac:dyDescent="0.3">
      <c r="A5991" t="s">
        <v>627</v>
      </c>
      <c r="B5991" s="16">
        <v>45586</v>
      </c>
      <c r="C5991" t="s">
        <v>3</v>
      </c>
      <c r="D5991" t="s">
        <v>367</v>
      </c>
      <c r="E5991">
        <v>206</v>
      </c>
      <c r="F5991">
        <v>161</v>
      </c>
      <c r="G5991">
        <v>3</v>
      </c>
      <c r="H5991">
        <v>1</v>
      </c>
      <c r="I5991">
        <v>9600.51</v>
      </c>
      <c r="J5991">
        <v>4</v>
      </c>
      <c r="K5991">
        <v>7143.51</v>
      </c>
      <c r="L5991">
        <v>3</v>
      </c>
      <c r="M5991">
        <v>3</v>
      </c>
      <c r="N5991">
        <v>206</v>
      </c>
      <c r="O5991">
        <f t="shared" si="194"/>
        <v>2024</v>
      </c>
      <c r="P5991">
        <f t="shared" si="195"/>
        <v>10</v>
      </c>
      <c r="Q5991" t="s">
        <v>785</v>
      </c>
      <c r="R5991" t="s">
        <v>805</v>
      </c>
    </row>
    <row r="5992" spans="1:18" x14ac:dyDescent="0.3">
      <c r="A5992" t="s">
        <v>627</v>
      </c>
      <c r="B5992" s="16">
        <v>45586</v>
      </c>
      <c r="C5992" t="s">
        <v>3</v>
      </c>
      <c r="D5992" t="s">
        <v>146</v>
      </c>
      <c r="E5992">
        <v>2</v>
      </c>
      <c r="F5992">
        <v>1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2</v>
      </c>
      <c r="O5992">
        <f t="shared" si="194"/>
        <v>2024</v>
      </c>
      <c r="P5992">
        <f t="shared" si="195"/>
        <v>10</v>
      </c>
      <c r="Q5992" t="s">
        <v>785</v>
      </c>
      <c r="R5992" t="s">
        <v>805</v>
      </c>
    </row>
    <row r="5993" spans="1:18" x14ac:dyDescent="0.3">
      <c r="A5993" t="s">
        <v>627</v>
      </c>
      <c r="B5993" s="16">
        <v>45586</v>
      </c>
      <c r="C5993" t="s">
        <v>3</v>
      </c>
      <c r="D5993" t="s">
        <v>251</v>
      </c>
      <c r="E5993">
        <v>1620</v>
      </c>
      <c r="F5993">
        <v>1257</v>
      </c>
      <c r="G5993">
        <v>27</v>
      </c>
      <c r="H5993">
        <v>6</v>
      </c>
      <c r="I5993">
        <v>126404.3</v>
      </c>
      <c r="J5993">
        <v>21</v>
      </c>
      <c r="K5993">
        <v>116391.3</v>
      </c>
      <c r="L5993">
        <v>21</v>
      </c>
      <c r="M5993">
        <v>132</v>
      </c>
      <c r="N5993">
        <v>445</v>
      </c>
      <c r="O5993">
        <f t="shared" si="194"/>
        <v>2024</v>
      </c>
      <c r="P5993">
        <f t="shared" si="195"/>
        <v>10</v>
      </c>
      <c r="Q5993" t="s">
        <v>785</v>
      </c>
      <c r="R5993" t="s">
        <v>805</v>
      </c>
    </row>
    <row r="5994" spans="1:18" x14ac:dyDescent="0.3">
      <c r="A5994" t="s">
        <v>627</v>
      </c>
      <c r="B5994" s="16">
        <v>45586</v>
      </c>
      <c r="C5994" t="s">
        <v>3</v>
      </c>
      <c r="D5994" t="s">
        <v>143</v>
      </c>
      <c r="E5994">
        <v>31</v>
      </c>
      <c r="F5994">
        <v>30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1</v>
      </c>
      <c r="N5994">
        <v>31</v>
      </c>
      <c r="O5994">
        <f t="shared" si="194"/>
        <v>2024</v>
      </c>
      <c r="P5994">
        <f t="shared" si="195"/>
        <v>10</v>
      </c>
      <c r="Q5994" t="s">
        <v>785</v>
      </c>
      <c r="R5994" t="s">
        <v>805</v>
      </c>
    </row>
    <row r="5995" spans="1:18" x14ac:dyDescent="0.3">
      <c r="A5995" t="s">
        <v>627</v>
      </c>
      <c r="B5995" s="16">
        <v>45586</v>
      </c>
      <c r="C5995" t="s">
        <v>3</v>
      </c>
      <c r="D5995" t="s">
        <v>141</v>
      </c>
      <c r="E5995">
        <v>5</v>
      </c>
      <c r="F5995">
        <v>5</v>
      </c>
      <c r="G5995">
        <v>1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1</v>
      </c>
      <c r="N5995">
        <v>4</v>
      </c>
      <c r="O5995">
        <f t="shared" si="194"/>
        <v>2024</v>
      </c>
      <c r="P5995">
        <f t="shared" si="195"/>
        <v>10</v>
      </c>
      <c r="Q5995" t="s">
        <v>785</v>
      </c>
      <c r="R5995" t="s">
        <v>805</v>
      </c>
    </row>
    <row r="5996" spans="1:18" x14ac:dyDescent="0.3">
      <c r="A5996" t="s">
        <v>627</v>
      </c>
      <c r="B5996" s="16">
        <v>45586</v>
      </c>
      <c r="C5996" t="s">
        <v>3</v>
      </c>
      <c r="D5996" t="s">
        <v>140</v>
      </c>
      <c r="E5996">
        <v>15</v>
      </c>
      <c r="F5996">
        <v>15</v>
      </c>
      <c r="G5996">
        <v>6</v>
      </c>
      <c r="H5996">
        <v>0</v>
      </c>
      <c r="I5996">
        <v>3688</v>
      </c>
      <c r="J5996">
        <v>1</v>
      </c>
      <c r="K5996">
        <v>3688</v>
      </c>
      <c r="L5996">
        <v>1</v>
      </c>
      <c r="M5996">
        <v>2</v>
      </c>
      <c r="N5996">
        <v>14</v>
      </c>
      <c r="O5996">
        <f t="shared" si="194"/>
        <v>2024</v>
      </c>
      <c r="P5996">
        <f t="shared" si="195"/>
        <v>10</v>
      </c>
      <c r="Q5996" t="s">
        <v>785</v>
      </c>
      <c r="R5996" t="s">
        <v>805</v>
      </c>
    </row>
    <row r="5997" spans="1:18" x14ac:dyDescent="0.3">
      <c r="A5997" t="s">
        <v>627</v>
      </c>
      <c r="B5997" s="16">
        <v>45586</v>
      </c>
      <c r="C5997" t="s">
        <v>3</v>
      </c>
      <c r="D5997" t="s">
        <v>139</v>
      </c>
      <c r="E5997">
        <v>1582</v>
      </c>
      <c r="F5997">
        <v>874</v>
      </c>
      <c r="G5997">
        <v>204</v>
      </c>
      <c r="H5997">
        <v>12</v>
      </c>
      <c r="I5997">
        <v>737748.22</v>
      </c>
      <c r="J5997">
        <v>135</v>
      </c>
      <c r="K5997">
        <v>581455.22</v>
      </c>
      <c r="L5997">
        <v>120</v>
      </c>
      <c r="M5997">
        <v>781</v>
      </c>
      <c r="N5997">
        <v>1278</v>
      </c>
      <c r="O5997">
        <f t="shared" si="194"/>
        <v>2024</v>
      </c>
      <c r="P5997">
        <f t="shared" si="195"/>
        <v>10</v>
      </c>
      <c r="Q5997" t="s">
        <v>785</v>
      </c>
      <c r="R5997" t="s">
        <v>805</v>
      </c>
    </row>
    <row r="5998" spans="1:18" x14ac:dyDescent="0.3">
      <c r="A5998" t="s">
        <v>627</v>
      </c>
      <c r="B5998" s="16">
        <v>45586</v>
      </c>
      <c r="C5998" t="s">
        <v>3</v>
      </c>
      <c r="D5998" t="s">
        <v>138</v>
      </c>
      <c r="E5998">
        <v>21</v>
      </c>
      <c r="F5998">
        <v>11</v>
      </c>
      <c r="G5998">
        <v>0</v>
      </c>
      <c r="H5998">
        <v>0</v>
      </c>
      <c r="I5998">
        <v>6706</v>
      </c>
      <c r="J5998">
        <v>2</v>
      </c>
      <c r="K5998">
        <v>1889</v>
      </c>
      <c r="L5998">
        <v>1</v>
      </c>
      <c r="M5998">
        <v>4</v>
      </c>
      <c r="N5998">
        <v>18</v>
      </c>
      <c r="O5998">
        <f t="shared" si="194"/>
        <v>2024</v>
      </c>
      <c r="P5998">
        <f t="shared" si="195"/>
        <v>10</v>
      </c>
      <c r="Q5998" t="s">
        <v>785</v>
      </c>
      <c r="R5998" t="s">
        <v>805</v>
      </c>
    </row>
    <row r="5999" spans="1:18" x14ac:dyDescent="0.3">
      <c r="A5999" t="s">
        <v>627</v>
      </c>
      <c r="B5999" s="16">
        <v>45586</v>
      </c>
      <c r="C5999" t="s">
        <v>3</v>
      </c>
      <c r="D5999" t="s">
        <v>137</v>
      </c>
      <c r="E5999">
        <v>11</v>
      </c>
      <c r="F5999">
        <v>6</v>
      </c>
      <c r="G5999">
        <v>4</v>
      </c>
      <c r="H5999">
        <v>0</v>
      </c>
      <c r="I5999">
        <v>1680</v>
      </c>
      <c r="J5999">
        <v>1</v>
      </c>
      <c r="K5999">
        <v>0</v>
      </c>
      <c r="L5999">
        <v>0</v>
      </c>
      <c r="M5999">
        <v>4</v>
      </c>
      <c r="N5999">
        <v>11</v>
      </c>
      <c r="O5999">
        <f t="shared" si="194"/>
        <v>2024</v>
      </c>
      <c r="P5999">
        <f t="shared" si="195"/>
        <v>10</v>
      </c>
      <c r="Q5999" t="s">
        <v>785</v>
      </c>
      <c r="R5999" t="s">
        <v>805</v>
      </c>
    </row>
    <row r="6000" spans="1:18" x14ac:dyDescent="0.3">
      <c r="A6000" t="s">
        <v>627</v>
      </c>
      <c r="B6000" s="16">
        <v>45586</v>
      </c>
      <c r="C6000" t="s">
        <v>3</v>
      </c>
      <c r="D6000" t="s">
        <v>135</v>
      </c>
      <c r="E6000">
        <v>9</v>
      </c>
      <c r="F6000">
        <v>3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5</v>
      </c>
      <c r="O6000">
        <f t="shared" si="194"/>
        <v>2024</v>
      </c>
      <c r="P6000">
        <f t="shared" si="195"/>
        <v>10</v>
      </c>
      <c r="Q6000" t="s">
        <v>785</v>
      </c>
      <c r="R6000" t="s">
        <v>805</v>
      </c>
    </row>
    <row r="6001" spans="1:18" x14ac:dyDescent="0.3">
      <c r="A6001" t="s">
        <v>627</v>
      </c>
      <c r="B6001" s="16">
        <v>45586</v>
      </c>
      <c r="C6001" t="s">
        <v>3</v>
      </c>
      <c r="D6001" t="s">
        <v>133</v>
      </c>
      <c r="E6001">
        <v>81</v>
      </c>
      <c r="F6001">
        <v>56</v>
      </c>
      <c r="G6001">
        <v>14</v>
      </c>
      <c r="H6001">
        <v>0</v>
      </c>
      <c r="I6001">
        <v>57762.7</v>
      </c>
      <c r="J6001">
        <v>9</v>
      </c>
      <c r="K6001">
        <v>33812.699999999997</v>
      </c>
      <c r="L6001">
        <v>8</v>
      </c>
      <c r="M6001">
        <v>20</v>
      </c>
      <c r="N6001">
        <v>74</v>
      </c>
      <c r="O6001">
        <f t="shared" si="194"/>
        <v>2024</v>
      </c>
      <c r="P6001">
        <f t="shared" si="195"/>
        <v>10</v>
      </c>
      <c r="Q6001" t="s">
        <v>785</v>
      </c>
      <c r="R6001" t="s">
        <v>805</v>
      </c>
    </row>
    <row r="6002" spans="1:18" x14ac:dyDescent="0.3">
      <c r="A6002" t="s">
        <v>627</v>
      </c>
      <c r="B6002" s="16">
        <v>45586</v>
      </c>
      <c r="C6002" t="s">
        <v>3</v>
      </c>
      <c r="D6002" t="s">
        <v>130</v>
      </c>
      <c r="E6002">
        <v>321</v>
      </c>
      <c r="F6002">
        <v>116</v>
      </c>
      <c r="G6002">
        <v>49</v>
      </c>
      <c r="H6002">
        <v>6</v>
      </c>
      <c r="I6002">
        <v>253930.15</v>
      </c>
      <c r="J6002">
        <v>54</v>
      </c>
      <c r="K6002">
        <v>227750.15</v>
      </c>
      <c r="L6002">
        <v>51</v>
      </c>
      <c r="M6002">
        <v>95</v>
      </c>
      <c r="N6002">
        <v>303</v>
      </c>
      <c r="O6002">
        <f t="shared" si="194"/>
        <v>2024</v>
      </c>
      <c r="P6002">
        <f t="shared" si="195"/>
        <v>10</v>
      </c>
      <c r="Q6002" t="s">
        <v>785</v>
      </c>
      <c r="R6002" t="s">
        <v>805</v>
      </c>
    </row>
    <row r="6003" spans="1:18" x14ac:dyDescent="0.3">
      <c r="A6003" t="s">
        <v>627</v>
      </c>
      <c r="B6003" s="16">
        <v>45586</v>
      </c>
      <c r="C6003" t="s">
        <v>3</v>
      </c>
      <c r="D6003" t="s">
        <v>128</v>
      </c>
      <c r="E6003">
        <v>1942</v>
      </c>
      <c r="F6003">
        <v>1574</v>
      </c>
      <c r="G6003">
        <v>453</v>
      </c>
      <c r="H6003">
        <v>9</v>
      </c>
      <c r="I6003">
        <v>652133</v>
      </c>
      <c r="J6003">
        <v>156</v>
      </c>
      <c r="K6003">
        <v>518418</v>
      </c>
      <c r="L6003">
        <v>136</v>
      </c>
      <c r="M6003">
        <v>423</v>
      </c>
      <c r="N6003">
        <v>1778</v>
      </c>
      <c r="O6003">
        <f t="shared" si="194"/>
        <v>2024</v>
      </c>
      <c r="P6003">
        <f t="shared" si="195"/>
        <v>10</v>
      </c>
      <c r="Q6003" t="s">
        <v>785</v>
      </c>
      <c r="R6003" t="s">
        <v>805</v>
      </c>
    </row>
    <row r="6004" spans="1:18" x14ac:dyDescent="0.3">
      <c r="A6004" t="s">
        <v>627</v>
      </c>
      <c r="B6004" s="16">
        <v>45586</v>
      </c>
      <c r="C6004" t="s">
        <v>3</v>
      </c>
      <c r="D6004" t="s">
        <v>127</v>
      </c>
      <c r="E6004">
        <v>5595</v>
      </c>
      <c r="F6004">
        <v>3509</v>
      </c>
      <c r="G6004">
        <v>113</v>
      </c>
      <c r="H6004">
        <v>45</v>
      </c>
      <c r="I6004">
        <v>234769.3</v>
      </c>
      <c r="J6004">
        <v>42</v>
      </c>
      <c r="K6004">
        <v>179654.3</v>
      </c>
      <c r="L6004">
        <v>37</v>
      </c>
      <c r="M6004">
        <v>1542</v>
      </c>
      <c r="N6004">
        <v>4168</v>
      </c>
      <c r="O6004">
        <f t="shared" si="194"/>
        <v>2024</v>
      </c>
      <c r="P6004">
        <f t="shared" si="195"/>
        <v>10</v>
      </c>
      <c r="Q6004" t="s">
        <v>785</v>
      </c>
      <c r="R6004" t="s">
        <v>805</v>
      </c>
    </row>
    <row r="6005" spans="1:18" x14ac:dyDescent="0.3">
      <c r="A6005" t="s">
        <v>627</v>
      </c>
      <c r="B6005" s="16">
        <v>45586</v>
      </c>
      <c r="C6005" t="s">
        <v>3</v>
      </c>
      <c r="D6005" t="s">
        <v>126</v>
      </c>
      <c r="E6005">
        <v>175</v>
      </c>
      <c r="F6005">
        <v>122</v>
      </c>
      <c r="G6005">
        <v>10</v>
      </c>
      <c r="H6005">
        <v>4</v>
      </c>
      <c r="I6005">
        <v>11662</v>
      </c>
      <c r="J6005">
        <v>2</v>
      </c>
      <c r="K6005">
        <v>8264.5</v>
      </c>
      <c r="L6005">
        <v>2</v>
      </c>
      <c r="M6005">
        <v>21</v>
      </c>
      <c r="N6005">
        <v>170</v>
      </c>
      <c r="O6005">
        <f t="shared" si="194"/>
        <v>2024</v>
      </c>
      <c r="P6005">
        <f t="shared" si="195"/>
        <v>10</v>
      </c>
      <c r="Q6005" t="s">
        <v>785</v>
      </c>
      <c r="R6005" t="s">
        <v>805</v>
      </c>
    </row>
    <row r="6006" spans="1:18" x14ac:dyDescent="0.3">
      <c r="A6006" t="s">
        <v>627</v>
      </c>
      <c r="B6006" s="16">
        <v>45586</v>
      </c>
      <c r="C6006" t="s">
        <v>3</v>
      </c>
      <c r="D6006" t="s">
        <v>125</v>
      </c>
      <c r="E6006">
        <v>9</v>
      </c>
      <c r="F6006">
        <v>6</v>
      </c>
      <c r="G6006">
        <v>1</v>
      </c>
      <c r="H6006">
        <v>0</v>
      </c>
      <c r="I6006">
        <v>2750</v>
      </c>
      <c r="J6006">
        <v>1</v>
      </c>
      <c r="K6006">
        <v>2750</v>
      </c>
      <c r="L6006">
        <v>1</v>
      </c>
      <c r="M6006">
        <v>6</v>
      </c>
      <c r="N6006">
        <v>9</v>
      </c>
      <c r="O6006">
        <f t="shared" si="194"/>
        <v>2024</v>
      </c>
      <c r="P6006">
        <f t="shared" si="195"/>
        <v>10</v>
      </c>
      <c r="Q6006" t="s">
        <v>785</v>
      </c>
      <c r="R6006" t="s">
        <v>805</v>
      </c>
    </row>
    <row r="6007" spans="1:18" x14ac:dyDescent="0.3">
      <c r="A6007" t="s">
        <v>627</v>
      </c>
      <c r="B6007" s="16">
        <v>45586</v>
      </c>
      <c r="C6007" t="s">
        <v>3</v>
      </c>
      <c r="D6007" t="s">
        <v>123</v>
      </c>
      <c r="E6007">
        <v>520</v>
      </c>
      <c r="F6007">
        <v>217</v>
      </c>
      <c r="G6007">
        <v>42</v>
      </c>
      <c r="H6007">
        <v>5</v>
      </c>
      <c r="I6007">
        <v>80047.16</v>
      </c>
      <c r="J6007">
        <v>20</v>
      </c>
      <c r="K6007">
        <v>78367.16</v>
      </c>
      <c r="L6007">
        <v>19</v>
      </c>
      <c r="M6007">
        <v>149</v>
      </c>
      <c r="N6007">
        <v>463</v>
      </c>
      <c r="O6007">
        <f t="shared" si="194"/>
        <v>2024</v>
      </c>
      <c r="P6007">
        <f t="shared" si="195"/>
        <v>10</v>
      </c>
      <c r="Q6007" t="s">
        <v>785</v>
      </c>
      <c r="R6007" t="s">
        <v>805</v>
      </c>
    </row>
    <row r="6008" spans="1:18" x14ac:dyDescent="0.3">
      <c r="A6008" t="s">
        <v>627</v>
      </c>
      <c r="B6008" s="16">
        <v>45586</v>
      </c>
      <c r="C6008" t="s">
        <v>3</v>
      </c>
      <c r="D6008" t="s">
        <v>121</v>
      </c>
      <c r="E6008">
        <v>4</v>
      </c>
      <c r="F6008">
        <v>3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2</v>
      </c>
      <c r="N6008">
        <v>2</v>
      </c>
      <c r="O6008">
        <f t="shared" si="194"/>
        <v>2024</v>
      </c>
      <c r="P6008">
        <f t="shared" si="195"/>
        <v>10</v>
      </c>
      <c r="Q6008" t="s">
        <v>785</v>
      </c>
      <c r="R6008" t="s">
        <v>805</v>
      </c>
    </row>
    <row r="6009" spans="1:18" x14ac:dyDescent="0.3">
      <c r="A6009" t="s">
        <v>627</v>
      </c>
      <c r="B6009" s="16">
        <v>45586</v>
      </c>
      <c r="C6009" t="s">
        <v>3</v>
      </c>
      <c r="D6009" t="s">
        <v>120</v>
      </c>
      <c r="E6009">
        <v>579</v>
      </c>
      <c r="F6009">
        <v>286</v>
      </c>
      <c r="G6009">
        <v>27</v>
      </c>
      <c r="H6009">
        <v>0</v>
      </c>
      <c r="I6009">
        <v>94372.09</v>
      </c>
      <c r="J6009">
        <v>14</v>
      </c>
      <c r="K6009">
        <v>68522.09</v>
      </c>
      <c r="L6009">
        <v>12</v>
      </c>
      <c r="M6009">
        <v>80</v>
      </c>
      <c r="N6009">
        <v>569</v>
      </c>
      <c r="O6009">
        <f t="shared" si="194"/>
        <v>2024</v>
      </c>
      <c r="P6009">
        <f t="shared" si="195"/>
        <v>10</v>
      </c>
      <c r="Q6009" t="s">
        <v>785</v>
      </c>
      <c r="R6009" t="s">
        <v>805</v>
      </c>
    </row>
    <row r="6010" spans="1:18" x14ac:dyDescent="0.3">
      <c r="A6010" t="s">
        <v>627</v>
      </c>
      <c r="B6010" s="16">
        <v>45586</v>
      </c>
      <c r="C6010" t="s">
        <v>3</v>
      </c>
      <c r="D6010" t="s">
        <v>119</v>
      </c>
      <c r="E6010">
        <v>823</v>
      </c>
      <c r="F6010">
        <v>276</v>
      </c>
      <c r="G6010">
        <v>151</v>
      </c>
      <c r="H6010">
        <v>13</v>
      </c>
      <c r="I6010">
        <v>611159.63</v>
      </c>
      <c r="J6010">
        <v>97</v>
      </c>
      <c r="K6010">
        <v>484611.13</v>
      </c>
      <c r="L6010">
        <v>88</v>
      </c>
      <c r="M6010">
        <v>214</v>
      </c>
      <c r="N6010">
        <v>776</v>
      </c>
      <c r="O6010">
        <f t="shared" si="194"/>
        <v>2024</v>
      </c>
      <c r="P6010">
        <f t="shared" si="195"/>
        <v>10</v>
      </c>
      <c r="Q6010" t="s">
        <v>785</v>
      </c>
      <c r="R6010" t="s">
        <v>805</v>
      </c>
    </row>
    <row r="6011" spans="1:18" x14ac:dyDescent="0.3">
      <c r="A6011" t="s">
        <v>627</v>
      </c>
      <c r="B6011" s="16">
        <v>45586</v>
      </c>
      <c r="C6011" t="s">
        <v>3</v>
      </c>
      <c r="D6011" t="s">
        <v>252</v>
      </c>
      <c r="E6011">
        <v>7</v>
      </c>
      <c r="F6011">
        <v>4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7</v>
      </c>
      <c r="O6011">
        <f t="shared" si="194"/>
        <v>2024</v>
      </c>
      <c r="P6011">
        <f t="shared" si="195"/>
        <v>10</v>
      </c>
      <c r="Q6011" t="s">
        <v>785</v>
      </c>
      <c r="R6011" t="s">
        <v>805</v>
      </c>
    </row>
    <row r="6012" spans="1:18" x14ac:dyDescent="0.3">
      <c r="A6012" t="s">
        <v>627</v>
      </c>
      <c r="B6012" s="16">
        <v>45586</v>
      </c>
      <c r="C6012" t="s">
        <v>3</v>
      </c>
      <c r="D6012" t="s">
        <v>115</v>
      </c>
      <c r="E6012">
        <v>8</v>
      </c>
      <c r="F6012">
        <v>1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2</v>
      </c>
      <c r="N6012">
        <v>8</v>
      </c>
      <c r="O6012">
        <f t="shared" si="194"/>
        <v>2024</v>
      </c>
      <c r="P6012">
        <f t="shared" si="195"/>
        <v>10</v>
      </c>
      <c r="Q6012" t="s">
        <v>785</v>
      </c>
      <c r="R6012" t="s">
        <v>805</v>
      </c>
    </row>
    <row r="6013" spans="1:18" x14ac:dyDescent="0.3">
      <c r="A6013" t="s">
        <v>627</v>
      </c>
      <c r="B6013" s="16">
        <v>45586</v>
      </c>
      <c r="C6013" t="s">
        <v>3</v>
      </c>
      <c r="D6013" t="s">
        <v>114</v>
      </c>
      <c r="E6013">
        <v>211</v>
      </c>
      <c r="F6013">
        <v>102</v>
      </c>
      <c r="G6013">
        <v>9</v>
      </c>
      <c r="H6013">
        <v>1</v>
      </c>
      <c r="I6013">
        <v>13385</v>
      </c>
      <c r="J6013">
        <v>2</v>
      </c>
      <c r="K6013">
        <v>13385</v>
      </c>
      <c r="L6013">
        <v>2</v>
      </c>
      <c r="M6013">
        <v>23</v>
      </c>
      <c r="N6013">
        <v>195</v>
      </c>
      <c r="O6013">
        <f t="shared" si="194"/>
        <v>2024</v>
      </c>
      <c r="P6013">
        <f t="shared" si="195"/>
        <v>10</v>
      </c>
      <c r="Q6013" t="s">
        <v>785</v>
      </c>
      <c r="R6013" t="s">
        <v>805</v>
      </c>
    </row>
    <row r="6014" spans="1:18" x14ac:dyDescent="0.3">
      <c r="A6014" t="s">
        <v>627</v>
      </c>
      <c r="B6014" s="16">
        <v>45586</v>
      </c>
      <c r="C6014" t="s">
        <v>3</v>
      </c>
      <c r="D6014" t="s">
        <v>113</v>
      </c>
      <c r="E6014">
        <v>203</v>
      </c>
      <c r="F6014">
        <v>98</v>
      </c>
      <c r="G6014">
        <v>10</v>
      </c>
      <c r="H6014">
        <v>2</v>
      </c>
      <c r="I6014">
        <v>49313</v>
      </c>
      <c r="J6014">
        <v>5</v>
      </c>
      <c r="K6014">
        <v>49313</v>
      </c>
      <c r="L6014">
        <v>5</v>
      </c>
      <c r="M6014">
        <v>174</v>
      </c>
      <c r="N6014">
        <v>114</v>
      </c>
      <c r="O6014">
        <f t="shared" si="194"/>
        <v>2024</v>
      </c>
      <c r="P6014">
        <f t="shared" si="195"/>
        <v>10</v>
      </c>
      <c r="Q6014" t="s">
        <v>785</v>
      </c>
      <c r="R6014" t="s">
        <v>805</v>
      </c>
    </row>
    <row r="6015" spans="1:18" x14ac:dyDescent="0.3">
      <c r="A6015" t="s">
        <v>627</v>
      </c>
      <c r="B6015" s="16">
        <v>45586</v>
      </c>
      <c r="C6015" t="s">
        <v>3</v>
      </c>
      <c r="D6015" t="s">
        <v>112</v>
      </c>
      <c r="E6015">
        <v>67</v>
      </c>
      <c r="F6015">
        <v>25</v>
      </c>
      <c r="G6015">
        <v>13</v>
      </c>
      <c r="H6015">
        <v>1</v>
      </c>
      <c r="I6015">
        <v>149541.5</v>
      </c>
      <c r="J6015">
        <v>26</v>
      </c>
      <c r="K6015">
        <v>139311.5</v>
      </c>
      <c r="L6015">
        <v>25</v>
      </c>
      <c r="M6015">
        <v>3</v>
      </c>
      <c r="N6015">
        <v>67</v>
      </c>
      <c r="O6015">
        <f t="shared" si="194"/>
        <v>2024</v>
      </c>
      <c r="P6015">
        <f t="shared" si="195"/>
        <v>10</v>
      </c>
      <c r="Q6015" t="s">
        <v>785</v>
      </c>
      <c r="R6015" t="s">
        <v>805</v>
      </c>
    </row>
    <row r="6016" spans="1:18" x14ac:dyDescent="0.3">
      <c r="A6016" t="s">
        <v>627</v>
      </c>
      <c r="B6016" s="16">
        <v>45585</v>
      </c>
      <c r="C6016" t="s">
        <v>2</v>
      </c>
      <c r="D6016" t="s">
        <v>4</v>
      </c>
      <c r="E6016">
        <v>759</v>
      </c>
      <c r="F6016">
        <v>219</v>
      </c>
      <c r="G6016">
        <v>4</v>
      </c>
      <c r="H6016">
        <v>3</v>
      </c>
      <c r="I6016">
        <v>5250</v>
      </c>
      <c r="J6016">
        <v>1</v>
      </c>
      <c r="K6016">
        <v>0</v>
      </c>
      <c r="L6016">
        <v>0</v>
      </c>
      <c r="M6016">
        <v>32</v>
      </c>
      <c r="N6016">
        <v>739</v>
      </c>
      <c r="O6016">
        <f t="shared" si="194"/>
        <v>2024</v>
      </c>
      <c r="P6016">
        <f t="shared" si="195"/>
        <v>10</v>
      </c>
      <c r="Q6016" t="s">
        <v>785</v>
      </c>
      <c r="R6016" t="s">
        <v>805</v>
      </c>
    </row>
    <row r="6017" spans="1:18" x14ac:dyDescent="0.3">
      <c r="A6017" t="s">
        <v>627</v>
      </c>
      <c r="B6017" s="16">
        <v>45585</v>
      </c>
      <c r="C6017" t="s">
        <v>2</v>
      </c>
      <c r="D6017" t="s">
        <v>57</v>
      </c>
      <c r="E6017">
        <v>13879</v>
      </c>
      <c r="F6017">
        <v>8991</v>
      </c>
      <c r="G6017">
        <v>384</v>
      </c>
      <c r="H6017">
        <v>144</v>
      </c>
      <c r="I6017">
        <v>300938</v>
      </c>
      <c r="J6017">
        <v>38</v>
      </c>
      <c r="K6017">
        <v>92183</v>
      </c>
      <c r="L6017">
        <v>17</v>
      </c>
      <c r="M6017">
        <v>940</v>
      </c>
      <c r="N6017">
        <v>13832</v>
      </c>
      <c r="O6017">
        <f t="shared" si="194"/>
        <v>2024</v>
      </c>
      <c r="P6017">
        <f t="shared" si="195"/>
        <v>10</v>
      </c>
      <c r="Q6017" t="s">
        <v>785</v>
      </c>
      <c r="R6017" t="s">
        <v>805</v>
      </c>
    </row>
    <row r="6018" spans="1:18" x14ac:dyDescent="0.3">
      <c r="A6018" t="s">
        <v>627</v>
      </c>
      <c r="B6018" s="16">
        <v>45585</v>
      </c>
      <c r="C6018" t="s">
        <v>2</v>
      </c>
      <c r="D6018" t="s">
        <v>52</v>
      </c>
      <c r="E6018">
        <v>731</v>
      </c>
      <c r="F6018">
        <v>559</v>
      </c>
      <c r="G6018">
        <v>39</v>
      </c>
      <c r="H6018">
        <v>9</v>
      </c>
      <c r="I6018">
        <v>17998</v>
      </c>
      <c r="J6018">
        <v>3</v>
      </c>
      <c r="K6018">
        <v>10375</v>
      </c>
      <c r="L6018">
        <v>2</v>
      </c>
      <c r="M6018">
        <v>731</v>
      </c>
      <c r="N6018">
        <v>473</v>
      </c>
      <c r="O6018">
        <f t="shared" si="194"/>
        <v>2024</v>
      </c>
      <c r="P6018">
        <f t="shared" si="195"/>
        <v>10</v>
      </c>
      <c r="Q6018" t="s">
        <v>785</v>
      </c>
      <c r="R6018" t="s">
        <v>805</v>
      </c>
    </row>
    <row r="6019" spans="1:18" x14ac:dyDescent="0.3">
      <c r="A6019" t="s">
        <v>627</v>
      </c>
      <c r="B6019" s="16">
        <v>45585</v>
      </c>
      <c r="C6019" t="s">
        <v>2</v>
      </c>
      <c r="D6019" t="s">
        <v>55</v>
      </c>
      <c r="E6019">
        <v>1171</v>
      </c>
      <c r="F6019">
        <v>925</v>
      </c>
      <c r="G6019">
        <v>13</v>
      </c>
      <c r="H6019">
        <v>5</v>
      </c>
      <c r="I6019">
        <v>0</v>
      </c>
      <c r="J6019">
        <v>0</v>
      </c>
      <c r="K6019">
        <v>0</v>
      </c>
      <c r="L6019">
        <v>0</v>
      </c>
      <c r="M6019">
        <v>20</v>
      </c>
      <c r="N6019">
        <v>216</v>
      </c>
      <c r="O6019">
        <f t="shared" si="194"/>
        <v>2024</v>
      </c>
      <c r="P6019">
        <f t="shared" si="195"/>
        <v>10</v>
      </c>
      <c r="Q6019" t="s">
        <v>785</v>
      </c>
      <c r="R6019" t="s">
        <v>805</v>
      </c>
    </row>
    <row r="6020" spans="1:18" x14ac:dyDescent="0.3">
      <c r="A6020" t="s">
        <v>627</v>
      </c>
      <c r="B6020" s="16">
        <v>45585</v>
      </c>
      <c r="C6020" t="s">
        <v>3</v>
      </c>
      <c r="D6020" t="s">
        <v>155</v>
      </c>
      <c r="E6020">
        <v>11</v>
      </c>
      <c r="F6020">
        <v>9</v>
      </c>
      <c r="G6020">
        <v>0</v>
      </c>
      <c r="H6020">
        <v>1</v>
      </c>
      <c r="I6020">
        <v>0</v>
      </c>
      <c r="J6020">
        <v>0</v>
      </c>
      <c r="K6020">
        <v>0</v>
      </c>
      <c r="L6020">
        <v>0</v>
      </c>
      <c r="M6020">
        <v>1</v>
      </c>
      <c r="N6020">
        <v>11</v>
      </c>
      <c r="O6020">
        <f t="shared" si="194"/>
        <v>2024</v>
      </c>
      <c r="P6020">
        <f t="shared" si="195"/>
        <v>10</v>
      </c>
      <c r="Q6020" t="s">
        <v>785</v>
      </c>
      <c r="R6020" t="s">
        <v>805</v>
      </c>
    </row>
    <row r="6021" spans="1:18" x14ac:dyDescent="0.3">
      <c r="A6021" t="s">
        <v>627</v>
      </c>
      <c r="B6021" s="16">
        <v>45585</v>
      </c>
      <c r="C6021" t="s">
        <v>3</v>
      </c>
      <c r="D6021" t="s">
        <v>154</v>
      </c>
      <c r="E6021">
        <v>613</v>
      </c>
      <c r="F6021">
        <v>552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f t="shared" si="194"/>
        <v>2024</v>
      </c>
      <c r="P6021">
        <f t="shared" si="195"/>
        <v>10</v>
      </c>
      <c r="Q6021" t="s">
        <v>785</v>
      </c>
      <c r="R6021" t="s">
        <v>805</v>
      </c>
    </row>
    <row r="6022" spans="1:18" x14ac:dyDescent="0.3">
      <c r="A6022" t="s">
        <v>627</v>
      </c>
      <c r="B6022" s="16">
        <v>45585</v>
      </c>
      <c r="C6022" t="s">
        <v>3</v>
      </c>
      <c r="D6022" t="s">
        <v>153</v>
      </c>
      <c r="E6022">
        <v>835</v>
      </c>
      <c r="F6022">
        <v>176</v>
      </c>
      <c r="G6022">
        <v>104</v>
      </c>
      <c r="H6022">
        <v>12</v>
      </c>
      <c r="I6022">
        <v>194651</v>
      </c>
      <c r="J6022">
        <v>30</v>
      </c>
      <c r="K6022">
        <v>81596</v>
      </c>
      <c r="L6022">
        <v>18</v>
      </c>
      <c r="M6022">
        <v>219</v>
      </c>
      <c r="N6022">
        <v>817</v>
      </c>
      <c r="O6022">
        <f t="shared" si="194"/>
        <v>2024</v>
      </c>
      <c r="P6022">
        <f t="shared" si="195"/>
        <v>10</v>
      </c>
      <c r="Q6022" t="s">
        <v>785</v>
      </c>
      <c r="R6022" t="s">
        <v>805</v>
      </c>
    </row>
    <row r="6023" spans="1:18" x14ac:dyDescent="0.3">
      <c r="A6023" t="s">
        <v>627</v>
      </c>
      <c r="B6023" s="16">
        <v>45585</v>
      </c>
      <c r="C6023" t="s">
        <v>3</v>
      </c>
      <c r="D6023" t="s">
        <v>152</v>
      </c>
      <c r="E6023">
        <v>14</v>
      </c>
      <c r="F6023">
        <v>7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8</v>
      </c>
      <c r="O6023">
        <f t="shared" si="194"/>
        <v>2024</v>
      </c>
      <c r="P6023">
        <f t="shared" si="195"/>
        <v>10</v>
      </c>
      <c r="Q6023" t="s">
        <v>785</v>
      </c>
      <c r="R6023" t="s">
        <v>805</v>
      </c>
    </row>
    <row r="6024" spans="1:18" x14ac:dyDescent="0.3">
      <c r="A6024" t="s">
        <v>627</v>
      </c>
      <c r="B6024" s="16">
        <v>45585</v>
      </c>
      <c r="C6024" t="s">
        <v>3</v>
      </c>
      <c r="D6024" t="s">
        <v>150</v>
      </c>
      <c r="E6024">
        <v>9</v>
      </c>
      <c r="F6024">
        <v>3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1</v>
      </c>
      <c r="N6024">
        <v>9</v>
      </c>
      <c r="O6024">
        <f t="shared" si="194"/>
        <v>2024</v>
      </c>
      <c r="P6024">
        <f t="shared" si="195"/>
        <v>10</v>
      </c>
      <c r="Q6024" t="s">
        <v>785</v>
      </c>
      <c r="R6024" t="s">
        <v>805</v>
      </c>
    </row>
    <row r="6025" spans="1:18" x14ac:dyDescent="0.3">
      <c r="A6025" t="s">
        <v>627</v>
      </c>
      <c r="B6025" s="16">
        <v>45585</v>
      </c>
      <c r="C6025" t="s">
        <v>3</v>
      </c>
      <c r="D6025" t="s">
        <v>149</v>
      </c>
      <c r="E6025">
        <v>10</v>
      </c>
      <c r="F6025">
        <v>9</v>
      </c>
      <c r="G6025">
        <v>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2</v>
      </c>
      <c r="N6025">
        <v>8</v>
      </c>
      <c r="O6025">
        <f t="shared" ref="O6025:O6088" si="196">YEAR(B6025)</f>
        <v>2024</v>
      </c>
      <c r="P6025">
        <f t="shared" ref="P6025:P6088" si="197">MONTH(B6025)</f>
        <v>10</v>
      </c>
      <c r="Q6025" t="s">
        <v>785</v>
      </c>
      <c r="R6025" t="s">
        <v>805</v>
      </c>
    </row>
    <row r="6026" spans="1:18" x14ac:dyDescent="0.3">
      <c r="A6026" t="s">
        <v>627</v>
      </c>
      <c r="B6026" s="16">
        <v>45585</v>
      </c>
      <c r="C6026" t="s">
        <v>3</v>
      </c>
      <c r="D6026" t="s">
        <v>367</v>
      </c>
      <c r="E6026">
        <v>122</v>
      </c>
      <c r="F6026">
        <v>81</v>
      </c>
      <c r="G6026">
        <v>3</v>
      </c>
      <c r="H6026">
        <v>1</v>
      </c>
      <c r="I6026">
        <v>0</v>
      </c>
      <c r="J6026">
        <v>0</v>
      </c>
      <c r="K6026">
        <v>0</v>
      </c>
      <c r="L6026">
        <v>0</v>
      </c>
      <c r="M6026">
        <v>6</v>
      </c>
      <c r="N6026">
        <v>122</v>
      </c>
      <c r="O6026">
        <f t="shared" si="196"/>
        <v>2024</v>
      </c>
      <c r="P6026">
        <f t="shared" si="197"/>
        <v>10</v>
      </c>
      <c r="Q6026" t="s">
        <v>785</v>
      </c>
      <c r="R6026" t="s">
        <v>805</v>
      </c>
    </row>
    <row r="6027" spans="1:18" x14ac:dyDescent="0.3">
      <c r="A6027" t="s">
        <v>627</v>
      </c>
      <c r="B6027" s="16">
        <v>45585</v>
      </c>
      <c r="C6027" t="s">
        <v>3</v>
      </c>
      <c r="D6027" t="s">
        <v>146</v>
      </c>
      <c r="E6027">
        <v>2</v>
      </c>
      <c r="F6027">
        <v>1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2</v>
      </c>
      <c r="O6027">
        <f t="shared" si="196"/>
        <v>2024</v>
      </c>
      <c r="P6027">
        <f t="shared" si="197"/>
        <v>10</v>
      </c>
      <c r="Q6027" t="s">
        <v>785</v>
      </c>
      <c r="R6027" t="s">
        <v>805</v>
      </c>
    </row>
    <row r="6028" spans="1:18" x14ac:dyDescent="0.3">
      <c r="A6028" t="s">
        <v>627</v>
      </c>
      <c r="B6028" s="16">
        <v>45585</v>
      </c>
      <c r="C6028" t="s">
        <v>3</v>
      </c>
      <c r="D6028" t="s">
        <v>251</v>
      </c>
      <c r="E6028">
        <v>1029</v>
      </c>
      <c r="F6028">
        <v>705</v>
      </c>
      <c r="G6028">
        <v>20</v>
      </c>
      <c r="H6028">
        <v>9</v>
      </c>
      <c r="I6028">
        <v>37780</v>
      </c>
      <c r="J6028">
        <v>6</v>
      </c>
      <c r="K6028">
        <v>21650</v>
      </c>
      <c r="L6028">
        <v>3</v>
      </c>
      <c r="M6028">
        <v>110</v>
      </c>
      <c r="N6028">
        <v>450</v>
      </c>
      <c r="O6028">
        <f t="shared" si="196"/>
        <v>2024</v>
      </c>
      <c r="P6028">
        <f t="shared" si="197"/>
        <v>10</v>
      </c>
      <c r="Q6028" t="s">
        <v>785</v>
      </c>
      <c r="R6028" t="s">
        <v>805</v>
      </c>
    </row>
    <row r="6029" spans="1:18" x14ac:dyDescent="0.3">
      <c r="A6029" t="s">
        <v>627</v>
      </c>
      <c r="B6029" s="16">
        <v>45585</v>
      </c>
      <c r="C6029" t="s">
        <v>3</v>
      </c>
      <c r="D6029" t="s">
        <v>143</v>
      </c>
      <c r="E6029">
        <v>16</v>
      </c>
      <c r="F6029">
        <v>16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1</v>
      </c>
      <c r="N6029">
        <v>16</v>
      </c>
      <c r="O6029">
        <f t="shared" si="196"/>
        <v>2024</v>
      </c>
      <c r="P6029">
        <f t="shared" si="197"/>
        <v>10</v>
      </c>
      <c r="Q6029" t="s">
        <v>785</v>
      </c>
      <c r="R6029" t="s">
        <v>805</v>
      </c>
    </row>
    <row r="6030" spans="1:18" x14ac:dyDescent="0.3">
      <c r="A6030" t="s">
        <v>627</v>
      </c>
      <c r="B6030" s="16">
        <v>45585</v>
      </c>
      <c r="C6030" t="s">
        <v>3</v>
      </c>
      <c r="D6030" t="s">
        <v>141</v>
      </c>
      <c r="E6030">
        <v>1</v>
      </c>
      <c r="F6030">
        <v>1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1</v>
      </c>
      <c r="N6030">
        <v>0</v>
      </c>
      <c r="O6030">
        <f t="shared" si="196"/>
        <v>2024</v>
      </c>
      <c r="P6030">
        <f t="shared" si="197"/>
        <v>10</v>
      </c>
      <c r="Q6030" t="s">
        <v>785</v>
      </c>
      <c r="R6030" t="s">
        <v>805</v>
      </c>
    </row>
    <row r="6031" spans="1:18" x14ac:dyDescent="0.3">
      <c r="A6031" t="s">
        <v>627</v>
      </c>
      <c r="B6031" s="16">
        <v>45585</v>
      </c>
      <c r="C6031" t="s">
        <v>3</v>
      </c>
      <c r="D6031" t="s">
        <v>140</v>
      </c>
      <c r="E6031">
        <v>3</v>
      </c>
      <c r="F6031">
        <v>3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3</v>
      </c>
      <c r="O6031">
        <f t="shared" si="196"/>
        <v>2024</v>
      </c>
      <c r="P6031">
        <f t="shared" si="197"/>
        <v>10</v>
      </c>
      <c r="Q6031" t="s">
        <v>785</v>
      </c>
      <c r="R6031" t="s">
        <v>805</v>
      </c>
    </row>
    <row r="6032" spans="1:18" x14ac:dyDescent="0.3">
      <c r="A6032" t="s">
        <v>627</v>
      </c>
      <c r="B6032" s="16">
        <v>45585</v>
      </c>
      <c r="C6032" t="s">
        <v>3</v>
      </c>
      <c r="D6032" t="s">
        <v>139</v>
      </c>
      <c r="E6032">
        <v>1245</v>
      </c>
      <c r="F6032">
        <v>679</v>
      </c>
      <c r="G6032">
        <v>91</v>
      </c>
      <c r="H6032">
        <v>15</v>
      </c>
      <c r="I6032">
        <v>124792</v>
      </c>
      <c r="J6032">
        <v>16</v>
      </c>
      <c r="K6032">
        <v>27792</v>
      </c>
      <c r="L6032">
        <v>9</v>
      </c>
      <c r="M6032">
        <v>537</v>
      </c>
      <c r="N6032">
        <v>1062</v>
      </c>
      <c r="O6032">
        <f t="shared" si="196"/>
        <v>2024</v>
      </c>
      <c r="P6032">
        <f t="shared" si="197"/>
        <v>10</v>
      </c>
      <c r="Q6032" t="s">
        <v>785</v>
      </c>
      <c r="R6032" t="s">
        <v>805</v>
      </c>
    </row>
    <row r="6033" spans="1:18" x14ac:dyDescent="0.3">
      <c r="A6033" t="s">
        <v>627</v>
      </c>
      <c r="B6033" s="16">
        <v>45585</v>
      </c>
      <c r="C6033" t="s">
        <v>3</v>
      </c>
      <c r="D6033" t="s">
        <v>138</v>
      </c>
      <c r="E6033">
        <v>12</v>
      </c>
      <c r="F6033">
        <v>3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5</v>
      </c>
      <c r="N6033">
        <v>10</v>
      </c>
      <c r="O6033">
        <f t="shared" si="196"/>
        <v>2024</v>
      </c>
      <c r="P6033">
        <f t="shared" si="197"/>
        <v>10</v>
      </c>
      <c r="Q6033" t="s">
        <v>785</v>
      </c>
      <c r="R6033" t="s">
        <v>805</v>
      </c>
    </row>
    <row r="6034" spans="1:18" x14ac:dyDescent="0.3">
      <c r="A6034" t="s">
        <v>627</v>
      </c>
      <c r="B6034" s="16">
        <v>45585</v>
      </c>
      <c r="C6034" t="s">
        <v>3</v>
      </c>
      <c r="D6034" t="s">
        <v>137</v>
      </c>
      <c r="E6034">
        <v>5</v>
      </c>
      <c r="F6034">
        <v>1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1</v>
      </c>
      <c r="N6034">
        <v>5</v>
      </c>
      <c r="O6034">
        <f t="shared" si="196"/>
        <v>2024</v>
      </c>
      <c r="P6034">
        <f t="shared" si="197"/>
        <v>10</v>
      </c>
      <c r="Q6034" t="s">
        <v>785</v>
      </c>
      <c r="R6034" t="s">
        <v>805</v>
      </c>
    </row>
    <row r="6035" spans="1:18" x14ac:dyDescent="0.3">
      <c r="A6035" t="s">
        <v>627</v>
      </c>
      <c r="B6035" s="16">
        <v>45585</v>
      </c>
      <c r="C6035" t="s">
        <v>3</v>
      </c>
      <c r="D6035" t="s">
        <v>135</v>
      </c>
      <c r="E6035">
        <v>10</v>
      </c>
      <c r="F6035">
        <v>3</v>
      </c>
      <c r="G6035">
        <v>1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7</v>
      </c>
      <c r="O6035">
        <f t="shared" si="196"/>
        <v>2024</v>
      </c>
      <c r="P6035">
        <f t="shared" si="197"/>
        <v>10</v>
      </c>
      <c r="Q6035" t="s">
        <v>785</v>
      </c>
      <c r="R6035" t="s">
        <v>805</v>
      </c>
    </row>
    <row r="6036" spans="1:18" x14ac:dyDescent="0.3">
      <c r="A6036" t="s">
        <v>627</v>
      </c>
      <c r="B6036" s="16">
        <v>45585</v>
      </c>
      <c r="C6036" t="s">
        <v>3</v>
      </c>
      <c r="D6036" t="s">
        <v>133</v>
      </c>
      <c r="E6036">
        <v>34</v>
      </c>
      <c r="F6036">
        <v>18</v>
      </c>
      <c r="G6036">
        <v>4</v>
      </c>
      <c r="H6036">
        <v>1</v>
      </c>
      <c r="I6036">
        <v>0</v>
      </c>
      <c r="J6036">
        <v>0</v>
      </c>
      <c r="K6036">
        <v>0</v>
      </c>
      <c r="L6036">
        <v>0</v>
      </c>
      <c r="M6036">
        <v>8</v>
      </c>
      <c r="N6036">
        <v>30</v>
      </c>
      <c r="O6036">
        <f t="shared" si="196"/>
        <v>2024</v>
      </c>
      <c r="P6036">
        <f t="shared" si="197"/>
        <v>10</v>
      </c>
      <c r="Q6036" t="s">
        <v>785</v>
      </c>
      <c r="R6036" t="s">
        <v>805</v>
      </c>
    </row>
    <row r="6037" spans="1:18" x14ac:dyDescent="0.3">
      <c r="A6037" t="s">
        <v>627</v>
      </c>
      <c r="B6037" s="16">
        <v>45585</v>
      </c>
      <c r="C6037" t="s">
        <v>3</v>
      </c>
      <c r="D6037" t="s">
        <v>130</v>
      </c>
      <c r="E6037">
        <v>402</v>
      </c>
      <c r="F6037">
        <v>123</v>
      </c>
      <c r="G6037">
        <v>37</v>
      </c>
      <c r="H6037">
        <v>11</v>
      </c>
      <c r="I6037">
        <v>61060</v>
      </c>
      <c r="J6037">
        <v>8</v>
      </c>
      <c r="K6037">
        <v>27898</v>
      </c>
      <c r="L6037">
        <v>4</v>
      </c>
      <c r="M6037">
        <v>83</v>
      </c>
      <c r="N6037">
        <v>390</v>
      </c>
      <c r="O6037">
        <f t="shared" si="196"/>
        <v>2024</v>
      </c>
      <c r="P6037">
        <f t="shared" si="197"/>
        <v>10</v>
      </c>
      <c r="Q6037" t="s">
        <v>785</v>
      </c>
      <c r="R6037" t="s">
        <v>805</v>
      </c>
    </row>
    <row r="6038" spans="1:18" x14ac:dyDescent="0.3">
      <c r="A6038" t="s">
        <v>627</v>
      </c>
      <c r="B6038" s="16">
        <v>45585</v>
      </c>
      <c r="C6038" t="s">
        <v>3</v>
      </c>
      <c r="D6038" t="s">
        <v>128</v>
      </c>
      <c r="E6038">
        <v>1223</v>
      </c>
      <c r="F6038">
        <v>920</v>
      </c>
      <c r="G6038">
        <v>82</v>
      </c>
      <c r="H6038">
        <v>14</v>
      </c>
      <c r="I6038">
        <v>38360</v>
      </c>
      <c r="J6038">
        <v>10</v>
      </c>
      <c r="K6038">
        <v>27563</v>
      </c>
      <c r="L6038">
        <v>6</v>
      </c>
      <c r="M6038">
        <v>301</v>
      </c>
      <c r="N6038">
        <v>1108</v>
      </c>
      <c r="O6038">
        <f t="shared" si="196"/>
        <v>2024</v>
      </c>
      <c r="P6038">
        <f t="shared" si="197"/>
        <v>10</v>
      </c>
      <c r="Q6038" t="s">
        <v>785</v>
      </c>
      <c r="R6038" t="s">
        <v>805</v>
      </c>
    </row>
    <row r="6039" spans="1:18" x14ac:dyDescent="0.3">
      <c r="A6039" t="s">
        <v>627</v>
      </c>
      <c r="B6039" s="16">
        <v>45585</v>
      </c>
      <c r="C6039" t="s">
        <v>3</v>
      </c>
      <c r="D6039" t="s">
        <v>127</v>
      </c>
      <c r="E6039">
        <v>7126</v>
      </c>
      <c r="F6039">
        <v>4710</v>
      </c>
      <c r="G6039">
        <v>167</v>
      </c>
      <c r="H6039">
        <v>56</v>
      </c>
      <c r="I6039">
        <v>81825</v>
      </c>
      <c r="J6039">
        <v>12</v>
      </c>
      <c r="K6039">
        <v>17370</v>
      </c>
      <c r="L6039">
        <v>6</v>
      </c>
      <c r="M6039">
        <v>1653</v>
      </c>
      <c r="N6039">
        <v>5824</v>
      </c>
      <c r="O6039">
        <f t="shared" si="196"/>
        <v>2024</v>
      </c>
      <c r="P6039">
        <f t="shared" si="197"/>
        <v>10</v>
      </c>
      <c r="Q6039" t="s">
        <v>785</v>
      </c>
      <c r="R6039" t="s">
        <v>805</v>
      </c>
    </row>
    <row r="6040" spans="1:18" x14ac:dyDescent="0.3">
      <c r="A6040" t="s">
        <v>627</v>
      </c>
      <c r="B6040" s="16">
        <v>45585</v>
      </c>
      <c r="C6040" t="s">
        <v>3</v>
      </c>
      <c r="D6040" t="s">
        <v>126</v>
      </c>
      <c r="E6040">
        <v>174</v>
      </c>
      <c r="F6040">
        <v>125</v>
      </c>
      <c r="G6040">
        <v>7</v>
      </c>
      <c r="H6040">
        <v>3</v>
      </c>
      <c r="I6040">
        <v>0</v>
      </c>
      <c r="J6040">
        <v>0</v>
      </c>
      <c r="K6040">
        <v>0</v>
      </c>
      <c r="L6040">
        <v>0</v>
      </c>
      <c r="M6040">
        <v>26</v>
      </c>
      <c r="N6040">
        <v>169</v>
      </c>
      <c r="O6040">
        <f t="shared" si="196"/>
        <v>2024</v>
      </c>
      <c r="P6040">
        <f t="shared" si="197"/>
        <v>10</v>
      </c>
      <c r="Q6040" t="s">
        <v>785</v>
      </c>
      <c r="R6040" t="s">
        <v>805</v>
      </c>
    </row>
    <row r="6041" spans="1:18" x14ac:dyDescent="0.3">
      <c r="A6041" t="s">
        <v>627</v>
      </c>
      <c r="B6041" s="16">
        <v>45585</v>
      </c>
      <c r="C6041" t="s">
        <v>3</v>
      </c>
      <c r="D6041" t="s">
        <v>125</v>
      </c>
      <c r="E6041">
        <v>5</v>
      </c>
      <c r="F6041">
        <v>2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2</v>
      </c>
      <c r="N6041">
        <v>4</v>
      </c>
      <c r="O6041">
        <f t="shared" si="196"/>
        <v>2024</v>
      </c>
      <c r="P6041">
        <f t="shared" si="197"/>
        <v>10</v>
      </c>
      <c r="Q6041" t="s">
        <v>785</v>
      </c>
      <c r="R6041" t="s">
        <v>805</v>
      </c>
    </row>
    <row r="6042" spans="1:18" x14ac:dyDescent="0.3">
      <c r="A6042" t="s">
        <v>627</v>
      </c>
      <c r="B6042" s="16">
        <v>45585</v>
      </c>
      <c r="C6042" t="s">
        <v>3</v>
      </c>
      <c r="D6042" t="s">
        <v>123</v>
      </c>
      <c r="E6042">
        <v>494</v>
      </c>
      <c r="F6042">
        <v>226</v>
      </c>
      <c r="G6042">
        <v>42</v>
      </c>
      <c r="H6042">
        <v>14</v>
      </c>
      <c r="I6042">
        <v>15120</v>
      </c>
      <c r="J6042">
        <v>3</v>
      </c>
      <c r="K6042">
        <v>15120</v>
      </c>
      <c r="L6042">
        <v>3</v>
      </c>
      <c r="M6042">
        <v>100</v>
      </c>
      <c r="N6042">
        <v>466</v>
      </c>
      <c r="O6042">
        <f t="shared" si="196"/>
        <v>2024</v>
      </c>
      <c r="P6042">
        <f t="shared" si="197"/>
        <v>10</v>
      </c>
      <c r="Q6042" t="s">
        <v>785</v>
      </c>
      <c r="R6042" t="s">
        <v>805</v>
      </c>
    </row>
    <row r="6043" spans="1:18" x14ac:dyDescent="0.3">
      <c r="A6043" t="s">
        <v>627</v>
      </c>
      <c r="B6043" s="16">
        <v>45585</v>
      </c>
      <c r="C6043" t="s">
        <v>3</v>
      </c>
      <c r="D6043" t="s">
        <v>122</v>
      </c>
      <c r="E6043">
        <v>2</v>
      </c>
      <c r="F6043">
        <v>2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2</v>
      </c>
      <c r="O6043">
        <f t="shared" si="196"/>
        <v>2024</v>
      </c>
      <c r="P6043">
        <f t="shared" si="197"/>
        <v>10</v>
      </c>
      <c r="Q6043" t="s">
        <v>785</v>
      </c>
      <c r="R6043" t="s">
        <v>805</v>
      </c>
    </row>
    <row r="6044" spans="1:18" x14ac:dyDescent="0.3">
      <c r="A6044" t="s">
        <v>627</v>
      </c>
      <c r="B6044" s="16">
        <v>45585</v>
      </c>
      <c r="C6044" t="s">
        <v>3</v>
      </c>
      <c r="D6044" t="s">
        <v>121</v>
      </c>
      <c r="E6044">
        <v>1</v>
      </c>
      <c r="F6044">
        <v>1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1</v>
      </c>
      <c r="O6044">
        <f t="shared" si="196"/>
        <v>2024</v>
      </c>
      <c r="P6044">
        <f t="shared" si="197"/>
        <v>10</v>
      </c>
      <c r="Q6044" t="s">
        <v>785</v>
      </c>
      <c r="R6044" t="s">
        <v>805</v>
      </c>
    </row>
    <row r="6045" spans="1:18" x14ac:dyDescent="0.3">
      <c r="A6045" t="s">
        <v>627</v>
      </c>
      <c r="B6045" s="16">
        <v>45585</v>
      </c>
      <c r="C6045" t="s">
        <v>3</v>
      </c>
      <c r="D6045" t="s">
        <v>120</v>
      </c>
      <c r="E6045">
        <v>462</v>
      </c>
      <c r="F6045">
        <v>249</v>
      </c>
      <c r="G6045">
        <v>14</v>
      </c>
      <c r="H6045">
        <v>0</v>
      </c>
      <c r="I6045">
        <v>13117</v>
      </c>
      <c r="J6045">
        <v>3</v>
      </c>
      <c r="K6045">
        <v>13117</v>
      </c>
      <c r="L6045">
        <v>3</v>
      </c>
      <c r="M6045">
        <v>49</v>
      </c>
      <c r="N6045">
        <v>459</v>
      </c>
      <c r="O6045">
        <f t="shared" si="196"/>
        <v>2024</v>
      </c>
      <c r="P6045">
        <f t="shared" si="197"/>
        <v>10</v>
      </c>
      <c r="Q6045" t="s">
        <v>785</v>
      </c>
      <c r="R6045" t="s">
        <v>805</v>
      </c>
    </row>
    <row r="6046" spans="1:18" x14ac:dyDescent="0.3">
      <c r="A6046" t="s">
        <v>627</v>
      </c>
      <c r="B6046" s="16">
        <v>45585</v>
      </c>
      <c r="C6046" t="s">
        <v>3</v>
      </c>
      <c r="D6046" t="s">
        <v>119</v>
      </c>
      <c r="E6046">
        <v>386</v>
      </c>
      <c r="F6046">
        <v>114</v>
      </c>
      <c r="G6046">
        <v>33</v>
      </c>
      <c r="H6046">
        <v>14</v>
      </c>
      <c r="I6046">
        <v>29084</v>
      </c>
      <c r="J6046">
        <v>9</v>
      </c>
      <c r="K6046">
        <v>17689</v>
      </c>
      <c r="L6046">
        <v>6</v>
      </c>
      <c r="M6046">
        <v>72</v>
      </c>
      <c r="N6046">
        <v>374</v>
      </c>
      <c r="O6046">
        <f t="shared" si="196"/>
        <v>2024</v>
      </c>
      <c r="P6046">
        <f t="shared" si="197"/>
        <v>10</v>
      </c>
      <c r="Q6046" t="s">
        <v>785</v>
      </c>
      <c r="R6046" t="s">
        <v>805</v>
      </c>
    </row>
    <row r="6047" spans="1:18" x14ac:dyDescent="0.3">
      <c r="A6047" t="s">
        <v>627</v>
      </c>
      <c r="B6047" s="16">
        <v>45585</v>
      </c>
      <c r="C6047" t="s">
        <v>3</v>
      </c>
      <c r="D6047" t="s">
        <v>252</v>
      </c>
      <c r="E6047">
        <v>6</v>
      </c>
      <c r="F6047">
        <v>1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6</v>
      </c>
      <c r="O6047">
        <f t="shared" si="196"/>
        <v>2024</v>
      </c>
      <c r="P6047">
        <f t="shared" si="197"/>
        <v>10</v>
      </c>
      <c r="Q6047" t="s">
        <v>785</v>
      </c>
      <c r="R6047" t="s">
        <v>805</v>
      </c>
    </row>
    <row r="6048" spans="1:18" x14ac:dyDescent="0.3">
      <c r="A6048" t="s">
        <v>627</v>
      </c>
      <c r="B6048" s="16">
        <v>45585</v>
      </c>
      <c r="C6048" t="s">
        <v>3</v>
      </c>
      <c r="D6048" t="s">
        <v>115</v>
      </c>
      <c r="E6048">
        <v>4</v>
      </c>
      <c r="F6048">
        <v>2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1</v>
      </c>
      <c r="N6048">
        <v>4</v>
      </c>
      <c r="O6048">
        <f t="shared" si="196"/>
        <v>2024</v>
      </c>
      <c r="P6048">
        <f t="shared" si="197"/>
        <v>10</v>
      </c>
      <c r="Q6048" t="s">
        <v>785</v>
      </c>
      <c r="R6048" t="s">
        <v>805</v>
      </c>
    </row>
    <row r="6049" spans="1:18" x14ac:dyDescent="0.3">
      <c r="A6049" t="s">
        <v>627</v>
      </c>
      <c r="B6049" s="16">
        <v>45585</v>
      </c>
      <c r="C6049" t="s">
        <v>3</v>
      </c>
      <c r="D6049" t="s">
        <v>114</v>
      </c>
      <c r="E6049">
        <v>211</v>
      </c>
      <c r="F6049">
        <v>88</v>
      </c>
      <c r="G6049">
        <v>9</v>
      </c>
      <c r="H6049">
        <v>3</v>
      </c>
      <c r="I6049">
        <v>11848</v>
      </c>
      <c r="J6049">
        <v>2</v>
      </c>
      <c r="K6049">
        <v>11848</v>
      </c>
      <c r="L6049">
        <v>2</v>
      </c>
      <c r="M6049">
        <v>27</v>
      </c>
      <c r="N6049">
        <v>201</v>
      </c>
      <c r="O6049">
        <f t="shared" si="196"/>
        <v>2024</v>
      </c>
      <c r="P6049">
        <f t="shared" si="197"/>
        <v>10</v>
      </c>
      <c r="Q6049" t="s">
        <v>785</v>
      </c>
      <c r="R6049" t="s">
        <v>805</v>
      </c>
    </row>
    <row r="6050" spans="1:18" x14ac:dyDescent="0.3">
      <c r="A6050" t="s">
        <v>627</v>
      </c>
      <c r="B6050" s="16">
        <v>45585</v>
      </c>
      <c r="C6050" t="s">
        <v>3</v>
      </c>
      <c r="D6050" t="s">
        <v>113</v>
      </c>
      <c r="E6050">
        <v>139</v>
      </c>
      <c r="F6050">
        <v>67</v>
      </c>
      <c r="G6050">
        <v>5</v>
      </c>
      <c r="H6050">
        <v>1</v>
      </c>
      <c r="I6050">
        <v>0</v>
      </c>
      <c r="J6050">
        <v>0</v>
      </c>
      <c r="K6050">
        <v>0</v>
      </c>
      <c r="L6050">
        <v>0</v>
      </c>
      <c r="M6050">
        <v>112</v>
      </c>
      <c r="N6050">
        <v>79</v>
      </c>
      <c r="O6050">
        <f t="shared" si="196"/>
        <v>2024</v>
      </c>
      <c r="P6050">
        <f t="shared" si="197"/>
        <v>10</v>
      </c>
      <c r="Q6050" t="s">
        <v>785</v>
      </c>
      <c r="R6050" t="s">
        <v>805</v>
      </c>
    </row>
    <row r="6051" spans="1:18" x14ac:dyDescent="0.3">
      <c r="A6051" t="s">
        <v>627</v>
      </c>
      <c r="B6051" s="16">
        <v>45585</v>
      </c>
      <c r="C6051" t="s">
        <v>3</v>
      </c>
      <c r="D6051" t="s">
        <v>112</v>
      </c>
      <c r="E6051">
        <v>18</v>
      </c>
      <c r="F6051">
        <v>6</v>
      </c>
      <c r="G6051">
        <v>2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2</v>
      </c>
      <c r="N6051">
        <v>18</v>
      </c>
      <c r="O6051">
        <f t="shared" si="196"/>
        <v>2024</v>
      </c>
      <c r="P6051">
        <f t="shared" si="197"/>
        <v>10</v>
      </c>
      <c r="Q6051" t="s">
        <v>785</v>
      </c>
      <c r="R6051" t="s">
        <v>805</v>
      </c>
    </row>
    <row r="6052" spans="1:18" x14ac:dyDescent="0.3">
      <c r="A6052" t="s">
        <v>627</v>
      </c>
      <c r="B6052" s="16">
        <v>45584</v>
      </c>
      <c r="C6052" t="s">
        <v>2</v>
      </c>
      <c r="D6052" t="s">
        <v>4</v>
      </c>
      <c r="E6052">
        <v>728</v>
      </c>
      <c r="F6052">
        <v>148</v>
      </c>
      <c r="G6052">
        <v>4</v>
      </c>
      <c r="H6052">
        <v>2</v>
      </c>
      <c r="I6052">
        <v>0</v>
      </c>
      <c r="J6052">
        <v>0</v>
      </c>
      <c r="K6052">
        <v>0</v>
      </c>
      <c r="L6052">
        <v>0</v>
      </c>
      <c r="M6052">
        <v>21</v>
      </c>
      <c r="N6052">
        <v>720</v>
      </c>
      <c r="O6052">
        <f t="shared" si="196"/>
        <v>2024</v>
      </c>
      <c r="P6052">
        <f t="shared" si="197"/>
        <v>10</v>
      </c>
      <c r="Q6052" t="s">
        <v>785</v>
      </c>
      <c r="R6052" t="s">
        <v>805</v>
      </c>
    </row>
    <row r="6053" spans="1:18" x14ac:dyDescent="0.3">
      <c r="A6053" t="s">
        <v>627</v>
      </c>
      <c r="B6053" s="16">
        <v>45584</v>
      </c>
      <c r="C6053" t="s">
        <v>2</v>
      </c>
      <c r="D6053" t="s">
        <v>57</v>
      </c>
      <c r="E6053">
        <v>13890</v>
      </c>
      <c r="F6053">
        <v>8748</v>
      </c>
      <c r="G6053">
        <v>381</v>
      </c>
      <c r="H6053">
        <v>142</v>
      </c>
      <c r="I6053">
        <v>220536</v>
      </c>
      <c r="J6053">
        <v>34</v>
      </c>
      <c r="K6053">
        <v>104098</v>
      </c>
      <c r="L6053">
        <v>16</v>
      </c>
      <c r="M6053">
        <v>925</v>
      </c>
      <c r="N6053">
        <v>13852</v>
      </c>
      <c r="O6053">
        <f t="shared" si="196"/>
        <v>2024</v>
      </c>
      <c r="P6053">
        <f t="shared" si="197"/>
        <v>10</v>
      </c>
      <c r="Q6053" t="s">
        <v>785</v>
      </c>
      <c r="R6053" t="s">
        <v>805</v>
      </c>
    </row>
    <row r="6054" spans="1:18" x14ac:dyDescent="0.3">
      <c r="A6054" t="s">
        <v>627</v>
      </c>
      <c r="B6054" s="16">
        <v>45584</v>
      </c>
      <c r="C6054" t="s">
        <v>2</v>
      </c>
      <c r="D6054" t="s">
        <v>52</v>
      </c>
      <c r="E6054">
        <v>761</v>
      </c>
      <c r="F6054">
        <v>594</v>
      </c>
      <c r="G6054">
        <v>39</v>
      </c>
      <c r="H6054">
        <v>9</v>
      </c>
      <c r="I6054">
        <v>46215</v>
      </c>
      <c r="J6054">
        <v>7</v>
      </c>
      <c r="K6054">
        <v>13060</v>
      </c>
      <c r="L6054">
        <v>3</v>
      </c>
      <c r="M6054">
        <v>760</v>
      </c>
      <c r="N6054">
        <v>480</v>
      </c>
      <c r="O6054">
        <f t="shared" si="196"/>
        <v>2024</v>
      </c>
      <c r="P6054">
        <f t="shared" si="197"/>
        <v>10</v>
      </c>
      <c r="Q6054" t="s">
        <v>785</v>
      </c>
      <c r="R6054" t="s">
        <v>805</v>
      </c>
    </row>
    <row r="6055" spans="1:18" x14ac:dyDescent="0.3">
      <c r="A6055" t="s">
        <v>627</v>
      </c>
      <c r="B6055" s="16">
        <v>45584</v>
      </c>
      <c r="C6055" t="s">
        <v>2</v>
      </c>
      <c r="D6055" t="s">
        <v>55</v>
      </c>
      <c r="E6055">
        <v>205</v>
      </c>
      <c r="F6055">
        <v>171</v>
      </c>
      <c r="G6055">
        <v>5</v>
      </c>
      <c r="H6055">
        <v>4</v>
      </c>
      <c r="I6055">
        <v>0</v>
      </c>
      <c r="J6055">
        <v>0</v>
      </c>
      <c r="K6055">
        <v>0</v>
      </c>
      <c r="L6055">
        <v>0</v>
      </c>
      <c r="M6055">
        <v>8</v>
      </c>
      <c r="N6055">
        <v>168</v>
      </c>
      <c r="O6055">
        <f t="shared" si="196"/>
        <v>2024</v>
      </c>
      <c r="P6055">
        <f t="shared" si="197"/>
        <v>10</v>
      </c>
      <c r="Q6055" t="s">
        <v>785</v>
      </c>
      <c r="R6055" t="s">
        <v>805</v>
      </c>
    </row>
    <row r="6056" spans="1:18" x14ac:dyDescent="0.3">
      <c r="A6056" t="s">
        <v>627</v>
      </c>
      <c r="B6056" s="16">
        <v>45584</v>
      </c>
      <c r="C6056" t="s">
        <v>3</v>
      </c>
      <c r="D6056" t="s">
        <v>155</v>
      </c>
      <c r="E6056">
        <v>7</v>
      </c>
      <c r="F6056">
        <v>4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7</v>
      </c>
      <c r="O6056">
        <f t="shared" si="196"/>
        <v>2024</v>
      </c>
      <c r="P6056">
        <f t="shared" si="197"/>
        <v>10</v>
      </c>
      <c r="Q6056" t="s">
        <v>785</v>
      </c>
      <c r="R6056" t="s">
        <v>805</v>
      </c>
    </row>
    <row r="6057" spans="1:18" x14ac:dyDescent="0.3">
      <c r="A6057" t="s">
        <v>627</v>
      </c>
      <c r="B6057" s="16">
        <v>45584</v>
      </c>
      <c r="C6057" t="s">
        <v>3</v>
      </c>
      <c r="D6057" t="s">
        <v>154</v>
      </c>
      <c r="E6057">
        <v>1</v>
      </c>
      <c r="F6057">
        <v>1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f t="shared" si="196"/>
        <v>2024</v>
      </c>
      <c r="P6057">
        <f t="shared" si="197"/>
        <v>10</v>
      </c>
      <c r="Q6057" t="s">
        <v>785</v>
      </c>
      <c r="R6057" t="s">
        <v>805</v>
      </c>
    </row>
    <row r="6058" spans="1:18" x14ac:dyDescent="0.3">
      <c r="A6058" t="s">
        <v>627</v>
      </c>
      <c r="B6058" s="16">
        <v>45584</v>
      </c>
      <c r="C6058" t="s">
        <v>3</v>
      </c>
      <c r="D6058" t="s">
        <v>153</v>
      </c>
      <c r="E6058">
        <v>766</v>
      </c>
      <c r="F6058">
        <v>187</v>
      </c>
      <c r="G6058">
        <v>74</v>
      </c>
      <c r="H6058">
        <v>7</v>
      </c>
      <c r="I6058">
        <v>107688.92</v>
      </c>
      <c r="J6058">
        <v>19</v>
      </c>
      <c r="K6058">
        <v>67788.92</v>
      </c>
      <c r="L6058">
        <v>12</v>
      </c>
      <c r="M6058">
        <v>161</v>
      </c>
      <c r="N6058">
        <v>747</v>
      </c>
      <c r="O6058">
        <f t="shared" si="196"/>
        <v>2024</v>
      </c>
      <c r="P6058">
        <f t="shared" si="197"/>
        <v>10</v>
      </c>
      <c r="Q6058" t="s">
        <v>785</v>
      </c>
      <c r="R6058" t="s">
        <v>805</v>
      </c>
    </row>
    <row r="6059" spans="1:18" x14ac:dyDescent="0.3">
      <c r="A6059" t="s">
        <v>627</v>
      </c>
      <c r="B6059" s="16">
        <v>45584</v>
      </c>
      <c r="C6059" t="s">
        <v>3</v>
      </c>
      <c r="D6059" t="s">
        <v>152</v>
      </c>
      <c r="E6059">
        <v>3</v>
      </c>
      <c r="F6059">
        <v>1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3</v>
      </c>
      <c r="O6059">
        <f t="shared" si="196"/>
        <v>2024</v>
      </c>
      <c r="P6059">
        <f t="shared" si="197"/>
        <v>10</v>
      </c>
      <c r="Q6059" t="s">
        <v>785</v>
      </c>
      <c r="R6059" t="s">
        <v>805</v>
      </c>
    </row>
    <row r="6060" spans="1:18" x14ac:dyDescent="0.3">
      <c r="A6060" t="s">
        <v>627</v>
      </c>
      <c r="B6060" s="16">
        <v>45584</v>
      </c>
      <c r="C6060" t="s">
        <v>3</v>
      </c>
      <c r="D6060" t="s">
        <v>150</v>
      </c>
      <c r="E6060">
        <v>5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5</v>
      </c>
      <c r="O6060">
        <f t="shared" si="196"/>
        <v>2024</v>
      </c>
      <c r="P6060">
        <f t="shared" si="197"/>
        <v>10</v>
      </c>
      <c r="Q6060" t="s">
        <v>785</v>
      </c>
      <c r="R6060" t="s">
        <v>805</v>
      </c>
    </row>
    <row r="6061" spans="1:18" x14ac:dyDescent="0.3">
      <c r="A6061" t="s">
        <v>627</v>
      </c>
      <c r="B6061" s="16">
        <v>45584</v>
      </c>
      <c r="C6061" t="s">
        <v>3</v>
      </c>
      <c r="D6061" t="s">
        <v>149</v>
      </c>
      <c r="E6061">
        <v>9</v>
      </c>
      <c r="F6061">
        <v>7</v>
      </c>
      <c r="G6061">
        <v>0</v>
      </c>
      <c r="H6061">
        <v>1</v>
      </c>
      <c r="I6061">
        <v>0</v>
      </c>
      <c r="J6061">
        <v>0</v>
      </c>
      <c r="K6061">
        <v>0</v>
      </c>
      <c r="L6061">
        <v>0</v>
      </c>
      <c r="M6061">
        <v>2</v>
      </c>
      <c r="N6061">
        <v>9</v>
      </c>
      <c r="O6061">
        <f t="shared" si="196"/>
        <v>2024</v>
      </c>
      <c r="P6061">
        <f t="shared" si="197"/>
        <v>10</v>
      </c>
      <c r="Q6061" t="s">
        <v>785</v>
      </c>
      <c r="R6061" t="s">
        <v>805</v>
      </c>
    </row>
    <row r="6062" spans="1:18" x14ac:dyDescent="0.3">
      <c r="A6062" t="s">
        <v>627</v>
      </c>
      <c r="B6062" s="16">
        <v>45584</v>
      </c>
      <c r="C6062" t="s">
        <v>3</v>
      </c>
      <c r="D6062" t="s">
        <v>148</v>
      </c>
      <c r="E6062">
        <v>4</v>
      </c>
      <c r="F6062">
        <v>1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4</v>
      </c>
      <c r="O6062">
        <f t="shared" si="196"/>
        <v>2024</v>
      </c>
      <c r="P6062">
        <f t="shared" si="197"/>
        <v>10</v>
      </c>
      <c r="Q6062" t="s">
        <v>785</v>
      </c>
      <c r="R6062" t="s">
        <v>805</v>
      </c>
    </row>
    <row r="6063" spans="1:18" x14ac:dyDescent="0.3">
      <c r="A6063" t="s">
        <v>627</v>
      </c>
      <c r="B6063" s="16">
        <v>45584</v>
      </c>
      <c r="C6063" t="s">
        <v>3</v>
      </c>
      <c r="D6063" t="s">
        <v>367</v>
      </c>
      <c r="E6063">
        <v>143</v>
      </c>
      <c r="F6063">
        <v>103</v>
      </c>
      <c r="G6063">
        <v>0</v>
      </c>
      <c r="H6063">
        <v>1</v>
      </c>
      <c r="I6063">
        <v>0</v>
      </c>
      <c r="J6063">
        <v>0</v>
      </c>
      <c r="K6063">
        <v>0</v>
      </c>
      <c r="L6063">
        <v>0</v>
      </c>
      <c r="M6063">
        <v>2</v>
      </c>
      <c r="N6063">
        <v>143</v>
      </c>
      <c r="O6063">
        <f t="shared" si="196"/>
        <v>2024</v>
      </c>
      <c r="P6063">
        <f t="shared" si="197"/>
        <v>10</v>
      </c>
      <c r="Q6063" t="s">
        <v>785</v>
      </c>
      <c r="R6063" t="s">
        <v>805</v>
      </c>
    </row>
    <row r="6064" spans="1:18" x14ac:dyDescent="0.3">
      <c r="A6064" t="s">
        <v>627</v>
      </c>
      <c r="B6064" s="16">
        <v>45584</v>
      </c>
      <c r="C6064" t="s">
        <v>3</v>
      </c>
      <c r="D6064" t="s">
        <v>146</v>
      </c>
      <c r="E6064">
        <v>1</v>
      </c>
      <c r="F6064">
        <v>1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1</v>
      </c>
      <c r="O6064">
        <f t="shared" si="196"/>
        <v>2024</v>
      </c>
      <c r="P6064">
        <f t="shared" si="197"/>
        <v>10</v>
      </c>
      <c r="Q6064" t="s">
        <v>785</v>
      </c>
      <c r="R6064" t="s">
        <v>805</v>
      </c>
    </row>
    <row r="6065" spans="1:18" x14ac:dyDescent="0.3">
      <c r="A6065" t="s">
        <v>627</v>
      </c>
      <c r="B6065" s="16">
        <v>45584</v>
      </c>
      <c r="C6065" t="s">
        <v>3</v>
      </c>
      <c r="D6065" t="s">
        <v>251</v>
      </c>
      <c r="E6065">
        <v>420</v>
      </c>
      <c r="F6065">
        <v>169</v>
      </c>
      <c r="G6065">
        <v>12</v>
      </c>
      <c r="H6065">
        <v>5</v>
      </c>
      <c r="I6065">
        <v>14395</v>
      </c>
      <c r="J6065">
        <v>2</v>
      </c>
      <c r="K6065">
        <v>10950</v>
      </c>
      <c r="L6065">
        <v>1</v>
      </c>
      <c r="M6065">
        <v>74</v>
      </c>
      <c r="N6065">
        <v>383</v>
      </c>
      <c r="O6065">
        <f t="shared" si="196"/>
        <v>2024</v>
      </c>
      <c r="P6065">
        <f t="shared" si="197"/>
        <v>10</v>
      </c>
      <c r="Q6065" t="s">
        <v>785</v>
      </c>
      <c r="R6065" t="s">
        <v>805</v>
      </c>
    </row>
    <row r="6066" spans="1:18" x14ac:dyDescent="0.3">
      <c r="A6066" t="s">
        <v>627</v>
      </c>
      <c r="B6066" s="16">
        <v>45584</v>
      </c>
      <c r="C6066" t="s">
        <v>3</v>
      </c>
      <c r="D6066" t="s">
        <v>143</v>
      </c>
      <c r="E6066">
        <v>16</v>
      </c>
      <c r="F6066">
        <v>16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16</v>
      </c>
      <c r="O6066">
        <f t="shared" si="196"/>
        <v>2024</v>
      </c>
      <c r="P6066">
        <f t="shared" si="197"/>
        <v>10</v>
      </c>
      <c r="Q6066" t="s">
        <v>785</v>
      </c>
      <c r="R6066" t="s">
        <v>805</v>
      </c>
    </row>
    <row r="6067" spans="1:18" x14ac:dyDescent="0.3">
      <c r="A6067" t="s">
        <v>627</v>
      </c>
      <c r="B6067" s="16">
        <v>45584</v>
      </c>
      <c r="C6067" t="s">
        <v>3</v>
      </c>
      <c r="D6067" t="s">
        <v>141</v>
      </c>
      <c r="E6067">
        <v>1</v>
      </c>
      <c r="F6067">
        <v>1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1</v>
      </c>
      <c r="O6067">
        <f t="shared" si="196"/>
        <v>2024</v>
      </c>
      <c r="P6067">
        <f t="shared" si="197"/>
        <v>10</v>
      </c>
      <c r="Q6067" t="s">
        <v>785</v>
      </c>
      <c r="R6067" t="s">
        <v>805</v>
      </c>
    </row>
    <row r="6068" spans="1:18" x14ac:dyDescent="0.3">
      <c r="A6068" t="s">
        <v>627</v>
      </c>
      <c r="B6068" s="16">
        <v>45584</v>
      </c>
      <c r="C6068" t="s">
        <v>3</v>
      </c>
      <c r="D6068" t="s">
        <v>140</v>
      </c>
      <c r="E6068">
        <v>4</v>
      </c>
      <c r="F6068">
        <v>2</v>
      </c>
      <c r="G6068">
        <v>0</v>
      </c>
      <c r="H6068">
        <v>1</v>
      </c>
      <c r="I6068">
        <v>0</v>
      </c>
      <c r="J6068">
        <v>0</v>
      </c>
      <c r="K6068">
        <v>0</v>
      </c>
      <c r="L6068">
        <v>0</v>
      </c>
      <c r="M6068">
        <v>1</v>
      </c>
      <c r="N6068">
        <v>4</v>
      </c>
      <c r="O6068">
        <f t="shared" si="196"/>
        <v>2024</v>
      </c>
      <c r="P6068">
        <f t="shared" si="197"/>
        <v>10</v>
      </c>
      <c r="Q6068" t="s">
        <v>785</v>
      </c>
      <c r="R6068" t="s">
        <v>805</v>
      </c>
    </row>
    <row r="6069" spans="1:18" x14ac:dyDescent="0.3">
      <c r="A6069" t="s">
        <v>627</v>
      </c>
      <c r="B6069" s="16">
        <v>45584</v>
      </c>
      <c r="C6069" t="s">
        <v>3</v>
      </c>
      <c r="D6069" t="s">
        <v>139</v>
      </c>
      <c r="E6069">
        <v>1125</v>
      </c>
      <c r="F6069">
        <v>685</v>
      </c>
      <c r="G6069">
        <v>73</v>
      </c>
      <c r="H6069">
        <v>19</v>
      </c>
      <c r="I6069">
        <v>32875</v>
      </c>
      <c r="J6069">
        <v>8</v>
      </c>
      <c r="K6069">
        <v>7230</v>
      </c>
      <c r="L6069">
        <v>4</v>
      </c>
      <c r="M6069">
        <v>471</v>
      </c>
      <c r="N6069">
        <v>964</v>
      </c>
      <c r="O6069">
        <f t="shared" si="196"/>
        <v>2024</v>
      </c>
      <c r="P6069">
        <f t="shared" si="197"/>
        <v>10</v>
      </c>
      <c r="Q6069" t="s">
        <v>785</v>
      </c>
      <c r="R6069" t="s">
        <v>805</v>
      </c>
    </row>
    <row r="6070" spans="1:18" x14ac:dyDescent="0.3">
      <c r="A6070" t="s">
        <v>627</v>
      </c>
      <c r="B6070" s="16">
        <v>45584</v>
      </c>
      <c r="C6070" t="s">
        <v>3</v>
      </c>
      <c r="D6070" t="s">
        <v>138</v>
      </c>
      <c r="E6070">
        <v>9</v>
      </c>
      <c r="F6070">
        <v>5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1</v>
      </c>
      <c r="N6070">
        <v>8</v>
      </c>
      <c r="O6070">
        <f t="shared" si="196"/>
        <v>2024</v>
      </c>
      <c r="P6070">
        <f t="shared" si="197"/>
        <v>10</v>
      </c>
      <c r="Q6070" t="s">
        <v>785</v>
      </c>
      <c r="R6070" t="s">
        <v>805</v>
      </c>
    </row>
    <row r="6071" spans="1:18" x14ac:dyDescent="0.3">
      <c r="A6071" t="s">
        <v>627</v>
      </c>
      <c r="B6071" s="16">
        <v>45584</v>
      </c>
      <c r="C6071" t="s">
        <v>3</v>
      </c>
      <c r="D6071" t="s">
        <v>137</v>
      </c>
      <c r="E6071">
        <v>8</v>
      </c>
      <c r="F6071">
        <v>4</v>
      </c>
      <c r="G6071">
        <v>3</v>
      </c>
      <c r="H6071">
        <v>0</v>
      </c>
      <c r="I6071">
        <v>2457</v>
      </c>
      <c r="J6071">
        <v>1</v>
      </c>
      <c r="K6071">
        <v>2457</v>
      </c>
      <c r="L6071">
        <v>1</v>
      </c>
      <c r="M6071">
        <v>2</v>
      </c>
      <c r="N6071">
        <v>8</v>
      </c>
      <c r="O6071">
        <f t="shared" si="196"/>
        <v>2024</v>
      </c>
      <c r="P6071">
        <f t="shared" si="197"/>
        <v>10</v>
      </c>
      <c r="Q6071" t="s">
        <v>785</v>
      </c>
      <c r="R6071" t="s">
        <v>805</v>
      </c>
    </row>
    <row r="6072" spans="1:18" x14ac:dyDescent="0.3">
      <c r="A6072" t="s">
        <v>627</v>
      </c>
      <c r="B6072" s="16">
        <v>45584</v>
      </c>
      <c r="C6072" t="s">
        <v>3</v>
      </c>
      <c r="D6072" t="s">
        <v>135</v>
      </c>
      <c r="E6072">
        <v>3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3</v>
      </c>
      <c r="O6072">
        <f t="shared" si="196"/>
        <v>2024</v>
      </c>
      <c r="P6072">
        <f t="shared" si="197"/>
        <v>10</v>
      </c>
      <c r="Q6072" t="s">
        <v>785</v>
      </c>
      <c r="R6072" t="s">
        <v>805</v>
      </c>
    </row>
    <row r="6073" spans="1:18" x14ac:dyDescent="0.3">
      <c r="A6073" t="s">
        <v>627</v>
      </c>
      <c r="B6073" s="16">
        <v>45584</v>
      </c>
      <c r="C6073" t="s">
        <v>3</v>
      </c>
      <c r="D6073" t="s">
        <v>133</v>
      </c>
      <c r="E6073">
        <v>31</v>
      </c>
      <c r="F6073">
        <v>26</v>
      </c>
      <c r="G6073">
        <v>6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4</v>
      </c>
      <c r="N6073">
        <v>29</v>
      </c>
      <c r="O6073">
        <f t="shared" si="196"/>
        <v>2024</v>
      </c>
      <c r="P6073">
        <f t="shared" si="197"/>
        <v>10</v>
      </c>
      <c r="Q6073" t="s">
        <v>785</v>
      </c>
      <c r="R6073" t="s">
        <v>805</v>
      </c>
    </row>
    <row r="6074" spans="1:18" x14ac:dyDescent="0.3">
      <c r="A6074" t="s">
        <v>627</v>
      </c>
      <c r="B6074" s="16">
        <v>45584</v>
      </c>
      <c r="C6074" t="s">
        <v>3</v>
      </c>
      <c r="D6074" t="s">
        <v>130</v>
      </c>
      <c r="E6074">
        <v>162</v>
      </c>
      <c r="F6074">
        <v>53</v>
      </c>
      <c r="G6074">
        <v>15</v>
      </c>
      <c r="H6074">
        <v>3</v>
      </c>
      <c r="I6074">
        <v>35345</v>
      </c>
      <c r="J6074">
        <v>9</v>
      </c>
      <c r="K6074">
        <v>25215</v>
      </c>
      <c r="L6074">
        <v>5</v>
      </c>
      <c r="M6074">
        <v>36</v>
      </c>
      <c r="N6074">
        <v>157</v>
      </c>
      <c r="O6074">
        <f t="shared" si="196"/>
        <v>2024</v>
      </c>
      <c r="P6074">
        <f t="shared" si="197"/>
        <v>10</v>
      </c>
      <c r="Q6074" t="s">
        <v>785</v>
      </c>
      <c r="R6074" t="s">
        <v>805</v>
      </c>
    </row>
    <row r="6075" spans="1:18" x14ac:dyDescent="0.3">
      <c r="A6075" t="s">
        <v>627</v>
      </c>
      <c r="B6075" s="16">
        <v>45584</v>
      </c>
      <c r="C6075" t="s">
        <v>3</v>
      </c>
      <c r="D6075" t="s">
        <v>128</v>
      </c>
      <c r="E6075">
        <v>1127</v>
      </c>
      <c r="F6075">
        <v>867</v>
      </c>
      <c r="G6075">
        <v>66</v>
      </c>
      <c r="H6075">
        <v>17</v>
      </c>
      <c r="I6075">
        <v>39410</v>
      </c>
      <c r="J6075">
        <v>6</v>
      </c>
      <c r="K6075">
        <v>7080</v>
      </c>
      <c r="L6075">
        <v>3</v>
      </c>
      <c r="M6075">
        <v>306</v>
      </c>
      <c r="N6075">
        <v>1014</v>
      </c>
      <c r="O6075">
        <f t="shared" si="196"/>
        <v>2024</v>
      </c>
      <c r="P6075">
        <f t="shared" si="197"/>
        <v>10</v>
      </c>
      <c r="Q6075" t="s">
        <v>785</v>
      </c>
      <c r="R6075" t="s">
        <v>805</v>
      </c>
    </row>
    <row r="6076" spans="1:18" x14ac:dyDescent="0.3">
      <c r="A6076" t="s">
        <v>627</v>
      </c>
      <c r="B6076" s="16">
        <v>45584</v>
      </c>
      <c r="C6076" t="s">
        <v>3</v>
      </c>
      <c r="D6076" t="s">
        <v>127</v>
      </c>
      <c r="E6076">
        <v>6634</v>
      </c>
      <c r="F6076">
        <v>4450</v>
      </c>
      <c r="G6076">
        <v>164</v>
      </c>
      <c r="H6076">
        <v>64</v>
      </c>
      <c r="I6076">
        <v>62218</v>
      </c>
      <c r="J6076">
        <v>9</v>
      </c>
      <c r="K6076">
        <v>21930</v>
      </c>
      <c r="L6076">
        <v>4</v>
      </c>
      <c r="M6076">
        <v>1629</v>
      </c>
      <c r="N6076">
        <v>5534</v>
      </c>
      <c r="O6076">
        <f t="shared" si="196"/>
        <v>2024</v>
      </c>
      <c r="P6076">
        <f t="shared" si="197"/>
        <v>10</v>
      </c>
      <c r="Q6076" t="s">
        <v>785</v>
      </c>
      <c r="R6076" t="s">
        <v>805</v>
      </c>
    </row>
    <row r="6077" spans="1:18" x14ac:dyDescent="0.3">
      <c r="A6077" t="s">
        <v>627</v>
      </c>
      <c r="B6077" s="16">
        <v>45584</v>
      </c>
      <c r="C6077" t="s">
        <v>3</v>
      </c>
      <c r="D6077" t="s">
        <v>126</v>
      </c>
      <c r="E6077">
        <v>185</v>
      </c>
      <c r="F6077">
        <v>119</v>
      </c>
      <c r="G6077">
        <v>5</v>
      </c>
      <c r="H6077">
        <v>2</v>
      </c>
      <c r="I6077">
        <v>14200</v>
      </c>
      <c r="J6077">
        <v>3</v>
      </c>
      <c r="K6077">
        <v>2500</v>
      </c>
      <c r="L6077">
        <v>1</v>
      </c>
      <c r="M6077">
        <v>29</v>
      </c>
      <c r="N6077">
        <v>180</v>
      </c>
      <c r="O6077">
        <f t="shared" si="196"/>
        <v>2024</v>
      </c>
      <c r="P6077">
        <f t="shared" si="197"/>
        <v>10</v>
      </c>
      <c r="Q6077" t="s">
        <v>785</v>
      </c>
      <c r="R6077" t="s">
        <v>805</v>
      </c>
    </row>
    <row r="6078" spans="1:18" x14ac:dyDescent="0.3">
      <c r="A6078" t="s">
        <v>627</v>
      </c>
      <c r="B6078" s="16">
        <v>45584</v>
      </c>
      <c r="C6078" t="s">
        <v>3</v>
      </c>
      <c r="D6078" t="s">
        <v>125</v>
      </c>
      <c r="E6078">
        <v>5</v>
      </c>
      <c r="F6078">
        <v>3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1</v>
      </c>
      <c r="N6078">
        <v>5</v>
      </c>
      <c r="O6078">
        <f t="shared" si="196"/>
        <v>2024</v>
      </c>
      <c r="P6078">
        <f t="shared" si="197"/>
        <v>10</v>
      </c>
      <c r="Q6078" t="s">
        <v>785</v>
      </c>
      <c r="R6078" t="s">
        <v>805</v>
      </c>
    </row>
    <row r="6079" spans="1:18" x14ac:dyDescent="0.3">
      <c r="A6079" t="s">
        <v>627</v>
      </c>
      <c r="B6079" s="16">
        <v>45584</v>
      </c>
      <c r="C6079" t="s">
        <v>3</v>
      </c>
      <c r="D6079" t="s">
        <v>123</v>
      </c>
      <c r="E6079">
        <v>423</v>
      </c>
      <c r="F6079">
        <v>187</v>
      </c>
      <c r="G6079">
        <v>22</v>
      </c>
      <c r="H6079">
        <v>8</v>
      </c>
      <c r="I6079">
        <v>8320</v>
      </c>
      <c r="J6079">
        <v>1</v>
      </c>
      <c r="K6079">
        <v>8320</v>
      </c>
      <c r="L6079">
        <v>1</v>
      </c>
      <c r="M6079">
        <v>102</v>
      </c>
      <c r="N6079">
        <v>390</v>
      </c>
      <c r="O6079">
        <f t="shared" si="196"/>
        <v>2024</v>
      </c>
      <c r="P6079">
        <f t="shared" si="197"/>
        <v>10</v>
      </c>
      <c r="Q6079" t="s">
        <v>785</v>
      </c>
      <c r="R6079" t="s">
        <v>805</v>
      </c>
    </row>
    <row r="6080" spans="1:18" x14ac:dyDescent="0.3">
      <c r="A6080" t="s">
        <v>627</v>
      </c>
      <c r="B6080" s="16">
        <v>45584</v>
      </c>
      <c r="C6080" t="s">
        <v>3</v>
      </c>
      <c r="D6080" t="s">
        <v>121</v>
      </c>
      <c r="E6080">
        <v>1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1</v>
      </c>
      <c r="O6080">
        <f t="shared" si="196"/>
        <v>2024</v>
      </c>
      <c r="P6080">
        <f t="shared" si="197"/>
        <v>10</v>
      </c>
      <c r="Q6080" t="s">
        <v>785</v>
      </c>
      <c r="R6080" t="s">
        <v>805</v>
      </c>
    </row>
    <row r="6081" spans="1:18" x14ac:dyDescent="0.3">
      <c r="A6081" t="s">
        <v>627</v>
      </c>
      <c r="B6081" s="16">
        <v>45584</v>
      </c>
      <c r="C6081" t="s">
        <v>3</v>
      </c>
      <c r="D6081" t="s">
        <v>120</v>
      </c>
      <c r="E6081">
        <v>416</v>
      </c>
      <c r="F6081">
        <v>223</v>
      </c>
      <c r="G6081">
        <v>12</v>
      </c>
      <c r="H6081">
        <v>0</v>
      </c>
      <c r="I6081">
        <v>16023</v>
      </c>
      <c r="J6081">
        <v>3</v>
      </c>
      <c r="K6081">
        <v>2298</v>
      </c>
      <c r="L6081">
        <v>1</v>
      </c>
      <c r="M6081">
        <v>47</v>
      </c>
      <c r="N6081">
        <v>408</v>
      </c>
      <c r="O6081">
        <f t="shared" si="196"/>
        <v>2024</v>
      </c>
      <c r="P6081">
        <f t="shared" si="197"/>
        <v>10</v>
      </c>
      <c r="Q6081" t="s">
        <v>785</v>
      </c>
      <c r="R6081" t="s">
        <v>805</v>
      </c>
    </row>
    <row r="6082" spans="1:18" x14ac:dyDescent="0.3">
      <c r="A6082" t="s">
        <v>627</v>
      </c>
      <c r="B6082" s="16">
        <v>45584</v>
      </c>
      <c r="C6082" t="s">
        <v>3</v>
      </c>
      <c r="D6082" t="s">
        <v>119</v>
      </c>
      <c r="E6082">
        <v>305</v>
      </c>
      <c r="F6082">
        <v>78</v>
      </c>
      <c r="G6082">
        <v>28</v>
      </c>
      <c r="H6082">
        <v>11</v>
      </c>
      <c r="I6082">
        <v>15845</v>
      </c>
      <c r="J6082">
        <v>3</v>
      </c>
      <c r="K6082">
        <v>8370</v>
      </c>
      <c r="L6082">
        <v>1</v>
      </c>
      <c r="M6082">
        <v>65</v>
      </c>
      <c r="N6082">
        <v>295</v>
      </c>
      <c r="O6082">
        <f t="shared" si="196"/>
        <v>2024</v>
      </c>
      <c r="P6082">
        <f t="shared" si="197"/>
        <v>10</v>
      </c>
      <c r="Q6082" t="s">
        <v>785</v>
      </c>
      <c r="R6082" t="s">
        <v>805</v>
      </c>
    </row>
    <row r="6083" spans="1:18" x14ac:dyDescent="0.3">
      <c r="A6083" t="s">
        <v>627</v>
      </c>
      <c r="B6083" s="16">
        <v>45584</v>
      </c>
      <c r="C6083" t="s">
        <v>3</v>
      </c>
      <c r="D6083" t="s">
        <v>252</v>
      </c>
      <c r="E6083">
        <v>1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1</v>
      </c>
      <c r="O6083">
        <f t="shared" si="196"/>
        <v>2024</v>
      </c>
      <c r="P6083">
        <f t="shared" si="197"/>
        <v>10</v>
      </c>
      <c r="Q6083" t="s">
        <v>785</v>
      </c>
      <c r="R6083" t="s">
        <v>805</v>
      </c>
    </row>
    <row r="6084" spans="1:18" x14ac:dyDescent="0.3">
      <c r="A6084" t="s">
        <v>627</v>
      </c>
      <c r="B6084" s="16">
        <v>45584</v>
      </c>
      <c r="C6084" t="s">
        <v>3</v>
      </c>
      <c r="D6084" t="s">
        <v>118</v>
      </c>
      <c r="E6084">
        <v>1</v>
      </c>
      <c r="F6084">
        <v>1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1</v>
      </c>
      <c r="N6084">
        <v>0</v>
      </c>
      <c r="O6084">
        <f t="shared" si="196"/>
        <v>2024</v>
      </c>
      <c r="P6084">
        <f t="shared" si="197"/>
        <v>10</v>
      </c>
      <c r="Q6084" t="s">
        <v>785</v>
      </c>
      <c r="R6084" t="s">
        <v>805</v>
      </c>
    </row>
    <row r="6085" spans="1:18" x14ac:dyDescent="0.3">
      <c r="A6085" t="s">
        <v>627</v>
      </c>
      <c r="B6085" s="16">
        <v>45584</v>
      </c>
      <c r="C6085" t="s">
        <v>3</v>
      </c>
      <c r="D6085" t="s">
        <v>117</v>
      </c>
      <c r="E6085">
        <v>1</v>
      </c>
      <c r="F6085">
        <v>1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1</v>
      </c>
      <c r="O6085">
        <f t="shared" si="196"/>
        <v>2024</v>
      </c>
      <c r="P6085">
        <f t="shared" si="197"/>
        <v>10</v>
      </c>
      <c r="Q6085" t="s">
        <v>785</v>
      </c>
      <c r="R6085" t="s">
        <v>805</v>
      </c>
    </row>
    <row r="6086" spans="1:18" x14ac:dyDescent="0.3">
      <c r="A6086" t="s">
        <v>627</v>
      </c>
      <c r="B6086" s="16">
        <v>45584</v>
      </c>
      <c r="C6086" t="s">
        <v>3</v>
      </c>
      <c r="D6086" t="s">
        <v>115</v>
      </c>
      <c r="E6086">
        <v>2</v>
      </c>
      <c r="F6086">
        <v>1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2</v>
      </c>
      <c r="O6086">
        <f t="shared" si="196"/>
        <v>2024</v>
      </c>
      <c r="P6086">
        <f t="shared" si="197"/>
        <v>10</v>
      </c>
      <c r="Q6086" t="s">
        <v>785</v>
      </c>
      <c r="R6086" t="s">
        <v>805</v>
      </c>
    </row>
    <row r="6087" spans="1:18" x14ac:dyDescent="0.3">
      <c r="A6087" t="s">
        <v>627</v>
      </c>
      <c r="B6087" s="16">
        <v>45584</v>
      </c>
      <c r="C6087" t="s">
        <v>3</v>
      </c>
      <c r="D6087" t="s">
        <v>114</v>
      </c>
      <c r="E6087">
        <v>171</v>
      </c>
      <c r="F6087">
        <v>65</v>
      </c>
      <c r="G6087">
        <v>7</v>
      </c>
      <c r="H6087">
        <v>4</v>
      </c>
      <c r="I6087">
        <v>0</v>
      </c>
      <c r="J6087">
        <v>0</v>
      </c>
      <c r="K6087">
        <v>0</v>
      </c>
      <c r="L6087">
        <v>0</v>
      </c>
      <c r="M6087">
        <v>17</v>
      </c>
      <c r="N6087">
        <v>164</v>
      </c>
      <c r="O6087">
        <f t="shared" si="196"/>
        <v>2024</v>
      </c>
      <c r="P6087">
        <f t="shared" si="197"/>
        <v>10</v>
      </c>
      <c r="Q6087" t="s">
        <v>785</v>
      </c>
      <c r="R6087" t="s">
        <v>805</v>
      </c>
    </row>
    <row r="6088" spans="1:18" x14ac:dyDescent="0.3">
      <c r="A6088" t="s">
        <v>627</v>
      </c>
      <c r="B6088" s="16">
        <v>45584</v>
      </c>
      <c r="C6088" t="s">
        <v>3</v>
      </c>
      <c r="D6088" t="s">
        <v>113</v>
      </c>
      <c r="E6088">
        <v>112</v>
      </c>
      <c r="F6088">
        <v>49</v>
      </c>
      <c r="G6088">
        <v>7</v>
      </c>
      <c r="H6088">
        <v>2</v>
      </c>
      <c r="I6088">
        <v>2500</v>
      </c>
      <c r="J6088">
        <v>1</v>
      </c>
      <c r="K6088">
        <v>2500</v>
      </c>
      <c r="L6088">
        <v>1</v>
      </c>
      <c r="M6088">
        <v>87</v>
      </c>
      <c r="N6088">
        <v>76</v>
      </c>
      <c r="O6088">
        <f t="shared" si="196"/>
        <v>2024</v>
      </c>
      <c r="P6088">
        <f t="shared" si="197"/>
        <v>10</v>
      </c>
      <c r="Q6088" t="s">
        <v>785</v>
      </c>
      <c r="R6088" t="s">
        <v>805</v>
      </c>
    </row>
    <row r="6089" spans="1:18" x14ac:dyDescent="0.3">
      <c r="A6089" t="s">
        <v>627</v>
      </c>
      <c r="B6089" s="16">
        <v>45584</v>
      </c>
      <c r="C6089" t="s">
        <v>3</v>
      </c>
      <c r="D6089" t="s">
        <v>112</v>
      </c>
      <c r="E6089">
        <v>11</v>
      </c>
      <c r="F6089">
        <v>1</v>
      </c>
      <c r="G6089">
        <v>1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11</v>
      </c>
      <c r="O6089">
        <f t="shared" ref="O6089:O6152" si="198">YEAR(B6089)</f>
        <v>2024</v>
      </c>
      <c r="P6089">
        <f t="shared" ref="P6089:P6152" si="199">MONTH(B6089)</f>
        <v>10</v>
      </c>
      <c r="Q6089" t="s">
        <v>785</v>
      </c>
      <c r="R6089" t="s">
        <v>805</v>
      </c>
    </row>
    <row r="6090" spans="1:18" x14ac:dyDescent="0.3">
      <c r="A6090" t="s">
        <v>627</v>
      </c>
      <c r="B6090" s="16">
        <v>45583</v>
      </c>
      <c r="C6090" t="s">
        <v>2</v>
      </c>
      <c r="D6090" t="s">
        <v>4</v>
      </c>
      <c r="E6090">
        <v>1013</v>
      </c>
      <c r="F6090">
        <v>219</v>
      </c>
      <c r="G6090">
        <v>7</v>
      </c>
      <c r="H6090">
        <v>0</v>
      </c>
      <c r="I6090">
        <v>21528</v>
      </c>
      <c r="J6090">
        <v>4</v>
      </c>
      <c r="K6090">
        <v>15538</v>
      </c>
      <c r="L6090">
        <v>3</v>
      </c>
      <c r="M6090">
        <v>18</v>
      </c>
      <c r="N6090">
        <v>1004</v>
      </c>
      <c r="O6090">
        <f t="shared" si="198"/>
        <v>2024</v>
      </c>
      <c r="P6090">
        <f t="shared" si="199"/>
        <v>10</v>
      </c>
      <c r="Q6090" t="s">
        <v>785</v>
      </c>
      <c r="R6090" t="s">
        <v>805</v>
      </c>
    </row>
    <row r="6091" spans="1:18" x14ac:dyDescent="0.3">
      <c r="A6091" t="s">
        <v>627</v>
      </c>
      <c r="B6091" s="16">
        <v>45583</v>
      </c>
      <c r="C6091" t="s">
        <v>2</v>
      </c>
      <c r="D6091" t="s">
        <v>57</v>
      </c>
      <c r="E6091">
        <v>12786</v>
      </c>
      <c r="F6091">
        <v>7944</v>
      </c>
      <c r="G6091">
        <v>378</v>
      </c>
      <c r="H6091">
        <v>139</v>
      </c>
      <c r="I6091">
        <v>323579.86</v>
      </c>
      <c r="J6091">
        <v>23</v>
      </c>
      <c r="K6091">
        <v>38224</v>
      </c>
      <c r="L6091">
        <v>8</v>
      </c>
      <c r="M6091">
        <v>795</v>
      </c>
      <c r="N6091">
        <v>12746</v>
      </c>
      <c r="O6091">
        <f t="shared" si="198"/>
        <v>2024</v>
      </c>
      <c r="P6091">
        <f t="shared" si="199"/>
        <v>10</v>
      </c>
      <c r="Q6091" t="s">
        <v>785</v>
      </c>
      <c r="R6091" t="s">
        <v>805</v>
      </c>
    </row>
    <row r="6092" spans="1:18" x14ac:dyDescent="0.3">
      <c r="A6092" t="s">
        <v>627</v>
      </c>
      <c r="B6092" s="16">
        <v>45583</v>
      </c>
      <c r="C6092" t="s">
        <v>2</v>
      </c>
      <c r="D6092" t="s">
        <v>52</v>
      </c>
      <c r="E6092">
        <v>684</v>
      </c>
      <c r="F6092">
        <v>526</v>
      </c>
      <c r="G6092">
        <v>35</v>
      </c>
      <c r="H6092">
        <v>6</v>
      </c>
      <c r="I6092">
        <v>477961</v>
      </c>
      <c r="J6092">
        <v>9</v>
      </c>
      <c r="K6092">
        <v>44521</v>
      </c>
      <c r="L6092">
        <v>8</v>
      </c>
      <c r="M6092">
        <v>684</v>
      </c>
      <c r="N6092">
        <v>399</v>
      </c>
      <c r="O6092">
        <f t="shared" si="198"/>
        <v>2024</v>
      </c>
      <c r="P6092">
        <f t="shared" si="199"/>
        <v>10</v>
      </c>
      <c r="Q6092" t="s">
        <v>785</v>
      </c>
      <c r="R6092" t="s">
        <v>805</v>
      </c>
    </row>
    <row r="6093" spans="1:18" x14ac:dyDescent="0.3">
      <c r="A6093" t="s">
        <v>627</v>
      </c>
      <c r="B6093" s="16">
        <v>45583</v>
      </c>
      <c r="C6093" t="s">
        <v>2</v>
      </c>
      <c r="D6093" t="s">
        <v>55</v>
      </c>
      <c r="E6093">
        <v>1428</v>
      </c>
      <c r="F6093">
        <v>1215</v>
      </c>
      <c r="G6093">
        <v>13</v>
      </c>
      <c r="H6093">
        <v>2</v>
      </c>
      <c r="I6093">
        <v>0</v>
      </c>
      <c r="J6093">
        <v>0</v>
      </c>
      <c r="K6093">
        <v>0</v>
      </c>
      <c r="L6093">
        <v>0</v>
      </c>
      <c r="M6093">
        <v>15</v>
      </c>
      <c r="N6093">
        <v>202</v>
      </c>
      <c r="O6093">
        <f t="shared" si="198"/>
        <v>2024</v>
      </c>
      <c r="P6093">
        <f t="shared" si="199"/>
        <v>10</v>
      </c>
      <c r="Q6093" t="s">
        <v>785</v>
      </c>
      <c r="R6093" t="s">
        <v>805</v>
      </c>
    </row>
    <row r="6094" spans="1:18" x14ac:dyDescent="0.3">
      <c r="A6094" t="s">
        <v>627</v>
      </c>
      <c r="B6094" s="16">
        <v>45583</v>
      </c>
      <c r="C6094" t="s">
        <v>3</v>
      </c>
      <c r="D6094" t="s">
        <v>155</v>
      </c>
      <c r="E6094">
        <v>9</v>
      </c>
      <c r="F6094">
        <v>6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1</v>
      </c>
      <c r="N6094">
        <v>9</v>
      </c>
      <c r="O6094">
        <f t="shared" si="198"/>
        <v>2024</v>
      </c>
      <c r="P6094">
        <f t="shared" si="199"/>
        <v>10</v>
      </c>
      <c r="Q6094" t="s">
        <v>785</v>
      </c>
      <c r="R6094" t="s">
        <v>805</v>
      </c>
    </row>
    <row r="6095" spans="1:18" x14ac:dyDescent="0.3">
      <c r="A6095" t="s">
        <v>627</v>
      </c>
      <c r="B6095" s="16">
        <v>45583</v>
      </c>
      <c r="C6095" t="s">
        <v>3</v>
      </c>
      <c r="D6095" t="s">
        <v>154</v>
      </c>
      <c r="E6095">
        <v>567</v>
      </c>
      <c r="F6095">
        <v>515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1</v>
      </c>
      <c r="O6095">
        <f t="shared" si="198"/>
        <v>2024</v>
      </c>
      <c r="P6095">
        <f t="shared" si="199"/>
        <v>10</v>
      </c>
      <c r="Q6095" t="s">
        <v>785</v>
      </c>
      <c r="R6095" t="s">
        <v>805</v>
      </c>
    </row>
    <row r="6096" spans="1:18" x14ac:dyDescent="0.3">
      <c r="A6096" t="s">
        <v>627</v>
      </c>
      <c r="B6096" s="16">
        <v>45583</v>
      </c>
      <c r="C6096" t="s">
        <v>3</v>
      </c>
      <c r="D6096" t="s">
        <v>153</v>
      </c>
      <c r="E6096">
        <v>665</v>
      </c>
      <c r="F6096">
        <v>174</v>
      </c>
      <c r="G6096">
        <v>76</v>
      </c>
      <c r="H6096">
        <v>3</v>
      </c>
      <c r="I6096">
        <v>259534.86</v>
      </c>
      <c r="J6096">
        <v>18</v>
      </c>
      <c r="K6096">
        <v>68726</v>
      </c>
      <c r="L6096">
        <v>13</v>
      </c>
      <c r="M6096">
        <v>167</v>
      </c>
      <c r="N6096">
        <v>645</v>
      </c>
      <c r="O6096">
        <f t="shared" si="198"/>
        <v>2024</v>
      </c>
      <c r="P6096">
        <f t="shared" si="199"/>
        <v>10</v>
      </c>
      <c r="Q6096" t="s">
        <v>785</v>
      </c>
      <c r="R6096" t="s">
        <v>805</v>
      </c>
    </row>
    <row r="6097" spans="1:18" x14ac:dyDescent="0.3">
      <c r="A6097" t="s">
        <v>627</v>
      </c>
      <c r="B6097" s="16">
        <v>45583</v>
      </c>
      <c r="C6097" t="s">
        <v>3</v>
      </c>
      <c r="D6097" t="s">
        <v>152</v>
      </c>
      <c r="E6097">
        <v>6</v>
      </c>
      <c r="F6097">
        <v>3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4</v>
      </c>
      <c r="O6097">
        <f t="shared" si="198"/>
        <v>2024</v>
      </c>
      <c r="P6097">
        <f t="shared" si="199"/>
        <v>10</v>
      </c>
      <c r="Q6097" t="s">
        <v>785</v>
      </c>
      <c r="R6097" t="s">
        <v>805</v>
      </c>
    </row>
    <row r="6098" spans="1:18" x14ac:dyDescent="0.3">
      <c r="A6098" t="s">
        <v>627</v>
      </c>
      <c r="B6098" s="16">
        <v>45583</v>
      </c>
      <c r="C6098" t="s">
        <v>3</v>
      </c>
      <c r="D6098" t="s">
        <v>150</v>
      </c>
      <c r="E6098">
        <v>5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5</v>
      </c>
      <c r="O6098">
        <f t="shared" si="198"/>
        <v>2024</v>
      </c>
      <c r="P6098">
        <f t="shared" si="199"/>
        <v>10</v>
      </c>
      <c r="Q6098" t="s">
        <v>785</v>
      </c>
      <c r="R6098" t="s">
        <v>805</v>
      </c>
    </row>
    <row r="6099" spans="1:18" x14ac:dyDescent="0.3">
      <c r="A6099" t="s">
        <v>627</v>
      </c>
      <c r="B6099" s="16">
        <v>45583</v>
      </c>
      <c r="C6099" t="s">
        <v>3</v>
      </c>
      <c r="D6099" t="s">
        <v>149</v>
      </c>
      <c r="E6099">
        <v>2</v>
      </c>
      <c r="F6099">
        <v>1</v>
      </c>
      <c r="G6099">
        <v>1</v>
      </c>
      <c r="H6099">
        <v>1</v>
      </c>
      <c r="I6099">
        <v>0</v>
      </c>
      <c r="J6099">
        <v>0</v>
      </c>
      <c r="K6099">
        <v>0</v>
      </c>
      <c r="L6099">
        <v>0</v>
      </c>
      <c r="M6099">
        <v>1</v>
      </c>
      <c r="N6099">
        <v>2</v>
      </c>
      <c r="O6099">
        <f t="shared" si="198"/>
        <v>2024</v>
      </c>
      <c r="P6099">
        <f t="shared" si="199"/>
        <v>10</v>
      </c>
      <c r="Q6099" t="s">
        <v>785</v>
      </c>
      <c r="R6099" t="s">
        <v>805</v>
      </c>
    </row>
    <row r="6100" spans="1:18" x14ac:dyDescent="0.3">
      <c r="A6100" t="s">
        <v>627</v>
      </c>
      <c r="B6100" s="16">
        <v>45583</v>
      </c>
      <c r="C6100" t="s">
        <v>3</v>
      </c>
      <c r="D6100" t="s">
        <v>148</v>
      </c>
      <c r="E6100">
        <v>2</v>
      </c>
      <c r="F6100">
        <v>1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1</v>
      </c>
      <c r="N6100">
        <v>1</v>
      </c>
      <c r="O6100">
        <f t="shared" si="198"/>
        <v>2024</v>
      </c>
      <c r="P6100">
        <f t="shared" si="199"/>
        <v>10</v>
      </c>
      <c r="Q6100" t="s">
        <v>785</v>
      </c>
      <c r="R6100" t="s">
        <v>805</v>
      </c>
    </row>
    <row r="6101" spans="1:18" x14ac:dyDescent="0.3">
      <c r="A6101" t="s">
        <v>627</v>
      </c>
      <c r="B6101" s="16">
        <v>45583</v>
      </c>
      <c r="C6101" t="s">
        <v>3</v>
      </c>
      <c r="D6101" t="s">
        <v>367</v>
      </c>
      <c r="E6101">
        <v>122</v>
      </c>
      <c r="F6101">
        <v>95</v>
      </c>
      <c r="G6101">
        <v>5</v>
      </c>
      <c r="H6101">
        <v>0</v>
      </c>
      <c r="I6101">
        <v>1917</v>
      </c>
      <c r="J6101">
        <v>1</v>
      </c>
      <c r="K6101">
        <v>1917</v>
      </c>
      <c r="L6101">
        <v>1</v>
      </c>
      <c r="M6101">
        <v>0</v>
      </c>
      <c r="N6101">
        <v>122</v>
      </c>
      <c r="O6101">
        <f t="shared" si="198"/>
        <v>2024</v>
      </c>
      <c r="P6101">
        <f t="shared" si="199"/>
        <v>10</v>
      </c>
      <c r="Q6101" t="s">
        <v>785</v>
      </c>
      <c r="R6101" t="s">
        <v>805</v>
      </c>
    </row>
    <row r="6102" spans="1:18" x14ac:dyDescent="0.3">
      <c r="A6102" t="s">
        <v>627</v>
      </c>
      <c r="B6102" s="16">
        <v>45583</v>
      </c>
      <c r="C6102" t="s">
        <v>3</v>
      </c>
      <c r="D6102" t="s">
        <v>251</v>
      </c>
      <c r="E6102">
        <v>1423</v>
      </c>
      <c r="F6102">
        <v>1114</v>
      </c>
      <c r="G6102">
        <v>15</v>
      </c>
      <c r="H6102">
        <v>5</v>
      </c>
      <c r="I6102">
        <v>23676</v>
      </c>
      <c r="J6102">
        <v>5</v>
      </c>
      <c r="K6102">
        <v>15096</v>
      </c>
      <c r="L6102">
        <v>4</v>
      </c>
      <c r="M6102">
        <v>83</v>
      </c>
      <c r="N6102">
        <v>439</v>
      </c>
      <c r="O6102">
        <f t="shared" si="198"/>
        <v>2024</v>
      </c>
      <c r="P6102">
        <f t="shared" si="199"/>
        <v>10</v>
      </c>
      <c r="Q6102" t="s">
        <v>785</v>
      </c>
      <c r="R6102" t="s">
        <v>805</v>
      </c>
    </row>
    <row r="6103" spans="1:18" x14ac:dyDescent="0.3">
      <c r="A6103" t="s">
        <v>627</v>
      </c>
      <c r="B6103" s="16">
        <v>45583</v>
      </c>
      <c r="C6103" t="s">
        <v>3</v>
      </c>
      <c r="D6103" t="s">
        <v>143</v>
      </c>
      <c r="E6103">
        <v>19</v>
      </c>
      <c r="F6103">
        <v>19</v>
      </c>
      <c r="G6103">
        <v>0</v>
      </c>
      <c r="H6103">
        <v>1</v>
      </c>
      <c r="I6103">
        <v>0</v>
      </c>
      <c r="J6103">
        <v>0</v>
      </c>
      <c r="K6103">
        <v>0</v>
      </c>
      <c r="L6103">
        <v>0</v>
      </c>
      <c r="M6103">
        <v>1</v>
      </c>
      <c r="N6103">
        <v>19</v>
      </c>
      <c r="O6103">
        <f t="shared" si="198"/>
        <v>2024</v>
      </c>
      <c r="P6103">
        <f t="shared" si="199"/>
        <v>10</v>
      </c>
      <c r="Q6103" t="s">
        <v>785</v>
      </c>
      <c r="R6103" t="s">
        <v>805</v>
      </c>
    </row>
    <row r="6104" spans="1:18" x14ac:dyDescent="0.3">
      <c r="A6104" t="s">
        <v>627</v>
      </c>
      <c r="B6104" s="16">
        <v>45583</v>
      </c>
      <c r="C6104" t="s">
        <v>3</v>
      </c>
      <c r="D6104" t="s">
        <v>141</v>
      </c>
      <c r="E6104">
        <v>5</v>
      </c>
      <c r="F6104">
        <v>5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1</v>
      </c>
      <c r="N6104">
        <v>4</v>
      </c>
      <c r="O6104">
        <f t="shared" si="198"/>
        <v>2024</v>
      </c>
      <c r="P6104">
        <f t="shared" si="199"/>
        <v>10</v>
      </c>
      <c r="Q6104" t="s">
        <v>785</v>
      </c>
      <c r="R6104" t="s">
        <v>805</v>
      </c>
    </row>
    <row r="6105" spans="1:18" x14ac:dyDescent="0.3">
      <c r="A6105" t="s">
        <v>627</v>
      </c>
      <c r="B6105" s="16">
        <v>45583</v>
      </c>
      <c r="C6105" t="s">
        <v>3</v>
      </c>
      <c r="D6105" t="s">
        <v>140</v>
      </c>
      <c r="E6105">
        <v>3</v>
      </c>
      <c r="F6105">
        <v>1</v>
      </c>
      <c r="G6105">
        <v>1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3</v>
      </c>
      <c r="O6105">
        <f t="shared" si="198"/>
        <v>2024</v>
      </c>
      <c r="P6105">
        <f t="shared" si="199"/>
        <v>10</v>
      </c>
      <c r="Q6105" t="s">
        <v>785</v>
      </c>
      <c r="R6105" t="s">
        <v>805</v>
      </c>
    </row>
    <row r="6106" spans="1:18" x14ac:dyDescent="0.3">
      <c r="A6106" t="s">
        <v>627</v>
      </c>
      <c r="B6106" s="16">
        <v>45583</v>
      </c>
      <c r="C6106" t="s">
        <v>3</v>
      </c>
      <c r="D6106" t="s">
        <v>139</v>
      </c>
      <c r="E6106">
        <v>978</v>
      </c>
      <c r="F6106">
        <v>556</v>
      </c>
      <c r="G6106">
        <v>78</v>
      </c>
      <c r="H6106">
        <v>14</v>
      </c>
      <c r="I6106">
        <v>325287</v>
      </c>
      <c r="J6106">
        <v>10</v>
      </c>
      <c r="K6106">
        <v>29042</v>
      </c>
      <c r="L6106">
        <v>7</v>
      </c>
      <c r="M6106">
        <v>459</v>
      </c>
      <c r="N6106">
        <v>805</v>
      </c>
      <c r="O6106">
        <f t="shared" si="198"/>
        <v>2024</v>
      </c>
      <c r="P6106">
        <f t="shared" si="199"/>
        <v>10</v>
      </c>
      <c r="Q6106" t="s">
        <v>785</v>
      </c>
      <c r="R6106" t="s">
        <v>805</v>
      </c>
    </row>
    <row r="6107" spans="1:18" x14ac:dyDescent="0.3">
      <c r="A6107" t="s">
        <v>627</v>
      </c>
      <c r="B6107" s="16">
        <v>45583</v>
      </c>
      <c r="C6107" t="s">
        <v>3</v>
      </c>
      <c r="D6107" t="s">
        <v>138</v>
      </c>
      <c r="E6107">
        <v>23</v>
      </c>
      <c r="F6107">
        <v>7</v>
      </c>
      <c r="G6107">
        <v>0</v>
      </c>
      <c r="H6107">
        <v>0</v>
      </c>
      <c r="I6107">
        <v>17500</v>
      </c>
      <c r="J6107">
        <v>1</v>
      </c>
      <c r="K6107">
        <v>0</v>
      </c>
      <c r="L6107">
        <v>0</v>
      </c>
      <c r="M6107">
        <v>1</v>
      </c>
      <c r="N6107">
        <v>23</v>
      </c>
      <c r="O6107">
        <f t="shared" si="198"/>
        <v>2024</v>
      </c>
      <c r="P6107">
        <f t="shared" si="199"/>
        <v>10</v>
      </c>
      <c r="Q6107" t="s">
        <v>785</v>
      </c>
      <c r="R6107" t="s">
        <v>805</v>
      </c>
    </row>
    <row r="6108" spans="1:18" x14ac:dyDescent="0.3">
      <c r="A6108" t="s">
        <v>627</v>
      </c>
      <c r="B6108" s="16">
        <v>45583</v>
      </c>
      <c r="C6108" t="s">
        <v>3</v>
      </c>
      <c r="D6108" t="s">
        <v>137</v>
      </c>
      <c r="E6108">
        <v>4</v>
      </c>
      <c r="F6108">
        <v>2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4</v>
      </c>
      <c r="O6108">
        <f t="shared" si="198"/>
        <v>2024</v>
      </c>
      <c r="P6108">
        <f t="shared" si="199"/>
        <v>10</v>
      </c>
      <c r="Q6108" t="s">
        <v>785</v>
      </c>
      <c r="R6108" t="s">
        <v>805</v>
      </c>
    </row>
    <row r="6109" spans="1:18" x14ac:dyDescent="0.3">
      <c r="A6109" t="s">
        <v>627</v>
      </c>
      <c r="B6109" s="16">
        <v>45583</v>
      </c>
      <c r="C6109" t="s">
        <v>3</v>
      </c>
      <c r="D6109" t="s">
        <v>135</v>
      </c>
      <c r="E6109">
        <v>5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5</v>
      </c>
      <c r="O6109">
        <f t="shared" si="198"/>
        <v>2024</v>
      </c>
      <c r="P6109">
        <f t="shared" si="199"/>
        <v>10</v>
      </c>
      <c r="Q6109" t="s">
        <v>785</v>
      </c>
      <c r="R6109" t="s">
        <v>805</v>
      </c>
    </row>
    <row r="6110" spans="1:18" x14ac:dyDescent="0.3">
      <c r="A6110" t="s">
        <v>627</v>
      </c>
      <c r="B6110" s="16">
        <v>45583</v>
      </c>
      <c r="C6110" t="s">
        <v>3</v>
      </c>
      <c r="D6110" t="s">
        <v>133</v>
      </c>
      <c r="E6110">
        <v>27</v>
      </c>
      <c r="F6110">
        <v>22</v>
      </c>
      <c r="G6110">
        <v>3</v>
      </c>
      <c r="H6110">
        <v>0</v>
      </c>
      <c r="I6110">
        <v>21398</v>
      </c>
      <c r="J6110">
        <v>2</v>
      </c>
      <c r="K6110">
        <v>21398</v>
      </c>
      <c r="L6110">
        <v>2</v>
      </c>
      <c r="M6110">
        <v>5</v>
      </c>
      <c r="N6110">
        <v>24</v>
      </c>
      <c r="O6110">
        <f t="shared" si="198"/>
        <v>2024</v>
      </c>
      <c r="P6110">
        <f t="shared" si="199"/>
        <v>10</v>
      </c>
      <c r="Q6110" t="s">
        <v>785</v>
      </c>
      <c r="R6110" t="s">
        <v>805</v>
      </c>
    </row>
    <row r="6111" spans="1:18" x14ac:dyDescent="0.3">
      <c r="A6111" t="s">
        <v>627</v>
      </c>
      <c r="B6111" s="16">
        <v>45583</v>
      </c>
      <c r="C6111" t="s">
        <v>3</v>
      </c>
      <c r="D6111" t="s">
        <v>130</v>
      </c>
      <c r="E6111">
        <v>149</v>
      </c>
      <c r="F6111">
        <v>64</v>
      </c>
      <c r="G6111">
        <v>15</v>
      </c>
      <c r="H6111">
        <v>5</v>
      </c>
      <c r="I6111">
        <v>20123</v>
      </c>
      <c r="J6111">
        <v>4</v>
      </c>
      <c r="K6111">
        <v>7448</v>
      </c>
      <c r="L6111">
        <v>2</v>
      </c>
      <c r="M6111">
        <v>44</v>
      </c>
      <c r="N6111">
        <v>139</v>
      </c>
      <c r="O6111">
        <f t="shared" si="198"/>
        <v>2024</v>
      </c>
      <c r="P6111">
        <f t="shared" si="199"/>
        <v>10</v>
      </c>
      <c r="Q6111" t="s">
        <v>785</v>
      </c>
      <c r="R6111" t="s">
        <v>805</v>
      </c>
    </row>
    <row r="6112" spans="1:18" x14ac:dyDescent="0.3">
      <c r="A6112" t="s">
        <v>627</v>
      </c>
      <c r="B6112" s="16">
        <v>45583</v>
      </c>
      <c r="C6112" t="s">
        <v>3</v>
      </c>
      <c r="D6112" t="s">
        <v>128</v>
      </c>
      <c r="E6112">
        <v>947</v>
      </c>
      <c r="F6112">
        <v>724</v>
      </c>
      <c r="G6112">
        <v>69</v>
      </c>
      <c r="H6112">
        <v>8</v>
      </c>
      <c r="I6112">
        <v>210419</v>
      </c>
      <c r="J6112">
        <v>6</v>
      </c>
      <c r="K6112">
        <v>18856</v>
      </c>
      <c r="L6112">
        <v>4</v>
      </c>
      <c r="M6112">
        <v>270</v>
      </c>
      <c r="N6112">
        <v>829</v>
      </c>
      <c r="O6112">
        <f t="shared" si="198"/>
        <v>2024</v>
      </c>
      <c r="P6112">
        <f t="shared" si="199"/>
        <v>10</v>
      </c>
      <c r="Q6112" t="s">
        <v>785</v>
      </c>
      <c r="R6112" t="s">
        <v>805</v>
      </c>
    </row>
    <row r="6113" spans="1:18" x14ac:dyDescent="0.3">
      <c r="A6113" t="s">
        <v>627</v>
      </c>
      <c r="B6113" s="16">
        <v>45583</v>
      </c>
      <c r="C6113" t="s">
        <v>3</v>
      </c>
      <c r="D6113" t="s">
        <v>127</v>
      </c>
      <c r="E6113">
        <v>5161</v>
      </c>
      <c r="F6113">
        <v>3341</v>
      </c>
      <c r="G6113">
        <v>133</v>
      </c>
      <c r="H6113">
        <v>48</v>
      </c>
      <c r="I6113">
        <v>71047</v>
      </c>
      <c r="J6113">
        <v>14</v>
      </c>
      <c r="K6113">
        <v>22954</v>
      </c>
      <c r="L6113">
        <v>8</v>
      </c>
      <c r="M6113">
        <v>1371</v>
      </c>
      <c r="N6113">
        <v>4043</v>
      </c>
      <c r="O6113">
        <f t="shared" si="198"/>
        <v>2024</v>
      </c>
      <c r="P6113">
        <f t="shared" si="199"/>
        <v>10</v>
      </c>
      <c r="Q6113" t="s">
        <v>785</v>
      </c>
      <c r="R6113" t="s">
        <v>805</v>
      </c>
    </row>
    <row r="6114" spans="1:18" x14ac:dyDescent="0.3">
      <c r="A6114" t="s">
        <v>627</v>
      </c>
      <c r="B6114" s="16">
        <v>45583</v>
      </c>
      <c r="C6114" t="s">
        <v>3</v>
      </c>
      <c r="D6114" t="s">
        <v>126</v>
      </c>
      <c r="E6114">
        <v>144</v>
      </c>
      <c r="F6114">
        <v>93</v>
      </c>
      <c r="G6114">
        <v>5</v>
      </c>
      <c r="H6114">
        <v>2</v>
      </c>
      <c r="I6114">
        <v>8750</v>
      </c>
      <c r="J6114">
        <v>1</v>
      </c>
      <c r="K6114">
        <v>0</v>
      </c>
      <c r="L6114">
        <v>0</v>
      </c>
      <c r="M6114">
        <v>23</v>
      </c>
      <c r="N6114">
        <v>138</v>
      </c>
      <c r="O6114">
        <f t="shared" si="198"/>
        <v>2024</v>
      </c>
      <c r="P6114">
        <f t="shared" si="199"/>
        <v>10</v>
      </c>
      <c r="Q6114" t="s">
        <v>785</v>
      </c>
      <c r="R6114" t="s">
        <v>805</v>
      </c>
    </row>
    <row r="6115" spans="1:18" x14ac:dyDescent="0.3">
      <c r="A6115" t="s">
        <v>627</v>
      </c>
      <c r="B6115" s="16">
        <v>45583</v>
      </c>
      <c r="C6115" t="s">
        <v>3</v>
      </c>
      <c r="D6115" t="s">
        <v>125</v>
      </c>
      <c r="E6115">
        <v>5</v>
      </c>
      <c r="F6115">
        <v>1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2</v>
      </c>
      <c r="N6115">
        <v>5</v>
      </c>
      <c r="O6115">
        <f t="shared" si="198"/>
        <v>2024</v>
      </c>
      <c r="P6115">
        <f t="shared" si="199"/>
        <v>10</v>
      </c>
      <c r="Q6115" t="s">
        <v>785</v>
      </c>
      <c r="R6115" t="s">
        <v>805</v>
      </c>
    </row>
    <row r="6116" spans="1:18" x14ac:dyDescent="0.3">
      <c r="A6116" t="s">
        <v>627</v>
      </c>
      <c r="B6116" s="16">
        <v>45583</v>
      </c>
      <c r="C6116" t="s">
        <v>3</v>
      </c>
      <c r="D6116" t="s">
        <v>123</v>
      </c>
      <c r="E6116">
        <v>399</v>
      </c>
      <c r="F6116">
        <v>178</v>
      </c>
      <c r="G6116">
        <v>29</v>
      </c>
      <c r="H6116">
        <v>2</v>
      </c>
      <c r="I6116">
        <v>18060</v>
      </c>
      <c r="J6116">
        <v>4</v>
      </c>
      <c r="K6116">
        <v>9480</v>
      </c>
      <c r="L6116">
        <v>3</v>
      </c>
      <c r="M6116">
        <v>99</v>
      </c>
      <c r="N6116">
        <v>374</v>
      </c>
      <c r="O6116">
        <f t="shared" si="198"/>
        <v>2024</v>
      </c>
      <c r="P6116">
        <f t="shared" si="199"/>
        <v>10</v>
      </c>
      <c r="Q6116" t="s">
        <v>785</v>
      </c>
      <c r="R6116" t="s">
        <v>805</v>
      </c>
    </row>
    <row r="6117" spans="1:18" x14ac:dyDescent="0.3">
      <c r="A6117" t="s">
        <v>627</v>
      </c>
      <c r="B6117" s="16">
        <v>45583</v>
      </c>
      <c r="C6117" t="s">
        <v>3</v>
      </c>
      <c r="D6117" t="s">
        <v>121</v>
      </c>
      <c r="E6117">
        <v>2</v>
      </c>
      <c r="F6117">
        <v>1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1</v>
      </c>
      <c r="N6117">
        <v>1</v>
      </c>
      <c r="O6117">
        <f t="shared" si="198"/>
        <v>2024</v>
      </c>
      <c r="P6117">
        <f t="shared" si="199"/>
        <v>10</v>
      </c>
      <c r="Q6117" t="s">
        <v>785</v>
      </c>
      <c r="R6117" t="s">
        <v>805</v>
      </c>
    </row>
    <row r="6118" spans="1:18" x14ac:dyDescent="0.3">
      <c r="A6118" t="s">
        <v>627</v>
      </c>
      <c r="B6118" s="16">
        <v>45583</v>
      </c>
      <c r="C6118" t="s">
        <v>3</v>
      </c>
      <c r="D6118" t="s">
        <v>120</v>
      </c>
      <c r="E6118">
        <v>338</v>
      </c>
      <c r="F6118">
        <v>184</v>
      </c>
      <c r="G6118">
        <v>14</v>
      </c>
      <c r="H6118">
        <v>0</v>
      </c>
      <c r="I6118">
        <v>7330</v>
      </c>
      <c r="J6118">
        <v>3</v>
      </c>
      <c r="K6118">
        <v>7330</v>
      </c>
      <c r="L6118">
        <v>3</v>
      </c>
      <c r="M6118">
        <v>55</v>
      </c>
      <c r="N6118">
        <v>335</v>
      </c>
      <c r="O6118">
        <f t="shared" si="198"/>
        <v>2024</v>
      </c>
      <c r="P6118">
        <f t="shared" si="199"/>
        <v>10</v>
      </c>
      <c r="Q6118" t="s">
        <v>785</v>
      </c>
      <c r="R6118" t="s">
        <v>805</v>
      </c>
    </row>
    <row r="6119" spans="1:18" x14ac:dyDescent="0.3">
      <c r="A6119" t="s">
        <v>627</v>
      </c>
      <c r="B6119" s="16">
        <v>45583</v>
      </c>
      <c r="C6119" t="s">
        <v>3</v>
      </c>
      <c r="D6119" t="s">
        <v>119</v>
      </c>
      <c r="E6119">
        <v>297</v>
      </c>
      <c r="F6119">
        <v>63</v>
      </c>
      <c r="G6119">
        <v>30</v>
      </c>
      <c r="H6119">
        <v>11</v>
      </c>
      <c r="I6119">
        <v>139299</v>
      </c>
      <c r="J6119">
        <v>7</v>
      </c>
      <c r="K6119">
        <v>16769</v>
      </c>
      <c r="L6119">
        <v>5</v>
      </c>
      <c r="M6119">
        <v>69</v>
      </c>
      <c r="N6119">
        <v>284</v>
      </c>
      <c r="O6119">
        <f t="shared" si="198"/>
        <v>2024</v>
      </c>
      <c r="P6119">
        <f t="shared" si="199"/>
        <v>10</v>
      </c>
      <c r="Q6119" t="s">
        <v>785</v>
      </c>
      <c r="R6119" t="s">
        <v>805</v>
      </c>
    </row>
    <row r="6120" spans="1:18" x14ac:dyDescent="0.3">
      <c r="A6120" t="s">
        <v>627</v>
      </c>
      <c r="B6120" s="16">
        <v>45583</v>
      </c>
      <c r="C6120" t="s">
        <v>3</v>
      </c>
      <c r="D6120" t="s">
        <v>252</v>
      </c>
      <c r="E6120">
        <v>7</v>
      </c>
      <c r="F6120">
        <v>5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1</v>
      </c>
      <c r="N6120">
        <v>7</v>
      </c>
      <c r="O6120">
        <f t="shared" si="198"/>
        <v>2024</v>
      </c>
      <c r="P6120">
        <f t="shared" si="199"/>
        <v>10</v>
      </c>
      <c r="Q6120" t="s">
        <v>785</v>
      </c>
      <c r="R6120" t="s">
        <v>805</v>
      </c>
    </row>
    <row r="6121" spans="1:18" x14ac:dyDescent="0.3">
      <c r="A6121" t="s">
        <v>627</v>
      </c>
      <c r="B6121" s="16">
        <v>45583</v>
      </c>
      <c r="C6121" t="s">
        <v>3</v>
      </c>
      <c r="D6121" t="s">
        <v>115</v>
      </c>
      <c r="E6121">
        <v>5</v>
      </c>
      <c r="F6121">
        <v>1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5</v>
      </c>
      <c r="O6121">
        <f t="shared" si="198"/>
        <v>2024</v>
      </c>
      <c r="P6121">
        <f t="shared" si="199"/>
        <v>10</v>
      </c>
      <c r="Q6121" t="s">
        <v>785</v>
      </c>
      <c r="R6121" t="s">
        <v>805</v>
      </c>
    </row>
    <row r="6122" spans="1:18" x14ac:dyDescent="0.3">
      <c r="A6122" t="s">
        <v>627</v>
      </c>
      <c r="B6122" s="16">
        <v>45583</v>
      </c>
      <c r="C6122" t="s">
        <v>3</v>
      </c>
      <c r="D6122" t="s">
        <v>114</v>
      </c>
      <c r="E6122">
        <v>169</v>
      </c>
      <c r="F6122">
        <v>89</v>
      </c>
      <c r="G6122">
        <v>8</v>
      </c>
      <c r="H6122">
        <v>4</v>
      </c>
      <c r="I6122">
        <v>8750</v>
      </c>
      <c r="J6122">
        <v>1</v>
      </c>
      <c r="K6122">
        <v>0</v>
      </c>
      <c r="L6122">
        <v>0</v>
      </c>
      <c r="M6122">
        <v>21</v>
      </c>
      <c r="N6122">
        <v>161</v>
      </c>
      <c r="O6122">
        <f t="shared" si="198"/>
        <v>2024</v>
      </c>
      <c r="P6122">
        <f t="shared" si="199"/>
        <v>10</v>
      </c>
      <c r="Q6122" t="s">
        <v>785</v>
      </c>
      <c r="R6122" t="s">
        <v>805</v>
      </c>
    </row>
    <row r="6123" spans="1:18" x14ac:dyDescent="0.3">
      <c r="A6123" t="s">
        <v>627</v>
      </c>
      <c r="B6123" s="16">
        <v>45583</v>
      </c>
      <c r="C6123" t="s">
        <v>3</v>
      </c>
      <c r="D6123" t="s">
        <v>113</v>
      </c>
      <c r="E6123">
        <v>135</v>
      </c>
      <c r="F6123">
        <v>67</v>
      </c>
      <c r="G6123">
        <v>7</v>
      </c>
      <c r="H6123">
        <v>3</v>
      </c>
      <c r="I6123">
        <v>0</v>
      </c>
      <c r="J6123">
        <v>0</v>
      </c>
      <c r="K6123">
        <v>0</v>
      </c>
      <c r="L6123">
        <v>0</v>
      </c>
      <c r="M6123">
        <v>108</v>
      </c>
      <c r="N6123">
        <v>83</v>
      </c>
      <c r="O6123">
        <f t="shared" si="198"/>
        <v>2024</v>
      </c>
      <c r="P6123">
        <f t="shared" si="199"/>
        <v>10</v>
      </c>
      <c r="Q6123" t="s">
        <v>785</v>
      </c>
      <c r="R6123" t="s">
        <v>805</v>
      </c>
    </row>
    <row r="6124" spans="1:18" x14ac:dyDescent="0.3">
      <c r="A6124" t="s">
        <v>627</v>
      </c>
      <c r="B6124" s="16">
        <v>45583</v>
      </c>
      <c r="C6124" t="s">
        <v>3</v>
      </c>
      <c r="D6124" t="s">
        <v>112</v>
      </c>
      <c r="E6124">
        <v>14</v>
      </c>
      <c r="F6124">
        <v>3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14</v>
      </c>
      <c r="O6124">
        <f t="shared" si="198"/>
        <v>2024</v>
      </c>
      <c r="P6124">
        <f t="shared" si="199"/>
        <v>10</v>
      </c>
      <c r="Q6124" t="s">
        <v>785</v>
      </c>
      <c r="R6124" t="s">
        <v>805</v>
      </c>
    </row>
    <row r="6125" spans="1:18" x14ac:dyDescent="0.3">
      <c r="A6125" t="s">
        <v>627</v>
      </c>
      <c r="B6125" s="16">
        <v>45582</v>
      </c>
      <c r="C6125" t="s">
        <v>2</v>
      </c>
      <c r="D6125" t="s">
        <v>4</v>
      </c>
      <c r="E6125">
        <v>1088</v>
      </c>
      <c r="F6125">
        <v>157</v>
      </c>
      <c r="G6125">
        <v>4</v>
      </c>
      <c r="H6125">
        <v>1</v>
      </c>
      <c r="I6125">
        <v>7457</v>
      </c>
      <c r="J6125">
        <v>2</v>
      </c>
      <c r="K6125">
        <v>7457</v>
      </c>
      <c r="L6125">
        <v>2</v>
      </c>
      <c r="M6125">
        <v>17</v>
      </c>
      <c r="N6125">
        <v>1081</v>
      </c>
      <c r="O6125">
        <f t="shared" si="198"/>
        <v>2024</v>
      </c>
      <c r="P6125">
        <f t="shared" si="199"/>
        <v>10</v>
      </c>
      <c r="Q6125" t="s">
        <v>785</v>
      </c>
      <c r="R6125" t="s">
        <v>805</v>
      </c>
    </row>
    <row r="6126" spans="1:18" x14ac:dyDescent="0.3">
      <c r="A6126" t="s">
        <v>627</v>
      </c>
      <c r="B6126" s="16">
        <v>45582</v>
      </c>
      <c r="C6126" t="s">
        <v>2</v>
      </c>
      <c r="D6126" t="s">
        <v>57</v>
      </c>
      <c r="E6126">
        <v>13410</v>
      </c>
      <c r="F6126">
        <v>8626</v>
      </c>
      <c r="G6126">
        <v>322</v>
      </c>
      <c r="H6126">
        <v>161</v>
      </c>
      <c r="I6126">
        <v>205499</v>
      </c>
      <c r="J6126">
        <v>30</v>
      </c>
      <c r="K6126">
        <v>53058</v>
      </c>
      <c r="L6126">
        <v>14</v>
      </c>
      <c r="M6126">
        <v>915</v>
      </c>
      <c r="N6126">
        <v>13376</v>
      </c>
      <c r="O6126">
        <f t="shared" si="198"/>
        <v>2024</v>
      </c>
      <c r="P6126">
        <f t="shared" si="199"/>
        <v>10</v>
      </c>
      <c r="Q6126" t="s">
        <v>785</v>
      </c>
      <c r="R6126" t="s">
        <v>805</v>
      </c>
    </row>
    <row r="6127" spans="1:18" x14ac:dyDescent="0.3">
      <c r="A6127" t="s">
        <v>627</v>
      </c>
      <c r="B6127" s="16">
        <v>45582</v>
      </c>
      <c r="C6127" t="s">
        <v>2</v>
      </c>
      <c r="D6127" t="s">
        <v>52</v>
      </c>
      <c r="E6127">
        <v>684</v>
      </c>
      <c r="F6127">
        <v>530</v>
      </c>
      <c r="G6127">
        <v>36</v>
      </c>
      <c r="H6127">
        <v>6</v>
      </c>
      <c r="I6127">
        <v>34492</v>
      </c>
      <c r="J6127">
        <v>4</v>
      </c>
      <c r="K6127">
        <v>34492</v>
      </c>
      <c r="L6127">
        <v>4</v>
      </c>
      <c r="M6127">
        <v>684</v>
      </c>
      <c r="N6127">
        <v>381</v>
      </c>
      <c r="O6127">
        <f t="shared" si="198"/>
        <v>2024</v>
      </c>
      <c r="P6127">
        <f t="shared" si="199"/>
        <v>10</v>
      </c>
      <c r="Q6127" t="s">
        <v>785</v>
      </c>
      <c r="R6127" t="s">
        <v>805</v>
      </c>
    </row>
    <row r="6128" spans="1:18" x14ac:dyDescent="0.3">
      <c r="A6128" t="s">
        <v>627</v>
      </c>
      <c r="B6128" s="16">
        <v>45582</v>
      </c>
      <c r="C6128" t="s">
        <v>2</v>
      </c>
      <c r="D6128" t="s">
        <v>55</v>
      </c>
      <c r="E6128">
        <v>109</v>
      </c>
      <c r="F6128">
        <v>77</v>
      </c>
      <c r="G6128">
        <v>1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2</v>
      </c>
      <c r="N6128">
        <v>90</v>
      </c>
      <c r="O6128">
        <f t="shared" si="198"/>
        <v>2024</v>
      </c>
      <c r="P6128">
        <f t="shared" si="199"/>
        <v>10</v>
      </c>
      <c r="Q6128" t="s">
        <v>785</v>
      </c>
      <c r="R6128" t="s">
        <v>805</v>
      </c>
    </row>
    <row r="6129" spans="1:18" x14ac:dyDescent="0.3">
      <c r="A6129" t="s">
        <v>627</v>
      </c>
      <c r="B6129" s="16">
        <v>45582</v>
      </c>
      <c r="C6129" t="s">
        <v>3</v>
      </c>
      <c r="D6129" t="s">
        <v>155</v>
      </c>
      <c r="E6129">
        <v>7</v>
      </c>
      <c r="F6129">
        <v>5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7</v>
      </c>
      <c r="O6129">
        <f t="shared" si="198"/>
        <v>2024</v>
      </c>
      <c r="P6129">
        <f t="shared" si="199"/>
        <v>10</v>
      </c>
      <c r="Q6129" t="s">
        <v>785</v>
      </c>
      <c r="R6129" t="s">
        <v>805</v>
      </c>
    </row>
    <row r="6130" spans="1:18" x14ac:dyDescent="0.3">
      <c r="A6130" t="s">
        <v>627</v>
      </c>
      <c r="B6130" s="16">
        <v>45582</v>
      </c>
      <c r="C6130" t="s">
        <v>3</v>
      </c>
      <c r="D6130" t="s">
        <v>154</v>
      </c>
      <c r="E6130">
        <v>1</v>
      </c>
      <c r="F6130">
        <v>1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f t="shared" si="198"/>
        <v>2024</v>
      </c>
      <c r="P6130">
        <f t="shared" si="199"/>
        <v>10</v>
      </c>
      <c r="Q6130" t="s">
        <v>785</v>
      </c>
      <c r="R6130" t="s">
        <v>805</v>
      </c>
    </row>
    <row r="6131" spans="1:18" x14ac:dyDescent="0.3">
      <c r="A6131" t="s">
        <v>627</v>
      </c>
      <c r="B6131" s="16">
        <v>45582</v>
      </c>
      <c r="C6131" t="s">
        <v>3</v>
      </c>
      <c r="D6131" t="s">
        <v>153</v>
      </c>
      <c r="E6131">
        <v>536</v>
      </c>
      <c r="F6131">
        <v>80</v>
      </c>
      <c r="G6131">
        <v>61</v>
      </c>
      <c r="H6131">
        <v>2</v>
      </c>
      <c r="I6131">
        <v>104711</v>
      </c>
      <c r="J6131">
        <v>24</v>
      </c>
      <c r="K6131">
        <v>51036</v>
      </c>
      <c r="L6131">
        <v>15</v>
      </c>
      <c r="M6131">
        <v>131</v>
      </c>
      <c r="N6131">
        <v>523</v>
      </c>
      <c r="O6131">
        <f t="shared" si="198"/>
        <v>2024</v>
      </c>
      <c r="P6131">
        <f t="shared" si="199"/>
        <v>10</v>
      </c>
      <c r="Q6131" t="s">
        <v>785</v>
      </c>
      <c r="R6131" t="s">
        <v>805</v>
      </c>
    </row>
    <row r="6132" spans="1:18" x14ac:dyDescent="0.3">
      <c r="A6132" t="s">
        <v>627</v>
      </c>
      <c r="B6132" s="16">
        <v>45582</v>
      </c>
      <c r="C6132" t="s">
        <v>3</v>
      </c>
      <c r="D6132" t="s">
        <v>152</v>
      </c>
      <c r="E6132">
        <v>1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1</v>
      </c>
      <c r="O6132">
        <f t="shared" si="198"/>
        <v>2024</v>
      </c>
      <c r="P6132">
        <f t="shared" si="199"/>
        <v>10</v>
      </c>
      <c r="Q6132" t="s">
        <v>785</v>
      </c>
      <c r="R6132" t="s">
        <v>805</v>
      </c>
    </row>
    <row r="6133" spans="1:18" x14ac:dyDescent="0.3">
      <c r="A6133" t="s">
        <v>627</v>
      </c>
      <c r="B6133" s="16">
        <v>45582</v>
      </c>
      <c r="C6133" t="s">
        <v>3</v>
      </c>
      <c r="D6133" t="s">
        <v>150</v>
      </c>
      <c r="E6133">
        <v>2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2</v>
      </c>
      <c r="O6133">
        <f t="shared" si="198"/>
        <v>2024</v>
      </c>
      <c r="P6133">
        <f t="shared" si="199"/>
        <v>10</v>
      </c>
      <c r="Q6133" t="s">
        <v>785</v>
      </c>
      <c r="R6133" t="s">
        <v>805</v>
      </c>
    </row>
    <row r="6134" spans="1:18" x14ac:dyDescent="0.3">
      <c r="A6134" t="s">
        <v>627</v>
      </c>
      <c r="B6134" s="16">
        <v>45582</v>
      </c>
      <c r="C6134" t="s">
        <v>3</v>
      </c>
      <c r="D6134" t="s">
        <v>149</v>
      </c>
      <c r="E6134">
        <v>8</v>
      </c>
      <c r="F6134">
        <v>5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2</v>
      </c>
      <c r="N6134">
        <v>7</v>
      </c>
      <c r="O6134">
        <f t="shared" si="198"/>
        <v>2024</v>
      </c>
      <c r="P6134">
        <f t="shared" si="199"/>
        <v>10</v>
      </c>
      <c r="Q6134" t="s">
        <v>785</v>
      </c>
      <c r="R6134" t="s">
        <v>805</v>
      </c>
    </row>
    <row r="6135" spans="1:18" x14ac:dyDescent="0.3">
      <c r="A6135" t="s">
        <v>627</v>
      </c>
      <c r="B6135" s="16">
        <v>45582</v>
      </c>
      <c r="C6135" t="s">
        <v>3</v>
      </c>
      <c r="D6135" t="s">
        <v>367</v>
      </c>
      <c r="E6135">
        <v>171</v>
      </c>
      <c r="F6135">
        <v>119</v>
      </c>
      <c r="G6135">
        <v>5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171</v>
      </c>
      <c r="O6135">
        <f t="shared" si="198"/>
        <v>2024</v>
      </c>
      <c r="P6135">
        <f t="shared" si="199"/>
        <v>10</v>
      </c>
      <c r="Q6135" t="s">
        <v>785</v>
      </c>
      <c r="R6135" t="s">
        <v>805</v>
      </c>
    </row>
    <row r="6136" spans="1:18" x14ac:dyDescent="0.3">
      <c r="A6136" t="s">
        <v>627</v>
      </c>
      <c r="B6136" s="16">
        <v>45582</v>
      </c>
      <c r="C6136" t="s">
        <v>3</v>
      </c>
      <c r="D6136" t="s">
        <v>251</v>
      </c>
      <c r="E6136">
        <v>371</v>
      </c>
      <c r="F6136">
        <v>166</v>
      </c>
      <c r="G6136">
        <v>6</v>
      </c>
      <c r="H6136">
        <v>7</v>
      </c>
      <c r="I6136">
        <v>3195</v>
      </c>
      <c r="J6136">
        <v>1</v>
      </c>
      <c r="K6136">
        <v>0</v>
      </c>
      <c r="L6136">
        <v>0</v>
      </c>
      <c r="M6136">
        <v>56</v>
      </c>
      <c r="N6136">
        <v>342</v>
      </c>
      <c r="O6136">
        <f t="shared" si="198"/>
        <v>2024</v>
      </c>
      <c r="P6136">
        <f t="shared" si="199"/>
        <v>10</v>
      </c>
      <c r="Q6136" t="s">
        <v>785</v>
      </c>
      <c r="R6136" t="s">
        <v>805</v>
      </c>
    </row>
    <row r="6137" spans="1:18" x14ac:dyDescent="0.3">
      <c r="A6137" t="s">
        <v>627</v>
      </c>
      <c r="B6137" s="16">
        <v>45582</v>
      </c>
      <c r="C6137" t="s">
        <v>3</v>
      </c>
      <c r="D6137" t="s">
        <v>143</v>
      </c>
      <c r="E6137">
        <v>15</v>
      </c>
      <c r="F6137">
        <v>15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15</v>
      </c>
      <c r="O6137">
        <f t="shared" si="198"/>
        <v>2024</v>
      </c>
      <c r="P6137">
        <f t="shared" si="199"/>
        <v>10</v>
      </c>
      <c r="Q6137" t="s">
        <v>785</v>
      </c>
      <c r="R6137" t="s">
        <v>805</v>
      </c>
    </row>
    <row r="6138" spans="1:18" x14ac:dyDescent="0.3">
      <c r="A6138" t="s">
        <v>627</v>
      </c>
      <c r="B6138" s="16">
        <v>45582</v>
      </c>
      <c r="C6138" t="s">
        <v>3</v>
      </c>
      <c r="D6138" t="s">
        <v>141</v>
      </c>
      <c r="E6138">
        <v>1</v>
      </c>
      <c r="F6138">
        <v>1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1</v>
      </c>
      <c r="O6138">
        <f t="shared" si="198"/>
        <v>2024</v>
      </c>
      <c r="P6138">
        <f t="shared" si="199"/>
        <v>10</v>
      </c>
      <c r="Q6138" t="s">
        <v>785</v>
      </c>
      <c r="R6138" t="s">
        <v>805</v>
      </c>
    </row>
    <row r="6139" spans="1:18" x14ac:dyDescent="0.3">
      <c r="A6139" t="s">
        <v>627</v>
      </c>
      <c r="B6139" s="16">
        <v>45582</v>
      </c>
      <c r="C6139" t="s">
        <v>3</v>
      </c>
      <c r="D6139" t="s">
        <v>140</v>
      </c>
      <c r="E6139">
        <v>6</v>
      </c>
      <c r="F6139">
        <v>4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6</v>
      </c>
      <c r="O6139">
        <f t="shared" si="198"/>
        <v>2024</v>
      </c>
      <c r="P6139">
        <f t="shared" si="199"/>
        <v>10</v>
      </c>
      <c r="Q6139" t="s">
        <v>785</v>
      </c>
      <c r="R6139" t="s">
        <v>805</v>
      </c>
    </row>
    <row r="6140" spans="1:18" x14ac:dyDescent="0.3">
      <c r="A6140" t="s">
        <v>627</v>
      </c>
      <c r="B6140" s="16">
        <v>45582</v>
      </c>
      <c r="C6140" t="s">
        <v>3</v>
      </c>
      <c r="D6140" t="s">
        <v>139</v>
      </c>
      <c r="E6140">
        <v>905</v>
      </c>
      <c r="F6140">
        <v>534</v>
      </c>
      <c r="G6140">
        <v>61</v>
      </c>
      <c r="H6140">
        <v>20</v>
      </c>
      <c r="I6140">
        <v>79971</v>
      </c>
      <c r="J6140">
        <v>10</v>
      </c>
      <c r="K6140">
        <v>55646</v>
      </c>
      <c r="L6140">
        <v>7</v>
      </c>
      <c r="M6140">
        <v>413</v>
      </c>
      <c r="N6140">
        <v>776</v>
      </c>
      <c r="O6140">
        <f t="shared" si="198"/>
        <v>2024</v>
      </c>
      <c r="P6140">
        <f t="shared" si="199"/>
        <v>10</v>
      </c>
      <c r="Q6140" t="s">
        <v>785</v>
      </c>
      <c r="R6140" t="s">
        <v>805</v>
      </c>
    </row>
    <row r="6141" spans="1:18" x14ac:dyDescent="0.3">
      <c r="A6141" t="s">
        <v>627</v>
      </c>
      <c r="B6141" s="16">
        <v>45582</v>
      </c>
      <c r="C6141" t="s">
        <v>3</v>
      </c>
      <c r="D6141" t="s">
        <v>138</v>
      </c>
      <c r="E6141">
        <v>103</v>
      </c>
      <c r="F6141">
        <v>69</v>
      </c>
      <c r="G6141">
        <v>1</v>
      </c>
      <c r="H6141">
        <v>1</v>
      </c>
      <c r="I6141">
        <v>0</v>
      </c>
      <c r="J6141">
        <v>0</v>
      </c>
      <c r="K6141">
        <v>0</v>
      </c>
      <c r="L6141">
        <v>0</v>
      </c>
      <c r="M6141">
        <v>7</v>
      </c>
      <c r="N6141">
        <v>102</v>
      </c>
      <c r="O6141">
        <f t="shared" si="198"/>
        <v>2024</v>
      </c>
      <c r="P6141">
        <f t="shared" si="199"/>
        <v>10</v>
      </c>
      <c r="Q6141" t="s">
        <v>785</v>
      </c>
      <c r="R6141" t="s">
        <v>805</v>
      </c>
    </row>
    <row r="6142" spans="1:18" x14ac:dyDescent="0.3">
      <c r="A6142" t="s">
        <v>627</v>
      </c>
      <c r="B6142" s="16">
        <v>45582</v>
      </c>
      <c r="C6142" t="s">
        <v>3</v>
      </c>
      <c r="D6142" t="s">
        <v>137</v>
      </c>
      <c r="E6142">
        <v>5</v>
      </c>
      <c r="F6142">
        <v>3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1</v>
      </c>
      <c r="N6142">
        <v>5</v>
      </c>
      <c r="O6142">
        <f t="shared" si="198"/>
        <v>2024</v>
      </c>
      <c r="P6142">
        <f t="shared" si="199"/>
        <v>10</v>
      </c>
      <c r="Q6142" t="s">
        <v>785</v>
      </c>
      <c r="R6142" t="s">
        <v>805</v>
      </c>
    </row>
    <row r="6143" spans="1:18" x14ac:dyDescent="0.3">
      <c r="A6143" t="s">
        <v>627</v>
      </c>
      <c r="B6143" s="16">
        <v>45582</v>
      </c>
      <c r="C6143" t="s">
        <v>3</v>
      </c>
      <c r="D6143" t="s">
        <v>135</v>
      </c>
      <c r="E6143">
        <v>5</v>
      </c>
      <c r="F6143">
        <v>2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5</v>
      </c>
      <c r="O6143">
        <f t="shared" si="198"/>
        <v>2024</v>
      </c>
      <c r="P6143">
        <f t="shared" si="199"/>
        <v>10</v>
      </c>
      <c r="Q6143" t="s">
        <v>785</v>
      </c>
      <c r="R6143" t="s">
        <v>805</v>
      </c>
    </row>
    <row r="6144" spans="1:18" x14ac:dyDescent="0.3">
      <c r="A6144" t="s">
        <v>627</v>
      </c>
      <c r="B6144" s="16">
        <v>45582</v>
      </c>
      <c r="C6144" t="s">
        <v>3</v>
      </c>
      <c r="D6144" t="s">
        <v>133</v>
      </c>
      <c r="E6144">
        <v>25</v>
      </c>
      <c r="F6144">
        <v>17</v>
      </c>
      <c r="G6144">
        <v>1</v>
      </c>
      <c r="H6144">
        <v>0</v>
      </c>
      <c r="I6144">
        <v>3195</v>
      </c>
      <c r="J6144">
        <v>1</v>
      </c>
      <c r="K6144">
        <v>0</v>
      </c>
      <c r="L6144">
        <v>0</v>
      </c>
      <c r="M6144">
        <v>9</v>
      </c>
      <c r="N6144">
        <v>21</v>
      </c>
      <c r="O6144">
        <f t="shared" si="198"/>
        <v>2024</v>
      </c>
      <c r="P6144">
        <f t="shared" si="199"/>
        <v>10</v>
      </c>
      <c r="Q6144" t="s">
        <v>785</v>
      </c>
      <c r="R6144" t="s">
        <v>805</v>
      </c>
    </row>
    <row r="6145" spans="1:18" x14ac:dyDescent="0.3">
      <c r="A6145" t="s">
        <v>627</v>
      </c>
      <c r="B6145" s="16">
        <v>45582</v>
      </c>
      <c r="C6145" t="s">
        <v>3</v>
      </c>
      <c r="D6145" t="s">
        <v>130</v>
      </c>
      <c r="E6145">
        <v>290</v>
      </c>
      <c r="F6145">
        <v>94</v>
      </c>
      <c r="G6145">
        <v>23</v>
      </c>
      <c r="H6145">
        <v>5</v>
      </c>
      <c r="I6145">
        <v>87150</v>
      </c>
      <c r="J6145">
        <v>6</v>
      </c>
      <c r="K6145">
        <v>68050</v>
      </c>
      <c r="L6145">
        <v>4</v>
      </c>
      <c r="M6145">
        <v>53</v>
      </c>
      <c r="N6145">
        <v>278</v>
      </c>
      <c r="O6145">
        <f t="shared" si="198"/>
        <v>2024</v>
      </c>
      <c r="P6145">
        <f t="shared" si="199"/>
        <v>10</v>
      </c>
      <c r="Q6145" t="s">
        <v>785</v>
      </c>
      <c r="R6145" t="s">
        <v>805</v>
      </c>
    </row>
    <row r="6146" spans="1:18" x14ac:dyDescent="0.3">
      <c r="A6146" t="s">
        <v>627</v>
      </c>
      <c r="B6146" s="16">
        <v>45582</v>
      </c>
      <c r="C6146" t="s">
        <v>3</v>
      </c>
      <c r="D6146" t="s">
        <v>128</v>
      </c>
      <c r="E6146">
        <v>810</v>
      </c>
      <c r="F6146">
        <v>600</v>
      </c>
      <c r="G6146">
        <v>35</v>
      </c>
      <c r="H6146">
        <v>12</v>
      </c>
      <c r="I6146">
        <v>30150</v>
      </c>
      <c r="J6146">
        <v>6</v>
      </c>
      <c r="K6146">
        <v>6750</v>
      </c>
      <c r="L6146">
        <v>3</v>
      </c>
      <c r="M6146">
        <v>237</v>
      </c>
      <c r="N6146">
        <v>707</v>
      </c>
      <c r="O6146">
        <f t="shared" si="198"/>
        <v>2024</v>
      </c>
      <c r="P6146">
        <f t="shared" si="199"/>
        <v>10</v>
      </c>
      <c r="Q6146" t="s">
        <v>785</v>
      </c>
      <c r="R6146" t="s">
        <v>805</v>
      </c>
    </row>
    <row r="6147" spans="1:18" x14ac:dyDescent="0.3">
      <c r="A6147" t="s">
        <v>627</v>
      </c>
      <c r="B6147" s="16">
        <v>45582</v>
      </c>
      <c r="C6147" t="s">
        <v>3</v>
      </c>
      <c r="D6147" t="s">
        <v>127</v>
      </c>
      <c r="E6147">
        <v>3426</v>
      </c>
      <c r="F6147">
        <v>2125</v>
      </c>
      <c r="G6147">
        <v>76</v>
      </c>
      <c r="H6147">
        <v>28</v>
      </c>
      <c r="I6147">
        <v>29199.99</v>
      </c>
      <c r="J6147">
        <v>8</v>
      </c>
      <c r="K6147">
        <v>12509.99</v>
      </c>
      <c r="L6147">
        <v>5</v>
      </c>
      <c r="M6147">
        <v>1102</v>
      </c>
      <c r="N6147">
        <v>2479</v>
      </c>
      <c r="O6147">
        <f t="shared" si="198"/>
        <v>2024</v>
      </c>
      <c r="P6147">
        <f t="shared" si="199"/>
        <v>10</v>
      </c>
      <c r="Q6147" t="s">
        <v>785</v>
      </c>
      <c r="R6147" t="s">
        <v>805</v>
      </c>
    </row>
    <row r="6148" spans="1:18" x14ac:dyDescent="0.3">
      <c r="A6148" t="s">
        <v>627</v>
      </c>
      <c r="B6148" s="16">
        <v>45582</v>
      </c>
      <c r="C6148" t="s">
        <v>3</v>
      </c>
      <c r="D6148" t="s">
        <v>126</v>
      </c>
      <c r="E6148">
        <v>130</v>
      </c>
      <c r="F6148">
        <v>95</v>
      </c>
      <c r="G6148">
        <v>5</v>
      </c>
      <c r="H6148">
        <v>2</v>
      </c>
      <c r="I6148">
        <v>0</v>
      </c>
      <c r="J6148">
        <v>0</v>
      </c>
      <c r="K6148">
        <v>0</v>
      </c>
      <c r="L6148">
        <v>0</v>
      </c>
      <c r="M6148">
        <v>21</v>
      </c>
      <c r="N6148">
        <v>128</v>
      </c>
      <c r="O6148">
        <f t="shared" si="198"/>
        <v>2024</v>
      </c>
      <c r="P6148">
        <f t="shared" si="199"/>
        <v>10</v>
      </c>
      <c r="Q6148" t="s">
        <v>785</v>
      </c>
      <c r="R6148" t="s">
        <v>805</v>
      </c>
    </row>
    <row r="6149" spans="1:18" x14ac:dyDescent="0.3">
      <c r="A6149" t="s">
        <v>627</v>
      </c>
      <c r="B6149" s="16">
        <v>45582</v>
      </c>
      <c r="C6149" t="s">
        <v>3</v>
      </c>
      <c r="D6149" t="s">
        <v>125</v>
      </c>
      <c r="E6149">
        <v>10</v>
      </c>
      <c r="F6149">
        <v>6</v>
      </c>
      <c r="G6149">
        <v>1</v>
      </c>
      <c r="H6149">
        <v>1</v>
      </c>
      <c r="I6149">
        <v>0</v>
      </c>
      <c r="J6149">
        <v>0</v>
      </c>
      <c r="K6149">
        <v>0</v>
      </c>
      <c r="L6149">
        <v>0</v>
      </c>
      <c r="M6149">
        <v>3</v>
      </c>
      <c r="N6149">
        <v>10</v>
      </c>
      <c r="O6149">
        <f t="shared" si="198"/>
        <v>2024</v>
      </c>
      <c r="P6149">
        <f t="shared" si="199"/>
        <v>10</v>
      </c>
      <c r="Q6149" t="s">
        <v>785</v>
      </c>
      <c r="R6149" t="s">
        <v>805</v>
      </c>
    </row>
    <row r="6150" spans="1:18" x14ac:dyDescent="0.3">
      <c r="A6150" t="s">
        <v>627</v>
      </c>
      <c r="B6150" s="16">
        <v>45582</v>
      </c>
      <c r="C6150" t="s">
        <v>3</v>
      </c>
      <c r="D6150" t="s">
        <v>123</v>
      </c>
      <c r="E6150">
        <v>376</v>
      </c>
      <c r="F6150">
        <v>166</v>
      </c>
      <c r="G6150">
        <v>19</v>
      </c>
      <c r="H6150">
        <v>8</v>
      </c>
      <c r="I6150">
        <v>0</v>
      </c>
      <c r="J6150">
        <v>0</v>
      </c>
      <c r="K6150">
        <v>0</v>
      </c>
      <c r="L6150">
        <v>0</v>
      </c>
      <c r="M6150">
        <v>85</v>
      </c>
      <c r="N6150">
        <v>347</v>
      </c>
      <c r="O6150">
        <f t="shared" si="198"/>
        <v>2024</v>
      </c>
      <c r="P6150">
        <f t="shared" si="199"/>
        <v>10</v>
      </c>
      <c r="Q6150" t="s">
        <v>785</v>
      </c>
      <c r="R6150" t="s">
        <v>805</v>
      </c>
    </row>
    <row r="6151" spans="1:18" x14ac:dyDescent="0.3">
      <c r="A6151" t="s">
        <v>627</v>
      </c>
      <c r="B6151" s="16">
        <v>45582</v>
      </c>
      <c r="C6151" t="s">
        <v>3</v>
      </c>
      <c r="D6151" t="s">
        <v>122</v>
      </c>
      <c r="E6151">
        <v>1</v>
      </c>
      <c r="F6151">
        <v>1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f t="shared" si="198"/>
        <v>2024</v>
      </c>
      <c r="P6151">
        <f t="shared" si="199"/>
        <v>10</v>
      </c>
      <c r="Q6151" t="s">
        <v>785</v>
      </c>
      <c r="R6151" t="s">
        <v>805</v>
      </c>
    </row>
    <row r="6152" spans="1:18" x14ac:dyDescent="0.3">
      <c r="A6152" t="s">
        <v>627</v>
      </c>
      <c r="B6152" s="16">
        <v>45582</v>
      </c>
      <c r="C6152" t="s">
        <v>3</v>
      </c>
      <c r="D6152" t="s">
        <v>121</v>
      </c>
      <c r="E6152">
        <v>1</v>
      </c>
      <c r="F6152">
        <v>1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1</v>
      </c>
      <c r="O6152">
        <f t="shared" si="198"/>
        <v>2024</v>
      </c>
      <c r="P6152">
        <f t="shared" si="199"/>
        <v>10</v>
      </c>
      <c r="Q6152" t="s">
        <v>785</v>
      </c>
      <c r="R6152" t="s">
        <v>805</v>
      </c>
    </row>
    <row r="6153" spans="1:18" x14ac:dyDescent="0.3">
      <c r="A6153" t="s">
        <v>627</v>
      </c>
      <c r="B6153" s="16">
        <v>45582</v>
      </c>
      <c r="C6153" t="s">
        <v>3</v>
      </c>
      <c r="D6153" t="s">
        <v>120</v>
      </c>
      <c r="E6153">
        <v>327</v>
      </c>
      <c r="F6153">
        <v>186</v>
      </c>
      <c r="G6153">
        <v>7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38</v>
      </c>
      <c r="N6153">
        <v>323</v>
      </c>
      <c r="O6153">
        <f t="shared" ref="O6153:O6216" si="200">YEAR(B6153)</f>
        <v>2024</v>
      </c>
      <c r="P6153">
        <f t="shared" ref="P6153:P6216" si="201">MONTH(B6153)</f>
        <v>10</v>
      </c>
      <c r="Q6153" t="s">
        <v>785</v>
      </c>
      <c r="R6153" t="s">
        <v>805</v>
      </c>
    </row>
    <row r="6154" spans="1:18" x14ac:dyDescent="0.3">
      <c r="A6154" t="s">
        <v>627</v>
      </c>
      <c r="B6154" s="16">
        <v>45582</v>
      </c>
      <c r="C6154" t="s">
        <v>3</v>
      </c>
      <c r="D6154" t="s">
        <v>119</v>
      </c>
      <c r="E6154">
        <v>271</v>
      </c>
      <c r="F6154">
        <v>66</v>
      </c>
      <c r="G6154">
        <v>25</v>
      </c>
      <c r="H6154">
        <v>9</v>
      </c>
      <c r="I6154">
        <v>56038</v>
      </c>
      <c r="J6154">
        <v>8</v>
      </c>
      <c r="K6154">
        <v>46145</v>
      </c>
      <c r="L6154">
        <v>5</v>
      </c>
      <c r="M6154">
        <v>59</v>
      </c>
      <c r="N6154">
        <v>262</v>
      </c>
      <c r="O6154">
        <f t="shared" si="200"/>
        <v>2024</v>
      </c>
      <c r="P6154">
        <f t="shared" si="201"/>
        <v>10</v>
      </c>
      <c r="Q6154" t="s">
        <v>785</v>
      </c>
      <c r="R6154" t="s">
        <v>805</v>
      </c>
    </row>
    <row r="6155" spans="1:18" x14ac:dyDescent="0.3">
      <c r="A6155" t="s">
        <v>627</v>
      </c>
      <c r="B6155" s="16">
        <v>45582</v>
      </c>
      <c r="C6155" t="s">
        <v>3</v>
      </c>
      <c r="D6155" t="s">
        <v>115</v>
      </c>
      <c r="E6155">
        <v>6</v>
      </c>
      <c r="F6155">
        <v>1</v>
      </c>
      <c r="G6155">
        <v>1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1</v>
      </c>
      <c r="N6155">
        <v>5</v>
      </c>
      <c r="O6155">
        <f t="shared" si="200"/>
        <v>2024</v>
      </c>
      <c r="P6155">
        <f t="shared" si="201"/>
        <v>10</v>
      </c>
      <c r="Q6155" t="s">
        <v>785</v>
      </c>
      <c r="R6155" t="s">
        <v>805</v>
      </c>
    </row>
    <row r="6156" spans="1:18" x14ac:dyDescent="0.3">
      <c r="A6156" t="s">
        <v>627</v>
      </c>
      <c r="B6156" s="16">
        <v>45582</v>
      </c>
      <c r="C6156" t="s">
        <v>3</v>
      </c>
      <c r="D6156" t="s">
        <v>114</v>
      </c>
      <c r="E6156">
        <v>556</v>
      </c>
      <c r="F6156">
        <v>520</v>
      </c>
      <c r="G6156">
        <v>3</v>
      </c>
      <c r="H6156">
        <v>3</v>
      </c>
      <c r="I6156">
        <v>0</v>
      </c>
      <c r="J6156">
        <v>0</v>
      </c>
      <c r="K6156">
        <v>0</v>
      </c>
      <c r="L6156">
        <v>0</v>
      </c>
      <c r="M6156">
        <v>37</v>
      </c>
      <c r="N6156">
        <v>536</v>
      </c>
      <c r="O6156">
        <f t="shared" si="200"/>
        <v>2024</v>
      </c>
      <c r="P6156">
        <f t="shared" si="201"/>
        <v>10</v>
      </c>
      <c r="Q6156" t="s">
        <v>785</v>
      </c>
      <c r="R6156" t="s">
        <v>805</v>
      </c>
    </row>
    <row r="6157" spans="1:18" x14ac:dyDescent="0.3">
      <c r="A6157" t="s">
        <v>627</v>
      </c>
      <c r="B6157" s="16">
        <v>45582</v>
      </c>
      <c r="C6157" t="s">
        <v>3</v>
      </c>
      <c r="D6157" t="s">
        <v>113</v>
      </c>
      <c r="E6157">
        <v>120</v>
      </c>
      <c r="F6157">
        <v>56</v>
      </c>
      <c r="G6157">
        <v>5</v>
      </c>
      <c r="H6157">
        <v>2</v>
      </c>
      <c r="I6157">
        <v>0</v>
      </c>
      <c r="J6157">
        <v>0</v>
      </c>
      <c r="K6157">
        <v>0</v>
      </c>
      <c r="L6157">
        <v>0</v>
      </c>
      <c r="M6157">
        <v>103</v>
      </c>
      <c r="N6157">
        <v>69</v>
      </c>
      <c r="O6157">
        <f t="shared" si="200"/>
        <v>2024</v>
      </c>
      <c r="P6157">
        <f t="shared" si="201"/>
        <v>10</v>
      </c>
      <c r="Q6157" t="s">
        <v>785</v>
      </c>
      <c r="R6157" t="s">
        <v>805</v>
      </c>
    </row>
    <row r="6158" spans="1:18" x14ac:dyDescent="0.3">
      <c r="A6158" t="s">
        <v>627</v>
      </c>
      <c r="B6158" s="16">
        <v>45582</v>
      </c>
      <c r="C6158" t="s">
        <v>3</v>
      </c>
      <c r="D6158" t="s">
        <v>112</v>
      </c>
      <c r="E6158">
        <v>11</v>
      </c>
      <c r="F6158">
        <v>4</v>
      </c>
      <c r="G6158">
        <v>1</v>
      </c>
      <c r="H6158">
        <v>0</v>
      </c>
      <c r="I6158">
        <v>3500</v>
      </c>
      <c r="J6158">
        <v>1</v>
      </c>
      <c r="K6158">
        <v>1750</v>
      </c>
      <c r="L6158">
        <v>1</v>
      </c>
      <c r="M6158">
        <v>1</v>
      </c>
      <c r="N6158">
        <v>11</v>
      </c>
      <c r="O6158">
        <f t="shared" si="200"/>
        <v>2024</v>
      </c>
      <c r="P6158">
        <f t="shared" si="201"/>
        <v>10</v>
      </c>
      <c r="Q6158" t="s">
        <v>785</v>
      </c>
      <c r="R6158" t="s">
        <v>805</v>
      </c>
    </row>
    <row r="6159" spans="1:18" x14ac:dyDescent="0.3">
      <c r="A6159" t="s">
        <v>627</v>
      </c>
      <c r="B6159" s="16">
        <v>45581</v>
      </c>
      <c r="C6159" t="s">
        <v>2</v>
      </c>
      <c r="D6159" t="s">
        <v>4</v>
      </c>
      <c r="E6159">
        <v>1163</v>
      </c>
      <c r="F6159">
        <v>198</v>
      </c>
      <c r="G6159">
        <v>4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18</v>
      </c>
      <c r="N6159">
        <v>1148</v>
      </c>
      <c r="O6159">
        <f t="shared" si="200"/>
        <v>2024</v>
      </c>
      <c r="P6159">
        <f t="shared" si="201"/>
        <v>10</v>
      </c>
      <c r="Q6159" t="s">
        <v>785</v>
      </c>
      <c r="R6159" t="s">
        <v>805</v>
      </c>
    </row>
    <row r="6160" spans="1:18" x14ac:dyDescent="0.3">
      <c r="A6160" t="s">
        <v>627</v>
      </c>
      <c r="B6160" s="16">
        <v>45581</v>
      </c>
      <c r="C6160" t="s">
        <v>2</v>
      </c>
      <c r="D6160" t="s">
        <v>57</v>
      </c>
      <c r="E6160">
        <v>15999</v>
      </c>
      <c r="F6160">
        <v>9554</v>
      </c>
      <c r="G6160">
        <v>320</v>
      </c>
      <c r="H6160">
        <v>177</v>
      </c>
      <c r="I6160">
        <v>145216</v>
      </c>
      <c r="J6160">
        <v>21</v>
      </c>
      <c r="K6160">
        <v>57824</v>
      </c>
      <c r="L6160">
        <v>13</v>
      </c>
      <c r="M6160">
        <v>983</v>
      </c>
      <c r="N6160">
        <v>15968</v>
      </c>
      <c r="O6160">
        <f t="shared" si="200"/>
        <v>2024</v>
      </c>
      <c r="P6160">
        <f t="shared" si="201"/>
        <v>10</v>
      </c>
      <c r="Q6160" t="s">
        <v>785</v>
      </c>
      <c r="R6160" t="s">
        <v>805</v>
      </c>
    </row>
    <row r="6161" spans="1:18" x14ac:dyDescent="0.3">
      <c r="A6161" t="s">
        <v>627</v>
      </c>
      <c r="B6161" s="16">
        <v>45581</v>
      </c>
      <c r="C6161" t="s">
        <v>2</v>
      </c>
      <c r="D6161" t="s">
        <v>52</v>
      </c>
      <c r="E6161">
        <v>1673</v>
      </c>
      <c r="F6161">
        <v>1360</v>
      </c>
      <c r="G6161">
        <v>21</v>
      </c>
      <c r="H6161">
        <v>6</v>
      </c>
      <c r="I6161">
        <v>30335</v>
      </c>
      <c r="J6161">
        <v>5</v>
      </c>
      <c r="K6161">
        <v>10490</v>
      </c>
      <c r="L6161">
        <v>2</v>
      </c>
      <c r="M6161">
        <v>1673</v>
      </c>
      <c r="N6161">
        <v>601</v>
      </c>
      <c r="O6161">
        <f t="shared" si="200"/>
        <v>2024</v>
      </c>
      <c r="P6161">
        <f t="shared" si="201"/>
        <v>10</v>
      </c>
      <c r="Q6161" t="s">
        <v>785</v>
      </c>
      <c r="R6161" t="s">
        <v>805</v>
      </c>
    </row>
    <row r="6162" spans="1:18" x14ac:dyDescent="0.3">
      <c r="A6162" t="s">
        <v>627</v>
      </c>
      <c r="B6162" s="16">
        <v>45581</v>
      </c>
      <c r="C6162" t="s">
        <v>2</v>
      </c>
      <c r="D6162" t="s">
        <v>55</v>
      </c>
      <c r="E6162">
        <v>1704</v>
      </c>
      <c r="F6162">
        <v>1521</v>
      </c>
      <c r="G6162">
        <v>8</v>
      </c>
      <c r="H6162">
        <v>4</v>
      </c>
      <c r="I6162">
        <v>0</v>
      </c>
      <c r="J6162">
        <v>0</v>
      </c>
      <c r="K6162">
        <v>0</v>
      </c>
      <c r="L6162">
        <v>0</v>
      </c>
      <c r="M6162">
        <v>14</v>
      </c>
      <c r="N6162">
        <v>581</v>
      </c>
      <c r="O6162">
        <f t="shared" si="200"/>
        <v>2024</v>
      </c>
      <c r="P6162">
        <f t="shared" si="201"/>
        <v>10</v>
      </c>
      <c r="Q6162" t="s">
        <v>785</v>
      </c>
      <c r="R6162" t="s">
        <v>805</v>
      </c>
    </row>
    <row r="6163" spans="1:18" x14ac:dyDescent="0.3">
      <c r="A6163" t="s">
        <v>627</v>
      </c>
      <c r="B6163" s="16">
        <v>45581</v>
      </c>
      <c r="C6163" t="s">
        <v>3</v>
      </c>
      <c r="D6163" t="s">
        <v>155</v>
      </c>
      <c r="E6163">
        <v>3</v>
      </c>
      <c r="F6163">
        <v>2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3</v>
      </c>
      <c r="O6163">
        <f t="shared" si="200"/>
        <v>2024</v>
      </c>
      <c r="P6163">
        <f t="shared" si="201"/>
        <v>10</v>
      </c>
      <c r="Q6163" t="s">
        <v>785</v>
      </c>
      <c r="R6163" t="s">
        <v>805</v>
      </c>
    </row>
    <row r="6164" spans="1:18" x14ac:dyDescent="0.3">
      <c r="A6164" t="s">
        <v>627</v>
      </c>
      <c r="B6164" s="16">
        <v>45581</v>
      </c>
      <c r="C6164" t="s">
        <v>3</v>
      </c>
      <c r="D6164" t="s">
        <v>154</v>
      </c>
      <c r="E6164">
        <v>399</v>
      </c>
      <c r="F6164">
        <v>371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f t="shared" si="200"/>
        <v>2024</v>
      </c>
      <c r="P6164">
        <f t="shared" si="201"/>
        <v>10</v>
      </c>
      <c r="Q6164" t="s">
        <v>785</v>
      </c>
      <c r="R6164" t="s">
        <v>805</v>
      </c>
    </row>
    <row r="6165" spans="1:18" x14ac:dyDescent="0.3">
      <c r="A6165" t="s">
        <v>627</v>
      </c>
      <c r="B6165" s="16">
        <v>45581</v>
      </c>
      <c r="C6165" t="s">
        <v>3</v>
      </c>
      <c r="D6165" t="s">
        <v>153</v>
      </c>
      <c r="E6165">
        <v>538</v>
      </c>
      <c r="F6165">
        <v>97</v>
      </c>
      <c r="G6165">
        <v>51</v>
      </c>
      <c r="H6165">
        <v>5</v>
      </c>
      <c r="I6165">
        <v>128421</v>
      </c>
      <c r="J6165">
        <v>29</v>
      </c>
      <c r="K6165">
        <v>100036</v>
      </c>
      <c r="L6165">
        <v>23</v>
      </c>
      <c r="M6165">
        <v>126</v>
      </c>
      <c r="N6165">
        <v>527</v>
      </c>
      <c r="O6165">
        <f t="shared" si="200"/>
        <v>2024</v>
      </c>
      <c r="P6165">
        <f t="shared" si="201"/>
        <v>10</v>
      </c>
      <c r="Q6165" t="s">
        <v>785</v>
      </c>
      <c r="R6165" t="s">
        <v>805</v>
      </c>
    </row>
    <row r="6166" spans="1:18" x14ac:dyDescent="0.3">
      <c r="A6166" t="s">
        <v>627</v>
      </c>
      <c r="B6166" s="16">
        <v>45581</v>
      </c>
      <c r="C6166" t="s">
        <v>3</v>
      </c>
      <c r="D6166" t="s">
        <v>152</v>
      </c>
      <c r="E6166">
        <v>2</v>
      </c>
      <c r="F6166">
        <v>1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1</v>
      </c>
      <c r="O6166">
        <f t="shared" si="200"/>
        <v>2024</v>
      </c>
      <c r="P6166">
        <f t="shared" si="201"/>
        <v>10</v>
      </c>
      <c r="Q6166" t="s">
        <v>785</v>
      </c>
      <c r="R6166" t="s">
        <v>805</v>
      </c>
    </row>
    <row r="6167" spans="1:18" x14ac:dyDescent="0.3">
      <c r="A6167" t="s">
        <v>627</v>
      </c>
      <c r="B6167" s="16">
        <v>45581</v>
      </c>
      <c r="C6167" t="s">
        <v>3</v>
      </c>
      <c r="D6167" t="s">
        <v>150</v>
      </c>
      <c r="E6167">
        <v>3</v>
      </c>
      <c r="F6167">
        <v>2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3</v>
      </c>
      <c r="O6167">
        <f t="shared" si="200"/>
        <v>2024</v>
      </c>
      <c r="P6167">
        <f t="shared" si="201"/>
        <v>10</v>
      </c>
      <c r="Q6167" t="s">
        <v>785</v>
      </c>
      <c r="R6167" t="s">
        <v>805</v>
      </c>
    </row>
    <row r="6168" spans="1:18" x14ac:dyDescent="0.3">
      <c r="A6168" t="s">
        <v>627</v>
      </c>
      <c r="B6168" s="16">
        <v>45581</v>
      </c>
      <c r="C6168" t="s">
        <v>3</v>
      </c>
      <c r="D6168" t="s">
        <v>149</v>
      </c>
      <c r="E6168">
        <v>17</v>
      </c>
      <c r="F6168">
        <v>13</v>
      </c>
      <c r="G6168">
        <v>0</v>
      </c>
      <c r="H6168">
        <v>2</v>
      </c>
      <c r="I6168">
        <v>0</v>
      </c>
      <c r="J6168">
        <v>0</v>
      </c>
      <c r="K6168">
        <v>0</v>
      </c>
      <c r="L6168">
        <v>0</v>
      </c>
      <c r="M6168">
        <v>3</v>
      </c>
      <c r="N6168">
        <v>15</v>
      </c>
      <c r="O6168">
        <f t="shared" si="200"/>
        <v>2024</v>
      </c>
      <c r="P6168">
        <f t="shared" si="201"/>
        <v>10</v>
      </c>
      <c r="Q6168" t="s">
        <v>785</v>
      </c>
      <c r="R6168" t="s">
        <v>805</v>
      </c>
    </row>
    <row r="6169" spans="1:18" x14ac:dyDescent="0.3">
      <c r="A6169" t="s">
        <v>627</v>
      </c>
      <c r="B6169" s="16">
        <v>45581</v>
      </c>
      <c r="C6169" t="s">
        <v>3</v>
      </c>
      <c r="D6169" t="s">
        <v>148</v>
      </c>
      <c r="E6169">
        <v>1</v>
      </c>
      <c r="F6169">
        <v>1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1</v>
      </c>
      <c r="O6169">
        <f t="shared" si="200"/>
        <v>2024</v>
      </c>
      <c r="P6169">
        <f t="shared" si="201"/>
        <v>10</v>
      </c>
      <c r="Q6169" t="s">
        <v>785</v>
      </c>
      <c r="R6169" t="s">
        <v>805</v>
      </c>
    </row>
    <row r="6170" spans="1:18" x14ac:dyDescent="0.3">
      <c r="A6170" t="s">
        <v>627</v>
      </c>
      <c r="B6170" s="16">
        <v>45581</v>
      </c>
      <c r="C6170" t="s">
        <v>3</v>
      </c>
      <c r="D6170" t="s">
        <v>367</v>
      </c>
      <c r="E6170">
        <v>88</v>
      </c>
      <c r="F6170">
        <v>58</v>
      </c>
      <c r="G6170">
        <v>1</v>
      </c>
      <c r="H6170">
        <v>1</v>
      </c>
      <c r="I6170">
        <v>1990</v>
      </c>
      <c r="J6170">
        <v>1</v>
      </c>
      <c r="K6170">
        <v>0</v>
      </c>
      <c r="L6170">
        <v>0</v>
      </c>
      <c r="M6170">
        <v>0</v>
      </c>
      <c r="N6170">
        <v>88</v>
      </c>
      <c r="O6170">
        <f t="shared" si="200"/>
        <v>2024</v>
      </c>
      <c r="P6170">
        <f t="shared" si="201"/>
        <v>10</v>
      </c>
      <c r="Q6170" t="s">
        <v>785</v>
      </c>
      <c r="R6170" t="s">
        <v>805</v>
      </c>
    </row>
    <row r="6171" spans="1:18" x14ac:dyDescent="0.3">
      <c r="A6171" t="s">
        <v>627</v>
      </c>
      <c r="B6171" s="16">
        <v>45581</v>
      </c>
      <c r="C6171" t="s">
        <v>3</v>
      </c>
      <c r="D6171" t="s">
        <v>251</v>
      </c>
      <c r="E6171">
        <v>1148</v>
      </c>
      <c r="F6171">
        <v>841</v>
      </c>
      <c r="G6171">
        <v>26</v>
      </c>
      <c r="H6171">
        <v>8</v>
      </c>
      <c r="I6171">
        <v>20814</v>
      </c>
      <c r="J6171">
        <v>7</v>
      </c>
      <c r="K6171">
        <v>18834</v>
      </c>
      <c r="L6171">
        <v>6</v>
      </c>
      <c r="M6171">
        <v>81</v>
      </c>
      <c r="N6171">
        <v>364</v>
      </c>
      <c r="O6171">
        <f t="shared" si="200"/>
        <v>2024</v>
      </c>
      <c r="P6171">
        <f t="shared" si="201"/>
        <v>10</v>
      </c>
      <c r="Q6171" t="s">
        <v>785</v>
      </c>
      <c r="R6171" t="s">
        <v>805</v>
      </c>
    </row>
    <row r="6172" spans="1:18" x14ac:dyDescent="0.3">
      <c r="A6172" t="s">
        <v>627</v>
      </c>
      <c r="B6172" s="16">
        <v>45581</v>
      </c>
      <c r="C6172" t="s">
        <v>3</v>
      </c>
      <c r="D6172" t="s">
        <v>143</v>
      </c>
      <c r="E6172">
        <v>18</v>
      </c>
      <c r="F6172">
        <v>18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18</v>
      </c>
      <c r="O6172">
        <f t="shared" si="200"/>
        <v>2024</v>
      </c>
      <c r="P6172">
        <f t="shared" si="201"/>
        <v>10</v>
      </c>
      <c r="Q6172" t="s">
        <v>785</v>
      </c>
      <c r="R6172" t="s">
        <v>805</v>
      </c>
    </row>
    <row r="6173" spans="1:18" x14ac:dyDescent="0.3">
      <c r="A6173" t="s">
        <v>627</v>
      </c>
      <c r="B6173" s="16">
        <v>45581</v>
      </c>
      <c r="C6173" t="s">
        <v>3</v>
      </c>
      <c r="D6173" t="s">
        <v>141</v>
      </c>
      <c r="E6173">
        <v>3</v>
      </c>
      <c r="F6173">
        <v>3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3</v>
      </c>
      <c r="O6173">
        <f t="shared" si="200"/>
        <v>2024</v>
      </c>
      <c r="P6173">
        <f t="shared" si="201"/>
        <v>10</v>
      </c>
      <c r="Q6173" t="s">
        <v>785</v>
      </c>
      <c r="R6173" t="s">
        <v>805</v>
      </c>
    </row>
    <row r="6174" spans="1:18" x14ac:dyDescent="0.3">
      <c r="A6174" t="s">
        <v>627</v>
      </c>
      <c r="B6174" s="16">
        <v>45581</v>
      </c>
      <c r="C6174" t="s">
        <v>3</v>
      </c>
      <c r="D6174" t="s">
        <v>140</v>
      </c>
      <c r="E6174">
        <v>4</v>
      </c>
      <c r="F6174">
        <v>2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1</v>
      </c>
      <c r="N6174">
        <v>3</v>
      </c>
      <c r="O6174">
        <f t="shared" si="200"/>
        <v>2024</v>
      </c>
      <c r="P6174">
        <f t="shared" si="201"/>
        <v>10</v>
      </c>
      <c r="Q6174" t="s">
        <v>785</v>
      </c>
      <c r="R6174" t="s">
        <v>805</v>
      </c>
    </row>
    <row r="6175" spans="1:18" x14ac:dyDescent="0.3">
      <c r="A6175" t="s">
        <v>627</v>
      </c>
      <c r="B6175" s="16">
        <v>45581</v>
      </c>
      <c r="C6175" t="s">
        <v>3</v>
      </c>
      <c r="D6175" t="s">
        <v>139</v>
      </c>
      <c r="E6175">
        <v>741</v>
      </c>
      <c r="F6175">
        <v>401</v>
      </c>
      <c r="G6175">
        <v>55</v>
      </c>
      <c r="H6175">
        <v>9</v>
      </c>
      <c r="I6175">
        <v>42210</v>
      </c>
      <c r="J6175">
        <v>13</v>
      </c>
      <c r="K6175">
        <v>36870</v>
      </c>
      <c r="L6175">
        <v>10</v>
      </c>
      <c r="M6175">
        <v>341</v>
      </c>
      <c r="N6175">
        <v>594</v>
      </c>
      <c r="O6175">
        <f t="shared" si="200"/>
        <v>2024</v>
      </c>
      <c r="P6175">
        <f t="shared" si="201"/>
        <v>10</v>
      </c>
      <c r="Q6175" t="s">
        <v>785</v>
      </c>
      <c r="R6175" t="s">
        <v>805</v>
      </c>
    </row>
    <row r="6176" spans="1:18" x14ac:dyDescent="0.3">
      <c r="A6176" t="s">
        <v>627</v>
      </c>
      <c r="B6176" s="16">
        <v>45581</v>
      </c>
      <c r="C6176" t="s">
        <v>3</v>
      </c>
      <c r="D6176" t="s">
        <v>138</v>
      </c>
      <c r="E6176">
        <v>85</v>
      </c>
      <c r="F6176">
        <v>61</v>
      </c>
      <c r="G6176">
        <v>1</v>
      </c>
      <c r="H6176">
        <v>2</v>
      </c>
      <c r="I6176">
        <v>0</v>
      </c>
      <c r="J6176">
        <v>0</v>
      </c>
      <c r="K6176">
        <v>0</v>
      </c>
      <c r="L6176">
        <v>0</v>
      </c>
      <c r="M6176">
        <v>3</v>
      </c>
      <c r="N6176">
        <v>85</v>
      </c>
      <c r="O6176">
        <f t="shared" si="200"/>
        <v>2024</v>
      </c>
      <c r="P6176">
        <f t="shared" si="201"/>
        <v>10</v>
      </c>
      <c r="Q6176" t="s">
        <v>785</v>
      </c>
      <c r="R6176" t="s">
        <v>805</v>
      </c>
    </row>
    <row r="6177" spans="1:18" x14ac:dyDescent="0.3">
      <c r="A6177" t="s">
        <v>627</v>
      </c>
      <c r="B6177" s="16">
        <v>45581</v>
      </c>
      <c r="C6177" t="s">
        <v>3</v>
      </c>
      <c r="D6177" t="s">
        <v>137</v>
      </c>
      <c r="E6177">
        <v>7</v>
      </c>
      <c r="F6177">
        <v>2</v>
      </c>
      <c r="G6177">
        <v>1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3</v>
      </c>
      <c r="N6177">
        <v>7</v>
      </c>
      <c r="O6177">
        <f t="shared" si="200"/>
        <v>2024</v>
      </c>
      <c r="P6177">
        <f t="shared" si="201"/>
        <v>10</v>
      </c>
      <c r="Q6177" t="s">
        <v>785</v>
      </c>
      <c r="R6177" t="s">
        <v>805</v>
      </c>
    </row>
    <row r="6178" spans="1:18" x14ac:dyDescent="0.3">
      <c r="A6178" t="s">
        <v>627</v>
      </c>
      <c r="B6178" s="16">
        <v>45581</v>
      </c>
      <c r="C6178" t="s">
        <v>3</v>
      </c>
      <c r="D6178" t="s">
        <v>135</v>
      </c>
      <c r="E6178">
        <v>5</v>
      </c>
      <c r="F6178">
        <v>2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3</v>
      </c>
      <c r="O6178">
        <f t="shared" si="200"/>
        <v>2024</v>
      </c>
      <c r="P6178">
        <f t="shared" si="201"/>
        <v>10</v>
      </c>
      <c r="Q6178" t="s">
        <v>785</v>
      </c>
      <c r="R6178" t="s">
        <v>805</v>
      </c>
    </row>
    <row r="6179" spans="1:18" x14ac:dyDescent="0.3">
      <c r="A6179" t="s">
        <v>627</v>
      </c>
      <c r="B6179" s="16">
        <v>45581</v>
      </c>
      <c r="C6179" t="s">
        <v>3</v>
      </c>
      <c r="D6179" t="s">
        <v>133</v>
      </c>
      <c r="E6179">
        <v>21</v>
      </c>
      <c r="F6179">
        <v>16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4</v>
      </c>
      <c r="N6179">
        <v>20</v>
      </c>
      <c r="O6179">
        <f t="shared" si="200"/>
        <v>2024</v>
      </c>
      <c r="P6179">
        <f t="shared" si="201"/>
        <v>10</v>
      </c>
      <c r="Q6179" t="s">
        <v>785</v>
      </c>
      <c r="R6179" t="s">
        <v>805</v>
      </c>
    </row>
    <row r="6180" spans="1:18" x14ac:dyDescent="0.3">
      <c r="A6180" t="s">
        <v>627</v>
      </c>
      <c r="B6180" s="16">
        <v>45581</v>
      </c>
      <c r="C6180" t="s">
        <v>3</v>
      </c>
      <c r="D6180" t="s">
        <v>130</v>
      </c>
      <c r="E6180">
        <v>113</v>
      </c>
      <c r="F6180">
        <v>49</v>
      </c>
      <c r="G6180">
        <v>18</v>
      </c>
      <c r="H6180">
        <v>5</v>
      </c>
      <c r="I6180">
        <v>55496</v>
      </c>
      <c r="J6180">
        <v>11</v>
      </c>
      <c r="K6180">
        <v>46066</v>
      </c>
      <c r="L6180">
        <v>10</v>
      </c>
      <c r="M6180">
        <v>37</v>
      </c>
      <c r="N6180">
        <v>108</v>
      </c>
      <c r="O6180">
        <f t="shared" si="200"/>
        <v>2024</v>
      </c>
      <c r="P6180">
        <f t="shared" si="201"/>
        <v>10</v>
      </c>
      <c r="Q6180" t="s">
        <v>785</v>
      </c>
      <c r="R6180" t="s">
        <v>805</v>
      </c>
    </row>
    <row r="6181" spans="1:18" x14ac:dyDescent="0.3">
      <c r="A6181" t="s">
        <v>627</v>
      </c>
      <c r="B6181" s="16">
        <v>45581</v>
      </c>
      <c r="C6181" t="s">
        <v>3</v>
      </c>
      <c r="D6181" t="s">
        <v>128</v>
      </c>
      <c r="E6181">
        <v>807</v>
      </c>
      <c r="F6181">
        <v>604</v>
      </c>
      <c r="G6181">
        <v>37</v>
      </c>
      <c r="H6181">
        <v>9</v>
      </c>
      <c r="I6181">
        <v>8605</v>
      </c>
      <c r="J6181">
        <v>4</v>
      </c>
      <c r="K6181">
        <v>6925</v>
      </c>
      <c r="L6181">
        <v>3</v>
      </c>
      <c r="M6181">
        <v>254</v>
      </c>
      <c r="N6181">
        <v>686</v>
      </c>
      <c r="O6181">
        <f t="shared" si="200"/>
        <v>2024</v>
      </c>
      <c r="P6181">
        <f t="shared" si="201"/>
        <v>10</v>
      </c>
      <c r="Q6181" t="s">
        <v>785</v>
      </c>
      <c r="R6181" t="s">
        <v>805</v>
      </c>
    </row>
    <row r="6182" spans="1:18" x14ac:dyDescent="0.3">
      <c r="A6182" t="s">
        <v>627</v>
      </c>
      <c r="B6182" s="16">
        <v>45581</v>
      </c>
      <c r="C6182" t="s">
        <v>3</v>
      </c>
      <c r="D6182" t="s">
        <v>127</v>
      </c>
      <c r="E6182">
        <v>2273</v>
      </c>
      <c r="F6182">
        <v>1249</v>
      </c>
      <c r="G6182">
        <v>59</v>
      </c>
      <c r="H6182">
        <v>16</v>
      </c>
      <c r="I6182">
        <v>42715</v>
      </c>
      <c r="J6182">
        <v>8</v>
      </c>
      <c r="K6182">
        <v>11672</v>
      </c>
      <c r="L6182">
        <v>4</v>
      </c>
      <c r="M6182">
        <v>296</v>
      </c>
      <c r="N6182">
        <v>1975</v>
      </c>
      <c r="O6182">
        <f t="shared" si="200"/>
        <v>2024</v>
      </c>
      <c r="P6182">
        <f t="shared" si="201"/>
        <v>10</v>
      </c>
      <c r="Q6182" t="s">
        <v>785</v>
      </c>
      <c r="R6182" t="s">
        <v>805</v>
      </c>
    </row>
    <row r="6183" spans="1:18" x14ac:dyDescent="0.3">
      <c r="A6183" t="s">
        <v>627</v>
      </c>
      <c r="B6183" s="16">
        <v>45581</v>
      </c>
      <c r="C6183" t="s">
        <v>3</v>
      </c>
      <c r="D6183" t="s">
        <v>126</v>
      </c>
      <c r="E6183">
        <v>148</v>
      </c>
      <c r="F6183">
        <v>110</v>
      </c>
      <c r="G6183">
        <v>9</v>
      </c>
      <c r="H6183">
        <v>1</v>
      </c>
      <c r="I6183">
        <v>350</v>
      </c>
      <c r="J6183">
        <v>1</v>
      </c>
      <c r="K6183">
        <v>350</v>
      </c>
      <c r="L6183">
        <v>1</v>
      </c>
      <c r="M6183">
        <v>33</v>
      </c>
      <c r="N6183">
        <v>141</v>
      </c>
      <c r="O6183">
        <f t="shared" si="200"/>
        <v>2024</v>
      </c>
      <c r="P6183">
        <f t="shared" si="201"/>
        <v>10</v>
      </c>
      <c r="Q6183" t="s">
        <v>785</v>
      </c>
      <c r="R6183" t="s">
        <v>805</v>
      </c>
    </row>
    <row r="6184" spans="1:18" x14ac:dyDescent="0.3">
      <c r="A6184" t="s">
        <v>627</v>
      </c>
      <c r="B6184" s="16">
        <v>45581</v>
      </c>
      <c r="C6184" t="s">
        <v>3</v>
      </c>
      <c r="D6184" t="s">
        <v>125</v>
      </c>
      <c r="E6184">
        <v>5</v>
      </c>
      <c r="F6184">
        <v>3</v>
      </c>
      <c r="G6184">
        <v>1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2</v>
      </c>
      <c r="N6184">
        <v>5</v>
      </c>
      <c r="O6184">
        <f t="shared" si="200"/>
        <v>2024</v>
      </c>
      <c r="P6184">
        <f t="shared" si="201"/>
        <v>10</v>
      </c>
      <c r="Q6184" t="s">
        <v>785</v>
      </c>
      <c r="R6184" t="s">
        <v>805</v>
      </c>
    </row>
    <row r="6185" spans="1:18" x14ac:dyDescent="0.3">
      <c r="A6185" t="s">
        <v>627</v>
      </c>
      <c r="B6185" s="16">
        <v>45581</v>
      </c>
      <c r="C6185" t="s">
        <v>3</v>
      </c>
      <c r="D6185" t="s">
        <v>123</v>
      </c>
      <c r="E6185">
        <v>345</v>
      </c>
      <c r="F6185">
        <v>147</v>
      </c>
      <c r="G6185">
        <v>24</v>
      </c>
      <c r="H6185">
        <v>7</v>
      </c>
      <c r="I6185">
        <v>27095</v>
      </c>
      <c r="J6185">
        <v>5</v>
      </c>
      <c r="K6185">
        <v>6270</v>
      </c>
      <c r="L6185">
        <v>3</v>
      </c>
      <c r="M6185">
        <v>91</v>
      </c>
      <c r="N6185">
        <v>311</v>
      </c>
      <c r="O6185">
        <f t="shared" si="200"/>
        <v>2024</v>
      </c>
      <c r="P6185">
        <f t="shared" si="201"/>
        <v>10</v>
      </c>
      <c r="Q6185" t="s">
        <v>785</v>
      </c>
      <c r="R6185" t="s">
        <v>805</v>
      </c>
    </row>
    <row r="6186" spans="1:18" x14ac:dyDescent="0.3">
      <c r="A6186" t="s">
        <v>627</v>
      </c>
      <c r="B6186" s="16">
        <v>45581</v>
      </c>
      <c r="C6186" t="s">
        <v>3</v>
      </c>
      <c r="D6186" t="s">
        <v>121</v>
      </c>
      <c r="E6186">
        <v>2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2</v>
      </c>
      <c r="N6186">
        <v>0</v>
      </c>
      <c r="O6186">
        <f t="shared" si="200"/>
        <v>2024</v>
      </c>
      <c r="P6186">
        <f t="shared" si="201"/>
        <v>10</v>
      </c>
      <c r="Q6186" t="s">
        <v>785</v>
      </c>
      <c r="R6186" t="s">
        <v>805</v>
      </c>
    </row>
    <row r="6187" spans="1:18" x14ac:dyDescent="0.3">
      <c r="A6187" t="s">
        <v>627</v>
      </c>
      <c r="B6187" s="16">
        <v>45581</v>
      </c>
      <c r="C6187" t="s">
        <v>3</v>
      </c>
      <c r="D6187" t="s">
        <v>120</v>
      </c>
      <c r="E6187">
        <v>364</v>
      </c>
      <c r="F6187">
        <v>223</v>
      </c>
      <c r="G6187">
        <v>11</v>
      </c>
      <c r="H6187">
        <v>0</v>
      </c>
      <c r="I6187">
        <v>8416</v>
      </c>
      <c r="J6187">
        <v>3</v>
      </c>
      <c r="K6187">
        <v>4436</v>
      </c>
      <c r="L6187">
        <v>2</v>
      </c>
      <c r="M6187">
        <v>51</v>
      </c>
      <c r="N6187">
        <v>362</v>
      </c>
      <c r="O6187">
        <f t="shared" si="200"/>
        <v>2024</v>
      </c>
      <c r="P6187">
        <f t="shared" si="201"/>
        <v>10</v>
      </c>
      <c r="Q6187" t="s">
        <v>785</v>
      </c>
      <c r="R6187" t="s">
        <v>805</v>
      </c>
    </row>
    <row r="6188" spans="1:18" x14ac:dyDescent="0.3">
      <c r="A6188" t="s">
        <v>627</v>
      </c>
      <c r="B6188" s="16">
        <v>45581</v>
      </c>
      <c r="C6188" t="s">
        <v>3</v>
      </c>
      <c r="D6188" t="s">
        <v>119</v>
      </c>
      <c r="E6188">
        <v>265</v>
      </c>
      <c r="F6188">
        <v>66</v>
      </c>
      <c r="G6188">
        <v>12</v>
      </c>
      <c r="H6188">
        <v>3</v>
      </c>
      <c r="I6188">
        <v>40633</v>
      </c>
      <c r="J6188">
        <v>8</v>
      </c>
      <c r="K6188">
        <v>35758</v>
      </c>
      <c r="L6188">
        <v>6</v>
      </c>
      <c r="M6188">
        <v>66</v>
      </c>
      <c r="N6188">
        <v>251</v>
      </c>
      <c r="O6188">
        <f t="shared" si="200"/>
        <v>2024</v>
      </c>
      <c r="P6188">
        <f t="shared" si="201"/>
        <v>10</v>
      </c>
      <c r="Q6188" t="s">
        <v>785</v>
      </c>
      <c r="R6188" t="s">
        <v>805</v>
      </c>
    </row>
    <row r="6189" spans="1:18" x14ac:dyDescent="0.3">
      <c r="A6189" t="s">
        <v>627</v>
      </c>
      <c r="B6189" s="16">
        <v>45581</v>
      </c>
      <c r="C6189" t="s">
        <v>3</v>
      </c>
      <c r="D6189" t="s">
        <v>252</v>
      </c>
      <c r="E6189">
        <v>3</v>
      </c>
      <c r="F6189">
        <v>2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3</v>
      </c>
      <c r="O6189">
        <f t="shared" si="200"/>
        <v>2024</v>
      </c>
      <c r="P6189">
        <f t="shared" si="201"/>
        <v>10</v>
      </c>
      <c r="Q6189" t="s">
        <v>785</v>
      </c>
      <c r="R6189" t="s">
        <v>805</v>
      </c>
    </row>
    <row r="6190" spans="1:18" x14ac:dyDescent="0.3">
      <c r="A6190" t="s">
        <v>627</v>
      </c>
      <c r="B6190" s="16">
        <v>45581</v>
      </c>
      <c r="C6190" t="s">
        <v>3</v>
      </c>
      <c r="D6190" t="s">
        <v>114</v>
      </c>
      <c r="E6190">
        <v>238</v>
      </c>
      <c r="F6190">
        <v>182</v>
      </c>
      <c r="G6190">
        <v>4</v>
      </c>
      <c r="H6190">
        <v>5</v>
      </c>
      <c r="I6190">
        <v>1680</v>
      </c>
      <c r="J6190">
        <v>1</v>
      </c>
      <c r="K6190">
        <v>0</v>
      </c>
      <c r="L6190">
        <v>0</v>
      </c>
      <c r="M6190">
        <v>29</v>
      </c>
      <c r="N6190">
        <v>225</v>
      </c>
      <c r="O6190">
        <f t="shared" si="200"/>
        <v>2024</v>
      </c>
      <c r="P6190">
        <f t="shared" si="201"/>
        <v>10</v>
      </c>
      <c r="Q6190" t="s">
        <v>785</v>
      </c>
      <c r="R6190" t="s">
        <v>805</v>
      </c>
    </row>
    <row r="6191" spans="1:18" x14ac:dyDescent="0.3">
      <c r="A6191" t="s">
        <v>627</v>
      </c>
      <c r="B6191" s="16">
        <v>45581</v>
      </c>
      <c r="C6191" t="s">
        <v>3</v>
      </c>
      <c r="D6191" t="s">
        <v>113</v>
      </c>
      <c r="E6191">
        <v>112</v>
      </c>
      <c r="F6191">
        <v>55</v>
      </c>
      <c r="G6191">
        <v>8</v>
      </c>
      <c r="H6191">
        <v>2</v>
      </c>
      <c r="I6191">
        <v>0</v>
      </c>
      <c r="J6191">
        <v>0</v>
      </c>
      <c r="K6191">
        <v>0</v>
      </c>
      <c r="L6191">
        <v>0</v>
      </c>
      <c r="M6191">
        <v>87</v>
      </c>
      <c r="N6191">
        <v>65</v>
      </c>
      <c r="O6191">
        <f t="shared" si="200"/>
        <v>2024</v>
      </c>
      <c r="P6191">
        <f t="shared" si="201"/>
        <v>10</v>
      </c>
      <c r="Q6191" t="s">
        <v>785</v>
      </c>
      <c r="R6191" t="s">
        <v>805</v>
      </c>
    </row>
    <row r="6192" spans="1:18" x14ac:dyDescent="0.3">
      <c r="A6192" t="s">
        <v>627</v>
      </c>
      <c r="B6192" s="16">
        <v>45581</v>
      </c>
      <c r="C6192" t="s">
        <v>3</v>
      </c>
      <c r="D6192" t="s">
        <v>112</v>
      </c>
      <c r="E6192">
        <v>12</v>
      </c>
      <c r="F6192">
        <v>1</v>
      </c>
      <c r="G6192">
        <v>0</v>
      </c>
      <c r="H6192">
        <v>0</v>
      </c>
      <c r="I6192">
        <v>7700</v>
      </c>
      <c r="J6192">
        <v>1</v>
      </c>
      <c r="K6192">
        <v>7700</v>
      </c>
      <c r="L6192">
        <v>1</v>
      </c>
      <c r="M6192">
        <v>0</v>
      </c>
      <c r="N6192">
        <v>12</v>
      </c>
      <c r="O6192">
        <f t="shared" si="200"/>
        <v>2024</v>
      </c>
      <c r="P6192">
        <f t="shared" si="201"/>
        <v>10</v>
      </c>
      <c r="Q6192" t="s">
        <v>785</v>
      </c>
      <c r="R6192" t="s">
        <v>805</v>
      </c>
    </row>
    <row r="6193" spans="1:18" x14ac:dyDescent="0.3">
      <c r="A6193" t="s">
        <v>627</v>
      </c>
      <c r="B6193" s="16">
        <v>45580</v>
      </c>
      <c r="C6193" t="s">
        <v>2</v>
      </c>
      <c r="D6193" t="s">
        <v>4</v>
      </c>
      <c r="E6193">
        <v>1218</v>
      </c>
      <c r="F6193">
        <v>276</v>
      </c>
      <c r="G6193">
        <v>4</v>
      </c>
      <c r="H6193">
        <v>1</v>
      </c>
      <c r="I6193">
        <v>0</v>
      </c>
      <c r="J6193">
        <v>0</v>
      </c>
      <c r="K6193">
        <v>0</v>
      </c>
      <c r="L6193">
        <v>0</v>
      </c>
      <c r="M6193">
        <v>21</v>
      </c>
      <c r="N6193">
        <v>1208</v>
      </c>
      <c r="O6193">
        <f t="shared" si="200"/>
        <v>2024</v>
      </c>
      <c r="P6193">
        <f t="shared" si="201"/>
        <v>10</v>
      </c>
      <c r="Q6193" t="s">
        <v>785</v>
      </c>
      <c r="R6193" t="s">
        <v>805</v>
      </c>
    </row>
    <row r="6194" spans="1:18" x14ac:dyDescent="0.3">
      <c r="A6194" t="s">
        <v>627</v>
      </c>
      <c r="B6194" s="16">
        <v>45580</v>
      </c>
      <c r="C6194" t="s">
        <v>2</v>
      </c>
      <c r="D6194" t="s">
        <v>57</v>
      </c>
      <c r="E6194">
        <v>16183</v>
      </c>
      <c r="F6194">
        <v>9940</v>
      </c>
      <c r="G6194">
        <v>328</v>
      </c>
      <c r="H6194">
        <v>192</v>
      </c>
      <c r="I6194">
        <v>184151</v>
      </c>
      <c r="J6194">
        <v>28</v>
      </c>
      <c r="K6194">
        <v>112861</v>
      </c>
      <c r="L6194">
        <v>19</v>
      </c>
      <c r="M6194">
        <v>1109</v>
      </c>
      <c r="N6194">
        <v>16152</v>
      </c>
      <c r="O6194">
        <f t="shared" si="200"/>
        <v>2024</v>
      </c>
      <c r="P6194">
        <f t="shared" si="201"/>
        <v>10</v>
      </c>
      <c r="Q6194" t="s">
        <v>785</v>
      </c>
      <c r="R6194" t="s">
        <v>805</v>
      </c>
    </row>
    <row r="6195" spans="1:18" x14ac:dyDescent="0.3">
      <c r="A6195" t="s">
        <v>627</v>
      </c>
      <c r="B6195" s="16">
        <v>45580</v>
      </c>
      <c r="C6195" t="s">
        <v>2</v>
      </c>
      <c r="D6195" t="s">
        <v>52</v>
      </c>
      <c r="E6195">
        <v>2758</v>
      </c>
      <c r="F6195">
        <v>2359</v>
      </c>
      <c r="G6195">
        <v>28</v>
      </c>
      <c r="H6195">
        <v>13</v>
      </c>
      <c r="I6195">
        <v>15982</v>
      </c>
      <c r="J6195">
        <v>5</v>
      </c>
      <c r="K6195">
        <v>14302</v>
      </c>
      <c r="L6195">
        <v>4</v>
      </c>
      <c r="M6195">
        <v>2758</v>
      </c>
      <c r="N6195">
        <v>854</v>
      </c>
      <c r="O6195">
        <f t="shared" si="200"/>
        <v>2024</v>
      </c>
      <c r="P6195">
        <f t="shared" si="201"/>
        <v>10</v>
      </c>
      <c r="Q6195" t="s">
        <v>785</v>
      </c>
      <c r="R6195" t="s">
        <v>805</v>
      </c>
    </row>
    <row r="6196" spans="1:18" x14ac:dyDescent="0.3">
      <c r="A6196" t="s">
        <v>627</v>
      </c>
      <c r="B6196" s="16">
        <v>45580</v>
      </c>
      <c r="C6196" t="s">
        <v>2</v>
      </c>
      <c r="D6196" t="s">
        <v>55</v>
      </c>
      <c r="E6196">
        <v>1302</v>
      </c>
      <c r="F6196">
        <v>1135</v>
      </c>
      <c r="G6196">
        <v>5</v>
      </c>
      <c r="H6196">
        <v>1</v>
      </c>
      <c r="I6196">
        <v>0</v>
      </c>
      <c r="J6196">
        <v>0</v>
      </c>
      <c r="K6196">
        <v>0</v>
      </c>
      <c r="L6196">
        <v>0</v>
      </c>
      <c r="M6196">
        <v>10</v>
      </c>
      <c r="N6196">
        <v>153</v>
      </c>
      <c r="O6196">
        <f t="shared" si="200"/>
        <v>2024</v>
      </c>
      <c r="P6196">
        <f t="shared" si="201"/>
        <v>10</v>
      </c>
      <c r="Q6196" t="s">
        <v>785</v>
      </c>
      <c r="R6196" t="s">
        <v>805</v>
      </c>
    </row>
    <row r="6197" spans="1:18" x14ac:dyDescent="0.3">
      <c r="A6197" t="s">
        <v>627</v>
      </c>
      <c r="B6197" s="16">
        <v>45580</v>
      </c>
      <c r="C6197" t="s">
        <v>3</v>
      </c>
      <c r="D6197" t="s">
        <v>155</v>
      </c>
      <c r="E6197">
        <v>9</v>
      </c>
      <c r="F6197">
        <v>4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9</v>
      </c>
      <c r="O6197">
        <f t="shared" si="200"/>
        <v>2024</v>
      </c>
      <c r="P6197">
        <f t="shared" si="201"/>
        <v>10</v>
      </c>
      <c r="Q6197" t="s">
        <v>785</v>
      </c>
      <c r="R6197" t="s">
        <v>805</v>
      </c>
    </row>
    <row r="6198" spans="1:18" x14ac:dyDescent="0.3">
      <c r="A6198" t="s">
        <v>627</v>
      </c>
      <c r="B6198" s="16">
        <v>45580</v>
      </c>
      <c r="C6198" t="s">
        <v>3</v>
      </c>
      <c r="D6198" t="s">
        <v>154</v>
      </c>
      <c r="E6198">
        <v>94</v>
      </c>
      <c r="F6198">
        <v>58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f t="shared" si="200"/>
        <v>2024</v>
      </c>
      <c r="P6198">
        <f t="shared" si="201"/>
        <v>10</v>
      </c>
      <c r="Q6198" t="s">
        <v>785</v>
      </c>
      <c r="R6198" t="s">
        <v>805</v>
      </c>
    </row>
    <row r="6199" spans="1:18" x14ac:dyDescent="0.3">
      <c r="A6199" t="s">
        <v>627</v>
      </c>
      <c r="B6199" s="16">
        <v>45580</v>
      </c>
      <c r="C6199" t="s">
        <v>3</v>
      </c>
      <c r="D6199" t="s">
        <v>153</v>
      </c>
      <c r="E6199">
        <v>549</v>
      </c>
      <c r="F6199">
        <v>138</v>
      </c>
      <c r="G6199">
        <v>64</v>
      </c>
      <c r="H6199">
        <v>4</v>
      </c>
      <c r="I6199">
        <v>151123</v>
      </c>
      <c r="J6199">
        <v>30</v>
      </c>
      <c r="K6199">
        <v>131030</v>
      </c>
      <c r="L6199">
        <v>25</v>
      </c>
      <c r="M6199">
        <v>152</v>
      </c>
      <c r="N6199">
        <v>535</v>
      </c>
      <c r="O6199">
        <f t="shared" si="200"/>
        <v>2024</v>
      </c>
      <c r="P6199">
        <f t="shared" si="201"/>
        <v>10</v>
      </c>
      <c r="Q6199" t="s">
        <v>785</v>
      </c>
      <c r="R6199" t="s">
        <v>805</v>
      </c>
    </row>
    <row r="6200" spans="1:18" x14ac:dyDescent="0.3">
      <c r="A6200" t="s">
        <v>627</v>
      </c>
      <c r="B6200" s="16">
        <v>45580</v>
      </c>
      <c r="C6200" t="s">
        <v>3</v>
      </c>
      <c r="D6200" t="s">
        <v>152</v>
      </c>
      <c r="E6200">
        <v>6</v>
      </c>
      <c r="F6200">
        <v>2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4</v>
      </c>
      <c r="O6200">
        <f t="shared" si="200"/>
        <v>2024</v>
      </c>
      <c r="P6200">
        <f t="shared" si="201"/>
        <v>10</v>
      </c>
      <c r="Q6200" t="s">
        <v>785</v>
      </c>
      <c r="R6200" t="s">
        <v>805</v>
      </c>
    </row>
    <row r="6201" spans="1:18" x14ac:dyDescent="0.3">
      <c r="A6201" t="s">
        <v>627</v>
      </c>
      <c r="B6201" s="16">
        <v>45580</v>
      </c>
      <c r="C6201" t="s">
        <v>3</v>
      </c>
      <c r="D6201" t="s">
        <v>150</v>
      </c>
      <c r="E6201">
        <v>2</v>
      </c>
      <c r="F6201">
        <v>1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2</v>
      </c>
      <c r="O6201">
        <f t="shared" si="200"/>
        <v>2024</v>
      </c>
      <c r="P6201">
        <f t="shared" si="201"/>
        <v>10</v>
      </c>
      <c r="Q6201" t="s">
        <v>785</v>
      </c>
      <c r="R6201" t="s">
        <v>805</v>
      </c>
    </row>
    <row r="6202" spans="1:18" x14ac:dyDescent="0.3">
      <c r="A6202" t="s">
        <v>627</v>
      </c>
      <c r="B6202" s="16">
        <v>45580</v>
      </c>
      <c r="C6202" t="s">
        <v>3</v>
      </c>
      <c r="D6202" t="s">
        <v>149</v>
      </c>
      <c r="E6202">
        <v>11</v>
      </c>
      <c r="F6202">
        <v>5</v>
      </c>
      <c r="G6202">
        <v>1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2</v>
      </c>
      <c r="N6202">
        <v>9</v>
      </c>
      <c r="O6202">
        <f t="shared" si="200"/>
        <v>2024</v>
      </c>
      <c r="P6202">
        <f t="shared" si="201"/>
        <v>10</v>
      </c>
      <c r="Q6202" t="s">
        <v>785</v>
      </c>
      <c r="R6202" t="s">
        <v>805</v>
      </c>
    </row>
    <row r="6203" spans="1:18" x14ac:dyDescent="0.3">
      <c r="A6203" t="s">
        <v>627</v>
      </c>
      <c r="B6203" s="16">
        <v>45580</v>
      </c>
      <c r="C6203" t="s">
        <v>3</v>
      </c>
      <c r="D6203" t="s">
        <v>148</v>
      </c>
      <c r="E6203">
        <v>1</v>
      </c>
      <c r="F6203">
        <v>1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1</v>
      </c>
      <c r="N6203">
        <v>0</v>
      </c>
      <c r="O6203">
        <f t="shared" si="200"/>
        <v>2024</v>
      </c>
      <c r="P6203">
        <f t="shared" si="201"/>
        <v>10</v>
      </c>
      <c r="Q6203" t="s">
        <v>785</v>
      </c>
      <c r="R6203" t="s">
        <v>805</v>
      </c>
    </row>
    <row r="6204" spans="1:18" x14ac:dyDescent="0.3">
      <c r="A6204" t="s">
        <v>627</v>
      </c>
      <c r="B6204" s="16">
        <v>45580</v>
      </c>
      <c r="C6204" t="s">
        <v>3</v>
      </c>
      <c r="D6204" t="s">
        <v>367</v>
      </c>
      <c r="E6204">
        <v>84</v>
      </c>
      <c r="F6204">
        <v>54</v>
      </c>
      <c r="G6204">
        <v>3</v>
      </c>
      <c r="H6204">
        <v>0</v>
      </c>
      <c r="I6204">
        <v>3947.13</v>
      </c>
      <c r="J6204">
        <v>2</v>
      </c>
      <c r="K6204">
        <v>1957.13</v>
      </c>
      <c r="L6204">
        <v>1</v>
      </c>
      <c r="M6204">
        <v>2</v>
      </c>
      <c r="N6204">
        <v>84</v>
      </c>
      <c r="O6204">
        <f t="shared" si="200"/>
        <v>2024</v>
      </c>
      <c r="P6204">
        <f t="shared" si="201"/>
        <v>10</v>
      </c>
      <c r="Q6204" t="s">
        <v>785</v>
      </c>
      <c r="R6204" t="s">
        <v>805</v>
      </c>
    </row>
    <row r="6205" spans="1:18" x14ac:dyDescent="0.3">
      <c r="A6205" t="s">
        <v>627</v>
      </c>
      <c r="B6205" s="16">
        <v>45580</v>
      </c>
      <c r="C6205" t="s">
        <v>3</v>
      </c>
      <c r="D6205" t="s">
        <v>251</v>
      </c>
      <c r="E6205">
        <v>1754</v>
      </c>
      <c r="F6205">
        <v>1462</v>
      </c>
      <c r="G6205">
        <v>14</v>
      </c>
      <c r="H6205">
        <v>5</v>
      </c>
      <c r="I6205">
        <v>15888</v>
      </c>
      <c r="J6205">
        <v>5</v>
      </c>
      <c r="K6205">
        <v>14208</v>
      </c>
      <c r="L6205">
        <v>4</v>
      </c>
      <c r="M6205">
        <v>85</v>
      </c>
      <c r="N6205">
        <v>371</v>
      </c>
      <c r="O6205">
        <f t="shared" si="200"/>
        <v>2024</v>
      </c>
      <c r="P6205">
        <f t="shared" si="201"/>
        <v>10</v>
      </c>
      <c r="Q6205" t="s">
        <v>785</v>
      </c>
      <c r="R6205" t="s">
        <v>805</v>
      </c>
    </row>
    <row r="6206" spans="1:18" x14ac:dyDescent="0.3">
      <c r="A6206" t="s">
        <v>627</v>
      </c>
      <c r="B6206" s="16">
        <v>45580</v>
      </c>
      <c r="C6206" t="s">
        <v>3</v>
      </c>
      <c r="D6206" t="s">
        <v>143</v>
      </c>
      <c r="E6206">
        <v>17</v>
      </c>
      <c r="F6206">
        <v>16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17</v>
      </c>
      <c r="O6206">
        <f t="shared" si="200"/>
        <v>2024</v>
      </c>
      <c r="P6206">
        <f t="shared" si="201"/>
        <v>10</v>
      </c>
      <c r="Q6206" t="s">
        <v>785</v>
      </c>
      <c r="R6206" t="s">
        <v>805</v>
      </c>
    </row>
    <row r="6207" spans="1:18" x14ac:dyDescent="0.3">
      <c r="A6207" t="s">
        <v>627</v>
      </c>
      <c r="B6207" s="16">
        <v>45580</v>
      </c>
      <c r="C6207" t="s">
        <v>3</v>
      </c>
      <c r="D6207" t="s">
        <v>141</v>
      </c>
      <c r="E6207">
        <v>2</v>
      </c>
      <c r="F6207">
        <v>2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1</v>
      </c>
      <c r="N6207">
        <v>1</v>
      </c>
      <c r="O6207">
        <f t="shared" si="200"/>
        <v>2024</v>
      </c>
      <c r="P6207">
        <f t="shared" si="201"/>
        <v>10</v>
      </c>
      <c r="Q6207" t="s">
        <v>785</v>
      </c>
      <c r="R6207" t="s">
        <v>805</v>
      </c>
    </row>
    <row r="6208" spans="1:18" x14ac:dyDescent="0.3">
      <c r="A6208" t="s">
        <v>627</v>
      </c>
      <c r="B6208" s="16">
        <v>45580</v>
      </c>
      <c r="C6208" t="s">
        <v>3</v>
      </c>
      <c r="D6208" t="s">
        <v>140</v>
      </c>
      <c r="E6208">
        <v>7</v>
      </c>
      <c r="F6208">
        <v>5</v>
      </c>
      <c r="G6208">
        <v>2</v>
      </c>
      <c r="H6208">
        <v>0</v>
      </c>
      <c r="I6208">
        <v>3875</v>
      </c>
      <c r="J6208">
        <v>1</v>
      </c>
      <c r="K6208">
        <v>3875</v>
      </c>
      <c r="L6208">
        <v>1</v>
      </c>
      <c r="M6208">
        <v>0</v>
      </c>
      <c r="N6208">
        <v>7</v>
      </c>
      <c r="O6208">
        <f t="shared" si="200"/>
        <v>2024</v>
      </c>
      <c r="P6208">
        <f t="shared" si="201"/>
        <v>10</v>
      </c>
      <c r="Q6208" t="s">
        <v>785</v>
      </c>
      <c r="R6208" t="s">
        <v>805</v>
      </c>
    </row>
    <row r="6209" spans="1:18" x14ac:dyDescent="0.3">
      <c r="A6209" t="s">
        <v>627</v>
      </c>
      <c r="B6209" s="16">
        <v>45580</v>
      </c>
      <c r="C6209" t="s">
        <v>3</v>
      </c>
      <c r="D6209" t="s">
        <v>139</v>
      </c>
      <c r="E6209">
        <v>747</v>
      </c>
      <c r="F6209">
        <v>360</v>
      </c>
      <c r="G6209">
        <v>57</v>
      </c>
      <c r="H6209">
        <v>14</v>
      </c>
      <c r="I6209">
        <v>78474</v>
      </c>
      <c r="J6209">
        <v>12</v>
      </c>
      <c r="K6209">
        <v>51944</v>
      </c>
      <c r="L6209">
        <v>7</v>
      </c>
      <c r="M6209">
        <v>366</v>
      </c>
      <c r="N6209">
        <v>577</v>
      </c>
      <c r="O6209">
        <f t="shared" si="200"/>
        <v>2024</v>
      </c>
      <c r="P6209">
        <f t="shared" si="201"/>
        <v>10</v>
      </c>
      <c r="Q6209" t="s">
        <v>785</v>
      </c>
      <c r="R6209" t="s">
        <v>805</v>
      </c>
    </row>
    <row r="6210" spans="1:18" x14ac:dyDescent="0.3">
      <c r="A6210" t="s">
        <v>627</v>
      </c>
      <c r="B6210" s="16">
        <v>45580</v>
      </c>
      <c r="C6210" t="s">
        <v>3</v>
      </c>
      <c r="D6210" t="s">
        <v>138</v>
      </c>
      <c r="E6210">
        <v>72</v>
      </c>
      <c r="F6210">
        <v>45</v>
      </c>
      <c r="G6210">
        <v>4</v>
      </c>
      <c r="H6210">
        <v>1</v>
      </c>
      <c r="I6210">
        <v>0</v>
      </c>
      <c r="J6210">
        <v>0</v>
      </c>
      <c r="K6210">
        <v>0</v>
      </c>
      <c r="L6210">
        <v>0</v>
      </c>
      <c r="M6210">
        <v>7</v>
      </c>
      <c r="N6210">
        <v>70</v>
      </c>
      <c r="O6210">
        <f t="shared" si="200"/>
        <v>2024</v>
      </c>
      <c r="P6210">
        <f t="shared" si="201"/>
        <v>10</v>
      </c>
      <c r="Q6210" t="s">
        <v>785</v>
      </c>
      <c r="R6210" t="s">
        <v>805</v>
      </c>
    </row>
    <row r="6211" spans="1:18" x14ac:dyDescent="0.3">
      <c r="A6211" t="s">
        <v>627</v>
      </c>
      <c r="B6211" s="16">
        <v>45580</v>
      </c>
      <c r="C6211" t="s">
        <v>3</v>
      </c>
      <c r="D6211" t="s">
        <v>137</v>
      </c>
      <c r="E6211">
        <v>4</v>
      </c>
      <c r="F6211">
        <v>3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1</v>
      </c>
      <c r="N6211">
        <v>4</v>
      </c>
      <c r="O6211">
        <f t="shared" si="200"/>
        <v>2024</v>
      </c>
      <c r="P6211">
        <f t="shared" si="201"/>
        <v>10</v>
      </c>
      <c r="Q6211" t="s">
        <v>785</v>
      </c>
      <c r="R6211" t="s">
        <v>805</v>
      </c>
    </row>
    <row r="6212" spans="1:18" x14ac:dyDescent="0.3">
      <c r="A6212" t="s">
        <v>627</v>
      </c>
      <c r="B6212" s="16">
        <v>45580</v>
      </c>
      <c r="C6212" t="s">
        <v>3</v>
      </c>
      <c r="D6212" t="s">
        <v>135</v>
      </c>
      <c r="E6212">
        <v>5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3</v>
      </c>
      <c r="O6212">
        <f t="shared" si="200"/>
        <v>2024</v>
      </c>
      <c r="P6212">
        <f t="shared" si="201"/>
        <v>10</v>
      </c>
      <c r="Q6212" t="s">
        <v>785</v>
      </c>
      <c r="R6212" t="s">
        <v>805</v>
      </c>
    </row>
    <row r="6213" spans="1:18" x14ac:dyDescent="0.3">
      <c r="A6213" t="s">
        <v>627</v>
      </c>
      <c r="B6213" s="16">
        <v>45580</v>
      </c>
      <c r="C6213" t="s">
        <v>3</v>
      </c>
      <c r="D6213" t="s">
        <v>133</v>
      </c>
      <c r="E6213">
        <v>12</v>
      </c>
      <c r="F6213">
        <v>6</v>
      </c>
      <c r="G6213">
        <v>1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4</v>
      </c>
      <c r="N6213">
        <v>10</v>
      </c>
      <c r="O6213">
        <f t="shared" si="200"/>
        <v>2024</v>
      </c>
      <c r="P6213">
        <f t="shared" si="201"/>
        <v>10</v>
      </c>
      <c r="Q6213" t="s">
        <v>785</v>
      </c>
      <c r="R6213" t="s">
        <v>805</v>
      </c>
    </row>
    <row r="6214" spans="1:18" x14ac:dyDescent="0.3">
      <c r="A6214" t="s">
        <v>627</v>
      </c>
      <c r="B6214" s="16">
        <v>45580</v>
      </c>
      <c r="C6214" t="s">
        <v>3</v>
      </c>
      <c r="D6214" t="s">
        <v>130</v>
      </c>
      <c r="E6214">
        <v>126</v>
      </c>
      <c r="F6214">
        <v>45</v>
      </c>
      <c r="G6214">
        <v>18</v>
      </c>
      <c r="H6214">
        <v>5</v>
      </c>
      <c r="I6214">
        <v>48050</v>
      </c>
      <c r="J6214">
        <v>7</v>
      </c>
      <c r="K6214">
        <v>43820</v>
      </c>
      <c r="L6214">
        <v>5</v>
      </c>
      <c r="M6214">
        <v>38</v>
      </c>
      <c r="N6214">
        <v>121</v>
      </c>
      <c r="O6214">
        <f t="shared" si="200"/>
        <v>2024</v>
      </c>
      <c r="P6214">
        <f t="shared" si="201"/>
        <v>10</v>
      </c>
      <c r="Q6214" t="s">
        <v>785</v>
      </c>
      <c r="R6214" t="s">
        <v>805</v>
      </c>
    </row>
    <row r="6215" spans="1:18" x14ac:dyDescent="0.3">
      <c r="A6215" t="s">
        <v>627</v>
      </c>
      <c r="B6215" s="16">
        <v>45580</v>
      </c>
      <c r="C6215" t="s">
        <v>3</v>
      </c>
      <c r="D6215" t="s">
        <v>128</v>
      </c>
      <c r="E6215">
        <v>768</v>
      </c>
      <c r="F6215">
        <v>601</v>
      </c>
      <c r="G6215">
        <v>38</v>
      </c>
      <c r="H6215">
        <v>10</v>
      </c>
      <c r="I6215">
        <v>16852</v>
      </c>
      <c r="J6215">
        <v>3</v>
      </c>
      <c r="K6215">
        <v>12952</v>
      </c>
      <c r="L6215">
        <v>3</v>
      </c>
      <c r="M6215">
        <v>240</v>
      </c>
      <c r="N6215">
        <v>651</v>
      </c>
      <c r="O6215">
        <f t="shared" si="200"/>
        <v>2024</v>
      </c>
      <c r="P6215">
        <f t="shared" si="201"/>
        <v>10</v>
      </c>
      <c r="Q6215" t="s">
        <v>785</v>
      </c>
      <c r="R6215" t="s">
        <v>805</v>
      </c>
    </row>
    <row r="6216" spans="1:18" x14ac:dyDescent="0.3">
      <c r="A6216" t="s">
        <v>627</v>
      </c>
      <c r="B6216" s="16">
        <v>45580</v>
      </c>
      <c r="C6216" t="s">
        <v>3</v>
      </c>
      <c r="D6216" t="s">
        <v>127</v>
      </c>
      <c r="E6216">
        <v>1900</v>
      </c>
      <c r="F6216">
        <v>1056</v>
      </c>
      <c r="G6216">
        <v>40</v>
      </c>
      <c r="H6216">
        <v>7</v>
      </c>
      <c r="I6216">
        <v>39537</v>
      </c>
      <c r="J6216">
        <v>7</v>
      </c>
      <c r="K6216">
        <v>19775</v>
      </c>
      <c r="L6216">
        <v>4</v>
      </c>
      <c r="M6216">
        <v>180</v>
      </c>
      <c r="N6216">
        <v>1563</v>
      </c>
      <c r="O6216">
        <f t="shared" si="200"/>
        <v>2024</v>
      </c>
      <c r="P6216">
        <f t="shared" si="201"/>
        <v>10</v>
      </c>
      <c r="Q6216" t="s">
        <v>785</v>
      </c>
      <c r="R6216" t="s">
        <v>805</v>
      </c>
    </row>
    <row r="6217" spans="1:18" x14ac:dyDescent="0.3">
      <c r="A6217" t="s">
        <v>627</v>
      </c>
      <c r="B6217" s="16">
        <v>45580</v>
      </c>
      <c r="C6217" t="s">
        <v>3</v>
      </c>
      <c r="D6217" t="s">
        <v>126</v>
      </c>
      <c r="E6217">
        <v>132</v>
      </c>
      <c r="F6217">
        <v>88</v>
      </c>
      <c r="G6217">
        <v>8</v>
      </c>
      <c r="H6217">
        <v>1</v>
      </c>
      <c r="I6217">
        <v>0</v>
      </c>
      <c r="J6217">
        <v>0</v>
      </c>
      <c r="K6217">
        <v>0</v>
      </c>
      <c r="L6217">
        <v>0</v>
      </c>
      <c r="M6217">
        <v>19</v>
      </c>
      <c r="N6217">
        <v>129</v>
      </c>
      <c r="O6217">
        <f t="shared" ref="O6217:O6280" si="202">YEAR(B6217)</f>
        <v>2024</v>
      </c>
      <c r="P6217">
        <f t="shared" ref="P6217:P6280" si="203">MONTH(B6217)</f>
        <v>10</v>
      </c>
      <c r="Q6217" t="s">
        <v>785</v>
      </c>
      <c r="R6217" t="s">
        <v>805</v>
      </c>
    </row>
    <row r="6218" spans="1:18" x14ac:dyDescent="0.3">
      <c r="A6218" t="s">
        <v>627</v>
      </c>
      <c r="B6218" s="16">
        <v>45580</v>
      </c>
      <c r="C6218" t="s">
        <v>3</v>
      </c>
      <c r="D6218" t="s">
        <v>125</v>
      </c>
      <c r="E6218">
        <v>4</v>
      </c>
      <c r="F6218">
        <v>2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1</v>
      </c>
      <c r="N6218">
        <v>4</v>
      </c>
      <c r="O6218">
        <f t="shared" si="202"/>
        <v>2024</v>
      </c>
      <c r="P6218">
        <f t="shared" si="203"/>
        <v>10</v>
      </c>
      <c r="Q6218" t="s">
        <v>785</v>
      </c>
      <c r="R6218" t="s">
        <v>805</v>
      </c>
    </row>
    <row r="6219" spans="1:18" x14ac:dyDescent="0.3">
      <c r="A6219" t="s">
        <v>627</v>
      </c>
      <c r="B6219" s="16">
        <v>45580</v>
      </c>
      <c r="C6219" t="s">
        <v>3</v>
      </c>
      <c r="D6219" t="s">
        <v>123</v>
      </c>
      <c r="E6219">
        <v>370</v>
      </c>
      <c r="F6219">
        <v>151</v>
      </c>
      <c r="G6219">
        <v>27</v>
      </c>
      <c r="H6219">
        <v>9</v>
      </c>
      <c r="I6219">
        <v>10040</v>
      </c>
      <c r="J6219">
        <v>4</v>
      </c>
      <c r="K6219">
        <v>6160</v>
      </c>
      <c r="L6219">
        <v>3</v>
      </c>
      <c r="M6219">
        <v>91</v>
      </c>
      <c r="N6219">
        <v>337</v>
      </c>
      <c r="O6219">
        <f t="shared" si="202"/>
        <v>2024</v>
      </c>
      <c r="P6219">
        <f t="shared" si="203"/>
        <v>10</v>
      </c>
      <c r="Q6219" t="s">
        <v>785</v>
      </c>
      <c r="R6219" t="s">
        <v>805</v>
      </c>
    </row>
    <row r="6220" spans="1:18" x14ac:dyDescent="0.3">
      <c r="A6220" t="s">
        <v>627</v>
      </c>
      <c r="B6220" s="16">
        <v>45580</v>
      </c>
      <c r="C6220" t="s">
        <v>3</v>
      </c>
      <c r="D6220" t="s">
        <v>121</v>
      </c>
      <c r="E6220">
        <v>6</v>
      </c>
      <c r="F6220">
        <v>6</v>
      </c>
      <c r="G6220">
        <v>0</v>
      </c>
      <c r="H6220">
        <v>0</v>
      </c>
      <c r="I6220">
        <v>3980</v>
      </c>
      <c r="J6220">
        <v>1</v>
      </c>
      <c r="K6220">
        <v>3980</v>
      </c>
      <c r="L6220">
        <v>1</v>
      </c>
      <c r="M6220">
        <v>0</v>
      </c>
      <c r="N6220">
        <v>6</v>
      </c>
      <c r="O6220">
        <f t="shared" si="202"/>
        <v>2024</v>
      </c>
      <c r="P6220">
        <f t="shared" si="203"/>
        <v>10</v>
      </c>
      <c r="Q6220" t="s">
        <v>785</v>
      </c>
      <c r="R6220" t="s">
        <v>805</v>
      </c>
    </row>
    <row r="6221" spans="1:18" x14ac:dyDescent="0.3">
      <c r="A6221" t="s">
        <v>627</v>
      </c>
      <c r="B6221" s="16">
        <v>45580</v>
      </c>
      <c r="C6221" t="s">
        <v>3</v>
      </c>
      <c r="D6221" t="s">
        <v>120</v>
      </c>
      <c r="E6221">
        <v>357</v>
      </c>
      <c r="F6221">
        <v>228</v>
      </c>
      <c r="G6221">
        <v>14</v>
      </c>
      <c r="H6221">
        <v>0</v>
      </c>
      <c r="I6221">
        <v>12450</v>
      </c>
      <c r="J6221">
        <v>2</v>
      </c>
      <c r="K6221">
        <v>12450</v>
      </c>
      <c r="L6221">
        <v>2</v>
      </c>
      <c r="M6221">
        <v>68</v>
      </c>
      <c r="N6221">
        <v>344</v>
      </c>
      <c r="O6221">
        <f t="shared" si="202"/>
        <v>2024</v>
      </c>
      <c r="P6221">
        <f t="shared" si="203"/>
        <v>10</v>
      </c>
      <c r="Q6221" t="s">
        <v>785</v>
      </c>
      <c r="R6221" t="s">
        <v>805</v>
      </c>
    </row>
    <row r="6222" spans="1:18" x14ac:dyDescent="0.3">
      <c r="A6222" t="s">
        <v>627</v>
      </c>
      <c r="B6222" s="16">
        <v>45580</v>
      </c>
      <c r="C6222" t="s">
        <v>3</v>
      </c>
      <c r="D6222" t="s">
        <v>119</v>
      </c>
      <c r="E6222">
        <v>268</v>
      </c>
      <c r="F6222">
        <v>73</v>
      </c>
      <c r="G6222">
        <v>21</v>
      </c>
      <c r="H6222">
        <v>7</v>
      </c>
      <c r="I6222">
        <v>41322</v>
      </c>
      <c r="J6222">
        <v>7</v>
      </c>
      <c r="K6222">
        <v>37962</v>
      </c>
      <c r="L6222">
        <v>6</v>
      </c>
      <c r="M6222">
        <v>57</v>
      </c>
      <c r="N6222">
        <v>261</v>
      </c>
      <c r="O6222">
        <f t="shared" si="202"/>
        <v>2024</v>
      </c>
      <c r="P6222">
        <f t="shared" si="203"/>
        <v>10</v>
      </c>
      <c r="Q6222" t="s">
        <v>785</v>
      </c>
      <c r="R6222" t="s">
        <v>805</v>
      </c>
    </row>
    <row r="6223" spans="1:18" x14ac:dyDescent="0.3">
      <c r="A6223" t="s">
        <v>627</v>
      </c>
      <c r="B6223" s="16">
        <v>45580</v>
      </c>
      <c r="C6223" t="s">
        <v>3</v>
      </c>
      <c r="D6223" t="s">
        <v>252</v>
      </c>
      <c r="E6223">
        <v>2</v>
      </c>
      <c r="F6223">
        <v>1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2</v>
      </c>
      <c r="O6223">
        <f t="shared" si="202"/>
        <v>2024</v>
      </c>
      <c r="P6223">
        <f t="shared" si="203"/>
        <v>10</v>
      </c>
      <c r="Q6223" t="s">
        <v>785</v>
      </c>
      <c r="R6223" t="s">
        <v>805</v>
      </c>
    </row>
    <row r="6224" spans="1:18" x14ac:dyDescent="0.3">
      <c r="A6224" t="s">
        <v>627</v>
      </c>
      <c r="B6224" s="16">
        <v>45580</v>
      </c>
      <c r="C6224" t="s">
        <v>3</v>
      </c>
      <c r="D6224" t="s">
        <v>115</v>
      </c>
      <c r="E6224">
        <v>6</v>
      </c>
      <c r="F6224">
        <v>1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1</v>
      </c>
      <c r="N6224">
        <v>5</v>
      </c>
      <c r="O6224">
        <f t="shared" si="202"/>
        <v>2024</v>
      </c>
      <c r="P6224">
        <f t="shared" si="203"/>
        <v>10</v>
      </c>
      <c r="Q6224" t="s">
        <v>785</v>
      </c>
      <c r="R6224" t="s">
        <v>805</v>
      </c>
    </row>
    <row r="6225" spans="1:18" x14ac:dyDescent="0.3">
      <c r="A6225" t="s">
        <v>627</v>
      </c>
      <c r="B6225" s="16">
        <v>45580</v>
      </c>
      <c r="C6225" t="s">
        <v>3</v>
      </c>
      <c r="D6225" t="s">
        <v>114</v>
      </c>
      <c r="E6225">
        <v>224</v>
      </c>
      <c r="F6225">
        <v>175</v>
      </c>
      <c r="G6225">
        <v>3</v>
      </c>
      <c r="H6225">
        <v>2</v>
      </c>
      <c r="I6225">
        <v>0</v>
      </c>
      <c r="J6225">
        <v>0</v>
      </c>
      <c r="K6225">
        <v>0</v>
      </c>
      <c r="L6225">
        <v>0</v>
      </c>
      <c r="M6225">
        <v>24</v>
      </c>
      <c r="N6225">
        <v>211</v>
      </c>
      <c r="O6225">
        <f t="shared" si="202"/>
        <v>2024</v>
      </c>
      <c r="P6225">
        <f t="shared" si="203"/>
        <v>10</v>
      </c>
      <c r="Q6225" t="s">
        <v>785</v>
      </c>
      <c r="R6225" t="s">
        <v>805</v>
      </c>
    </row>
    <row r="6226" spans="1:18" x14ac:dyDescent="0.3">
      <c r="A6226" t="s">
        <v>627</v>
      </c>
      <c r="B6226" s="16">
        <v>45580</v>
      </c>
      <c r="C6226" t="s">
        <v>3</v>
      </c>
      <c r="D6226" t="s">
        <v>113</v>
      </c>
      <c r="E6226">
        <v>127</v>
      </c>
      <c r="F6226">
        <v>65</v>
      </c>
      <c r="G6226">
        <v>7</v>
      </c>
      <c r="H6226">
        <v>3</v>
      </c>
      <c r="I6226">
        <v>11100</v>
      </c>
      <c r="J6226">
        <v>1</v>
      </c>
      <c r="K6226">
        <v>11100</v>
      </c>
      <c r="L6226">
        <v>1</v>
      </c>
      <c r="M6226">
        <v>114</v>
      </c>
      <c r="N6226">
        <v>70</v>
      </c>
      <c r="O6226">
        <f t="shared" si="202"/>
        <v>2024</v>
      </c>
      <c r="P6226">
        <f t="shared" si="203"/>
        <v>10</v>
      </c>
      <c r="Q6226" t="s">
        <v>785</v>
      </c>
      <c r="R6226" t="s">
        <v>805</v>
      </c>
    </row>
    <row r="6227" spans="1:18" x14ac:dyDescent="0.3">
      <c r="A6227" t="s">
        <v>627</v>
      </c>
      <c r="B6227" s="16">
        <v>45580</v>
      </c>
      <c r="C6227" t="s">
        <v>3</v>
      </c>
      <c r="D6227" t="s">
        <v>112</v>
      </c>
      <c r="E6227">
        <v>10</v>
      </c>
      <c r="F6227">
        <v>1</v>
      </c>
      <c r="G6227">
        <v>0</v>
      </c>
      <c r="H6227">
        <v>0</v>
      </c>
      <c r="I6227">
        <v>2795</v>
      </c>
      <c r="J6227">
        <v>1</v>
      </c>
      <c r="K6227">
        <v>2795</v>
      </c>
      <c r="L6227">
        <v>1</v>
      </c>
      <c r="M6227">
        <v>1</v>
      </c>
      <c r="N6227">
        <v>10</v>
      </c>
      <c r="O6227">
        <f t="shared" si="202"/>
        <v>2024</v>
      </c>
      <c r="P6227">
        <f t="shared" si="203"/>
        <v>10</v>
      </c>
      <c r="Q6227" t="s">
        <v>785</v>
      </c>
      <c r="R6227" t="s">
        <v>805</v>
      </c>
    </row>
    <row r="6228" spans="1:18" x14ac:dyDescent="0.3">
      <c r="A6228" t="s">
        <v>627</v>
      </c>
      <c r="B6228" s="16">
        <v>45580</v>
      </c>
      <c r="C6228" t="s">
        <v>3</v>
      </c>
      <c r="D6228" t="s">
        <v>111</v>
      </c>
      <c r="E6228">
        <v>5</v>
      </c>
      <c r="F6228">
        <v>5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5</v>
      </c>
      <c r="O6228">
        <f t="shared" si="202"/>
        <v>2024</v>
      </c>
      <c r="P6228">
        <f t="shared" si="203"/>
        <v>10</v>
      </c>
      <c r="Q6228" t="s">
        <v>785</v>
      </c>
      <c r="R6228" t="s">
        <v>805</v>
      </c>
    </row>
    <row r="6229" spans="1:18" x14ac:dyDescent="0.3">
      <c r="A6229" t="s">
        <v>627</v>
      </c>
      <c r="B6229" s="16">
        <v>45579</v>
      </c>
      <c r="C6229" t="s">
        <v>2</v>
      </c>
      <c r="D6229" t="s">
        <v>4</v>
      </c>
      <c r="E6229">
        <v>1461</v>
      </c>
      <c r="F6229">
        <v>593</v>
      </c>
      <c r="G6229">
        <v>42</v>
      </c>
      <c r="H6229">
        <v>1</v>
      </c>
      <c r="I6229">
        <v>5951.83</v>
      </c>
      <c r="J6229">
        <v>2</v>
      </c>
      <c r="K6229">
        <v>5951.83</v>
      </c>
      <c r="L6229">
        <v>2</v>
      </c>
      <c r="M6229">
        <v>15</v>
      </c>
      <c r="N6229">
        <v>1451</v>
      </c>
      <c r="O6229">
        <f t="shared" si="202"/>
        <v>2024</v>
      </c>
      <c r="P6229">
        <f t="shared" si="203"/>
        <v>10</v>
      </c>
      <c r="Q6229" t="s">
        <v>785</v>
      </c>
      <c r="R6229" t="s">
        <v>805</v>
      </c>
    </row>
    <row r="6230" spans="1:18" x14ac:dyDescent="0.3">
      <c r="A6230" t="s">
        <v>627</v>
      </c>
      <c r="B6230" s="16">
        <v>45579</v>
      </c>
      <c r="C6230" t="s">
        <v>2</v>
      </c>
      <c r="D6230" t="s">
        <v>57</v>
      </c>
      <c r="E6230">
        <v>13510</v>
      </c>
      <c r="F6230">
        <v>8153</v>
      </c>
      <c r="G6230">
        <v>315</v>
      </c>
      <c r="H6230">
        <v>168</v>
      </c>
      <c r="I6230">
        <v>147579</v>
      </c>
      <c r="J6230">
        <v>31</v>
      </c>
      <c r="K6230">
        <v>102789</v>
      </c>
      <c r="L6230">
        <v>22</v>
      </c>
      <c r="M6230">
        <v>972</v>
      </c>
      <c r="N6230">
        <v>13483</v>
      </c>
      <c r="O6230">
        <f t="shared" si="202"/>
        <v>2024</v>
      </c>
      <c r="P6230">
        <f t="shared" si="203"/>
        <v>10</v>
      </c>
      <c r="Q6230" t="s">
        <v>785</v>
      </c>
      <c r="R6230" t="s">
        <v>805</v>
      </c>
    </row>
    <row r="6231" spans="1:18" x14ac:dyDescent="0.3">
      <c r="A6231" t="s">
        <v>627</v>
      </c>
      <c r="B6231" s="16">
        <v>45579</v>
      </c>
      <c r="C6231" t="s">
        <v>2</v>
      </c>
      <c r="D6231" t="s">
        <v>52</v>
      </c>
      <c r="E6231">
        <v>2561</v>
      </c>
      <c r="F6231">
        <v>2129</v>
      </c>
      <c r="G6231">
        <v>26</v>
      </c>
      <c r="H6231">
        <v>8</v>
      </c>
      <c r="I6231">
        <v>42300</v>
      </c>
      <c r="J6231">
        <v>7</v>
      </c>
      <c r="K6231">
        <v>42300</v>
      </c>
      <c r="L6231">
        <v>7</v>
      </c>
      <c r="M6231">
        <v>2559</v>
      </c>
      <c r="N6231">
        <v>808</v>
      </c>
      <c r="O6231">
        <f t="shared" si="202"/>
        <v>2024</v>
      </c>
      <c r="P6231">
        <f t="shared" si="203"/>
        <v>10</v>
      </c>
      <c r="Q6231" t="s">
        <v>785</v>
      </c>
      <c r="R6231" t="s">
        <v>805</v>
      </c>
    </row>
    <row r="6232" spans="1:18" x14ac:dyDescent="0.3">
      <c r="A6232" t="s">
        <v>627</v>
      </c>
      <c r="B6232" s="16">
        <v>45579</v>
      </c>
      <c r="C6232" t="s">
        <v>2</v>
      </c>
      <c r="D6232" t="s">
        <v>55</v>
      </c>
      <c r="E6232">
        <v>1688</v>
      </c>
      <c r="F6232">
        <v>1429</v>
      </c>
      <c r="G6232">
        <v>6</v>
      </c>
      <c r="H6232">
        <v>10</v>
      </c>
      <c r="I6232">
        <v>0</v>
      </c>
      <c r="J6232">
        <v>0</v>
      </c>
      <c r="K6232">
        <v>0</v>
      </c>
      <c r="L6232">
        <v>0</v>
      </c>
      <c r="M6232">
        <v>19</v>
      </c>
      <c r="N6232">
        <v>511</v>
      </c>
      <c r="O6232">
        <f t="shared" si="202"/>
        <v>2024</v>
      </c>
      <c r="P6232">
        <f t="shared" si="203"/>
        <v>10</v>
      </c>
      <c r="Q6232" t="s">
        <v>785</v>
      </c>
      <c r="R6232" t="s">
        <v>805</v>
      </c>
    </row>
    <row r="6233" spans="1:18" x14ac:dyDescent="0.3">
      <c r="A6233" t="s">
        <v>627</v>
      </c>
      <c r="B6233" s="16">
        <v>45579</v>
      </c>
      <c r="C6233" t="s">
        <v>3</v>
      </c>
      <c r="D6233" t="s">
        <v>155</v>
      </c>
      <c r="E6233">
        <v>11</v>
      </c>
      <c r="F6233">
        <v>6</v>
      </c>
      <c r="G6233">
        <v>2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11</v>
      </c>
      <c r="O6233">
        <f t="shared" si="202"/>
        <v>2024</v>
      </c>
      <c r="P6233">
        <f t="shared" si="203"/>
        <v>10</v>
      </c>
      <c r="Q6233" t="s">
        <v>785</v>
      </c>
      <c r="R6233" t="s">
        <v>805</v>
      </c>
    </row>
    <row r="6234" spans="1:18" x14ac:dyDescent="0.3">
      <c r="A6234" t="s">
        <v>627</v>
      </c>
      <c r="B6234" s="16">
        <v>45579</v>
      </c>
      <c r="C6234" t="s">
        <v>3</v>
      </c>
      <c r="D6234" t="s">
        <v>154</v>
      </c>
      <c r="E6234">
        <v>281</v>
      </c>
      <c r="F6234">
        <v>190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f t="shared" si="202"/>
        <v>2024</v>
      </c>
      <c r="P6234">
        <f t="shared" si="203"/>
        <v>10</v>
      </c>
      <c r="Q6234" t="s">
        <v>785</v>
      </c>
      <c r="R6234" t="s">
        <v>805</v>
      </c>
    </row>
    <row r="6235" spans="1:18" x14ac:dyDescent="0.3">
      <c r="A6235" t="s">
        <v>627</v>
      </c>
      <c r="B6235" s="16">
        <v>45579</v>
      </c>
      <c r="C6235" t="s">
        <v>3</v>
      </c>
      <c r="D6235" t="s">
        <v>153</v>
      </c>
      <c r="E6235">
        <v>566</v>
      </c>
      <c r="F6235">
        <v>132</v>
      </c>
      <c r="G6235">
        <v>65</v>
      </c>
      <c r="H6235">
        <v>7</v>
      </c>
      <c r="I6235">
        <v>183718.77</v>
      </c>
      <c r="J6235">
        <v>34</v>
      </c>
      <c r="K6235">
        <v>164683.76999999999</v>
      </c>
      <c r="L6235">
        <v>31</v>
      </c>
      <c r="M6235">
        <v>155</v>
      </c>
      <c r="N6235">
        <v>553</v>
      </c>
      <c r="O6235">
        <f t="shared" si="202"/>
        <v>2024</v>
      </c>
      <c r="P6235">
        <f t="shared" si="203"/>
        <v>10</v>
      </c>
      <c r="Q6235" t="s">
        <v>785</v>
      </c>
      <c r="R6235" t="s">
        <v>805</v>
      </c>
    </row>
    <row r="6236" spans="1:18" x14ac:dyDescent="0.3">
      <c r="A6236" t="s">
        <v>627</v>
      </c>
      <c r="B6236" s="16">
        <v>45579</v>
      </c>
      <c r="C6236" t="s">
        <v>3</v>
      </c>
      <c r="D6236" t="s">
        <v>152</v>
      </c>
      <c r="E6236">
        <v>3</v>
      </c>
      <c r="F6236">
        <v>1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2</v>
      </c>
      <c r="O6236">
        <f t="shared" si="202"/>
        <v>2024</v>
      </c>
      <c r="P6236">
        <f t="shared" si="203"/>
        <v>10</v>
      </c>
      <c r="Q6236" t="s">
        <v>785</v>
      </c>
      <c r="R6236" t="s">
        <v>805</v>
      </c>
    </row>
    <row r="6237" spans="1:18" x14ac:dyDescent="0.3">
      <c r="A6237" t="s">
        <v>627</v>
      </c>
      <c r="B6237" s="16">
        <v>45579</v>
      </c>
      <c r="C6237" t="s">
        <v>3</v>
      </c>
      <c r="D6237" t="s">
        <v>150</v>
      </c>
      <c r="E6237">
        <v>1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1</v>
      </c>
      <c r="O6237">
        <f t="shared" si="202"/>
        <v>2024</v>
      </c>
      <c r="P6237">
        <f t="shared" si="203"/>
        <v>10</v>
      </c>
      <c r="Q6237" t="s">
        <v>785</v>
      </c>
      <c r="R6237" t="s">
        <v>805</v>
      </c>
    </row>
    <row r="6238" spans="1:18" x14ac:dyDescent="0.3">
      <c r="A6238" t="s">
        <v>627</v>
      </c>
      <c r="B6238" s="16">
        <v>45579</v>
      </c>
      <c r="C6238" t="s">
        <v>3</v>
      </c>
      <c r="D6238" t="s">
        <v>149</v>
      </c>
      <c r="E6238">
        <v>24</v>
      </c>
      <c r="F6238">
        <v>15</v>
      </c>
      <c r="G6238">
        <v>2</v>
      </c>
      <c r="H6238">
        <v>2</v>
      </c>
      <c r="I6238">
        <v>3990</v>
      </c>
      <c r="J6238">
        <v>1</v>
      </c>
      <c r="K6238">
        <v>3990</v>
      </c>
      <c r="L6238">
        <v>1</v>
      </c>
      <c r="M6238">
        <v>2</v>
      </c>
      <c r="N6238">
        <v>21</v>
      </c>
      <c r="O6238">
        <f t="shared" si="202"/>
        <v>2024</v>
      </c>
      <c r="P6238">
        <f t="shared" si="203"/>
        <v>10</v>
      </c>
      <c r="Q6238" t="s">
        <v>785</v>
      </c>
      <c r="R6238" t="s">
        <v>805</v>
      </c>
    </row>
    <row r="6239" spans="1:18" x14ac:dyDescent="0.3">
      <c r="A6239" t="s">
        <v>627</v>
      </c>
      <c r="B6239" s="16">
        <v>45579</v>
      </c>
      <c r="C6239" t="s">
        <v>3</v>
      </c>
      <c r="D6239" t="s">
        <v>148</v>
      </c>
      <c r="E6239">
        <v>3</v>
      </c>
      <c r="F6239">
        <v>2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1</v>
      </c>
      <c r="N6239">
        <v>2</v>
      </c>
      <c r="O6239">
        <f t="shared" si="202"/>
        <v>2024</v>
      </c>
      <c r="P6239">
        <f t="shared" si="203"/>
        <v>10</v>
      </c>
      <c r="Q6239" t="s">
        <v>785</v>
      </c>
      <c r="R6239" t="s">
        <v>805</v>
      </c>
    </row>
    <row r="6240" spans="1:18" x14ac:dyDescent="0.3">
      <c r="A6240" t="s">
        <v>627</v>
      </c>
      <c r="B6240" s="16">
        <v>45579</v>
      </c>
      <c r="C6240" t="s">
        <v>3</v>
      </c>
      <c r="D6240" t="s">
        <v>367</v>
      </c>
      <c r="E6240">
        <v>20</v>
      </c>
      <c r="F6240">
        <v>18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20</v>
      </c>
      <c r="O6240">
        <f t="shared" si="202"/>
        <v>2024</v>
      </c>
      <c r="P6240">
        <f t="shared" si="203"/>
        <v>10</v>
      </c>
      <c r="Q6240" t="s">
        <v>785</v>
      </c>
      <c r="R6240" t="s">
        <v>805</v>
      </c>
    </row>
    <row r="6241" spans="1:18" x14ac:dyDescent="0.3">
      <c r="A6241" t="s">
        <v>627</v>
      </c>
      <c r="B6241" s="16">
        <v>45579</v>
      </c>
      <c r="C6241" t="s">
        <v>3</v>
      </c>
      <c r="D6241" t="s">
        <v>251</v>
      </c>
      <c r="E6241">
        <v>1300</v>
      </c>
      <c r="F6241">
        <v>1045</v>
      </c>
      <c r="G6241">
        <v>10</v>
      </c>
      <c r="H6241">
        <v>5</v>
      </c>
      <c r="I6241">
        <v>58048</v>
      </c>
      <c r="J6241">
        <v>6</v>
      </c>
      <c r="K6241">
        <v>58048</v>
      </c>
      <c r="L6241">
        <v>6</v>
      </c>
      <c r="M6241">
        <v>84</v>
      </c>
      <c r="N6241">
        <v>336</v>
      </c>
      <c r="O6241">
        <f t="shared" si="202"/>
        <v>2024</v>
      </c>
      <c r="P6241">
        <f t="shared" si="203"/>
        <v>10</v>
      </c>
      <c r="Q6241" t="s">
        <v>785</v>
      </c>
      <c r="R6241" t="s">
        <v>805</v>
      </c>
    </row>
    <row r="6242" spans="1:18" x14ac:dyDescent="0.3">
      <c r="A6242" t="s">
        <v>627</v>
      </c>
      <c r="B6242" s="16">
        <v>45579</v>
      </c>
      <c r="C6242" t="s">
        <v>3</v>
      </c>
      <c r="D6242" t="s">
        <v>143</v>
      </c>
      <c r="E6242">
        <v>23</v>
      </c>
      <c r="F6242">
        <v>21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23</v>
      </c>
      <c r="O6242">
        <f t="shared" si="202"/>
        <v>2024</v>
      </c>
      <c r="P6242">
        <f t="shared" si="203"/>
        <v>10</v>
      </c>
      <c r="Q6242" t="s">
        <v>785</v>
      </c>
      <c r="R6242" t="s">
        <v>805</v>
      </c>
    </row>
    <row r="6243" spans="1:18" x14ac:dyDescent="0.3">
      <c r="A6243" t="s">
        <v>627</v>
      </c>
      <c r="B6243" s="16">
        <v>45579</v>
      </c>
      <c r="C6243" t="s">
        <v>3</v>
      </c>
      <c r="D6243" t="s">
        <v>141</v>
      </c>
      <c r="E6243">
        <v>6</v>
      </c>
      <c r="F6243">
        <v>5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1</v>
      </c>
      <c r="N6243">
        <v>5</v>
      </c>
      <c r="O6243">
        <f t="shared" si="202"/>
        <v>2024</v>
      </c>
      <c r="P6243">
        <f t="shared" si="203"/>
        <v>10</v>
      </c>
      <c r="Q6243" t="s">
        <v>785</v>
      </c>
      <c r="R6243" t="s">
        <v>805</v>
      </c>
    </row>
    <row r="6244" spans="1:18" x14ac:dyDescent="0.3">
      <c r="A6244" t="s">
        <v>627</v>
      </c>
      <c r="B6244" s="16">
        <v>45579</v>
      </c>
      <c r="C6244" t="s">
        <v>3</v>
      </c>
      <c r="D6244" t="s">
        <v>140</v>
      </c>
      <c r="E6244">
        <v>5</v>
      </c>
      <c r="F6244">
        <v>4</v>
      </c>
      <c r="G6244">
        <v>2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5</v>
      </c>
      <c r="O6244">
        <f t="shared" si="202"/>
        <v>2024</v>
      </c>
      <c r="P6244">
        <f t="shared" si="203"/>
        <v>10</v>
      </c>
      <c r="Q6244" t="s">
        <v>785</v>
      </c>
      <c r="R6244" t="s">
        <v>805</v>
      </c>
    </row>
    <row r="6245" spans="1:18" x14ac:dyDescent="0.3">
      <c r="A6245" t="s">
        <v>627</v>
      </c>
      <c r="B6245" s="16">
        <v>45579</v>
      </c>
      <c r="C6245" t="s">
        <v>3</v>
      </c>
      <c r="D6245" t="s">
        <v>139</v>
      </c>
      <c r="E6245">
        <v>921</v>
      </c>
      <c r="F6245">
        <v>547</v>
      </c>
      <c r="G6245">
        <v>57</v>
      </c>
      <c r="H6245">
        <v>16</v>
      </c>
      <c r="I6245">
        <v>92833</v>
      </c>
      <c r="J6245">
        <v>17</v>
      </c>
      <c r="K6245">
        <v>87843</v>
      </c>
      <c r="L6245">
        <v>16</v>
      </c>
      <c r="M6245">
        <v>574</v>
      </c>
      <c r="N6245">
        <v>572</v>
      </c>
      <c r="O6245">
        <f t="shared" si="202"/>
        <v>2024</v>
      </c>
      <c r="P6245">
        <f t="shared" si="203"/>
        <v>10</v>
      </c>
      <c r="Q6245" t="s">
        <v>785</v>
      </c>
      <c r="R6245" t="s">
        <v>805</v>
      </c>
    </row>
    <row r="6246" spans="1:18" x14ac:dyDescent="0.3">
      <c r="A6246" t="s">
        <v>627</v>
      </c>
      <c r="B6246" s="16">
        <v>45579</v>
      </c>
      <c r="C6246" t="s">
        <v>3</v>
      </c>
      <c r="D6246" t="s">
        <v>138</v>
      </c>
      <c r="E6246">
        <v>37</v>
      </c>
      <c r="F6246">
        <v>26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4</v>
      </c>
      <c r="N6246">
        <v>35</v>
      </c>
      <c r="O6246">
        <f t="shared" si="202"/>
        <v>2024</v>
      </c>
      <c r="P6246">
        <f t="shared" si="203"/>
        <v>10</v>
      </c>
      <c r="Q6246" t="s">
        <v>785</v>
      </c>
      <c r="R6246" t="s">
        <v>805</v>
      </c>
    </row>
    <row r="6247" spans="1:18" x14ac:dyDescent="0.3">
      <c r="A6247" t="s">
        <v>627</v>
      </c>
      <c r="B6247" s="16">
        <v>45579</v>
      </c>
      <c r="C6247" t="s">
        <v>3</v>
      </c>
      <c r="D6247" t="s">
        <v>137</v>
      </c>
      <c r="E6247">
        <v>3</v>
      </c>
      <c r="F6247">
        <v>2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3</v>
      </c>
      <c r="O6247">
        <f t="shared" si="202"/>
        <v>2024</v>
      </c>
      <c r="P6247">
        <f t="shared" si="203"/>
        <v>10</v>
      </c>
      <c r="Q6247" t="s">
        <v>785</v>
      </c>
      <c r="R6247" t="s">
        <v>805</v>
      </c>
    </row>
    <row r="6248" spans="1:18" x14ac:dyDescent="0.3">
      <c r="A6248" t="s">
        <v>627</v>
      </c>
      <c r="B6248" s="16">
        <v>45579</v>
      </c>
      <c r="C6248" t="s">
        <v>3</v>
      </c>
      <c r="D6248" t="s">
        <v>135</v>
      </c>
      <c r="E6248">
        <v>2</v>
      </c>
      <c r="F6248">
        <v>2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2</v>
      </c>
      <c r="O6248">
        <f t="shared" si="202"/>
        <v>2024</v>
      </c>
      <c r="P6248">
        <f t="shared" si="203"/>
        <v>10</v>
      </c>
      <c r="Q6248" t="s">
        <v>785</v>
      </c>
      <c r="R6248" t="s">
        <v>805</v>
      </c>
    </row>
    <row r="6249" spans="1:18" x14ac:dyDescent="0.3">
      <c r="A6249" t="s">
        <v>627</v>
      </c>
      <c r="B6249" s="16">
        <v>45579</v>
      </c>
      <c r="C6249" t="s">
        <v>3</v>
      </c>
      <c r="D6249" t="s">
        <v>133</v>
      </c>
      <c r="E6249">
        <v>31</v>
      </c>
      <c r="F6249">
        <v>21</v>
      </c>
      <c r="G6249">
        <v>5</v>
      </c>
      <c r="H6249">
        <v>1</v>
      </c>
      <c r="I6249">
        <v>0</v>
      </c>
      <c r="J6249">
        <v>0</v>
      </c>
      <c r="K6249">
        <v>0</v>
      </c>
      <c r="L6249">
        <v>0</v>
      </c>
      <c r="M6249">
        <v>9</v>
      </c>
      <c r="N6249">
        <v>27</v>
      </c>
      <c r="O6249">
        <f t="shared" si="202"/>
        <v>2024</v>
      </c>
      <c r="P6249">
        <f t="shared" si="203"/>
        <v>10</v>
      </c>
      <c r="Q6249" t="s">
        <v>785</v>
      </c>
      <c r="R6249" t="s">
        <v>805</v>
      </c>
    </row>
    <row r="6250" spans="1:18" x14ac:dyDescent="0.3">
      <c r="A6250" t="s">
        <v>627</v>
      </c>
      <c r="B6250" s="16">
        <v>45579</v>
      </c>
      <c r="C6250" t="s">
        <v>3</v>
      </c>
      <c r="D6250" t="s">
        <v>130</v>
      </c>
      <c r="E6250">
        <v>137</v>
      </c>
      <c r="F6250">
        <v>56</v>
      </c>
      <c r="G6250">
        <v>21</v>
      </c>
      <c r="H6250">
        <v>4</v>
      </c>
      <c r="I6250">
        <v>22688</v>
      </c>
      <c r="J6250">
        <v>5</v>
      </c>
      <c r="K6250">
        <v>22688</v>
      </c>
      <c r="L6250">
        <v>5</v>
      </c>
      <c r="M6250">
        <v>50</v>
      </c>
      <c r="N6250">
        <v>126</v>
      </c>
      <c r="O6250">
        <f t="shared" si="202"/>
        <v>2024</v>
      </c>
      <c r="P6250">
        <f t="shared" si="203"/>
        <v>10</v>
      </c>
      <c r="Q6250" t="s">
        <v>785</v>
      </c>
      <c r="R6250" t="s">
        <v>805</v>
      </c>
    </row>
    <row r="6251" spans="1:18" x14ac:dyDescent="0.3">
      <c r="A6251" t="s">
        <v>627</v>
      </c>
      <c r="B6251" s="16">
        <v>45579</v>
      </c>
      <c r="C6251" t="s">
        <v>3</v>
      </c>
      <c r="D6251" t="s">
        <v>128</v>
      </c>
      <c r="E6251">
        <v>663</v>
      </c>
      <c r="F6251">
        <v>503</v>
      </c>
      <c r="G6251">
        <v>26</v>
      </c>
      <c r="H6251">
        <v>15</v>
      </c>
      <c r="I6251">
        <v>12025</v>
      </c>
      <c r="J6251">
        <v>5</v>
      </c>
      <c r="K6251">
        <v>5050</v>
      </c>
      <c r="L6251">
        <v>3</v>
      </c>
      <c r="M6251">
        <v>240</v>
      </c>
      <c r="N6251">
        <v>551</v>
      </c>
      <c r="O6251">
        <f t="shared" si="202"/>
        <v>2024</v>
      </c>
      <c r="P6251">
        <f t="shared" si="203"/>
        <v>10</v>
      </c>
      <c r="Q6251" t="s">
        <v>785</v>
      </c>
      <c r="R6251" t="s">
        <v>805</v>
      </c>
    </row>
    <row r="6252" spans="1:18" x14ac:dyDescent="0.3">
      <c r="A6252" t="s">
        <v>627</v>
      </c>
      <c r="B6252" s="16">
        <v>45579</v>
      </c>
      <c r="C6252" t="s">
        <v>3</v>
      </c>
      <c r="D6252" t="s">
        <v>127</v>
      </c>
      <c r="E6252">
        <v>1400</v>
      </c>
      <c r="F6252">
        <v>767</v>
      </c>
      <c r="G6252">
        <v>34</v>
      </c>
      <c r="H6252">
        <v>12</v>
      </c>
      <c r="I6252">
        <v>34795</v>
      </c>
      <c r="J6252">
        <v>4</v>
      </c>
      <c r="K6252">
        <v>15720</v>
      </c>
      <c r="L6252">
        <v>2</v>
      </c>
      <c r="M6252">
        <v>180</v>
      </c>
      <c r="N6252">
        <v>1189</v>
      </c>
      <c r="O6252">
        <f t="shared" si="202"/>
        <v>2024</v>
      </c>
      <c r="P6252">
        <f t="shared" si="203"/>
        <v>10</v>
      </c>
      <c r="Q6252" t="s">
        <v>785</v>
      </c>
      <c r="R6252" t="s">
        <v>805</v>
      </c>
    </row>
    <row r="6253" spans="1:18" x14ac:dyDescent="0.3">
      <c r="A6253" t="s">
        <v>627</v>
      </c>
      <c r="B6253" s="16">
        <v>45579</v>
      </c>
      <c r="C6253" t="s">
        <v>3</v>
      </c>
      <c r="D6253" t="s">
        <v>126</v>
      </c>
      <c r="E6253">
        <v>137</v>
      </c>
      <c r="F6253">
        <v>87</v>
      </c>
      <c r="G6253">
        <v>3</v>
      </c>
      <c r="H6253">
        <v>8</v>
      </c>
      <c r="I6253">
        <v>10905</v>
      </c>
      <c r="J6253">
        <v>1</v>
      </c>
      <c r="K6253">
        <v>10905</v>
      </c>
      <c r="L6253">
        <v>1</v>
      </c>
      <c r="M6253">
        <v>19</v>
      </c>
      <c r="N6253">
        <v>135</v>
      </c>
      <c r="O6253">
        <f t="shared" si="202"/>
        <v>2024</v>
      </c>
      <c r="P6253">
        <f t="shared" si="203"/>
        <v>10</v>
      </c>
      <c r="Q6253" t="s">
        <v>785</v>
      </c>
      <c r="R6253" t="s">
        <v>805</v>
      </c>
    </row>
    <row r="6254" spans="1:18" x14ac:dyDescent="0.3">
      <c r="A6254" t="s">
        <v>627</v>
      </c>
      <c r="B6254" s="16">
        <v>45579</v>
      </c>
      <c r="C6254" t="s">
        <v>3</v>
      </c>
      <c r="D6254" t="s">
        <v>125</v>
      </c>
      <c r="E6254">
        <v>11</v>
      </c>
      <c r="F6254">
        <v>5</v>
      </c>
      <c r="G6254">
        <v>1</v>
      </c>
      <c r="H6254">
        <v>0</v>
      </c>
      <c r="I6254">
        <v>5475</v>
      </c>
      <c r="J6254">
        <v>1</v>
      </c>
      <c r="K6254">
        <v>5475</v>
      </c>
      <c r="L6254">
        <v>1</v>
      </c>
      <c r="M6254">
        <v>3</v>
      </c>
      <c r="N6254">
        <v>11</v>
      </c>
      <c r="O6254">
        <f t="shared" si="202"/>
        <v>2024</v>
      </c>
      <c r="P6254">
        <f t="shared" si="203"/>
        <v>10</v>
      </c>
      <c r="Q6254" t="s">
        <v>785</v>
      </c>
      <c r="R6254" t="s">
        <v>805</v>
      </c>
    </row>
    <row r="6255" spans="1:18" x14ac:dyDescent="0.3">
      <c r="A6255" t="s">
        <v>627</v>
      </c>
      <c r="B6255" s="16">
        <v>45579</v>
      </c>
      <c r="C6255" t="s">
        <v>3</v>
      </c>
      <c r="D6255" t="s">
        <v>123</v>
      </c>
      <c r="E6255">
        <v>367</v>
      </c>
      <c r="F6255">
        <v>166</v>
      </c>
      <c r="G6255">
        <v>24</v>
      </c>
      <c r="H6255">
        <v>7</v>
      </c>
      <c r="I6255">
        <v>24175</v>
      </c>
      <c r="J6255">
        <v>4</v>
      </c>
      <c r="K6255">
        <v>24175</v>
      </c>
      <c r="L6255">
        <v>4</v>
      </c>
      <c r="M6255">
        <v>123</v>
      </c>
      <c r="N6255">
        <v>312</v>
      </c>
      <c r="O6255">
        <f t="shared" si="202"/>
        <v>2024</v>
      </c>
      <c r="P6255">
        <f t="shared" si="203"/>
        <v>10</v>
      </c>
      <c r="Q6255" t="s">
        <v>785</v>
      </c>
      <c r="R6255" t="s">
        <v>805</v>
      </c>
    </row>
    <row r="6256" spans="1:18" x14ac:dyDescent="0.3">
      <c r="A6256" t="s">
        <v>627</v>
      </c>
      <c r="B6256" s="16">
        <v>45579</v>
      </c>
      <c r="C6256" t="s">
        <v>3</v>
      </c>
      <c r="D6256" t="s">
        <v>121</v>
      </c>
      <c r="E6256">
        <v>5</v>
      </c>
      <c r="F6256">
        <v>5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3</v>
      </c>
      <c r="N6256">
        <v>2</v>
      </c>
      <c r="O6256">
        <f t="shared" si="202"/>
        <v>2024</v>
      </c>
      <c r="P6256">
        <f t="shared" si="203"/>
        <v>10</v>
      </c>
      <c r="Q6256" t="s">
        <v>785</v>
      </c>
      <c r="R6256" t="s">
        <v>805</v>
      </c>
    </row>
    <row r="6257" spans="1:18" x14ac:dyDescent="0.3">
      <c r="A6257" t="s">
        <v>627</v>
      </c>
      <c r="B6257" s="16">
        <v>45579</v>
      </c>
      <c r="C6257" t="s">
        <v>3</v>
      </c>
      <c r="D6257" t="s">
        <v>120</v>
      </c>
      <c r="E6257">
        <v>284</v>
      </c>
      <c r="F6257">
        <v>166</v>
      </c>
      <c r="G6257">
        <v>9</v>
      </c>
      <c r="H6257">
        <v>0</v>
      </c>
      <c r="I6257">
        <v>16760</v>
      </c>
      <c r="J6257">
        <v>4</v>
      </c>
      <c r="K6257">
        <v>16760</v>
      </c>
      <c r="L6257">
        <v>4</v>
      </c>
      <c r="M6257">
        <v>48</v>
      </c>
      <c r="N6257">
        <v>276</v>
      </c>
      <c r="O6257">
        <f t="shared" si="202"/>
        <v>2024</v>
      </c>
      <c r="P6257">
        <f t="shared" si="203"/>
        <v>10</v>
      </c>
      <c r="Q6257" t="s">
        <v>785</v>
      </c>
      <c r="R6257" t="s">
        <v>805</v>
      </c>
    </row>
    <row r="6258" spans="1:18" x14ac:dyDescent="0.3">
      <c r="A6258" t="s">
        <v>627</v>
      </c>
      <c r="B6258" s="16">
        <v>45579</v>
      </c>
      <c r="C6258" t="s">
        <v>3</v>
      </c>
      <c r="D6258" t="s">
        <v>119</v>
      </c>
      <c r="E6258">
        <v>279</v>
      </c>
      <c r="F6258">
        <v>75</v>
      </c>
      <c r="G6258">
        <v>30</v>
      </c>
      <c r="H6258">
        <v>7</v>
      </c>
      <c r="I6258">
        <v>54127</v>
      </c>
      <c r="J6258">
        <v>12</v>
      </c>
      <c r="K6258">
        <v>48467</v>
      </c>
      <c r="L6258">
        <v>11</v>
      </c>
      <c r="M6258">
        <v>70</v>
      </c>
      <c r="N6258">
        <v>271</v>
      </c>
      <c r="O6258">
        <f t="shared" si="202"/>
        <v>2024</v>
      </c>
      <c r="P6258">
        <f t="shared" si="203"/>
        <v>10</v>
      </c>
      <c r="Q6258" t="s">
        <v>785</v>
      </c>
      <c r="R6258" t="s">
        <v>805</v>
      </c>
    </row>
    <row r="6259" spans="1:18" x14ac:dyDescent="0.3">
      <c r="A6259" t="s">
        <v>627</v>
      </c>
      <c r="B6259" s="16">
        <v>45579</v>
      </c>
      <c r="C6259" t="s">
        <v>3</v>
      </c>
      <c r="D6259" t="s">
        <v>115</v>
      </c>
      <c r="E6259">
        <v>6</v>
      </c>
      <c r="F6259">
        <v>2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1</v>
      </c>
      <c r="N6259">
        <v>6</v>
      </c>
      <c r="O6259">
        <f t="shared" si="202"/>
        <v>2024</v>
      </c>
      <c r="P6259">
        <f t="shared" si="203"/>
        <v>10</v>
      </c>
      <c r="Q6259" t="s">
        <v>785</v>
      </c>
      <c r="R6259" t="s">
        <v>805</v>
      </c>
    </row>
    <row r="6260" spans="1:18" x14ac:dyDescent="0.3">
      <c r="A6260" t="s">
        <v>627</v>
      </c>
      <c r="B6260" s="16">
        <v>45579</v>
      </c>
      <c r="C6260" t="s">
        <v>3</v>
      </c>
      <c r="D6260" t="s">
        <v>114</v>
      </c>
      <c r="E6260">
        <v>61</v>
      </c>
      <c r="F6260">
        <v>44</v>
      </c>
      <c r="G6260">
        <v>0</v>
      </c>
      <c r="H6260">
        <v>2</v>
      </c>
      <c r="I6260">
        <v>0</v>
      </c>
      <c r="J6260">
        <v>0</v>
      </c>
      <c r="K6260">
        <v>0</v>
      </c>
      <c r="L6260">
        <v>0</v>
      </c>
      <c r="M6260">
        <v>6</v>
      </c>
      <c r="N6260">
        <v>53</v>
      </c>
      <c r="O6260">
        <f t="shared" si="202"/>
        <v>2024</v>
      </c>
      <c r="P6260">
        <f t="shared" si="203"/>
        <v>10</v>
      </c>
      <c r="Q6260" t="s">
        <v>785</v>
      </c>
      <c r="R6260" t="s">
        <v>805</v>
      </c>
    </row>
    <row r="6261" spans="1:18" x14ac:dyDescent="0.3">
      <c r="A6261" t="s">
        <v>627</v>
      </c>
      <c r="B6261" s="16">
        <v>45579</v>
      </c>
      <c r="C6261" t="s">
        <v>3</v>
      </c>
      <c r="D6261" t="s">
        <v>113</v>
      </c>
      <c r="E6261">
        <v>135</v>
      </c>
      <c r="F6261">
        <v>78</v>
      </c>
      <c r="G6261">
        <v>6</v>
      </c>
      <c r="H6261">
        <v>5</v>
      </c>
      <c r="I6261">
        <v>3990</v>
      </c>
      <c r="J6261">
        <v>1</v>
      </c>
      <c r="K6261">
        <v>3990</v>
      </c>
      <c r="L6261">
        <v>1</v>
      </c>
      <c r="M6261">
        <v>117</v>
      </c>
      <c r="N6261">
        <v>79</v>
      </c>
      <c r="O6261">
        <f t="shared" si="202"/>
        <v>2024</v>
      </c>
      <c r="P6261">
        <f t="shared" si="203"/>
        <v>10</v>
      </c>
      <c r="Q6261" t="s">
        <v>785</v>
      </c>
      <c r="R6261" t="s">
        <v>805</v>
      </c>
    </row>
    <row r="6262" spans="1:18" x14ac:dyDescent="0.3">
      <c r="A6262" t="s">
        <v>627</v>
      </c>
      <c r="B6262" s="16">
        <v>45579</v>
      </c>
      <c r="C6262" t="s">
        <v>3</v>
      </c>
      <c r="D6262" t="s">
        <v>112</v>
      </c>
      <c r="E6262">
        <v>10</v>
      </c>
      <c r="F6262">
        <v>1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1</v>
      </c>
      <c r="N6262">
        <v>10</v>
      </c>
      <c r="O6262">
        <f t="shared" si="202"/>
        <v>2024</v>
      </c>
      <c r="P6262">
        <f t="shared" si="203"/>
        <v>10</v>
      </c>
      <c r="Q6262" t="s">
        <v>785</v>
      </c>
      <c r="R6262" t="s">
        <v>805</v>
      </c>
    </row>
    <row r="6263" spans="1:18" x14ac:dyDescent="0.3">
      <c r="A6263" t="s">
        <v>627</v>
      </c>
      <c r="B6263" s="16">
        <v>45579</v>
      </c>
      <c r="C6263" t="s">
        <v>3</v>
      </c>
      <c r="D6263" t="s">
        <v>111</v>
      </c>
      <c r="E6263">
        <v>5</v>
      </c>
      <c r="F6263">
        <v>3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5</v>
      </c>
      <c r="O6263">
        <f t="shared" si="202"/>
        <v>2024</v>
      </c>
      <c r="P6263">
        <f t="shared" si="203"/>
        <v>10</v>
      </c>
      <c r="Q6263" t="s">
        <v>785</v>
      </c>
      <c r="R6263" t="s">
        <v>805</v>
      </c>
    </row>
    <row r="6264" spans="1:18" x14ac:dyDescent="0.3">
      <c r="A6264" t="s">
        <v>627</v>
      </c>
      <c r="B6264" s="16">
        <v>45578</v>
      </c>
      <c r="C6264" t="s">
        <v>2</v>
      </c>
      <c r="D6264" t="s">
        <v>4</v>
      </c>
      <c r="E6264">
        <v>1216</v>
      </c>
      <c r="F6264">
        <v>551</v>
      </c>
      <c r="G6264">
        <v>58</v>
      </c>
      <c r="H6264">
        <v>3</v>
      </c>
      <c r="I6264">
        <v>21170</v>
      </c>
      <c r="J6264">
        <v>4</v>
      </c>
      <c r="K6264">
        <v>6475</v>
      </c>
      <c r="L6264">
        <v>2</v>
      </c>
      <c r="M6264">
        <v>22</v>
      </c>
      <c r="N6264">
        <v>1204</v>
      </c>
      <c r="O6264">
        <f t="shared" si="202"/>
        <v>2024</v>
      </c>
      <c r="P6264">
        <f t="shared" si="203"/>
        <v>10</v>
      </c>
      <c r="Q6264" t="s">
        <v>785</v>
      </c>
      <c r="R6264" t="s">
        <v>805</v>
      </c>
    </row>
    <row r="6265" spans="1:18" x14ac:dyDescent="0.3">
      <c r="A6265" t="s">
        <v>627</v>
      </c>
      <c r="B6265" s="16">
        <v>45578</v>
      </c>
      <c r="C6265" t="s">
        <v>2</v>
      </c>
      <c r="D6265" t="s">
        <v>57</v>
      </c>
      <c r="E6265">
        <v>13502</v>
      </c>
      <c r="F6265">
        <v>8370</v>
      </c>
      <c r="G6265">
        <v>308</v>
      </c>
      <c r="H6265">
        <v>153</v>
      </c>
      <c r="I6265">
        <v>194866</v>
      </c>
      <c r="J6265">
        <v>41</v>
      </c>
      <c r="K6265">
        <v>114512</v>
      </c>
      <c r="L6265">
        <v>30</v>
      </c>
      <c r="M6265">
        <v>942</v>
      </c>
      <c r="N6265">
        <v>13465</v>
      </c>
      <c r="O6265">
        <f t="shared" si="202"/>
        <v>2024</v>
      </c>
      <c r="P6265">
        <f t="shared" si="203"/>
        <v>10</v>
      </c>
      <c r="Q6265" t="s">
        <v>785</v>
      </c>
      <c r="R6265" t="s">
        <v>805</v>
      </c>
    </row>
    <row r="6266" spans="1:18" x14ac:dyDescent="0.3">
      <c r="A6266" t="s">
        <v>627</v>
      </c>
      <c r="B6266" s="16">
        <v>45578</v>
      </c>
      <c r="C6266" t="s">
        <v>2</v>
      </c>
      <c r="D6266" t="s">
        <v>52</v>
      </c>
      <c r="E6266">
        <v>2834</v>
      </c>
      <c r="F6266">
        <v>2400</v>
      </c>
      <c r="G6266">
        <v>26</v>
      </c>
      <c r="H6266">
        <v>9</v>
      </c>
      <c r="I6266">
        <v>52088</v>
      </c>
      <c r="J6266">
        <v>7</v>
      </c>
      <c r="K6266">
        <v>34200</v>
      </c>
      <c r="L6266">
        <v>3</v>
      </c>
      <c r="M6266">
        <v>2834</v>
      </c>
      <c r="N6266">
        <v>865</v>
      </c>
      <c r="O6266">
        <f t="shared" si="202"/>
        <v>2024</v>
      </c>
      <c r="P6266">
        <f t="shared" si="203"/>
        <v>10</v>
      </c>
      <c r="Q6266" t="s">
        <v>785</v>
      </c>
      <c r="R6266" t="s">
        <v>805</v>
      </c>
    </row>
    <row r="6267" spans="1:18" x14ac:dyDescent="0.3">
      <c r="A6267" t="s">
        <v>627</v>
      </c>
      <c r="B6267" s="16">
        <v>45578</v>
      </c>
      <c r="C6267" t="s">
        <v>2</v>
      </c>
      <c r="D6267" t="s">
        <v>55</v>
      </c>
      <c r="E6267">
        <v>21</v>
      </c>
      <c r="F6267">
        <v>14</v>
      </c>
      <c r="G6267">
        <v>3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2</v>
      </c>
      <c r="N6267">
        <v>19</v>
      </c>
      <c r="O6267">
        <f t="shared" si="202"/>
        <v>2024</v>
      </c>
      <c r="P6267">
        <f t="shared" si="203"/>
        <v>10</v>
      </c>
      <c r="Q6267" t="s">
        <v>785</v>
      </c>
      <c r="R6267" t="s">
        <v>805</v>
      </c>
    </row>
    <row r="6268" spans="1:18" x14ac:dyDescent="0.3">
      <c r="A6268" t="s">
        <v>627</v>
      </c>
      <c r="B6268" s="16">
        <v>45578</v>
      </c>
      <c r="C6268" t="s">
        <v>3</v>
      </c>
      <c r="D6268" t="s">
        <v>155</v>
      </c>
      <c r="E6268">
        <v>9</v>
      </c>
      <c r="F6268">
        <v>6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9</v>
      </c>
      <c r="O6268">
        <f t="shared" si="202"/>
        <v>2024</v>
      </c>
      <c r="P6268">
        <f t="shared" si="203"/>
        <v>10</v>
      </c>
      <c r="Q6268" t="s">
        <v>785</v>
      </c>
      <c r="R6268" t="s">
        <v>805</v>
      </c>
    </row>
    <row r="6269" spans="1:18" x14ac:dyDescent="0.3">
      <c r="A6269" t="s">
        <v>627</v>
      </c>
      <c r="B6269" s="16">
        <v>45578</v>
      </c>
      <c r="C6269" t="s">
        <v>3</v>
      </c>
      <c r="D6269" t="s">
        <v>154</v>
      </c>
      <c r="E6269">
        <v>4</v>
      </c>
      <c r="F6269">
        <v>1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f t="shared" si="202"/>
        <v>2024</v>
      </c>
      <c r="P6269">
        <f t="shared" si="203"/>
        <v>10</v>
      </c>
      <c r="Q6269" t="s">
        <v>785</v>
      </c>
      <c r="R6269" t="s">
        <v>805</v>
      </c>
    </row>
    <row r="6270" spans="1:18" x14ac:dyDescent="0.3">
      <c r="A6270" t="s">
        <v>627</v>
      </c>
      <c r="B6270" s="16">
        <v>45578</v>
      </c>
      <c r="C6270" t="s">
        <v>3</v>
      </c>
      <c r="D6270" t="s">
        <v>153</v>
      </c>
      <c r="E6270">
        <v>400</v>
      </c>
      <c r="F6270">
        <v>105</v>
      </c>
      <c r="G6270">
        <v>40</v>
      </c>
      <c r="H6270">
        <v>4</v>
      </c>
      <c r="I6270">
        <v>108729</v>
      </c>
      <c r="J6270">
        <v>27</v>
      </c>
      <c r="K6270">
        <v>104301</v>
      </c>
      <c r="L6270">
        <v>25</v>
      </c>
      <c r="M6270">
        <v>111</v>
      </c>
      <c r="N6270">
        <v>385</v>
      </c>
      <c r="O6270">
        <f t="shared" si="202"/>
        <v>2024</v>
      </c>
      <c r="P6270">
        <f t="shared" si="203"/>
        <v>10</v>
      </c>
      <c r="Q6270" t="s">
        <v>785</v>
      </c>
      <c r="R6270" t="s">
        <v>805</v>
      </c>
    </row>
    <row r="6271" spans="1:18" x14ac:dyDescent="0.3">
      <c r="A6271" t="s">
        <v>627</v>
      </c>
      <c r="B6271" s="16">
        <v>45578</v>
      </c>
      <c r="C6271" t="s">
        <v>3</v>
      </c>
      <c r="D6271" t="s">
        <v>152</v>
      </c>
      <c r="E6271">
        <v>3</v>
      </c>
      <c r="F6271">
        <v>1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2</v>
      </c>
      <c r="O6271">
        <f t="shared" si="202"/>
        <v>2024</v>
      </c>
      <c r="P6271">
        <f t="shared" si="203"/>
        <v>10</v>
      </c>
      <c r="Q6271" t="s">
        <v>785</v>
      </c>
      <c r="R6271" t="s">
        <v>805</v>
      </c>
    </row>
    <row r="6272" spans="1:18" x14ac:dyDescent="0.3">
      <c r="A6272" t="s">
        <v>627</v>
      </c>
      <c r="B6272" s="16">
        <v>45578</v>
      </c>
      <c r="C6272" t="s">
        <v>3</v>
      </c>
      <c r="D6272" t="s">
        <v>150</v>
      </c>
      <c r="E6272">
        <v>2</v>
      </c>
      <c r="F6272">
        <v>1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2</v>
      </c>
      <c r="O6272">
        <f t="shared" si="202"/>
        <v>2024</v>
      </c>
      <c r="P6272">
        <f t="shared" si="203"/>
        <v>10</v>
      </c>
      <c r="Q6272" t="s">
        <v>785</v>
      </c>
      <c r="R6272" t="s">
        <v>805</v>
      </c>
    </row>
    <row r="6273" spans="1:18" x14ac:dyDescent="0.3">
      <c r="A6273" t="s">
        <v>627</v>
      </c>
      <c r="B6273" s="16">
        <v>45578</v>
      </c>
      <c r="C6273" t="s">
        <v>3</v>
      </c>
      <c r="D6273" t="s">
        <v>149</v>
      </c>
      <c r="E6273">
        <v>8</v>
      </c>
      <c r="F6273">
        <v>6</v>
      </c>
      <c r="G6273">
        <v>1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8</v>
      </c>
      <c r="O6273">
        <f t="shared" si="202"/>
        <v>2024</v>
      </c>
      <c r="P6273">
        <f t="shared" si="203"/>
        <v>10</v>
      </c>
      <c r="Q6273" t="s">
        <v>785</v>
      </c>
      <c r="R6273" t="s">
        <v>805</v>
      </c>
    </row>
    <row r="6274" spans="1:18" x14ac:dyDescent="0.3">
      <c r="A6274" t="s">
        <v>627</v>
      </c>
      <c r="B6274" s="16">
        <v>45578</v>
      </c>
      <c r="C6274" t="s">
        <v>3</v>
      </c>
      <c r="D6274" t="s">
        <v>148</v>
      </c>
      <c r="E6274">
        <v>3</v>
      </c>
      <c r="F6274">
        <v>2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1</v>
      </c>
      <c r="N6274">
        <v>2</v>
      </c>
      <c r="O6274">
        <f t="shared" si="202"/>
        <v>2024</v>
      </c>
      <c r="P6274">
        <f t="shared" si="203"/>
        <v>10</v>
      </c>
      <c r="Q6274" t="s">
        <v>785</v>
      </c>
      <c r="R6274" t="s">
        <v>805</v>
      </c>
    </row>
    <row r="6275" spans="1:18" x14ac:dyDescent="0.3">
      <c r="A6275" t="s">
        <v>627</v>
      </c>
      <c r="B6275" s="16">
        <v>45578</v>
      </c>
      <c r="C6275" t="s">
        <v>3</v>
      </c>
      <c r="D6275" t="s">
        <v>367</v>
      </c>
      <c r="E6275">
        <v>3</v>
      </c>
      <c r="F6275">
        <v>3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3</v>
      </c>
      <c r="O6275">
        <f t="shared" si="202"/>
        <v>2024</v>
      </c>
      <c r="P6275">
        <f t="shared" si="203"/>
        <v>10</v>
      </c>
      <c r="Q6275" t="s">
        <v>785</v>
      </c>
      <c r="R6275" t="s">
        <v>805</v>
      </c>
    </row>
    <row r="6276" spans="1:18" x14ac:dyDescent="0.3">
      <c r="A6276" t="s">
        <v>627</v>
      </c>
      <c r="B6276" s="16">
        <v>45578</v>
      </c>
      <c r="C6276" t="s">
        <v>3</v>
      </c>
      <c r="D6276" t="s">
        <v>251</v>
      </c>
      <c r="E6276">
        <v>256</v>
      </c>
      <c r="F6276">
        <v>97</v>
      </c>
      <c r="G6276">
        <v>12</v>
      </c>
      <c r="H6276">
        <v>4</v>
      </c>
      <c r="I6276">
        <v>1980</v>
      </c>
      <c r="J6276">
        <v>1</v>
      </c>
      <c r="K6276">
        <v>1980</v>
      </c>
      <c r="L6276">
        <v>1</v>
      </c>
      <c r="M6276">
        <v>56</v>
      </c>
      <c r="N6276">
        <v>220</v>
      </c>
      <c r="O6276">
        <f t="shared" si="202"/>
        <v>2024</v>
      </c>
      <c r="P6276">
        <f t="shared" si="203"/>
        <v>10</v>
      </c>
      <c r="Q6276" t="s">
        <v>785</v>
      </c>
      <c r="R6276" t="s">
        <v>805</v>
      </c>
    </row>
    <row r="6277" spans="1:18" x14ac:dyDescent="0.3">
      <c r="A6277" t="s">
        <v>627</v>
      </c>
      <c r="B6277" s="16">
        <v>45578</v>
      </c>
      <c r="C6277" t="s">
        <v>3</v>
      </c>
      <c r="D6277" t="s">
        <v>143</v>
      </c>
      <c r="E6277">
        <v>22</v>
      </c>
      <c r="F6277">
        <v>21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22</v>
      </c>
      <c r="O6277">
        <f t="shared" si="202"/>
        <v>2024</v>
      </c>
      <c r="P6277">
        <f t="shared" si="203"/>
        <v>10</v>
      </c>
      <c r="Q6277" t="s">
        <v>785</v>
      </c>
      <c r="R6277" t="s">
        <v>805</v>
      </c>
    </row>
    <row r="6278" spans="1:18" x14ac:dyDescent="0.3">
      <c r="A6278" t="s">
        <v>627</v>
      </c>
      <c r="B6278" s="16">
        <v>45578</v>
      </c>
      <c r="C6278" t="s">
        <v>3</v>
      </c>
      <c r="D6278" t="s">
        <v>141</v>
      </c>
      <c r="E6278">
        <v>2</v>
      </c>
      <c r="F6278">
        <v>2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1</v>
      </c>
      <c r="N6278">
        <v>1</v>
      </c>
      <c r="O6278">
        <f t="shared" si="202"/>
        <v>2024</v>
      </c>
      <c r="P6278">
        <f t="shared" si="203"/>
        <v>10</v>
      </c>
      <c r="Q6278" t="s">
        <v>785</v>
      </c>
      <c r="R6278" t="s">
        <v>805</v>
      </c>
    </row>
    <row r="6279" spans="1:18" x14ac:dyDescent="0.3">
      <c r="A6279" t="s">
        <v>627</v>
      </c>
      <c r="B6279" s="16">
        <v>45578</v>
      </c>
      <c r="C6279" t="s">
        <v>3</v>
      </c>
      <c r="D6279" t="s">
        <v>140</v>
      </c>
      <c r="E6279">
        <v>7</v>
      </c>
      <c r="F6279">
        <v>6</v>
      </c>
      <c r="G6279">
        <v>1</v>
      </c>
      <c r="H6279">
        <v>0</v>
      </c>
      <c r="I6279">
        <v>8200</v>
      </c>
      <c r="J6279">
        <v>1</v>
      </c>
      <c r="K6279">
        <v>8200</v>
      </c>
      <c r="L6279">
        <v>1</v>
      </c>
      <c r="M6279">
        <v>2</v>
      </c>
      <c r="N6279">
        <v>7</v>
      </c>
      <c r="O6279">
        <f t="shared" si="202"/>
        <v>2024</v>
      </c>
      <c r="P6279">
        <f t="shared" si="203"/>
        <v>10</v>
      </c>
      <c r="Q6279" t="s">
        <v>785</v>
      </c>
      <c r="R6279" t="s">
        <v>805</v>
      </c>
    </row>
    <row r="6280" spans="1:18" x14ac:dyDescent="0.3">
      <c r="A6280" t="s">
        <v>627</v>
      </c>
      <c r="B6280" s="16">
        <v>45578</v>
      </c>
      <c r="C6280" t="s">
        <v>3</v>
      </c>
      <c r="D6280" t="s">
        <v>139</v>
      </c>
      <c r="E6280">
        <v>700</v>
      </c>
      <c r="F6280">
        <v>370</v>
      </c>
      <c r="G6280">
        <v>56</v>
      </c>
      <c r="H6280">
        <v>15</v>
      </c>
      <c r="I6280">
        <v>83995.38</v>
      </c>
      <c r="J6280">
        <v>17</v>
      </c>
      <c r="K6280">
        <v>67369.38</v>
      </c>
      <c r="L6280">
        <v>14</v>
      </c>
      <c r="M6280">
        <v>399</v>
      </c>
      <c r="N6280">
        <v>541</v>
      </c>
      <c r="O6280">
        <f t="shared" si="202"/>
        <v>2024</v>
      </c>
      <c r="P6280">
        <f t="shared" si="203"/>
        <v>10</v>
      </c>
      <c r="Q6280" t="s">
        <v>785</v>
      </c>
      <c r="R6280" t="s">
        <v>805</v>
      </c>
    </row>
    <row r="6281" spans="1:18" x14ac:dyDescent="0.3">
      <c r="A6281" t="s">
        <v>627</v>
      </c>
      <c r="B6281" s="16">
        <v>45578</v>
      </c>
      <c r="C6281" t="s">
        <v>3</v>
      </c>
      <c r="D6281" t="s">
        <v>138</v>
      </c>
      <c r="E6281">
        <v>13</v>
      </c>
      <c r="F6281">
        <v>12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3</v>
      </c>
      <c r="N6281">
        <v>11</v>
      </c>
      <c r="O6281">
        <f t="shared" ref="O6281:O6344" si="204">YEAR(B6281)</f>
        <v>2024</v>
      </c>
      <c r="P6281">
        <f t="shared" ref="P6281:P6344" si="205">MONTH(B6281)</f>
        <v>10</v>
      </c>
      <c r="Q6281" t="s">
        <v>785</v>
      </c>
      <c r="R6281" t="s">
        <v>805</v>
      </c>
    </row>
    <row r="6282" spans="1:18" x14ac:dyDescent="0.3">
      <c r="A6282" t="s">
        <v>627</v>
      </c>
      <c r="B6282" s="16">
        <v>45578</v>
      </c>
      <c r="C6282" t="s">
        <v>3</v>
      </c>
      <c r="D6282" t="s">
        <v>137</v>
      </c>
      <c r="E6282">
        <v>2</v>
      </c>
      <c r="F6282">
        <v>1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2</v>
      </c>
      <c r="O6282">
        <f t="shared" si="204"/>
        <v>2024</v>
      </c>
      <c r="P6282">
        <f t="shared" si="205"/>
        <v>10</v>
      </c>
      <c r="Q6282" t="s">
        <v>785</v>
      </c>
      <c r="R6282" t="s">
        <v>805</v>
      </c>
    </row>
    <row r="6283" spans="1:18" x14ac:dyDescent="0.3">
      <c r="A6283" t="s">
        <v>627</v>
      </c>
      <c r="B6283" s="16">
        <v>45578</v>
      </c>
      <c r="C6283" t="s">
        <v>3</v>
      </c>
      <c r="D6283" t="s">
        <v>135</v>
      </c>
      <c r="E6283">
        <v>6</v>
      </c>
      <c r="F6283">
        <v>2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4</v>
      </c>
      <c r="O6283">
        <f t="shared" si="204"/>
        <v>2024</v>
      </c>
      <c r="P6283">
        <f t="shared" si="205"/>
        <v>10</v>
      </c>
      <c r="Q6283" t="s">
        <v>785</v>
      </c>
      <c r="R6283" t="s">
        <v>805</v>
      </c>
    </row>
    <row r="6284" spans="1:18" x14ac:dyDescent="0.3">
      <c r="A6284" t="s">
        <v>627</v>
      </c>
      <c r="B6284" s="16">
        <v>45578</v>
      </c>
      <c r="C6284" t="s">
        <v>3</v>
      </c>
      <c r="D6284" t="s">
        <v>133</v>
      </c>
      <c r="E6284">
        <v>14</v>
      </c>
      <c r="F6284">
        <v>11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5</v>
      </c>
      <c r="N6284">
        <v>13</v>
      </c>
      <c r="O6284">
        <f t="shared" si="204"/>
        <v>2024</v>
      </c>
      <c r="P6284">
        <f t="shared" si="205"/>
        <v>10</v>
      </c>
      <c r="Q6284" t="s">
        <v>785</v>
      </c>
      <c r="R6284" t="s">
        <v>805</v>
      </c>
    </row>
    <row r="6285" spans="1:18" x14ac:dyDescent="0.3">
      <c r="A6285" t="s">
        <v>627</v>
      </c>
      <c r="B6285" s="16">
        <v>45578</v>
      </c>
      <c r="C6285" t="s">
        <v>3</v>
      </c>
      <c r="D6285" t="s">
        <v>130</v>
      </c>
      <c r="E6285">
        <v>160</v>
      </c>
      <c r="F6285">
        <v>75</v>
      </c>
      <c r="G6285">
        <v>14</v>
      </c>
      <c r="H6285">
        <v>1</v>
      </c>
      <c r="I6285">
        <v>44275</v>
      </c>
      <c r="J6285">
        <v>11</v>
      </c>
      <c r="K6285">
        <v>28265</v>
      </c>
      <c r="L6285">
        <v>10</v>
      </c>
      <c r="M6285">
        <v>43</v>
      </c>
      <c r="N6285">
        <v>154</v>
      </c>
      <c r="O6285">
        <f t="shared" si="204"/>
        <v>2024</v>
      </c>
      <c r="P6285">
        <f t="shared" si="205"/>
        <v>10</v>
      </c>
      <c r="Q6285" t="s">
        <v>785</v>
      </c>
      <c r="R6285" t="s">
        <v>805</v>
      </c>
    </row>
    <row r="6286" spans="1:18" x14ac:dyDescent="0.3">
      <c r="A6286" t="s">
        <v>627</v>
      </c>
      <c r="B6286" s="16">
        <v>45578</v>
      </c>
      <c r="C6286" t="s">
        <v>3</v>
      </c>
      <c r="D6286" t="s">
        <v>128</v>
      </c>
      <c r="E6286">
        <v>560</v>
      </c>
      <c r="F6286">
        <v>446</v>
      </c>
      <c r="G6286">
        <v>13</v>
      </c>
      <c r="H6286">
        <v>8</v>
      </c>
      <c r="I6286">
        <v>36128</v>
      </c>
      <c r="J6286">
        <v>5</v>
      </c>
      <c r="K6286">
        <v>33680</v>
      </c>
      <c r="L6286">
        <v>4</v>
      </c>
      <c r="M6286">
        <v>210</v>
      </c>
      <c r="N6286">
        <v>445</v>
      </c>
      <c r="O6286">
        <f t="shared" si="204"/>
        <v>2024</v>
      </c>
      <c r="P6286">
        <f t="shared" si="205"/>
        <v>10</v>
      </c>
      <c r="Q6286" t="s">
        <v>785</v>
      </c>
      <c r="R6286" t="s">
        <v>805</v>
      </c>
    </row>
    <row r="6287" spans="1:18" x14ac:dyDescent="0.3">
      <c r="A6287" t="s">
        <v>627</v>
      </c>
      <c r="B6287" s="16">
        <v>45578</v>
      </c>
      <c r="C6287" t="s">
        <v>3</v>
      </c>
      <c r="D6287" t="s">
        <v>127</v>
      </c>
      <c r="E6287">
        <v>1385</v>
      </c>
      <c r="F6287">
        <v>845</v>
      </c>
      <c r="G6287">
        <v>21</v>
      </c>
      <c r="H6287">
        <v>10</v>
      </c>
      <c r="I6287">
        <v>31288</v>
      </c>
      <c r="J6287">
        <v>5</v>
      </c>
      <c r="K6287">
        <v>6700</v>
      </c>
      <c r="L6287">
        <v>3</v>
      </c>
      <c r="M6287">
        <v>177</v>
      </c>
      <c r="N6287">
        <v>1209</v>
      </c>
      <c r="O6287">
        <f t="shared" si="204"/>
        <v>2024</v>
      </c>
      <c r="P6287">
        <f t="shared" si="205"/>
        <v>10</v>
      </c>
      <c r="Q6287" t="s">
        <v>785</v>
      </c>
      <c r="R6287" t="s">
        <v>805</v>
      </c>
    </row>
    <row r="6288" spans="1:18" x14ac:dyDescent="0.3">
      <c r="A6288" t="s">
        <v>627</v>
      </c>
      <c r="B6288" s="16">
        <v>45578</v>
      </c>
      <c r="C6288" t="s">
        <v>3</v>
      </c>
      <c r="D6288" t="s">
        <v>126</v>
      </c>
      <c r="E6288">
        <v>125</v>
      </c>
      <c r="F6288">
        <v>83</v>
      </c>
      <c r="G6288">
        <v>7</v>
      </c>
      <c r="H6288">
        <v>2</v>
      </c>
      <c r="I6288">
        <v>2550</v>
      </c>
      <c r="J6288">
        <v>1</v>
      </c>
      <c r="K6288">
        <v>2550</v>
      </c>
      <c r="L6288">
        <v>1</v>
      </c>
      <c r="M6288">
        <v>24</v>
      </c>
      <c r="N6288">
        <v>119</v>
      </c>
      <c r="O6288">
        <f t="shared" si="204"/>
        <v>2024</v>
      </c>
      <c r="P6288">
        <f t="shared" si="205"/>
        <v>10</v>
      </c>
      <c r="Q6288" t="s">
        <v>785</v>
      </c>
      <c r="R6288" t="s">
        <v>805</v>
      </c>
    </row>
    <row r="6289" spans="1:18" x14ac:dyDescent="0.3">
      <c r="A6289" t="s">
        <v>627</v>
      </c>
      <c r="B6289" s="16">
        <v>45578</v>
      </c>
      <c r="C6289" t="s">
        <v>3</v>
      </c>
      <c r="D6289" t="s">
        <v>125</v>
      </c>
      <c r="E6289">
        <v>6</v>
      </c>
      <c r="F6289">
        <v>2</v>
      </c>
      <c r="G6289">
        <v>1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1</v>
      </c>
      <c r="N6289">
        <v>6</v>
      </c>
      <c r="O6289">
        <f t="shared" si="204"/>
        <v>2024</v>
      </c>
      <c r="P6289">
        <f t="shared" si="205"/>
        <v>10</v>
      </c>
      <c r="Q6289" t="s">
        <v>785</v>
      </c>
      <c r="R6289" t="s">
        <v>805</v>
      </c>
    </row>
    <row r="6290" spans="1:18" x14ac:dyDescent="0.3">
      <c r="A6290" t="s">
        <v>627</v>
      </c>
      <c r="B6290" s="16">
        <v>45578</v>
      </c>
      <c r="C6290" t="s">
        <v>3</v>
      </c>
      <c r="D6290" t="s">
        <v>123</v>
      </c>
      <c r="E6290">
        <v>332</v>
      </c>
      <c r="F6290">
        <v>142</v>
      </c>
      <c r="G6290">
        <v>25</v>
      </c>
      <c r="H6290">
        <v>7</v>
      </c>
      <c r="I6290">
        <v>21355</v>
      </c>
      <c r="J6290">
        <v>6</v>
      </c>
      <c r="K6290">
        <v>18805</v>
      </c>
      <c r="L6290">
        <v>6</v>
      </c>
      <c r="M6290">
        <v>84</v>
      </c>
      <c r="N6290">
        <v>295</v>
      </c>
      <c r="O6290">
        <f t="shared" si="204"/>
        <v>2024</v>
      </c>
      <c r="P6290">
        <f t="shared" si="205"/>
        <v>10</v>
      </c>
      <c r="Q6290" t="s">
        <v>785</v>
      </c>
      <c r="R6290" t="s">
        <v>805</v>
      </c>
    </row>
    <row r="6291" spans="1:18" x14ac:dyDescent="0.3">
      <c r="A6291" t="s">
        <v>627</v>
      </c>
      <c r="B6291" s="16">
        <v>45578</v>
      </c>
      <c r="C6291" t="s">
        <v>3</v>
      </c>
      <c r="D6291" t="s">
        <v>122</v>
      </c>
      <c r="E6291">
        <v>1</v>
      </c>
      <c r="F6291">
        <v>1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f t="shared" si="204"/>
        <v>2024</v>
      </c>
      <c r="P6291">
        <f t="shared" si="205"/>
        <v>10</v>
      </c>
      <c r="Q6291" t="s">
        <v>785</v>
      </c>
      <c r="R6291" t="s">
        <v>805</v>
      </c>
    </row>
    <row r="6292" spans="1:18" x14ac:dyDescent="0.3">
      <c r="A6292" t="s">
        <v>627</v>
      </c>
      <c r="B6292" s="16">
        <v>45578</v>
      </c>
      <c r="C6292" t="s">
        <v>3</v>
      </c>
      <c r="D6292" t="s">
        <v>120</v>
      </c>
      <c r="E6292">
        <v>303</v>
      </c>
      <c r="F6292">
        <v>170</v>
      </c>
      <c r="G6292">
        <v>16</v>
      </c>
      <c r="H6292">
        <v>0</v>
      </c>
      <c r="I6292">
        <v>34349.620000000003</v>
      </c>
      <c r="J6292">
        <v>3</v>
      </c>
      <c r="K6292">
        <v>34349.620000000003</v>
      </c>
      <c r="L6292">
        <v>3</v>
      </c>
      <c r="M6292">
        <v>60</v>
      </c>
      <c r="N6292">
        <v>296</v>
      </c>
      <c r="O6292">
        <f t="shared" si="204"/>
        <v>2024</v>
      </c>
      <c r="P6292">
        <f t="shared" si="205"/>
        <v>10</v>
      </c>
      <c r="Q6292" t="s">
        <v>785</v>
      </c>
      <c r="R6292" t="s">
        <v>805</v>
      </c>
    </row>
    <row r="6293" spans="1:18" x14ac:dyDescent="0.3">
      <c r="A6293" t="s">
        <v>627</v>
      </c>
      <c r="B6293" s="16">
        <v>45578</v>
      </c>
      <c r="C6293" t="s">
        <v>3</v>
      </c>
      <c r="D6293" t="s">
        <v>119</v>
      </c>
      <c r="E6293">
        <v>243</v>
      </c>
      <c r="F6293">
        <v>74</v>
      </c>
      <c r="G6293">
        <v>17</v>
      </c>
      <c r="H6293">
        <v>11</v>
      </c>
      <c r="I6293">
        <v>39578</v>
      </c>
      <c r="J6293">
        <v>10</v>
      </c>
      <c r="K6293">
        <v>30182</v>
      </c>
      <c r="L6293">
        <v>9</v>
      </c>
      <c r="M6293">
        <v>65</v>
      </c>
      <c r="N6293">
        <v>224</v>
      </c>
      <c r="O6293">
        <f t="shared" si="204"/>
        <v>2024</v>
      </c>
      <c r="P6293">
        <f t="shared" si="205"/>
        <v>10</v>
      </c>
      <c r="Q6293" t="s">
        <v>785</v>
      </c>
      <c r="R6293" t="s">
        <v>805</v>
      </c>
    </row>
    <row r="6294" spans="1:18" x14ac:dyDescent="0.3">
      <c r="A6294" t="s">
        <v>627</v>
      </c>
      <c r="B6294" s="16">
        <v>45578</v>
      </c>
      <c r="C6294" t="s">
        <v>3</v>
      </c>
      <c r="D6294" t="s">
        <v>252</v>
      </c>
      <c r="E6294">
        <v>1</v>
      </c>
      <c r="F6294">
        <v>1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1</v>
      </c>
      <c r="O6294">
        <f t="shared" si="204"/>
        <v>2024</v>
      </c>
      <c r="P6294">
        <f t="shared" si="205"/>
        <v>10</v>
      </c>
      <c r="Q6294" t="s">
        <v>785</v>
      </c>
      <c r="R6294" t="s">
        <v>805</v>
      </c>
    </row>
    <row r="6295" spans="1:18" x14ac:dyDescent="0.3">
      <c r="A6295" t="s">
        <v>627</v>
      </c>
      <c r="B6295" s="16">
        <v>45578</v>
      </c>
      <c r="C6295" t="s">
        <v>3</v>
      </c>
      <c r="D6295" t="s">
        <v>115</v>
      </c>
      <c r="E6295">
        <v>5</v>
      </c>
      <c r="F6295">
        <v>2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1</v>
      </c>
      <c r="N6295">
        <v>4</v>
      </c>
      <c r="O6295">
        <f t="shared" si="204"/>
        <v>2024</v>
      </c>
      <c r="P6295">
        <f t="shared" si="205"/>
        <v>10</v>
      </c>
      <c r="Q6295" t="s">
        <v>785</v>
      </c>
      <c r="R6295" t="s">
        <v>805</v>
      </c>
    </row>
    <row r="6296" spans="1:18" x14ac:dyDescent="0.3">
      <c r="A6296" t="s">
        <v>627</v>
      </c>
      <c r="B6296" s="16">
        <v>45578</v>
      </c>
      <c r="C6296" t="s">
        <v>3</v>
      </c>
      <c r="D6296" t="s">
        <v>114</v>
      </c>
      <c r="E6296">
        <v>7</v>
      </c>
      <c r="F6296">
        <v>3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2</v>
      </c>
      <c r="N6296">
        <v>3</v>
      </c>
      <c r="O6296">
        <f t="shared" si="204"/>
        <v>2024</v>
      </c>
      <c r="P6296">
        <f t="shared" si="205"/>
        <v>10</v>
      </c>
      <c r="Q6296" t="s">
        <v>785</v>
      </c>
      <c r="R6296" t="s">
        <v>805</v>
      </c>
    </row>
    <row r="6297" spans="1:18" x14ac:dyDescent="0.3">
      <c r="A6297" t="s">
        <v>627</v>
      </c>
      <c r="B6297" s="16">
        <v>45578</v>
      </c>
      <c r="C6297" t="s">
        <v>3</v>
      </c>
      <c r="D6297" t="s">
        <v>113</v>
      </c>
      <c r="E6297">
        <v>94</v>
      </c>
      <c r="F6297">
        <v>54</v>
      </c>
      <c r="G6297">
        <v>6</v>
      </c>
      <c r="H6297">
        <v>1</v>
      </c>
      <c r="I6297">
        <v>5625</v>
      </c>
      <c r="J6297">
        <v>2</v>
      </c>
      <c r="K6297">
        <v>5625</v>
      </c>
      <c r="L6297">
        <v>2</v>
      </c>
      <c r="M6297">
        <v>77</v>
      </c>
      <c r="N6297">
        <v>65</v>
      </c>
      <c r="O6297">
        <f t="shared" si="204"/>
        <v>2024</v>
      </c>
      <c r="P6297">
        <f t="shared" si="205"/>
        <v>10</v>
      </c>
      <c r="Q6297" t="s">
        <v>785</v>
      </c>
      <c r="R6297" t="s">
        <v>805</v>
      </c>
    </row>
    <row r="6298" spans="1:18" x14ac:dyDescent="0.3">
      <c r="A6298" t="s">
        <v>627</v>
      </c>
      <c r="B6298" s="16">
        <v>45578</v>
      </c>
      <c r="C6298" t="s">
        <v>3</v>
      </c>
      <c r="D6298" t="s">
        <v>112</v>
      </c>
      <c r="E6298">
        <v>12</v>
      </c>
      <c r="F6298">
        <v>5</v>
      </c>
      <c r="G6298">
        <v>0</v>
      </c>
      <c r="H6298">
        <v>1</v>
      </c>
      <c r="I6298">
        <v>5940</v>
      </c>
      <c r="J6298">
        <v>3</v>
      </c>
      <c r="K6298">
        <v>5940</v>
      </c>
      <c r="L6298">
        <v>3</v>
      </c>
      <c r="M6298">
        <v>0</v>
      </c>
      <c r="N6298">
        <v>12</v>
      </c>
      <c r="O6298">
        <f t="shared" si="204"/>
        <v>2024</v>
      </c>
      <c r="P6298">
        <f t="shared" si="205"/>
        <v>10</v>
      </c>
      <c r="Q6298" t="s">
        <v>785</v>
      </c>
      <c r="R6298" t="s">
        <v>805</v>
      </c>
    </row>
    <row r="6299" spans="1:18" x14ac:dyDescent="0.3">
      <c r="A6299" t="s">
        <v>627</v>
      </c>
      <c r="B6299" s="16">
        <v>45578</v>
      </c>
      <c r="C6299" t="s">
        <v>3</v>
      </c>
      <c r="D6299" t="s">
        <v>111</v>
      </c>
      <c r="E6299">
        <v>2</v>
      </c>
      <c r="F6299">
        <v>2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2</v>
      </c>
      <c r="O6299">
        <f t="shared" si="204"/>
        <v>2024</v>
      </c>
      <c r="P6299">
        <f t="shared" si="205"/>
        <v>10</v>
      </c>
      <c r="Q6299" t="s">
        <v>785</v>
      </c>
      <c r="R6299" t="s">
        <v>805</v>
      </c>
    </row>
    <row r="6300" spans="1:18" x14ac:dyDescent="0.3">
      <c r="A6300" t="s">
        <v>627</v>
      </c>
      <c r="B6300" s="16">
        <v>45577</v>
      </c>
      <c r="C6300" t="s">
        <v>2</v>
      </c>
      <c r="D6300" t="s">
        <v>4</v>
      </c>
      <c r="E6300">
        <v>1122</v>
      </c>
      <c r="F6300">
        <v>939</v>
      </c>
      <c r="G6300">
        <v>94</v>
      </c>
      <c r="H6300">
        <v>1</v>
      </c>
      <c r="I6300">
        <v>11630</v>
      </c>
      <c r="J6300">
        <v>2</v>
      </c>
      <c r="K6300">
        <v>11630</v>
      </c>
      <c r="L6300">
        <v>2</v>
      </c>
      <c r="M6300">
        <v>19</v>
      </c>
      <c r="N6300">
        <v>1110</v>
      </c>
      <c r="O6300">
        <f t="shared" si="204"/>
        <v>2024</v>
      </c>
      <c r="P6300">
        <f t="shared" si="205"/>
        <v>10</v>
      </c>
      <c r="Q6300" t="s">
        <v>785</v>
      </c>
      <c r="R6300" t="s">
        <v>805</v>
      </c>
    </row>
    <row r="6301" spans="1:18" x14ac:dyDescent="0.3">
      <c r="A6301" t="s">
        <v>627</v>
      </c>
      <c r="B6301" s="16">
        <v>45577</v>
      </c>
      <c r="C6301" t="s">
        <v>2</v>
      </c>
      <c r="D6301" t="s">
        <v>57</v>
      </c>
      <c r="E6301">
        <v>13069</v>
      </c>
      <c r="F6301">
        <v>8476</v>
      </c>
      <c r="G6301">
        <v>274</v>
      </c>
      <c r="H6301">
        <v>154</v>
      </c>
      <c r="I6301">
        <v>265283.83</v>
      </c>
      <c r="J6301">
        <v>40</v>
      </c>
      <c r="K6301">
        <v>158048.82999999999</v>
      </c>
      <c r="L6301">
        <v>33</v>
      </c>
      <c r="M6301">
        <v>956</v>
      </c>
      <c r="N6301">
        <v>13027</v>
      </c>
      <c r="O6301">
        <f t="shared" si="204"/>
        <v>2024</v>
      </c>
      <c r="P6301">
        <f t="shared" si="205"/>
        <v>10</v>
      </c>
      <c r="Q6301" t="s">
        <v>785</v>
      </c>
      <c r="R6301" t="s">
        <v>805</v>
      </c>
    </row>
    <row r="6302" spans="1:18" x14ac:dyDescent="0.3">
      <c r="A6302" t="s">
        <v>627</v>
      </c>
      <c r="B6302" s="16">
        <v>45577</v>
      </c>
      <c r="C6302" t="s">
        <v>2</v>
      </c>
      <c r="D6302" t="s">
        <v>52</v>
      </c>
      <c r="E6302">
        <v>2824</v>
      </c>
      <c r="F6302">
        <v>2427</v>
      </c>
      <c r="G6302">
        <v>18</v>
      </c>
      <c r="H6302">
        <v>4</v>
      </c>
      <c r="I6302">
        <v>11175</v>
      </c>
      <c r="J6302">
        <v>3</v>
      </c>
      <c r="K6302">
        <v>11175</v>
      </c>
      <c r="L6302">
        <v>3</v>
      </c>
      <c r="M6302">
        <v>2824</v>
      </c>
      <c r="N6302">
        <v>814</v>
      </c>
      <c r="O6302">
        <f t="shared" si="204"/>
        <v>2024</v>
      </c>
      <c r="P6302">
        <f t="shared" si="205"/>
        <v>10</v>
      </c>
      <c r="Q6302" t="s">
        <v>785</v>
      </c>
      <c r="R6302" t="s">
        <v>805</v>
      </c>
    </row>
    <row r="6303" spans="1:18" x14ac:dyDescent="0.3">
      <c r="A6303" t="s">
        <v>627</v>
      </c>
      <c r="B6303" s="16">
        <v>45577</v>
      </c>
      <c r="C6303" t="s">
        <v>2</v>
      </c>
      <c r="D6303" t="s">
        <v>55</v>
      </c>
      <c r="E6303">
        <v>990</v>
      </c>
      <c r="F6303">
        <v>909</v>
      </c>
      <c r="G6303">
        <v>5</v>
      </c>
      <c r="H6303">
        <v>3</v>
      </c>
      <c r="I6303">
        <v>0</v>
      </c>
      <c r="J6303">
        <v>0</v>
      </c>
      <c r="K6303">
        <v>0</v>
      </c>
      <c r="L6303">
        <v>0</v>
      </c>
      <c r="M6303">
        <v>28</v>
      </c>
      <c r="N6303">
        <v>383</v>
      </c>
      <c r="O6303">
        <f t="shared" si="204"/>
        <v>2024</v>
      </c>
      <c r="P6303">
        <f t="shared" si="205"/>
        <v>10</v>
      </c>
      <c r="Q6303" t="s">
        <v>785</v>
      </c>
      <c r="R6303" t="s">
        <v>805</v>
      </c>
    </row>
    <row r="6304" spans="1:18" x14ac:dyDescent="0.3">
      <c r="A6304" t="s">
        <v>627</v>
      </c>
      <c r="B6304" s="16">
        <v>45577</v>
      </c>
      <c r="C6304" t="s">
        <v>3</v>
      </c>
      <c r="D6304" t="s">
        <v>155</v>
      </c>
      <c r="E6304">
        <v>6</v>
      </c>
      <c r="F6304">
        <v>4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6</v>
      </c>
      <c r="O6304">
        <f t="shared" si="204"/>
        <v>2024</v>
      </c>
      <c r="P6304">
        <f t="shared" si="205"/>
        <v>10</v>
      </c>
      <c r="Q6304" t="s">
        <v>785</v>
      </c>
      <c r="R6304" t="s">
        <v>805</v>
      </c>
    </row>
    <row r="6305" spans="1:18" x14ac:dyDescent="0.3">
      <c r="A6305" t="s">
        <v>627</v>
      </c>
      <c r="B6305" s="16">
        <v>45577</v>
      </c>
      <c r="C6305" t="s">
        <v>3</v>
      </c>
      <c r="D6305" t="s">
        <v>154</v>
      </c>
      <c r="E6305">
        <v>281</v>
      </c>
      <c r="F6305">
        <v>255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1</v>
      </c>
      <c r="O6305">
        <f t="shared" si="204"/>
        <v>2024</v>
      </c>
      <c r="P6305">
        <f t="shared" si="205"/>
        <v>10</v>
      </c>
      <c r="Q6305" t="s">
        <v>785</v>
      </c>
      <c r="R6305" t="s">
        <v>805</v>
      </c>
    </row>
    <row r="6306" spans="1:18" x14ac:dyDescent="0.3">
      <c r="A6306" t="s">
        <v>627</v>
      </c>
      <c r="B6306" s="16">
        <v>45577</v>
      </c>
      <c r="C6306" t="s">
        <v>3</v>
      </c>
      <c r="D6306" t="s">
        <v>153</v>
      </c>
      <c r="E6306">
        <v>349</v>
      </c>
      <c r="F6306">
        <v>82</v>
      </c>
      <c r="G6306">
        <v>43</v>
      </c>
      <c r="H6306">
        <v>7</v>
      </c>
      <c r="I6306">
        <v>276957.78999999998</v>
      </c>
      <c r="J6306">
        <v>46</v>
      </c>
      <c r="K6306">
        <v>248907.79</v>
      </c>
      <c r="L6306">
        <v>43</v>
      </c>
      <c r="M6306">
        <v>131</v>
      </c>
      <c r="N6306">
        <v>335</v>
      </c>
      <c r="O6306">
        <f t="shared" si="204"/>
        <v>2024</v>
      </c>
      <c r="P6306">
        <f t="shared" si="205"/>
        <v>10</v>
      </c>
      <c r="Q6306" t="s">
        <v>785</v>
      </c>
      <c r="R6306" t="s">
        <v>805</v>
      </c>
    </row>
    <row r="6307" spans="1:18" x14ac:dyDescent="0.3">
      <c r="A6307" t="s">
        <v>627</v>
      </c>
      <c r="B6307" s="16">
        <v>45577</v>
      </c>
      <c r="C6307" t="s">
        <v>3</v>
      </c>
      <c r="D6307" t="s">
        <v>152</v>
      </c>
      <c r="E6307">
        <v>1</v>
      </c>
      <c r="F6307">
        <v>1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f t="shared" si="204"/>
        <v>2024</v>
      </c>
      <c r="P6307">
        <f t="shared" si="205"/>
        <v>10</v>
      </c>
      <c r="Q6307" t="s">
        <v>785</v>
      </c>
      <c r="R6307" t="s">
        <v>805</v>
      </c>
    </row>
    <row r="6308" spans="1:18" x14ac:dyDescent="0.3">
      <c r="A6308" t="s">
        <v>627</v>
      </c>
      <c r="B6308" s="16">
        <v>45577</v>
      </c>
      <c r="C6308" t="s">
        <v>3</v>
      </c>
      <c r="D6308" t="s">
        <v>150</v>
      </c>
      <c r="E6308">
        <v>3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2</v>
      </c>
      <c r="O6308">
        <f t="shared" si="204"/>
        <v>2024</v>
      </c>
      <c r="P6308">
        <f t="shared" si="205"/>
        <v>10</v>
      </c>
      <c r="Q6308" t="s">
        <v>785</v>
      </c>
      <c r="R6308" t="s">
        <v>805</v>
      </c>
    </row>
    <row r="6309" spans="1:18" x14ac:dyDescent="0.3">
      <c r="A6309" t="s">
        <v>627</v>
      </c>
      <c r="B6309" s="16">
        <v>45577</v>
      </c>
      <c r="C6309" t="s">
        <v>3</v>
      </c>
      <c r="D6309" t="s">
        <v>149</v>
      </c>
      <c r="E6309">
        <v>11</v>
      </c>
      <c r="F6309">
        <v>8</v>
      </c>
      <c r="G6309">
        <v>1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3</v>
      </c>
      <c r="N6309">
        <v>8</v>
      </c>
      <c r="O6309">
        <f t="shared" si="204"/>
        <v>2024</v>
      </c>
      <c r="P6309">
        <f t="shared" si="205"/>
        <v>10</v>
      </c>
      <c r="Q6309" t="s">
        <v>785</v>
      </c>
      <c r="R6309" t="s">
        <v>805</v>
      </c>
    </row>
    <row r="6310" spans="1:18" x14ac:dyDescent="0.3">
      <c r="A6310" t="s">
        <v>627</v>
      </c>
      <c r="B6310" s="16">
        <v>45577</v>
      </c>
      <c r="C6310" t="s">
        <v>3</v>
      </c>
      <c r="D6310" t="s">
        <v>148</v>
      </c>
      <c r="E6310">
        <v>5</v>
      </c>
      <c r="F6310">
        <v>5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5</v>
      </c>
      <c r="N6310">
        <v>0</v>
      </c>
      <c r="O6310">
        <f t="shared" si="204"/>
        <v>2024</v>
      </c>
      <c r="P6310">
        <f t="shared" si="205"/>
        <v>10</v>
      </c>
      <c r="Q6310" t="s">
        <v>785</v>
      </c>
      <c r="R6310" t="s">
        <v>805</v>
      </c>
    </row>
    <row r="6311" spans="1:18" x14ac:dyDescent="0.3">
      <c r="A6311" t="s">
        <v>627</v>
      </c>
      <c r="B6311" s="16">
        <v>45577</v>
      </c>
      <c r="C6311" t="s">
        <v>3</v>
      </c>
      <c r="D6311" t="s">
        <v>367</v>
      </c>
      <c r="E6311">
        <v>1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1</v>
      </c>
      <c r="O6311">
        <f t="shared" si="204"/>
        <v>2024</v>
      </c>
      <c r="P6311">
        <f t="shared" si="205"/>
        <v>10</v>
      </c>
      <c r="Q6311" t="s">
        <v>785</v>
      </c>
      <c r="R6311" t="s">
        <v>805</v>
      </c>
    </row>
    <row r="6312" spans="1:18" x14ac:dyDescent="0.3">
      <c r="A6312" t="s">
        <v>627</v>
      </c>
      <c r="B6312" s="16">
        <v>45577</v>
      </c>
      <c r="C6312" t="s">
        <v>3</v>
      </c>
      <c r="D6312" t="s">
        <v>251</v>
      </c>
      <c r="E6312">
        <v>826</v>
      </c>
      <c r="F6312">
        <v>636</v>
      </c>
      <c r="G6312">
        <v>7</v>
      </c>
      <c r="H6312">
        <v>12</v>
      </c>
      <c r="I6312">
        <v>21125</v>
      </c>
      <c r="J6312">
        <v>5</v>
      </c>
      <c r="K6312">
        <v>14720</v>
      </c>
      <c r="L6312">
        <v>4</v>
      </c>
      <c r="M6312">
        <v>74</v>
      </c>
      <c r="N6312">
        <v>290</v>
      </c>
      <c r="O6312">
        <f t="shared" si="204"/>
        <v>2024</v>
      </c>
      <c r="P6312">
        <f t="shared" si="205"/>
        <v>10</v>
      </c>
      <c r="Q6312" t="s">
        <v>785</v>
      </c>
      <c r="R6312" t="s">
        <v>805</v>
      </c>
    </row>
    <row r="6313" spans="1:18" x14ac:dyDescent="0.3">
      <c r="A6313" t="s">
        <v>627</v>
      </c>
      <c r="B6313" s="16">
        <v>45577</v>
      </c>
      <c r="C6313" t="s">
        <v>3</v>
      </c>
      <c r="D6313" t="s">
        <v>143</v>
      </c>
      <c r="E6313">
        <v>17</v>
      </c>
      <c r="F6313">
        <v>16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17</v>
      </c>
      <c r="O6313">
        <f t="shared" si="204"/>
        <v>2024</v>
      </c>
      <c r="P6313">
        <f t="shared" si="205"/>
        <v>10</v>
      </c>
      <c r="Q6313" t="s">
        <v>785</v>
      </c>
      <c r="R6313" t="s">
        <v>805</v>
      </c>
    </row>
    <row r="6314" spans="1:18" x14ac:dyDescent="0.3">
      <c r="A6314" t="s">
        <v>627</v>
      </c>
      <c r="B6314" s="16">
        <v>45577</v>
      </c>
      <c r="C6314" t="s">
        <v>3</v>
      </c>
      <c r="D6314" t="s">
        <v>141</v>
      </c>
      <c r="E6314">
        <v>4</v>
      </c>
      <c r="F6314">
        <v>4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4</v>
      </c>
      <c r="N6314">
        <v>0</v>
      </c>
      <c r="O6314">
        <f t="shared" si="204"/>
        <v>2024</v>
      </c>
      <c r="P6314">
        <f t="shared" si="205"/>
        <v>10</v>
      </c>
      <c r="Q6314" t="s">
        <v>785</v>
      </c>
      <c r="R6314" t="s">
        <v>805</v>
      </c>
    </row>
    <row r="6315" spans="1:18" x14ac:dyDescent="0.3">
      <c r="A6315" t="s">
        <v>627</v>
      </c>
      <c r="B6315" s="16">
        <v>45577</v>
      </c>
      <c r="C6315" t="s">
        <v>3</v>
      </c>
      <c r="D6315" t="s">
        <v>140</v>
      </c>
      <c r="E6315">
        <v>6</v>
      </c>
      <c r="F6315">
        <v>4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1</v>
      </c>
      <c r="N6315">
        <v>5</v>
      </c>
      <c r="O6315">
        <f t="shared" si="204"/>
        <v>2024</v>
      </c>
      <c r="P6315">
        <f t="shared" si="205"/>
        <v>10</v>
      </c>
      <c r="Q6315" t="s">
        <v>785</v>
      </c>
      <c r="R6315" t="s">
        <v>805</v>
      </c>
    </row>
    <row r="6316" spans="1:18" x14ac:dyDescent="0.3">
      <c r="A6316" t="s">
        <v>627</v>
      </c>
      <c r="B6316" s="16">
        <v>45577</v>
      </c>
      <c r="C6316" t="s">
        <v>3</v>
      </c>
      <c r="D6316" t="s">
        <v>139</v>
      </c>
      <c r="E6316">
        <v>838</v>
      </c>
      <c r="F6316">
        <v>466</v>
      </c>
      <c r="G6316">
        <v>63</v>
      </c>
      <c r="H6316">
        <v>11</v>
      </c>
      <c r="I6316">
        <v>124208</v>
      </c>
      <c r="J6316">
        <v>23</v>
      </c>
      <c r="K6316">
        <v>90098</v>
      </c>
      <c r="L6316">
        <v>20</v>
      </c>
      <c r="M6316">
        <v>559</v>
      </c>
      <c r="N6316">
        <v>585</v>
      </c>
      <c r="O6316">
        <f t="shared" si="204"/>
        <v>2024</v>
      </c>
      <c r="P6316">
        <f t="shared" si="205"/>
        <v>10</v>
      </c>
      <c r="Q6316" t="s">
        <v>785</v>
      </c>
      <c r="R6316" t="s">
        <v>805</v>
      </c>
    </row>
    <row r="6317" spans="1:18" x14ac:dyDescent="0.3">
      <c r="A6317" t="s">
        <v>627</v>
      </c>
      <c r="B6317" s="16">
        <v>45577</v>
      </c>
      <c r="C6317" t="s">
        <v>3</v>
      </c>
      <c r="D6317" t="s">
        <v>138</v>
      </c>
      <c r="E6317">
        <v>12</v>
      </c>
      <c r="F6317">
        <v>10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3</v>
      </c>
      <c r="N6317">
        <v>11</v>
      </c>
      <c r="O6317">
        <f t="shared" si="204"/>
        <v>2024</v>
      </c>
      <c r="P6317">
        <f t="shared" si="205"/>
        <v>10</v>
      </c>
      <c r="Q6317" t="s">
        <v>785</v>
      </c>
      <c r="R6317" t="s">
        <v>805</v>
      </c>
    </row>
    <row r="6318" spans="1:18" x14ac:dyDescent="0.3">
      <c r="A6318" t="s">
        <v>627</v>
      </c>
      <c r="B6318" s="16">
        <v>45577</v>
      </c>
      <c r="C6318" t="s">
        <v>3</v>
      </c>
      <c r="D6318" t="s">
        <v>137</v>
      </c>
      <c r="E6318">
        <v>1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1</v>
      </c>
      <c r="O6318">
        <f t="shared" si="204"/>
        <v>2024</v>
      </c>
      <c r="P6318">
        <f t="shared" si="205"/>
        <v>10</v>
      </c>
      <c r="Q6318" t="s">
        <v>785</v>
      </c>
      <c r="R6318" t="s">
        <v>805</v>
      </c>
    </row>
    <row r="6319" spans="1:18" x14ac:dyDescent="0.3">
      <c r="A6319" t="s">
        <v>627</v>
      </c>
      <c r="B6319" s="16">
        <v>45577</v>
      </c>
      <c r="C6319" t="s">
        <v>3</v>
      </c>
      <c r="D6319" t="s">
        <v>135</v>
      </c>
      <c r="E6319">
        <v>4</v>
      </c>
      <c r="F6319">
        <v>3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f t="shared" si="204"/>
        <v>2024</v>
      </c>
      <c r="P6319">
        <f t="shared" si="205"/>
        <v>10</v>
      </c>
      <c r="Q6319" t="s">
        <v>785</v>
      </c>
      <c r="R6319" t="s">
        <v>805</v>
      </c>
    </row>
    <row r="6320" spans="1:18" x14ac:dyDescent="0.3">
      <c r="A6320" t="s">
        <v>627</v>
      </c>
      <c r="B6320" s="16">
        <v>45577</v>
      </c>
      <c r="C6320" t="s">
        <v>3</v>
      </c>
      <c r="D6320" t="s">
        <v>133</v>
      </c>
      <c r="E6320">
        <v>14</v>
      </c>
      <c r="F6320">
        <v>8</v>
      </c>
      <c r="G6320">
        <v>1</v>
      </c>
      <c r="H6320">
        <v>3</v>
      </c>
      <c r="I6320">
        <v>6230</v>
      </c>
      <c r="J6320">
        <v>2</v>
      </c>
      <c r="K6320">
        <v>6230</v>
      </c>
      <c r="L6320">
        <v>2</v>
      </c>
      <c r="M6320">
        <v>5</v>
      </c>
      <c r="N6320">
        <v>10</v>
      </c>
      <c r="O6320">
        <f t="shared" si="204"/>
        <v>2024</v>
      </c>
      <c r="P6320">
        <f t="shared" si="205"/>
        <v>10</v>
      </c>
      <c r="Q6320" t="s">
        <v>785</v>
      </c>
      <c r="R6320" t="s">
        <v>805</v>
      </c>
    </row>
    <row r="6321" spans="1:18" x14ac:dyDescent="0.3">
      <c r="A6321" t="s">
        <v>627</v>
      </c>
      <c r="B6321" s="16">
        <v>45577</v>
      </c>
      <c r="C6321" t="s">
        <v>3</v>
      </c>
      <c r="D6321" t="s">
        <v>130</v>
      </c>
      <c r="E6321">
        <v>294</v>
      </c>
      <c r="F6321">
        <v>138</v>
      </c>
      <c r="G6321">
        <v>18</v>
      </c>
      <c r="H6321">
        <v>4</v>
      </c>
      <c r="I6321">
        <v>116134</v>
      </c>
      <c r="J6321">
        <v>18</v>
      </c>
      <c r="K6321">
        <v>66490</v>
      </c>
      <c r="L6321">
        <v>14</v>
      </c>
      <c r="M6321">
        <v>99</v>
      </c>
      <c r="N6321">
        <v>262</v>
      </c>
      <c r="O6321">
        <f t="shared" si="204"/>
        <v>2024</v>
      </c>
      <c r="P6321">
        <f t="shared" si="205"/>
        <v>10</v>
      </c>
      <c r="Q6321" t="s">
        <v>785</v>
      </c>
      <c r="R6321" t="s">
        <v>805</v>
      </c>
    </row>
    <row r="6322" spans="1:18" x14ac:dyDescent="0.3">
      <c r="A6322" t="s">
        <v>627</v>
      </c>
      <c r="B6322" s="16">
        <v>45577</v>
      </c>
      <c r="C6322" t="s">
        <v>3</v>
      </c>
      <c r="D6322" t="s">
        <v>128</v>
      </c>
      <c r="E6322">
        <v>575</v>
      </c>
      <c r="F6322">
        <v>443</v>
      </c>
      <c r="G6322">
        <v>16</v>
      </c>
      <c r="H6322">
        <v>2</v>
      </c>
      <c r="I6322">
        <v>16950</v>
      </c>
      <c r="J6322">
        <v>4</v>
      </c>
      <c r="K6322">
        <v>16950</v>
      </c>
      <c r="L6322">
        <v>4</v>
      </c>
      <c r="M6322">
        <v>203</v>
      </c>
      <c r="N6322">
        <v>469</v>
      </c>
      <c r="O6322">
        <f t="shared" si="204"/>
        <v>2024</v>
      </c>
      <c r="P6322">
        <f t="shared" si="205"/>
        <v>10</v>
      </c>
      <c r="Q6322" t="s">
        <v>785</v>
      </c>
      <c r="R6322" t="s">
        <v>805</v>
      </c>
    </row>
    <row r="6323" spans="1:18" x14ac:dyDescent="0.3">
      <c r="A6323" t="s">
        <v>627</v>
      </c>
      <c r="B6323" s="16">
        <v>45577</v>
      </c>
      <c r="C6323" t="s">
        <v>3</v>
      </c>
      <c r="D6323" t="s">
        <v>127</v>
      </c>
      <c r="E6323">
        <v>1281</v>
      </c>
      <c r="F6323">
        <v>876</v>
      </c>
      <c r="G6323">
        <v>25</v>
      </c>
      <c r="H6323">
        <v>6</v>
      </c>
      <c r="I6323">
        <v>29805</v>
      </c>
      <c r="J6323">
        <v>6</v>
      </c>
      <c r="K6323">
        <v>23855</v>
      </c>
      <c r="L6323">
        <v>5</v>
      </c>
      <c r="M6323">
        <v>202</v>
      </c>
      <c r="N6323">
        <v>974</v>
      </c>
      <c r="O6323">
        <f t="shared" si="204"/>
        <v>2024</v>
      </c>
      <c r="P6323">
        <f t="shared" si="205"/>
        <v>10</v>
      </c>
      <c r="Q6323" t="s">
        <v>785</v>
      </c>
      <c r="R6323" t="s">
        <v>805</v>
      </c>
    </row>
    <row r="6324" spans="1:18" x14ac:dyDescent="0.3">
      <c r="A6324" t="s">
        <v>627</v>
      </c>
      <c r="B6324" s="16">
        <v>45577</v>
      </c>
      <c r="C6324" t="s">
        <v>3</v>
      </c>
      <c r="D6324" t="s">
        <v>126</v>
      </c>
      <c r="E6324">
        <v>100</v>
      </c>
      <c r="F6324">
        <v>69</v>
      </c>
      <c r="G6324">
        <v>2</v>
      </c>
      <c r="H6324">
        <v>0</v>
      </c>
      <c r="I6324">
        <v>7960</v>
      </c>
      <c r="J6324">
        <v>1</v>
      </c>
      <c r="K6324">
        <v>7960</v>
      </c>
      <c r="L6324">
        <v>1</v>
      </c>
      <c r="M6324">
        <v>15</v>
      </c>
      <c r="N6324">
        <v>92</v>
      </c>
      <c r="O6324">
        <f t="shared" si="204"/>
        <v>2024</v>
      </c>
      <c r="P6324">
        <f t="shared" si="205"/>
        <v>10</v>
      </c>
      <c r="Q6324" t="s">
        <v>785</v>
      </c>
      <c r="R6324" t="s">
        <v>805</v>
      </c>
    </row>
    <row r="6325" spans="1:18" x14ac:dyDescent="0.3">
      <c r="A6325" t="s">
        <v>627</v>
      </c>
      <c r="B6325" s="16">
        <v>45577</v>
      </c>
      <c r="C6325" t="s">
        <v>3</v>
      </c>
      <c r="D6325" t="s">
        <v>125</v>
      </c>
      <c r="E6325">
        <v>6</v>
      </c>
      <c r="F6325">
        <v>4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3</v>
      </c>
      <c r="N6325">
        <v>6</v>
      </c>
      <c r="O6325">
        <f t="shared" si="204"/>
        <v>2024</v>
      </c>
      <c r="P6325">
        <f t="shared" si="205"/>
        <v>10</v>
      </c>
      <c r="Q6325" t="s">
        <v>785</v>
      </c>
      <c r="R6325" t="s">
        <v>805</v>
      </c>
    </row>
    <row r="6326" spans="1:18" x14ac:dyDescent="0.3">
      <c r="A6326" t="s">
        <v>627</v>
      </c>
      <c r="B6326" s="16">
        <v>45577</v>
      </c>
      <c r="C6326" t="s">
        <v>3</v>
      </c>
      <c r="D6326" t="s">
        <v>123</v>
      </c>
      <c r="E6326">
        <v>315</v>
      </c>
      <c r="F6326">
        <v>142</v>
      </c>
      <c r="G6326">
        <v>21</v>
      </c>
      <c r="H6326">
        <v>11</v>
      </c>
      <c r="I6326">
        <v>18340</v>
      </c>
      <c r="J6326">
        <v>3</v>
      </c>
      <c r="K6326">
        <v>10180</v>
      </c>
      <c r="L6326">
        <v>2</v>
      </c>
      <c r="M6326">
        <v>122</v>
      </c>
      <c r="N6326">
        <v>258</v>
      </c>
      <c r="O6326">
        <f t="shared" si="204"/>
        <v>2024</v>
      </c>
      <c r="P6326">
        <f t="shared" si="205"/>
        <v>10</v>
      </c>
      <c r="Q6326" t="s">
        <v>785</v>
      </c>
      <c r="R6326" t="s">
        <v>805</v>
      </c>
    </row>
    <row r="6327" spans="1:18" x14ac:dyDescent="0.3">
      <c r="A6327" t="s">
        <v>627</v>
      </c>
      <c r="B6327" s="16">
        <v>45577</v>
      </c>
      <c r="C6327" t="s">
        <v>3</v>
      </c>
      <c r="D6327" t="s">
        <v>121</v>
      </c>
      <c r="E6327">
        <v>2</v>
      </c>
      <c r="F6327">
        <v>1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1</v>
      </c>
      <c r="N6327">
        <v>2</v>
      </c>
      <c r="O6327">
        <f t="shared" si="204"/>
        <v>2024</v>
      </c>
      <c r="P6327">
        <f t="shared" si="205"/>
        <v>10</v>
      </c>
      <c r="Q6327" t="s">
        <v>785</v>
      </c>
      <c r="R6327" t="s">
        <v>805</v>
      </c>
    </row>
    <row r="6328" spans="1:18" x14ac:dyDescent="0.3">
      <c r="A6328" t="s">
        <v>627</v>
      </c>
      <c r="B6328" s="16">
        <v>45577</v>
      </c>
      <c r="C6328" t="s">
        <v>3</v>
      </c>
      <c r="D6328" t="s">
        <v>120</v>
      </c>
      <c r="E6328">
        <v>278</v>
      </c>
      <c r="F6328">
        <v>172</v>
      </c>
      <c r="G6328">
        <v>17</v>
      </c>
      <c r="H6328">
        <v>0</v>
      </c>
      <c r="I6328">
        <v>9603</v>
      </c>
      <c r="J6328">
        <v>2</v>
      </c>
      <c r="K6328">
        <v>9603</v>
      </c>
      <c r="L6328">
        <v>2</v>
      </c>
      <c r="M6328">
        <v>60</v>
      </c>
      <c r="N6328">
        <v>270</v>
      </c>
      <c r="O6328">
        <f t="shared" si="204"/>
        <v>2024</v>
      </c>
      <c r="P6328">
        <f t="shared" si="205"/>
        <v>10</v>
      </c>
      <c r="Q6328" t="s">
        <v>785</v>
      </c>
      <c r="R6328" t="s">
        <v>805</v>
      </c>
    </row>
    <row r="6329" spans="1:18" x14ac:dyDescent="0.3">
      <c r="A6329" t="s">
        <v>627</v>
      </c>
      <c r="B6329" s="16">
        <v>45577</v>
      </c>
      <c r="C6329" t="s">
        <v>3</v>
      </c>
      <c r="D6329" t="s">
        <v>119</v>
      </c>
      <c r="E6329">
        <v>228</v>
      </c>
      <c r="F6329">
        <v>77</v>
      </c>
      <c r="G6329">
        <v>19</v>
      </c>
      <c r="H6329">
        <v>4</v>
      </c>
      <c r="I6329">
        <v>74955</v>
      </c>
      <c r="J6329">
        <v>16</v>
      </c>
      <c r="K6329">
        <v>52975</v>
      </c>
      <c r="L6329">
        <v>12</v>
      </c>
      <c r="M6329">
        <v>72</v>
      </c>
      <c r="N6329">
        <v>210</v>
      </c>
      <c r="O6329">
        <f t="shared" si="204"/>
        <v>2024</v>
      </c>
      <c r="P6329">
        <f t="shared" si="205"/>
        <v>10</v>
      </c>
      <c r="Q6329" t="s">
        <v>785</v>
      </c>
      <c r="R6329" t="s">
        <v>805</v>
      </c>
    </row>
    <row r="6330" spans="1:18" x14ac:dyDescent="0.3">
      <c r="A6330" t="s">
        <v>627</v>
      </c>
      <c r="B6330" s="16">
        <v>45577</v>
      </c>
      <c r="C6330" t="s">
        <v>3</v>
      </c>
      <c r="D6330" t="s">
        <v>115</v>
      </c>
      <c r="E6330">
        <v>5</v>
      </c>
      <c r="F6330">
        <v>1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1</v>
      </c>
      <c r="N6330">
        <v>5</v>
      </c>
      <c r="O6330">
        <f t="shared" si="204"/>
        <v>2024</v>
      </c>
      <c r="P6330">
        <f t="shared" si="205"/>
        <v>10</v>
      </c>
      <c r="Q6330" t="s">
        <v>785</v>
      </c>
      <c r="R6330" t="s">
        <v>805</v>
      </c>
    </row>
    <row r="6331" spans="1:18" x14ac:dyDescent="0.3">
      <c r="A6331" t="s">
        <v>627</v>
      </c>
      <c r="B6331" s="16">
        <v>45577</v>
      </c>
      <c r="C6331" t="s">
        <v>3</v>
      </c>
      <c r="D6331" t="s">
        <v>114</v>
      </c>
      <c r="E6331">
        <v>16</v>
      </c>
      <c r="F6331">
        <v>12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3</v>
      </c>
      <c r="N6331">
        <v>4</v>
      </c>
      <c r="O6331">
        <f t="shared" si="204"/>
        <v>2024</v>
      </c>
      <c r="P6331">
        <f t="shared" si="205"/>
        <v>10</v>
      </c>
      <c r="Q6331" t="s">
        <v>785</v>
      </c>
      <c r="R6331" t="s">
        <v>805</v>
      </c>
    </row>
    <row r="6332" spans="1:18" x14ac:dyDescent="0.3">
      <c r="A6332" t="s">
        <v>627</v>
      </c>
      <c r="B6332" s="16">
        <v>45577</v>
      </c>
      <c r="C6332" t="s">
        <v>3</v>
      </c>
      <c r="D6332" t="s">
        <v>113</v>
      </c>
      <c r="E6332">
        <v>85</v>
      </c>
      <c r="F6332">
        <v>49</v>
      </c>
      <c r="G6332">
        <v>4</v>
      </c>
      <c r="H6332">
        <v>0</v>
      </c>
      <c r="I6332">
        <v>7388</v>
      </c>
      <c r="J6332">
        <v>2</v>
      </c>
      <c r="K6332">
        <v>7388</v>
      </c>
      <c r="L6332">
        <v>2</v>
      </c>
      <c r="M6332">
        <v>79</v>
      </c>
      <c r="N6332">
        <v>44</v>
      </c>
      <c r="O6332">
        <f t="shared" si="204"/>
        <v>2024</v>
      </c>
      <c r="P6332">
        <f t="shared" si="205"/>
        <v>10</v>
      </c>
      <c r="Q6332" t="s">
        <v>785</v>
      </c>
      <c r="R6332" t="s">
        <v>805</v>
      </c>
    </row>
    <row r="6333" spans="1:18" x14ac:dyDescent="0.3">
      <c r="A6333" t="s">
        <v>627</v>
      </c>
      <c r="B6333" s="16">
        <v>45577</v>
      </c>
      <c r="C6333" t="s">
        <v>3</v>
      </c>
      <c r="D6333" t="s">
        <v>112</v>
      </c>
      <c r="E6333">
        <v>12</v>
      </c>
      <c r="F6333">
        <v>2</v>
      </c>
      <c r="G6333">
        <v>0</v>
      </c>
      <c r="H6333">
        <v>0</v>
      </c>
      <c r="I6333">
        <v>4150</v>
      </c>
      <c r="J6333">
        <v>1</v>
      </c>
      <c r="K6333">
        <v>4150</v>
      </c>
      <c r="L6333">
        <v>1</v>
      </c>
      <c r="M6333">
        <v>1</v>
      </c>
      <c r="N6333">
        <v>12</v>
      </c>
      <c r="O6333">
        <f t="shared" si="204"/>
        <v>2024</v>
      </c>
      <c r="P6333">
        <f t="shared" si="205"/>
        <v>10</v>
      </c>
      <c r="Q6333" t="s">
        <v>785</v>
      </c>
      <c r="R6333" t="s">
        <v>805</v>
      </c>
    </row>
    <row r="6334" spans="1:18" x14ac:dyDescent="0.3">
      <c r="A6334" t="s">
        <v>627</v>
      </c>
      <c r="B6334" s="16">
        <v>45576</v>
      </c>
      <c r="C6334" t="s">
        <v>2</v>
      </c>
      <c r="D6334" t="s">
        <v>4</v>
      </c>
      <c r="E6334">
        <v>249</v>
      </c>
      <c r="F6334">
        <v>102</v>
      </c>
      <c r="G6334">
        <v>1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9</v>
      </c>
      <c r="N6334">
        <v>246</v>
      </c>
      <c r="O6334">
        <f t="shared" si="204"/>
        <v>2024</v>
      </c>
      <c r="P6334">
        <f t="shared" si="205"/>
        <v>10</v>
      </c>
      <c r="Q6334" t="s">
        <v>785</v>
      </c>
    </row>
    <row r="6335" spans="1:18" x14ac:dyDescent="0.3">
      <c r="A6335" t="s">
        <v>627</v>
      </c>
      <c r="B6335" s="16">
        <v>45576</v>
      </c>
      <c r="C6335" t="s">
        <v>2</v>
      </c>
      <c r="D6335" t="s">
        <v>57</v>
      </c>
      <c r="E6335">
        <v>13844</v>
      </c>
      <c r="F6335">
        <v>9330</v>
      </c>
      <c r="G6335">
        <v>208</v>
      </c>
      <c r="H6335">
        <v>133</v>
      </c>
      <c r="I6335">
        <v>81035</v>
      </c>
      <c r="J6335">
        <v>10</v>
      </c>
      <c r="K6335">
        <v>12145</v>
      </c>
      <c r="L6335">
        <v>2</v>
      </c>
      <c r="M6335">
        <v>857</v>
      </c>
      <c r="N6335">
        <v>13797</v>
      </c>
      <c r="O6335">
        <f t="shared" si="204"/>
        <v>2024</v>
      </c>
      <c r="P6335">
        <f t="shared" si="205"/>
        <v>10</v>
      </c>
      <c r="Q6335" t="s">
        <v>785</v>
      </c>
    </row>
    <row r="6336" spans="1:18" x14ac:dyDescent="0.3">
      <c r="A6336" t="s">
        <v>627</v>
      </c>
      <c r="B6336" s="16">
        <v>45576</v>
      </c>
      <c r="C6336" t="s">
        <v>2</v>
      </c>
      <c r="D6336" t="s">
        <v>52</v>
      </c>
      <c r="E6336">
        <v>3266</v>
      </c>
      <c r="F6336">
        <v>2863</v>
      </c>
      <c r="G6336">
        <v>14</v>
      </c>
      <c r="H6336">
        <v>2</v>
      </c>
      <c r="I6336">
        <v>0</v>
      </c>
      <c r="J6336">
        <v>0</v>
      </c>
      <c r="K6336">
        <v>0</v>
      </c>
      <c r="L6336">
        <v>0</v>
      </c>
      <c r="M6336">
        <v>3266</v>
      </c>
      <c r="N6336">
        <v>881</v>
      </c>
      <c r="O6336">
        <f t="shared" si="204"/>
        <v>2024</v>
      </c>
      <c r="P6336">
        <f t="shared" si="205"/>
        <v>10</v>
      </c>
      <c r="Q6336" t="s">
        <v>785</v>
      </c>
    </row>
    <row r="6337" spans="1:17" x14ac:dyDescent="0.3">
      <c r="A6337" t="s">
        <v>627</v>
      </c>
      <c r="B6337" s="16">
        <v>45576</v>
      </c>
      <c r="C6337" t="s">
        <v>2</v>
      </c>
      <c r="D6337" t="s">
        <v>55</v>
      </c>
      <c r="E6337">
        <v>21</v>
      </c>
      <c r="F6337">
        <v>17</v>
      </c>
      <c r="G6337">
        <v>5</v>
      </c>
      <c r="H6337">
        <v>4</v>
      </c>
      <c r="I6337">
        <v>0</v>
      </c>
      <c r="J6337">
        <v>0</v>
      </c>
      <c r="K6337">
        <v>0</v>
      </c>
      <c r="L6337">
        <v>0</v>
      </c>
      <c r="M6337">
        <v>1</v>
      </c>
      <c r="N6337">
        <v>19</v>
      </c>
      <c r="O6337">
        <f t="shared" si="204"/>
        <v>2024</v>
      </c>
      <c r="P6337">
        <f t="shared" si="205"/>
        <v>10</v>
      </c>
      <c r="Q6337" t="s">
        <v>785</v>
      </c>
    </row>
    <row r="6338" spans="1:17" x14ac:dyDescent="0.3">
      <c r="A6338" t="s">
        <v>627</v>
      </c>
      <c r="B6338" s="16">
        <v>45576</v>
      </c>
      <c r="C6338" t="s">
        <v>3</v>
      </c>
      <c r="D6338" t="s">
        <v>155</v>
      </c>
      <c r="E6338">
        <v>6</v>
      </c>
      <c r="F6338">
        <v>4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6</v>
      </c>
      <c r="O6338">
        <f t="shared" si="204"/>
        <v>2024</v>
      </c>
      <c r="P6338">
        <f t="shared" si="205"/>
        <v>10</v>
      </c>
      <c r="Q6338" t="s">
        <v>785</v>
      </c>
    </row>
    <row r="6339" spans="1:17" x14ac:dyDescent="0.3">
      <c r="A6339" t="s">
        <v>627</v>
      </c>
      <c r="B6339" s="16">
        <v>45576</v>
      </c>
      <c r="C6339" t="s">
        <v>3</v>
      </c>
      <c r="D6339" t="s">
        <v>154</v>
      </c>
      <c r="E6339">
        <v>5</v>
      </c>
      <c r="F6339">
        <v>4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f t="shared" si="204"/>
        <v>2024</v>
      </c>
      <c r="P6339">
        <f t="shared" si="205"/>
        <v>10</v>
      </c>
      <c r="Q6339" t="s">
        <v>785</v>
      </c>
    </row>
    <row r="6340" spans="1:17" x14ac:dyDescent="0.3">
      <c r="A6340" t="s">
        <v>627</v>
      </c>
      <c r="B6340" s="16">
        <v>45576</v>
      </c>
      <c r="C6340" t="s">
        <v>3</v>
      </c>
      <c r="D6340" t="s">
        <v>153</v>
      </c>
      <c r="E6340">
        <v>212</v>
      </c>
      <c r="F6340">
        <v>58</v>
      </c>
      <c r="G6340">
        <v>17</v>
      </c>
      <c r="H6340">
        <v>6</v>
      </c>
      <c r="I6340">
        <v>7190</v>
      </c>
      <c r="J6340">
        <v>2</v>
      </c>
      <c r="K6340">
        <v>0</v>
      </c>
      <c r="L6340">
        <v>0</v>
      </c>
      <c r="M6340">
        <v>66</v>
      </c>
      <c r="N6340">
        <v>198</v>
      </c>
      <c r="O6340">
        <f t="shared" si="204"/>
        <v>2024</v>
      </c>
      <c r="P6340">
        <f t="shared" si="205"/>
        <v>10</v>
      </c>
      <c r="Q6340" t="s">
        <v>785</v>
      </c>
    </row>
    <row r="6341" spans="1:17" x14ac:dyDescent="0.3">
      <c r="A6341" t="s">
        <v>627</v>
      </c>
      <c r="B6341" s="16">
        <v>45576</v>
      </c>
      <c r="C6341" t="s">
        <v>3</v>
      </c>
      <c r="D6341" t="s">
        <v>152</v>
      </c>
      <c r="E6341">
        <v>1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1</v>
      </c>
      <c r="O6341">
        <f t="shared" si="204"/>
        <v>2024</v>
      </c>
      <c r="P6341">
        <f t="shared" si="205"/>
        <v>10</v>
      </c>
      <c r="Q6341" t="s">
        <v>785</v>
      </c>
    </row>
    <row r="6342" spans="1:17" x14ac:dyDescent="0.3">
      <c r="A6342" t="s">
        <v>627</v>
      </c>
      <c r="B6342" s="16">
        <v>45576</v>
      </c>
      <c r="C6342" t="s">
        <v>3</v>
      </c>
      <c r="D6342" t="s">
        <v>150</v>
      </c>
      <c r="E6342">
        <v>2</v>
      </c>
      <c r="F6342">
        <v>1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1</v>
      </c>
      <c r="O6342">
        <f t="shared" si="204"/>
        <v>2024</v>
      </c>
      <c r="P6342">
        <f t="shared" si="205"/>
        <v>10</v>
      </c>
      <c r="Q6342" t="s">
        <v>785</v>
      </c>
    </row>
    <row r="6343" spans="1:17" x14ac:dyDescent="0.3">
      <c r="A6343" t="s">
        <v>627</v>
      </c>
      <c r="B6343" s="16">
        <v>45576</v>
      </c>
      <c r="C6343" t="s">
        <v>3</v>
      </c>
      <c r="D6343" t="s">
        <v>149</v>
      </c>
      <c r="E6343">
        <v>9</v>
      </c>
      <c r="F6343">
        <v>8</v>
      </c>
      <c r="G6343">
        <v>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1</v>
      </c>
      <c r="N6343">
        <v>9</v>
      </c>
      <c r="O6343">
        <f t="shared" si="204"/>
        <v>2024</v>
      </c>
      <c r="P6343">
        <f t="shared" si="205"/>
        <v>10</v>
      </c>
      <c r="Q6343" t="s">
        <v>785</v>
      </c>
    </row>
    <row r="6344" spans="1:17" x14ac:dyDescent="0.3">
      <c r="A6344" t="s">
        <v>627</v>
      </c>
      <c r="B6344" s="16">
        <v>45576</v>
      </c>
      <c r="C6344" t="s">
        <v>3</v>
      </c>
      <c r="D6344" t="s">
        <v>148</v>
      </c>
      <c r="E6344">
        <v>2</v>
      </c>
      <c r="F6344">
        <v>2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2</v>
      </c>
      <c r="N6344">
        <v>0</v>
      </c>
      <c r="O6344">
        <f t="shared" si="204"/>
        <v>2024</v>
      </c>
      <c r="P6344">
        <f t="shared" si="205"/>
        <v>10</v>
      </c>
      <c r="Q6344" t="s">
        <v>785</v>
      </c>
    </row>
    <row r="6345" spans="1:17" x14ac:dyDescent="0.3">
      <c r="A6345" t="s">
        <v>627</v>
      </c>
      <c r="B6345" s="16">
        <v>45576</v>
      </c>
      <c r="C6345" t="s">
        <v>3</v>
      </c>
      <c r="D6345" t="s">
        <v>251</v>
      </c>
      <c r="E6345">
        <v>272</v>
      </c>
      <c r="F6345">
        <v>140</v>
      </c>
      <c r="G6345">
        <v>6</v>
      </c>
      <c r="H6345">
        <v>2</v>
      </c>
      <c r="I6345">
        <v>13500</v>
      </c>
      <c r="J6345">
        <v>1</v>
      </c>
      <c r="K6345">
        <v>0</v>
      </c>
      <c r="L6345">
        <v>0</v>
      </c>
      <c r="M6345">
        <v>37</v>
      </c>
      <c r="N6345">
        <v>248</v>
      </c>
      <c r="O6345">
        <f t="shared" ref="O6345:O6394" si="206">YEAR(B6345)</f>
        <v>2024</v>
      </c>
      <c r="P6345">
        <f t="shared" ref="P6345:P6394" si="207">MONTH(B6345)</f>
        <v>10</v>
      </c>
      <c r="Q6345" t="s">
        <v>785</v>
      </c>
    </row>
    <row r="6346" spans="1:17" x14ac:dyDescent="0.3">
      <c r="A6346" t="s">
        <v>627</v>
      </c>
      <c r="B6346" s="16">
        <v>45576</v>
      </c>
      <c r="C6346" t="s">
        <v>3</v>
      </c>
      <c r="D6346" t="s">
        <v>143</v>
      </c>
      <c r="E6346">
        <v>29</v>
      </c>
      <c r="F6346">
        <v>25</v>
      </c>
      <c r="G6346">
        <v>2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29</v>
      </c>
      <c r="O6346">
        <f t="shared" si="206"/>
        <v>2024</v>
      </c>
      <c r="P6346">
        <f t="shared" si="207"/>
        <v>10</v>
      </c>
      <c r="Q6346" t="s">
        <v>785</v>
      </c>
    </row>
    <row r="6347" spans="1:17" x14ac:dyDescent="0.3">
      <c r="A6347" t="s">
        <v>627</v>
      </c>
      <c r="B6347" s="16">
        <v>45576</v>
      </c>
      <c r="C6347" t="s">
        <v>3</v>
      </c>
      <c r="D6347" t="s">
        <v>141</v>
      </c>
      <c r="E6347">
        <v>2</v>
      </c>
      <c r="F6347">
        <v>2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2</v>
      </c>
      <c r="O6347">
        <f t="shared" si="206"/>
        <v>2024</v>
      </c>
      <c r="P6347">
        <f t="shared" si="207"/>
        <v>10</v>
      </c>
      <c r="Q6347" t="s">
        <v>785</v>
      </c>
    </row>
    <row r="6348" spans="1:17" x14ac:dyDescent="0.3">
      <c r="A6348" t="s">
        <v>627</v>
      </c>
      <c r="B6348" s="16">
        <v>45576</v>
      </c>
      <c r="C6348" t="s">
        <v>3</v>
      </c>
      <c r="D6348" t="s">
        <v>140</v>
      </c>
      <c r="E6348">
        <v>6</v>
      </c>
      <c r="F6348">
        <v>6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2</v>
      </c>
      <c r="N6348">
        <v>4</v>
      </c>
      <c r="O6348">
        <f t="shared" si="206"/>
        <v>2024</v>
      </c>
      <c r="P6348">
        <f t="shared" si="207"/>
        <v>10</v>
      </c>
      <c r="Q6348" t="s">
        <v>785</v>
      </c>
    </row>
    <row r="6349" spans="1:17" x14ac:dyDescent="0.3">
      <c r="A6349" t="s">
        <v>627</v>
      </c>
      <c r="B6349" s="16">
        <v>45576</v>
      </c>
      <c r="C6349" t="s">
        <v>3</v>
      </c>
      <c r="D6349" t="s">
        <v>139</v>
      </c>
      <c r="E6349">
        <v>437</v>
      </c>
      <c r="F6349">
        <v>292</v>
      </c>
      <c r="G6349">
        <v>13</v>
      </c>
      <c r="H6349">
        <v>5</v>
      </c>
      <c r="I6349">
        <v>16995</v>
      </c>
      <c r="J6349">
        <v>2</v>
      </c>
      <c r="K6349">
        <v>0</v>
      </c>
      <c r="L6349">
        <v>0</v>
      </c>
      <c r="M6349">
        <v>216</v>
      </c>
      <c r="N6349">
        <v>288</v>
      </c>
      <c r="O6349">
        <f t="shared" si="206"/>
        <v>2024</v>
      </c>
      <c r="P6349">
        <f t="shared" si="207"/>
        <v>10</v>
      </c>
      <c r="Q6349" t="s">
        <v>785</v>
      </c>
    </row>
    <row r="6350" spans="1:17" x14ac:dyDescent="0.3">
      <c r="A6350" t="s">
        <v>627</v>
      </c>
      <c r="B6350" s="16">
        <v>45576</v>
      </c>
      <c r="C6350" t="s">
        <v>3</v>
      </c>
      <c r="D6350" t="s">
        <v>138</v>
      </c>
      <c r="E6350">
        <v>8</v>
      </c>
      <c r="F6350">
        <v>8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2</v>
      </c>
      <c r="N6350">
        <v>7</v>
      </c>
      <c r="O6350">
        <f t="shared" si="206"/>
        <v>2024</v>
      </c>
      <c r="P6350">
        <f t="shared" si="207"/>
        <v>10</v>
      </c>
      <c r="Q6350" t="s">
        <v>785</v>
      </c>
    </row>
    <row r="6351" spans="1:17" x14ac:dyDescent="0.3">
      <c r="A6351" t="s">
        <v>627</v>
      </c>
      <c r="B6351" s="16">
        <v>45576</v>
      </c>
      <c r="C6351" t="s">
        <v>3</v>
      </c>
      <c r="D6351" t="s">
        <v>137</v>
      </c>
      <c r="E6351">
        <v>4</v>
      </c>
      <c r="F6351">
        <v>1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1</v>
      </c>
      <c r="N6351">
        <v>4</v>
      </c>
      <c r="O6351">
        <f t="shared" si="206"/>
        <v>2024</v>
      </c>
      <c r="P6351">
        <f t="shared" si="207"/>
        <v>10</v>
      </c>
      <c r="Q6351" t="s">
        <v>785</v>
      </c>
    </row>
    <row r="6352" spans="1:17" x14ac:dyDescent="0.3">
      <c r="A6352" t="s">
        <v>627</v>
      </c>
      <c r="B6352" s="16">
        <v>45576</v>
      </c>
      <c r="C6352" t="s">
        <v>3</v>
      </c>
      <c r="D6352" t="s">
        <v>135</v>
      </c>
      <c r="E6352">
        <v>4</v>
      </c>
      <c r="F6352">
        <v>4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2</v>
      </c>
      <c r="O6352">
        <f t="shared" si="206"/>
        <v>2024</v>
      </c>
      <c r="P6352">
        <f t="shared" si="207"/>
        <v>10</v>
      </c>
      <c r="Q6352" t="s">
        <v>785</v>
      </c>
    </row>
    <row r="6353" spans="1:17" x14ac:dyDescent="0.3">
      <c r="A6353" t="s">
        <v>627</v>
      </c>
      <c r="B6353" s="16">
        <v>45576</v>
      </c>
      <c r="C6353" t="s">
        <v>3</v>
      </c>
      <c r="D6353" t="s">
        <v>133</v>
      </c>
      <c r="E6353">
        <v>17</v>
      </c>
      <c r="F6353">
        <v>9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6</v>
      </c>
      <c r="N6353">
        <v>15</v>
      </c>
      <c r="O6353">
        <f t="shared" si="206"/>
        <v>2024</v>
      </c>
      <c r="P6353">
        <f t="shared" si="207"/>
        <v>10</v>
      </c>
      <c r="Q6353" t="s">
        <v>785</v>
      </c>
    </row>
    <row r="6354" spans="1:17" x14ac:dyDescent="0.3">
      <c r="A6354" t="s">
        <v>627</v>
      </c>
      <c r="B6354" s="16">
        <v>45576</v>
      </c>
      <c r="C6354" t="s">
        <v>3</v>
      </c>
      <c r="D6354" t="s">
        <v>130</v>
      </c>
      <c r="E6354">
        <v>53</v>
      </c>
      <c r="F6354">
        <v>27</v>
      </c>
      <c r="G6354">
        <v>7</v>
      </c>
      <c r="H6354">
        <v>2</v>
      </c>
      <c r="I6354">
        <v>4895</v>
      </c>
      <c r="J6354">
        <v>1</v>
      </c>
      <c r="K6354">
        <v>4895</v>
      </c>
      <c r="L6354">
        <v>1</v>
      </c>
      <c r="M6354">
        <v>28</v>
      </c>
      <c r="N6354">
        <v>48</v>
      </c>
      <c r="O6354">
        <f t="shared" si="206"/>
        <v>2024</v>
      </c>
      <c r="P6354">
        <f t="shared" si="207"/>
        <v>10</v>
      </c>
      <c r="Q6354" t="s">
        <v>785</v>
      </c>
    </row>
    <row r="6355" spans="1:17" x14ac:dyDescent="0.3">
      <c r="A6355" t="s">
        <v>627</v>
      </c>
      <c r="B6355" s="16">
        <v>45576</v>
      </c>
      <c r="C6355" t="s">
        <v>3</v>
      </c>
      <c r="D6355" t="s">
        <v>128</v>
      </c>
      <c r="E6355">
        <v>474</v>
      </c>
      <c r="F6355">
        <v>386</v>
      </c>
      <c r="G6355">
        <v>11</v>
      </c>
      <c r="H6355">
        <v>4</v>
      </c>
      <c r="I6355">
        <v>5750</v>
      </c>
      <c r="J6355">
        <v>1</v>
      </c>
      <c r="K6355">
        <v>5750</v>
      </c>
      <c r="L6355">
        <v>1</v>
      </c>
      <c r="M6355">
        <v>207</v>
      </c>
      <c r="N6355">
        <v>357</v>
      </c>
      <c r="O6355">
        <f t="shared" si="206"/>
        <v>2024</v>
      </c>
      <c r="P6355">
        <f t="shared" si="207"/>
        <v>10</v>
      </c>
      <c r="Q6355" t="s">
        <v>785</v>
      </c>
    </row>
    <row r="6356" spans="1:17" x14ac:dyDescent="0.3">
      <c r="A6356" t="s">
        <v>627</v>
      </c>
      <c r="B6356" s="16">
        <v>45576</v>
      </c>
      <c r="C6356" t="s">
        <v>3</v>
      </c>
      <c r="D6356" t="s">
        <v>127</v>
      </c>
      <c r="E6356">
        <v>1209</v>
      </c>
      <c r="F6356">
        <v>884</v>
      </c>
      <c r="G6356">
        <v>10</v>
      </c>
      <c r="H6356">
        <v>9</v>
      </c>
      <c r="I6356">
        <v>0</v>
      </c>
      <c r="J6356">
        <v>0</v>
      </c>
      <c r="K6356">
        <v>0</v>
      </c>
      <c r="L6356">
        <v>0</v>
      </c>
      <c r="M6356">
        <v>183</v>
      </c>
      <c r="N6356">
        <v>980</v>
      </c>
      <c r="O6356">
        <f t="shared" si="206"/>
        <v>2024</v>
      </c>
      <c r="P6356">
        <f t="shared" si="207"/>
        <v>10</v>
      </c>
      <c r="Q6356" t="s">
        <v>785</v>
      </c>
    </row>
    <row r="6357" spans="1:17" x14ac:dyDescent="0.3">
      <c r="A6357" t="s">
        <v>627</v>
      </c>
      <c r="B6357" s="16">
        <v>45576</v>
      </c>
      <c r="C6357" t="s">
        <v>3</v>
      </c>
      <c r="D6357" t="s">
        <v>126</v>
      </c>
      <c r="E6357">
        <v>151</v>
      </c>
      <c r="F6357">
        <v>108</v>
      </c>
      <c r="G6357">
        <v>3</v>
      </c>
      <c r="H6357">
        <v>5</v>
      </c>
      <c r="I6357">
        <v>0</v>
      </c>
      <c r="J6357">
        <v>0</v>
      </c>
      <c r="K6357">
        <v>0</v>
      </c>
      <c r="L6357">
        <v>0</v>
      </c>
      <c r="M6357">
        <v>30</v>
      </c>
      <c r="N6357">
        <v>140</v>
      </c>
      <c r="O6357">
        <f t="shared" si="206"/>
        <v>2024</v>
      </c>
      <c r="P6357">
        <f t="shared" si="207"/>
        <v>10</v>
      </c>
      <c r="Q6357" t="s">
        <v>785</v>
      </c>
    </row>
    <row r="6358" spans="1:17" x14ac:dyDescent="0.3">
      <c r="A6358" t="s">
        <v>627</v>
      </c>
      <c r="B6358" s="16">
        <v>45576</v>
      </c>
      <c r="C6358" t="s">
        <v>3</v>
      </c>
      <c r="D6358" t="s">
        <v>125</v>
      </c>
      <c r="E6358">
        <v>3</v>
      </c>
      <c r="F6358">
        <v>2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1</v>
      </c>
      <c r="N6358">
        <v>3</v>
      </c>
      <c r="O6358">
        <f t="shared" si="206"/>
        <v>2024</v>
      </c>
      <c r="P6358">
        <f t="shared" si="207"/>
        <v>10</v>
      </c>
      <c r="Q6358" t="s">
        <v>785</v>
      </c>
    </row>
    <row r="6359" spans="1:17" x14ac:dyDescent="0.3">
      <c r="A6359" t="s">
        <v>627</v>
      </c>
      <c r="B6359" s="16">
        <v>45576</v>
      </c>
      <c r="C6359" t="s">
        <v>3</v>
      </c>
      <c r="D6359" t="s">
        <v>123</v>
      </c>
      <c r="E6359">
        <v>140</v>
      </c>
      <c r="F6359">
        <v>63</v>
      </c>
      <c r="G6359">
        <v>8</v>
      </c>
      <c r="H6359">
        <v>1</v>
      </c>
      <c r="I6359">
        <v>0</v>
      </c>
      <c r="J6359">
        <v>0</v>
      </c>
      <c r="K6359">
        <v>0</v>
      </c>
      <c r="L6359">
        <v>0</v>
      </c>
      <c r="M6359">
        <v>65</v>
      </c>
      <c r="N6359">
        <v>105</v>
      </c>
      <c r="O6359">
        <f t="shared" si="206"/>
        <v>2024</v>
      </c>
      <c r="P6359">
        <f t="shared" si="207"/>
        <v>10</v>
      </c>
      <c r="Q6359" t="s">
        <v>785</v>
      </c>
    </row>
    <row r="6360" spans="1:17" x14ac:dyDescent="0.3">
      <c r="A6360" t="s">
        <v>627</v>
      </c>
      <c r="B6360" s="16">
        <v>45576</v>
      </c>
      <c r="C6360" t="s">
        <v>3</v>
      </c>
      <c r="D6360" t="s">
        <v>120</v>
      </c>
      <c r="E6360">
        <v>274</v>
      </c>
      <c r="F6360">
        <v>183</v>
      </c>
      <c r="G6360">
        <v>6</v>
      </c>
      <c r="H6360">
        <v>0</v>
      </c>
      <c r="I6360">
        <v>7750</v>
      </c>
      <c r="J6360">
        <v>1</v>
      </c>
      <c r="K6360">
        <v>0</v>
      </c>
      <c r="L6360">
        <v>0</v>
      </c>
      <c r="M6360">
        <v>38</v>
      </c>
      <c r="N6360">
        <v>268</v>
      </c>
      <c r="O6360">
        <f t="shared" si="206"/>
        <v>2024</v>
      </c>
      <c r="P6360">
        <f t="shared" si="207"/>
        <v>10</v>
      </c>
      <c r="Q6360" t="s">
        <v>785</v>
      </c>
    </row>
    <row r="6361" spans="1:17" x14ac:dyDescent="0.3">
      <c r="A6361" t="s">
        <v>627</v>
      </c>
      <c r="B6361" s="16">
        <v>45576</v>
      </c>
      <c r="C6361" t="s">
        <v>3</v>
      </c>
      <c r="D6361" t="s">
        <v>119</v>
      </c>
      <c r="E6361">
        <v>128</v>
      </c>
      <c r="F6361">
        <v>53</v>
      </c>
      <c r="G6361">
        <v>6</v>
      </c>
      <c r="H6361">
        <v>8</v>
      </c>
      <c r="I6361">
        <v>10645</v>
      </c>
      <c r="J6361">
        <v>2</v>
      </c>
      <c r="K6361">
        <v>10645</v>
      </c>
      <c r="L6361">
        <v>2</v>
      </c>
      <c r="M6361">
        <v>29</v>
      </c>
      <c r="N6361">
        <v>122</v>
      </c>
      <c r="O6361">
        <f t="shared" si="206"/>
        <v>2024</v>
      </c>
      <c r="P6361">
        <f t="shared" si="207"/>
        <v>10</v>
      </c>
      <c r="Q6361" t="s">
        <v>785</v>
      </c>
    </row>
    <row r="6362" spans="1:17" x14ac:dyDescent="0.3">
      <c r="A6362" t="s">
        <v>627</v>
      </c>
      <c r="B6362" s="16">
        <v>45576</v>
      </c>
      <c r="C6362" t="s">
        <v>3</v>
      </c>
      <c r="D6362" t="s">
        <v>115</v>
      </c>
      <c r="E6362">
        <v>10</v>
      </c>
      <c r="F6362">
        <v>4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1</v>
      </c>
      <c r="N6362">
        <v>10</v>
      </c>
      <c r="O6362">
        <f t="shared" si="206"/>
        <v>2024</v>
      </c>
      <c r="P6362">
        <f t="shared" si="207"/>
        <v>10</v>
      </c>
      <c r="Q6362" t="s">
        <v>785</v>
      </c>
    </row>
    <row r="6363" spans="1:17" x14ac:dyDescent="0.3">
      <c r="A6363" t="s">
        <v>627</v>
      </c>
      <c r="B6363" s="16">
        <v>45576</v>
      </c>
      <c r="C6363" t="s">
        <v>3</v>
      </c>
      <c r="D6363" t="s">
        <v>114</v>
      </c>
      <c r="E6363">
        <v>1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f t="shared" si="206"/>
        <v>2024</v>
      </c>
      <c r="P6363">
        <f t="shared" si="207"/>
        <v>10</v>
      </c>
      <c r="Q6363" t="s">
        <v>785</v>
      </c>
    </row>
    <row r="6364" spans="1:17" x14ac:dyDescent="0.3">
      <c r="A6364" t="s">
        <v>627</v>
      </c>
      <c r="B6364" s="16">
        <v>45576</v>
      </c>
      <c r="C6364" t="s">
        <v>3</v>
      </c>
      <c r="D6364" t="s">
        <v>113</v>
      </c>
      <c r="E6364">
        <v>63</v>
      </c>
      <c r="F6364">
        <v>35</v>
      </c>
      <c r="G6364">
        <v>0</v>
      </c>
      <c r="H6364">
        <v>2</v>
      </c>
      <c r="I6364">
        <v>0</v>
      </c>
      <c r="J6364">
        <v>0</v>
      </c>
      <c r="K6364">
        <v>0</v>
      </c>
      <c r="L6364">
        <v>0</v>
      </c>
      <c r="M6364">
        <v>53</v>
      </c>
      <c r="N6364">
        <v>31</v>
      </c>
      <c r="O6364">
        <f t="shared" si="206"/>
        <v>2024</v>
      </c>
      <c r="P6364">
        <f t="shared" si="207"/>
        <v>10</v>
      </c>
      <c r="Q6364" t="s">
        <v>785</v>
      </c>
    </row>
    <row r="6365" spans="1:17" x14ac:dyDescent="0.3">
      <c r="A6365" t="s">
        <v>627</v>
      </c>
      <c r="B6365" s="16">
        <v>45576</v>
      </c>
      <c r="C6365" t="s">
        <v>3</v>
      </c>
      <c r="D6365" t="s">
        <v>112</v>
      </c>
      <c r="E6365">
        <v>24</v>
      </c>
      <c r="F6365">
        <v>4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24</v>
      </c>
      <c r="O6365">
        <f t="shared" si="206"/>
        <v>2024</v>
      </c>
      <c r="P6365">
        <f t="shared" si="207"/>
        <v>10</v>
      </c>
      <c r="Q6365" t="s">
        <v>785</v>
      </c>
    </row>
    <row r="6366" spans="1:17" x14ac:dyDescent="0.3">
      <c r="A6366" t="s">
        <v>627</v>
      </c>
      <c r="B6366" s="16">
        <v>45575</v>
      </c>
      <c r="C6366" t="s">
        <v>2</v>
      </c>
      <c r="D6366" t="s">
        <v>4</v>
      </c>
      <c r="E6366">
        <v>241</v>
      </c>
      <c r="F6366">
        <v>112</v>
      </c>
      <c r="G6366">
        <v>1</v>
      </c>
      <c r="H6366">
        <v>1</v>
      </c>
      <c r="I6366">
        <v>2410</v>
      </c>
      <c r="J6366">
        <v>1</v>
      </c>
      <c r="K6366">
        <v>2410</v>
      </c>
      <c r="L6366">
        <v>1</v>
      </c>
      <c r="M6366">
        <v>17</v>
      </c>
      <c r="N6366">
        <v>233</v>
      </c>
      <c r="O6366">
        <f t="shared" si="206"/>
        <v>2024</v>
      </c>
      <c r="P6366">
        <f t="shared" si="207"/>
        <v>10</v>
      </c>
      <c r="Q6366" t="s">
        <v>785</v>
      </c>
    </row>
    <row r="6367" spans="1:17" x14ac:dyDescent="0.3">
      <c r="A6367" t="s">
        <v>627</v>
      </c>
      <c r="B6367" s="16">
        <v>45575</v>
      </c>
      <c r="C6367" t="s">
        <v>2</v>
      </c>
      <c r="D6367" t="s">
        <v>57</v>
      </c>
      <c r="E6367">
        <v>14910</v>
      </c>
      <c r="F6367">
        <v>10742</v>
      </c>
      <c r="G6367">
        <v>244</v>
      </c>
      <c r="H6367">
        <v>161</v>
      </c>
      <c r="I6367">
        <v>174760</v>
      </c>
      <c r="J6367">
        <v>15</v>
      </c>
      <c r="K6367">
        <v>54495</v>
      </c>
      <c r="L6367">
        <v>6</v>
      </c>
      <c r="M6367">
        <v>1002</v>
      </c>
      <c r="N6367">
        <v>14855</v>
      </c>
      <c r="O6367">
        <f t="shared" si="206"/>
        <v>2024</v>
      </c>
      <c r="P6367">
        <f t="shared" si="207"/>
        <v>10</v>
      </c>
      <c r="Q6367" t="s">
        <v>785</v>
      </c>
    </row>
    <row r="6368" spans="1:17" x14ac:dyDescent="0.3">
      <c r="A6368" t="s">
        <v>627</v>
      </c>
      <c r="B6368" s="16">
        <v>45575</v>
      </c>
      <c r="C6368" t="s">
        <v>2</v>
      </c>
      <c r="D6368" t="s">
        <v>52</v>
      </c>
      <c r="E6368">
        <v>3086</v>
      </c>
      <c r="F6368">
        <v>2762</v>
      </c>
      <c r="G6368">
        <v>13</v>
      </c>
      <c r="H6368">
        <v>2</v>
      </c>
      <c r="I6368">
        <v>2410</v>
      </c>
      <c r="J6368">
        <v>1</v>
      </c>
      <c r="K6368">
        <v>2410</v>
      </c>
      <c r="L6368">
        <v>1</v>
      </c>
      <c r="M6368">
        <v>3086</v>
      </c>
      <c r="N6368">
        <v>846</v>
      </c>
      <c r="O6368">
        <f t="shared" si="206"/>
        <v>2024</v>
      </c>
      <c r="P6368">
        <f t="shared" si="207"/>
        <v>10</v>
      </c>
      <c r="Q6368" t="s">
        <v>785</v>
      </c>
    </row>
    <row r="6369" spans="1:17" x14ac:dyDescent="0.3">
      <c r="A6369" t="s">
        <v>627</v>
      </c>
      <c r="B6369" s="16">
        <v>45575</v>
      </c>
      <c r="C6369" t="s">
        <v>2</v>
      </c>
      <c r="D6369" t="s">
        <v>55</v>
      </c>
      <c r="E6369">
        <v>667</v>
      </c>
      <c r="F6369">
        <v>556</v>
      </c>
      <c r="G6369">
        <v>2</v>
      </c>
      <c r="H6369">
        <v>1</v>
      </c>
      <c r="I6369">
        <v>0</v>
      </c>
      <c r="J6369">
        <v>0</v>
      </c>
      <c r="K6369">
        <v>0</v>
      </c>
      <c r="L6369">
        <v>0</v>
      </c>
      <c r="M6369">
        <v>14</v>
      </c>
      <c r="N6369">
        <v>237</v>
      </c>
      <c r="O6369">
        <f t="shared" si="206"/>
        <v>2024</v>
      </c>
      <c r="P6369">
        <f t="shared" si="207"/>
        <v>10</v>
      </c>
      <c r="Q6369" t="s">
        <v>785</v>
      </c>
    </row>
    <row r="6370" spans="1:17" x14ac:dyDescent="0.3">
      <c r="A6370" t="s">
        <v>627</v>
      </c>
      <c r="B6370" s="16">
        <v>45575</v>
      </c>
      <c r="C6370" t="s">
        <v>3</v>
      </c>
      <c r="D6370" t="s">
        <v>155</v>
      </c>
      <c r="E6370">
        <v>7</v>
      </c>
      <c r="F6370">
        <v>6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7</v>
      </c>
      <c r="O6370">
        <f t="shared" si="206"/>
        <v>2024</v>
      </c>
      <c r="P6370">
        <f t="shared" si="207"/>
        <v>10</v>
      </c>
      <c r="Q6370" t="s">
        <v>785</v>
      </c>
    </row>
    <row r="6371" spans="1:17" x14ac:dyDescent="0.3">
      <c r="A6371" t="s">
        <v>627</v>
      </c>
      <c r="B6371" s="16">
        <v>45575</v>
      </c>
      <c r="C6371" t="s">
        <v>3</v>
      </c>
      <c r="D6371" t="s">
        <v>154</v>
      </c>
      <c r="E6371">
        <v>109</v>
      </c>
      <c r="F6371">
        <v>31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f t="shared" si="206"/>
        <v>2024</v>
      </c>
      <c r="P6371">
        <f t="shared" si="207"/>
        <v>10</v>
      </c>
      <c r="Q6371" t="s">
        <v>785</v>
      </c>
    </row>
    <row r="6372" spans="1:17" x14ac:dyDescent="0.3">
      <c r="A6372" t="s">
        <v>627</v>
      </c>
      <c r="B6372" s="16">
        <v>45575</v>
      </c>
      <c r="C6372" t="s">
        <v>3</v>
      </c>
      <c r="D6372" t="s">
        <v>153</v>
      </c>
      <c r="E6372">
        <v>197</v>
      </c>
      <c r="F6372">
        <v>76</v>
      </c>
      <c r="G6372">
        <v>24</v>
      </c>
      <c r="H6372">
        <v>2</v>
      </c>
      <c r="I6372">
        <v>133895</v>
      </c>
      <c r="J6372">
        <v>10</v>
      </c>
      <c r="K6372">
        <v>73445</v>
      </c>
      <c r="L6372">
        <v>8</v>
      </c>
      <c r="M6372">
        <v>71</v>
      </c>
      <c r="N6372">
        <v>186</v>
      </c>
      <c r="O6372">
        <f t="shared" si="206"/>
        <v>2024</v>
      </c>
      <c r="P6372">
        <f t="shared" si="207"/>
        <v>10</v>
      </c>
      <c r="Q6372" t="s">
        <v>785</v>
      </c>
    </row>
    <row r="6373" spans="1:17" x14ac:dyDescent="0.3">
      <c r="A6373" t="s">
        <v>627</v>
      </c>
      <c r="B6373" s="16">
        <v>45575</v>
      </c>
      <c r="C6373" t="s">
        <v>3</v>
      </c>
      <c r="D6373" t="s">
        <v>149</v>
      </c>
      <c r="E6373">
        <v>7</v>
      </c>
      <c r="F6373">
        <v>5</v>
      </c>
      <c r="G6373">
        <v>1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6</v>
      </c>
      <c r="O6373">
        <f t="shared" si="206"/>
        <v>2024</v>
      </c>
      <c r="P6373">
        <f t="shared" si="207"/>
        <v>10</v>
      </c>
      <c r="Q6373" t="s">
        <v>785</v>
      </c>
    </row>
    <row r="6374" spans="1:17" x14ac:dyDescent="0.3">
      <c r="A6374" t="s">
        <v>627</v>
      </c>
      <c r="B6374" s="16">
        <v>45575</v>
      </c>
      <c r="C6374" t="s">
        <v>3</v>
      </c>
      <c r="D6374" t="s">
        <v>148</v>
      </c>
      <c r="E6374">
        <v>1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1</v>
      </c>
      <c r="O6374">
        <f t="shared" si="206"/>
        <v>2024</v>
      </c>
      <c r="P6374">
        <f t="shared" si="207"/>
        <v>10</v>
      </c>
      <c r="Q6374" t="s">
        <v>785</v>
      </c>
    </row>
    <row r="6375" spans="1:17" x14ac:dyDescent="0.3">
      <c r="A6375" t="s">
        <v>627</v>
      </c>
      <c r="B6375" s="16">
        <v>45575</v>
      </c>
      <c r="C6375" t="s">
        <v>3</v>
      </c>
      <c r="D6375" t="s">
        <v>251</v>
      </c>
      <c r="E6375">
        <v>892</v>
      </c>
      <c r="F6375">
        <v>751</v>
      </c>
      <c r="G6375">
        <v>4</v>
      </c>
      <c r="H6375">
        <v>2</v>
      </c>
      <c r="I6375">
        <v>4995</v>
      </c>
      <c r="J6375">
        <v>1</v>
      </c>
      <c r="K6375">
        <v>4995</v>
      </c>
      <c r="L6375">
        <v>1</v>
      </c>
      <c r="M6375">
        <v>56</v>
      </c>
      <c r="N6375">
        <v>311</v>
      </c>
      <c r="O6375">
        <f t="shared" si="206"/>
        <v>2024</v>
      </c>
      <c r="P6375">
        <f t="shared" si="207"/>
        <v>10</v>
      </c>
      <c r="Q6375" t="s">
        <v>785</v>
      </c>
    </row>
    <row r="6376" spans="1:17" x14ac:dyDescent="0.3">
      <c r="A6376" t="s">
        <v>627</v>
      </c>
      <c r="B6376" s="16">
        <v>45575</v>
      </c>
      <c r="C6376" t="s">
        <v>3</v>
      </c>
      <c r="D6376" t="s">
        <v>143</v>
      </c>
      <c r="E6376">
        <v>29</v>
      </c>
      <c r="F6376">
        <v>29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29</v>
      </c>
      <c r="O6376">
        <f t="shared" si="206"/>
        <v>2024</v>
      </c>
      <c r="P6376">
        <f t="shared" si="207"/>
        <v>10</v>
      </c>
      <c r="Q6376" t="s">
        <v>785</v>
      </c>
    </row>
    <row r="6377" spans="1:17" x14ac:dyDescent="0.3">
      <c r="A6377" t="s">
        <v>627</v>
      </c>
      <c r="B6377" s="16">
        <v>45575</v>
      </c>
      <c r="C6377" t="s">
        <v>3</v>
      </c>
      <c r="D6377" t="s">
        <v>140</v>
      </c>
      <c r="E6377">
        <v>8</v>
      </c>
      <c r="F6377">
        <v>4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5</v>
      </c>
      <c r="O6377">
        <f t="shared" si="206"/>
        <v>2024</v>
      </c>
      <c r="P6377">
        <f t="shared" si="207"/>
        <v>10</v>
      </c>
      <c r="Q6377" t="s">
        <v>785</v>
      </c>
    </row>
    <row r="6378" spans="1:17" x14ac:dyDescent="0.3">
      <c r="A6378" t="s">
        <v>627</v>
      </c>
      <c r="B6378" s="16">
        <v>45575</v>
      </c>
      <c r="C6378" t="s">
        <v>3</v>
      </c>
      <c r="D6378" t="s">
        <v>139</v>
      </c>
      <c r="E6378">
        <v>452</v>
      </c>
      <c r="F6378">
        <v>289</v>
      </c>
      <c r="G6378">
        <v>24</v>
      </c>
      <c r="H6378">
        <v>7</v>
      </c>
      <c r="I6378">
        <v>26905</v>
      </c>
      <c r="J6378">
        <v>4</v>
      </c>
      <c r="K6378">
        <v>26905</v>
      </c>
      <c r="L6378">
        <v>4</v>
      </c>
      <c r="M6378">
        <v>252</v>
      </c>
      <c r="N6378">
        <v>293</v>
      </c>
      <c r="O6378">
        <f t="shared" si="206"/>
        <v>2024</v>
      </c>
      <c r="P6378">
        <f t="shared" si="207"/>
        <v>10</v>
      </c>
      <c r="Q6378" t="s">
        <v>785</v>
      </c>
    </row>
    <row r="6379" spans="1:17" x14ac:dyDescent="0.3">
      <c r="A6379" t="s">
        <v>627</v>
      </c>
      <c r="B6379" s="16">
        <v>45575</v>
      </c>
      <c r="C6379" t="s">
        <v>3</v>
      </c>
      <c r="D6379" t="s">
        <v>138</v>
      </c>
      <c r="E6379">
        <v>3</v>
      </c>
      <c r="F6379">
        <v>3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2</v>
      </c>
      <c r="N6379">
        <v>2</v>
      </c>
      <c r="O6379">
        <f t="shared" si="206"/>
        <v>2024</v>
      </c>
      <c r="P6379">
        <f t="shared" si="207"/>
        <v>10</v>
      </c>
      <c r="Q6379" t="s">
        <v>785</v>
      </c>
    </row>
    <row r="6380" spans="1:17" x14ac:dyDescent="0.3">
      <c r="A6380" t="s">
        <v>627</v>
      </c>
      <c r="B6380" s="16">
        <v>45575</v>
      </c>
      <c r="C6380" t="s">
        <v>3</v>
      </c>
      <c r="D6380" t="s">
        <v>137</v>
      </c>
      <c r="E6380">
        <v>4</v>
      </c>
      <c r="F6380">
        <v>4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1</v>
      </c>
      <c r="N6380">
        <v>4</v>
      </c>
      <c r="O6380">
        <f t="shared" si="206"/>
        <v>2024</v>
      </c>
      <c r="P6380">
        <f t="shared" si="207"/>
        <v>10</v>
      </c>
      <c r="Q6380" t="s">
        <v>785</v>
      </c>
    </row>
    <row r="6381" spans="1:17" x14ac:dyDescent="0.3">
      <c r="A6381" t="s">
        <v>627</v>
      </c>
      <c r="B6381" s="16">
        <v>45575</v>
      </c>
      <c r="C6381" t="s">
        <v>3</v>
      </c>
      <c r="D6381" t="s">
        <v>133</v>
      </c>
      <c r="E6381">
        <v>22</v>
      </c>
      <c r="F6381">
        <v>19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7</v>
      </c>
      <c r="N6381">
        <v>18</v>
      </c>
      <c r="O6381">
        <f t="shared" si="206"/>
        <v>2024</v>
      </c>
      <c r="P6381">
        <f t="shared" si="207"/>
        <v>10</v>
      </c>
      <c r="Q6381" t="s">
        <v>785</v>
      </c>
    </row>
    <row r="6382" spans="1:17" x14ac:dyDescent="0.3">
      <c r="A6382" t="s">
        <v>627</v>
      </c>
      <c r="B6382" s="16">
        <v>45575</v>
      </c>
      <c r="C6382" t="s">
        <v>3</v>
      </c>
      <c r="D6382" t="s">
        <v>130</v>
      </c>
      <c r="E6382">
        <v>47</v>
      </c>
      <c r="F6382">
        <v>27</v>
      </c>
      <c r="G6382">
        <v>8</v>
      </c>
      <c r="H6382">
        <v>2</v>
      </c>
      <c r="I6382">
        <v>7405</v>
      </c>
      <c r="J6382">
        <v>2</v>
      </c>
      <c r="K6382">
        <v>7405</v>
      </c>
      <c r="L6382">
        <v>2</v>
      </c>
      <c r="M6382">
        <v>18</v>
      </c>
      <c r="N6382">
        <v>42</v>
      </c>
      <c r="O6382">
        <f t="shared" si="206"/>
        <v>2024</v>
      </c>
      <c r="P6382">
        <f t="shared" si="207"/>
        <v>10</v>
      </c>
      <c r="Q6382" t="s">
        <v>785</v>
      </c>
    </row>
    <row r="6383" spans="1:17" x14ac:dyDescent="0.3">
      <c r="A6383" t="s">
        <v>627</v>
      </c>
      <c r="B6383" s="16">
        <v>45575</v>
      </c>
      <c r="C6383" t="s">
        <v>3</v>
      </c>
      <c r="D6383" t="s">
        <v>128</v>
      </c>
      <c r="E6383">
        <v>512</v>
      </c>
      <c r="F6383">
        <v>408</v>
      </c>
      <c r="G6383">
        <v>14</v>
      </c>
      <c r="H6383">
        <v>3</v>
      </c>
      <c r="I6383">
        <v>23745</v>
      </c>
      <c r="J6383">
        <v>2</v>
      </c>
      <c r="K6383">
        <v>23745</v>
      </c>
      <c r="L6383">
        <v>2</v>
      </c>
      <c r="M6383">
        <v>213</v>
      </c>
      <c r="N6383">
        <v>388</v>
      </c>
      <c r="O6383">
        <f t="shared" si="206"/>
        <v>2024</v>
      </c>
      <c r="P6383">
        <f t="shared" si="207"/>
        <v>10</v>
      </c>
      <c r="Q6383" t="s">
        <v>785</v>
      </c>
    </row>
    <row r="6384" spans="1:17" x14ac:dyDescent="0.3">
      <c r="A6384" t="s">
        <v>627</v>
      </c>
      <c r="B6384" s="16">
        <v>45575</v>
      </c>
      <c r="C6384" t="s">
        <v>3</v>
      </c>
      <c r="D6384" t="s">
        <v>127</v>
      </c>
      <c r="E6384">
        <v>1054</v>
      </c>
      <c r="F6384">
        <v>779</v>
      </c>
      <c r="G6384">
        <v>9</v>
      </c>
      <c r="H6384">
        <v>4</v>
      </c>
      <c r="I6384">
        <v>0</v>
      </c>
      <c r="J6384">
        <v>0</v>
      </c>
      <c r="K6384">
        <v>0</v>
      </c>
      <c r="L6384">
        <v>0</v>
      </c>
      <c r="M6384">
        <v>172</v>
      </c>
      <c r="N6384">
        <v>810</v>
      </c>
      <c r="O6384">
        <f t="shared" si="206"/>
        <v>2024</v>
      </c>
      <c r="P6384">
        <f t="shared" si="207"/>
        <v>10</v>
      </c>
      <c r="Q6384" t="s">
        <v>785</v>
      </c>
    </row>
    <row r="6385" spans="1:17" x14ac:dyDescent="0.3">
      <c r="A6385" t="s">
        <v>627</v>
      </c>
      <c r="B6385" s="16">
        <v>45575</v>
      </c>
      <c r="C6385" t="s">
        <v>3</v>
      </c>
      <c r="D6385" t="s">
        <v>126</v>
      </c>
      <c r="E6385">
        <v>131</v>
      </c>
      <c r="F6385">
        <v>108</v>
      </c>
      <c r="G6385">
        <v>5</v>
      </c>
      <c r="H6385">
        <v>0</v>
      </c>
      <c r="I6385">
        <v>16840</v>
      </c>
      <c r="J6385">
        <v>3</v>
      </c>
      <c r="K6385">
        <v>16840</v>
      </c>
      <c r="L6385">
        <v>3</v>
      </c>
      <c r="M6385">
        <v>24</v>
      </c>
      <c r="N6385">
        <v>128</v>
      </c>
      <c r="O6385">
        <f t="shared" si="206"/>
        <v>2024</v>
      </c>
      <c r="P6385">
        <f t="shared" si="207"/>
        <v>10</v>
      </c>
      <c r="Q6385" t="s">
        <v>785</v>
      </c>
    </row>
    <row r="6386" spans="1:17" x14ac:dyDescent="0.3">
      <c r="A6386" t="s">
        <v>627</v>
      </c>
      <c r="B6386" s="16">
        <v>45575</v>
      </c>
      <c r="C6386" t="s">
        <v>3</v>
      </c>
      <c r="D6386" t="s">
        <v>125</v>
      </c>
      <c r="E6386">
        <v>2</v>
      </c>
      <c r="F6386">
        <v>1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1</v>
      </c>
      <c r="N6386">
        <v>2</v>
      </c>
      <c r="O6386">
        <f t="shared" si="206"/>
        <v>2024</v>
      </c>
      <c r="P6386">
        <f t="shared" si="207"/>
        <v>10</v>
      </c>
      <c r="Q6386" t="s">
        <v>785</v>
      </c>
    </row>
    <row r="6387" spans="1:17" x14ac:dyDescent="0.3">
      <c r="A6387" t="s">
        <v>627</v>
      </c>
      <c r="B6387" s="16">
        <v>45575</v>
      </c>
      <c r="C6387" t="s">
        <v>3</v>
      </c>
      <c r="D6387" t="s">
        <v>123</v>
      </c>
      <c r="E6387">
        <v>142</v>
      </c>
      <c r="F6387">
        <v>76</v>
      </c>
      <c r="G6387">
        <v>15</v>
      </c>
      <c r="H6387">
        <v>5</v>
      </c>
      <c r="I6387">
        <v>0</v>
      </c>
      <c r="J6387">
        <v>0</v>
      </c>
      <c r="K6387">
        <v>0</v>
      </c>
      <c r="L6387">
        <v>0</v>
      </c>
      <c r="M6387">
        <v>69</v>
      </c>
      <c r="N6387">
        <v>118</v>
      </c>
      <c r="O6387">
        <f t="shared" si="206"/>
        <v>2024</v>
      </c>
      <c r="P6387">
        <f t="shared" si="207"/>
        <v>10</v>
      </c>
      <c r="Q6387" t="s">
        <v>785</v>
      </c>
    </row>
    <row r="6388" spans="1:17" x14ac:dyDescent="0.3">
      <c r="A6388" t="s">
        <v>627</v>
      </c>
      <c r="B6388" s="16">
        <v>45575</v>
      </c>
      <c r="C6388" t="s">
        <v>3</v>
      </c>
      <c r="D6388" t="s">
        <v>121</v>
      </c>
      <c r="E6388">
        <v>1</v>
      </c>
      <c r="F6388">
        <v>1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1</v>
      </c>
      <c r="O6388">
        <f t="shared" si="206"/>
        <v>2024</v>
      </c>
      <c r="P6388">
        <f t="shared" si="207"/>
        <v>10</v>
      </c>
      <c r="Q6388" t="s">
        <v>785</v>
      </c>
    </row>
    <row r="6389" spans="1:17" x14ac:dyDescent="0.3">
      <c r="A6389" t="s">
        <v>627</v>
      </c>
      <c r="B6389" s="16">
        <v>45575</v>
      </c>
      <c r="C6389" t="s">
        <v>3</v>
      </c>
      <c r="D6389" t="s">
        <v>120</v>
      </c>
      <c r="E6389">
        <v>239</v>
      </c>
      <c r="F6389">
        <v>159</v>
      </c>
      <c r="G6389">
        <v>6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38</v>
      </c>
      <c r="N6389">
        <v>233</v>
      </c>
      <c r="O6389">
        <f t="shared" si="206"/>
        <v>2024</v>
      </c>
      <c r="P6389">
        <f t="shared" si="207"/>
        <v>10</v>
      </c>
      <c r="Q6389" t="s">
        <v>785</v>
      </c>
    </row>
    <row r="6390" spans="1:17" x14ac:dyDescent="0.3">
      <c r="A6390" t="s">
        <v>627</v>
      </c>
      <c r="B6390" s="16">
        <v>45575</v>
      </c>
      <c r="C6390" t="s">
        <v>3</v>
      </c>
      <c r="D6390" t="s">
        <v>119</v>
      </c>
      <c r="E6390">
        <v>139</v>
      </c>
      <c r="F6390">
        <v>58</v>
      </c>
      <c r="G6390">
        <v>7</v>
      </c>
      <c r="H6390">
        <v>6</v>
      </c>
      <c r="I6390">
        <v>30700</v>
      </c>
      <c r="J6390">
        <v>3</v>
      </c>
      <c r="K6390">
        <v>7250</v>
      </c>
      <c r="L6390">
        <v>1</v>
      </c>
      <c r="M6390">
        <v>36</v>
      </c>
      <c r="N6390">
        <v>125</v>
      </c>
      <c r="O6390">
        <f t="shared" si="206"/>
        <v>2024</v>
      </c>
      <c r="P6390">
        <f t="shared" si="207"/>
        <v>10</v>
      </c>
      <c r="Q6390" t="s">
        <v>785</v>
      </c>
    </row>
    <row r="6391" spans="1:17" x14ac:dyDescent="0.3">
      <c r="A6391" t="s">
        <v>627</v>
      </c>
      <c r="B6391" s="16">
        <v>45575</v>
      </c>
      <c r="C6391" t="s">
        <v>3</v>
      </c>
      <c r="D6391" t="s">
        <v>115</v>
      </c>
      <c r="E6391">
        <v>2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2</v>
      </c>
      <c r="O6391">
        <f t="shared" si="206"/>
        <v>2024</v>
      </c>
      <c r="P6391">
        <f t="shared" si="207"/>
        <v>10</v>
      </c>
      <c r="Q6391" t="s">
        <v>785</v>
      </c>
    </row>
    <row r="6392" spans="1:17" x14ac:dyDescent="0.3">
      <c r="A6392" t="s">
        <v>627</v>
      </c>
      <c r="B6392" s="16">
        <v>45575</v>
      </c>
      <c r="C6392" t="s">
        <v>3</v>
      </c>
      <c r="D6392" t="s">
        <v>114</v>
      </c>
      <c r="E6392">
        <v>18</v>
      </c>
      <c r="F6392">
        <v>16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3</v>
      </c>
      <c r="N6392">
        <v>6</v>
      </c>
      <c r="O6392">
        <f t="shared" si="206"/>
        <v>2024</v>
      </c>
      <c r="P6392">
        <f t="shared" si="207"/>
        <v>10</v>
      </c>
      <c r="Q6392" t="s">
        <v>785</v>
      </c>
    </row>
    <row r="6393" spans="1:17" x14ac:dyDescent="0.3">
      <c r="A6393" t="s">
        <v>627</v>
      </c>
      <c r="B6393" s="16">
        <v>45575</v>
      </c>
      <c r="C6393" t="s">
        <v>3</v>
      </c>
      <c r="D6393" t="s">
        <v>113</v>
      </c>
      <c r="E6393">
        <v>79</v>
      </c>
      <c r="F6393">
        <v>43</v>
      </c>
      <c r="G6393">
        <v>1</v>
      </c>
      <c r="H6393">
        <v>1</v>
      </c>
      <c r="I6393">
        <v>0</v>
      </c>
      <c r="J6393">
        <v>0</v>
      </c>
      <c r="K6393">
        <v>0</v>
      </c>
      <c r="L6393">
        <v>0</v>
      </c>
      <c r="M6393">
        <v>67</v>
      </c>
      <c r="N6393">
        <v>44</v>
      </c>
      <c r="O6393">
        <f t="shared" si="206"/>
        <v>2024</v>
      </c>
      <c r="P6393">
        <f t="shared" si="207"/>
        <v>10</v>
      </c>
      <c r="Q6393" t="s">
        <v>785</v>
      </c>
    </row>
    <row r="6394" spans="1:17" x14ac:dyDescent="0.3">
      <c r="A6394" t="s">
        <v>627</v>
      </c>
      <c r="B6394" s="16">
        <v>45575</v>
      </c>
      <c r="C6394" t="s">
        <v>3</v>
      </c>
      <c r="D6394" t="s">
        <v>112</v>
      </c>
      <c r="E6394">
        <v>7</v>
      </c>
      <c r="F6394">
        <v>4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7</v>
      </c>
      <c r="O6394">
        <f t="shared" si="206"/>
        <v>2024</v>
      </c>
      <c r="P6394">
        <f t="shared" si="207"/>
        <v>10</v>
      </c>
      <c r="Q6394" t="s">
        <v>785</v>
      </c>
    </row>
    <row r="6395" spans="1:17" x14ac:dyDescent="0.3">
      <c r="A6395" t="s">
        <v>110</v>
      </c>
      <c r="B6395" s="16">
        <v>45962</v>
      </c>
      <c r="C6395" t="s">
        <v>2</v>
      </c>
      <c r="D6395" t="s">
        <v>4</v>
      </c>
      <c r="E6395">
        <v>5527</v>
      </c>
      <c r="F6395">
        <v>2768</v>
      </c>
      <c r="G6395">
        <v>66</v>
      </c>
      <c r="H6395">
        <v>34</v>
      </c>
      <c r="I6395">
        <v>263139.09999999998</v>
      </c>
      <c r="J6395">
        <v>44</v>
      </c>
      <c r="K6395">
        <v>244819.1</v>
      </c>
      <c r="L6395">
        <v>43</v>
      </c>
      <c r="M6395">
        <v>114</v>
      </c>
      <c r="N6395">
        <v>5485</v>
      </c>
      <c r="O6395">
        <f t="shared" ref="O6395:O6435" si="208">YEAR(B6395)</f>
        <v>2025</v>
      </c>
      <c r="P6395">
        <f t="shared" ref="P6395:P6435" si="209">MONTH(B6395)</f>
        <v>11</v>
      </c>
      <c r="Q6395" t="s">
        <v>560</v>
      </c>
    </row>
    <row r="6396" spans="1:17" x14ac:dyDescent="0.3">
      <c r="A6396" t="s">
        <v>110</v>
      </c>
      <c r="B6396" s="16">
        <v>45962</v>
      </c>
      <c r="C6396" t="s">
        <v>2</v>
      </c>
      <c r="D6396" t="s">
        <v>57</v>
      </c>
      <c r="E6396">
        <v>357034</v>
      </c>
      <c r="F6396">
        <v>318493</v>
      </c>
      <c r="G6396">
        <v>2526</v>
      </c>
      <c r="H6396">
        <v>2171</v>
      </c>
      <c r="I6396">
        <v>2541017</v>
      </c>
      <c r="J6396">
        <v>375</v>
      </c>
      <c r="K6396">
        <v>1348375</v>
      </c>
      <c r="L6396">
        <v>280</v>
      </c>
      <c r="M6396">
        <v>33849</v>
      </c>
      <c r="N6396">
        <v>346158</v>
      </c>
      <c r="O6396">
        <f t="shared" si="208"/>
        <v>2025</v>
      </c>
      <c r="P6396">
        <f t="shared" si="209"/>
        <v>11</v>
      </c>
      <c r="Q6396" t="s">
        <v>560</v>
      </c>
    </row>
    <row r="6397" spans="1:17" x14ac:dyDescent="0.3">
      <c r="A6397" t="s">
        <v>110</v>
      </c>
      <c r="B6397" s="16">
        <v>45962</v>
      </c>
      <c r="C6397" t="s">
        <v>2</v>
      </c>
      <c r="D6397" t="s">
        <v>52</v>
      </c>
      <c r="E6397">
        <v>11</v>
      </c>
      <c r="F6397">
        <v>3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11</v>
      </c>
      <c r="O6397">
        <f t="shared" si="208"/>
        <v>2025</v>
      </c>
      <c r="P6397">
        <f t="shared" si="209"/>
        <v>11</v>
      </c>
      <c r="Q6397" t="s">
        <v>560</v>
      </c>
    </row>
    <row r="6398" spans="1:17" x14ac:dyDescent="0.3">
      <c r="A6398" t="s">
        <v>110</v>
      </c>
      <c r="B6398" s="16">
        <v>45962</v>
      </c>
      <c r="C6398" t="s">
        <v>2</v>
      </c>
      <c r="D6398" t="s">
        <v>55</v>
      </c>
      <c r="E6398">
        <v>12727</v>
      </c>
      <c r="F6398">
        <v>8994</v>
      </c>
      <c r="G6398">
        <v>131</v>
      </c>
      <c r="H6398">
        <v>18</v>
      </c>
      <c r="I6398">
        <v>0</v>
      </c>
      <c r="J6398">
        <v>0</v>
      </c>
      <c r="K6398">
        <v>0</v>
      </c>
      <c r="L6398">
        <v>0</v>
      </c>
      <c r="M6398">
        <v>430</v>
      </c>
      <c r="N6398">
        <v>5385</v>
      </c>
      <c r="O6398">
        <f t="shared" si="208"/>
        <v>2025</v>
      </c>
      <c r="P6398">
        <f t="shared" si="209"/>
        <v>11</v>
      </c>
      <c r="Q6398" t="s">
        <v>560</v>
      </c>
    </row>
    <row r="6399" spans="1:17" x14ac:dyDescent="0.3">
      <c r="A6399" t="s">
        <v>110</v>
      </c>
      <c r="B6399" s="16">
        <v>45962</v>
      </c>
      <c r="C6399" t="s">
        <v>3</v>
      </c>
      <c r="D6399" t="s">
        <v>157</v>
      </c>
      <c r="E6399">
        <v>5</v>
      </c>
      <c r="F6399">
        <v>3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f t="shared" si="208"/>
        <v>2025</v>
      </c>
      <c r="P6399">
        <f t="shared" si="209"/>
        <v>11</v>
      </c>
      <c r="Q6399" t="s">
        <v>560</v>
      </c>
    </row>
    <row r="6400" spans="1:17" x14ac:dyDescent="0.3">
      <c r="A6400" t="s">
        <v>110</v>
      </c>
      <c r="B6400" s="16">
        <v>45962</v>
      </c>
      <c r="C6400" t="s">
        <v>3</v>
      </c>
      <c r="D6400" t="s">
        <v>155</v>
      </c>
      <c r="E6400">
        <v>1198</v>
      </c>
      <c r="F6400">
        <v>714</v>
      </c>
      <c r="G6400">
        <v>9</v>
      </c>
      <c r="H6400">
        <v>6</v>
      </c>
      <c r="I6400">
        <v>0</v>
      </c>
      <c r="J6400">
        <v>0</v>
      </c>
      <c r="K6400">
        <v>0</v>
      </c>
      <c r="L6400">
        <v>0</v>
      </c>
      <c r="M6400">
        <v>25</v>
      </c>
      <c r="N6400">
        <v>1197</v>
      </c>
      <c r="O6400">
        <f t="shared" si="208"/>
        <v>2025</v>
      </c>
      <c r="P6400">
        <f t="shared" si="209"/>
        <v>11</v>
      </c>
      <c r="Q6400" t="s">
        <v>560</v>
      </c>
    </row>
    <row r="6401" spans="1:17" x14ac:dyDescent="0.3">
      <c r="A6401" t="s">
        <v>110</v>
      </c>
      <c r="B6401" s="16">
        <v>45962</v>
      </c>
      <c r="C6401" t="s">
        <v>3</v>
      </c>
      <c r="D6401" t="s">
        <v>154</v>
      </c>
      <c r="E6401">
        <v>1659</v>
      </c>
      <c r="F6401">
        <v>1426</v>
      </c>
      <c r="G6401">
        <v>1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2</v>
      </c>
      <c r="O6401">
        <f t="shared" si="208"/>
        <v>2025</v>
      </c>
      <c r="P6401">
        <f t="shared" si="209"/>
        <v>11</v>
      </c>
      <c r="Q6401" t="s">
        <v>560</v>
      </c>
    </row>
    <row r="6402" spans="1:17" x14ac:dyDescent="0.3">
      <c r="A6402" t="s">
        <v>110</v>
      </c>
      <c r="B6402" s="16">
        <v>45962</v>
      </c>
      <c r="C6402" t="s">
        <v>3</v>
      </c>
      <c r="D6402" t="s">
        <v>153</v>
      </c>
      <c r="E6402">
        <v>4604</v>
      </c>
      <c r="F6402">
        <v>1870</v>
      </c>
      <c r="G6402">
        <v>579</v>
      </c>
      <c r="H6402">
        <v>54</v>
      </c>
      <c r="I6402">
        <v>3407433.8</v>
      </c>
      <c r="J6402">
        <v>577</v>
      </c>
      <c r="K6402">
        <v>2902463.39</v>
      </c>
      <c r="L6402">
        <v>537</v>
      </c>
      <c r="M6402">
        <v>1517</v>
      </c>
      <c r="N6402">
        <v>4481</v>
      </c>
      <c r="O6402">
        <f t="shared" si="208"/>
        <v>2025</v>
      </c>
      <c r="P6402">
        <f t="shared" si="209"/>
        <v>11</v>
      </c>
      <c r="Q6402" t="s">
        <v>560</v>
      </c>
    </row>
    <row r="6403" spans="1:17" x14ac:dyDescent="0.3">
      <c r="A6403" t="s">
        <v>110</v>
      </c>
      <c r="B6403" s="16">
        <v>45962</v>
      </c>
      <c r="C6403" t="s">
        <v>3</v>
      </c>
      <c r="D6403" t="s">
        <v>152</v>
      </c>
      <c r="E6403">
        <v>758</v>
      </c>
      <c r="F6403">
        <v>457</v>
      </c>
      <c r="G6403">
        <v>5</v>
      </c>
      <c r="H6403">
        <v>3</v>
      </c>
      <c r="I6403">
        <v>0</v>
      </c>
      <c r="J6403">
        <v>0</v>
      </c>
      <c r="K6403">
        <v>0</v>
      </c>
      <c r="L6403">
        <v>0</v>
      </c>
      <c r="M6403">
        <v>7</v>
      </c>
      <c r="N6403">
        <v>576</v>
      </c>
      <c r="O6403">
        <f t="shared" si="208"/>
        <v>2025</v>
      </c>
      <c r="P6403">
        <f t="shared" si="209"/>
        <v>11</v>
      </c>
      <c r="Q6403" t="s">
        <v>560</v>
      </c>
    </row>
    <row r="6404" spans="1:17" x14ac:dyDescent="0.3">
      <c r="A6404" t="s">
        <v>110</v>
      </c>
      <c r="B6404" s="16">
        <v>45962</v>
      </c>
      <c r="C6404" t="s">
        <v>3</v>
      </c>
      <c r="D6404" t="s">
        <v>783</v>
      </c>
      <c r="E6404">
        <v>2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f t="shared" si="208"/>
        <v>2025</v>
      </c>
      <c r="P6404">
        <f t="shared" si="209"/>
        <v>11</v>
      </c>
      <c r="Q6404" t="s">
        <v>560</v>
      </c>
    </row>
    <row r="6405" spans="1:17" x14ac:dyDescent="0.3">
      <c r="A6405" t="s">
        <v>110</v>
      </c>
      <c r="B6405" s="16">
        <v>45962</v>
      </c>
      <c r="C6405" t="s">
        <v>3</v>
      </c>
      <c r="D6405" t="s">
        <v>198</v>
      </c>
      <c r="E6405">
        <v>1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1</v>
      </c>
      <c r="O6405">
        <f t="shared" si="208"/>
        <v>2025</v>
      </c>
      <c r="P6405">
        <f t="shared" si="209"/>
        <v>11</v>
      </c>
      <c r="Q6405" t="s">
        <v>560</v>
      </c>
    </row>
    <row r="6406" spans="1:17" x14ac:dyDescent="0.3">
      <c r="A6406" t="s">
        <v>110</v>
      </c>
      <c r="B6406" s="16">
        <v>45962</v>
      </c>
      <c r="C6406" t="s">
        <v>3</v>
      </c>
      <c r="D6406" t="s">
        <v>149</v>
      </c>
      <c r="E6406">
        <v>87</v>
      </c>
      <c r="F6406">
        <v>40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3</v>
      </c>
      <c r="N6406">
        <v>39</v>
      </c>
      <c r="O6406">
        <f t="shared" si="208"/>
        <v>2025</v>
      </c>
      <c r="P6406">
        <f t="shared" si="209"/>
        <v>11</v>
      </c>
      <c r="Q6406" t="s">
        <v>560</v>
      </c>
    </row>
    <row r="6407" spans="1:17" x14ac:dyDescent="0.3">
      <c r="A6407" t="s">
        <v>110</v>
      </c>
      <c r="B6407" s="16">
        <v>45962</v>
      </c>
      <c r="C6407" t="s">
        <v>3</v>
      </c>
      <c r="D6407" t="s">
        <v>148</v>
      </c>
      <c r="E6407">
        <v>28</v>
      </c>
      <c r="F6407">
        <v>26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18</v>
      </c>
      <c r="N6407">
        <v>10</v>
      </c>
      <c r="O6407">
        <f t="shared" si="208"/>
        <v>2025</v>
      </c>
      <c r="P6407">
        <f t="shared" si="209"/>
        <v>11</v>
      </c>
      <c r="Q6407" t="s">
        <v>560</v>
      </c>
    </row>
    <row r="6408" spans="1:17" x14ac:dyDescent="0.3">
      <c r="A6408" t="s">
        <v>110</v>
      </c>
      <c r="B6408" s="16">
        <v>45962</v>
      </c>
      <c r="C6408" t="s">
        <v>3</v>
      </c>
      <c r="D6408" t="s">
        <v>367</v>
      </c>
      <c r="E6408">
        <v>2641</v>
      </c>
      <c r="F6408">
        <v>1918</v>
      </c>
      <c r="G6408">
        <v>60</v>
      </c>
      <c r="H6408">
        <v>23</v>
      </c>
      <c r="I6408">
        <v>84525</v>
      </c>
      <c r="J6408">
        <v>16</v>
      </c>
      <c r="K6408">
        <v>57330</v>
      </c>
      <c r="L6408">
        <v>12</v>
      </c>
      <c r="M6408">
        <v>2</v>
      </c>
      <c r="N6408">
        <v>2641</v>
      </c>
      <c r="O6408">
        <f t="shared" si="208"/>
        <v>2025</v>
      </c>
      <c r="P6408">
        <f t="shared" si="209"/>
        <v>11</v>
      </c>
      <c r="Q6408" t="s">
        <v>560</v>
      </c>
    </row>
    <row r="6409" spans="1:17" x14ac:dyDescent="0.3">
      <c r="A6409" t="s">
        <v>110</v>
      </c>
      <c r="B6409" s="16">
        <v>45962</v>
      </c>
      <c r="C6409" t="s">
        <v>3</v>
      </c>
      <c r="D6409" t="s">
        <v>146</v>
      </c>
      <c r="E6409">
        <v>8</v>
      </c>
      <c r="F6409">
        <v>6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8</v>
      </c>
      <c r="O6409">
        <f t="shared" si="208"/>
        <v>2025</v>
      </c>
      <c r="P6409">
        <f t="shared" si="209"/>
        <v>11</v>
      </c>
      <c r="Q6409" t="s">
        <v>560</v>
      </c>
    </row>
    <row r="6410" spans="1:17" x14ac:dyDescent="0.3">
      <c r="A6410" t="s">
        <v>110</v>
      </c>
      <c r="B6410" s="16">
        <v>45962</v>
      </c>
      <c r="C6410" t="s">
        <v>3</v>
      </c>
      <c r="D6410" t="s">
        <v>251</v>
      </c>
      <c r="E6410">
        <v>35766</v>
      </c>
      <c r="F6410">
        <v>32366</v>
      </c>
      <c r="G6410">
        <v>294</v>
      </c>
      <c r="H6410">
        <v>73</v>
      </c>
      <c r="I6410">
        <v>1061302.8600000001</v>
      </c>
      <c r="J6410">
        <v>166</v>
      </c>
      <c r="K6410">
        <v>867222.8</v>
      </c>
      <c r="L6410">
        <v>153</v>
      </c>
      <c r="M6410">
        <v>1740</v>
      </c>
      <c r="N6410">
        <v>8365</v>
      </c>
      <c r="O6410">
        <f t="shared" si="208"/>
        <v>2025</v>
      </c>
      <c r="P6410">
        <f t="shared" si="209"/>
        <v>11</v>
      </c>
      <c r="Q6410" t="s">
        <v>560</v>
      </c>
    </row>
    <row r="6411" spans="1:17" x14ac:dyDescent="0.3">
      <c r="A6411" t="s">
        <v>110</v>
      </c>
      <c r="B6411" s="16">
        <v>45962</v>
      </c>
      <c r="C6411" t="s">
        <v>3</v>
      </c>
      <c r="D6411" t="s">
        <v>143</v>
      </c>
      <c r="E6411">
        <v>20</v>
      </c>
      <c r="F6411">
        <v>8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1</v>
      </c>
      <c r="N6411">
        <v>20</v>
      </c>
      <c r="O6411">
        <f t="shared" si="208"/>
        <v>2025</v>
      </c>
      <c r="P6411">
        <f t="shared" si="209"/>
        <v>11</v>
      </c>
      <c r="Q6411" t="s">
        <v>560</v>
      </c>
    </row>
    <row r="6412" spans="1:17" x14ac:dyDescent="0.3">
      <c r="A6412" t="s">
        <v>110</v>
      </c>
      <c r="B6412" s="16">
        <v>45962</v>
      </c>
      <c r="C6412" t="s">
        <v>3</v>
      </c>
      <c r="D6412" t="s">
        <v>141</v>
      </c>
      <c r="E6412">
        <v>5368</v>
      </c>
      <c r="F6412">
        <v>4009</v>
      </c>
      <c r="G6412">
        <v>60</v>
      </c>
      <c r="H6412">
        <v>167</v>
      </c>
      <c r="I6412">
        <v>66150</v>
      </c>
      <c r="J6412">
        <v>8</v>
      </c>
      <c r="K6412">
        <v>29890</v>
      </c>
      <c r="L6412">
        <v>7</v>
      </c>
      <c r="M6412">
        <v>37</v>
      </c>
      <c r="N6412">
        <v>5332</v>
      </c>
      <c r="O6412">
        <f t="shared" si="208"/>
        <v>2025</v>
      </c>
      <c r="P6412">
        <f t="shared" si="209"/>
        <v>11</v>
      </c>
      <c r="Q6412" t="s">
        <v>560</v>
      </c>
    </row>
    <row r="6413" spans="1:17" x14ac:dyDescent="0.3">
      <c r="A6413" t="s">
        <v>110</v>
      </c>
      <c r="B6413" s="16">
        <v>45962</v>
      </c>
      <c r="C6413" t="s">
        <v>3</v>
      </c>
      <c r="D6413" t="s">
        <v>140</v>
      </c>
      <c r="E6413">
        <v>2139</v>
      </c>
      <c r="F6413">
        <v>2109</v>
      </c>
      <c r="G6413">
        <v>33</v>
      </c>
      <c r="H6413">
        <v>329</v>
      </c>
      <c r="I6413">
        <v>39075</v>
      </c>
      <c r="J6413">
        <v>8</v>
      </c>
      <c r="K6413">
        <v>35375</v>
      </c>
      <c r="L6413">
        <v>8</v>
      </c>
      <c r="M6413">
        <v>27</v>
      </c>
      <c r="N6413">
        <v>2134</v>
      </c>
      <c r="O6413">
        <f t="shared" si="208"/>
        <v>2025</v>
      </c>
      <c r="P6413">
        <f t="shared" si="209"/>
        <v>11</v>
      </c>
      <c r="Q6413" t="s">
        <v>560</v>
      </c>
    </row>
    <row r="6414" spans="1:17" x14ac:dyDescent="0.3">
      <c r="A6414" t="s">
        <v>110</v>
      </c>
      <c r="B6414" s="16">
        <v>45962</v>
      </c>
      <c r="C6414" t="s">
        <v>3</v>
      </c>
      <c r="D6414" t="s">
        <v>139</v>
      </c>
      <c r="E6414">
        <v>30723</v>
      </c>
      <c r="F6414">
        <v>21570</v>
      </c>
      <c r="G6414">
        <v>819</v>
      </c>
      <c r="H6414">
        <v>251</v>
      </c>
      <c r="I6414">
        <v>2101743.9700000002</v>
      </c>
      <c r="J6414">
        <v>327</v>
      </c>
      <c r="K6414">
        <v>1429233.97</v>
      </c>
      <c r="L6414">
        <v>286</v>
      </c>
      <c r="M6414">
        <v>6525</v>
      </c>
      <c r="N6414">
        <v>25564</v>
      </c>
      <c r="O6414">
        <f t="shared" si="208"/>
        <v>2025</v>
      </c>
      <c r="P6414">
        <f t="shared" si="209"/>
        <v>11</v>
      </c>
      <c r="Q6414" t="s">
        <v>560</v>
      </c>
    </row>
    <row r="6415" spans="1:17" x14ac:dyDescent="0.3">
      <c r="A6415" t="s">
        <v>110</v>
      </c>
      <c r="B6415" s="16">
        <v>45962</v>
      </c>
      <c r="C6415" t="s">
        <v>3</v>
      </c>
      <c r="D6415" t="s">
        <v>138</v>
      </c>
      <c r="E6415">
        <v>886</v>
      </c>
      <c r="F6415">
        <v>487</v>
      </c>
      <c r="G6415">
        <v>39</v>
      </c>
      <c r="H6415">
        <v>8</v>
      </c>
      <c r="I6415">
        <v>178750.03</v>
      </c>
      <c r="J6415">
        <v>32</v>
      </c>
      <c r="K6415">
        <v>136121.10999999999</v>
      </c>
      <c r="L6415">
        <v>28</v>
      </c>
      <c r="M6415">
        <v>94</v>
      </c>
      <c r="N6415">
        <v>880</v>
      </c>
      <c r="O6415">
        <f t="shared" si="208"/>
        <v>2025</v>
      </c>
      <c r="P6415">
        <f t="shared" si="209"/>
        <v>11</v>
      </c>
      <c r="Q6415" t="s">
        <v>560</v>
      </c>
    </row>
    <row r="6416" spans="1:17" x14ac:dyDescent="0.3">
      <c r="A6416" t="s">
        <v>110</v>
      </c>
      <c r="B6416" s="16">
        <v>45962</v>
      </c>
      <c r="C6416" t="s">
        <v>3</v>
      </c>
      <c r="D6416" t="s">
        <v>137</v>
      </c>
      <c r="E6416">
        <v>106</v>
      </c>
      <c r="F6416">
        <v>68</v>
      </c>
      <c r="G6416">
        <v>4</v>
      </c>
      <c r="H6416">
        <v>1</v>
      </c>
      <c r="I6416">
        <v>19660</v>
      </c>
      <c r="J6416">
        <v>4</v>
      </c>
      <c r="K6416">
        <v>10270</v>
      </c>
      <c r="L6416">
        <v>3</v>
      </c>
      <c r="M6416">
        <v>14</v>
      </c>
      <c r="N6416">
        <v>106</v>
      </c>
      <c r="O6416">
        <f t="shared" si="208"/>
        <v>2025</v>
      </c>
      <c r="P6416">
        <f t="shared" si="209"/>
        <v>11</v>
      </c>
      <c r="Q6416" t="s">
        <v>560</v>
      </c>
    </row>
    <row r="6417" spans="1:17" x14ac:dyDescent="0.3">
      <c r="A6417" t="s">
        <v>110</v>
      </c>
      <c r="B6417" s="16">
        <v>45962</v>
      </c>
      <c r="C6417" t="s">
        <v>3</v>
      </c>
      <c r="D6417" t="s">
        <v>136</v>
      </c>
      <c r="E6417">
        <v>1</v>
      </c>
      <c r="F6417">
        <v>1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1</v>
      </c>
      <c r="O6417">
        <f t="shared" si="208"/>
        <v>2025</v>
      </c>
      <c r="P6417">
        <f t="shared" si="209"/>
        <v>11</v>
      </c>
      <c r="Q6417" t="s">
        <v>560</v>
      </c>
    </row>
    <row r="6418" spans="1:17" x14ac:dyDescent="0.3">
      <c r="A6418" t="s">
        <v>110</v>
      </c>
      <c r="B6418" s="16">
        <v>45962</v>
      </c>
      <c r="C6418" t="s">
        <v>3</v>
      </c>
      <c r="D6418" t="s">
        <v>133</v>
      </c>
      <c r="E6418">
        <v>386</v>
      </c>
      <c r="F6418">
        <v>277</v>
      </c>
      <c r="G6418">
        <v>29</v>
      </c>
      <c r="H6418">
        <v>4</v>
      </c>
      <c r="I6418">
        <v>152089</v>
      </c>
      <c r="J6418">
        <v>20</v>
      </c>
      <c r="K6418">
        <v>80959</v>
      </c>
      <c r="L6418">
        <v>16</v>
      </c>
      <c r="M6418">
        <v>94</v>
      </c>
      <c r="N6418">
        <v>348</v>
      </c>
      <c r="O6418">
        <f t="shared" si="208"/>
        <v>2025</v>
      </c>
      <c r="P6418">
        <f t="shared" si="209"/>
        <v>11</v>
      </c>
      <c r="Q6418" t="s">
        <v>560</v>
      </c>
    </row>
    <row r="6419" spans="1:17" x14ac:dyDescent="0.3">
      <c r="A6419" t="s">
        <v>110</v>
      </c>
      <c r="B6419" s="16">
        <v>45962</v>
      </c>
      <c r="C6419" t="s">
        <v>3</v>
      </c>
      <c r="D6419" t="s">
        <v>130</v>
      </c>
      <c r="E6419">
        <v>2407</v>
      </c>
      <c r="F6419">
        <v>1236</v>
      </c>
      <c r="G6419">
        <v>162</v>
      </c>
      <c r="H6419">
        <v>26</v>
      </c>
      <c r="I6419">
        <v>749904.27</v>
      </c>
      <c r="J6419">
        <v>134</v>
      </c>
      <c r="K6419">
        <v>616634.27</v>
      </c>
      <c r="L6419">
        <v>123</v>
      </c>
      <c r="M6419">
        <v>1356</v>
      </c>
      <c r="N6419">
        <v>1793</v>
      </c>
      <c r="O6419">
        <f t="shared" si="208"/>
        <v>2025</v>
      </c>
      <c r="P6419">
        <f t="shared" si="209"/>
        <v>11</v>
      </c>
      <c r="Q6419" t="s">
        <v>560</v>
      </c>
    </row>
    <row r="6420" spans="1:17" x14ac:dyDescent="0.3">
      <c r="A6420" t="s">
        <v>110</v>
      </c>
      <c r="B6420" s="16">
        <v>45962</v>
      </c>
      <c r="C6420" t="s">
        <v>3</v>
      </c>
      <c r="D6420" t="s">
        <v>128</v>
      </c>
      <c r="E6420">
        <v>67895</v>
      </c>
      <c r="F6420">
        <v>62686</v>
      </c>
      <c r="G6420">
        <v>1262</v>
      </c>
      <c r="H6420">
        <v>469</v>
      </c>
      <c r="I6420">
        <v>1979963.23</v>
      </c>
      <c r="J6420">
        <v>284</v>
      </c>
      <c r="K6420">
        <v>995683.23</v>
      </c>
      <c r="L6420">
        <v>210</v>
      </c>
      <c r="M6420">
        <v>9027</v>
      </c>
      <c r="N6420">
        <v>65628</v>
      </c>
      <c r="O6420">
        <f t="shared" si="208"/>
        <v>2025</v>
      </c>
      <c r="P6420">
        <f t="shared" si="209"/>
        <v>11</v>
      </c>
      <c r="Q6420" t="s">
        <v>560</v>
      </c>
    </row>
    <row r="6421" spans="1:17" x14ac:dyDescent="0.3">
      <c r="A6421" t="s">
        <v>110</v>
      </c>
      <c r="B6421" s="16">
        <v>45962</v>
      </c>
      <c r="C6421" t="s">
        <v>3</v>
      </c>
      <c r="D6421" t="s">
        <v>127</v>
      </c>
      <c r="E6421">
        <v>143469</v>
      </c>
      <c r="F6421">
        <v>119152</v>
      </c>
      <c r="G6421">
        <v>2106</v>
      </c>
      <c r="H6421">
        <v>749</v>
      </c>
      <c r="I6421">
        <v>2113013.4</v>
      </c>
      <c r="J6421">
        <v>338</v>
      </c>
      <c r="K6421">
        <v>1488838.4</v>
      </c>
      <c r="L6421">
        <v>277</v>
      </c>
      <c r="M6421">
        <v>7641</v>
      </c>
      <c r="N6421">
        <v>141412</v>
      </c>
      <c r="O6421">
        <f t="shared" si="208"/>
        <v>2025</v>
      </c>
      <c r="P6421">
        <f t="shared" si="209"/>
        <v>11</v>
      </c>
      <c r="Q6421" t="s">
        <v>560</v>
      </c>
    </row>
    <row r="6422" spans="1:17" x14ac:dyDescent="0.3">
      <c r="A6422" t="s">
        <v>110</v>
      </c>
      <c r="B6422" s="16">
        <v>45962</v>
      </c>
      <c r="C6422" t="s">
        <v>3</v>
      </c>
      <c r="D6422" t="s">
        <v>126</v>
      </c>
      <c r="E6422">
        <v>4163</v>
      </c>
      <c r="F6422">
        <v>2993</v>
      </c>
      <c r="G6422">
        <v>167</v>
      </c>
      <c r="H6422">
        <v>70</v>
      </c>
      <c r="I6422">
        <v>216714</v>
      </c>
      <c r="J6422">
        <v>33</v>
      </c>
      <c r="K6422">
        <v>144859</v>
      </c>
      <c r="L6422">
        <v>26</v>
      </c>
      <c r="M6422">
        <v>484</v>
      </c>
      <c r="N6422">
        <v>4094</v>
      </c>
      <c r="O6422">
        <f t="shared" si="208"/>
        <v>2025</v>
      </c>
      <c r="P6422">
        <f t="shared" si="209"/>
        <v>11</v>
      </c>
      <c r="Q6422" t="s">
        <v>560</v>
      </c>
    </row>
    <row r="6423" spans="1:17" x14ac:dyDescent="0.3">
      <c r="A6423" t="s">
        <v>110</v>
      </c>
      <c r="B6423" s="16">
        <v>45962</v>
      </c>
      <c r="C6423" t="s">
        <v>3</v>
      </c>
      <c r="D6423" t="s">
        <v>125</v>
      </c>
      <c r="E6423">
        <v>7</v>
      </c>
      <c r="F6423">
        <v>3</v>
      </c>
      <c r="G6423">
        <v>1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2</v>
      </c>
      <c r="N6423">
        <v>7</v>
      </c>
      <c r="O6423">
        <f t="shared" si="208"/>
        <v>2025</v>
      </c>
      <c r="P6423">
        <f t="shared" si="209"/>
        <v>11</v>
      </c>
      <c r="Q6423" t="s">
        <v>560</v>
      </c>
    </row>
    <row r="6424" spans="1:17" x14ac:dyDescent="0.3">
      <c r="A6424" t="s">
        <v>110</v>
      </c>
      <c r="B6424" s="16">
        <v>45962</v>
      </c>
      <c r="C6424" t="s">
        <v>3</v>
      </c>
      <c r="D6424" t="s">
        <v>123</v>
      </c>
      <c r="E6424">
        <v>1152</v>
      </c>
      <c r="F6424">
        <v>688</v>
      </c>
      <c r="G6424">
        <v>41</v>
      </c>
      <c r="H6424">
        <v>8</v>
      </c>
      <c r="I6424">
        <v>80335</v>
      </c>
      <c r="J6424">
        <v>18</v>
      </c>
      <c r="K6424">
        <v>71445</v>
      </c>
      <c r="L6424">
        <v>17</v>
      </c>
      <c r="M6424">
        <v>997</v>
      </c>
      <c r="N6424">
        <v>534</v>
      </c>
      <c r="O6424">
        <f t="shared" si="208"/>
        <v>2025</v>
      </c>
      <c r="P6424">
        <f t="shared" si="209"/>
        <v>11</v>
      </c>
      <c r="Q6424" t="s">
        <v>560</v>
      </c>
    </row>
    <row r="6425" spans="1:17" x14ac:dyDescent="0.3">
      <c r="A6425" t="s">
        <v>110</v>
      </c>
      <c r="B6425" s="16">
        <v>45962</v>
      </c>
      <c r="C6425" t="s">
        <v>3</v>
      </c>
      <c r="D6425" t="s">
        <v>122</v>
      </c>
      <c r="E6425">
        <v>2</v>
      </c>
      <c r="F6425">
        <v>1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1</v>
      </c>
      <c r="O6425">
        <f t="shared" si="208"/>
        <v>2025</v>
      </c>
      <c r="P6425">
        <f t="shared" si="209"/>
        <v>11</v>
      </c>
      <c r="Q6425" t="s">
        <v>560</v>
      </c>
    </row>
    <row r="6426" spans="1:17" x14ac:dyDescent="0.3">
      <c r="A6426" t="s">
        <v>110</v>
      </c>
      <c r="B6426" s="16">
        <v>45962</v>
      </c>
      <c r="C6426" t="s">
        <v>3</v>
      </c>
      <c r="D6426" t="s">
        <v>121</v>
      </c>
      <c r="E6426">
        <v>42</v>
      </c>
      <c r="F6426">
        <v>41</v>
      </c>
      <c r="G6426">
        <v>0</v>
      </c>
      <c r="H6426">
        <v>1</v>
      </c>
      <c r="I6426">
        <v>0</v>
      </c>
      <c r="J6426">
        <v>0</v>
      </c>
      <c r="K6426">
        <v>0</v>
      </c>
      <c r="L6426">
        <v>0</v>
      </c>
      <c r="M6426">
        <v>10</v>
      </c>
      <c r="N6426">
        <v>32</v>
      </c>
      <c r="O6426">
        <f t="shared" si="208"/>
        <v>2025</v>
      </c>
      <c r="P6426">
        <f t="shared" si="209"/>
        <v>11</v>
      </c>
      <c r="Q6426" t="s">
        <v>560</v>
      </c>
    </row>
    <row r="6427" spans="1:17" x14ac:dyDescent="0.3">
      <c r="A6427" t="s">
        <v>110</v>
      </c>
      <c r="B6427" s="16">
        <v>45962</v>
      </c>
      <c r="C6427" t="s">
        <v>3</v>
      </c>
      <c r="D6427" t="s">
        <v>119</v>
      </c>
      <c r="E6427">
        <v>3885</v>
      </c>
      <c r="F6427">
        <v>1684</v>
      </c>
      <c r="G6427">
        <v>294</v>
      </c>
      <c r="H6427">
        <v>109</v>
      </c>
      <c r="I6427">
        <v>1568243.52</v>
      </c>
      <c r="J6427">
        <v>205</v>
      </c>
      <c r="K6427">
        <v>1093401.3700000001</v>
      </c>
      <c r="L6427">
        <v>172</v>
      </c>
      <c r="M6427">
        <v>989</v>
      </c>
      <c r="N6427">
        <v>3763</v>
      </c>
      <c r="O6427">
        <f t="shared" si="208"/>
        <v>2025</v>
      </c>
      <c r="P6427">
        <f t="shared" si="209"/>
        <v>11</v>
      </c>
      <c r="Q6427" t="s">
        <v>560</v>
      </c>
    </row>
    <row r="6428" spans="1:17" x14ac:dyDescent="0.3">
      <c r="A6428" t="s">
        <v>110</v>
      </c>
      <c r="B6428" s="16">
        <v>45962</v>
      </c>
      <c r="C6428" t="s">
        <v>3</v>
      </c>
      <c r="D6428" t="s">
        <v>252</v>
      </c>
      <c r="E6428">
        <v>101</v>
      </c>
      <c r="F6428">
        <v>91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2</v>
      </c>
      <c r="N6428">
        <v>101</v>
      </c>
      <c r="O6428">
        <f t="shared" si="208"/>
        <v>2025</v>
      </c>
      <c r="P6428">
        <f t="shared" si="209"/>
        <v>11</v>
      </c>
      <c r="Q6428" t="s">
        <v>560</v>
      </c>
    </row>
    <row r="6429" spans="1:17" x14ac:dyDescent="0.3">
      <c r="A6429" t="s">
        <v>110</v>
      </c>
      <c r="B6429" s="16">
        <v>45962</v>
      </c>
      <c r="C6429" t="s">
        <v>3</v>
      </c>
      <c r="D6429" t="s">
        <v>118</v>
      </c>
      <c r="E6429">
        <v>1</v>
      </c>
      <c r="F6429">
        <v>1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1</v>
      </c>
      <c r="N6429">
        <v>0</v>
      </c>
      <c r="O6429">
        <f t="shared" si="208"/>
        <v>2025</v>
      </c>
      <c r="P6429">
        <f t="shared" si="209"/>
        <v>11</v>
      </c>
      <c r="Q6429" t="s">
        <v>560</v>
      </c>
    </row>
    <row r="6430" spans="1:17" x14ac:dyDescent="0.3">
      <c r="A6430" t="s">
        <v>110</v>
      </c>
      <c r="B6430" s="16">
        <v>45962</v>
      </c>
      <c r="C6430" t="s">
        <v>3</v>
      </c>
      <c r="D6430" t="s">
        <v>117</v>
      </c>
      <c r="E6430">
        <v>33</v>
      </c>
      <c r="F6430">
        <v>24</v>
      </c>
      <c r="G6430">
        <v>0</v>
      </c>
      <c r="H6430">
        <v>1</v>
      </c>
      <c r="I6430">
        <v>3980</v>
      </c>
      <c r="J6430">
        <v>2</v>
      </c>
      <c r="K6430">
        <v>0</v>
      </c>
      <c r="L6430">
        <v>0</v>
      </c>
      <c r="M6430">
        <v>5</v>
      </c>
      <c r="N6430">
        <v>33</v>
      </c>
      <c r="O6430">
        <f t="shared" si="208"/>
        <v>2025</v>
      </c>
      <c r="P6430">
        <f t="shared" si="209"/>
        <v>11</v>
      </c>
      <c r="Q6430" t="s">
        <v>560</v>
      </c>
    </row>
    <row r="6431" spans="1:17" x14ac:dyDescent="0.3">
      <c r="A6431" t="s">
        <v>110</v>
      </c>
      <c r="B6431" s="16">
        <v>45962</v>
      </c>
      <c r="C6431" t="s">
        <v>3</v>
      </c>
      <c r="D6431" t="s">
        <v>391</v>
      </c>
      <c r="E6431">
        <v>8702</v>
      </c>
      <c r="F6431">
        <v>7635</v>
      </c>
      <c r="G6431">
        <v>289</v>
      </c>
      <c r="H6431">
        <v>59</v>
      </c>
      <c r="I6431">
        <v>700078.78</v>
      </c>
      <c r="J6431">
        <v>84</v>
      </c>
      <c r="K6431">
        <v>468178.79</v>
      </c>
      <c r="L6431">
        <v>72</v>
      </c>
      <c r="M6431">
        <v>1649</v>
      </c>
      <c r="N6431">
        <v>8513</v>
      </c>
      <c r="O6431">
        <f t="shared" si="208"/>
        <v>2025</v>
      </c>
      <c r="P6431">
        <f t="shared" si="209"/>
        <v>11</v>
      </c>
      <c r="Q6431" t="s">
        <v>560</v>
      </c>
    </row>
    <row r="6432" spans="1:17" x14ac:dyDescent="0.3">
      <c r="A6432" t="s">
        <v>110</v>
      </c>
      <c r="B6432" s="16">
        <v>45962</v>
      </c>
      <c r="C6432" t="s">
        <v>3</v>
      </c>
      <c r="D6432" t="s">
        <v>114</v>
      </c>
      <c r="E6432">
        <v>2110</v>
      </c>
      <c r="F6432">
        <v>1073</v>
      </c>
      <c r="G6432">
        <v>55</v>
      </c>
      <c r="H6432">
        <v>24</v>
      </c>
      <c r="I6432">
        <v>59150</v>
      </c>
      <c r="J6432">
        <v>9</v>
      </c>
      <c r="K6432">
        <v>34280</v>
      </c>
      <c r="L6432">
        <v>5</v>
      </c>
      <c r="M6432">
        <v>177</v>
      </c>
      <c r="N6432">
        <v>2084</v>
      </c>
      <c r="O6432">
        <f t="shared" si="208"/>
        <v>2025</v>
      </c>
      <c r="P6432">
        <f t="shared" si="209"/>
        <v>11</v>
      </c>
      <c r="Q6432" t="s">
        <v>560</v>
      </c>
    </row>
    <row r="6433" spans="1:17" x14ac:dyDescent="0.3">
      <c r="A6433" t="s">
        <v>110</v>
      </c>
      <c r="B6433" s="16">
        <v>45962</v>
      </c>
      <c r="C6433" t="s">
        <v>3</v>
      </c>
      <c r="D6433" t="s">
        <v>113</v>
      </c>
      <c r="E6433">
        <v>2507</v>
      </c>
      <c r="F6433">
        <v>1648</v>
      </c>
      <c r="G6433">
        <v>89</v>
      </c>
      <c r="H6433">
        <v>28</v>
      </c>
      <c r="I6433">
        <v>104885</v>
      </c>
      <c r="J6433">
        <v>16</v>
      </c>
      <c r="K6433">
        <v>85505</v>
      </c>
      <c r="L6433">
        <v>15</v>
      </c>
      <c r="M6433">
        <v>2017</v>
      </c>
      <c r="N6433">
        <v>1526</v>
      </c>
      <c r="O6433">
        <f t="shared" si="208"/>
        <v>2025</v>
      </c>
      <c r="P6433">
        <f t="shared" si="209"/>
        <v>11</v>
      </c>
      <c r="Q6433" t="s">
        <v>560</v>
      </c>
    </row>
    <row r="6434" spans="1:17" x14ac:dyDescent="0.3">
      <c r="A6434" t="s">
        <v>110</v>
      </c>
      <c r="B6434" s="16">
        <v>45962</v>
      </c>
      <c r="C6434" t="s">
        <v>3</v>
      </c>
      <c r="D6434" t="s">
        <v>112</v>
      </c>
      <c r="E6434">
        <v>738</v>
      </c>
      <c r="F6434">
        <v>224</v>
      </c>
      <c r="G6434">
        <v>14</v>
      </c>
      <c r="H6434">
        <v>4</v>
      </c>
      <c r="I6434">
        <v>172849.66</v>
      </c>
      <c r="J6434">
        <v>46</v>
      </c>
      <c r="K6434">
        <v>160179.66</v>
      </c>
      <c r="L6434">
        <v>45</v>
      </c>
      <c r="M6434">
        <v>9</v>
      </c>
      <c r="N6434">
        <v>738</v>
      </c>
      <c r="O6434">
        <f t="shared" si="208"/>
        <v>2025</v>
      </c>
      <c r="P6434">
        <f t="shared" si="209"/>
        <v>11</v>
      </c>
      <c r="Q6434" t="s">
        <v>560</v>
      </c>
    </row>
    <row r="6435" spans="1:17" x14ac:dyDescent="0.3">
      <c r="A6435" t="s">
        <v>110</v>
      </c>
      <c r="B6435" s="16">
        <v>45962</v>
      </c>
      <c r="C6435" t="s">
        <v>3</v>
      </c>
      <c r="D6435" t="s">
        <v>111</v>
      </c>
      <c r="E6435">
        <v>47</v>
      </c>
      <c r="F6435">
        <v>11</v>
      </c>
      <c r="G6435">
        <v>1</v>
      </c>
      <c r="H6435">
        <v>1</v>
      </c>
      <c r="I6435">
        <v>3440</v>
      </c>
      <c r="J6435">
        <v>2</v>
      </c>
      <c r="K6435">
        <v>3440</v>
      </c>
      <c r="L6435">
        <v>2</v>
      </c>
      <c r="M6435">
        <v>0</v>
      </c>
      <c r="N6435">
        <v>47</v>
      </c>
      <c r="O6435">
        <f t="shared" si="208"/>
        <v>2025</v>
      </c>
      <c r="P6435">
        <f t="shared" si="209"/>
        <v>11</v>
      </c>
      <c r="Q6435" t="s">
        <v>560</v>
      </c>
    </row>
    <row r="6436" spans="1:17" x14ac:dyDescent="0.3">
      <c r="A6436" t="s">
        <v>110</v>
      </c>
      <c r="B6436" s="16">
        <v>45992</v>
      </c>
      <c r="C6436" t="s">
        <v>2</v>
      </c>
      <c r="D6436" t="s">
        <v>4</v>
      </c>
      <c r="E6436">
        <v>4751</v>
      </c>
      <c r="F6436">
        <v>2733</v>
      </c>
      <c r="G6436">
        <v>76</v>
      </c>
      <c r="H6436">
        <v>21</v>
      </c>
      <c r="I6436">
        <v>160715</v>
      </c>
      <c r="J6436">
        <v>43</v>
      </c>
      <c r="K6436">
        <v>133775</v>
      </c>
      <c r="L6436">
        <v>41</v>
      </c>
      <c r="M6436">
        <v>94</v>
      </c>
      <c r="N6436">
        <v>4722</v>
      </c>
      <c r="O6436">
        <f t="shared" ref="O6436:O6476" si="210">YEAR(B6436)</f>
        <v>2025</v>
      </c>
      <c r="P6436">
        <f t="shared" ref="P6436:P6476" si="211">MONTH(B6436)</f>
        <v>12</v>
      </c>
      <c r="Q6436" t="s">
        <v>560</v>
      </c>
    </row>
    <row r="6437" spans="1:17" x14ac:dyDescent="0.3">
      <c r="A6437" t="s">
        <v>110</v>
      </c>
      <c r="B6437" s="16">
        <v>45992</v>
      </c>
      <c r="C6437" t="s">
        <v>2</v>
      </c>
      <c r="D6437" t="s">
        <v>57</v>
      </c>
      <c r="E6437">
        <v>370007</v>
      </c>
      <c r="F6437">
        <v>348239</v>
      </c>
      <c r="G6437">
        <v>2311</v>
      </c>
      <c r="H6437">
        <v>1116</v>
      </c>
      <c r="I6437">
        <v>2773361.12</v>
      </c>
      <c r="J6437">
        <v>318</v>
      </c>
      <c r="K6437">
        <v>1456348</v>
      </c>
      <c r="L6437">
        <v>244</v>
      </c>
      <c r="M6437">
        <v>33938</v>
      </c>
      <c r="N6437">
        <v>357430</v>
      </c>
      <c r="O6437">
        <f t="shared" si="210"/>
        <v>2025</v>
      </c>
      <c r="P6437">
        <f t="shared" si="211"/>
        <v>12</v>
      </c>
      <c r="Q6437" t="s">
        <v>560</v>
      </c>
    </row>
    <row r="6438" spans="1:17" x14ac:dyDescent="0.3">
      <c r="A6438" t="s">
        <v>110</v>
      </c>
      <c r="B6438" s="16">
        <v>45992</v>
      </c>
      <c r="C6438" t="s">
        <v>2</v>
      </c>
      <c r="D6438" t="s">
        <v>52</v>
      </c>
      <c r="E6438">
        <v>5</v>
      </c>
      <c r="F6438">
        <v>4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1</v>
      </c>
      <c r="N6438">
        <v>4</v>
      </c>
      <c r="O6438">
        <f t="shared" si="210"/>
        <v>2025</v>
      </c>
      <c r="P6438">
        <f t="shared" si="211"/>
        <v>12</v>
      </c>
      <c r="Q6438" t="s">
        <v>560</v>
      </c>
    </row>
    <row r="6439" spans="1:17" x14ac:dyDescent="0.3">
      <c r="A6439" t="s">
        <v>110</v>
      </c>
      <c r="B6439" s="16">
        <v>45992</v>
      </c>
      <c r="C6439" t="s">
        <v>2</v>
      </c>
      <c r="D6439" t="s">
        <v>55</v>
      </c>
      <c r="E6439">
        <v>9842</v>
      </c>
      <c r="F6439">
        <v>6874</v>
      </c>
      <c r="G6439">
        <v>84</v>
      </c>
      <c r="H6439">
        <v>17</v>
      </c>
      <c r="I6439">
        <v>0</v>
      </c>
      <c r="J6439">
        <v>0</v>
      </c>
      <c r="K6439">
        <v>0</v>
      </c>
      <c r="L6439">
        <v>0</v>
      </c>
      <c r="M6439">
        <v>320</v>
      </c>
      <c r="N6439">
        <v>4957</v>
      </c>
      <c r="O6439">
        <f t="shared" si="210"/>
        <v>2025</v>
      </c>
      <c r="P6439">
        <f t="shared" si="211"/>
        <v>12</v>
      </c>
      <c r="Q6439" t="s">
        <v>560</v>
      </c>
    </row>
    <row r="6440" spans="1:17" x14ac:dyDescent="0.3">
      <c r="A6440" t="s">
        <v>110</v>
      </c>
      <c r="B6440" s="16">
        <v>45992</v>
      </c>
      <c r="C6440" t="s">
        <v>3</v>
      </c>
      <c r="D6440" t="s">
        <v>157</v>
      </c>
      <c r="E6440">
        <v>9</v>
      </c>
      <c r="F6440">
        <v>6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f t="shared" si="210"/>
        <v>2025</v>
      </c>
      <c r="P6440">
        <f t="shared" si="211"/>
        <v>12</v>
      </c>
      <c r="Q6440" t="s">
        <v>560</v>
      </c>
    </row>
    <row r="6441" spans="1:17" x14ac:dyDescent="0.3">
      <c r="A6441" t="s">
        <v>110</v>
      </c>
      <c r="B6441" s="16">
        <v>45992</v>
      </c>
      <c r="C6441" t="s">
        <v>3</v>
      </c>
      <c r="D6441" t="s">
        <v>155</v>
      </c>
      <c r="E6441">
        <v>147</v>
      </c>
      <c r="F6441">
        <v>115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2</v>
      </c>
      <c r="N6441">
        <v>147</v>
      </c>
      <c r="O6441">
        <f t="shared" si="210"/>
        <v>2025</v>
      </c>
      <c r="P6441">
        <f t="shared" si="211"/>
        <v>12</v>
      </c>
      <c r="Q6441" t="s">
        <v>560</v>
      </c>
    </row>
    <row r="6442" spans="1:17" x14ac:dyDescent="0.3">
      <c r="A6442" t="s">
        <v>110</v>
      </c>
      <c r="B6442" s="16">
        <v>45992</v>
      </c>
      <c r="C6442" t="s">
        <v>3</v>
      </c>
      <c r="D6442" t="s">
        <v>154</v>
      </c>
      <c r="E6442">
        <v>1905</v>
      </c>
      <c r="F6442">
        <v>1610</v>
      </c>
      <c r="G6442">
        <v>1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2</v>
      </c>
      <c r="O6442">
        <f t="shared" si="210"/>
        <v>2025</v>
      </c>
      <c r="P6442">
        <f t="shared" si="211"/>
        <v>12</v>
      </c>
      <c r="Q6442" t="s">
        <v>560</v>
      </c>
    </row>
    <row r="6443" spans="1:17" x14ac:dyDescent="0.3">
      <c r="A6443" t="s">
        <v>110</v>
      </c>
      <c r="B6443" s="16">
        <v>45992</v>
      </c>
      <c r="C6443" t="s">
        <v>3</v>
      </c>
      <c r="D6443" t="s">
        <v>153</v>
      </c>
      <c r="E6443">
        <v>3929</v>
      </c>
      <c r="F6443">
        <v>1793</v>
      </c>
      <c r="G6443">
        <v>478</v>
      </c>
      <c r="H6443">
        <v>42</v>
      </c>
      <c r="I6443">
        <v>3083885.81</v>
      </c>
      <c r="J6443">
        <v>465</v>
      </c>
      <c r="K6443">
        <v>2591793.9300000002</v>
      </c>
      <c r="L6443">
        <v>442</v>
      </c>
      <c r="M6443">
        <v>1453</v>
      </c>
      <c r="N6443">
        <v>3801</v>
      </c>
      <c r="O6443">
        <f t="shared" si="210"/>
        <v>2025</v>
      </c>
      <c r="P6443">
        <f t="shared" si="211"/>
        <v>12</v>
      </c>
      <c r="Q6443" t="s">
        <v>560</v>
      </c>
    </row>
    <row r="6444" spans="1:17" x14ac:dyDescent="0.3">
      <c r="A6444" t="s">
        <v>110</v>
      </c>
      <c r="B6444" s="16">
        <v>45992</v>
      </c>
      <c r="C6444" t="s">
        <v>3</v>
      </c>
      <c r="D6444" t="s">
        <v>152</v>
      </c>
      <c r="E6444">
        <v>3927</v>
      </c>
      <c r="F6444">
        <v>2924</v>
      </c>
      <c r="G6444">
        <v>13</v>
      </c>
      <c r="H6444">
        <v>10</v>
      </c>
      <c r="I6444">
        <v>15560</v>
      </c>
      <c r="J6444">
        <v>4</v>
      </c>
      <c r="K6444">
        <v>13470</v>
      </c>
      <c r="L6444">
        <v>3</v>
      </c>
      <c r="M6444">
        <v>18</v>
      </c>
      <c r="N6444">
        <v>2372</v>
      </c>
      <c r="O6444">
        <f t="shared" si="210"/>
        <v>2025</v>
      </c>
      <c r="P6444">
        <f t="shared" si="211"/>
        <v>12</v>
      </c>
      <c r="Q6444" t="s">
        <v>560</v>
      </c>
    </row>
    <row r="6445" spans="1:17" x14ac:dyDescent="0.3">
      <c r="A6445" t="s">
        <v>110</v>
      </c>
      <c r="B6445" s="16">
        <v>45992</v>
      </c>
      <c r="C6445" t="s">
        <v>3</v>
      </c>
      <c r="D6445" t="s">
        <v>198</v>
      </c>
      <c r="E6445">
        <v>22</v>
      </c>
      <c r="F6445">
        <v>9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4</v>
      </c>
      <c r="N6445">
        <v>22</v>
      </c>
      <c r="O6445">
        <f t="shared" si="210"/>
        <v>2025</v>
      </c>
      <c r="P6445">
        <f t="shared" si="211"/>
        <v>12</v>
      </c>
      <c r="Q6445" t="s">
        <v>560</v>
      </c>
    </row>
    <row r="6446" spans="1:17" x14ac:dyDescent="0.3">
      <c r="A6446" t="s">
        <v>110</v>
      </c>
      <c r="B6446" s="16">
        <v>45992</v>
      </c>
      <c r="C6446" t="s">
        <v>3</v>
      </c>
      <c r="D6446" t="s">
        <v>149</v>
      </c>
      <c r="E6446">
        <v>65</v>
      </c>
      <c r="F6446">
        <v>33</v>
      </c>
      <c r="G6446">
        <v>2</v>
      </c>
      <c r="H6446">
        <v>2</v>
      </c>
      <c r="I6446">
        <v>0</v>
      </c>
      <c r="J6446">
        <v>0</v>
      </c>
      <c r="K6446">
        <v>0</v>
      </c>
      <c r="L6446">
        <v>0</v>
      </c>
      <c r="M6446">
        <v>8</v>
      </c>
      <c r="N6446">
        <v>33</v>
      </c>
      <c r="O6446">
        <f t="shared" si="210"/>
        <v>2025</v>
      </c>
      <c r="P6446">
        <f t="shared" si="211"/>
        <v>12</v>
      </c>
      <c r="Q6446" t="s">
        <v>560</v>
      </c>
    </row>
    <row r="6447" spans="1:17" x14ac:dyDescent="0.3">
      <c r="A6447" t="s">
        <v>110</v>
      </c>
      <c r="B6447" s="16">
        <v>45992</v>
      </c>
      <c r="C6447" t="s">
        <v>3</v>
      </c>
      <c r="D6447" t="s">
        <v>148</v>
      </c>
      <c r="E6447">
        <v>13</v>
      </c>
      <c r="F6447">
        <v>13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12</v>
      </c>
      <c r="N6447">
        <v>1</v>
      </c>
      <c r="O6447">
        <f t="shared" si="210"/>
        <v>2025</v>
      </c>
      <c r="P6447">
        <f t="shared" si="211"/>
        <v>12</v>
      </c>
      <c r="Q6447" t="s">
        <v>560</v>
      </c>
    </row>
    <row r="6448" spans="1:17" x14ac:dyDescent="0.3">
      <c r="A6448" t="s">
        <v>110</v>
      </c>
      <c r="B6448" s="16">
        <v>45992</v>
      </c>
      <c r="C6448" t="s">
        <v>3</v>
      </c>
      <c r="D6448" t="s">
        <v>367</v>
      </c>
      <c r="E6448">
        <v>2038</v>
      </c>
      <c r="F6448">
        <v>1639</v>
      </c>
      <c r="G6448">
        <v>38</v>
      </c>
      <c r="H6448">
        <v>18</v>
      </c>
      <c r="I6448">
        <v>65915</v>
      </c>
      <c r="J6448">
        <v>14</v>
      </c>
      <c r="K6448">
        <v>49400</v>
      </c>
      <c r="L6448">
        <v>11</v>
      </c>
      <c r="M6448">
        <v>3</v>
      </c>
      <c r="N6448">
        <v>2038</v>
      </c>
      <c r="O6448">
        <f t="shared" si="210"/>
        <v>2025</v>
      </c>
      <c r="P6448">
        <f t="shared" si="211"/>
        <v>12</v>
      </c>
      <c r="Q6448" t="s">
        <v>560</v>
      </c>
    </row>
    <row r="6449" spans="1:17" x14ac:dyDescent="0.3">
      <c r="A6449" t="s">
        <v>110</v>
      </c>
      <c r="B6449" s="16">
        <v>45992</v>
      </c>
      <c r="C6449" t="s">
        <v>3</v>
      </c>
      <c r="D6449" t="s">
        <v>630</v>
      </c>
      <c r="E6449">
        <v>1</v>
      </c>
      <c r="F6449">
        <v>1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1</v>
      </c>
      <c r="N6449">
        <v>0</v>
      </c>
      <c r="O6449">
        <f t="shared" si="210"/>
        <v>2025</v>
      </c>
      <c r="P6449">
        <f t="shared" si="211"/>
        <v>12</v>
      </c>
      <c r="Q6449" t="s">
        <v>560</v>
      </c>
    </row>
    <row r="6450" spans="1:17" x14ac:dyDescent="0.3">
      <c r="A6450" t="s">
        <v>110</v>
      </c>
      <c r="B6450" s="16">
        <v>45992</v>
      </c>
      <c r="C6450" t="s">
        <v>3</v>
      </c>
      <c r="D6450" t="s">
        <v>251</v>
      </c>
      <c r="E6450">
        <v>18745</v>
      </c>
      <c r="F6450">
        <v>16686</v>
      </c>
      <c r="G6450">
        <v>229</v>
      </c>
      <c r="H6450">
        <v>65</v>
      </c>
      <c r="I6450">
        <v>740602.71</v>
      </c>
      <c r="J6450">
        <v>120</v>
      </c>
      <c r="K6450">
        <v>661552.71</v>
      </c>
      <c r="L6450">
        <v>116</v>
      </c>
      <c r="M6450">
        <v>1208</v>
      </c>
      <c r="N6450">
        <v>6208</v>
      </c>
      <c r="O6450">
        <f t="shared" si="210"/>
        <v>2025</v>
      </c>
      <c r="P6450">
        <f t="shared" si="211"/>
        <v>12</v>
      </c>
      <c r="Q6450" t="s">
        <v>560</v>
      </c>
    </row>
    <row r="6451" spans="1:17" x14ac:dyDescent="0.3">
      <c r="A6451" t="s">
        <v>110</v>
      </c>
      <c r="B6451" s="16">
        <v>45992</v>
      </c>
      <c r="C6451" t="s">
        <v>3</v>
      </c>
      <c r="D6451" t="s">
        <v>143</v>
      </c>
      <c r="E6451">
        <v>13</v>
      </c>
      <c r="F6451">
        <v>8</v>
      </c>
      <c r="G6451">
        <v>0</v>
      </c>
      <c r="H6451">
        <v>1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13</v>
      </c>
      <c r="O6451">
        <f t="shared" si="210"/>
        <v>2025</v>
      </c>
      <c r="P6451">
        <f t="shared" si="211"/>
        <v>12</v>
      </c>
      <c r="Q6451" t="s">
        <v>560</v>
      </c>
    </row>
    <row r="6452" spans="1:17" x14ac:dyDescent="0.3">
      <c r="A6452" t="s">
        <v>110</v>
      </c>
      <c r="B6452" s="16">
        <v>45992</v>
      </c>
      <c r="C6452" t="s">
        <v>3</v>
      </c>
      <c r="D6452" t="s">
        <v>141</v>
      </c>
      <c r="E6452">
        <v>2078</v>
      </c>
      <c r="F6452">
        <v>2015</v>
      </c>
      <c r="G6452">
        <v>6</v>
      </c>
      <c r="H6452">
        <v>604</v>
      </c>
      <c r="I6452">
        <v>0</v>
      </c>
      <c r="J6452">
        <v>0</v>
      </c>
      <c r="K6452">
        <v>0</v>
      </c>
      <c r="L6452">
        <v>0</v>
      </c>
      <c r="M6452">
        <v>33</v>
      </c>
      <c r="N6452">
        <v>2045</v>
      </c>
      <c r="O6452">
        <f t="shared" si="210"/>
        <v>2025</v>
      </c>
      <c r="P6452">
        <f t="shared" si="211"/>
        <v>12</v>
      </c>
      <c r="Q6452" t="s">
        <v>560</v>
      </c>
    </row>
    <row r="6453" spans="1:17" x14ac:dyDescent="0.3">
      <c r="A6453" t="s">
        <v>110</v>
      </c>
      <c r="B6453" s="16">
        <v>45992</v>
      </c>
      <c r="C6453" t="s">
        <v>3</v>
      </c>
      <c r="D6453" t="s">
        <v>140</v>
      </c>
      <c r="E6453">
        <v>1908</v>
      </c>
      <c r="F6453">
        <v>1881</v>
      </c>
      <c r="G6453">
        <v>28</v>
      </c>
      <c r="H6453">
        <v>966</v>
      </c>
      <c r="I6453">
        <v>46340</v>
      </c>
      <c r="J6453">
        <v>7</v>
      </c>
      <c r="K6453">
        <v>29390</v>
      </c>
      <c r="L6453">
        <v>6</v>
      </c>
      <c r="M6453">
        <v>32</v>
      </c>
      <c r="N6453">
        <v>1896</v>
      </c>
      <c r="O6453">
        <f t="shared" si="210"/>
        <v>2025</v>
      </c>
      <c r="P6453">
        <f t="shared" si="211"/>
        <v>12</v>
      </c>
      <c r="Q6453" t="s">
        <v>560</v>
      </c>
    </row>
    <row r="6454" spans="1:17" x14ac:dyDescent="0.3">
      <c r="A6454" t="s">
        <v>110</v>
      </c>
      <c r="B6454" s="16">
        <v>45992</v>
      </c>
      <c r="C6454" t="s">
        <v>3</v>
      </c>
      <c r="D6454" t="s">
        <v>139</v>
      </c>
      <c r="E6454">
        <v>28713</v>
      </c>
      <c r="F6454">
        <v>23048</v>
      </c>
      <c r="G6454">
        <v>645</v>
      </c>
      <c r="H6454">
        <v>176</v>
      </c>
      <c r="I6454">
        <v>1863565.19</v>
      </c>
      <c r="J6454">
        <v>264</v>
      </c>
      <c r="K6454">
        <v>1207135.19</v>
      </c>
      <c r="L6454">
        <v>236</v>
      </c>
      <c r="M6454">
        <v>5217</v>
      </c>
      <c r="N6454">
        <v>25258</v>
      </c>
      <c r="O6454">
        <f t="shared" si="210"/>
        <v>2025</v>
      </c>
      <c r="P6454">
        <f t="shared" si="211"/>
        <v>12</v>
      </c>
      <c r="Q6454" t="s">
        <v>560</v>
      </c>
    </row>
    <row r="6455" spans="1:17" x14ac:dyDescent="0.3">
      <c r="A6455" t="s">
        <v>110</v>
      </c>
      <c r="B6455" s="16">
        <v>45992</v>
      </c>
      <c r="C6455" t="s">
        <v>3</v>
      </c>
      <c r="D6455" t="s">
        <v>138</v>
      </c>
      <c r="E6455">
        <v>371</v>
      </c>
      <c r="F6455">
        <v>189</v>
      </c>
      <c r="G6455">
        <v>10</v>
      </c>
      <c r="H6455">
        <v>3</v>
      </c>
      <c r="I6455">
        <v>53223.41</v>
      </c>
      <c r="J6455">
        <v>8</v>
      </c>
      <c r="K6455">
        <v>48233.41</v>
      </c>
      <c r="L6455">
        <v>8</v>
      </c>
      <c r="M6455">
        <v>38</v>
      </c>
      <c r="N6455">
        <v>366</v>
      </c>
      <c r="O6455">
        <f t="shared" si="210"/>
        <v>2025</v>
      </c>
      <c r="P6455">
        <f t="shared" si="211"/>
        <v>12</v>
      </c>
      <c r="Q6455" t="s">
        <v>560</v>
      </c>
    </row>
    <row r="6456" spans="1:17" x14ac:dyDescent="0.3">
      <c r="A6456" t="s">
        <v>110</v>
      </c>
      <c r="B6456" s="16">
        <v>45992</v>
      </c>
      <c r="C6456" t="s">
        <v>3</v>
      </c>
      <c r="D6456" t="s">
        <v>137</v>
      </c>
      <c r="E6456">
        <v>420</v>
      </c>
      <c r="F6456">
        <v>255</v>
      </c>
      <c r="G6456">
        <v>63</v>
      </c>
      <c r="H6456">
        <v>7</v>
      </c>
      <c r="I6456">
        <v>141510</v>
      </c>
      <c r="J6456">
        <v>30</v>
      </c>
      <c r="K6456">
        <v>103375</v>
      </c>
      <c r="L6456">
        <v>26</v>
      </c>
      <c r="M6456">
        <v>134</v>
      </c>
      <c r="N6456">
        <v>417</v>
      </c>
      <c r="O6456">
        <f t="shared" si="210"/>
        <v>2025</v>
      </c>
      <c r="P6456">
        <f t="shared" si="211"/>
        <v>12</v>
      </c>
      <c r="Q6456" t="s">
        <v>560</v>
      </c>
    </row>
    <row r="6457" spans="1:17" x14ac:dyDescent="0.3">
      <c r="A6457" t="s">
        <v>110</v>
      </c>
      <c r="B6457" s="16">
        <v>45992</v>
      </c>
      <c r="C6457" t="s">
        <v>3</v>
      </c>
      <c r="D6457" t="s">
        <v>136</v>
      </c>
      <c r="E6457">
        <v>14</v>
      </c>
      <c r="F6457">
        <v>4</v>
      </c>
      <c r="G6457">
        <v>1</v>
      </c>
      <c r="H6457">
        <v>0</v>
      </c>
      <c r="I6457">
        <v>30065</v>
      </c>
      <c r="J6457">
        <v>5</v>
      </c>
      <c r="K6457">
        <v>30065</v>
      </c>
      <c r="L6457">
        <v>5</v>
      </c>
      <c r="M6457">
        <v>0</v>
      </c>
      <c r="N6457">
        <v>14</v>
      </c>
      <c r="O6457">
        <f t="shared" si="210"/>
        <v>2025</v>
      </c>
      <c r="P6457">
        <f t="shared" si="211"/>
        <v>12</v>
      </c>
      <c r="Q6457" t="s">
        <v>560</v>
      </c>
    </row>
    <row r="6458" spans="1:17" x14ac:dyDescent="0.3">
      <c r="A6458" t="s">
        <v>110</v>
      </c>
      <c r="B6458" s="16">
        <v>45992</v>
      </c>
      <c r="C6458" t="s">
        <v>3</v>
      </c>
      <c r="D6458" t="s">
        <v>133</v>
      </c>
      <c r="E6458">
        <v>278</v>
      </c>
      <c r="F6458">
        <v>175</v>
      </c>
      <c r="G6458">
        <v>20</v>
      </c>
      <c r="H6458">
        <v>2</v>
      </c>
      <c r="I6458">
        <v>21535</v>
      </c>
      <c r="J6458">
        <v>4</v>
      </c>
      <c r="K6458">
        <v>21535</v>
      </c>
      <c r="L6458">
        <v>4</v>
      </c>
      <c r="M6458">
        <v>60</v>
      </c>
      <c r="N6458">
        <v>255</v>
      </c>
      <c r="O6458">
        <f t="shared" si="210"/>
        <v>2025</v>
      </c>
      <c r="P6458">
        <f t="shared" si="211"/>
        <v>12</v>
      </c>
      <c r="Q6458" t="s">
        <v>560</v>
      </c>
    </row>
    <row r="6459" spans="1:17" x14ac:dyDescent="0.3">
      <c r="A6459" t="s">
        <v>110</v>
      </c>
      <c r="B6459" s="16">
        <v>45992</v>
      </c>
      <c r="C6459" t="s">
        <v>3</v>
      </c>
      <c r="D6459" t="s">
        <v>130</v>
      </c>
      <c r="E6459">
        <v>2429</v>
      </c>
      <c r="F6459">
        <v>1360</v>
      </c>
      <c r="G6459">
        <v>162</v>
      </c>
      <c r="H6459">
        <v>30</v>
      </c>
      <c r="I6459">
        <v>717976.46</v>
      </c>
      <c r="J6459">
        <v>121</v>
      </c>
      <c r="K6459">
        <v>671676.46</v>
      </c>
      <c r="L6459">
        <v>112</v>
      </c>
      <c r="M6459">
        <v>1448</v>
      </c>
      <c r="N6459">
        <v>1740</v>
      </c>
      <c r="O6459">
        <f t="shared" si="210"/>
        <v>2025</v>
      </c>
      <c r="P6459">
        <f t="shared" si="211"/>
        <v>12</v>
      </c>
      <c r="Q6459" t="s">
        <v>560</v>
      </c>
    </row>
    <row r="6460" spans="1:17" x14ac:dyDescent="0.3">
      <c r="A6460" t="s">
        <v>110</v>
      </c>
      <c r="B6460" s="16">
        <v>45992</v>
      </c>
      <c r="C6460" t="s">
        <v>3</v>
      </c>
      <c r="D6460" t="s">
        <v>128</v>
      </c>
      <c r="E6460">
        <v>49785</v>
      </c>
      <c r="F6460">
        <v>46025</v>
      </c>
      <c r="G6460">
        <v>1327</v>
      </c>
      <c r="H6460">
        <v>388</v>
      </c>
      <c r="I6460">
        <v>1305262.24</v>
      </c>
      <c r="J6460">
        <v>232</v>
      </c>
      <c r="K6460">
        <v>862422.24</v>
      </c>
      <c r="L6460">
        <v>202</v>
      </c>
      <c r="M6460">
        <v>7605</v>
      </c>
      <c r="N6460">
        <v>47756</v>
      </c>
      <c r="O6460">
        <f t="shared" si="210"/>
        <v>2025</v>
      </c>
      <c r="P6460">
        <f t="shared" si="211"/>
        <v>12</v>
      </c>
      <c r="Q6460" t="s">
        <v>560</v>
      </c>
    </row>
    <row r="6461" spans="1:17" x14ac:dyDescent="0.3">
      <c r="A6461" t="s">
        <v>110</v>
      </c>
      <c r="B6461" s="16">
        <v>45992</v>
      </c>
      <c r="C6461" t="s">
        <v>3</v>
      </c>
      <c r="D6461" t="s">
        <v>127</v>
      </c>
      <c r="E6461">
        <v>117066</v>
      </c>
      <c r="F6461">
        <v>98544</v>
      </c>
      <c r="G6461">
        <v>1645</v>
      </c>
      <c r="H6461">
        <v>559</v>
      </c>
      <c r="I6461">
        <v>1241731.72</v>
      </c>
      <c r="J6461">
        <v>210</v>
      </c>
      <c r="K6461">
        <v>984086.72</v>
      </c>
      <c r="L6461">
        <v>179</v>
      </c>
      <c r="M6461">
        <v>5961</v>
      </c>
      <c r="N6461">
        <v>115476</v>
      </c>
      <c r="O6461">
        <f t="shared" si="210"/>
        <v>2025</v>
      </c>
      <c r="P6461">
        <f t="shared" si="211"/>
        <v>12</v>
      </c>
      <c r="Q6461" t="s">
        <v>560</v>
      </c>
    </row>
    <row r="6462" spans="1:17" x14ac:dyDescent="0.3">
      <c r="A6462" t="s">
        <v>110</v>
      </c>
      <c r="B6462" s="16">
        <v>45992</v>
      </c>
      <c r="C6462" t="s">
        <v>3</v>
      </c>
      <c r="D6462" t="s">
        <v>126</v>
      </c>
      <c r="E6462">
        <v>3620</v>
      </c>
      <c r="F6462">
        <v>2926</v>
      </c>
      <c r="G6462">
        <v>149</v>
      </c>
      <c r="H6462">
        <v>56</v>
      </c>
      <c r="I6462">
        <v>249792.79</v>
      </c>
      <c r="J6462">
        <v>30</v>
      </c>
      <c r="K6462">
        <v>144647.79</v>
      </c>
      <c r="L6462">
        <v>23</v>
      </c>
      <c r="M6462">
        <v>430</v>
      </c>
      <c r="N6462">
        <v>3555</v>
      </c>
      <c r="O6462">
        <f t="shared" si="210"/>
        <v>2025</v>
      </c>
      <c r="P6462">
        <f t="shared" si="211"/>
        <v>12</v>
      </c>
      <c r="Q6462" t="s">
        <v>560</v>
      </c>
    </row>
    <row r="6463" spans="1:17" x14ac:dyDescent="0.3">
      <c r="A6463" t="s">
        <v>110</v>
      </c>
      <c r="B6463" s="16">
        <v>45992</v>
      </c>
      <c r="C6463" t="s">
        <v>3</v>
      </c>
      <c r="D6463" t="s">
        <v>125</v>
      </c>
      <c r="E6463">
        <v>3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1</v>
      </c>
      <c r="N6463">
        <v>3</v>
      </c>
      <c r="O6463">
        <f t="shared" si="210"/>
        <v>2025</v>
      </c>
      <c r="P6463">
        <f t="shared" si="211"/>
        <v>12</v>
      </c>
      <c r="Q6463" t="s">
        <v>560</v>
      </c>
    </row>
    <row r="6464" spans="1:17" x14ac:dyDescent="0.3">
      <c r="A6464" t="s">
        <v>110</v>
      </c>
      <c r="B6464" s="16">
        <v>45992</v>
      </c>
      <c r="C6464" t="s">
        <v>3</v>
      </c>
      <c r="D6464" t="s">
        <v>123</v>
      </c>
      <c r="E6464">
        <v>1107</v>
      </c>
      <c r="F6464">
        <v>705</v>
      </c>
      <c r="G6464">
        <v>39</v>
      </c>
      <c r="H6464">
        <v>7</v>
      </c>
      <c r="I6464">
        <v>66385</v>
      </c>
      <c r="J6464">
        <v>13</v>
      </c>
      <c r="K6464">
        <v>54995</v>
      </c>
      <c r="L6464">
        <v>13</v>
      </c>
      <c r="M6464">
        <v>1013</v>
      </c>
      <c r="N6464">
        <v>421</v>
      </c>
      <c r="O6464">
        <f t="shared" si="210"/>
        <v>2025</v>
      </c>
      <c r="P6464">
        <f t="shared" si="211"/>
        <v>12</v>
      </c>
      <c r="Q6464" t="s">
        <v>560</v>
      </c>
    </row>
    <row r="6465" spans="1:17" x14ac:dyDescent="0.3">
      <c r="A6465" t="s">
        <v>110</v>
      </c>
      <c r="B6465" s="16">
        <v>45992</v>
      </c>
      <c r="C6465" t="s">
        <v>3</v>
      </c>
      <c r="D6465" t="s">
        <v>122</v>
      </c>
      <c r="E6465">
        <v>5</v>
      </c>
      <c r="F6465">
        <v>4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1</v>
      </c>
      <c r="N6465">
        <v>1</v>
      </c>
      <c r="O6465">
        <f t="shared" si="210"/>
        <v>2025</v>
      </c>
      <c r="P6465">
        <f t="shared" si="211"/>
        <v>12</v>
      </c>
      <c r="Q6465" t="s">
        <v>560</v>
      </c>
    </row>
    <row r="6466" spans="1:17" x14ac:dyDescent="0.3">
      <c r="A6466" t="s">
        <v>110</v>
      </c>
      <c r="B6466" s="16">
        <v>45992</v>
      </c>
      <c r="C6466" t="s">
        <v>3</v>
      </c>
      <c r="D6466" t="s">
        <v>121</v>
      </c>
      <c r="E6466">
        <v>33</v>
      </c>
      <c r="F6466">
        <v>28</v>
      </c>
      <c r="G6466">
        <v>1</v>
      </c>
      <c r="H6466">
        <v>1</v>
      </c>
      <c r="I6466">
        <v>0</v>
      </c>
      <c r="J6466">
        <v>0</v>
      </c>
      <c r="K6466">
        <v>0</v>
      </c>
      <c r="L6466">
        <v>0</v>
      </c>
      <c r="M6466">
        <v>9</v>
      </c>
      <c r="N6466">
        <v>25</v>
      </c>
      <c r="O6466">
        <f t="shared" si="210"/>
        <v>2025</v>
      </c>
      <c r="P6466">
        <f t="shared" si="211"/>
        <v>12</v>
      </c>
      <c r="Q6466" t="s">
        <v>560</v>
      </c>
    </row>
    <row r="6467" spans="1:17" x14ac:dyDescent="0.3">
      <c r="A6467" t="s">
        <v>110</v>
      </c>
      <c r="B6467" s="16">
        <v>45992</v>
      </c>
      <c r="C6467" t="s">
        <v>3</v>
      </c>
      <c r="D6467" t="s">
        <v>119</v>
      </c>
      <c r="E6467">
        <v>3107</v>
      </c>
      <c r="F6467">
        <v>1533</v>
      </c>
      <c r="G6467">
        <v>262</v>
      </c>
      <c r="H6467">
        <v>106</v>
      </c>
      <c r="I6467">
        <v>1910312</v>
      </c>
      <c r="J6467">
        <v>160</v>
      </c>
      <c r="K6467">
        <v>775902</v>
      </c>
      <c r="L6467">
        <v>140</v>
      </c>
      <c r="M6467">
        <v>816</v>
      </c>
      <c r="N6467">
        <v>3021</v>
      </c>
      <c r="O6467">
        <f t="shared" si="210"/>
        <v>2025</v>
      </c>
      <c r="P6467">
        <f t="shared" si="211"/>
        <v>12</v>
      </c>
      <c r="Q6467" t="s">
        <v>560</v>
      </c>
    </row>
    <row r="6468" spans="1:17" x14ac:dyDescent="0.3">
      <c r="A6468" t="s">
        <v>110</v>
      </c>
      <c r="B6468" s="16">
        <v>45992</v>
      </c>
      <c r="C6468" t="s">
        <v>3</v>
      </c>
      <c r="D6468" t="s">
        <v>583</v>
      </c>
      <c r="E6468">
        <v>5</v>
      </c>
      <c r="F6468">
        <v>5</v>
      </c>
      <c r="G6468">
        <v>1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5</v>
      </c>
      <c r="O6468">
        <f t="shared" si="210"/>
        <v>2025</v>
      </c>
      <c r="P6468">
        <f t="shared" si="211"/>
        <v>12</v>
      </c>
      <c r="Q6468" t="s">
        <v>560</v>
      </c>
    </row>
    <row r="6469" spans="1:17" x14ac:dyDescent="0.3">
      <c r="A6469" t="s">
        <v>110</v>
      </c>
      <c r="B6469" s="16">
        <v>45992</v>
      </c>
      <c r="C6469" t="s">
        <v>3</v>
      </c>
      <c r="D6469" t="s">
        <v>252</v>
      </c>
      <c r="E6469">
        <v>232</v>
      </c>
      <c r="F6469">
        <v>213</v>
      </c>
      <c r="G6469">
        <v>3</v>
      </c>
      <c r="H6469">
        <v>1</v>
      </c>
      <c r="I6469">
        <v>0</v>
      </c>
      <c r="J6469">
        <v>0</v>
      </c>
      <c r="K6469">
        <v>0</v>
      </c>
      <c r="L6469">
        <v>0</v>
      </c>
      <c r="M6469">
        <v>12</v>
      </c>
      <c r="N6469">
        <v>232</v>
      </c>
      <c r="O6469">
        <f t="shared" si="210"/>
        <v>2025</v>
      </c>
      <c r="P6469">
        <f t="shared" si="211"/>
        <v>12</v>
      </c>
      <c r="Q6469" t="s">
        <v>560</v>
      </c>
    </row>
    <row r="6470" spans="1:17" x14ac:dyDescent="0.3">
      <c r="A6470" t="s">
        <v>110</v>
      </c>
      <c r="B6470" s="16">
        <v>45992</v>
      </c>
      <c r="C6470" t="s">
        <v>3</v>
      </c>
      <c r="D6470" t="s">
        <v>117</v>
      </c>
      <c r="E6470">
        <v>20</v>
      </c>
      <c r="F6470">
        <v>17</v>
      </c>
      <c r="G6470">
        <v>1</v>
      </c>
      <c r="H6470">
        <v>0</v>
      </c>
      <c r="I6470">
        <v>4645</v>
      </c>
      <c r="J6470">
        <v>1</v>
      </c>
      <c r="K6470">
        <v>4645</v>
      </c>
      <c r="L6470">
        <v>1</v>
      </c>
      <c r="M6470">
        <v>2</v>
      </c>
      <c r="N6470">
        <v>20</v>
      </c>
      <c r="O6470">
        <f t="shared" si="210"/>
        <v>2025</v>
      </c>
      <c r="P6470">
        <f t="shared" si="211"/>
        <v>12</v>
      </c>
      <c r="Q6470" t="s">
        <v>560</v>
      </c>
    </row>
    <row r="6471" spans="1:17" x14ac:dyDescent="0.3">
      <c r="A6471" t="s">
        <v>110</v>
      </c>
      <c r="B6471" s="16">
        <v>45992</v>
      </c>
      <c r="C6471" t="s">
        <v>3</v>
      </c>
      <c r="D6471" t="s">
        <v>186</v>
      </c>
      <c r="E6471">
        <v>1</v>
      </c>
      <c r="F6471">
        <v>1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f t="shared" si="210"/>
        <v>2025</v>
      </c>
      <c r="P6471">
        <f t="shared" si="211"/>
        <v>12</v>
      </c>
      <c r="Q6471" t="s">
        <v>560</v>
      </c>
    </row>
    <row r="6472" spans="1:17" x14ac:dyDescent="0.3">
      <c r="A6472" t="s">
        <v>110</v>
      </c>
      <c r="B6472" s="16">
        <v>45992</v>
      </c>
      <c r="C6472" t="s">
        <v>3</v>
      </c>
      <c r="D6472" t="s">
        <v>391</v>
      </c>
      <c r="E6472">
        <v>5835</v>
      </c>
      <c r="F6472">
        <v>5230</v>
      </c>
      <c r="G6472">
        <v>237</v>
      </c>
      <c r="H6472">
        <v>51</v>
      </c>
      <c r="I6472">
        <v>413247</v>
      </c>
      <c r="J6472">
        <v>59</v>
      </c>
      <c r="K6472">
        <v>367147</v>
      </c>
      <c r="L6472">
        <v>56</v>
      </c>
      <c r="M6472">
        <v>1446</v>
      </c>
      <c r="N6472">
        <v>5676</v>
      </c>
      <c r="O6472">
        <f t="shared" si="210"/>
        <v>2025</v>
      </c>
      <c r="P6472">
        <f t="shared" si="211"/>
        <v>12</v>
      </c>
      <c r="Q6472" t="s">
        <v>560</v>
      </c>
    </row>
    <row r="6473" spans="1:17" x14ac:dyDescent="0.3">
      <c r="A6473" t="s">
        <v>110</v>
      </c>
      <c r="B6473" s="16">
        <v>45992</v>
      </c>
      <c r="C6473" t="s">
        <v>3</v>
      </c>
      <c r="D6473" t="s">
        <v>114</v>
      </c>
      <c r="E6473">
        <v>675</v>
      </c>
      <c r="F6473">
        <v>343</v>
      </c>
      <c r="G6473">
        <v>21</v>
      </c>
      <c r="H6473">
        <v>10</v>
      </c>
      <c r="I6473">
        <v>7980</v>
      </c>
      <c r="J6473">
        <v>2</v>
      </c>
      <c r="K6473">
        <v>990</v>
      </c>
      <c r="L6473">
        <v>1</v>
      </c>
      <c r="M6473">
        <v>46</v>
      </c>
      <c r="N6473">
        <v>671</v>
      </c>
      <c r="O6473">
        <f t="shared" si="210"/>
        <v>2025</v>
      </c>
      <c r="P6473">
        <f t="shared" si="211"/>
        <v>12</v>
      </c>
      <c r="Q6473" t="s">
        <v>560</v>
      </c>
    </row>
    <row r="6474" spans="1:17" x14ac:dyDescent="0.3">
      <c r="A6474" t="s">
        <v>110</v>
      </c>
      <c r="B6474" s="16">
        <v>45992</v>
      </c>
      <c r="C6474" t="s">
        <v>3</v>
      </c>
      <c r="D6474" t="s">
        <v>113</v>
      </c>
      <c r="E6474">
        <v>2244</v>
      </c>
      <c r="F6474">
        <v>1524</v>
      </c>
      <c r="G6474">
        <v>67</v>
      </c>
      <c r="H6474">
        <v>19</v>
      </c>
      <c r="I6474">
        <v>66440</v>
      </c>
      <c r="J6474">
        <v>10</v>
      </c>
      <c r="K6474">
        <v>66440</v>
      </c>
      <c r="L6474">
        <v>10</v>
      </c>
      <c r="M6474">
        <v>1838</v>
      </c>
      <c r="N6474">
        <v>1349</v>
      </c>
      <c r="O6474">
        <f t="shared" si="210"/>
        <v>2025</v>
      </c>
      <c r="P6474">
        <f t="shared" si="211"/>
        <v>12</v>
      </c>
      <c r="Q6474" t="s">
        <v>560</v>
      </c>
    </row>
    <row r="6475" spans="1:17" x14ac:dyDescent="0.3">
      <c r="A6475" t="s">
        <v>110</v>
      </c>
      <c r="B6475" s="16">
        <v>45992</v>
      </c>
      <c r="C6475" t="s">
        <v>3</v>
      </c>
      <c r="D6475" t="s">
        <v>112</v>
      </c>
      <c r="E6475">
        <v>575</v>
      </c>
      <c r="F6475">
        <v>203</v>
      </c>
      <c r="G6475">
        <v>11</v>
      </c>
      <c r="H6475">
        <v>1</v>
      </c>
      <c r="I6475">
        <v>176817.48</v>
      </c>
      <c r="J6475">
        <v>34</v>
      </c>
      <c r="K6475">
        <v>165182.48000000001</v>
      </c>
      <c r="L6475">
        <v>34</v>
      </c>
      <c r="M6475">
        <v>7</v>
      </c>
      <c r="N6475">
        <v>575</v>
      </c>
      <c r="O6475">
        <f t="shared" si="210"/>
        <v>2025</v>
      </c>
      <c r="P6475">
        <f t="shared" si="211"/>
        <v>12</v>
      </c>
      <c r="Q6475" t="s">
        <v>560</v>
      </c>
    </row>
    <row r="6476" spans="1:17" x14ac:dyDescent="0.3">
      <c r="A6476" t="s">
        <v>110</v>
      </c>
      <c r="B6476" s="16">
        <v>45992</v>
      </c>
      <c r="C6476" t="s">
        <v>3</v>
      </c>
      <c r="D6476" t="s">
        <v>111</v>
      </c>
      <c r="E6476">
        <v>74</v>
      </c>
      <c r="F6476">
        <v>26</v>
      </c>
      <c r="G6476">
        <v>2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6</v>
      </c>
      <c r="N6476">
        <v>74</v>
      </c>
      <c r="O6476">
        <f t="shared" si="210"/>
        <v>2025</v>
      </c>
      <c r="P6476">
        <f t="shared" si="211"/>
        <v>12</v>
      </c>
      <c r="Q6476" t="s">
        <v>560</v>
      </c>
    </row>
  </sheetData>
  <autoFilter ref="A1:R6476" xr:uid="{347BD35B-CE7E-47F6-8384-725831BC2398}"/>
  <phoneticPr fontId="1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EF9A-7F6F-4806-89E0-153C7031E2E7}">
  <dimension ref="A1:T4977"/>
  <sheetViews>
    <sheetView topLeftCell="A4962" zoomScaleNormal="100" workbookViewId="0">
      <selection activeCell="S4977" sqref="A4965:S4977"/>
    </sheetView>
  </sheetViews>
  <sheetFormatPr defaultRowHeight="14" x14ac:dyDescent="0.3"/>
  <cols>
    <col min="2" max="3" width="11.5" bestFit="1" customWidth="1"/>
    <col min="4" max="4" width="16.4140625" bestFit="1" customWidth="1"/>
    <col min="5" max="5" width="19.33203125" bestFit="1" customWidth="1"/>
    <col min="10" max="10" width="11.5" bestFit="1" customWidth="1"/>
    <col min="11" max="11" width="10.4140625" bestFit="1" customWidth="1"/>
    <col min="12" max="12" width="11.5" bestFit="1" customWidth="1"/>
    <col min="18" max="18" width="22.83203125" customWidth="1"/>
  </cols>
  <sheetData>
    <row r="1" spans="1:20" x14ac:dyDescent="0.3">
      <c r="A1" t="s">
        <v>96</v>
      </c>
      <c r="B1" t="s">
        <v>97</v>
      </c>
      <c r="C1" t="s">
        <v>98</v>
      </c>
      <c r="D1" t="s">
        <v>99</v>
      </c>
      <c r="E1" t="s">
        <v>158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  <c r="N1" t="s">
        <v>108</v>
      </c>
      <c r="O1" t="s">
        <v>109</v>
      </c>
      <c r="P1" t="s">
        <v>228</v>
      </c>
      <c r="Q1" t="s">
        <v>229</v>
      </c>
      <c r="R1" t="s">
        <v>395</v>
      </c>
      <c r="S1" t="s">
        <v>417</v>
      </c>
      <c r="T1" t="s">
        <v>803</v>
      </c>
    </row>
    <row r="2" spans="1:20" x14ac:dyDescent="0.3">
      <c r="A2" t="s">
        <v>110</v>
      </c>
      <c r="B2" s="16">
        <v>45017</v>
      </c>
      <c r="C2" t="s">
        <v>2</v>
      </c>
      <c r="D2" t="s">
        <v>57</v>
      </c>
      <c r="E2" t="s">
        <v>63</v>
      </c>
      <c r="F2" s="15">
        <v>39558</v>
      </c>
      <c r="G2" s="15">
        <v>35567</v>
      </c>
      <c r="H2">
        <v>414</v>
      </c>
      <c r="I2">
        <v>276</v>
      </c>
      <c r="J2" s="15">
        <v>249130</v>
      </c>
      <c r="K2">
        <v>50</v>
      </c>
      <c r="L2" s="15">
        <v>151060</v>
      </c>
      <c r="M2">
        <v>34</v>
      </c>
      <c r="N2" s="15">
        <v>2249</v>
      </c>
      <c r="O2" s="15">
        <v>39476</v>
      </c>
      <c r="P2">
        <f t="shared" ref="P2:P14" si="0">YEAR(B2)</f>
        <v>2023</v>
      </c>
      <c r="Q2">
        <f t="shared" ref="Q2:Q14" si="1">MONTH(B2)</f>
        <v>4</v>
      </c>
      <c r="R2" t="str">
        <f>E2</f>
        <v>万相台</v>
      </c>
      <c r="S2" t="str">
        <f>_xlfn.XLOOKUP(B2,全店核心数据_bymonth!A:A,全店核心数据_bymonth!AN:AN)</f>
        <v>BU24</v>
      </c>
    </row>
    <row r="3" spans="1:20" x14ac:dyDescent="0.3">
      <c r="A3" t="s">
        <v>110</v>
      </c>
      <c r="B3" s="16">
        <v>45017</v>
      </c>
      <c r="C3" t="s">
        <v>2</v>
      </c>
      <c r="D3" t="s">
        <v>57</v>
      </c>
      <c r="E3" t="s">
        <v>64</v>
      </c>
      <c r="F3" s="15">
        <v>39613</v>
      </c>
      <c r="G3" s="15">
        <v>33156</v>
      </c>
      <c r="H3">
        <v>364</v>
      </c>
      <c r="I3">
        <v>383</v>
      </c>
      <c r="J3" s="15">
        <v>140630</v>
      </c>
      <c r="K3">
        <v>27</v>
      </c>
      <c r="L3" s="15">
        <v>90315</v>
      </c>
      <c r="M3">
        <v>19</v>
      </c>
      <c r="N3" s="15">
        <v>3359</v>
      </c>
      <c r="O3" s="15">
        <v>39149</v>
      </c>
      <c r="P3">
        <f t="shared" si="0"/>
        <v>2023</v>
      </c>
      <c r="Q3">
        <f t="shared" si="1"/>
        <v>4</v>
      </c>
      <c r="R3" t="str">
        <f t="shared" ref="R3:R14" si="2">E3</f>
        <v>引力魔方</v>
      </c>
      <c r="S3" t="str">
        <f>_xlfn.XLOOKUP(B3,全店核心数据_bymonth!A:A,全店核心数据_bymonth!AN:AN)</f>
        <v>BU24</v>
      </c>
    </row>
    <row r="4" spans="1:20" x14ac:dyDescent="0.3">
      <c r="A4" t="s">
        <v>110</v>
      </c>
      <c r="B4" s="16">
        <v>45017</v>
      </c>
      <c r="C4" t="s">
        <v>2</v>
      </c>
      <c r="D4" t="s">
        <v>57</v>
      </c>
      <c r="E4" t="s">
        <v>65</v>
      </c>
      <c r="F4" s="15">
        <v>42865</v>
      </c>
      <c r="G4" s="15">
        <v>40666</v>
      </c>
      <c r="H4">
        <v>447</v>
      </c>
      <c r="I4">
        <v>352</v>
      </c>
      <c r="J4" s="15">
        <v>399525</v>
      </c>
      <c r="K4">
        <v>68</v>
      </c>
      <c r="L4" s="15">
        <v>183320</v>
      </c>
      <c r="M4">
        <v>40</v>
      </c>
      <c r="N4" s="15">
        <v>4503</v>
      </c>
      <c r="O4" s="15">
        <v>42168</v>
      </c>
      <c r="P4">
        <f t="shared" si="0"/>
        <v>2023</v>
      </c>
      <c r="Q4">
        <f t="shared" si="1"/>
        <v>4</v>
      </c>
      <c r="R4" t="str">
        <f t="shared" si="2"/>
        <v>直通车</v>
      </c>
      <c r="S4" t="str">
        <f>_xlfn.XLOOKUP(B4,全店核心数据_bymonth!A:A,全店核心数据_bymonth!AN:AN)</f>
        <v>BU24</v>
      </c>
    </row>
    <row r="5" spans="1:20" x14ac:dyDescent="0.3">
      <c r="A5" t="s">
        <v>110</v>
      </c>
      <c r="B5" s="16">
        <v>45017</v>
      </c>
      <c r="C5" t="s">
        <v>3</v>
      </c>
      <c r="D5" t="s">
        <v>117</v>
      </c>
      <c r="E5" t="s">
        <v>161</v>
      </c>
      <c r="F5">
        <v>2</v>
      </c>
      <c r="G5">
        <v>2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 t="s">
        <v>184</v>
      </c>
      <c r="O5">
        <v>2</v>
      </c>
      <c r="P5">
        <f t="shared" si="0"/>
        <v>2023</v>
      </c>
      <c r="Q5">
        <f t="shared" si="1"/>
        <v>4</v>
      </c>
      <c r="R5" t="str">
        <f t="shared" si="2"/>
        <v>其他入口榜单</v>
      </c>
      <c r="S5" t="str">
        <f>_xlfn.XLOOKUP(B5,全店核心数据_bymonth!A:A,全店核心数据_bymonth!AN:AN)</f>
        <v>BU24</v>
      </c>
    </row>
    <row r="6" spans="1:20" x14ac:dyDescent="0.3">
      <c r="A6" t="s">
        <v>110</v>
      </c>
      <c r="B6" s="16">
        <v>45017</v>
      </c>
      <c r="C6" t="s">
        <v>3</v>
      </c>
      <c r="D6" t="s">
        <v>120</v>
      </c>
      <c r="E6" t="s">
        <v>162</v>
      </c>
      <c r="F6">
        <v>63</v>
      </c>
      <c r="G6">
        <v>52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184</v>
      </c>
      <c r="O6">
        <v>18</v>
      </c>
      <c r="P6">
        <f t="shared" si="0"/>
        <v>2023</v>
      </c>
      <c r="Q6">
        <f t="shared" si="1"/>
        <v>4</v>
      </c>
      <c r="R6" t="str">
        <f t="shared" si="2"/>
        <v>手机浏览器访问天猫</v>
      </c>
      <c r="S6" t="str">
        <f>_xlfn.XLOOKUP(B6,全店核心数据_bymonth!A:A,全店核心数据_bymonth!AN:AN)</f>
        <v>BU24</v>
      </c>
    </row>
    <row r="7" spans="1:20" x14ac:dyDescent="0.3">
      <c r="A7" t="s">
        <v>110</v>
      </c>
      <c r="B7" s="16">
        <v>45017</v>
      </c>
      <c r="C7" t="s">
        <v>3</v>
      </c>
      <c r="D7" t="s">
        <v>120</v>
      </c>
      <c r="E7" t="s">
        <v>163</v>
      </c>
      <c r="F7">
        <v>699</v>
      </c>
      <c r="G7">
        <v>542</v>
      </c>
      <c r="H7">
        <v>13</v>
      </c>
      <c r="I7">
        <v>0</v>
      </c>
      <c r="J7" s="15">
        <v>11690</v>
      </c>
      <c r="K7">
        <v>3</v>
      </c>
      <c r="L7" s="15">
        <v>6990</v>
      </c>
      <c r="M7">
        <v>1</v>
      </c>
      <c r="N7" t="s">
        <v>184</v>
      </c>
      <c r="O7">
        <v>655</v>
      </c>
      <c r="P7">
        <f t="shared" si="0"/>
        <v>2023</v>
      </c>
      <c r="Q7">
        <f t="shared" si="1"/>
        <v>4</v>
      </c>
      <c r="R7" t="str">
        <f t="shared" si="2"/>
        <v>手猫免费其他</v>
      </c>
      <c r="S7" t="str">
        <f>_xlfn.XLOOKUP(B7,全店核心数据_bymonth!A:A,全店核心数据_bymonth!AN:AN)</f>
        <v>BU24</v>
      </c>
    </row>
    <row r="8" spans="1:20" x14ac:dyDescent="0.3">
      <c r="A8" t="s">
        <v>110</v>
      </c>
      <c r="B8" s="16">
        <v>45017</v>
      </c>
      <c r="C8" t="s">
        <v>3</v>
      </c>
      <c r="D8" t="s">
        <v>120</v>
      </c>
      <c r="E8" t="s">
        <v>164</v>
      </c>
      <c r="F8">
        <v>568</v>
      </c>
      <c r="G8">
        <v>440</v>
      </c>
      <c r="H8">
        <v>49</v>
      </c>
      <c r="I8">
        <v>0</v>
      </c>
      <c r="J8" s="15">
        <v>84455</v>
      </c>
      <c r="K8">
        <v>8</v>
      </c>
      <c r="L8" s="15">
        <v>66335</v>
      </c>
      <c r="M8">
        <v>7</v>
      </c>
      <c r="N8" t="s">
        <v>184</v>
      </c>
      <c r="O8">
        <v>568</v>
      </c>
      <c r="P8">
        <f t="shared" si="0"/>
        <v>2023</v>
      </c>
      <c r="Q8">
        <f t="shared" si="1"/>
        <v>4</v>
      </c>
      <c r="R8" t="str">
        <f t="shared" si="2"/>
        <v>手猫其他店铺</v>
      </c>
      <c r="S8" t="str">
        <f>_xlfn.XLOOKUP(B8,全店核心数据_bymonth!A:A,全店核心数据_bymonth!AN:AN)</f>
        <v>BU24</v>
      </c>
    </row>
    <row r="9" spans="1:20" x14ac:dyDescent="0.3">
      <c r="A9" t="s">
        <v>110</v>
      </c>
      <c r="B9" s="16">
        <v>45017</v>
      </c>
      <c r="C9" t="s">
        <v>3</v>
      </c>
      <c r="D9" t="s">
        <v>120</v>
      </c>
      <c r="E9" t="s">
        <v>165</v>
      </c>
      <c r="F9">
        <v>630</v>
      </c>
      <c r="G9">
        <v>461</v>
      </c>
      <c r="H9">
        <v>23</v>
      </c>
      <c r="I9">
        <v>0</v>
      </c>
      <c r="J9" s="15">
        <v>13895</v>
      </c>
      <c r="K9">
        <v>3</v>
      </c>
      <c r="L9" s="15">
        <v>10500</v>
      </c>
      <c r="M9">
        <v>2</v>
      </c>
      <c r="N9" t="s">
        <v>184</v>
      </c>
      <c r="O9">
        <v>612</v>
      </c>
      <c r="P9">
        <f t="shared" si="0"/>
        <v>2023</v>
      </c>
      <c r="Q9">
        <f t="shared" si="1"/>
        <v>4</v>
      </c>
      <c r="R9" t="str">
        <f t="shared" si="2"/>
        <v>手猫商品详情</v>
      </c>
      <c r="S9" t="str">
        <f>_xlfn.XLOOKUP(B9,全店核心数据_bymonth!A:A,全店核心数据_bymonth!AN:AN)</f>
        <v>BU24</v>
      </c>
    </row>
    <row r="10" spans="1:20" x14ac:dyDescent="0.3">
      <c r="A10" t="s">
        <v>110</v>
      </c>
      <c r="B10" s="16">
        <v>45017</v>
      </c>
      <c r="C10" t="s">
        <v>3</v>
      </c>
      <c r="D10" t="s">
        <v>120</v>
      </c>
      <c r="E10" t="s">
        <v>166</v>
      </c>
      <c r="F10">
        <v>948</v>
      </c>
      <c r="G10">
        <v>815</v>
      </c>
      <c r="H10">
        <v>31</v>
      </c>
      <c r="I10">
        <v>0</v>
      </c>
      <c r="J10" s="15">
        <v>41005</v>
      </c>
      <c r="K10">
        <v>5</v>
      </c>
      <c r="L10" s="15">
        <v>7145</v>
      </c>
      <c r="M10">
        <v>2</v>
      </c>
      <c r="N10" t="s">
        <v>184</v>
      </c>
      <c r="O10">
        <v>713</v>
      </c>
      <c r="P10">
        <f t="shared" si="0"/>
        <v>2023</v>
      </c>
      <c r="Q10">
        <f t="shared" si="1"/>
        <v>4</v>
      </c>
      <c r="R10" t="str">
        <f t="shared" si="2"/>
        <v>手猫搜索</v>
      </c>
      <c r="S10" t="str">
        <f>_xlfn.XLOOKUP(B10,全店核心数据_bymonth!A:A,全店核心数据_bymonth!AN:AN)</f>
        <v>BU24</v>
      </c>
    </row>
    <row r="11" spans="1:20" x14ac:dyDescent="0.3">
      <c r="A11" t="s">
        <v>110</v>
      </c>
      <c r="B11" s="16">
        <v>45017</v>
      </c>
      <c r="C11" t="s">
        <v>3</v>
      </c>
      <c r="D11" t="s">
        <v>120</v>
      </c>
      <c r="E11" t="s">
        <v>167</v>
      </c>
      <c r="F11">
        <v>12</v>
      </c>
      <c r="G11">
        <v>6</v>
      </c>
      <c r="H11">
        <v>0</v>
      </c>
      <c r="I11">
        <v>0</v>
      </c>
      <c r="J11" s="15">
        <v>6390</v>
      </c>
      <c r="K11">
        <v>1</v>
      </c>
      <c r="L11" s="15">
        <v>6390</v>
      </c>
      <c r="M11">
        <v>1</v>
      </c>
      <c r="N11" t="s">
        <v>184</v>
      </c>
      <c r="O11">
        <v>10</v>
      </c>
      <c r="P11">
        <f t="shared" si="0"/>
        <v>2023</v>
      </c>
      <c r="Q11">
        <f t="shared" si="1"/>
        <v>4</v>
      </c>
      <c r="R11" t="str">
        <f t="shared" si="2"/>
        <v>手猫旺信聊天</v>
      </c>
      <c r="S11" t="str">
        <f>_xlfn.XLOOKUP(B11,全店核心数据_bymonth!A:A,全店核心数据_bymonth!AN:AN)</f>
        <v>BU24</v>
      </c>
    </row>
    <row r="12" spans="1:20" x14ac:dyDescent="0.3">
      <c r="A12" t="s">
        <v>110</v>
      </c>
      <c r="B12" s="16">
        <v>45017</v>
      </c>
      <c r="C12" t="s">
        <v>3</v>
      </c>
      <c r="D12" t="s">
        <v>120</v>
      </c>
      <c r="E12" t="s">
        <v>168</v>
      </c>
      <c r="F12" s="15">
        <v>2333</v>
      </c>
      <c r="G12" s="15">
        <v>2005</v>
      </c>
      <c r="H12">
        <v>22</v>
      </c>
      <c r="I12">
        <v>1</v>
      </c>
      <c r="J12" s="15">
        <v>9500</v>
      </c>
      <c r="K12">
        <v>1</v>
      </c>
      <c r="L12" s="15">
        <v>9500</v>
      </c>
      <c r="M12">
        <v>1</v>
      </c>
      <c r="N12" t="s">
        <v>184</v>
      </c>
      <c r="O12" s="15">
        <v>2333</v>
      </c>
      <c r="P12">
        <f t="shared" si="0"/>
        <v>2023</v>
      </c>
      <c r="Q12">
        <f t="shared" si="1"/>
        <v>4</v>
      </c>
      <c r="R12" t="str">
        <f t="shared" si="2"/>
        <v>手猫首页</v>
      </c>
      <c r="S12" t="str">
        <f>_xlfn.XLOOKUP(B12,全店核心数据_bymonth!A:A,全店核心数据_bymonth!AN:AN)</f>
        <v>BU24</v>
      </c>
    </row>
    <row r="13" spans="1:20" x14ac:dyDescent="0.3">
      <c r="A13" t="s">
        <v>110</v>
      </c>
      <c r="B13" s="16">
        <v>45017</v>
      </c>
      <c r="C13" t="s">
        <v>3</v>
      </c>
      <c r="D13" t="s">
        <v>123</v>
      </c>
      <c r="E13" t="s">
        <v>169</v>
      </c>
      <c r="F13" s="15">
        <v>1488</v>
      </c>
      <c r="G13">
        <v>900</v>
      </c>
      <c r="H13">
        <v>39</v>
      </c>
      <c r="I13">
        <v>31</v>
      </c>
      <c r="J13" s="15">
        <v>20640</v>
      </c>
      <c r="K13">
        <v>4</v>
      </c>
      <c r="L13" s="15">
        <v>16490</v>
      </c>
      <c r="M13">
        <v>3</v>
      </c>
      <c r="N13" t="s">
        <v>184</v>
      </c>
      <c r="O13" s="15">
        <v>1442</v>
      </c>
      <c r="P13">
        <f t="shared" si="0"/>
        <v>2023</v>
      </c>
      <c r="Q13">
        <f t="shared" si="1"/>
        <v>4</v>
      </c>
      <c r="R13" t="str">
        <f t="shared" si="2"/>
        <v>商品详情页头图推荐</v>
      </c>
      <c r="S13" t="str">
        <f>_xlfn.XLOOKUP(B13,全店核心数据_bymonth!A:A,全店核心数据_bymonth!AN:AN)</f>
        <v>BU24</v>
      </c>
    </row>
    <row r="14" spans="1:20" x14ac:dyDescent="0.3">
      <c r="A14" t="s">
        <v>110</v>
      </c>
      <c r="B14" s="16">
        <v>45017</v>
      </c>
      <c r="C14" t="s">
        <v>3</v>
      </c>
      <c r="D14" t="s">
        <v>123</v>
      </c>
      <c r="E14" t="s">
        <v>170</v>
      </c>
      <c r="F14">
        <v>477</v>
      </c>
      <c r="G14">
        <v>396</v>
      </c>
      <c r="H14">
        <v>12</v>
      </c>
      <c r="I14">
        <v>3</v>
      </c>
      <c r="J14" s="15">
        <v>12955</v>
      </c>
      <c r="K14">
        <v>3</v>
      </c>
      <c r="L14" s="15">
        <v>12955</v>
      </c>
      <c r="M14">
        <v>3</v>
      </c>
      <c r="N14" t="s">
        <v>184</v>
      </c>
      <c r="O14">
        <v>260</v>
      </c>
      <c r="P14">
        <f t="shared" si="0"/>
        <v>2023</v>
      </c>
      <c r="Q14">
        <f t="shared" si="1"/>
        <v>4</v>
      </c>
      <c r="R14" t="str">
        <f t="shared" si="2"/>
        <v>店铺超链</v>
      </c>
      <c r="S14" t="str">
        <f>_xlfn.XLOOKUP(B14,全店核心数据_bymonth!A:A,全店核心数据_bymonth!AN:AN)</f>
        <v>BU24</v>
      </c>
    </row>
    <row r="15" spans="1:20" x14ac:dyDescent="0.3">
      <c r="A15" t="s">
        <v>110</v>
      </c>
      <c r="B15" s="16">
        <v>45017</v>
      </c>
      <c r="C15" t="s">
        <v>3</v>
      </c>
      <c r="D15" t="s">
        <v>127</v>
      </c>
      <c r="E15" t="s">
        <v>171</v>
      </c>
      <c r="F15" s="15">
        <v>1306</v>
      </c>
      <c r="G15">
        <v>885</v>
      </c>
      <c r="H15">
        <v>11</v>
      </c>
      <c r="I15">
        <v>16</v>
      </c>
      <c r="J15" s="15">
        <v>24430</v>
      </c>
      <c r="K15">
        <v>6</v>
      </c>
      <c r="L15" s="15">
        <v>17640</v>
      </c>
      <c r="M15">
        <v>5</v>
      </c>
      <c r="N15" t="s">
        <v>184</v>
      </c>
      <c r="O15" s="15">
        <v>1168</v>
      </c>
      <c r="P15">
        <f t="shared" ref="P15:P78" si="3">YEAR(B15)</f>
        <v>2023</v>
      </c>
      <c r="Q15">
        <f t="shared" ref="Q15:Q78" si="4">MONTH(B15)</f>
        <v>4</v>
      </c>
      <c r="R15" t="str">
        <f t="shared" ref="R15:R41" si="5">E15</f>
        <v>其他猜你喜欢</v>
      </c>
      <c r="S15" t="str">
        <f>_xlfn.XLOOKUP(B15,全店核心数据_bymonth!A:A,全店核心数据_bymonth!AN:AN)</f>
        <v>BU24</v>
      </c>
    </row>
    <row r="16" spans="1:20" x14ac:dyDescent="0.3">
      <c r="A16" t="s">
        <v>110</v>
      </c>
      <c r="B16" s="16">
        <v>45017</v>
      </c>
      <c r="C16" t="s">
        <v>3</v>
      </c>
      <c r="D16" t="s">
        <v>127</v>
      </c>
      <c r="E16" t="s">
        <v>193</v>
      </c>
      <c r="F16">
        <v>100</v>
      </c>
      <c r="G16">
        <v>95</v>
      </c>
      <c r="H16">
        <v>1</v>
      </c>
      <c r="I16">
        <v>3</v>
      </c>
      <c r="J16">
        <v>0</v>
      </c>
      <c r="K16">
        <v>0</v>
      </c>
      <c r="L16">
        <v>0</v>
      </c>
      <c r="M16">
        <v>0</v>
      </c>
      <c r="N16" t="s">
        <v>184</v>
      </c>
      <c r="O16">
        <v>100</v>
      </c>
      <c r="P16">
        <f t="shared" si="3"/>
        <v>2023</v>
      </c>
      <c r="Q16">
        <f t="shared" si="4"/>
        <v>4</v>
      </c>
      <c r="R16" t="str">
        <f t="shared" si="5"/>
        <v>推荐云主题</v>
      </c>
      <c r="S16" t="str">
        <f>_xlfn.XLOOKUP(B16,全店核心数据_bymonth!A:A,全店核心数据_bymonth!AN:AN)</f>
        <v>BU24</v>
      </c>
    </row>
    <row r="17" spans="1:19" x14ac:dyDescent="0.3">
      <c r="A17" t="s">
        <v>110</v>
      </c>
      <c r="B17" s="16">
        <v>45017</v>
      </c>
      <c r="C17" t="s">
        <v>3</v>
      </c>
      <c r="D17" t="s">
        <v>127</v>
      </c>
      <c r="E17" t="s">
        <v>172</v>
      </c>
      <c r="F17">
        <v>61</v>
      </c>
      <c r="G17">
        <v>29</v>
      </c>
      <c r="H17">
        <v>3</v>
      </c>
      <c r="I17">
        <v>0</v>
      </c>
      <c r="J17" s="15">
        <v>3795</v>
      </c>
      <c r="K17">
        <v>1</v>
      </c>
      <c r="L17">
        <v>0</v>
      </c>
      <c r="M17">
        <v>0</v>
      </c>
      <c r="N17" t="s">
        <v>184</v>
      </c>
      <c r="O17">
        <v>61</v>
      </c>
      <c r="P17">
        <f t="shared" si="3"/>
        <v>2023</v>
      </c>
      <c r="Q17">
        <f t="shared" si="4"/>
        <v>4</v>
      </c>
      <c r="R17" t="str">
        <f t="shared" si="5"/>
        <v>购中推荐</v>
      </c>
      <c r="S17" t="str">
        <f>_xlfn.XLOOKUP(B17,全店核心数据_bymonth!A:A,全店核心数据_bymonth!AN:AN)</f>
        <v>BU24</v>
      </c>
    </row>
    <row r="18" spans="1:19" x14ac:dyDescent="0.3">
      <c r="A18" t="s">
        <v>110</v>
      </c>
      <c r="B18" s="16">
        <v>45017</v>
      </c>
      <c r="C18" t="s">
        <v>3</v>
      </c>
      <c r="D18" t="s">
        <v>127</v>
      </c>
      <c r="E18" t="s">
        <v>173</v>
      </c>
      <c r="F18">
        <v>481</v>
      </c>
      <c r="G18">
        <v>289</v>
      </c>
      <c r="H18">
        <v>5</v>
      </c>
      <c r="I18">
        <v>3</v>
      </c>
      <c r="J18" s="15">
        <v>14945</v>
      </c>
      <c r="K18">
        <v>2</v>
      </c>
      <c r="L18" s="15">
        <v>14945</v>
      </c>
      <c r="M18">
        <v>2</v>
      </c>
      <c r="N18" t="s">
        <v>184</v>
      </c>
      <c r="O18">
        <v>481</v>
      </c>
      <c r="P18">
        <f t="shared" si="3"/>
        <v>2023</v>
      </c>
      <c r="Q18">
        <f t="shared" si="4"/>
        <v>4</v>
      </c>
      <c r="R18" t="str">
        <f t="shared" si="5"/>
        <v>购后推荐</v>
      </c>
      <c r="S18" t="str">
        <f>_xlfn.XLOOKUP(B18,全店核心数据_bymonth!A:A,全店核心数据_bymonth!AN:AN)</f>
        <v>BU24</v>
      </c>
    </row>
    <row r="19" spans="1:19" x14ac:dyDescent="0.3">
      <c r="A19" t="s">
        <v>110</v>
      </c>
      <c r="B19" s="16">
        <v>45017</v>
      </c>
      <c r="C19" t="s">
        <v>3</v>
      </c>
      <c r="D19" t="s">
        <v>127</v>
      </c>
      <c r="E19" t="s">
        <v>174</v>
      </c>
      <c r="F19" s="15">
        <v>270662</v>
      </c>
      <c r="G19" s="15">
        <v>263500</v>
      </c>
      <c r="H19">
        <v>300</v>
      </c>
      <c r="I19">
        <v>299</v>
      </c>
      <c r="J19" s="15">
        <v>173305</v>
      </c>
      <c r="K19">
        <v>16</v>
      </c>
      <c r="L19" s="15">
        <v>53370</v>
      </c>
      <c r="M19">
        <v>9</v>
      </c>
      <c r="N19" t="s">
        <v>184</v>
      </c>
      <c r="O19" s="15">
        <v>270662</v>
      </c>
      <c r="P19">
        <f t="shared" si="3"/>
        <v>2023</v>
      </c>
      <c r="Q19">
        <f t="shared" si="4"/>
        <v>4</v>
      </c>
      <c r="R19" t="str">
        <f t="shared" si="5"/>
        <v>首页推荐-微详情</v>
      </c>
      <c r="S19" t="str">
        <f>_xlfn.XLOOKUP(B19,全店核心数据_bymonth!A:A,全店核心数据_bymonth!AN:AN)</f>
        <v>BU24</v>
      </c>
    </row>
    <row r="20" spans="1:19" x14ac:dyDescent="0.3">
      <c r="A20" t="s">
        <v>110</v>
      </c>
      <c r="B20" s="16">
        <v>45017</v>
      </c>
      <c r="C20" t="s">
        <v>3</v>
      </c>
      <c r="D20" t="s">
        <v>127</v>
      </c>
      <c r="E20" t="s">
        <v>175</v>
      </c>
      <c r="F20">
        <v>818</v>
      </c>
      <c r="G20">
        <v>385</v>
      </c>
      <c r="H20">
        <v>0</v>
      </c>
      <c r="I20">
        <v>3</v>
      </c>
      <c r="J20">
        <v>0</v>
      </c>
      <c r="K20">
        <v>0</v>
      </c>
      <c r="L20">
        <v>0</v>
      </c>
      <c r="M20">
        <v>0</v>
      </c>
      <c r="N20" t="s">
        <v>184</v>
      </c>
      <c r="O20">
        <v>134</v>
      </c>
      <c r="P20">
        <f t="shared" si="3"/>
        <v>2023</v>
      </c>
      <c r="Q20">
        <f t="shared" si="4"/>
        <v>4</v>
      </c>
      <c r="R20" t="str">
        <f t="shared" si="5"/>
        <v>首页推荐-直播</v>
      </c>
      <c r="S20" t="str">
        <f>_xlfn.XLOOKUP(B20,全店核心数据_bymonth!A:A,全店核心数据_bymonth!AN:AN)</f>
        <v>BU24</v>
      </c>
    </row>
    <row r="21" spans="1:19" x14ac:dyDescent="0.3">
      <c r="A21" t="s">
        <v>110</v>
      </c>
      <c r="B21" s="16">
        <v>45017</v>
      </c>
      <c r="C21" t="s">
        <v>3</v>
      </c>
      <c r="D21" t="s">
        <v>127</v>
      </c>
      <c r="E21" t="s">
        <v>176</v>
      </c>
      <c r="F21">
        <v>84</v>
      </c>
      <c r="G21">
        <v>62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184</v>
      </c>
      <c r="O21">
        <v>0</v>
      </c>
      <c r="P21">
        <f t="shared" si="3"/>
        <v>2023</v>
      </c>
      <c r="Q21">
        <f t="shared" si="4"/>
        <v>4</v>
      </c>
      <c r="R21" t="str">
        <f t="shared" si="5"/>
        <v>首页推荐-短视频</v>
      </c>
      <c r="S21" t="str">
        <f>_xlfn.XLOOKUP(B21,全店核心数据_bymonth!A:A,全店核心数据_bymonth!AN:AN)</f>
        <v>BU24</v>
      </c>
    </row>
    <row r="22" spans="1:19" x14ac:dyDescent="0.3">
      <c r="A22" t="s">
        <v>110</v>
      </c>
      <c r="B22" s="16">
        <v>45017</v>
      </c>
      <c r="C22" t="s">
        <v>2</v>
      </c>
      <c r="D22" t="s">
        <v>55</v>
      </c>
      <c r="E22" t="s">
        <v>56</v>
      </c>
      <c r="F22">
        <v>1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184</v>
      </c>
      <c r="O22">
        <v>1</v>
      </c>
      <c r="P22">
        <f t="shared" si="3"/>
        <v>2023</v>
      </c>
      <c r="Q22">
        <f t="shared" si="4"/>
        <v>4</v>
      </c>
      <c r="R22" t="str">
        <f t="shared" si="5"/>
        <v>超级短视频</v>
      </c>
      <c r="S22" t="str">
        <f>_xlfn.XLOOKUP(B22,全店核心数据_bymonth!A:A,全店核心数据_bymonth!AN:AN)</f>
        <v>BU24</v>
      </c>
    </row>
    <row r="23" spans="1:19" x14ac:dyDescent="0.3">
      <c r="A23" t="s">
        <v>110</v>
      </c>
      <c r="B23" s="16">
        <v>45017</v>
      </c>
      <c r="C23" t="s">
        <v>2</v>
      </c>
      <c r="D23" t="s">
        <v>52</v>
      </c>
      <c r="E23" t="s">
        <v>183</v>
      </c>
      <c r="F23" s="15">
        <v>12614</v>
      </c>
      <c r="G23" s="15">
        <v>11910</v>
      </c>
      <c r="H23">
        <v>230</v>
      </c>
      <c r="I23">
        <v>102</v>
      </c>
      <c r="J23" s="15">
        <v>245210</v>
      </c>
      <c r="K23">
        <v>33</v>
      </c>
      <c r="L23" s="15">
        <v>177965</v>
      </c>
      <c r="M23">
        <v>30</v>
      </c>
      <c r="N23" t="s">
        <v>184</v>
      </c>
      <c r="O23" s="15">
        <v>6043</v>
      </c>
      <c r="P23">
        <f t="shared" si="3"/>
        <v>2023</v>
      </c>
      <c r="Q23">
        <f t="shared" si="4"/>
        <v>4</v>
      </c>
      <c r="R23" t="str">
        <f t="shared" si="5"/>
        <v>品销宝-品牌专区</v>
      </c>
      <c r="S23" t="str">
        <f>_xlfn.XLOOKUP(B23,全店核心数据_bymonth!A:A,全店核心数据_bymonth!AN:AN)</f>
        <v>BU24</v>
      </c>
    </row>
    <row r="24" spans="1:19" x14ac:dyDescent="0.3">
      <c r="A24" t="s">
        <v>110</v>
      </c>
      <c r="B24" s="16">
        <v>45017</v>
      </c>
      <c r="C24" t="s">
        <v>2</v>
      </c>
      <c r="D24" t="s">
        <v>4</v>
      </c>
      <c r="E24" t="s">
        <v>42</v>
      </c>
      <c r="F24">
        <v>3</v>
      </c>
      <c r="G24">
        <v>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184</v>
      </c>
      <c r="O24">
        <v>2</v>
      </c>
      <c r="P24">
        <f t="shared" si="3"/>
        <v>2023</v>
      </c>
      <c r="Q24">
        <f t="shared" si="4"/>
        <v>4</v>
      </c>
      <c r="R24" t="str">
        <f t="shared" si="5"/>
        <v>UD效果投放</v>
      </c>
      <c r="S24" t="str">
        <f>_xlfn.XLOOKUP(B24,全店核心数据_bymonth!A:A,全店核心数据_bymonth!AN:AN)</f>
        <v>BU24</v>
      </c>
    </row>
    <row r="25" spans="1:19" x14ac:dyDescent="0.3">
      <c r="A25" t="s">
        <v>110</v>
      </c>
      <c r="B25" s="16">
        <v>45017</v>
      </c>
      <c r="C25" t="s">
        <v>2</v>
      </c>
      <c r="D25" t="s">
        <v>4</v>
      </c>
      <c r="E25" t="s">
        <v>41</v>
      </c>
      <c r="F25">
        <v>249</v>
      </c>
      <c r="G25">
        <v>236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184</v>
      </c>
      <c r="O25">
        <v>228</v>
      </c>
      <c r="P25">
        <f t="shared" si="3"/>
        <v>2023</v>
      </c>
      <c r="Q25">
        <f t="shared" si="4"/>
        <v>4</v>
      </c>
      <c r="R25" t="str">
        <f t="shared" si="5"/>
        <v>流量宝</v>
      </c>
      <c r="S25" t="str">
        <f>_xlfn.XLOOKUP(B25,全店核心数据_bymonth!A:A,全店核心数据_bymonth!AN:AN)</f>
        <v>BU24</v>
      </c>
    </row>
    <row r="26" spans="1:19" x14ac:dyDescent="0.3">
      <c r="A26" t="s">
        <v>110</v>
      </c>
      <c r="B26" s="16">
        <v>45017</v>
      </c>
      <c r="C26" t="s">
        <v>2</v>
      </c>
      <c r="D26" t="s">
        <v>4</v>
      </c>
      <c r="E26" t="s">
        <v>43</v>
      </c>
      <c r="F26" s="15">
        <v>4659</v>
      </c>
      <c r="G26" s="15">
        <v>3703</v>
      </c>
      <c r="H26">
        <v>6</v>
      </c>
      <c r="I26">
        <v>5</v>
      </c>
      <c r="J26" s="15">
        <v>84255</v>
      </c>
      <c r="K26">
        <v>6</v>
      </c>
      <c r="L26" s="15">
        <v>70470</v>
      </c>
      <c r="M26">
        <v>6</v>
      </c>
      <c r="N26" t="s">
        <v>184</v>
      </c>
      <c r="O26" s="15">
        <v>4452</v>
      </c>
      <c r="P26">
        <f t="shared" si="3"/>
        <v>2023</v>
      </c>
      <c r="Q26">
        <f t="shared" si="4"/>
        <v>4</v>
      </c>
      <c r="R26" t="str">
        <f t="shared" si="5"/>
        <v>淘宝客</v>
      </c>
      <c r="S26" t="str">
        <f>_xlfn.XLOOKUP(B26,全店核心数据_bymonth!A:A,全店核心数据_bymonth!AN:AN)</f>
        <v>BU24</v>
      </c>
    </row>
    <row r="27" spans="1:19" x14ac:dyDescent="0.3">
      <c r="A27" t="s">
        <v>110</v>
      </c>
      <c r="B27" s="16">
        <v>45047</v>
      </c>
      <c r="C27" t="s">
        <v>3</v>
      </c>
      <c r="D27" t="s">
        <v>114</v>
      </c>
      <c r="E27" t="s">
        <v>159</v>
      </c>
      <c r="F27" s="15">
        <v>1430</v>
      </c>
      <c r="G27" s="15">
        <v>1126</v>
      </c>
      <c r="H27">
        <v>15</v>
      </c>
      <c r="I27">
        <v>14</v>
      </c>
      <c r="J27" s="15">
        <v>16359</v>
      </c>
      <c r="K27">
        <v>6</v>
      </c>
      <c r="L27" s="15">
        <v>7518</v>
      </c>
      <c r="M27">
        <v>3</v>
      </c>
      <c r="N27" t="s">
        <v>184</v>
      </c>
      <c r="O27" s="15">
        <v>1407</v>
      </c>
      <c r="P27">
        <f t="shared" si="3"/>
        <v>2023</v>
      </c>
      <c r="Q27">
        <f t="shared" si="4"/>
        <v>5</v>
      </c>
      <c r="R27" t="str">
        <f t="shared" si="5"/>
        <v>主会场</v>
      </c>
      <c r="S27" t="str">
        <f>_xlfn.XLOOKUP(B27,全店核心数据_bymonth!A:A,全店核心数据_bymonth!AN:AN)</f>
        <v>BU24</v>
      </c>
    </row>
    <row r="28" spans="1:19" x14ac:dyDescent="0.3">
      <c r="A28" t="s">
        <v>110</v>
      </c>
      <c r="B28" s="16">
        <v>45047</v>
      </c>
      <c r="C28" t="s">
        <v>3</v>
      </c>
      <c r="D28" t="s">
        <v>114</v>
      </c>
      <c r="E28" t="s">
        <v>160</v>
      </c>
      <c r="F28">
        <v>2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184</v>
      </c>
      <c r="O28">
        <v>2</v>
      </c>
      <c r="P28">
        <f t="shared" si="3"/>
        <v>2023</v>
      </c>
      <c r="Q28">
        <f t="shared" si="4"/>
        <v>5</v>
      </c>
      <c r="R28" t="str">
        <f t="shared" si="5"/>
        <v>榜单会场</v>
      </c>
      <c r="S28" t="str">
        <f>_xlfn.XLOOKUP(B28,全店核心数据_bymonth!A:A,全店核心数据_bymonth!AN:AN)</f>
        <v>BU24</v>
      </c>
    </row>
    <row r="29" spans="1:19" x14ac:dyDescent="0.3">
      <c r="A29" t="s">
        <v>110</v>
      </c>
      <c r="B29" s="16">
        <v>45047</v>
      </c>
      <c r="C29" t="s">
        <v>3</v>
      </c>
      <c r="D29" t="s">
        <v>185</v>
      </c>
      <c r="E29" t="s">
        <v>190</v>
      </c>
      <c r="F29">
        <v>14</v>
      </c>
      <c r="G29">
        <v>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184</v>
      </c>
      <c r="O29">
        <v>14</v>
      </c>
      <c r="P29">
        <f t="shared" si="3"/>
        <v>2023</v>
      </c>
      <c r="Q29">
        <f t="shared" si="4"/>
        <v>5</v>
      </c>
      <c r="R29" t="str">
        <f t="shared" si="5"/>
        <v>超级惊喜站</v>
      </c>
      <c r="S29" t="str">
        <f>_xlfn.XLOOKUP(B29,全店核心数据_bymonth!A:A,全店核心数据_bymonth!AN:AN)</f>
        <v>BU24</v>
      </c>
    </row>
    <row r="30" spans="1:19" x14ac:dyDescent="0.3">
      <c r="A30" t="s">
        <v>110</v>
      </c>
      <c r="B30" s="16">
        <v>45047</v>
      </c>
      <c r="C30" t="s">
        <v>3</v>
      </c>
      <c r="D30" t="s">
        <v>117</v>
      </c>
      <c r="E30" t="s">
        <v>161</v>
      </c>
      <c r="F30">
        <v>41</v>
      </c>
      <c r="G30">
        <v>24</v>
      </c>
      <c r="H30">
        <v>2</v>
      </c>
      <c r="I30">
        <v>1</v>
      </c>
      <c r="J30" s="15">
        <v>3718</v>
      </c>
      <c r="K30">
        <v>1</v>
      </c>
      <c r="L30">
        <v>0</v>
      </c>
      <c r="M30">
        <v>0</v>
      </c>
      <c r="N30" t="s">
        <v>184</v>
      </c>
      <c r="O30">
        <v>41</v>
      </c>
      <c r="P30">
        <f t="shared" si="3"/>
        <v>2023</v>
      </c>
      <c r="Q30">
        <f t="shared" si="4"/>
        <v>5</v>
      </c>
      <c r="R30" t="str">
        <f t="shared" si="5"/>
        <v>其他入口榜单</v>
      </c>
      <c r="S30" t="str">
        <f>_xlfn.XLOOKUP(B30,全店核心数据_bymonth!A:A,全店核心数据_bymonth!AN:AN)</f>
        <v>BU24</v>
      </c>
    </row>
    <row r="31" spans="1:19" x14ac:dyDescent="0.3">
      <c r="A31" t="s">
        <v>110</v>
      </c>
      <c r="B31" s="16">
        <v>45047</v>
      </c>
      <c r="C31" t="s">
        <v>3</v>
      </c>
      <c r="D31" t="s">
        <v>117</v>
      </c>
      <c r="E31" t="s">
        <v>191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184</v>
      </c>
      <c r="O31">
        <v>1</v>
      </c>
      <c r="P31">
        <f t="shared" si="3"/>
        <v>2023</v>
      </c>
      <c r="Q31">
        <f t="shared" si="4"/>
        <v>5</v>
      </c>
      <c r="R31" t="str">
        <f t="shared" si="5"/>
        <v>商品详情页入口榜单</v>
      </c>
      <c r="S31" t="str">
        <f>_xlfn.XLOOKUP(B31,全店核心数据_bymonth!A:A,全店核心数据_bymonth!AN:AN)</f>
        <v>BU24</v>
      </c>
    </row>
    <row r="32" spans="1:19" x14ac:dyDescent="0.3">
      <c r="A32" t="s">
        <v>110</v>
      </c>
      <c r="B32" s="16">
        <v>45047</v>
      </c>
      <c r="C32" t="s">
        <v>3</v>
      </c>
      <c r="D32" t="s">
        <v>120</v>
      </c>
      <c r="E32" t="s">
        <v>162</v>
      </c>
      <c r="F32">
        <v>80</v>
      </c>
      <c r="G32">
        <v>76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 t="s">
        <v>184</v>
      </c>
      <c r="O32">
        <v>30</v>
      </c>
      <c r="P32">
        <f t="shared" si="3"/>
        <v>2023</v>
      </c>
      <c r="Q32">
        <f t="shared" si="4"/>
        <v>5</v>
      </c>
      <c r="R32" t="str">
        <f t="shared" si="5"/>
        <v>手机浏览器访问天猫</v>
      </c>
      <c r="S32" t="str">
        <f>_xlfn.XLOOKUP(B32,全店核心数据_bymonth!A:A,全店核心数据_bymonth!AN:AN)</f>
        <v>BU24</v>
      </c>
    </row>
    <row r="33" spans="1:19" x14ac:dyDescent="0.3">
      <c r="A33" t="s">
        <v>110</v>
      </c>
      <c r="B33" s="16">
        <v>45047</v>
      </c>
      <c r="C33" t="s">
        <v>3</v>
      </c>
      <c r="D33" t="s">
        <v>120</v>
      </c>
      <c r="E33" t="s">
        <v>163</v>
      </c>
      <c r="F33">
        <v>747</v>
      </c>
      <c r="G33">
        <v>516</v>
      </c>
      <c r="H33">
        <v>24</v>
      </c>
      <c r="I33">
        <v>0</v>
      </c>
      <c r="J33" s="15">
        <v>22010</v>
      </c>
      <c r="K33">
        <v>4</v>
      </c>
      <c r="L33" s="15">
        <v>21015</v>
      </c>
      <c r="M33">
        <v>4</v>
      </c>
      <c r="N33" t="s">
        <v>184</v>
      </c>
      <c r="O33">
        <v>706</v>
      </c>
      <c r="P33">
        <f t="shared" si="3"/>
        <v>2023</v>
      </c>
      <c r="Q33">
        <f t="shared" si="4"/>
        <v>5</v>
      </c>
      <c r="R33" t="str">
        <f t="shared" si="5"/>
        <v>手猫免费其他</v>
      </c>
      <c r="S33" t="str">
        <f>_xlfn.XLOOKUP(B33,全店核心数据_bymonth!A:A,全店核心数据_bymonth!AN:AN)</f>
        <v>BU24</v>
      </c>
    </row>
    <row r="34" spans="1:19" x14ac:dyDescent="0.3">
      <c r="A34" t="s">
        <v>110</v>
      </c>
      <c r="B34" s="16">
        <v>45047</v>
      </c>
      <c r="C34" t="s">
        <v>3</v>
      </c>
      <c r="D34" t="s">
        <v>120</v>
      </c>
      <c r="E34" t="s">
        <v>164</v>
      </c>
      <c r="F34">
        <v>722</v>
      </c>
      <c r="G34">
        <v>550</v>
      </c>
      <c r="H34">
        <v>91</v>
      </c>
      <c r="I34">
        <v>2</v>
      </c>
      <c r="J34" s="15">
        <v>49993</v>
      </c>
      <c r="K34">
        <v>12</v>
      </c>
      <c r="L34" s="15">
        <v>41245</v>
      </c>
      <c r="M34">
        <v>10</v>
      </c>
      <c r="N34" t="s">
        <v>184</v>
      </c>
      <c r="O34">
        <v>722</v>
      </c>
      <c r="P34">
        <f t="shared" si="3"/>
        <v>2023</v>
      </c>
      <c r="Q34">
        <f t="shared" si="4"/>
        <v>5</v>
      </c>
      <c r="R34" t="str">
        <f t="shared" si="5"/>
        <v>手猫其他店铺</v>
      </c>
      <c r="S34" t="str">
        <f>_xlfn.XLOOKUP(B34,全店核心数据_bymonth!A:A,全店核心数据_bymonth!AN:AN)</f>
        <v>BU24</v>
      </c>
    </row>
    <row r="35" spans="1:19" x14ac:dyDescent="0.3">
      <c r="A35" t="s">
        <v>110</v>
      </c>
      <c r="B35" s="16">
        <v>45047</v>
      </c>
      <c r="C35" t="s">
        <v>3</v>
      </c>
      <c r="D35" t="s">
        <v>120</v>
      </c>
      <c r="E35" t="s">
        <v>165</v>
      </c>
      <c r="F35">
        <v>863</v>
      </c>
      <c r="G35">
        <v>603</v>
      </c>
      <c r="H35">
        <v>47</v>
      </c>
      <c r="I35">
        <v>0</v>
      </c>
      <c r="J35" s="15">
        <v>46461</v>
      </c>
      <c r="K35">
        <v>11</v>
      </c>
      <c r="L35" s="15">
        <v>39286</v>
      </c>
      <c r="M35">
        <v>8</v>
      </c>
      <c r="N35" t="s">
        <v>184</v>
      </c>
      <c r="O35">
        <v>845</v>
      </c>
      <c r="P35">
        <f t="shared" si="3"/>
        <v>2023</v>
      </c>
      <c r="Q35">
        <f t="shared" si="4"/>
        <v>5</v>
      </c>
      <c r="R35" t="str">
        <f t="shared" si="5"/>
        <v>手猫商品详情</v>
      </c>
      <c r="S35" t="str">
        <f>_xlfn.XLOOKUP(B35,全店核心数据_bymonth!A:A,全店核心数据_bymonth!AN:AN)</f>
        <v>BU24</v>
      </c>
    </row>
    <row r="36" spans="1:19" x14ac:dyDescent="0.3">
      <c r="A36" t="s">
        <v>110</v>
      </c>
      <c r="B36" s="16">
        <v>45047</v>
      </c>
      <c r="C36" t="s">
        <v>3</v>
      </c>
      <c r="D36" t="s">
        <v>120</v>
      </c>
      <c r="E36" t="s">
        <v>166</v>
      </c>
      <c r="F36" s="15">
        <v>1086</v>
      </c>
      <c r="G36">
        <v>924</v>
      </c>
      <c r="H36">
        <v>48</v>
      </c>
      <c r="I36">
        <v>1</v>
      </c>
      <c r="J36" s="15">
        <v>30980</v>
      </c>
      <c r="K36">
        <v>7</v>
      </c>
      <c r="L36" s="15">
        <v>25635</v>
      </c>
      <c r="M36">
        <v>6</v>
      </c>
      <c r="N36" t="s">
        <v>184</v>
      </c>
      <c r="O36">
        <v>839</v>
      </c>
      <c r="P36">
        <f t="shared" si="3"/>
        <v>2023</v>
      </c>
      <c r="Q36">
        <f t="shared" si="4"/>
        <v>5</v>
      </c>
      <c r="R36" t="str">
        <f t="shared" si="5"/>
        <v>手猫搜索</v>
      </c>
      <c r="S36" t="str">
        <f>_xlfn.XLOOKUP(B36,全店核心数据_bymonth!A:A,全店核心数据_bymonth!AN:AN)</f>
        <v>BU24</v>
      </c>
    </row>
    <row r="37" spans="1:19" x14ac:dyDescent="0.3">
      <c r="A37" t="s">
        <v>110</v>
      </c>
      <c r="B37" s="16">
        <v>45047</v>
      </c>
      <c r="C37" t="s">
        <v>3</v>
      </c>
      <c r="D37" t="s">
        <v>120</v>
      </c>
      <c r="E37" t="s">
        <v>167</v>
      </c>
      <c r="F37">
        <v>22</v>
      </c>
      <c r="G37">
        <v>10</v>
      </c>
      <c r="H37">
        <v>1</v>
      </c>
      <c r="I37">
        <v>0</v>
      </c>
      <c r="J37" s="15">
        <v>6590</v>
      </c>
      <c r="K37">
        <v>2</v>
      </c>
      <c r="L37" s="15">
        <v>6590</v>
      </c>
      <c r="M37">
        <v>2</v>
      </c>
      <c r="N37" t="s">
        <v>184</v>
      </c>
      <c r="O37">
        <v>22</v>
      </c>
      <c r="P37">
        <f t="shared" si="3"/>
        <v>2023</v>
      </c>
      <c r="Q37">
        <f t="shared" si="4"/>
        <v>5</v>
      </c>
      <c r="R37" t="str">
        <f t="shared" si="5"/>
        <v>手猫旺信聊天</v>
      </c>
      <c r="S37" t="str">
        <f>_xlfn.XLOOKUP(B37,全店核心数据_bymonth!A:A,全店核心数据_bymonth!AN:AN)</f>
        <v>BU24</v>
      </c>
    </row>
    <row r="38" spans="1:19" x14ac:dyDescent="0.3">
      <c r="A38" t="s">
        <v>110</v>
      </c>
      <c r="B38" s="16">
        <v>45047</v>
      </c>
      <c r="C38" t="s">
        <v>3</v>
      </c>
      <c r="D38" t="s">
        <v>120</v>
      </c>
      <c r="E38" t="s">
        <v>192</v>
      </c>
      <c r="F38">
        <v>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184</v>
      </c>
      <c r="O38">
        <v>5</v>
      </c>
      <c r="P38">
        <f t="shared" si="3"/>
        <v>2023</v>
      </c>
      <c r="Q38">
        <f t="shared" si="4"/>
        <v>5</v>
      </c>
      <c r="R38" t="str">
        <f t="shared" si="5"/>
        <v>手猫消息中心</v>
      </c>
      <c r="S38" t="str">
        <f>_xlfn.XLOOKUP(B38,全店核心数据_bymonth!A:A,全店核心数据_bymonth!AN:AN)</f>
        <v>BU24</v>
      </c>
    </row>
    <row r="39" spans="1:19" x14ac:dyDescent="0.3">
      <c r="A39" t="s">
        <v>110</v>
      </c>
      <c r="B39" s="16">
        <v>45047</v>
      </c>
      <c r="C39" t="s">
        <v>3</v>
      </c>
      <c r="D39" t="s">
        <v>120</v>
      </c>
      <c r="E39" t="s">
        <v>168</v>
      </c>
      <c r="F39" s="15">
        <v>3031</v>
      </c>
      <c r="G39" s="15">
        <v>2600</v>
      </c>
      <c r="H39">
        <v>64</v>
      </c>
      <c r="I39">
        <v>0</v>
      </c>
      <c r="J39" s="15">
        <v>19975</v>
      </c>
      <c r="K39">
        <v>8</v>
      </c>
      <c r="L39" s="15">
        <v>11440</v>
      </c>
      <c r="M39">
        <v>3</v>
      </c>
      <c r="N39" t="s">
        <v>184</v>
      </c>
      <c r="O39" s="15">
        <v>3031</v>
      </c>
      <c r="P39">
        <f t="shared" si="3"/>
        <v>2023</v>
      </c>
      <c r="Q39">
        <f t="shared" si="4"/>
        <v>5</v>
      </c>
      <c r="R39" t="str">
        <f t="shared" si="5"/>
        <v>手猫首页</v>
      </c>
      <c r="S39" t="str">
        <f>_xlfn.XLOOKUP(B39,全店核心数据_bymonth!A:A,全店核心数据_bymonth!AN:AN)</f>
        <v>BU24</v>
      </c>
    </row>
    <row r="40" spans="1:19" x14ac:dyDescent="0.3">
      <c r="A40" t="s">
        <v>110</v>
      </c>
      <c r="B40" s="16">
        <v>45047</v>
      </c>
      <c r="C40" t="s">
        <v>3</v>
      </c>
      <c r="D40" t="s">
        <v>123</v>
      </c>
      <c r="E40" t="s">
        <v>169</v>
      </c>
      <c r="F40" s="15">
        <v>2633</v>
      </c>
      <c r="G40" s="15">
        <v>1509</v>
      </c>
      <c r="H40">
        <v>107</v>
      </c>
      <c r="I40">
        <v>45</v>
      </c>
      <c r="J40" s="15">
        <v>77411</v>
      </c>
      <c r="K40">
        <v>28</v>
      </c>
      <c r="L40" s="15">
        <v>26308</v>
      </c>
      <c r="M40">
        <v>8</v>
      </c>
      <c r="N40" t="s">
        <v>184</v>
      </c>
      <c r="O40" s="15">
        <v>2548</v>
      </c>
      <c r="P40">
        <f t="shared" si="3"/>
        <v>2023</v>
      </c>
      <c r="Q40">
        <f t="shared" si="4"/>
        <v>5</v>
      </c>
      <c r="R40" t="str">
        <f t="shared" si="5"/>
        <v>商品详情页头图推荐</v>
      </c>
      <c r="S40" t="str">
        <f>_xlfn.XLOOKUP(B40,全店核心数据_bymonth!A:A,全店核心数据_bymonth!AN:AN)</f>
        <v>BU24</v>
      </c>
    </row>
    <row r="41" spans="1:19" x14ac:dyDescent="0.3">
      <c r="A41" t="s">
        <v>110</v>
      </c>
      <c r="B41" s="16">
        <v>45047</v>
      </c>
      <c r="C41" t="s">
        <v>3</v>
      </c>
      <c r="D41" t="s">
        <v>123</v>
      </c>
      <c r="E41" t="s">
        <v>170</v>
      </c>
      <c r="F41">
        <v>493</v>
      </c>
      <c r="G41">
        <v>374</v>
      </c>
      <c r="H41">
        <v>18</v>
      </c>
      <c r="I41">
        <v>6</v>
      </c>
      <c r="J41" s="15">
        <v>6850</v>
      </c>
      <c r="K41">
        <v>2</v>
      </c>
      <c r="L41" s="15">
        <v>6850</v>
      </c>
      <c r="M41">
        <v>2</v>
      </c>
      <c r="N41" t="s">
        <v>184</v>
      </c>
      <c r="O41">
        <v>245</v>
      </c>
      <c r="P41">
        <f t="shared" si="3"/>
        <v>2023</v>
      </c>
      <c r="Q41">
        <f t="shared" si="4"/>
        <v>5</v>
      </c>
      <c r="R41" t="str">
        <f t="shared" si="5"/>
        <v>店铺超链</v>
      </c>
      <c r="S41" t="str">
        <f>_xlfn.XLOOKUP(B41,全店核心数据_bymonth!A:A,全店核心数据_bymonth!AN:AN)</f>
        <v>BU24</v>
      </c>
    </row>
    <row r="42" spans="1:19" x14ac:dyDescent="0.3">
      <c r="A42" t="s">
        <v>110</v>
      </c>
      <c r="B42" s="16">
        <v>45047</v>
      </c>
      <c r="C42" t="s">
        <v>394</v>
      </c>
      <c r="D42" t="s">
        <v>392</v>
      </c>
      <c r="E42" t="s">
        <v>393</v>
      </c>
      <c r="F42" s="15">
        <v>20067</v>
      </c>
      <c r="G42" s="15">
        <v>18200</v>
      </c>
      <c r="H42">
        <v>157</v>
      </c>
      <c r="I42">
        <v>124</v>
      </c>
      <c r="J42" s="15">
        <v>71048</v>
      </c>
      <c r="K42">
        <v>21</v>
      </c>
      <c r="L42" s="15">
        <v>46519</v>
      </c>
      <c r="M42">
        <v>11</v>
      </c>
      <c r="N42" t="s">
        <v>184</v>
      </c>
      <c r="O42" s="15">
        <v>6142</v>
      </c>
      <c r="P42">
        <f t="shared" si="3"/>
        <v>2023</v>
      </c>
      <c r="Q42">
        <f t="shared" si="4"/>
        <v>5</v>
      </c>
      <c r="R42" t="s">
        <v>396</v>
      </c>
      <c r="S42" t="str">
        <f>_xlfn.XLOOKUP(B42,全店核心数据_bymonth!A:A,全店核心数据_bymonth!AN:AN)</f>
        <v>BU24</v>
      </c>
    </row>
    <row r="43" spans="1:19" x14ac:dyDescent="0.3">
      <c r="A43" t="s">
        <v>110</v>
      </c>
      <c r="B43" s="16">
        <v>45047</v>
      </c>
      <c r="C43" t="s">
        <v>3</v>
      </c>
      <c r="D43" t="s">
        <v>127</v>
      </c>
      <c r="E43" t="s">
        <v>193</v>
      </c>
      <c r="F43">
        <v>127</v>
      </c>
      <c r="G43">
        <v>118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184</v>
      </c>
      <c r="O43">
        <v>127</v>
      </c>
      <c r="P43">
        <f t="shared" si="3"/>
        <v>2023</v>
      </c>
      <c r="Q43">
        <f t="shared" si="4"/>
        <v>5</v>
      </c>
      <c r="R43" t="str">
        <f t="shared" ref="R43:R76" si="6">E43</f>
        <v>推荐云主题</v>
      </c>
      <c r="S43" t="str">
        <f>_xlfn.XLOOKUP(B43,全店核心数据_bymonth!A:A,全店核心数据_bymonth!AN:AN)</f>
        <v>BU24</v>
      </c>
    </row>
    <row r="44" spans="1:19" x14ac:dyDescent="0.3">
      <c r="A44" t="s">
        <v>110</v>
      </c>
      <c r="B44" s="16">
        <v>45047</v>
      </c>
      <c r="C44" t="s">
        <v>3</v>
      </c>
      <c r="D44" t="s">
        <v>127</v>
      </c>
      <c r="E44" t="s">
        <v>172</v>
      </c>
      <c r="F44">
        <v>169</v>
      </c>
      <c r="G44">
        <v>81</v>
      </c>
      <c r="H44">
        <v>3</v>
      </c>
      <c r="I44">
        <v>4</v>
      </c>
      <c r="J44">
        <v>0</v>
      </c>
      <c r="K44">
        <v>0</v>
      </c>
      <c r="L44">
        <v>0</v>
      </c>
      <c r="M44">
        <v>0</v>
      </c>
      <c r="N44" t="s">
        <v>184</v>
      </c>
      <c r="O44">
        <v>169</v>
      </c>
      <c r="P44">
        <f t="shared" si="3"/>
        <v>2023</v>
      </c>
      <c r="Q44">
        <f t="shared" si="4"/>
        <v>5</v>
      </c>
      <c r="R44" t="str">
        <f t="shared" si="6"/>
        <v>购中推荐</v>
      </c>
      <c r="S44" t="str">
        <f>_xlfn.XLOOKUP(B44,全店核心数据_bymonth!A:A,全店核心数据_bymonth!AN:AN)</f>
        <v>BU24</v>
      </c>
    </row>
    <row r="45" spans="1:19" x14ac:dyDescent="0.3">
      <c r="A45" t="s">
        <v>110</v>
      </c>
      <c r="B45" s="16">
        <v>45047</v>
      </c>
      <c r="C45" t="s">
        <v>3</v>
      </c>
      <c r="D45" t="s">
        <v>127</v>
      </c>
      <c r="E45" t="s">
        <v>173</v>
      </c>
      <c r="F45">
        <v>937</v>
      </c>
      <c r="G45">
        <v>508</v>
      </c>
      <c r="H45">
        <v>13</v>
      </c>
      <c r="I45">
        <v>6</v>
      </c>
      <c r="J45" s="15">
        <v>3922</v>
      </c>
      <c r="K45">
        <v>2</v>
      </c>
      <c r="L45" s="15">
        <v>2125</v>
      </c>
      <c r="M45">
        <v>1</v>
      </c>
      <c r="N45" t="s">
        <v>184</v>
      </c>
      <c r="O45">
        <v>937</v>
      </c>
      <c r="P45">
        <f t="shared" si="3"/>
        <v>2023</v>
      </c>
      <c r="Q45">
        <f t="shared" si="4"/>
        <v>5</v>
      </c>
      <c r="R45" t="str">
        <f t="shared" si="6"/>
        <v>购后推荐</v>
      </c>
      <c r="S45" t="str">
        <f>_xlfn.XLOOKUP(B45,全店核心数据_bymonth!A:A,全店核心数据_bymonth!AN:AN)</f>
        <v>BU24</v>
      </c>
    </row>
    <row r="46" spans="1:19" x14ac:dyDescent="0.3">
      <c r="A46" t="s">
        <v>110</v>
      </c>
      <c r="B46" s="16">
        <v>45047</v>
      </c>
      <c r="C46" t="s">
        <v>3</v>
      </c>
      <c r="D46" t="s">
        <v>127</v>
      </c>
      <c r="E46" t="s">
        <v>174</v>
      </c>
      <c r="F46" s="15">
        <v>103481</v>
      </c>
      <c r="G46" s="15">
        <v>96748</v>
      </c>
      <c r="H46">
        <v>351</v>
      </c>
      <c r="I46">
        <v>279</v>
      </c>
      <c r="J46" s="15">
        <v>106353</v>
      </c>
      <c r="K46">
        <v>31</v>
      </c>
      <c r="L46" s="15">
        <v>42350</v>
      </c>
      <c r="M46">
        <v>14</v>
      </c>
      <c r="N46" t="s">
        <v>184</v>
      </c>
      <c r="O46" s="15">
        <v>103481</v>
      </c>
      <c r="P46">
        <f t="shared" si="3"/>
        <v>2023</v>
      </c>
      <c r="Q46">
        <f t="shared" si="4"/>
        <v>5</v>
      </c>
      <c r="R46" t="str">
        <f t="shared" si="6"/>
        <v>首页推荐-微详情</v>
      </c>
      <c r="S46" t="str">
        <f>_xlfn.XLOOKUP(B46,全店核心数据_bymonth!A:A,全店核心数据_bymonth!AN:AN)</f>
        <v>BU24</v>
      </c>
    </row>
    <row r="47" spans="1:19" x14ac:dyDescent="0.3">
      <c r="A47" t="s">
        <v>110</v>
      </c>
      <c r="B47" s="16">
        <v>45047</v>
      </c>
      <c r="C47" t="s">
        <v>3</v>
      </c>
      <c r="D47" t="s">
        <v>127</v>
      </c>
      <c r="E47" t="s">
        <v>175</v>
      </c>
      <c r="F47">
        <v>416</v>
      </c>
      <c r="G47">
        <v>183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 t="s">
        <v>184</v>
      </c>
      <c r="O47">
        <v>57</v>
      </c>
      <c r="P47">
        <f t="shared" si="3"/>
        <v>2023</v>
      </c>
      <c r="Q47">
        <f t="shared" si="4"/>
        <v>5</v>
      </c>
      <c r="R47" t="str">
        <f t="shared" si="6"/>
        <v>首页推荐-直播</v>
      </c>
      <c r="S47" t="str">
        <f>_xlfn.XLOOKUP(B47,全店核心数据_bymonth!A:A,全店核心数据_bymonth!AN:AN)</f>
        <v>BU24</v>
      </c>
    </row>
    <row r="48" spans="1:19" x14ac:dyDescent="0.3">
      <c r="A48" t="s">
        <v>110</v>
      </c>
      <c r="B48" s="16">
        <v>45047</v>
      </c>
      <c r="C48" t="s">
        <v>3</v>
      </c>
      <c r="D48" t="s">
        <v>127</v>
      </c>
      <c r="E48" t="s">
        <v>176</v>
      </c>
      <c r="F48">
        <v>200</v>
      </c>
      <c r="G48">
        <v>165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184</v>
      </c>
      <c r="O48">
        <v>1</v>
      </c>
      <c r="P48">
        <f t="shared" si="3"/>
        <v>2023</v>
      </c>
      <c r="Q48">
        <f t="shared" si="4"/>
        <v>5</v>
      </c>
      <c r="R48" t="str">
        <f t="shared" si="6"/>
        <v>首页推荐-短视频</v>
      </c>
      <c r="S48" t="str">
        <f>_xlfn.XLOOKUP(B48,全店核心数据_bymonth!A:A,全店核心数据_bymonth!AN:AN)</f>
        <v>BU24</v>
      </c>
    </row>
    <row r="49" spans="1:19" x14ac:dyDescent="0.3">
      <c r="A49" t="s">
        <v>110</v>
      </c>
      <c r="B49" s="16">
        <v>45047</v>
      </c>
      <c r="C49" t="s">
        <v>3</v>
      </c>
      <c r="D49" t="s">
        <v>189</v>
      </c>
      <c r="E49" t="s">
        <v>194</v>
      </c>
      <c r="F49">
        <v>14</v>
      </c>
      <c r="G49">
        <v>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14</v>
      </c>
      <c r="P49">
        <f t="shared" si="3"/>
        <v>2023</v>
      </c>
      <c r="Q49">
        <f t="shared" si="4"/>
        <v>5</v>
      </c>
      <c r="R49" t="str">
        <f t="shared" si="6"/>
        <v>阿里妈妈超级惊喜站</v>
      </c>
      <c r="S49" t="str">
        <f>_xlfn.XLOOKUP(B49,全店核心数据_bymonth!A:A,全店核心数据_bymonth!AN:AN)</f>
        <v>BU24</v>
      </c>
    </row>
    <row r="50" spans="1:19" x14ac:dyDescent="0.3">
      <c r="A50" t="s">
        <v>110</v>
      </c>
      <c r="B50" s="16">
        <v>45047</v>
      </c>
      <c r="C50" t="s">
        <v>2</v>
      </c>
      <c r="D50" t="s">
        <v>55</v>
      </c>
      <c r="E50" t="s">
        <v>56</v>
      </c>
      <c r="F50">
        <v>3</v>
      </c>
      <c r="G50">
        <v>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184</v>
      </c>
      <c r="O50">
        <v>3</v>
      </c>
      <c r="P50">
        <f t="shared" si="3"/>
        <v>2023</v>
      </c>
      <c r="Q50">
        <f t="shared" si="4"/>
        <v>5</v>
      </c>
      <c r="R50" t="str">
        <f t="shared" si="6"/>
        <v>超级短视频</v>
      </c>
      <c r="S50" t="str">
        <f>_xlfn.XLOOKUP(B50,全店核心数据_bymonth!A:A,全店核心数据_bymonth!AN:AN)</f>
        <v>BU24</v>
      </c>
    </row>
    <row r="51" spans="1:19" x14ac:dyDescent="0.3">
      <c r="A51" t="s">
        <v>110</v>
      </c>
      <c r="B51" s="16">
        <v>45047</v>
      </c>
      <c r="C51" t="s">
        <v>2</v>
      </c>
      <c r="D51" t="s">
        <v>52</v>
      </c>
      <c r="E51" t="s">
        <v>183</v>
      </c>
      <c r="F51" s="15">
        <v>13744</v>
      </c>
      <c r="G51" s="15">
        <v>12783</v>
      </c>
      <c r="H51">
        <v>358</v>
      </c>
      <c r="I51">
        <v>127</v>
      </c>
      <c r="J51" s="15">
        <v>309046</v>
      </c>
      <c r="K51">
        <v>52</v>
      </c>
      <c r="L51" s="15">
        <v>243145</v>
      </c>
      <c r="M51">
        <v>41</v>
      </c>
      <c r="N51" t="s">
        <v>184</v>
      </c>
      <c r="O51" s="15">
        <v>6770</v>
      </c>
      <c r="P51">
        <f t="shared" si="3"/>
        <v>2023</v>
      </c>
      <c r="Q51">
        <f t="shared" si="4"/>
        <v>5</v>
      </c>
      <c r="R51" t="str">
        <f t="shared" si="6"/>
        <v>品销宝-品牌专区</v>
      </c>
      <c r="S51" t="str">
        <f>_xlfn.XLOOKUP(B51,全店核心数据_bymonth!A:A,全店核心数据_bymonth!AN:AN)</f>
        <v>BU24</v>
      </c>
    </row>
    <row r="52" spans="1:19" x14ac:dyDescent="0.3">
      <c r="A52" t="s">
        <v>110</v>
      </c>
      <c r="B52" s="16">
        <v>45047</v>
      </c>
      <c r="C52" t="s">
        <v>2</v>
      </c>
      <c r="D52" t="s">
        <v>52</v>
      </c>
      <c r="E52" t="s">
        <v>62</v>
      </c>
      <c r="F52">
        <v>7</v>
      </c>
      <c r="G52" t="s">
        <v>184</v>
      </c>
      <c r="H52" t="s">
        <v>184</v>
      </c>
      <c r="I52" t="s">
        <v>184</v>
      </c>
      <c r="J52" t="s">
        <v>184</v>
      </c>
      <c r="K52" t="s">
        <v>184</v>
      </c>
      <c r="L52" t="s">
        <v>184</v>
      </c>
      <c r="M52" t="s">
        <v>184</v>
      </c>
      <c r="N52" t="s">
        <v>184</v>
      </c>
      <c r="O52" t="s">
        <v>184</v>
      </c>
      <c r="P52">
        <f t="shared" si="3"/>
        <v>2023</v>
      </c>
      <c r="Q52">
        <f t="shared" si="4"/>
        <v>5</v>
      </c>
      <c r="R52" t="str">
        <f t="shared" si="6"/>
        <v>超级互动城</v>
      </c>
      <c r="S52" t="str">
        <f>_xlfn.XLOOKUP(B52,全店核心数据_bymonth!A:A,全店核心数据_bymonth!AN:AN)</f>
        <v>BU24</v>
      </c>
    </row>
    <row r="53" spans="1:19" x14ac:dyDescent="0.3">
      <c r="A53" t="s">
        <v>110</v>
      </c>
      <c r="B53" s="16">
        <v>45047</v>
      </c>
      <c r="C53" t="s">
        <v>2</v>
      </c>
      <c r="D53" t="s">
        <v>57</v>
      </c>
      <c r="E53" t="s">
        <v>63</v>
      </c>
      <c r="F53" s="15">
        <v>59097</v>
      </c>
      <c r="G53" s="15">
        <v>51838</v>
      </c>
      <c r="H53">
        <v>889</v>
      </c>
      <c r="I53">
        <v>391</v>
      </c>
      <c r="J53" s="15">
        <v>636595</v>
      </c>
      <c r="K53">
        <v>182</v>
      </c>
      <c r="L53" s="15">
        <v>379143</v>
      </c>
      <c r="M53">
        <v>107</v>
      </c>
      <c r="N53" s="15">
        <v>3524</v>
      </c>
      <c r="O53" s="15">
        <v>58958</v>
      </c>
      <c r="P53">
        <f t="shared" si="3"/>
        <v>2023</v>
      </c>
      <c r="Q53">
        <f t="shared" si="4"/>
        <v>5</v>
      </c>
      <c r="R53" t="str">
        <f t="shared" si="6"/>
        <v>万相台</v>
      </c>
      <c r="S53" t="str">
        <f>_xlfn.XLOOKUP(B53,全店核心数据_bymonth!A:A,全店核心数据_bymonth!AN:AN)</f>
        <v>BU24</v>
      </c>
    </row>
    <row r="54" spans="1:19" x14ac:dyDescent="0.3">
      <c r="A54" t="s">
        <v>110</v>
      </c>
      <c r="B54" s="16">
        <v>45047</v>
      </c>
      <c r="C54" t="s">
        <v>2</v>
      </c>
      <c r="D54" t="s">
        <v>57</v>
      </c>
      <c r="E54" t="s">
        <v>64</v>
      </c>
      <c r="F54" s="15">
        <v>140008</v>
      </c>
      <c r="G54" s="15">
        <v>128876</v>
      </c>
      <c r="H54" s="15">
        <v>1062</v>
      </c>
      <c r="I54">
        <v>646</v>
      </c>
      <c r="J54" s="15">
        <v>243331</v>
      </c>
      <c r="K54">
        <v>88</v>
      </c>
      <c r="L54" s="15">
        <v>82984</v>
      </c>
      <c r="M54">
        <v>34</v>
      </c>
      <c r="N54" s="15">
        <v>7924</v>
      </c>
      <c r="O54" s="15">
        <v>138992</v>
      </c>
      <c r="P54">
        <f t="shared" si="3"/>
        <v>2023</v>
      </c>
      <c r="Q54">
        <f t="shared" si="4"/>
        <v>5</v>
      </c>
      <c r="R54" t="str">
        <f t="shared" si="6"/>
        <v>引力魔方</v>
      </c>
      <c r="S54" t="str">
        <f>_xlfn.XLOOKUP(B54,全店核心数据_bymonth!A:A,全店核心数据_bymonth!AN:AN)</f>
        <v>BU24</v>
      </c>
    </row>
    <row r="55" spans="1:19" x14ac:dyDescent="0.3">
      <c r="A55" t="s">
        <v>110</v>
      </c>
      <c r="B55" s="16">
        <v>45047</v>
      </c>
      <c r="C55" t="s">
        <v>2</v>
      </c>
      <c r="D55" t="s">
        <v>4</v>
      </c>
      <c r="E55" t="s">
        <v>44</v>
      </c>
      <c r="F55">
        <v>9</v>
      </c>
      <c r="G55">
        <v>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184</v>
      </c>
      <c r="O55">
        <v>8</v>
      </c>
      <c r="P55">
        <f t="shared" si="3"/>
        <v>2023</v>
      </c>
      <c r="Q55">
        <f t="shared" si="4"/>
        <v>5</v>
      </c>
      <c r="R55" t="str">
        <f t="shared" si="6"/>
        <v>UD品牌投放</v>
      </c>
      <c r="S55" t="str">
        <f>_xlfn.XLOOKUP(B55,全店核心数据_bymonth!A:A,全店核心数据_bymonth!AN:AN)</f>
        <v>BU24</v>
      </c>
    </row>
    <row r="56" spans="1:19" x14ac:dyDescent="0.3">
      <c r="A56" t="s">
        <v>110</v>
      </c>
      <c r="B56" s="16">
        <v>45047</v>
      </c>
      <c r="C56" t="s">
        <v>2</v>
      </c>
      <c r="D56" t="s">
        <v>4</v>
      </c>
      <c r="E56" t="s">
        <v>42</v>
      </c>
      <c r="F56">
        <v>3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184</v>
      </c>
      <c r="O56">
        <v>3</v>
      </c>
      <c r="P56">
        <f t="shared" si="3"/>
        <v>2023</v>
      </c>
      <c r="Q56">
        <f t="shared" si="4"/>
        <v>5</v>
      </c>
      <c r="R56" t="str">
        <f t="shared" si="6"/>
        <v>UD效果投放</v>
      </c>
      <c r="S56" t="str">
        <f>_xlfn.XLOOKUP(B56,全店核心数据_bymonth!A:A,全店核心数据_bymonth!AN:AN)</f>
        <v>BU24</v>
      </c>
    </row>
    <row r="57" spans="1:19" x14ac:dyDescent="0.3">
      <c r="A57" t="s">
        <v>110</v>
      </c>
      <c r="B57" s="16">
        <v>45047</v>
      </c>
      <c r="C57" t="s">
        <v>2</v>
      </c>
      <c r="D57" t="s">
        <v>4</v>
      </c>
      <c r="E57" t="s">
        <v>41</v>
      </c>
      <c r="F57">
        <v>339</v>
      </c>
      <c r="G57">
        <v>279</v>
      </c>
      <c r="H57">
        <v>7</v>
      </c>
      <c r="I57">
        <v>1</v>
      </c>
      <c r="J57">
        <v>0</v>
      </c>
      <c r="K57">
        <v>0</v>
      </c>
      <c r="L57">
        <v>0</v>
      </c>
      <c r="M57">
        <v>0</v>
      </c>
      <c r="N57" t="s">
        <v>184</v>
      </c>
      <c r="O57">
        <v>184</v>
      </c>
      <c r="P57">
        <f t="shared" si="3"/>
        <v>2023</v>
      </c>
      <c r="Q57">
        <f t="shared" si="4"/>
        <v>5</v>
      </c>
      <c r="R57" t="str">
        <f t="shared" si="6"/>
        <v>流量宝</v>
      </c>
      <c r="S57" t="str">
        <f>_xlfn.XLOOKUP(B57,全店核心数据_bymonth!A:A,全店核心数据_bymonth!AN:AN)</f>
        <v>BU24</v>
      </c>
    </row>
    <row r="58" spans="1:19" x14ac:dyDescent="0.3">
      <c r="A58" t="s">
        <v>110</v>
      </c>
      <c r="B58" s="16">
        <v>45047</v>
      </c>
      <c r="C58" t="s">
        <v>2</v>
      </c>
      <c r="D58" t="s">
        <v>4</v>
      </c>
      <c r="E58" t="s">
        <v>43</v>
      </c>
      <c r="F58" s="15">
        <v>3563</v>
      </c>
      <c r="G58" s="15">
        <v>1907</v>
      </c>
      <c r="H58">
        <v>16</v>
      </c>
      <c r="I58">
        <v>12</v>
      </c>
      <c r="J58" s="15">
        <v>66722</v>
      </c>
      <c r="K58">
        <v>15</v>
      </c>
      <c r="L58" s="15">
        <v>32481</v>
      </c>
      <c r="M58">
        <v>11</v>
      </c>
      <c r="N58" t="s">
        <v>184</v>
      </c>
      <c r="O58" s="15">
        <v>3366</v>
      </c>
      <c r="P58">
        <f t="shared" si="3"/>
        <v>2023</v>
      </c>
      <c r="Q58">
        <f t="shared" si="4"/>
        <v>5</v>
      </c>
      <c r="R58" t="str">
        <f t="shared" si="6"/>
        <v>淘宝客</v>
      </c>
      <c r="S58" t="str">
        <f>_xlfn.XLOOKUP(B58,全店核心数据_bymonth!A:A,全店核心数据_bymonth!AN:AN)</f>
        <v>BU24</v>
      </c>
    </row>
    <row r="59" spans="1:19" x14ac:dyDescent="0.3">
      <c r="A59" t="s">
        <v>110</v>
      </c>
      <c r="B59" s="16">
        <v>45047</v>
      </c>
      <c r="C59" t="s">
        <v>2</v>
      </c>
      <c r="D59" t="s">
        <v>57</v>
      </c>
      <c r="E59" t="s">
        <v>65</v>
      </c>
      <c r="F59" s="15">
        <v>84149</v>
      </c>
      <c r="G59" s="15">
        <v>80740</v>
      </c>
      <c r="H59">
        <v>877</v>
      </c>
      <c r="I59">
        <v>566</v>
      </c>
      <c r="J59" s="15">
        <v>638851</v>
      </c>
      <c r="K59">
        <v>143</v>
      </c>
      <c r="L59" s="15">
        <v>308650</v>
      </c>
      <c r="M59">
        <v>89</v>
      </c>
      <c r="N59" s="15">
        <v>7020</v>
      </c>
      <c r="O59" s="15">
        <v>82996</v>
      </c>
      <c r="P59">
        <f t="shared" si="3"/>
        <v>2023</v>
      </c>
      <c r="Q59">
        <f t="shared" si="4"/>
        <v>5</v>
      </c>
      <c r="R59" t="str">
        <f t="shared" si="6"/>
        <v>直通车</v>
      </c>
      <c r="S59" t="str">
        <f>_xlfn.XLOOKUP(B59,全店核心数据_bymonth!A:A,全店核心数据_bymonth!AN:AN)</f>
        <v>BU24</v>
      </c>
    </row>
    <row r="60" spans="1:19" x14ac:dyDescent="0.3">
      <c r="A60" t="s">
        <v>110</v>
      </c>
      <c r="B60" s="16">
        <v>45078</v>
      </c>
      <c r="C60" t="s">
        <v>3</v>
      </c>
      <c r="D60" t="s">
        <v>114</v>
      </c>
      <c r="E60" t="s">
        <v>159</v>
      </c>
      <c r="F60">
        <v>1656</v>
      </c>
      <c r="G60">
        <v>1103</v>
      </c>
      <c r="H60">
        <v>39</v>
      </c>
      <c r="I60">
        <v>20</v>
      </c>
      <c r="J60">
        <v>62091</v>
      </c>
      <c r="K60">
        <v>17</v>
      </c>
      <c r="L60">
        <v>50305</v>
      </c>
      <c r="M60">
        <v>14</v>
      </c>
      <c r="O60">
        <v>1550</v>
      </c>
      <c r="P60">
        <f t="shared" si="3"/>
        <v>2023</v>
      </c>
      <c r="Q60">
        <f t="shared" si="4"/>
        <v>6</v>
      </c>
      <c r="R60" t="str">
        <f t="shared" si="6"/>
        <v>主会场</v>
      </c>
      <c r="S60" t="str">
        <f>_xlfn.XLOOKUP(B60,全店核心数据_bymonth!A:A,全店核心数据_bymonth!AN:AN)</f>
        <v>BU24</v>
      </c>
    </row>
    <row r="61" spans="1:19" x14ac:dyDescent="0.3">
      <c r="A61" t="s">
        <v>110</v>
      </c>
      <c r="B61" s="16">
        <v>45078</v>
      </c>
      <c r="C61" t="s">
        <v>3</v>
      </c>
      <c r="D61" t="s">
        <v>114</v>
      </c>
      <c r="E61" t="s">
        <v>160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O61">
        <v>2</v>
      </c>
      <c r="P61">
        <f t="shared" si="3"/>
        <v>2023</v>
      </c>
      <c r="Q61">
        <f t="shared" si="4"/>
        <v>6</v>
      </c>
      <c r="R61" t="str">
        <f t="shared" si="6"/>
        <v>榜单会场</v>
      </c>
      <c r="S61" t="str">
        <f>_xlfn.XLOOKUP(B61,全店核心数据_bymonth!A:A,全店核心数据_bymonth!AN:AN)</f>
        <v>BU24</v>
      </c>
    </row>
    <row r="62" spans="1:19" x14ac:dyDescent="0.3">
      <c r="A62" t="s">
        <v>110</v>
      </c>
      <c r="B62" s="16">
        <v>45078</v>
      </c>
      <c r="C62" t="s">
        <v>3</v>
      </c>
      <c r="D62" t="s">
        <v>114</v>
      </c>
      <c r="E62" t="s">
        <v>225</v>
      </c>
      <c r="F62">
        <v>5</v>
      </c>
      <c r="G62">
        <v>4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O62">
        <v>4</v>
      </c>
      <c r="P62">
        <f t="shared" si="3"/>
        <v>2023</v>
      </c>
      <c r="Q62">
        <f t="shared" si="4"/>
        <v>6</v>
      </c>
      <c r="R62" t="str">
        <f t="shared" si="6"/>
        <v>热点会场</v>
      </c>
      <c r="S62" t="str">
        <f>_xlfn.XLOOKUP(B62,全店核心数据_bymonth!A:A,全店核心数据_bymonth!AN:AN)</f>
        <v>BU24</v>
      </c>
    </row>
    <row r="63" spans="1:19" x14ac:dyDescent="0.3">
      <c r="A63" t="s">
        <v>110</v>
      </c>
      <c r="B63" s="16">
        <v>45078</v>
      </c>
      <c r="C63" t="s">
        <v>3</v>
      </c>
      <c r="D63" t="s">
        <v>185</v>
      </c>
      <c r="E63" t="s">
        <v>190</v>
      </c>
      <c r="F63">
        <v>51</v>
      </c>
      <c r="G63">
        <v>34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O63">
        <v>51</v>
      </c>
      <c r="P63">
        <f t="shared" si="3"/>
        <v>2023</v>
      </c>
      <c r="Q63">
        <f t="shared" si="4"/>
        <v>6</v>
      </c>
      <c r="R63" t="str">
        <f t="shared" si="6"/>
        <v>超级惊喜站</v>
      </c>
      <c r="S63" t="str">
        <f>_xlfn.XLOOKUP(B63,全店核心数据_bymonth!A:A,全店核心数据_bymonth!AN:AN)</f>
        <v>BU24</v>
      </c>
    </row>
    <row r="64" spans="1:19" x14ac:dyDescent="0.3">
      <c r="A64" t="s">
        <v>110</v>
      </c>
      <c r="B64" s="16">
        <v>45078</v>
      </c>
      <c r="C64" t="s">
        <v>3</v>
      </c>
      <c r="D64" t="s">
        <v>117</v>
      </c>
      <c r="E64" t="s">
        <v>161</v>
      </c>
      <c r="F64">
        <v>199</v>
      </c>
      <c r="G64">
        <v>145</v>
      </c>
      <c r="H64">
        <v>2</v>
      </c>
      <c r="I64">
        <v>1</v>
      </c>
      <c r="J64">
        <v>0</v>
      </c>
      <c r="K64">
        <v>0</v>
      </c>
      <c r="L64">
        <v>0</v>
      </c>
      <c r="M64">
        <v>0</v>
      </c>
      <c r="O64">
        <v>199</v>
      </c>
      <c r="P64">
        <f t="shared" si="3"/>
        <v>2023</v>
      </c>
      <c r="Q64">
        <f t="shared" si="4"/>
        <v>6</v>
      </c>
      <c r="R64" t="str">
        <f t="shared" si="6"/>
        <v>其他入口榜单</v>
      </c>
      <c r="S64" t="str">
        <f>_xlfn.XLOOKUP(B64,全店核心数据_bymonth!A:A,全店核心数据_bymonth!AN:AN)</f>
        <v>BU24</v>
      </c>
    </row>
    <row r="65" spans="1:19" x14ac:dyDescent="0.3">
      <c r="A65" t="s">
        <v>110</v>
      </c>
      <c r="B65" s="16">
        <v>45078</v>
      </c>
      <c r="C65" t="s">
        <v>3</v>
      </c>
      <c r="D65" t="s">
        <v>117</v>
      </c>
      <c r="E65" t="s">
        <v>191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O65">
        <v>1</v>
      </c>
      <c r="P65">
        <f t="shared" si="3"/>
        <v>2023</v>
      </c>
      <c r="Q65">
        <f t="shared" si="4"/>
        <v>6</v>
      </c>
      <c r="R65" t="str">
        <f t="shared" si="6"/>
        <v>商品详情页入口榜单</v>
      </c>
      <c r="S65" t="str">
        <f>_xlfn.XLOOKUP(B65,全店核心数据_bymonth!A:A,全店核心数据_bymonth!AN:AN)</f>
        <v>BU24</v>
      </c>
    </row>
    <row r="66" spans="1:19" x14ac:dyDescent="0.3">
      <c r="A66" t="s">
        <v>110</v>
      </c>
      <c r="B66" s="16">
        <v>45078</v>
      </c>
      <c r="C66" t="s">
        <v>3</v>
      </c>
      <c r="D66" t="s">
        <v>117</v>
      </c>
      <c r="E66" t="s">
        <v>195</v>
      </c>
      <c r="F66">
        <v>1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O66">
        <v>1</v>
      </c>
      <c r="P66">
        <f t="shared" si="3"/>
        <v>2023</v>
      </c>
      <c r="Q66">
        <f t="shared" si="4"/>
        <v>6</v>
      </c>
      <c r="R66" t="str">
        <f t="shared" si="6"/>
        <v>搜索入口榜单</v>
      </c>
      <c r="S66" t="str">
        <f>_xlfn.XLOOKUP(B66,全店核心数据_bymonth!A:A,全店核心数据_bymonth!AN:AN)</f>
        <v>BU24</v>
      </c>
    </row>
    <row r="67" spans="1:19" x14ac:dyDescent="0.3">
      <c r="A67" t="s">
        <v>110</v>
      </c>
      <c r="B67" s="16">
        <v>45078</v>
      </c>
      <c r="C67" t="s">
        <v>3</v>
      </c>
      <c r="D67" t="s">
        <v>120</v>
      </c>
      <c r="E67" t="s">
        <v>162</v>
      </c>
      <c r="F67">
        <v>80</v>
      </c>
      <c r="G67">
        <v>74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O67">
        <v>29</v>
      </c>
      <c r="P67">
        <f t="shared" si="3"/>
        <v>2023</v>
      </c>
      <c r="Q67">
        <f t="shared" si="4"/>
        <v>6</v>
      </c>
      <c r="R67" t="str">
        <f t="shared" si="6"/>
        <v>手机浏览器访问天猫</v>
      </c>
      <c r="S67" t="str">
        <f>_xlfn.XLOOKUP(B67,全店核心数据_bymonth!A:A,全店核心数据_bymonth!AN:AN)</f>
        <v>BU24</v>
      </c>
    </row>
    <row r="68" spans="1:19" x14ac:dyDescent="0.3">
      <c r="A68" t="s">
        <v>110</v>
      </c>
      <c r="B68" s="16">
        <v>45078</v>
      </c>
      <c r="C68" t="s">
        <v>3</v>
      </c>
      <c r="D68" t="s">
        <v>120</v>
      </c>
      <c r="E68" t="s">
        <v>163</v>
      </c>
      <c r="F68">
        <v>1086</v>
      </c>
      <c r="G68">
        <v>681</v>
      </c>
      <c r="H68">
        <v>19</v>
      </c>
      <c r="I68">
        <v>0</v>
      </c>
      <c r="J68">
        <v>15920</v>
      </c>
      <c r="K68">
        <v>5</v>
      </c>
      <c r="L68">
        <v>4960</v>
      </c>
      <c r="M68">
        <v>2</v>
      </c>
      <c r="O68">
        <v>1041</v>
      </c>
      <c r="P68">
        <f t="shared" si="3"/>
        <v>2023</v>
      </c>
      <c r="Q68">
        <f t="shared" si="4"/>
        <v>6</v>
      </c>
      <c r="R68" t="str">
        <f t="shared" si="6"/>
        <v>手猫免费其他</v>
      </c>
      <c r="S68" t="str">
        <f>_xlfn.XLOOKUP(B68,全店核心数据_bymonth!A:A,全店核心数据_bymonth!AN:AN)</f>
        <v>BU24</v>
      </c>
    </row>
    <row r="69" spans="1:19" x14ac:dyDescent="0.3">
      <c r="A69" t="s">
        <v>110</v>
      </c>
      <c r="B69" s="16">
        <v>45078</v>
      </c>
      <c r="C69" t="s">
        <v>3</v>
      </c>
      <c r="D69" t="s">
        <v>120</v>
      </c>
      <c r="E69" t="s">
        <v>164</v>
      </c>
      <c r="F69">
        <v>783</v>
      </c>
      <c r="G69">
        <v>542</v>
      </c>
      <c r="H69">
        <v>96</v>
      </c>
      <c r="I69">
        <v>0</v>
      </c>
      <c r="J69">
        <v>71326</v>
      </c>
      <c r="K69">
        <v>22</v>
      </c>
      <c r="L69">
        <v>69906</v>
      </c>
      <c r="M69">
        <v>22</v>
      </c>
      <c r="O69">
        <v>783</v>
      </c>
      <c r="P69">
        <f t="shared" si="3"/>
        <v>2023</v>
      </c>
      <c r="Q69">
        <f t="shared" si="4"/>
        <v>6</v>
      </c>
      <c r="R69" t="str">
        <f t="shared" si="6"/>
        <v>手猫其他店铺</v>
      </c>
      <c r="S69" t="str">
        <f>_xlfn.XLOOKUP(B69,全店核心数据_bymonth!A:A,全店核心数据_bymonth!AN:AN)</f>
        <v>BU24</v>
      </c>
    </row>
    <row r="70" spans="1:19" x14ac:dyDescent="0.3">
      <c r="A70" t="s">
        <v>110</v>
      </c>
      <c r="B70" s="16">
        <v>45078</v>
      </c>
      <c r="C70" t="s">
        <v>3</v>
      </c>
      <c r="D70" t="s">
        <v>120</v>
      </c>
      <c r="E70" t="s">
        <v>165</v>
      </c>
      <c r="F70">
        <v>979</v>
      </c>
      <c r="G70">
        <v>661</v>
      </c>
      <c r="H70">
        <v>70</v>
      </c>
      <c r="I70">
        <v>1</v>
      </c>
      <c r="J70">
        <v>52878</v>
      </c>
      <c r="K70">
        <v>14</v>
      </c>
      <c r="L70">
        <v>45063</v>
      </c>
      <c r="M70">
        <v>14</v>
      </c>
      <c r="O70">
        <v>962</v>
      </c>
      <c r="P70">
        <f t="shared" si="3"/>
        <v>2023</v>
      </c>
      <c r="Q70">
        <f t="shared" si="4"/>
        <v>6</v>
      </c>
      <c r="R70" t="str">
        <f t="shared" si="6"/>
        <v>手猫商品详情</v>
      </c>
      <c r="S70" t="str">
        <f>_xlfn.XLOOKUP(B70,全店核心数据_bymonth!A:A,全店核心数据_bymonth!AN:AN)</f>
        <v>BU24</v>
      </c>
    </row>
    <row r="71" spans="1:19" x14ac:dyDescent="0.3">
      <c r="A71" t="s">
        <v>110</v>
      </c>
      <c r="B71" s="16">
        <v>45078</v>
      </c>
      <c r="C71" t="s">
        <v>3</v>
      </c>
      <c r="D71" t="s">
        <v>120</v>
      </c>
      <c r="E71" t="s">
        <v>166</v>
      </c>
      <c r="F71">
        <v>1158</v>
      </c>
      <c r="G71">
        <v>954</v>
      </c>
      <c r="H71">
        <v>59</v>
      </c>
      <c r="I71">
        <v>0</v>
      </c>
      <c r="J71">
        <v>33156.5</v>
      </c>
      <c r="K71">
        <v>12</v>
      </c>
      <c r="L71">
        <v>27836.5</v>
      </c>
      <c r="M71">
        <v>11</v>
      </c>
      <c r="O71">
        <v>930</v>
      </c>
      <c r="P71">
        <f t="shared" si="3"/>
        <v>2023</v>
      </c>
      <c r="Q71">
        <f t="shared" si="4"/>
        <v>6</v>
      </c>
      <c r="R71" t="str">
        <f t="shared" si="6"/>
        <v>手猫搜索</v>
      </c>
      <c r="S71" t="str">
        <f>_xlfn.XLOOKUP(B71,全店核心数据_bymonth!A:A,全店核心数据_bymonth!AN:AN)</f>
        <v>BU24</v>
      </c>
    </row>
    <row r="72" spans="1:19" x14ac:dyDescent="0.3">
      <c r="A72" t="s">
        <v>110</v>
      </c>
      <c r="B72" s="16">
        <v>45078</v>
      </c>
      <c r="C72" t="s">
        <v>3</v>
      </c>
      <c r="D72" t="s">
        <v>120</v>
      </c>
      <c r="E72" t="s">
        <v>167</v>
      </c>
      <c r="F72">
        <v>35</v>
      </c>
      <c r="G72">
        <v>15</v>
      </c>
      <c r="H72">
        <v>6</v>
      </c>
      <c r="I72">
        <v>0</v>
      </c>
      <c r="J72">
        <v>37630.5</v>
      </c>
      <c r="K72">
        <v>9</v>
      </c>
      <c r="L72">
        <v>37630.5</v>
      </c>
      <c r="M72">
        <v>9</v>
      </c>
      <c r="O72">
        <v>35</v>
      </c>
      <c r="P72">
        <f t="shared" si="3"/>
        <v>2023</v>
      </c>
      <c r="Q72">
        <f t="shared" si="4"/>
        <v>6</v>
      </c>
      <c r="R72" t="str">
        <f t="shared" si="6"/>
        <v>手猫旺信聊天</v>
      </c>
      <c r="S72" t="str">
        <f>_xlfn.XLOOKUP(B72,全店核心数据_bymonth!A:A,全店核心数据_bymonth!AN:AN)</f>
        <v>BU24</v>
      </c>
    </row>
    <row r="73" spans="1:19" x14ac:dyDescent="0.3">
      <c r="A73" t="s">
        <v>110</v>
      </c>
      <c r="B73" s="16">
        <v>45078</v>
      </c>
      <c r="C73" t="s">
        <v>3</v>
      </c>
      <c r="D73" t="s">
        <v>120</v>
      </c>
      <c r="E73" t="s">
        <v>192</v>
      </c>
      <c r="F73">
        <v>3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O73">
        <v>3</v>
      </c>
      <c r="P73">
        <f t="shared" si="3"/>
        <v>2023</v>
      </c>
      <c r="Q73">
        <f t="shared" si="4"/>
        <v>6</v>
      </c>
      <c r="R73" t="str">
        <f t="shared" si="6"/>
        <v>手猫消息中心</v>
      </c>
      <c r="S73" t="str">
        <f>_xlfn.XLOOKUP(B73,全店核心数据_bymonth!A:A,全店核心数据_bymonth!AN:AN)</f>
        <v>BU24</v>
      </c>
    </row>
    <row r="74" spans="1:19" x14ac:dyDescent="0.3">
      <c r="A74" t="s">
        <v>110</v>
      </c>
      <c r="B74" s="16">
        <v>45078</v>
      </c>
      <c r="C74" t="s">
        <v>3</v>
      </c>
      <c r="D74" t="s">
        <v>120</v>
      </c>
      <c r="E74" t="s">
        <v>168</v>
      </c>
      <c r="F74">
        <v>3259</v>
      </c>
      <c r="G74">
        <v>2662</v>
      </c>
      <c r="H74">
        <v>77</v>
      </c>
      <c r="I74">
        <v>0</v>
      </c>
      <c r="J74">
        <v>54498</v>
      </c>
      <c r="K74">
        <v>15</v>
      </c>
      <c r="L74">
        <v>54498</v>
      </c>
      <c r="M74">
        <v>15</v>
      </c>
      <c r="O74">
        <v>3258</v>
      </c>
      <c r="P74">
        <f t="shared" si="3"/>
        <v>2023</v>
      </c>
      <c r="Q74">
        <f t="shared" si="4"/>
        <v>6</v>
      </c>
      <c r="R74" t="str">
        <f t="shared" si="6"/>
        <v>手猫首页</v>
      </c>
      <c r="S74" t="str">
        <f>_xlfn.XLOOKUP(B74,全店核心数据_bymonth!A:A,全店核心数据_bymonth!AN:AN)</f>
        <v>BU24</v>
      </c>
    </row>
    <row r="75" spans="1:19" x14ac:dyDescent="0.3">
      <c r="A75" t="s">
        <v>110</v>
      </c>
      <c r="B75" s="16">
        <v>45078</v>
      </c>
      <c r="C75" t="s">
        <v>3</v>
      </c>
      <c r="D75" t="s">
        <v>123</v>
      </c>
      <c r="E75" t="s">
        <v>169</v>
      </c>
      <c r="F75">
        <v>2370</v>
      </c>
      <c r="G75">
        <v>1283</v>
      </c>
      <c r="H75">
        <v>110</v>
      </c>
      <c r="I75">
        <v>47</v>
      </c>
      <c r="J75">
        <v>127497.11</v>
      </c>
      <c r="K75">
        <v>36</v>
      </c>
      <c r="L75">
        <v>107301.11</v>
      </c>
      <c r="M75">
        <v>29</v>
      </c>
      <c r="O75">
        <v>2273</v>
      </c>
      <c r="P75">
        <f t="shared" si="3"/>
        <v>2023</v>
      </c>
      <c r="Q75">
        <f t="shared" si="4"/>
        <v>6</v>
      </c>
      <c r="R75" t="str">
        <f t="shared" si="6"/>
        <v>商品详情页头图推荐</v>
      </c>
      <c r="S75" t="str">
        <f>_xlfn.XLOOKUP(B75,全店核心数据_bymonth!A:A,全店核心数据_bymonth!AN:AN)</f>
        <v>BU24</v>
      </c>
    </row>
    <row r="76" spans="1:19" x14ac:dyDescent="0.3">
      <c r="A76" t="s">
        <v>110</v>
      </c>
      <c r="B76" s="16">
        <v>45078</v>
      </c>
      <c r="C76" t="s">
        <v>3</v>
      </c>
      <c r="D76" t="s">
        <v>123</v>
      </c>
      <c r="E76" t="s">
        <v>170</v>
      </c>
      <c r="F76">
        <v>428</v>
      </c>
      <c r="G76">
        <v>280</v>
      </c>
      <c r="H76">
        <v>22</v>
      </c>
      <c r="I76">
        <v>9</v>
      </c>
      <c r="J76">
        <v>10981</v>
      </c>
      <c r="K76">
        <v>4</v>
      </c>
      <c r="L76">
        <v>4265</v>
      </c>
      <c r="M76">
        <v>2</v>
      </c>
      <c r="O76">
        <v>223</v>
      </c>
      <c r="P76">
        <f t="shared" si="3"/>
        <v>2023</v>
      </c>
      <c r="Q76">
        <f t="shared" si="4"/>
        <v>6</v>
      </c>
      <c r="R76" t="str">
        <f t="shared" si="6"/>
        <v>店铺超链</v>
      </c>
      <c r="S76" t="str">
        <f>_xlfn.XLOOKUP(B76,全店核心数据_bymonth!A:A,全店核心数据_bymonth!AN:AN)</f>
        <v>BU24</v>
      </c>
    </row>
    <row r="77" spans="1:19" x14ac:dyDescent="0.3">
      <c r="A77" t="s">
        <v>110</v>
      </c>
      <c r="B77" s="16">
        <v>45078</v>
      </c>
      <c r="C77" t="s">
        <v>394</v>
      </c>
      <c r="D77" t="s">
        <v>392</v>
      </c>
      <c r="E77" t="s">
        <v>393</v>
      </c>
      <c r="F77">
        <v>37887</v>
      </c>
      <c r="G77">
        <v>34356</v>
      </c>
      <c r="H77">
        <v>297</v>
      </c>
      <c r="I77">
        <v>189</v>
      </c>
      <c r="J77">
        <v>159147.32999999999</v>
      </c>
      <c r="K77">
        <v>49</v>
      </c>
      <c r="L77">
        <v>115700.33</v>
      </c>
      <c r="M77">
        <v>40</v>
      </c>
      <c r="O77">
        <v>11029</v>
      </c>
      <c r="P77">
        <f t="shared" si="3"/>
        <v>2023</v>
      </c>
      <c r="Q77">
        <f t="shared" si="4"/>
        <v>6</v>
      </c>
      <c r="R77" t="s">
        <v>396</v>
      </c>
      <c r="S77" t="str">
        <f>_xlfn.XLOOKUP(B77,全店核心数据_bymonth!A:A,全店核心数据_bymonth!AN:AN)</f>
        <v>BU24</v>
      </c>
    </row>
    <row r="78" spans="1:19" x14ac:dyDescent="0.3">
      <c r="A78" t="s">
        <v>110</v>
      </c>
      <c r="B78" s="16">
        <v>45078</v>
      </c>
      <c r="C78" t="s">
        <v>3</v>
      </c>
      <c r="D78" t="s">
        <v>127</v>
      </c>
      <c r="E78" t="s">
        <v>193</v>
      </c>
      <c r="F78">
        <v>32</v>
      </c>
      <c r="G78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O78">
        <v>32</v>
      </c>
      <c r="P78">
        <f t="shared" si="3"/>
        <v>2023</v>
      </c>
      <c r="Q78">
        <f t="shared" si="4"/>
        <v>6</v>
      </c>
      <c r="R78" t="str">
        <f t="shared" ref="R78:R141" si="7">E78</f>
        <v>推荐云主题</v>
      </c>
      <c r="S78" t="str">
        <f>_xlfn.XLOOKUP(B78,全店核心数据_bymonth!A:A,全店核心数据_bymonth!AN:AN)</f>
        <v>BU24</v>
      </c>
    </row>
    <row r="79" spans="1:19" x14ac:dyDescent="0.3">
      <c r="A79" t="s">
        <v>110</v>
      </c>
      <c r="B79" s="16">
        <v>45078</v>
      </c>
      <c r="C79" t="s">
        <v>3</v>
      </c>
      <c r="D79" t="s">
        <v>127</v>
      </c>
      <c r="E79" t="s">
        <v>172</v>
      </c>
      <c r="F79">
        <v>284</v>
      </c>
      <c r="G79">
        <v>166</v>
      </c>
      <c r="H79">
        <v>7</v>
      </c>
      <c r="I79">
        <v>3</v>
      </c>
      <c r="J79">
        <v>5883</v>
      </c>
      <c r="K79">
        <v>2</v>
      </c>
      <c r="L79">
        <v>3195</v>
      </c>
      <c r="M79">
        <v>1</v>
      </c>
      <c r="O79">
        <v>222</v>
      </c>
      <c r="P79">
        <f t="shared" ref="P79:P142" si="8">YEAR(B79)</f>
        <v>2023</v>
      </c>
      <c r="Q79">
        <f t="shared" ref="Q79:Q142" si="9">MONTH(B79)</f>
        <v>6</v>
      </c>
      <c r="R79" t="str">
        <f t="shared" si="7"/>
        <v>购中推荐</v>
      </c>
      <c r="S79" t="str">
        <f>_xlfn.XLOOKUP(B79,全店核心数据_bymonth!A:A,全店核心数据_bymonth!AN:AN)</f>
        <v>BU24</v>
      </c>
    </row>
    <row r="80" spans="1:19" x14ac:dyDescent="0.3">
      <c r="A80" t="s">
        <v>110</v>
      </c>
      <c r="B80" s="16">
        <v>45078</v>
      </c>
      <c r="C80" t="s">
        <v>3</v>
      </c>
      <c r="D80" t="s">
        <v>127</v>
      </c>
      <c r="E80" t="s">
        <v>173</v>
      </c>
      <c r="F80">
        <v>2137</v>
      </c>
      <c r="G80">
        <v>1458</v>
      </c>
      <c r="H80">
        <v>27</v>
      </c>
      <c r="I80">
        <v>21</v>
      </c>
      <c r="J80">
        <v>12525</v>
      </c>
      <c r="K80">
        <v>4</v>
      </c>
      <c r="L80">
        <v>10030</v>
      </c>
      <c r="M80">
        <v>3</v>
      </c>
      <c r="O80">
        <v>1602</v>
      </c>
      <c r="P80">
        <f t="shared" si="8"/>
        <v>2023</v>
      </c>
      <c r="Q80">
        <f t="shared" si="9"/>
        <v>6</v>
      </c>
      <c r="R80" t="str">
        <f t="shared" si="7"/>
        <v>购后推荐</v>
      </c>
      <c r="S80" t="str">
        <f>_xlfn.XLOOKUP(B80,全店核心数据_bymonth!A:A,全店核心数据_bymonth!AN:AN)</f>
        <v>BU24</v>
      </c>
    </row>
    <row r="81" spans="1:19" x14ac:dyDescent="0.3">
      <c r="A81" t="s">
        <v>110</v>
      </c>
      <c r="B81" s="16">
        <v>45078</v>
      </c>
      <c r="C81" t="s">
        <v>3</v>
      </c>
      <c r="D81" t="s">
        <v>127</v>
      </c>
      <c r="E81" t="s">
        <v>174</v>
      </c>
      <c r="F81">
        <v>54549</v>
      </c>
      <c r="G81">
        <v>48442</v>
      </c>
      <c r="H81">
        <v>292</v>
      </c>
      <c r="I81">
        <v>169</v>
      </c>
      <c r="J81">
        <v>176345.75</v>
      </c>
      <c r="K81">
        <v>48</v>
      </c>
      <c r="L81">
        <v>110292.75</v>
      </c>
      <c r="M81">
        <v>42</v>
      </c>
      <c r="O81">
        <v>54549</v>
      </c>
      <c r="P81">
        <f t="shared" si="8"/>
        <v>2023</v>
      </c>
      <c r="Q81">
        <f t="shared" si="9"/>
        <v>6</v>
      </c>
      <c r="R81" t="str">
        <f t="shared" si="7"/>
        <v>首页推荐-微详情</v>
      </c>
      <c r="S81" t="str">
        <f>_xlfn.XLOOKUP(B81,全店核心数据_bymonth!A:A,全店核心数据_bymonth!AN:AN)</f>
        <v>BU24</v>
      </c>
    </row>
    <row r="82" spans="1:19" x14ac:dyDescent="0.3">
      <c r="A82" t="s">
        <v>110</v>
      </c>
      <c r="B82" s="16">
        <v>45078</v>
      </c>
      <c r="C82" t="s">
        <v>3</v>
      </c>
      <c r="D82" t="s">
        <v>127</v>
      </c>
      <c r="E82" t="s">
        <v>175</v>
      </c>
      <c r="F82">
        <v>49</v>
      </c>
      <c r="G82">
        <v>17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O82">
        <v>4</v>
      </c>
      <c r="P82">
        <f t="shared" si="8"/>
        <v>2023</v>
      </c>
      <c r="Q82">
        <f t="shared" si="9"/>
        <v>6</v>
      </c>
      <c r="R82" t="str">
        <f t="shared" si="7"/>
        <v>首页推荐-直播</v>
      </c>
      <c r="S82" t="str">
        <f>_xlfn.XLOOKUP(B82,全店核心数据_bymonth!A:A,全店核心数据_bymonth!AN:AN)</f>
        <v>BU24</v>
      </c>
    </row>
    <row r="83" spans="1:19" x14ac:dyDescent="0.3">
      <c r="A83" t="s">
        <v>110</v>
      </c>
      <c r="B83" s="16">
        <v>45078</v>
      </c>
      <c r="C83" t="s">
        <v>3</v>
      </c>
      <c r="D83" t="s">
        <v>127</v>
      </c>
      <c r="E83" t="s">
        <v>176</v>
      </c>
      <c r="F83">
        <v>46</v>
      </c>
      <c r="G83">
        <v>28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O83">
        <v>0</v>
      </c>
      <c r="P83">
        <f t="shared" si="8"/>
        <v>2023</v>
      </c>
      <c r="Q83">
        <f t="shared" si="9"/>
        <v>6</v>
      </c>
      <c r="R83" t="str">
        <f t="shared" si="7"/>
        <v>首页推荐-短视频</v>
      </c>
      <c r="S83" t="str">
        <f>_xlfn.XLOOKUP(B83,全店核心数据_bymonth!A:A,全店核心数据_bymonth!AN:AN)</f>
        <v>BU24</v>
      </c>
    </row>
    <row r="84" spans="1:19" x14ac:dyDescent="0.3">
      <c r="A84" t="s">
        <v>110</v>
      </c>
      <c r="B84" s="16">
        <v>45078</v>
      </c>
      <c r="C84" t="s">
        <v>3</v>
      </c>
      <c r="D84" t="s">
        <v>143</v>
      </c>
      <c r="E84" t="s">
        <v>196</v>
      </c>
      <c r="F84">
        <v>13</v>
      </c>
      <c r="G84">
        <v>6</v>
      </c>
      <c r="H84">
        <v>0</v>
      </c>
      <c r="I84">
        <v>0</v>
      </c>
      <c r="J84">
        <v>2656.5</v>
      </c>
      <c r="K84">
        <v>1</v>
      </c>
      <c r="L84">
        <v>2656.5</v>
      </c>
      <c r="M84">
        <v>1</v>
      </c>
      <c r="O84">
        <v>13</v>
      </c>
      <c r="P84">
        <f t="shared" si="8"/>
        <v>2023</v>
      </c>
      <c r="Q84">
        <f t="shared" si="9"/>
        <v>6</v>
      </c>
      <c r="R84" t="str">
        <f t="shared" si="7"/>
        <v>淘特互动游戏</v>
      </c>
      <c r="S84" t="str">
        <f>_xlfn.XLOOKUP(B84,全店核心数据_bymonth!A:A,全店核心数据_bymonth!AN:AN)</f>
        <v>BU24</v>
      </c>
    </row>
    <row r="85" spans="1:19" x14ac:dyDescent="0.3">
      <c r="A85" t="s">
        <v>110</v>
      </c>
      <c r="B85" s="16">
        <v>45078</v>
      </c>
      <c r="C85" t="s">
        <v>3</v>
      </c>
      <c r="D85" t="s">
        <v>143</v>
      </c>
      <c r="E85" t="s">
        <v>180</v>
      </c>
      <c r="F85">
        <v>6</v>
      </c>
      <c r="G85">
        <v>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O85">
        <v>6</v>
      </c>
      <c r="P85">
        <f t="shared" si="8"/>
        <v>2023</v>
      </c>
      <c r="Q85">
        <f t="shared" si="9"/>
        <v>6</v>
      </c>
      <c r="R85" t="str">
        <f t="shared" si="7"/>
        <v>淘特其他渠道</v>
      </c>
      <c r="S85" t="str">
        <f>_xlfn.XLOOKUP(B85,全店核心数据_bymonth!A:A,全店核心数据_bymonth!AN:AN)</f>
        <v>BU24</v>
      </c>
    </row>
    <row r="86" spans="1:19" x14ac:dyDescent="0.3">
      <c r="A86" t="s">
        <v>110</v>
      </c>
      <c r="B86" s="16">
        <v>45078</v>
      </c>
      <c r="C86" t="s">
        <v>3</v>
      </c>
      <c r="D86" t="s">
        <v>143</v>
      </c>
      <c r="E86" t="s">
        <v>197</v>
      </c>
      <c r="F86">
        <v>7</v>
      </c>
      <c r="G86">
        <v>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O86">
        <v>7</v>
      </c>
      <c r="P86">
        <f t="shared" si="8"/>
        <v>2023</v>
      </c>
      <c r="Q86">
        <f t="shared" si="9"/>
        <v>6</v>
      </c>
      <c r="R86" t="str">
        <f t="shared" si="7"/>
        <v>淘特推荐</v>
      </c>
      <c r="S86" t="str">
        <f>_xlfn.XLOOKUP(B86,全店核心数据_bymonth!A:A,全店核心数据_bymonth!AN:AN)</f>
        <v>BU24</v>
      </c>
    </row>
    <row r="87" spans="1:19" x14ac:dyDescent="0.3">
      <c r="A87" t="s">
        <v>110</v>
      </c>
      <c r="B87" s="16">
        <v>45078</v>
      </c>
      <c r="C87" t="s">
        <v>3</v>
      </c>
      <c r="D87" t="s">
        <v>143</v>
      </c>
      <c r="E87" t="s">
        <v>181</v>
      </c>
      <c r="F87">
        <v>10</v>
      </c>
      <c r="G87">
        <v>10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O87">
        <v>10</v>
      </c>
      <c r="P87">
        <f t="shared" si="8"/>
        <v>2023</v>
      </c>
      <c r="Q87">
        <f t="shared" si="9"/>
        <v>6</v>
      </c>
      <c r="R87" t="str">
        <f t="shared" si="7"/>
        <v>淘特搜索</v>
      </c>
      <c r="S87" t="str">
        <f>_xlfn.XLOOKUP(B87,全店核心数据_bymonth!A:A,全店核心数据_bymonth!AN:AN)</f>
        <v>BU24</v>
      </c>
    </row>
    <row r="88" spans="1:19" x14ac:dyDescent="0.3">
      <c r="A88" t="s">
        <v>110</v>
      </c>
      <c r="B88" s="16">
        <v>45078</v>
      </c>
      <c r="C88" t="s">
        <v>3</v>
      </c>
      <c r="D88" t="s">
        <v>143</v>
      </c>
      <c r="E88" t="s">
        <v>224</v>
      </c>
      <c r="F88">
        <v>2</v>
      </c>
      <c r="G88">
        <v>1</v>
      </c>
      <c r="H88">
        <v>0</v>
      </c>
      <c r="I88">
        <v>0</v>
      </c>
      <c r="J88">
        <v>2656.5</v>
      </c>
      <c r="K88">
        <v>1</v>
      </c>
      <c r="L88">
        <v>2656.5</v>
      </c>
      <c r="M88">
        <v>1</v>
      </c>
      <c r="O88">
        <v>2</v>
      </c>
      <c r="P88">
        <f t="shared" si="8"/>
        <v>2023</v>
      </c>
      <c r="Q88">
        <f t="shared" si="9"/>
        <v>6</v>
      </c>
      <c r="R88" t="str">
        <f t="shared" si="7"/>
        <v>淘特自主访问</v>
      </c>
      <c r="S88" t="str">
        <f>_xlfn.XLOOKUP(B88,全店核心数据_bymonth!A:A,全店核心数据_bymonth!AN:AN)</f>
        <v>BU24</v>
      </c>
    </row>
    <row r="89" spans="1:19" x14ac:dyDescent="0.3">
      <c r="A89" t="s">
        <v>110</v>
      </c>
      <c r="B89" s="16">
        <v>45078</v>
      </c>
      <c r="C89" t="s">
        <v>2</v>
      </c>
      <c r="D89" t="s">
        <v>55</v>
      </c>
      <c r="E89" t="s">
        <v>54</v>
      </c>
      <c r="F89">
        <v>347</v>
      </c>
      <c r="G89">
        <v>347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O89">
        <v>347</v>
      </c>
      <c r="P89">
        <f t="shared" si="8"/>
        <v>2023</v>
      </c>
      <c r="Q89">
        <f t="shared" si="9"/>
        <v>6</v>
      </c>
      <c r="R89" t="str">
        <f t="shared" si="7"/>
        <v>超级直播</v>
      </c>
      <c r="S89" t="str">
        <f>_xlfn.XLOOKUP(B89,全店核心数据_bymonth!A:A,全店核心数据_bymonth!AN:AN)</f>
        <v>BU24</v>
      </c>
    </row>
    <row r="90" spans="1:19" x14ac:dyDescent="0.3">
      <c r="A90" t="s">
        <v>110</v>
      </c>
      <c r="B90" s="16">
        <v>45078</v>
      </c>
      <c r="C90" t="s">
        <v>2</v>
      </c>
      <c r="D90" t="s">
        <v>55</v>
      </c>
      <c r="E90" t="s">
        <v>56</v>
      </c>
      <c r="F90">
        <v>4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O90">
        <v>4</v>
      </c>
      <c r="P90">
        <f t="shared" si="8"/>
        <v>2023</v>
      </c>
      <c r="Q90">
        <f t="shared" si="9"/>
        <v>6</v>
      </c>
      <c r="R90" t="str">
        <f t="shared" si="7"/>
        <v>超级短视频</v>
      </c>
      <c r="S90" t="str">
        <f>_xlfn.XLOOKUP(B90,全店核心数据_bymonth!A:A,全店核心数据_bymonth!AN:AN)</f>
        <v>BU24</v>
      </c>
    </row>
    <row r="91" spans="1:19" x14ac:dyDescent="0.3">
      <c r="A91" t="s">
        <v>110</v>
      </c>
      <c r="B91" s="16">
        <v>45078</v>
      </c>
      <c r="C91" t="s">
        <v>2</v>
      </c>
      <c r="D91" t="s">
        <v>52</v>
      </c>
      <c r="E91" t="s">
        <v>183</v>
      </c>
      <c r="F91">
        <v>13116</v>
      </c>
      <c r="G91">
        <v>11893</v>
      </c>
      <c r="H91">
        <v>362</v>
      </c>
      <c r="I91">
        <v>135</v>
      </c>
      <c r="J91">
        <v>338258</v>
      </c>
      <c r="K91">
        <v>98</v>
      </c>
      <c r="L91">
        <v>268787</v>
      </c>
      <c r="M91">
        <v>87</v>
      </c>
      <c r="O91">
        <v>6400</v>
      </c>
      <c r="P91">
        <f t="shared" si="8"/>
        <v>2023</v>
      </c>
      <c r="Q91">
        <f t="shared" si="9"/>
        <v>6</v>
      </c>
      <c r="R91" t="str">
        <f t="shared" si="7"/>
        <v>品销宝-品牌专区</v>
      </c>
      <c r="S91" t="str">
        <f>_xlfn.XLOOKUP(B91,全店核心数据_bymonth!A:A,全店核心数据_bymonth!AN:AN)</f>
        <v>BU24</v>
      </c>
    </row>
    <row r="92" spans="1:19" x14ac:dyDescent="0.3">
      <c r="A92" t="s">
        <v>110</v>
      </c>
      <c r="B92" s="16">
        <v>45078</v>
      </c>
      <c r="C92" t="s">
        <v>2</v>
      </c>
      <c r="D92" t="s">
        <v>52</v>
      </c>
      <c r="E92" t="s">
        <v>62</v>
      </c>
      <c r="F92">
        <v>5</v>
      </c>
      <c r="P92">
        <f t="shared" si="8"/>
        <v>2023</v>
      </c>
      <c r="Q92">
        <f t="shared" si="9"/>
        <v>6</v>
      </c>
      <c r="R92" t="str">
        <f t="shared" si="7"/>
        <v>超级互动城</v>
      </c>
      <c r="S92" t="str">
        <f>_xlfn.XLOOKUP(B92,全店核心数据_bymonth!A:A,全店核心数据_bymonth!AN:AN)</f>
        <v>BU24</v>
      </c>
    </row>
    <row r="93" spans="1:19" x14ac:dyDescent="0.3">
      <c r="A93" t="s">
        <v>110</v>
      </c>
      <c r="B93" s="16">
        <v>45078</v>
      </c>
      <c r="C93" t="s">
        <v>2</v>
      </c>
      <c r="D93" t="s">
        <v>57</v>
      </c>
      <c r="E93" t="s">
        <v>65</v>
      </c>
      <c r="F93">
        <v>93054</v>
      </c>
      <c r="G93">
        <v>88255</v>
      </c>
      <c r="H93">
        <v>1232</v>
      </c>
      <c r="I93">
        <v>624</v>
      </c>
      <c r="J93">
        <v>1189194.5</v>
      </c>
      <c r="K93">
        <v>308</v>
      </c>
      <c r="L93">
        <v>799292.5</v>
      </c>
      <c r="M93">
        <v>234</v>
      </c>
      <c r="O93">
        <v>91838</v>
      </c>
      <c r="P93">
        <f t="shared" si="8"/>
        <v>2023</v>
      </c>
      <c r="Q93">
        <f t="shared" si="9"/>
        <v>6</v>
      </c>
      <c r="R93" t="str">
        <f t="shared" si="7"/>
        <v>直通车</v>
      </c>
      <c r="S93" t="str">
        <f>_xlfn.XLOOKUP(B93,全店核心数据_bymonth!A:A,全店核心数据_bymonth!AN:AN)</f>
        <v>BU24</v>
      </c>
    </row>
    <row r="94" spans="1:19" x14ac:dyDescent="0.3">
      <c r="A94" t="s">
        <v>110</v>
      </c>
      <c r="B94" s="16">
        <v>45078</v>
      </c>
      <c r="C94" t="s">
        <v>2</v>
      </c>
      <c r="D94" t="s">
        <v>57</v>
      </c>
      <c r="E94" t="s">
        <v>63</v>
      </c>
      <c r="F94">
        <v>61053</v>
      </c>
      <c r="G94">
        <v>51890</v>
      </c>
      <c r="H94">
        <v>997</v>
      </c>
      <c r="I94">
        <v>368</v>
      </c>
      <c r="J94">
        <v>1024551.25</v>
      </c>
      <c r="K94">
        <v>285</v>
      </c>
      <c r="L94">
        <v>844701.25</v>
      </c>
      <c r="M94">
        <v>244</v>
      </c>
      <c r="O94">
        <v>60972</v>
      </c>
      <c r="P94">
        <f t="shared" si="8"/>
        <v>2023</v>
      </c>
      <c r="Q94">
        <f t="shared" si="9"/>
        <v>6</v>
      </c>
      <c r="R94" t="str">
        <f t="shared" si="7"/>
        <v>万相台</v>
      </c>
      <c r="S94" t="str">
        <f>_xlfn.XLOOKUP(B94,全店核心数据_bymonth!A:A,全店核心数据_bymonth!AN:AN)</f>
        <v>BU24</v>
      </c>
    </row>
    <row r="95" spans="1:19" x14ac:dyDescent="0.3">
      <c r="A95" t="s">
        <v>110</v>
      </c>
      <c r="B95" s="16">
        <v>45078</v>
      </c>
      <c r="C95" t="s">
        <v>2</v>
      </c>
      <c r="D95" t="s">
        <v>57</v>
      </c>
      <c r="E95" t="s">
        <v>64</v>
      </c>
      <c r="F95">
        <v>134283</v>
      </c>
      <c r="G95">
        <v>118770</v>
      </c>
      <c r="H95">
        <v>950</v>
      </c>
      <c r="I95">
        <v>663</v>
      </c>
      <c r="J95">
        <v>470363.5</v>
      </c>
      <c r="K95">
        <v>117</v>
      </c>
      <c r="L95">
        <v>271906</v>
      </c>
      <c r="M95">
        <v>89</v>
      </c>
      <c r="O95">
        <v>134031</v>
      </c>
      <c r="P95">
        <f t="shared" si="8"/>
        <v>2023</v>
      </c>
      <c r="Q95">
        <f t="shared" si="9"/>
        <v>6</v>
      </c>
      <c r="R95" t="str">
        <f t="shared" si="7"/>
        <v>引力魔方</v>
      </c>
      <c r="S95" t="str">
        <f>_xlfn.XLOOKUP(B95,全店核心数据_bymonth!A:A,全店核心数据_bymonth!AN:AN)</f>
        <v>BU24</v>
      </c>
    </row>
    <row r="96" spans="1:19" x14ac:dyDescent="0.3">
      <c r="A96" t="s">
        <v>110</v>
      </c>
      <c r="B96" s="16">
        <v>45078</v>
      </c>
      <c r="C96" t="s">
        <v>2</v>
      </c>
      <c r="D96" t="s">
        <v>4</v>
      </c>
      <c r="E96" t="s">
        <v>44</v>
      </c>
      <c r="F96">
        <v>3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O96">
        <v>2</v>
      </c>
      <c r="P96">
        <f t="shared" si="8"/>
        <v>2023</v>
      </c>
      <c r="Q96">
        <f t="shared" si="9"/>
        <v>6</v>
      </c>
      <c r="R96" t="str">
        <f t="shared" si="7"/>
        <v>UD品牌投放</v>
      </c>
      <c r="S96" t="str">
        <f>_xlfn.XLOOKUP(B96,全店核心数据_bymonth!A:A,全店核心数据_bymonth!AN:AN)</f>
        <v>BU24</v>
      </c>
    </row>
    <row r="97" spans="1:19" x14ac:dyDescent="0.3">
      <c r="A97" t="s">
        <v>110</v>
      </c>
      <c r="B97" s="16">
        <v>45078</v>
      </c>
      <c r="C97" t="s">
        <v>2</v>
      </c>
      <c r="D97" t="s">
        <v>4</v>
      </c>
      <c r="E97" t="s">
        <v>42</v>
      </c>
      <c r="F97">
        <v>2</v>
      </c>
      <c r="G97">
        <v>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O97">
        <v>2</v>
      </c>
      <c r="P97">
        <f t="shared" si="8"/>
        <v>2023</v>
      </c>
      <c r="Q97">
        <f t="shared" si="9"/>
        <v>6</v>
      </c>
      <c r="R97" t="str">
        <f t="shared" si="7"/>
        <v>UD效果投放</v>
      </c>
      <c r="S97" t="str">
        <f>_xlfn.XLOOKUP(B97,全店核心数据_bymonth!A:A,全店核心数据_bymonth!AN:AN)</f>
        <v>BU24</v>
      </c>
    </row>
    <row r="98" spans="1:19" x14ac:dyDescent="0.3">
      <c r="A98" t="s">
        <v>110</v>
      </c>
      <c r="B98" s="16">
        <v>45078</v>
      </c>
      <c r="C98" t="s">
        <v>2</v>
      </c>
      <c r="D98" t="s">
        <v>4</v>
      </c>
      <c r="E98" t="s">
        <v>41</v>
      </c>
      <c r="F98">
        <v>227</v>
      </c>
      <c r="G98">
        <v>159</v>
      </c>
      <c r="H98">
        <v>8</v>
      </c>
      <c r="I98">
        <v>0</v>
      </c>
      <c r="J98">
        <v>0</v>
      </c>
      <c r="K98">
        <v>0</v>
      </c>
      <c r="L98">
        <v>0</v>
      </c>
      <c r="M98">
        <v>0</v>
      </c>
      <c r="O98">
        <v>96</v>
      </c>
      <c r="P98">
        <f t="shared" si="8"/>
        <v>2023</v>
      </c>
      <c r="Q98">
        <f t="shared" si="9"/>
        <v>6</v>
      </c>
      <c r="R98" t="str">
        <f t="shared" si="7"/>
        <v>流量宝</v>
      </c>
      <c r="S98" t="str">
        <f>_xlfn.XLOOKUP(B98,全店核心数据_bymonth!A:A,全店核心数据_bymonth!AN:AN)</f>
        <v>BU24</v>
      </c>
    </row>
    <row r="99" spans="1:19" x14ac:dyDescent="0.3">
      <c r="A99" t="s">
        <v>110</v>
      </c>
      <c r="B99" s="16">
        <v>45078</v>
      </c>
      <c r="C99" t="s">
        <v>2</v>
      </c>
      <c r="D99" t="s">
        <v>4</v>
      </c>
      <c r="E99" t="s">
        <v>43</v>
      </c>
      <c r="F99">
        <v>4751</v>
      </c>
      <c r="G99">
        <v>2553</v>
      </c>
      <c r="H99">
        <v>64</v>
      </c>
      <c r="I99">
        <v>11</v>
      </c>
      <c r="J99">
        <v>180142.65</v>
      </c>
      <c r="K99">
        <v>51</v>
      </c>
      <c r="L99">
        <v>154378.65</v>
      </c>
      <c r="M99">
        <v>47</v>
      </c>
      <c r="O99">
        <v>4567</v>
      </c>
      <c r="P99">
        <f t="shared" si="8"/>
        <v>2023</v>
      </c>
      <c r="Q99">
        <f t="shared" si="9"/>
        <v>6</v>
      </c>
      <c r="R99" t="str">
        <f t="shared" si="7"/>
        <v>淘宝客</v>
      </c>
      <c r="S99" t="str">
        <f>_xlfn.XLOOKUP(B99,全店核心数据_bymonth!A:A,全店核心数据_bymonth!AN:AN)</f>
        <v>BU24</v>
      </c>
    </row>
    <row r="100" spans="1:19" x14ac:dyDescent="0.3">
      <c r="A100" t="s">
        <v>110</v>
      </c>
      <c r="B100" s="16">
        <v>45383</v>
      </c>
      <c r="C100" t="s">
        <v>3</v>
      </c>
      <c r="D100" t="s">
        <v>114</v>
      </c>
      <c r="E100" t="s">
        <v>160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184</v>
      </c>
      <c r="O100">
        <v>1</v>
      </c>
      <c r="P100">
        <f t="shared" si="8"/>
        <v>2024</v>
      </c>
      <c r="Q100">
        <f t="shared" si="9"/>
        <v>4</v>
      </c>
      <c r="R100" t="str">
        <f t="shared" si="7"/>
        <v>榜单会场</v>
      </c>
      <c r="S100" t="str">
        <f>_xlfn.XLOOKUP(B100,全店核心数据_bymonth!A:A,全店核心数据_bymonth!AN:AN)</f>
        <v>BU25</v>
      </c>
    </row>
    <row r="101" spans="1:19" x14ac:dyDescent="0.3">
      <c r="A101" t="s">
        <v>110</v>
      </c>
      <c r="B101" s="16">
        <v>45383</v>
      </c>
      <c r="C101" t="s">
        <v>3</v>
      </c>
      <c r="D101" t="s">
        <v>117</v>
      </c>
      <c r="E101" t="s">
        <v>191</v>
      </c>
      <c r="F101">
        <v>4</v>
      </c>
      <c r="G101">
        <v>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184</v>
      </c>
      <c r="O101">
        <v>4</v>
      </c>
      <c r="P101">
        <f t="shared" si="8"/>
        <v>2024</v>
      </c>
      <c r="Q101">
        <f t="shared" si="9"/>
        <v>4</v>
      </c>
      <c r="R101" t="str">
        <f t="shared" si="7"/>
        <v>商品详情页入口榜单</v>
      </c>
      <c r="S101" t="str">
        <f>_xlfn.XLOOKUP(B101,全店核心数据_bymonth!A:A,全店核心数据_bymonth!AN:AN)</f>
        <v>BU25</v>
      </c>
    </row>
    <row r="102" spans="1:19" x14ac:dyDescent="0.3">
      <c r="A102" t="s">
        <v>110</v>
      </c>
      <c r="B102" s="16">
        <v>45383</v>
      </c>
      <c r="C102" t="s">
        <v>3</v>
      </c>
      <c r="D102" t="s">
        <v>117</v>
      </c>
      <c r="E102" t="s">
        <v>195</v>
      </c>
      <c r="F102">
        <v>6</v>
      </c>
      <c r="G102">
        <v>6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184</v>
      </c>
      <c r="O102">
        <v>6</v>
      </c>
      <c r="P102">
        <f t="shared" si="8"/>
        <v>2024</v>
      </c>
      <c r="Q102">
        <f t="shared" si="9"/>
        <v>4</v>
      </c>
      <c r="R102" t="str">
        <f t="shared" si="7"/>
        <v>搜索入口榜单</v>
      </c>
      <c r="S102" t="str">
        <f>_xlfn.XLOOKUP(B102,全店核心数据_bymonth!A:A,全店核心数据_bymonth!AN:AN)</f>
        <v>BU25</v>
      </c>
    </row>
    <row r="103" spans="1:19" x14ac:dyDescent="0.3">
      <c r="A103" t="s">
        <v>110</v>
      </c>
      <c r="B103" s="16">
        <v>45383</v>
      </c>
      <c r="C103" t="s">
        <v>3</v>
      </c>
      <c r="D103" t="s">
        <v>120</v>
      </c>
      <c r="E103" t="s">
        <v>162</v>
      </c>
      <c r="F103">
        <v>11</v>
      </c>
      <c r="G103">
        <v>10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184</v>
      </c>
      <c r="O103">
        <v>2</v>
      </c>
      <c r="P103">
        <f t="shared" si="8"/>
        <v>2024</v>
      </c>
      <c r="Q103">
        <f t="shared" si="9"/>
        <v>4</v>
      </c>
      <c r="R103" t="str">
        <f t="shared" si="7"/>
        <v>手机浏览器访问天猫</v>
      </c>
      <c r="S103" t="str">
        <f>_xlfn.XLOOKUP(B103,全店核心数据_bymonth!A:A,全店核心数据_bymonth!AN:AN)</f>
        <v>BU25</v>
      </c>
    </row>
    <row r="104" spans="1:19" x14ac:dyDescent="0.3">
      <c r="A104" t="s">
        <v>110</v>
      </c>
      <c r="B104" s="16">
        <v>45383</v>
      </c>
      <c r="C104" t="s">
        <v>3</v>
      </c>
      <c r="D104" t="s">
        <v>120</v>
      </c>
      <c r="E104" t="s">
        <v>163</v>
      </c>
      <c r="F104">
        <v>958</v>
      </c>
      <c r="G104">
        <v>715</v>
      </c>
      <c r="H104">
        <v>17</v>
      </c>
      <c r="I104">
        <v>0</v>
      </c>
      <c r="J104" s="15">
        <v>43890</v>
      </c>
      <c r="K104">
        <v>6</v>
      </c>
      <c r="L104" s="15">
        <v>43890</v>
      </c>
      <c r="M104">
        <v>6</v>
      </c>
      <c r="N104" t="s">
        <v>184</v>
      </c>
      <c r="O104">
        <v>895</v>
      </c>
      <c r="P104">
        <f t="shared" si="8"/>
        <v>2024</v>
      </c>
      <c r="Q104">
        <f t="shared" si="9"/>
        <v>4</v>
      </c>
      <c r="R104" t="str">
        <f t="shared" si="7"/>
        <v>手猫免费其他</v>
      </c>
      <c r="S104" t="str">
        <f>_xlfn.XLOOKUP(B104,全店核心数据_bymonth!A:A,全店核心数据_bymonth!AN:AN)</f>
        <v>BU25</v>
      </c>
    </row>
    <row r="105" spans="1:19" x14ac:dyDescent="0.3">
      <c r="A105" t="s">
        <v>110</v>
      </c>
      <c r="B105" s="16">
        <v>45383</v>
      </c>
      <c r="C105" t="s">
        <v>3</v>
      </c>
      <c r="D105" t="s">
        <v>120</v>
      </c>
      <c r="E105" t="s">
        <v>164</v>
      </c>
      <c r="F105">
        <v>61</v>
      </c>
      <c r="G105">
        <v>50</v>
      </c>
      <c r="H105">
        <v>1</v>
      </c>
      <c r="I105">
        <v>0</v>
      </c>
      <c r="J105" s="15">
        <v>42915</v>
      </c>
      <c r="K105">
        <v>2</v>
      </c>
      <c r="L105" s="15">
        <v>42915</v>
      </c>
      <c r="M105">
        <v>2</v>
      </c>
      <c r="N105" t="s">
        <v>184</v>
      </c>
      <c r="O105">
        <v>61</v>
      </c>
      <c r="P105">
        <f t="shared" si="8"/>
        <v>2024</v>
      </c>
      <c r="Q105">
        <f t="shared" si="9"/>
        <v>4</v>
      </c>
      <c r="R105" t="str">
        <f t="shared" si="7"/>
        <v>手猫其他店铺</v>
      </c>
      <c r="S105" t="str">
        <f>_xlfn.XLOOKUP(B105,全店核心数据_bymonth!A:A,全店核心数据_bymonth!AN:AN)</f>
        <v>BU25</v>
      </c>
    </row>
    <row r="106" spans="1:19" x14ac:dyDescent="0.3">
      <c r="A106" t="s">
        <v>110</v>
      </c>
      <c r="B106" s="16">
        <v>45383</v>
      </c>
      <c r="C106" t="s">
        <v>3</v>
      </c>
      <c r="D106" t="s">
        <v>120</v>
      </c>
      <c r="E106" t="s">
        <v>165</v>
      </c>
      <c r="F106">
        <v>286</v>
      </c>
      <c r="G106">
        <v>193</v>
      </c>
      <c r="H106">
        <v>4</v>
      </c>
      <c r="I106">
        <v>0</v>
      </c>
      <c r="J106" s="15">
        <v>15375</v>
      </c>
      <c r="K106">
        <v>5</v>
      </c>
      <c r="L106" s="15">
        <v>12180</v>
      </c>
      <c r="M106">
        <v>4</v>
      </c>
      <c r="N106" t="s">
        <v>184</v>
      </c>
      <c r="O106">
        <v>280</v>
      </c>
      <c r="P106">
        <f t="shared" si="8"/>
        <v>2024</v>
      </c>
      <c r="Q106">
        <f t="shared" si="9"/>
        <v>4</v>
      </c>
      <c r="R106" t="str">
        <f t="shared" si="7"/>
        <v>手猫商品详情</v>
      </c>
      <c r="S106" t="str">
        <f>_xlfn.XLOOKUP(B106,全店核心数据_bymonth!A:A,全店核心数据_bymonth!AN:AN)</f>
        <v>BU25</v>
      </c>
    </row>
    <row r="107" spans="1:19" x14ac:dyDescent="0.3">
      <c r="A107" t="s">
        <v>110</v>
      </c>
      <c r="B107" s="16">
        <v>45383</v>
      </c>
      <c r="C107" t="s">
        <v>3</v>
      </c>
      <c r="D107" t="s">
        <v>120</v>
      </c>
      <c r="E107" t="s">
        <v>166</v>
      </c>
      <c r="F107">
        <v>748</v>
      </c>
      <c r="G107">
        <v>657</v>
      </c>
      <c r="H107">
        <v>4</v>
      </c>
      <c r="I107">
        <v>0</v>
      </c>
      <c r="J107" s="15">
        <v>8990</v>
      </c>
      <c r="K107">
        <v>3</v>
      </c>
      <c r="L107" s="15">
        <v>8990</v>
      </c>
      <c r="M107">
        <v>3</v>
      </c>
      <c r="N107" t="s">
        <v>184</v>
      </c>
      <c r="O107">
        <v>570</v>
      </c>
      <c r="P107">
        <f t="shared" si="8"/>
        <v>2024</v>
      </c>
      <c r="Q107">
        <f t="shared" si="9"/>
        <v>4</v>
      </c>
      <c r="R107" t="str">
        <f t="shared" si="7"/>
        <v>手猫搜索</v>
      </c>
      <c r="S107" t="str">
        <f>_xlfn.XLOOKUP(B107,全店核心数据_bymonth!A:A,全店核心数据_bymonth!AN:AN)</f>
        <v>BU25</v>
      </c>
    </row>
    <row r="108" spans="1:19" x14ac:dyDescent="0.3">
      <c r="A108" t="s">
        <v>110</v>
      </c>
      <c r="B108" s="16">
        <v>45383</v>
      </c>
      <c r="C108" t="s">
        <v>3</v>
      </c>
      <c r="D108" t="s">
        <v>120</v>
      </c>
      <c r="E108" t="s">
        <v>167</v>
      </c>
      <c r="F108">
        <v>13</v>
      </c>
      <c r="G108">
        <v>6</v>
      </c>
      <c r="H108">
        <v>0</v>
      </c>
      <c r="I108">
        <v>0</v>
      </c>
      <c r="J108" s="17">
        <v>25073.9</v>
      </c>
      <c r="K108">
        <v>2</v>
      </c>
      <c r="L108" s="17">
        <v>25073.9</v>
      </c>
      <c r="M108">
        <v>2</v>
      </c>
      <c r="N108" t="s">
        <v>184</v>
      </c>
      <c r="O108">
        <v>11</v>
      </c>
      <c r="P108">
        <f t="shared" si="8"/>
        <v>2024</v>
      </c>
      <c r="Q108">
        <f t="shared" si="9"/>
        <v>4</v>
      </c>
      <c r="R108" t="str">
        <f t="shared" si="7"/>
        <v>手猫旺信聊天</v>
      </c>
      <c r="S108" t="str">
        <f>_xlfn.XLOOKUP(B108,全店核心数据_bymonth!A:A,全店核心数据_bymonth!AN:AN)</f>
        <v>BU25</v>
      </c>
    </row>
    <row r="109" spans="1:19" x14ac:dyDescent="0.3">
      <c r="A109" t="s">
        <v>110</v>
      </c>
      <c r="B109" s="16">
        <v>45383</v>
      </c>
      <c r="C109" t="s">
        <v>3</v>
      </c>
      <c r="D109" t="s">
        <v>120</v>
      </c>
      <c r="E109" t="s">
        <v>168</v>
      </c>
      <c r="F109" s="15">
        <v>2879</v>
      </c>
      <c r="G109" s="15">
        <v>2388</v>
      </c>
      <c r="H109">
        <v>10</v>
      </c>
      <c r="I109">
        <v>0</v>
      </c>
      <c r="J109" s="15">
        <v>6190</v>
      </c>
      <c r="K109">
        <v>2</v>
      </c>
      <c r="L109" s="15">
        <v>6190</v>
      </c>
      <c r="M109">
        <v>2</v>
      </c>
      <c r="N109" t="s">
        <v>184</v>
      </c>
      <c r="O109" s="15">
        <v>2879</v>
      </c>
      <c r="P109">
        <f t="shared" si="8"/>
        <v>2024</v>
      </c>
      <c r="Q109">
        <f t="shared" si="9"/>
        <v>4</v>
      </c>
      <c r="R109" t="str">
        <f t="shared" si="7"/>
        <v>手猫首页</v>
      </c>
      <c r="S109" t="str">
        <f>_xlfn.XLOOKUP(B109,全店核心数据_bymonth!A:A,全店核心数据_bymonth!AN:AN)</f>
        <v>BU25</v>
      </c>
    </row>
    <row r="110" spans="1:19" x14ac:dyDescent="0.3">
      <c r="A110" t="s">
        <v>110</v>
      </c>
      <c r="B110" s="16">
        <v>45383</v>
      </c>
      <c r="C110" t="s">
        <v>3</v>
      </c>
      <c r="D110" t="s">
        <v>123</v>
      </c>
      <c r="E110" t="s">
        <v>169</v>
      </c>
      <c r="F110">
        <v>803</v>
      </c>
      <c r="G110">
        <v>458</v>
      </c>
      <c r="H110">
        <v>20</v>
      </c>
      <c r="I110">
        <v>15</v>
      </c>
      <c r="J110" s="15">
        <v>28020</v>
      </c>
      <c r="K110">
        <v>6</v>
      </c>
      <c r="L110" s="15">
        <v>28020</v>
      </c>
      <c r="M110">
        <v>6</v>
      </c>
      <c r="N110" t="s">
        <v>184</v>
      </c>
      <c r="O110">
        <v>730</v>
      </c>
      <c r="P110">
        <f t="shared" si="8"/>
        <v>2024</v>
      </c>
      <c r="Q110">
        <f t="shared" si="9"/>
        <v>4</v>
      </c>
      <c r="R110" t="str">
        <f t="shared" si="7"/>
        <v>商品详情页头图推荐</v>
      </c>
      <c r="S110" t="str">
        <f>_xlfn.XLOOKUP(B110,全店核心数据_bymonth!A:A,全店核心数据_bymonth!AN:AN)</f>
        <v>BU25</v>
      </c>
    </row>
    <row r="111" spans="1:19" x14ac:dyDescent="0.3">
      <c r="A111" t="s">
        <v>110</v>
      </c>
      <c r="B111" s="16">
        <v>45383</v>
      </c>
      <c r="C111" t="s">
        <v>3</v>
      </c>
      <c r="D111" t="s">
        <v>123</v>
      </c>
      <c r="E111" t="s">
        <v>170</v>
      </c>
      <c r="F111">
        <v>356</v>
      </c>
      <c r="G111">
        <v>279</v>
      </c>
      <c r="H111">
        <v>11</v>
      </c>
      <c r="I111">
        <v>1</v>
      </c>
      <c r="J111" s="15">
        <v>3450</v>
      </c>
      <c r="K111">
        <v>1</v>
      </c>
      <c r="L111" s="15">
        <v>3450</v>
      </c>
      <c r="M111">
        <v>1</v>
      </c>
      <c r="N111" t="s">
        <v>184</v>
      </c>
      <c r="O111">
        <v>145</v>
      </c>
      <c r="P111">
        <f t="shared" si="8"/>
        <v>2024</v>
      </c>
      <c r="Q111">
        <f t="shared" si="9"/>
        <v>4</v>
      </c>
      <c r="R111" t="str">
        <f t="shared" si="7"/>
        <v>店铺超链</v>
      </c>
      <c r="S111" t="str">
        <f>_xlfn.XLOOKUP(B111,全店核心数据_bymonth!A:A,全店核心数据_bymonth!AN:AN)</f>
        <v>BU25</v>
      </c>
    </row>
    <row r="112" spans="1:19" x14ac:dyDescent="0.3">
      <c r="A112" t="s">
        <v>110</v>
      </c>
      <c r="B112" s="16">
        <v>45383</v>
      </c>
      <c r="C112" t="s">
        <v>3</v>
      </c>
      <c r="D112" t="s">
        <v>127</v>
      </c>
      <c r="E112" t="s">
        <v>171</v>
      </c>
      <c r="F112" s="15">
        <v>1322</v>
      </c>
      <c r="G112">
        <v>859</v>
      </c>
      <c r="H112">
        <v>25</v>
      </c>
      <c r="I112">
        <v>15</v>
      </c>
      <c r="J112" s="15">
        <v>46015</v>
      </c>
      <c r="K112">
        <v>8</v>
      </c>
      <c r="L112" s="15">
        <v>46015</v>
      </c>
      <c r="M112">
        <v>8</v>
      </c>
      <c r="N112" t="s">
        <v>184</v>
      </c>
      <c r="O112" s="15">
        <v>1137</v>
      </c>
      <c r="P112">
        <f t="shared" si="8"/>
        <v>2024</v>
      </c>
      <c r="Q112">
        <f t="shared" si="9"/>
        <v>4</v>
      </c>
      <c r="R112" t="str">
        <f t="shared" si="7"/>
        <v>其他猜你喜欢</v>
      </c>
      <c r="S112" t="str">
        <f>_xlfn.XLOOKUP(B112,全店核心数据_bymonth!A:A,全店核心数据_bymonth!AN:AN)</f>
        <v>BU25</v>
      </c>
    </row>
    <row r="113" spans="1:19" x14ac:dyDescent="0.3">
      <c r="A113" t="s">
        <v>110</v>
      </c>
      <c r="B113" s="16">
        <v>45383</v>
      </c>
      <c r="C113" t="s">
        <v>3</v>
      </c>
      <c r="D113" t="s">
        <v>127</v>
      </c>
      <c r="E113" t="s">
        <v>172</v>
      </c>
      <c r="F113">
        <v>33</v>
      </c>
      <c r="G113">
        <v>20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184</v>
      </c>
      <c r="O113">
        <v>33</v>
      </c>
      <c r="P113">
        <f t="shared" si="8"/>
        <v>2024</v>
      </c>
      <c r="Q113">
        <f t="shared" si="9"/>
        <v>4</v>
      </c>
      <c r="R113" t="str">
        <f t="shared" si="7"/>
        <v>购中推荐</v>
      </c>
      <c r="S113" t="str">
        <f>_xlfn.XLOOKUP(B113,全店核心数据_bymonth!A:A,全店核心数据_bymonth!AN:AN)</f>
        <v>BU25</v>
      </c>
    </row>
    <row r="114" spans="1:19" x14ac:dyDescent="0.3">
      <c r="A114" t="s">
        <v>110</v>
      </c>
      <c r="B114" s="16">
        <v>45383</v>
      </c>
      <c r="C114" t="s">
        <v>3</v>
      </c>
      <c r="D114" t="s">
        <v>127</v>
      </c>
      <c r="E114" t="s">
        <v>173</v>
      </c>
      <c r="F114">
        <v>316</v>
      </c>
      <c r="G114">
        <v>206</v>
      </c>
      <c r="H114">
        <v>2</v>
      </c>
      <c r="I114">
        <v>2</v>
      </c>
      <c r="J114">
        <v>0</v>
      </c>
      <c r="K114">
        <v>0</v>
      </c>
      <c r="L114">
        <v>0</v>
      </c>
      <c r="M114">
        <v>0</v>
      </c>
      <c r="N114" t="s">
        <v>184</v>
      </c>
      <c r="O114">
        <v>313</v>
      </c>
      <c r="P114">
        <f t="shared" si="8"/>
        <v>2024</v>
      </c>
      <c r="Q114">
        <f t="shared" si="9"/>
        <v>4</v>
      </c>
      <c r="R114" t="str">
        <f t="shared" si="7"/>
        <v>购后推荐</v>
      </c>
      <c r="S114" t="str">
        <f>_xlfn.XLOOKUP(B114,全店核心数据_bymonth!A:A,全店核心数据_bymonth!AN:AN)</f>
        <v>BU25</v>
      </c>
    </row>
    <row r="115" spans="1:19" x14ac:dyDescent="0.3">
      <c r="A115" t="s">
        <v>110</v>
      </c>
      <c r="B115" s="16">
        <v>45383</v>
      </c>
      <c r="C115" t="s">
        <v>3</v>
      </c>
      <c r="D115" t="s">
        <v>127</v>
      </c>
      <c r="E115" t="s">
        <v>174</v>
      </c>
      <c r="F115" s="15">
        <v>5414</v>
      </c>
      <c r="G115" s="15">
        <v>3992</v>
      </c>
      <c r="H115">
        <v>88</v>
      </c>
      <c r="I115">
        <v>62</v>
      </c>
      <c r="J115" s="15">
        <v>68660</v>
      </c>
      <c r="K115">
        <v>9</v>
      </c>
      <c r="L115" s="15">
        <v>41170</v>
      </c>
      <c r="M115">
        <v>8</v>
      </c>
      <c r="N115" t="s">
        <v>184</v>
      </c>
      <c r="O115" s="15">
        <v>5414</v>
      </c>
      <c r="P115">
        <f t="shared" si="8"/>
        <v>2024</v>
      </c>
      <c r="Q115">
        <f t="shared" si="9"/>
        <v>4</v>
      </c>
      <c r="R115" t="str">
        <f t="shared" si="7"/>
        <v>首页推荐-微详情</v>
      </c>
      <c r="S115" t="str">
        <f>_xlfn.XLOOKUP(B115,全店核心数据_bymonth!A:A,全店核心数据_bymonth!AN:AN)</f>
        <v>BU25</v>
      </c>
    </row>
    <row r="116" spans="1:19" x14ac:dyDescent="0.3">
      <c r="A116" t="s">
        <v>110</v>
      </c>
      <c r="B116" s="16">
        <v>45383</v>
      </c>
      <c r="C116" t="s">
        <v>3</v>
      </c>
      <c r="D116" t="s">
        <v>127</v>
      </c>
      <c r="E116" t="s">
        <v>175</v>
      </c>
      <c r="F116">
        <v>346</v>
      </c>
      <c r="G116">
        <v>268</v>
      </c>
      <c r="H116">
        <v>0</v>
      </c>
      <c r="I116">
        <v>0</v>
      </c>
      <c r="J116" s="15">
        <v>3495</v>
      </c>
      <c r="K116">
        <v>1</v>
      </c>
      <c r="L116">
        <v>0</v>
      </c>
      <c r="M116">
        <v>0</v>
      </c>
      <c r="N116" t="s">
        <v>184</v>
      </c>
      <c r="O116">
        <v>60</v>
      </c>
      <c r="P116">
        <f t="shared" si="8"/>
        <v>2024</v>
      </c>
      <c r="Q116">
        <f t="shared" si="9"/>
        <v>4</v>
      </c>
      <c r="R116" t="str">
        <f t="shared" si="7"/>
        <v>首页推荐-直播</v>
      </c>
      <c r="S116" t="str">
        <f>_xlfn.XLOOKUP(B116,全店核心数据_bymonth!A:A,全店核心数据_bymonth!AN:AN)</f>
        <v>BU25</v>
      </c>
    </row>
    <row r="117" spans="1:19" x14ac:dyDescent="0.3">
      <c r="A117" t="s">
        <v>110</v>
      </c>
      <c r="B117" s="16">
        <v>45383</v>
      </c>
      <c r="C117" t="s">
        <v>3</v>
      </c>
      <c r="D117" t="s">
        <v>127</v>
      </c>
      <c r="E117" t="s">
        <v>176</v>
      </c>
      <c r="F117">
        <v>36</v>
      </c>
      <c r="G117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184</v>
      </c>
      <c r="O117">
        <v>0</v>
      </c>
      <c r="P117">
        <f t="shared" si="8"/>
        <v>2024</v>
      </c>
      <c r="Q117">
        <f t="shared" si="9"/>
        <v>4</v>
      </c>
      <c r="R117" t="str">
        <f t="shared" si="7"/>
        <v>首页推荐-短视频</v>
      </c>
      <c r="S117" t="str">
        <f>_xlfn.XLOOKUP(B117,全店核心数据_bymonth!A:A,全店核心数据_bymonth!AN:AN)</f>
        <v>BU25</v>
      </c>
    </row>
    <row r="118" spans="1:19" x14ac:dyDescent="0.3">
      <c r="A118" t="s">
        <v>110</v>
      </c>
      <c r="B118" s="16">
        <v>45383</v>
      </c>
      <c r="C118" t="s">
        <v>3</v>
      </c>
      <c r="D118" t="s">
        <v>128</v>
      </c>
      <c r="E118" t="s">
        <v>177</v>
      </c>
      <c r="F118" s="15">
        <v>8957</v>
      </c>
      <c r="G118" s="15">
        <v>8045</v>
      </c>
      <c r="H118">
        <v>216</v>
      </c>
      <c r="I118">
        <v>110</v>
      </c>
      <c r="J118" s="15">
        <v>132600</v>
      </c>
      <c r="K118">
        <v>21</v>
      </c>
      <c r="L118" s="15">
        <v>103875</v>
      </c>
      <c r="M118">
        <v>19</v>
      </c>
      <c r="N118" t="s">
        <v>184</v>
      </c>
      <c r="O118" s="15">
        <v>7478</v>
      </c>
      <c r="P118">
        <f t="shared" si="8"/>
        <v>2024</v>
      </c>
      <c r="Q118">
        <f t="shared" si="9"/>
        <v>4</v>
      </c>
      <c r="R118" t="str">
        <f t="shared" si="7"/>
        <v>手淘搜索-商品及其他</v>
      </c>
      <c r="S118" t="str">
        <f>_xlfn.XLOOKUP(B118,全店核心数据_bymonth!A:A,全店核心数据_bymonth!AN:AN)</f>
        <v>BU25</v>
      </c>
    </row>
    <row r="119" spans="1:19" x14ac:dyDescent="0.3">
      <c r="A119" t="s">
        <v>110</v>
      </c>
      <c r="B119" s="16">
        <v>45383</v>
      </c>
      <c r="C119" t="s">
        <v>3</v>
      </c>
      <c r="D119" t="s">
        <v>128</v>
      </c>
      <c r="E119" t="s">
        <v>178</v>
      </c>
      <c r="F119">
        <v>7</v>
      </c>
      <c r="G119">
        <v>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184</v>
      </c>
      <c r="O119">
        <v>2</v>
      </c>
      <c r="P119">
        <f t="shared" si="8"/>
        <v>2024</v>
      </c>
      <c r="Q119">
        <f t="shared" si="9"/>
        <v>4</v>
      </c>
      <c r="R119" t="str">
        <f t="shared" si="7"/>
        <v>手淘搜索-直播</v>
      </c>
      <c r="S119" t="str">
        <f>_xlfn.XLOOKUP(B119,全店核心数据_bymonth!A:A,全店核心数据_bymonth!AN:AN)</f>
        <v>BU25</v>
      </c>
    </row>
    <row r="120" spans="1:19" x14ac:dyDescent="0.3">
      <c r="A120" t="s">
        <v>110</v>
      </c>
      <c r="B120" s="16">
        <v>45383</v>
      </c>
      <c r="C120" t="s">
        <v>3</v>
      </c>
      <c r="D120" t="s">
        <v>128</v>
      </c>
      <c r="E120" t="s">
        <v>179</v>
      </c>
      <c r="F120">
        <v>119</v>
      </c>
      <c r="G120">
        <v>79</v>
      </c>
      <c r="H120">
        <v>4</v>
      </c>
      <c r="I120">
        <v>0</v>
      </c>
      <c r="J120" s="15">
        <v>4695</v>
      </c>
      <c r="K120">
        <v>1</v>
      </c>
      <c r="L120">
        <v>0</v>
      </c>
      <c r="M120">
        <v>0</v>
      </c>
      <c r="N120" t="s">
        <v>184</v>
      </c>
      <c r="O120">
        <v>34</v>
      </c>
      <c r="P120">
        <f t="shared" si="8"/>
        <v>2024</v>
      </c>
      <c r="Q120">
        <f t="shared" si="9"/>
        <v>4</v>
      </c>
      <c r="R120" t="str">
        <f t="shared" si="7"/>
        <v>手淘搜索-短视频</v>
      </c>
      <c r="S120" t="str">
        <f>_xlfn.XLOOKUP(B120,全店核心数据_bymonth!A:A,全店核心数据_bymonth!AN:AN)</f>
        <v>BU25</v>
      </c>
    </row>
    <row r="121" spans="1:19" x14ac:dyDescent="0.3">
      <c r="A121" t="s">
        <v>110</v>
      </c>
      <c r="B121" s="16">
        <v>45383</v>
      </c>
      <c r="C121" t="s">
        <v>3</v>
      </c>
      <c r="D121" t="s">
        <v>143</v>
      </c>
      <c r="E121" t="s">
        <v>196</v>
      </c>
      <c r="F121">
        <v>2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184</v>
      </c>
      <c r="O121">
        <v>2</v>
      </c>
      <c r="P121">
        <f t="shared" si="8"/>
        <v>2024</v>
      </c>
      <c r="Q121">
        <f t="shared" si="9"/>
        <v>4</v>
      </c>
      <c r="R121" t="str">
        <f t="shared" si="7"/>
        <v>淘特互动游戏</v>
      </c>
      <c r="S121" t="str">
        <f>_xlfn.XLOOKUP(B121,全店核心数据_bymonth!A:A,全店核心数据_bymonth!AN:AN)</f>
        <v>BU25</v>
      </c>
    </row>
    <row r="122" spans="1:19" x14ac:dyDescent="0.3">
      <c r="A122" t="s">
        <v>110</v>
      </c>
      <c r="B122" s="16">
        <v>45383</v>
      </c>
      <c r="C122" t="s">
        <v>3</v>
      </c>
      <c r="D122" t="s">
        <v>143</v>
      </c>
      <c r="E122" t="s">
        <v>180</v>
      </c>
      <c r="F122">
        <v>226</v>
      </c>
      <c r="G122">
        <v>219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184</v>
      </c>
      <c r="O122">
        <v>225</v>
      </c>
      <c r="P122">
        <f t="shared" si="8"/>
        <v>2024</v>
      </c>
      <c r="Q122">
        <f t="shared" si="9"/>
        <v>4</v>
      </c>
      <c r="R122" t="str">
        <f t="shared" si="7"/>
        <v>淘特其他渠道</v>
      </c>
      <c r="S122" t="str">
        <f>_xlfn.XLOOKUP(B122,全店核心数据_bymonth!A:A,全店核心数据_bymonth!AN:AN)</f>
        <v>BU25</v>
      </c>
    </row>
    <row r="123" spans="1:19" x14ac:dyDescent="0.3">
      <c r="A123" t="s">
        <v>110</v>
      </c>
      <c r="B123" s="16">
        <v>45383</v>
      </c>
      <c r="C123" t="s">
        <v>3</v>
      </c>
      <c r="D123" t="s">
        <v>143</v>
      </c>
      <c r="E123" t="s">
        <v>197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184</v>
      </c>
      <c r="O123">
        <v>1</v>
      </c>
      <c r="P123">
        <f t="shared" si="8"/>
        <v>2024</v>
      </c>
      <c r="Q123">
        <f t="shared" si="9"/>
        <v>4</v>
      </c>
      <c r="R123" t="str">
        <f t="shared" si="7"/>
        <v>淘特推荐</v>
      </c>
      <c r="S123" t="str">
        <f>_xlfn.XLOOKUP(B123,全店核心数据_bymonth!A:A,全店核心数据_bymonth!AN:AN)</f>
        <v>BU25</v>
      </c>
    </row>
    <row r="124" spans="1:19" x14ac:dyDescent="0.3">
      <c r="A124" t="s">
        <v>110</v>
      </c>
      <c r="B124" s="16">
        <v>45383</v>
      </c>
      <c r="C124" t="s">
        <v>3</v>
      </c>
      <c r="D124" t="s">
        <v>143</v>
      </c>
      <c r="E124" t="s">
        <v>181</v>
      </c>
      <c r="F124">
        <v>10</v>
      </c>
      <c r="G124">
        <v>10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184</v>
      </c>
      <c r="O124">
        <v>10</v>
      </c>
      <c r="P124">
        <f t="shared" si="8"/>
        <v>2024</v>
      </c>
      <c r="Q124">
        <f t="shared" si="9"/>
        <v>4</v>
      </c>
      <c r="R124" t="str">
        <f t="shared" si="7"/>
        <v>淘特搜索</v>
      </c>
      <c r="S124" t="str">
        <f>_xlfn.XLOOKUP(B124,全店核心数据_bymonth!A:A,全店核心数据_bymonth!AN:AN)</f>
        <v>BU25</v>
      </c>
    </row>
    <row r="125" spans="1:19" x14ac:dyDescent="0.3">
      <c r="A125" t="s">
        <v>110</v>
      </c>
      <c r="B125" s="16">
        <v>45383</v>
      </c>
      <c r="C125" t="s">
        <v>2</v>
      </c>
      <c r="D125" t="s">
        <v>55</v>
      </c>
      <c r="E125" t="s">
        <v>56</v>
      </c>
      <c r="F125">
        <v>5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184</v>
      </c>
      <c r="O125">
        <v>0</v>
      </c>
      <c r="P125">
        <f t="shared" si="8"/>
        <v>2024</v>
      </c>
      <c r="Q125">
        <f t="shared" si="9"/>
        <v>4</v>
      </c>
      <c r="R125" t="str">
        <f t="shared" si="7"/>
        <v>超级短视频</v>
      </c>
      <c r="S125" t="str">
        <f>_xlfn.XLOOKUP(B125,全店核心数据_bymonth!A:A,全店核心数据_bymonth!AN:AN)</f>
        <v>BU25</v>
      </c>
    </row>
    <row r="126" spans="1:19" x14ac:dyDescent="0.3">
      <c r="A126" t="s">
        <v>110</v>
      </c>
      <c r="B126" s="16">
        <v>45383</v>
      </c>
      <c r="C126" t="s">
        <v>2</v>
      </c>
      <c r="D126" t="s">
        <v>52</v>
      </c>
      <c r="E126" t="s">
        <v>51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184</v>
      </c>
      <c r="O126">
        <v>1</v>
      </c>
      <c r="P126">
        <f t="shared" si="8"/>
        <v>2024</v>
      </c>
      <c r="Q126">
        <f t="shared" si="9"/>
        <v>4</v>
      </c>
      <c r="R126" t="str">
        <f t="shared" si="7"/>
        <v>品牌定制</v>
      </c>
      <c r="S126" t="str">
        <f>_xlfn.XLOOKUP(B126,全店核心数据_bymonth!A:A,全店核心数据_bymonth!AN:AN)</f>
        <v>BU25</v>
      </c>
    </row>
    <row r="127" spans="1:19" x14ac:dyDescent="0.3">
      <c r="A127" t="s">
        <v>110</v>
      </c>
      <c r="B127" s="16">
        <v>45383</v>
      </c>
      <c r="C127" t="s">
        <v>2</v>
      </c>
      <c r="D127" t="s">
        <v>52</v>
      </c>
      <c r="E127" t="s">
        <v>59</v>
      </c>
      <c r="F127">
        <v>2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184</v>
      </c>
      <c r="O127">
        <v>2</v>
      </c>
      <c r="P127">
        <f t="shared" si="8"/>
        <v>2024</v>
      </c>
      <c r="Q127">
        <f t="shared" si="9"/>
        <v>4</v>
      </c>
      <c r="R127" t="str">
        <f t="shared" si="7"/>
        <v>品牌特秀</v>
      </c>
      <c r="S127" t="str">
        <f>_xlfn.XLOOKUP(B127,全店核心数据_bymonth!A:A,全店核心数据_bymonth!AN:AN)</f>
        <v>BU25</v>
      </c>
    </row>
    <row r="128" spans="1:19" x14ac:dyDescent="0.3">
      <c r="A128" t="s">
        <v>110</v>
      </c>
      <c r="B128" s="16">
        <v>45383</v>
      </c>
      <c r="C128" t="s">
        <v>2</v>
      </c>
      <c r="D128" t="s">
        <v>52</v>
      </c>
      <c r="E128" t="s">
        <v>183</v>
      </c>
      <c r="F128" s="15">
        <v>17556</v>
      </c>
      <c r="G128" s="15">
        <v>16790</v>
      </c>
      <c r="H128">
        <v>289</v>
      </c>
      <c r="I128">
        <v>106</v>
      </c>
      <c r="J128" s="15">
        <v>175080</v>
      </c>
      <c r="K128">
        <v>27</v>
      </c>
      <c r="L128" s="15">
        <v>127385</v>
      </c>
      <c r="M128">
        <v>25</v>
      </c>
      <c r="N128" t="s">
        <v>184</v>
      </c>
      <c r="O128" s="15">
        <v>8412</v>
      </c>
      <c r="P128">
        <f t="shared" si="8"/>
        <v>2024</v>
      </c>
      <c r="Q128">
        <f t="shared" si="9"/>
        <v>4</v>
      </c>
      <c r="R128" t="str">
        <f t="shared" si="7"/>
        <v>品销宝-品牌专区</v>
      </c>
      <c r="S128" t="str">
        <f>_xlfn.XLOOKUP(B128,全店核心数据_bymonth!A:A,全店核心数据_bymonth!AN:AN)</f>
        <v>BU25</v>
      </c>
    </row>
    <row r="129" spans="1:19" x14ac:dyDescent="0.3">
      <c r="A129" t="s">
        <v>110</v>
      </c>
      <c r="B129" s="16">
        <v>45383</v>
      </c>
      <c r="C129" t="s">
        <v>2</v>
      </c>
      <c r="D129" t="s">
        <v>4</v>
      </c>
      <c r="E129" t="s">
        <v>42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184</v>
      </c>
      <c r="O129">
        <v>1</v>
      </c>
      <c r="P129">
        <f t="shared" si="8"/>
        <v>2024</v>
      </c>
      <c r="Q129">
        <f t="shared" si="9"/>
        <v>4</v>
      </c>
      <c r="R129" t="str">
        <f t="shared" si="7"/>
        <v>UD效果投放</v>
      </c>
      <c r="S129" t="str">
        <f>_xlfn.XLOOKUP(B129,全店核心数据_bymonth!A:A,全店核心数据_bymonth!AN:AN)</f>
        <v>BU25</v>
      </c>
    </row>
    <row r="130" spans="1:19" x14ac:dyDescent="0.3">
      <c r="A130" t="s">
        <v>110</v>
      </c>
      <c r="B130" s="16">
        <v>45383</v>
      </c>
      <c r="C130" t="s">
        <v>2</v>
      </c>
      <c r="D130" t="s">
        <v>4</v>
      </c>
      <c r="E130" t="s">
        <v>41</v>
      </c>
      <c r="F130">
        <v>14</v>
      </c>
      <c r="G130">
        <v>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184</v>
      </c>
      <c r="O130">
        <v>12</v>
      </c>
      <c r="P130">
        <f t="shared" si="8"/>
        <v>2024</v>
      </c>
      <c r="Q130">
        <f t="shared" si="9"/>
        <v>4</v>
      </c>
      <c r="R130" t="str">
        <f t="shared" si="7"/>
        <v>流量宝</v>
      </c>
      <c r="S130" t="str">
        <f>_xlfn.XLOOKUP(B130,全店核心数据_bymonth!A:A,全店核心数据_bymonth!AN:AN)</f>
        <v>BU25</v>
      </c>
    </row>
    <row r="131" spans="1:19" x14ac:dyDescent="0.3">
      <c r="A131" t="s">
        <v>110</v>
      </c>
      <c r="B131" s="16">
        <v>45383</v>
      </c>
      <c r="C131" t="s">
        <v>2</v>
      </c>
      <c r="D131" t="s">
        <v>4</v>
      </c>
      <c r="E131" t="s">
        <v>43</v>
      </c>
      <c r="F131" s="15">
        <v>2430</v>
      </c>
      <c r="G131" s="15">
        <v>1284</v>
      </c>
      <c r="H131">
        <v>10</v>
      </c>
      <c r="I131">
        <v>5</v>
      </c>
      <c r="J131" s="15">
        <v>37325</v>
      </c>
      <c r="K131">
        <v>4</v>
      </c>
      <c r="L131" s="15">
        <v>37325</v>
      </c>
      <c r="M131">
        <v>4</v>
      </c>
      <c r="N131" t="s">
        <v>184</v>
      </c>
      <c r="O131" s="15">
        <v>2280</v>
      </c>
      <c r="P131">
        <f t="shared" si="8"/>
        <v>2024</v>
      </c>
      <c r="Q131">
        <f t="shared" si="9"/>
        <v>4</v>
      </c>
      <c r="R131" t="str">
        <f t="shared" si="7"/>
        <v>淘宝客</v>
      </c>
      <c r="S131" t="str">
        <f>_xlfn.XLOOKUP(B131,全店核心数据_bymonth!A:A,全店核心数据_bymonth!AN:AN)</f>
        <v>BU25</v>
      </c>
    </row>
    <row r="132" spans="1:19" x14ac:dyDescent="0.3">
      <c r="A132" t="s">
        <v>110</v>
      </c>
      <c r="B132" s="16">
        <v>45383</v>
      </c>
      <c r="C132" t="s">
        <v>2</v>
      </c>
      <c r="D132" t="s">
        <v>57</v>
      </c>
      <c r="E132" t="s">
        <v>65</v>
      </c>
      <c r="F132" s="15">
        <v>47841</v>
      </c>
      <c r="G132" s="15">
        <v>45904</v>
      </c>
      <c r="H132">
        <v>545</v>
      </c>
      <c r="I132">
        <v>383</v>
      </c>
      <c r="J132" s="15">
        <v>418145</v>
      </c>
      <c r="K132">
        <v>55</v>
      </c>
      <c r="L132" s="15">
        <v>184575</v>
      </c>
      <c r="M132">
        <v>35</v>
      </c>
      <c r="N132" t="s">
        <v>184</v>
      </c>
      <c r="O132" s="15">
        <v>47372</v>
      </c>
      <c r="P132">
        <f t="shared" si="8"/>
        <v>2024</v>
      </c>
      <c r="Q132">
        <f t="shared" si="9"/>
        <v>4</v>
      </c>
      <c r="R132" t="str">
        <f t="shared" si="7"/>
        <v>直通车</v>
      </c>
      <c r="S132" t="str">
        <f>_xlfn.XLOOKUP(B132,全店核心数据_bymonth!A:A,全店核心数据_bymonth!AN:AN)</f>
        <v>BU25</v>
      </c>
    </row>
    <row r="133" spans="1:19" x14ac:dyDescent="0.3">
      <c r="A133" t="s">
        <v>110</v>
      </c>
      <c r="B133" s="16">
        <v>45383</v>
      </c>
      <c r="C133" t="s">
        <v>2</v>
      </c>
      <c r="D133" t="s">
        <v>57</v>
      </c>
      <c r="E133" t="s">
        <v>63</v>
      </c>
      <c r="F133" s="15">
        <v>35881</v>
      </c>
      <c r="G133" s="15">
        <v>32369</v>
      </c>
      <c r="H133">
        <v>395</v>
      </c>
      <c r="I133">
        <v>253</v>
      </c>
      <c r="J133" s="15">
        <v>303205</v>
      </c>
      <c r="K133">
        <v>50</v>
      </c>
      <c r="L133" s="15">
        <v>135310</v>
      </c>
      <c r="M133">
        <v>30</v>
      </c>
      <c r="N133" t="s">
        <v>184</v>
      </c>
      <c r="O133" s="15">
        <v>35827</v>
      </c>
      <c r="P133">
        <f t="shared" si="8"/>
        <v>2024</v>
      </c>
      <c r="Q133">
        <f t="shared" si="9"/>
        <v>4</v>
      </c>
      <c r="R133" t="str">
        <f t="shared" si="7"/>
        <v>万相台</v>
      </c>
      <c r="S133" t="str">
        <f>_xlfn.XLOOKUP(B133,全店核心数据_bymonth!A:A,全店核心数据_bymonth!AN:AN)</f>
        <v>BU25</v>
      </c>
    </row>
    <row r="134" spans="1:19" x14ac:dyDescent="0.3">
      <c r="A134" t="s">
        <v>110</v>
      </c>
      <c r="B134" s="16">
        <v>45383</v>
      </c>
      <c r="C134" t="s">
        <v>2</v>
      </c>
      <c r="D134" t="s">
        <v>57</v>
      </c>
      <c r="E134" t="s">
        <v>64</v>
      </c>
      <c r="F134" s="15">
        <v>65010</v>
      </c>
      <c r="G134" s="15">
        <v>57247</v>
      </c>
      <c r="H134">
        <v>379</v>
      </c>
      <c r="I134">
        <v>420</v>
      </c>
      <c r="J134" s="15">
        <v>156030</v>
      </c>
      <c r="K134">
        <v>21</v>
      </c>
      <c r="L134" s="15">
        <v>113635</v>
      </c>
      <c r="M134">
        <v>16</v>
      </c>
      <c r="N134" t="s">
        <v>184</v>
      </c>
      <c r="O134" s="15">
        <v>65004</v>
      </c>
      <c r="P134">
        <f t="shared" si="8"/>
        <v>2024</v>
      </c>
      <c r="Q134">
        <f t="shared" si="9"/>
        <v>4</v>
      </c>
      <c r="R134" t="str">
        <f t="shared" si="7"/>
        <v>引力魔方</v>
      </c>
      <c r="S134" t="str">
        <f>_xlfn.XLOOKUP(B134,全店核心数据_bymonth!A:A,全店核心数据_bymonth!AN:AN)</f>
        <v>BU25</v>
      </c>
    </row>
    <row r="135" spans="1:19" x14ac:dyDescent="0.3">
      <c r="A135" t="s">
        <v>110</v>
      </c>
      <c r="B135" s="16">
        <v>45413</v>
      </c>
      <c r="C135" t="s">
        <v>3</v>
      </c>
      <c r="D135" t="s">
        <v>114</v>
      </c>
      <c r="E135" t="s">
        <v>159</v>
      </c>
      <c r="F135" s="15">
        <v>1195</v>
      </c>
      <c r="G135">
        <v>573</v>
      </c>
      <c r="H135">
        <v>39</v>
      </c>
      <c r="I135">
        <v>19</v>
      </c>
      <c r="J135" s="17">
        <v>24540.5</v>
      </c>
      <c r="K135">
        <v>10</v>
      </c>
      <c r="L135" s="15">
        <v>13088</v>
      </c>
      <c r="M135">
        <v>7</v>
      </c>
      <c r="N135">
        <v>175</v>
      </c>
      <c r="O135" s="15">
        <v>1080</v>
      </c>
      <c r="P135">
        <f t="shared" si="8"/>
        <v>2024</v>
      </c>
      <c r="Q135">
        <f t="shared" si="9"/>
        <v>5</v>
      </c>
      <c r="R135" t="str">
        <f t="shared" si="7"/>
        <v>主会场</v>
      </c>
      <c r="S135" t="str">
        <f>_xlfn.XLOOKUP(B135,全店核心数据_bymonth!A:A,全店核心数据_bymonth!AN:AN)</f>
        <v>BU25</v>
      </c>
    </row>
    <row r="136" spans="1:19" x14ac:dyDescent="0.3">
      <c r="A136" t="s">
        <v>110</v>
      </c>
      <c r="B136" s="16">
        <v>45413</v>
      </c>
      <c r="C136" t="s">
        <v>3</v>
      </c>
      <c r="D136" t="s">
        <v>114</v>
      </c>
      <c r="E136" t="s">
        <v>160</v>
      </c>
      <c r="F136">
        <v>3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</v>
      </c>
      <c r="P136">
        <f t="shared" si="8"/>
        <v>2024</v>
      </c>
      <c r="Q136">
        <f t="shared" si="9"/>
        <v>5</v>
      </c>
      <c r="R136" t="str">
        <f t="shared" si="7"/>
        <v>榜单会场</v>
      </c>
      <c r="S136" t="str">
        <f>_xlfn.XLOOKUP(B136,全店核心数据_bymonth!A:A,全店核心数据_bymonth!AN:AN)</f>
        <v>BU25</v>
      </c>
    </row>
    <row r="137" spans="1:19" x14ac:dyDescent="0.3">
      <c r="A137" t="s">
        <v>110</v>
      </c>
      <c r="B137" s="16">
        <v>45413</v>
      </c>
      <c r="C137" t="s">
        <v>3</v>
      </c>
      <c r="D137" t="s">
        <v>117</v>
      </c>
      <c r="E137" t="s">
        <v>161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f t="shared" si="8"/>
        <v>2024</v>
      </c>
      <c r="Q137">
        <f t="shared" si="9"/>
        <v>5</v>
      </c>
      <c r="R137" t="str">
        <f t="shared" si="7"/>
        <v>其他入口榜单</v>
      </c>
      <c r="S137" t="str">
        <f>_xlfn.XLOOKUP(B137,全店核心数据_bymonth!A:A,全店核心数据_bymonth!AN:AN)</f>
        <v>BU25</v>
      </c>
    </row>
    <row r="138" spans="1:19" x14ac:dyDescent="0.3">
      <c r="A138" t="s">
        <v>110</v>
      </c>
      <c r="B138" s="16">
        <v>45413</v>
      </c>
      <c r="C138" t="s">
        <v>3</v>
      </c>
      <c r="D138" t="s">
        <v>120</v>
      </c>
      <c r="E138" t="s">
        <v>162</v>
      </c>
      <c r="F138">
        <v>33</v>
      </c>
      <c r="G138">
        <v>31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15</v>
      </c>
      <c r="O138">
        <v>18</v>
      </c>
      <c r="P138">
        <f t="shared" si="8"/>
        <v>2024</v>
      </c>
      <c r="Q138">
        <f t="shared" si="9"/>
        <v>5</v>
      </c>
      <c r="R138" t="str">
        <f t="shared" si="7"/>
        <v>手机浏览器访问天猫</v>
      </c>
      <c r="S138" t="str">
        <f>_xlfn.XLOOKUP(B138,全店核心数据_bymonth!A:A,全店核心数据_bymonth!AN:AN)</f>
        <v>BU25</v>
      </c>
    </row>
    <row r="139" spans="1:19" x14ac:dyDescent="0.3">
      <c r="A139" t="s">
        <v>110</v>
      </c>
      <c r="B139" s="16">
        <v>45413</v>
      </c>
      <c r="C139" t="s">
        <v>3</v>
      </c>
      <c r="D139" t="s">
        <v>120</v>
      </c>
      <c r="E139" t="s">
        <v>163</v>
      </c>
      <c r="F139" s="15">
        <v>1614</v>
      </c>
      <c r="G139" s="15">
        <v>1169</v>
      </c>
      <c r="H139">
        <v>34</v>
      </c>
      <c r="I139">
        <v>0</v>
      </c>
      <c r="J139" s="17">
        <v>142839.19</v>
      </c>
      <c r="K139">
        <v>38</v>
      </c>
      <c r="L139" s="17">
        <v>136746.69</v>
      </c>
      <c r="M139">
        <v>37</v>
      </c>
      <c r="N139">
        <v>482</v>
      </c>
      <c r="O139" s="15">
        <v>1550</v>
      </c>
      <c r="P139">
        <f t="shared" si="8"/>
        <v>2024</v>
      </c>
      <c r="Q139">
        <f t="shared" si="9"/>
        <v>5</v>
      </c>
      <c r="R139" t="str">
        <f t="shared" si="7"/>
        <v>手猫免费其他</v>
      </c>
      <c r="S139" t="str">
        <f>_xlfn.XLOOKUP(B139,全店核心数据_bymonth!A:A,全店核心数据_bymonth!AN:AN)</f>
        <v>BU25</v>
      </c>
    </row>
    <row r="140" spans="1:19" x14ac:dyDescent="0.3">
      <c r="A140" t="s">
        <v>110</v>
      </c>
      <c r="B140" s="16">
        <v>45413</v>
      </c>
      <c r="C140" t="s">
        <v>3</v>
      </c>
      <c r="D140" t="s">
        <v>120</v>
      </c>
      <c r="E140" t="s">
        <v>164</v>
      </c>
      <c r="F140">
        <v>137</v>
      </c>
      <c r="G140">
        <v>92</v>
      </c>
      <c r="H140">
        <v>5</v>
      </c>
      <c r="I140">
        <v>0</v>
      </c>
      <c r="J140" s="15">
        <v>5602</v>
      </c>
      <c r="K140">
        <v>1</v>
      </c>
      <c r="L140" s="15">
        <v>5602</v>
      </c>
      <c r="M140">
        <v>1</v>
      </c>
      <c r="N140">
        <v>0</v>
      </c>
      <c r="O140">
        <v>137</v>
      </c>
      <c r="P140">
        <f t="shared" si="8"/>
        <v>2024</v>
      </c>
      <c r="Q140">
        <f t="shared" si="9"/>
        <v>5</v>
      </c>
      <c r="R140" t="str">
        <f t="shared" si="7"/>
        <v>手猫其他店铺</v>
      </c>
      <c r="S140" t="str">
        <f>_xlfn.XLOOKUP(B140,全店核心数据_bymonth!A:A,全店核心数据_bymonth!AN:AN)</f>
        <v>BU25</v>
      </c>
    </row>
    <row r="141" spans="1:19" x14ac:dyDescent="0.3">
      <c r="A141" t="s">
        <v>110</v>
      </c>
      <c r="B141" s="16">
        <v>45413</v>
      </c>
      <c r="C141" t="s">
        <v>3</v>
      </c>
      <c r="D141" t="s">
        <v>120</v>
      </c>
      <c r="E141" t="s">
        <v>165</v>
      </c>
      <c r="F141">
        <v>523</v>
      </c>
      <c r="G141">
        <v>286</v>
      </c>
      <c r="H141">
        <v>18</v>
      </c>
      <c r="I141">
        <v>0</v>
      </c>
      <c r="J141" s="17">
        <v>62881.03</v>
      </c>
      <c r="K141">
        <v>21</v>
      </c>
      <c r="L141" s="17">
        <v>56755.53</v>
      </c>
      <c r="M141">
        <v>19</v>
      </c>
      <c r="N141">
        <v>108</v>
      </c>
      <c r="O141">
        <v>498</v>
      </c>
      <c r="P141">
        <f t="shared" si="8"/>
        <v>2024</v>
      </c>
      <c r="Q141">
        <f t="shared" si="9"/>
        <v>5</v>
      </c>
      <c r="R141" t="str">
        <f t="shared" si="7"/>
        <v>手猫商品详情</v>
      </c>
      <c r="S141" t="str">
        <f>_xlfn.XLOOKUP(B141,全店核心数据_bymonth!A:A,全店核心数据_bymonth!AN:AN)</f>
        <v>BU25</v>
      </c>
    </row>
    <row r="142" spans="1:19" x14ac:dyDescent="0.3">
      <c r="A142" t="s">
        <v>110</v>
      </c>
      <c r="B142" s="16">
        <v>45413</v>
      </c>
      <c r="C142" t="s">
        <v>3</v>
      </c>
      <c r="D142" t="s">
        <v>120</v>
      </c>
      <c r="E142" t="s">
        <v>166</v>
      </c>
      <c r="F142" s="15">
        <v>1155</v>
      </c>
      <c r="G142">
        <v>951</v>
      </c>
      <c r="H142">
        <v>16</v>
      </c>
      <c r="I142">
        <v>0</v>
      </c>
      <c r="J142" s="17">
        <v>27901.29</v>
      </c>
      <c r="K142">
        <v>12</v>
      </c>
      <c r="L142" s="17">
        <v>27081.29</v>
      </c>
      <c r="M142">
        <v>12</v>
      </c>
      <c r="N142">
        <v>553</v>
      </c>
      <c r="O142">
        <v>916</v>
      </c>
      <c r="P142">
        <f t="shared" si="8"/>
        <v>2024</v>
      </c>
      <c r="Q142">
        <f t="shared" si="9"/>
        <v>5</v>
      </c>
      <c r="R142" t="str">
        <f t="shared" ref="R142:R205" si="10">E142</f>
        <v>手猫搜索</v>
      </c>
      <c r="S142" t="str">
        <f>_xlfn.XLOOKUP(B142,全店核心数据_bymonth!A:A,全店核心数据_bymonth!AN:AN)</f>
        <v>BU25</v>
      </c>
    </row>
    <row r="143" spans="1:19" x14ac:dyDescent="0.3">
      <c r="A143" t="s">
        <v>110</v>
      </c>
      <c r="B143" s="16">
        <v>45413</v>
      </c>
      <c r="C143" t="s">
        <v>3</v>
      </c>
      <c r="D143" t="s">
        <v>120</v>
      </c>
      <c r="E143" t="s">
        <v>167</v>
      </c>
      <c r="F143">
        <v>31</v>
      </c>
      <c r="G143">
        <v>11</v>
      </c>
      <c r="H143">
        <v>0</v>
      </c>
      <c r="I143">
        <v>0</v>
      </c>
      <c r="J143" s="15">
        <v>11980</v>
      </c>
      <c r="K143">
        <v>5</v>
      </c>
      <c r="L143" s="15">
        <v>11980</v>
      </c>
      <c r="M143">
        <v>5</v>
      </c>
      <c r="N143">
        <v>11</v>
      </c>
      <c r="O143">
        <v>26</v>
      </c>
      <c r="P143">
        <f t="shared" ref="P143:P206" si="11">YEAR(B143)</f>
        <v>2024</v>
      </c>
      <c r="Q143">
        <f t="shared" ref="Q143:Q206" si="12">MONTH(B143)</f>
        <v>5</v>
      </c>
      <c r="R143" t="str">
        <f t="shared" si="10"/>
        <v>手猫旺信聊天</v>
      </c>
      <c r="S143" t="str">
        <f>_xlfn.XLOOKUP(B143,全店核心数据_bymonth!A:A,全店核心数据_bymonth!AN:AN)</f>
        <v>BU25</v>
      </c>
    </row>
    <row r="144" spans="1:19" x14ac:dyDescent="0.3">
      <c r="A144" t="s">
        <v>110</v>
      </c>
      <c r="B144" s="16">
        <v>45413</v>
      </c>
      <c r="C144" t="s">
        <v>3</v>
      </c>
      <c r="D144" t="s">
        <v>120</v>
      </c>
      <c r="E144" t="s">
        <v>168</v>
      </c>
      <c r="F144" s="15">
        <v>6003</v>
      </c>
      <c r="G144" s="15">
        <v>5194</v>
      </c>
      <c r="H144">
        <v>39</v>
      </c>
      <c r="I144">
        <v>0</v>
      </c>
      <c r="J144" s="17">
        <v>77026.17</v>
      </c>
      <c r="K144">
        <v>32</v>
      </c>
      <c r="L144" s="17">
        <v>65938.17</v>
      </c>
      <c r="M144">
        <v>29</v>
      </c>
      <c r="N144">
        <v>321</v>
      </c>
      <c r="O144" s="15">
        <v>6003</v>
      </c>
      <c r="P144">
        <f t="shared" si="11"/>
        <v>2024</v>
      </c>
      <c r="Q144">
        <f t="shared" si="12"/>
        <v>5</v>
      </c>
      <c r="R144" t="str">
        <f t="shared" si="10"/>
        <v>手猫首页</v>
      </c>
      <c r="S144" t="str">
        <f>_xlfn.XLOOKUP(B144,全店核心数据_bymonth!A:A,全店核心数据_bymonth!AN:AN)</f>
        <v>BU25</v>
      </c>
    </row>
    <row r="145" spans="1:19" x14ac:dyDescent="0.3">
      <c r="A145" t="s">
        <v>110</v>
      </c>
      <c r="B145" s="16">
        <v>45413</v>
      </c>
      <c r="C145" t="s">
        <v>3</v>
      </c>
      <c r="D145" t="s">
        <v>123</v>
      </c>
      <c r="E145" t="s">
        <v>169</v>
      </c>
      <c r="F145" s="15">
        <v>3047</v>
      </c>
      <c r="G145" s="15">
        <v>1674</v>
      </c>
      <c r="H145">
        <v>235</v>
      </c>
      <c r="I145">
        <v>77</v>
      </c>
      <c r="J145" s="17">
        <v>199499.85</v>
      </c>
      <c r="K145">
        <v>64</v>
      </c>
      <c r="L145" s="17">
        <v>144272.85</v>
      </c>
      <c r="M145">
        <v>53</v>
      </c>
      <c r="N145" s="15">
        <v>1057</v>
      </c>
      <c r="O145" s="15">
        <v>2768</v>
      </c>
      <c r="P145">
        <f t="shared" si="11"/>
        <v>2024</v>
      </c>
      <c r="Q145">
        <f t="shared" si="12"/>
        <v>5</v>
      </c>
      <c r="R145" t="str">
        <f t="shared" si="10"/>
        <v>商品详情页头图推荐</v>
      </c>
      <c r="S145" t="str">
        <f>_xlfn.XLOOKUP(B145,全店核心数据_bymonth!A:A,全店核心数据_bymonth!AN:AN)</f>
        <v>BU25</v>
      </c>
    </row>
    <row r="146" spans="1:19" x14ac:dyDescent="0.3">
      <c r="A146" t="s">
        <v>110</v>
      </c>
      <c r="B146" s="16">
        <v>45413</v>
      </c>
      <c r="C146" t="s">
        <v>3</v>
      </c>
      <c r="D146" t="s">
        <v>123</v>
      </c>
      <c r="E146" t="s">
        <v>170</v>
      </c>
      <c r="F146">
        <v>716</v>
      </c>
      <c r="G146">
        <v>501</v>
      </c>
      <c r="H146">
        <v>48</v>
      </c>
      <c r="I146">
        <v>5</v>
      </c>
      <c r="J146" s="15">
        <v>81575</v>
      </c>
      <c r="K146">
        <v>15</v>
      </c>
      <c r="L146" s="15">
        <v>77925</v>
      </c>
      <c r="M146">
        <v>14</v>
      </c>
      <c r="N146">
        <v>626</v>
      </c>
      <c r="O146">
        <v>324</v>
      </c>
      <c r="P146">
        <f t="shared" si="11"/>
        <v>2024</v>
      </c>
      <c r="Q146">
        <f t="shared" si="12"/>
        <v>5</v>
      </c>
      <c r="R146" t="str">
        <f t="shared" si="10"/>
        <v>店铺超链</v>
      </c>
      <c r="S146" t="str">
        <f>_xlfn.XLOOKUP(B146,全店核心数据_bymonth!A:A,全店核心数据_bymonth!AN:AN)</f>
        <v>BU25</v>
      </c>
    </row>
    <row r="147" spans="1:19" x14ac:dyDescent="0.3">
      <c r="A147" t="s">
        <v>110</v>
      </c>
      <c r="B147" s="16">
        <v>45413</v>
      </c>
      <c r="C147" t="s">
        <v>3</v>
      </c>
      <c r="D147" t="s">
        <v>127</v>
      </c>
      <c r="E147" t="s">
        <v>171</v>
      </c>
      <c r="F147" s="15">
        <v>5079</v>
      </c>
      <c r="G147" s="15">
        <v>3677</v>
      </c>
      <c r="H147">
        <v>222</v>
      </c>
      <c r="I147">
        <v>89</v>
      </c>
      <c r="J147" s="17">
        <v>120995.98</v>
      </c>
      <c r="K147">
        <v>44</v>
      </c>
      <c r="L147" s="17">
        <v>105457.98</v>
      </c>
      <c r="M147">
        <v>39</v>
      </c>
      <c r="N147" s="15">
        <v>2055</v>
      </c>
      <c r="O147" s="15">
        <v>4055</v>
      </c>
      <c r="P147">
        <f t="shared" si="11"/>
        <v>2024</v>
      </c>
      <c r="Q147">
        <f t="shared" si="12"/>
        <v>5</v>
      </c>
      <c r="R147" t="str">
        <f t="shared" si="10"/>
        <v>其他猜你喜欢</v>
      </c>
      <c r="S147" t="str">
        <f>_xlfn.XLOOKUP(B147,全店核心数据_bymonth!A:A,全店核心数据_bymonth!AN:AN)</f>
        <v>BU25</v>
      </c>
    </row>
    <row r="148" spans="1:19" x14ac:dyDescent="0.3">
      <c r="A148" t="s">
        <v>110</v>
      </c>
      <c r="B148" s="16">
        <v>45413</v>
      </c>
      <c r="C148" t="s">
        <v>3</v>
      </c>
      <c r="D148" t="s">
        <v>127</v>
      </c>
      <c r="E148" t="s">
        <v>172</v>
      </c>
      <c r="F148">
        <v>85</v>
      </c>
      <c r="G148">
        <v>49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13</v>
      </c>
      <c r="O148">
        <v>67</v>
      </c>
      <c r="P148">
        <f t="shared" si="11"/>
        <v>2024</v>
      </c>
      <c r="Q148">
        <f t="shared" si="12"/>
        <v>5</v>
      </c>
      <c r="R148" t="str">
        <f t="shared" si="10"/>
        <v>购中推荐</v>
      </c>
      <c r="S148" t="str">
        <f>_xlfn.XLOOKUP(B148,全店核心数据_bymonth!A:A,全店核心数据_bymonth!AN:AN)</f>
        <v>BU25</v>
      </c>
    </row>
    <row r="149" spans="1:19" x14ac:dyDescent="0.3">
      <c r="A149" t="s">
        <v>110</v>
      </c>
      <c r="B149" s="16">
        <v>45413</v>
      </c>
      <c r="C149" t="s">
        <v>3</v>
      </c>
      <c r="D149" t="s">
        <v>127</v>
      </c>
      <c r="E149" t="s">
        <v>173</v>
      </c>
      <c r="F149" s="15">
        <v>1620</v>
      </c>
      <c r="G149" s="15">
        <v>1388</v>
      </c>
      <c r="H149">
        <v>8</v>
      </c>
      <c r="I149">
        <v>4</v>
      </c>
      <c r="J149" s="17">
        <v>3845.5</v>
      </c>
      <c r="K149">
        <v>2</v>
      </c>
      <c r="L149" s="17">
        <v>3845.5</v>
      </c>
      <c r="M149">
        <v>2</v>
      </c>
      <c r="N149">
        <v>964</v>
      </c>
      <c r="O149">
        <v>461</v>
      </c>
      <c r="P149">
        <f t="shared" si="11"/>
        <v>2024</v>
      </c>
      <c r="Q149">
        <f t="shared" si="12"/>
        <v>5</v>
      </c>
      <c r="R149" t="str">
        <f t="shared" si="10"/>
        <v>购后推荐</v>
      </c>
      <c r="S149" t="str">
        <f>_xlfn.XLOOKUP(B149,全店核心数据_bymonth!A:A,全店核心数据_bymonth!AN:AN)</f>
        <v>BU25</v>
      </c>
    </row>
    <row r="150" spans="1:19" x14ac:dyDescent="0.3">
      <c r="A150" t="s">
        <v>110</v>
      </c>
      <c r="B150" s="16">
        <v>45413</v>
      </c>
      <c r="C150" t="s">
        <v>3</v>
      </c>
      <c r="D150" t="s">
        <v>127</v>
      </c>
      <c r="E150" t="s">
        <v>174</v>
      </c>
      <c r="F150" s="15">
        <v>35144</v>
      </c>
      <c r="G150" s="15">
        <v>29431</v>
      </c>
      <c r="H150" s="15">
        <v>1148</v>
      </c>
      <c r="I150">
        <v>496</v>
      </c>
      <c r="J150" s="17">
        <v>519183.57</v>
      </c>
      <c r="K150">
        <v>212</v>
      </c>
      <c r="L150" s="17">
        <v>395190.06</v>
      </c>
      <c r="M150">
        <v>167</v>
      </c>
      <c r="N150" s="15">
        <v>4628</v>
      </c>
      <c r="O150" s="15">
        <v>35144</v>
      </c>
      <c r="P150">
        <f t="shared" si="11"/>
        <v>2024</v>
      </c>
      <c r="Q150">
        <f t="shared" si="12"/>
        <v>5</v>
      </c>
      <c r="R150" t="str">
        <f t="shared" si="10"/>
        <v>首页推荐-微详情</v>
      </c>
      <c r="S150" t="str">
        <f>_xlfn.XLOOKUP(B150,全店核心数据_bymonth!A:A,全店核心数据_bymonth!AN:AN)</f>
        <v>BU25</v>
      </c>
    </row>
    <row r="151" spans="1:19" x14ac:dyDescent="0.3">
      <c r="A151" t="s">
        <v>110</v>
      </c>
      <c r="B151" s="16">
        <v>45413</v>
      </c>
      <c r="C151" t="s">
        <v>3</v>
      </c>
      <c r="D151" t="s">
        <v>127</v>
      </c>
      <c r="E151" t="s">
        <v>175</v>
      </c>
      <c r="F151" s="15">
        <v>46044</v>
      </c>
      <c r="G151" s="15">
        <v>45299</v>
      </c>
      <c r="H151">
        <v>5</v>
      </c>
      <c r="I151">
        <v>3</v>
      </c>
      <c r="J151" s="17">
        <v>6088.5</v>
      </c>
      <c r="K151">
        <v>3</v>
      </c>
      <c r="L151" s="17">
        <v>3600.5</v>
      </c>
      <c r="M151">
        <v>2</v>
      </c>
      <c r="N151">
        <v>25</v>
      </c>
      <c r="O151">
        <v>180</v>
      </c>
      <c r="P151">
        <f t="shared" si="11"/>
        <v>2024</v>
      </c>
      <c r="Q151">
        <f t="shared" si="12"/>
        <v>5</v>
      </c>
      <c r="R151" t="str">
        <f t="shared" si="10"/>
        <v>首页推荐-直播</v>
      </c>
      <c r="S151" t="str">
        <f>_xlfn.XLOOKUP(B151,全店核心数据_bymonth!A:A,全店核心数据_bymonth!AN:AN)</f>
        <v>BU25</v>
      </c>
    </row>
    <row r="152" spans="1:19" x14ac:dyDescent="0.3">
      <c r="A152" t="s">
        <v>110</v>
      </c>
      <c r="B152" s="16">
        <v>45413</v>
      </c>
      <c r="C152" t="s">
        <v>3</v>
      </c>
      <c r="D152" t="s">
        <v>127</v>
      </c>
      <c r="E152" t="s">
        <v>176</v>
      </c>
      <c r="F152">
        <v>811</v>
      </c>
      <c r="G152">
        <v>611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5</v>
      </c>
      <c r="P152">
        <f t="shared" si="11"/>
        <v>2024</v>
      </c>
      <c r="Q152">
        <f t="shared" si="12"/>
        <v>5</v>
      </c>
      <c r="R152" t="str">
        <f t="shared" si="10"/>
        <v>首页推荐-短视频</v>
      </c>
      <c r="S152" t="str">
        <f>_xlfn.XLOOKUP(B152,全店核心数据_bymonth!A:A,全店核心数据_bymonth!AN:AN)</f>
        <v>BU25</v>
      </c>
    </row>
    <row r="153" spans="1:19" x14ac:dyDescent="0.3">
      <c r="A153" t="s">
        <v>110</v>
      </c>
      <c r="B153" s="16">
        <v>45413</v>
      </c>
      <c r="C153" t="s">
        <v>3</v>
      </c>
      <c r="D153" t="s">
        <v>128</v>
      </c>
      <c r="E153" t="s">
        <v>177</v>
      </c>
      <c r="F153" s="15">
        <v>15679</v>
      </c>
      <c r="G153" s="15">
        <v>13440</v>
      </c>
      <c r="H153">
        <v>903</v>
      </c>
      <c r="I153">
        <v>204</v>
      </c>
      <c r="J153" s="17">
        <v>751077.01</v>
      </c>
      <c r="K153">
        <v>227</v>
      </c>
      <c r="L153" s="17">
        <v>612320.28</v>
      </c>
      <c r="M153">
        <v>203</v>
      </c>
      <c r="N153" s="15">
        <v>5675</v>
      </c>
      <c r="O153" s="15">
        <v>13211</v>
      </c>
      <c r="P153">
        <f t="shared" si="11"/>
        <v>2024</v>
      </c>
      <c r="Q153">
        <f t="shared" si="12"/>
        <v>5</v>
      </c>
      <c r="R153" t="str">
        <f t="shared" si="10"/>
        <v>手淘搜索-商品及其他</v>
      </c>
      <c r="S153" t="str">
        <f>_xlfn.XLOOKUP(B153,全店核心数据_bymonth!A:A,全店核心数据_bymonth!AN:AN)</f>
        <v>BU25</v>
      </c>
    </row>
    <row r="154" spans="1:19" x14ac:dyDescent="0.3">
      <c r="A154" t="s">
        <v>110</v>
      </c>
      <c r="B154" s="16">
        <v>45413</v>
      </c>
      <c r="C154" t="s">
        <v>3</v>
      </c>
      <c r="D154" t="s">
        <v>128</v>
      </c>
      <c r="E154" t="s">
        <v>178</v>
      </c>
      <c r="F154">
        <v>195</v>
      </c>
      <c r="G154">
        <v>129</v>
      </c>
      <c r="H154">
        <v>9</v>
      </c>
      <c r="I154">
        <v>0</v>
      </c>
      <c r="J154" s="17">
        <v>7171.33</v>
      </c>
      <c r="K154">
        <v>2</v>
      </c>
      <c r="L154" s="17">
        <v>4376.33</v>
      </c>
      <c r="M154">
        <v>2</v>
      </c>
      <c r="N154">
        <v>15</v>
      </c>
      <c r="O154">
        <v>113</v>
      </c>
      <c r="P154">
        <f t="shared" si="11"/>
        <v>2024</v>
      </c>
      <c r="Q154">
        <f t="shared" si="12"/>
        <v>5</v>
      </c>
      <c r="R154" t="str">
        <f t="shared" si="10"/>
        <v>手淘搜索-直播</v>
      </c>
      <c r="S154" t="str">
        <f>_xlfn.XLOOKUP(B154,全店核心数据_bymonth!A:A,全店核心数据_bymonth!AN:AN)</f>
        <v>BU25</v>
      </c>
    </row>
    <row r="155" spans="1:19" x14ac:dyDescent="0.3">
      <c r="A155" t="s">
        <v>110</v>
      </c>
      <c r="B155" s="16">
        <v>45413</v>
      </c>
      <c r="C155" t="s">
        <v>3</v>
      </c>
      <c r="D155" t="s">
        <v>128</v>
      </c>
      <c r="E155" t="s">
        <v>179</v>
      </c>
      <c r="F155">
        <v>366</v>
      </c>
      <c r="G155">
        <v>223</v>
      </c>
      <c r="H155">
        <v>8</v>
      </c>
      <c r="I155">
        <v>2</v>
      </c>
      <c r="J155" s="15">
        <v>9765</v>
      </c>
      <c r="K155">
        <v>4</v>
      </c>
      <c r="L155" s="15">
        <v>8085</v>
      </c>
      <c r="M155">
        <v>4</v>
      </c>
      <c r="N155">
        <v>40</v>
      </c>
      <c r="O155">
        <v>86</v>
      </c>
      <c r="P155">
        <f t="shared" si="11"/>
        <v>2024</v>
      </c>
      <c r="Q155">
        <f t="shared" si="12"/>
        <v>5</v>
      </c>
      <c r="R155" t="str">
        <f t="shared" si="10"/>
        <v>手淘搜索-短视频</v>
      </c>
      <c r="S155" t="str">
        <f>_xlfn.XLOOKUP(B155,全店核心数据_bymonth!A:A,全店核心数据_bymonth!AN:AN)</f>
        <v>BU25</v>
      </c>
    </row>
    <row r="156" spans="1:19" x14ac:dyDescent="0.3">
      <c r="A156" t="s">
        <v>110</v>
      </c>
      <c r="B156" s="16">
        <v>45413</v>
      </c>
      <c r="C156" t="s">
        <v>3</v>
      </c>
      <c r="D156" t="s">
        <v>143</v>
      </c>
      <c r="E156" t="s">
        <v>180</v>
      </c>
      <c r="F156">
        <v>304</v>
      </c>
      <c r="G156">
        <v>301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6</v>
      </c>
      <c r="O156">
        <v>304</v>
      </c>
      <c r="P156">
        <f t="shared" si="11"/>
        <v>2024</v>
      </c>
      <c r="Q156">
        <f t="shared" si="12"/>
        <v>5</v>
      </c>
      <c r="R156" t="str">
        <f t="shared" si="10"/>
        <v>淘特其他渠道</v>
      </c>
      <c r="S156" t="str">
        <f>_xlfn.XLOOKUP(B156,全店核心数据_bymonth!A:A,全店核心数据_bymonth!AN:AN)</f>
        <v>BU25</v>
      </c>
    </row>
    <row r="157" spans="1:19" x14ac:dyDescent="0.3">
      <c r="A157" t="s">
        <v>110</v>
      </c>
      <c r="B157" s="16">
        <v>45413</v>
      </c>
      <c r="C157" t="s">
        <v>3</v>
      </c>
      <c r="D157" t="s">
        <v>143</v>
      </c>
      <c r="E157" t="s">
        <v>181</v>
      </c>
      <c r="F157">
        <v>12</v>
      </c>
      <c r="G157">
        <v>12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12</v>
      </c>
      <c r="P157">
        <f t="shared" si="11"/>
        <v>2024</v>
      </c>
      <c r="Q157">
        <f t="shared" si="12"/>
        <v>5</v>
      </c>
      <c r="R157" t="str">
        <f t="shared" si="10"/>
        <v>淘特搜索</v>
      </c>
      <c r="S157" t="str">
        <f>_xlfn.XLOOKUP(B157,全店核心数据_bymonth!A:A,全店核心数据_bymonth!AN:AN)</f>
        <v>BU25</v>
      </c>
    </row>
    <row r="158" spans="1:19" x14ac:dyDescent="0.3">
      <c r="A158" t="s">
        <v>110</v>
      </c>
      <c r="B158" s="16">
        <v>45413</v>
      </c>
      <c r="C158" t="s">
        <v>3</v>
      </c>
      <c r="D158" t="s">
        <v>157</v>
      </c>
      <c r="E158" t="s">
        <v>182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f t="shared" si="11"/>
        <v>2024</v>
      </c>
      <c r="Q158">
        <f t="shared" si="12"/>
        <v>5</v>
      </c>
      <c r="R158" t="str">
        <f t="shared" si="10"/>
        <v>飞猪其他</v>
      </c>
      <c r="S158" t="str">
        <f>_xlfn.XLOOKUP(B158,全店核心数据_bymonth!A:A,全店核心数据_bymonth!AN:AN)</f>
        <v>BU25</v>
      </c>
    </row>
    <row r="159" spans="1:19" x14ac:dyDescent="0.3">
      <c r="A159" t="s">
        <v>110</v>
      </c>
      <c r="B159" s="16">
        <v>45413</v>
      </c>
      <c r="C159" t="s">
        <v>2</v>
      </c>
      <c r="D159" t="s">
        <v>55</v>
      </c>
      <c r="E159" t="s">
        <v>66</v>
      </c>
      <c r="F159">
        <v>10</v>
      </c>
      <c r="G159">
        <v>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f t="shared" si="11"/>
        <v>2024</v>
      </c>
      <c r="Q159">
        <f t="shared" si="12"/>
        <v>5</v>
      </c>
      <c r="R159" t="str">
        <f t="shared" si="10"/>
        <v>短直联动</v>
      </c>
      <c r="S159" t="str">
        <f>_xlfn.XLOOKUP(B159,全店核心数据_bymonth!A:A,全店核心数据_bymonth!AN:AN)</f>
        <v>BU25</v>
      </c>
    </row>
    <row r="160" spans="1:19" x14ac:dyDescent="0.3">
      <c r="A160" t="s">
        <v>110</v>
      </c>
      <c r="B160" s="16">
        <v>45413</v>
      </c>
      <c r="C160" t="s">
        <v>2</v>
      </c>
      <c r="D160" t="s">
        <v>55</v>
      </c>
      <c r="E160" t="s">
        <v>54</v>
      </c>
      <c r="F160" s="15">
        <v>85426</v>
      </c>
      <c r="G160" s="15">
        <v>78561</v>
      </c>
      <c r="H160">
        <v>33</v>
      </c>
      <c r="I160">
        <v>15</v>
      </c>
      <c r="J160">
        <v>0</v>
      </c>
      <c r="K160">
        <v>0</v>
      </c>
      <c r="L160">
        <v>0</v>
      </c>
      <c r="M160">
        <v>0</v>
      </c>
      <c r="N160">
        <v>211</v>
      </c>
      <c r="O160" s="15">
        <v>29502</v>
      </c>
      <c r="P160">
        <f t="shared" si="11"/>
        <v>2024</v>
      </c>
      <c r="Q160">
        <f t="shared" si="12"/>
        <v>5</v>
      </c>
      <c r="R160" t="str">
        <f t="shared" si="10"/>
        <v>超级直播</v>
      </c>
      <c r="S160" t="str">
        <f>_xlfn.XLOOKUP(B160,全店核心数据_bymonth!A:A,全店核心数据_bymonth!AN:AN)</f>
        <v>BU25</v>
      </c>
    </row>
    <row r="161" spans="1:19" x14ac:dyDescent="0.3">
      <c r="A161" t="s">
        <v>110</v>
      </c>
      <c r="B161" s="16">
        <v>45413</v>
      </c>
      <c r="C161" t="s">
        <v>2</v>
      </c>
      <c r="D161" t="s">
        <v>55</v>
      </c>
      <c r="E161" t="s">
        <v>56</v>
      </c>
      <c r="F161">
        <v>4</v>
      </c>
      <c r="G161">
        <v>2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f t="shared" si="11"/>
        <v>2024</v>
      </c>
      <c r="Q161">
        <f t="shared" si="12"/>
        <v>5</v>
      </c>
      <c r="R161" t="str">
        <f t="shared" si="10"/>
        <v>超级短视频</v>
      </c>
      <c r="S161" t="str">
        <f>_xlfn.XLOOKUP(B161,全店核心数据_bymonth!A:A,全店核心数据_bymonth!AN:AN)</f>
        <v>BU25</v>
      </c>
    </row>
    <row r="162" spans="1:19" x14ac:dyDescent="0.3">
      <c r="A162" t="s">
        <v>110</v>
      </c>
      <c r="B162" s="16">
        <v>45413</v>
      </c>
      <c r="C162" t="s">
        <v>2</v>
      </c>
      <c r="D162" t="s">
        <v>52</v>
      </c>
      <c r="E162" t="s">
        <v>53</v>
      </c>
      <c r="F162" s="15">
        <v>14007</v>
      </c>
      <c r="G162" s="15">
        <v>12445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s="15">
        <v>14007</v>
      </c>
      <c r="O162" s="15">
        <v>1897</v>
      </c>
      <c r="P162">
        <f t="shared" si="11"/>
        <v>2024</v>
      </c>
      <c r="Q162">
        <f t="shared" si="12"/>
        <v>5</v>
      </c>
      <c r="R162" t="str">
        <f t="shared" si="10"/>
        <v>Showmax</v>
      </c>
      <c r="S162" t="str">
        <f>_xlfn.XLOOKUP(B162,全店核心数据_bymonth!A:A,全店核心数据_bymonth!AN:AN)</f>
        <v>BU25</v>
      </c>
    </row>
    <row r="163" spans="1:19" x14ac:dyDescent="0.3">
      <c r="A163" t="s">
        <v>110</v>
      </c>
      <c r="B163" s="16">
        <v>45413</v>
      </c>
      <c r="C163" t="s">
        <v>2</v>
      </c>
      <c r="D163" t="s">
        <v>52</v>
      </c>
      <c r="E163" t="s">
        <v>51</v>
      </c>
      <c r="F163">
        <v>5</v>
      </c>
      <c r="G163">
        <v>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1</v>
      </c>
      <c r="P163">
        <f t="shared" si="11"/>
        <v>2024</v>
      </c>
      <c r="Q163">
        <f t="shared" si="12"/>
        <v>5</v>
      </c>
      <c r="R163" t="str">
        <f t="shared" si="10"/>
        <v>品牌定制</v>
      </c>
      <c r="S163" t="str">
        <f>_xlfn.XLOOKUP(B163,全店核心数据_bymonth!A:A,全店核心数据_bymonth!AN:AN)</f>
        <v>BU25</v>
      </c>
    </row>
    <row r="164" spans="1:19" x14ac:dyDescent="0.3">
      <c r="A164" t="s">
        <v>110</v>
      </c>
      <c r="B164" s="16">
        <v>45413</v>
      </c>
      <c r="C164" t="s">
        <v>2</v>
      </c>
      <c r="D164" t="s">
        <v>52</v>
      </c>
      <c r="E164" t="s">
        <v>59</v>
      </c>
      <c r="F164" s="15">
        <v>18966</v>
      </c>
      <c r="G164" s="15">
        <v>16440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s="15">
        <v>18966</v>
      </c>
      <c r="O164" s="15">
        <v>3767</v>
      </c>
      <c r="P164">
        <f t="shared" si="11"/>
        <v>2024</v>
      </c>
      <c r="Q164">
        <f t="shared" si="12"/>
        <v>5</v>
      </c>
      <c r="R164" t="str">
        <f t="shared" si="10"/>
        <v>品牌特秀</v>
      </c>
      <c r="S164" t="str">
        <f>_xlfn.XLOOKUP(B164,全店核心数据_bymonth!A:A,全店核心数据_bymonth!AN:AN)</f>
        <v>BU25</v>
      </c>
    </row>
    <row r="165" spans="1:19" x14ac:dyDescent="0.3">
      <c r="A165" t="s">
        <v>110</v>
      </c>
      <c r="B165" s="16">
        <v>45413</v>
      </c>
      <c r="C165" t="s">
        <v>2</v>
      </c>
      <c r="D165" t="s">
        <v>52</v>
      </c>
      <c r="E165" t="s">
        <v>183</v>
      </c>
      <c r="F165" s="15">
        <v>20721</v>
      </c>
      <c r="G165" s="15">
        <v>19122</v>
      </c>
      <c r="H165">
        <v>461</v>
      </c>
      <c r="I165">
        <v>155</v>
      </c>
      <c r="J165" s="15">
        <v>529123</v>
      </c>
      <c r="K165">
        <v>104</v>
      </c>
      <c r="L165" s="17">
        <v>352213.5</v>
      </c>
      <c r="M165">
        <v>93</v>
      </c>
      <c r="N165" s="15">
        <v>20721</v>
      </c>
      <c r="O165" s="15">
        <v>10917</v>
      </c>
      <c r="P165">
        <f t="shared" si="11"/>
        <v>2024</v>
      </c>
      <c r="Q165">
        <f t="shared" si="12"/>
        <v>5</v>
      </c>
      <c r="R165" t="str">
        <f t="shared" si="10"/>
        <v>品销宝-品牌专区</v>
      </c>
      <c r="S165" t="str">
        <f>_xlfn.XLOOKUP(B165,全店核心数据_bymonth!A:A,全店核心数据_bymonth!AN:AN)</f>
        <v>BU25</v>
      </c>
    </row>
    <row r="166" spans="1:19" x14ac:dyDescent="0.3">
      <c r="A166" t="s">
        <v>110</v>
      </c>
      <c r="B166" s="16">
        <v>45413</v>
      </c>
      <c r="C166" t="s">
        <v>2</v>
      </c>
      <c r="D166" t="s">
        <v>52</v>
      </c>
      <c r="E166" t="s">
        <v>58</v>
      </c>
      <c r="F166">
        <v>4</v>
      </c>
      <c r="G166">
        <v>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f t="shared" si="11"/>
        <v>2024</v>
      </c>
      <c r="Q166">
        <f t="shared" si="12"/>
        <v>5</v>
      </c>
      <c r="R166" t="str">
        <f t="shared" si="10"/>
        <v>超级全域通</v>
      </c>
      <c r="S166" t="str">
        <f>_xlfn.XLOOKUP(B166,全店核心数据_bymonth!A:A,全店核心数据_bymonth!AN:AN)</f>
        <v>BU25</v>
      </c>
    </row>
    <row r="167" spans="1:19" x14ac:dyDescent="0.3">
      <c r="A167" t="s">
        <v>110</v>
      </c>
      <c r="B167" s="16">
        <v>45413</v>
      </c>
      <c r="C167" t="s">
        <v>2</v>
      </c>
      <c r="D167" t="s">
        <v>4</v>
      </c>
      <c r="E167" t="s">
        <v>42</v>
      </c>
      <c r="F167">
        <v>4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</v>
      </c>
      <c r="P167">
        <f t="shared" si="11"/>
        <v>2024</v>
      </c>
      <c r="Q167">
        <f t="shared" si="12"/>
        <v>5</v>
      </c>
      <c r="R167" t="str">
        <f t="shared" si="10"/>
        <v>UD效果投放</v>
      </c>
      <c r="S167" t="str">
        <f>_xlfn.XLOOKUP(B167,全店核心数据_bymonth!A:A,全店核心数据_bymonth!AN:AN)</f>
        <v>BU25</v>
      </c>
    </row>
    <row r="168" spans="1:19" x14ac:dyDescent="0.3">
      <c r="A168" t="s">
        <v>110</v>
      </c>
      <c r="B168" s="16">
        <v>45413</v>
      </c>
      <c r="C168" t="s">
        <v>2</v>
      </c>
      <c r="D168" t="s">
        <v>4</v>
      </c>
      <c r="E168" t="s">
        <v>41</v>
      </c>
      <c r="F168">
        <v>79</v>
      </c>
      <c r="G168">
        <v>48</v>
      </c>
      <c r="H168">
        <v>4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16</v>
      </c>
      <c r="O168">
        <v>52</v>
      </c>
      <c r="P168">
        <f t="shared" si="11"/>
        <v>2024</v>
      </c>
      <c r="Q168">
        <f t="shared" si="12"/>
        <v>5</v>
      </c>
      <c r="R168" t="str">
        <f t="shared" si="10"/>
        <v>流量宝</v>
      </c>
      <c r="S168" t="str">
        <f>_xlfn.XLOOKUP(B168,全店核心数据_bymonth!A:A,全店核心数据_bymonth!AN:AN)</f>
        <v>BU25</v>
      </c>
    </row>
    <row r="169" spans="1:19" x14ac:dyDescent="0.3">
      <c r="A169" t="s">
        <v>110</v>
      </c>
      <c r="B169" s="16">
        <v>45413</v>
      </c>
      <c r="C169" t="s">
        <v>2</v>
      </c>
      <c r="D169" t="s">
        <v>4</v>
      </c>
      <c r="E169" t="s">
        <v>43</v>
      </c>
      <c r="F169" s="15">
        <v>4923</v>
      </c>
      <c r="G169" s="15">
        <v>2691</v>
      </c>
      <c r="H169">
        <v>40</v>
      </c>
      <c r="I169">
        <v>11</v>
      </c>
      <c r="J169" s="17">
        <v>154077.32999999999</v>
      </c>
      <c r="K169">
        <v>41</v>
      </c>
      <c r="L169" s="17">
        <v>144705.32999999999</v>
      </c>
      <c r="M169">
        <v>40</v>
      </c>
      <c r="N169">
        <v>332</v>
      </c>
      <c r="O169" s="15">
        <v>4588</v>
      </c>
      <c r="P169">
        <f t="shared" si="11"/>
        <v>2024</v>
      </c>
      <c r="Q169">
        <f t="shared" si="12"/>
        <v>5</v>
      </c>
      <c r="R169" t="str">
        <f t="shared" si="10"/>
        <v>淘宝客</v>
      </c>
      <c r="S169" t="str">
        <f>_xlfn.XLOOKUP(B169,全店核心数据_bymonth!A:A,全店核心数据_bymonth!AN:AN)</f>
        <v>BU25</v>
      </c>
    </row>
    <row r="170" spans="1:19" x14ac:dyDescent="0.3">
      <c r="A170" t="s">
        <v>110</v>
      </c>
      <c r="B170" s="16">
        <v>45413</v>
      </c>
      <c r="C170" t="s">
        <v>2</v>
      </c>
      <c r="D170" t="s">
        <v>57</v>
      </c>
      <c r="E170" t="s">
        <v>65</v>
      </c>
      <c r="F170" s="15">
        <v>80160</v>
      </c>
      <c r="G170" s="15">
        <v>74634</v>
      </c>
      <c r="H170" s="15">
        <v>1557</v>
      </c>
      <c r="I170">
        <v>592</v>
      </c>
      <c r="J170" s="17">
        <v>1836325.5</v>
      </c>
      <c r="K170">
        <v>404</v>
      </c>
      <c r="L170" s="17">
        <v>1184411.54</v>
      </c>
      <c r="M170">
        <v>324</v>
      </c>
      <c r="N170" s="15">
        <v>7700</v>
      </c>
      <c r="O170" s="15">
        <v>79386</v>
      </c>
      <c r="P170">
        <f t="shared" si="11"/>
        <v>2024</v>
      </c>
      <c r="Q170">
        <f t="shared" si="12"/>
        <v>5</v>
      </c>
      <c r="R170" t="str">
        <f t="shared" si="10"/>
        <v>直通车</v>
      </c>
      <c r="S170" t="str">
        <f>_xlfn.XLOOKUP(B170,全店核心数据_bymonth!A:A,全店核心数据_bymonth!AN:AN)</f>
        <v>BU25</v>
      </c>
    </row>
    <row r="171" spans="1:19" x14ac:dyDescent="0.3">
      <c r="A171" t="s">
        <v>110</v>
      </c>
      <c r="B171" s="16">
        <v>45413</v>
      </c>
      <c r="C171" t="s">
        <v>2</v>
      </c>
      <c r="D171" t="s">
        <v>57</v>
      </c>
      <c r="E171" t="s">
        <v>63</v>
      </c>
      <c r="F171" s="15">
        <v>52506</v>
      </c>
      <c r="G171" s="15">
        <v>44246</v>
      </c>
      <c r="H171" s="15">
        <v>1389</v>
      </c>
      <c r="I171">
        <v>463</v>
      </c>
      <c r="J171" s="17">
        <v>1653072.84</v>
      </c>
      <c r="K171">
        <v>459</v>
      </c>
      <c r="L171" s="17">
        <v>1330716.0900000001</v>
      </c>
      <c r="M171">
        <v>399</v>
      </c>
      <c r="N171" s="15">
        <v>4408</v>
      </c>
      <c r="O171" s="15">
        <v>51959</v>
      </c>
      <c r="P171">
        <f t="shared" si="11"/>
        <v>2024</v>
      </c>
      <c r="Q171">
        <f t="shared" si="12"/>
        <v>5</v>
      </c>
      <c r="R171" t="str">
        <f t="shared" si="10"/>
        <v>万相台</v>
      </c>
      <c r="S171" t="str">
        <f>_xlfn.XLOOKUP(B171,全店核心数据_bymonth!A:A,全店核心数据_bymonth!AN:AN)</f>
        <v>BU25</v>
      </c>
    </row>
    <row r="172" spans="1:19" x14ac:dyDescent="0.3">
      <c r="A172" t="s">
        <v>110</v>
      </c>
      <c r="B172" s="16">
        <v>45413</v>
      </c>
      <c r="C172" t="s">
        <v>2</v>
      </c>
      <c r="D172" t="s">
        <v>57</v>
      </c>
      <c r="E172" t="s">
        <v>64</v>
      </c>
      <c r="F172" s="15">
        <v>196216</v>
      </c>
      <c r="G172" s="15">
        <v>181149</v>
      </c>
      <c r="H172" s="15">
        <v>1411</v>
      </c>
      <c r="I172">
        <v>962</v>
      </c>
      <c r="J172" s="17">
        <v>690561.21</v>
      </c>
      <c r="K172">
        <v>201</v>
      </c>
      <c r="L172" s="17">
        <v>397062.21</v>
      </c>
      <c r="M172">
        <v>151</v>
      </c>
      <c r="N172" s="15">
        <v>7633</v>
      </c>
      <c r="O172" s="15">
        <v>193738</v>
      </c>
      <c r="P172">
        <f t="shared" si="11"/>
        <v>2024</v>
      </c>
      <c r="Q172">
        <f t="shared" si="12"/>
        <v>5</v>
      </c>
      <c r="R172" t="str">
        <f t="shared" si="10"/>
        <v>引力魔方</v>
      </c>
      <c r="S172" t="str">
        <f>_xlfn.XLOOKUP(B172,全店核心数据_bymonth!A:A,全店核心数据_bymonth!AN:AN)</f>
        <v>BU25</v>
      </c>
    </row>
    <row r="173" spans="1:19" x14ac:dyDescent="0.3">
      <c r="A173" t="s">
        <v>110</v>
      </c>
      <c r="B173" s="16">
        <v>45444</v>
      </c>
      <c r="C173" t="s">
        <v>3</v>
      </c>
      <c r="D173" t="s">
        <v>114</v>
      </c>
      <c r="E173" t="s">
        <v>159</v>
      </c>
      <c r="F173">
        <v>1679</v>
      </c>
      <c r="G173">
        <v>870</v>
      </c>
      <c r="H173">
        <v>51</v>
      </c>
      <c r="I173">
        <v>23</v>
      </c>
      <c r="J173">
        <v>36319.360000000001</v>
      </c>
      <c r="K173">
        <v>13</v>
      </c>
      <c r="L173">
        <v>20502</v>
      </c>
      <c r="M173">
        <v>7</v>
      </c>
      <c r="N173">
        <v>248</v>
      </c>
      <c r="O173">
        <v>1558</v>
      </c>
      <c r="P173">
        <f t="shared" si="11"/>
        <v>2024</v>
      </c>
      <c r="Q173">
        <f t="shared" si="12"/>
        <v>6</v>
      </c>
      <c r="R173" t="str">
        <f t="shared" si="10"/>
        <v>主会场</v>
      </c>
      <c r="S173" t="str">
        <f>_xlfn.XLOOKUP(B173,全店核心数据_bymonth!A:A,全店核心数据_bymonth!AN:AN)</f>
        <v>BU25</v>
      </c>
    </row>
    <row r="174" spans="1:19" x14ac:dyDescent="0.3">
      <c r="A174" t="s">
        <v>110</v>
      </c>
      <c r="B174" s="16">
        <v>45444</v>
      </c>
      <c r="C174" t="s">
        <v>3</v>
      </c>
      <c r="D174" t="s">
        <v>114</v>
      </c>
      <c r="E174" t="s">
        <v>160</v>
      </c>
      <c r="F174">
        <v>93</v>
      </c>
      <c r="G174">
        <v>83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7</v>
      </c>
      <c r="O174">
        <v>93</v>
      </c>
      <c r="P174">
        <f t="shared" si="11"/>
        <v>2024</v>
      </c>
      <c r="Q174">
        <f t="shared" si="12"/>
        <v>6</v>
      </c>
      <c r="R174" t="str">
        <f t="shared" si="10"/>
        <v>榜单会场</v>
      </c>
      <c r="S174" t="str">
        <f>_xlfn.XLOOKUP(B174,全店核心数据_bymonth!A:A,全店核心数据_bymonth!AN:AN)</f>
        <v>BU25</v>
      </c>
    </row>
    <row r="175" spans="1:19" x14ac:dyDescent="0.3">
      <c r="A175" t="s">
        <v>110</v>
      </c>
      <c r="B175" s="16">
        <v>45444</v>
      </c>
      <c r="C175" t="s">
        <v>3</v>
      </c>
      <c r="D175" t="s">
        <v>117</v>
      </c>
      <c r="E175" t="s">
        <v>161</v>
      </c>
      <c r="F175">
        <v>127</v>
      </c>
      <c r="G175">
        <v>119</v>
      </c>
      <c r="H175">
        <v>2</v>
      </c>
      <c r="I175">
        <v>5</v>
      </c>
      <c r="J175">
        <v>0</v>
      </c>
      <c r="K175">
        <v>0</v>
      </c>
      <c r="L175">
        <v>0</v>
      </c>
      <c r="M175">
        <v>0</v>
      </c>
      <c r="N175">
        <v>13</v>
      </c>
      <c r="O175">
        <v>127</v>
      </c>
      <c r="P175">
        <f t="shared" si="11"/>
        <v>2024</v>
      </c>
      <c r="Q175">
        <f t="shared" si="12"/>
        <v>6</v>
      </c>
      <c r="R175" t="str">
        <f t="shared" si="10"/>
        <v>其他入口榜单</v>
      </c>
      <c r="S175" t="str">
        <f>_xlfn.XLOOKUP(B175,全店核心数据_bymonth!A:A,全店核心数据_bymonth!AN:AN)</f>
        <v>BU25</v>
      </c>
    </row>
    <row r="176" spans="1:19" x14ac:dyDescent="0.3">
      <c r="A176" t="s">
        <v>110</v>
      </c>
      <c r="B176" s="16">
        <v>45444</v>
      </c>
      <c r="C176" t="s">
        <v>3</v>
      </c>
      <c r="D176" t="s">
        <v>117</v>
      </c>
      <c r="E176" t="s">
        <v>191</v>
      </c>
      <c r="F176">
        <v>18</v>
      </c>
      <c r="G176">
        <v>18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18</v>
      </c>
      <c r="P176">
        <f t="shared" si="11"/>
        <v>2024</v>
      </c>
      <c r="Q176">
        <f t="shared" si="12"/>
        <v>6</v>
      </c>
      <c r="R176" t="str">
        <f t="shared" si="10"/>
        <v>商品详情页入口榜单</v>
      </c>
      <c r="S176" t="str">
        <f>_xlfn.XLOOKUP(B176,全店核心数据_bymonth!A:A,全店核心数据_bymonth!AN:AN)</f>
        <v>BU25</v>
      </c>
    </row>
    <row r="177" spans="1:19" x14ac:dyDescent="0.3">
      <c r="A177" t="s">
        <v>110</v>
      </c>
      <c r="B177" s="16">
        <v>45444</v>
      </c>
      <c r="C177" t="s">
        <v>3</v>
      </c>
      <c r="D177" t="s">
        <v>117</v>
      </c>
      <c r="E177" t="s">
        <v>195</v>
      </c>
      <c r="F177">
        <v>17</v>
      </c>
      <c r="G177">
        <v>17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2</v>
      </c>
      <c r="O177">
        <v>17</v>
      </c>
      <c r="P177">
        <f t="shared" si="11"/>
        <v>2024</v>
      </c>
      <c r="Q177">
        <f t="shared" si="12"/>
        <v>6</v>
      </c>
      <c r="R177" t="str">
        <f t="shared" si="10"/>
        <v>搜索入口榜单</v>
      </c>
      <c r="S177" t="str">
        <f>_xlfn.XLOOKUP(B177,全店核心数据_bymonth!A:A,全店核心数据_bymonth!AN:AN)</f>
        <v>BU25</v>
      </c>
    </row>
    <row r="178" spans="1:19" x14ac:dyDescent="0.3">
      <c r="A178" t="s">
        <v>110</v>
      </c>
      <c r="B178" s="16">
        <v>45444</v>
      </c>
      <c r="C178" t="s">
        <v>3</v>
      </c>
      <c r="D178" t="s">
        <v>120</v>
      </c>
      <c r="E178" t="s">
        <v>162</v>
      </c>
      <c r="F178">
        <v>27</v>
      </c>
      <c r="G178">
        <v>24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18</v>
      </c>
      <c r="O178">
        <v>10</v>
      </c>
      <c r="P178">
        <f t="shared" si="11"/>
        <v>2024</v>
      </c>
      <c r="Q178">
        <f t="shared" si="12"/>
        <v>6</v>
      </c>
      <c r="R178" t="str">
        <f t="shared" si="10"/>
        <v>手机浏览器访问天猫</v>
      </c>
      <c r="S178" t="str">
        <f>_xlfn.XLOOKUP(B178,全店核心数据_bymonth!A:A,全店核心数据_bymonth!AN:AN)</f>
        <v>BU25</v>
      </c>
    </row>
    <row r="179" spans="1:19" x14ac:dyDescent="0.3">
      <c r="A179" t="s">
        <v>110</v>
      </c>
      <c r="B179" s="16">
        <v>45444</v>
      </c>
      <c r="C179" t="s">
        <v>3</v>
      </c>
      <c r="D179" t="s">
        <v>120</v>
      </c>
      <c r="E179" t="s">
        <v>163</v>
      </c>
      <c r="F179">
        <v>1497</v>
      </c>
      <c r="G179">
        <v>1004</v>
      </c>
      <c r="H179">
        <v>27</v>
      </c>
      <c r="I179">
        <v>2</v>
      </c>
      <c r="J179">
        <v>128636.11</v>
      </c>
      <c r="K179">
        <v>34</v>
      </c>
      <c r="L179">
        <v>98533.11</v>
      </c>
      <c r="M179">
        <v>30</v>
      </c>
      <c r="N179">
        <v>452</v>
      </c>
      <c r="O179">
        <v>1450</v>
      </c>
      <c r="P179">
        <f t="shared" si="11"/>
        <v>2024</v>
      </c>
      <c r="Q179">
        <f t="shared" si="12"/>
        <v>6</v>
      </c>
      <c r="R179" t="str">
        <f t="shared" si="10"/>
        <v>手猫免费其他</v>
      </c>
      <c r="S179" t="str">
        <f>_xlfn.XLOOKUP(B179,全店核心数据_bymonth!A:A,全店核心数据_bymonth!AN:AN)</f>
        <v>BU25</v>
      </c>
    </row>
    <row r="180" spans="1:19" x14ac:dyDescent="0.3">
      <c r="A180" t="s">
        <v>110</v>
      </c>
      <c r="B180" s="16">
        <v>45444</v>
      </c>
      <c r="C180" t="s">
        <v>3</v>
      </c>
      <c r="D180" t="s">
        <v>120</v>
      </c>
      <c r="E180" t="s">
        <v>164</v>
      </c>
      <c r="F180">
        <v>125</v>
      </c>
      <c r="G180">
        <v>82</v>
      </c>
      <c r="H180">
        <v>3</v>
      </c>
      <c r="I180">
        <v>0</v>
      </c>
      <c r="J180">
        <v>18271.5</v>
      </c>
      <c r="K180">
        <v>8</v>
      </c>
      <c r="L180">
        <v>15703.5</v>
      </c>
      <c r="M180">
        <v>7</v>
      </c>
      <c r="N180">
        <v>3</v>
      </c>
      <c r="O180">
        <v>125</v>
      </c>
      <c r="P180">
        <f t="shared" si="11"/>
        <v>2024</v>
      </c>
      <c r="Q180">
        <f t="shared" si="12"/>
        <v>6</v>
      </c>
      <c r="R180" t="str">
        <f t="shared" si="10"/>
        <v>手猫其他店铺</v>
      </c>
      <c r="S180" t="str">
        <f>_xlfn.XLOOKUP(B180,全店核心数据_bymonth!A:A,全店核心数据_bymonth!AN:AN)</f>
        <v>BU25</v>
      </c>
    </row>
    <row r="181" spans="1:19" x14ac:dyDescent="0.3">
      <c r="A181" t="s">
        <v>110</v>
      </c>
      <c r="B181" s="16">
        <v>45444</v>
      </c>
      <c r="C181" t="s">
        <v>3</v>
      </c>
      <c r="D181" t="s">
        <v>120</v>
      </c>
      <c r="E181" t="s">
        <v>165</v>
      </c>
      <c r="F181">
        <v>483</v>
      </c>
      <c r="G181">
        <v>270</v>
      </c>
      <c r="H181">
        <v>16</v>
      </c>
      <c r="I181">
        <v>0</v>
      </c>
      <c r="J181">
        <v>65791.960000000006</v>
      </c>
      <c r="K181">
        <v>21</v>
      </c>
      <c r="L181">
        <v>54131.48</v>
      </c>
      <c r="M181">
        <v>20</v>
      </c>
      <c r="N181">
        <v>104</v>
      </c>
      <c r="O181">
        <v>461</v>
      </c>
      <c r="P181">
        <f t="shared" si="11"/>
        <v>2024</v>
      </c>
      <c r="Q181">
        <f t="shared" si="12"/>
        <v>6</v>
      </c>
      <c r="R181" t="str">
        <f t="shared" si="10"/>
        <v>手猫商品详情</v>
      </c>
      <c r="S181" t="str">
        <f>_xlfn.XLOOKUP(B181,全店核心数据_bymonth!A:A,全店核心数据_bymonth!AN:AN)</f>
        <v>BU25</v>
      </c>
    </row>
    <row r="182" spans="1:19" x14ac:dyDescent="0.3">
      <c r="A182" t="s">
        <v>110</v>
      </c>
      <c r="B182" s="16">
        <v>45444</v>
      </c>
      <c r="C182" t="s">
        <v>3</v>
      </c>
      <c r="D182" t="s">
        <v>120</v>
      </c>
      <c r="E182" t="s">
        <v>166</v>
      </c>
      <c r="F182">
        <v>1370</v>
      </c>
      <c r="G182">
        <v>1029</v>
      </c>
      <c r="H182">
        <v>19</v>
      </c>
      <c r="I182">
        <v>0</v>
      </c>
      <c r="J182">
        <v>60105.74</v>
      </c>
      <c r="K182">
        <v>25</v>
      </c>
      <c r="L182">
        <v>48110.22</v>
      </c>
      <c r="M182">
        <v>22</v>
      </c>
      <c r="N182">
        <v>514</v>
      </c>
      <c r="O182">
        <v>1193</v>
      </c>
      <c r="P182">
        <f t="shared" si="11"/>
        <v>2024</v>
      </c>
      <c r="Q182">
        <f t="shared" si="12"/>
        <v>6</v>
      </c>
      <c r="R182" t="str">
        <f t="shared" si="10"/>
        <v>手猫搜索</v>
      </c>
      <c r="S182" t="str">
        <f>_xlfn.XLOOKUP(B182,全店核心数据_bymonth!A:A,全店核心数据_bymonth!AN:AN)</f>
        <v>BU25</v>
      </c>
    </row>
    <row r="183" spans="1:19" x14ac:dyDescent="0.3">
      <c r="A183" t="s">
        <v>110</v>
      </c>
      <c r="B183" s="16">
        <v>45444</v>
      </c>
      <c r="C183" t="s">
        <v>3</v>
      </c>
      <c r="D183" t="s">
        <v>120</v>
      </c>
      <c r="E183" t="s">
        <v>167</v>
      </c>
      <c r="F183">
        <v>25</v>
      </c>
      <c r="G183">
        <v>11</v>
      </c>
      <c r="H183">
        <v>2</v>
      </c>
      <c r="I183">
        <v>0</v>
      </c>
      <c r="J183">
        <v>22059.439999999999</v>
      </c>
      <c r="K183">
        <v>5</v>
      </c>
      <c r="L183">
        <v>16943.72</v>
      </c>
      <c r="M183">
        <v>5</v>
      </c>
      <c r="N183">
        <v>6</v>
      </c>
      <c r="O183">
        <v>22</v>
      </c>
      <c r="P183">
        <f t="shared" si="11"/>
        <v>2024</v>
      </c>
      <c r="Q183">
        <f t="shared" si="12"/>
        <v>6</v>
      </c>
      <c r="R183" t="str">
        <f t="shared" si="10"/>
        <v>手猫旺信聊天</v>
      </c>
      <c r="S183" t="str">
        <f>_xlfn.XLOOKUP(B183,全店核心数据_bymonth!A:A,全店核心数据_bymonth!AN:AN)</f>
        <v>BU25</v>
      </c>
    </row>
    <row r="184" spans="1:19" x14ac:dyDescent="0.3">
      <c r="A184" t="s">
        <v>110</v>
      </c>
      <c r="B184" s="16">
        <v>45444</v>
      </c>
      <c r="C184" t="s">
        <v>3</v>
      </c>
      <c r="D184" t="s">
        <v>120</v>
      </c>
      <c r="E184" t="s">
        <v>168</v>
      </c>
      <c r="F184">
        <v>5514</v>
      </c>
      <c r="G184">
        <v>4544</v>
      </c>
      <c r="H184">
        <v>38</v>
      </c>
      <c r="I184">
        <v>2</v>
      </c>
      <c r="J184">
        <v>64629.9</v>
      </c>
      <c r="K184">
        <v>23</v>
      </c>
      <c r="L184">
        <v>52576.9</v>
      </c>
      <c r="M184">
        <v>21</v>
      </c>
      <c r="N184">
        <v>303</v>
      </c>
      <c r="O184">
        <v>5514</v>
      </c>
      <c r="P184">
        <f t="shared" si="11"/>
        <v>2024</v>
      </c>
      <c r="Q184">
        <f t="shared" si="12"/>
        <v>6</v>
      </c>
      <c r="R184" t="str">
        <f t="shared" si="10"/>
        <v>手猫首页</v>
      </c>
      <c r="S184" t="str">
        <f>_xlfn.XLOOKUP(B184,全店核心数据_bymonth!A:A,全店核心数据_bymonth!AN:AN)</f>
        <v>BU25</v>
      </c>
    </row>
    <row r="185" spans="1:19" x14ac:dyDescent="0.3">
      <c r="A185" t="s">
        <v>110</v>
      </c>
      <c r="B185" s="16">
        <v>45444</v>
      </c>
      <c r="C185" t="s">
        <v>3</v>
      </c>
      <c r="D185" t="s">
        <v>123</v>
      </c>
      <c r="E185" t="s">
        <v>169</v>
      </c>
      <c r="F185">
        <v>3164</v>
      </c>
      <c r="G185">
        <v>1762</v>
      </c>
      <c r="H185">
        <v>106</v>
      </c>
      <c r="I185">
        <v>50</v>
      </c>
      <c r="J185">
        <v>138548.74</v>
      </c>
      <c r="K185">
        <v>35</v>
      </c>
      <c r="L185">
        <v>98550.58</v>
      </c>
      <c r="M185">
        <v>28</v>
      </c>
      <c r="N185">
        <v>970</v>
      </c>
      <c r="O185">
        <v>2737</v>
      </c>
      <c r="P185">
        <f t="shared" si="11"/>
        <v>2024</v>
      </c>
      <c r="Q185">
        <f t="shared" si="12"/>
        <v>6</v>
      </c>
      <c r="R185" t="str">
        <f t="shared" si="10"/>
        <v>商品详情页头图推荐</v>
      </c>
      <c r="S185" t="str">
        <f>_xlfn.XLOOKUP(B185,全店核心数据_bymonth!A:A,全店核心数据_bymonth!AN:AN)</f>
        <v>BU25</v>
      </c>
    </row>
    <row r="186" spans="1:19" x14ac:dyDescent="0.3">
      <c r="A186" t="s">
        <v>110</v>
      </c>
      <c r="B186" s="16">
        <v>45444</v>
      </c>
      <c r="C186" t="s">
        <v>3</v>
      </c>
      <c r="D186" t="s">
        <v>123</v>
      </c>
      <c r="E186" t="s">
        <v>170</v>
      </c>
      <c r="F186">
        <v>590</v>
      </c>
      <c r="G186">
        <v>406</v>
      </c>
      <c r="H186">
        <v>30</v>
      </c>
      <c r="I186">
        <v>9</v>
      </c>
      <c r="J186">
        <v>62517.9</v>
      </c>
      <c r="K186">
        <v>20</v>
      </c>
      <c r="L186">
        <v>58519.9</v>
      </c>
      <c r="M186">
        <v>19</v>
      </c>
      <c r="N186">
        <v>511</v>
      </c>
      <c r="O186">
        <v>267</v>
      </c>
      <c r="P186">
        <f t="shared" si="11"/>
        <v>2024</v>
      </c>
      <c r="Q186">
        <f t="shared" si="12"/>
        <v>6</v>
      </c>
      <c r="R186" t="str">
        <f t="shared" si="10"/>
        <v>店铺超链</v>
      </c>
      <c r="S186" t="str">
        <f>_xlfn.XLOOKUP(B186,全店核心数据_bymonth!A:A,全店核心数据_bymonth!AN:AN)</f>
        <v>BU25</v>
      </c>
    </row>
    <row r="187" spans="1:19" x14ac:dyDescent="0.3">
      <c r="A187" t="s">
        <v>110</v>
      </c>
      <c r="B187" s="16">
        <v>45444</v>
      </c>
      <c r="C187" t="s">
        <v>3</v>
      </c>
      <c r="D187" t="s">
        <v>127</v>
      </c>
      <c r="E187" t="s">
        <v>171</v>
      </c>
      <c r="F187">
        <v>3760</v>
      </c>
      <c r="G187">
        <v>2308</v>
      </c>
      <c r="H187">
        <v>98</v>
      </c>
      <c r="I187">
        <v>47</v>
      </c>
      <c r="J187">
        <v>150355.95000000001</v>
      </c>
      <c r="K187">
        <v>38</v>
      </c>
      <c r="L187">
        <v>134424.95000000001</v>
      </c>
      <c r="M187">
        <v>36</v>
      </c>
      <c r="N187">
        <v>1333</v>
      </c>
      <c r="O187">
        <v>2991</v>
      </c>
      <c r="P187">
        <f t="shared" si="11"/>
        <v>2024</v>
      </c>
      <c r="Q187">
        <f t="shared" si="12"/>
        <v>6</v>
      </c>
      <c r="R187" t="str">
        <f t="shared" si="10"/>
        <v>其他猜你喜欢</v>
      </c>
      <c r="S187" t="str">
        <f>_xlfn.XLOOKUP(B187,全店核心数据_bymonth!A:A,全店核心数据_bymonth!AN:AN)</f>
        <v>BU25</v>
      </c>
    </row>
    <row r="188" spans="1:19" x14ac:dyDescent="0.3">
      <c r="A188" t="s">
        <v>110</v>
      </c>
      <c r="B188" s="16">
        <v>45444</v>
      </c>
      <c r="C188" t="s">
        <v>3</v>
      </c>
      <c r="D188" t="s">
        <v>127</v>
      </c>
      <c r="E188" t="s">
        <v>172</v>
      </c>
      <c r="F188">
        <v>87</v>
      </c>
      <c r="G188">
        <v>40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10</v>
      </c>
      <c r="O188">
        <v>81</v>
      </c>
      <c r="P188">
        <f t="shared" si="11"/>
        <v>2024</v>
      </c>
      <c r="Q188">
        <f t="shared" si="12"/>
        <v>6</v>
      </c>
      <c r="R188" t="str">
        <f t="shared" si="10"/>
        <v>购中推荐</v>
      </c>
      <c r="S188" t="str">
        <f>_xlfn.XLOOKUP(B188,全店核心数据_bymonth!A:A,全店核心数据_bymonth!AN:AN)</f>
        <v>BU25</v>
      </c>
    </row>
    <row r="189" spans="1:19" x14ac:dyDescent="0.3">
      <c r="A189" t="s">
        <v>110</v>
      </c>
      <c r="B189" s="16">
        <v>45444</v>
      </c>
      <c r="C189" t="s">
        <v>3</v>
      </c>
      <c r="D189" t="s">
        <v>127</v>
      </c>
      <c r="E189" t="s">
        <v>173</v>
      </c>
      <c r="F189">
        <v>678</v>
      </c>
      <c r="G189">
        <v>395</v>
      </c>
      <c r="H189">
        <v>10</v>
      </c>
      <c r="I189">
        <v>0</v>
      </c>
      <c r="J189">
        <v>1303</v>
      </c>
      <c r="K189">
        <v>1</v>
      </c>
      <c r="L189">
        <v>1303</v>
      </c>
      <c r="M189">
        <v>1</v>
      </c>
      <c r="N189">
        <v>30</v>
      </c>
      <c r="O189">
        <v>644</v>
      </c>
      <c r="P189">
        <f t="shared" si="11"/>
        <v>2024</v>
      </c>
      <c r="Q189">
        <f t="shared" si="12"/>
        <v>6</v>
      </c>
      <c r="R189" t="str">
        <f t="shared" si="10"/>
        <v>购后推荐</v>
      </c>
      <c r="S189" t="str">
        <f>_xlfn.XLOOKUP(B189,全店核心数据_bymonth!A:A,全店核心数据_bymonth!AN:AN)</f>
        <v>BU25</v>
      </c>
    </row>
    <row r="190" spans="1:19" x14ac:dyDescent="0.3">
      <c r="A190" t="s">
        <v>110</v>
      </c>
      <c r="B190" s="16">
        <v>45444</v>
      </c>
      <c r="C190" t="s">
        <v>3</v>
      </c>
      <c r="D190" t="s">
        <v>127</v>
      </c>
      <c r="E190" t="s">
        <v>174</v>
      </c>
      <c r="F190">
        <v>26106</v>
      </c>
      <c r="G190">
        <v>19768</v>
      </c>
      <c r="H190">
        <v>704</v>
      </c>
      <c r="I190">
        <v>299</v>
      </c>
      <c r="J190">
        <v>351211.59</v>
      </c>
      <c r="K190">
        <v>135</v>
      </c>
      <c r="L190">
        <v>261595.55</v>
      </c>
      <c r="M190">
        <v>113</v>
      </c>
      <c r="N190">
        <v>2989</v>
      </c>
      <c r="O190">
        <v>26106</v>
      </c>
      <c r="P190">
        <f t="shared" si="11"/>
        <v>2024</v>
      </c>
      <c r="Q190">
        <f t="shared" si="12"/>
        <v>6</v>
      </c>
      <c r="R190" t="str">
        <f t="shared" si="10"/>
        <v>首页推荐-微详情</v>
      </c>
      <c r="S190" t="str">
        <f>_xlfn.XLOOKUP(B190,全店核心数据_bymonth!A:A,全店核心数据_bymonth!AN:AN)</f>
        <v>BU25</v>
      </c>
    </row>
    <row r="191" spans="1:19" x14ac:dyDescent="0.3">
      <c r="A191" t="s">
        <v>110</v>
      </c>
      <c r="B191" s="16">
        <v>45444</v>
      </c>
      <c r="C191" t="s">
        <v>3</v>
      </c>
      <c r="D191" t="s">
        <v>127</v>
      </c>
      <c r="E191" t="s">
        <v>175</v>
      </c>
      <c r="F191">
        <v>2180</v>
      </c>
      <c r="G191">
        <v>1344</v>
      </c>
      <c r="H191">
        <v>2</v>
      </c>
      <c r="I191">
        <v>0</v>
      </c>
      <c r="J191">
        <v>2297.5</v>
      </c>
      <c r="K191">
        <v>1</v>
      </c>
      <c r="L191">
        <v>2297.5</v>
      </c>
      <c r="M191">
        <v>1</v>
      </c>
      <c r="N191">
        <v>12</v>
      </c>
      <c r="O191">
        <v>88</v>
      </c>
      <c r="P191">
        <f t="shared" si="11"/>
        <v>2024</v>
      </c>
      <c r="Q191">
        <f t="shared" si="12"/>
        <v>6</v>
      </c>
      <c r="R191" t="str">
        <f t="shared" si="10"/>
        <v>首页推荐-直播</v>
      </c>
      <c r="S191" t="str">
        <f>_xlfn.XLOOKUP(B191,全店核心数据_bymonth!A:A,全店核心数据_bymonth!AN:AN)</f>
        <v>BU25</v>
      </c>
    </row>
    <row r="192" spans="1:19" x14ac:dyDescent="0.3">
      <c r="A192" t="s">
        <v>110</v>
      </c>
      <c r="B192" s="16">
        <v>45444</v>
      </c>
      <c r="C192" t="s">
        <v>3</v>
      </c>
      <c r="D192" t="s">
        <v>127</v>
      </c>
      <c r="E192" t="s">
        <v>176</v>
      </c>
      <c r="F192">
        <v>1176</v>
      </c>
      <c r="G192">
        <v>785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4</v>
      </c>
      <c r="O192">
        <v>4</v>
      </c>
      <c r="P192">
        <f t="shared" si="11"/>
        <v>2024</v>
      </c>
      <c r="Q192">
        <f t="shared" si="12"/>
        <v>6</v>
      </c>
      <c r="R192" t="str">
        <f t="shared" si="10"/>
        <v>首页推荐-短视频</v>
      </c>
      <c r="S192" t="str">
        <f>_xlfn.XLOOKUP(B192,全店核心数据_bymonth!A:A,全店核心数据_bymonth!AN:AN)</f>
        <v>BU25</v>
      </c>
    </row>
    <row r="193" spans="1:19" x14ac:dyDescent="0.3">
      <c r="A193" t="s">
        <v>110</v>
      </c>
      <c r="B193" s="16">
        <v>45444</v>
      </c>
      <c r="C193" t="s">
        <v>3</v>
      </c>
      <c r="D193" t="s">
        <v>128</v>
      </c>
      <c r="E193" t="s">
        <v>177</v>
      </c>
      <c r="F193">
        <v>19056</v>
      </c>
      <c r="G193">
        <v>16352</v>
      </c>
      <c r="H193">
        <v>1267</v>
      </c>
      <c r="I193">
        <v>275</v>
      </c>
      <c r="J193">
        <v>1269388.6599999999</v>
      </c>
      <c r="K193">
        <v>359</v>
      </c>
      <c r="L193">
        <v>998471.18</v>
      </c>
      <c r="M193">
        <v>321</v>
      </c>
      <c r="N193">
        <v>6025</v>
      </c>
      <c r="O193">
        <v>17005</v>
      </c>
      <c r="P193">
        <f t="shared" si="11"/>
        <v>2024</v>
      </c>
      <c r="Q193">
        <f t="shared" si="12"/>
        <v>6</v>
      </c>
      <c r="R193" t="str">
        <f t="shared" si="10"/>
        <v>手淘搜索-商品及其他</v>
      </c>
      <c r="S193" t="str">
        <f>_xlfn.XLOOKUP(B193,全店核心数据_bymonth!A:A,全店核心数据_bymonth!AN:AN)</f>
        <v>BU25</v>
      </c>
    </row>
    <row r="194" spans="1:19" x14ac:dyDescent="0.3">
      <c r="A194" t="s">
        <v>110</v>
      </c>
      <c r="B194" s="16">
        <v>45444</v>
      </c>
      <c r="C194" t="s">
        <v>3</v>
      </c>
      <c r="D194" t="s">
        <v>128</v>
      </c>
      <c r="E194" t="s">
        <v>178</v>
      </c>
      <c r="F194">
        <v>50</v>
      </c>
      <c r="G194">
        <v>25</v>
      </c>
      <c r="H194">
        <v>4</v>
      </c>
      <c r="I194">
        <v>0</v>
      </c>
      <c r="J194">
        <v>2995</v>
      </c>
      <c r="K194">
        <v>1</v>
      </c>
      <c r="L194">
        <v>0</v>
      </c>
      <c r="M194">
        <v>0</v>
      </c>
      <c r="N194">
        <v>7</v>
      </c>
      <c r="O194">
        <v>37</v>
      </c>
      <c r="P194">
        <f t="shared" si="11"/>
        <v>2024</v>
      </c>
      <c r="Q194">
        <f t="shared" si="12"/>
        <v>6</v>
      </c>
      <c r="R194" t="str">
        <f t="shared" si="10"/>
        <v>手淘搜索-直播</v>
      </c>
      <c r="S194" t="str">
        <f>_xlfn.XLOOKUP(B194,全店核心数据_bymonth!A:A,全店核心数据_bymonth!AN:AN)</f>
        <v>BU25</v>
      </c>
    </row>
    <row r="195" spans="1:19" x14ac:dyDescent="0.3">
      <c r="A195" t="s">
        <v>110</v>
      </c>
      <c r="B195" s="16">
        <v>45444</v>
      </c>
      <c r="C195" t="s">
        <v>3</v>
      </c>
      <c r="D195" t="s">
        <v>128</v>
      </c>
      <c r="E195" t="s">
        <v>179</v>
      </c>
      <c r="F195">
        <v>495</v>
      </c>
      <c r="G195">
        <v>300</v>
      </c>
      <c r="H195">
        <v>9</v>
      </c>
      <c r="I195">
        <v>3</v>
      </c>
      <c r="J195">
        <v>28291</v>
      </c>
      <c r="K195">
        <v>7</v>
      </c>
      <c r="L195">
        <v>19993</v>
      </c>
      <c r="M195">
        <v>6</v>
      </c>
      <c r="N195">
        <v>53</v>
      </c>
      <c r="O195">
        <v>114</v>
      </c>
      <c r="P195">
        <f t="shared" si="11"/>
        <v>2024</v>
      </c>
      <c r="Q195">
        <f t="shared" si="12"/>
        <v>6</v>
      </c>
      <c r="R195" t="str">
        <f t="shared" si="10"/>
        <v>手淘搜索-短视频</v>
      </c>
      <c r="S195" t="str">
        <f>_xlfn.XLOOKUP(B195,全店核心数据_bymonth!A:A,全店核心数据_bymonth!AN:AN)</f>
        <v>BU25</v>
      </c>
    </row>
    <row r="196" spans="1:19" x14ac:dyDescent="0.3">
      <c r="A196" t="s">
        <v>110</v>
      </c>
      <c r="B196" s="16">
        <v>45444</v>
      </c>
      <c r="C196" t="s">
        <v>3</v>
      </c>
      <c r="D196" t="s">
        <v>143</v>
      </c>
      <c r="E196" t="s">
        <v>180</v>
      </c>
      <c r="F196">
        <v>306</v>
      </c>
      <c r="G196">
        <v>293</v>
      </c>
      <c r="H196">
        <v>2</v>
      </c>
      <c r="I196">
        <v>3</v>
      </c>
      <c r="J196">
        <v>0</v>
      </c>
      <c r="K196">
        <v>0</v>
      </c>
      <c r="L196">
        <v>0</v>
      </c>
      <c r="M196">
        <v>0</v>
      </c>
      <c r="N196">
        <v>6</v>
      </c>
      <c r="O196">
        <v>306</v>
      </c>
      <c r="P196">
        <f t="shared" si="11"/>
        <v>2024</v>
      </c>
      <c r="Q196">
        <f t="shared" si="12"/>
        <v>6</v>
      </c>
      <c r="R196" t="str">
        <f t="shared" si="10"/>
        <v>淘特其他渠道</v>
      </c>
      <c r="S196" t="str">
        <f>_xlfn.XLOOKUP(B196,全店核心数据_bymonth!A:A,全店核心数据_bymonth!AN:AN)</f>
        <v>BU25</v>
      </c>
    </row>
    <row r="197" spans="1:19" x14ac:dyDescent="0.3">
      <c r="A197" t="s">
        <v>110</v>
      </c>
      <c r="B197" s="16">
        <v>45444</v>
      </c>
      <c r="C197" t="s">
        <v>3</v>
      </c>
      <c r="D197" t="s">
        <v>143</v>
      </c>
      <c r="E197" t="s">
        <v>197</v>
      </c>
      <c r="F197">
        <v>2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</v>
      </c>
      <c r="P197">
        <f t="shared" si="11"/>
        <v>2024</v>
      </c>
      <c r="Q197">
        <f t="shared" si="12"/>
        <v>6</v>
      </c>
      <c r="R197" t="str">
        <f t="shared" si="10"/>
        <v>淘特推荐</v>
      </c>
      <c r="S197" t="str">
        <f>_xlfn.XLOOKUP(B197,全店核心数据_bymonth!A:A,全店核心数据_bymonth!AN:AN)</f>
        <v>BU25</v>
      </c>
    </row>
    <row r="198" spans="1:19" x14ac:dyDescent="0.3">
      <c r="A198" t="s">
        <v>110</v>
      </c>
      <c r="B198" s="16">
        <v>45444</v>
      </c>
      <c r="C198" t="s">
        <v>3</v>
      </c>
      <c r="D198" t="s">
        <v>143</v>
      </c>
      <c r="E198" t="s">
        <v>181</v>
      </c>
      <c r="F198">
        <v>11</v>
      </c>
      <c r="G198">
        <v>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11</v>
      </c>
      <c r="P198">
        <f t="shared" si="11"/>
        <v>2024</v>
      </c>
      <c r="Q198">
        <f t="shared" si="12"/>
        <v>6</v>
      </c>
      <c r="R198" t="str">
        <f t="shared" si="10"/>
        <v>淘特搜索</v>
      </c>
      <c r="S198" t="str">
        <f>_xlfn.XLOOKUP(B198,全店核心数据_bymonth!A:A,全店核心数据_bymonth!AN:AN)</f>
        <v>BU25</v>
      </c>
    </row>
    <row r="199" spans="1:19" x14ac:dyDescent="0.3">
      <c r="A199" t="s">
        <v>110</v>
      </c>
      <c r="B199" s="16">
        <v>45444</v>
      </c>
      <c r="C199" t="s">
        <v>3</v>
      </c>
      <c r="D199" t="s">
        <v>143</v>
      </c>
      <c r="E199" t="s">
        <v>224</v>
      </c>
      <c r="F199">
        <v>1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f t="shared" si="11"/>
        <v>2024</v>
      </c>
      <c r="Q199">
        <f t="shared" si="12"/>
        <v>6</v>
      </c>
      <c r="R199" t="str">
        <f t="shared" si="10"/>
        <v>淘特自主访问</v>
      </c>
      <c r="S199" t="str">
        <f>_xlfn.XLOOKUP(B199,全店核心数据_bymonth!A:A,全店核心数据_bymonth!AN:AN)</f>
        <v>BU25</v>
      </c>
    </row>
    <row r="200" spans="1:19" x14ac:dyDescent="0.3">
      <c r="A200" t="s">
        <v>110</v>
      </c>
      <c r="B200" s="16">
        <v>45444</v>
      </c>
      <c r="C200" t="s">
        <v>2</v>
      </c>
      <c r="D200" t="s">
        <v>55</v>
      </c>
      <c r="E200" t="s">
        <v>66</v>
      </c>
      <c r="F200">
        <v>3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f t="shared" si="11"/>
        <v>2024</v>
      </c>
      <c r="Q200">
        <f t="shared" si="12"/>
        <v>6</v>
      </c>
      <c r="R200" t="str">
        <f t="shared" si="10"/>
        <v>短直联动</v>
      </c>
      <c r="S200" t="str">
        <f>_xlfn.XLOOKUP(B200,全店核心数据_bymonth!A:A,全店核心数据_bymonth!AN:AN)</f>
        <v>BU25</v>
      </c>
    </row>
    <row r="201" spans="1:19" x14ac:dyDescent="0.3">
      <c r="A201" t="s">
        <v>110</v>
      </c>
      <c r="B201" s="16">
        <v>45444</v>
      </c>
      <c r="C201" t="s">
        <v>2</v>
      </c>
      <c r="D201" t="s">
        <v>55</v>
      </c>
      <c r="E201" t="s">
        <v>54</v>
      </c>
      <c r="F201">
        <v>54475</v>
      </c>
      <c r="G201">
        <v>46819</v>
      </c>
      <c r="H201">
        <v>50</v>
      </c>
      <c r="I201">
        <v>18</v>
      </c>
      <c r="J201">
        <v>0</v>
      </c>
      <c r="K201">
        <v>0</v>
      </c>
      <c r="L201">
        <v>0</v>
      </c>
      <c r="M201">
        <v>0</v>
      </c>
      <c r="N201">
        <v>257</v>
      </c>
      <c r="O201">
        <v>21425</v>
      </c>
      <c r="P201">
        <f t="shared" si="11"/>
        <v>2024</v>
      </c>
      <c r="Q201">
        <f t="shared" si="12"/>
        <v>6</v>
      </c>
      <c r="R201" t="str">
        <f t="shared" si="10"/>
        <v>超级直播</v>
      </c>
      <c r="S201" t="str">
        <f>_xlfn.XLOOKUP(B201,全店核心数据_bymonth!A:A,全店核心数据_bymonth!AN:AN)</f>
        <v>BU25</v>
      </c>
    </row>
    <row r="202" spans="1:19" x14ac:dyDescent="0.3">
      <c r="A202" t="s">
        <v>110</v>
      </c>
      <c r="B202" s="16">
        <v>45444</v>
      </c>
      <c r="C202" t="s">
        <v>2</v>
      </c>
      <c r="D202" t="s">
        <v>55</v>
      </c>
      <c r="E202" t="s">
        <v>56</v>
      </c>
      <c r="F202">
        <v>130669</v>
      </c>
      <c r="G202">
        <v>119948</v>
      </c>
      <c r="H202">
        <v>24</v>
      </c>
      <c r="I202">
        <v>29</v>
      </c>
      <c r="J202">
        <v>0</v>
      </c>
      <c r="K202">
        <v>0</v>
      </c>
      <c r="L202">
        <v>0</v>
      </c>
      <c r="M202">
        <v>0</v>
      </c>
      <c r="N202">
        <v>104</v>
      </c>
      <c r="O202">
        <v>5800</v>
      </c>
      <c r="P202">
        <f t="shared" si="11"/>
        <v>2024</v>
      </c>
      <c r="Q202">
        <f t="shared" si="12"/>
        <v>6</v>
      </c>
      <c r="R202" t="str">
        <f t="shared" si="10"/>
        <v>超级短视频</v>
      </c>
      <c r="S202" t="str">
        <f>_xlfn.XLOOKUP(B202,全店核心数据_bymonth!A:A,全店核心数据_bymonth!AN:AN)</f>
        <v>BU25</v>
      </c>
    </row>
    <row r="203" spans="1:19" x14ac:dyDescent="0.3">
      <c r="A203" t="s">
        <v>110</v>
      </c>
      <c r="B203" s="16">
        <v>45444</v>
      </c>
      <c r="C203" t="s">
        <v>2</v>
      </c>
      <c r="D203" t="s">
        <v>52</v>
      </c>
      <c r="E203" t="s">
        <v>53</v>
      </c>
      <c r="F203">
        <v>16640</v>
      </c>
      <c r="G203">
        <v>14591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16640</v>
      </c>
      <c r="O203">
        <v>1934</v>
      </c>
      <c r="P203">
        <f t="shared" si="11"/>
        <v>2024</v>
      </c>
      <c r="Q203">
        <f t="shared" si="12"/>
        <v>6</v>
      </c>
      <c r="R203" t="str">
        <f t="shared" si="10"/>
        <v>Showmax</v>
      </c>
      <c r="S203" t="str">
        <f>_xlfn.XLOOKUP(B203,全店核心数据_bymonth!A:A,全店核心数据_bymonth!AN:AN)</f>
        <v>BU25</v>
      </c>
    </row>
    <row r="204" spans="1:19" x14ac:dyDescent="0.3">
      <c r="A204" t="s">
        <v>110</v>
      </c>
      <c r="B204" s="16">
        <v>45444</v>
      </c>
      <c r="C204" t="s">
        <v>2</v>
      </c>
      <c r="D204" t="s">
        <v>52</v>
      </c>
      <c r="E204" t="s">
        <v>51</v>
      </c>
      <c r="F204">
        <v>3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</v>
      </c>
      <c r="O204">
        <v>0</v>
      </c>
      <c r="P204">
        <f t="shared" si="11"/>
        <v>2024</v>
      </c>
      <c r="Q204">
        <f t="shared" si="12"/>
        <v>6</v>
      </c>
      <c r="R204" t="str">
        <f t="shared" si="10"/>
        <v>品牌定制</v>
      </c>
      <c r="S204" t="str">
        <f>_xlfn.XLOOKUP(B204,全店核心数据_bymonth!A:A,全店核心数据_bymonth!AN:AN)</f>
        <v>BU25</v>
      </c>
    </row>
    <row r="205" spans="1:19" x14ac:dyDescent="0.3">
      <c r="A205" t="s">
        <v>110</v>
      </c>
      <c r="B205" s="16">
        <v>45444</v>
      </c>
      <c r="C205" t="s">
        <v>2</v>
      </c>
      <c r="D205" t="s">
        <v>52</v>
      </c>
      <c r="E205" t="s">
        <v>59</v>
      </c>
      <c r="F205">
        <v>25126</v>
      </c>
      <c r="G205">
        <v>21679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25126</v>
      </c>
      <c r="O205">
        <v>3764</v>
      </c>
      <c r="P205">
        <f t="shared" si="11"/>
        <v>2024</v>
      </c>
      <c r="Q205">
        <f t="shared" si="12"/>
        <v>6</v>
      </c>
      <c r="R205" t="str">
        <f t="shared" si="10"/>
        <v>品牌特秀</v>
      </c>
      <c r="S205" t="str">
        <f>_xlfn.XLOOKUP(B205,全店核心数据_bymonth!A:A,全店核心数据_bymonth!AN:AN)</f>
        <v>BU25</v>
      </c>
    </row>
    <row r="206" spans="1:19" x14ac:dyDescent="0.3">
      <c r="A206" t="s">
        <v>110</v>
      </c>
      <c r="B206" s="16">
        <v>45444</v>
      </c>
      <c r="C206" t="s">
        <v>2</v>
      </c>
      <c r="D206" t="s">
        <v>52</v>
      </c>
      <c r="E206" t="s">
        <v>183</v>
      </c>
      <c r="F206">
        <v>15387</v>
      </c>
      <c r="G206">
        <v>13992</v>
      </c>
      <c r="H206">
        <v>420</v>
      </c>
      <c r="I206">
        <v>132</v>
      </c>
      <c r="J206">
        <v>414069.29</v>
      </c>
      <c r="K206">
        <v>97</v>
      </c>
      <c r="L206">
        <v>319104.77</v>
      </c>
      <c r="M206">
        <v>90</v>
      </c>
      <c r="N206">
        <v>15387</v>
      </c>
      <c r="O206">
        <v>7856</v>
      </c>
      <c r="P206">
        <f t="shared" si="11"/>
        <v>2024</v>
      </c>
      <c r="Q206">
        <f t="shared" si="12"/>
        <v>6</v>
      </c>
      <c r="R206" t="str">
        <f t="shared" ref="R206:R212" si="13">E206</f>
        <v>品销宝-品牌专区</v>
      </c>
      <c r="S206" t="str">
        <f>_xlfn.XLOOKUP(B206,全店核心数据_bymonth!A:A,全店核心数据_bymonth!AN:AN)</f>
        <v>BU25</v>
      </c>
    </row>
    <row r="207" spans="1:19" x14ac:dyDescent="0.3">
      <c r="A207" t="s">
        <v>110</v>
      </c>
      <c r="B207" s="16">
        <v>45444</v>
      </c>
      <c r="C207" t="s">
        <v>2</v>
      </c>
      <c r="D207" t="s">
        <v>52</v>
      </c>
      <c r="E207" t="s">
        <v>58</v>
      </c>
      <c r="F207">
        <v>2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f t="shared" ref="P207:P212" si="14">YEAR(B207)</f>
        <v>2024</v>
      </c>
      <c r="Q207">
        <f t="shared" ref="Q207:Q212" si="15">MONTH(B207)</f>
        <v>6</v>
      </c>
      <c r="R207" t="str">
        <f t="shared" si="13"/>
        <v>超级全域通</v>
      </c>
      <c r="S207" t="str">
        <f>_xlfn.XLOOKUP(B207,全店核心数据_bymonth!A:A,全店核心数据_bymonth!AN:AN)</f>
        <v>BU25</v>
      </c>
    </row>
    <row r="208" spans="1:19" x14ac:dyDescent="0.3">
      <c r="A208" t="s">
        <v>110</v>
      </c>
      <c r="B208" s="16">
        <v>45444</v>
      </c>
      <c r="C208" t="s">
        <v>2</v>
      </c>
      <c r="D208" t="s">
        <v>57</v>
      </c>
      <c r="E208" t="s">
        <v>65</v>
      </c>
      <c r="F208">
        <v>77247</v>
      </c>
      <c r="G208">
        <v>71087</v>
      </c>
      <c r="H208">
        <v>1473</v>
      </c>
      <c r="I208">
        <v>689</v>
      </c>
      <c r="J208">
        <v>1990456.1</v>
      </c>
      <c r="K208">
        <v>410</v>
      </c>
      <c r="L208">
        <v>1260047.51</v>
      </c>
      <c r="M208">
        <v>328</v>
      </c>
      <c r="N208">
        <v>7236</v>
      </c>
      <c r="O208">
        <v>76489</v>
      </c>
      <c r="P208">
        <f t="shared" si="14"/>
        <v>2024</v>
      </c>
      <c r="Q208">
        <f t="shared" si="15"/>
        <v>6</v>
      </c>
      <c r="R208" t="str">
        <f t="shared" si="13"/>
        <v>直通车</v>
      </c>
      <c r="S208" t="str">
        <f>_xlfn.XLOOKUP(B208,全店核心数据_bymonth!A:A,全店核心数据_bymonth!AN:AN)</f>
        <v>BU25</v>
      </c>
    </row>
    <row r="209" spans="1:19" x14ac:dyDescent="0.3">
      <c r="A209" t="s">
        <v>110</v>
      </c>
      <c r="B209" s="16">
        <v>45444</v>
      </c>
      <c r="C209" t="s">
        <v>2</v>
      </c>
      <c r="D209" t="s">
        <v>57</v>
      </c>
      <c r="E209" t="s">
        <v>63</v>
      </c>
      <c r="F209">
        <v>60709</v>
      </c>
      <c r="G209">
        <v>51856</v>
      </c>
      <c r="H209">
        <v>1186</v>
      </c>
      <c r="I209">
        <v>852</v>
      </c>
      <c r="J209">
        <v>1150074.93</v>
      </c>
      <c r="K209">
        <v>268</v>
      </c>
      <c r="L209">
        <v>653426.93000000005</v>
      </c>
      <c r="M209">
        <v>193</v>
      </c>
      <c r="N209">
        <v>4590</v>
      </c>
      <c r="O209">
        <v>60655</v>
      </c>
      <c r="P209">
        <f t="shared" si="14"/>
        <v>2024</v>
      </c>
      <c r="Q209">
        <f t="shared" si="15"/>
        <v>6</v>
      </c>
      <c r="R209" t="str">
        <f t="shared" si="13"/>
        <v>万相台</v>
      </c>
      <c r="S209" t="str">
        <f>_xlfn.XLOOKUP(B209,全店核心数据_bymonth!A:A,全店核心数据_bymonth!AN:AN)</f>
        <v>BU25</v>
      </c>
    </row>
    <row r="210" spans="1:19" x14ac:dyDescent="0.3">
      <c r="A210" t="s">
        <v>110</v>
      </c>
      <c r="B210" s="16">
        <v>45444</v>
      </c>
      <c r="C210" t="s">
        <v>2</v>
      </c>
      <c r="D210" t="s">
        <v>57</v>
      </c>
      <c r="E210" t="s">
        <v>64</v>
      </c>
      <c r="F210">
        <v>175024</v>
      </c>
      <c r="G210">
        <v>153568</v>
      </c>
      <c r="H210">
        <v>768</v>
      </c>
      <c r="I210">
        <v>778</v>
      </c>
      <c r="J210">
        <v>383367.27</v>
      </c>
      <c r="K210">
        <v>78</v>
      </c>
      <c r="L210">
        <v>177974.27</v>
      </c>
      <c r="M210">
        <v>50</v>
      </c>
      <c r="N210">
        <v>5819</v>
      </c>
      <c r="O210">
        <v>174917</v>
      </c>
      <c r="P210">
        <f t="shared" si="14"/>
        <v>2024</v>
      </c>
      <c r="Q210">
        <f t="shared" si="15"/>
        <v>6</v>
      </c>
      <c r="R210" t="str">
        <f t="shared" si="13"/>
        <v>引力魔方</v>
      </c>
      <c r="S210" t="str">
        <f>_xlfn.XLOOKUP(B210,全店核心数据_bymonth!A:A,全店核心数据_bymonth!AN:AN)</f>
        <v>BU25</v>
      </c>
    </row>
    <row r="211" spans="1:19" x14ac:dyDescent="0.3">
      <c r="A211" t="s">
        <v>110</v>
      </c>
      <c r="B211" s="16">
        <v>45444</v>
      </c>
      <c r="C211" t="s">
        <v>2</v>
      </c>
      <c r="D211" t="s">
        <v>4</v>
      </c>
      <c r="E211" t="s">
        <v>42</v>
      </c>
      <c r="F211">
        <v>3</v>
      </c>
      <c r="G211">
        <v>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f t="shared" si="14"/>
        <v>2024</v>
      </c>
      <c r="Q211">
        <f t="shared" si="15"/>
        <v>6</v>
      </c>
      <c r="R211" t="str">
        <f t="shared" si="13"/>
        <v>UD效果投放</v>
      </c>
      <c r="S211" t="str">
        <f>_xlfn.XLOOKUP(B211,全店核心数据_bymonth!A:A,全店核心数据_bymonth!AN:AN)</f>
        <v>BU25</v>
      </c>
    </row>
    <row r="212" spans="1:19" x14ac:dyDescent="0.3">
      <c r="A212" t="s">
        <v>110</v>
      </c>
      <c r="B212" s="16">
        <v>45444</v>
      </c>
      <c r="C212" t="s">
        <v>2</v>
      </c>
      <c r="D212" t="s">
        <v>4</v>
      </c>
      <c r="E212" t="s">
        <v>41</v>
      </c>
      <c r="F212">
        <v>32</v>
      </c>
      <c r="G212">
        <v>20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6</v>
      </c>
      <c r="O212">
        <v>23</v>
      </c>
      <c r="P212">
        <f t="shared" si="14"/>
        <v>2024</v>
      </c>
      <c r="Q212">
        <f t="shared" si="15"/>
        <v>6</v>
      </c>
      <c r="R212" t="str">
        <f t="shared" si="13"/>
        <v>流量宝</v>
      </c>
      <c r="S212" t="str">
        <f>_xlfn.XLOOKUP(B212,全店核心数据_bymonth!A:A,全店核心数据_bymonth!AN:AN)</f>
        <v>BU25</v>
      </c>
    </row>
    <row r="213" spans="1:19" x14ac:dyDescent="0.3">
      <c r="A213" t="s">
        <v>110</v>
      </c>
      <c r="B213" s="16">
        <v>45444</v>
      </c>
      <c r="C213" t="s">
        <v>2</v>
      </c>
      <c r="D213" t="s">
        <v>4</v>
      </c>
      <c r="E213" t="s">
        <v>43</v>
      </c>
      <c r="F213">
        <v>11848</v>
      </c>
      <c r="G213">
        <v>7267</v>
      </c>
      <c r="H213">
        <v>70</v>
      </c>
      <c r="I213">
        <v>24</v>
      </c>
      <c r="J213">
        <v>136022.03</v>
      </c>
      <c r="K213">
        <v>46</v>
      </c>
      <c r="L213">
        <v>120522.03</v>
      </c>
      <c r="M213">
        <v>41</v>
      </c>
      <c r="N213">
        <v>404</v>
      </c>
      <c r="O213">
        <v>11602</v>
      </c>
      <c r="P213">
        <f t="shared" ref="P213:P276" si="16">YEAR(B213)</f>
        <v>2024</v>
      </c>
      <c r="Q213">
        <f t="shared" ref="Q213:Q276" si="17">MONTH(B213)</f>
        <v>6</v>
      </c>
      <c r="R213" t="str">
        <f t="shared" ref="R213:R276" si="18">E213</f>
        <v>淘宝客</v>
      </c>
      <c r="S213" t="str">
        <f>_xlfn.XLOOKUP(B213,全店核心数据_bymonth!A:A,全店核心数据_bymonth!AN:AN)</f>
        <v>BU25</v>
      </c>
    </row>
    <row r="214" spans="1:19" x14ac:dyDescent="0.3">
      <c r="A214" t="s">
        <v>110</v>
      </c>
      <c r="B214" s="16">
        <v>45474</v>
      </c>
      <c r="C214" t="s">
        <v>3</v>
      </c>
      <c r="D214" t="s">
        <v>117</v>
      </c>
      <c r="E214" t="s">
        <v>161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O214">
        <v>1</v>
      </c>
      <c r="P214">
        <f t="shared" si="16"/>
        <v>2024</v>
      </c>
      <c r="Q214">
        <f t="shared" si="17"/>
        <v>7</v>
      </c>
      <c r="R214" t="str">
        <f t="shared" si="18"/>
        <v>其他入口榜单</v>
      </c>
      <c r="S214" t="str">
        <f>_xlfn.XLOOKUP(B214,全店核心数据_bymonth!A:A,全店核心数据_bymonth!AN:AN)</f>
        <v>BU25</v>
      </c>
    </row>
    <row r="215" spans="1:19" x14ac:dyDescent="0.3">
      <c r="A215" t="s">
        <v>110</v>
      </c>
      <c r="B215" s="16">
        <v>45474</v>
      </c>
      <c r="C215" t="s">
        <v>3</v>
      </c>
      <c r="D215" t="s">
        <v>117</v>
      </c>
      <c r="E215" t="s">
        <v>191</v>
      </c>
      <c r="F215">
        <v>21</v>
      </c>
      <c r="G215">
        <v>21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O215">
        <v>21</v>
      </c>
      <c r="P215">
        <f t="shared" si="16"/>
        <v>2024</v>
      </c>
      <c r="Q215">
        <f t="shared" si="17"/>
        <v>7</v>
      </c>
      <c r="R215" t="str">
        <f t="shared" si="18"/>
        <v>商品详情页入口榜单</v>
      </c>
      <c r="S215" t="str">
        <f>_xlfn.XLOOKUP(B215,全店核心数据_bymonth!A:A,全店核心数据_bymonth!AN:AN)</f>
        <v>BU25</v>
      </c>
    </row>
    <row r="216" spans="1:19" x14ac:dyDescent="0.3">
      <c r="A216" t="s">
        <v>110</v>
      </c>
      <c r="B216" s="16">
        <v>45474</v>
      </c>
      <c r="C216" t="s">
        <v>3</v>
      </c>
      <c r="D216" t="s">
        <v>117</v>
      </c>
      <c r="E216" t="s">
        <v>195</v>
      </c>
      <c r="F216">
        <v>17</v>
      </c>
      <c r="G216">
        <v>17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O216">
        <v>17</v>
      </c>
      <c r="P216">
        <f t="shared" si="16"/>
        <v>2024</v>
      </c>
      <c r="Q216">
        <f t="shared" si="17"/>
        <v>7</v>
      </c>
      <c r="R216" t="str">
        <f t="shared" si="18"/>
        <v>搜索入口榜单</v>
      </c>
      <c r="S216" t="str">
        <f>_xlfn.XLOOKUP(B216,全店核心数据_bymonth!A:A,全店核心数据_bymonth!AN:AN)</f>
        <v>BU25</v>
      </c>
    </row>
    <row r="217" spans="1:19" x14ac:dyDescent="0.3">
      <c r="A217" t="s">
        <v>110</v>
      </c>
      <c r="B217" s="16">
        <v>45474</v>
      </c>
      <c r="C217" t="s">
        <v>3</v>
      </c>
      <c r="D217" t="s">
        <v>120</v>
      </c>
      <c r="E217" t="s">
        <v>162</v>
      </c>
      <c r="F217">
        <v>15</v>
      </c>
      <c r="G217">
        <v>14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O217">
        <v>5</v>
      </c>
      <c r="P217">
        <f t="shared" si="16"/>
        <v>2024</v>
      </c>
      <c r="Q217">
        <f t="shared" si="17"/>
        <v>7</v>
      </c>
      <c r="R217" t="str">
        <f t="shared" si="18"/>
        <v>手机浏览器访问天猫</v>
      </c>
      <c r="S217" t="str">
        <f>_xlfn.XLOOKUP(B217,全店核心数据_bymonth!A:A,全店核心数据_bymonth!AN:AN)</f>
        <v>BU25</v>
      </c>
    </row>
    <row r="218" spans="1:19" x14ac:dyDescent="0.3">
      <c r="A218" t="s">
        <v>110</v>
      </c>
      <c r="B218" s="16">
        <v>45474</v>
      </c>
      <c r="C218" t="s">
        <v>3</v>
      </c>
      <c r="D218" t="s">
        <v>120</v>
      </c>
      <c r="E218" t="s">
        <v>163</v>
      </c>
      <c r="F218">
        <v>551</v>
      </c>
      <c r="G218">
        <v>383</v>
      </c>
      <c r="H218">
        <v>4</v>
      </c>
      <c r="I218">
        <v>0</v>
      </c>
      <c r="J218">
        <v>13065</v>
      </c>
      <c r="K218">
        <v>2</v>
      </c>
      <c r="L218">
        <v>13065</v>
      </c>
      <c r="M218">
        <v>2</v>
      </c>
      <c r="O218">
        <v>483</v>
      </c>
      <c r="P218">
        <f t="shared" si="16"/>
        <v>2024</v>
      </c>
      <c r="Q218">
        <f t="shared" si="17"/>
        <v>7</v>
      </c>
      <c r="R218" t="str">
        <f t="shared" si="18"/>
        <v>手猫免费其他</v>
      </c>
      <c r="S218" t="str">
        <f>_xlfn.XLOOKUP(B218,全店核心数据_bymonth!A:A,全店核心数据_bymonth!AN:AN)</f>
        <v>BU25</v>
      </c>
    </row>
    <row r="219" spans="1:19" x14ac:dyDescent="0.3">
      <c r="A219" t="s">
        <v>110</v>
      </c>
      <c r="B219" s="16">
        <v>45474</v>
      </c>
      <c r="C219" t="s">
        <v>3</v>
      </c>
      <c r="D219" t="s">
        <v>120</v>
      </c>
      <c r="E219" t="s">
        <v>164</v>
      </c>
      <c r="F219">
        <v>80</v>
      </c>
      <c r="G219">
        <v>59</v>
      </c>
      <c r="H219">
        <v>4</v>
      </c>
      <c r="I219">
        <v>0</v>
      </c>
      <c r="J219">
        <v>22840</v>
      </c>
      <c r="K219">
        <v>3</v>
      </c>
      <c r="L219">
        <v>14990</v>
      </c>
      <c r="M219">
        <v>3</v>
      </c>
      <c r="O219">
        <v>80</v>
      </c>
      <c r="P219">
        <f t="shared" si="16"/>
        <v>2024</v>
      </c>
      <c r="Q219">
        <f t="shared" si="17"/>
        <v>7</v>
      </c>
      <c r="R219" t="str">
        <f t="shared" si="18"/>
        <v>手猫其他店铺</v>
      </c>
      <c r="S219" t="str">
        <f>_xlfn.XLOOKUP(B219,全店核心数据_bymonth!A:A,全店核心数据_bymonth!AN:AN)</f>
        <v>BU25</v>
      </c>
    </row>
    <row r="220" spans="1:19" x14ac:dyDescent="0.3">
      <c r="A220" t="s">
        <v>110</v>
      </c>
      <c r="B220" s="16">
        <v>45474</v>
      </c>
      <c r="C220" t="s">
        <v>3</v>
      </c>
      <c r="D220" t="s">
        <v>120</v>
      </c>
      <c r="E220" t="s">
        <v>165</v>
      </c>
      <c r="F220">
        <v>190</v>
      </c>
      <c r="G220">
        <v>118</v>
      </c>
      <c r="H220">
        <v>2</v>
      </c>
      <c r="I220">
        <v>0</v>
      </c>
      <c r="J220">
        <v>12925</v>
      </c>
      <c r="K220">
        <v>2</v>
      </c>
      <c r="L220">
        <v>12925</v>
      </c>
      <c r="M220">
        <v>2</v>
      </c>
      <c r="O220">
        <v>166</v>
      </c>
      <c r="P220">
        <f t="shared" si="16"/>
        <v>2024</v>
      </c>
      <c r="Q220">
        <f t="shared" si="17"/>
        <v>7</v>
      </c>
      <c r="R220" t="str">
        <f t="shared" si="18"/>
        <v>手猫商品详情</v>
      </c>
      <c r="S220" t="str">
        <f>_xlfn.XLOOKUP(B220,全店核心数据_bymonth!A:A,全店核心数据_bymonth!AN:AN)</f>
        <v>BU25</v>
      </c>
    </row>
    <row r="221" spans="1:19" x14ac:dyDescent="0.3">
      <c r="A221" t="s">
        <v>110</v>
      </c>
      <c r="B221" s="16">
        <v>45474</v>
      </c>
      <c r="C221" t="s">
        <v>3</v>
      </c>
      <c r="D221" t="s">
        <v>120</v>
      </c>
      <c r="E221" t="s">
        <v>166</v>
      </c>
      <c r="F221">
        <v>662</v>
      </c>
      <c r="G221">
        <v>566</v>
      </c>
      <c r="H221">
        <v>3</v>
      </c>
      <c r="I221">
        <v>0</v>
      </c>
      <c r="J221">
        <v>25040</v>
      </c>
      <c r="K221">
        <v>4</v>
      </c>
      <c r="L221">
        <v>25040</v>
      </c>
      <c r="M221">
        <v>4</v>
      </c>
      <c r="O221">
        <v>514</v>
      </c>
      <c r="P221">
        <f t="shared" si="16"/>
        <v>2024</v>
      </c>
      <c r="Q221">
        <f t="shared" si="17"/>
        <v>7</v>
      </c>
      <c r="R221" t="str">
        <f t="shared" si="18"/>
        <v>手猫搜索</v>
      </c>
      <c r="S221" t="str">
        <f>_xlfn.XLOOKUP(B221,全店核心数据_bymonth!A:A,全店核心数据_bymonth!AN:AN)</f>
        <v>BU25</v>
      </c>
    </row>
    <row r="222" spans="1:19" x14ac:dyDescent="0.3">
      <c r="A222" t="s">
        <v>110</v>
      </c>
      <c r="B222" s="16">
        <v>45474</v>
      </c>
      <c r="C222" t="s">
        <v>3</v>
      </c>
      <c r="D222" t="s">
        <v>120</v>
      </c>
      <c r="E222" t="s">
        <v>167</v>
      </c>
      <c r="F222">
        <v>13</v>
      </c>
      <c r="G222">
        <v>6</v>
      </c>
      <c r="H222">
        <v>0</v>
      </c>
      <c r="I222">
        <v>0</v>
      </c>
      <c r="J222">
        <v>11250</v>
      </c>
      <c r="K222">
        <v>2</v>
      </c>
      <c r="L222">
        <v>11250</v>
      </c>
      <c r="M222">
        <v>2</v>
      </c>
      <c r="O222">
        <v>9</v>
      </c>
      <c r="P222">
        <f t="shared" si="16"/>
        <v>2024</v>
      </c>
      <c r="Q222">
        <f t="shared" si="17"/>
        <v>7</v>
      </c>
      <c r="R222" t="str">
        <f t="shared" si="18"/>
        <v>手猫旺信聊天</v>
      </c>
      <c r="S222" t="str">
        <f>_xlfn.XLOOKUP(B222,全店核心数据_bymonth!A:A,全店核心数据_bymonth!AN:AN)</f>
        <v>BU25</v>
      </c>
    </row>
    <row r="223" spans="1:19" x14ac:dyDescent="0.3">
      <c r="A223" t="s">
        <v>110</v>
      </c>
      <c r="B223" s="16">
        <v>45474</v>
      </c>
      <c r="C223" t="s">
        <v>3</v>
      </c>
      <c r="D223" t="s">
        <v>120</v>
      </c>
      <c r="E223" t="s">
        <v>192</v>
      </c>
      <c r="F223">
        <v>11</v>
      </c>
      <c r="G223">
        <v>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O223">
        <v>11</v>
      </c>
      <c r="P223">
        <f t="shared" si="16"/>
        <v>2024</v>
      </c>
      <c r="Q223">
        <f t="shared" si="17"/>
        <v>7</v>
      </c>
      <c r="R223" t="str">
        <f t="shared" si="18"/>
        <v>手猫消息中心</v>
      </c>
      <c r="S223" t="str">
        <f>_xlfn.XLOOKUP(B223,全店核心数据_bymonth!A:A,全店核心数据_bymonth!AN:AN)</f>
        <v>BU25</v>
      </c>
    </row>
    <row r="224" spans="1:19" x14ac:dyDescent="0.3">
      <c r="A224" t="s">
        <v>110</v>
      </c>
      <c r="B224" s="16">
        <v>45474</v>
      </c>
      <c r="C224" t="s">
        <v>3</v>
      </c>
      <c r="D224" t="s">
        <v>120</v>
      </c>
      <c r="E224" t="s">
        <v>168</v>
      </c>
      <c r="F224">
        <v>2000</v>
      </c>
      <c r="G224">
        <v>1645</v>
      </c>
      <c r="H224">
        <v>5</v>
      </c>
      <c r="I224">
        <v>0</v>
      </c>
      <c r="J224">
        <v>24490</v>
      </c>
      <c r="K224">
        <v>3</v>
      </c>
      <c r="L224">
        <v>24490</v>
      </c>
      <c r="M224">
        <v>3</v>
      </c>
      <c r="O224">
        <v>2000</v>
      </c>
      <c r="P224">
        <f t="shared" si="16"/>
        <v>2024</v>
      </c>
      <c r="Q224">
        <f t="shared" si="17"/>
        <v>7</v>
      </c>
      <c r="R224" t="str">
        <f t="shared" si="18"/>
        <v>手猫首页</v>
      </c>
      <c r="S224" t="str">
        <f>_xlfn.XLOOKUP(B224,全店核心数据_bymonth!A:A,全店核心数据_bymonth!AN:AN)</f>
        <v>BU25</v>
      </c>
    </row>
    <row r="225" spans="1:19" x14ac:dyDescent="0.3">
      <c r="A225" t="s">
        <v>110</v>
      </c>
      <c r="B225" s="16">
        <v>45474</v>
      </c>
      <c r="C225" t="s">
        <v>3</v>
      </c>
      <c r="D225" t="s">
        <v>123</v>
      </c>
      <c r="E225" t="s">
        <v>169</v>
      </c>
      <c r="F225">
        <v>1082</v>
      </c>
      <c r="G225">
        <v>565</v>
      </c>
      <c r="H225">
        <v>28</v>
      </c>
      <c r="I225">
        <v>22</v>
      </c>
      <c r="J225">
        <v>15135</v>
      </c>
      <c r="K225">
        <v>5</v>
      </c>
      <c r="L225">
        <v>12340</v>
      </c>
      <c r="M225">
        <v>4</v>
      </c>
      <c r="O225">
        <v>967</v>
      </c>
      <c r="P225">
        <f t="shared" si="16"/>
        <v>2024</v>
      </c>
      <c r="Q225">
        <f t="shared" si="17"/>
        <v>7</v>
      </c>
      <c r="R225" t="str">
        <f t="shared" si="18"/>
        <v>商品详情页头图推荐</v>
      </c>
      <c r="S225" t="str">
        <f>_xlfn.XLOOKUP(B225,全店核心数据_bymonth!A:A,全店核心数据_bymonth!AN:AN)</f>
        <v>BU25</v>
      </c>
    </row>
    <row r="226" spans="1:19" x14ac:dyDescent="0.3">
      <c r="A226" t="s">
        <v>110</v>
      </c>
      <c r="B226" s="16">
        <v>45474</v>
      </c>
      <c r="C226" t="s">
        <v>3</v>
      </c>
      <c r="D226" t="s">
        <v>123</v>
      </c>
      <c r="E226" t="s">
        <v>170</v>
      </c>
      <c r="F226">
        <v>421</v>
      </c>
      <c r="G226">
        <v>313</v>
      </c>
      <c r="H226">
        <v>7</v>
      </c>
      <c r="I226">
        <v>6</v>
      </c>
      <c r="J226">
        <v>2995</v>
      </c>
      <c r="K226">
        <v>1</v>
      </c>
      <c r="L226">
        <v>2995</v>
      </c>
      <c r="M226">
        <v>1</v>
      </c>
      <c r="O226">
        <v>213</v>
      </c>
      <c r="P226">
        <f t="shared" si="16"/>
        <v>2024</v>
      </c>
      <c r="Q226">
        <f t="shared" si="17"/>
        <v>7</v>
      </c>
      <c r="R226" t="str">
        <f t="shared" si="18"/>
        <v>店铺超链</v>
      </c>
      <c r="S226" t="str">
        <f>_xlfn.XLOOKUP(B226,全店核心数据_bymonth!A:A,全店核心数据_bymonth!AN:AN)</f>
        <v>BU25</v>
      </c>
    </row>
    <row r="227" spans="1:19" x14ac:dyDescent="0.3">
      <c r="A227" t="s">
        <v>110</v>
      </c>
      <c r="B227" s="16">
        <v>45474</v>
      </c>
      <c r="C227" t="s">
        <v>3</v>
      </c>
      <c r="D227" t="s">
        <v>127</v>
      </c>
      <c r="E227" t="s">
        <v>171</v>
      </c>
      <c r="F227">
        <v>1712</v>
      </c>
      <c r="G227">
        <v>906</v>
      </c>
      <c r="H227">
        <v>24</v>
      </c>
      <c r="I227">
        <v>19</v>
      </c>
      <c r="J227">
        <v>35100</v>
      </c>
      <c r="K227">
        <v>9</v>
      </c>
      <c r="L227">
        <v>29600</v>
      </c>
      <c r="M227">
        <v>8</v>
      </c>
      <c r="O227">
        <v>1486</v>
      </c>
      <c r="P227">
        <f t="shared" si="16"/>
        <v>2024</v>
      </c>
      <c r="Q227">
        <f t="shared" si="17"/>
        <v>7</v>
      </c>
      <c r="R227" t="str">
        <f t="shared" si="18"/>
        <v>其他猜你喜欢</v>
      </c>
      <c r="S227" t="str">
        <f>_xlfn.XLOOKUP(B227,全店核心数据_bymonth!A:A,全店核心数据_bymonth!AN:AN)</f>
        <v>BU25</v>
      </c>
    </row>
    <row r="228" spans="1:19" x14ac:dyDescent="0.3">
      <c r="A228" t="s">
        <v>110</v>
      </c>
      <c r="B228" s="16">
        <v>45474</v>
      </c>
      <c r="C228" t="s">
        <v>3</v>
      </c>
      <c r="D228" t="s">
        <v>127</v>
      </c>
      <c r="E228" t="s">
        <v>172</v>
      </c>
      <c r="F228">
        <v>31</v>
      </c>
      <c r="G228">
        <v>20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O228">
        <v>18</v>
      </c>
      <c r="P228">
        <f t="shared" si="16"/>
        <v>2024</v>
      </c>
      <c r="Q228">
        <f t="shared" si="17"/>
        <v>7</v>
      </c>
      <c r="R228" t="str">
        <f t="shared" si="18"/>
        <v>购中推荐</v>
      </c>
      <c r="S228" t="str">
        <f>_xlfn.XLOOKUP(B228,全店核心数据_bymonth!A:A,全店核心数据_bymonth!AN:AN)</f>
        <v>BU25</v>
      </c>
    </row>
    <row r="229" spans="1:19" x14ac:dyDescent="0.3">
      <c r="A229" t="s">
        <v>110</v>
      </c>
      <c r="B229" s="16">
        <v>45474</v>
      </c>
      <c r="C229" t="s">
        <v>3</v>
      </c>
      <c r="D229" t="s">
        <v>127</v>
      </c>
      <c r="E229" t="s">
        <v>173</v>
      </c>
      <c r="F229">
        <v>193</v>
      </c>
      <c r="G229">
        <v>121</v>
      </c>
      <c r="H229">
        <v>1</v>
      </c>
      <c r="I229">
        <v>2</v>
      </c>
      <c r="J229">
        <v>0</v>
      </c>
      <c r="K229">
        <v>0</v>
      </c>
      <c r="L229">
        <v>0</v>
      </c>
      <c r="M229">
        <v>0</v>
      </c>
      <c r="O229">
        <v>130</v>
      </c>
      <c r="P229">
        <f t="shared" si="16"/>
        <v>2024</v>
      </c>
      <c r="Q229">
        <f t="shared" si="17"/>
        <v>7</v>
      </c>
      <c r="R229" t="str">
        <f t="shared" si="18"/>
        <v>购后推荐</v>
      </c>
      <c r="S229" t="str">
        <f>_xlfn.XLOOKUP(B229,全店核心数据_bymonth!A:A,全店核心数据_bymonth!AN:AN)</f>
        <v>BU25</v>
      </c>
    </row>
    <row r="230" spans="1:19" x14ac:dyDescent="0.3">
      <c r="A230" t="s">
        <v>110</v>
      </c>
      <c r="B230" s="16">
        <v>45474</v>
      </c>
      <c r="C230" t="s">
        <v>3</v>
      </c>
      <c r="D230" t="s">
        <v>127</v>
      </c>
      <c r="E230" t="s">
        <v>174</v>
      </c>
      <c r="F230">
        <v>3409</v>
      </c>
      <c r="G230">
        <v>2190</v>
      </c>
      <c r="H230">
        <v>66</v>
      </c>
      <c r="I230">
        <v>34</v>
      </c>
      <c r="J230">
        <v>22180</v>
      </c>
      <c r="K230">
        <v>6</v>
      </c>
      <c r="L230">
        <v>22180</v>
      </c>
      <c r="M230">
        <v>6</v>
      </c>
      <c r="O230">
        <v>3409</v>
      </c>
      <c r="P230">
        <f t="shared" si="16"/>
        <v>2024</v>
      </c>
      <c r="Q230">
        <f t="shared" si="17"/>
        <v>7</v>
      </c>
      <c r="R230" t="str">
        <f t="shared" si="18"/>
        <v>首页推荐-微详情</v>
      </c>
      <c r="S230" t="str">
        <f>_xlfn.XLOOKUP(B230,全店核心数据_bymonth!A:A,全店核心数据_bymonth!AN:AN)</f>
        <v>BU25</v>
      </c>
    </row>
    <row r="231" spans="1:19" x14ac:dyDescent="0.3">
      <c r="A231" t="s">
        <v>110</v>
      </c>
      <c r="B231" s="16">
        <v>45474</v>
      </c>
      <c r="C231" t="s">
        <v>3</v>
      </c>
      <c r="D231" t="s">
        <v>127</v>
      </c>
      <c r="E231" t="s">
        <v>175</v>
      </c>
      <c r="F231">
        <v>10548</v>
      </c>
      <c r="G231">
        <v>10043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O231">
        <v>54</v>
      </c>
      <c r="P231">
        <f t="shared" si="16"/>
        <v>2024</v>
      </c>
      <c r="Q231">
        <f t="shared" si="17"/>
        <v>7</v>
      </c>
      <c r="R231" t="str">
        <f t="shared" si="18"/>
        <v>首页推荐-直播</v>
      </c>
      <c r="S231" t="str">
        <f>_xlfn.XLOOKUP(B231,全店核心数据_bymonth!A:A,全店核心数据_bymonth!AN:AN)</f>
        <v>BU25</v>
      </c>
    </row>
    <row r="232" spans="1:19" x14ac:dyDescent="0.3">
      <c r="A232" t="s">
        <v>110</v>
      </c>
      <c r="B232" s="16">
        <v>45474</v>
      </c>
      <c r="C232" t="s">
        <v>3</v>
      </c>
      <c r="D232" t="s">
        <v>127</v>
      </c>
      <c r="E232" t="s">
        <v>176</v>
      </c>
      <c r="F232">
        <v>1066</v>
      </c>
      <c r="G232">
        <v>840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O232">
        <v>17</v>
      </c>
      <c r="P232">
        <f t="shared" si="16"/>
        <v>2024</v>
      </c>
      <c r="Q232">
        <f t="shared" si="17"/>
        <v>7</v>
      </c>
      <c r="R232" t="str">
        <f t="shared" si="18"/>
        <v>首页推荐-短视频</v>
      </c>
      <c r="S232" t="str">
        <f>_xlfn.XLOOKUP(B232,全店核心数据_bymonth!A:A,全店核心数据_bymonth!AN:AN)</f>
        <v>BU25</v>
      </c>
    </row>
    <row r="233" spans="1:19" x14ac:dyDescent="0.3">
      <c r="A233" t="s">
        <v>110</v>
      </c>
      <c r="B233" s="16">
        <v>45474</v>
      </c>
      <c r="C233" t="s">
        <v>3</v>
      </c>
      <c r="D233" t="s">
        <v>128</v>
      </c>
      <c r="E233" t="s">
        <v>177</v>
      </c>
      <c r="F233">
        <v>8800</v>
      </c>
      <c r="G233">
        <v>7756</v>
      </c>
      <c r="H233">
        <v>218</v>
      </c>
      <c r="I233">
        <v>104</v>
      </c>
      <c r="J233">
        <v>230805</v>
      </c>
      <c r="K233">
        <v>48</v>
      </c>
      <c r="L233">
        <v>141325</v>
      </c>
      <c r="M233">
        <v>38</v>
      </c>
      <c r="O233">
        <v>7334</v>
      </c>
      <c r="P233">
        <f t="shared" si="16"/>
        <v>2024</v>
      </c>
      <c r="Q233">
        <f t="shared" si="17"/>
        <v>7</v>
      </c>
      <c r="R233" t="str">
        <f t="shared" si="18"/>
        <v>手淘搜索-商品及其他</v>
      </c>
      <c r="S233" t="str">
        <f>_xlfn.XLOOKUP(B233,全店核心数据_bymonth!A:A,全店核心数据_bymonth!AN:AN)</f>
        <v>BU25</v>
      </c>
    </row>
    <row r="234" spans="1:19" x14ac:dyDescent="0.3">
      <c r="A234" t="s">
        <v>110</v>
      </c>
      <c r="B234" s="16">
        <v>45474</v>
      </c>
      <c r="C234" t="s">
        <v>3</v>
      </c>
      <c r="D234" t="s">
        <v>128</v>
      </c>
      <c r="E234" t="s">
        <v>178</v>
      </c>
      <c r="F234">
        <v>19</v>
      </c>
      <c r="G234">
        <v>16</v>
      </c>
      <c r="H234">
        <v>1</v>
      </c>
      <c r="I234">
        <v>0</v>
      </c>
      <c r="J234">
        <v>4995</v>
      </c>
      <c r="K234">
        <v>1</v>
      </c>
      <c r="L234">
        <v>4995</v>
      </c>
      <c r="M234">
        <v>1</v>
      </c>
      <c r="O234">
        <v>11</v>
      </c>
      <c r="P234">
        <f t="shared" si="16"/>
        <v>2024</v>
      </c>
      <c r="Q234">
        <f t="shared" si="17"/>
        <v>7</v>
      </c>
      <c r="R234" t="str">
        <f t="shared" si="18"/>
        <v>手淘搜索-直播</v>
      </c>
      <c r="S234" t="str">
        <f>_xlfn.XLOOKUP(B234,全店核心数据_bymonth!A:A,全店核心数据_bymonth!AN:AN)</f>
        <v>BU25</v>
      </c>
    </row>
    <row r="235" spans="1:19" x14ac:dyDescent="0.3">
      <c r="A235" t="s">
        <v>110</v>
      </c>
      <c r="B235" s="16">
        <v>45474</v>
      </c>
      <c r="C235" t="s">
        <v>3</v>
      </c>
      <c r="D235" t="s">
        <v>128</v>
      </c>
      <c r="E235" t="s">
        <v>179</v>
      </c>
      <c r="F235">
        <v>148</v>
      </c>
      <c r="G235">
        <v>108</v>
      </c>
      <c r="H235">
        <v>1</v>
      </c>
      <c r="I235">
        <v>0</v>
      </c>
      <c r="J235">
        <v>4045</v>
      </c>
      <c r="K235">
        <v>1</v>
      </c>
      <c r="L235">
        <v>4045</v>
      </c>
      <c r="M235">
        <v>1</v>
      </c>
      <c r="O235">
        <v>25</v>
      </c>
      <c r="P235">
        <f t="shared" si="16"/>
        <v>2024</v>
      </c>
      <c r="Q235">
        <f t="shared" si="17"/>
        <v>7</v>
      </c>
      <c r="R235" t="str">
        <f t="shared" si="18"/>
        <v>手淘搜索-短视频</v>
      </c>
      <c r="S235" t="str">
        <f>_xlfn.XLOOKUP(B235,全店核心数据_bymonth!A:A,全店核心数据_bymonth!AN:AN)</f>
        <v>BU25</v>
      </c>
    </row>
    <row r="236" spans="1:19" x14ac:dyDescent="0.3">
      <c r="A236" t="s">
        <v>110</v>
      </c>
      <c r="B236" s="16">
        <v>45474</v>
      </c>
      <c r="C236" t="s">
        <v>3</v>
      </c>
      <c r="D236" t="s">
        <v>143</v>
      </c>
      <c r="E236" t="s">
        <v>180</v>
      </c>
      <c r="F236">
        <v>173</v>
      </c>
      <c r="G236">
        <v>162</v>
      </c>
      <c r="H236">
        <v>2</v>
      </c>
      <c r="I236">
        <v>2</v>
      </c>
      <c r="J236">
        <v>0</v>
      </c>
      <c r="K236">
        <v>0</v>
      </c>
      <c r="L236">
        <v>0</v>
      </c>
      <c r="M236">
        <v>0</v>
      </c>
      <c r="O236">
        <v>173</v>
      </c>
      <c r="P236">
        <f t="shared" si="16"/>
        <v>2024</v>
      </c>
      <c r="Q236">
        <f t="shared" si="17"/>
        <v>7</v>
      </c>
      <c r="R236" t="str">
        <f t="shared" si="18"/>
        <v>淘特其他渠道</v>
      </c>
      <c r="S236" t="str">
        <f>_xlfn.XLOOKUP(B236,全店核心数据_bymonth!A:A,全店核心数据_bymonth!AN:AN)</f>
        <v>BU25</v>
      </c>
    </row>
    <row r="237" spans="1:19" x14ac:dyDescent="0.3">
      <c r="A237" t="s">
        <v>110</v>
      </c>
      <c r="B237" s="16">
        <v>45474</v>
      </c>
      <c r="C237" t="s">
        <v>3</v>
      </c>
      <c r="D237" t="s">
        <v>143</v>
      </c>
      <c r="E237" t="s">
        <v>181</v>
      </c>
      <c r="F237">
        <v>7</v>
      </c>
      <c r="G237">
        <v>7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O237">
        <v>7</v>
      </c>
      <c r="P237">
        <f t="shared" si="16"/>
        <v>2024</v>
      </c>
      <c r="Q237">
        <f t="shared" si="17"/>
        <v>7</v>
      </c>
      <c r="R237" t="str">
        <f t="shared" si="18"/>
        <v>淘特搜索</v>
      </c>
      <c r="S237" t="str">
        <f>_xlfn.XLOOKUP(B237,全店核心数据_bymonth!A:A,全店核心数据_bymonth!AN:AN)</f>
        <v>BU25</v>
      </c>
    </row>
    <row r="238" spans="1:19" x14ac:dyDescent="0.3">
      <c r="A238" t="s">
        <v>110</v>
      </c>
      <c r="B238" s="16">
        <v>45474</v>
      </c>
      <c r="C238" t="s">
        <v>3</v>
      </c>
      <c r="D238" t="s">
        <v>143</v>
      </c>
      <c r="E238" t="s">
        <v>224</v>
      </c>
      <c r="F238">
        <v>2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O238">
        <v>2</v>
      </c>
      <c r="P238">
        <f t="shared" si="16"/>
        <v>2024</v>
      </c>
      <c r="Q238">
        <f t="shared" si="17"/>
        <v>7</v>
      </c>
      <c r="R238" t="str">
        <f t="shared" si="18"/>
        <v>淘特自主访问</v>
      </c>
      <c r="S238" t="str">
        <f>_xlfn.XLOOKUP(B238,全店核心数据_bymonth!A:A,全店核心数据_bymonth!AN:AN)</f>
        <v>BU25</v>
      </c>
    </row>
    <row r="239" spans="1:19" x14ac:dyDescent="0.3">
      <c r="A239" t="s">
        <v>110</v>
      </c>
      <c r="B239" s="16">
        <v>45474</v>
      </c>
      <c r="C239" t="s">
        <v>2</v>
      </c>
      <c r="D239" t="s">
        <v>55</v>
      </c>
      <c r="E239" t="s">
        <v>66</v>
      </c>
      <c r="F239">
        <v>4735</v>
      </c>
      <c r="G239">
        <v>4073</v>
      </c>
      <c r="H239">
        <v>7</v>
      </c>
      <c r="I239">
        <v>5</v>
      </c>
      <c r="J239">
        <v>0</v>
      </c>
      <c r="K239">
        <v>0</v>
      </c>
      <c r="L239">
        <v>0</v>
      </c>
      <c r="M239">
        <v>0</v>
      </c>
      <c r="O239">
        <v>876</v>
      </c>
      <c r="P239">
        <f t="shared" si="16"/>
        <v>2024</v>
      </c>
      <c r="Q239">
        <f t="shared" si="17"/>
        <v>7</v>
      </c>
      <c r="R239" t="str">
        <f t="shared" si="18"/>
        <v>短直联动</v>
      </c>
      <c r="S239" t="str">
        <f>_xlfn.XLOOKUP(B239,全店核心数据_bymonth!A:A,全店核心数据_bymonth!AN:AN)</f>
        <v>BU25</v>
      </c>
    </row>
    <row r="240" spans="1:19" x14ac:dyDescent="0.3">
      <c r="A240" t="s">
        <v>110</v>
      </c>
      <c r="B240" s="16">
        <v>45474</v>
      </c>
      <c r="C240" t="s">
        <v>2</v>
      </c>
      <c r="D240" t="s">
        <v>55</v>
      </c>
      <c r="E240" t="s">
        <v>54</v>
      </c>
      <c r="F240">
        <v>10296</v>
      </c>
      <c r="G240">
        <v>8328</v>
      </c>
      <c r="H240">
        <v>16</v>
      </c>
      <c r="I240">
        <v>4</v>
      </c>
      <c r="J240">
        <v>0</v>
      </c>
      <c r="K240">
        <v>0</v>
      </c>
      <c r="L240">
        <v>0</v>
      </c>
      <c r="M240">
        <v>0</v>
      </c>
      <c r="O240">
        <v>2600</v>
      </c>
      <c r="P240">
        <f t="shared" si="16"/>
        <v>2024</v>
      </c>
      <c r="Q240">
        <f t="shared" si="17"/>
        <v>7</v>
      </c>
      <c r="R240" t="str">
        <f t="shared" si="18"/>
        <v>超级直播</v>
      </c>
      <c r="S240" t="str">
        <f>_xlfn.XLOOKUP(B240,全店核心数据_bymonth!A:A,全店核心数据_bymonth!AN:AN)</f>
        <v>BU25</v>
      </c>
    </row>
    <row r="241" spans="1:19" x14ac:dyDescent="0.3">
      <c r="A241" t="s">
        <v>110</v>
      </c>
      <c r="B241" s="16">
        <v>45474</v>
      </c>
      <c r="C241" t="s">
        <v>2</v>
      </c>
      <c r="D241" t="s">
        <v>55</v>
      </c>
      <c r="E241" t="s">
        <v>56</v>
      </c>
      <c r="F241">
        <v>28926</v>
      </c>
      <c r="G241">
        <v>26423</v>
      </c>
      <c r="H241">
        <v>6</v>
      </c>
      <c r="I241">
        <v>13</v>
      </c>
      <c r="J241">
        <v>0</v>
      </c>
      <c r="K241">
        <v>0</v>
      </c>
      <c r="L241">
        <v>0</v>
      </c>
      <c r="M241">
        <v>0</v>
      </c>
      <c r="O241">
        <v>3152</v>
      </c>
      <c r="P241">
        <f t="shared" si="16"/>
        <v>2024</v>
      </c>
      <c r="Q241">
        <f t="shared" si="17"/>
        <v>7</v>
      </c>
      <c r="R241" t="str">
        <f t="shared" si="18"/>
        <v>超级短视频</v>
      </c>
      <c r="S241" t="str">
        <f>_xlfn.XLOOKUP(B241,全店核心数据_bymonth!A:A,全店核心数据_bymonth!AN:AN)</f>
        <v>BU25</v>
      </c>
    </row>
    <row r="242" spans="1:19" x14ac:dyDescent="0.3">
      <c r="A242" t="s">
        <v>110</v>
      </c>
      <c r="B242" s="16">
        <v>45474</v>
      </c>
      <c r="C242" t="s">
        <v>2</v>
      </c>
      <c r="D242" t="s">
        <v>52</v>
      </c>
      <c r="E242" t="s">
        <v>53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O242">
        <v>0</v>
      </c>
      <c r="P242">
        <f t="shared" si="16"/>
        <v>2024</v>
      </c>
      <c r="Q242">
        <f t="shared" si="17"/>
        <v>7</v>
      </c>
      <c r="R242" t="str">
        <f t="shared" si="18"/>
        <v>Showmax</v>
      </c>
      <c r="S242" t="str">
        <f>_xlfn.XLOOKUP(B242,全店核心数据_bymonth!A:A,全店核心数据_bymonth!AN:AN)</f>
        <v>BU25</v>
      </c>
    </row>
    <row r="243" spans="1:19" x14ac:dyDescent="0.3">
      <c r="A243" t="s">
        <v>110</v>
      </c>
      <c r="B243" s="16">
        <v>45474</v>
      </c>
      <c r="C243" t="s">
        <v>2</v>
      </c>
      <c r="D243" t="s">
        <v>52</v>
      </c>
      <c r="E243" t="s">
        <v>183</v>
      </c>
      <c r="F243">
        <v>14356</v>
      </c>
      <c r="G243">
        <v>13598</v>
      </c>
      <c r="H243">
        <v>254</v>
      </c>
      <c r="I243">
        <v>113</v>
      </c>
      <c r="J243">
        <v>171965</v>
      </c>
      <c r="K243">
        <v>35</v>
      </c>
      <c r="L243">
        <v>102770</v>
      </c>
      <c r="M243">
        <v>30</v>
      </c>
      <c r="O243">
        <v>7172</v>
      </c>
      <c r="P243">
        <f t="shared" si="16"/>
        <v>2024</v>
      </c>
      <c r="Q243">
        <f t="shared" si="17"/>
        <v>7</v>
      </c>
      <c r="R243" t="str">
        <f t="shared" si="18"/>
        <v>品销宝-品牌专区</v>
      </c>
      <c r="S243" t="str">
        <f>_xlfn.XLOOKUP(B243,全店核心数据_bymonth!A:A,全店核心数据_bymonth!AN:AN)</f>
        <v>BU25</v>
      </c>
    </row>
    <row r="244" spans="1:19" x14ac:dyDescent="0.3">
      <c r="A244" t="s">
        <v>110</v>
      </c>
      <c r="B244" s="16">
        <v>45474</v>
      </c>
      <c r="C244" t="s">
        <v>2</v>
      </c>
      <c r="D244" t="s">
        <v>52</v>
      </c>
      <c r="E244" t="s">
        <v>58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O244">
        <v>1</v>
      </c>
      <c r="P244">
        <f t="shared" si="16"/>
        <v>2024</v>
      </c>
      <c r="Q244">
        <f t="shared" si="17"/>
        <v>7</v>
      </c>
      <c r="R244" t="str">
        <f t="shared" si="18"/>
        <v>超级全域通</v>
      </c>
      <c r="S244" t="str">
        <f>_xlfn.XLOOKUP(B244,全店核心数据_bymonth!A:A,全店核心数据_bymonth!AN:AN)</f>
        <v>BU25</v>
      </c>
    </row>
    <row r="245" spans="1:19" x14ac:dyDescent="0.3">
      <c r="A245" t="s">
        <v>110</v>
      </c>
      <c r="B245" s="16">
        <v>45474</v>
      </c>
      <c r="C245" t="s">
        <v>2</v>
      </c>
      <c r="D245" t="s">
        <v>57</v>
      </c>
      <c r="E245" t="s">
        <v>65</v>
      </c>
      <c r="F245">
        <v>53224</v>
      </c>
      <c r="G245">
        <v>50473</v>
      </c>
      <c r="H245">
        <v>680</v>
      </c>
      <c r="I245">
        <v>495</v>
      </c>
      <c r="J245">
        <v>735845</v>
      </c>
      <c r="K245">
        <v>97</v>
      </c>
      <c r="L245">
        <v>359470</v>
      </c>
      <c r="M245">
        <v>65</v>
      </c>
      <c r="O245">
        <v>52685</v>
      </c>
      <c r="P245">
        <f t="shared" si="16"/>
        <v>2024</v>
      </c>
      <c r="Q245">
        <f t="shared" si="17"/>
        <v>7</v>
      </c>
      <c r="R245" t="str">
        <f t="shared" si="18"/>
        <v>直通车</v>
      </c>
      <c r="S245" t="str">
        <f>_xlfn.XLOOKUP(B245,全店核心数据_bymonth!A:A,全店核心数据_bymonth!AN:AN)</f>
        <v>BU25</v>
      </c>
    </row>
    <row r="246" spans="1:19" x14ac:dyDescent="0.3">
      <c r="A246" t="s">
        <v>110</v>
      </c>
      <c r="B246" s="16">
        <v>45474</v>
      </c>
      <c r="C246" t="s">
        <v>2</v>
      </c>
      <c r="D246" t="s">
        <v>57</v>
      </c>
      <c r="E246" t="s">
        <v>63</v>
      </c>
      <c r="F246">
        <v>41461</v>
      </c>
      <c r="G246">
        <v>36642</v>
      </c>
      <c r="H246">
        <v>678</v>
      </c>
      <c r="I246">
        <v>525</v>
      </c>
      <c r="J246">
        <v>802075</v>
      </c>
      <c r="K246">
        <v>98</v>
      </c>
      <c r="L246">
        <v>272810</v>
      </c>
      <c r="M246">
        <v>44</v>
      </c>
      <c r="O246">
        <v>41374</v>
      </c>
      <c r="P246">
        <f t="shared" si="16"/>
        <v>2024</v>
      </c>
      <c r="Q246">
        <f t="shared" si="17"/>
        <v>7</v>
      </c>
      <c r="R246" t="str">
        <f t="shared" si="18"/>
        <v>万相台</v>
      </c>
      <c r="S246" t="str">
        <f>_xlfn.XLOOKUP(B246,全店核心数据_bymonth!A:A,全店核心数据_bymonth!AN:AN)</f>
        <v>BU25</v>
      </c>
    </row>
    <row r="247" spans="1:19" x14ac:dyDescent="0.3">
      <c r="A247" t="s">
        <v>110</v>
      </c>
      <c r="B247" s="16">
        <v>45474</v>
      </c>
      <c r="C247" t="s">
        <v>2</v>
      </c>
      <c r="D247" t="s">
        <v>57</v>
      </c>
      <c r="E247" t="s">
        <v>64</v>
      </c>
      <c r="F247">
        <v>86192</v>
      </c>
      <c r="G247">
        <v>77463</v>
      </c>
      <c r="H247">
        <v>553</v>
      </c>
      <c r="I247">
        <v>638</v>
      </c>
      <c r="J247">
        <v>320170</v>
      </c>
      <c r="K247">
        <v>43</v>
      </c>
      <c r="L247">
        <v>72800</v>
      </c>
      <c r="M247">
        <v>14</v>
      </c>
      <c r="O247">
        <v>86159</v>
      </c>
      <c r="P247">
        <f t="shared" si="16"/>
        <v>2024</v>
      </c>
      <c r="Q247">
        <f t="shared" si="17"/>
        <v>7</v>
      </c>
      <c r="R247" t="str">
        <f t="shared" si="18"/>
        <v>引力魔方</v>
      </c>
      <c r="S247" t="str">
        <f>_xlfn.XLOOKUP(B247,全店核心数据_bymonth!A:A,全店核心数据_bymonth!AN:AN)</f>
        <v>BU25</v>
      </c>
    </row>
    <row r="248" spans="1:19" x14ac:dyDescent="0.3">
      <c r="A248" t="s">
        <v>110</v>
      </c>
      <c r="B248" s="16">
        <v>45474</v>
      </c>
      <c r="C248" t="s">
        <v>2</v>
      </c>
      <c r="D248" t="s">
        <v>4</v>
      </c>
      <c r="E248" t="s">
        <v>42</v>
      </c>
      <c r="F248">
        <v>1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O248">
        <v>0</v>
      </c>
      <c r="P248">
        <f t="shared" si="16"/>
        <v>2024</v>
      </c>
      <c r="Q248">
        <f t="shared" si="17"/>
        <v>7</v>
      </c>
      <c r="R248" t="str">
        <f t="shared" si="18"/>
        <v>UD效果投放</v>
      </c>
      <c r="S248" t="str">
        <f>_xlfn.XLOOKUP(B248,全店核心数据_bymonth!A:A,全店核心数据_bymonth!AN:AN)</f>
        <v>BU25</v>
      </c>
    </row>
    <row r="249" spans="1:19" x14ac:dyDescent="0.3">
      <c r="A249" t="s">
        <v>110</v>
      </c>
      <c r="B249" s="16">
        <v>45474</v>
      </c>
      <c r="C249" t="s">
        <v>2</v>
      </c>
      <c r="D249" t="s">
        <v>4</v>
      </c>
      <c r="E249" t="s">
        <v>41</v>
      </c>
      <c r="F249">
        <v>12</v>
      </c>
      <c r="G249">
        <v>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O249">
        <v>5</v>
      </c>
      <c r="P249">
        <f t="shared" si="16"/>
        <v>2024</v>
      </c>
      <c r="Q249">
        <f t="shared" si="17"/>
        <v>7</v>
      </c>
      <c r="R249" t="str">
        <f t="shared" si="18"/>
        <v>流量宝</v>
      </c>
      <c r="S249" t="str">
        <f>_xlfn.XLOOKUP(B249,全店核心数据_bymonth!A:A,全店核心数据_bymonth!AN:AN)</f>
        <v>BU25</v>
      </c>
    </row>
    <row r="250" spans="1:19" x14ac:dyDescent="0.3">
      <c r="A250" t="s">
        <v>110</v>
      </c>
      <c r="B250" s="16">
        <v>45474</v>
      </c>
      <c r="C250" t="s">
        <v>2</v>
      </c>
      <c r="D250" t="s">
        <v>4</v>
      </c>
      <c r="E250" t="s">
        <v>43</v>
      </c>
      <c r="F250">
        <v>3761</v>
      </c>
      <c r="G250">
        <v>1950</v>
      </c>
      <c r="H250">
        <v>12</v>
      </c>
      <c r="I250">
        <v>19</v>
      </c>
      <c r="J250">
        <v>71870</v>
      </c>
      <c r="K250">
        <v>7</v>
      </c>
      <c r="L250">
        <v>53370</v>
      </c>
      <c r="M250">
        <v>6</v>
      </c>
      <c r="O250">
        <v>3569</v>
      </c>
      <c r="P250">
        <f t="shared" si="16"/>
        <v>2024</v>
      </c>
      <c r="Q250">
        <f t="shared" si="17"/>
        <v>7</v>
      </c>
      <c r="R250" t="str">
        <f t="shared" si="18"/>
        <v>淘宝客</v>
      </c>
      <c r="S250" t="str">
        <f>_xlfn.XLOOKUP(B250,全店核心数据_bymonth!A:A,全店核心数据_bymonth!AN:AN)</f>
        <v>BU25</v>
      </c>
    </row>
    <row r="251" spans="1:19" x14ac:dyDescent="0.3">
      <c r="A251" t="s">
        <v>110</v>
      </c>
      <c r="B251" s="16">
        <v>45108</v>
      </c>
      <c r="C251" t="s">
        <v>3</v>
      </c>
      <c r="D251" t="s">
        <v>117</v>
      </c>
      <c r="E251" t="s">
        <v>161</v>
      </c>
      <c r="F251">
        <v>134</v>
      </c>
      <c r="G251">
        <v>90</v>
      </c>
      <c r="H251">
        <v>2</v>
      </c>
      <c r="I251">
        <v>4</v>
      </c>
      <c r="J251">
        <v>0</v>
      </c>
      <c r="K251">
        <v>0</v>
      </c>
      <c r="L251">
        <v>0</v>
      </c>
      <c r="M251">
        <v>0</v>
      </c>
      <c r="O251">
        <v>134</v>
      </c>
      <c r="P251">
        <f t="shared" si="16"/>
        <v>2023</v>
      </c>
      <c r="Q251">
        <f t="shared" si="17"/>
        <v>7</v>
      </c>
      <c r="R251" t="str">
        <f t="shared" si="18"/>
        <v>其他入口榜单</v>
      </c>
      <c r="S251" t="str">
        <f>_xlfn.XLOOKUP(B251,全店核心数据_bymonth!A:A,全店核心数据_bymonth!AN:AN)</f>
        <v>BU24</v>
      </c>
    </row>
    <row r="252" spans="1:19" x14ac:dyDescent="0.3">
      <c r="A252" t="s">
        <v>110</v>
      </c>
      <c r="B252" s="16">
        <v>45108</v>
      </c>
      <c r="C252" t="s">
        <v>3</v>
      </c>
      <c r="D252" t="s">
        <v>117</v>
      </c>
      <c r="E252" t="s">
        <v>191</v>
      </c>
      <c r="F252">
        <v>2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O252">
        <v>2</v>
      </c>
      <c r="P252">
        <f t="shared" si="16"/>
        <v>2023</v>
      </c>
      <c r="Q252">
        <f t="shared" si="17"/>
        <v>7</v>
      </c>
      <c r="R252" t="str">
        <f t="shared" si="18"/>
        <v>商品详情页入口榜单</v>
      </c>
      <c r="S252" t="str">
        <f>_xlfn.XLOOKUP(B252,全店核心数据_bymonth!A:A,全店核心数据_bymonth!AN:AN)</f>
        <v>BU24</v>
      </c>
    </row>
    <row r="253" spans="1:19" x14ac:dyDescent="0.3">
      <c r="A253" t="s">
        <v>110</v>
      </c>
      <c r="B253" s="16">
        <v>45108</v>
      </c>
      <c r="C253" t="s">
        <v>3</v>
      </c>
      <c r="D253" t="s">
        <v>120</v>
      </c>
      <c r="E253" t="s">
        <v>162</v>
      </c>
      <c r="F253">
        <v>88</v>
      </c>
      <c r="G253">
        <v>85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O253">
        <v>46</v>
      </c>
      <c r="P253">
        <f t="shared" si="16"/>
        <v>2023</v>
      </c>
      <c r="Q253">
        <f t="shared" si="17"/>
        <v>7</v>
      </c>
      <c r="R253" t="str">
        <f t="shared" si="18"/>
        <v>手机浏览器访问天猫</v>
      </c>
      <c r="S253" t="str">
        <f>_xlfn.XLOOKUP(B253,全店核心数据_bymonth!A:A,全店核心数据_bymonth!AN:AN)</f>
        <v>BU24</v>
      </c>
    </row>
    <row r="254" spans="1:19" x14ac:dyDescent="0.3">
      <c r="A254" t="s">
        <v>110</v>
      </c>
      <c r="B254" s="16">
        <v>45108</v>
      </c>
      <c r="C254" t="s">
        <v>3</v>
      </c>
      <c r="D254" t="s">
        <v>120</v>
      </c>
      <c r="E254" t="s">
        <v>163</v>
      </c>
      <c r="F254">
        <v>832</v>
      </c>
      <c r="G254">
        <v>580</v>
      </c>
      <c r="H254">
        <v>14</v>
      </c>
      <c r="I254">
        <v>0</v>
      </c>
      <c r="J254">
        <v>12039.5</v>
      </c>
      <c r="K254">
        <v>5</v>
      </c>
      <c r="L254">
        <v>12039.5</v>
      </c>
      <c r="M254">
        <v>5</v>
      </c>
      <c r="O254">
        <v>794</v>
      </c>
      <c r="P254">
        <f t="shared" si="16"/>
        <v>2023</v>
      </c>
      <c r="Q254">
        <f t="shared" si="17"/>
        <v>7</v>
      </c>
      <c r="R254" t="str">
        <f t="shared" si="18"/>
        <v>手猫免费其他</v>
      </c>
      <c r="S254" t="str">
        <f>_xlfn.XLOOKUP(B254,全店核心数据_bymonth!A:A,全店核心数据_bymonth!AN:AN)</f>
        <v>BU24</v>
      </c>
    </row>
    <row r="255" spans="1:19" x14ac:dyDescent="0.3">
      <c r="A255" t="s">
        <v>110</v>
      </c>
      <c r="B255" s="16">
        <v>45108</v>
      </c>
      <c r="C255" t="s">
        <v>3</v>
      </c>
      <c r="D255" t="s">
        <v>120</v>
      </c>
      <c r="E255" t="s">
        <v>164</v>
      </c>
      <c r="F255">
        <v>528</v>
      </c>
      <c r="G255">
        <v>407</v>
      </c>
      <c r="H255">
        <v>53</v>
      </c>
      <c r="I255">
        <v>0</v>
      </c>
      <c r="J255">
        <v>41382.5</v>
      </c>
      <c r="K255">
        <v>8</v>
      </c>
      <c r="L255">
        <v>41382.5</v>
      </c>
      <c r="M255">
        <v>8</v>
      </c>
      <c r="O255">
        <v>528</v>
      </c>
      <c r="P255">
        <f t="shared" si="16"/>
        <v>2023</v>
      </c>
      <c r="Q255">
        <f t="shared" si="17"/>
        <v>7</v>
      </c>
      <c r="R255" t="str">
        <f t="shared" si="18"/>
        <v>手猫其他店铺</v>
      </c>
      <c r="S255" t="str">
        <f>_xlfn.XLOOKUP(B255,全店核心数据_bymonth!A:A,全店核心数据_bymonth!AN:AN)</f>
        <v>BU24</v>
      </c>
    </row>
    <row r="256" spans="1:19" x14ac:dyDescent="0.3">
      <c r="A256" t="s">
        <v>110</v>
      </c>
      <c r="B256" s="16">
        <v>45108</v>
      </c>
      <c r="C256" t="s">
        <v>3</v>
      </c>
      <c r="D256" t="s">
        <v>120</v>
      </c>
      <c r="E256" t="s">
        <v>165</v>
      </c>
      <c r="F256">
        <v>514</v>
      </c>
      <c r="G256">
        <v>372</v>
      </c>
      <c r="H256">
        <v>25</v>
      </c>
      <c r="I256">
        <v>0</v>
      </c>
      <c r="J256">
        <v>14087.5</v>
      </c>
      <c r="K256">
        <v>4</v>
      </c>
      <c r="L256">
        <v>14087.5</v>
      </c>
      <c r="M256">
        <v>4</v>
      </c>
      <c r="O256">
        <v>503</v>
      </c>
      <c r="P256">
        <f t="shared" si="16"/>
        <v>2023</v>
      </c>
      <c r="Q256">
        <f t="shared" si="17"/>
        <v>7</v>
      </c>
      <c r="R256" t="str">
        <f t="shared" si="18"/>
        <v>手猫商品详情</v>
      </c>
      <c r="S256" t="str">
        <f>_xlfn.XLOOKUP(B256,全店核心数据_bymonth!A:A,全店核心数据_bymonth!AN:AN)</f>
        <v>BU24</v>
      </c>
    </row>
    <row r="257" spans="1:19" x14ac:dyDescent="0.3">
      <c r="A257" t="s">
        <v>110</v>
      </c>
      <c r="B257" s="16">
        <v>45108</v>
      </c>
      <c r="C257" t="s">
        <v>3</v>
      </c>
      <c r="D257" t="s">
        <v>120</v>
      </c>
      <c r="E257" t="s">
        <v>166</v>
      </c>
      <c r="F257">
        <v>808</v>
      </c>
      <c r="G257">
        <v>695</v>
      </c>
      <c r="H257">
        <v>23</v>
      </c>
      <c r="I257">
        <v>0</v>
      </c>
      <c r="J257">
        <v>21847.5</v>
      </c>
      <c r="K257">
        <v>6</v>
      </c>
      <c r="L257">
        <v>21847.5</v>
      </c>
      <c r="M257">
        <v>6</v>
      </c>
      <c r="O257">
        <v>607</v>
      </c>
      <c r="P257">
        <f t="shared" si="16"/>
        <v>2023</v>
      </c>
      <c r="Q257">
        <f t="shared" si="17"/>
        <v>7</v>
      </c>
      <c r="R257" t="str">
        <f t="shared" si="18"/>
        <v>手猫搜索</v>
      </c>
      <c r="S257" t="str">
        <f>_xlfn.XLOOKUP(B257,全店核心数据_bymonth!A:A,全店核心数据_bymonth!AN:AN)</f>
        <v>BU24</v>
      </c>
    </row>
    <row r="258" spans="1:19" x14ac:dyDescent="0.3">
      <c r="A258" t="s">
        <v>110</v>
      </c>
      <c r="B258" s="16">
        <v>45108</v>
      </c>
      <c r="C258" t="s">
        <v>3</v>
      </c>
      <c r="D258" t="s">
        <v>120</v>
      </c>
      <c r="E258" t="s">
        <v>167</v>
      </c>
      <c r="F258">
        <v>13</v>
      </c>
      <c r="G258">
        <v>4</v>
      </c>
      <c r="H258">
        <v>2</v>
      </c>
      <c r="I258">
        <v>0</v>
      </c>
      <c r="J258">
        <v>7700</v>
      </c>
      <c r="K258">
        <v>2</v>
      </c>
      <c r="L258">
        <v>7700</v>
      </c>
      <c r="M258">
        <v>2</v>
      </c>
      <c r="O258">
        <v>11</v>
      </c>
      <c r="P258">
        <f t="shared" si="16"/>
        <v>2023</v>
      </c>
      <c r="Q258">
        <f t="shared" si="17"/>
        <v>7</v>
      </c>
      <c r="R258" t="str">
        <f t="shared" si="18"/>
        <v>手猫旺信聊天</v>
      </c>
      <c r="S258" t="str">
        <f>_xlfn.XLOOKUP(B258,全店核心数据_bymonth!A:A,全店核心数据_bymonth!AN:AN)</f>
        <v>BU24</v>
      </c>
    </row>
    <row r="259" spans="1:19" x14ac:dyDescent="0.3">
      <c r="A259" t="s">
        <v>110</v>
      </c>
      <c r="B259" s="16">
        <v>45108</v>
      </c>
      <c r="C259" t="s">
        <v>3</v>
      </c>
      <c r="D259" t="s">
        <v>120</v>
      </c>
      <c r="E259" t="s">
        <v>192</v>
      </c>
      <c r="F259">
        <v>2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O259">
        <v>2</v>
      </c>
      <c r="P259">
        <f t="shared" si="16"/>
        <v>2023</v>
      </c>
      <c r="Q259">
        <f t="shared" si="17"/>
        <v>7</v>
      </c>
      <c r="R259" t="str">
        <f t="shared" si="18"/>
        <v>手猫消息中心</v>
      </c>
      <c r="S259" t="str">
        <f>_xlfn.XLOOKUP(B259,全店核心数据_bymonth!A:A,全店核心数据_bymonth!AN:AN)</f>
        <v>BU24</v>
      </c>
    </row>
    <row r="260" spans="1:19" x14ac:dyDescent="0.3">
      <c r="A260" t="s">
        <v>110</v>
      </c>
      <c r="B260" s="16">
        <v>45108</v>
      </c>
      <c r="C260" t="s">
        <v>3</v>
      </c>
      <c r="D260" t="s">
        <v>120</v>
      </c>
      <c r="E260" t="s">
        <v>168</v>
      </c>
      <c r="F260">
        <v>2708</v>
      </c>
      <c r="G260">
        <v>2389</v>
      </c>
      <c r="H260">
        <v>57</v>
      </c>
      <c r="I260">
        <v>0</v>
      </c>
      <c r="J260">
        <v>8725</v>
      </c>
      <c r="K260">
        <v>2</v>
      </c>
      <c r="L260">
        <v>8725</v>
      </c>
      <c r="M260">
        <v>2</v>
      </c>
      <c r="O260">
        <v>2708</v>
      </c>
      <c r="P260">
        <f t="shared" si="16"/>
        <v>2023</v>
      </c>
      <c r="Q260">
        <f t="shared" si="17"/>
        <v>7</v>
      </c>
      <c r="R260" t="str">
        <f t="shared" si="18"/>
        <v>手猫首页</v>
      </c>
      <c r="S260" t="str">
        <f>_xlfn.XLOOKUP(B260,全店核心数据_bymonth!A:A,全店核心数据_bymonth!AN:AN)</f>
        <v>BU24</v>
      </c>
    </row>
    <row r="261" spans="1:19" x14ac:dyDescent="0.3">
      <c r="A261" t="s">
        <v>110</v>
      </c>
      <c r="B261" s="16">
        <v>45108</v>
      </c>
      <c r="C261" t="s">
        <v>3</v>
      </c>
      <c r="D261" t="s">
        <v>123</v>
      </c>
      <c r="E261" t="s">
        <v>169</v>
      </c>
      <c r="F261">
        <v>1197</v>
      </c>
      <c r="G261">
        <v>714</v>
      </c>
      <c r="H261">
        <v>50</v>
      </c>
      <c r="I261">
        <v>27</v>
      </c>
      <c r="J261">
        <v>32341.5</v>
      </c>
      <c r="K261">
        <v>11</v>
      </c>
      <c r="L261">
        <v>32341.5</v>
      </c>
      <c r="M261">
        <v>11</v>
      </c>
      <c r="O261">
        <v>1130</v>
      </c>
      <c r="P261">
        <f t="shared" si="16"/>
        <v>2023</v>
      </c>
      <c r="Q261">
        <f t="shared" si="17"/>
        <v>7</v>
      </c>
      <c r="R261" t="str">
        <f t="shared" si="18"/>
        <v>商品详情页头图推荐</v>
      </c>
      <c r="S261" t="str">
        <f>_xlfn.XLOOKUP(B261,全店核心数据_bymonth!A:A,全店核心数据_bymonth!AN:AN)</f>
        <v>BU24</v>
      </c>
    </row>
    <row r="262" spans="1:19" x14ac:dyDescent="0.3">
      <c r="A262" t="s">
        <v>110</v>
      </c>
      <c r="B262" s="16">
        <v>45108</v>
      </c>
      <c r="C262" t="s">
        <v>3</v>
      </c>
      <c r="D262" t="s">
        <v>123</v>
      </c>
      <c r="E262" t="s">
        <v>170</v>
      </c>
      <c r="F262">
        <v>309</v>
      </c>
      <c r="G262">
        <v>220</v>
      </c>
      <c r="H262">
        <v>9</v>
      </c>
      <c r="I262">
        <v>1</v>
      </c>
      <c r="J262">
        <v>9287.5</v>
      </c>
      <c r="K262">
        <v>2</v>
      </c>
      <c r="L262">
        <v>9287.5</v>
      </c>
      <c r="M262">
        <v>2</v>
      </c>
      <c r="O262">
        <v>132</v>
      </c>
      <c r="P262">
        <f t="shared" si="16"/>
        <v>2023</v>
      </c>
      <c r="Q262">
        <f t="shared" si="17"/>
        <v>7</v>
      </c>
      <c r="R262" t="str">
        <f t="shared" si="18"/>
        <v>店铺超链</v>
      </c>
      <c r="S262" t="str">
        <f>_xlfn.XLOOKUP(B262,全店核心数据_bymonth!A:A,全店核心数据_bymonth!AN:AN)</f>
        <v>BU24</v>
      </c>
    </row>
    <row r="263" spans="1:19" x14ac:dyDescent="0.3">
      <c r="A263" t="s">
        <v>110</v>
      </c>
      <c r="B263" s="16">
        <v>45108</v>
      </c>
      <c r="C263" t="s">
        <v>3</v>
      </c>
      <c r="D263" t="s">
        <v>127</v>
      </c>
      <c r="E263" t="s">
        <v>171</v>
      </c>
      <c r="F263">
        <v>1040</v>
      </c>
      <c r="G263">
        <v>594</v>
      </c>
      <c r="H263">
        <v>23</v>
      </c>
      <c r="I263">
        <v>11</v>
      </c>
      <c r="J263">
        <v>21233</v>
      </c>
      <c r="K263">
        <v>6</v>
      </c>
      <c r="L263">
        <v>18238</v>
      </c>
      <c r="M263">
        <v>5</v>
      </c>
      <c r="O263">
        <v>850</v>
      </c>
      <c r="P263">
        <f t="shared" si="16"/>
        <v>2023</v>
      </c>
      <c r="Q263">
        <f t="shared" si="17"/>
        <v>7</v>
      </c>
      <c r="R263" t="str">
        <f t="shared" si="18"/>
        <v>其他猜你喜欢</v>
      </c>
      <c r="S263" t="str">
        <f>_xlfn.XLOOKUP(B263,全店核心数据_bymonth!A:A,全店核心数据_bymonth!AN:AN)</f>
        <v>BU24</v>
      </c>
    </row>
    <row r="264" spans="1:19" x14ac:dyDescent="0.3">
      <c r="A264" t="s">
        <v>110</v>
      </c>
      <c r="B264" s="16">
        <v>45108</v>
      </c>
      <c r="C264" t="s">
        <v>3</v>
      </c>
      <c r="D264" t="s">
        <v>127</v>
      </c>
      <c r="E264" t="s">
        <v>193</v>
      </c>
      <c r="F264">
        <v>47</v>
      </c>
      <c r="G264">
        <v>42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O264">
        <v>47</v>
      </c>
      <c r="P264">
        <f t="shared" si="16"/>
        <v>2023</v>
      </c>
      <c r="Q264">
        <f t="shared" si="17"/>
        <v>7</v>
      </c>
      <c r="R264" t="str">
        <f t="shared" si="18"/>
        <v>推荐云主题</v>
      </c>
      <c r="S264" t="str">
        <f>_xlfn.XLOOKUP(B264,全店核心数据_bymonth!A:A,全店核心数据_bymonth!AN:AN)</f>
        <v>BU24</v>
      </c>
    </row>
    <row r="265" spans="1:19" x14ac:dyDescent="0.3">
      <c r="A265" t="s">
        <v>110</v>
      </c>
      <c r="B265" s="16">
        <v>45108</v>
      </c>
      <c r="C265" t="s">
        <v>3</v>
      </c>
      <c r="D265" t="s">
        <v>127</v>
      </c>
      <c r="E265" t="s">
        <v>172</v>
      </c>
      <c r="F265">
        <v>103</v>
      </c>
      <c r="G265">
        <v>61</v>
      </c>
      <c r="H265">
        <v>3</v>
      </c>
      <c r="I265">
        <v>0</v>
      </c>
      <c r="J265">
        <v>1557</v>
      </c>
      <c r="K265">
        <v>1</v>
      </c>
      <c r="L265">
        <v>1557</v>
      </c>
      <c r="M265">
        <v>1</v>
      </c>
      <c r="O265">
        <v>103</v>
      </c>
      <c r="P265">
        <f t="shared" si="16"/>
        <v>2023</v>
      </c>
      <c r="Q265">
        <f t="shared" si="17"/>
        <v>7</v>
      </c>
      <c r="R265" t="str">
        <f t="shared" si="18"/>
        <v>购中推荐</v>
      </c>
      <c r="S265" t="str">
        <f>_xlfn.XLOOKUP(B265,全店核心数据_bymonth!A:A,全店核心数据_bymonth!AN:AN)</f>
        <v>BU24</v>
      </c>
    </row>
    <row r="266" spans="1:19" x14ac:dyDescent="0.3">
      <c r="A266" t="s">
        <v>110</v>
      </c>
      <c r="B266" s="16">
        <v>45108</v>
      </c>
      <c r="C266" t="s">
        <v>3</v>
      </c>
      <c r="D266" t="s">
        <v>127</v>
      </c>
      <c r="E266" t="s">
        <v>173</v>
      </c>
      <c r="F266">
        <v>659</v>
      </c>
      <c r="G266">
        <v>394</v>
      </c>
      <c r="H266">
        <v>12</v>
      </c>
      <c r="I266">
        <v>4</v>
      </c>
      <c r="J266">
        <v>6478</v>
      </c>
      <c r="K266">
        <v>3</v>
      </c>
      <c r="L266">
        <v>6478</v>
      </c>
      <c r="M266">
        <v>3</v>
      </c>
      <c r="O266">
        <v>659</v>
      </c>
      <c r="P266">
        <f t="shared" si="16"/>
        <v>2023</v>
      </c>
      <c r="Q266">
        <f t="shared" si="17"/>
        <v>7</v>
      </c>
      <c r="R266" t="str">
        <f t="shared" si="18"/>
        <v>购后推荐</v>
      </c>
      <c r="S266" t="str">
        <f>_xlfn.XLOOKUP(B266,全店核心数据_bymonth!A:A,全店核心数据_bymonth!AN:AN)</f>
        <v>BU24</v>
      </c>
    </row>
    <row r="267" spans="1:19" x14ac:dyDescent="0.3">
      <c r="A267" t="s">
        <v>110</v>
      </c>
      <c r="B267" s="16">
        <v>45108</v>
      </c>
      <c r="C267" t="s">
        <v>3</v>
      </c>
      <c r="D267" t="s">
        <v>127</v>
      </c>
      <c r="E267" t="s">
        <v>174</v>
      </c>
      <c r="F267">
        <v>46683</v>
      </c>
      <c r="G267">
        <v>43617</v>
      </c>
      <c r="H267">
        <v>205</v>
      </c>
      <c r="I267">
        <v>169</v>
      </c>
      <c r="J267">
        <v>86458.5</v>
      </c>
      <c r="K267">
        <v>21</v>
      </c>
      <c r="L267">
        <v>61568.5</v>
      </c>
      <c r="M267">
        <v>18</v>
      </c>
      <c r="O267">
        <v>46683</v>
      </c>
      <c r="P267">
        <f t="shared" si="16"/>
        <v>2023</v>
      </c>
      <c r="Q267">
        <f t="shared" si="17"/>
        <v>7</v>
      </c>
      <c r="R267" t="str">
        <f t="shared" si="18"/>
        <v>首页推荐-微详情</v>
      </c>
      <c r="S267" t="str">
        <f>_xlfn.XLOOKUP(B267,全店核心数据_bymonth!A:A,全店核心数据_bymonth!AN:AN)</f>
        <v>BU24</v>
      </c>
    </row>
    <row r="268" spans="1:19" x14ac:dyDescent="0.3">
      <c r="A268" t="s">
        <v>110</v>
      </c>
      <c r="B268" s="16">
        <v>45108</v>
      </c>
      <c r="C268" t="s">
        <v>3</v>
      </c>
      <c r="D268" t="s">
        <v>127</v>
      </c>
      <c r="E268" t="s">
        <v>175</v>
      </c>
      <c r="F268">
        <v>3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O268">
        <v>0</v>
      </c>
      <c r="P268">
        <f t="shared" si="16"/>
        <v>2023</v>
      </c>
      <c r="Q268">
        <f t="shared" si="17"/>
        <v>7</v>
      </c>
      <c r="R268" t="str">
        <f t="shared" si="18"/>
        <v>首页推荐-直播</v>
      </c>
      <c r="S268" t="str">
        <f>_xlfn.XLOOKUP(B268,全店核心数据_bymonth!A:A,全店核心数据_bymonth!AN:AN)</f>
        <v>BU24</v>
      </c>
    </row>
    <row r="269" spans="1:19" x14ac:dyDescent="0.3">
      <c r="A269" t="s">
        <v>110</v>
      </c>
      <c r="B269" s="16">
        <v>45108</v>
      </c>
      <c r="C269" t="s">
        <v>3</v>
      </c>
      <c r="D269" t="s">
        <v>127</v>
      </c>
      <c r="E269" t="s">
        <v>176</v>
      </c>
      <c r="F269">
        <v>54</v>
      </c>
      <c r="G269">
        <v>42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O269">
        <v>1</v>
      </c>
      <c r="P269">
        <f t="shared" si="16"/>
        <v>2023</v>
      </c>
      <c r="Q269">
        <f t="shared" si="17"/>
        <v>7</v>
      </c>
      <c r="R269" t="str">
        <f t="shared" si="18"/>
        <v>首页推荐-短视频</v>
      </c>
      <c r="S269" t="str">
        <f>_xlfn.XLOOKUP(B269,全店核心数据_bymonth!A:A,全店核心数据_bymonth!AN:AN)</f>
        <v>BU24</v>
      </c>
    </row>
    <row r="270" spans="1:19" x14ac:dyDescent="0.3">
      <c r="A270" t="s">
        <v>110</v>
      </c>
      <c r="B270" s="16">
        <v>45108</v>
      </c>
      <c r="C270" t="s">
        <v>3</v>
      </c>
      <c r="D270" t="s">
        <v>143</v>
      </c>
      <c r="E270" t="s">
        <v>196</v>
      </c>
      <c r="F270">
        <v>25</v>
      </c>
      <c r="G270">
        <v>20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O270">
        <v>25</v>
      </c>
      <c r="P270">
        <f t="shared" si="16"/>
        <v>2023</v>
      </c>
      <c r="Q270">
        <f t="shared" si="17"/>
        <v>7</v>
      </c>
      <c r="R270" t="str">
        <f t="shared" si="18"/>
        <v>淘特互动游戏</v>
      </c>
      <c r="S270" t="str">
        <f>_xlfn.XLOOKUP(B270,全店核心数据_bymonth!A:A,全店核心数据_bymonth!AN:AN)</f>
        <v>BU24</v>
      </c>
    </row>
    <row r="271" spans="1:19" x14ac:dyDescent="0.3">
      <c r="A271" t="s">
        <v>110</v>
      </c>
      <c r="B271" s="16">
        <v>45108</v>
      </c>
      <c r="C271" t="s">
        <v>3</v>
      </c>
      <c r="D271" t="s">
        <v>143</v>
      </c>
      <c r="E271" t="s">
        <v>180</v>
      </c>
      <c r="F271">
        <v>4</v>
      </c>
      <c r="G271">
        <v>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O271">
        <v>4</v>
      </c>
      <c r="P271">
        <f t="shared" si="16"/>
        <v>2023</v>
      </c>
      <c r="Q271">
        <f t="shared" si="17"/>
        <v>7</v>
      </c>
      <c r="R271" t="str">
        <f t="shared" si="18"/>
        <v>淘特其他渠道</v>
      </c>
      <c r="S271" t="str">
        <f>_xlfn.XLOOKUP(B271,全店核心数据_bymonth!A:A,全店核心数据_bymonth!AN:AN)</f>
        <v>BU24</v>
      </c>
    </row>
    <row r="272" spans="1:19" x14ac:dyDescent="0.3">
      <c r="A272" t="s">
        <v>110</v>
      </c>
      <c r="B272" s="16">
        <v>45108</v>
      </c>
      <c r="C272" t="s">
        <v>3</v>
      </c>
      <c r="D272" t="s">
        <v>143</v>
      </c>
      <c r="E272" t="s">
        <v>197</v>
      </c>
      <c r="F272">
        <v>23</v>
      </c>
      <c r="G272">
        <v>17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O272">
        <v>23</v>
      </c>
      <c r="P272">
        <f t="shared" si="16"/>
        <v>2023</v>
      </c>
      <c r="Q272">
        <f t="shared" si="17"/>
        <v>7</v>
      </c>
      <c r="R272" t="str">
        <f t="shared" si="18"/>
        <v>淘特推荐</v>
      </c>
      <c r="S272" t="str">
        <f>_xlfn.XLOOKUP(B272,全店核心数据_bymonth!A:A,全店核心数据_bymonth!AN:AN)</f>
        <v>BU24</v>
      </c>
    </row>
    <row r="273" spans="1:19" x14ac:dyDescent="0.3">
      <c r="A273" t="s">
        <v>110</v>
      </c>
      <c r="B273" s="16">
        <v>45108</v>
      </c>
      <c r="C273" t="s">
        <v>3</v>
      </c>
      <c r="D273" t="s">
        <v>143</v>
      </c>
      <c r="E273" t="s">
        <v>181</v>
      </c>
      <c r="F273">
        <v>22</v>
      </c>
      <c r="G273">
        <v>20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O273">
        <v>22</v>
      </c>
      <c r="P273">
        <f t="shared" si="16"/>
        <v>2023</v>
      </c>
      <c r="Q273">
        <f t="shared" si="17"/>
        <v>7</v>
      </c>
      <c r="R273" t="str">
        <f t="shared" si="18"/>
        <v>淘特搜索</v>
      </c>
      <c r="S273" t="str">
        <f>_xlfn.XLOOKUP(B273,全店核心数据_bymonth!A:A,全店核心数据_bymonth!AN:AN)</f>
        <v>BU24</v>
      </c>
    </row>
    <row r="274" spans="1:19" x14ac:dyDescent="0.3">
      <c r="A274" t="s">
        <v>110</v>
      </c>
      <c r="B274" s="16">
        <v>45108</v>
      </c>
      <c r="C274" t="s">
        <v>3</v>
      </c>
      <c r="D274" t="s">
        <v>143</v>
      </c>
      <c r="E274" t="s">
        <v>224</v>
      </c>
      <c r="F274">
        <v>4</v>
      </c>
      <c r="G274">
        <v>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O274">
        <v>4</v>
      </c>
      <c r="P274">
        <f t="shared" si="16"/>
        <v>2023</v>
      </c>
      <c r="Q274">
        <f t="shared" si="17"/>
        <v>7</v>
      </c>
      <c r="R274" t="str">
        <f t="shared" si="18"/>
        <v>淘特自主访问</v>
      </c>
      <c r="S274" t="str">
        <f>_xlfn.XLOOKUP(B274,全店核心数据_bymonth!A:A,全店核心数据_bymonth!AN:AN)</f>
        <v>BU24</v>
      </c>
    </row>
    <row r="275" spans="1:19" x14ac:dyDescent="0.3">
      <c r="A275" t="s">
        <v>110</v>
      </c>
      <c r="B275" s="16">
        <v>45108</v>
      </c>
      <c r="C275" t="s">
        <v>2</v>
      </c>
      <c r="D275" t="s">
        <v>52</v>
      </c>
      <c r="E275" t="s">
        <v>183</v>
      </c>
      <c r="F275">
        <v>10861</v>
      </c>
      <c r="G275">
        <v>10262</v>
      </c>
      <c r="H275">
        <v>199</v>
      </c>
      <c r="I275">
        <v>76</v>
      </c>
      <c r="J275">
        <v>184851.5</v>
      </c>
      <c r="K275">
        <v>36</v>
      </c>
      <c r="L275">
        <v>142883</v>
      </c>
      <c r="M275">
        <v>31</v>
      </c>
      <c r="O275">
        <v>4839</v>
      </c>
      <c r="P275">
        <f t="shared" si="16"/>
        <v>2023</v>
      </c>
      <c r="Q275">
        <f t="shared" si="17"/>
        <v>7</v>
      </c>
      <c r="R275" t="str">
        <f t="shared" si="18"/>
        <v>品销宝-品牌专区</v>
      </c>
      <c r="S275" t="str">
        <f>_xlfn.XLOOKUP(B275,全店核心数据_bymonth!A:A,全店核心数据_bymonth!AN:AN)</f>
        <v>BU24</v>
      </c>
    </row>
    <row r="276" spans="1:19" x14ac:dyDescent="0.3">
      <c r="A276" t="s">
        <v>110</v>
      </c>
      <c r="B276" s="16">
        <v>45108</v>
      </c>
      <c r="C276" t="s">
        <v>2</v>
      </c>
      <c r="D276" t="s">
        <v>57</v>
      </c>
      <c r="E276" t="s">
        <v>65</v>
      </c>
      <c r="F276">
        <v>43294</v>
      </c>
      <c r="G276">
        <v>41686</v>
      </c>
      <c r="H276">
        <v>455</v>
      </c>
      <c r="I276">
        <v>331</v>
      </c>
      <c r="J276">
        <v>231465</v>
      </c>
      <c r="K276">
        <v>47</v>
      </c>
      <c r="L276">
        <v>94679.5</v>
      </c>
      <c r="M276">
        <v>22</v>
      </c>
      <c r="O276">
        <v>42608</v>
      </c>
      <c r="P276">
        <f t="shared" si="16"/>
        <v>2023</v>
      </c>
      <c r="Q276">
        <f t="shared" si="17"/>
        <v>7</v>
      </c>
      <c r="R276" t="str">
        <f t="shared" si="18"/>
        <v>直通车</v>
      </c>
      <c r="S276" t="str">
        <f>_xlfn.XLOOKUP(B276,全店核心数据_bymonth!A:A,全店核心数据_bymonth!AN:AN)</f>
        <v>BU24</v>
      </c>
    </row>
    <row r="277" spans="1:19" x14ac:dyDescent="0.3">
      <c r="A277" t="s">
        <v>110</v>
      </c>
      <c r="B277" s="16">
        <v>45108</v>
      </c>
      <c r="C277" t="s">
        <v>2</v>
      </c>
      <c r="D277" t="s">
        <v>57</v>
      </c>
      <c r="E277" t="s">
        <v>63</v>
      </c>
      <c r="F277">
        <v>37824</v>
      </c>
      <c r="G277">
        <v>34052</v>
      </c>
      <c r="H277">
        <v>515</v>
      </c>
      <c r="I277">
        <v>250</v>
      </c>
      <c r="J277">
        <v>467944.18</v>
      </c>
      <c r="K277">
        <v>124</v>
      </c>
      <c r="L277">
        <v>302105.18</v>
      </c>
      <c r="M277">
        <v>95</v>
      </c>
      <c r="O277">
        <v>37761</v>
      </c>
      <c r="P277">
        <f t="shared" ref="P277:P340" si="19">YEAR(B277)</f>
        <v>2023</v>
      </c>
      <c r="Q277">
        <f t="shared" ref="Q277:Q340" si="20">MONTH(B277)</f>
        <v>7</v>
      </c>
      <c r="R277" t="str">
        <f t="shared" ref="R277:R340" si="21">E277</f>
        <v>万相台</v>
      </c>
      <c r="S277" t="str">
        <f>_xlfn.XLOOKUP(B277,全店核心数据_bymonth!A:A,全店核心数据_bymonth!AN:AN)</f>
        <v>BU24</v>
      </c>
    </row>
    <row r="278" spans="1:19" x14ac:dyDescent="0.3">
      <c r="A278" t="s">
        <v>110</v>
      </c>
      <c r="B278" s="16">
        <v>45108</v>
      </c>
      <c r="C278" t="s">
        <v>2</v>
      </c>
      <c r="D278" t="s">
        <v>57</v>
      </c>
      <c r="E278" t="s">
        <v>64</v>
      </c>
      <c r="F278">
        <v>76820</v>
      </c>
      <c r="G278">
        <v>70717</v>
      </c>
      <c r="H278">
        <v>426</v>
      </c>
      <c r="I278">
        <v>303</v>
      </c>
      <c r="J278">
        <v>83487.81</v>
      </c>
      <c r="K278">
        <v>31</v>
      </c>
      <c r="L278">
        <v>44849.31</v>
      </c>
      <c r="M278">
        <v>21</v>
      </c>
      <c r="O278">
        <v>76675</v>
      </c>
      <c r="P278">
        <f t="shared" si="19"/>
        <v>2023</v>
      </c>
      <c r="Q278">
        <f t="shared" si="20"/>
        <v>7</v>
      </c>
      <c r="R278" t="str">
        <f t="shared" si="21"/>
        <v>引力魔方</v>
      </c>
      <c r="S278" t="str">
        <f>_xlfn.XLOOKUP(B278,全店核心数据_bymonth!A:A,全店核心数据_bymonth!AN:AN)</f>
        <v>BU24</v>
      </c>
    </row>
    <row r="279" spans="1:19" x14ac:dyDescent="0.3">
      <c r="A279" t="s">
        <v>110</v>
      </c>
      <c r="B279" s="16">
        <v>45108</v>
      </c>
      <c r="C279" t="s">
        <v>2</v>
      </c>
      <c r="D279" t="s">
        <v>4</v>
      </c>
      <c r="E279" t="s">
        <v>44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O279">
        <v>0</v>
      </c>
      <c r="P279">
        <f t="shared" si="19"/>
        <v>2023</v>
      </c>
      <c r="Q279">
        <f t="shared" si="20"/>
        <v>7</v>
      </c>
      <c r="R279" t="str">
        <f t="shared" si="21"/>
        <v>UD品牌投放</v>
      </c>
      <c r="S279" t="str">
        <f>_xlfn.XLOOKUP(B279,全店核心数据_bymonth!A:A,全店核心数据_bymonth!AN:AN)</f>
        <v>BU24</v>
      </c>
    </row>
    <row r="280" spans="1:19" x14ac:dyDescent="0.3">
      <c r="A280" t="s">
        <v>110</v>
      </c>
      <c r="B280" s="16">
        <v>45108</v>
      </c>
      <c r="C280" t="s">
        <v>2</v>
      </c>
      <c r="D280" t="s">
        <v>4</v>
      </c>
      <c r="E280" t="s">
        <v>42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O280">
        <v>1</v>
      </c>
      <c r="P280">
        <f t="shared" si="19"/>
        <v>2023</v>
      </c>
      <c r="Q280">
        <f t="shared" si="20"/>
        <v>7</v>
      </c>
      <c r="R280" t="str">
        <f t="shared" si="21"/>
        <v>UD效果投放</v>
      </c>
      <c r="S280" t="str">
        <f>_xlfn.XLOOKUP(B280,全店核心数据_bymonth!A:A,全店核心数据_bymonth!AN:AN)</f>
        <v>BU24</v>
      </c>
    </row>
    <row r="281" spans="1:19" x14ac:dyDescent="0.3">
      <c r="A281" t="s">
        <v>110</v>
      </c>
      <c r="B281" s="16">
        <v>45108</v>
      </c>
      <c r="C281" t="s">
        <v>2</v>
      </c>
      <c r="D281" t="s">
        <v>4</v>
      </c>
      <c r="E281" t="s">
        <v>41</v>
      </c>
      <c r="F281">
        <v>78</v>
      </c>
      <c r="G281">
        <v>73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O281">
        <v>19</v>
      </c>
      <c r="P281">
        <f t="shared" si="19"/>
        <v>2023</v>
      </c>
      <c r="Q281">
        <f t="shared" si="20"/>
        <v>7</v>
      </c>
      <c r="R281" t="str">
        <f t="shared" si="21"/>
        <v>流量宝</v>
      </c>
      <c r="S281" t="str">
        <f>_xlfn.XLOOKUP(B281,全店核心数据_bymonth!A:A,全店核心数据_bymonth!AN:AN)</f>
        <v>BU24</v>
      </c>
    </row>
    <row r="282" spans="1:19" x14ac:dyDescent="0.3">
      <c r="A282" t="s">
        <v>110</v>
      </c>
      <c r="B282" s="16">
        <v>45108</v>
      </c>
      <c r="C282" t="s">
        <v>2</v>
      </c>
      <c r="D282" t="s">
        <v>4</v>
      </c>
      <c r="E282" t="s">
        <v>43</v>
      </c>
      <c r="F282">
        <v>2911</v>
      </c>
      <c r="G282">
        <v>1638</v>
      </c>
      <c r="H282">
        <v>14</v>
      </c>
      <c r="I282">
        <v>5</v>
      </c>
      <c r="J282">
        <v>27028</v>
      </c>
      <c r="K282">
        <v>7</v>
      </c>
      <c r="L282">
        <v>27028</v>
      </c>
      <c r="M282">
        <v>7</v>
      </c>
      <c r="O282">
        <v>2737</v>
      </c>
      <c r="P282">
        <f t="shared" si="19"/>
        <v>2023</v>
      </c>
      <c r="Q282">
        <f t="shared" si="20"/>
        <v>7</v>
      </c>
      <c r="R282" t="str">
        <f t="shared" si="21"/>
        <v>淘宝客</v>
      </c>
      <c r="S282" t="str">
        <f>_xlfn.XLOOKUP(B282,全店核心数据_bymonth!A:A,全店核心数据_bymonth!AN:AN)</f>
        <v>BU24</v>
      </c>
    </row>
    <row r="283" spans="1:19" x14ac:dyDescent="0.3">
      <c r="A283" t="s">
        <v>110</v>
      </c>
      <c r="B283" s="16">
        <v>45505</v>
      </c>
      <c r="C283" t="s">
        <v>3</v>
      </c>
      <c r="D283" t="s">
        <v>117</v>
      </c>
      <c r="E283" t="s">
        <v>161</v>
      </c>
      <c r="F283">
        <v>1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O283">
        <v>1</v>
      </c>
      <c r="P283">
        <f t="shared" si="19"/>
        <v>2024</v>
      </c>
      <c r="Q283">
        <f t="shared" si="20"/>
        <v>8</v>
      </c>
      <c r="R283" t="str">
        <f t="shared" si="21"/>
        <v>其他入口榜单</v>
      </c>
      <c r="S283" t="str">
        <f>_xlfn.XLOOKUP(B283,全店核心数据_bymonth!A:A,全店核心数据_bymonth!AN:AN)</f>
        <v>BU25</v>
      </c>
    </row>
    <row r="284" spans="1:19" x14ac:dyDescent="0.3">
      <c r="A284" t="s">
        <v>110</v>
      </c>
      <c r="B284" s="16">
        <v>45505</v>
      </c>
      <c r="C284" t="s">
        <v>3</v>
      </c>
      <c r="D284" t="s">
        <v>120</v>
      </c>
      <c r="E284" t="s">
        <v>162</v>
      </c>
      <c r="F284">
        <v>15</v>
      </c>
      <c r="G284">
        <v>14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O284">
        <v>4</v>
      </c>
      <c r="P284">
        <f t="shared" si="19"/>
        <v>2024</v>
      </c>
      <c r="Q284">
        <f t="shared" si="20"/>
        <v>8</v>
      </c>
      <c r="R284" t="str">
        <f t="shared" si="21"/>
        <v>手机浏览器访问天猫</v>
      </c>
      <c r="S284" t="str">
        <f>_xlfn.XLOOKUP(B284,全店核心数据_bymonth!A:A,全店核心数据_bymonth!AN:AN)</f>
        <v>BU25</v>
      </c>
    </row>
    <row r="285" spans="1:19" x14ac:dyDescent="0.3">
      <c r="A285" t="s">
        <v>110</v>
      </c>
      <c r="B285" s="16">
        <v>45505</v>
      </c>
      <c r="C285" t="s">
        <v>3</v>
      </c>
      <c r="D285" t="s">
        <v>120</v>
      </c>
      <c r="E285" t="s">
        <v>163</v>
      </c>
      <c r="F285">
        <v>440</v>
      </c>
      <c r="G285">
        <v>338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0</v>
      </c>
      <c r="O285">
        <v>353</v>
      </c>
      <c r="P285">
        <f t="shared" si="19"/>
        <v>2024</v>
      </c>
      <c r="Q285">
        <f t="shared" si="20"/>
        <v>8</v>
      </c>
      <c r="R285" t="str">
        <f t="shared" si="21"/>
        <v>手猫免费其他</v>
      </c>
      <c r="S285" t="str">
        <f>_xlfn.XLOOKUP(B285,全店核心数据_bymonth!A:A,全店核心数据_bymonth!AN:AN)</f>
        <v>BU25</v>
      </c>
    </row>
    <row r="286" spans="1:19" x14ac:dyDescent="0.3">
      <c r="A286" t="s">
        <v>110</v>
      </c>
      <c r="B286" s="16">
        <v>45505</v>
      </c>
      <c r="C286" t="s">
        <v>3</v>
      </c>
      <c r="D286" t="s">
        <v>120</v>
      </c>
      <c r="E286" t="s">
        <v>164</v>
      </c>
      <c r="F286">
        <v>341</v>
      </c>
      <c r="G286">
        <v>282</v>
      </c>
      <c r="H286">
        <v>8</v>
      </c>
      <c r="I286">
        <v>0</v>
      </c>
      <c r="J286">
        <v>13535</v>
      </c>
      <c r="K286">
        <v>4</v>
      </c>
      <c r="L286">
        <v>13185</v>
      </c>
      <c r="M286">
        <v>3</v>
      </c>
      <c r="O286">
        <v>341</v>
      </c>
      <c r="P286">
        <f t="shared" si="19"/>
        <v>2024</v>
      </c>
      <c r="Q286">
        <f t="shared" si="20"/>
        <v>8</v>
      </c>
      <c r="R286" t="str">
        <f t="shared" si="21"/>
        <v>手猫其他店铺</v>
      </c>
      <c r="S286" t="str">
        <f>_xlfn.XLOOKUP(B286,全店核心数据_bymonth!A:A,全店核心数据_bymonth!AN:AN)</f>
        <v>BU25</v>
      </c>
    </row>
    <row r="287" spans="1:19" x14ac:dyDescent="0.3">
      <c r="A287" t="s">
        <v>110</v>
      </c>
      <c r="B287" s="16">
        <v>45505</v>
      </c>
      <c r="C287" t="s">
        <v>3</v>
      </c>
      <c r="D287" t="s">
        <v>120</v>
      </c>
      <c r="E287" t="s">
        <v>165</v>
      </c>
      <c r="F287">
        <v>172</v>
      </c>
      <c r="G287">
        <v>118</v>
      </c>
      <c r="H287">
        <v>2</v>
      </c>
      <c r="I287">
        <v>0</v>
      </c>
      <c r="J287">
        <v>16880</v>
      </c>
      <c r="K287">
        <v>4</v>
      </c>
      <c r="L287">
        <v>16880</v>
      </c>
      <c r="M287">
        <v>4</v>
      </c>
      <c r="O287">
        <v>150</v>
      </c>
      <c r="P287">
        <f t="shared" si="19"/>
        <v>2024</v>
      </c>
      <c r="Q287">
        <f t="shared" si="20"/>
        <v>8</v>
      </c>
      <c r="R287" t="str">
        <f t="shared" si="21"/>
        <v>手猫商品详情</v>
      </c>
      <c r="S287" t="str">
        <f>_xlfn.XLOOKUP(B287,全店核心数据_bymonth!A:A,全店核心数据_bymonth!AN:AN)</f>
        <v>BU25</v>
      </c>
    </row>
    <row r="288" spans="1:19" x14ac:dyDescent="0.3">
      <c r="A288" t="s">
        <v>110</v>
      </c>
      <c r="B288" s="16">
        <v>45505</v>
      </c>
      <c r="C288" t="s">
        <v>3</v>
      </c>
      <c r="D288" t="s">
        <v>120</v>
      </c>
      <c r="E288" t="s">
        <v>166</v>
      </c>
      <c r="F288">
        <v>635</v>
      </c>
      <c r="G288">
        <v>568</v>
      </c>
      <c r="H288">
        <v>7</v>
      </c>
      <c r="I288">
        <v>0</v>
      </c>
      <c r="J288">
        <v>18915</v>
      </c>
      <c r="K288">
        <v>4</v>
      </c>
      <c r="L288">
        <v>18915</v>
      </c>
      <c r="M288">
        <v>4</v>
      </c>
      <c r="O288">
        <v>462</v>
      </c>
      <c r="P288">
        <f t="shared" si="19"/>
        <v>2024</v>
      </c>
      <c r="Q288">
        <f t="shared" si="20"/>
        <v>8</v>
      </c>
      <c r="R288" t="str">
        <f t="shared" si="21"/>
        <v>手猫搜索</v>
      </c>
      <c r="S288" t="str">
        <f>_xlfn.XLOOKUP(B288,全店核心数据_bymonth!A:A,全店核心数据_bymonth!AN:AN)</f>
        <v>BU25</v>
      </c>
    </row>
    <row r="289" spans="1:19" x14ac:dyDescent="0.3">
      <c r="A289" t="s">
        <v>110</v>
      </c>
      <c r="B289" s="16">
        <v>45505</v>
      </c>
      <c r="C289" t="s">
        <v>3</v>
      </c>
      <c r="D289" t="s">
        <v>120</v>
      </c>
      <c r="E289" t="s">
        <v>167</v>
      </c>
      <c r="F289">
        <v>8</v>
      </c>
      <c r="G289">
        <v>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O289">
        <v>7</v>
      </c>
      <c r="P289">
        <f t="shared" si="19"/>
        <v>2024</v>
      </c>
      <c r="Q289">
        <f t="shared" si="20"/>
        <v>8</v>
      </c>
      <c r="R289" t="str">
        <f t="shared" si="21"/>
        <v>手猫旺信聊天</v>
      </c>
      <c r="S289" t="str">
        <f>_xlfn.XLOOKUP(B289,全店核心数据_bymonth!A:A,全店核心数据_bymonth!AN:AN)</f>
        <v>BU25</v>
      </c>
    </row>
    <row r="290" spans="1:19" x14ac:dyDescent="0.3">
      <c r="A290" t="s">
        <v>110</v>
      </c>
      <c r="B290" s="16">
        <v>45505</v>
      </c>
      <c r="C290" t="s">
        <v>3</v>
      </c>
      <c r="D290" t="s">
        <v>120</v>
      </c>
      <c r="E290" t="s">
        <v>192</v>
      </c>
      <c r="F290">
        <v>35</v>
      </c>
      <c r="G290">
        <v>18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O290">
        <v>35</v>
      </c>
      <c r="P290">
        <f t="shared" si="19"/>
        <v>2024</v>
      </c>
      <c r="Q290">
        <f t="shared" si="20"/>
        <v>8</v>
      </c>
      <c r="R290" t="str">
        <f t="shared" si="21"/>
        <v>手猫消息中心</v>
      </c>
      <c r="S290" t="str">
        <f>_xlfn.XLOOKUP(B290,全店核心数据_bymonth!A:A,全店核心数据_bymonth!AN:AN)</f>
        <v>BU25</v>
      </c>
    </row>
    <row r="291" spans="1:19" x14ac:dyDescent="0.3">
      <c r="A291" t="s">
        <v>110</v>
      </c>
      <c r="B291" s="16">
        <v>45505</v>
      </c>
      <c r="C291" t="s">
        <v>3</v>
      </c>
      <c r="D291" t="s">
        <v>120</v>
      </c>
      <c r="E291" t="s">
        <v>168</v>
      </c>
      <c r="F291">
        <v>2299</v>
      </c>
      <c r="G291">
        <v>1998</v>
      </c>
      <c r="H291">
        <v>2</v>
      </c>
      <c r="I291">
        <v>0</v>
      </c>
      <c r="J291">
        <v>8690</v>
      </c>
      <c r="K291">
        <v>2</v>
      </c>
      <c r="L291">
        <v>8690</v>
      </c>
      <c r="M291">
        <v>2</v>
      </c>
      <c r="O291">
        <v>2299</v>
      </c>
      <c r="P291">
        <f t="shared" si="19"/>
        <v>2024</v>
      </c>
      <c r="Q291">
        <f t="shared" si="20"/>
        <v>8</v>
      </c>
      <c r="R291" t="str">
        <f t="shared" si="21"/>
        <v>手猫首页</v>
      </c>
      <c r="S291" t="str">
        <f>_xlfn.XLOOKUP(B291,全店核心数据_bymonth!A:A,全店核心数据_bymonth!AN:AN)</f>
        <v>BU25</v>
      </c>
    </row>
    <row r="292" spans="1:19" x14ac:dyDescent="0.3">
      <c r="A292" t="s">
        <v>110</v>
      </c>
      <c r="B292" s="16">
        <v>45505</v>
      </c>
      <c r="C292" t="s">
        <v>3</v>
      </c>
      <c r="D292" t="s">
        <v>123</v>
      </c>
      <c r="E292" t="s">
        <v>169</v>
      </c>
      <c r="F292">
        <v>1158</v>
      </c>
      <c r="G292">
        <v>723</v>
      </c>
      <c r="H292">
        <v>26</v>
      </c>
      <c r="I292">
        <v>26</v>
      </c>
      <c r="J292">
        <v>13835</v>
      </c>
      <c r="K292">
        <v>2</v>
      </c>
      <c r="L292">
        <v>8890</v>
      </c>
      <c r="M292">
        <v>2</v>
      </c>
      <c r="O292">
        <v>1107</v>
      </c>
      <c r="P292">
        <f t="shared" si="19"/>
        <v>2024</v>
      </c>
      <c r="Q292">
        <f t="shared" si="20"/>
        <v>8</v>
      </c>
      <c r="R292" t="str">
        <f t="shared" si="21"/>
        <v>商品详情页头图推荐</v>
      </c>
      <c r="S292" t="str">
        <f>_xlfn.XLOOKUP(B292,全店核心数据_bymonth!A:A,全店核心数据_bymonth!AN:AN)</f>
        <v>BU25</v>
      </c>
    </row>
    <row r="293" spans="1:19" x14ac:dyDescent="0.3">
      <c r="A293" t="s">
        <v>110</v>
      </c>
      <c r="B293" s="16">
        <v>45505</v>
      </c>
      <c r="C293" t="s">
        <v>3</v>
      </c>
      <c r="D293" t="s">
        <v>123</v>
      </c>
      <c r="E293" t="s">
        <v>170</v>
      </c>
      <c r="F293">
        <v>444</v>
      </c>
      <c r="G293">
        <v>359</v>
      </c>
      <c r="H293">
        <v>16</v>
      </c>
      <c r="I293">
        <v>6</v>
      </c>
      <c r="J293">
        <v>33190</v>
      </c>
      <c r="K293">
        <v>3</v>
      </c>
      <c r="L293">
        <v>33190</v>
      </c>
      <c r="M293">
        <v>3</v>
      </c>
      <c r="O293">
        <v>224</v>
      </c>
      <c r="P293">
        <f t="shared" si="19"/>
        <v>2024</v>
      </c>
      <c r="Q293">
        <f t="shared" si="20"/>
        <v>8</v>
      </c>
      <c r="R293" t="str">
        <f t="shared" si="21"/>
        <v>店铺超链</v>
      </c>
      <c r="S293" t="str">
        <f>_xlfn.XLOOKUP(B293,全店核心数据_bymonth!A:A,全店核心数据_bymonth!AN:AN)</f>
        <v>BU25</v>
      </c>
    </row>
    <row r="294" spans="1:19" x14ac:dyDescent="0.3">
      <c r="A294" t="s">
        <v>110</v>
      </c>
      <c r="B294" s="16">
        <v>45505</v>
      </c>
      <c r="C294" t="s">
        <v>3</v>
      </c>
      <c r="D294" t="s">
        <v>127</v>
      </c>
      <c r="E294" t="s">
        <v>171</v>
      </c>
      <c r="F294">
        <v>1151</v>
      </c>
      <c r="G294">
        <v>615</v>
      </c>
      <c r="H294">
        <v>17</v>
      </c>
      <c r="I294">
        <v>11</v>
      </c>
      <c r="J294">
        <v>47200</v>
      </c>
      <c r="K294">
        <v>8</v>
      </c>
      <c r="L294">
        <v>44005</v>
      </c>
      <c r="M294">
        <v>8</v>
      </c>
      <c r="O294">
        <v>914</v>
      </c>
      <c r="P294">
        <f t="shared" si="19"/>
        <v>2024</v>
      </c>
      <c r="Q294">
        <f t="shared" si="20"/>
        <v>8</v>
      </c>
      <c r="R294" t="str">
        <f t="shared" si="21"/>
        <v>其他猜你喜欢</v>
      </c>
      <c r="S294" t="str">
        <f>_xlfn.XLOOKUP(B294,全店核心数据_bymonth!A:A,全店核心数据_bymonth!AN:AN)</f>
        <v>BU25</v>
      </c>
    </row>
    <row r="295" spans="1:19" x14ac:dyDescent="0.3">
      <c r="A295" t="s">
        <v>110</v>
      </c>
      <c r="B295" s="16">
        <v>45505</v>
      </c>
      <c r="C295" t="s">
        <v>3</v>
      </c>
      <c r="D295" t="s">
        <v>127</v>
      </c>
      <c r="E295" t="s">
        <v>172</v>
      </c>
      <c r="F295">
        <v>24</v>
      </c>
      <c r="G295">
        <v>14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O295">
        <v>17</v>
      </c>
      <c r="P295">
        <f t="shared" si="19"/>
        <v>2024</v>
      </c>
      <c r="Q295">
        <f t="shared" si="20"/>
        <v>8</v>
      </c>
      <c r="R295" t="str">
        <f t="shared" si="21"/>
        <v>购中推荐</v>
      </c>
      <c r="S295" t="str">
        <f>_xlfn.XLOOKUP(B295,全店核心数据_bymonth!A:A,全店核心数据_bymonth!AN:AN)</f>
        <v>BU25</v>
      </c>
    </row>
    <row r="296" spans="1:19" x14ac:dyDescent="0.3">
      <c r="A296" t="s">
        <v>110</v>
      </c>
      <c r="B296" s="16">
        <v>45505</v>
      </c>
      <c r="C296" t="s">
        <v>3</v>
      </c>
      <c r="D296" t="s">
        <v>127</v>
      </c>
      <c r="E296" t="s">
        <v>173</v>
      </c>
      <c r="F296">
        <v>133</v>
      </c>
      <c r="G296">
        <v>81</v>
      </c>
      <c r="H296">
        <v>2</v>
      </c>
      <c r="I296">
        <v>1</v>
      </c>
      <c r="J296">
        <v>0</v>
      </c>
      <c r="K296">
        <v>0</v>
      </c>
      <c r="L296">
        <v>0</v>
      </c>
      <c r="M296">
        <v>0</v>
      </c>
      <c r="O296">
        <v>100</v>
      </c>
      <c r="P296">
        <f t="shared" si="19"/>
        <v>2024</v>
      </c>
      <c r="Q296">
        <f t="shared" si="20"/>
        <v>8</v>
      </c>
      <c r="R296" t="str">
        <f t="shared" si="21"/>
        <v>购后推荐</v>
      </c>
      <c r="S296" t="str">
        <f>_xlfn.XLOOKUP(B296,全店核心数据_bymonth!A:A,全店核心数据_bymonth!AN:AN)</f>
        <v>BU25</v>
      </c>
    </row>
    <row r="297" spans="1:19" x14ac:dyDescent="0.3">
      <c r="A297" t="s">
        <v>110</v>
      </c>
      <c r="B297" s="16">
        <v>45505</v>
      </c>
      <c r="C297" t="s">
        <v>3</v>
      </c>
      <c r="D297" t="s">
        <v>127</v>
      </c>
      <c r="E297" t="s">
        <v>174</v>
      </c>
      <c r="F297">
        <v>8137</v>
      </c>
      <c r="G297">
        <v>6824</v>
      </c>
      <c r="H297">
        <v>80</v>
      </c>
      <c r="I297">
        <v>62</v>
      </c>
      <c r="J297">
        <v>79915</v>
      </c>
      <c r="K297">
        <v>9</v>
      </c>
      <c r="L297">
        <v>49380</v>
      </c>
      <c r="M297">
        <v>7</v>
      </c>
      <c r="O297">
        <v>8137</v>
      </c>
      <c r="P297">
        <f t="shared" si="19"/>
        <v>2024</v>
      </c>
      <c r="Q297">
        <f t="shared" si="20"/>
        <v>8</v>
      </c>
      <c r="R297" t="str">
        <f t="shared" si="21"/>
        <v>首页推荐-微详情</v>
      </c>
      <c r="S297" t="str">
        <f>_xlfn.XLOOKUP(B297,全店核心数据_bymonth!A:A,全店核心数据_bymonth!AN:AN)</f>
        <v>BU25</v>
      </c>
    </row>
    <row r="298" spans="1:19" x14ac:dyDescent="0.3">
      <c r="A298" t="s">
        <v>110</v>
      </c>
      <c r="B298" s="16">
        <v>45505</v>
      </c>
      <c r="C298" t="s">
        <v>3</v>
      </c>
      <c r="D298" t="s">
        <v>127</v>
      </c>
      <c r="E298" t="s">
        <v>175</v>
      </c>
      <c r="F298">
        <v>2464</v>
      </c>
      <c r="G298">
        <v>2300</v>
      </c>
      <c r="H298">
        <v>3</v>
      </c>
      <c r="I298">
        <v>0</v>
      </c>
      <c r="J298">
        <v>0</v>
      </c>
      <c r="K298">
        <v>0</v>
      </c>
      <c r="L298">
        <v>0</v>
      </c>
      <c r="M298">
        <v>0</v>
      </c>
      <c r="O298">
        <v>43</v>
      </c>
      <c r="P298">
        <f t="shared" si="19"/>
        <v>2024</v>
      </c>
      <c r="Q298">
        <f t="shared" si="20"/>
        <v>8</v>
      </c>
      <c r="R298" t="str">
        <f t="shared" si="21"/>
        <v>首页推荐-直播</v>
      </c>
      <c r="S298" t="str">
        <f>_xlfn.XLOOKUP(B298,全店核心数据_bymonth!A:A,全店核心数据_bymonth!AN:AN)</f>
        <v>BU25</v>
      </c>
    </row>
    <row r="299" spans="1:19" x14ac:dyDescent="0.3">
      <c r="A299" t="s">
        <v>110</v>
      </c>
      <c r="B299" s="16">
        <v>45505</v>
      </c>
      <c r="C299" t="s">
        <v>3</v>
      </c>
      <c r="D299" t="s">
        <v>127</v>
      </c>
      <c r="E299" t="s">
        <v>176</v>
      </c>
      <c r="F299">
        <v>1371</v>
      </c>
      <c r="G299">
        <v>1018</v>
      </c>
      <c r="H299">
        <v>4</v>
      </c>
      <c r="I299">
        <v>0</v>
      </c>
      <c r="J299">
        <v>2795</v>
      </c>
      <c r="K299">
        <v>1</v>
      </c>
      <c r="L299">
        <v>2795</v>
      </c>
      <c r="M299">
        <v>1</v>
      </c>
      <c r="O299">
        <v>96</v>
      </c>
      <c r="P299">
        <f t="shared" si="19"/>
        <v>2024</v>
      </c>
      <c r="Q299">
        <f t="shared" si="20"/>
        <v>8</v>
      </c>
      <c r="R299" t="str">
        <f t="shared" si="21"/>
        <v>首页推荐-短视频</v>
      </c>
      <c r="S299" t="str">
        <f>_xlfn.XLOOKUP(B299,全店核心数据_bymonth!A:A,全店核心数据_bymonth!AN:AN)</f>
        <v>BU25</v>
      </c>
    </row>
    <row r="300" spans="1:19" x14ac:dyDescent="0.3">
      <c r="A300" t="s">
        <v>110</v>
      </c>
      <c r="B300" s="16">
        <v>45505</v>
      </c>
      <c r="C300" t="s">
        <v>3</v>
      </c>
      <c r="D300" t="s">
        <v>128</v>
      </c>
      <c r="E300" t="s">
        <v>177</v>
      </c>
      <c r="F300">
        <v>8325</v>
      </c>
      <c r="G300">
        <v>7455</v>
      </c>
      <c r="H300">
        <v>208</v>
      </c>
      <c r="I300">
        <v>105</v>
      </c>
      <c r="J300">
        <v>153570</v>
      </c>
      <c r="K300">
        <v>23</v>
      </c>
      <c r="L300">
        <v>78890</v>
      </c>
      <c r="M300">
        <v>18</v>
      </c>
      <c r="O300">
        <v>6812</v>
      </c>
      <c r="P300">
        <f t="shared" si="19"/>
        <v>2024</v>
      </c>
      <c r="Q300">
        <f t="shared" si="20"/>
        <v>8</v>
      </c>
      <c r="R300" t="str">
        <f t="shared" si="21"/>
        <v>手淘搜索-商品及其他</v>
      </c>
      <c r="S300" t="str">
        <f>_xlfn.XLOOKUP(B300,全店核心数据_bymonth!A:A,全店核心数据_bymonth!AN:AN)</f>
        <v>BU25</v>
      </c>
    </row>
    <row r="301" spans="1:19" x14ac:dyDescent="0.3">
      <c r="A301" t="s">
        <v>110</v>
      </c>
      <c r="B301" s="16">
        <v>45505</v>
      </c>
      <c r="C301" t="s">
        <v>3</v>
      </c>
      <c r="D301" t="s">
        <v>128</v>
      </c>
      <c r="E301" t="s">
        <v>178</v>
      </c>
      <c r="F301">
        <v>16</v>
      </c>
      <c r="G301">
        <v>12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O301">
        <v>11</v>
      </c>
      <c r="P301">
        <f t="shared" si="19"/>
        <v>2024</v>
      </c>
      <c r="Q301">
        <f t="shared" si="20"/>
        <v>8</v>
      </c>
      <c r="R301" t="str">
        <f t="shared" si="21"/>
        <v>手淘搜索-直播</v>
      </c>
      <c r="S301" t="str">
        <f>_xlfn.XLOOKUP(B301,全店核心数据_bymonth!A:A,全店核心数据_bymonth!AN:AN)</f>
        <v>BU25</v>
      </c>
    </row>
    <row r="302" spans="1:19" x14ac:dyDescent="0.3">
      <c r="A302" t="s">
        <v>110</v>
      </c>
      <c r="B302" s="16">
        <v>45505</v>
      </c>
      <c r="C302" t="s">
        <v>3</v>
      </c>
      <c r="D302" t="s">
        <v>128</v>
      </c>
      <c r="E302" t="s">
        <v>179</v>
      </c>
      <c r="F302">
        <v>142</v>
      </c>
      <c r="G302">
        <v>120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O302">
        <v>61</v>
      </c>
      <c r="P302">
        <f t="shared" si="19"/>
        <v>2024</v>
      </c>
      <c r="Q302">
        <f t="shared" si="20"/>
        <v>8</v>
      </c>
      <c r="R302" t="str">
        <f t="shared" si="21"/>
        <v>手淘搜索-短视频</v>
      </c>
      <c r="S302" t="str">
        <f>_xlfn.XLOOKUP(B302,全店核心数据_bymonth!A:A,全店核心数据_bymonth!AN:AN)</f>
        <v>BU25</v>
      </c>
    </row>
    <row r="303" spans="1:19" x14ac:dyDescent="0.3">
      <c r="A303" t="s">
        <v>110</v>
      </c>
      <c r="B303" s="16">
        <v>45505</v>
      </c>
      <c r="C303" t="s">
        <v>3</v>
      </c>
      <c r="D303" t="s">
        <v>143</v>
      </c>
      <c r="E303" t="s">
        <v>180</v>
      </c>
      <c r="F303">
        <v>257</v>
      </c>
      <c r="G303">
        <v>248</v>
      </c>
      <c r="H303">
        <v>0</v>
      </c>
      <c r="I303">
        <v>2</v>
      </c>
      <c r="J303">
        <v>0</v>
      </c>
      <c r="K303">
        <v>0</v>
      </c>
      <c r="L303">
        <v>0</v>
      </c>
      <c r="M303">
        <v>0</v>
      </c>
      <c r="O303">
        <v>257</v>
      </c>
      <c r="P303">
        <f t="shared" si="19"/>
        <v>2024</v>
      </c>
      <c r="Q303">
        <f t="shared" si="20"/>
        <v>8</v>
      </c>
      <c r="R303" t="str">
        <f t="shared" si="21"/>
        <v>淘特其他渠道</v>
      </c>
      <c r="S303" t="str">
        <f>_xlfn.XLOOKUP(B303,全店核心数据_bymonth!A:A,全店核心数据_bymonth!AN:AN)</f>
        <v>BU25</v>
      </c>
    </row>
    <row r="304" spans="1:19" x14ac:dyDescent="0.3">
      <c r="A304" t="s">
        <v>110</v>
      </c>
      <c r="B304" s="16">
        <v>45505</v>
      </c>
      <c r="C304" t="s">
        <v>3</v>
      </c>
      <c r="D304" t="s">
        <v>143</v>
      </c>
      <c r="E304" t="s">
        <v>181</v>
      </c>
      <c r="F304">
        <v>7</v>
      </c>
      <c r="G304">
        <v>7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O304">
        <v>7</v>
      </c>
      <c r="P304">
        <f t="shared" si="19"/>
        <v>2024</v>
      </c>
      <c r="Q304">
        <f t="shared" si="20"/>
        <v>8</v>
      </c>
      <c r="R304" t="str">
        <f t="shared" si="21"/>
        <v>淘特搜索</v>
      </c>
      <c r="S304" t="str">
        <f>_xlfn.XLOOKUP(B304,全店核心数据_bymonth!A:A,全店核心数据_bymonth!AN:AN)</f>
        <v>BU25</v>
      </c>
    </row>
    <row r="305" spans="1:19" x14ac:dyDescent="0.3">
      <c r="A305" t="s">
        <v>110</v>
      </c>
      <c r="B305" s="16">
        <v>45505</v>
      </c>
      <c r="C305" t="s">
        <v>3</v>
      </c>
      <c r="D305" t="s">
        <v>143</v>
      </c>
      <c r="E305" t="s">
        <v>224</v>
      </c>
      <c r="F305">
        <v>2</v>
      </c>
      <c r="G305">
        <v>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O305">
        <v>2</v>
      </c>
      <c r="P305">
        <f t="shared" si="19"/>
        <v>2024</v>
      </c>
      <c r="Q305">
        <f t="shared" si="20"/>
        <v>8</v>
      </c>
      <c r="R305" t="str">
        <f t="shared" si="21"/>
        <v>淘特自主访问</v>
      </c>
      <c r="S305" t="str">
        <f>_xlfn.XLOOKUP(B305,全店核心数据_bymonth!A:A,全店核心数据_bymonth!AN:AN)</f>
        <v>BU25</v>
      </c>
    </row>
    <row r="306" spans="1:19" x14ac:dyDescent="0.3">
      <c r="A306" t="s">
        <v>110</v>
      </c>
      <c r="B306" s="16">
        <v>45505</v>
      </c>
      <c r="C306" t="s">
        <v>2</v>
      </c>
      <c r="D306" t="s">
        <v>55</v>
      </c>
      <c r="E306" t="s">
        <v>66</v>
      </c>
      <c r="F306">
        <v>8027</v>
      </c>
      <c r="G306">
        <v>7130</v>
      </c>
      <c r="H306">
        <v>4</v>
      </c>
      <c r="I306">
        <v>7</v>
      </c>
      <c r="J306">
        <v>0</v>
      </c>
      <c r="K306">
        <v>0</v>
      </c>
      <c r="L306">
        <v>0</v>
      </c>
      <c r="M306">
        <v>0</v>
      </c>
      <c r="O306">
        <v>900</v>
      </c>
      <c r="P306">
        <f t="shared" si="19"/>
        <v>2024</v>
      </c>
      <c r="Q306">
        <f t="shared" si="20"/>
        <v>8</v>
      </c>
      <c r="R306" t="str">
        <f t="shared" si="21"/>
        <v>短直联动</v>
      </c>
      <c r="S306" t="str">
        <f>_xlfn.XLOOKUP(B306,全店核心数据_bymonth!A:A,全店核心数据_bymonth!AN:AN)</f>
        <v>BU25</v>
      </c>
    </row>
    <row r="307" spans="1:19" x14ac:dyDescent="0.3">
      <c r="A307" t="s">
        <v>110</v>
      </c>
      <c r="B307" s="16">
        <v>45505</v>
      </c>
      <c r="C307" t="s">
        <v>2</v>
      </c>
      <c r="D307" t="s">
        <v>55</v>
      </c>
      <c r="E307" t="s">
        <v>54</v>
      </c>
      <c r="F307">
        <v>4649</v>
      </c>
      <c r="G307">
        <v>3997</v>
      </c>
      <c r="H307">
        <v>6</v>
      </c>
      <c r="I307">
        <v>2</v>
      </c>
      <c r="J307">
        <v>0</v>
      </c>
      <c r="K307">
        <v>0</v>
      </c>
      <c r="L307">
        <v>0</v>
      </c>
      <c r="M307">
        <v>0</v>
      </c>
      <c r="O307">
        <v>925</v>
      </c>
      <c r="P307">
        <f t="shared" si="19"/>
        <v>2024</v>
      </c>
      <c r="Q307">
        <f t="shared" si="20"/>
        <v>8</v>
      </c>
      <c r="R307" t="str">
        <f t="shared" si="21"/>
        <v>超级直播</v>
      </c>
      <c r="S307" t="str">
        <f>_xlfn.XLOOKUP(B307,全店核心数据_bymonth!A:A,全店核心数据_bymonth!AN:AN)</f>
        <v>BU25</v>
      </c>
    </row>
    <row r="308" spans="1:19" x14ac:dyDescent="0.3">
      <c r="A308" t="s">
        <v>110</v>
      </c>
      <c r="B308" s="16">
        <v>45505</v>
      </c>
      <c r="C308" t="s">
        <v>2</v>
      </c>
      <c r="D308" t="s">
        <v>55</v>
      </c>
      <c r="E308" t="s">
        <v>56</v>
      </c>
      <c r="F308">
        <v>7805</v>
      </c>
      <c r="G308">
        <v>6693</v>
      </c>
      <c r="H308">
        <v>12</v>
      </c>
      <c r="I308">
        <v>15</v>
      </c>
      <c r="J308">
        <v>0</v>
      </c>
      <c r="K308">
        <v>0</v>
      </c>
      <c r="L308">
        <v>0</v>
      </c>
      <c r="M308">
        <v>0</v>
      </c>
      <c r="O308">
        <v>6541</v>
      </c>
      <c r="P308">
        <f t="shared" si="19"/>
        <v>2024</v>
      </c>
      <c r="Q308">
        <f t="shared" si="20"/>
        <v>8</v>
      </c>
      <c r="R308" t="str">
        <f t="shared" si="21"/>
        <v>超级短视频</v>
      </c>
      <c r="S308" t="str">
        <f>_xlfn.XLOOKUP(B308,全店核心数据_bymonth!A:A,全店核心数据_bymonth!AN:AN)</f>
        <v>BU25</v>
      </c>
    </row>
    <row r="309" spans="1:19" x14ac:dyDescent="0.3">
      <c r="A309" t="s">
        <v>110</v>
      </c>
      <c r="B309" s="16">
        <v>45505</v>
      </c>
      <c r="C309" t="s">
        <v>2</v>
      </c>
      <c r="D309" t="s">
        <v>52</v>
      </c>
      <c r="E309" t="s">
        <v>51</v>
      </c>
      <c r="F309">
        <v>3</v>
      </c>
      <c r="G309">
        <v>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O309">
        <v>2</v>
      </c>
      <c r="P309">
        <f t="shared" si="19"/>
        <v>2024</v>
      </c>
      <c r="Q309">
        <f t="shared" si="20"/>
        <v>8</v>
      </c>
      <c r="R309" t="str">
        <f t="shared" si="21"/>
        <v>品牌定制</v>
      </c>
      <c r="S309" t="str">
        <f>_xlfn.XLOOKUP(B309,全店核心数据_bymonth!A:A,全店核心数据_bymonth!AN:AN)</f>
        <v>BU25</v>
      </c>
    </row>
    <row r="310" spans="1:19" x14ac:dyDescent="0.3">
      <c r="A310" t="s">
        <v>110</v>
      </c>
      <c r="B310" s="16">
        <v>45505</v>
      </c>
      <c r="C310" t="s">
        <v>2</v>
      </c>
      <c r="D310" t="s">
        <v>52</v>
      </c>
      <c r="E310" t="s">
        <v>59</v>
      </c>
      <c r="F310">
        <v>1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O310">
        <v>0</v>
      </c>
      <c r="P310">
        <f t="shared" si="19"/>
        <v>2024</v>
      </c>
      <c r="Q310">
        <f t="shared" si="20"/>
        <v>8</v>
      </c>
      <c r="R310" t="str">
        <f t="shared" si="21"/>
        <v>品牌特秀</v>
      </c>
      <c r="S310" t="str">
        <f>_xlfn.XLOOKUP(B310,全店核心数据_bymonth!A:A,全店核心数据_bymonth!AN:AN)</f>
        <v>BU25</v>
      </c>
    </row>
    <row r="311" spans="1:19" x14ac:dyDescent="0.3">
      <c r="A311" t="s">
        <v>110</v>
      </c>
      <c r="B311" s="16">
        <v>45505</v>
      </c>
      <c r="C311" t="s">
        <v>2</v>
      </c>
      <c r="D311" t="s">
        <v>52</v>
      </c>
      <c r="E311" t="s">
        <v>183</v>
      </c>
      <c r="F311">
        <v>15299</v>
      </c>
      <c r="G311">
        <v>14657</v>
      </c>
      <c r="H311">
        <v>221</v>
      </c>
      <c r="I311">
        <v>91</v>
      </c>
      <c r="J311">
        <v>170045</v>
      </c>
      <c r="K311">
        <v>38</v>
      </c>
      <c r="L311">
        <v>126700</v>
      </c>
      <c r="M311">
        <v>33</v>
      </c>
      <c r="O311">
        <v>7483</v>
      </c>
      <c r="P311">
        <f t="shared" si="19"/>
        <v>2024</v>
      </c>
      <c r="Q311">
        <f t="shared" si="20"/>
        <v>8</v>
      </c>
      <c r="R311" t="str">
        <f t="shared" si="21"/>
        <v>品销宝-品牌专区</v>
      </c>
      <c r="S311" t="str">
        <f>_xlfn.XLOOKUP(B311,全店核心数据_bymonth!A:A,全店核心数据_bymonth!AN:AN)</f>
        <v>BU25</v>
      </c>
    </row>
    <row r="312" spans="1:19" x14ac:dyDescent="0.3">
      <c r="A312" t="s">
        <v>110</v>
      </c>
      <c r="B312" s="16">
        <v>45505</v>
      </c>
      <c r="C312" t="s">
        <v>2</v>
      </c>
      <c r="D312" t="s">
        <v>52</v>
      </c>
      <c r="E312" t="s">
        <v>58</v>
      </c>
      <c r="F312">
        <v>2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O312">
        <v>1</v>
      </c>
      <c r="P312">
        <f t="shared" si="19"/>
        <v>2024</v>
      </c>
      <c r="Q312">
        <f t="shared" si="20"/>
        <v>8</v>
      </c>
      <c r="R312" t="str">
        <f t="shared" si="21"/>
        <v>超级全域通</v>
      </c>
      <c r="S312" t="str">
        <f>_xlfn.XLOOKUP(B312,全店核心数据_bymonth!A:A,全店核心数据_bymonth!AN:AN)</f>
        <v>BU25</v>
      </c>
    </row>
    <row r="313" spans="1:19" x14ac:dyDescent="0.3">
      <c r="A313" t="s">
        <v>110</v>
      </c>
      <c r="B313" s="16">
        <v>45505</v>
      </c>
      <c r="C313" t="s">
        <v>2</v>
      </c>
      <c r="D313" t="s">
        <v>57</v>
      </c>
      <c r="E313" t="s">
        <v>65</v>
      </c>
      <c r="F313">
        <v>60428</v>
      </c>
      <c r="G313">
        <v>58139</v>
      </c>
      <c r="H313">
        <v>584</v>
      </c>
      <c r="I313">
        <v>484</v>
      </c>
      <c r="J313">
        <v>606205</v>
      </c>
      <c r="K313">
        <v>75</v>
      </c>
      <c r="L313">
        <v>201425</v>
      </c>
      <c r="M313">
        <v>38</v>
      </c>
      <c r="O313">
        <v>59822</v>
      </c>
      <c r="P313">
        <f t="shared" si="19"/>
        <v>2024</v>
      </c>
      <c r="Q313">
        <f t="shared" si="20"/>
        <v>8</v>
      </c>
      <c r="R313" t="str">
        <f t="shared" si="21"/>
        <v>直通车</v>
      </c>
      <c r="S313" t="str">
        <f>_xlfn.XLOOKUP(B313,全店核心数据_bymonth!A:A,全店核心数据_bymonth!AN:AN)</f>
        <v>BU25</v>
      </c>
    </row>
    <row r="314" spans="1:19" x14ac:dyDescent="0.3">
      <c r="A314" t="s">
        <v>110</v>
      </c>
      <c r="B314" s="16">
        <v>45505</v>
      </c>
      <c r="C314" t="s">
        <v>2</v>
      </c>
      <c r="D314" t="s">
        <v>57</v>
      </c>
      <c r="E314" t="s">
        <v>63</v>
      </c>
      <c r="F314">
        <v>42954</v>
      </c>
      <c r="G314">
        <v>39450</v>
      </c>
      <c r="H314">
        <v>667</v>
      </c>
      <c r="I314">
        <v>825</v>
      </c>
      <c r="J314">
        <v>846300</v>
      </c>
      <c r="K314">
        <v>90</v>
      </c>
      <c r="L314">
        <v>166680</v>
      </c>
      <c r="M314">
        <v>30</v>
      </c>
      <c r="O314">
        <v>42881</v>
      </c>
      <c r="P314">
        <f t="shared" si="19"/>
        <v>2024</v>
      </c>
      <c r="Q314">
        <f t="shared" si="20"/>
        <v>8</v>
      </c>
      <c r="R314" t="str">
        <f t="shared" si="21"/>
        <v>万相台</v>
      </c>
      <c r="S314" t="str">
        <f>_xlfn.XLOOKUP(B314,全店核心数据_bymonth!A:A,全店核心数据_bymonth!AN:AN)</f>
        <v>BU25</v>
      </c>
    </row>
    <row r="315" spans="1:19" x14ac:dyDescent="0.3">
      <c r="A315" t="s">
        <v>110</v>
      </c>
      <c r="B315" s="16">
        <v>45505</v>
      </c>
      <c r="C315" t="s">
        <v>2</v>
      </c>
      <c r="D315" t="s">
        <v>57</v>
      </c>
      <c r="E315" t="s">
        <v>64</v>
      </c>
      <c r="F315">
        <v>68223</v>
      </c>
      <c r="G315">
        <v>59594</v>
      </c>
      <c r="H315">
        <v>477</v>
      </c>
      <c r="I315">
        <v>782</v>
      </c>
      <c r="J315">
        <v>210100</v>
      </c>
      <c r="K315">
        <v>26</v>
      </c>
      <c r="L315">
        <v>37285</v>
      </c>
      <c r="M315">
        <v>6</v>
      </c>
      <c r="O315">
        <v>68213</v>
      </c>
      <c r="P315">
        <f t="shared" si="19"/>
        <v>2024</v>
      </c>
      <c r="Q315">
        <f t="shared" si="20"/>
        <v>8</v>
      </c>
      <c r="R315" t="str">
        <f t="shared" si="21"/>
        <v>引力魔方</v>
      </c>
      <c r="S315" t="str">
        <f>_xlfn.XLOOKUP(B315,全店核心数据_bymonth!A:A,全店核心数据_bymonth!AN:AN)</f>
        <v>BU25</v>
      </c>
    </row>
    <row r="316" spans="1:19" x14ac:dyDescent="0.3">
      <c r="A316" t="s">
        <v>110</v>
      </c>
      <c r="B316" s="16">
        <v>45505</v>
      </c>
      <c r="C316" t="s">
        <v>2</v>
      </c>
      <c r="D316" t="s">
        <v>4</v>
      </c>
      <c r="E316" t="s">
        <v>41</v>
      </c>
      <c r="F316">
        <v>11</v>
      </c>
      <c r="G316">
        <v>9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O316">
        <v>6</v>
      </c>
      <c r="P316">
        <f t="shared" si="19"/>
        <v>2024</v>
      </c>
      <c r="Q316">
        <f t="shared" si="20"/>
        <v>8</v>
      </c>
      <c r="R316" t="str">
        <f t="shared" si="21"/>
        <v>流量宝</v>
      </c>
      <c r="S316" t="str">
        <f>_xlfn.XLOOKUP(B316,全店核心数据_bymonth!A:A,全店核心数据_bymonth!AN:AN)</f>
        <v>BU25</v>
      </c>
    </row>
    <row r="317" spans="1:19" x14ac:dyDescent="0.3">
      <c r="A317" t="s">
        <v>110</v>
      </c>
      <c r="B317" s="16">
        <v>45505</v>
      </c>
      <c r="C317" t="s">
        <v>2</v>
      </c>
      <c r="D317" t="s">
        <v>4</v>
      </c>
      <c r="E317" t="s">
        <v>43</v>
      </c>
      <c r="F317">
        <v>3050</v>
      </c>
      <c r="G317">
        <v>1884</v>
      </c>
      <c r="H317">
        <v>15</v>
      </c>
      <c r="I317">
        <v>6</v>
      </c>
      <c r="J317">
        <v>55085</v>
      </c>
      <c r="K317">
        <v>5</v>
      </c>
      <c r="L317">
        <v>22135</v>
      </c>
      <c r="M317">
        <v>4</v>
      </c>
      <c r="O317">
        <v>2840</v>
      </c>
      <c r="P317">
        <f t="shared" si="19"/>
        <v>2024</v>
      </c>
      <c r="Q317">
        <f t="shared" si="20"/>
        <v>8</v>
      </c>
      <c r="R317" t="str">
        <f t="shared" si="21"/>
        <v>淘宝客</v>
      </c>
      <c r="S317" t="str">
        <f>_xlfn.XLOOKUP(B317,全店核心数据_bymonth!A:A,全店核心数据_bymonth!AN:AN)</f>
        <v>BU25</v>
      </c>
    </row>
    <row r="318" spans="1:19" x14ac:dyDescent="0.3">
      <c r="A318" t="s">
        <v>110</v>
      </c>
      <c r="B318" s="16">
        <v>45139</v>
      </c>
      <c r="C318" t="s">
        <v>3</v>
      </c>
      <c r="D318" t="s">
        <v>117</v>
      </c>
      <c r="E318" t="s">
        <v>161</v>
      </c>
      <c r="F318">
        <v>78</v>
      </c>
      <c r="G318">
        <v>48</v>
      </c>
      <c r="H318">
        <v>3</v>
      </c>
      <c r="I318">
        <v>2</v>
      </c>
      <c r="J318">
        <v>0</v>
      </c>
      <c r="K318">
        <v>0</v>
      </c>
      <c r="L318">
        <v>0</v>
      </c>
      <c r="M318">
        <v>0</v>
      </c>
      <c r="O318">
        <v>78</v>
      </c>
      <c r="P318">
        <f t="shared" si="19"/>
        <v>2023</v>
      </c>
      <c r="Q318">
        <f t="shared" si="20"/>
        <v>8</v>
      </c>
      <c r="R318" t="str">
        <f t="shared" si="21"/>
        <v>其他入口榜单</v>
      </c>
      <c r="S318" t="str">
        <f>_xlfn.XLOOKUP(B318,全店核心数据_bymonth!A:A,全店核心数据_bymonth!AN:AN)</f>
        <v>BU24</v>
      </c>
    </row>
    <row r="319" spans="1:19" x14ac:dyDescent="0.3">
      <c r="A319" t="s">
        <v>110</v>
      </c>
      <c r="B319" s="16">
        <v>45139</v>
      </c>
      <c r="C319" t="s">
        <v>3</v>
      </c>
      <c r="D319" t="s">
        <v>117</v>
      </c>
      <c r="E319" t="s">
        <v>191</v>
      </c>
      <c r="F319">
        <v>6</v>
      </c>
      <c r="G319">
        <v>5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O319">
        <v>6</v>
      </c>
      <c r="P319">
        <f t="shared" si="19"/>
        <v>2023</v>
      </c>
      <c r="Q319">
        <f t="shared" si="20"/>
        <v>8</v>
      </c>
      <c r="R319" t="str">
        <f t="shared" si="21"/>
        <v>商品详情页入口榜单</v>
      </c>
      <c r="S319" t="str">
        <f>_xlfn.XLOOKUP(B319,全店核心数据_bymonth!A:A,全店核心数据_bymonth!AN:AN)</f>
        <v>BU24</v>
      </c>
    </row>
    <row r="320" spans="1:19" x14ac:dyDescent="0.3">
      <c r="A320" t="s">
        <v>110</v>
      </c>
      <c r="B320" s="16">
        <v>45139</v>
      </c>
      <c r="C320" t="s">
        <v>3</v>
      </c>
      <c r="D320" t="s">
        <v>117</v>
      </c>
      <c r="E320" t="s">
        <v>195</v>
      </c>
      <c r="F320">
        <v>2</v>
      </c>
      <c r="G320">
        <v>2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O320">
        <v>2</v>
      </c>
      <c r="P320">
        <f t="shared" si="19"/>
        <v>2023</v>
      </c>
      <c r="Q320">
        <f t="shared" si="20"/>
        <v>8</v>
      </c>
      <c r="R320" t="str">
        <f t="shared" si="21"/>
        <v>搜索入口榜单</v>
      </c>
      <c r="S320" t="str">
        <f>_xlfn.XLOOKUP(B320,全店核心数据_bymonth!A:A,全店核心数据_bymonth!AN:AN)</f>
        <v>BU24</v>
      </c>
    </row>
    <row r="321" spans="1:19" x14ac:dyDescent="0.3">
      <c r="A321" t="s">
        <v>110</v>
      </c>
      <c r="B321" s="16">
        <v>45139</v>
      </c>
      <c r="C321" t="s">
        <v>3</v>
      </c>
      <c r="D321" t="s">
        <v>120</v>
      </c>
      <c r="E321" t="s">
        <v>162</v>
      </c>
      <c r="F321">
        <v>71</v>
      </c>
      <c r="G321">
        <v>67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O321">
        <v>16</v>
      </c>
      <c r="P321">
        <f t="shared" si="19"/>
        <v>2023</v>
      </c>
      <c r="Q321">
        <f t="shared" si="20"/>
        <v>8</v>
      </c>
      <c r="R321" t="str">
        <f t="shared" si="21"/>
        <v>手机浏览器访问天猫</v>
      </c>
      <c r="S321" t="str">
        <f>_xlfn.XLOOKUP(B321,全店核心数据_bymonth!A:A,全店核心数据_bymonth!AN:AN)</f>
        <v>BU24</v>
      </c>
    </row>
    <row r="322" spans="1:19" x14ac:dyDescent="0.3">
      <c r="A322" t="s">
        <v>110</v>
      </c>
      <c r="B322" s="16">
        <v>45139</v>
      </c>
      <c r="C322" t="s">
        <v>3</v>
      </c>
      <c r="D322" t="s">
        <v>120</v>
      </c>
      <c r="E322" t="s">
        <v>163</v>
      </c>
      <c r="F322">
        <v>568</v>
      </c>
      <c r="G322">
        <v>361</v>
      </c>
      <c r="H322">
        <v>20</v>
      </c>
      <c r="I322">
        <v>0</v>
      </c>
      <c r="J322">
        <v>8745</v>
      </c>
      <c r="K322">
        <v>3</v>
      </c>
      <c r="L322">
        <v>8745</v>
      </c>
      <c r="M322">
        <v>3</v>
      </c>
      <c r="O322">
        <v>514</v>
      </c>
      <c r="P322">
        <f t="shared" si="19"/>
        <v>2023</v>
      </c>
      <c r="Q322">
        <f t="shared" si="20"/>
        <v>8</v>
      </c>
      <c r="R322" t="str">
        <f t="shared" si="21"/>
        <v>手猫免费其他</v>
      </c>
      <c r="S322" t="str">
        <f>_xlfn.XLOOKUP(B322,全店核心数据_bymonth!A:A,全店核心数据_bymonth!AN:AN)</f>
        <v>BU24</v>
      </c>
    </row>
    <row r="323" spans="1:19" x14ac:dyDescent="0.3">
      <c r="A323" t="s">
        <v>110</v>
      </c>
      <c r="B323" s="16">
        <v>45139</v>
      </c>
      <c r="C323" t="s">
        <v>3</v>
      </c>
      <c r="D323" t="s">
        <v>120</v>
      </c>
      <c r="E323" t="s">
        <v>164</v>
      </c>
      <c r="F323">
        <v>543</v>
      </c>
      <c r="G323">
        <v>427</v>
      </c>
      <c r="H323">
        <v>41</v>
      </c>
      <c r="I323">
        <v>0</v>
      </c>
      <c r="J323">
        <v>29947</v>
      </c>
      <c r="K323">
        <v>7</v>
      </c>
      <c r="L323">
        <v>29947</v>
      </c>
      <c r="M323">
        <v>7</v>
      </c>
      <c r="O323">
        <v>543</v>
      </c>
      <c r="P323">
        <f t="shared" si="19"/>
        <v>2023</v>
      </c>
      <c r="Q323">
        <f t="shared" si="20"/>
        <v>8</v>
      </c>
      <c r="R323" t="str">
        <f t="shared" si="21"/>
        <v>手猫其他店铺</v>
      </c>
      <c r="S323" t="str">
        <f>_xlfn.XLOOKUP(B323,全店核心数据_bymonth!A:A,全店核心数据_bymonth!AN:AN)</f>
        <v>BU24</v>
      </c>
    </row>
    <row r="324" spans="1:19" x14ac:dyDescent="0.3">
      <c r="A324" t="s">
        <v>110</v>
      </c>
      <c r="B324" s="16">
        <v>45139</v>
      </c>
      <c r="C324" t="s">
        <v>3</v>
      </c>
      <c r="D324" t="s">
        <v>120</v>
      </c>
      <c r="E324" t="s">
        <v>165</v>
      </c>
      <c r="F324">
        <v>556</v>
      </c>
      <c r="G324">
        <v>393</v>
      </c>
      <c r="H324">
        <v>34</v>
      </c>
      <c r="I324">
        <v>1</v>
      </c>
      <c r="J324">
        <v>58409</v>
      </c>
      <c r="K324">
        <v>5</v>
      </c>
      <c r="L324">
        <v>16509</v>
      </c>
      <c r="M324">
        <v>4</v>
      </c>
      <c r="O324">
        <v>547</v>
      </c>
      <c r="P324">
        <f t="shared" si="19"/>
        <v>2023</v>
      </c>
      <c r="Q324">
        <f t="shared" si="20"/>
        <v>8</v>
      </c>
      <c r="R324" t="str">
        <f t="shared" si="21"/>
        <v>手猫商品详情</v>
      </c>
      <c r="S324" t="str">
        <f>_xlfn.XLOOKUP(B324,全店核心数据_bymonth!A:A,全店核心数据_bymonth!AN:AN)</f>
        <v>BU24</v>
      </c>
    </row>
    <row r="325" spans="1:19" x14ac:dyDescent="0.3">
      <c r="A325" t="s">
        <v>110</v>
      </c>
      <c r="B325" s="16">
        <v>45139</v>
      </c>
      <c r="C325" t="s">
        <v>3</v>
      </c>
      <c r="D325" t="s">
        <v>120</v>
      </c>
      <c r="E325" t="s">
        <v>166</v>
      </c>
      <c r="F325">
        <v>848</v>
      </c>
      <c r="G325">
        <v>744</v>
      </c>
      <c r="H325">
        <v>24</v>
      </c>
      <c r="I325">
        <v>1</v>
      </c>
      <c r="J325">
        <v>13235</v>
      </c>
      <c r="K325">
        <v>4</v>
      </c>
      <c r="L325">
        <v>13235</v>
      </c>
      <c r="M325">
        <v>4</v>
      </c>
      <c r="O325">
        <v>619</v>
      </c>
      <c r="P325">
        <f t="shared" si="19"/>
        <v>2023</v>
      </c>
      <c r="Q325">
        <f t="shared" si="20"/>
        <v>8</v>
      </c>
      <c r="R325" t="str">
        <f t="shared" si="21"/>
        <v>手猫搜索</v>
      </c>
      <c r="S325" t="str">
        <f>_xlfn.XLOOKUP(B325,全店核心数据_bymonth!A:A,全店核心数据_bymonth!AN:AN)</f>
        <v>BU24</v>
      </c>
    </row>
    <row r="326" spans="1:19" x14ac:dyDescent="0.3">
      <c r="A326" t="s">
        <v>110</v>
      </c>
      <c r="B326" s="16">
        <v>45139</v>
      </c>
      <c r="C326" t="s">
        <v>3</v>
      </c>
      <c r="D326" t="s">
        <v>120</v>
      </c>
      <c r="E326" t="s">
        <v>167</v>
      </c>
      <c r="F326">
        <v>11</v>
      </c>
      <c r="G326">
        <v>2</v>
      </c>
      <c r="H326">
        <v>0</v>
      </c>
      <c r="I326">
        <v>0</v>
      </c>
      <c r="J326">
        <v>2125</v>
      </c>
      <c r="K326">
        <v>1</v>
      </c>
      <c r="L326">
        <v>2125</v>
      </c>
      <c r="M326">
        <v>1</v>
      </c>
      <c r="O326">
        <v>8</v>
      </c>
      <c r="P326">
        <f t="shared" si="19"/>
        <v>2023</v>
      </c>
      <c r="Q326">
        <f t="shared" si="20"/>
        <v>8</v>
      </c>
      <c r="R326" t="str">
        <f t="shared" si="21"/>
        <v>手猫旺信聊天</v>
      </c>
      <c r="S326" t="str">
        <f>_xlfn.XLOOKUP(B326,全店核心数据_bymonth!A:A,全店核心数据_bymonth!AN:AN)</f>
        <v>BU24</v>
      </c>
    </row>
    <row r="327" spans="1:19" x14ac:dyDescent="0.3">
      <c r="A327" t="s">
        <v>110</v>
      </c>
      <c r="B327" s="16">
        <v>45139</v>
      </c>
      <c r="C327" t="s">
        <v>3</v>
      </c>
      <c r="D327" t="s">
        <v>120</v>
      </c>
      <c r="E327" t="s">
        <v>192</v>
      </c>
      <c r="F327">
        <v>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O327">
        <v>3</v>
      </c>
      <c r="P327">
        <f t="shared" si="19"/>
        <v>2023</v>
      </c>
      <c r="Q327">
        <f t="shared" si="20"/>
        <v>8</v>
      </c>
      <c r="R327" t="str">
        <f t="shared" si="21"/>
        <v>手猫消息中心</v>
      </c>
      <c r="S327" t="str">
        <f>_xlfn.XLOOKUP(B327,全店核心数据_bymonth!A:A,全店核心数据_bymonth!AN:AN)</f>
        <v>BU24</v>
      </c>
    </row>
    <row r="328" spans="1:19" x14ac:dyDescent="0.3">
      <c r="A328" t="s">
        <v>110</v>
      </c>
      <c r="B328" s="16">
        <v>45139</v>
      </c>
      <c r="C328" t="s">
        <v>3</v>
      </c>
      <c r="D328" t="s">
        <v>120</v>
      </c>
      <c r="E328" t="s">
        <v>168</v>
      </c>
      <c r="F328">
        <v>2367</v>
      </c>
      <c r="G328">
        <v>2047</v>
      </c>
      <c r="H328">
        <v>46</v>
      </c>
      <c r="I328">
        <v>0</v>
      </c>
      <c r="J328">
        <v>25824</v>
      </c>
      <c r="K328">
        <v>6</v>
      </c>
      <c r="L328">
        <v>10874</v>
      </c>
      <c r="M328">
        <v>5</v>
      </c>
      <c r="O328">
        <v>2367</v>
      </c>
      <c r="P328">
        <f t="shared" si="19"/>
        <v>2023</v>
      </c>
      <c r="Q328">
        <f t="shared" si="20"/>
        <v>8</v>
      </c>
      <c r="R328" t="str">
        <f t="shared" si="21"/>
        <v>手猫首页</v>
      </c>
      <c r="S328" t="str">
        <f>_xlfn.XLOOKUP(B328,全店核心数据_bymonth!A:A,全店核心数据_bymonth!AN:AN)</f>
        <v>BU24</v>
      </c>
    </row>
    <row r="329" spans="1:19" x14ac:dyDescent="0.3">
      <c r="A329" t="s">
        <v>110</v>
      </c>
      <c r="B329" s="16">
        <v>45139</v>
      </c>
      <c r="C329" t="s">
        <v>3</v>
      </c>
      <c r="D329" t="s">
        <v>123</v>
      </c>
      <c r="E329" t="s">
        <v>169</v>
      </c>
      <c r="F329">
        <v>1111</v>
      </c>
      <c r="G329">
        <v>695</v>
      </c>
      <c r="H329">
        <v>34</v>
      </c>
      <c r="I329">
        <v>19</v>
      </c>
      <c r="J329">
        <v>21078</v>
      </c>
      <c r="K329">
        <v>5</v>
      </c>
      <c r="L329">
        <v>15388</v>
      </c>
      <c r="M329">
        <v>3</v>
      </c>
      <c r="O329">
        <v>1038</v>
      </c>
      <c r="P329">
        <f t="shared" si="19"/>
        <v>2023</v>
      </c>
      <c r="Q329">
        <f t="shared" si="20"/>
        <v>8</v>
      </c>
      <c r="R329" t="str">
        <f t="shared" si="21"/>
        <v>商品详情页头图推荐</v>
      </c>
      <c r="S329" t="str">
        <f>_xlfn.XLOOKUP(B329,全店核心数据_bymonth!A:A,全店核心数据_bymonth!AN:AN)</f>
        <v>BU24</v>
      </c>
    </row>
    <row r="330" spans="1:19" x14ac:dyDescent="0.3">
      <c r="A330" t="s">
        <v>110</v>
      </c>
      <c r="B330" s="16">
        <v>45139</v>
      </c>
      <c r="C330" t="s">
        <v>3</v>
      </c>
      <c r="D330" t="s">
        <v>123</v>
      </c>
      <c r="E330" t="s">
        <v>170</v>
      </c>
      <c r="F330">
        <v>326</v>
      </c>
      <c r="G330">
        <v>246</v>
      </c>
      <c r="H330">
        <v>10</v>
      </c>
      <c r="I330">
        <v>2</v>
      </c>
      <c r="J330">
        <v>29803</v>
      </c>
      <c r="K330">
        <v>4</v>
      </c>
      <c r="L330">
        <v>10303</v>
      </c>
      <c r="M330">
        <v>3</v>
      </c>
      <c r="O330">
        <v>132</v>
      </c>
      <c r="P330">
        <f t="shared" si="19"/>
        <v>2023</v>
      </c>
      <c r="Q330">
        <f t="shared" si="20"/>
        <v>8</v>
      </c>
      <c r="R330" t="str">
        <f t="shared" si="21"/>
        <v>店铺超链</v>
      </c>
      <c r="S330" t="str">
        <f>_xlfn.XLOOKUP(B330,全店核心数据_bymonth!A:A,全店核心数据_bymonth!AN:AN)</f>
        <v>BU24</v>
      </c>
    </row>
    <row r="331" spans="1:19" x14ac:dyDescent="0.3">
      <c r="A331" t="s">
        <v>110</v>
      </c>
      <c r="B331" s="16">
        <v>45139</v>
      </c>
      <c r="C331" t="s">
        <v>3</v>
      </c>
      <c r="D331" t="s">
        <v>127</v>
      </c>
      <c r="E331" t="s">
        <v>171</v>
      </c>
      <c r="F331">
        <v>1027</v>
      </c>
      <c r="G331">
        <v>616</v>
      </c>
      <c r="H331">
        <v>28</v>
      </c>
      <c r="I331">
        <v>19</v>
      </c>
      <c r="J331">
        <v>33473</v>
      </c>
      <c r="K331">
        <v>10</v>
      </c>
      <c r="L331">
        <v>30985</v>
      </c>
      <c r="M331">
        <v>10</v>
      </c>
      <c r="O331">
        <v>783</v>
      </c>
      <c r="P331">
        <f t="shared" si="19"/>
        <v>2023</v>
      </c>
      <c r="Q331">
        <f t="shared" si="20"/>
        <v>8</v>
      </c>
      <c r="R331" t="str">
        <f t="shared" si="21"/>
        <v>其他猜你喜欢</v>
      </c>
      <c r="S331" t="str">
        <f>_xlfn.XLOOKUP(B331,全店核心数据_bymonth!A:A,全店核心数据_bymonth!AN:AN)</f>
        <v>BU24</v>
      </c>
    </row>
    <row r="332" spans="1:19" x14ac:dyDescent="0.3">
      <c r="A332" t="s">
        <v>110</v>
      </c>
      <c r="B332" s="16">
        <v>45139</v>
      </c>
      <c r="C332" t="s">
        <v>3</v>
      </c>
      <c r="D332" t="s">
        <v>127</v>
      </c>
      <c r="E332" t="s">
        <v>193</v>
      </c>
      <c r="F332">
        <v>32</v>
      </c>
      <c r="G332">
        <v>29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O332">
        <v>32</v>
      </c>
      <c r="P332">
        <f t="shared" si="19"/>
        <v>2023</v>
      </c>
      <c r="Q332">
        <f t="shared" si="20"/>
        <v>8</v>
      </c>
      <c r="R332" t="str">
        <f t="shared" si="21"/>
        <v>推荐云主题</v>
      </c>
      <c r="S332" t="str">
        <f>_xlfn.XLOOKUP(B332,全店核心数据_bymonth!A:A,全店核心数据_bymonth!AN:AN)</f>
        <v>BU24</v>
      </c>
    </row>
    <row r="333" spans="1:19" x14ac:dyDescent="0.3">
      <c r="A333" t="s">
        <v>110</v>
      </c>
      <c r="B333" s="16">
        <v>45139</v>
      </c>
      <c r="C333" t="s">
        <v>3</v>
      </c>
      <c r="D333" t="s">
        <v>127</v>
      </c>
      <c r="E333" t="s">
        <v>172</v>
      </c>
      <c r="F333">
        <v>88</v>
      </c>
      <c r="G333">
        <v>45</v>
      </c>
      <c r="H333">
        <v>3</v>
      </c>
      <c r="I333">
        <v>0</v>
      </c>
      <c r="J333">
        <v>0</v>
      </c>
      <c r="K333">
        <v>0</v>
      </c>
      <c r="L333">
        <v>0</v>
      </c>
      <c r="M333">
        <v>0</v>
      </c>
      <c r="O333">
        <v>88</v>
      </c>
      <c r="P333">
        <f t="shared" si="19"/>
        <v>2023</v>
      </c>
      <c r="Q333">
        <f t="shared" si="20"/>
        <v>8</v>
      </c>
      <c r="R333" t="str">
        <f t="shared" si="21"/>
        <v>购中推荐</v>
      </c>
      <c r="S333" t="str">
        <f>_xlfn.XLOOKUP(B333,全店核心数据_bymonth!A:A,全店核心数据_bymonth!AN:AN)</f>
        <v>BU24</v>
      </c>
    </row>
    <row r="334" spans="1:19" x14ac:dyDescent="0.3">
      <c r="A334" t="s">
        <v>110</v>
      </c>
      <c r="B334" s="16">
        <v>45139</v>
      </c>
      <c r="C334" t="s">
        <v>3</v>
      </c>
      <c r="D334" t="s">
        <v>127</v>
      </c>
      <c r="E334" t="s">
        <v>173</v>
      </c>
      <c r="F334">
        <v>620</v>
      </c>
      <c r="G334">
        <v>401</v>
      </c>
      <c r="H334">
        <v>2</v>
      </c>
      <c r="I334">
        <v>2</v>
      </c>
      <c r="J334">
        <v>2488</v>
      </c>
      <c r="K334">
        <v>1</v>
      </c>
      <c r="L334">
        <v>2488</v>
      </c>
      <c r="M334">
        <v>1</v>
      </c>
      <c r="O334">
        <v>620</v>
      </c>
      <c r="P334">
        <f t="shared" si="19"/>
        <v>2023</v>
      </c>
      <c r="Q334">
        <f t="shared" si="20"/>
        <v>8</v>
      </c>
      <c r="R334" t="str">
        <f t="shared" si="21"/>
        <v>购后推荐</v>
      </c>
      <c r="S334" t="str">
        <f>_xlfn.XLOOKUP(B334,全店核心数据_bymonth!A:A,全店核心数据_bymonth!AN:AN)</f>
        <v>BU24</v>
      </c>
    </row>
    <row r="335" spans="1:19" x14ac:dyDescent="0.3">
      <c r="A335" t="s">
        <v>110</v>
      </c>
      <c r="B335" s="16">
        <v>45139</v>
      </c>
      <c r="C335" t="s">
        <v>3</v>
      </c>
      <c r="D335" t="s">
        <v>127</v>
      </c>
      <c r="E335" t="s">
        <v>174</v>
      </c>
      <c r="F335">
        <v>49757</v>
      </c>
      <c r="G335">
        <v>46868</v>
      </c>
      <c r="H335">
        <v>193</v>
      </c>
      <c r="I335">
        <v>179</v>
      </c>
      <c r="J335">
        <v>53800.5</v>
      </c>
      <c r="K335">
        <v>9</v>
      </c>
      <c r="L335">
        <v>9255.5</v>
      </c>
      <c r="M335">
        <v>4</v>
      </c>
      <c r="O335">
        <v>49757</v>
      </c>
      <c r="P335">
        <f t="shared" si="19"/>
        <v>2023</v>
      </c>
      <c r="Q335">
        <f t="shared" si="20"/>
        <v>8</v>
      </c>
      <c r="R335" t="str">
        <f t="shared" si="21"/>
        <v>首页推荐-微详情</v>
      </c>
      <c r="S335" t="str">
        <f>_xlfn.XLOOKUP(B335,全店核心数据_bymonth!A:A,全店核心数据_bymonth!AN:AN)</f>
        <v>BU24</v>
      </c>
    </row>
    <row r="336" spans="1:19" x14ac:dyDescent="0.3">
      <c r="A336" t="s">
        <v>110</v>
      </c>
      <c r="B336" s="16">
        <v>45139</v>
      </c>
      <c r="C336" t="s">
        <v>3</v>
      </c>
      <c r="D336" t="s">
        <v>127</v>
      </c>
      <c r="E336" t="s">
        <v>175</v>
      </c>
      <c r="F336">
        <v>2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O336">
        <v>0</v>
      </c>
      <c r="P336">
        <f t="shared" si="19"/>
        <v>2023</v>
      </c>
      <c r="Q336">
        <f t="shared" si="20"/>
        <v>8</v>
      </c>
      <c r="R336" t="str">
        <f t="shared" si="21"/>
        <v>首页推荐-直播</v>
      </c>
      <c r="S336" t="str">
        <f>_xlfn.XLOOKUP(B336,全店核心数据_bymonth!A:A,全店核心数据_bymonth!AN:AN)</f>
        <v>BU24</v>
      </c>
    </row>
    <row r="337" spans="1:19" x14ac:dyDescent="0.3">
      <c r="A337" t="s">
        <v>110</v>
      </c>
      <c r="B337" s="16">
        <v>45139</v>
      </c>
      <c r="C337" t="s">
        <v>3</v>
      </c>
      <c r="D337" t="s">
        <v>127</v>
      </c>
      <c r="E337" t="s">
        <v>176</v>
      </c>
      <c r="F337">
        <v>31</v>
      </c>
      <c r="G337">
        <v>24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O337">
        <v>0</v>
      </c>
      <c r="P337">
        <f t="shared" si="19"/>
        <v>2023</v>
      </c>
      <c r="Q337">
        <f t="shared" si="20"/>
        <v>8</v>
      </c>
      <c r="R337" t="str">
        <f t="shared" si="21"/>
        <v>首页推荐-短视频</v>
      </c>
      <c r="S337" t="str">
        <f>_xlfn.XLOOKUP(B337,全店核心数据_bymonth!A:A,全店核心数据_bymonth!AN:AN)</f>
        <v>BU24</v>
      </c>
    </row>
    <row r="338" spans="1:19" x14ac:dyDescent="0.3">
      <c r="A338" t="s">
        <v>110</v>
      </c>
      <c r="B338" s="16">
        <v>45139</v>
      </c>
      <c r="C338" t="s">
        <v>3</v>
      </c>
      <c r="D338" t="s">
        <v>143</v>
      </c>
      <c r="E338" t="s">
        <v>196</v>
      </c>
      <c r="F338">
        <v>22</v>
      </c>
      <c r="G338">
        <v>14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O338">
        <v>22</v>
      </c>
      <c r="P338">
        <f t="shared" si="19"/>
        <v>2023</v>
      </c>
      <c r="Q338">
        <f t="shared" si="20"/>
        <v>8</v>
      </c>
      <c r="R338" t="str">
        <f t="shared" si="21"/>
        <v>淘特互动游戏</v>
      </c>
      <c r="S338" t="str">
        <f>_xlfn.XLOOKUP(B338,全店核心数据_bymonth!A:A,全店核心数据_bymonth!AN:AN)</f>
        <v>BU24</v>
      </c>
    </row>
    <row r="339" spans="1:19" x14ac:dyDescent="0.3">
      <c r="A339" t="s">
        <v>110</v>
      </c>
      <c r="B339" s="16">
        <v>45139</v>
      </c>
      <c r="C339" t="s">
        <v>3</v>
      </c>
      <c r="D339" t="s">
        <v>143</v>
      </c>
      <c r="E339" t="s">
        <v>180</v>
      </c>
      <c r="F339">
        <v>3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O339">
        <v>3</v>
      </c>
      <c r="P339">
        <f t="shared" si="19"/>
        <v>2023</v>
      </c>
      <c r="Q339">
        <f t="shared" si="20"/>
        <v>8</v>
      </c>
      <c r="R339" t="str">
        <f t="shared" si="21"/>
        <v>淘特其他渠道</v>
      </c>
      <c r="S339" t="str">
        <f>_xlfn.XLOOKUP(B339,全店核心数据_bymonth!A:A,全店核心数据_bymonth!AN:AN)</f>
        <v>BU24</v>
      </c>
    </row>
    <row r="340" spans="1:19" x14ac:dyDescent="0.3">
      <c r="A340" t="s">
        <v>110</v>
      </c>
      <c r="B340" s="16">
        <v>45139</v>
      </c>
      <c r="C340" t="s">
        <v>3</v>
      </c>
      <c r="D340" t="s">
        <v>143</v>
      </c>
      <c r="E340" t="s">
        <v>197</v>
      </c>
      <c r="F340">
        <v>21</v>
      </c>
      <c r="G340">
        <v>13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O340">
        <v>21</v>
      </c>
      <c r="P340">
        <f t="shared" si="19"/>
        <v>2023</v>
      </c>
      <c r="Q340">
        <f t="shared" si="20"/>
        <v>8</v>
      </c>
      <c r="R340" t="str">
        <f t="shared" si="21"/>
        <v>淘特推荐</v>
      </c>
      <c r="S340" t="str">
        <f>_xlfn.XLOOKUP(B340,全店核心数据_bymonth!A:A,全店核心数据_bymonth!AN:AN)</f>
        <v>BU24</v>
      </c>
    </row>
    <row r="341" spans="1:19" x14ac:dyDescent="0.3">
      <c r="A341" t="s">
        <v>110</v>
      </c>
      <c r="B341" s="16">
        <v>45139</v>
      </c>
      <c r="C341" t="s">
        <v>3</v>
      </c>
      <c r="D341" t="s">
        <v>143</v>
      </c>
      <c r="E341" t="s">
        <v>181</v>
      </c>
      <c r="F341">
        <v>23</v>
      </c>
      <c r="G341">
        <v>23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O341">
        <v>23</v>
      </c>
      <c r="P341">
        <f t="shared" ref="P341:P404" si="22">YEAR(B341)</f>
        <v>2023</v>
      </c>
      <c r="Q341">
        <f t="shared" ref="Q341:Q404" si="23">MONTH(B341)</f>
        <v>8</v>
      </c>
      <c r="R341" t="str">
        <f t="shared" ref="R341:R404" si="24">E341</f>
        <v>淘特搜索</v>
      </c>
      <c r="S341" t="str">
        <f>_xlfn.XLOOKUP(B341,全店核心数据_bymonth!A:A,全店核心数据_bymonth!AN:AN)</f>
        <v>BU24</v>
      </c>
    </row>
    <row r="342" spans="1:19" x14ac:dyDescent="0.3">
      <c r="A342" t="s">
        <v>110</v>
      </c>
      <c r="B342" s="16">
        <v>45139</v>
      </c>
      <c r="C342" t="s">
        <v>2</v>
      </c>
      <c r="D342" t="s">
        <v>55</v>
      </c>
      <c r="E342" t="s">
        <v>56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O342">
        <v>1</v>
      </c>
      <c r="P342">
        <f t="shared" si="22"/>
        <v>2023</v>
      </c>
      <c r="Q342">
        <f t="shared" si="23"/>
        <v>8</v>
      </c>
      <c r="R342" t="str">
        <f t="shared" si="24"/>
        <v>超级短视频</v>
      </c>
      <c r="S342" t="str">
        <f>_xlfn.XLOOKUP(B342,全店核心数据_bymonth!A:A,全店核心数据_bymonth!AN:AN)</f>
        <v>BU24</v>
      </c>
    </row>
    <row r="343" spans="1:19" x14ac:dyDescent="0.3">
      <c r="A343" t="s">
        <v>110</v>
      </c>
      <c r="B343" s="16">
        <v>45139</v>
      </c>
      <c r="C343" t="s">
        <v>2</v>
      </c>
      <c r="D343" t="s">
        <v>52</v>
      </c>
      <c r="E343" t="s">
        <v>183</v>
      </c>
      <c r="F343">
        <v>12956</v>
      </c>
      <c r="G343">
        <v>12333</v>
      </c>
      <c r="H343">
        <v>206</v>
      </c>
      <c r="I343">
        <v>84</v>
      </c>
      <c r="J343">
        <v>194399.5</v>
      </c>
      <c r="K343">
        <v>38</v>
      </c>
      <c r="L343">
        <v>176504.5</v>
      </c>
      <c r="M343">
        <v>36</v>
      </c>
      <c r="O343">
        <v>6173</v>
      </c>
      <c r="P343">
        <f t="shared" si="22"/>
        <v>2023</v>
      </c>
      <c r="Q343">
        <f t="shared" si="23"/>
        <v>8</v>
      </c>
      <c r="R343" t="str">
        <f t="shared" si="24"/>
        <v>品销宝-品牌专区</v>
      </c>
      <c r="S343" t="str">
        <f>_xlfn.XLOOKUP(B343,全店核心数据_bymonth!A:A,全店核心数据_bymonth!AN:AN)</f>
        <v>BU24</v>
      </c>
    </row>
    <row r="344" spans="1:19" x14ac:dyDescent="0.3">
      <c r="A344" t="s">
        <v>110</v>
      </c>
      <c r="B344" s="16">
        <v>45139</v>
      </c>
      <c r="C344" t="s">
        <v>2</v>
      </c>
      <c r="D344" t="s">
        <v>52</v>
      </c>
      <c r="E344" t="s">
        <v>62</v>
      </c>
      <c r="F344">
        <v>7</v>
      </c>
      <c r="P344">
        <f t="shared" si="22"/>
        <v>2023</v>
      </c>
      <c r="Q344">
        <f t="shared" si="23"/>
        <v>8</v>
      </c>
      <c r="R344" t="str">
        <f t="shared" si="24"/>
        <v>超级互动城</v>
      </c>
      <c r="S344" t="str">
        <f>_xlfn.XLOOKUP(B344,全店核心数据_bymonth!A:A,全店核心数据_bymonth!AN:AN)</f>
        <v>BU24</v>
      </c>
    </row>
    <row r="345" spans="1:19" x14ac:dyDescent="0.3">
      <c r="A345" t="s">
        <v>110</v>
      </c>
      <c r="B345" s="16">
        <v>45139</v>
      </c>
      <c r="C345" t="s">
        <v>2</v>
      </c>
      <c r="D345" t="s">
        <v>57</v>
      </c>
      <c r="E345" t="s">
        <v>65</v>
      </c>
      <c r="F345">
        <v>43864</v>
      </c>
      <c r="G345">
        <v>42311</v>
      </c>
      <c r="H345">
        <v>402</v>
      </c>
      <c r="I345">
        <v>346</v>
      </c>
      <c r="J345">
        <v>443831</v>
      </c>
      <c r="K345">
        <v>72</v>
      </c>
      <c r="L345">
        <v>127039</v>
      </c>
      <c r="M345">
        <v>39</v>
      </c>
      <c r="O345">
        <v>43099</v>
      </c>
      <c r="P345">
        <f t="shared" si="22"/>
        <v>2023</v>
      </c>
      <c r="Q345">
        <f t="shared" si="23"/>
        <v>8</v>
      </c>
      <c r="R345" t="str">
        <f t="shared" si="24"/>
        <v>直通车</v>
      </c>
      <c r="S345" t="str">
        <f>_xlfn.XLOOKUP(B345,全店核心数据_bymonth!A:A,全店核心数据_bymonth!AN:AN)</f>
        <v>BU24</v>
      </c>
    </row>
    <row r="346" spans="1:19" x14ac:dyDescent="0.3">
      <c r="A346" t="s">
        <v>110</v>
      </c>
      <c r="B346" s="16">
        <v>45139</v>
      </c>
      <c r="C346" t="s">
        <v>2</v>
      </c>
      <c r="D346" t="s">
        <v>57</v>
      </c>
      <c r="E346" t="s">
        <v>63</v>
      </c>
      <c r="F346">
        <v>40080</v>
      </c>
      <c r="G346">
        <v>35778</v>
      </c>
      <c r="H346">
        <v>368</v>
      </c>
      <c r="I346">
        <v>227</v>
      </c>
      <c r="J346">
        <v>304674.48</v>
      </c>
      <c r="K346">
        <v>70</v>
      </c>
      <c r="L346">
        <v>187764.5</v>
      </c>
      <c r="M346">
        <v>52</v>
      </c>
      <c r="O346">
        <v>40009</v>
      </c>
      <c r="P346">
        <f t="shared" si="22"/>
        <v>2023</v>
      </c>
      <c r="Q346">
        <f t="shared" si="23"/>
        <v>8</v>
      </c>
      <c r="R346" t="str">
        <f t="shared" si="24"/>
        <v>万相台</v>
      </c>
      <c r="S346" t="str">
        <f>_xlfn.XLOOKUP(B346,全店核心数据_bymonth!A:A,全店核心数据_bymonth!AN:AN)</f>
        <v>BU24</v>
      </c>
    </row>
    <row r="347" spans="1:19" x14ac:dyDescent="0.3">
      <c r="A347" t="s">
        <v>110</v>
      </c>
      <c r="B347" s="16">
        <v>45139</v>
      </c>
      <c r="C347" t="s">
        <v>2</v>
      </c>
      <c r="D347" t="s">
        <v>57</v>
      </c>
      <c r="E347" t="s">
        <v>64</v>
      </c>
      <c r="F347">
        <v>62097</v>
      </c>
      <c r="G347">
        <v>55893</v>
      </c>
      <c r="H347">
        <v>320</v>
      </c>
      <c r="I347">
        <v>290</v>
      </c>
      <c r="J347">
        <v>163195</v>
      </c>
      <c r="K347">
        <v>17</v>
      </c>
      <c r="L347">
        <v>34467.5</v>
      </c>
      <c r="M347">
        <v>11</v>
      </c>
      <c r="O347">
        <v>61859</v>
      </c>
      <c r="P347">
        <f t="shared" si="22"/>
        <v>2023</v>
      </c>
      <c r="Q347">
        <f t="shared" si="23"/>
        <v>8</v>
      </c>
      <c r="R347" t="str">
        <f t="shared" si="24"/>
        <v>引力魔方</v>
      </c>
      <c r="S347" t="str">
        <f>_xlfn.XLOOKUP(B347,全店核心数据_bymonth!A:A,全店核心数据_bymonth!AN:AN)</f>
        <v>BU24</v>
      </c>
    </row>
    <row r="348" spans="1:19" x14ac:dyDescent="0.3">
      <c r="A348" t="s">
        <v>110</v>
      </c>
      <c r="B348" s="16">
        <v>45139</v>
      </c>
      <c r="C348" t="s">
        <v>2</v>
      </c>
      <c r="D348" t="s">
        <v>4</v>
      </c>
      <c r="E348" t="s">
        <v>44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O348">
        <v>1</v>
      </c>
      <c r="P348">
        <f t="shared" si="22"/>
        <v>2023</v>
      </c>
      <c r="Q348">
        <f t="shared" si="23"/>
        <v>8</v>
      </c>
      <c r="R348" t="str">
        <f t="shared" si="24"/>
        <v>UD品牌投放</v>
      </c>
      <c r="S348" t="str">
        <f>_xlfn.XLOOKUP(B348,全店核心数据_bymonth!A:A,全店核心数据_bymonth!AN:AN)</f>
        <v>BU24</v>
      </c>
    </row>
    <row r="349" spans="1:19" x14ac:dyDescent="0.3">
      <c r="A349" t="s">
        <v>110</v>
      </c>
      <c r="B349" s="16">
        <v>45139</v>
      </c>
      <c r="C349" t="s">
        <v>2</v>
      </c>
      <c r="D349" t="s">
        <v>4</v>
      </c>
      <c r="E349" t="s">
        <v>42</v>
      </c>
      <c r="F349">
        <v>1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O349">
        <v>1</v>
      </c>
      <c r="P349">
        <f t="shared" si="22"/>
        <v>2023</v>
      </c>
      <c r="Q349">
        <f t="shared" si="23"/>
        <v>8</v>
      </c>
      <c r="R349" t="str">
        <f t="shared" si="24"/>
        <v>UD效果投放</v>
      </c>
      <c r="S349" t="str">
        <f>_xlfn.XLOOKUP(B349,全店核心数据_bymonth!A:A,全店核心数据_bymonth!AN:AN)</f>
        <v>BU24</v>
      </c>
    </row>
    <row r="350" spans="1:19" x14ac:dyDescent="0.3">
      <c r="A350" t="s">
        <v>110</v>
      </c>
      <c r="B350" s="16">
        <v>45139</v>
      </c>
      <c r="C350" t="s">
        <v>2</v>
      </c>
      <c r="D350" t="s">
        <v>4</v>
      </c>
      <c r="E350" t="s">
        <v>41</v>
      </c>
      <c r="F350">
        <v>124</v>
      </c>
      <c r="G350">
        <v>118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O350">
        <v>40</v>
      </c>
      <c r="P350">
        <f t="shared" si="22"/>
        <v>2023</v>
      </c>
      <c r="Q350">
        <f t="shared" si="23"/>
        <v>8</v>
      </c>
      <c r="R350" t="str">
        <f t="shared" si="24"/>
        <v>流量宝</v>
      </c>
      <c r="S350" t="str">
        <f>_xlfn.XLOOKUP(B350,全店核心数据_bymonth!A:A,全店核心数据_bymonth!AN:AN)</f>
        <v>BU24</v>
      </c>
    </row>
    <row r="351" spans="1:19" x14ac:dyDescent="0.3">
      <c r="A351" t="s">
        <v>110</v>
      </c>
      <c r="B351" s="16">
        <v>45139</v>
      </c>
      <c r="C351" t="s">
        <v>2</v>
      </c>
      <c r="D351" t="s">
        <v>4</v>
      </c>
      <c r="E351" t="s">
        <v>43</v>
      </c>
      <c r="F351">
        <v>3352</v>
      </c>
      <c r="G351">
        <v>1885</v>
      </c>
      <c r="H351">
        <v>12</v>
      </c>
      <c r="I351">
        <v>10</v>
      </c>
      <c r="J351">
        <v>13439</v>
      </c>
      <c r="K351">
        <v>4</v>
      </c>
      <c r="L351">
        <v>13439</v>
      </c>
      <c r="M351">
        <v>4</v>
      </c>
      <c r="O351">
        <v>3143</v>
      </c>
      <c r="P351">
        <f t="shared" si="22"/>
        <v>2023</v>
      </c>
      <c r="Q351">
        <f t="shared" si="23"/>
        <v>8</v>
      </c>
      <c r="R351" t="str">
        <f t="shared" si="24"/>
        <v>淘宝客</v>
      </c>
      <c r="S351" t="str">
        <f>_xlfn.XLOOKUP(B351,全店核心数据_bymonth!A:A,全店核心数据_bymonth!AN:AN)</f>
        <v>BU24</v>
      </c>
    </row>
    <row r="352" spans="1:19" x14ac:dyDescent="0.3">
      <c r="A352" t="s">
        <v>110</v>
      </c>
      <c r="B352" s="16">
        <v>45536</v>
      </c>
      <c r="C352" t="s">
        <v>3</v>
      </c>
      <c r="D352" t="s">
        <v>120</v>
      </c>
      <c r="E352" t="s">
        <v>162</v>
      </c>
      <c r="F352">
        <v>14</v>
      </c>
      <c r="G352">
        <v>13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O352">
        <v>5</v>
      </c>
      <c r="P352">
        <f t="shared" si="22"/>
        <v>2024</v>
      </c>
      <c r="Q352">
        <f t="shared" si="23"/>
        <v>9</v>
      </c>
      <c r="R352" t="str">
        <f t="shared" si="24"/>
        <v>手机浏览器访问天猫</v>
      </c>
      <c r="S352" t="str">
        <f>_xlfn.XLOOKUP(B352,全店核心数据_bymonth!A:A,全店核心数据_bymonth!AN:AN)</f>
        <v>BU25</v>
      </c>
    </row>
    <row r="353" spans="1:19" x14ac:dyDescent="0.3">
      <c r="A353" t="s">
        <v>110</v>
      </c>
      <c r="B353" s="16">
        <v>45536</v>
      </c>
      <c r="C353" t="s">
        <v>3</v>
      </c>
      <c r="D353" t="s">
        <v>120</v>
      </c>
      <c r="E353" t="s">
        <v>163</v>
      </c>
      <c r="F353">
        <v>405</v>
      </c>
      <c r="G353">
        <v>302</v>
      </c>
      <c r="H353">
        <v>1</v>
      </c>
      <c r="I353">
        <v>0</v>
      </c>
      <c r="J353">
        <v>9445</v>
      </c>
      <c r="K353">
        <v>2</v>
      </c>
      <c r="L353">
        <v>9445</v>
      </c>
      <c r="M353">
        <v>2</v>
      </c>
      <c r="O353">
        <v>313</v>
      </c>
      <c r="P353">
        <f t="shared" si="22"/>
        <v>2024</v>
      </c>
      <c r="Q353">
        <f t="shared" si="23"/>
        <v>9</v>
      </c>
      <c r="R353" t="str">
        <f t="shared" si="24"/>
        <v>手猫免费其他</v>
      </c>
      <c r="S353" t="str">
        <f>_xlfn.XLOOKUP(B353,全店核心数据_bymonth!A:A,全店核心数据_bymonth!AN:AN)</f>
        <v>BU25</v>
      </c>
    </row>
    <row r="354" spans="1:19" x14ac:dyDescent="0.3">
      <c r="A354" t="s">
        <v>110</v>
      </c>
      <c r="B354" s="16">
        <v>45536</v>
      </c>
      <c r="C354" t="s">
        <v>3</v>
      </c>
      <c r="D354" t="s">
        <v>120</v>
      </c>
      <c r="E354" t="s">
        <v>164</v>
      </c>
      <c r="F354">
        <v>308</v>
      </c>
      <c r="G354">
        <v>249</v>
      </c>
      <c r="H354">
        <v>25</v>
      </c>
      <c r="I354">
        <v>0</v>
      </c>
      <c r="J354">
        <v>28450</v>
      </c>
      <c r="K354">
        <v>3</v>
      </c>
      <c r="L354">
        <v>28450</v>
      </c>
      <c r="M354">
        <v>3</v>
      </c>
      <c r="O354">
        <v>308</v>
      </c>
      <c r="P354">
        <f t="shared" si="22"/>
        <v>2024</v>
      </c>
      <c r="Q354">
        <f t="shared" si="23"/>
        <v>9</v>
      </c>
      <c r="R354" t="str">
        <f t="shared" si="24"/>
        <v>手猫其他店铺</v>
      </c>
      <c r="S354" t="str">
        <f>_xlfn.XLOOKUP(B354,全店核心数据_bymonth!A:A,全店核心数据_bymonth!AN:AN)</f>
        <v>BU25</v>
      </c>
    </row>
    <row r="355" spans="1:19" x14ac:dyDescent="0.3">
      <c r="A355" t="s">
        <v>110</v>
      </c>
      <c r="B355" s="16">
        <v>45536</v>
      </c>
      <c r="C355" t="s">
        <v>3</v>
      </c>
      <c r="D355" t="s">
        <v>120</v>
      </c>
      <c r="E355" t="s">
        <v>165</v>
      </c>
      <c r="F355">
        <v>280</v>
      </c>
      <c r="G355">
        <v>177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O355">
        <v>264</v>
      </c>
      <c r="P355">
        <f t="shared" si="22"/>
        <v>2024</v>
      </c>
      <c r="Q355">
        <f t="shared" si="23"/>
        <v>9</v>
      </c>
      <c r="R355" t="str">
        <f t="shared" si="24"/>
        <v>手猫商品详情</v>
      </c>
      <c r="S355" t="str">
        <f>_xlfn.XLOOKUP(B355,全店核心数据_bymonth!A:A,全店核心数据_bymonth!AN:AN)</f>
        <v>BU25</v>
      </c>
    </row>
    <row r="356" spans="1:19" x14ac:dyDescent="0.3">
      <c r="A356" t="s">
        <v>110</v>
      </c>
      <c r="B356" s="16">
        <v>45536</v>
      </c>
      <c r="C356" t="s">
        <v>3</v>
      </c>
      <c r="D356" t="s">
        <v>120</v>
      </c>
      <c r="E356" t="s">
        <v>166</v>
      </c>
      <c r="F356">
        <v>655</v>
      </c>
      <c r="G356">
        <v>574</v>
      </c>
      <c r="H356">
        <v>20</v>
      </c>
      <c r="I356">
        <v>0</v>
      </c>
      <c r="J356">
        <v>8890</v>
      </c>
      <c r="K356">
        <v>3</v>
      </c>
      <c r="L356">
        <v>8890</v>
      </c>
      <c r="M356">
        <v>3</v>
      </c>
      <c r="O356">
        <v>503</v>
      </c>
      <c r="P356">
        <f t="shared" si="22"/>
        <v>2024</v>
      </c>
      <c r="Q356">
        <f t="shared" si="23"/>
        <v>9</v>
      </c>
      <c r="R356" t="str">
        <f t="shared" si="24"/>
        <v>手猫搜索</v>
      </c>
      <c r="S356" t="str">
        <f>_xlfn.XLOOKUP(B356,全店核心数据_bymonth!A:A,全店核心数据_bymonth!AN:AN)</f>
        <v>BU25</v>
      </c>
    </row>
    <row r="357" spans="1:19" x14ac:dyDescent="0.3">
      <c r="A357" t="s">
        <v>110</v>
      </c>
      <c r="B357" s="16">
        <v>45536</v>
      </c>
      <c r="C357" t="s">
        <v>3</v>
      </c>
      <c r="D357" t="s">
        <v>120</v>
      </c>
      <c r="E357" t="s">
        <v>167</v>
      </c>
      <c r="F357">
        <v>8</v>
      </c>
      <c r="G357">
        <v>5</v>
      </c>
      <c r="H357">
        <v>2</v>
      </c>
      <c r="I357">
        <v>0</v>
      </c>
      <c r="J357">
        <v>0</v>
      </c>
      <c r="K357">
        <v>0</v>
      </c>
      <c r="L357">
        <v>0</v>
      </c>
      <c r="M357">
        <v>0</v>
      </c>
      <c r="O357">
        <v>7</v>
      </c>
      <c r="P357">
        <f t="shared" si="22"/>
        <v>2024</v>
      </c>
      <c r="Q357">
        <f t="shared" si="23"/>
        <v>9</v>
      </c>
      <c r="R357" t="str">
        <f t="shared" si="24"/>
        <v>手猫旺信聊天</v>
      </c>
      <c r="S357" t="str">
        <f>_xlfn.XLOOKUP(B357,全店核心数据_bymonth!A:A,全店核心数据_bymonth!AN:AN)</f>
        <v>BU25</v>
      </c>
    </row>
    <row r="358" spans="1:19" x14ac:dyDescent="0.3">
      <c r="A358" t="s">
        <v>110</v>
      </c>
      <c r="B358" s="16">
        <v>45536</v>
      </c>
      <c r="C358" t="s">
        <v>3</v>
      </c>
      <c r="D358" t="s">
        <v>120</v>
      </c>
      <c r="E358" t="s">
        <v>192</v>
      </c>
      <c r="F358">
        <v>38</v>
      </c>
      <c r="G358">
        <v>25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O358">
        <v>38</v>
      </c>
      <c r="P358">
        <f t="shared" si="22"/>
        <v>2024</v>
      </c>
      <c r="Q358">
        <f t="shared" si="23"/>
        <v>9</v>
      </c>
      <c r="R358" t="str">
        <f t="shared" si="24"/>
        <v>手猫消息中心</v>
      </c>
      <c r="S358" t="str">
        <f>_xlfn.XLOOKUP(B358,全店核心数据_bymonth!A:A,全店核心数据_bymonth!AN:AN)</f>
        <v>BU25</v>
      </c>
    </row>
    <row r="359" spans="1:19" x14ac:dyDescent="0.3">
      <c r="A359" t="s">
        <v>110</v>
      </c>
      <c r="B359" s="16">
        <v>45536</v>
      </c>
      <c r="C359" t="s">
        <v>3</v>
      </c>
      <c r="D359" t="s">
        <v>120</v>
      </c>
      <c r="E359" t="s">
        <v>168</v>
      </c>
      <c r="F359">
        <v>2910</v>
      </c>
      <c r="G359">
        <v>2553</v>
      </c>
      <c r="H359">
        <v>20</v>
      </c>
      <c r="I359">
        <v>0</v>
      </c>
      <c r="J359">
        <v>4100</v>
      </c>
      <c r="K359">
        <v>1</v>
      </c>
      <c r="L359">
        <v>4100</v>
      </c>
      <c r="M359">
        <v>1</v>
      </c>
      <c r="O359">
        <v>2910</v>
      </c>
      <c r="P359">
        <f t="shared" si="22"/>
        <v>2024</v>
      </c>
      <c r="Q359">
        <f t="shared" si="23"/>
        <v>9</v>
      </c>
      <c r="R359" t="str">
        <f t="shared" si="24"/>
        <v>手猫首页</v>
      </c>
      <c r="S359" t="str">
        <f>_xlfn.XLOOKUP(B359,全店核心数据_bymonth!A:A,全店核心数据_bymonth!AN:AN)</f>
        <v>BU25</v>
      </c>
    </row>
    <row r="360" spans="1:19" x14ac:dyDescent="0.3">
      <c r="A360" t="s">
        <v>110</v>
      </c>
      <c r="B360" s="16">
        <v>45536</v>
      </c>
      <c r="C360" t="s">
        <v>3</v>
      </c>
      <c r="D360" t="s">
        <v>123</v>
      </c>
      <c r="E360" t="s">
        <v>169</v>
      </c>
      <c r="F360">
        <v>885</v>
      </c>
      <c r="G360">
        <v>526</v>
      </c>
      <c r="H360">
        <v>26</v>
      </c>
      <c r="I360">
        <v>27</v>
      </c>
      <c r="J360">
        <v>12140</v>
      </c>
      <c r="K360">
        <v>2</v>
      </c>
      <c r="L360">
        <v>12140</v>
      </c>
      <c r="M360">
        <v>2</v>
      </c>
      <c r="O360">
        <v>862</v>
      </c>
      <c r="P360">
        <f t="shared" si="22"/>
        <v>2024</v>
      </c>
      <c r="Q360">
        <f t="shared" si="23"/>
        <v>9</v>
      </c>
      <c r="R360" t="str">
        <f t="shared" si="24"/>
        <v>商品详情页头图推荐</v>
      </c>
      <c r="S360" t="str">
        <f>_xlfn.XLOOKUP(B360,全店核心数据_bymonth!A:A,全店核心数据_bymonth!AN:AN)</f>
        <v>BU25</v>
      </c>
    </row>
    <row r="361" spans="1:19" x14ac:dyDescent="0.3">
      <c r="A361" t="s">
        <v>110</v>
      </c>
      <c r="B361" s="16">
        <v>45536</v>
      </c>
      <c r="C361" t="s">
        <v>3</v>
      </c>
      <c r="D361" t="s">
        <v>123</v>
      </c>
      <c r="E361" t="s">
        <v>170</v>
      </c>
      <c r="F361">
        <v>425</v>
      </c>
      <c r="G361">
        <v>347</v>
      </c>
      <c r="H361">
        <v>14</v>
      </c>
      <c r="I361">
        <v>5</v>
      </c>
      <c r="J361">
        <v>15495</v>
      </c>
      <c r="K361">
        <v>2</v>
      </c>
      <c r="L361">
        <v>15495</v>
      </c>
      <c r="M361">
        <v>2</v>
      </c>
      <c r="O361">
        <v>173</v>
      </c>
      <c r="P361">
        <f t="shared" si="22"/>
        <v>2024</v>
      </c>
      <c r="Q361">
        <f t="shared" si="23"/>
        <v>9</v>
      </c>
      <c r="R361" t="str">
        <f t="shared" si="24"/>
        <v>店铺超链</v>
      </c>
      <c r="S361" t="str">
        <f>_xlfn.XLOOKUP(B361,全店核心数据_bymonth!A:A,全店核心数据_bymonth!AN:AN)</f>
        <v>BU25</v>
      </c>
    </row>
    <row r="362" spans="1:19" x14ac:dyDescent="0.3">
      <c r="A362" t="s">
        <v>110</v>
      </c>
      <c r="B362" s="16">
        <v>45536</v>
      </c>
      <c r="C362" t="s">
        <v>3</v>
      </c>
      <c r="D362" t="s">
        <v>127</v>
      </c>
      <c r="E362" t="s">
        <v>171</v>
      </c>
      <c r="F362">
        <v>790</v>
      </c>
      <c r="G362">
        <v>507</v>
      </c>
      <c r="H362">
        <v>15</v>
      </c>
      <c r="I362">
        <v>16</v>
      </c>
      <c r="J362">
        <v>54300</v>
      </c>
      <c r="K362">
        <v>7</v>
      </c>
      <c r="L362">
        <v>30350</v>
      </c>
      <c r="M362">
        <v>6</v>
      </c>
      <c r="O362">
        <v>576</v>
      </c>
      <c r="P362">
        <f t="shared" si="22"/>
        <v>2024</v>
      </c>
      <c r="Q362">
        <f t="shared" si="23"/>
        <v>9</v>
      </c>
      <c r="R362" t="str">
        <f t="shared" si="24"/>
        <v>其他猜你喜欢</v>
      </c>
      <c r="S362" t="str">
        <f>_xlfn.XLOOKUP(B362,全店核心数据_bymonth!A:A,全店核心数据_bymonth!AN:AN)</f>
        <v>BU25</v>
      </c>
    </row>
    <row r="363" spans="1:19" x14ac:dyDescent="0.3">
      <c r="A363" t="s">
        <v>110</v>
      </c>
      <c r="B363" s="16">
        <v>45536</v>
      </c>
      <c r="C363" t="s">
        <v>3</v>
      </c>
      <c r="D363" t="s">
        <v>127</v>
      </c>
      <c r="E363" t="s">
        <v>172</v>
      </c>
      <c r="F363">
        <v>34</v>
      </c>
      <c r="G363">
        <v>27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O363">
        <v>26</v>
      </c>
      <c r="P363">
        <f t="shared" si="22"/>
        <v>2024</v>
      </c>
      <c r="Q363">
        <f t="shared" si="23"/>
        <v>9</v>
      </c>
      <c r="R363" t="str">
        <f t="shared" si="24"/>
        <v>购中推荐</v>
      </c>
      <c r="S363" t="str">
        <f>_xlfn.XLOOKUP(B363,全店核心数据_bymonth!A:A,全店核心数据_bymonth!AN:AN)</f>
        <v>BU25</v>
      </c>
    </row>
    <row r="364" spans="1:19" x14ac:dyDescent="0.3">
      <c r="A364" t="s">
        <v>110</v>
      </c>
      <c r="B364" s="16">
        <v>45536</v>
      </c>
      <c r="C364" t="s">
        <v>3</v>
      </c>
      <c r="D364" t="s">
        <v>127</v>
      </c>
      <c r="E364" t="s">
        <v>173</v>
      </c>
      <c r="F364">
        <v>210</v>
      </c>
      <c r="G364">
        <v>148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O364">
        <v>124</v>
      </c>
      <c r="P364">
        <f t="shared" si="22"/>
        <v>2024</v>
      </c>
      <c r="Q364">
        <f t="shared" si="23"/>
        <v>9</v>
      </c>
      <c r="R364" t="str">
        <f t="shared" si="24"/>
        <v>购后推荐</v>
      </c>
      <c r="S364" t="str">
        <f>_xlfn.XLOOKUP(B364,全店核心数据_bymonth!A:A,全店核心数据_bymonth!AN:AN)</f>
        <v>BU25</v>
      </c>
    </row>
    <row r="365" spans="1:19" x14ac:dyDescent="0.3">
      <c r="A365" t="s">
        <v>110</v>
      </c>
      <c r="B365" s="16">
        <v>45536</v>
      </c>
      <c r="C365" t="s">
        <v>3</v>
      </c>
      <c r="D365" t="s">
        <v>127</v>
      </c>
      <c r="E365" t="s">
        <v>174</v>
      </c>
      <c r="F365">
        <v>8387</v>
      </c>
      <c r="G365">
        <v>6952</v>
      </c>
      <c r="H365">
        <v>77</v>
      </c>
      <c r="I365">
        <v>70</v>
      </c>
      <c r="J365">
        <v>20935</v>
      </c>
      <c r="K365">
        <v>4</v>
      </c>
      <c r="L365">
        <v>6990</v>
      </c>
      <c r="M365">
        <v>2</v>
      </c>
      <c r="O365">
        <v>8387</v>
      </c>
      <c r="P365">
        <f t="shared" si="22"/>
        <v>2024</v>
      </c>
      <c r="Q365">
        <f t="shared" si="23"/>
        <v>9</v>
      </c>
      <c r="R365" t="str">
        <f t="shared" si="24"/>
        <v>首页推荐-微详情</v>
      </c>
      <c r="S365" t="str">
        <f>_xlfn.XLOOKUP(B365,全店核心数据_bymonth!A:A,全店核心数据_bymonth!AN:AN)</f>
        <v>BU25</v>
      </c>
    </row>
    <row r="366" spans="1:19" x14ac:dyDescent="0.3">
      <c r="A366" t="s">
        <v>110</v>
      </c>
      <c r="B366" s="16">
        <v>45536</v>
      </c>
      <c r="C366" t="s">
        <v>3</v>
      </c>
      <c r="D366" t="s">
        <v>127</v>
      </c>
      <c r="E366" t="s">
        <v>175</v>
      </c>
      <c r="F366">
        <v>899</v>
      </c>
      <c r="G366">
        <v>768</v>
      </c>
      <c r="H366">
        <v>5</v>
      </c>
      <c r="I366">
        <v>1</v>
      </c>
      <c r="J366">
        <v>0</v>
      </c>
      <c r="K366">
        <v>0</v>
      </c>
      <c r="L366">
        <v>0</v>
      </c>
      <c r="M366">
        <v>0</v>
      </c>
      <c r="O366">
        <v>62</v>
      </c>
      <c r="P366">
        <f t="shared" si="22"/>
        <v>2024</v>
      </c>
      <c r="Q366">
        <f t="shared" si="23"/>
        <v>9</v>
      </c>
      <c r="R366" t="str">
        <f t="shared" si="24"/>
        <v>首页推荐-直播</v>
      </c>
      <c r="S366" t="str">
        <f>_xlfn.XLOOKUP(B366,全店核心数据_bymonth!A:A,全店核心数据_bymonth!AN:AN)</f>
        <v>BU25</v>
      </c>
    </row>
    <row r="367" spans="1:19" x14ac:dyDescent="0.3">
      <c r="A367" t="s">
        <v>110</v>
      </c>
      <c r="B367" s="16">
        <v>45536</v>
      </c>
      <c r="C367" t="s">
        <v>3</v>
      </c>
      <c r="D367" t="s">
        <v>127</v>
      </c>
      <c r="E367" t="s">
        <v>176</v>
      </c>
      <c r="F367">
        <v>1919</v>
      </c>
      <c r="G367">
        <v>1495</v>
      </c>
      <c r="H367">
        <v>3</v>
      </c>
      <c r="I367">
        <v>2</v>
      </c>
      <c r="J367">
        <v>0</v>
      </c>
      <c r="K367">
        <v>0</v>
      </c>
      <c r="L367">
        <v>0</v>
      </c>
      <c r="M367">
        <v>0</v>
      </c>
      <c r="O367">
        <v>128</v>
      </c>
      <c r="P367">
        <f t="shared" si="22"/>
        <v>2024</v>
      </c>
      <c r="Q367">
        <f t="shared" si="23"/>
        <v>9</v>
      </c>
      <c r="R367" t="str">
        <f t="shared" si="24"/>
        <v>首页推荐-短视频</v>
      </c>
      <c r="S367" t="str">
        <f>_xlfn.XLOOKUP(B367,全店核心数据_bymonth!A:A,全店核心数据_bymonth!AN:AN)</f>
        <v>BU25</v>
      </c>
    </row>
    <row r="368" spans="1:19" x14ac:dyDescent="0.3">
      <c r="A368" t="s">
        <v>110</v>
      </c>
      <c r="B368" s="16">
        <v>45536</v>
      </c>
      <c r="C368" t="s">
        <v>3</v>
      </c>
      <c r="D368" t="s">
        <v>128</v>
      </c>
      <c r="E368" t="s">
        <v>177</v>
      </c>
      <c r="F368">
        <v>9279</v>
      </c>
      <c r="G368">
        <v>8258</v>
      </c>
      <c r="H368">
        <v>217</v>
      </c>
      <c r="I368">
        <v>77</v>
      </c>
      <c r="J368">
        <v>205755</v>
      </c>
      <c r="K368">
        <v>30</v>
      </c>
      <c r="L368">
        <v>105000</v>
      </c>
      <c r="M368">
        <v>24</v>
      </c>
      <c r="O368">
        <v>7313</v>
      </c>
      <c r="P368">
        <f t="shared" si="22"/>
        <v>2024</v>
      </c>
      <c r="Q368">
        <f t="shared" si="23"/>
        <v>9</v>
      </c>
      <c r="R368" t="str">
        <f t="shared" si="24"/>
        <v>手淘搜索-商品及其他</v>
      </c>
      <c r="S368" t="str">
        <f>_xlfn.XLOOKUP(B368,全店核心数据_bymonth!A:A,全店核心数据_bymonth!AN:AN)</f>
        <v>BU25</v>
      </c>
    </row>
    <row r="369" spans="1:19" x14ac:dyDescent="0.3">
      <c r="A369" t="s">
        <v>110</v>
      </c>
      <c r="B369" s="16">
        <v>45536</v>
      </c>
      <c r="C369" t="s">
        <v>3</v>
      </c>
      <c r="D369" t="s">
        <v>128</v>
      </c>
      <c r="E369" t="s">
        <v>178</v>
      </c>
      <c r="F369">
        <v>19</v>
      </c>
      <c r="G369">
        <v>10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O369">
        <v>16</v>
      </c>
      <c r="P369">
        <f t="shared" si="22"/>
        <v>2024</v>
      </c>
      <c r="Q369">
        <f t="shared" si="23"/>
        <v>9</v>
      </c>
      <c r="R369" t="str">
        <f t="shared" si="24"/>
        <v>手淘搜索-直播</v>
      </c>
      <c r="S369" t="str">
        <f>_xlfn.XLOOKUP(B369,全店核心数据_bymonth!A:A,全店核心数据_bymonth!AN:AN)</f>
        <v>BU25</v>
      </c>
    </row>
    <row r="370" spans="1:19" x14ac:dyDescent="0.3">
      <c r="A370" t="s">
        <v>110</v>
      </c>
      <c r="B370" s="16">
        <v>45536</v>
      </c>
      <c r="C370" t="s">
        <v>3</v>
      </c>
      <c r="D370" t="s">
        <v>128</v>
      </c>
      <c r="E370" t="s">
        <v>179</v>
      </c>
      <c r="F370">
        <v>360</v>
      </c>
      <c r="G370">
        <v>295</v>
      </c>
      <c r="H370">
        <v>0</v>
      </c>
      <c r="I370">
        <v>3</v>
      </c>
      <c r="J370">
        <v>0</v>
      </c>
      <c r="K370">
        <v>0</v>
      </c>
      <c r="L370">
        <v>0</v>
      </c>
      <c r="M370">
        <v>0</v>
      </c>
      <c r="O370">
        <v>324</v>
      </c>
      <c r="P370">
        <f t="shared" si="22"/>
        <v>2024</v>
      </c>
      <c r="Q370">
        <f t="shared" si="23"/>
        <v>9</v>
      </c>
      <c r="R370" t="str">
        <f t="shared" si="24"/>
        <v>手淘搜索-短视频</v>
      </c>
      <c r="S370" t="str">
        <f>_xlfn.XLOOKUP(B370,全店核心数据_bymonth!A:A,全店核心数据_bymonth!AN:AN)</f>
        <v>BU25</v>
      </c>
    </row>
    <row r="371" spans="1:19" x14ac:dyDescent="0.3">
      <c r="A371" t="s">
        <v>110</v>
      </c>
      <c r="B371" s="16">
        <v>45536</v>
      </c>
      <c r="C371" t="s">
        <v>3</v>
      </c>
      <c r="D371" t="s">
        <v>143</v>
      </c>
      <c r="E371" t="s">
        <v>180</v>
      </c>
      <c r="F371">
        <v>347</v>
      </c>
      <c r="G371">
        <v>339</v>
      </c>
      <c r="H371">
        <v>2</v>
      </c>
      <c r="I371">
        <v>3</v>
      </c>
      <c r="J371">
        <v>0</v>
      </c>
      <c r="K371">
        <v>0</v>
      </c>
      <c r="L371">
        <v>0</v>
      </c>
      <c r="M371">
        <v>0</v>
      </c>
      <c r="O371">
        <v>347</v>
      </c>
      <c r="P371">
        <f t="shared" si="22"/>
        <v>2024</v>
      </c>
      <c r="Q371">
        <f t="shared" si="23"/>
        <v>9</v>
      </c>
      <c r="R371" t="str">
        <f t="shared" si="24"/>
        <v>淘特其他渠道</v>
      </c>
      <c r="S371" t="str">
        <f>_xlfn.XLOOKUP(B371,全店核心数据_bymonth!A:A,全店核心数据_bymonth!AN:AN)</f>
        <v>BU25</v>
      </c>
    </row>
    <row r="372" spans="1:19" x14ac:dyDescent="0.3">
      <c r="A372" t="s">
        <v>110</v>
      </c>
      <c r="B372" s="16">
        <v>45536</v>
      </c>
      <c r="C372" t="s">
        <v>3</v>
      </c>
      <c r="D372" t="s">
        <v>143</v>
      </c>
      <c r="E372" t="s">
        <v>197</v>
      </c>
      <c r="F372">
        <v>1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O372">
        <v>1</v>
      </c>
      <c r="P372">
        <f t="shared" si="22"/>
        <v>2024</v>
      </c>
      <c r="Q372">
        <f t="shared" si="23"/>
        <v>9</v>
      </c>
      <c r="R372" t="str">
        <f t="shared" si="24"/>
        <v>淘特推荐</v>
      </c>
      <c r="S372" t="str">
        <f>_xlfn.XLOOKUP(B372,全店核心数据_bymonth!A:A,全店核心数据_bymonth!AN:AN)</f>
        <v>BU25</v>
      </c>
    </row>
    <row r="373" spans="1:19" x14ac:dyDescent="0.3">
      <c r="A373" t="s">
        <v>110</v>
      </c>
      <c r="B373" s="16">
        <v>45536</v>
      </c>
      <c r="C373" t="s">
        <v>3</v>
      </c>
      <c r="D373" t="s">
        <v>143</v>
      </c>
      <c r="E373" t="s">
        <v>181</v>
      </c>
      <c r="F373">
        <v>11</v>
      </c>
      <c r="G373">
        <v>10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O373">
        <v>11</v>
      </c>
      <c r="P373">
        <f t="shared" si="22"/>
        <v>2024</v>
      </c>
      <c r="Q373">
        <f t="shared" si="23"/>
        <v>9</v>
      </c>
      <c r="R373" t="str">
        <f t="shared" si="24"/>
        <v>淘特搜索</v>
      </c>
      <c r="S373" t="str">
        <f>_xlfn.XLOOKUP(B373,全店核心数据_bymonth!A:A,全店核心数据_bymonth!AN:AN)</f>
        <v>BU25</v>
      </c>
    </row>
    <row r="374" spans="1:19" x14ac:dyDescent="0.3">
      <c r="A374" t="s">
        <v>110</v>
      </c>
      <c r="B374" s="16">
        <v>45536</v>
      </c>
      <c r="C374" t="s">
        <v>3</v>
      </c>
      <c r="D374" t="s">
        <v>143</v>
      </c>
      <c r="E374" t="s">
        <v>224</v>
      </c>
      <c r="F374">
        <v>2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O374">
        <v>2</v>
      </c>
      <c r="P374">
        <f t="shared" si="22"/>
        <v>2024</v>
      </c>
      <c r="Q374">
        <f t="shared" si="23"/>
        <v>9</v>
      </c>
      <c r="R374" t="str">
        <f t="shared" si="24"/>
        <v>淘特自主访问</v>
      </c>
      <c r="S374" t="str">
        <f>_xlfn.XLOOKUP(B374,全店核心数据_bymonth!A:A,全店核心数据_bymonth!AN:AN)</f>
        <v>BU25</v>
      </c>
    </row>
    <row r="375" spans="1:19" x14ac:dyDescent="0.3">
      <c r="A375" t="s">
        <v>110</v>
      </c>
      <c r="B375" s="16">
        <v>45536</v>
      </c>
      <c r="C375" t="s">
        <v>2</v>
      </c>
      <c r="D375" t="s">
        <v>55</v>
      </c>
      <c r="E375" t="s">
        <v>66</v>
      </c>
      <c r="F375">
        <v>8658</v>
      </c>
      <c r="G375">
        <v>8383</v>
      </c>
      <c r="H375">
        <v>5</v>
      </c>
      <c r="I375">
        <v>0</v>
      </c>
      <c r="J375">
        <v>0</v>
      </c>
      <c r="K375">
        <v>0</v>
      </c>
      <c r="L375">
        <v>0</v>
      </c>
      <c r="M375">
        <v>0</v>
      </c>
      <c r="O375">
        <v>1647</v>
      </c>
      <c r="P375">
        <f t="shared" si="22"/>
        <v>2024</v>
      </c>
      <c r="Q375">
        <f t="shared" si="23"/>
        <v>9</v>
      </c>
      <c r="R375" t="str">
        <f t="shared" si="24"/>
        <v>短直联动</v>
      </c>
      <c r="S375" t="str">
        <f>_xlfn.XLOOKUP(B375,全店核心数据_bymonth!A:A,全店核心数据_bymonth!AN:AN)</f>
        <v>BU25</v>
      </c>
    </row>
    <row r="376" spans="1:19" x14ac:dyDescent="0.3">
      <c r="A376" t="s">
        <v>110</v>
      </c>
      <c r="B376" s="16">
        <v>45536</v>
      </c>
      <c r="C376" t="s">
        <v>2</v>
      </c>
      <c r="D376" t="s">
        <v>55</v>
      </c>
      <c r="E376" t="s">
        <v>54</v>
      </c>
      <c r="F376">
        <v>4047</v>
      </c>
      <c r="G376">
        <v>3815</v>
      </c>
      <c r="H376">
        <v>6</v>
      </c>
      <c r="I376">
        <v>1</v>
      </c>
      <c r="J376">
        <v>0</v>
      </c>
      <c r="K376">
        <v>0</v>
      </c>
      <c r="L376">
        <v>0</v>
      </c>
      <c r="M376">
        <v>0</v>
      </c>
      <c r="O376">
        <v>744</v>
      </c>
      <c r="P376">
        <f t="shared" si="22"/>
        <v>2024</v>
      </c>
      <c r="Q376">
        <f t="shared" si="23"/>
        <v>9</v>
      </c>
      <c r="R376" t="str">
        <f t="shared" si="24"/>
        <v>超级直播</v>
      </c>
      <c r="S376" t="str">
        <f>_xlfn.XLOOKUP(B376,全店核心数据_bymonth!A:A,全店核心数据_bymonth!AN:AN)</f>
        <v>BU25</v>
      </c>
    </row>
    <row r="377" spans="1:19" x14ac:dyDescent="0.3">
      <c r="A377" t="s">
        <v>110</v>
      </c>
      <c r="B377" s="16">
        <v>45536</v>
      </c>
      <c r="C377" t="s">
        <v>2</v>
      </c>
      <c r="D377" t="s">
        <v>55</v>
      </c>
      <c r="E377" t="s">
        <v>56</v>
      </c>
      <c r="F377">
        <v>696</v>
      </c>
      <c r="G377">
        <v>613</v>
      </c>
      <c r="H377">
        <v>11</v>
      </c>
      <c r="I377">
        <v>25</v>
      </c>
      <c r="J377">
        <v>0</v>
      </c>
      <c r="K377">
        <v>0</v>
      </c>
      <c r="L377">
        <v>0</v>
      </c>
      <c r="M377">
        <v>0</v>
      </c>
      <c r="O377">
        <v>667</v>
      </c>
      <c r="P377">
        <f t="shared" si="22"/>
        <v>2024</v>
      </c>
      <c r="Q377">
        <f t="shared" si="23"/>
        <v>9</v>
      </c>
      <c r="R377" t="str">
        <f t="shared" si="24"/>
        <v>超级短视频</v>
      </c>
      <c r="S377" t="str">
        <f>_xlfn.XLOOKUP(B377,全店核心数据_bymonth!A:A,全店核心数据_bymonth!AN:AN)</f>
        <v>BU25</v>
      </c>
    </row>
    <row r="378" spans="1:19" x14ac:dyDescent="0.3">
      <c r="A378" t="s">
        <v>110</v>
      </c>
      <c r="B378" s="16">
        <v>45536</v>
      </c>
      <c r="C378" t="s">
        <v>2</v>
      </c>
      <c r="D378" t="s">
        <v>52</v>
      </c>
      <c r="E378" t="s">
        <v>51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O378">
        <v>0</v>
      </c>
      <c r="P378">
        <f t="shared" si="22"/>
        <v>2024</v>
      </c>
      <c r="Q378">
        <f t="shared" si="23"/>
        <v>9</v>
      </c>
      <c r="R378" t="str">
        <f t="shared" si="24"/>
        <v>品牌定制</v>
      </c>
      <c r="S378" t="str">
        <f>_xlfn.XLOOKUP(B378,全店核心数据_bymonth!A:A,全店核心数据_bymonth!AN:AN)</f>
        <v>BU25</v>
      </c>
    </row>
    <row r="379" spans="1:19" x14ac:dyDescent="0.3">
      <c r="A379" t="s">
        <v>110</v>
      </c>
      <c r="B379" s="16">
        <v>45536</v>
      </c>
      <c r="C379" t="s">
        <v>2</v>
      </c>
      <c r="D379" t="s">
        <v>52</v>
      </c>
      <c r="E379" t="s">
        <v>183</v>
      </c>
      <c r="F379">
        <v>15203</v>
      </c>
      <c r="G379">
        <v>14556</v>
      </c>
      <c r="H379">
        <v>238</v>
      </c>
      <c r="I379">
        <v>78</v>
      </c>
      <c r="J379">
        <v>159635</v>
      </c>
      <c r="K379">
        <v>36</v>
      </c>
      <c r="L379">
        <v>120310</v>
      </c>
      <c r="M379">
        <v>30</v>
      </c>
      <c r="O379">
        <v>7288</v>
      </c>
      <c r="P379">
        <f t="shared" si="22"/>
        <v>2024</v>
      </c>
      <c r="Q379">
        <f t="shared" si="23"/>
        <v>9</v>
      </c>
      <c r="R379" t="str">
        <f t="shared" si="24"/>
        <v>品销宝-品牌专区</v>
      </c>
      <c r="S379" t="str">
        <f>_xlfn.XLOOKUP(B379,全店核心数据_bymonth!A:A,全店核心数据_bymonth!AN:AN)</f>
        <v>BU25</v>
      </c>
    </row>
    <row r="380" spans="1:19" x14ac:dyDescent="0.3">
      <c r="A380" t="s">
        <v>110</v>
      </c>
      <c r="B380" s="16">
        <v>45536</v>
      </c>
      <c r="C380" t="s">
        <v>2</v>
      </c>
      <c r="D380" t="s">
        <v>57</v>
      </c>
      <c r="E380" t="s">
        <v>65</v>
      </c>
      <c r="F380">
        <v>78173</v>
      </c>
      <c r="G380">
        <v>75821</v>
      </c>
      <c r="H380">
        <v>636</v>
      </c>
      <c r="I380">
        <v>513</v>
      </c>
      <c r="J380">
        <v>823210</v>
      </c>
      <c r="K380">
        <v>84</v>
      </c>
      <c r="L380">
        <v>147600</v>
      </c>
      <c r="M380">
        <v>30</v>
      </c>
      <c r="O380">
        <v>77499</v>
      </c>
      <c r="P380">
        <f t="shared" si="22"/>
        <v>2024</v>
      </c>
      <c r="Q380">
        <f t="shared" si="23"/>
        <v>9</v>
      </c>
      <c r="R380" t="str">
        <f t="shared" si="24"/>
        <v>直通车</v>
      </c>
      <c r="S380" t="str">
        <f>_xlfn.XLOOKUP(B380,全店核心数据_bymonth!A:A,全店核心数据_bymonth!AN:AN)</f>
        <v>BU25</v>
      </c>
    </row>
    <row r="381" spans="1:19" x14ac:dyDescent="0.3">
      <c r="A381" t="s">
        <v>110</v>
      </c>
      <c r="B381" s="16">
        <v>45536</v>
      </c>
      <c r="C381" t="s">
        <v>2</v>
      </c>
      <c r="D381" t="s">
        <v>57</v>
      </c>
      <c r="E381" t="s">
        <v>63</v>
      </c>
      <c r="F381">
        <v>44784</v>
      </c>
      <c r="G381">
        <v>39991</v>
      </c>
      <c r="H381">
        <v>761</v>
      </c>
      <c r="I381">
        <v>831</v>
      </c>
      <c r="J381">
        <v>750715</v>
      </c>
      <c r="K381">
        <v>79</v>
      </c>
      <c r="L381">
        <v>119850</v>
      </c>
      <c r="M381">
        <v>24</v>
      </c>
      <c r="O381">
        <v>44642</v>
      </c>
      <c r="P381">
        <f t="shared" si="22"/>
        <v>2024</v>
      </c>
      <c r="Q381">
        <f t="shared" si="23"/>
        <v>9</v>
      </c>
      <c r="R381" t="str">
        <f t="shared" si="24"/>
        <v>万相台</v>
      </c>
      <c r="S381" t="str">
        <f>_xlfn.XLOOKUP(B381,全店核心数据_bymonth!A:A,全店核心数据_bymonth!AN:AN)</f>
        <v>BU25</v>
      </c>
    </row>
    <row r="382" spans="1:19" x14ac:dyDescent="0.3">
      <c r="A382" t="s">
        <v>110</v>
      </c>
      <c r="B382" s="16">
        <v>45536</v>
      </c>
      <c r="C382" t="s">
        <v>2</v>
      </c>
      <c r="D382" t="s">
        <v>57</v>
      </c>
      <c r="E382" t="s">
        <v>64</v>
      </c>
      <c r="F382">
        <v>42217</v>
      </c>
      <c r="G382">
        <v>36218</v>
      </c>
      <c r="H382">
        <v>473</v>
      </c>
      <c r="I382">
        <v>653</v>
      </c>
      <c r="J382">
        <v>191615</v>
      </c>
      <c r="K382">
        <v>19</v>
      </c>
      <c r="L382">
        <v>55385</v>
      </c>
      <c r="M382">
        <v>8</v>
      </c>
      <c r="O382">
        <v>42206</v>
      </c>
      <c r="P382">
        <f t="shared" si="22"/>
        <v>2024</v>
      </c>
      <c r="Q382">
        <f t="shared" si="23"/>
        <v>9</v>
      </c>
      <c r="R382" t="str">
        <f t="shared" si="24"/>
        <v>引力魔方</v>
      </c>
      <c r="S382" t="str">
        <f>_xlfn.XLOOKUP(B382,全店核心数据_bymonth!A:A,全店核心数据_bymonth!AN:AN)</f>
        <v>BU25</v>
      </c>
    </row>
    <row r="383" spans="1:19" x14ac:dyDescent="0.3">
      <c r="A383" t="s">
        <v>110</v>
      </c>
      <c r="B383" s="16">
        <v>45536</v>
      </c>
      <c r="C383" t="s">
        <v>2</v>
      </c>
      <c r="D383" t="s">
        <v>4</v>
      </c>
      <c r="E383" t="s">
        <v>42</v>
      </c>
      <c r="F383">
        <v>1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O383">
        <v>0</v>
      </c>
      <c r="P383">
        <f t="shared" si="22"/>
        <v>2024</v>
      </c>
      <c r="Q383">
        <f t="shared" si="23"/>
        <v>9</v>
      </c>
      <c r="R383" t="str">
        <f t="shared" si="24"/>
        <v>UD效果投放</v>
      </c>
      <c r="S383" t="str">
        <f>_xlfn.XLOOKUP(B383,全店核心数据_bymonth!A:A,全店核心数据_bymonth!AN:AN)</f>
        <v>BU25</v>
      </c>
    </row>
    <row r="384" spans="1:19" x14ac:dyDescent="0.3">
      <c r="A384" t="s">
        <v>110</v>
      </c>
      <c r="B384" s="16">
        <v>45536</v>
      </c>
      <c r="C384" t="s">
        <v>2</v>
      </c>
      <c r="D384" t="s">
        <v>4</v>
      </c>
      <c r="E384" t="s">
        <v>41</v>
      </c>
      <c r="F384">
        <v>14</v>
      </c>
      <c r="G384">
        <v>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12</v>
      </c>
      <c r="P384">
        <f t="shared" si="22"/>
        <v>2024</v>
      </c>
      <c r="Q384">
        <f t="shared" si="23"/>
        <v>9</v>
      </c>
      <c r="R384" t="str">
        <f t="shared" si="24"/>
        <v>流量宝</v>
      </c>
      <c r="S384" t="str">
        <f>_xlfn.XLOOKUP(B384,全店核心数据_bymonth!A:A,全店核心数据_bymonth!AN:AN)</f>
        <v>BU25</v>
      </c>
    </row>
    <row r="385" spans="1:19" x14ac:dyDescent="0.3">
      <c r="A385" t="s">
        <v>110</v>
      </c>
      <c r="B385" s="16">
        <v>45536</v>
      </c>
      <c r="C385" t="s">
        <v>2</v>
      </c>
      <c r="D385" t="s">
        <v>4</v>
      </c>
      <c r="E385" t="s">
        <v>43</v>
      </c>
      <c r="F385">
        <v>2899</v>
      </c>
      <c r="G385">
        <v>1983</v>
      </c>
      <c r="H385">
        <v>14</v>
      </c>
      <c r="I385">
        <v>18</v>
      </c>
      <c r="J385">
        <v>41850</v>
      </c>
      <c r="K385">
        <v>13</v>
      </c>
      <c r="L385">
        <v>37855</v>
      </c>
      <c r="M385">
        <v>12</v>
      </c>
      <c r="O385">
        <v>2694</v>
      </c>
      <c r="P385">
        <f t="shared" si="22"/>
        <v>2024</v>
      </c>
      <c r="Q385">
        <f t="shared" si="23"/>
        <v>9</v>
      </c>
      <c r="R385" t="str">
        <f t="shared" si="24"/>
        <v>淘宝客</v>
      </c>
      <c r="S385" t="str">
        <f>_xlfn.XLOOKUP(B385,全店核心数据_bymonth!A:A,全店核心数据_bymonth!AN:AN)</f>
        <v>BU25</v>
      </c>
    </row>
    <row r="386" spans="1:19" x14ac:dyDescent="0.3">
      <c r="A386" t="s">
        <v>110</v>
      </c>
      <c r="B386" s="16">
        <v>45170</v>
      </c>
      <c r="C386" t="s">
        <v>3</v>
      </c>
      <c r="D386" t="s">
        <v>114</v>
      </c>
      <c r="E386" t="s">
        <v>159</v>
      </c>
      <c r="F386">
        <v>378</v>
      </c>
      <c r="G386">
        <v>215</v>
      </c>
      <c r="H386">
        <v>8</v>
      </c>
      <c r="I386">
        <v>4</v>
      </c>
      <c r="J386">
        <v>0</v>
      </c>
      <c r="K386">
        <v>0</v>
      </c>
      <c r="L386">
        <v>0</v>
      </c>
      <c r="M386">
        <v>0</v>
      </c>
      <c r="O386">
        <v>371</v>
      </c>
      <c r="P386">
        <f t="shared" si="22"/>
        <v>2023</v>
      </c>
      <c r="Q386">
        <f t="shared" si="23"/>
        <v>9</v>
      </c>
      <c r="R386" t="str">
        <f t="shared" si="24"/>
        <v>主会场</v>
      </c>
      <c r="S386" t="str">
        <f>_xlfn.XLOOKUP(B386,全店核心数据_bymonth!A:A,全店核心数据_bymonth!AN:AN)</f>
        <v>BU24</v>
      </c>
    </row>
    <row r="387" spans="1:19" x14ac:dyDescent="0.3">
      <c r="A387" t="s">
        <v>110</v>
      </c>
      <c r="B387" s="16">
        <v>45170</v>
      </c>
      <c r="C387" t="s">
        <v>3</v>
      </c>
      <c r="D387" t="s">
        <v>117</v>
      </c>
      <c r="E387" t="s">
        <v>161</v>
      </c>
      <c r="F387">
        <v>39</v>
      </c>
      <c r="G387">
        <v>34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O387">
        <v>39</v>
      </c>
      <c r="P387">
        <f t="shared" si="22"/>
        <v>2023</v>
      </c>
      <c r="Q387">
        <f t="shared" si="23"/>
        <v>9</v>
      </c>
      <c r="R387" t="str">
        <f t="shared" si="24"/>
        <v>其他入口榜单</v>
      </c>
      <c r="S387" t="str">
        <f>_xlfn.XLOOKUP(B387,全店核心数据_bymonth!A:A,全店核心数据_bymonth!AN:AN)</f>
        <v>BU24</v>
      </c>
    </row>
    <row r="388" spans="1:19" x14ac:dyDescent="0.3">
      <c r="A388" t="s">
        <v>110</v>
      </c>
      <c r="B388" s="16">
        <v>45170</v>
      </c>
      <c r="C388" t="s">
        <v>3</v>
      </c>
      <c r="D388" t="s">
        <v>117</v>
      </c>
      <c r="E388" t="s">
        <v>191</v>
      </c>
      <c r="F388">
        <v>8</v>
      </c>
      <c r="G388">
        <v>8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O388">
        <v>8</v>
      </c>
      <c r="P388">
        <f t="shared" si="22"/>
        <v>2023</v>
      </c>
      <c r="Q388">
        <f t="shared" si="23"/>
        <v>9</v>
      </c>
      <c r="R388" t="str">
        <f t="shared" si="24"/>
        <v>商品详情页入口榜单</v>
      </c>
      <c r="S388" t="str">
        <f>_xlfn.XLOOKUP(B388,全店核心数据_bymonth!A:A,全店核心数据_bymonth!AN:AN)</f>
        <v>BU24</v>
      </c>
    </row>
    <row r="389" spans="1:19" x14ac:dyDescent="0.3">
      <c r="A389" t="s">
        <v>110</v>
      </c>
      <c r="B389" s="16">
        <v>45170</v>
      </c>
      <c r="C389" t="s">
        <v>3</v>
      </c>
      <c r="D389" t="s">
        <v>117</v>
      </c>
      <c r="E389" t="s">
        <v>195</v>
      </c>
      <c r="F389">
        <v>1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1</v>
      </c>
      <c r="P389">
        <f t="shared" si="22"/>
        <v>2023</v>
      </c>
      <c r="Q389">
        <f t="shared" si="23"/>
        <v>9</v>
      </c>
      <c r="R389" t="str">
        <f t="shared" si="24"/>
        <v>搜索入口榜单</v>
      </c>
      <c r="S389" t="str">
        <f>_xlfn.XLOOKUP(B389,全店核心数据_bymonth!A:A,全店核心数据_bymonth!AN:AN)</f>
        <v>BU24</v>
      </c>
    </row>
    <row r="390" spans="1:19" x14ac:dyDescent="0.3">
      <c r="A390" t="s">
        <v>110</v>
      </c>
      <c r="B390" s="16">
        <v>45170</v>
      </c>
      <c r="C390" t="s">
        <v>3</v>
      </c>
      <c r="D390" t="s">
        <v>120</v>
      </c>
      <c r="E390" t="s">
        <v>162</v>
      </c>
      <c r="F390">
        <v>86</v>
      </c>
      <c r="G390">
        <v>85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O390">
        <v>18</v>
      </c>
      <c r="P390">
        <f t="shared" si="22"/>
        <v>2023</v>
      </c>
      <c r="Q390">
        <f t="shared" si="23"/>
        <v>9</v>
      </c>
      <c r="R390" t="str">
        <f t="shared" si="24"/>
        <v>手机浏览器访问天猫</v>
      </c>
      <c r="S390" t="str">
        <f>_xlfn.XLOOKUP(B390,全店核心数据_bymonth!A:A,全店核心数据_bymonth!AN:AN)</f>
        <v>BU24</v>
      </c>
    </row>
    <row r="391" spans="1:19" x14ac:dyDescent="0.3">
      <c r="A391" t="s">
        <v>110</v>
      </c>
      <c r="B391" s="16">
        <v>45170</v>
      </c>
      <c r="C391" t="s">
        <v>3</v>
      </c>
      <c r="D391" t="s">
        <v>120</v>
      </c>
      <c r="E391" t="s">
        <v>163</v>
      </c>
      <c r="F391">
        <v>451</v>
      </c>
      <c r="G391">
        <v>348</v>
      </c>
      <c r="H391">
        <v>6</v>
      </c>
      <c r="I391">
        <v>0</v>
      </c>
      <c r="J391">
        <v>0</v>
      </c>
      <c r="K391">
        <v>0</v>
      </c>
      <c r="L391">
        <v>0</v>
      </c>
      <c r="M391">
        <v>0</v>
      </c>
      <c r="O391">
        <v>409</v>
      </c>
      <c r="P391">
        <f t="shared" si="22"/>
        <v>2023</v>
      </c>
      <c r="Q391">
        <f t="shared" si="23"/>
        <v>9</v>
      </c>
      <c r="R391" t="str">
        <f t="shared" si="24"/>
        <v>手猫免费其他</v>
      </c>
      <c r="S391" t="str">
        <f>_xlfn.XLOOKUP(B391,全店核心数据_bymonth!A:A,全店核心数据_bymonth!AN:AN)</f>
        <v>BU24</v>
      </c>
    </row>
    <row r="392" spans="1:19" x14ac:dyDescent="0.3">
      <c r="A392" t="s">
        <v>110</v>
      </c>
      <c r="B392" s="16">
        <v>45170</v>
      </c>
      <c r="C392" t="s">
        <v>3</v>
      </c>
      <c r="D392" t="s">
        <v>120</v>
      </c>
      <c r="E392" t="s">
        <v>164</v>
      </c>
      <c r="F392">
        <v>524</v>
      </c>
      <c r="G392">
        <v>416</v>
      </c>
      <c r="H392">
        <v>46</v>
      </c>
      <c r="I392">
        <v>0</v>
      </c>
      <c r="J392">
        <v>29030</v>
      </c>
      <c r="K392">
        <v>4</v>
      </c>
      <c r="L392">
        <v>24535</v>
      </c>
      <c r="M392">
        <v>4</v>
      </c>
      <c r="O392">
        <v>524</v>
      </c>
      <c r="P392">
        <f t="shared" si="22"/>
        <v>2023</v>
      </c>
      <c r="Q392">
        <f t="shared" si="23"/>
        <v>9</v>
      </c>
      <c r="R392" t="str">
        <f t="shared" si="24"/>
        <v>手猫其他店铺</v>
      </c>
      <c r="S392" t="str">
        <f>_xlfn.XLOOKUP(B392,全店核心数据_bymonth!A:A,全店核心数据_bymonth!AN:AN)</f>
        <v>BU24</v>
      </c>
    </row>
    <row r="393" spans="1:19" x14ac:dyDescent="0.3">
      <c r="A393" t="s">
        <v>110</v>
      </c>
      <c r="B393" s="16">
        <v>45170</v>
      </c>
      <c r="C393" t="s">
        <v>3</v>
      </c>
      <c r="D393" t="s">
        <v>120</v>
      </c>
      <c r="E393" t="s">
        <v>165</v>
      </c>
      <c r="F393">
        <v>366</v>
      </c>
      <c r="G393">
        <v>260</v>
      </c>
      <c r="H393">
        <v>6</v>
      </c>
      <c r="I393">
        <v>0</v>
      </c>
      <c r="J393">
        <v>0</v>
      </c>
      <c r="K393">
        <v>0</v>
      </c>
      <c r="L393">
        <v>0</v>
      </c>
      <c r="M393">
        <v>0</v>
      </c>
      <c r="O393">
        <v>362</v>
      </c>
      <c r="P393">
        <f t="shared" si="22"/>
        <v>2023</v>
      </c>
      <c r="Q393">
        <f t="shared" si="23"/>
        <v>9</v>
      </c>
      <c r="R393" t="str">
        <f t="shared" si="24"/>
        <v>手猫商品详情</v>
      </c>
      <c r="S393" t="str">
        <f>_xlfn.XLOOKUP(B393,全店核心数据_bymonth!A:A,全店核心数据_bymonth!AN:AN)</f>
        <v>BU24</v>
      </c>
    </row>
    <row r="394" spans="1:19" x14ac:dyDescent="0.3">
      <c r="A394" t="s">
        <v>110</v>
      </c>
      <c r="B394" s="16">
        <v>45170</v>
      </c>
      <c r="C394" t="s">
        <v>3</v>
      </c>
      <c r="D394" t="s">
        <v>120</v>
      </c>
      <c r="E394" t="s">
        <v>166</v>
      </c>
      <c r="F394">
        <v>844</v>
      </c>
      <c r="G394">
        <v>758</v>
      </c>
      <c r="H394">
        <v>27</v>
      </c>
      <c r="I394">
        <v>0</v>
      </c>
      <c r="J394">
        <v>12090</v>
      </c>
      <c r="K394">
        <v>2</v>
      </c>
      <c r="L394">
        <v>12090</v>
      </c>
      <c r="M394">
        <v>2</v>
      </c>
      <c r="O394">
        <v>596</v>
      </c>
      <c r="P394">
        <f t="shared" si="22"/>
        <v>2023</v>
      </c>
      <c r="Q394">
        <f t="shared" si="23"/>
        <v>9</v>
      </c>
      <c r="R394" t="str">
        <f t="shared" si="24"/>
        <v>手猫搜索</v>
      </c>
      <c r="S394" t="str">
        <f>_xlfn.XLOOKUP(B394,全店核心数据_bymonth!A:A,全店核心数据_bymonth!AN:AN)</f>
        <v>BU24</v>
      </c>
    </row>
    <row r="395" spans="1:19" x14ac:dyDescent="0.3">
      <c r="A395" t="s">
        <v>110</v>
      </c>
      <c r="B395" s="16">
        <v>45170</v>
      </c>
      <c r="C395" t="s">
        <v>3</v>
      </c>
      <c r="D395" t="s">
        <v>120</v>
      </c>
      <c r="E395" t="s">
        <v>167</v>
      </c>
      <c r="F395">
        <v>14</v>
      </c>
      <c r="G395">
        <v>7</v>
      </c>
      <c r="H395">
        <v>1</v>
      </c>
      <c r="I395">
        <v>0</v>
      </c>
      <c r="J395">
        <v>3495</v>
      </c>
      <c r="K395">
        <v>1</v>
      </c>
      <c r="L395">
        <v>3495</v>
      </c>
      <c r="M395">
        <v>1</v>
      </c>
      <c r="O395">
        <v>13</v>
      </c>
      <c r="P395">
        <f t="shared" si="22"/>
        <v>2023</v>
      </c>
      <c r="Q395">
        <f t="shared" si="23"/>
        <v>9</v>
      </c>
      <c r="R395" t="str">
        <f t="shared" si="24"/>
        <v>手猫旺信聊天</v>
      </c>
      <c r="S395" t="str">
        <f>_xlfn.XLOOKUP(B395,全店核心数据_bymonth!A:A,全店核心数据_bymonth!AN:AN)</f>
        <v>BU24</v>
      </c>
    </row>
    <row r="396" spans="1:19" x14ac:dyDescent="0.3">
      <c r="A396" t="s">
        <v>110</v>
      </c>
      <c r="B396" s="16">
        <v>45170</v>
      </c>
      <c r="C396" t="s">
        <v>3</v>
      </c>
      <c r="D396" t="s">
        <v>120</v>
      </c>
      <c r="E396" t="s">
        <v>168</v>
      </c>
      <c r="F396">
        <v>2991</v>
      </c>
      <c r="G396">
        <v>2658</v>
      </c>
      <c r="H396">
        <v>42</v>
      </c>
      <c r="I396">
        <v>0</v>
      </c>
      <c r="J396">
        <v>42950</v>
      </c>
      <c r="K396">
        <v>2</v>
      </c>
      <c r="L396">
        <v>11950</v>
      </c>
      <c r="M396">
        <v>1</v>
      </c>
      <c r="O396">
        <v>2991</v>
      </c>
      <c r="P396">
        <f t="shared" si="22"/>
        <v>2023</v>
      </c>
      <c r="Q396">
        <f t="shared" si="23"/>
        <v>9</v>
      </c>
      <c r="R396" t="str">
        <f t="shared" si="24"/>
        <v>手猫首页</v>
      </c>
      <c r="S396" t="str">
        <f>_xlfn.XLOOKUP(B396,全店核心数据_bymonth!A:A,全店核心数据_bymonth!AN:AN)</f>
        <v>BU24</v>
      </c>
    </row>
    <row r="397" spans="1:19" x14ac:dyDescent="0.3">
      <c r="A397" t="s">
        <v>110</v>
      </c>
      <c r="B397" s="16">
        <v>45170</v>
      </c>
      <c r="C397" t="s">
        <v>3</v>
      </c>
      <c r="D397" t="s">
        <v>123</v>
      </c>
      <c r="E397" t="s">
        <v>169</v>
      </c>
      <c r="F397">
        <v>1260</v>
      </c>
      <c r="G397">
        <v>797</v>
      </c>
      <c r="H397">
        <v>27</v>
      </c>
      <c r="I397">
        <v>25</v>
      </c>
      <c r="J397">
        <v>8370</v>
      </c>
      <c r="K397">
        <v>3</v>
      </c>
      <c r="L397">
        <v>7380</v>
      </c>
      <c r="M397">
        <v>3</v>
      </c>
      <c r="O397">
        <v>1168</v>
      </c>
      <c r="P397">
        <f t="shared" si="22"/>
        <v>2023</v>
      </c>
      <c r="Q397">
        <f t="shared" si="23"/>
        <v>9</v>
      </c>
      <c r="R397" t="str">
        <f t="shared" si="24"/>
        <v>商品详情页头图推荐</v>
      </c>
      <c r="S397" t="str">
        <f>_xlfn.XLOOKUP(B397,全店核心数据_bymonth!A:A,全店核心数据_bymonth!AN:AN)</f>
        <v>BU24</v>
      </c>
    </row>
    <row r="398" spans="1:19" x14ac:dyDescent="0.3">
      <c r="A398" t="s">
        <v>110</v>
      </c>
      <c r="B398" s="16">
        <v>45170</v>
      </c>
      <c r="C398" t="s">
        <v>3</v>
      </c>
      <c r="D398" t="s">
        <v>123</v>
      </c>
      <c r="E398" t="s">
        <v>170</v>
      </c>
      <c r="F398">
        <v>315</v>
      </c>
      <c r="G398">
        <v>231</v>
      </c>
      <c r="H398">
        <v>4</v>
      </c>
      <c r="I398">
        <v>3</v>
      </c>
      <c r="J398">
        <v>0</v>
      </c>
      <c r="K398">
        <v>0</v>
      </c>
      <c r="L398">
        <v>0</v>
      </c>
      <c r="M398">
        <v>0</v>
      </c>
      <c r="O398">
        <v>122</v>
      </c>
      <c r="P398">
        <f t="shared" si="22"/>
        <v>2023</v>
      </c>
      <c r="Q398">
        <f t="shared" si="23"/>
        <v>9</v>
      </c>
      <c r="R398" t="str">
        <f t="shared" si="24"/>
        <v>店铺超链</v>
      </c>
      <c r="S398" t="str">
        <f>_xlfn.XLOOKUP(B398,全店核心数据_bymonth!A:A,全店核心数据_bymonth!AN:AN)</f>
        <v>BU24</v>
      </c>
    </row>
    <row r="399" spans="1:19" x14ac:dyDescent="0.3">
      <c r="A399" t="s">
        <v>110</v>
      </c>
      <c r="B399" s="16">
        <v>45170</v>
      </c>
      <c r="C399" t="s">
        <v>3</v>
      </c>
      <c r="D399" t="s">
        <v>127</v>
      </c>
      <c r="E399" t="s">
        <v>171</v>
      </c>
      <c r="F399">
        <v>1153</v>
      </c>
      <c r="G399">
        <v>726</v>
      </c>
      <c r="H399">
        <v>21</v>
      </c>
      <c r="I399">
        <v>15</v>
      </c>
      <c r="J399">
        <v>62559</v>
      </c>
      <c r="K399">
        <v>5</v>
      </c>
      <c r="L399">
        <v>53888</v>
      </c>
      <c r="M399">
        <v>4</v>
      </c>
      <c r="O399">
        <v>890</v>
      </c>
      <c r="P399">
        <f t="shared" si="22"/>
        <v>2023</v>
      </c>
      <c r="Q399">
        <f t="shared" si="23"/>
        <v>9</v>
      </c>
      <c r="R399" t="str">
        <f t="shared" si="24"/>
        <v>其他猜你喜欢</v>
      </c>
      <c r="S399" t="str">
        <f>_xlfn.XLOOKUP(B399,全店核心数据_bymonth!A:A,全店核心数据_bymonth!AN:AN)</f>
        <v>BU24</v>
      </c>
    </row>
    <row r="400" spans="1:19" x14ac:dyDescent="0.3">
      <c r="A400" t="s">
        <v>110</v>
      </c>
      <c r="B400" s="16">
        <v>45170</v>
      </c>
      <c r="C400" t="s">
        <v>3</v>
      </c>
      <c r="D400" t="s">
        <v>127</v>
      </c>
      <c r="E400" t="s">
        <v>193</v>
      </c>
      <c r="F400">
        <v>28</v>
      </c>
      <c r="G400">
        <v>25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O400">
        <v>28</v>
      </c>
      <c r="P400">
        <f t="shared" si="22"/>
        <v>2023</v>
      </c>
      <c r="Q400">
        <f t="shared" si="23"/>
        <v>9</v>
      </c>
      <c r="R400" t="str">
        <f t="shared" si="24"/>
        <v>推荐云主题</v>
      </c>
      <c r="S400" t="str">
        <f>_xlfn.XLOOKUP(B400,全店核心数据_bymonth!A:A,全店核心数据_bymonth!AN:AN)</f>
        <v>BU24</v>
      </c>
    </row>
    <row r="401" spans="1:19" x14ac:dyDescent="0.3">
      <c r="A401" t="s">
        <v>110</v>
      </c>
      <c r="B401" s="16">
        <v>45170</v>
      </c>
      <c r="C401" t="s">
        <v>3</v>
      </c>
      <c r="D401" t="s">
        <v>127</v>
      </c>
      <c r="E401" t="s">
        <v>172</v>
      </c>
      <c r="F401">
        <v>80</v>
      </c>
      <c r="G401">
        <v>46</v>
      </c>
      <c r="H401">
        <v>0</v>
      </c>
      <c r="I401">
        <v>0</v>
      </c>
      <c r="J401">
        <v>2100</v>
      </c>
      <c r="K401">
        <v>1</v>
      </c>
      <c r="L401">
        <v>0</v>
      </c>
      <c r="M401">
        <v>0</v>
      </c>
      <c r="O401">
        <v>80</v>
      </c>
      <c r="P401">
        <f t="shared" si="22"/>
        <v>2023</v>
      </c>
      <c r="Q401">
        <f t="shared" si="23"/>
        <v>9</v>
      </c>
      <c r="R401" t="str">
        <f t="shared" si="24"/>
        <v>购中推荐</v>
      </c>
      <c r="S401" t="str">
        <f>_xlfn.XLOOKUP(B401,全店核心数据_bymonth!A:A,全店核心数据_bymonth!AN:AN)</f>
        <v>BU24</v>
      </c>
    </row>
    <row r="402" spans="1:19" x14ac:dyDescent="0.3">
      <c r="A402" t="s">
        <v>110</v>
      </c>
      <c r="B402" s="16">
        <v>45170</v>
      </c>
      <c r="C402" t="s">
        <v>3</v>
      </c>
      <c r="D402" t="s">
        <v>127</v>
      </c>
      <c r="E402" t="s">
        <v>173</v>
      </c>
      <c r="F402">
        <v>606</v>
      </c>
      <c r="G402">
        <v>417</v>
      </c>
      <c r="H402">
        <v>3</v>
      </c>
      <c r="I402">
        <v>2</v>
      </c>
      <c r="J402">
        <v>15485</v>
      </c>
      <c r="K402">
        <v>3</v>
      </c>
      <c r="L402">
        <v>15485</v>
      </c>
      <c r="M402">
        <v>3</v>
      </c>
      <c r="O402">
        <v>606</v>
      </c>
      <c r="P402">
        <f t="shared" si="22"/>
        <v>2023</v>
      </c>
      <c r="Q402">
        <f t="shared" si="23"/>
        <v>9</v>
      </c>
      <c r="R402" t="str">
        <f t="shared" si="24"/>
        <v>购后推荐</v>
      </c>
      <c r="S402" t="str">
        <f>_xlfn.XLOOKUP(B402,全店核心数据_bymonth!A:A,全店核心数据_bymonth!AN:AN)</f>
        <v>BU24</v>
      </c>
    </row>
    <row r="403" spans="1:19" x14ac:dyDescent="0.3">
      <c r="A403" t="s">
        <v>110</v>
      </c>
      <c r="B403" s="16">
        <v>45170</v>
      </c>
      <c r="C403" t="s">
        <v>3</v>
      </c>
      <c r="D403" t="s">
        <v>127</v>
      </c>
      <c r="E403" t="s">
        <v>174</v>
      </c>
      <c r="F403">
        <v>79475</v>
      </c>
      <c r="G403">
        <v>75819</v>
      </c>
      <c r="H403">
        <v>216</v>
      </c>
      <c r="I403">
        <v>234</v>
      </c>
      <c r="J403">
        <v>174780</v>
      </c>
      <c r="K403">
        <v>11</v>
      </c>
      <c r="L403">
        <v>28635</v>
      </c>
      <c r="M403">
        <v>4</v>
      </c>
      <c r="O403">
        <v>79475</v>
      </c>
      <c r="P403">
        <f t="shared" si="22"/>
        <v>2023</v>
      </c>
      <c r="Q403">
        <f t="shared" si="23"/>
        <v>9</v>
      </c>
      <c r="R403" t="str">
        <f t="shared" si="24"/>
        <v>首页推荐-微详情</v>
      </c>
      <c r="S403" t="str">
        <f>_xlfn.XLOOKUP(B403,全店核心数据_bymonth!A:A,全店核心数据_bymonth!AN:AN)</f>
        <v>BU24</v>
      </c>
    </row>
    <row r="404" spans="1:19" x14ac:dyDescent="0.3">
      <c r="A404" t="s">
        <v>110</v>
      </c>
      <c r="B404" s="16">
        <v>45170</v>
      </c>
      <c r="C404" t="s">
        <v>3</v>
      </c>
      <c r="D404" t="s">
        <v>127</v>
      </c>
      <c r="E404" t="s">
        <v>175</v>
      </c>
      <c r="F404">
        <v>3</v>
      </c>
      <c r="G404">
        <v>3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O404">
        <v>0</v>
      </c>
      <c r="P404">
        <f t="shared" si="22"/>
        <v>2023</v>
      </c>
      <c r="Q404">
        <f t="shared" si="23"/>
        <v>9</v>
      </c>
      <c r="R404" t="str">
        <f t="shared" si="24"/>
        <v>首页推荐-直播</v>
      </c>
      <c r="S404" t="str">
        <f>_xlfn.XLOOKUP(B404,全店核心数据_bymonth!A:A,全店核心数据_bymonth!AN:AN)</f>
        <v>BU24</v>
      </c>
    </row>
    <row r="405" spans="1:19" x14ac:dyDescent="0.3">
      <c r="A405" t="s">
        <v>110</v>
      </c>
      <c r="B405" s="16">
        <v>45170</v>
      </c>
      <c r="C405" t="s">
        <v>3</v>
      </c>
      <c r="D405" t="s">
        <v>127</v>
      </c>
      <c r="E405" t="s">
        <v>176</v>
      </c>
      <c r="F405">
        <v>43</v>
      </c>
      <c r="G405">
        <v>26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O405">
        <v>0</v>
      </c>
      <c r="P405">
        <f t="shared" ref="P405:P468" si="25">YEAR(B405)</f>
        <v>2023</v>
      </c>
      <c r="Q405">
        <f t="shared" ref="Q405:Q468" si="26">MONTH(B405)</f>
        <v>9</v>
      </c>
      <c r="R405" t="str">
        <f t="shared" ref="R405:R436" si="27">E405</f>
        <v>首页推荐-短视频</v>
      </c>
      <c r="S405" t="str">
        <f>_xlfn.XLOOKUP(B405,全店核心数据_bymonth!A:A,全店核心数据_bymonth!AN:AN)</f>
        <v>BU24</v>
      </c>
    </row>
    <row r="406" spans="1:19" x14ac:dyDescent="0.3">
      <c r="A406" t="s">
        <v>110</v>
      </c>
      <c r="B406" s="16">
        <v>45170</v>
      </c>
      <c r="C406" t="s">
        <v>3</v>
      </c>
      <c r="D406" t="s">
        <v>128</v>
      </c>
      <c r="E406" t="s">
        <v>177</v>
      </c>
      <c r="F406">
        <v>3741</v>
      </c>
      <c r="G406">
        <v>3279</v>
      </c>
      <c r="H406">
        <v>78</v>
      </c>
      <c r="I406">
        <v>42</v>
      </c>
      <c r="J406">
        <v>66408</v>
      </c>
      <c r="K406">
        <v>12</v>
      </c>
      <c r="L406">
        <v>24413</v>
      </c>
      <c r="M406">
        <v>10</v>
      </c>
      <c r="O406">
        <v>2865</v>
      </c>
      <c r="P406">
        <f t="shared" si="25"/>
        <v>2023</v>
      </c>
      <c r="Q406">
        <f t="shared" si="26"/>
        <v>9</v>
      </c>
      <c r="R406" t="str">
        <f t="shared" si="27"/>
        <v>手淘搜索-商品及其他</v>
      </c>
      <c r="S406" t="str">
        <f>_xlfn.XLOOKUP(B406,全店核心数据_bymonth!A:A,全店核心数据_bymonth!AN:AN)</f>
        <v>BU24</v>
      </c>
    </row>
    <row r="407" spans="1:19" x14ac:dyDescent="0.3">
      <c r="A407" t="s">
        <v>110</v>
      </c>
      <c r="B407" s="16">
        <v>45170</v>
      </c>
      <c r="C407" t="s">
        <v>3</v>
      </c>
      <c r="D407" t="s">
        <v>128</v>
      </c>
      <c r="E407" t="s">
        <v>179</v>
      </c>
      <c r="F407">
        <v>3</v>
      </c>
      <c r="G407">
        <v>3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O407">
        <v>2</v>
      </c>
      <c r="P407">
        <f t="shared" si="25"/>
        <v>2023</v>
      </c>
      <c r="Q407">
        <f t="shared" si="26"/>
        <v>9</v>
      </c>
      <c r="R407" t="str">
        <f t="shared" si="27"/>
        <v>手淘搜索-短视频</v>
      </c>
      <c r="S407" t="str">
        <f>_xlfn.XLOOKUP(B407,全店核心数据_bymonth!A:A,全店核心数据_bymonth!AN:AN)</f>
        <v>BU24</v>
      </c>
    </row>
    <row r="408" spans="1:19" x14ac:dyDescent="0.3">
      <c r="A408" t="s">
        <v>110</v>
      </c>
      <c r="B408" s="16">
        <v>45170</v>
      </c>
      <c r="C408" t="s">
        <v>3</v>
      </c>
      <c r="D408" t="s">
        <v>143</v>
      </c>
      <c r="E408" t="s">
        <v>196</v>
      </c>
      <c r="F408">
        <v>10</v>
      </c>
      <c r="G408">
        <v>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O408">
        <v>10</v>
      </c>
      <c r="P408">
        <f t="shared" si="25"/>
        <v>2023</v>
      </c>
      <c r="Q408">
        <f t="shared" si="26"/>
        <v>9</v>
      </c>
      <c r="R408" t="str">
        <f t="shared" si="27"/>
        <v>淘特互动游戏</v>
      </c>
      <c r="S408" t="str">
        <f>_xlfn.XLOOKUP(B408,全店核心数据_bymonth!A:A,全店核心数据_bymonth!AN:AN)</f>
        <v>BU24</v>
      </c>
    </row>
    <row r="409" spans="1:19" x14ac:dyDescent="0.3">
      <c r="A409" t="s">
        <v>110</v>
      </c>
      <c r="B409" s="16">
        <v>45170</v>
      </c>
      <c r="C409" t="s">
        <v>3</v>
      </c>
      <c r="D409" t="s">
        <v>143</v>
      </c>
      <c r="E409" t="s">
        <v>180</v>
      </c>
      <c r="F409">
        <v>4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O409">
        <v>4</v>
      </c>
      <c r="P409">
        <f t="shared" si="25"/>
        <v>2023</v>
      </c>
      <c r="Q409">
        <f t="shared" si="26"/>
        <v>9</v>
      </c>
      <c r="R409" t="str">
        <f t="shared" si="27"/>
        <v>淘特其他渠道</v>
      </c>
      <c r="S409" t="str">
        <f>_xlfn.XLOOKUP(B409,全店核心数据_bymonth!A:A,全店核心数据_bymonth!AN:AN)</f>
        <v>BU24</v>
      </c>
    </row>
    <row r="410" spans="1:19" x14ac:dyDescent="0.3">
      <c r="A410" t="s">
        <v>110</v>
      </c>
      <c r="B410" s="16">
        <v>45170</v>
      </c>
      <c r="C410" t="s">
        <v>3</v>
      </c>
      <c r="D410" t="s">
        <v>143</v>
      </c>
      <c r="E410" t="s">
        <v>197</v>
      </c>
      <c r="F410">
        <v>20</v>
      </c>
      <c r="G410">
        <v>17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O410">
        <v>20</v>
      </c>
      <c r="P410">
        <f t="shared" si="25"/>
        <v>2023</v>
      </c>
      <c r="Q410">
        <f t="shared" si="26"/>
        <v>9</v>
      </c>
      <c r="R410" t="str">
        <f t="shared" si="27"/>
        <v>淘特推荐</v>
      </c>
      <c r="S410" t="str">
        <f>_xlfn.XLOOKUP(B410,全店核心数据_bymonth!A:A,全店核心数据_bymonth!AN:AN)</f>
        <v>BU24</v>
      </c>
    </row>
    <row r="411" spans="1:19" x14ac:dyDescent="0.3">
      <c r="A411" t="s">
        <v>110</v>
      </c>
      <c r="B411" s="16">
        <v>45170</v>
      </c>
      <c r="C411" t="s">
        <v>3</v>
      </c>
      <c r="D411" t="s">
        <v>143</v>
      </c>
      <c r="E411" t="s">
        <v>181</v>
      </c>
      <c r="F411">
        <v>38</v>
      </c>
      <c r="G411">
        <v>35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O411">
        <v>38</v>
      </c>
      <c r="P411">
        <f t="shared" si="25"/>
        <v>2023</v>
      </c>
      <c r="Q411">
        <f t="shared" si="26"/>
        <v>9</v>
      </c>
      <c r="R411" t="str">
        <f t="shared" si="27"/>
        <v>淘特搜索</v>
      </c>
      <c r="S411" t="str">
        <f>_xlfn.XLOOKUP(B411,全店核心数据_bymonth!A:A,全店核心数据_bymonth!AN:AN)</f>
        <v>BU24</v>
      </c>
    </row>
    <row r="412" spans="1:19" x14ac:dyDescent="0.3">
      <c r="A412" t="s">
        <v>110</v>
      </c>
      <c r="B412" s="16">
        <v>45170</v>
      </c>
      <c r="C412" t="s">
        <v>3</v>
      </c>
      <c r="D412" t="s">
        <v>143</v>
      </c>
      <c r="E412" t="s">
        <v>224</v>
      </c>
      <c r="F412">
        <v>6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O412">
        <v>6</v>
      </c>
      <c r="P412">
        <f t="shared" si="25"/>
        <v>2023</v>
      </c>
      <c r="Q412">
        <f t="shared" si="26"/>
        <v>9</v>
      </c>
      <c r="R412" t="str">
        <f t="shared" si="27"/>
        <v>淘特自主访问</v>
      </c>
      <c r="S412" t="str">
        <f>_xlfn.XLOOKUP(B412,全店核心数据_bymonth!A:A,全店核心数据_bymonth!AN:AN)</f>
        <v>BU24</v>
      </c>
    </row>
    <row r="413" spans="1:19" x14ac:dyDescent="0.3">
      <c r="A413" t="s">
        <v>110</v>
      </c>
      <c r="B413" s="16">
        <v>45170</v>
      </c>
      <c r="C413" t="s">
        <v>2</v>
      </c>
      <c r="D413" t="s">
        <v>55</v>
      </c>
      <c r="E413" t="s">
        <v>54</v>
      </c>
      <c r="F413">
        <v>5986</v>
      </c>
      <c r="G413">
        <v>5973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O413">
        <v>5986</v>
      </c>
      <c r="P413">
        <f t="shared" si="25"/>
        <v>2023</v>
      </c>
      <c r="Q413">
        <f t="shared" si="26"/>
        <v>9</v>
      </c>
      <c r="R413" t="str">
        <f t="shared" si="27"/>
        <v>超级直播</v>
      </c>
      <c r="S413" t="str">
        <f>_xlfn.XLOOKUP(B413,全店核心数据_bymonth!A:A,全店核心数据_bymonth!AN:AN)</f>
        <v>BU24</v>
      </c>
    </row>
    <row r="414" spans="1:19" x14ac:dyDescent="0.3">
      <c r="A414" t="s">
        <v>110</v>
      </c>
      <c r="B414" s="16">
        <v>45170</v>
      </c>
      <c r="C414" t="s">
        <v>2</v>
      </c>
      <c r="D414" t="s">
        <v>52</v>
      </c>
      <c r="E414" t="s">
        <v>183</v>
      </c>
      <c r="F414">
        <v>12617</v>
      </c>
      <c r="G414">
        <v>11824</v>
      </c>
      <c r="H414">
        <v>186</v>
      </c>
      <c r="I414">
        <v>104</v>
      </c>
      <c r="J414">
        <v>134148</v>
      </c>
      <c r="K414">
        <v>32</v>
      </c>
      <c r="L414">
        <v>108048</v>
      </c>
      <c r="M414">
        <v>27</v>
      </c>
      <c r="O414">
        <v>5982</v>
      </c>
      <c r="P414">
        <f t="shared" si="25"/>
        <v>2023</v>
      </c>
      <c r="Q414">
        <f t="shared" si="26"/>
        <v>9</v>
      </c>
      <c r="R414" t="str">
        <f t="shared" si="27"/>
        <v>品销宝-品牌专区</v>
      </c>
      <c r="S414" t="str">
        <f>_xlfn.XLOOKUP(B414,全店核心数据_bymonth!A:A,全店核心数据_bymonth!AN:AN)</f>
        <v>BU24</v>
      </c>
    </row>
    <row r="415" spans="1:19" x14ac:dyDescent="0.3">
      <c r="A415" t="s">
        <v>110</v>
      </c>
      <c r="B415" s="16">
        <v>45170</v>
      </c>
      <c r="C415" t="s">
        <v>2</v>
      </c>
      <c r="D415" t="s">
        <v>52</v>
      </c>
      <c r="E415" t="s">
        <v>62</v>
      </c>
      <c r="F415">
        <v>3</v>
      </c>
      <c r="P415">
        <f t="shared" si="25"/>
        <v>2023</v>
      </c>
      <c r="Q415">
        <f t="shared" si="26"/>
        <v>9</v>
      </c>
      <c r="R415" t="str">
        <f t="shared" si="27"/>
        <v>超级互动城</v>
      </c>
      <c r="S415" t="str">
        <f>_xlfn.XLOOKUP(B415,全店核心数据_bymonth!A:A,全店核心数据_bymonth!AN:AN)</f>
        <v>BU24</v>
      </c>
    </row>
    <row r="416" spans="1:19" x14ac:dyDescent="0.3">
      <c r="A416" t="s">
        <v>110</v>
      </c>
      <c r="B416" s="16">
        <v>45170</v>
      </c>
      <c r="C416" t="s">
        <v>2</v>
      </c>
      <c r="D416" t="s">
        <v>57</v>
      </c>
      <c r="E416" t="s">
        <v>65</v>
      </c>
      <c r="F416">
        <v>35956</v>
      </c>
      <c r="G416">
        <v>34177</v>
      </c>
      <c r="H416">
        <v>312</v>
      </c>
      <c r="I416">
        <v>242</v>
      </c>
      <c r="J416">
        <v>353751</v>
      </c>
      <c r="K416">
        <v>40</v>
      </c>
      <c r="L416">
        <v>77256</v>
      </c>
      <c r="M416">
        <v>18</v>
      </c>
      <c r="O416">
        <v>35494</v>
      </c>
      <c r="P416">
        <f t="shared" si="25"/>
        <v>2023</v>
      </c>
      <c r="Q416">
        <f t="shared" si="26"/>
        <v>9</v>
      </c>
      <c r="R416" t="str">
        <f t="shared" si="27"/>
        <v>直通车</v>
      </c>
      <c r="S416" t="str">
        <f>_xlfn.XLOOKUP(B416,全店核心数据_bymonth!A:A,全店核心数据_bymonth!AN:AN)</f>
        <v>BU24</v>
      </c>
    </row>
    <row r="417" spans="1:19" x14ac:dyDescent="0.3">
      <c r="A417" t="s">
        <v>110</v>
      </c>
      <c r="B417" s="16">
        <v>45170</v>
      </c>
      <c r="C417" t="s">
        <v>2</v>
      </c>
      <c r="D417" t="s">
        <v>57</v>
      </c>
      <c r="E417" t="s">
        <v>63</v>
      </c>
      <c r="F417">
        <v>32298</v>
      </c>
      <c r="G417">
        <v>28886</v>
      </c>
      <c r="H417">
        <v>393</v>
      </c>
      <c r="I417">
        <v>251</v>
      </c>
      <c r="J417">
        <v>296296</v>
      </c>
      <c r="K417">
        <v>52</v>
      </c>
      <c r="L417">
        <v>150986</v>
      </c>
      <c r="M417">
        <v>36</v>
      </c>
      <c r="O417">
        <v>32217</v>
      </c>
      <c r="P417">
        <f t="shared" si="25"/>
        <v>2023</v>
      </c>
      <c r="Q417">
        <f t="shared" si="26"/>
        <v>9</v>
      </c>
      <c r="R417" t="str">
        <f t="shared" si="27"/>
        <v>万相台</v>
      </c>
      <c r="S417" t="str">
        <f>_xlfn.XLOOKUP(B417,全店核心数据_bymonth!A:A,全店核心数据_bymonth!AN:AN)</f>
        <v>BU24</v>
      </c>
    </row>
    <row r="418" spans="1:19" x14ac:dyDescent="0.3">
      <c r="A418" t="s">
        <v>110</v>
      </c>
      <c r="B418" s="16">
        <v>45170</v>
      </c>
      <c r="C418" t="s">
        <v>2</v>
      </c>
      <c r="D418" t="s">
        <v>57</v>
      </c>
      <c r="E418" t="s">
        <v>64</v>
      </c>
      <c r="F418">
        <v>35120</v>
      </c>
      <c r="G418">
        <v>30653</v>
      </c>
      <c r="H418">
        <v>332</v>
      </c>
      <c r="I418">
        <v>315</v>
      </c>
      <c r="J418">
        <v>95125</v>
      </c>
      <c r="K418">
        <v>16</v>
      </c>
      <c r="L418">
        <v>41610</v>
      </c>
      <c r="M418">
        <v>8</v>
      </c>
      <c r="O418">
        <v>34923</v>
      </c>
      <c r="P418">
        <f t="shared" si="25"/>
        <v>2023</v>
      </c>
      <c r="Q418">
        <f t="shared" si="26"/>
        <v>9</v>
      </c>
      <c r="R418" t="str">
        <f t="shared" si="27"/>
        <v>引力魔方</v>
      </c>
      <c r="S418" t="str">
        <f>_xlfn.XLOOKUP(B418,全店核心数据_bymonth!A:A,全店核心数据_bymonth!AN:AN)</f>
        <v>BU24</v>
      </c>
    </row>
    <row r="419" spans="1:19" x14ac:dyDescent="0.3">
      <c r="A419" t="s">
        <v>110</v>
      </c>
      <c r="B419" s="16">
        <v>45170</v>
      </c>
      <c r="C419" t="s">
        <v>2</v>
      </c>
      <c r="D419" t="s">
        <v>4</v>
      </c>
      <c r="E419" t="s">
        <v>44</v>
      </c>
      <c r="F419">
        <v>2</v>
      </c>
      <c r="G419">
        <v>2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O419">
        <v>2</v>
      </c>
      <c r="P419">
        <f t="shared" si="25"/>
        <v>2023</v>
      </c>
      <c r="Q419">
        <f t="shared" si="26"/>
        <v>9</v>
      </c>
      <c r="R419" t="str">
        <f t="shared" si="27"/>
        <v>UD品牌投放</v>
      </c>
      <c r="S419" t="str">
        <f>_xlfn.XLOOKUP(B419,全店核心数据_bymonth!A:A,全店核心数据_bymonth!AN:AN)</f>
        <v>BU24</v>
      </c>
    </row>
    <row r="420" spans="1:19" x14ac:dyDescent="0.3">
      <c r="A420" t="s">
        <v>110</v>
      </c>
      <c r="B420" s="16">
        <v>45170</v>
      </c>
      <c r="C420" t="s">
        <v>2</v>
      </c>
      <c r="D420" t="s">
        <v>4</v>
      </c>
      <c r="E420" t="s">
        <v>42</v>
      </c>
      <c r="F420">
        <v>2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O420">
        <v>2</v>
      </c>
      <c r="P420">
        <f t="shared" si="25"/>
        <v>2023</v>
      </c>
      <c r="Q420">
        <f t="shared" si="26"/>
        <v>9</v>
      </c>
      <c r="R420" t="str">
        <f t="shared" si="27"/>
        <v>UD效果投放</v>
      </c>
      <c r="S420" t="str">
        <f>_xlfn.XLOOKUP(B420,全店核心数据_bymonth!A:A,全店核心数据_bymonth!AN:AN)</f>
        <v>BU24</v>
      </c>
    </row>
    <row r="421" spans="1:19" x14ac:dyDescent="0.3">
      <c r="A421" t="s">
        <v>110</v>
      </c>
      <c r="B421" s="16">
        <v>45170</v>
      </c>
      <c r="C421" t="s">
        <v>2</v>
      </c>
      <c r="D421" t="s">
        <v>4</v>
      </c>
      <c r="E421" t="s">
        <v>41</v>
      </c>
      <c r="F421">
        <v>334</v>
      </c>
      <c r="G421">
        <v>299</v>
      </c>
      <c r="H421">
        <v>4</v>
      </c>
      <c r="I421">
        <v>2</v>
      </c>
      <c r="J421">
        <v>0</v>
      </c>
      <c r="K421">
        <v>0</v>
      </c>
      <c r="L421">
        <v>0</v>
      </c>
      <c r="M421">
        <v>0</v>
      </c>
      <c r="O421">
        <v>107</v>
      </c>
      <c r="P421">
        <f t="shared" si="25"/>
        <v>2023</v>
      </c>
      <c r="Q421">
        <f t="shared" si="26"/>
        <v>9</v>
      </c>
      <c r="R421" t="str">
        <f t="shared" si="27"/>
        <v>流量宝</v>
      </c>
      <c r="S421" t="str">
        <f>_xlfn.XLOOKUP(B421,全店核心数据_bymonth!A:A,全店核心数据_bymonth!AN:AN)</f>
        <v>BU24</v>
      </c>
    </row>
    <row r="422" spans="1:19" x14ac:dyDescent="0.3">
      <c r="A422" t="s">
        <v>110</v>
      </c>
      <c r="B422" s="16">
        <v>45170</v>
      </c>
      <c r="C422" t="s">
        <v>2</v>
      </c>
      <c r="D422" t="s">
        <v>4</v>
      </c>
      <c r="E422" t="s">
        <v>43</v>
      </c>
      <c r="F422">
        <v>1625</v>
      </c>
      <c r="G422">
        <v>1044</v>
      </c>
      <c r="H422">
        <v>14</v>
      </c>
      <c r="I422">
        <v>3</v>
      </c>
      <c r="J422">
        <v>47644</v>
      </c>
      <c r="K422">
        <v>6</v>
      </c>
      <c r="L422">
        <v>18718</v>
      </c>
      <c r="M422">
        <v>5</v>
      </c>
      <c r="O422">
        <v>1452</v>
      </c>
      <c r="P422">
        <f t="shared" si="25"/>
        <v>2023</v>
      </c>
      <c r="Q422">
        <f t="shared" si="26"/>
        <v>9</v>
      </c>
      <c r="R422" t="str">
        <f t="shared" si="27"/>
        <v>淘宝客</v>
      </c>
      <c r="S422" t="str">
        <f>_xlfn.XLOOKUP(B422,全店核心数据_bymonth!A:A,全店核心数据_bymonth!AN:AN)</f>
        <v>BU24</v>
      </c>
    </row>
    <row r="423" spans="1:19" x14ac:dyDescent="0.3">
      <c r="A423" t="s">
        <v>110</v>
      </c>
      <c r="B423" s="16">
        <v>45566</v>
      </c>
      <c r="C423" t="s">
        <v>3</v>
      </c>
      <c r="D423" t="s">
        <v>114</v>
      </c>
      <c r="E423" t="s">
        <v>159</v>
      </c>
      <c r="F423">
        <v>2968</v>
      </c>
      <c r="G423">
        <v>1865</v>
      </c>
      <c r="H423">
        <v>83</v>
      </c>
      <c r="I423">
        <v>42</v>
      </c>
      <c r="J423">
        <v>97918</v>
      </c>
      <c r="K423">
        <v>18</v>
      </c>
      <c r="L423">
        <v>70708</v>
      </c>
      <c r="M423">
        <v>13</v>
      </c>
      <c r="O423">
        <v>2803</v>
      </c>
      <c r="P423">
        <f t="shared" si="25"/>
        <v>2024</v>
      </c>
      <c r="Q423">
        <f t="shared" si="26"/>
        <v>10</v>
      </c>
      <c r="R423" t="str">
        <f t="shared" si="27"/>
        <v>主会场</v>
      </c>
      <c r="S423" t="str">
        <f>_xlfn.XLOOKUP(B423,全店核心数据_bymonth!A:A,全店核心数据_bymonth!AN:AN)</f>
        <v>BU25</v>
      </c>
    </row>
    <row r="424" spans="1:19" x14ac:dyDescent="0.3">
      <c r="A424" t="s">
        <v>110</v>
      </c>
      <c r="B424" s="16">
        <v>45566</v>
      </c>
      <c r="C424" t="s">
        <v>3</v>
      </c>
      <c r="D424" t="s">
        <v>114</v>
      </c>
      <c r="E424" t="s">
        <v>160</v>
      </c>
      <c r="F424">
        <v>15</v>
      </c>
      <c r="G424">
        <v>11</v>
      </c>
      <c r="H424">
        <v>4</v>
      </c>
      <c r="I424">
        <v>0</v>
      </c>
      <c r="J424">
        <v>0</v>
      </c>
      <c r="K424">
        <v>0</v>
      </c>
      <c r="L424">
        <v>0</v>
      </c>
      <c r="M424">
        <v>0</v>
      </c>
      <c r="O424">
        <v>15</v>
      </c>
      <c r="P424">
        <f t="shared" si="25"/>
        <v>2024</v>
      </c>
      <c r="Q424">
        <f t="shared" si="26"/>
        <v>10</v>
      </c>
      <c r="R424" t="str">
        <f t="shared" si="27"/>
        <v>榜单会场</v>
      </c>
      <c r="S424" t="str">
        <f>_xlfn.XLOOKUP(B424,全店核心数据_bymonth!A:A,全店核心数据_bymonth!AN:AN)</f>
        <v>BU25</v>
      </c>
    </row>
    <row r="425" spans="1:19" x14ac:dyDescent="0.3">
      <c r="A425" t="s">
        <v>110</v>
      </c>
      <c r="B425" s="16">
        <v>45566</v>
      </c>
      <c r="C425" t="s">
        <v>3</v>
      </c>
      <c r="D425" t="s">
        <v>117</v>
      </c>
      <c r="E425" t="s">
        <v>161</v>
      </c>
      <c r="F425">
        <v>48</v>
      </c>
      <c r="G425">
        <v>21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O425">
        <v>48</v>
      </c>
      <c r="P425">
        <f t="shared" si="25"/>
        <v>2024</v>
      </c>
      <c r="Q425">
        <f t="shared" si="26"/>
        <v>10</v>
      </c>
      <c r="R425" t="str">
        <f t="shared" si="27"/>
        <v>其他入口榜单</v>
      </c>
      <c r="S425" t="str">
        <f>_xlfn.XLOOKUP(B425,全店核心数据_bymonth!A:A,全店核心数据_bymonth!AN:AN)</f>
        <v>BU25</v>
      </c>
    </row>
    <row r="426" spans="1:19" x14ac:dyDescent="0.3">
      <c r="A426" t="s">
        <v>110</v>
      </c>
      <c r="B426" s="16">
        <v>45566</v>
      </c>
      <c r="C426" t="s">
        <v>3</v>
      </c>
      <c r="D426" t="s">
        <v>117</v>
      </c>
      <c r="E426" t="s">
        <v>195</v>
      </c>
      <c r="F426">
        <v>2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O426">
        <v>2</v>
      </c>
      <c r="P426">
        <f t="shared" si="25"/>
        <v>2024</v>
      </c>
      <c r="Q426">
        <f t="shared" si="26"/>
        <v>10</v>
      </c>
      <c r="R426" t="str">
        <f t="shared" si="27"/>
        <v>搜索入口榜单</v>
      </c>
      <c r="S426" t="str">
        <f>_xlfn.XLOOKUP(B426,全店核心数据_bymonth!A:A,全店核心数据_bymonth!AN:AN)</f>
        <v>BU25</v>
      </c>
    </row>
    <row r="427" spans="1:19" x14ac:dyDescent="0.3">
      <c r="A427" t="s">
        <v>110</v>
      </c>
      <c r="B427" s="16">
        <v>45566</v>
      </c>
      <c r="C427" t="s">
        <v>3</v>
      </c>
      <c r="D427" t="s">
        <v>120</v>
      </c>
      <c r="E427" t="s">
        <v>162</v>
      </c>
      <c r="F427">
        <v>16</v>
      </c>
      <c r="G427">
        <v>14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O427">
        <v>7</v>
      </c>
      <c r="P427">
        <f t="shared" si="25"/>
        <v>2024</v>
      </c>
      <c r="Q427">
        <f t="shared" si="26"/>
        <v>10</v>
      </c>
      <c r="R427" t="str">
        <f t="shared" si="27"/>
        <v>手机浏览器访问天猫</v>
      </c>
      <c r="S427" t="str">
        <f>_xlfn.XLOOKUP(B427,全店核心数据_bymonth!A:A,全店核心数据_bymonth!AN:AN)</f>
        <v>BU25</v>
      </c>
    </row>
    <row r="428" spans="1:19" x14ac:dyDescent="0.3">
      <c r="A428" t="s">
        <v>110</v>
      </c>
      <c r="B428" s="16">
        <v>45566</v>
      </c>
      <c r="C428" t="s">
        <v>3</v>
      </c>
      <c r="D428" t="s">
        <v>120</v>
      </c>
      <c r="E428" t="s">
        <v>163</v>
      </c>
      <c r="F428">
        <v>791</v>
      </c>
      <c r="G428">
        <v>491</v>
      </c>
      <c r="H428">
        <v>21</v>
      </c>
      <c r="I428">
        <v>0</v>
      </c>
      <c r="J428">
        <v>50905.65</v>
      </c>
      <c r="K428">
        <v>6</v>
      </c>
      <c r="L428">
        <v>42805.65</v>
      </c>
      <c r="M428">
        <v>6</v>
      </c>
      <c r="O428">
        <v>651</v>
      </c>
      <c r="P428">
        <f t="shared" si="25"/>
        <v>2024</v>
      </c>
      <c r="Q428">
        <f t="shared" si="26"/>
        <v>10</v>
      </c>
      <c r="R428" t="str">
        <f t="shared" si="27"/>
        <v>手猫免费其他</v>
      </c>
      <c r="S428" t="str">
        <f>_xlfn.XLOOKUP(B428,全店核心数据_bymonth!A:A,全店核心数据_bymonth!AN:AN)</f>
        <v>BU25</v>
      </c>
    </row>
    <row r="429" spans="1:19" x14ac:dyDescent="0.3">
      <c r="A429" t="s">
        <v>110</v>
      </c>
      <c r="B429" s="16">
        <v>45566</v>
      </c>
      <c r="C429" t="s">
        <v>3</v>
      </c>
      <c r="D429" t="s">
        <v>120</v>
      </c>
      <c r="E429" t="s">
        <v>164</v>
      </c>
      <c r="F429">
        <v>588</v>
      </c>
      <c r="G429">
        <v>395</v>
      </c>
      <c r="H429">
        <v>82</v>
      </c>
      <c r="I429">
        <v>0</v>
      </c>
      <c r="J429">
        <v>128656.97</v>
      </c>
      <c r="K429">
        <v>18</v>
      </c>
      <c r="L429">
        <v>110204.97</v>
      </c>
      <c r="M429">
        <v>18</v>
      </c>
      <c r="O429">
        <v>588</v>
      </c>
      <c r="P429">
        <f t="shared" si="25"/>
        <v>2024</v>
      </c>
      <c r="Q429">
        <f t="shared" si="26"/>
        <v>10</v>
      </c>
      <c r="R429" t="str">
        <f t="shared" si="27"/>
        <v>手猫其他店铺</v>
      </c>
      <c r="S429" t="str">
        <f>_xlfn.XLOOKUP(B429,全店核心数据_bymonth!A:A,全店核心数据_bymonth!AN:AN)</f>
        <v>BU25</v>
      </c>
    </row>
    <row r="430" spans="1:19" x14ac:dyDescent="0.3">
      <c r="A430" t="s">
        <v>110</v>
      </c>
      <c r="B430" s="16">
        <v>45566</v>
      </c>
      <c r="C430" t="s">
        <v>3</v>
      </c>
      <c r="D430" t="s">
        <v>120</v>
      </c>
      <c r="E430" t="s">
        <v>165</v>
      </c>
      <c r="F430">
        <v>692</v>
      </c>
      <c r="G430">
        <v>390</v>
      </c>
      <c r="H430">
        <v>51</v>
      </c>
      <c r="I430">
        <v>0</v>
      </c>
      <c r="J430">
        <v>76733.63</v>
      </c>
      <c r="K430">
        <v>15</v>
      </c>
      <c r="L430">
        <v>53801.63</v>
      </c>
      <c r="M430">
        <v>13</v>
      </c>
      <c r="O430">
        <v>676</v>
      </c>
      <c r="P430">
        <f t="shared" si="25"/>
        <v>2024</v>
      </c>
      <c r="Q430">
        <f t="shared" si="26"/>
        <v>10</v>
      </c>
      <c r="R430" t="str">
        <f t="shared" si="27"/>
        <v>手猫商品详情</v>
      </c>
      <c r="S430" t="str">
        <f>_xlfn.XLOOKUP(B430,全店核心数据_bymonth!A:A,全店核心数据_bymonth!AN:AN)</f>
        <v>BU25</v>
      </c>
    </row>
    <row r="431" spans="1:19" x14ac:dyDescent="0.3">
      <c r="A431" t="s">
        <v>110</v>
      </c>
      <c r="B431" s="16">
        <v>45566</v>
      </c>
      <c r="C431" t="s">
        <v>3</v>
      </c>
      <c r="D431" t="s">
        <v>120</v>
      </c>
      <c r="E431" t="s">
        <v>166</v>
      </c>
      <c r="F431">
        <v>1460</v>
      </c>
      <c r="G431">
        <v>1134</v>
      </c>
      <c r="H431">
        <v>98</v>
      </c>
      <c r="I431">
        <v>0</v>
      </c>
      <c r="J431">
        <v>179899.22</v>
      </c>
      <c r="K431">
        <v>23</v>
      </c>
      <c r="L431">
        <v>102566.72</v>
      </c>
      <c r="M431">
        <v>19</v>
      </c>
      <c r="O431">
        <v>1286</v>
      </c>
      <c r="P431">
        <f t="shared" si="25"/>
        <v>2024</v>
      </c>
      <c r="Q431">
        <f t="shared" si="26"/>
        <v>10</v>
      </c>
      <c r="R431" t="str">
        <f t="shared" si="27"/>
        <v>手猫搜索</v>
      </c>
      <c r="S431" t="str">
        <f>_xlfn.XLOOKUP(B431,全店核心数据_bymonth!A:A,全店核心数据_bymonth!AN:AN)</f>
        <v>BU25</v>
      </c>
    </row>
    <row r="432" spans="1:19" x14ac:dyDescent="0.3">
      <c r="A432" t="s">
        <v>110</v>
      </c>
      <c r="B432" s="16">
        <v>45566</v>
      </c>
      <c r="C432" t="s">
        <v>3</v>
      </c>
      <c r="D432" t="s">
        <v>120</v>
      </c>
      <c r="E432" t="s">
        <v>167</v>
      </c>
      <c r="F432">
        <v>47</v>
      </c>
      <c r="G432">
        <v>13</v>
      </c>
      <c r="H432">
        <v>11</v>
      </c>
      <c r="I432">
        <v>0</v>
      </c>
      <c r="J432">
        <v>48086.8</v>
      </c>
      <c r="K432">
        <v>7</v>
      </c>
      <c r="L432">
        <v>39336.800000000003</v>
      </c>
      <c r="M432">
        <v>6</v>
      </c>
      <c r="O432">
        <v>37</v>
      </c>
      <c r="P432">
        <f t="shared" si="25"/>
        <v>2024</v>
      </c>
      <c r="Q432">
        <f t="shared" si="26"/>
        <v>10</v>
      </c>
      <c r="R432" t="str">
        <f t="shared" si="27"/>
        <v>手猫旺信聊天</v>
      </c>
      <c r="S432" t="str">
        <f>_xlfn.XLOOKUP(B432,全店核心数据_bymonth!A:A,全店核心数据_bymonth!AN:AN)</f>
        <v>BU25</v>
      </c>
    </row>
    <row r="433" spans="1:19" x14ac:dyDescent="0.3">
      <c r="A433" t="s">
        <v>110</v>
      </c>
      <c r="B433" s="16">
        <v>45566</v>
      </c>
      <c r="C433" t="s">
        <v>3</v>
      </c>
      <c r="D433" t="s">
        <v>120</v>
      </c>
      <c r="E433" t="s">
        <v>192</v>
      </c>
      <c r="F433">
        <v>78</v>
      </c>
      <c r="G433">
        <v>36</v>
      </c>
      <c r="H433">
        <v>0</v>
      </c>
      <c r="I433">
        <v>0</v>
      </c>
      <c r="J433">
        <v>6757</v>
      </c>
      <c r="K433">
        <v>1</v>
      </c>
      <c r="L433">
        <v>6757</v>
      </c>
      <c r="M433">
        <v>1</v>
      </c>
      <c r="O433">
        <v>76</v>
      </c>
      <c r="P433">
        <f t="shared" si="25"/>
        <v>2024</v>
      </c>
      <c r="Q433">
        <f t="shared" si="26"/>
        <v>10</v>
      </c>
      <c r="R433" t="str">
        <f t="shared" si="27"/>
        <v>手猫消息中心</v>
      </c>
      <c r="S433" t="str">
        <f>_xlfn.XLOOKUP(B433,全店核心数据_bymonth!A:A,全店核心数据_bymonth!AN:AN)</f>
        <v>BU25</v>
      </c>
    </row>
    <row r="434" spans="1:19" x14ac:dyDescent="0.3">
      <c r="A434" t="s">
        <v>110</v>
      </c>
      <c r="B434" s="16">
        <v>45566</v>
      </c>
      <c r="C434" t="s">
        <v>3</v>
      </c>
      <c r="D434" t="s">
        <v>120</v>
      </c>
      <c r="E434" t="s">
        <v>168</v>
      </c>
      <c r="F434">
        <v>4686</v>
      </c>
      <c r="G434">
        <v>3802</v>
      </c>
      <c r="H434">
        <v>114</v>
      </c>
      <c r="I434">
        <v>0</v>
      </c>
      <c r="J434">
        <v>201219.77</v>
      </c>
      <c r="K434">
        <v>40</v>
      </c>
      <c r="L434">
        <v>158925.76999999999</v>
      </c>
      <c r="M434">
        <v>31</v>
      </c>
      <c r="O434">
        <v>4684</v>
      </c>
      <c r="P434">
        <f t="shared" si="25"/>
        <v>2024</v>
      </c>
      <c r="Q434">
        <f t="shared" si="26"/>
        <v>10</v>
      </c>
      <c r="R434" t="str">
        <f t="shared" si="27"/>
        <v>手猫首页</v>
      </c>
      <c r="S434" t="str">
        <f>_xlfn.XLOOKUP(B434,全店核心数据_bymonth!A:A,全店核心数据_bymonth!AN:AN)</f>
        <v>BU25</v>
      </c>
    </row>
    <row r="435" spans="1:19" x14ac:dyDescent="0.3">
      <c r="A435" t="s">
        <v>110</v>
      </c>
      <c r="B435" s="16">
        <v>45566</v>
      </c>
      <c r="C435" t="s">
        <v>3</v>
      </c>
      <c r="D435" t="s">
        <v>123</v>
      </c>
      <c r="E435" t="s">
        <v>169</v>
      </c>
      <c r="F435">
        <v>6169</v>
      </c>
      <c r="G435">
        <v>3049</v>
      </c>
      <c r="H435">
        <v>511</v>
      </c>
      <c r="I435">
        <v>164</v>
      </c>
      <c r="J435">
        <v>470948.5</v>
      </c>
      <c r="K435">
        <v>107</v>
      </c>
      <c r="L435">
        <v>398573.58</v>
      </c>
      <c r="M435">
        <v>97</v>
      </c>
      <c r="O435">
        <v>6055</v>
      </c>
      <c r="P435">
        <f t="shared" si="25"/>
        <v>2024</v>
      </c>
      <c r="Q435">
        <f t="shared" si="26"/>
        <v>10</v>
      </c>
      <c r="R435" t="str">
        <f t="shared" si="27"/>
        <v>商品详情页头图推荐</v>
      </c>
      <c r="S435" t="str">
        <f>_xlfn.XLOOKUP(B435,全店核心数据_bymonth!A:A,全店核心数据_bymonth!AN:AN)</f>
        <v>BU25</v>
      </c>
    </row>
    <row r="436" spans="1:19" x14ac:dyDescent="0.3">
      <c r="A436" t="s">
        <v>110</v>
      </c>
      <c r="B436" s="16">
        <v>45566</v>
      </c>
      <c r="C436" t="s">
        <v>3</v>
      </c>
      <c r="D436" t="s">
        <v>123</v>
      </c>
      <c r="E436" t="s">
        <v>170</v>
      </c>
      <c r="F436">
        <v>1473</v>
      </c>
      <c r="G436">
        <v>888</v>
      </c>
      <c r="H436">
        <v>110</v>
      </c>
      <c r="I436">
        <v>16</v>
      </c>
      <c r="J436">
        <v>201548</v>
      </c>
      <c r="K436">
        <v>35</v>
      </c>
      <c r="L436">
        <v>159313</v>
      </c>
      <c r="M436">
        <v>29</v>
      </c>
      <c r="O436">
        <v>720</v>
      </c>
      <c r="P436">
        <f t="shared" si="25"/>
        <v>2024</v>
      </c>
      <c r="Q436">
        <f t="shared" si="26"/>
        <v>10</v>
      </c>
      <c r="R436" t="str">
        <f t="shared" si="27"/>
        <v>店铺超链</v>
      </c>
      <c r="S436" t="str">
        <f>_xlfn.XLOOKUP(B436,全店核心数据_bymonth!A:A,全店核心数据_bymonth!AN:AN)</f>
        <v>BU25</v>
      </c>
    </row>
    <row r="437" spans="1:19" x14ac:dyDescent="0.3">
      <c r="A437" t="s">
        <v>110</v>
      </c>
      <c r="B437" s="16">
        <v>45566</v>
      </c>
      <c r="C437" t="s">
        <v>394</v>
      </c>
      <c r="D437" t="s">
        <v>392</v>
      </c>
      <c r="E437" t="s">
        <v>393</v>
      </c>
      <c r="F437">
        <v>19471</v>
      </c>
      <c r="G437">
        <v>16321</v>
      </c>
      <c r="H437">
        <v>169</v>
      </c>
      <c r="I437">
        <v>61</v>
      </c>
      <c r="J437">
        <v>299655.27</v>
      </c>
      <c r="K437">
        <v>45</v>
      </c>
      <c r="L437">
        <v>209941.27</v>
      </c>
      <c r="M437">
        <v>39</v>
      </c>
      <c r="O437">
        <v>3630</v>
      </c>
      <c r="P437">
        <f t="shared" si="25"/>
        <v>2024</v>
      </c>
      <c r="Q437">
        <f t="shared" si="26"/>
        <v>10</v>
      </c>
      <c r="R437" t="s">
        <v>396</v>
      </c>
      <c r="S437" t="str">
        <f>_xlfn.XLOOKUP(B437,全店核心数据_bymonth!A:A,全店核心数据_bymonth!AN:AN)</f>
        <v>BU25</v>
      </c>
    </row>
    <row r="438" spans="1:19" x14ac:dyDescent="0.3">
      <c r="A438" t="s">
        <v>110</v>
      </c>
      <c r="B438" s="16">
        <v>45566</v>
      </c>
      <c r="C438" t="s">
        <v>3</v>
      </c>
      <c r="D438" t="s">
        <v>127</v>
      </c>
      <c r="E438" t="s">
        <v>172</v>
      </c>
      <c r="F438">
        <v>492</v>
      </c>
      <c r="G438">
        <v>302</v>
      </c>
      <c r="H438">
        <v>15</v>
      </c>
      <c r="I438">
        <v>2</v>
      </c>
      <c r="J438">
        <v>0</v>
      </c>
      <c r="K438">
        <v>0</v>
      </c>
      <c r="L438">
        <v>0</v>
      </c>
      <c r="M438">
        <v>0</v>
      </c>
      <c r="O438">
        <v>272</v>
      </c>
      <c r="P438">
        <f t="shared" si="25"/>
        <v>2024</v>
      </c>
      <c r="Q438">
        <f t="shared" si="26"/>
        <v>10</v>
      </c>
      <c r="R438" t="str">
        <f t="shared" ref="R438:R479" si="28">E438</f>
        <v>购中推荐</v>
      </c>
      <c r="S438" t="str">
        <f>_xlfn.XLOOKUP(B438,全店核心数据_bymonth!A:A,全店核心数据_bymonth!AN:AN)</f>
        <v>BU25</v>
      </c>
    </row>
    <row r="439" spans="1:19" x14ac:dyDescent="0.3">
      <c r="A439" t="s">
        <v>110</v>
      </c>
      <c r="B439" s="16">
        <v>45566</v>
      </c>
      <c r="C439" t="s">
        <v>3</v>
      </c>
      <c r="D439" t="s">
        <v>127</v>
      </c>
      <c r="E439" t="s">
        <v>173</v>
      </c>
      <c r="F439">
        <v>2269</v>
      </c>
      <c r="G439">
        <v>1692</v>
      </c>
      <c r="H439">
        <v>22</v>
      </c>
      <c r="I439">
        <v>8</v>
      </c>
      <c r="J439">
        <v>8680</v>
      </c>
      <c r="K439">
        <v>3</v>
      </c>
      <c r="L439">
        <v>8680</v>
      </c>
      <c r="M439">
        <v>3</v>
      </c>
      <c r="O439">
        <v>804</v>
      </c>
      <c r="P439">
        <f t="shared" si="25"/>
        <v>2024</v>
      </c>
      <c r="Q439">
        <f t="shared" si="26"/>
        <v>10</v>
      </c>
      <c r="R439" t="str">
        <f t="shared" si="28"/>
        <v>购后推荐</v>
      </c>
      <c r="S439" t="str">
        <f>_xlfn.XLOOKUP(B439,全店核心数据_bymonth!A:A,全店核心数据_bymonth!AN:AN)</f>
        <v>BU25</v>
      </c>
    </row>
    <row r="440" spans="1:19" x14ac:dyDescent="0.3">
      <c r="A440" t="s">
        <v>110</v>
      </c>
      <c r="B440" s="16">
        <v>45566</v>
      </c>
      <c r="C440" t="s">
        <v>3</v>
      </c>
      <c r="D440" t="s">
        <v>127</v>
      </c>
      <c r="E440" t="s">
        <v>174</v>
      </c>
      <c r="F440">
        <v>52102</v>
      </c>
      <c r="G440">
        <v>42259</v>
      </c>
      <c r="H440">
        <v>1780</v>
      </c>
      <c r="I440">
        <v>698</v>
      </c>
      <c r="J440">
        <v>1492794.09</v>
      </c>
      <c r="K440">
        <v>272</v>
      </c>
      <c r="L440">
        <v>928673.09</v>
      </c>
      <c r="M440">
        <v>209</v>
      </c>
      <c r="O440">
        <v>52102</v>
      </c>
      <c r="P440">
        <f t="shared" si="25"/>
        <v>2024</v>
      </c>
      <c r="Q440">
        <f t="shared" si="26"/>
        <v>10</v>
      </c>
      <c r="R440" t="str">
        <f t="shared" si="28"/>
        <v>首页推荐-微详情</v>
      </c>
      <c r="S440" t="str">
        <f>_xlfn.XLOOKUP(B440,全店核心数据_bymonth!A:A,全店核心数据_bymonth!AN:AN)</f>
        <v>BU25</v>
      </c>
    </row>
    <row r="441" spans="1:19" x14ac:dyDescent="0.3">
      <c r="A441" t="s">
        <v>110</v>
      </c>
      <c r="B441" s="16">
        <v>45566</v>
      </c>
      <c r="C441" t="s">
        <v>3</v>
      </c>
      <c r="D441" t="s">
        <v>127</v>
      </c>
      <c r="E441" t="s">
        <v>175</v>
      </c>
      <c r="F441">
        <v>9038</v>
      </c>
      <c r="G441">
        <v>8093</v>
      </c>
      <c r="H441">
        <v>24</v>
      </c>
      <c r="I441">
        <v>6</v>
      </c>
      <c r="J441">
        <v>51106</v>
      </c>
      <c r="K441">
        <v>8</v>
      </c>
      <c r="L441">
        <v>41061</v>
      </c>
      <c r="M441">
        <v>6</v>
      </c>
      <c r="O441">
        <v>404</v>
      </c>
      <c r="P441">
        <f t="shared" si="25"/>
        <v>2024</v>
      </c>
      <c r="Q441">
        <f t="shared" si="26"/>
        <v>10</v>
      </c>
      <c r="R441" t="str">
        <f t="shared" si="28"/>
        <v>首页推荐-直播</v>
      </c>
      <c r="S441" t="str">
        <f>_xlfn.XLOOKUP(B441,全店核心数据_bymonth!A:A,全店核心数据_bymonth!AN:AN)</f>
        <v>BU25</v>
      </c>
    </row>
    <row r="442" spans="1:19" x14ac:dyDescent="0.3">
      <c r="A442" t="s">
        <v>110</v>
      </c>
      <c r="B442" s="16">
        <v>45566</v>
      </c>
      <c r="C442" t="s">
        <v>3</v>
      </c>
      <c r="D442" t="s">
        <v>127</v>
      </c>
      <c r="E442" t="s">
        <v>176</v>
      </c>
      <c r="F442">
        <v>11024</v>
      </c>
      <c r="G442">
        <v>7244</v>
      </c>
      <c r="H442">
        <v>155</v>
      </c>
      <c r="I442">
        <v>49</v>
      </c>
      <c r="J442">
        <v>175845.09</v>
      </c>
      <c r="K442">
        <v>34</v>
      </c>
      <c r="L442">
        <v>121305.09</v>
      </c>
      <c r="M442">
        <v>28</v>
      </c>
      <c r="O442">
        <v>2697</v>
      </c>
      <c r="P442">
        <f t="shared" si="25"/>
        <v>2024</v>
      </c>
      <c r="Q442">
        <f t="shared" si="26"/>
        <v>10</v>
      </c>
      <c r="R442" t="str">
        <f t="shared" si="28"/>
        <v>首页推荐-短视频</v>
      </c>
      <c r="S442" t="str">
        <f>_xlfn.XLOOKUP(B442,全店核心数据_bymonth!A:A,全店核心数据_bymonth!AN:AN)</f>
        <v>BU25</v>
      </c>
    </row>
    <row r="443" spans="1:19" x14ac:dyDescent="0.3">
      <c r="A443" t="s">
        <v>110</v>
      </c>
      <c r="B443" s="16">
        <v>45566</v>
      </c>
      <c r="C443" t="s">
        <v>3</v>
      </c>
      <c r="D443" t="s">
        <v>128</v>
      </c>
      <c r="E443" t="s">
        <v>177</v>
      </c>
      <c r="F443">
        <v>27165</v>
      </c>
      <c r="G443">
        <v>23044</v>
      </c>
      <c r="H443">
        <v>2369</v>
      </c>
      <c r="I443">
        <v>340</v>
      </c>
      <c r="J443">
        <v>3152239.14</v>
      </c>
      <c r="K443">
        <v>624</v>
      </c>
      <c r="L443">
        <v>2403459.64</v>
      </c>
      <c r="M443">
        <v>543</v>
      </c>
      <c r="O443">
        <v>24006</v>
      </c>
      <c r="P443">
        <f t="shared" si="25"/>
        <v>2024</v>
      </c>
      <c r="Q443">
        <f t="shared" si="26"/>
        <v>10</v>
      </c>
      <c r="R443" t="str">
        <f t="shared" si="28"/>
        <v>手淘搜索-商品及其他</v>
      </c>
      <c r="S443" t="str">
        <f>_xlfn.XLOOKUP(B443,全店核心数据_bymonth!A:A,全店核心数据_bymonth!AN:AN)</f>
        <v>BU25</v>
      </c>
    </row>
    <row r="444" spans="1:19" x14ac:dyDescent="0.3">
      <c r="A444" t="s">
        <v>110</v>
      </c>
      <c r="B444" s="16">
        <v>45566</v>
      </c>
      <c r="C444" t="s">
        <v>3</v>
      </c>
      <c r="D444" t="s">
        <v>128</v>
      </c>
      <c r="E444" t="s">
        <v>178</v>
      </c>
      <c r="F444">
        <v>398</v>
      </c>
      <c r="G444">
        <v>291</v>
      </c>
      <c r="H444">
        <v>13</v>
      </c>
      <c r="I444">
        <v>4</v>
      </c>
      <c r="J444">
        <v>22625</v>
      </c>
      <c r="K444">
        <v>5</v>
      </c>
      <c r="L444">
        <v>15650</v>
      </c>
      <c r="M444">
        <v>4</v>
      </c>
      <c r="O444">
        <v>167</v>
      </c>
      <c r="P444">
        <f t="shared" si="25"/>
        <v>2024</v>
      </c>
      <c r="Q444">
        <f t="shared" si="26"/>
        <v>10</v>
      </c>
      <c r="R444" t="str">
        <f t="shared" si="28"/>
        <v>手淘搜索-直播</v>
      </c>
      <c r="S444" t="str">
        <f>_xlfn.XLOOKUP(B444,全店核心数据_bymonth!A:A,全店核心数据_bymonth!AN:AN)</f>
        <v>BU25</v>
      </c>
    </row>
    <row r="445" spans="1:19" x14ac:dyDescent="0.3">
      <c r="A445" t="s">
        <v>110</v>
      </c>
      <c r="B445" s="16">
        <v>45566</v>
      </c>
      <c r="C445" t="s">
        <v>3</v>
      </c>
      <c r="D445" t="s">
        <v>128</v>
      </c>
      <c r="E445" t="s">
        <v>179</v>
      </c>
      <c r="F445">
        <v>2766</v>
      </c>
      <c r="G445">
        <v>2529</v>
      </c>
      <c r="H445">
        <v>16</v>
      </c>
      <c r="I445">
        <v>6</v>
      </c>
      <c r="J445">
        <v>28779</v>
      </c>
      <c r="K445">
        <v>6</v>
      </c>
      <c r="L445">
        <v>23784</v>
      </c>
      <c r="M445">
        <v>5</v>
      </c>
      <c r="O445">
        <v>2674</v>
      </c>
      <c r="P445">
        <f t="shared" si="25"/>
        <v>2024</v>
      </c>
      <c r="Q445">
        <f t="shared" si="26"/>
        <v>10</v>
      </c>
      <c r="R445" t="str">
        <f t="shared" si="28"/>
        <v>手淘搜索-短视频</v>
      </c>
      <c r="S445" t="str">
        <f>_xlfn.XLOOKUP(B445,全店核心数据_bymonth!A:A,全店核心数据_bymonth!AN:AN)</f>
        <v>BU25</v>
      </c>
    </row>
    <row r="446" spans="1:19" x14ac:dyDescent="0.3">
      <c r="A446" t="s">
        <v>110</v>
      </c>
      <c r="B446" s="16">
        <v>45566</v>
      </c>
      <c r="C446" t="s">
        <v>3</v>
      </c>
      <c r="D446" t="s">
        <v>143</v>
      </c>
      <c r="E446" t="s">
        <v>180</v>
      </c>
      <c r="F446">
        <v>481</v>
      </c>
      <c r="G446">
        <v>465</v>
      </c>
      <c r="H446">
        <v>2</v>
      </c>
      <c r="I446">
        <v>2</v>
      </c>
      <c r="J446">
        <v>0</v>
      </c>
      <c r="K446">
        <v>0</v>
      </c>
      <c r="L446">
        <v>0</v>
      </c>
      <c r="M446">
        <v>0</v>
      </c>
      <c r="O446">
        <v>481</v>
      </c>
      <c r="P446">
        <f t="shared" si="25"/>
        <v>2024</v>
      </c>
      <c r="Q446">
        <f t="shared" si="26"/>
        <v>10</v>
      </c>
      <c r="R446" t="str">
        <f t="shared" si="28"/>
        <v>淘特其他渠道</v>
      </c>
      <c r="S446" t="str">
        <f>_xlfn.XLOOKUP(B446,全店核心数据_bymonth!A:A,全店核心数据_bymonth!AN:AN)</f>
        <v>BU25</v>
      </c>
    </row>
    <row r="447" spans="1:19" x14ac:dyDescent="0.3">
      <c r="A447" t="s">
        <v>110</v>
      </c>
      <c r="B447" s="16">
        <v>45566</v>
      </c>
      <c r="C447" t="s">
        <v>3</v>
      </c>
      <c r="D447" t="s">
        <v>143</v>
      </c>
      <c r="E447" t="s">
        <v>197</v>
      </c>
      <c r="F447">
        <v>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O447">
        <v>2</v>
      </c>
      <c r="P447">
        <f t="shared" si="25"/>
        <v>2024</v>
      </c>
      <c r="Q447">
        <f t="shared" si="26"/>
        <v>10</v>
      </c>
      <c r="R447" t="str">
        <f t="shared" si="28"/>
        <v>淘特推荐</v>
      </c>
      <c r="S447" t="str">
        <f>_xlfn.XLOOKUP(B447,全店核心数据_bymonth!A:A,全店核心数据_bymonth!AN:AN)</f>
        <v>BU25</v>
      </c>
    </row>
    <row r="448" spans="1:19" x14ac:dyDescent="0.3">
      <c r="A448" t="s">
        <v>110</v>
      </c>
      <c r="B448" s="16">
        <v>45566</v>
      </c>
      <c r="C448" t="s">
        <v>3</v>
      </c>
      <c r="D448" t="s">
        <v>143</v>
      </c>
      <c r="E448" t="s">
        <v>181</v>
      </c>
      <c r="F448">
        <v>124</v>
      </c>
      <c r="G448">
        <v>120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O448">
        <v>124</v>
      </c>
      <c r="P448">
        <f t="shared" si="25"/>
        <v>2024</v>
      </c>
      <c r="Q448">
        <f t="shared" si="26"/>
        <v>10</v>
      </c>
      <c r="R448" t="str">
        <f t="shared" si="28"/>
        <v>淘特搜索</v>
      </c>
      <c r="S448" t="str">
        <f>_xlfn.XLOOKUP(B448,全店核心数据_bymonth!A:A,全店核心数据_bymonth!AN:AN)</f>
        <v>BU25</v>
      </c>
    </row>
    <row r="449" spans="1:19" x14ac:dyDescent="0.3">
      <c r="A449" t="s">
        <v>110</v>
      </c>
      <c r="B449" s="16">
        <v>45566</v>
      </c>
      <c r="C449" t="s">
        <v>3</v>
      </c>
      <c r="D449" t="s">
        <v>143</v>
      </c>
      <c r="E449" t="s">
        <v>224</v>
      </c>
      <c r="F449">
        <v>3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O449">
        <v>3</v>
      </c>
      <c r="P449">
        <f t="shared" si="25"/>
        <v>2024</v>
      </c>
      <c r="Q449">
        <f t="shared" si="26"/>
        <v>10</v>
      </c>
      <c r="R449" t="str">
        <f t="shared" si="28"/>
        <v>淘特自主访问</v>
      </c>
      <c r="S449" t="str">
        <f>_xlfn.XLOOKUP(B449,全店核心数据_bymonth!A:A,全店核心数据_bymonth!AN:AN)</f>
        <v>BU25</v>
      </c>
    </row>
    <row r="450" spans="1:19" x14ac:dyDescent="0.3">
      <c r="A450" t="s">
        <v>110</v>
      </c>
      <c r="B450" s="16">
        <v>45566</v>
      </c>
      <c r="C450" t="s">
        <v>2</v>
      </c>
      <c r="D450" t="s">
        <v>55</v>
      </c>
      <c r="E450" t="s">
        <v>66</v>
      </c>
      <c r="F450">
        <v>5</v>
      </c>
      <c r="G450">
        <v>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O450">
        <v>0</v>
      </c>
      <c r="P450">
        <f t="shared" si="25"/>
        <v>2024</v>
      </c>
      <c r="Q450">
        <f t="shared" si="26"/>
        <v>10</v>
      </c>
      <c r="R450" t="str">
        <f t="shared" si="28"/>
        <v>短直联动</v>
      </c>
      <c r="S450" t="str">
        <f>_xlfn.XLOOKUP(B450,全店核心数据_bymonth!A:A,全店核心数据_bymonth!AN:AN)</f>
        <v>BU25</v>
      </c>
    </row>
    <row r="451" spans="1:19" x14ac:dyDescent="0.3">
      <c r="A451" t="s">
        <v>110</v>
      </c>
      <c r="B451" s="16">
        <v>45566</v>
      </c>
      <c r="C451" t="s">
        <v>2</v>
      </c>
      <c r="D451" t="s">
        <v>55</v>
      </c>
      <c r="E451" t="s">
        <v>54</v>
      </c>
      <c r="F451">
        <v>19421</v>
      </c>
      <c r="G451">
        <v>17258</v>
      </c>
      <c r="H451">
        <v>112</v>
      </c>
      <c r="I451">
        <v>15</v>
      </c>
      <c r="J451">
        <v>0</v>
      </c>
      <c r="K451">
        <v>0</v>
      </c>
      <c r="L451">
        <v>0</v>
      </c>
      <c r="M451">
        <v>0</v>
      </c>
      <c r="O451">
        <v>2954</v>
      </c>
      <c r="P451">
        <f t="shared" si="25"/>
        <v>2024</v>
      </c>
      <c r="Q451">
        <f t="shared" si="26"/>
        <v>10</v>
      </c>
      <c r="R451" t="str">
        <f t="shared" si="28"/>
        <v>超级直播</v>
      </c>
      <c r="S451" t="str">
        <f>_xlfn.XLOOKUP(B451,全店核心数据_bymonth!A:A,全店核心数据_bymonth!AN:AN)</f>
        <v>BU25</v>
      </c>
    </row>
    <row r="452" spans="1:19" x14ac:dyDescent="0.3">
      <c r="A452" t="s">
        <v>110</v>
      </c>
      <c r="B452" s="16">
        <v>45566</v>
      </c>
      <c r="C452" t="s">
        <v>2</v>
      </c>
      <c r="D452" t="s">
        <v>55</v>
      </c>
      <c r="E452" t="s">
        <v>56</v>
      </c>
      <c r="F452">
        <v>3661</v>
      </c>
      <c r="G452">
        <v>3090</v>
      </c>
      <c r="H452">
        <v>96</v>
      </c>
      <c r="I452">
        <v>87</v>
      </c>
      <c r="J452">
        <v>0</v>
      </c>
      <c r="K452">
        <v>0</v>
      </c>
      <c r="L452">
        <v>0</v>
      </c>
      <c r="M452">
        <v>0</v>
      </c>
      <c r="O452">
        <v>2846</v>
      </c>
      <c r="P452">
        <f t="shared" si="25"/>
        <v>2024</v>
      </c>
      <c r="Q452">
        <f t="shared" si="26"/>
        <v>10</v>
      </c>
      <c r="R452" t="str">
        <f t="shared" si="28"/>
        <v>超级短视频</v>
      </c>
      <c r="S452" t="str">
        <f>_xlfn.XLOOKUP(B452,全店核心数据_bymonth!A:A,全店核心数据_bymonth!AN:AN)</f>
        <v>BU25</v>
      </c>
    </row>
    <row r="453" spans="1:19" x14ac:dyDescent="0.3">
      <c r="A453" t="s">
        <v>110</v>
      </c>
      <c r="B453" s="16">
        <v>45566</v>
      </c>
      <c r="C453" t="s">
        <v>2</v>
      </c>
      <c r="D453" t="s">
        <v>52</v>
      </c>
      <c r="E453" t="s">
        <v>53</v>
      </c>
      <c r="F453">
        <v>7400</v>
      </c>
      <c r="G453">
        <v>7059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O453">
        <v>1372</v>
      </c>
      <c r="P453">
        <f t="shared" si="25"/>
        <v>2024</v>
      </c>
      <c r="Q453">
        <f t="shared" si="26"/>
        <v>10</v>
      </c>
      <c r="R453" t="str">
        <f t="shared" si="28"/>
        <v>Showmax</v>
      </c>
      <c r="S453" t="str">
        <f>_xlfn.XLOOKUP(B453,全店核心数据_bymonth!A:A,全店核心数据_bymonth!AN:AN)</f>
        <v>BU25</v>
      </c>
    </row>
    <row r="454" spans="1:19" x14ac:dyDescent="0.3">
      <c r="A454" t="s">
        <v>110</v>
      </c>
      <c r="B454" s="16">
        <v>45566</v>
      </c>
      <c r="C454" t="s">
        <v>2</v>
      </c>
      <c r="D454" t="s">
        <v>52</v>
      </c>
      <c r="E454" t="s">
        <v>51</v>
      </c>
      <c r="F454">
        <v>3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O454">
        <v>1</v>
      </c>
      <c r="P454">
        <f t="shared" si="25"/>
        <v>2024</v>
      </c>
      <c r="Q454">
        <f t="shared" si="26"/>
        <v>10</v>
      </c>
      <c r="R454" t="str">
        <f t="shared" si="28"/>
        <v>品牌定制</v>
      </c>
      <c r="S454" t="str">
        <f>_xlfn.XLOOKUP(B454,全店核心数据_bymonth!A:A,全店核心数据_bymonth!AN:AN)</f>
        <v>BU25</v>
      </c>
    </row>
    <row r="455" spans="1:19" x14ac:dyDescent="0.3">
      <c r="A455" t="s">
        <v>110</v>
      </c>
      <c r="B455" s="16">
        <v>45566</v>
      </c>
      <c r="C455" t="s">
        <v>2</v>
      </c>
      <c r="D455" t="s">
        <v>52</v>
      </c>
      <c r="E455" t="s">
        <v>59</v>
      </c>
      <c r="F455">
        <v>10573</v>
      </c>
      <c r="G455">
        <v>10004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O455">
        <v>2776</v>
      </c>
      <c r="P455">
        <f t="shared" si="25"/>
        <v>2024</v>
      </c>
      <c r="Q455">
        <f t="shared" si="26"/>
        <v>10</v>
      </c>
      <c r="R455" t="str">
        <f t="shared" si="28"/>
        <v>品牌特秀</v>
      </c>
      <c r="S455" t="str">
        <f>_xlfn.XLOOKUP(B455,全店核心数据_bymonth!A:A,全店核心数据_bymonth!AN:AN)</f>
        <v>BU25</v>
      </c>
    </row>
    <row r="456" spans="1:19" x14ac:dyDescent="0.3">
      <c r="A456" t="s">
        <v>110</v>
      </c>
      <c r="B456" s="16">
        <v>45566</v>
      </c>
      <c r="C456" t="s">
        <v>2</v>
      </c>
      <c r="D456" t="s">
        <v>52</v>
      </c>
      <c r="E456" t="s">
        <v>183</v>
      </c>
      <c r="F456">
        <v>18002</v>
      </c>
      <c r="G456">
        <v>16162</v>
      </c>
      <c r="H456">
        <v>775</v>
      </c>
      <c r="I456">
        <v>180</v>
      </c>
      <c r="J456">
        <v>1617498.07</v>
      </c>
      <c r="K456">
        <v>183</v>
      </c>
      <c r="L456">
        <v>736447.07</v>
      </c>
      <c r="M456">
        <v>152</v>
      </c>
      <c r="O456">
        <v>10214</v>
      </c>
      <c r="P456">
        <f t="shared" si="25"/>
        <v>2024</v>
      </c>
      <c r="Q456">
        <f t="shared" si="26"/>
        <v>10</v>
      </c>
      <c r="R456" t="str">
        <f t="shared" si="28"/>
        <v>品销宝-品牌专区</v>
      </c>
      <c r="S456" t="str">
        <f>_xlfn.XLOOKUP(B456,全店核心数据_bymonth!A:A,全店核心数据_bymonth!AN:AN)</f>
        <v>BU25</v>
      </c>
    </row>
    <row r="457" spans="1:19" x14ac:dyDescent="0.3">
      <c r="A457" t="s">
        <v>110</v>
      </c>
      <c r="B457" s="16">
        <v>45566</v>
      </c>
      <c r="C457" t="s">
        <v>2</v>
      </c>
      <c r="D457" t="s">
        <v>52</v>
      </c>
      <c r="E457" t="s">
        <v>58</v>
      </c>
      <c r="F457">
        <v>6</v>
      </c>
      <c r="G457">
        <v>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O457">
        <v>4</v>
      </c>
      <c r="P457">
        <f t="shared" si="25"/>
        <v>2024</v>
      </c>
      <c r="Q457">
        <f t="shared" si="26"/>
        <v>10</v>
      </c>
      <c r="R457" t="str">
        <f t="shared" si="28"/>
        <v>超级全域通</v>
      </c>
      <c r="S457" t="str">
        <f>_xlfn.XLOOKUP(B457,全店核心数据_bymonth!A:A,全店核心数据_bymonth!AN:AN)</f>
        <v>BU25</v>
      </c>
    </row>
    <row r="458" spans="1:19" x14ac:dyDescent="0.3">
      <c r="A458" t="s">
        <v>110</v>
      </c>
      <c r="B458" s="16">
        <v>45566</v>
      </c>
      <c r="C458" t="s">
        <v>2</v>
      </c>
      <c r="D458" t="s">
        <v>57</v>
      </c>
      <c r="E458" t="s">
        <v>65</v>
      </c>
      <c r="F458">
        <v>126838</v>
      </c>
      <c r="G458">
        <v>120157</v>
      </c>
      <c r="H458">
        <v>3575</v>
      </c>
      <c r="I458">
        <v>872</v>
      </c>
      <c r="J458">
        <v>5029780.68</v>
      </c>
      <c r="K458">
        <v>857</v>
      </c>
      <c r="L458">
        <v>3366633.32</v>
      </c>
      <c r="M458">
        <v>701</v>
      </c>
      <c r="O458">
        <v>125947</v>
      </c>
      <c r="P458">
        <f t="shared" si="25"/>
        <v>2024</v>
      </c>
      <c r="Q458">
        <f t="shared" si="26"/>
        <v>10</v>
      </c>
      <c r="R458" t="str">
        <f t="shared" si="28"/>
        <v>直通车</v>
      </c>
      <c r="S458" t="str">
        <f>_xlfn.XLOOKUP(B458,全店核心数据_bymonth!A:A,全店核心数据_bymonth!AN:AN)</f>
        <v>BU25</v>
      </c>
    </row>
    <row r="459" spans="1:19" x14ac:dyDescent="0.3">
      <c r="A459" t="s">
        <v>110</v>
      </c>
      <c r="B459" s="16">
        <v>45566</v>
      </c>
      <c r="C459" t="s">
        <v>2</v>
      </c>
      <c r="D459" t="s">
        <v>57</v>
      </c>
      <c r="E459" t="s">
        <v>63</v>
      </c>
      <c r="F459">
        <v>72536</v>
      </c>
      <c r="G459">
        <v>60060</v>
      </c>
      <c r="H459">
        <v>2935</v>
      </c>
      <c r="I459">
        <v>1534</v>
      </c>
      <c r="J459">
        <v>4774342.37</v>
      </c>
      <c r="K459">
        <v>719</v>
      </c>
      <c r="L459">
        <v>3298756.37</v>
      </c>
      <c r="M459">
        <v>569</v>
      </c>
      <c r="O459">
        <v>72406</v>
      </c>
      <c r="P459">
        <f t="shared" si="25"/>
        <v>2024</v>
      </c>
      <c r="Q459">
        <f t="shared" si="26"/>
        <v>10</v>
      </c>
      <c r="R459" t="str">
        <f t="shared" si="28"/>
        <v>万相台</v>
      </c>
      <c r="S459" t="str">
        <f>_xlfn.XLOOKUP(B459,全店核心数据_bymonth!A:A,全店核心数据_bymonth!AN:AN)</f>
        <v>BU25</v>
      </c>
    </row>
    <row r="460" spans="1:19" x14ac:dyDescent="0.3">
      <c r="A460" t="s">
        <v>110</v>
      </c>
      <c r="B460" s="16">
        <v>45566</v>
      </c>
      <c r="C460" t="s">
        <v>2</v>
      </c>
      <c r="D460" t="s">
        <v>57</v>
      </c>
      <c r="E460" t="s">
        <v>64</v>
      </c>
      <c r="F460">
        <v>81186</v>
      </c>
      <c r="G460">
        <v>67971</v>
      </c>
      <c r="H460">
        <v>2745</v>
      </c>
      <c r="I460">
        <v>1502</v>
      </c>
      <c r="J460">
        <v>2035172.2</v>
      </c>
      <c r="K460">
        <v>323</v>
      </c>
      <c r="L460">
        <v>1142887.78</v>
      </c>
      <c r="M460">
        <v>233</v>
      </c>
      <c r="O460">
        <v>81164</v>
      </c>
      <c r="P460">
        <f t="shared" si="25"/>
        <v>2024</v>
      </c>
      <c r="Q460">
        <f t="shared" si="26"/>
        <v>10</v>
      </c>
      <c r="R460" t="str">
        <f t="shared" si="28"/>
        <v>引力魔方</v>
      </c>
      <c r="S460" t="str">
        <f>_xlfn.XLOOKUP(B460,全店核心数据_bymonth!A:A,全店核心数据_bymonth!AN:AN)</f>
        <v>BU25</v>
      </c>
    </row>
    <row r="461" spans="1:19" x14ac:dyDescent="0.3">
      <c r="A461" t="s">
        <v>110</v>
      </c>
      <c r="B461" s="16">
        <v>45566</v>
      </c>
      <c r="C461" t="s">
        <v>2</v>
      </c>
      <c r="D461" t="s">
        <v>4</v>
      </c>
      <c r="E461" t="s">
        <v>42</v>
      </c>
      <c r="F461">
        <v>3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O461">
        <v>2</v>
      </c>
      <c r="P461">
        <f t="shared" si="25"/>
        <v>2024</v>
      </c>
      <c r="Q461">
        <f t="shared" si="26"/>
        <v>10</v>
      </c>
      <c r="R461" t="str">
        <f t="shared" si="28"/>
        <v>UD效果投放</v>
      </c>
      <c r="S461" t="str">
        <f>_xlfn.XLOOKUP(B461,全店核心数据_bymonth!A:A,全店核心数据_bymonth!AN:AN)</f>
        <v>BU25</v>
      </c>
    </row>
    <row r="462" spans="1:19" x14ac:dyDescent="0.3">
      <c r="A462" t="s">
        <v>110</v>
      </c>
      <c r="B462" s="16">
        <v>45566</v>
      </c>
      <c r="C462" t="s">
        <v>2</v>
      </c>
      <c r="D462" t="s">
        <v>4</v>
      </c>
      <c r="E462" t="s">
        <v>41</v>
      </c>
      <c r="F462">
        <v>97</v>
      </c>
      <c r="G462">
        <v>64</v>
      </c>
      <c r="H462">
        <v>2</v>
      </c>
      <c r="I462">
        <v>0</v>
      </c>
      <c r="J462">
        <v>0</v>
      </c>
      <c r="K462">
        <v>0</v>
      </c>
      <c r="L462">
        <v>0</v>
      </c>
      <c r="M462">
        <v>0</v>
      </c>
      <c r="O462">
        <v>75</v>
      </c>
      <c r="P462">
        <f t="shared" si="25"/>
        <v>2024</v>
      </c>
      <c r="Q462">
        <f t="shared" si="26"/>
        <v>10</v>
      </c>
      <c r="R462" t="str">
        <f t="shared" si="28"/>
        <v>流量宝</v>
      </c>
      <c r="S462" t="str">
        <f>_xlfn.XLOOKUP(B462,全店核心数据_bymonth!A:A,全店核心数据_bymonth!AN:AN)</f>
        <v>BU25</v>
      </c>
    </row>
    <row r="463" spans="1:19" x14ac:dyDescent="0.3">
      <c r="A463" t="s">
        <v>110</v>
      </c>
      <c r="B463" s="16">
        <v>45566</v>
      </c>
      <c r="C463" t="s">
        <v>2</v>
      </c>
      <c r="D463" t="s">
        <v>4</v>
      </c>
      <c r="E463" t="s">
        <v>43</v>
      </c>
      <c r="F463">
        <v>10821</v>
      </c>
      <c r="G463">
        <v>9062</v>
      </c>
      <c r="H463">
        <v>604</v>
      </c>
      <c r="I463">
        <v>36</v>
      </c>
      <c r="J463">
        <v>452431.01</v>
      </c>
      <c r="K463">
        <v>101</v>
      </c>
      <c r="L463">
        <v>357840.01</v>
      </c>
      <c r="M463">
        <v>86</v>
      </c>
      <c r="O463">
        <v>10529</v>
      </c>
      <c r="P463">
        <f t="shared" si="25"/>
        <v>2024</v>
      </c>
      <c r="Q463">
        <f t="shared" si="26"/>
        <v>10</v>
      </c>
      <c r="R463" t="str">
        <f t="shared" si="28"/>
        <v>淘宝客</v>
      </c>
      <c r="S463" t="str">
        <f>_xlfn.XLOOKUP(B463,全店核心数据_bymonth!A:A,全店核心数据_bymonth!AN:AN)</f>
        <v>BU25</v>
      </c>
    </row>
    <row r="464" spans="1:19" x14ac:dyDescent="0.3">
      <c r="A464" t="s">
        <v>110</v>
      </c>
      <c r="B464" s="16">
        <v>45200</v>
      </c>
      <c r="C464" t="s">
        <v>3</v>
      </c>
      <c r="D464" t="s">
        <v>114</v>
      </c>
      <c r="E464" t="s">
        <v>159</v>
      </c>
      <c r="F464">
        <v>1940</v>
      </c>
      <c r="G464">
        <v>1034</v>
      </c>
      <c r="H464">
        <v>60</v>
      </c>
      <c r="I464">
        <v>20</v>
      </c>
      <c r="J464">
        <v>35635</v>
      </c>
      <c r="K464">
        <v>6</v>
      </c>
      <c r="L464">
        <v>16465</v>
      </c>
      <c r="M464">
        <v>3</v>
      </c>
      <c r="O464">
        <v>1885</v>
      </c>
      <c r="P464">
        <f t="shared" si="25"/>
        <v>2023</v>
      </c>
      <c r="Q464">
        <f t="shared" si="26"/>
        <v>10</v>
      </c>
      <c r="R464" t="str">
        <f t="shared" si="28"/>
        <v>主会场</v>
      </c>
      <c r="S464" t="str">
        <f>_xlfn.XLOOKUP(B464,全店核心数据_bymonth!A:A,全店核心数据_bymonth!AN:AN)</f>
        <v>BU24</v>
      </c>
    </row>
    <row r="465" spans="1:19" x14ac:dyDescent="0.3">
      <c r="A465" t="s">
        <v>110</v>
      </c>
      <c r="B465" s="16">
        <v>45200</v>
      </c>
      <c r="C465" t="s">
        <v>3</v>
      </c>
      <c r="D465" t="s">
        <v>114</v>
      </c>
      <c r="E465" t="s">
        <v>160</v>
      </c>
      <c r="F465">
        <v>144</v>
      </c>
      <c r="G465">
        <v>134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O465">
        <v>144</v>
      </c>
      <c r="P465">
        <f t="shared" si="25"/>
        <v>2023</v>
      </c>
      <c r="Q465">
        <f t="shared" si="26"/>
        <v>10</v>
      </c>
      <c r="R465" t="str">
        <f t="shared" si="28"/>
        <v>榜单会场</v>
      </c>
      <c r="S465" t="str">
        <f>_xlfn.XLOOKUP(B465,全店核心数据_bymonth!A:A,全店核心数据_bymonth!AN:AN)</f>
        <v>BU24</v>
      </c>
    </row>
    <row r="466" spans="1:19" x14ac:dyDescent="0.3">
      <c r="A466" t="s">
        <v>110</v>
      </c>
      <c r="B466" s="16">
        <v>45200</v>
      </c>
      <c r="C466" t="s">
        <v>3</v>
      </c>
      <c r="D466" t="s">
        <v>114</v>
      </c>
      <c r="E466" t="s">
        <v>225</v>
      </c>
      <c r="F466">
        <v>8</v>
      </c>
      <c r="G466">
        <v>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O466">
        <v>8</v>
      </c>
      <c r="P466">
        <f t="shared" si="25"/>
        <v>2023</v>
      </c>
      <c r="Q466">
        <f t="shared" si="26"/>
        <v>10</v>
      </c>
      <c r="R466" t="str">
        <f t="shared" si="28"/>
        <v>热点会场</v>
      </c>
      <c r="S466" t="str">
        <f>_xlfn.XLOOKUP(B466,全店核心数据_bymonth!A:A,全店核心数据_bymonth!AN:AN)</f>
        <v>BU24</v>
      </c>
    </row>
    <row r="467" spans="1:19" x14ac:dyDescent="0.3">
      <c r="A467" t="s">
        <v>110</v>
      </c>
      <c r="B467" s="16">
        <v>45200</v>
      </c>
      <c r="C467" t="s">
        <v>3</v>
      </c>
      <c r="D467" t="s">
        <v>185</v>
      </c>
      <c r="E467" t="s">
        <v>190</v>
      </c>
      <c r="F467">
        <v>53</v>
      </c>
      <c r="G467">
        <v>41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O467">
        <v>53</v>
      </c>
      <c r="P467">
        <f t="shared" si="25"/>
        <v>2023</v>
      </c>
      <c r="Q467">
        <f t="shared" si="26"/>
        <v>10</v>
      </c>
      <c r="R467" t="str">
        <f t="shared" si="28"/>
        <v>超级惊喜站</v>
      </c>
      <c r="S467" t="str">
        <f>_xlfn.XLOOKUP(B467,全店核心数据_bymonth!A:A,全店核心数据_bymonth!AN:AN)</f>
        <v>BU24</v>
      </c>
    </row>
    <row r="468" spans="1:19" x14ac:dyDescent="0.3">
      <c r="A468" t="s">
        <v>110</v>
      </c>
      <c r="B468" s="16">
        <v>45200</v>
      </c>
      <c r="C468" t="s">
        <v>3</v>
      </c>
      <c r="D468" t="s">
        <v>117</v>
      </c>
      <c r="E468" t="s">
        <v>161</v>
      </c>
      <c r="F468">
        <v>466</v>
      </c>
      <c r="G468">
        <v>401</v>
      </c>
      <c r="H468">
        <v>6</v>
      </c>
      <c r="I468">
        <v>4</v>
      </c>
      <c r="J468">
        <v>0</v>
      </c>
      <c r="K468">
        <v>0</v>
      </c>
      <c r="L468">
        <v>3630</v>
      </c>
      <c r="M468">
        <v>1</v>
      </c>
      <c r="O468">
        <v>466</v>
      </c>
      <c r="P468">
        <f t="shared" si="25"/>
        <v>2023</v>
      </c>
      <c r="Q468">
        <f t="shared" si="26"/>
        <v>10</v>
      </c>
      <c r="R468" t="str">
        <f t="shared" si="28"/>
        <v>其他入口榜单</v>
      </c>
      <c r="S468" t="str">
        <f>_xlfn.XLOOKUP(B468,全店核心数据_bymonth!A:A,全店核心数据_bymonth!AN:AN)</f>
        <v>BU24</v>
      </c>
    </row>
    <row r="469" spans="1:19" x14ac:dyDescent="0.3">
      <c r="A469" t="s">
        <v>110</v>
      </c>
      <c r="B469" s="16">
        <v>45200</v>
      </c>
      <c r="C469" t="s">
        <v>3</v>
      </c>
      <c r="D469" t="s">
        <v>117</v>
      </c>
      <c r="E469" t="s">
        <v>191</v>
      </c>
      <c r="F469">
        <v>352</v>
      </c>
      <c r="G469">
        <v>333</v>
      </c>
      <c r="H469">
        <v>2</v>
      </c>
      <c r="I469">
        <v>4</v>
      </c>
      <c r="J469">
        <v>23830</v>
      </c>
      <c r="K469">
        <v>5</v>
      </c>
      <c r="L469">
        <v>15870</v>
      </c>
      <c r="M469">
        <v>3</v>
      </c>
      <c r="O469">
        <v>352</v>
      </c>
      <c r="P469">
        <f t="shared" ref="P469:P532" si="29">YEAR(B469)</f>
        <v>2023</v>
      </c>
      <c r="Q469">
        <f t="shared" ref="Q469:Q532" si="30">MONTH(B469)</f>
        <v>10</v>
      </c>
      <c r="R469" t="str">
        <f t="shared" si="28"/>
        <v>商品详情页入口榜单</v>
      </c>
      <c r="S469" t="str">
        <f>_xlfn.XLOOKUP(B469,全店核心数据_bymonth!A:A,全店核心数据_bymonth!AN:AN)</f>
        <v>BU24</v>
      </c>
    </row>
    <row r="470" spans="1:19" x14ac:dyDescent="0.3">
      <c r="A470" t="s">
        <v>110</v>
      </c>
      <c r="B470" s="16">
        <v>45200</v>
      </c>
      <c r="C470" t="s">
        <v>3</v>
      </c>
      <c r="D470" t="s">
        <v>117</v>
      </c>
      <c r="E470" t="s">
        <v>195</v>
      </c>
      <c r="F470">
        <v>125</v>
      </c>
      <c r="G470">
        <v>116</v>
      </c>
      <c r="H470">
        <v>2</v>
      </c>
      <c r="I470">
        <v>0</v>
      </c>
      <c r="J470">
        <v>10950</v>
      </c>
      <c r="K470">
        <v>1</v>
      </c>
      <c r="L470">
        <v>0</v>
      </c>
      <c r="M470">
        <v>0</v>
      </c>
      <c r="O470">
        <v>125</v>
      </c>
      <c r="P470">
        <f t="shared" si="29"/>
        <v>2023</v>
      </c>
      <c r="Q470">
        <f t="shared" si="30"/>
        <v>10</v>
      </c>
      <c r="R470" t="str">
        <f t="shared" si="28"/>
        <v>搜索入口榜单</v>
      </c>
      <c r="S470" t="str">
        <f>_xlfn.XLOOKUP(B470,全店核心数据_bymonth!A:A,全店核心数据_bymonth!AN:AN)</f>
        <v>BU24</v>
      </c>
    </row>
    <row r="471" spans="1:19" x14ac:dyDescent="0.3">
      <c r="A471" t="s">
        <v>110</v>
      </c>
      <c r="B471" s="16">
        <v>45200</v>
      </c>
      <c r="C471" t="s">
        <v>3</v>
      </c>
      <c r="D471" t="s">
        <v>120</v>
      </c>
      <c r="E471" t="s">
        <v>162</v>
      </c>
      <c r="F471">
        <v>65</v>
      </c>
      <c r="G471">
        <v>62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O471">
        <v>20</v>
      </c>
      <c r="P471">
        <f t="shared" si="29"/>
        <v>2023</v>
      </c>
      <c r="Q471">
        <f t="shared" si="30"/>
        <v>10</v>
      </c>
      <c r="R471" t="str">
        <f t="shared" si="28"/>
        <v>手机浏览器访问天猫</v>
      </c>
      <c r="S471" t="str">
        <f>_xlfn.XLOOKUP(B471,全店核心数据_bymonth!A:A,全店核心数据_bymonth!AN:AN)</f>
        <v>BU24</v>
      </c>
    </row>
    <row r="472" spans="1:19" x14ac:dyDescent="0.3">
      <c r="A472" t="s">
        <v>110</v>
      </c>
      <c r="B472" s="16">
        <v>45200</v>
      </c>
      <c r="C472" t="s">
        <v>3</v>
      </c>
      <c r="D472" t="s">
        <v>120</v>
      </c>
      <c r="E472" t="s">
        <v>163</v>
      </c>
      <c r="F472">
        <v>921</v>
      </c>
      <c r="G472">
        <v>550</v>
      </c>
      <c r="H472">
        <v>57</v>
      </c>
      <c r="I472">
        <v>0</v>
      </c>
      <c r="J472">
        <v>73178</v>
      </c>
      <c r="K472">
        <v>17</v>
      </c>
      <c r="L472">
        <v>38395</v>
      </c>
      <c r="M472">
        <v>10</v>
      </c>
      <c r="O472">
        <v>840</v>
      </c>
      <c r="P472">
        <f t="shared" si="29"/>
        <v>2023</v>
      </c>
      <c r="Q472">
        <f t="shared" si="30"/>
        <v>10</v>
      </c>
      <c r="R472" t="str">
        <f t="shared" si="28"/>
        <v>手猫免费其他</v>
      </c>
      <c r="S472" t="str">
        <f>_xlfn.XLOOKUP(B472,全店核心数据_bymonth!A:A,全店核心数据_bymonth!AN:AN)</f>
        <v>BU24</v>
      </c>
    </row>
    <row r="473" spans="1:19" x14ac:dyDescent="0.3">
      <c r="A473" t="s">
        <v>110</v>
      </c>
      <c r="B473" s="16">
        <v>45200</v>
      </c>
      <c r="C473" t="s">
        <v>3</v>
      </c>
      <c r="D473" t="s">
        <v>120</v>
      </c>
      <c r="E473" t="s">
        <v>164</v>
      </c>
      <c r="F473">
        <v>1013</v>
      </c>
      <c r="G473">
        <v>687</v>
      </c>
      <c r="H473">
        <v>110</v>
      </c>
      <c r="I473">
        <v>0</v>
      </c>
      <c r="J473">
        <v>93917.57</v>
      </c>
      <c r="K473">
        <v>19</v>
      </c>
      <c r="L473">
        <v>58927.57</v>
      </c>
      <c r="M473">
        <v>11</v>
      </c>
      <c r="O473">
        <v>1013</v>
      </c>
      <c r="P473">
        <f t="shared" si="29"/>
        <v>2023</v>
      </c>
      <c r="Q473">
        <f t="shared" si="30"/>
        <v>10</v>
      </c>
      <c r="R473" t="str">
        <f t="shared" si="28"/>
        <v>手猫其他店铺</v>
      </c>
      <c r="S473" t="str">
        <f>_xlfn.XLOOKUP(B473,全店核心数据_bymonth!A:A,全店核心数据_bymonth!AN:AN)</f>
        <v>BU24</v>
      </c>
    </row>
    <row r="474" spans="1:19" x14ac:dyDescent="0.3">
      <c r="A474" t="s">
        <v>110</v>
      </c>
      <c r="B474" s="16">
        <v>45200</v>
      </c>
      <c r="C474" t="s">
        <v>3</v>
      </c>
      <c r="D474" t="s">
        <v>120</v>
      </c>
      <c r="E474" t="s">
        <v>165</v>
      </c>
      <c r="F474">
        <v>1163</v>
      </c>
      <c r="G474">
        <v>741</v>
      </c>
      <c r="H474">
        <v>52</v>
      </c>
      <c r="I474">
        <v>2</v>
      </c>
      <c r="J474">
        <v>125354</v>
      </c>
      <c r="K474">
        <v>16</v>
      </c>
      <c r="L474">
        <v>22638</v>
      </c>
      <c r="M474">
        <v>10</v>
      </c>
      <c r="O474">
        <v>1151</v>
      </c>
      <c r="P474">
        <f t="shared" si="29"/>
        <v>2023</v>
      </c>
      <c r="Q474">
        <f t="shared" si="30"/>
        <v>10</v>
      </c>
      <c r="R474" t="str">
        <f t="shared" si="28"/>
        <v>手猫商品详情</v>
      </c>
      <c r="S474" t="str">
        <f>_xlfn.XLOOKUP(B474,全店核心数据_bymonth!A:A,全店核心数据_bymonth!AN:AN)</f>
        <v>BU24</v>
      </c>
    </row>
    <row r="475" spans="1:19" x14ac:dyDescent="0.3">
      <c r="A475" t="s">
        <v>110</v>
      </c>
      <c r="B475" s="16">
        <v>45200</v>
      </c>
      <c r="C475" t="s">
        <v>3</v>
      </c>
      <c r="D475" t="s">
        <v>120</v>
      </c>
      <c r="E475" t="s">
        <v>166</v>
      </c>
      <c r="F475">
        <v>1215</v>
      </c>
      <c r="G475">
        <v>933</v>
      </c>
      <c r="H475">
        <v>48</v>
      </c>
      <c r="I475">
        <v>0</v>
      </c>
      <c r="J475">
        <v>72452</v>
      </c>
      <c r="K475">
        <v>19</v>
      </c>
      <c r="L475">
        <v>37525</v>
      </c>
      <c r="M475">
        <v>15</v>
      </c>
      <c r="O475">
        <v>986</v>
      </c>
      <c r="P475">
        <f t="shared" si="29"/>
        <v>2023</v>
      </c>
      <c r="Q475">
        <f t="shared" si="30"/>
        <v>10</v>
      </c>
      <c r="R475" t="str">
        <f t="shared" si="28"/>
        <v>手猫搜索</v>
      </c>
      <c r="S475" t="str">
        <f>_xlfn.XLOOKUP(B475,全店核心数据_bymonth!A:A,全店核心数据_bymonth!AN:AN)</f>
        <v>BU24</v>
      </c>
    </row>
    <row r="476" spans="1:19" x14ac:dyDescent="0.3">
      <c r="A476" t="s">
        <v>110</v>
      </c>
      <c r="B476" s="16">
        <v>45200</v>
      </c>
      <c r="C476" t="s">
        <v>3</v>
      </c>
      <c r="D476" t="s">
        <v>120</v>
      </c>
      <c r="E476" t="s">
        <v>167</v>
      </c>
      <c r="F476">
        <v>44</v>
      </c>
      <c r="G476">
        <v>6</v>
      </c>
      <c r="H476">
        <v>8</v>
      </c>
      <c r="I476">
        <v>0</v>
      </c>
      <c r="J476">
        <v>21310</v>
      </c>
      <c r="K476">
        <v>5</v>
      </c>
      <c r="L476">
        <v>14930</v>
      </c>
      <c r="M476">
        <v>4</v>
      </c>
      <c r="O476">
        <v>42</v>
      </c>
      <c r="P476">
        <f t="shared" si="29"/>
        <v>2023</v>
      </c>
      <c r="Q476">
        <f t="shared" si="30"/>
        <v>10</v>
      </c>
      <c r="R476" t="str">
        <f t="shared" si="28"/>
        <v>手猫旺信聊天</v>
      </c>
      <c r="S476" t="str">
        <f>_xlfn.XLOOKUP(B476,全店核心数据_bymonth!A:A,全店核心数据_bymonth!AN:AN)</f>
        <v>BU24</v>
      </c>
    </row>
    <row r="477" spans="1:19" x14ac:dyDescent="0.3">
      <c r="A477" t="s">
        <v>110</v>
      </c>
      <c r="B477" s="16">
        <v>45200</v>
      </c>
      <c r="C477" t="s">
        <v>3</v>
      </c>
      <c r="D477" t="s">
        <v>120</v>
      </c>
      <c r="E477" t="s">
        <v>168</v>
      </c>
      <c r="F477">
        <v>6779</v>
      </c>
      <c r="G477">
        <v>5777</v>
      </c>
      <c r="H477">
        <v>155</v>
      </c>
      <c r="I477">
        <v>1</v>
      </c>
      <c r="J477">
        <v>122385</v>
      </c>
      <c r="K477">
        <v>26</v>
      </c>
      <c r="L477">
        <v>45293</v>
      </c>
      <c r="M477">
        <v>16</v>
      </c>
      <c r="O477">
        <v>6778</v>
      </c>
      <c r="P477">
        <f t="shared" si="29"/>
        <v>2023</v>
      </c>
      <c r="Q477">
        <f t="shared" si="30"/>
        <v>10</v>
      </c>
      <c r="R477" t="str">
        <f t="shared" si="28"/>
        <v>手猫首页</v>
      </c>
      <c r="S477" t="str">
        <f>_xlfn.XLOOKUP(B477,全店核心数据_bymonth!A:A,全店核心数据_bymonth!AN:AN)</f>
        <v>BU24</v>
      </c>
    </row>
    <row r="478" spans="1:19" x14ac:dyDescent="0.3">
      <c r="A478" t="s">
        <v>110</v>
      </c>
      <c r="B478" s="16">
        <v>45200</v>
      </c>
      <c r="C478" t="s">
        <v>3</v>
      </c>
      <c r="D478" t="s">
        <v>123</v>
      </c>
      <c r="E478" t="s">
        <v>169</v>
      </c>
      <c r="F478">
        <v>4496</v>
      </c>
      <c r="G478">
        <v>2424</v>
      </c>
      <c r="H478">
        <v>319</v>
      </c>
      <c r="I478">
        <v>116</v>
      </c>
      <c r="J478">
        <v>364084</v>
      </c>
      <c r="K478">
        <v>85</v>
      </c>
      <c r="L478">
        <v>150638</v>
      </c>
      <c r="M478">
        <v>44</v>
      </c>
      <c r="O478">
        <v>4170</v>
      </c>
      <c r="P478">
        <f t="shared" si="29"/>
        <v>2023</v>
      </c>
      <c r="Q478">
        <f t="shared" si="30"/>
        <v>10</v>
      </c>
      <c r="R478" t="str">
        <f t="shared" si="28"/>
        <v>商品详情页头图推荐</v>
      </c>
      <c r="S478" t="str">
        <f>_xlfn.XLOOKUP(B478,全店核心数据_bymonth!A:A,全店核心数据_bymonth!AN:AN)</f>
        <v>BU24</v>
      </c>
    </row>
    <row r="479" spans="1:19" x14ac:dyDescent="0.3">
      <c r="A479" t="s">
        <v>110</v>
      </c>
      <c r="B479" s="16">
        <v>45200</v>
      </c>
      <c r="C479" t="s">
        <v>3</v>
      </c>
      <c r="D479" t="s">
        <v>123</v>
      </c>
      <c r="E479" t="s">
        <v>170</v>
      </c>
      <c r="F479">
        <v>2045</v>
      </c>
      <c r="G479">
        <v>1662</v>
      </c>
      <c r="H479">
        <v>60</v>
      </c>
      <c r="I479">
        <v>17</v>
      </c>
      <c r="J479">
        <v>26080</v>
      </c>
      <c r="K479">
        <v>9</v>
      </c>
      <c r="L479">
        <v>20240</v>
      </c>
      <c r="M479">
        <v>6</v>
      </c>
      <c r="O479">
        <v>552</v>
      </c>
      <c r="P479">
        <f t="shared" si="29"/>
        <v>2023</v>
      </c>
      <c r="Q479">
        <f t="shared" si="30"/>
        <v>10</v>
      </c>
      <c r="R479" t="str">
        <f t="shared" si="28"/>
        <v>店铺超链</v>
      </c>
      <c r="S479" t="str">
        <f>_xlfn.XLOOKUP(B479,全店核心数据_bymonth!A:A,全店核心数据_bymonth!AN:AN)</f>
        <v>BU24</v>
      </c>
    </row>
    <row r="480" spans="1:19" x14ac:dyDescent="0.3">
      <c r="A480" t="s">
        <v>110</v>
      </c>
      <c r="B480" s="16">
        <v>45200</v>
      </c>
      <c r="C480" t="s">
        <v>394</v>
      </c>
      <c r="D480" t="s">
        <v>392</v>
      </c>
      <c r="E480" t="s">
        <v>393</v>
      </c>
      <c r="F480">
        <v>12525</v>
      </c>
      <c r="G480">
        <v>10598</v>
      </c>
      <c r="H480">
        <v>177</v>
      </c>
      <c r="I480">
        <v>104</v>
      </c>
      <c r="J480">
        <v>163011</v>
      </c>
      <c r="K480">
        <v>41</v>
      </c>
      <c r="L480">
        <v>102982</v>
      </c>
      <c r="M480">
        <v>26</v>
      </c>
      <c r="O480">
        <v>4410</v>
      </c>
      <c r="P480">
        <f t="shared" si="29"/>
        <v>2023</v>
      </c>
      <c r="Q480">
        <f t="shared" si="30"/>
        <v>10</v>
      </c>
      <c r="R480" t="s">
        <v>396</v>
      </c>
      <c r="S480" t="str">
        <f>_xlfn.XLOOKUP(B480,全店核心数据_bymonth!A:A,全店核心数据_bymonth!AN:AN)</f>
        <v>BU24</v>
      </c>
    </row>
    <row r="481" spans="1:19" x14ac:dyDescent="0.3">
      <c r="A481" t="s">
        <v>110</v>
      </c>
      <c r="B481" s="16">
        <v>45200</v>
      </c>
      <c r="C481" t="s">
        <v>3</v>
      </c>
      <c r="D481" t="s">
        <v>127</v>
      </c>
      <c r="E481" t="s">
        <v>193</v>
      </c>
      <c r="F481">
        <v>19</v>
      </c>
      <c r="G481">
        <v>12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O481">
        <v>19</v>
      </c>
      <c r="P481">
        <f t="shared" si="29"/>
        <v>2023</v>
      </c>
      <c r="Q481">
        <f t="shared" si="30"/>
        <v>10</v>
      </c>
      <c r="R481" t="str">
        <f t="shared" ref="R481:R517" si="31">E481</f>
        <v>推荐云主题</v>
      </c>
      <c r="S481" t="str">
        <f>_xlfn.XLOOKUP(B481,全店核心数据_bymonth!A:A,全店核心数据_bymonth!AN:AN)</f>
        <v>BU24</v>
      </c>
    </row>
    <row r="482" spans="1:19" x14ac:dyDescent="0.3">
      <c r="A482" t="s">
        <v>110</v>
      </c>
      <c r="B482" s="16">
        <v>45200</v>
      </c>
      <c r="C482" t="s">
        <v>3</v>
      </c>
      <c r="D482" t="s">
        <v>127</v>
      </c>
      <c r="E482" t="s">
        <v>172</v>
      </c>
      <c r="F482">
        <v>310</v>
      </c>
      <c r="G482">
        <v>148</v>
      </c>
      <c r="H482">
        <v>10</v>
      </c>
      <c r="I482">
        <v>3</v>
      </c>
      <c r="J482">
        <v>10763</v>
      </c>
      <c r="K482">
        <v>3</v>
      </c>
      <c r="L482">
        <v>8275</v>
      </c>
      <c r="M482">
        <v>2</v>
      </c>
      <c r="O482">
        <v>256</v>
      </c>
      <c r="P482">
        <f t="shared" si="29"/>
        <v>2023</v>
      </c>
      <c r="Q482">
        <f t="shared" si="30"/>
        <v>10</v>
      </c>
      <c r="R482" t="str">
        <f t="shared" si="31"/>
        <v>购中推荐</v>
      </c>
      <c r="S482" t="str">
        <f>_xlfn.XLOOKUP(B482,全店核心数据_bymonth!A:A,全店核心数据_bymonth!AN:AN)</f>
        <v>BU24</v>
      </c>
    </row>
    <row r="483" spans="1:19" x14ac:dyDescent="0.3">
      <c r="A483" t="s">
        <v>110</v>
      </c>
      <c r="B483" s="16">
        <v>45200</v>
      </c>
      <c r="C483" t="s">
        <v>3</v>
      </c>
      <c r="D483" t="s">
        <v>127</v>
      </c>
      <c r="E483" t="s">
        <v>173</v>
      </c>
      <c r="F483">
        <v>1525</v>
      </c>
      <c r="G483">
        <v>1041</v>
      </c>
      <c r="H483">
        <v>19</v>
      </c>
      <c r="I483">
        <v>17</v>
      </c>
      <c r="J483">
        <v>27240</v>
      </c>
      <c r="K483">
        <v>7</v>
      </c>
      <c r="L483">
        <v>17000</v>
      </c>
      <c r="M483">
        <v>6</v>
      </c>
      <c r="O483">
        <v>1140</v>
      </c>
      <c r="P483">
        <f t="shared" si="29"/>
        <v>2023</v>
      </c>
      <c r="Q483">
        <f t="shared" si="30"/>
        <v>10</v>
      </c>
      <c r="R483" t="str">
        <f t="shared" si="31"/>
        <v>购后推荐</v>
      </c>
      <c r="S483" t="str">
        <f>_xlfn.XLOOKUP(B483,全店核心数据_bymonth!A:A,全店核心数据_bymonth!AN:AN)</f>
        <v>BU24</v>
      </c>
    </row>
    <row r="484" spans="1:19" x14ac:dyDescent="0.3">
      <c r="A484" t="s">
        <v>110</v>
      </c>
      <c r="B484" s="16">
        <v>45200</v>
      </c>
      <c r="C484" t="s">
        <v>3</v>
      </c>
      <c r="D484" t="s">
        <v>127</v>
      </c>
      <c r="E484" t="s">
        <v>174</v>
      </c>
      <c r="F484">
        <v>103157</v>
      </c>
      <c r="G484">
        <v>92954</v>
      </c>
      <c r="H484">
        <v>766</v>
      </c>
      <c r="I484">
        <v>411</v>
      </c>
      <c r="J484">
        <v>512400</v>
      </c>
      <c r="K484">
        <v>97</v>
      </c>
      <c r="L484">
        <v>181555</v>
      </c>
      <c r="M484">
        <v>49</v>
      </c>
      <c r="O484">
        <v>103157</v>
      </c>
      <c r="P484">
        <f t="shared" si="29"/>
        <v>2023</v>
      </c>
      <c r="Q484">
        <f t="shared" si="30"/>
        <v>10</v>
      </c>
      <c r="R484" t="str">
        <f t="shared" si="31"/>
        <v>首页推荐-微详情</v>
      </c>
      <c r="S484" t="str">
        <f>_xlfn.XLOOKUP(B484,全店核心数据_bymonth!A:A,全店核心数据_bymonth!AN:AN)</f>
        <v>BU24</v>
      </c>
    </row>
    <row r="485" spans="1:19" x14ac:dyDescent="0.3">
      <c r="A485" t="s">
        <v>110</v>
      </c>
      <c r="B485" s="16">
        <v>45200</v>
      </c>
      <c r="C485" t="s">
        <v>3</v>
      </c>
      <c r="D485" t="s">
        <v>127</v>
      </c>
      <c r="E485" t="s">
        <v>175</v>
      </c>
      <c r="F485">
        <v>13091</v>
      </c>
      <c r="G485">
        <v>11849</v>
      </c>
      <c r="H485">
        <v>8</v>
      </c>
      <c r="I485">
        <v>4</v>
      </c>
      <c r="J485">
        <v>7800</v>
      </c>
      <c r="K485">
        <v>3</v>
      </c>
      <c r="L485">
        <v>4120</v>
      </c>
      <c r="M485">
        <v>2</v>
      </c>
      <c r="O485">
        <v>290</v>
      </c>
      <c r="P485">
        <f t="shared" si="29"/>
        <v>2023</v>
      </c>
      <c r="Q485">
        <f t="shared" si="30"/>
        <v>10</v>
      </c>
      <c r="R485" t="str">
        <f t="shared" si="31"/>
        <v>首页推荐-直播</v>
      </c>
      <c r="S485" t="str">
        <f>_xlfn.XLOOKUP(B485,全店核心数据_bymonth!A:A,全店核心数据_bymonth!AN:AN)</f>
        <v>BU24</v>
      </c>
    </row>
    <row r="486" spans="1:19" x14ac:dyDescent="0.3">
      <c r="A486" t="s">
        <v>110</v>
      </c>
      <c r="B486" s="16">
        <v>45200</v>
      </c>
      <c r="C486" t="s">
        <v>3</v>
      </c>
      <c r="D486" t="s">
        <v>127</v>
      </c>
      <c r="E486" t="s">
        <v>176</v>
      </c>
      <c r="F486">
        <v>3923</v>
      </c>
      <c r="G486">
        <v>3736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O486">
        <v>6</v>
      </c>
      <c r="P486">
        <f t="shared" si="29"/>
        <v>2023</v>
      </c>
      <c r="Q486">
        <f t="shared" si="30"/>
        <v>10</v>
      </c>
      <c r="R486" t="str">
        <f t="shared" si="31"/>
        <v>首页推荐-短视频</v>
      </c>
      <c r="S486" t="str">
        <f>_xlfn.XLOOKUP(B486,全店核心数据_bymonth!A:A,全店核心数据_bymonth!AN:AN)</f>
        <v>BU24</v>
      </c>
    </row>
    <row r="487" spans="1:19" x14ac:dyDescent="0.3">
      <c r="A487" t="s">
        <v>110</v>
      </c>
      <c r="B487" s="16">
        <v>45200</v>
      </c>
      <c r="C487" t="s">
        <v>3</v>
      </c>
      <c r="D487" t="s">
        <v>128</v>
      </c>
      <c r="E487" t="s">
        <v>177</v>
      </c>
      <c r="F487">
        <v>18666</v>
      </c>
      <c r="G487">
        <v>15511</v>
      </c>
      <c r="H487">
        <v>922</v>
      </c>
      <c r="I487">
        <v>294</v>
      </c>
      <c r="J487">
        <v>909196</v>
      </c>
      <c r="K487">
        <v>208</v>
      </c>
      <c r="L487">
        <v>601961</v>
      </c>
      <c r="M487">
        <v>148</v>
      </c>
      <c r="O487">
        <v>16136</v>
      </c>
      <c r="P487">
        <f t="shared" si="29"/>
        <v>2023</v>
      </c>
      <c r="Q487">
        <f t="shared" si="30"/>
        <v>10</v>
      </c>
      <c r="R487" t="str">
        <f t="shared" si="31"/>
        <v>手淘搜索-商品及其他</v>
      </c>
      <c r="S487" t="str">
        <f>_xlfn.XLOOKUP(B487,全店核心数据_bymonth!A:A,全店核心数据_bymonth!AN:AN)</f>
        <v>BU24</v>
      </c>
    </row>
    <row r="488" spans="1:19" x14ac:dyDescent="0.3">
      <c r="A488" t="s">
        <v>110</v>
      </c>
      <c r="B488" s="16">
        <v>45200</v>
      </c>
      <c r="C488" t="s">
        <v>3</v>
      </c>
      <c r="D488" t="s">
        <v>128</v>
      </c>
      <c r="E488" t="s">
        <v>178</v>
      </c>
      <c r="F488">
        <v>201</v>
      </c>
      <c r="G488">
        <v>153</v>
      </c>
      <c r="H488">
        <v>0</v>
      </c>
      <c r="I488">
        <v>2</v>
      </c>
      <c r="J488">
        <v>7250</v>
      </c>
      <c r="K488">
        <v>1</v>
      </c>
      <c r="L488">
        <v>7250</v>
      </c>
      <c r="M488">
        <v>1</v>
      </c>
      <c r="O488">
        <v>110</v>
      </c>
      <c r="P488">
        <f t="shared" si="29"/>
        <v>2023</v>
      </c>
      <c r="Q488">
        <f t="shared" si="30"/>
        <v>10</v>
      </c>
      <c r="R488" t="str">
        <f t="shared" si="31"/>
        <v>手淘搜索-直播</v>
      </c>
      <c r="S488" t="str">
        <f>_xlfn.XLOOKUP(B488,全店核心数据_bymonth!A:A,全店核心数据_bymonth!AN:AN)</f>
        <v>BU24</v>
      </c>
    </row>
    <row r="489" spans="1:19" x14ac:dyDescent="0.3">
      <c r="A489" t="s">
        <v>110</v>
      </c>
      <c r="B489" s="16">
        <v>45200</v>
      </c>
      <c r="C489" t="s">
        <v>3</v>
      </c>
      <c r="D489" t="s">
        <v>128</v>
      </c>
      <c r="E489" t="s">
        <v>179</v>
      </c>
      <c r="F489">
        <v>108</v>
      </c>
      <c r="G489">
        <v>47</v>
      </c>
      <c r="H489">
        <v>0</v>
      </c>
      <c r="I489">
        <v>0</v>
      </c>
      <c r="J489">
        <v>1680</v>
      </c>
      <c r="K489">
        <v>1</v>
      </c>
      <c r="L489">
        <v>0</v>
      </c>
      <c r="M489">
        <v>0</v>
      </c>
      <c r="O489">
        <v>32</v>
      </c>
      <c r="P489">
        <f t="shared" si="29"/>
        <v>2023</v>
      </c>
      <c r="Q489">
        <f t="shared" si="30"/>
        <v>10</v>
      </c>
      <c r="R489" t="str">
        <f t="shared" si="31"/>
        <v>手淘搜索-短视频</v>
      </c>
      <c r="S489" t="str">
        <f>_xlfn.XLOOKUP(B489,全店核心数据_bymonth!A:A,全店核心数据_bymonth!AN:AN)</f>
        <v>BU24</v>
      </c>
    </row>
    <row r="490" spans="1:19" x14ac:dyDescent="0.3">
      <c r="A490" t="s">
        <v>110</v>
      </c>
      <c r="B490" s="16">
        <v>45200</v>
      </c>
      <c r="C490" t="s">
        <v>3</v>
      </c>
      <c r="D490" t="s">
        <v>143</v>
      </c>
      <c r="E490" t="s">
        <v>196</v>
      </c>
      <c r="F490">
        <v>14</v>
      </c>
      <c r="G490">
        <v>9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O490">
        <v>14</v>
      </c>
      <c r="P490">
        <f t="shared" si="29"/>
        <v>2023</v>
      </c>
      <c r="Q490">
        <f t="shared" si="30"/>
        <v>10</v>
      </c>
      <c r="R490" t="str">
        <f t="shared" si="31"/>
        <v>淘特互动游戏</v>
      </c>
      <c r="S490" t="str">
        <f>_xlfn.XLOOKUP(B490,全店核心数据_bymonth!A:A,全店核心数据_bymonth!AN:AN)</f>
        <v>BU24</v>
      </c>
    </row>
    <row r="491" spans="1:19" x14ac:dyDescent="0.3">
      <c r="A491" t="s">
        <v>110</v>
      </c>
      <c r="B491" s="16">
        <v>45200</v>
      </c>
      <c r="C491" t="s">
        <v>3</v>
      </c>
      <c r="D491" t="s">
        <v>143</v>
      </c>
      <c r="E491" t="s">
        <v>180</v>
      </c>
      <c r="F491">
        <v>4</v>
      </c>
      <c r="G491">
        <v>3</v>
      </c>
      <c r="H491">
        <v>0</v>
      </c>
      <c r="I491">
        <v>0</v>
      </c>
      <c r="J491">
        <v>4695</v>
      </c>
      <c r="K491">
        <v>1</v>
      </c>
      <c r="L491">
        <v>4695</v>
      </c>
      <c r="M491">
        <v>1</v>
      </c>
      <c r="O491">
        <v>4</v>
      </c>
      <c r="P491">
        <f t="shared" si="29"/>
        <v>2023</v>
      </c>
      <c r="Q491">
        <f t="shared" si="30"/>
        <v>10</v>
      </c>
      <c r="R491" t="str">
        <f t="shared" si="31"/>
        <v>淘特其他渠道</v>
      </c>
      <c r="S491" t="str">
        <f>_xlfn.XLOOKUP(B491,全店核心数据_bymonth!A:A,全店核心数据_bymonth!AN:AN)</f>
        <v>BU24</v>
      </c>
    </row>
    <row r="492" spans="1:19" x14ac:dyDescent="0.3">
      <c r="A492" t="s">
        <v>110</v>
      </c>
      <c r="B492" s="16">
        <v>45200</v>
      </c>
      <c r="C492" t="s">
        <v>3</v>
      </c>
      <c r="D492" t="s">
        <v>143</v>
      </c>
      <c r="E492" t="s">
        <v>197</v>
      </c>
      <c r="F492">
        <v>35</v>
      </c>
      <c r="G492">
        <v>24</v>
      </c>
      <c r="H492">
        <v>1</v>
      </c>
      <c r="I492">
        <v>0</v>
      </c>
      <c r="J492">
        <v>4695</v>
      </c>
      <c r="K492">
        <v>1</v>
      </c>
      <c r="L492">
        <v>0</v>
      </c>
      <c r="M492">
        <v>0</v>
      </c>
      <c r="O492">
        <v>35</v>
      </c>
      <c r="P492">
        <f t="shared" si="29"/>
        <v>2023</v>
      </c>
      <c r="Q492">
        <f t="shared" si="30"/>
        <v>10</v>
      </c>
      <c r="R492" t="str">
        <f t="shared" si="31"/>
        <v>淘特推荐</v>
      </c>
      <c r="S492" t="str">
        <f>_xlfn.XLOOKUP(B492,全店核心数据_bymonth!A:A,全店核心数据_bymonth!AN:AN)</f>
        <v>BU24</v>
      </c>
    </row>
    <row r="493" spans="1:19" x14ac:dyDescent="0.3">
      <c r="A493" t="s">
        <v>110</v>
      </c>
      <c r="B493" s="16">
        <v>45200</v>
      </c>
      <c r="C493" t="s">
        <v>3</v>
      </c>
      <c r="D493" t="s">
        <v>143</v>
      </c>
      <c r="E493" t="s">
        <v>181</v>
      </c>
      <c r="F493">
        <v>37</v>
      </c>
      <c r="G493">
        <v>35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O493">
        <v>37</v>
      </c>
      <c r="P493">
        <f t="shared" si="29"/>
        <v>2023</v>
      </c>
      <c r="Q493">
        <f t="shared" si="30"/>
        <v>10</v>
      </c>
      <c r="R493" t="str">
        <f t="shared" si="31"/>
        <v>淘特搜索</v>
      </c>
      <c r="S493" t="str">
        <f>_xlfn.XLOOKUP(B493,全店核心数据_bymonth!A:A,全店核心数据_bymonth!AN:AN)</f>
        <v>BU24</v>
      </c>
    </row>
    <row r="494" spans="1:19" x14ac:dyDescent="0.3">
      <c r="A494" t="s">
        <v>110</v>
      </c>
      <c r="B494" s="16">
        <v>45200</v>
      </c>
      <c r="C494" t="s">
        <v>3</v>
      </c>
      <c r="D494" t="s">
        <v>143</v>
      </c>
      <c r="E494" t="s">
        <v>224</v>
      </c>
      <c r="F494">
        <v>5</v>
      </c>
      <c r="G494">
        <v>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O494">
        <v>5</v>
      </c>
      <c r="P494">
        <f t="shared" si="29"/>
        <v>2023</v>
      </c>
      <c r="Q494">
        <f t="shared" si="30"/>
        <v>10</v>
      </c>
      <c r="R494" t="str">
        <f t="shared" si="31"/>
        <v>淘特自主访问</v>
      </c>
      <c r="S494" t="str">
        <f>_xlfn.XLOOKUP(B494,全店核心数据_bymonth!A:A,全店核心数据_bymonth!AN:AN)</f>
        <v>BU24</v>
      </c>
    </row>
    <row r="495" spans="1:19" x14ac:dyDescent="0.3">
      <c r="A495" t="s">
        <v>110</v>
      </c>
      <c r="B495" s="16">
        <v>45200</v>
      </c>
      <c r="C495" t="s">
        <v>3</v>
      </c>
      <c r="D495" t="s">
        <v>189</v>
      </c>
      <c r="E495" t="s">
        <v>194</v>
      </c>
      <c r="F495">
        <v>53</v>
      </c>
      <c r="G495">
        <v>41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1</v>
      </c>
      <c r="P495">
        <f t="shared" si="29"/>
        <v>2023</v>
      </c>
      <c r="Q495">
        <f t="shared" si="30"/>
        <v>10</v>
      </c>
      <c r="R495" t="str">
        <f t="shared" si="31"/>
        <v>阿里妈妈超级惊喜站</v>
      </c>
      <c r="S495" t="str">
        <f>_xlfn.XLOOKUP(B495,全店核心数据_bymonth!A:A,全店核心数据_bymonth!AN:AN)</f>
        <v>BU24</v>
      </c>
    </row>
    <row r="496" spans="1:19" x14ac:dyDescent="0.3">
      <c r="A496" t="s">
        <v>110</v>
      </c>
      <c r="B496" s="16">
        <v>45200</v>
      </c>
      <c r="C496" t="s">
        <v>2</v>
      </c>
      <c r="D496" t="s">
        <v>55</v>
      </c>
      <c r="E496" t="s">
        <v>54</v>
      </c>
      <c r="F496">
        <v>41368</v>
      </c>
      <c r="G496">
        <v>39016</v>
      </c>
      <c r="H496">
        <v>5</v>
      </c>
      <c r="I496">
        <v>4</v>
      </c>
      <c r="J496">
        <v>0</v>
      </c>
      <c r="K496">
        <v>0</v>
      </c>
      <c r="L496">
        <v>0</v>
      </c>
      <c r="M496">
        <v>0</v>
      </c>
      <c r="O496">
        <v>5941</v>
      </c>
      <c r="P496">
        <f t="shared" si="29"/>
        <v>2023</v>
      </c>
      <c r="Q496">
        <f t="shared" si="30"/>
        <v>10</v>
      </c>
      <c r="R496" t="str">
        <f t="shared" si="31"/>
        <v>超级直播</v>
      </c>
      <c r="S496" t="str">
        <f>_xlfn.XLOOKUP(B496,全店核心数据_bymonth!A:A,全店核心数据_bymonth!AN:AN)</f>
        <v>BU24</v>
      </c>
    </row>
    <row r="497" spans="1:19" x14ac:dyDescent="0.3">
      <c r="A497" t="s">
        <v>110</v>
      </c>
      <c r="B497" s="16">
        <v>45200</v>
      </c>
      <c r="C497" t="s">
        <v>2</v>
      </c>
      <c r="D497" t="s">
        <v>55</v>
      </c>
      <c r="E497" t="s">
        <v>56</v>
      </c>
      <c r="F497">
        <v>2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O497">
        <v>1</v>
      </c>
      <c r="P497">
        <f t="shared" si="29"/>
        <v>2023</v>
      </c>
      <c r="Q497">
        <f t="shared" si="30"/>
        <v>10</v>
      </c>
      <c r="R497" t="str">
        <f t="shared" si="31"/>
        <v>超级短视频</v>
      </c>
      <c r="S497" t="str">
        <f>_xlfn.XLOOKUP(B497,全店核心数据_bymonth!A:A,全店核心数据_bymonth!AN:AN)</f>
        <v>BU24</v>
      </c>
    </row>
    <row r="498" spans="1:19" x14ac:dyDescent="0.3">
      <c r="A498" t="s">
        <v>110</v>
      </c>
      <c r="B498" s="16">
        <v>45200</v>
      </c>
      <c r="C498" t="s">
        <v>2</v>
      </c>
      <c r="D498" t="s">
        <v>52</v>
      </c>
      <c r="E498" t="s">
        <v>53</v>
      </c>
      <c r="F498">
        <v>12907</v>
      </c>
      <c r="G498">
        <v>11587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O498">
        <v>2657</v>
      </c>
      <c r="P498">
        <f t="shared" si="29"/>
        <v>2023</v>
      </c>
      <c r="Q498">
        <f t="shared" si="30"/>
        <v>10</v>
      </c>
      <c r="R498" t="str">
        <f t="shared" si="31"/>
        <v>Showmax</v>
      </c>
      <c r="S498" t="str">
        <f>_xlfn.XLOOKUP(B498,全店核心数据_bymonth!A:A,全店核心数据_bymonth!AN:AN)</f>
        <v>BU24</v>
      </c>
    </row>
    <row r="499" spans="1:19" x14ac:dyDescent="0.3">
      <c r="A499" t="s">
        <v>110</v>
      </c>
      <c r="B499" s="16">
        <v>45200</v>
      </c>
      <c r="C499" t="s">
        <v>2</v>
      </c>
      <c r="D499" t="s">
        <v>52</v>
      </c>
      <c r="E499" t="s">
        <v>51</v>
      </c>
      <c r="F499">
        <v>3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O499">
        <v>1</v>
      </c>
      <c r="P499">
        <f t="shared" si="29"/>
        <v>2023</v>
      </c>
      <c r="Q499">
        <f t="shared" si="30"/>
        <v>10</v>
      </c>
      <c r="R499" t="str">
        <f t="shared" si="31"/>
        <v>品牌定制</v>
      </c>
      <c r="S499" t="str">
        <f>_xlfn.XLOOKUP(B499,全店核心数据_bymonth!A:A,全店核心数据_bymonth!AN:AN)</f>
        <v>BU24</v>
      </c>
    </row>
    <row r="500" spans="1:19" x14ac:dyDescent="0.3">
      <c r="A500" t="s">
        <v>110</v>
      </c>
      <c r="B500" s="16">
        <v>45200</v>
      </c>
      <c r="C500" t="s">
        <v>2</v>
      </c>
      <c r="D500" t="s">
        <v>52</v>
      </c>
      <c r="E500" t="s">
        <v>59</v>
      </c>
      <c r="F500">
        <v>21338</v>
      </c>
      <c r="G500">
        <v>19336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O500">
        <v>4022</v>
      </c>
      <c r="P500">
        <f t="shared" si="29"/>
        <v>2023</v>
      </c>
      <c r="Q500">
        <f t="shared" si="30"/>
        <v>10</v>
      </c>
      <c r="R500" t="str">
        <f t="shared" si="31"/>
        <v>品牌特秀</v>
      </c>
      <c r="S500" t="str">
        <f>_xlfn.XLOOKUP(B500,全店核心数据_bymonth!A:A,全店核心数据_bymonth!AN:AN)</f>
        <v>BU24</v>
      </c>
    </row>
    <row r="501" spans="1:19" x14ac:dyDescent="0.3">
      <c r="A501" t="s">
        <v>110</v>
      </c>
      <c r="B501" s="16">
        <v>45200</v>
      </c>
      <c r="C501" t="s">
        <v>2</v>
      </c>
      <c r="D501" t="s">
        <v>52</v>
      </c>
      <c r="E501" t="s">
        <v>183</v>
      </c>
      <c r="F501">
        <v>16207</v>
      </c>
      <c r="G501">
        <v>14646</v>
      </c>
      <c r="H501">
        <v>500</v>
      </c>
      <c r="I501">
        <v>175</v>
      </c>
      <c r="J501">
        <v>456415</v>
      </c>
      <c r="K501">
        <v>94</v>
      </c>
      <c r="L501">
        <v>309871</v>
      </c>
      <c r="M501">
        <v>58</v>
      </c>
      <c r="O501">
        <v>8039</v>
      </c>
      <c r="P501">
        <f t="shared" si="29"/>
        <v>2023</v>
      </c>
      <c r="Q501">
        <f t="shared" si="30"/>
        <v>10</v>
      </c>
      <c r="R501" t="str">
        <f t="shared" si="31"/>
        <v>品销宝-品牌专区</v>
      </c>
      <c r="S501" t="str">
        <f>_xlfn.XLOOKUP(B501,全店核心数据_bymonth!A:A,全店核心数据_bymonth!AN:AN)</f>
        <v>BU24</v>
      </c>
    </row>
    <row r="502" spans="1:19" x14ac:dyDescent="0.3">
      <c r="A502" t="s">
        <v>110</v>
      </c>
      <c r="B502" s="16">
        <v>45200</v>
      </c>
      <c r="C502" t="s">
        <v>2</v>
      </c>
      <c r="D502" t="s">
        <v>52</v>
      </c>
      <c r="E502" t="s">
        <v>62</v>
      </c>
      <c r="F502">
        <v>57</v>
      </c>
      <c r="P502">
        <f t="shared" si="29"/>
        <v>2023</v>
      </c>
      <c r="Q502">
        <f t="shared" si="30"/>
        <v>10</v>
      </c>
      <c r="R502" t="str">
        <f t="shared" si="31"/>
        <v>超级互动城</v>
      </c>
      <c r="S502" t="str">
        <f>_xlfn.XLOOKUP(B502,全店核心数据_bymonth!A:A,全店核心数据_bymonth!AN:AN)</f>
        <v>BU24</v>
      </c>
    </row>
    <row r="503" spans="1:19" x14ac:dyDescent="0.3">
      <c r="A503" t="s">
        <v>110</v>
      </c>
      <c r="B503" s="16">
        <v>45200</v>
      </c>
      <c r="C503" t="s">
        <v>2</v>
      </c>
      <c r="D503" t="s">
        <v>52</v>
      </c>
      <c r="E503" t="s">
        <v>58</v>
      </c>
      <c r="F503">
        <v>6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O503">
        <v>6</v>
      </c>
      <c r="P503">
        <f t="shared" si="29"/>
        <v>2023</v>
      </c>
      <c r="Q503">
        <f t="shared" si="30"/>
        <v>10</v>
      </c>
      <c r="R503" t="str">
        <f t="shared" si="31"/>
        <v>超级全域通</v>
      </c>
      <c r="S503" t="str">
        <f>_xlfn.XLOOKUP(B503,全店核心数据_bymonth!A:A,全店核心数据_bymonth!AN:AN)</f>
        <v>BU24</v>
      </c>
    </row>
    <row r="504" spans="1:19" x14ac:dyDescent="0.3">
      <c r="A504" t="s">
        <v>110</v>
      </c>
      <c r="B504" s="16">
        <v>45200</v>
      </c>
      <c r="C504" t="s">
        <v>2</v>
      </c>
      <c r="D504" t="s">
        <v>57</v>
      </c>
      <c r="E504" t="s">
        <v>63</v>
      </c>
      <c r="F504">
        <v>42642</v>
      </c>
      <c r="G504">
        <v>33863</v>
      </c>
      <c r="H504">
        <v>1327</v>
      </c>
      <c r="I504">
        <v>530</v>
      </c>
      <c r="J504">
        <v>1932731.3</v>
      </c>
      <c r="K504">
        <v>377</v>
      </c>
      <c r="L504">
        <v>1052814.6000000001</v>
      </c>
      <c r="M504">
        <v>230</v>
      </c>
      <c r="N504">
        <v>4306</v>
      </c>
      <c r="P504">
        <f t="shared" si="29"/>
        <v>2023</v>
      </c>
      <c r="Q504">
        <f t="shared" si="30"/>
        <v>10</v>
      </c>
      <c r="R504" t="str">
        <f t="shared" si="31"/>
        <v>万相台</v>
      </c>
      <c r="S504" t="str">
        <f>_xlfn.XLOOKUP(B504,全店核心数据_bymonth!A:A,全店核心数据_bymonth!AN:AN)</f>
        <v>BU24</v>
      </c>
    </row>
    <row r="505" spans="1:19" x14ac:dyDescent="0.3">
      <c r="A505" t="s">
        <v>110</v>
      </c>
      <c r="B505" s="16">
        <v>45200</v>
      </c>
      <c r="C505" t="s">
        <v>2</v>
      </c>
      <c r="D505" t="s">
        <v>57</v>
      </c>
      <c r="E505" t="s">
        <v>65</v>
      </c>
      <c r="F505">
        <v>80294</v>
      </c>
      <c r="G505">
        <v>75267</v>
      </c>
      <c r="H505">
        <v>992</v>
      </c>
      <c r="I505">
        <v>591</v>
      </c>
      <c r="J505">
        <v>1055068</v>
      </c>
      <c r="K505">
        <v>164</v>
      </c>
      <c r="L505">
        <v>502541</v>
      </c>
      <c r="M505">
        <v>115</v>
      </c>
      <c r="O505">
        <v>79637</v>
      </c>
      <c r="P505">
        <f t="shared" si="29"/>
        <v>2023</v>
      </c>
      <c r="Q505">
        <f t="shared" si="30"/>
        <v>10</v>
      </c>
      <c r="R505" t="str">
        <f t="shared" si="31"/>
        <v>直通车</v>
      </c>
      <c r="S505" t="str">
        <f>_xlfn.XLOOKUP(B505,全店核心数据_bymonth!A:A,全店核心数据_bymonth!AN:AN)</f>
        <v>BU24</v>
      </c>
    </row>
    <row r="506" spans="1:19" x14ac:dyDescent="0.3">
      <c r="A506" t="s">
        <v>110</v>
      </c>
      <c r="B506" s="16">
        <v>45200</v>
      </c>
      <c r="C506" t="s">
        <v>2</v>
      </c>
      <c r="D506" t="s">
        <v>57</v>
      </c>
      <c r="E506" t="s">
        <v>64</v>
      </c>
      <c r="F506">
        <v>97855</v>
      </c>
      <c r="G506">
        <v>85749</v>
      </c>
      <c r="H506">
        <v>2253</v>
      </c>
      <c r="I506">
        <v>1341</v>
      </c>
      <c r="J506">
        <v>1128552.18</v>
      </c>
      <c r="K506">
        <v>224</v>
      </c>
      <c r="L506">
        <v>437919.18</v>
      </c>
      <c r="M506">
        <v>131</v>
      </c>
      <c r="N506">
        <v>11285</v>
      </c>
      <c r="P506">
        <f t="shared" si="29"/>
        <v>2023</v>
      </c>
      <c r="Q506">
        <f t="shared" si="30"/>
        <v>10</v>
      </c>
      <c r="R506" t="str">
        <f t="shared" si="31"/>
        <v>引力魔方</v>
      </c>
      <c r="S506" t="str">
        <f>_xlfn.XLOOKUP(B506,全店核心数据_bymonth!A:A,全店核心数据_bymonth!AN:AN)</f>
        <v>BU24</v>
      </c>
    </row>
    <row r="507" spans="1:19" x14ac:dyDescent="0.3">
      <c r="A507" t="s">
        <v>110</v>
      </c>
      <c r="B507" s="16">
        <v>45200</v>
      </c>
      <c r="C507" t="s">
        <v>2</v>
      </c>
      <c r="D507" t="s">
        <v>4</v>
      </c>
      <c r="E507" t="s">
        <v>44</v>
      </c>
      <c r="F507">
        <v>2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O507">
        <v>2</v>
      </c>
      <c r="P507">
        <f t="shared" si="29"/>
        <v>2023</v>
      </c>
      <c r="Q507">
        <f t="shared" si="30"/>
        <v>10</v>
      </c>
      <c r="R507" t="str">
        <f t="shared" si="31"/>
        <v>UD品牌投放</v>
      </c>
      <c r="S507" t="str">
        <f>_xlfn.XLOOKUP(B507,全店核心数据_bymonth!A:A,全店核心数据_bymonth!AN:AN)</f>
        <v>BU24</v>
      </c>
    </row>
    <row r="508" spans="1:19" x14ac:dyDescent="0.3">
      <c r="A508" t="s">
        <v>110</v>
      </c>
      <c r="B508" s="16">
        <v>45200</v>
      </c>
      <c r="C508" t="s">
        <v>2</v>
      </c>
      <c r="D508" t="s">
        <v>4</v>
      </c>
      <c r="E508" t="s">
        <v>42</v>
      </c>
      <c r="F508">
        <v>6</v>
      </c>
      <c r="G508">
        <v>4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O508">
        <v>5</v>
      </c>
      <c r="P508">
        <f t="shared" si="29"/>
        <v>2023</v>
      </c>
      <c r="Q508">
        <f t="shared" si="30"/>
        <v>10</v>
      </c>
      <c r="R508" t="str">
        <f t="shared" si="31"/>
        <v>UD效果投放</v>
      </c>
      <c r="S508" t="str">
        <f>_xlfn.XLOOKUP(B508,全店核心数据_bymonth!A:A,全店核心数据_bymonth!AN:AN)</f>
        <v>BU24</v>
      </c>
    </row>
    <row r="509" spans="1:19" x14ac:dyDescent="0.3">
      <c r="A509" t="s">
        <v>110</v>
      </c>
      <c r="B509" s="16">
        <v>45200</v>
      </c>
      <c r="C509" t="s">
        <v>2</v>
      </c>
      <c r="D509" t="s">
        <v>4</v>
      </c>
      <c r="E509" t="s">
        <v>41</v>
      </c>
      <c r="F509">
        <v>217</v>
      </c>
      <c r="G509">
        <v>162</v>
      </c>
      <c r="H509">
        <v>1</v>
      </c>
      <c r="I509">
        <v>2</v>
      </c>
      <c r="J509">
        <v>0</v>
      </c>
      <c r="K509">
        <v>0</v>
      </c>
      <c r="L509">
        <v>0</v>
      </c>
      <c r="M509">
        <v>0</v>
      </c>
      <c r="O509">
        <v>131</v>
      </c>
      <c r="P509">
        <f t="shared" si="29"/>
        <v>2023</v>
      </c>
      <c r="Q509">
        <f t="shared" si="30"/>
        <v>10</v>
      </c>
      <c r="R509" t="str">
        <f t="shared" si="31"/>
        <v>流量宝</v>
      </c>
      <c r="S509" t="str">
        <f>_xlfn.XLOOKUP(B509,全店核心数据_bymonth!A:A,全店核心数据_bymonth!AN:AN)</f>
        <v>BU24</v>
      </c>
    </row>
    <row r="510" spans="1:19" x14ac:dyDescent="0.3">
      <c r="A510" t="s">
        <v>110</v>
      </c>
      <c r="B510" s="16">
        <v>45200</v>
      </c>
      <c r="C510" t="s">
        <v>2</v>
      </c>
      <c r="D510" t="s">
        <v>4</v>
      </c>
      <c r="E510" t="s">
        <v>43</v>
      </c>
      <c r="F510">
        <v>5240</v>
      </c>
      <c r="G510">
        <v>3769</v>
      </c>
      <c r="H510">
        <v>59</v>
      </c>
      <c r="I510">
        <v>20</v>
      </c>
      <c r="J510">
        <v>269792</v>
      </c>
      <c r="K510">
        <v>49</v>
      </c>
      <c r="L510">
        <v>135121</v>
      </c>
      <c r="M510">
        <v>30</v>
      </c>
      <c r="O510">
        <v>5016</v>
      </c>
      <c r="P510">
        <f t="shared" si="29"/>
        <v>2023</v>
      </c>
      <c r="Q510">
        <f t="shared" si="30"/>
        <v>10</v>
      </c>
      <c r="R510" t="str">
        <f t="shared" si="31"/>
        <v>淘宝客</v>
      </c>
      <c r="S510" t="str">
        <f>_xlfn.XLOOKUP(B510,全店核心数据_bymonth!A:A,全店核心数据_bymonth!AN:AN)</f>
        <v>BU24</v>
      </c>
    </row>
    <row r="511" spans="1:19" x14ac:dyDescent="0.3">
      <c r="A511" t="s">
        <v>110</v>
      </c>
      <c r="B511" s="16">
        <v>45597</v>
      </c>
      <c r="C511" t="s">
        <v>3</v>
      </c>
      <c r="D511" t="s">
        <v>114</v>
      </c>
      <c r="E511" t="s">
        <v>159</v>
      </c>
      <c r="F511">
        <v>2312</v>
      </c>
      <c r="G511">
        <v>1319</v>
      </c>
      <c r="H511">
        <v>52</v>
      </c>
      <c r="I511">
        <v>59</v>
      </c>
      <c r="J511">
        <v>51535</v>
      </c>
      <c r="K511">
        <v>16</v>
      </c>
      <c r="L511">
        <v>41830</v>
      </c>
      <c r="M511">
        <v>14</v>
      </c>
      <c r="N511">
        <v>208</v>
      </c>
      <c r="O511">
        <v>2251</v>
      </c>
      <c r="P511">
        <f t="shared" si="29"/>
        <v>2024</v>
      </c>
      <c r="Q511">
        <f t="shared" si="30"/>
        <v>11</v>
      </c>
      <c r="R511" t="str">
        <f t="shared" si="31"/>
        <v>主会场</v>
      </c>
      <c r="S511" t="str">
        <f>_xlfn.XLOOKUP(B511,全店核心数据_bymonth!A:A,全店核心数据_bymonth!AN:AN)</f>
        <v>BU25</v>
      </c>
    </row>
    <row r="512" spans="1:19" x14ac:dyDescent="0.3">
      <c r="A512" t="s">
        <v>110</v>
      </c>
      <c r="B512" s="16">
        <v>45597</v>
      </c>
      <c r="C512" t="s">
        <v>3</v>
      </c>
      <c r="D512" t="s">
        <v>114</v>
      </c>
      <c r="E512" t="s">
        <v>160</v>
      </c>
      <c r="F512">
        <v>74</v>
      </c>
      <c r="G512">
        <v>66</v>
      </c>
      <c r="H512">
        <v>4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16</v>
      </c>
      <c r="O512">
        <v>74</v>
      </c>
      <c r="P512">
        <f t="shared" si="29"/>
        <v>2024</v>
      </c>
      <c r="Q512">
        <f t="shared" si="30"/>
        <v>11</v>
      </c>
      <c r="R512" t="str">
        <f t="shared" si="31"/>
        <v>榜单会场</v>
      </c>
      <c r="S512" t="str">
        <f>_xlfn.XLOOKUP(B512,全店核心数据_bymonth!A:A,全店核心数据_bymonth!AN:AN)</f>
        <v>BU25</v>
      </c>
    </row>
    <row r="513" spans="1:19" x14ac:dyDescent="0.3">
      <c r="A513" t="s">
        <v>110</v>
      </c>
      <c r="B513" s="16">
        <v>45597</v>
      </c>
      <c r="C513" t="s">
        <v>3</v>
      </c>
      <c r="D513" t="s">
        <v>117</v>
      </c>
      <c r="E513" t="s">
        <v>161</v>
      </c>
      <c r="F513">
        <v>283</v>
      </c>
      <c r="G513">
        <v>251</v>
      </c>
      <c r="H513">
        <v>6</v>
      </c>
      <c r="I513">
        <v>3</v>
      </c>
      <c r="J513">
        <v>3900</v>
      </c>
      <c r="K513">
        <v>1</v>
      </c>
      <c r="L513">
        <v>3900</v>
      </c>
      <c r="M513">
        <v>1</v>
      </c>
      <c r="N513">
        <v>31</v>
      </c>
      <c r="O513">
        <v>283</v>
      </c>
      <c r="P513">
        <f t="shared" si="29"/>
        <v>2024</v>
      </c>
      <c r="Q513">
        <f t="shared" si="30"/>
        <v>11</v>
      </c>
      <c r="R513" t="str">
        <f t="shared" si="31"/>
        <v>其他入口榜单</v>
      </c>
      <c r="S513" t="str">
        <f>_xlfn.XLOOKUP(B513,全店核心数据_bymonth!A:A,全店核心数据_bymonth!AN:AN)</f>
        <v>BU25</v>
      </c>
    </row>
    <row r="514" spans="1:19" x14ac:dyDescent="0.3">
      <c r="A514" t="s">
        <v>110</v>
      </c>
      <c r="B514" s="16">
        <v>45597</v>
      </c>
      <c r="C514" t="s">
        <v>3</v>
      </c>
      <c r="D514" t="s">
        <v>117</v>
      </c>
      <c r="E514" t="s">
        <v>191</v>
      </c>
      <c r="F514">
        <v>29</v>
      </c>
      <c r="G514">
        <v>27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4</v>
      </c>
      <c r="O514">
        <v>29</v>
      </c>
      <c r="P514">
        <f t="shared" si="29"/>
        <v>2024</v>
      </c>
      <c r="Q514">
        <f t="shared" si="30"/>
        <v>11</v>
      </c>
      <c r="R514" t="str">
        <f t="shared" si="31"/>
        <v>商品详情页入口榜单</v>
      </c>
      <c r="S514" t="str">
        <f>_xlfn.XLOOKUP(B514,全店核心数据_bymonth!A:A,全店核心数据_bymonth!AN:AN)</f>
        <v>BU25</v>
      </c>
    </row>
    <row r="515" spans="1:19" x14ac:dyDescent="0.3">
      <c r="A515" t="s">
        <v>110</v>
      </c>
      <c r="B515" s="16">
        <v>45597</v>
      </c>
      <c r="C515" t="s">
        <v>3</v>
      </c>
      <c r="D515" t="s">
        <v>117</v>
      </c>
      <c r="E515" t="s">
        <v>195</v>
      </c>
      <c r="F515">
        <v>34</v>
      </c>
      <c r="G515">
        <v>29</v>
      </c>
      <c r="H515">
        <v>1</v>
      </c>
      <c r="I515">
        <v>0</v>
      </c>
      <c r="J515">
        <v>9500</v>
      </c>
      <c r="K515">
        <v>1</v>
      </c>
      <c r="L515">
        <v>9500</v>
      </c>
      <c r="M515">
        <v>1</v>
      </c>
      <c r="N515">
        <v>6</v>
      </c>
      <c r="O515">
        <v>34</v>
      </c>
      <c r="P515">
        <f t="shared" si="29"/>
        <v>2024</v>
      </c>
      <c r="Q515">
        <f t="shared" si="30"/>
        <v>11</v>
      </c>
      <c r="R515" t="str">
        <f t="shared" si="31"/>
        <v>搜索入口榜单</v>
      </c>
      <c r="S515" t="str">
        <f>_xlfn.XLOOKUP(B515,全店核心数据_bymonth!A:A,全店核心数据_bymonth!AN:AN)</f>
        <v>BU25</v>
      </c>
    </row>
    <row r="516" spans="1:19" x14ac:dyDescent="0.3">
      <c r="A516" t="s">
        <v>110</v>
      </c>
      <c r="B516" s="16">
        <v>45597</v>
      </c>
      <c r="C516" t="s">
        <v>3</v>
      </c>
      <c r="D516" t="s">
        <v>123</v>
      </c>
      <c r="E516" t="s">
        <v>169</v>
      </c>
      <c r="F516">
        <v>5118</v>
      </c>
      <c r="G516">
        <v>2399</v>
      </c>
      <c r="H516">
        <v>316</v>
      </c>
      <c r="I516">
        <v>116</v>
      </c>
      <c r="J516">
        <v>455339.27</v>
      </c>
      <c r="K516">
        <v>95</v>
      </c>
      <c r="L516">
        <v>340527.9</v>
      </c>
      <c r="M516">
        <v>81</v>
      </c>
      <c r="N516">
        <v>1181</v>
      </c>
      <c r="O516">
        <v>5018</v>
      </c>
      <c r="P516">
        <f t="shared" si="29"/>
        <v>2024</v>
      </c>
      <c r="Q516">
        <f t="shared" si="30"/>
        <v>11</v>
      </c>
      <c r="R516" t="str">
        <f t="shared" si="31"/>
        <v>商品详情页头图推荐</v>
      </c>
      <c r="S516" t="str">
        <f>_xlfn.XLOOKUP(B516,全店核心数据_bymonth!A:A,全店核心数据_bymonth!AN:AN)</f>
        <v>BU25</v>
      </c>
    </row>
    <row r="517" spans="1:19" x14ac:dyDescent="0.3">
      <c r="A517" t="s">
        <v>110</v>
      </c>
      <c r="B517" s="16">
        <v>45597</v>
      </c>
      <c r="C517" t="s">
        <v>3</v>
      </c>
      <c r="D517" t="s">
        <v>123</v>
      </c>
      <c r="E517" t="s">
        <v>170</v>
      </c>
      <c r="F517">
        <v>1239</v>
      </c>
      <c r="G517">
        <v>746</v>
      </c>
      <c r="H517">
        <v>65</v>
      </c>
      <c r="I517">
        <v>16</v>
      </c>
      <c r="J517">
        <v>80052.240000000005</v>
      </c>
      <c r="K517">
        <v>16</v>
      </c>
      <c r="L517">
        <v>66950.87</v>
      </c>
      <c r="M517">
        <v>13</v>
      </c>
      <c r="N517">
        <v>1094</v>
      </c>
      <c r="O517">
        <v>574</v>
      </c>
      <c r="P517">
        <f t="shared" si="29"/>
        <v>2024</v>
      </c>
      <c r="Q517">
        <f t="shared" si="30"/>
        <v>11</v>
      </c>
      <c r="R517" t="str">
        <f t="shared" si="31"/>
        <v>店铺超链</v>
      </c>
      <c r="S517" t="str">
        <f>_xlfn.XLOOKUP(B517,全店核心数据_bymonth!A:A,全店核心数据_bymonth!AN:AN)</f>
        <v>BU25</v>
      </c>
    </row>
    <row r="518" spans="1:19" x14ac:dyDescent="0.3">
      <c r="A518" t="s">
        <v>110</v>
      </c>
      <c r="B518" s="16">
        <v>45597</v>
      </c>
      <c r="C518" t="s">
        <v>394</v>
      </c>
      <c r="D518" t="s">
        <v>392</v>
      </c>
      <c r="E518" t="s">
        <v>393</v>
      </c>
      <c r="F518">
        <v>16490</v>
      </c>
      <c r="G518">
        <v>12617</v>
      </c>
      <c r="H518">
        <v>185</v>
      </c>
      <c r="I518">
        <v>94</v>
      </c>
      <c r="J518">
        <v>274152.5</v>
      </c>
      <c r="K518">
        <v>43</v>
      </c>
      <c r="L518">
        <v>180788</v>
      </c>
      <c r="M518">
        <v>33</v>
      </c>
      <c r="N518">
        <v>10414</v>
      </c>
      <c r="O518">
        <v>6499</v>
      </c>
      <c r="P518">
        <f t="shared" si="29"/>
        <v>2024</v>
      </c>
      <c r="Q518">
        <f t="shared" si="30"/>
        <v>11</v>
      </c>
      <c r="R518" t="s">
        <v>396</v>
      </c>
      <c r="S518" t="str">
        <f>_xlfn.XLOOKUP(B518,全店核心数据_bymonth!A:A,全店核心数据_bymonth!AN:AN)</f>
        <v>BU25</v>
      </c>
    </row>
    <row r="519" spans="1:19" x14ac:dyDescent="0.3">
      <c r="A519" t="s">
        <v>110</v>
      </c>
      <c r="B519" s="16">
        <v>45597</v>
      </c>
      <c r="C519" t="s">
        <v>3</v>
      </c>
      <c r="D519" t="s">
        <v>127</v>
      </c>
      <c r="E519" t="s">
        <v>172</v>
      </c>
      <c r="F519">
        <v>768</v>
      </c>
      <c r="G519">
        <v>502</v>
      </c>
      <c r="H519">
        <v>12</v>
      </c>
      <c r="I519">
        <v>3</v>
      </c>
      <c r="J519">
        <v>33890</v>
      </c>
      <c r="K519">
        <v>4</v>
      </c>
      <c r="L519">
        <v>27640</v>
      </c>
      <c r="M519">
        <v>3</v>
      </c>
      <c r="N519">
        <v>84</v>
      </c>
      <c r="O519">
        <v>525</v>
      </c>
      <c r="P519">
        <f t="shared" si="29"/>
        <v>2024</v>
      </c>
      <c r="Q519">
        <f t="shared" si="30"/>
        <v>11</v>
      </c>
      <c r="R519" t="str">
        <f t="shared" ref="R519:R582" si="32">E519</f>
        <v>购中推荐</v>
      </c>
      <c r="S519" t="str">
        <f>_xlfn.XLOOKUP(B519,全店核心数据_bymonth!A:A,全店核心数据_bymonth!AN:AN)</f>
        <v>BU25</v>
      </c>
    </row>
    <row r="520" spans="1:19" x14ac:dyDescent="0.3">
      <c r="A520" t="s">
        <v>110</v>
      </c>
      <c r="B520" s="16">
        <v>45597</v>
      </c>
      <c r="C520" t="s">
        <v>3</v>
      </c>
      <c r="D520" t="s">
        <v>127</v>
      </c>
      <c r="E520" t="s">
        <v>173</v>
      </c>
      <c r="F520">
        <v>4691</v>
      </c>
      <c r="G520">
        <v>3626</v>
      </c>
      <c r="H520">
        <v>31</v>
      </c>
      <c r="I520">
        <v>13</v>
      </c>
      <c r="J520">
        <v>27632</v>
      </c>
      <c r="K520">
        <v>6</v>
      </c>
      <c r="L520">
        <v>18227</v>
      </c>
      <c r="M520">
        <v>5</v>
      </c>
      <c r="N520">
        <v>630</v>
      </c>
      <c r="O520">
        <v>2431</v>
      </c>
      <c r="P520">
        <f t="shared" si="29"/>
        <v>2024</v>
      </c>
      <c r="Q520">
        <f t="shared" si="30"/>
        <v>11</v>
      </c>
      <c r="R520" t="str">
        <f t="shared" si="32"/>
        <v>购后推荐</v>
      </c>
      <c r="S520" t="str">
        <f>_xlfn.XLOOKUP(B520,全店核心数据_bymonth!A:A,全店核心数据_bymonth!AN:AN)</f>
        <v>BU25</v>
      </c>
    </row>
    <row r="521" spans="1:19" x14ac:dyDescent="0.3">
      <c r="A521" t="s">
        <v>110</v>
      </c>
      <c r="B521" s="16">
        <v>45597</v>
      </c>
      <c r="C521" t="s">
        <v>3</v>
      </c>
      <c r="D521" t="s">
        <v>127</v>
      </c>
      <c r="E521" t="s">
        <v>174</v>
      </c>
      <c r="F521">
        <v>79358</v>
      </c>
      <c r="G521">
        <v>65490</v>
      </c>
      <c r="H521">
        <v>1755</v>
      </c>
      <c r="I521">
        <v>760</v>
      </c>
      <c r="J521">
        <v>1748349.35</v>
      </c>
      <c r="K521">
        <v>279</v>
      </c>
      <c r="L521">
        <v>1010904.85</v>
      </c>
      <c r="M521">
        <v>220</v>
      </c>
      <c r="N521">
        <v>6074</v>
      </c>
      <c r="O521">
        <v>79358</v>
      </c>
      <c r="P521">
        <f t="shared" si="29"/>
        <v>2024</v>
      </c>
      <c r="Q521">
        <f t="shared" si="30"/>
        <v>11</v>
      </c>
      <c r="R521" t="str">
        <f t="shared" si="32"/>
        <v>首页推荐-微详情</v>
      </c>
      <c r="S521" t="str">
        <f>_xlfn.XLOOKUP(B521,全店核心数据_bymonth!A:A,全店核心数据_bymonth!AN:AN)</f>
        <v>BU25</v>
      </c>
    </row>
    <row r="522" spans="1:19" x14ac:dyDescent="0.3">
      <c r="A522" t="s">
        <v>110</v>
      </c>
      <c r="B522" s="16">
        <v>45597</v>
      </c>
      <c r="C522" t="s">
        <v>3</v>
      </c>
      <c r="D522" t="s">
        <v>127</v>
      </c>
      <c r="E522" t="s">
        <v>175</v>
      </c>
      <c r="F522">
        <v>13442</v>
      </c>
      <c r="G522">
        <v>12068</v>
      </c>
      <c r="H522">
        <v>17</v>
      </c>
      <c r="I522">
        <v>2</v>
      </c>
      <c r="J522">
        <v>31840</v>
      </c>
      <c r="K522">
        <v>5</v>
      </c>
      <c r="L522">
        <v>23000</v>
      </c>
      <c r="M522">
        <v>4</v>
      </c>
      <c r="N522">
        <v>37</v>
      </c>
      <c r="O522">
        <v>379</v>
      </c>
      <c r="P522">
        <f t="shared" si="29"/>
        <v>2024</v>
      </c>
      <c r="Q522">
        <f t="shared" si="30"/>
        <v>11</v>
      </c>
      <c r="R522" t="str">
        <f t="shared" si="32"/>
        <v>首页推荐-直播</v>
      </c>
      <c r="S522" t="str">
        <f>_xlfn.XLOOKUP(B522,全店核心数据_bymonth!A:A,全店核心数据_bymonth!AN:AN)</f>
        <v>BU25</v>
      </c>
    </row>
    <row r="523" spans="1:19" x14ac:dyDescent="0.3">
      <c r="A523" t="s">
        <v>110</v>
      </c>
      <c r="B523" s="16">
        <v>45597</v>
      </c>
      <c r="C523" t="s">
        <v>3</v>
      </c>
      <c r="D523" t="s">
        <v>127</v>
      </c>
      <c r="E523" t="s">
        <v>176</v>
      </c>
      <c r="F523">
        <v>14748</v>
      </c>
      <c r="G523">
        <v>9659</v>
      </c>
      <c r="H523">
        <v>166</v>
      </c>
      <c r="I523">
        <v>44</v>
      </c>
      <c r="J523">
        <v>146600.5</v>
      </c>
      <c r="K523">
        <v>37</v>
      </c>
      <c r="L523">
        <v>102480.5</v>
      </c>
      <c r="M523">
        <v>31</v>
      </c>
      <c r="N523">
        <v>573</v>
      </c>
      <c r="O523">
        <v>3245</v>
      </c>
      <c r="P523">
        <f t="shared" si="29"/>
        <v>2024</v>
      </c>
      <c r="Q523">
        <f t="shared" si="30"/>
        <v>11</v>
      </c>
      <c r="R523" t="str">
        <f t="shared" si="32"/>
        <v>首页推荐-短视频</v>
      </c>
      <c r="S523" t="str">
        <f>_xlfn.XLOOKUP(B523,全店核心数据_bymonth!A:A,全店核心数据_bymonth!AN:AN)</f>
        <v>BU25</v>
      </c>
    </row>
    <row r="524" spans="1:19" x14ac:dyDescent="0.3">
      <c r="A524" t="s">
        <v>110</v>
      </c>
      <c r="B524" s="16">
        <v>45597</v>
      </c>
      <c r="C524" t="s">
        <v>3</v>
      </c>
      <c r="D524" t="s">
        <v>128</v>
      </c>
      <c r="E524" t="s">
        <v>177</v>
      </c>
      <c r="F524">
        <v>32589</v>
      </c>
      <c r="G524">
        <v>27450</v>
      </c>
      <c r="H524">
        <v>1695</v>
      </c>
      <c r="I524">
        <v>415</v>
      </c>
      <c r="J524">
        <v>2305966.67</v>
      </c>
      <c r="K524">
        <v>469</v>
      </c>
      <c r="L524">
        <v>1705774.17</v>
      </c>
      <c r="M524">
        <v>403</v>
      </c>
      <c r="N524">
        <v>9133</v>
      </c>
      <c r="O524">
        <v>29254</v>
      </c>
      <c r="P524">
        <f t="shared" si="29"/>
        <v>2024</v>
      </c>
      <c r="Q524">
        <f t="shared" si="30"/>
        <v>11</v>
      </c>
      <c r="R524" t="str">
        <f t="shared" si="32"/>
        <v>手淘搜索-商品及其他</v>
      </c>
      <c r="S524" t="str">
        <f>_xlfn.XLOOKUP(B524,全店核心数据_bymonth!A:A,全店核心数据_bymonth!AN:AN)</f>
        <v>BU25</v>
      </c>
    </row>
    <row r="525" spans="1:19" x14ac:dyDescent="0.3">
      <c r="A525" t="s">
        <v>110</v>
      </c>
      <c r="B525" s="16">
        <v>45597</v>
      </c>
      <c r="C525" t="s">
        <v>3</v>
      </c>
      <c r="D525" t="s">
        <v>128</v>
      </c>
      <c r="E525" t="s">
        <v>178</v>
      </c>
      <c r="F525">
        <v>351</v>
      </c>
      <c r="G525">
        <v>245</v>
      </c>
      <c r="H525">
        <v>14</v>
      </c>
      <c r="I525">
        <v>0</v>
      </c>
      <c r="J525">
        <v>25708.73</v>
      </c>
      <c r="K525">
        <v>6</v>
      </c>
      <c r="L525">
        <v>19585.73</v>
      </c>
      <c r="M525">
        <v>5</v>
      </c>
      <c r="N525">
        <v>20</v>
      </c>
      <c r="O525">
        <v>180</v>
      </c>
      <c r="P525">
        <f t="shared" si="29"/>
        <v>2024</v>
      </c>
      <c r="Q525">
        <f t="shared" si="30"/>
        <v>11</v>
      </c>
      <c r="R525" t="str">
        <f t="shared" si="32"/>
        <v>手淘搜索-直播</v>
      </c>
      <c r="S525" t="str">
        <f>_xlfn.XLOOKUP(B525,全店核心数据_bymonth!A:A,全店核心数据_bymonth!AN:AN)</f>
        <v>BU25</v>
      </c>
    </row>
    <row r="526" spans="1:19" x14ac:dyDescent="0.3">
      <c r="A526" t="s">
        <v>110</v>
      </c>
      <c r="B526" s="16">
        <v>45597</v>
      </c>
      <c r="C526" t="s">
        <v>3</v>
      </c>
      <c r="D526" t="s">
        <v>128</v>
      </c>
      <c r="E526" t="s">
        <v>179</v>
      </c>
      <c r="F526">
        <v>6038</v>
      </c>
      <c r="G526">
        <v>5407</v>
      </c>
      <c r="H526">
        <v>52</v>
      </c>
      <c r="I526">
        <v>23</v>
      </c>
      <c r="J526">
        <v>167005</v>
      </c>
      <c r="K526">
        <v>24</v>
      </c>
      <c r="L526">
        <v>117535</v>
      </c>
      <c r="M526">
        <v>20</v>
      </c>
      <c r="N526">
        <v>144</v>
      </c>
      <c r="O526">
        <v>5923</v>
      </c>
      <c r="P526">
        <f t="shared" si="29"/>
        <v>2024</v>
      </c>
      <c r="Q526">
        <f t="shared" si="30"/>
        <v>11</v>
      </c>
      <c r="R526" t="str">
        <f t="shared" si="32"/>
        <v>手淘搜索-短视频</v>
      </c>
      <c r="S526" t="str">
        <f>_xlfn.XLOOKUP(B526,全店核心数据_bymonth!A:A,全店核心数据_bymonth!AN:AN)</f>
        <v>BU25</v>
      </c>
    </row>
    <row r="527" spans="1:19" x14ac:dyDescent="0.3">
      <c r="A527" t="s">
        <v>110</v>
      </c>
      <c r="B527" s="16">
        <v>45597</v>
      </c>
      <c r="C527" t="s">
        <v>3</v>
      </c>
      <c r="D527" t="s">
        <v>143</v>
      </c>
      <c r="E527" t="s">
        <v>180</v>
      </c>
      <c r="F527">
        <v>139</v>
      </c>
      <c r="G527">
        <v>124</v>
      </c>
      <c r="H527">
        <v>2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4</v>
      </c>
      <c r="O527">
        <v>139</v>
      </c>
      <c r="P527">
        <f t="shared" si="29"/>
        <v>2024</v>
      </c>
      <c r="Q527">
        <f t="shared" si="30"/>
        <v>11</v>
      </c>
      <c r="R527" t="str">
        <f t="shared" si="32"/>
        <v>淘特其他渠道</v>
      </c>
      <c r="S527" t="str">
        <f>_xlfn.XLOOKUP(B527,全店核心数据_bymonth!A:A,全店核心数据_bymonth!AN:AN)</f>
        <v>BU25</v>
      </c>
    </row>
    <row r="528" spans="1:19" x14ac:dyDescent="0.3">
      <c r="A528" t="s">
        <v>110</v>
      </c>
      <c r="B528" s="16">
        <v>45597</v>
      </c>
      <c r="C528" t="s">
        <v>3</v>
      </c>
      <c r="D528" t="s">
        <v>143</v>
      </c>
      <c r="E528" t="s">
        <v>197</v>
      </c>
      <c r="F528">
        <v>3</v>
      </c>
      <c r="G528">
        <v>1</v>
      </c>
      <c r="H528">
        <v>0</v>
      </c>
      <c r="I528">
        <v>0</v>
      </c>
      <c r="J528">
        <v>4940</v>
      </c>
      <c r="K528">
        <v>1</v>
      </c>
      <c r="L528">
        <v>4940</v>
      </c>
      <c r="M528">
        <v>1</v>
      </c>
      <c r="N528">
        <v>0</v>
      </c>
      <c r="O528">
        <v>3</v>
      </c>
      <c r="P528">
        <f t="shared" si="29"/>
        <v>2024</v>
      </c>
      <c r="Q528">
        <f t="shared" si="30"/>
        <v>11</v>
      </c>
      <c r="R528" t="str">
        <f t="shared" si="32"/>
        <v>淘特推荐</v>
      </c>
      <c r="S528" t="str">
        <f>_xlfn.XLOOKUP(B528,全店核心数据_bymonth!A:A,全店核心数据_bymonth!AN:AN)</f>
        <v>BU25</v>
      </c>
    </row>
    <row r="529" spans="1:19" x14ac:dyDescent="0.3">
      <c r="A529" t="s">
        <v>110</v>
      </c>
      <c r="B529" s="16">
        <v>45597</v>
      </c>
      <c r="C529" t="s">
        <v>3</v>
      </c>
      <c r="D529" t="s">
        <v>143</v>
      </c>
      <c r="E529" t="s">
        <v>181</v>
      </c>
      <c r="F529">
        <v>463</v>
      </c>
      <c r="G529">
        <v>450</v>
      </c>
      <c r="H529">
        <v>3</v>
      </c>
      <c r="I529">
        <v>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463</v>
      </c>
      <c r="P529">
        <f t="shared" si="29"/>
        <v>2024</v>
      </c>
      <c r="Q529">
        <f t="shared" si="30"/>
        <v>11</v>
      </c>
      <c r="R529" t="str">
        <f t="shared" si="32"/>
        <v>淘特搜索</v>
      </c>
      <c r="S529" t="str">
        <f>_xlfn.XLOOKUP(B529,全店核心数据_bymonth!A:A,全店核心数据_bymonth!AN:AN)</f>
        <v>BU25</v>
      </c>
    </row>
    <row r="530" spans="1:19" x14ac:dyDescent="0.3">
      <c r="A530" t="s">
        <v>110</v>
      </c>
      <c r="B530" s="16">
        <v>45597</v>
      </c>
      <c r="C530" t="s">
        <v>3</v>
      </c>
      <c r="D530" t="s">
        <v>143</v>
      </c>
      <c r="E530" t="s">
        <v>224</v>
      </c>
      <c r="F530">
        <v>4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4</v>
      </c>
      <c r="P530">
        <f t="shared" si="29"/>
        <v>2024</v>
      </c>
      <c r="Q530">
        <f t="shared" si="30"/>
        <v>11</v>
      </c>
      <c r="R530" t="str">
        <f t="shared" si="32"/>
        <v>淘特自主访问</v>
      </c>
      <c r="S530" t="str">
        <f>_xlfn.XLOOKUP(B530,全店核心数据_bymonth!A:A,全店核心数据_bymonth!AN:AN)</f>
        <v>BU25</v>
      </c>
    </row>
    <row r="531" spans="1:19" x14ac:dyDescent="0.3">
      <c r="A531" t="s">
        <v>110</v>
      </c>
      <c r="B531" s="16">
        <v>45597</v>
      </c>
      <c r="C531" t="s">
        <v>2</v>
      </c>
      <c r="D531" t="s">
        <v>55</v>
      </c>
      <c r="E531" t="s">
        <v>66</v>
      </c>
      <c r="F531">
        <v>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f t="shared" si="29"/>
        <v>2024</v>
      </c>
      <c r="Q531">
        <f t="shared" si="30"/>
        <v>11</v>
      </c>
      <c r="R531" t="str">
        <f t="shared" si="32"/>
        <v>短直联动</v>
      </c>
      <c r="S531" t="str">
        <f>_xlfn.XLOOKUP(B531,全店核心数据_bymonth!A:A,全店核心数据_bymonth!AN:AN)</f>
        <v>BU25</v>
      </c>
    </row>
    <row r="532" spans="1:19" x14ac:dyDescent="0.3">
      <c r="A532" t="s">
        <v>110</v>
      </c>
      <c r="B532" s="16">
        <v>45597</v>
      </c>
      <c r="C532" t="s">
        <v>2</v>
      </c>
      <c r="D532" t="s">
        <v>55</v>
      </c>
      <c r="E532" t="s">
        <v>54</v>
      </c>
      <c r="F532">
        <v>34711</v>
      </c>
      <c r="G532">
        <v>30425</v>
      </c>
      <c r="H532">
        <v>145</v>
      </c>
      <c r="I532">
        <v>26</v>
      </c>
      <c r="J532">
        <v>0</v>
      </c>
      <c r="K532">
        <v>0</v>
      </c>
      <c r="L532">
        <v>0</v>
      </c>
      <c r="M532">
        <v>0</v>
      </c>
      <c r="N532">
        <v>392</v>
      </c>
      <c r="O532">
        <v>3435</v>
      </c>
      <c r="P532">
        <f t="shared" si="29"/>
        <v>2024</v>
      </c>
      <c r="Q532">
        <f t="shared" si="30"/>
        <v>11</v>
      </c>
      <c r="R532" t="str">
        <f t="shared" si="32"/>
        <v>超级直播</v>
      </c>
      <c r="S532" t="str">
        <f>_xlfn.XLOOKUP(B532,全店核心数据_bymonth!A:A,全店核心数据_bymonth!AN:AN)</f>
        <v>BU25</v>
      </c>
    </row>
    <row r="533" spans="1:19" x14ac:dyDescent="0.3">
      <c r="A533" t="s">
        <v>110</v>
      </c>
      <c r="B533" s="16">
        <v>45597</v>
      </c>
      <c r="C533" t="s">
        <v>2</v>
      </c>
      <c r="D533" t="s">
        <v>55</v>
      </c>
      <c r="E533" t="s">
        <v>56</v>
      </c>
      <c r="F533">
        <v>3895</v>
      </c>
      <c r="G533">
        <v>3009</v>
      </c>
      <c r="H533">
        <v>177</v>
      </c>
      <c r="I533">
        <v>160</v>
      </c>
      <c r="J533">
        <v>0</v>
      </c>
      <c r="K533">
        <v>0</v>
      </c>
      <c r="L533">
        <v>0</v>
      </c>
      <c r="M533">
        <v>0</v>
      </c>
      <c r="N533">
        <v>93</v>
      </c>
      <c r="O533">
        <v>3338</v>
      </c>
      <c r="P533">
        <f t="shared" ref="P533:P596" si="33">YEAR(B533)</f>
        <v>2024</v>
      </c>
      <c r="Q533">
        <f t="shared" ref="Q533:Q596" si="34">MONTH(B533)</f>
        <v>11</v>
      </c>
      <c r="R533" t="str">
        <f t="shared" si="32"/>
        <v>超级短视频</v>
      </c>
      <c r="S533" t="str">
        <f>_xlfn.XLOOKUP(B533,全店核心数据_bymonth!A:A,全店核心数据_bymonth!AN:AN)</f>
        <v>BU25</v>
      </c>
    </row>
    <row r="534" spans="1:19" x14ac:dyDescent="0.3">
      <c r="A534" t="s">
        <v>110</v>
      </c>
      <c r="B534" s="16">
        <v>45597</v>
      </c>
      <c r="C534" t="s">
        <v>2</v>
      </c>
      <c r="D534" t="s">
        <v>52</v>
      </c>
      <c r="E534" t="s">
        <v>53</v>
      </c>
      <c r="F534">
        <v>4013</v>
      </c>
      <c r="G534">
        <v>3551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4013</v>
      </c>
      <c r="O534">
        <v>633</v>
      </c>
      <c r="P534">
        <f t="shared" si="33"/>
        <v>2024</v>
      </c>
      <c r="Q534">
        <f t="shared" si="34"/>
        <v>11</v>
      </c>
      <c r="R534" t="str">
        <f t="shared" si="32"/>
        <v>Showmax</v>
      </c>
      <c r="S534" t="str">
        <f>_xlfn.XLOOKUP(B534,全店核心数据_bymonth!A:A,全店核心数据_bymonth!AN:AN)</f>
        <v>BU25</v>
      </c>
    </row>
    <row r="535" spans="1:19" x14ac:dyDescent="0.3">
      <c r="A535" t="s">
        <v>110</v>
      </c>
      <c r="B535" s="16">
        <v>45597</v>
      </c>
      <c r="C535" t="s">
        <v>2</v>
      </c>
      <c r="D535" t="s">
        <v>52</v>
      </c>
      <c r="E535" t="s">
        <v>59</v>
      </c>
      <c r="F535">
        <v>3562</v>
      </c>
      <c r="G535">
        <v>3085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3562</v>
      </c>
      <c r="O535">
        <v>890</v>
      </c>
      <c r="P535">
        <f t="shared" si="33"/>
        <v>2024</v>
      </c>
      <c r="Q535">
        <f t="shared" si="34"/>
        <v>11</v>
      </c>
      <c r="R535" t="str">
        <f t="shared" si="32"/>
        <v>品牌特秀</v>
      </c>
      <c r="S535" t="str">
        <f>_xlfn.XLOOKUP(B535,全店核心数据_bymonth!A:A,全店核心数据_bymonth!AN:AN)</f>
        <v>BU25</v>
      </c>
    </row>
    <row r="536" spans="1:19" x14ac:dyDescent="0.3">
      <c r="A536" t="s">
        <v>110</v>
      </c>
      <c r="B536" s="16">
        <v>45597</v>
      </c>
      <c r="C536" t="s">
        <v>2</v>
      </c>
      <c r="D536" t="s">
        <v>52</v>
      </c>
      <c r="E536" t="s">
        <v>183</v>
      </c>
      <c r="F536">
        <v>17341</v>
      </c>
      <c r="G536">
        <v>15708</v>
      </c>
      <c r="H536">
        <v>577</v>
      </c>
      <c r="I536">
        <v>152</v>
      </c>
      <c r="J536">
        <v>738148.5</v>
      </c>
      <c r="K536">
        <v>133</v>
      </c>
      <c r="L536">
        <v>572094.5</v>
      </c>
      <c r="M536">
        <v>113</v>
      </c>
      <c r="N536">
        <v>17341</v>
      </c>
      <c r="O536">
        <v>9688</v>
      </c>
      <c r="P536">
        <f t="shared" si="33"/>
        <v>2024</v>
      </c>
      <c r="Q536">
        <f t="shared" si="34"/>
        <v>11</v>
      </c>
      <c r="R536" t="str">
        <f t="shared" si="32"/>
        <v>品销宝-品牌专区</v>
      </c>
      <c r="S536" t="str">
        <f>_xlfn.XLOOKUP(B536,全店核心数据_bymonth!A:A,全店核心数据_bymonth!AN:AN)</f>
        <v>BU25</v>
      </c>
    </row>
    <row r="537" spans="1:19" x14ac:dyDescent="0.3">
      <c r="A537" t="s">
        <v>110</v>
      </c>
      <c r="B537" s="16">
        <v>45597</v>
      </c>
      <c r="C537" t="s">
        <v>2</v>
      </c>
      <c r="D537" t="s">
        <v>52</v>
      </c>
      <c r="E537" t="s">
        <v>58</v>
      </c>
      <c r="F537">
        <v>3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1</v>
      </c>
      <c r="O537">
        <v>2</v>
      </c>
      <c r="P537">
        <f t="shared" si="33"/>
        <v>2024</v>
      </c>
      <c r="Q537">
        <f t="shared" si="34"/>
        <v>11</v>
      </c>
      <c r="R537" t="str">
        <f t="shared" si="32"/>
        <v>超级全域通</v>
      </c>
      <c r="S537" t="str">
        <f>_xlfn.XLOOKUP(B537,全店核心数据_bymonth!A:A,全店核心数据_bymonth!AN:AN)</f>
        <v>BU25</v>
      </c>
    </row>
    <row r="538" spans="1:19" x14ac:dyDescent="0.3">
      <c r="A538" t="s">
        <v>110</v>
      </c>
      <c r="B538" s="16">
        <v>45597</v>
      </c>
      <c r="C538" t="s">
        <v>2</v>
      </c>
      <c r="D538" t="s">
        <v>57</v>
      </c>
      <c r="E538" t="s">
        <v>65</v>
      </c>
      <c r="F538">
        <v>105119</v>
      </c>
      <c r="G538">
        <v>97629</v>
      </c>
      <c r="H538">
        <v>2438</v>
      </c>
      <c r="I538">
        <v>704</v>
      </c>
      <c r="J538">
        <v>3361809</v>
      </c>
      <c r="K538">
        <v>573</v>
      </c>
      <c r="L538">
        <v>2137935.5</v>
      </c>
      <c r="M538">
        <v>481</v>
      </c>
      <c r="N538">
        <v>8837</v>
      </c>
      <c r="O538">
        <v>104265</v>
      </c>
      <c r="P538">
        <f t="shared" si="33"/>
        <v>2024</v>
      </c>
      <c r="Q538">
        <f t="shared" si="34"/>
        <v>11</v>
      </c>
      <c r="R538" t="str">
        <f t="shared" si="32"/>
        <v>直通车</v>
      </c>
      <c r="S538" t="str">
        <f>_xlfn.XLOOKUP(B538,全店核心数据_bymonth!A:A,全店核心数据_bymonth!AN:AN)</f>
        <v>BU25</v>
      </c>
    </row>
    <row r="539" spans="1:19" x14ac:dyDescent="0.3">
      <c r="A539" t="s">
        <v>110</v>
      </c>
      <c r="B539" s="16">
        <v>45597</v>
      </c>
      <c r="C539" t="s">
        <v>2</v>
      </c>
      <c r="D539" t="s">
        <v>57</v>
      </c>
      <c r="E539" t="s">
        <v>63</v>
      </c>
      <c r="F539">
        <v>69938</v>
      </c>
      <c r="G539">
        <v>57342</v>
      </c>
      <c r="H539">
        <v>2681</v>
      </c>
      <c r="I539">
        <v>1339</v>
      </c>
      <c r="J539">
        <v>2623545.27</v>
      </c>
      <c r="K539">
        <v>474</v>
      </c>
      <c r="L539">
        <v>1615948.27</v>
      </c>
      <c r="M539">
        <v>380</v>
      </c>
      <c r="N539">
        <v>5511</v>
      </c>
      <c r="O539">
        <v>69729</v>
      </c>
      <c r="P539">
        <f t="shared" si="33"/>
        <v>2024</v>
      </c>
      <c r="Q539">
        <f t="shared" si="34"/>
        <v>11</v>
      </c>
      <c r="R539" t="str">
        <f t="shared" si="32"/>
        <v>万相台</v>
      </c>
      <c r="S539" t="str">
        <f>_xlfn.XLOOKUP(B539,全店核心数据_bymonth!A:A,全店核心数据_bymonth!AN:AN)</f>
        <v>BU25</v>
      </c>
    </row>
    <row r="540" spans="1:19" x14ac:dyDescent="0.3">
      <c r="A540" t="s">
        <v>110</v>
      </c>
      <c r="B540" s="16">
        <v>45597</v>
      </c>
      <c r="C540" t="s">
        <v>2</v>
      </c>
      <c r="D540" t="s">
        <v>57</v>
      </c>
      <c r="E540" t="s">
        <v>64</v>
      </c>
      <c r="F540">
        <v>63841</v>
      </c>
      <c r="G540">
        <v>47797</v>
      </c>
      <c r="H540">
        <v>1993</v>
      </c>
      <c r="I540">
        <v>1143</v>
      </c>
      <c r="J540">
        <v>1124445.01</v>
      </c>
      <c r="K540">
        <v>234</v>
      </c>
      <c r="L540">
        <v>731191.14</v>
      </c>
      <c r="M540">
        <v>181</v>
      </c>
      <c r="N540">
        <v>7135</v>
      </c>
      <c r="O540">
        <v>63815</v>
      </c>
      <c r="P540">
        <f t="shared" si="33"/>
        <v>2024</v>
      </c>
      <c r="Q540">
        <f t="shared" si="34"/>
        <v>11</v>
      </c>
      <c r="R540" t="str">
        <f t="shared" si="32"/>
        <v>引力魔方</v>
      </c>
      <c r="S540" t="str">
        <f>_xlfn.XLOOKUP(B540,全店核心数据_bymonth!A:A,全店核心数据_bymonth!AN:AN)</f>
        <v>BU25</v>
      </c>
    </row>
    <row r="541" spans="1:19" x14ac:dyDescent="0.3">
      <c r="A541" t="s">
        <v>110</v>
      </c>
      <c r="B541" s="16">
        <v>45597</v>
      </c>
      <c r="C541" t="s">
        <v>2</v>
      </c>
      <c r="D541" t="s">
        <v>4</v>
      </c>
      <c r="E541" t="s">
        <v>42</v>
      </c>
      <c r="F541">
        <v>2</v>
      </c>
      <c r="G541">
        <v>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f t="shared" si="33"/>
        <v>2024</v>
      </c>
      <c r="Q541">
        <f t="shared" si="34"/>
        <v>11</v>
      </c>
      <c r="R541" t="str">
        <f t="shared" si="32"/>
        <v>UD效果投放</v>
      </c>
      <c r="S541" t="str">
        <f>_xlfn.XLOOKUP(B541,全店核心数据_bymonth!A:A,全店核心数据_bymonth!AN:AN)</f>
        <v>BU25</v>
      </c>
    </row>
    <row r="542" spans="1:19" x14ac:dyDescent="0.3">
      <c r="A542" t="s">
        <v>110</v>
      </c>
      <c r="B542" s="16">
        <v>45597</v>
      </c>
      <c r="C542" t="s">
        <v>2</v>
      </c>
      <c r="D542" t="s">
        <v>4</v>
      </c>
      <c r="E542" t="s">
        <v>41</v>
      </c>
      <c r="F542">
        <v>43</v>
      </c>
      <c r="G542">
        <v>23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8</v>
      </c>
      <c r="O542">
        <v>37</v>
      </c>
      <c r="P542">
        <f t="shared" si="33"/>
        <v>2024</v>
      </c>
      <c r="Q542">
        <f t="shared" si="34"/>
        <v>11</v>
      </c>
      <c r="R542" t="str">
        <f t="shared" si="32"/>
        <v>流量宝</v>
      </c>
      <c r="S542" t="str">
        <f>_xlfn.XLOOKUP(B542,全店核心数据_bymonth!A:A,全店核心数据_bymonth!AN:AN)</f>
        <v>BU25</v>
      </c>
    </row>
    <row r="543" spans="1:19" x14ac:dyDescent="0.3">
      <c r="A543" t="s">
        <v>110</v>
      </c>
      <c r="B543" s="16">
        <v>45597</v>
      </c>
      <c r="C543" t="s">
        <v>2</v>
      </c>
      <c r="D543" t="s">
        <v>4</v>
      </c>
      <c r="E543" t="s">
        <v>43</v>
      </c>
      <c r="F543">
        <v>4917</v>
      </c>
      <c r="G543">
        <v>2843</v>
      </c>
      <c r="H543">
        <v>115</v>
      </c>
      <c r="I543">
        <v>19</v>
      </c>
      <c r="J543">
        <v>164625.41</v>
      </c>
      <c r="K543">
        <v>41</v>
      </c>
      <c r="L543">
        <v>146088.41</v>
      </c>
      <c r="M543">
        <v>39</v>
      </c>
      <c r="N543">
        <v>556</v>
      </c>
      <c r="O543">
        <v>4720</v>
      </c>
      <c r="P543">
        <f t="shared" si="33"/>
        <v>2024</v>
      </c>
      <c r="Q543">
        <f t="shared" si="34"/>
        <v>11</v>
      </c>
      <c r="R543" t="str">
        <f t="shared" si="32"/>
        <v>淘宝客</v>
      </c>
      <c r="S543" t="str">
        <f>_xlfn.XLOOKUP(B543,全店核心数据_bymonth!A:A,全店核心数据_bymonth!AN:AN)</f>
        <v>BU25</v>
      </c>
    </row>
    <row r="544" spans="1:19" x14ac:dyDescent="0.3">
      <c r="A544" t="s">
        <v>110</v>
      </c>
      <c r="B544" s="16">
        <v>45231</v>
      </c>
      <c r="C544" t="s">
        <v>3</v>
      </c>
      <c r="D544" t="s">
        <v>114</v>
      </c>
      <c r="E544" t="s">
        <v>159</v>
      </c>
      <c r="F544">
        <v>1908</v>
      </c>
      <c r="G544">
        <v>1040</v>
      </c>
      <c r="H544">
        <v>46</v>
      </c>
      <c r="I544">
        <v>15</v>
      </c>
      <c r="J544">
        <v>44162</v>
      </c>
      <c r="K544">
        <v>11</v>
      </c>
      <c r="L544">
        <v>35765</v>
      </c>
      <c r="M544">
        <v>10</v>
      </c>
      <c r="O544">
        <v>1800</v>
      </c>
      <c r="P544">
        <f t="shared" si="33"/>
        <v>2023</v>
      </c>
      <c r="Q544">
        <f t="shared" si="34"/>
        <v>11</v>
      </c>
      <c r="R544" t="str">
        <f t="shared" si="32"/>
        <v>主会场</v>
      </c>
      <c r="S544" t="str">
        <f>_xlfn.XLOOKUP(B544,全店核心数据_bymonth!A:A,全店核心数据_bymonth!AN:AN)</f>
        <v>BU24</v>
      </c>
    </row>
    <row r="545" spans="1:19" x14ac:dyDescent="0.3">
      <c r="A545" t="s">
        <v>110</v>
      </c>
      <c r="B545" s="16">
        <v>45231</v>
      </c>
      <c r="C545" t="s">
        <v>3</v>
      </c>
      <c r="D545" t="s">
        <v>114</v>
      </c>
      <c r="E545" t="s">
        <v>160</v>
      </c>
      <c r="F545">
        <v>48</v>
      </c>
      <c r="G545">
        <v>43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O545">
        <v>48</v>
      </c>
      <c r="P545">
        <f t="shared" si="33"/>
        <v>2023</v>
      </c>
      <c r="Q545">
        <f t="shared" si="34"/>
        <v>11</v>
      </c>
      <c r="R545" t="str">
        <f t="shared" si="32"/>
        <v>榜单会场</v>
      </c>
      <c r="S545" t="str">
        <f>_xlfn.XLOOKUP(B545,全店核心数据_bymonth!A:A,全店核心数据_bymonth!AN:AN)</f>
        <v>BU24</v>
      </c>
    </row>
    <row r="546" spans="1:19" x14ac:dyDescent="0.3">
      <c r="A546" t="s">
        <v>110</v>
      </c>
      <c r="B546" s="16">
        <v>45231</v>
      </c>
      <c r="C546" t="s">
        <v>3</v>
      </c>
      <c r="D546" t="s">
        <v>114</v>
      </c>
      <c r="E546" t="s">
        <v>225</v>
      </c>
      <c r="F546">
        <v>32</v>
      </c>
      <c r="G546">
        <v>14</v>
      </c>
      <c r="H546">
        <v>0</v>
      </c>
      <c r="I546">
        <v>1</v>
      </c>
      <c r="J546">
        <v>6660</v>
      </c>
      <c r="K546">
        <v>1</v>
      </c>
      <c r="L546">
        <v>6660</v>
      </c>
      <c r="M546">
        <v>1</v>
      </c>
      <c r="O546">
        <v>31</v>
      </c>
      <c r="P546">
        <f t="shared" si="33"/>
        <v>2023</v>
      </c>
      <c r="Q546">
        <f t="shared" si="34"/>
        <v>11</v>
      </c>
      <c r="R546" t="str">
        <f t="shared" si="32"/>
        <v>热点会场</v>
      </c>
      <c r="S546" t="str">
        <f>_xlfn.XLOOKUP(B546,全店核心数据_bymonth!A:A,全店核心数据_bymonth!AN:AN)</f>
        <v>BU24</v>
      </c>
    </row>
    <row r="547" spans="1:19" x14ac:dyDescent="0.3">
      <c r="A547" t="s">
        <v>110</v>
      </c>
      <c r="B547" s="16">
        <v>45231</v>
      </c>
      <c r="C547" t="s">
        <v>3</v>
      </c>
      <c r="D547" t="s">
        <v>185</v>
      </c>
      <c r="E547" t="s">
        <v>190</v>
      </c>
      <c r="F547">
        <v>73</v>
      </c>
      <c r="G547">
        <v>47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O547">
        <v>73</v>
      </c>
      <c r="P547">
        <f t="shared" si="33"/>
        <v>2023</v>
      </c>
      <c r="Q547">
        <f t="shared" si="34"/>
        <v>11</v>
      </c>
      <c r="R547" t="str">
        <f t="shared" si="32"/>
        <v>超级惊喜站</v>
      </c>
      <c r="S547" t="str">
        <f>_xlfn.XLOOKUP(B547,全店核心数据_bymonth!A:A,全店核心数据_bymonth!AN:AN)</f>
        <v>BU24</v>
      </c>
    </row>
    <row r="548" spans="1:19" x14ac:dyDescent="0.3">
      <c r="A548" t="s">
        <v>110</v>
      </c>
      <c r="B548" s="16">
        <v>45231</v>
      </c>
      <c r="C548" t="s">
        <v>3</v>
      </c>
      <c r="D548" t="s">
        <v>117</v>
      </c>
      <c r="E548" t="s">
        <v>161</v>
      </c>
      <c r="F548">
        <v>559</v>
      </c>
      <c r="G548">
        <v>460</v>
      </c>
      <c r="H548">
        <v>5</v>
      </c>
      <c r="I548">
        <v>5</v>
      </c>
      <c r="J548">
        <v>10160</v>
      </c>
      <c r="K548">
        <v>2</v>
      </c>
      <c r="L548">
        <v>10160</v>
      </c>
      <c r="M548">
        <v>2</v>
      </c>
      <c r="O548">
        <v>559</v>
      </c>
      <c r="P548">
        <f t="shared" si="33"/>
        <v>2023</v>
      </c>
      <c r="Q548">
        <f t="shared" si="34"/>
        <v>11</v>
      </c>
      <c r="R548" t="str">
        <f t="shared" si="32"/>
        <v>其他入口榜单</v>
      </c>
      <c r="S548" t="str">
        <f>_xlfn.XLOOKUP(B548,全店核心数据_bymonth!A:A,全店核心数据_bymonth!AN:AN)</f>
        <v>BU24</v>
      </c>
    </row>
    <row r="549" spans="1:19" x14ac:dyDescent="0.3">
      <c r="A549" t="s">
        <v>110</v>
      </c>
      <c r="B549" s="16">
        <v>45231</v>
      </c>
      <c r="C549" t="s">
        <v>3</v>
      </c>
      <c r="D549" t="s">
        <v>117</v>
      </c>
      <c r="E549" t="s">
        <v>191</v>
      </c>
      <c r="F549">
        <v>67</v>
      </c>
      <c r="G549">
        <v>62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O549">
        <v>67</v>
      </c>
      <c r="P549">
        <f t="shared" si="33"/>
        <v>2023</v>
      </c>
      <c r="Q549">
        <f t="shared" si="34"/>
        <v>11</v>
      </c>
      <c r="R549" t="str">
        <f t="shared" si="32"/>
        <v>商品详情页入口榜单</v>
      </c>
      <c r="S549" t="str">
        <f>_xlfn.XLOOKUP(B549,全店核心数据_bymonth!A:A,全店核心数据_bymonth!AN:AN)</f>
        <v>BU24</v>
      </c>
    </row>
    <row r="550" spans="1:19" x14ac:dyDescent="0.3">
      <c r="A550" t="s">
        <v>110</v>
      </c>
      <c r="B550" s="16">
        <v>45231</v>
      </c>
      <c r="C550" t="s">
        <v>3</v>
      </c>
      <c r="D550" t="s">
        <v>117</v>
      </c>
      <c r="E550" t="s">
        <v>195</v>
      </c>
      <c r="F550">
        <v>22</v>
      </c>
      <c r="G550">
        <v>20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O550">
        <v>22</v>
      </c>
      <c r="P550">
        <f t="shared" si="33"/>
        <v>2023</v>
      </c>
      <c r="Q550">
        <f t="shared" si="34"/>
        <v>11</v>
      </c>
      <c r="R550" t="str">
        <f t="shared" si="32"/>
        <v>搜索入口榜单</v>
      </c>
      <c r="S550" t="str">
        <f>_xlfn.XLOOKUP(B550,全店核心数据_bymonth!A:A,全店核心数据_bymonth!AN:AN)</f>
        <v>BU24</v>
      </c>
    </row>
    <row r="551" spans="1:19" x14ac:dyDescent="0.3">
      <c r="A551" t="s">
        <v>110</v>
      </c>
      <c r="B551" s="16">
        <v>45231</v>
      </c>
      <c r="C551" t="s">
        <v>3</v>
      </c>
      <c r="D551" t="s">
        <v>120</v>
      </c>
      <c r="E551" t="s">
        <v>162</v>
      </c>
      <c r="F551">
        <v>102</v>
      </c>
      <c r="G551">
        <v>95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O551">
        <v>36</v>
      </c>
      <c r="P551">
        <f t="shared" si="33"/>
        <v>2023</v>
      </c>
      <c r="Q551">
        <f t="shared" si="34"/>
        <v>11</v>
      </c>
      <c r="R551" t="str">
        <f t="shared" si="32"/>
        <v>手机浏览器访问天猫</v>
      </c>
      <c r="S551" t="str">
        <f>_xlfn.XLOOKUP(B551,全店核心数据_bymonth!A:A,全店核心数据_bymonth!AN:AN)</f>
        <v>BU24</v>
      </c>
    </row>
    <row r="552" spans="1:19" x14ac:dyDescent="0.3">
      <c r="A552" t="s">
        <v>110</v>
      </c>
      <c r="B552" s="16">
        <v>45231</v>
      </c>
      <c r="C552" t="s">
        <v>3</v>
      </c>
      <c r="D552" t="s">
        <v>120</v>
      </c>
      <c r="E552" t="s">
        <v>163</v>
      </c>
      <c r="F552">
        <v>1410</v>
      </c>
      <c r="G552">
        <v>868</v>
      </c>
      <c r="H552">
        <v>25</v>
      </c>
      <c r="I552">
        <v>1</v>
      </c>
      <c r="J552">
        <v>195497.5</v>
      </c>
      <c r="K552">
        <v>33</v>
      </c>
      <c r="L552">
        <v>173238.5</v>
      </c>
      <c r="M552">
        <v>29</v>
      </c>
      <c r="O552">
        <v>1348</v>
      </c>
      <c r="P552">
        <f t="shared" si="33"/>
        <v>2023</v>
      </c>
      <c r="Q552">
        <f t="shared" si="34"/>
        <v>11</v>
      </c>
      <c r="R552" t="str">
        <f t="shared" si="32"/>
        <v>手猫免费其他</v>
      </c>
      <c r="S552" t="str">
        <f>_xlfn.XLOOKUP(B552,全店核心数据_bymonth!A:A,全店核心数据_bymonth!AN:AN)</f>
        <v>BU24</v>
      </c>
    </row>
    <row r="553" spans="1:19" x14ac:dyDescent="0.3">
      <c r="A553" t="s">
        <v>110</v>
      </c>
      <c r="B553" s="16">
        <v>45231</v>
      </c>
      <c r="C553" t="s">
        <v>3</v>
      </c>
      <c r="D553" t="s">
        <v>120</v>
      </c>
      <c r="E553" t="s">
        <v>164</v>
      </c>
      <c r="F553">
        <v>948</v>
      </c>
      <c r="G553">
        <v>570</v>
      </c>
      <c r="H553">
        <v>23</v>
      </c>
      <c r="I553">
        <v>0</v>
      </c>
      <c r="J553">
        <v>194225.5</v>
      </c>
      <c r="K553">
        <v>34</v>
      </c>
      <c r="L553">
        <v>167315.5</v>
      </c>
      <c r="M553">
        <v>30</v>
      </c>
      <c r="O553">
        <v>948</v>
      </c>
      <c r="P553">
        <f t="shared" si="33"/>
        <v>2023</v>
      </c>
      <c r="Q553">
        <f t="shared" si="34"/>
        <v>11</v>
      </c>
      <c r="R553" t="str">
        <f t="shared" si="32"/>
        <v>手猫其他店铺</v>
      </c>
      <c r="S553" t="str">
        <f>_xlfn.XLOOKUP(B553,全店核心数据_bymonth!A:A,全店核心数据_bymonth!AN:AN)</f>
        <v>BU24</v>
      </c>
    </row>
    <row r="554" spans="1:19" x14ac:dyDescent="0.3">
      <c r="A554" t="s">
        <v>110</v>
      </c>
      <c r="B554" s="16">
        <v>45231</v>
      </c>
      <c r="C554" t="s">
        <v>3</v>
      </c>
      <c r="D554" t="s">
        <v>120</v>
      </c>
      <c r="E554" t="s">
        <v>165</v>
      </c>
      <c r="F554">
        <v>1363</v>
      </c>
      <c r="G554">
        <v>839</v>
      </c>
      <c r="H554">
        <v>9</v>
      </c>
      <c r="I554">
        <v>0</v>
      </c>
      <c r="J554">
        <v>174697.5</v>
      </c>
      <c r="K554">
        <v>32</v>
      </c>
      <c r="L554">
        <v>147242.5</v>
      </c>
      <c r="M554">
        <v>29</v>
      </c>
      <c r="O554">
        <v>1327</v>
      </c>
      <c r="P554">
        <f t="shared" si="33"/>
        <v>2023</v>
      </c>
      <c r="Q554">
        <f t="shared" si="34"/>
        <v>11</v>
      </c>
      <c r="R554" t="str">
        <f t="shared" si="32"/>
        <v>手猫商品详情</v>
      </c>
      <c r="S554" t="str">
        <f>_xlfn.XLOOKUP(B554,全店核心数据_bymonth!A:A,全店核心数据_bymonth!AN:AN)</f>
        <v>BU24</v>
      </c>
    </row>
    <row r="555" spans="1:19" x14ac:dyDescent="0.3">
      <c r="A555" t="s">
        <v>110</v>
      </c>
      <c r="B555" s="16">
        <v>45231</v>
      </c>
      <c r="C555" t="s">
        <v>3</v>
      </c>
      <c r="D555" t="s">
        <v>120</v>
      </c>
      <c r="E555" t="s">
        <v>166</v>
      </c>
      <c r="F555">
        <v>2231</v>
      </c>
      <c r="G555">
        <v>1782</v>
      </c>
      <c r="H555">
        <v>19</v>
      </c>
      <c r="I555">
        <v>0</v>
      </c>
      <c r="J555">
        <v>112483</v>
      </c>
      <c r="K555">
        <v>22</v>
      </c>
      <c r="L555">
        <v>95501</v>
      </c>
      <c r="M555">
        <v>20</v>
      </c>
      <c r="O555">
        <v>1880</v>
      </c>
      <c r="P555">
        <f t="shared" si="33"/>
        <v>2023</v>
      </c>
      <c r="Q555">
        <f t="shared" si="34"/>
        <v>11</v>
      </c>
      <c r="R555" t="str">
        <f t="shared" si="32"/>
        <v>手猫搜索</v>
      </c>
      <c r="S555" t="str">
        <f>_xlfn.XLOOKUP(B555,全店核心数据_bymonth!A:A,全店核心数据_bymonth!AN:AN)</f>
        <v>BU24</v>
      </c>
    </row>
    <row r="556" spans="1:19" x14ac:dyDescent="0.3">
      <c r="A556" t="s">
        <v>110</v>
      </c>
      <c r="B556" s="16">
        <v>45231</v>
      </c>
      <c r="C556" t="s">
        <v>3</v>
      </c>
      <c r="D556" t="s">
        <v>120</v>
      </c>
      <c r="E556" t="s">
        <v>167</v>
      </c>
      <c r="F556">
        <v>59</v>
      </c>
      <c r="G556">
        <v>16</v>
      </c>
      <c r="H556">
        <v>2</v>
      </c>
      <c r="I556">
        <v>0</v>
      </c>
      <c r="J556">
        <v>98868</v>
      </c>
      <c r="K556">
        <v>16</v>
      </c>
      <c r="L556">
        <v>98868</v>
      </c>
      <c r="M556">
        <v>16</v>
      </c>
      <c r="O556">
        <v>58</v>
      </c>
      <c r="P556">
        <f t="shared" si="33"/>
        <v>2023</v>
      </c>
      <c r="Q556">
        <f t="shared" si="34"/>
        <v>11</v>
      </c>
      <c r="R556" t="str">
        <f t="shared" si="32"/>
        <v>手猫旺信聊天</v>
      </c>
      <c r="S556" t="str">
        <f>_xlfn.XLOOKUP(B556,全店核心数据_bymonth!A:A,全店核心数据_bymonth!AN:AN)</f>
        <v>BU24</v>
      </c>
    </row>
    <row r="557" spans="1:19" x14ac:dyDescent="0.3">
      <c r="A557" t="s">
        <v>110</v>
      </c>
      <c r="B557" s="16">
        <v>45231</v>
      </c>
      <c r="C557" t="s">
        <v>3</v>
      </c>
      <c r="D557" t="s">
        <v>120</v>
      </c>
      <c r="E557" t="s">
        <v>168</v>
      </c>
      <c r="F557">
        <v>7467</v>
      </c>
      <c r="G557">
        <v>5952</v>
      </c>
      <c r="H557">
        <v>13</v>
      </c>
      <c r="I557">
        <v>1</v>
      </c>
      <c r="J557">
        <v>131579.5</v>
      </c>
      <c r="K557">
        <v>22</v>
      </c>
      <c r="L557">
        <v>77299.5</v>
      </c>
      <c r="M557">
        <v>17</v>
      </c>
      <c r="O557">
        <v>7467</v>
      </c>
      <c r="P557">
        <f t="shared" si="33"/>
        <v>2023</v>
      </c>
      <c r="Q557">
        <f t="shared" si="34"/>
        <v>11</v>
      </c>
      <c r="R557" t="str">
        <f t="shared" si="32"/>
        <v>手猫首页</v>
      </c>
      <c r="S557" t="str">
        <f>_xlfn.XLOOKUP(B557,全店核心数据_bymonth!A:A,全店核心数据_bymonth!AN:AN)</f>
        <v>BU24</v>
      </c>
    </row>
    <row r="558" spans="1:19" x14ac:dyDescent="0.3">
      <c r="A558" t="s">
        <v>110</v>
      </c>
      <c r="B558" s="16">
        <v>45231</v>
      </c>
      <c r="C558" t="s">
        <v>3</v>
      </c>
      <c r="D558" t="s">
        <v>123</v>
      </c>
      <c r="E558" t="s">
        <v>169</v>
      </c>
      <c r="F558">
        <v>4162</v>
      </c>
      <c r="G558">
        <v>2172</v>
      </c>
      <c r="H558">
        <v>201</v>
      </c>
      <c r="I558">
        <v>85</v>
      </c>
      <c r="J558">
        <v>246601.94</v>
      </c>
      <c r="K558">
        <v>47</v>
      </c>
      <c r="L558">
        <v>206196.94</v>
      </c>
      <c r="M558">
        <v>39</v>
      </c>
      <c r="O558">
        <v>3951</v>
      </c>
      <c r="P558">
        <f t="shared" si="33"/>
        <v>2023</v>
      </c>
      <c r="Q558">
        <f t="shared" si="34"/>
        <v>11</v>
      </c>
      <c r="R558" t="str">
        <f t="shared" si="32"/>
        <v>商品详情页头图推荐</v>
      </c>
      <c r="S558" t="str">
        <f>_xlfn.XLOOKUP(B558,全店核心数据_bymonth!A:A,全店核心数据_bymonth!AN:AN)</f>
        <v>BU24</v>
      </c>
    </row>
    <row r="559" spans="1:19" x14ac:dyDescent="0.3">
      <c r="A559" t="s">
        <v>110</v>
      </c>
      <c r="B559" s="16">
        <v>45231</v>
      </c>
      <c r="C559" t="s">
        <v>3</v>
      </c>
      <c r="D559" t="s">
        <v>123</v>
      </c>
      <c r="E559" t="s">
        <v>170</v>
      </c>
      <c r="F559">
        <v>835</v>
      </c>
      <c r="G559">
        <v>517</v>
      </c>
      <c r="H559">
        <v>28</v>
      </c>
      <c r="I559">
        <v>12</v>
      </c>
      <c r="J559">
        <v>72816.899999999994</v>
      </c>
      <c r="K559">
        <v>17</v>
      </c>
      <c r="L559">
        <v>63660.4</v>
      </c>
      <c r="M559">
        <v>14</v>
      </c>
      <c r="O559">
        <v>400</v>
      </c>
      <c r="P559">
        <f t="shared" si="33"/>
        <v>2023</v>
      </c>
      <c r="Q559">
        <f t="shared" si="34"/>
        <v>11</v>
      </c>
      <c r="R559" t="str">
        <f t="shared" si="32"/>
        <v>店铺超链</v>
      </c>
      <c r="S559" t="str">
        <f>_xlfn.XLOOKUP(B559,全店核心数据_bymonth!A:A,全店核心数据_bymonth!AN:AN)</f>
        <v>BU24</v>
      </c>
    </row>
    <row r="560" spans="1:19" x14ac:dyDescent="0.3">
      <c r="A560" t="s">
        <v>110</v>
      </c>
      <c r="B560" s="16">
        <v>45231</v>
      </c>
      <c r="C560" t="s">
        <v>3</v>
      </c>
      <c r="D560" t="s">
        <v>127</v>
      </c>
      <c r="E560" t="s">
        <v>171</v>
      </c>
      <c r="F560">
        <v>3974</v>
      </c>
      <c r="G560">
        <v>2431</v>
      </c>
      <c r="H560">
        <v>103</v>
      </c>
      <c r="I560">
        <v>51</v>
      </c>
      <c r="J560">
        <v>179197.89</v>
      </c>
      <c r="K560">
        <v>40</v>
      </c>
      <c r="L560">
        <v>118896.89</v>
      </c>
      <c r="M560">
        <v>32</v>
      </c>
      <c r="O560">
        <v>3039</v>
      </c>
      <c r="P560">
        <f t="shared" si="33"/>
        <v>2023</v>
      </c>
      <c r="Q560">
        <f t="shared" si="34"/>
        <v>11</v>
      </c>
      <c r="R560" t="str">
        <f t="shared" si="32"/>
        <v>其他猜你喜欢</v>
      </c>
      <c r="S560" t="str">
        <f>_xlfn.XLOOKUP(B560,全店核心数据_bymonth!A:A,全店核心数据_bymonth!AN:AN)</f>
        <v>BU24</v>
      </c>
    </row>
    <row r="561" spans="1:19" x14ac:dyDescent="0.3">
      <c r="A561" t="s">
        <v>110</v>
      </c>
      <c r="B561" s="16">
        <v>45231</v>
      </c>
      <c r="C561" t="s">
        <v>3</v>
      </c>
      <c r="D561" t="s">
        <v>127</v>
      </c>
      <c r="E561" t="s">
        <v>193</v>
      </c>
      <c r="F561">
        <v>40</v>
      </c>
      <c r="G561">
        <v>28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O561">
        <v>40</v>
      </c>
      <c r="P561">
        <f t="shared" si="33"/>
        <v>2023</v>
      </c>
      <c r="Q561">
        <f t="shared" si="34"/>
        <v>11</v>
      </c>
      <c r="R561" t="str">
        <f t="shared" si="32"/>
        <v>推荐云主题</v>
      </c>
      <c r="S561" t="str">
        <f>_xlfn.XLOOKUP(B561,全店核心数据_bymonth!A:A,全店核心数据_bymonth!AN:AN)</f>
        <v>BU24</v>
      </c>
    </row>
    <row r="562" spans="1:19" x14ac:dyDescent="0.3">
      <c r="A562" t="s">
        <v>110</v>
      </c>
      <c r="B562" s="16">
        <v>45231</v>
      </c>
      <c r="C562" t="s">
        <v>3</v>
      </c>
      <c r="D562" t="s">
        <v>127</v>
      </c>
      <c r="E562" t="s">
        <v>172</v>
      </c>
      <c r="F562">
        <v>227</v>
      </c>
      <c r="G562">
        <v>86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O562">
        <v>190</v>
      </c>
      <c r="P562">
        <f t="shared" si="33"/>
        <v>2023</v>
      </c>
      <c r="Q562">
        <f t="shared" si="34"/>
        <v>11</v>
      </c>
      <c r="R562" t="str">
        <f t="shared" si="32"/>
        <v>购中推荐</v>
      </c>
      <c r="S562" t="str">
        <f>_xlfn.XLOOKUP(B562,全店核心数据_bymonth!A:A,全店核心数据_bymonth!AN:AN)</f>
        <v>BU24</v>
      </c>
    </row>
    <row r="563" spans="1:19" x14ac:dyDescent="0.3">
      <c r="A563" t="s">
        <v>110</v>
      </c>
      <c r="B563" s="16">
        <v>45231</v>
      </c>
      <c r="C563" t="s">
        <v>3</v>
      </c>
      <c r="D563" t="s">
        <v>127</v>
      </c>
      <c r="E563" t="s">
        <v>173</v>
      </c>
      <c r="F563">
        <v>978</v>
      </c>
      <c r="G563">
        <v>509</v>
      </c>
      <c r="H563">
        <v>13</v>
      </c>
      <c r="I563">
        <v>6</v>
      </c>
      <c r="J563">
        <v>8110</v>
      </c>
      <c r="K563">
        <v>2</v>
      </c>
      <c r="L563">
        <v>6430</v>
      </c>
      <c r="M563">
        <v>1</v>
      </c>
      <c r="O563">
        <v>819</v>
      </c>
      <c r="P563">
        <f t="shared" si="33"/>
        <v>2023</v>
      </c>
      <c r="Q563">
        <f t="shared" si="34"/>
        <v>11</v>
      </c>
      <c r="R563" t="str">
        <f t="shared" si="32"/>
        <v>购后推荐</v>
      </c>
      <c r="S563" t="str">
        <f>_xlfn.XLOOKUP(B563,全店核心数据_bymonth!A:A,全店核心数据_bymonth!AN:AN)</f>
        <v>BU24</v>
      </c>
    </row>
    <row r="564" spans="1:19" x14ac:dyDescent="0.3">
      <c r="A564" t="s">
        <v>110</v>
      </c>
      <c r="B564" s="16">
        <v>45231</v>
      </c>
      <c r="C564" t="s">
        <v>3</v>
      </c>
      <c r="D564" t="s">
        <v>127</v>
      </c>
      <c r="E564" t="s">
        <v>174</v>
      </c>
      <c r="F564">
        <v>101048</v>
      </c>
      <c r="G564">
        <v>90817</v>
      </c>
      <c r="H564">
        <v>581</v>
      </c>
      <c r="I564">
        <v>404</v>
      </c>
      <c r="J564">
        <v>370059.5</v>
      </c>
      <c r="K564">
        <v>67</v>
      </c>
      <c r="L564">
        <v>231411.5</v>
      </c>
      <c r="M564">
        <v>51</v>
      </c>
      <c r="O564">
        <v>101048</v>
      </c>
      <c r="P564">
        <f t="shared" si="33"/>
        <v>2023</v>
      </c>
      <c r="Q564">
        <f t="shared" si="34"/>
        <v>11</v>
      </c>
      <c r="R564" t="str">
        <f t="shared" si="32"/>
        <v>首页推荐-微详情</v>
      </c>
      <c r="S564" t="str">
        <f>_xlfn.XLOOKUP(B564,全店核心数据_bymonth!A:A,全店核心数据_bymonth!AN:AN)</f>
        <v>BU24</v>
      </c>
    </row>
    <row r="565" spans="1:19" x14ac:dyDescent="0.3">
      <c r="A565" t="s">
        <v>110</v>
      </c>
      <c r="B565" s="16">
        <v>45231</v>
      </c>
      <c r="C565" t="s">
        <v>3</v>
      </c>
      <c r="D565" t="s">
        <v>127</v>
      </c>
      <c r="E565" t="s">
        <v>175</v>
      </c>
      <c r="F565">
        <v>2589</v>
      </c>
      <c r="G565">
        <v>1824</v>
      </c>
      <c r="H565">
        <v>7</v>
      </c>
      <c r="I565">
        <v>3</v>
      </c>
      <c r="J565">
        <v>0</v>
      </c>
      <c r="K565">
        <v>0</v>
      </c>
      <c r="L565">
        <v>0</v>
      </c>
      <c r="M565">
        <v>0</v>
      </c>
      <c r="O565">
        <v>157</v>
      </c>
      <c r="P565">
        <f t="shared" si="33"/>
        <v>2023</v>
      </c>
      <c r="Q565">
        <f t="shared" si="34"/>
        <v>11</v>
      </c>
      <c r="R565" t="str">
        <f t="shared" si="32"/>
        <v>首页推荐-直播</v>
      </c>
      <c r="S565" t="str">
        <f>_xlfn.XLOOKUP(B565,全店核心数据_bymonth!A:A,全店核心数据_bymonth!AN:AN)</f>
        <v>BU24</v>
      </c>
    </row>
    <row r="566" spans="1:19" x14ac:dyDescent="0.3">
      <c r="A566" t="s">
        <v>110</v>
      </c>
      <c r="B566" s="16">
        <v>45231</v>
      </c>
      <c r="C566" t="s">
        <v>3</v>
      </c>
      <c r="D566" t="s">
        <v>127</v>
      </c>
      <c r="E566" t="s">
        <v>176</v>
      </c>
      <c r="F566">
        <v>2832</v>
      </c>
      <c r="G566">
        <v>2017</v>
      </c>
      <c r="H566">
        <v>0</v>
      </c>
      <c r="I566">
        <v>1</v>
      </c>
      <c r="J566">
        <v>1988</v>
      </c>
      <c r="K566">
        <v>1</v>
      </c>
      <c r="L566">
        <v>1988</v>
      </c>
      <c r="M566">
        <v>1</v>
      </c>
      <c r="O566">
        <v>25</v>
      </c>
      <c r="P566">
        <f t="shared" si="33"/>
        <v>2023</v>
      </c>
      <c r="Q566">
        <f t="shared" si="34"/>
        <v>11</v>
      </c>
      <c r="R566" t="str">
        <f t="shared" si="32"/>
        <v>首页推荐-短视频</v>
      </c>
      <c r="S566" t="str">
        <f>_xlfn.XLOOKUP(B566,全店核心数据_bymonth!A:A,全店核心数据_bymonth!AN:AN)</f>
        <v>BU24</v>
      </c>
    </row>
    <row r="567" spans="1:19" x14ac:dyDescent="0.3">
      <c r="A567" t="s">
        <v>110</v>
      </c>
      <c r="B567" s="16">
        <v>45231</v>
      </c>
      <c r="C567" t="s">
        <v>3</v>
      </c>
      <c r="D567" t="s">
        <v>128</v>
      </c>
      <c r="E567" t="s">
        <v>177</v>
      </c>
      <c r="F567">
        <v>41070</v>
      </c>
      <c r="G567">
        <v>35730</v>
      </c>
      <c r="H567">
        <v>1996</v>
      </c>
      <c r="I567">
        <v>511</v>
      </c>
      <c r="J567">
        <v>2702698.28</v>
      </c>
      <c r="K567">
        <v>523</v>
      </c>
      <c r="L567">
        <v>1964599.17</v>
      </c>
      <c r="M567">
        <v>454</v>
      </c>
      <c r="O567">
        <v>39041</v>
      </c>
      <c r="P567">
        <f t="shared" si="33"/>
        <v>2023</v>
      </c>
      <c r="Q567">
        <f t="shared" si="34"/>
        <v>11</v>
      </c>
      <c r="R567" t="str">
        <f t="shared" si="32"/>
        <v>手淘搜索-商品及其他</v>
      </c>
      <c r="S567" t="str">
        <f>_xlfn.XLOOKUP(B567,全店核心数据_bymonth!A:A,全店核心数据_bymonth!AN:AN)</f>
        <v>BU24</v>
      </c>
    </row>
    <row r="568" spans="1:19" x14ac:dyDescent="0.3">
      <c r="A568" t="s">
        <v>110</v>
      </c>
      <c r="B568" s="16">
        <v>45231</v>
      </c>
      <c r="C568" t="s">
        <v>3</v>
      </c>
      <c r="D568" t="s">
        <v>128</v>
      </c>
      <c r="E568" t="s">
        <v>178</v>
      </c>
      <c r="F568">
        <v>465</v>
      </c>
      <c r="G568">
        <v>301</v>
      </c>
      <c r="H568">
        <v>5</v>
      </c>
      <c r="I568">
        <v>4</v>
      </c>
      <c r="J568">
        <v>13555</v>
      </c>
      <c r="K568">
        <v>3</v>
      </c>
      <c r="L568">
        <v>13555</v>
      </c>
      <c r="M568">
        <v>3</v>
      </c>
      <c r="O568">
        <v>392</v>
      </c>
      <c r="P568">
        <f t="shared" si="33"/>
        <v>2023</v>
      </c>
      <c r="Q568">
        <f t="shared" si="34"/>
        <v>11</v>
      </c>
      <c r="R568" t="str">
        <f t="shared" si="32"/>
        <v>手淘搜索-直播</v>
      </c>
      <c r="S568" t="str">
        <f>_xlfn.XLOOKUP(B568,全店核心数据_bymonth!A:A,全店核心数据_bymonth!AN:AN)</f>
        <v>BU24</v>
      </c>
    </row>
    <row r="569" spans="1:19" x14ac:dyDescent="0.3">
      <c r="A569" t="s">
        <v>110</v>
      </c>
      <c r="B569" s="16">
        <v>45231</v>
      </c>
      <c r="C569" t="s">
        <v>3</v>
      </c>
      <c r="D569" t="s">
        <v>128</v>
      </c>
      <c r="E569" t="s">
        <v>179</v>
      </c>
      <c r="F569">
        <v>439</v>
      </c>
      <c r="G569">
        <v>190</v>
      </c>
      <c r="H569">
        <v>3</v>
      </c>
      <c r="I569">
        <v>5</v>
      </c>
      <c r="J569">
        <v>7110</v>
      </c>
      <c r="K569">
        <v>2</v>
      </c>
      <c r="L569">
        <v>7110</v>
      </c>
      <c r="M569">
        <v>2</v>
      </c>
      <c r="O569">
        <v>109</v>
      </c>
      <c r="P569">
        <f t="shared" si="33"/>
        <v>2023</v>
      </c>
      <c r="Q569">
        <f t="shared" si="34"/>
        <v>11</v>
      </c>
      <c r="R569" t="str">
        <f t="shared" si="32"/>
        <v>手淘搜索-短视频</v>
      </c>
      <c r="S569" t="str">
        <f>_xlfn.XLOOKUP(B569,全店核心数据_bymonth!A:A,全店核心数据_bymonth!AN:AN)</f>
        <v>BU24</v>
      </c>
    </row>
    <row r="570" spans="1:19" x14ac:dyDescent="0.3">
      <c r="A570" t="s">
        <v>110</v>
      </c>
      <c r="B570" s="16">
        <v>45231</v>
      </c>
      <c r="C570" t="s">
        <v>3</v>
      </c>
      <c r="D570" t="s">
        <v>143</v>
      </c>
      <c r="E570" t="s">
        <v>196</v>
      </c>
      <c r="F570">
        <v>17</v>
      </c>
      <c r="G570">
        <v>15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O570">
        <v>17</v>
      </c>
      <c r="P570">
        <f t="shared" si="33"/>
        <v>2023</v>
      </c>
      <c r="Q570">
        <f t="shared" si="34"/>
        <v>11</v>
      </c>
      <c r="R570" t="str">
        <f t="shared" si="32"/>
        <v>淘特互动游戏</v>
      </c>
      <c r="S570" t="str">
        <f>_xlfn.XLOOKUP(B570,全店核心数据_bymonth!A:A,全店核心数据_bymonth!AN:AN)</f>
        <v>BU24</v>
      </c>
    </row>
    <row r="571" spans="1:19" x14ac:dyDescent="0.3">
      <c r="A571" t="s">
        <v>110</v>
      </c>
      <c r="B571" s="16">
        <v>45231</v>
      </c>
      <c r="C571" t="s">
        <v>3</v>
      </c>
      <c r="D571" t="s">
        <v>143</v>
      </c>
      <c r="E571" t="s">
        <v>180</v>
      </c>
      <c r="F571">
        <v>7</v>
      </c>
      <c r="G571">
        <v>6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O571">
        <v>7</v>
      </c>
      <c r="P571">
        <f t="shared" si="33"/>
        <v>2023</v>
      </c>
      <c r="Q571">
        <f t="shared" si="34"/>
        <v>11</v>
      </c>
      <c r="R571" t="str">
        <f t="shared" si="32"/>
        <v>淘特其他渠道</v>
      </c>
      <c r="S571" t="str">
        <f>_xlfn.XLOOKUP(B571,全店核心数据_bymonth!A:A,全店核心数据_bymonth!AN:AN)</f>
        <v>BU24</v>
      </c>
    </row>
    <row r="572" spans="1:19" x14ac:dyDescent="0.3">
      <c r="A572" t="s">
        <v>110</v>
      </c>
      <c r="B572" s="16">
        <v>45231</v>
      </c>
      <c r="C572" t="s">
        <v>3</v>
      </c>
      <c r="D572" t="s">
        <v>143</v>
      </c>
      <c r="E572" t="s">
        <v>197</v>
      </c>
      <c r="F572">
        <v>25</v>
      </c>
      <c r="G572">
        <v>22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O572">
        <v>25</v>
      </c>
      <c r="P572">
        <f t="shared" si="33"/>
        <v>2023</v>
      </c>
      <c r="Q572">
        <f t="shared" si="34"/>
        <v>11</v>
      </c>
      <c r="R572" t="str">
        <f t="shared" si="32"/>
        <v>淘特推荐</v>
      </c>
      <c r="S572" t="str">
        <f>_xlfn.XLOOKUP(B572,全店核心数据_bymonth!A:A,全店核心数据_bymonth!AN:AN)</f>
        <v>BU24</v>
      </c>
    </row>
    <row r="573" spans="1:19" x14ac:dyDescent="0.3">
      <c r="A573" t="s">
        <v>110</v>
      </c>
      <c r="B573" s="16">
        <v>45231</v>
      </c>
      <c r="C573" t="s">
        <v>3</v>
      </c>
      <c r="D573" t="s">
        <v>143</v>
      </c>
      <c r="E573" t="s">
        <v>181</v>
      </c>
      <c r="F573">
        <v>63</v>
      </c>
      <c r="G573">
        <v>58</v>
      </c>
      <c r="H573">
        <v>2</v>
      </c>
      <c r="I573">
        <v>0</v>
      </c>
      <c r="J573">
        <v>3496.5</v>
      </c>
      <c r="K573">
        <v>1</v>
      </c>
      <c r="L573">
        <v>0</v>
      </c>
      <c r="M573">
        <v>0</v>
      </c>
      <c r="O573">
        <v>63</v>
      </c>
      <c r="P573">
        <f t="shared" si="33"/>
        <v>2023</v>
      </c>
      <c r="Q573">
        <f t="shared" si="34"/>
        <v>11</v>
      </c>
      <c r="R573" t="str">
        <f t="shared" si="32"/>
        <v>淘特搜索</v>
      </c>
      <c r="S573" t="str">
        <f>_xlfn.XLOOKUP(B573,全店核心数据_bymonth!A:A,全店核心数据_bymonth!AN:AN)</f>
        <v>BU24</v>
      </c>
    </row>
    <row r="574" spans="1:19" x14ac:dyDescent="0.3">
      <c r="A574" t="s">
        <v>110</v>
      </c>
      <c r="B574" s="16">
        <v>45231</v>
      </c>
      <c r="C574" t="s">
        <v>3</v>
      </c>
      <c r="D574" t="s">
        <v>143</v>
      </c>
      <c r="E574" t="s">
        <v>224</v>
      </c>
      <c r="F574">
        <v>4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O574">
        <v>4</v>
      </c>
      <c r="P574">
        <f t="shared" si="33"/>
        <v>2023</v>
      </c>
      <c r="Q574">
        <f t="shared" si="34"/>
        <v>11</v>
      </c>
      <c r="R574" t="str">
        <f t="shared" si="32"/>
        <v>淘特自主访问</v>
      </c>
      <c r="S574" t="str">
        <f>_xlfn.XLOOKUP(B574,全店核心数据_bymonth!A:A,全店核心数据_bymonth!AN:AN)</f>
        <v>BU24</v>
      </c>
    </row>
    <row r="575" spans="1:19" x14ac:dyDescent="0.3">
      <c r="A575" t="s">
        <v>110</v>
      </c>
      <c r="B575" s="16">
        <v>45231</v>
      </c>
      <c r="C575" t="s">
        <v>3</v>
      </c>
      <c r="D575" t="s">
        <v>157</v>
      </c>
      <c r="E575" t="s">
        <v>182</v>
      </c>
      <c r="F575">
        <v>1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O575">
        <v>1</v>
      </c>
      <c r="P575">
        <f t="shared" si="33"/>
        <v>2023</v>
      </c>
      <c r="Q575">
        <f t="shared" si="34"/>
        <v>11</v>
      </c>
      <c r="R575" t="str">
        <f t="shared" si="32"/>
        <v>飞猪其他</v>
      </c>
      <c r="S575" t="str">
        <f>_xlfn.XLOOKUP(B575,全店核心数据_bymonth!A:A,全店核心数据_bymonth!AN:AN)</f>
        <v>BU24</v>
      </c>
    </row>
    <row r="576" spans="1:19" x14ac:dyDescent="0.3">
      <c r="A576" t="s">
        <v>110</v>
      </c>
      <c r="B576" s="16">
        <v>45231</v>
      </c>
      <c r="C576" t="s">
        <v>2</v>
      </c>
      <c r="D576" t="s">
        <v>55</v>
      </c>
      <c r="E576" t="s">
        <v>54</v>
      </c>
      <c r="F576">
        <v>15703</v>
      </c>
      <c r="G576">
        <v>14525</v>
      </c>
      <c r="H576">
        <v>5</v>
      </c>
      <c r="I576">
        <v>1</v>
      </c>
      <c r="J576">
        <v>0</v>
      </c>
      <c r="K576">
        <v>0</v>
      </c>
      <c r="L576">
        <v>0</v>
      </c>
      <c r="M576">
        <v>0</v>
      </c>
      <c r="O576">
        <v>2332</v>
      </c>
      <c r="P576">
        <f t="shared" si="33"/>
        <v>2023</v>
      </c>
      <c r="Q576">
        <f t="shared" si="34"/>
        <v>11</v>
      </c>
      <c r="R576" t="str">
        <f t="shared" si="32"/>
        <v>超级直播</v>
      </c>
      <c r="S576" t="str">
        <f>_xlfn.XLOOKUP(B576,全店核心数据_bymonth!A:A,全店核心数据_bymonth!AN:AN)</f>
        <v>BU24</v>
      </c>
    </row>
    <row r="577" spans="1:19" x14ac:dyDescent="0.3">
      <c r="A577" t="s">
        <v>110</v>
      </c>
      <c r="B577" s="16">
        <v>45231</v>
      </c>
      <c r="C577" t="s">
        <v>2</v>
      </c>
      <c r="D577" t="s">
        <v>55</v>
      </c>
      <c r="E577" t="s">
        <v>56</v>
      </c>
      <c r="F577">
        <v>7</v>
      </c>
      <c r="G577">
        <v>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O577">
        <v>4</v>
      </c>
      <c r="P577">
        <f t="shared" si="33"/>
        <v>2023</v>
      </c>
      <c r="Q577">
        <f t="shared" si="34"/>
        <v>11</v>
      </c>
      <c r="R577" t="str">
        <f t="shared" si="32"/>
        <v>超级短视频</v>
      </c>
      <c r="S577" t="str">
        <f>_xlfn.XLOOKUP(B577,全店核心数据_bymonth!A:A,全店核心数据_bymonth!AN:AN)</f>
        <v>BU24</v>
      </c>
    </row>
    <row r="578" spans="1:19" x14ac:dyDescent="0.3">
      <c r="A578" t="s">
        <v>110</v>
      </c>
      <c r="B578" s="16">
        <v>45231</v>
      </c>
      <c r="C578" t="s">
        <v>2</v>
      </c>
      <c r="D578" t="s">
        <v>52</v>
      </c>
      <c r="E578" t="s">
        <v>53</v>
      </c>
      <c r="F578">
        <v>10482</v>
      </c>
      <c r="G578">
        <v>9267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O578">
        <v>1909</v>
      </c>
      <c r="P578">
        <f t="shared" si="33"/>
        <v>2023</v>
      </c>
      <c r="Q578">
        <f t="shared" si="34"/>
        <v>11</v>
      </c>
      <c r="R578" t="str">
        <f t="shared" si="32"/>
        <v>Showmax</v>
      </c>
      <c r="S578" t="str">
        <f>_xlfn.XLOOKUP(B578,全店核心数据_bymonth!A:A,全店核心数据_bymonth!AN:AN)</f>
        <v>BU24</v>
      </c>
    </row>
    <row r="579" spans="1:19" x14ac:dyDescent="0.3">
      <c r="A579" t="s">
        <v>110</v>
      </c>
      <c r="B579" s="16">
        <v>45231</v>
      </c>
      <c r="C579" t="s">
        <v>2</v>
      </c>
      <c r="D579" t="s">
        <v>52</v>
      </c>
      <c r="E579" t="s">
        <v>59</v>
      </c>
      <c r="F579">
        <v>19452</v>
      </c>
      <c r="G579">
        <v>17385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O579">
        <v>4018</v>
      </c>
      <c r="P579">
        <f t="shared" si="33"/>
        <v>2023</v>
      </c>
      <c r="Q579">
        <f t="shared" si="34"/>
        <v>11</v>
      </c>
      <c r="R579" t="str">
        <f t="shared" si="32"/>
        <v>品牌特秀</v>
      </c>
      <c r="S579" t="str">
        <f>_xlfn.XLOOKUP(B579,全店核心数据_bymonth!A:A,全店核心数据_bymonth!AN:AN)</f>
        <v>BU24</v>
      </c>
    </row>
    <row r="580" spans="1:19" x14ac:dyDescent="0.3">
      <c r="A580" t="s">
        <v>110</v>
      </c>
      <c r="B580" s="16">
        <v>45231</v>
      </c>
      <c r="C580" t="s">
        <v>2</v>
      </c>
      <c r="D580" t="s">
        <v>52</v>
      </c>
      <c r="E580" t="s">
        <v>183</v>
      </c>
      <c r="F580">
        <v>17514</v>
      </c>
      <c r="G580">
        <v>15517</v>
      </c>
      <c r="H580">
        <v>473</v>
      </c>
      <c r="I580">
        <v>180</v>
      </c>
      <c r="J580">
        <v>607304.43000000005</v>
      </c>
      <c r="K580">
        <v>107</v>
      </c>
      <c r="L580">
        <v>498119.43</v>
      </c>
      <c r="M580">
        <v>97</v>
      </c>
      <c r="O580">
        <v>8708</v>
      </c>
      <c r="P580">
        <f t="shared" si="33"/>
        <v>2023</v>
      </c>
      <c r="Q580">
        <f t="shared" si="34"/>
        <v>11</v>
      </c>
      <c r="R580" t="str">
        <f t="shared" si="32"/>
        <v>品销宝-品牌专区</v>
      </c>
      <c r="S580" t="str">
        <f>_xlfn.XLOOKUP(B580,全店核心数据_bymonth!A:A,全店核心数据_bymonth!AN:AN)</f>
        <v>BU24</v>
      </c>
    </row>
    <row r="581" spans="1:19" x14ac:dyDescent="0.3">
      <c r="A581" t="s">
        <v>110</v>
      </c>
      <c r="B581" s="16">
        <v>45231</v>
      </c>
      <c r="C581" t="s">
        <v>2</v>
      </c>
      <c r="D581" t="s">
        <v>52</v>
      </c>
      <c r="E581" t="s">
        <v>62</v>
      </c>
      <c r="F581">
        <v>206</v>
      </c>
      <c r="P581">
        <f t="shared" si="33"/>
        <v>2023</v>
      </c>
      <c r="Q581">
        <f t="shared" si="34"/>
        <v>11</v>
      </c>
      <c r="R581" t="str">
        <f t="shared" si="32"/>
        <v>超级互动城</v>
      </c>
      <c r="S581" t="str">
        <f>_xlfn.XLOOKUP(B581,全店核心数据_bymonth!A:A,全店核心数据_bymonth!AN:AN)</f>
        <v>BU24</v>
      </c>
    </row>
    <row r="582" spans="1:19" x14ac:dyDescent="0.3">
      <c r="A582" t="s">
        <v>110</v>
      </c>
      <c r="B582" s="16">
        <v>45231</v>
      </c>
      <c r="C582" t="s">
        <v>2</v>
      </c>
      <c r="D582" t="s">
        <v>52</v>
      </c>
      <c r="E582" t="s">
        <v>58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O582">
        <v>1</v>
      </c>
      <c r="P582">
        <f t="shared" si="33"/>
        <v>2023</v>
      </c>
      <c r="Q582">
        <f t="shared" si="34"/>
        <v>11</v>
      </c>
      <c r="R582" t="str">
        <f t="shared" si="32"/>
        <v>超级全域通</v>
      </c>
      <c r="S582" t="str">
        <f>_xlfn.XLOOKUP(B582,全店核心数据_bymonth!A:A,全店核心数据_bymonth!AN:AN)</f>
        <v>BU24</v>
      </c>
    </row>
    <row r="583" spans="1:19" x14ac:dyDescent="0.3">
      <c r="A583" t="s">
        <v>110</v>
      </c>
      <c r="B583" s="16">
        <v>45231</v>
      </c>
      <c r="C583" t="s">
        <v>2</v>
      </c>
      <c r="D583" t="s">
        <v>57</v>
      </c>
      <c r="E583" t="s">
        <v>65</v>
      </c>
      <c r="F583">
        <v>84027</v>
      </c>
      <c r="G583">
        <v>75957</v>
      </c>
      <c r="H583">
        <v>1468</v>
      </c>
      <c r="I583">
        <v>595</v>
      </c>
      <c r="J583">
        <v>2083394</v>
      </c>
      <c r="K583">
        <v>397</v>
      </c>
      <c r="L583">
        <v>1490320.5</v>
      </c>
      <c r="M583">
        <v>339</v>
      </c>
      <c r="O583">
        <v>83387</v>
      </c>
      <c r="P583">
        <f t="shared" si="33"/>
        <v>2023</v>
      </c>
      <c r="Q583">
        <f t="shared" si="34"/>
        <v>11</v>
      </c>
      <c r="R583" t="str">
        <f t="shared" ref="R583:R646" si="35">E583</f>
        <v>直通车</v>
      </c>
      <c r="S583" t="str">
        <f>_xlfn.XLOOKUP(B583,全店核心数据_bymonth!A:A,全店核心数据_bymonth!AN:AN)</f>
        <v>BU24</v>
      </c>
    </row>
    <row r="584" spans="1:19" x14ac:dyDescent="0.3">
      <c r="A584" t="s">
        <v>110</v>
      </c>
      <c r="B584" s="16">
        <v>45231</v>
      </c>
      <c r="C584" t="s">
        <v>2</v>
      </c>
      <c r="D584" t="s">
        <v>57</v>
      </c>
      <c r="E584" t="s">
        <v>63</v>
      </c>
      <c r="F584">
        <v>41943</v>
      </c>
      <c r="G584">
        <v>30598</v>
      </c>
      <c r="H584">
        <v>1217</v>
      </c>
      <c r="I584">
        <v>438</v>
      </c>
      <c r="J584">
        <v>2643593.85</v>
      </c>
      <c r="K584">
        <v>387</v>
      </c>
      <c r="L584">
        <v>1954797.35</v>
      </c>
      <c r="M584">
        <v>346</v>
      </c>
      <c r="O584">
        <v>41884</v>
      </c>
      <c r="P584">
        <f t="shared" si="33"/>
        <v>2023</v>
      </c>
      <c r="Q584">
        <f t="shared" si="34"/>
        <v>11</v>
      </c>
      <c r="R584" t="str">
        <f t="shared" si="35"/>
        <v>万相台</v>
      </c>
      <c r="S584" t="str">
        <f>_xlfn.XLOOKUP(B584,全店核心数据_bymonth!A:A,全店核心数据_bymonth!AN:AN)</f>
        <v>BU24</v>
      </c>
    </row>
    <row r="585" spans="1:19" x14ac:dyDescent="0.3">
      <c r="A585" t="s">
        <v>110</v>
      </c>
      <c r="B585" s="16">
        <v>45231</v>
      </c>
      <c r="C585" t="s">
        <v>2</v>
      </c>
      <c r="D585" t="s">
        <v>57</v>
      </c>
      <c r="E585" t="s">
        <v>64</v>
      </c>
      <c r="F585">
        <v>100810</v>
      </c>
      <c r="G585">
        <v>81260</v>
      </c>
      <c r="H585">
        <v>1143</v>
      </c>
      <c r="I585">
        <v>950</v>
      </c>
      <c r="J585">
        <v>771078.29</v>
      </c>
      <c r="K585">
        <v>139</v>
      </c>
      <c r="L585">
        <v>385321.67</v>
      </c>
      <c r="M585">
        <v>93</v>
      </c>
      <c r="O585">
        <v>100769</v>
      </c>
      <c r="P585">
        <f t="shared" si="33"/>
        <v>2023</v>
      </c>
      <c r="Q585">
        <f t="shared" si="34"/>
        <v>11</v>
      </c>
      <c r="R585" t="str">
        <f t="shared" si="35"/>
        <v>引力魔方</v>
      </c>
      <c r="S585" t="str">
        <f>_xlfn.XLOOKUP(B585,全店核心数据_bymonth!A:A,全店核心数据_bymonth!AN:AN)</f>
        <v>BU24</v>
      </c>
    </row>
    <row r="586" spans="1:19" x14ac:dyDescent="0.3">
      <c r="A586" t="s">
        <v>110</v>
      </c>
      <c r="B586" s="16">
        <v>45231</v>
      </c>
      <c r="C586" t="s">
        <v>2</v>
      </c>
      <c r="D586" t="s">
        <v>4</v>
      </c>
      <c r="E586" t="s">
        <v>42</v>
      </c>
      <c r="F586">
        <v>4</v>
      </c>
      <c r="G586">
        <v>3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O586">
        <v>2</v>
      </c>
      <c r="P586">
        <f t="shared" si="33"/>
        <v>2023</v>
      </c>
      <c r="Q586">
        <f t="shared" si="34"/>
        <v>11</v>
      </c>
      <c r="R586" t="str">
        <f t="shared" si="35"/>
        <v>UD效果投放</v>
      </c>
      <c r="S586" t="str">
        <f>_xlfn.XLOOKUP(B586,全店核心数据_bymonth!A:A,全店核心数据_bymonth!AN:AN)</f>
        <v>BU24</v>
      </c>
    </row>
    <row r="587" spans="1:19" x14ac:dyDescent="0.3">
      <c r="A587" t="s">
        <v>110</v>
      </c>
      <c r="B587" s="16">
        <v>45231</v>
      </c>
      <c r="C587" t="s">
        <v>2</v>
      </c>
      <c r="D587" t="s">
        <v>4</v>
      </c>
      <c r="E587" t="s">
        <v>41</v>
      </c>
      <c r="F587">
        <v>167</v>
      </c>
      <c r="G587">
        <v>137</v>
      </c>
      <c r="H587">
        <v>3</v>
      </c>
      <c r="I587">
        <v>4</v>
      </c>
      <c r="J587">
        <v>0</v>
      </c>
      <c r="K587">
        <v>0</v>
      </c>
      <c r="L587">
        <v>0</v>
      </c>
      <c r="M587">
        <v>0</v>
      </c>
      <c r="O587">
        <v>86</v>
      </c>
      <c r="P587">
        <f t="shared" si="33"/>
        <v>2023</v>
      </c>
      <c r="Q587">
        <f t="shared" si="34"/>
        <v>11</v>
      </c>
      <c r="R587" t="str">
        <f t="shared" si="35"/>
        <v>流量宝</v>
      </c>
      <c r="S587" t="str">
        <f>_xlfn.XLOOKUP(B587,全店核心数据_bymonth!A:A,全店核心数据_bymonth!AN:AN)</f>
        <v>BU24</v>
      </c>
    </row>
    <row r="588" spans="1:19" x14ac:dyDescent="0.3">
      <c r="A588" t="s">
        <v>110</v>
      </c>
      <c r="B588" s="16">
        <v>45231</v>
      </c>
      <c r="C588" t="s">
        <v>2</v>
      </c>
      <c r="D588" t="s">
        <v>4</v>
      </c>
      <c r="E588" t="s">
        <v>43</v>
      </c>
      <c r="F588">
        <v>12248</v>
      </c>
      <c r="G588">
        <v>10583</v>
      </c>
      <c r="H588">
        <v>70</v>
      </c>
      <c r="I588">
        <v>37</v>
      </c>
      <c r="J588">
        <v>194334</v>
      </c>
      <c r="K588">
        <v>40</v>
      </c>
      <c r="L588">
        <v>180714</v>
      </c>
      <c r="M588">
        <v>36</v>
      </c>
      <c r="O588">
        <v>12011</v>
      </c>
      <c r="P588">
        <f t="shared" si="33"/>
        <v>2023</v>
      </c>
      <c r="Q588">
        <f t="shared" si="34"/>
        <v>11</v>
      </c>
      <c r="R588" t="str">
        <f t="shared" si="35"/>
        <v>淘宝客</v>
      </c>
      <c r="S588" t="str">
        <f>_xlfn.XLOOKUP(B588,全店核心数据_bymonth!A:A,全店核心数据_bymonth!AN:AN)</f>
        <v>BU24</v>
      </c>
    </row>
    <row r="589" spans="1:19" x14ac:dyDescent="0.3">
      <c r="A589" t="s">
        <v>110</v>
      </c>
      <c r="B589" s="16">
        <v>45627</v>
      </c>
      <c r="C589" t="s">
        <v>3</v>
      </c>
      <c r="D589" t="s">
        <v>114</v>
      </c>
      <c r="E589" t="s">
        <v>159</v>
      </c>
      <c r="F589">
        <v>1251</v>
      </c>
      <c r="G589">
        <v>587</v>
      </c>
      <c r="H589">
        <v>59</v>
      </c>
      <c r="I589">
        <v>15</v>
      </c>
      <c r="J589">
        <v>66229</v>
      </c>
      <c r="K589">
        <v>16</v>
      </c>
      <c r="L589">
        <v>41925</v>
      </c>
      <c r="M589">
        <v>12</v>
      </c>
      <c r="N589">
        <v>148</v>
      </c>
      <c r="O589">
        <v>1217</v>
      </c>
      <c r="P589">
        <f t="shared" si="33"/>
        <v>2024</v>
      </c>
      <c r="Q589">
        <f t="shared" si="34"/>
        <v>12</v>
      </c>
      <c r="R589" t="str">
        <f t="shared" si="35"/>
        <v>主会场</v>
      </c>
      <c r="S589" t="str">
        <f>_xlfn.XLOOKUP(B589,全店核心数据_bymonth!A:A,全店核心数据_bymonth!AN:AN)</f>
        <v>BU25</v>
      </c>
    </row>
    <row r="590" spans="1:19" x14ac:dyDescent="0.3">
      <c r="A590" t="s">
        <v>110</v>
      </c>
      <c r="B590" s="16">
        <v>45627</v>
      </c>
      <c r="C590" t="s">
        <v>3</v>
      </c>
      <c r="D590" t="s">
        <v>117</v>
      </c>
      <c r="E590" t="s">
        <v>161</v>
      </c>
      <c r="F590">
        <v>55</v>
      </c>
      <c r="G590">
        <v>49</v>
      </c>
      <c r="H590">
        <v>4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6</v>
      </c>
      <c r="O590">
        <v>55</v>
      </c>
      <c r="P590">
        <f t="shared" si="33"/>
        <v>2024</v>
      </c>
      <c r="Q590">
        <f t="shared" si="34"/>
        <v>12</v>
      </c>
      <c r="R590" t="str">
        <f t="shared" si="35"/>
        <v>其他入口榜单</v>
      </c>
      <c r="S590" t="str">
        <f>_xlfn.XLOOKUP(B590,全店核心数据_bymonth!A:A,全店核心数据_bymonth!AN:AN)</f>
        <v>BU25</v>
      </c>
    </row>
    <row r="591" spans="1:19" x14ac:dyDescent="0.3">
      <c r="A591" t="s">
        <v>110</v>
      </c>
      <c r="B591" s="16">
        <v>45627</v>
      </c>
      <c r="C591" t="s">
        <v>3</v>
      </c>
      <c r="D591" t="s">
        <v>117</v>
      </c>
      <c r="E591" t="s">
        <v>195</v>
      </c>
      <c r="F591">
        <v>1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f t="shared" si="33"/>
        <v>2024</v>
      </c>
      <c r="Q591">
        <f t="shared" si="34"/>
        <v>12</v>
      </c>
      <c r="R591" t="str">
        <f t="shared" si="35"/>
        <v>搜索入口榜单</v>
      </c>
      <c r="S591" t="str">
        <f>_xlfn.XLOOKUP(B591,全店核心数据_bymonth!A:A,全店核心数据_bymonth!AN:AN)</f>
        <v>BU25</v>
      </c>
    </row>
    <row r="592" spans="1:19" x14ac:dyDescent="0.3">
      <c r="A592" t="s">
        <v>110</v>
      </c>
      <c r="B592" s="16">
        <v>45627</v>
      </c>
      <c r="C592" t="s">
        <v>3</v>
      </c>
      <c r="D592" t="s">
        <v>123</v>
      </c>
      <c r="E592" t="s">
        <v>169</v>
      </c>
      <c r="F592">
        <v>2877</v>
      </c>
      <c r="G592">
        <v>1490</v>
      </c>
      <c r="H592">
        <v>158</v>
      </c>
      <c r="I592">
        <v>69</v>
      </c>
      <c r="J592">
        <v>229617.11</v>
      </c>
      <c r="K592">
        <v>38</v>
      </c>
      <c r="L592">
        <v>155639.60999999999</v>
      </c>
      <c r="M592">
        <v>31</v>
      </c>
      <c r="N592">
        <v>641</v>
      </c>
      <c r="O592">
        <v>2812</v>
      </c>
      <c r="P592">
        <f t="shared" si="33"/>
        <v>2024</v>
      </c>
      <c r="Q592">
        <f t="shared" si="34"/>
        <v>12</v>
      </c>
      <c r="R592" t="str">
        <f t="shared" si="35"/>
        <v>商品详情页头图推荐</v>
      </c>
      <c r="S592" t="str">
        <f>_xlfn.XLOOKUP(B592,全店核心数据_bymonth!A:A,全店核心数据_bymonth!AN:AN)</f>
        <v>BU25</v>
      </c>
    </row>
    <row r="593" spans="1:19" x14ac:dyDescent="0.3">
      <c r="A593" t="s">
        <v>110</v>
      </c>
      <c r="B593" s="16">
        <v>45627</v>
      </c>
      <c r="C593" t="s">
        <v>3</v>
      </c>
      <c r="D593" t="s">
        <v>123</v>
      </c>
      <c r="E593" t="s">
        <v>170</v>
      </c>
      <c r="F593">
        <v>967</v>
      </c>
      <c r="G593">
        <v>621</v>
      </c>
      <c r="H593">
        <v>45</v>
      </c>
      <c r="I593">
        <v>13</v>
      </c>
      <c r="J593">
        <v>86166</v>
      </c>
      <c r="K593">
        <v>17</v>
      </c>
      <c r="L593">
        <v>86166</v>
      </c>
      <c r="M593">
        <v>17</v>
      </c>
      <c r="N593">
        <v>846</v>
      </c>
      <c r="O593">
        <v>452</v>
      </c>
      <c r="P593">
        <f t="shared" si="33"/>
        <v>2024</v>
      </c>
      <c r="Q593">
        <f t="shared" si="34"/>
        <v>12</v>
      </c>
      <c r="R593" t="str">
        <f t="shared" si="35"/>
        <v>店铺超链</v>
      </c>
      <c r="S593" t="str">
        <f>_xlfn.XLOOKUP(B593,全店核心数据_bymonth!A:A,全店核心数据_bymonth!AN:AN)</f>
        <v>BU25</v>
      </c>
    </row>
    <row r="594" spans="1:19" x14ac:dyDescent="0.3">
      <c r="A594" t="s">
        <v>110</v>
      </c>
      <c r="B594" s="16">
        <v>45627</v>
      </c>
      <c r="C594" t="s">
        <v>3</v>
      </c>
      <c r="D594" t="s">
        <v>127</v>
      </c>
      <c r="E594" t="s">
        <v>171</v>
      </c>
      <c r="F594">
        <v>5601</v>
      </c>
      <c r="G594">
        <v>3701</v>
      </c>
      <c r="H594">
        <v>89</v>
      </c>
      <c r="I594">
        <v>45</v>
      </c>
      <c r="J594">
        <v>142392</v>
      </c>
      <c r="K594">
        <v>26</v>
      </c>
      <c r="L594">
        <v>98174.5</v>
      </c>
      <c r="M594">
        <v>20</v>
      </c>
      <c r="N594">
        <v>776</v>
      </c>
      <c r="O594">
        <v>3560</v>
      </c>
      <c r="P594">
        <f t="shared" si="33"/>
        <v>2024</v>
      </c>
      <c r="Q594">
        <f t="shared" si="34"/>
        <v>12</v>
      </c>
      <c r="R594" t="str">
        <f t="shared" si="35"/>
        <v>其他猜你喜欢</v>
      </c>
      <c r="S594" t="str">
        <f>_xlfn.XLOOKUP(B594,全店核心数据_bymonth!A:A,全店核心数据_bymonth!AN:AN)</f>
        <v>BU25</v>
      </c>
    </row>
    <row r="595" spans="1:19" x14ac:dyDescent="0.3">
      <c r="A595" t="s">
        <v>110</v>
      </c>
      <c r="B595" s="16">
        <v>45627</v>
      </c>
      <c r="C595" t="s">
        <v>3</v>
      </c>
      <c r="D595" t="s">
        <v>127</v>
      </c>
      <c r="E595" t="s">
        <v>172</v>
      </c>
      <c r="F595">
        <v>874</v>
      </c>
      <c r="G595">
        <v>628</v>
      </c>
      <c r="H595">
        <v>6</v>
      </c>
      <c r="I595">
        <v>2</v>
      </c>
      <c r="J595">
        <v>3400</v>
      </c>
      <c r="K595">
        <v>1</v>
      </c>
      <c r="L595">
        <v>3400</v>
      </c>
      <c r="M595">
        <v>1</v>
      </c>
      <c r="N595">
        <v>33</v>
      </c>
      <c r="O595">
        <v>323</v>
      </c>
      <c r="P595">
        <f t="shared" si="33"/>
        <v>2024</v>
      </c>
      <c r="Q595">
        <f t="shared" si="34"/>
        <v>12</v>
      </c>
      <c r="R595" t="str">
        <f t="shared" si="35"/>
        <v>购中推荐</v>
      </c>
      <c r="S595" t="str">
        <f>_xlfn.XLOOKUP(B595,全店核心数据_bymonth!A:A,全店核心数据_bymonth!AN:AN)</f>
        <v>BU25</v>
      </c>
    </row>
    <row r="596" spans="1:19" x14ac:dyDescent="0.3">
      <c r="A596" t="s">
        <v>110</v>
      </c>
      <c r="B596" s="16">
        <v>45627</v>
      </c>
      <c r="C596" t="s">
        <v>3</v>
      </c>
      <c r="D596" t="s">
        <v>127</v>
      </c>
      <c r="E596" t="s">
        <v>173</v>
      </c>
      <c r="F596">
        <v>4962</v>
      </c>
      <c r="G596">
        <v>3932</v>
      </c>
      <c r="H596">
        <v>21</v>
      </c>
      <c r="I596">
        <v>15</v>
      </c>
      <c r="J596">
        <v>27500</v>
      </c>
      <c r="K596">
        <v>1</v>
      </c>
      <c r="L596">
        <v>27500</v>
      </c>
      <c r="M596">
        <v>1</v>
      </c>
      <c r="N596">
        <v>94</v>
      </c>
      <c r="O596">
        <v>1590</v>
      </c>
      <c r="P596">
        <f t="shared" si="33"/>
        <v>2024</v>
      </c>
      <c r="Q596">
        <f t="shared" si="34"/>
        <v>12</v>
      </c>
      <c r="R596" t="str">
        <f t="shared" si="35"/>
        <v>购后推荐</v>
      </c>
      <c r="S596" t="str">
        <f>_xlfn.XLOOKUP(B596,全店核心数据_bymonth!A:A,全店核心数据_bymonth!AN:AN)</f>
        <v>BU25</v>
      </c>
    </row>
    <row r="597" spans="1:19" x14ac:dyDescent="0.3">
      <c r="A597" t="s">
        <v>110</v>
      </c>
      <c r="B597" s="16">
        <v>45627</v>
      </c>
      <c r="C597" t="s">
        <v>3</v>
      </c>
      <c r="D597" t="s">
        <v>127</v>
      </c>
      <c r="E597" t="s">
        <v>174</v>
      </c>
      <c r="F597">
        <v>54889</v>
      </c>
      <c r="G597">
        <v>46562</v>
      </c>
      <c r="H597">
        <v>667</v>
      </c>
      <c r="I597">
        <v>297</v>
      </c>
      <c r="J597">
        <v>763219.28</v>
      </c>
      <c r="K597">
        <v>113</v>
      </c>
      <c r="L597">
        <v>494882.78</v>
      </c>
      <c r="M597">
        <v>90</v>
      </c>
      <c r="N597">
        <v>2648</v>
      </c>
      <c r="O597">
        <v>54889</v>
      </c>
      <c r="P597">
        <f t="shared" ref="P597:P660" si="36">YEAR(B597)</f>
        <v>2024</v>
      </c>
      <c r="Q597">
        <f t="shared" ref="Q597:Q660" si="37">MONTH(B597)</f>
        <v>12</v>
      </c>
      <c r="R597" t="str">
        <f t="shared" si="35"/>
        <v>首页推荐-微详情</v>
      </c>
      <c r="S597" t="str">
        <f>_xlfn.XLOOKUP(B597,全店核心数据_bymonth!A:A,全店核心数据_bymonth!AN:AN)</f>
        <v>BU25</v>
      </c>
    </row>
    <row r="598" spans="1:19" x14ac:dyDescent="0.3">
      <c r="A598" t="s">
        <v>110</v>
      </c>
      <c r="B598" s="16">
        <v>45627</v>
      </c>
      <c r="C598" t="s">
        <v>3</v>
      </c>
      <c r="D598" t="s">
        <v>127</v>
      </c>
      <c r="E598" t="s">
        <v>175</v>
      </c>
      <c r="F598">
        <v>1080</v>
      </c>
      <c r="G598">
        <v>564</v>
      </c>
      <c r="H598">
        <v>9</v>
      </c>
      <c r="I598">
        <v>5</v>
      </c>
      <c r="J598">
        <v>21537</v>
      </c>
      <c r="K598">
        <v>4</v>
      </c>
      <c r="L598">
        <v>10240</v>
      </c>
      <c r="M598">
        <v>2</v>
      </c>
      <c r="N598">
        <v>23</v>
      </c>
      <c r="O598">
        <v>258</v>
      </c>
      <c r="P598">
        <f t="shared" si="36"/>
        <v>2024</v>
      </c>
      <c r="Q598">
        <f t="shared" si="37"/>
        <v>12</v>
      </c>
      <c r="R598" t="str">
        <f t="shared" si="35"/>
        <v>首页推荐-直播</v>
      </c>
      <c r="S598" t="str">
        <f>_xlfn.XLOOKUP(B598,全店核心数据_bymonth!A:A,全店核心数据_bymonth!AN:AN)</f>
        <v>BU25</v>
      </c>
    </row>
    <row r="599" spans="1:19" x14ac:dyDescent="0.3">
      <c r="A599" t="s">
        <v>110</v>
      </c>
      <c r="B599" s="16">
        <v>45627</v>
      </c>
      <c r="C599" t="s">
        <v>3</v>
      </c>
      <c r="D599" t="s">
        <v>127</v>
      </c>
      <c r="E599" t="s">
        <v>176</v>
      </c>
      <c r="F599">
        <v>34753</v>
      </c>
      <c r="G599">
        <v>30497</v>
      </c>
      <c r="H599">
        <v>49</v>
      </c>
      <c r="I599">
        <v>20</v>
      </c>
      <c r="J599">
        <v>66882</v>
      </c>
      <c r="K599">
        <v>10</v>
      </c>
      <c r="L599">
        <v>47932</v>
      </c>
      <c r="M599">
        <v>8</v>
      </c>
      <c r="N599">
        <v>187</v>
      </c>
      <c r="O599">
        <v>1354</v>
      </c>
      <c r="P599">
        <f t="shared" si="36"/>
        <v>2024</v>
      </c>
      <c r="Q599">
        <f t="shared" si="37"/>
        <v>12</v>
      </c>
      <c r="R599" t="str">
        <f t="shared" si="35"/>
        <v>首页推荐-短视频</v>
      </c>
      <c r="S599" t="str">
        <f>_xlfn.XLOOKUP(B599,全店核心数据_bymonth!A:A,全店核心数据_bymonth!AN:AN)</f>
        <v>BU25</v>
      </c>
    </row>
    <row r="600" spans="1:19" x14ac:dyDescent="0.3">
      <c r="A600" t="s">
        <v>110</v>
      </c>
      <c r="B600" s="16">
        <v>45627</v>
      </c>
      <c r="C600" t="s">
        <v>3</v>
      </c>
      <c r="D600" t="s">
        <v>128</v>
      </c>
      <c r="E600" t="s">
        <v>177</v>
      </c>
      <c r="F600">
        <v>21303</v>
      </c>
      <c r="G600">
        <v>18411</v>
      </c>
      <c r="H600">
        <v>727</v>
      </c>
      <c r="I600">
        <v>223</v>
      </c>
      <c r="J600">
        <v>927238.86</v>
      </c>
      <c r="K600">
        <v>167</v>
      </c>
      <c r="L600">
        <v>659053.86</v>
      </c>
      <c r="M600">
        <v>141</v>
      </c>
      <c r="N600">
        <v>7935</v>
      </c>
      <c r="O600">
        <v>17802</v>
      </c>
      <c r="P600">
        <f t="shared" si="36"/>
        <v>2024</v>
      </c>
      <c r="Q600">
        <f t="shared" si="37"/>
        <v>12</v>
      </c>
      <c r="R600" t="str">
        <f t="shared" si="35"/>
        <v>手淘搜索-商品及其他</v>
      </c>
      <c r="S600" t="str">
        <f>_xlfn.XLOOKUP(B600,全店核心数据_bymonth!A:A,全店核心数据_bymonth!AN:AN)</f>
        <v>BU25</v>
      </c>
    </row>
    <row r="601" spans="1:19" x14ac:dyDescent="0.3">
      <c r="A601" t="s">
        <v>110</v>
      </c>
      <c r="B601" s="16">
        <v>45627</v>
      </c>
      <c r="C601" t="s">
        <v>3</v>
      </c>
      <c r="D601" t="s">
        <v>128</v>
      </c>
      <c r="E601" t="s">
        <v>178</v>
      </c>
      <c r="F601">
        <v>56</v>
      </c>
      <c r="G601">
        <v>28</v>
      </c>
      <c r="H601">
        <v>2</v>
      </c>
      <c r="I601">
        <v>0</v>
      </c>
      <c r="J601">
        <v>1857</v>
      </c>
      <c r="K601">
        <v>1</v>
      </c>
      <c r="L601">
        <v>1857</v>
      </c>
      <c r="M601">
        <v>1</v>
      </c>
      <c r="N601">
        <v>6</v>
      </c>
      <c r="O601">
        <v>48</v>
      </c>
      <c r="P601">
        <f t="shared" si="36"/>
        <v>2024</v>
      </c>
      <c r="Q601">
        <f t="shared" si="37"/>
        <v>12</v>
      </c>
      <c r="R601" t="str">
        <f t="shared" si="35"/>
        <v>手淘搜索-直播</v>
      </c>
      <c r="S601" t="str">
        <f>_xlfn.XLOOKUP(B601,全店核心数据_bymonth!A:A,全店核心数据_bymonth!AN:AN)</f>
        <v>BU25</v>
      </c>
    </row>
    <row r="602" spans="1:19" x14ac:dyDescent="0.3">
      <c r="A602" t="s">
        <v>110</v>
      </c>
      <c r="B602" s="16">
        <v>45627</v>
      </c>
      <c r="C602" t="s">
        <v>3</v>
      </c>
      <c r="D602" t="s">
        <v>128</v>
      </c>
      <c r="E602" t="s">
        <v>179</v>
      </c>
      <c r="F602">
        <v>1848</v>
      </c>
      <c r="G602">
        <v>1379</v>
      </c>
      <c r="H602">
        <v>45</v>
      </c>
      <c r="I602">
        <v>12</v>
      </c>
      <c r="J602">
        <v>120085</v>
      </c>
      <c r="K602">
        <v>26</v>
      </c>
      <c r="L602">
        <v>101575</v>
      </c>
      <c r="M602">
        <v>23</v>
      </c>
      <c r="N602">
        <v>129</v>
      </c>
      <c r="O602">
        <v>1629</v>
      </c>
      <c r="P602">
        <f t="shared" si="36"/>
        <v>2024</v>
      </c>
      <c r="Q602">
        <f t="shared" si="37"/>
        <v>12</v>
      </c>
      <c r="R602" t="str">
        <f t="shared" si="35"/>
        <v>手淘搜索-短视频</v>
      </c>
      <c r="S602" t="str">
        <f>_xlfn.XLOOKUP(B602,全店核心数据_bymonth!A:A,全店核心数据_bymonth!AN:AN)</f>
        <v>BU25</v>
      </c>
    </row>
    <row r="603" spans="1:19" x14ac:dyDescent="0.3">
      <c r="A603" t="s">
        <v>110</v>
      </c>
      <c r="B603" s="16">
        <v>45627</v>
      </c>
      <c r="C603" t="s">
        <v>3</v>
      </c>
      <c r="D603" t="s">
        <v>143</v>
      </c>
      <c r="E603" t="s">
        <v>180</v>
      </c>
      <c r="F603">
        <v>171</v>
      </c>
      <c r="G603">
        <v>156</v>
      </c>
      <c r="H603">
        <v>2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4</v>
      </c>
      <c r="O603">
        <v>169</v>
      </c>
      <c r="P603">
        <f t="shared" si="36"/>
        <v>2024</v>
      </c>
      <c r="Q603">
        <f t="shared" si="37"/>
        <v>12</v>
      </c>
      <c r="R603" t="str">
        <f t="shared" si="35"/>
        <v>淘特其他渠道</v>
      </c>
      <c r="S603" t="str">
        <f>_xlfn.XLOOKUP(B603,全店核心数据_bymonth!A:A,全店核心数据_bymonth!AN:AN)</f>
        <v>BU25</v>
      </c>
    </row>
    <row r="604" spans="1:19" x14ac:dyDescent="0.3">
      <c r="A604" t="s">
        <v>110</v>
      </c>
      <c r="B604" s="16">
        <v>45627</v>
      </c>
      <c r="C604" t="s">
        <v>3</v>
      </c>
      <c r="D604" t="s">
        <v>143</v>
      </c>
      <c r="E604" t="s">
        <v>181</v>
      </c>
      <c r="F604">
        <v>737</v>
      </c>
      <c r="G604">
        <v>730</v>
      </c>
      <c r="H604">
        <v>3</v>
      </c>
      <c r="I604">
        <v>2</v>
      </c>
      <c r="J604">
        <v>12200</v>
      </c>
      <c r="K604">
        <v>2</v>
      </c>
      <c r="L604">
        <v>0</v>
      </c>
      <c r="M604">
        <v>0</v>
      </c>
      <c r="N604">
        <v>0</v>
      </c>
      <c r="O604">
        <v>737</v>
      </c>
      <c r="P604">
        <f t="shared" si="36"/>
        <v>2024</v>
      </c>
      <c r="Q604">
        <f t="shared" si="37"/>
        <v>12</v>
      </c>
      <c r="R604" t="str">
        <f t="shared" si="35"/>
        <v>淘特搜索</v>
      </c>
      <c r="S604" t="str">
        <f>_xlfn.XLOOKUP(B604,全店核心数据_bymonth!A:A,全店核心数据_bymonth!AN:AN)</f>
        <v>BU25</v>
      </c>
    </row>
    <row r="605" spans="1:19" x14ac:dyDescent="0.3">
      <c r="A605" t="s">
        <v>110</v>
      </c>
      <c r="B605" s="16">
        <v>45627</v>
      </c>
      <c r="C605" t="s">
        <v>3</v>
      </c>
      <c r="D605" t="s">
        <v>143</v>
      </c>
      <c r="E605" t="s">
        <v>224</v>
      </c>
      <c r="F605">
        <v>5</v>
      </c>
      <c r="G605">
        <v>5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5</v>
      </c>
      <c r="P605">
        <f t="shared" si="36"/>
        <v>2024</v>
      </c>
      <c r="Q605">
        <f t="shared" si="37"/>
        <v>12</v>
      </c>
      <c r="R605" t="str">
        <f t="shared" si="35"/>
        <v>淘特自主访问</v>
      </c>
      <c r="S605" t="str">
        <f>_xlfn.XLOOKUP(B605,全店核心数据_bymonth!A:A,全店核心数据_bymonth!AN:AN)</f>
        <v>BU25</v>
      </c>
    </row>
    <row r="606" spans="1:19" x14ac:dyDescent="0.3">
      <c r="A606" t="s">
        <v>110</v>
      </c>
      <c r="B606" s="16">
        <v>45627</v>
      </c>
      <c r="C606" t="s">
        <v>2</v>
      </c>
      <c r="D606" t="s">
        <v>55</v>
      </c>
      <c r="E606" t="s">
        <v>54</v>
      </c>
      <c r="F606">
        <v>5334</v>
      </c>
      <c r="G606">
        <v>4569</v>
      </c>
      <c r="H606">
        <v>49</v>
      </c>
      <c r="I606">
        <v>4</v>
      </c>
      <c r="J606">
        <v>0</v>
      </c>
      <c r="K606">
        <v>0</v>
      </c>
      <c r="L606">
        <v>0</v>
      </c>
      <c r="M606">
        <v>0</v>
      </c>
      <c r="N606">
        <v>179</v>
      </c>
      <c r="O606">
        <v>1804</v>
      </c>
      <c r="P606">
        <f t="shared" si="36"/>
        <v>2024</v>
      </c>
      <c r="Q606">
        <f t="shared" si="37"/>
        <v>12</v>
      </c>
      <c r="R606" t="str">
        <f t="shared" si="35"/>
        <v>超级直播</v>
      </c>
      <c r="S606" t="str">
        <f>_xlfn.XLOOKUP(B606,全店核心数据_bymonth!A:A,全店核心数据_bymonth!AN:AN)</f>
        <v>BU25</v>
      </c>
    </row>
    <row r="607" spans="1:19" x14ac:dyDescent="0.3">
      <c r="A607" t="s">
        <v>110</v>
      </c>
      <c r="B607" s="16">
        <v>45627</v>
      </c>
      <c r="C607" t="s">
        <v>2</v>
      </c>
      <c r="D607" t="s">
        <v>55</v>
      </c>
      <c r="E607" t="s">
        <v>56</v>
      </c>
      <c r="F607">
        <v>13986</v>
      </c>
      <c r="G607">
        <v>12263</v>
      </c>
      <c r="H607">
        <v>60</v>
      </c>
      <c r="I607">
        <v>166</v>
      </c>
      <c r="J607">
        <v>0</v>
      </c>
      <c r="K607">
        <v>0</v>
      </c>
      <c r="L607">
        <v>0</v>
      </c>
      <c r="M607">
        <v>0</v>
      </c>
      <c r="N607">
        <v>179</v>
      </c>
      <c r="O607">
        <v>10945</v>
      </c>
      <c r="P607">
        <f t="shared" si="36"/>
        <v>2024</v>
      </c>
      <c r="Q607">
        <f t="shared" si="37"/>
        <v>12</v>
      </c>
      <c r="R607" t="str">
        <f t="shared" si="35"/>
        <v>超级短视频</v>
      </c>
      <c r="S607" t="str">
        <f>_xlfn.XLOOKUP(B607,全店核心数据_bymonth!A:A,全店核心数据_bymonth!AN:AN)</f>
        <v>BU25</v>
      </c>
    </row>
    <row r="608" spans="1:19" x14ac:dyDescent="0.3">
      <c r="A608" t="s">
        <v>110</v>
      </c>
      <c r="B608" s="16">
        <v>45627</v>
      </c>
      <c r="C608" t="s">
        <v>2</v>
      </c>
      <c r="D608" t="s">
        <v>52</v>
      </c>
      <c r="E608" t="s">
        <v>59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f t="shared" si="36"/>
        <v>2024</v>
      </c>
      <c r="Q608">
        <f t="shared" si="37"/>
        <v>12</v>
      </c>
      <c r="R608" t="str">
        <f t="shared" si="35"/>
        <v>品牌特秀</v>
      </c>
      <c r="S608" t="str">
        <f>_xlfn.XLOOKUP(B608,全店核心数据_bymonth!A:A,全店核心数据_bymonth!AN:AN)</f>
        <v>BU25</v>
      </c>
    </row>
    <row r="609" spans="1:19" x14ac:dyDescent="0.3">
      <c r="A609" t="s">
        <v>110</v>
      </c>
      <c r="B609" s="16">
        <v>45627</v>
      </c>
      <c r="C609" t="s">
        <v>2</v>
      </c>
      <c r="D609" t="s">
        <v>52</v>
      </c>
      <c r="E609" t="s">
        <v>183</v>
      </c>
      <c r="F609">
        <v>19739</v>
      </c>
      <c r="G609">
        <v>18328</v>
      </c>
      <c r="H609">
        <v>415</v>
      </c>
      <c r="I609">
        <v>146</v>
      </c>
      <c r="J609">
        <v>763167</v>
      </c>
      <c r="K609">
        <v>95</v>
      </c>
      <c r="L609">
        <v>500637</v>
      </c>
      <c r="M609">
        <v>80</v>
      </c>
      <c r="N609">
        <v>19739</v>
      </c>
      <c r="O609">
        <v>10281</v>
      </c>
      <c r="P609">
        <f t="shared" si="36"/>
        <v>2024</v>
      </c>
      <c r="Q609">
        <f t="shared" si="37"/>
        <v>12</v>
      </c>
      <c r="R609" t="str">
        <f t="shared" si="35"/>
        <v>品销宝-品牌专区</v>
      </c>
      <c r="S609" t="str">
        <f>_xlfn.XLOOKUP(B609,全店核心数据_bymonth!A:A,全店核心数据_bymonth!AN:AN)</f>
        <v>BU25</v>
      </c>
    </row>
    <row r="610" spans="1:19" x14ac:dyDescent="0.3">
      <c r="A610" t="s">
        <v>110</v>
      </c>
      <c r="B610" s="16">
        <v>45627</v>
      </c>
      <c r="C610" t="s">
        <v>2</v>
      </c>
      <c r="D610" t="s">
        <v>52</v>
      </c>
      <c r="E610" t="s">
        <v>58</v>
      </c>
      <c r="F610">
        <v>2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2</v>
      </c>
      <c r="P610">
        <f t="shared" si="36"/>
        <v>2024</v>
      </c>
      <c r="Q610">
        <f t="shared" si="37"/>
        <v>12</v>
      </c>
      <c r="R610" t="str">
        <f t="shared" si="35"/>
        <v>超级全域通</v>
      </c>
      <c r="S610" t="str">
        <f>_xlfn.XLOOKUP(B610,全店核心数据_bymonth!A:A,全店核心数据_bymonth!AN:AN)</f>
        <v>BU25</v>
      </c>
    </row>
    <row r="611" spans="1:19" x14ac:dyDescent="0.3">
      <c r="A611" t="s">
        <v>110</v>
      </c>
      <c r="B611" s="16">
        <v>45627</v>
      </c>
      <c r="C611" t="s">
        <v>2</v>
      </c>
      <c r="D611" t="s">
        <v>57</v>
      </c>
      <c r="E611" t="s">
        <v>64</v>
      </c>
      <c r="F611">
        <v>51362</v>
      </c>
      <c r="G611">
        <v>41323</v>
      </c>
      <c r="H611">
        <v>1027</v>
      </c>
      <c r="I611">
        <v>742</v>
      </c>
      <c r="J611">
        <v>762480.65</v>
      </c>
      <c r="K611">
        <v>108</v>
      </c>
      <c r="L611">
        <v>413338.65</v>
      </c>
      <c r="M611">
        <v>74</v>
      </c>
      <c r="N611">
        <v>4861</v>
      </c>
      <c r="O611">
        <v>51347</v>
      </c>
      <c r="P611">
        <f t="shared" si="36"/>
        <v>2024</v>
      </c>
      <c r="Q611">
        <f t="shared" si="37"/>
        <v>12</v>
      </c>
      <c r="R611" t="str">
        <f t="shared" si="35"/>
        <v>引力魔方</v>
      </c>
      <c r="S611" t="str">
        <f>_xlfn.XLOOKUP(B611,全店核心数据_bymonth!A:A,全店核心数据_bymonth!AN:AN)</f>
        <v>BU25</v>
      </c>
    </row>
    <row r="612" spans="1:19" x14ac:dyDescent="0.3">
      <c r="A612" t="s">
        <v>110</v>
      </c>
      <c r="B612" s="16">
        <v>45627</v>
      </c>
      <c r="C612" t="s">
        <v>2</v>
      </c>
      <c r="D612" t="s">
        <v>57</v>
      </c>
      <c r="E612" t="s">
        <v>65</v>
      </c>
      <c r="F612">
        <v>90026</v>
      </c>
      <c r="G612">
        <v>84777</v>
      </c>
      <c r="H612">
        <v>948</v>
      </c>
      <c r="I612">
        <v>576</v>
      </c>
      <c r="J612">
        <v>1485254.5</v>
      </c>
      <c r="K612">
        <v>163</v>
      </c>
      <c r="L612">
        <v>543609.5</v>
      </c>
      <c r="M612">
        <v>105</v>
      </c>
      <c r="N612">
        <v>7059</v>
      </c>
      <c r="O612">
        <v>89290</v>
      </c>
      <c r="P612">
        <f t="shared" si="36"/>
        <v>2024</v>
      </c>
      <c r="Q612">
        <f t="shared" si="37"/>
        <v>12</v>
      </c>
      <c r="R612" t="str">
        <f t="shared" si="35"/>
        <v>直通车</v>
      </c>
      <c r="S612" t="str">
        <f>_xlfn.XLOOKUP(B612,全店核心数据_bymonth!A:A,全店核心数据_bymonth!AN:AN)</f>
        <v>BU25</v>
      </c>
    </row>
    <row r="613" spans="1:19" x14ac:dyDescent="0.3">
      <c r="A613" t="s">
        <v>110</v>
      </c>
      <c r="B613" s="16">
        <v>45627</v>
      </c>
      <c r="C613" t="s">
        <v>2</v>
      </c>
      <c r="D613" t="s">
        <v>57</v>
      </c>
      <c r="E613" t="s">
        <v>63</v>
      </c>
      <c r="F613">
        <v>65599</v>
      </c>
      <c r="G613">
        <v>57843</v>
      </c>
      <c r="H613">
        <v>1163</v>
      </c>
      <c r="I613">
        <v>889</v>
      </c>
      <c r="J613">
        <v>1748936.82</v>
      </c>
      <c r="K613">
        <v>231</v>
      </c>
      <c r="L613">
        <v>1064223.82</v>
      </c>
      <c r="M613">
        <v>173</v>
      </c>
      <c r="N613">
        <v>4421</v>
      </c>
      <c r="O613">
        <v>65339</v>
      </c>
      <c r="P613">
        <f t="shared" si="36"/>
        <v>2024</v>
      </c>
      <c r="Q613">
        <f t="shared" si="37"/>
        <v>12</v>
      </c>
      <c r="R613" t="str">
        <f t="shared" si="35"/>
        <v>万相台</v>
      </c>
      <c r="S613" t="str">
        <f>_xlfn.XLOOKUP(B613,全店核心数据_bymonth!A:A,全店核心数据_bymonth!AN:AN)</f>
        <v>BU25</v>
      </c>
    </row>
    <row r="614" spans="1:19" x14ac:dyDescent="0.3">
      <c r="A614" t="s">
        <v>110</v>
      </c>
      <c r="B614" s="16">
        <v>45627</v>
      </c>
      <c r="C614" t="s">
        <v>2</v>
      </c>
      <c r="D614" t="s">
        <v>4</v>
      </c>
      <c r="E614" t="s">
        <v>42</v>
      </c>
      <c r="F614">
        <v>1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f t="shared" si="36"/>
        <v>2024</v>
      </c>
      <c r="Q614">
        <f t="shared" si="37"/>
        <v>12</v>
      </c>
      <c r="R614" t="str">
        <f t="shared" si="35"/>
        <v>UD效果投放</v>
      </c>
      <c r="S614" t="str">
        <f>_xlfn.XLOOKUP(B614,全店核心数据_bymonth!A:A,全店核心数据_bymonth!AN:AN)</f>
        <v>BU25</v>
      </c>
    </row>
    <row r="615" spans="1:19" x14ac:dyDescent="0.3">
      <c r="A615" t="s">
        <v>110</v>
      </c>
      <c r="B615" s="16">
        <v>45627</v>
      </c>
      <c r="C615" t="s">
        <v>2</v>
      </c>
      <c r="D615" t="s">
        <v>4</v>
      </c>
      <c r="E615" t="s">
        <v>41</v>
      </c>
      <c r="F615">
        <v>51</v>
      </c>
      <c r="G615">
        <v>28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11</v>
      </c>
      <c r="O615">
        <v>45</v>
      </c>
      <c r="P615">
        <f t="shared" si="36"/>
        <v>2024</v>
      </c>
      <c r="Q615">
        <f t="shared" si="37"/>
        <v>12</v>
      </c>
      <c r="R615" t="str">
        <f t="shared" si="35"/>
        <v>流量宝</v>
      </c>
      <c r="S615" t="str">
        <f>_xlfn.XLOOKUP(B615,全店核心数据_bymonth!A:A,全店核心数据_bymonth!AN:AN)</f>
        <v>BU25</v>
      </c>
    </row>
    <row r="616" spans="1:19" x14ac:dyDescent="0.3">
      <c r="A616" t="s">
        <v>110</v>
      </c>
      <c r="B616" s="16">
        <v>45627</v>
      </c>
      <c r="C616" t="s">
        <v>2</v>
      </c>
      <c r="D616" t="s">
        <v>4</v>
      </c>
      <c r="E616" t="s">
        <v>43</v>
      </c>
      <c r="F616">
        <v>3493</v>
      </c>
      <c r="G616">
        <v>1997</v>
      </c>
      <c r="H616">
        <v>62</v>
      </c>
      <c r="I616">
        <v>9</v>
      </c>
      <c r="J616">
        <v>250576.03</v>
      </c>
      <c r="K616">
        <v>44</v>
      </c>
      <c r="L616">
        <v>231421.03</v>
      </c>
      <c r="M616">
        <v>43</v>
      </c>
      <c r="N616">
        <v>245</v>
      </c>
      <c r="O616">
        <v>3433</v>
      </c>
      <c r="P616">
        <f t="shared" si="36"/>
        <v>2024</v>
      </c>
      <c r="Q616">
        <f t="shared" si="37"/>
        <v>12</v>
      </c>
      <c r="R616" t="str">
        <f t="shared" si="35"/>
        <v>淘宝客</v>
      </c>
      <c r="S616" t="str">
        <f>_xlfn.XLOOKUP(B616,全店核心数据_bymonth!A:A,全店核心数据_bymonth!AN:AN)</f>
        <v>BU25</v>
      </c>
    </row>
    <row r="617" spans="1:19" x14ac:dyDescent="0.3">
      <c r="A617" t="s">
        <v>110</v>
      </c>
      <c r="B617" s="16">
        <v>45261</v>
      </c>
      <c r="C617" t="s">
        <v>3</v>
      </c>
      <c r="D617" t="s">
        <v>114</v>
      </c>
      <c r="E617" t="s">
        <v>159</v>
      </c>
      <c r="F617">
        <v>695</v>
      </c>
      <c r="G617">
        <v>313</v>
      </c>
      <c r="H617">
        <v>33</v>
      </c>
      <c r="I617">
        <v>8</v>
      </c>
      <c r="J617">
        <v>23470</v>
      </c>
      <c r="K617">
        <v>5</v>
      </c>
      <c r="L617">
        <v>23470</v>
      </c>
      <c r="M617">
        <v>5</v>
      </c>
      <c r="O617">
        <v>692</v>
      </c>
      <c r="P617">
        <f t="shared" si="36"/>
        <v>2023</v>
      </c>
      <c r="Q617">
        <f t="shared" si="37"/>
        <v>12</v>
      </c>
      <c r="R617" t="str">
        <f t="shared" si="35"/>
        <v>主会场</v>
      </c>
      <c r="S617" t="str">
        <f>_xlfn.XLOOKUP(B617,全店核心数据_bymonth!A:A,全店核心数据_bymonth!AN:AN)</f>
        <v>BU24</v>
      </c>
    </row>
    <row r="618" spans="1:19" x14ac:dyDescent="0.3">
      <c r="A618" t="s">
        <v>110</v>
      </c>
      <c r="B618" s="16">
        <v>45261</v>
      </c>
      <c r="C618" t="s">
        <v>3</v>
      </c>
      <c r="D618" t="s">
        <v>114</v>
      </c>
      <c r="E618" t="s">
        <v>160</v>
      </c>
      <c r="F618">
        <v>14</v>
      </c>
      <c r="G618">
        <v>13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O618">
        <v>14</v>
      </c>
      <c r="P618">
        <f t="shared" si="36"/>
        <v>2023</v>
      </c>
      <c r="Q618">
        <f t="shared" si="37"/>
        <v>12</v>
      </c>
      <c r="R618" t="str">
        <f t="shared" si="35"/>
        <v>榜单会场</v>
      </c>
      <c r="S618" t="str">
        <f>_xlfn.XLOOKUP(B618,全店核心数据_bymonth!A:A,全店核心数据_bymonth!AN:AN)</f>
        <v>BU24</v>
      </c>
    </row>
    <row r="619" spans="1:19" x14ac:dyDescent="0.3">
      <c r="A619" t="s">
        <v>110</v>
      </c>
      <c r="B619" s="16">
        <v>45261</v>
      </c>
      <c r="C619" t="s">
        <v>3</v>
      </c>
      <c r="D619" t="s">
        <v>117</v>
      </c>
      <c r="E619" t="s">
        <v>161</v>
      </c>
      <c r="F619">
        <v>31</v>
      </c>
      <c r="G619">
        <v>30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O619">
        <v>31</v>
      </c>
      <c r="P619">
        <f t="shared" si="36"/>
        <v>2023</v>
      </c>
      <c r="Q619">
        <f t="shared" si="37"/>
        <v>12</v>
      </c>
      <c r="R619" t="str">
        <f t="shared" si="35"/>
        <v>其他入口榜单</v>
      </c>
      <c r="S619" t="str">
        <f>_xlfn.XLOOKUP(B619,全店核心数据_bymonth!A:A,全店核心数据_bymonth!AN:AN)</f>
        <v>BU24</v>
      </c>
    </row>
    <row r="620" spans="1:19" x14ac:dyDescent="0.3">
      <c r="A620" t="s">
        <v>110</v>
      </c>
      <c r="B620" s="16">
        <v>45261</v>
      </c>
      <c r="C620" t="s">
        <v>3</v>
      </c>
      <c r="D620" t="s">
        <v>117</v>
      </c>
      <c r="E620" t="s">
        <v>191</v>
      </c>
      <c r="F620">
        <v>47</v>
      </c>
      <c r="G620">
        <v>43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O620">
        <v>47</v>
      </c>
      <c r="P620">
        <f t="shared" si="36"/>
        <v>2023</v>
      </c>
      <c r="Q620">
        <f t="shared" si="37"/>
        <v>12</v>
      </c>
      <c r="R620" t="str">
        <f t="shared" si="35"/>
        <v>商品详情页入口榜单</v>
      </c>
      <c r="S620" t="str">
        <f>_xlfn.XLOOKUP(B620,全店核心数据_bymonth!A:A,全店核心数据_bymonth!AN:AN)</f>
        <v>BU24</v>
      </c>
    </row>
    <row r="621" spans="1:19" x14ac:dyDescent="0.3">
      <c r="A621" t="s">
        <v>110</v>
      </c>
      <c r="B621" s="16">
        <v>45261</v>
      </c>
      <c r="C621" t="s">
        <v>3</v>
      </c>
      <c r="D621" t="s">
        <v>117</v>
      </c>
      <c r="E621" t="s">
        <v>195</v>
      </c>
      <c r="F621">
        <v>27</v>
      </c>
      <c r="G621">
        <v>26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O621">
        <v>27</v>
      </c>
      <c r="P621">
        <f t="shared" si="36"/>
        <v>2023</v>
      </c>
      <c r="Q621">
        <f t="shared" si="37"/>
        <v>12</v>
      </c>
      <c r="R621" t="str">
        <f t="shared" si="35"/>
        <v>搜索入口榜单</v>
      </c>
      <c r="S621" t="str">
        <f>_xlfn.XLOOKUP(B621,全店核心数据_bymonth!A:A,全店核心数据_bymonth!AN:AN)</f>
        <v>BU24</v>
      </c>
    </row>
    <row r="622" spans="1:19" x14ac:dyDescent="0.3">
      <c r="A622" t="s">
        <v>110</v>
      </c>
      <c r="B622" s="16">
        <v>45261</v>
      </c>
      <c r="C622" t="s">
        <v>3</v>
      </c>
      <c r="D622" t="s">
        <v>120</v>
      </c>
      <c r="E622" t="s">
        <v>162</v>
      </c>
      <c r="F622">
        <v>99</v>
      </c>
      <c r="G622">
        <v>93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O622">
        <v>26</v>
      </c>
      <c r="P622">
        <f t="shared" si="36"/>
        <v>2023</v>
      </c>
      <c r="Q622">
        <f t="shared" si="37"/>
        <v>12</v>
      </c>
      <c r="R622" t="str">
        <f t="shared" si="35"/>
        <v>手机浏览器访问天猫</v>
      </c>
      <c r="S622" t="str">
        <f>_xlfn.XLOOKUP(B622,全店核心数据_bymonth!A:A,全店核心数据_bymonth!AN:AN)</f>
        <v>BU24</v>
      </c>
    </row>
    <row r="623" spans="1:19" x14ac:dyDescent="0.3">
      <c r="A623" t="s">
        <v>110</v>
      </c>
      <c r="B623" s="16">
        <v>45261</v>
      </c>
      <c r="C623" t="s">
        <v>3</v>
      </c>
      <c r="D623" t="s">
        <v>120</v>
      </c>
      <c r="E623" t="s">
        <v>163</v>
      </c>
      <c r="F623">
        <v>1410</v>
      </c>
      <c r="G623">
        <v>963</v>
      </c>
      <c r="H623">
        <v>30</v>
      </c>
      <c r="I623">
        <v>0</v>
      </c>
      <c r="J623">
        <v>241930</v>
      </c>
      <c r="K623">
        <v>35</v>
      </c>
      <c r="L623">
        <v>232782</v>
      </c>
      <c r="M623">
        <v>34</v>
      </c>
      <c r="O623">
        <v>1384</v>
      </c>
      <c r="P623">
        <f t="shared" si="36"/>
        <v>2023</v>
      </c>
      <c r="Q623">
        <f t="shared" si="37"/>
        <v>12</v>
      </c>
      <c r="R623" t="str">
        <f t="shared" si="35"/>
        <v>手猫免费其他</v>
      </c>
      <c r="S623" t="str">
        <f>_xlfn.XLOOKUP(B623,全店核心数据_bymonth!A:A,全店核心数据_bymonth!AN:AN)</f>
        <v>BU24</v>
      </c>
    </row>
    <row r="624" spans="1:19" x14ac:dyDescent="0.3">
      <c r="A624" t="s">
        <v>110</v>
      </c>
      <c r="B624" s="16">
        <v>45261</v>
      </c>
      <c r="C624" t="s">
        <v>3</v>
      </c>
      <c r="D624" t="s">
        <v>120</v>
      </c>
      <c r="E624" t="s">
        <v>164</v>
      </c>
      <c r="F624">
        <v>207</v>
      </c>
      <c r="G624">
        <v>127</v>
      </c>
      <c r="H624">
        <v>8</v>
      </c>
      <c r="I624">
        <v>1</v>
      </c>
      <c r="J624">
        <v>53581</v>
      </c>
      <c r="K624">
        <v>10</v>
      </c>
      <c r="L624">
        <v>49458</v>
      </c>
      <c r="M624">
        <v>9</v>
      </c>
      <c r="O624">
        <v>207</v>
      </c>
      <c r="P624">
        <f t="shared" si="36"/>
        <v>2023</v>
      </c>
      <c r="Q624">
        <f t="shared" si="37"/>
        <v>12</v>
      </c>
      <c r="R624" t="str">
        <f t="shared" si="35"/>
        <v>手猫其他店铺</v>
      </c>
      <c r="S624" t="str">
        <f>_xlfn.XLOOKUP(B624,全店核心数据_bymonth!A:A,全店核心数据_bymonth!AN:AN)</f>
        <v>BU24</v>
      </c>
    </row>
    <row r="625" spans="1:19" x14ac:dyDescent="0.3">
      <c r="A625" t="s">
        <v>110</v>
      </c>
      <c r="B625" s="16">
        <v>45261</v>
      </c>
      <c r="C625" t="s">
        <v>3</v>
      </c>
      <c r="D625" t="s">
        <v>120</v>
      </c>
      <c r="E625" t="s">
        <v>165</v>
      </c>
      <c r="F625">
        <v>950</v>
      </c>
      <c r="G625">
        <v>611</v>
      </c>
      <c r="H625">
        <v>7</v>
      </c>
      <c r="I625">
        <v>0</v>
      </c>
      <c r="J625">
        <v>118514</v>
      </c>
      <c r="K625">
        <v>22</v>
      </c>
      <c r="L625">
        <v>105977.5</v>
      </c>
      <c r="M625">
        <v>21</v>
      </c>
      <c r="O625">
        <v>916</v>
      </c>
      <c r="P625">
        <f t="shared" si="36"/>
        <v>2023</v>
      </c>
      <c r="Q625">
        <f t="shared" si="37"/>
        <v>12</v>
      </c>
      <c r="R625" t="str">
        <f t="shared" si="35"/>
        <v>手猫商品详情</v>
      </c>
      <c r="S625" t="str">
        <f>_xlfn.XLOOKUP(B625,全店核心数据_bymonth!A:A,全店核心数据_bymonth!AN:AN)</f>
        <v>BU24</v>
      </c>
    </row>
    <row r="626" spans="1:19" x14ac:dyDescent="0.3">
      <c r="A626" t="s">
        <v>110</v>
      </c>
      <c r="B626" s="16">
        <v>45261</v>
      </c>
      <c r="C626" t="s">
        <v>3</v>
      </c>
      <c r="D626" t="s">
        <v>120</v>
      </c>
      <c r="E626" t="s">
        <v>166</v>
      </c>
      <c r="F626">
        <v>1358</v>
      </c>
      <c r="G626">
        <v>1086</v>
      </c>
      <c r="H626">
        <v>12</v>
      </c>
      <c r="I626">
        <v>1</v>
      </c>
      <c r="J626">
        <v>116165</v>
      </c>
      <c r="K626">
        <v>17</v>
      </c>
      <c r="L626">
        <v>65537</v>
      </c>
      <c r="M626">
        <v>15</v>
      </c>
      <c r="O626">
        <v>1097</v>
      </c>
      <c r="P626">
        <f t="shared" si="36"/>
        <v>2023</v>
      </c>
      <c r="Q626">
        <f t="shared" si="37"/>
        <v>12</v>
      </c>
      <c r="R626" t="str">
        <f t="shared" si="35"/>
        <v>手猫搜索</v>
      </c>
      <c r="S626" t="str">
        <f>_xlfn.XLOOKUP(B626,全店核心数据_bymonth!A:A,全店核心数据_bymonth!AN:AN)</f>
        <v>BU24</v>
      </c>
    </row>
    <row r="627" spans="1:19" x14ac:dyDescent="0.3">
      <c r="A627" t="s">
        <v>110</v>
      </c>
      <c r="B627" s="16">
        <v>45261</v>
      </c>
      <c r="C627" t="s">
        <v>3</v>
      </c>
      <c r="D627" t="s">
        <v>120</v>
      </c>
      <c r="E627" t="s">
        <v>167</v>
      </c>
      <c r="F627">
        <v>34</v>
      </c>
      <c r="G627">
        <v>14</v>
      </c>
      <c r="H627">
        <v>2</v>
      </c>
      <c r="I627">
        <v>0</v>
      </c>
      <c r="J627">
        <v>30995</v>
      </c>
      <c r="K627">
        <v>8</v>
      </c>
      <c r="L627">
        <v>27515</v>
      </c>
      <c r="M627">
        <v>8</v>
      </c>
      <c r="O627">
        <v>33</v>
      </c>
      <c r="P627">
        <f t="shared" si="36"/>
        <v>2023</v>
      </c>
      <c r="Q627">
        <f t="shared" si="37"/>
        <v>12</v>
      </c>
      <c r="R627" t="str">
        <f t="shared" si="35"/>
        <v>手猫旺信聊天</v>
      </c>
      <c r="S627" t="str">
        <f>_xlfn.XLOOKUP(B627,全店核心数据_bymonth!A:A,全店核心数据_bymonth!AN:AN)</f>
        <v>BU24</v>
      </c>
    </row>
    <row r="628" spans="1:19" x14ac:dyDescent="0.3">
      <c r="A628" t="s">
        <v>110</v>
      </c>
      <c r="B628" s="16">
        <v>45261</v>
      </c>
      <c r="C628" t="s">
        <v>3</v>
      </c>
      <c r="D628" t="s">
        <v>120</v>
      </c>
      <c r="E628" t="s">
        <v>192</v>
      </c>
      <c r="F628">
        <v>2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O628">
        <v>2</v>
      </c>
      <c r="P628">
        <f t="shared" si="36"/>
        <v>2023</v>
      </c>
      <c r="Q628">
        <f t="shared" si="37"/>
        <v>12</v>
      </c>
      <c r="R628" t="str">
        <f t="shared" si="35"/>
        <v>手猫消息中心</v>
      </c>
      <c r="S628" t="str">
        <f>_xlfn.XLOOKUP(B628,全店核心数据_bymonth!A:A,全店核心数据_bymonth!AN:AN)</f>
        <v>BU24</v>
      </c>
    </row>
    <row r="629" spans="1:19" x14ac:dyDescent="0.3">
      <c r="A629" t="s">
        <v>110</v>
      </c>
      <c r="B629" s="16">
        <v>45261</v>
      </c>
      <c r="C629" t="s">
        <v>3</v>
      </c>
      <c r="D629" t="s">
        <v>120</v>
      </c>
      <c r="E629" t="s">
        <v>168</v>
      </c>
      <c r="F629">
        <v>6780</v>
      </c>
      <c r="G629">
        <v>5743</v>
      </c>
      <c r="H629">
        <v>23</v>
      </c>
      <c r="I629">
        <v>0</v>
      </c>
      <c r="J629">
        <v>70625.5</v>
      </c>
      <c r="K629">
        <v>16</v>
      </c>
      <c r="L629">
        <v>40216.5</v>
      </c>
      <c r="M629">
        <v>15</v>
      </c>
      <c r="O629">
        <v>6780</v>
      </c>
      <c r="P629">
        <f t="shared" si="36"/>
        <v>2023</v>
      </c>
      <c r="Q629">
        <f t="shared" si="37"/>
        <v>12</v>
      </c>
      <c r="R629" t="str">
        <f t="shared" si="35"/>
        <v>手猫首页</v>
      </c>
      <c r="S629" t="str">
        <f>_xlfn.XLOOKUP(B629,全店核心数据_bymonth!A:A,全店核心数据_bymonth!AN:AN)</f>
        <v>BU24</v>
      </c>
    </row>
    <row r="630" spans="1:19" x14ac:dyDescent="0.3">
      <c r="A630" t="s">
        <v>110</v>
      </c>
      <c r="B630" s="16">
        <v>45261</v>
      </c>
      <c r="C630" t="s">
        <v>3</v>
      </c>
      <c r="D630" t="s">
        <v>123</v>
      </c>
      <c r="E630" t="s">
        <v>169</v>
      </c>
      <c r="F630">
        <v>2475</v>
      </c>
      <c r="G630">
        <v>1382</v>
      </c>
      <c r="H630">
        <v>90</v>
      </c>
      <c r="I630">
        <v>44</v>
      </c>
      <c r="J630">
        <v>111925</v>
      </c>
      <c r="K630">
        <v>22</v>
      </c>
      <c r="L630">
        <v>96605</v>
      </c>
      <c r="M630">
        <v>19</v>
      </c>
      <c r="O630">
        <v>2353</v>
      </c>
      <c r="P630">
        <f t="shared" si="36"/>
        <v>2023</v>
      </c>
      <c r="Q630">
        <f t="shared" si="37"/>
        <v>12</v>
      </c>
      <c r="R630" t="str">
        <f t="shared" si="35"/>
        <v>商品详情页头图推荐</v>
      </c>
      <c r="S630" t="str">
        <f>_xlfn.XLOOKUP(B630,全店核心数据_bymonth!A:A,全店核心数据_bymonth!AN:AN)</f>
        <v>BU24</v>
      </c>
    </row>
    <row r="631" spans="1:19" x14ac:dyDescent="0.3">
      <c r="A631" t="s">
        <v>110</v>
      </c>
      <c r="B631" s="16">
        <v>45261</v>
      </c>
      <c r="C631" t="s">
        <v>3</v>
      </c>
      <c r="D631" t="s">
        <v>123</v>
      </c>
      <c r="E631" t="s">
        <v>170</v>
      </c>
      <c r="F631">
        <v>799</v>
      </c>
      <c r="G631">
        <v>515</v>
      </c>
      <c r="H631">
        <v>17</v>
      </c>
      <c r="I631">
        <v>10</v>
      </c>
      <c r="J631">
        <v>49423</v>
      </c>
      <c r="K631">
        <v>6</v>
      </c>
      <c r="L631">
        <v>46868</v>
      </c>
      <c r="M631">
        <v>6</v>
      </c>
      <c r="O631">
        <v>280</v>
      </c>
      <c r="P631">
        <f t="shared" si="36"/>
        <v>2023</v>
      </c>
      <c r="Q631">
        <f t="shared" si="37"/>
        <v>12</v>
      </c>
      <c r="R631" t="str">
        <f t="shared" si="35"/>
        <v>店铺超链</v>
      </c>
      <c r="S631" t="str">
        <f>_xlfn.XLOOKUP(B631,全店核心数据_bymonth!A:A,全店核心数据_bymonth!AN:AN)</f>
        <v>BU24</v>
      </c>
    </row>
    <row r="632" spans="1:19" x14ac:dyDescent="0.3">
      <c r="A632" t="s">
        <v>110</v>
      </c>
      <c r="B632" s="16">
        <v>45261</v>
      </c>
      <c r="C632" t="s">
        <v>3</v>
      </c>
      <c r="D632" t="s">
        <v>127</v>
      </c>
      <c r="E632" t="s">
        <v>171</v>
      </c>
      <c r="F632">
        <v>4088</v>
      </c>
      <c r="G632">
        <v>2738</v>
      </c>
      <c r="H632">
        <v>61</v>
      </c>
      <c r="I632">
        <v>45</v>
      </c>
      <c r="J632">
        <v>248068</v>
      </c>
      <c r="K632">
        <v>29</v>
      </c>
      <c r="L632">
        <v>172058</v>
      </c>
      <c r="M632">
        <v>25</v>
      </c>
      <c r="O632">
        <v>2484</v>
      </c>
      <c r="P632">
        <f t="shared" si="36"/>
        <v>2023</v>
      </c>
      <c r="Q632">
        <f t="shared" si="37"/>
        <v>12</v>
      </c>
      <c r="R632" t="str">
        <f t="shared" si="35"/>
        <v>其他猜你喜欢</v>
      </c>
      <c r="S632" t="str">
        <f>_xlfn.XLOOKUP(B632,全店核心数据_bymonth!A:A,全店核心数据_bymonth!AN:AN)</f>
        <v>BU24</v>
      </c>
    </row>
    <row r="633" spans="1:19" x14ac:dyDescent="0.3">
      <c r="A633" t="s">
        <v>110</v>
      </c>
      <c r="B633" s="16">
        <v>45261</v>
      </c>
      <c r="C633" t="s">
        <v>3</v>
      </c>
      <c r="D633" t="s">
        <v>127</v>
      </c>
      <c r="E633" t="s">
        <v>193</v>
      </c>
      <c r="F633">
        <v>17</v>
      </c>
      <c r="G633">
        <v>12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O633">
        <v>17</v>
      </c>
      <c r="P633">
        <f t="shared" si="36"/>
        <v>2023</v>
      </c>
      <c r="Q633">
        <f t="shared" si="37"/>
        <v>12</v>
      </c>
      <c r="R633" t="str">
        <f t="shared" si="35"/>
        <v>推荐云主题</v>
      </c>
      <c r="S633" t="str">
        <f>_xlfn.XLOOKUP(B633,全店核心数据_bymonth!A:A,全店核心数据_bymonth!AN:AN)</f>
        <v>BU24</v>
      </c>
    </row>
    <row r="634" spans="1:19" x14ac:dyDescent="0.3">
      <c r="A634" t="s">
        <v>110</v>
      </c>
      <c r="B634" s="16">
        <v>45261</v>
      </c>
      <c r="C634" t="s">
        <v>3</v>
      </c>
      <c r="D634" t="s">
        <v>127</v>
      </c>
      <c r="E634" t="s">
        <v>172</v>
      </c>
      <c r="F634">
        <v>156</v>
      </c>
      <c r="G634">
        <v>81</v>
      </c>
      <c r="H634">
        <v>3</v>
      </c>
      <c r="I634">
        <v>0</v>
      </c>
      <c r="J634">
        <v>0</v>
      </c>
      <c r="K634">
        <v>0</v>
      </c>
      <c r="L634">
        <v>0</v>
      </c>
      <c r="M634">
        <v>0</v>
      </c>
      <c r="O634">
        <v>127</v>
      </c>
      <c r="P634">
        <f t="shared" si="36"/>
        <v>2023</v>
      </c>
      <c r="Q634">
        <f t="shared" si="37"/>
        <v>12</v>
      </c>
      <c r="R634" t="str">
        <f t="shared" si="35"/>
        <v>购中推荐</v>
      </c>
      <c r="S634" t="str">
        <f>_xlfn.XLOOKUP(B634,全店核心数据_bymonth!A:A,全店核心数据_bymonth!AN:AN)</f>
        <v>BU24</v>
      </c>
    </row>
    <row r="635" spans="1:19" x14ac:dyDescent="0.3">
      <c r="A635" t="s">
        <v>110</v>
      </c>
      <c r="B635" s="16">
        <v>45261</v>
      </c>
      <c r="C635" t="s">
        <v>3</v>
      </c>
      <c r="D635" t="s">
        <v>127</v>
      </c>
      <c r="E635" t="s">
        <v>173</v>
      </c>
      <c r="F635">
        <v>666</v>
      </c>
      <c r="G635">
        <v>408</v>
      </c>
      <c r="H635">
        <v>8</v>
      </c>
      <c r="I635">
        <v>1</v>
      </c>
      <c r="J635">
        <v>6340</v>
      </c>
      <c r="K635">
        <v>2</v>
      </c>
      <c r="L635">
        <v>4660</v>
      </c>
      <c r="M635">
        <v>2</v>
      </c>
      <c r="O635">
        <v>566</v>
      </c>
      <c r="P635">
        <f t="shared" si="36"/>
        <v>2023</v>
      </c>
      <c r="Q635">
        <f t="shared" si="37"/>
        <v>12</v>
      </c>
      <c r="R635" t="str">
        <f t="shared" si="35"/>
        <v>购后推荐</v>
      </c>
      <c r="S635" t="str">
        <f>_xlfn.XLOOKUP(B635,全店核心数据_bymonth!A:A,全店核心数据_bymonth!AN:AN)</f>
        <v>BU24</v>
      </c>
    </row>
    <row r="636" spans="1:19" x14ac:dyDescent="0.3">
      <c r="A636" t="s">
        <v>110</v>
      </c>
      <c r="B636" s="16">
        <v>45261</v>
      </c>
      <c r="C636" t="s">
        <v>3</v>
      </c>
      <c r="D636" t="s">
        <v>127</v>
      </c>
      <c r="E636" t="s">
        <v>174</v>
      </c>
      <c r="F636">
        <v>67257</v>
      </c>
      <c r="G636">
        <v>60532</v>
      </c>
      <c r="H636">
        <v>541</v>
      </c>
      <c r="I636">
        <v>320</v>
      </c>
      <c r="J636">
        <v>198018</v>
      </c>
      <c r="K636">
        <v>36</v>
      </c>
      <c r="L636">
        <v>136438</v>
      </c>
      <c r="M636">
        <v>29</v>
      </c>
      <c r="O636">
        <v>67257</v>
      </c>
      <c r="P636">
        <f t="shared" si="36"/>
        <v>2023</v>
      </c>
      <c r="Q636">
        <f t="shared" si="37"/>
        <v>12</v>
      </c>
      <c r="R636" t="str">
        <f t="shared" si="35"/>
        <v>首页推荐-微详情</v>
      </c>
      <c r="S636" t="str">
        <f>_xlfn.XLOOKUP(B636,全店核心数据_bymonth!A:A,全店核心数据_bymonth!AN:AN)</f>
        <v>BU24</v>
      </c>
    </row>
    <row r="637" spans="1:19" x14ac:dyDescent="0.3">
      <c r="A637" t="s">
        <v>110</v>
      </c>
      <c r="B637" s="16">
        <v>45261</v>
      </c>
      <c r="C637" t="s">
        <v>3</v>
      </c>
      <c r="D637" t="s">
        <v>127</v>
      </c>
      <c r="E637" t="s">
        <v>175</v>
      </c>
      <c r="F637">
        <v>2863</v>
      </c>
      <c r="G637">
        <v>2567</v>
      </c>
      <c r="H637">
        <v>2</v>
      </c>
      <c r="I637">
        <v>0</v>
      </c>
      <c r="J637">
        <v>1680</v>
      </c>
      <c r="K637">
        <v>1</v>
      </c>
      <c r="L637">
        <v>1680</v>
      </c>
      <c r="M637">
        <v>1</v>
      </c>
      <c r="O637">
        <v>133</v>
      </c>
      <c r="P637">
        <f t="shared" si="36"/>
        <v>2023</v>
      </c>
      <c r="Q637">
        <f t="shared" si="37"/>
        <v>12</v>
      </c>
      <c r="R637" t="str">
        <f t="shared" si="35"/>
        <v>首页推荐-直播</v>
      </c>
      <c r="S637" t="str">
        <f>_xlfn.XLOOKUP(B637,全店核心数据_bymonth!A:A,全店核心数据_bymonth!AN:AN)</f>
        <v>BU24</v>
      </c>
    </row>
    <row r="638" spans="1:19" x14ac:dyDescent="0.3">
      <c r="A638" t="s">
        <v>110</v>
      </c>
      <c r="B638" s="16">
        <v>45261</v>
      </c>
      <c r="C638" t="s">
        <v>3</v>
      </c>
      <c r="D638" t="s">
        <v>127</v>
      </c>
      <c r="E638" t="s">
        <v>176</v>
      </c>
      <c r="F638">
        <v>1494</v>
      </c>
      <c r="G638">
        <v>943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O638">
        <v>13</v>
      </c>
      <c r="P638">
        <f t="shared" si="36"/>
        <v>2023</v>
      </c>
      <c r="Q638">
        <f t="shared" si="37"/>
        <v>12</v>
      </c>
      <c r="R638" t="str">
        <f t="shared" si="35"/>
        <v>首页推荐-短视频</v>
      </c>
      <c r="S638" t="str">
        <f>_xlfn.XLOOKUP(B638,全店核心数据_bymonth!A:A,全店核心数据_bymonth!AN:AN)</f>
        <v>BU24</v>
      </c>
    </row>
    <row r="639" spans="1:19" x14ac:dyDescent="0.3">
      <c r="A639" t="s">
        <v>110</v>
      </c>
      <c r="B639" s="16">
        <v>45261</v>
      </c>
      <c r="C639" t="s">
        <v>3</v>
      </c>
      <c r="D639" t="s">
        <v>128</v>
      </c>
      <c r="E639" t="s">
        <v>177</v>
      </c>
      <c r="F639">
        <v>14966</v>
      </c>
      <c r="G639">
        <v>12729</v>
      </c>
      <c r="H639">
        <v>524</v>
      </c>
      <c r="I639">
        <v>187</v>
      </c>
      <c r="J639">
        <v>698789</v>
      </c>
      <c r="K639">
        <v>110</v>
      </c>
      <c r="L639">
        <v>479651.5</v>
      </c>
      <c r="M639">
        <v>94</v>
      </c>
      <c r="O639">
        <v>13423</v>
      </c>
      <c r="P639">
        <f t="shared" si="36"/>
        <v>2023</v>
      </c>
      <c r="Q639">
        <f t="shared" si="37"/>
        <v>12</v>
      </c>
      <c r="R639" t="str">
        <f t="shared" si="35"/>
        <v>手淘搜索-商品及其他</v>
      </c>
      <c r="S639" t="str">
        <f>_xlfn.XLOOKUP(B639,全店核心数据_bymonth!A:A,全店核心数据_bymonth!AN:AN)</f>
        <v>BU24</v>
      </c>
    </row>
    <row r="640" spans="1:19" x14ac:dyDescent="0.3">
      <c r="A640" t="s">
        <v>110</v>
      </c>
      <c r="B640" s="16">
        <v>45261</v>
      </c>
      <c r="C640" t="s">
        <v>3</v>
      </c>
      <c r="D640" t="s">
        <v>128</v>
      </c>
      <c r="E640" t="s">
        <v>178</v>
      </c>
      <c r="F640">
        <v>289</v>
      </c>
      <c r="G640">
        <v>208</v>
      </c>
      <c r="H640">
        <v>6</v>
      </c>
      <c r="I640">
        <v>1</v>
      </c>
      <c r="J640">
        <v>22796</v>
      </c>
      <c r="K640">
        <v>4</v>
      </c>
      <c r="L640">
        <v>15836</v>
      </c>
      <c r="M640">
        <v>4</v>
      </c>
      <c r="O640">
        <v>217</v>
      </c>
      <c r="P640">
        <f t="shared" si="36"/>
        <v>2023</v>
      </c>
      <c r="Q640">
        <f t="shared" si="37"/>
        <v>12</v>
      </c>
      <c r="R640" t="str">
        <f t="shared" si="35"/>
        <v>手淘搜索-直播</v>
      </c>
      <c r="S640" t="str">
        <f>_xlfn.XLOOKUP(B640,全店核心数据_bymonth!A:A,全店核心数据_bymonth!AN:AN)</f>
        <v>BU24</v>
      </c>
    </row>
    <row r="641" spans="1:19" x14ac:dyDescent="0.3">
      <c r="A641" t="s">
        <v>110</v>
      </c>
      <c r="B641" s="16">
        <v>45261</v>
      </c>
      <c r="C641" t="s">
        <v>3</v>
      </c>
      <c r="D641" t="s">
        <v>128</v>
      </c>
      <c r="E641" t="s">
        <v>179</v>
      </c>
      <c r="F641">
        <v>353</v>
      </c>
      <c r="G641">
        <v>194</v>
      </c>
      <c r="H641">
        <v>9</v>
      </c>
      <c r="I641">
        <v>3</v>
      </c>
      <c r="J641">
        <v>10660</v>
      </c>
      <c r="K641">
        <v>2</v>
      </c>
      <c r="L641">
        <v>10660</v>
      </c>
      <c r="M641">
        <v>2</v>
      </c>
      <c r="O641">
        <v>87</v>
      </c>
      <c r="P641">
        <f t="shared" si="36"/>
        <v>2023</v>
      </c>
      <c r="Q641">
        <f t="shared" si="37"/>
        <v>12</v>
      </c>
      <c r="R641" t="str">
        <f t="shared" si="35"/>
        <v>手淘搜索-短视频</v>
      </c>
      <c r="S641" t="str">
        <f>_xlfn.XLOOKUP(B641,全店核心数据_bymonth!A:A,全店核心数据_bymonth!AN:AN)</f>
        <v>BU24</v>
      </c>
    </row>
    <row r="642" spans="1:19" x14ac:dyDescent="0.3">
      <c r="A642" t="s">
        <v>110</v>
      </c>
      <c r="B642" s="16">
        <v>45261</v>
      </c>
      <c r="C642" t="s">
        <v>3</v>
      </c>
      <c r="D642" t="s">
        <v>143</v>
      </c>
      <c r="E642" t="s">
        <v>196</v>
      </c>
      <c r="F642">
        <v>17</v>
      </c>
      <c r="G642">
        <v>12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O642">
        <v>17</v>
      </c>
      <c r="P642">
        <f t="shared" si="36"/>
        <v>2023</v>
      </c>
      <c r="Q642">
        <f t="shared" si="37"/>
        <v>12</v>
      </c>
      <c r="R642" t="str">
        <f t="shared" si="35"/>
        <v>淘特互动游戏</v>
      </c>
      <c r="S642" t="str">
        <f>_xlfn.XLOOKUP(B642,全店核心数据_bymonth!A:A,全店核心数据_bymonth!AN:AN)</f>
        <v>BU24</v>
      </c>
    </row>
    <row r="643" spans="1:19" x14ac:dyDescent="0.3">
      <c r="A643" t="s">
        <v>110</v>
      </c>
      <c r="B643" s="16">
        <v>45261</v>
      </c>
      <c r="C643" t="s">
        <v>3</v>
      </c>
      <c r="D643" t="s">
        <v>143</v>
      </c>
      <c r="E643" t="s">
        <v>180</v>
      </c>
      <c r="F643">
        <v>54</v>
      </c>
      <c r="G643">
        <v>48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O643">
        <v>53</v>
      </c>
      <c r="P643">
        <f t="shared" si="36"/>
        <v>2023</v>
      </c>
      <c r="Q643">
        <f t="shared" si="37"/>
        <v>12</v>
      </c>
      <c r="R643" t="str">
        <f t="shared" si="35"/>
        <v>淘特其他渠道</v>
      </c>
      <c r="S643" t="str">
        <f>_xlfn.XLOOKUP(B643,全店核心数据_bymonth!A:A,全店核心数据_bymonth!AN:AN)</f>
        <v>BU24</v>
      </c>
    </row>
    <row r="644" spans="1:19" x14ac:dyDescent="0.3">
      <c r="A644" t="s">
        <v>110</v>
      </c>
      <c r="B644" s="16">
        <v>45261</v>
      </c>
      <c r="C644" t="s">
        <v>3</v>
      </c>
      <c r="D644" t="s">
        <v>143</v>
      </c>
      <c r="E644" t="s">
        <v>197</v>
      </c>
      <c r="F644">
        <v>57</v>
      </c>
      <c r="G644">
        <v>49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O644">
        <v>57</v>
      </c>
      <c r="P644">
        <f t="shared" si="36"/>
        <v>2023</v>
      </c>
      <c r="Q644">
        <f t="shared" si="37"/>
        <v>12</v>
      </c>
      <c r="R644" t="str">
        <f t="shared" si="35"/>
        <v>淘特推荐</v>
      </c>
      <c r="S644" t="str">
        <f>_xlfn.XLOOKUP(B644,全店核心数据_bymonth!A:A,全店核心数据_bymonth!AN:AN)</f>
        <v>BU24</v>
      </c>
    </row>
    <row r="645" spans="1:19" x14ac:dyDescent="0.3">
      <c r="A645" t="s">
        <v>110</v>
      </c>
      <c r="B645" s="16">
        <v>45261</v>
      </c>
      <c r="C645" t="s">
        <v>3</v>
      </c>
      <c r="D645" t="s">
        <v>143</v>
      </c>
      <c r="E645" t="s">
        <v>181</v>
      </c>
      <c r="F645">
        <v>70</v>
      </c>
      <c r="G645">
        <v>61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O645">
        <v>70</v>
      </c>
      <c r="P645">
        <f t="shared" si="36"/>
        <v>2023</v>
      </c>
      <c r="Q645">
        <f t="shared" si="37"/>
        <v>12</v>
      </c>
      <c r="R645" t="str">
        <f t="shared" si="35"/>
        <v>淘特搜索</v>
      </c>
      <c r="S645" t="str">
        <f>_xlfn.XLOOKUP(B645,全店核心数据_bymonth!A:A,全店核心数据_bymonth!AN:AN)</f>
        <v>BU24</v>
      </c>
    </row>
    <row r="646" spans="1:19" x14ac:dyDescent="0.3">
      <c r="A646" t="s">
        <v>110</v>
      </c>
      <c r="B646" s="16">
        <v>45261</v>
      </c>
      <c r="C646" t="s">
        <v>3</v>
      </c>
      <c r="D646" t="s">
        <v>143</v>
      </c>
      <c r="E646" t="s">
        <v>224</v>
      </c>
      <c r="F646">
        <v>4</v>
      </c>
      <c r="G646">
        <v>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O646">
        <v>4</v>
      </c>
      <c r="P646">
        <f t="shared" si="36"/>
        <v>2023</v>
      </c>
      <c r="Q646">
        <f t="shared" si="37"/>
        <v>12</v>
      </c>
      <c r="R646" t="str">
        <f t="shared" si="35"/>
        <v>淘特自主访问</v>
      </c>
      <c r="S646" t="str">
        <f>_xlfn.XLOOKUP(B646,全店核心数据_bymonth!A:A,全店核心数据_bymonth!AN:AN)</f>
        <v>BU24</v>
      </c>
    </row>
    <row r="647" spans="1:19" x14ac:dyDescent="0.3">
      <c r="A647" t="s">
        <v>110</v>
      </c>
      <c r="B647" s="16">
        <v>45261</v>
      </c>
      <c r="C647" t="s">
        <v>2</v>
      </c>
      <c r="D647" t="s">
        <v>55</v>
      </c>
      <c r="E647" t="s">
        <v>54</v>
      </c>
      <c r="F647">
        <v>23224</v>
      </c>
      <c r="G647">
        <v>19486</v>
      </c>
      <c r="H647">
        <v>4</v>
      </c>
      <c r="I647">
        <v>6</v>
      </c>
      <c r="J647">
        <v>0</v>
      </c>
      <c r="K647">
        <v>0</v>
      </c>
      <c r="L647">
        <v>0</v>
      </c>
      <c r="M647">
        <v>0</v>
      </c>
      <c r="O647">
        <v>3328</v>
      </c>
      <c r="P647">
        <f t="shared" si="36"/>
        <v>2023</v>
      </c>
      <c r="Q647">
        <f t="shared" si="37"/>
        <v>12</v>
      </c>
      <c r="R647" t="str">
        <f t="shared" ref="R647:R710" si="38">E647</f>
        <v>超级直播</v>
      </c>
      <c r="S647" t="str">
        <f>_xlfn.XLOOKUP(B647,全店核心数据_bymonth!A:A,全店核心数据_bymonth!AN:AN)</f>
        <v>BU24</v>
      </c>
    </row>
    <row r="648" spans="1:19" x14ac:dyDescent="0.3">
      <c r="A648" t="s">
        <v>110</v>
      </c>
      <c r="B648" s="16">
        <v>45261</v>
      </c>
      <c r="C648" t="s">
        <v>2</v>
      </c>
      <c r="D648" t="s">
        <v>55</v>
      </c>
      <c r="E648" t="s">
        <v>56</v>
      </c>
      <c r="F648">
        <v>3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O648">
        <v>0</v>
      </c>
      <c r="P648">
        <f t="shared" si="36"/>
        <v>2023</v>
      </c>
      <c r="Q648">
        <f t="shared" si="37"/>
        <v>12</v>
      </c>
      <c r="R648" t="str">
        <f t="shared" si="38"/>
        <v>超级短视频</v>
      </c>
      <c r="S648" t="str">
        <f>_xlfn.XLOOKUP(B648,全店核心数据_bymonth!A:A,全店核心数据_bymonth!AN:AN)</f>
        <v>BU24</v>
      </c>
    </row>
    <row r="649" spans="1:19" x14ac:dyDescent="0.3">
      <c r="A649" t="s">
        <v>110</v>
      </c>
      <c r="B649" s="16">
        <v>45261</v>
      </c>
      <c r="C649" t="s">
        <v>2</v>
      </c>
      <c r="D649" t="s">
        <v>52</v>
      </c>
      <c r="E649" t="s">
        <v>53</v>
      </c>
      <c r="F649">
        <v>72141</v>
      </c>
      <c r="G649">
        <v>68388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O649">
        <v>10616</v>
      </c>
      <c r="P649">
        <f t="shared" si="36"/>
        <v>2023</v>
      </c>
      <c r="Q649">
        <f t="shared" si="37"/>
        <v>12</v>
      </c>
      <c r="R649" t="str">
        <f t="shared" si="38"/>
        <v>Showmax</v>
      </c>
      <c r="S649" t="str">
        <f>_xlfn.XLOOKUP(B649,全店核心数据_bymonth!A:A,全店核心数据_bymonth!AN:AN)</f>
        <v>BU24</v>
      </c>
    </row>
    <row r="650" spans="1:19" x14ac:dyDescent="0.3">
      <c r="A650" t="s">
        <v>110</v>
      </c>
      <c r="B650" s="16">
        <v>45261</v>
      </c>
      <c r="C650" t="s">
        <v>2</v>
      </c>
      <c r="D650" t="s">
        <v>52</v>
      </c>
      <c r="E650" t="s">
        <v>51</v>
      </c>
      <c r="F650">
        <v>3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O650">
        <v>1</v>
      </c>
      <c r="P650">
        <f t="shared" si="36"/>
        <v>2023</v>
      </c>
      <c r="Q650">
        <f t="shared" si="37"/>
        <v>12</v>
      </c>
      <c r="R650" t="str">
        <f t="shared" si="38"/>
        <v>品牌定制</v>
      </c>
      <c r="S650" t="str">
        <f>_xlfn.XLOOKUP(B650,全店核心数据_bymonth!A:A,全店核心数据_bymonth!AN:AN)</f>
        <v>BU24</v>
      </c>
    </row>
    <row r="651" spans="1:19" x14ac:dyDescent="0.3">
      <c r="A651" t="s">
        <v>110</v>
      </c>
      <c r="B651" s="16">
        <v>45261</v>
      </c>
      <c r="C651" t="s">
        <v>2</v>
      </c>
      <c r="D651" t="s">
        <v>52</v>
      </c>
      <c r="E651" t="s">
        <v>59</v>
      </c>
      <c r="F651">
        <v>1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O651">
        <v>0</v>
      </c>
      <c r="P651">
        <f t="shared" si="36"/>
        <v>2023</v>
      </c>
      <c r="Q651">
        <f t="shared" si="37"/>
        <v>12</v>
      </c>
      <c r="R651" t="str">
        <f t="shared" si="38"/>
        <v>品牌特秀</v>
      </c>
      <c r="S651" t="str">
        <f>_xlfn.XLOOKUP(B651,全店核心数据_bymonth!A:A,全店核心数据_bymonth!AN:AN)</f>
        <v>BU24</v>
      </c>
    </row>
    <row r="652" spans="1:19" x14ac:dyDescent="0.3">
      <c r="A652" t="s">
        <v>110</v>
      </c>
      <c r="B652" s="16">
        <v>45261</v>
      </c>
      <c r="C652" t="s">
        <v>2</v>
      </c>
      <c r="D652" t="s">
        <v>52</v>
      </c>
      <c r="E652" t="s">
        <v>183</v>
      </c>
      <c r="F652">
        <v>16272</v>
      </c>
      <c r="G652">
        <v>14634</v>
      </c>
      <c r="H652">
        <v>418</v>
      </c>
      <c r="I652">
        <v>157</v>
      </c>
      <c r="J652">
        <v>672882.5</v>
      </c>
      <c r="K652">
        <v>89</v>
      </c>
      <c r="L652">
        <v>462042.5</v>
      </c>
      <c r="M652">
        <v>76</v>
      </c>
      <c r="O652">
        <v>8084</v>
      </c>
      <c r="P652">
        <f t="shared" si="36"/>
        <v>2023</v>
      </c>
      <c r="Q652">
        <f t="shared" si="37"/>
        <v>12</v>
      </c>
      <c r="R652" t="str">
        <f t="shared" si="38"/>
        <v>品销宝-品牌专区</v>
      </c>
      <c r="S652" t="str">
        <f>_xlfn.XLOOKUP(B652,全店核心数据_bymonth!A:A,全店核心数据_bymonth!AN:AN)</f>
        <v>BU24</v>
      </c>
    </row>
    <row r="653" spans="1:19" x14ac:dyDescent="0.3">
      <c r="A653" t="s">
        <v>110</v>
      </c>
      <c r="B653" s="16">
        <v>45261</v>
      </c>
      <c r="C653" t="s">
        <v>2</v>
      </c>
      <c r="D653" t="s">
        <v>52</v>
      </c>
      <c r="E653" t="s">
        <v>62</v>
      </c>
      <c r="F653">
        <v>1</v>
      </c>
      <c r="P653">
        <f t="shared" si="36"/>
        <v>2023</v>
      </c>
      <c r="Q653">
        <f t="shared" si="37"/>
        <v>12</v>
      </c>
      <c r="R653" t="str">
        <f t="shared" si="38"/>
        <v>超级互动城</v>
      </c>
      <c r="S653" t="str">
        <f>_xlfn.XLOOKUP(B653,全店核心数据_bymonth!A:A,全店核心数据_bymonth!AN:AN)</f>
        <v>BU24</v>
      </c>
    </row>
    <row r="654" spans="1:19" x14ac:dyDescent="0.3">
      <c r="A654" t="s">
        <v>110</v>
      </c>
      <c r="B654" s="16">
        <v>45261</v>
      </c>
      <c r="C654" t="s">
        <v>2</v>
      </c>
      <c r="D654" t="s">
        <v>57</v>
      </c>
      <c r="E654" t="s">
        <v>65</v>
      </c>
      <c r="F654">
        <v>45090</v>
      </c>
      <c r="G654">
        <v>40420</v>
      </c>
      <c r="H654">
        <v>603</v>
      </c>
      <c r="I654">
        <v>381</v>
      </c>
      <c r="J654">
        <v>807036.68</v>
      </c>
      <c r="K654">
        <v>126</v>
      </c>
      <c r="L654">
        <v>477622.18</v>
      </c>
      <c r="M654">
        <v>97</v>
      </c>
      <c r="O654">
        <v>44684</v>
      </c>
      <c r="P654">
        <f t="shared" si="36"/>
        <v>2023</v>
      </c>
      <c r="Q654">
        <f t="shared" si="37"/>
        <v>12</v>
      </c>
      <c r="R654" t="str">
        <f t="shared" si="38"/>
        <v>直通车</v>
      </c>
      <c r="S654" t="str">
        <f>_xlfn.XLOOKUP(B654,全店核心数据_bymonth!A:A,全店核心数据_bymonth!AN:AN)</f>
        <v>BU24</v>
      </c>
    </row>
    <row r="655" spans="1:19" x14ac:dyDescent="0.3">
      <c r="A655" t="s">
        <v>110</v>
      </c>
      <c r="B655" s="16">
        <v>45261</v>
      </c>
      <c r="C655" t="s">
        <v>2</v>
      </c>
      <c r="D655" t="s">
        <v>57</v>
      </c>
      <c r="E655" t="s">
        <v>63</v>
      </c>
      <c r="F655">
        <v>34154</v>
      </c>
      <c r="G655">
        <v>27691</v>
      </c>
      <c r="H655">
        <v>531</v>
      </c>
      <c r="I655">
        <v>281</v>
      </c>
      <c r="J655">
        <v>1117415.32</v>
      </c>
      <c r="K655">
        <v>140</v>
      </c>
      <c r="L655">
        <v>780725.32</v>
      </c>
      <c r="M655">
        <v>114</v>
      </c>
      <c r="O655">
        <v>33947</v>
      </c>
      <c r="P655">
        <f t="shared" si="36"/>
        <v>2023</v>
      </c>
      <c r="Q655">
        <f t="shared" si="37"/>
        <v>12</v>
      </c>
      <c r="R655" t="str">
        <f t="shared" si="38"/>
        <v>万相台</v>
      </c>
      <c r="S655" t="str">
        <f>_xlfn.XLOOKUP(B655,全店核心数据_bymonth!A:A,全店核心数据_bymonth!AN:AN)</f>
        <v>BU24</v>
      </c>
    </row>
    <row r="656" spans="1:19" x14ac:dyDescent="0.3">
      <c r="A656" t="s">
        <v>110</v>
      </c>
      <c r="B656" s="16">
        <v>45261</v>
      </c>
      <c r="C656" t="s">
        <v>2</v>
      </c>
      <c r="D656" t="s">
        <v>57</v>
      </c>
      <c r="E656" t="s">
        <v>64</v>
      </c>
      <c r="F656">
        <v>62912</v>
      </c>
      <c r="G656">
        <v>52332</v>
      </c>
      <c r="H656">
        <v>577</v>
      </c>
      <c r="I656">
        <v>539</v>
      </c>
      <c r="J656">
        <v>353709</v>
      </c>
      <c r="K656">
        <v>43</v>
      </c>
      <c r="L656">
        <v>128674</v>
      </c>
      <c r="M656">
        <v>28</v>
      </c>
      <c r="O656">
        <v>62428</v>
      </c>
      <c r="P656">
        <f t="shared" si="36"/>
        <v>2023</v>
      </c>
      <c r="Q656">
        <f t="shared" si="37"/>
        <v>12</v>
      </c>
      <c r="R656" t="str">
        <f t="shared" si="38"/>
        <v>引力魔方</v>
      </c>
      <c r="S656" t="str">
        <f>_xlfn.XLOOKUP(B656,全店核心数据_bymonth!A:A,全店核心数据_bymonth!AN:AN)</f>
        <v>BU24</v>
      </c>
    </row>
    <row r="657" spans="1:19" x14ac:dyDescent="0.3">
      <c r="A657" t="s">
        <v>110</v>
      </c>
      <c r="B657" s="16">
        <v>45261</v>
      </c>
      <c r="C657" t="s">
        <v>2</v>
      </c>
      <c r="D657" t="s">
        <v>4</v>
      </c>
      <c r="E657" t="s">
        <v>42</v>
      </c>
      <c r="F657">
        <v>21</v>
      </c>
      <c r="G657">
        <v>12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O657">
        <v>2</v>
      </c>
      <c r="P657">
        <f t="shared" si="36"/>
        <v>2023</v>
      </c>
      <c r="Q657">
        <f t="shared" si="37"/>
        <v>12</v>
      </c>
      <c r="R657" t="str">
        <f t="shared" si="38"/>
        <v>UD效果投放</v>
      </c>
      <c r="S657" t="str">
        <f>_xlfn.XLOOKUP(B657,全店核心数据_bymonth!A:A,全店核心数据_bymonth!AN:AN)</f>
        <v>BU24</v>
      </c>
    </row>
    <row r="658" spans="1:19" x14ac:dyDescent="0.3">
      <c r="A658" t="s">
        <v>110</v>
      </c>
      <c r="B658" s="16">
        <v>45261</v>
      </c>
      <c r="C658" t="s">
        <v>2</v>
      </c>
      <c r="D658" t="s">
        <v>4</v>
      </c>
      <c r="E658" t="s">
        <v>41</v>
      </c>
      <c r="F658">
        <v>292</v>
      </c>
      <c r="G658">
        <v>198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O658">
        <v>55</v>
      </c>
      <c r="P658">
        <f t="shared" si="36"/>
        <v>2023</v>
      </c>
      <c r="Q658">
        <f t="shared" si="37"/>
        <v>12</v>
      </c>
      <c r="R658" t="str">
        <f t="shared" si="38"/>
        <v>流量宝</v>
      </c>
      <c r="S658" t="str">
        <f>_xlfn.XLOOKUP(B658,全店核心数据_bymonth!A:A,全店核心数据_bymonth!AN:AN)</f>
        <v>BU24</v>
      </c>
    </row>
    <row r="659" spans="1:19" x14ac:dyDescent="0.3">
      <c r="A659" t="s">
        <v>110</v>
      </c>
      <c r="B659" s="16">
        <v>45261</v>
      </c>
      <c r="C659" t="s">
        <v>2</v>
      </c>
      <c r="D659" t="s">
        <v>4</v>
      </c>
      <c r="E659" t="s">
        <v>43</v>
      </c>
      <c r="F659">
        <v>6974</v>
      </c>
      <c r="G659">
        <v>4243</v>
      </c>
      <c r="H659">
        <v>27</v>
      </c>
      <c r="I659">
        <v>10</v>
      </c>
      <c r="J659">
        <v>132357.5</v>
      </c>
      <c r="K659">
        <v>19</v>
      </c>
      <c r="L659">
        <v>119347.5</v>
      </c>
      <c r="M659">
        <v>19</v>
      </c>
      <c r="O659">
        <v>4150</v>
      </c>
      <c r="P659">
        <f t="shared" si="36"/>
        <v>2023</v>
      </c>
      <c r="Q659">
        <f t="shared" si="37"/>
        <v>12</v>
      </c>
      <c r="R659" t="str">
        <f t="shared" si="38"/>
        <v>淘宝客</v>
      </c>
      <c r="S659" t="str">
        <f>_xlfn.XLOOKUP(B659,全店核心数据_bymonth!A:A,全店核心数据_bymonth!AN:AN)</f>
        <v>BU24</v>
      </c>
    </row>
    <row r="660" spans="1:19" x14ac:dyDescent="0.3">
      <c r="A660" t="s">
        <v>110</v>
      </c>
      <c r="B660" s="16">
        <v>45658</v>
      </c>
      <c r="C660" t="s">
        <v>3</v>
      </c>
      <c r="D660" t="s">
        <v>114</v>
      </c>
      <c r="E660" t="s">
        <v>159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f t="shared" si="36"/>
        <v>2025</v>
      </c>
      <c r="Q660">
        <f t="shared" si="37"/>
        <v>1</v>
      </c>
      <c r="R660" t="str">
        <f t="shared" si="38"/>
        <v>主会场</v>
      </c>
      <c r="S660" t="str">
        <f>_xlfn.XLOOKUP(B660,全店核心数据_bymonth!A:A,全店核心数据_bymonth!AN:AN)</f>
        <v>BU25</v>
      </c>
    </row>
    <row r="661" spans="1:19" x14ac:dyDescent="0.3">
      <c r="A661" t="s">
        <v>110</v>
      </c>
      <c r="B661" s="16">
        <v>45658</v>
      </c>
      <c r="C661" t="s">
        <v>3</v>
      </c>
      <c r="D661" t="s">
        <v>117</v>
      </c>
      <c r="E661" t="s">
        <v>161</v>
      </c>
      <c r="F661">
        <v>336</v>
      </c>
      <c r="G661">
        <v>319</v>
      </c>
      <c r="H661">
        <v>1</v>
      </c>
      <c r="I661">
        <v>3</v>
      </c>
      <c r="J661">
        <v>0</v>
      </c>
      <c r="K661">
        <v>0</v>
      </c>
      <c r="L661">
        <v>0</v>
      </c>
      <c r="M661">
        <v>0</v>
      </c>
      <c r="N661">
        <v>57</v>
      </c>
      <c r="O661">
        <v>335</v>
      </c>
      <c r="P661">
        <f t="shared" ref="P661:P724" si="39">YEAR(B661)</f>
        <v>2025</v>
      </c>
      <c r="Q661">
        <f t="shared" ref="Q661:Q724" si="40">MONTH(B661)</f>
        <v>1</v>
      </c>
      <c r="R661" t="str">
        <f t="shared" si="38"/>
        <v>其他入口榜单</v>
      </c>
      <c r="S661" t="str">
        <f>_xlfn.XLOOKUP(B661,全店核心数据_bymonth!A:A,全店核心数据_bymonth!AN:AN)</f>
        <v>BU25</v>
      </c>
    </row>
    <row r="662" spans="1:19" x14ac:dyDescent="0.3">
      <c r="A662" t="s">
        <v>110</v>
      </c>
      <c r="B662" s="16">
        <v>45658</v>
      </c>
      <c r="C662" t="s">
        <v>3</v>
      </c>
      <c r="D662" t="s">
        <v>117</v>
      </c>
      <c r="E662" t="s">
        <v>191</v>
      </c>
      <c r="F662">
        <v>19</v>
      </c>
      <c r="G662">
        <v>17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3</v>
      </c>
      <c r="O662">
        <v>19</v>
      </c>
      <c r="P662">
        <f t="shared" si="39"/>
        <v>2025</v>
      </c>
      <c r="Q662">
        <f t="shared" si="40"/>
        <v>1</v>
      </c>
      <c r="R662" t="str">
        <f t="shared" si="38"/>
        <v>商品详情页入口榜单</v>
      </c>
      <c r="S662" t="str">
        <f>_xlfn.XLOOKUP(B662,全店核心数据_bymonth!A:A,全店核心数据_bymonth!AN:AN)</f>
        <v>BU25</v>
      </c>
    </row>
    <row r="663" spans="1:19" x14ac:dyDescent="0.3">
      <c r="A663" t="s">
        <v>110</v>
      </c>
      <c r="B663" s="16">
        <v>45658</v>
      </c>
      <c r="C663" t="s">
        <v>3</v>
      </c>
      <c r="D663" t="s">
        <v>117</v>
      </c>
      <c r="E663" t="s">
        <v>195</v>
      </c>
      <c r="F663">
        <v>34</v>
      </c>
      <c r="G663">
        <v>33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3</v>
      </c>
      <c r="O663">
        <v>34</v>
      </c>
      <c r="P663">
        <f t="shared" si="39"/>
        <v>2025</v>
      </c>
      <c r="Q663">
        <f t="shared" si="40"/>
        <v>1</v>
      </c>
      <c r="R663" t="str">
        <f t="shared" si="38"/>
        <v>搜索入口榜单</v>
      </c>
      <c r="S663" t="str">
        <f>_xlfn.XLOOKUP(B663,全店核心数据_bymonth!A:A,全店核心数据_bymonth!AN:AN)</f>
        <v>BU25</v>
      </c>
    </row>
    <row r="664" spans="1:19" x14ac:dyDescent="0.3">
      <c r="A664" t="s">
        <v>110</v>
      </c>
      <c r="B664" s="16">
        <v>45658</v>
      </c>
      <c r="C664" t="s">
        <v>3</v>
      </c>
      <c r="D664" t="s">
        <v>123</v>
      </c>
      <c r="E664" t="s">
        <v>169</v>
      </c>
      <c r="F664">
        <v>1705</v>
      </c>
      <c r="G664">
        <v>860</v>
      </c>
      <c r="H664">
        <v>66</v>
      </c>
      <c r="I664">
        <v>31</v>
      </c>
      <c r="J664">
        <v>73460</v>
      </c>
      <c r="K664">
        <v>11</v>
      </c>
      <c r="L664">
        <v>52365</v>
      </c>
      <c r="M664">
        <v>8</v>
      </c>
      <c r="N664">
        <v>407</v>
      </c>
      <c r="O664">
        <v>1648</v>
      </c>
      <c r="P664">
        <f t="shared" si="39"/>
        <v>2025</v>
      </c>
      <c r="Q664">
        <f t="shared" si="40"/>
        <v>1</v>
      </c>
      <c r="R664" t="str">
        <f t="shared" si="38"/>
        <v>商品详情页头图推荐</v>
      </c>
      <c r="S664" t="str">
        <f>_xlfn.XLOOKUP(B664,全店核心数据_bymonth!A:A,全店核心数据_bymonth!AN:AN)</f>
        <v>BU25</v>
      </c>
    </row>
    <row r="665" spans="1:19" x14ac:dyDescent="0.3">
      <c r="A665" t="s">
        <v>110</v>
      </c>
      <c r="B665" s="16">
        <v>45658</v>
      </c>
      <c r="C665" t="s">
        <v>3</v>
      </c>
      <c r="D665" t="s">
        <v>123</v>
      </c>
      <c r="E665" t="s">
        <v>170</v>
      </c>
      <c r="F665">
        <v>821</v>
      </c>
      <c r="G665">
        <v>578</v>
      </c>
      <c r="H665">
        <v>21</v>
      </c>
      <c r="I665">
        <v>5</v>
      </c>
      <c r="J665">
        <v>38395</v>
      </c>
      <c r="K665">
        <v>6</v>
      </c>
      <c r="L665">
        <v>38395</v>
      </c>
      <c r="M665">
        <v>6</v>
      </c>
      <c r="N665">
        <v>739</v>
      </c>
      <c r="O665">
        <v>358</v>
      </c>
      <c r="P665">
        <f t="shared" si="39"/>
        <v>2025</v>
      </c>
      <c r="Q665">
        <f t="shared" si="40"/>
        <v>1</v>
      </c>
      <c r="R665" t="str">
        <f t="shared" si="38"/>
        <v>店铺超链</v>
      </c>
      <c r="S665" t="str">
        <f>_xlfn.XLOOKUP(B665,全店核心数据_bymonth!A:A,全店核心数据_bymonth!AN:AN)</f>
        <v>BU25</v>
      </c>
    </row>
    <row r="666" spans="1:19" x14ac:dyDescent="0.3">
      <c r="A666" t="s">
        <v>110</v>
      </c>
      <c r="B666" s="16">
        <v>45658</v>
      </c>
      <c r="C666" t="s">
        <v>3</v>
      </c>
      <c r="D666" t="s">
        <v>127</v>
      </c>
      <c r="E666" t="s">
        <v>171</v>
      </c>
      <c r="F666">
        <v>2148</v>
      </c>
      <c r="G666">
        <v>1457</v>
      </c>
      <c r="H666">
        <v>40</v>
      </c>
      <c r="I666">
        <v>18</v>
      </c>
      <c r="J666">
        <v>177541.67</v>
      </c>
      <c r="K666">
        <v>11</v>
      </c>
      <c r="L666">
        <v>88830</v>
      </c>
      <c r="M666">
        <v>9</v>
      </c>
      <c r="N666">
        <v>500</v>
      </c>
      <c r="O666">
        <v>1460</v>
      </c>
      <c r="P666">
        <f t="shared" si="39"/>
        <v>2025</v>
      </c>
      <c r="Q666">
        <f t="shared" si="40"/>
        <v>1</v>
      </c>
      <c r="R666" t="str">
        <f t="shared" si="38"/>
        <v>其他猜你喜欢</v>
      </c>
      <c r="S666" t="str">
        <f>_xlfn.XLOOKUP(B666,全店核心数据_bymonth!A:A,全店核心数据_bymonth!AN:AN)</f>
        <v>BU25</v>
      </c>
    </row>
    <row r="667" spans="1:19" x14ac:dyDescent="0.3">
      <c r="A667" t="s">
        <v>110</v>
      </c>
      <c r="B667" s="16">
        <v>45658</v>
      </c>
      <c r="C667" t="s">
        <v>3</v>
      </c>
      <c r="D667" t="s">
        <v>127</v>
      </c>
      <c r="E667" t="s">
        <v>172</v>
      </c>
      <c r="F667">
        <v>296</v>
      </c>
      <c r="G667">
        <v>204</v>
      </c>
      <c r="H667">
        <v>5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10</v>
      </c>
      <c r="O667">
        <v>134</v>
      </c>
      <c r="P667">
        <f t="shared" si="39"/>
        <v>2025</v>
      </c>
      <c r="Q667">
        <f t="shared" si="40"/>
        <v>1</v>
      </c>
      <c r="R667" t="str">
        <f t="shared" si="38"/>
        <v>购中推荐</v>
      </c>
      <c r="S667" t="str">
        <f>_xlfn.XLOOKUP(B667,全店核心数据_bymonth!A:A,全店核心数据_bymonth!AN:AN)</f>
        <v>BU25</v>
      </c>
    </row>
    <row r="668" spans="1:19" x14ac:dyDescent="0.3">
      <c r="A668" t="s">
        <v>110</v>
      </c>
      <c r="B668" s="16">
        <v>45658</v>
      </c>
      <c r="C668" t="s">
        <v>3</v>
      </c>
      <c r="D668" t="s">
        <v>127</v>
      </c>
      <c r="E668" t="s">
        <v>173</v>
      </c>
      <c r="F668">
        <v>1567</v>
      </c>
      <c r="G668">
        <v>1142</v>
      </c>
      <c r="H668">
        <v>7</v>
      </c>
      <c r="I668">
        <v>3</v>
      </c>
      <c r="J668">
        <v>0</v>
      </c>
      <c r="K668">
        <v>0</v>
      </c>
      <c r="L668">
        <v>0</v>
      </c>
      <c r="M668">
        <v>0</v>
      </c>
      <c r="N668">
        <v>39</v>
      </c>
      <c r="O668">
        <v>602</v>
      </c>
      <c r="P668">
        <f t="shared" si="39"/>
        <v>2025</v>
      </c>
      <c r="Q668">
        <f t="shared" si="40"/>
        <v>1</v>
      </c>
      <c r="R668" t="str">
        <f t="shared" si="38"/>
        <v>购后推荐</v>
      </c>
      <c r="S668" t="str">
        <f>_xlfn.XLOOKUP(B668,全店核心数据_bymonth!A:A,全店核心数据_bymonth!AN:AN)</f>
        <v>BU25</v>
      </c>
    </row>
    <row r="669" spans="1:19" x14ac:dyDescent="0.3">
      <c r="A669" t="s">
        <v>110</v>
      </c>
      <c r="B669" s="16">
        <v>45658</v>
      </c>
      <c r="C669" t="s">
        <v>3</v>
      </c>
      <c r="D669" t="s">
        <v>127</v>
      </c>
      <c r="E669" t="s">
        <v>174</v>
      </c>
      <c r="F669">
        <v>22539</v>
      </c>
      <c r="G669">
        <v>18222</v>
      </c>
      <c r="H669">
        <v>247</v>
      </c>
      <c r="I669">
        <v>148</v>
      </c>
      <c r="J669">
        <v>231291.67</v>
      </c>
      <c r="K669">
        <v>24</v>
      </c>
      <c r="L669">
        <v>189625</v>
      </c>
      <c r="M669">
        <v>22</v>
      </c>
      <c r="N669">
        <v>1287</v>
      </c>
      <c r="O669">
        <v>22539</v>
      </c>
      <c r="P669">
        <f t="shared" si="39"/>
        <v>2025</v>
      </c>
      <c r="Q669">
        <f t="shared" si="40"/>
        <v>1</v>
      </c>
      <c r="R669" t="str">
        <f t="shared" si="38"/>
        <v>首页推荐-微详情</v>
      </c>
      <c r="S669" t="str">
        <f>_xlfn.XLOOKUP(B669,全店核心数据_bymonth!A:A,全店核心数据_bymonth!AN:AN)</f>
        <v>BU25</v>
      </c>
    </row>
    <row r="670" spans="1:19" x14ac:dyDescent="0.3">
      <c r="A670" t="s">
        <v>110</v>
      </c>
      <c r="B670" s="16">
        <v>45658</v>
      </c>
      <c r="C670" t="s">
        <v>3</v>
      </c>
      <c r="D670" t="s">
        <v>127</v>
      </c>
      <c r="E670" t="s">
        <v>175</v>
      </c>
      <c r="F670">
        <v>1566</v>
      </c>
      <c r="G670">
        <v>1094</v>
      </c>
      <c r="H670">
        <v>3</v>
      </c>
      <c r="I670">
        <v>4</v>
      </c>
      <c r="J670">
        <v>16015</v>
      </c>
      <c r="K670">
        <v>1</v>
      </c>
      <c r="L670">
        <v>16015</v>
      </c>
      <c r="M670">
        <v>1</v>
      </c>
      <c r="N670">
        <v>19</v>
      </c>
      <c r="O670">
        <v>227</v>
      </c>
      <c r="P670">
        <f t="shared" si="39"/>
        <v>2025</v>
      </c>
      <c r="Q670">
        <f t="shared" si="40"/>
        <v>1</v>
      </c>
      <c r="R670" t="str">
        <f t="shared" si="38"/>
        <v>首页推荐-直播</v>
      </c>
      <c r="S670" t="str">
        <f>_xlfn.XLOOKUP(B670,全店核心数据_bymonth!A:A,全店核心数据_bymonth!AN:AN)</f>
        <v>BU25</v>
      </c>
    </row>
    <row r="671" spans="1:19" x14ac:dyDescent="0.3">
      <c r="A671" t="s">
        <v>110</v>
      </c>
      <c r="B671" s="16">
        <v>45658</v>
      </c>
      <c r="C671" t="s">
        <v>3</v>
      </c>
      <c r="D671" t="s">
        <v>127</v>
      </c>
      <c r="E671" t="s">
        <v>176</v>
      </c>
      <c r="F671">
        <v>9071</v>
      </c>
      <c r="G671">
        <v>7442</v>
      </c>
      <c r="H671">
        <v>8</v>
      </c>
      <c r="I671">
        <v>3</v>
      </c>
      <c r="J671">
        <v>27465</v>
      </c>
      <c r="K671">
        <v>3</v>
      </c>
      <c r="L671">
        <v>25070</v>
      </c>
      <c r="M671">
        <v>3</v>
      </c>
      <c r="N671">
        <v>68</v>
      </c>
      <c r="O671">
        <v>382</v>
      </c>
      <c r="P671">
        <f t="shared" si="39"/>
        <v>2025</v>
      </c>
      <c r="Q671">
        <f t="shared" si="40"/>
        <v>1</v>
      </c>
      <c r="R671" t="str">
        <f t="shared" si="38"/>
        <v>首页推荐-短视频</v>
      </c>
      <c r="S671" t="str">
        <f>_xlfn.XLOOKUP(B671,全店核心数据_bymonth!A:A,全店核心数据_bymonth!AN:AN)</f>
        <v>BU25</v>
      </c>
    </row>
    <row r="672" spans="1:19" x14ac:dyDescent="0.3">
      <c r="A672" t="s">
        <v>110</v>
      </c>
      <c r="B672" s="16">
        <v>45658</v>
      </c>
      <c r="C672" t="s">
        <v>3</v>
      </c>
      <c r="D672" t="s">
        <v>128</v>
      </c>
      <c r="E672" t="s">
        <v>177</v>
      </c>
      <c r="F672">
        <v>18196</v>
      </c>
      <c r="G672">
        <v>16254</v>
      </c>
      <c r="H672">
        <v>502</v>
      </c>
      <c r="I672">
        <v>167</v>
      </c>
      <c r="J672">
        <v>545561.67000000004</v>
      </c>
      <c r="K672">
        <v>84</v>
      </c>
      <c r="L672">
        <v>377415</v>
      </c>
      <c r="M672">
        <v>72</v>
      </c>
      <c r="N672">
        <v>9491</v>
      </c>
      <c r="O672">
        <v>12366</v>
      </c>
      <c r="P672">
        <f t="shared" si="39"/>
        <v>2025</v>
      </c>
      <c r="Q672">
        <f t="shared" si="40"/>
        <v>1</v>
      </c>
      <c r="R672" t="str">
        <f t="shared" si="38"/>
        <v>手淘搜索-商品及其他</v>
      </c>
      <c r="S672" t="str">
        <f>_xlfn.XLOOKUP(B672,全店核心数据_bymonth!A:A,全店核心数据_bymonth!AN:AN)</f>
        <v>BU25</v>
      </c>
    </row>
    <row r="673" spans="1:19" x14ac:dyDescent="0.3">
      <c r="A673" t="s">
        <v>110</v>
      </c>
      <c r="B673" s="16">
        <v>45658</v>
      </c>
      <c r="C673" t="s">
        <v>3</v>
      </c>
      <c r="D673" t="s">
        <v>128</v>
      </c>
      <c r="E673" t="s">
        <v>178</v>
      </c>
      <c r="F673">
        <v>81</v>
      </c>
      <c r="G673">
        <v>64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5</v>
      </c>
      <c r="O673">
        <v>62</v>
      </c>
      <c r="P673">
        <f t="shared" si="39"/>
        <v>2025</v>
      </c>
      <c r="Q673">
        <f t="shared" si="40"/>
        <v>1</v>
      </c>
      <c r="R673" t="str">
        <f t="shared" si="38"/>
        <v>手淘搜索-直播</v>
      </c>
      <c r="S673" t="str">
        <f>_xlfn.XLOOKUP(B673,全店核心数据_bymonth!A:A,全店核心数据_bymonth!AN:AN)</f>
        <v>BU25</v>
      </c>
    </row>
    <row r="674" spans="1:19" x14ac:dyDescent="0.3">
      <c r="A674" t="s">
        <v>110</v>
      </c>
      <c r="B674" s="16">
        <v>45658</v>
      </c>
      <c r="C674" t="s">
        <v>3</v>
      </c>
      <c r="D674" t="s">
        <v>128</v>
      </c>
      <c r="E674" t="s">
        <v>179</v>
      </c>
      <c r="F674">
        <v>482</v>
      </c>
      <c r="G674">
        <v>334</v>
      </c>
      <c r="H674">
        <v>17</v>
      </c>
      <c r="I674">
        <v>3</v>
      </c>
      <c r="J674">
        <v>0</v>
      </c>
      <c r="K674">
        <v>0</v>
      </c>
      <c r="L674">
        <v>0</v>
      </c>
      <c r="M674">
        <v>0</v>
      </c>
      <c r="N674">
        <v>61</v>
      </c>
      <c r="O674">
        <v>438</v>
      </c>
      <c r="P674">
        <f t="shared" si="39"/>
        <v>2025</v>
      </c>
      <c r="Q674">
        <f t="shared" si="40"/>
        <v>1</v>
      </c>
      <c r="R674" t="str">
        <f t="shared" si="38"/>
        <v>手淘搜索-短视频</v>
      </c>
      <c r="S674" t="str">
        <f>_xlfn.XLOOKUP(B674,全店核心数据_bymonth!A:A,全店核心数据_bymonth!AN:AN)</f>
        <v>BU25</v>
      </c>
    </row>
    <row r="675" spans="1:19" x14ac:dyDescent="0.3">
      <c r="A675" t="s">
        <v>110</v>
      </c>
      <c r="B675" s="16">
        <v>45658</v>
      </c>
      <c r="C675" t="s">
        <v>3</v>
      </c>
      <c r="D675" t="s">
        <v>143</v>
      </c>
      <c r="E675" t="s">
        <v>180</v>
      </c>
      <c r="F675">
        <v>149</v>
      </c>
      <c r="G675">
        <v>133</v>
      </c>
      <c r="H675">
        <v>1</v>
      </c>
      <c r="I675">
        <v>3</v>
      </c>
      <c r="J675">
        <v>0</v>
      </c>
      <c r="K675">
        <v>0</v>
      </c>
      <c r="L675">
        <v>0</v>
      </c>
      <c r="M675">
        <v>0</v>
      </c>
      <c r="N675">
        <v>7</v>
      </c>
      <c r="O675">
        <v>149</v>
      </c>
      <c r="P675">
        <f t="shared" si="39"/>
        <v>2025</v>
      </c>
      <c r="Q675">
        <f t="shared" si="40"/>
        <v>1</v>
      </c>
      <c r="R675" t="str">
        <f t="shared" si="38"/>
        <v>淘特其他渠道</v>
      </c>
      <c r="S675" t="str">
        <f>_xlfn.XLOOKUP(B675,全店核心数据_bymonth!A:A,全店核心数据_bymonth!AN:AN)</f>
        <v>BU25</v>
      </c>
    </row>
    <row r="676" spans="1:19" x14ac:dyDescent="0.3">
      <c r="A676" t="s">
        <v>110</v>
      </c>
      <c r="B676" s="16">
        <v>45658</v>
      </c>
      <c r="C676" t="s">
        <v>3</v>
      </c>
      <c r="D676" t="s">
        <v>143</v>
      </c>
      <c r="E676" t="s">
        <v>197</v>
      </c>
      <c r="F676">
        <v>1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f t="shared" si="39"/>
        <v>2025</v>
      </c>
      <c r="Q676">
        <f t="shared" si="40"/>
        <v>1</v>
      </c>
      <c r="R676" t="str">
        <f t="shared" si="38"/>
        <v>淘特推荐</v>
      </c>
      <c r="S676" t="str">
        <f>_xlfn.XLOOKUP(B676,全店核心数据_bymonth!A:A,全店核心数据_bymonth!AN:AN)</f>
        <v>BU25</v>
      </c>
    </row>
    <row r="677" spans="1:19" x14ac:dyDescent="0.3">
      <c r="A677" t="s">
        <v>110</v>
      </c>
      <c r="B677" s="16">
        <v>45658</v>
      </c>
      <c r="C677" t="s">
        <v>3</v>
      </c>
      <c r="D677" t="s">
        <v>143</v>
      </c>
      <c r="E677" t="s">
        <v>181</v>
      </c>
      <c r="F677">
        <v>506</v>
      </c>
      <c r="G677">
        <v>502</v>
      </c>
      <c r="H677">
        <v>2</v>
      </c>
      <c r="I677">
        <v>2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506</v>
      </c>
      <c r="P677">
        <f t="shared" si="39"/>
        <v>2025</v>
      </c>
      <c r="Q677">
        <f t="shared" si="40"/>
        <v>1</v>
      </c>
      <c r="R677" t="str">
        <f t="shared" si="38"/>
        <v>淘特搜索</v>
      </c>
      <c r="S677" t="str">
        <f>_xlfn.XLOOKUP(B677,全店核心数据_bymonth!A:A,全店核心数据_bymonth!AN:AN)</f>
        <v>BU25</v>
      </c>
    </row>
    <row r="678" spans="1:19" x14ac:dyDescent="0.3">
      <c r="A678" t="s">
        <v>110</v>
      </c>
      <c r="B678" s="16">
        <v>45658</v>
      </c>
      <c r="C678" t="s">
        <v>3</v>
      </c>
      <c r="D678" t="s">
        <v>143</v>
      </c>
      <c r="E678" t="s">
        <v>224</v>
      </c>
      <c r="F678">
        <v>6</v>
      </c>
      <c r="G678">
        <v>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6</v>
      </c>
      <c r="P678">
        <f t="shared" si="39"/>
        <v>2025</v>
      </c>
      <c r="Q678">
        <f t="shared" si="40"/>
        <v>1</v>
      </c>
      <c r="R678" t="str">
        <f t="shared" si="38"/>
        <v>淘特自主访问</v>
      </c>
      <c r="S678" t="str">
        <f>_xlfn.XLOOKUP(B678,全店核心数据_bymonth!A:A,全店核心数据_bymonth!AN:AN)</f>
        <v>BU25</v>
      </c>
    </row>
    <row r="679" spans="1:19" x14ac:dyDescent="0.3">
      <c r="A679" t="s">
        <v>110</v>
      </c>
      <c r="B679" s="16">
        <v>45658</v>
      </c>
      <c r="C679" t="s">
        <v>2</v>
      </c>
      <c r="D679" t="s">
        <v>55</v>
      </c>
      <c r="E679" t="s">
        <v>54</v>
      </c>
      <c r="F679">
        <v>14654</v>
      </c>
      <c r="G679">
        <v>12717</v>
      </c>
      <c r="H679">
        <v>117</v>
      </c>
      <c r="I679">
        <v>24</v>
      </c>
      <c r="J679">
        <v>0</v>
      </c>
      <c r="K679">
        <v>0</v>
      </c>
      <c r="L679">
        <v>0</v>
      </c>
      <c r="M679">
        <v>0</v>
      </c>
      <c r="N679">
        <v>544</v>
      </c>
      <c r="O679">
        <v>4087</v>
      </c>
      <c r="P679">
        <f t="shared" si="39"/>
        <v>2025</v>
      </c>
      <c r="Q679">
        <f t="shared" si="40"/>
        <v>1</v>
      </c>
      <c r="R679" t="str">
        <f t="shared" si="38"/>
        <v>超级直播</v>
      </c>
      <c r="S679" t="str">
        <f>_xlfn.XLOOKUP(B679,全店核心数据_bymonth!A:A,全店核心数据_bymonth!AN:AN)</f>
        <v>BU25</v>
      </c>
    </row>
    <row r="680" spans="1:19" x14ac:dyDescent="0.3">
      <c r="A680" t="s">
        <v>110</v>
      </c>
      <c r="B680" s="16">
        <v>45658</v>
      </c>
      <c r="C680" t="s">
        <v>2</v>
      </c>
      <c r="D680" t="s">
        <v>55</v>
      </c>
      <c r="E680" t="s">
        <v>56</v>
      </c>
      <c r="F680">
        <v>1242</v>
      </c>
      <c r="G680">
        <v>902</v>
      </c>
      <c r="H680">
        <v>3</v>
      </c>
      <c r="I680">
        <v>18</v>
      </c>
      <c r="J680">
        <v>0</v>
      </c>
      <c r="K680">
        <v>0</v>
      </c>
      <c r="L680">
        <v>0</v>
      </c>
      <c r="M680">
        <v>0</v>
      </c>
      <c r="N680">
        <v>7</v>
      </c>
      <c r="O680">
        <v>842</v>
      </c>
      <c r="P680">
        <f t="shared" si="39"/>
        <v>2025</v>
      </c>
      <c r="Q680">
        <f t="shared" si="40"/>
        <v>1</v>
      </c>
      <c r="R680" t="str">
        <f t="shared" si="38"/>
        <v>超级短视频</v>
      </c>
      <c r="S680" t="str">
        <f>_xlfn.XLOOKUP(B680,全店核心数据_bymonth!A:A,全店核心数据_bymonth!AN:AN)</f>
        <v>BU25</v>
      </c>
    </row>
    <row r="681" spans="1:19" x14ac:dyDescent="0.3">
      <c r="A681" t="s">
        <v>110</v>
      </c>
      <c r="B681" s="16">
        <v>45658</v>
      </c>
      <c r="C681" t="s">
        <v>2</v>
      </c>
      <c r="D681" t="s">
        <v>52</v>
      </c>
      <c r="E681" t="s">
        <v>53</v>
      </c>
      <c r="F681">
        <v>1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P681">
        <f t="shared" si="39"/>
        <v>2025</v>
      </c>
      <c r="Q681">
        <f t="shared" si="40"/>
        <v>1</v>
      </c>
      <c r="R681" t="str">
        <f t="shared" si="38"/>
        <v>Showmax</v>
      </c>
      <c r="S681" t="str">
        <f>_xlfn.XLOOKUP(B681,全店核心数据_bymonth!A:A,全店核心数据_bymonth!AN:AN)</f>
        <v>BU25</v>
      </c>
    </row>
    <row r="682" spans="1:19" x14ac:dyDescent="0.3">
      <c r="A682" t="s">
        <v>110</v>
      </c>
      <c r="B682" s="16">
        <v>45658</v>
      </c>
      <c r="C682" t="s">
        <v>2</v>
      </c>
      <c r="D682" t="s">
        <v>52</v>
      </c>
      <c r="E682" t="s">
        <v>183</v>
      </c>
      <c r="F682">
        <v>13</v>
      </c>
      <c r="G682">
        <v>9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13</v>
      </c>
      <c r="O682">
        <v>2</v>
      </c>
      <c r="P682">
        <f t="shared" si="39"/>
        <v>2025</v>
      </c>
      <c r="Q682">
        <f t="shared" si="40"/>
        <v>1</v>
      </c>
      <c r="R682" t="str">
        <f t="shared" si="38"/>
        <v>品销宝-品牌专区</v>
      </c>
      <c r="S682" t="str">
        <f>_xlfn.XLOOKUP(B682,全店核心数据_bymonth!A:A,全店核心数据_bymonth!AN:AN)</f>
        <v>BU25</v>
      </c>
    </row>
    <row r="683" spans="1:19" x14ac:dyDescent="0.3">
      <c r="A683" t="s">
        <v>110</v>
      </c>
      <c r="B683" s="16">
        <v>45658</v>
      </c>
      <c r="C683" t="s">
        <v>2</v>
      </c>
      <c r="D683" t="s">
        <v>57</v>
      </c>
      <c r="E683" t="s">
        <v>64</v>
      </c>
      <c r="F683">
        <v>82727</v>
      </c>
      <c r="G683">
        <v>72092</v>
      </c>
      <c r="H683">
        <v>717</v>
      </c>
      <c r="I683">
        <v>667</v>
      </c>
      <c r="J683">
        <v>626024.72</v>
      </c>
      <c r="K683">
        <v>56</v>
      </c>
      <c r="L683">
        <v>308808.05</v>
      </c>
      <c r="M683">
        <v>35</v>
      </c>
      <c r="N683">
        <v>4059</v>
      </c>
      <c r="O683">
        <v>82716</v>
      </c>
      <c r="P683">
        <f t="shared" si="39"/>
        <v>2025</v>
      </c>
      <c r="Q683">
        <f t="shared" si="40"/>
        <v>1</v>
      </c>
      <c r="R683" t="str">
        <f t="shared" si="38"/>
        <v>引力魔方</v>
      </c>
      <c r="S683" t="str">
        <f>_xlfn.XLOOKUP(B683,全店核心数据_bymonth!A:A,全店核心数据_bymonth!AN:AN)</f>
        <v>BU25</v>
      </c>
    </row>
    <row r="684" spans="1:19" x14ac:dyDescent="0.3">
      <c r="A684" t="s">
        <v>110</v>
      </c>
      <c r="B684" s="16">
        <v>45658</v>
      </c>
      <c r="C684" t="s">
        <v>2</v>
      </c>
      <c r="D684" t="s">
        <v>57</v>
      </c>
      <c r="E684" t="s">
        <v>65</v>
      </c>
      <c r="F684">
        <v>72257</v>
      </c>
      <c r="G684">
        <v>67945</v>
      </c>
      <c r="H684">
        <v>733</v>
      </c>
      <c r="I684">
        <v>477</v>
      </c>
      <c r="J684">
        <v>1421910</v>
      </c>
      <c r="K684">
        <v>123</v>
      </c>
      <c r="L684">
        <v>463160</v>
      </c>
      <c r="M684">
        <v>66</v>
      </c>
      <c r="N684">
        <v>6640</v>
      </c>
      <c r="O684">
        <v>71362</v>
      </c>
      <c r="P684">
        <f t="shared" si="39"/>
        <v>2025</v>
      </c>
      <c r="Q684">
        <f t="shared" si="40"/>
        <v>1</v>
      </c>
      <c r="R684" t="str">
        <f t="shared" si="38"/>
        <v>直通车</v>
      </c>
      <c r="S684" t="str">
        <f>_xlfn.XLOOKUP(B684,全店核心数据_bymonth!A:A,全店核心数据_bymonth!AN:AN)</f>
        <v>BU25</v>
      </c>
    </row>
    <row r="685" spans="1:19" x14ac:dyDescent="0.3">
      <c r="A685" t="s">
        <v>110</v>
      </c>
      <c r="B685" s="16">
        <v>45658</v>
      </c>
      <c r="C685" t="s">
        <v>2</v>
      </c>
      <c r="D685" t="s">
        <v>57</v>
      </c>
      <c r="E685" t="s">
        <v>63</v>
      </c>
      <c r="F685">
        <v>94433</v>
      </c>
      <c r="G685">
        <v>85373</v>
      </c>
      <c r="H685">
        <v>1113</v>
      </c>
      <c r="I685">
        <v>1042</v>
      </c>
      <c r="J685">
        <v>1243453.05</v>
      </c>
      <c r="K685">
        <v>145</v>
      </c>
      <c r="L685">
        <v>827323.05</v>
      </c>
      <c r="M685">
        <v>107</v>
      </c>
      <c r="N685">
        <v>20819</v>
      </c>
      <c r="O685">
        <v>86585</v>
      </c>
      <c r="P685">
        <f t="shared" si="39"/>
        <v>2025</v>
      </c>
      <c r="Q685">
        <f t="shared" si="40"/>
        <v>1</v>
      </c>
      <c r="R685" t="str">
        <f t="shared" si="38"/>
        <v>万相台</v>
      </c>
      <c r="S685" t="str">
        <f>_xlfn.XLOOKUP(B685,全店核心数据_bymonth!A:A,全店核心数据_bymonth!AN:AN)</f>
        <v>BU25</v>
      </c>
    </row>
    <row r="686" spans="1:19" x14ac:dyDescent="0.3">
      <c r="A686" t="s">
        <v>110</v>
      </c>
      <c r="B686" s="16">
        <v>45658</v>
      </c>
      <c r="C686" t="s">
        <v>2</v>
      </c>
      <c r="D686" t="s">
        <v>4</v>
      </c>
      <c r="E686" t="s">
        <v>41</v>
      </c>
      <c r="F686">
        <v>24</v>
      </c>
      <c r="G686">
        <v>15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5</v>
      </c>
      <c r="O686">
        <v>22</v>
      </c>
      <c r="P686">
        <f t="shared" si="39"/>
        <v>2025</v>
      </c>
      <c r="Q686">
        <f t="shared" si="40"/>
        <v>1</v>
      </c>
      <c r="R686" t="str">
        <f t="shared" si="38"/>
        <v>流量宝</v>
      </c>
      <c r="S686" t="str">
        <f>_xlfn.XLOOKUP(B686,全店核心数据_bymonth!A:A,全店核心数据_bymonth!AN:AN)</f>
        <v>BU25</v>
      </c>
    </row>
    <row r="687" spans="1:19" x14ac:dyDescent="0.3">
      <c r="A687" t="s">
        <v>110</v>
      </c>
      <c r="B687" s="16">
        <v>45658</v>
      </c>
      <c r="C687" t="s">
        <v>2</v>
      </c>
      <c r="D687" t="s">
        <v>4</v>
      </c>
      <c r="E687" t="s">
        <v>43</v>
      </c>
      <c r="F687">
        <v>10273</v>
      </c>
      <c r="G687">
        <v>5121</v>
      </c>
      <c r="H687">
        <v>24</v>
      </c>
      <c r="I687">
        <v>18</v>
      </c>
      <c r="J687">
        <v>40860</v>
      </c>
      <c r="K687">
        <v>8</v>
      </c>
      <c r="L687">
        <v>40860</v>
      </c>
      <c r="M687">
        <v>8</v>
      </c>
      <c r="N687">
        <v>99</v>
      </c>
      <c r="O687">
        <v>10236</v>
      </c>
      <c r="P687">
        <f t="shared" si="39"/>
        <v>2025</v>
      </c>
      <c r="Q687">
        <f t="shared" si="40"/>
        <v>1</v>
      </c>
      <c r="R687" t="str">
        <f t="shared" si="38"/>
        <v>淘宝客</v>
      </c>
      <c r="S687" t="str">
        <f>_xlfn.XLOOKUP(B687,全店核心数据_bymonth!A:A,全店核心数据_bymonth!AN:AN)</f>
        <v>BU25</v>
      </c>
    </row>
    <row r="688" spans="1:19" x14ac:dyDescent="0.3">
      <c r="A688" t="s">
        <v>110</v>
      </c>
      <c r="B688" s="16">
        <v>45292</v>
      </c>
      <c r="C688" t="s">
        <v>3</v>
      </c>
      <c r="D688" t="s">
        <v>114</v>
      </c>
      <c r="E688" t="s">
        <v>159</v>
      </c>
      <c r="F688">
        <v>2592</v>
      </c>
      <c r="G688">
        <v>1554</v>
      </c>
      <c r="H688">
        <v>43</v>
      </c>
      <c r="I688">
        <v>38</v>
      </c>
      <c r="J688">
        <v>20826.5</v>
      </c>
      <c r="K688">
        <v>5</v>
      </c>
      <c r="L688">
        <v>20826.5</v>
      </c>
      <c r="M688">
        <v>5</v>
      </c>
      <c r="O688">
        <v>2591</v>
      </c>
      <c r="P688">
        <f t="shared" si="39"/>
        <v>2024</v>
      </c>
      <c r="Q688">
        <f t="shared" si="40"/>
        <v>1</v>
      </c>
      <c r="R688" t="str">
        <f t="shared" si="38"/>
        <v>主会场</v>
      </c>
      <c r="S688" t="str">
        <f>_xlfn.XLOOKUP(B688,全店核心数据_bymonth!A:A,全店核心数据_bymonth!AN:AN)</f>
        <v>BU24</v>
      </c>
    </row>
    <row r="689" spans="1:19" x14ac:dyDescent="0.3">
      <c r="A689" t="s">
        <v>110</v>
      </c>
      <c r="B689" s="16">
        <v>45292</v>
      </c>
      <c r="C689" t="s">
        <v>3</v>
      </c>
      <c r="D689" t="s">
        <v>120</v>
      </c>
      <c r="E689" t="s">
        <v>162</v>
      </c>
      <c r="F689">
        <v>48</v>
      </c>
      <c r="G689">
        <v>46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O689">
        <v>24</v>
      </c>
      <c r="P689">
        <f t="shared" si="39"/>
        <v>2024</v>
      </c>
      <c r="Q689">
        <f t="shared" si="40"/>
        <v>1</v>
      </c>
      <c r="R689" t="str">
        <f t="shared" si="38"/>
        <v>手机浏览器访问天猫</v>
      </c>
      <c r="S689" t="str">
        <f>_xlfn.XLOOKUP(B689,全店核心数据_bymonth!A:A,全店核心数据_bymonth!AN:AN)</f>
        <v>BU24</v>
      </c>
    </row>
    <row r="690" spans="1:19" x14ac:dyDescent="0.3">
      <c r="A690" t="s">
        <v>110</v>
      </c>
      <c r="B690" s="16">
        <v>45292</v>
      </c>
      <c r="C690" t="s">
        <v>3</v>
      </c>
      <c r="D690" t="s">
        <v>120</v>
      </c>
      <c r="E690" t="s">
        <v>163</v>
      </c>
      <c r="F690">
        <v>1198</v>
      </c>
      <c r="G690">
        <v>836</v>
      </c>
      <c r="H690">
        <v>17</v>
      </c>
      <c r="I690">
        <v>0</v>
      </c>
      <c r="J690">
        <v>125730</v>
      </c>
      <c r="K690">
        <v>9</v>
      </c>
      <c r="L690">
        <v>71845</v>
      </c>
      <c r="M690">
        <v>8</v>
      </c>
      <c r="O690">
        <v>1133</v>
      </c>
      <c r="P690">
        <f t="shared" si="39"/>
        <v>2024</v>
      </c>
      <c r="Q690">
        <f t="shared" si="40"/>
        <v>1</v>
      </c>
      <c r="R690" t="str">
        <f t="shared" si="38"/>
        <v>手猫免费其他</v>
      </c>
      <c r="S690" t="str">
        <f>_xlfn.XLOOKUP(B690,全店核心数据_bymonth!A:A,全店核心数据_bymonth!AN:AN)</f>
        <v>BU24</v>
      </c>
    </row>
    <row r="691" spans="1:19" x14ac:dyDescent="0.3">
      <c r="A691" t="s">
        <v>110</v>
      </c>
      <c r="B691" s="16">
        <v>45292</v>
      </c>
      <c r="C691" t="s">
        <v>3</v>
      </c>
      <c r="D691" t="s">
        <v>120</v>
      </c>
      <c r="E691" t="s">
        <v>164</v>
      </c>
      <c r="F691">
        <v>159</v>
      </c>
      <c r="G691">
        <v>108</v>
      </c>
      <c r="H691">
        <v>5</v>
      </c>
      <c r="I691">
        <v>0</v>
      </c>
      <c r="J691">
        <v>0</v>
      </c>
      <c r="K691">
        <v>0</v>
      </c>
      <c r="L691">
        <v>0</v>
      </c>
      <c r="M691">
        <v>0</v>
      </c>
      <c r="O691">
        <v>159</v>
      </c>
      <c r="P691">
        <f t="shared" si="39"/>
        <v>2024</v>
      </c>
      <c r="Q691">
        <f t="shared" si="40"/>
        <v>1</v>
      </c>
      <c r="R691" t="str">
        <f t="shared" si="38"/>
        <v>手猫其他店铺</v>
      </c>
      <c r="S691" t="str">
        <f>_xlfn.XLOOKUP(B691,全店核心数据_bymonth!A:A,全店核心数据_bymonth!AN:AN)</f>
        <v>BU24</v>
      </c>
    </row>
    <row r="692" spans="1:19" x14ac:dyDescent="0.3">
      <c r="A692" t="s">
        <v>110</v>
      </c>
      <c r="B692" s="16">
        <v>45292</v>
      </c>
      <c r="C692" t="s">
        <v>3</v>
      </c>
      <c r="D692" t="s">
        <v>120</v>
      </c>
      <c r="E692" t="s">
        <v>165</v>
      </c>
      <c r="F692">
        <v>772</v>
      </c>
      <c r="G692">
        <v>495</v>
      </c>
      <c r="H692">
        <v>4</v>
      </c>
      <c r="I692">
        <v>0</v>
      </c>
      <c r="J692">
        <v>52385</v>
      </c>
      <c r="K692">
        <v>8</v>
      </c>
      <c r="L692">
        <v>44390</v>
      </c>
      <c r="M692">
        <v>7</v>
      </c>
      <c r="O692">
        <v>756</v>
      </c>
      <c r="P692">
        <f t="shared" si="39"/>
        <v>2024</v>
      </c>
      <c r="Q692">
        <f t="shared" si="40"/>
        <v>1</v>
      </c>
      <c r="R692" t="str">
        <f t="shared" si="38"/>
        <v>手猫商品详情</v>
      </c>
      <c r="S692" t="str">
        <f>_xlfn.XLOOKUP(B692,全店核心数据_bymonth!A:A,全店核心数据_bymonth!AN:AN)</f>
        <v>BU24</v>
      </c>
    </row>
    <row r="693" spans="1:19" x14ac:dyDescent="0.3">
      <c r="A693" t="s">
        <v>110</v>
      </c>
      <c r="B693" s="16">
        <v>45292</v>
      </c>
      <c r="C693" t="s">
        <v>3</v>
      </c>
      <c r="D693" t="s">
        <v>120</v>
      </c>
      <c r="E693" t="s">
        <v>166</v>
      </c>
      <c r="F693">
        <v>1191</v>
      </c>
      <c r="G693">
        <v>991</v>
      </c>
      <c r="H693">
        <v>12</v>
      </c>
      <c r="I693">
        <v>0</v>
      </c>
      <c r="J693">
        <v>83230</v>
      </c>
      <c r="K693">
        <v>8</v>
      </c>
      <c r="L693">
        <v>52730</v>
      </c>
      <c r="M693">
        <v>7</v>
      </c>
      <c r="O693">
        <v>952</v>
      </c>
      <c r="P693">
        <f t="shared" si="39"/>
        <v>2024</v>
      </c>
      <c r="Q693">
        <f t="shared" si="40"/>
        <v>1</v>
      </c>
      <c r="R693" t="str">
        <f t="shared" si="38"/>
        <v>手猫搜索</v>
      </c>
      <c r="S693" t="str">
        <f>_xlfn.XLOOKUP(B693,全店核心数据_bymonth!A:A,全店核心数据_bymonth!AN:AN)</f>
        <v>BU24</v>
      </c>
    </row>
    <row r="694" spans="1:19" x14ac:dyDescent="0.3">
      <c r="A694" t="s">
        <v>110</v>
      </c>
      <c r="B694" s="16">
        <v>45292</v>
      </c>
      <c r="C694" t="s">
        <v>3</v>
      </c>
      <c r="D694" t="s">
        <v>120</v>
      </c>
      <c r="E694" t="s">
        <v>167</v>
      </c>
      <c r="F694">
        <v>13</v>
      </c>
      <c r="G694">
        <v>5</v>
      </c>
      <c r="H694">
        <v>1</v>
      </c>
      <c r="I694">
        <v>0</v>
      </c>
      <c r="J694">
        <v>11845</v>
      </c>
      <c r="K694">
        <v>2</v>
      </c>
      <c r="L694">
        <v>11845</v>
      </c>
      <c r="M694">
        <v>2</v>
      </c>
      <c r="O694">
        <v>13</v>
      </c>
      <c r="P694">
        <f t="shared" si="39"/>
        <v>2024</v>
      </c>
      <c r="Q694">
        <f t="shared" si="40"/>
        <v>1</v>
      </c>
      <c r="R694" t="str">
        <f t="shared" si="38"/>
        <v>手猫旺信聊天</v>
      </c>
      <c r="S694" t="str">
        <f>_xlfn.XLOOKUP(B694,全店核心数据_bymonth!A:A,全店核心数据_bymonth!AN:AN)</f>
        <v>BU24</v>
      </c>
    </row>
    <row r="695" spans="1:19" x14ac:dyDescent="0.3">
      <c r="A695" t="s">
        <v>110</v>
      </c>
      <c r="B695" s="16">
        <v>45292</v>
      </c>
      <c r="C695" t="s">
        <v>3</v>
      </c>
      <c r="D695" t="s">
        <v>120</v>
      </c>
      <c r="E695" t="s">
        <v>168</v>
      </c>
      <c r="F695">
        <v>5479</v>
      </c>
      <c r="G695">
        <v>4654</v>
      </c>
      <c r="H695">
        <v>23</v>
      </c>
      <c r="I695">
        <v>1</v>
      </c>
      <c r="J695">
        <v>37338</v>
      </c>
      <c r="K695">
        <v>8</v>
      </c>
      <c r="L695">
        <v>29343</v>
      </c>
      <c r="M695">
        <v>7</v>
      </c>
      <c r="O695">
        <v>5479</v>
      </c>
      <c r="P695">
        <f t="shared" si="39"/>
        <v>2024</v>
      </c>
      <c r="Q695">
        <f t="shared" si="40"/>
        <v>1</v>
      </c>
      <c r="R695" t="str">
        <f t="shared" si="38"/>
        <v>手猫首页</v>
      </c>
      <c r="S695" t="str">
        <f>_xlfn.XLOOKUP(B695,全店核心数据_bymonth!A:A,全店核心数据_bymonth!AN:AN)</f>
        <v>BU24</v>
      </c>
    </row>
    <row r="696" spans="1:19" x14ac:dyDescent="0.3">
      <c r="A696" t="s">
        <v>110</v>
      </c>
      <c r="B696" s="16">
        <v>45292</v>
      </c>
      <c r="C696" t="s">
        <v>3</v>
      </c>
      <c r="D696" t="s">
        <v>123</v>
      </c>
      <c r="E696" t="s">
        <v>169</v>
      </c>
      <c r="F696">
        <v>1676</v>
      </c>
      <c r="G696">
        <v>936</v>
      </c>
      <c r="H696">
        <v>62</v>
      </c>
      <c r="I696">
        <v>23</v>
      </c>
      <c r="J696">
        <v>104748</v>
      </c>
      <c r="K696">
        <v>13</v>
      </c>
      <c r="L696">
        <v>60408</v>
      </c>
      <c r="M696">
        <v>9</v>
      </c>
      <c r="O696">
        <v>1562</v>
      </c>
      <c r="P696">
        <f t="shared" si="39"/>
        <v>2024</v>
      </c>
      <c r="Q696">
        <f t="shared" si="40"/>
        <v>1</v>
      </c>
      <c r="R696" t="str">
        <f t="shared" si="38"/>
        <v>商品详情页头图推荐</v>
      </c>
      <c r="S696" t="str">
        <f>_xlfn.XLOOKUP(B696,全店核心数据_bymonth!A:A,全店核心数据_bymonth!AN:AN)</f>
        <v>BU24</v>
      </c>
    </row>
    <row r="697" spans="1:19" x14ac:dyDescent="0.3">
      <c r="A697" t="s">
        <v>110</v>
      </c>
      <c r="B697" s="16">
        <v>45292</v>
      </c>
      <c r="C697" t="s">
        <v>3</v>
      </c>
      <c r="D697" t="s">
        <v>123</v>
      </c>
      <c r="E697" t="s">
        <v>170</v>
      </c>
      <c r="F697">
        <v>569</v>
      </c>
      <c r="G697">
        <v>409</v>
      </c>
      <c r="H697">
        <v>19</v>
      </c>
      <c r="I697">
        <v>10</v>
      </c>
      <c r="J697">
        <v>22965</v>
      </c>
      <c r="K697">
        <v>4</v>
      </c>
      <c r="L697">
        <v>12015</v>
      </c>
      <c r="M697">
        <v>3</v>
      </c>
      <c r="O697">
        <v>248</v>
      </c>
      <c r="P697">
        <f t="shared" si="39"/>
        <v>2024</v>
      </c>
      <c r="Q697">
        <f t="shared" si="40"/>
        <v>1</v>
      </c>
      <c r="R697" t="str">
        <f t="shared" si="38"/>
        <v>店铺超链</v>
      </c>
      <c r="S697" t="str">
        <f>_xlfn.XLOOKUP(B697,全店核心数据_bymonth!A:A,全店核心数据_bymonth!AN:AN)</f>
        <v>BU24</v>
      </c>
    </row>
    <row r="698" spans="1:19" x14ac:dyDescent="0.3">
      <c r="A698" t="s">
        <v>110</v>
      </c>
      <c r="B698" s="16">
        <v>45292</v>
      </c>
      <c r="C698" t="s">
        <v>3</v>
      </c>
      <c r="D698" t="s">
        <v>127</v>
      </c>
      <c r="E698" t="s">
        <v>171</v>
      </c>
      <c r="F698">
        <v>2821</v>
      </c>
      <c r="G698">
        <v>1911</v>
      </c>
      <c r="H698">
        <v>47</v>
      </c>
      <c r="I698">
        <v>34</v>
      </c>
      <c r="J698">
        <v>109238</v>
      </c>
      <c r="K698">
        <v>10</v>
      </c>
      <c r="L698">
        <v>84791.5</v>
      </c>
      <c r="M698">
        <v>9</v>
      </c>
      <c r="O698">
        <v>2340</v>
      </c>
      <c r="P698">
        <f t="shared" si="39"/>
        <v>2024</v>
      </c>
      <c r="Q698">
        <f t="shared" si="40"/>
        <v>1</v>
      </c>
      <c r="R698" t="str">
        <f t="shared" si="38"/>
        <v>其他猜你喜欢</v>
      </c>
      <c r="S698" t="str">
        <f>_xlfn.XLOOKUP(B698,全店核心数据_bymonth!A:A,全店核心数据_bymonth!AN:AN)</f>
        <v>BU24</v>
      </c>
    </row>
    <row r="699" spans="1:19" x14ac:dyDescent="0.3">
      <c r="A699" t="s">
        <v>110</v>
      </c>
      <c r="B699" s="16">
        <v>45292</v>
      </c>
      <c r="C699" t="s">
        <v>3</v>
      </c>
      <c r="D699" t="s">
        <v>127</v>
      </c>
      <c r="E699" t="s">
        <v>193</v>
      </c>
      <c r="F699">
        <v>8</v>
      </c>
      <c r="G699">
        <v>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O699">
        <v>8</v>
      </c>
      <c r="P699">
        <f t="shared" si="39"/>
        <v>2024</v>
      </c>
      <c r="Q699">
        <f t="shared" si="40"/>
        <v>1</v>
      </c>
      <c r="R699" t="str">
        <f t="shared" si="38"/>
        <v>推荐云主题</v>
      </c>
      <c r="S699" t="str">
        <f>_xlfn.XLOOKUP(B699,全店核心数据_bymonth!A:A,全店核心数据_bymonth!AN:AN)</f>
        <v>BU24</v>
      </c>
    </row>
    <row r="700" spans="1:19" x14ac:dyDescent="0.3">
      <c r="A700" t="s">
        <v>110</v>
      </c>
      <c r="B700" s="16">
        <v>45292</v>
      </c>
      <c r="C700" t="s">
        <v>3</v>
      </c>
      <c r="D700" t="s">
        <v>127</v>
      </c>
      <c r="E700" t="s">
        <v>172</v>
      </c>
      <c r="F700">
        <v>82</v>
      </c>
      <c r="G700">
        <v>51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O700">
        <v>82</v>
      </c>
      <c r="P700">
        <f t="shared" si="39"/>
        <v>2024</v>
      </c>
      <c r="Q700">
        <f t="shared" si="40"/>
        <v>1</v>
      </c>
      <c r="R700" t="str">
        <f t="shared" si="38"/>
        <v>购中推荐</v>
      </c>
      <c r="S700" t="str">
        <f>_xlfn.XLOOKUP(B700,全店核心数据_bymonth!A:A,全店核心数据_bymonth!AN:AN)</f>
        <v>BU24</v>
      </c>
    </row>
    <row r="701" spans="1:19" x14ac:dyDescent="0.3">
      <c r="A701" t="s">
        <v>110</v>
      </c>
      <c r="B701" s="16">
        <v>45292</v>
      </c>
      <c r="C701" t="s">
        <v>3</v>
      </c>
      <c r="D701" t="s">
        <v>127</v>
      </c>
      <c r="E701" t="s">
        <v>173</v>
      </c>
      <c r="F701">
        <v>441</v>
      </c>
      <c r="G701">
        <v>306</v>
      </c>
      <c r="H701">
        <v>3</v>
      </c>
      <c r="I701">
        <v>6</v>
      </c>
      <c r="J701">
        <v>0</v>
      </c>
      <c r="K701">
        <v>0</v>
      </c>
      <c r="L701">
        <v>0</v>
      </c>
      <c r="M701">
        <v>0</v>
      </c>
      <c r="O701">
        <v>441</v>
      </c>
      <c r="P701">
        <f t="shared" si="39"/>
        <v>2024</v>
      </c>
      <c r="Q701">
        <f t="shared" si="40"/>
        <v>1</v>
      </c>
      <c r="R701" t="str">
        <f t="shared" si="38"/>
        <v>购后推荐</v>
      </c>
      <c r="S701" t="str">
        <f>_xlfn.XLOOKUP(B701,全店核心数据_bymonth!A:A,全店核心数据_bymonth!AN:AN)</f>
        <v>BU24</v>
      </c>
    </row>
    <row r="702" spans="1:19" x14ac:dyDescent="0.3">
      <c r="A702" t="s">
        <v>110</v>
      </c>
      <c r="B702" s="16">
        <v>45292</v>
      </c>
      <c r="C702" t="s">
        <v>3</v>
      </c>
      <c r="D702" t="s">
        <v>127</v>
      </c>
      <c r="E702" t="s">
        <v>174</v>
      </c>
      <c r="F702">
        <v>55107</v>
      </c>
      <c r="G702">
        <v>49925</v>
      </c>
      <c r="H702">
        <v>339</v>
      </c>
      <c r="I702">
        <v>255</v>
      </c>
      <c r="J702">
        <v>264262.07</v>
      </c>
      <c r="K702">
        <v>21</v>
      </c>
      <c r="L702">
        <v>139087.07</v>
      </c>
      <c r="M702">
        <v>16</v>
      </c>
      <c r="O702">
        <v>55107</v>
      </c>
      <c r="P702">
        <f t="shared" si="39"/>
        <v>2024</v>
      </c>
      <c r="Q702">
        <f t="shared" si="40"/>
        <v>1</v>
      </c>
      <c r="R702" t="str">
        <f t="shared" si="38"/>
        <v>首页推荐-微详情</v>
      </c>
      <c r="S702" t="str">
        <f>_xlfn.XLOOKUP(B702,全店核心数据_bymonth!A:A,全店核心数据_bymonth!AN:AN)</f>
        <v>BU24</v>
      </c>
    </row>
    <row r="703" spans="1:19" x14ac:dyDescent="0.3">
      <c r="A703" t="s">
        <v>110</v>
      </c>
      <c r="B703" s="16">
        <v>45292</v>
      </c>
      <c r="C703" t="s">
        <v>3</v>
      </c>
      <c r="D703" t="s">
        <v>127</v>
      </c>
      <c r="E703" t="s">
        <v>175</v>
      </c>
      <c r="F703">
        <v>3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O703">
        <v>1</v>
      </c>
      <c r="P703">
        <f t="shared" si="39"/>
        <v>2024</v>
      </c>
      <c r="Q703">
        <f t="shared" si="40"/>
        <v>1</v>
      </c>
      <c r="R703" t="str">
        <f t="shared" si="38"/>
        <v>首页推荐-直播</v>
      </c>
      <c r="S703" t="str">
        <f>_xlfn.XLOOKUP(B703,全店核心数据_bymonth!A:A,全店核心数据_bymonth!AN:AN)</f>
        <v>BU24</v>
      </c>
    </row>
    <row r="704" spans="1:19" x14ac:dyDescent="0.3">
      <c r="A704" t="s">
        <v>110</v>
      </c>
      <c r="B704" s="16">
        <v>45292</v>
      </c>
      <c r="C704" t="s">
        <v>3</v>
      </c>
      <c r="D704" t="s">
        <v>127</v>
      </c>
      <c r="E704" t="s">
        <v>176</v>
      </c>
      <c r="F704">
        <v>285</v>
      </c>
      <c r="G704">
        <v>211</v>
      </c>
      <c r="H704">
        <v>0</v>
      </c>
      <c r="I704">
        <v>0</v>
      </c>
      <c r="J704">
        <v>6750</v>
      </c>
      <c r="K704">
        <v>1</v>
      </c>
      <c r="L704">
        <v>0</v>
      </c>
      <c r="M704">
        <v>0</v>
      </c>
      <c r="O704">
        <v>5</v>
      </c>
      <c r="P704">
        <f t="shared" si="39"/>
        <v>2024</v>
      </c>
      <c r="Q704">
        <f t="shared" si="40"/>
        <v>1</v>
      </c>
      <c r="R704" t="str">
        <f t="shared" si="38"/>
        <v>首页推荐-短视频</v>
      </c>
      <c r="S704" t="str">
        <f>_xlfn.XLOOKUP(B704,全店核心数据_bymonth!A:A,全店核心数据_bymonth!AN:AN)</f>
        <v>BU24</v>
      </c>
    </row>
    <row r="705" spans="1:19" x14ac:dyDescent="0.3">
      <c r="A705" t="s">
        <v>110</v>
      </c>
      <c r="B705" s="16">
        <v>45292</v>
      </c>
      <c r="C705" t="s">
        <v>3</v>
      </c>
      <c r="D705" t="s">
        <v>128</v>
      </c>
      <c r="E705" t="s">
        <v>177</v>
      </c>
      <c r="F705">
        <v>11965</v>
      </c>
      <c r="G705">
        <v>10415</v>
      </c>
      <c r="H705">
        <v>364</v>
      </c>
      <c r="I705">
        <v>134</v>
      </c>
      <c r="J705">
        <v>313468.65999999997</v>
      </c>
      <c r="K705">
        <v>56</v>
      </c>
      <c r="L705">
        <v>247053.66</v>
      </c>
      <c r="M705">
        <v>49</v>
      </c>
      <c r="O705">
        <v>10075</v>
      </c>
      <c r="P705">
        <f t="shared" si="39"/>
        <v>2024</v>
      </c>
      <c r="Q705">
        <f t="shared" si="40"/>
        <v>1</v>
      </c>
      <c r="R705" t="str">
        <f t="shared" si="38"/>
        <v>手淘搜索-商品及其他</v>
      </c>
      <c r="S705" t="str">
        <f>_xlfn.XLOOKUP(B705,全店核心数据_bymonth!A:A,全店核心数据_bymonth!AN:AN)</f>
        <v>BU24</v>
      </c>
    </row>
    <row r="706" spans="1:19" x14ac:dyDescent="0.3">
      <c r="A706" t="s">
        <v>110</v>
      </c>
      <c r="B706" s="16">
        <v>45292</v>
      </c>
      <c r="C706" t="s">
        <v>3</v>
      </c>
      <c r="D706" t="s">
        <v>128</v>
      </c>
      <c r="E706" t="s">
        <v>178</v>
      </c>
      <c r="F706">
        <v>45</v>
      </c>
      <c r="G706">
        <v>32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O706">
        <v>32</v>
      </c>
      <c r="P706">
        <f t="shared" si="39"/>
        <v>2024</v>
      </c>
      <c r="Q706">
        <f t="shared" si="40"/>
        <v>1</v>
      </c>
      <c r="R706" t="str">
        <f t="shared" si="38"/>
        <v>手淘搜索-直播</v>
      </c>
      <c r="S706" t="str">
        <f>_xlfn.XLOOKUP(B706,全店核心数据_bymonth!A:A,全店核心数据_bymonth!AN:AN)</f>
        <v>BU24</v>
      </c>
    </row>
    <row r="707" spans="1:19" x14ac:dyDescent="0.3">
      <c r="A707" t="s">
        <v>110</v>
      </c>
      <c r="B707" s="16">
        <v>45292</v>
      </c>
      <c r="C707" t="s">
        <v>3</v>
      </c>
      <c r="D707" t="s">
        <v>128</v>
      </c>
      <c r="E707" t="s">
        <v>179</v>
      </c>
      <c r="F707">
        <v>295</v>
      </c>
      <c r="G707">
        <v>193</v>
      </c>
      <c r="H707">
        <v>0</v>
      </c>
      <c r="I707">
        <v>3</v>
      </c>
      <c r="J707">
        <v>4445</v>
      </c>
      <c r="K707">
        <v>1</v>
      </c>
      <c r="L707">
        <v>4445</v>
      </c>
      <c r="M707">
        <v>1</v>
      </c>
      <c r="O707">
        <v>75</v>
      </c>
      <c r="P707">
        <f t="shared" si="39"/>
        <v>2024</v>
      </c>
      <c r="Q707">
        <f t="shared" si="40"/>
        <v>1</v>
      </c>
      <c r="R707" t="str">
        <f t="shared" si="38"/>
        <v>手淘搜索-短视频</v>
      </c>
      <c r="S707" t="str">
        <f>_xlfn.XLOOKUP(B707,全店核心数据_bymonth!A:A,全店核心数据_bymonth!AN:AN)</f>
        <v>BU24</v>
      </c>
    </row>
    <row r="708" spans="1:19" x14ac:dyDescent="0.3">
      <c r="A708" t="s">
        <v>110</v>
      </c>
      <c r="B708" s="16">
        <v>45292</v>
      </c>
      <c r="C708" t="s">
        <v>3</v>
      </c>
      <c r="D708" t="s">
        <v>143</v>
      </c>
      <c r="E708" t="s">
        <v>196</v>
      </c>
      <c r="F708">
        <v>7</v>
      </c>
      <c r="G708">
        <v>5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O708">
        <v>7</v>
      </c>
      <c r="P708">
        <f t="shared" si="39"/>
        <v>2024</v>
      </c>
      <c r="Q708">
        <f t="shared" si="40"/>
        <v>1</v>
      </c>
      <c r="R708" t="str">
        <f t="shared" si="38"/>
        <v>淘特互动游戏</v>
      </c>
      <c r="S708" t="str">
        <f>_xlfn.XLOOKUP(B708,全店核心数据_bymonth!A:A,全店核心数据_bymonth!AN:AN)</f>
        <v>BU24</v>
      </c>
    </row>
    <row r="709" spans="1:19" x14ac:dyDescent="0.3">
      <c r="A709" t="s">
        <v>110</v>
      </c>
      <c r="B709" s="16">
        <v>45292</v>
      </c>
      <c r="C709" t="s">
        <v>3</v>
      </c>
      <c r="D709" t="s">
        <v>143</v>
      </c>
      <c r="E709" t="s">
        <v>180</v>
      </c>
      <c r="F709">
        <v>108</v>
      </c>
      <c r="G709">
        <v>103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O709">
        <v>104</v>
      </c>
      <c r="P709">
        <f t="shared" si="39"/>
        <v>2024</v>
      </c>
      <c r="Q709">
        <f t="shared" si="40"/>
        <v>1</v>
      </c>
      <c r="R709" t="str">
        <f t="shared" si="38"/>
        <v>淘特其他渠道</v>
      </c>
      <c r="S709" t="str">
        <f>_xlfn.XLOOKUP(B709,全店核心数据_bymonth!A:A,全店核心数据_bymonth!AN:AN)</f>
        <v>BU24</v>
      </c>
    </row>
    <row r="710" spans="1:19" x14ac:dyDescent="0.3">
      <c r="A710" t="s">
        <v>110</v>
      </c>
      <c r="B710" s="16">
        <v>45292</v>
      </c>
      <c r="C710" t="s">
        <v>3</v>
      </c>
      <c r="D710" t="s">
        <v>143</v>
      </c>
      <c r="E710" t="s">
        <v>197</v>
      </c>
      <c r="F710">
        <v>19</v>
      </c>
      <c r="G710">
        <v>16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19</v>
      </c>
      <c r="P710">
        <f t="shared" si="39"/>
        <v>2024</v>
      </c>
      <c r="Q710">
        <f t="shared" si="40"/>
        <v>1</v>
      </c>
      <c r="R710" t="str">
        <f t="shared" si="38"/>
        <v>淘特推荐</v>
      </c>
      <c r="S710" t="str">
        <f>_xlfn.XLOOKUP(B710,全店核心数据_bymonth!A:A,全店核心数据_bymonth!AN:AN)</f>
        <v>BU24</v>
      </c>
    </row>
    <row r="711" spans="1:19" x14ac:dyDescent="0.3">
      <c r="A711" t="s">
        <v>110</v>
      </c>
      <c r="B711" s="16">
        <v>45292</v>
      </c>
      <c r="C711" t="s">
        <v>3</v>
      </c>
      <c r="D711" t="s">
        <v>143</v>
      </c>
      <c r="E711" t="s">
        <v>181</v>
      </c>
      <c r="F711">
        <v>95</v>
      </c>
      <c r="G711">
        <v>91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O711">
        <v>95</v>
      </c>
      <c r="P711">
        <f t="shared" si="39"/>
        <v>2024</v>
      </c>
      <c r="Q711">
        <f t="shared" si="40"/>
        <v>1</v>
      </c>
      <c r="R711" t="str">
        <f t="shared" ref="R711:R774" si="41">E711</f>
        <v>淘特搜索</v>
      </c>
      <c r="S711" t="str">
        <f>_xlfn.XLOOKUP(B711,全店核心数据_bymonth!A:A,全店核心数据_bymonth!AN:AN)</f>
        <v>BU24</v>
      </c>
    </row>
    <row r="712" spans="1:19" x14ac:dyDescent="0.3">
      <c r="A712" t="s">
        <v>110</v>
      </c>
      <c r="B712" s="16">
        <v>45292</v>
      </c>
      <c r="C712" t="s">
        <v>3</v>
      </c>
      <c r="D712" t="s">
        <v>143</v>
      </c>
      <c r="E712" t="s">
        <v>224</v>
      </c>
      <c r="F712">
        <v>4</v>
      </c>
      <c r="G712">
        <v>3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O712">
        <v>4</v>
      </c>
      <c r="P712">
        <f t="shared" si="39"/>
        <v>2024</v>
      </c>
      <c r="Q712">
        <f t="shared" si="40"/>
        <v>1</v>
      </c>
      <c r="R712" t="str">
        <f t="shared" si="41"/>
        <v>淘特自主访问</v>
      </c>
      <c r="S712" t="str">
        <f>_xlfn.XLOOKUP(B712,全店核心数据_bymonth!A:A,全店核心数据_bymonth!AN:AN)</f>
        <v>BU24</v>
      </c>
    </row>
    <row r="713" spans="1:19" x14ac:dyDescent="0.3">
      <c r="A713" t="s">
        <v>110</v>
      </c>
      <c r="B713" s="16">
        <v>45292</v>
      </c>
      <c r="C713" t="s">
        <v>2</v>
      </c>
      <c r="D713" t="s">
        <v>55</v>
      </c>
      <c r="E713" t="s">
        <v>56</v>
      </c>
      <c r="F713">
        <v>18</v>
      </c>
      <c r="G713">
        <v>10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O713">
        <v>1</v>
      </c>
      <c r="P713">
        <f t="shared" si="39"/>
        <v>2024</v>
      </c>
      <c r="Q713">
        <f t="shared" si="40"/>
        <v>1</v>
      </c>
      <c r="R713" t="str">
        <f t="shared" si="41"/>
        <v>超级短视频</v>
      </c>
      <c r="S713" t="str">
        <f>_xlfn.XLOOKUP(B713,全店核心数据_bymonth!A:A,全店核心数据_bymonth!AN:AN)</f>
        <v>BU24</v>
      </c>
    </row>
    <row r="714" spans="1:19" x14ac:dyDescent="0.3">
      <c r="A714" t="s">
        <v>110</v>
      </c>
      <c r="B714" s="16">
        <v>45292</v>
      </c>
      <c r="C714" t="s">
        <v>2</v>
      </c>
      <c r="D714" t="s">
        <v>52</v>
      </c>
      <c r="E714" t="s">
        <v>53</v>
      </c>
      <c r="F714">
        <v>1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O714">
        <v>0</v>
      </c>
      <c r="P714">
        <f t="shared" si="39"/>
        <v>2024</v>
      </c>
      <c r="Q714">
        <f t="shared" si="40"/>
        <v>1</v>
      </c>
      <c r="R714" t="str">
        <f t="shared" si="41"/>
        <v>Showmax</v>
      </c>
      <c r="S714" t="str">
        <f>_xlfn.XLOOKUP(B714,全店核心数据_bymonth!A:A,全店核心数据_bymonth!AN:AN)</f>
        <v>BU24</v>
      </c>
    </row>
    <row r="715" spans="1:19" x14ac:dyDescent="0.3">
      <c r="A715" t="s">
        <v>110</v>
      </c>
      <c r="B715" s="16">
        <v>45292</v>
      </c>
      <c r="C715" t="s">
        <v>2</v>
      </c>
      <c r="D715" t="s">
        <v>52</v>
      </c>
      <c r="E715" t="s">
        <v>51</v>
      </c>
      <c r="F715">
        <v>3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O715">
        <v>3</v>
      </c>
      <c r="P715">
        <f t="shared" si="39"/>
        <v>2024</v>
      </c>
      <c r="Q715">
        <f t="shared" si="40"/>
        <v>1</v>
      </c>
      <c r="R715" t="str">
        <f t="shared" si="41"/>
        <v>品牌定制</v>
      </c>
      <c r="S715" t="str">
        <f>_xlfn.XLOOKUP(B715,全店核心数据_bymonth!A:A,全店核心数据_bymonth!AN:AN)</f>
        <v>BU24</v>
      </c>
    </row>
    <row r="716" spans="1:19" x14ac:dyDescent="0.3">
      <c r="A716" t="s">
        <v>110</v>
      </c>
      <c r="B716" s="16">
        <v>45292</v>
      </c>
      <c r="C716" t="s">
        <v>2</v>
      </c>
      <c r="D716" t="s">
        <v>52</v>
      </c>
      <c r="E716" t="s">
        <v>183</v>
      </c>
      <c r="F716">
        <v>15643</v>
      </c>
      <c r="G716">
        <v>14401</v>
      </c>
      <c r="H716">
        <v>329</v>
      </c>
      <c r="I716">
        <v>113</v>
      </c>
      <c r="J716">
        <v>306711</v>
      </c>
      <c r="K716">
        <v>45</v>
      </c>
      <c r="L716">
        <v>222541</v>
      </c>
      <c r="M716">
        <v>41</v>
      </c>
      <c r="O716">
        <v>7664</v>
      </c>
      <c r="P716">
        <f t="shared" si="39"/>
        <v>2024</v>
      </c>
      <c r="Q716">
        <f t="shared" si="40"/>
        <v>1</v>
      </c>
      <c r="R716" t="str">
        <f t="shared" si="41"/>
        <v>品销宝-品牌专区</v>
      </c>
      <c r="S716" t="str">
        <f>_xlfn.XLOOKUP(B716,全店核心数据_bymonth!A:A,全店核心数据_bymonth!AN:AN)</f>
        <v>BU24</v>
      </c>
    </row>
    <row r="717" spans="1:19" x14ac:dyDescent="0.3">
      <c r="A717" t="s">
        <v>110</v>
      </c>
      <c r="B717" s="16">
        <v>45292</v>
      </c>
      <c r="C717" t="s">
        <v>2</v>
      </c>
      <c r="D717" t="s">
        <v>52</v>
      </c>
      <c r="E717" t="s">
        <v>415</v>
      </c>
      <c r="F717">
        <v>2480</v>
      </c>
      <c r="G717">
        <v>2172</v>
      </c>
      <c r="H717">
        <v>45</v>
      </c>
      <c r="I717">
        <v>19</v>
      </c>
      <c r="J717">
        <v>60161.5</v>
      </c>
      <c r="K717">
        <v>7</v>
      </c>
      <c r="L717">
        <v>32411.5</v>
      </c>
      <c r="M717">
        <v>6</v>
      </c>
      <c r="O717">
        <v>1278</v>
      </c>
      <c r="P717">
        <f t="shared" si="39"/>
        <v>2024</v>
      </c>
      <c r="Q717">
        <f t="shared" si="40"/>
        <v>1</v>
      </c>
      <c r="R717" t="str">
        <f t="shared" si="41"/>
        <v>品销宝-明星店铺</v>
      </c>
      <c r="S717" t="str">
        <f>_xlfn.XLOOKUP(B717,全店核心数据_bymonth!A:A,全店核心数据_bymonth!AN:AN)</f>
        <v>BU24</v>
      </c>
    </row>
    <row r="718" spans="1:19" x14ac:dyDescent="0.3">
      <c r="A718" t="s">
        <v>110</v>
      </c>
      <c r="B718" s="16">
        <v>45292</v>
      </c>
      <c r="C718" t="s">
        <v>2</v>
      </c>
      <c r="D718" t="s">
        <v>57</v>
      </c>
      <c r="E718" t="s">
        <v>65</v>
      </c>
      <c r="F718">
        <v>42418</v>
      </c>
      <c r="G718">
        <v>38471</v>
      </c>
      <c r="H718">
        <v>570</v>
      </c>
      <c r="I718">
        <v>300</v>
      </c>
      <c r="J718">
        <v>542855</v>
      </c>
      <c r="K718">
        <v>80</v>
      </c>
      <c r="L718">
        <v>327390</v>
      </c>
      <c r="M718">
        <v>64</v>
      </c>
      <c r="O718">
        <v>41901</v>
      </c>
      <c r="P718">
        <f t="shared" si="39"/>
        <v>2024</v>
      </c>
      <c r="Q718">
        <f t="shared" si="40"/>
        <v>1</v>
      </c>
      <c r="R718" t="str">
        <f t="shared" si="41"/>
        <v>直通车</v>
      </c>
      <c r="S718" t="str">
        <f>_xlfn.XLOOKUP(B718,全店核心数据_bymonth!A:A,全店核心数据_bymonth!AN:AN)</f>
        <v>BU24</v>
      </c>
    </row>
    <row r="719" spans="1:19" x14ac:dyDescent="0.3">
      <c r="A719" t="s">
        <v>110</v>
      </c>
      <c r="B719" s="16">
        <v>45292</v>
      </c>
      <c r="C719" t="s">
        <v>2</v>
      </c>
      <c r="D719" t="s">
        <v>57</v>
      </c>
      <c r="E719" t="s">
        <v>63</v>
      </c>
      <c r="F719">
        <v>31738</v>
      </c>
      <c r="G719">
        <v>26221</v>
      </c>
      <c r="H719">
        <v>557</v>
      </c>
      <c r="I719">
        <v>282</v>
      </c>
      <c r="J719">
        <v>855965.5</v>
      </c>
      <c r="K719">
        <v>113</v>
      </c>
      <c r="L719">
        <v>696320.5</v>
      </c>
      <c r="M719">
        <v>99</v>
      </c>
      <c r="O719">
        <v>31659</v>
      </c>
      <c r="P719">
        <f t="shared" si="39"/>
        <v>2024</v>
      </c>
      <c r="Q719">
        <f t="shared" si="40"/>
        <v>1</v>
      </c>
      <c r="R719" t="str">
        <f t="shared" si="41"/>
        <v>万相台</v>
      </c>
      <c r="S719" t="str">
        <f>_xlfn.XLOOKUP(B719,全店核心数据_bymonth!A:A,全店核心数据_bymonth!AN:AN)</f>
        <v>BU24</v>
      </c>
    </row>
    <row r="720" spans="1:19" x14ac:dyDescent="0.3">
      <c r="A720" t="s">
        <v>110</v>
      </c>
      <c r="B720" s="16">
        <v>45292</v>
      </c>
      <c r="C720" t="s">
        <v>2</v>
      </c>
      <c r="D720" t="s">
        <v>57</v>
      </c>
      <c r="E720" t="s">
        <v>64</v>
      </c>
      <c r="F720">
        <v>69719</v>
      </c>
      <c r="G720">
        <v>61344</v>
      </c>
      <c r="H720">
        <v>648</v>
      </c>
      <c r="I720">
        <v>570</v>
      </c>
      <c r="J720">
        <v>314201.5</v>
      </c>
      <c r="K720">
        <v>32</v>
      </c>
      <c r="L720">
        <v>143770</v>
      </c>
      <c r="M720">
        <v>18</v>
      </c>
      <c r="O720">
        <v>69676</v>
      </c>
      <c r="P720">
        <f t="shared" si="39"/>
        <v>2024</v>
      </c>
      <c r="Q720">
        <f t="shared" si="40"/>
        <v>1</v>
      </c>
      <c r="R720" t="str">
        <f t="shared" si="41"/>
        <v>引力魔方</v>
      </c>
      <c r="S720" t="str">
        <f>_xlfn.XLOOKUP(B720,全店核心数据_bymonth!A:A,全店核心数据_bymonth!AN:AN)</f>
        <v>BU24</v>
      </c>
    </row>
    <row r="721" spans="1:19" x14ac:dyDescent="0.3">
      <c r="A721" t="s">
        <v>110</v>
      </c>
      <c r="B721" s="16">
        <v>45292</v>
      </c>
      <c r="C721" t="s">
        <v>2</v>
      </c>
      <c r="D721" t="s">
        <v>4</v>
      </c>
      <c r="E721" t="s">
        <v>42</v>
      </c>
      <c r="F721">
        <v>4</v>
      </c>
      <c r="G721">
        <v>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O721">
        <v>4</v>
      </c>
      <c r="P721">
        <f t="shared" si="39"/>
        <v>2024</v>
      </c>
      <c r="Q721">
        <f t="shared" si="40"/>
        <v>1</v>
      </c>
      <c r="R721" t="str">
        <f t="shared" si="41"/>
        <v>UD效果投放</v>
      </c>
      <c r="S721" t="str">
        <f>_xlfn.XLOOKUP(B721,全店核心数据_bymonth!A:A,全店核心数据_bymonth!AN:AN)</f>
        <v>BU24</v>
      </c>
    </row>
    <row r="722" spans="1:19" x14ac:dyDescent="0.3">
      <c r="A722" t="s">
        <v>110</v>
      </c>
      <c r="B722" s="16">
        <v>45292</v>
      </c>
      <c r="C722" t="s">
        <v>2</v>
      </c>
      <c r="D722" t="s">
        <v>4</v>
      </c>
      <c r="E722" t="s">
        <v>41</v>
      </c>
      <c r="F722">
        <v>60</v>
      </c>
      <c r="G722">
        <v>51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O722">
        <v>40</v>
      </c>
      <c r="P722">
        <f t="shared" si="39"/>
        <v>2024</v>
      </c>
      <c r="Q722">
        <f t="shared" si="40"/>
        <v>1</v>
      </c>
      <c r="R722" t="str">
        <f t="shared" si="41"/>
        <v>流量宝</v>
      </c>
      <c r="S722" t="str">
        <f>_xlfn.XLOOKUP(B722,全店核心数据_bymonth!A:A,全店核心数据_bymonth!AN:AN)</f>
        <v>BU24</v>
      </c>
    </row>
    <row r="723" spans="1:19" x14ac:dyDescent="0.3">
      <c r="A723" t="s">
        <v>110</v>
      </c>
      <c r="B723" s="16">
        <v>45292</v>
      </c>
      <c r="C723" t="s">
        <v>2</v>
      </c>
      <c r="D723" t="s">
        <v>4</v>
      </c>
      <c r="E723" t="s">
        <v>43</v>
      </c>
      <c r="F723">
        <v>3667</v>
      </c>
      <c r="G723">
        <v>2123</v>
      </c>
      <c r="H723">
        <v>9</v>
      </c>
      <c r="I723">
        <v>12</v>
      </c>
      <c r="J723">
        <v>133108</v>
      </c>
      <c r="K723">
        <v>16</v>
      </c>
      <c r="L723">
        <v>80396.5</v>
      </c>
      <c r="M723">
        <v>13</v>
      </c>
      <c r="O723">
        <v>3447</v>
      </c>
      <c r="P723">
        <f t="shared" si="39"/>
        <v>2024</v>
      </c>
      <c r="Q723">
        <f t="shared" si="40"/>
        <v>1</v>
      </c>
      <c r="R723" t="str">
        <f t="shared" si="41"/>
        <v>淘宝客</v>
      </c>
      <c r="S723" t="str">
        <f>_xlfn.XLOOKUP(B723,全店核心数据_bymonth!A:A,全店核心数据_bymonth!AN:AN)</f>
        <v>BU24</v>
      </c>
    </row>
    <row r="724" spans="1:19" x14ac:dyDescent="0.3">
      <c r="A724" t="s">
        <v>110</v>
      </c>
      <c r="B724" s="16">
        <v>45689</v>
      </c>
      <c r="C724" t="s">
        <v>3</v>
      </c>
      <c r="D724" t="s">
        <v>117</v>
      </c>
      <c r="E724" t="s">
        <v>161</v>
      </c>
      <c r="F724">
        <v>54</v>
      </c>
      <c r="G724">
        <v>43</v>
      </c>
      <c r="H724">
        <v>0</v>
      </c>
      <c r="I724">
        <v>2</v>
      </c>
      <c r="J724">
        <v>18500</v>
      </c>
      <c r="K724">
        <v>1</v>
      </c>
      <c r="L724">
        <v>9250</v>
      </c>
      <c r="M724">
        <v>1</v>
      </c>
      <c r="N724">
        <v>11</v>
      </c>
      <c r="O724">
        <v>54</v>
      </c>
      <c r="P724">
        <f t="shared" si="39"/>
        <v>2025</v>
      </c>
      <c r="Q724">
        <f t="shared" si="40"/>
        <v>2</v>
      </c>
      <c r="R724" t="str">
        <f t="shared" si="41"/>
        <v>其他入口榜单</v>
      </c>
      <c r="S724" t="str">
        <f>_xlfn.XLOOKUP(B724,全店核心数据_bymonth!A:A,全店核心数据_bymonth!AN:AN)</f>
        <v>BU25</v>
      </c>
    </row>
    <row r="725" spans="1:19" x14ac:dyDescent="0.3">
      <c r="A725" t="s">
        <v>110</v>
      </c>
      <c r="B725" s="16">
        <v>45689</v>
      </c>
      <c r="C725" t="s">
        <v>3</v>
      </c>
      <c r="D725" t="s">
        <v>117</v>
      </c>
      <c r="E725" t="s">
        <v>191</v>
      </c>
      <c r="F725">
        <v>50</v>
      </c>
      <c r="G725">
        <v>46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12</v>
      </c>
      <c r="O725">
        <v>50</v>
      </c>
      <c r="P725">
        <f t="shared" ref="P725:P788" si="42">YEAR(B725)</f>
        <v>2025</v>
      </c>
      <c r="Q725">
        <f t="shared" ref="Q725:Q788" si="43">MONTH(B725)</f>
        <v>2</v>
      </c>
      <c r="R725" t="str">
        <f t="shared" si="41"/>
        <v>商品详情页入口榜单</v>
      </c>
      <c r="S725" t="str">
        <f>_xlfn.XLOOKUP(B725,全店核心数据_bymonth!A:A,全店核心数据_bymonth!AN:AN)</f>
        <v>BU25</v>
      </c>
    </row>
    <row r="726" spans="1:19" x14ac:dyDescent="0.3">
      <c r="A726" t="s">
        <v>110</v>
      </c>
      <c r="B726" s="16">
        <v>45689</v>
      </c>
      <c r="C726" t="s">
        <v>3</v>
      </c>
      <c r="D726" t="s">
        <v>117</v>
      </c>
      <c r="E726" t="s">
        <v>195</v>
      </c>
      <c r="F726">
        <v>57</v>
      </c>
      <c r="G726">
        <v>55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11</v>
      </c>
      <c r="O726">
        <v>57</v>
      </c>
      <c r="P726">
        <f t="shared" si="42"/>
        <v>2025</v>
      </c>
      <c r="Q726">
        <f t="shared" si="43"/>
        <v>2</v>
      </c>
      <c r="R726" t="str">
        <f t="shared" si="41"/>
        <v>搜索入口榜单</v>
      </c>
      <c r="S726" t="str">
        <f>_xlfn.XLOOKUP(B726,全店核心数据_bymonth!A:A,全店核心数据_bymonth!AN:AN)</f>
        <v>BU25</v>
      </c>
    </row>
    <row r="727" spans="1:19" x14ac:dyDescent="0.3">
      <c r="A727" t="s">
        <v>110</v>
      </c>
      <c r="B727" s="16">
        <v>45689</v>
      </c>
      <c r="C727" t="s">
        <v>3</v>
      </c>
      <c r="D727" t="s">
        <v>123</v>
      </c>
      <c r="E727" t="s">
        <v>169</v>
      </c>
      <c r="F727">
        <v>1380</v>
      </c>
      <c r="G727">
        <v>782</v>
      </c>
      <c r="H727">
        <v>41</v>
      </c>
      <c r="I727">
        <v>22</v>
      </c>
      <c r="J727">
        <v>150975</v>
      </c>
      <c r="K727">
        <v>10</v>
      </c>
      <c r="L727">
        <v>47260</v>
      </c>
      <c r="M727">
        <v>4</v>
      </c>
      <c r="N727">
        <v>367</v>
      </c>
      <c r="O727">
        <v>1327</v>
      </c>
      <c r="P727">
        <f t="shared" si="42"/>
        <v>2025</v>
      </c>
      <c r="Q727">
        <f t="shared" si="43"/>
        <v>2</v>
      </c>
      <c r="R727" t="str">
        <f t="shared" si="41"/>
        <v>商品详情页头图推荐</v>
      </c>
      <c r="S727" t="str">
        <f>_xlfn.XLOOKUP(B727,全店核心数据_bymonth!A:A,全店核心数据_bymonth!AN:AN)</f>
        <v>BU25</v>
      </c>
    </row>
    <row r="728" spans="1:19" x14ac:dyDescent="0.3">
      <c r="A728" t="s">
        <v>110</v>
      </c>
      <c r="B728" s="16">
        <v>45689</v>
      </c>
      <c r="C728" t="s">
        <v>3</v>
      </c>
      <c r="D728" t="s">
        <v>123</v>
      </c>
      <c r="E728" t="s">
        <v>170</v>
      </c>
      <c r="F728">
        <v>595</v>
      </c>
      <c r="G728">
        <v>446</v>
      </c>
      <c r="H728">
        <v>18</v>
      </c>
      <c r="I728">
        <v>4</v>
      </c>
      <c r="J728">
        <v>21030</v>
      </c>
      <c r="K728">
        <v>4</v>
      </c>
      <c r="L728">
        <v>21030</v>
      </c>
      <c r="M728">
        <v>4</v>
      </c>
      <c r="N728">
        <v>541</v>
      </c>
      <c r="O728">
        <v>228</v>
      </c>
      <c r="P728">
        <f t="shared" si="42"/>
        <v>2025</v>
      </c>
      <c r="Q728">
        <f t="shared" si="43"/>
        <v>2</v>
      </c>
      <c r="R728" t="str">
        <f t="shared" si="41"/>
        <v>店铺超链</v>
      </c>
      <c r="S728" t="str">
        <f>_xlfn.XLOOKUP(B728,全店核心数据_bymonth!A:A,全店核心数据_bymonth!AN:AN)</f>
        <v>BU25</v>
      </c>
    </row>
    <row r="729" spans="1:19" x14ac:dyDescent="0.3">
      <c r="A729" t="s">
        <v>110</v>
      </c>
      <c r="B729" s="16">
        <v>45689</v>
      </c>
      <c r="C729" t="s">
        <v>3</v>
      </c>
      <c r="D729" t="s">
        <v>127</v>
      </c>
      <c r="E729" t="s">
        <v>171</v>
      </c>
      <c r="F729">
        <v>1454</v>
      </c>
      <c r="G729">
        <v>985</v>
      </c>
      <c r="H729">
        <v>33</v>
      </c>
      <c r="I729">
        <v>10</v>
      </c>
      <c r="J729">
        <v>48075</v>
      </c>
      <c r="K729">
        <v>9</v>
      </c>
      <c r="L729">
        <v>48075</v>
      </c>
      <c r="M729">
        <v>9</v>
      </c>
      <c r="N729">
        <v>462</v>
      </c>
      <c r="O729">
        <v>1062</v>
      </c>
      <c r="P729">
        <f t="shared" si="42"/>
        <v>2025</v>
      </c>
      <c r="Q729">
        <f t="shared" si="43"/>
        <v>2</v>
      </c>
      <c r="R729" t="str">
        <f t="shared" si="41"/>
        <v>其他猜你喜欢</v>
      </c>
      <c r="S729" t="str">
        <f>_xlfn.XLOOKUP(B729,全店核心数据_bymonth!A:A,全店核心数据_bymonth!AN:AN)</f>
        <v>BU25</v>
      </c>
    </row>
    <row r="730" spans="1:19" x14ac:dyDescent="0.3">
      <c r="A730" t="s">
        <v>110</v>
      </c>
      <c r="B730" s="16">
        <v>45689</v>
      </c>
      <c r="C730" t="s">
        <v>3</v>
      </c>
      <c r="D730" t="s">
        <v>127</v>
      </c>
      <c r="E730" t="s">
        <v>172</v>
      </c>
      <c r="F730">
        <v>110</v>
      </c>
      <c r="G730">
        <v>72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9</v>
      </c>
      <c r="O730">
        <v>67</v>
      </c>
      <c r="P730">
        <f t="shared" si="42"/>
        <v>2025</v>
      </c>
      <c r="Q730">
        <f t="shared" si="43"/>
        <v>2</v>
      </c>
      <c r="R730" t="str">
        <f t="shared" si="41"/>
        <v>购中推荐</v>
      </c>
      <c r="S730" t="str">
        <f>_xlfn.XLOOKUP(B730,全店核心数据_bymonth!A:A,全店核心数据_bymonth!AN:AN)</f>
        <v>BU25</v>
      </c>
    </row>
    <row r="731" spans="1:19" x14ac:dyDescent="0.3">
      <c r="A731" t="s">
        <v>110</v>
      </c>
      <c r="B731" s="16">
        <v>45689</v>
      </c>
      <c r="C731" t="s">
        <v>3</v>
      </c>
      <c r="D731" t="s">
        <v>127</v>
      </c>
      <c r="E731" t="s">
        <v>173</v>
      </c>
      <c r="F731">
        <v>545</v>
      </c>
      <c r="G731">
        <v>407</v>
      </c>
      <c r="H731">
        <v>9</v>
      </c>
      <c r="I731">
        <v>3</v>
      </c>
      <c r="J731">
        <v>0</v>
      </c>
      <c r="K731">
        <v>0</v>
      </c>
      <c r="L731">
        <v>0</v>
      </c>
      <c r="M731">
        <v>0</v>
      </c>
      <c r="N731">
        <v>18</v>
      </c>
      <c r="O731">
        <v>324</v>
      </c>
      <c r="P731">
        <f t="shared" si="42"/>
        <v>2025</v>
      </c>
      <c r="Q731">
        <f t="shared" si="43"/>
        <v>2</v>
      </c>
      <c r="R731" t="str">
        <f t="shared" si="41"/>
        <v>购后推荐</v>
      </c>
      <c r="S731" t="str">
        <f>_xlfn.XLOOKUP(B731,全店核心数据_bymonth!A:A,全店核心数据_bymonth!AN:AN)</f>
        <v>BU25</v>
      </c>
    </row>
    <row r="732" spans="1:19" x14ac:dyDescent="0.3">
      <c r="A732" t="s">
        <v>110</v>
      </c>
      <c r="B732" s="16">
        <v>45689</v>
      </c>
      <c r="C732" t="s">
        <v>3</v>
      </c>
      <c r="D732" t="s">
        <v>127</v>
      </c>
      <c r="E732" t="s">
        <v>174</v>
      </c>
      <c r="F732">
        <v>10020</v>
      </c>
      <c r="G732">
        <v>7735</v>
      </c>
      <c r="H732">
        <v>121</v>
      </c>
      <c r="I732">
        <v>80</v>
      </c>
      <c r="J732">
        <v>189480</v>
      </c>
      <c r="K732">
        <v>20</v>
      </c>
      <c r="L732">
        <v>86970</v>
      </c>
      <c r="M732">
        <v>12</v>
      </c>
      <c r="N732">
        <v>656</v>
      </c>
      <c r="O732">
        <v>10020</v>
      </c>
      <c r="P732">
        <f t="shared" si="42"/>
        <v>2025</v>
      </c>
      <c r="Q732">
        <f t="shared" si="43"/>
        <v>2</v>
      </c>
      <c r="R732" t="str">
        <f t="shared" si="41"/>
        <v>首页推荐-微详情</v>
      </c>
      <c r="S732" t="str">
        <f>_xlfn.XLOOKUP(B732,全店核心数据_bymonth!A:A,全店核心数据_bymonth!AN:AN)</f>
        <v>BU25</v>
      </c>
    </row>
    <row r="733" spans="1:19" x14ac:dyDescent="0.3">
      <c r="A733" t="s">
        <v>110</v>
      </c>
      <c r="B733" s="16">
        <v>45689</v>
      </c>
      <c r="C733" t="s">
        <v>3</v>
      </c>
      <c r="D733" t="s">
        <v>127</v>
      </c>
      <c r="E733" t="s">
        <v>175</v>
      </c>
      <c r="F733">
        <v>396</v>
      </c>
      <c r="G733">
        <v>260</v>
      </c>
      <c r="H733">
        <v>1</v>
      </c>
      <c r="I733">
        <v>0</v>
      </c>
      <c r="J733">
        <v>13950</v>
      </c>
      <c r="K733">
        <v>1</v>
      </c>
      <c r="L733">
        <v>0</v>
      </c>
      <c r="M733">
        <v>0</v>
      </c>
      <c r="N733">
        <v>3</v>
      </c>
      <c r="O733">
        <v>33</v>
      </c>
      <c r="P733">
        <f t="shared" si="42"/>
        <v>2025</v>
      </c>
      <c r="Q733">
        <f t="shared" si="43"/>
        <v>2</v>
      </c>
      <c r="R733" t="str">
        <f t="shared" si="41"/>
        <v>首页推荐-直播</v>
      </c>
      <c r="S733" t="str">
        <f>_xlfn.XLOOKUP(B733,全店核心数据_bymonth!A:A,全店核心数据_bymonth!AN:AN)</f>
        <v>BU25</v>
      </c>
    </row>
    <row r="734" spans="1:19" x14ac:dyDescent="0.3">
      <c r="A734" t="s">
        <v>110</v>
      </c>
      <c r="B734" s="16">
        <v>45689</v>
      </c>
      <c r="C734" t="s">
        <v>3</v>
      </c>
      <c r="D734" t="s">
        <v>127</v>
      </c>
      <c r="E734" t="s">
        <v>176</v>
      </c>
      <c r="F734">
        <v>5275</v>
      </c>
      <c r="G734">
        <v>4504</v>
      </c>
      <c r="H734">
        <v>9</v>
      </c>
      <c r="I734">
        <v>2</v>
      </c>
      <c r="J734">
        <v>31545</v>
      </c>
      <c r="K734">
        <v>4</v>
      </c>
      <c r="L734">
        <v>8350</v>
      </c>
      <c r="M734">
        <v>2</v>
      </c>
      <c r="N734">
        <v>28</v>
      </c>
      <c r="O734">
        <v>211</v>
      </c>
      <c r="P734">
        <f t="shared" si="42"/>
        <v>2025</v>
      </c>
      <c r="Q734">
        <f t="shared" si="43"/>
        <v>2</v>
      </c>
      <c r="R734" t="str">
        <f t="shared" si="41"/>
        <v>首页推荐-短视频</v>
      </c>
      <c r="S734" t="str">
        <f>_xlfn.XLOOKUP(B734,全店核心数据_bymonth!A:A,全店核心数据_bymonth!AN:AN)</f>
        <v>BU25</v>
      </c>
    </row>
    <row r="735" spans="1:19" x14ac:dyDescent="0.3">
      <c r="A735" t="s">
        <v>110</v>
      </c>
      <c r="B735" s="16">
        <v>45689</v>
      </c>
      <c r="C735" t="s">
        <v>3</v>
      </c>
      <c r="D735" t="s">
        <v>128</v>
      </c>
      <c r="E735" t="s">
        <v>177</v>
      </c>
      <c r="F735">
        <v>14324</v>
      </c>
      <c r="G735">
        <v>12819</v>
      </c>
      <c r="H735">
        <v>353</v>
      </c>
      <c r="I735">
        <v>136</v>
      </c>
      <c r="J735">
        <v>405920</v>
      </c>
      <c r="K735">
        <v>60</v>
      </c>
      <c r="L735">
        <v>295215</v>
      </c>
      <c r="M735">
        <v>49</v>
      </c>
      <c r="N735">
        <v>7726</v>
      </c>
      <c r="O735">
        <v>9385</v>
      </c>
      <c r="P735">
        <f t="shared" si="42"/>
        <v>2025</v>
      </c>
      <c r="Q735">
        <f t="shared" si="43"/>
        <v>2</v>
      </c>
      <c r="R735" t="str">
        <f t="shared" si="41"/>
        <v>手淘搜索-商品及其他</v>
      </c>
      <c r="S735" t="str">
        <f>_xlfn.XLOOKUP(B735,全店核心数据_bymonth!A:A,全店核心数据_bymonth!AN:AN)</f>
        <v>BU25</v>
      </c>
    </row>
    <row r="736" spans="1:19" x14ac:dyDescent="0.3">
      <c r="A736" t="s">
        <v>110</v>
      </c>
      <c r="B736" s="16">
        <v>45689</v>
      </c>
      <c r="C736" t="s">
        <v>3</v>
      </c>
      <c r="D736" t="s">
        <v>128</v>
      </c>
      <c r="E736" t="s">
        <v>178</v>
      </c>
      <c r="F736">
        <v>7</v>
      </c>
      <c r="G736">
        <v>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1</v>
      </c>
      <c r="O736">
        <v>6</v>
      </c>
      <c r="P736">
        <f t="shared" si="42"/>
        <v>2025</v>
      </c>
      <c r="Q736">
        <f t="shared" si="43"/>
        <v>2</v>
      </c>
      <c r="R736" t="str">
        <f t="shared" si="41"/>
        <v>手淘搜索-直播</v>
      </c>
      <c r="S736" t="str">
        <f>_xlfn.XLOOKUP(B736,全店核心数据_bymonth!A:A,全店核心数据_bymonth!AN:AN)</f>
        <v>BU25</v>
      </c>
    </row>
    <row r="737" spans="1:19" x14ac:dyDescent="0.3">
      <c r="A737" t="s">
        <v>110</v>
      </c>
      <c r="B737" s="16">
        <v>45689</v>
      </c>
      <c r="C737" t="s">
        <v>3</v>
      </c>
      <c r="D737" t="s">
        <v>128</v>
      </c>
      <c r="E737" t="s">
        <v>179</v>
      </c>
      <c r="F737">
        <v>279</v>
      </c>
      <c r="G737">
        <v>205</v>
      </c>
      <c r="H737">
        <v>5</v>
      </c>
      <c r="I737">
        <v>1</v>
      </c>
      <c r="J737">
        <v>2995</v>
      </c>
      <c r="K737">
        <v>1</v>
      </c>
      <c r="L737">
        <v>2995</v>
      </c>
      <c r="M737">
        <v>1</v>
      </c>
      <c r="N737">
        <v>25</v>
      </c>
      <c r="O737">
        <v>258</v>
      </c>
      <c r="P737">
        <f t="shared" si="42"/>
        <v>2025</v>
      </c>
      <c r="Q737">
        <f t="shared" si="43"/>
        <v>2</v>
      </c>
      <c r="R737" t="str">
        <f t="shared" si="41"/>
        <v>手淘搜索-短视频</v>
      </c>
      <c r="S737" t="str">
        <f>_xlfn.XLOOKUP(B737,全店核心数据_bymonth!A:A,全店核心数据_bymonth!AN:AN)</f>
        <v>BU25</v>
      </c>
    </row>
    <row r="738" spans="1:19" x14ac:dyDescent="0.3">
      <c r="A738" t="s">
        <v>110</v>
      </c>
      <c r="B738" s="16">
        <v>45689</v>
      </c>
      <c r="C738" t="s">
        <v>3</v>
      </c>
      <c r="D738" t="s">
        <v>143</v>
      </c>
      <c r="E738" t="s">
        <v>180</v>
      </c>
      <c r="F738">
        <v>162</v>
      </c>
      <c r="G738">
        <v>141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6</v>
      </c>
      <c r="O738">
        <v>161</v>
      </c>
      <c r="P738">
        <f t="shared" si="42"/>
        <v>2025</v>
      </c>
      <c r="Q738">
        <f t="shared" si="43"/>
        <v>2</v>
      </c>
      <c r="R738" t="str">
        <f t="shared" si="41"/>
        <v>淘特其他渠道</v>
      </c>
      <c r="S738" t="str">
        <f>_xlfn.XLOOKUP(B738,全店核心数据_bymonth!A:A,全店核心数据_bymonth!AN:AN)</f>
        <v>BU25</v>
      </c>
    </row>
    <row r="739" spans="1:19" x14ac:dyDescent="0.3">
      <c r="A739" t="s">
        <v>110</v>
      </c>
      <c r="B739" s="16">
        <v>45689</v>
      </c>
      <c r="C739" t="s">
        <v>3</v>
      </c>
      <c r="D739" t="s">
        <v>143</v>
      </c>
      <c r="E739" t="s">
        <v>181</v>
      </c>
      <c r="F739">
        <v>693</v>
      </c>
      <c r="G739">
        <v>685</v>
      </c>
      <c r="H739">
        <v>3</v>
      </c>
      <c r="I739">
        <v>3</v>
      </c>
      <c r="J739">
        <v>4695</v>
      </c>
      <c r="K739">
        <v>1</v>
      </c>
      <c r="L739">
        <v>0</v>
      </c>
      <c r="M739">
        <v>0</v>
      </c>
      <c r="N739">
        <v>0</v>
      </c>
      <c r="O739">
        <v>693</v>
      </c>
      <c r="P739">
        <f t="shared" si="42"/>
        <v>2025</v>
      </c>
      <c r="Q739">
        <f t="shared" si="43"/>
        <v>2</v>
      </c>
      <c r="R739" t="str">
        <f t="shared" si="41"/>
        <v>淘特搜索</v>
      </c>
      <c r="S739" t="str">
        <f>_xlfn.XLOOKUP(B739,全店核心数据_bymonth!A:A,全店核心数据_bymonth!AN:AN)</f>
        <v>BU25</v>
      </c>
    </row>
    <row r="740" spans="1:19" x14ac:dyDescent="0.3">
      <c r="A740" t="s">
        <v>110</v>
      </c>
      <c r="B740" s="16">
        <v>45689</v>
      </c>
      <c r="C740" t="s">
        <v>3</v>
      </c>
      <c r="D740" t="s">
        <v>143</v>
      </c>
      <c r="E740" t="s">
        <v>224</v>
      </c>
      <c r="F740">
        <v>7</v>
      </c>
      <c r="G740">
        <v>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7</v>
      </c>
      <c r="P740">
        <f t="shared" si="42"/>
        <v>2025</v>
      </c>
      <c r="Q740">
        <f t="shared" si="43"/>
        <v>2</v>
      </c>
      <c r="R740" t="str">
        <f t="shared" si="41"/>
        <v>淘特自主访问</v>
      </c>
      <c r="S740" t="str">
        <f>_xlfn.XLOOKUP(B740,全店核心数据_bymonth!A:A,全店核心数据_bymonth!AN:AN)</f>
        <v>BU25</v>
      </c>
    </row>
    <row r="741" spans="1:19" x14ac:dyDescent="0.3">
      <c r="A741" t="s">
        <v>110</v>
      </c>
      <c r="B741" s="16">
        <v>45689</v>
      </c>
      <c r="C741" t="s">
        <v>2</v>
      </c>
      <c r="D741" t="s">
        <v>55</v>
      </c>
      <c r="E741" t="s">
        <v>54</v>
      </c>
      <c r="F741">
        <v>4343</v>
      </c>
      <c r="G741">
        <v>3638</v>
      </c>
      <c r="H741">
        <v>15</v>
      </c>
      <c r="I741">
        <v>3</v>
      </c>
      <c r="J741">
        <v>0</v>
      </c>
      <c r="K741">
        <v>0</v>
      </c>
      <c r="L741">
        <v>0</v>
      </c>
      <c r="M741">
        <v>0</v>
      </c>
      <c r="N741">
        <v>104</v>
      </c>
      <c r="O741">
        <v>928</v>
      </c>
      <c r="P741">
        <f t="shared" si="42"/>
        <v>2025</v>
      </c>
      <c r="Q741">
        <f t="shared" si="43"/>
        <v>2</v>
      </c>
      <c r="R741" t="str">
        <f t="shared" si="41"/>
        <v>超级直播</v>
      </c>
      <c r="S741" t="str">
        <f>_xlfn.XLOOKUP(B741,全店核心数据_bymonth!A:A,全店核心数据_bymonth!AN:AN)</f>
        <v>BU25</v>
      </c>
    </row>
    <row r="742" spans="1:19" x14ac:dyDescent="0.3">
      <c r="A742" t="s">
        <v>110</v>
      </c>
      <c r="B742" s="16">
        <v>45689</v>
      </c>
      <c r="C742" t="s">
        <v>2</v>
      </c>
      <c r="D742" t="s">
        <v>55</v>
      </c>
      <c r="E742" t="s">
        <v>56</v>
      </c>
      <c r="F742">
        <v>2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</v>
      </c>
      <c r="P742">
        <f t="shared" si="42"/>
        <v>2025</v>
      </c>
      <c r="Q742">
        <f t="shared" si="43"/>
        <v>2</v>
      </c>
      <c r="R742" t="str">
        <f t="shared" si="41"/>
        <v>超级短视频</v>
      </c>
      <c r="S742" t="str">
        <f>_xlfn.XLOOKUP(B742,全店核心数据_bymonth!A:A,全店核心数据_bymonth!AN:AN)</f>
        <v>BU25</v>
      </c>
    </row>
    <row r="743" spans="1:19" x14ac:dyDescent="0.3">
      <c r="A743" t="s">
        <v>110</v>
      </c>
      <c r="B743" s="16">
        <v>45689</v>
      </c>
      <c r="C743" t="s">
        <v>2</v>
      </c>
      <c r="D743" t="s">
        <v>52</v>
      </c>
      <c r="E743" t="s">
        <v>51</v>
      </c>
      <c r="F743">
        <v>2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</v>
      </c>
      <c r="P743">
        <f t="shared" si="42"/>
        <v>2025</v>
      </c>
      <c r="Q743">
        <f t="shared" si="43"/>
        <v>2</v>
      </c>
      <c r="R743" t="str">
        <f t="shared" si="41"/>
        <v>品牌定制</v>
      </c>
      <c r="S743" t="str">
        <f>_xlfn.XLOOKUP(B743,全店核心数据_bymonth!A:A,全店核心数据_bymonth!AN:AN)</f>
        <v>BU25</v>
      </c>
    </row>
    <row r="744" spans="1:19" x14ac:dyDescent="0.3">
      <c r="A744" t="s">
        <v>110</v>
      </c>
      <c r="B744" s="16">
        <v>45689</v>
      </c>
      <c r="C744" t="s">
        <v>2</v>
      </c>
      <c r="D744" t="s">
        <v>52</v>
      </c>
      <c r="E744" t="s">
        <v>183</v>
      </c>
      <c r="F744">
        <v>3</v>
      </c>
      <c r="G744">
        <v>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3</v>
      </c>
      <c r="O744">
        <v>0</v>
      </c>
      <c r="P744">
        <f t="shared" si="42"/>
        <v>2025</v>
      </c>
      <c r="Q744">
        <f t="shared" si="43"/>
        <v>2</v>
      </c>
      <c r="R744" t="str">
        <f t="shared" si="41"/>
        <v>品销宝-品牌专区</v>
      </c>
      <c r="S744" t="str">
        <f>_xlfn.XLOOKUP(B744,全店核心数据_bymonth!A:A,全店核心数据_bymonth!AN:AN)</f>
        <v>BU25</v>
      </c>
    </row>
    <row r="745" spans="1:19" x14ac:dyDescent="0.3">
      <c r="A745" t="s">
        <v>110</v>
      </c>
      <c r="B745" s="16">
        <v>45689</v>
      </c>
      <c r="C745" t="s">
        <v>2</v>
      </c>
      <c r="D745" t="s">
        <v>52</v>
      </c>
      <c r="E745" t="s">
        <v>58</v>
      </c>
      <c r="F745">
        <v>1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f t="shared" si="42"/>
        <v>2025</v>
      </c>
      <c r="Q745">
        <f t="shared" si="43"/>
        <v>2</v>
      </c>
      <c r="R745" t="str">
        <f t="shared" si="41"/>
        <v>超级全域通</v>
      </c>
      <c r="S745" t="str">
        <f>_xlfn.XLOOKUP(B745,全店核心数据_bymonth!A:A,全店核心数据_bymonth!AN:AN)</f>
        <v>BU25</v>
      </c>
    </row>
    <row r="746" spans="1:19" x14ac:dyDescent="0.3">
      <c r="A746" t="s">
        <v>110</v>
      </c>
      <c r="B746" s="16">
        <v>45689</v>
      </c>
      <c r="C746" t="s">
        <v>2</v>
      </c>
      <c r="D746" t="s">
        <v>57</v>
      </c>
      <c r="E746" t="s">
        <v>64</v>
      </c>
      <c r="F746">
        <v>119972</v>
      </c>
      <c r="G746">
        <v>108855</v>
      </c>
      <c r="H746">
        <v>667</v>
      </c>
      <c r="I746">
        <v>487</v>
      </c>
      <c r="J746">
        <v>670625</v>
      </c>
      <c r="K746">
        <v>78</v>
      </c>
      <c r="L746">
        <v>308785</v>
      </c>
      <c r="M746">
        <v>47</v>
      </c>
      <c r="N746">
        <v>4209</v>
      </c>
      <c r="O746">
        <v>119967</v>
      </c>
      <c r="P746">
        <f t="shared" si="42"/>
        <v>2025</v>
      </c>
      <c r="Q746">
        <f t="shared" si="43"/>
        <v>2</v>
      </c>
      <c r="R746" t="str">
        <f t="shared" si="41"/>
        <v>引力魔方</v>
      </c>
      <c r="S746" t="str">
        <f>_xlfn.XLOOKUP(B746,全店核心数据_bymonth!A:A,全店核心数据_bymonth!AN:AN)</f>
        <v>BU25</v>
      </c>
    </row>
    <row r="747" spans="1:19" x14ac:dyDescent="0.3">
      <c r="A747" t="s">
        <v>110</v>
      </c>
      <c r="B747" s="16">
        <v>45689</v>
      </c>
      <c r="C747" t="s">
        <v>2</v>
      </c>
      <c r="D747" t="s">
        <v>57</v>
      </c>
      <c r="E747" t="s">
        <v>65</v>
      </c>
      <c r="F747">
        <v>67111</v>
      </c>
      <c r="G747">
        <v>63192</v>
      </c>
      <c r="H747">
        <v>599</v>
      </c>
      <c r="I747">
        <v>358</v>
      </c>
      <c r="J747">
        <v>711450</v>
      </c>
      <c r="K747">
        <v>74</v>
      </c>
      <c r="L747">
        <v>270295</v>
      </c>
      <c r="M747">
        <v>41</v>
      </c>
      <c r="N747">
        <v>5500</v>
      </c>
      <c r="O747">
        <v>66313</v>
      </c>
      <c r="P747">
        <f t="shared" si="42"/>
        <v>2025</v>
      </c>
      <c r="Q747">
        <f t="shared" si="43"/>
        <v>2</v>
      </c>
      <c r="R747" t="str">
        <f t="shared" si="41"/>
        <v>直通车</v>
      </c>
      <c r="S747" t="str">
        <f>_xlfn.XLOOKUP(B747,全店核心数据_bymonth!A:A,全店核心数据_bymonth!AN:AN)</f>
        <v>BU25</v>
      </c>
    </row>
    <row r="748" spans="1:19" x14ac:dyDescent="0.3">
      <c r="A748" t="s">
        <v>110</v>
      </c>
      <c r="B748" s="16">
        <v>45689</v>
      </c>
      <c r="C748" t="s">
        <v>2</v>
      </c>
      <c r="D748" t="s">
        <v>57</v>
      </c>
      <c r="E748" t="s">
        <v>63</v>
      </c>
      <c r="F748">
        <v>82330</v>
      </c>
      <c r="G748">
        <v>73670</v>
      </c>
      <c r="H748">
        <v>829</v>
      </c>
      <c r="I748">
        <v>696</v>
      </c>
      <c r="J748">
        <v>610790</v>
      </c>
      <c r="K748">
        <v>88</v>
      </c>
      <c r="L748">
        <v>356030</v>
      </c>
      <c r="M748">
        <v>56</v>
      </c>
      <c r="N748">
        <v>17870</v>
      </c>
      <c r="O748">
        <v>75225</v>
      </c>
      <c r="P748">
        <f t="shared" si="42"/>
        <v>2025</v>
      </c>
      <c r="Q748">
        <f t="shared" si="43"/>
        <v>2</v>
      </c>
      <c r="R748" t="str">
        <f t="shared" si="41"/>
        <v>万相台</v>
      </c>
      <c r="S748" t="str">
        <f>_xlfn.XLOOKUP(B748,全店核心数据_bymonth!A:A,全店核心数据_bymonth!AN:AN)</f>
        <v>BU25</v>
      </c>
    </row>
    <row r="749" spans="1:19" x14ac:dyDescent="0.3">
      <c r="A749" t="s">
        <v>110</v>
      </c>
      <c r="B749" s="16">
        <v>45689</v>
      </c>
      <c r="C749" t="s">
        <v>2</v>
      </c>
      <c r="D749" t="s">
        <v>4</v>
      </c>
      <c r="E749" t="s">
        <v>42</v>
      </c>
      <c r="F749">
        <v>1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f t="shared" si="42"/>
        <v>2025</v>
      </c>
      <c r="Q749">
        <f t="shared" si="43"/>
        <v>2</v>
      </c>
      <c r="R749" t="str">
        <f t="shared" si="41"/>
        <v>UD效果投放</v>
      </c>
      <c r="S749" t="str">
        <f>_xlfn.XLOOKUP(B749,全店核心数据_bymonth!A:A,全店核心数据_bymonth!AN:AN)</f>
        <v>BU25</v>
      </c>
    </row>
    <row r="750" spans="1:19" x14ac:dyDescent="0.3">
      <c r="A750" t="s">
        <v>110</v>
      </c>
      <c r="B750" s="16">
        <v>45689</v>
      </c>
      <c r="C750" t="s">
        <v>2</v>
      </c>
      <c r="D750" t="s">
        <v>4</v>
      </c>
      <c r="E750" t="s">
        <v>41</v>
      </c>
      <c r="F750">
        <v>15</v>
      </c>
      <c r="G750">
        <v>11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5</v>
      </c>
      <c r="O750">
        <v>11</v>
      </c>
      <c r="P750">
        <f t="shared" si="42"/>
        <v>2025</v>
      </c>
      <c r="Q750">
        <f t="shared" si="43"/>
        <v>2</v>
      </c>
      <c r="R750" t="str">
        <f t="shared" si="41"/>
        <v>流量宝</v>
      </c>
      <c r="S750" t="str">
        <f>_xlfn.XLOOKUP(B750,全店核心数据_bymonth!A:A,全店核心数据_bymonth!AN:AN)</f>
        <v>BU25</v>
      </c>
    </row>
    <row r="751" spans="1:19" x14ac:dyDescent="0.3">
      <c r="A751" t="s">
        <v>110</v>
      </c>
      <c r="B751" s="16">
        <v>45689</v>
      </c>
      <c r="C751" t="s">
        <v>2</v>
      </c>
      <c r="D751" t="s">
        <v>4</v>
      </c>
      <c r="E751" t="s">
        <v>43</v>
      </c>
      <c r="F751">
        <v>7995</v>
      </c>
      <c r="G751">
        <v>4246</v>
      </c>
      <c r="H751">
        <v>18</v>
      </c>
      <c r="I751">
        <v>4</v>
      </c>
      <c r="J751">
        <v>95550</v>
      </c>
      <c r="K751">
        <v>10</v>
      </c>
      <c r="L751">
        <v>82600</v>
      </c>
      <c r="M751">
        <v>9</v>
      </c>
      <c r="N751">
        <v>60</v>
      </c>
      <c r="O751">
        <v>7977</v>
      </c>
      <c r="P751">
        <f t="shared" si="42"/>
        <v>2025</v>
      </c>
      <c r="Q751">
        <f t="shared" si="43"/>
        <v>2</v>
      </c>
      <c r="R751" t="str">
        <f t="shared" si="41"/>
        <v>淘宝客</v>
      </c>
      <c r="S751" t="str">
        <f>_xlfn.XLOOKUP(B751,全店核心数据_bymonth!A:A,全店核心数据_bymonth!AN:AN)</f>
        <v>BU25</v>
      </c>
    </row>
    <row r="752" spans="1:19" x14ac:dyDescent="0.3">
      <c r="A752" t="s">
        <v>110</v>
      </c>
      <c r="B752" s="16">
        <v>45323</v>
      </c>
      <c r="C752" t="s">
        <v>3</v>
      </c>
      <c r="D752" t="s">
        <v>114</v>
      </c>
      <c r="E752" t="s">
        <v>159</v>
      </c>
      <c r="F752">
        <v>24</v>
      </c>
      <c r="G752">
        <v>16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O752">
        <v>20</v>
      </c>
      <c r="P752">
        <f t="shared" si="42"/>
        <v>2024</v>
      </c>
      <c r="Q752">
        <f t="shared" si="43"/>
        <v>2</v>
      </c>
      <c r="R752" t="str">
        <f t="shared" si="41"/>
        <v>主会场</v>
      </c>
      <c r="S752" t="str">
        <f>_xlfn.XLOOKUP(B752,全店核心数据_bymonth!A:A,全店核心数据_bymonth!AN:AN)</f>
        <v>BU24</v>
      </c>
    </row>
    <row r="753" spans="1:19" x14ac:dyDescent="0.3">
      <c r="A753" t="s">
        <v>110</v>
      </c>
      <c r="B753" s="16">
        <v>45323</v>
      </c>
      <c r="C753" t="s">
        <v>3</v>
      </c>
      <c r="D753" t="s">
        <v>114</v>
      </c>
      <c r="E753" t="s">
        <v>160</v>
      </c>
      <c r="F753">
        <v>2</v>
      </c>
      <c r="G753">
        <v>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O753">
        <v>2</v>
      </c>
      <c r="P753">
        <f t="shared" si="42"/>
        <v>2024</v>
      </c>
      <c r="Q753">
        <f t="shared" si="43"/>
        <v>2</v>
      </c>
      <c r="R753" t="str">
        <f t="shared" si="41"/>
        <v>榜单会场</v>
      </c>
      <c r="S753" t="str">
        <f>_xlfn.XLOOKUP(B753,全店核心数据_bymonth!A:A,全店核心数据_bymonth!AN:AN)</f>
        <v>BU24</v>
      </c>
    </row>
    <row r="754" spans="1:19" x14ac:dyDescent="0.3">
      <c r="A754" t="s">
        <v>110</v>
      </c>
      <c r="B754" s="16">
        <v>45323</v>
      </c>
      <c r="C754" t="s">
        <v>3</v>
      </c>
      <c r="D754" t="s">
        <v>185</v>
      </c>
      <c r="E754" t="s">
        <v>190</v>
      </c>
      <c r="F754">
        <v>38</v>
      </c>
      <c r="G754">
        <v>38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O754">
        <v>38</v>
      </c>
      <c r="P754">
        <f t="shared" si="42"/>
        <v>2024</v>
      </c>
      <c r="Q754">
        <f t="shared" si="43"/>
        <v>2</v>
      </c>
      <c r="R754" t="str">
        <f t="shared" si="41"/>
        <v>超级惊喜站</v>
      </c>
      <c r="S754" t="str">
        <f>_xlfn.XLOOKUP(B754,全店核心数据_bymonth!A:A,全店核心数据_bymonth!AN:AN)</f>
        <v>BU24</v>
      </c>
    </row>
    <row r="755" spans="1:19" x14ac:dyDescent="0.3">
      <c r="A755" t="s">
        <v>110</v>
      </c>
      <c r="B755" s="16">
        <v>45323</v>
      </c>
      <c r="C755" t="s">
        <v>3</v>
      </c>
      <c r="D755" t="s">
        <v>117</v>
      </c>
      <c r="E755" t="s">
        <v>161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O755">
        <v>1</v>
      </c>
      <c r="P755">
        <f t="shared" si="42"/>
        <v>2024</v>
      </c>
      <c r="Q755">
        <f t="shared" si="43"/>
        <v>2</v>
      </c>
      <c r="R755" t="str">
        <f t="shared" si="41"/>
        <v>其他入口榜单</v>
      </c>
      <c r="S755" t="str">
        <f>_xlfn.XLOOKUP(B755,全店核心数据_bymonth!A:A,全店核心数据_bymonth!AN:AN)</f>
        <v>BU24</v>
      </c>
    </row>
    <row r="756" spans="1:19" x14ac:dyDescent="0.3">
      <c r="A756" t="s">
        <v>110</v>
      </c>
      <c r="B756" s="16">
        <v>45323</v>
      </c>
      <c r="C756" t="s">
        <v>3</v>
      </c>
      <c r="D756" t="s">
        <v>117</v>
      </c>
      <c r="E756" t="s">
        <v>191</v>
      </c>
      <c r="F756">
        <v>6</v>
      </c>
      <c r="G756">
        <v>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O756">
        <v>6</v>
      </c>
      <c r="P756">
        <f t="shared" si="42"/>
        <v>2024</v>
      </c>
      <c r="Q756">
        <f t="shared" si="43"/>
        <v>2</v>
      </c>
      <c r="R756" t="str">
        <f t="shared" si="41"/>
        <v>商品详情页入口榜单</v>
      </c>
      <c r="S756" t="str">
        <f>_xlfn.XLOOKUP(B756,全店核心数据_bymonth!A:A,全店核心数据_bymonth!AN:AN)</f>
        <v>BU24</v>
      </c>
    </row>
    <row r="757" spans="1:19" x14ac:dyDescent="0.3">
      <c r="A757" t="s">
        <v>110</v>
      </c>
      <c r="B757" s="16">
        <v>45323</v>
      </c>
      <c r="C757" t="s">
        <v>3</v>
      </c>
      <c r="D757" t="s">
        <v>117</v>
      </c>
      <c r="E757" t="s">
        <v>195</v>
      </c>
      <c r="F757">
        <v>3</v>
      </c>
      <c r="G757">
        <v>3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O757">
        <v>3</v>
      </c>
      <c r="P757">
        <f t="shared" si="42"/>
        <v>2024</v>
      </c>
      <c r="Q757">
        <f t="shared" si="43"/>
        <v>2</v>
      </c>
      <c r="R757" t="str">
        <f t="shared" si="41"/>
        <v>搜索入口榜单</v>
      </c>
      <c r="S757" t="str">
        <f>_xlfn.XLOOKUP(B757,全店核心数据_bymonth!A:A,全店核心数据_bymonth!AN:AN)</f>
        <v>BU24</v>
      </c>
    </row>
    <row r="758" spans="1:19" x14ac:dyDescent="0.3">
      <c r="A758" t="s">
        <v>110</v>
      </c>
      <c r="B758" s="16">
        <v>45323</v>
      </c>
      <c r="C758" t="s">
        <v>3</v>
      </c>
      <c r="D758" t="s">
        <v>120</v>
      </c>
      <c r="E758" t="s">
        <v>162</v>
      </c>
      <c r="F758">
        <v>17</v>
      </c>
      <c r="G758">
        <v>17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O758">
        <v>5</v>
      </c>
      <c r="P758">
        <f t="shared" si="42"/>
        <v>2024</v>
      </c>
      <c r="Q758">
        <f t="shared" si="43"/>
        <v>2</v>
      </c>
      <c r="R758" t="str">
        <f t="shared" si="41"/>
        <v>手机浏览器访问天猫</v>
      </c>
      <c r="S758" t="str">
        <f>_xlfn.XLOOKUP(B758,全店核心数据_bymonth!A:A,全店核心数据_bymonth!AN:AN)</f>
        <v>BU24</v>
      </c>
    </row>
    <row r="759" spans="1:19" x14ac:dyDescent="0.3">
      <c r="A759" t="s">
        <v>110</v>
      </c>
      <c r="B759" s="16">
        <v>45323</v>
      </c>
      <c r="C759" t="s">
        <v>3</v>
      </c>
      <c r="D759" t="s">
        <v>120</v>
      </c>
      <c r="E759" t="s">
        <v>163</v>
      </c>
      <c r="F759">
        <v>779</v>
      </c>
      <c r="G759">
        <v>571</v>
      </c>
      <c r="H759">
        <v>25</v>
      </c>
      <c r="I759">
        <v>0</v>
      </c>
      <c r="J759">
        <v>50020</v>
      </c>
      <c r="K759">
        <v>6</v>
      </c>
      <c r="L759">
        <v>40625</v>
      </c>
      <c r="M759">
        <v>6</v>
      </c>
      <c r="O759">
        <v>733</v>
      </c>
      <c r="P759">
        <f t="shared" si="42"/>
        <v>2024</v>
      </c>
      <c r="Q759">
        <f t="shared" si="43"/>
        <v>2</v>
      </c>
      <c r="R759" t="str">
        <f t="shared" si="41"/>
        <v>手猫免费其他</v>
      </c>
      <c r="S759" t="str">
        <f>_xlfn.XLOOKUP(B759,全店核心数据_bymonth!A:A,全店核心数据_bymonth!AN:AN)</f>
        <v>BU24</v>
      </c>
    </row>
    <row r="760" spans="1:19" x14ac:dyDescent="0.3">
      <c r="A760" t="s">
        <v>110</v>
      </c>
      <c r="B760" s="16">
        <v>45323</v>
      </c>
      <c r="C760" t="s">
        <v>3</v>
      </c>
      <c r="D760" t="s">
        <v>120</v>
      </c>
      <c r="E760" t="s">
        <v>164</v>
      </c>
      <c r="F760">
        <v>93</v>
      </c>
      <c r="G760">
        <v>70</v>
      </c>
      <c r="H760">
        <v>5</v>
      </c>
      <c r="I760">
        <v>0</v>
      </c>
      <c r="J760">
        <v>3795</v>
      </c>
      <c r="K760">
        <v>1</v>
      </c>
      <c r="L760">
        <v>3795</v>
      </c>
      <c r="M760">
        <v>1</v>
      </c>
      <c r="O760">
        <v>93</v>
      </c>
      <c r="P760">
        <f t="shared" si="42"/>
        <v>2024</v>
      </c>
      <c r="Q760">
        <f t="shared" si="43"/>
        <v>2</v>
      </c>
      <c r="R760" t="str">
        <f t="shared" si="41"/>
        <v>手猫其他店铺</v>
      </c>
      <c r="S760" t="str">
        <f>_xlfn.XLOOKUP(B760,全店核心数据_bymonth!A:A,全店核心数据_bymonth!AN:AN)</f>
        <v>BU24</v>
      </c>
    </row>
    <row r="761" spans="1:19" x14ac:dyDescent="0.3">
      <c r="A761" t="s">
        <v>110</v>
      </c>
      <c r="B761" s="16">
        <v>45323</v>
      </c>
      <c r="C761" t="s">
        <v>3</v>
      </c>
      <c r="D761" t="s">
        <v>120</v>
      </c>
      <c r="E761" t="s">
        <v>165</v>
      </c>
      <c r="F761">
        <v>307</v>
      </c>
      <c r="G761">
        <v>202</v>
      </c>
      <c r="H761">
        <v>4</v>
      </c>
      <c r="I761">
        <v>0</v>
      </c>
      <c r="J761">
        <v>5450</v>
      </c>
      <c r="K761">
        <v>1</v>
      </c>
      <c r="L761">
        <v>5450</v>
      </c>
      <c r="M761">
        <v>1</v>
      </c>
      <c r="O761">
        <v>294</v>
      </c>
      <c r="P761">
        <f t="shared" si="42"/>
        <v>2024</v>
      </c>
      <c r="Q761">
        <f t="shared" si="43"/>
        <v>2</v>
      </c>
      <c r="R761" t="str">
        <f t="shared" si="41"/>
        <v>手猫商品详情</v>
      </c>
      <c r="S761" t="str">
        <f>_xlfn.XLOOKUP(B761,全店核心数据_bymonth!A:A,全店核心数据_bymonth!AN:AN)</f>
        <v>BU24</v>
      </c>
    </row>
    <row r="762" spans="1:19" x14ac:dyDescent="0.3">
      <c r="A762" t="s">
        <v>110</v>
      </c>
      <c r="B762" s="16">
        <v>45323</v>
      </c>
      <c r="C762" t="s">
        <v>3</v>
      </c>
      <c r="D762" t="s">
        <v>120</v>
      </c>
      <c r="E762" t="s">
        <v>166</v>
      </c>
      <c r="F762">
        <v>747</v>
      </c>
      <c r="G762">
        <v>662</v>
      </c>
      <c r="H762">
        <v>10</v>
      </c>
      <c r="I762">
        <v>0</v>
      </c>
      <c r="J762">
        <v>5450</v>
      </c>
      <c r="K762">
        <v>1</v>
      </c>
      <c r="L762">
        <v>5450</v>
      </c>
      <c r="M762">
        <v>1</v>
      </c>
      <c r="O762">
        <v>571</v>
      </c>
      <c r="P762">
        <f t="shared" si="42"/>
        <v>2024</v>
      </c>
      <c r="Q762">
        <f t="shared" si="43"/>
        <v>2</v>
      </c>
      <c r="R762" t="str">
        <f t="shared" si="41"/>
        <v>手猫搜索</v>
      </c>
      <c r="S762" t="str">
        <f>_xlfn.XLOOKUP(B762,全店核心数据_bymonth!A:A,全店核心数据_bymonth!AN:AN)</f>
        <v>BU24</v>
      </c>
    </row>
    <row r="763" spans="1:19" x14ac:dyDescent="0.3">
      <c r="A763" t="s">
        <v>110</v>
      </c>
      <c r="B763" s="16">
        <v>45323</v>
      </c>
      <c r="C763" t="s">
        <v>3</v>
      </c>
      <c r="D763" t="s">
        <v>120</v>
      </c>
      <c r="E763" t="s">
        <v>167</v>
      </c>
      <c r="F763">
        <v>8</v>
      </c>
      <c r="G763">
        <v>3</v>
      </c>
      <c r="H763">
        <v>1</v>
      </c>
      <c r="I763">
        <v>0</v>
      </c>
      <c r="J763">
        <v>22585</v>
      </c>
      <c r="K763">
        <v>2</v>
      </c>
      <c r="L763">
        <v>13190</v>
      </c>
      <c r="M763">
        <v>2</v>
      </c>
      <c r="O763">
        <v>8</v>
      </c>
      <c r="P763">
        <f t="shared" si="42"/>
        <v>2024</v>
      </c>
      <c r="Q763">
        <f t="shared" si="43"/>
        <v>2</v>
      </c>
      <c r="R763" t="str">
        <f t="shared" si="41"/>
        <v>手猫旺信聊天</v>
      </c>
      <c r="S763" t="str">
        <f>_xlfn.XLOOKUP(B763,全店核心数据_bymonth!A:A,全店核心数据_bymonth!AN:AN)</f>
        <v>BU24</v>
      </c>
    </row>
    <row r="764" spans="1:19" x14ac:dyDescent="0.3">
      <c r="A764" t="s">
        <v>110</v>
      </c>
      <c r="B764" s="16">
        <v>45323</v>
      </c>
      <c r="C764" t="s">
        <v>3</v>
      </c>
      <c r="D764" t="s">
        <v>120</v>
      </c>
      <c r="E764" t="s">
        <v>168</v>
      </c>
      <c r="F764">
        <v>3028</v>
      </c>
      <c r="G764">
        <v>2611</v>
      </c>
      <c r="H764">
        <v>10</v>
      </c>
      <c r="I764">
        <v>0</v>
      </c>
      <c r="J764">
        <v>18495</v>
      </c>
      <c r="K764">
        <v>2</v>
      </c>
      <c r="L764">
        <v>18495</v>
      </c>
      <c r="M764">
        <v>2</v>
      </c>
      <c r="O764">
        <v>3028</v>
      </c>
      <c r="P764">
        <f t="shared" si="42"/>
        <v>2024</v>
      </c>
      <c r="Q764">
        <f t="shared" si="43"/>
        <v>2</v>
      </c>
      <c r="R764" t="str">
        <f t="shared" si="41"/>
        <v>手猫首页</v>
      </c>
      <c r="S764" t="str">
        <f>_xlfn.XLOOKUP(B764,全店核心数据_bymonth!A:A,全店核心数据_bymonth!AN:AN)</f>
        <v>BU24</v>
      </c>
    </row>
    <row r="765" spans="1:19" x14ac:dyDescent="0.3">
      <c r="A765" t="s">
        <v>110</v>
      </c>
      <c r="B765" s="16">
        <v>45323</v>
      </c>
      <c r="C765" t="s">
        <v>3</v>
      </c>
      <c r="D765" t="s">
        <v>123</v>
      </c>
      <c r="E765" t="s">
        <v>169</v>
      </c>
      <c r="F765">
        <v>623</v>
      </c>
      <c r="G765">
        <v>356</v>
      </c>
      <c r="H765">
        <v>19</v>
      </c>
      <c r="I765">
        <v>8</v>
      </c>
      <c r="J765">
        <v>12140</v>
      </c>
      <c r="K765">
        <v>2</v>
      </c>
      <c r="L765">
        <v>12140</v>
      </c>
      <c r="M765">
        <v>2</v>
      </c>
      <c r="O765">
        <v>581</v>
      </c>
      <c r="P765">
        <f t="shared" si="42"/>
        <v>2024</v>
      </c>
      <c r="Q765">
        <f t="shared" si="43"/>
        <v>2</v>
      </c>
      <c r="R765" t="str">
        <f t="shared" si="41"/>
        <v>商品详情页头图推荐</v>
      </c>
      <c r="S765" t="str">
        <f>_xlfn.XLOOKUP(B765,全店核心数据_bymonth!A:A,全店核心数据_bymonth!AN:AN)</f>
        <v>BU24</v>
      </c>
    </row>
    <row r="766" spans="1:19" x14ac:dyDescent="0.3">
      <c r="A766" t="s">
        <v>110</v>
      </c>
      <c r="B766" s="16">
        <v>45323</v>
      </c>
      <c r="C766" t="s">
        <v>3</v>
      </c>
      <c r="D766" t="s">
        <v>123</v>
      </c>
      <c r="E766" t="s">
        <v>170</v>
      </c>
      <c r="F766">
        <v>349</v>
      </c>
      <c r="G766">
        <v>277</v>
      </c>
      <c r="H766">
        <v>3</v>
      </c>
      <c r="I766">
        <v>5</v>
      </c>
      <c r="J766">
        <v>35495</v>
      </c>
      <c r="K766">
        <v>2</v>
      </c>
      <c r="L766">
        <v>4995</v>
      </c>
      <c r="M766">
        <v>1</v>
      </c>
      <c r="O766">
        <v>126</v>
      </c>
      <c r="P766">
        <f t="shared" si="42"/>
        <v>2024</v>
      </c>
      <c r="Q766">
        <f t="shared" si="43"/>
        <v>2</v>
      </c>
      <c r="R766" t="str">
        <f t="shared" si="41"/>
        <v>店铺超链</v>
      </c>
      <c r="S766" t="str">
        <f>_xlfn.XLOOKUP(B766,全店核心数据_bymonth!A:A,全店核心数据_bymonth!AN:AN)</f>
        <v>BU24</v>
      </c>
    </row>
    <row r="767" spans="1:19" x14ac:dyDescent="0.3">
      <c r="A767" t="s">
        <v>110</v>
      </c>
      <c r="B767" s="16">
        <v>45323</v>
      </c>
      <c r="C767" t="s">
        <v>3</v>
      </c>
      <c r="D767" t="s">
        <v>127</v>
      </c>
      <c r="E767" t="s">
        <v>171</v>
      </c>
      <c r="F767">
        <v>1243</v>
      </c>
      <c r="G767">
        <v>838</v>
      </c>
      <c r="H767">
        <v>19</v>
      </c>
      <c r="I767">
        <v>21</v>
      </c>
      <c r="J767">
        <v>44930</v>
      </c>
      <c r="K767">
        <v>5</v>
      </c>
      <c r="L767">
        <v>11635</v>
      </c>
      <c r="M767">
        <v>3</v>
      </c>
      <c r="O767">
        <v>990</v>
      </c>
      <c r="P767">
        <f t="shared" si="42"/>
        <v>2024</v>
      </c>
      <c r="Q767">
        <f t="shared" si="43"/>
        <v>2</v>
      </c>
      <c r="R767" t="str">
        <f t="shared" si="41"/>
        <v>其他猜你喜欢</v>
      </c>
      <c r="S767" t="str">
        <f>_xlfn.XLOOKUP(B767,全店核心数据_bymonth!A:A,全店核心数据_bymonth!AN:AN)</f>
        <v>BU24</v>
      </c>
    </row>
    <row r="768" spans="1:19" x14ac:dyDescent="0.3">
      <c r="A768" t="s">
        <v>110</v>
      </c>
      <c r="B768" s="16">
        <v>45323</v>
      </c>
      <c r="C768" t="s">
        <v>3</v>
      </c>
      <c r="D768" t="s">
        <v>127</v>
      </c>
      <c r="E768" t="s">
        <v>172</v>
      </c>
      <c r="F768">
        <v>36</v>
      </c>
      <c r="G768">
        <v>26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O768">
        <v>36</v>
      </c>
      <c r="P768">
        <f t="shared" si="42"/>
        <v>2024</v>
      </c>
      <c r="Q768">
        <f t="shared" si="43"/>
        <v>2</v>
      </c>
      <c r="R768" t="str">
        <f t="shared" si="41"/>
        <v>购中推荐</v>
      </c>
      <c r="S768" t="str">
        <f>_xlfn.XLOOKUP(B768,全店核心数据_bymonth!A:A,全店核心数据_bymonth!AN:AN)</f>
        <v>BU24</v>
      </c>
    </row>
    <row r="769" spans="1:19" x14ac:dyDescent="0.3">
      <c r="A769" t="s">
        <v>110</v>
      </c>
      <c r="B769" s="16">
        <v>45323</v>
      </c>
      <c r="C769" t="s">
        <v>3</v>
      </c>
      <c r="D769" t="s">
        <v>127</v>
      </c>
      <c r="E769" t="s">
        <v>173</v>
      </c>
      <c r="F769">
        <v>208</v>
      </c>
      <c r="G769">
        <v>152</v>
      </c>
      <c r="H769">
        <v>2</v>
      </c>
      <c r="I769">
        <v>1</v>
      </c>
      <c r="J769">
        <v>0</v>
      </c>
      <c r="K769">
        <v>0</v>
      </c>
      <c r="L769">
        <v>0</v>
      </c>
      <c r="M769">
        <v>0</v>
      </c>
      <c r="O769">
        <v>207</v>
      </c>
      <c r="P769">
        <f t="shared" si="42"/>
        <v>2024</v>
      </c>
      <c r="Q769">
        <f t="shared" si="43"/>
        <v>2</v>
      </c>
      <c r="R769" t="str">
        <f t="shared" si="41"/>
        <v>购后推荐</v>
      </c>
      <c r="S769" t="str">
        <f>_xlfn.XLOOKUP(B769,全店核心数据_bymonth!A:A,全店核心数据_bymonth!AN:AN)</f>
        <v>BU24</v>
      </c>
    </row>
    <row r="770" spans="1:19" x14ac:dyDescent="0.3">
      <c r="A770" t="s">
        <v>110</v>
      </c>
      <c r="B770" s="16">
        <v>45323</v>
      </c>
      <c r="C770" t="s">
        <v>3</v>
      </c>
      <c r="D770" t="s">
        <v>127</v>
      </c>
      <c r="E770" t="s">
        <v>174</v>
      </c>
      <c r="F770">
        <v>7790</v>
      </c>
      <c r="G770">
        <v>6152</v>
      </c>
      <c r="H770">
        <v>60</v>
      </c>
      <c r="I770">
        <v>51</v>
      </c>
      <c r="J770">
        <v>22140</v>
      </c>
      <c r="K770">
        <v>3</v>
      </c>
      <c r="L770">
        <v>22140</v>
      </c>
      <c r="M770">
        <v>3</v>
      </c>
      <c r="O770">
        <v>7790</v>
      </c>
      <c r="P770">
        <f t="shared" si="42"/>
        <v>2024</v>
      </c>
      <c r="Q770">
        <f t="shared" si="43"/>
        <v>2</v>
      </c>
      <c r="R770" t="str">
        <f t="shared" si="41"/>
        <v>首页推荐-微详情</v>
      </c>
      <c r="S770" t="str">
        <f>_xlfn.XLOOKUP(B770,全店核心数据_bymonth!A:A,全店核心数据_bymonth!AN:AN)</f>
        <v>BU24</v>
      </c>
    </row>
    <row r="771" spans="1:19" x14ac:dyDescent="0.3">
      <c r="A771" t="s">
        <v>110</v>
      </c>
      <c r="B771" s="16">
        <v>45323</v>
      </c>
      <c r="C771" t="s">
        <v>3</v>
      </c>
      <c r="D771" t="s">
        <v>127</v>
      </c>
      <c r="E771" t="s">
        <v>175</v>
      </c>
      <c r="F771">
        <v>54</v>
      </c>
      <c r="G771">
        <v>52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O771">
        <v>2</v>
      </c>
      <c r="P771">
        <f t="shared" si="42"/>
        <v>2024</v>
      </c>
      <c r="Q771">
        <f t="shared" si="43"/>
        <v>2</v>
      </c>
      <c r="R771" t="str">
        <f t="shared" si="41"/>
        <v>首页推荐-直播</v>
      </c>
      <c r="S771" t="str">
        <f>_xlfn.XLOOKUP(B771,全店核心数据_bymonth!A:A,全店核心数据_bymonth!AN:AN)</f>
        <v>BU24</v>
      </c>
    </row>
    <row r="772" spans="1:19" x14ac:dyDescent="0.3">
      <c r="A772" t="s">
        <v>110</v>
      </c>
      <c r="B772" s="16">
        <v>45323</v>
      </c>
      <c r="C772" t="s">
        <v>3</v>
      </c>
      <c r="D772" t="s">
        <v>127</v>
      </c>
      <c r="E772" t="s">
        <v>176</v>
      </c>
      <c r="F772">
        <v>100</v>
      </c>
      <c r="G772">
        <v>91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O772">
        <v>0</v>
      </c>
      <c r="P772">
        <f t="shared" si="42"/>
        <v>2024</v>
      </c>
      <c r="Q772">
        <f t="shared" si="43"/>
        <v>2</v>
      </c>
      <c r="R772" t="str">
        <f t="shared" si="41"/>
        <v>首页推荐-短视频</v>
      </c>
      <c r="S772" t="str">
        <f>_xlfn.XLOOKUP(B772,全店核心数据_bymonth!A:A,全店核心数据_bymonth!AN:AN)</f>
        <v>BU24</v>
      </c>
    </row>
    <row r="773" spans="1:19" x14ac:dyDescent="0.3">
      <c r="A773" t="s">
        <v>110</v>
      </c>
      <c r="B773" s="16">
        <v>45323</v>
      </c>
      <c r="C773" t="s">
        <v>3</v>
      </c>
      <c r="D773" t="s">
        <v>128</v>
      </c>
      <c r="E773" t="s">
        <v>177</v>
      </c>
      <c r="F773">
        <v>8536</v>
      </c>
      <c r="G773">
        <v>7590</v>
      </c>
      <c r="H773">
        <v>249</v>
      </c>
      <c r="I773">
        <v>132</v>
      </c>
      <c r="J773">
        <v>216275</v>
      </c>
      <c r="K773">
        <v>39</v>
      </c>
      <c r="L773">
        <v>130645</v>
      </c>
      <c r="M773">
        <v>33</v>
      </c>
      <c r="O773">
        <v>7190</v>
      </c>
      <c r="P773">
        <f t="shared" si="42"/>
        <v>2024</v>
      </c>
      <c r="Q773">
        <f t="shared" si="43"/>
        <v>2</v>
      </c>
      <c r="R773" t="str">
        <f t="shared" si="41"/>
        <v>手淘搜索-商品及其他</v>
      </c>
      <c r="S773" t="str">
        <f>_xlfn.XLOOKUP(B773,全店核心数据_bymonth!A:A,全店核心数据_bymonth!AN:AN)</f>
        <v>BU24</v>
      </c>
    </row>
    <row r="774" spans="1:19" x14ac:dyDescent="0.3">
      <c r="A774" t="s">
        <v>110</v>
      </c>
      <c r="B774" s="16">
        <v>45323</v>
      </c>
      <c r="C774" t="s">
        <v>3</v>
      </c>
      <c r="D774" t="s">
        <v>128</v>
      </c>
      <c r="E774" t="s">
        <v>178</v>
      </c>
      <c r="F774">
        <v>30</v>
      </c>
      <c r="G774">
        <v>19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O774">
        <v>26</v>
      </c>
      <c r="P774">
        <f t="shared" si="42"/>
        <v>2024</v>
      </c>
      <c r="Q774">
        <f t="shared" si="43"/>
        <v>2</v>
      </c>
      <c r="R774" t="str">
        <f t="shared" si="41"/>
        <v>手淘搜索-直播</v>
      </c>
      <c r="S774" t="str">
        <f>_xlfn.XLOOKUP(B774,全店核心数据_bymonth!A:A,全店核心数据_bymonth!AN:AN)</f>
        <v>BU24</v>
      </c>
    </row>
    <row r="775" spans="1:19" x14ac:dyDescent="0.3">
      <c r="A775" t="s">
        <v>110</v>
      </c>
      <c r="B775" s="16">
        <v>45323</v>
      </c>
      <c r="C775" t="s">
        <v>3</v>
      </c>
      <c r="D775" t="s">
        <v>128</v>
      </c>
      <c r="E775" t="s">
        <v>179</v>
      </c>
      <c r="F775">
        <v>187</v>
      </c>
      <c r="G775">
        <v>136</v>
      </c>
      <c r="H775">
        <v>3</v>
      </c>
      <c r="I775">
        <v>1</v>
      </c>
      <c r="J775">
        <v>5815</v>
      </c>
      <c r="K775">
        <v>2</v>
      </c>
      <c r="L775">
        <v>5815</v>
      </c>
      <c r="M775">
        <v>2</v>
      </c>
      <c r="O775">
        <v>39</v>
      </c>
      <c r="P775">
        <f t="shared" si="42"/>
        <v>2024</v>
      </c>
      <c r="Q775">
        <f t="shared" si="43"/>
        <v>2</v>
      </c>
      <c r="R775" t="str">
        <f t="shared" ref="R775:R838" si="44">E775</f>
        <v>手淘搜索-短视频</v>
      </c>
      <c r="S775" t="str">
        <f>_xlfn.XLOOKUP(B775,全店核心数据_bymonth!A:A,全店核心数据_bymonth!AN:AN)</f>
        <v>BU24</v>
      </c>
    </row>
    <row r="776" spans="1:19" x14ac:dyDescent="0.3">
      <c r="A776" t="s">
        <v>110</v>
      </c>
      <c r="B776" s="16">
        <v>45323</v>
      </c>
      <c r="C776" t="s">
        <v>3</v>
      </c>
      <c r="D776" t="s">
        <v>143</v>
      </c>
      <c r="E776" t="s">
        <v>196</v>
      </c>
      <c r="F776">
        <v>25</v>
      </c>
      <c r="G776">
        <v>14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O776">
        <v>25</v>
      </c>
      <c r="P776">
        <f t="shared" si="42"/>
        <v>2024</v>
      </c>
      <c r="Q776">
        <f t="shared" si="43"/>
        <v>2</v>
      </c>
      <c r="R776" t="str">
        <f t="shared" si="44"/>
        <v>淘特互动游戏</v>
      </c>
      <c r="S776" t="str">
        <f>_xlfn.XLOOKUP(B776,全店核心数据_bymonth!A:A,全店核心数据_bymonth!AN:AN)</f>
        <v>BU24</v>
      </c>
    </row>
    <row r="777" spans="1:19" x14ac:dyDescent="0.3">
      <c r="A777" t="s">
        <v>110</v>
      </c>
      <c r="B777" s="16">
        <v>45323</v>
      </c>
      <c r="C777" t="s">
        <v>3</v>
      </c>
      <c r="D777" t="s">
        <v>143</v>
      </c>
      <c r="E777" t="s">
        <v>180</v>
      </c>
      <c r="F777">
        <v>231</v>
      </c>
      <c r="G777">
        <v>225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O777">
        <v>223</v>
      </c>
      <c r="P777">
        <f t="shared" si="42"/>
        <v>2024</v>
      </c>
      <c r="Q777">
        <f t="shared" si="43"/>
        <v>2</v>
      </c>
      <c r="R777" t="str">
        <f t="shared" si="44"/>
        <v>淘特其他渠道</v>
      </c>
      <c r="S777" t="str">
        <f>_xlfn.XLOOKUP(B777,全店核心数据_bymonth!A:A,全店核心数据_bymonth!AN:AN)</f>
        <v>BU24</v>
      </c>
    </row>
    <row r="778" spans="1:19" x14ac:dyDescent="0.3">
      <c r="A778" t="s">
        <v>110</v>
      </c>
      <c r="B778" s="16">
        <v>45323</v>
      </c>
      <c r="C778" t="s">
        <v>3</v>
      </c>
      <c r="D778" t="s">
        <v>143</v>
      </c>
      <c r="E778" t="s">
        <v>197</v>
      </c>
      <c r="F778">
        <v>5</v>
      </c>
      <c r="G778">
        <v>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O778">
        <v>5</v>
      </c>
      <c r="P778">
        <f t="shared" si="42"/>
        <v>2024</v>
      </c>
      <c r="Q778">
        <f t="shared" si="43"/>
        <v>2</v>
      </c>
      <c r="R778" t="str">
        <f t="shared" si="44"/>
        <v>淘特推荐</v>
      </c>
      <c r="S778" t="str">
        <f>_xlfn.XLOOKUP(B778,全店核心数据_bymonth!A:A,全店核心数据_bymonth!AN:AN)</f>
        <v>BU24</v>
      </c>
    </row>
    <row r="779" spans="1:19" x14ac:dyDescent="0.3">
      <c r="A779" t="s">
        <v>110</v>
      </c>
      <c r="B779" s="16">
        <v>45323</v>
      </c>
      <c r="C779" t="s">
        <v>3</v>
      </c>
      <c r="D779" t="s">
        <v>143</v>
      </c>
      <c r="E779" t="s">
        <v>181</v>
      </c>
      <c r="F779">
        <v>36</v>
      </c>
      <c r="G779">
        <v>34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O779">
        <v>36</v>
      </c>
      <c r="P779">
        <f t="shared" si="42"/>
        <v>2024</v>
      </c>
      <c r="Q779">
        <f t="shared" si="43"/>
        <v>2</v>
      </c>
      <c r="R779" t="str">
        <f t="shared" si="44"/>
        <v>淘特搜索</v>
      </c>
      <c r="S779" t="str">
        <f>_xlfn.XLOOKUP(B779,全店核心数据_bymonth!A:A,全店核心数据_bymonth!AN:AN)</f>
        <v>BU24</v>
      </c>
    </row>
    <row r="780" spans="1:19" x14ac:dyDescent="0.3">
      <c r="A780" t="s">
        <v>110</v>
      </c>
      <c r="B780" s="16">
        <v>45323</v>
      </c>
      <c r="C780" t="s">
        <v>3</v>
      </c>
      <c r="D780" t="s">
        <v>143</v>
      </c>
      <c r="E780" t="s">
        <v>224</v>
      </c>
      <c r="F780">
        <v>1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O780">
        <v>1</v>
      </c>
      <c r="P780">
        <f t="shared" si="42"/>
        <v>2024</v>
      </c>
      <c r="Q780">
        <f t="shared" si="43"/>
        <v>2</v>
      </c>
      <c r="R780" t="str">
        <f t="shared" si="44"/>
        <v>淘特自主访问</v>
      </c>
      <c r="S780" t="str">
        <f>_xlfn.XLOOKUP(B780,全店核心数据_bymonth!A:A,全店核心数据_bymonth!AN:AN)</f>
        <v>BU24</v>
      </c>
    </row>
    <row r="781" spans="1:19" x14ac:dyDescent="0.3">
      <c r="A781" t="s">
        <v>110</v>
      </c>
      <c r="B781" s="16">
        <v>45323</v>
      </c>
      <c r="C781" t="s">
        <v>2</v>
      </c>
      <c r="D781" t="s">
        <v>55</v>
      </c>
      <c r="E781" t="s">
        <v>56</v>
      </c>
      <c r="F781">
        <v>24</v>
      </c>
      <c r="G781">
        <v>11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O781">
        <v>5</v>
      </c>
      <c r="P781">
        <f t="shared" si="42"/>
        <v>2024</v>
      </c>
      <c r="Q781">
        <f t="shared" si="43"/>
        <v>2</v>
      </c>
      <c r="R781" t="str">
        <f t="shared" si="44"/>
        <v>超级短视频</v>
      </c>
      <c r="S781" t="str">
        <f>_xlfn.XLOOKUP(B781,全店核心数据_bymonth!A:A,全店核心数据_bymonth!AN:AN)</f>
        <v>BU24</v>
      </c>
    </row>
    <row r="782" spans="1:19" x14ac:dyDescent="0.3">
      <c r="A782" t="s">
        <v>110</v>
      </c>
      <c r="B782" s="16">
        <v>45323</v>
      </c>
      <c r="C782" t="s">
        <v>2</v>
      </c>
      <c r="D782" t="s">
        <v>52</v>
      </c>
      <c r="E782" t="s">
        <v>183</v>
      </c>
      <c r="F782">
        <v>15696</v>
      </c>
      <c r="G782">
        <v>14940</v>
      </c>
      <c r="H782">
        <v>275</v>
      </c>
      <c r="I782">
        <v>120</v>
      </c>
      <c r="J782">
        <v>273605</v>
      </c>
      <c r="K782">
        <v>42</v>
      </c>
      <c r="L782">
        <v>200120</v>
      </c>
      <c r="M782">
        <v>37</v>
      </c>
      <c r="O782">
        <v>7724</v>
      </c>
      <c r="P782">
        <f t="shared" si="42"/>
        <v>2024</v>
      </c>
      <c r="Q782">
        <f t="shared" si="43"/>
        <v>2</v>
      </c>
      <c r="R782" t="str">
        <f t="shared" si="44"/>
        <v>品销宝-品牌专区</v>
      </c>
      <c r="S782" t="str">
        <f>_xlfn.XLOOKUP(B782,全店核心数据_bymonth!A:A,全店核心数据_bymonth!AN:AN)</f>
        <v>BU24</v>
      </c>
    </row>
    <row r="783" spans="1:19" x14ac:dyDescent="0.3">
      <c r="A783" t="s">
        <v>110</v>
      </c>
      <c r="B783" s="16">
        <v>45323</v>
      </c>
      <c r="C783" t="s">
        <v>2</v>
      </c>
      <c r="D783" t="s">
        <v>52</v>
      </c>
      <c r="E783" t="s">
        <v>58</v>
      </c>
      <c r="F783">
        <v>2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O783">
        <v>2</v>
      </c>
      <c r="P783">
        <f t="shared" si="42"/>
        <v>2024</v>
      </c>
      <c r="Q783">
        <f t="shared" si="43"/>
        <v>2</v>
      </c>
      <c r="R783" t="str">
        <f t="shared" si="44"/>
        <v>超级全域通</v>
      </c>
      <c r="S783" t="str">
        <f>_xlfn.XLOOKUP(B783,全店核心数据_bymonth!A:A,全店核心数据_bymonth!AN:AN)</f>
        <v>BU24</v>
      </c>
    </row>
    <row r="784" spans="1:19" x14ac:dyDescent="0.3">
      <c r="A784" t="s">
        <v>110</v>
      </c>
      <c r="B784" s="16">
        <v>45323</v>
      </c>
      <c r="C784" t="s">
        <v>2</v>
      </c>
      <c r="D784" t="s">
        <v>57</v>
      </c>
      <c r="E784" t="s">
        <v>65</v>
      </c>
      <c r="F784">
        <v>34816</v>
      </c>
      <c r="G784">
        <v>33084</v>
      </c>
      <c r="H784">
        <v>381</v>
      </c>
      <c r="I784">
        <v>277</v>
      </c>
      <c r="J784">
        <v>430225</v>
      </c>
      <c r="K784">
        <v>44</v>
      </c>
      <c r="L784">
        <v>171565</v>
      </c>
      <c r="M784">
        <v>29</v>
      </c>
      <c r="O784">
        <v>34359</v>
      </c>
      <c r="P784">
        <f t="shared" si="42"/>
        <v>2024</v>
      </c>
      <c r="Q784">
        <f t="shared" si="43"/>
        <v>2</v>
      </c>
      <c r="R784" t="str">
        <f t="shared" si="44"/>
        <v>直通车</v>
      </c>
      <c r="S784" t="str">
        <f>_xlfn.XLOOKUP(B784,全店核心数据_bymonth!A:A,全店核心数据_bymonth!AN:AN)</f>
        <v>BU24</v>
      </c>
    </row>
    <row r="785" spans="1:19" x14ac:dyDescent="0.3">
      <c r="A785" t="s">
        <v>110</v>
      </c>
      <c r="B785" s="16">
        <v>45323</v>
      </c>
      <c r="C785" t="s">
        <v>2</v>
      </c>
      <c r="D785" t="s">
        <v>57</v>
      </c>
      <c r="E785" t="s">
        <v>63</v>
      </c>
      <c r="F785">
        <v>27921</v>
      </c>
      <c r="G785">
        <v>24840</v>
      </c>
      <c r="H785">
        <v>399</v>
      </c>
      <c r="I785">
        <v>238</v>
      </c>
      <c r="J785">
        <v>345975</v>
      </c>
      <c r="K785">
        <v>45</v>
      </c>
      <c r="L785">
        <v>176655</v>
      </c>
      <c r="M785">
        <v>33</v>
      </c>
      <c r="O785">
        <v>27846</v>
      </c>
      <c r="P785">
        <f t="shared" si="42"/>
        <v>2024</v>
      </c>
      <c r="Q785">
        <f t="shared" si="43"/>
        <v>2</v>
      </c>
      <c r="R785" t="str">
        <f t="shared" si="44"/>
        <v>万相台</v>
      </c>
      <c r="S785" t="str">
        <f>_xlfn.XLOOKUP(B785,全店核心数据_bymonth!A:A,全店核心数据_bymonth!AN:AN)</f>
        <v>BU24</v>
      </c>
    </row>
    <row r="786" spans="1:19" x14ac:dyDescent="0.3">
      <c r="A786" t="s">
        <v>110</v>
      </c>
      <c r="B786" s="16">
        <v>45323</v>
      </c>
      <c r="C786" t="s">
        <v>2</v>
      </c>
      <c r="D786" t="s">
        <v>57</v>
      </c>
      <c r="E786" t="s">
        <v>64</v>
      </c>
      <c r="F786">
        <v>93901</v>
      </c>
      <c r="G786">
        <v>88353</v>
      </c>
      <c r="H786">
        <v>260</v>
      </c>
      <c r="I786">
        <v>377</v>
      </c>
      <c r="J786">
        <v>172365</v>
      </c>
      <c r="K786">
        <v>14</v>
      </c>
      <c r="L786">
        <v>34380</v>
      </c>
      <c r="M786">
        <v>5</v>
      </c>
      <c r="O786">
        <v>93891</v>
      </c>
      <c r="P786">
        <f t="shared" si="42"/>
        <v>2024</v>
      </c>
      <c r="Q786">
        <f t="shared" si="43"/>
        <v>2</v>
      </c>
      <c r="R786" t="str">
        <f t="shared" si="44"/>
        <v>引力魔方</v>
      </c>
      <c r="S786" t="str">
        <f>_xlfn.XLOOKUP(B786,全店核心数据_bymonth!A:A,全店核心数据_bymonth!AN:AN)</f>
        <v>BU24</v>
      </c>
    </row>
    <row r="787" spans="1:19" x14ac:dyDescent="0.3">
      <c r="A787" t="s">
        <v>110</v>
      </c>
      <c r="B787" s="16">
        <v>45323</v>
      </c>
      <c r="C787" t="s">
        <v>2</v>
      </c>
      <c r="D787" t="s">
        <v>4</v>
      </c>
      <c r="E787" t="s">
        <v>41</v>
      </c>
      <c r="F787">
        <v>2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O787">
        <v>2</v>
      </c>
      <c r="P787">
        <f t="shared" si="42"/>
        <v>2024</v>
      </c>
      <c r="Q787">
        <f t="shared" si="43"/>
        <v>2</v>
      </c>
      <c r="R787" t="str">
        <f t="shared" si="44"/>
        <v>流量宝</v>
      </c>
      <c r="S787" t="str">
        <f>_xlfn.XLOOKUP(B787,全店核心数据_bymonth!A:A,全店核心数据_bymonth!AN:AN)</f>
        <v>BU24</v>
      </c>
    </row>
    <row r="788" spans="1:19" x14ac:dyDescent="0.3">
      <c r="A788" t="s">
        <v>110</v>
      </c>
      <c r="B788" s="16">
        <v>45323</v>
      </c>
      <c r="C788" t="s">
        <v>2</v>
      </c>
      <c r="D788" t="s">
        <v>4</v>
      </c>
      <c r="E788" t="s">
        <v>43</v>
      </c>
      <c r="F788">
        <v>4764</v>
      </c>
      <c r="G788">
        <v>2453</v>
      </c>
      <c r="H788">
        <v>6</v>
      </c>
      <c r="I788">
        <v>5</v>
      </c>
      <c r="J788">
        <v>5450</v>
      </c>
      <c r="K788">
        <v>1</v>
      </c>
      <c r="L788">
        <v>5450</v>
      </c>
      <c r="M788">
        <v>1</v>
      </c>
      <c r="O788">
        <v>4561</v>
      </c>
      <c r="P788">
        <f t="shared" si="42"/>
        <v>2024</v>
      </c>
      <c r="Q788">
        <f t="shared" si="43"/>
        <v>2</v>
      </c>
      <c r="R788" t="str">
        <f t="shared" si="44"/>
        <v>淘宝客</v>
      </c>
      <c r="S788" t="str">
        <f>_xlfn.XLOOKUP(B788,全店核心数据_bymonth!A:A,全店核心数据_bymonth!AN:AN)</f>
        <v>BU24</v>
      </c>
    </row>
    <row r="789" spans="1:19" x14ac:dyDescent="0.3">
      <c r="A789" t="s">
        <v>110</v>
      </c>
      <c r="B789" s="16">
        <v>45717</v>
      </c>
      <c r="C789" t="s">
        <v>3</v>
      </c>
      <c r="D789" t="s">
        <v>117</v>
      </c>
      <c r="E789" t="s">
        <v>161</v>
      </c>
      <c r="F789">
        <v>2</v>
      </c>
      <c r="G789">
        <v>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2</v>
      </c>
      <c r="P789">
        <f t="shared" ref="P789:P852" si="45">YEAR(B789)</f>
        <v>2025</v>
      </c>
      <c r="Q789">
        <f t="shared" ref="Q789:Q852" si="46">MONTH(B789)</f>
        <v>3</v>
      </c>
      <c r="R789" t="str">
        <f t="shared" si="44"/>
        <v>其他入口榜单</v>
      </c>
      <c r="S789" t="str">
        <f>_xlfn.XLOOKUP(B789,全店核心数据_bymonth!A:A,全店核心数据_bymonth!AN:AN)</f>
        <v>BU25</v>
      </c>
    </row>
    <row r="790" spans="1:19" x14ac:dyDescent="0.3">
      <c r="A790" t="s">
        <v>110</v>
      </c>
      <c r="B790" s="16">
        <v>45717</v>
      </c>
      <c r="C790" t="s">
        <v>3</v>
      </c>
      <c r="D790" t="s">
        <v>123</v>
      </c>
      <c r="E790" t="s">
        <v>169</v>
      </c>
      <c r="F790">
        <v>1332</v>
      </c>
      <c r="G790">
        <v>797</v>
      </c>
      <c r="H790">
        <v>50</v>
      </c>
      <c r="I790">
        <v>21</v>
      </c>
      <c r="J790">
        <v>29985</v>
      </c>
      <c r="K790">
        <v>4</v>
      </c>
      <c r="L790">
        <v>14785</v>
      </c>
      <c r="M790">
        <v>3</v>
      </c>
      <c r="N790">
        <v>308</v>
      </c>
      <c r="O790">
        <v>1287</v>
      </c>
      <c r="P790">
        <f t="shared" si="45"/>
        <v>2025</v>
      </c>
      <c r="Q790">
        <f t="shared" si="46"/>
        <v>3</v>
      </c>
      <c r="R790" t="str">
        <f t="shared" si="44"/>
        <v>商品详情页头图推荐</v>
      </c>
      <c r="S790" t="str">
        <f>_xlfn.XLOOKUP(B790,全店核心数据_bymonth!A:A,全店核心数据_bymonth!AN:AN)</f>
        <v>BU25</v>
      </c>
    </row>
    <row r="791" spans="1:19" x14ac:dyDescent="0.3">
      <c r="A791" t="s">
        <v>110</v>
      </c>
      <c r="B791" s="16">
        <v>45717</v>
      </c>
      <c r="C791" t="s">
        <v>3</v>
      </c>
      <c r="D791" t="s">
        <v>123</v>
      </c>
      <c r="E791" t="s">
        <v>170</v>
      </c>
      <c r="F791">
        <v>551</v>
      </c>
      <c r="G791">
        <v>430</v>
      </c>
      <c r="H791">
        <v>15</v>
      </c>
      <c r="I791">
        <v>6</v>
      </c>
      <c r="J791">
        <v>9390</v>
      </c>
      <c r="K791">
        <v>2</v>
      </c>
      <c r="L791">
        <v>9390</v>
      </c>
      <c r="M791">
        <v>2</v>
      </c>
      <c r="N791">
        <v>490</v>
      </c>
      <c r="O791">
        <v>218</v>
      </c>
      <c r="P791">
        <f t="shared" si="45"/>
        <v>2025</v>
      </c>
      <c r="Q791">
        <f t="shared" si="46"/>
        <v>3</v>
      </c>
      <c r="R791" t="str">
        <f t="shared" si="44"/>
        <v>店铺超链</v>
      </c>
      <c r="S791" t="str">
        <f>_xlfn.XLOOKUP(B791,全店核心数据_bymonth!A:A,全店核心数据_bymonth!AN:AN)</f>
        <v>BU25</v>
      </c>
    </row>
    <row r="792" spans="1:19" x14ac:dyDescent="0.3">
      <c r="A792" t="s">
        <v>110</v>
      </c>
      <c r="B792" s="16">
        <v>45717</v>
      </c>
      <c r="C792" t="s">
        <v>3</v>
      </c>
      <c r="D792" t="s">
        <v>127</v>
      </c>
      <c r="E792" t="s">
        <v>171</v>
      </c>
      <c r="F792">
        <v>2096</v>
      </c>
      <c r="G792">
        <v>1559</v>
      </c>
      <c r="H792">
        <v>41</v>
      </c>
      <c r="I792">
        <v>27</v>
      </c>
      <c r="J792">
        <v>101795</v>
      </c>
      <c r="K792">
        <v>9</v>
      </c>
      <c r="L792">
        <v>80150</v>
      </c>
      <c r="M792">
        <v>7</v>
      </c>
      <c r="N792">
        <v>575</v>
      </c>
      <c r="O792">
        <v>1781</v>
      </c>
      <c r="P792">
        <f t="shared" si="45"/>
        <v>2025</v>
      </c>
      <c r="Q792">
        <f t="shared" si="46"/>
        <v>3</v>
      </c>
      <c r="R792" t="str">
        <f t="shared" si="44"/>
        <v>其他猜你喜欢</v>
      </c>
      <c r="S792" t="str">
        <f>_xlfn.XLOOKUP(B792,全店核心数据_bymonth!A:A,全店核心数据_bymonth!AN:AN)</f>
        <v>BU25</v>
      </c>
    </row>
    <row r="793" spans="1:19" x14ac:dyDescent="0.3">
      <c r="A793" t="s">
        <v>110</v>
      </c>
      <c r="B793" s="16">
        <v>45717</v>
      </c>
      <c r="C793" t="s">
        <v>3</v>
      </c>
      <c r="D793" t="s">
        <v>127</v>
      </c>
      <c r="E793" t="s">
        <v>172</v>
      </c>
      <c r="F793">
        <v>132</v>
      </c>
      <c r="G793">
        <v>101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15</v>
      </c>
      <c r="O793">
        <v>106</v>
      </c>
      <c r="P793">
        <f t="shared" si="45"/>
        <v>2025</v>
      </c>
      <c r="Q793">
        <f t="shared" si="46"/>
        <v>3</v>
      </c>
      <c r="R793" t="str">
        <f t="shared" si="44"/>
        <v>购中推荐</v>
      </c>
      <c r="S793" t="str">
        <f>_xlfn.XLOOKUP(B793,全店核心数据_bymonth!A:A,全店核心数据_bymonth!AN:AN)</f>
        <v>BU25</v>
      </c>
    </row>
    <row r="794" spans="1:19" x14ac:dyDescent="0.3">
      <c r="A794" t="s">
        <v>110</v>
      </c>
      <c r="B794" s="16">
        <v>45717</v>
      </c>
      <c r="C794" t="s">
        <v>3</v>
      </c>
      <c r="D794" t="s">
        <v>127</v>
      </c>
      <c r="E794" t="s">
        <v>173</v>
      </c>
      <c r="F794">
        <v>661</v>
      </c>
      <c r="G794">
        <v>511</v>
      </c>
      <c r="H794">
        <v>1</v>
      </c>
      <c r="I794">
        <v>4</v>
      </c>
      <c r="J794">
        <v>0</v>
      </c>
      <c r="K794">
        <v>0</v>
      </c>
      <c r="L794">
        <v>0</v>
      </c>
      <c r="M794">
        <v>0</v>
      </c>
      <c r="N794">
        <v>28</v>
      </c>
      <c r="O794">
        <v>443</v>
      </c>
      <c r="P794">
        <f t="shared" si="45"/>
        <v>2025</v>
      </c>
      <c r="Q794">
        <f t="shared" si="46"/>
        <v>3</v>
      </c>
      <c r="R794" t="str">
        <f t="shared" si="44"/>
        <v>购后推荐</v>
      </c>
      <c r="S794" t="str">
        <f>_xlfn.XLOOKUP(B794,全店核心数据_bymonth!A:A,全店核心数据_bymonth!AN:AN)</f>
        <v>BU25</v>
      </c>
    </row>
    <row r="795" spans="1:19" x14ac:dyDescent="0.3">
      <c r="A795" t="s">
        <v>110</v>
      </c>
      <c r="B795" s="16">
        <v>45717</v>
      </c>
      <c r="C795" t="s">
        <v>3</v>
      </c>
      <c r="D795" t="s">
        <v>127</v>
      </c>
      <c r="E795" t="s">
        <v>174</v>
      </c>
      <c r="F795">
        <v>15186</v>
      </c>
      <c r="G795">
        <v>12738</v>
      </c>
      <c r="H795">
        <v>216</v>
      </c>
      <c r="I795">
        <v>139</v>
      </c>
      <c r="J795">
        <v>109525</v>
      </c>
      <c r="K795">
        <v>11</v>
      </c>
      <c r="L795">
        <v>53735</v>
      </c>
      <c r="M795">
        <v>6</v>
      </c>
      <c r="N795">
        <v>1301</v>
      </c>
      <c r="O795">
        <v>15186</v>
      </c>
      <c r="P795">
        <f t="shared" si="45"/>
        <v>2025</v>
      </c>
      <c r="Q795">
        <f t="shared" si="46"/>
        <v>3</v>
      </c>
      <c r="R795" t="str">
        <f t="shared" si="44"/>
        <v>首页推荐-微详情</v>
      </c>
      <c r="S795" t="str">
        <f>_xlfn.XLOOKUP(B795,全店核心数据_bymonth!A:A,全店核心数据_bymonth!AN:AN)</f>
        <v>BU25</v>
      </c>
    </row>
    <row r="796" spans="1:19" x14ac:dyDescent="0.3">
      <c r="A796" t="s">
        <v>110</v>
      </c>
      <c r="B796" s="16">
        <v>45717</v>
      </c>
      <c r="C796" t="s">
        <v>3</v>
      </c>
      <c r="D796" t="s">
        <v>127</v>
      </c>
      <c r="E796" t="s">
        <v>175</v>
      </c>
      <c r="F796">
        <v>593</v>
      </c>
      <c r="G796">
        <v>437</v>
      </c>
      <c r="H796">
        <v>4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8</v>
      </c>
      <c r="O796">
        <v>61</v>
      </c>
      <c r="P796">
        <f t="shared" si="45"/>
        <v>2025</v>
      </c>
      <c r="Q796">
        <f t="shared" si="46"/>
        <v>3</v>
      </c>
      <c r="R796" t="str">
        <f t="shared" si="44"/>
        <v>首页推荐-直播</v>
      </c>
      <c r="S796" t="str">
        <f>_xlfn.XLOOKUP(B796,全店核心数据_bymonth!A:A,全店核心数据_bymonth!AN:AN)</f>
        <v>BU25</v>
      </c>
    </row>
    <row r="797" spans="1:19" x14ac:dyDescent="0.3">
      <c r="A797" t="s">
        <v>110</v>
      </c>
      <c r="B797" s="16">
        <v>45717</v>
      </c>
      <c r="C797" t="s">
        <v>3</v>
      </c>
      <c r="D797" t="s">
        <v>127</v>
      </c>
      <c r="E797" t="s">
        <v>176</v>
      </c>
      <c r="F797">
        <v>5448</v>
      </c>
      <c r="G797">
        <v>4961</v>
      </c>
      <c r="H797">
        <v>6</v>
      </c>
      <c r="I797">
        <v>4</v>
      </c>
      <c r="J797">
        <v>0</v>
      </c>
      <c r="K797">
        <v>0</v>
      </c>
      <c r="L797">
        <v>0</v>
      </c>
      <c r="M797">
        <v>0</v>
      </c>
      <c r="N797">
        <v>24</v>
      </c>
      <c r="O797">
        <v>147</v>
      </c>
      <c r="P797">
        <f t="shared" si="45"/>
        <v>2025</v>
      </c>
      <c r="Q797">
        <f t="shared" si="46"/>
        <v>3</v>
      </c>
      <c r="R797" t="str">
        <f t="shared" si="44"/>
        <v>首页推荐-短视频</v>
      </c>
      <c r="S797" t="str">
        <f>_xlfn.XLOOKUP(B797,全店核心数据_bymonth!A:A,全店核心数据_bymonth!AN:AN)</f>
        <v>BU25</v>
      </c>
    </row>
    <row r="798" spans="1:19" x14ac:dyDescent="0.3">
      <c r="A798" t="s">
        <v>110</v>
      </c>
      <c r="B798" s="16">
        <v>45717</v>
      </c>
      <c r="C798" t="s">
        <v>3</v>
      </c>
      <c r="D798" t="s">
        <v>128</v>
      </c>
      <c r="E798" t="s">
        <v>177</v>
      </c>
      <c r="F798">
        <v>13042</v>
      </c>
      <c r="G798">
        <v>11935</v>
      </c>
      <c r="H798">
        <v>251</v>
      </c>
      <c r="I798">
        <v>137</v>
      </c>
      <c r="J798">
        <v>396255</v>
      </c>
      <c r="K798">
        <v>46</v>
      </c>
      <c r="L798">
        <v>302240</v>
      </c>
      <c r="M798">
        <v>36</v>
      </c>
      <c r="N798">
        <v>7458</v>
      </c>
      <c r="O798">
        <v>7826</v>
      </c>
      <c r="P798">
        <f t="shared" si="45"/>
        <v>2025</v>
      </c>
      <c r="Q798">
        <f t="shared" si="46"/>
        <v>3</v>
      </c>
      <c r="R798" t="str">
        <f t="shared" si="44"/>
        <v>手淘搜索-商品及其他</v>
      </c>
      <c r="S798" t="str">
        <f>_xlfn.XLOOKUP(B798,全店核心数据_bymonth!A:A,全店核心数据_bymonth!AN:AN)</f>
        <v>BU25</v>
      </c>
    </row>
    <row r="799" spans="1:19" x14ac:dyDescent="0.3">
      <c r="A799" t="s">
        <v>110</v>
      </c>
      <c r="B799" s="16">
        <v>45717</v>
      </c>
      <c r="C799" t="s">
        <v>3</v>
      </c>
      <c r="D799" t="s">
        <v>128</v>
      </c>
      <c r="E799" t="s">
        <v>178</v>
      </c>
      <c r="F799">
        <v>23</v>
      </c>
      <c r="G799">
        <v>16</v>
      </c>
      <c r="H799">
        <v>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4</v>
      </c>
      <c r="O799">
        <v>21</v>
      </c>
      <c r="P799">
        <f t="shared" si="45"/>
        <v>2025</v>
      </c>
      <c r="Q799">
        <f t="shared" si="46"/>
        <v>3</v>
      </c>
      <c r="R799" t="str">
        <f t="shared" si="44"/>
        <v>手淘搜索-直播</v>
      </c>
      <c r="S799" t="str">
        <f>_xlfn.XLOOKUP(B799,全店核心数据_bymonth!A:A,全店核心数据_bymonth!AN:AN)</f>
        <v>BU25</v>
      </c>
    </row>
    <row r="800" spans="1:19" x14ac:dyDescent="0.3">
      <c r="A800" t="s">
        <v>110</v>
      </c>
      <c r="B800" s="16">
        <v>45717</v>
      </c>
      <c r="C800" t="s">
        <v>3</v>
      </c>
      <c r="D800" t="s">
        <v>128</v>
      </c>
      <c r="E800" t="s">
        <v>179</v>
      </c>
      <c r="F800">
        <v>123</v>
      </c>
      <c r="G800">
        <v>73</v>
      </c>
      <c r="H800">
        <v>2</v>
      </c>
      <c r="I800">
        <v>0</v>
      </c>
      <c r="J800">
        <v>16085</v>
      </c>
      <c r="K800">
        <v>2</v>
      </c>
      <c r="L800">
        <v>16085</v>
      </c>
      <c r="M800">
        <v>2</v>
      </c>
      <c r="N800">
        <v>7</v>
      </c>
      <c r="O800">
        <v>119</v>
      </c>
      <c r="P800">
        <f t="shared" si="45"/>
        <v>2025</v>
      </c>
      <c r="Q800">
        <f t="shared" si="46"/>
        <v>3</v>
      </c>
      <c r="R800" t="str">
        <f t="shared" si="44"/>
        <v>手淘搜索-短视频</v>
      </c>
      <c r="S800" t="str">
        <f>_xlfn.XLOOKUP(B800,全店核心数据_bymonth!A:A,全店核心数据_bymonth!AN:AN)</f>
        <v>BU25</v>
      </c>
    </row>
    <row r="801" spans="1:19" x14ac:dyDescent="0.3">
      <c r="A801" t="s">
        <v>110</v>
      </c>
      <c r="B801" s="16">
        <v>45717</v>
      </c>
      <c r="C801" t="s">
        <v>3</v>
      </c>
      <c r="D801" t="s">
        <v>143</v>
      </c>
      <c r="E801" t="s">
        <v>180</v>
      </c>
      <c r="F801">
        <v>117</v>
      </c>
      <c r="G801">
        <v>99</v>
      </c>
      <c r="H801">
        <v>0</v>
      </c>
      <c r="I801">
        <v>2</v>
      </c>
      <c r="J801">
        <v>14500</v>
      </c>
      <c r="K801">
        <v>1</v>
      </c>
      <c r="L801">
        <v>0</v>
      </c>
      <c r="M801">
        <v>0</v>
      </c>
      <c r="N801">
        <v>4</v>
      </c>
      <c r="O801">
        <v>115</v>
      </c>
      <c r="P801">
        <f t="shared" si="45"/>
        <v>2025</v>
      </c>
      <c r="Q801">
        <f t="shared" si="46"/>
        <v>3</v>
      </c>
      <c r="R801" t="str">
        <f t="shared" si="44"/>
        <v>淘特其他渠道</v>
      </c>
      <c r="S801" t="str">
        <f>_xlfn.XLOOKUP(B801,全店核心数据_bymonth!A:A,全店核心数据_bymonth!AN:AN)</f>
        <v>BU25</v>
      </c>
    </row>
    <row r="802" spans="1:19" x14ac:dyDescent="0.3">
      <c r="A802" t="s">
        <v>110</v>
      </c>
      <c r="B802" s="16">
        <v>45717</v>
      </c>
      <c r="C802" t="s">
        <v>3</v>
      </c>
      <c r="D802" t="s">
        <v>143</v>
      </c>
      <c r="E802" t="s">
        <v>181</v>
      </c>
      <c r="F802">
        <v>530</v>
      </c>
      <c r="G802">
        <v>522</v>
      </c>
      <c r="H802">
        <v>0</v>
      </c>
      <c r="I802">
        <v>0</v>
      </c>
      <c r="J802">
        <v>14500</v>
      </c>
      <c r="K802">
        <v>1</v>
      </c>
      <c r="L802">
        <v>0</v>
      </c>
      <c r="M802">
        <v>0</v>
      </c>
      <c r="N802">
        <v>1</v>
      </c>
      <c r="O802">
        <v>530</v>
      </c>
      <c r="P802">
        <f t="shared" si="45"/>
        <v>2025</v>
      </c>
      <c r="Q802">
        <f t="shared" si="46"/>
        <v>3</v>
      </c>
      <c r="R802" t="str">
        <f t="shared" si="44"/>
        <v>淘特搜索</v>
      </c>
      <c r="S802" t="str">
        <f>_xlfn.XLOOKUP(B802,全店核心数据_bymonth!A:A,全店核心数据_bymonth!AN:AN)</f>
        <v>BU25</v>
      </c>
    </row>
    <row r="803" spans="1:19" x14ac:dyDescent="0.3">
      <c r="A803" t="s">
        <v>110</v>
      </c>
      <c r="B803" s="16">
        <v>45717</v>
      </c>
      <c r="C803" t="s">
        <v>2</v>
      </c>
      <c r="D803" t="s">
        <v>55</v>
      </c>
      <c r="E803" t="s">
        <v>54</v>
      </c>
      <c r="F803">
        <v>4959</v>
      </c>
      <c r="G803">
        <v>4213</v>
      </c>
      <c r="H803">
        <v>29</v>
      </c>
      <c r="I803">
        <v>4</v>
      </c>
      <c r="J803">
        <v>0</v>
      </c>
      <c r="K803">
        <v>0</v>
      </c>
      <c r="L803">
        <v>0</v>
      </c>
      <c r="M803">
        <v>0</v>
      </c>
      <c r="N803">
        <v>107</v>
      </c>
      <c r="O803">
        <v>1036</v>
      </c>
      <c r="P803">
        <f t="shared" si="45"/>
        <v>2025</v>
      </c>
      <c r="Q803">
        <f t="shared" si="46"/>
        <v>3</v>
      </c>
      <c r="R803" t="str">
        <f t="shared" si="44"/>
        <v>超级直播</v>
      </c>
      <c r="S803" t="str">
        <f>_xlfn.XLOOKUP(B803,全店核心数据_bymonth!A:A,全店核心数据_bymonth!AN:AN)</f>
        <v>BU25</v>
      </c>
    </row>
    <row r="804" spans="1:19" x14ac:dyDescent="0.3">
      <c r="A804" t="s">
        <v>110</v>
      </c>
      <c r="B804" s="16">
        <v>45717</v>
      </c>
      <c r="C804" t="s">
        <v>2</v>
      </c>
      <c r="D804" t="s">
        <v>55</v>
      </c>
      <c r="E804" t="s">
        <v>56</v>
      </c>
      <c r="F804">
        <v>2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</v>
      </c>
      <c r="P804">
        <f t="shared" si="45"/>
        <v>2025</v>
      </c>
      <c r="Q804">
        <f t="shared" si="46"/>
        <v>3</v>
      </c>
      <c r="R804" t="str">
        <f t="shared" si="44"/>
        <v>超级短视频</v>
      </c>
      <c r="S804" t="str">
        <f>_xlfn.XLOOKUP(B804,全店核心数据_bymonth!A:A,全店核心数据_bymonth!AN:AN)</f>
        <v>BU25</v>
      </c>
    </row>
    <row r="805" spans="1:19" x14ac:dyDescent="0.3">
      <c r="A805" t="s">
        <v>110</v>
      </c>
      <c r="B805" s="16">
        <v>45717</v>
      </c>
      <c r="C805" t="s">
        <v>2</v>
      </c>
      <c r="D805" t="s">
        <v>52</v>
      </c>
      <c r="E805" t="s">
        <v>51</v>
      </c>
      <c r="F805">
        <v>1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</v>
      </c>
      <c r="P805">
        <f t="shared" si="45"/>
        <v>2025</v>
      </c>
      <c r="Q805">
        <f t="shared" si="46"/>
        <v>3</v>
      </c>
      <c r="R805" t="str">
        <f t="shared" si="44"/>
        <v>品牌定制</v>
      </c>
      <c r="S805" t="str">
        <f>_xlfn.XLOOKUP(B805,全店核心数据_bymonth!A:A,全店核心数据_bymonth!AN:AN)</f>
        <v>BU25</v>
      </c>
    </row>
    <row r="806" spans="1:19" x14ac:dyDescent="0.3">
      <c r="A806" t="s">
        <v>110</v>
      </c>
      <c r="B806" s="16">
        <v>45717</v>
      </c>
      <c r="C806" t="s">
        <v>2</v>
      </c>
      <c r="D806" t="s">
        <v>52</v>
      </c>
      <c r="E806" t="s">
        <v>183</v>
      </c>
      <c r="F806">
        <v>1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f t="shared" si="45"/>
        <v>2025</v>
      </c>
      <c r="Q806">
        <f t="shared" si="46"/>
        <v>3</v>
      </c>
      <c r="R806" t="str">
        <f t="shared" si="44"/>
        <v>品销宝-品牌专区</v>
      </c>
      <c r="S806" t="str">
        <f>_xlfn.XLOOKUP(B806,全店核心数据_bymonth!A:A,全店核心数据_bymonth!AN:AN)</f>
        <v>BU25</v>
      </c>
    </row>
    <row r="807" spans="1:19" x14ac:dyDescent="0.3">
      <c r="A807" t="s">
        <v>110</v>
      </c>
      <c r="B807" s="16">
        <v>45717</v>
      </c>
      <c r="C807" t="s">
        <v>2</v>
      </c>
      <c r="D807" t="s">
        <v>52</v>
      </c>
      <c r="E807" t="s">
        <v>58</v>
      </c>
      <c r="F807">
        <v>5</v>
      </c>
      <c r="G807">
        <v>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</v>
      </c>
      <c r="P807">
        <f t="shared" si="45"/>
        <v>2025</v>
      </c>
      <c r="Q807">
        <f t="shared" si="46"/>
        <v>3</v>
      </c>
      <c r="R807" t="str">
        <f t="shared" si="44"/>
        <v>超级全域通</v>
      </c>
      <c r="S807" t="str">
        <f>_xlfn.XLOOKUP(B807,全店核心数据_bymonth!A:A,全店核心数据_bymonth!AN:AN)</f>
        <v>BU25</v>
      </c>
    </row>
    <row r="808" spans="1:19" x14ac:dyDescent="0.3">
      <c r="A808" t="s">
        <v>110</v>
      </c>
      <c r="B808" s="16">
        <v>45717</v>
      </c>
      <c r="C808" t="s">
        <v>2</v>
      </c>
      <c r="D808" t="s">
        <v>57</v>
      </c>
      <c r="E808" t="s">
        <v>64</v>
      </c>
      <c r="F808">
        <v>152039</v>
      </c>
      <c r="G808">
        <v>136684</v>
      </c>
      <c r="H808">
        <v>624</v>
      </c>
      <c r="I808">
        <v>640</v>
      </c>
      <c r="J808">
        <v>536160</v>
      </c>
      <c r="K808">
        <v>50</v>
      </c>
      <c r="L808">
        <v>185775</v>
      </c>
      <c r="M808">
        <v>20</v>
      </c>
      <c r="N808">
        <v>3633</v>
      </c>
      <c r="O808">
        <v>152022</v>
      </c>
      <c r="P808">
        <f t="shared" si="45"/>
        <v>2025</v>
      </c>
      <c r="Q808">
        <f t="shared" si="46"/>
        <v>3</v>
      </c>
      <c r="R808" t="str">
        <f t="shared" si="44"/>
        <v>引力魔方</v>
      </c>
      <c r="S808" t="str">
        <f>_xlfn.XLOOKUP(B808,全店核心数据_bymonth!A:A,全店核心数据_bymonth!AN:AN)</f>
        <v>BU25</v>
      </c>
    </row>
    <row r="809" spans="1:19" x14ac:dyDescent="0.3">
      <c r="A809" t="s">
        <v>110</v>
      </c>
      <c r="B809" s="16">
        <v>45717</v>
      </c>
      <c r="C809" t="s">
        <v>2</v>
      </c>
      <c r="D809" t="s">
        <v>57</v>
      </c>
      <c r="E809" t="s">
        <v>65</v>
      </c>
      <c r="F809">
        <v>67153</v>
      </c>
      <c r="G809">
        <v>63677</v>
      </c>
      <c r="H809">
        <v>511</v>
      </c>
      <c r="I809">
        <v>334</v>
      </c>
      <c r="J809">
        <v>844985</v>
      </c>
      <c r="K809">
        <v>91</v>
      </c>
      <c r="L809">
        <v>196200</v>
      </c>
      <c r="M809">
        <v>32</v>
      </c>
      <c r="N809">
        <v>4199</v>
      </c>
      <c r="O809">
        <v>66511</v>
      </c>
      <c r="P809">
        <f t="shared" si="45"/>
        <v>2025</v>
      </c>
      <c r="Q809">
        <f t="shared" si="46"/>
        <v>3</v>
      </c>
      <c r="R809" t="str">
        <f t="shared" si="44"/>
        <v>直通车</v>
      </c>
      <c r="S809" t="str">
        <f>_xlfn.XLOOKUP(B809,全店核心数据_bymonth!A:A,全店核心数据_bymonth!AN:AN)</f>
        <v>BU25</v>
      </c>
    </row>
    <row r="810" spans="1:19" x14ac:dyDescent="0.3">
      <c r="A810" t="s">
        <v>110</v>
      </c>
      <c r="B810" s="16">
        <v>45717</v>
      </c>
      <c r="C810" t="s">
        <v>2</v>
      </c>
      <c r="D810" t="s">
        <v>57</v>
      </c>
      <c r="E810" t="s">
        <v>63</v>
      </c>
      <c r="F810">
        <v>95750</v>
      </c>
      <c r="G810">
        <v>83784</v>
      </c>
      <c r="H810">
        <v>766</v>
      </c>
      <c r="I810">
        <v>978</v>
      </c>
      <c r="J810">
        <v>819470</v>
      </c>
      <c r="K810">
        <v>79</v>
      </c>
      <c r="L810">
        <v>250710</v>
      </c>
      <c r="M810">
        <v>44</v>
      </c>
      <c r="N810">
        <v>18916</v>
      </c>
      <c r="O810">
        <v>87556</v>
      </c>
      <c r="P810">
        <f t="shared" si="45"/>
        <v>2025</v>
      </c>
      <c r="Q810">
        <f t="shared" si="46"/>
        <v>3</v>
      </c>
      <c r="R810" t="str">
        <f t="shared" si="44"/>
        <v>万相台</v>
      </c>
      <c r="S810" t="str">
        <f>_xlfn.XLOOKUP(B810,全店核心数据_bymonth!A:A,全店核心数据_bymonth!AN:AN)</f>
        <v>BU25</v>
      </c>
    </row>
    <row r="811" spans="1:19" x14ac:dyDescent="0.3">
      <c r="A811" t="s">
        <v>110</v>
      </c>
      <c r="B811" s="16">
        <v>45717</v>
      </c>
      <c r="C811" t="s">
        <v>2</v>
      </c>
      <c r="D811" t="s">
        <v>4</v>
      </c>
      <c r="E811" t="s">
        <v>42</v>
      </c>
      <c r="F811">
        <v>2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1</v>
      </c>
      <c r="P811">
        <f t="shared" si="45"/>
        <v>2025</v>
      </c>
      <c r="Q811">
        <f t="shared" si="46"/>
        <v>3</v>
      </c>
      <c r="R811" t="str">
        <f t="shared" si="44"/>
        <v>UD效果投放</v>
      </c>
      <c r="S811" t="str">
        <f>_xlfn.XLOOKUP(B811,全店核心数据_bymonth!A:A,全店核心数据_bymonth!AN:AN)</f>
        <v>BU25</v>
      </c>
    </row>
    <row r="812" spans="1:19" x14ac:dyDescent="0.3">
      <c r="A812" t="s">
        <v>110</v>
      </c>
      <c r="B812" s="16">
        <v>45717</v>
      </c>
      <c r="C812" t="s">
        <v>2</v>
      </c>
      <c r="D812" t="s">
        <v>4</v>
      </c>
      <c r="E812" t="s">
        <v>41</v>
      </c>
      <c r="F812">
        <v>20</v>
      </c>
      <c r="G812">
        <v>17</v>
      </c>
      <c r="H812">
        <v>2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8</v>
      </c>
      <c r="O812">
        <v>16</v>
      </c>
      <c r="P812">
        <f t="shared" si="45"/>
        <v>2025</v>
      </c>
      <c r="Q812">
        <f t="shared" si="46"/>
        <v>3</v>
      </c>
      <c r="R812" t="str">
        <f t="shared" si="44"/>
        <v>流量宝</v>
      </c>
      <c r="S812" t="str">
        <f>_xlfn.XLOOKUP(B812,全店核心数据_bymonth!A:A,全店核心数据_bymonth!AN:AN)</f>
        <v>BU25</v>
      </c>
    </row>
    <row r="813" spans="1:19" x14ac:dyDescent="0.3">
      <c r="A813" t="s">
        <v>110</v>
      </c>
      <c r="B813" s="16">
        <v>45717</v>
      </c>
      <c r="C813" t="s">
        <v>2</v>
      </c>
      <c r="D813" t="s">
        <v>4</v>
      </c>
      <c r="E813" t="s">
        <v>43</v>
      </c>
      <c r="F813">
        <v>8670</v>
      </c>
      <c r="G813">
        <v>5019</v>
      </c>
      <c r="H813">
        <v>12</v>
      </c>
      <c r="I813">
        <v>11</v>
      </c>
      <c r="J813">
        <v>81895</v>
      </c>
      <c r="K813">
        <v>4</v>
      </c>
      <c r="L813">
        <v>81895</v>
      </c>
      <c r="M813">
        <v>4</v>
      </c>
      <c r="N813">
        <v>62</v>
      </c>
      <c r="O813">
        <v>8640</v>
      </c>
      <c r="P813">
        <f t="shared" si="45"/>
        <v>2025</v>
      </c>
      <c r="Q813">
        <f t="shared" si="46"/>
        <v>3</v>
      </c>
      <c r="R813" t="str">
        <f t="shared" si="44"/>
        <v>淘宝客</v>
      </c>
      <c r="S813" t="str">
        <f>_xlfn.XLOOKUP(B813,全店核心数据_bymonth!A:A,全店核心数据_bymonth!AN:AN)</f>
        <v>BU25</v>
      </c>
    </row>
    <row r="814" spans="1:19" x14ac:dyDescent="0.3">
      <c r="A814" t="s">
        <v>110</v>
      </c>
      <c r="B814" s="16">
        <v>45352</v>
      </c>
      <c r="C814" t="s">
        <v>3</v>
      </c>
      <c r="D814" t="s">
        <v>114</v>
      </c>
      <c r="E814" t="s">
        <v>159</v>
      </c>
      <c r="F814">
        <v>530</v>
      </c>
      <c r="G814">
        <v>359</v>
      </c>
      <c r="H814">
        <v>9</v>
      </c>
      <c r="I814">
        <v>8</v>
      </c>
      <c r="J814">
        <v>29990</v>
      </c>
      <c r="K814">
        <v>1</v>
      </c>
      <c r="L814">
        <v>14995</v>
      </c>
      <c r="M814">
        <v>1</v>
      </c>
      <c r="O814">
        <v>529</v>
      </c>
      <c r="P814">
        <f t="shared" si="45"/>
        <v>2024</v>
      </c>
      <c r="Q814">
        <f t="shared" si="46"/>
        <v>3</v>
      </c>
      <c r="R814" t="str">
        <f t="shared" si="44"/>
        <v>主会场</v>
      </c>
      <c r="S814" t="str">
        <f>_xlfn.XLOOKUP(B814,全店核心数据_bymonth!A:A,全店核心数据_bymonth!AN:AN)</f>
        <v>BU24</v>
      </c>
    </row>
    <row r="815" spans="1:19" x14ac:dyDescent="0.3">
      <c r="A815" t="s">
        <v>110</v>
      </c>
      <c r="B815" s="16">
        <v>45352</v>
      </c>
      <c r="C815" t="s">
        <v>3</v>
      </c>
      <c r="D815" t="s">
        <v>114</v>
      </c>
      <c r="E815" t="s">
        <v>160</v>
      </c>
      <c r="F815">
        <v>23</v>
      </c>
      <c r="G815">
        <v>23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O815">
        <v>23</v>
      </c>
      <c r="P815">
        <f t="shared" si="45"/>
        <v>2024</v>
      </c>
      <c r="Q815">
        <f t="shared" si="46"/>
        <v>3</v>
      </c>
      <c r="R815" t="str">
        <f t="shared" si="44"/>
        <v>榜单会场</v>
      </c>
      <c r="S815" t="str">
        <f>_xlfn.XLOOKUP(B815,全店核心数据_bymonth!A:A,全店核心数据_bymonth!AN:AN)</f>
        <v>BU24</v>
      </c>
    </row>
    <row r="816" spans="1:19" x14ac:dyDescent="0.3">
      <c r="A816" t="s">
        <v>110</v>
      </c>
      <c r="B816" s="16">
        <v>45352</v>
      </c>
      <c r="C816" t="s">
        <v>3</v>
      </c>
      <c r="D816" t="s">
        <v>185</v>
      </c>
      <c r="E816" t="s">
        <v>190</v>
      </c>
      <c r="F816">
        <v>362</v>
      </c>
      <c r="G816">
        <v>350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O816">
        <v>362</v>
      </c>
      <c r="P816">
        <f t="shared" si="45"/>
        <v>2024</v>
      </c>
      <c r="Q816">
        <f t="shared" si="46"/>
        <v>3</v>
      </c>
      <c r="R816" t="str">
        <f t="shared" si="44"/>
        <v>超级惊喜站</v>
      </c>
      <c r="S816" t="str">
        <f>_xlfn.XLOOKUP(B816,全店核心数据_bymonth!A:A,全店核心数据_bymonth!AN:AN)</f>
        <v>BU24</v>
      </c>
    </row>
    <row r="817" spans="1:19" x14ac:dyDescent="0.3">
      <c r="A817" t="s">
        <v>110</v>
      </c>
      <c r="B817" s="16">
        <v>45352</v>
      </c>
      <c r="C817" t="s">
        <v>3</v>
      </c>
      <c r="D817" t="s">
        <v>117</v>
      </c>
      <c r="E817" t="s">
        <v>161</v>
      </c>
      <c r="F817">
        <v>15</v>
      </c>
      <c r="G817">
        <v>14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O817">
        <v>15</v>
      </c>
      <c r="P817">
        <f t="shared" si="45"/>
        <v>2024</v>
      </c>
      <c r="Q817">
        <f t="shared" si="46"/>
        <v>3</v>
      </c>
      <c r="R817" t="str">
        <f t="shared" si="44"/>
        <v>其他入口榜单</v>
      </c>
      <c r="S817" t="str">
        <f>_xlfn.XLOOKUP(B817,全店核心数据_bymonth!A:A,全店核心数据_bymonth!AN:AN)</f>
        <v>BU24</v>
      </c>
    </row>
    <row r="818" spans="1:19" x14ac:dyDescent="0.3">
      <c r="A818" t="s">
        <v>110</v>
      </c>
      <c r="B818" s="16">
        <v>45352</v>
      </c>
      <c r="C818" t="s">
        <v>3</v>
      </c>
      <c r="D818" t="s">
        <v>117</v>
      </c>
      <c r="E818" t="s">
        <v>191</v>
      </c>
      <c r="F818">
        <v>31</v>
      </c>
      <c r="G818">
        <v>30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31</v>
      </c>
      <c r="P818">
        <f t="shared" si="45"/>
        <v>2024</v>
      </c>
      <c r="Q818">
        <f t="shared" si="46"/>
        <v>3</v>
      </c>
      <c r="R818" t="str">
        <f t="shared" si="44"/>
        <v>商品详情页入口榜单</v>
      </c>
      <c r="S818" t="str">
        <f>_xlfn.XLOOKUP(B818,全店核心数据_bymonth!A:A,全店核心数据_bymonth!AN:AN)</f>
        <v>BU24</v>
      </c>
    </row>
    <row r="819" spans="1:19" x14ac:dyDescent="0.3">
      <c r="A819" t="s">
        <v>110</v>
      </c>
      <c r="B819" s="16">
        <v>45352</v>
      </c>
      <c r="C819" t="s">
        <v>3</v>
      </c>
      <c r="D819" t="s">
        <v>117</v>
      </c>
      <c r="E819" t="s">
        <v>195</v>
      </c>
      <c r="F819">
        <v>39</v>
      </c>
      <c r="G819">
        <v>38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0</v>
      </c>
      <c r="O819">
        <v>39</v>
      </c>
      <c r="P819">
        <f t="shared" si="45"/>
        <v>2024</v>
      </c>
      <c r="Q819">
        <f t="shared" si="46"/>
        <v>3</v>
      </c>
      <c r="R819" t="str">
        <f t="shared" si="44"/>
        <v>搜索入口榜单</v>
      </c>
      <c r="S819" t="str">
        <f>_xlfn.XLOOKUP(B819,全店核心数据_bymonth!A:A,全店核心数据_bymonth!AN:AN)</f>
        <v>BU24</v>
      </c>
    </row>
    <row r="820" spans="1:19" x14ac:dyDescent="0.3">
      <c r="A820" t="s">
        <v>110</v>
      </c>
      <c r="B820" s="16">
        <v>45352</v>
      </c>
      <c r="C820" t="s">
        <v>3</v>
      </c>
      <c r="D820" t="s">
        <v>120</v>
      </c>
      <c r="E820" t="s">
        <v>162</v>
      </c>
      <c r="F820">
        <v>7</v>
      </c>
      <c r="G820">
        <v>7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O820">
        <v>2</v>
      </c>
      <c r="P820">
        <f t="shared" si="45"/>
        <v>2024</v>
      </c>
      <c r="Q820">
        <f t="shared" si="46"/>
        <v>3</v>
      </c>
      <c r="R820" t="str">
        <f t="shared" si="44"/>
        <v>手机浏览器访问天猫</v>
      </c>
      <c r="S820" t="str">
        <f>_xlfn.XLOOKUP(B820,全店核心数据_bymonth!A:A,全店核心数据_bymonth!AN:AN)</f>
        <v>BU24</v>
      </c>
    </row>
    <row r="821" spans="1:19" x14ac:dyDescent="0.3">
      <c r="A821" t="s">
        <v>110</v>
      </c>
      <c r="B821" s="16">
        <v>45352</v>
      </c>
      <c r="C821" t="s">
        <v>3</v>
      </c>
      <c r="D821" t="s">
        <v>120</v>
      </c>
      <c r="E821" t="s">
        <v>163</v>
      </c>
      <c r="F821">
        <v>952</v>
      </c>
      <c r="G821">
        <v>729</v>
      </c>
      <c r="H821">
        <v>29</v>
      </c>
      <c r="I821">
        <v>0</v>
      </c>
      <c r="J821">
        <v>35545</v>
      </c>
      <c r="K821">
        <v>7</v>
      </c>
      <c r="L821">
        <v>28250</v>
      </c>
      <c r="M821">
        <v>6</v>
      </c>
      <c r="O821">
        <v>868</v>
      </c>
      <c r="P821">
        <f t="shared" si="45"/>
        <v>2024</v>
      </c>
      <c r="Q821">
        <f t="shared" si="46"/>
        <v>3</v>
      </c>
      <c r="R821" t="str">
        <f t="shared" si="44"/>
        <v>手猫免费其他</v>
      </c>
      <c r="S821" t="str">
        <f>_xlfn.XLOOKUP(B821,全店核心数据_bymonth!A:A,全店核心数据_bymonth!AN:AN)</f>
        <v>BU24</v>
      </c>
    </row>
    <row r="822" spans="1:19" x14ac:dyDescent="0.3">
      <c r="A822" t="s">
        <v>110</v>
      </c>
      <c r="B822" s="16">
        <v>45352</v>
      </c>
      <c r="C822" t="s">
        <v>3</v>
      </c>
      <c r="D822" t="s">
        <v>120</v>
      </c>
      <c r="E822" t="s">
        <v>164</v>
      </c>
      <c r="F822">
        <v>112</v>
      </c>
      <c r="G822">
        <v>88</v>
      </c>
      <c r="H822">
        <v>7</v>
      </c>
      <c r="I822">
        <v>0</v>
      </c>
      <c r="J822">
        <v>6895</v>
      </c>
      <c r="K822">
        <v>1</v>
      </c>
      <c r="L822">
        <v>6895</v>
      </c>
      <c r="M822">
        <v>1</v>
      </c>
      <c r="O822">
        <v>112</v>
      </c>
      <c r="P822">
        <f t="shared" si="45"/>
        <v>2024</v>
      </c>
      <c r="Q822">
        <f t="shared" si="46"/>
        <v>3</v>
      </c>
      <c r="R822" t="str">
        <f t="shared" si="44"/>
        <v>手猫其他店铺</v>
      </c>
      <c r="S822" t="str">
        <f>_xlfn.XLOOKUP(B822,全店核心数据_bymonth!A:A,全店核心数据_bymonth!AN:AN)</f>
        <v>BU24</v>
      </c>
    </row>
    <row r="823" spans="1:19" x14ac:dyDescent="0.3">
      <c r="A823" t="s">
        <v>110</v>
      </c>
      <c r="B823" s="16">
        <v>45352</v>
      </c>
      <c r="C823" t="s">
        <v>3</v>
      </c>
      <c r="D823" t="s">
        <v>120</v>
      </c>
      <c r="E823" t="s">
        <v>165</v>
      </c>
      <c r="F823">
        <v>357</v>
      </c>
      <c r="G823">
        <v>233</v>
      </c>
      <c r="H823">
        <v>12</v>
      </c>
      <c r="I823">
        <v>0</v>
      </c>
      <c r="J823">
        <v>9785</v>
      </c>
      <c r="K823">
        <v>2</v>
      </c>
      <c r="L823">
        <v>6790</v>
      </c>
      <c r="M823">
        <v>2</v>
      </c>
      <c r="O823">
        <v>344</v>
      </c>
      <c r="P823">
        <f t="shared" si="45"/>
        <v>2024</v>
      </c>
      <c r="Q823">
        <f t="shared" si="46"/>
        <v>3</v>
      </c>
      <c r="R823" t="str">
        <f t="shared" si="44"/>
        <v>手猫商品详情</v>
      </c>
      <c r="S823" t="str">
        <f>_xlfn.XLOOKUP(B823,全店核心数据_bymonth!A:A,全店核心数据_bymonth!AN:AN)</f>
        <v>BU24</v>
      </c>
    </row>
    <row r="824" spans="1:19" x14ac:dyDescent="0.3">
      <c r="A824" t="s">
        <v>110</v>
      </c>
      <c r="B824" s="16">
        <v>45352</v>
      </c>
      <c r="C824" t="s">
        <v>3</v>
      </c>
      <c r="D824" t="s">
        <v>120</v>
      </c>
      <c r="E824" t="s">
        <v>166</v>
      </c>
      <c r="F824">
        <v>922</v>
      </c>
      <c r="G824">
        <v>810</v>
      </c>
      <c r="H824">
        <v>16</v>
      </c>
      <c r="I824">
        <v>0</v>
      </c>
      <c r="J824">
        <v>13955</v>
      </c>
      <c r="K824">
        <v>4</v>
      </c>
      <c r="L824">
        <v>13955</v>
      </c>
      <c r="M824">
        <v>4</v>
      </c>
      <c r="O824">
        <v>670</v>
      </c>
      <c r="P824">
        <f t="shared" si="45"/>
        <v>2024</v>
      </c>
      <c r="Q824">
        <f t="shared" si="46"/>
        <v>3</v>
      </c>
      <c r="R824" t="str">
        <f t="shared" si="44"/>
        <v>手猫搜索</v>
      </c>
      <c r="S824" t="str">
        <f>_xlfn.XLOOKUP(B824,全店核心数据_bymonth!A:A,全店核心数据_bymonth!AN:AN)</f>
        <v>BU24</v>
      </c>
    </row>
    <row r="825" spans="1:19" x14ac:dyDescent="0.3">
      <c r="A825" t="s">
        <v>110</v>
      </c>
      <c r="B825" s="16">
        <v>45352</v>
      </c>
      <c r="C825" t="s">
        <v>3</v>
      </c>
      <c r="D825" t="s">
        <v>120</v>
      </c>
      <c r="E825" t="s">
        <v>167</v>
      </c>
      <c r="F825">
        <v>40</v>
      </c>
      <c r="G825">
        <v>22</v>
      </c>
      <c r="H825">
        <v>0</v>
      </c>
      <c r="I825">
        <v>0</v>
      </c>
      <c r="J825">
        <v>15345</v>
      </c>
      <c r="K825">
        <v>2</v>
      </c>
      <c r="L825">
        <v>15345</v>
      </c>
      <c r="M825">
        <v>2</v>
      </c>
      <c r="O825">
        <v>39</v>
      </c>
      <c r="P825">
        <f t="shared" si="45"/>
        <v>2024</v>
      </c>
      <c r="Q825">
        <f t="shared" si="46"/>
        <v>3</v>
      </c>
      <c r="R825" t="str">
        <f t="shared" si="44"/>
        <v>手猫旺信聊天</v>
      </c>
      <c r="S825" t="str">
        <f>_xlfn.XLOOKUP(B825,全店核心数据_bymonth!A:A,全店核心数据_bymonth!AN:AN)</f>
        <v>BU24</v>
      </c>
    </row>
    <row r="826" spans="1:19" x14ac:dyDescent="0.3">
      <c r="A826" t="s">
        <v>110</v>
      </c>
      <c r="B826" s="16">
        <v>45352</v>
      </c>
      <c r="C826" t="s">
        <v>3</v>
      </c>
      <c r="D826" t="s">
        <v>120</v>
      </c>
      <c r="E826" t="s">
        <v>168</v>
      </c>
      <c r="F826">
        <v>3024</v>
      </c>
      <c r="G826">
        <v>2567</v>
      </c>
      <c r="H826">
        <v>28</v>
      </c>
      <c r="I826">
        <v>0</v>
      </c>
      <c r="J826">
        <v>22635</v>
      </c>
      <c r="K826">
        <v>5</v>
      </c>
      <c r="L826">
        <v>22635</v>
      </c>
      <c r="M826">
        <v>5</v>
      </c>
      <c r="O826">
        <v>3024</v>
      </c>
      <c r="P826">
        <f t="shared" si="45"/>
        <v>2024</v>
      </c>
      <c r="Q826">
        <f t="shared" si="46"/>
        <v>3</v>
      </c>
      <c r="R826" t="str">
        <f t="shared" si="44"/>
        <v>手猫首页</v>
      </c>
      <c r="S826" t="str">
        <f>_xlfn.XLOOKUP(B826,全店核心数据_bymonth!A:A,全店核心数据_bymonth!AN:AN)</f>
        <v>BU24</v>
      </c>
    </row>
    <row r="827" spans="1:19" x14ac:dyDescent="0.3">
      <c r="A827" t="s">
        <v>110</v>
      </c>
      <c r="B827" s="16">
        <v>45352</v>
      </c>
      <c r="C827" t="s">
        <v>3</v>
      </c>
      <c r="D827" t="s">
        <v>123</v>
      </c>
      <c r="E827" t="s">
        <v>169</v>
      </c>
      <c r="F827">
        <v>596</v>
      </c>
      <c r="G827">
        <v>339</v>
      </c>
      <c r="H827">
        <v>18</v>
      </c>
      <c r="I827">
        <v>7</v>
      </c>
      <c r="J827">
        <v>15145</v>
      </c>
      <c r="K827">
        <v>2</v>
      </c>
      <c r="L827">
        <v>15145</v>
      </c>
      <c r="M827">
        <v>2</v>
      </c>
      <c r="O827">
        <v>523</v>
      </c>
      <c r="P827">
        <f t="shared" si="45"/>
        <v>2024</v>
      </c>
      <c r="Q827">
        <f t="shared" si="46"/>
        <v>3</v>
      </c>
      <c r="R827" t="str">
        <f t="shared" si="44"/>
        <v>商品详情页头图推荐</v>
      </c>
      <c r="S827" t="str">
        <f>_xlfn.XLOOKUP(B827,全店核心数据_bymonth!A:A,全店核心数据_bymonth!AN:AN)</f>
        <v>BU24</v>
      </c>
    </row>
    <row r="828" spans="1:19" x14ac:dyDescent="0.3">
      <c r="A828" t="s">
        <v>110</v>
      </c>
      <c r="B828" s="16">
        <v>45352</v>
      </c>
      <c r="C828" t="s">
        <v>3</v>
      </c>
      <c r="D828" t="s">
        <v>123</v>
      </c>
      <c r="E828" t="s">
        <v>170</v>
      </c>
      <c r="F828">
        <v>407</v>
      </c>
      <c r="G828">
        <v>328</v>
      </c>
      <c r="H828">
        <v>13</v>
      </c>
      <c r="I828">
        <v>3</v>
      </c>
      <c r="J828">
        <v>14995</v>
      </c>
      <c r="K828">
        <v>1</v>
      </c>
      <c r="L828">
        <v>14995</v>
      </c>
      <c r="M828">
        <v>1</v>
      </c>
      <c r="O828">
        <v>171</v>
      </c>
      <c r="P828">
        <f t="shared" si="45"/>
        <v>2024</v>
      </c>
      <c r="Q828">
        <f t="shared" si="46"/>
        <v>3</v>
      </c>
      <c r="R828" t="str">
        <f t="shared" si="44"/>
        <v>店铺超链</v>
      </c>
      <c r="S828" t="str">
        <f>_xlfn.XLOOKUP(B828,全店核心数据_bymonth!A:A,全店核心数据_bymonth!AN:AN)</f>
        <v>BU24</v>
      </c>
    </row>
    <row r="829" spans="1:19" x14ac:dyDescent="0.3">
      <c r="A829" t="s">
        <v>110</v>
      </c>
      <c r="B829" s="16">
        <v>45352</v>
      </c>
      <c r="C829" t="s">
        <v>3</v>
      </c>
      <c r="D829" t="s">
        <v>127</v>
      </c>
      <c r="E829" t="s">
        <v>171</v>
      </c>
      <c r="F829">
        <v>1218</v>
      </c>
      <c r="G829">
        <v>806</v>
      </c>
      <c r="H829">
        <v>31</v>
      </c>
      <c r="I829">
        <v>18</v>
      </c>
      <c r="J829">
        <v>19790</v>
      </c>
      <c r="K829">
        <v>3</v>
      </c>
      <c r="L829">
        <v>7840</v>
      </c>
      <c r="M829">
        <v>2</v>
      </c>
      <c r="O829">
        <v>994</v>
      </c>
      <c r="P829">
        <f t="shared" si="45"/>
        <v>2024</v>
      </c>
      <c r="Q829">
        <f t="shared" si="46"/>
        <v>3</v>
      </c>
      <c r="R829" t="str">
        <f t="shared" si="44"/>
        <v>其他猜你喜欢</v>
      </c>
      <c r="S829" t="str">
        <f>_xlfn.XLOOKUP(B829,全店核心数据_bymonth!A:A,全店核心数据_bymonth!AN:AN)</f>
        <v>BU24</v>
      </c>
    </row>
    <row r="830" spans="1:19" x14ac:dyDescent="0.3">
      <c r="A830" t="s">
        <v>110</v>
      </c>
      <c r="B830" s="16">
        <v>45352</v>
      </c>
      <c r="C830" t="s">
        <v>3</v>
      </c>
      <c r="D830" t="s">
        <v>127</v>
      </c>
      <c r="E830" t="s">
        <v>172</v>
      </c>
      <c r="F830">
        <v>25</v>
      </c>
      <c r="G830">
        <v>13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O830">
        <v>25</v>
      </c>
      <c r="P830">
        <f t="shared" si="45"/>
        <v>2024</v>
      </c>
      <c r="Q830">
        <f t="shared" si="46"/>
        <v>3</v>
      </c>
      <c r="R830" t="str">
        <f t="shared" si="44"/>
        <v>购中推荐</v>
      </c>
      <c r="S830" t="str">
        <f>_xlfn.XLOOKUP(B830,全店核心数据_bymonth!A:A,全店核心数据_bymonth!AN:AN)</f>
        <v>BU24</v>
      </c>
    </row>
    <row r="831" spans="1:19" x14ac:dyDescent="0.3">
      <c r="A831" t="s">
        <v>110</v>
      </c>
      <c r="B831" s="16">
        <v>45352</v>
      </c>
      <c r="C831" t="s">
        <v>3</v>
      </c>
      <c r="D831" t="s">
        <v>127</v>
      </c>
      <c r="E831" t="s">
        <v>173</v>
      </c>
      <c r="F831">
        <v>209</v>
      </c>
      <c r="G831">
        <v>153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O831">
        <v>209</v>
      </c>
      <c r="P831">
        <f t="shared" si="45"/>
        <v>2024</v>
      </c>
      <c r="Q831">
        <f t="shared" si="46"/>
        <v>3</v>
      </c>
      <c r="R831" t="str">
        <f t="shared" si="44"/>
        <v>购后推荐</v>
      </c>
      <c r="S831" t="str">
        <f>_xlfn.XLOOKUP(B831,全店核心数据_bymonth!A:A,全店核心数据_bymonth!AN:AN)</f>
        <v>BU24</v>
      </c>
    </row>
    <row r="832" spans="1:19" x14ac:dyDescent="0.3">
      <c r="A832" t="s">
        <v>110</v>
      </c>
      <c r="B832" s="16">
        <v>45352</v>
      </c>
      <c r="C832" t="s">
        <v>3</v>
      </c>
      <c r="D832" t="s">
        <v>127</v>
      </c>
      <c r="E832" t="s">
        <v>174</v>
      </c>
      <c r="F832">
        <v>4860</v>
      </c>
      <c r="G832">
        <v>3578</v>
      </c>
      <c r="H832">
        <v>62</v>
      </c>
      <c r="I832">
        <v>32</v>
      </c>
      <c r="J832">
        <v>77255</v>
      </c>
      <c r="K832">
        <v>7</v>
      </c>
      <c r="L832">
        <v>77255</v>
      </c>
      <c r="M832">
        <v>7</v>
      </c>
      <c r="O832">
        <v>4860</v>
      </c>
      <c r="P832">
        <f t="shared" si="45"/>
        <v>2024</v>
      </c>
      <c r="Q832">
        <f t="shared" si="46"/>
        <v>3</v>
      </c>
      <c r="R832" t="str">
        <f t="shared" si="44"/>
        <v>首页推荐-微详情</v>
      </c>
      <c r="S832" t="str">
        <f>_xlfn.XLOOKUP(B832,全店核心数据_bymonth!A:A,全店核心数据_bymonth!AN:AN)</f>
        <v>BU24</v>
      </c>
    </row>
    <row r="833" spans="1:19" x14ac:dyDescent="0.3">
      <c r="A833" t="s">
        <v>110</v>
      </c>
      <c r="B833" s="16">
        <v>45352</v>
      </c>
      <c r="C833" t="s">
        <v>3</v>
      </c>
      <c r="D833" t="s">
        <v>127</v>
      </c>
      <c r="E833" t="s">
        <v>175</v>
      </c>
      <c r="F833">
        <v>82</v>
      </c>
      <c r="G833">
        <v>63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O833">
        <v>13</v>
      </c>
      <c r="P833">
        <f t="shared" si="45"/>
        <v>2024</v>
      </c>
      <c r="Q833">
        <f t="shared" si="46"/>
        <v>3</v>
      </c>
      <c r="R833" t="str">
        <f t="shared" si="44"/>
        <v>首页推荐-直播</v>
      </c>
      <c r="S833" t="str">
        <f>_xlfn.XLOOKUP(B833,全店核心数据_bymonth!A:A,全店核心数据_bymonth!AN:AN)</f>
        <v>BU24</v>
      </c>
    </row>
    <row r="834" spans="1:19" x14ac:dyDescent="0.3">
      <c r="A834" t="s">
        <v>110</v>
      </c>
      <c r="B834" s="16">
        <v>45352</v>
      </c>
      <c r="C834" t="s">
        <v>3</v>
      </c>
      <c r="D834" t="s">
        <v>127</v>
      </c>
      <c r="E834" t="s">
        <v>176</v>
      </c>
      <c r="F834">
        <v>18</v>
      </c>
      <c r="G834">
        <v>10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O834">
        <v>1</v>
      </c>
      <c r="P834">
        <f t="shared" si="45"/>
        <v>2024</v>
      </c>
      <c r="Q834">
        <f t="shared" si="46"/>
        <v>3</v>
      </c>
      <c r="R834" t="str">
        <f t="shared" si="44"/>
        <v>首页推荐-短视频</v>
      </c>
      <c r="S834" t="str">
        <f>_xlfn.XLOOKUP(B834,全店核心数据_bymonth!A:A,全店核心数据_bymonth!AN:AN)</f>
        <v>BU24</v>
      </c>
    </row>
    <row r="835" spans="1:19" x14ac:dyDescent="0.3">
      <c r="A835" t="s">
        <v>110</v>
      </c>
      <c r="B835" s="16">
        <v>45352</v>
      </c>
      <c r="C835" t="s">
        <v>3</v>
      </c>
      <c r="D835" t="s">
        <v>128</v>
      </c>
      <c r="E835" t="s">
        <v>177</v>
      </c>
      <c r="F835">
        <v>8896</v>
      </c>
      <c r="G835">
        <v>8032</v>
      </c>
      <c r="H835">
        <v>243</v>
      </c>
      <c r="I835">
        <v>121</v>
      </c>
      <c r="J835">
        <v>252380</v>
      </c>
      <c r="K835">
        <v>34</v>
      </c>
      <c r="L835">
        <v>163460</v>
      </c>
      <c r="M835">
        <v>25</v>
      </c>
      <c r="O835">
        <v>7619</v>
      </c>
      <c r="P835">
        <f t="shared" si="45"/>
        <v>2024</v>
      </c>
      <c r="Q835">
        <f t="shared" si="46"/>
        <v>3</v>
      </c>
      <c r="R835" t="str">
        <f t="shared" si="44"/>
        <v>手淘搜索-商品及其他</v>
      </c>
      <c r="S835" t="str">
        <f>_xlfn.XLOOKUP(B835,全店核心数据_bymonth!A:A,全店核心数据_bymonth!AN:AN)</f>
        <v>BU24</v>
      </c>
    </row>
    <row r="836" spans="1:19" x14ac:dyDescent="0.3">
      <c r="A836" t="s">
        <v>110</v>
      </c>
      <c r="B836" s="16">
        <v>45352</v>
      </c>
      <c r="C836" t="s">
        <v>3</v>
      </c>
      <c r="D836" t="s">
        <v>128</v>
      </c>
      <c r="E836" t="s">
        <v>178</v>
      </c>
      <c r="F836">
        <v>16</v>
      </c>
      <c r="G836">
        <v>12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O836">
        <v>11</v>
      </c>
      <c r="P836">
        <f t="shared" si="45"/>
        <v>2024</v>
      </c>
      <c r="Q836">
        <f t="shared" si="46"/>
        <v>3</v>
      </c>
      <c r="R836" t="str">
        <f t="shared" si="44"/>
        <v>手淘搜索-直播</v>
      </c>
      <c r="S836" t="str">
        <f>_xlfn.XLOOKUP(B836,全店核心数据_bymonth!A:A,全店核心数据_bymonth!AN:AN)</f>
        <v>BU24</v>
      </c>
    </row>
    <row r="837" spans="1:19" x14ac:dyDescent="0.3">
      <c r="A837" t="s">
        <v>110</v>
      </c>
      <c r="B837" s="16">
        <v>45352</v>
      </c>
      <c r="C837" t="s">
        <v>3</v>
      </c>
      <c r="D837" t="s">
        <v>128</v>
      </c>
      <c r="E837" t="s">
        <v>179</v>
      </c>
      <c r="F837">
        <v>161</v>
      </c>
      <c r="G837">
        <v>105</v>
      </c>
      <c r="H837">
        <v>2</v>
      </c>
      <c r="I837">
        <v>0</v>
      </c>
      <c r="J837">
        <v>3395</v>
      </c>
      <c r="K837">
        <v>1</v>
      </c>
      <c r="L837">
        <v>3395</v>
      </c>
      <c r="M837">
        <v>1</v>
      </c>
      <c r="O837">
        <v>39</v>
      </c>
      <c r="P837">
        <f t="shared" si="45"/>
        <v>2024</v>
      </c>
      <c r="Q837">
        <f t="shared" si="46"/>
        <v>3</v>
      </c>
      <c r="R837" t="str">
        <f t="shared" si="44"/>
        <v>手淘搜索-短视频</v>
      </c>
      <c r="S837" t="str">
        <f>_xlfn.XLOOKUP(B837,全店核心数据_bymonth!A:A,全店核心数据_bymonth!AN:AN)</f>
        <v>BU24</v>
      </c>
    </row>
    <row r="838" spans="1:19" x14ac:dyDescent="0.3">
      <c r="A838" t="s">
        <v>110</v>
      </c>
      <c r="B838" s="16">
        <v>45352</v>
      </c>
      <c r="C838" t="s">
        <v>3</v>
      </c>
      <c r="D838" t="s">
        <v>143</v>
      </c>
      <c r="E838" t="s">
        <v>196</v>
      </c>
      <c r="F838">
        <v>9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O838">
        <v>9</v>
      </c>
      <c r="P838">
        <f t="shared" si="45"/>
        <v>2024</v>
      </c>
      <c r="Q838">
        <f t="shared" si="46"/>
        <v>3</v>
      </c>
      <c r="R838" t="str">
        <f t="shared" si="44"/>
        <v>淘特互动游戏</v>
      </c>
      <c r="S838" t="str">
        <f>_xlfn.XLOOKUP(B838,全店核心数据_bymonth!A:A,全店核心数据_bymonth!AN:AN)</f>
        <v>BU24</v>
      </c>
    </row>
    <row r="839" spans="1:19" x14ac:dyDescent="0.3">
      <c r="A839" t="s">
        <v>110</v>
      </c>
      <c r="B839" s="16">
        <v>45352</v>
      </c>
      <c r="C839" t="s">
        <v>3</v>
      </c>
      <c r="D839" t="s">
        <v>143</v>
      </c>
      <c r="E839" t="s">
        <v>180</v>
      </c>
      <c r="F839">
        <v>221</v>
      </c>
      <c r="G839">
        <v>213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O839">
        <v>220</v>
      </c>
      <c r="P839">
        <f t="shared" si="45"/>
        <v>2024</v>
      </c>
      <c r="Q839">
        <f t="shared" si="46"/>
        <v>3</v>
      </c>
      <c r="R839" t="str">
        <f t="shared" ref="R839:R902" si="47">E839</f>
        <v>淘特其他渠道</v>
      </c>
      <c r="S839" t="str">
        <f>_xlfn.XLOOKUP(B839,全店核心数据_bymonth!A:A,全店核心数据_bymonth!AN:AN)</f>
        <v>BU24</v>
      </c>
    </row>
    <row r="840" spans="1:19" x14ac:dyDescent="0.3">
      <c r="A840" t="s">
        <v>110</v>
      </c>
      <c r="B840" s="16">
        <v>45352</v>
      </c>
      <c r="C840" t="s">
        <v>3</v>
      </c>
      <c r="D840" t="s">
        <v>143</v>
      </c>
      <c r="E840" t="s">
        <v>197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O840">
        <v>1</v>
      </c>
      <c r="P840">
        <f t="shared" si="45"/>
        <v>2024</v>
      </c>
      <c r="Q840">
        <f t="shared" si="46"/>
        <v>3</v>
      </c>
      <c r="R840" t="str">
        <f t="shared" si="47"/>
        <v>淘特推荐</v>
      </c>
      <c r="S840" t="str">
        <f>_xlfn.XLOOKUP(B840,全店核心数据_bymonth!A:A,全店核心数据_bymonth!AN:AN)</f>
        <v>BU24</v>
      </c>
    </row>
    <row r="841" spans="1:19" x14ac:dyDescent="0.3">
      <c r="A841" t="s">
        <v>110</v>
      </c>
      <c r="B841" s="16">
        <v>45352</v>
      </c>
      <c r="C841" t="s">
        <v>3</v>
      </c>
      <c r="D841" t="s">
        <v>143</v>
      </c>
      <c r="E841" t="s">
        <v>181</v>
      </c>
      <c r="F841">
        <v>12</v>
      </c>
      <c r="G841">
        <v>11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O841">
        <v>12</v>
      </c>
      <c r="P841">
        <f t="shared" si="45"/>
        <v>2024</v>
      </c>
      <c r="Q841">
        <f t="shared" si="46"/>
        <v>3</v>
      </c>
      <c r="R841" t="str">
        <f t="shared" si="47"/>
        <v>淘特搜索</v>
      </c>
      <c r="S841" t="str">
        <f>_xlfn.XLOOKUP(B841,全店核心数据_bymonth!A:A,全店核心数据_bymonth!AN:AN)</f>
        <v>BU24</v>
      </c>
    </row>
    <row r="842" spans="1:19" x14ac:dyDescent="0.3">
      <c r="A842" t="s">
        <v>110</v>
      </c>
      <c r="B842" s="16">
        <v>45352</v>
      </c>
      <c r="C842" t="s">
        <v>3</v>
      </c>
      <c r="D842" t="s">
        <v>143</v>
      </c>
      <c r="E842" t="s">
        <v>224</v>
      </c>
      <c r="F842">
        <v>1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O842">
        <v>1</v>
      </c>
      <c r="P842">
        <f t="shared" si="45"/>
        <v>2024</v>
      </c>
      <c r="Q842">
        <f t="shared" si="46"/>
        <v>3</v>
      </c>
      <c r="R842" t="str">
        <f t="shared" si="47"/>
        <v>淘特自主访问</v>
      </c>
      <c r="S842" t="str">
        <f>_xlfn.XLOOKUP(B842,全店核心数据_bymonth!A:A,全店核心数据_bymonth!AN:AN)</f>
        <v>BU24</v>
      </c>
    </row>
    <row r="843" spans="1:19" x14ac:dyDescent="0.3">
      <c r="A843" t="s">
        <v>110</v>
      </c>
      <c r="B843" s="16">
        <v>45352</v>
      </c>
      <c r="C843" t="s">
        <v>2</v>
      </c>
      <c r="D843" t="s">
        <v>55</v>
      </c>
      <c r="E843" t="s">
        <v>56</v>
      </c>
      <c r="F843">
        <v>3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O843">
        <v>0</v>
      </c>
      <c r="P843">
        <f t="shared" si="45"/>
        <v>2024</v>
      </c>
      <c r="Q843">
        <f t="shared" si="46"/>
        <v>3</v>
      </c>
      <c r="R843" t="str">
        <f t="shared" si="47"/>
        <v>超级短视频</v>
      </c>
      <c r="S843" t="str">
        <f>_xlfn.XLOOKUP(B843,全店核心数据_bymonth!A:A,全店核心数据_bymonth!AN:AN)</f>
        <v>BU24</v>
      </c>
    </row>
    <row r="844" spans="1:19" x14ac:dyDescent="0.3">
      <c r="A844" t="s">
        <v>110</v>
      </c>
      <c r="B844" s="16">
        <v>45352</v>
      </c>
      <c r="C844" t="s">
        <v>2</v>
      </c>
      <c r="D844" t="s">
        <v>52</v>
      </c>
      <c r="E844" t="s">
        <v>51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O844">
        <v>1</v>
      </c>
      <c r="P844">
        <f t="shared" si="45"/>
        <v>2024</v>
      </c>
      <c r="Q844">
        <f t="shared" si="46"/>
        <v>3</v>
      </c>
      <c r="R844" t="str">
        <f t="shared" si="47"/>
        <v>品牌定制</v>
      </c>
      <c r="S844" t="str">
        <f>_xlfn.XLOOKUP(B844,全店核心数据_bymonth!A:A,全店核心数据_bymonth!AN:AN)</f>
        <v>BU24</v>
      </c>
    </row>
    <row r="845" spans="1:19" x14ac:dyDescent="0.3">
      <c r="A845" t="s">
        <v>110</v>
      </c>
      <c r="B845" s="16">
        <v>45352</v>
      </c>
      <c r="C845" t="s">
        <v>2</v>
      </c>
      <c r="D845" t="s">
        <v>52</v>
      </c>
      <c r="E845" t="s">
        <v>183</v>
      </c>
      <c r="F845">
        <v>23671</v>
      </c>
      <c r="G845">
        <v>22929</v>
      </c>
      <c r="H845">
        <v>338</v>
      </c>
      <c r="I845">
        <v>120</v>
      </c>
      <c r="J845">
        <v>426485</v>
      </c>
      <c r="K845">
        <v>49</v>
      </c>
      <c r="L845">
        <v>388805</v>
      </c>
      <c r="M845">
        <v>44</v>
      </c>
      <c r="O845">
        <v>10583</v>
      </c>
      <c r="P845">
        <f t="shared" si="45"/>
        <v>2024</v>
      </c>
      <c r="Q845">
        <f t="shared" si="46"/>
        <v>3</v>
      </c>
      <c r="R845" t="str">
        <f t="shared" si="47"/>
        <v>品销宝-品牌专区</v>
      </c>
      <c r="S845" t="str">
        <f>_xlfn.XLOOKUP(B845,全店核心数据_bymonth!A:A,全店核心数据_bymonth!AN:AN)</f>
        <v>BU24</v>
      </c>
    </row>
    <row r="846" spans="1:19" x14ac:dyDescent="0.3">
      <c r="A846" t="s">
        <v>110</v>
      </c>
      <c r="B846" s="16">
        <v>45352</v>
      </c>
      <c r="C846" t="s">
        <v>2</v>
      </c>
      <c r="D846" t="s">
        <v>52</v>
      </c>
      <c r="E846" t="s">
        <v>58</v>
      </c>
      <c r="F846">
        <v>1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O846">
        <v>1</v>
      </c>
      <c r="P846">
        <f t="shared" si="45"/>
        <v>2024</v>
      </c>
      <c r="Q846">
        <f t="shared" si="46"/>
        <v>3</v>
      </c>
      <c r="R846" t="str">
        <f t="shared" si="47"/>
        <v>超级全域通</v>
      </c>
      <c r="S846" t="str">
        <f>_xlfn.XLOOKUP(B846,全店核心数据_bymonth!A:A,全店核心数据_bymonth!AN:AN)</f>
        <v>BU24</v>
      </c>
    </row>
    <row r="847" spans="1:19" x14ac:dyDescent="0.3">
      <c r="A847" t="s">
        <v>110</v>
      </c>
      <c r="B847" s="16">
        <v>45352</v>
      </c>
      <c r="C847" t="s">
        <v>2</v>
      </c>
      <c r="D847" t="s">
        <v>57</v>
      </c>
      <c r="E847" t="s">
        <v>65</v>
      </c>
      <c r="F847">
        <v>37039</v>
      </c>
      <c r="G847">
        <v>35403</v>
      </c>
      <c r="H847">
        <v>397</v>
      </c>
      <c r="I847">
        <v>271</v>
      </c>
      <c r="J847">
        <v>357810</v>
      </c>
      <c r="K847">
        <v>51</v>
      </c>
      <c r="L847">
        <v>193400</v>
      </c>
      <c r="M847">
        <v>35</v>
      </c>
      <c r="O847">
        <v>36646</v>
      </c>
      <c r="P847">
        <f t="shared" si="45"/>
        <v>2024</v>
      </c>
      <c r="Q847">
        <f t="shared" si="46"/>
        <v>3</v>
      </c>
      <c r="R847" t="str">
        <f t="shared" si="47"/>
        <v>直通车</v>
      </c>
      <c r="S847" t="str">
        <f>_xlfn.XLOOKUP(B847,全店核心数据_bymonth!A:A,全店核心数据_bymonth!AN:AN)</f>
        <v>BU24</v>
      </c>
    </row>
    <row r="848" spans="1:19" x14ac:dyDescent="0.3">
      <c r="A848" t="s">
        <v>110</v>
      </c>
      <c r="B848" s="16">
        <v>45352</v>
      </c>
      <c r="C848" t="s">
        <v>2</v>
      </c>
      <c r="D848" t="s">
        <v>57</v>
      </c>
      <c r="E848" t="s">
        <v>63</v>
      </c>
      <c r="F848">
        <v>28919</v>
      </c>
      <c r="G848">
        <v>26127</v>
      </c>
      <c r="H848">
        <v>417</v>
      </c>
      <c r="I848">
        <v>224</v>
      </c>
      <c r="J848">
        <v>316981.67</v>
      </c>
      <c r="K848">
        <v>47</v>
      </c>
      <c r="L848">
        <v>211656.67</v>
      </c>
      <c r="M848">
        <v>35</v>
      </c>
      <c r="O848">
        <v>28874</v>
      </c>
      <c r="P848">
        <f t="shared" si="45"/>
        <v>2024</v>
      </c>
      <c r="Q848">
        <f t="shared" si="46"/>
        <v>3</v>
      </c>
      <c r="R848" t="str">
        <f t="shared" si="47"/>
        <v>万相台</v>
      </c>
      <c r="S848" t="str">
        <f>_xlfn.XLOOKUP(B848,全店核心数据_bymonth!A:A,全店核心数据_bymonth!AN:AN)</f>
        <v>BU24</v>
      </c>
    </row>
    <row r="849" spans="1:19" x14ac:dyDescent="0.3">
      <c r="A849" t="s">
        <v>110</v>
      </c>
      <c r="B849" s="16">
        <v>45352</v>
      </c>
      <c r="C849" t="s">
        <v>2</v>
      </c>
      <c r="D849" t="s">
        <v>57</v>
      </c>
      <c r="E849" t="s">
        <v>64</v>
      </c>
      <c r="F849">
        <v>63609</v>
      </c>
      <c r="G849">
        <v>57799</v>
      </c>
      <c r="H849">
        <v>322</v>
      </c>
      <c r="I849">
        <v>330</v>
      </c>
      <c r="J849">
        <v>149750</v>
      </c>
      <c r="K849">
        <v>17</v>
      </c>
      <c r="L849">
        <v>84270</v>
      </c>
      <c r="M849">
        <v>10</v>
      </c>
      <c r="O849">
        <v>63593</v>
      </c>
      <c r="P849">
        <f t="shared" si="45"/>
        <v>2024</v>
      </c>
      <c r="Q849">
        <f t="shared" si="46"/>
        <v>3</v>
      </c>
      <c r="R849" t="str">
        <f t="shared" si="47"/>
        <v>引力魔方</v>
      </c>
      <c r="S849" t="str">
        <f>_xlfn.XLOOKUP(B849,全店核心数据_bymonth!A:A,全店核心数据_bymonth!AN:AN)</f>
        <v>BU24</v>
      </c>
    </row>
    <row r="850" spans="1:19" x14ac:dyDescent="0.3">
      <c r="A850" t="s">
        <v>110</v>
      </c>
      <c r="B850" s="16">
        <v>45352</v>
      </c>
      <c r="C850" t="s">
        <v>2</v>
      </c>
      <c r="D850" t="s">
        <v>4</v>
      </c>
      <c r="E850" t="s">
        <v>42</v>
      </c>
      <c r="F850">
        <v>1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O850">
        <v>1</v>
      </c>
      <c r="P850">
        <f t="shared" si="45"/>
        <v>2024</v>
      </c>
      <c r="Q850">
        <f t="shared" si="46"/>
        <v>3</v>
      </c>
      <c r="R850" t="str">
        <f t="shared" si="47"/>
        <v>UD效果投放</v>
      </c>
      <c r="S850" t="str">
        <f>_xlfn.XLOOKUP(B850,全店核心数据_bymonth!A:A,全店核心数据_bymonth!AN:AN)</f>
        <v>BU24</v>
      </c>
    </row>
    <row r="851" spans="1:19" x14ac:dyDescent="0.3">
      <c r="A851" t="s">
        <v>110</v>
      </c>
      <c r="B851" s="16">
        <v>45352</v>
      </c>
      <c r="C851" t="s">
        <v>2</v>
      </c>
      <c r="D851" t="s">
        <v>4</v>
      </c>
      <c r="E851" t="s">
        <v>41</v>
      </c>
      <c r="F851">
        <v>16</v>
      </c>
      <c r="G851">
        <v>11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O851">
        <v>13</v>
      </c>
      <c r="P851">
        <f t="shared" si="45"/>
        <v>2024</v>
      </c>
      <c r="Q851">
        <f t="shared" si="46"/>
        <v>3</v>
      </c>
      <c r="R851" t="str">
        <f t="shared" si="47"/>
        <v>流量宝</v>
      </c>
      <c r="S851" t="str">
        <f>_xlfn.XLOOKUP(B851,全店核心数据_bymonth!A:A,全店核心数据_bymonth!AN:AN)</f>
        <v>BU24</v>
      </c>
    </row>
    <row r="852" spans="1:19" x14ac:dyDescent="0.3">
      <c r="A852" t="s">
        <v>110</v>
      </c>
      <c r="B852" s="16">
        <v>45352</v>
      </c>
      <c r="C852" t="s">
        <v>2</v>
      </c>
      <c r="D852" t="s">
        <v>4</v>
      </c>
      <c r="E852" t="s">
        <v>43</v>
      </c>
      <c r="F852">
        <v>3758</v>
      </c>
      <c r="G852">
        <v>1994</v>
      </c>
      <c r="H852">
        <v>13</v>
      </c>
      <c r="I852">
        <v>6</v>
      </c>
      <c r="J852">
        <v>37295</v>
      </c>
      <c r="K852">
        <v>9</v>
      </c>
      <c r="L852">
        <v>37295</v>
      </c>
      <c r="M852">
        <v>9</v>
      </c>
      <c r="O852">
        <v>3548</v>
      </c>
      <c r="P852">
        <f t="shared" si="45"/>
        <v>2024</v>
      </c>
      <c r="Q852">
        <f t="shared" si="46"/>
        <v>3</v>
      </c>
      <c r="R852" t="str">
        <f t="shared" si="47"/>
        <v>淘宝客</v>
      </c>
      <c r="S852" t="str">
        <f>_xlfn.XLOOKUP(B852,全店核心数据_bymonth!A:A,全店核心数据_bymonth!AN:AN)</f>
        <v>BU24</v>
      </c>
    </row>
    <row r="853" spans="1:19" x14ac:dyDescent="0.3">
      <c r="A853" t="s">
        <v>110</v>
      </c>
      <c r="B853" s="16">
        <v>45748</v>
      </c>
      <c r="C853" t="s">
        <v>3</v>
      </c>
      <c r="D853" t="s">
        <v>123</v>
      </c>
      <c r="E853" t="s">
        <v>169</v>
      </c>
      <c r="F853">
        <v>1835</v>
      </c>
      <c r="G853">
        <v>1253</v>
      </c>
      <c r="H853">
        <v>56</v>
      </c>
      <c r="I853">
        <v>25</v>
      </c>
      <c r="J853">
        <v>18535</v>
      </c>
      <c r="K853">
        <v>5</v>
      </c>
      <c r="L853">
        <v>15540</v>
      </c>
      <c r="M853">
        <v>4</v>
      </c>
      <c r="N853">
        <v>411</v>
      </c>
      <c r="O853">
        <v>1778</v>
      </c>
      <c r="P853">
        <f t="shared" ref="P853:P916" si="48">YEAR(B853)</f>
        <v>2025</v>
      </c>
      <c r="Q853">
        <f t="shared" ref="Q853:Q916" si="49">MONTH(B853)</f>
        <v>4</v>
      </c>
      <c r="R853" t="str">
        <f t="shared" si="47"/>
        <v>商品详情页头图推荐</v>
      </c>
      <c r="S853" t="str">
        <f>_xlfn.XLOOKUP(B853,全店核心数据_bymonth!A:A,全店核心数据_bymonth!AN:AN)</f>
        <v>BU26</v>
      </c>
    </row>
    <row r="854" spans="1:19" x14ac:dyDescent="0.3">
      <c r="A854" t="s">
        <v>110</v>
      </c>
      <c r="B854" s="16">
        <v>45748</v>
      </c>
      <c r="C854" t="s">
        <v>3</v>
      </c>
      <c r="D854" t="s">
        <v>123</v>
      </c>
      <c r="E854" t="s">
        <v>170</v>
      </c>
      <c r="F854">
        <v>445</v>
      </c>
      <c r="G854">
        <v>347</v>
      </c>
      <c r="H854">
        <v>9</v>
      </c>
      <c r="I854">
        <v>2</v>
      </c>
      <c r="J854">
        <v>15385</v>
      </c>
      <c r="K854">
        <v>2</v>
      </c>
      <c r="L854">
        <v>9390</v>
      </c>
      <c r="M854">
        <v>1</v>
      </c>
      <c r="N854">
        <v>402</v>
      </c>
      <c r="O854">
        <v>169</v>
      </c>
      <c r="P854">
        <f t="shared" si="48"/>
        <v>2025</v>
      </c>
      <c r="Q854">
        <f t="shared" si="49"/>
        <v>4</v>
      </c>
      <c r="R854" t="str">
        <f t="shared" si="47"/>
        <v>店铺超链</v>
      </c>
      <c r="S854" t="str">
        <f>_xlfn.XLOOKUP(B854,全店核心数据_bymonth!A:A,全店核心数据_bymonth!AN:AN)</f>
        <v>BU26</v>
      </c>
    </row>
    <row r="855" spans="1:19" x14ac:dyDescent="0.3">
      <c r="A855" t="s">
        <v>110</v>
      </c>
      <c r="B855" s="16">
        <v>45748</v>
      </c>
      <c r="C855" t="s">
        <v>3</v>
      </c>
      <c r="D855" t="s">
        <v>127</v>
      </c>
      <c r="E855" t="s">
        <v>171</v>
      </c>
      <c r="F855">
        <v>3365</v>
      </c>
      <c r="G855">
        <v>2638</v>
      </c>
      <c r="H855">
        <v>32</v>
      </c>
      <c r="I855">
        <v>33</v>
      </c>
      <c r="J855">
        <v>60720</v>
      </c>
      <c r="K855">
        <v>7</v>
      </c>
      <c r="L855">
        <v>41525</v>
      </c>
      <c r="M855">
        <v>6</v>
      </c>
      <c r="N855">
        <v>507</v>
      </c>
      <c r="O855">
        <v>2948</v>
      </c>
      <c r="P855">
        <f t="shared" si="48"/>
        <v>2025</v>
      </c>
      <c r="Q855">
        <f t="shared" si="49"/>
        <v>4</v>
      </c>
      <c r="R855" t="str">
        <f t="shared" si="47"/>
        <v>其他猜你喜欢</v>
      </c>
      <c r="S855" t="str">
        <f>_xlfn.XLOOKUP(B855,全店核心数据_bymonth!A:A,全店核心数据_bymonth!AN:AN)</f>
        <v>BU26</v>
      </c>
    </row>
    <row r="856" spans="1:19" x14ac:dyDescent="0.3">
      <c r="A856" t="s">
        <v>110</v>
      </c>
      <c r="B856" s="16">
        <v>45748</v>
      </c>
      <c r="C856" t="s">
        <v>3</v>
      </c>
      <c r="D856" t="s">
        <v>127</v>
      </c>
      <c r="E856" t="s">
        <v>172</v>
      </c>
      <c r="F856">
        <v>211</v>
      </c>
      <c r="G856">
        <v>173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10</v>
      </c>
      <c r="O856">
        <v>183</v>
      </c>
      <c r="P856">
        <f t="shared" si="48"/>
        <v>2025</v>
      </c>
      <c r="Q856">
        <f t="shared" si="49"/>
        <v>4</v>
      </c>
      <c r="R856" t="str">
        <f t="shared" si="47"/>
        <v>购中推荐</v>
      </c>
      <c r="S856" t="str">
        <f>_xlfn.XLOOKUP(B856,全店核心数据_bymonth!A:A,全店核心数据_bymonth!AN:AN)</f>
        <v>BU26</v>
      </c>
    </row>
    <row r="857" spans="1:19" x14ac:dyDescent="0.3">
      <c r="A857" t="s">
        <v>110</v>
      </c>
      <c r="B857" s="16">
        <v>45748</v>
      </c>
      <c r="C857" t="s">
        <v>3</v>
      </c>
      <c r="D857" t="s">
        <v>127</v>
      </c>
      <c r="E857" t="s">
        <v>173</v>
      </c>
      <c r="F857">
        <v>1736</v>
      </c>
      <c r="G857">
        <v>1550</v>
      </c>
      <c r="H857">
        <v>8</v>
      </c>
      <c r="I857">
        <v>6</v>
      </c>
      <c r="J857">
        <v>0</v>
      </c>
      <c r="K857">
        <v>0</v>
      </c>
      <c r="L857">
        <v>0</v>
      </c>
      <c r="M857">
        <v>0</v>
      </c>
      <c r="N857">
        <v>57</v>
      </c>
      <c r="O857">
        <v>1440</v>
      </c>
      <c r="P857">
        <f t="shared" si="48"/>
        <v>2025</v>
      </c>
      <c r="Q857">
        <f t="shared" si="49"/>
        <v>4</v>
      </c>
      <c r="R857" t="str">
        <f t="shared" si="47"/>
        <v>购后推荐</v>
      </c>
      <c r="S857" t="str">
        <f>_xlfn.XLOOKUP(B857,全店核心数据_bymonth!A:A,全店核心数据_bymonth!AN:AN)</f>
        <v>BU26</v>
      </c>
    </row>
    <row r="858" spans="1:19" x14ac:dyDescent="0.3">
      <c r="A858" t="s">
        <v>110</v>
      </c>
      <c r="B858" s="16">
        <v>45748</v>
      </c>
      <c r="C858" t="s">
        <v>3</v>
      </c>
      <c r="D858" t="s">
        <v>127</v>
      </c>
      <c r="E858" t="s">
        <v>174</v>
      </c>
      <c r="F858">
        <v>25649</v>
      </c>
      <c r="G858">
        <v>23024</v>
      </c>
      <c r="H858">
        <v>254</v>
      </c>
      <c r="I858">
        <v>171</v>
      </c>
      <c r="J858">
        <v>192535</v>
      </c>
      <c r="K858">
        <v>24</v>
      </c>
      <c r="L858">
        <v>93065</v>
      </c>
      <c r="M858">
        <v>13</v>
      </c>
      <c r="N858">
        <v>1484</v>
      </c>
      <c r="O858">
        <v>25649</v>
      </c>
      <c r="P858">
        <f t="shared" si="48"/>
        <v>2025</v>
      </c>
      <c r="Q858">
        <f t="shared" si="49"/>
        <v>4</v>
      </c>
      <c r="R858" t="str">
        <f t="shared" si="47"/>
        <v>首页推荐-微详情</v>
      </c>
      <c r="S858" t="str">
        <f>_xlfn.XLOOKUP(B858,全店核心数据_bymonth!A:A,全店核心数据_bymonth!AN:AN)</f>
        <v>BU26</v>
      </c>
    </row>
    <row r="859" spans="1:19" x14ac:dyDescent="0.3">
      <c r="A859" t="s">
        <v>110</v>
      </c>
      <c r="B859" s="16">
        <v>45748</v>
      </c>
      <c r="C859" t="s">
        <v>3</v>
      </c>
      <c r="D859" t="s">
        <v>127</v>
      </c>
      <c r="E859" t="s">
        <v>175</v>
      </c>
      <c r="F859">
        <v>1841</v>
      </c>
      <c r="G859">
        <v>1703</v>
      </c>
      <c r="H859">
        <v>2</v>
      </c>
      <c r="I859">
        <v>0</v>
      </c>
      <c r="J859">
        <v>4695</v>
      </c>
      <c r="K859">
        <v>1</v>
      </c>
      <c r="L859">
        <v>4695</v>
      </c>
      <c r="M859">
        <v>1</v>
      </c>
      <c r="N859">
        <v>7</v>
      </c>
      <c r="O859">
        <v>97</v>
      </c>
      <c r="P859">
        <f t="shared" si="48"/>
        <v>2025</v>
      </c>
      <c r="Q859">
        <f t="shared" si="49"/>
        <v>4</v>
      </c>
      <c r="R859" t="str">
        <f t="shared" si="47"/>
        <v>首页推荐-直播</v>
      </c>
      <c r="S859" t="str">
        <f>_xlfn.XLOOKUP(B859,全店核心数据_bymonth!A:A,全店核心数据_bymonth!AN:AN)</f>
        <v>BU26</v>
      </c>
    </row>
    <row r="860" spans="1:19" x14ac:dyDescent="0.3">
      <c r="A860" t="s">
        <v>110</v>
      </c>
      <c r="B860" s="16">
        <v>45748</v>
      </c>
      <c r="C860" t="s">
        <v>3</v>
      </c>
      <c r="D860" t="s">
        <v>127</v>
      </c>
      <c r="E860" t="s">
        <v>176</v>
      </c>
      <c r="F860">
        <v>6246</v>
      </c>
      <c r="G860">
        <v>5701</v>
      </c>
      <c r="H860">
        <v>4</v>
      </c>
      <c r="I860">
        <v>2</v>
      </c>
      <c r="J860">
        <v>4895</v>
      </c>
      <c r="K860">
        <v>1</v>
      </c>
      <c r="L860">
        <v>0</v>
      </c>
      <c r="M860">
        <v>0</v>
      </c>
      <c r="N860">
        <v>33</v>
      </c>
      <c r="O860">
        <v>161</v>
      </c>
      <c r="P860">
        <f t="shared" si="48"/>
        <v>2025</v>
      </c>
      <c r="Q860">
        <f t="shared" si="49"/>
        <v>4</v>
      </c>
      <c r="R860" t="str">
        <f t="shared" si="47"/>
        <v>首页推荐-短视频</v>
      </c>
      <c r="S860" t="str">
        <f>_xlfn.XLOOKUP(B860,全店核心数据_bymonth!A:A,全店核心数据_bymonth!AN:AN)</f>
        <v>BU26</v>
      </c>
    </row>
    <row r="861" spans="1:19" x14ac:dyDescent="0.3">
      <c r="A861" t="s">
        <v>110</v>
      </c>
      <c r="B861" s="16">
        <v>45748</v>
      </c>
      <c r="C861" t="s">
        <v>3</v>
      </c>
      <c r="D861" t="s">
        <v>128</v>
      </c>
      <c r="E861" t="s">
        <v>177</v>
      </c>
      <c r="F861">
        <v>11522</v>
      </c>
      <c r="G861">
        <v>10495</v>
      </c>
      <c r="H861">
        <v>244</v>
      </c>
      <c r="I861">
        <v>109</v>
      </c>
      <c r="J861">
        <v>223842.98</v>
      </c>
      <c r="K861">
        <v>32</v>
      </c>
      <c r="L861">
        <v>111517.98</v>
      </c>
      <c r="M861">
        <v>23</v>
      </c>
      <c r="N861">
        <v>6389</v>
      </c>
      <c r="O861">
        <v>7119</v>
      </c>
      <c r="P861">
        <f t="shared" si="48"/>
        <v>2025</v>
      </c>
      <c r="Q861">
        <f t="shared" si="49"/>
        <v>4</v>
      </c>
      <c r="R861" t="str">
        <f t="shared" si="47"/>
        <v>手淘搜索-商品及其他</v>
      </c>
      <c r="S861" t="str">
        <f>_xlfn.XLOOKUP(B861,全店核心数据_bymonth!A:A,全店核心数据_bymonth!AN:AN)</f>
        <v>BU26</v>
      </c>
    </row>
    <row r="862" spans="1:19" x14ac:dyDescent="0.3">
      <c r="A862" t="s">
        <v>110</v>
      </c>
      <c r="B862" s="16">
        <v>45748</v>
      </c>
      <c r="C862" t="s">
        <v>3</v>
      </c>
      <c r="D862" t="s">
        <v>128</v>
      </c>
      <c r="E862" t="s">
        <v>178</v>
      </c>
      <c r="F862">
        <v>30</v>
      </c>
      <c r="G862">
        <v>26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2</v>
      </c>
      <c r="O862">
        <v>14</v>
      </c>
      <c r="P862">
        <f t="shared" si="48"/>
        <v>2025</v>
      </c>
      <c r="Q862">
        <f t="shared" si="49"/>
        <v>4</v>
      </c>
      <c r="R862" t="str">
        <f t="shared" si="47"/>
        <v>手淘搜索-直播</v>
      </c>
      <c r="S862" t="str">
        <f>_xlfn.XLOOKUP(B862,全店核心数据_bymonth!A:A,全店核心数据_bymonth!AN:AN)</f>
        <v>BU26</v>
      </c>
    </row>
    <row r="863" spans="1:19" x14ac:dyDescent="0.3">
      <c r="A863" t="s">
        <v>110</v>
      </c>
      <c r="B863" s="16">
        <v>45748</v>
      </c>
      <c r="C863" t="s">
        <v>3</v>
      </c>
      <c r="D863" t="s">
        <v>128</v>
      </c>
      <c r="E863" t="s">
        <v>179</v>
      </c>
      <c r="F863">
        <v>85</v>
      </c>
      <c r="G863">
        <v>49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6</v>
      </c>
      <c r="O863">
        <v>84</v>
      </c>
      <c r="P863">
        <f t="shared" si="48"/>
        <v>2025</v>
      </c>
      <c r="Q863">
        <f t="shared" si="49"/>
        <v>4</v>
      </c>
      <c r="R863" t="str">
        <f t="shared" si="47"/>
        <v>手淘搜索-短视频</v>
      </c>
      <c r="S863" t="str">
        <f>_xlfn.XLOOKUP(B863,全店核心数据_bymonth!A:A,全店核心数据_bymonth!AN:AN)</f>
        <v>BU26</v>
      </c>
    </row>
    <row r="864" spans="1:19" x14ac:dyDescent="0.3">
      <c r="A864" t="s">
        <v>110</v>
      </c>
      <c r="B864" s="16">
        <v>45748</v>
      </c>
      <c r="C864" t="s">
        <v>3</v>
      </c>
      <c r="D864" t="s">
        <v>143</v>
      </c>
      <c r="E864" t="s">
        <v>180</v>
      </c>
      <c r="F864">
        <v>107</v>
      </c>
      <c r="G864">
        <v>100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3</v>
      </c>
      <c r="O864">
        <v>107</v>
      </c>
      <c r="P864">
        <f t="shared" si="48"/>
        <v>2025</v>
      </c>
      <c r="Q864">
        <f t="shared" si="49"/>
        <v>4</v>
      </c>
      <c r="R864" t="str">
        <f t="shared" si="47"/>
        <v>淘特其他渠道</v>
      </c>
      <c r="S864" t="str">
        <f>_xlfn.XLOOKUP(B864,全店核心数据_bymonth!A:A,全店核心数据_bymonth!AN:AN)</f>
        <v>BU26</v>
      </c>
    </row>
    <row r="865" spans="1:19" x14ac:dyDescent="0.3">
      <c r="A865" t="s">
        <v>110</v>
      </c>
      <c r="B865" s="16">
        <v>45748</v>
      </c>
      <c r="C865" t="s">
        <v>3</v>
      </c>
      <c r="D865" t="s">
        <v>143</v>
      </c>
      <c r="E865" t="s">
        <v>181</v>
      </c>
      <c r="F865">
        <v>386</v>
      </c>
      <c r="G865">
        <v>378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386</v>
      </c>
      <c r="P865">
        <f t="shared" si="48"/>
        <v>2025</v>
      </c>
      <c r="Q865">
        <f t="shared" si="49"/>
        <v>4</v>
      </c>
      <c r="R865" t="str">
        <f t="shared" si="47"/>
        <v>淘特搜索</v>
      </c>
      <c r="S865" t="str">
        <f>_xlfn.XLOOKUP(B865,全店核心数据_bymonth!A:A,全店核心数据_bymonth!AN:AN)</f>
        <v>BU26</v>
      </c>
    </row>
    <row r="866" spans="1:19" x14ac:dyDescent="0.3">
      <c r="A866" t="s">
        <v>110</v>
      </c>
      <c r="B866" s="16">
        <v>45748</v>
      </c>
      <c r="C866" t="s">
        <v>3</v>
      </c>
      <c r="D866" t="s">
        <v>143</v>
      </c>
      <c r="E866" t="s">
        <v>224</v>
      </c>
      <c r="F866">
        <v>3</v>
      </c>
      <c r="G866">
        <v>2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3</v>
      </c>
      <c r="P866">
        <f t="shared" si="48"/>
        <v>2025</v>
      </c>
      <c r="Q866">
        <f t="shared" si="49"/>
        <v>4</v>
      </c>
      <c r="R866" t="str">
        <f t="shared" si="47"/>
        <v>淘特自主访问</v>
      </c>
      <c r="S866" t="str">
        <f>_xlfn.XLOOKUP(B866,全店核心数据_bymonth!A:A,全店核心数据_bymonth!AN:AN)</f>
        <v>BU26</v>
      </c>
    </row>
    <row r="867" spans="1:19" x14ac:dyDescent="0.3">
      <c r="A867" t="s">
        <v>110</v>
      </c>
      <c r="B867" s="16">
        <v>45748</v>
      </c>
      <c r="C867" t="s">
        <v>2</v>
      </c>
      <c r="D867" t="s">
        <v>55</v>
      </c>
      <c r="E867" t="s">
        <v>54</v>
      </c>
      <c r="F867">
        <v>6361</v>
      </c>
      <c r="G867">
        <v>5562</v>
      </c>
      <c r="H867">
        <v>26</v>
      </c>
      <c r="I867">
        <v>5</v>
      </c>
      <c r="J867">
        <v>0</v>
      </c>
      <c r="K867">
        <v>0</v>
      </c>
      <c r="L867">
        <v>0</v>
      </c>
      <c r="M867">
        <v>0</v>
      </c>
      <c r="N867">
        <v>129</v>
      </c>
      <c r="O867">
        <v>1994</v>
      </c>
      <c r="P867">
        <f t="shared" si="48"/>
        <v>2025</v>
      </c>
      <c r="Q867">
        <f t="shared" si="49"/>
        <v>4</v>
      </c>
      <c r="R867" t="str">
        <f t="shared" si="47"/>
        <v>超级直播</v>
      </c>
      <c r="S867" t="str">
        <f>_xlfn.XLOOKUP(B867,全店核心数据_bymonth!A:A,全店核心数据_bymonth!AN:AN)</f>
        <v>BU26</v>
      </c>
    </row>
    <row r="868" spans="1:19" x14ac:dyDescent="0.3">
      <c r="A868" t="s">
        <v>110</v>
      </c>
      <c r="B868" s="16">
        <v>45748</v>
      </c>
      <c r="C868" t="s">
        <v>2</v>
      </c>
      <c r="D868" t="s">
        <v>55</v>
      </c>
      <c r="E868" t="s">
        <v>56</v>
      </c>
      <c r="F868">
        <v>6</v>
      </c>
      <c r="G868">
        <v>6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6</v>
      </c>
      <c r="P868">
        <f t="shared" si="48"/>
        <v>2025</v>
      </c>
      <c r="Q868">
        <f t="shared" si="49"/>
        <v>4</v>
      </c>
      <c r="R868" t="str">
        <f t="shared" si="47"/>
        <v>超级短视频</v>
      </c>
      <c r="S868" t="str">
        <f>_xlfn.XLOOKUP(B868,全店核心数据_bymonth!A:A,全店核心数据_bymonth!AN:AN)</f>
        <v>BU26</v>
      </c>
    </row>
    <row r="869" spans="1:19" x14ac:dyDescent="0.3">
      <c r="A869" t="s">
        <v>110</v>
      </c>
      <c r="B869" s="16">
        <v>45748</v>
      </c>
      <c r="C869" t="s">
        <v>2</v>
      </c>
      <c r="D869" t="s">
        <v>52</v>
      </c>
      <c r="E869" t="s">
        <v>51</v>
      </c>
      <c r="F869">
        <v>1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f t="shared" si="48"/>
        <v>2025</v>
      </c>
      <c r="Q869">
        <f t="shared" si="49"/>
        <v>4</v>
      </c>
      <c r="R869" t="str">
        <f t="shared" si="47"/>
        <v>品牌定制</v>
      </c>
      <c r="S869" t="str">
        <f>_xlfn.XLOOKUP(B869,全店核心数据_bymonth!A:A,全店核心数据_bymonth!AN:AN)</f>
        <v>BU26</v>
      </c>
    </row>
    <row r="870" spans="1:19" x14ac:dyDescent="0.3">
      <c r="A870" t="s">
        <v>110</v>
      </c>
      <c r="B870" s="16">
        <v>45748</v>
      </c>
      <c r="C870" t="s">
        <v>2</v>
      </c>
      <c r="D870" t="s">
        <v>52</v>
      </c>
      <c r="E870" t="s">
        <v>183</v>
      </c>
      <c r="F870">
        <v>2</v>
      </c>
      <c r="G870">
        <v>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2</v>
      </c>
      <c r="O870">
        <v>0</v>
      </c>
      <c r="P870">
        <f t="shared" si="48"/>
        <v>2025</v>
      </c>
      <c r="Q870">
        <f t="shared" si="49"/>
        <v>4</v>
      </c>
      <c r="R870" t="str">
        <f t="shared" si="47"/>
        <v>品销宝-品牌专区</v>
      </c>
      <c r="S870" t="str">
        <f>_xlfn.XLOOKUP(B870,全店核心数据_bymonth!A:A,全店核心数据_bymonth!AN:AN)</f>
        <v>BU26</v>
      </c>
    </row>
    <row r="871" spans="1:19" x14ac:dyDescent="0.3">
      <c r="A871" t="s">
        <v>110</v>
      </c>
      <c r="B871" s="16">
        <v>45748</v>
      </c>
      <c r="C871" t="s">
        <v>2</v>
      </c>
      <c r="D871" t="s">
        <v>52</v>
      </c>
      <c r="E871" t="s">
        <v>58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f t="shared" si="48"/>
        <v>2025</v>
      </c>
      <c r="Q871">
        <f t="shared" si="49"/>
        <v>4</v>
      </c>
      <c r="R871" t="str">
        <f t="shared" si="47"/>
        <v>超级全域通</v>
      </c>
      <c r="S871" t="str">
        <f>_xlfn.XLOOKUP(B871,全店核心数据_bymonth!A:A,全店核心数据_bymonth!AN:AN)</f>
        <v>BU26</v>
      </c>
    </row>
    <row r="872" spans="1:19" x14ac:dyDescent="0.3">
      <c r="A872" t="s">
        <v>110</v>
      </c>
      <c r="B872" s="16">
        <v>45748</v>
      </c>
      <c r="C872" t="s">
        <v>2</v>
      </c>
      <c r="D872" t="s">
        <v>57</v>
      </c>
      <c r="E872" t="s">
        <v>64</v>
      </c>
      <c r="F872">
        <v>147094</v>
      </c>
      <c r="G872">
        <v>138420</v>
      </c>
      <c r="H872">
        <v>602</v>
      </c>
      <c r="I872">
        <v>538</v>
      </c>
      <c r="J872">
        <v>294280</v>
      </c>
      <c r="K872">
        <v>48</v>
      </c>
      <c r="L872">
        <v>114465</v>
      </c>
      <c r="M872">
        <v>23</v>
      </c>
      <c r="N872">
        <v>3804</v>
      </c>
      <c r="O872">
        <v>147085</v>
      </c>
      <c r="P872">
        <f t="shared" si="48"/>
        <v>2025</v>
      </c>
      <c r="Q872">
        <f t="shared" si="49"/>
        <v>4</v>
      </c>
      <c r="R872" t="str">
        <f t="shared" si="47"/>
        <v>引力魔方</v>
      </c>
      <c r="S872" t="str">
        <f>_xlfn.XLOOKUP(B872,全店核心数据_bymonth!A:A,全店核心数据_bymonth!AN:AN)</f>
        <v>BU26</v>
      </c>
    </row>
    <row r="873" spans="1:19" x14ac:dyDescent="0.3">
      <c r="A873" t="s">
        <v>110</v>
      </c>
      <c r="B873" s="16">
        <v>45748</v>
      </c>
      <c r="C873" t="s">
        <v>2</v>
      </c>
      <c r="D873" t="s">
        <v>57</v>
      </c>
      <c r="E873" t="s">
        <v>65</v>
      </c>
      <c r="F873">
        <v>70348</v>
      </c>
      <c r="G873">
        <v>67008</v>
      </c>
      <c r="H873">
        <v>535</v>
      </c>
      <c r="I873">
        <v>334</v>
      </c>
      <c r="J873">
        <v>706095</v>
      </c>
      <c r="K873">
        <v>107</v>
      </c>
      <c r="L873">
        <v>328210</v>
      </c>
      <c r="M873">
        <v>59</v>
      </c>
      <c r="N873">
        <v>4310</v>
      </c>
      <c r="O873">
        <v>69666</v>
      </c>
      <c r="P873">
        <f t="shared" si="48"/>
        <v>2025</v>
      </c>
      <c r="Q873">
        <f t="shared" si="49"/>
        <v>4</v>
      </c>
      <c r="R873" t="str">
        <f t="shared" si="47"/>
        <v>直通车</v>
      </c>
      <c r="S873" t="str">
        <f>_xlfn.XLOOKUP(B873,全店核心数据_bymonth!A:A,全店核心数据_bymonth!AN:AN)</f>
        <v>BU26</v>
      </c>
    </row>
    <row r="874" spans="1:19" x14ac:dyDescent="0.3">
      <c r="A874" t="s">
        <v>110</v>
      </c>
      <c r="B874" s="16">
        <v>45748</v>
      </c>
      <c r="C874" t="s">
        <v>2</v>
      </c>
      <c r="D874" t="s">
        <v>57</v>
      </c>
      <c r="E874" t="s">
        <v>63</v>
      </c>
      <c r="F874">
        <v>37920</v>
      </c>
      <c r="G874">
        <v>34410</v>
      </c>
      <c r="H874">
        <v>784</v>
      </c>
      <c r="I874">
        <v>1512</v>
      </c>
      <c r="J874">
        <v>343830</v>
      </c>
      <c r="K874">
        <v>48</v>
      </c>
      <c r="L874">
        <v>174160</v>
      </c>
      <c r="M874">
        <v>30</v>
      </c>
      <c r="N874">
        <v>14958</v>
      </c>
      <c r="O874">
        <v>31000</v>
      </c>
      <c r="P874">
        <f t="shared" si="48"/>
        <v>2025</v>
      </c>
      <c r="Q874">
        <f t="shared" si="49"/>
        <v>4</v>
      </c>
      <c r="R874" t="str">
        <f t="shared" si="47"/>
        <v>万相台</v>
      </c>
      <c r="S874" t="str">
        <f>_xlfn.XLOOKUP(B874,全店核心数据_bymonth!A:A,全店核心数据_bymonth!AN:AN)</f>
        <v>BU26</v>
      </c>
    </row>
    <row r="875" spans="1:19" x14ac:dyDescent="0.3">
      <c r="A875" t="s">
        <v>110</v>
      </c>
      <c r="B875" s="16">
        <v>45748</v>
      </c>
      <c r="C875" t="s">
        <v>2</v>
      </c>
      <c r="D875" t="s">
        <v>4</v>
      </c>
      <c r="E875" t="s">
        <v>42</v>
      </c>
      <c r="F875">
        <v>1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f t="shared" si="48"/>
        <v>2025</v>
      </c>
      <c r="Q875">
        <f t="shared" si="49"/>
        <v>4</v>
      </c>
      <c r="R875" t="str">
        <f t="shared" si="47"/>
        <v>UD效果投放</v>
      </c>
      <c r="S875" t="str">
        <f>_xlfn.XLOOKUP(B875,全店核心数据_bymonth!A:A,全店核心数据_bymonth!AN:AN)</f>
        <v>BU26</v>
      </c>
    </row>
    <row r="876" spans="1:19" x14ac:dyDescent="0.3">
      <c r="A876" t="s">
        <v>110</v>
      </c>
      <c r="B876" s="16">
        <v>45748</v>
      </c>
      <c r="C876" t="s">
        <v>2</v>
      </c>
      <c r="D876" t="s">
        <v>4</v>
      </c>
      <c r="E876" t="s">
        <v>41</v>
      </c>
      <c r="F876">
        <v>12</v>
      </c>
      <c r="G876">
        <v>11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1</v>
      </c>
      <c r="O876">
        <v>10</v>
      </c>
      <c r="P876">
        <f t="shared" si="48"/>
        <v>2025</v>
      </c>
      <c r="Q876">
        <f t="shared" si="49"/>
        <v>4</v>
      </c>
      <c r="R876" t="str">
        <f t="shared" si="47"/>
        <v>流量宝</v>
      </c>
      <c r="S876" t="str">
        <f>_xlfn.XLOOKUP(B876,全店核心数据_bymonth!A:A,全店核心数据_bymonth!AN:AN)</f>
        <v>BU26</v>
      </c>
    </row>
    <row r="877" spans="1:19" x14ac:dyDescent="0.3">
      <c r="A877" t="s">
        <v>110</v>
      </c>
      <c r="B877" s="16">
        <v>45748</v>
      </c>
      <c r="C877" t="s">
        <v>2</v>
      </c>
      <c r="D877" t="s">
        <v>4</v>
      </c>
      <c r="E877" t="s">
        <v>43</v>
      </c>
      <c r="F877">
        <v>3515</v>
      </c>
      <c r="G877">
        <v>2112</v>
      </c>
      <c r="H877">
        <v>13</v>
      </c>
      <c r="I877">
        <v>9</v>
      </c>
      <c r="J877">
        <v>57290</v>
      </c>
      <c r="K877">
        <v>7</v>
      </c>
      <c r="L877">
        <v>43205</v>
      </c>
      <c r="M877">
        <v>6</v>
      </c>
      <c r="N877">
        <v>55</v>
      </c>
      <c r="O877">
        <v>3482</v>
      </c>
      <c r="P877">
        <f t="shared" si="48"/>
        <v>2025</v>
      </c>
      <c r="Q877">
        <f t="shared" si="49"/>
        <v>4</v>
      </c>
      <c r="R877" t="str">
        <f t="shared" si="47"/>
        <v>淘宝客</v>
      </c>
      <c r="S877" t="str">
        <f>_xlfn.XLOOKUP(B877,全店核心数据_bymonth!A:A,全店核心数据_bymonth!AN:AN)</f>
        <v>BU26</v>
      </c>
    </row>
    <row r="878" spans="1:19" x14ac:dyDescent="0.3">
      <c r="A878" t="s">
        <v>110</v>
      </c>
      <c r="B878" s="16">
        <v>45778</v>
      </c>
      <c r="C878" t="s">
        <v>3</v>
      </c>
      <c r="D878" t="s">
        <v>114</v>
      </c>
      <c r="E878" t="s">
        <v>159</v>
      </c>
      <c r="F878">
        <v>1985</v>
      </c>
      <c r="G878">
        <v>970</v>
      </c>
      <c r="H878">
        <v>90</v>
      </c>
      <c r="I878">
        <v>47</v>
      </c>
      <c r="J878">
        <v>45574</v>
      </c>
      <c r="K878">
        <v>17</v>
      </c>
      <c r="L878">
        <v>25656</v>
      </c>
      <c r="M878">
        <v>11</v>
      </c>
      <c r="N878">
        <v>225</v>
      </c>
      <c r="O878">
        <v>1943</v>
      </c>
      <c r="P878">
        <f t="shared" si="48"/>
        <v>2025</v>
      </c>
      <c r="Q878">
        <f t="shared" si="49"/>
        <v>5</v>
      </c>
      <c r="R878" t="str">
        <f t="shared" si="47"/>
        <v>主会场</v>
      </c>
      <c r="S878" t="str">
        <f>_xlfn.XLOOKUP(B878,全店核心数据_bymonth!A:A,全店核心数据_bymonth!AN:AN)</f>
        <v>BU26</v>
      </c>
    </row>
    <row r="879" spans="1:19" x14ac:dyDescent="0.3">
      <c r="A879" t="s">
        <v>110</v>
      </c>
      <c r="B879" s="16">
        <v>45778</v>
      </c>
      <c r="C879" t="s">
        <v>3</v>
      </c>
      <c r="D879" t="s">
        <v>117</v>
      </c>
      <c r="E879" t="s">
        <v>161</v>
      </c>
      <c r="F879">
        <v>9</v>
      </c>
      <c r="G879">
        <v>8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2</v>
      </c>
      <c r="O879">
        <v>9</v>
      </c>
      <c r="P879">
        <f t="shared" si="48"/>
        <v>2025</v>
      </c>
      <c r="Q879">
        <f t="shared" si="49"/>
        <v>5</v>
      </c>
      <c r="R879" t="str">
        <f t="shared" si="47"/>
        <v>其他入口榜单</v>
      </c>
      <c r="S879" t="str">
        <f>_xlfn.XLOOKUP(B879,全店核心数据_bymonth!A:A,全店核心数据_bymonth!AN:AN)</f>
        <v>BU26</v>
      </c>
    </row>
    <row r="880" spans="1:19" x14ac:dyDescent="0.3">
      <c r="A880" t="s">
        <v>110</v>
      </c>
      <c r="B880" s="16">
        <v>45778</v>
      </c>
      <c r="C880" t="s">
        <v>3</v>
      </c>
      <c r="D880" t="s">
        <v>123</v>
      </c>
      <c r="E880" t="s">
        <v>169</v>
      </c>
      <c r="F880">
        <v>4796</v>
      </c>
      <c r="G880">
        <v>2892</v>
      </c>
      <c r="H880">
        <v>307</v>
      </c>
      <c r="I880">
        <v>111</v>
      </c>
      <c r="J880">
        <v>214166.51</v>
      </c>
      <c r="K880">
        <v>67</v>
      </c>
      <c r="L880">
        <v>157559.51</v>
      </c>
      <c r="M880">
        <v>54</v>
      </c>
      <c r="N880">
        <v>1115</v>
      </c>
      <c r="O880">
        <v>4660</v>
      </c>
      <c r="P880">
        <f t="shared" si="48"/>
        <v>2025</v>
      </c>
      <c r="Q880">
        <f t="shared" si="49"/>
        <v>5</v>
      </c>
      <c r="R880" t="str">
        <f t="shared" si="47"/>
        <v>商品详情页头图推荐</v>
      </c>
      <c r="S880" t="str">
        <f>_xlfn.XLOOKUP(B880,全店核心数据_bymonth!A:A,全店核心数据_bymonth!AN:AN)</f>
        <v>BU26</v>
      </c>
    </row>
    <row r="881" spans="1:19" x14ac:dyDescent="0.3">
      <c r="A881" t="s">
        <v>110</v>
      </c>
      <c r="B881" s="16">
        <v>45778</v>
      </c>
      <c r="C881" t="s">
        <v>3</v>
      </c>
      <c r="D881" t="s">
        <v>123</v>
      </c>
      <c r="E881" t="s">
        <v>170</v>
      </c>
      <c r="F881">
        <v>761</v>
      </c>
      <c r="G881">
        <v>506</v>
      </c>
      <c r="H881">
        <v>34</v>
      </c>
      <c r="I881">
        <v>4</v>
      </c>
      <c r="J881">
        <v>35404</v>
      </c>
      <c r="K881">
        <v>11</v>
      </c>
      <c r="L881">
        <v>35404</v>
      </c>
      <c r="M881">
        <v>11</v>
      </c>
      <c r="N881">
        <v>693</v>
      </c>
      <c r="O881">
        <v>309</v>
      </c>
      <c r="P881">
        <f t="shared" si="48"/>
        <v>2025</v>
      </c>
      <c r="Q881">
        <f t="shared" si="49"/>
        <v>5</v>
      </c>
      <c r="R881" t="str">
        <f t="shared" si="47"/>
        <v>店铺超链</v>
      </c>
      <c r="S881" t="str">
        <f>_xlfn.XLOOKUP(B881,全店核心数据_bymonth!A:A,全店核心数据_bymonth!AN:AN)</f>
        <v>BU26</v>
      </c>
    </row>
    <row r="882" spans="1:19" x14ac:dyDescent="0.3">
      <c r="A882" t="s">
        <v>110</v>
      </c>
      <c r="B882" s="16">
        <v>45778</v>
      </c>
      <c r="C882" t="s">
        <v>3</v>
      </c>
      <c r="D882" t="s">
        <v>127</v>
      </c>
      <c r="E882" t="s">
        <v>171</v>
      </c>
      <c r="F882">
        <v>5272</v>
      </c>
      <c r="G882">
        <v>3636</v>
      </c>
      <c r="H882">
        <v>167</v>
      </c>
      <c r="I882">
        <v>73</v>
      </c>
      <c r="J882">
        <v>257190.06</v>
      </c>
      <c r="K882">
        <v>73</v>
      </c>
      <c r="L882">
        <v>140694.06</v>
      </c>
      <c r="M882">
        <v>55</v>
      </c>
      <c r="N882">
        <v>875</v>
      </c>
      <c r="O882">
        <v>4660</v>
      </c>
      <c r="P882">
        <f t="shared" si="48"/>
        <v>2025</v>
      </c>
      <c r="Q882">
        <f t="shared" si="49"/>
        <v>5</v>
      </c>
      <c r="R882" t="str">
        <f t="shared" si="47"/>
        <v>其他猜你喜欢</v>
      </c>
      <c r="S882" t="str">
        <f>_xlfn.XLOOKUP(B882,全店核心数据_bymonth!A:A,全店核心数据_bymonth!AN:AN)</f>
        <v>BU26</v>
      </c>
    </row>
    <row r="883" spans="1:19" x14ac:dyDescent="0.3">
      <c r="A883" t="s">
        <v>110</v>
      </c>
      <c r="B883" s="16">
        <v>45778</v>
      </c>
      <c r="C883" t="s">
        <v>3</v>
      </c>
      <c r="D883" t="s">
        <v>127</v>
      </c>
      <c r="E883" t="s">
        <v>172</v>
      </c>
      <c r="F883">
        <v>260</v>
      </c>
      <c r="G883">
        <v>176</v>
      </c>
      <c r="H883">
        <v>3</v>
      </c>
      <c r="I883">
        <v>0</v>
      </c>
      <c r="J883">
        <v>6881.03</v>
      </c>
      <c r="K883">
        <v>3</v>
      </c>
      <c r="L883">
        <v>6881.03</v>
      </c>
      <c r="M883">
        <v>3</v>
      </c>
      <c r="N883">
        <v>12</v>
      </c>
      <c r="O883">
        <v>194</v>
      </c>
      <c r="P883">
        <f t="shared" si="48"/>
        <v>2025</v>
      </c>
      <c r="Q883">
        <f t="shared" si="49"/>
        <v>5</v>
      </c>
      <c r="R883" t="str">
        <f t="shared" si="47"/>
        <v>购中推荐</v>
      </c>
      <c r="S883" t="str">
        <f>_xlfn.XLOOKUP(B883,全店核心数据_bymonth!A:A,全店核心数据_bymonth!AN:AN)</f>
        <v>BU26</v>
      </c>
    </row>
    <row r="884" spans="1:19" x14ac:dyDescent="0.3">
      <c r="A884" t="s">
        <v>110</v>
      </c>
      <c r="B884" s="16">
        <v>45778</v>
      </c>
      <c r="C884" t="s">
        <v>3</v>
      </c>
      <c r="D884" t="s">
        <v>127</v>
      </c>
      <c r="E884" t="s">
        <v>173</v>
      </c>
      <c r="F884">
        <v>1997</v>
      </c>
      <c r="G884">
        <v>1525</v>
      </c>
      <c r="H884">
        <v>14</v>
      </c>
      <c r="I884">
        <v>6</v>
      </c>
      <c r="J884">
        <v>14822</v>
      </c>
      <c r="K884">
        <v>5</v>
      </c>
      <c r="L884">
        <v>14822</v>
      </c>
      <c r="M884">
        <v>5</v>
      </c>
      <c r="N884">
        <v>65</v>
      </c>
      <c r="O884">
        <v>1302</v>
      </c>
      <c r="P884">
        <f t="shared" si="48"/>
        <v>2025</v>
      </c>
      <c r="Q884">
        <f t="shared" si="49"/>
        <v>5</v>
      </c>
      <c r="R884" t="str">
        <f t="shared" si="47"/>
        <v>购后推荐</v>
      </c>
      <c r="S884" t="str">
        <f>_xlfn.XLOOKUP(B884,全店核心数据_bymonth!A:A,全店核心数据_bymonth!AN:AN)</f>
        <v>BU26</v>
      </c>
    </row>
    <row r="885" spans="1:19" x14ac:dyDescent="0.3">
      <c r="A885" t="s">
        <v>110</v>
      </c>
      <c r="B885" s="16">
        <v>45778</v>
      </c>
      <c r="C885" t="s">
        <v>3</v>
      </c>
      <c r="D885" t="s">
        <v>127</v>
      </c>
      <c r="E885" t="s">
        <v>174</v>
      </c>
      <c r="F885">
        <v>72360</v>
      </c>
      <c r="G885">
        <v>65352</v>
      </c>
      <c r="H885">
        <v>1025</v>
      </c>
      <c r="I885">
        <v>550</v>
      </c>
      <c r="J885">
        <v>677951.5</v>
      </c>
      <c r="K885">
        <v>144</v>
      </c>
      <c r="L885">
        <v>369982.5</v>
      </c>
      <c r="M885">
        <v>116</v>
      </c>
      <c r="N885">
        <v>4920</v>
      </c>
      <c r="O885">
        <v>72360</v>
      </c>
      <c r="P885">
        <f t="shared" si="48"/>
        <v>2025</v>
      </c>
      <c r="Q885">
        <f t="shared" si="49"/>
        <v>5</v>
      </c>
      <c r="R885" t="str">
        <f t="shared" si="47"/>
        <v>首页推荐-微详情</v>
      </c>
      <c r="S885" t="str">
        <f>_xlfn.XLOOKUP(B885,全店核心数据_bymonth!A:A,全店核心数据_bymonth!AN:AN)</f>
        <v>BU26</v>
      </c>
    </row>
    <row r="886" spans="1:19" x14ac:dyDescent="0.3">
      <c r="A886" t="s">
        <v>110</v>
      </c>
      <c r="B886" s="16">
        <v>45778</v>
      </c>
      <c r="C886" t="s">
        <v>3</v>
      </c>
      <c r="D886" t="s">
        <v>127</v>
      </c>
      <c r="E886" t="s">
        <v>175</v>
      </c>
      <c r="F886">
        <v>6076</v>
      </c>
      <c r="G886">
        <v>5612</v>
      </c>
      <c r="H886">
        <v>10</v>
      </c>
      <c r="I886">
        <v>3</v>
      </c>
      <c r="J886">
        <v>4980</v>
      </c>
      <c r="K886">
        <v>2</v>
      </c>
      <c r="L886">
        <v>4980</v>
      </c>
      <c r="M886">
        <v>2</v>
      </c>
      <c r="N886">
        <v>29</v>
      </c>
      <c r="O886">
        <v>388</v>
      </c>
      <c r="P886">
        <f t="shared" si="48"/>
        <v>2025</v>
      </c>
      <c r="Q886">
        <f t="shared" si="49"/>
        <v>5</v>
      </c>
      <c r="R886" t="str">
        <f t="shared" si="47"/>
        <v>首页推荐-直播</v>
      </c>
      <c r="S886" t="str">
        <f>_xlfn.XLOOKUP(B886,全店核心数据_bymonth!A:A,全店核心数据_bymonth!AN:AN)</f>
        <v>BU26</v>
      </c>
    </row>
    <row r="887" spans="1:19" x14ac:dyDescent="0.3">
      <c r="A887" t="s">
        <v>110</v>
      </c>
      <c r="B887" s="16">
        <v>45778</v>
      </c>
      <c r="C887" t="s">
        <v>3</v>
      </c>
      <c r="D887" t="s">
        <v>127</v>
      </c>
      <c r="E887" t="s">
        <v>176</v>
      </c>
      <c r="F887">
        <v>8467</v>
      </c>
      <c r="G887">
        <v>7235</v>
      </c>
      <c r="H887">
        <v>20</v>
      </c>
      <c r="I887">
        <v>3</v>
      </c>
      <c r="J887">
        <v>25250</v>
      </c>
      <c r="K887">
        <v>4</v>
      </c>
      <c r="L887">
        <v>16040</v>
      </c>
      <c r="M887">
        <v>3</v>
      </c>
      <c r="N887">
        <v>65</v>
      </c>
      <c r="O887">
        <v>437</v>
      </c>
      <c r="P887">
        <f t="shared" si="48"/>
        <v>2025</v>
      </c>
      <c r="Q887">
        <f t="shared" si="49"/>
        <v>5</v>
      </c>
      <c r="R887" t="str">
        <f t="shared" si="47"/>
        <v>首页推荐-短视频</v>
      </c>
      <c r="S887" t="str">
        <f>_xlfn.XLOOKUP(B887,全店核心数据_bymonth!A:A,全店核心数据_bymonth!AN:AN)</f>
        <v>BU26</v>
      </c>
    </row>
    <row r="888" spans="1:19" x14ac:dyDescent="0.3">
      <c r="A888" t="s">
        <v>110</v>
      </c>
      <c r="B888" s="16">
        <v>45778</v>
      </c>
      <c r="C888" t="s">
        <v>3</v>
      </c>
      <c r="D888" t="s">
        <v>128</v>
      </c>
      <c r="E888" t="s">
        <v>177</v>
      </c>
      <c r="F888">
        <v>18424</v>
      </c>
      <c r="G888">
        <v>15975</v>
      </c>
      <c r="H888">
        <v>908</v>
      </c>
      <c r="I888">
        <v>216</v>
      </c>
      <c r="J888">
        <v>809990.84</v>
      </c>
      <c r="K888">
        <v>218</v>
      </c>
      <c r="L888">
        <v>576284.84</v>
      </c>
      <c r="M888">
        <v>183</v>
      </c>
      <c r="N888">
        <v>9304</v>
      </c>
      <c r="O888">
        <v>12369</v>
      </c>
      <c r="P888">
        <f t="shared" si="48"/>
        <v>2025</v>
      </c>
      <c r="Q888">
        <f t="shared" si="49"/>
        <v>5</v>
      </c>
      <c r="R888" t="str">
        <f t="shared" si="47"/>
        <v>手淘搜索-商品及其他</v>
      </c>
      <c r="S888" t="str">
        <f>_xlfn.XLOOKUP(B888,全店核心数据_bymonth!A:A,全店核心数据_bymonth!AN:AN)</f>
        <v>BU26</v>
      </c>
    </row>
    <row r="889" spans="1:19" x14ac:dyDescent="0.3">
      <c r="A889" t="s">
        <v>110</v>
      </c>
      <c r="B889" s="16">
        <v>45778</v>
      </c>
      <c r="C889" t="s">
        <v>3</v>
      </c>
      <c r="D889" t="s">
        <v>128</v>
      </c>
      <c r="E889" t="s">
        <v>178</v>
      </c>
      <c r="F889">
        <v>108</v>
      </c>
      <c r="G889">
        <v>75</v>
      </c>
      <c r="H889">
        <v>6</v>
      </c>
      <c r="I889">
        <v>2</v>
      </c>
      <c r="J889">
        <v>9340</v>
      </c>
      <c r="K889">
        <v>1</v>
      </c>
      <c r="L889">
        <v>9340</v>
      </c>
      <c r="M889">
        <v>1</v>
      </c>
      <c r="N889">
        <v>10</v>
      </c>
      <c r="O889">
        <v>61</v>
      </c>
      <c r="P889">
        <f t="shared" si="48"/>
        <v>2025</v>
      </c>
      <c r="Q889">
        <f t="shared" si="49"/>
        <v>5</v>
      </c>
      <c r="R889" t="str">
        <f t="shared" si="47"/>
        <v>手淘搜索-直播</v>
      </c>
      <c r="S889" t="str">
        <f>_xlfn.XLOOKUP(B889,全店核心数据_bymonth!A:A,全店核心数据_bymonth!AN:AN)</f>
        <v>BU26</v>
      </c>
    </row>
    <row r="890" spans="1:19" x14ac:dyDescent="0.3">
      <c r="A890" t="s">
        <v>110</v>
      </c>
      <c r="B890" s="16">
        <v>45778</v>
      </c>
      <c r="C890" t="s">
        <v>3</v>
      </c>
      <c r="D890" t="s">
        <v>128</v>
      </c>
      <c r="E890" t="s">
        <v>179</v>
      </c>
      <c r="F890">
        <v>254</v>
      </c>
      <c r="G890">
        <v>136</v>
      </c>
      <c r="H890">
        <v>10</v>
      </c>
      <c r="I890">
        <v>3</v>
      </c>
      <c r="J890">
        <v>7298</v>
      </c>
      <c r="K890">
        <v>3</v>
      </c>
      <c r="L890">
        <v>7298</v>
      </c>
      <c r="M890">
        <v>3</v>
      </c>
      <c r="N890">
        <v>14</v>
      </c>
      <c r="O890">
        <v>247</v>
      </c>
      <c r="P890">
        <f t="shared" si="48"/>
        <v>2025</v>
      </c>
      <c r="Q890">
        <f t="shared" si="49"/>
        <v>5</v>
      </c>
      <c r="R890" t="str">
        <f t="shared" si="47"/>
        <v>手淘搜索-短视频</v>
      </c>
      <c r="S890" t="str">
        <f>_xlfn.XLOOKUP(B890,全店核心数据_bymonth!A:A,全店核心数据_bymonth!AN:AN)</f>
        <v>BU26</v>
      </c>
    </row>
    <row r="891" spans="1:19" x14ac:dyDescent="0.3">
      <c r="A891" t="s">
        <v>110</v>
      </c>
      <c r="B891" s="16">
        <v>45778</v>
      </c>
      <c r="C891" t="s">
        <v>3</v>
      </c>
      <c r="D891" t="s">
        <v>143</v>
      </c>
      <c r="E891" t="s">
        <v>180</v>
      </c>
      <c r="F891">
        <v>230</v>
      </c>
      <c r="G891">
        <v>210</v>
      </c>
      <c r="H891">
        <v>1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7</v>
      </c>
      <c r="O891">
        <v>227</v>
      </c>
      <c r="P891">
        <f t="shared" si="48"/>
        <v>2025</v>
      </c>
      <c r="Q891">
        <f t="shared" si="49"/>
        <v>5</v>
      </c>
      <c r="R891" t="str">
        <f t="shared" si="47"/>
        <v>淘特其他渠道</v>
      </c>
      <c r="S891" t="str">
        <f>_xlfn.XLOOKUP(B891,全店核心数据_bymonth!A:A,全店核心数据_bymonth!AN:AN)</f>
        <v>BU26</v>
      </c>
    </row>
    <row r="892" spans="1:19" x14ac:dyDescent="0.3">
      <c r="A892" t="s">
        <v>110</v>
      </c>
      <c r="B892" s="16">
        <v>45778</v>
      </c>
      <c r="C892" t="s">
        <v>3</v>
      </c>
      <c r="D892" t="s">
        <v>143</v>
      </c>
      <c r="E892" t="s">
        <v>197</v>
      </c>
      <c r="F892">
        <v>1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f t="shared" si="48"/>
        <v>2025</v>
      </c>
      <c r="Q892">
        <f t="shared" si="49"/>
        <v>5</v>
      </c>
      <c r="R892" t="str">
        <f t="shared" si="47"/>
        <v>淘特推荐</v>
      </c>
      <c r="S892" t="str">
        <f>_xlfn.XLOOKUP(B892,全店核心数据_bymonth!A:A,全店核心数据_bymonth!AN:AN)</f>
        <v>BU26</v>
      </c>
    </row>
    <row r="893" spans="1:19" x14ac:dyDescent="0.3">
      <c r="A893" t="s">
        <v>110</v>
      </c>
      <c r="B893" s="16">
        <v>45778</v>
      </c>
      <c r="C893" t="s">
        <v>3</v>
      </c>
      <c r="D893" t="s">
        <v>143</v>
      </c>
      <c r="E893" t="s">
        <v>181</v>
      </c>
      <c r="F893">
        <v>930</v>
      </c>
      <c r="G893">
        <v>917</v>
      </c>
      <c r="H893">
        <v>3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930</v>
      </c>
      <c r="P893">
        <f t="shared" si="48"/>
        <v>2025</v>
      </c>
      <c r="Q893">
        <f t="shared" si="49"/>
        <v>5</v>
      </c>
      <c r="R893" t="str">
        <f t="shared" si="47"/>
        <v>淘特搜索</v>
      </c>
      <c r="S893" t="str">
        <f>_xlfn.XLOOKUP(B893,全店核心数据_bymonth!A:A,全店核心数据_bymonth!AN:AN)</f>
        <v>BU26</v>
      </c>
    </row>
    <row r="894" spans="1:19" x14ac:dyDescent="0.3">
      <c r="A894" t="s">
        <v>110</v>
      </c>
      <c r="B894" s="16">
        <v>45778</v>
      </c>
      <c r="C894" t="s">
        <v>3</v>
      </c>
      <c r="D894" t="s">
        <v>143</v>
      </c>
      <c r="E894" t="s">
        <v>224</v>
      </c>
      <c r="F894">
        <v>2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</v>
      </c>
      <c r="P894">
        <f t="shared" si="48"/>
        <v>2025</v>
      </c>
      <c r="Q894">
        <f t="shared" si="49"/>
        <v>5</v>
      </c>
      <c r="R894" t="str">
        <f t="shared" si="47"/>
        <v>淘特自主访问</v>
      </c>
      <c r="S894" t="str">
        <f>_xlfn.XLOOKUP(B894,全店核心数据_bymonth!A:A,全店核心数据_bymonth!AN:AN)</f>
        <v>BU26</v>
      </c>
    </row>
    <row r="895" spans="1:19" x14ac:dyDescent="0.3">
      <c r="A895" t="s">
        <v>110</v>
      </c>
      <c r="B895" s="16">
        <v>45778</v>
      </c>
      <c r="C895" t="s">
        <v>3</v>
      </c>
      <c r="D895" t="s">
        <v>157</v>
      </c>
      <c r="E895" t="s">
        <v>182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f t="shared" si="48"/>
        <v>2025</v>
      </c>
      <c r="Q895">
        <f t="shared" si="49"/>
        <v>5</v>
      </c>
      <c r="R895" t="str">
        <f t="shared" si="47"/>
        <v>飞猪其他</v>
      </c>
      <c r="S895" t="str">
        <f>_xlfn.XLOOKUP(B895,全店核心数据_bymonth!A:A,全店核心数据_bymonth!AN:AN)</f>
        <v>BU26</v>
      </c>
    </row>
    <row r="896" spans="1:19" x14ac:dyDescent="0.3">
      <c r="A896" t="s">
        <v>110</v>
      </c>
      <c r="B896" s="16">
        <v>45778</v>
      </c>
      <c r="C896" t="s">
        <v>2</v>
      </c>
      <c r="D896" t="s">
        <v>55</v>
      </c>
      <c r="E896" t="s">
        <v>54</v>
      </c>
      <c r="F896">
        <v>13483</v>
      </c>
      <c r="G896">
        <v>12255</v>
      </c>
      <c r="H896">
        <v>226</v>
      </c>
      <c r="I896">
        <v>8</v>
      </c>
      <c r="J896">
        <v>0</v>
      </c>
      <c r="K896">
        <v>0</v>
      </c>
      <c r="L896">
        <v>0</v>
      </c>
      <c r="M896">
        <v>0</v>
      </c>
      <c r="N896">
        <v>211</v>
      </c>
      <c r="O896">
        <v>3057</v>
      </c>
      <c r="P896">
        <f t="shared" si="48"/>
        <v>2025</v>
      </c>
      <c r="Q896">
        <f t="shared" si="49"/>
        <v>5</v>
      </c>
      <c r="R896" t="str">
        <f t="shared" si="47"/>
        <v>超级直播</v>
      </c>
      <c r="S896" t="str">
        <f>_xlfn.XLOOKUP(B896,全店核心数据_bymonth!A:A,全店核心数据_bymonth!AN:AN)</f>
        <v>BU26</v>
      </c>
    </row>
    <row r="897" spans="1:20" x14ac:dyDescent="0.3">
      <c r="A897" t="s">
        <v>110</v>
      </c>
      <c r="B897" s="16">
        <v>45778</v>
      </c>
      <c r="C897" t="s">
        <v>2</v>
      </c>
      <c r="D897" t="s">
        <v>55</v>
      </c>
      <c r="E897" t="s">
        <v>56</v>
      </c>
      <c r="F897">
        <v>27</v>
      </c>
      <c r="G897">
        <v>16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27</v>
      </c>
      <c r="P897">
        <f t="shared" si="48"/>
        <v>2025</v>
      </c>
      <c r="Q897">
        <f t="shared" si="49"/>
        <v>5</v>
      </c>
      <c r="R897" t="str">
        <f t="shared" si="47"/>
        <v>超级短视频</v>
      </c>
      <c r="S897" t="str">
        <f>_xlfn.XLOOKUP(B897,全店核心数据_bymonth!A:A,全店核心数据_bymonth!AN:AN)</f>
        <v>BU26</v>
      </c>
    </row>
    <row r="898" spans="1:20" x14ac:dyDescent="0.3">
      <c r="A898" t="s">
        <v>110</v>
      </c>
      <c r="B898" s="16">
        <v>45778</v>
      </c>
      <c r="C898" t="s">
        <v>2</v>
      </c>
      <c r="D898" t="s">
        <v>52</v>
      </c>
      <c r="E898" t="s">
        <v>51</v>
      </c>
      <c r="F898">
        <v>5</v>
      </c>
      <c r="G898">
        <v>5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2</v>
      </c>
      <c r="P898">
        <f t="shared" si="48"/>
        <v>2025</v>
      </c>
      <c r="Q898">
        <f t="shared" si="49"/>
        <v>5</v>
      </c>
      <c r="R898" t="str">
        <f t="shared" si="47"/>
        <v>品牌定制</v>
      </c>
      <c r="S898" t="str">
        <f>_xlfn.XLOOKUP(B898,全店核心数据_bymonth!A:A,全店核心数据_bymonth!AN:AN)</f>
        <v>BU26</v>
      </c>
    </row>
    <row r="899" spans="1:20" x14ac:dyDescent="0.3">
      <c r="A899" t="s">
        <v>110</v>
      </c>
      <c r="B899" s="16">
        <v>45778</v>
      </c>
      <c r="C899" t="s">
        <v>2</v>
      </c>
      <c r="D899" t="s">
        <v>52</v>
      </c>
      <c r="E899" t="s">
        <v>183</v>
      </c>
      <c r="F899">
        <v>2</v>
      </c>
      <c r="G899">
        <v>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2</v>
      </c>
      <c r="O899">
        <v>0</v>
      </c>
      <c r="P899">
        <f t="shared" si="48"/>
        <v>2025</v>
      </c>
      <c r="Q899">
        <f t="shared" si="49"/>
        <v>5</v>
      </c>
      <c r="R899" t="str">
        <f t="shared" si="47"/>
        <v>品销宝-品牌专区</v>
      </c>
      <c r="S899" t="str">
        <f>_xlfn.XLOOKUP(B899,全店核心数据_bymonth!A:A,全店核心数据_bymonth!AN:AN)</f>
        <v>BU26</v>
      </c>
    </row>
    <row r="900" spans="1:20" x14ac:dyDescent="0.3">
      <c r="A900" t="s">
        <v>110</v>
      </c>
      <c r="B900" s="16">
        <v>45778</v>
      </c>
      <c r="C900" t="s">
        <v>2</v>
      </c>
      <c r="D900" t="s">
        <v>52</v>
      </c>
      <c r="E900" t="s">
        <v>58</v>
      </c>
      <c r="F900">
        <v>15</v>
      </c>
      <c r="G900">
        <v>8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2</v>
      </c>
      <c r="O900">
        <v>12</v>
      </c>
      <c r="P900">
        <f t="shared" si="48"/>
        <v>2025</v>
      </c>
      <c r="Q900">
        <f t="shared" si="49"/>
        <v>5</v>
      </c>
      <c r="R900" t="str">
        <f t="shared" si="47"/>
        <v>超级全域通</v>
      </c>
      <c r="S900" t="str">
        <f>_xlfn.XLOOKUP(B900,全店核心数据_bymonth!A:A,全店核心数据_bymonth!AN:AN)</f>
        <v>BU26</v>
      </c>
    </row>
    <row r="901" spans="1:20" x14ac:dyDescent="0.3">
      <c r="A901" t="s">
        <v>110</v>
      </c>
      <c r="B901" s="16">
        <v>45778</v>
      </c>
      <c r="C901" t="s">
        <v>2</v>
      </c>
      <c r="D901" t="s">
        <v>57</v>
      </c>
      <c r="E901" t="s">
        <v>64</v>
      </c>
      <c r="F901">
        <v>176007</v>
      </c>
      <c r="G901">
        <v>160627</v>
      </c>
      <c r="H901">
        <v>1392</v>
      </c>
      <c r="I901">
        <v>910</v>
      </c>
      <c r="J901">
        <v>705552.16</v>
      </c>
      <c r="K901">
        <v>173</v>
      </c>
      <c r="L901">
        <v>363122.16</v>
      </c>
      <c r="M901">
        <v>108</v>
      </c>
      <c r="N901">
        <v>5748</v>
      </c>
      <c r="O901">
        <v>175996</v>
      </c>
      <c r="P901">
        <f t="shared" si="48"/>
        <v>2025</v>
      </c>
      <c r="Q901">
        <f t="shared" si="49"/>
        <v>5</v>
      </c>
      <c r="R901" t="str">
        <f t="shared" si="47"/>
        <v>引力魔方</v>
      </c>
      <c r="S901" t="str">
        <f>_xlfn.XLOOKUP(B901,全店核心数据_bymonth!A:A,全店核心数据_bymonth!AN:AN)</f>
        <v>BU26</v>
      </c>
    </row>
    <row r="902" spans="1:20" x14ac:dyDescent="0.3">
      <c r="A902" t="s">
        <v>110</v>
      </c>
      <c r="B902" s="16">
        <v>45778</v>
      </c>
      <c r="C902" t="s">
        <v>2</v>
      </c>
      <c r="D902" t="s">
        <v>57</v>
      </c>
      <c r="E902" t="s">
        <v>65</v>
      </c>
      <c r="F902">
        <v>134440</v>
      </c>
      <c r="G902">
        <v>127937</v>
      </c>
      <c r="H902">
        <v>1429</v>
      </c>
      <c r="I902">
        <v>694</v>
      </c>
      <c r="J902">
        <v>2152309.5299999998</v>
      </c>
      <c r="K902">
        <v>384</v>
      </c>
      <c r="L902">
        <v>874638.53</v>
      </c>
      <c r="M902">
        <v>208</v>
      </c>
      <c r="N902">
        <v>7150</v>
      </c>
      <c r="O902">
        <v>133349</v>
      </c>
      <c r="P902">
        <f t="shared" si="48"/>
        <v>2025</v>
      </c>
      <c r="Q902">
        <f t="shared" si="49"/>
        <v>5</v>
      </c>
      <c r="R902" t="str">
        <f t="shared" si="47"/>
        <v>直通车</v>
      </c>
      <c r="S902" t="str">
        <f>_xlfn.XLOOKUP(B902,全店核心数据_bymonth!A:A,全店核心数据_bymonth!AN:AN)</f>
        <v>BU26</v>
      </c>
    </row>
    <row r="903" spans="1:20" x14ac:dyDescent="0.3">
      <c r="A903" t="s">
        <v>110</v>
      </c>
      <c r="B903" s="16">
        <v>45778</v>
      </c>
      <c r="C903" t="s">
        <v>2</v>
      </c>
      <c r="D903" t="s">
        <v>57</v>
      </c>
      <c r="E903" t="s">
        <v>63</v>
      </c>
      <c r="F903">
        <v>85124</v>
      </c>
      <c r="G903">
        <v>74164</v>
      </c>
      <c r="H903">
        <v>4079</v>
      </c>
      <c r="I903">
        <v>3986</v>
      </c>
      <c r="J903">
        <v>2961577.89</v>
      </c>
      <c r="K903">
        <v>702</v>
      </c>
      <c r="L903">
        <v>1926777.89</v>
      </c>
      <c r="M903">
        <v>560</v>
      </c>
      <c r="N903">
        <v>19805</v>
      </c>
      <c r="O903">
        <v>78205</v>
      </c>
      <c r="P903">
        <f t="shared" si="48"/>
        <v>2025</v>
      </c>
      <c r="Q903">
        <f t="shared" si="49"/>
        <v>5</v>
      </c>
      <c r="R903" t="str">
        <f t="shared" ref="R903:R966" si="50">E903</f>
        <v>万相台</v>
      </c>
      <c r="S903" t="str">
        <f>_xlfn.XLOOKUP(B903,全店核心数据_bymonth!A:A,全店核心数据_bymonth!AN:AN)</f>
        <v>BU26</v>
      </c>
    </row>
    <row r="904" spans="1:20" x14ac:dyDescent="0.3">
      <c r="A904" t="s">
        <v>110</v>
      </c>
      <c r="B904" s="16">
        <v>45778</v>
      </c>
      <c r="C904" t="s">
        <v>2</v>
      </c>
      <c r="D904" t="s">
        <v>4</v>
      </c>
      <c r="E904" t="s">
        <v>42</v>
      </c>
      <c r="F904">
        <v>4</v>
      </c>
      <c r="G904">
        <v>3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</v>
      </c>
      <c r="P904">
        <f t="shared" si="48"/>
        <v>2025</v>
      </c>
      <c r="Q904">
        <f t="shared" si="49"/>
        <v>5</v>
      </c>
      <c r="R904" t="str">
        <f t="shared" si="50"/>
        <v>UD效果投放</v>
      </c>
      <c r="S904" t="str">
        <f>_xlfn.XLOOKUP(B904,全店核心数据_bymonth!A:A,全店核心数据_bymonth!AN:AN)</f>
        <v>BU26</v>
      </c>
    </row>
    <row r="905" spans="1:20" x14ac:dyDescent="0.3">
      <c r="A905" t="s">
        <v>110</v>
      </c>
      <c r="B905" s="16">
        <v>45778</v>
      </c>
      <c r="C905" t="s">
        <v>2</v>
      </c>
      <c r="D905" t="s">
        <v>4</v>
      </c>
      <c r="E905" t="s">
        <v>41</v>
      </c>
      <c r="F905">
        <v>70</v>
      </c>
      <c r="G905">
        <v>50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6</v>
      </c>
      <c r="O905">
        <v>64</v>
      </c>
      <c r="P905">
        <f t="shared" si="48"/>
        <v>2025</v>
      </c>
      <c r="Q905">
        <f t="shared" si="49"/>
        <v>5</v>
      </c>
      <c r="R905" t="str">
        <f t="shared" si="50"/>
        <v>流量宝</v>
      </c>
      <c r="S905" t="str">
        <f>_xlfn.XLOOKUP(B905,全店核心数据_bymonth!A:A,全店核心数据_bymonth!AN:AN)</f>
        <v>BU26</v>
      </c>
    </row>
    <row r="906" spans="1:20" x14ac:dyDescent="0.3">
      <c r="A906" t="s">
        <v>110</v>
      </c>
      <c r="B906" s="16">
        <v>45778</v>
      </c>
      <c r="C906" t="s">
        <v>2</v>
      </c>
      <c r="D906" t="s">
        <v>4</v>
      </c>
      <c r="E906" t="s">
        <v>43</v>
      </c>
      <c r="F906">
        <v>6283</v>
      </c>
      <c r="G906">
        <v>3888</v>
      </c>
      <c r="H906">
        <v>844</v>
      </c>
      <c r="I906">
        <v>68</v>
      </c>
      <c r="J906">
        <v>1047088.17</v>
      </c>
      <c r="K906">
        <v>249</v>
      </c>
      <c r="L906">
        <v>740801.17</v>
      </c>
      <c r="M906">
        <v>194</v>
      </c>
      <c r="N906">
        <v>133</v>
      </c>
      <c r="O906">
        <v>6196</v>
      </c>
      <c r="P906">
        <f t="shared" si="48"/>
        <v>2025</v>
      </c>
      <c r="Q906">
        <f t="shared" si="49"/>
        <v>5</v>
      </c>
      <c r="R906" t="str">
        <f t="shared" si="50"/>
        <v>淘宝客</v>
      </c>
      <c r="S906" t="str">
        <f>_xlfn.XLOOKUP(B906,全店核心数据_bymonth!A:A,全店核心数据_bymonth!AN:AN)</f>
        <v>BU26</v>
      </c>
    </row>
    <row r="907" spans="1:20" x14ac:dyDescent="0.3">
      <c r="A907" t="s">
        <v>627</v>
      </c>
      <c r="B907" s="16">
        <v>45424</v>
      </c>
      <c r="C907" t="s">
        <v>3</v>
      </c>
      <c r="D907" t="s">
        <v>120</v>
      </c>
      <c r="E907" t="s">
        <v>163</v>
      </c>
      <c r="F907">
        <v>52</v>
      </c>
      <c r="G907">
        <v>36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13</v>
      </c>
      <c r="O907">
        <v>49</v>
      </c>
      <c r="P907">
        <f t="shared" si="48"/>
        <v>2024</v>
      </c>
      <c r="Q907">
        <f t="shared" si="49"/>
        <v>5</v>
      </c>
      <c r="R907" t="str">
        <f t="shared" si="50"/>
        <v>手猫免费其他</v>
      </c>
      <c r="S907" t="s">
        <v>628</v>
      </c>
      <c r="T907" s="546" t="s">
        <v>804</v>
      </c>
    </row>
    <row r="908" spans="1:20" x14ac:dyDescent="0.3">
      <c r="A908" t="s">
        <v>627</v>
      </c>
      <c r="B908" s="16">
        <v>45424</v>
      </c>
      <c r="C908" t="s">
        <v>3</v>
      </c>
      <c r="D908" t="s">
        <v>120</v>
      </c>
      <c r="E908" t="s">
        <v>164</v>
      </c>
      <c r="F908">
        <v>3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3</v>
      </c>
      <c r="P908">
        <f t="shared" si="48"/>
        <v>2024</v>
      </c>
      <c r="Q908">
        <f t="shared" si="49"/>
        <v>5</v>
      </c>
      <c r="R908" t="str">
        <f t="shared" si="50"/>
        <v>手猫其他店铺</v>
      </c>
      <c r="S908" t="s">
        <v>628</v>
      </c>
      <c r="T908" s="546" t="s">
        <v>804</v>
      </c>
    </row>
    <row r="909" spans="1:20" x14ac:dyDescent="0.3">
      <c r="A909" t="s">
        <v>627</v>
      </c>
      <c r="B909" s="16">
        <v>45424</v>
      </c>
      <c r="C909" t="s">
        <v>3</v>
      </c>
      <c r="D909" t="s">
        <v>120</v>
      </c>
      <c r="E909" t="s">
        <v>165</v>
      </c>
      <c r="F909">
        <v>8</v>
      </c>
      <c r="G909">
        <v>4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</v>
      </c>
      <c r="O909">
        <v>8</v>
      </c>
      <c r="P909">
        <f t="shared" si="48"/>
        <v>2024</v>
      </c>
      <c r="Q909">
        <f t="shared" si="49"/>
        <v>5</v>
      </c>
      <c r="R909" t="str">
        <f t="shared" si="50"/>
        <v>手猫商品详情</v>
      </c>
      <c r="S909" t="s">
        <v>628</v>
      </c>
      <c r="T909" s="546" t="s">
        <v>804</v>
      </c>
    </row>
    <row r="910" spans="1:20" x14ac:dyDescent="0.3">
      <c r="A910" t="s">
        <v>627</v>
      </c>
      <c r="B910" s="16">
        <v>45424</v>
      </c>
      <c r="C910" t="s">
        <v>3</v>
      </c>
      <c r="D910" t="s">
        <v>120</v>
      </c>
      <c r="E910" t="s">
        <v>166</v>
      </c>
      <c r="F910">
        <v>43</v>
      </c>
      <c r="G910">
        <v>35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26</v>
      </c>
      <c r="O910">
        <v>33</v>
      </c>
      <c r="P910">
        <f t="shared" si="48"/>
        <v>2024</v>
      </c>
      <c r="Q910">
        <f t="shared" si="49"/>
        <v>5</v>
      </c>
      <c r="R910" t="str">
        <f t="shared" si="50"/>
        <v>手猫搜索</v>
      </c>
      <c r="S910" t="s">
        <v>628</v>
      </c>
      <c r="T910" s="546" t="s">
        <v>804</v>
      </c>
    </row>
    <row r="911" spans="1:20" x14ac:dyDescent="0.3">
      <c r="A911" t="s">
        <v>627</v>
      </c>
      <c r="B911" s="16">
        <v>45424</v>
      </c>
      <c r="C911" t="s">
        <v>3</v>
      </c>
      <c r="D911" t="s">
        <v>120</v>
      </c>
      <c r="E911" t="s">
        <v>167</v>
      </c>
      <c r="F911">
        <v>1</v>
      </c>
      <c r="G911">
        <v>1</v>
      </c>
      <c r="H911">
        <v>0</v>
      </c>
      <c r="I911">
        <v>0</v>
      </c>
      <c r="J911" s="15">
        <v>3495</v>
      </c>
      <c r="K911">
        <v>1</v>
      </c>
      <c r="L911" s="15">
        <v>3495</v>
      </c>
      <c r="M911">
        <v>1</v>
      </c>
      <c r="N911">
        <v>0</v>
      </c>
      <c r="O911">
        <v>1</v>
      </c>
      <c r="P911">
        <f t="shared" si="48"/>
        <v>2024</v>
      </c>
      <c r="Q911">
        <f t="shared" si="49"/>
        <v>5</v>
      </c>
      <c r="R911" t="str">
        <f t="shared" si="50"/>
        <v>手猫旺信聊天</v>
      </c>
      <c r="S911" t="s">
        <v>628</v>
      </c>
      <c r="T911" s="546" t="s">
        <v>804</v>
      </c>
    </row>
    <row r="912" spans="1:20" x14ac:dyDescent="0.3">
      <c r="A912" t="s">
        <v>627</v>
      </c>
      <c r="B912" s="16">
        <v>45424</v>
      </c>
      <c r="C912" t="s">
        <v>3</v>
      </c>
      <c r="D912" t="s">
        <v>120</v>
      </c>
      <c r="E912" t="s">
        <v>168</v>
      </c>
      <c r="F912">
        <v>193</v>
      </c>
      <c r="G912">
        <v>126</v>
      </c>
      <c r="H912">
        <v>0</v>
      </c>
      <c r="I912">
        <v>0</v>
      </c>
      <c r="J912" s="15">
        <v>2795</v>
      </c>
      <c r="K912">
        <v>1</v>
      </c>
      <c r="L912">
        <v>0</v>
      </c>
      <c r="M912">
        <v>0</v>
      </c>
      <c r="N912">
        <v>5</v>
      </c>
      <c r="O912">
        <v>193</v>
      </c>
      <c r="P912">
        <f t="shared" si="48"/>
        <v>2024</v>
      </c>
      <c r="Q912">
        <f t="shared" si="49"/>
        <v>5</v>
      </c>
      <c r="R912" t="str">
        <f t="shared" si="50"/>
        <v>手猫首页</v>
      </c>
      <c r="S912" t="s">
        <v>628</v>
      </c>
      <c r="T912" s="546" t="s">
        <v>804</v>
      </c>
    </row>
    <row r="913" spans="1:20" x14ac:dyDescent="0.3">
      <c r="A913" t="s">
        <v>627</v>
      </c>
      <c r="B913" s="16">
        <v>45424</v>
      </c>
      <c r="C913" t="s">
        <v>3</v>
      </c>
      <c r="D913" t="s">
        <v>123</v>
      </c>
      <c r="E913" t="s">
        <v>169</v>
      </c>
      <c r="F913">
        <v>61</v>
      </c>
      <c r="G913">
        <v>35</v>
      </c>
      <c r="H913">
        <v>4</v>
      </c>
      <c r="I913">
        <v>2</v>
      </c>
      <c r="J913">
        <v>0</v>
      </c>
      <c r="K913">
        <v>0</v>
      </c>
      <c r="L913">
        <v>0</v>
      </c>
      <c r="M913">
        <v>0</v>
      </c>
      <c r="N913">
        <v>28</v>
      </c>
      <c r="O913">
        <v>50</v>
      </c>
      <c r="P913">
        <f t="shared" si="48"/>
        <v>2024</v>
      </c>
      <c r="Q913">
        <f t="shared" si="49"/>
        <v>5</v>
      </c>
      <c r="R913" t="str">
        <f t="shared" si="50"/>
        <v>商品详情页头图推荐</v>
      </c>
      <c r="S913" t="s">
        <v>628</v>
      </c>
      <c r="T913" s="546" t="s">
        <v>804</v>
      </c>
    </row>
    <row r="914" spans="1:20" x14ac:dyDescent="0.3">
      <c r="A914" t="s">
        <v>627</v>
      </c>
      <c r="B914" s="16">
        <v>45424</v>
      </c>
      <c r="C914" t="s">
        <v>3</v>
      </c>
      <c r="D914" t="s">
        <v>123</v>
      </c>
      <c r="E914" t="s">
        <v>170</v>
      </c>
      <c r="F914">
        <v>17</v>
      </c>
      <c r="G914">
        <v>10</v>
      </c>
      <c r="H914">
        <v>0</v>
      </c>
      <c r="I914">
        <v>0</v>
      </c>
      <c r="J914" s="15">
        <v>4995</v>
      </c>
      <c r="K914">
        <v>1</v>
      </c>
      <c r="L914" s="15">
        <v>4995</v>
      </c>
      <c r="M914">
        <v>1</v>
      </c>
      <c r="N914">
        <v>16</v>
      </c>
      <c r="O914">
        <v>9</v>
      </c>
      <c r="P914">
        <f t="shared" si="48"/>
        <v>2024</v>
      </c>
      <c r="Q914">
        <f t="shared" si="49"/>
        <v>5</v>
      </c>
      <c r="R914" t="str">
        <f t="shared" si="50"/>
        <v>店铺超链</v>
      </c>
      <c r="S914" t="s">
        <v>628</v>
      </c>
      <c r="T914" s="546" t="s">
        <v>804</v>
      </c>
    </row>
    <row r="915" spans="1:20" x14ac:dyDescent="0.3">
      <c r="A915" t="s">
        <v>627</v>
      </c>
      <c r="B915" s="16">
        <v>45424</v>
      </c>
      <c r="C915" t="s">
        <v>3</v>
      </c>
      <c r="D915" t="s">
        <v>127</v>
      </c>
      <c r="E915" t="s">
        <v>171</v>
      </c>
      <c r="F915">
        <v>81</v>
      </c>
      <c r="G915">
        <v>50</v>
      </c>
      <c r="H915">
        <v>4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22</v>
      </c>
      <c r="O915">
        <v>66</v>
      </c>
      <c r="P915">
        <f t="shared" si="48"/>
        <v>2024</v>
      </c>
      <c r="Q915">
        <f t="shared" si="49"/>
        <v>5</v>
      </c>
      <c r="R915" t="str">
        <f t="shared" si="50"/>
        <v>其他猜你喜欢</v>
      </c>
      <c r="S915" t="s">
        <v>628</v>
      </c>
      <c r="T915" s="546" t="s">
        <v>804</v>
      </c>
    </row>
    <row r="916" spans="1:20" x14ac:dyDescent="0.3">
      <c r="A916" t="s">
        <v>627</v>
      </c>
      <c r="B916" s="16">
        <v>45424</v>
      </c>
      <c r="C916" t="s">
        <v>3</v>
      </c>
      <c r="D916" t="s">
        <v>127</v>
      </c>
      <c r="E916" t="s">
        <v>172</v>
      </c>
      <c r="F916">
        <v>3</v>
      </c>
      <c r="G916">
        <v>2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3</v>
      </c>
      <c r="P916">
        <f t="shared" si="48"/>
        <v>2024</v>
      </c>
      <c r="Q916">
        <f t="shared" si="49"/>
        <v>5</v>
      </c>
      <c r="R916" t="str">
        <f t="shared" si="50"/>
        <v>购中推荐</v>
      </c>
      <c r="S916" t="s">
        <v>628</v>
      </c>
      <c r="T916" s="546" t="s">
        <v>804</v>
      </c>
    </row>
    <row r="917" spans="1:20" x14ac:dyDescent="0.3">
      <c r="A917" t="s">
        <v>627</v>
      </c>
      <c r="B917" s="16">
        <v>45424</v>
      </c>
      <c r="C917" t="s">
        <v>3</v>
      </c>
      <c r="D917" t="s">
        <v>127</v>
      </c>
      <c r="E917" t="s">
        <v>173</v>
      </c>
      <c r="F917">
        <v>12</v>
      </c>
      <c r="G917">
        <v>7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11</v>
      </c>
      <c r="P917">
        <f t="shared" ref="P917:P980" si="51">YEAR(B917)</f>
        <v>2024</v>
      </c>
      <c r="Q917">
        <f t="shared" ref="Q917:Q980" si="52">MONTH(B917)</f>
        <v>5</v>
      </c>
      <c r="R917" t="str">
        <f t="shared" si="50"/>
        <v>购后推荐</v>
      </c>
      <c r="S917" t="s">
        <v>628</v>
      </c>
      <c r="T917" s="546" t="s">
        <v>804</v>
      </c>
    </row>
    <row r="918" spans="1:20" x14ac:dyDescent="0.3">
      <c r="A918" t="s">
        <v>627</v>
      </c>
      <c r="B918" s="16">
        <v>45424</v>
      </c>
      <c r="C918" t="s">
        <v>3</v>
      </c>
      <c r="D918" t="s">
        <v>127</v>
      </c>
      <c r="E918" t="s">
        <v>174</v>
      </c>
      <c r="F918">
        <v>373</v>
      </c>
      <c r="G918">
        <v>251</v>
      </c>
      <c r="H918">
        <v>11</v>
      </c>
      <c r="I918">
        <v>8</v>
      </c>
      <c r="J918">
        <v>0</v>
      </c>
      <c r="K918">
        <v>0</v>
      </c>
      <c r="L918">
        <v>0</v>
      </c>
      <c r="M918">
        <v>0</v>
      </c>
      <c r="N918">
        <v>26</v>
      </c>
      <c r="O918">
        <v>373</v>
      </c>
      <c r="P918">
        <f t="shared" si="51"/>
        <v>2024</v>
      </c>
      <c r="Q918">
        <f t="shared" si="52"/>
        <v>5</v>
      </c>
      <c r="R918" t="str">
        <f t="shared" si="50"/>
        <v>首页推荐-微详情</v>
      </c>
      <c r="S918" t="s">
        <v>628</v>
      </c>
      <c r="T918" s="546" t="s">
        <v>804</v>
      </c>
    </row>
    <row r="919" spans="1:20" x14ac:dyDescent="0.3">
      <c r="A919" t="s">
        <v>627</v>
      </c>
      <c r="B919" s="16">
        <v>45424</v>
      </c>
      <c r="C919" t="s">
        <v>3</v>
      </c>
      <c r="D919" t="s">
        <v>127</v>
      </c>
      <c r="E919" t="s">
        <v>175</v>
      </c>
      <c r="F919">
        <v>7</v>
      </c>
      <c r="G919">
        <v>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f t="shared" si="51"/>
        <v>2024</v>
      </c>
      <c r="Q919">
        <f t="shared" si="52"/>
        <v>5</v>
      </c>
      <c r="R919" t="str">
        <f t="shared" si="50"/>
        <v>首页推荐-直播</v>
      </c>
      <c r="S919" t="s">
        <v>628</v>
      </c>
      <c r="T919" s="546" t="s">
        <v>804</v>
      </c>
    </row>
    <row r="920" spans="1:20" x14ac:dyDescent="0.3">
      <c r="A920" t="s">
        <v>627</v>
      </c>
      <c r="B920" s="16">
        <v>45424</v>
      </c>
      <c r="C920" t="s">
        <v>3</v>
      </c>
      <c r="D920" t="s">
        <v>127</v>
      </c>
      <c r="E920" t="s">
        <v>176</v>
      </c>
      <c r="F920">
        <v>19</v>
      </c>
      <c r="G920">
        <v>13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f t="shared" si="51"/>
        <v>2024</v>
      </c>
      <c r="Q920">
        <f t="shared" si="52"/>
        <v>5</v>
      </c>
      <c r="R920" t="str">
        <f t="shared" si="50"/>
        <v>首页推荐-短视频</v>
      </c>
      <c r="S920" t="s">
        <v>628</v>
      </c>
      <c r="T920" s="546" t="s">
        <v>804</v>
      </c>
    </row>
    <row r="921" spans="1:20" x14ac:dyDescent="0.3">
      <c r="A921" t="s">
        <v>627</v>
      </c>
      <c r="B921" s="16">
        <v>45424</v>
      </c>
      <c r="C921" t="s">
        <v>3</v>
      </c>
      <c r="D921" t="s">
        <v>128</v>
      </c>
      <c r="E921" t="s">
        <v>177</v>
      </c>
      <c r="F921">
        <v>461</v>
      </c>
      <c r="G921">
        <v>404</v>
      </c>
      <c r="H921">
        <v>15</v>
      </c>
      <c r="I921">
        <v>5</v>
      </c>
      <c r="J921" s="15">
        <v>2795</v>
      </c>
      <c r="K921">
        <v>1</v>
      </c>
      <c r="L921" s="15">
        <v>2795</v>
      </c>
      <c r="M921">
        <v>1</v>
      </c>
      <c r="N921">
        <v>228</v>
      </c>
      <c r="O921">
        <v>337</v>
      </c>
      <c r="P921">
        <f t="shared" si="51"/>
        <v>2024</v>
      </c>
      <c r="Q921">
        <f t="shared" si="52"/>
        <v>5</v>
      </c>
      <c r="R921" t="str">
        <f t="shared" si="50"/>
        <v>手淘搜索-商品及其他</v>
      </c>
      <c r="S921" t="s">
        <v>628</v>
      </c>
      <c r="T921" s="546" t="s">
        <v>804</v>
      </c>
    </row>
    <row r="922" spans="1:20" x14ac:dyDescent="0.3">
      <c r="A922" t="s">
        <v>627</v>
      </c>
      <c r="B922" s="16">
        <v>45424</v>
      </c>
      <c r="C922" t="s">
        <v>3</v>
      </c>
      <c r="D922" t="s">
        <v>128</v>
      </c>
      <c r="E922" t="s">
        <v>179</v>
      </c>
      <c r="F922">
        <v>10</v>
      </c>
      <c r="G922">
        <v>4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2</v>
      </c>
      <c r="O922">
        <v>4</v>
      </c>
      <c r="P922">
        <f t="shared" si="51"/>
        <v>2024</v>
      </c>
      <c r="Q922">
        <f t="shared" si="52"/>
        <v>5</v>
      </c>
      <c r="R922" t="str">
        <f t="shared" si="50"/>
        <v>手淘搜索-短视频</v>
      </c>
      <c r="S922" t="s">
        <v>628</v>
      </c>
      <c r="T922" s="546" t="s">
        <v>804</v>
      </c>
    </row>
    <row r="923" spans="1:20" x14ac:dyDescent="0.3">
      <c r="A923" t="s">
        <v>627</v>
      </c>
      <c r="B923" s="16">
        <v>45424</v>
      </c>
      <c r="C923" t="s">
        <v>3</v>
      </c>
      <c r="D923" t="s">
        <v>143</v>
      </c>
      <c r="E923" t="s">
        <v>180</v>
      </c>
      <c r="F923">
        <v>7</v>
      </c>
      <c r="G923">
        <v>7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7</v>
      </c>
      <c r="P923">
        <f t="shared" si="51"/>
        <v>2024</v>
      </c>
      <c r="Q923">
        <f t="shared" si="52"/>
        <v>5</v>
      </c>
      <c r="R923" t="str">
        <f t="shared" si="50"/>
        <v>淘特其他渠道</v>
      </c>
      <c r="S923" t="s">
        <v>628</v>
      </c>
      <c r="T923" s="546" t="s">
        <v>804</v>
      </c>
    </row>
    <row r="924" spans="1:20" x14ac:dyDescent="0.3">
      <c r="A924" t="s">
        <v>627</v>
      </c>
      <c r="B924" s="16">
        <v>45424</v>
      </c>
      <c r="C924" t="s">
        <v>3</v>
      </c>
      <c r="D924" t="s">
        <v>143</v>
      </c>
      <c r="E924" t="s">
        <v>181</v>
      </c>
      <c r="F924">
        <v>1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f t="shared" si="51"/>
        <v>2024</v>
      </c>
      <c r="Q924">
        <f t="shared" si="52"/>
        <v>5</v>
      </c>
      <c r="R924" t="str">
        <f t="shared" si="50"/>
        <v>淘特搜索</v>
      </c>
      <c r="S924" t="s">
        <v>628</v>
      </c>
      <c r="T924" s="546" t="s">
        <v>804</v>
      </c>
    </row>
    <row r="925" spans="1:20" x14ac:dyDescent="0.3">
      <c r="A925" t="s">
        <v>627</v>
      </c>
      <c r="B925" s="16">
        <v>45424</v>
      </c>
      <c r="C925" t="s">
        <v>2</v>
      </c>
      <c r="D925" t="s">
        <v>55</v>
      </c>
      <c r="E925" t="s">
        <v>54</v>
      </c>
      <c r="F925">
        <v>17</v>
      </c>
      <c r="G925">
        <v>8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11</v>
      </c>
      <c r="P925">
        <f t="shared" si="51"/>
        <v>2024</v>
      </c>
      <c r="Q925">
        <f t="shared" si="52"/>
        <v>5</v>
      </c>
      <c r="R925" t="str">
        <f t="shared" si="50"/>
        <v>超级直播</v>
      </c>
      <c r="S925" t="s">
        <v>628</v>
      </c>
      <c r="T925" s="546" t="s">
        <v>804</v>
      </c>
    </row>
    <row r="926" spans="1:20" x14ac:dyDescent="0.3">
      <c r="A926" t="s">
        <v>627</v>
      </c>
      <c r="B926" s="16">
        <v>45424</v>
      </c>
      <c r="C926" t="s">
        <v>2</v>
      </c>
      <c r="D926" t="s">
        <v>52</v>
      </c>
      <c r="E926" t="s">
        <v>183</v>
      </c>
      <c r="F926" s="15">
        <v>1149</v>
      </c>
      <c r="G926" s="15">
        <v>1032</v>
      </c>
      <c r="H926">
        <v>21</v>
      </c>
      <c r="I926">
        <v>8</v>
      </c>
      <c r="J926">
        <v>0</v>
      </c>
      <c r="K926">
        <v>0</v>
      </c>
      <c r="L926">
        <v>0</v>
      </c>
      <c r="M926">
        <v>0</v>
      </c>
      <c r="N926" s="15">
        <v>1149</v>
      </c>
      <c r="O926">
        <v>624</v>
      </c>
      <c r="P926">
        <f t="shared" si="51"/>
        <v>2024</v>
      </c>
      <c r="Q926">
        <f t="shared" si="52"/>
        <v>5</v>
      </c>
      <c r="R926" t="str">
        <f t="shared" si="50"/>
        <v>品销宝-品牌专区</v>
      </c>
      <c r="S926" t="s">
        <v>628</v>
      </c>
      <c r="T926" s="546" t="s">
        <v>804</v>
      </c>
    </row>
    <row r="927" spans="1:20" x14ac:dyDescent="0.3">
      <c r="A927" t="s">
        <v>627</v>
      </c>
      <c r="B927" s="16">
        <v>45424</v>
      </c>
      <c r="C927" t="s">
        <v>2</v>
      </c>
      <c r="D927" t="s">
        <v>57</v>
      </c>
      <c r="E927" t="s">
        <v>65</v>
      </c>
      <c r="F927" s="15">
        <v>2552</v>
      </c>
      <c r="G927" s="15">
        <v>2235</v>
      </c>
      <c r="H927">
        <v>36</v>
      </c>
      <c r="I927">
        <v>12</v>
      </c>
      <c r="J927" s="15">
        <v>11835</v>
      </c>
      <c r="K927">
        <v>4</v>
      </c>
      <c r="L927" s="15">
        <v>4845</v>
      </c>
      <c r="M927">
        <v>2</v>
      </c>
      <c r="N927">
        <v>266</v>
      </c>
      <c r="O927" s="15">
        <v>2526</v>
      </c>
      <c r="P927">
        <f t="shared" si="51"/>
        <v>2024</v>
      </c>
      <c r="Q927">
        <f t="shared" si="52"/>
        <v>5</v>
      </c>
      <c r="R927" t="str">
        <f t="shared" si="50"/>
        <v>直通车</v>
      </c>
      <c r="S927" t="s">
        <v>628</v>
      </c>
      <c r="T927" s="546" t="s">
        <v>804</v>
      </c>
    </row>
    <row r="928" spans="1:20" x14ac:dyDescent="0.3">
      <c r="A928" t="s">
        <v>627</v>
      </c>
      <c r="B928" s="16">
        <v>45424</v>
      </c>
      <c r="C928" t="s">
        <v>2</v>
      </c>
      <c r="D928" t="s">
        <v>57</v>
      </c>
      <c r="E928" t="s">
        <v>63</v>
      </c>
      <c r="F928" s="15">
        <v>1651</v>
      </c>
      <c r="G928" s="15">
        <v>1058</v>
      </c>
      <c r="H928">
        <v>24</v>
      </c>
      <c r="I928">
        <v>7</v>
      </c>
      <c r="J928" s="15">
        <v>15380</v>
      </c>
      <c r="K928">
        <v>4</v>
      </c>
      <c r="L928" s="15">
        <v>7790</v>
      </c>
      <c r="M928">
        <v>2</v>
      </c>
      <c r="N928">
        <v>104</v>
      </c>
      <c r="O928" s="15">
        <v>1648</v>
      </c>
      <c r="P928">
        <f t="shared" si="51"/>
        <v>2024</v>
      </c>
      <c r="Q928">
        <f t="shared" si="52"/>
        <v>5</v>
      </c>
      <c r="R928" t="str">
        <f t="shared" si="50"/>
        <v>万相台</v>
      </c>
      <c r="S928" t="s">
        <v>628</v>
      </c>
      <c r="T928" s="546" t="s">
        <v>804</v>
      </c>
    </row>
    <row r="929" spans="1:20" x14ac:dyDescent="0.3">
      <c r="A929" t="s">
        <v>627</v>
      </c>
      <c r="B929" s="16">
        <v>45424</v>
      </c>
      <c r="C929" t="s">
        <v>2</v>
      </c>
      <c r="D929" t="s">
        <v>57</v>
      </c>
      <c r="E929" t="s">
        <v>64</v>
      </c>
      <c r="F929" s="15">
        <v>13181</v>
      </c>
      <c r="G929" s="15">
        <v>9145</v>
      </c>
      <c r="H929">
        <v>30</v>
      </c>
      <c r="I929">
        <v>32</v>
      </c>
      <c r="J929" s="15">
        <v>13285</v>
      </c>
      <c r="K929">
        <v>3</v>
      </c>
      <c r="L929" s="15">
        <v>7295</v>
      </c>
      <c r="M929">
        <v>1</v>
      </c>
      <c r="N929">
        <v>305</v>
      </c>
      <c r="O929" s="15">
        <v>12565</v>
      </c>
      <c r="P929">
        <f t="shared" si="51"/>
        <v>2024</v>
      </c>
      <c r="Q929">
        <f t="shared" si="52"/>
        <v>5</v>
      </c>
      <c r="R929" t="str">
        <f t="shared" si="50"/>
        <v>引力魔方</v>
      </c>
      <c r="S929" t="s">
        <v>628</v>
      </c>
      <c r="T929" s="546" t="s">
        <v>804</v>
      </c>
    </row>
    <row r="930" spans="1:20" x14ac:dyDescent="0.3">
      <c r="A930" t="s">
        <v>627</v>
      </c>
      <c r="B930" s="16">
        <v>45424</v>
      </c>
      <c r="C930" t="s">
        <v>2</v>
      </c>
      <c r="D930" t="s">
        <v>4</v>
      </c>
      <c r="E930" t="s">
        <v>41</v>
      </c>
      <c r="F930">
        <v>2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f t="shared" si="51"/>
        <v>2024</v>
      </c>
      <c r="Q930">
        <f t="shared" si="52"/>
        <v>5</v>
      </c>
      <c r="R930" t="str">
        <f t="shared" si="50"/>
        <v>流量宝</v>
      </c>
      <c r="S930" t="s">
        <v>628</v>
      </c>
      <c r="T930" s="546" t="s">
        <v>804</v>
      </c>
    </row>
    <row r="931" spans="1:20" x14ac:dyDescent="0.3">
      <c r="A931" t="s">
        <v>627</v>
      </c>
      <c r="B931" s="16">
        <v>45424</v>
      </c>
      <c r="C931" t="s">
        <v>2</v>
      </c>
      <c r="D931" t="s">
        <v>4</v>
      </c>
      <c r="E931" t="s">
        <v>43</v>
      </c>
      <c r="F931">
        <v>310</v>
      </c>
      <c r="G931">
        <v>151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13</v>
      </c>
      <c r="O931">
        <v>303</v>
      </c>
      <c r="P931">
        <f t="shared" si="51"/>
        <v>2024</v>
      </c>
      <c r="Q931">
        <f t="shared" si="52"/>
        <v>5</v>
      </c>
      <c r="R931" t="str">
        <f t="shared" si="50"/>
        <v>淘宝客</v>
      </c>
      <c r="S931" t="s">
        <v>628</v>
      </c>
      <c r="T931" s="546" t="s">
        <v>804</v>
      </c>
    </row>
    <row r="932" spans="1:20" x14ac:dyDescent="0.3">
      <c r="A932" t="s">
        <v>627</v>
      </c>
      <c r="B932" s="16">
        <v>45425</v>
      </c>
      <c r="C932" t="s">
        <v>3</v>
      </c>
      <c r="D932" t="s">
        <v>120</v>
      </c>
      <c r="E932" t="s">
        <v>163</v>
      </c>
      <c r="F932">
        <v>69</v>
      </c>
      <c r="G932">
        <v>45</v>
      </c>
      <c r="H932">
        <v>3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21</v>
      </c>
      <c r="O932">
        <v>65</v>
      </c>
      <c r="P932">
        <f t="shared" si="51"/>
        <v>2024</v>
      </c>
      <c r="Q932">
        <f t="shared" si="52"/>
        <v>5</v>
      </c>
      <c r="R932" t="str">
        <f t="shared" si="50"/>
        <v>手猫免费其他</v>
      </c>
      <c r="S932" t="s">
        <v>628</v>
      </c>
      <c r="T932" s="546" t="s">
        <v>804</v>
      </c>
    </row>
    <row r="933" spans="1:20" x14ac:dyDescent="0.3">
      <c r="A933" t="s">
        <v>627</v>
      </c>
      <c r="B933" s="16">
        <v>45425</v>
      </c>
      <c r="C933" t="s">
        <v>3</v>
      </c>
      <c r="D933" t="s">
        <v>120</v>
      </c>
      <c r="E933" t="s">
        <v>164</v>
      </c>
      <c r="F933">
        <v>6</v>
      </c>
      <c r="G933">
        <v>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6</v>
      </c>
      <c r="P933">
        <f t="shared" si="51"/>
        <v>2024</v>
      </c>
      <c r="Q933">
        <f t="shared" si="52"/>
        <v>5</v>
      </c>
      <c r="R933" t="str">
        <f t="shared" si="50"/>
        <v>手猫其他店铺</v>
      </c>
      <c r="S933" t="s">
        <v>628</v>
      </c>
      <c r="T933" s="546" t="s">
        <v>804</v>
      </c>
    </row>
    <row r="934" spans="1:20" x14ac:dyDescent="0.3">
      <c r="A934" t="s">
        <v>627</v>
      </c>
      <c r="B934" s="16">
        <v>45425</v>
      </c>
      <c r="C934" t="s">
        <v>3</v>
      </c>
      <c r="D934" t="s">
        <v>120</v>
      </c>
      <c r="E934" t="s">
        <v>165</v>
      </c>
      <c r="F934">
        <v>16</v>
      </c>
      <c r="G934">
        <v>9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4</v>
      </c>
      <c r="O934">
        <v>15</v>
      </c>
      <c r="P934">
        <f t="shared" si="51"/>
        <v>2024</v>
      </c>
      <c r="Q934">
        <f t="shared" si="52"/>
        <v>5</v>
      </c>
      <c r="R934" t="str">
        <f t="shared" si="50"/>
        <v>手猫商品详情</v>
      </c>
      <c r="S934" t="s">
        <v>628</v>
      </c>
      <c r="T934" s="546" t="s">
        <v>804</v>
      </c>
    </row>
    <row r="935" spans="1:20" x14ac:dyDescent="0.3">
      <c r="A935" t="s">
        <v>627</v>
      </c>
      <c r="B935" s="16">
        <v>45425</v>
      </c>
      <c r="C935" t="s">
        <v>3</v>
      </c>
      <c r="D935" t="s">
        <v>120</v>
      </c>
      <c r="E935" t="s">
        <v>166</v>
      </c>
      <c r="F935">
        <v>40</v>
      </c>
      <c r="G935">
        <v>31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23</v>
      </c>
      <c r="O935">
        <v>24</v>
      </c>
      <c r="P935">
        <f t="shared" si="51"/>
        <v>2024</v>
      </c>
      <c r="Q935">
        <f t="shared" si="52"/>
        <v>5</v>
      </c>
      <c r="R935" t="str">
        <f t="shared" si="50"/>
        <v>手猫搜索</v>
      </c>
      <c r="S935" t="s">
        <v>628</v>
      </c>
      <c r="T935" s="546" t="s">
        <v>804</v>
      </c>
    </row>
    <row r="936" spans="1:20" x14ac:dyDescent="0.3">
      <c r="A936" t="s">
        <v>627</v>
      </c>
      <c r="B936" s="16">
        <v>45425</v>
      </c>
      <c r="C936" t="s">
        <v>3</v>
      </c>
      <c r="D936" t="s">
        <v>120</v>
      </c>
      <c r="E936" t="s">
        <v>168</v>
      </c>
      <c r="F936">
        <v>241</v>
      </c>
      <c r="G936">
        <v>167</v>
      </c>
      <c r="H936">
        <v>3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7</v>
      </c>
      <c r="O936">
        <v>241</v>
      </c>
      <c r="P936">
        <f t="shared" si="51"/>
        <v>2024</v>
      </c>
      <c r="Q936">
        <f t="shared" si="52"/>
        <v>5</v>
      </c>
      <c r="R936" t="str">
        <f t="shared" si="50"/>
        <v>手猫首页</v>
      </c>
      <c r="S936" t="s">
        <v>628</v>
      </c>
      <c r="T936" s="546" t="s">
        <v>804</v>
      </c>
    </row>
    <row r="937" spans="1:20" x14ac:dyDescent="0.3">
      <c r="A937" t="s">
        <v>627</v>
      </c>
      <c r="B937" s="16">
        <v>45425</v>
      </c>
      <c r="C937" t="s">
        <v>3</v>
      </c>
      <c r="D937" t="s">
        <v>123</v>
      </c>
      <c r="E937" t="s">
        <v>169</v>
      </c>
      <c r="F937">
        <v>68</v>
      </c>
      <c r="G937">
        <v>37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18</v>
      </c>
      <c r="O937">
        <v>62</v>
      </c>
      <c r="P937">
        <f t="shared" si="51"/>
        <v>2024</v>
      </c>
      <c r="Q937">
        <f t="shared" si="52"/>
        <v>5</v>
      </c>
      <c r="R937" t="str">
        <f t="shared" si="50"/>
        <v>商品详情页头图推荐</v>
      </c>
      <c r="S937" t="s">
        <v>628</v>
      </c>
      <c r="T937" s="546" t="s">
        <v>804</v>
      </c>
    </row>
    <row r="938" spans="1:20" x14ac:dyDescent="0.3">
      <c r="A938" t="s">
        <v>627</v>
      </c>
      <c r="B938" s="16">
        <v>45425</v>
      </c>
      <c r="C938" t="s">
        <v>3</v>
      </c>
      <c r="D938" t="s">
        <v>123</v>
      </c>
      <c r="E938" t="s">
        <v>170</v>
      </c>
      <c r="F938">
        <v>10</v>
      </c>
      <c r="G938">
        <v>7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7</v>
      </c>
      <c r="O938">
        <v>6</v>
      </c>
      <c r="P938">
        <f t="shared" si="51"/>
        <v>2024</v>
      </c>
      <c r="Q938">
        <f t="shared" si="52"/>
        <v>5</v>
      </c>
      <c r="R938" t="str">
        <f t="shared" si="50"/>
        <v>店铺超链</v>
      </c>
      <c r="S938" t="s">
        <v>628</v>
      </c>
      <c r="T938" s="546" t="s">
        <v>804</v>
      </c>
    </row>
    <row r="939" spans="1:20" x14ac:dyDescent="0.3">
      <c r="A939" t="s">
        <v>627</v>
      </c>
      <c r="B939" s="16">
        <v>45425</v>
      </c>
      <c r="C939" t="s">
        <v>3</v>
      </c>
      <c r="D939" t="s">
        <v>127</v>
      </c>
      <c r="E939" t="s">
        <v>171</v>
      </c>
      <c r="F939">
        <v>94</v>
      </c>
      <c r="G939">
        <v>68</v>
      </c>
      <c r="H939">
        <v>0</v>
      </c>
      <c r="I939">
        <v>0</v>
      </c>
      <c r="J939" s="15">
        <v>3495</v>
      </c>
      <c r="K939">
        <v>1</v>
      </c>
      <c r="L939">
        <v>0</v>
      </c>
      <c r="M939">
        <v>0</v>
      </c>
      <c r="N939">
        <v>14</v>
      </c>
      <c r="O939">
        <v>84</v>
      </c>
      <c r="P939">
        <f t="shared" si="51"/>
        <v>2024</v>
      </c>
      <c r="Q939">
        <f t="shared" si="52"/>
        <v>5</v>
      </c>
      <c r="R939" t="str">
        <f t="shared" si="50"/>
        <v>其他猜你喜欢</v>
      </c>
      <c r="S939" t="s">
        <v>628</v>
      </c>
      <c r="T939" s="546" t="s">
        <v>804</v>
      </c>
    </row>
    <row r="940" spans="1:20" x14ac:dyDescent="0.3">
      <c r="A940" t="s">
        <v>627</v>
      </c>
      <c r="B940" s="16">
        <v>45425</v>
      </c>
      <c r="C940" t="s">
        <v>3</v>
      </c>
      <c r="D940" t="s">
        <v>127</v>
      </c>
      <c r="E940" t="s">
        <v>173</v>
      </c>
      <c r="F940">
        <v>12</v>
      </c>
      <c r="G940">
        <v>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12</v>
      </c>
      <c r="P940">
        <f t="shared" si="51"/>
        <v>2024</v>
      </c>
      <c r="Q940">
        <f t="shared" si="52"/>
        <v>5</v>
      </c>
      <c r="R940" t="str">
        <f t="shared" si="50"/>
        <v>购后推荐</v>
      </c>
      <c r="S940" t="s">
        <v>628</v>
      </c>
      <c r="T940" s="546" t="s">
        <v>804</v>
      </c>
    </row>
    <row r="941" spans="1:20" x14ac:dyDescent="0.3">
      <c r="A941" t="s">
        <v>627</v>
      </c>
      <c r="B941" s="16">
        <v>45425</v>
      </c>
      <c r="C941" t="s">
        <v>3</v>
      </c>
      <c r="D941" t="s">
        <v>127</v>
      </c>
      <c r="E941" t="s">
        <v>174</v>
      </c>
      <c r="F941">
        <v>479</v>
      </c>
      <c r="G941">
        <v>312</v>
      </c>
      <c r="H941">
        <v>14</v>
      </c>
      <c r="I941">
        <v>7</v>
      </c>
      <c r="J941" s="15">
        <v>7990</v>
      </c>
      <c r="K941">
        <v>2</v>
      </c>
      <c r="L941" s="15">
        <v>5195</v>
      </c>
      <c r="M941">
        <v>1</v>
      </c>
      <c r="N941">
        <v>60</v>
      </c>
      <c r="O941">
        <v>479</v>
      </c>
      <c r="P941">
        <f t="shared" si="51"/>
        <v>2024</v>
      </c>
      <c r="Q941">
        <f t="shared" si="52"/>
        <v>5</v>
      </c>
      <c r="R941" t="str">
        <f t="shared" si="50"/>
        <v>首页推荐-微详情</v>
      </c>
      <c r="S941" t="s">
        <v>628</v>
      </c>
      <c r="T941" s="546" t="s">
        <v>804</v>
      </c>
    </row>
    <row r="942" spans="1:20" x14ac:dyDescent="0.3">
      <c r="A942" t="s">
        <v>627</v>
      </c>
      <c r="B942" s="16">
        <v>45425</v>
      </c>
      <c r="C942" t="s">
        <v>3</v>
      </c>
      <c r="D942" t="s">
        <v>127</v>
      </c>
      <c r="E942" t="s">
        <v>175</v>
      </c>
      <c r="F942">
        <v>8</v>
      </c>
      <c r="G942">
        <v>4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f t="shared" si="51"/>
        <v>2024</v>
      </c>
      <c r="Q942">
        <f t="shared" si="52"/>
        <v>5</v>
      </c>
      <c r="R942" t="str">
        <f t="shared" si="50"/>
        <v>首页推荐-直播</v>
      </c>
      <c r="S942" t="s">
        <v>628</v>
      </c>
      <c r="T942" s="546" t="s">
        <v>804</v>
      </c>
    </row>
    <row r="943" spans="1:20" x14ac:dyDescent="0.3">
      <c r="A943" t="s">
        <v>627</v>
      </c>
      <c r="B943" s="16">
        <v>45425</v>
      </c>
      <c r="C943" t="s">
        <v>3</v>
      </c>
      <c r="D943" t="s">
        <v>127</v>
      </c>
      <c r="E943" t="s">
        <v>176</v>
      </c>
      <c r="F943">
        <v>26</v>
      </c>
      <c r="G943">
        <v>15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f t="shared" si="51"/>
        <v>2024</v>
      </c>
      <c r="Q943">
        <f t="shared" si="52"/>
        <v>5</v>
      </c>
      <c r="R943" t="str">
        <f t="shared" si="50"/>
        <v>首页推荐-短视频</v>
      </c>
      <c r="S943" t="s">
        <v>628</v>
      </c>
      <c r="T943" s="546" t="s">
        <v>804</v>
      </c>
    </row>
    <row r="944" spans="1:20" x14ac:dyDescent="0.3">
      <c r="A944" t="s">
        <v>627</v>
      </c>
      <c r="B944" s="16">
        <v>45425</v>
      </c>
      <c r="C944" t="s">
        <v>3</v>
      </c>
      <c r="D944" t="s">
        <v>128</v>
      </c>
      <c r="E944" t="s">
        <v>177</v>
      </c>
      <c r="F944">
        <v>418</v>
      </c>
      <c r="G944">
        <v>361</v>
      </c>
      <c r="H944">
        <v>2</v>
      </c>
      <c r="I944">
        <v>6</v>
      </c>
      <c r="J944">
        <v>0</v>
      </c>
      <c r="K944">
        <v>0</v>
      </c>
      <c r="L944">
        <v>0</v>
      </c>
      <c r="M944">
        <v>0</v>
      </c>
      <c r="N944">
        <v>186</v>
      </c>
      <c r="O944">
        <v>328</v>
      </c>
      <c r="P944">
        <f t="shared" si="51"/>
        <v>2024</v>
      </c>
      <c r="Q944">
        <f t="shared" si="52"/>
        <v>5</v>
      </c>
      <c r="R944" t="str">
        <f t="shared" si="50"/>
        <v>手淘搜索-商品及其他</v>
      </c>
      <c r="S944" t="s">
        <v>628</v>
      </c>
      <c r="T944" s="546" t="s">
        <v>804</v>
      </c>
    </row>
    <row r="945" spans="1:20" x14ac:dyDescent="0.3">
      <c r="A945" t="s">
        <v>627</v>
      </c>
      <c r="B945" s="16">
        <v>45425</v>
      </c>
      <c r="C945" t="s">
        <v>3</v>
      </c>
      <c r="D945" t="s">
        <v>128</v>
      </c>
      <c r="E945" t="s">
        <v>179</v>
      </c>
      <c r="F945">
        <v>11</v>
      </c>
      <c r="G945">
        <v>9</v>
      </c>
      <c r="H945">
        <v>1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5</v>
      </c>
      <c r="O945">
        <v>7</v>
      </c>
      <c r="P945">
        <f t="shared" si="51"/>
        <v>2024</v>
      </c>
      <c r="Q945">
        <f t="shared" si="52"/>
        <v>5</v>
      </c>
      <c r="R945" t="str">
        <f t="shared" si="50"/>
        <v>手淘搜索-短视频</v>
      </c>
      <c r="S945" t="s">
        <v>628</v>
      </c>
      <c r="T945" s="546" t="s">
        <v>804</v>
      </c>
    </row>
    <row r="946" spans="1:20" x14ac:dyDescent="0.3">
      <c r="A946" t="s">
        <v>627</v>
      </c>
      <c r="B946" s="16">
        <v>45425</v>
      </c>
      <c r="C946" t="s">
        <v>3</v>
      </c>
      <c r="D946" t="s">
        <v>143</v>
      </c>
      <c r="E946" t="s">
        <v>180</v>
      </c>
      <c r="F946">
        <v>5</v>
      </c>
      <c r="G946">
        <v>5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5</v>
      </c>
      <c r="P946">
        <f t="shared" si="51"/>
        <v>2024</v>
      </c>
      <c r="Q946">
        <f t="shared" si="52"/>
        <v>5</v>
      </c>
      <c r="R946" t="str">
        <f t="shared" si="50"/>
        <v>淘特其他渠道</v>
      </c>
      <c r="S946" t="s">
        <v>628</v>
      </c>
      <c r="T946" s="546" t="s">
        <v>804</v>
      </c>
    </row>
    <row r="947" spans="1:20" x14ac:dyDescent="0.3">
      <c r="A947" t="s">
        <v>627</v>
      </c>
      <c r="B947" s="16">
        <v>45425</v>
      </c>
      <c r="C947" t="s">
        <v>2</v>
      </c>
      <c r="D947" t="s">
        <v>55</v>
      </c>
      <c r="E947" t="s">
        <v>54</v>
      </c>
      <c r="F947">
        <v>1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f t="shared" si="51"/>
        <v>2024</v>
      </c>
      <c r="Q947">
        <f t="shared" si="52"/>
        <v>5</v>
      </c>
      <c r="R947" t="str">
        <f t="shared" si="50"/>
        <v>超级直播</v>
      </c>
      <c r="S947" t="s">
        <v>628</v>
      </c>
      <c r="T947" s="546" t="s">
        <v>804</v>
      </c>
    </row>
    <row r="948" spans="1:20" x14ac:dyDescent="0.3">
      <c r="A948" t="s">
        <v>627</v>
      </c>
      <c r="B948" s="16">
        <v>45425</v>
      </c>
      <c r="C948" t="s">
        <v>2</v>
      </c>
      <c r="D948" t="s">
        <v>52</v>
      </c>
      <c r="E948" t="s">
        <v>183</v>
      </c>
      <c r="F948">
        <v>962</v>
      </c>
      <c r="G948">
        <v>818</v>
      </c>
      <c r="H948">
        <v>15</v>
      </c>
      <c r="I948">
        <v>5</v>
      </c>
      <c r="J948">
        <v>0</v>
      </c>
      <c r="K948">
        <v>0</v>
      </c>
      <c r="L948">
        <v>0</v>
      </c>
      <c r="M948">
        <v>0</v>
      </c>
      <c r="N948">
        <v>962</v>
      </c>
      <c r="O948">
        <v>518</v>
      </c>
      <c r="P948">
        <f t="shared" si="51"/>
        <v>2024</v>
      </c>
      <c r="Q948">
        <f t="shared" si="52"/>
        <v>5</v>
      </c>
      <c r="R948" t="str">
        <f t="shared" si="50"/>
        <v>品销宝-品牌专区</v>
      </c>
      <c r="S948" t="s">
        <v>628</v>
      </c>
      <c r="T948" s="546" t="s">
        <v>804</v>
      </c>
    </row>
    <row r="949" spans="1:20" x14ac:dyDescent="0.3">
      <c r="A949" t="s">
        <v>627</v>
      </c>
      <c r="B949" s="16">
        <v>45425</v>
      </c>
      <c r="C949" t="s">
        <v>2</v>
      </c>
      <c r="D949" t="s">
        <v>57</v>
      </c>
      <c r="E949" t="s">
        <v>65</v>
      </c>
      <c r="F949" s="15">
        <v>2447</v>
      </c>
      <c r="G949" s="15">
        <v>2168</v>
      </c>
      <c r="H949">
        <v>21</v>
      </c>
      <c r="I949">
        <v>19</v>
      </c>
      <c r="J949" s="15">
        <v>5690</v>
      </c>
      <c r="K949">
        <v>2</v>
      </c>
      <c r="L949" s="15">
        <v>2895</v>
      </c>
      <c r="M949">
        <v>1</v>
      </c>
      <c r="N949">
        <v>245</v>
      </c>
      <c r="O949" s="15">
        <v>2422</v>
      </c>
      <c r="P949">
        <f t="shared" si="51"/>
        <v>2024</v>
      </c>
      <c r="Q949">
        <f t="shared" si="52"/>
        <v>5</v>
      </c>
      <c r="R949" t="str">
        <f t="shared" si="50"/>
        <v>直通车</v>
      </c>
      <c r="S949" t="s">
        <v>628</v>
      </c>
      <c r="T949" s="546" t="s">
        <v>804</v>
      </c>
    </row>
    <row r="950" spans="1:20" x14ac:dyDescent="0.3">
      <c r="A950" t="s">
        <v>627</v>
      </c>
      <c r="B950" s="16">
        <v>45425</v>
      </c>
      <c r="C950" t="s">
        <v>2</v>
      </c>
      <c r="D950" t="s">
        <v>57</v>
      </c>
      <c r="E950" t="s">
        <v>63</v>
      </c>
      <c r="F950" s="15">
        <v>1482</v>
      </c>
      <c r="G950">
        <v>945</v>
      </c>
      <c r="H950">
        <v>23</v>
      </c>
      <c r="I950">
        <v>4</v>
      </c>
      <c r="J950" s="15">
        <v>21425</v>
      </c>
      <c r="K950">
        <v>5</v>
      </c>
      <c r="L950" s="15">
        <v>6090</v>
      </c>
      <c r="M950">
        <v>2</v>
      </c>
      <c r="N950">
        <v>89</v>
      </c>
      <c r="O950" s="15">
        <v>1479</v>
      </c>
      <c r="P950">
        <f t="shared" si="51"/>
        <v>2024</v>
      </c>
      <c r="Q950">
        <f t="shared" si="52"/>
        <v>5</v>
      </c>
      <c r="R950" t="str">
        <f t="shared" si="50"/>
        <v>万相台</v>
      </c>
      <c r="S950" t="s">
        <v>628</v>
      </c>
      <c r="T950" s="546" t="s">
        <v>804</v>
      </c>
    </row>
    <row r="951" spans="1:20" x14ac:dyDescent="0.3">
      <c r="A951" t="s">
        <v>627</v>
      </c>
      <c r="B951" s="16">
        <v>45425</v>
      </c>
      <c r="C951" t="s">
        <v>2</v>
      </c>
      <c r="D951" t="s">
        <v>57</v>
      </c>
      <c r="E951" t="s">
        <v>64</v>
      </c>
      <c r="F951" s="15">
        <v>10600</v>
      </c>
      <c r="G951" s="15">
        <v>6397</v>
      </c>
      <c r="H951">
        <v>35</v>
      </c>
      <c r="I951">
        <v>36</v>
      </c>
      <c r="J951" s="15">
        <v>8745</v>
      </c>
      <c r="K951">
        <v>2</v>
      </c>
      <c r="L951">
        <v>0</v>
      </c>
      <c r="M951">
        <v>0</v>
      </c>
      <c r="N951">
        <v>294</v>
      </c>
      <c r="O951" s="15">
        <v>9939</v>
      </c>
      <c r="P951">
        <f t="shared" si="51"/>
        <v>2024</v>
      </c>
      <c r="Q951">
        <f t="shared" si="52"/>
        <v>5</v>
      </c>
      <c r="R951" t="str">
        <f t="shared" si="50"/>
        <v>引力魔方</v>
      </c>
      <c r="S951" t="s">
        <v>628</v>
      </c>
      <c r="T951" s="546" t="s">
        <v>804</v>
      </c>
    </row>
    <row r="952" spans="1:20" x14ac:dyDescent="0.3">
      <c r="A952" t="s">
        <v>627</v>
      </c>
      <c r="B952" s="16">
        <v>45425</v>
      </c>
      <c r="C952" t="s">
        <v>2</v>
      </c>
      <c r="D952" t="s">
        <v>4</v>
      </c>
      <c r="E952" t="s">
        <v>41</v>
      </c>
      <c r="F952">
        <v>4</v>
      </c>
      <c r="G952">
        <v>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4</v>
      </c>
      <c r="P952">
        <f t="shared" si="51"/>
        <v>2024</v>
      </c>
      <c r="Q952">
        <f t="shared" si="52"/>
        <v>5</v>
      </c>
      <c r="R952" t="str">
        <f t="shared" si="50"/>
        <v>流量宝</v>
      </c>
      <c r="S952" t="s">
        <v>628</v>
      </c>
      <c r="T952" s="546" t="s">
        <v>804</v>
      </c>
    </row>
    <row r="953" spans="1:20" x14ac:dyDescent="0.3">
      <c r="A953" t="s">
        <v>627</v>
      </c>
      <c r="B953" s="16">
        <v>45425</v>
      </c>
      <c r="C953" t="s">
        <v>2</v>
      </c>
      <c r="D953" t="s">
        <v>4</v>
      </c>
      <c r="E953" t="s">
        <v>43</v>
      </c>
      <c r="F953">
        <v>276</v>
      </c>
      <c r="G953">
        <v>84</v>
      </c>
      <c r="H953">
        <v>2</v>
      </c>
      <c r="I953">
        <v>0</v>
      </c>
      <c r="J953" s="15">
        <v>5750</v>
      </c>
      <c r="K953">
        <v>1</v>
      </c>
      <c r="L953" s="15">
        <v>5750</v>
      </c>
      <c r="M953">
        <v>1</v>
      </c>
      <c r="N953">
        <v>9</v>
      </c>
      <c r="O953">
        <v>270</v>
      </c>
      <c r="P953">
        <f t="shared" si="51"/>
        <v>2024</v>
      </c>
      <c r="Q953">
        <f t="shared" si="52"/>
        <v>5</v>
      </c>
      <c r="R953" t="str">
        <f t="shared" si="50"/>
        <v>淘宝客</v>
      </c>
      <c r="S953" t="s">
        <v>628</v>
      </c>
      <c r="T953" s="546" t="s">
        <v>804</v>
      </c>
    </row>
    <row r="954" spans="1:20" x14ac:dyDescent="0.3">
      <c r="A954" t="s">
        <v>627</v>
      </c>
      <c r="B954" s="16">
        <v>45426</v>
      </c>
      <c r="C954" t="s">
        <v>3</v>
      </c>
      <c r="D954" t="s">
        <v>120</v>
      </c>
      <c r="E954" t="s">
        <v>162</v>
      </c>
      <c r="F954">
        <v>2</v>
      </c>
      <c r="G954">
        <v>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2</v>
      </c>
      <c r="P954">
        <f t="shared" si="51"/>
        <v>2024</v>
      </c>
      <c r="Q954">
        <f t="shared" si="52"/>
        <v>5</v>
      </c>
      <c r="R954" t="str">
        <f t="shared" si="50"/>
        <v>手机浏览器访问天猫</v>
      </c>
      <c r="S954" t="s">
        <v>628</v>
      </c>
      <c r="T954" s="546" t="s">
        <v>804</v>
      </c>
    </row>
    <row r="955" spans="1:20" x14ac:dyDescent="0.3">
      <c r="A955" t="s">
        <v>627</v>
      </c>
      <c r="B955" s="16">
        <v>45426</v>
      </c>
      <c r="C955" t="s">
        <v>3</v>
      </c>
      <c r="D955" t="s">
        <v>120</v>
      </c>
      <c r="E955" t="s">
        <v>163</v>
      </c>
      <c r="F955">
        <v>62</v>
      </c>
      <c r="G955">
        <v>40</v>
      </c>
      <c r="H955">
        <v>0</v>
      </c>
      <c r="I955">
        <v>0</v>
      </c>
      <c r="J955" s="15">
        <v>3495</v>
      </c>
      <c r="K955">
        <v>1</v>
      </c>
      <c r="L955" s="15">
        <v>3495</v>
      </c>
      <c r="M955">
        <v>1</v>
      </c>
      <c r="N955">
        <v>17</v>
      </c>
      <c r="O955">
        <v>54</v>
      </c>
      <c r="P955">
        <f t="shared" si="51"/>
        <v>2024</v>
      </c>
      <c r="Q955">
        <f t="shared" si="52"/>
        <v>5</v>
      </c>
      <c r="R955" t="str">
        <f t="shared" si="50"/>
        <v>手猫免费其他</v>
      </c>
      <c r="S955" t="s">
        <v>628</v>
      </c>
      <c r="T955" s="546" t="s">
        <v>804</v>
      </c>
    </row>
    <row r="956" spans="1:20" x14ac:dyDescent="0.3">
      <c r="A956" t="s">
        <v>627</v>
      </c>
      <c r="B956" s="16">
        <v>45426</v>
      </c>
      <c r="C956" t="s">
        <v>3</v>
      </c>
      <c r="D956" t="s">
        <v>120</v>
      </c>
      <c r="E956" t="s">
        <v>164</v>
      </c>
      <c r="F956">
        <v>5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5</v>
      </c>
      <c r="P956">
        <f t="shared" si="51"/>
        <v>2024</v>
      </c>
      <c r="Q956">
        <f t="shared" si="52"/>
        <v>5</v>
      </c>
      <c r="R956" t="str">
        <f t="shared" si="50"/>
        <v>手猫其他店铺</v>
      </c>
      <c r="S956" t="s">
        <v>628</v>
      </c>
      <c r="T956" s="546" t="s">
        <v>804</v>
      </c>
    </row>
    <row r="957" spans="1:20" x14ac:dyDescent="0.3">
      <c r="A957" t="s">
        <v>627</v>
      </c>
      <c r="B957" s="16">
        <v>45426</v>
      </c>
      <c r="C957" t="s">
        <v>3</v>
      </c>
      <c r="D957" t="s">
        <v>120</v>
      </c>
      <c r="E957" t="s">
        <v>165</v>
      </c>
      <c r="F957">
        <v>15</v>
      </c>
      <c r="G957">
        <v>9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2</v>
      </c>
      <c r="O957">
        <v>12</v>
      </c>
      <c r="P957">
        <f t="shared" si="51"/>
        <v>2024</v>
      </c>
      <c r="Q957">
        <f t="shared" si="52"/>
        <v>5</v>
      </c>
      <c r="R957" t="str">
        <f t="shared" si="50"/>
        <v>手猫商品详情</v>
      </c>
      <c r="S957" t="s">
        <v>628</v>
      </c>
      <c r="T957" s="546" t="s">
        <v>804</v>
      </c>
    </row>
    <row r="958" spans="1:20" x14ac:dyDescent="0.3">
      <c r="A958" t="s">
        <v>627</v>
      </c>
      <c r="B958" s="16">
        <v>45426</v>
      </c>
      <c r="C958" t="s">
        <v>3</v>
      </c>
      <c r="D958" t="s">
        <v>120</v>
      </c>
      <c r="E958" t="s">
        <v>166</v>
      </c>
      <c r="F958">
        <v>32</v>
      </c>
      <c r="G958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19</v>
      </c>
      <c r="O958">
        <v>18</v>
      </c>
      <c r="P958">
        <f t="shared" si="51"/>
        <v>2024</v>
      </c>
      <c r="Q958">
        <f t="shared" si="52"/>
        <v>5</v>
      </c>
      <c r="R958" t="str">
        <f t="shared" si="50"/>
        <v>手猫搜索</v>
      </c>
      <c r="S958" t="s">
        <v>628</v>
      </c>
      <c r="T958" s="546" t="s">
        <v>804</v>
      </c>
    </row>
    <row r="959" spans="1:20" x14ac:dyDescent="0.3">
      <c r="A959" t="s">
        <v>627</v>
      </c>
      <c r="B959" s="16">
        <v>45426</v>
      </c>
      <c r="C959" t="s">
        <v>3</v>
      </c>
      <c r="D959" t="s">
        <v>120</v>
      </c>
      <c r="E959" t="s">
        <v>167</v>
      </c>
      <c r="F959">
        <v>1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f t="shared" si="51"/>
        <v>2024</v>
      </c>
      <c r="Q959">
        <f t="shared" si="52"/>
        <v>5</v>
      </c>
      <c r="R959" t="str">
        <f t="shared" si="50"/>
        <v>手猫旺信聊天</v>
      </c>
      <c r="S959" t="s">
        <v>628</v>
      </c>
      <c r="T959" s="546" t="s">
        <v>804</v>
      </c>
    </row>
    <row r="960" spans="1:20" x14ac:dyDescent="0.3">
      <c r="A960" t="s">
        <v>627</v>
      </c>
      <c r="B960" s="16">
        <v>45426</v>
      </c>
      <c r="C960" t="s">
        <v>3</v>
      </c>
      <c r="D960" t="s">
        <v>120</v>
      </c>
      <c r="E960" t="s">
        <v>168</v>
      </c>
      <c r="F960">
        <v>220</v>
      </c>
      <c r="G960">
        <v>150</v>
      </c>
      <c r="H960">
        <v>0</v>
      </c>
      <c r="I960">
        <v>0</v>
      </c>
      <c r="J960" s="15">
        <v>2795</v>
      </c>
      <c r="K960">
        <v>1</v>
      </c>
      <c r="L960" s="15">
        <v>2795</v>
      </c>
      <c r="M960">
        <v>1</v>
      </c>
      <c r="N960">
        <v>5</v>
      </c>
      <c r="O960">
        <v>220</v>
      </c>
      <c r="P960">
        <f t="shared" si="51"/>
        <v>2024</v>
      </c>
      <c r="Q960">
        <f t="shared" si="52"/>
        <v>5</v>
      </c>
      <c r="R960" t="str">
        <f t="shared" si="50"/>
        <v>手猫首页</v>
      </c>
      <c r="S960" t="s">
        <v>628</v>
      </c>
      <c r="T960" s="546" t="s">
        <v>804</v>
      </c>
    </row>
    <row r="961" spans="1:20" x14ac:dyDescent="0.3">
      <c r="A961" t="s">
        <v>627</v>
      </c>
      <c r="B961" s="16">
        <v>45426</v>
      </c>
      <c r="C961" t="s">
        <v>3</v>
      </c>
      <c r="D961" t="s">
        <v>123</v>
      </c>
      <c r="E961" t="s">
        <v>169</v>
      </c>
      <c r="F961">
        <v>61</v>
      </c>
      <c r="G961">
        <v>32</v>
      </c>
      <c r="H961">
        <v>2</v>
      </c>
      <c r="I961">
        <v>1</v>
      </c>
      <c r="J961" s="15">
        <v>3195</v>
      </c>
      <c r="K961">
        <v>1</v>
      </c>
      <c r="L961" s="15">
        <v>3195</v>
      </c>
      <c r="M961">
        <v>1</v>
      </c>
      <c r="N961">
        <v>22</v>
      </c>
      <c r="O961">
        <v>58</v>
      </c>
      <c r="P961">
        <f t="shared" si="51"/>
        <v>2024</v>
      </c>
      <c r="Q961">
        <f t="shared" si="52"/>
        <v>5</v>
      </c>
      <c r="R961" t="str">
        <f t="shared" si="50"/>
        <v>商品详情页头图推荐</v>
      </c>
      <c r="S961" t="s">
        <v>628</v>
      </c>
      <c r="T961" s="546" t="s">
        <v>804</v>
      </c>
    </row>
    <row r="962" spans="1:20" x14ac:dyDescent="0.3">
      <c r="A962" t="s">
        <v>627</v>
      </c>
      <c r="B962" s="16">
        <v>45426</v>
      </c>
      <c r="C962" t="s">
        <v>3</v>
      </c>
      <c r="D962" t="s">
        <v>123</v>
      </c>
      <c r="E962" t="s">
        <v>170</v>
      </c>
      <c r="F962">
        <v>24</v>
      </c>
      <c r="G962">
        <v>19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21</v>
      </c>
      <c r="O962">
        <v>11</v>
      </c>
      <c r="P962">
        <f t="shared" si="51"/>
        <v>2024</v>
      </c>
      <c r="Q962">
        <f t="shared" si="52"/>
        <v>5</v>
      </c>
      <c r="R962" t="str">
        <f t="shared" si="50"/>
        <v>店铺超链</v>
      </c>
      <c r="S962" t="s">
        <v>628</v>
      </c>
      <c r="T962" s="546" t="s">
        <v>804</v>
      </c>
    </row>
    <row r="963" spans="1:20" x14ac:dyDescent="0.3">
      <c r="A963" t="s">
        <v>627</v>
      </c>
      <c r="B963" s="16">
        <v>45426</v>
      </c>
      <c r="C963" t="s">
        <v>3</v>
      </c>
      <c r="D963" t="s">
        <v>127</v>
      </c>
      <c r="E963" t="s">
        <v>171</v>
      </c>
      <c r="F963">
        <v>122</v>
      </c>
      <c r="G963">
        <v>75</v>
      </c>
      <c r="H963">
        <v>6</v>
      </c>
      <c r="I963">
        <v>0</v>
      </c>
      <c r="J963" s="15">
        <v>4695</v>
      </c>
      <c r="K963">
        <v>1</v>
      </c>
      <c r="L963" s="15">
        <v>4695</v>
      </c>
      <c r="M963">
        <v>1</v>
      </c>
      <c r="N963">
        <v>38</v>
      </c>
      <c r="O963">
        <v>105</v>
      </c>
      <c r="P963">
        <f t="shared" si="51"/>
        <v>2024</v>
      </c>
      <c r="Q963">
        <f t="shared" si="52"/>
        <v>5</v>
      </c>
      <c r="R963" t="str">
        <f t="shared" si="50"/>
        <v>其他猜你喜欢</v>
      </c>
      <c r="S963" t="s">
        <v>628</v>
      </c>
      <c r="T963" s="546" t="s">
        <v>804</v>
      </c>
    </row>
    <row r="964" spans="1:20" x14ac:dyDescent="0.3">
      <c r="A964" t="s">
        <v>627</v>
      </c>
      <c r="B964" s="16">
        <v>45426</v>
      </c>
      <c r="C964" t="s">
        <v>3</v>
      </c>
      <c r="D964" t="s">
        <v>127</v>
      </c>
      <c r="E964" t="s">
        <v>172</v>
      </c>
      <c r="F964">
        <v>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1</v>
      </c>
      <c r="P964">
        <f t="shared" si="51"/>
        <v>2024</v>
      </c>
      <c r="Q964">
        <f t="shared" si="52"/>
        <v>5</v>
      </c>
      <c r="R964" t="str">
        <f t="shared" si="50"/>
        <v>购中推荐</v>
      </c>
      <c r="S964" t="s">
        <v>628</v>
      </c>
      <c r="T964" s="546" t="s">
        <v>804</v>
      </c>
    </row>
    <row r="965" spans="1:20" x14ac:dyDescent="0.3">
      <c r="A965" t="s">
        <v>627</v>
      </c>
      <c r="B965" s="16">
        <v>45426</v>
      </c>
      <c r="C965" t="s">
        <v>3</v>
      </c>
      <c r="D965" t="s">
        <v>127</v>
      </c>
      <c r="E965" t="s">
        <v>173</v>
      </c>
      <c r="F965">
        <v>10</v>
      </c>
      <c r="G965">
        <v>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2</v>
      </c>
      <c r="O965">
        <v>10</v>
      </c>
      <c r="P965">
        <f t="shared" si="51"/>
        <v>2024</v>
      </c>
      <c r="Q965">
        <f t="shared" si="52"/>
        <v>5</v>
      </c>
      <c r="R965" t="str">
        <f t="shared" si="50"/>
        <v>购后推荐</v>
      </c>
      <c r="S965" t="s">
        <v>628</v>
      </c>
      <c r="T965" s="546" t="s">
        <v>804</v>
      </c>
    </row>
    <row r="966" spans="1:20" x14ac:dyDescent="0.3">
      <c r="A966" t="s">
        <v>627</v>
      </c>
      <c r="B966" s="16">
        <v>45426</v>
      </c>
      <c r="C966" t="s">
        <v>3</v>
      </c>
      <c r="D966" t="s">
        <v>127</v>
      </c>
      <c r="E966" t="s">
        <v>174</v>
      </c>
      <c r="F966">
        <v>656</v>
      </c>
      <c r="G966">
        <v>453</v>
      </c>
      <c r="H966">
        <v>12</v>
      </c>
      <c r="I966">
        <v>5</v>
      </c>
      <c r="J966">
        <v>0</v>
      </c>
      <c r="K966">
        <v>0</v>
      </c>
      <c r="L966">
        <v>0</v>
      </c>
      <c r="M966">
        <v>0</v>
      </c>
      <c r="N966">
        <v>90</v>
      </c>
      <c r="O966">
        <v>656</v>
      </c>
      <c r="P966">
        <f t="shared" si="51"/>
        <v>2024</v>
      </c>
      <c r="Q966">
        <f t="shared" si="52"/>
        <v>5</v>
      </c>
      <c r="R966" t="str">
        <f t="shared" si="50"/>
        <v>首页推荐-微详情</v>
      </c>
      <c r="S966" t="s">
        <v>628</v>
      </c>
      <c r="T966" s="546" t="s">
        <v>804</v>
      </c>
    </row>
    <row r="967" spans="1:20" x14ac:dyDescent="0.3">
      <c r="A967" t="s">
        <v>627</v>
      </c>
      <c r="B967" s="16">
        <v>45426</v>
      </c>
      <c r="C967" t="s">
        <v>3</v>
      </c>
      <c r="D967" t="s">
        <v>127</v>
      </c>
      <c r="E967" t="s">
        <v>175</v>
      </c>
      <c r="F967">
        <v>3</v>
      </c>
      <c r="G967">
        <v>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>
        <f t="shared" si="51"/>
        <v>2024</v>
      </c>
      <c r="Q967">
        <f t="shared" si="52"/>
        <v>5</v>
      </c>
      <c r="R967" t="str">
        <f t="shared" ref="R967:R1030" si="53">E967</f>
        <v>首页推荐-直播</v>
      </c>
      <c r="S967" t="s">
        <v>628</v>
      </c>
      <c r="T967" s="546" t="s">
        <v>804</v>
      </c>
    </row>
    <row r="968" spans="1:20" x14ac:dyDescent="0.3">
      <c r="A968" t="s">
        <v>627</v>
      </c>
      <c r="B968" s="16">
        <v>45426</v>
      </c>
      <c r="C968" t="s">
        <v>3</v>
      </c>
      <c r="D968" t="s">
        <v>127</v>
      </c>
      <c r="E968" t="s">
        <v>176</v>
      </c>
      <c r="F968">
        <v>19</v>
      </c>
      <c r="G968">
        <v>10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f t="shared" si="51"/>
        <v>2024</v>
      </c>
      <c r="Q968">
        <f t="shared" si="52"/>
        <v>5</v>
      </c>
      <c r="R968" t="str">
        <f t="shared" si="53"/>
        <v>首页推荐-短视频</v>
      </c>
      <c r="S968" t="s">
        <v>628</v>
      </c>
      <c r="T968" s="546" t="s">
        <v>804</v>
      </c>
    </row>
    <row r="969" spans="1:20" x14ac:dyDescent="0.3">
      <c r="A969" t="s">
        <v>627</v>
      </c>
      <c r="B969" s="16">
        <v>45426</v>
      </c>
      <c r="C969" t="s">
        <v>3</v>
      </c>
      <c r="D969" t="s">
        <v>128</v>
      </c>
      <c r="E969" t="s">
        <v>177</v>
      </c>
      <c r="F969">
        <v>411</v>
      </c>
      <c r="G969">
        <v>331</v>
      </c>
      <c r="H969">
        <v>12</v>
      </c>
      <c r="I969">
        <v>6</v>
      </c>
      <c r="J969">
        <v>0</v>
      </c>
      <c r="K969">
        <v>0</v>
      </c>
      <c r="L969">
        <v>0</v>
      </c>
      <c r="M969">
        <v>0</v>
      </c>
      <c r="N969">
        <v>192</v>
      </c>
      <c r="O969">
        <v>317</v>
      </c>
      <c r="P969">
        <f t="shared" si="51"/>
        <v>2024</v>
      </c>
      <c r="Q969">
        <f t="shared" si="52"/>
        <v>5</v>
      </c>
      <c r="R969" t="str">
        <f t="shared" si="53"/>
        <v>手淘搜索-商品及其他</v>
      </c>
      <c r="S969" t="s">
        <v>628</v>
      </c>
      <c r="T969" s="546" t="s">
        <v>804</v>
      </c>
    </row>
    <row r="970" spans="1:20" x14ac:dyDescent="0.3">
      <c r="A970" t="s">
        <v>627</v>
      </c>
      <c r="B970" s="16">
        <v>45426</v>
      </c>
      <c r="C970" t="s">
        <v>3</v>
      </c>
      <c r="D970" t="s">
        <v>128</v>
      </c>
      <c r="E970" t="s">
        <v>179</v>
      </c>
      <c r="F970">
        <v>10</v>
      </c>
      <c r="G970">
        <v>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2</v>
      </c>
      <c r="O970">
        <v>2</v>
      </c>
      <c r="P970">
        <f t="shared" si="51"/>
        <v>2024</v>
      </c>
      <c r="Q970">
        <f t="shared" si="52"/>
        <v>5</v>
      </c>
      <c r="R970" t="str">
        <f t="shared" si="53"/>
        <v>手淘搜索-短视频</v>
      </c>
      <c r="S970" t="s">
        <v>628</v>
      </c>
      <c r="T970" s="546" t="s">
        <v>804</v>
      </c>
    </row>
    <row r="971" spans="1:20" x14ac:dyDescent="0.3">
      <c r="A971" t="s">
        <v>627</v>
      </c>
      <c r="B971" s="16">
        <v>45426</v>
      </c>
      <c r="C971" t="s">
        <v>3</v>
      </c>
      <c r="D971" t="s">
        <v>143</v>
      </c>
      <c r="E971" t="s">
        <v>180</v>
      </c>
      <c r="F971">
        <v>8</v>
      </c>
      <c r="G971">
        <v>7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8</v>
      </c>
      <c r="P971">
        <f t="shared" si="51"/>
        <v>2024</v>
      </c>
      <c r="Q971">
        <f t="shared" si="52"/>
        <v>5</v>
      </c>
      <c r="R971" t="str">
        <f t="shared" si="53"/>
        <v>淘特其他渠道</v>
      </c>
      <c r="S971" t="s">
        <v>628</v>
      </c>
      <c r="T971" s="546" t="s">
        <v>804</v>
      </c>
    </row>
    <row r="972" spans="1:20" x14ac:dyDescent="0.3">
      <c r="A972" t="s">
        <v>627</v>
      </c>
      <c r="B972" s="16">
        <v>45426</v>
      </c>
      <c r="C972" t="s">
        <v>3</v>
      </c>
      <c r="D972" t="s">
        <v>143</v>
      </c>
      <c r="E972" t="s">
        <v>181</v>
      </c>
      <c r="F972">
        <v>1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f t="shared" si="51"/>
        <v>2024</v>
      </c>
      <c r="Q972">
        <f t="shared" si="52"/>
        <v>5</v>
      </c>
      <c r="R972" t="str">
        <f t="shared" si="53"/>
        <v>淘特搜索</v>
      </c>
      <c r="S972" t="s">
        <v>628</v>
      </c>
      <c r="T972" s="546" t="s">
        <v>804</v>
      </c>
    </row>
    <row r="973" spans="1:20" x14ac:dyDescent="0.3">
      <c r="A973" t="s">
        <v>627</v>
      </c>
      <c r="B973" s="16">
        <v>45426</v>
      </c>
      <c r="C973" t="s">
        <v>2</v>
      </c>
      <c r="D973" t="s">
        <v>55</v>
      </c>
      <c r="E973" t="s">
        <v>56</v>
      </c>
      <c r="F973">
        <v>1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f t="shared" si="51"/>
        <v>2024</v>
      </c>
      <c r="Q973">
        <f t="shared" si="52"/>
        <v>5</v>
      </c>
      <c r="R973" t="str">
        <f t="shared" si="53"/>
        <v>超级短视频</v>
      </c>
      <c r="S973" t="s">
        <v>628</v>
      </c>
      <c r="T973" s="546" t="s">
        <v>804</v>
      </c>
    </row>
    <row r="974" spans="1:20" x14ac:dyDescent="0.3">
      <c r="A974" t="s">
        <v>627</v>
      </c>
      <c r="B974" s="16">
        <v>45426</v>
      </c>
      <c r="C974" t="s">
        <v>2</v>
      </c>
      <c r="D974" t="s">
        <v>52</v>
      </c>
      <c r="E974" t="s">
        <v>183</v>
      </c>
      <c r="F974">
        <v>920</v>
      </c>
      <c r="G974">
        <v>795</v>
      </c>
      <c r="H974">
        <v>11</v>
      </c>
      <c r="I974">
        <v>7</v>
      </c>
      <c r="J974">
        <v>0</v>
      </c>
      <c r="K974">
        <v>0</v>
      </c>
      <c r="L974">
        <v>0</v>
      </c>
      <c r="M974">
        <v>0</v>
      </c>
      <c r="N974">
        <v>920</v>
      </c>
      <c r="O974">
        <v>459</v>
      </c>
      <c r="P974">
        <f t="shared" si="51"/>
        <v>2024</v>
      </c>
      <c r="Q974">
        <f t="shared" si="52"/>
        <v>5</v>
      </c>
      <c r="R974" t="str">
        <f t="shared" si="53"/>
        <v>品销宝-品牌专区</v>
      </c>
      <c r="S974" t="s">
        <v>628</v>
      </c>
      <c r="T974" s="546" t="s">
        <v>804</v>
      </c>
    </row>
    <row r="975" spans="1:20" x14ac:dyDescent="0.3">
      <c r="A975" t="s">
        <v>627</v>
      </c>
      <c r="B975" s="16">
        <v>45426</v>
      </c>
      <c r="C975" t="s">
        <v>2</v>
      </c>
      <c r="D975" t="s">
        <v>57</v>
      </c>
      <c r="E975" t="s">
        <v>65</v>
      </c>
      <c r="F975" s="15">
        <v>2503</v>
      </c>
      <c r="G975" s="15">
        <v>2115</v>
      </c>
      <c r="H975">
        <v>38</v>
      </c>
      <c r="I975">
        <v>12</v>
      </c>
      <c r="J975" s="15">
        <v>22950</v>
      </c>
      <c r="K975">
        <v>2</v>
      </c>
      <c r="L975" s="15">
        <v>22950</v>
      </c>
      <c r="M975">
        <v>2</v>
      </c>
      <c r="N975">
        <v>247</v>
      </c>
      <c r="O975" s="15">
        <v>2470</v>
      </c>
      <c r="P975">
        <f t="shared" si="51"/>
        <v>2024</v>
      </c>
      <c r="Q975">
        <f t="shared" si="52"/>
        <v>5</v>
      </c>
      <c r="R975" t="str">
        <f t="shared" si="53"/>
        <v>直通车</v>
      </c>
      <c r="S975" t="s">
        <v>628</v>
      </c>
      <c r="T975" s="546" t="s">
        <v>804</v>
      </c>
    </row>
    <row r="976" spans="1:20" x14ac:dyDescent="0.3">
      <c r="A976" t="s">
        <v>627</v>
      </c>
      <c r="B976" s="16">
        <v>45426</v>
      </c>
      <c r="C976" t="s">
        <v>2</v>
      </c>
      <c r="D976" t="s">
        <v>57</v>
      </c>
      <c r="E976" t="s">
        <v>63</v>
      </c>
      <c r="F976" s="15">
        <v>1599</v>
      </c>
      <c r="G976" s="15">
        <v>1029</v>
      </c>
      <c r="H976">
        <v>30</v>
      </c>
      <c r="I976">
        <v>11</v>
      </c>
      <c r="J976" s="15">
        <v>30165</v>
      </c>
      <c r="K976">
        <v>4</v>
      </c>
      <c r="L976" s="15">
        <v>20775</v>
      </c>
      <c r="M976">
        <v>4</v>
      </c>
      <c r="N976">
        <v>107</v>
      </c>
      <c r="O976" s="15">
        <v>1594</v>
      </c>
      <c r="P976">
        <f t="shared" si="51"/>
        <v>2024</v>
      </c>
      <c r="Q976">
        <f t="shared" si="52"/>
        <v>5</v>
      </c>
      <c r="R976" t="str">
        <f t="shared" si="53"/>
        <v>万相台</v>
      </c>
      <c r="S976" t="s">
        <v>628</v>
      </c>
      <c r="T976" s="546" t="s">
        <v>804</v>
      </c>
    </row>
    <row r="977" spans="1:20" x14ac:dyDescent="0.3">
      <c r="A977" t="s">
        <v>627</v>
      </c>
      <c r="B977" s="16">
        <v>45426</v>
      </c>
      <c r="C977" t="s">
        <v>2</v>
      </c>
      <c r="D977" t="s">
        <v>57</v>
      </c>
      <c r="E977" t="s">
        <v>64</v>
      </c>
      <c r="F977" s="15">
        <v>9784</v>
      </c>
      <c r="G977" s="15">
        <v>5633</v>
      </c>
      <c r="H977">
        <v>41</v>
      </c>
      <c r="I977">
        <v>31</v>
      </c>
      <c r="J977" s="15">
        <v>6390</v>
      </c>
      <c r="K977">
        <v>1</v>
      </c>
      <c r="L977" s="15">
        <v>6390</v>
      </c>
      <c r="M977">
        <v>1</v>
      </c>
      <c r="N977">
        <v>336</v>
      </c>
      <c r="O977" s="15">
        <v>9235</v>
      </c>
      <c r="P977">
        <f t="shared" si="51"/>
        <v>2024</v>
      </c>
      <c r="Q977">
        <f t="shared" si="52"/>
        <v>5</v>
      </c>
      <c r="R977" t="str">
        <f t="shared" si="53"/>
        <v>引力魔方</v>
      </c>
      <c r="S977" t="s">
        <v>628</v>
      </c>
      <c r="T977" s="546" t="s">
        <v>804</v>
      </c>
    </row>
    <row r="978" spans="1:20" x14ac:dyDescent="0.3">
      <c r="A978" t="s">
        <v>627</v>
      </c>
      <c r="B978" s="16">
        <v>45426</v>
      </c>
      <c r="C978" t="s">
        <v>2</v>
      </c>
      <c r="D978" t="s">
        <v>4</v>
      </c>
      <c r="E978" t="s">
        <v>41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1</v>
      </c>
      <c r="P978">
        <f t="shared" si="51"/>
        <v>2024</v>
      </c>
      <c r="Q978">
        <f t="shared" si="52"/>
        <v>5</v>
      </c>
      <c r="R978" t="str">
        <f t="shared" si="53"/>
        <v>流量宝</v>
      </c>
      <c r="S978" t="s">
        <v>628</v>
      </c>
      <c r="T978" s="546" t="s">
        <v>804</v>
      </c>
    </row>
    <row r="979" spans="1:20" x14ac:dyDescent="0.3">
      <c r="A979" t="s">
        <v>627</v>
      </c>
      <c r="B979" s="16">
        <v>45426</v>
      </c>
      <c r="C979" t="s">
        <v>2</v>
      </c>
      <c r="D979" t="s">
        <v>4</v>
      </c>
      <c r="E979" t="s">
        <v>43</v>
      </c>
      <c r="F979">
        <v>268</v>
      </c>
      <c r="G979">
        <v>86</v>
      </c>
      <c r="H979">
        <v>0</v>
      </c>
      <c r="I979">
        <v>0</v>
      </c>
      <c r="J979" s="15">
        <v>19500</v>
      </c>
      <c r="K979">
        <v>1</v>
      </c>
      <c r="L979" s="15">
        <v>19500</v>
      </c>
      <c r="M979">
        <v>1</v>
      </c>
      <c r="N979">
        <v>15</v>
      </c>
      <c r="O979">
        <v>260</v>
      </c>
      <c r="P979">
        <f t="shared" si="51"/>
        <v>2024</v>
      </c>
      <c r="Q979">
        <f t="shared" si="52"/>
        <v>5</v>
      </c>
      <c r="R979" t="str">
        <f t="shared" si="53"/>
        <v>淘宝客</v>
      </c>
      <c r="S979" t="s">
        <v>628</v>
      </c>
      <c r="T979" s="546" t="s">
        <v>804</v>
      </c>
    </row>
    <row r="980" spans="1:20" x14ac:dyDescent="0.3">
      <c r="A980" t="s">
        <v>627</v>
      </c>
      <c r="B980" s="16">
        <v>45427</v>
      </c>
      <c r="C980" t="s">
        <v>3</v>
      </c>
      <c r="D980" t="s">
        <v>120</v>
      </c>
      <c r="E980" t="s">
        <v>162</v>
      </c>
      <c r="F980">
        <v>2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2</v>
      </c>
      <c r="O980">
        <v>0</v>
      </c>
      <c r="P980">
        <f t="shared" si="51"/>
        <v>2024</v>
      </c>
      <c r="Q980">
        <f t="shared" si="52"/>
        <v>5</v>
      </c>
      <c r="R980" t="str">
        <f t="shared" si="53"/>
        <v>手机浏览器访问天猫</v>
      </c>
      <c r="S980" t="s">
        <v>628</v>
      </c>
      <c r="T980" s="546" t="s">
        <v>804</v>
      </c>
    </row>
    <row r="981" spans="1:20" x14ac:dyDescent="0.3">
      <c r="A981" t="s">
        <v>627</v>
      </c>
      <c r="B981" s="16">
        <v>45427</v>
      </c>
      <c r="C981" t="s">
        <v>3</v>
      </c>
      <c r="D981" t="s">
        <v>120</v>
      </c>
      <c r="E981" t="s">
        <v>163</v>
      </c>
      <c r="F981">
        <v>81</v>
      </c>
      <c r="G981">
        <v>46</v>
      </c>
      <c r="H981">
        <v>1</v>
      </c>
      <c r="I981">
        <v>0</v>
      </c>
      <c r="J981" s="17">
        <v>2397.5</v>
      </c>
      <c r="K981">
        <v>1</v>
      </c>
      <c r="L981" s="17">
        <v>2397.5</v>
      </c>
      <c r="M981">
        <v>1</v>
      </c>
      <c r="N981">
        <v>15</v>
      </c>
      <c r="O981">
        <v>78</v>
      </c>
      <c r="P981">
        <f t="shared" ref="P981:P1044" si="54">YEAR(B981)</f>
        <v>2024</v>
      </c>
      <c r="Q981">
        <f t="shared" ref="Q981:Q1044" si="55">MONTH(B981)</f>
        <v>5</v>
      </c>
      <c r="R981" t="str">
        <f t="shared" si="53"/>
        <v>手猫免费其他</v>
      </c>
      <c r="S981" t="s">
        <v>628</v>
      </c>
      <c r="T981" s="546" t="s">
        <v>804</v>
      </c>
    </row>
    <row r="982" spans="1:20" x14ac:dyDescent="0.3">
      <c r="A982" t="s">
        <v>627</v>
      </c>
      <c r="B982" s="16">
        <v>45427</v>
      </c>
      <c r="C982" t="s">
        <v>3</v>
      </c>
      <c r="D982" t="s">
        <v>120</v>
      </c>
      <c r="E982" t="s">
        <v>164</v>
      </c>
      <c r="F982">
        <v>2</v>
      </c>
      <c r="G982">
        <v>2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2</v>
      </c>
      <c r="P982">
        <f t="shared" si="54"/>
        <v>2024</v>
      </c>
      <c r="Q982">
        <f t="shared" si="55"/>
        <v>5</v>
      </c>
      <c r="R982" t="str">
        <f t="shared" si="53"/>
        <v>手猫其他店铺</v>
      </c>
      <c r="S982" t="s">
        <v>628</v>
      </c>
      <c r="T982" s="546" t="s">
        <v>804</v>
      </c>
    </row>
    <row r="983" spans="1:20" x14ac:dyDescent="0.3">
      <c r="A983" t="s">
        <v>627</v>
      </c>
      <c r="B983" s="16">
        <v>45427</v>
      </c>
      <c r="C983" t="s">
        <v>3</v>
      </c>
      <c r="D983" t="s">
        <v>120</v>
      </c>
      <c r="E983" t="s">
        <v>165</v>
      </c>
      <c r="F983">
        <v>19</v>
      </c>
      <c r="G983">
        <v>7</v>
      </c>
      <c r="H983">
        <v>1</v>
      </c>
      <c r="I983">
        <v>0</v>
      </c>
      <c r="J983" s="15">
        <v>4645</v>
      </c>
      <c r="K983">
        <v>1</v>
      </c>
      <c r="L983" s="15">
        <v>4645</v>
      </c>
      <c r="M983">
        <v>1</v>
      </c>
      <c r="N983">
        <v>5</v>
      </c>
      <c r="O983">
        <v>17</v>
      </c>
      <c r="P983">
        <f t="shared" si="54"/>
        <v>2024</v>
      </c>
      <c r="Q983">
        <f t="shared" si="55"/>
        <v>5</v>
      </c>
      <c r="R983" t="str">
        <f t="shared" si="53"/>
        <v>手猫商品详情</v>
      </c>
      <c r="S983" t="s">
        <v>628</v>
      </c>
      <c r="T983" s="546" t="s">
        <v>804</v>
      </c>
    </row>
    <row r="984" spans="1:20" x14ac:dyDescent="0.3">
      <c r="A984" t="s">
        <v>627</v>
      </c>
      <c r="B984" s="16">
        <v>45427</v>
      </c>
      <c r="C984" t="s">
        <v>3</v>
      </c>
      <c r="D984" t="s">
        <v>120</v>
      </c>
      <c r="E984" t="s">
        <v>166</v>
      </c>
      <c r="F984">
        <v>45</v>
      </c>
      <c r="G984">
        <v>37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27</v>
      </c>
      <c r="O984">
        <v>35</v>
      </c>
      <c r="P984">
        <f t="shared" si="54"/>
        <v>2024</v>
      </c>
      <c r="Q984">
        <f t="shared" si="55"/>
        <v>5</v>
      </c>
      <c r="R984" t="str">
        <f t="shared" si="53"/>
        <v>手猫搜索</v>
      </c>
      <c r="S984" t="s">
        <v>628</v>
      </c>
      <c r="T984" s="546" t="s">
        <v>804</v>
      </c>
    </row>
    <row r="985" spans="1:20" x14ac:dyDescent="0.3">
      <c r="A985" t="s">
        <v>627</v>
      </c>
      <c r="B985" s="16">
        <v>45427</v>
      </c>
      <c r="C985" t="s">
        <v>3</v>
      </c>
      <c r="D985" t="s">
        <v>120</v>
      </c>
      <c r="E985" t="s">
        <v>168</v>
      </c>
      <c r="F985">
        <v>256</v>
      </c>
      <c r="G985">
        <v>168</v>
      </c>
      <c r="H985">
        <v>3</v>
      </c>
      <c r="I985">
        <v>0</v>
      </c>
      <c r="J985" s="15">
        <v>3195</v>
      </c>
      <c r="K985">
        <v>1</v>
      </c>
      <c r="L985" s="15">
        <v>3195</v>
      </c>
      <c r="M985">
        <v>1</v>
      </c>
      <c r="N985">
        <v>14</v>
      </c>
      <c r="O985">
        <v>256</v>
      </c>
      <c r="P985">
        <f t="shared" si="54"/>
        <v>2024</v>
      </c>
      <c r="Q985">
        <f t="shared" si="55"/>
        <v>5</v>
      </c>
      <c r="R985" t="str">
        <f t="shared" si="53"/>
        <v>手猫首页</v>
      </c>
      <c r="S985" t="s">
        <v>628</v>
      </c>
      <c r="T985" s="546" t="s">
        <v>804</v>
      </c>
    </row>
    <row r="986" spans="1:20" x14ac:dyDescent="0.3">
      <c r="A986" t="s">
        <v>627</v>
      </c>
      <c r="B986" s="16">
        <v>45427</v>
      </c>
      <c r="C986" t="s">
        <v>3</v>
      </c>
      <c r="D986" t="s">
        <v>123</v>
      </c>
      <c r="E986" t="s">
        <v>169</v>
      </c>
      <c r="F986">
        <v>147</v>
      </c>
      <c r="G986">
        <v>75</v>
      </c>
      <c r="H986">
        <v>17</v>
      </c>
      <c r="I986">
        <v>3</v>
      </c>
      <c r="J986" s="17">
        <v>7674.5</v>
      </c>
      <c r="K986">
        <v>3</v>
      </c>
      <c r="L986" s="17">
        <v>7674.5</v>
      </c>
      <c r="M986">
        <v>3</v>
      </c>
      <c r="N986">
        <v>61</v>
      </c>
      <c r="O986">
        <v>132</v>
      </c>
      <c r="P986">
        <f t="shared" si="54"/>
        <v>2024</v>
      </c>
      <c r="Q986">
        <f t="shared" si="55"/>
        <v>5</v>
      </c>
      <c r="R986" t="str">
        <f t="shared" si="53"/>
        <v>商品详情页头图推荐</v>
      </c>
      <c r="S986" t="s">
        <v>628</v>
      </c>
      <c r="T986" s="546" t="s">
        <v>804</v>
      </c>
    </row>
    <row r="987" spans="1:20" x14ac:dyDescent="0.3">
      <c r="A987" t="s">
        <v>627</v>
      </c>
      <c r="B987" s="16">
        <v>45427</v>
      </c>
      <c r="C987" t="s">
        <v>3</v>
      </c>
      <c r="D987" t="s">
        <v>123</v>
      </c>
      <c r="E987" t="s">
        <v>170</v>
      </c>
      <c r="F987">
        <v>44</v>
      </c>
      <c r="G987">
        <v>24</v>
      </c>
      <c r="H987">
        <v>2</v>
      </c>
      <c r="I987">
        <v>0</v>
      </c>
      <c r="J987" s="15">
        <v>6750</v>
      </c>
      <c r="K987">
        <v>2</v>
      </c>
      <c r="L987" s="15">
        <v>3100</v>
      </c>
      <c r="M987">
        <v>1</v>
      </c>
      <c r="N987">
        <v>39</v>
      </c>
      <c r="O987">
        <v>16</v>
      </c>
      <c r="P987">
        <f t="shared" si="54"/>
        <v>2024</v>
      </c>
      <c r="Q987">
        <f t="shared" si="55"/>
        <v>5</v>
      </c>
      <c r="R987" t="str">
        <f t="shared" si="53"/>
        <v>店铺超链</v>
      </c>
      <c r="S987" t="s">
        <v>628</v>
      </c>
      <c r="T987" s="546" t="s">
        <v>804</v>
      </c>
    </row>
    <row r="988" spans="1:20" x14ac:dyDescent="0.3">
      <c r="A988" t="s">
        <v>627</v>
      </c>
      <c r="B988" s="16">
        <v>45427</v>
      </c>
      <c r="C988" t="s">
        <v>3</v>
      </c>
      <c r="D988" t="s">
        <v>127</v>
      </c>
      <c r="E988" t="s">
        <v>171</v>
      </c>
      <c r="F988">
        <v>208</v>
      </c>
      <c r="G988">
        <v>142</v>
      </c>
      <c r="H988">
        <v>6</v>
      </c>
      <c r="I988">
        <v>5</v>
      </c>
      <c r="J988">
        <v>0</v>
      </c>
      <c r="K988">
        <v>0</v>
      </c>
      <c r="L988">
        <v>0</v>
      </c>
      <c r="M988">
        <v>0</v>
      </c>
      <c r="N988">
        <v>129</v>
      </c>
      <c r="O988">
        <v>125</v>
      </c>
      <c r="P988">
        <f t="shared" si="54"/>
        <v>2024</v>
      </c>
      <c r="Q988">
        <f t="shared" si="55"/>
        <v>5</v>
      </c>
      <c r="R988" t="str">
        <f t="shared" si="53"/>
        <v>其他猜你喜欢</v>
      </c>
      <c r="S988" t="s">
        <v>628</v>
      </c>
      <c r="T988" s="546" t="s">
        <v>804</v>
      </c>
    </row>
    <row r="989" spans="1:20" x14ac:dyDescent="0.3">
      <c r="A989" t="s">
        <v>627</v>
      </c>
      <c r="B989" s="16">
        <v>45427</v>
      </c>
      <c r="C989" t="s">
        <v>3</v>
      </c>
      <c r="D989" t="s">
        <v>127</v>
      </c>
      <c r="E989" t="s">
        <v>172</v>
      </c>
      <c r="F989">
        <v>2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1</v>
      </c>
      <c r="P989">
        <f t="shared" si="54"/>
        <v>2024</v>
      </c>
      <c r="Q989">
        <f t="shared" si="55"/>
        <v>5</v>
      </c>
      <c r="R989" t="str">
        <f t="shared" si="53"/>
        <v>购中推荐</v>
      </c>
      <c r="S989" t="s">
        <v>628</v>
      </c>
      <c r="T989" s="546" t="s">
        <v>804</v>
      </c>
    </row>
    <row r="990" spans="1:20" x14ac:dyDescent="0.3">
      <c r="A990" t="s">
        <v>627</v>
      </c>
      <c r="B990" s="16">
        <v>45427</v>
      </c>
      <c r="C990" t="s">
        <v>3</v>
      </c>
      <c r="D990" t="s">
        <v>127</v>
      </c>
      <c r="E990" t="s">
        <v>173</v>
      </c>
      <c r="F990">
        <v>258</v>
      </c>
      <c r="G990">
        <v>251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202</v>
      </c>
      <c r="O990">
        <v>17</v>
      </c>
      <c r="P990">
        <f t="shared" si="54"/>
        <v>2024</v>
      </c>
      <c r="Q990">
        <f t="shared" si="55"/>
        <v>5</v>
      </c>
      <c r="R990" t="str">
        <f t="shared" si="53"/>
        <v>购后推荐</v>
      </c>
      <c r="S990" t="s">
        <v>628</v>
      </c>
      <c r="T990" s="546" t="s">
        <v>804</v>
      </c>
    </row>
    <row r="991" spans="1:20" x14ac:dyDescent="0.3">
      <c r="A991" t="s">
        <v>627</v>
      </c>
      <c r="B991" s="16">
        <v>45427</v>
      </c>
      <c r="C991" t="s">
        <v>3</v>
      </c>
      <c r="D991" t="s">
        <v>127</v>
      </c>
      <c r="E991" t="s">
        <v>174</v>
      </c>
      <c r="F991">
        <v>564</v>
      </c>
      <c r="G991">
        <v>318</v>
      </c>
      <c r="H991">
        <v>20</v>
      </c>
      <c r="I991">
        <v>4</v>
      </c>
      <c r="J991" s="15">
        <v>26540</v>
      </c>
      <c r="K991">
        <v>5</v>
      </c>
      <c r="L991" s="15">
        <v>22066</v>
      </c>
      <c r="M991">
        <v>5</v>
      </c>
      <c r="N991">
        <v>74</v>
      </c>
      <c r="O991">
        <v>564</v>
      </c>
      <c r="P991">
        <f t="shared" si="54"/>
        <v>2024</v>
      </c>
      <c r="Q991">
        <f t="shared" si="55"/>
        <v>5</v>
      </c>
      <c r="R991" t="str">
        <f t="shared" si="53"/>
        <v>首页推荐-微详情</v>
      </c>
      <c r="S991" t="s">
        <v>628</v>
      </c>
      <c r="T991" s="546" t="s">
        <v>804</v>
      </c>
    </row>
    <row r="992" spans="1:20" x14ac:dyDescent="0.3">
      <c r="A992" t="s">
        <v>627</v>
      </c>
      <c r="B992" s="16">
        <v>45427</v>
      </c>
      <c r="C992" t="s">
        <v>3</v>
      </c>
      <c r="D992" t="s">
        <v>127</v>
      </c>
      <c r="E992" t="s">
        <v>175</v>
      </c>
      <c r="F992" s="15">
        <v>9208</v>
      </c>
      <c r="G992" s="15">
        <v>8563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2</v>
      </c>
      <c r="O992">
        <v>9</v>
      </c>
      <c r="P992">
        <f t="shared" si="54"/>
        <v>2024</v>
      </c>
      <c r="Q992">
        <f t="shared" si="55"/>
        <v>5</v>
      </c>
      <c r="R992" t="str">
        <f t="shared" si="53"/>
        <v>首页推荐-直播</v>
      </c>
      <c r="S992" t="s">
        <v>628</v>
      </c>
      <c r="T992" s="546" t="s">
        <v>804</v>
      </c>
    </row>
    <row r="993" spans="1:20" x14ac:dyDescent="0.3">
      <c r="A993" t="s">
        <v>627</v>
      </c>
      <c r="B993" s="16">
        <v>45427</v>
      </c>
      <c r="C993" t="s">
        <v>3</v>
      </c>
      <c r="D993" t="s">
        <v>127</v>
      </c>
      <c r="E993" t="s">
        <v>176</v>
      </c>
      <c r="F993">
        <v>16</v>
      </c>
      <c r="G993">
        <v>5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f t="shared" si="54"/>
        <v>2024</v>
      </c>
      <c r="Q993">
        <f t="shared" si="55"/>
        <v>5</v>
      </c>
      <c r="R993" t="str">
        <f t="shared" si="53"/>
        <v>首页推荐-短视频</v>
      </c>
      <c r="S993" t="s">
        <v>628</v>
      </c>
      <c r="T993" s="546" t="s">
        <v>804</v>
      </c>
    </row>
    <row r="994" spans="1:20" x14ac:dyDescent="0.3">
      <c r="A994" t="s">
        <v>627</v>
      </c>
      <c r="B994" s="16">
        <v>45427</v>
      </c>
      <c r="C994" t="s">
        <v>3</v>
      </c>
      <c r="D994" t="s">
        <v>128</v>
      </c>
      <c r="E994" t="s">
        <v>177</v>
      </c>
      <c r="F994">
        <v>392</v>
      </c>
      <c r="G994">
        <v>325</v>
      </c>
      <c r="H994">
        <v>12</v>
      </c>
      <c r="I994">
        <v>4</v>
      </c>
      <c r="J994" s="15">
        <v>5077</v>
      </c>
      <c r="K994">
        <v>2</v>
      </c>
      <c r="L994" s="15">
        <v>3400</v>
      </c>
      <c r="M994">
        <v>1</v>
      </c>
      <c r="N994">
        <v>168</v>
      </c>
      <c r="O994">
        <v>274</v>
      </c>
      <c r="P994">
        <f t="shared" si="54"/>
        <v>2024</v>
      </c>
      <c r="Q994">
        <f t="shared" si="55"/>
        <v>5</v>
      </c>
      <c r="R994" t="str">
        <f t="shared" si="53"/>
        <v>手淘搜索-商品及其他</v>
      </c>
      <c r="S994" t="s">
        <v>628</v>
      </c>
      <c r="T994" s="546" t="s">
        <v>804</v>
      </c>
    </row>
    <row r="995" spans="1:20" x14ac:dyDescent="0.3">
      <c r="A995" t="s">
        <v>627</v>
      </c>
      <c r="B995" s="16">
        <v>45427</v>
      </c>
      <c r="C995" t="s">
        <v>3</v>
      </c>
      <c r="D995" t="s">
        <v>128</v>
      </c>
      <c r="E995" t="s">
        <v>178</v>
      </c>
      <c r="F995">
        <v>10</v>
      </c>
      <c r="G995">
        <v>9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f t="shared" si="54"/>
        <v>2024</v>
      </c>
      <c r="Q995">
        <f t="shared" si="55"/>
        <v>5</v>
      </c>
      <c r="R995" t="str">
        <f t="shared" si="53"/>
        <v>手淘搜索-直播</v>
      </c>
      <c r="S995" t="s">
        <v>628</v>
      </c>
      <c r="T995" s="546" t="s">
        <v>804</v>
      </c>
    </row>
    <row r="996" spans="1:20" x14ac:dyDescent="0.3">
      <c r="A996" t="s">
        <v>627</v>
      </c>
      <c r="B996" s="16">
        <v>45427</v>
      </c>
      <c r="C996" t="s">
        <v>3</v>
      </c>
      <c r="D996" t="s">
        <v>128</v>
      </c>
      <c r="E996" t="s">
        <v>179</v>
      </c>
      <c r="F996">
        <v>9</v>
      </c>
      <c r="G996">
        <v>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f t="shared" si="54"/>
        <v>2024</v>
      </c>
      <c r="Q996">
        <f t="shared" si="55"/>
        <v>5</v>
      </c>
      <c r="R996" t="str">
        <f t="shared" si="53"/>
        <v>手淘搜索-短视频</v>
      </c>
      <c r="S996" t="s">
        <v>628</v>
      </c>
      <c r="T996" s="546" t="s">
        <v>804</v>
      </c>
    </row>
    <row r="997" spans="1:20" x14ac:dyDescent="0.3">
      <c r="A997" t="s">
        <v>627</v>
      </c>
      <c r="B997" s="16">
        <v>45427</v>
      </c>
      <c r="C997" t="s">
        <v>3</v>
      </c>
      <c r="D997" t="s">
        <v>143</v>
      </c>
      <c r="E997" t="s">
        <v>180</v>
      </c>
      <c r="F997">
        <v>11</v>
      </c>
      <c r="G997">
        <v>11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11</v>
      </c>
      <c r="P997">
        <f t="shared" si="54"/>
        <v>2024</v>
      </c>
      <c r="Q997">
        <f t="shared" si="55"/>
        <v>5</v>
      </c>
      <c r="R997" t="str">
        <f t="shared" si="53"/>
        <v>淘特其他渠道</v>
      </c>
      <c r="S997" t="s">
        <v>628</v>
      </c>
      <c r="T997" s="546" t="s">
        <v>804</v>
      </c>
    </row>
    <row r="998" spans="1:20" x14ac:dyDescent="0.3">
      <c r="A998" t="s">
        <v>627</v>
      </c>
      <c r="B998" s="16">
        <v>45427</v>
      </c>
      <c r="C998" t="s">
        <v>3</v>
      </c>
      <c r="D998" t="s">
        <v>157</v>
      </c>
      <c r="E998" t="s">
        <v>182</v>
      </c>
      <c r="F998">
        <v>1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f t="shared" si="54"/>
        <v>2024</v>
      </c>
      <c r="Q998">
        <f t="shared" si="55"/>
        <v>5</v>
      </c>
      <c r="R998" t="str">
        <f t="shared" si="53"/>
        <v>飞猪其他</v>
      </c>
      <c r="S998" t="s">
        <v>628</v>
      </c>
      <c r="T998" s="546" t="s">
        <v>804</v>
      </c>
    </row>
    <row r="999" spans="1:20" x14ac:dyDescent="0.3">
      <c r="A999" t="s">
        <v>627</v>
      </c>
      <c r="B999" s="16">
        <v>45427</v>
      </c>
      <c r="C999" t="s">
        <v>2</v>
      </c>
      <c r="D999" t="s">
        <v>55</v>
      </c>
      <c r="E999" t="s">
        <v>54</v>
      </c>
      <c r="F999" s="15">
        <v>2239</v>
      </c>
      <c r="G999" s="15">
        <v>1894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2</v>
      </c>
      <c r="O999">
        <v>449</v>
      </c>
      <c r="P999">
        <f t="shared" si="54"/>
        <v>2024</v>
      </c>
      <c r="Q999">
        <f t="shared" si="55"/>
        <v>5</v>
      </c>
      <c r="R999" t="str">
        <f t="shared" si="53"/>
        <v>超级直播</v>
      </c>
      <c r="S999" t="s">
        <v>628</v>
      </c>
      <c r="T999" s="546" t="s">
        <v>804</v>
      </c>
    </row>
    <row r="1000" spans="1:20" x14ac:dyDescent="0.3">
      <c r="A1000" t="s">
        <v>627</v>
      </c>
      <c r="B1000" s="16">
        <v>45427</v>
      </c>
      <c r="C1000" t="s">
        <v>2</v>
      </c>
      <c r="D1000" t="s">
        <v>52</v>
      </c>
      <c r="E1000" t="s">
        <v>53</v>
      </c>
      <c r="F1000">
        <v>642</v>
      </c>
      <c r="G1000">
        <v>596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642</v>
      </c>
      <c r="O1000">
        <v>87</v>
      </c>
      <c r="P1000">
        <f t="shared" si="54"/>
        <v>2024</v>
      </c>
      <c r="Q1000">
        <f t="shared" si="55"/>
        <v>5</v>
      </c>
      <c r="R1000" t="str">
        <f t="shared" si="53"/>
        <v>Showmax</v>
      </c>
      <c r="S1000" t="s">
        <v>628</v>
      </c>
      <c r="T1000" s="546" t="s">
        <v>804</v>
      </c>
    </row>
    <row r="1001" spans="1:20" x14ac:dyDescent="0.3">
      <c r="A1001" t="s">
        <v>627</v>
      </c>
      <c r="B1001" s="16">
        <v>45427</v>
      </c>
      <c r="C1001" t="s">
        <v>2</v>
      </c>
      <c r="D1001" t="s">
        <v>52</v>
      </c>
      <c r="E1001" t="s">
        <v>59</v>
      </c>
      <c r="F1001">
        <v>775</v>
      </c>
      <c r="G1001">
        <v>702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775</v>
      </c>
      <c r="O1001">
        <v>215</v>
      </c>
      <c r="P1001">
        <f t="shared" si="54"/>
        <v>2024</v>
      </c>
      <c r="Q1001">
        <f t="shared" si="55"/>
        <v>5</v>
      </c>
      <c r="R1001" t="str">
        <f t="shared" si="53"/>
        <v>品牌特秀</v>
      </c>
      <c r="S1001" t="s">
        <v>628</v>
      </c>
      <c r="T1001" s="546" t="s">
        <v>804</v>
      </c>
    </row>
    <row r="1002" spans="1:20" x14ac:dyDescent="0.3">
      <c r="A1002" t="s">
        <v>627</v>
      </c>
      <c r="B1002" s="16">
        <v>45427</v>
      </c>
      <c r="C1002" t="s">
        <v>2</v>
      </c>
      <c r="D1002" t="s">
        <v>52</v>
      </c>
      <c r="E1002" t="s">
        <v>183</v>
      </c>
      <c r="F1002">
        <v>821</v>
      </c>
      <c r="G1002">
        <v>717</v>
      </c>
      <c r="H1002">
        <v>18</v>
      </c>
      <c r="I1002">
        <v>6</v>
      </c>
      <c r="J1002" s="15">
        <v>2438</v>
      </c>
      <c r="K1002">
        <v>1</v>
      </c>
      <c r="L1002" s="15">
        <v>2438</v>
      </c>
      <c r="M1002">
        <v>1</v>
      </c>
      <c r="N1002">
        <v>821</v>
      </c>
      <c r="O1002">
        <v>442</v>
      </c>
      <c r="P1002">
        <f t="shared" si="54"/>
        <v>2024</v>
      </c>
      <c r="Q1002">
        <f t="shared" si="55"/>
        <v>5</v>
      </c>
      <c r="R1002" t="str">
        <f t="shared" si="53"/>
        <v>品销宝-品牌专区</v>
      </c>
      <c r="S1002" t="s">
        <v>628</v>
      </c>
      <c r="T1002" s="546" t="s">
        <v>804</v>
      </c>
    </row>
    <row r="1003" spans="1:20" x14ac:dyDescent="0.3">
      <c r="A1003" t="s">
        <v>627</v>
      </c>
      <c r="B1003" s="16">
        <v>45427</v>
      </c>
      <c r="C1003" t="s">
        <v>2</v>
      </c>
      <c r="D1003" t="s">
        <v>57</v>
      </c>
      <c r="E1003" t="s">
        <v>65</v>
      </c>
      <c r="F1003" s="15">
        <v>3370</v>
      </c>
      <c r="G1003" s="15">
        <v>2968</v>
      </c>
      <c r="H1003">
        <v>41</v>
      </c>
      <c r="I1003">
        <v>20</v>
      </c>
      <c r="J1003" s="15">
        <v>61555</v>
      </c>
      <c r="K1003">
        <v>11</v>
      </c>
      <c r="L1003" s="15">
        <v>27927</v>
      </c>
      <c r="M1003">
        <v>6</v>
      </c>
      <c r="N1003">
        <v>318</v>
      </c>
      <c r="O1003" s="15">
        <v>3343</v>
      </c>
      <c r="P1003">
        <f t="shared" si="54"/>
        <v>2024</v>
      </c>
      <c r="Q1003">
        <f t="shared" si="55"/>
        <v>5</v>
      </c>
      <c r="R1003" t="str">
        <f t="shared" si="53"/>
        <v>直通车</v>
      </c>
      <c r="S1003" t="s">
        <v>628</v>
      </c>
      <c r="T1003" s="546" t="s">
        <v>804</v>
      </c>
    </row>
    <row r="1004" spans="1:20" x14ac:dyDescent="0.3">
      <c r="A1004" t="s">
        <v>627</v>
      </c>
      <c r="B1004" s="16">
        <v>45427</v>
      </c>
      <c r="C1004" t="s">
        <v>2</v>
      </c>
      <c r="D1004" t="s">
        <v>57</v>
      </c>
      <c r="E1004" t="s">
        <v>63</v>
      </c>
      <c r="F1004" s="15">
        <v>1855</v>
      </c>
      <c r="G1004" s="15">
        <v>1126</v>
      </c>
      <c r="H1004">
        <v>57</v>
      </c>
      <c r="I1004">
        <v>11</v>
      </c>
      <c r="J1004" s="17">
        <v>47550.5</v>
      </c>
      <c r="K1004">
        <v>13</v>
      </c>
      <c r="L1004" s="17">
        <v>34510.5</v>
      </c>
      <c r="M1004">
        <v>10</v>
      </c>
      <c r="N1004">
        <v>175</v>
      </c>
      <c r="O1004" s="15">
        <v>1853</v>
      </c>
      <c r="P1004">
        <f t="shared" si="54"/>
        <v>2024</v>
      </c>
      <c r="Q1004">
        <f t="shared" si="55"/>
        <v>5</v>
      </c>
      <c r="R1004" t="str">
        <f t="shared" si="53"/>
        <v>万相台</v>
      </c>
      <c r="S1004" t="s">
        <v>628</v>
      </c>
      <c r="T1004" s="546" t="s">
        <v>804</v>
      </c>
    </row>
    <row r="1005" spans="1:20" x14ac:dyDescent="0.3">
      <c r="A1005" t="s">
        <v>627</v>
      </c>
      <c r="B1005" s="16">
        <v>45427</v>
      </c>
      <c r="C1005" t="s">
        <v>2</v>
      </c>
      <c r="D1005" t="s">
        <v>57</v>
      </c>
      <c r="E1005" t="s">
        <v>64</v>
      </c>
      <c r="F1005" s="15">
        <v>15036</v>
      </c>
      <c r="G1005" s="15">
        <v>9744</v>
      </c>
      <c r="H1005">
        <v>127</v>
      </c>
      <c r="I1005">
        <v>62</v>
      </c>
      <c r="J1005" s="17">
        <v>58477.5</v>
      </c>
      <c r="K1005">
        <v>12</v>
      </c>
      <c r="L1005" s="17">
        <v>30580.5</v>
      </c>
      <c r="M1005">
        <v>8</v>
      </c>
      <c r="N1005">
        <v>654</v>
      </c>
      <c r="O1005" s="15">
        <v>14820</v>
      </c>
      <c r="P1005">
        <f t="shared" si="54"/>
        <v>2024</v>
      </c>
      <c r="Q1005">
        <f t="shared" si="55"/>
        <v>5</v>
      </c>
      <c r="R1005" t="str">
        <f t="shared" si="53"/>
        <v>引力魔方</v>
      </c>
      <c r="S1005" t="s">
        <v>628</v>
      </c>
      <c r="T1005" s="546" t="s">
        <v>804</v>
      </c>
    </row>
    <row r="1006" spans="1:20" x14ac:dyDescent="0.3">
      <c r="A1006" t="s">
        <v>627</v>
      </c>
      <c r="B1006" s="16">
        <v>45427</v>
      </c>
      <c r="C1006" t="s">
        <v>2</v>
      </c>
      <c r="D1006" t="s">
        <v>4</v>
      </c>
      <c r="E1006" t="s">
        <v>41</v>
      </c>
      <c r="F1006">
        <v>4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</v>
      </c>
      <c r="P1006">
        <f t="shared" si="54"/>
        <v>2024</v>
      </c>
      <c r="Q1006">
        <f t="shared" si="55"/>
        <v>5</v>
      </c>
      <c r="R1006" t="str">
        <f t="shared" si="53"/>
        <v>流量宝</v>
      </c>
      <c r="S1006" t="s">
        <v>628</v>
      </c>
      <c r="T1006" s="546" t="s">
        <v>804</v>
      </c>
    </row>
    <row r="1007" spans="1:20" x14ac:dyDescent="0.3">
      <c r="A1007" t="s">
        <v>627</v>
      </c>
      <c r="B1007" s="16">
        <v>45427</v>
      </c>
      <c r="C1007" t="s">
        <v>2</v>
      </c>
      <c r="D1007" t="s">
        <v>4</v>
      </c>
      <c r="E1007" t="s">
        <v>43</v>
      </c>
      <c r="F1007">
        <v>313</v>
      </c>
      <c r="G1007">
        <v>103</v>
      </c>
      <c r="H1007">
        <v>1</v>
      </c>
      <c r="I1007">
        <v>0</v>
      </c>
      <c r="J1007" s="15">
        <v>3304</v>
      </c>
      <c r="K1007">
        <v>1</v>
      </c>
      <c r="L1007" s="15">
        <v>3304</v>
      </c>
      <c r="M1007">
        <v>1</v>
      </c>
      <c r="N1007">
        <v>8</v>
      </c>
      <c r="O1007">
        <v>303</v>
      </c>
      <c r="P1007">
        <f t="shared" si="54"/>
        <v>2024</v>
      </c>
      <c r="Q1007">
        <f t="shared" si="55"/>
        <v>5</v>
      </c>
      <c r="R1007" t="str">
        <f t="shared" si="53"/>
        <v>淘宝客</v>
      </c>
      <c r="S1007" t="s">
        <v>628</v>
      </c>
      <c r="T1007" s="546" t="s">
        <v>804</v>
      </c>
    </row>
    <row r="1008" spans="1:20" x14ac:dyDescent="0.3">
      <c r="A1008" t="s">
        <v>627</v>
      </c>
      <c r="B1008" s="16">
        <v>45428</v>
      </c>
      <c r="C1008" t="s">
        <v>3</v>
      </c>
      <c r="D1008" t="s">
        <v>120</v>
      </c>
      <c r="E1008" t="s">
        <v>163</v>
      </c>
      <c r="F1008">
        <v>76</v>
      </c>
      <c r="G1008">
        <v>43</v>
      </c>
      <c r="H1008">
        <v>4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17</v>
      </c>
      <c r="O1008">
        <v>75</v>
      </c>
      <c r="P1008">
        <f t="shared" si="54"/>
        <v>2024</v>
      </c>
      <c r="Q1008">
        <f t="shared" si="55"/>
        <v>5</v>
      </c>
      <c r="R1008" t="str">
        <f t="shared" si="53"/>
        <v>手猫免费其他</v>
      </c>
      <c r="S1008" t="s">
        <v>628</v>
      </c>
      <c r="T1008" s="546" t="s">
        <v>804</v>
      </c>
    </row>
    <row r="1009" spans="1:20" x14ac:dyDescent="0.3">
      <c r="A1009" t="s">
        <v>627</v>
      </c>
      <c r="B1009" s="16">
        <v>45428</v>
      </c>
      <c r="C1009" t="s">
        <v>3</v>
      </c>
      <c r="D1009" t="s">
        <v>120</v>
      </c>
      <c r="E1009" t="s">
        <v>164</v>
      </c>
      <c r="F1009">
        <v>5</v>
      </c>
      <c r="G1009">
        <v>4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5</v>
      </c>
      <c r="P1009">
        <f t="shared" si="54"/>
        <v>2024</v>
      </c>
      <c r="Q1009">
        <f t="shared" si="55"/>
        <v>5</v>
      </c>
      <c r="R1009" t="str">
        <f t="shared" si="53"/>
        <v>手猫其他店铺</v>
      </c>
      <c r="S1009" t="s">
        <v>628</v>
      </c>
      <c r="T1009" s="546" t="s">
        <v>804</v>
      </c>
    </row>
    <row r="1010" spans="1:20" x14ac:dyDescent="0.3">
      <c r="A1010" t="s">
        <v>627</v>
      </c>
      <c r="B1010" s="16">
        <v>45428</v>
      </c>
      <c r="C1010" t="s">
        <v>3</v>
      </c>
      <c r="D1010" t="s">
        <v>120</v>
      </c>
      <c r="E1010" t="s">
        <v>165</v>
      </c>
      <c r="F1010">
        <v>17</v>
      </c>
      <c r="G1010">
        <v>9</v>
      </c>
      <c r="H1010">
        <v>1</v>
      </c>
      <c r="I1010">
        <v>0</v>
      </c>
      <c r="J1010" s="15">
        <v>2488</v>
      </c>
      <c r="K1010">
        <v>1</v>
      </c>
      <c r="L1010" s="15">
        <v>2488</v>
      </c>
      <c r="M1010">
        <v>1</v>
      </c>
      <c r="N1010">
        <v>2</v>
      </c>
      <c r="O1010">
        <v>17</v>
      </c>
      <c r="P1010">
        <f t="shared" si="54"/>
        <v>2024</v>
      </c>
      <c r="Q1010">
        <f t="shared" si="55"/>
        <v>5</v>
      </c>
      <c r="R1010" t="str">
        <f t="shared" si="53"/>
        <v>手猫商品详情</v>
      </c>
      <c r="S1010" t="s">
        <v>628</v>
      </c>
      <c r="T1010" s="546" t="s">
        <v>804</v>
      </c>
    </row>
    <row r="1011" spans="1:20" x14ac:dyDescent="0.3">
      <c r="A1011" t="s">
        <v>627</v>
      </c>
      <c r="B1011" s="16">
        <v>45428</v>
      </c>
      <c r="C1011" t="s">
        <v>3</v>
      </c>
      <c r="D1011" t="s">
        <v>120</v>
      </c>
      <c r="E1011" t="s">
        <v>166</v>
      </c>
      <c r="F1011">
        <v>40</v>
      </c>
      <c r="G1011">
        <v>32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24</v>
      </c>
      <c r="O1011">
        <v>27</v>
      </c>
      <c r="P1011">
        <f t="shared" si="54"/>
        <v>2024</v>
      </c>
      <c r="Q1011">
        <f t="shared" si="55"/>
        <v>5</v>
      </c>
      <c r="R1011" t="str">
        <f t="shared" si="53"/>
        <v>手猫搜索</v>
      </c>
      <c r="S1011" t="s">
        <v>628</v>
      </c>
      <c r="T1011" s="546" t="s">
        <v>804</v>
      </c>
    </row>
    <row r="1012" spans="1:20" x14ac:dyDescent="0.3">
      <c r="A1012" t="s">
        <v>627</v>
      </c>
      <c r="B1012" s="16">
        <v>45428</v>
      </c>
      <c r="C1012" t="s">
        <v>3</v>
      </c>
      <c r="D1012" t="s">
        <v>120</v>
      </c>
      <c r="E1012" t="s">
        <v>167</v>
      </c>
      <c r="F1012">
        <v>1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f t="shared" si="54"/>
        <v>2024</v>
      </c>
      <c r="Q1012">
        <f t="shared" si="55"/>
        <v>5</v>
      </c>
      <c r="R1012" t="str">
        <f t="shared" si="53"/>
        <v>手猫旺信聊天</v>
      </c>
      <c r="S1012" t="s">
        <v>628</v>
      </c>
      <c r="T1012" s="546" t="s">
        <v>804</v>
      </c>
    </row>
    <row r="1013" spans="1:20" x14ac:dyDescent="0.3">
      <c r="A1013" t="s">
        <v>627</v>
      </c>
      <c r="B1013" s="16">
        <v>45428</v>
      </c>
      <c r="C1013" t="s">
        <v>3</v>
      </c>
      <c r="D1013" t="s">
        <v>120</v>
      </c>
      <c r="E1013" t="s">
        <v>168</v>
      </c>
      <c r="F1013">
        <v>321</v>
      </c>
      <c r="G1013">
        <v>209</v>
      </c>
      <c r="H1013">
        <v>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9</v>
      </c>
      <c r="O1013">
        <v>321</v>
      </c>
      <c r="P1013">
        <f t="shared" si="54"/>
        <v>2024</v>
      </c>
      <c r="Q1013">
        <f t="shared" si="55"/>
        <v>5</v>
      </c>
      <c r="R1013" t="str">
        <f t="shared" si="53"/>
        <v>手猫首页</v>
      </c>
      <c r="S1013" t="s">
        <v>628</v>
      </c>
      <c r="T1013" s="546" t="s">
        <v>804</v>
      </c>
    </row>
    <row r="1014" spans="1:20" x14ac:dyDescent="0.3">
      <c r="A1014" t="s">
        <v>627</v>
      </c>
      <c r="B1014" s="16">
        <v>45428</v>
      </c>
      <c r="C1014" t="s">
        <v>3</v>
      </c>
      <c r="D1014" t="s">
        <v>123</v>
      </c>
      <c r="E1014" t="s">
        <v>169</v>
      </c>
      <c r="F1014">
        <v>156</v>
      </c>
      <c r="G1014">
        <v>77</v>
      </c>
      <c r="H1014">
        <v>12</v>
      </c>
      <c r="I1014">
        <v>3</v>
      </c>
      <c r="J1014" s="17">
        <v>12471.77</v>
      </c>
      <c r="K1014">
        <v>5</v>
      </c>
      <c r="L1014" s="17">
        <v>12471.77</v>
      </c>
      <c r="M1014">
        <v>5</v>
      </c>
      <c r="N1014">
        <v>54</v>
      </c>
      <c r="O1014">
        <v>142</v>
      </c>
      <c r="P1014">
        <f t="shared" si="54"/>
        <v>2024</v>
      </c>
      <c r="Q1014">
        <f t="shared" si="55"/>
        <v>5</v>
      </c>
      <c r="R1014" t="str">
        <f t="shared" si="53"/>
        <v>商品详情页头图推荐</v>
      </c>
      <c r="S1014" t="s">
        <v>628</v>
      </c>
      <c r="T1014" s="546" t="s">
        <v>804</v>
      </c>
    </row>
    <row r="1015" spans="1:20" x14ac:dyDescent="0.3">
      <c r="A1015" t="s">
        <v>627</v>
      </c>
      <c r="B1015" s="16">
        <v>45428</v>
      </c>
      <c r="C1015" t="s">
        <v>3</v>
      </c>
      <c r="D1015" t="s">
        <v>123</v>
      </c>
      <c r="E1015" t="s">
        <v>170</v>
      </c>
      <c r="F1015">
        <v>38</v>
      </c>
      <c r="G1015">
        <v>29</v>
      </c>
      <c r="H1015">
        <v>2</v>
      </c>
      <c r="I1015">
        <v>0</v>
      </c>
      <c r="J1015" s="15">
        <v>3195</v>
      </c>
      <c r="K1015">
        <v>1</v>
      </c>
      <c r="L1015" s="15">
        <v>3195</v>
      </c>
      <c r="M1015">
        <v>1</v>
      </c>
      <c r="N1015">
        <v>37</v>
      </c>
      <c r="O1015">
        <v>13</v>
      </c>
      <c r="P1015">
        <f t="shared" si="54"/>
        <v>2024</v>
      </c>
      <c r="Q1015">
        <f t="shared" si="55"/>
        <v>5</v>
      </c>
      <c r="R1015" t="str">
        <f t="shared" si="53"/>
        <v>店铺超链</v>
      </c>
      <c r="S1015" t="s">
        <v>628</v>
      </c>
      <c r="T1015" s="546" t="s">
        <v>804</v>
      </c>
    </row>
    <row r="1016" spans="1:20" x14ac:dyDescent="0.3">
      <c r="A1016" t="s">
        <v>627</v>
      </c>
      <c r="B1016" s="16">
        <v>45428</v>
      </c>
      <c r="C1016" t="s">
        <v>3</v>
      </c>
      <c r="D1016" t="s">
        <v>127</v>
      </c>
      <c r="E1016" t="s">
        <v>171</v>
      </c>
      <c r="F1016">
        <v>229</v>
      </c>
      <c r="G1016">
        <v>146</v>
      </c>
      <c r="H1016">
        <v>5</v>
      </c>
      <c r="I1016">
        <v>1</v>
      </c>
      <c r="J1016" s="15">
        <v>5749</v>
      </c>
      <c r="K1016">
        <v>3</v>
      </c>
      <c r="L1016" s="15">
        <v>5749</v>
      </c>
      <c r="M1016">
        <v>3</v>
      </c>
      <c r="N1016">
        <v>121</v>
      </c>
      <c r="O1016">
        <v>142</v>
      </c>
      <c r="P1016">
        <f t="shared" si="54"/>
        <v>2024</v>
      </c>
      <c r="Q1016">
        <f t="shared" si="55"/>
        <v>5</v>
      </c>
      <c r="R1016" t="str">
        <f t="shared" si="53"/>
        <v>其他猜你喜欢</v>
      </c>
      <c r="S1016" t="s">
        <v>628</v>
      </c>
      <c r="T1016" s="546" t="s">
        <v>804</v>
      </c>
    </row>
    <row r="1017" spans="1:20" x14ac:dyDescent="0.3">
      <c r="A1017" t="s">
        <v>627</v>
      </c>
      <c r="B1017" s="16">
        <v>45428</v>
      </c>
      <c r="C1017" t="s">
        <v>3</v>
      </c>
      <c r="D1017" t="s">
        <v>127</v>
      </c>
      <c r="E1017" t="s">
        <v>172</v>
      </c>
      <c r="F1017">
        <v>5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4</v>
      </c>
      <c r="P1017">
        <f t="shared" si="54"/>
        <v>2024</v>
      </c>
      <c r="Q1017">
        <f t="shared" si="55"/>
        <v>5</v>
      </c>
      <c r="R1017" t="str">
        <f t="shared" si="53"/>
        <v>购中推荐</v>
      </c>
      <c r="S1017" t="s">
        <v>628</v>
      </c>
      <c r="T1017" s="546" t="s">
        <v>804</v>
      </c>
    </row>
    <row r="1018" spans="1:20" x14ac:dyDescent="0.3">
      <c r="A1018" t="s">
        <v>627</v>
      </c>
      <c r="B1018" s="16">
        <v>45428</v>
      </c>
      <c r="C1018" t="s">
        <v>3</v>
      </c>
      <c r="D1018" t="s">
        <v>127</v>
      </c>
      <c r="E1018" t="s">
        <v>173</v>
      </c>
      <c r="F1018">
        <v>176</v>
      </c>
      <c r="G1018">
        <v>169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165</v>
      </c>
      <c r="O1018">
        <v>16</v>
      </c>
      <c r="P1018">
        <f t="shared" si="54"/>
        <v>2024</v>
      </c>
      <c r="Q1018">
        <f t="shared" si="55"/>
        <v>5</v>
      </c>
      <c r="R1018" t="str">
        <f t="shared" si="53"/>
        <v>购后推荐</v>
      </c>
      <c r="S1018" t="s">
        <v>628</v>
      </c>
      <c r="T1018" s="546" t="s">
        <v>804</v>
      </c>
    </row>
    <row r="1019" spans="1:20" x14ac:dyDescent="0.3">
      <c r="A1019" t="s">
        <v>627</v>
      </c>
      <c r="B1019" s="16">
        <v>45428</v>
      </c>
      <c r="C1019" t="s">
        <v>3</v>
      </c>
      <c r="D1019" t="s">
        <v>127</v>
      </c>
      <c r="E1019" t="s">
        <v>174</v>
      </c>
      <c r="F1019">
        <v>715</v>
      </c>
      <c r="G1019">
        <v>404</v>
      </c>
      <c r="H1019">
        <v>25</v>
      </c>
      <c r="I1019">
        <v>9</v>
      </c>
      <c r="J1019" s="15">
        <v>8089</v>
      </c>
      <c r="K1019">
        <v>4</v>
      </c>
      <c r="L1019" s="15">
        <v>8089</v>
      </c>
      <c r="M1019">
        <v>4</v>
      </c>
      <c r="N1019">
        <v>74</v>
      </c>
      <c r="O1019">
        <v>715</v>
      </c>
      <c r="P1019">
        <f t="shared" si="54"/>
        <v>2024</v>
      </c>
      <c r="Q1019">
        <f t="shared" si="55"/>
        <v>5</v>
      </c>
      <c r="R1019" t="str">
        <f t="shared" si="53"/>
        <v>首页推荐-微详情</v>
      </c>
      <c r="S1019" t="s">
        <v>628</v>
      </c>
      <c r="T1019" s="546" t="s">
        <v>804</v>
      </c>
    </row>
    <row r="1020" spans="1:20" x14ac:dyDescent="0.3">
      <c r="A1020" t="s">
        <v>627</v>
      </c>
      <c r="B1020" s="16">
        <v>45428</v>
      </c>
      <c r="C1020" t="s">
        <v>3</v>
      </c>
      <c r="D1020" t="s">
        <v>127</v>
      </c>
      <c r="E1020" t="s">
        <v>175</v>
      </c>
      <c r="F1020">
        <v>188</v>
      </c>
      <c r="G1020">
        <v>159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2</v>
      </c>
      <c r="O1020">
        <v>7</v>
      </c>
      <c r="P1020">
        <f t="shared" si="54"/>
        <v>2024</v>
      </c>
      <c r="Q1020">
        <f t="shared" si="55"/>
        <v>5</v>
      </c>
      <c r="R1020" t="str">
        <f t="shared" si="53"/>
        <v>首页推荐-直播</v>
      </c>
      <c r="S1020" t="s">
        <v>628</v>
      </c>
      <c r="T1020" s="546" t="s">
        <v>804</v>
      </c>
    </row>
    <row r="1021" spans="1:20" x14ac:dyDescent="0.3">
      <c r="A1021" t="s">
        <v>627</v>
      </c>
      <c r="B1021" s="16">
        <v>45428</v>
      </c>
      <c r="C1021" t="s">
        <v>3</v>
      </c>
      <c r="D1021" t="s">
        <v>127</v>
      </c>
      <c r="E1021" t="s">
        <v>176</v>
      </c>
      <c r="F1021">
        <v>34</v>
      </c>
      <c r="G1021">
        <v>23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f t="shared" si="54"/>
        <v>2024</v>
      </c>
      <c r="Q1021">
        <f t="shared" si="55"/>
        <v>5</v>
      </c>
      <c r="R1021" t="str">
        <f t="shared" si="53"/>
        <v>首页推荐-短视频</v>
      </c>
      <c r="S1021" t="s">
        <v>628</v>
      </c>
      <c r="T1021" s="546" t="s">
        <v>804</v>
      </c>
    </row>
    <row r="1022" spans="1:20" x14ac:dyDescent="0.3">
      <c r="A1022" t="s">
        <v>627</v>
      </c>
      <c r="B1022" s="16">
        <v>45428</v>
      </c>
      <c r="C1022" t="s">
        <v>3</v>
      </c>
      <c r="D1022" t="s">
        <v>128</v>
      </c>
      <c r="E1022" t="s">
        <v>177</v>
      </c>
      <c r="F1022">
        <v>378</v>
      </c>
      <c r="G1022">
        <v>315</v>
      </c>
      <c r="H1022">
        <v>4</v>
      </c>
      <c r="I1022">
        <v>5</v>
      </c>
      <c r="J1022" s="15">
        <v>14980</v>
      </c>
      <c r="K1022">
        <v>4</v>
      </c>
      <c r="L1022" s="15">
        <v>10385</v>
      </c>
      <c r="M1022">
        <v>3</v>
      </c>
      <c r="N1022">
        <v>185</v>
      </c>
      <c r="O1022">
        <v>287</v>
      </c>
      <c r="P1022">
        <f t="shared" si="54"/>
        <v>2024</v>
      </c>
      <c r="Q1022">
        <f t="shared" si="55"/>
        <v>5</v>
      </c>
      <c r="R1022" t="str">
        <f t="shared" si="53"/>
        <v>手淘搜索-商品及其他</v>
      </c>
      <c r="S1022" t="s">
        <v>628</v>
      </c>
      <c r="T1022" s="546" t="s">
        <v>804</v>
      </c>
    </row>
    <row r="1023" spans="1:20" x14ac:dyDescent="0.3">
      <c r="A1023" t="s">
        <v>627</v>
      </c>
      <c r="B1023" s="16">
        <v>45428</v>
      </c>
      <c r="C1023" t="s">
        <v>3</v>
      </c>
      <c r="D1023" t="s">
        <v>128</v>
      </c>
      <c r="E1023" t="s">
        <v>179</v>
      </c>
      <c r="F1023">
        <v>5</v>
      </c>
      <c r="G1023">
        <v>2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2</v>
      </c>
      <c r="P1023">
        <f t="shared" si="54"/>
        <v>2024</v>
      </c>
      <c r="Q1023">
        <f t="shared" si="55"/>
        <v>5</v>
      </c>
      <c r="R1023" t="str">
        <f t="shared" si="53"/>
        <v>手淘搜索-短视频</v>
      </c>
      <c r="S1023" t="s">
        <v>628</v>
      </c>
      <c r="T1023" s="546" t="s">
        <v>804</v>
      </c>
    </row>
    <row r="1024" spans="1:20" x14ac:dyDescent="0.3">
      <c r="A1024" t="s">
        <v>627</v>
      </c>
      <c r="B1024" s="16">
        <v>45428</v>
      </c>
      <c r="C1024" t="s">
        <v>3</v>
      </c>
      <c r="D1024" t="s">
        <v>143</v>
      </c>
      <c r="E1024" t="s">
        <v>180</v>
      </c>
      <c r="F1024">
        <v>10</v>
      </c>
      <c r="G1024">
        <v>8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10</v>
      </c>
      <c r="P1024">
        <f t="shared" si="54"/>
        <v>2024</v>
      </c>
      <c r="Q1024">
        <f t="shared" si="55"/>
        <v>5</v>
      </c>
      <c r="R1024" t="str">
        <f t="shared" si="53"/>
        <v>淘特其他渠道</v>
      </c>
      <c r="S1024" t="s">
        <v>628</v>
      </c>
      <c r="T1024" s="546" t="s">
        <v>804</v>
      </c>
    </row>
    <row r="1025" spans="1:20" x14ac:dyDescent="0.3">
      <c r="A1025" t="s">
        <v>627</v>
      </c>
      <c r="B1025" s="16">
        <v>45428</v>
      </c>
      <c r="C1025" t="s">
        <v>2</v>
      </c>
      <c r="D1025" t="s">
        <v>55</v>
      </c>
      <c r="E1025" t="s">
        <v>54</v>
      </c>
      <c r="F1025" s="15">
        <v>3702</v>
      </c>
      <c r="G1025" s="15">
        <v>3325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4</v>
      </c>
      <c r="O1025" s="15">
        <v>2097</v>
      </c>
      <c r="P1025">
        <f t="shared" si="54"/>
        <v>2024</v>
      </c>
      <c r="Q1025">
        <f t="shared" si="55"/>
        <v>5</v>
      </c>
      <c r="R1025" t="str">
        <f t="shared" si="53"/>
        <v>超级直播</v>
      </c>
      <c r="S1025" t="s">
        <v>628</v>
      </c>
      <c r="T1025" s="546" t="s">
        <v>804</v>
      </c>
    </row>
    <row r="1026" spans="1:20" x14ac:dyDescent="0.3">
      <c r="A1026" t="s">
        <v>627</v>
      </c>
      <c r="B1026" s="16">
        <v>45428</v>
      </c>
      <c r="C1026" t="s">
        <v>2</v>
      </c>
      <c r="D1026" t="s">
        <v>52</v>
      </c>
      <c r="E1026" t="s">
        <v>53</v>
      </c>
      <c r="F1026" s="15">
        <v>1091</v>
      </c>
      <c r="G1026">
        <v>961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 s="15">
        <v>1091</v>
      </c>
      <c r="O1026">
        <v>228</v>
      </c>
      <c r="P1026">
        <f t="shared" si="54"/>
        <v>2024</v>
      </c>
      <c r="Q1026">
        <f t="shared" si="55"/>
        <v>5</v>
      </c>
      <c r="R1026" t="str">
        <f t="shared" si="53"/>
        <v>Showmax</v>
      </c>
      <c r="S1026" t="s">
        <v>628</v>
      </c>
      <c r="T1026" s="546" t="s">
        <v>804</v>
      </c>
    </row>
    <row r="1027" spans="1:20" x14ac:dyDescent="0.3">
      <c r="A1027" t="s">
        <v>627</v>
      </c>
      <c r="B1027" s="16">
        <v>45428</v>
      </c>
      <c r="C1027" t="s">
        <v>2</v>
      </c>
      <c r="D1027" t="s">
        <v>52</v>
      </c>
      <c r="E1027" t="s">
        <v>59</v>
      </c>
      <c r="F1027" s="15">
        <v>1413</v>
      </c>
      <c r="G1027" s="15">
        <v>1204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 s="15">
        <v>1413</v>
      </c>
      <c r="O1027">
        <v>397</v>
      </c>
      <c r="P1027">
        <f t="shared" si="54"/>
        <v>2024</v>
      </c>
      <c r="Q1027">
        <f t="shared" si="55"/>
        <v>5</v>
      </c>
      <c r="R1027" t="str">
        <f t="shared" si="53"/>
        <v>品牌特秀</v>
      </c>
      <c r="S1027" t="s">
        <v>628</v>
      </c>
      <c r="T1027" s="546" t="s">
        <v>804</v>
      </c>
    </row>
    <row r="1028" spans="1:20" x14ac:dyDescent="0.3">
      <c r="A1028" t="s">
        <v>627</v>
      </c>
      <c r="B1028" s="16">
        <v>45428</v>
      </c>
      <c r="C1028" t="s">
        <v>2</v>
      </c>
      <c r="D1028" t="s">
        <v>52</v>
      </c>
      <c r="E1028" t="s">
        <v>183</v>
      </c>
      <c r="F1028">
        <v>715</v>
      </c>
      <c r="G1028">
        <v>593</v>
      </c>
      <c r="H1028">
        <v>13</v>
      </c>
      <c r="I1028">
        <v>4</v>
      </c>
      <c r="J1028" s="15">
        <v>9517</v>
      </c>
      <c r="K1028">
        <v>3</v>
      </c>
      <c r="L1028" s="15">
        <v>9517</v>
      </c>
      <c r="M1028">
        <v>3</v>
      </c>
      <c r="N1028">
        <v>715</v>
      </c>
      <c r="O1028">
        <v>392</v>
      </c>
      <c r="P1028">
        <f t="shared" si="54"/>
        <v>2024</v>
      </c>
      <c r="Q1028">
        <f t="shared" si="55"/>
        <v>5</v>
      </c>
      <c r="R1028" t="str">
        <f t="shared" si="53"/>
        <v>品销宝-品牌专区</v>
      </c>
      <c r="S1028" t="s">
        <v>628</v>
      </c>
      <c r="T1028" s="546" t="s">
        <v>804</v>
      </c>
    </row>
    <row r="1029" spans="1:20" x14ac:dyDescent="0.3">
      <c r="A1029" t="s">
        <v>627</v>
      </c>
      <c r="B1029" s="16">
        <v>45428</v>
      </c>
      <c r="C1029" t="s">
        <v>2</v>
      </c>
      <c r="D1029" t="s">
        <v>52</v>
      </c>
      <c r="E1029" t="s">
        <v>58</v>
      </c>
      <c r="F1029">
        <v>1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f t="shared" si="54"/>
        <v>2024</v>
      </c>
      <c r="Q1029">
        <f t="shared" si="55"/>
        <v>5</v>
      </c>
      <c r="R1029" t="str">
        <f t="shared" si="53"/>
        <v>超级全域通</v>
      </c>
      <c r="S1029" t="s">
        <v>628</v>
      </c>
      <c r="T1029" s="546" t="s">
        <v>804</v>
      </c>
    </row>
    <row r="1030" spans="1:20" x14ac:dyDescent="0.3">
      <c r="A1030" t="s">
        <v>627</v>
      </c>
      <c r="B1030" s="16">
        <v>45428</v>
      </c>
      <c r="C1030" t="s">
        <v>2</v>
      </c>
      <c r="D1030" t="s">
        <v>57</v>
      </c>
      <c r="E1030" t="s">
        <v>65</v>
      </c>
      <c r="F1030" s="15">
        <v>2684</v>
      </c>
      <c r="G1030" s="15">
        <v>2338</v>
      </c>
      <c r="H1030">
        <v>35</v>
      </c>
      <c r="I1030">
        <v>26</v>
      </c>
      <c r="J1030" s="15">
        <v>14168</v>
      </c>
      <c r="K1030">
        <v>5</v>
      </c>
      <c r="L1030" s="15">
        <v>14168</v>
      </c>
      <c r="M1030">
        <v>5</v>
      </c>
      <c r="N1030">
        <v>276</v>
      </c>
      <c r="O1030" s="15">
        <v>2652</v>
      </c>
      <c r="P1030">
        <f t="shared" si="54"/>
        <v>2024</v>
      </c>
      <c r="Q1030">
        <f t="shared" si="55"/>
        <v>5</v>
      </c>
      <c r="R1030" t="str">
        <f t="shared" si="53"/>
        <v>直通车</v>
      </c>
      <c r="S1030" t="s">
        <v>628</v>
      </c>
      <c r="T1030" s="546" t="s">
        <v>804</v>
      </c>
    </row>
    <row r="1031" spans="1:20" x14ac:dyDescent="0.3">
      <c r="A1031" t="s">
        <v>627</v>
      </c>
      <c r="B1031" s="16">
        <v>45428</v>
      </c>
      <c r="C1031" t="s">
        <v>2</v>
      </c>
      <c r="D1031" t="s">
        <v>57</v>
      </c>
      <c r="E1031" t="s">
        <v>63</v>
      </c>
      <c r="F1031" s="15">
        <v>1748</v>
      </c>
      <c r="G1031">
        <v>956</v>
      </c>
      <c r="H1031">
        <v>42</v>
      </c>
      <c r="I1031">
        <v>8</v>
      </c>
      <c r="J1031" s="15">
        <v>46082</v>
      </c>
      <c r="K1031">
        <v>16</v>
      </c>
      <c r="L1031" s="15">
        <v>42637</v>
      </c>
      <c r="M1031">
        <v>15</v>
      </c>
      <c r="N1031">
        <v>132</v>
      </c>
      <c r="O1031" s="15">
        <v>1747</v>
      </c>
      <c r="P1031">
        <f t="shared" si="54"/>
        <v>2024</v>
      </c>
      <c r="Q1031">
        <f t="shared" si="55"/>
        <v>5</v>
      </c>
      <c r="R1031" t="str">
        <f t="shared" ref="R1031:R1094" si="56">E1031</f>
        <v>万相台</v>
      </c>
      <c r="S1031" t="s">
        <v>628</v>
      </c>
      <c r="T1031" s="546" t="s">
        <v>804</v>
      </c>
    </row>
    <row r="1032" spans="1:20" x14ac:dyDescent="0.3">
      <c r="A1032" t="s">
        <v>627</v>
      </c>
      <c r="B1032" s="16">
        <v>45428</v>
      </c>
      <c r="C1032" t="s">
        <v>2</v>
      </c>
      <c r="D1032" t="s">
        <v>57</v>
      </c>
      <c r="E1032" t="s">
        <v>64</v>
      </c>
      <c r="F1032" s="15">
        <v>16651</v>
      </c>
      <c r="G1032" s="15">
        <v>9756</v>
      </c>
      <c r="H1032">
        <v>136</v>
      </c>
      <c r="I1032">
        <v>78</v>
      </c>
      <c r="J1032" s="15">
        <v>31076</v>
      </c>
      <c r="K1032">
        <v>14</v>
      </c>
      <c r="L1032" s="17">
        <v>26653.5</v>
      </c>
      <c r="M1032">
        <v>12</v>
      </c>
      <c r="N1032">
        <v>644</v>
      </c>
      <c r="O1032" s="15">
        <v>16644</v>
      </c>
      <c r="P1032">
        <f t="shared" si="54"/>
        <v>2024</v>
      </c>
      <c r="Q1032">
        <f t="shared" si="55"/>
        <v>5</v>
      </c>
      <c r="R1032" t="str">
        <f t="shared" si="56"/>
        <v>引力魔方</v>
      </c>
      <c r="S1032" t="s">
        <v>628</v>
      </c>
      <c r="T1032" s="546" t="s">
        <v>804</v>
      </c>
    </row>
    <row r="1033" spans="1:20" x14ac:dyDescent="0.3">
      <c r="A1033" t="s">
        <v>627</v>
      </c>
      <c r="B1033" s="16">
        <v>45428</v>
      </c>
      <c r="C1033" t="s">
        <v>2</v>
      </c>
      <c r="D1033" t="s">
        <v>4</v>
      </c>
      <c r="E1033" t="s">
        <v>42</v>
      </c>
      <c r="F1033">
        <v>1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f t="shared" si="54"/>
        <v>2024</v>
      </c>
      <c r="Q1033">
        <f t="shared" si="55"/>
        <v>5</v>
      </c>
      <c r="R1033" t="str">
        <f t="shared" si="56"/>
        <v>UD效果投放</v>
      </c>
      <c r="S1033" t="s">
        <v>628</v>
      </c>
      <c r="T1033" s="546" t="s">
        <v>804</v>
      </c>
    </row>
    <row r="1034" spans="1:20" x14ac:dyDescent="0.3">
      <c r="A1034" t="s">
        <v>627</v>
      </c>
      <c r="B1034" s="16">
        <v>45428</v>
      </c>
      <c r="C1034" t="s">
        <v>2</v>
      </c>
      <c r="D1034" t="s">
        <v>4</v>
      </c>
      <c r="E1034" t="s">
        <v>41</v>
      </c>
      <c r="F1034">
        <v>2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f t="shared" si="54"/>
        <v>2024</v>
      </c>
      <c r="Q1034">
        <f t="shared" si="55"/>
        <v>5</v>
      </c>
      <c r="R1034" t="str">
        <f t="shared" si="56"/>
        <v>流量宝</v>
      </c>
      <c r="S1034" t="s">
        <v>628</v>
      </c>
      <c r="T1034" s="546" t="s">
        <v>804</v>
      </c>
    </row>
    <row r="1035" spans="1:20" x14ac:dyDescent="0.3">
      <c r="A1035" t="s">
        <v>627</v>
      </c>
      <c r="B1035" s="16">
        <v>45428</v>
      </c>
      <c r="C1035" t="s">
        <v>2</v>
      </c>
      <c r="D1035" t="s">
        <v>4</v>
      </c>
      <c r="E1035" t="s">
        <v>43</v>
      </c>
      <c r="F1035">
        <v>332</v>
      </c>
      <c r="G1035">
        <v>98</v>
      </c>
      <c r="H1035">
        <v>0</v>
      </c>
      <c r="I1035">
        <v>0</v>
      </c>
      <c r="J1035" s="15">
        <v>3995</v>
      </c>
      <c r="K1035">
        <v>1</v>
      </c>
      <c r="L1035" s="15">
        <v>3995</v>
      </c>
      <c r="M1035">
        <v>1</v>
      </c>
      <c r="N1035">
        <v>13</v>
      </c>
      <c r="O1035">
        <v>315</v>
      </c>
      <c r="P1035">
        <f t="shared" si="54"/>
        <v>2024</v>
      </c>
      <c r="Q1035">
        <f t="shared" si="55"/>
        <v>5</v>
      </c>
      <c r="R1035" t="str">
        <f t="shared" si="56"/>
        <v>淘宝客</v>
      </c>
      <c r="S1035" t="s">
        <v>628</v>
      </c>
      <c r="T1035" s="546" t="s">
        <v>804</v>
      </c>
    </row>
    <row r="1036" spans="1:20" x14ac:dyDescent="0.3">
      <c r="A1036" t="s">
        <v>627</v>
      </c>
      <c r="B1036" s="16">
        <v>45429</v>
      </c>
      <c r="C1036" t="s">
        <v>3</v>
      </c>
      <c r="D1036" t="s">
        <v>120</v>
      </c>
      <c r="E1036" t="s">
        <v>163</v>
      </c>
      <c r="F1036">
        <v>99</v>
      </c>
      <c r="G1036">
        <v>52</v>
      </c>
      <c r="H1036">
        <v>1</v>
      </c>
      <c r="I1036">
        <v>0</v>
      </c>
      <c r="J1036" s="15">
        <v>5372</v>
      </c>
      <c r="K1036">
        <v>2</v>
      </c>
      <c r="L1036" s="15">
        <v>5372</v>
      </c>
      <c r="M1036">
        <v>2</v>
      </c>
      <c r="N1036">
        <v>29</v>
      </c>
      <c r="O1036">
        <v>93</v>
      </c>
      <c r="P1036">
        <f t="shared" si="54"/>
        <v>2024</v>
      </c>
      <c r="Q1036">
        <f t="shared" si="55"/>
        <v>5</v>
      </c>
      <c r="R1036" t="str">
        <f t="shared" si="56"/>
        <v>手猫免费其他</v>
      </c>
      <c r="S1036" t="s">
        <v>628</v>
      </c>
      <c r="T1036" s="546" t="s">
        <v>804</v>
      </c>
    </row>
    <row r="1037" spans="1:20" x14ac:dyDescent="0.3">
      <c r="A1037" t="s">
        <v>627</v>
      </c>
      <c r="B1037" s="16">
        <v>45429</v>
      </c>
      <c r="C1037" t="s">
        <v>3</v>
      </c>
      <c r="D1037" t="s">
        <v>120</v>
      </c>
      <c r="E1037" t="s">
        <v>164</v>
      </c>
      <c r="F1037">
        <v>8</v>
      </c>
      <c r="G1037">
        <v>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8</v>
      </c>
      <c r="P1037">
        <f t="shared" si="54"/>
        <v>2024</v>
      </c>
      <c r="Q1037">
        <f t="shared" si="55"/>
        <v>5</v>
      </c>
      <c r="R1037" t="str">
        <f t="shared" si="56"/>
        <v>手猫其他店铺</v>
      </c>
      <c r="S1037" t="s">
        <v>628</v>
      </c>
      <c r="T1037" s="546" t="s">
        <v>804</v>
      </c>
    </row>
    <row r="1038" spans="1:20" x14ac:dyDescent="0.3">
      <c r="A1038" t="s">
        <v>627</v>
      </c>
      <c r="B1038" s="16">
        <v>45429</v>
      </c>
      <c r="C1038" t="s">
        <v>3</v>
      </c>
      <c r="D1038" t="s">
        <v>120</v>
      </c>
      <c r="E1038" t="s">
        <v>165</v>
      </c>
      <c r="F1038">
        <v>30</v>
      </c>
      <c r="G1038">
        <v>11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6</v>
      </c>
      <c r="O1038">
        <v>29</v>
      </c>
      <c r="P1038">
        <f t="shared" si="54"/>
        <v>2024</v>
      </c>
      <c r="Q1038">
        <f t="shared" si="55"/>
        <v>5</v>
      </c>
      <c r="R1038" t="str">
        <f t="shared" si="56"/>
        <v>手猫商品详情</v>
      </c>
      <c r="S1038" t="s">
        <v>628</v>
      </c>
      <c r="T1038" s="546" t="s">
        <v>804</v>
      </c>
    </row>
    <row r="1039" spans="1:20" x14ac:dyDescent="0.3">
      <c r="A1039" t="s">
        <v>627</v>
      </c>
      <c r="B1039" s="16">
        <v>45429</v>
      </c>
      <c r="C1039" t="s">
        <v>3</v>
      </c>
      <c r="D1039" t="s">
        <v>120</v>
      </c>
      <c r="E1039" t="s">
        <v>166</v>
      </c>
      <c r="F1039">
        <v>43</v>
      </c>
      <c r="G1039">
        <v>31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20</v>
      </c>
      <c r="O1039">
        <v>35</v>
      </c>
      <c r="P1039">
        <f t="shared" si="54"/>
        <v>2024</v>
      </c>
      <c r="Q1039">
        <f t="shared" si="55"/>
        <v>5</v>
      </c>
      <c r="R1039" t="str">
        <f t="shared" si="56"/>
        <v>手猫搜索</v>
      </c>
      <c r="S1039" t="s">
        <v>628</v>
      </c>
      <c r="T1039" s="546" t="s">
        <v>804</v>
      </c>
    </row>
    <row r="1040" spans="1:20" x14ac:dyDescent="0.3">
      <c r="A1040" t="s">
        <v>627</v>
      </c>
      <c r="B1040" s="16">
        <v>45429</v>
      </c>
      <c r="C1040" t="s">
        <v>3</v>
      </c>
      <c r="D1040" t="s">
        <v>120</v>
      </c>
      <c r="E1040" t="s">
        <v>167</v>
      </c>
      <c r="F1040">
        <v>1</v>
      </c>
      <c r="G1040">
        <v>0</v>
      </c>
      <c r="H1040">
        <v>0</v>
      </c>
      <c r="I1040">
        <v>0</v>
      </c>
      <c r="J1040" s="15">
        <v>3745</v>
      </c>
      <c r="K1040">
        <v>1</v>
      </c>
      <c r="L1040" s="15">
        <v>3745</v>
      </c>
      <c r="M1040">
        <v>1</v>
      </c>
      <c r="N1040">
        <v>1</v>
      </c>
      <c r="O1040">
        <v>1</v>
      </c>
      <c r="P1040">
        <f t="shared" si="54"/>
        <v>2024</v>
      </c>
      <c r="Q1040">
        <f t="shared" si="55"/>
        <v>5</v>
      </c>
      <c r="R1040" t="str">
        <f t="shared" si="56"/>
        <v>手猫旺信聊天</v>
      </c>
      <c r="S1040" t="s">
        <v>628</v>
      </c>
      <c r="T1040" s="546" t="s">
        <v>804</v>
      </c>
    </row>
    <row r="1041" spans="1:20" x14ac:dyDescent="0.3">
      <c r="A1041" t="s">
        <v>627</v>
      </c>
      <c r="B1041" s="16">
        <v>45429</v>
      </c>
      <c r="C1041" t="s">
        <v>3</v>
      </c>
      <c r="D1041" t="s">
        <v>120</v>
      </c>
      <c r="E1041" t="s">
        <v>168</v>
      </c>
      <c r="F1041">
        <v>396</v>
      </c>
      <c r="G1041">
        <v>260</v>
      </c>
      <c r="H1041">
        <v>2</v>
      </c>
      <c r="I1041">
        <v>0</v>
      </c>
      <c r="J1041" s="15">
        <v>1627</v>
      </c>
      <c r="K1041">
        <v>1</v>
      </c>
      <c r="L1041" s="15">
        <v>1627</v>
      </c>
      <c r="M1041">
        <v>1</v>
      </c>
      <c r="N1041">
        <v>14</v>
      </c>
      <c r="O1041">
        <v>396</v>
      </c>
      <c r="P1041">
        <f t="shared" si="54"/>
        <v>2024</v>
      </c>
      <c r="Q1041">
        <f t="shared" si="55"/>
        <v>5</v>
      </c>
      <c r="R1041" t="str">
        <f t="shared" si="56"/>
        <v>手猫首页</v>
      </c>
      <c r="S1041" t="s">
        <v>628</v>
      </c>
      <c r="T1041" s="546" t="s">
        <v>804</v>
      </c>
    </row>
    <row r="1042" spans="1:20" x14ac:dyDescent="0.3">
      <c r="A1042" t="s">
        <v>627</v>
      </c>
      <c r="B1042" s="16">
        <v>45429</v>
      </c>
      <c r="C1042" t="s">
        <v>3</v>
      </c>
      <c r="D1042" t="s">
        <v>123</v>
      </c>
      <c r="E1042" t="s">
        <v>169</v>
      </c>
      <c r="F1042">
        <v>158</v>
      </c>
      <c r="G1042">
        <v>76</v>
      </c>
      <c r="H1042">
        <v>10</v>
      </c>
      <c r="I1042">
        <v>4</v>
      </c>
      <c r="J1042" s="15">
        <v>9395</v>
      </c>
      <c r="K1042">
        <v>1</v>
      </c>
      <c r="L1042">
        <v>0</v>
      </c>
      <c r="M1042">
        <v>0</v>
      </c>
      <c r="N1042">
        <v>54</v>
      </c>
      <c r="O1042">
        <v>140</v>
      </c>
      <c r="P1042">
        <f t="shared" si="54"/>
        <v>2024</v>
      </c>
      <c r="Q1042">
        <f t="shared" si="55"/>
        <v>5</v>
      </c>
      <c r="R1042" t="str">
        <f t="shared" si="56"/>
        <v>商品详情页头图推荐</v>
      </c>
      <c r="S1042" t="s">
        <v>628</v>
      </c>
      <c r="T1042" s="546" t="s">
        <v>804</v>
      </c>
    </row>
    <row r="1043" spans="1:20" x14ac:dyDescent="0.3">
      <c r="A1043" t="s">
        <v>627</v>
      </c>
      <c r="B1043" s="16">
        <v>45429</v>
      </c>
      <c r="C1043" t="s">
        <v>3</v>
      </c>
      <c r="D1043" t="s">
        <v>123</v>
      </c>
      <c r="E1043" t="s">
        <v>170</v>
      </c>
      <c r="F1043">
        <v>40</v>
      </c>
      <c r="G1043">
        <v>26</v>
      </c>
      <c r="H1043">
        <v>4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34</v>
      </c>
      <c r="O1043">
        <v>16</v>
      </c>
      <c r="P1043">
        <f t="shared" si="54"/>
        <v>2024</v>
      </c>
      <c r="Q1043">
        <f t="shared" si="55"/>
        <v>5</v>
      </c>
      <c r="R1043" t="str">
        <f t="shared" si="56"/>
        <v>店铺超链</v>
      </c>
      <c r="S1043" t="s">
        <v>628</v>
      </c>
      <c r="T1043" s="546" t="s">
        <v>804</v>
      </c>
    </row>
    <row r="1044" spans="1:20" x14ac:dyDescent="0.3">
      <c r="A1044" t="s">
        <v>627</v>
      </c>
      <c r="B1044" s="16">
        <v>45429</v>
      </c>
      <c r="C1044" t="s">
        <v>3</v>
      </c>
      <c r="D1044" t="s">
        <v>127</v>
      </c>
      <c r="E1044" t="s">
        <v>171</v>
      </c>
      <c r="F1044">
        <v>221</v>
      </c>
      <c r="G1044">
        <v>134</v>
      </c>
      <c r="H1044">
        <v>9</v>
      </c>
      <c r="I1044">
        <v>2</v>
      </c>
      <c r="J1044">
        <v>0</v>
      </c>
      <c r="K1044">
        <v>0</v>
      </c>
      <c r="L1044">
        <v>0</v>
      </c>
      <c r="M1044">
        <v>0</v>
      </c>
      <c r="N1044">
        <v>121</v>
      </c>
      <c r="O1044">
        <v>137</v>
      </c>
      <c r="P1044">
        <f t="shared" si="54"/>
        <v>2024</v>
      </c>
      <c r="Q1044">
        <f t="shared" si="55"/>
        <v>5</v>
      </c>
      <c r="R1044" t="str">
        <f t="shared" si="56"/>
        <v>其他猜你喜欢</v>
      </c>
      <c r="S1044" t="s">
        <v>628</v>
      </c>
      <c r="T1044" s="546" t="s">
        <v>804</v>
      </c>
    </row>
    <row r="1045" spans="1:20" x14ac:dyDescent="0.3">
      <c r="A1045" t="s">
        <v>627</v>
      </c>
      <c r="B1045" s="16">
        <v>45429</v>
      </c>
      <c r="C1045" t="s">
        <v>3</v>
      </c>
      <c r="D1045" t="s">
        <v>127</v>
      </c>
      <c r="E1045" t="s">
        <v>172</v>
      </c>
      <c r="F1045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f t="shared" ref="P1045:P1108" si="57">YEAR(B1045)</f>
        <v>2024</v>
      </c>
      <c r="Q1045">
        <f t="shared" ref="Q1045:Q1108" si="58">MONTH(B1045)</f>
        <v>5</v>
      </c>
      <c r="R1045" t="str">
        <f t="shared" si="56"/>
        <v>购中推荐</v>
      </c>
      <c r="S1045" t="s">
        <v>628</v>
      </c>
      <c r="T1045" s="546" t="s">
        <v>804</v>
      </c>
    </row>
    <row r="1046" spans="1:20" x14ac:dyDescent="0.3">
      <c r="A1046" t="s">
        <v>627</v>
      </c>
      <c r="B1046" s="16">
        <v>45429</v>
      </c>
      <c r="C1046" t="s">
        <v>3</v>
      </c>
      <c r="D1046" t="s">
        <v>127</v>
      </c>
      <c r="E1046" t="s">
        <v>173</v>
      </c>
      <c r="F1046">
        <v>181</v>
      </c>
      <c r="G1046">
        <v>180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163</v>
      </c>
      <c r="O1046">
        <v>13</v>
      </c>
      <c r="P1046">
        <f t="shared" si="57"/>
        <v>2024</v>
      </c>
      <c r="Q1046">
        <f t="shared" si="58"/>
        <v>5</v>
      </c>
      <c r="R1046" t="str">
        <f t="shared" si="56"/>
        <v>购后推荐</v>
      </c>
      <c r="S1046" t="s">
        <v>628</v>
      </c>
      <c r="T1046" s="546" t="s">
        <v>804</v>
      </c>
    </row>
    <row r="1047" spans="1:20" x14ac:dyDescent="0.3">
      <c r="A1047" t="s">
        <v>627</v>
      </c>
      <c r="B1047" s="16">
        <v>45429</v>
      </c>
      <c r="C1047" t="s">
        <v>3</v>
      </c>
      <c r="D1047" t="s">
        <v>127</v>
      </c>
      <c r="E1047" t="s">
        <v>174</v>
      </c>
      <c r="F1047" s="15">
        <v>1116</v>
      </c>
      <c r="G1047">
        <v>678</v>
      </c>
      <c r="H1047">
        <v>38</v>
      </c>
      <c r="I1047">
        <v>13</v>
      </c>
      <c r="J1047" s="17">
        <v>9197.5</v>
      </c>
      <c r="K1047">
        <v>2</v>
      </c>
      <c r="L1047" s="17">
        <v>5747.5</v>
      </c>
      <c r="M1047">
        <v>2</v>
      </c>
      <c r="N1047">
        <v>128</v>
      </c>
      <c r="O1047" s="15">
        <v>1116</v>
      </c>
      <c r="P1047">
        <f t="shared" si="57"/>
        <v>2024</v>
      </c>
      <c r="Q1047">
        <f t="shared" si="58"/>
        <v>5</v>
      </c>
      <c r="R1047" t="str">
        <f t="shared" si="56"/>
        <v>首页推荐-微详情</v>
      </c>
      <c r="S1047" t="s">
        <v>628</v>
      </c>
      <c r="T1047" s="546" t="s">
        <v>804</v>
      </c>
    </row>
    <row r="1048" spans="1:20" x14ac:dyDescent="0.3">
      <c r="A1048" t="s">
        <v>627</v>
      </c>
      <c r="B1048" s="16">
        <v>45429</v>
      </c>
      <c r="C1048" t="s">
        <v>3</v>
      </c>
      <c r="D1048" t="s">
        <v>127</v>
      </c>
      <c r="E1048" t="s">
        <v>175</v>
      </c>
      <c r="F1048" s="15">
        <v>2796</v>
      </c>
      <c r="G1048" s="15">
        <v>2691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6</v>
      </c>
      <c r="P1048">
        <f t="shared" si="57"/>
        <v>2024</v>
      </c>
      <c r="Q1048">
        <f t="shared" si="58"/>
        <v>5</v>
      </c>
      <c r="R1048" t="str">
        <f t="shared" si="56"/>
        <v>首页推荐-直播</v>
      </c>
      <c r="S1048" t="s">
        <v>628</v>
      </c>
      <c r="T1048" s="546" t="s">
        <v>804</v>
      </c>
    </row>
    <row r="1049" spans="1:20" x14ac:dyDescent="0.3">
      <c r="A1049" t="s">
        <v>627</v>
      </c>
      <c r="B1049" s="16">
        <v>45429</v>
      </c>
      <c r="C1049" t="s">
        <v>3</v>
      </c>
      <c r="D1049" t="s">
        <v>127</v>
      </c>
      <c r="E1049" t="s">
        <v>176</v>
      </c>
      <c r="F1049">
        <v>33</v>
      </c>
      <c r="G1049">
        <v>15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f t="shared" si="57"/>
        <v>2024</v>
      </c>
      <c r="Q1049">
        <f t="shared" si="58"/>
        <v>5</v>
      </c>
      <c r="R1049" t="str">
        <f t="shared" si="56"/>
        <v>首页推荐-短视频</v>
      </c>
      <c r="S1049" t="s">
        <v>628</v>
      </c>
      <c r="T1049" s="546" t="s">
        <v>804</v>
      </c>
    </row>
    <row r="1050" spans="1:20" x14ac:dyDescent="0.3">
      <c r="A1050" t="s">
        <v>627</v>
      </c>
      <c r="B1050" s="16">
        <v>45429</v>
      </c>
      <c r="C1050" t="s">
        <v>3</v>
      </c>
      <c r="D1050" t="s">
        <v>128</v>
      </c>
      <c r="E1050" t="s">
        <v>177</v>
      </c>
      <c r="F1050">
        <v>363</v>
      </c>
      <c r="G1050">
        <v>288</v>
      </c>
      <c r="H1050">
        <v>15</v>
      </c>
      <c r="I1050">
        <v>8</v>
      </c>
      <c r="J1050">
        <v>0</v>
      </c>
      <c r="K1050">
        <v>0</v>
      </c>
      <c r="L1050">
        <v>0</v>
      </c>
      <c r="M1050">
        <v>0</v>
      </c>
      <c r="N1050">
        <v>159</v>
      </c>
      <c r="O1050">
        <v>274</v>
      </c>
      <c r="P1050">
        <f t="shared" si="57"/>
        <v>2024</v>
      </c>
      <c r="Q1050">
        <f t="shared" si="58"/>
        <v>5</v>
      </c>
      <c r="R1050" t="str">
        <f t="shared" si="56"/>
        <v>手淘搜索-商品及其他</v>
      </c>
      <c r="S1050" t="s">
        <v>628</v>
      </c>
      <c r="T1050" s="546" t="s">
        <v>804</v>
      </c>
    </row>
    <row r="1051" spans="1:20" x14ac:dyDescent="0.3">
      <c r="A1051" t="s">
        <v>627</v>
      </c>
      <c r="B1051" s="16">
        <v>45429</v>
      </c>
      <c r="C1051" t="s">
        <v>3</v>
      </c>
      <c r="D1051" t="s">
        <v>128</v>
      </c>
      <c r="E1051" t="s">
        <v>178</v>
      </c>
      <c r="F1051">
        <v>2</v>
      </c>
      <c r="G1051">
        <v>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f t="shared" si="57"/>
        <v>2024</v>
      </c>
      <c r="Q1051">
        <f t="shared" si="58"/>
        <v>5</v>
      </c>
      <c r="R1051" t="str">
        <f t="shared" si="56"/>
        <v>手淘搜索-直播</v>
      </c>
      <c r="S1051" t="s">
        <v>628</v>
      </c>
      <c r="T1051" s="546" t="s">
        <v>804</v>
      </c>
    </row>
    <row r="1052" spans="1:20" x14ac:dyDescent="0.3">
      <c r="A1052" t="s">
        <v>627</v>
      </c>
      <c r="B1052" s="16">
        <v>45429</v>
      </c>
      <c r="C1052" t="s">
        <v>3</v>
      </c>
      <c r="D1052" t="s">
        <v>128</v>
      </c>
      <c r="E1052" t="s">
        <v>179</v>
      </c>
      <c r="F1052">
        <v>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f t="shared" si="57"/>
        <v>2024</v>
      </c>
      <c r="Q1052">
        <f t="shared" si="58"/>
        <v>5</v>
      </c>
      <c r="R1052" t="str">
        <f t="shared" si="56"/>
        <v>手淘搜索-短视频</v>
      </c>
      <c r="S1052" t="s">
        <v>628</v>
      </c>
      <c r="T1052" s="546" t="s">
        <v>804</v>
      </c>
    </row>
    <row r="1053" spans="1:20" x14ac:dyDescent="0.3">
      <c r="A1053" t="s">
        <v>627</v>
      </c>
      <c r="B1053" s="16">
        <v>45429</v>
      </c>
      <c r="C1053" t="s">
        <v>3</v>
      </c>
      <c r="D1053" t="s">
        <v>143</v>
      </c>
      <c r="E1053" t="s">
        <v>180</v>
      </c>
      <c r="F1053">
        <v>10</v>
      </c>
      <c r="G1053">
        <v>10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10</v>
      </c>
      <c r="P1053">
        <f t="shared" si="57"/>
        <v>2024</v>
      </c>
      <c r="Q1053">
        <f t="shared" si="58"/>
        <v>5</v>
      </c>
      <c r="R1053" t="str">
        <f t="shared" si="56"/>
        <v>淘特其他渠道</v>
      </c>
      <c r="S1053" t="s">
        <v>628</v>
      </c>
      <c r="T1053" s="546" t="s">
        <v>804</v>
      </c>
    </row>
    <row r="1054" spans="1:20" x14ac:dyDescent="0.3">
      <c r="A1054" t="s">
        <v>627</v>
      </c>
      <c r="B1054" s="16">
        <v>45429</v>
      </c>
      <c r="C1054" t="s">
        <v>2</v>
      </c>
      <c r="D1054" t="s">
        <v>55</v>
      </c>
      <c r="E1054" t="s">
        <v>54</v>
      </c>
      <c r="F1054" s="15">
        <v>1710</v>
      </c>
      <c r="G1054" s="15">
        <v>1494</v>
      </c>
      <c r="H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6</v>
      </c>
      <c r="O1054">
        <v>658</v>
      </c>
      <c r="P1054">
        <f t="shared" si="57"/>
        <v>2024</v>
      </c>
      <c r="Q1054">
        <f t="shared" si="58"/>
        <v>5</v>
      </c>
      <c r="R1054" t="str">
        <f t="shared" si="56"/>
        <v>超级直播</v>
      </c>
      <c r="S1054" t="s">
        <v>628</v>
      </c>
      <c r="T1054" s="546" t="s">
        <v>804</v>
      </c>
    </row>
    <row r="1055" spans="1:20" x14ac:dyDescent="0.3">
      <c r="A1055" t="s">
        <v>627</v>
      </c>
      <c r="B1055" s="16">
        <v>45429</v>
      </c>
      <c r="C1055" t="s">
        <v>2</v>
      </c>
      <c r="D1055" t="s">
        <v>52</v>
      </c>
      <c r="E1055" t="s">
        <v>53</v>
      </c>
      <c r="F1055" s="15">
        <v>1209</v>
      </c>
      <c r="G1055" s="15">
        <v>1091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 s="15">
        <v>1209</v>
      </c>
      <c r="O1055">
        <v>202</v>
      </c>
      <c r="P1055">
        <f t="shared" si="57"/>
        <v>2024</v>
      </c>
      <c r="Q1055">
        <f t="shared" si="58"/>
        <v>5</v>
      </c>
      <c r="R1055" t="str">
        <f t="shared" si="56"/>
        <v>Showmax</v>
      </c>
      <c r="S1055" t="s">
        <v>628</v>
      </c>
      <c r="T1055" s="546" t="s">
        <v>804</v>
      </c>
    </row>
    <row r="1056" spans="1:20" x14ac:dyDescent="0.3">
      <c r="A1056" t="s">
        <v>627</v>
      </c>
      <c r="B1056" s="16">
        <v>45429</v>
      </c>
      <c r="C1056" t="s">
        <v>2</v>
      </c>
      <c r="D1056" t="s">
        <v>52</v>
      </c>
      <c r="E1056" t="s">
        <v>51</v>
      </c>
      <c r="F1056">
        <v>1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f t="shared" si="57"/>
        <v>2024</v>
      </c>
      <c r="Q1056">
        <f t="shared" si="58"/>
        <v>5</v>
      </c>
      <c r="R1056" t="str">
        <f t="shared" si="56"/>
        <v>品牌定制</v>
      </c>
      <c r="S1056" t="s">
        <v>628</v>
      </c>
      <c r="T1056" s="546" t="s">
        <v>804</v>
      </c>
    </row>
    <row r="1057" spans="1:20" x14ac:dyDescent="0.3">
      <c r="A1057" t="s">
        <v>627</v>
      </c>
      <c r="B1057" s="16">
        <v>45429</v>
      </c>
      <c r="C1057" t="s">
        <v>2</v>
      </c>
      <c r="D1057" t="s">
        <v>52</v>
      </c>
      <c r="E1057" t="s">
        <v>59</v>
      </c>
      <c r="F1057" s="15">
        <v>1487</v>
      </c>
      <c r="G1057" s="15">
        <v>1287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 s="15">
        <v>1487</v>
      </c>
      <c r="O1057">
        <v>334</v>
      </c>
      <c r="P1057">
        <f t="shared" si="57"/>
        <v>2024</v>
      </c>
      <c r="Q1057">
        <f t="shared" si="58"/>
        <v>5</v>
      </c>
      <c r="R1057" t="str">
        <f t="shared" si="56"/>
        <v>品牌特秀</v>
      </c>
      <c r="S1057" t="s">
        <v>628</v>
      </c>
      <c r="T1057" s="546" t="s">
        <v>804</v>
      </c>
    </row>
    <row r="1058" spans="1:20" x14ac:dyDescent="0.3">
      <c r="A1058" t="s">
        <v>627</v>
      </c>
      <c r="B1058" s="16">
        <v>45429</v>
      </c>
      <c r="C1058" t="s">
        <v>2</v>
      </c>
      <c r="D1058" t="s">
        <v>52</v>
      </c>
      <c r="E1058" t="s">
        <v>183</v>
      </c>
      <c r="F1058">
        <v>729</v>
      </c>
      <c r="G1058">
        <v>623</v>
      </c>
      <c r="H1058">
        <v>18</v>
      </c>
      <c r="I1058">
        <v>3</v>
      </c>
      <c r="J1058" s="15">
        <v>8736</v>
      </c>
      <c r="K1058">
        <v>3</v>
      </c>
      <c r="L1058" s="15">
        <v>8736</v>
      </c>
      <c r="M1058">
        <v>3</v>
      </c>
      <c r="N1058">
        <v>729</v>
      </c>
      <c r="O1058">
        <v>368</v>
      </c>
      <c r="P1058">
        <f t="shared" si="57"/>
        <v>2024</v>
      </c>
      <c r="Q1058">
        <f t="shared" si="58"/>
        <v>5</v>
      </c>
      <c r="R1058" t="str">
        <f t="shared" si="56"/>
        <v>品销宝-品牌专区</v>
      </c>
      <c r="S1058" t="s">
        <v>628</v>
      </c>
      <c r="T1058" s="546" t="s">
        <v>804</v>
      </c>
    </row>
    <row r="1059" spans="1:20" x14ac:dyDescent="0.3">
      <c r="A1059" t="s">
        <v>627</v>
      </c>
      <c r="B1059" s="16">
        <v>45429</v>
      </c>
      <c r="C1059" t="s">
        <v>2</v>
      </c>
      <c r="D1059" t="s">
        <v>57</v>
      </c>
      <c r="E1059" t="s">
        <v>65</v>
      </c>
      <c r="F1059" s="15">
        <v>2729</v>
      </c>
      <c r="G1059" s="15">
        <v>2371</v>
      </c>
      <c r="H1059">
        <v>45</v>
      </c>
      <c r="I1059">
        <v>24</v>
      </c>
      <c r="J1059" s="15">
        <v>33623</v>
      </c>
      <c r="K1059">
        <v>10</v>
      </c>
      <c r="L1059" s="15">
        <v>24845</v>
      </c>
      <c r="M1059">
        <v>7</v>
      </c>
      <c r="N1059">
        <v>270</v>
      </c>
      <c r="O1059" s="15">
        <v>2704</v>
      </c>
      <c r="P1059">
        <f t="shared" si="57"/>
        <v>2024</v>
      </c>
      <c r="Q1059">
        <f t="shared" si="58"/>
        <v>5</v>
      </c>
      <c r="R1059" t="str">
        <f t="shared" si="56"/>
        <v>直通车</v>
      </c>
      <c r="S1059" t="s">
        <v>628</v>
      </c>
      <c r="T1059" s="546" t="s">
        <v>804</v>
      </c>
    </row>
    <row r="1060" spans="1:20" x14ac:dyDescent="0.3">
      <c r="A1060" t="s">
        <v>627</v>
      </c>
      <c r="B1060" s="16">
        <v>45429</v>
      </c>
      <c r="C1060" t="s">
        <v>2</v>
      </c>
      <c r="D1060" t="s">
        <v>57</v>
      </c>
      <c r="E1060" t="s">
        <v>63</v>
      </c>
      <c r="F1060" s="15">
        <v>1818</v>
      </c>
      <c r="G1060" s="15">
        <v>1031</v>
      </c>
      <c r="H1060">
        <v>52</v>
      </c>
      <c r="I1060">
        <v>8</v>
      </c>
      <c r="J1060" s="15">
        <v>37735</v>
      </c>
      <c r="K1060">
        <v>11</v>
      </c>
      <c r="L1060" s="15">
        <v>29057</v>
      </c>
      <c r="M1060">
        <v>8</v>
      </c>
      <c r="N1060">
        <v>163</v>
      </c>
      <c r="O1060" s="15">
        <v>1814</v>
      </c>
      <c r="P1060">
        <f t="shared" si="57"/>
        <v>2024</v>
      </c>
      <c r="Q1060">
        <f t="shared" si="58"/>
        <v>5</v>
      </c>
      <c r="R1060" t="str">
        <f t="shared" si="56"/>
        <v>万相台</v>
      </c>
      <c r="S1060" t="s">
        <v>628</v>
      </c>
      <c r="T1060" s="546" t="s">
        <v>804</v>
      </c>
    </row>
    <row r="1061" spans="1:20" x14ac:dyDescent="0.3">
      <c r="A1061" t="s">
        <v>627</v>
      </c>
      <c r="B1061" s="16">
        <v>45429</v>
      </c>
      <c r="C1061" t="s">
        <v>2</v>
      </c>
      <c r="D1061" t="s">
        <v>57</v>
      </c>
      <c r="E1061" t="s">
        <v>64</v>
      </c>
      <c r="F1061" s="15">
        <v>16115</v>
      </c>
      <c r="G1061" s="15">
        <v>9096</v>
      </c>
      <c r="H1061">
        <v>122</v>
      </c>
      <c r="I1061">
        <v>55</v>
      </c>
      <c r="J1061" s="17">
        <v>40828.5</v>
      </c>
      <c r="K1061">
        <v>8</v>
      </c>
      <c r="L1061" s="15">
        <v>16246</v>
      </c>
      <c r="M1061">
        <v>5</v>
      </c>
      <c r="N1061">
        <v>608</v>
      </c>
      <c r="O1061" s="15">
        <v>16113</v>
      </c>
      <c r="P1061">
        <f t="shared" si="57"/>
        <v>2024</v>
      </c>
      <c r="Q1061">
        <f t="shared" si="58"/>
        <v>5</v>
      </c>
      <c r="R1061" t="str">
        <f t="shared" si="56"/>
        <v>引力魔方</v>
      </c>
      <c r="S1061" t="s">
        <v>628</v>
      </c>
      <c r="T1061" s="546" t="s">
        <v>804</v>
      </c>
    </row>
    <row r="1062" spans="1:20" x14ac:dyDescent="0.3">
      <c r="A1062" t="s">
        <v>627</v>
      </c>
      <c r="B1062" s="16">
        <v>45429</v>
      </c>
      <c r="C1062" t="s">
        <v>2</v>
      </c>
      <c r="D1062" t="s">
        <v>4</v>
      </c>
      <c r="E1062" t="s">
        <v>41</v>
      </c>
      <c r="F1062">
        <v>2</v>
      </c>
      <c r="G1062">
        <v>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f t="shared" si="57"/>
        <v>2024</v>
      </c>
      <c r="Q1062">
        <f t="shared" si="58"/>
        <v>5</v>
      </c>
      <c r="R1062" t="str">
        <f t="shared" si="56"/>
        <v>流量宝</v>
      </c>
      <c r="S1062" t="s">
        <v>628</v>
      </c>
      <c r="T1062" s="546" t="s">
        <v>804</v>
      </c>
    </row>
    <row r="1063" spans="1:20" x14ac:dyDescent="0.3">
      <c r="A1063" t="s">
        <v>627</v>
      </c>
      <c r="B1063" s="16">
        <v>45429</v>
      </c>
      <c r="C1063" t="s">
        <v>2</v>
      </c>
      <c r="D1063" t="s">
        <v>4</v>
      </c>
      <c r="E1063" t="s">
        <v>43</v>
      </c>
      <c r="F1063">
        <v>322</v>
      </c>
      <c r="G1063">
        <v>84</v>
      </c>
      <c r="H1063">
        <v>2</v>
      </c>
      <c r="I1063">
        <v>3</v>
      </c>
      <c r="J1063" s="15">
        <v>4374</v>
      </c>
      <c r="K1063">
        <v>2</v>
      </c>
      <c r="L1063" s="15">
        <v>4374</v>
      </c>
      <c r="M1063">
        <v>2</v>
      </c>
      <c r="N1063">
        <v>4</v>
      </c>
      <c r="O1063">
        <v>311</v>
      </c>
      <c r="P1063">
        <f t="shared" si="57"/>
        <v>2024</v>
      </c>
      <c r="Q1063">
        <f t="shared" si="58"/>
        <v>5</v>
      </c>
      <c r="R1063" t="str">
        <f t="shared" si="56"/>
        <v>淘宝客</v>
      </c>
      <c r="S1063" t="s">
        <v>628</v>
      </c>
      <c r="T1063" s="546" t="s">
        <v>804</v>
      </c>
    </row>
    <row r="1064" spans="1:20" x14ac:dyDescent="0.3">
      <c r="A1064" t="s">
        <v>627</v>
      </c>
      <c r="B1064" s="16">
        <v>45430</v>
      </c>
      <c r="C1064" t="s">
        <v>3</v>
      </c>
      <c r="D1064" t="s">
        <v>120</v>
      </c>
      <c r="E1064" t="s">
        <v>163</v>
      </c>
      <c r="F1064">
        <v>86</v>
      </c>
      <c r="G1064">
        <v>44</v>
      </c>
      <c r="H1064">
        <v>1</v>
      </c>
      <c r="I1064">
        <v>0</v>
      </c>
      <c r="J1064" s="15">
        <v>6175</v>
      </c>
      <c r="K1064">
        <v>2</v>
      </c>
      <c r="L1064" s="15">
        <v>6175</v>
      </c>
      <c r="M1064">
        <v>2</v>
      </c>
      <c r="N1064">
        <v>32</v>
      </c>
      <c r="O1064">
        <v>85</v>
      </c>
      <c r="P1064">
        <f t="shared" si="57"/>
        <v>2024</v>
      </c>
      <c r="Q1064">
        <f t="shared" si="58"/>
        <v>5</v>
      </c>
      <c r="R1064" t="str">
        <f t="shared" si="56"/>
        <v>手猫免费其他</v>
      </c>
      <c r="S1064" t="s">
        <v>628</v>
      </c>
      <c r="T1064" s="546" t="s">
        <v>804</v>
      </c>
    </row>
    <row r="1065" spans="1:20" x14ac:dyDescent="0.3">
      <c r="A1065" t="s">
        <v>627</v>
      </c>
      <c r="B1065" s="16">
        <v>45430</v>
      </c>
      <c r="C1065" t="s">
        <v>3</v>
      </c>
      <c r="D1065" t="s">
        <v>120</v>
      </c>
      <c r="E1065" t="s">
        <v>164</v>
      </c>
      <c r="F1065">
        <v>9</v>
      </c>
      <c r="G1065">
        <v>3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9</v>
      </c>
      <c r="P1065">
        <f t="shared" si="57"/>
        <v>2024</v>
      </c>
      <c r="Q1065">
        <f t="shared" si="58"/>
        <v>5</v>
      </c>
      <c r="R1065" t="str">
        <f t="shared" si="56"/>
        <v>手猫其他店铺</v>
      </c>
      <c r="S1065" t="s">
        <v>628</v>
      </c>
      <c r="T1065" s="546" t="s">
        <v>804</v>
      </c>
    </row>
    <row r="1066" spans="1:20" x14ac:dyDescent="0.3">
      <c r="A1066" t="s">
        <v>627</v>
      </c>
      <c r="B1066" s="16">
        <v>45430</v>
      </c>
      <c r="C1066" t="s">
        <v>3</v>
      </c>
      <c r="D1066" t="s">
        <v>120</v>
      </c>
      <c r="E1066" t="s">
        <v>165</v>
      </c>
      <c r="F1066">
        <v>33</v>
      </c>
      <c r="G1066">
        <v>11</v>
      </c>
      <c r="H1066">
        <v>1</v>
      </c>
      <c r="I1066">
        <v>0</v>
      </c>
      <c r="J1066" s="15">
        <v>2438</v>
      </c>
      <c r="K1066">
        <v>1</v>
      </c>
      <c r="L1066" s="15">
        <v>2438</v>
      </c>
      <c r="M1066">
        <v>1</v>
      </c>
      <c r="N1066">
        <v>5</v>
      </c>
      <c r="O1066">
        <v>31</v>
      </c>
      <c r="P1066">
        <f t="shared" si="57"/>
        <v>2024</v>
      </c>
      <c r="Q1066">
        <f t="shared" si="58"/>
        <v>5</v>
      </c>
      <c r="R1066" t="str">
        <f t="shared" si="56"/>
        <v>手猫商品详情</v>
      </c>
      <c r="S1066" t="s">
        <v>628</v>
      </c>
      <c r="T1066" s="546" t="s">
        <v>804</v>
      </c>
    </row>
    <row r="1067" spans="1:20" x14ac:dyDescent="0.3">
      <c r="A1067" t="s">
        <v>627</v>
      </c>
      <c r="B1067" s="16">
        <v>45430</v>
      </c>
      <c r="C1067" t="s">
        <v>3</v>
      </c>
      <c r="D1067" t="s">
        <v>120</v>
      </c>
      <c r="E1067" t="s">
        <v>166</v>
      </c>
      <c r="F1067">
        <v>38</v>
      </c>
      <c r="G1067">
        <v>24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19</v>
      </c>
      <c r="O1067">
        <v>29</v>
      </c>
      <c r="P1067">
        <f t="shared" si="57"/>
        <v>2024</v>
      </c>
      <c r="Q1067">
        <f t="shared" si="58"/>
        <v>5</v>
      </c>
      <c r="R1067" t="str">
        <f t="shared" si="56"/>
        <v>手猫搜索</v>
      </c>
      <c r="S1067" t="s">
        <v>628</v>
      </c>
      <c r="T1067" s="546" t="s">
        <v>804</v>
      </c>
    </row>
    <row r="1068" spans="1:20" x14ac:dyDescent="0.3">
      <c r="A1068" t="s">
        <v>627</v>
      </c>
      <c r="B1068" s="16">
        <v>45430</v>
      </c>
      <c r="C1068" t="s">
        <v>3</v>
      </c>
      <c r="D1068" t="s">
        <v>120</v>
      </c>
      <c r="E1068" t="s">
        <v>167</v>
      </c>
      <c r="F1068">
        <v>2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</v>
      </c>
      <c r="P1068">
        <f t="shared" si="57"/>
        <v>2024</v>
      </c>
      <c r="Q1068">
        <f t="shared" si="58"/>
        <v>5</v>
      </c>
      <c r="R1068" t="str">
        <f t="shared" si="56"/>
        <v>手猫旺信聊天</v>
      </c>
      <c r="S1068" t="s">
        <v>628</v>
      </c>
      <c r="T1068" s="546" t="s">
        <v>804</v>
      </c>
    </row>
    <row r="1069" spans="1:20" x14ac:dyDescent="0.3">
      <c r="A1069" t="s">
        <v>627</v>
      </c>
      <c r="B1069" s="16">
        <v>45430</v>
      </c>
      <c r="C1069" t="s">
        <v>3</v>
      </c>
      <c r="D1069" t="s">
        <v>120</v>
      </c>
      <c r="E1069" t="s">
        <v>168</v>
      </c>
      <c r="F1069">
        <v>452</v>
      </c>
      <c r="G1069">
        <v>300</v>
      </c>
      <c r="H1069">
        <v>1</v>
      </c>
      <c r="I1069">
        <v>0</v>
      </c>
      <c r="J1069" s="15">
        <v>2980</v>
      </c>
      <c r="K1069">
        <v>1</v>
      </c>
      <c r="L1069" s="15">
        <v>2980</v>
      </c>
      <c r="M1069">
        <v>1</v>
      </c>
      <c r="N1069">
        <v>19</v>
      </c>
      <c r="O1069">
        <v>452</v>
      </c>
      <c r="P1069">
        <f t="shared" si="57"/>
        <v>2024</v>
      </c>
      <c r="Q1069">
        <f t="shared" si="58"/>
        <v>5</v>
      </c>
      <c r="R1069" t="str">
        <f t="shared" si="56"/>
        <v>手猫首页</v>
      </c>
      <c r="S1069" t="s">
        <v>628</v>
      </c>
      <c r="T1069" s="546" t="s">
        <v>804</v>
      </c>
    </row>
    <row r="1070" spans="1:20" x14ac:dyDescent="0.3">
      <c r="A1070" t="s">
        <v>627</v>
      </c>
      <c r="B1070" s="16">
        <v>45430</v>
      </c>
      <c r="C1070" t="s">
        <v>3</v>
      </c>
      <c r="D1070" t="s">
        <v>123</v>
      </c>
      <c r="E1070" t="s">
        <v>169</v>
      </c>
      <c r="F1070">
        <v>168</v>
      </c>
      <c r="G1070">
        <v>72</v>
      </c>
      <c r="H1070">
        <v>11</v>
      </c>
      <c r="I1070">
        <v>4</v>
      </c>
      <c r="J1070" s="15">
        <v>8927</v>
      </c>
      <c r="K1070">
        <v>2</v>
      </c>
      <c r="L1070" s="15">
        <v>5582</v>
      </c>
      <c r="M1070">
        <v>2</v>
      </c>
      <c r="N1070">
        <v>54</v>
      </c>
      <c r="O1070">
        <v>156</v>
      </c>
      <c r="P1070">
        <f t="shared" si="57"/>
        <v>2024</v>
      </c>
      <c r="Q1070">
        <f t="shared" si="58"/>
        <v>5</v>
      </c>
      <c r="R1070" t="str">
        <f t="shared" si="56"/>
        <v>商品详情页头图推荐</v>
      </c>
      <c r="S1070" t="s">
        <v>628</v>
      </c>
      <c r="T1070" s="546" t="s">
        <v>804</v>
      </c>
    </row>
    <row r="1071" spans="1:20" x14ac:dyDescent="0.3">
      <c r="A1071" t="s">
        <v>627</v>
      </c>
      <c r="B1071" s="16">
        <v>45430</v>
      </c>
      <c r="C1071" t="s">
        <v>3</v>
      </c>
      <c r="D1071" t="s">
        <v>123</v>
      </c>
      <c r="E1071" t="s">
        <v>170</v>
      </c>
      <c r="F1071">
        <v>31</v>
      </c>
      <c r="G1071">
        <v>17</v>
      </c>
      <c r="H1071">
        <v>3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27</v>
      </c>
      <c r="O1071">
        <v>14</v>
      </c>
      <c r="P1071">
        <f t="shared" si="57"/>
        <v>2024</v>
      </c>
      <c r="Q1071">
        <f t="shared" si="58"/>
        <v>5</v>
      </c>
      <c r="R1071" t="str">
        <f t="shared" si="56"/>
        <v>店铺超链</v>
      </c>
      <c r="S1071" t="s">
        <v>628</v>
      </c>
      <c r="T1071" s="546" t="s">
        <v>804</v>
      </c>
    </row>
    <row r="1072" spans="1:20" x14ac:dyDescent="0.3">
      <c r="A1072" t="s">
        <v>627</v>
      </c>
      <c r="B1072" s="16">
        <v>45430</v>
      </c>
      <c r="C1072" t="s">
        <v>3</v>
      </c>
      <c r="D1072" t="s">
        <v>127</v>
      </c>
      <c r="E1072" t="s">
        <v>171</v>
      </c>
      <c r="F1072">
        <v>223</v>
      </c>
      <c r="G1072">
        <v>127</v>
      </c>
      <c r="H1072">
        <v>9</v>
      </c>
      <c r="I1072">
        <v>3</v>
      </c>
      <c r="J1072" s="15">
        <v>10094</v>
      </c>
      <c r="K1072">
        <v>3</v>
      </c>
      <c r="L1072" s="15">
        <v>6749</v>
      </c>
      <c r="M1072">
        <v>3</v>
      </c>
      <c r="N1072">
        <v>119</v>
      </c>
      <c r="O1072">
        <v>148</v>
      </c>
      <c r="P1072">
        <f t="shared" si="57"/>
        <v>2024</v>
      </c>
      <c r="Q1072">
        <f t="shared" si="58"/>
        <v>5</v>
      </c>
      <c r="R1072" t="str">
        <f t="shared" si="56"/>
        <v>其他猜你喜欢</v>
      </c>
      <c r="S1072" t="s">
        <v>628</v>
      </c>
      <c r="T1072" s="546" t="s">
        <v>804</v>
      </c>
    </row>
    <row r="1073" spans="1:20" x14ac:dyDescent="0.3">
      <c r="A1073" t="s">
        <v>627</v>
      </c>
      <c r="B1073" s="16">
        <v>45430</v>
      </c>
      <c r="C1073" t="s">
        <v>3</v>
      </c>
      <c r="D1073" t="s">
        <v>127</v>
      </c>
      <c r="E1073" t="s">
        <v>172</v>
      </c>
      <c r="F1073">
        <v>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2</v>
      </c>
      <c r="P1073">
        <f t="shared" si="57"/>
        <v>2024</v>
      </c>
      <c r="Q1073">
        <f t="shared" si="58"/>
        <v>5</v>
      </c>
      <c r="R1073" t="str">
        <f t="shared" si="56"/>
        <v>购中推荐</v>
      </c>
      <c r="S1073" t="s">
        <v>628</v>
      </c>
      <c r="T1073" s="546" t="s">
        <v>804</v>
      </c>
    </row>
    <row r="1074" spans="1:20" x14ac:dyDescent="0.3">
      <c r="A1074" t="s">
        <v>627</v>
      </c>
      <c r="B1074" s="16">
        <v>45430</v>
      </c>
      <c r="C1074" t="s">
        <v>3</v>
      </c>
      <c r="D1074" t="s">
        <v>127</v>
      </c>
      <c r="E1074" t="s">
        <v>173</v>
      </c>
      <c r="F1074">
        <v>63</v>
      </c>
      <c r="G1074">
        <v>56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45</v>
      </c>
      <c r="O1074">
        <v>20</v>
      </c>
      <c r="P1074">
        <f t="shared" si="57"/>
        <v>2024</v>
      </c>
      <c r="Q1074">
        <f t="shared" si="58"/>
        <v>5</v>
      </c>
      <c r="R1074" t="str">
        <f t="shared" si="56"/>
        <v>购后推荐</v>
      </c>
      <c r="S1074" t="s">
        <v>628</v>
      </c>
      <c r="T1074" s="546" t="s">
        <v>804</v>
      </c>
    </row>
    <row r="1075" spans="1:20" x14ac:dyDescent="0.3">
      <c r="A1075" t="s">
        <v>627</v>
      </c>
      <c r="B1075" s="16">
        <v>45430</v>
      </c>
      <c r="C1075" t="s">
        <v>3</v>
      </c>
      <c r="D1075" t="s">
        <v>127</v>
      </c>
      <c r="E1075" t="s">
        <v>174</v>
      </c>
      <c r="F1075" s="15">
        <v>1191</v>
      </c>
      <c r="G1075">
        <v>634</v>
      </c>
      <c r="H1075">
        <v>36</v>
      </c>
      <c r="I1075">
        <v>15</v>
      </c>
      <c r="J1075" s="17">
        <v>16045.5</v>
      </c>
      <c r="K1075">
        <v>6</v>
      </c>
      <c r="L1075" s="17">
        <v>9155.5</v>
      </c>
      <c r="M1075">
        <v>4</v>
      </c>
      <c r="N1075">
        <v>112</v>
      </c>
      <c r="O1075" s="15">
        <v>1191</v>
      </c>
      <c r="P1075">
        <f t="shared" si="57"/>
        <v>2024</v>
      </c>
      <c r="Q1075">
        <f t="shared" si="58"/>
        <v>5</v>
      </c>
      <c r="R1075" t="str">
        <f t="shared" si="56"/>
        <v>首页推荐-微详情</v>
      </c>
      <c r="S1075" t="s">
        <v>628</v>
      </c>
      <c r="T1075" s="546" t="s">
        <v>804</v>
      </c>
    </row>
    <row r="1076" spans="1:20" x14ac:dyDescent="0.3">
      <c r="A1076" t="s">
        <v>627</v>
      </c>
      <c r="B1076" s="16">
        <v>45430</v>
      </c>
      <c r="C1076" t="s">
        <v>3</v>
      </c>
      <c r="D1076" t="s">
        <v>127</v>
      </c>
      <c r="E1076" t="s">
        <v>175</v>
      </c>
      <c r="F1076">
        <v>26</v>
      </c>
      <c r="G1076">
        <v>18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3</v>
      </c>
      <c r="P1076">
        <f t="shared" si="57"/>
        <v>2024</v>
      </c>
      <c r="Q1076">
        <f t="shared" si="58"/>
        <v>5</v>
      </c>
      <c r="R1076" t="str">
        <f t="shared" si="56"/>
        <v>首页推荐-直播</v>
      </c>
      <c r="S1076" t="s">
        <v>628</v>
      </c>
      <c r="T1076" s="546" t="s">
        <v>804</v>
      </c>
    </row>
    <row r="1077" spans="1:20" x14ac:dyDescent="0.3">
      <c r="A1077" t="s">
        <v>627</v>
      </c>
      <c r="B1077" s="16">
        <v>45430</v>
      </c>
      <c r="C1077" t="s">
        <v>3</v>
      </c>
      <c r="D1077" t="s">
        <v>127</v>
      </c>
      <c r="E1077" t="s">
        <v>176</v>
      </c>
      <c r="F1077">
        <v>32</v>
      </c>
      <c r="G1077">
        <v>16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f t="shared" si="57"/>
        <v>2024</v>
      </c>
      <c r="Q1077">
        <f t="shared" si="58"/>
        <v>5</v>
      </c>
      <c r="R1077" t="str">
        <f t="shared" si="56"/>
        <v>首页推荐-短视频</v>
      </c>
      <c r="S1077" t="s">
        <v>628</v>
      </c>
      <c r="T1077" s="546" t="s">
        <v>804</v>
      </c>
    </row>
    <row r="1078" spans="1:20" x14ac:dyDescent="0.3">
      <c r="A1078" t="s">
        <v>627</v>
      </c>
      <c r="B1078" s="16">
        <v>45430</v>
      </c>
      <c r="C1078" t="s">
        <v>3</v>
      </c>
      <c r="D1078" t="s">
        <v>128</v>
      </c>
      <c r="E1078" t="s">
        <v>177</v>
      </c>
      <c r="F1078">
        <v>422</v>
      </c>
      <c r="G1078">
        <v>340</v>
      </c>
      <c r="H1078">
        <v>11</v>
      </c>
      <c r="I1078">
        <v>10</v>
      </c>
      <c r="J1078" s="15">
        <v>7814</v>
      </c>
      <c r="K1078">
        <v>3</v>
      </c>
      <c r="L1078" s="15">
        <v>7814</v>
      </c>
      <c r="M1078">
        <v>3</v>
      </c>
      <c r="N1078">
        <v>196</v>
      </c>
      <c r="O1078">
        <v>335</v>
      </c>
      <c r="P1078">
        <f t="shared" si="57"/>
        <v>2024</v>
      </c>
      <c r="Q1078">
        <f t="shared" si="58"/>
        <v>5</v>
      </c>
      <c r="R1078" t="str">
        <f t="shared" si="56"/>
        <v>手淘搜索-商品及其他</v>
      </c>
      <c r="S1078" t="s">
        <v>628</v>
      </c>
      <c r="T1078" s="546" t="s">
        <v>804</v>
      </c>
    </row>
    <row r="1079" spans="1:20" x14ac:dyDescent="0.3">
      <c r="A1079" t="s">
        <v>627</v>
      </c>
      <c r="B1079" s="16">
        <v>45430</v>
      </c>
      <c r="C1079" t="s">
        <v>3</v>
      </c>
      <c r="D1079" t="s">
        <v>128</v>
      </c>
      <c r="E1079" t="s">
        <v>179</v>
      </c>
      <c r="F1079">
        <v>12</v>
      </c>
      <c r="G1079">
        <v>11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3</v>
      </c>
      <c r="O1079">
        <v>3</v>
      </c>
      <c r="P1079">
        <f t="shared" si="57"/>
        <v>2024</v>
      </c>
      <c r="Q1079">
        <f t="shared" si="58"/>
        <v>5</v>
      </c>
      <c r="R1079" t="str">
        <f t="shared" si="56"/>
        <v>手淘搜索-短视频</v>
      </c>
      <c r="S1079" t="s">
        <v>628</v>
      </c>
      <c r="T1079" s="546" t="s">
        <v>804</v>
      </c>
    </row>
    <row r="1080" spans="1:20" x14ac:dyDescent="0.3">
      <c r="A1080" t="s">
        <v>627</v>
      </c>
      <c r="B1080" s="16">
        <v>45430</v>
      </c>
      <c r="C1080" t="s">
        <v>3</v>
      </c>
      <c r="D1080" t="s">
        <v>143</v>
      </c>
      <c r="E1080" t="s">
        <v>180</v>
      </c>
      <c r="F1080">
        <v>7</v>
      </c>
      <c r="G1080">
        <v>7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7</v>
      </c>
      <c r="P1080">
        <f t="shared" si="57"/>
        <v>2024</v>
      </c>
      <c r="Q1080">
        <f t="shared" si="58"/>
        <v>5</v>
      </c>
      <c r="R1080" t="str">
        <f t="shared" si="56"/>
        <v>淘特其他渠道</v>
      </c>
      <c r="S1080" t="s">
        <v>628</v>
      </c>
      <c r="T1080" s="546" t="s">
        <v>804</v>
      </c>
    </row>
    <row r="1081" spans="1:20" x14ac:dyDescent="0.3">
      <c r="A1081" t="s">
        <v>627</v>
      </c>
      <c r="B1081" s="16">
        <v>45430</v>
      </c>
      <c r="C1081" t="s">
        <v>3</v>
      </c>
      <c r="D1081" t="s">
        <v>143</v>
      </c>
      <c r="E1081" t="s">
        <v>181</v>
      </c>
      <c r="F1081">
        <v>1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f t="shared" si="57"/>
        <v>2024</v>
      </c>
      <c r="Q1081">
        <f t="shared" si="58"/>
        <v>5</v>
      </c>
      <c r="R1081" t="str">
        <f t="shared" si="56"/>
        <v>淘特搜索</v>
      </c>
      <c r="S1081" t="s">
        <v>628</v>
      </c>
      <c r="T1081" s="546" t="s">
        <v>804</v>
      </c>
    </row>
    <row r="1082" spans="1:20" x14ac:dyDescent="0.3">
      <c r="A1082" t="s">
        <v>627</v>
      </c>
      <c r="B1082" s="16">
        <v>45430</v>
      </c>
      <c r="C1082" t="s">
        <v>2</v>
      </c>
      <c r="D1082" t="s">
        <v>55</v>
      </c>
      <c r="E1082" t="s">
        <v>54</v>
      </c>
      <c r="F1082">
        <v>8</v>
      </c>
      <c r="G1082">
        <v>8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7</v>
      </c>
      <c r="P1082">
        <f t="shared" si="57"/>
        <v>2024</v>
      </c>
      <c r="Q1082">
        <f t="shared" si="58"/>
        <v>5</v>
      </c>
      <c r="R1082" t="str">
        <f t="shared" si="56"/>
        <v>超级直播</v>
      </c>
      <c r="S1082" t="s">
        <v>628</v>
      </c>
      <c r="T1082" s="546" t="s">
        <v>804</v>
      </c>
    </row>
    <row r="1083" spans="1:20" x14ac:dyDescent="0.3">
      <c r="A1083" t="s">
        <v>627</v>
      </c>
      <c r="B1083" s="16">
        <v>45430</v>
      </c>
      <c r="C1083" t="s">
        <v>2</v>
      </c>
      <c r="D1083" t="s">
        <v>52</v>
      </c>
      <c r="E1083" t="s">
        <v>53</v>
      </c>
      <c r="F1083">
        <v>522</v>
      </c>
      <c r="G1083">
        <v>478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522</v>
      </c>
      <c r="O1083">
        <v>46</v>
      </c>
      <c r="P1083">
        <f t="shared" si="57"/>
        <v>2024</v>
      </c>
      <c r="Q1083">
        <f t="shared" si="58"/>
        <v>5</v>
      </c>
      <c r="R1083" t="str">
        <f t="shared" si="56"/>
        <v>Showmax</v>
      </c>
      <c r="S1083" t="s">
        <v>628</v>
      </c>
      <c r="T1083" s="546" t="s">
        <v>804</v>
      </c>
    </row>
    <row r="1084" spans="1:20" x14ac:dyDescent="0.3">
      <c r="A1084" t="s">
        <v>627</v>
      </c>
      <c r="B1084" s="16">
        <v>45430</v>
      </c>
      <c r="C1084" t="s">
        <v>2</v>
      </c>
      <c r="D1084" t="s">
        <v>52</v>
      </c>
      <c r="E1084" t="s">
        <v>59</v>
      </c>
      <c r="F1084" s="15">
        <v>1299</v>
      </c>
      <c r="G1084" s="15">
        <v>1081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 s="15">
        <v>1299</v>
      </c>
      <c r="O1084">
        <v>273</v>
      </c>
      <c r="P1084">
        <f t="shared" si="57"/>
        <v>2024</v>
      </c>
      <c r="Q1084">
        <f t="shared" si="58"/>
        <v>5</v>
      </c>
      <c r="R1084" t="str">
        <f t="shared" si="56"/>
        <v>品牌特秀</v>
      </c>
      <c r="S1084" t="s">
        <v>628</v>
      </c>
      <c r="T1084" s="546" t="s">
        <v>804</v>
      </c>
    </row>
    <row r="1085" spans="1:20" x14ac:dyDescent="0.3">
      <c r="A1085" t="s">
        <v>627</v>
      </c>
      <c r="B1085" s="16">
        <v>45430</v>
      </c>
      <c r="C1085" t="s">
        <v>2</v>
      </c>
      <c r="D1085" t="s">
        <v>52</v>
      </c>
      <c r="E1085" t="s">
        <v>183</v>
      </c>
      <c r="F1085">
        <v>716</v>
      </c>
      <c r="G1085">
        <v>596</v>
      </c>
      <c r="H1085">
        <v>16</v>
      </c>
      <c r="I1085">
        <v>6</v>
      </c>
      <c r="J1085" s="15">
        <v>4510</v>
      </c>
      <c r="K1085">
        <v>1</v>
      </c>
      <c r="L1085" s="15">
        <v>4510</v>
      </c>
      <c r="M1085">
        <v>1</v>
      </c>
      <c r="N1085">
        <v>716</v>
      </c>
      <c r="O1085">
        <v>393</v>
      </c>
      <c r="P1085">
        <f t="shared" si="57"/>
        <v>2024</v>
      </c>
      <c r="Q1085">
        <f t="shared" si="58"/>
        <v>5</v>
      </c>
      <c r="R1085" t="str">
        <f t="shared" si="56"/>
        <v>品销宝-品牌专区</v>
      </c>
      <c r="S1085" t="s">
        <v>628</v>
      </c>
      <c r="T1085" s="546" t="s">
        <v>804</v>
      </c>
    </row>
    <row r="1086" spans="1:20" x14ac:dyDescent="0.3">
      <c r="A1086" t="s">
        <v>627</v>
      </c>
      <c r="B1086" s="16">
        <v>45430</v>
      </c>
      <c r="C1086" t="s">
        <v>2</v>
      </c>
      <c r="D1086" t="s">
        <v>57</v>
      </c>
      <c r="E1086" t="s">
        <v>65</v>
      </c>
      <c r="F1086" s="15">
        <v>2914</v>
      </c>
      <c r="G1086" s="15">
        <v>2542</v>
      </c>
      <c r="H1086">
        <v>55</v>
      </c>
      <c r="I1086">
        <v>25</v>
      </c>
      <c r="J1086" s="15">
        <v>41941</v>
      </c>
      <c r="K1086">
        <v>10</v>
      </c>
      <c r="L1086" s="15">
        <v>13811</v>
      </c>
      <c r="M1086">
        <v>6</v>
      </c>
      <c r="N1086">
        <v>305</v>
      </c>
      <c r="O1086" s="15">
        <v>2880</v>
      </c>
      <c r="P1086">
        <f t="shared" si="57"/>
        <v>2024</v>
      </c>
      <c r="Q1086">
        <f t="shared" si="58"/>
        <v>5</v>
      </c>
      <c r="R1086" t="str">
        <f t="shared" si="56"/>
        <v>直通车</v>
      </c>
      <c r="S1086" t="s">
        <v>628</v>
      </c>
      <c r="T1086" s="546" t="s">
        <v>804</v>
      </c>
    </row>
    <row r="1087" spans="1:20" x14ac:dyDescent="0.3">
      <c r="A1087" t="s">
        <v>627</v>
      </c>
      <c r="B1087" s="16">
        <v>45430</v>
      </c>
      <c r="C1087" t="s">
        <v>2</v>
      </c>
      <c r="D1087" t="s">
        <v>57</v>
      </c>
      <c r="E1087" t="s">
        <v>63</v>
      </c>
      <c r="F1087" s="15">
        <v>2513</v>
      </c>
      <c r="G1087" s="15">
        <v>1235</v>
      </c>
      <c r="H1087">
        <v>102</v>
      </c>
      <c r="I1087">
        <v>25</v>
      </c>
      <c r="J1087" s="17">
        <v>58282.5</v>
      </c>
      <c r="K1087">
        <v>20</v>
      </c>
      <c r="L1087" s="17">
        <v>52192.5</v>
      </c>
      <c r="M1087">
        <v>19</v>
      </c>
      <c r="N1087">
        <v>228</v>
      </c>
      <c r="O1087" s="15">
        <v>2512</v>
      </c>
      <c r="P1087">
        <f t="shared" si="57"/>
        <v>2024</v>
      </c>
      <c r="Q1087">
        <f t="shared" si="58"/>
        <v>5</v>
      </c>
      <c r="R1087" t="str">
        <f t="shared" si="56"/>
        <v>万相台</v>
      </c>
      <c r="S1087" t="s">
        <v>628</v>
      </c>
      <c r="T1087" s="546" t="s">
        <v>804</v>
      </c>
    </row>
    <row r="1088" spans="1:20" x14ac:dyDescent="0.3">
      <c r="A1088" t="s">
        <v>627</v>
      </c>
      <c r="B1088" s="16">
        <v>45430</v>
      </c>
      <c r="C1088" t="s">
        <v>2</v>
      </c>
      <c r="D1088" t="s">
        <v>57</v>
      </c>
      <c r="E1088" t="s">
        <v>64</v>
      </c>
      <c r="F1088" s="15">
        <v>22213</v>
      </c>
      <c r="G1088" s="15">
        <v>13817</v>
      </c>
      <c r="H1088">
        <v>111</v>
      </c>
      <c r="I1088">
        <v>55</v>
      </c>
      <c r="J1088" s="15">
        <v>50749</v>
      </c>
      <c r="K1088">
        <v>13</v>
      </c>
      <c r="L1088" s="15">
        <v>28037</v>
      </c>
      <c r="M1088">
        <v>9</v>
      </c>
      <c r="N1088">
        <v>640</v>
      </c>
      <c r="O1088" s="15">
        <v>22210</v>
      </c>
      <c r="P1088">
        <f t="shared" si="57"/>
        <v>2024</v>
      </c>
      <c r="Q1088">
        <f t="shared" si="58"/>
        <v>5</v>
      </c>
      <c r="R1088" t="str">
        <f t="shared" si="56"/>
        <v>引力魔方</v>
      </c>
      <c r="S1088" t="s">
        <v>628</v>
      </c>
      <c r="T1088" s="546" t="s">
        <v>804</v>
      </c>
    </row>
    <row r="1089" spans="1:20" x14ac:dyDescent="0.3">
      <c r="A1089" t="s">
        <v>627</v>
      </c>
      <c r="B1089" s="16">
        <v>45430</v>
      </c>
      <c r="C1089" t="s">
        <v>2</v>
      </c>
      <c r="D1089" t="s">
        <v>4</v>
      </c>
      <c r="E1089" t="s">
        <v>41</v>
      </c>
      <c r="F1089">
        <v>5</v>
      </c>
      <c r="G1089">
        <v>3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3</v>
      </c>
      <c r="O1089">
        <v>3</v>
      </c>
      <c r="P1089">
        <f t="shared" si="57"/>
        <v>2024</v>
      </c>
      <c r="Q1089">
        <f t="shared" si="58"/>
        <v>5</v>
      </c>
      <c r="R1089" t="str">
        <f t="shared" si="56"/>
        <v>流量宝</v>
      </c>
      <c r="S1089" t="s">
        <v>628</v>
      </c>
      <c r="T1089" s="546" t="s">
        <v>804</v>
      </c>
    </row>
    <row r="1090" spans="1:20" x14ac:dyDescent="0.3">
      <c r="A1090" t="s">
        <v>627</v>
      </c>
      <c r="B1090" s="16">
        <v>45430</v>
      </c>
      <c r="C1090" t="s">
        <v>2</v>
      </c>
      <c r="D1090" t="s">
        <v>4</v>
      </c>
      <c r="E1090" t="s">
        <v>43</v>
      </c>
      <c r="F1090">
        <v>353</v>
      </c>
      <c r="G1090">
        <v>93</v>
      </c>
      <c r="H1090">
        <v>2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15</v>
      </c>
      <c r="O1090">
        <v>347</v>
      </c>
      <c r="P1090">
        <f t="shared" si="57"/>
        <v>2024</v>
      </c>
      <c r="Q1090">
        <f t="shared" si="58"/>
        <v>5</v>
      </c>
      <c r="R1090" t="str">
        <f t="shared" si="56"/>
        <v>淘宝客</v>
      </c>
      <c r="S1090" t="s">
        <v>628</v>
      </c>
      <c r="T1090" s="546" t="s">
        <v>804</v>
      </c>
    </row>
    <row r="1091" spans="1:20" x14ac:dyDescent="0.3">
      <c r="A1091" t="s">
        <v>627</v>
      </c>
      <c r="B1091" s="16">
        <v>45431</v>
      </c>
      <c r="C1091" t="s">
        <v>3</v>
      </c>
      <c r="D1091" t="s">
        <v>114</v>
      </c>
      <c r="E1091" t="s">
        <v>159</v>
      </c>
      <c r="F1091">
        <v>104</v>
      </c>
      <c r="G1091">
        <v>42</v>
      </c>
      <c r="H1091">
        <v>3</v>
      </c>
      <c r="I1091">
        <v>0</v>
      </c>
      <c r="J1091" s="15">
        <v>2895</v>
      </c>
      <c r="K1091">
        <v>1</v>
      </c>
      <c r="L1091">
        <v>0</v>
      </c>
      <c r="M1091">
        <v>0</v>
      </c>
      <c r="N1091">
        <v>8</v>
      </c>
      <c r="O1091">
        <v>86</v>
      </c>
      <c r="P1091">
        <f t="shared" si="57"/>
        <v>2024</v>
      </c>
      <c r="Q1091">
        <f t="shared" si="58"/>
        <v>5</v>
      </c>
      <c r="R1091" t="str">
        <f t="shared" si="56"/>
        <v>主会场</v>
      </c>
      <c r="S1091" t="s">
        <v>628</v>
      </c>
      <c r="T1091" s="546" t="s">
        <v>804</v>
      </c>
    </row>
    <row r="1092" spans="1:20" x14ac:dyDescent="0.3">
      <c r="A1092" t="s">
        <v>627</v>
      </c>
      <c r="B1092" s="16">
        <v>45431</v>
      </c>
      <c r="C1092" t="s">
        <v>3</v>
      </c>
      <c r="D1092" t="s">
        <v>120</v>
      </c>
      <c r="E1092" t="s">
        <v>162</v>
      </c>
      <c r="F1092">
        <v>1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1</v>
      </c>
      <c r="O1092">
        <v>0</v>
      </c>
      <c r="P1092">
        <f t="shared" si="57"/>
        <v>2024</v>
      </c>
      <c r="Q1092">
        <f t="shared" si="58"/>
        <v>5</v>
      </c>
      <c r="R1092" t="str">
        <f t="shared" si="56"/>
        <v>手机浏览器访问天猫</v>
      </c>
      <c r="S1092" t="s">
        <v>628</v>
      </c>
      <c r="T1092" s="546" t="s">
        <v>804</v>
      </c>
    </row>
    <row r="1093" spans="1:20" x14ac:dyDescent="0.3">
      <c r="A1093" t="s">
        <v>627</v>
      </c>
      <c r="B1093" s="16">
        <v>45431</v>
      </c>
      <c r="C1093" t="s">
        <v>3</v>
      </c>
      <c r="D1093" t="s">
        <v>120</v>
      </c>
      <c r="E1093" t="s">
        <v>163</v>
      </c>
      <c r="F1093">
        <v>96</v>
      </c>
      <c r="G1093">
        <v>55</v>
      </c>
      <c r="H1093">
        <v>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30</v>
      </c>
      <c r="O1093">
        <v>93</v>
      </c>
      <c r="P1093">
        <f t="shared" si="57"/>
        <v>2024</v>
      </c>
      <c r="Q1093">
        <f t="shared" si="58"/>
        <v>5</v>
      </c>
      <c r="R1093" t="str">
        <f t="shared" si="56"/>
        <v>手猫免费其他</v>
      </c>
      <c r="S1093" t="s">
        <v>628</v>
      </c>
      <c r="T1093" s="546" t="s">
        <v>804</v>
      </c>
    </row>
    <row r="1094" spans="1:20" x14ac:dyDescent="0.3">
      <c r="A1094" t="s">
        <v>627</v>
      </c>
      <c r="B1094" s="16">
        <v>45431</v>
      </c>
      <c r="C1094" t="s">
        <v>3</v>
      </c>
      <c r="D1094" t="s">
        <v>120</v>
      </c>
      <c r="E1094" t="s">
        <v>164</v>
      </c>
      <c r="F1094">
        <v>3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3</v>
      </c>
      <c r="P1094">
        <f t="shared" si="57"/>
        <v>2024</v>
      </c>
      <c r="Q1094">
        <f t="shared" si="58"/>
        <v>5</v>
      </c>
      <c r="R1094" t="str">
        <f t="shared" si="56"/>
        <v>手猫其他店铺</v>
      </c>
      <c r="S1094" t="s">
        <v>628</v>
      </c>
      <c r="T1094" s="546" t="s">
        <v>804</v>
      </c>
    </row>
    <row r="1095" spans="1:20" x14ac:dyDescent="0.3">
      <c r="A1095" t="s">
        <v>627</v>
      </c>
      <c r="B1095" s="16">
        <v>45431</v>
      </c>
      <c r="C1095" t="s">
        <v>3</v>
      </c>
      <c r="D1095" t="s">
        <v>120</v>
      </c>
      <c r="E1095" t="s">
        <v>165</v>
      </c>
      <c r="F1095">
        <v>29</v>
      </c>
      <c r="G1095">
        <v>13</v>
      </c>
      <c r="H1095">
        <v>1</v>
      </c>
      <c r="I1095">
        <v>0</v>
      </c>
      <c r="J1095" s="15">
        <v>2438</v>
      </c>
      <c r="K1095">
        <v>1</v>
      </c>
      <c r="L1095" s="15">
        <v>2438</v>
      </c>
      <c r="M1095">
        <v>1</v>
      </c>
      <c r="N1095">
        <v>5</v>
      </c>
      <c r="O1095">
        <v>28</v>
      </c>
      <c r="P1095">
        <f t="shared" si="57"/>
        <v>2024</v>
      </c>
      <c r="Q1095">
        <f t="shared" si="58"/>
        <v>5</v>
      </c>
      <c r="R1095" t="str">
        <f t="shared" ref="R1095:R1158" si="59">E1095</f>
        <v>手猫商品详情</v>
      </c>
      <c r="S1095" t="s">
        <v>628</v>
      </c>
      <c r="T1095" s="546" t="s">
        <v>804</v>
      </c>
    </row>
    <row r="1096" spans="1:20" x14ac:dyDescent="0.3">
      <c r="A1096" t="s">
        <v>627</v>
      </c>
      <c r="B1096" s="16">
        <v>45431</v>
      </c>
      <c r="C1096" t="s">
        <v>3</v>
      </c>
      <c r="D1096" t="s">
        <v>120</v>
      </c>
      <c r="E1096" t="s">
        <v>166</v>
      </c>
      <c r="F1096">
        <v>44</v>
      </c>
      <c r="G1096">
        <v>33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23</v>
      </c>
      <c r="O1096">
        <v>38</v>
      </c>
      <c r="P1096">
        <f t="shared" si="57"/>
        <v>2024</v>
      </c>
      <c r="Q1096">
        <f t="shared" si="58"/>
        <v>5</v>
      </c>
      <c r="R1096" t="str">
        <f t="shared" si="59"/>
        <v>手猫搜索</v>
      </c>
      <c r="S1096" t="s">
        <v>628</v>
      </c>
      <c r="T1096" s="546" t="s">
        <v>804</v>
      </c>
    </row>
    <row r="1097" spans="1:20" x14ac:dyDescent="0.3">
      <c r="A1097" t="s">
        <v>627</v>
      </c>
      <c r="B1097" s="16">
        <v>45431</v>
      </c>
      <c r="C1097" t="s">
        <v>3</v>
      </c>
      <c r="D1097" t="s">
        <v>120</v>
      </c>
      <c r="E1097" t="s">
        <v>167</v>
      </c>
      <c r="F1097">
        <v>3</v>
      </c>
      <c r="G1097">
        <v>2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3</v>
      </c>
      <c r="P1097">
        <f t="shared" si="57"/>
        <v>2024</v>
      </c>
      <c r="Q1097">
        <f t="shared" si="58"/>
        <v>5</v>
      </c>
      <c r="R1097" t="str">
        <f t="shared" si="59"/>
        <v>手猫旺信聊天</v>
      </c>
      <c r="S1097" t="s">
        <v>628</v>
      </c>
      <c r="T1097" s="546" t="s">
        <v>804</v>
      </c>
    </row>
    <row r="1098" spans="1:20" x14ac:dyDescent="0.3">
      <c r="A1098" t="s">
        <v>627</v>
      </c>
      <c r="B1098" s="16">
        <v>45431</v>
      </c>
      <c r="C1098" t="s">
        <v>3</v>
      </c>
      <c r="D1098" t="s">
        <v>120</v>
      </c>
      <c r="E1098" t="s">
        <v>168</v>
      </c>
      <c r="F1098">
        <v>620</v>
      </c>
      <c r="G1098">
        <v>416</v>
      </c>
      <c r="H1098">
        <v>2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18</v>
      </c>
      <c r="O1098">
        <v>620</v>
      </c>
      <c r="P1098">
        <f t="shared" si="57"/>
        <v>2024</v>
      </c>
      <c r="Q1098">
        <f t="shared" si="58"/>
        <v>5</v>
      </c>
      <c r="R1098" t="str">
        <f t="shared" si="59"/>
        <v>手猫首页</v>
      </c>
      <c r="S1098" t="s">
        <v>628</v>
      </c>
      <c r="T1098" s="546" t="s">
        <v>804</v>
      </c>
    </row>
    <row r="1099" spans="1:20" x14ac:dyDescent="0.3">
      <c r="A1099" t="s">
        <v>627</v>
      </c>
      <c r="B1099" s="16">
        <v>45431</v>
      </c>
      <c r="C1099" t="s">
        <v>3</v>
      </c>
      <c r="D1099" t="s">
        <v>123</v>
      </c>
      <c r="E1099" t="s">
        <v>169</v>
      </c>
      <c r="F1099">
        <v>174</v>
      </c>
      <c r="G1099">
        <v>79</v>
      </c>
      <c r="H1099">
        <v>11</v>
      </c>
      <c r="I1099">
        <v>2</v>
      </c>
      <c r="J1099" s="15">
        <v>7815</v>
      </c>
      <c r="K1099">
        <v>3</v>
      </c>
      <c r="L1099" s="15">
        <v>2488</v>
      </c>
      <c r="M1099">
        <v>1</v>
      </c>
      <c r="N1099">
        <v>49</v>
      </c>
      <c r="O1099">
        <v>157</v>
      </c>
      <c r="P1099">
        <f t="shared" si="57"/>
        <v>2024</v>
      </c>
      <c r="Q1099">
        <f t="shared" si="58"/>
        <v>5</v>
      </c>
      <c r="R1099" t="str">
        <f t="shared" si="59"/>
        <v>商品详情页头图推荐</v>
      </c>
      <c r="S1099" t="s">
        <v>628</v>
      </c>
      <c r="T1099" s="546" t="s">
        <v>804</v>
      </c>
    </row>
    <row r="1100" spans="1:20" x14ac:dyDescent="0.3">
      <c r="A1100" t="s">
        <v>627</v>
      </c>
      <c r="B1100" s="16">
        <v>45431</v>
      </c>
      <c r="C1100" t="s">
        <v>3</v>
      </c>
      <c r="D1100" t="s">
        <v>123</v>
      </c>
      <c r="E1100" t="s">
        <v>170</v>
      </c>
      <c r="F1100">
        <v>31</v>
      </c>
      <c r="G1100">
        <v>20</v>
      </c>
      <c r="H1100">
        <v>4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27</v>
      </c>
      <c r="O1100">
        <v>15</v>
      </c>
      <c r="P1100">
        <f t="shared" si="57"/>
        <v>2024</v>
      </c>
      <c r="Q1100">
        <f t="shared" si="58"/>
        <v>5</v>
      </c>
      <c r="R1100" t="str">
        <f t="shared" si="59"/>
        <v>店铺超链</v>
      </c>
      <c r="S1100" t="s">
        <v>628</v>
      </c>
      <c r="T1100" s="546" t="s">
        <v>804</v>
      </c>
    </row>
    <row r="1101" spans="1:20" x14ac:dyDescent="0.3">
      <c r="A1101" t="s">
        <v>627</v>
      </c>
      <c r="B1101" s="16">
        <v>45431</v>
      </c>
      <c r="C1101" t="s">
        <v>3</v>
      </c>
      <c r="D1101" t="s">
        <v>127</v>
      </c>
      <c r="E1101" t="s">
        <v>171</v>
      </c>
      <c r="F1101">
        <v>189</v>
      </c>
      <c r="G1101">
        <v>114</v>
      </c>
      <c r="H1101">
        <v>5</v>
      </c>
      <c r="I1101">
        <v>0</v>
      </c>
      <c r="J1101" s="15">
        <v>2495</v>
      </c>
      <c r="K1101">
        <v>1</v>
      </c>
      <c r="L1101">
        <v>0</v>
      </c>
      <c r="M1101">
        <v>0</v>
      </c>
      <c r="N1101">
        <v>96</v>
      </c>
      <c r="O1101">
        <v>131</v>
      </c>
      <c r="P1101">
        <f t="shared" si="57"/>
        <v>2024</v>
      </c>
      <c r="Q1101">
        <f t="shared" si="58"/>
        <v>5</v>
      </c>
      <c r="R1101" t="str">
        <f t="shared" si="59"/>
        <v>其他猜你喜欢</v>
      </c>
      <c r="S1101" t="s">
        <v>628</v>
      </c>
      <c r="T1101" s="546" t="s">
        <v>804</v>
      </c>
    </row>
    <row r="1102" spans="1:20" x14ac:dyDescent="0.3">
      <c r="A1102" t="s">
        <v>627</v>
      </c>
      <c r="B1102" s="16">
        <v>45431</v>
      </c>
      <c r="C1102" t="s">
        <v>3</v>
      </c>
      <c r="D1102" t="s">
        <v>127</v>
      </c>
      <c r="E1102" t="s">
        <v>172</v>
      </c>
      <c r="F1102">
        <v>6</v>
      </c>
      <c r="G1102">
        <v>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5</v>
      </c>
      <c r="P1102">
        <f t="shared" si="57"/>
        <v>2024</v>
      </c>
      <c r="Q1102">
        <f t="shared" si="58"/>
        <v>5</v>
      </c>
      <c r="R1102" t="str">
        <f t="shared" si="59"/>
        <v>购中推荐</v>
      </c>
      <c r="S1102" t="s">
        <v>628</v>
      </c>
      <c r="T1102" s="546" t="s">
        <v>804</v>
      </c>
    </row>
    <row r="1103" spans="1:20" x14ac:dyDescent="0.3">
      <c r="A1103" t="s">
        <v>627</v>
      </c>
      <c r="B1103" s="16">
        <v>45431</v>
      </c>
      <c r="C1103" t="s">
        <v>3</v>
      </c>
      <c r="D1103" t="s">
        <v>127</v>
      </c>
      <c r="E1103" t="s">
        <v>173</v>
      </c>
      <c r="F1103">
        <v>130</v>
      </c>
      <c r="G1103">
        <v>119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104</v>
      </c>
      <c r="O1103">
        <v>18</v>
      </c>
      <c r="P1103">
        <f t="shared" si="57"/>
        <v>2024</v>
      </c>
      <c r="Q1103">
        <f t="shared" si="58"/>
        <v>5</v>
      </c>
      <c r="R1103" t="str">
        <f t="shared" si="59"/>
        <v>购后推荐</v>
      </c>
      <c r="S1103" t="s">
        <v>628</v>
      </c>
      <c r="T1103" s="546" t="s">
        <v>804</v>
      </c>
    </row>
    <row r="1104" spans="1:20" x14ac:dyDescent="0.3">
      <c r="A1104" t="s">
        <v>627</v>
      </c>
      <c r="B1104" s="16">
        <v>45431</v>
      </c>
      <c r="C1104" t="s">
        <v>3</v>
      </c>
      <c r="D1104" t="s">
        <v>127</v>
      </c>
      <c r="E1104" t="s">
        <v>174</v>
      </c>
      <c r="F1104" s="15">
        <v>1037</v>
      </c>
      <c r="G1104">
        <v>506</v>
      </c>
      <c r="H1104">
        <v>33</v>
      </c>
      <c r="I1104">
        <v>15</v>
      </c>
      <c r="J1104" s="15">
        <v>8165</v>
      </c>
      <c r="K1104">
        <v>3</v>
      </c>
      <c r="L1104" s="15">
        <v>4970</v>
      </c>
      <c r="M1104">
        <v>2</v>
      </c>
      <c r="N1104">
        <v>73</v>
      </c>
      <c r="O1104" s="15">
        <v>1037</v>
      </c>
      <c r="P1104">
        <f t="shared" si="57"/>
        <v>2024</v>
      </c>
      <c r="Q1104">
        <f t="shared" si="58"/>
        <v>5</v>
      </c>
      <c r="R1104" t="str">
        <f t="shared" si="59"/>
        <v>首页推荐-微详情</v>
      </c>
      <c r="S1104" t="s">
        <v>628</v>
      </c>
      <c r="T1104" s="546" t="s">
        <v>804</v>
      </c>
    </row>
    <row r="1105" spans="1:20" x14ac:dyDescent="0.3">
      <c r="A1105" t="s">
        <v>627</v>
      </c>
      <c r="B1105" s="16">
        <v>45431</v>
      </c>
      <c r="C1105" t="s">
        <v>3</v>
      </c>
      <c r="D1105" t="s">
        <v>127</v>
      </c>
      <c r="E1105" t="s">
        <v>175</v>
      </c>
      <c r="F1105" s="15">
        <v>3318</v>
      </c>
      <c r="G1105" s="15">
        <v>3171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1</v>
      </c>
      <c r="O1105">
        <v>5</v>
      </c>
      <c r="P1105">
        <f t="shared" si="57"/>
        <v>2024</v>
      </c>
      <c r="Q1105">
        <f t="shared" si="58"/>
        <v>5</v>
      </c>
      <c r="R1105" t="str">
        <f t="shared" si="59"/>
        <v>首页推荐-直播</v>
      </c>
      <c r="S1105" t="s">
        <v>628</v>
      </c>
      <c r="T1105" s="546" t="s">
        <v>804</v>
      </c>
    </row>
    <row r="1106" spans="1:20" x14ac:dyDescent="0.3">
      <c r="A1106" t="s">
        <v>627</v>
      </c>
      <c r="B1106" s="16">
        <v>45431</v>
      </c>
      <c r="C1106" t="s">
        <v>3</v>
      </c>
      <c r="D1106" t="s">
        <v>127</v>
      </c>
      <c r="E1106" t="s">
        <v>176</v>
      </c>
      <c r="F1106">
        <v>30</v>
      </c>
      <c r="G1106">
        <v>15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f t="shared" si="57"/>
        <v>2024</v>
      </c>
      <c r="Q1106">
        <f t="shared" si="58"/>
        <v>5</v>
      </c>
      <c r="R1106" t="str">
        <f t="shared" si="59"/>
        <v>首页推荐-短视频</v>
      </c>
      <c r="S1106" t="s">
        <v>628</v>
      </c>
      <c r="T1106" s="546" t="s">
        <v>804</v>
      </c>
    </row>
    <row r="1107" spans="1:20" x14ac:dyDescent="0.3">
      <c r="A1107" t="s">
        <v>627</v>
      </c>
      <c r="B1107" s="16">
        <v>45431</v>
      </c>
      <c r="C1107" t="s">
        <v>3</v>
      </c>
      <c r="D1107" t="s">
        <v>128</v>
      </c>
      <c r="E1107" t="s">
        <v>177</v>
      </c>
      <c r="F1107">
        <v>520</v>
      </c>
      <c r="G1107">
        <v>384</v>
      </c>
      <c r="H1107">
        <v>23</v>
      </c>
      <c r="I1107">
        <v>1</v>
      </c>
      <c r="J1107" s="17">
        <v>4584.5</v>
      </c>
      <c r="K1107">
        <v>2</v>
      </c>
      <c r="L1107" s="15">
        <v>2237</v>
      </c>
      <c r="M1107">
        <v>1</v>
      </c>
      <c r="N1107">
        <v>202</v>
      </c>
      <c r="O1107">
        <v>392</v>
      </c>
      <c r="P1107">
        <f t="shared" si="57"/>
        <v>2024</v>
      </c>
      <c r="Q1107">
        <f t="shared" si="58"/>
        <v>5</v>
      </c>
      <c r="R1107" t="str">
        <f t="shared" si="59"/>
        <v>手淘搜索-商品及其他</v>
      </c>
      <c r="S1107" t="s">
        <v>628</v>
      </c>
      <c r="T1107" s="546" t="s">
        <v>804</v>
      </c>
    </row>
    <row r="1108" spans="1:20" x14ac:dyDescent="0.3">
      <c r="A1108" t="s">
        <v>627</v>
      </c>
      <c r="B1108" s="16">
        <v>45431</v>
      </c>
      <c r="C1108" t="s">
        <v>3</v>
      </c>
      <c r="D1108" t="s">
        <v>128</v>
      </c>
      <c r="E1108" t="s">
        <v>178</v>
      </c>
      <c r="F1108">
        <v>6</v>
      </c>
      <c r="G1108">
        <v>5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1</v>
      </c>
      <c r="P1108">
        <f t="shared" si="57"/>
        <v>2024</v>
      </c>
      <c r="Q1108">
        <f t="shared" si="58"/>
        <v>5</v>
      </c>
      <c r="R1108" t="str">
        <f t="shared" si="59"/>
        <v>手淘搜索-直播</v>
      </c>
      <c r="S1108" t="s">
        <v>628</v>
      </c>
      <c r="T1108" s="546" t="s">
        <v>804</v>
      </c>
    </row>
    <row r="1109" spans="1:20" x14ac:dyDescent="0.3">
      <c r="A1109" t="s">
        <v>627</v>
      </c>
      <c r="B1109" s="16">
        <v>45431</v>
      </c>
      <c r="C1109" t="s">
        <v>3</v>
      </c>
      <c r="D1109" t="s">
        <v>128</v>
      </c>
      <c r="E1109" t="s">
        <v>179</v>
      </c>
      <c r="F1109">
        <v>8</v>
      </c>
      <c r="G1109">
        <v>4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f t="shared" ref="P1109:P1172" si="60">YEAR(B1109)</f>
        <v>2024</v>
      </c>
      <c r="Q1109">
        <f t="shared" ref="Q1109:Q1172" si="61">MONTH(B1109)</f>
        <v>5</v>
      </c>
      <c r="R1109" t="str">
        <f t="shared" si="59"/>
        <v>手淘搜索-短视频</v>
      </c>
      <c r="S1109" t="s">
        <v>628</v>
      </c>
      <c r="T1109" s="546" t="s">
        <v>804</v>
      </c>
    </row>
    <row r="1110" spans="1:20" x14ac:dyDescent="0.3">
      <c r="A1110" t="s">
        <v>627</v>
      </c>
      <c r="B1110" s="16">
        <v>45431</v>
      </c>
      <c r="C1110" t="s">
        <v>3</v>
      </c>
      <c r="D1110" t="s">
        <v>143</v>
      </c>
      <c r="E1110" t="s">
        <v>180</v>
      </c>
      <c r="F1110">
        <v>12</v>
      </c>
      <c r="G1110">
        <v>12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12</v>
      </c>
      <c r="P1110">
        <f t="shared" si="60"/>
        <v>2024</v>
      </c>
      <c r="Q1110">
        <f t="shared" si="61"/>
        <v>5</v>
      </c>
      <c r="R1110" t="str">
        <f t="shared" si="59"/>
        <v>淘特其他渠道</v>
      </c>
      <c r="S1110" t="s">
        <v>628</v>
      </c>
      <c r="T1110" s="546" t="s">
        <v>804</v>
      </c>
    </row>
    <row r="1111" spans="1:20" x14ac:dyDescent="0.3">
      <c r="A1111" t="s">
        <v>627</v>
      </c>
      <c r="B1111" s="16">
        <v>45431</v>
      </c>
      <c r="C1111" t="s">
        <v>3</v>
      </c>
      <c r="D1111" t="s">
        <v>143</v>
      </c>
      <c r="E1111" t="s">
        <v>181</v>
      </c>
      <c r="F1111">
        <v>1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</v>
      </c>
      <c r="P1111">
        <f t="shared" si="60"/>
        <v>2024</v>
      </c>
      <c r="Q1111">
        <f t="shared" si="61"/>
        <v>5</v>
      </c>
      <c r="R1111" t="str">
        <f t="shared" si="59"/>
        <v>淘特搜索</v>
      </c>
      <c r="S1111" t="s">
        <v>628</v>
      </c>
      <c r="T1111" s="546" t="s">
        <v>804</v>
      </c>
    </row>
    <row r="1112" spans="1:20" x14ac:dyDescent="0.3">
      <c r="A1112" t="s">
        <v>627</v>
      </c>
      <c r="B1112" s="16">
        <v>45431</v>
      </c>
      <c r="C1112" t="s">
        <v>2</v>
      </c>
      <c r="D1112" t="s">
        <v>55</v>
      </c>
      <c r="E1112" t="s">
        <v>54</v>
      </c>
      <c r="F1112" s="15">
        <v>2739</v>
      </c>
      <c r="G1112" s="15">
        <v>2441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6</v>
      </c>
      <c r="O1112">
        <v>758</v>
      </c>
      <c r="P1112">
        <f t="shared" si="60"/>
        <v>2024</v>
      </c>
      <c r="Q1112">
        <f t="shared" si="61"/>
        <v>5</v>
      </c>
      <c r="R1112" t="str">
        <f t="shared" si="59"/>
        <v>超级直播</v>
      </c>
      <c r="S1112" t="s">
        <v>628</v>
      </c>
      <c r="T1112" s="546" t="s">
        <v>804</v>
      </c>
    </row>
    <row r="1113" spans="1:20" x14ac:dyDescent="0.3">
      <c r="A1113" t="s">
        <v>627</v>
      </c>
      <c r="B1113" s="16">
        <v>45431</v>
      </c>
      <c r="C1113" t="s">
        <v>2</v>
      </c>
      <c r="D1113" t="s">
        <v>52</v>
      </c>
      <c r="E1113" t="s">
        <v>53</v>
      </c>
      <c r="F1113">
        <v>875</v>
      </c>
      <c r="G1113">
        <v>751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875</v>
      </c>
      <c r="O1113">
        <v>150</v>
      </c>
      <c r="P1113">
        <f t="shared" si="60"/>
        <v>2024</v>
      </c>
      <c r="Q1113">
        <f t="shared" si="61"/>
        <v>5</v>
      </c>
      <c r="R1113" t="str">
        <f t="shared" si="59"/>
        <v>Showmax</v>
      </c>
      <c r="S1113" t="s">
        <v>628</v>
      </c>
      <c r="T1113" s="546" t="s">
        <v>804</v>
      </c>
    </row>
    <row r="1114" spans="1:20" x14ac:dyDescent="0.3">
      <c r="A1114" t="s">
        <v>627</v>
      </c>
      <c r="B1114" s="16">
        <v>45431</v>
      </c>
      <c r="C1114" t="s">
        <v>2</v>
      </c>
      <c r="D1114" t="s">
        <v>52</v>
      </c>
      <c r="E1114" t="s">
        <v>59</v>
      </c>
      <c r="F1114" s="15">
        <v>1323</v>
      </c>
      <c r="G1114" s="15">
        <v>1107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 s="15">
        <v>1323</v>
      </c>
      <c r="O1114">
        <v>316</v>
      </c>
      <c r="P1114">
        <f t="shared" si="60"/>
        <v>2024</v>
      </c>
      <c r="Q1114">
        <f t="shared" si="61"/>
        <v>5</v>
      </c>
      <c r="R1114" t="str">
        <f t="shared" si="59"/>
        <v>品牌特秀</v>
      </c>
      <c r="S1114" t="s">
        <v>628</v>
      </c>
      <c r="T1114" s="546" t="s">
        <v>804</v>
      </c>
    </row>
    <row r="1115" spans="1:20" x14ac:dyDescent="0.3">
      <c r="A1115" t="s">
        <v>627</v>
      </c>
      <c r="B1115" s="16">
        <v>45431</v>
      </c>
      <c r="C1115" t="s">
        <v>2</v>
      </c>
      <c r="D1115" t="s">
        <v>52</v>
      </c>
      <c r="E1115" t="s">
        <v>183</v>
      </c>
      <c r="F1115">
        <v>699</v>
      </c>
      <c r="G1115">
        <v>579</v>
      </c>
      <c r="H1115">
        <v>8</v>
      </c>
      <c r="I1115">
        <v>4</v>
      </c>
      <c r="J1115" s="17">
        <v>9242.5</v>
      </c>
      <c r="K1115">
        <v>2</v>
      </c>
      <c r="L1115">
        <v>0</v>
      </c>
      <c r="M1115">
        <v>0</v>
      </c>
      <c r="N1115">
        <v>699</v>
      </c>
      <c r="O1115">
        <v>367</v>
      </c>
      <c r="P1115">
        <f t="shared" si="60"/>
        <v>2024</v>
      </c>
      <c r="Q1115">
        <f t="shared" si="61"/>
        <v>5</v>
      </c>
      <c r="R1115" t="str">
        <f t="shared" si="59"/>
        <v>品销宝-品牌专区</v>
      </c>
      <c r="S1115" t="s">
        <v>628</v>
      </c>
      <c r="T1115" s="546" t="s">
        <v>804</v>
      </c>
    </row>
    <row r="1116" spans="1:20" x14ac:dyDescent="0.3">
      <c r="A1116" t="s">
        <v>627</v>
      </c>
      <c r="B1116" s="16">
        <v>45431</v>
      </c>
      <c r="C1116" t="s">
        <v>2</v>
      </c>
      <c r="D1116" t="s">
        <v>57</v>
      </c>
      <c r="E1116" t="s">
        <v>65</v>
      </c>
      <c r="F1116" s="15">
        <v>4396</v>
      </c>
      <c r="G1116" s="15">
        <v>3823</v>
      </c>
      <c r="H1116">
        <v>61</v>
      </c>
      <c r="I1116">
        <v>26</v>
      </c>
      <c r="J1116" s="17">
        <v>89880.5</v>
      </c>
      <c r="K1116">
        <v>11</v>
      </c>
      <c r="L1116" s="15">
        <v>9456</v>
      </c>
      <c r="M1116">
        <v>4</v>
      </c>
      <c r="N1116">
        <v>417</v>
      </c>
      <c r="O1116" s="15">
        <v>4337</v>
      </c>
      <c r="P1116">
        <f t="shared" si="60"/>
        <v>2024</v>
      </c>
      <c r="Q1116">
        <f t="shared" si="61"/>
        <v>5</v>
      </c>
      <c r="R1116" t="str">
        <f t="shared" si="59"/>
        <v>直通车</v>
      </c>
      <c r="S1116" t="s">
        <v>628</v>
      </c>
      <c r="T1116" s="546" t="s">
        <v>804</v>
      </c>
    </row>
    <row r="1117" spans="1:20" x14ac:dyDescent="0.3">
      <c r="A1117" t="s">
        <v>627</v>
      </c>
      <c r="B1117" s="16">
        <v>45431</v>
      </c>
      <c r="C1117" t="s">
        <v>2</v>
      </c>
      <c r="D1117" t="s">
        <v>57</v>
      </c>
      <c r="E1117" t="s">
        <v>63</v>
      </c>
      <c r="F1117" s="15">
        <v>3220</v>
      </c>
      <c r="G1117" s="15">
        <v>1683</v>
      </c>
      <c r="H1117">
        <v>105</v>
      </c>
      <c r="I1117">
        <v>22</v>
      </c>
      <c r="J1117" s="15">
        <v>37001</v>
      </c>
      <c r="K1117">
        <v>13</v>
      </c>
      <c r="L1117" s="15">
        <v>17016</v>
      </c>
      <c r="M1117">
        <v>8</v>
      </c>
      <c r="N1117">
        <v>278</v>
      </c>
      <c r="O1117" s="15">
        <v>3214</v>
      </c>
      <c r="P1117">
        <f t="shared" si="60"/>
        <v>2024</v>
      </c>
      <c r="Q1117">
        <f t="shared" si="61"/>
        <v>5</v>
      </c>
      <c r="R1117" t="str">
        <f t="shared" si="59"/>
        <v>万相台</v>
      </c>
      <c r="S1117" t="s">
        <v>628</v>
      </c>
      <c r="T1117" s="546" t="s">
        <v>804</v>
      </c>
    </row>
    <row r="1118" spans="1:20" x14ac:dyDescent="0.3">
      <c r="A1118" t="s">
        <v>627</v>
      </c>
      <c r="B1118" s="16">
        <v>45431</v>
      </c>
      <c r="C1118" t="s">
        <v>2</v>
      </c>
      <c r="D1118" t="s">
        <v>57</v>
      </c>
      <c r="E1118" t="s">
        <v>64</v>
      </c>
      <c r="F1118" s="15">
        <v>21023</v>
      </c>
      <c r="G1118" s="15">
        <v>12954</v>
      </c>
      <c r="H1118">
        <v>91</v>
      </c>
      <c r="I1118">
        <v>66</v>
      </c>
      <c r="J1118" s="15">
        <v>18193</v>
      </c>
      <c r="K1118">
        <v>7</v>
      </c>
      <c r="L1118" s="15">
        <v>8784</v>
      </c>
      <c r="M1118">
        <v>4</v>
      </c>
      <c r="N1118">
        <v>577</v>
      </c>
      <c r="O1118" s="15">
        <v>21014</v>
      </c>
      <c r="P1118">
        <f t="shared" si="60"/>
        <v>2024</v>
      </c>
      <c r="Q1118">
        <f t="shared" si="61"/>
        <v>5</v>
      </c>
      <c r="R1118" t="str">
        <f t="shared" si="59"/>
        <v>引力魔方</v>
      </c>
      <c r="S1118" t="s">
        <v>628</v>
      </c>
      <c r="T1118" s="546" t="s">
        <v>804</v>
      </c>
    </row>
    <row r="1119" spans="1:20" x14ac:dyDescent="0.3">
      <c r="A1119" t="s">
        <v>627</v>
      </c>
      <c r="B1119" s="16">
        <v>45431</v>
      </c>
      <c r="C1119" t="s">
        <v>2</v>
      </c>
      <c r="D1119" t="s">
        <v>4</v>
      </c>
      <c r="E1119" t="s">
        <v>41</v>
      </c>
      <c r="F1119">
        <v>6</v>
      </c>
      <c r="G1119">
        <v>3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4</v>
      </c>
      <c r="P1119">
        <f t="shared" si="60"/>
        <v>2024</v>
      </c>
      <c r="Q1119">
        <f t="shared" si="61"/>
        <v>5</v>
      </c>
      <c r="R1119" t="str">
        <f t="shared" si="59"/>
        <v>流量宝</v>
      </c>
      <c r="S1119" t="s">
        <v>628</v>
      </c>
      <c r="T1119" s="546" t="s">
        <v>804</v>
      </c>
    </row>
    <row r="1120" spans="1:20" x14ac:dyDescent="0.3">
      <c r="A1120" t="s">
        <v>627</v>
      </c>
      <c r="B1120" s="16">
        <v>45431</v>
      </c>
      <c r="C1120" t="s">
        <v>2</v>
      </c>
      <c r="D1120" t="s">
        <v>4</v>
      </c>
      <c r="E1120" t="s">
        <v>43</v>
      </c>
      <c r="F1120">
        <v>375</v>
      </c>
      <c r="G1120">
        <v>110</v>
      </c>
      <c r="H1120">
        <v>0</v>
      </c>
      <c r="I1120">
        <v>0</v>
      </c>
      <c r="J1120" s="15">
        <v>2995</v>
      </c>
      <c r="K1120">
        <v>1</v>
      </c>
      <c r="L1120">
        <v>0</v>
      </c>
      <c r="M1120">
        <v>0</v>
      </c>
      <c r="N1120">
        <v>15</v>
      </c>
      <c r="O1120">
        <v>357</v>
      </c>
      <c r="P1120">
        <f t="shared" si="60"/>
        <v>2024</v>
      </c>
      <c r="Q1120">
        <f t="shared" si="61"/>
        <v>5</v>
      </c>
      <c r="R1120" t="str">
        <f t="shared" si="59"/>
        <v>淘宝客</v>
      </c>
      <c r="S1120" t="s">
        <v>628</v>
      </c>
      <c r="T1120" s="546" t="s">
        <v>804</v>
      </c>
    </row>
    <row r="1121" spans="1:20" x14ac:dyDescent="0.3">
      <c r="A1121" t="s">
        <v>627</v>
      </c>
      <c r="B1121" s="16">
        <v>45432</v>
      </c>
      <c r="C1121" t="s">
        <v>3</v>
      </c>
      <c r="D1121" t="s">
        <v>114</v>
      </c>
      <c r="E1121" t="s">
        <v>159</v>
      </c>
      <c r="F1121">
        <v>108</v>
      </c>
      <c r="G1121">
        <v>50</v>
      </c>
      <c r="H1121">
        <v>4</v>
      </c>
      <c r="I1121">
        <v>5</v>
      </c>
      <c r="J1121">
        <v>0</v>
      </c>
      <c r="K1121">
        <v>0</v>
      </c>
      <c r="L1121">
        <v>0</v>
      </c>
      <c r="M1121">
        <v>0</v>
      </c>
      <c r="N1121">
        <v>18</v>
      </c>
      <c r="O1121">
        <v>92</v>
      </c>
      <c r="P1121">
        <f t="shared" si="60"/>
        <v>2024</v>
      </c>
      <c r="Q1121">
        <f t="shared" si="61"/>
        <v>5</v>
      </c>
      <c r="R1121" t="str">
        <f t="shared" si="59"/>
        <v>主会场</v>
      </c>
      <c r="S1121" t="s">
        <v>628</v>
      </c>
      <c r="T1121" s="546" t="s">
        <v>804</v>
      </c>
    </row>
    <row r="1122" spans="1:20" x14ac:dyDescent="0.3">
      <c r="A1122" t="s">
        <v>627</v>
      </c>
      <c r="B1122" s="16">
        <v>45432</v>
      </c>
      <c r="C1122" t="s">
        <v>3</v>
      </c>
      <c r="D1122" t="s">
        <v>120</v>
      </c>
      <c r="E1122" t="s">
        <v>162</v>
      </c>
      <c r="F1122">
        <v>3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3</v>
      </c>
      <c r="P1122">
        <f t="shared" si="60"/>
        <v>2024</v>
      </c>
      <c r="Q1122">
        <f t="shared" si="61"/>
        <v>5</v>
      </c>
      <c r="R1122" t="str">
        <f t="shared" si="59"/>
        <v>手机浏览器访问天猫</v>
      </c>
      <c r="S1122" t="s">
        <v>628</v>
      </c>
      <c r="T1122" s="546" t="s">
        <v>804</v>
      </c>
    </row>
    <row r="1123" spans="1:20" x14ac:dyDescent="0.3">
      <c r="A1123" t="s">
        <v>627</v>
      </c>
      <c r="B1123" s="16">
        <v>45432</v>
      </c>
      <c r="C1123" t="s">
        <v>3</v>
      </c>
      <c r="D1123" t="s">
        <v>120</v>
      </c>
      <c r="E1123" t="s">
        <v>163</v>
      </c>
      <c r="F1123">
        <v>116</v>
      </c>
      <c r="G1123">
        <v>66</v>
      </c>
      <c r="H1123">
        <v>5</v>
      </c>
      <c r="I1123">
        <v>0</v>
      </c>
      <c r="J1123" s="17">
        <v>22116.5</v>
      </c>
      <c r="K1123">
        <v>5</v>
      </c>
      <c r="L1123" s="17">
        <v>22116.5</v>
      </c>
      <c r="M1123">
        <v>5</v>
      </c>
      <c r="N1123">
        <v>35</v>
      </c>
      <c r="O1123">
        <v>116</v>
      </c>
      <c r="P1123">
        <f t="shared" si="60"/>
        <v>2024</v>
      </c>
      <c r="Q1123">
        <f t="shared" si="61"/>
        <v>5</v>
      </c>
      <c r="R1123" t="str">
        <f t="shared" si="59"/>
        <v>手猫免费其他</v>
      </c>
      <c r="S1123" t="s">
        <v>628</v>
      </c>
      <c r="T1123" s="546" t="s">
        <v>804</v>
      </c>
    </row>
    <row r="1124" spans="1:20" x14ac:dyDescent="0.3">
      <c r="A1124" t="s">
        <v>627</v>
      </c>
      <c r="B1124" s="16">
        <v>45432</v>
      </c>
      <c r="C1124" t="s">
        <v>3</v>
      </c>
      <c r="D1124" t="s">
        <v>120</v>
      </c>
      <c r="E1124" t="s">
        <v>164</v>
      </c>
      <c r="F1124">
        <v>6</v>
      </c>
      <c r="G1124">
        <v>4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6</v>
      </c>
      <c r="P1124">
        <f t="shared" si="60"/>
        <v>2024</v>
      </c>
      <c r="Q1124">
        <f t="shared" si="61"/>
        <v>5</v>
      </c>
      <c r="R1124" t="str">
        <f t="shared" si="59"/>
        <v>手猫其他店铺</v>
      </c>
      <c r="S1124" t="s">
        <v>628</v>
      </c>
      <c r="T1124" s="546" t="s">
        <v>804</v>
      </c>
    </row>
    <row r="1125" spans="1:20" x14ac:dyDescent="0.3">
      <c r="A1125" t="s">
        <v>627</v>
      </c>
      <c r="B1125" s="16">
        <v>45432</v>
      </c>
      <c r="C1125" t="s">
        <v>3</v>
      </c>
      <c r="D1125" t="s">
        <v>120</v>
      </c>
      <c r="E1125" t="s">
        <v>165</v>
      </c>
      <c r="F1125">
        <v>39</v>
      </c>
      <c r="G1125">
        <v>16</v>
      </c>
      <c r="H1125">
        <v>0</v>
      </c>
      <c r="I1125">
        <v>0</v>
      </c>
      <c r="J1125" s="17">
        <v>4324.01</v>
      </c>
      <c r="K1125">
        <v>2</v>
      </c>
      <c r="L1125" s="17">
        <v>2094.0100000000002</v>
      </c>
      <c r="M1125">
        <v>1</v>
      </c>
      <c r="N1125">
        <v>5</v>
      </c>
      <c r="O1125">
        <v>37</v>
      </c>
      <c r="P1125">
        <f t="shared" si="60"/>
        <v>2024</v>
      </c>
      <c r="Q1125">
        <f t="shared" si="61"/>
        <v>5</v>
      </c>
      <c r="R1125" t="str">
        <f t="shared" si="59"/>
        <v>手猫商品详情</v>
      </c>
      <c r="S1125" t="s">
        <v>628</v>
      </c>
      <c r="T1125" s="546" t="s">
        <v>804</v>
      </c>
    </row>
    <row r="1126" spans="1:20" x14ac:dyDescent="0.3">
      <c r="A1126" t="s">
        <v>627</v>
      </c>
      <c r="B1126" s="16">
        <v>45432</v>
      </c>
      <c r="C1126" t="s">
        <v>3</v>
      </c>
      <c r="D1126" t="s">
        <v>120</v>
      </c>
      <c r="E1126" t="s">
        <v>166</v>
      </c>
      <c r="F1126">
        <v>49</v>
      </c>
      <c r="G1126">
        <v>29</v>
      </c>
      <c r="H1126">
        <v>0</v>
      </c>
      <c r="I1126">
        <v>0</v>
      </c>
      <c r="J1126" s="15">
        <v>5666</v>
      </c>
      <c r="K1126">
        <v>2</v>
      </c>
      <c r="L1126" s="15">
        <v>5666</v>
      </c>
      <c r="M1126">
        <v>2</v>
      </c>
      <c r="N1126">
        <v>16</v>
      </c>
      <c r="O1126">
        <v>46</v>
      </c>
      <c r="P1126">
        <f t="shared" si="60"/>
        <v>2024</v>
      </c>
      <c r="Q1126">
        <f t="shared" si="61"/>
        <v>5</v>
      </c>
      <c r="R1126" t="str">
        <f t="shared" si="59"/>
        <v>手猫搜索</v>
      </c>
      <c r="S1126" t="s">
        <v>628</v>
      </c>
      <c r="T1126" s="546" t="s">
        <v>804</v>
      </c>
    </row>
    <row r="1127" spans="1:20" x14ac:dyDescent="0.3">
      <c r="A1127" t="s">
        <v>627</v>
      </c>
      <c r="B1127" s="16">
        <v>45432</v>
      </c>
      <c r="C1127" t="s">
        <v>3</v>
      </c>
      <c r="D1127" t="s">
        <v>120</v>
      </c>
      <c r="E1127" t="s">
        <v>167</v>
      </c>
      <c r="F1127">
        <v>3</v>
      </c>
      <c r="G1127">
        <v>0</v>
      </c>
      <c r="H1127">
        <v>0</v>
      </c>
      <c r="I1127">
        <v>0</v>
      </c>
      <c r="J1127" s="15">
        <v>1680</v>
      </c>
      <c r="K1127">
        <v>1</v>
      </c>
      <c r="L1127" s="15">
        <v>1680</v>
      </c>
      <c r="M1127">
        <v>1</v>
      </c>
      <c r="N1127">
        <v>2</v>
      </c>
      <c r="O1127">
        <v>2</v>
      </c>
      <c r="P1127">
        <f t="shared" si="60"/>
        <v>2024</v>
      </c>
      <c r="Q1127">
        <f t="shared" si="61"/>
        <v>5</v>
      </c>
      <c r="R1127" t="str">
        <f t="shared" si="59"/>
        <v>手猫旺信聊天</v>
      </c>
      <c r="S1127" t="s">
        <v>628</v>
      </c>
      <c r="T1127" s="546" t="s">
        <v>804</v>
      </c>
    </row>
    <row r="1128" spans="1:20" x14ac:dyDescent="0.3">
      <c r="A1128" t="s">
        <v>627</v>
      </c>
      <c r="B1128" s="16">
        <v>45432</v>
      </c>
      <c r="C1128" t="s">
        <v>3</v>
      </c>
      <c r="D1128" t="s">
        <v>120</v>
      </c>
      <c r="E1128" t="s">
        <v>168</v>
      </c>
      <c r="F1128">
        <v>613</v>
      </c>
      <c r="G1128">
        <v>410</v>
      </c>
      <c r="H1128">
        <v>1</v>
      </c>
      <c r="I1128">
        <v>0</v>
      </c>
      <c r="J1128" s="17">
        <v>7350.5</v>
      </c>
      <c r="K1128">
        <v>3</v>
      </c>
      <c r="L1128" s="17">
        <v>7350.5</v>
      </c>
      <c r="M1128">
        <v>3</v>
      </c>
      <c r="N1128">
        <v>13</v>
      </c>
      <c r="O1128">
        <v>613</v>
      </c>
      <c r="P1128">
        <f t="shared" si="60"/>
        <v>2024</v>
      </c>
      <c r="Q1128">
        <f t="shared" si="61"/>
        <v>5</v>
      </c>
      <c r="R1128" t="str">
        <f t="shared" si="59"/>
        <v>手猫首页</v>
      </c>
      <c r="S1128" t="s">
        <v>628</v>
      </c>
      <c r="T1128" s="546" t="s">
        <v>804</v>
      </c>
    </row>
    <row r="1129" spans="1:20" x14ac:dyDescent="0.3">
      <c r="A1129" t="s">
        <v>627</v>
      </c>
      <c r="B1129" s="16">
        <v>45432</v>
      </c>
      <c r="C1129" t="s">
        <v>3</v>
      </c>
      <c r="D1129" t="s">
        <v>123</v>
      </c>
      <c r="E1129" t="s">
        <v>169</v>
      </c>
      <c r="F1129">
        <v>232</v>
      </c>
      <c r="G1129">
        <v>98</v>
      </c>
      <c r="H1129">
        <v>18</v>
      </c>
      <c r="I1129">
        <v>1</v>
      </c>
      <c r="J1129" s="17">
        <v>18248.63</v>
      </c>
      <c r="K1129">
        <v>6</v>
      </c>
      <c r="L1129" s="17">
        <v>18248.63</v>
      </c>
      <c r="M1129">
        <v>6</v>
      </c>
      <c r="N1129">
        <v>86</v>
      </c>
      <c r="O1129">
        <v>207</v>
      </c>
      <c r="P1129">
        <f t="shared" si="60"/>
        <v>2024</v>
      </c>
      <c r="Q1129">
        <f t="shared" si="61"/>
        <v>5</v>
      </c>
      <c r="R1129" t="str">
        <f t="shared" si="59"/>
        <v>商品详情页头图推荐</v>
      </c>
      <c r="S1129" t="s">
        <v>628</v>
      </c>
      <c r="T1129" s="546" t="s">
        <v>804</v>
      </c>
    </row>
    <row r="1130" spans="1:20" x14ac:dyDescent="0.3">
      <c r="A1130" t="s">
        <v>627</v>
      </c>
      <c r="B1130" s="16">
        <v>45432</v>
      </c>
      <c r="C1130" t="s">
        <v>3</v>
      </c>
      <c r="D1130" t="s">
        <v>123</v>
      </c>
      <c r="E1130" t="s">
        <v>170</v>
      </c>
      <c r="F1130">
        <v>48</v>
      </c>
      <c r="G1130">
        <v>28</v>
      </c>
      <c r="H1130">
        <v>7</v>
      </c>
      <c r="I1130">
        <v>0</v>
      </c>
      <c r="J1130" s="15">
        <v>11396</v>
      </c>
      <c r="K1130">
        <v>4</v>
      </c>
      <c r="L1130" s="15">
        <v>11396</v>
      </c>
      <c r="M1130">
        <v>4</v>
      </c>
      <c r="N1130">
        <v>40</v>
      </c>
      <c r="O1130">
        <v>29</v>
      </c>
      <c r="P1130">
        <f t="shared" si="60"/>
        <v>2024</v>
      </c>
      <c r="Q1130">
        <f t="shared" si="61"/>
        <v>5</v>
      </c>
      <c r="R1130" t="str">
        <f t="shared" si="59"/>
        <v>店铺超链</v>
      </c>
      <c r="S1130" t="s">
        <v>628</v>
      </c>
      <c r="T1130" s="546" t="s">
        <v>804</v>
      </c>
    </row>
    <row r="1131" spans="1:20" x14ac:dyDescent="0.3">
      <c r="A1131" t="s">
        <v>627</v>
      </c>
      <c r="B1131" s="16">
        <v>45432</v>
      </c>
      <c r="C1131" t="s">
        <v>3</v>
      </c>
      <c r="D1131" t="s">
        <v>127</v>
      </c>
      <c r="E1131" t="s">
        <v>171</v>
      </c>
      <c r="F1131">
        <v>232</v>
      </c>
      <c r="G1131">
        <v>145</v>
      </c>
      <c r="H1131">
        <v>9</v>
      </c>
      <c r="I1131">
        <v>4</v>
      </c>
      <c r="J1131" s="17">
        <v>25137.54</v>
      </c>
      <c r="K1131">
        <v>4</v>
      </c>
      <c r="L1131" s="17">
        <v>25137.54</v>
      </c>
      <c r="M1131">
        <v>4</v>
      </c>
      <c r="N1131">
        <v>142</v>
      </c>
      <c r="O1131">
        <v>134</v>
      </c>
      <c r="P1131">
        <f t="shared" si="60"/>
        <v>2024</v>
      </c>
      <c r="Q1131">
        <f t="shared" si="61"/>
        <v>5</v>
      </c>
      <c r="R1131" t="str">
        <f t="shared" si="59"/>
        <v>其他猜你喜欢</v>
      </c>
      <c r="S1131" t="s">
        <v>628</v>
      </c>
      <c r="T1131" s="546" t="s">
        <v>804</v>
      </c>
    </row>
    <row r="1132" spans="1:20" x14ac:dyDescent="0.3">
      <c r="A1132" t="s">
        <v>627</v>
      </c>
      <c r="B1132" s="16">
        <v>45432</v>
      </c>
      <c r="C1132" t="s">
        <v>3</v>
      </c>
      <c r="D1132" t="s">
        <v>127</v>
      </c>
      <c r="E1132" t="s">
        <v>172</v>
      </c>
      <c r="F1132">
        <v>8</v>
      </c>
      <c r="G1132">
        <v>3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3</v>
      </c>
      <c r="O1132">
        <v>8</v>
      </c>
      <c r="P1132">
        <f t="shared" si="60"/>
        <v>2024</v>
      </c>
      <c r="Q1132">
        <f t="shared" si="61"/>
        <v>5</v>
      </c>
      <c r="R1132" t="str">
        <f t="shared" si="59"/>
        <v>购中推荐</v>
      </c>
      <c r="S1132" t="s">
        <v>628</v>
      </c>
      <c r="T1132" s="546" t="s">
        <v>804</v>
      </c>
    </row>
    <row r="1133" spans="1:20" x14ac:dyDescent="0.3">
      <c r="A1133" t="s">
        <v>627</v>
      </c>
      <c r="B1133" s="16">
        <v>45432</v>
      </c>
      <c r="C1133" t="s">
        <v>3</v>
      </c>
      <c r="D1133" t="s">
        <v>127</v>
      </c>
      <c r="E1133" t="s">
        <v>173</v>
      </c>
      <c r="F1133">
        <v>178</v>
      </c>
      <c r="G1133">
        <v>162</v>
      </c>
      <c r="H1133">
        <v>1</v>
      </c>
      <c r="I1133">
        <v>0</v>
      </c>
      <c r="J1133" s="15">
        <v>1498</v>
      </c>
      <c r="K1133">
        <v>1</v>
      </c>
      <c r="L1133" s="15">
        <v>1498</v>
      </c>
      <c r="M1133">
        <v>1</v>
      </c>
      <c r="N1133">
        <v>154</v>
      </c>
      <c r="O1133">
        <v>28</v>
      </c>
      <c r="P1133">
        <f t="shared" si="60"/>
        <v>2024</v>
      </c>
      <c r="Q1133">
        <f t="shared" si="61"/>
        <v>5</v>
      </c>
      <c r="R1133" t="str">
        <f t="shared" si="59"/>
        <v>购后推荐</v>
      </c>
      <c r="S1133" t="s">
        <v>628</v>
      </c>
      <c r="T1133" s="546" t="s">
        <v>804</v>
      </c>
    </row>
    <row r="1134" spans="1:20" x14ac:dyDescent="0.3">
      <c r="A1134" t="s">
        <v>627</v>
      </c>
      <c r="B1134" s="16">
        <v>45432</v>
      </c>
      <c r="C1134" t="s">
        <v>3</v>
      </c>
      <c r="D1134" t="s">
        <v>127</v>
      </c>
      <c r="E1134" t="s">
        <v>174</v>
      </c>
      <c r="F1134" s="15">
        <v>1209</v>
      </c>
      <c r="G1134">
        <v>634</v>
      </c>
      <c r="H1134">
        <v>36</v>
      </c>
      <c r="I1134">
        <v>11</v>
      </c>
      <c r="J1134" s="17">
        <v>46446.27</v>
      </c>
      <c r="K1134">
        <v>20</v>
      </c>
      <c r="L1134" s="17">
        <v>44119.27</v>
      </c>
      <c r="M1134">
        <v>19</v>
      </c>
      <c r="N1134">
        <v>91</v>
      </c>
      <c r="O1134" s="15">
        <v>1209</v>
      </c>
      <c r="P1134">
        <f t="shared" si="60"/>
        <v>2024</v>
      </c>
      <c r="Q1134">
        <f t="shared" si="61"/>
        <v>5</v>
      </c>
      <c r="R1134" t="str">
        <f t="shared" si="59"/>
        <v>首页推荐-微详情</v>
      </c>
      <c r="S1134" t="s">
        <v>628</v>
      </c>
      <c r="T1134" s="546" t="s">
        <v>804</v>
      </c>
    </row>
    <row r="1135" spans="1:20" x14ac:dyDescent="0.3">
      <c r="A1135" t="s">
        <v>627</v>
      </c>
      <c r="B1135" s="16">
        <v>45432</v>
      </c>
      <c r="C1135" t="s">
        <v>3</v>
      </c>
      <c r="D1135" t="s">
        <v>127</v>
      </c>
      <c r="E1135" t="s">
        <v>175</v>
      </c>
      <c r="F1135">
        <v>527</v>
      </c>
      <c r="G1135">
        <v>438</v>
      </c>
      <c r="H1135">
        <v>0</v>
      </c>
      <c r="I1135">
        <v>2</v>
      </c>
      <c r="J1135" s="17">
        <v>2297.5</v>
      </c>
      <c r="K1135">
        <v>1</v>
      </c>
      <c r="L1135" s="17">
        <v>2297.5</v>
      </c>
      <c r="M1135">
        <v>1</v>
      </c>
      <c r="N1135">
        <v>2</v>
      </c>
      <c r="O1135">
        <v>12</v>
      </c>
      <c r="P1135">
        <f t="shared" si="60"/>
        <v>2024</v>
      </c>
      <c r="Q1135">
        <f t="shared" si="61"/>
        <v>5</v>
      </c>
      <c r="R1135" t="str">
        <f t="shared" si="59"/>
        <v>首页推荐-直播</v>
      </c>
      <c r="S1135" t="s">
        <v>628</v>
      </c>
      <c r="T1135" s="546" t="s">
        <v>804</v>
      </c>
    </row>
    <row r="1136" spans="1:20" x14ac:dyDescent="0.3">
      <c r="A1136" t="s">
        <v>627</v>
      </c>
      <c r="B1136" s="16">
        <v>45432</v>
      </c>
      <c r="C1136" t="s">
        <v>3</v>
      </c>
      <c r="D1136" t="s">
        <v>127</v>
      </c>
      <c r="E1136" t="s">
        <v>176</v>
      </c>
      <c r="F1136">
        <v>28</v>
      </c>
      <c r="G1136">
        <v>13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f t="shared" si="60"/>
        <v>2024</v>
      </c>
      <c r="Q1136">
        <f t="shared" si="61"/>
        <v>5</v>
      </c>
      <c r="R1136" t="str">
        <f t="shared" si="59"/>
        <v>首页推荐-短视频</v>
      </c>
      <c r="S1136" t="s">
        <v>628</v>
      </c>
      <c r="T1136" s="546" t="s">
        <v>804</v>
      </c>
    </row>
    <row r="1137" spans="1:20" x14ac:dyDescent="0.3">
      <c r="A1137" t="s">
        <v>627</v>
      </c>
      <c r="B1137" s="16">
        <v>45432</v>
      </c>
      <c r="C1137" t="s">
        <v>3</v>
      </c>
      <c r="D1137" t="s">
        <v>128</v>
      </c>
      <c r="E1137" t="s">
        <v>177</v>
      </c>
      <c r="F1137">
        <v>728</v>
      </c>
      <c r="G1137">
        <v>569</v>
      </c>
      <c r="H1137">
        <v>65</v>
      </c>
      <c r="I1137">
        <v>7</v>
      </c>
      <c r="J1137" s="15">
        <v>59108</v>
      </c>
      <c r="K1137">
        <v>17</v>
      </c>
      <c r="L1137" s="15">
        <v>50111</v>
      </c>
      <c r="M1137">
        <v>15</v>
      </c>
      <c r="N1137">
        <v>255</v>
      </c>
      <c r="O1137">
        <v>619</v>
      </c>
      <c r="P1137">
        <f t="shared" si="60"/>
        <v>2024</v>
      </c>
      <c r="Q1137">
        <f t="shared" si="61"/>
        <v>5</v>
      </c>
      <c r="R1137" t="str">
        <f t="shared" si="59"/>
        <v>手淘搜索-商品及其他</v>
      </c>
      <c r="S1137" t="s">
        <v>628</v>
      </c>
      <c r="T1137" s="546" t="s">
        <v>804</v>
      </c>
    </row>
    <row r="1138" spans="1:20" x14ac:dyDescent="0.3">
      <c r="A1138" t="s">
        <v>627</v>
      </c>
      <c r="B1138" s="16">
        <v>45432</v>
      </c>
      <c r="C1138" t="s">
        <v>3</v>
      </c>
      <c r="D1138" t="s">
        <v>128</v>
      </c>
      <c r="E1138" t="s">
        <v>178</v>
      </c>
      <c r="F1138">
        <v>2</v>
      </c>
      <c r="G1138">
        <v>2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f t="shared" si="60"/>
        <v>2024</v>
      </c>
      <c r="Q1138">
        <f t="shared" si="61"/>
        <v>5</v>
      </c>
      <c r="R1138" t="str">
        <f t="shared" si="59"/>
        <v>手淘搜索-直播</v>
      </c>
      <c r="S1138" t="s">
        <v>628</v>
      </c>
      <c r="T1138" s="546" t="s">
        <v>804</v>
      </c>
    </row>
    <row r="1139" spans="1:20" x14ac:dyDescent="0.3">
      <c r="A1139" t="s">
        <v>627</v>
      </c>
      <c r="B1139" s="16">
        <v>45432</v>
      </c>
      <c r="C1139" t="s">
        <v>3</v>
      </c>
      <c r="D1139" t="s">
        <v>128</v>
      </c>
      <c r="E1139" t="s">
        <v>179</v>
      </c>
      <c r="F1139">
        <v>8</v>
      </c>
      <c r="G1139">
        <v>4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</v>
      </c>
      <c r="P1139">
        <f t="shared" si="60"/>
        <v>2024</v>
      </c>
      <c r="Q1139">
        <f t="shared" si="61"/>
        <v>5</v>
      </c>
      <c r="R1139" t="str">
        <f t="shared" si="59"/>
        <v>手淘搜索-短视频</v>
      </c>
      <c r="S1139" t="s">
        <v>628</v>
      </c>
      <c r="T1139" s="546" t="s">
        <v>804</v>
      </c>
    </row>
    <row r="1140" spans="1:20" x14ac:dyDescent="0.3">
      <c r="A1140" t="s">
        <v>627</v>
      </c>
      <c r="B1140" s="16">
        <v>45432</v>
      </c>
      <c r="C1140" t="s">
        <v>3</v>
      </c>
      <c r="D1140" t="s">
        <v>143</v>
      </c>
      <c r="E1140" t="s">
        <v>180</v>
      </c>
      <c r="F1140">
        <v>18</v>
      </c>
      <c r="G1140">
        <v>18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18</v>
      </c>
      <c r="P1140">
        <f t="shared" si="60"/>
        <v>2024</v>
      </c>
      <c r="Q1140">
        <f t="shared" si="61"/>
        <v>5</v>
      </c>
      <c r="R1140" t="str">
        <f t="shared" si="59"/>
        <v>淘特其他渠道</v>
      </c>
      <c r="S1140" t="s">
        <v>628</v>
      </c>
      <c r="T1140" s="546" t="s">
        <v>804</v>
      </c>
    </row>
    <row r="1141" spans="1:20" x14ac:dyDescent="0.3">
      <c r="A1141" t="s">
        <v>627</v>
      </c>
      <c r="B1141" s="16">
        <v>45432</v>
      </c>
      <c r="C1141" t="s">
        <v>2</v>
      </c>
      <c r="D1141" t="s">
        <v>55</v>
      </c>
      <c r="E1141" t="s">
        <v>54</v>
      </c>
      <c r="F1141" s="15">
        <v>4173</v>
      </c>
      <c r="G1141" s="15">
        <v>3722</v>
      </c>
      <c r="H1141">
        <v>7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12</v>
      </c>
      <c r="O1141" s="15">
        <v>1522</v>
      </c>
      <c r="P1141">
        <f t="shared" si="60"/>
        <v>2024</v>
      </c>
      <c r="Q1141">
        <f t="shared" si="61"/>
        <v>5</v>
      </c>
      <c r="R1141" t="str">
        <f t="shared" si="59"/>
        <v>超级直播</v>
      </c>
      <c r="S1141" t="s">
        <v>628</v>
      </c>
      <c r="T1141" s="546" t="s">
        <v>804</v>
      </c>
    </row>
    <row r="1142" spans="1:20" x14ac:dyDescent="0.3">
      <c r="A1142" t="s">
        <v>627</v>
      </c>
      <c r="B1142" s="16">
        <v>45432</v>
      </c>
      <c r="C1142" t="s">
        <v>2</v>
      </c>
      <c r="D1142" t="s">
        <v>52</v>
      </c>
      <c r="E1142" t="s">
        <v>53</v>
      </c>
      <c r="F1142">
        <v>974</v>
      </c>
      <c r="G1142">
        <v>793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974</v>
      </c>
      <c r="O1142">
        <v>201</v>
      </c>
      <c r="P1142">
        <f t="shared" si="60"/>
        <v>2024</v>
      </c>
      <c r="Q1142">
        <f t="shared" si="61"/>
        <v>5</v>
      </c>
      <c r="R1142" t="str">
        <f t="shared" si="59"/>
        <v>Showmax</v>
      </c>
      <c r="S1142" t="s">
        <v>628</v>
      </c>
      <c r="T1142" s="546" t="s">
        <v>804</v>
      </c>
    </row>
    <row r="1143" spans="1:20" x14ac:dyDescent="0.3">
      <c r="A1143" t="s">
        <v>627</v>
      </c>
      <c r="B1143" s="16">
        <v>45432</v>
      </c>
      <c r="C1143" t="s">
        <v>2</v>
      </c>
      <c r="D1143" t="s">
        <v>52</v>
      </c>
      <c r="E1143" t="s">
        <v>59</v>
      </c>
      <c r="F1143" s="15">
        <v>1134</v>
      </c>
      <c r="G1143">
        <v>920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 s="15">
        <v>1134</v>
      </c>
      <c r="O1143">
        <v>296</v>
      </c>
      <c r="P1143">
        <f t="shared" si="60"/>
        <v>2024</v>
      </c>
      <c r="Q1143">
        <f t="shared" si="61"/>
        <v>5</v>
      </c>
      <c r="R1143" t="str">
        <f t="shared" si="59"/>
        <v>品牌特秀</v>
      </c>
      <c r="S1143" t="s">
        <v>628</v>
      </c>
      <c r="T1143" s="546" t="s">
        <v>804</v>
      </c>
    </row>
    <row r="1144" spans="1:20" x14ac:dyDescent="0.3">
      <c r="A1144" t="s">
        <v>627</v>
      </c>
      <c r="B1144" s="16">
        <v>45432</v>
      </c>
      <c r="C1144" t="s">
        <v>2</v>
      </c>
      <c r="D1144" t="s">
        <v>52</v>
      </c>
      <c r="E1144" t="s">
        <v>183</v>
      </c>
      <c r="F1144">
        <v>736</v>
      </c>
      <c r="G1144">
        <v>582</v>
      </c>
      <c r="H1144">
        <v>24</v>
      </c>
      <c r="I1144">
        <v>9</v>
      </c>
      <c r="J1144" s="15">
        <v>44963</v>
      </c>
      <c r="K1144">
        <v>15</v>
      </c>
      <c r="L1144" s="15">
        <v>26955</v>
      </c>
      <c r="M1144">
        <v>12</v>
      </c>
      <c r="N1144">
        <v>736</v>
      </c>
      <c r="O1144">
        <v>425</v>
      </c>
      <c r="P1144">
        <f t="shared" si="60"/>
        <v>2024</v>
      </c>
      <c r="Q1144">
        <f t="shared" si="61"/>
        <v>5</v>
      </c>
      <c r="R1144" t="str">
        <f t="shared" si="59"/>
        <v>品销宝-品牌专区</v>
      </c>
      <c r="S1144" t="s">
        <v>628</v>
      </c>
      <c r="T1144" s="546" t="s">
        <v>804</v>
      </c>
    </row>
    <row r="1145" spans="1:20" x14ac:dyDescent="0.3">
      <c r="A1145" t="s">
        <v>627</v>
      </c>
      <c r="B1145" s="16">
        <v>45432</v>
      </c>
      <c r="C1145" t="s">
        <v>2</v>
      </c>
      <c r="D1145" t="s">
        <v>52</v>
      </c>
      <c r="E1145" t="s">
        <v>58</v>
      </c>
      <c r="F1145">
        <v>1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0</v>
      </c>
      <c r="P1145">
        <f t="shared" si="60"/>
        <v>2024</v>
      </c>
      <c r="Q1145">
        <f t="shared" si="61"/>
        <v>5</v>
      </c>
      <c r="R1145" t="str">
        <f t="shared" si="59"/>
        <v>超级全域通</v>
      </c>
      <c r="S1145" t="s">
        <v>628</v>
      </c>
      <c r="T1145" s="546" t="s">
        <v>804</v>
      </c>
    </row>
    <row r="1146" spans="1:20" x14ac:dyDescent="0.3">
      <c r="A1146" t="s">
        <v>627</v>
      </c>
      <c r="B1146" s="16">
        <v>45432</v>
      </c>
      <c r="C1146" t="s">
        <v>2</v>
      </c>
      <c r="D1146" t="s">
        <v>57</v>
      </c>
      <c r="E1146" t="s">
        <v>65</v>
      </c>
      <c r="F1146" s="15">
        <v>5151</v>
      </c>
      <c r="G1146" s="15">
        <v>4593</v>
      </c>
      <c r="H1146">
        <v>190</v>
      </c>
      <c r="I1146">
        <v>29</v>
      </c>
      <c r="J1146" s="15">
        <v>219192</v>
      </c>
      <c r="K1146">
        <v>64</v>
      </c>
      <c r="L1146" s="17">
        <v>174381.5</v>
      </c>
      <c r="M1146">
        <v>59</v>
      </c>
      <c r="N1146">
        <v>457</v>
      </c>
      <c r="O1146" s="15">
        <v>5090</v>
      </c>
      <c r="P1146">
        <f t="shared" si="60"/>
        <v>2024</v>
      </c>
      <c r="Q1146">
        <f t="shared" si="61"/>
        <v>5</v>
      </c>
      <c r="R1146" t="str">
        <f t="shared" si="59"/>
        <v>直通车</v>
      </c>
      <c r="S1146" t="s">
        <v>628</v>
      </c>
      <c r="T1146" s="546" t="s">
        <v>804</v>
      </c>
    </row>
    <row r="1147" spans="1:20" x14ac:dyDescent="0.3">
      <c r="A1147" t="s">
        <v>627</v>
      </c>
      <c r="B1147" s="16">
        <v>45432</v>
      </c>
      <c r="C1147" t="s">
        <v>2</v>
      </c>
      <c r="D1147" t="s">
        <v>57</v>
      </c>
      <c r="E1147" t="s">
        <v>63</v>
      </c>
      <c r="F1147" s="15">
        <v>4128</v>
      </c>
      <c r="G1147" s="15">
        <v>2329</v>
      </c>
      <c r="H1147">
        <v>165</v>
      </c>
      <c r="I1147">
        <v>32</v>
      </c>
      <c r="J1147" s="17">
        <v>274590.65999999997</v>
      </c>
      <c r="K1147">
        <v>108</v>
      </c>
      <c r="L1147" s="17">
        <v>256611.91</v>
      </c>
      <c r="M1147">
        <v>104</v>
      </c>
      <c r="N1147">
        <v>418</v>
      </c>
      <c r="O1147" s="15">
        <v>4123</v>
      </c>
      <c r="P1147">
        <f t="shared" si="60"/>
        <v>2024</v>
      </c>
      <c r="Q1147">
        <f t="shared" si="61"/>
        <v>5</v>
      </c>
      <c r="R1147" t="str">
        <f t="shared" si="59"/>
        <v>万相台</v>
      </c>
      <c r="S1147" t="s">
        <v>628</v>
      </c>
      <c r="T1147" s="546" t="s">
        <v>804</v>
      </c>
    </row>
    <row r="1148" spans="1:20" x14ac:dyDescent="0.3">
      <c r="A1148" t="s">
        <v>627</v>
      </c>
      <c r="B1148" s="16">
        <v>45432</v>
      </c>
      <c r="C1148" t="s">
        <v>2</v>
      </c>
      <c r="D1148" t="s">
        <v>57</v>
      </c>
      <c r="E1148" t="s">
        <v>64</v>
      </c>
      <c r="F1148" s="15">
        <v>18352</v>
      </c>
      <c r="G1148" s="15">
        <v>10185</v>
      </c>
      <c r="H1148">
        <v>97</v>
      </c>
      <c r="I1148">
        <v>50</v>
      </c>
      <c r="J1148" s="17">
        <v>70927.7</v>
      </c>
      <c r="K1148">
        <v>29</v>
      </c>
      <c r="L1148" s="17">
        <v>66760.7</v>
      </c>
      <c r="M1148">
        <v>27</v>
      </c>
      <c r="N1148">
        <v>536</v>
      </c>
      <c r="O1148" s="15">
        <v>18348</v>
      </c>
      <c r="P1148">
        <f t="shared" si="60"/>
        <v>2024</v>
      </c>
      <c r="Q1148">
        <f t="shared" si="61"/>
        <v>5</v>
      </c>
      <c r="R1148" t="str">
        <f t="shared" si="59"/>
        <v>引力魔方</v>
      </c>
      <c r="S1148" t="s">
        <v>628</v>
      </c>
      <c r="T1148" s="546" t="s">
        <v>804</v>
      </c>
    </row>
    <row r="1149" spans="1:20" x14ac:dyDescent="0.3">
      <c r="A1149" t="s">
        <v>627</v>
      </c>
      <c r="B1149" s="16">
        <v>45432</v>
      </c>
      <c r="C1149" t="s">
        <v>2</v>
      </c>
      <c r="D1149" t="s">
        <v>4</v>
      </c>
      <c r="E1149" t="s">
        <v>41</v>
      </c>
      <c r="F1149">
        <v>3</v>
      </c>
      <c r="G1149">
        <v>2</v>
      </c>
      <c r="H1149">
        <v>2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2</v>
      </c>
      <c r="O1149">
        <v>2</v>
      </c>
      <c r="P1149">
        <f t="shared" si="60"/>
        <v>2024</v>
      </c>
      <c r="Q1149">
        <f t="shared" si="61"/>
        <v>5</v>
      </c>
      <c r="R1149" t="str">
        <f t="shared" si="59"/>
        <v>流量宝</v>
      </c>
      <c r="S1149" t="s">
        <v>628</v>
      </c>
      <c r="T1149" s="546" t="s">
        <v>804</v>
      </c>
    </row>
    <row r="1150" spans="1:20" x14ac:dyDescent="0.3">
      <c r="A1150" t="s">
        <v>627</v>
      </c>
      <c r="B1150" s="16">
        <v>45432</v>
      </c>
      <c r="C1150" t="s">
        <v>2</v>
      </c>
      <c r="D1150" t="s">
        <v>4</v>
      </c>
      <c r="E1150" t="s">
        <v>43</v>
      </c>
      <c r="F1150">
        <v>508</v>
      </c>
      <c r="G1150">
        <v>178</v>
      </c>
      <c r="H1150">
        <v>5</v>
      </c>
      <c r="I1150">
        <v>0</v>
      </c>
      <c r="J1150" s="17">
        <v>16463.59</v>
      </c>
      <c r="K1150">
        <v>6</v>
      </c>
      <c r="L1150" s="17">
        <v>14786.59</v>
      </c>
      <c r="M1150">
        <v>6</v>
      </c>
      <c r="N1150">
        <v>13</v>
      </c>
      <c r="O1150">
        <v>479</v>
      </c>
      <c r="P1150">
        <f t="shared" si="60"/>
        <v>2024</v>
      </c>
      <c r="Q1150">
        <f t="shared" si="61"/>
        <v>5</v>
      </c>
      <c r="R1150" t="str">
        <f t="shared" si="59"/>
        <v>淘宝客</v>
      </c>
      <c r="S1150" t="s">
        <v>628</v>
      </c>
      <c r="T1150" s="546" t="s">
        <v>804</v>
      </c>
    </row>
    <row r="1151" spans="1:20" x14ac:dyDescent="0.3">
      <c r="A1151" t="s">
        <v>627</v>
      </c>
      <c r="B1151" s="16">
        <v>45433</v>
      </c>
      <c r="C1151" t="s">
        <v>3</v>
      </c>
      <c r="D1151" t="s">
        <v>114</v>
      </c>
      <c r="E1151" t="s">
        <v>159</v>
      </c>
      <c r="F1151">
        <v>71</v>
      </c>
      <c r="G1151">
        <v>40</v>
      </c>
      <c r="H1151">
        <v>2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6</v>
      </c>
      <c r="O1151">
        <v>63</v>
      </c>
      <c r="P1151">
        <f t="shared" si="60"/>
        <v>2024</v>
      </c>
      <c r="Q1151">
        <f t="shared" si="61"/>
        <v>5</v>
      </c>
      <c r="R1151" t="str">
        <f t="shared" si="59"/>
        <v>主会场</v>
      </c>
      <c r="S1151" t="s">
        <v>628</v>
      </c>
      <c r="T1151" s="546" t="s">
        <v>804</v>
      </c>
    </row>
    <row r="1152" spans="1:20" x14ac:dyDescent="0.3">
      <c r="A1152" t="s">
        <v>627</v>
      </c>
      <c r="B1152" s="16">
        <v>45433</v>
      </c>
      <c r="C1152" t="s">
        <v>3</v>
      </c>
      <c r="D1152" t="s">
        <v>120</v>
      </c>
      <c r="E1152" t="s">
        <v>162</v>
      </c>
      <c r="F1152">
        <v>2</v>
      </c>
      <c r="G1152">
        <v>2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1</v>
      </c>
      <c r="P1152">
        <f t="shared" si="60"/>
        <v>2024</v>
      </c>
      <c r="Q1152">
        <f t="shared" si="61"/>
        <v>5</v>
      </c>
      <c r="R1152" t="str">
        <f t="shared" si="59"/>
        <v>手机浏览器访问天猫</v>
      </c>
      <c r="S1152" t="s">
        <v>628</v>
      </c>
      <c r="T1152" s="546" t="s">
        <v>804</v>
      </c>
    </row>
    <row r="1153" spans="1:20" x14ac:dyDescent="0.3">
      <c r="A1153" t="s">
        <v>627</v>
      </c>
      <c r="B1153" s="16">
        <v>45433</v>
      </c>
      <c r="C1153" t="s">
        <v>3</v>
      </c>
      <c r="D1153" t="s">
        <v>120</v>
      </c>
      <c r="E1153" t="s">
        <v>163</v>
      </c>
      <c r="F1153">
        <v>114</v>
      </c>
      <c r="G1153">
        <v>51</v>
      </c>
      <c r="H1153">
        <v>1</v>
      </c>
      <c r="I1153">
        <v>0</v>
      </c>
      <c r="J1153" s="17">
        <v>14399.5</v>
      </c>
      <c r="K1153">
        <v>5</v>
      </c>
      <c r="L1153" s="17">
        <v>10604.5</v>
      </c>
      <c r="M1153">
        <v>4</v>
      </c>
      <c r="N1153">
        <v>30</v>
      </c>
      <c r="O1153">
        <v>110</v>
      </c>
      <c r="P1153">
        <f t="shared" si="60"/>
        <v>2024</v>
      </c>
      <c r="Q1153">
        <f t="shared" si="61"/>
        <v>5</v>
      </c>
      <c r="R1153" t="str">
        <f t="shared" si="59"/>
        <v>手猫免费其他</v>
      </c>
      <c r="S1153" t="s">
        <v>628</v>
      </c>
      <c r="T1153" s="546" t="s">
        <v>804</v>
      </c>
    </row>
    <row r="1154" spans="1:20" x14ac:dyDescent="0.3">
      <c r="A1154" t="s">
        <v>627</v>
      </c>
      <c r="B1154" s="16">
        <v>45433</v>
      </c>
      <c r="C1154" t="s">
        <v>3</v>
      </c>
      <c r="D1154" t="s">
        <v>120</v>
      </c>
      <c r="E1154" t="s">
        <v>164</v>
      </c>
      <c r="F1154">
        <v>7</v>
      </c>
      <c r="G1154">
        <v>3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7</v>
      </c>
      <c r="P1154">
        <f t="shared" si="60"/>
        <v>2024</v>
      </c>
      <c r="Q1154">
        <f t="shared" si="61"/>
        <v>5</v>
      </c>
      <c r="R1154" t="str">
        <f t="shared" si="59"/>
        <v>手猫其他店铺</v>
      </c>
      <c r="S1154" t="s">
        <v>628</v>
      </c>
      <c r="T1154" s="546" t="s">
        <v>804</v>
      </c>
    </row>
    <row r="1155" spans="1:20" x14ac:dyDescent="0.3">
      <c r="A1155" t="s">
        <v>627</v>
      </c>
      <c r="B1155" s="16">
        <v>45433</v>
      </c>
      <c r="C1155" t="s">
        <v>3</v>
      </c>
      <c r="D1155" t="s">
        <v>120</v>
      </c>
      <c r="E1155" t="s">
        <v>165</v>
      </c>
      <c r="F1155">
        <v>43</v>
      </c>
      <c r="G1155">
        <v>14</v>
      </c>
      <c r="H1155">
        <v>1</v>
      </c>
      <c r="I1155">
        <v>0</v>
      </c>
      <c r="J1155" s="17">
        <v>2297.5</v>
      </c>
      <c r="K1155">
        <v>1</v>
      </c>
      <c r="L1155" s="17">
        <v>2297.5</v>
      </c>
      <c r="M1155">
        <v>1</v>
      </c>
      <c r="N1155">
        <v>8</v>
      </c>
      <c r="O1155">
        <v>42</v>
      </c>
      <c r="P1155">
        <f t="shared" si="60"/>
        <v>2024</v>
      </c>
      <c r="Q1155">
        <f t="shared" si="61"/>
        <v>5</v>
      </c>
      <c r="R1155" t="str">
        <f t="shared" si="59"/>
        <v>手猫商品详情</v>
      </c>
      <c r="S1155" t="s">
        <v>628</v>
      </c>
      <c r="T1155" s="546" t="s">
        <v>804</v>
      </c>
    </row>
    <row r="1156" spans="1:20" x14ac:dyDescent="0.3">
      <c r="A1156" t="s">
        <v>627</v>
      </c>
      <c r="B1156" s="16">
        <v>45433</v>
      </c>
      <c r="C1156" t="s">
        <v>3</v>
      </c>
      <c r="D1156" t="s">
        <v>120</v>
      </c>
      <c r="E1156" t="s">
        <v>166</v>
      </c>
      <c r="F1156">
        <v>51</v>
      </c>
      <c r="G1156">
        <v>34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23</v>
      </c>
      <c r="O1156">
        <v>42</v>
      </c>
      <c r="P1156">
        <f t="shared" si="60"/>
        <v>2024</v>
      </c>
      <c r="Q1156">
        <f t="shared" si="61"/>
        <v>5</v>
      </c>
      <c r="R1156" t="str">
        <f t="shared" si="59"/>
        <v>手猫搜索</v>
      </c>
      <c r="S1156" t="s">
        <v>628</v>
      </c>
      <c r="T1156" s="546" t="s">
        <v>804</v>
      </c>
    </row>
    <row r="1157" spans="1:20" x14ac:dyDescent="0.3">
      <c r="A1157" t="s">
        <v>627</v>
      </c>
      <c r="B1157" s="16">
        <v>45433</v>
      </c>
      <c r="C1157" t="s">
        <v>3</v>
      </c>
      <c r="D1157" t="s">
        <v>120</v>
      </c>
      <c r="E1157" t="s">
        <v>167</v>
      </c>
      <c r="F1157">
        <v>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f t="shared" si="60"/>
        <v>2024</v>
      </c>
      <c r="Q1157">
        <f t="shared" si="61"/>
        <v>5</v>
      </c>
      <c r="R1157" t="str">
        <f t="shared" si="59"/>
        <v>手猫旺信聊天</v>
      </c>
      <c r="S1157" t="s">
        <v>628</v>
      </c>
      <c r="T1157" s="546" t="s">
        <v>804</v>
      </c>
    </row>
    <row r="1158" spans="1:20" x14ac:dyDescent="0.3">
      <c r="A1158" t="s">
        <v>627</v>
      </c>
      <c r="B1158" s="16">
        <v>45433</v>
      </c>
      <c r="C1158" t="s">
        <v>3</v>
      </c>
      <c r="D1158" t="s">
        <v>120</v>
      </c>
      <c r="E1158" t="s">
        <v>168</v>
      </c>
      <c r="F1158">
        <v>482</v>
      </c>
      <c r="G1158">
        <v>266</v>
      </c>
      <c r="H1158">
        <v>1</v>
      </c>
      <c r="I1158">
        <v>0</v>
      </c>
      <c r="J1158" s="15">
        <v>6596</v>
      </c>
      <c r="K1158">
        <v>3</v>
      </c>
      <c r="L1158" s="15">
        <v>2801</v>
      </c>
      <c r="M1158">
        <v>2</v>
      </c>
      <c r="N1158">
        <v>21</v>
      </c>
      <c r="O1158">
        <v>482</v>
      </c>
      <c r="P1158">
        <f t="shared" si="60"/>
        <v>2024</v>
      </c>
      <c r="Q1158">
        <f t="shared" si="61"/>
        <v>5</v>
      </c>
      <c r="R1158" t="str">
        <f t="shared" si="59"/>
        <v>手猫首页</v>
      </c>
      <c r="S1158" t="s">
        <v>628</v>
      </c>
      <c r="T1158" s="546" t="s">
        <v>804</v>
      </c>
    </row>
    <row r="1159" spans="1:20" x14ac:dyDescent="0.3">
      <c r="A1159" t="s">
        <v>627</v>
      </c>
      <c r="B1159" s="16">
        <v>45433</v>
      </c>
      <c r="C1159" t="s">
        <v>3</v>
      </c>
      <c r="D1159" t="s">
        <v>123</v>
      </c>
      <c r="E1159" t="s">
        <v>169</v>
      </c>
      <c r="F1159">
        <v>206</v>
      </c>
      <c r="G1159">
        <v>85</v>
      </c>
      <c r="H1159">
        <v>20</v>
      </c>
      <c r="I1159">
        <v>3</v>
      </c>
      <c r="J1159" s="17">
        <v>7426.5</v>
      </c>
      <c r="K1159">
        <v>4</v>
      </c>
      <c r="L1159" s="17">
        <v>7426.5</v>
      </c>
      <c r="M1159">
        <v>4</v>
      </c>
      <c r="N1159">
        <v>63</v>
      </c>
      <c r="O1159">
        <v>176</v>
      </c>
      <c r="P1159">
        <f t="shared" si="60"/>
        <v>2024</v>
      </c>
      <c r="Q1159">
        <f t="shared" si="61"/>
        <v>5</v>
      </c>
      <c r="R1159" t="str">
        <f t="shared" ref="R1159:R1222" si="62">E1159</f>
        <v>商品详情页头图推荐</v>
      </c>
      <c r="S1159" t="s">
        <v>628</v>
      </c>
      <c r="T1159" s="546" t="s">
        <v>804</v>
      </c>
    </row>
    <row r="1160" spans="1:20" x14ac:dyDescent="0.3">
      <c r="A1160" t="s">
        <v>627</v>
      </c>
      <c r="B1160" s="16">
        <v>45433</v>
      </c>
      <c r="C1160" t="s">
        <v>3</v>
      </c>
      <c r="D1160" t="s">
        <v>123</v>
      </c>
      <c r="E1160" t="s">
        <v>170</v>
      </c>
      <c r="F1160">
        <v>38</v>
      </c>
      <c r="G1160">
        <v>22</v>
      </c>
      <c r="H1160">
        <v>2</v>
      </c>
      <c r="I1160">
        <v>0</v>
      </c>
      <c r="J1160" s="15">
        <v>4289</v>
      </c>
      <c r="K1160">
        <v>2</v>
      </c>
      <c r="L1160" s="15">
        <v>4289</v>
      </c>
      <c r="M1160">
        <v>2</v>
      </c>
      <c r="N1160">
        <v>34</v>
      </c>
      <c r="O1160">
        <v>16</v>
      </c>
      <c r="P1160">
        <f t="shared" si="60"/>
        <v>2024</v>
      </c>
      <c r="Q1160">
        <f t="shared" si="61"/>
        <v>5</v>
      </c>
      <c r="R1160" t="str">
        <f t="shared" si="62"/>
        <v>店铺超链</v>
      </c>
      <c r="S1160" t="s">
        <v>628</v>
      </c>
      <c r="T1160" s="546" t="s">
        <v>804</v>
      </c>
    </row>
    <row r="1161" spans="1:20" x14ac:dyDescent="0.3">
      <c r="A1161" t="s">
        <v>627</v>
      </c>
      <c r="B1161" s="16">
        <v>45433</v>
      </c>
      <c r="C1161" t="s">
        <v>3</v>
      </c>
      <c r="D1161" t="s">
        <v>127</v>
      </c>
      <c r="E1161" t="s">
        <v>171</v>
      </c>
      <c r="F1161">
        <v>203</v>
      </c>
      <c r="G1161">
        <v>122</v>
      </c>
      <c r="H1161">
        <v>6</v>
      </c>
      <c r="I1161">
        <v>2</v>
      </c>
      <c r="J1161" s="15">
        <v>6722</v>
      </c>
      <c r="K1161">
        <v>3</v>
      </c>
      <c r="L1161" s="15">
        <v>6722</v>
      </c>
      <c r="M1161">
        <v>3</v>
      </c>
      <c r="N1161">
        <v>102</v>
      </c>
      <c r="O1161">
        <v>129</v>
      </c>
      <c r="P1161">
        <f t="shared" si="60"/>
        <v>2024</v>
      </c>
      <c r="Q1161">
        <f t="shared" si="61"/>
        <v>5</v>
      </c>
      <c r="R1161" t="str">
        <f t="shared" si="62"/>
        <v>其他猜你喜欢</v>
      </c>
      <c r="S1161" t="s">
        <v>628</v>
      </c>
      <c r="T1161" s="546" t="s">
        <v>804</v>
      </c>
    </row>
    <row r="1162" spans="1:20" x14ac:dyDescent="0.3">
      <c r="A1162" t="s">
        <v>627</v>
      </c>
      <c r="B1162" s="16">
        <v>45433</v>
      </c>
      <c r="C1162" t="s">
        <v>3</v>
      </c>
      <c r="D1162" t="s">
        <v>127</v>
      </c>
      <c r="E1162" t="s">
        <v>172</v>
      </c>
      <c r="F1162">
        <v>6</v>
      </c>
      <c r="G1162">
        <v>4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4</v>
      </c>
      <c r="P1162">
        <f t="shared" si="60"/>
        <v>2024</v>
      </c>
      <c r="Q1162">
        <f t="shared" si="61"/>
        <v>5</v>
      </c>
      <c r="R1162" t="str">
        <f t="shared" si="62"/>
        <v>购中推荐</v>
      </c>
      <c r="S1162" t="s">
        <v>628</v>
      </c>
      <c r="T1162" s="546" t="s">
        <v>804</v>
      </c>
    </row>
    <row r="1163" spans="1:20" x14ac:dyDescent="0.3">
      <c r="A1163" t="s">
        <v>627</v>
      </c>
      <c r="B1163" s="16">
        <v>45433</v>
      </c>
      <c r="C1163" t="s">
        <v>3</v>
      </c>
      <c r="D1163" t="s">
        <v>127</v>
      </c>
      <c r="E1163" t="s">
        <v>173</v>
      </c>
      <c r="F1163">
        <v>162</v>
      </c>
      <c r="G1163">
        <v>143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125</v>
      </c>
      <c r="O1163">
        <v>24</v>
      </c>
      <c r="P1163">
        <f t="shared" si="60"/>
        <v>2024</v>
      </c>
      <c r="Q1163">
        <f t="shared" si="61"/>
        <v>5</v>
      </c>
      <c r="R1163" t="str">
        <f t="shared" si="62"/>
        <v>购后推荐</v>
      </c>
      <c r="S1163" t="s">
        <v>628</v>
      </c>
      <c r="T1163" s="546" t="s">
        <v>804</v>
      </c>
    </row>
    <row r="1164" spans="1:20" x14ac:dyDescent="0.3">
      <c r="A1164" t="s">
        <v>627</v>
      </c>
      <c r="B1164" s="16">
        <v>45433</v>
      </c>
      <c r="C1164" t="s">
        <v>3</v>
      </c>
      <c r="D1164" t="s">
        <v>127</v>
      </c>
      <c r="E1164" t="s">
        <v>174</v>
      </c>
      <c r="F1164" s="15">
        <v>1071</v>
      </c>
      <c r="G1164">
        <v>535</v>
      </c>
      <c r="H1164">
        <v>36</v>
      </c>
      <c r="I1164">
        <v>15</v>
      </c>
      <c r="J1164" s="17">
        <v>17457.13</v>
      </c>
      <c r="K1164">
        <v>8</v>
      </c>
      <c r="L1164" s="17">
        <v>14164.13</v>
      </c>
      <c r="M1164">
        <v>6</v>
      </c>
      <c r="N1164">
        <v>111</v>
      </c>
      <c r="O1164" s="15">
        <v>1071</v>
      </c>
      <c r="P1164">
        <f t="shared" si="60"/>
        <v>2024</v>
      </c>
      <c r="Q1164">
        <f t="shared" si="61"/>
        <v>5</v>
      </c>
      <c r="R1164" t="str">
        <f t="shared" si="62"/>
        <v>首页推荐-微详情</v>
      </c>
      <c r="S1164" t="s">
        <v>628</v>
      </c>
      <c r="T1164" s="546" t="s">
        <v>804</v>
      </c>
    </row>
    <row r="1165" spans="1:20" x14ac:dyDescent="0.3">
      <c r="A1165" t="s">
        <v>627</v>
      </c>
      <c r="B1165" s="16">
        <v>45433</v>
      </c>
      <c r="C1165" t="s">
        <v>3</v>
      </c>
      <c r="D1165" t="s">
        <v>127</v>
      </c>
      <c r="E1165" t="s">
        <v>175</v>
      </c>
      <c r="F1165">
        <v>410</v>
      </c>
      <c r="G1165">
        <v>347</v>
      </c>
      <c r="H1165">
        <v>2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8</v>
      </c>
      <c r="P1165">
        <f t="shared" si="60"/>
        <v>2024</v>
      </c>
      <c r="Q1165">
        <f t="shared" si="61"/>
        <v>5</v>
      </c>
      <c r="R1165" t="str">
        <f t="shared" si="62"/>
        <v>首页推荐-直播</v>
      </c>
      <c r="S1165" t="s">
        <v>628</v>
      </c>
      <c r="T1165" s="546" t="s">
        <v>804</v>
      </c>
    </row>
    <row r="1166" spans="1:20" x14ac:dyDescent="0.3">
      <c r="A1166" t="s">
        <v>627</v>
      </c>
      <c r="B1166" s="16">
        <v>45433</v>
      </c>
      <c r="C1166" t="s">
        <v>3</v>
      </c>
      <c r="D1166" t="s">
        <v>127</v>
      </c>
      <c r="E1166" t="s">
        <v>176</v>
      </c>
      <c r="F1166">
        <v>27</v>
      </c>
      <c r="G1166">
        <v>12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f t="shared" si="60"/>
        <v>2024</v>
      </c>
      <c r="Q1166">
        <f t="shared" si="61"/>
        <v>5</v>
      </c>
      <c r="R1166" t="str">
        <f t="shared" si="62"/>
        <v>首页推荐-短视频</v>
      </c>
      <c r="S1166" t="s">
        <v>628</v>
      </c>
      <c r="T1166" s="546" t="s">
        <v>804</v>
      </c>
    </row>
    <row r="1167" spans="1:20" x14ac:dyDescent="0.3">
      <c r="A1167" t="s">
        <v>627</v>
      </c>
      <c r="B1167" s="16">
        <v>45433</v>
      </c>
      <c r="C1167" t="s">
        <v>3</v>
      </c>
      <c r="D1167" t="s">
        <v>128</v>
      </c>
      <c r="E1167" t="s">
        <v>177</v>
      </c>
      <c r="F1167">
        <v>712</v>
      </c>
      <c r="G1167">
        <v>549</v>
      </c>
      <c r="H1167">
        <v>57</v>
      </c>
      <c r="I1167">
        <v>9</v>
      </c>
      <c r="J1167" s="17">
        <v>93287.5</v>
      </c>
      <c r="K1167">
        <v>22</v>
      </c>
      <c r="L1167" s="17">
        <v>49012.5</v>
      </c>
      <c r="M1167">
        <v>19</v>
      </c>
      <c r="N1167">
        <v>271</v>
      </c>
      <c r="O1167">
        <v>603</v>
      </c>
      <c r="P1167">
        <f t="shared" si="60"/>
        <v>2024</v>
      </c>
      <c r="Q1167">
        <f t="shared" si="61"/>
        <v>5</v>
      </c>
      <c r="R1167" t="str">
        <f t="shared" si="62"/>
        <v>手淘搜索-商品及其他</v>
      </c>
      <c r="S1167" t="s">
        <v>628</v>
      </c>
      <c r="T1167" s="546" t="s">
        <v>804</v>
      </c>
    </row>
    <row r="1168" spans="1:20" x14ac:dyDescent="0.3">
      <c r="A1168" t="s">
        <v>627</v>
      </c>
      <c r="B1168" s="16">
        <v>45433</v>
      </c>
      <c r="C1168" t="s">
        <v>3</v>
      </c>
      <c r="D1168" t="s">
        <v>128</v>
      </c>
      <c r="E1168" t="s">
        <v>179</v>
      </c>
      <c r="F1168">
        <v>17</v>
      </c>
      <c r="G1168">
        <v>7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2</v>
      </c>
      <c r="O1168">
        <v>2</v>
      </c>
      <c r="P1168">
        <f t="shared" si="60"/>
        <v>2024</v>
      </c>
      <c r="Q1168">
        <f t="shared" si="61"/>
        <v>5</v>
      </c>
      <c r="R1168" t="str">
        <f t="shared" si="62"/>
        <v>手淘搜索-短视频</v>
      </c>
      <c r="S1168" t="s">
        <v>628</v>
      </c>
      <c r="T1168" s="546" t="s">
        <v>804</v>
      </c>
    </row>
    <row r="1169" spans="1:20" x14ac:dyDescent="0.3">
      <c r="A1169" t="s">
        <v>627</v>
      </c>
      <c r="B1169" s="16">
        <v>45433</v>
      </c>
      <c r="C1169" t="s">
        <v>3</v>
      </c>
      <c r="D1169" t="s">
        <v>143</v>
      </c>
      <c r="E1169" t="s">
        <v>180</v>
      </c>
      <c r="F1169">
        <v>19</v>
      </c>
      <c r="G1169">
        <v>19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19</v>
      </c>
      <c r="P1169">
        <f t="shared" si="60"/>
        <v>2024</v>
      </c>
      <c r="Q1169">
        <f t="shared" si="61"/>
        <v>5</v>
      </c>
      <c r="R1169" t="str">
        <f t="shared" si="62"/>
        <v>淘特其他渠道</v>
      </c>
      <c r="S1169" t="s">
        <v>628</v>
      </c>
      <c r="T1169" s="546" t="s">
        <v>804</v>
      </c>
    </row>
    <row r="1170" spans="1:20" x14ac:dyDescent="0.3">
      <c r="A1170" t="s">
        <v>627</v>
      </c>
      <c r="B1170" s="16">
        <v>45433</v>
      </c>
      <c r="C1170" t="s">
        <v>3</v>
      </c>
      <c r="D1170" t="s">
        <v>143</v>
      </c>
      <c r="E1170" t="s">
        <v>181</v>
      </c>
      <c r="F1170">
        <v>1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f t="shared" si="60"/>
        <v>2024</v>
      </c>
      <c r="Q1170">
        <f t="shared" si="61"/>
        <v>5</v>
      </c>
      <c r="R1170" t="str">
        <f t="shared" si="62"/>
        <v>淘特搜索</v>
      </c>
      <c r="S1170" t="s">
        <v>628</v>
      </c>
      <c r="T1170" s="546" t="s">
        <v>804</v>
      </c>
    </row>
    <row r="1171" spans="1:20" x14ac:dyDescent="0.3">
      <c r="A1171" t="s">
        <v>627</v>
      </c>
      <c r="B1171" s="16">
        <v>45433</v>
      </c>
      <c r="C1171" t="s">
        <v>2</v>
      </c>
      <c r="D1171" t="s">
        <v>55</v>
      </c>
      <c r="E1171" t="s">
        <v>66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f t="shared" si="60"/>
        <v>2024</v>
      </c>
      <c r="Q1171">
        <f t="shared" si="61"/>
        <v>5</v>
      </c>
      <c r="R1171" t="str">
        <f t="shared" si="62"/>
        <v>短直联动</v>
      </c>
      <c r="S1171" t="s">
        <v>628</v>
      </c>
      <c r="T1171" s="546" t="s">
        <v>804</v>
      </c>
    </row>
    <row r="1172" spans="1:20" x14ac:dyDescent="0.3">
      <c r="A1172" t="s">
        <v>627</v>
      </c>
      <c r="B1172" s="16">
        <v>45433</v>
      </c>
      <c r="C1172" t="s">
        <v>2</v>
      </c>
      <c r="D1172" t="s">
        <v>55</v>
      </c>
      <c r="E1172" t="s">
        <v>54</v>
      </c>
      <c r="F1172" s="15">
        <v>2906</v>
      </c>
      <c r="G1172" s="15">
        <v>1856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15</v>
      </c>
      <c r="P1172">
        <f t="shared" si="60"/>
        <v>2024</v>
      </c>
      <c r="Q1172">
        <f t="shared" si="61"/>
        <v>5</v>
      </c>
      <c r="R1172" t="str">
        <f t="shared" si="62"/>
        <v>超级直播</v>
      </c>
      <c r="S1172" t="s">
        <v>628</v>
      </c>
      <c r="T1172" s="546" t="s">
        <v>804</v>
      </c>
    </row>
    <row r="1173" spans="1:20" x14ac:dyDescent="0.3">
      <c r="A1173" t="s">
        <v>627</v>
      </c>
      <c r="B1173" s="16">
        <v>45433</v>
      </c>
      <c r="C1173" t="s">
        <v>2</v>
      </c>
      <c r="D1173" t="s">
        <v>52</v>
      </c>
      <c r="E1173" t="s">
        <v>53</v>
      </c>
      <c r="F1173">
        <v>663</v>
      </c>
      <c r="G1173">
        <v>558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663</v>
      </c>
      <c r="O1173">
        <v>100</v>
      </c>
      <c r="P1173">
        <f t="shared" ref="P1173:P1236" si="63">YEAR(B1173)</f>
        <v>2024</v>
      </c>
      <c r="Q1173">
        <f t="shared" ref="Q1173:Q1236" si="64">MONTH(B1173)</f>
        <v>5</v>
      </c>
      <c r="R1173" t="str">
        <f t="shared" si="62"/>
        <v>Showmax</v>
      </c>
      <c r="S1173" t="s">
        <v>628</v>
      </c>
      <c r="T1173" s="546" t="s">
        <v>804</v>
      </c>
    </row>
    <row r="1174" spans="1:20" x14ac:dyDescent="0.3">
      <c r="A1174" t="s">
        <v>627</v>
      </c>
      <c r="B1174" s="16">
        <v>45433</v>
      </c>
      <c r="C1174" t="s">
        <v>2</v>
      </c>
      <c r="D1174" t="s">
        <v>52</v>
      </c>
      <c r="E1174" t="s">
        <v>59</v>
      </c>
      <c r="F1174" s="15">
        <v>1015</v>
      </c>
      <c r="G1174">
        <v>830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 s="15">
        <v>1015</v>
      </c>
      <c r="O1174">
        <v>241</v>
      </c>
      <c r="P1174">
        <f t="shared" si="63"/>
        <v>2024</v>
      </c>
      <c r="Q1174">
        <f t="shared" si="64"/>
        <v>5</v>
      </c>
      <c r="R1174" t="str">
        <f t="shared" si="62"/>
        <v>品牌特秀</v>
      </c>
      <c r="S1174" t="s">
        <v>628</v>
      </c>
      <c r="T1174" s="546" t="s">
        <v>804</v>
      </c>
    </row>
    <row r="1175" spans="1:20" x14ac:dyDescent="0.3">
      <c r="A1175" t="s">
        <v>627</v>
      </c>
      <c r="B1175" s="16">
        <v>45433</v>
      </c>
      <c r="C1175" t="s">
        <v>2</v>
      </c>
      <c r="D1175" t="s">
        <v>52</v>
      </c>
      <c r="E1175" t="s">
        <v>183</v>
      </c>
      <c r="F1175">
        <v>695</v>
      </c>
      <c r="G1175">
        <v>549</v>
      </c>
      <c r="H1175">
        <v>24</v>
      </c>
      <c r="I1175">
        <v>5</v>
      </c>
      <c r="J1175" s="15">
        <v>21638</v>
      </c>
      <c r="K1175">
        <v>6</v>
      </c>
      <c r="L1175" s="15">
        <v>16563</v>
      </c>
      <c r="M1175">
        <v>5</v>
      </c>
      <c r="N1175">
        <v>695</v>
      </c>
      <c r="O1175">
        <v>367</v>
      </c>
      <c r="P1175">
        <f t="shared" si="63"/>
        <v>2024</v>
      </c>
      <c r="Q1175">
        <f t="shared" si="64"/>
        <v>5</v>
      </c>
      <c r="R1175" t="str">
        <f t="shared" si="62"/>
        <v>品销宝-品牌专区</v>
      </c>
      <c r="S1175" t="s">
        <v>628</v>
      </c>
      <c r="T1175" s="546" t="s">
        <v>804</v>
      </c>
    </row>
    <row r="1176" spans="1:20" x14ac:dyDescent="0.3">
      <c r="A1176" t="s">
        <v>627</v>
      </c>
      <c r="B1176" s="16">
        <v>45433</v>
      </c>
      <c r="C1176" t="s">
        <v>2</v>
      </c>
      <c r="D1176" t="s">
        <v>57</v>
      </c>
      <c r="E1176" t="s">
        <v>65</v>
      </c>
      <c r="F1176" s="15">
        <v>5850</v>
      </c>
      <c r="G1176" s="15">
        <v>5220</v>
      </c>
      <c r="H1176">
        <v>138</v>
      </c>
      <c r="I1176">
        <v>45</v>
      </c>
      <c r="J1176" s="17">
        <v>177089.31</v>
      </c>
      <c r="K1176">
        <v>43</v>
      </c>
      <c r="L1176" s="17">
        <v>105859.81</v>
      </c>
      <c r="M1176">
        <v>32</v>
      </c>
      <c r="N1176">
        <v>479</v>
      </c>
      <c r="O1176" s="15">
        <v>5807</v>
      </c>
      <c r="P1176">
        <f t="shared" si="63"/>
        <v>2024</v>
      </c>
      <c r="Q1176">
        <f t="shared" si="64"/>
        <v>5</v>
      </c>
      <c r="R1176" t="str">
        <f t="shared" si="62"/>
        <v>直通车</v>
      </c>
      <c r="S1176" t="s">
        <v>628</v>
      </c>
      <c r="T1176" s="546" t="s">
        <v>804</v>
      </c>
    </row>
    <row r="1177" spans="1:20" x14ac:dyDescent="0.3">
      <c r="A1177" t="s">
        <v>627</v>
      </c>
      <c r="B1177" s="16">
        <v>45433</v>
      </c>
      <c r="C1177" t="s">
        <v>2</v>
      </c>
      <c r="D1177" t="s">
        <v>57</v>
      </c>
      <c r="E1177" t="s">
        <v>63</v>
      </c>
      <c r="F1177" s="15">
        <v>4203</v>
      </c>
      <c r="G1177" s="15">
        <v>2337</v>
      </c>
      <c r="H1177">
        <v>138</v>
      </c>
      <c r="I1177">
        <v>32</v>
      </c>
      <c r="J1177" s="17">
        <v>185073.5</v>
      </c>
      <c r="K1177">
        <v>53</v>
      </c>
      <c r="L1177" s="17">
        <v>158307.5</v>
      </c>
      <c r="M1177">
        <v>48</v>
      </c>
      <c r="N1177">
        <v>377</v>
      </c>
      <c r="O1177" s="15">
        <v>4195</v>
      </c>
      <c r="P1177">
        <f t="shared" si="63"/>
        <v>2024</v>
      </c>
      <c r="Q1177">
        <f t="shared" si="64"/>
        <v>5</v>
      </c>
      <c r="R1177" t="str">
        <f t="shared" si="62"/>
        <v>万相台</v>
      </c>
      <c r="S1177" t="s">
        <v>628</v>
      </c>
      <c r="T1177" s="546" t="s">
        <v>804</v>
      </c>
    </row>
    <row r="1178" spans="1:20" x14ac:dyDescent="0.3">
      <c r="A1178" t="s">
        <v>627</v>
      </c>
      <c r="B1178" s="16">
        <v>45433</v>
      </c>
      <c r="C1178" t="s">
        <v>2</v>
      </c>
      <c r="D1178" t="s">
        <v>57</v>
      </c>
      <c r="E1178" t="s">
        <v>64</v>
      </c>
      <c r="F1178" s="15">
        <v>19636</v>
      </c>
      <c r="G1178" s="15">
        <v>11735</v>
      </c>
      <c r="H1178">
        <v>100</v>
      </c>
      <c r="I1178">
        <v>94</v>
      </c>
      <c r="J1178" s="17">
        <v>22781.5</v>
      </c>
      <c r="K1178">
        <v>11</v>
      </c>
      <c r="L1178" s="17">
        <v>19586.5</v>
      </c>
      <c r="M1178">
        <v>10</v>
      </c>
      <c r="N1178">
        <v>495</v>
      </c>
      <c r="O1178" s="15">
        <v>19636</v>
      </c>
      <c r="P1178">
        <f t="shared" si="63"/>
        <v>2024</v>
      </c>
      <c r="Q1178">
        <f t="shared" si="64"/>
        <v>5</v>
      </c>
      <c r="R1178" t="str">
        <f t="shared" si="62"/>
        <v>引力魔方</v>
      </c>
      <c r="S1178" t="s">
        <v>628</v>
      </c>
      <c r="T1178" s="546" t="s">
        <v>804</v>
      </c>
    </row>
    <row r="1179" spans="1:20" x14ac:dyDescent="0.3">
      <c r="A1179" t="s">
        <v>627</v>
      </c>
      <c r="B1179" s="16">
        <v>45433</v>
      </c>
      <c r="C1179" t="s">
        <v>2</v>
      </c>
      <c r="D1179" t="s">
        <v>4</v>
      </c>
      <c r="E1179" t="s">
        <v>41</v>
      </c>
      <c r="F1179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f t="shared" si="63"/>
        <v>2024</v>
      </c>
      <c r="Q1179">
        <f t="shared" si="64"/>
        <v>5</v>
      </c>
      <c r="R1179" t="str">
        <f t="shared" si="62"/>
        <v>流量宝</v>
      </c>
      <c r="S1179" t="s">
        <v>628</v>
      </c>
      <c r="T1179" s="546" t="s">
        <v>804</v>
      </c>
    </row>
    <row r="1180" spans="1:20" x14ac:dyDescent="0.3">
      <c r="A1180" t="s">
        <v>627</v>
      </c>
      <c r="B1180" s="16">
        <v>45433</v>
      </c>
      <c r="C1180" t="s">
        <v>2</v>
      </c>
      <c r="D1180" t="s">
        <v>4</v>
      </c>
      <c r="E1180" t="s">
        <v>43</v>
      </c>
      <c r="F1180">
        <v>445</v>
      </c>
      <c r="G1180">
        <v>133</v>
      </c>
      <c r="H1180">
        <v>2</v>
      </c>
      <c r="I1180">
        <v>0</v>
      </c>
      <c r="J1180" s="17">
        <v>8242.07</v>
      </c>
      <c r="K1180">
        <v>3</v>
      </c>
      <c r="L1180" s="17">
        <v>8242.07</v>
      </c>
      <c r="M1180">
        <v>3</v>
      </c>
      <c r="N1180">
        <v>16</v>
      </c>
      <c r="O1180">
        <v>423</v>
      </c>
      <c r="P1180">
        <f t="shared" si="63"/>
        <v>2024</v>
      </c>
      <c r="Q1180">
        <f t="shared" si="64"/>
        <v>5</v>
      </c>
      <c r="R1180" t="str">
        <f t="shared" si="62"/>
        <v>淘宝客</v>
      </c>
      <c r="S1180" t="s">
        <v>628</v>
      </c>
      <c r="T1180" s="546" t="s">
        <v>804</v>
      </c>
    </row>
    <row r="1181" spans="1:20" x14ac:dyDescent="0.3">
      <c r="A1181" t="s">
        <v>627</v>
      </c>
      <c r="B1181" s="16">
        <v>45434</v>
      </c>
      <c r="C1181" t="s">
        <v>3</v>
      </c>
      <c r="D1181" t="s">
        <v>114</v>
      </c>
      <c r="E1181" t="s">
        <v>159</v>
      </c>
      <c r="F1181">
        <v>88</v>
      </c>
      <c r="G1181">
        <v>47</v>
      </c>
      <c r="H1181">
        <v>4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8</v>
      </c>
      <c r="O1181">
        <v>87</v>
      </c>
      <c r="P1181">
        <f t="shared" si="63"/>
        <v>2024</v>
      </c>
      <c r="Q1181">
        <f t="shared" si="64"/>
        <v>5</v>
      </c>
      <c r="R1181" t="str">
        <f t="shared" si="62"/>
        <v>主会场</v>
      </c>
      <c r="S1181" t="s">
        <v>628</v>
      </c>
      <c r="T1181" s="546" t="s">
        <v>804</v>
      </c>
    </row>
    <row r="1182" spans="1:20" x14ac:dyDescent="0.3">
      <c r="A1182" t="s">
        <v>627</v>
      </c>
      <c r="B1182" s="16">
        <v>45434</v>
      </c>
      <c r="C1182" t="s">
        <v>3</v>
      </c>
      <c r="D1182" t="s">
        <v>120</v>
      </c>
      <c r="E1182" t="s">
        <v>162</v>
      </c>
      <c r="F1182">
        <v>2</v>
      </c>
      <c r="G1182">
        <v>2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2</v>
      </c>
      <c r="O1182">
        <v>0</v>
      </c>
      <c r="P1182">
        <f t="shared" si="63"/>
        <v>2024</v>
      </c>
      <c r="Q1182">
        <f t="shared" si="64"/>
        <v>5</v>
      </c>
      <c r="R1182" t="str">
        <f t="shared" si="62"/>
        <v>手机浏览器访问天猫</v>
      </c>
      <c r="S1182" t="s">
        <v>628</v>
      </c>
      <c r="T1182" s="546" t="s">
        <v>804</v>
      </c>
    </row>
    <row r="1183" spans="1:20" x14ac:dyDescent="0.3">
      <c r="A1183" t="s">
        <v>627</v>
      </c>
      <c r="B1183" s="16">
        <v>45434</v>
      </c>
      <c r="C1183" t="s">
        <v>3</v>
      </c>
      <c r="D1183" t="s">
        <v>120</v>
      </c>
      <c r="E1183" t="s">
        <v>163</v>
      </c>
      <c r="F1183">
        <v>97</v>
      </c>
      <c r="G1183">
        <v>43</v>
      </c>
      <c r="H1183">
        <v>2</v>
      </c>
      <c r="I1183">
        <v>0</v>
      </c>
      <c r="J1183" s="17">
        <v>19196.09</v>
      </c>
      <c r="K1183">
        <v>5</v>
      </c>
      <c r="L1183" s="17">
        <v>16898.59</v>
      </c>
      <c r="M1183">
        <v>5</v>
      </c>
      <c r="N1183">
        <v>31</v>
      </c>
      <c r="O1183">
        <v>96</v>
      </c>
      <c r="P1183">
        <f t="shared" si="63"/>
        <v>2024</v>
      </c>
      <c r="Q1183">
        <f t="shared" si="64"/>
        <v>5</v>
      </c>
      <c r="R1183" t="str">
        <f t="shared" si="62"/>
        <v>手猫免费其他</v>
      </c>
      <c r="S1183" t="s">
        <v>628</v>
      </c>
      <c r="T1183" s="546" t="s">
        <v>804</v>
      </c>
    </row>
    <row r="1184" spans="1:20" x14ac:dyDescent="0.3">
      <c r="A1184" t="s">
        <v>627</v>
      </c>
      <c r="B1184" s="16">
        <v>45434</v>
      </c>
      <c r="C1184" t="s">
        <v>3</v>
      </c>
      <c r="D1184" t="s">
        <v>120</v>
      </c>
      <c r="E1184" t="s">
        <v>164</v>
      </c>
      <c r="F1184">
        <v>6</v>
      </c>
      <c r="G1184">
        <v>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6</v>
      </c>
      <c r="P1184">
        <f t="shared" si="63"/>
        <v>2024</v>
      </c>
      <c r="Q1184">
        <f t="shared" si="64"/>
        <v>5</v>
      </c>
      <c r="R1184" t="str">
        <f t="shared" si="62"/>
        <v>手猫其他店铺</v>
      </c>
      <c r="S1184" t="s">
        <v>628</v>
      </c>
      <c r="T1184" s="546" t="s">
        <v>804</v>
      </c>
    </row>
    <row r="1185" spans="1:20" x14ac:dyDescent="0.3">
      <c r="A1185" t="s">
        <v>627</v>
      </c>
      <c r="B1185" s="16">
        <v>45434</v>
      </c>
      <c r="C1185" t="s">
        <v>3</v>
      </c>
      <c r="D1185" t="s">
        <v>120</v>
      </c>
      <c r="E1185" t="s">
        <v>165</v>
      </c>
      <c r="F1185">
        <v>28</v>
      </c>
      <c r="G1185">
        <v>10</v>
      </c>
      <c r="H1185">
        <v>2</v>
      </c>
      <c r="I1185">
        <v>0</v>
      </c>
      <c r="J1185" s="17">
        <v>15058.52</v>
      </c>
      <c r="K1185">
        <v>4</v>
      </c>
      <c r="L1185" s="17">
        <v>11163.02</v>
      </c>
      <c r="M1185">
        <v>3</v>
      </c>
      <c r="N1185">
        <v>4</v>
      </c>
      <c r="O1185">
        <v>25</v>
      </c>
      <c r="P1185">
        <f t="shared" si="63"/>
        <v>2024</v>
      </c>
      <c r="Q1185">
        <f t="shared" si="64"/>
        <v>5</v>
      </c>
      <c r="R1185" t="str">
        <f t="shared" si="62"/>
        <v>手猫商品详情</v>
      </c>
      <c r="S1185" t="s">
        <v>628</v>
      </c>
      <c r="T1185" s="546" t="s">
        <v>804</v>
      </c>
    </row>
    <row r="1186" spans="1:20" x14ac:dyDescent="0.3">
      <c r="A1186" t="s">
        <v>627</v>
      </c>
      <c r="B1186" s="16">
        <v>45434</v>
      </c>
      <c r="C1186" t="s">
        <v>3</v>
      </c>
      <c r="D1186" t="s">
        <v>120</v>
      </c>
      <c r="E1186" t="s">
        <v>166</v>
      </c>
      <c r="F1186">
        <v>57</v>
      </c>
      <c r="G1186">
        <v>43</v>
      </c>
      <c r="H1186">
        <v>1</v>
      </c>
      <c r="I1186">
        <v>0</v>
      </c>
      <c r="J1186" s="15">
        <v>1305</v>
      </c>
      <c r="K1186">
        <v>1</v>
      </c>
      <c r="L1186" s="15">
        <v>1305</v>
      </c>
      <c r="M1186">
        <v>1</v>
      </c>
      <c r="N1186">
        <v>27</v>
      </c>
      <c r="O1186">
        <v>43</v>
      </c>
      <c r="P1186">
        <f t="shared" si="63"/>
        <v>2024</v>
      </c>
      <c r="Q1186">
        <f t="shared" si="64"/>
        <v>5</v>
      </c>
      <c r="R1186" t="str">
        <f t="shared" si="62"/>
        <v>手猫搜索</v>
      </c>
      <c r="S1186" t="s">
        <v>628</v>
      </c>
      <c r="T1186" s="546" t="s">
        <v>804</v>
      </c>
    </row>
    <row r="1187" spans="1:20" x14ac:dyDescent="0.3">
      <c r="A1187" t="s">
        <v>627</v>
      </c>
      <c r="B1187" s="16">
        <v>45434</v>
      </c>
      <c r="C1187" t="s">
        <v>3</v>
      </c>
      <c r="D1187" t="s">
        <v>120</v>
      </c>
      <c r="E1187" t="s">
        <v>167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f t="shared" si="63"/>
        <v>2024</v>
      </c>
      <c r="Q1187">
        <f t="shared" si="64"/>
        <v>5</v>
      </c>
      <c r="R1187" t="str">
        <f t="shared" si="62"/>
        <v>手猫旺信聊天</v>
      </c>
      <c r="S1187" t="s">
        <v>628</v>
      </c>
      <c r="T1187" s="546" t="s">
        <v>804</v>
      </c>
    </row>
    <row r="1188" spans="1:20" x14ac:dyDescent="0.3">
      <c r="A1188" t="s">
        <v>627</v>
      </c>
      <c r="B1188" s="16">
        <v>45434</v>
      </c>
      <c r="C1188" t="s">
        <v>3</v>
      </c>
      <c r="D1188" t="s">
        <v>120</v>
      </c>
      <c r="E1188" t="s">
        <v>168</v>
      </c>
      <c r="F1188">
        <v>367</v>
      </c>
      <c r="G1188">
        <v>192</v>
      </c>
      <c r="H1188">
        <v>2</v>
      </c>
      <c r="I1188">
        <v>0</v>
      </c>
      <c r="J1188" s="17">
        <v>6795.48</v>
      </c>
      <c r="K1188">
        <v>2</v>
      </c>
      <c r="L1188" s="17">
        <v>6795.48</v>
      </c>
      <c r="M1188">
        <v>2</v>
      </c>
      <c r="N1188">
        <v>9</v>
      </c>
      <c r="O1188">
        <v>367</v>
      </c>
      <c r="P1188">
        <f t="shared" si="63"/>
        <v>2024</v>
      </c>
      <c r="Q1188">
        <f t="shared" si="64"/>
        <v>5</v>
      </c>
      <c r="R1188" t="str">
        <f t="shared" si="62"/>
        <v>手猫首页</v>
      </c>
      <c r="S1188" t="s">
        <v>628</v>
      </c>
      <c r="T1188" s="546" t="s">
        <v>804</v>
      </c>
    </row>
    <row r="1189" spans="1:20" x14ac:dyDescent="0.3">
      <c r="A1189" t="s">
        <v>627</v>
      </c>
      <c r="B1189" s="16">
        <v>45434</v>
      </c>
      <c r="C1189" t="s">
        <v>3</v>
      </c>
      <c r="D1189" t="s">
        <v>123</v>
      </c>
      <c r="E1189" t="s">
        <v>169</v>
      </c>
      <c r="F1189">
        <v>212</v>
      </c>
      <c r="G1189">
        <v>106</v>
      </c>
      <c r="H1189">
        <v>21</v>
      </c>
      <c r="I1189">
        <v>7</v>
      </c>
      <c r="J1189" s="15">
        <v>8892</v>
      </c>
      <c r="K1189">
        <v>4</v>
      </c>
      <c r="L1189" s="15">
        <v>5442</v>
      </c>
      <c r="M1189">
        <v>3</v>
      </c>
      <c r="N1189">
        <v>66</v>
      </c>
      <c r="O1189">
        <v>194</v>
      </c>
      <c r="P1189">
        <f t="shared" si="63"/>
        <v>2024</v>
      </c>
      <c r="Q1189">
        <f t="shared" si="64"/>
        <v>5</v>
      </c>
      <c r="R1189" t="str">
        <f t="shared" si="62"/>
        <v>商品详情页头图推荐</v>
      </c>
      <c r="S1189" t="s">
        <v>628</v>
      </c>
      <c r="T1189" s="546" t="s">
        <v>804</v>
      </c>
    </row>
    <row r="1190" spans="1:20" x14ac:dyDescent="0.3">
      <c r="A1190" t="s">
        <v>627</v>
      </c>
      <c r="B1190" s="16">
        <v>45434</v>
      </c>
      <c r="C1190" t="s">
        <v>3</v>
      </c>
      <c r="D1190" t="s">
        <v>123</v>
      </c>
      <c r="E1190" t="s">
        <v>170</v>
      </c>
      <c r="F1190">
        <v>32</v>
      </c>
      <c r="G1190">
        <v>17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29</v>
      </c>
      <c r="O1190">
        <v>11</v>
      </c>
      <c r="P1190">
        <f t="shared" si="63"/>
        <v>2024</v>
      </c>
      <c r="Q1190">
        <f t="shared" si="64"/>
        <v>5</v>
      </c>
      <c r="R1190" t="str">
        <f t="shared" si="62"/>
        <v>店铺超链</v>
      </c>
      <c r="S1190" t="s">
        <v>628</v>
      </c>
      <c r="T1190" s="546" t="s">
        <v>804</v>
      </c>
    </row>
    <row r="1191" spans="1:20" x14ac:dyDescent="0.3">
      <c r="A1191" t="s">
        <v>627</v>
      </c>
      <c r="B1191" s="16">
        <v>45434</v>
      </c>
      <c r="C1191" t="s">
        <v>3</v>
      </c>
      <c r="D1191" t="s">
        <v>127</v>
      </c>
      <c r="E1191" t="s">
        <v>171</v>
      </c>
      <c r="F1191">
        <v>337</v>
      </c>
      <c r="G1191">
        <v>222</v>
      </c>
      <c r="H1191">
        <v>14</v>
      </c>
      <c r="I1191">
        <v>5</v>
      </c>
      <c r="J1191" s="15">
        <v>4526</v>
      </c>
      <c r="K1191">
        <v>3</v>
      </c>
      <c r="L1191" s="15">
        <v>3223</v>
      </c>
      <c r="M1191">
        <v>2</v>
      </c>
      <c r="N1191">
        <v>140</v>
      </c>
      <c r="O1191">
        <v>289</v>
      </c>
      <c r="P1191">
        <f t="shared" si="63"/>
        <v>2024</v>
      </c>
      <c r="Q1191">
        <f t="shared" si="64"/>
        <v>5</v>
      </c>
      <c r="R1191" t="str">
        <f t="shared" si="62"/>
        <v>其他猜你喜欢</v>
      </c>
      <c r="S1191" t="s">
        <v>628</v>
      </c>
      <c r="T1191" s="546" t="s">
        <v>804</v>
      </c>
    </row>
    <row r="1192" spans="1:20" x14ac:dyDescent="0.3">
      <c r="A1192" t="s">
        <v>627</v>
      </c>
      <c r="B1192" s="16">
        <v>45434</v>
      </c>
      <c r="C1192" t="s">
        <v>3</v>
      </c>
      <c r="D1192" t="s">
        <v>127</v>
      </c>
      <c r="E1192" t="s">
        <v>172</v>
      </c>
      <c r="F1192">
        <v>4</v>
      </c>
      <c r="G1192">
        <v>3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3</v>
      </c>
      <c r="P1192">
        <f t="shared" si="63"/>
        <v>2024</v>
      </c>
      <c r="Q1192">
        <f t="shared" si="64"/>
        <v>5</v>
      </c>
      <c r="R1192" t="str">
        <f t="shared" si="62"/>
        <v>购中推荐</v>
      </c>
      <c r="S1192" t="s">
        <v>628</v>
      </c>
      <c r="T1192" s="546" t="s">
        <v>804</v>
      </c>
    </row>
    <row r="1193" spans="1:20" x14ac:dyDescent="0.3">
      <c r="A1193" t="s">
        <v>627</v>
      </c>
      <c r="B1193" s="16">
        <v>45434</v>
      </c>
      <c r="C1193" t="s">
        <v>3</v>
      </c>
      <c r="D1193" t="s">
        <v>127</v>
      </c>
      <c r="E1193" t="s">
        <v>173</v>
      </c>
      <c r="F1193">
        <v>28</v>
      </c>
      <c r="G1193">
        <v>9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1</v>
      </c>
      <c r="O1193">
        <v>27</v>
      </c>
      <c r="P1193">
        <f t="shared" si="63"/>
        <v>2024</v>
      </c>
      <c r="Q1193">
        <f t="shared" si="64"/>
        <v>5</v>
      </c>
      <c r="R1193" t="str">
        <f t="shared" si="62"/>
        <v>购后推荐</v>
      </c>
      <c r="S1193" t="s">
        <v>628</v>
      </c>
      <c r="T1193" s="546" t="s">
        <v>804</v>
      </c>
    </row>
    <row r="1194" spans="1:20" x14ac:dyDescent="0.3">
      <c r="A1194" t="s">
        <v>627</v>
      </c>
      <c r="B1194" s="16">
        <v>45434</v>
      </c>
      <c r="C1194" t="s">
        <v>3</v>
      </c>
      <c r="D1194" t="s">
        <v>127</v>
      </c>
      <c r="E1194" t="s">
        <v>174</v>
      </c>
      <c r="F1194" s="15">
        <v>2639</v>
      </c>
      <c r="G1194" s="15">
        <v>1931</v>
      </c>
      <c r="H1194">
        <v>91</v>
      </c>
      <c r="I1194">
        <v>37</v>
      </c>
      <c r="J1194" s="17">
        <v>33440.089999999997</v>
      </c>
      <c r="K1194">
        <v>18</v>
      </c>
      <c r="L1194" s="17">
        <v>31952.09</v>
      </c>
      <c r="M1194">
        <v>17</v>
      </c>
      <c r="N1194">
        <v>356</v>
      </c>
      <c r="O1194" s="15">
        <v>2639</v>
      </c>
      <c r="P1194">
        <f t="shared" si="63"/>
        <v>2024</v>
      </c>
      <c r="Q1194">
        <f t="shared" si="64"/>
        <v>5</v>
      </c>
      <c r="R1194" t="str">
        <f t="shared" si="62"/>
        <v>首页推荐-微详情</v>
      </c>
      <c r="S1194" t="s">
        <v>628</v>
      </c>
      <c r="T1194" s="546" t="s">
        <v>804</v>
      </c>
    </row>
    <row r="1195" spans="1:20" x14ac:dyDescent="0.3">
      <c r="A1195" t="s">
        <v>627</v>
      </c>
      <c r="B1195" s="16">
        <v>45434</v>
      </c>
      <c r="C1195" t="s">
        <v>3</v>
      </c>
      <c r="D1195" t="s">
        <v>127</v>
      </c>
      <c r="E1195" t="s">
        <v>175</v>
      </c>
      <c r="F1195">
        <v>108</v>
      </c>
      <c r="G1195">
        <v>61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2</v>
      </c>
      <c r="O1195">
        <v>7</v>
      </c>
      <c r="P1195">
        <f t="shared" si="63"/>
        <v>2024</v>
      </c>
      <c r="Q1195">
        <f t="shared" si="64"/>
        <v>5</v>
      </c>
      <c r="R1195" t="str">
        <f t="shared" si="62"/>
        <v>首页推荐-直播</v>
      </c>
      <c r="S1195" t="s">
        <v>628</v>
      </c>
      <c r="T1195" s="546" t="s">
        <v>804</v>
      </c>
    </row>
    <row r="1196" spans="1:20" x14ac:dyDescent="0.3">
      <c r="A1196" t="s">
        <v>627</v>
      </c>
      <c r="B1196" s="16">
        <v>45434</v>
      </c>
      <c r="C1196" t="s">
        <v>3</v>
      </c>
      <c r="D1196" t="s">
        <v>127</v>
      </c>
      <c r="E1196" t="s">
        <v>176</v>
      </c>
      <c r="F1196">
        <v>44</v>
      </c>
      <c r="G1196">
        <v>19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f t="shared" si="63"/>
        <v>2024</v>
      </c>
      <c r="Q1196">
        <f t="shared" si="64"/>
        <v>5</v>
      </c>
      <c r="R1196" t="str">
        <f t="shared" si="62"/>
        <v>首页推荐-短视频</v>
      </c>
      <c r="S1196" t="s">
        <v>628</v>
      </c>
      <c r="T1196" s="546" t="s">
        <v>804</v>
      </c>
    </row>
    <row r="1197" spans="1:20" x14ac:dyDescent="0.3">
      <c r="A1197" t="s">
        <v>627</v>
      </c>
      <c r="B1197" s="16">
        <v>45434</v>
      </c>
      <c r="C1197" t="s">
        <v>3</v>
      </c>
      <c r="D1197" t="s">
        <v>128</v>
      </c>
      <c r="E1197" t="s">
        <v>177</v>
      </c>
      <c r="F1197">
        <v>762</v>
      </c>
      <c r="G1197">
        <v>601</v>
      </c>
      <c r="H1197">
        <v>50</v>
      </c>
      <c r="I1197">
        <v>5</v>
      </c>
      <c r="J1197" s="15">
        <v>34260</v>
      </c>
      <c r="K1197">
        <v>13</v>
      </c>
      <c r="L1197" s="15">
        <v>31957</v>
      </c>
      <c r="M1197">
        <v>11</v>
      </c>
      <c r="N1197">
        <v>249</v>
      </c>
      <c r="O1197">
        <v>655</v>
      </c>
      <c r="P1197">
        <f t="shared" si="63"/>
        <v>2024</v>
      </c>
      <c r="Q1197">
        <f t="shared" si="64"/>
        <v>5</v>
      </c>
      <c r="R1197" t="str">
        <f t="shared" si="62"/>
        <v>手淘搜索-商品及其他</v>
      </c>
      <c r="S1197" t="s">
        <v>628</v>
      </c>
      <c r="T1197" s="546" t="s">
        <v>804</v>
      </c>
    </row>
    <row r="1198" spans="1:20" x14ac:dyDescent="0.3">
      <c r="A1198" t="s">
        <v>627</v>
      </c>
      <c r="B1198" s="16">
        <v>45434</v>
      </c>
      <c r="C1198" t="s">
        <v>3</v>
      </c>
      <c r="D1198" t="s">
        <v>128</v>
      </c>
      <c r="E1198" t="s">
        <v>178</v>
      </c>
      <c r="F1198">
        <v>11</v>
      </c>
      <c r="G1198">
        <v>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11</v>
      </c>
      <c r="P1198">
        <f t="shared" si="63"/>
        <v>2024</v>
      </c>
      <c r="Q1198">
        <f t="shared" si="64"/>
        <v>5</v>
      </c>
      <c r="R1198" t="str">
        <f t="shared" si="62"/>
        <v>手淘搜索-直播</v>
      </c>
      <c r="S1198" t="s">
        <v>628</v>
      </c>
      <c r="T1198" s="546" t="s">
        <v>804</v>
      </c>
    </row>
    <row r="1199" spans="1:20" x14ac:dyDescent="0.3">
      <c r="A1199" t="s">
        <v>627</v>
      </c>
      <c r="B1199" s="16">
        <v>45434</v>
      </c>
      <c r="C1199" t="s">
        <v>3</v>
      </c>
      <c r="D1199" t="s">
        <v>128</v>
      </c>
      <c r="E1199" t="s">
        <v>179</v>
      </c>
      <c r="F1199">
        <v>15</v>
      </c>
      <c r="G1199">
        <v>8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f t="shared" si="63"/>
        <v>2024</v>
      </c>
      <c r="Q1199">
        <f t="shared" si="64"/>
        <v>5</v>
      </c>
      <c r="R1199" t="str">
        <f t="shared" si="62"/>
        <v>手淘搜索-短视频</v>
      </c>
      <c r="S1199" t="s">
        <v>628</v>
      </c>
      <c r="T1199" s="546" t="s">
        <v>804</v>
      </c>
    </row>
    <row r="1200" spans="1:20" x14ac:dyDescent="0.3">
      <c r="A1200" t="s">
        <v>627</v>
      </c>
      <c r="B1200" s="16">
        <v>45434</v>
      </c>
      <c r="C1200" t="s">
        <v>3</v>
      </c>
      <c r="D1200" t="s">
        <v>143</v>
      </c>
      <c r="E1200" t="s">
        <v>180</v>
      </c>
      <c r="F1200">
        <v>20</v>
      </c>
      <c r="G1200">
        <v>20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20</v>
      </c>
      <c r="P1200">
        <f t="shared" si="63"/>
        <v>2024</v>
      </c>
      <c r="Q1200">
        <f t="shared" si="64"/>
        <v>5</v>
      </c>
      <c r="R1200" t="str">
        <f t="shared" si="62"/>
        <v>淘特其他渠道</v>
      </c>
      <c r="S1200" t="s">
        <v>628</v>
      </c>
      <c r="T1200" s="546" t="s">
        <v>804</v>
      </c>
    </row>
    <row r="1201" spans="1:20" x14ac:dyDescent="0.3">
      <c r="A1201" t="s">
        <v>627</v>
      </c>
      <c r="B1201" s="16">
        <v>45434</v>
      </c>
      <c r="C1201" t="s">
        <v>2</v>
      </c>
      <c r="D1201" t="s">
        <v>55</v>
      </c>
      <c r="E1201" t="s">
        <v>54</v>
      </c>
      <c r="F1201" s="15">
        <v>2412</v>
      </c>
      <c r="G1201" s="15">
        <v>2240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6</v>
      </c>
      <c r="O1201" s="15">
        <v>1689</v>
      </c>
      <c r="P1201">
        <f t="shared" si="63"/>
        <v>2024</v>
      </c>
      <c r="Q1201">
        <f t="shared" si="64"/>
        <v>5</v>
      </c>
      <c r="R1201" t="str">
        <f t="shared" si="62"/>
        <v>超级直播</v>
      </c>
      <c r="S1201" t="s">
        <v>628</v>
      </c>
      <c r="T1201" s="546" t="s">
        <v>804</v>
      </c>
    </row>
    <row r="1202" spans="1:20" x14ac:dyDescent="0.3">
      <c r="A1202" t="s">
        <v>627</v>
      </c>
      <c r="B1202" s="16">
        <v>45434</v>
      </c>
      <c r="C1202" t="s">
        <v>2</v>
      </c>
      <c r="D1202" t="s">
        <v>52</v>
      </c>
      <c r="E1202" t="s">
        <v>53</v>
      </c>
      <c r="F1202" s="15">
        <v>1197</v>
      </c>
      <c r="G1202" s="15">
        <v>1019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 s="15">
        <v>1197</v>
      </c>
      <c r="O1202">
        <v>141</v>
      </c>
      <c r="P1202">
        <f t="shared" si="63"/>
        <v>2024</v>
      </c>
      <c r="Q1202">
        <f t="shared" si="64"/>
        <v>5</v>
      </c>
      <c r="R1202" t="str">
        <f t="shared" si="62"/>
        <v>Showmax</v>
      </c>
      <c r="S1202" t="s">
        <v>628</v>
      </c>
      <c r="T1202" s="546" t="s">
        <v>804</v>
      </c>
    </row>
    <row r="1203" spans="1:20" x14ac:dyDescent="0.3">
      <c r="A1203" t="s">
        <v>627</v>
      </c>
      <c r="B1203" s="16">
        <v>45434</v>
      </c>
      <c r="C1203" t="s">
        <v>2</v>
      </c>
      <c r="D1203" t="s">
        <v>52</v>
      </c>
      <c r="E1203" t="s">
        <v>59</v>
      </c>
      <c r="F1203" s="15">
        <v>1339</v>
      </c>
      <c r="G1203" s="15">
        <v>1083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 s="15">
        <v>1339</v>
      </c>
      <c r="O1203">
        <v>212</v>
      </c>
      <c r="P1203">
        <f t="shared" si="63"/>
        <v>2024</v>
      </c>
      <c r="Q1203">
        <f t="shared" si="64"/>
        <v>5</v>
      </c>
      <c r="R1203" t="str">
        <f t="shared" si="62"/>
        <v>品牌特秀</v>
      </c>
      <c r="S1203" t="s">
        <v>628</v>
      </c>
      <c r="T1203" s="546" t="s">
        <v>804</v>
      </c>
    </row>
    <row r="1204" spans="1:20" x14ac:dyDescent="0.3">
      <c r="A1204" t="s">
        <v>627</v>
      </c>
      <c r="B1204" s="16">
        <v>45434</v>
      </c>
      <c r="C1204" t="s">
        <v>2</v>
      </c>
      <c r="D1204" t="s">
        <v>52</v>
      </c>
      <c r="E1204" t="s">
        <v>183</v>
      </c>
      <c r="F1204">
        <v>737</v>
      </c>
      <c r="G1204">
        <v>613</v>
      </c>
      <c r="H1204">
        <v>17</v>
      </c>
      <c r="I1204">
        <v>7</v>
      </c>
      <c r="J1204" s="15">
        <v>10017</v>
      </c>
      <c r="K1204">
        <v>3</v>
      </c>
      <c r="L1204" s="15">
        <v>10017</v>
      </c>
      <c r="M1204">
        <v>3</v>
      </c>
      <c r="N1204">
        <v>737</v>
      </c>
      <c r="O1204">
        <v>374</v>
      </c>
      <c r="P1204">
        <f t="shared" si="63"/>
        <v>2024</v>
      </c>
      <c r="Q1204">
        <f t="shared" si="64"/>
        <v>5</v>
      </c>
      <c r="R1204" t="str">
        <f t="shared" si="62"/>
        <v>品销宝-品牌专区</v>
      </c>
      <c r="S1204" t="s">
        <v>628</v>
      </c>
      <c r="T1204" s="546" t="s">
        <v>804</v>
      </c>
    </row>
    <row r="1205" spans="1:20" x14ac:dyDescent="0.3">
      <c r="A1205" t="s">
        <v>627</v>
      </c>
      <c r="B1205" s="16">
        <v>45434</v>
      </c>
      <c r="C1205" t="s">
        <v>2</v>
      </c>
      <c r="D1205" t="s">
        <v>57</v>
      </c>
      <c r="E1205" t="s">
        <v>65</v>
      </c>
      <c r="F1205" s="15">
        <v>4975</v>
      </c>
      <c r="G1205" s="15">
        <v>4388</v>
      </c>
      <c r="H1205">
        <v>84</v>
      </c>
      <c r="I1205">
        <v>28</v>
      </c>
      <c r="J1205" s="17">
        <v>101763.5</v>
      </c>
      <c r="K1205">
        <v>23</v>
      </c>
      <c r="L1205" s="17">
        <v>52546.5</v>
      </c>
      <c r="M1205">
        <v>15</v>
      </c>
      <c r="N1205">
        <v>372</v>
      </c>
      <c r="O1205" s="15">
        <v>4946</v>
      </c>
      <c r="P1205">
        <f t="shared" si="63"/>
        <v>2024</v>
      </c>
      <c r="Q1205">
        <f t="shared" si="64"/>
        <v>5</v>
      </c>
      <c r="R1205" t="str">
        <f t="shared" si="62"/>
        <v>直通车</v>
      </c>
      <c r="S1205" t="s">
        <v>628</v>
      </c>
      <c r="T1205" s="546" t="s">
        <v>804</v>
      </c>
    </row>
    <row r="1206" spans="1:20" x14ac:dyDescent="0.3">
      <c r="A1206" t="s">
        <v>627</v>
      </c>
      <c r="B1206" s="16">
        <v>45434</v>
      </c>
      <c r="C1206" t="s">
        <v>2</v>
      </c>
      <c r="D1206" t="s">
        <v>57</v>
      </c>
      <c r="E1206" t="s">
        <v>63</v>
      </c>
      <c r="F1206" s="15">
        <v>3519</v>
      </c>
      <c r="G1206" s="15">
        <v>1832</v>
      </c>
      <c r="H1206">
        <v>103</v>
      </c>
      <c r="I1206">
        <v>29</v>
      </c>
      <c r="J1206" s="17">
        <v>94392.45</v>
      </c>
      <c r="K1206">
        <v>29</v>
      </c>
      <c r="L1206" s="17">
        <v>86070.45</v>
      </c>
      <c r="M1206">
        <v>27</v>
      </c>
      <c r="N1206">
        <v>303</v>
      </c>
      <c r="O1206" s="15">
        <v>3514</v>
      </c>
      <c r="P1206">
        <f t="shared" si="63"/>
        <v>2024</v>
      </c>
      <c r="Q1206">
        <f t="shared" si="64"/>
        <v>5</v>
      </c>
      <c r="R1206" t="str">
        <f t="shared" si="62"/>
        <v>万相台</v>
      </c>
      <c r="S1206" t="s">
        <v>628</v>
      </c>
      <c r="T1206" s="546" t="s">
        <v>804</v>
      </c>
    </row>
    <row r="1207" spans="1:20" x14ac:dyDescent="0.3">
      <c r="A1207" t="s">
        <v>627</v>
      </c>
      <c r="B1207" s="16">
        <v>45434</v>
      </c>
      <c r="C1207" t="s">
        <v>2</v>
      </c>
      <c r="D1207" t="s">
        <v>57</v>
      </c>
      <c r="E1207" t="s">
        <v>64</v>
      </c>
      <c r="F1207" s="15">
        <v>14379</v>
      </c>
      <c r="G1207" s="15">
        <v>7532</v>
      </c>
      <c r="H1207">
        <v>101</v>
      </c>
      <c r="I1207">
        <v>65</v>
      </c>
      <c r="J1207" s="17">
        <v>33391.800000000003</v>
      </c>
      <c r="K1207">
        <v>15</v>
      </c>
      <c r="L1207" s="17">
        <v>28470.799999999999</v>
      </c>
      <c r="M1207">
        <v>13</v>
      </c>
      <c r="N1207">
        <v>476</v>
      </c>
      <c r="O1207" s="15">
        <v>14379</v>
      </c>
      <c r="P1207">
        <f t="shared" si="63"/>
        <v>2024</v>
      </c>
      <c r="Q1207">
        <f t="shared" si="64"/>
        <v>5</v>
      </c>
      <c r="R1207" t="str">
        <f t="shared" si="62"/>
        <v>引力魔方</v>
      </c>
      <c r="S1207" t="s">
        <v>628</v>
      </c>
      <c r="T1207" s="546" t="s">
        <v>804</v>
      </c>
    </row>
    <row r="1208" spans="1:20" x14ac:dyDescent="0.3">
      <c r="A1208" t="s">
        <v>627</v>
      </c>
      <c r="B1208" s="16">
        <v>45434</v>
      </c>
      <c r="C1208" t="s">
        <v>2</v>
      </c>
      <c r="D1208" t="s">
        <v>4</v>
      </c>
      <c r="E1208" t="s">
        <v>41</v>
      </c>
      <c r="F1208">
        <v>4</v>
      </c>
      <c r="G1208">
        <v>4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3</v>
      </c>
      <c r="P1208">
        <f t="shared" si="63"/>
        <v>2024</v>
      </c>
      <c r="Q1208">
        <f t="shared" si="64"/>
        <v>5</v>
      </c>
      <c r="R1208" t="str">
        <f t="shared" si="62"/>
        <v>流量宝</v>
      </c>
      <c r="S1208" t="s">
        <v>628</v>
      </c>
      <c r="T1208" s="546" t="s">
        <v>804</v>
      </c>
    </row>
    <row r="1209" spans="1:20" x14ac:dyDescent="0.3">
      <c r="A1209" t="s">
        <v>627</v>
      </c>
      <c r="B1209" s="16">
        <v>45434</v>
      </c>
      <c r="C1209" t="s">
        <v>2</v>
      </c>
      <c r="D1209" t="s">
        <v>4</v>
      </c>
      <c r="E1209" t="s">
        <v>43</v>
      </c>
      <c r="F1209">
        <v>348</v>
      </c>
      <c r="G1209">
        <v>94</v>
      </c>
      <c r="H1209">
        <v>4</v>
      </c>
      <c r="I1209">
        <v>1</v>
      </c>
      <c r="J1209" s="15">
        <v>2910</v>
      </c>
      <c r="K1209">
        <v>2</v>
      </c>
      <c r="L1209" s="15">
        <v>2910</v>
      </c>
      <c r="M1209">
        <v>2</v>
      </c>
      <c r="N1209">
        <v>12</v>
      </c>
      <c r="O1209">
        <v>341</v>
      </c>
      <c r="P1209">
        <f t="shared" si="63"/>
        <v>2024</v>
      </c>
      <c r="Q1209">
        <f t="shared" si="64"/>
        <v>5</v>
      </c>
      <c r="R1209" t="str">
        <f t="shared" si="62"/>
        <v>淘宝客</v>
      </c>
      <c r="S1209" t="s">
        <v>628</v>
      </c>
      <c r="T1209" s="546" t="s">
        <v>804</v>
      </c>
    </row>
    <row r="1210" spans="1:20" x14ac:dyDescent="0.3">
      <c r="A1210" t="s">
        <v>627</v>
      </c>
      <c r="B1210" s="16">
        <v>45435</v>
      </c>
      <c r="C1210" t="s">
        <v>3</v>
      </c>
      <c r="D1210" t="s">
        <v>114</v>
      </c>
      <c r="E1210" t="s">
        <v>159</v>
      </c>
      <c r="F1210">
        <v>131</v>
      </c>
      <c r="G1210">
        <v>49</v>
      </c>
      <c r="H1210">
        <v>5</v>
      </c>
      <c r="I1210">
        <v>1</v>
      </c>
      <c r="J1210" s="15">
        <v>3468</v>
      </c>
      <c r="K1210">
        <v>2</v>
      </c>
      <c r="L1210" s="15">
        <v>1488</v>
      </c>
      <c r="M1210">
        <v>1</v>
      </c>
      <c r="N1210">
        <v>11</v>
      </c>
      <c r="O1210">
        <v>124</v>
      </c>
      <c r="P1210">
        <f t="shared" si="63"/>
        <v>2024</v>
      </c>
      <c r="Q1210">
        <f t="shared" si="64"/>
        <v>5</v>
      </c>
      <c r="R1210" t="str">
        <f t="shared" si="62"/>
        <v>主会场</v>
      </c>
      <c r="S1210" t="s">
        <v>628</v>
      </c>
      <c r="T1210" s="546" t="s">
        <v>804</v>
      </c>
    </row>
    <row r="1211" spans="1:20" x14ac:dyDescent="0.3">
      <c r="A1211" t="s">
        <v>627</v>
      </c>
      <c r="B1211" s="16">
        <v>45435</v>
      </c>
      <c r="C1211" t="s">
        <v>3</v>
      </c>
      <c r="D1211" t="s">
        <v>120</v>
      </c>
      <c r="E1211" t="s">
        <v>163</v>
      </c>
      <c r="F1211">
        <v>95</v>
      </c>
      <c r="G1211">
        <v>41</v>
      </c>
      <c r="H1211">
        <v>3</v>
      </c>
      <c r="I1211">
        <v>0</v>
      </c>
      <c r="J1211" s="17">
        <v>4024.5</v>
      </c>
      <c r="K1211">
        <v>2</v>
      </c>
      <c r="L1211" s="17">
        <v>4024.5</v>
      </c>
      <c r="M1211">
        <v>2</v>
      </c>
      <c r="N1211">
        <v>21</v>
      </c>
      <c r="O1211">
        <v>95</v>
      </c>
      <c r="P1211">
        <f t="shared" si="63"/>
        <v>2024</v>
      </c>
      <c r="Q1211">
        <f t="shared" si="64"/>
        <v>5</v>
      </c>
      <c r="R1211" t="str">
        <f t="shared" si="62"/>
        <v>手猫免费其他</v>
      </c>
      <c r="S1211" t="s">
        <v>628</v>
      </c>
      <c r="T1211" s="546" t="s">
        <v>804</v>
      </c>
    </row>
    <row r="1212" spans="1:20" x14ac:dyDescent="0.3">
      <c r="A1212" t="s">
        <v>627</v>
      </c>
      <c r="B1212" s="16">
        <v>45435</v>
      </c>
      <c r="C1212" t="s">
        <v>3</v>
      </c>
      <c r="D1212" t="s">
        <v>120</v>
      </c>
      <c r="E1212" t="s">
        <v>164</v>
      </c>
      <c r="F1212">
        <v>8</v>
      </c>
      <c r="G1212">
        <v>6</v>
      </c>
      <c r="H1212">
        <v>1</v>
      </c>
      <c r="I1212">
        <v>0</v>
      </c>
      <c r="J1212" s="15">
        <v>5602</v>
      </c>
      <c r="K1212">
        <v>1</v>
      </c>
      <c r="L1212" s="15">
        <v>5602</v>
      </c>
      <c r="M1212">
        <v>1</v>
      </c>
      <c r="N1212">
        <v>0</v>
      </c>
      <c r="O1212">
        <v>8</v>
      </c>
      <c r="P1212">
        <f t="shared" si="63"/>
        <v>2024</v>
      </c>
      <c r="Q1212">
        <f t="shared" si="64"/>
        <v>5</v>
      </c>
      <c r="R1212" t="str">
        <f t="shared" si="62"/>
        <v>手猫其他店铺</v>
      </c>
      <c r="S1212" t="s">
        <v>628</v>
      </c>
      <c r="T1212" s="546" t="s">
        <v>804</v>
      </c>
    </row>
    <row r="1213" spans="1:20" x14ac:dyDescent="0.3">
      <c r="A1213" t="s">
        <v>627</v>
      </c>
      <c r="B1213" s="16">
        <v>45435</v>
      </c>
      <c r="C1213" t="s">
        <v>3</v>
      </c>
      <c r="D1213" t="s">
        <v>120</v>
      </c>
      <c r="E1213" t="s">
        <v>165</v>
      </c>
      <c r="F1213">
        <v>26</v>
      </c>
      <c r="G1213">
        <v>5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26</v>
      </c>
      <c r="P1213">
        <f t="shared" si="63"/>
        <v>2024</v>
      </c>
      <c r="Q1213">
        <f t="shared" si="64"/>
        <v>5</v>
      </c>
      <c r="R1213" t="str">
        <f t="shared" si="62"/>
        <v>手猫商品详情</v>
      </c>
      <c r="S1213" t="s">
        <v>628</v>
      </c>
      <c r="T1213" s="546" t="s">
        <v>804</v>
      </c>
    </row>
    <row r="1214" spans="1:20" x14ac:dyDescent="0.3">
      <c r="A1214" t="s">
        <v>627</v>
      </c>
      <c r="B1214" s="16">
        <v>45435</v>
      </c>
      <c r="C1214" t="s">
        <v>3</v>
      </c>
      <c r="D1214" t="s">
        <v>120</v>
      </c>
      <c r="E1214" t="s">
        <v>166</v>
      </c>
      <c r="F1214">
        <v>63</v>
      </c>
      <c r="G1214">
        <v>43</v>
      </c>
      <c r="H1214">
        <v>1</v>
      </c>
      <c r="I1214">
        <v>0</v>
      </c>
      <c r="J1214" s="15">
        <v>2225</v>
      </c>
      <c r="K1214">
        <v>1</v>
      </c>
      <c r="L1214" s="15">
        <v>2225</v>
      </c>
      <c r="M1214">
        <v>1</v>
      </c>
      <c r="N1214">
        <v>18</v>
      </c>
      <c r="O1214">
        <v>54</v>
      </c>
      <c r="P1214">
        <f t="shared" si="63"/>
        <v>2024</v>
      </c>
      <c r="Q1214">
        <f t="shared" si="64"/>
        <v>5</v>
      </c>
      <c r="R1214" t="str">
        <f t="shared" si="62"/>
        <v>手猫搜索</v>
      </c>
      <c r="S1214" t="s">
        <v>628</v>
      </c>
      <c r="T1214" s="546" t="s">
        <v>804</v>
      </c>
    </row>
    <row r="1215" spans="1:20" x14ac:dyDescent="0.3">
      <c r="A1215" t="s">
        <v>627</v>
      </c>
      <c r="B1215" s="16">
        <v>45435</v>
      </c>
      <c r="C1215" t="s">
        <v>3</v>
      </c>
      <c r="D1215" t="s">
        <v>120</v>
      </c>
      <c r="E1215" t="s">
        <v>168</v>
      </c>
      <c r="F1215">
        <v>345</v>
      </c>
      <c r="G1215">
        <v>177</v>
      </c>
      <c r="H1215">
        <v>3</v>
      </c>
      <c r="I1215">
        <v>0</v>
      </c>
      <c r="J1215" s="15">
        <v>5091</v>
      </c>
      <c r="K1215">
        <v>3</v>
      </c>
      <c r="L1215" s="15">
        <v>5091</v>
      </c>
      <c r="M1215">
        <v>3</v>
      </c>
      <c r="N1215">
        <v>21</v>
      </c>
      <c r="O1215">
        <v>345</v>
      </c>
      <c r="P1215">
        <f t="shared" si="63"/>
        <v>2024</v>
      </c>
      <c r="Q1215">
        <f t="shared" si="64"/>
        <v>5</v>
      </c>
      <c r="R1215" t="str">
        <f t="shared" si="62"/>
        <v>手猫首页</v>
      </c>
      <c r="S1215" t="s">
        <v>628</v>
      </c>
      <c r="T1215" s="546" t="s">
        <v>804</v>
      </c>
    </row>
    <row r="1216" spans="1:20" x14ac:dyDescent="0.3">
      <c r="A1216" t="s">
        <v>627</v>
      </c>
      <c r="B1216" s="16">
        <v>45435</v>
      </c>
      <c r="C1216" t="s">
        <v>3</v>
      </c>
      <c r="D1216" t="s">
        <v>123</v>
      </c>
      <c r="E1216" t="s">
        <v>169</v>
      </c>
      <c r="F1216">
        <v>244</v>
      </c>
      <c r="G1216">
        <v>127</v>
      </c>
      <c r="H1216">
        <v>14</v>
      </c>
      <c r="I1216">
        <v>6</v>
      </c>
      <c r="J1216" s="15">
        <v>9603</v>
      </c>
      <c r="K1216">
        <v>4</v>
      </c>
      <c r="L1216" s="15">
        <v>6398</v>
      </c>
      <c r="M1216">
        <v>4</v>
      </c>
      <c r="N1216">
        <v>79</v>
      </c>
      <c r="O1216">
        <v>232</v>
      </c>
      <c r="P1216">
        <f t="shared" si="63"/>
        <v>2024</v>
      </c>
      <c r="Q1216">
        <f t="shared" si="64"/>
        <v>5</v>
      </c>
      <c r="R1216" t="str">
        <f t="shared" si="62"/>
        <v>商品详情页头图推荐</v>
      </c>
      <c r="S1216" t="s">
        <v>628</v>
      </c>
      <c r="T1216" s="546" t="s">
        <v>804</v>
      </c>
    </row>
    <row r="1217" spans="1:20" x14ac:dyDescent="0.3">
      <c r="A1217" t="s">
        <v>627</v>
      </c>
      <c r="B1217" s="16">
        <v>45435</v>
      </c>
      <c r="C1217" t="s">
        <v>3</v>
      </c>
      <c r="D1217" t="s">
        <v>123</v>
      </c>
      <c r="E1217" t="s">
        <v>170</v>
      </c>
      <c r="F1217">
        <v>32</v>
      </c>
      <c r="G1217">
        <v>25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30</v>
      </c>
      <c r="O1217">
        <v>13</v>
      </c>
      <c r="P1217">
        <f t="shared" si="63"/>
        <v>2024</v>
      </c>
      <c r="Q1217">
        <f t="shared" si="64"/>
        <v>5</v>
      </c>
      <c r="R1217" t="str">
        <f t="shared" si="62"/>
        <v>店铺超链</v>
      </c>
      <c r="S1217" t="s">
        <v>628</v>
      </c>
      <c r="T1217" s="546" t="s">
        <v>804</v>
      </c>
    </row>
    <row r="1218" spans="1:20" x14ac:dyDescent="0.3">
      <c r="A1218" t="s">
        <v>627</v>
      </c>
      <c r="B1218" s="16">
        <v>45435</v>
      </c>
      <c r="C1218" t="s">
        <v>3</v>
      </c>
      <c r="D1218" t="s">
        <v>127</v>
      </c>
      <c r="E1218" t="s">
        <v>171</v>
      </c>
      <c r="F1218">
        <v>431</v>
      </c>
      <c r="G1218">
        <v>330</v>
      </c>
      <c r="H1218">
        <v>26</v>
      </c>
      <c r="I1218">
        <v>9</v>
      </c>
      <c r="J1218" s="15">
        <v>4523</v>
      </c>
      <c r="K1218">
        <v>3</v>
      </c>
      <c r="L1218" s="15">
        <v>4523</v>
      </c>
      <c r="M1218">
        <v>3</v>
      </c>
      <c r="N1218">
        <v>153</v>
      </c>
      <c r="O1218">
        <v>376</v>
      </c>
      <c r="P1218">
        <f t="shared" si="63"/>
        <v>2024</v>
      </c>
      <c r="Q1218">
        <f t="shared" si="64"/>
        <v>5</v>
      </c>
      <c r="R1218" t="str">
        <f t="shared" si="62"/>
        <v>其他猜你喜欢</v>
      </c>
      <c r="S1218" t="s">
        <v>628</v>
      </c>
      <c r="T1218" s="546" t="s">
        <v>804</v>
      </c>
    </row>
    <row r="1219" spans="1:20" x14ac:dyDescent="0.3">
      <c r="A1219" t="s">
        <v>627</v>
      </c>
      <c r="B1219" s="16">
        <v>45435</v>
      </c>
      <c r="C1219" t="s">
        <v>3</v>
      </c>
      <c r="D1219" t="s">
        <v>127</v>
      </c>
      <c r="E1219" t="s">
        <v>172</v>
      </c>
      <c r="F1219">
        <v>3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3</v>
      </c>
      <c r="P1219">
        <f t="shared" si="63"/>
        <v>2024</v>
      </c>
      <c r="Q1219">
        <f t="shared" si="64"/>
        <v>5</v>
      </c>
      <c r="R1219" t="str">
        <f t="shared" si="62"/>
        <v>购中推荐</v>
      </c>
      <c r="S1219" t="s">
        <v>628</v>
      </c>
      <c r="T1219" s="546" t="s">
        <v>804</v>
      </c>
    </row>
    <row r="1220" spans="1:20" x14ac:dyDescent="0.3">
      <c r="A1220" t="s">
        <v>627</v>
      </c>
      <c r="B1220" s="16">
        <v>45435</v>
      </c>
      <c r="C1220" t="s">
        <v>3</v>
      </c>
      <c r="D1220" t="s">
        <v>127</v>
      </c>
      <c r="E1220" t="s">
        <v>173</v>
      </c>
      <c r="F1220">
        <v>48</v>
      </c>
      <c r="G1220">
        <v>27</v>
      </c>
      <c r="H1220">
        <v>0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32</v>
      </c>
      <c r="P1220">
        <f t="shared" si="63"/>
        <v>2024</v>
      </c>
      <c r="Q1220">
        <f t="shared" si="64"/>
        <v>5</v>
      </c>
      <c r="R1220" t="str">
        <f t="shared" si="62"/>
        <v>购后推荐</v>
      </c>
      <c r="S1220" t="s">
        <v>628</v>
      </c>
      <c r="T1220" s="546" t="s">
        <v>804</v>
      </c>
    </row>
    <row r="1221" spans="1:20" x14ac:dyDescent="0.3">
      <c r="A1221" t="s">
        <v>627</v>
      </c>
      <c r="B1221" s="16">
        <v>45435</v>
      </c>
      <c r="C1221" t="s">
        <v>3</v>
      </c>
      <c r="D1221" t="s">
        <v>127</v>
      </c>
      <c r="E1221" t="s">
        <v>174</v>
      </c>
      <c r="F1221" s="15">
        <v>3677</v>
      </c>
      <c r="G1221" s="15">
        <v>2861</v>
      </c>
      <c r="H1221">
        <v>143</v>
      </c>
      <c r="I1221">
        <v>51</v>
      </c>
      <c r="J1221" s="15">
        <v>32142</v>
      </c>
      <c r="K1221">
        <v>19</v>
      </c>
      <c r="L1221" s="15">
        <v>23342</v>
      </c>
      <c r="M1221">
        <v>14</v>
      </c>
      <c r="N1221">
        <v>584</v>
      </c>
      <c r="O1221" s="15">
        <v>3677</v>
      </c>
      <c r="P1221">
        <f t="shared" si="63"/>
        <v>2024</v>
      </c>
      <c r="Q1221">
        <f t="shared" si="64"/>
        <v>5</v>
      </c>
      <c r="R1221" t="str">
        <f t="shared" si="62"/>
        <v>首页推荐-微详情</v>
      </c>
      <c r="S1221" t="s">
        <v>628</v>
      </c>
      <c r="T1221" s="546" t="s">
        <v>804</v>
      </c>
    </row>
    <row r="1222" spans="1:20" x14ac:dyDescent="0.3">
      <c r="A1222" t="s">
        <v>627</v>
      </c>
      <c r="B1222" s="16">
        <v>45435</v>
      </c>
      <c r="C1222" t="s">
        <v>3</v>
      </c>
      <c r="D1222" t="s">
        <v>127</v>
      </c>
      <c r="E1222" t="s">
        <v>175</v>
      </c>
      <c r="F1222" s="15">
        <v>6215</v>
      </c>
      <c r="G1222" s="15">
        <v>5936</v>
      </c>
      <c r="H1222">
        <v>1</v>
      </c>
      <c r="I1222">
        <v>0</v>
      </c>
      <c r="J1222" s="15">
        <v>2488</v>
      </c>
      <c r="K1222">
        <v>1</v>
      </c>
      <c r="L1222">
        <v>0</v>
      </c>
      <c r="M1222">
        <v>0</v>
      </c>
      <c r="N1222">
        <v>2</v>
      </c>
      <c r="O1222">
        <v>13</v>
      </c>
      <c r="P1222">
        <f t="shared" si="63"/>
        <v>2024</v>
      </c>
      <c r="Q1222">
        <f t="shared" si="64"/>
        <v>5</v>
      </c>
      <c r="R1222" t="str">
        <f t="shared" si="62"/>
        <v>首页推荐-直播</v>
      </c>
      <c r="S1222" t="s">
        <v>628</v>
      </c>
      <c r="T1222" s="546" t="s">
        <v>804</v>
      </c>
    </row>
    <row r="1223" spans="1:20" x14ac:dyDescent="0.3">
      <c r="A1223" t="s">
        <v>627</v>
      </c>
      <c r="B1223" s="16">
        <v>45435</v>
      </c>
      <c r="C1223" t="s">
        <v>3</v>
      </c>
      <c r="D1223" t="s">
        <v>127</v>
      </c>
      <c r="E1223" t="s">
        <v>176</v>
      </c>
      <c r="F1223">
        <v>83</v>
      </c>
      <c r="G1223">
        <v>55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f t="shared" si="63"/>
        <v>2024</v>
      </c>
      <c r="Q1223">
        <f t="shared" si="64"/>
        <v>5</v>
      </c>
      <c r="R1223" t="str">
        <f t="shared" ref="R1223:R1286" si="65">E1223</f>
        <v>首页推荐-短视频</v>
      </c>
      <c r="S1223" t="s">
        <v>628</v>
      </c>
      <c r="T1223" s="546" t="s">
        <v>804</v>
      </c>
    </row>
    <row r="1224" spans="1:20" x14ac:dyDescent="0.3">
      <c r="A1224" t="s">
        <v>627</v>
      </c>
      <c r="B1224" s="16">
        <v>45435</v>
      </c>
      <c r="C1224" t="s">
        <v>3</v>
      </c>
      <c r="D1224" t="s">
        <v>128</v>
      </c>
      <c r="E1224" t="s">
        <v>177</v>
      </c>
      <c r="F1224">
        <v>801</v>
      </c>
      <c r="G1224">
        <v>610</v>
      </c>
      <c r="H1224">
        <v>58</v>
      </c>
      <c r="I1224">
        <v>10</v>
      </c>
      <c r="J1224" s="17">
        <v>39505.06</v>
      </c>
      <c r="K1224">
        <v>14</v>
      </c>
      <c r="L1224" s="17">
        <v>37843.83</v>
      </c>
      <c r="M1224">
        <v>14</v>
      </c>
      <c r="N1224">
        <v>248</v>
      </c>
      <c r="O1224">
        <v>694</v>
      </c>
      <c r="P1224">
        <f t="shared" si="63"/>
        <v>2024</v>
      </c>
      <c r="Q1224">
        <f t="shared" si="64"/>
        <v>5</v>
      </c>
      <c r="R1224" t="str">
        <f t="shared" si="65"/>
        <v>手淘搜索-商品及其他</v>
      </c>
      <c r="S1224" t="s">
        <v>628</v>
      </c>
      <c r="T1224" s="546" t="s">
        <v>804</v>
      </c>
    </row>
    <row r="1225" spans="1:20" x14ac:dyDescent="0.3">
      <c r="A1225" t="s">
        <v>627</v>
      </c>
      <c r="B1225" s="16">
        <v>45435</v>
      </c>
      <c r="C1225" t="s">
        <v>3</v>
      </c>
      <c r="D1225" t="s">
        <v>128</v>
      </c>
      <c r="E1225" t="s">
        <v>178</v>
      </c>
      <c r="F1225">
        <v>21</v>
      </c>
      <c r="G1225">
        <v>13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2</v>
      </c>
      <c r="O1225">
        <v>11</v>
      </c>
      <c r="P1225">
        <f t="shared" si="63"/>
        <v>2024</v>
      </c>
      <c r="Q1225">
        <f t="shared" si="64"/>
        <v>5</v>
      </c>
      <c r="R1225" t="str">
        <f t="shared" si="65"/>
        <v>手淘搜索-直播</v>
      </c>
      <c r="S1225" t="s">
        <v>628</v>
      </c>
      <c r="T1225" s="546" t="s">
        <v>804</v>
      </c>
    </row>
    <row r="1226" spans="1:20" x14ac:dyDescent="0.3">
      <c r="A1226" t="s">
        <v>627</v>
      </c>
      <c r="B1226" s="16">
        <v>45435</v>
      </c>
      <c r="C1226" t="s">
        <v>3</v>
      </c>
      <c r="D1226" t="s">
        <v>128</v>
      </c>
      <c r="E1226" t="s">
        <v>179</v>
      </c>
      <c r="F1226">
        <v>26</v>
      </c>
      <c r="G1226">
        <v>13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</v>
      </c>
      <c r="O1226">
        <v>3</v>
      </c>
      <c r="P1226">
        <f t="shared" si="63"/>
        <v>2024</v>
      </c>
      <c r="Q1226">
        <f t="shared" si="64"/>
        <v>5</v>
      </c>
      <c r="R1226" t="str">
        <f t="shared" si="65"/>
        <v>手淘搜索-短视频</v>
      </c>
      <c r="S1226" t="s">
        <v>628</v>
      </c>
      <c r="T1226" s="546" t="s">
        <v>804</v>
      </c>
    </row>
    <row r="1227" spans="1:20" x14ac:dyDescent="0.3">
      <c r="A1227" t="s">
        <v>627</v>
      </c>
      <c r="B1227" s="16">
        <v>45435</v>
      </c>
      <c r="C1227" t="s">
        <v>3</v>
      </c>
      <c r="D1227" t="s">
        <v>143</v>
      </c>
      <c r="E1227" t="s">
        <v>180</v>
      </c>
      <c r="F1227">
        <v>14</v>
      </c>
      <c r="G1227">
        <v>12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14</v>
      </c>
      <c r="P1227">
        <f t="shared" si="63"/>
        <v>2024</v>
      </c>
      <c r="Q1227">
        <f t="shared" si="64"/>
        <v>5</v>
      </c>
      <c r="R1227" t="str">
        <f t="shared" si="65"/>
        <v>淘特其他渠道</v>
      </c>
      <c r="S1227" t="s">
        <v>628</v>
      </c>
      <c r="T1227" s="546" t="s">
        <v>804</v>
      </c>
    </row>
    <row r="1228" spans="1:20" x14ac:dyDescent="0.3">
      <c r="A1228" t="s">
        <v>627</v>
      </c>
      <c r="B1228" s="16">
        <v>45435</v>
      </c>
      <c r="C1228" t="s">
        <v>3</v>
      </c>
      <c r="D1228" t="s">
        <v>143</v>
      </c>
      <c r="E1228" t="s">
        <v>181</v>
      </c>
      <c r="F1228">
        <v>1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f t="shared" si="63"/>
        <v>2024</v>
      </c>
      <c r="Q1228">
        <f t="shared" si="64"/>
        <v>5</v>
      </c>
      <c r="R1228" t="str">
        <f t="shared" si="65"/>
        <v>淘特搜索</v>
      </c>
      <c r="S1228" t="s">
        <v>628</v>
      </c>
      <c r="T1228" s="546" t="s">
        <v>804</v>
      </c>
    </row>
    <row r="1229" spans="1:20" x14ac:dyDescent="0.3">
      <c r="A1229" t="s">
        <v>627</v>
      </c>
      <c r="B1229" s="16">
        <v>45435</v>
      </c>
      <c r="C1229" t="s">
        <v>2</v>
      </c>
      <c r="D1229" t="s">
        <v>55</v>
      </c>
      <c r="E1229" t="s">
        <v>54</v>
      </c>
      <c r="F1229" s="15">
        <v>2270</v>
      </c>
      <c r="G1229" s="15">
        <v>2049</v>
      </c>
      <c r="H1229">
        <v>4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9</v>
      </c>
      <c r="O1229">
        <v>860</v>
      </c>
      <c r="P1229">
        <f t="shared" si="63"/>
        <v>2024</v>
      </c>
      <c r="Q1229">
        <f t="shared" si="64"/>
        <v>5</v>
      </c>
      <c r="R1229" t="str">
        <f t="shared" si="65"/>
        <v>超级直播</v>
      </c>
      <c r="S1229" t="s">
        <v>628</v>
      </c>
      <c r="T1229" s="546" t="s">
        <v>804</v>
      </c>
    </row>
    <row r="1230" spans="1:20" x14ac:dyDescent="0.3">
      <c r="A1230" t="s">
        <v>627</v>
      </c>
      <c r="B1230" s="16">
        <v>45435</v>
      </c>
      <c r="C1230" t="s">
        <v>2</v>
      </c>
      <c r="D1230" t="s">
        <v>55</v>
      </c>
      <c r="E1230" t="s">
        <v>56</v>
      </c>
      <c r="F1230">
        <v>1</v>
      </c>
      <c r="G1230">
        <v>0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</v>
      </c>
      <c r="P1230">
        <f t="shared" si="63"/>
        <v>2024</v>
      </c>
      <c r="Q1230">
        <f t="shared" si="64"/>
        <v>5</v>
      </c>
      <c r="R1230" t="str">
        <f t="shared" si="65"/>
        <v>超级短视频</v>
      </c>
      <c r="S1230" t="s">
        <v>628</v>
      </c>
      <c r="T1230" s="546" t="s">
        <v>804</v>
      </c>
    </row>
    <row r="1231" spans="1:20" x14ac:dyDescent="0.3">
      <c r="A1231" t="s">
        <v>627</v>
      </c>
      <c r="B1231" s="16">
        <v>45435</v>
      </c>
      <c r="C1231" t="s">
        <v>2</v>
      </c>
      <c r="D1231" t="s">
        <v>52</v>
      </c>
      <c r="E1231" t="s">
        <v>53</v>
      </c>
      <c r="F1231" s="15">
        <v>1235</v>
      </c>
      <c r="G1231" s="15">
        <v>1035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 s="15">
        <v>1235</v>
      </c>
      <c r="O1231">
        <v>134</v>
      </c>
      <c r="P1231">
        <f t="shared" si="63"/>
        <v>2024</v>
      </c>
      <c r="Q1231">
        <f t="shared" si="64"/>
        <v>5</v>
      </c>
      <c r="R1231" t="str">
        <f t="shared" si="65"/>
        <v>Showmax</v>
      </c>
      <c r="S1231" t="s">
        <v>628</v>
      </c>
      <c r="T1231" s="546" t="s">
        <v>804</v>
      </c>
    </row>
    <row r="1232" spans="1:20" x14ac:dyDescent="0.3">
      <c r="A1232" t="s">
        <v>627</v>
      </c>
      <c r="B1232" s="16">
        <v>45435</v>
      </c>
      <c r="C1232" t="s">
        <v>2</v>
      </c>
      <c r="D1232" t="s">
        <v>52</v>
      </c>
      <c r="E1232" t="s">
        <v>59</v>
      </c>
      <c r="F1232" s="15">
        <v>1350</v>
      </c>
      <c r="G1232" s="15">
        <v>1054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 s="15">
        <v>1350</v>
      </c>
      <c r="O1232">
        <v>193</v>
      </c>
      <c r="P1232">
        <f t="shared" si="63"/>
        <v>2024</v>
      </c>
      <c r="Q1232">
        <f t="shared" si="64"/>
        <v>5</v>
      </c>
      <c r="R1232" t="str">
        <f t="shared" si="65"/>
        <v>品牌特秀</v>
      </c>
      <c r="S1232" t="s">
        <v>628</v>
      </c>
      <c r="T1232" s="546" t="s">
        <v>804</v>
      </c>
    </row>
    <row r="1233" spans="1:20" x14ac:dyDescent="0.3">
      <c r="A1233" t="s">
        <v>627</v>
      </c>
      <c r="B1233" s="16">
        <v>45435</v>
      </c>
      <c r="C1233" t="s">
        <v>2</v>
      </c>
      <c r="D1233" t="s">
        <v>52</v>
      </c>
      <c r="E1233" t="s">
        <v>183</v>
      </c>
      <c r="F1233">
        <v>647</v>
      </c>
      <c r="G1233">
        <v>519</v>
      </c>
      <c r="H1233">
        <v>23</v>
      </c>
      <c r="I1233">
        <v>6</v>
      </c>
      <c r="J1233" s="17">
        <v>23670.5</v>
      </c>
      <c r="K1233">
        <v>7</v>
      </c>
      <c r="L1233" s="17">
        <v>17159.5</v>
      </c>
      <c r="M1233">
        <v>6</v>
      </c>
      <c r="N1233">
        <v>647</v>
      </c>
      <c r="O1233">
        <v>341</v>
      </c>
      <c r="P1233">
        <f t="shared" si="63"/>
        <v>2024</v>
      </c>
      <c r="Q1233">
        <f t="shared" si="64"/>
        <v>5</v>
      </c>
      <c r="R1233" t="str">
        <f t="shared" si="65"/>
        <v>品销宝-品牌专区</v>
      </c>
      <c r="S1233" t="s">
        <v>628</v>
      </c>
      <c r="T1233" s="546" t="s">
        <v>804</v>
      </c>
    </row>
    <row r="1234" spans="1:20" x14ac:dyDescent="0.3">
      <c r="A1234" t="s">
        <v>627</v>
      </c>
      <c r="B1234" s="16">
        <v>45435</v>
      </c>
      <c r="C1234" t="s">
        <v>2</v>
      </c>
      <c r="D1234" t="s">
        <v>57</v>
      </c>
      <c r="E1234" t="s">
        <v>65</v>
      </c>
      <c r="F1234" s="15">
        <v>3132</v>
      </c>
      <c r="G1234" s="15">
        <v>2678</v>
      </c>
      <c r="H1234">
        <v>70</v>
      </c>
      <c r="I1234">
        <v>29</v>
      </c>
      <c r="J1234" s="17">
        <v>65293.73</v>
      </c>
      <c r="K1234">
        <v>12</v>
      </c>
      <c r="L1234" s="17">
        <v>59103.73</v>
      </c>
      <c r="M1234">
        <v>10</v>
      </c>
      <c r="N1234">
        <v>277</v>
      </c>
      <c r="O1234" s="15">
        <v>3095</v>
      </c>
      <c r="P1234">
        <f t="shared" si="63"/>
        <v>2024</v>
      </c>
      <c r="Q1234">
        <f t="shared" si="64"/>
        <v>5</v>
      </c>
      <c r="R1234" t="str">
        <f t="shared" si="65"/>
        <v>直通车</v>
      </c>
      <c r="S1234" t="s">
        <v>628</v>
      </c>
      <c r="T1234" s="546" t="s">
        <v>804</v>
      </c>
    </row>
    <row r="1235" spans="1:20" x14ac:dyDescent="0.3">
      <c r="A1235" t="s">
        <v>627</v>
      </c>
      <c r="B1235" s="16">
        <v>45435</v>
      </c>
      <c r="C1235" t="s">
        <v>2</v>
      </c>
      <c r="D1235" t="s">
        <v>57</v>
      </c>
      <c r="E1235" t="s">
        <v>63</v>
      </c>
      <c r="F1235" s="15">
        <v>3288</v>
      </c>
      <c r="G1235" s="15">
        <v>1623</v>
      </c>
      <c r="H1235">
        <v>79</v>
      </c>
      <c r="I1235">
        <v>20</v>
      </c>
      <c r="J1235" s="15">
        <v>61734</v>
      </c>
      <c r="K1235">
        <v>24</v>
      </c>
      <c r="L1235" s="15">
        <v>49512</v>
      </c>
      <c r="M1235">
        <v>22</v>
      </c>
      <c r="N1235">
        <v>219</v>
      </c>
      <c r="O1235" s="15">
        <v>3285</v>
      </c>
      <c r="P1235">
        <f t="shared" si="63"/>
        <v>2024</v>
      </c>
      <c r="Q1235">
        <f t="shared" si="64"/>
        <v>5</v>
      </c>
      <c r="R1235" t="str">
        <f t="shared" si="65"/>
        <v>万相台</v>
      </c>
      <c r="S1235" t="s">
        <v>628</v>
      </c>
      <c r="T1235" s="546" t="s">
        <v>804</v>
      </c>
    </row>
    <row r="1236" spans="1:20" x14ac:dyDescent="0.3">
      <c r="A1236" t="s">
        <v>627</v>
      </c>
      <c r="B1236" s="16">
        <v>45435</v>
      </c>
      <c r="C1236" t="s">
        <v>2</v>
      </c>
      <c r="D1236" t="s">
        <v>57</v>
      </c>
      <c r="E1236" t="s">
        <v>64</v>
      </c>
      <c r="F1236" s="15">
        <v>14587</v>
      </c>
      <c r="G1236" s="15">
        <v>7394</v>
      </c>
      <c r="H1236">
        <v>65</v>
      </c>
      <c r="I1236">
        <v>47</v>
      </c>
      <c r="J1236" s="15">
        <v>22705</v>
      </c>
      <c r="K1236">
        <v>10</v>
      </c>
      <c r="L1236" s="15">
        <v>16257</v>
      </c>
      <c r="M1236">
        <v>7</v>
      </c>
      <c r="N1236">
        <v>372</v>
      </c>
      <c r="O1236" s="15">
        <v>14582</v>
      </c>
      <c r="P1236">
        <f t="shared" si="63"/>
        <v>2024</v>
      </c>
      <c r="Q1236">
        <f t="shared" si="64"/>
        <v>5</v>
      </c>
      <c r="R1236" t="str">
        <f t="shared" si="65"/>
        <v>引力魔方</v>
      </c>
      <c r="S1236" t="s">
        <v>628</v>
      </c>
      <c r="T1236" s="546" t="s">
        <v>804</v>
      </c>
    </row>
    <row r="1237" spans="1:20" x14ac:dyDescent="0.3">
      <c r="A1237" t="s">
        <v>627</v>
      </c>
      <c r="B1237" s="16">
        <v>45435</v>
      </c>
      <c r="C1237" t="s">
        <v>2</v>
      </c>
      <c r="D1237" t="s">
        <v>4</v>
      </c>
      <c r="E1237" t="s">
        <v>41</v>
      </c>
      <c r="F1237">
        <v>7</v>
      </c>
      <c r="G1237">
        <v>6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1</v>
      </c>
      <c r="O1237">
        <v>2</v>
      </c>
      <c r="P1237">
        <f t="shared" ref="P1237:P1300" si="66">YEAR(B1237)</f>
        <v>2024</v>
      </c>
      <c r="Q1237">
        <f t="shared" ref="Q1237:Q1300" si="67">MONTH(B1237)</f>
        <v>5</v>
      </c>
      <c r="R1237" t="str">
        <f t="shared" si="65"/>
        <v>流量宝</v>
      </c>
      <c r="S1237" t="s">
        <v>628</v>
      </c>
      <c r="T1237" s="546" t="s">
        <v>804</v>
      </c>
    </row>
    <row r="1238" spans="1:20" x14ac:dyDescent="0.3">
      <c r="A1238" t="s">
        <v>627</v>
      </c>
      <c r="B1238" s="16">
        <v>45435</v>
      </c>
      <c r="C1238" t="s">
        <v>2</v>
      </c>
      <c r="D1238" t="s">
        <v>4</v>
      </c>
      <c r="E1238" t="s">
        <v>43</v>
      </c>
      <c r="F1238">
        <v>354</v>
      </c>
      <c r="G1238">
        <v>90</v>
      </c>
      <c r="H1238">
        <v>0</v>
      </c>
      <c r="I1238">
        <v>0</v>
      </c>
      <c r="J1238" s="15">
        <v>2980</v>
      </c>
      <c r="K1238">
        <v>2</v>
      </c>
      <c r="L1238" s="15">
        <v>2980</v>
      </c>
      <c r="M1238">
        <v>2</v>
      </c>
      <c r="N1238">
        <v>12</v>
      </c>
      <c r="O1238">
        <v>344</v>
      </c>
      <c r="P1238">
        <f t="shared" si="66"/>
        <v>2024</v>
      </c>
      <c r="Q1238">
        <f t="shared" si="67"/>
        <v>5</v>
      </c>
      <c r="R1238" t="str">
        <f t="shared" si="65"/>
        <v>淘宝客</v>
      </c>
      <c r="S1238" t="s">
        <v>628</v>
      </c>
      <c r="T1238" s="546" t="s">
        <v>804</v>
      </c>
    </row>
    <row r="1239" spans="1:20" x14ac:dyDescent="0.3">
      <c r="A1239" t="s">
        <v>627</v>
      </c>
      <c r="B1239" s="16">
        <v>45436</v>
      </c>
      <c r="C1239" t="s">
        <v>3</v>
      </c>
      <c r="D1239" t="s">
        <v>114</v>
      </c>
      <c r="E1239" t="s">
        <v>159</v>
      </c>
      <c r="F1239">
        <v>131</v>
      </c>
      <c r="G1239">
        <v>57</v>
      </c>
      <c r="H1239">
        <v>4</v>
      </c>
      <c r="I1239">
        <v>3</v>
      </c>
      <c r="J1239" s="15">
        <v>2237</v>
      </c>
      <c r="K1239">
        <v>1</v>
      </c>
      <c r="L1239" s="15">
        <v>2237</v>
      </c>
      <c r="M1239">
        <v>1</v>
      </c>
      <c r="N1239">
        <v>24</v>
      </c>
      <c r="O1239">
        <v>118</v>
      </c>
      <c r="P1239">
        <f t="shared" si="66"/>
        <v>2024</v>
      </c>
      <c r="Q1239">
        <f t="shared" si="67"/>
        <v>5</v>
      </c>
      <c r="R1239" t="str">
        <f t="shared" si="65"/>
        <v>主会场</v>
      </c>
      <c r="S1239" t="s">
        <v>628</v>
      </c>
      <c r="T1239" s="546" t="s">
        <v>804</v>
      </c>
    </row>
    <row r="1240" spans="1:20" x14ac:dyDescent="0.3">
      <c r="A1240" t="s">
        <v>627</v>
      </c>
      <c r="B1240" s="16">
        <v>45436</v>
      </c>
      <c r="C1240" t="s">
        <v>3</v>
      </c>
      <c r="D1240" t="s">
        <v>120</v>
      </c>
      <c r="E1240" t="s">
        <v>162</v>
      </c>
      <c r="F1240">
        <v>7</v>
      </c>
      <c r="G1240">
        <v>7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1</v>
      </c>
      <c r="O1240">
        <v>6</v>
      </c>
      <c r="P1240">
        <f t="shared" si="66"/>
        <v>2024</v>
      </c>
      <c r="Q1240">
        <f t="shared" si="67"/>
        <v>5</v>
      </c>
      <c r="R1240" t="str">
        <f t="shared" si="65"/>
        <v>手机浏览器访问天猫</v>
      </c>
      <c r="S1240" t="s">
        <v>628</v>
      </c>
      <c r="T1240" s="546" t="s">
        <v>804</v>
      </c>
    </row>
    <row r="1241" spans="1:20" x14ac:dyDescent="0.3">
      <c r="A1241" t="s">
        <v>627</v>
      </c>
      <c r="B1241" s="16">
        <v>45436</v>
      </c>
      <c r="C1241" t="s">
        <v>3</v>
      </c>
      <c r="D1241" t="s">
        <v>120</v>
      </c>
      <c r="E1241" t="s">
        <v>163</v>
      </c>
      <c r="F1241">
        <v>115</v>
      </c>
      <c r="G1241">
        <v>54</v>
      </c>
      <c r="H1241">
        <v>3</v>
      </c>
      <c r="I1241">
        <v>0</v>
      </c>
      <c r="J1241" s="15">
        <v>7718</v>
      </c>
      <c r="K1241">
        <v>4</v>
      </c>
      <c r="L1241" s="15">
        <v>7718</v>
      </c>
      <c r="M1241">
        <v>4</v>
      </c>
      <c r="N1241">
        <v>33</v>
      </c>
      <c r="O1241">
        <v>107</v>
      </c>
      <c r="P1241">
        <f t="shared" si="66"/>
        <v>2024</v>
      </c>
      <c r="Q1241">
        <f t="shared" si="67"/>
        <v>5</v>
      </c>
      <c r="R1241" t="str">
        <f t="shared" si="65"/>
        <v>手猫免费其他</v>
      </c>
      <c r="S1241" t="s">
        <v>628</v>
      </c>
      <c r="T1241" s="546" t="s">
        <v>804</v>
      </c>
    </row>
    <row r="1242" spans="1:20" x14ac:dyDescent="0.3">
      <c r="A1242" t="s">
        <v>627</v>
      </c>
      <c r="B1242" s="16">
        <v>45436</v>
      </c>
      <c r="C1242" t="s">
        <v>3</v>
      </c>
      <c r="D1242" t="s">
        <v>120</v>
      </c>
      <c r="E1242" t="s">
        <v>164</v>
      </c>
      <c r="F1242">
        <v>6</v>
      </c>
      <c r="G1242">
        <v>1</v>
      </c>
      <c r="H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6</v>
      </c>
      <c r="P1242">
        <f t="shared" si="66"/>
        <v>2024</v>
      </c>
      <c r="Q1242">
        <f t="shared" si="67"/>
        <v>5</v>
      </c>
      <c r="R1242" t="str">
        <f t="shared" si="65"/>
        <v>手猫其他店铺</v>
      </c>
      <c r="S1242" t="s">
        <v>628</v>
      </c>
      <c r="T1242" s="546" t="s">
        <v>804</v>
      </c>
    </row>
    <row r="1243" spans="1:20" x14ac:dyDescent="0.3">
      <c r="A1243" t="s">
        <v>627</v>
      </c>
      <c r="B1243" s="16">
        <v>45436</v>
      </c>
      <c r="C1243" t="s">
        <v>3</v>
      </c>
      <c r="D1243" t="s">
        <v>120</v>
      </c>
      <c r="E1243" t="s">
        <v>165</v>
      </c>
      <c r="F1243">
        <v>41</v>
      </c>
      <c r="G1243">
        <v>19</v>
      </c>
      <c r="H1243">
        <v>3</v>
      </c>
      <c r="I1243">
        <v>0</v>
      </c>
      <c r="J1243" s="15">
        <v>3950</v>
      </c>
      <c r="K1243">
        <v>2</v>
      </c>
      <c r="L1243" s="15">
        <v>3950</v>
      </c>
      <c r="M1243">
        <v>2</v>
      </c>
      <c r="N1243">
        <v>5</v>
      </c>
      <c r="O1243">
        <v>41</v>
      </c>
      <c r="P1243">
        <f t="shared" si="66"/>
        <v>2024</v>
      </c>
      <c r="Q1243">
        <f t="shared" si="67"/>
        <v>5</v>
      </c>
      <c r="R1243" t="str">
        <f t="shared" si="65"/>
        <v>手猫商品详情</v>
      </c>
      <c r="S1243" t="s">
        <v>628</v>
      </c>
      <c r="T1243" s="546" t="s">
        <v>804</v>
      </c>
    </row>
    <row r="1244" spans="1:20" x14ac:dyDescent="0.3">
      <c r="A1244" t="s">
        <v>627</v>
      </c>
      <c r="B1244" s="16">
        <v>45436</v>
      </c>
      <c r="C1244" t="s">
        <v>3</v>
      </c>
      <c r="D1244" t="s">
        <v>120</v>
      </c>
      <c r="E1244" t="s">
        <v>166</v>
      </c>
      <c r="F1244">
        <v>58</v>
      </c>
      <c r="G1244">
        <v>40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28</v>
      </c>
      <c r="O1244">
        <v>50</v>
      </c>
      <c r="P1244">
        <f t="shared" si="66"/>
        <v>2024</v>
      </c>
      <c r="Q1244">
        <f t="shared" si="67"/>
        <v>5</v>
      </c>
      <c r="R1244" t="str">
        <f t="shared" si="65"/>
        <v>手猫搜索</v>
      </c>
      <c r="S1244" t="s">
        <v>628</v>
      </c>
      <c r="T1244" s="546" t="s">
        <v>804</v>
      </c>
    </row>
    <row r="1245" spans="1:20" x14ac:dyDescent="0.3">
      <c r="A1245" t="s">
        <v>627</v>
      </c>
      <c r="B1245" s="16">
        <v>45436</v>
      </c>
      <c r="C1245" t="s">
        <v>3</v>
      </c>
      <c r="D1245" t="s">
        <v>120</v>
      </c>
      <c r="E1245" t="s">
        <v>167</v>
      </c>
      <c r="F1245">
        <v>4</v>
      </c>
      <c r="G1245">
        <v>1</v>
      </c>
      <c r="H1245">
        <v>0</v>
      </c>
      <c r="I1245">
        <v>0</v>
      </c>
      <c r="J1245" s="15">
        <v>1280</v>
      </c>
      <c r="K1245">
        <v>1</v>
      </c>
      <c r="L1245" s="15">
        <v>1280</v>
      </c>
      <c r="M1245">
        <v>1</v>
      </c>
      <c r="N1245">
        <v>1</v>
      </c>
      <c r="O1245">
        <v>3</v>
      </c>
      <c r="P1245">
        <f t="shared" si="66"/>
        <v>2024</v>
      </c>
      <c r="Q1245">
        <f t="shared" si="67"/>
        <v>5</v>
      </c>
      <c r="R1245" t="str">
        <f t="shared" si="65"/>
        <v>手猫旺信聊天</v>
      </c>
      <c r="S1245" t="s">
        <v>628</v>
      </c>
      <c r="T1245" s="546" t="s">
        <v>804</v>
      </c>
    </row>
    <row r="1246" spans="1:20" x14ac:dyDescent="0.3">
      <c r="A1246" t="s">
        <v>627</v>
      </c>
      <c r="B1246" s="16">
        <v>45436</v>
      </c>
      <c r="C1246" t="s">
        <v>3</v>
      </c>
      <c r="D1246" t="s">
        <v>120</v>
      </c>
      <c r="E1246" t="s">
        <v>168</v>
      </c>
      <c r="F1246">
        <v>440</v>
      </c>
      <c r="G1246">
        <v>260</v>
      </c>
      <c r="H1246">
        <v>4</v>
      </c>
      <c r="I1246">
        <v>0</v>
      </c>
      <c r="J1246" s="15">
        <v>4213</v>
      </c>
      <c r="K1246">
        <v>2</v>
      </c>
      <c r="L1246" s="15">
        <v>4213</v>
      </c>
      <c r="M1246">
        <v>2</v>
      </c>
      <c r="N1246">
        <v>19</v>
      </c>
      <c r="O1246">
        <v>440</v>
      </c>
      <c r="P1246">
        <f t="shared" si="66"/>
        <v>2024</v>
      </c>
      <c r="Q1246">
        <f t="shared" si="67"/>
        <v>5</v>
      </c>
      <c r="R1246" t="str">
        <f t="shared" si="65"/>
        <v>手猫首页</v>
      </c>
      <c r="S1246" t="s">
        <v>628</v>
      </c>
      <c r="T1246" s="546" t="s">
        <v>804</v>
      </c>
    </row>
    <row r="1247" spans="1:20" x14ac:dyDescent="0.3">
      <c r="A1247" t="s">
        <v>627</v>
      </c>
      <c r="B1247" s="16">
        <v>45436</v>
      </c>
      <c r="C1247" t="s">
        <v>3</v>
      </c>
      <c r="D1247" t="s">
        <v>123</v>
      </c>
      <c r="E1247" t="s">
        <v>169</v>
      </c>
      <c r="F1247">
        <v>172</v>
      </c>
      <c r="G1247">
        <v>81</v>
      </c>
      <c r="H1247">
        <v>19</v>
      </c>
      <c r="I1247">
        <v>7</v>
      </c>
      <c r="J1247" s="17">
        <v>5570.5</v>
      </c>
      <c r="K1247">
        <v>3</v>
      </c>
      <c r="L1247" s="17">
        <v>5570.5</v>
      </c>
      <c r="M1247">
        <v>3</v>
      </c>
      <c r="N1247">
        <v>47</v>
      </c>
      <c r="O1247">
        <v>164</v>
      </c>
      <c r="P1247">
        <f t="shared" si="66"/>
        <v>2024</v>
      </c>
      <c r="Q1247">
        <f t="shared" si="67"/>
        <v>5</v>
      </c>
      <c r="R1247" t="str">
        <f t="shared" si="65"/>
        <v>商品详情页头图推荐</v>
      </c>
      <c r="S1247" t="s">
        <v>628</v>
      </c>
      <c r="T1247" s="546" t="s">
        <v>804</v>
      </c>
    </row>
    <row r="1248" spans="1:20" x14ac:dyDescent="0.3">
      <c r="A1248" t="s">
        <v>627</v>
      </c>
      <c r="B1248" s="16">
        <v>45436</v>
      </c>
      <c r="C1248" t="s">
        <v>3</v>
      </c>
      <c r="D1248" t="s">
        <v>123</v>
      </c>
      <c r="E1248" t="s">
        <v>170</v>
      </c>
      <c r="F1248">
        <v>23</v>
      </c>
      <c r="G1248">
        <v>17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20</v>
      </c>
      <c r="O1248">
        <v>7</v>
      </c>
      <c r="P1248">
        <f t="shared" si="66"/>
        <v>2024</v>
      </c>
      <c r="Q1248">
        <f t="shared" si="67"/>
        <v>5</v>
      </c>
      <c r="R1248" t="str">
        <f t="shared" si="65"/>
        <v>店铺超链</v>
      </c>
      <c r="S1248" t="s">
        <v>628</v>
      </c>
      <c r="T1248" s="546" t="s">
        <v>804</v>
      </c>
    </row>
    <row r="1249" spans="1:20" x14ac:dyDescent="0.3">
      <c r="A1249" t="s">
        <v>627</v>
      </c>
      <c r="B1249" s="16">
        <v>45436</v>
      </c>
      <c r="C1249" t="s">
        <v>3</v>
      </c>
      <c r="D1249" t="s">
        <v>127</v>
      </c>
      <c r="E1249" t="s">
        <v>171</v>
      </c>
      <c r="F1249">
        <v>299</v>
      </c>
      <c r="G1249">
        <v>203</v>
      </c>
      <c r="H1249">
        <v>17</v>
      </c>
      <c r="I1249">
        <v>8</v>
      </c>
      <c r="J1249" s="15">
        <v>14381</v>
      </c>
      <c r="K1249">
        <v>5</v>
      </c>
      <c r="L1249" s="15">
        <v>14381</v>
      </c>
      <c r="M1249">
        <v>5</v>
      </c>
      <c r="N1249">
        <v>109</v>
      </c>
      <c r="O1249">
        <v>264</v>
      </c>
      <c r="P1249">
        <f t="shared" si="66"/>
        <v>2024</v>
      </c>
      <c r="Q1249">
        <f t="shared" si="67"/>
        <v>5</v>
      </c>
      <c r="R1249" t="str">
        <f t="shared" si="65"/>
        <v>其他猜你喜欢</v>
      </c>
      <c r="S1249" t="s">
        <v>628</v>
      </c>
      <c r="T1249" s="546" t="s">
        <v>804</v>
      </c>
    </row>
    <row r="1250" spans="1:20" x14ac:dyDescent="0.3">
      <c r="A1250" t="s">
        <v>627</v>
      </c>
      <c r="B1250" s="16">
        <v>45436</v>
      </c>
      <c r="C1250" t="s">
        <v>3</v>
      </c>
      <c r="D1250" t="s">
        <v>127</v>
      </c>
      <c r="E1250" t="s">
        <v>172</v>
      </c>
      <c r="F1250">
        <v>6</v>
      </c>
      <c r="G1250">
        <v>2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3</v>
      </c>
      <c r="O1250">
        <v>6</v>
      </c>
      <c r="P1250">
        <f t="shared" si="66"/>
        <v>2024</v>
      </c>
      <c r="Q1250">
        <f t="shared" si="67"/>
        <v>5</v>
      </c>
      <c r="R1250" t="str">
        <f t="shared" si="65"/>
        <v>购中推荐</v>
      </c>
      <c r="S1250" t="s">
        <v>628</v>
      </c>
      <c r="T1250" s="546" t="s">
        <v>804</v>
      </c>
    </row>
    <row r="1251" spans="1:20" x14ac:dyDescent="0.3">
      <c r="A1251" t="s">
        <v>627</v>
      </c>
      <c r="B1251" s="16">
        <v>45436</v>
      </c>
      <c r="C1251" t="s">
        <v>3</v>
      </c>
      <c r="D1251" t="s">
        <v>127</v>
      </c>
      <c r="E1251" t="s">
        <v>173</v>
      </c>
      <c r="F1251">
        <v>14</v>
      </c>
      <c r="G1251">
        <v>6</v>
      </c>
      <c r="H1251">
        <v>2</v>
      </c>
      <c r="I1251">
        <v>0</v>
      </c>
      <c r="J1251" s="17">
        <v>2347.5</v>
      </c>
      <c r="K1251">
        <v>1</v>
      </c>
      <c r="L1251" s="17">
        <v>2347.5</v>
      </c>
      <c r="M1251">
        <v>1</v>
      </c>
      <c r="N1251">
        <v>1</v>
      </c>
      <c r="O1251">
        <v>14</v>
      </c>
      <c r="P1251">
        <f t="shared" si="66"/>
        <v>2024</v>
      </c>
      <c r="Q1251">
        <f t="shared" si="67"/>
        <v>5</v>
      </c>
      <c r="R1251" t="str">
        <f t="shared" si="65"/>
        <v>购后推荐</v>
      </c>
      <c r="S1251" t="s">
        <v>628</v>
      </c>
      <c r="T1251" s="546" t="s">
        <v>804</v>
      </c>
    </row>
    <row r="1252" spans="1:20" x14ac:dyDescent="0.3">
      <c r="A1252" t="s">
        <v>627</v>
      </c>
      <c r="B1252" s="16">
        <v>45436</v>
      </c>
      <c r="C1252" t="s">
        <v>3</v>
      </c>
      <c r="D1252" t="s">
        <v>127</v>
      </c>
      <c r="E1252" t="s">
        <v>174</v>
      </c>
      <c r="F1252" s="15">
        <v>2786</v>
      </c>
      <c r="G1252" s="15">
        <v>1977</v>
      </c>
      <c r="H1252">
        <v>114</v>
      </c>
      <c r="I1252">
        <v>51</v>
      </c>
      <c r="J1252" s="17">
        <v>33704.550000000003</v>
      </c>
      <c r="K1252">
        <v>18</v>
      </c>
      <c r="L1252" s="17">
        <v>30724.55</v>
      </c>
      <c r="M1252">
        <v>16</v>
      </c>
      <c r="N1252">
        <v>393</v>
      </c>
      <c r="O1252" s="15">
        <v>2786</v>
      </c>
      <c r="P1252">
        <f t="shared" si="66"/>
        <v>2024</v>
      </c>
      <c r="Q1252">
        <f t="shared" si="67"/>
        <v>5</v>
      </c>
      <c r="R1252" t="str">
        <f t="shared" si="65"/>
        <v>首页推荐-微详情</v>
      </c>
      <c r="S1252" t="s">
        <v>628</v>
      </c>
      <c r="T1252" s="546" t="s">
        <v>804</v>
      </c>
    </row>
    <row r="1253" spans="1:20" x14ac:dyDescent="0.3">
      <c r="A1253" t="s">
        <v>627</v>
      </c>
      <c r="B1253" s="16">
        <v>45436</v>
      </c>
      <c r="C1253" t="s">
        <v>3</v>
      </c>
      <c r="D1253" t="s">
        <v>127</v>
      </c>
      <c r="E1253" t="s">
        <v>175</v>
      </c>
      <c r="F1253">
        <v>159</v>
      </c>
      <c r="G1253">
        <v>91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9</v>
      </c>
      <c r="P1253">
        <f t="shared" si="66"/>
        <v>2024</v>
      </c>
      <c r="Q1253">
        <f t="shared" si="67"/>
        <v>5</v>
      </c>
      <c r="R1253" t="str">
        <f t="shared" si="65"/>
        <v>首页推荐-直播</v>
      </c>
      <c r="S1253" t="s">
        <v>628</v>
      </c>
      <c r="T1253" s="546" t="s">
        <v>804</v>
      </c>
    </row>
    <row r="1254" spans="1:20" x14ac:dyDescent="0.3">
      <c r="A1254" t="s">
        <v>627</v>
      </c>
      <c r="B1254" s="16">
        <v>45436</v>
      </c>
      <c r="C1254" t="s">
        <v>3</v>
      </c>
      <c r="D1254" t="s">
        <v>127</v>
      </c>
      <c r="E1254" t="s">
        <v>176</v>
      </c>
      <c r="F1254">
        <v>120</v>
      </c>
      <c r="G1254">
        <v>80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</v>
      </c>
      <c r="P1254">
        <f t="shared" si="66"/>
        <v>2024</v>
      </c>
      <c r="Q1254">
        <f t="shared" si="67"/>
        <v>5</v>
      </c>
      <c r="R1254" t="str">
        <f t="shared" si="65"/>
        <v>首页推荐-短视频</v>
      </c>
      <c r="S1254" t="s">
        <v>628</v>
      </c>
      <c r="T1254" s="546" t="s">
        <v>804</v>
      </c>
    </row>
    <row r="1255" spans="1:20" x14ac:dyDescent="0.3">
      <c r="A1255" t="s">
        <v>627</v>
      </c>
      <c r="B1255" s="16">
        <v>45436</v>
      </c>
      <c r="C1255" t="s">
        <v>3</v>
      </c>
      <c r="D1255" t="s">
        <v>128</v>
      </c>
      <c r="E1255" t="s">
        <v>177</v>
      </c>
      <c r="F1255">
        <v>789</v>
      </c>
      <c r="G1255">
        <v>592</v>
      </c>
      <c r="H1255">
        <v>53</v>
      </c>
      <c r="I1255">
        <v>14</v>
      </c>
      <c r="J1255" s="17">
        <v>49908.5</v>
      </c>
      <c r="K1255">
        <v>18</v>
      </c>
      <c r="L1255" s="15">
        <v>43586</v>
      </c>
      <c r="M1255">
        <v>16</v>
      </c>
      <c r="N1255">
        <v>216</v>
      </c>
      <c r="O1255">
        <v>715</v>
      </c>
      <c r="P1255">
        <f t="shared" si="66"/>
        <v>2024</v>
      </c>
      <c r="Q1255">
        <f t="shared" si="67"/>
        <v>5</v>
      </c>
      <c r="R1255" t="str">
        <f t="shared" si="65"/>
        <v>手淘搜索-商品及其他</v>
      </c>
      <c r="S1255" t="s">
        <v>628</v>
      </c>
      <c r="T1255" s="546" t="s">
        <v>804</v>
      </c>
    </row>
    <row r="1256" spans="1:20" x14ac:dyDescent="0.3">
      <c r="A1256" t="s">
        <v>627</v>
      </c>
      <c r="B1256" s="16">
        <v>45436</v>
      </c>
      <c r="C1256" t="s">
        <v>3</v>
      </c>
      <c r="D1256" t="s">
        <v>128</v>
      </c>
      <c r="E1256" t="s">
        <v>178</v>
      </c>
      <c r="F1256">
        <v>12</v>
      </c>
      <c r="G1256">
        <v>5</v>
      </c>
      <c r="H1256">
        <v>0</v>
      </c>
      <c r="I1256">
        <v>0</v>
      </c>
      <c r="J1256" s="17">
        <v>1581.33</v>
      </c>
      <c r="K1256">
        <v>1</v>
      </c>
      <c r="L1256" s="17">
        <v>1581.33</v>
      </c>
      <c r="M1256">
        <v>1</v>
      </c>
      <c r="N1256">
        <v>1</v>
      </c>
      <c r="O1256">
        <v>11</v>
      </c>
      <c r="P1256">
        <f t="shared" si="66"/>
        <v>2024</v>
      </c>
      <c r="Q1256">
        <f t="shared" si="67"/>
        <v>5</v>
      </c>
      <c r="R1256" t="str">
        <f t="shared" si="65"/>
        <v>手淘搜索-直播</v>
      </c>
      <c r="S1256" t="s">
        <v>628</v>
      </c>
      <c r="T1256" s="546" t="s">
        <v>804</v>
      </c>
    </row>
    <row r="1257" spans="1:20" x14ac:dyDescent="0.3">
      <c r="A1257" t="s">
        <v>627</v>
      </c>
      <c r="B1257" s="16">
        <v>45436</v>
      </c>
      <c r="C1257" t="s">
        <v>3</v>
      </c>
      <c r="D1257" t="s">
        <v>128</v>
      </c>
      <c r="E1257" t="s">
        <v>179</v>
      </c>
      <c r="F1257">
        <v>14</v>
      </c>
      <c r="G1257">
        <v>6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1</v>
      </c>
      <c r="O1257">
        <v>2</v>
      </c>
      <c r="P1257">
        <f t="shared" si="66"/>
        <v>2024</v>
      </c>
      <c r="Q1257">
        <f t="shared" si="67"/>
        <v>5</v>
      </c>
      <c r="R1257" t="str">
        <f t="shared" si="65"/>
        <v>手淘搜索-短视频</v>
      </c>
      <c r="S1257" t="s">
        <v>628</v>
      </c>
      <c r="T1257" s="546" t="s">
        <v>804</v>
      </c>
    </row>
    <row r="1258" spans="1:20" x14ac:dyDescent="0.3">
      <c r="A1258" t="s">
        <v>627</v>
      </c>
      <c r="B1258" s="16">
        <v>45436</v>
      </c>
      <c r="C1258" t="s">
        <v>3</v>
      </c>
      <c r="D1258" t="s">
        <v>143</v>
      </c>
      <c r="E1258" t="s">
        <v>180</v>
      </c>
      <c r="F1258">
        <v>11</v>
      </c>
      <c r="G1258">
        <v>11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11</v>
      </c>
      <c r="P1258">
        <f t="shared" si="66"/>
        <v>2024</v>
      </c>
      <c r="Q1258">
        <f t="shared" si="67"/>
        <v>5</v>
      </c>
      <c r="R1258" t="str">
        <f t="shared" si="65"/>
        <v>淘特其他渠道</v>
      </c>
      <c r="S1258" t="s">
        <v>628</v>
      </c>
      <c r="T1258" s="546" t="s">
        <v>804</v>
      </c>
    </row>
    <row r="1259" spans="1:20" x14ac:dyDescent="0.3">
      <c r="A1259" t="s">
        <v>627</v>
      </c>
      <c r="B1259" s="16">
        <v>45436</v>
      </c>
      <c r="C1259" t="s">
        <v>2</v>
      </c>
      <c r="D1259" t="s">
        <v>55</v>
      </c>
      <c r="E1259" t="s">
        <v>54</v>
      </c>
      <c r="F1259" s="15">
        <v>2573</v>
      </c>
      <c r="G1259" s="15">
        <v>2373</v>
      </c>
      <c r="H1259">
        <v>2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12</v>
      </c>
      <c r="O1259" s="15">
        <v>1968</v>
      </c>
      <c r="P1259">
        <f t="shared" si="66"/>
        <v>2024</v>
      </c>
      <c r="Q1259">
        <f t="shared" si="67"/>
        <v>5</v>
      </c>
      <c r="R1259" t="str">
        <f t="shared" si="65"/>
        <v>超级直播</v>
      </c>
      <c r="S1259" t="s">
        <v>628</v>
      </c>
      <c r="T1259" s="546" t="s">
        <v>804</v>
      </c>
    </row>
    <row r="1260" spans="1:20" x14ac:dyDescent="0.3">
      <c r="A1260" t="s">
        <v>627</v>
      </c>
      <c r="B1260" s="16">
        <v>45436</v>
      </c>
      <c r="C1260" t="s">
        <v>2</v>
      </c>
      <c r="D1260" t="s">
        <v>52</v>
      </c>
      <c r="E1260" t="s">
        <v>53</v>
      </c>
      <c r="F1260" s="15">
        <v>1213</v>
      </c>
      <c r="G1260" s="15">
        <v>1054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 s="15">
        <v>1213</v>
      </c>
      <c r="O1260">
        <v>113</v>
      </c>
      <c r="P1260">
        <f t="shared" si="66"/>
        <v>2024</v>
      </c>
      <c r="Q1260">
        <f t="shared" si="67"/>
        <v>5</v>
      </c>
      <c r="R1260" t="str">
        <f t="shared" si="65"/>
        <v>Showmax</v>
      </c>
      <c r="S1260" t="s">
        <v>628</v>
      </c>
      <c r="T1260" s="546" t="s">
        <v>804</v>
      </c>
    </row>
    <row r="1261" spans="1:20" x14ac:dyDescent="0.3">
      <c r="A1261" t="s">
        <v>627</v>
      </c>
      <c r="B1261" s="16">
        <v>45436</v>
      </c>
      <c r="C1261" t="s">
        <v>2</v>
      </c>
      <c r="D1261" t="s">
        <v>52</v>
      </c>
      <c r="E1261" t="s">
        <v>51</v>
      </c>
      <c r="F1261">
        <v>1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f t="shared" si="66"/>
        <v>2024</v>
      </c>
      <c r="Q1261">
        <f t="shared" si="67"/>
        <v>5</v>
      </c>
      <c r="R1261" t="str">
        <f t="shared" si="65"/>
        <v>品牌定制</v>
      </c>
      <c r="S1261" t="s">
        <v>628</v>
      </c>
      <c r="T1261" s="546" t="s">
        <v>804</v>
      </c>
    </row>
    <row r="1262" spans="1:20" x14ac:dyDescent="0.3">
      <c r="A1262" t="s">
        <v>627</v>
      </c>
      <c r="B1262" s="16">
        <v>45436</v>
      </c>
      <c r="C1262" t="s">
        <v>2</v>
      </c>
      <c r="D1262" t="s">
        <v>52</v>
      </c>
      <c r="E1262" t="s">
        <v>59</v>
      </c>
      <c r="F1262" s="15">
        <v>1506</v>
      </c>
      <c r="G1262" s="15">
        <v>1215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 s="15">
        <v>1506</v>
      </c>
      <c r="O1262">
        <v>182</v>
      </c>
      <c r="P1262">
        <f t="shared" si="66"/>
        <v>2024</v>
      </c>
      <c r="Q1262">
        <f t="shared" si="67"/>
        <v>5</v>
      </c>
      <c r="R1262" t="str">
        <f t="shared" si="65"/>
        <v>品牌特秀</v>
      </c>
      <c r="S1262" t="s">
        <v>628</v>
      </c>
      <c r="T1262" s="546" t="s">
        <v>804</v>
      </c>
    </row>
    <row r="1263" spans="1:20" x14ac:dyDescent="0.3">
      <c r="A1263" t="s">
        <v>627</v>
      </c>
      <c r="B1263" s="16">
        <v>45436</v>
      </c>
      <c r="C1263" t="s">
        <v>2</v>
      </c>
      <c r="D1263" t="s">
        <v>52</v>
      </c>
      <c r="E1263" t="s">
        <v>183</v>
      </c>
      <c r="F1263">
        <v>620</v>
      </c>
      <c r="G1263">
        <v>495</v>
      </c>
      <c r="H1263">
        <v>19</v>
      </c>
      <c r="I1263">
        <v>7</v>
      </c>
      <c r="J1263" s="17">
        <v>17167.5</v>
      </c>
      <c r="K1263">
        <v>8</v>
      </c>
      <c r="L1263" s="17">
        <v>17167.5</v>
      </c>
      <c r="M1263">
        <v>8</v>
      </c>
      <c r="N1263">
        <v>620</v>
      </c>
      <c r="O1263">
        <v>333</v>
      </c>
      <c r="P1263">
        <f t="shared" si="66"/>
        <v>2024</v>
      </c>
      <c r="Q1263">
        <f t="shared" si="67"/>
        <v>5</v>
      </c>
      <c r="R1263" t="str">
        <f t="shared" si="65"/>
        <v>品销宝-品牌专区</v>
      </c>
      <c r="S1263" t="s">
        <v>628</v>
      </c>
      <c r="T1263" s="546" t="s">
        <v>804</v>
      </c>
    </row>
    <row r="1264" spans="1:20" x14ac:dyDescent="0.3">
      <c r="A1264" t="s">
        <v>627</v>
      </c>
      <c r="B1264" s="16">
        <v>45436</v>
      </c>
      <c r="C1264" t="s">
        <v>2</v>
      </c>
      <c r="D1264" t="s">
        <v>57</v>
      </c>
      <c r="E1264" t="s">
        <v>65</v>
      </c>
      <c r="F1264" s="15">
        <v>2807</v>
      </c>
      <c r="G1264" s="15">
        <v>2340</v>
      </c>
      <c r="H1264">
        <v>77</v>
      </c>
      <c r="I1264">
        <v>23</v>
      </c>
      <c r="J1264" s="15">
        <v>98732</v>
      </c>
      <c r="K1264">
        <v>24</v>
      </c>
      <c r="L1264" s="15">
        <v>84937</v>
      </c>
      <c r="M1264">
        <v>22</v>
      </c>
      <c r="N1264">
        <v>266</v>
      </c>
      <c r="O1264" s="15">
        <v>2785</v>
      </c>
      <c r="P1264">
        <f t="shared" si="66"/>
        <v>2024</v>
      </c>
      <c r="Q1264">
        <f t="shared" si="67"/>
        <v>5</v>
      </c>
      <c r="R1264" t="str">
        <f t="shared" si="65"/>
        <v>直通车</v>
      </c>
      <c r="S1264" t="s">
        <v>628</v>
      </c>
      <c r="T1264" s="546" t="s">
        <v>804</v>
      </c>
    </row>
    <row r="1265" spans="1:20" x14ac:dyDescent="0.3">
      <c r="A1265" t="s">
        <v>627</v>
      </c>
      <c r="B1265" s="16">
        <v>45436</v>
      </c>
      <c r="C1265" t="s">
        <v>2</v>
      </c>
      <c r="D1265" t="s">
        <v>57</v>
      </c>
      <c r="E1265" t="s">
        <v>63</v>
      </c>
      <c r="F1265" s="15">
        <v>2896</v>
      </c>
      <c r="G1265" s="15">
        <v>1326</v>
      </c>
      <c r="H1265">
        <v>77</v>
      </c>
      <c r="I1265">
        <v>25</v>
      </c>
      <c r="J1265" s="15">
        <v>38650</v>
      </c>
      <c r="K1265">
        <v>19</v>
      </c>
      <c r="L1265" s="15">
        <v>29078</v>
      </c>
      <c r="M1265">
        <v>15</v>
      </c>
      <c r="N1265">
        <v>200</v>
      </c>
      <c r="O1265" s="15">
        <v>2896</v>
      </c>
      <c r="P1265">
        <f t="shared" si="66"/>
        <v>2024</v>
      </c>
      <c r="Q1265">
        <f t="shared" si="67"/>
        <v>5</v>
      </c>
      <c r="R1265" t="str">
        <f t="shared" si="65"/>
        <v>万相台</v>
      </c>
      <c r="S1265" t="s">
        <v>628</v>
      </c>
      <c r="T1265" s="546" t="s">
        <v>804</v>
      </c>
    </row>
    <row r="1266" spans="1:20" x14ac:dyDescent="0.3">
      <c r="A1266" t="s">
        <v>627</v>
      </c>
      <c r="B1266" s="16">
        <v>45436</v>
      </c>
      <c r="C1266" t="s">
        <v>2</v>
      </c>
      <c r="D1266" t="s">
        <v>57</v>
      </c>
      <c r="E1266" t="s">
        <v>64</v>
      </c>
      <c r="F1266" s="15">
        <v>11586</v>
      </c>
      <c r="G1266" s="15">
        <v>5235</v>
      </c>
      <c r="H1266">
        <v>78</v>
      </c>
      <c r="I1266">
        <v>58</v>
      </c>
      <c r="J1266" s="17">
        <v>27466.5</v>
      </c>
      <c r="K1266">
        <v>9</v>
      </c>
      <c r="L1266" s="17">
        <v>12107.5</v>
      </c>
      <c r="M1266">
        <v>7</v>
      </c>
      <c r="N1266">
        <v>347</v>
      </c>
      <c r="O1266" s="15">
        <v>11584</v>
      </c>
      <c r="P1266">
        <f t="shared" si="66"/>
        <v>2024</v>
      </c>
      <c r="Q1266">
        <f t="shared" si="67"/>
        <v>5</v>
      </c>
      <c r="R1266" t="str">
        <f t="shared" si="65"/>
        <v>引力魔方</v>
      </c>
      <c r="S1266" t="s">
        <v>628</v>
      </c>
      <c r="T1266" s="546" t="s">
        <v>804</v>
      </c>
    </row>
    <row r="1267" spans="1:20" x14ac:dyDescent="0.3">
      <c r="A1267" t="s">
        <v>627</v>
      </c>
      <c r="B1267" s="16">
        <v>45436</v>
      </c>
      <c r="C1267" t="s">
        <v>2</v>
      </c>
      <c r="D1267" t="s">
        <v>4</v>
      </c>
      <c r="E1267" t="s">
        <v>41</v>
      </c>
      <c r="F1267">
        <v>1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1</v>
      </c>
      <c r="P1267">
        <f t="shared" si="66"/>
        <v>2024</v>
      </c>
      <c r="Q1267">
        <f t="shared" si="67"/>
        <v>5</v>
      </c>
      <c r="R1267" t="str">
        <f t="shared" si="65"/>
        <v>流量宝</v>
      </c>
      <c r="S1267" t="s">
        <v>628</v>
      </c>
      <c r="T1267" s="546" t="s">
        <v>804</v>
      </c>
    </row>
    <row r="1268" spans="1:20" x14ac:dyDescent="0.3">
      <c r="A1268" t="s">
        <v>627</v>
      </c>
      <c r="B1268" s="16">
        <v>45436</v>
      </c>
      <c r="C1268" t="s">
        <v>2</v>
      </c>
      <c r="D1268" t="s">
        <v>4</v>
      </c>
      <c r="E1268" t="s">
        <v>43</v>
      </c>
      <c r="F1268">
        <v>361</v>
      </c>
      <c r="G1268">
        <v>92</v>
      </c>
      <c r="H1268">
        <v>1</v>
      </c>
      <c r="I1268">
        <v>0</v>
      </c>
      <c r="J1268" s="15">
        <v>3220</v>
      </c>
      <c r="K1268">
        <v>2</v>
      </c>
      <c r="L1268" s="15">
        <v>3220</v>
      </c>
      <c r="M1268">
        <v>2</v>
      </c>
      <c r="N1268">
        <v>11</v>
      </c>
      <c r="O1268">
        <v>352</v>
      </c>
      <c r="P1268">
        <f t="shared" si="66"/>
        <v>2024</v>
      </c>
      <c r="Q1268">
        <f t="shared" si="67"/>
        <v>5</v>
      </c>
      <c r="R1268" t="str">
        <f t="shared" si="65"/>
        <v>淘宝客</v>
      </c>
      <c r="S1268" t="s">
        <v>628</v>
      </c>
      <c r="T1268" s="546" t="s">
        <v>804</v>
      </c>
    </row>
    <row r="1269" spans="1:20" x14ac:dyDescent="0.3">
      <c r="A1269" t="s">
        <v>627</v>
      </c>
      <c r="B1269" s="16">
        <v>45437</v>
      </c>
      <c r="C1269" t="s">
        <v>3</v>
      </c>
      <c r="D1269" t="s">
        <v>114</v>
      </c>
      <c r="E1269" t="s">
        <v>159</v>
      </c>
      <c r="F1269">
        <v>141</v>
      </c>
      <c r="G1269">
        <v>64</v>
      </c>
      <c r="H1269">
        <v>4</v>
      </c>
      <c r="I1269">
        <v>1</v>
      </c>
      <c r="J1269" s="17">
        <v>5072.5</v>
      </c>
      <c r="K1269">
        <v>3</v>
      </c>
      <c r="L1269" s="15">
        <v>2475</v>
      </c>
      <c r="M1269">
        <v>2</v>
      </c>
      <c r="N1269">
        <v>19</v>
      </c>
      <c r="O1269">
        <v>131</v>
      </c>
      <c r="P1269">
        <f t="shared" si="66"/>
        <v>2024</v>
      </c>
      <c r="Q1269">
        <f t="shared" si="67"/>
        <v>5</v>
      </c>
      <c r="R1269" t="str">
        <f t="shared" si="65"/>
        <v>主会场</v>
      </c>
      <c r="S1269" t="s">
        <v>628</v>
      </c>
      <c r="T1269" s="546" t="s">
        <v>804</v>
      </c>
    </row>
    <row r="1270" spans="1:20" x14ac:dyDescent="0.3">
      <c r="A1270" t="s">
        <v>627</v>
      </c>
      <c r="B1270" s="16">
        <v>45437</v>
      </c>
      <c r="C1270" t="s">
        <v>3</v>
      </c>
      <c r="D1270" t="s">
        <v>114</v>
      </c>
      <c r="E1270" t="s">
        <v>160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f t="shared" si="66"/>
        <v>2024</v>
      </c>
      <c r="Q1270">
        <f t="shared" si="67"/>
        <v>5</v>
      </c>
      <c r="R1270" t="str">
        <f t="shared" si="65"/>
        <v>榜单会场</v>
      </c>
      <c r="S1270" t="s">
        <v>628</v>
      </c>
      <c r="T1270" s="546" t="s">
        <v>804</v>
      </c>
    </row>
    <row r="1271" spans="1:20" x14ac:dyDescent="0.3">
      <c r="A1271" t="s">
        <v>627</v>
      </c>
      <c r="B1271" s="16">
        <v>45437</v>
      </c>
      <c r="C1271" t="s">
        <v>3</v>
      </c>
      <c r="D1271" t="s">
        <v>117</v>
      </c>
      <c r="E1271" t="s">
        <v>161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f t="shared" si="66"/>
        <v>2024</v>
      </c>
      <c r="Q1271">
        <f t="shared" si="67"/>
        <v>5</v>
      </c>
      <c r="R1271" t="str">
        <f t="shared" si="65"/>
        <v>其他入口榜单</v>
      </c>
      <c r="S1271" t="s">
        <v>628</v>
      </c>
      <c r="T1271" s="546" t="s">
        <v>804</v>
      </c>
    </row>
    <row r="1272" spans="1:20" x14ac:dyDescent="0.3">
      <c r="A1272" t="s">
        <v>627</v>
      </c>
      <c r="B1272" s="16">
        <v>45437</v>
      </c>
      <c r="C1272" t="s">
        <v>3</v>
      </c>
      <c r="D1272" t="s">
        <v>120</v>
      </c>
      <c r="E1272" t="s">
        <v>163</v>
      </c>
      <c r="F1272">
        <v>110</v>
      </c>
      <c r="G1272">
        <v>48</v>
      </c>
      <c r="H1272">
        <v>0</v>
      </c>
      <c r="I1272">
        <v>0</v>
      </c>
      <c r="J1272" s="17">
        <v>4342.5</v>
      </c>
      <c r="K1272">
        <v>3</v>
      </c>
      <c r="L1272" s="17">
        <v>4342.5</v>
      </c>
      <c r="M1272">
        <v>3</v>
      </c>
      <c r="N1272">
        <v>38</v>
      </c>
      <c r="O1272">
        <v>108</v>
      </c>
      <c r="P1272">
        <f t="shared" si="66"/>
        <v>2024</v>
      </c>
      <c r="Q1272">
        <f t="shared" si="67"/>
        <v>5</v>
      </c>
      <c r="R1272" t="str">
        <f t="shared" si="65"/>
        <v>手猫免费其他</v>
      </c>
      <c r="S1272" t="s">
        <v>628</v>
      </c>
      <c r="T1272" s="546" t="s">
        <v>804</v>
      </c>
    </row>
    <row r="1273" spans="1:20" x14ac:dyDescent="0.3">
      <c r="A1273" t="s">
        <v>627</v>
      </c>
      <c r="B1273" s="16">
        <v>45437</v>
      </c>
      <c r="C1273" t="s">
        <v>3</v>
      </c>
      <c r="D1273" t="s">
        <v>120</v>
      </c>
      <c r="E1273" t="s">
        <v>164</v>
      </c>
      <c r="F1273">
        <v>7</v>
      </c>
      <c r="G1273">
        <v>4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7</v>
      </c>
      <c r="P1273">
        <f t="shared" si="66"/>
        <v>2024</v>
      </c>
      <c r="Q1273">
        <f t="shared" si="67"/>
        <v>5</v>
      </c>
      <c r="R1273" t="str">
        <f t="shared" si="65"/>
        <v>手猫其他店铺</v>
      </c>
      <c r="S1273" t="s">
        <v>628</v>
      </c>
      <c r="T1273" s="546" t="s">
        <v>804</v>
      </c>
    </row>
    <row r="1274" spans="1:20" x14ac:dyDescent="0.3">
      <c r="A1274" t="s">
        <v>627</v>
      </c>
      <c r="B1274" s="16">
        <v>45437</v>
      </c>
      <c r="C1274" t="s">
        <v>3</v>
      </c>
      <c r="D1274" t="s">
        <v>120</v>
      </c>
      <c r="E1274" t="s">
        <v>165</v>
      </c>
      <c r="F1274">
        <v>46</v>
      </c>
      <c r="G1274">
        <v>15</v>
      </c>
      <c r="H1274">
        <v>4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8</v>
      </c>
      <c r="O1274">
        <v>43</v>
      </c>
      <c r="P1274">
        <f t="shared" si="66"/>
        <v>2024</v>
      </c>
      <c r="Q1274">
        <f t="shared" si="67"/>
        <v>5</v>
      </c>
      <c r="R1274" t="str">
        <f t="shared" si="65"/>
        <v>手猫商品详情</v>
      </c>
      <c r="S1274" t="s">
        <v>628</v>
      </c>
      <c r="T1274" s="546" t="s">
        <v>804</v>
      </c>
    </row>
    <row r="1275" spans="1:20" x14ac:dyDescent="0.3">
      <c r="A1275" t="s">
        <v>627</v>
      </c>
      <c r="B1275" s="16">
        <v>45437</v>
      </c>
      <c r="C1275" t="s">
        <v>3</v>
      </c>
      <c r="D1275" t="s">
        <v>120</v>
      </c>
      <c r="E1275" t="s">
        <v>166</v>
      </c>
      <c r="F1275">
        <v>69</v>
      </c>
      <c r="G1275">
        <v>49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23</v>
      </c>
      <c r="O1275">
        <v>63</v>
      </c>
      <c r="P1275">
        <f t="shared" si="66"/>
        <v>2024</v>
      </c>
      <c r="Q1275">
        <f t="shared" si="67"/>
        <v>5</v>
      </c>
      <c r="R1275" t="str">
        <f t="shared" si="65"/>
        <v>手猫搜索</v>
      </c>
      <c r="S1275" t="s">
        <v>628</v>
      </c>
      <c r="T1275" s="546" t="s">
        <v>804</v>
      </c>
    </row>
    <row r="1276" spans="1:20" x14ac:dyDescent="0.3">
      <c r="A1276" t="s">
        <v>627</v>
      </c>
      <c r="B1276" s="16">
        <v>45437</v>
      </c>
      <c r="C1276" t="s">
        <v>3</v>
      </c>
      <c r="D1276" t="s">
        <v>120</v>
      </c>
      <c r="E1276" t="s">
        <v>167</v>
      </c>
      <c r="F1276">
        <v>5</v>
      </c>
      <c r="G1276">
        <v>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1</v>
      </c>
      <c r="O1276">
        <v>5</v>
      </c>
      <c r="P1276">
        <f t="shared" si="66"/>
        <v>2024</v>
      </c>
      <c r="Q1276">
        <f t="shared" si="67"/>
        <v>5</v>
      </c>
      <c r="R1276" t="str">
        <f t="shared" si="65"/>
        <v>手猫旺信聊天</v>
      </c>
      <c r="S1276" t="s">
        <v>628</v>
      </c>
      <c r="T1276" s="546" t="s">
        <v>804</v>
      </c>
    </row>
    <row r="1277" spans="1:20" x14ac:dyDescent="0.3">
      <c r="A1277" t="s">
        <v>627</v>
      </c>
      <c r="B1277" s="16">
        <v>45437</v>
      </c>
      <c r="C1277" t="s">
        <v>3</v>
      </c>
      <c r="D1277" t="s">
        <v>120</v>
      </c>
      <c r="E1277" t="s">
        <v>168</v>
      </c>
      <c r="F1277">
        <v>511</v>
      </c>
      <c r="G1277">
        <v>290</v>
      </c>
      <c r="H1277">
        <v>2</v>
      </c>
      <c r="I1277">
        <v>0</v>
      </c>
      <c r="J1277" s="15">
        <v>4775</v>
      </c>
      <c r="K1277">
        <v>3</v>
      </c>
      <c r="L1277" s="15">
        <v>4775</v>
      </c>
      <c r="M1277">
        <v>3</v>
      </c>
      <c r="N1277">
        <v>37</v>
      </c>
      <c r="O1277">
        <v>511</v>
      </c>
      <c r="P1277">
        <f t="shared" si="66"/>
        <v>2024</v>
      </c>
      <c r="Q1277">
        <f t="shared" si="67"/>
        <v>5</v>
      </c>
      <c r="R1277" t="str">
        <f t="shared" si="65"/>
        <v>手猫首页</v>
      </c>
      <c r="S1277" t="s">
        <v>628</v>
      </c>
      <c r="T1277" s="546" t="s">
        <v>804</v>
      </c>
    </row>
    <row r="1278" spans="1:20" x14ac:dyDescent="0.3">
      <c r="A1278" t="s">
        <v>627</v>
      </c>
      <c r="B1278" s="16">
        <v>45437</v>
      </c>
      <c r="C1278" t="s">
        <v>3</v>
      </c>
      <c r="D1278" t="s">
        <v>123</v>
      </c>
      <c r="E1278" t="s">
        <v>169</v>
      </c>
      <c r="F1278">
        <v>173</v>
      </c>
      <c r="G1278">
        <v>62</v>
      </c>
      <c r="H1278">
        <v>16</v>
      </c>
      <c r="I1278">
        <v>7</v>
      </c>
      <c r="J1278" s="15">
        <v>22662</v>
      </c>
      <c r="K1278">
        <v>4</v>
      </c>
      <c r="L1278" s="15">
        <v>22662</v>
      </c>
      <c r="M1278">
        <v>4</v>
      </c>
      <c r="N1278">
        <v>60</v>
      </c>
      <c r="O1278">
        <v>163</v>
      </c>
      <c r="P1278">
        <f t="shared" si="66"/>
        <v>2024</v>
      </c>
      <c r="Q1278">
        <f t="shared" si="67"/>
        <v>5</v>
      </c>
      <c r="R1278" t="str">
        <f t="shared" si="65"/>
        <v>商品详情页头图推荐</v>
      </c>
      <c r="S1278" t="s">
        <v>628</v>
      </c>
      <c r="T1278" s="546" t="s">
        <v>804</v>
      </c>
    </row>
    <row r="1279" spans="1:20" x14ac:dyDescent="0.3">
      <c r="A1279" t="s">
        <v>627</v>
      </c>
      <c r="B1279" s="16">
        <v>45437</v>
      </c>
      <c r="C1279" t="s">
        <v>3</v>
      </c>
      <c r="D1279" t="s">
        <v>123</v>
      </c>
      <c r="E1279" t="s">
        <v>170</v>
      </c>
      <c r="F1279">
        <v>39</v>
      </c>
      <c r="G1279">
        <v>24</v>
      </c>
      <c r="H1279">
        <v>1</v>
      </c>
      <c r="I1279">
        <v>0</v>
      </c>
      <c r="J1279" s="15">
        <v>4970</v>
      </c>
      <c r="K1279">
        <v>1</v>
      </c>
      <c r="L1279" s="15">
        <v>4970</v>
      </c>
      <c r="M1279">
        <v>1</v>
      </c>
      <c r="N1279">
        <v>34</v>
      </c>
      <c r="O1279">
        <v>16</v>
      </c>
      <c r="P1279">
        <f t="shared" si="66"/>
        <v>2024</v>
      </c>
      <c r="Q1279">
        <f t="shared" si="67"/>
        <v>5</v>
      </c>
      <c r="R1279" t="str">
        <f t="shared" si="65"/>
        <v>店铺超链</v>
      </c>
      <c r="S1279" t="s">
        <v>628</v>
      </c>
      <c r="T1279" s="546" t="s">
        <v>804</v>
      </c>
    </row>
    <row r="1280" spans="1:20" x14ac:dyDescent="0.3">
      <c r="A1280" t="s">
        <v>627</v>
      </c>
      <c r="B1280" s="16">
        <v>45437</v>
      </c>
      <c r="C1280" t="s">
        <v>3</v>
      </c>
      <c r="D1280" t="s">
        <v>127</v>
      </c>
      <c r="E1280" t="s">
        <v>171</v>
      </c>
      <c r="F1280">
        <v>288</v>
      </c>
      <c r="G1280">
        <v>184</v>
      </c>
      <c r="H1280">
        <v>18</v>
      </c>
      <c r="I1280">
        <v>5</v>
      </c>
      <c r="J1280" s="15">
        <v>6516</v>
      </c>
      <c r="K1280">
        <v>2</v>
      </c>
      <c r="L1280" s="15">
        <v>6516</v>
      </c>
      <c r="M1280">
        <v>2</v>
      </c>
      <c r="N1280">
        <v>100</v>
      </c>
      <c r="O1280">
        <v>244</v>
      </c>
      <c r="P1280">
        <f t="shared" si="66"/>
        <v>2024</v>
      </c>
      <c r="Q1280">
        <f t="shared" si="67"/>
        <v>5</v>
      </c>
      <c r="R1280" t="str">
        <f t="shared" si="65"/>
        <v>其他猜你喜欢</v>
      </c>
      <c r="S1280" t="s">
        <v>628</v>
      </c>
      <c r="T1280" s="546" t="s">
        <v>804</v>
      </c>
    </row>
    <row r="1281" spans="1:20" x14ac:dyDescent="0.3">
      <c r="A1281" t="s">
        <v>627</v>
      </c>
      <c r="B1281" s="16">
        <v>45437</v>
      </c>
      <c r="C1281" t="s">
        <v>3</v>
      </c>
      <c r="D1281" t="s">
        <v>127</v>
      </c>
      <c r="E1281" t="s">
        <v>172</v>
      </c>
      <c r="F1281">
        <v>1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f t="shared" si="66"/>
        <v>2024</v>
      </c>
      <c r="Q1281">
        <f t="shared" si="67"/>
        <v>5</v>
      </c>
      <c r="R1281" t="str">
        <f t="shared" si="65"/>
        <v>购中推荐</v>
      </c>
      <c r="S1281" t="s">
        <v>628</v>
      </c>
      <c r="T1281" s="546" t="s">
        <v>804</v>
      </c>
    </row>
    <row r="1282" spans="1:20" x14ac:dyDescent="0.3">
      <c r="A1282" t="s">
        <v>627</v>
      </c>
      <c r="B1282" s="16">
        <v>45437</v>
      </c>
      <c r="C1282" t="s">
        <v>3</v>
      </c>
      <c r="D1282" t="s">
        <v>127</v>
      </c>
      <c r="E1282" t="s">
        <v>173</v>
      </c>
      <c r="F1282">
        <v>17</v>
      </c>
      <c r="G1282">
        <v>7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2</v>
      </c>
      <c r="O1282">
        <v>17</v>
      </c>
      <c r="P1282">
        <f t="shared" si="66"/>
        <v>2024</v>
      </c>
      <c r="Q1282">
        <f t="shared" si="67"/>
        <v>5</v>
      </c>
      <c r="R1282" t="str">
        <f t="shared" si="65"/>
        <v>购后推荐</v>
      </c>
      <c r="S1282" t="s">
        <v>628</v>
      </c>
      <c r="T1282" s="546" t="s">
        <v>804</v>
      </c>
    </row>
    <row r="1283" spans="1:20" x14ac:dyDescent="0.3">
      <c r="A1283" t="s">
        <v>627</v>
      </c>
      <c r="B1283" s="16">
        <v>45437</v>
      </c>
      <c r="C1283" t="s">
        <v>3</v>
      </c>
      <c r="D1283" t="s">
        <v>127</v>
      </c>
      <c r="E1283" t="s">
        <v>174</v>
      </c>
      <c r="F1283" s="15">
        <v>2707</v>
      </c>
      <c r="G1283" s="15">
        <v>1737</v>
      </c>
      <c r="H1283">
        <v>90</v>
      </c>
      <c r="I1283">
        <v>39</v>
      </c>
      <c r="J1283" s="17">
        <v>30887.5</v>
      </c>
      <c r="K1283">
        <v>9</v>
      </c>
      <c r="L1283" s="17">
        <v>30887.5</v>
      </c>
      <c r="M1283">
        <v>9</v>
      </c>
      <c r="N1283">
        <v>375</v>
      </c>
      <c r="O1283" s="15">
        <v>2707</v>
      </c>
      <c r="P1283">
        <f t="shared" si="66"/>
        <v>2024</v>
      </c>
      <c r="Q1283">
        <f t="shared" si="67"/>
        <v>5</v>
      </c>
      <c r="R1283" t="str">
        <f t="shared" si="65"/>
        <v>首页推荐-微详情</v>
      </c>
      <c r="S1283" t="s">
        <v>628</v>
      </c>
      <c r="T1283" s="546" t="s">
        <v>804</v>
      </c>
    </row>
    <row r="1284" spans="1:20" x14ac:dyDescent="0.3">
      <c r="A1284" t="s">
        <v>627</v>
      </c>
      <c r="B1284" s="16">
        <v>45437</v>
      </c>
      <c r="C1284" t="s">
        <v>3</v>
      </c>
      <c r="D1284" t="s">
        <v>127</v>
      </c>
      <c r="E1284" t="s">
        <v>175</v>
      </c>
      <c r="F1284">
        <v>6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f t="shared" si="66"/>
        <v>2024</v>
      </c>
      <c r="Q1284">
        <f t="shared" si="67"/>
        <v>5</v>
      </c>
      <c r="R1284" t="str">
        <f t="shared" si="65"/>
        <v>首页推荐-直播</v>
      </c>
      <c r="S1284" t="s">
        <v>628</v>
      </c>
      <c r="T1284" s="546" t="s">
        <v>804</v>
      </c>
    </row>
    <row r="1285" spans="1:20" x14ac:dyDescent="0.3">
      <c r="A1285" t="s">
        <v>627</v>
      </c>
      <c r="B1285" s="16">
        <v>45437</v>
      </c>
      <c r="C1285" t="s">
        <v>3</v>
      </c>
      <c r="D1285" t="s">
        <v>127</v>
      </c>
      <c r="E1285" t="s">
        <v>176</v>
      </c>
      <c r="F1285">
        <v>105</v>
      </c>
      <c r="G1285">
        <v>59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f t="shared" si="66"/>
        <v>2024</v>
      </c>
      <c r="Q1285">
        <f t="shared" si="67"/>
        <v>5</v>
      </c>
      <c r="R1285" t="str">
        <f t="shared" si="65"/>
        <v>首页推荐-短视频</v>
      </c>
      <c r="S1285" t="s">
        <v>628</v>
      </c>
      <c r="T1285" s="546" t="s">
        <v>804</v>
      </c>
    </row>
    <row r="1286" spans="1:20" x14ac:dyDescent="0.3">
      <c r="A1286" t="s">
        <v>627</v>
      </c>
      <c r="B1286" s="16">
        <v>45437</v>
      </c>
      <c r="C1286" t="s">
        <v>3</v>
      </c>
      <c r="D1286" t="s">
        <v>128</v>
      </c>
      <c r="E1286" t="s">
        <v>177</v>
      </c>
      <c r="F1286">
        <v>857</v>
      </c>
      <c r="G1286">
        <v>608</v>
      </c>
      <c r="H1286">
        <v>65</v>
      </c>
      <c r="I1286">
        <v>10</v>
      </c>
      <c r="J1286" s="17">
        <v>74525.95</v>
      </c>
      <c r="K1286">
        <v>18</v>
      </c>
      <c r="L1286" s="17">
        <v>68153.95</v>
      </c>
      <c r="M1286">
        <v>16</v>
      </c>
      <c r="N1286">
        <v>227</v>
      </c>
      <c r="O1286">
        <v>796</v>
      </c>
      <c r="P1286">
        <f t="shared" si="66"/>
        <v>2024</v>
      </c>
      <c r="Q1286">
        <f t="shared" si="67"/>
        <v>5</v>
      </c>
      <c r="R1286" t="str">
        <f t="shared" si="65"/>
        <v>手淘搜索-商品及其他</v>
      </c>
      <c r="S1286" t="s">
        <v>628</v>
      </c>
      <c r="T1286" s="546" t="s">
        <v>804</v>
      </c>
    </row>
    <row r="1287" spans="1:20" x14ac:dyDescent="0.3">
      <c r="A1287" t="s">
        <v>627</v>
      </c>
      <c r="B1287" s="16">
        <v>45437</v>
      </c>
      <c r="C1287" t="s">
        <v>3</v>
      </c>
      <c r="D1287" t="s">
        <v>128</v>
      </c>
      <c r="E1287" t="s">
        <v>179</v>
      </c>
      <c r="F1287">
        <v>21</v>
      </c>
      <c r="G1287">
        <v>13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3</v>
      </c>
      <c r="O1287">
        <v>5</v>
      </c>
      <c r="P1287">
        <f t="shared" si="66"/>
        <v>2024</v>
      </c>
      <c r="Q1287">
        <f t="shared" si="67"/>
        <v>5</v>
      </c>
      <c r="R1287" t="str">
        <f t="shared" ref="R1287:R1350" si="68">E1287</f>
        <v>手淘搜索-短视频</v>
      </c>
      <c r="S1287" t="s">
        <v>628</v>
      </c>
      <c r="T1287" s="546" t="s">
        <v>804</v>
      </c>
    </row>
    <row r="1288" spans="1:20" x14ac:dyDescent="0.3">
      <c r="A1288" t="s">
        <v>627</v>
      </c>
      <c r="B1288" s="16">
        <v>45437</v>
      </c>
      <c r="C1288" t="s">
        <v>3</v>
      </c>
      <c r="D1288" t="s">
        <v>143</v>
      </c>
      <c r="E1288" t="s">
        <v>180</v>
      </c>
      <c r="F1288">
        <v>8</v>
      </c>
      <c r="G1288">
        <v>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8</v>
      </c>
      <c r="P1288">
        <f t="shared" si="66"/>
        <v>2024</v>
      </c>
      <c r="Q1288">
        <f t="shared" si="67"/>
        <v>5</v>
      </c>
      <c r="R1288" t="str">
        <f t="shared" si="68"/>
        <v>淘特其他渠道</v>
      </c>
      <c r="S1288" t="s">
        <v>628</v>
      </c>
      <c r="T1288" s="546" t="s">
        <v>804</v>
      </c>
    </row>
    <row r="1289" spans="1:20" x14ac:dyDescent="0.3">
      <c r="A1289" t="s">
        <v>627</v>
      </c>
      <c r="B1289" s="16">
        <v>45437</v>
      </c>
      <c r="C1289" t="s">
        <v>2</v>
      </c>
      <c r="D1289" t="s">
        <v>55</v>
      </c>
      <c r="E1289" t="s">
        <v>54</v>
      </c>
      <c r="F1289">
        <v>33</v>
      </c>
      <c r="G1289">
        <v>24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33</v>
      </c>
      <c r="P1289">
        <f t="shared" si="66"/>
        <v>2024</v>
      </c>
      <c r="Q1289">
        <f t="shared" si="67"/>
        <v>5</v>
      </c>
      <c r="R1289" t="str">
        <f t="shared" si="68"/>
        <v>超级直播</v>
      </c>
      <c r="S1289" t="s">
        <v>628</v>
      </c>
      <c r="T1289" s="546" t="s">
        <v>804</v>
      </c>
    </row>
    <row r="1290" spans="1:20" x14ac:dyDescent="0.3">
      <c r="A1290" t="s">
        <v>627</v>
      </c>
      <c r="B1290" s="16">
        <v>45437</v>
      </c>
      <c r="C1290" t="s">
        <v>2</v>
      </c>
      <c r="D1290" t="s">
        <v>55</v>
      </c>
      <c r="E1290" t="s">
        <v>56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f t="shared" si="66"/>
        <v>2024</v>
      </c>
      <c r="Q1290">
        <f t="shared" si="67"/>
        <v>5</v>
      </c>
      <c r="R1290" t="str">
        <f t="shared" si="68"/>
        <v>超级短视频</v>
      </c>
      <c r="S1290" t="s">
        <v>628</v>
      </c>
      <c r="T1290" s="546" t="s">
        <v>804</v>
      </c>
    </row>
    <row r="1291" spans="1:20" x14ac:dyDescent="0.3">
      <c r="A1291" t="s">
        <v>627</v>
      </c>
      <c r="B1291" s="16">
        <v>45437</v>
      </c>
      <c r="C1291" t="s">
        <v>2</v>
      </c>
      <c r="D1291" t="s">
        <v>52</v>
      </c>
      <c r="E1291" t="s">
        <v>53</v>
      </c>
      <c r="F1291" s="15">
        <v>1103</v>
      </c>
      <c r="G1291">
        <v>908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 s="15">
        <v>1103</v>
      </c>
      <c r="O1291">
        <v>105</v>
      </c>
      <c r="P1291">
        <f t="shared" si="66"/>
        <v>2024</v>
      </c>
      <c r="Q1291">
        <f t="shared" si="67"/>
        <v>5</v>
      </c>
      <c r="R1291" t="str">
        <f t="shared" si="68"/>
        <v>Showmax</v>
      </c>
      <c r="S1291" t="s">
        <v>628</v>
      </c>
      <c r="T1291" s="546" t="s">
        <v>804</v>
      </c>
    </row>
    <row r="1292" spans="1:20" x14ac:dyDescent="0.3">
      <c r="A1292" t="s">
        <v>627</v>
      </c>
      <c r="B1292" s="16">
        <v>45437</v>
      </c>
      <c r="C1292" t="s">
        <v>2</v>
      </c>
      <c r="D1292" t="s">
        <v>52</v>
      </c>
      <c r="E1292" t="s">
        <v>59</v>
      </c>
      <c r="F1292" s="15">
        <v>1361</v>
      </c>
      <c r="G1292" s="15">
        <v>1064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 s="15">
        <v>1361</v>
      </c>
      <c r="O1292">
        <v>199</v>
      </c>
      <c r="P1292">
        <f t="shared" si="66"/>
        <v>2024</v>
      </c>
      <c r="Q1292">
        <f t="shared" si="67"/>
        <v>5</v>
      </c>
      <c r="R1292" t="str">
        <f t="shared" si="68"/>
        <v>品牌特秀</v>
      </c>
      <c r="S1292" t="s">
        <v>628</v>
      </c>
      <c r="T1292" s="546" t="s">
        <v>804</v>
      </c>
    </row>
    <row r="1293" spans="1:20" x14ac:dyDescent="0.3">
      <c r="A1293" t="s">
        <v>627</v>
      </c>
      <c r="B1293" s="16">
        <v>45437</v>
      </c>
      <c r="C1293" t="s">
        <v>2</v>
      </c>
      <c r="D1293" t="s">
        <v>52</v>
      </c>
      <c r="E1293" t="s">
        <v>183</v>
      </c>
      <c r="F1293">
        <v>587</v>
      </c>
      <c r="G1293">
        <v>483</v>
      </c>
      <c r="H1293">
        <v>14</v>
      </c>
      <c r="I1293">
        <v>6</v>
      </c>
      <c r="J1293" s="17">
        <v>56801.5</v>
      </c>
      <c r="K1293">
        <v>5</v>
      </c>
      <c r="L1293" s="17">
        <v>43456.5</v>
      </c>
      <c r="M1293">
        <v>4</v>
      </c>
      <c r="N1293">
        <v>587</v>
      </c>
      <c r="O1293">
        <v>308</v>
      </c>
      <c r="P1293">
        <f t="shared" si="66"/>
        <v>2024</v>
      </c>
      <c r="Q1293">
        <f t="shared" si="67"/>
        <v>5</v>
      </c>
      <c r="R1293" t="str">
        <f t="shared" si="68"/>
        <v>品销宝-品牌专区</v>
      </c>
      <c r="S1293" t="s">
        <v>628</v>
      </c>
      <c r="T1293" s="546" t="s">
        <v>804</v>
      </c>
    </row>
    <row r="1294" spans="1:20" x14ac:dyDescent="0.3">
      <c r="A1294" t="s">
        <v>627</v>
      </c>
      <c r="B1294" s="16">
        <v>45437</v>
      </c>
      <c r="C1294" t="s">
        <v>2</v>
      </c>
      <c r="D1294" t="s">
        <v>57</v>
      </c>
      <c r="E1294" t="s">
        <v>65</v>
      </c>
      <c r="F1294" s="15">
        <v>2676</v>
      </c>
      <c r="G1294" s="15">
        <v>2231</v>
      </c>
      <c r="H1294">
        <v>69</v>
      </c>
      <c r="I1294">
        <v>15</v>
      </c>
      <c r="J1294" s="17">
        <v>55766.96</v>
      </c>
      <c r="K1294">
        <v>17</v>
      </c>
      <c r="L1294" s="15">
        <v>49156</v>
      </c>
      <c r="M1294">
        <v>15</v>
      </c>
      <c r="N1294">
        <v>226</v>
      </c>
      <c r="O1294" s="15">
        <v>2655</v>
      </c>
      <c r="P1294">
        <f t="shared" si="66"/>
        <v>2024</v>
      </c>
      <c r="Q1294">
        <f t="shared" si="67"/>
        <v>5</v>
      </c>
      <c r="R1294" t="str">
        <f t="shared" si="68"/>
        <v>直通车</v>
      </c>
      <c r="S1294" t="s">
        <v>628</v>
      </c>
      <c r="T1294" s="546" t="s">
        <v>804</v>
      </c>
    </row>
    <row r="1295" spans="1:20" x14ac:dyDescent="0.3">
      <c r="A1295" t="s">
        <v>627</v>
      </c>
      <c r="B1295" s="16">
        <v>45437</v>
      </c>
      <c r="C1295" t="s">
        <v>2</v>
      </c>
      <c r="D1295" t="s">
        <v>57</v>
      </c>
      <c r="E1295" t="s">
        <v>63</v>
      </c>
      <c r="F1295" s="15">
        <v>3054</v>
      </c>
      <c r="G1295" s="15">
        <v>1355</v>
      </c>
      <c r="H1295">
        <v>86</v>
      </c>
      <c r="I1295">
        <v>27</v>
      </c>
      <c r="J1295" s="15">
        <v>119735</v>
      </c>
      <c r="K1295">
        <v>29</v>
      </c>
      <c r="L1295" s="15">
        <v>98554</v>
      </c>
      <c r="M1295">
        <v>25</v>
      </c>
      <c r="N1295">
        <v>258</v>
      </c>
      <c r="O1295" s="15">
        <v>3052</v>
      </c>
      <c r="P1295">
        <f t="shared" si="66"/>
        <v>2024</v>
      </c>
      <c r="Q1295">
        <f t="shared" si="67"/>
        <v>5</v>
      </c>
      <c r="R1295" t="str">
        <f t="shared" si="68"/>
        <v>万相台</v>
      </c>
      <c r="S1295" t="s">
        <v>628</v>
      </c>
      <c r="T1295" s="546" t="s">
        <v>804</v>
      </c>
    </row>
    <row r="1296" spans="1:20" x14ac:dyDescent="0.3">
      <c r="A1296" t="s">
        <v>627</v>
      </c>
      <c r="B1296" s="16">
        <v>45437</v>
      </c>
      <c r="C1296" t="s">
        <v>2</v>
      </c>
      <c r="D1296" t="s">
        <v>57</v>
      </c>
      <c r="E1296" t="s">
        <v>64</v>
      </c>
      <c r="F1296" s="15">
        <v>10734</v>
      </c>
      <c r="G1296" s="15">
        <v>4860</v>
      </c>
      <c r="H1296">
        <v>78</v>
      </c>
      <c r="I1296">
        <v>68</v>
      </c>
      <c r="J1296" s="15">
        <v>30227</v>
      </c>
      <c r="K1296">
        <v>7</v>
      </c>
      <c r="L1296" s="15">
        <v>9102</v>
      </c>
      <c r="M1296">
        <v>4</v>
      </c>
      <c r="N1296">
        <v>329</v>
      </c>
      <c r="O1296" s="15">
        <v>10732</v>
      </c>
      <c r="P1296">
        <f t="shared" si="66"/>
        <v>2024</v>
      </c>
      <c r="Q1296">
        <f t="shared" si="67"/>
        <v>5</v>
      </c>
      <c r="R1296" t="str">
        <f t="shared" si="68"/>
        <v>引力魔方</v>
      </c>
      <c r="S1296" t="s">
        <v>628</v>
      </c>
      <c r="T1296" s="546" t="s">
        <v>804</v>
      </c>
    </row>
    <row r="1297" spans="1:20" x14ac:dyDescent="0.3">
      <c r="A1297" t="s">
        <v>627</v>
      </c>
      <c r="B1297" s="16">
        <v>45437</v>
      </c>
      <c r="C1297" t="s">
        <v>2</v>
      </c>
      <c r="D1297" t="s">
        <v>4</v>
      </c>
      <c r="E1297" t="s">
        <v>41</v>
      </c>
      <c r="F1297">
        <v>3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</v>
      </c>
      <c r="O1297">
        <v>2</v>
      </c>
      <c r="P1297">
        <f t="shared" si="66"/>
        <v>2024</v>
      </c>
      <c r="Q1297">
        <f t="shared" si="67"/>
        <v>5</v>
      </c>
      <c r="R1297" t="str">
        <f t="shared" si="68"/>
        <v>流量宝</v>
      </c>
      <c r="S1297" t="s">
        <v>628</v>
      </c>
      <c r="T1297" s="546" t="s">
        <v>804</v>
      </c>
    </row>
    <row r="1298" spans="1:20" x14ac:dyDescent="0.3">
      <c r="A1298" t="s">
        <v>627</v>
      </c>
      <c r="B1298" s="16">
        <v>45437</v>
      </c>
      <c r="C1298" t="s">
        <v>2</v>
      </c>
      <c r="D1298" t="s">
        <v>4</v>
      </c>
      <c r="E1298" t="s">
        <v>43</v>
      </c>
      <c r="F1298">
        <v>320</v>
      </c>
      <c r="G1298">
        <v>67</v>
      </c>
      <c r="H1298">
        <v>3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10</v>
      </c>
      <c r="O1298">
        <v>317</v>
      </c>
      <c r="P1298">
        <f t="shared" si="66"/>
        <v>2024</v>
      </c>
      <c r="Q1298">
        <f t="shared" si="67"/>
        <v>5</v>
      </c>
      <c r="R1298" t="str">
        <f t="shared" si="68"/>
        <v>淘宝客</v>
      </c>
      <c r="S1298" t="s">
        <v>628</v>
      </c>
      <c r="T1298" s="546" t="s">
        <v>804</v>
      </c>
    </row>
    <row r="1299" spans="1:20" x14ac:dyDescent="0.3">
      <c r="A1299" t="s">
        <v>627</v>
      </c>
      <c r="B1299" s="16">
        <v>45438</v>
      </c>
      <c r="C1299" t="s">
        <v>3</v>
      </c>
      <c r="D1299" t="s">
        <v>114</v>
      </c>
      <c r="E1299" t="s">
        <v>159</v>
      </c>
      <c r="F1299">
        <v>127</v>
      </c>
      <c r="G1299">
        <v>57</v>
      </c>
      <c r="H1299">
        <v>3</v>
      </c>
      <c r="I1299">
        <v>2</v>
      </c>
      <c r="J1299">
        <v>0</v>
      </c>
      <c r="K1299">
        <v>0</v>
      </c>
      <c r="L1299">
        <v>0</v>
      </c>
      <c r="M1299">
        <v>0</v>
      </c>
      <c r="N1299">
        <v>19</v>
      </c>
      <c r="O1299">
        <v>112</v>
      </c>
      <c r="P1299">
        <f t="shared" si="66"/>
        <v>2024</v>
      </c>
      <c r="Q1299">
        <f t="shared" si="67"/>
        <v>5</v>
      </c>
      <c r="R1299" t="str">
        <f t="shared" si="68"/>
        <v>主会场</v>
      </c>
      <c r="S1299" t="s">
        <v>628</v>
      </c>
      <c r="T1299" s="546" t="s">
        <v>804</v>
      </c>
    </row>
    <row r="1300" spans="1:20" x14ac:dyDescent="0.3">
      <c r="A1300" t="s">
        <v>627</v>
      </c>
      <c r="B1300" s="16">
        <v>45438</v>
      </c>
      <c r="C1300" t="s">
        <v>3</v>
      </c>
      <c r="D1300" t="s">
        <v>120</v>
      </c>
      <c r="E1300" t="s">
        <v>163</v>
      </c>
      <c r="F1300">
        <v>98</v>
      </c>
      <c r="G1300">
        <v>48</v>
      </c>
      <c r="H1300">
        <v>3</v>
      </c>
      <c r="I1300">
        <v>0</v>
      </c>
      <c r="J1300" s="15">
        <v>6170</v>
      </c>
      <c r="K1300">
        <v>4</v>
      </c>
      <c r="L1300" s="15">
        <v>6170</v>
      </c>
      <c r="M1300">
        <v>4</v>
      </c>
      <c r="N1300">
        <v>31</v>
      </c>
      <c r="O1300">
        <v>95</v>
      </c>
      <c r="P1300">
        <f t="shared" si="66"/>
        <v>2024</v>
      </c>
      <c r="Q1300">
        <f t="shared" si="67"/>
        <v>5</v>
      </c>
      <c r="R1300" t="str">
        <f t="shared" si="68"/>
        <v>手猫免费其他</v>
      </c>
      <c r="S1300" t="s">
        <v>628</v>
      </c>
      <c r="T1300" s="546" t="s">
        <v>804</v>
      </c>
    </row>
    <row r="1301" spans="1:20" x14ac:dyDescent="0.3">
      <c r="A1301" t="s">
        <v>627</v>
      </c>
      <c r="B1301" s="16">
        <v>45438</v>
      </c>
      <c r="C1301" t="s">
        <v>3</v>
      </c>
      <c r="D1301" t="s">
        <v>120</v>
      </c>
      <c r="E1301" t="s">
        <v>164</v>
      </c>
      <c r="F1301">
        <v>6</v>
      </c>
      <c r="G1301">
        <v>4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6</v>
      </c>
      <c r="P1301">
        <f t="shared" ref="P1301:P1364" si="69">YEAR(B1301)</f>
        <v>2024</v>
      </c>
      <c r="Q1301">
        <f t="shared" ref="Q1301:Q1364" si="70">MONTH(B1301)</f>
        <v>5</v>
      </c>
      <c r="R1301" t="str">
        <f t="shared" si="68"/>
        <v>手猫其他店铺</v>
      </c>
      <c r="S1301" t="s">
        <v>628</v>
      </c>
      <c r="T1301" s="546" t="s">
        <v>804</v>
      </c>
    </row>
    <row r="1302" spans="1:20" x14ac:dyDescent="0.3">
      <c r="A1302" t="s">
        <v>627</v>
      </c>
      <c r="B1302" s="16">
        <v>45438</v>
      </c>
      <c r="C1302" t="s">
        <v>3</v>
      </c>
      <c r="D1302" t="s">
        <v>120</v>
      </c>
      <c r="E1302" t="s">
        <v>165</v>
      </c>
      <c r="F1302">
        <v>37</v>
      </c>
      <c r="G1302">
        <v>17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6</v>
      </c>
      <c r="O1302">
        <v>33</v>
      </c>
      <c r="P1302">
        <f t="shared" si="69"/>
        <v>2024</v>
      </c>
      <c r="Q1302">
        <f t="shared" si="70"/>
        <v>5</v>
      </c>
      <c r="R1302" t="str">
        <f t="shared" si="68"/>
        <v>手猫商品详情</v>
      </c>
      <c r="S1302" t="s">
        <v>628</v>
      </c>
      <c r="T1302" s="546" t="s">
        <v>804</v>
      </c>
    </row>
    <row r="1303" spans="1:20" x14ac:dyDescent="0.3">
      <c r="A1303" t="s">
        <v>627</v>
      </c>
      <c r="B1303" s="16">
        <v>45438</v>
      </c>
      <c r="C1303" t="s">
        <v>3</v>
      </c>
      <c r="D1303" t="s">
        <v>120</v>
      </c>
      <c r="E1303" t="s">
        <v>166</v>
      </c>
      <c r="F1303">
        <v>59</v>
      </c>
      <c r="G1303">
        <v>36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19</v>
      </c>
      <c r="O1303">
        <v>49</v>
      </c>
      <c r="P1303">
        <f t="shared" si="69"/>
        <v>2024</v>
      </c>
      <c r="Q1303">
        <f t="shared" si="70"/>
        <v>5</v>
      </c>
      <c r="R1303" t="str">
        <f t="shared" si="68"/>
        <v>手猫搜索</v>
      </c>
      <c r="S1303" t="s">
        <v>628</v>
      </c>
      <c r="T1303" s="546" t="s">
        <v>804</v>
      </c>
    </row>
    <row r="1304" spans="1:20" x14ac:dyDescent="0.3">
      <c r="A1304" t="s">
        <v>627</v>
      </c>
      <c r="B1304" s="16">
        <v>45438</v>
      </c>
      <c r="C1304" t="s">
        <v>3</v>
      </c>
      <c r="D1304" t="s">
        <v>120</v>
      </c>
      <c r="E1304" t="s">
        <v>167</v>
      </c>
      <c r="F1304">
        <v>3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2</v>
      </c>
      <c r="O1304">
        <v>2</v>
      </c>
      <c r="P1304">
        <f t="shared" si="69"/>
        <v>2024</v>
      </c>
      <c r="Q1304">
        <f t="shared" si="70"/>
        <v>5</v>
      </c>
      <c r="R1304" t="str">
        <f t="shared" si="68"/>
        <v>手猫旺信聊天</v>
      </c>
      <c r="S1304" t="s">
        <v>628</v>
      </c>
      <c r="T1304" s="546" t="s">
        <v>804</v>
      </c>
    </row>
    <row r="1305" spans="1:20" x14ac:dyDescent="0.3">
      <c r="A1305" t="s">
        <v>627</v>
      </c>
      <c r="B1305" s="16">
        <v>45438</v>
      </c>
      <c r="C1305" t="s">
        <v>3</v>
      </c>
      <c r="D1305" t="s">
        <v>120</v>
      </c>
      <c r="E1305" t="s">
        <v>168</v>
      </c>
      <c r="F1305">
        <v>473</v>
      </c>
      <c r="G1305">
        <v>262</v>
      </c>
      <c r="H1305">
        <v>7</v>
      </c>
      <c r="I1305">
        <v>0</v>
      </c>
      <c r="J1305" s="17">
        <v>6478.43</v>
      </c>
      <c r="K1305">
        <v>4</v>
      </c>
      <c r="L1305" s="17">
        <v>5175.43</v>
      </c>
      <c r="M1305">
        <v>3</v>
      </c>
      <c r="N1305">
        <v>28</v>
      </c>
      <c r="O1305">
        <v>473</v>
      </c>
      <c r="P1305">
        <f t="shared" si="69"/>
        <v>2024</v>
      </c>
      <c r="Q1305">
        <f t="shared" si="70"/>
        <v>5</v>
      </c>
      <c r="R1305" t="str">
        <f t="shared" si="68"/>
        <v>手猫首页</v>
      </c>
      <c r="S1305" t="s">
        <v>628</v>
      </c>
      <c r="T1305" s="546" t="s">
        <v>804</v>
      </c>
    </row>
    <row r="1306" spans="1:20" x14ac:dyDescent="0.3">
      <c r="A1306" t="s">
        <v>627</v>
      </c>
      <c r="B1306" s="16">
        <v>45438</v>
      </c>
      <c r="C1306" t="s">
        <v>3</v>
      </c>
      <c r="D1306" t="s">
        <v>123</v>
      </c>
      <c r="E1306" t="s">
        <v>169</v>
      </c>
      <c r="F1306">
        <v>206</v>
      </c>
      <c r="G1306">
        <v>89</v>
      </c>
      <c r="H1306">
        <v>10</v>
      </c>
      <c r="I1306">
        <v>4</v>
      </c>
      <c r="J1306" s="15">
        <v>12651</v>
      </c>
      <c r="K1306">
        <v>5</v>
      </c>
      <c r="L1306" s="15">
        <v>12651</v>
      </c>
      <c r="M1306">
        <v>5</v>
      </c>
      <c r="N1306">
        <v>62</v>
      </c>
      <c r="O1306">
        <v>188</v>
      </c>
      <c r="P1306">
        <f t="shared" si="69"/>
        <v>2024</v>
      </c>
      <c r="Q1306">
        <f t="shared" si="70"/>
        <v>5</v>
      </c>
      <c r="R1306" t="str">
        <f t="shared" si="68"/>
        <v>商品详情页头图推荐</v>
      </c>
      <c r="S1306" t="s">
        <v>628</v>
      </c>
      <c r="T1306" s="546" t="s">
        <v>804</v>
      </c>
    </row>
    <row r="1307" spans="1:20" x14ac:dyDescent="0.3">
      <c r="A1307" t="s">
        <v>627</v>
      </c>
      <c r="B1307" s="16">
        <v>45438</v>
      </c>
      <c r="C1307" t="s">
        <v>3</v>
      </c>
      <c r="D1307" t="s">
        <v>123</v>
      </c>
      <c r="E1307" t="s">
        <v>170</v>
      </c>
      <c r="F1307">
        <v>31</v>
      </c>
      <c r="G1307">
        <v>20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26</v>
      </c>
      <c r="O1307">
        <v>14</v>
      </c>
      <c r="P1307">
        <f t="shared" si="69"/>
        <v>2024</v>
      </c>
      <c r="Q1307">
        <f t="shared" si="70"/>
        <v>5</v>
      </c>
      <c r="R1307" t="str">
        <f t="shared" si="68"/>
        <v>店铺超链</v>
      </c>
      <c r="S1307" t="s">
        <v>628</v>
      </c>
      <c r="T1307" s="546" t="s">
        <v>804</v>
      </c>
    </row>
    <row r="1308" spans="1:20" x14ac:dyDescent="0.3">
      <c r="A1308" t="s">
        <v>627</v>
      </c>
      <c r="B1308" s="16">
        <v>45438</v>
      </c>
      <c r="C1308" t="s">
        <v>3</v>
      </c>
      <c r="D1308" t="s">
        <v>127</v>
      </c>
      <c r="E1308" t="s">
        <v>171</v>
      </c>
      <c r="F1308">
        <v>300</v>
      </c>
      <c r="G1308">
        <v>192</v>
      </c>
      <c r="H1308">
        <v>11</v>
      </c>
      <c r="I1308">
        <v>4</v>
      </c>
      <c r="J1308" s="15">
        <v>4843</v>
      </c>
      <c r="K1308">
        <v>3</v>
      </c>
      <c r="L1308" s="15">
        <v>4843</v>
      </c>
      <c r="M1308">
        <v>3</v>
      </c>
      <c r="N1308">
        <v>120</v>
      </c>
      <c r="O1308">
        <v>249</v>
      </c>
      <c r="P1308">
        <f t="shared" si="69"/>
        <v>2024</v>
      </c>
      <c r="Q1308">
        <f t="shared" si="70"/>
        <v>5</v>
      </c>
      <c r="R1308" t="str">
        <f t="shared" si="68"/>
        <v>其他猜你喜欢</v>
      </c>
      <c r="S1308" t="s">
        <v>628</v>
      </c>
      <c r="T1308" s="546" t="s">
        <v>804</v>
      </c>
    </row>
    <row r="1309" spans="1:20" x14ac:dyDescent="0.3">
      <c r="A1309" t="s">
        <v>627</v>
      </c>
      <c r="B1309" s="16">
        <v>45438</v>
      </c>
      <c r="C1309" t="s">
        <v>3</v>
      </c>
      <c r="D1309" t="s">
        <v>127</v>
      </c>
      <c r="E1309" t="s">
        <v>172</v>
      </c>
      <c r="F1309">
        <v>4</v>
      </c>
      <c r="G1309">
        <v>2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3</v>
      </c>
      <c r="P1309">
        <f t="shared" si="69"/>
        <v>2024</v>
      </c>
      <c r="Q1309">
        <f t="shared" si="70"/>
        <v>5</v>
      </c>
      <c r="R1309" t="str">
        <f t="shared" si="68"/>
        <v>购中推荐</v>
      </c>
      <c r="S1309" t="s">
        <v>628</v>
      </c>
      <c r="T1309" s="546" t="s">
        <v>804</v>
      </c>
    </row>
    <row r="1310" spans="1:20" x14ac:dyDescent="0.3">
      <c r="A1310" t="s">
        <v>627</v>
      </c>
      <c r="B1310" s="16">
        <v>45438</v>
      </c>
      <c r="C1310" t="s">
        <v>3</v>
      </c>
      <c r="D1310" t="s">
        <v>127</v>
      </c>
      <c r="E1310" t="s">
        <v>173</v>
      </c>
      <c r="F1310">
        <v>22</v>
      </c>
      <c r="G1310">
        <v>9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21</v>
      </c>
      <c r="P1310">
        <f t="shared" si="69"/>
        <v>2024</v>
      </c>
      <c r="Q1310">
        <f t="shared" si="70"/>
        <v>5</v>
      </c>
      <c r="R1310" t="str">
        <f t="shared" si="68"/>
        <v>购后推荐</v>
      </c>
      <c r="S1310" t="s">
        <v>628</v>
      </c>
      <c r="T1310" s="546" t="s">
        <v>804</v>
      </c>
    </row>
    <row r="1311" spans="1:20" x14ac:dyDescent="0.3">
      <c r="A1311" t="s">
        <v>627</v>
      </c>
      <c r="B1311" s="16">
        <v>45438</v>
      </c>
      <c r="C1311" t="s">
        <v>3</v>
      </c>
      <c r="D1311" t="s">
        <v>127</v>
      </c>
      <c r="E1311" t="s">
        <v>174</v>
      </c>
      <c r="F1311" s="15">
        <v>2953</v>
      </c>
      <c r="G1311" s="15">
        <v>1991</v>
      </c>
      <c r="H1311">
        <v>86</v>
      </c>
      <c r="I1311">
        <v>37</v>
      </c>
      <c r="J1311" s="17">
        <v>36434.01</v>
      </c>
      <c r="K1311">
        <v>19</v>
      </c>
      <c r="L1311" s="17">
        <v>24510.5</v>
      </c>
      <c r="M1311">
        <v>12</v>
      </c>
      <c r="N1311">
        <v>378</v>
      </c>
      <c r="O1311" s="15">
        <v>2953</v>
      </c>
      <c r="P1311">
        <f t="shared" si="69"/>
        <v>2024</v>
      </c>
      <c r="Q1311">
        <f t="shared" si="70"/>
        <v>5</v>
      </c>
      <c r="R1311" t="str">
        <f t="shared" si="68"/>
        <v>首页推荐-微详情</v>
      </c>
      <c r="S1311" t="s">
        <v>628</v>
      </c>
      <c r="T1311" s="546" t="s">
        <v>804</v>
      </c>
    </row>
    <row r="1312" spans="1:20" x14ac:dyDescent="0.3">
      <c r="A1312" t="s">
        <v>627</v>
      </c>
      <c r="B1312" s="16">
        <v>45438</v>
      </c>
      <c r="C1312" t="s">
        <v>3</v>
      </c>
      <c r="D1312" t="s">
        <v>127</v>
      </c>
      <c r="E1312" t="s">
        <v>175</v>
      </c>
      <c r="F1312">
        <v>163</v>
      </c>
      <c r="G1312">
        <v>82</v>
      </c>
      <c r="H1312">
        <v>1</v>
      </c>
      <c r="I1312">
        <v>0</v>
      </c>
      <c r="J1312" s="15">
        <v>1303</v>
      </c>
      <c r="K1312">
        <v>1</v>
      </c>
      <c r="L1312" s="15">
        <v>1303</v>
      </c>
      <c r="M1312">
        <v>1</v>
      </c>
      <c r="N1312">
        <v>0</v>
      </c>
      <c r="O1312">
        <v>14</v>
      </c>
      <c r="P1312">
        <f t="shared" si="69"/>
        <v>2024</v>
      </c>
      <c r="Q1312">
        <f t="shared" si="70"/>
        <v>5</v>
      </c>
      <c r="R1312" t="str">
        <f t="shared" si="68"/>
        <v>首页推荐-直播</v>
      </c>
      <c r="S1312" t="s">
        <v>628</v>
      </c>
      <c r="T1312" s="546" t="s">
        <v>804</v>
      </c>
    </row>
    <row r="1313" spans="1:20" x14ac:dyDescent="0.3">
      <c r="A1313" t="s">
        <v>627</v>
      </c>
      <c r="B1313" s="16">
        <v>45438</v>
      </c>
      <c r="C1313" t="s">
        <v>3</v>
      </c>
      <c r="D1313" t="s">
        <v>127</v>
      </c>
      <c r="E1313" t="s">
        <v>176</v>
      </c>
      <c r="F1313">
        <v>77</v>
      </c>
      <c r="G1313">
        <v>38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f t="shared" si="69"/>
        <v>2024</v>
      </c>
      <c r="Q1313">
        <f t="shared" si="70"/>
        <v>5</v>
      </c>
      <c r="R1313" t="str">
        <f t="shared" si="68"/>
        <v>首页推荐-短视频</v>
      </c>
      <c r="S1313" t="s">
        <v>628</v>
      </c>
      <c r="T1313" s="546" t="s">
        <v>804</v>
      </c>
    </row>
    <row r="1314" spans="1:20" x14ac:dyDescent="0.3">
      <c r="A1314" t="s">
        <v>627</v>
      </c>
      <c r="B1314" s="16">
        <v>45438</v>
      </c>
      <c r="C1314" t="s">
        <v>3</v>
      </c>
      <c r="D1314" t="s">
        <v>128</v>
      </c>
      <c r="E1314" t="s">
        <v>177</v>
      </c>
      <c r="F1314">
        <v>954</v>
      </c>
      <c r="G1314">
        <v>717</v>
      </c>
      <c r="H1314">
        <v>52</v>
      </c>
      <c r="I1314">
        <v>12</v>
      </c>
      <c r="J1314" s="15">
        <v>46373</v>
      </c>
      <c r="K1314">
        <v>20</v>
      </c>
      <c r="L1314" s="15">
        <v>44693</v>
      </c>
      <c r="M1314">
        <v>19</v>
      </c>
      <c r="N1314">
        <v>254</v>
      </c>
      <c r="O1314">
        <v>875</v>
      </c>
      <c r="P1314">
        <f t="shared" si="69"/>
        <v>2024</v>
      </c>
      <c r="Q1314">
        <f t="shared" si="70"/>
        <v>5</v>
      </c>
      <c r="R1314" t="str">
        <f t="shared" si="68"/>
        <v>手淘搜索-商品及其他</v>
      </c>
      <c r="S1314" t="s">
        <v>628</v>
      </c>
      <c r="T1314" s="546" t="s">
        <v>804</v>
      </c>
    </row>
    <row r="1315" spans="1:20" x14ac:dyDescent="0.3">
      <c r="A1315" t="s">
        <v>627</v>
      </c>
      <c r="B1315" s="16">
        <v>45438</v>
      </c>
      <c r="C1315" t="s">
        <v>3</v>
      </c>
      <c r="D1315" t="s">
        <v>128</v>
      </c>
      <c r="E1315" t="s">
        <v>178</v>
      </c>
      <c r="F1315">
        <v>15</v>
      </c>
      <c r="G1315">
        <v>8</v>
      </c>
      <c r="H1315">
        <v>2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2</v>
      </c>
      <c r="O1315">
        <v>15</v>
      </c>
      <c r="P1315">
        <f t="shared" si="69"/>
        <v>2024</v>
      </c>
      <c r="Q1315">
        <f t="shared" si="70"/>
        <v>5</v>
      </c>
      <c r="R1315" t="str">
        <f t="shared" si="68"/>
        <v>手淘搜索-直播</v>
      </c>
      <c r="S1315" t="s">
        <v>628</v>
      </c>
      <c r="T1315" s="546" t="s">
        <v>804</v>
      </c>
    </row>
    <row r="1316" spans="1:20" x14ac:dyDescent="0.3">
      <c r="A1316" t="s">
        <v>627</v>
      </c>
      <c r="B1316" s="16">
        <v>45438</v>
      </c>
      <c r="C1316" t="s">
        <v>3</v>
      </c>
      <c r="D1316" t="s">
        <v>128</v>
      </c>
      <c r="E1316" t="s">
        <v>179</v>
      </c>
      <c r="F1316">
        <v>21</v>
      </c>
      <c r="G1316">
        <v>10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6</v>
      </c>
      <c r="P1316">
        <f t="shared" si="69"/>
        <v>2024</v>
      </c>
      <c r="Q1316">
        <f t="shared" si="70"/>
        <v>5</v>
      </c>
      <c r="R1316" t="str">
        <f t="shared" si="68"/>
        <v>手淘搜索-短视频</v>
      </c>
      <c r="S1316" t="s">
        <v>628</v>
      </c>
      <c r="T1316" s="546" t="s">
        <v>804</v>
      </c>
    </row>
    <row r="1317" spans="1:20" x14ac:dyDescent="0.3">
      <c r="A1317" t="s">
        <v>627</v>
      </c>
      <c r="B1317" s="16">
        <v>45438</v>
      </c>
      <c r="C1317" t="s">
        <v>3</v>
      </c>
      <c r="D1317" t="s">
        <v>143</v>
      </c>
      <c r="E1317" t="s">
        <v>180</v>
      </c>
      <c r="F1317">
        <v>10</v>
      </c>
      <c r="G1317">
        <v>9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10</v>
      </c>
      <c r="P1317">
        <f t="shared" si="69"/>
        <v>2024</v>
      </c>
      <c r="Q1317">
        <f t="shared" si="70"/>
        <v>5</v>
      </c>
      <c r="R1317" t="str">
        <f t="shared" si="68"/>
        <v>淘特其他渠道</v>
      </c>
      <c r="S1317" t="s">
        <v>628</v>
      </c>
      <c r="T1317" s="546" t="s">
        <v>804</v>
      </c>
    </row>
    <row r="1318" spans="1:20" x14ac:dyDescent="0.3">
      <c r="A1318" t="s">
        <v>627</v>
      </c>
      <c r="B1318" s="16">
        <v>45438</v>
      </c>
      <c r="C1318" t="s">
        <v>3</v>
      </c>
      <c r="D1318" t="s">
        <v>143</v>
      </c>
      <c r="E1318" t="s">
        <v>181</v>
      </c>
      <c r="F1318">
        <v>1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f t="shared" si="69"/>
        <v>2024</v>
      </c>
      <c r="Q1318">
        <f t="shared" si="70"/>
        <v>5</v>
      </c>
      <c r="R1318" t="str">
        <f t="shared" si="68"/>
        <v>淘特搜索</v>
      </c>
      <c r="S1318" t="s">
        <v>628</v>
      </c>
      <c r="T1318" s="546" t="s">
        <v>804</v>
      </c>
    </row>
    <row r="1319" spans="1:20" x14ac:dyDescent="0.3">
      <c r="A1319" t="s">
        <v>627</v>
      </c>
      <c r="B1319" s="16">
        <v>45438</v>
      </c>
      <c r="C1319" t="s">
        <v>2</v>
      </c>
      <c r="D1319" t="s">
        <v>55</v>
      </c>
      <c r="E1319" t="s">
        <v>54</v>
      </c>
      <c r="F1319" s="15">
        <v>2430</v>
      </c>
      <c r="G1319" s="15">
        <v>2235</v>
      </c>
      <c r="H1319">
        <v>2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15</v>
      </c>
      <c r="O1319" s="15">
        <v>1592</v>
      </c>
      <c r="P1319">
        <f t="shared" si="69"/>
        <v>2024</v>
      </c>
      <c r="Q1319">
        <f t="shared" si="70"/>
        <v>5</v>
      </c>
      <c r="R1319" t="str">
        <f t="shared" si="68"/>
        <v>超级直播</v>
      </c>
      <c r="S1319" t="s">
        <v>628</v>
      </c>
      <c r="T1319" s="546" t="s">
        <v>804</v>
      </c>
    </row>
    <row r="1320" spans="1:20" x14ac:dyDescent="0.3">
      <c r="A1320" t="s">
        <v>627</v>
      </c>
      <c r="B1320" s="16">
        <v>45438</v>
      </c>
      <c r="C1320" t="s">
        <v>2</v>
      </c>
      <c r="D1320" t="s">
        <v>52</v>
      </c>
      <c r="E1320" t="s">
        <v>53</v>
      </c>
      <c r="F1320" s="15">
        <v>1069</v>
      </c>
      <c r="G1320">
        <v>892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 s="15">
        <v>1069</v>
      </c>
      <c r="O1320">
        <v>113</v>
      </c>
      <c r="P1320">
        <f t="shared" si="69"/>
        <v>2024</v>
      </c>
      <c r="Q1320">
        <f t="shared" si="70"/>
        <v>5</v>
      </c>
      <c r="R1320" t="str">
        <f t="shared" si="68"/>
        <v>Showmax</v>
      </c>
      <c r="S1320" t="s">
        <v>628</v>
      </c>
      <c r="T1320" s="546" t="s">
        <v>804</v>
      </c>
    </row>
    <row r="1321" spans="1:20" x14ac:dyDescent="0.3">
      <c r="A1321" t="s">
        <v>627</v>
      </c>
      <c r="B1321" s="16">
        <v>45438</v>
      </c>
      <c r="C1321" t="s">
        <v>2</v>
      </c>
      <c r="D1321" t="s">
        <v>52</v>
      </c>
      <c r="E1321" t="s">
        <v>51</v>
      </c>
      <c r="F1321">
        <v>1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f t="shared" si="69"/>
        <v>2024</v>
      </c>
      <c r="Q1321">
        <f t="shared" si="70"/>
        <v>5</v>
      </c>
      <c r="R1321" t="str">
        <f t="shared" si="68"/>
        <v>品牌定制</v>
      </c>
      <c r="S1321" t="s">
        <v>628</v>
      </c>
      <c r="T1321" s="546" t="s">
        <v>804</v>
      </c>
    </row>
    <row r="1322" spans="1:20" x14ac:dyDescent="0.3">
      <c r="A1322" t="s">
        <v>627</v>
      </c>
      <c r="B1322" s="16">
        <v>45438</v>
      </c>
      <c r="C1322" t="s">
        <v>2</v>
      </c>
      <c r="D1322" t="s">
        <v>52</v>
      </c>
      <c r="E1322" t="s">
        <v>59</v>
      </c>
      <c r="F1322" s="15">
        <v>1259</v>
      </c>
      <c r="G1322">
        <v>969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 s="15">
        <v>1259</v>
      </c>
      <c r="O1322">
        <v>198</v>
      </c>
      <c r="P1322">
        <f t="shared" si="69"/>
        <v>2024</v>
      </c>
      <c r="Q1322">
        <f t="shared" si="70"/>
        <v>5</v>
      </c>
      <c r="R1322" t="str">
        <f t="shared" si="68"/>
        <v>品牌特秀</v>
      </c>
      <c r="S1322" t="s">
        <v>628</v>
      </c>
      <c r="T1322" s="546" t="s">
        <v>804</v>
      </c>
    </row>
    <row r="1323" spans="1:20" x14ac:dyDescent="0.3">
      <c r="A1323" t="s">
        <v>627</v>
      </c>
      <c r="B1323" s="16">
        <v>45438</v>
      </c>
      <c r="C1323" t="s">
        <v>2</v>
      </c>
      <c r="D1323" t="s">
        <v>52</v>
      </c>
      <c r="E1323" t="s">
        <v>183</v>
      </c>
      <c r="F1323">
        <v>652</v>
      </c>
      <c r="G1323">
        <v>542</v>
      </c>
      <c r="H1323">
        <v>18</v>
      </c>
      <c r="I1323">
        <v>5</v>
      </c>
      <c r="J1323" s="15">
        <v>15475</v>
      </c>
      <c r="K1323">
        <v>6</v>
      </c>
      <c r="L1323" s="15">
        <v>13795</v>
      </c>
      <c r="M1323">
        <v>5</v>
      </c>
      <c r="N1323">
        <v>652</v>
      </c>
      <c r="O1323">
        <v>347</v>
      </c>
      <c r="P1323">
        <f t="shared" si="69"/>
        <v>2024</v>
      </c>
      <c r="Q1323">
        <f t="shared" si="70"/>
        <v>5</v>
      </c>
      <c r="R1323" t="str">
        <f t="shared" si="68"/>
        <v>品销宝-品牌专区</v>
      </c>
      <c r="S1323" t="s">
        <v>628</v>
      </c>
      <c r="T1323" s="546" t="s">
        <v>804</v>
      </c>
    </row>
    <row r="1324" spans="1:20" x14ac:dyDescent="0.3">
      <c r="A1324" t="s">
        <v>627</v>
      </c>
      <c r="B1324" s="16">
        <v>45438</v>
      </c>
      <c r="C1324" t="s">
        <v>2</v>
      </c>
      <c r="D1324" t="s">
        <v>57</v>
      </c>
      <c r="E1324" t="s">
        <v>65</v>
      </c>
      <c r="F1324" s="15">
        <v>2740</v>
      </c>
      <c r="G1324" s="15">
        <v>2346</v>
      </c>
      <c r="H1324">
        <v>57</v>
      </c>
      <c r="I1324">
        <v>16</v>
      </c>
      <c r="J1324" s="15">
        <v>82287</v>
      </c>
      <c r="K1324">
        <v>23</v>
      </c>
      <c r="L1324" s="15">
        <v>59958</v>
      </c>
      <c r="M1324">
        <v>19</v>
      </c>
      <c r="N1324">
        <v>248</v>
      </c>
      <c r="O1324" s="15">
        <v>2718</v>
      </c>
      <c r="P1324">
        <f t="shared" si="69"/>
        <v>2024</v>
      </c>
      <c r="Q1324">
        <f t="shared" si="70"/>
        <v>5</v>
      </c>
      <c r="R1324" t="str">
        <f t="shared" si="68"/>
        <v>直通车</v>
      </c>
      <c r="S1324" t="s">
        <v>628</v>
      </c>
      <c r="T1324" s="546" t="s">
        <v>804</v>
      </c>
    </row>
    <row r="1325" spans="1:20" x14ac:dyDescent="0.3">
      <c r="A1325" t="s">
        <v>627</v>
      </c>
      <c r="B1325" s="16">
        <v>45438</v>
      </c>
      <c r="C1325" t="s">
        <v>2</v>
      </c>
      <c r="D1325" t="s">
        <v>57</v>
      </c>
      <c r="E1325" t="s">
        <v>63</v>
      </c>
      <c r="F1325" s="15">
        <v>3253</v>
      </c>
      <c r="G1325" s="15">
        <v>1579</v>
      </c>
      <c r="H1325">
        <v>75</v>
      </c>
      <c r="I1325">
        <v>35</v>
      </c>
      <c r="J1325" s="15">
        <v>69361</v>
      </c>
      <c r="K1325">
        <v>26</v>
      </c>
      <c r="L1325" s="15">
        <v>63877</v>
      </c>
      <c r="M1325">
        <v>23</v>
      </c>
      <c r="N1325">
        <v>254</v>
      </c>
      <c r="O1325" s="15">
        <v>3249</v>
      </c>
      <c r="P1325">
        <f t="shared" si="69"/>
        <v>2024</v>
      </c>
      <c r="Q1325">
        <f t="shared" si="70"/>
        <v>5</v>
      </c>
      <c r="R1325" t="str">
        <f t="shared" si="68"/>
        <v>万相台</v>
      </c>
      <c r="S1325" t="s">
        <v>628</v>
      </c>
      <c r="T1325" s="546" t="s">
        <v>804</v>
      </c>
    </row>
    <row r="1326" spans="1:20" x14ac:dyDescent="0.3">
      <c r="A1326" t="s">
        <v>627</v>
      </c>
      <c r="B1326" s="16">
        <v>45438</v>
      </c>
      <c r="C1326" t="s">
        <v>2</v>
      </c>
      <c r="D1326" t="s">
        <v>57</v>
      </c>
      <c r="E1326" t="s">
        <v>64</v>
      </c>
      <c r="F1326" s="15">
        <v>12478</v>
      </c>
      <c r="G1326" s="15">
        <v>6374</v>
      </c>
      <c r="H1326">
        <v>67</v>
      </c>
      <c r="I1326">
        <v>46</v>
      </c>
      <c r="J1326" s="15">
        <v>38747</v>
      </c>
      <c r="K1326">
        <v>17</v>
      </c>
      <c r="L1326" s="15">
        <v>32293</v>
      </c>
      <c r="M1326">
        <v>15</v>
      </c>
      <c r="N1326">
        <v>362</v>
      </c>
      <c r="O1326" s="15">
        <v>12476</v>
      </c>
      <c r="P1326">
        <f t="shared" si="69"/>
        <v>2024</v>
      </c>
      <c r="Q1326">
        <f t="shared" si="70"/>
        <v>5</v>
      </c>
      <c r="R1326" t="str">
        <f t="shared" si="68"/>
        <v>引力魔方</v>
      </c>
      <c r="S1326" t="s">
        <v>628</v>
      </c>
      <c r="T1326" s="546" t="s">
        <v>804</v>
      </c>
    </row>
    <row r="1327" spans="1:20" x14ac:dyDescent="0.3">
      <c r="A1327" t="s">
        <v>627</v>
      </c>
      <c r="B1327" s="16">
        <v>45438</v>
      </c>
      <c r="C1327" t="s">
        <v>2</v>
      </c>
      <c r="D1327" t="s">
        <v>4</v>
      </c>
      <c r="E1327" t="s">
        <v>42</v>
      </c>
      <c r="F1327">
        <v>1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f t="shared" si="69"/>
        <v>2024</v>
      </c>
      <c r="Q1327">
        <f t="shared" si="70"/>
        <v>5</v>
      </c>
      <c r="R1327" t="str">
        <f t="shared" si="68"/>
        <v>UD效果投放</v>
      </c>
      <c r="S1327" t="s">
        <v>628</v>
      </c>
      <c r="T1327" s="546" t="s">
        <v>804</v>
      </c>
    </row>
    <row r="1328" spans="1:20" x14ac:dyDescent="0.3">
      <c r="A1328" t="s">
        <v>627</v>
      </c>
      <c r="B1328" s="16">
        <v>45438</v>
      </c>
      <c r="C1328" t="s">
        <v>2</v>
      </c>
      <c r="D1328" t="s">
        <v>4</v>
      </c>
      <c r="E1328" t="s">
        <v>41</v>
      </c>
      <c r="F1328">
        <v>2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2</v>
      </c>
      <c r="P1328">
        <f t="shared" si="69"/>
        <v>2024</v>
      </c>
      <c r="Q1328">
        <f t="shared" si="70"/>
        <v>5</v>
      </c>
      <c r="R1328" t="str">
        <f t="shared" si="68"/>
        <v>流量宝</v>
      </c>
      <c r="S1328" t="s">
        <v>628</v>
      </c>
      <c r="T1328" s="546" t="s">
        <v>804</v>
      </c>
    </row>
    <row r="1329" spans="1:20" x14ac:dyDescent="0.3">
      <c r="A1329" t="s">
        <v>627</v>
      </c>
      <c r="B1329" s="16">
        <v>45438</v>
      </c>
      <c r="C1329" t="s">
        <v>2</v>
      </c>
      <c r="D1329" t="s">
        <v>4</v>
      </c>
      <c r="E1329" t="s">
        <v>43</v>
      </c>
      <c r="F1329">
        <v>315</v>
      </c>
      <c r="G1329">
        <v>99</v>
      </c>
      <c r="H1329">
        <v>2</v>
      </c>
      <c r="I1329">
        <v>1</v>
      </c>
      <c r="J1329" s="15">
        <v>3304</v>
      </c>
      <c r="K1329">
        <v>1</v>
      </c>
      <c r="L1329" s="15">
        <v>3304</v>
      </c>
      <c r="M1329">
        <v>1</v>
      </c>
      <c r="N1329">
        <v>18</v>
      </c>
      <c r="O1329">
        <v>303</v>
      </c>
      <c r="P1329">
        <f t="shared" si="69"/>
        <v>2024</v>
      </c>
      <c r="Q1329">
        <f t="shared" si="70"/>
        <v>5</v>
      </c>
      <c r="R1329" t="str">
        <f t="shared" si="68"/>
        <v>淘宝客</v>
      </c>
      <c r="S1329" t="s">
        <v>628</v>
      </c>
      <c r="T1329" s="546" t="s">
        <v>804</v>
      </c>
    </row>
    <row r="1330" spans="1:20" x14ac:dyDescent="0.3">
      <c r="A1330" t="s">
        <v>627</v>
      </c>
      <c r="B1330" s="16">
        <v>45439</v>
      </c>
      <c r="C1330" t="s">
        <v>3</v>
      </c>
      <c r="D1330" t="s">
        <v>114</v>
      </c>
      <c r="E1330" t="s">
        <v>159</v>
      </c>
      <c r="F1330">
        <v>120</v>
      </c>
      <c r="G1330">
        <v>50</v>
      </c>
      <c r="H1330">
        <v>4</v>
      </c>
      <c r="I1330">
        <v>4</v>
      </c>
      <c r="J1330" s="15">
        <v>1498</v>
      </c>
      <c r="K1330">
        <v>1</v>
      </c>
      <c r="L1330" s="15">
        <v>1498</v>
      </c>
      <c r="M1330">
        <v>1</v>
      </c>
      <c r="N1330">
        <v>18</v>
      </c>
      <c r="O1330">
        <v>111</v>
      </c>
      <c r="P1330">
        <f t="shared" si="69"/>
        <v>2024</v>
      </c>
      <c r="Q1330">
        <f t="shared" si="70"/>
        <v>5</v>
      </c>
      <c r="R1330" t="str">
        <f t="shared" si="68"/>
        <v>主会场</v>
      </c>
      <c r="S1330" t="s">
        <v>628</v>
      </c>
      <c r="T1330" s="546" t="s">
        <v>804</v>
      </c>
    </row>
    <row r="1331" spans="1:20" x14ac:dyDescent="0.3">
      <c r="A1331" t="s">
        <v>627</v>
      </c>
      <c r="B1331" s="16">
        <v>45439</v>
      </c>
      <c r="C1331" t="s">
        <v>3</v>
      </c>
      <c r="D1331" t="s">
        <v>114</v>
      </c>
      <c r="E1331" t="s">
        <v>160</v>
      </c>
      <c r="F1331">
        <v>2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2</v>
      </c>
      <c r="P1331">
        <f t="shared" si="69"/>
        <v>2024</v>
      </c>
      <c r="Q1331">
        <f t="shared" si="70"/>
        <v>5</v>
      </c>
      <c r="R1331" t="str">
        <f t="shared" si="68"/>
        <v>榜单会场</v>
      </c>
      <c r="S1331" t="s">
        <v>628</v>
      </c>
      <c r="T1331" s="546" t="s">
        <v>804</v>
      </c>
    </row>
    <row r="1332" spans="1:20" x14ac:dyDescent="0.3">
      <c r="A1332" t="s">
        <v>627</v>
      </c>
      <c r="B1332" s="16">
        <v>45439</v>
      </c>
      <c r="C1332" t="s">
        <v>3</v>
      </c>
      <c r="D1332" t="s">
        <v>120</v>
      </c>
      <c r="E1332" t="s">
        <v>162</v>
      </c>
      <c r="F1332">
        <v>1</v>
      </c>
      <c r="G1332">
        <v>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f t="shared" si="69"/>
        <v>2024</v>
      </c>
      <c r="Q1332">
        <f t="shared" si="70"/>
        <v>5</v>
      </c>
      <c r="R1332" t="str">
        <f t="shared" si="68"/>
        <v>手机浏览器访问天猫</v>
      </c>
      <c r="S1332" t="s">
        <v>628</v>
      </c>
      <c r="T1332" s="546" t="s">
        <v>804</v>
      </c>
    </row>
    <row r="1333" spans="1:20" x14ac:dyDescent="0.3">
      <c r="A1333" t="s">
        <v>627</v>
      </c>
      <c r="B1333" s="16">
        <v>45439</v>
      </c>
      <c r="C1333" t="s">
        <v>3</v>
      </c>
      <c r="D1333" t="s">
        <v>120</v>
      </c>
      <c r="E1333" t="s">
        <v>163</v>
      </c>
      <c r="F1333">
        <v>86</v>
      </c>
      <c r="G1333">
        <v>32</v>
      </c>
      <c r="H1333">
        <v>3</v>
      </c>
      <c r="I1333">
        <v>0</v>
      </c>
      <c r="J1333" s="17">
        <v>15069.03</v>
      </c>
      <c r="K1333">
        <v>3</v>
      </c>
      <c r="L1333" s="17">
        <v>15069.03</v>
      </c>
      <c r="M1333">
        <v>3</v>
      </c>
      <c r="N1333">
        <v>21</v>
      </c>
      <c r="O1333">
        <v>84</v>
      </c>
      <c r="P1333">
        <f t="shared" si="69"/>
        <v>2024</v>
      </c>
      <c r="Q1333">
        <f t="shared" si="70"/>
        <v>5</v>
      </c>
      <c r="R1333" t="str">
        <f t="shared" si="68"/>
        <v>手猫免费其他</v>
      </c>
      <c r="S1333" t="s">
        <v>628</v>
      </c>
      <c r="T1333" s="546" t="s">
        <v>804</v>
      </c>
    </row>
    <row r="1334" spans="1:20" x14ac:dyDescent="0.3">
      <c r="A1334" t="s">
        <v>627</v>
      </c>
      <c r="B1334" s="16">
        <v>45439</v>
      </c>
      <c r="C1334" t="s">
        <v>3</v>
      </c>
      <c r="D1334" t="s">
        <v>120</v>
      </c>
      <c r="E1334" t="s">
        <v>164</v>
      </c>
      <c r="F1334">
        <v>2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2</v>
      </c>
      <c r="P1334">
        <f t="shared" si="69"/>
        <v>2024</v>
      </c>
      <c r="Q1334">
        <f t="shared" si="70"/>
        <v>5</v>
      </c>
      <c r="R1334" t="str">
        <f t="shared" si="68"/>
        <v>手猫其他店铺</v>
      </c>
      <c r="S1334" t="s">
        <v>628</v>
      </c>
      <c r="T1334" s="546" t="s">
        <v>804</v>
      </c>
    </row>
    <row r="1335" spans="1:20" x14ac:dyDescent="0.3">
      <c r="A1335" t="s">
        <v>627</v>
      </c>
      <c r="B1335" s="16">
        <v>45439</v>
      </c>
      <c r="C1335" t="s">
        <v>3</v>
      </c>
      <c r="D1335" t="s">
        <v>120</v>
      </c>
      <c r="E1335" t="s">
        <v>165</v>
      </c>
      <c r="F1335">
        <v>30</v>
      </c>
      <c r="G1335">
        <v>9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3</v>
      </c>
      <c r="O1335">
        <v>28</v>
      </c>
      <c r="P1335">
        <f t="shared" si="69"/>
        <v>2024</v>
      </c>
      <c r="Q1335">
        <f t="shared" si="70"/>
        <v>5</v>
      </c>
      <c r="R1335" t="str">
        <f t="shared" si="68"/>
        <v>手猫商品详情</v>
      </c>
      <c r="S1335" t="s">
        <v>628</v>
      </c>
      <c r="T1335" s="546" t="s">
        <v>804</v>
      </c>
    </row>
    <row r="1336" spans="1:20" x14ac:dyDescent="0.3">
      <c r="A1336" t="s">
        <v>627</v>
      </c>
      <c r="B1336" s="16">
        <v>45439</v>
      </c>
      <c r="C1336" t="s">
        <v>3</v>
      </c>
      <c r="D1336" t="s">
        <v>120</v>
      </c>
      <c r="E1336" t="s">
        <v>166</v>
      </c>
      <c r="F1336">
        <v>49</v>
      </c>
      <c r="G1336">
        <v>28</v>
      </c>
      <c r="H1336">
        <v>3</v>
      </c>
      <c r="I1336">
        <v>0</v>
      </c>
      <c r="J1336" s="17">
        <v>3368.03</v>
      </c>
      <c r="K1336">
        <v>1</v>
      </c>
      <c r="L1336" s="17">
        <v>3368.03</v>
      </c>
      <c r="M1336">
        <v>1</v>
      </c>
      <c r="N1336">
        <v>17</v>
      </c>
      <c r="O1336">
        <v>44</v>
      </c>
      <c r="P1336">
        <f t="shared" si="69"/>
        <v>2024</v>
      </c>
      <c r="Q1336">
        <f t="shared" si="70"/>
        <v>5</v>
      </c>
      <c r="R1336" t="str">
        <f t="shared" si="68"/>
        <v>手猫搜索</v>
      </c>
      <c r="S1336" t="s">
        <v>628</v>
      </c>
      <c r="T1336" s="546" t="s">
        <v>804</v>
      </c>
    </row>
    <row r="1337" spans="1:20" x14ac:dyDescent="0.3">
      <c r="A1337" t="s">
        <v>627</v>
      </c>
      <c r="B1337" s="16">
        <v>45439</v>
      </c>
      <c r="C1337" t="s">
        <v>3</v>
      </c>
      <c r="D1337" t="s">
        <v>120</v>
      </c>
      <c r="E1337" t="s">
        <v>167</v>
      </c>
      <c r="F1337">
        <v>1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f t="shared" si="69"/>
        <v>2024</v>
      </c>
      <c r="Q1337">
        <f t="shared" si="70"/>
        <v>5</v>
      </c>
      <c r="R1337" t="str">
        <f t="shared" si="68"/>
        <v>手猫旺信聊天</v>
      </c>
      <c r="S1337" t="s">
        <v>628</v>
      </c>
      <c r="T1337" s="546" t="s">
        <v>804</v>
      </c>
    </row>
    <row r="1338" spans="1:20" x14ac:dyDescent="0.3">
      <c r="A1338" t="s">
        <v>627</v>
      </c>
      <c r="B1338" s="16">
        <v>45439</v>
      </c>
      <c r="C1338" t="s">
        <v>3</v>
      </c>
      <c r="D1338" t="s">
        <v>120</v>
      </c>
      <c r="E1338" t="s">
        <v>168</v>
      </c>
      <c r="F1338">
        <v>365</v>
      </c>
      <c r="G1338">
        <v>185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14</v>
      </c>
      <c r="O1338">
        <v>365</v>
      </c>
      <c r="P1338">
        <f t="shared" si="69"/>
        <v>2024</v>
      </c>
      <c r="Q1338">
        <f t="shared" si="70"/>
        <v>5</v>
      </c>
      <c r="R1338" t="str">
        <f t="shared" si="68"/>
        <v>手猫首页</v>
      </c>
      <c r="S1338" t="s">
        <v>628</v>
      </c>
      <c r="T1338" s="546" t="s">
        <v>804</v>
      </c>
    </row>
    <row r="1339" spans="1:20" x14ac:dyDescent="0.3">
      <c r="A1339" t="s">
        <v>627</v>
      </c>
      <c r="B1339" s="16">
        <v>45439</v>
      </c>
      <c r="C1339" t="s">
        <v>3</v>
      </c>
      <c r="D1339" t="s">
        <v>123</v>
      </c>
      <c r="E1339" t="s">
        <v>169</v>
      </c>
      <c r="F1339">
        <v>172</v>
      </c>
      <c r="G1339">
        <v>87</v>
      </c>
      <c r="H1339">
        <v>11</v>
      </c>
      <c r="I1339">
        <v>5</v>
      </c>
      <c r="J1339" s="15">
        <v>24628</v>
      </c>
      <c r="K1339">
        <v>8</v>
      </c>
      <c r="L1339" s="15">
        <v>14639</v>
      </c>
      <c r="M1339">
        <v>5</v>
      </c>
      <c r="N1339">
        <v>60</v>
      </c>
      <c r="O1339">
        <v>150</v>
      </c>
      <c r="P1339">
        <f t="shared" si="69"/>
        <v>2024</v>
      </c>
      <c r="Q1339">
        <f t="shared" si="70"/>
        <v>5</v>
      </c>
      <c r="R1339" t="str">
        <f t="shared" si="68"/>
        <v>商品详情页头图推荐</v>
      </c>
      <c r="S1339" t="s">
        <v>628</v>
      </c>
      <c r="T1339" s="546" t="s">
        <v>804</v>
      </c>
    </row>
    <row r="1340" spans="1:20" x14ac:dyDescent="0.3">
      <c r="A1340" t="s">
        <v>627</v>
      </c>
      <c r="B1340" s="16">
        <v>45439</v>
      </c>
      <c r="C1340" t="s">
        <v>3</v>
      </c>
      <c r="D1340" t="s">
        <v>123</v>
      </c>
      <c r="E1340" t="s">
        <v>170</v>
      </c>
      <c r="F1340">
        <v>42</v>
      </c>
      <c r="G1340">
        <v>24</v>
      </c>
      <c r="H1340">
        <v>4</v>
      </c>
      <c r="I1340">
        <v>1</v>
      </c>
      <c r="J1340" s="15">
        <v>35187</v>
      </c>
      <c r="K1340">
        <v>2</v>
      </c>
      <c r="L1340" s="15">
        <v>35187</v>
      </c>
      <c r="M1340">
        <v>2</v>
      </c>
      <c r="N1340">
        <v>38</v>
      </c>
      <c r="O1340">
        <v>25</v>
      </c>
      <c r="P1340">
        <f t="shared" si="69"/>
        <v>2024</v>
      </c>
      <c r="Q1340">
        <f t="shared" si="70"/>
        <v>5</v>
      </c>
      <c r="R1340" t="str">
        <f t="shared" si="68"/>
        <v>店铺超链</v>
      </c>
      <c r="S1340" t="s">
        <v>628</v>
      </c>
      <c r="T1340" s="546" t="s">
        <v>804</v>
      </c>
    </row>
    <row r="1341" spans="1:20" x14ac:dyDescent="0.3">
      <c r="A1341" t="s">
        <v>627</v>
      </c>
      <c r="B1341" s="16">
        <v>45439</v>
      </c>
      <c r="C1341" t="s">
        <v>3</v>
      </c>
      <c r="D1341" t="s">
        <v>127</v>
      </c>
      <c r="E1341" t="s">
        <v>171</v>
      </c>
      <c r="F1341">
        <v>338</v>
      </c>
      <c r="G1341">
        <v>240</v>
      </c>
      <c r="H1341">
        <v>20</v>
      </c>
      <c r="I1341">
        <v>13</v>
      </c>
      <c r="J1341" s="15">
        <v>8014</v>
      </c>
      <c r="K1341">
        <v>4</v>
      </c>
      <c r="L1341" s="15">
        <v>6711</v>
      </c>
      <c r="M1341">
        <v>3</v>
      </c>
      <c r="N1341">
        <v>112</v>
      </c>
      <c r="O1341">
        <v>300</v>
      </c>
      <c r="P1341">
        <f t="shared" si="69"/>
        <v>2024</v>
      </c>
      <c r="Q1341">
        <f t="shared" si="70"/>
        <v>5</v>
      </c>
      <c r="R1341" t="str">
        <f t="shared" si="68"/>
        <v>其他猜你喜欢</v>
      </c>
      <c r="S1341" t="s">
        <v>628</v>
      </c>
      <c r="T1341" s="546" t="s">
        <v>804</v>
      </c>
    </row>
    <row r="1342" spans="1:20" x14ac:dyDescent="0.3">
      <c r="A1342" t="s">
        <v>627</v>
      </c>
      <c r="B1342" s="16">
        <v>45439</v>
      </c>
      <c r="C1342" t="s">
        <v>3</v>
      </c>
      <c r="D1342" t="s">
        <v>127</v>
      </c>
      <c r="E1342" t="s">
        <v>172</v>
      </c>
      <c r="F1342">
        <v>5</v>
      </c>
      <c r="G1342">
        <v>4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5</v>
      </c>
      <c r="P1342">
        <f t="shared" si="69"/>
        <v>2024</v>
      </c>
      <c r="Q1342">
        <f t="shared" si="70"/>
        <v>5</v>
      </c>
      <c r="R1342" t="str">
        <f t="shared" si="68"/>
        <v>购中推荐</v>
      </c>
      <c r="S1342" t="s">
        <v>628</v>
      </c>
      <c r="T1342" s="546" t="s">
        <v>804</v>
      </c>
    </row>
    <row r="1343" spans="1:20" x14ac:dyDescent="0.3">
      <c r="A1343" t="s">
        <v>627</v>
      </c>
      <c r="B1343" s="16">
        <v>45439</v>
      </c>
      <c r="C1343" t="s">
        <v>3</v>
      </c>
      <c r="D1343" t="s">
        <v>127</v>
      </c>
      <c r="E1343" t="s">
        <v>173</v>
      </c>
      <c r="F1343">
        <v>25</v>
      </c>
      <c r="G1343">
        <v>9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25</v>
      </c>
      <c r="P1343">
        <f t="shared" si="69"/>
        <v>2024</v>
      </c>
      <c r="Q1343">
        <f t="shared" si="70"/>
        <v>5</v>
      </c>
      <c r="R1343" t="str">
        <f t="shared" si="68"/>
        <v>购后推荐</v>
      </c>
      <c r="S1343" t="s">
        <v>628</v>
      </c>
      <c r="T1343" s="546" t="s">
        <v>804</v>
      </c>
    </row>
    <row r="1344" spans="1:20" x14ac:dyDescent="0.3">
      <c r="A1344" t="s">
        <v>627</v>
      </c>
      <c r="B1344" s="16">
        <v>45439</v>
      </c>
      <c r="C1344" t="s">
        <v>3</v>
      </c>
      <c r="D1344" t="s">
        <v>127</v>
      </c>
      <c r="E1344" t="s">
        <v>174</v>
      </c>
      <c r="F1344" s="15">
        <v>3712</v>
      </c>
      <c r="G1344" s="15">
        <v>2573</v>
      </c>
      <c r="H1344">
        <v>110</v>
      </c>
      <c r="I1344">
        <v>47</v>
      </c>
      <c r="J1344" s="15">
        <v>51563</v>
      </c>
      <c r="K1344">
        <v>22</v>
      </c>
      <c r="L1344" s="15">
        <v>35141</v>
      </c>
      <c r="M1344">
        <v>16</v>
      </c>
      <c r="N1344">
        <v>432</v>
      </c>
      <c r="O1344" s="15">
        <v>3712</v>
      </c>
      <c r="P1344">
        <f t="shared" si="69"/>
        <v>2024</v>
      </c>
      <c r="Q1344">
        <f t="shared" si="70"/>
        <v>5</v>
      </c>
      <c r="R1344" t="str">
        <f t="shared" si="68"/>
        <v>首页推荐-微详情</v>
      </c>
      <c r="S1344" t="s">
        <v>628</v>
      </c>
      <c r="T1344" s="546" t="s">
        <v>804</v>
      </c>
    </row>
    <row r="1345" spans="1:20" x14ac:dyDescent="0.3">
      <c r="A1345" t="s">
        <v>627</v>
      </c>
      <c r="B1345" s="16">
        <v>45439</v>
      </c>
      <c r="C1345" t="s">
        <v>3</v>
      </c>
      <c r="D1345" t="s">
        <v>127</v>
      </c>
      <c r="E1345" t="s">
        <v>175</v>
      </c>
      <c r="F1345">
        <v>351</v>
      </c>
      <c r="G1345">
        <v>231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8</v>
      </c>
      <c r="P1345">
        <f t="shared" si="69"/>
        <v>2024</v>
      </c>
      <c r="Q1345">
        <f t="shared" si="70"/>
        <v>5</v>
      </c>
      <c r="R1345" t="str">
        <f t="shared" si="68"/>
        <v>首页推荐-直播</v>
      </c>
      <c r="S1345" t="s">
        <v>628</v>
      </c>
      <c r="T1345" s="546" t="s">
        <v>804</v>
      </c>
    </row>
    <row r="1346" spans="1:20" x14ac:dyDescent="0.3">
      <c r="A1346" t="s">
        <v>627</v>
      </c>
      <c r="B1346" s="16">
        <v>45439</v>
      </c>
      <c r="C1346" t="s">
        <v>3</v>
      </c>
      <c r="D1346" t="s">
        <v>127</v>
      </c>
      <c r="E1346" t="s">
        <v>176</v>
      </c>
      <c r="F1346">
        <v>85</v>
      </c>
      <c r="G1346">
        <v>47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f t="shared" si="69"/>
        <v>2024</v>
      </c>
      <c r="Q1346">
        <f t="shared" si="70"/>
        <v>5</v>
      </c>
      <c r="R1346" t="str">
        <f t="shared" si="68"/>
        <v>首页推荐-短视频</v>
      </c>
      <c r="S1346" t="s">
        <v>628</v>
      </c>
      <c r="T1346" s="546" t="s">
        <v>804</v>
      </c>
    </row>
    <row r="1347" spans="1:20" x14ac:dyDescent="0.3">
      <c r="A1347" t="s">
        <v>627</v>
      </c>
      <c r="B1347" s="16">
        <v>45439</v>
      </c>
      <c r="C1347" t="s">
        <v>3</v>
      </c>
      <c r="D1347" t="s">
        <v>128</v>
      </c>
      <c r="E1347" t="s">
        <v>177</v>
      </c>
      <c r="F1347">
        <v>931</v>
      </c>
      <c r="G1347">
        <v>693</v>
      </c>
      <c r="H1347">
        <v>62</v>
      </c>
      <c r="I1347">
        <v>13</v>
      </c>
      <c r="J1347" s="17">
        <v>44055.5</v>
      </c>
      <c r="K1347">
        <v>16</v>
      </c>
      <c r="L1347" s="17">
        <v>40695.5</v>
      </c>
      <c r="M1347">
        <v>16</v>
      </c>
      <c r="N1347">
        <v>260</v>
      </c>
      <c r="O1347">
        <v>848</v>
      </c>
      <c r="P1347">
        <f t="shared" si="69"/>
        <v>2024</v>
      </c>
      <c r="Q1347">
        <f t="shared" si="70"/>
        <v>5</v>
      </c>
      <c r="R1347" t="str">
        <f t="shared" si="68"/>
        <v>手淘搜索-商品及其他</v>
      </c>
      <c r="S1347" t="s">
        <v>628</v>
      </c>
      <c r="T1347" s="546" t="s">
        <v>804</v>
      </c>
    </row>
    <row r="1348" spans="1:20" x14ac:dyDescent="0.3">
      <c r="A1348" t="s">
        <v>627</v>
      </c>
      <c r="B1348" s="16">
        <v>45439</v>
      </c>
      <c r="C1348" t="s">
        <v>3</v>
      </c>
      <c r="D1348" t="s">
        <v>128</v>
      </c>
      <c r="E1348" t="s">
        <v>178</v>
      </c>
      <c r="F1348">
        <v>14</v>
      </c>
      <c r="G1348">
        <v>9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2</v>
      </c>
      <c r="O1348">
        <v>8</v>
      </c>
      <c r="P1348">
        <f t="shared" si="69"/>
        <v>2024</v>
      </c>
      <c r="Q1348">
        <f t="shared" si="70"/>
        <v>5</v>
      </c>
      <c r="R1348" t="str">
        <f t="shared" si="68"/>
        <v>手淘搜索-直播</v>
      </c>
      <c r="S1348" t="s">
        <v>628</v>
      </c>
      <c r="T1348" s="546" t="s">
        <v>804</v>
      </c>
    </row>
    <row r="1349" spans="1:20" x14ac:dyDescent="0.3">
      <c r="A1349" t="s">
        <v>627</v>
      </c>
      <c r="B1349" s="16">
        <v>45439</v>
      </c>
      <c r="C1349" t="s">
        <v>3</v>
      </c>
      <c r="D1349" t="s">
        <v>128</v>
      </c>
      <c r="E1349" t="s">
        <v>179</v>
      </c>
      <c r="F1349">
        <v>17</v>
      </c>
      <c r="G1349">
        <v>4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2</v>
      </c>
      <c r="O1349">
        <v>7</v>
      </c>
      <c r="P1349">
        <f t="shared" si="69"/>
        <v>2024</v>
      </c>
      <c r="Q1349">
        <f t="shared" si="70"/>
        <v>5</v>
      </c>
      <c r="R1349" t="str">
        <f t="shared" si="68"/>
        <v>手淘搜索-短视频</v>
      </c>
      <c r="S1349" t="s">
        <v>628</v>
      </c>
      <c r="T1349" s="546" t="s">
        <v>804</v>
      </c>
    </row>
    <row r="1350" spans="1:20" x14ac:dyDescent="0.3">
      <c r="A1350" t="s">
        <v>627</v>
      </c>
      <c r="B1350" s="16">
        <v>45439</v>
      </c>
      <c r="C1350" t="s">
        <v>3</v>
      </c>
      <c r="D1350" t="s">
        <v>143</v>
      </c>
      <c r="E1350" t="s">
        <v>180</v>
      </c>
      <c r="F1350">
        <v>13</v>
      </c>
      <c r="G1350">
        <v>11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</v>
      </c>
      <c r="O1350">
        <v>13</v>
      </c>
      <c r="P1350">
        <f t="shared" si="69"/>
        <v>2024</v>
      </c>
      <c r="Q1350">
        <f t="shared" si="70"/>
        <v>5</v>
      </c>
      <c r="R1350" t="str">
        <f t="shared" si="68"/>
        <v>淘特其他渠道</v>
      </c>
      <c r="S1350" t="s">
        <v>628</v>
      </c>
      <c r="T1350" s="546" t="s">
        <v>804</v>
      </c>
    </row>
    <row r="1351" spans="1:20" x14ac:dyDescent="0.3">
      <c r="A1351" t="s">
        <v>627</v>
      </c>
      <c r="B1351" s="16">
        <v>45439</v>
      </c>
      <c r="C1351" t="s">
        <v>2</v>
      </c>
      <c r="D1351" t="s">
        <v>55</v>
      </c>
      <c r="E1351" t="s">
        <v>54</v>
      </c>
      <c r="F1351" s="15">
        <v>3695</v>
      </c>
      <c r="G1351" s="15">
        <v>3479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9</v>
      </c>
      <c r="O1351" s="15">
        <v>2434</v>
      </c>
      <c r="P1351">
        <f t="shared" si="69"/>
        <v>2024</v>
      </c>
      <c r="Q1351">
        <f t="shared" si="70"/>
        <v>5</v>
      </c>
      <c r="R1351" t="str">
        <f t="shared" ref="R1351:R1414" si="71">E1351</f>
        <v>超级直播</v>
      </c>
      <c r="S1351" t="s">
        <v>628</v>
      </c>
      <c r="T1351" s="546" t="s">
        <v>804</v>
      </c>
    </row>
    <row r="1352" spans="1:20" x14ac:dyDescent="0.3">
      <c r="A1352" t="s">
        <v>627</v>
      </c>
      <c r="B1352" s="16">
        <v>45439</v>
      </c>
      <c r="C1352" t="s">
        <v>2</v>
      </c>
      <c r="D1352" t="s">
        <v>52</v>
      </c>
      <c r="E1352" t="s">
        <v>53</v>
      </c>
      <c r="F1352">
        <v>788</v>
      </c>
      <c r="G1352">
        <v>634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788</v>
      </c>
      <c r="O1352">
        <v>92</v>
      </c>
      <c r="P1352">
        <f t="shared" si="69"/>
        <v>2024</v>
      </c>
      <c r="Q1352">
        <f t="shared" si="70"/>
        <v>5</v>
      </c>
      <c r="R1352" t="str">
        <f t="shared" si="71"/>
        <v>Showmax</v>
      </c>
      <c r="S1352" t="s">
        <v>628</v>
      </c>
      <c r="T1352" s="546" t="s">
        <v>804</v>
      </c>
    </row>
    <row r="1353" spans="1:20" x14ac:dyDescent="0.3">
      <c r="A1353" t="s">
        <v>627</v>
      </c>
      <c r="B1353" s="16">
        <v>45439</v>
      </c>
      <c r="C1353" t="s">
        <v>2</v>
      </c>
      <c r="D1353" t="s">
        <v>52</v>
      </c>
      <c r="E1353" t="s">
        <v>59</v>
      </c>
      <c r="F1353" s="15">
        <v>1173</v>
      </c>
      <c r="G1353">
        <v>877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 s="15">
        <v>1173</v>
      </c>
      <c r="O1353">
        <v>152</v>
      </c>
      <c r="P1353">
        <f t="shared" si="69"/>
        <v>2024</v>
      </c>
      <c r="Q1353">
        <f t="shared" si="70"/>
        <v>5</v>
      </c>
      <c r="R1353" t="str">
        <f t="shared" si="71"/>
        <v>品牌特秀</v>
      </c>
      <c r="S1353" t="s">
        <v>628</v>
      </c>
      <c r="T1353" s="546" t="s">
        <v>804</v>
      </c>
    </row>
    <row r="1354" spans="1:20" x14ac:dyDescent="0.3">
      <c r="A1354" t="s">
        <v>627</v>
      </c>
      <c r="B1354" s="16">
        <v>45439</v>
      </c>
      <c r="C1354" t="s">
        <v>2</v>
      </c>
      <c r="D1354" t="s">
        <v>52</v>
      </c>
      <c r="E1354" t="s">
        <v>183</v>
      </c>
      <c r="F1354">
        <v>613</v>
      </c>
      <c r="G1354">
        <v>483</v>
      </c>
      <c r="H1354">
        <v>25</v>
      </c>
      <c r="I1354">
        <v>4</v>
      </c>
      <c r="J1354" s="15">
        <v>37626</v>
      </c>
      <c r="K1354">
        <v>4</v>
      </c>
      <c r="L1354" s="15">
        <v>37626</v>
      </c>
      <c r="M1354">
        <v>4</v>
      </c>
      <c r="N1354">
        <v>613</v>
      </c>
      <c r="O1354">
        <v>298</v>
      </c>
      <c r="P1354">
        <f t="shared" si="69"/>
        <v>2024</v>
      </c>
      <c r="Q1354">
        <f t="shared" si="70"/>
        <v>5</v>
      </c>
      <c r="R1354" t="str">
        <f t="shared" si="71"/>
        <v>品销宝-品牌专区</v>
      </c>
      <c r="S1354" t="s">
        <v>628</v>
      </c>
      <c r="T1354" s="546" t="s">
        <v>804</v>
      </c>
    </row>
    <row r="1355" spans="1:20" x14ac:dyDescent="0.3">
      <c r="A1355" t="s">
        <v>627</v>
      </c>
      <c r="B1355" s="16">
        <v>45439</v>
      </c>
      <c r="C1355" t="s">
        <v>2</v>
      </c>
      <c r="D1355" t="s">
        <v>52</v>
      </c>
      <c r="E1355" t="s">
        <v>58</v>
      </c>
      <c r="F1355">
        <v>1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f t="shared" si="69"/>
        <v>2024</v>
      </c>
      <c r="Q1355">
        <f t="shared" si="70"/>
        <v>5</v>
      </c>
      <c r="R1355" t="str">
        <f t="shared" si="71"/>
        <v>超级全域通</v>
      </c>
      <c r="S1355" t="s">
        <v>628</v>
      </c>
      <c r="T1355" s="546" t="s">
        <v>804</v>
      </c>
    </row>
    <row r="1356" spans="1:20" x14ac:dyDescent="0.3">
      <c r="A1356" t="s">
        <v>627</v>
      </c>
      <c r="B1356" s="16">
        <v>45439</v>
      </c>
      <c r="C1356" t="s">
        <v>2</v>
      </c>
      <c r="D1356" t="s">
        <v>57</v>
      </c>
      <c r="E1356" t="s">
        <v>65</v>
      </c>
      <c r="F1356" s="15">
        <v>2981</v>
      </c>
      <c r="G1356" s="15">
        <v>2588</v>
      </c>
      <c r="H1356">
        <v>61</v>
      </c>
      <c r="I1356">
        <v>29</v>
      </c>
      <c r="J1356" s="15">
        <v>75314</v>
      </c>
      <c r="K1356">
        <v>20</v>
      </c>
      <c r="L1356" s="15">
        <v>45272</v>
      </c>
      <c r="M1356">
        <v>16</v>
      </c>
      <c r="N1356">
        <v>225</v>
      </c>
      <c r="O1356" s="15">
        <v>2964</v>
      </c>
      <c r="P1356">
        <f t="shared" si="69"/>
        <v>2024</v>
      </c>
      <c r="Q1356">
        <f t="shared" si="70"/>
        <v>5</v>
      </c>
      <c r="R1356" t="str">
        <f t="shared" si="71"/>
        <v>直通车</v>
      </c>
      <c r="S1356" t="s">
        <v>628</v>
      </c>
      <c r="T1356" s="546" t="s">
        <v>804</v>
      </c>
    </row>
    <row r="1357" spans="1:20" x14ac:dyDescent="0.3">
      <c r="A1357" t="s">
        <v>627</v>
      </c>
      <c r="B1357" s="16">
        <v>45439</v>
      </c>
      <c r="C1357" t="s">
        <v>2</v>
      </c>
      <c r="D1357" t="s">
        <v>57</v>
      </c>
      <c r="E1357" t="s">
        <v>63</v>
      </c>
      <c r="F1357" s="15">
        <v>2925</v>
      </c>
      <c r="G1357" s="15">
        <v>1275</v>
      </c>
      <c r="H1357">
        <v>71</v>
      </c>
      <c r="I1357">
        <v>30</v>
      </c>
      <c r="J1357" s="17">
        <v>68167.13</v>
      </c>
      <c r="K1357">
        <v>20</v>
      </c>
      <c r="L1357" s="17">
        <v>54426.13</v>
      </c>
      <c r="M1357">
        <v>15</v>
      </c>
      <c r="N1357">
        <v>229</v>
      </c>
      <c r="O1357" s="15">
        <v>2919</v>
      </c>
      <c r="P1357">
        <f t="shared" si="69"/>
        <v>2024</v>
      </c>
      <c r="Q1357">
        <f t="shared" si="70"/>
        <v>5</v>
      </c>
      <c r="R1357" t="str">
        <f t="shared" si="71"/>
        <v>万相台</v>
      </c>
      <c r="S1357" t="s">
        <v>628</v>
      </c>
      <c r="T1357" s="546" t="s">
        <v>804</v>
      </c>
    </row>
    <row r="1358" spans="1:20" x14ac:dyDescent="0.3">
      <c r="A1358" t="s">
        <v>627</v>
      </c>
      <c r="B1358" s="16">
        <v>45439</v>
      </c>
      <c r="C1358" t="s">
        <v>2</v>
      </c>
      <c r="D1358" t="s">
        <v>57</v>
      </c>
      <c r="E1358" t="s">
        <v>64</v>
      </c>
      <c r="F1358" s="15">
        <v>11123</v>
      </c>
      <c r="G1358" s="15">
        <v>5999</v>
      </c>
      <c r="H1358">
        <v>61</v>
      </c>
      <c r="I1358">
        <v>45</v>
      </c>
      <c r="J1358" s="15">
        <v>44181</v>
      </c>
      <c r="K1358">
        <v>10</v>
      </c>
      <c r="L1358" s="15">
        <v>11538</v>
      </c>
      <c r="M1358">
        <v>7</v>
      </c>
      <c r="N1358">
        <v>311</v>
      </c>
      <c r="O1358" s="15">
        <v>11121</v>
      </c>
      <c r="P1358">
        <f t="shared" si="69"/>
        <v>2024</v>
      </c>
      <c r="Q1358">
        <f t="shared" si="70"/>
        <v>5</v>
      </c>
      <c r="R1358" t="str">
        <f t="shared" si="71"/>
        <v>引力魔方</v>
      </c>
      <c r="S1358" t="s">
        <v>628</v>
      </c>
      <c r="T1358" s="546" t="s">
        <v>804</v>
      </c>
    </row>
    <row r="1359" spans="1:20" x14ac:dyDescent="0.3">
      <c r="A1359" t="s">
        <v>627</v>
      </c>
      <c r="B1359" s="16">
        <v>45439</v>
      </c>
      <c r="C1359" t="s">
        <v>2</v>
      </c>
      <c r="D1359" t="s">
        <v>4</v>
      </c>
      <c r="E1359" t="s">
        <v>41</v>
      </c>
      <c r="F1359">
        <v>5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5</v>
      </c>
      <c r="P1359">
        <f t="shared" si="69"/>
        <v>2024</v>
      </c>
      <c r="Q1359">
        <f t="shared" si="70"/>
        <v>5</v>
      </c>
      <c r="R1359" t="str">
        <f t="shared" si="71"/>
        <v>流量宝</v>
      </c>
      <c r="S1359" t="s">
        <v>628</v>
      </c>
      <c r="T1359" s="546" t="s">
        <v>804</v>
      </c>
    </row>
    <row r="1360" spans="1:20" x14ac:dyDescent="0.3">
      <c r="A1360" t="s">
        <v>627</v>
      </c>
      <c r="B1360" s="16">
        <v>45439</v>
      </c>
      <c r="C1360" t="s">
        <v>2</v>
      </c>
      <c r="D1360" t="s">
        <v>4</v>
      </c>
      <c r="E1360" t="s">
        <v>43</v>
      </c>
      <c r="F1360">
        <v>326</v>
      </c>
      <c r="G1360">
        <v>105</v>
      </c>
      <c r="H1360">
        <v>2</v>
      </c>
      <c r="I1360">
        <v>2</v>
      </c>
      <c r="J1360" s="17">
        <v>12414.67</v>
      </c>
      <c r="K1360">
        <v>4</v>
      </c>
      <c r="L1360" s="17">
        <v>7714.67</v>
      </c>
      <c r="M1360">
        <v>3</v>
      </c>
      <c r="N1360">
        <v>19</v>
      </c>
      <c r="O1360">
        <v>311</v>
      </c>
      <c r="P1360">
        <f t="shared" si="69"/>
        <v>2024</v>
      </c>
      <c r="Q1360">
        <f t="shared" si="70"/>
        <v>5</v>
      </c>
      <c r="R1360" t="str">
        <f t="shared" si="71"/>
        <v>淘宝客</v>
      </c>
      <c r="S1360" t="s">
        <v>628</v>
      </c>
      <c r="T1360" s="546" t="s">
        <v>804</v>
      </c>
    </row>
    <row r="1361" spans="1:20" x14ac:dyDescent="0.3">
      <c r="A1361" t="s">
        <v>627</v>
      </c>
      <c r="B1361" s="16">
        <v>45440</v>
      </c>
      <c r="C1361" t="s">
        <v>3</v>
      </c>
      <c r="D1361" t="s">
        <v>114</v>
      </c>
      <c r="E1361" t="s">
        <v>159</v>
      </c>
      <c r="F1361">
        <v>116</v>
      </c>
      <c r="G1361">
        <v>47</v>
      </c>
      <c r="H1361">
        <v>4</v>
      </c>
      <c r="I1361">
        <v>1</v>
      </c>
      <c r="J1361" s="15">
        <v>9370</v>
      </c>
      <c r="K1361">
        <v>2</v>
      </c>
      <c r="L1361" s="15">
        <v>5390</v>
      </c>
      <c r="M1361">
        <v>2</v>
      </c>
      <c r="N1361">
        <v>18</v>
      </c>
      <c r="O1361">
        <v>107</v>
      </c>
      <c r="P1361">
        <f t="shared" si="69"/>
        <v>2024</v>
      </c>
      <c r="Q1361">
        <f t="shared" si="70"/>
        <v>5</v>
      </c>
      <c r="R1361" t="str">
        <f t="shared" si="71"/>
        <v>主会场</v>
      </c>
      <c r="S1361" t="s">
        <v>628</v>
      </c>
      <c r="T1361" s="546" t="s">
        <v>804</v>
      </c>
    </row>
    <row r="1362" spans="1:20" x14ac:dyDescent="0.3">
      <c r="A1362" t="s">
        <v>627</v>
      </c>
      <c r="B1362" s="16">
        <v>45440</v>
      </c>
      <c r="C1362" t="s">
        <v>3</v>
      </c>
      <c r="D1362" t="s">
        <v>120</v>
      </c>
      <c r="E1362" t="s">
        <v>162</v>
      </c>
      <c r="F1362">
        <v>1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f t="shared" si="69"/>
        <v>2024</v>
      </c>
      <c r="Q1362">
        <f t="shared" si="70"/>
        <v>5</v>
      </c>
      <c r="R1362" t="str">
        <f t="shared" si="71"/>
        <v>手机浏览器访问天猫</v>
      </c>
      <c r="S1362" t="s">
        <v>628</v>
      </c>
      <c r="T1362" s="546" t="s">
        <v>804</v>
      </c>
    </row>
    <row r="1363" spans="1:20" x14ac:dyDescent="0.3">
      <c r="A1363" t="s">
        <v>627</v>
      </c>
      <c r="B1363" s="16">
        <v>45440</v>
      </c>
      <c r="C1363" t="s">
        <v>3</v>
      </c>
      <c r="D1363" t="s">
        <v>120</v>
      </c>
      <c r="E1363" t="s">
        <v>163</v>
      </c>
      <c r="F1363">
        <v>91</v>
      </c>
      <c r="G1363">
        <v>47</v>
      </c>
      <c r="H1363">
        <v>2</v>
      </c>
      <c r="I1363">
        <v>0</v>
      </c>
      <c r="J1363" s="17">
        <v>7830.57</v>
      </c>
      <c r="K1363">
        <v>3</v>
      </c>
      <c r="L1363" s="17">
        <v>7830.57</v>
      </c>
      <c r="M1363">
        <v>3</v>
      </c>
      <c r="N1363">
        <v>27</v>
      </c>
      <c r="O1363">
        <v>90</v>
      </c>
      <c r="P1363">
        <f t="shared" si="69"/>
        <v>2024</v>
      </c>
      <c r="Q1363">
        <f t="shared" si="70"/>
        <v>5</v>
      </c>
      <c r="R1363" t="str">
        <f t="shared" si="71"/>
        <v>手猫免费其他</v>
      </c>
      <c r="S1363" t="s">
        <v>628</v>
      </c>
      <c r="T1363" s="546" t="s">
        <v>804</v>
      </c>
    </row>
    <row r="1364" spans="1:20" x14ac:dyDescent="0.3">
      <c r="A1364" t="s">
        <v>627</v>
      </c>
      <c r="B1364" s="16">
        <v>45440</v>
      </c>
      <c r="C1364" t="s">
        <v>3</v>
      </c>
      <c r="D1364" t="s">
        <v>120</v>
      </c>
      <c r="E1364" t="s">
        <v>164</v>
      </c>
      <c r="F1364">
        <v>12</v>
      </c>
      <c r="G1364">
        <v>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12</v>
      </c>
      <c r="P1364">
        <f t="shared" si="69"/>
        <v>2024</v>
      </c>
      <c r="Q1364">
        <f t="shared" si="70"/>
        <v>5</v>
      </c>
      <c r="R1364" t="str">
        <f t="shared" si="71"/>
        <v>手猫其他店铺</v>
      </c>
      <c r="S1364" t="s">
        <v>628</v>
      </c>
      <c r="T1364" s="546" t="s">
        <v>804</v>
      </c>
    </row>
    <row r="1365" spans="1:20" x14ac:dyDescent="0.3">
      <c r="A1365" t="s">
        <v>627</v>
      </c>
      <c r="B1365" s="16">
        <v>45440</v>
      </c>
      <c r="C1365" t="s">
        <v>3</v>
      </c>
      <c r="D1365" t="s">
        <v>120</v>
      </c>
      <c r="E1365" t="s">
        <v>165</v>
      </c>
      <c r="F1365">
        <v>35</v>
      </c>
      <c r="G1365">
        <v>10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4</v>
      </c>
      <c r="O1365">
        <v>32</v>
      </c>
      <c r="P1365">
        <f t="shared" ref="P1365:P1428" si="72">YEAR(B1365)</f>
        <v>2024</v>
      </c>
      <c r="Q1365">
        <f t="shared" ref="Q1365:Q1428" si="73">MONTH(B1365)</f>
        <v>5</v>
      </c>
      <c r="R1365" t="str">
        <f t="shared" si="71"/>
        <v>手猫商品详情</v>
      </c>
      <c r="S1365" t="s">
        <v>628</v>
      </c>
      <c r="T1365" s="546" t="s">
        <v>804</v>
      </c>
    </row>
    <row r="1366" spans="1:20" x14ac:dyDescent="0.3">
      <c r="A1366" t="s">
        <v>627</v>
      </c>
      <c r="B1366" s="16">
        <v>45440</v>
      </c>
      <c r="C1366" t="s">
        <v>3</v>
      </c>
      <c r="D1366" t="s">
        <v>120</v>
      </c>
      <c r="E1366" t="s">
        <v>166</v>
      </c>
      <c r="F1366">
        <v>50</v>
      </c>
      <c r="G1366">
        <v>30</v>
      </c>
      <c r="H1366">
        <v>2</v>
      </c>
      <c r="I1366">
        <v>0</v>
      </c>
      <c r="J1366" s="17">
        <v>7251.76</v>
      </c>
      <c r="K1366">
        <v>3</v>
      </c>
      <c r="L1366" s="17">
        <v>7251.76</v>
      </c>
      <c r="M1366">
        <v>3</v>
      </c>
      <c r="N1366">
        <v>22</v>
      </c>
      <c r="O1366">
        <v>39</v>
      </c>
      <c r="P1366">
        <f t="shared" si="72"/>
        <v>2024</v>
      </c>
      <c r="Q1366">
        <f t="shared" si="73"/>
        <v>5</v>
      </c>
      <c r="R1366" t="str">
        <f t="shared" si="71"/>
        <v>手猫搜索</v>
      </c>
      <c r="S1366" t="s">
        <v>628</v>
      </c>
      <c r="T1366" s="546" t="s">
        <v>804</v>
      </c>
    </row>
    <row r="1367" spans="1:20" x14ac:dyDescent="0.3">
      <c r="A1367" t="s">
        <v>627</v>
      </c>
      <c r="B1367" s="16">
        <v>45440</v>
      </c>
      <c r="C1367" t="s">
        <v>3</v>
      </c>
      <c r="D1367" t="s">
        <v>120</v>
      </c>
      <c r="E1367" t="s">
        <v>167</v>
      </c>
      <c r="F1367">
        <v>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f t="shared" si="72"/>
        <v>2024</v>
      </c>
      <c r="Q1367">
        <f t="shared" si="73"/>
        <v>5</v>
      </c>
      <c r="R1367" t="str">
        <f t="shared" si="71"/>
        <v>手猫旺信聊天</v>
      </c>
      <c r="S1367" t="s">
        <v>628</v>
      </c>
      <c r="T1367" s="546" t="s">
        <v>804</v>
      </c>
    </row>
    <row r="1368" spans="1:20" x14ac:dyDescent="0.3">
      <c r="A1368" t="s">
        <v>627</v>
      </c>
      <c r="B1368" s="16">
        <v>45440</v>
      </c>
      <c r="C1368" t="s">
        <v>3</v>
      </c>
      <c r="D1368" t="s">
        <v>120</v>
      </c>
      <c r="E1368" t="s">
        <v>168</v>
      </c>
      <c r="F1368">
        <v>373</v>
      </c>
      <c r="G1368">
        <v>210</v>
      </c>
      <c r="H1368">
        <v>1</v>
      </c>
      <c r="I1368">
        <v>0</v>
      </c>
      <c r="J1368" s="17">
        <v>6066.76</v>
      </c>
      <c r="K1368">
        <v>3</v>
      </c>
      <c r="L1368" s="17">
        <v>6066.76</v>
      </c>
      <c r="M1368">
        <v>3</v>
      </c>
      <c r="N1368">
        <v>26</v>
      </c>
      <c r="O1368">
        <v>373</v>
      </c>
      <c r="P1368">
        <f t="shared" si="72"/>
        <v>2024</v>
      </c>
      <c r="Q1368">
        <f t="shared" si="73"/>
        <v>5</v>
      </c>
      <c r="R1368" t="str">
        <f t="shared" si="71"/>
        <v>手猫首页</v>
      </c>
      <c r="S1368" t="s">
        <v>628</v>
      </c>
      <c r="T1368" s="546" t="s">
        <v>804</v>
      </c>
    </row>
    <row r="1369" spans="1:20" x14ac:dyDescent="0.3">
      <c r="A1369" t="s">
        <v>627</v>
      </c>
      <c r="B1369" s="16">
        <v>45440</v>
      </c>
      <c r="C1369" t="s">
        <v>3</v>
      </c>
      <c r="D1369" t="s">
        <v>123</v>
      </c>
      <c r="E1369" t="s">
        <v>169</v>
      </c>
      <c r="F1369">
        <v>284</v>
      </c>
      <c r="G1369">
        <v>179</v>
      </c>
      <c r="H1369">
        <v>19</v>
      </c>
      <c r="I1369">
        <v>6</v>
      </c>
      <c r="J1369" s="17">
        <v>36348.949999999997</v>
      </c>
      <c r="K1369">
        <v>9</v>
      </c>
      <c r="L1369" s="17">
        <v>17330.95</v>
      </c>
      <c r="M1369">
        <v>6</v>
      </c>
      <c r="N1369">
        <v>74</v>
      </c>
      <c r="O1369">
        <v>271</v>
      </c>
      <c r="P1369">
        <f t="shared" si="72"/>
        <v>2024</v>
      </c>
      <c r="Q1369">
        <f t="shared" si="73"/>
        <v>5</v>
      </c>
      <c r="R1369" t="str">
        <f t="shared" si="71"/>
        <v>商品详情页头图推荐</v>
      </c>
      <c r="S1369" t="s">
        <v>628</v>
      </c>
      <c r="T1369" s="546" t="s">
        <v>804</v>
      </c>
    </row>
    <row r="1370" spans="1:20" x14ac:dyDescent="0.3">
      <c r="A1370" t="s">
        <v>627</v>
      </c>
      <c r="B1370" s="16">
        <v>45440</v>
      </c>
      <c r="C1370" t="s">
        <v>3</v>
      </c>
      <c r="D1370" t="s">
        <v>123</v>
      </c>
      <c r="E1370" t="s">
        <v>170</v>
      </c>
      <c r="F1370">
        <v>31</v>
      </c>
      <c r="G1370">
        <v>19</v>
      </c>
      <c r="H1370">
        <v>3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28</v>
      </c>
      <c r="O1370">
        <v>15</v>
      </c>
      <c r="P1370">
        <f t="shared" si="72"/>
        <v>2024</v>
      </c>
      <c r="Q1370">
        <f t="shared" si="73"/>
        <v>5</v>
      </c>
      <c r="R1370" t="str">
        <f t="shared" si="71"/>
        <v>店铺超链</v>
      </c>
      <c r="S1370" t="s">
        <v>628</v>
      </c>
      <c r="T1370" s="546" t="s">
        <v>804</v>
      </c>
    </row>
    <row r="1371" spans="1:20" x14ac:dyDescent="0.3">
      <c r="A1371" t="s">
        <v>627</v>
      </c>
      <c r="B1371" s="16">
        <v>45440</v>
      </c>
      <c r="C1371" t="s">
        <v>3</v>
      </c>
      <c r="D1371" t="s">
        <v>127</v>
      </c>
      <c r="E1371" t="s">
        <v>171</v>
      </c>
      <c r="F1371">
        <v>570</v>
      </c>
      <c r="G1371">
        <v>468</v>
      </c>
      <c r="H1371">
        <v>22</v>
      </c>
      <c r="I1371">
        <v>15</v>
      </c>
      <c r="J1371" s="17">
        <v>7288.44</v>
      </c>
      <c r="K1371">
        <v>4</v>
      </c>
      <c r="L1371" s="17">
        <v>7288.44</v>
      </c>
      <c r="M1371">
        <v>4</v>
      </c>
      <c r="N1371">
        <v>182</v>
      </c>
      <c r="O1371">
        <v>525</v>
      </c>
      <c r="P1371">
        <f t="shared" si="72"/>
        <v>2024</v>
      </c>
      <c r="Q1371">
        <f t="shared" si="73"/>
        <v>5</v>
      </c>
      <c r="R1371" t="str">
        <f t="shared" si="71"/>
        <v>其他猜你喜欢</v>
      </c>
      <c r="S1371" t="s">
        <v>628</v>
      </c>
      <c r="T1371" s="546" t="s">
        <v>804</v>
      </c>
    </row>
    <row r="1372" spans="1:20" x14ac:dyDescent="0.3">
      <c r="A1372" t="s">
        <v>627</v>
      </c>
      <c r="B1372" s="16">
        <v>45440</v>
      </c>
      <c r="C1372" t="s">
        <v>3</v>
      </c>
      <c r="D1372" t="s">
        <v>127</v>
      </c>
      <c r="E1372" t="s">
        <v>172</v>
      </c>
      <c r="F1372">
        <v>3</v>
      </c>
      <c r="G1372">
        <v>3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3</v>
      </c>
      <c r="P1372">
        <f t="shared" si="72"/>
        <v>2024</v>
      </c>
      <c r="Q1372">
        <f t="shared" si="73"/>
        <v>5</v>
      </c>
      <c r="R1372" t="str">
        <f t="shared" si="71"/>
        <v>购中推荐</v>
      </c>
      <c r="S1372" t="s">
        <v>628</v>
      </c>
      <c r="T1372" s="546" t="s">
        <v>804</v>
      </c>
    </row>
    <row r="1373" spans="1:20" x14ac:dyDescent="0.3">
      <c r="A1373" t="s">
        <v>627</v>
      </c>
      <c r="B1373" s="16">
        <v>45440</v>
      </c>
      <c r="C1373" t="s">
        <v>3</v>
      </c>
      <c r="D1373" t="s">
        <v>127</v>
      </c>
      <c r="E1373" t="s">
        <v>173</v>
      </c>
      <c r="F1373">
        <v>23</v>
      </c>
      <c r="G1373">
        <v>12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23</v>
      </c>
      <c r="P1373">
        <f t="shared" si="72"/>
        <v>2024</v>
      </c>
      <c r="Q1373">
        <f t="shared" si="73"/>
        <v>5</v>
      </c>
      <c r="R1373" t="str">
        <f t="shared" si="71"/>
        <v>购后推荐</v>
      </c>
      <c r="S1373" t="s">
        <v>628</v>
      </c>
      <c r="T1373" s="546" t="s">
        <v>804</v>
      </c>
    </row>
    <row r="1374" spans="1:20" x14ac:dyDescent="0.3">
      <c r="A1374" t="s">
        <v>627</v>
      </c>
      <c r="B1374" s="16">
        <v>45440</v>
      </c>
      <c r="C1374" t="s">
        <v>3</v>
      </c>
      <c r="D1374" t="s">
        <v>127</v>
      </c>
      <c r="E1374" t="s">
        <v>174</v>
      </c>
      <c r="F1374" s="15">
        <v>9128</v>
      </c>
      <c r="G1374" s="15">
        <v>7872</v>
      </c>
      <c r="H1374">
        <v>160</v>
      </c>
      <c r="I1374">
        <v>80</v>
      </c>
      <c r="J1374" s="17">
        <v>90207.44</v>
      </c>
      <c r="K1374">
        <v>36</v>
      </c>
      <c r="L1374" s="17">
        <v>48405.440000000002</v>
      </c>
      <c r="M1374">
        <v>22</v>
      </c>
      <c r="N1374">
        <v>844</v>
      </c>
      <c r="O1374" s="15">
        <v>9128</v>
      </c>
      <c r="P1374">
        <f t="shared" si="72"/>
        <v>2024</v>
      </c>
      <c r="Q1374">
        <f t="shared" si="73"/>
        <v>5</v>
      </c>
      <c r="R1374" t="str">
        <f t="shared" si="71"/>
        <v>首页推荐-微详情</v>
      </c>
      <c r="S1374" t="s">
        <v>628</v>
      </c>
      <c r="T1374" s="546" t="s">
        <v>804</v>
      </c>
    </row>
    <row r="1375" spans="1:20" x14ac:dyDescent="0.3">
      <c r="A1375" t="s">
        <v>627</v>
      </c>
      <c r="B1375" s="16">
        <v>45440</v>
      </c>
      <c r="C1375" t="s">
        <v>3</v>
      </c>
      <c r="D1375" t="s">
        <v>127</v>
      </c>
      <c r="E1375" t="s">
        <v>175</v>
      </c>
      <c r="F1375">
        <v>5</v>
      </c>
      <c r="G1375">
        <v>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f t="shared" si="72"/>
        <v>2024</v>
      </c>
      <c r="Q1375">
        <f t="shared" si="73"/>
        <v>5</v>
      </c>
      <c r="R1375" t="str">
        <f t="shared" si="71"/>
        <v>首页推荐-直播</v>
      </c>
      <c r="S1375" t="s">
        <v>628</v>
      </c>
      <c r="T1375" s="546" t="s">
        <v>804</v>
      </c>
    </row>
    <row r="1376" spans="1:20" x14ac:dyDescent="0.3">
      <c r="A1376" t="s">
        <v>627</v>
      </c>
      <c r="B1376" s="16">
        <v>45440</v>
      </c>
      <c r="C1376" t="s">
        <v>3</v>
      </c>
      <c r="D1376" t="s">
        <v>127</v>
      </c>
      <c r="E1376" t="s">
        <v>176</v>
      </c>
      <c r="F1376">
        <v>75</v>
      </c>
      <c r="G1376">
        <v>32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f t="shared" si="72"/>
        <v>2024</v>
      </c>
      <c r="Q1376">
        <f t="shared" si="73"/>
        <v>5</v>
      </c>
      <c r="R1376" t="str">
        <f t="shared" si="71"/>
        <v>首页推荐-短视频</v>
      </c>
      <c r="S1376" t="s">
        <v>628</v>
      </c>
      <c r="T1376" s="546" t="s">
        <v>804</v>
      </c>
    </row>
    <row r="1377" spans="1:20" x14ac:dyDescent="0.3">
      <c r="A1377" t="s">
        <v>627</v>
      </c>
      <c r="B1377" s="16">
        <v>45440</v>
      </c>
      <c r="C1377" t="s">
        <v>3</v>
      </c>
      <c r="D1377" t="s">
        <v>128</v>
      </c>
      <c r="E1377" t="s">
        <v>177</v>
      </c>
      <c r="F1377">
        <v>903</v>
      </c>
      <c r="G1377">
        <v>688</v>
      </c>
      <c r="H1377">
        <v>80</v>
      </c>
      <c r="I1377">
        <v>11</v>
      </c>
      <c r="J1377" s="15">
        <v>65691</v>
      </c>
      <c r="K1377">
        <v>24</v>
      </c>
      <c r="L1377" s="17">
        <v>63393.5</v>
      </c>
      <c r="M1377">
        <v>24</v>
      </c>
      <c r="N1377">
        <v>257</v>
      </c>
      <c r="O1377">
        <v>825</v>
      </c>
      <c r="P1377">
        <f t="shared" si="72"/>
        <v>2024</v>
      </c>
      <c r="Q1377">
        <f t="shared" si="73"/>
        <v>5</v>
      </c>
      <c r="R1377" t="str">
        <f t="shared" si="71"/>
        <v>手淘搜索-商品及其他</v>
      </c>
      <c r="S1377" t="s">
        <v>628</v>
      </c>
      <c r="T1377" s="546" t="s">
        <v>804</v>
      </c>
    </row>
    <row r="1378" spans="1:20" x14ac:dyDescent="0.3">
      <c r="A1378" t="s">
        <v>627</v>
      </c>
      <c r="B1378" s="16">
        <v>45440</v>
      </c>
      <c r="C1378" t="s">
        <v>3</v>
      </c>
      <c r="D1378" t="s">
        <v>128</v>
      </c>
      <c r="E1378" t="s">
        <v>179</v>
      </c>
      <c r="F1378">
        <v>23</v>
      </c>
      <c r="G1378">
        <v>13</v>
      </c>
      <c r="H1378">
        <v>1</v>
      </c>
      <c r="I1378">
        <v>0</v>
      </c>
      <c r="J1378" s="15">
        <v>4168</v>
      </c>
      <c r="K1378">
        <v>2</v>
      </c>
      <c r="L1378" s="15">
        <v>4168</v>
      </c>
      <c r="M1378">
        <v>2</v>
      </c>
      <c r="N1378">
        <v>4</v>
      </c>
      <c r="O1378">
        <v>8</v>
      </c>
      <c r="P1378">
        <f t="shared" si="72"/>
        <v>2024</v>
      </c>
      <c r="Q1378">
        <f t="shared" si="73"/>
        <v>5</v>
      </c>
      <c r="R1378" t="str">
        <f t="shared" si="71"/>
        <v>手淘搜索-短视频</v>
      </c>
      <c r="S1378" t="s">
        <v>628</v>
      </c>
      <c r="T1378" s="546" t="s">
        <v>804</v>
      </c>
    </row>
    <row r="1379" spans="1:20" x14ac:dyDescent="0.3">
      <c r="A1379" t="s">
        <v>627</v>
      </c>
      <c r="B1379" s="16">
        <v>45440</v>
      </c>
      <c r="C1379" t="s">
        <v>3</v>
      </c>
      <c r="D1379" t="s">
        <v>143</v>
      </c>
      <c r="E1379" t="s">
        <v>180</v>
      </c>
      <c r="F1379">
        <v>13</v>
      </c>
      <c r="G1379">
        <v>12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13</v>
      </c>
      <c r="P1379">
        <f t="shared" si="72"/>
        <v>2024</v>
      </c>
      <c r="Q1379">
        <f t="shared" si="73"/>
        <v>5</v>
      </c>
      <c r="R1379" t="str">
        <f t="shared" si="71"/>
        <v>淘特其他渠道</v>
      </c>
      <c r="S1379" t="s">
        <v>628</v>
      </c>
      <c r="T1379" s="546" t="s">
        <v>804</v>
      </c>
    </row>
    <row r="1380" spans="1:20" x14ac:dyDescent="0.3">
      <c r="A1380" t="s">
        <v>627</v>
      </c>
      <c r="B1380" s="16">
        <v>45440</v>
      </c>
      <c r="C1380" t="s">
        <v>2</v>
      </c>
      <c r="D1380" t="s">
        <v>55</v>
      </c>
      <c r="E1380" t="s">
        <v>54</v>
      </c>
      <c r="F1380">
        <v>19</v>
      </c>
      <c r="G1380">
        <v>14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16</v>
      </c>
      <c r="P1380">
        <f t="shared" si="72"/>
        <v>2024</v>
      </c>
      <c r="Q1380">
        <f t="shared" si="73"/>
        <v>5</v>
      </c>
      <c r="R1380" t="str">
        <f t="shared" si="71"/>
        <v>超级直播</v>
      </c>
      <c r="S1380" t="s">
        <v>628</v>
      </c>
      <c r="T1380" s="546" t="s">
        <v>804</v>
      </c>
    </row>
    <row r="1381" spans="1:20" x14ac:dyDescent="0.3">
      <c r="A1381" t="s">
        <v>627</v>
      </c>
      <c r="B1381" s="16">
        <v>45440</v>
      </c>
      <c r="C1381" t="s">
        <v>2</v>
      </c>
      <c r="D1381" t="s">
        <v>52</v>
      </c>
      <c r="E1381" t="s">
        <v>53</v>
      </c>
      <c r="F1381">
        <v>752</v>
      </c>
      <c r="G1381">
        <v>590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752</v>
      </c>
      <c r="O1381">
        <v>78</v>
      </c>
      <c r="P1381">
        <f t="shared" si="72"/>
        <v>2024</v>
      </c>
      <c r="Q1381">
        <f t="shared" si="73"/>
        <v>5</v>
      </c>
      <c r="R1381" t="str">
        <f t="shared" si="71"/>
        <v>Showmax</v>
      </c>
      <c r="S1381" t="s">
        <v>628</v>
      </c>
      <c r="T1381" s="546" t="s">
        <v>804</v>
      </c>
    </row>
    <row r="1382" spans="1:20" x14ac:dyDescent="0.3">
      <c r="A1382" t="s">
        <v>627</v>
      </c>
      <c r="B1382" s="16">
        <v>45440</v>
      </c>
      <c r="C1382" t="s">
        <v>2</v>
      </c>
      <c r="D1382" t="s">
        <v>52</v>
      </c>
      <c r="E1382" t="s">
        <v>59</v>
      </c>
      <c r="F1382" s="15">
        <v>1100</v>
      </c>
      <c r="G1382">
        <v>843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 s="15">
        <v>1100</v>
      </c>
      <c r="O1382">
        <v>167</v>
      </c>
      <c r="P1382">
        <f t="shared" si="72"/>
        <v>2024</v>
      </c>
      <c r="Q1382">
        <f t="shared" si="73"/>
        <v>5</v>
      </c>
      <c r="R1382" t="str">
        <f t="shared" si="71"/>
        <v>品牌特秀</v>
      </c>
      <c r="S1382" t="s">
        <v>628</v>
      </c>
      <c r="T1382" s="546" t="s">
        <v>804</v>
      </c>
    </row>
    <row r="1383" spans="1:20" x14ac:dyDescent="0.3">
      <c r="A1383" t="s">
        <v>627</v>
      </c>
      <c r="B1383" s="16">
        <v>45440</v>
      </c>
      <c r="C1383" t="s">
        <v>2</v>
      </c>
      <c r="D1383" t="s">
        <v>52</v>
      </c>
      <c r="E1383" t="s">
        <v>183</v>
      </c>
      <c r="F1383">
        <v>676</v>
      </c>
      <c r="G1383">
        <v>556</v>
      </c>
      <c r="H1383">
        <v>19</v>
      </c>
      <c r="I1383">
        <v>3</v>
      </c>
      <c r="J1383" s="15">
        <v>28375</v>
      </c>
      <c r="K1383">
        <v>11</v>
      </c>
      <c r="L1383" s="15">
        <v>26877</v>
      </c>
      <c r="M1383">
        <v>11</v>
      </c>
      <c r="N1383">
        <v>676</v>
      </c>
      <c r="O1383">
        <v>365</v>
      </c>
      <c r="P1383">
        <f t="shared" si="72"/>
        <v>2024</v>
      </c>
      <c r="Q1383">
        <f t="shared" si="73"/>
        <v>5</v>
      </c>
      <c r="R1383" t="str">
        <f t="shared" si="71"/>
        <v>品销宝-品牌专区</v>
      </c>
      <c r="S1383" t="s">
        <v>628</v>
      </c>
      <c r="T1383" s="546" t="s">
        <v>804</v>
      </c>
    </row>
    <row r="1384" spans="1:20" x14ac:dyDescent="0.3">
      <c r="A1384" t="s">
        <v>627</v>
      </c>
      <c r="B1384" s="16">
        <v>45440</v>
      </c>
      <c r="C1384" t="s">
        <v>2</v>
      </c>
      <c r="D1384" t="s">
        <v>57</v>
      </c>
      <c r="E1384" t="s">
        <v>65</v>
      </c>
      <c r="F1384" s="15">
        <v>3031</v>
      </c>
      <c r="G1384" s="15">
        <v>2587</v>
      </c>
      <c r="H1384">
        <v>79</v>
      </c>
      <c r="I1384">
        <v>18</v>
      </c>
      <c r="J1384" s="15">
        <v>131982</v>
      </c>
      <c r="K1384">
        <v>34</v>
      </c>
      <c r="L1384" s="17">
        <v>93446.5</v>
      </c>
      <c r="M1384">
        <v>30</v>
      </c>
      <c r="N1384">
        <v>245</v>
      </c>
      <c r="O1384" s="15">
        <v>3004</v>
      </c>
      <c r="P1384">
        <f t="shared" si="72"/>
        <v>2024</v>
      </c>
      <c r="Q1384">
        <f t="shared" si="73"/>
        <v>5</v>
      </c>
      <c r="R1384" t="str">
        <f t="shared" si="71"/>
        <v>直通车</v>
      </c>
      <c r="S1384" t="s">
        <v>628</v>
      </c>
      <c r="T1384" s="546" t="s">
        <v>804</v>
      </c>
    </row>
    <row r="1385" spans="1:20" x14ac:dyDescent="0.3">
      <c r="A1385" t="s">
        <v>627</v>
      </c>
      <c r="B1385" s="16">
        <v>45440</v>
      </c>
      <c r="C1385" t="s">
        <v>2</v>
      </c>
      <c r="D1385" t="s">
        <v>57</v>
      </c>
      <c r="E1385" t="s">
        <v>63</v>
      </c>
      <c r="F1385" s="15">
        <v>2933</v>
      </c>
      <c r="G1385" s="15">
        <v>1316</v>
      </c>
      <c r="H1385">
        <v>82</v>
      </c>
      <c r="I1385">
        <v>37</v>
      </c>
      <c r="J1385" s="17">
        <v>110993.47</v>
      </c>
      <c r="K1385">
        <v>33</v>
      </c>
      <c r="L1385" s="17">
        <v>92704.47</v>
      </c>
      <c r="M1385">
        <v>31</v>
      </c>
      <c r="N1385">
        <v>220</v>
      </c>
      <c r="O1385" s="15">
        <v>2927</v>
      </c>
      <c r="P1385">
        <f t="shared" si="72"/>
        <v>2024</v>
      </c>
      <c r="Q1385">
        <f t="shared" si="73"/>
        <v>5</v>
      </c>
      <c r="R1385" t="str">
        <f t="shared" si="71"/>
        <v>万相台</v>
      </c>
      <c r="S1385" t="s">
        <v>628</v>
      </c>
      <c r="T1385" s="546" t="s">
        <v>804</v>
      </c>
    </row>
    <row r="1386" spans="1:20" x14ac:dyDescent="0.3">
      <c r="A1386" t="s">
        <v>627</v>
      </c>
      <c r="B1386" s="16">
        <v>45440</v>
      </c>
      <c r="C1386" t="s">
        <v>2</v>
      </c>
      <c r="D1386" t="s">
        <v>57</v>
      </c>
      <c r="E1386" t="s">
        <v>64</v>
      </c>
      <c r="F1386" s="15">
        <v>15309</v>
      </c>
      <c r="G1386" s="15">
        <v>9251</v>
      </c>
      <c r="H1386">
        <v>50</v>
      </c>
      <c r="I1386">
        <v>50</v>
      </c>
      <c r="J1386" s="17">
        <v>56767.71</v>
      </c>
      <c r="K1386">
        <v>18</v>
      </c>
      <c r="L1386" s="17">
        <v>30498.71</v>
      </c>
      <c r="M1386">
        <v>11</v>
      </c>
      <c r="N1386">
        <v>351</v>
      </c>
      <c r="O1386" s="15">
        <v>15307</v>
      </c>
      <c r="P1386">
        <f t="shared" si="72"/>
        <v>2024</v>
      </c>
      <c r="Q1386">
        <f t="shared" si="73"/>
        <v>5</v>
      </c>
      <c r="R1386" t="str">
        <f t="shared" si="71"/>
        <v>引力魔方</v>
      </c>
      <c r="S1386" t="s">
        <v>628</v>
      </c>
      <c r="T1386" s="546" t="s">
        <v>804</v>
      </c>
    </row>
    <row r="1387" spans="1:20" x14ac:dyDescent="0.3">
      <c r="A1387" t="s">
        <v>627</v>
      </c>
      <c r="B1387" s="16">
        <v>45440</v>
      </c>
      <c r="C1387" t="s">
        <v>2</v>
      </c>
      <c r="D1387" t="s">
        <v>4</v>
      </c>
      <c r="E1387" t="s">
        <v>42</v>
      </c>
      <c r="F1387">
        <v>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f t="shared" si="72"/>
        <v>2024</v>
      </c>
      <c r="Q1387">
        <f t="shared" si="73"/>
        <v>5</v>
      </c>
      <c r="R1387" t="str">
        <f t="shared" si="71"/>
        <v>UD效果投放</v>
      </c>
      <c r="S1387" t="s">
        <v>628</v>
      </c>
      <c r="T1387" s="546" t="s">
        <v>804</v>
      </c>
    </row>
    <row r="1388" spans="1:20" x14ac:dyDescent="0.3">
      <c r="A1388" t="s">
        <v>627</v>
      </c>
      <c r="B1388" s="16">
        <v>45440</v>
      </c>
      <c r="C1388" t="s">
        <v>2</v>
      </c>
      <c r="D1388" t="s">
        <v>4</v>
      </c>
      <c r="E1388" t="s">
        <v>41</v>
      </c>
      <c r="F1388">
        <v>4</v>
      </c>
      <c r="G1388">
        <v>4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2</v>
      </c>
      <c r="O1388">
        <v>4</v>
      </c>
      <c r="P1388">
        <f t="shared" si="72"/>
        <v>2024</v>
      </c>
      <c r="Q1388">
        <f t="shared" si="73"/>
        <v>5</v>
      </c>
      <c r="R1388" t="str">
        <f t="shared" si="71"/>
        <v>流量宝</v>
      </c>
      <c r="S1388" t="s">
        <v>628</v>
      </c>
      <c r="T1388" s="546" t="s">
        <v>804</v>
      </c>
    </row>
    <row r="1389" spans="1:20" x14ac:dyDescent="0.3">
      <c r="A1389" t="s">
        <v>627</v>
      </c>
      <c r="B1389" s="16">
        <v>45440</v>
      </c>
      <c r="C1389" t="s">
        <v>2</v>
      </c>
      <c r="D1389" t="s">
        <v>4</v>
      </c>
      <c r="E1389" t="s">
        <v>43</v>
      </c>
      <c r="F1389">
        <v>349</v>
      </c>
      <c r="G1389">
        <v>119</v>
      </c>
      <c r="H1389">
        <v>2</v>
      </c>
      <c r="I1389">
        <v>1</v>
      </c>
      <c r="J1389" s="15">
        <v>10233</v>
      </c>
      <c r="K1389">
        <v>3</v>
      </c>
      <c r="L1389" s="15">
        <v>10233</v>
      </c>
      <c r="M1389">
        <v>3</v>
      </c>
      <c r="N1389">
        <v>11</v>
      </c>
      <c r="O1389">
        <v>346</v>
      </c>
      <c r="P1389">
        <f t="shared" si="72"/>
        <v>2024</v>
      </c>
      <c r="Q1389">
        <f t="shared" si="73"/>
        <v>5</v>
      </c>
      <c r="R1389" t="str">
        <f t="shared" si="71"/>
        <v>淘宝客</v>
      </c>
      <c r="S1389" t="s">
        <v>628</v>
      </c>
      <c r="T1389" s="546" t="s">
        <v>804</v>
      </c>
    </row>
    <row r="1390" spans="1:20" x14ac:dyDescent="0.3">
      <c r="A1390" t="s">
        <v>627</v>
      </c>
      <c r="B1390" s="16">
        <v>45441</v>
      </c>
      <c r="C1390" t="s">
        <v>3</v>
      </c>
      <c r="D1390" t="s">
        <v>114</v>
      </c>
      <c r="E1390" t="s">
        <v>159</v>
      </c>
      <c r="F1390">
        <v>5</v>
      </c>
      <c r="G1390">
        <v>2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1</v>
      </c>
      <c r="O1390">
        <v>4</v>
      </c>
      <c r="P1390">
        <f t="shared" si="72"/>
        <v>2024</v>
      </c>
      <c r="Q1390">
        <f t="shared" si="73"/>
        <v>5</v>
      </c>
      <c r="R1390" t="str">
        <f t="shared" si="71"/>
        <v>主会场</v>
      </c>
      <c r="S1390" t="s">
        <v>628</v>
      </c>
      <c r="T1390" s="546" t="s">
        <v>804</v>
      </c>
    </row>
    <row r="1391" spans="1:20" x14ac:dyDescent="0.3">
      <c r="A1391" t="s">
        <v>627</v>
      </c>
      <c r="B1391" s="16">
        <v>45441</v>
      </c>
      <c r="C1391" t="s">
        <v>3</v>
      </c>
      <c r="D1391" t="s">
        <v>120</v>
      </c>
      <c r="E1391" t="s">
        <v>162</v>
      </c>
      <c r="F1391">
        <v>2</v>
      </c>
      <c r="G1391">
        <v>2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2</v>
      </c>
      <c r="O1391">
        <v>0</v>
      </c>
      <c r="P1391">
        <f t="shared" si="72"/>
        <v>2024</v>
      </c>
      <c r="Q1391">
        <f t="shared" si="73"/>
        <v>5</v>
      </c>
      <c r="R1391" t="str">
        <f t="shared" si="71"/>
        <v>手机浏览器访问天猫</v>
      </c>
      <c r="S1391" t="s">
        <v>628</v>
      </c>
      <c r="T1391" s="546" t="s">
        <v>804</v>
      </c>
    </row>
    <row r="1392" spans="1:20" x14ac:dyDescent="0.3">
      <c r="A1392" t="s">
        <v>627</v>
      </c>
      <c r="B1392" s="16">
        <v>45441</v>
      </c>
      <c r="C1392" t="s">
        <v>3</v>
      </c>
      <c r="D1392" t="s">
        <v>120</v>
      </c>
      <c r="E1392" t="s">
        <v>163</v>
      </c>
      <c r="F1392">
        <v>84</v>
      </c>
      <c r="G1392">
        <v>38</v>
      </c>
      <c r="H1392">
        <v>3</v>
      </c>
      <c r="I1392">
        <v>0</v>
      </c>
      <c r="J1392" s="15">
        <v>6073</v>
      </c>
      <c r="K1392">
        <v>3</v>
      </c>
      <c r="L1392" s="15">
        <v>6073</v>
      </c>
      <c r="M1392">
        <v>3</v>
      </c>
      <c r="N1392">
        <v>17</v>
      </c>
      <c r="O1392">
        <v>82</v>
      </c>
      <c r="P1392">
        <f t="shared" si="72"/>
        <v>2024</v>
      </c>
      <c r="Q1392">
        <f t="shared" si="73"/>
        <v>5</v>
      </c>
      <c r="R1392" t="str">
        <f t="shared" si="71"/>
        <v>手猫免费其他</v>
      </c>
      <c r="S1392" t="s">
        <v>628</v>
      </c>
      <c r="T1392" s="546" t="s">
        <v>804</v>
      </c>
    </row>
    <row r="1393" spans="1:20" x14ac:dyDescent="0.3">
      <c r="A1393" t="s">
        <v>627</v>
      </c>
      <c r="B1393" s="16">
        <v>45441</v>
      </c>
      <c r="C1393" t="s">
        <v>3</v>
      </c>
      <c r="D1393" t="s">
        <v>120</v>
      </c>
      <c r="E1393" t="s">
        <v>164</v>
      </c>
      <c r="F1393">
        <v>4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4</v>
      </c>
      <c r="P1393">
        <f t="shared" si="72"/>
        <v>2024</v>
      </c>
      <c r="Q1393">
        <f t="shared" si="73"/>
        <v>5</v>
      </c>
      <c r="R1393" t="str">
        <f t="shared" si="71"/>
        <v>手猫其他店铺</v>
      </c>
      <c r="S1393" t="s">
        <v>628</v>
      </c>
      <c r="T1393" s="546" t="s">
        <v>804</v>
      </c>
    </row>
    <row r="1394" spans="1:20" x14ac:dyDescent="0.3">
      <c r="A1394" t="s">
        <v>627</v>
      </c>
      <c r="B1394" s="16">
        <v>45441</v>
      </c>
      <c r="C1394" t="s">
        <v>3</v>
      </c>
      <c r="D1394" t="s">
        <v>120</v>
      </c>
      <c r="E1394" t="s">
        <v>165</v>
      </c>
      <c r="F1394">
        <v>31</v>
      </c>
      <c r="G1394">
        <v>12</v>
      </c>
      <c r="H1394">
        <v>1</v>
      </c>
      <c r="I1394">
        <v>0</v>
      </c>
      <c r="J1394" s="15">
        <v>1498</v>
      </c>
      <c r="K1394">
        <v>1</v>
      </c>
      <c r="L1394" s="15">
        <v>1498</v>
      </c>
      <c r="M1394">
        <v>1</v>
      </c>
      <c r="N1394">
        <v>6</v>
      </c>
      <c r="O1394">
        <v>30</v>
      </c>
      <c r="P1394">
        <f t="shared" si="72"/>
        <v>2024</v>
      </c>
      <c r="Q1394">
        <f t="shared" si="73"/>
        <v>5</v>
      </c>
      <c r="R1394" t="str">
        <f t="shared" si="71"/>
        <v>手猫商品详情</v>
      </c>
      <c r="S1394" t="s">
        <v>628</v>
      </c>
      <c r="T1394" s="546" t="s">
        <v>804</v>
      </c>
    </row>
    <row r="1395" spans="1:20" x14ac:dyDescent="0.3">
      <c r="A1395" t="s">
        <v>627</v>
      </c>
      <c r="B1395" s="16">
        <v>45441</v>
      </c>
      <c r="C1395" t="s">
        <v>3</v>
      </c>
      <c r="D1395" t="s">
        <v>120</v>
      </c>
      <c r="E1395" t="s">
        <v>166</v>
      </c>
      <c r="F1395">
        <v>50</v>
      </c>
      <c r="G1395">
        <v>28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19</v>
      </c>
      <c r="O1395">
        <v>40</v>
      </c>
      <c r="P1395">
        <f t="shared" si="72"/>
        <v>2024</v>
      </c>
      <c r="Q1395">
        <f t="shared" si="73"/>
        <v>5</v>
      </c>
      <c r="R1395" t="str">
        <f t="shared" si="71"/>
        <v>手猫搜索</v>
      </c>
      <c r="S1395" t="s">
        <v>628</v>
      </c>
      <c r="T1395" s="546" t="s">
        <v>804</v>
      </c>
    </row>
    <row r="1396" spans="1:20" x14ac:dyDescent="0.3">
      <c r="A1396" t="s">
        <v>627</v>
      </c>
      <c r="B1396" s="16">
        <v>45441</v>
      </c>
      <c r="C1396" t="s">
        <v>3</v>
      </c>
      <c r="D1396" t="s">
        <v>120</v>
      </c>
      <c r="E1396" t="s">
        <v>167</v>
      </c>
      <c r="F1396">
        <v>1</v>
      </c>
      <c r="G1396">
        <v>0</v>
      </c>
      <c r="H1396">
        <v>0</v>
      </c>
      <c r="I1396">
        <v>0</v>
      </c>
      <c r="J1396" s="15">
        <v>1780</v>
      </c>
      <c r="K1396">
        <v>1</v>
      </c>
      <c r="L1396" s="15">
        <v>1780</v>
      </c>
      <c r="M1396">
        <v>1</v>
      </c>
      <c r="N1396">
        <v>1</v>
      </c>
      <c r="O1396">
        <v>1</v>
      </c>
      <c r="P1396">
        <f t="shared" si="72"/>
        <v>2024</v>
      </c>
      <c r="Q1396">
        <f t="shared" si="73"/>
        <v>5</v>
      </c>
      <c r="R1396" t="str">
        <f t="shared" si="71"/>
        <v>手猫旺信聊天</v>
      </c>
      <c r="S1396" t="s">
        <v>628</v>
      </c>
      <c r="T1396" s="546" t="s">
        <v>804</v>
      </c>
    </row>
    <row r="1397" spans="1:20" x14ac:dyDescent="0.3">
      <c r="A1397" t="s">
        <v>627</v>
      </c>
      <c r="B1397" s="16">
        <v>45441</v>
      </c>
      <c r="C1397" t="s">
        <v>3</v>
      </c>
      <c r="D1397" t="s">
        <v>120</v>
      </c>
      <c r="E1397" t="s">
        <v>168</v>
      </c>
      <c r="F1397">
        <v>410</v>
      </c>
      <c r="G1397">
        <v>230</v>
      </c>
      <c r="H1397">
        <v>2</v>
      </c>
      <c r="I1397">
        <v>0</v>
      </c>
      <c r="J1397" s="15">
        <v>3697</v>
      </c>
      <c r="K1397">
        <v>2</v>
      </c>
      <c r="L1397" s="15">
        <v>3697</v>
      </c>
      <c r="M1397">
        <v>2</v>
      </c>
      <c r="N1397">
        <v>17</v>
      </c>
      <c r="O1397">
        <v>410</v>
      </c>
      <c r="P1397">
        <f t="shared" si="72"/>
        <v>2024</v>
      </c>
      <c r="Q1397">
        <f t="shared" si="73"/>
        <v>5</v>
      </c>
      <c r="R1397" t="str">
        <f t="shared" si="71"/>
        <v>手猫首页</v>
      </c>
      <c r="S1397" t="s">
        <v>628</v>
      </c>
      <c r="T1397" s="546" t="s">
        <v>804</v>
      </c>
    </row>
    <row r="1398" spans="1:20" x14ac:dyDescent="0.3">
      <c r="A1398" t="s">
        <v>627</v>
      </c>
      <c r="B1398" s="16">
        <v>45441</v>
      </c>
      <c r="C1398" t="s">
        <v>3</v>
      </c>
      <c r="D1398" t="s">
        <v>123</v>
      </c>
      <c r="E1398" t="s">
        <v>169</v>
      </c>
      <c r="F1398">
        <v>122</v>
      </c>
      <c r="G1398">
        <v>43</v>
      </c>
      <c r="H1398">
        <v>5</v>
      </c>
      <c r="I1398">
        <v>3</v>
      </c>
      <c r="J1398" s="15">
        <v>1498</v>
      </c>
      <c r="K1398">
        <v>1</v>
      </c>
      <c r="L1398">
        <v>0</v>
      </c>
      <c r="M1398">
        <v>0</v>
      </c>
      <c r="N1398">
        <v>39</v>
      </c>
      <c r="O1398">
        <v>109</v>
      </c>
      <c r="P1398">
        <f t="shared" si="72"/>
        <v>2024</v>
      </c>
      <c r="Q1398">
        <f t="shared" si="73"/>
        <v>5</v>
      </c>
      <c r="R1398" t="str">
        <f t="shared" si="71"/>
        <v>商品详情页头图推荐</v>
      </c>
      <c r="S1398" t="s">
        <v>628</v>
      </c>
      <c r="T1398" s="546" t="s">
        <v>804</v>
      </c>
    </row>
    <row r="1399" spans="1:20" x14ac:dyDescent="0.3">
      <c r="A1399" t="s">
        <v>627</v>
      </c>
      <c r="B1399" s="16">
        <v>45441</v>
      </c>
      <c r="C1399" t="s">
        <v>3</v>
      </c>
      <c r="D1399" t="s">
        <v>123</v>
      </c>
      <c r="E1399" t="s">
        <v>170</v>
      </c>
      <c r="F1399">
        <v>41</v>
      </c>
      <c r="G1399">
        <v>22</v>
      </c>
      <c r="H1399">
        <v>1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31</v>
      </c>
      <c r="O1399">
        <v>22</v>
      </c>
      <c r="P1399">
        <f t="shared" si="72"/>
        <v>2024</v>
      </c>
      <c r="Q1399">
        <f t="shared" si="73"/>
        <v>5</v>
      </c>
      <c r="R1399" t="str">
        <f t="shared" si="71"/>
        <v>店铺超链</v>
      </c>
      <c r="S1399" t="s">
        <v>628</v>
      </c>
      <c r="T1399" s="546" t="s">
        <v>804</v>
      </c>
    </row>
    <row r="1400" spans="1:20" x14ac:dyDescent="0.3">
      <c r="A1400" t="s">
        <v>627</v>
      </c>
      <c r="B1400" s="16">
        <v>45441</v>
      </c>
      <c r="C1400" t="s">
        <v>3</v>
      </c>
      <c r="D1400" t="s">
        <v>127</v>
      </c>
      <c r="E1400" t="s">
        <v>171</v>
      </c>
      <c r="F1400">
        <v>153</v>
      </c>
      <c r="G1400">
        <v>69</v>
      </c>
      <c r="H1400">
        <v>8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66</v>
      </c>
      <c r="O1400">
        <v>110</v>
      </c>
      <c r="P1400">
        <f t="shared" si="72"/>
        <v>2024</v>
      </c>
      <c r="Q1400">
        <f t="shared" si="73"/>
        <v>5</v>
      </c>
      <c r="R1400" t="str">
        <f t="shared" si="71"/>
        <v>其他猜你喜欢</v>
      </c>
      <c r="S1400" t="s">
        <v>628</v>
      </c>
      <c r="T1400" s="546" t="s">
        <v>804</v>
      </c>
    </row>
    <row r="1401" spans="1:20" x14ac:dyDescent="0.3">
      <c r="A1401" t="s">
        <v>627</v>
      </c>
      <c r="B1401" s="16">
        <v>45441</v>
      </c>
      <c r="C1401" t="s">
        <v>3</v>
      </c>
      <c r="D1401" t="s">
        <v>127</v>
      </c>
      <c r="E1401" t="s">
        <v>172</v>
      </c>
      <c r="F1401">
        <v>2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2</v>
      </c>
      <c r="P1401">
        <f t="shared" si="72"/>
        <v>2024</v>
      </c>
      <c r="Q1401">
        <f t="shared" si="73"/>
        <v>5</v>
      </c>
      <c r="R1401" t="str">
        <f t="shared" si="71"/>
        <v>购中推荐</v>
      </c>
      <c r="S1401" t="s">
        <v>628</v>
      </c>
      <c r="T1401" s="546" t="s">
        <v>804</v>
      </c>
    </row>
    <row r="1402" spans="1:20" x14ac:dyDescent="0.3">
      <c r="A1402" t="s">
        <v>627</v>
      </c>
      <c r="B1402" s="16">
        <v>45441</v>
      </c>
      <c r="C1402" t="s">
        <v>3</v>
      </c>
      <c r="D1402" t="s">
        <v>127</v>
      </c>
      <c r="E1402" t="s">
        <v>173</v>
      </c>
      <c r="F1402">
        <v>19</v>
      </c>
      <c r="G1402">
        <v>11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19</v>
      </c>
      <c r="P1402">
        <f t="shared" si="72"/>
        <v>2024</v>
      </c>
      <c r="Q1402">
        <f t="shared" si="73"/>
        <v>5</v>
      </c>
      <c r="R1402" t="str">
        <f t="shared" si="71"/>
        <v>购后推荐</v>
      </c>
      <c r="S1402" t="s">
        <v>628</v>
      </c>
      <c r="T1402" s="546" t="s">
        <v>804</v>
      </c>
    </row>
    <row r="1403" spans="1:20" x14ac:dyDescent="0.3">
      <c r="A1403" t="s">
        <v>627</v>
      </c>
      <c r="B1403" s="16">
        <v>45441</v>
      </c>
      <c r="C1403" t="s">
        <v>3</v>
      </c>
      <c r="D1403" t="s">
        <v>127</v>
      </c>
      <c r="E1403" t="s">
        <v>174</v>
      </c>
      <c r="F1403" s="15">
        <v>1813</v>
      </c>
      <c r="G1403">
        <v>878</v>
      </c>
      <c r="H1403">
        <v>52</v>
      </c>
      <c r="I1403">
        <v>21</v>
      </c>
      <c r="J1403" s="15">
        <v>11286</v>
      </c>
      <c r="K1403">
        <v>7</v>
      </c>
      <c r="L1403" s="15">
        <v>9788</v>
      </c>
      <c r="M1403">
        <v>6</v>
      </c>
      <c r="N1403">
        <v>151</v>
      </c>
      <c r="O1403" s="15">
        <v>1813</v>
      </c>
      <c r="P1403">
        <f t="shared" si="72"/>
        <v>2024</v>
      </c>
      <c r="Q1403">
        <f t="shared" si="73"/>
        <v>5</v>
      </c>
      <c r="R1403" t="str">
        <f t="shared" si="71"/>
        <v>首页推荐-微详情</v>
      </c>
      <c r="S1403" t="s">
        <v>628</v>
      </c>
      <c r="T1403" s="546" t="s">
        <v>804</v>
      </c>
    </row>
    <row r="1404" spans="1:20" x14ac:dyDescent="0.3">
      <c r="A1404" t="s">
        <v>627</v>
      </c>
      <c r="B1404" s="16">
        <v>45441</v>
      </c>
      <c r="C1404" t="s">
        <v>3</v>
      </c>
      <c r="D1404" t="s">
        <v>127</v>
      </c>
      <c r="E1404" t="s">
        <v>175</v>
      </c>
      <c r="F1404">
        <v>293</v>
      </c>
      <c r="G1404">
        <v>186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2</v>
      </c>
      <c r="O1404">
        <v>13</v>
      </c>
      <c r="P1404">
        <f t="shared" si="72"/>
        <v>2024</v>
      </c>
      <c r="Q1404">
        <f t="shared" si="73"/>
        <v>5</v>
      </c>
      <c r="R1404" t="str">
        <f t="shared" si="71"/>
        <v>首页推荐-直播</v>
      </c>
      <c r="S1404" t="s">
        <v>628</v>
      </c>
      <c r="T1404" s="546" t="s">
        <v>804</v>
      </c>
    </row>
    <row r="1405" spans="1:20" x14ac:dyDescent="0.3">
      <c r="A1405" t="s">
        <v>627</v>
      </c>
      <c r="B1405" s="16">
        <v>45441</v>
      </c>
      <c r="C1405" t="s">
        <v>3</v>
      </c>
      <c r="D1405" t="s">
        <v>127</v>
      </c>
      <c r="E1405" t="s">
        <v>176</v>
      </c>
      <c r="F1405">
        <v>72</v>
      </c>
      <c r="G1405">
        <v>27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f t="shared" si="72"/>
        <v>2024</v>
      </c>
      <c r="Q1405">
        <f t="shared" si="73"/>
        <v>5</v>
      </c>
      <c r="R1405" t="str">
        <f t="shared" si="71"/>
        <v>首页推荐-短视频</v>
      </c>
      <c r="S1405" t="s">
        <v>628</v>
      </c>
      <c r="T1405" s="546" t="s">
        <v>804</v>
      </c>
    </row>
    <row r="1406" spans="1:20" x14ac:dyDescent="0.3">
      <c r="A1406" t="s">
        <v>627</v>
      </c>
      <c r="B1406" s="16">
        <v>45441</v>
      </c>
      <c r="C1406" t="s">
        <v>3</v>
      </c>
      <c r="D1406" t="s">
        <v>128</v>
      </c>
      <c r="E1406" t="s">
        <v>177</v>
      </c>
      <c r="F1406">
        <v>884</v>
      </c>
      <c r="G1406">
        <v>677</v>
      </c>
      <c r="H1406">
        <v>60</v>
      </c>
      <c r="I1406">
        <v>14</v>
      </c>
      <c r="J1406" s="15">
        <v>43419</v>
      </c>
      <c r="K1406">
        <v>12</v>
      </c>
      <c r="L1406" s="15">
        <v>33209</v>
      </c>
      <c r="M1406">
        <v>9</v>
      </c>
      <c r="N1406">
        <v>247</v>
      </c>
      <c r="O1406">
        <v>812</v>
      </c>
      <c r="P1406">
        <f t="shared" si="72"/>
        <v>2024</v>
      </c>
      <c r="Q1406">
        <f t="shared" si="73"/>
        <v>5</v>
      </c>
      <c r="R1406" t="str">
        <f t="shared" si="71"/>
        <v>手淘搜索-商品及其他</v>
      </c>
      <c r="S1406" t="s">
        <v>628</v>
      </c>
      <c r="T1406" s="546" t="s">
        <v>804</v>
      </c>
    </row>
    <row r="1407" spans="1:20" x14ac:dyDescent="0.3">
      <c r="A1407" t="s">
        <v>627</v>
      </c>
      <c r="B1407" s="16">
        <v>45441</v>
      </c>
      <c r="C1407" t="s">
        <v>3</v>
      </c>
      <c r="D1407" t="s">
        <v>128</v>
      </c>
      <c r="E1407" t="s">
        <v>178</v>
      </c>
      <c r="F1407">
        <v>12</v>
      </c>
      <c r="G1407">
        <v>6</v>
      </c>
      <c r="H1407">
        <v>2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9</v>
      </c>
      <c r="P1407">
        <f t="shared" si="72"/>
        <v>2024</v>
      </c>
      <c r="Q1407">
        <f t="shared" si="73"/>
        <v>5</v>
      </c>
      <c r="R1407" t="str">
        <f t="shared" si="71"/>
        <v>手淘搜索-直播</v>
      </c>
      <c r="S1407" t="s">
        <v>628</v>
      </c>
      <c r="T1407" s="546" t="s">
        <v>804</v>
      </c>
    </row>
    <row r="1408" spans="1:20" x14ac:dyDescent="0.3">
      <c r="A1408" t="s">
        <v>627</v>
      </c>
      <c r="B1408" s="16">
        <v>45441</v>
      </c>
      <c r="C1408" t="s">
        <v>3</v>
      </c>
      <c r="D1408" t="s">
        <v>128</v>
      </c>
      <c r="E1408" t="s">
        <v>179</v>
      </c>
      <c r="F1408">
        <v>40</v>
      </c>
      <c r="G1408">
        <v>25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3</v>
      </c>
      <c r="O1408">
        <v>8</v>
      </c>
      <c r="P1408">
        <f t="shared" si="72"/>
        <v>2024</v>
      </c>
      <c r="Q1408">
        <f t="shared" si="73"/>
        <v>5</v>
      </c>
      <c r="R1408" t="str">
        <f t="shared" si="71"/>
        <v>手淘搜索-短视频</v>
      </c>
      <c r="S1408" t="s">
        <v>628</v>
      </c>
      <c r="T1408" s="546" t="s">
        <v>804</v>
      </c>
    </row>
    <row r="1409" spans="1:20" x14ac:dyDescent="0.3">
      <c r="A1409" t="s">
        <v>627</v>
      </c>
      <c r="B1409" s="16">
        <v>45441</v>
      </c>
      <c r="C1409" t="s">
        <v>3</v>
      </c>
      <c r="D1409" t="s">
        <v>143</v>
      </c>
      <c r="E1409" t="s">
        <v>180</v>
      </c>
      <c r="F1409">
        <v>10</v>
      </c>
      <c r="G1409">
        <v>10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10</v>
      </c>
      <c r="P1409">
        <f t="shared" si="72"/>
        <v>2024</v>
      </c>
      <c r="Q1409">
        <f t="shared" si="73"/>
        <v>5</v>
      </c>
      <c r="R1409" t="str">
        <f t="shared" si="71"/>
        <v>淘特其他渠道</v>
      </c>
      <c r="S1409" t="s">
        <v>628</v>
      </c>
      <c r="T1409" s="546" t="s">
        <v>804</v>
      </c>
    </row>
    <row r="1410" spans="1:20" x14ac:dyDescent="0.3">
      <c r="A1410" t="s">
        <v>627</v>
      </c>
      <c r="B1410" s="16">
        <v>45441</v>
      </c>
      <c r="C1410" t="s">
        <v>2</v>
      </c>
      <c r="D1410" t="s">
        <v>55</v>
      </c>
      <c r="E1410" t="s">
        <v>66</v>
      </c>
      <c r="F1410">
        <v>1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f t="shared" si="72"/>
        <v>2024</v>
      </c>
      <c r="Q1410">
        <f t="shared" si="73"/>
        <v>5</v>
      </c>
      <c r="R1410" t="str">
        <f t="shared" si="71"/>
        <v>短直联动</v>
      </c>
      <c r="S1410" t="s">
        <v>628</v>
      </c>
      <c r="T1410" s="546" t="s">
        <v>804</v>
      </c>
    </row>
    <row r="1411" spans="1:20" x14ac:dyDescent="0.3">
      <c r="A1411" t="s">
        <v>627</v>
      </c>
      <c r="B1411" s="16">
        <v>45441</v>
      </c>
      <c r="C1411" t="s">
        <v>2</v>
      </c>
      <c r="D1411" t="s">
        <v>55</v>
      </c>
      <c r="E1411" t="s">
        <v>54</v>
      </c>
      <c r="F1411" s="15">
        <v>1194</v>
      </c>
      <c r="G1411">
        <v>888</v>
      </c>
      <c r="H1411">
        <v>5</v>
      </c>
      <c r="I1411">
        <v>3</v>
      </c>
      <c r="J1411">
        <v>0</v>
      </c>
      <c r="K1411">
        <v>0</v>
      </c>
      <c r="L1411">
        <v>0</v>
      </c>
      <c r="M1411">
        <v>0</v>
      </c>
      <c r="N1411">
        <v>25</v>
      </c>
      <c r="O1411">
        <v>352</v>
      </c>
      <c r="P1411">
        <f t="shared" si="72"/>
        <v>2024</v>
      </c>
      <c r="Q1411">
        <f t="shared" si="73"/>
        <v>5</v>
      </c>
      <c r="R1411" t="str">
        <f t="shared" si="71"/>
        <v>超级直播</v>
      </c>
      <c r="S1411" t="s">
        <v>628</v>
      </c>
      <c r="T1411" s="546" t="s">
        <v>804</v>
      </c>
    </row>
    <row r="1412" spans="1:20" x14ac:dyDescent="0.3">
      <c r="A1412" t="s">
        <v>627</v>
      </c>
      <c r="B1412" s="16">
        <v>45441</v>
      </c>
      <c r="C1412" t="s">
        <v>2</v>
      </c>
      <c r="D1412" t="s">
        <v>52</v>
      </c>
      <c r="E1412" t="s">
        <v>53</v>
      </c>
      <c r="F1412">
        <v>775</v>
      </c>
      <c r="G1412">
        <v>585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775</v>
      </c>
      <c r="O1412">
        <v>76</v>
      </c>
      <c r="P1412">
        <f t="shared" si="72"/>
        <v>2024</v>
      </c>
      <c r="Q1412">
        <f t="shared" si="73"/>
        <v>5</v>
      </c>
      <c r="R1412" t="str">
        <f t="shared" si="71"/>
        <v>Showmax</v>
      </c>
      <c r="S1412" t="s">
        <v>628</v>
      </c>
      <c r="T1412" s="546" t="s">
        <v>804</v>
      </c>
    </row>
    <row r="1413" spans="1:20" x14ac:dyDescent="0.3">
      <c r="A1413" t="s">
        <v>627</v>
      </c>
      <c r="B1413" s="16">
        <v>45441</v>
      </c>
      <c r="C1413" t="s">
        <v>2</v>
      </c>
      <c r="D1413" t="s">
        <v>52</v>
      </c>
      <c r="E1413" t="s">
        <v>59</v>
      </c>
      <c r="F1413">
        <v>856</v>
      </c>
      <c r="G1413">
        <v>651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856</v>
      </c>
      <c r="O1413">
        <v>143</v>
      </c>
      <c r="P1413">
        <f t="shared" si="72"/>
        <v>2024</v>
      </c>
      <c r="Q1413">
        <f t="shared" si="73"/>
        <v>5</v>
      </c>
      <c r="R1413" t="str">
        <f t="shared" si="71"/>
        <v>品牌特秀</v>
      </c>
      <c r="S1413" t="s">
        <v>628</v>
      </c>
      <c r="T1413" s="546" t="s">
        <v>804</v>
      </c>
    </row>
    <row r="1414" spans="1:20" x14ac:dyDescent="0.3">
      <c r="A1414" t="s">
        <v>627</v>
      </c>
      <c r="B1414" s="16">
        <v>45441</v>
      </c>
      <c r="C1414" t="s">
        <v>2</v>
      </c>
      <c r="D1414" t="s">
        <v>52</v>
      </c>
      <c r="E1414" t="s">
        <v>183</v>
      </c>
      <c r="F1414">
        <v>619</v>
      </c>
      <c r="G1414">
        <v>499</v>
      </c>
      <c r="H1414">
        <v>20</v>
      </c>
      <c r="I1414">
        <v>4</v>
      </c>
      <c r="J1414" s="15">
        <v>11968</v>
      </c>
      <c r="K1414">
        <v>3</v>
      </c>
      <c r="L1414" s="15">
        <v>11968</v>
      </c>
      <c r="M1414">
        <v>3</v>
      </c>
      <c r="N1414">
        <v>619</v>
      </c>
      <c r="O1414">
        <v>318</v>
      </c>
      <c r="P1414">
        <f t="shared" si="72"/>
        <v>2024</v>
      </c>
      <c r="Q1414">
        <f t="shared" si="73"/>
        <v>5</v>
      </c>
      <c r="R1414" t="str">
        <f t="shared" si="71"/>
        <v>品销宝-品牌专区</v>
      </c>
      <c r="S1414" t="s">
        <v>628</v>
      </c>
      <c r="T1414" s="546" t="s">
        <v>804</v>
      </c>
    </row>
    <row r="1415" spans="1:20" x14ac:dyDescent="0.3">
      <c r="A1415" t="s">
        <v>627</v>
      </c>
      <c r="B1415" s="16">
        <v>45441</v>
      </c>
      <c r="C1415" t="s">
        <v>2</v>
      </c>
      <c r="D1415" t="s">
        <v>57</v>
      </c>
      <c r="E1415" t="s">
        <v>65</v>
      </c>
      <c r="F1415" s="15">
        <v>3458</v>
      </c>
      <c r="G1415" s="15">
        <v>3009</v>
      </c>
      <c r="H1415">
        <v>55</v>
      </c>
      <c r="I1415">
        <v>20</v>
      </c>
      <c r="J1415" s="15">
        <v>68111</v>
      </c>
      <c r="K1415">
        <v>8</v>
      </c>
      <c r="L1415" s="15">
        <v>44484</v>
      </c>
      <c r="M1415">
        <v>7</v>
      </c>
      <c r="N1415">
        <v>239</v>
      </c>
      <c r="O1415" s="15">
        <v>3433</v>
      </c>
      <c r="P1415">
        <f t="shared" si="72"/>
        <v>2024</v>
      </c>
      <c r="Q1415">
        <f t="shared" si="73"/>
        <v>5</v>
      </c>
      <c r="R1415" t="str">
        <f t="shared" ref="R1415:R1478" si="74">E1415</f>
        <v>直通车</v>
      </c>
      <c r="S1415" t="s">
        <v>628</v>
      </c>
      <c r="T1415" s="546" t="s">
        <v>804</v>
      </c>
    </row>
    <row r="1416" spans="1:20" x14ac:dyDescent="0.3">
      <c r="A1416" t="s">
        <v>627</v>
      </c>
      <c r="B1416" s="16">
        <v>45441</v>
      </c>
      <c r="C1416" t="s">
        <v>2</v>
      </c>
      <c r="D1416" t="s">
        <v>57</v>
      </c>
      <c r="E1416" t="s">
        <v>63</v>
      </c>
      <c r="F1416" s="15">
        <v>2783</v>
      </c>
      <c r="G1416" s="15">
        <v>1257</v>
      </c>
      <c r="H1416">
        <v>70</v>
      </c>
      <c r="I1416">
        <v>24</v>
      </c>
      <c r="J1416" s="15">
        <v>34173</v>
      </c>
      <c r="K1416">
        <v>12</v>
      </c>
      <c r="L1416" s="15">
        <v>18152</v>
      </c>
      <c r="M1416">
        <v>9</v>
      </c>
      <c r="N1416">
        <v>237</v>
      </c>
      <c r="O1416" s="15">
        <v>2777</v>
      </c>
      <c r="P1416">
        <f t="shared" si="72"/>
        <v>2024</v>
      </c>
      <c r="Q1416">
        <f t="shared" si="73"/>
        <v>5</v>
      </c>
      <c r="R1416" t="str">
        <f t="shared" si="74"/>
        <v>万相台</v>
      </c>
      <c r="S1416" t="s">
        <v>628</v>
      </c>
      <c r="T1416" s="546" t="s">
        <v>804</v>
      </c>
    </row>
    <row r="1417" spans="1:20" x14ac:dyDescent="0.3">
      <c r="A1417" t="s">
        <v>627</v>
      </c>
      <c r="B1417" s="16">
        <v>45441</v>
      </c>
      <c r="C1417" t="s">
        <v>2</v>
      </c>
      <c r="D1417" t="s">
        <v>57</v>
      </c>
      <c r="E1417" t="s">
        <v>64</v>
      </c>
      <c r="F1417" s="15">
        <v>13746</v>
      </c>
      <c r="G1417" s="15">
        <v>8302</v>
      </c>
      <c r="H1417">
        <v>47</v>
      </c>
      <c r="I1417">
        <v>28</v>
      </c>
      <c r="J1417" s="15">
        <v>13327</v>
      </c>
      <c r="K1417">
        <v>4</v>
      </c>
      <c r="L1417" s="15">
        <v>9052</v>
      </c>
      <c r="M1417">
        <v>3</v>
      </c>
      <c r="N1417">
        <v>283</v>
      </c>
      <c r="O1417" s="15">
        <v>13745</v>
      </c>
      <c r="P1417">
        <f t="shared" si="72"/>
        <v>2024</v>
      </c>
      <c r="Q1417">
        <f t="shared" si="73"/>
        <v>5</v>
      </c>
      <c r="R1417" t="str">
        <f t="shared" si="74"/>
        <v>引力魔方</v>
      </c>
      <c r="S1417" t="s">
        <v>628</v>
      </c>
      <c r="T1417" s="546" t="s">
        <v>804</v>
      </c>
    </row>
    <row r="1418" spans="1:20" x14ac:dyDescent="0.3">
      <c r="A1418" t="s">
        <v>627</v>
      </c>
      <c r="B1418" s="16">
        <v>45441</v>
      </c>
      <c r="C1418" t="s">
        <v>2</v>
      </c>
      <c r="D1418" t="s">
        <v>4</v>
      </c>
      <c r="E1418" t="s">
        <v>41</v>
      </c>
      <c r="F1418">
        <v>4</v>
      </c>
      <c r="G1418">
        <v>3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4</v>
      </c>
      <c r="P1418">
        <f t="shared" si="72"/>
        <v>2024</v>
      </c>
      <c r="Q1418">
        <f t="shared" si="73"/>
        <v>5</v>
      </c>
      <c r="R1418" t="str">
        <f t="shared" si="74"/>
        <v>流量宝</v>
      </c>
      <c r="S1418" t="s">
        <v>628</v>
      </c>
      <c r="T1418" s="546" t="s">
        <v>804</v>
      </c>
    </row>
    <row r="1419" spans="1:20" x14ac:dyDescent="0.3">
      <c r="A1419" t="s">
        <v>627</v>
      </c>
      <c r="B1419" s="16">
        <v>45441</v>
      </c>
      <c r="C1419" t="s">
        <v>2</v>
      </c>
      <c r="D1419" t="s">
        <v>4</v>
      </c>
      <c r="E1419" t="s">
        <v>43</v>
      </c>
      <c r="F1419">
        <v>346</v>
      </c>
      <c r="G1419">
        <v>96</v>
      </c>
      <c r="H1419">
        <v>2</v>
      </c>
      <c r="I1419">
        <v>0</v>
      </c>
      <c r="J1419" s="15">
        <v>1498</v>
      </c>
      <c r="K1419">
        <v>1</v>
      </c>
      <c r="L1419" s="15">
        <v>1498</v>
      </c>
      <c r="M1419">
        <v>1</v>
      </c>
      <c r="N1419">
        <v>4</v>
      </c>
      <c r="O1419">
        <v>344</v>
      </c>
      <c r="P1419">
        <f t="shared" si="72"/>
        <v>2024</v>
      </c>
      <c r="Q1419">
        <f t="shared" si="73"/>
        <v>5</v>
      </c>
      <c r="R1419" t="str">
        <f t="shared" si="74"/>
        <v>淘宝客</v>
      </c>
      <c r="S1419" t="s">
        <v>628</v>
      </c>
      <c r="T1419" s="546" t="s">
        <v>804</v>
      </c>
    </row>
    <row r="1420" spans="1:20" x14ac:dyDescent="0.3">
      <c r="A1420" t="s">
        <v>627</v>
      </c>
      <c r="B1420" s="16">
        <v>45442</v>
      </c>
      <c r="C1420" t="s">
        <v>3</v>
      </c>
      <c r="D1420" t="s">
        <v>120</v>
      </c>
      <c r="E1420" t="s">
        <v>163</v>
      </c>
      <c r="F1420">
        <v>88</v>
      </c>
      <c r="G1420">
        <v>42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28</v>
      </c>
      <c r="O1420">
        <v>86</v>
      </c>
      <c r="P1420">
        <f t="shared" si="72"/>
        <v>2024</v>
      </c>
      <c r="Q1420">
        <f t="shared" si="73"/>
        <v>5</v>
      </c>
      <c r="R1420" t="str">
        <f t="shared" si="74"/>
        <v>手猫免费其他</v>
      </c>
      <c r="S1420" t="s">
        <v>628</v>
      </c>
      <c r="T1420" s="546" t="s">
        <v>804</v>
      </c>
    </row>
    <row r="1421" spans="1:20" x14ac:dyDescent="0.3">
      <c r="A1421" t="s">
        <v>627</v>
      </c>
      <c r="B1421" s="16">
        <v>45442</v>
      </c>
      <c r="C1421" t="s">
        <v>3</v>
      </c>
      <c r="D1421" t="s">
        <v>120</v>
      </c>
      <c r="E1421" t="s">
        <v>164</v>
      </c>
      <c r="F1421">
        <v>15</v>
      </c>
      <c r="G1421">
        <v>11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15</v>
      </c>
      <c r="P1421">
        <f t="shared" si="72"/>
        <v>2024</v>
      </c>
      <c r="Q1421">
        <f t="shared" si="73"/>
        <v>5</v>
      </c>
      <c r="R1421" t="str">
        <f t="shared" si="74"/>
        <v>手猫其他店铺</v>
      </c>
      <c r="S1421" t="s">
        <v>628</v>
      </c>
      <c r="T1421" s="546" t="s">
        <v>804</v>
      </c>
    </row>
    <row r="1422" spans="1:20" x14ac:dyDescent="0.3">
      <c r="A1422" t="s">
        <v>627</v>
      </c>
      <c r="B1422" s="16">
        <v>45442</v>
      </c>
      <c r="C1422" t="s">
        <v>3</v>
      </c>
      <c r="D1422" t="s">
        <v>120</v>
      </c>
      <c r="E1422" t="s">
        <v>165</v>
      </c>
      <c r="F1422">
        <v>32</v>
      </c>
      <c r="G1422">
        <v>8</v>
      </c>
      <c r="H1422">
        <v>0</v>
      </c>
      <c r="I1422">
        <v>0</v>
      </c>
      <c r="J1422" s="15">
        <v>1498</v>
      </c>
      <c r="K1422">
        <v>1</v>
      </c>
      <c r="L1422" s="15">
        <v>1498</v>
      </c>
      <c r="M1422">
        <v>1</v>
      </c>
      <c r="N1422">
        <v>9</v>
      </c>
      <c r="O1422">
        <v>30</v>
      </c>
      <c r="P1422">
        <f t="shared" si="72"/>
        <v>2024</v>
      </c>
      <c r="Q1422">
        <f t="shared" si="73"/>
        <v>5</v>
      </c>
      <c r="R1422" t="str">
        <f t="shared" si="74"/>
        <v>手猫商品详情</v>
      </c>
      <c r="S1422" t="s">
        <v>628</v>
      </c>
      <c r="T1422" s="546" t="s">
        <v>804</v>
      </c>
    </row>
    <row r="1423" spans="1:20" x14ac:dyDescent="0.3">
      <c r="A1423" t="s">
        <v>627</v>
      </c>
      <c r="B1423" s="16">
        <v>45442</v>
      </c>
      <c r="C1423" t="s">
        <v>3</v>
      </c>
      <c r="D1423" t="s">
        <v>120</v>
      </c>
      <c r="E1423" t="s">
        <v>166</v>
      </c>
      <c r="F1423">
        <v>50</v>
      </c>
      <c r="G1423">
        <v>28</v>
      </c>
      <c r="H1423">
        <v>0</v>
      </c>
      <c r="I1423">
        <v>0</v>
      </c>
      <c r="J1423" s="15">
        <v>1498</v>
      </c>
      <c r="K1423">
        <v>1</v>
      </c>
      <c r="L1423" s="15">
        <v>1498</v>
      </c>
      <c r="M1423">
        <v>1</v>
      </c>
      <c r="N1423">
        <v>23</v>
      </c>
      <c r="O1423">
        <v>39</v>
      </c>
      <c r="P1423">
        <f t="shared" si="72"/>
        <v>2024</v>
      </c>
      <c r="Q1423">
        <f t="shared" si="73"/>
        <v>5</v>
      </c>
      <c r="R1423" t="str">
        <f t="shared" si="74"/>
        <v>手猫搜索</v>
      </c>
      <c r="S1423" t="s">
        <v>628</v>
      </c>
      <c r="T1423" s="546" t="s">
        <v>804</v>
      </c>
    </row>
    <row r="1424" spans="1:20" x14ac:dyDescent="0.3">
      <c r="A1424" t="s">
        <v>627</v>
      </c>
      <c r="B1424" s="16">
        <v>45442</v>
      </c>
      <c r="C1424" t="s">
        <v>3</v>
      </c>
      <c r="D1424" t="s">
        <v>120</v>
      </c>
      <c r="E1424" t="s">
        <v>167</v>
      </c>
      <c r="F1424">
        <v>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>
        <f t="shared" si="72"/>
        <v>2024</v>
      </c>
      <c r="Q1424">
        <f t="shared" si="73"/>
        <v>5</v>
      </c>
      <c r="R1424" t="str">
        <f t="shared" si="74"/>
        <v>手猫旺信聊天</v>
      </c>
      <c r="S1424" t="s">
        <v>628</v>
      </c>
      <c r="T1424" s="546" t="s">
        <v>804</v>
      </c>
    </row>
    <row r="1425" spans="1:20" x14ac:dyDescent="0.3">
      <c r="A1425" t="s">
        <v>627</v>
      </c>
      <c r="B1425" s="16">
        <v>45442</v>
      </c>
      <c r="C1425" t="s">
        <v>3</v>
      </c>
      <c r="D1425" t="s">
        <v>120</v>
      </c>
      <c r="E1425" t="s">
        <v>168</v>
      </c>
      <c r="F1425">
        <v>379</v>
      </c>
      <c r="G1425">
        <v>197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26</v>
      </c>
      <c r="O1425">
        <v>379</v>
      </c>
      <c r="P1425">
        <f t="shared" si="72"/>
        <v>2024</v>
      </c>
      <c r="Q1425">
        <f t="shared" si="73"/>
        <v>5</v>
      </c>
      <c r="R1425" t="str">
        <f t="shared" si="74"/>
        <v>手猫首页</v>
      </c>
      <c r="S1425" t="s">
        <v>628</v>
      </c>
      <c r="T1425" s="546" t="s">
        <v>804</v>
      </c>
    </row>
    <row r="1426" spans="1:20" x14ac:dyDescent="0.3">
      <c r="A1426" t="s">
        <v>627</v>
      </c>
      <c r="B1426" s="16">
        <v>45442</v>
      </c>
      <c r="C1426" t="s">
        <v>3</v>
      </c>
      <c r="D1426" t="s">
        <v>123</v>
      </c>
      <c r="E1426" t="s">
        <v>169</v>
      </c>
      <c r="F1426">
        <v>93</v>
      </c>
      <c r="G1426">
        <v>28</v>
      </c>
      <c r="H1426">
        <v>5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30</v>
      </c>
      <c r="O1426">
        <v>84</v>
      </c>
      <c r="P1426">
        <f t="shared" si="72"/>
        <v>2024</v>
      </c>
      <c r="Q1426">
        <f t="shared" si="73"/>
        <v>5</v>
      </c>
      <c r="R1426" t="str">
        <f t="shared" si="74"/>
        <v>商品详情页头图推荐</v>
      </c>
      <c r="S1426" t="s">
        <v>628</v>
      </c>
      <c r="T1426" s="546" t="s">
        <v>804</v>
      </c>
    </row>
    <row r="1427" spans="1:20" x14ac:dyDescent="0.3">
      <c r="A1427" t="s">
        <v>627</v>
      </c>
      <c r="B1427" s="16">
        <v>45442</v>
      </c>
      <c r="C1427" t="s">
        <v>3</v>
      </c>
      <c r="D1427" t="s">
        <v>123</v>
      </c>
      <c r="E1427" t="s">
        <v>170</v>
      </c>
      <c r="F1427">
        <v>21</v>
      </c>
      <c r="G1427">
        <v>9</v>
      </c>
      <c r="H1427">
        <v>4</v>
      </c>
      <c r="I1427">
        <v>0</v>
      </c>
      <c r="J1427" s="15">
        <v>1498</v>
      </c>
      <c r="K1427">
        <v>1</v>
      </c>
      <c r="L1427" s="15">
        <v>1498</v>
      </c>
      <c r="M1427">
        <v>1</v>
      </c>
      <c r="N1427">
        <v>18</v>
      </c>
      <c r="O1427">
        <v>11</v>
      </c>
      <c r="P1427">
        <f t="shared" si="72"/>
        <v>2024</v>
      </c>
      <c r="Q1427">
        <f t="shared" si="73"/>
        <v>5</v>
      </c>
      <c r="R1427" t="str">
        <f t="shared" si="74"/>
        <v>店铺超链</v>
      </c>
      <c r="S1427" t="s">
        <v>628</v>
      </c>
      <c r="T1427" s="546" t="s">
        <v>804</v>
      </c>
    </row>
    <row r="1428" spans="1:20" x14ac:dyDescent="0.3">
      <c r="A1428" t="s">
        <v>627</v>
      </c>
      <c r="B1428" s="16">
        <v>45442</v>
      </c>
      <c r="C1428" t="s">
        <v>3</v>
      </c>
      <c r="D1428" t="s">
        <v>127</v>
      </c>
      <c r="E1428" t="s">
        <v>171</v>
      </c>
      <c r="F1428">
        <v>120</v>
      </c>
      <c r="G1428">
        <v>64</v>
      </c>
      <c r="H1428">
        <v>3</v>
      </c>
      <c r="I1428">
        <v>0</v>
      </c>
      <c r="J1428" s="15">
        <v>3360</v>
      </c>
      <c r="K1428">
        <v>1</v>
      </c>
      <c r="L1428" s="15">
        <v>1680</v>
      </c>
      <c r="M1428">
        <v>1</v>
      </c>
      <c r="N1428">
        <v>47</v>
      </c>
      <c r="O1428">
        <v>91</v>
      </c>
      <c r="P1428">
        <f t="shared" si="72"/>
        <v>2024</v>
      </c>
      <c r="Q1428">
        <f t="shared" si="73"/>
        <v>5</v>
      </c>
      <c r="R1428" t="str">
        <f t="shared" si="74"/>
        <v>其他猜你喜欢</v>
      </c>
      <c r="S1428" t="s">
        <v>628</v>
      </c>
      <c r="T1428" s="546" t="s">
        <v>804</v>
      </c>
    </row>
    <row r="1429" spans="1:20" x14ac:dyDescent="0.3">
      <c r="A1429" t="s">
        <v>627</v>
      </c>
      <c r="B1429" s="16">
        <v>45442</v>
      </c>
      <c r="C1429" t="s">
        <v>3</v>
      </c>
      <c r="D1429" t="s">
        <v>127</v>
      </c>
      <c r="E1429" t="s">
        <v>172</v>
      </c>
      <c r="F1429">
        <v>5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5</v>
      </c>
      <c r="P1429">
        <f t="shared" ref="P1429:P1492" si="75">YEAR(B1429)</f>
        <v>2024</v>
      </c>
      <c r="Q1429">
        <f t="shared" ref="Q1429:Q1492" si="76">MONTH(B1429)</f>
        <v>5</v>
      </c>
      <c r="R1429" t="str">
        <f t="shared" si="74"/>
        <v>购中推荐</v>
      </c>
      <c r="S1429" t="s">
        <v>628</v>
      </c>
      <c r="T1429" s="546" t="s">
        <v>804</v>
      </c>
    </row>
    <row r="1430" spans="1:20" x14ac:dyDescent="0.3">
      <c r="A1430" t="s">
        <v>627</v>
      </c>
      <c r="B1430" s="16">
        <v>45442</v>
      </c>
      <c r="C1430" t="s">
        <v>3</v>
      </c>
      <c r="D1430" t="s">
        <v>127</v>
      </c>
      <c r="E1430" t="s">
        <v>173</v>
      </c>
      <c r="F1430">
        <v>15</v>
      </c>
      <c r="G1430">
        <v>7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14</v>
      </c>
      <c r="P1430">
        <f t="shared" si="75"/>
        <v>2024</v>
      </c>
      <c r="Q1430">
        <f t="shared" si="76"/>
        <v>5</v>
      </c>
      <c r="R1430" t="str">
        <f t="shared" si="74"/>
        <v>购后推荐</v>
      </c>
      <c r="S1430" t="s">
        <v>628</v>
      </c>
      <c r="T1430" s="546" t="s">
        <v>804</v>
      </c>
    </row>
    <row r="1431" spans="1:20" x14ac:dyDescent="0.3">
      <c r="A1431" t="s">
        <v>627</v>
      </c>
      <c r="B1431" s="16">
        <v>45442</v>
      </c>
      <c r="C1431" t="s">
        <v>3</v>
      </c>
      <c r="D1431" t="s">
        <v>127</v>
      </c>
      <c r="E1431" t="s">
        <v>174</v>
      </c>
      <c r="F1431" s="15">
        <v>1840</v>
      </c>
      <c r="G1431">
        <v>939</v>
      </c>
      <c r="H1431">
        <v>31</v>
      </c>
      <c r="I1431">
        <v>16</v>
      </c>
      <c r="J1431" s="15">
        <v>9144</v>
      </c>
      <c r="K1431">
        <v>5</v>
      </c>
      <c r="L1431" s="15">
        <v>6161</v>
      </c>
      <c r="M1431">
        <v>4</v>
      </c>
      <c r="N1431">
        <v>146</v>
      </c>
      <c r="O1431" s="15">
        <v>1840</v>
      </c>
      <c r="P1431">
        <f t="shared" si="75"/>
        <v>2024</v>
      </c>
      <c r="Q1431">
        <f t="shared" si="76"/>
        <v>5</v>
      </c>
      <c r="R1431" t="str">
        <f t="shared" si="74"/>
        <v>首页推荐-微详情</v>
      </c>
      <c r="S1431" t="s">
        <v>628</v>
      </c>
      <c r="T1431" s="546" t="s">
        <v>804</v>
      </c>
    </row>
    <row r="1432" spans="1:20" x14ac:dyDescent="0.3">
      <c r="A1432" t="s">
        <v>627</v>
      </c>
      <c r="B1432" s="16">
        <v>45442</v>
      </c>
      <c r="C1432" t="s">
        <v>3</v>
      </c>
      <c r="D1432" t="s">
        <v>127</v>
      </c>
      <c r="E1432" t="s">
        <v>175</v>
      </c>
      <c r="F1432">
        <v>148</v>
      </c>
      <c r="G1432">
        <v>74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11</v>
      </c>
      <c r="P1432">
        <f t="shared" si="75"/>
        <v>2024</v>
      </c>
      <c r="Q1432">
        <f t="shared" si="76"/>
        <v>5</v>
      </c>
      <c r="R1432" t="str">
        <f t="shared" si="74"/>
        <v>首页推荐-直播</v>
      </c>
      <c r="S1432" t="s">
        <v>628</v>
      </c>
      <c r="T1432" s="546" t="s">
        <v>804</v>
      </c>
    </row>
    <row r="1433" spans="1:20" x14ac:dyDescent="0.3">
      <c r="A1433" t="s">
        <v>627</v>
      </c>
      <c r="B1433" s="16">
        <v>45442</v>
      </c>
      <c r="C1433" t="s">
        <v>3</v>
      </c>
      <c r="D1433" t="s">
        <v>127</v>
      </c>
      <c r="E1433" t="s">
        <v>176</v>
      </c>
      <c r="F1433">
        <v>87</v>
      </c>
      <c r="G1433">
        <v>24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f t="shared" si="75"/>
        <v>2024</v>
      </c>
      <c r="Q1433">
        <f t="shared" si="76"/>
        <v>5</v>
      </c>
      <c r="R1433" t="str">
        <f t="shared" si="74"/>
        <v>首页推荐-短视频</v>
      </c>
      <c r="S1433" t="s">
        <v>628</v>
      </c>
      <c r="T1433" s="546" t="s">
        <v>804</v>
      </c>
    </row>
    <row r="1434" spans="1:20" x14ac:dyDescent="0.3">
      <c r="A1434" t="s">
        <v>627</v>
      </c>
      <c r="B1434" s="16">
        <v>45442</v>
      </c>
      <c r="C1434" t="s">
        <v>3</v>
      </c>
      <c r="D1434" t="s">
        <v>128</v>
      </c>
      <c r="E1434" t="s">
        <v>177</v>
      </c>
      <c r="F1434">
        <v>892</v>
      </c>
      <c r="G1434">
        <v>668</v>
      </c>
      <c r="H1434">
        <v>46</v>
      </c>
      <c r="I1434">
        <v>11</v>
      </c>
      <c r="J1434" s="15">
        <v>25380</v>
      </c>
      <c r="K1434">
        <v>11</v>
      </c>
      <c r="L1434" s="15">
        <v>16410</v>
      </c>
      <c r="M1434">
        <v>9</v>
      </c>
      <c r="N1434">
        <v>234</v>
      </c>
      <c r="O1434">
        <v>816</v>
      </c>
      <c r="P1434">
        <f t="shared" si="75"/>
        <v>2024</v>
      </c>
      <c r="Q1434">
        <f t="shared" si="76"/>
        <v>5</v>
      </c>
      <c r="R1434" t="str">
        <f t="shared" si="74"/>
        <v>手淘搜索-商品及其他</v>
      </c>
      <c r="S1434" t="s">
        <v>628</v>
      </c>
      <c r="T1434" s="546" t="s">
        <v>804</v>
      </c>
    </row>
    <row r="1435" spans="1:20" x14ac:dyDescent="0.3">
      <c r="A1435" t="s">
        <v>627</v>
      </c>
      <c r="B1435" s="16">
        <v>45442</v>
      </c>
      <c r="C1435" t="s">
        <v>3</v>
      </c>
      <c r="D1435" t="s">
        <v>128</v>
      </c>
      <c r="E1435" t="s">
        <v>178</v>
      </c>
      <c r="F1435">
        <v>15</v>
      </c>
      <c r="G1435">
        <v>7</v>
      </c>
      <c r="H1435">
        <v>1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2</v>
      </c>
      <c r="O1435">
        <v>14</v>
      </c>
      <c r="P1435">
        <f t="shared" si="75"/>
        <v>2024</v>
      </c>
      <c r="Q1435">
        <f t="shared" si="76"/>
        <v>5</v>
      </c>
      <c r="R1435" t="str">
        <f t="shared" si="74"/>
        <v>手淘搜索-直播</v>
      </c>
      <c r="S1435" t="s">
        <v>628</v>
      </c>
      <c r="T1435" s="546" t="s">
        <v>804</v>
      </c>
    </row>
    <row r="1436" spans="1:20" x14ac:dyDescent="0.3">
      <c r="A1436" t="s">
        <v>627</v>
      </c>
      <c r="B1436" s="16">
        <v>45442</v>
      </c>
      <c r="C1436" t="s">
        <v>3</v>
      </c>
      <c r="D1436" t="s">
        <v>128</v>
      </c>
      <c r="E1436" t="s">
        <v>179</v>
      </c>
      <c r="F1436">
        <v>30</v>
      </c>
      <c r="G1436">
        <v>18</v>
      </c>
      <c r="H1436">
        <v>2</v>
      </c>
      <c r="I1436">
        <v>0</v>
      </c>
      <c r="J1436" s="15">
        <v>3360</v>
      </c>
      <c r="K1436">
        <v>1</v>
      </c>
      <c r="L1436" s="15">
        <v>1680</v>
      </c>
      <c r="M1436">
        <v>1</v>
      </c>
      <c r="N1436">
        <v>0</v>
      </c>
      <c r="O1436">
        <v>8</v>
      </c>
      <c r="P1436">
        <f t="shared" si="75"/>
        <v>2024</v>
      </c>
      <c r="Q1436">
        <f t="shared" si="76"/>
        <v>5</v>
      </c>
      <c r="R1436" t="str">
        <f t="shared" si="74"/>
        <v>手淘搜索-短视频</v>
      </c>
      <c r="S1436" t="s">
        <v>628</v>
      </c>
      <c r="T1436" s="546" t="s">
        <v>804</v>
      </c>
    </row>
    <row r="1437" spans="1:20" x14ac:dyDescent="0.3">
      <c r="A1437" t="s">
        <v>627</v>
      </c>
      <c r="B1437" s="16">
        <v>45442</v>
      </c>
      <c r="C1437" t="s">
        <v>3</v>
      </c>
      <c r="D1437" t="s">
        <v>143</v>
      </c>
      <c r="E1437" t="s">
        <v>180</v>
      </c>
      <c r="F1437">
        <v>14</v>
      </c>
      <c r="G1437">
        <v>14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14</v>
      </c>
      <c r="P1437">
        <f t="shared" si="75"/>
        <v>2024</v>
      </c>
      <c r="Q1437">
        <f t="shared" si="76"/>
        <v>5</v>
      </c>
      <c r="R1437" t="str">
        <f t="shared" si="74"/>
        <v>淘特其他渠道</v>
      </c>
      <c r="S1437" t="s">
        <v>628</v>
      </c>
      <c r="T1437" s="546" t="s">
        <v>804</v>
      </c>
    </row>
    <row r="1438" spans="1:20" x14ac:dyDescent="0.3">
      <c r="A1438" t="s">
        <v>627</v>
      </c>
      <c r="B1438" s="16">
        <v>45442</v>
      </c>
      <c r="C1438" t="s">
        <v>2</v>
      </c>
      <c r="D1438" t="s">
        <v>55</v>
      </c>
      <c r="E1438" t="s">
        <v>54</v>
      </c>
      <c r="F1438" s="15">
        <v>2671</v>
      </c>
      <c r="G1438" s="15">
        <v>2411</v>
      </c>
      <c r="H1438">
        <v>1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10</v>
      </c>
      <c r="O1438" s="15">
        <v>1707</v>
      </c>
      <c r="P1438">
        <f t="shared" si="75"/>
        <v>2024</v>
      </c>
      <c r="Q1438">
        <f t="shared" si="76"/>
        <v>5</v>
      </c>
      <c r="R1438" t="str">
        <f t="shared" si="74"/>
        <v>超级直播</v>
      </c>
      <c r="S1438" t="s">
        <v>628</v>
      </c>
      <c r="T1438" s="546" t="s">
        <v>804</v>
      </c>
    </row>
    <row r="1439" spans="1:20" x14ac:dyDescent="0.3">
      <c r="A1439" t="s">
        <v>627</v>
      </c>
      <c r="B1439" s="16">
        <v>45442</v>
      </c>
      <c r="C1439" t="s">
        <v>2</v>
      </c>
      <c r="D1439" t="s">
        <v>52</v>
      </c>
      <c r="E1439" t="s">
        <v>53</v>
      </c>
      <c r="F1439">
        <v>592</v>
      </c>
      <c r="G1439">
        <v>472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592</v>
      </c>
      <c r="O1439">
        <v>66</v>
      </c>
      <c r="P1439">
        <f t="shared" si="75"/>
        <v>2024</v>
      </c>
      <c r="Q1439">
        <f t="shared" si="76"/>
        <v>5</v>
      </c>
      <c r="R1439" t="str">
        <f t="shared" si="74"/>
        <v>Showmax</v>
      </c>
      <c r="S1439" t="s">
        <v>628</v>
      </c>
      <c r="T1439" s="546" t="s">
        <v>804</v>
      </c>
    </row>
    <row r="1440" spans="1:20" x14ac:dyDescent="0.3">
      <c r="A1440" t="s">
        <v>627</v>
      </c>
      <c r="B1440" s="16">
        <v>45442</v>
      </c>
      <c r="C1440" t="s">
        <v>2</v>
      </c>
      <c r="D1440" t="s">
        <v>52</v>
      </c>
      <c r="E1440" t="s">
        <v>51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1</v>
      </c>
      <c r="P1440">
        <f t="shared" si="75"/>
        <v>2024</v>
      </c>
      <c r="Q1440">
        <f t="shared" si="76"/>
        <v>5</v>
      </c>
      <c r="R1440" t="str">
        <f t="shared" si="74"/>
        <v>品牌定制</v>
      </c>
      <c r="S1440" t="s">
        <v>628</v>
      </c>
      <c r="T1440" s="546" t="s">
        <v>804</v>
      </c>
    </row>
    <row r="1441" spans="1:20" x14ac:dyDescent="0.3">
      <c r="A1441" t="s">
        <v>627</v>
      </c>
      <c r="B1441" s="16">
        <v>45442</v>
      </c>
      <c r="C1441" t="s">
        <v>2</v>
      </c>
      <c r="D1441" t="s">
        <v>52</v>
      </c>
      <c r="E1441" t="s">
        <v>59</v>
      </c>
      <c r="F1441" s="15">
        <v>1094</v>
      </c>
      <c r="G1441">
        <v>858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 s="15">
        <v>1094</v>
      </c>
      <c r="O1441">
        <v>145</v>
      </c>
      <c r="P1441">
        <f t="shared" si="75"/>
        <v>2024</v>
      </c>
      <c r="Q1441">
        <f t="shared" si="76"/>
        <v>5</v>
      </c>
      <c r="R1441" t="str">
        <f t="shared" si="74"/>
        <v>品牌特秀</v>
      </c>
      <c r="S1441" t="s">
        <v>628</v>
      </c>
      <c r="T1441" s="546" t="s">
        <v>804</v>
      </c>
    </row>
    <row r="1442" spans="1:20" x14ac:dyDescent="0.3">
      <c r="A1442" t="s">
        <v>627</v>
      </c>
      <c r="B1442" s="16">
        <v>45442</v>
      </c>
      <c r="C1442" t="s">
        <v>2</v>
      </c>
      <c r="D1442" t="s">
        <v>52</v>
      </c>
      <c r="E1442" t="s">
        <v>183</v>
      </c>
      <c r="F1442">
        <v>603</v>
      </c>
      <c r="G1442">
        <v>493</v>
      </c>
      <c r="H1442">
        <v>13</v>
      </c>
      <c r="I1442">
        <v>7</v>
      </c>
      <c r="J1442" s="15">
        <v>12565</v>
      </c>
      <c r="K1442">
        <v>3</v>
      </c>
      <c r="L1442" s="15">
        <v>12565</v>
      </c>
      <c r="M1442">
        <v>3</v>
      </c>
      <c r="N1442">
        <v>603</v>
      </c>
      <c r="O1442">
        <v>306</v>
      </c>
      <c r="P1442">
        <f t="shared" si="75"/>
        <v>2024</v>
      </c>
      <c r="Q1442">
        <f t="shared" si="76"/>
        <v>5</v>
      </c>
      <c r="R1442" t="str">
        <f t="shared" si="74"/>
        <v>品销宝-品牌专区</v>
      </c>
      <c r="S1442" t="s">
        <v>628</v>
      </c>
      <c r="T1442" s="546" t="s">
        <v>804</v>
      </c>
    </row>
    <row r="1443" spans="1:20" x14ac:dyDescent="0.3">
      <c r="A1443" t="s">
        <v>627</v>
      </c>
      <c r="B1443" s="16">
        <v>45442</v>
      </c>
      <c r="C1443" t="s">
        <v>2</v>
      </c>
      <c r="D1443" t="s">
        <v>57</v>
      </c>
      <c r="E1443" t="s">
        <v>65</v>
      </c>
      <c r="F1443" s="15">
        <v>3637</v>
      </c>
      <c r="G1443" s="15">
        <v>3163</v>
      </c>
      <c r="H1443">
        <v>32</v>
      </c>
      <c r="I1443">
        <v>25</v>
      </c>
      <c r="J1443" s="15">
        <v>22299</v>
      </c>
      <c r="K1443">
        <v>6</v>
      </c>
      <c r="L1443" s="15">
        <v>7432</v>
      </c>
      <c r="M1443">
        <v>3</v>
      </c>
      <c r="N1443">
        <v>276</v>
      </c>
      <c r="O1443" s="15">
        <v>3609</v>
      </c>
      <c r="P1443">
        <f t="shared" si="75"/>
        <v>2024</v>
      </c>
      <c r="Q1443">
        <f t="shared" si="76"/>
        <v>5</v>
      </c>
      <c r="R1443" t="str">
        <f t="shared" si="74"/>
        <v>直通车</v>
      </c>
      <c r="S1443" t="s">
        <v>628</v>
      </c>
      <c r="T1443" s="546" t="s">
        <v>804</v>
      </c>
    </row>
    <row r="1444" spans="1:20" x14ac:dyDescent="0.3">
      <c r="A1444" t="s">
        <v>627</v>
      </c>
      <c r="B1444" s="16">
        <v>45442</v>
      </c>
      <c r="C1444" t="s">
        <v>2</v>
      </c>
      <c r="D1444" t="s">
        <v>57</v>
      </c>
      <c r="E1444" t="s">
        <v>63</v>
      </c>
      <c r="F1444" s="15">
        <v>3212</v>
      </c>
      <c r="G1444" s="15">
        <v>1715</v>
      </c>
      <c r="H1444">
        <v>40</v>
      </c>
      <c r="I1444">
        <v>22</v>
      </c>
      <c r="J1444" s="15">
        <v>38531</v>
      </c>
      <c r="K1444">
        <v>10</v>
      </c>
      <c r="L1444" s="15">
        <v>37228</v>
      </c>
      <c r="M1444">
        <v>9</v>
      </c>
      <c r="N1444">
        <v>179</v>
      </c>
      <c r="O1444" s="15">
        <v>3210</v>
      </c>
      <c r="P1444">
        <f t="shared" si="75"/>
        <v>2024</v>
      </c>
      <c r="Q1444">
        <f t="shared" si="76"/>
        <v>5</v>
      </c>
      <c r="R1444" t="str">
        <f t="shared" si="74"/>
        <v>万相台</v>
      </c>
      <c r="S1444" t="s">
        <v>628</v>
      </c>
      <c r="T1444" s="546" t="s">
        <v>804</v>
      </c>
    </row>
    <row r="1445" spans="1:20" x14ac:dyDescent="0.3">
      <c r="A1445" t="s">
        <v>627</v>
      </c>
      <c r="B1445" s="16">
        <v>45442</v>
      </c>
      <c r="C1445" t="s">
        <v>2</v>
      </c>
      <c r="D1445" t="s">
        <v>57</v>
      </c>
      <c r="E1445" t="s">
        <v>64</v>
      </c>
      <c r="F1445" s="15">
        <v>13317</v>
      </c>
      <c r="G1445" s="15">
        <v>7217</v>
      </c>
      <c r="H1445">
        <v>23</v>
      </c>
      <c r="I1445">
        <v>27</v>
      </c>
      <c r="J1445" s="15">
        <v>19675</v>
      </c>
      <c r="K1445">
        <v>3</v>
      </c>
      <c r="L1445">
        <v>0</v>
      </c>
      <c r="M1445">
        <v>0</v>
      </c>
      <c r="N1445">
        <v>237</v>
      </c>
      <c r="O1445" s="15">
        <v>13315</v>
      </c>
      <c r="P1445">
        <f t="shared" si="75"/>
        <v>2024</v>
      </c>
      <c r="Q1445">
        <f t="shared" si="76"/>
        <v>5</v>
      </c>
      <c r="R1445" t="str">
        <f t="shared" si="74"/>
        <v>引力魔方</v>
      </c>
      <c r="S1445" t="s">
        <v>628</v>
      </c>
      <c r="T1445" s="546" t="s">
        <v>804</v>
      </c>
    </row>
    <row r="1446" spans="1:20" x14ac:dyDescent="0.3">
      <c r="A1446" t="s">
        <v>627</v>
      </c>
      <c r="B1446" s="16">
        <v>45442</v>
      </c>
      <c r="C1446" t="s">
        <v>2</v>
      </c>
      <c r="D1446" t="s">
        <v>4</v>
      </c>
      <c r="E1446" t="s">
        <v>42</v>
      </c>
      <c r="F1446">
        <v>1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f t="shared" si="75"/>
        <v>2024</v>
      </c>
      <c r="Q1446">
        <f t="shared" si="76"/>
        <v>5</v>
      </c>
      <c r="R1446" t="str">
        <f t="shared" si="74"/>
        <v>UD效果投放</v>
      </c>
      <c r="S1446" t="s">
        <v>628</v>
      </c>
      <c r="T1446" s="546" t="s">
        <v>804</v>
      </c>
    </row>
    <row r="1447" spans="1:20" x14ac:dyDescent="0.3">
      <c r="A1447" t="s">
        <v>627</v>
      </c>
      <c r="B1447" s="16">
        <v>45442</v>
      </c>
      <c r="C1447" t="s">
        <v>2</v>
      </c>
      <c r="D1447" t="s">
        <v>4</v>
      </c>
      <c r="E1447" t="s">
        <v>41</v>
      </c>
      <c r="F1447">
        <v>2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</v>
      </c>
      <c r="P1447">
        <f t="shared" si="75"/>
        <v>2024</v>
      </c>
      <c r="Q1447">
        <f t="shared" si="76"/>
        <v>5</v>
      </c>
      <c r="R1447" t="str">
        <f t="shared" si="74"/>
        <v>流量宝</v>
      </c>
      <c r="S1447" t="s">
        <v>628</v>
      </c>
      <c r="T1447" s="546" t="s">
        <v>804</v>
      </c>
    </row>
    <row r="1448" spans="1:20" x14ac:dyDescent="0.3">
      <c r="A1448" t="s">
        <v>627</v>
      </c>
      <c r="B1448" s="16">
        <v>45442</v>
      </c>
      <c r="C1448" t="s">
        <v>2</v>
      </c>
      <c r="D1448" t="s">
        <v>4</v>
      </c>
      <c r="E1448" t="s">
        <v>43</v>
      </c>
      <c r="F1448">
        <v>305</v>
      </c>
      <c r="G1448">
        <v>88</v>
      </c>
      <c r="H1448">
        <v>2</v>
      </c>
      <c r="I1448">
        <v>1</v>
      </c>
      <c r="J1448" s="15">
        <v>5483</v>
      </c>
      <c r="K1448">
        <v>3</v>
      </c>
      <c r="L1448" s="15">
        <v>5483</v>
      </c>
      <c r="M1448">
        <v>3</v>
      </c>
      <c r="N1448">
        <v>10</v>
      </c>
      <c r="O1448">
        <v>300</v>
      </c>
      <c r="P1448">
        <f t="shared" si="75"/>
        <v>2024</v>
      </c>
      <c r="Q1448">
        <f t="shared" si="76"/>
        <v>5</v>
      </c>
      <c r="R1448" t="str">
        <f t="shared" si="74"/>
        <v>淘宝客</v>
      </c>
      <c r="S1448" t="s">
        <v>628</v>
      </c>
      <c r="T1448" s="546" t="s">
        <v>804</v>
      </c>
    </row>
    <row r="1449" spans="1:20" x14ac:dyDescent="0.3">
      <c r="A1449" t="s">
        <v>627</v>
      </c>
      <c r="B1449" s="16">
        <v>45443</v>
      </c>
      <c r="C1449" t="s">
        <v>3</v>
      </c>
      <c r="D1449" t="s">
        <v>114</v>
      </c>
      <c r="E1449" t="s">
        <v>159</v>
      </c>
      <c r="F1449">
        <v>149</v>
      </c>
      <c r="G1449">
        <v>70</v>
      </c>
      <c r="H1449">
        <v>3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28</v>
      </c>
      <c r="O1449">
        <v>129</v>
      </c>
      <c r="P1449">
        <f t="shared" si="75"/>
        <v>2024</v>
      </c>
      <c r="Q1449">
        <f t="shared" si="76"/>
        <v>5</v>
      </c>
      <c r="R1449" t="str">
        <f t="shared" si="74"/>
        <v>主会场</v>
      </c>
      <c r="S1449" t="s">
        <v>628</v>
      </c>
      <c r="T1449" s="546" t="s">
        <v>804</v>
      </c>
    </row>
    <row r="1450" spans="1:20" x14ac:dyDescent="0.3">
      <c r="A1450" t="s">
        <v>627</v>
      </c>
      <c r="B1450" s="16">
        <v>45443</v>
      </c>
      <c r="C1450" t="s">
        <v>3</v>
      </c>
      <c r="D1450" t="s">
        <v>120</v>
      </c>
      <c r="E1450" t="s">
        <v>162</v>
      </c>
      <c r="F1450">
        <v>4</v>
      </c>
      <c r="G1450">
        <v>3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3</v>
      </c>
      <c r="P1450">
        <f t="shared" si="75"/>
        <v>2024</v>
      </c>
      <c r="Q1450">
        <f t="shared" si="76"/>
        <v>5</v>
      </c>
      <c r="R1450" t="str">
        <f t="shared" si="74"/>
        <v>手机浏览器访问天猫</v>
      </c>
      <c r="S1450" t="s">
        <v>628</v>
      </c>
      <c r="T1450" s="546" t="s">
        <v>804</v>
      </c>
    </row>
    <row r="1451" spans="1:20" x14ac:dyDescent="0.3">
      <c r="A1451" t="s">
        <v>627</v>
      </c>
      <c r="B1451" s="16">
        <v>45443</v>
      </c>
      <c r="C1451" t="s">
        <v>3</v>
      </c>
      <c r="D1451" t="s">
        <v>120</v>
      </c>
      <c r="E1451" t="s">
        <v>163</v>
      </c>
      <c r="F1451">
        <v>95</v>
      </c>
      <c r="G1451">
        <v>36</v>
      </c>
      <c r="H1451">
        <v>2</v>
      </c>
      <c r="I1451">
        <v>0</v>
      </c>
      <c r="J1451" s="15">
        <v>6370</v>
      </c>
      <c r="K1451">
        <v>3</v>
      </c>
      <c r="L1451" s="15">
        <v>6370</v>
      </c>
      <c r="M1451">
        <v>3</v>
      </c>
      <c r="N1451">
        <v>31</v>
      </c>
      <c r="O1451">
        <v>91</v>
      </c>
      <c r="P1451">
        <f t="shared" si="75"/>
        <v>2024</v>
      </c>
      <c r="Q1451">
        <f t="shared" si="76"/>
        <v>5</v>
      </c>
      <c r="R1451" t="str">
        <f t="shared" si="74"/>
        <v>手猫免费其他</v>
      </c>
      <c r="S1451" t="s">
        <v>628</v>
      </c>
      <c r="T1451" s="546" t="s">
        <v>804</v>
      </c>
    </row>
    <row r="1452" spans="1:20" x14ac:dyDescent="0.3">
      <c r="A1452" t="s">
        <v>627</v>
      </c>
      <c r="B1452" s="16">
        <v>45443</v>
      </c>
      <c r="C1452" t="s">
        <v>3</v>
      </c>
      <c r="D1452" t="s">
        <v>120</v>
      </c>
      <c r="E1452" t="s">
        <v>164</v>
      </c>
      <c r="F1452">
        <v>3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3</v>
      </c>
      <c r="P1452">
        <f t="shared" si="75"/>
        <v>2024</v>
      </c>
      <c r="Q1452">
        <f t="shared" si="76"/>
        <v>5</v>
      </c>
      <c r="R1452" t="str">
        <f t="shared" si="74"/>
        <v>手猫其他店铺</v>
      </c>
      <c r="S1452" t="s">
        <v>628</v>
      </c>
      <c r="T1452" s="546" t="s">
        <v>804</v>
      </c>
    </row>
    <row r="1453" spans="1:20" x14ac:dyDescent="0.3">
      <c r="A1453" t="s">
        <v>627</v>
      </c>
      <c r="B1453" s="16">
        <v>45443</v>
      </c>
      <c r="C1453" t="s">
        <v>3</v>
      </c>
      <c r="D1453" t="s">
        <v>120</v>
      </c>
      <c r="E1453" t="s">
        <v>165</v>
      </c>
      <c r="F1453">
        <v>36</v>
      </c>
      <c r="G1453">
        <v>11</v>
      </c>
      <c r="H1453">
        <v>1</v>
      </c>
      <c r="I1453">
        <v>0</v>
      </c>
      <c r="J1453" s="15">
        <v>6936</v>
      </c>
      <c r="K1453">
        <v>4</v>
      </c>
      <c r="L1453" s="15">
        <v>6936</v>
      </c>
      <c r="M1453">
        <v>4</v>
      </c>
      <c r="N1453">
        <v>6</v>
      </c>
      <c r="O1453">
        <v>33</v>
      </c>
      <c r="P1453">
        <f t="shared" si="75"/>
        <v>2024</v>
      </c>
      <c r="Q1453">
        <f t="shared" si="76"/>
        <v>5</v>
      </c>
      <c r="R1453" t="str">
        <f t="shared" si="74"/>
        <v>手猫商品详情</v>
      </c>
      <c r="S1453" t="s">
        <v>628</v>
      </c>
      <c r="T1453" s="546" t="s">
        <v>804</v>
      </c>
    </row>
    <row r="1454" spans="1:20" x14ac:dyDescent="0.3">
      <c r="A1454" t="s">
        <v>627</v>
      </c>
      <c r="B1454" s="16">
        <v>45443</v>
      </c>
      <c r="C1454" t="s">
        <v>3</v>
      </c>
      <c r="D1454" t="s">
        <v>120</v>
      </c>
      <c r="E1454" t="s">
        <v>166</v>
      </c>
      <c r="F1454">
        <v>59</v>
      </c>
      <c r="G1454">
        <v>31</v>
      </c>
      <c r="H1454">
        <v>1</v>
      </c>
      <c r="I1454">
        <v>0</v>
      </c>
      <c r="J1454" s="17">
        <v>4387.5</v>
      </c>
      <c r="K1454">
        <v>2</v>
      </c>
      <c r="L1454" s="17">
        <v>3567.5</v>
      </c>
      <c r="M1454">
        <v>2</v>
      </c>
      <c r="N1454">
        <v>16</v>
      </c>
      <c r="O1454">
        <v>53</v>
      </c>
      <c r="P1454">
        <f t="shared" si="75"/>
        <v>2024</v>
      </c>
      <c r="Q1454">
        <f t="shared" si="76"/>
        <v>5</v>
      </c>
      <c r="R1454" t="str">
        <f t="shared" si="74"/>
        <v>手猫搜索</v>
      </c>
      <c r="S1454" t="s">
        <v>628</v>
      </c>
      <c r="T1454" s="546" t="s">
        <v>804</v>
      </c>
    </row>
    <row r="1455" spans="1:20" x14ac:dyDescent="0.3">
      <c r="A1455" t="s">
        <v>627</v>
      </c>
      <c r="B1455" s="16">
        <v>45443</v>
      </c>
      <c r="C1455" t="s">
        <v>3</v>
      </c>
      <c r="D1455" t="s">
        <v>120</v>
      </c>
      <c r="E1455" t="s">
        <v>168</v>
      </c>
      <c r="F1455">
        <v>413</v>
      </c>
      <c r="G1455">
        <v>241</v>
      </c>
      <c r="H1455">
        <v>1</v>
      </c>
      <c r="I1455">
        <v>0</v>
      </c>
      <c r="J1455" s="15">
        <v>4693</v>
      </c>
      <c r="K1455">
        <v>2</v>
      </c>
      <c r="L1455" s="15">
        <v>1498</v>
      </c>
      <c r="M1455">
        <v>1</v>
      </c>
      <c r="N1455">
        <v>11</v>
      </c>
      <c r="O1455">
        <v>413</v>
      </c>
      <c r="P1455">
        <f t="shared" si="75"/>
        <v>2024</v>
      </c>
      <c r="Q1455">
        <f t="shared" si="76"/>
        <v>5</v>
      </c>
      <c r="R1455" t="str">
        <f t="shared" si="74"/>
        <v>手猫首页</v>
      </c>
      <c r="S1455" t="s">
        <v>628</v>
      </c>
      <c r="T1455" s="546" t="s">
        <v>804</v>
      </c>
    </row>
    <row r="1456" spans="1:20" x14ac:dyDescent="0.3">
      <c r="A1456" t="s">
        <v>627</v>
      </c>
      <c r="B1456" s="16">
        <v>45443</v>
      </c>
      <c r="C1456" t="s">
        <v>3</v>
      </c>
      <c r="D1456" t="s">
        <v>123</v>
      </c>
      <c r="E1456" t="s">
        <v>169</v>
      </c>
      <c r="F1456">
        <v>108</v>
      </c>
      <c r="G1456">
        <v>39</v>
      </c>
      <c r="H1456">
        <v>3</v>
      </c>
      <c r="I1456">
        <v>1</v>
      </c>
      <c r="J1456" s="15">
        <v>1498</v>
      </c>
      <c r="K1456">
        <v>1</v>
      </c>
      <c r="L1456" s="15">
        <v>1498</v>
      </c>
      <c r="M1456">
        <v>1</v>
      </c>
      <c r="N1456">
        <v>29</v>
      </c>
      <c r="O1456">
        <v>99</v>
      </c>
      <c r="P1456">
        <f t="shared" si="75"/>
        <v>2024</v>
      </c>
      <c r="Q1456">
        <f t="shared" si="76"/>
        <v>5</v>
      </c>
      <c r="R1456" t="str">
        <f t="shared" si="74"/>
        <v>商品详情页头图推荐</v>
      </c>
      <c r="S1456" t="s">
        <v>628</v>
      </c>
      <c r="T1456" s="546" t="s">
        <v>804</v>
      </c>
    </row>
    <row r="1457" spans="1:20" x14ac:dyDescent="0.3">
      <c r="A1457" t="s">
        <v>627</v>
      </c>
      <c r="B1457" s="16">
        <v>45443</v>
      </c>
      <c r="C1457" t="s">
        <v>3</v>
      </c>
      <c r="D1457" t="s">
        <v>123</v>
      </c>
      <c r="E1457" t="s">
        <v>170</v>
      </c>
      <c r="F1457">
        <v>34</v>
      </c>
      <c r="G1457">
        <v>23</v>
      </c>
      <c r="H1457">
        <v>7</v>
      </c>
      <c r="I1457">
        <v>1</v>
      </c>
      <c r="J1457" s="15">
        <v>9295</v>
      </c>
      <c r="K1457">
        <v>2</v>
      </c>
      <c r="L1457" s="15">
        <v>9295</v>
      </c>
      <c r="M1457">
        <v>2</v>
      </c>
      <c r="N1457">
        <v>31</v>
      </c>
      <c r="O1457">
        <v>20</v>
      </c>
      <c r="P1457">
        <f t="shared" si="75"/>
        <v>2024</v>
      </c>
      <c r="Q1457">
        <f t="shared" si="76"/>
        <v>5</v>
      </c>
      <c r="R1457" t="str">
        <f t="shared" si="74"/>
        <v>店铺超链</v>
      </c>
      <c r="S1457" t="s">
        <v>628</v>
      </c>
      <c r="T1457" s="546" t="s">
        <v>804</v>
      </c>
    </row>
    <row r="1458" spans="1:20" x14ac:dyDescent="0.3">
      <c r="A1458" t="s">
        <v>627</v>
      </c>
      <c r="B1458" s="16">
        <v>45443</v>
      </c>
      <c r="C1458" t="s">
        <v>3</v>
      </c>
      <c r="D1458" t="s">
        <v>127</v>
      </c>
      <c r="E1458" t="s">
        <v>171</v>
      </c>
      <c r="F1458">
        <v>186</v>
      </c>
      <c r="G1458">
        <v>107</v>
      </c>
      <c r="H1458">
        <v>7</v>
      </c>
      <c r="I1458">
        <v>1</v>
      </c>
      <c r="J1458" s="15">
        <v>1917</v>
      </c>
      <c r="K1458">
        <v>1</v>
      </c>
      <c r="L1458">
        <v>0</v>
      </c>
      <c r="M1458">
        <v>0</v>
      </c>
      <c r="N1458">
        <v>66</v>
      </c>
      <c r="O1458">
        <v>145</v>
      </c>
      <c r="P1458">
        <f t="shared" si="75"/>
        <v>2024</v>
      </c>
      <c r="Q1458">
        <f t="shared" si="76"/>
        <v>5</v>
      </c>
      <c r="R1458" t="str">
        <f t="shared" si="74"/>
        <v>其他猜你喜欢</v>
      </c>
      <c r="S1458" t="s">
        <v>628</v>
      </c>
      <c r="T1458" s="546" t="s">
        <v>804</v>
      </c>
    </row>
    <row r="1459" spans="1:20" x14ac:dyDescent="0.3">
      <c r="A1459" t="s">
        <v>627</v>
      </c>
      <c r="B1459" s="16">
        <v>45443</v>
      </c>
      <c r="C1459" t="s">
        <v>3</v>
      </c>
      <c r="D1459" t="s">
        <v>127</v>
      </c>
      <c r="E1459" t="s">
        <v>172</v>
      </c>
      <c r="F1459">
        <v>3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3</v>
      </c>
      <c r="P1459">
        <f t="shared" si="75"/>
        <v>2024</v>
      </c>
      <c r="Q1459">
        <f t="shared" si="76"/>
        <v>5</v>
      </c>
      <c r="R1459" t="str">
        <f t="shared" si="74"/>
        <v>购中推荐</v>
      </c>
      <c r="S1459" t="s">
        <v>628</v>
      </c>
      <c r="T1459" s="546" t="s">
        <v>804</v>
      </c>
    </row>
    <row r="1460" spans="1:20" x14ac:dyDescent="0.3">
      <c r="A1460" t="s">
        <v>627</v>
      </c>
      <c r="B1460" s="16">
        <v>45443</v>
      </c>
      <c r="C1460" t="s">
        <v>3</v>
      </c>
      <c r="D1460" t="s">
        <v>127</v>
      </c>
      <c r="E1460" t="s">
        <v>173</v>
      </c>
      <c r="F1460">
        <v>7</v>
      </c>
      <c r="G1460">
        <v>2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7</v>
      </c>
      <c r="P1460">
        <f t="shared" si="75"/>
        <v>2024</v>
      </c>
      <c r="Q1460">
        <f t="shared" si="76"/>
        <v>5</v>
      </c>
      <c r="R1460" t="str">
        <f t="shared" si="74"/>
        <v>购后推荐</v>
      </c>
      <c r="S1460" t="s">
        <v>628</v>
      </c>
      <c r="T1460" s="546" t="s">
        <v>804</v>
      </c>
    </row>
    <row r="1461" spans="1:20" x14ac:dyDescent="0.3">
      <c r="A1461" t="s">
        <v>627</v>
      </c>
      <c r="B1461" s="16">
        <v>45443</v>
      </c>
      <c r="C1461" t="s">
        <v>3</v>
      </c>
      <c r="D1461" t="s">
        <v>127</v>
      </c>
      <c r="E1461" t="s">
        <v>174</v>
      </c>
      <c r="F1461" s="15">
        <v>1939</v>
      </c>
      <c r="G1461" s="15">
        <v>1038</v>
      </c>
      <c r="H1461">
        <v>42</v>
      </c>
      <c r="I1461">
        <v>19</v>
      </c>
      <c r="J1461" s="17">
        <v>39307.58</v>
      </c>
      <c r="K1461">
        <v>12</v>
      </c>
      <c r="L1461" s="17">
        <v>31122.58</v>
      </c>
      <c r="M1461">
        <v>10</v>
      </c>
      <c r="N1461">
        <v>168</v>
      </c>
      <c r="O1461" s="15">
        <v>1939</v>
      </c>
      <c r="P1461">
        <f t="shared" si="75"/>
        <v>2024</v>
      </c>
      <c r="Q1461">
        <f t="shared" si="76"/>
        <v>5</v>
      </c>
      <c r="R1461" t="str">
        <f t="shared" si="74"/>
        <v>首页推荐-微详情</v>
      </c>
      <c r="S1461" t="s">
        <v>628</v>
      </c>
      <c r="T1461" s="546" t="s">
        <v>804</v>
      </c>
    </row>
    <row r="1462" spans="1:20" x14ac:dyDescent="0.3">
      <c r="A1462" t="s">
        <v>627</v>
      </c>
      <c r="B1462" s="16">
        <v>45443</v>
      </c>
      <c r="C1462" t="s">
        <v>3</v>
      </c>
      <c r="D1462" t="s">
        <v>127</v>
      </c>
      <c r="E1462" t="s">
        <v>175</v>
      </c>
      <c r="F1462">
        <v>196</v>
      </c>
      <c r="G1462">
        <v>118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2</v>
      </c>
      <c r="O1462">
        <v>16</v>
      </c>
      <c r="P1462">
        <f t="shared" si="75"/>
        <v>2024</v>
      </c>
      <c r="Q1462">
        <f t="shared" si="76"/>
        <v>5</v>
      </c>
      <c r="R1462" t="str">
        <f t="shared" si="74"/>
        <v>首页推荐-直播</v>
      </c>
      <c r="S1462" t="s">
        <v>628</v>
      </c>
      <c r="T1462" s="546" t="s">
        <v>804</v>
      </c>
    </row>
    <row r="1463" spans="1:20" x14ac:dyDescent="0.3">
      <c r="A1463" t="s">
        <v>627</v>
      </c>
      <c r="B1463" s="16">
        <v>45443</v>
      </c>
      <c r="C1463" t="s">
        <v>3</v>
      </c>
      <c r="D1463" t="s">
        <v>127</v>
      </c>
      <c r="E1463" t="s">
        <v>176</v>
      </c>
      <c r="F1463">
        <v>98</v>
      </c>
      <c r="G1463">
        <v>52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f t="shared" si="75"/>
        <v>2024</v>
      </c>
      <c r="Q1463">
        <f t="shared" si="76"/>
        <v>5</v>
      </c>
      <c r="R1463" t="str">
        <f t="shared" si="74"/>
        <v>首页推荐-短视频</v>
      </c>
      <c r="S1463" t="s">
        <v>628</v>
      </c>
      <c r="T1463" s="546" t="s">
        <v>804</v>
      </c>
    </row>
    <row r="1464" spans="1:20" x14ac:dyDescent="0.3">
      <c r="A1464" t="s">
        <v>627</v>
      </c>
      <c r="B1464" s="16">
        <v>45443</v>
      </c>
      <c r="C1464" t="s">
        <v>3</v>
      </c>
      <c r="D1464" t="s">
        <v>128</v>
      </c>
      <c r="E1464" t="s">
        <v>177</v>
      </c>
      <c r="F1464" s="15">
        <v>1037</v>
      </c>
      <c r="G1464">
        <v>796</v>
      </c>
      <c r="H1464">
        <v>107</v>
      </c>
      <c r="I1464">
        <v>17</v>
      </c>
      <c r="J1464" s="15">
        <v>58990</v>
      </c>
      <c r="K1464">
        <v>23</v>
      </c>
      <c r="L1464" s="15">
        <v>50734</v>
      </c>
      <c r="M1464">
        <v>20</v>
      </c>
      <c r="N1464">
        <v>260</v>
      </c>
      <c r="O1464">
        <v>957</v>
      </c>
      <c r="P1464">
        <f t="shared" si="75"/>
        <v>2024</v>
      </c>
      <c r="Q1464">
        <f t="shared" si="76"/>
        <v>5</v>
      </c>
      <c r="R1464" t="str">
        <f t="shared" si="74"/>
        <v>手淘搜索-商品及其他</v>
      </c>
      <c r="S1464" t="s">
        <v>628</v>
      </c>
      <c r="T1464" s="546" t="s">
        <v>804</v>
      </c>
    </row>
    <row r="1465" spans="1:20" x14ac:dyDescent="0.3">
      <c r="A1465" t="s">
        <v>627</v>
      </c>
      <c r="B1465" s="16">
        <v>45443</v>
      </c>
      <c r="C1465" t="s">
        <v>3</v>
      </c>
      <c r="D1465" t="s">
        <v>128</v>
      </c>
      <c r="E1465" t="s">
        <v>178</v>
      </c>
      <c r="F1465">
        <v>25</v>
      </c>
      <c r="G1465">
        <v>12</v>
      </c>
      <c r="H1465">
        <v>2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3</v>
      </c>
      <c r="O1465">
        <v>19</v>
      </c>
      <c r="P1465">
        <f t="shared" si="75"/>
        <v>2024</v>
      </c>
      <c r="Q1465">
        <f t="shared" si="76"/>
        <v>5</v>
      </c>
      <c r="R1465" t="str">
        <f t="shared" si="74"/>
        <v>手淘搜索-直播</v>
      </c>
      <c r="S1465" t="s">
        <v>628</v>
      </c>
      <c r="T1465" s="546" t="s">
        <v>804</v>
      </c>
    </row>
    <row r="1466" spans="1:20" x14ac:dyDescent="0.3">
      <c r="A1466" t="s">
        <v>627</v>
      </c>
      <c r="B1466" s="16">
        <v>45443</v>
      </c>
      <c r="C1466" t="s">
        <v>3</v>
      </c>
      <c r="D1466" t="s">
        <v>128</v>
      </c>
      <c r="E1466" t="s">
        <v>179</v>
      </c>
      <c r="F1466">
        <v>27</v>
      </c>
      <c r="G1466">
        <v>12</v>
      </c>
      <c r="H1466">
        <v>0</v>
      </c>
      <c r="I1466">
        <v>0</v>
      </c>
      <c r="J1466" s="15">
        <v>2237</v>
      </c>
      <c r="K1466">
        <v>1</v>
      </c>
      <c r="L1466" s="15">
        <v>2237</v>
      </c>
      <c r="M1466">
        <v>1</v>
      </c>
      <c r="N1466">
        <v>3</v>
      </c>
      <c r="O1466">
        <v>6</v>
      </c>
      <c r="P1466">
        <f t="shared" si="75"/>
        <v>2024</v>
      </c>
      <c r="Q1466">
        <f t="shared" si="76"/>
        <v>5</v>
      </c>
      <c r="R1466" t="str">
        <f t="shared" si="74"/>
        <v>手淘搜索-短视频</v>
      </c>
      <c r="S1466" t="s">
        <v>628</v>
      </c>
      <c r="T1466" s="546" t="s">
        <v>804</v>
      </c>
    </row>
    <row r="1467" spans="1:20" x14ac:dyDescent="0.3">
      <c r="A1467" t="s">
        <v>627</v>
      </c>
      <c r="B1467" s="16">
        <v>45443</v>
      </c>
      <c r="C1467" t="s">
        <v>3</v>
      </c>
      <c r="D1467" t="s">
        <v>143</v>
      </c>
      <c r="E1467" t="s">
        <v>180</v>
      </c>
      <c r="F1467">
        <v>12</v>
      </c>
      <c r="G1467">
        <v>11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12</v>
      </c>
      <c r="P1467">
        <f t="shared" si="75"/>
        <v>2024</v>
      </c>
      <c r="Q1467">
        <f t="shared" si="76"/>
        <v>5</v>
      </c>
      <c r="R1467" t="str">
        <f t="shared" si="74"/>
        <v>淘特其他渠道</v>
      </c>
      <c r="S1467" t="s">
        <v>628</v>
      </c>
      <c r="T1467" s="546" t="s">
        <v>804</v>
      </c>
    </row>
    <row r="1468" spans="1:20" x14ac:dyDescent="0.3">
      <c r="A1468" t="s">
        <v>627</v>
      </c>
      <c r="B1468" s="16">
        <v>45443</v>
      </c>
      <c r="C1468" t="s">
        <v>2</v>
      </c>
      <c r="D1468" t="s">
        <v>55</v>
      </c>
      <c r="E1468" t="s">
        <v>66</v>
      </c>
      <c r="F1468">
        <v>1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f t="shared" si="75"/>
        <v>2024</v>
      </c>
      <c r="Q1468">
        <f t="shared" si="76"/>
        <v>5</v>
      </c>
      <c r="R1468" t="str">
        <f t="shared" si="74"/>
        <v>短直联动</v>
      </c>
      <c r="S1468" t="s">
        <v>628</v>
      </c>
      <c r="T1468" s="546" t="s">
        <v>804</v>
      </c>
    </row>
    <row r="1469" spans="1:20" x14ac:dyDescent="0.3">
      <c r="A1469" t="s">
        <v>627</v>
      </c>
      <c r="B1469" s="16">
        <v>45443</v>
      </c>
      <c r="C1469" t="s">
        <v>2</v>
      </c>
      <c r="D1469" t="s">
        <v>55</v>
      </c>
      <c r="E1469" t="s">
        <v>54</v>
      </c>
      <c r="F1469" s="15">
        <v>5612</v>
      </c>
      <c r="G1469" s="15">
        <v>4924</v>
      </c>
      <c r="H1469">
        <v>5</v>
      </c>
      <c r="I1469">
        <v>3</v>
      </c>
      <c r="J1469">
        <v>0</v>
      </c>
      <c r="K1469">
        <v>0</v>
      </c>
      <c r="L1469">
        <v>0</v>
      </c>
      <c r="M1469">
        <v>0</v>
      </c>
      <c r="N1469">
        <v>28</v>
      </c>
      <c r="O1469" s="15">
        <v>2969</v>
      </c>
      <c r="P1469">
        <f t="shared" si="75"/>
        <v>2024</v>
      </c>
      <c r="Q1469">
        <f t="shared" si="76"/>
        <v>5</v>
      </c>
      <c r="R1469" t="str">
        <f t="shared" si="74"/>
        <v>超级直播</v>
      </c>
      <c r="S1469" t="s">
        <v>628</v>
      </c>
      <c r="T1469" s="546" t="s">
        <v>804</v>
      </c>
    </row>
    <row r="1470" spans="1:20" x14ac:dyDescent="0.3">
      <c r="A1470" t="s">
        <v>627</v>
      </c>
      <c r="B1470" s="16">
        <v>45443</v>
      </c>
      <c r="C1470" t="s">
        <v>2</v>
      </c>
      <c r="D1470" t="s">
        <v>52</v>
      </c>
      <c r="E1470" t="s">
        <v>53</v>
      </c>
      <c r="F1470">
        <v>193</v>
      </c>
      <c r="G1470">
        <v>158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193</v>
      </c>
      <c r="O1470">
        <v>18</v>
      </c>
      <c r="P1470">
        <f t="shared" si="75"/>
        <v>2024</v>
      </c>
      <c r="Q1470">
        <f t="shared" si="76"/>
        <v>5</v>
      </c>
      <c r="R1470" t="str">
        <f t="shared" si="74"/>
        <v>Showmax</v>
      </c>
      <c r="S1470" t="s">
        <v>628</v>
      </c>
      <c r="T1470" s="546" t="s">
        <v>804</v>
      </c>
    </row>
    <row r="1471" spans="1:20" x14ac:dyDescent="0.3">
      <c r="A1471" t="s">
        <v>627</v>
      </c>
      <c r="B1471" s="16">
        <v>45443</v>
      </c>
      <c r="C1471" t="s">
        <v>2</v>
      </c>
      <c r="D1471" t="s">
        <v>52</v>
      </c>
      <c r="E1471" t="s">
        <v>59</v>
      </c>
      <c r="F1471" s="15">
        <v>1323</v>
      </c>
      <c r="G1471" s="15">
        <v>1059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 s="15">
        <v>1323</v>
      </c>
      <c r="O1471">
        <v>237</v>
      </c>
      <c r="P1471">
        <f t="shared" si="75"/>
        <v>2024</v>
      </c>
      <c r="Q1471">
        <f t="shared" si="76"/>
        <v>5</v>
      </c>
      <c r="R1471" t="str">
        <f t="shared" si="74"/>
        <v>品牌特秀</v>
      </c>
      <c r="S1471" t="s">
        <v>628</v>
      </c>
      <c r="T1471" s="546" t="s">
        <v>804</v>
      </c>
    </row>
    <row r="1472" spans="1:20" x14ac:dyDescent="0.3">
      <c r="A1472" t="s">
        <v>627</v>
      </c>
      <c r="B1472" s="16">
        <v>45443</v>
      </c>
      <c r="C1472" t="s">
        <v>2</v>
      </c>
      <c r="D1472" t="s">
        <v>52</v>
      </c>
      <c r="E1472" t="s">
        <v>183</v>
      </c>
      <c r="F1472">
        <v>639</v>
      </c>
      <c r="G1472">
        <v>509</v>
      </c>
      <c r="H1472">
        <v>22</v>
      </c>
      <c r="I1472">
        <v>5</v>
      </c>
      <c r="J1472" s="15">
        <v>57063</v>
      </c>
      <c r="K1472">
        <v>10</v>
      </c>
      <c r="L1472" s="15">
        <v>49163</v>
      </c>
      <c r="M1472">
        <v>10</v>
      </c>
      <c r="N1472">
        <v>639</v>
      </c>
      <c r="O1472">
        <v>329</v>
      </c>
      <c r="P1472">
        <f t="shared" si="75"/>
        <v>2024</v>
      </c>
      <c r="Q1472">
        <f t="shared" si="76"/>
        <v>5</v>
      </c>
      <c r="R1472" t="str">
        <f t="shared" si="74"/>
        <v>品销宝-品牌专区</v>
      </c>
      <c r="S1472" t="s">
        <v>628</v>
      </c>
      <c r="T1472" s="546" t="s">
        <v>804</v>
      </c>
    </row>
    <row r="1473" spans="1:20" x14ac:dyDescent="0.3">
      <c r="A1473" t="s">
        <v>627</v>
      </c>
      <c r="B1473" s="16">
        <v>45443</v>
      </c>
      <c r="C1473" t="s">
        <v>2</v>
      </c>
      <c r="D1473" t="s">
        <v>57</v>
      </c>
      <c r="E1473" t="s">
        <v>65</v>
      </c>
      <c r="F1473" s="15">
        <v>3504</v>
      </c>
      <c r="G1473" s="15">
        <v>3028</v>
      </c>
      <c r="H1473">
        <v>139</v>
      </c>
      <c r="I1473">
        <v>15</v>
      </c>
      <c r="J1473" s="17">
        <v>135582.5</v>
      </c>
      <c r="K1473">
        <v>44</v>
      </c>
      <c r="L1473" s="17">
        <v>126837.5</v>
      </c>
      <c r="M1473">
        <v>42</v>
      </c>
      <c r="N1473">
        <v>320</v>
      </c>
      <c r="O1473" s="15">
        <v>3464</v>
      </c>
      <c r="P1473">
        <f t="shared" si="75"/>
        <v>2024</v>
      </c>
      <c r="Q1473">
        <f t="shared" si="76"/>
        <v>5</v>
      </c>
      <c r="R1473" t="str">
        <f t="shared" si="74"/>
        <v>直通车</v>
      </c>
      <c r="S1473" t="s">
        <v>628</v>
      </c>
      <c r="T1473" s="546" t="s">
        <v>804</v>
      </c>
    </row>
    <row r="1474" spans="1:20" x14ac:dyDescent="0.3">
      <c r="A1474" t="s">
        <v>627</v>
      </c>
      <c r="B1474" s="16">
        <v>45443</v>
      </c>
      <c r="C1474" t="s">
        <v>2</v>
      </c>
      <c r="D1474" t="s">
        <v>57</v>
      </c>
      <c r="E1474" t="s">
        <v>63</v>
      </c>
      <c r="F1474" s="15">
        <v>3654</v>
      </c>
      <c r="G1474" s="15">
        <v>2103</v>
      </c>
      <c r="H1474">
        <v>57</v>
      </c>
      <c r="I1474">
        <v>21</v>
      </c>
      <c r="J1474" s="17">
        <v>80134.63</v>
      </c>
      <c r="K1474">
        <v>23</v>
      </c>
      <c r="L1474" s="17">
        <v>68755.63</v>
      </c>
      <c r="M1474">
        <v>21</v>
      </c>
      <c r="N1474">
        <v>210</v>
      </c>
      <c r="O1474" s="15">
        <v>3650</v>
      </c>
      <c r="P1474">
        <f t="shared" si="75"/>
        <v>2024</v>
      </c>
      <c r="Q1474">
        <f t="shared" si="76"/>
        <v>5</v>
      </c>
      <c r="R1474" t="str">
        <f t="shared" si="74"/>
        <v>万相台</v>
      </c>
      <c r="S1474" t="s">
        <v>628</v>
      </c>
      <c r="T1474" s="546" t="s">
        <v>804</v>
      </c>
    </row>
    <row r="1475" spans="1:20" x14ac:dyDescent="0.3">
      <c r="A1475" t="s">
        <v>627</v>
      </c>
      <c r="B1475" s="16">
        <v>45443</v>
      </c>
      <c r="C1475" t="s">
        <v>2</v>
      </c>
      <c r="D1475" t="s">
        <v>57</v>
      </c>
      <c r="E1475" t="s">
        <v>64</v>
      </c>
      <c r="F1475" s="15">
        <v>11299</v>
      </c>
      <c r="G1475" s="15">
        <v>5817</v>
      </c>
      <c r="H1475">
        <v>32</v>
      </c>
      <c r="I1475">
        <v>21</v>
      </c>
      <c r="J1475" s="15">
        <v>21360</v>
      </c>
      <c r="K1475">
        <v>7</v>
      </c>
      <c r="L1475" s="15">
        <v>16730</v>
      </c>
      <c r="M1475">
        <v>5</v>
      </c>
      <c r="N1475">
        <v>257</v>
      </c>
      <c r="O1475" s="15">
        <v>11295</v>
      </c>
      <c r="P1475">
        <f t="shared" si="75"/>
        <v>2024</v>
      </c>
      <c r="Q1475">
        <f t="shared" si="76"/>
        <v>5</v>
      </c>
      <c r="R1475" t="str">
        <f t="shared" si="74"/>
        <v>引力魔方</v>
      </c>
      <c r="S1475" t="s">
        <v>628</v>
      </c>
      <c r="T1475" s="546" t="s">
        <v>804</v>
      </c>
    </row>
    <row r="1476" spans="1:20" x14ac:dyDescent="0.3">
      <c r="A1476" t="s">
        <v>627</v>
      </c>
      <c r="B1476" s="16">
        <v>45443</v>
      </c>
      <c r="C1476" t="s">
        <v>2</v>
      </c>
      <c r="D1476" t="s">
        <v>4</v>
      </c>
      <c r="E1476" t="s">
        <v>41</v>
      </c>
      <c r="F1476">
        <v>3</v>
      </c>
      <c r="G1476">
        <v>2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2</v>
      </c>
      <c r="P1476">
        <f t="shared" si="75"/>
        <v>2024</v>
      </c>
      <c r="Q1476">
        <f t="shared" si="76"/>
        <v>5</v>
      </c>
      <c r="R1476" t="str">
        <f t="shared" si="74"/>
        <v>流量宝</v>
      </c>
      <c r="S1476" t="s">
        <v>628</v>
      </c>
      <c r="T1476" s="546" t="s">
        <v>804</v>
      </c>
    </row>
    <row r="1477" spans="1:20" x14ac:dyDescent="0.3">
      <c r="A1477" t="s">
        <v>627</v>
      </c>
      <c r="B1477" s="16">
        <v>45443</v>
      </c>
      <c r="C1477" t="s">
        <v>2</v>
      </c>
      <c r="D1477" t="s">
        <v>4</v>
      </c>
      <c r="E1477" t="s">
        <v>43</v>
      </c>
      <c r="F1477">
        <v>364</v>
      </c>
      <c r="G1477">
        <v>132</v>
      </c>
      <c r="H1477">
        <v>1</v>
      </c>
      <c r="I1477">
        <v>0</v>
      </c>
      <c r="J1477" s="15">
        <v>4863</v>
      </c>
      <c r="K1477">
        <v>3</v>
      </c>
      <c r="L1477" s="15">
        <v>4863</v>
      </c>
      <c r="M1477">
        <v>3</v>
      </c>
      <c r="N1477">
        <v>13</v>
      </c>
      <c r="O1477">
        <v>340</v>
      </c>
      <c r="P1477">
        <f t="shared" si="75"/>
        <v>2024</v>
      </c>
      <c r="Q1477">
        <f t="shared" si="76"/>
        <v>5</v>
      </c>
      <c r="R1477" t="str">
        <f t="shared" si="74"/>
        <v>淘宝客</v>
      </c>
      <c r="S1477" t="s">
        <v>628</v>
      </c>
      <c r="T1477" s="546" t="s">
        <v>804</v>
      </c>
    </row>
    <row r="1478" spans="1:20" x14ac:dyDescent="0.3">
      <c r="A1478" t="s">
        <v>627</v>
      </c>
      <c r="B1478" s="16">
        <v>45444</v>
      </c>
      <c r="C1478" t="s">
        <v>3</v>
      </c>
      <c r="D1478" t="s">
        <v>114</v>
      </c>
      <c r="E1478" t="s">
        <v>159</v>
      </c>
      <c r="F1478">
        <v>130</v>
      </c>
      <c r="G1478">
        <v>46</v>
      </c>
      <c r="H1478">
        <v>3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19</v>
      </c>
      <c r="O1478">
        <v>119</v>
      </c>
      <c r="P1478">
        <f t="shared" si="75"/>
        <v>2024</v>
      </c>
      <c r="Q1478">
        <f t="shared" si="76"/>
        <v>6</v>
      </c>
      <c r="R1478" t="str">
        <f t="shared" si="74"/>
        <v>主会场</v>
      </c>
      <c r="S1478" t="s">
        <v>628</v>
      </c>
      <c r="T1478" s="546" t="s">
        <v>804</v>
      </c>
    </row>
    <row r="1479" spans="1:20" x14ac:dyDescent="0.3">
      <c r="A1479" t="s">
        <v>627</v>
      </c>
      <c r="B1479" s="16">
        <v>45444</v>
      </c>
      <c r="C1479" t="s">
        <v>3</v>
      </c>
      <c r="D1479" t="s">
        <v>120</v>
      </c>
      <c r="E1479" t="s">
        <v>162</v>
      </c>
      <c r="F1479">
        <v>2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1</v>
      </c>
      <c r="P1479">
        <f t="shared" si="75"/>
        <v>2024</v>
      </c>
      <c r="Q1479">
        <f t="shared" si="76"/>
        <v>6</v>
      </c>
      <c r="R1479" t="str">
        <f t="shared" ref="R1479:R1542" si="77">E1479</f>
        <v>手机浏览器访问天猫</v>
      </c>
      <c r="S1479" t="s">
        <v>628</v>
      </c>
      <c r="T1479" s="546" t="s">
        <v>804</v>
      </c>
    </row>
    <row r="1480" spans="1:20" x14ac:dyDescent="0.3">
      <c r="A1480" t="s">
        <v>627</v>
      </c>
      <c r="B1480" s="16">
        <v>45444</v>
      </c>
      <c r="C1480" t="s">
        <v>3</v>
      </c>
      <c r="D1480" t="s">
        <v>120</v>
      </c>
      <c r="E1480" t="s">
        <v>163</v>
      </c>
      <c r="F1480">
        <v>102</v>
      </c>
      <c r="G1480">
        <v>54</v>
      </c>
      <c r="H1480">
        <v>4</v>
      </c>
      <c r="I1480">
        <v>1</v>
      </c>
      <c r="J1480" s="17">
        <v>35054.5</v>
      </c>
      <c r="K1480">
        <v>7</v>
      </c>
      <c r="L1480" s="17">
        <v>31059.5</v>
      </c>
      <c r="M1480">
        <v>6</v>
      </c>
      <c r="N1480">
        <v>34</v>
      </c>
      <c r="O1480">
        <v>100</v>
      </c>
      <c r="P1480">
        <f t="shared" si="75"/>
        <v>2024</v>
      </c>
      <c r="Q1480">
        <f t="shared" si="76"/>
        <v>6</v>
      </c>
      <c r="R1480" t="str">
        <f t="shared" si="77"/>
        <v>手猫免费其他</v>
      </c>
      <c r="S1480" t="s">
        <v>628</v>
      </c>
      <c r="T1480" s="546" t="s">
        <v>804</v>
      </c>
    </row>
    <row r="1481" spans="1:20" x14ac:dyDescent="0.3">
      <c r="A1481" t="s">
        <v>627</v>
      </c>
      <c r="B1481" s="16">
        <v>45444</v>
      </c>
      <c r="C1481" t="s">
        <v>3</v>
      </c>
      <c r="D1481" t="s">
        <v>120</v>
      </c>
      <c r="E1481" t="s">
        <v>164</v>
      </c>
      <c r="F1481">
        <v>5</v>
      </c>
      <c r="G1481">
        <v>3</v>
      </c>
      <c r="H1481">
        <v>0</v>
      </c>
      <c r="I1481">
        <v>0</v>
      </c>
      <c r="J1481" s="15">
        <v>1797</v>
      </c>
      <c r="K1481">
        <v>1</v>
      </c>
      <c r="L1481" s="15">
        <v>1797</v>
      </c>
      <c r="M1481">
        <v>1</v>
      </c>
      <c r="N1481">
        <v>0</v>
      </c>
      <c r="O1481">
        <v>5</v>
      </c>
      <c r="P1481">
        <f t="shared" si="75"/>
        <v>2024</v>
      </c>
      <c r="Q1481">
        <f t="shared" si="76"/>
        <v>6</v>
      </c>
      <c r="R1481" t="str">
        <f t="shared" si="77"/>
        <v>手猫其他店铺</v>
      </c>
      <c r="S1481" t="s">
        <v>628</v>
      </c>
      <c r="T1481" s="546" t="s">
        <v>804</v>
      </c>
    </row>
    <row r="1482" spans="1:20" x14ac:dyDescent="0.3">
      <c r="A1482" t="s">
        <v>627</v>
      </c>
      <c r="B1482" s="16">
        <v>45444</v>
      </c>
      <c r="C1482" t="s">
        <v>3</v>
      </c>
      <c r="D1482" t="s">
        <v>120</v>
      </c>
      <c r="E1482" t="s">
        <v>165</v>
      </c>
      <c r="F1482">
        <v>30</v>
      </c>
      <c r="G1482">
        <v>6</v>
      </c>
      <c r="H1482">
        <v>1</v>
      </c>
      <c r="I1482">
        <v>0</v>
      </c>
      <c r="J1482" s="15">
        <v>5475</v>
      </c>
      <c r="K1482">
        <v>2</v>
      </c>
      <c r="L1482" s="15">
        <v>5475</v>
      </c>
      <c r="M1482">
        <v>2</v>
      </c>
      <c r="N1482">
        <v>3</v>
      </c>
      <c r="O1482">
        <v>26</v>
      </c>
      <c r="P1482">
        <f t="shared" si="75"/>
        <v>2024</v>
      </c>
      <c r="Q1482">
        <f t="shared" si="76"/>
        <v>6</v>
      </c>
      <c r="R1482" t="str">
        <f t="shared" si="77"/>
        <v>手猫商品详情</v>
      </c>
      <c r="S1482" t="s">
        <v>628</v>
      </c>
      <c r="T1482" s="546" t="s">
        <v>804</v>
      </c>
    </row>
    <row r="1483" spans="1:20" x14ac:dyDescent="0.3">
      <c r="A1483" t="s">
        <v>627</v>
      </c>
      <c r="B1483" s="16">
        <v>45444</v>
      </c>
      <c r="C1483" t="s">
        <v>3</v>
      </c>
      <c r="D1483" t="s">
        <v>120</v>
      </c>
      <c r="E1483" t="s">
        <v>166</v>
      </c>
      <c r="F1483">
        <v>86</v>
      </c>
      <c r="G1483">
        <v>51</v>
      </c>
      <c r="H1483">
        <v>0</v>
      </c>
      <c r="I1483">
        <v>0</v>
      </c>
      <c r="J1483" s="15">
        <v>1498</v>
      </c>
      <c r="K1483">
        <v>1</v>
      </c>
      <c r="L1483" s="15">
        <v>1498</v>
      </c>
      <c r="M1483">
        <v>1</v>
      </c>
      <c r="N1483">
        <v>28</v>
      </c>
      <c r="O1483">
        <v>81</v>
      </c>
      <c r="P1483">
        <f t="shared" si="75"/>
        <v>2024</v>
      </c>
      <c r="Q1483">
        <f t="shared" si="76"/>
        <v>6</v>
      </c>
      <c r="R1483" t="str">
        <f t="shared" si="77"/>
        <v>手猫搜索</v>
      </c>
      <c r="S1483" t="s">
        <v>628</v>
      </c>
      <c r="T1483" s="546" t="s">
        <v>804</v>
      </c>
    </row>
    <row r="1484" spans="1:20" x14ac:dyDescent="0.3">
      <c r="A1484" t="s">
        <v>627</v>
      </c>
      <c r="B1484" s="16">
        <v>45444</v>
      </c>
      <c r="C1484" t="s">
        <v>3</v>
      </c>
      <c r="D1484" t="s">
        <v>120</v>
      </c>
      <c r="E1484" t="s">
        <v>167</v>
      </c>
      <c r="F1484">
        <v>1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f t="shared" si="75"/>
        <v>2024</v>
      </c>
      <c r="Q1484">
        <f t="shared" si="76"/>
        <v>6</v>
      </c>
      <c r="R1484" t="str">
        <f t="shared" si="77"/>
        <v>手猫旺信聊天</v>
      </c>
      <c r="S1484" t="s">
        <v>628</v>
      </c>
      <c r="T1484" s="546" t="s">
        <v>804</v>
      </c>
    </row>
    <row r="1485" spans="1:20" x14ac:dyDescent="0.3">
      <c r="A1485" t="s">
        <v>627</v>
      </c>
      <c r="B1485" s="16">
        <v>45444</v>
      </c>
      <c r="C1485" t="s">
        <v>3</v>
      </c>
      <c r="D1485" t="s">
        <v>120</v>
      </c>
      <c r="E1485" t="s">
        <v>168</v>
      </c>
      <c r="F1485">
        <v>486</v>
      </c>
      <c r="G1485">
        <v>297</v>
      </c>
      <c r="H1485">
        <v>2</v>
      </c>
      <c r="I1485">
        <v>1</v>
      </c>
      <c r="J1485" s="17">
        <v>22542.9</v>
      </c>
      <c r="K1485">
        <v>5</v>
      </c>
      <c r="L1485" s="17">
        <v>18547.900000000001</v>
      </c>
      <c r="M1485">
        <v>5</v>
      </c>
      <c r="N1485">
        <v>19</v>
      </c>
      <c r="O1485">
        <v>486</v>
      </c>
      <c r="P1485">
        <f t="shared" si="75"/>
        <v>2024</v>
      </c>
      <c r="Q1485">
        <f t="shared" si="76"/>
        <v>6</v>
      </c>
      <c r="R1485" t="str">
        <f t="shared" si="77"/>
        <v>手猫首页</v>
      </c>
      <c r="S1485" t="s">
        <v>628</v>
      </c>
      <c r="T1485" s="546" t="s">
        <v>804</v>
      </c>
    </row>
    <row r="1486" spans="1:20" x14ac:dyDescent="0.3">
      <c r="A1486" t="s">
        <v>627</v>
      </c>
      <c r="B1486" s="16">
        <v>45444</v>
      </c>
      <c r="C1486" t="s">
        <v>3</v>
      </c>
      <c r="D1486" t="s">
        <v>123</v>
      </c>
      <c r="E1486" t="s">
        <v>169</v>
      </c>
      <c r="F1486">
        <v>105</v>
      </c>
      <c r="G1486">
        <v>34</v>
      </c>
      <c r="H1486">
        <v>8</v>
      </c>
      <c r="I1486">
        <v>2</v>
      </c>
      <c r="J1486" s="17">
        <v>9012.93</v>
      </c>
      <c r="K1486">
        <v>2</v>
      </c>
      <c r="L1486" s="17">
        <v>5662.93</v>
      </c>
      <c r="M1486">
        <v>2</v>
      </c>
      <c r="N1486">
        <v>38</v>
      </c>
      <c r="O1486">
        <v>96</v>
      </c>
      <c r="P1486">
        <f t="shared" si="75"/>
        <v>2024</v>
      </c>
      <c r="Q1486">
        <f t="shared" si="76"/>
        <v>6</v>
      </c>
      <c r="R1486" t="str">
        <f t="shared" si="77"/>
        <v>商品详情页头图推荐</v>
      </c>
      <c r="S1486" t="s">
        <v>628</v>
      </c>
      <c r="T1486" s="546" t="s">
        <v>804</v>
      </c>
    </row>
    <row r="1487" spans="1:20" x14ac:dyDescent="0.3">
      <c r="A1487" t="s">
        <v>627</v>
      </c>
      <c r="B1487" s="16">
        <v>45444</v>
      </c>
      <c r="C1487" t="s">
        <v>3</v>
      </c>
      <c r="D1487" t="s">
        <v>123</v>
      </c>
      <c r="E1487" t="s">
        <v>170</v>
      </c>
      <c r="F1487">
        <v>33</v>
      </c>
      <c r="G1487">
        <v>22</v>
      </c>
      <c r="H1487">
        <v>3</v>
      </c>
      <c r="I1487">
        <v>0</v>
      </c>
      <c r="J1487" s="15">
        <v>1303</v>
      </c>
      <c r="K1487">
        <v>1</v>
      </c>
      <c r="L1487">
        <v>0</v>
      </c>
      <c r="M1487">
        <v>0</v>
      </c>
      <c r="N1487">
        <v>29</v>
      </c>
      <c r="O1487">
        <v>11</v>
      </c>
      <c r="P1487">
        <f t="shared" si="75"/>
        <v>2024</v>
      </c>
      <c r="Q1487">
        <f t="shared" si="76"/>
        <v>6</v>
      </c>
      <c r="R1487" t="str">
        <f t="shared" si="77"/>
        <v>店铺超链</v>
      </c>
      <c r="S1487" t="s">
        <v>628</v>
      </c>
      <c r="T1487" s="546" t="s">
        <v>804</v>
      </c>
    </row>
    <row r="1488" spans="1:20" x14ac:dyDescent="0.3">
      <c r="A1488" t="s">
        <v>627</v>
      </c>
      <c r="B1488" s="16">
        <v>45444</v>
      </c>
      <c r="C1488" t="s">
        <v>3</v>
      </c>
      <c r="D1488" t="s">
        <v>127</v>
      </c>
      <c r="E1488" t="s">
        <v>171</v>
      </c>
      <c r="F1488">
        <v>164</v>
      </c>
      <c r="G1488">
        <v>91</v>
      </c>
      <c r="H1488">
        <v>3</v>
      </c>
      <c r="I1488">
        <v>0</v>
      </c>
      <c r="J1488" s="15">
        <v>34803</v>
      </c>
      <c r="K1488">
        <v>2</v>
      </c>
      <c r="L1488" s="15">
        <v>34803</v>
      </c>
      <c r="M1488">
        <v>2</v>
      </c>
      <c r="N1488">
        <v>50</v>
      </c>
      <c r="O1488">
        <v>134</v>
      </c>
      <c r="P1488">
        <f t="shared" si="75"/>
        <v>2024</v>
      </c>
      <c r="Q1488">
        <f t="shared" si="76"/>
        <v>6</v>
      </c>
      <c r="R1488" t="str">
        <f t="shared" si="77"/>
        <v>其他猜你喜欢</v>
      </c>
      <c r="S1488" t="s">
        <v>628</v>
      </c>
      <c r="T1488" s="546" t="s">
        <v>804</v>
      </c>
    </row>
    <row r="1489" spans="1:20" x14ac:dyDescent="0.3">
      <c r="A1489" t="s">
        <v>627</v>
      </c>
      <c r="B1489" s="16">
        <v>45444</v>
      </c>
      <c r="C1489" t="s">
        <v>3</v>
      </c>
      <c r="D1489" t="s">
        <v>127</v>
      </c>
      <c r="E1489" t="s">
        <v>172</v>
      </c>
      <c r="F1489">
        <v>4</v>
      </c>
      <c r="G1489">
        <v>2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4</v>
      </c>
      <c r="P1489">
        <f t="shared" si="75"/>
        <v>2024</v>
      </c>
      <c r="Q1489">
        <f t="shared" si="76"/>
        <v>6</v>
      </c>
      <c r="R1489" t="str">
        <f t="shared" si="77"/>
        <v>购中推荐</v>
      </c>
      <c r="S1489" t="s">
        <v>628</v>
      </c>
      <c r="T1489" s="546" t="s">
        <v>804</v>
      </c>
    </row>
    <row r="1490" spans="1:20" x14ac:dyDescent="0.3">
      <c r="A1490" t="s">
        <v>627</v>
      </c>
      <c r="B1490" s="16">
        <v>45444</v>
      </c>
      <c r="C1490" t="s">
        <v>3</v>
      </c>
      <c r="D1490" t="s">
        <v>127</v>
      </c>
      <c r="E1490" t="s">
        <v>173</v>
      </c>
      <c r="F1490">
        <v>22</v>
      </c>
      <c r="G1490">
        <v>7</v>
      </c>
      <c r="H1490">
        <v>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4</v>
      </c>
      <c r="O1490">
        <v>22</v>
      </c>
      <c r="P1490">
        <f t="shared" si="75"/>
        <v>2024</v>
      </c>
      <c r="Q1490">
        <f t="shared" si="76"/>
        <v>6</v>
      </c>
      <c r="R1490" t="str">
        <f t="shared" si="77"/>
        <v>购后推荐</v>
      </c>
      <c r="S1490" t="s">
        <v>628</v>
      </c>
      <c r="T1490" s="546" t="s">
        <v>804</v>
      </c>
    </row>
    <row r="1491" spans="1:20" x14ac:dyDescent="0.3">
      <c r="A1491" t="s">
        <v>627</v>
      </c>
      <c r="B1491" s="16">
        <v>45444</v>
      </c>
      <c r="C1491" t="s">
        <v>3</v>
      </c>
      <c r="D1491" t="s">
        <v>127</v>
      </c>
      <c r="E1491" t="s">
        <v>174</v>
      </c>
      <c r="F1491" s="15">
        <v>2022</v>
      </c>
      <c r="G1491" s="15">
        <v>1043</v>
      </c>
      <c r="H1491">
        <v>44</v>
      </c>
      <c r="I1491">
        <v>13</v>
      </c>
      <c r="J1491" s="15">
        <v>42538</v>
      </c>
      <c r="K1491">
        <v>13</v>
      </c>
      <c r="L1491" s="15">
        <v>34429</v>
      </c>
      <c r="M1491">
        <v>12</v>
      </c>
      <c r="N1491">
        <v>164</v>
      </c>
      <c r="O1491" s="15">
        <v>2022</v>
      </c>
      <c r="P1491">
        <f t="shared" si="75"/>
        <v>2024</v>
      </c>
      <c r="Q1491">
        <f t="shared" si="76"/>
        <v>6</v>
      </c>
      <c r="R1491" t="str">
        <f t="shared" si="77"/>
        <v>首页推荐-微详情</v>
      </c>
      <c r="S1491" t="s">
        <v>628</v>
      </c>
      <c r="T1491" s="546" t="s">
        <v>804</v>
      </c>
    </row>
    <row r="1492" spans="1:20" x14ac:dyDescent="0.3">
      <c r="A1492" t="s">
        <v>627</v>
      </c>
      <c r="B1492" s="16">
        <v>45444</v>
      </c>
      <c r="C1492" t="s">
        <v>3</v>
      </c>
      <c r="D1492" t="s">
        <v>127</v>
      </c>
      <c r="E1492" t="s">
        <v>175</v>
      </c>
      <c r="F1492">
        <v>9</v>
      </c>
      <c r="G1492">
        <v>3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</v>
      </c>
      <c r="P1492">
        <f t="shared" si="75"/>
        <v>2024</v>
      </c>
      <c r="Q1492">
        <f t="shared" si="76"/>
        <v>6</v>
      </c>
      <c r="R1492" t="str">
        <f t="shared" si="77"/>
        <v>首页推荐-直播</v>
      </c>
      <c r="S1492" t="s">
        <v>628</v>
      </c>
      <c r="T1492" s="546" t="s">
        <v>804</v>
      </c>
    </row>
    <row r="1493" spans="1:20" x14ac:dyDescent="0.3">
      <c r="A1493" t="s">
        <v>627</v>
      </c>
      <c r="B1493" s="16">
        <v>45444</v>
      </c>
      <c r="C1493" t="s">
        <v>3</v>
      </c>
      <c r="D1493" t="s">
        <v>127</v>
      </c>
      <c r="E1493" t="s">
        <v>176</v>
      </c>
      <c r="F1493">
        <v>94</v>
      </c>
      <c r="G1493">
        <v>47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f t="shared" ref="P1493:P1556" si="78">YEAR(B1493)</f>
        <v>2024</v>
      </c>
      <c r="Q1493">
        <f t="shared" ref="Q1493:Q1556" si="79">MONTH(B1493)</f>
        <v>6</v>
      </c>
      <c r="R1493" t="str">
        <f t="shared" si="77"/>
        <v>首页推荐-短视频</v>
      </c>
      <c r="S1493" t="s">
        <v>628</v>
      </c>
      <c r="T1493" s="546" t="s">
        <v>804</v>
      </c>
    </row>
    <row r="1494" spans="1:20" x14ac:dyDescent="0.3">
      <c r="A1494" t="s">
        <v>627</v>
      </c>
      <c r="B1494" s="16">
        <v>45444</v>
      </c>
      <c r="C1494" t="s">
        <v>3</v>
      </c>
      <c r="D1494" t="s">
        <v>128</v>
      </c>
      <c r="E1494" t="s">
        <v>177</v>
      </c>
      <c r="F1494">
        <v>922</v>
      </c>
      <c r="G1494">
        <v>723</v>
      </c>
      <c r="H1494">
        <v>77</v>
      </c>
      <c r="I1494">
        <v>16</v>
      </c>
      <c r="J1494" s="15">
        <v>41607</v>
      </c>
      <c r="K1494">
        <v>17</v>
      </c>
      <c r="L1494" s="15">
        <v>33272</v>
      </c>
      <c r="M1494">
        <v>16</v>
      </c>
      <c r="N1494">
        <v>258</v>
      </c>
      <c r="O1494">
        <v>831</v>
      </c>
      <c r="P1494">
        <f t="shared" si="78"/>
        <v>2024</v>
      </c>
      <c r="Q1494">
        <f t="shared" si="79"/>
        <v>6</v>
      </c>
      <c r="R1494" t="str">
        <f t="shared" si="77"/>
        <v>手淘搜索-商品及其他</v>
      </c>
      <c r="S1494" t="s">
        <v>628</v>
      </c>
      <c r="T1494" s="546" t="s">
        <v>804</v>
      </c>
    </row>
    <row r="1495" spans="1:20" x14ac:dyDescent="0.3">
      <c r="A1495" t="s">
        <v>627</v>
      </c>
      <c r="B1495" s="16">
        <v>45444</v>
      </c>
      <c r="C1495" t="s">
        <v>3</v>
      </c>
      <c r="D1495" t="s">
        <v>128</v>
      </c>
      <c r="E1495" t="s">
        <v>179</v>
      </c>
      <c r="F1495">
        <v>23</v>
      </c>
      <c r="G1495">
        <v>14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3</v>
      </c>
      <c r="P1495">
        <f t="shared" si="78"/>
        <v>2024</v>
      </c>
      <c r="Q1495">
        <f t="shared" si="79"/>
        <v>6</v>
      </c>
      <c r="R1495" t="str">
        <f t="shared" si="77"/>
        <v>手淘搜索-短视频</v>
      </c>
      <c r="S1495" t="s">
        <v>628</v>
      </c>
      <c r="T1495" s="546" t="s">
        <v>804</v>
      </c>
    </row>
    <row r="1496" spans="1:20" x14ac:dyDescent="0.3">
      <c r="A1496" t="s">
        <v>627</v>
      </c>
      <c r="B1496" s="16">
        <v>45444</v>
      </c>
      <c r="C1496" t="s">
        <v>3</v>
      </c>
      <c r="D1496" t="s">
        <v>143</v>
      </c>
      <c r="E1496" t="s">
        <v>180</v>
      </c>
      <c r="F1496">
        <v>15</v>
      </c>
      <c r="G1496">
        <v>15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1</v>
      </c>
      <c r="O1496">
        <v>15</v>
      </c>
      <c r="P1496">
        <f t="shared" si="78"/>
        <v>2024</v>
      </c>
      <c r="Q1496">
        <f t="shared" si="79"/>
        <v>6</v>
      </c>
      <c r="R1496" t="str">
        <f t="shared" si="77"/>
        <v>淘特其他渠道</v>
      </c>
      <c r="S1496" t="s">
        <v>628</v>
      </c>
      <c r="T1496" s="546" t="s">
        <v>804</v>
      </c>
    </row>
    <row r="1497" spans="1:20" x14ac:dyDescent="0.3">
      <c r="A1497" t="s">
        <v>627</v>
      </c>
      <c r="B1497" s="16">
        <v>45444</v>
      </c>
      <c r="C1497" t="s">
        <v>2</v>
      </c>
      <c r="D1497" t="s">
        <v>55</v>
      </c>
      <c r="E1497" t="s">
        <v>54</v>
      </c>
      <c r="F1497">
        <v>57</v>
      </c>
      <c r="G1497">
        <v>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50</v>
      </c>
      <c r="P1497">
        <f t="shared" si="78"/>
        <v>2024</v>
      </c>
      <c r="Q1497">
        <f t="shared" si="79"/>
        <v>6</v>
      </c>
      <c r="R1497" t="str">
        <f t="shared" si="77"/>
        <v>超级直播</v>
      </c>
      <c r="S1497" t="s">
        <v>628</v>
      </c>
      <c r="T1497" s="546" t="s">
        <v>804</v>
      </c>
    </row>
    <row r="1498" spans="1:20" x14ac:dyDescent="0.3">
      <c r="A1498" t="s">
        <v>627</v>
      </c>
      <c r="B1498" s="16">
        <v>45444</v>
      </c>
      <c r="C1498" t="s">
        <v>2</v>
      </c>
      <c r="D1498" t="s">
        <v>55</v>
      </c>
      <c r="E1498" t="s">
        <v>56</v>
      </c>
      <c r="F1498">
        <v>1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</v>
      </c>
      <c r="P1498">
        <f t="shared" si="78"/>
        <v>2024</v>
      </c>
      <c r="Q1498">
        <f t="shared" si="79"/>
        <v>6</v>
      </c>
      <c r="R1498" t="str">
        <f t="shared" si="77"/>
        <v>超级短视频</v>
      </c>
      <c r="S1498" t="s">
        <v>628</v>
      </c>
      <c r="T1498" s="546" t="s">
        <v>804</v>
      </c>
    </row>
    <row r="1499" spans="1:20" x14ac:dyDescent="0.3">
      <c r="A1499" t="s">
        <v>627</v>
      </c>
      <c r="B1499" s="16">
        <v>45444</v>
      </c>
      <c r="C1499" t="s">
        <v>2</v>
      </c>
      <c r="D1499" t="s">
        <v>52</v>
      </c>
      <c r="E1499" t="s">
        <v>53</v>
      </c>
      <c r="F1499">
        <v>253</v>
      </c>
      <c r="G1499">
        <v>194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253</v>
      </c>
      <c r="O1499">
        <v>33</v>
      </c>
      <c r="P1499">
        <f t="shared" si="78"/>
        <v>2024</v>
      </c>
      <c r="Q1499">
        <f t="shared" si="79"/>
        <v>6</v>
      </c>
      <c r="R1499" t="str">
        <f t="shared" si="77"/>
        <v>Showmax</v>
      </c>
      <c r="S1499" t="s">
        <v>628</v>
      </c>
      <c r="T1499" s="546" t="s">
        <v>804</v>
      </c>
    </row>
    <row r="1500" spans="1:20" x14ac:dyDescent="0.3">
      <c r="A1500" t="s">
        <v>627</v>
      </c>
      <c r="B1500" s="16">
        <v>45444</v>
      </c>
      <c r="C1500" t="s">
        <v>2</v>
      </c>
      <c r="D1500" t="s">
        <v>52</v>
      </c>
      <c r="E1500" t="s">
        <v>59</v>
      </c>
      <c r="F1500" s="15">
        <v>1219</v>
      </c>
      <c r="G1500">
        <v>976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 s="15">
        <v>1219</v>
      </c>
      <c r="O1500">
        <v>184</v>
      </c>
      <c r="P1500">
        <f t="shared" si="78"/>
        <v>2024</v>
      </c>
      <c r="Q1500">
        <f t="shared" si="79"/>
        <v>6</v>
      </c>
      <c r="R1500" t="str">
        <f t="shared" si="77"/>
        <v>品牌特秀</v>
      </c>
      <c r="S1500" t="s">
        <v>628</v>
      </c>
      <c r="T1500" s="546" t="s">
        <v>804</v>
      </c>
    </row>
    <row r="1501" spans="1:20" x14ac:dyDescent="0.3">
      <c r="A1501" t="s">
        <v>627</v>
      </c>
      <c r="B1501" s="16">
        <v>45444</v>
      </c>
      <c r="C1501" t="s">
        <v>2</v>
      </c>
      <c r="D1501" t="s">
        <v>52</v>
      </c>
      <c r="E1501" t="s">
        <v>183</v>
      </c>
      <c r="F1501">
        <v>634</v>
      </c>
      <c r="G1501">
        <v>508</v>
      </c>
      <c r="H1501">
        <v>28</v>
      </c>
      <c r="I1501">
        <v>4</v>
      </c>
      <c r="J1501" s="15">
        <v>29407</v>
      </c>
      <c r="K1501">
        <v>9</v>
      </c>
      <c r="L1501" s="15">
        <v>28104</v>
      </c>
      <c r="M1501">
        <v>8</v>
      </c>
      <c r="N1501">
        <v>634</v>
      </c>
      <c r="O1501">
        <v>351</v>
      </c>
      <c r="P1501">
        <f t="shared" si="78"/>
        <v>2024</v>
      </c>
      <c r="Q1501">
        <f t="shared" si="79"/>
        <v>6</v>
      </c>
      <c r="R1501" t="str">
        <f t="shared" si="77"/>
        <v>品销宝-品牌专区</v>
      </c>
      <c r="S1501" t="s">
        <v>628</v>
      </c>
      <c r="T1501" s="546" t="s">
        <v>804</v>
      </c>
    </row>
    <row r="1502" spans="1:20" x14ac:dyDescent="0.3">
      <c r="A1502" t="s">
        <v>627</v>
      </c>
      <c r="B1502" s="16">
        <v>45444</v>
      </c>
      <c r="C1502" t="s">
        <v>2</v>
      </c>
      <c r="D1502" t="s">
        <v>57</v>
      </c>
      <c r="E1502" t="s">
        <v>65</v>
      </c>
      <c r="F1502" s="15">
        <v>4668</v>
      </c>
      <c r="G1502" s="15">
        <v>4138</v>
      </c>
      <c r="H1502">
        <v>86</v>
      </c>
      <c r="I1502">
        <v>22</v>
      </c>
      <c r="J1502" s="17">
        <v>115127.99</v>
      </c>
      <c r="K1502">
        <v>29</v>
      </c>
      <c r="L1502" s="17">
        <v>90042.99</v>
      </c>
      <c r="M1502">
        <v>24</v>
      </c>
      <c r="N1502">
        <v>338</v>
      </c>
      <c r="O1502" s="15">
        <v>4630</v>
      </c>
      <c r="P1502">
        <f t="shared" si="78"/>
        <v>2024</v>
      </c>
      <c r="Q1502">
        <f t="shared" si="79"/>
        <v>6</v>
      </c>
      <c r="R1502" t="str">
        <f t="shared" si="77"/>
        <v>直通车</v>
      </c>
      <c r="S1502" t="s">
        <v>628</v>
      </c>
      <c r="T1502" s="546" t="s">
        <v>804</v>
      </c>
    </row>
    <row r="1503" spans="1:20" x14ac:dyDescent="0.3">
      <c r="A1503" t="s">
        <v>627</v>
      </c>
      <c r="B1503" s="16">
        <v>45444</v>
      </c>
      <c r="C1503" t="s">
        <v>2</v>
      </c>
      <c r="D1503" t="s">
        <v>57</v>
      </c>
      <c r="E1503" t="s">
        <v>63</v>
      </c>
      <c r="F1503" s="15">
        <v>4417</v>
      </c>
      <c r="G1503" s="15">
        <v>2520</v>
      </c>
      <c r="H1503">
        <v>76</v>
      </c>
      <c r="I1503">
        <v>34</v>
      </c>
      <c r="J1503" s="17">
        <v>65305.93</v>
      </c>
      <c r="K1503">
        <v>20</v>
      </c>
      <c r="L1503" s="17">
        <v>48355.93</v>
      </c>
      <c r="M1503">
        <v>19</v>
      </c>
      <c r="N1503">
        <v>282</v>
      </c>
      <c r="O1503" s="15">
        <v>4414</v>
      </c>
      <c r="P1503">
        <f t="shared" si="78"/>
        <v>2024</v>
      </c>
      <c r="Q1503">
        <f t="shared" si="79"/>
        <v>6</v>
      </c>
      <c r="R1503" t="str">
        <f t="shared" si="77"/>
        <v>万相台</v>
      </c>
      <c r="S1503" t="s">
        <v>628</v>
      </c>
      <c r="T1503" s="546" t="s">
        <v>804</v>
      </c>
    </row>
    <row r="1504" spans="1:20" x14ac:dyDescent="0.3">
      <c r="A1504" t="s">
        <v>627</v>
      </c>
      <c r="B1504" s="16">
        <v>45444</v>
      </c>
      <c r="C1504" t="s">
        <v>2</v>
      </c>
      <c r="D1504" t="s">
        <v>57</v>
      </c>
      <c r="E1504" t="s">
        <v>64</v>
      </c>
      <c r="F1504" s="15">
        <v>12701</v>
      </c>
      <c r="G1504" s="15">
        <v>6348</v>
      </c>
      <c r="H1504">
        <v>38</v>
      </c>
      <c r="I1504">
        <v>38</v>
      </c>
      <c r="J1504" s="17">
        <v>20347.5</v>
      </c>
      <c r="K1504">
        <v>4</v>
      </c>
      <c r="L1504" s="17">
        <v>7102.5</v>
      </c>
      <c r="M1504">
        <v>2</v>
      </c>
      <c r="N1504">
        <v>336</v>
      </c>
      <c r="O1504" s="15">
        <v>12696</v>
      </c>
      <c r="P1504">
        <f t="shared" si="78"/>
        <v>2024</v>
      </c>
      <c r="Q1504">
        <f t="shared" si="79"/>
        <v>6</v>
      </c>
      <c r="R1504" t="str">
        <f t="shared" si="77"/>
        <v>引力魔方</v>
      </c>
      <c r="S1504" t="s">
        <v>628</v>
      </c>
      <c r="T1504" s="546" t="s">
        <v>804</v>
      </c>
    </row>
    <row r="1505" spans="1:20" x14ac:dyDescent="0.3">
      <c r="A1505" t="s">
        <v>627</v>
      </c>
      <c r="B1505" s="16">
        <v>45444</v>
      </c>
      <c r="C1505" t="s">
        <v>2</v>
      </c>
      <c r="D1505" t="s">
        <v>4</v>
      </c>
      <c r="E1505" t="s">
        <v>41</v>
      </c>
      <c r="F1505">
        <v>2</v>
      </c>
      <c r="G1505">
        <v>2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2</v>
      </c>
      <c r="P1505">
        <f t="shared" si="78"/>
        <v>2024</v>
      </c>
      <c r="Q1505">
        <f t="shared" si="79"/>
        <v>6</v>
      </c>
      <c r="R1505" t="str">
        <f t="shared" si="77"/>
        <v>流量宝</v>
      </c>
      <c r="S1505" t="s">
        <v>628</v>
      </c>
      <c r="T1505" s="546" t="s">
        <v>804</v>
      </c>
    </row>
    <row r="1506" spans="1:20" x14ac:dyDescent="0.3">
      <c r="A1506" t="s">
        <v>627</v>
      </c>
      <c r="B1506" s="16">
        <v>45444</v>
      </c>
      <c r="C1506" t="s">
        <v>2</v>
      </c>
      <c r="D1506" t="s">
        <v>4</v>
      </c>
      <c r="E1506" t="s">
        <v>43</v>
      </c>
      <c r="F1506">
        <v>431</v>
      </c>
      <c r="G1506">
        <v>174</v>
      </c>
      <c r="H1506">
        <v>5</v>
      </c>
      <c r="I1506">
        <v>0</v>
      </c>
      <c r="J1506" s="17">
        <v>8760.6</v>
      </c>
      <c r="K1506">
        <v>2</v>
      </c>
      <c r="L1506" s="17">
        <v>8760.6</v>
      </c>
      <c r="M1506">
        <v>2</v>
      </c>
      <c r="N1506">
        <v>25</v>
      </c>
      <c r="O1506">
        <v>418</v>
      </c>
      <c r="P1506">
        <f t="shared" si="78"/>
        <v>2024</v>
      </c>
      <c r="Q1506">
        <f t="shared" si="79"/>
        <v>6</v>
      </c>
      <c r="R1506" t="str">
        <f t="shared" si="77"/>
        <v>淘宝客</v>
      </c>
      <c r="S1506" t="s">
        <v>628</v>
      </c>
      <c r="T1506" s="546" t="s">
        <v>804</v>
      </c>
    </row>
    <row r="1507" spans="1:20" x14ac:dyDescent="0.3">
      <c r="A1507" t="s">
        <v>627</v>
      </c>
      <c r="B1507" s="16">
        <v>45445</v>
      </c>
      <c r="C1507" t="s">
        <v>3</v>
      </c>
      <c r="D1507" t="s">
        <v>114</v>
      </c>
      <c r="E1507" t="s">
        <v>159</v>
      </c>
      <c r="F1507">
        <v>106</v>
      </c>
      <c r="G1507">
        <v>54</v>
      </c>
      <c r="H1507">
        <v>4</v>
      </c>
      <c r="I1507">
        <v>0</v>
      </c>
      <c r="J1507" s="15">
        <v>2237</v>
      </c>
      <c r="K1507">
        <v>1</v>
      </c>
      <c r="L1507">
        <v>0</v>
      </c>
      <c r="M1507">
        <v>0</v>
      </c>
      <c r="N1507">
        <v>15</v>
      </c>
      <c r="O1507">
        <v>100</v>
      </c>
      <c r="P1507">
        <f t="shared" si="78"/>
        <v>2024</v>
      </c>
      <c r="Q1507">
        <f t="shared" si="79"/>
        <v>6</v>
      </c>
      <c r="R1507" t="str">
        <f t="shared" si="77"/>
        <v>主会场</v>
      </c>
      <c r="S1507" t="s">
        <v>628</v>
      </c>
      <c r="T1507" s="546" t="s">
        <v>804</v>
      </c>
    </row>
    <row r="1508" spans="1:20" x14ac:dyDescent="0.3">
      <c r="A1508" t="s">
        <v>627</v>
      </c>
      <c r="B1508" s="16">
        <v>45445</v>
      </c>
      <c r="C1508" t="s">
        <v>3</v>
      </c>
      <c r="D1508" t="s">
        <v>114</v>
      </c>
      <c r="E1508" t="s">
        <v>160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f t="shared" si="78"/>
        <v>2024</v>
      </c>
      <c r="Q1508">
        <f t="shared" si="79"/>
        <v>6</v>
      </c>
      <c r="R1508" t="str">
        <f t="shared" si="77"/>
        <v>榜单会场</v>
      </c>
      <c r="S1508" t="s">
        <v>628</v>
      </c>
      <c r="T1508" s="546" t="s">
        <v>804</v>
      </c>
    </row>
    <row r="1509" spans="1:20" x14ac:dyDescent="0.3">
      <c r="A1509" t="s">
        <v>627</v>
      </c>
      <c r="B1509" s="16">
        <v>45445</v>
      </c>
      <c r="C1509" t="s">
        <v>3</v>
      </c>
      <c r="D1509" t="s">
        <v>120</v>
      </c>
      <c r="E1509" t="s">
        <v>162</v>
      </c>
      <c r="F1509">
        <v>2</v>
      </c>
      <c r="G1509">
        <v>2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2</v>
      </c>
      <c r="P1509">
        <f t="shared" si="78"/>
        <v>2024</v>
      </c>
      <c r="Q1509">
        <f t="shared" si="79"/>
        <v>6</v>
      </c>
      <c r="R1509" t="str">
        <f t="shared" si="77"/>
        <v>手机浏览器访问天猫</v>
      </c>
      <c r="S1509" t="s">
        <v>628</v>
      </c>
      <c r="T1509" s="546" t="s">
        <v>804</v>
      </c>
    </row>
    <row r="1510" spans="1:20" x14ac:dyDescent="0.3">
      <c r="A1510" t="s">
        <v>627</v>
      </c>
      <c r="B1510" s="16">
        <v>45445</v>
      </c>
      <c r="C1510" t="s">
        <v>3</v>
      </c>
      <c r="D1510" t="s">
        <v>120</v>
      </c>
      <c r="E1510" t="s">
        <v>163</v>
      </c>
      <c r="F1510">
        <v>117</v>
      </c>
      <c r="G1510">
        <v>63</v>
      </c>
      <c r="H1510">
        <v>3</v>
      </c>
      <c r="I1510">
        <v>0</v>
      </c>
      <c r="J1510" s="15">
        <v>6233</v>
      </c>
      <c r="K1510">
        <v>4</v>
      </c>
      <c r="L1510" s="15">
        <v>2498</v>
      </c>
      <c r="M1510">
        <v>2</v>
      </c>
      <c r="N1510">
        <v>40</v>
      </c>
      <c r="O1510">
        <v>113</v>
      </c>
      <c r="P1510">
        <f t="shared" si="78"/>
        <v>2024</v>
      </c>
      <c r="Q1510">
        <f t="shared" si="79"/>
        <v>6</v>
      </c>
      <c r="R1510" t="str">
        <f t="shared" si="77"/>
        <v>手猫免费其他</v>
      </c>
      <c r="S1510" t="s">
        <v>628</v>
      </c>
      <c r="T1510" s="546" t="s">
        <v>804</v>
      </c>
    </row>
    <row r="1511" spans="1:20" x14ac:dyDescent="0.3">
      <c r="A1511" t="s">
        <v>627</v>
      </c>
      <c r="B1511" s="16">
        <v>45445</v>
      </c>
      <c r="C1511" t="s">
        <v>3</v>
      </c>
      <c r="D1511" t="s">
        <v>120</v>
      </c>
      <c r="E1511" t="s">
        <v>164</v>
      </c>
      <c r="F1511">
        <v>11</v>
      </c>
      <c r="G1511">
        <v>8</v>
      </c>
      <c r="H1511">
        <v>0</v>
      </c>
      <c r="I1511">
        <v>0</v>
      </c>
      <c r="J1511" s="15">
        <v>1680</v>
      </c>
      <c r="K1511">
        <v>1</v>
      </c>
      <c r="L1511" s="15">
        <v>1680</v>
      </c>
      <c r="M1511">
        <v>1</v>
      </c>
      <c r="N1511">
        <v>0</v>
      </c>
      <c r="O1511">
        <v>11</v>
      </c>
      <c r="P1511">
        <f t="shared" si="78"/>
        <v>2024</v>
      </c>
      <c r="Q1511">
        <f t="shared" si="79"/>
        <v>6</v>
      </c>
      <c r="R1511" t="str">
        <f t="shared" si="77"/>
        <v>手猫其他店铺</v>
      </c>
      <c r="S1511" t="s">
        <v>628</v>
      </c>
      <c r="T1511" s="546" t="s">
        <v>804</v>
      </c>
    </row>
    <row r="1512" spans="1:20" x14ac:dyDescent="0.3">
      <c r="A1512" t="s">
        <v>627</v>
      </c>
      <c r="B1512" s="16">
        <v>45445</v>
      </c>
      <c r="C1512" t="s">
        <v>3</v>
      </c>
      <c r="D1512" t="s">
        <v>120</v>
      </c>
      <c r="E1512" t="s">
        <v>165</v>
      </c>
      <c r="F1512">
        <v>42</v>
      </c>
      <c r="G1512">
        <v>19</v>
      </c>
      <c r="H1512">
        <v>2</v>
      </c>
      <c r="I1512">
        <v>0</v>
      </c>
      <c r="J1512" s="15">
        <v>5940</v>
      </c>
      <c r="K1512">
        <v>1</v>
      </c>
      <c r="L1512" s="15">
        <v>1980</v>
      </c>
      <c r="M1512">
        <v>1</v>
      </c>
      <c r="N1512">
        <v>7</v>
      </c>
      <c r="O1512">
        <v>41</v>
      </c>
      <c r="P1512">
        <f t="shared" si="78"/>
        <v>2024</v>
      </c>
      <c r="Q1512">
        <f t="shared" si="79"/>
        <v>6</v>
      </c>
      <c r="R1512" t="str">
        <f t="shared" si="77"/>
        <v>手猫商品详情</v>
      </c>
      <c r="S1512" t="s">
        <v>628</v>
      </c>
      <c r="T1512" s="546" t="s">
        <v>804</v>
      </c>
    </row>
    <row r="1513" spans="1:20" x14ac:dyDescent="0.3">
      <c r="A1513" t="s">
        <v>627</v>
      </c>
      <c r="B1513" s="16">
        <v>45445</v>
      </c>
      <c r="C1513" t="s">
        <v>3</v>
      </c>
      <c r="D1513" t="s">
        <v>120</v>
      </c>
      <c r="E1513" t="s">
        <v>166</v>
      </c>
      <c r="F1513">
        <v>94</v>
      </c>
      <c r="G1513">
        <v>66</v>
      </c>
      <c r="H1513">
        <v>2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41</v>
      </c>
      <c r="O1513">
        <v>80</v>
      </c>
      <c r="P1513">
        <f t="shared" si="78"/>
        <v>2024</v>
      </c>
      <c r="Q1513">
        <f t="shared" si="79"/>
        <v>6</v>
      </c>
      <c r="R1513" t="str">
        <f t="shared" si="77"/>
        <v>手猫搜索</v>
      </c>
      <c r="S1513" t="s">
        <v>628</v>
      </c>
      <c r="T1513" s="546" t="s">
        <v>804</v>
      </c>
    </row>
    <row r="1514" spans="1:20" x14ac:dyDescent="0.3">
      <c r="A1514" t="s">
        <v>627</v>
      </c>
      <c r="B1514" s="16">
        <v>45445</v>
      </c>
      <c r="C1514" t="s">
        <v>3</v>
      </c>
      <c r="D1514" t="s">
        <v>120</v>
      </c>
      <c r="E1514" t="s">
        <v>167</v>
      </c>
      <c r="F1514">
        <v>3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3</v>
      </c>
      <c r="P1514">
        <f t="shared" si="78"/>
        <v>2024</v>
      </c>
      <c r="Q1514">
        <f t="shared" si="79"/>
        <v>6</v>
      </c>
      <c r="R1514" t="str">
        <f t="shared" si="77"/>
        <v>手猫旺信聊天</v>
      </c>
      <c r="S1514" t="s">
        <v>628</v>
      </c>
      <c r="T1514" s="546" t="s">
        <v>804</v>
      </c>
    </row>
    <row r="1515" spans="1:20" x14ac:dyDescent="0.3">
      <c r="A1515" t="s">
        <v>627</v>
      </c>
      <c r="B1515" s="16">
        <v>45445</v>
      </c>
      <c r="C1515" t="s">
        <v>3</v>
      </c>
      <c r="D1515" t="s">
        <v>120</v>
      </c>
      <c r="E1515" t="s">
        <v>168</v>
      </c>
      <c r="F1515">
        <v>427</v>
      </c>
      <c r="G1515">
        <v>243</v>
      </c>
      <c r="H1515">
        <v>2</v>
      </c>
      <c r="I1515">
        <v>0</v>
      </c>
      <c r="J1515" s="15">
        <v>7438</v>
      </c>
      <c r="K1515">
        <v>2</v>
      </c>
      <c r="L1515" s="15">
        <v>3478</v>
      </c>
      <c r="M1515">
        <v>2</v>
      </c>
      <c r="N1515">
        <v>27</v>
      </c>
      <c r="O1515">
        <v>427</v>
      </c>
      <c r="P1515">
        <f t="shared" si="78"/>
        <v>2024</v>
      </c>
      <c r="Q1515">
        <f t="shared" si="79"/>
        <v>6</v>
      </c>
      <c r="R1515" t="str">
        <f t="shared" si="77"/>
        <v>手猫首页</v>
      </c>
      <c r="S1515" t="s">
        <v>628</v>
      </c>
      <c r="T1515" s="546" t="s">
        <v>804</v>
      </c>
    </row>
    <row r="1516" spans="1:20" x14ac:dyDescent="0.3">
      <c r="A1516" t="s">
        <v>627</v>
      </c>
      <c r="B1516" s="16">
        <v>45445</v>
      </c>
      <c r="C1516" t="s">
        <v>3</v>
      </c>
      <c r="D1516" t="s">
        <v>123</v>
      </c>
      <c r="E1516" t="s">
        <v>169</v>
      </c>
      <c r="F1516">
        <v>136</v>
      </c>
      <c r="G1516">
        <v>54</v>
      </c>
      <c r="H1516">
        <v>7</v>
      </c>
      <c r="I1516">
        <v>3</v>
      </c>
      <c r="J1516" s="15">
        <v>3400</v>
      </c>
      <c r="K1516">
        <v>1</v>
      </c>
      <c r="L1516" s="15">
        <v>3400</v>
      </c>
      <c r="M1516">
        <v>1</v>
      </c>
      <c r="N1516">
        <v>39</v>
      </c>
      <c r="O1516">
        <v>128</v>
      </c>
      <c r="P1516">
        <f t="shared" si="78"/>
        <v>2024</v>
      </c>
      <c r="Q1516">
        <f t="shared" si="79"/>
        <v>6</v>
      </c>
      <c r="R1516" t="str">
        <f t="shared" si="77"/>
        <v>商品详情页头图推荐</v>
      </c>
      <c r="S1516" t="s">
        <v>628</v>
      </c>
      <c r="T1516" s="546" t="s">
        <v>804</v>
      </c>
    </row>
    <row r="1517" spans="1:20" x14ac:dyDescent="0.3">
      <c r="A1517" t="s">
        <v>627</v>
      </c>
      <c r="B1517" s="16">
        <v>45445</v>
      </c>
      <c r="C1517" t="s">
        <v>3</v>
      </c>
      <c r="D1517" t="s">
        <v>123</v>
      </c>
      <c r="E1517" t="s">
        <v>170</v>
      </c>
      <c r="F1517">
        <v>28</v>
      </c>
      <c r="G1517">
        <v>19</v>
      </c>
      <c r="H1517">
        <v>2</v>
      </c>
      <c r="I1517">
        <v>1</v>
      </c>
      <c r="J1517" s="15">
        <v>1498</v>
      </c>
      <c r="K1517">
        <v>1</v>
      </c>
      <c r="L1517" s="15">
        <v>1498</v>
      </c>
      <c r="M1517">
        <v>1</v>
      </c>
      <c r="N1517">
        <v>24</v>
      </c>
      <c r="O1517">
        <v>14</v>
      </c>
      <c r="P1517">
        <f t="shared" si="78"/>
        <v>2024</v>
      </c>
      <c r="Q1517">
        <f t="shared" si="79"/>
        <v>6</v>
      </c>
      <c r="R1517" t="str">
        <f t="shared" si="77"/>
        <v>店铺超链</v>
      </c>
      <c r="S1517" t="s">
        <v>628</v>
      </c>
      <c r="T1517" s="546" t="s">
        <v>804</v>
      </c>
    </row>
    <row r="1518" spans="1:20" x14ac:dyDescent="0.3">
      <c r="A1518" t="s">
        <v>627</v>
      </c>
      <c r="B1518" s="16">
        <v>45445</v>
      </c>
      <c r="C1518" t="s">
        <v>3</v>
      </c>
      <c r="D1518" t="s">
        <v>127</v>
      </c>
      <c r="E1518" t="s">
        <v>171</v>
      </c>
      <c r="F1518">
        <v>158</v>
      </c>
      <c r="G1518">
        <v>80</v>
      </c>
      <c r="H1518">
        <v>7</v>
      </c>
      <c r="I1518">
        <v>2</v>
      </c>
      <c r="J1518" s="15">
        <v>5112</v>
      </c>
      <c r="K1518">
        <v>2</v>
      </c>
      <c r="L1518" s="15">
        <v>5112</v>
      </c>
      <c r="M1518">
        <v>2</v>
      </c>
      <c r="N1518">
        <v>58</v>
      </c>
      <c r="O1518">
        <v>122</v>
      </c>
      <c r="P1518">
        <f t="shared" si="78"/>
        <v>2024</v>
      </c>
      <c r="Q1518">
        <f t="shared" si="79"/>
        <v>6</v>
      </c>
      <c r="R1518" t="str">
        <f t="shared" si="77"/>
        <v>其他猜你喜欢</v>
      </c>
      <c r="S1518" t="s">
        <v>628</v>
      </c>
      <c r="T1518" s="546" t="s">
        <v>804</v>
      </c>
    </row>
    <row r="1519" spans="1:20" x14ac:dyDescent="0.3">
      <c r="A1519" t="s">
        <v>627</v>
      </c>
      <c r="B1519" s="16">
        <v>45445</v>
      </c>
      <c r="C1519" t="s">
        <v>3</v>
      </c>
      <c r="D1519" t="s">
        <v>127</v>
      </c>
      <c r="E1519" t="s">
        <v>172</v>
      </c>
      <c r="F1519">
        <v>3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3</v>
      </c>
      <c r="P1519">
        <f t="shared" si="78"/>
        <v>2024</v>
      </c>
      <c r="Q1519">
        <f t="shared" si="79"/>
        <v>6</v>
      </c>
      <c r="R1519" t="str">
        <f t="shared" si="77"/>
        <v>购中推荐</v>
      </c>
      <c r="S1519" t="s">
        <v>628</v>
      </c>
      <c r="T1519" s="546" t="s">
        <v>804</v>
      </c>
    </row>
    <row r="1520" spans="1:20" x14ac:dyDescent="0.3">
      <c r="A1520" t="s">
        <v>627</v>
      </c>
      <c r="B1520" s="16">
        <v>45445</v>
      </c>
      <c r="C1520" t="s">
        <v>3</v>
      </c>
      <c r="D1520" t="s">
        <v>127</v>
      </c>
      <c r="E1520" t="s">
        <v>173</v>
      </c>
      <c r="F1520">
        <v>25</v>
      </c>
      <c r="G1520">
        <v>9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</v>
      </c>
      <c r="O1520">
        <v>23</v>
      </c>
      <c r="P1520">
        <f t="shared" si="78"/>
        <v>2024</v>
      </c>
      <c r="Q1520">
        <f t="shared" si="79"/>
        <v>6</v>
      </c>
      <c r="R1520" t="str">
        <f t="shared" si="77"/>
        <v>购后推荐</v>
      </c>
      <c r="S1520" t="s">
        <v>628</v>
      </c>
      <c r="T1520" s="546" t="s">
        <v>804</v>
      </c>
    </row>
    <row r="1521" spans="1:20" x14ac:dyDescent="0.3">
      <c r="A1521" t="s">
        <v>627</v>
      </c>
      <c r="B1521" s="16">
        <v>45445</v>
      </c>
      <c r="C1521" t="s">
        <v>3</v>
      </c>
      <c r="D1521" t="s">
        <v>127</v>
      </c>
      <c r="E1521" t="s">
        <v>174</v>
      </c>
      <c r="F1521" s="15">
        <v>1826</v>
      </c>
      <c r="G1521">
        <v>858</v>
      </c>
      <c r="H1521">
        <v>47</v>
      </c>
      <c r="I1521">
        <v>13</v>
      </c>
      <c r="J1521" s="15">
        <v>19797</v>
      </c>
      <c r="K1521">
        <v>9</v>
      </c>
      <c r="L1521" s="15">
        <v>19797</v>
      </c>
      <c r="M1521">
        <v>9</v>
      </c>
      <c r="N1521">
        <v>175</v>
      </c>
      <c r="O1521" s="15">
        <v>1826</v>
      </c>
      <c r="P1521">
        <f t="shared" si="78"/>
        <v>2024</v>
      </c>
      <c r="Q1521">
        <f t="shared" si="79"/>
        <v>6</v>
      </c>
      <c r="R1521" t="str">
        <f t="shared" si="77"/>
        <v>首页推荐-微详情</v>
      </c>
      <c r="S1521" t="s">
        <v>628</v>
      </c>
      <c r="T1521" s="546" t="s">
        <v>804</v>
      </c>
    </row>
    <row r="1522" spans="1:20" x14ac:dyDescent="0.3">
      <c r="A1522" t="s">
        <v>627</v>
      </c>
      <c r="B1522" s="16">
        <v>45445</v>
      </c>
      <c r="C1522" t="s">
        <v>3</v>
      </c>
      <c r="D1522" t="s">
        <v>127</v>
      </c>
      <c r="E1522" t="s">
        <v>175</v>
      </c>
      <c r="F1522">
        <v>179</v>
      </c>
      <c r="G1522">
        <v>111</v>
      </c>
      <c r="H1522">
        <v>2</v>
      </c>
      <c r="I1522">
        <v>0</v>
      </c>
      <c r="J1522" s="17">
        <v>2297.5</v>
      </c>
      <c r="K1522">
        <v>1</v>
      </c>
      <c r="L1522" s="17">
        <v>2297.5</v>
      </c>
      <c r="M1522">
        <v>1</v>
      </c>
      <c r="N1522">
        <v>4</v>
      </c>
      <c r="O1522">
        <v>16</v>
      </c>
      <c r="P1522">
        <f t="shared" si="78"/>
        <v>2024</v>
      </c>
      <c r="Q1522">
        <f t="shared" si="79"/>
        <v>6</v>
      </c>
      <c r="R1522" t="str">
        <f t="shared" si="77"/>
        <v>首页推荐-直播</v>
      </c>
      <c r="S1522" t="s">
        <v>628</v>
      </c>
      <c r="T1522" s="546" t="s">
        <v>804</v>
      </c>
    </row>
    <row r="1523" spans="1:20" x14ac:dyDescent="0.3">
      <c r="A1523" t="s">
        <v>627</v>
      </c>
      <c r="B1523" s="16">
        <v>45445</v>
      </c>
      <c r="C1523" t="s">
        <v>3</v>
      </c>
      <c r="D1523" t="s">
        <v>127</v>
      </c>
      <c r="E1523" t="s">
        <v>176</v>
      </c>
      <c r="F1523">
        <v>105</v>
      </c>
      <c r="G1523">
        <v>45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f t="shared" si="78"/>
        <v>2024</v>
      </c>
      <c r="Q1523">
        <f t="shared" si="79"/>
        <v>6</v>
      </c>
      <c r="R1523" t="str">
        <f t="shared" si="77"/>
        <v>首页推荐-短视频</v>
      </c>
      <c r="S1523" t="s">
        <v>628</v>
      </c>
      <c r="T1523" s="546" t="s">
        <v>804</v>
      </c>
    </row>
    <row r="1524" spans="1:20" x14ac:dyDescent="0.3">
      <c r="A1524" t="s">
        <v>627</v>
      </c>
      <c r="B1524" s="16">
        <v>45445</v>
      </c>
      <c r="C1524" t="s">
        <v>3</v>
      </c>
      <c r="D1524" t="s">
        <v>128</v>
      </c>
      <c r="E1524" t="s">
        <v>177</v>
      </c>
      <c r="F1524">
        <v>964</v>
      </c>
      <c r="G1524">
        <v>734</v>
      </c>
      <c r="H1524">
        <v>99</v>
      </c>
      <c r="I1524">
        <v>12</v>
      </c>
      <c r="J1524" s="17">
        <v>74202.080000000002</v>
      </c>
      <c r="K1524">
        <v>25</v>
      </c>
      <c r="L1524" s="17">
        <v>65452.58</v>
      </c>
      <c r="M1524">
        <v>22</v>
      </c>
      <c r="N1524">
        <v>298</v>
      </c>
      <c r="O1524">
        <v>874</v>
      </c>
      <c r="P1524">
        <f t="shared" si="78"/>
        <v>2024</v>
      </c>
      <c r="Q1524">
        <f t="shared" si="79"/>
        <v>6</v>
      </c>
      <c r="R1524" t="str">
        <f t="shared" si="77"/>
        <v>手淘搜索-商品及其他</v>
      </c>
      <c r="S1524" t="s">
        <v>628</v>
      </c>
      <c r="T1524" s="546" t="s">
        <v>804</v>
      </c>
    </row>
    <row r="1525" spans="1:20" x14ac:dyDescent="0.3">
      <c r="A1525" t="s">
        <v>627</v>
      </c>
      <c r="B1525" s="16">
        <v>45445</v>
      </c>
      <c r="C1525" t="s">
        <v>3</v>
      </c>
      <c r="D1525" t="s">
        <v>128</v>
      </c>
      <c r="E1525" t="s">
        <v>178</v>
      </c>
      <c r="F1525">
        <v>6</v>
      </c>
      <c r="G1525">
        <v>1</v>
      </c>
      <c r="H1525">
        <v>2</v>
      </c>
      <c r="I1525">
        <v>0</v>
      </c>
      <c r="J1525" s="15">
        <v>2995</v>
      </c>
      <c r="K1525">
        <v>1</v>
      </c>
      <c r="L1525">
        <v>0</v>
      </c>
      <c r="M1525">
        <v>0</v>
      </c>
      <c r="N1525">
        <v>4</v>
      </c>
      <c r="O1525">
        <v>6</v>
      </c>
      <c r="P1525">
        <f t="shared" si="78"/>
        <v>2024</v>
      </c>
      <c r="Q1525">
        <f t="shared" si="79"/>
        <v>6</v>
      </c>
      <c r="R1525" t="str">
        <f t="shared" si="77"/>
        <v>手淘搜索-直播</v>
      </c>
      <c r="S1525" t="s">
        <v>628</v>
      </c>
      <c r="T1525" s="546" t="s">
        <v>804</v>
      </c>
    </row>
    <row r="1526" spans="1:20" x14ac:dyDescent="0.3">
      <c r="A1526" t="s">
        <v>627</v>
      </c>
      <c r="B1526" s="16">
        <v>45445</v>
      </c>
      <c r="C1526" t="s">
        <v>3</v>
      </c>
      <c r="D1526" t="s">
        <v>128</v>
      </c>
      <c r="E1526" t="s">
        <v>179</v>
      </c>
      <c r="F1526">
        <v>19</v>
      </c>
      <c r="G1526">
        <v>11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3</v>
      </c>
      <c r="O1526">
        <v>3</v>
      </c>
      <c r="P1526">
        <f t="shared" si="78"/>
        <v>2024</v>
      </c>
      <c r="Q1526">
        <f t="shared" si="79"/>
        <v>6</v>
      </c>
      <c r="R1526" t="str">
        <f t="shared" si="77"/>
        <v>手淘搜索-短视频</v>
      </c>
      <c r="S1526" t="s">
        <v>628</v>
      </c>
      <c r="T1526" s="546" t="s">
        <v>804</v>
      </c>
    </row>
    <row r="1527" spans="1:20" x14ac:dyDescent="0.3">
      <c r="A1527" t="s">
        <v>627</v>
      </c>
      <c r="B1527" s="16">
        <v>45445</v>
      </c>
      <c r="C1527" t="s">
        <v>3</v>
      </c>
      <c r="D1527" t="s">
        <v>143</v>
      </c>
      <c r="E1527" t="s">
        <v>180</v>
      </c>
      <c r="F1527">
        <v>10</v>
      </c>
      <c r="G1527">
        <v>8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10</v>
      </c>
      <c r="P1527">
        <f t="shared" si="78"/>
        <v>2024</v>
      </c>
      <c r="Q1527">
        <f t="shared" si="79"/>
        <v>6</v>
      </c>
      <c r="R1527" t="str">
        <f t="shared" si="77"/>
        <v>淘特其他渠道</v>
      </c>
      <c r="S1527" t="s">
        <v>628</v>
      </c>
      <c r="T1527" s="546" t="s">
        <v>804</v>
      </c>
    </row>
    <row r="1528" spans="1:20" x14ac:dyDescent="0.3">
      <c r="A1528" t="s">
        <v>627</v>
      </c>
      <c r="B1528" s="16">
        <v>45445</v>
      </c>
      <c r="C1528" t="s">
        <v>2</v>
      </c>
      <c r="D1528" t="s">
        <v>55</v>
      </c>
      <c r="E1528" t="s">
        <v>54</v>
      </c>
      <c r="F1528" s="15">
        <v>1620</v>
      </c>
      <c r="G1528" s="15">
        <v>1184</v>
      </c>
      <c r="H1528">
        <v>4</v>
      </c>
      <c r="I1528">
        <v>2</v>
      </c>
      <c r="J1528">
        <v>0</v>
      </c>
      <c r="K1528">
        <v>0</v>
      </c>
      <c r="L1528">
        <v>0</v>
      </c>
      <c r="M1528">
        <v>0</v>
      </c>
      <c r="N1528">
        <v>20</v>
      </c>
      <c r="O1528">
        <v>400</v>
      </c>
      <c r="P1528">
        <f t="shared" si="78"/>
        <v>2024</v>
      </c>
      <c r="Q1528">
        <f t="shared" si="79"/>
        <v>6</v>
      </c>
      <c r="R1528" t="str">
        <f t="shared" si="77"/>
        <v>超级直播</v>
      </c>
      <c r="S1528" t="s">
        <v>628</v>
      </c>
      <c r="T1528" s="546" t="s">
        <v>804</v>
      </c>
    </row>
    <row r="1529" spans="1:20" x14ac:dyDescent="0.3">
      <c r="A1529" t="s">
        <v>627</v>
      </c>
      <c r="B1529" s="16">
        <v>45445</v>
      </c>
      <c r="C1529" t="s">
        <v>2</v>
      </c>
      <c r="D1529" t="s">
        <v>52</v>
      </c>
      <c r="E1529" t="s">
        <v>53</v>
      </c>
      <c r="F1529">
        <v>267</v>
      </c>
      <c r="G1529">
        <v>200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267</v>
      </c>
      <c r="O1529">
        <v>35</v>
      </c>
      <c r="P1529">
        <f t="shared" si="78"/>
        <v>2024</v>
      </c>
      <c r="Q1529">
        <f t="shared" si="79"/>
        <v>6</v>
      </c>
      <c r="R1529" t="str">
        <f t="shared" si="77"/>
        <v>Showmax</v>
      </c>
      <c r="S1529" t="s">
        <v>628</v>
      </c>
      <c r="T1529" s="546" t="s">
        <v>804</v>
      </c>
    </row>
    <row r="1530" spans="1:20" x14ac:dyDescent="0.3">
      <c r="A1530" t="s">
        <v>627</v>
      </c>
      <c r="B1530" s="16">
        <v>45445</v>
      </c>
      <c r="C1530" t="s">
        <v>2</v>
      </c>
      <c r="D1530" t="s">
        <v>52</v>
      </c>
      <c r="E1530" t="s">
        <v>59</v>
      </c>
      <c r="F1530" s="15">
        <v>1185</v>
      </c>
      <c r="G1530">
        <v>902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 s="15">
        <v>1185</v>
      </c>
      <c r="O1530">
        <v>175</v>
      </c>
      <c r="P1530">
        <f t="shared" si="78"/>
        <v>2024</v>
      </c>
      <c r="Q1530">
        <f t="shared" si="79"/>
        <v>6</v>
      </c>
      <c r="R1530" t="str">
        <f t="shared" si="77"/>
        <v>品牌特秀</v>
      </c>
      <c r="S1530" t="s">
        <v>628</v>
      </c>
      <c r="T1530" s="546" t="s">
        <v>804</v>
      </c>
    </row>
    <row r="1531" spans="1:20" x14ac:dyDescent="0.3">
      <c r="A1531" t="s">
        <v>627</v>
      </c>
      <c r="B1531" s="16">
        <v>45445</v>
      </c>
      <c r="C1531" t="s">
        <v>2</v>
      </c>
      <c r="D1531" t="s">
        <v>52</v>
      </c>
      <c r="E1531" t="s">
        <v>183</v>
      </c>
      <c r="F1531">
        <v>633</v>
      </c>
      <c r="G1531">
        <v>532</v>
      </c>
      <c r="H1531">
        <v>35</v>
      </c>
      <c r="I1531">
        <v>5</v>
      </c>
      <c r="J1531" s="17">
        <v>35824.5</v>
      </c>
      <c r="K1531">
        <v>11</v>
      </c>
      <c r="L1531" s="17">
        <v>35824.5</v>
      </c>
      <c r="M1531">
        <v>11</v>
      </c>
      <c r="N1531">
        <v>633</v>
      </c>
      <c r="O1531">
        <v>357</v>
      </c>
      <c r="P1531">
        <f t="shared" si="78"/>
        <v>2024</v>
      </c>
      <c r="Q1531">
        <f t="shared" si="79"/>
        <v>6</v>
      </c>
      <c r="R1531" t="str">
        <f t="shared" si="77"/>
        <v>品销宝-品牌专区</v>
      </c>
      <c r="S1531" t="s">
        <v>628</v>
      </c>
      <c r="T1531" s="546" t="s">
        <v>804</v>
      </c>
    </row>
    <row r="1532" spans="1:20" x14ac:dyDescent="0.3">
      <c r="A1532" t="s">
        <v>627</v>
      </c>
      <c r="B1532" s="16">
        <v>45445</v>
      </c>
      <c r="C1532" t="s">
        <v>2</v>
      </c>
      <c r="D1532" t="s">
        <v>52</v>
      </c>
      <c r="E1532" t="s">
        <v>58</v>
      </c>
      <c r="F1532">
        <v>1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f t="shared" si="78"/>
        <v>2024</v>
      </c>
      <c r="Q1532">
        <f t="shared" si="79"/>
        <v>6</v>
      </c>
      <c r="R1532" t="str">
        <f t="shared" si="77"/>
        <v>超级全域通</v>
      </c>
      <c r="S1532" t="s">
        <v>628</v>
      </c>
      <c r="T1532" s="546" t="s">
        <v>804</v>
      </c>
    </row>
    <row r="1533" spans="1:20" x14ac:dyDescent="0.3">
      <c r="A1533" t="s">
        <v>627</v>
      </c>
      <c r="B1533" s="16">
        <v>45445</v>
      </c>
      <c r="C1533" t="s">
        <v>2</v>
      </c>
      <c r="D1533" t="s">
        <v>57</v>
      </c>
      <c r="E1533" t="s">
        <v>65</v>
      </c>
      <c r="F1533" s="15">
        <v>3817</v>
      </c>
      <c r="G1533" s="15">
        <v>3297</v>
      </c>
      <c r="H1533">
        <v>93</v>
      </c>
      <c r="I1533">
        <v>19</v>
      </c>
      <c r="J1533" s="17">
        <v>94865.82</v>
      </c>
      <c r="K1533">
        <v>25</v>
      </c>
      <c r="L1533" s="17">
        <v>62602.82</v>
      </c>
      <c r="M1533">
        <v>19</v>
      </c>
      <c r="N1533">
        <v>302</v>
      </c>
      <c r="O1533" s="15">
        <v>3787</v>
      </c>
      <c r="P1533">
        <f t="shared" si="78"/>
        <v>2024</v>
      </c>
      <c r="Q1533">
        <f t="shared" si="79"/>
        <v>6</v>
      </c>
      <c r="R1533" t="str">
        <f t="shared" si="77"/>
        <v>直通车</v>
      </c>
      <c r="S1533" t="s">
        <v>628</v>
      </c>
      <c r="T1533" s="546" t="s">
        <v>804</v>
      </c>
    </row>
    <row r="1534" spans="1:20" x14ac:dyDescent="0.3">
      <c r="A1534" t="s">
        <v>627</v>
      </c>
      <c r="B1534" s="16">
        <v>45445</v>
      </c>
      <c r="C1534" t="s">
        <v>2</v>
      </c>
      <c r="D1534" t="s">
        <v>57</v>
      </c>
      <c r="E1534" t="s">
        <v>63</v>
      </c>
      <c r="F1534" s="15">
        <v>3574</v>
      </c>
      <c r="G1534" s="15">
        <v>1950</v>
      </c>
      <c r="H1534">
        <v>74</v>
      </c>
      <c r="I1534">
        <v>44</v>
      </c>
      <c r="J1534" s="17">
        <v>26574.5</v>
      </c>
      <c r="K1534">
        <v>12</v>
      </c>
      <c r="L1534" s="17">
        <v>22939.5</v>
      </c>
      <c r="M1534">
        <v>10</v>
      </c>
      <c r="N1534">
        <v>223</v>
      </c>
      <c r="O1534" s="15">
        <v>3567</v>
      </c>
      <c r="P1534">
        <f t="shared" si="78"/>
        <v>2024</v>
      </c>
      <c r="Q1534">
        <f t="shared" si="79"/>
        <v>6</v>
      </c>
      <c r="R1534" t="str">
        <f t="shared" si="77"/>
        <v>万相台</v>
      </c>
      <c r="S1534" t="s">
        <v>628</v>
      </c>
      <c r="T1534" s="546" t="s">
        <v>804</v>
      </c>
    </row>
    <row r="1535" spans="1:20" x14ac:dyDescent="0.3">
      <c r="A1535" t="s">
        <v>627</v>
      </c>
      <c r="B1535" s="16">
        <v>45445</v>
      </c>
      <c r="C1535" t="s">
        <v>2</v>
      </c>
      <c r="D1535" t="s">
        <v>57</v>
      </c>
      <c r="E1535" t="s">
        <v>64</v>
      </c>
      <c r="F1535" s="15">
        <v>13825</v>
      </c>
      <c r="G1535" s="15">
        <v>7064</v>
      </c>
      <c r="H1535">
        <v>38</v>
      </c>
      <c r="I1535">
        <v>43</v>
      </c>
      <c r="J1535" s="17">
        <v>18221.5</v>
      </c>
      <c r="K1535">
        <v>7</v>
      </c>
      <c r="L1535" s="17">
        <v>8563.5</v>
      </c>
      <c r="M1535">
        <v>4</v>
      </c>
      <c r="N1535">
        <v>378</v>
      </c>
      <c r="O1535" s="15">
        <v>13819</v>
      </c>
      <c r="P1535">
        <f t="shared" si="78"/>
        <v>2024</v>
      </c>
      <c r="Q1535">
        <f t="shared" si="79"/>
        <v>6</v>
      </c>
      <c r="R1535" t="str">
        <f t="shared" si="77"/>
        <v>引力魔方</v>
      </c>
      <c r="S1535" t="s">
        <v>628</v>
      </c>
      <c r="T1535" s="546" t="s">
        <v>804</v>
      </c>
    </row>
    <row r="1536" spans="1:20" x14ac:dyDescent="0.3">
      <c r="A1536" t="s">
        <v>627</v>
      </c>
      <c r="B1536" s="16">
        <v>45445</v>
      </c>
      <c r="C1536" t="s">
        <v>2</v>
      </c>
      <c r="D1536" t="s">
        <v>4</v>
      </c>
      <c r="E1536" t="s">
        <v>41</v>
      </c>
      <c r="F1536">
        <v>2</v>
      </c>
      <c r="G1536">
        <v>2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f t="shared" si="78"/>
        <v>2024</v>
      </c>
      <c r="Q1536">
        <f t="shared" si="79"/>
        <v>6</v>
      </c>
      <c r="R1536" t="str">
        <f t="shared" si="77"/>
        <v>流量宝</v>
      </c>
      <c r="S1536" t="s">
        <v>628</v>
      </c>
      <c r="T1536" s="546" t="s">
        <v>804</v>
      </c>
    </row>
    <row r="1537" spans="1:20" x14ac:dyDescent="0.3">
      <c r="A1537" t="s">
        <v>627</v>
      </c>
      <c r="B1537" s="16">
        <v>45445</v>
      </c>
      <c r="C1537" t="s">
        <v>2</v>
      </c>
      <c r="D1537" t="s">
        <v>4</v>
      </c>
      <c r="E1537" t="s">
        <v>43</v>
      </c>
      <c r="F1537">
        <v>445</v>
      </c>
      <c r="G1537">
        <v>147</v>
      </c>
      <c r="H1537">
        <v>6</v>
      </c>
      <c r="I1537">
        <v>1</v>
      </c>
      <c r="J1537" s="17">
        <v>11818.58</v>
      </c>
      <c r="K1537">
        <v>4</v>
      </c>
      <c r="L1537" s="17">
        <v>11818.58</v>
      </c>
      <c r="M1537">
        <v>4</v>
      </c>
      <c r="N1537">
        <v>16</v>
      </c>
      <c r="O1537">
        <v>435</v>
      </c>
      <c r="P1537">
        <f t="shared" si="78"/>
        <v>2024</v>
      </c>
      <c r="Q1537">
        <f t="shared" si="79"/>
        <v>6</v>
      </c>
      <c r="R1537" t="str">
        <f t="shared" si="77"/>
        <v>淘宝客</v>
      </c>
      <c r="S1537" t="s">
        <v>628</v>
      </c>
      <c r="T1537" s="546" t="s">
        <v>804</v>
      </c>
    </row>
    <row r="1538" spans="1:20" x14ac:dyDescent="0.3">
      <c r="A1538" t="s">
        <v>627</v>
      </c>
      <c r="B1538" s="16">
        <v>45446</v>
      </c>
      <c r="C1538" t="s">
        <v>3</v>
      </c>
      <c r="D1538" t="s">
        <v>114</v>
      </c>
      <c r="E1538" t="s">
        <v>159</v>
      </c>
      <c r="F1538">
        <v>130</v>
      </c>
      <c r="G1538">
        <v>64</v>
      </c>
      <c r="H1538">
        <v>5</v>
      </c>
      <c r="I1538">
        <v>0</v>
      </c>
      <c r="J1538" s="15">
        <v>3980</v>
      </c>
      <c r="K1538">
        <v>1</v>
      </c>
      <c r="L1538" s="15">
        <v>3980</v>
      </c>
      <c r="M1538">
        <v>1</v>
      </c>
      <c r="N1538">
        <v>14</v>
      </c>
      <c r="O1538">
        <v>124</v>
      </c>
      <c r="P1538">
        <f t="shared" si="78"/>
        <v>2024</v>
      </c>
      <c r="Q1538">
        <f t="shared" si="79"/>
        <v>6</v>
      </c>
      <c r="R1538" t="str">
        <f t="shared" si="77"/>
        <v>主会场</v>
      </c>
      <c r="S1538" t="s">
        <v>628</v>
      </c>
      <c r="T1538" s="546" t="s">
        <v>804</v>
      </c>
    </row>
    <row r="1539" spans="1:20" x14ac:dyDescent="0.3">
      <c r="A1539" t="s">
        <v>627</v>
      </c>
      <c r="B1539" s="16">
        <v>45446</v>
      </c>
      <c r="C1539" t="s">
        <v>3</v>
      </c>
      <c r="D1539" t="s">
        <v>120</v>
      </c>
      <c r="E1539" t="s">
        <v>162</v>
      </c>
      <c r="F1539">
        <v>2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2</v>
      </c>
      <c r="P1539">
        <f t="shared" si="78"/>
        <v>2024</v>
      </c>
      <c r="Q1539">
        <f t="shared" si="79"/>
        <v>6</v>
      </c>
      <c r="R1539" t="str">
        <f t="shared" si="77"/>
        <v>手机浏览器访问天猫</v>
      </c>
      <c r="S1539" t="s">
        <v>628</v>
      </c>
      <c r="T1539" s="546" t="s">
        <v>804</v>
      </c>
    </row>
    <row r="1540" spans="1:20" x14ac:dyDescent="0.3">
      <c r="A1540" t="s">
        <v>627</v>
      </c>
      <c r="B1540" s="16">
        <v>45446</v>
      </c>
      <c r="C1540" t="s">
        <v>3</v>
      </c>
      <c r="D1540" t="s">
        <v>120</v>
      </c>
      <c r="E1540" t="s">
        <v>163</v>
      </c>
      <c r="F1540">
        <v>109</v>
      </c>
      <c r="G1540">
        <v>48</v>
      </c>
      <c r="H1540">
        <v>2</v>
      </c>
      <c r="I1540">
        <v>0</v>
      </c>
      <c r="J1540" s="15">
        <v>11263</v>
      </c>
      <c r="K1540">
        <v>5</v>
      </c>
      <c r="L1540" s="15">
        <v>9283</v>
      </c>
      <c r="M1540">
        <v>5</v>
      </c>
      <c r="N1540">
        <v>40</v>
      </c>
      <c r="O1540">
        <v>107</v>
      </c>
      <c r="P1540">
        <f t="shared" si="78"/>
        <v>2024</v>
      </c>
      <c r="Q1540">
        <f t="shared" si="79"/>
        <v>6</v>
      </c>
      <c r="R1540" t="str">
        <f t="shared" si="77"/>
        <v>手猫免费其他</v>
      </c>
      <c r="S1540" t="s">
        <v>628</v>
      </c>
      <c r="T1540" s="546" t="s">
        <v>804</v>
      </c>
    </row>
    <row r="1541" spans="1:20" x14ac:dyDescent="0.3">
      <c r="A1541" t="s">
        <v>627</v>
      </c>
      <c r="B1541" s="16">
        <v>45446</v>
      </c>
      <c r="C1541" t="s">
        <v>3</v>
      </c>
      <c r="D1541" t="s">
        <v>120</v>
      </c>
      <c r="E1541" t="s">
        <v>164</v>
      </c>
      <c r="F1541">
        <v>2</v>
      </c>
      <c r="G1541">
        <v>1</v>
      </c>
      <c r="H1541">
        <v>0</v>
      </c>
      <c r="I1541">
        <v>0</v>
      </c>
      <c r="J1541" s="15">
        <v>1488</v>
      </c>
      <c r="K1541">
        <v>1</v>
      </c>
      <c r="L1541" s="15">
        <v>1488</v>
      </c>
      <c r="M1541">
        <v>1</v>
      </c>
      <c r="N1541">
        <v>0</v>
      </c>
      <c r="O1541">
        <v>2</v>
      </c>
      <c r="P1541">
        <f t="shared" si="78"/>
        <v>2024</v>
      </c>
      <c r="Q1541">
        <f t="shared" si="79"/>
        <v>6</v>
      </c>
      <c r="R1541" t="str">
        <f t="shared" si="77"/>
        <v>手猫其他店铺</v>
      </c>
      <c r="S1541" t="s">
        <v>628</v>
      </c>
      <c r="T1541" s="546" t="s">
        <v>804</v>
      </c>
    </row>
    <row r="1542" spans="1:20" x14ac:dyDescent="0.3">
      <c r="A1542" t="s">
        <v>627</v>
      </c>
      <c r="B1542" s="16">
        <v>45446</v>
      </c>
      <c r="C1542" t="s">
        <v>3</v>
      </c>
      <c r="D1542" t="s">
        <v>120</v>
      </c>
      <c r="E1542" t="s">
        <v>165</v>
      </c>
      <c r="F1542">
        <v>29</v>
      </c>
      <c r="G1542">
        <v>11</v>
      </c>
      <c r="H1542">
        <v>1</v>
      </c>
      <c r="I1542">
        <v>0</v>
      </c>
      <c r="J1542" s="15">
        <v>1280</v>
      </c>
      <c r="K1542">
        <v>1</v>
      </c>
      <c r="L1542" s="15">
        <v>1280</v>
      </c>
      <c r="M1542">
        <v>1</v>
      </c>
      <c r="N1542">
        <v>6</v>
      </c>
      <c r="O1542">
        <v>26</v>
      </c>
      <c r="P1542">
        <f t="shared" si="78"/>
        <v>2024</v>
      </c>
      <c r="Q1542">
        <f t="shared" si="79"/>
        <v>6</v>
      </c>
      <c r="R1542" t="str">
        <f t="shared" si="77"/>
        <v>手猫商品详情</v>
      </c>
      <c r="S1542" t="s">
        <v>628</v>
      </c>
      <c r="T1542" s="546" t="s">
        <v>804</v>
      </c>
    </row>
    <row r="1543" spans="1:20" x14ac:dyDescent="0.3">
      <c r="A1543" t="s">
        <v>627</v>
      </c>
      <c r="B1543" s="16">
        <v>45446</v>
      </c>
      <c r="C1543" t="s">
        <v>3</v>
      </c>
      <c r="D1543" t="s">
        <v>120</v>
      </c>
      <c r="E1543" t="s">
        <v>166</v>
      </c>
      <c r="F1543">
        <v>73</v>
      </c>
      <c r="G1543">
        <v>42</v>
      </c>
      <c r="H1543">
        <v>1</v>
      </c>
      <c r="I1543">
        <v>0</v>
      </c>
      <c r="J1543" s="15">
        <v>3960</v>
      </c>
      <c r="K1543">
        <v>1</v>
      </c>
      <c r="L1543" s="15">
        <v>1980</v>
      </c>
      <c r="M1543">
        <v>1</v>
      </c>
      <c r="N1543">
        <v>23</v>
      </c>
      <c r="O1543">
        <v>61</v>
      </c>
      <c r="P1543">
        <f t="shared" si="78"/>
        <v>2024</v>
      </c>
      <c r="Q1543">
        <f t="shared" si="79"/>
        <v>6</v>
      </c>
      <c r="R1543" t="str">
        <f t="shared" ref="R1543:R1606" si="80">E1543</f>
        <v>手猫搜索</v>
      </c>
      <c r="S1543" t="s">
        <v>628</v>
      </c>
      <c r="T1543" s="546" t="s">
        <v>804</v>
      </c>
    </row>
    <row r="1544" spans="1:20" x14ac:dyDescent="0.3">
      <c r="A1544" t="s">
        <v>627</v>
      </c>
      <c r="B1544" s="16">
        <v>45446</v>
      </c>
      <c r="C1544" t="s">
        <v>3</v>
      </c>
      <c r="D1544" t="s">
        <v>120</v>
      </c>
      <c r="E1544" t="s">
        <v>167</v>
      </c>
      <c r="F1544">
        <v>2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2</v>
      </c>
      <c r="P1544">
        <f t="shared" si="78"/>
        <v>2024</v>
      </c>
      <c r="Q1544">
        <f t="shared" si="79"/>
        <v>6</v>
      </c>
      <c r="R1544" t="str">
        <f t="shared" si="80"/>
        <v>手猫旺信聊天</v>
      </c>
      <c r="S1544" t="s">
        <v>628</v>
      </c>
      <c r="T1544" s="546" t="s">
        <v>804</v>
      </c>
    </row>
    <row r="1545" spans="1:20" x14ac:dyDescent="0.3">
      <c r="A1545" t="s">
        <v>627</v>
      </c>
      <c r="B1545" s="16">
        <v>45446</v>
      </c>
      <c r="C1545" t="s">
        <v>3</v>
      </c>
      <c r="D1545" t="s">
        <v>120</v>
      </c>
      <c r="E1545" t="s">
        <v>168</v>
      </c>
      <c r="F1545">
        <v>464</v>
      </c>
      <c r="G1545">
        <v>275</v>
      </c>
      <c r="H1545">
        <v>5</v>
      </c>
      <c r="I1545">
        <v>0</v>
      </c>
      <c r="J1545" s="15">
        <v>4757</v>
      </c>
      <c r="K1545">
        <v>2</v>
      </c>
      <c r="L1545" s="15">
        <v>4757</v>
      </c>
      <c r="M1545">
        <v>2</v>
      </c>
      <c r="N1545">
        <v>20</v>
      </c>
      <c r="O1545">
        <v>464</v>
      </c>
      <c r="P1545">
        <f t="shared" si="78"/>
        <v>2024</v>
      </c>
      <c r="Q1545">
        <f t="shared" si="79"/>
        <v>6</v>
      </c>
      <c r="R1545" t="str">
        <f t="shared" si="80"/>
        <v>手猫首页</v>
      </c>
      <c r="S1545" t="s">
        <v>628</v>
      </c>
      <c r="T1545" s="546" t="s">
        <v>804</v>
      </c>
    </row>
    <row r="1546" spans="1:20" x14ac:dyDescent="0.3">
      <c r="A1546" t="s">
        <v>627</v>
      </c>
      <c r="B1546" s="16">
        <v>45446</v>
      </c>
      <c r="C1546" t="s">
        <v>3</v>
      </c>
      <c r="D1546" t="s">
        <v>123</v>
      </c>
      <c r="E1546" t="s">
        <v>169</v>
      </c>
      <c r="F1546">
        <v>94</v>
      </c>
      <c r="G1546">
        <v>41</v>
      </c>
      <c r="H1546">
        <v>3</v>
      </c>
      <c r="I1546">
        <v>1</v>
      </c>
      <c r="J1546" s="17">
        <v>14637.32</v>
      </c>
      <c r="K1546">
        <v>3</v>
      </c>
      <c r="L1546" s="17">
        <v>12866.16</v>
      </c>
      <c r="M1546">
        <v>3</v>
      </c>
      <c r="N1546">
        <v>27</v>
      </c>
      <c r="O1546">
        <v>87</v>
      </c>
      <c r="P1546">
        <f t="shared" si="78"/>
        <v>2024</v>
      </c>
      <c r="Q1546">
        <f t="shared" si="79"/>
        <v>6</v>
      </c>
      <c r="R1546" t="str">
        <f t="shared" si="80"/>
        <v>商品详情页头图推荐</v>
      </c>
      <c r="S1546" t="s">
        <v>628</v>
      </c>
      <c r="T1546" s="546" t="s">
        <v>804</v>
      </c>
    </row>
    <row r="1547" spans="1:20" x14ac:dyDescent="0.3">
      <c r="A1547" t="s">
        <v>627</v>
      </c>
      <c r="B1547" s="16">
        <v>45446</v>
      </c>
      <c r="C1547" t="s">
        <v>3</v>
      </c>
      <c r="D1547" t="s">
        <v>123</v>
      </c>
      <c r="E1547" t="s">
        <v>170</v>
      </c>
      <c r="F1547">
        <v>31</v>
      </c>
      <c r="G1547">
        <v>22</v>
      </c>
      <c r="H1547">
        <v>3</v>
      </c>
      <c r="I1547">
        <v>0</v>
      </c>
      <c r="J1547" s="17">
        <v>8457.2099999999991</v>
      </c>
      <c r="K1547">
        <v>2</v>
      </c>
      <c r="L1547" s="17">
        <v>8457.2099999999991</v>
      </c>
      <c r="M1547">
        <v>2</v>
      </c>
      <c r="N1547">
        <v>26</v>
      </c>
      <c r="O1547">
        <v>11</v>
      </c>
      <c r="P1547">
        <f t="shared" si="78"/>
        <v>2024</v>
      </c>
      <c r="Q1547">
        <f t="shared" si="79"/>
        <v>6</v>
      </c>
      <c r="R1547" t="str">
        <f t="shared" si="80"/>
        <v>店铺超链</v>
      </c>
      <c r="S1547" t="s">
        <v>628</v>
      </c>
      <c r="T1547" s="546" t="s">
        <v>804</v>
      </c>
    </row>
    <row r="1548" spans="1:20" x14ac:dyDescent="0.3">
      <c r="A1548" t="s">
        <v>627</v>
      </c>
      <c r="B1548" s="16">
        <v>45446</v>
      </c>
      <c r="C1548" t="s">
        <v>3</v>
      </c>
      <c r="D1548" t="s">
        <v>127</v>
      </c>
      <c r="E1548" t="s">
        <v>171</v>
      </c>
      <c r="F1548">
        <v>156</v>
      </c>
      <c r="G1548">
        <v>80</v>
      </c>
      <c r="H1548">
        <v>5</v>
      </c>
      <c r="I1548">
        <v>4</v>
      </c>
      <c r="J1548" s="15">
        <v>1303</v>
      </c>
      <c r="K1548">
        <v>1</v>
      </c>
      <c r="L1548" s="15">
        <v>1303</v>
      </c>
      <c r="M1548">
        <v>1</v>
      </c>
      <c r="N1548">
        <v>48</v>
      </c>
      <c r="O1548">
        <v>134</v>
      </c>
      <c r="P1548">
        <f t="shared" si="78"/>
        <v>2024</v>
      </c>
      <c r="Q1548">
        <f t="shared" si="79"/>
        <v>6</v>
      </c>
      <c r="R1548" t="str">
        <f t="shared" si="80"/>
        <v>其他猜你喜欢</v>
      </c>
      <c r="S1548" t="s">
        <v>628</v>
      </c>
      <c r="T1548" s="546" t="s">
        <v>804</v>
      </c>
    </row>
    <row r="1549" spans="1:20" x14ac:dyDescent="0.3">
      <c r="A1549" t="s">
        <v>627</v>
      </c>
      <c r="B1549" s="16">
        <v>45446</v>
      </c>
      <c r="C1549" t="s">
        <v>3</v>
      </c>
      <c r="D1549" t="s">
        <v>127</v>
      </c>
      <c r="E1549" t="s">
        <v>172</v>
      </c>
      <c r="F1549">
        <v>8</v>
      </c>
      <c r="G1549">
        <v>4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8</v>
      </c>
      <c r="P1549">
        <f t="shared" si="78"/>
        <v>2024</v>
      </c>
      <c r="Q1549">
        <f t="shared" si="79"/>
        <v>6</v>
      </c>
      <c r="R1549" t="str">
        <f t="shared" si="80"/>
        <v>购中推荐</v>
      </c>
      <c r="S1549" t="s">
        <v>628</v>
      </c>
      <c r="T1549" s="546" t="s">
        <v>804</v>
      </c>
    </row>
    <row r="1550" spans="1:20" x14ac:dyDescent="0.3">
      <c r="A1550" t="s">
        <v>627</v>
      </c>
      <c r="B1550" s="16">
        <v>45446</v>
      </c>
      <c r="C1550" t="s">
        <v>3</v>
      </c>
      <c r="D1550" t="s">
        <v>127</v>
      </c>
      <c r="E1550" t="s">
        <v>173</v>
      </c>
      <c r="F1550">
        <v>23</v>
      </c>
      <c r="G1550">
        <v>9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20</v>
      </c>
      <c r="P1550">
        <f t="shared" si="78"/>
        <v>2024</v>
      </c>
      <c r="Q1550">
        <f t="shared" si="79"/>
        <v>6</v>
      </c>
      <c r="R1550" t="str">
        <f t="shared" si="80"/>
        <v>购后推荐</v>
      </c>
      <c r="S1550" t="s">
        <v>628</v>
      </c>
      <c r="T1550" s="546" t="s">
        <v>804</v>
      </c>
    </row>
    <row r="1551" spans="1:20" x14ac:dyDescent="0.3">
      <c r="A1551" t="s">
        <v>627</v>
      </c>
      <c r="B1551" s="16">
        <v>45446</v>
      </c>
      <c r="C1551" t="s">
        <v>3</v>
      </c>
      <c r="D1551" t="s">
        <v>127</v>
      </c>
      <c r="E1551" t="s">
        <v>174</v>
      </c>
      <c r="F1551" s="15">
        <v>1723</v>
      </c>
      <c r="G1551">
        <v>863</v>
      </c>
      <c r="H1551">
        <v>29</v>
      </c>
      <c r="I1551">
        <v>18</v>
      </c>
      <c r="J1551" s="17">
        <v>23664.560000000001</v>
      </c>
      <c r="K1551">
        <v>9</v>
      </c>
      <c r="L1551" s="17">
        <v>21893.4</v>
      </c>
      <c r="M1551">
        <v>9</v>
      </c>
      <c r="N1551">
        <v>144</v>
      </c>
      <c r="O1551" s="15">
        <v>1723</v>
      </c>
      <c r="P1551">
        <f t="shared" si="78"/>
        <v>2024</v>
      </c>
      <c r="Q1551">
        <f t="shared" si="79"/>
        <v>6</v>
      </c>
      <c r="R1551" t="str">
        <f t="shared" si="80"/>
        <v>首页推荐-微详情</v>
      </c>
      <c r="S1551" t="s">
        <v>628</v>
      </c>
      <c r="T1551" s="546" t="s">
        <v>804</v>
      </c>
    </row>
    <row r="1552" spans="1:20" x14ac:dyDescent="0.3">
      <c r="A1552" t="s">
        <v>627</v>
      </c>
      <c r="B1552" s="16">
        <v>45446</v>
      </c>
      <c r="C1552" t="s">
        <v>3</v>
      </c>
      <c r="D1552" t="s">
        <v>127</v>
      </c>
      <c r="E1552" t="s">
        <v>175</v>
      </c>
      <c r="F1552">
        <v>242</v>
      </c>
      <c r="G1552">
        <v>179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3</v>
      </c>
      <c r="O1552">
        <v>12</v>
      </c>
      <c r="P1552">
        <f t="shared" si="78"/>
        <v>2024</v>
      </c>
      <c r="Q1552">
        <f t="shared" si="79"/>
        <v>6</v>
      </c>
      <c r="R1552" t="str">
        <f t="shared" si="80"/>
        <v>首页推荐-直播</v>
      </c>
      <c r="S1552" t="s">
        <v>628</v>
      </c>
      <c r="T1552" s="546" t="s">
        <v>804</v>
      </c>
    </row>
    <row r="1553" spans="1:20" x14ac:dyDescent="0.3">
      <c r="A1553" t="s">
        <v>627</v>
      </c>
      <c r="B1553" s="16">
        <v>45446</v>
      </c>
      <c r="C1553" t="s">
        <v>3</v>
      </c>
      <c r="D1553" t="s">
        <v>127</v>
      </c>
      <c r="E1553" t="s">
        <v>176</v>
      </c>
      <c r="F1553">
        <v>86</v>
      </c>
      <c r="G1553">
        <v>38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f t="shared" si="78"/>
        <v>2024</v>
      </c>
      <c r="Q1553">
        <f t="shared" si="79"/>
        <v>6</v>
      </c>
      <c r="R1553" t="str">
        <f t="shared" si="80"/>
        <v>首页推荐-短视频</v>
      </c>
      <c r="S1553" t="s">
        <v>628</v>
      </c>
      <c r="T1553" s="546" t="s">
        <v>804</v>
      </c>
    </row>
    <row r="1554" spans="1:20" x14ac:dyDescent="0.3">
      <c r="A1554" t="s">
        <v>627</v>
      </c>
      <c r="B1554" s="16">
        <v>45446</v>
      </c>
      <c r="C1554" t="s">
        <v>3</v>
      </c>
      <c r="D1554" t="s">
        <v>128</v>
      </c>
      <c r="E1554" t="s">
        <v>177</v>
      </c>
      <c r="F1554" s="15">
        <v>1018</v>
      </c>
      <c r="G1554">
        <v>781</v>
      </c>
      <c r="H1554">
        <v>97</v>
      </c>
      <c r="I1554">
        <v>13</v>
      </c>
      <c r="J1554" s="17">
        <v>108295.5</v>
      </c>
      <c r="K1554">
        <v>31</v>
      </c>
      <c r="L1554" s="17">
        <v>90705.5</v>
      </c>
      <c r="M1554">
        <v>29</v>
      </c>
      <c r="N1554">
        <v>301</v>
      </c>
      <c r="O1554">
        <v>912</v>
      </c>
      <c r="P1554">
        <f t="shared" si="78"/>
        <v>2024</v>
      </c>
      <c r="Q1554">
        <f t="shared" si="79"/>
        <v>6</v>
      </c>
      <c r="R1554" t="str">
        <f t="shared" si="80"/>
        <v>手淘搜索-商品及其他</v>
      </c>
      <c r="S1554" t="s">
        <v>628</v>
      </c>
      <c r="T1554" s="546" t="s">
        <v>804</v>
      </c>
    </row>
    <row r="1555" spans="1:20" x14ac:dyDescent="0.3">
      <c r="A1555" t="s">
        <v>627</v>
      </c>
      <c r="B1555" s="16">
        <v>45446</v>
      </c>
      <c r="C1555" t="s">
        <v>3</v>
      </c>
      <c r="D1555" t="s">
        <v>128</v>
      </c>
      <c r="E1555" t="s">
        <v>178</v>
      </c>
      <c r="F1555">
        <v>5</v>
      </c>
      <c r="G1555">
        <v>4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4</v>
      </c>
      <c r="P1555">
        <f t="shared" si="78"/>
        <v>2024</v>
      </c>
      <c r="Q1555">
        <f t="shared" si="79"/>
        <v>6</v>
      </c>
      <c r="R1555" t="str">
        <f t="shared" si="80"/>
        <v>手淘搜索-直播</v>
      </c>
      <c r="S1555" t="s">
        <v>628</v>
      </c>
      <c r="T1555" s="546" t="s">
        <v>804</v>
      </c>
    </row>
    <row r="1556" spans="1:20" x14ac:dyDescent="0.3">
      <c r="A1556" t="s">
        <v>627</v>
      </c>
      <c r="B1556" s="16">
        <v>45446</v>
      </c>
      <c r="C1556" t="s">
        <v>3</v>
      </c>
      <c r="D1556" t="s">
        <v>128</v>
      </c>
      <c r="E1556" t="s">
        <v>179</v>
      </c>
      <c r="F1556">
        <v>25</v>
      </c>
      <c r="G1556">
        <v>15</v>
      </c>
      <c r="H1556">
        <v>0</v>
      </c>
      <c r="I1556">
        <v>0</v>
      </c>
      <c r="J1556" s="15">
        <v>1498</v>
      </c>
      <c r="K1556">
        <v>1</v>
      </c>
      <c r="L1556" s="15">
        <v>1498</v>
      </c>
      <c r="M1556">
        <v>1</v>
      </c>
      <c r="N1556">
        <v>4</v>
      </c>
      <c r="O1556">
        <v>7</v>
      </c>
      <c r="P1556">
        <f t="shared" si="78"/>
        <v>2024</v>
      </c>
      <c r="Q1556">
        <f t="shared" si="79"/>
        <v>6</v>
      </c>
      <c r="R1556" t="str">
        <f t="shared" si="80"/>
        <v>手淘搜索-短视频</v>
      </c>
      <c r="S1556" t="s">
        <v>628</v>
      </c>
      <c r="T1556" s="546" t="s">
        <v>804</v>
      </c>
    </row>
    <row r="1557" spans="1:20" x14ac:dyDescent="0.3">
      <c r="A1557" t="s">
        <v>627</v>
      </c>
      <c r="B1557" s="16">
        <v>45446</v>
      </c>
      <c r="C1557" t="s">
        <v>3</v>
      </c>
      <c r="D1557" t="s">
        <v>143</v>
      </c>
      <c r="E1557" t="s">
        <v>180</v>
      </c>
      <c r="F1557">
        <v>29</v>
      </c>
      <c r="G1557">
        <v>28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29</v>
      </c>
      <c r="P1557">
        <f t="shared" ref="P1557:P1620" si="81">YEAR(B1557)</f>
        <v>2024</v>
      </c>
      <c r="Q1557">
        <f t="shared" ref="Q1557:Q1620" si="82">MONTH(B1557)</f>
        <v>6</v>
      </c>
      <c r="R1557" t="str">
        <f t="shared" si="80"/>
        <v>淘特其他渠道</v>
      </c>
      <c r="S1557" t="s">
        <v>628</v>
      </c>
      <c r="T1557" s="546" t="s">
        <v>804</v>
      </c>
    </row>
    <row r="1558" spans="1:20" x14ac:dyDescent="0.3">
      <c r="A1558" t="s">
        <v>627</v>
      </c>
      <c r="B1558" s="16">
        <v>45446</v>
      </c>
      <c r="C1558" t="s">
        <v>3</v>
      </c>
      <c r="D1558" t="s">
        <v>143</v>
      </c>
      <c r="E1558" t="s">
        <v>181</v>
      </c>
      <c r="F1558">
        <v>1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f t="shared" si="81"/>
        <v>2024</v>
      </c>
      <c r="Q1558">
        <f t="shared" si="82"/>
        <v>6</v>
      </c>
      <c r="R1558" t="str">
        <f t="shared" si="80"/>
        <v>淘特搜索</v>
      </c>
      <c r="S1558" t="s">
        <v>628</v>
      </c>
      <c r="T1558" s="546" t="s">
        <v>804</v>
      </c>
    </row>
    <row r="1559" spans="1:20" x14ac:dyDescent="0.3">
      <c r="A1559" t="s">
        <v>627</v>
      </c>
      <c r="B1559" s="16">
        <v>45446</v>
      </c>
      <c r="C1559" t="s">
        <v>2</v>
      </c>
      <c r="D1559" t="s">
        <v>55</v>
      </c>
      <c r="E1559" t="s">
        <v>54</v>
      </c>
      <c r="F1559" s="15">
        <v>1514</v>
      </c>
      <c r="G1559" s="15">
        <v>1001</v>
      </c>
      <c r="H1559">
        <v>3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16</v>
      </c>
      <c r="O1559">
        <v>247</v>
      </c>
      <c r="P1559">
        <f t="shared" si="81"/>
        <v>2024</v>
      </c>
      <c r="Q1559">
        <f t="shared" si="82"/>
        <v>6</v>
      </c>
      <c r="R1559" t="str">
        <f t="shared" si="80"/>
        <v>超级直播</v>
      </c>
      <c r="S1559" t="s">
        <v>628</v>
      </c>
      <c r="T1559" s="546" t="s">
        <v>804</v>
      </c>
    </row>
    <row r="1560" spans="1:20" x14ac:dyDescent="0.3">
      <c r="A1560" t="s">
        <v>627</v>
      </c>
      <c r="B1560" s="16">
        <v>45446</v>
      </c>
      <c r="C1560" t="s">
        <v>2</v>
      </c>
      <c r="D1560" t="s">
        <v>52</v>
      </c>
      <c r="E1560" t="s">
        <v>53</v>
      </c>
      <c r="F1560">
        <v>414</v>
      </c>
      <c r="G1560">
        <v>346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414</v>
      </c>
      <c r="O1560">
        <v>41</v>
      </c>
      <c r="P1560">
        <f t="shared" si="81"/>
        <v>2024</v>
      </c>
      <c r="Q1560">
        <f t="shared" si="82"/>
        <v>6</v>
      </c>
      <c r="R1560" t="str">
        <f t="shared" si="80"/>
        <v>Showmax</v>
      </c>
      <c r="S1560" t="s">
        <v>628</v>
      </c>
      <c r="T1560" s="546" t="s">
        <v>804</v>
      </c>
    </row>
    <row r="1561" spans="1:20" x14ac:dyDescent="0.3">
      <c r="A1561" t="s">
        <v>627</v>
      </c>
      <c r="B1561" s="16">
        <v>45446</v>
      </c>
      <c r="C1561" t="s">
        <v>2</v>
      </c>
      <c r="D1561" t="s">
        <v>52</v>
      </c>
      <c r="E1561" t="s">
        <v>59</v>
      </c>
      <c r="F1561" s="15">
        <v>1101</v>
      </c>
      <c r="G1561">
        <v>837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 s="15">
        <v>1101</v>
      </c>
      <c r="O1561">
        <v>140</v>
      </c>
      <c r="P1561">
        <f t="shared" si="81"/>
        <v>2024</v>
      </c>
      <c r="Q1561">
        <f t="shared" si="82"/>
        <v>6</v>
      </c>
      <c r="R1561" t="str">
        <f t="shared" si="80"/>
        <v>品牌特秀</v>
      </c>
      <c r="S1561" t="s">
        <v>628</v>
      </c>
      <c r="T1561" s="546" t="s">
        <v>804</v>
      </c>
    </row>
    <row r="1562" spans="1:20" x14ac:dyDescent="0.3">
      <c r="A1562" t="s">
        <v>627</v>
      </c>
      <c r="B1562" s="16">
        <v>45446</v>
      </c>
      <c r="C1562" t="s">
        <v>2</v>
      </c>
      <c r="D1562" t="s">
        <v>52</v>
      </c>
      <c r="E1562" t="s">
        <v>183</v>
      </c>
      <c r="F1562">
        <v>659</v>
      </c>
      <c r="G1562">
        <v>525</v>
      </c>
      <c r="H1562">
        <v>17</v>
      </c>
      <c r="I1562">
        <v>4</v>
      </c>
      <c r="J1562" s="17">
        <v>14393.27</v>
      </c>
      <c r="K1562">
        <v>4</v>
      </c>
      <c r="L1562" s="17">
        <v>14393.27</v>
      </c>
      <c r="M1562">
        <v>4</v>
      </c>
      <c r="N1562">
        <v>659</v>
      </c>
      <c r="O1562">
        <v>360</v>
      </c>
      <c r="P1562">
        <f t="shared" si="81"/>
        <v>2024</v>
      </c>
      <c r="Q1562">
        <f t="shared" si="82"/>
        <v>6</v>
      </c>
      <c r="R1562" t="str">
        <f t="shared" si="80"/>
        <v>品销宝-品牌专区</v>
      </c>
      <c r="S1562" t="s">
        <v>628</v>
      </c>
      <c r="T1562" s="546" t="s">
        <v>804</v>
      </c>
    </row>
    <row r="1563" spans="1:20" x14ac:dyDescent="0.3">
      <c r="A1563" t="s">
        <v>627</v>
      </c>
      <c r="B1563" s="16">
        <v>45446</v>
      </c>
      <c r="C1563" t="s">
        <v>2</v>
      </c>
      <c r="D1563" t="s">
        <v>57</v>
      </c>
      <c r="E1563" t="s">
        <v>65</v>
      </c>
      <c r="F1563" s="15">
        <v>4806</v>
      </c>
      <c r="G1563" s="15">
        <v>4281</v>
      </c>
      <c r="H1563">
        <v>119</v>
      </c>
      <c r="I1563">
        <v>36</v>
      </c>
      <c r="J1563" s="15">
        <v>163825</v>
      </c>
      <c r="K1563">
        <v>46</v>
      </c>
      <c r="L1563" s="15">
        <v>129440</v>
      </c>
      <c r="M1563">
        <v>39</v>
      </c>
      <c r="N1563">
        <v>326</v>
      </c>
      <c r="O1563" s="15">
        <v>4764</v>
      </c>
      <c r="P1563">
        <f t="shared" si="81"/>
        <v>2024</v>
      </c>
      <c r="Q1563">
        <f t="shared" si="82"/>
        <v>6</v>
      </c>
      <c r="R1563" t="str">
        <f t="shared" si="80"/>
        <v>直通车</v>
      </c>
      <c r="S1563" t="s">
        <v>628</v>
      </c>
      <c r="T1563" s="546" t="s">
        <v>804</v>
      </c>
    </row>
    <row r="1564" spans="1:20" x14ac:dyDescent="0.3">
      <c r="A1564" t="s">
        <v>627</v>
      </c>
      <c r="B1564" s="16">
        <v>45446</v>
      </c>
      <c r="C1564" t="s">
        <v>2</v>
      </c>
      <c r="D1564" t="s">
        <v>57</v>
      </c>
      <c r="E1564" t="s">
        <v>63</v>
      </c>
      <c r="F1564" s="15">
        <v>3563</v>
      </c>
      <c r="G1564" s="15">
        <v>1998</v>
      </c>
      <c r="H1564">
        <v>65</v>
      </c>
      <c r="I1564">
        <v>20</v>
      </c>
      <c r="J1564" s="17">
        <v>128945.5</v>
      </c>
      <c r="K1564">
        <v>26</v>
      </c>
      <c r="L1564" s="17">
        <v>110163.5</v>
      </c>
      <c r="M1564">
        <v>24</v>
      </c>
      <c r="N1564">
        <v>222</v>
      </c>
      <c r="O1564" s="15">
        <v>3555</v>
      </c>
      <c r="P1564">
        <f t="shared" si="81"/>
        <v>2024</v>
      </c>
      <c r="Q1564">
        <f t="shared" si="82"/>
        <v>6</v>
      </c>
      <c r="R1564" t="str">
        <f t="shared" si="80"/>
        <v>万相台</v>
      </c>
      <c r="S1564" t="s">
        <v>628</v>
      </c>
      <c r="T1564" s="546" t="s">
        <v>804</v>
      </c>
    </row>
    <row r="1565" spans="1:20" x14ac:dyDescent="0.3">
      <c r="A1565" t="s">
        <v>627</v>
      </c>
      <c r="B1565" s="16">
        <v>45446</v>
      </c>
      <c r="C1565" t="s">
        <v>2</v>
      </c>
      <c r="D1565" t="s">
        <v>57</v>
      </c>
      <c r="E1565" t="s">
        <v>64</v>
      </c>
      <c r="F1565" s="15">
        <v>12576</v>
      </c>
      <c r="G1565" s="15">
        <v>6538</v>
      </c>
      <c r="H1565">
        <v>37</v>
      </c>
      <c r="I1565">
        <v>40</v>
      </c>
      <c r="J1565" s="15">
        <v>45496</v>
      </c>
      <c r="K1565">
        <v>9</v>
      </c>
      <c r="L1565" s="15">
        <v>15551</v>
      </c>
      <c r="M1565">
        <v>6</v>
      </c>
      <c r="N1565">
        <v>309</v>
      </c>
      <c r="O1565" s="15">
        <v>12570</v>
      </c>
      <c r="P1565">
        <f t="shared" si="81"/>
        <v>2024</v>
      </c>
      <c r="Q1565">
        <f t="shared" si="82"/>
        <v>6</v>
      </c>
      <c r="R1565" t="str">
        <f t="shared" si="80"/>
        <v>引力魔方</v>
      </c>
      <c r="S1565" t="s">
        <v>628</v>
      </c>
      <c r="T1565" s="546" t="s">
        <v>804</v>
      </c>
    </row>
    <row r="1566" spans="1:20" x14ac:dyDescent="0.3">
      <c r="A1566" t="s">
        <v>627</v>
      </c>
      <c r="B1566" s="16">
        <v>45446</v>
      </c>
      <c r="C1566" t="s">
        <v>2</v>
      </c>
      <c r="D1566" t="s">
        <v>4</v>
      </c>
      <c r="E1566" t="s">
        <v>41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1</v>
      </c>
      <c r="O1566">
        <v>0</v>
      </c>
      <c r="P1566">
        <f t="shared" si="81"/>
        <v>2024</v>
      </c>
      <c r="Q1566">
        <f t="shared" si="82"/>
        <v>6</v>
      </c>
      <c r="R1566" t="str">
        <f t="shared" si="80"/>
        <v>流量宝</v>
      </c>
      <c r="S1566" t="s">
        <v>628</v>
      </c>
      <c r="T1566" s="546" t="s">
        <v>804</v>
      </c>
    </row>
    <row r="1567" spans="1:20" x14ac:dyDescent="0.3">
      <c r="A1567" t="s">
        <v>627</v>
      </c>
      <c r="B1567" s="16">
        <v>45446</v>
      </c>
      <c r="C1567" t="s">
        <v>2</v>
      </c>
      <c r="D1567" t="s">
        <v>4</v>
      </c>
      <c r="E1567" t="s">
        <v>43</v>
      </c>
      <c r="F1567">
        <v>475</v>
      </c>
      <c r="G1567">
        <v>174</v>
      </c>
      <c r="H1567">
        <v>9</v>
      </c>
      <c r="I1567">
        <v>3</v>
      </c>
      <c r="J1567" s="15">
        <v>15978</v>
      </c>
      <c r="K1567">
        <v>6</v>
      </c>
      <c r="L1567" s="15">
        <v>12564</v>
      </c>
      <c r="M1567">
        <v>5</v>
      </c>
      <c r="N1567">
        <v>22</v>
      </c>
      <c r="O1567">
        <v>462</v>
      </c>
      <c r="P1567">
        <f t="shared" si="81"/>
        <v>2024</v>
      </c>
      <c r="Q1567">
        <f t="shared" si="82"/>
        <v>6</v>
      </c>
      <c r="R1567" t="str">
        <f t="shared" si="80"/>
        <v>淘宝客</v>
      </c>
      <c r="S1567" t="s">
        <v>628</v>
      </c>
      <c r="T1567" s="546" t="s">
        <v>804</v>
      </c>
    </row>
    <row r="1568" spans="1:20" x14ac:dyDescent="0.3">
      <c r="A1568" t="s">
        <v>627</v>
      </c>
      <c r="B1568" s="16">
        <v>45447</v>
      </c>
      <c r="C1568" t="s">
        <v>3</v>
      </c>
      <c r="D1568" t="s">
        <v>114</v>
      </c>
      <c r="E1568" t="s">
        <v>159</v>
      </c>
      <c r="F1568">
        <v>99</v>
      </c>
      <c r="G1568">
        <v>41</v>
      </c>
      <c r="H1568">
        <v>2</v>
      </c>
      <c r="I1568">
        <v>1</v>
      </c>
      <c r="J1568" s="15">
        <v>3083</v>
      </c>
      <c r="K1568">
        <v>2</v>
      </c>
      <c r="L1568" s="15">
        <v>1780</v>
      </c>
      <c r="M1568">
        <v>1</v>
      </c>
      <c r="N1568">
        <v>18</v>
      </c>
      <c r="O1568">
        <v>92</v>
      </c>
      <c r="P1568">
        <f t="shared" si="81"/>
        <v>2024</v>
      </c>
      <c r="Q1568">
        <f t="shared" si="82"/>
        <v>6</v>
      </c>
      <c r="R1568" t="str">
        <f t="shared" si="80"/>
        <v>主会场</v>
      </c>
      <c r="S1568" t="s">
        <v>628</v>
      </c>
      <c r="T1568" s="546" t="s">
        <v>804</v>
      </c>
    </row>
    <row r="1569" spans="1:20" x14ac:dyDescent="0.3">
      <c r="A1569" t="s">
        <v>627</v>
      </c>
      <c r="B1569" s="16">
        <v>45447</v>
      </c>
      <c r="C1569" t="s">
        <v>3</v>
      </c>
      <c r="D1569" t="s">
        <v>114</v>
      </c>
      <c r="E1569" t="s">
        <v>160</v>
      </c>
      <c r="F1569">
        <v>13</v>
      </c>
      <c r="G1569">
        <v>13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13</v>
      </c>
      <c r="P1569">
        <f t="shared" si="81"/>
        <v>2024</v>
      </c>
      <c r="Q1569">
        <f t="shared" si="82"/>
        <v>6</v>
      </c>
      <c r="R1569" t="str">
        <f t="shared" si="80"/>
        <v>榜单会场</v>
      </c>
      <c r="S1569" t="s">
        <v>628</v>
      </c>
      <c r="T1569" s="546" t="s">
        <v>804</v>
      </c>
    </row>
    <row r="1570" spans="1:20" x14ac:dyDescent="0.3">
      <c r="A1570" t="s">
        <v>627</v>
      </c>
      <c r="B1570" s="16">
        <v>45447</v>
      </c>
      <c r="C1570" t="s">
        <v>3</v>
      </c>
      <c r="D1570" t="s">
        <v>117</v>
      </c>
      <c r="E1570" t="s">
        <v>161</v>
      </c>
      <c r="F1570">
        <v>31</v>
      </c>
      <c r="G1570">
        <v>30</v>
      </c>
      <c r="H1570">
        <v>1</v>
      </c>
      <c r="I1570">
        <v>2</v>
      </c>
      <c r="J1570">
        <v>0</v>
      </c>
      <c r="K1570">
        <v>0</v>
      </c>
      <c r="L1570">
        <v>0</v>
      </c>
      <c r="M1570">
        <v>0</v>
      </c>
      <c r="N1570">
        <v>1</v>
      </c>
      <c r="O1570">
        <v>31</v>
      </c>
      <c r="P1570">
        <f t="shared" si="81"/>
        <v>2024</v>
      </c>
      <c r="Q1570">
        <f t="shared" si="82"/>
        <v>6</v>
      </c>
      <c r="R1570" t="str">
        <f t="shared" si="80"/>
        <v>其他入口榜单</v>
      </c>
      <c r="S1570" t="s">
        <v>628</v>
      </c>
      <c r="T1570" s="546" t="s">
        <v>804</v>
      </c>
    </row>
    <row r="1571" spans="1:20" x14ac:dyDescent="0.3">
      <c r="A1571" t="s">
        <v>627</v>
      </c>
      <c r="B1571" s="16">
        <v>45447</v>
      </c>
      <c r="C1571" t="s">
        <v>3</v>
      </c>
      <c r="D1571" t="s">
        <v>117</v>
      </c>
      <c r="E1571" t="s">
        <v>191</v>
      </c>
      <c r="F1571">
        <v>3</v>
      </c>
      <c r="G1571">
        <v>3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3</v>
      </c>
      <c r="P1571">
        <f t="shared" si="81"/>
        <v>2024</v>
      </c>
      <c r="Q1571">
        <f t="shared" si="82"/>
        <v>6</v>
      </c>
      <c r="R1571" t="str">
        <f t="shared" si="80"/>
        <v>商品详情页入口榜单</v>
      </c>
      <c r="S1571" t="s">
        <v>628</v>
      </c>
      <c r="T1571" s="546" t="s">
        <v>804</v>
      </c>
    </row>
    <row r="1572" spans="1:20" x14ac:dyDescent="0.3">
      <c r="A1572" t="s">
        <v>627</v>
      </c>
      <c r="B1572" s="16">
        <v>45447</v>
      </c>
      <c r="C1572" t="s">
        <v>3</v>
      </c>
      <c r="D1572" t="s">
        <v>117</v>
      </c>
      <c r="E1572" t="s">
        <v>195</v>
      </c>
      <c r="F1572">
        <v>2</v>
      </c>
      <c r="G1572">
        <v>2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</v>
      </c>
      <c r="O1572">
        <v>2</v>
      </c>
      <c r="P1572">
        <f t="shared" si="81"/>
        <v>2024</v>
      </c>
      <c r="Q1572">
        <f t="shared" si="82"/>
        <v>6</v>
      </c>
      <c r="R1572" t="str">
        <f t="shared" si="80"/>
        <v>搜索入口榜单</v>
      </c>
      <c r="S1572" t="s">
        <v>628</v>
      </c>
      <c r="T1572" s="546" t="s">
        <v>804</v>
      </c>
    </row>
    <row r="1573" spans="1:20" x14ac:dyDescent="0.3">
      <c r="A1573" t="s">
        <v>627</v>
      </c>
      <c r="B1573" s="16">
        <v>45447</v>
      </c>
      <c r="C1573" t="s">
        <v>3</v>
      </c>
      <c r="D1573" t="s">
        <v>120</v>
      </c>
      <c r="E1573" t="s">
        <v>163</v>
      </c>
      <c r="F1573">
        <v>86</v>
      </c>
      <c r="G1573">
        <v>42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20</v>
      </c>
      <c r="O1573">
        <v>85</v>
      </c>
      <c r="P1573">
        <f t="shared" si="81"/>
        <v>2024</v>
      </c>
      <c r="Q1573">
        <f t="shared" si="82"/>
        <v>6</v>
      </c>
      <c r="R1573" t="str">
        <f t="shared" si="80"/>
        <v>手猫免费其他</v>
      </c>
      <c r="S1573" t="s">
        <v>628</v>
      </c>
      <c r="T1573" s="546" t="s">
        <v>804</v>
      </c>
    </row>
    <row r="1574" spans="1:20" x14ac:dyDescent="0.3">
      <c r="A1574" t="s">
        <v>627</v>
      </c>
      <c r="B1574" s="16">
        <v>45447</v>
      </c>
      <c r="C1574" t="s">
        <v>3</v>
      </c>
      <c r="D1574" t="s">
        <v>120</v>
      </c>
      <c r="E1574" t="s">
        <v>164</v>
      </c>
      <c r="F1574">
        <v>1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f t="shared" si="81"/>
        <v>2024</v>
      </c>
      <c r="Q1574">
        <f t="shared" si="82"/>
        <v>6</v>
      </c>
      <c r="R1574" t="str">
        <f t="shared" si="80"/>
        <v>手猫其他店铺</v>
      </c>
      <c r="S1574" t="s">
        <v>628</v>
      </c>
      <c r="T1574" s="546" t="s">
        <v>804</v>
      </c>
    </row>
    <row r="1575" spans="1:20" x14ac:dyDescent="0.3">
      <c r="A1575" t="s">
        <v>627</v>
      </c>
      <c r="B1575" s="16">
        <v>45447</v>
      </c>
      <c r="C1575" t="s">
        <v>3</v>
      </c>
      <c r="D1575" t="s">
        <v>120</v>
      </c>
      <c r="E1575" t="s">
        <v>165</v>
      </c>
      <c r="F1575">
        <v>34</v>
      </c>
      <c r="G1575">
        <v>13</v>
      </c>
      <c r="H1575">
        <v>2</v>
      </c>
      <c r="I1575">
        <v>0</v>
      </c>
      <c r="J1575" s="15">
        <v>2655</v>
      </c>
      <c r="K1575">
        <v>1</v>
      </c>
      <c r="L1575" s="15">
        <v>2655</v>
      </c>
      <c r="M1575">
        <v>1</v>
      </c>
      <c r="N1575">
        <v>7</v>
      </c>
      <c r="O1575">
        <v>34</v>
      </c>
      <c r="P1575">
        <f t="shared" si="81"/>
        <v>2024</v>
      </c>
      <c r="Q1575">
        <f t="shared" si="82"/>
        <v>6</v>
      </c>
      <c r="R1575" t="str">
        <f t="shared" si="80"/>
        <v>手猫商品详情</v>
      </c>
      <c r="S1575" t="s">
        <v>628</v>
      </c>
      <c r="T1575" s="546" t="s">
        <v>804</v>
      </c>
    </row>
    <row r="1576" spans="1:20" x14ac:dyDescent="0.3">
      <c r="A1576" t="s">
        <v>627</v>
      </c>
      <c r="B1576" s="16">
        <v>45447</v>
      </c>
      <c r="C1576" t="s">
        <v>3</v>
      </c>
      <c r="D1576" t="s">
        <v>120</v>
      </c>
      <c r="E1576" t="s">
        <v>166</v>
      </c>
      <c r="F1576">
        <v>48</v>
      </c>
      <c r="G1576">
        <v>29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13</v>
      </c>
      <c r="O1576">
        <v>45</v>
      </c>
      <c r="P1576">
        <f t="shared" si="81"/>
        <v>2024</v>
      </c>
      <c r="Q1576">
        <f t="shared" si="82"/>
        <v>6</v>
      </c>
      <c r="R1576" t="str">
        <f t="shared" si="80"/>
        <v>手猫搜索</v>
      </c>
      <c r="S1576" t="s">
        <v>628</v>
      </c>
      <c r="T1576" s="546" t="s">
        <v>804</v>
      </c>
    </row>
    <row r="1577" spans="1:20" x14ac:dyDescent="0.3">
      <c r="A1577" t="s">
        <v>627</v>
      </c>
      <c r="B1577" s="16">
        <v>45447</v>
      </c>
      <c r="C1577" t="s">
        <v>3</v>
      </c>
      <c r="D1577" t="s">
        <v>120</v>
      </c>
      <c r="E1577" t="s">
        <v>167</v>
      </c>
      <c r="F1577">
        <v>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1</v>
      </c>
      <c r="P1577">
        <f t="shared" si="81"/>
        <v>2024</v>
      </c>
      <c r="Q1577">
        <f t="shared" si="82"/>
        <v>6</v>
      </c>
      <c r="R1577" t="str">
        <f t="shared" si="80"/>
        <v>手猫旺信聊天</v>
      </c>
      <c r="S1577" t="s">
        <v>628</v>
      </c>
      <c r="T1577" s="546" t="s">
        <v>804</v>
      </c>
    </row>
    <row r="1578" spans="1:20" x14ac:dyDescent="0.3">
      <c r="A1578" t="s">
        <v>627</v>
      </c>
      <c r="B1578" s="16">
        <v>45447</v>
      </c>
      <c r="C1578" t="s">
        <v>3</v>
      </c>
      <c r="D1578" t="s">
        <v>120</v>
      </c>
      <c r="E1578" t="s">
        <v>168</v>
      </c>
      <c r="F1578">
        <v>400</v>
      </c>
      <c r="G1578">
        <v>234</v>
      </c>
      <c r="H1578">
        <v>6</v>
      </c>
      <c r="I1578">
        <v>0</v>
      </c>
      <c r="J1578" s="15">
        <v>1725</v>
      </c>
      <c r="K1578">
        <v>1</v>
      </c>
      <c r="L1578" s="15">
        <v>1725</v>
      </c>
      <c r="M1578">
        <v>1</v>
      </c>
      <c r="N1578">
        <v>21</v>
      </c>
      <c r="O1578">
        <v>400</v>
      </c>
      <c r="P1578">
        <f t="shared" si="81"/>
        <v>2024</v>
      </c>
      <c r="Q1578">
        <f t="shared" si="82"/>
        <v>6</v>
      </c>
      <c r="R1578" t="str">
        <f t="shared" si="80"/>
        <v>手猫首页</v>
      </c>
      <c r="S1578" t="s">
        <v>628</v>
      </c>
      <c r="T1578" s="546" t="s">
        <v>804</v>
      </c>
    </row>
    <row r="1579" spans="1:20" x14ac:dyDescent="0.3">
      <c r="A1579" t="s">
        <v>627</v>
      </c>
      <c r="B1579" s="16">
        <v>45447</v>
      </c>
      <c r="C1579" t="s">
        <v>3</v>
      </c>
      <c r="D1579" t="s">
        <v>123</v>
      </c>
      <c r="E1579" t="s">
        <v>169</v>
      </c>
      <c r="F1579">
        <v>88</v>
      </c>
      <c r="G1579">
        <v>33</v>
      </c>
      <c r="H1579">
        <v>5</v>
      </c>
      <c r="I1579">
        <v>1</v>
      </c>
      <c r="J1579" s="15">
        <v>12348</v>
      </c>
      <c r="K1579">
        <v>2</v>
      </c>
      <c r="L1579" s="15">
        <v>7874</v>
      </c>
      <c r="M1579">
        <v>2</v>
      </c>
      <c r="N1579">
        <v>30</v>
      </c>
      <c r="O1579">
        <v>81</v>
      </c>
      <c r="P1579">
        <f t="shared" si="81"/>
        <v>2024</v>
      </c>
      <c r="Q1579">
        <f t="shared" si="82"/>
        <v>6</v>
      </c>
      <c r="R1579" t="str">
        <f t="shared" si="80"/>
        <v>商品详情页头图推荐</v>
      </c>
      <c r="S1579" t="s">
        <v>628</v>
      </c>
      <c r="T1579" s="546" t="s">
        <v>804</v>
      </c>
    </row>
    <row r="1580" spans="1:20" x14ac:dyDescent="0.3">
      <c r="A1580" t="s">
        <v>627</v>
      </c>
      <c r="B1580" s="16">
        <v>45447</v>
      </c>
      <c r="C1580" t="s">
        <v>3</v>
      </c>
      <c r="D1580" t="s">
        <v>123</v>
      </c>
      <c r="E1580" t="s">
        <v>170</v>
      </c>
      <c r="F1580">
        <v>24</v>
      </c>
      <c r="G1580">
        <v>14</v>
      </c>
      <c r="H1580">
        <v>0</v>
      </c>
      <c r="I1580">
        <v>3</v>
      </c>
      <c r="J1580">
        <v>0</v>
      </c>
      <c r="K1580">
        <v>0</v>
      </c>
      <c r="L1580">
        <v>0</v>
      </c>
      <c r="M1580">
        <v>0</v>
      </c>
      <c r="N1580">
        <v>20</v>
      </c>
      <c r="O1580">
        <v>11</v>
      </c>
      <c r="P1580">
        <f t="shared" si="81"/>
        <v>2024</v>
      </c>
      <c r="Q1580">
        <f t="shared" si="82"/>
        <v>6</v>
      </c>
      <c r="R1580" t="str">
        <f t="shared" si="80"/>
        <v>店铺超链</v>
      </c>
      <c r="S1580" t="s">
        <v>628</v>
      </c>
      <c r="T1580" s="546" t="s">
        <v>804</v>
      </c>
    </row>
    <row r="1581" spans="1:20" x14ac:dyDescent="0.3">
      <c r="A1581" t="s">
        <v>627</v>
      </c>
      <c r="B1581" s="16">
        <v>45447</v>
      </c>
      <c r="C1581" t="s">
        <v>3</v>
      </c>
      <c r="D1581" t="s">
        <v>127</v>
      </c>
      <c r="E1581" t="s">
        <v>171</v>
      </c>
      <c r="F1581">
        <v>142</v>
      </c>
      <c r="G1581">
        <v>84</v>
      </c>
      <c r="H1581">
        <v>2</v>
      </c>
      <c r="I1581">
        <v>5</v>
      </c>
      <c r="J1581" s="15">
        <v>4695</v>
      </c>
      <c r="K1581">
        <v>1</v>
      </c>
      <c r="L1581" s="15">
        <v>4695</v>
      </c>
      <c r="M1581">
        <v>1</v>
      </c>
      <c r="N1581">
        <v>51</v>
      </c>
      <c r="O1581">
        <v>112</v>
      </c>
      <c r="P1581">
        <f t="shared" si="81"/>
        <v>2024</v>
      </c>
      <c r="Q1581">
        <f t="shared" si="82"/>
        <v>6</v>
      </c>
      <c r="R1581" t="str">
        <f t="shared" si="80"/>
        <v>其他猜你喜欢</v>
      </c>
      <c r="S1581" t="s">
        <v>628</v>
      </c>
      <c r="T1581" s="546" t="s">
        <v>804</v>
      </c>
    </row>
    <row r="1582" spans="1:20" x14ac:dyDescent="0.3">
      <c r="A1582" t="s">
        <v>627</v>
      </c>
      <c r="B1582" s="16">
        <v>45447</v>
      </c>
      <c r="C1582" t="s">
        <v>3</v>
      </c>
      <c r="D1582" t="s">
        <v>127</v>
      </c>
      <c r="E1582" t="s">
        <v>172</v>
      </c>
      <c r="F1582">
        <v>2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2</v>
      </c>
      <c r="P1582">
        <f t="shared" si="81"/>
        <v>2024</v>
      </c>
      <c r="Q1582">
        <f t="shared" si="82"/>
        <v>6</v>
      </c>
      <c r="R1582" t="str">
        <f t="shared" si="80"/>
        <v>购中推荐</v>
      </c>
      <c r="S1582" t="s">
        <v>628</v>
      </c>
      <c r="T1582" s="546" t="s">
        <v>804</v>
      </c>
    </row>
    <row r="1583" spans="1:20" x14ac:dyDescent="0.3">
      <c r="A1583" t="s">
        <v>627</v>
      </c>
      <c r="B1583" s="16">
        <v>45447</v>
      </c>
      <c r="C1583" t="s">
        <v>3</v>
      </c>
      <c r="D1583" t="s">
        <v>127</v>
      </c>
      <c r="E1583" t="s">
        <v>173</v>
      </c>
      <c r="F1583">
        <v>18</v>
      </c>
      <c r="G1583">
        <v>9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2</v>
      </c>
      <c r="O1583">
        <v>17</v>
      </c>
      <c r="P1583">
        <f t="shared" si="81"/>
        <v>2024</v>
      </c>
      <c r="Q1583">
        <f t="shared" si="82"/>
        <v>6</v>
      </c>
      <c r="R1583" t="str">
        <f t="shared" si="80"/>
        <v>购后推荐</v>
      </c>
      <c r="S1583" t="s">
        <v>628</v>
      </c>
      <c r="T1583" s="546" t="s">
        <v>804</v>
      </c>
    </row>
    <row r="1584" spans="1:20" x14ac:dyDescent="0.3">
      <c r="A1584" t="s">
        <v>627</v>
      </c>
      <c r="B1584" s="16">
        <v>45447</v>
      </c>
      <c r="C1584" t="s">
        <v>3</v>
      </c>
      <c r="D1584" t="s">
        <v>127</v>
      </c>
      <c r="E1584" t="s">
        <v>174</v>
      </c>
      <c r="F1584" s="15">
        <v>1643</v>
      </c>
      <c r="G1584">
        <v>877</v>
      </c>
      <c r="H1584">
        <v>31</v>
      </c>
      <c r="I1584">
        <v>16</v>
      </c>
      <c r="J1584" s="15">
        <v>17560</v>
      </c>
      <c r="K1584">
        <v>6</v>
      </c>
      <c r="L1584" s="15">
        <v>11783</v>
      </c>
      <c r="M1584">
        <v>5</v>
      </c>
      <c r="N1584">
        <v>144</v>
      </c>
      <c r="O1584" s="15">
        <v>1643</v>
      </c>
      <c r="P1584">
        <f t="shared" si="81"/>
        <v>2024</v>
      </c>
      <c r="Q1584">
        <f t="shared" si="82"/>
        <v>6</v>
      </c>
      <c r="R1584" t="str">
        <f t="shared" si="80"/>
        <v>首页推荐-微详情</v>
      </c>
      <c r="S1584" t="s">
        <v>628</v>
      </c>
      <c r="T1584" s="546" t="s">
        <v>804</v>
      </c>
    </row>
    <row r="1585" spans="1:20" x14ac:dyDescent="0.3">
      <c r="A1585" t="s">
        <v>627</v>
      </c>
      <c r="B1585" s="16">
        <v>45447</v>
      </c>
      <c r="C1585" t="s">
        <v>3</v>
      </c>
      <c r="D1585" t="s">
        <v>127</v>
      </c>
      <c r="E1585" t="s">
        <v>175</v>
      </c>
      <c r="F1585">
        <v>221</v>
      </c>
      <c r="G1585">
        <v>141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14</v>
      </c>
      <c r="P1585">
        <f t="shared" si="81"/>
        <v>2024</v>
      </c>
      <c r="Q1585">
        <f t="shared" si="82"/>
        <v>6</v>
      </c>
      <c r="R1585" t="str">
        <f t="shared" si="80"/>
        <v>首页推荐-直播</v>
      </c>
      <c r="S1585" t="s">
        <v>628</v>
      </c>
      <c r="T1585" s="546" t="s">
        <v>804</v>
      </c>
    </row>
    <row r="1586" spans="1:20" x14ac:dyDescent="0.3">
      <c r="A1586" t="s">
        <v>627</v>
      </c>
      <c r="B1586" s="16">
        <v>45447</v>
      </c>
      <c r="C1586" t="s">
        <v>3</v>
      </c>
      <c r="D1586" t="s">
        <v>127</v>
      </c>
      <c r="E1586" t="s">
        <v>176</v>
      </c>
      <c r="F1586">
        <v>116</v>
      </c>
      <c r="G1586">
        <v>52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</v>
      </c>
      <c r="O1586">
        <v>1</v>
      </c>
      <c r="P1586">
        <f t="shared" si="81"/>
        <v>2024</v>
      </c>
      <c r="Q1586">
        <f t="shared" si="82"/>
        <v>6</v>
      </c>
      <c r="R1586" t="str">
        <f t="shared" si="80"/>
        <v>首页推荐-短视频</v>
      </c>
      <c r="S1586" t="s">
        <v>628</v>
      </c>
      <c r="T1586" s="546" t="s">
        <v>804</v>
      </c>
    </row>
    <row r="1587" spans="1:20" x14ac:dyDescent="0.3">
      <c r="A1587" t="s">
        <v>627</v>
      </c>
      <c r="B1587" s="16">
        <v>45447</v>
      </c>
      <c r="C1587" t="s">
        <v>3</v>
      </c>
      <c r="D1587" t="s">
        <v>128</v>
      </c>
      <c r="E1587" t="s">
        <v>177</v>
      </c>
      <c r="F1587">
        <v>771</v>
      </c>
      <c r="G1587">
        <v>583</v>
      </c>
      <c r="H1587">
        <v>32</v>
      </c>
      <c r="I1587">
        <v>11</v>
      </c>
      <c r="J1587" s="15">
        <v>33621</v>
      </c>
      <c r="K1587">
        <v>9</v>
      </c>
      <c r="L1587" s="15">
        <v>17031</v>
      </c>
      <c r="M1587">
        <v>8</v>
      </c>
      <c r="N1587">
        <v>201</v>
      </c>
      <c r="O1587">
        <v>707</v>
      </c>
      <c r="P1587">
        <f t="shared" si="81"/>
        <v>2024</v>
      </c>
      <c r="Q1587">
        <f t="shared" si="82"/>
        <v>6</v>
      </c>
      <c r="R1587" t="str">
        <f t="shared" si="80"/>
        <v>手淘搜索-商品及其他</v>
      </c>
      <c r="S1587" t="s">
        <v>628</v>
      </c>
      <c r="T1587" s="546" t="s">
        <v>804</v>
      </c>
    </row>
    <row r="1588" spans="1:20" x14ac:dyDescent="0.3">
      <c r="A1588" t="s">
        <v>627</v>
      </c>
      <c r="B1588" s="16">
        <v>45447</v>
      </c>
      <c r="C1588" t="s">
        <v>3</v>
      </c>
      <c r="D1588" t="s">
        <v>128</v>
      </c>
      <c r="E1588" t="s">
        <v>178</v>
      </c>
      <c r="F1588">
        <v>14</v>
      </c>
      <c r="G1588">
        <v>4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11</v>
      </c>
      <c r="P1588">
        <f t="shared" si="81"/>
        <v>2024</v>
      </c>
      <c r="Q1588">
        <f t="shared" si="82"/>
        <v>6</v>
      </c>
      <c r="R1588" t="str">
        <f t="shared" si="80"/>
        <v>手淘搜索-直播</v>
      </c>
      <c r="S1588" t="s">
        <v>628</v>
      </c>
      <c r="T1588" s="546" t="s">
        <v>804</v>
      </c>
    </row>
    <row r="1589" spans="1:20" x14ac:dyDescent="0.3">
      <c r="A1589" t="s">
        <v>627</v>
      </c>
      <c r="B1589" s="16">
        <v>45447</v>
      </c>
      <c r="C1589" t="s">
        <v>3</v>
      </c>
      <c r="D1589" t="s">
        <v>128</v>
      </c>
      <c r="E1589" t="s">
        <v>179</v>
      </c>
      <c r="F1589">
        <v>23</v>
      </c>
      <c r="G1589">
        <v>11</v>
      </c>
      <c r="H1589">
        <v>0</v>
      </c>
      <c r="I1589">
        <v>0</v>
      </c>
      <c r="J1589" s="15">
        <v>2125</v>
      </c>
      <c r="K1589">
        <v>1</v>
      </c>
      <c r="L1589" s="15">
        <v>2125</v>
      </c>
      <c r="M1589">
        <v>1</v>
      </c>
      <c r="N1589">
        <v>4</v>
      </c>
      <c r="O1589">
        <v>7</v>
      </c>
      <c r="P1589">
        <f t="shared" si="81"/>
        <v>2024</v>
      </c>
      <c r="Q1589">
        <f t="shared" si="82"/>
        <v>6</v>
      </c>
      <c r="R1589" t="str">
        <f t="shared" si="80"/>
        <v>手淘搜索-短视频</v>
      </c>
      <c r="S1589" t="s">
        <v>628</v>
      </c>
      <c r="T1589" s="546" t="s">
        <v>804</v>
      </c>
    </row>
    <row r="1590" spans="1:20" x14ac:dyDescent="0.3">
      <c r="A1590" t="s">
        <v>627</v>
      </c>
      <c r="B1590" s="16">
        <v>45447</v>
      </c>
      <c r="C1590" t="s">
        <v>3</v>
      </c>
      <c r="D1590" t="s">
        <v>143</v>
      </c>
      <c r="E1590" t="s">
        <v>180</v>
      </c>
      <c r="F1590">
        <v>4</v>
      </c>
      <c r="G1590">
        <v>4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4</v>
      </c>
      <c r="P1590">
        <f t="shared" si="81"/>
        <v>2024</v>
      </c>
      <c r="Q1590">
        <f t="shared" si="82"/>
        <v>6</v>
      </c>
      <c r="R1590" t="str">
        <f t="shared" si="80"/>
        <v>淘特其他渠道</v>
      </c>
      <c r="S1590" t="s">
        <v>628</v>
      </c>
      <c r="T1590" s="546" t="s">
        <v>804</v>
      </c>
    </row>
    <row r="1591" spans="1:20" x14ac:dyDescent="0.3">
      <c r="A1591" t="s">
        <v>627</v>
      </c>
      <c r="B1591" s="16">
        <v>45447</v>
      </c>
      <c r="C1591" t="s">
        <v>2</v>
      </c>
      <c r="D1591" t="s">
        <v>55</v>
      </c>
      <c r="E1591" t="s">
        <v>66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f t="shared" si="81"/>
        <v>2024</v>
      </c>
      <c r="Q1591">
        <f t="shared" si="82"/>
        <v>6</v>
      </c>
      <c r="R1591" t="str">
        <f t="shared" si="80"/>
        <v>短直联动</v>
      </c>
      <c r="S1591" t="s">
        <v>628</v>
      </c>
      <c r="T1591" s="546" t="s">
        <v>804</v>
      </c>
    </row>
    <row r="1592" spans="1:20" x14ac:dyDescent="0.3">
      <c r="A1592" t="s">
        <v>627</v>
      </c>
      <c r="B1592" s="16">
        <v>45447</v>
      </c>
      <c r="C1592" t="s">
        <v>2</v>
      </c>
      <c r="D1592" t="s">
        <v>55</v>
      </c>
      <c r="E1592" t="s">
        <v>54</v>
      </c>
      <c r="F1592" s="15">
        <v>2039</v>
      </c>
      <c r="G1592" s="15">
        <v>1343</v>
      </c>
      <c r="H1592">
        <v>6</v>
      </c>
      <c r="I1592">
        <v>3</v>
      </c>
      <c r="J1592">
        <v>0</v>
      </c>
      <c r="K1592">
        <v>0</v>
      </c>
      <c r="L1592">
        <v>0</v>
      </c>
      <c r="M1592">
        <v>0</v>
      </c>
      <c r="N1592">
        <v>12</v>
      </c>
      <c r="O1592">
        <v>612</v>
      </c>
      <c r="P1592">
        <f t="shared" si="81"/>
        <v>2024</v>
      </c>
      <c r="Q1592">
        <f t="shared" si="82"/>
        <v>6</v>
      </c>
      <c r="R1592" t="str">
        <f t="shared" si="80"/>
        <v>超级直播</v>
      </c>
      <c r="S1592" t="s">
        <v>628</v>
      </c>
      <c r="T1592" s="546" t="s">
        <v>804</v>
      </c>
    </row>
    <row r="1593" spans="1:20" x14ac:dyDescent="0.3">
      <c r="A1593" t="s">
        <v>627</v>
      </c>
      <c r="B1593" s="16">
        <v>45447</v>
      </c>
      <c r="C1593" t="s">
        <v>2</v>
      </c>
      <c r="D1593" t="s">
        <v>55</v>
      </c>
      <c r="E1593" t="s">
        <v>56</v>
      </c>
      <c r="F1593" s="15">
        <v>4041</v>
      </c>
      <c r="G1593" s="15">
        <v>3758</v>
      </c>
      <c r="H1593">
        <v>3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4</v>
      </c>
      <c r="O1593">
        <v>435</v>
      </c>
      <c r="P1593">
        <f t="shared" si="81"/>
        <v>2024</v>
      </c>
      <c r="Q1593">
        <f t="shared" si="82"/>
        <v>6</v>
      </c>
      <c r="R1593" t="str">
        <f t="shared" si="80"/>
        <v>超级短视频</v>
      </c>
      <c r="S1593" t="s">
        <v>628</v>
      </c>
      <c r="T1593" s="546" t="s">
        <v>804</v>
      </c>
    </row>
    <row r="1594" spans="1:20" x14ac:dyDescent="0.3">
      <c r="A1594" t="s">
        <v>627</v>
      </c>
      <c r="B1594" s="16">
        <v>45447</v>
      </c>
      <c r="C1594" t="s">
        <v>2</v>
      </c>
      <c r="D1594" t="s">
        <v>52</v>
      </c>
      <c r="E1594" t="s">
        <v>53</v>
      </c>
      <c r="F1594" s="15">
        <v>1184</v>
      </c>
      <c r="G1594" s="15">
        <v>1020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 s="15">
        <v>1184</v>
      </c>
      <c r="O1594">
        <v>114</v>
      </c>
      <c r="P1594">
        <f t="shared" si="81"/>
        <v>2024</v>
      </c>
      <c r="Q1594">
        <f t="shared" si="82"/>
        <v>6</v>
      </c>
      <c r="R1594" t="str">
        <f t="shared" si="80"/>
        <v>Showmax</v>
      </c>
      <c r="S1594" t="s">
        <v>628</v>
      </c>
      <c r="T1594" s="546" t="s">
        <v>804</v>
      </c>
    </row>
    <row r="1595" spans="1:20" x14ac:dyDescent="0.3">
      <c r="A1595" t="s">
        <v>627</v>
      </c>
      <c r="B1595" s="16">
        <v>45447</v>
      </c>
      <c r="C1595" t="s">
        <v>2</v>
      </c>
      <c r="D1595" t="s">
        <v>52</v>
      </c>
      <c r="E1595" t="s">
        <v>59</v>
      </c>
      <c r="F1595" s="15">
        <v>1531</v>
      </c>
      <c r="G1595" s="15">
        <v>1205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 s="15">
        <v>1531</v>
      </c>
      <c r="O1595">
        <v>226</v>
      </c>
      <c r="P1595">
        <f t="shared" si="81"/>
        <v>2024</v>
      </c>
      <c r="Q1595">
        <f t="shared" si="82"/>
        <v>6</v>
      </c>
      <c r="R1595" t="str">
        <f t="shared" si="80"/>
        <v>品牌特秀</v>
      </c>
      <c r="S1595" t="s">
        <v>628</v>
      </c>
      <c r="T1595" s="546" t="s">
        <v>804</v>
      </c>
    </row>
    <row r="1596" spans="1:20" x14ac:dyDescent="0.3">
      <c r="A1596" t="s">
        <v>627</v>
      </c>
      <c r="B1596" s="16">
        <v>45447</v>
      </c>
      <c r="C1596" t="s">
        <v>2</v>
      </c>
      <c r="D1596" t="s">
        <v>52</v>
      </c>
      <c r="E1596" t="s">
        <v>183</v>
      </c>
      <c r="F1596">
        <v>580</v>
      </c>
      <c r="G1596">
        <v>479</v>
      </c>
      <c r="H1596">
        <v>20</v>
      </c>
      <c r="I1596">
        <v>4</v>
      </c>
      <c r="J1596" s="15">
        <v>7614</v>
      </c>
      <c r="K1596">
        <v>3</v>
      </c>
      <c r="L1596" s="15">
        <v>7614</v>
      </c>
      <c r="M1596">
        <v>3</v>
      </c>
      <c r="N1596">
        <v>580</v>
      </c>
      <c r="O1596">
        <v>323</v>
      </c>
      <c r="P1596">
        <f t="shared" si="81"/>
        <v>2024</v>
      </c>
      <c r="Q1596">
        <f t="shared" si="82"/>
        <v>6</v>
      </c>
      <c r="R1596" t="str">
        <f t="shared" si="80"/>
        <v>品销宝-品牌专区</v>
      </c>
      <c r="S1596" t="s">
        <v>628</v>
      </c>
      <c r="T1596" s="546" t="s">
        <v>804</v>
      </c>
    </row>
    <row r="1597" spans="1:20" x14ac:dyDescent="0.3">
      <c r="A1597" t="s">
        <v>627</v>
      </c>
      <c r="B1597" s="16">
        <v>45447</v>
      </c>
      <c r="C1597" t="s">
        <v>2</v>
      </c>
      <c r="D1597" t="s">
        <v>57</v>
      </c>
      <c r="E1597" t="s">
        <v>65</v>
      </c>
      <c r="F1597" s="15">
        <v>2475</v>
      </c>
      <c r="G1597" s="15">
        <v>2093</v>
      </c>
      <c r="H1597">
        <v>31</v>
      </c>
      <c r="I1597">
        <v>24</v>
      </c>
      <c r="J1597" s="15">
        <v>26351</v>
      </c>
      <c r="K1597">
        <v>7</v>
      </c>
      <c r="L1597" s="15">
        <v>12751</v>
      </c>
      <c r="M1597">
        <v>4</v>
      </c>
      <c r="N1597">
        <v>202</v>
      </c>
      <c r="O1597" s="15">
        <v>2457</v>
      </c>
      <c r="P1597">
        <f t="shared" si="81"/>
        <v>2024</v>
      </c>
      <c r="Q1597">
        <f t="shared" si="82"/>
        <v>6</v>
      </c>
      <c r="R1597" t="str">
        <f t="shared" si="80"/>
        <v>直通车</v>
      </c>
      <c r="S1597" t="s">
        <v>628</v>
      </c>
      <c r="T1597" s="546" t="s">
        <v>804</v>
      </c>
    </row>
    <row r="1598" spans="1:20" x14ac:dyDescent="0.3">
      <c r="A1598" t="s">
        <v>627</v>
      </c>
      <c r="B1598" s="16">
        <v>45447</v>
      </c>
      <c r="C1598" t="s">
        <v>2</v>
      </c>
      <c r="D1598" t="s">
        <v>57</v>
      </c>
      <c r="E1598" t="s">
        <v>63</v>
      </c>
      <c r="F1598" s="15">
        <v>2679</v>
      </c>
      <c r="G1598" s="15">
        <v>1416</v>
      </c>
      <c r="H1598">
        <v>37</v>
      </c>
      <c r="I1598">
        <v>24</v>
      </c>
      <c r="J1598" s="17">
        <v>31511.5</v>
      </c>
      <c r="K1598">
        <v>9</v>
      </c>
      <c r="L1598" s="17">
        <v>22406.5</v>
      </c>
      <c r="M1598">
        <v>8</v>
      </c>
      <c r="N1598">
        <v>157</v>
      </c>
      <c r="O1598" s="15">
        <v>2676</v>
      </c>
      <c r="P1598">
        <f t="shared" si="81"/>
        <v>2024</v>
      </c>
      <c r="Q1598">
        <f t="shared" si="82"/>
        <v>6</v>
      </c>
      <c r="R1598" t="str">
        <f t="shared" si="80"/>
        <v>万相台</v>
      </c>
      <c r="S1598" t="s">
        <v>628</v>
      </c>
      <c r="T1598" s="546" t="s">
        <v>804</v>
      </c>
    </row>
    <row r="1599" spans="1:20" x14ac:dyDescent="0.3">
      <c r="A1599" t="s">
        <v>627</v>
      </c>
      <c r="B1599" s="16">
        <v>45447</v>
      </c>
      <c r="C1599" t="s">
        <v>2</v>
      </c>
      <c r="D1599" t="s">
        <v>57</v>
      </c>
      <c r="E1599" t="s">
        <v>64</v>
      </c>
      <c r="F1599" s="15">
        <v>8598</v>
      </c>
      <c r="G1599" s="15">
        <v>4448</v>
      </c>
      <c r="H1599">
        <v>33</v>
      </c>
      <c r="I1599">
        <v>34</v>
      </c>
      <c r="J1599" s="15">
        <v>6960</v>
      </c>
      <c r="K1599">
        <v>2</v>
      </c>
      <c r="L1599" s="15">
        <v>6960</v>
      </c>
      <c r="M1599">
        <v>2</v>
      </c>
      <c r="N1599">
        <v>244</v>
      </c>
      <c r="O1599" s="15">
        <v>8593</v>
      </c>
      <c r="P1599">
        <f t="shared" si="81"/>
        <v>2024</v>
      </c>
      <c r="Q1599">
        <f t="shared" si="82"/>
        <v>6</v>
      </c>
      <c r="R1599" t="str">
        <f t="shared" si="80"/>
        <v>引力魔方</v>
      </c>
      <c r="S1599" t="s">
        <v>628</v>
      </c>
      <c r="T1599" s="546" t="s">
        <v>804</v>
      </c>
    </row>
    <row r="1600" spans="1:20" x14ac:dyDescent="0.3">
      <c r="A1600" t="s">
        <v>627</v>
      </c>
      <c r="B1600" s="16">
        <v>45447</v>
      </c>
      <c r="C1600" t="s">
        <v>2</v>
      </c>
      <c r="D1600" t="s">
        <v>4</v>
      </c>
      <c r="E1600" t="s">
        <v>42</v>
      </c>
      <c r="F1600">
        <v>1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f t="shared" si="81"/>
        <v>2024</v>
      </c>
      <c r="Q1600">
        <f t="shared" si="82"/>
        <v>6</v>
      </c>
      <c r="R1600" t="str">
        <f t="shared" si="80"/>
        <v>UD效果投放</v>
      </c>
      <c r="S1600" t="s">
        <v>628</v>
      </c>
      <c r="T1600" s="546" t="s">
        <v>804</v>
      </c>
    </row>
    <row r="1601" spans="1:20" x14ac:dyDescent="0.3">
      <c r="A1601" t="s">
        <v>627</v>
      </c>
      <c r="B1601" s="16">
        <v>45447</v>
      </c>
      <c r="C1601" t="s">
        <v>2</v>
      </c>
      <c r="D1601" t="s">
        <v>4</v>
      </c>
      <c r="E1601" t="s">
        <v>41</v>
      </c>
      <c r="F1601">
        <v>1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f t="shared" si="81"/>
        <v>2024</v>
      </c>
      <c r="Q1601">
        <f t="shared" si="82"/>
        <v>6</v>
      </c>
      <c r="R1601" t="str">
        <f t="shared" si="80"/>
        <v>流量宝</v>
      </c>
      <c r="S1601" t="s">
        <v>628</v>
      </c>
      <c r="T1601" s="546" t="s">
        <v>804</v>
      </c>
    </row>
    <row r="1602" spans="1:20" x14ac:dyDescent="0.3">
      <c r="A1602" t="s">
        <v>627</v>
      </c>
      <c r="B1602" s="16">
        <v>45447</v>
      </c>
      <c r="C1602" t="s">
        <v>2</v>
      </c>
      <c r="D1602" t="s">
        <v>4</v>
      </c>
      <c r="E1602" t="s">
        <v>43</v>
      </c>
      <c r="F1602">
        <v>416</v>
      </c>
      <c r="G1602">
        <v>135</v>
      </c>
      <c r="H1602">
        <v>3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8</v>
      </c>
      <c r="O1602">
        <v>408</v>
      </c>
      <c r="P1602">
        <f t="shared" si="81"/>
        <v>2024</v>
      </c>
      <c r="Q1602">
        <f t="shared" si="82"/>
        <v>6</v>
      </c>
      <c r="R1602" t="str">
        <f t="shared" si="80"/>
        <v>淘宝客</v>
      </c>
      <c r="S1602" t="s">
        <v>628</v>
      </c>
      <c r="T1602" s="546" t="s">
        <v>804</v>
      </c>
    </row>
    <row r="1603" spans="1:20" x14ac:dyDescent="0.3">
      <c r="A1603" t="s">
        <v>627</v>
      </c>
      <c r="B1603" s="16">
        <v>45448</v>
      </c>
      <c r="C1603" t="s">
        <v>3</v>
      </c>
      <c r="D1603" t="s">
        <v>114</v>
      </c>
      <c r="E1603" t="s">
        <v>159</v>
      </c>
      <c r="F1603">
        <v>79</v>
      </c>
      <c r="G1603">
        <v>31</v>
      </c>
      <c r="H1603">
        <v>1</v>
      </c>
      <c r="I1603">
        <v>1</v>
      </c>
      <c r="J1603" s="15">
        <v>7295</v>
      </c>
      <c r="K1603">
        <v>1</v>
      </c>
      <c r="L1603" s="15">
        <v>7295</v>
      </c>
      <c r="M1603">
        <v>1</v>
      </c>
      <c r="N1603">
        <v>11</v>
      </c>
      <c r="O1603">
        <v>72</v>
      </c>
      <c r="P1603">
        <f t="shared" si="81"/>
        <v>2024</v>
      </c>
      <c r="Q1603">
        <f t="shared" si="82"/>
        <v>6</v>
      </c>
      <c r="R1603" t="str">
        <f t="shared" si="80"/>
        <v>主会场</v>
      </c>
      <c r="S1603" t="s">
        <v>628</v>
      </c>
      <c r="T1603" s="546" t="s">
        <v>804</v>
      </c>
    </row>
    <row r="1604" spans="1:20" x14ac:dyDescent="0.3">
      <c r="A1604" t="s">
        <v>627</v>
      </c>
      <c r="B1604" s="16">
        <v>45448</v>
      </c>
      <c r="C1604" t="s">
        <v>3</v>
      </c>
      <c r="D1604" t="s">
        <v>114</v>
      </c>
      <c r="E1604" t="s">
        <v>160</v>
      </c>
      <c r="F1604">
        <v>19</v>
      </c>
      <c r="G1604">
        <v>18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19</v>
      </c>
      <c r="P1604">
        <f t="shared" si="81"/>
        <v>2024</v>
      </c>
      <c r="Q1604">
        <f t="shared" si="82"/>
        <v>6</v>
      </c>
      <c r="R1604" t="str">
        <f t="shared" si="80"/>
        <v>榜单会场</v>
      </c>
      <c r="S1604" t="s">
        <v>628</v>
      </c>
      <c r="T1604" s="546" t="s">
        <v>804</v>
      </c>
    </row>
    <row r="1605" spans="1:20" x14ac:dyDescent="0.3">
      <c r="A1605" t="s">
        <v>627</v>
      </c>
      <c r="B1605" s="16">
        <v>45448</v>
      </c>
      <c r="C1605" t="s">
        <v>3</v>
      </c>
      <c r="D1605" t="s">
        <v>117</v>
      </c>
      <c r="E1605" t="s">
        <v>161</v>
      </c>
      <c r="F1605">
        <v>21</v>
      </c>
      <c r="G1605">
        <v>20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</v>
      </c>
      <c r="O1605">
        <v>21</v>
      </c>
      <c r="P1605">
        <f t="shared" si="81"/>
        <v>2024</v>
      </c>
      <c r="Q1605">
        <f t="shared" si="82"/>
        <v>6</v>
      </c>
      <c r="R1605" t="str">
        <f t="shared" si="80"/>
        <v>其他入口榜单</v>
      </c>
      <c r="S1605" t="s">
        <v>628</v>
      </c>
      <c r="T1605" s="546" t="s">
        <v>804</v>
      </c>
    </row>
    <row r="1606" spans="1:20" x14ac:dyDescent="0.3">
      <c r="A1606" t="s">
        <v>627</v>
      </c>
      <c r="B1606" s="16">
        <v>45448</v>
      </c>
      <c r="C1606" t="s">
        <v>3</v>
      </c>
      <c r="D1606" t="s">
        <v>117</v>
      </c>
      <c r="E1606" t="s">
        <v>191</v>
      </c>
      <c r="F1606">
        <v>3</v>
      </c>
      <c r="G1606">
        <v>3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3</v>
      </c>
      <c r="P1606">
        <f t="shared" si="81"/>
        <v>2024</v>
      </c>
      <c r="Q1606">
        <f t="shared" si="82"/>
        <v>6</v>
      </c>
      <c r="R1606" t="str">
        <f t="shared" si="80"/>
        <v>商品详情页入口榜单</v>
      </c>
      <c r="S1606" t="s">
        <v>628</v>
      </c>
      <c r="T1606" s="546" t="s">
        <v>804</v>
      </c>
    </row>
    <row r="1607" spans="1:20" x14ac:dyDescent="0.3">
      <c r="A1607" t="s">
        <v>627</v>
      </c>
      <c r="B1607" s="16">
        <v>45448</v>
      </c>
      <c r="C1607" t="s">
        <v>3</v>
      </c>
      <c r="D1607" t="s">
        <v>117</v>
      </c>
      <c r="E1607" t="s">
        <v>195</v>
      </c>
      <c r="F1607">
        <v>5</v>
      </c>
      <c r="G1607">
        <v>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5</v>
      </c>
      <c r="P1607">
        <f t="shared" si="81"/>
        <v>2024</v>
      </c>
      <c r="Q1607">
        <f t="shared" si="82"/>
        <v>6</v>
      </c>
      <c r="R1607" t="str">
        <f t="shared" ref="R1607:R1670" si="83">E1607</f>
        <v>搜索入口榜单</v>
      </c>
      <c r="S1607" t="s">
        <v>628</v>
      </c>
      <c r="T1607" s="546" t="s">
        <v>804</v>
      </c>
    </row>
    <row r="1608" spans="1:20" x14ac:dyDescent="0.3">
      <c r="A1608" t="s">
        <v>627</v>
      </c>
      <c r="B1608" s="16">
        <v>45448</v>
      </c>
      <c r="C1608" t="s">
        <v>3</v>
      </c>
      <c r="D1608" t="s">
        <v>120</v>
      </c>
      <c r="E1608" t="s">
        <v>162</v>
      </c>
      <c r="F1608">
        <v>1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f t="shared" si="81"/>
        <v>2024</v>
      </c>
      <c r="Q1608">
        <f t="shared" si="82"/>
        <v>6</v>
      </c>
      <c r="R1608" t="str">
        <f t="shared" si="83"/>
        <v>手机浏览器访问天猫</v>
      </c>
      <c r="S1608" t="s">
        <v>628</v>
      </c>
      <c r="T1608" s="546" t="s">
        <v>804</v>
      </c>
    </row>
    <row r="1609" spans="1:20" x14ac:dyDescent="0.3">
      <c r="A1609" t="s">
        <v>627</v>
      </c>
      <c r="B1609" s="16">
        <v>45448</v>
      </c>
      <c r="C1609" t="s">
        <v>3</v>
      </c>
      <c r="D1609" t="s">
        <v>120</v>
      </c>
      <c r="E1609" t="s">
        <v>163</v>
      </c>
      <c r="F1609">
        <v>91</v>
      </c>
      <c r="G1609">
        <v>41</v>
      </c>
      <c r="H1609">
        <v>2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22</v>
      </c>
      <c r="O1609">
        <v>90</v>
      </c>
      <c r="P1609">
        <f t="shared" si="81"/>
        <v>2024</v>
      </c>
      <c r="Q1609">
        <f t="shared" si="82"/>
        <v>6</v>
      </c>
      <c r="R1609" t="str">
        <f t="shared" si="83"/>
        <v>手猫免费其他</v>
      </c>
      <c r="S1609" t="s">
        <v>628</v>
      </c>
      <c r="T1609" s="546" t="s">
        <v>804</v>
      </c>
    </row>
    <row r="1610" spans="1:20" x14ac:dyDescent="0.3">
      <c r="A1610" t="s">
        <v>627</v>
      </c>
      <c r="B1610" s="16">
        <v>45448</v>
      </c>
      <c r="C1610" t="s">
        <v>3</v>
      </c>
      <c r="D1610" t="s">
        <v>120</v>
      </c>
      <c r="E1610" t="s">
        <v>164</v>
      </c>
      <c r="F1610">
        <v>7</v>
      </c>
      <c r="G1610">
        <v>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7</v>
      </c>
      <c r="P1610">
        <f t="shared" si="81"/>
        <v>2024</v>
      </c>
      <c r="Q1610">
        <f t="shared" si="82"/>
        <v>6</v>
      </c>
      <c r="R1610" t="str">
        <f t="shared" si="83"/>
        <v>手猫其他店铺</v>
      </c>
      <c r="S1610" t="s">
        <v>628</v>
      </c>
      <c r="T1610" s="546" t="s">
        <v>804</v>
      </c>
    </row>
    <row r="1611" spans="1:20" x14ac:dyDescent="0.3">
      <c r="A1611" t="s">
        <v>627</v>
      </c>
      <c r="B1611" s="16">
        <v>45448</v>
      </c>
      <c r="C1611" t="s">
        <v>3</v>
      </c>
      <c r="D1611" t="s">
        <v>120</v>
      </c>
      <c r="E1611" t="s">
        <v>165</v>
      </c>
      <c r="F1611">
        <v>31</v>
      </c>
      <c r="G1611">
        <v>18</v>
      </c>
      <c r="H1611">
        <v>1</v>
      </c>
      <c r="I1611">
        <v>0</v>
      </c>
      <c r="J1611" s="15">
        <v>1488</v>
      </c>
      <c r="K1611">
        <v>1</v>
      </c>
      <c r="L1611" s="15">
        <v>1488</v>
      </c>
      <c r="M1611">
        <v>1</v>
      </c>
      <c r="N1611">
        <v>6</v>
      </c>
      <c r="O1611">
        <v>30</v>
      </c>
      <c r="P1611">
        <f t="shared" si="81"/>
        <v>2024</v>
      </c>
      <c r="Q1611">
        <f t="shared" si="82"/>
        <v>6</v>
      </c>
      <c r="R1611" t="str">
        <f t="shared" si="83"/>
        <v>手猫商品详情</v>
      </c>
      <c r="S1611" t="s">
        <v>628</v>
      </c>
      <c r="T1611" s="546" t="s">
        <v>804</v>
      </c>
    </row>
    <row r="1612" spans="1:20" x14ac:dyDescent="0.3">
      <c r="A1612" t="s">
        <v>627</v>
      </c>
      <c r="B1612" s="16">
        <v>45448</v>
      </c>
      <c r="C1612" t="s">
        <v>3</v>
      </c>
      <c r="D1612" t="s">
        <v>120</v>
      </c>
      <c r="E1612" t="s">
        <v>166</v>
      </c>
      <c r="F1612">
        <v>59</v>
      </c>
      <c r="G1612">
        <v>43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19</v>
      </c>
      <c r="O1612">
        <v>54</v>
      </c>
      <c r="P1612">
        <f t="shared" si="81"/>
        <v>2024</v>
      </c>
      <c r="Q1612">
        <f t="shared" si="82"/>
        <v>6</v>
      </c>
      <c r="R1612" t="str">
        <f t="shared" si="83"/>
        <v>手猫搜索</v>
      </c>
      <c r="S1612" t="s">
        <v>628</v>
      </c>
      <c r="T1612" s="546" t="s">
        <v>804</v>
      </c>
    </row>
    <row r="1613" spans="1:20" x14ac:dyDescent="0.3">
      <c r="A1613" t="s">
        <v>627</v>
      </c>
      <c r="B1613" s="16">
        <v>45448</v>
      </c>
      <c r="C1613" t="s">
        <v>3</v>
      </c>
      <c r="D1613" t="s">
        <v>120</v>
      </c>
      <c r="E1613" t="s">
        <v>167</v>
      </c>
      <c r="F1613">
        <v>1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1</v>
      </c>
      <c r="P1613">
        <f t="shared" si="81"/>
        <v>2024</v>
      </c>
      <c r="Q1613">
        <f t="shared" si="82"/>
        <v>6</v>
      </c>
      <c r="R1613" t="str">
        <f t="shared" si="83"/>
        <v>手猫旺信聊天</v>
      </c>
      <c r="S1613" t="s">
        <v>628</v>
      </c>
      <c r="T1613" s="546" t="s">
        <v>804</v>
      </c>
    </row>
    <row r="1614" spans="1:20" x14ac:dyDescent="0.3">
      <c r="A1614" t="s">
        <v>627</v>
      </c>
      <c r="B1614" s="16">
        <v>45448</v>
      </c>
      <c r="C1614" t="s">
        <v>3</v>
      </c>
      <c r="D1614" t="s">
        <v>120</v>
      </c>
      <c r="E1614" t="s">
        <v>168</v>
      </c>
      <c r="F1614">
        <v>397</v>
      </c>
      <c r="G1614">
        <v>215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20</v>
      </c>
      <c r="O1614">
        <v>397</v>
      </c>
      <c r="P1614">
        <f t="shared" si="81"/>
        <v>2024</v>
      </c>
      <c r="Q1614">
        <f t="shared" si="82"/>
        <v>6</v>
      </c>
      <c r="R1614" t="str">
        <f t="shared" si="83"/>
        <v>手猫首页</v>
      </c>
      <c r="S1614" t="s">
        <v>628</v>
      </c>
      <c r="T1614" s="546" t="s">
        <v>804</v>
      </c>
    </row>
    <row r="1615" spans="1:20" x14ac:dyDescent="0.3">
      <c r="A1615" t="s">
        <v>627</v>
      </c>
      <c r="B1615" s="16">
        <v>45448</v>
      </c>
      <c r="C1615" t="s">
        <v>3</v>
      </c>
      <c r="D1615" t="s">
        <v>123</v>
      </c>
      <c r="E1615" t="s">
        <v>169</v>
      </c>
      <c r="F1615">
        <v>187</v>
      </c>
      <c r="G1615">
        <v>117</v>
      </c>
      <c r="H1615">
        <v>10</v>
      </c>
      <c r="I1615">
        <v>1</v>
      </c>
      <c r="J1615" s="15">
        <v>1303</v>
      </c>
      <c r="K1615">
        <v>1</v>
      </c>
      <c r="L1615" s="15">
        <v>1303</v>
      </c>
      <c r="M1615">
        <v>1</v>
      </c>
      <c r="N1615">
        <v>61</v>
      </c>
      <c r="O1615">
        <v>164</v>
      </c>
      <c r="P1615">
        <f t="shared" si="81"/>
        <v>2024</v>
      </c>
      <c r="Q1615">
        <f t="shared" si="82"/>
        <v>6</v>
      </c>
      <c r="R1615" t="str">
        <f t="shared" si="83"/>
        <v>商品详情页头图推荐</v>
      </c>
      <c r="S1615" t="s">
        <v>628</v>
      </c>
      <c r="T1615" s="546" t="s">
        <v>804</v>
      </c>
    </row>
    <row r="1616" spans="1:20" x14ac:dyDescent="0.3">
      <c r="A1616" t="s">
        <v>627</v>
      </c>
      <c r="B1616" s="16">
        <v>45448</v>
      </c>
      <c r="C1616" t="s">
        <v>3</v>
      </c>
      <c r="D1616" t="s">
        <v>123</v>
      </c>
      <c r="E1616" t="s">
        <v>170</v>
      </c>
      <c r="F1616">
        <v>20</v>
      </c>
      <c r="G1616">
        <v>12</v>
      </c>
      <c r="H1616">
        <v>1</v>
      </c>
      <c r="I1616">
        <v>0</v>
      </c>
      <c r="J1616" s="15">
        <v>1000</v>
      </c>
      <c r="K1616">
        <v>1</v>
      </c>
      <c r="L1616" s="15">
        <v>1000</v>
      </c>
      <c r="M1616">
        <v>1</v>
      </c>
      <c r="N1616">
        <v>17</v>
      </c>
      <c r="O1616">
        <v>7</v>
      </c>
      <c r="P1616">
        <f t="shared" si="81"/>
        <v>2024</v>
      </c>
      <c r="Q1616">
        <f t="shared" si="82"/>
        <v>6</v>
      </c>
      <c r="R1616" t="str">
        <f t="shared" si="83"/>
        <v>店铺超链</v>
      </c>
      <c r="S1616" t="s">
        <v>628</v>
      </c>
      <c r="T1616" s="546" t="s">
        <v>804</v>
      </c>
    </row>
    <row r="1617" spans="1:20" x14ac:dyDescent="0.3">
      <c r="A1617" t="s">
        <v>627</v>
      </c>
      <c r="B1617" s="16">
        <v>45448</v>
      </c>
      <c r="C1617" t="s">
        <v>3</v>
      </c>
      <c r="D1617" t="s">
        <v>127</v>
      </c>
      <c r="E1617" t="s">
        <v>171</v>
      </c>
      <c r="F1617">
        <v>168</v>
      </c>
      <c r="G1617">
        <v>104</v>
      </c>
      <c r="H1617">
        <v>3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75</v>
      </c>
      <c r="O1617">
        <v>126</v>
      </c>
      <c r="P1617">
        <f t="shared" si="81"/>
        <v>2024</v>
      </c>
      <c r="Q1617">
        <f t="shared" si="82"/>
        <v>6</v>
      </c>
      <c r="R1617" t="str">
        <f t="shared" si="83"/>
        <v>其他猜你喜欢</v>
      </c>
      <c r="S1617" t="s">
        <v>628</v>
      </c>
      <c r="T1617" s="546" t="s">
        <v>804</v>
      </c>
    </row>
    <row r="1618" spans="1:20" x14ac:dyDescent="0.3">
      <c r="A1618" t="s">
        <v>627</v>
      </c>
      <c r="B1618" s="16">
        <v>45448</v>
      </c>
      <c r="C1618" t="s">
        <v>3</v>
      </c>
      <c r="D1618" t="s">
        <v>127</v>
      </c>
      <c r="E1618" t="s">
        <v>172</v>
      </c>
      <c r="F1618">
        <v>3</v>
      </c>
      <c r="G1618">
        <v>2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3</v>
      </c>
      <c r="P1618">
        <f t="shared" si="81"/>
        <v>2024</v>
      </c>
      <c r="Q1618">
        <f t="shared" si="82"/>
        <v>6</v>
      </c>
      <c r="R1618" t="str">
        <f t="shared" si="83"/>
        <v>购中推荐</v>
      </c>
      <c r="S1618" t="s">
        <v>628</v>
      </c>
      <c r="T1618" s="546" t="s">
        <v>804</v>
      </c>
    </row>
    <row r="1619" spans="1:20" x14ac:dyDescent="0.3">
      <c r="A1619" t="s">
        <v>627</v>
      </c>
      <c r="B1619" s="16">
        <v>45448</v>
      </c>
      <c r="C1619" t="s">
        <v>3</v>
      </c>
      <c r="D1619" t="s">
        <v>127</v>
      </c>
      <c r="E1619" t="s">
        <v>173</v>
      </c>
      <c r="F1619">
        <v>14</v>
      </c>
      <c r="G1619">
        <v>5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2</v>
      </c>
      <c r="O1619">
        <v>14</v>
      </c>
      <c r="P1619">
        <f t="shared" si="81"/>
        <v>2024</v>
      </c>
      <c r="Q1619">
        <f t="shared" si="82"/>
        <v>6</v>
      </c>
      <c r="R1619" t="str">
        <f t="shared" si="83"/>
        <v>购后推荐</v>
      </c>
      <c r="S1619" t="s">
        <v>628</v>
      </c>
      <c r="T1619" s="546" t="s">
        <v>804</v>
      </c>
    </row>
    <row r="1620" spans="1:20" x14ac:dyDescent="0.3">
      <c r="A1620" t="s">
        <v>627</v>
      </c>
      <c r="B1620" s="16">
        <v>45448</v>
      </c>
      <c r="C1620" t="s">
        <v>3</v>
      </c>
      <c r="D1620" t="s">
        <v>127</v>
      </c>
      <c r="E1620" t="s">
        <v>174</v>
      </c>
      <c r="F1620" s="15">
        <v>1836</v>
      </c>
      <c r="G1620" s="15">
        <v>1045</v>
      </c>
      <c r="H1620">
        <v>34</v>
      </c>
      <c r="I1620">
        <v>10</v>
      </c>
      <c r="J1620" s="15">
        <v>5899</v>
      </c>
      <c r="K1620">
        <v>3</v>
      </c>
      <c r="L1620" s="15">
        <v>5899</v>
      </c>
      <c r="M1620">
        <v>3</v>
      </c>
      <c r="N1620">
        <v>172</v>
      </c>
      <c r="O1620" s="15">
        <v>1836</v>
      </c>
      <c r="P1620">
        <f t="shared" si="81"/>
        <v>2024</v>
      </c>
      <c r="Q1620">
        <f t="shared" si="82"/>
        <v>6</v>
      </c>
      <c r="R1620" t="str">
        <f t="shared" si="83"/>
        <v>首页推荐-微详情</v>
      </c>
      <c r="S1620" t="s">
        <v>628</v>
      </c>
      <c r="T1620" s="546" t="s">
        <v>804</v>
      </c>
    </row>
    <row r="1621" spans="1:20" x14ac:dyDescent="0.3">
      <c r="A1621" t="s">
        <v>627</v>
      </c>
      <c r="B1621" s="16">
        <v>45448</v>
      </c>
      <c r="C1621" t="s">
        <v>3</v>
      </c>
      <c r="D1621" t="s">
        <v>127</v>
      </c>
      <c r="E1621" t="s">
        <v>175</v>
      </c>
      <c r="F1621">
        <v>46</v>
      </c>
      <c r="G1621">
        <v>4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</v>
      </c>
      <c r="P1621">
        <f t="shared" ref="P1621:P1684" si="84">YEAR(B1621)</f>
        <v>2024</v>
      </c>
      <c r="Q1621">
        <f t="shared" ref="Q1621:Q1684" si="85">MONTH(B1621)</f>
        <v>6</v>
      </c>
      <c r="R1621" t="str">
        <f t="shared" si="83"/>
        <v>首页推荐-直播</v>
      </c>
      <c r="S1621" t="s">
        <v>628</v>
      </c>
      <c r="T1621" s="546" t="s">
        <v>804</v>
      </c>
    </row>
    <row r="1622" spans="1:20" x14ac:dyDescent="0.3">
      <c r="A1622" t="s">
        <v>627</v>
      </c>
      <c r="B1622" s="16">
        <v>45448</v>
      </c>
      <c r="C1622" t="s">
        <v>3</v>
      </c>
      <c r="D1622" t="s">
        <v>127</v>
      </c>
      <c r="E1622" t="s">
        <v>176</v>
      </c>
      <c r="F1622">
        <v>125</v>
      </c>
      <c r="G1622">
        <v>45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f t="shared" si="84"/>
        <v>2024</v>
      </c>
      <c r="Q1622">
        <f t="shared" si="85"/>
        <v>6</v>
      </c>
      <c r="R1622" t="str">
        <f t="shared" si="83"/>
        <v>首页推荐-短视频</v>
      </c>
      <c r="S1622" t="s">
        <v>628</v>
      </c>
      <c r="T1622" s="546" t="s">
        <v>804</v>
      </c>
    </row>
    <row r="1623" spans="1:20" x14ac:dyDescent="0.3">
      <c r="A1623" t="s">
        <v>627</v>
      </c>
      <c r="B1623" s="16">
        <v>45448</v>
      </c>
      <c r="C1623" t="s">
        <v>3</v>
      </c>
      <c r="D1623" t="s">
        <v>128</v>
      </c>
      <c r="E1623" t="s">
        <v>177</v>
      </c>
      <c r="F1623">
        <v>789</v>
      </c>
      <c r="G1623">
        <v>591</v>
      </c>
      <c r="H1623">
        <v>36</v>
      </c>
      <c r="I1623">
        <v>13</v>
      </c>
      <c r="J1623" s="15">
        <v>14265</v>
      </c>
      <c r="K1623">
        <v>7</v>
      </c>
      <c r="L1623" s="15">
        <v>11777</v>
      </c>
      <c r="M1623">
        <v>6</v>
      </c>
      <c r="N1623">
        <v>253</v>
      </c>
      <c r="O1623">
        <v>705</v>
      </c>
      <c r="P1623">
        <f t="shared" si="84"/>
        <v>2024</v>
      </c>
      <c r="Q1623">
        <f t="shared" si="85"/>
        <v>6</v>
      </c>
      <c r="R1623" t="str">
        <f t="shared" si="83"/>
        <v>手淘搜索-商品及其他</v>
      </c>
      <c r="S1623" t="s">
        <v>628</v>
      </c>
      <c r="T1623" s="546" t="s">
        <v>804</v>
      </c>
    </row>
    <row r="1624" spans="1:20" x14ac:dyDescent="0.3">
      <c r="A1624" t="s">
        <v>627</v>
      </c>
      <c r="B1624" s="16">
        <v>45448</v>
      </c>
      <c r="C1624" t="s">
        <v>3</v>
      </c>
      <c r="D1624" t="s">
        <v>128</v>
      </c>
      <c r="E1624" t="s">
        <v>179</v>
      </c>
      <c r="F1624">
        <v>20</v>
      </c>
      <c r="G1624">
        <v>8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5</v>
      </c>
      <c r="O1624">
        <v>6</v>
      </c>
      <c r="P1624">
        <f t="shared" si="84"/>
        <v>2024</v>
      </c>
      <c r="Q1624">
        <f t="shared" si="85"/>
        <v>6</v>
      </c>
      <c r="R1624" t="str">
        <f t="shared" si="83"/>
        <v>手淘搜索-短视频</v>
      </c>
      <c r="S1624" t="s">
        <v>628</v>
      </c>
      <c r="T1624" s="546" t="s">
        <v>804</v>
      </c>
    </row>
    <row r="1625" spans="1:20" x14ac:dyDescent="0.3">
      <c r="A1625" t="s">
        <v>627</v>
      </c>
      <c r="B1625" s="16">
        <v>45448</v>
      </c>
      <c r="C1625" t="s">
        <v>3</v>
      </c>
      <c r="D1625" t="s">
        <v>143</v>
      </c>
      <c r="E1625" t="s">
        <v>180</v>
      </c>
      <c r="F1625">
        <v>10</v>
      </c>
      <c r="G1625">
        <v>8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1</v>
      </c>
      <c r="O1625">
        <v>10</v>
      </c>
      <c r="P1625">
        <f t="shared" si="84"/>
        <v>2024</v>
      </c>
      <c r="Q1625">
        <f t="shared" si="85"/>
        <v>6</v>
      </c>
      <c r="R1625" t="str">
        <f t="shared" si="83"/>
        <v>淘特其他渠道</v>
      </c>
      <c r="S1625" t="s">
        <v>628</v>
      </c>
      <c r="T1625" s="546" t="s">
        <v>804</v>
      </c>
    </row>
    <row r="1626" spans="1:20" x14ac:dyDescent="0.3">
      <c r="A1626" t="s">
        <v>627</v>
      </c>
      <c r="B1626" s="16">
        <v>45448</v>
      </c>
      <c r="C1626" t="s">
        <v>2</v>
      </c>
      <c r="D1626" t="s">
        <v>55</v>
      </c>
      <c r="E1626" t="s">
        <v>54</v>
      </c>
      <c r="F1626">
        <v>14</v>
      </c>
      <c r="G1626">
        <v>10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8</v>
      </c>
      <c r="P1626">
        <f t="shared" si="84"/>
        <v>2024</v>
      </c>
      <c r="Q1626">
        <f t="shared" si="85"/>
        <v>6</v>
      </c>
      <c r="R1626" t="str">
        <f t="shared" si="83"/>
        <v>超级直播</v>
      </c>
      <c r="S1626" t="s">
        <v>628</v>
      </c>
      <c r="T1626" s="546" t="s">
        <v>804</v>
      </c>
    </row>
    <row r="1627" spans="1:20" x14ac:dyDescent="0.3">
      <c r="A1627" t="s">
        <v>627</v>
      </c>
      <c r="B1627" s="16">
        <v>45448</v>
      </c>
      <c r="C1627" t="s">
        <v>2</v>
      </c>
      <c r="D1627" t="s">
        <v>55</v>
      </c>
      <c r="E1627" t="s">
        <v>56</v>
      </c>
      <c r="F1627" s="15">
        <v>7908</v>
      </c>
      <c r="G1627" s="15">
        <v>6802</v>
      </c>
      <c r="H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176</v>
      </c>
      <c r="P1627">
        <f t="shared" si="84"/>
        <v>2024</v>
      </c>
      <c r="Q1627">
        <f t="shared" si="85"/>
        <v>6</v>
      </c>
      <c r="R1627" t="str">
        <f t="shared" si="83"/>
        <v>超级短视频</v>
      </c>
      <c r="S1627" t="s">
        <v>628</v>
      </c>
      <c r="T1627" s="546" t="s">
        <v>804</v>
      </c>
    </row>
    <row r="1628" spans="1:20" x14ac:dyDescent="0.3">
      <c r="A1628" t="s">
        <v>627</v>
      </c>
      <c r="B1628" s="16">
        <v>45448</v>
      </c>
      <c r="C1628" t="s">
        <v>2</v>
      </c>
      <c r="D1628" t="s">
        <v>52</v>
      </c>
      <c r="E1628" t="s">
        <v>53</v>
      </c>
      <c r="F1628" s="15">
        <v>1080</v>
      </c>
      <c r="G1628">
        <v>894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 s="15">
        <v>1080</v>
      </c>
      <c r="O1628">
        <v>92</v>
      </c>
      <c r="P1628">
        <f t="shared" si="84"/>
        <v>2024</v>
      </c>
      <c r="Q1628">
        <f t="shared" si="85"/>
        <v>6</v>
      </c>
      <c r="R1628" t="str">
        <f t="shared" si="83"/>
        <v>Showmax</v>
      </c>
      <c r="S1628" t="s">
        <v>628</v>
      </c>
      <c r="T1628" s="546" t="s">
        <v>804</v>
      </c>
    </row>
    <row r="1629" spans="1:20" x14ac:dyDescent="0.3">
      <c r="A1629" t="s">
        <v>627</v>
      </c>
      <c r="B1629" s="16">
        <v>45448</v>
      </c>
      <c r="C1629" t="s">
        <v>2</v>
      </c>
      <c r="D1629" t="s">
        <v>52</v>
      </c>
      <c r="E1629" t="s">
        <v>59</v>
      </c>
      <c r="F1629" s="15">
        <v>1489</v>
      </c>
      <c r="G1629" s="15">
        <v>1186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 s="15">
        <v>1489</v>
      </c>
      <c r="O1629">
        <v>205</v>
      </c>
      <c r="P1629">
        <f t="shared" si="84"/>
        <v>2024</v>
      </c>
      <c r="Q1629">
        <f t="shared" si="85"/>
        <v>6</v>
      </c>
      <c r="R1629" t="str">
        <f t="shared" si="83"/>
        <v>品牌特秀</v>
      </c>
      <c r="S1629" t="s">
        <v>628</v>
      </c>
      <c r="T1629" s="546" t="s">
        <v>804</v>
      </c>
    </row>
    <row r="1630" spans="1:20" x14ac:dyDescent="0.3">
      <c r="A1630" t="s">
        <v>627</v>
      </c>
      <c r="B1630" s="16">
        <v>45448</v>
      </c>
      <c r="C1630" t="s">
        <v>2</v>
      </c>
      <c r="D1630" t="s">
        <v>52</v>
      </c>
      <c r="E1630" t="s">
        <v>183</v>
      </c>
      <c r="F1630">
        <v>636</v>
      </c>
      <c r="G1630">
        <v>526</v>
      </c>
      <c r="H1630">
        <v>23</v>
      </c>
      <c r="I1630">
        <v>6</v>
      </c>
      <c r="J1630" s="15">
        <v>20970</v>
      </c>
      <c r="K1630">
        <v>5</v>
      </c>
      <c r="L1630" s="15">
        <v>18845</v>
      </c>
      <c r="M1630">
        <v>5</v>
      </c>
      <c r="N1630">
        <v>636</v>
      </c>
      <c r="O1630">
        <v>326</v>
      </c>
      <c r="P1630">
        <f t="shared" si="84"/>
        <v>2024</v>
      </c>
      <c r="Q1630">
        <f t="shared" si="85"/>
        <v>6</v>
      </c>
      <c r="R1630" t="str">
        <f t="shared" si="83"/>
        <v>品销宝-品牌专区</v>
      </c>
      <c r="S1630" t="s">
        <v>628</v>
      </c>
      <c r="T1630" s="546" t="s">
        <v>804</v>
      </c>
    </row>
    <row r="1631" spans="1:20" x14ac:dyDescent="0.3">
      <c r="A1631" t="s">
        <v>627</v>
      </c>
      <c r="B1631" s="16">
        <v>45448</v>
      </c>
      <c r="C1631" t="s">
        <v>2</v>
      </c>
      <c r="D1631" t="s">
        <v>57</v>
      </c>
      <c r="E1631" t="s">
        <v>65</v>
      </c>
      <c r="F1631" s="15">
        <v>2783</v>
      </c>
      <c r="G1631" s="15">
        <v>2335</v>
      </c>
      <c r="H1631">
        <v>37</v>
      </c>
      <c r="I1631">
        <v>24</v>
      </c>
      <c r="J1631" s="15">
        <v>13663</v>
      </c>
      <c r="K1631">
        <v>5</v>
      </c>
      <c r="L1631" s="15">
        <v>13663</v>
      </c>
      <c r="M1631">
        <v>5</v>
      </c>
      <c r="N1631">
        <v>240</v>
      </c>
      <c r="O1631" s="15">
        <v>2756</v>
      </c>
      <c r="P1631">
        <f t="shared" si="84"/>
        <v>2024</v>
      </c>
      <c r="Q1631">
        <f t="shared" si="85"/>
        <v>6</v>
      </c>
      <c r="R1631" t="str">
        <f t="shared" si="83"/>
        <v>直通车</v>
      </c>
      <c r="S1631" t="s">
        <v>628</v>
      </c>
      <c r="T1631" s="546" t="s">
        <v>804</v>
      </c>
    </row>
    <row r="1632" spans="1:20" x14ac:dyDescent="0.3">
      <c r="A1632" t="s">
        <v>627</v>
      </c>
      <c r="B1632" s="16">
        <v>45448</v>
      </c>
      <c r="C1632" t="s">
        <v>2</v>
      </c>
      <c r="D1632" t="s">
        <v>57</v>
      </c>
      <c r="E1632" t="s">
        <v>63</v>
      </c>
      <c r="F1632" s="15">
        <v>2863</v>
      </c>
      <c r="G1632" s="15">
        <v>1773</v>
      </c>
      <c r="H1632">
        <v>37</v>
      </c>
      <c r="I1632">
        <v>24</v>
      </c>
      <c r="J1632" s="15">
        <v>14515</v>
      </c>
      <c r="K1632">
        <v>5</v>
      </c>
      <c r="L1632" s="15">
        <v>6315</v>
      </c>
      <c r="M1632">
        <v>3</v>
      </c>
      <c r="N1632">
        <v>152</v>
      </c>
      <c r="O1632" s="15">
        <v>2862</v>
      </c>
      <c r="P1632">
        <f t="shared" si="84"/>
        <v>2024</v>
      </c>
      <c r="Q1632">
        <f t="shared" si="85"/>
        <v>6</v>
      </c>
      <c r="R1632" t="str">
        <f t="shared" si="83"/>
        <v>万相台</v>
      </c>
      <c r="S1632" t="s">
        <v>628</v>
      </c>
      <c r="T1632" s="546" t="s">
        <v>804</v>
      </c>
    </row>
    <row r="1633" spans="1:20" x14ac:dyDescent="0.3">
      <c r="A1633" t="s">
        <v>627</v>
      </c>
      <c r="B1633" s="16">
        <v>45448</v>
      </c>
      <c r="C1633" t="s">
        <v>2</v>
      </c>
      <c r="D1633" t="s">
        <v>57</v>
      </c>
      <c r="E1633" t="s">
        <v>64</v>
      </c>
      <c r="F1633" s="15">
        <v>8904</v>
      </c>
      <c r="G1633" s="15">
        <v>5263</v>
      </c>
      <c r="H1633">
        <v>35</v>
      </c>
      <c r="I1633">
        <v>30</v>
      </c>
      <c r="J1633" s="15">
        <v>6300</v>
      </c>
      <c r="K1633">
        <v>3</v>
      </c>
      <c r="L1633" s="15">
        <v>4820</v>
      </c>
      <c r="M1633">
        <v>2</v>
      </c>
      <c r="N1633">
        <v>213</v>
      </c>
      <c r="O1633" s="15">
        <v>8901</v>
      </c>
      <c r="P1633">
        <f t="shared" si="84"/>
        <v>2024</v>
      </c>
      <c r="Q1633">
        <f t="shared" si="85"/>
        <v>6</v>
      </c>
      <c r="R1633" t="str">
        <f t="shared" si="83"/>
        <v>引力魔方</v>
      </c>
      <c r="S1633" t="s">
        <v>628</v>
      </c>
      <c r="T1633" s="546" t="s">
        <v>804</v>
      </c>
    </row>
    <row r="1634" spans="1:20" x14ac:dyDescent="0.3">
      <c r="A1634" t="s">
        <v>627</v>
      </c>
      <c r="B1634" s="16">
        <v>45448</v>
      </c>
      <c r="C1634" t="s">
        <v>2</v>
      </c>
      <c r="D1634" t="s">
        <v>4</v>
      </c>
      <c r="E1634" t="s">
        <v>43</v>
      </c>
      <c r="F1634">
        <v>552</v>
      </c>
      <c r="G1634">
        <v>304</v>
      </c>
      <c r="H1634">
        <v>2</v>
      </c>
      <c r="I1634">
        <v>2</v>
      </c>
      <c r="J1634">
        <v>0</v>
      </c>
      <c r="K1634">
        <v>0</v>
      </c>
      <c r="L1634">
        <v>0</v>
      </c>
      <c r="M1634">
        <v>0</v>
      </c>
      <c r="N1634">
        <v>15</v>
      </c>
      <c r="O1634">
        <v>545</v>
      </c>
      <c r="P1634">
        <f t="shared" si="84"/>
        <v>2024</v>
      </c>
      <c r="Q1634">
        <f t="shared" si="85"/>
        <v>6</v>
      </c>
      <c r="R1634" t="str">
        <f t="shared" si="83"/>
        <v>淘宝客</v>
      </c>
      <c r="S1634" t="s">
        <v>628</v>
      </c>
      <c r="T1634" s="546" t="s">
        <v>804</v>
      </c>
    </row>
    <row r="1635" spans="1:20" x14ac:dyDescent="0.3">
      <c r="A1635" t="s">
        <v>627</v>
      </c>
      <c r="B1635" s="16">
        <v>45449</v>
      </c>
      <c r="C1635" t="s">
        <v>3</v>
      </c>
      <c r="D1635" t="s">
        <v>114</v>
      </c>
      <c r="E1635" t="s">
        <v>159</v>
      </c>
      <c r="F1635">
        <v>81</v>
      </c>
      <c r="G1635">
        <v>31</v>
      </c>
      <c r="H1635">
        <v>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6</v>
      </c>
      <c r="O1635">
        <v>77</v>
      </c>
      <c r="P1635">
        <f t="shared" si="84"/>
        <v>2024</v>
      </c>
      <c r="Q1635">
        <f t="shared" si="85"/>
        <v>6</v>
      </c>
      <c r="R1635" t="str">
        <f t="shared" si="83"/>
        <v>主会场</v>
      </c>
      <c r="S1635" t="s">
        <v>628</v>
      </c>
      <c r="T1635" s="546" t="s">
        <v>804</v>
      </c>
    </row>
    <row r="1636" spans="1:20" x14ac:dyDescent="0.3">
      <c r="A1636" t="s">
        <v>627</v>
      </c>
      <c r="B1636" s="16">
        <v>45449</v>
      </c>
      <c r="C1636" t="s">
        <v>3</v>
      </c>
      <c r="D1636" t="s">
        <v>114</v>
      </c>
      <c r="E1636" t="s">
        <v>160</v>
      </c>
      <c r="F1636">
        <v>16</v>
      </c>
      <c r="G1636">
        <v>16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16</v>
      </c>
      <c r="P1636">
        <f t="shared" si="84"/>
        <v>2024</v>
      </c>
      <c r="Q1636">
        <f t="shared" si="85"/>
        <v>6</v>
      </c>
      <c r="R1636" t="str">
        <f t="shared" si="83"/>
        <v>榜单会场</v>
      </c>
      <c r="S1636" t="s">
        <v>628</v>
      </c>
      <c r="T1636" s="546" t="s">
        <v>804</v>
      </c>
    </row>
    <row r="1637" spans="1:20" x14ac:dyDescent="0.3">
      <c r="A1637" t="s">
        <v>627</v>
      </c>
      <c r="B1637" s="16">
        <v>45449</v>
      </c>
      <c r="C1637" t="s">
        <v>3</v>
      </c>
      <c r="D1637" t="s">
        <v>117</v>
      </c>
      <c r="E1637" t="s">
        <v>161</v>
      </c>
      <c r="F1637">
        <v>29</v>
      </c>
      <c r="G1637">
        <v>26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4</v>
      </c>
      <c r="O1637">
        <v>29</v>
      </c>
      <c r="P1637">
        <f t="shared" si="84"/>
        <v>2024</v>
      </c>
      <c r="Q1637">
        <f t="shared" si="85"/>
        <v>6</v>
      </c>
      <c r="R1637" t="str">
        <f t="shared" si="83"/>
        <v>其他入口榜单</v>
      </c>
      <c r="S1637" t="s">
        <v>628</v>
      </c>
      <c r="T1637" s="546" t="s">
        <v>804</v>
      </c>
    </row>
    <row r="1638" spans="1:20" x14ac:dyDescent="0.3">
      <c r="A1638" t="s">
        <v>627</v>
      </c>
      <c r="B1638" s="16">
        <v>45449</v>
      </c>
      <c r="C1638" t="s">
        <v>3</v>
      </c>
      <c r="D1638" t="s">
        <v>117</v>
      </c>
      <c r="E1638" t="s">
        <v>191</v>
      </c>
      <c r="F1638">
        <v>1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1</v>
      </c>
      <c r="P1638">
        <f t="shared" si="84"/>
        <v>2024</v>
      </c>
      <c r="Q1638">
        <f t="shared" si="85"/>
        <v>6</v>
      </c>
      <c r="R1638" t="str">
        <f t="shared" si="83"/>
        <v>商品详情页入口榜单</v>
      </c>
      <c r="S1638" t="s">
        <v>628</v>
      </c>
      <c r="T1638" s="546" t="s">
        <v>804</v>
      </c>
    </row>
    <row r="1639" spans="1:20" x14ac:dyDescent="0.3">
      <c r="A1639" t="s">
        <v>627</v>
      </c>
      <c r="B1639" s="16">
        <v>45449</v>
      </c>
      <c r="C1639" t="s">
        <v>3</v>
      </c>
      <c r="D1639" t="s">
        <v>117</v>
      </c>
      <c r="E1639" t="s">
        <v>195</v>
      </c>
      <c r="F1639">
        <v>3</v>
      </c>
      <c r="G1639">
        <v>3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3</v>
      </c>
      <c r="P1639">
        <f t="shared" si="84"/>
        <v>2024</v>
      </c>
      <c r="Q1639">
        <f t="shared" si="85"/>
        <v>6</v>
      </c>
      <c r="R1639" t="str">
        <f t="shared" si="83"/>
        <v>搜索入口榜单</v>
      </c>
      <c r="S1639" t="s">
        <v>628</v>
      </c>
      <c r="T1639" s="546" t="s">
        <v>804</v>
      </c>
    </row>
    <row r="1640" spans="1:20" x14ac:dyDescent="0.3">
      <c r="A1640" t="s">
        <v>627</v>
      </c>
      <c r="B1640" s="16">
        <v>45449</v>
      </c>
      <c r="C1640" t="s">
        <v>3</v>
      </c>
      <c r="D1640" t="s">
        <v>120</v>
      </c>
      <c r="E1640" t="s">
        <v>162</v>
      </c>
      <c r="F1640">
        <v>1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f t="shared" si="84"/>
        <v>2024</v>
      </c>
      <c r="Q1640">
        <f t="shared" si="85"/>
        <v>6</v>
      </c>
      <c r="R1640" t="str">
        <f t="shared" si="83"/>
        <v>手机浏览器访问天猫</v>
      </c>
      <c r="S1640" t="s">
        <v>628</v>
      </c>
      <c r="T1640" s="546" t="s">
        <v>804</v>
      </c>
    </row>
    <row r="1641" spans="1:20" x14ac:dyDescent="0.3">
      <c r="A1641" t="s">
        <v>627</v>
      </c>
      <c r="B1641" s="16">
        <v>45449</v>
      </c>
      <c r="C1641" t="s">
        <v>3</v>
      </c>
      <c r="D1641" t="s">
        <v>120</v>
      </c>
      <c r="E1641" t="s">
        <v>163</v>
      </c>
      <c r="F1641">
        <v>70</v>
      </c>
      <c r="G1641">
        <v>31</v>
      </c>
      <c r="H1641">
        <v>0</v>
      </c>
      <c r="I1641">
        <v>0</v>
      </c>
      <c r="J1641" s="15">
        <v>2237</v>
      </c>
      <c r="K1641">
        <v>1</v>
      </c>
      <c r="L1641" s="15">
        <v>2237</v>
      </c>
      <c r="M1641">
        <v>1</v>
      </c>
      <c r="N1641">
        <v>26</v>
      </c>
      <c r="O1641">
        <v>66</v>
      </c>
      <c r="P1641">
        <f t="shared" si="84"/>
        <v>2024</v>
      </c>
      <c r="Q1641">
        <f t="shared" si="85"/>
        <v>6</v>
      </c>
      <c r="R1641" t="str">
        <f t="shared" si="83"/>
        <v>手猫免费其他</v>
      </c>
      <c r="S1641" t="s">
        <v>628</v>
      </c>
      <c r="T1641" s="546" t="s">
        <v>804</v>
      </c>
    </row>
    <row r="1642" spans="1:20" x14ac:dyDescent="0.3">
      <c r="A1642" t="s">
        <v>627</v>
      </c>
      <c r="B1642" s="16">
        <v>45449</v>
      </c>
      <c r="C1642" t="s">
        <v>3</v>
      </c>
      <c r="D1642" t="s">
        <v>120</v>
      </c>
      <c r="E1642" t="s">
        <v>164</v>
      </c>
      <c r="F1642">
        <v>5</v>
      </c>
      <c r="G1642">
        <v>2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5</v>
      </c>
      <c r="P1642">
        <f t="shared" si="84"/>
        <v>2024</v>
      </c>
      <c r="Q1642">
        <f t="shared" si="85"/>
        <v>6</v>
      </c>
      <c r="R1642" t="str">
        <f t="shared" si="83"/>
        <v>手猫其他店铺</v>
      </c>
      <c r="S1642" t="s">
        <v>628</v>
      </c>
      <c r="T1642" s="546" t="s">
        <v>804</v>
      </c>
    </row>
    <row r="1643" spans="1:20" x14ac:dyDescent="0.3">
      <c r="A1643" t="s">
        <v>627</v>
      </c>
      <c r="B1643" s="16">
        <v>45449</v>
      </c>
      <c r="C1643" t="s">
        <v>3</v>
      </c>
      <c r="D1643" t="s">
        <v>120</v>
      </c>
      <c r="E1643" t="s">
        <v>165</v>
      </c>
      <c r="F1643">
        <v>28</v>
      </c>
      <c r="G1643">
        <v>11</v>
      </c>
      <c r="H1643">
        <v>0</v>
      </c>
      <c r="I1643">
        <v>0</v>
      </c>
      <c r="J1643" s="15">
        <v>1498</v>
      </c>
      <c r="K1643">
        <v>1</v>
      </c>
      <c r="L1643" s="15">
        <v>1498</v>
      </c>
      <c r="M1643">
        <v>1</v>
      </c>
      <c r="N1643">
        <v>5</v>
      </c>
      <c r="O1643">
        <v>27</v>
      </c>
      <c r="P1643">
        <f t="shared" si="84"/>
        <v>2024</v>
      </c>
      <c r="Q1643">
        <f t="shared" si="85"/>
        <v>6</v>
      </c>
      <c r="R1643" t="str">
        <f t="shared" si="83"/>
        <v>手猫商品详情</v>
      </c>
      <c r="S1643" t="s">
        <v>628</v>
      </c>
      <c r="T1643" s="546" t="s">
        <v>804</v>
      </c>
    </row>
    <row r="1644" spans="1:20" x14ac:dyDescent="0.3">
      <c r="A1644" t="s">
        <v>627</v>
      </c>
      <c r="B1644" s="16">
        <v>45449</v>
      </c>
      <c r="C1644" t="s">
        <v>3</v>
      </c>
      <c r="D1644" t="s">
        <v>120</v>
      </c>
      <c r="E1644" t="s">
        <v>166</v>
      </c>
      <c r="F1644">
        <v>65</v>
      </c>
      <c r="G1644">
        <v>38</v>
      </c>
      <c r="H1644">
        <v>2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16</v>
      </c>
      <c r="O1644">
        <v>58</v>
      </c>
      <c r="P1644">
        <f t="shared" si="84"/>
        <v>2024</v>
      </c>
      <c r="Q1644">
        <f t="shared" si="85"/>
        <v>6</v>
      </c>
      <c r="R1644" t="str">
        <f t="shared" si="83"/>
        <v>手猫搜索</v>
      </c>
      <c r="S1644" t="s">
        <v>628</v>
      </c>
      <c r="T1644" s="546" t="s">
        <v>804</v>
      </c>
    </row>
    <row r="1645" spans="1:20" x14ac:dyDescent="0.3">
      <c r="A1645" t="s">
        <v>627</v>
      </c>
      <c r="B1645" s="16">
        <v>45449</v>
      </c>
      <c r="C1645" t="s">
        <v>3</v>
      </c>
      <c r="D1645" t="s">
        <v>120</v>
      </c>
      <c r="E1645" t="s">
        <v>168</v>
      </c>
      <c r="F1645">
        <v>311</v>
      </c>
      <c r="G1645">
        <v>168</v>
      </c>
      <c r="H1645">
        <v>3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23</v>
      </c>
      <c r="O1645">
        <v>311</v>
      </c>
      <c r="P1645">
        <f t="shared" si="84"/>
        <v>2024</v>
      </c>
      <c r="Q1645">
        <f t="shared" si="85"/>
        <v>6</v>
      </c>
      <c r="R1645" t="str">
        <f t="shared" si="83"/>
        <v>手猫首页</v>
      </c>
      <c r="S1645" t="s">
        <v>628</v>
      </c>
      <c r="T1645" s="546" t="s">
        <v>804</v>
      </c>
    </row>
    <row r="1646" spans="1:20" x14ac:dyDescent="0.3">
      <c r="A1646" t="s">
        <v>627</v>
      </c>
      <c r="B1646" s="16">
        <v>45449</v>
      </c>
      <c r="C1646" t="s">
        <v>3</v>
      </c>
      <c r="D1646" t="s">
        <v>123</v>
      </c>
      <c r="E1646" t="s">
        <v>169</v>
      </c>
      <c r="F1646">
        <v>223</v>
      </c>
      <c r="G1646">
        <v>139</v>
      </c>
      <c r="H1646">
        <v>5</v>
      </c>
      <c r="I1646">
        <v>4</v>
      </c>
      <c r="J1646" s="15">
        <v>4976</v>
      </c>
      <c r="K1646">
        <v>2</v>
      </c>
      <c r="L1646" s="15">
        <v>4976</v>
      </c>
      <c r="M1646">
        <v>2</v>
      </c>
      <c r="N1646">
        <v>55</v>
      </c>
      <c r="O1646">
        <v>175</v>
      </c>
      <c r="P1646">
        <f t="shared" si="84"/>
        <v>2024</v>
      </c>
      <c r="Q1646">
        <f t="shared" si="85"/>
        <v>6</v>
      </c>
      <c r="R1646" t="str">
        <f t="shared" si="83"/>
        <v>商品详情页头图推荐</v>
      </c>
      <c r="S1646" t="s">
        <v>628</v>
      </c>
      <c r="T1646" s="546" t="s">
        <v>804</v>
      </c>
    </row>
    <row r="1647" spans="1:20" x14ac:dyDescent="0.3">
      <c r="A1647" t="s">
        <v>627</v>
      </c>
      <c r="B1647" s="16">
        <v>45449</v>
      </c>
      <c r="C1647" t="s">
        <v>3</v>
      </c>
      <c r="D1647" t="s">
        <v>123</v>
      </c>
      <c r="E1647" t="s">
        <v>170</v>
      </c>
      <c r="F1647">
        <v>26</v>
      </c>
      <c r="G1647">
        <v>17</v>
      </c>
      <c r="H1647">
        <v>2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21</v>
      </c>
      <c r="O1647">
        <v>12</v>
      </c>
      <c r="P1647">
        <f t="shared" si="84"/>
        <v>2024</v>
      </c>
      <c r="Q1647">
        <f t="shared" si="85"/>
        <v>6</v>
      </c>
      <c r="R1647" t="str">
        <f t="shared" si="83"/>
        <v>店铺超链</v>
      </c>
      <c r="S1647" t="s">
        <v>628</v>
      </c>
      <c r="T1647" s="546" t="s">
        <v>804</v>
      </c>
    </row>
    <row r="1648" spans="1:20" x14ac:dyDescent="0.3">
      <c r="A1648" t="s">
        <v>627</v>
      </c>
      <c r="B1648" s="16">
        <v>45449</v>
      </c>
      <c r="C1648" t="s">
        <v>3</v>
      </c>
      <c r="D1648" t="s">
        <v>127</v>
      </c>
      <c r="E1648" t="s">
        <v>171</v>
      </c>
      <c r="F1648">
        <v>168</v>
      </c>
      <c r="G1648">
        <v>107</v>
      </c>
      <c r="H1648">
        <v>9</v>
      </c>
      <c r="I1648">
        <v>5</v>
      </c>
      <c r="J1648" s="15">
        <v>1980</v>
      </c>
      <c r="K1648">
        <v>1</v>
      </c>
      <c r="L1648" s="15">
        <v>1980</v>
      </c>
      <c r="M1648">
        <v>1</v>
      </c>
      <c r="N1648">
        <v>64</v>
      </c>
      <c r="O1648">
        <v>127</v>
      </c>
      <c r="P1648">
        <f t="shared" si="84"/>
        <v>2024</v>
      </c>
      <c r="Q1648">
        <f t="shared" si="85"/>
        <v>6</v>
      </c>
      <c r="R1648" t="str">
        <f t="shared" si="83"/>
        <v>其他猜你喜欢</v>
      </c>
      <c r="S1648" t="s">
        <v>628</v>
      </c>
      <c r="T1648" s="546" t="s">
        <v>804</v>
      </c>
    </row>
    <row r="1649" spans="1:20" x14ac:dyDescent="0.3">
      <c r="A1649" t="s">
        <v>627</v>
      </c>
      <c r="B1649" s="16">
        <v>45449</v>
      </c>
      <c r="C1649" t="s">
        <v>3</v>
      </c>
      <c r="D1649" t="s">
        <v>127</v>
      </c>
      <c r="E1649" t="s">
        <v>172</v>
      </c>
      <c r="F1649">
        <v>4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4</v>
      </c>
      <c r="P1649">
        <f t="shared" si="84"/>
        <v>2024</v>
      </c>
      <c r="Q1649">
        <f t="shared" si="85"/>
        <v>6</v>
      </c>
      <c r="R1649" t="str">
        <f t="shared" si="83"/>
        <v>购中推荐</v>
      </c>
      <c r="S1649" t="s">
        <v>628</v>
      </c>
      <c r="T1649" s="546" t="s">
        <v>804</v>
      </c>
    </row>
    <row r="1650" spans="1:20" x14ac:dyDescent="0.3">
      <c r="A1650" t="s">
        <v>627</v>
      </c>
      <c r="B1650" s="16">
        <v>45449</v>
      </c>
      <c r="C1650" t="s">
        <v>3</v>
      </c>
      <c r="D1650" t="s">
        <v>127</v>
      </c>
      <c r="E1650" t="s">
        <v>173</v>
      </c>
      <c r="F1650">
        <v>37</v>
      </c>
      <c r="G1650">
        <v>18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35</v>
      </c>
      <c r="P1650">
        <f t="shared" si="84"/>
        <v>2024</v>
      </c>
      <c r="Q1650">
        <f t="shared" si="85"/>
        <v>6</v>
      </c>
      <c r="R1650" t="str">
        <f t="shared" si="83"/>
        <v>购后推荐</v>
      </c>
      <c r="S1650" t="s">
        <v>628</v>
      </c>
      <c r="T1650" s="546" t="s">
        <v>804</v>
      </c>
    </row>
    <row r="1651" spans="1:20" x14ac:dyDescent="0.3">
      <c r="A1651" t="s">
        <v>627</v>
      </c>
      <c r="B1651" s="16">
        <v>45449</v>
      </c>
      <c r="C1651" t="s">
        <v>3</v>
      </c>
      <c r="D1651" t="s">
        <v>127</v>
      </c>
      <c r="E1651" t="s">
        <v>174</v>
      </c>
      <c r="F1651" s="15">
        <v>1776</v>
      </c>
      <c r="G1651" s="15">
        <v>1008</v>
      </c>
      <c r="H1651">
        <v>46</v>
      </c>
      <c r="I1651">
        <v>19</v>
      </c>
      <c r="J1651" s="17">
        <v>8208.7000000000007</v>
      </c>
      <c r="K1651">
        <v>4</v>
      </c>
      <c r="L1651" s="17">
        <v>8208.7000000000007</v>
      </c>
      <c r="M1651">
        <v>4</v>
      </c>
      <c r="N1651">
        <v>208</v>
      </c>
      <c r="O1651" s="15">
        <v>1776</v>
      </c>
      <c r="P1651">
        <f t="shared" si="84"/>
        <v>2024</v>
      </c>
      <c r="Q1651">
        <f t="shared" si="85"/>
        <v>6</v>
      </c>
      <c r="R1651" t="str">
        <f t="shared" si="83"/>
        <v>首页推荐-微详情</v>
      </c>
      <c r="S1651" t="s">
        <v>628</v>
      </c>
      <c r="T1651" s="546" t="s">
        <v>804</v>
      </c>
    </row>
    <row r="1652" spans="1:20" x14ac:dyDescent="0.3">
      <c r="A1652" t="s">
        <v>627</v>
      </c>
      <c r="B1652" s="16">
        <v>45449</v>
      </c>
      <c r="C1652" t="s">
        <v>3</v>
      </c>
      <c r="D1652" t="s">
        <v>127</v>
      </c>
      <c r="E1652" t="s">
        <v>175</v>
      </c>
      <c r="F1652">
        <v>225</v>
      </c>
      <c r="G1652">
        <v>124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4</v>
      </c>
      <c r="P1652">
        <f t="shared" si="84"/>
        <v>2024</v>
      </c>
      <c r="Q1652">
        <f t="shared" si="85"/>
        <v>6</v>
      </c>
      <c r="R1652" t="str">
        <f t="shared" si="83"/>
        <v>首页推荐-直播</v>
      </c>
      <c r="S1652" t="s">
        <v>628</v>
      </c>
      <c r="T1652" s="546" t="s">
        <v>804</v>
      </c>
    </row>
    <row r="1653" spans="1:20" x14ac:dyDescent="0.3">
      <c r="A1653" t="s">
        <v>627</v>
      </c>
      <c r="B1653" s="16">
        <v>45449</v>
      </c>
      <c r="C1653" t="s">
        <v>3</v>
      </c>
      <c r="D1653" t="s">
        <v>127</v>
      </c>
      <c r="E1653" t="s">
        <v>176</v>
      </c>
      <c r="F1653">
        <v>82</v>
      </c>
      <c r="G1653">
        <v>41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f t="shared" si="84"/>
        <v>2024</v>
      </c>
      <c r="Q1653">
        <f t="shared" si="85"/>
        <v>6</v>
      </c>
      <c r="R1653" t="str">
        <f t="shared" si="83"/>
        <v>首页推荐-短视频</v>
      </c>
      <c r="S1653" t="s">
        <v>628</v>
      </c>
      <c r="T1653" s="546" t="s">
        <v>804</v>
      </c>
    </row>
    <row r="1654" spans="1:20" x14ac:dyDescent="0.3">
      <c r="A1654" t="s">
        <v>627</v>
      </c>
      <c r="B1654" s="16">
        <v>45449</v>
      </c>
      <c r="C1654" t="s">
        <v>3</v>
      </c>
      <c r="D1654" t="s">
        <v>128</v>
      </c>
      <c r="E1654" t="s">
        <v>177</v>
      </c>
      <c r="F1654">
        <v>864</v>
      </c>
      <c r="G1654">
        <v>672</v>
      </c>
      <c r="H1654">
        <v>36</v>
      </c>
      <c r="I1654">
        <v>12</v>
      </c>
      <c r="J1654" s="15">
        <v>26171</v>
      </c>
      <c r="K1654">
        <v>4</v>
      </c>
      <c r="L1654" s="15">
        <v>23934</v>
      </c>
      <c r="M1654">
        <v>4</v>
      </c>
      <c r="N1654">
        <v>230</v>
      </c>
      <c r="O1654">
        <v>795</v>
      </c>
      <c r="P1654">
        <f t="shared" si="84"/>
        <v>2024</v>
      </c>
      <c r="Q1654">
        <f t="shared" si="85"/>
        <v>6</v>
      </c>
      <c r="R1654" t="str">
        <f t="shared" si="83"/>
        <v>手淘搜索-商品及其他</v>
      </c>
      <c r="S1654" t="s">
        <v>628</v>
      </c>
      <c r="T1654" s="546" t="s">
        <v>804</v>
      </c>
    </row>
    <row r="1655" spans="1:20" x14ac:dyDescent="0.3">
      <c r="A1655" t="s">
        <v>627</v>
      </c>
      <c r="B1655" s="16">
        <v>45449</v>
      </c>
      <c r="C1655" t="s">
        <v>3</v>
      </c>
      <c r="D1655" t="s">
        <v>128</v>
      </c>
      <c r="E1655" t="s">
        <v>178</v>
      </c>
      <c r="F1655">
        <v>4</v>
      </c>
      <c r="G1655">
        <v>3</v>
      </c>
      <c r="H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2</v>
      </c>
      <c r="P1655">
        <f t="shared" si="84"/>
        <v>2024</v>
      </c>
      <c r="Q1655">
        <f t="shared" si="85"/>
        <v>6</v>
      </c>
      <c r="R1655" t="str">
        <f t="shared" si="83"/>
        <v>手淘搜索-直播</v>
      </c>
      <c r="S1655" t="s">
        <v>628</v>
      </c>
      <c r="T1655" s="546" t="s">
        <v>804</v>
      </c>
    </row>
    <row r="1656" spans="1:20" x14ac:dyDescent="0.3">
      <c r="A1656" t="s">
        <v>627</v>
      </c>
      <c r="B1656" s="16">
        <v>45449</v>
      </c>
      <c r="C1656" t="s">
        <v>3</v>
      </c>
      <c r="D1656" t="s">
        <v>128</v>
      </c>
      <c r="E1656" t="s">
        <v>179</v>
      </c>
      <c r="F1656">
        <v>30</v>
      </c>
      <c r="G1656">
        <v>14</v>
      </c>
      <c r="H1656">
        <v>2</v>
      </c>
      <c r="I1656">
        <v>1</v>
      </c>
      <c r="J1656" s="15">
        <v>4705</v>
      </c>
      <c r="K1656">
        <v>1</v>
      </c>
      <c r="L1656" s="15">
        <v>4705</v>
      </c>
      <c r="M1656">
        <v>1</v>
      </c>
      <c r="N1656">
        <v>2</v>
      </c>
      <c r="O1656">
        <v>7</v>
      </c>
      <c r="P1656">
        <f t="shared" si="84"/>
        <v>2024</v>
      </c>
      <c r="Q1656">
        <f t="shared" si="85"/>
        <v>6</v>
      </c>
      <c r="R1656" t="str">
        <f t="shared" si="83"/>
        <v>手淘搜索-短视频</v>
      </c>
      <c r="S1656" t="s">
        <v>628</v>
      </c>
      <c r="T1656" s="546" t="s">
        <v>804</v>
      </c>
    </row>
    <row r="1657" spans="1:20" x14ac:dyDescent="0.3">
      <c r="A1657" t="s">
        <v>627</v>
      </c>
      <c r="B1657" s="16">
        <v>45449</v>
      </c>
      <c r="C1657" t="s">
        <v>3</v>
      </c>
      <c r="D1657" t="s">
        <v>143</v>
      </c>
      <c r="E1657" t="s">
        <v>180</v>
      </c>
      <c r="F1657">
        <v>16</v>
      </c>
      <c r="G1657">
        <v>16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16</v>
      </c>
      <c r="P1657">
        <f t="shared" si="84"/>
        <v>2024</v>
      </c>
      <c r="Q1657">
        <f t="shared" si="85"/>
        <v>6</v>
      </c>
      <c r="R1657" t="str">
        <f t="shared" si="83"/>
        <v>淘特其他渠道</v>
      </c>
      <c r="S1657" t="s">
        <v>628</v>
      </c>
      <c r="T1657" s="546" t="s">
        <v>804</v>
      </c>
    </row>
    <row r="1658" spans="1:20" x14ac:dyDescent="0.3">
      <c r="A1658" t="s">
        <v>627</v>
      </c>
      <c r="B1658" s="16">
        <v>45449</v>
      </c>
      <c r="C1658" t="s">
        <v>3</v>
      </c>
      <c r="D1658" t="s">
        <v>143</v>
      </c>
      <c r="E1658" t="s">
        <v>181</v>
      </c>
      <c r="F1658">
        <v>1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</v>
      </c>
      <c r="P1658">
        <f t="shared" si="84"/>
        <v>2024</v>
      </c>
      <c r="Q1658">
        <f t="shared" si="85"/>
        <v>6</v>
      </c>
      <c r="R1658" t="str">
        <f t="shared" si="83"/>
        <v>淘特搜索</v>
      </c>
      <c r="S1658" t="s">
        <v>628</v>
      </c>
      <c r="T1658" s="546" t="s">
        <v>804</v>
      </c>
    </row>
    <row r="1659" spans="1:20" x14ac:dyDescent="0.3">
      <c r="A1659" t="s">
        <v>627</v>
      </c>
      <c r="B1659" s="16">
        <v>45449</v>
      </c>
      <c r="C1659" t="s">
        <v>2</v>
      </c>
      <c r="D1659" t="s">
        <v>55</v>
      </c>
      <c r="E1659" t="s">
        <v>66</v>
      </c>
      <c r="F1659">
        <v>1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f t="shared" si="84"/>
        <v>2024</v>
      </c>
      <c r="Q1659">
        <f t="shared" si="85"/>
        <v>6</v>
      </c>
      <c r="R1659" t="str">
        <f t="shared" si="83"/>
        <v>短直联动</v>
      </c>
      <c r="S1659" t="s">
        <v>628</v>
      </c>
      <c r="T1659" s="546" t="s">
        <v>804</v>
      </c>
    </row>
    <row r="1660" spans="1:20" x14ac:dyDescent="0.3">
      <c r="A1660" t="s">
        <v>627</v>
      </c>
      <c r="B1660" s="16">
        <v>45449</v>
      </c>
      <c r="C1660" t="s">
        <v>2</v>
      </c>
      <c r="D1660" t="s">
        <v>55</v>
      </c>
      <c r="E1660" t="s">
        <v>54</v>
      </c>
      <c r="F1660" s="15">
        <v>6077</v>
      </c>
      <c r="G1660" s="15">
        <v>5545</v>
      </c>
      <c r="H1660">
        <v>1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17</v>
      </c>
      <c r="O1660" s="15">
        <v>1696</v>
      </c>
      <c r="P1660">
        <f t="shared" si="84"/>
        <v>2024</v>
      </c>
      <c r="Q1660">
        <f t="shared" si="85"/>
        <v>6</v>
      </c>
      <c r="R1660" t="str">
        <f t="shared" si="83"/>
        <v>超级直播</v>
      </c>
      <c r="S1660" t="s">
        <v>628</v>
      </c>
      <c r="T1660" s="546" t="s">
        <v>804</v>
      </c>
    </row>
    <row r="1661" spans="1:20" x14ac:dyDescent="0.3">
      <c r="A1661" t="s">
        <v>627</v>
      </c>
      <c r="B1661" s="16">
        <v>45449</v>
      </c>
      <c r="C1661" t="s">
        <v>2</v>
      </c>
      <c r="D1661" t="s">
        <v>55</v>
      </c>
      <c r="E1661" t="s">
        <v>56</v>
      </c>
      <c r="F1661" s="15">
        <v>14956</v>
      </c>
      <c r="G1661" s="15">
        <v>12822</v>
      </c>
      <c r="H1661">
        <v>2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4</v>
      </c>
      <c r="O1661" s="15">
        <v>1560</v>
      </c>
      <c r="P1661">
        <f t="shared" si="84"/>
        <v>2024</v>
      </c>
      <c r="Q1661">
        <f t="shared" si="85"/>
        <v>6</v>
      </c>
      <c r="R1661" t="str">
        <f t="shared" si="83"/>
        <v>超级短视频</v>
      </c>
      <c r="S1661" t="s">
        <v>628</v>
      </c>
      <c r="T1661" s="546" t="s">
        <v>804</v>
      </c>
    </row>
    <row r="1662" spans="1:20" x14ac:dyDescent="0.3">
      <c r="A1662" t="s">
        <v>627</v>
      </c>
      <c r="B1662" s="16">
        <v>45449</v>
      </c>
      <c r="C1662" t="s">
        <v>2</v>
      </c>
      <c r="D1662" t="s">
        <v>52</v>
      </c>
      <c r="E1662" t="s">
        <v>53</v>
      </c>
      <c r="F1662" s="15">
        <v>1030</v>
      </c>
      <c r="G1662">
        <v>881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 s="15">
        <v>1030</v>
      </c>
      <c r="O1662">
        <v>83</v>
      </c>
      <c r="P1662">
        <f t="shared" si="84"/>
        <v>2024</v>
      </c>
      <c r="Q1662">
        <f t="shared" si="85"/>
        <v>6</v>
      </c>
      <c r="R1662" t="str">
        <f t="shared" si="83"/>
        <v>Showmax</v>
      </c>
      <c r="S1662" t="s">
        <v>628</v>
      </c>
      <c r="T1662" s="546" t="s">
        <v>804</v>
      </c>
    </row>
    <row r="1663" spans="1:20" x14ac:dyDescent="0.3">
      <c r="A1663" t="s">
        <v>627</v>
      </c>
      <c r="B1663" s="16">
        <v>45449</v>
      </c>
      <c r="C1663" t="s">
        <v>2</v>
      </c>
      <c r="D1663" t="s">
        <v>52</v>
      </c>
      <c r="E1663" t="s">
        <v>59</v>
      </c>
      <c r="F1663" s="15">
        <v>1424</v>
      </c>
      <c r="G1663" s="15">
        <v>1119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 s="15">
        <v>1424</v>
      </c>
      <c r="O1663">
        <v>200</v>
      </c>
      <c r="P1663">
        <f t="shared" si="84"/>
        <v>2024</v>
      </c>
      <c r="Q1663">
        <f t="shared" si="85"/>
        <v>6</v>
      </c>
      <c r="R1663" t="str">
        <f t="shared" si="83"/>
        <v>品牌特秀</v>
      </c>
      <c r="S1663" t="s">
        <v>628</v>
      </c>
      <c r="T1663" s="546" t="s">
        <v>804</v>
      </c>
    </row>
    <row r="1664" spans="1:20" x14ac:dyDescent="0.3">
      <c r="A1664" t="s">
        <v>627</v>
      </c>
      <c r="B1664" s="16">
        <v>45449</v>
      </c>
      <c r="C1664" t="s">
        <v>2</v>
      </c>
      <c r="D1664" t="s">
        <v>52</v>
      </c>
      <c r="E1664" t="s">
        <v>183</v>
      </c>
      <c r="F1664">
        <v>688</v>
      </c>
      <c r="G1664">
        <v>569</v>
      </c>
      <c r="H1664">
        <v>14</v>
      </c>
      <c r="I1664">
        <v>6</v>
      </c>
      <c r="J1664" s="15">
        <v>3500</v>
      </c>
      <c r="K1664">
        <v>3</v>
      </c>
      <c r="L1664" s="15">
        <v>3500</v>
      </c>
      <c r="M1664">
        <v>3</v>
      </c>
      <c r="N1664">
        <v>688</v>
      </c>
      <c r="O1664">
        <v>351</v>
      </c>
      <c r="P1664">
        <f t="shared" si="84"/>
        <v>2024</v>
      </c>
      <c r="Q1664">
        <f t="shared" si="85"/>
        <v>6</v>
      </c>
      <c r="R1664" t="str">
        <f t="shared" si="83"/>
        <v>品销宝-品牌专区</v>
      </c>
      <c r="S1664" t="s">
        <v>628</v>
      </c>
      <c r="T1664" s="546" t="s">
        <v>804</v>
      </c>
    </row>
    <row r="1665" spans="1:20" x14ac:dyDescent="0.3">
      <c r="A1665" t="s">
        <v>627</v>
      </c>
      <c r="B1665" s="16">
        <v>45449</v>
      </c>
      <c r="C1665" t="s">
        <v>2</v>
      </c>
      <c r="D1665" t="s">
        <v>57</v>
      </c>
      <c r="E1665" t="s">
        <v>65</v>
      </c>
      <c r="F1665" s="15">
        <v>3189</v>
      </c>
      <c r="G1665" s="15">
        <v>2717</v>
      </c>
      <c r="H1665">
        <v>39</v>
      </c>
      <c r="I1665">
        <v>23</v>
      </c>
      <c r="J1665" s="15">
        <v>47695</v>
      </c>
      <c r="K1665">
        <v>8</v>
      </c>
      <c r="L1665" s="15">
        <v>19945</v>
      </c>
      <c r="M1665">
        <v>6</v>
      </c>
      <c r="N1665">
        <v>292</v>
      </c>
      <c r="O1665" s="15">
        <v>3165</v>
      </c>
      <c r="P1665">
        <f t="shared" si="84"/>
        <v>2024</v>
      </c>
      <c r="Q1665">
        <f t="shared" si="85"/>
        <v>6</v>
      </c>
      <c r="R1665" t="str">
        <f t="shared" si="83"/>
        <v>直通车</v>
      </c>
      <c r="S1665" t="s">
        <v>628</v>
      </c>
      <c r="T1665" s="546" t="s">
        <v>804</v>
      </c>
    </row>
    <row r="1666" spans="1:20" x14ac:dyDescent="0.3">
      <c r="A1666" t="s">
        <v>627</v>
      </c>
      <c r="B1666" s="16">
        <v>45449</v>
      </c>
      <c r="C1666" t="s">
        <v>2</v>
      </c>
      <c r="D1666" t="s">
        <v>57</v>
      </c>
      <c r="E1666" t="s">
        <v>63</v>
      </c>
      <c r="F1666" s="15">
        <v>2369</v>
      </c>
      <c r="G1666" s="15">
        <v>1388</v>
      </c>
      <c r="H1666">
        <v>30</v>
      </c>
      <c r="I1666">
        <v>19</v>
      </c>
      <c r="J1666" s="15">
        <v>16412</v>
      </c>
      <c r="K1666">
        <v>4</v>
      </c>
      <c r="L1666" s="15">
        <v>9227</v>
      </c>
      <c r="M1666">
        <v>3</v>
      </c>
      <c r="N1666">
        <v>128</v>
      </c>
      <c r="O1666" s="15">
        <v>2368</v>
      </c>
      <c r="P1666">
        <f t="shared" si="84"/>
        <v>2024</v>
      </c>
      <c r="Q1666">
        <f t="shared" si="85"/>
        <v>6</v>
      </c>
      <c r="R1666" t="str">
        <f t="shared" si="83"/>
        <v>万相台</v>
      </c>
      <c r="S1666" t="s">
        <v>628</v>
      </c>
      <c r="T1666" s="546" t="s">
        <v>804</v>
      </c>
    </row>
    <row r="1667" spans="1:20" x14ac:dyDescent="0.3">
      <c r="A1667" t="s">
        <v>627</v>
      </c>
      <c r="B1667" s="16">
        <v>45449</v>
      </c>
      <c r="C1667" t="s">
        <v>2</v>
      </c>
      <c r="D1667" t="s">
        <v>57</v>
      </c>
      <c r="E1667" t="s">
        <v>64</v>
      </c>
      <c r="F1667" s="15">
        <v>12763</v>
      </c>
      <c r="G1667" s="15">
        <v>8031</v>
      </c>
      <c r="H1667">
        <v>35</v>
      </c>
      <c r="I1667">
        <v>43</v>
      </c>
      <c r="J1667">
        <v>0</v>
      </c>
      <c r="K1667">
        <v>0</v>
      </c>
      <c r="L1667">
        <v>0</v>
      </c>
      <c r="M1667">
        <v>0</v>
      </c>
      <c r="N1667">
        <v>270</v>
      </c>
      <c r="O1667" s="15">
        <v>12753</v>
      </c>
      <c r="P1667">
        <f t="shared" si="84"/>
        <v>2024</v>
      </c>
      <c r="Q1667">
        <f t="shared" si="85"/>
        <v>6</v>
      </c>
      <c r="R1667" t="str">
        <f t="shared" si="83"/>
        <v>引力魔方</v>
      </c>
      <c r="S1667" t="s">
        <v>628</v>
      </c>
      <c r="T1667" s="546" t="s">
        <v>804</v>
      </c>
    </row>
    <row r="1668" spans="1:20" x14ac:dyDescent="0.3">
      <c r="A1668" t="s">
        <v>627</v>
      </c>
      <c r="B1668" s="16">
        <v>45449</v>
      </c>
      <c r="C1668" t="s">
        <v>2</v>
      </c>
      <c r="D1668" t="s">
        <v>4</v>
      </c>
      <c r="E1668" t="s">
        <v>41</v>
      </c>
      <c r="F1668">
        <v>1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f t="shared" si="84"/>
        <v>2024</v>
      </c>
      <c r="Q1668">
        <f t="shared" si="85"/>
        <v>6</v>
      </c>
      <c r="R1668" t="str">
        <f t="shared" si="83"/>
        <v>流量宝</v>
      </c>
      <c r="S1668" t="s">
        <v>628</v>
      </c>
      <c r="T1668" s="546" t="s">
        <v>804</v>
      </c>
    </row>
    <row r="1669" spans="1:20" x14ac:dyDescent="0.3">
      <c r="A1669" t="s">
        <v>627</v>
      </c>
      <c r="B1669" s="16">
        <v>45449</v>
      </c>
      <c r="C1669" t="s">
        <v>2</v>
      </c>
      <c r="D1669" t="s">
        <v>4</v>
      </c>
      <c r="E1669" t="s">
        <v>43</v>
      </c>
      <c r="F1669" s="15">
        <v>1122</v>
      </c>
      <c r="G1669">
        <v>643</v>
      </c>
      <c r="H1669">
        <v>2</v>
      </c>
      <c r="I1669">
        <v>0</v>
      </c>
      <c r="J1669" s="15">
        <v>1980</v>
      </c>
      <c r="K1669">
        <v>1</v>
      </c>
      <c r="L1669" s="15">
        <v>1980</v>
      </c>
      <c r="M1669">
        <v>1</v>
      </c>
      <c r="N1669">
        <v>17</v>
      </c>
      <c r="O1669" s="15">
        <v>1109</v>
      </c>
      <c r="P1669">
        <f t="shared" si="84"/>
        <v>2024</v>
      </c>
      <c r="Q1669">
        <f t="shared" si="85"/>
        <v>6</v>
      </c>
      <c r="R1669" t="str">
        <f t="shared" si="83"/>
        <v>淘宝客</v>
      </c>
      <c r="S1669" t="s">
        <v>628</v>
      </c>
      <c r="T1669" s="546" t="s">
        <v>804</v>
      </c>
    </row>
    <row r="1670" spans="1:20" x14ac:dyDescent="0.3">
      <c r="A1670" t="s">
        <v>627</v>
      </c>
      <c r="B1670" s="16">
        <v>45450</v>
      </c>
      <c r="C1670" t="s">
        <v>3</v>
      </c>
      <c r="D1670" t="s">
        <v>114</v>
      </c>
      <c r="E1670" t="s">
        <v>159</v>
      </c>
      <c r="F1670">
        <v>78</v>
      </c>
      <c r="G1670">
        <v>34</v>
      </c>
      <c r="H1670">
        <v>1</v>
      </c>
      <c r="I1670">
        <v>2</v>
      </c>
      <c r="J1670" s="15">
        <v>1303</v>
      </c>
      <c r="K1670">
        <v>1</v>
      </c>
      <c r="L1670">
        <v>0</v>
      </c>
      <c r="M1670">
        <v>0</v>
      </c>
      <c r="N1670">
        <v>7</v>
      </c>
      <c r="O1670">
        <v>73</v>
      </c>
      <c r="P1670">
        <f t="shared" si="84"/>
        <v>2024</v>
      </c>
      <c r="Q1670">
        <f t="shared" si="85"/>
        <v>6</v>
      </c>
      <c r="R1670" t="str">
        <f t="shared" si="83"/>
        <v>主会场</v>
      </c>
      <c r="S1670" t="s">
        <v>628</v>
      </c>
      <c r="T1670" s="546" t="s">
        <v>804</v>
      </c>
    </row>
    <row r="1671" spans="1:20" x14ac:dyDescent="0.3">
      <c r="A1671" t="s">
        <v>627</v>
      </c>
      <c r="B1671" s="16">
        <v>45450</v>
      </c>
      <c r="C1671" t="s">
        <v>3</v>
      </c>
      <c r="D1671" t="s">
        <v>114</v>
      </c>
      <c r="E1671" t="s">
        <v>160</v>
      </c>
      <c r="F1671">
        <v>21</v>
      </c>
      <c r="G1671">
        <v>21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3</v>
      </c>
      <c r="O1671">
        <v>21</v>
      </c>
      <c r="P1671">
        <f t="shared" si="84"/>
        <v>2024</v>
      </c>
      <c r="Q1671">
        <f t="shared" si="85"/>
        <v>6</v>
      </c>
      <c r="R1671" t="str">
        <f t="shared" ref="R1671:R1734" si="86">E1671</f>
        <v>榜单会场</v>
      </c>
      <c r="S1671" t="s">
        <v>628</v>
      </c>
      <c r="T1671" s="546" t="s">
        <v>804</v>
      </c>
    </row>
    <row r="1672" spans="1:20" x14ac:dyDescent="0.3">
      <c r="A1672" t="s">
        <v>627</v>
      </c>
      <c r="B1672" s="16">
        <v>45450</v>
      </c>
      <c r="C1672" t="s">
        <v>3</v>
      </c>
      <c r="D1672" t="s">
        <v>117</v>
      </c>
      <c r="E1672" t="s">
        <v>161</v>
      </c>
      <c r="F1672">
        <v>13</v>
      </c>
      <c r="G1672">
        <v>11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13</v>
      </c>
      <c r="P1672">
        <f t="shared" si="84"/>
        <v>2024</v>
      </c>
      <c r="Q1672">
        <f t="shared" si="85"/>
        <v>6</v>
      </c>
      <c r="R1672" t="str">
        <f t="shared" si="86"/>
        <v>其他入口榜单</v>
      </c>
      <c r="S1672" t="s">
        <v>628</v>
      </c>
      <c r="T1672" s="546" t="s">
        <v>804</v>
      </c>
    </row>
    <row r="1673" spans="1:20" x14ac:dyDescent="0.3">
      <c r="A1673" t="s">
        <v>627</v>
      </c>
      <c r="B1673" s="16">
        <v>45450</v>
      </c>
      <c r="C1673" t="s">
        <v>3</v>
      </c>
      <c r="D1673" t="s">
        <v>117</v>
      </c>
      <c r="E1673" t="s">
        <v>191</v>
      </c>
      <c r="F1673">
        <v>3</v>
      </c>
      <c r="G1673">
        <v>3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3</v>
      </c>
      <c r="P1673">
        <f t="shared" si="84"/>
        <v>2024</v>
      </c>
      <c r="Q1673">
        <f t="shared" si="85"/>
        <v>6</v>
      </c>
      <c r="R1673" t="str">
        <f t="shared" si="86"/>
        <v>商品详情页入口榜单</v>
      </c>
      <c r="S1673" t="s">
        <v>628</v>
      </c>
      <c r="T1673" s="546" t="s">
        <v>804</v>
      </c>
    </row>
    <row r="1674" spans="1:20" x14ac:dyDescent="0.3">
      <c r="A1674" t="s">
        <v>627</v>
      </c>
      <c r="B1674" s="16">
        <v>45450</v>
      </c>
      <c r="C1674" t="s">
        <v>3</v>
      </c>
      <c r="D1674" t="s">
        <v>117</v>
      </c>
      <c r="E1674" t="s">
        <v>195</v>
      </c>
      <c r="F1674">
        <v>4</v>
      </c>
      <c r="G1674">
        <v>4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</v>
      </c>
      <c r="O1674">
        <v>4</v>
      </c>
      <c r="P1674">
        <f t="shared" si="84"/>
        <v>2024</v>
      </c>
      <c r="Q1674">
        <f t="shared" si="85"/>
        <v>6</v>
      </c>
      <c r="R1674" t="str">
        <f t="shared" si="86"/>
        <v>搜索入口榜单</v>
      </c>
      <c r="S1674" t="s">
        <v>628</v>
      </c>
      <c r="T1674" s="546" t="s">
        <v>804</v>
      </c>
    </row>
    <row r="1675" spans="1:20" x14ac:dyDescent="0.3">
      <c r="A1675" t="s">
        <v>627</v>
      </c>
      <c r="B1675" s="16">
        <v>45450</v>
      </c>
      <c r="C1675" t="s">
        <v>3</v>
      </c>
      <c r="D1675" t="s">
        <v>120</v>
      </c>
      <c r="E1675" t="s">
        <v>162</v>
      </c>
      <c r="F1675">
        <v>1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1</v>
      </c>
      <c r="O1675">
        <v>0</v>
      </c>
      <c r="P1675">
        <f t="shared" si="84"/>
        <v>2024</v>
      </c>
      <c r="Q1675">
        <f t="shared" si="85"/>
        <v>6</v>
      </c>
      <c r="R1675" t="str">
        <f t="shared" si="86"/>
        <v>手机浏览器访问天猫</v>
      </c>
      <c r="S1675" t="s">
        <v>628</v>
      </c>
      <c r="T1675" s="546" t="s">
        <v>804</v>
      </c>
    </row>
    <row r="1676" spans="1:20" x14ac:dyDescent="0.3">
      <c r="A1676" t="s">
        <v>627</v>
      </c>
      <c r="B1676" s="16">
        <v>45450</v>
      </c>
      <c r="C1676" t="s">
        <v>3</v>
      </c>
      <c r="D1676" t="s">
        <v>120</v>
      </c>
      <c r="E1676" t="s">
        <v>163</v>
      </c>
      <c r="F1676">
        <v>89</v>
      </c>
      <c r="G1676">
        <v>48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25</v>
      </c>
      <c r="O1676">
        <v>85</v>
      </c>
      <c r="P1676">
        <f t="shared" si="84"/>
        <v>2024</v>
      </c>
      <c r="Q1676">
        <f t="shared" si="85"/>
        <v>6</v>
      </c>
      <c r="R1676" t="str">
        <f t="shared" si="86"/>
        <v>手猫免费其他</v>
      </c>
      <c r="S1676" t="s">
        <v>628</v>
      </c>
      <c r="T1676" s="546" t="s">
        <v>804</v>
      </c>
    </row>
    <row r="1677" spans="1:20" x14ac:dyDescent="0.3">
      <c r="A1677" t="s">
        <v>627</v>
      </c>
      <c r="B1677" s="16">
        <v>45450</v>
      </c>
      <c r="C1677" t="s">
        <v>3</v>
      </c>
      <c r="D1677" t="s">
        <v>120</v>
      </c>
      <c r="E1677" t="s">
        <v>164</v>
      </c>
      <c r="F1677">
        <v>8</v>
      </c>
      <c r="G1677">
        <v>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8</v>
      </c>
      <c r="P1677">
        <f t="shared" si="84"/>
        <v>2024</v>
      </c>
      <c r="Q1677">
        <f t="shared" si="85"/>
        <v>6</v>
      </c>
      <c r="R1677" t="str">
        <f t="shared" si="86"/>
        <v>手猫其他店铺</v>
      </c>
      <c r="S1677" t="s">
        <v>628</v>
      </c>
      <c r="T1677" s="546" t="s">
        <v>804</v>
      </c>
    </row>
    <row r="1678" spans="1:20" x14ac:dyDescent="0.3">
      <c r="A1678" t="s">
        <v>627</v>
      </c>
      <c r="B1678" s="16">
        <v>45450</v>
      </c>
      <c r="C1678" t="s">
        <v>3</v>
      </c>
      <c r="D1678" t="s">
        <v>120</v>
      </c>
      <c r="E1678" t="s">
        <v>165</v>
      </c>
      <c r="F1678">
        <v>29</v>
      </c>
      <c r="G1678">
        <v>9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6</v>
      </c>
      <c r="O1678">
        <v>26</v>
      </c>
      <c r="P1678">
        <f t="shared" si="84"/>
        <v>2024</v>
      </c>
      <c r="Q1678">
        <f t="shared" si="85"/>
        <v>6</v>
      </c>
      <c r="R1678" t="str">
        <f t="shared" si="86"/>
        <v>手猫商品详情</v>
      </c>
      <c r="S1678" t="s">
        <v>628</v>
      </c>
      <c r="T1678" s="546" t="s">
        <v>804</v>
      </c>
    </row>
    <row r="1679" spans="1:20" x14ac:dyDescent="0.3">
      <c r="A1679" t="s">
        <v>627</v>
      </c>
      <c r="B1679" s="16">
        <v>45450</v>
      </c>
      <c r="C1679" t="s">
        <v>3</v>
      </c>
      <c r="D1679" t="s">
        <v>120</v>
      </c>
      <c r="E1679" t="s">
        <v>166</v>
      </c>
      <c r="F1679">
        <v>63</v>
      </c>
      <c r="G1679">
        <v>37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25</v>
      </c>
      <c r="O1679">
        <v>51</v>
      </c>
      <c r="P1679">
        <f t="shared" si="84"/>
        <v>2024</v>
      </c>
      <c r="Q1679">
        <f t="shared" si="85"/>
        <v>6</v>
      </c>
      <c r="R1679" t="str">
        <f t="shared" si="86"/>
        <v>手猫搜索</v>
      </c>
      <c r="S1679" t="s">
        <v>628</v>
      </c>
      <c r="T1679" s="546" t="s">
        <v>804</v>
      </c>
    </row>
    <row r="1680" spans="1:20" x14ac:dyDescent="0.3">
      <c r="A1680" t="s">
        <v>627</v>
      </c>
      <c r="B1680" s="16">
        <v>45450</v>
      </c>
      <c r="C1680" t="s">
        <v>3</v>
      </c>
      <c r="D1680" t="s">
        <v>120</v>
      </c>
      <c r="E1680" t="s">
        <v>167</v>
      </c>
      <c r="F1680">
        <v>1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f t="shared" si="84"/>
        <v>2024</v>
      </c>
      <c r="Q1680">
        <f t="shared" si="85"/>
        <v>6</v>
      </c>
      <c r="R1680" t="str">
        <f t="shared" si="86"/>
        <v>手猫旺信聊天</v>
      </c>
      <c r="S1680" t="s">
        <v>628</v>
      </c>
      <c r="T1680" s="546" t="s">
        <v>804</v>
      </c>
    </row>
    <row r="1681" spans="1:20" x14ac:dyDescent="0.3">
      <c r="A1681" t="s">
        <v>627</v>
      </c>
      <c r="B1681" s="16">
        <v>45450</v>
      </c>
      <c r="C1681" t="s">
        <v>3</v>
      </c>
      <c r="D1681" t="s">
        <v>120</v>
      </c>
      <c r="E1681" t="s">
        <v>168</v>
      </c>
      <c r="F1681">
        <v>332</v>
      </c>
      <c r="G1681">
        <v>190</v>
      </c>
      <c r="H1681">
        <v>1</v>
      </c>
      <c r="I1681">
        <v>0</v>
      </c>
      <c r="J1681" s="15">
        <v>1000</v>
      </c>
      <c r="K1681">
        <v>1</v>
      </c>
      <c r="L1681" s="15">
        <v>1000</v>
      </c>
      <c r="M1681">
        <v>1</v>
      </c>
      <c r="N1681">
        <v>17</v>
      </c>
      <c r="O1681">
        <v>332</v>
      </c>
      <c r="P1681">
        <f t="shared" si="84"/>
        <v>2024</v>
      </c>
      <c r="Q1681">
        <f t="shared" si="85"/>
        <v>6</v>
      </c>
      <c r="R1681" t="str">
        <f t="shared" si="86"/>
        <v>手猫首页</v>
      </c>
      <c r="S1681" t="s">
        <v>628</v>
      </c>
      <c r="T1681" s="546" t="s">
        <v>804</v>
      </c>
    </row>
    <row r="1682" spans="1:20" x14ac:dyDescent="0.3">
      <c r="A1682" t="s">
        <v>627</v>
      </c>
      <c r="B1682" s="16">
        <v>45450</v>
      </c>
      <c r="C1682" t="s">
        <v>3</v>
      </c>
      <c r="D1682" t="s">
        <v>123</v>
      </c>
      <c r="E1682" t="s">
        <v>169</v>
      </c>
      <c r="F1682">
        <v>187</v>
      </c>
      <c r="G1682">
        <v>111</v>
      </c>
      <c r="H1682">
        <v>8</v>
      </c>
      <c r="I1682">
        <v>3</v>
      </c>
      <c r="J1682" s="15">
        <v>1498</v>
      </c>
      <c r="K1682">
        <v>1</v>
      </c>
      <c r="L1682" s="15">
        <v>1498</v>
      </c>
      <c r="M1682">
        <v>1</v>
      </c>
      <c r="N1682">
        <v>69</v>
      </c>
      <c r="O1682">
        <v>161</v>
      </c>
      <c r="P1682">
        <f t="shared" si="84"/>
        <v>2024</v>
      </c>
      <c r="Q1682">
        <f t="shared" si="85"/>
        <v>6</v>
      </c>
      <c r="R1682" t="str">
        <f t="shared" si="86"/>
        <v>商品详情页头图推荐</v>
      </c>
      <c r="S1682" t="s">
        <v>628</v>
      </c>
      <c r="T1682" s="546" t="s">
        <v>804</v>
      </c>
    </row>
    <row r="1683" spans="1:20" x14ac:dyDescent="0.3">
      <c r="A1683" t="s">
        <v>627</v>
      </c>
      <c r="B1683" s="16">
        <v>45450</v>
      </c>
      <c r="C1683" t="s">
        <v>3</v>
      </c>
      <c r="D1683" t="s">
        <v>123</v>
      </c>
      <c r="E1683" t="s">
        <v>170</v>
      </c>
      <c r="F1683">
        <v>17</v>
      </c>
      <c r="G1683">
        <v>11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16</v>
      </c>
      <c r="O1683">
        <v>9</v>
      </c>
      <c r="P1683">
        <f t="shared" si="84"/>
        <v>2024</v>
      </c>
      <c r="Q1683">
        <f t="shared" si="85"/>
        <v>6</v>
      </c>
      <c r="R1683" t="str">
        <f t="shared" si="86"/>
        <v>店铺超链</v>
      </c>
      <c r="S1683" t="s">
        <v>628</v>
      </c>
      <c r="T1683" s="546" t="s">
        <v>804</v>
      </c>
    </row>
    <row r="1684" spans="1:20" x14ac:dyDescent="0.3">
      <c r="A1684" t="s">
        <v>627</v>
      </c>
      <c r="B1684" s="16">
        <v>45450</v>
      </c>
      <c r="C1684" t="s">
        <v>3</v>
      </c>
      <c r="D1684" t="s">
        <v>127</v>
      </c>
      <c r="E1684" t="s">
        <v>171</v>
      </c>
      <c r="F1684">
        <v>177</v>
      </c>
      <c r="G1684">
        <v>103</v>
      </c>
      <c r="H1684">
        <v>8</v>
      </c>
      <c r="I1684">
        <v>1</v>
      </c>
      <c r="J1684" s="15">
        <v>21862</v>
      </c>
      <c r="K1684">
        <v>5</v>
      </c>
      <c r="L1684" s="15">
        <v>17167</v>
      </c>
      <c r="M1684">
        <v>4</v>
      </c>
      <c r="N1684">
        <v>63</v>
      </c>
      <c r="O1684">
        <v>139</v>
      </c>
      <c r="P1684">
        <f t="shared" si="84"/>
        <v>2024</v>
      </c>
      <c r="Q1684">
        <f t="shared" si="85"/>
        <v>6</v>
      </c>
      <c r="R1684" t="str">
        <f t="shared" si="86"/>
        <v>其他猜你喜欢</v>
      </c>
      <c r="S1684" t="s">
        <v>628</v>
      </c>
      <c r="T1684" s="546" t="s">
        <v>804</v>
      </c>
    </row>
    <row r="1685" spans="1:20" x14ac:dyDescent="0.3">
      <c r="A1685" t="s">
        <v>627</v>
      </c>
      <c r="B1685" s="16">
        <v>45450</v>
      </c>
      <c r="C1685" t="s">
        <v>3</v>
      </c>
      <c r="D1685" t="s">
        <v>127</v>
      </c>
      <c r="E1685" t="s">
        <v>172</v>
      </c>
      <c r="F1685">
        <v>2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2</v>
      </c>
      <c r="P1685">
        <f t="shared" ref="P1685:P1748" si="87">YEAR(B1685)</f>
        <v>2024</v>
      </c>
      <c r="Q1685">
        <f t="shared" ref="Q1685:Q1748" si="88">MONTH(B1685)</f>
        <v>6</v>
      </c>
      <c r="R1685" t="str">
        <f t="shared" si="86"/>
        <v>购中推荐</v>
      </c>
      <c r="S1685" t="s">
        <v>628</v>
      </c>
      <c r="T1685" s="546" t="s">
        <v>804</v>
      </c>
    </row>
    <row r="1686" spans="1:20" x14ac:dyDescent="0.3">
      <c r="A1686" t="s">
        <v>627</v>
      </c>
      <c r="B1686" s="16">
        <v>45450</v>
      </c>
      <c r="C1686" t="s">
        <v>3</v>
      </c>
      <c r="D1686" t="s">
        <v>127</v>
      </c>
      <c r="E1686" t="s">
        <v>173</v>
      </c>
      <c r="F1686">
        <v>12</v>
      </c>
      <c r="G1686">
        <v>8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1</v>
      </c>
      <c r="O1686">
        <v>11</v>
      </c>
      <c r="P1686">
        <f t="shared" si="87"/>
        <v>2024</v>
      </c>
      <c r="Q1686">
        <f t="shared" si="88"/>
        <v>6</v>
      </c>
      <c r="R1686" t="str">
        <f t="shared" si="86"/>
        <v>购后推荐</v>
      </c>
      <c r="S1686" t="s">
        <v>628</v>
      </c>
      <c r="T1686" s="546" t="s">
        <v>804</v>
      </c>
    </row>
    <row r="1687" spans="1:20" x14ac:dyDescent="0.3">
      <c r="A1687" t="s">
        <v>627</v>
      </c>
      <c r="B1687" s="16">
        <v>45450</v>
      </c>
      <c r="C1687" t="s">
        <v>3</v>
      </c>
      <c r="D1687" t="s">
        <v>127</v>
      </c>
      <c r="E1687" t="s">
        <v>174</v>
      </c>
      <c r="F1687" s="15">
        <v>1616</v>
      </c>
      <c r="G1687">
        <v>887</v>
      </c>
      <c r="H1687">
        <v>35</v>
      </c>
      <c r="I1687">
        <v>10</v>
      </c>
      <c r="J1687" s="15">
        <v>13653</v>
      </c>
      <c r="K1687">
        <v>7</v>
      </c>
      <c r="L1687" s="15">
        <v>7461</v>
      </c>
      <c r="M1687">
        <v>5</v>
      </c>
      <c r="N1687">
        <v>174</v>
      </c>
      <c r="O1687" s="15">
        <v>1616</v>
      </c>
      <c r="P1687">
        <f t="shared" si="87"/>
        <v>2024</v>
      </c>
      <c r="Q1687">
        <f t="shared" si="88"/>
        <v>6</v>
      </c>
      <c r="R1687" t="str">
        <f t="shared" si="86"/>
        <v>首页推荐-微详情</v>
      </c>
      <c r="S1687" t="s">
        <v>628</v>
      </c>
      <c r="T1687" s="546" t="s">
        <v>804</v>
      </c>
    </row>
    <row r="1688" spans="1:20" x14ac:dyDescent="0.3">
      <c r="A1688" t="s">
        <v>627</v>
      </c>
      <c r="B1688" s="16">
        <v>45450</v>
      </c>
      <c r="C1688" t="s">
        <v>3</v>
      </c>
      <c r="D1688" t="s">
        <v>127</v>
      </c>
      <c r="E1688" t="s">
        <v>175</v>
      </c>
      <c r="F1688">
        <v>37</v>
      </c>
      <c r="G1688">
        <v>12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</v>
      </c>
      <c r="P1688">
        <f t="shared" si="87"/>
        <v>2024</v>
      </c>
      <c r="Q1688">
        <f t="shared" si="88"/>
        <v>6</v>
      </c>
      <c r="R1688" t="str">
        <f t="shared" si="86"/>
        <v>首页推荐-直播</v>
      </c>
      <c r="S1688" t="s">
        <v>628</v>
      </c>
      <c r="T1688" s="546" t="s">
        <v>804</v>
      </c>
    </row>
    <row r="1689" spans="1:20" x14ac:dyDescent="0.3">
      <c r="A1689" t="s">
        <v>627</v>
      </c>
      <c r="B1689" s="16">
        <v>45450</v>
      </c>
      <c r="C1689" t="s">
        <v>3</v>
      </c>
      <c r="D1689" t="s">
        <v>127</v>
      </c>
      <c r="E1689" t="s">
        <v>176</v>
      </c>
      <c r="F1689">
        <v>76</v>
      </c>
      <c r="G1689">
        <v>35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f t="shared" si="87"/>
        <v>2024</v>
      </c>
      <c r="Q1689">
        <f t="shared" si="88"/>
        <v>6</v>
      </c>
      <c r="R1689" t="str">
        <f t="shared" si="86"/>
        <v>首页推荐-短视频</v>
      </c>
      <c r="S1689" t="s">
        <v>628</v>
      </c>
      <c r="T1689" s="546" t="s">
        <v>804</v>
      </c>
    </row>
    <row r="1690" spans="1:20" x14ac:dyDescent="0.3">
      <c r="A1690" t="s">
        <v>627</v>
      </c>
      <c r="B1690" s="16">
        <v>45450</v>
      </c>
      <c r="C1690" t="s">
        <v>3</v>
      </c>
      <c r="D1690" t="s">
        <v>128</v>
      </c>
      <c r="E1690" t="s">
        <v>177</v>
      </c>
      <c r="F1690">
        <v>725</v>
      </c>
      <c r="G1690">
        <v>537</v>
      </c>
      <c r="H1690">
        <v>35</v>
      </c>
      <c r="I1690">
        <v>13</v>
      </c>
      <c r="J1690" s="17">
        <v>9634.0300000000007</v>
      </c>
      <c r="K1690">
        <v>5</v>
      </c>
      <c r="L1690" s="17">
        <v>9634.0300000000007</v>
      </c>
      <c r="M1690">
        <v>5</v>
      </c>
      <c r="N1690">
        <v>186</v>
      </c>
      <c r="O1690">
        <v>668</v>
      </c>
      <c r="P1690">
        <f t="shared" si="87"/>
        <v>2024</v>
      </c>
      <c r="Q1690">
        <f t="shared" si="88"/>
        <v>6</v>
      </c>
      <c r="R1690" t="str">
        <f t="shared" si="86"/>
        <v>手淘搜索-商品及其他</v>
      </c>
      <c r="S1690" t="s">
        <v>628</v>
      </c>
      <c r="T1690" s="546" t="s">
        <v>804</v>
      </c>
    </row>
    <row r="1691" spans="1:20" x14ac:dyDescent="0.3">
      <c r="A1691" t="s">
        <v>627</v>
      </c>
      <c r="B1691" s="16">
        <v>45450</v>
      </c>
      <c r="C1691" t="s">
        <v>3</v>
      </c>
      <c r="D1691" t="s">
        <v>128</v>
      </c>
      <c r="E1691" t="s">
        <v>179</v>
      </c>
      <c r="F1691">
        <v>19</v>
      </c>
      <c r="G1691">
        <v>7</v>
      </c>
      <c r="H1691">
        <v>0</v>
      </c>
      <c r="I1691">
        <v>0</v>
      </c>
      <c r="J1691" s="15">
        <v>13700</v>
      </c>
      <c r="K1691">
        <v>1</v>
      </c>
      <c r="L1691" s="15">
        <v>6800</v>
      </c>
      <c r="M1691">
        <v>1</v>
      </c>
      <c r="N1691">
        <v>3</v>
      </c>
      <c r="O1691">
        <v>6</v>
      </c>
      <c r="P1691">
        <f t="shared" si="87"/>
        <v>2024</v>
      </c>
      <c r="Q1691">
        <f t="shared" si="88"/>
        <v>6</v>
      </c>
      <c r="R1691" t="str">
        <f t="shared" si="86"/>
        <v>手淘搜索-短视频</v>
      </c>
      <c r="S1691" t="s">
        <v>628</v>
      </c>
      <c r="T1691" s="546" t="s">
        <v>804</v>
      </c>
    </row>
    <row r="1692" spans="1:20" x14ac:dyDescent="0.3">
      <c r="A1692" t="s">
        <v>627</v>
      </c>
      <c r="B1692" s="16">
        <v>45450</v>
      </c>
      <c r="C1692" t="s">
        <v>3</v>
      </c>
      <c r="D1692" t="s">
        <v>143</v>
      </c>
      <c r="E1692" t="s">
        <v>180</v>
      </c>
      <c r="F1692">
        <v>9</v>
      </c>
      <c r="G1692">
        <v>8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9</v>
      </c>
      <c r="P1692">
        <f t="shared" si="87"/>
        <v>2024</v>
      </c>
      <c r="Q1692">
        <f t="shared" si="88"/>
        <v>6</v>
      </c>
      <c r="R1692" t="str">
        <f t="shared" si="86"/>
        <v>淘特其他渠道</v>
      </c>
      <c r="S1692" t="s">
        <v>628</v>
      </c>
      <c r="T1692" s="546" t="s">
        <v>804</v>
      </c>
    </row>
    <row r="1693" spans="1:20" x14ac:dyDescent="0.3">
      <c r="A1693" t="s">
        <v>627</v>
      </c>
      <c r="B1693" s="16">
        <v>45450</v>
      </c>
      <c r="C1693" t="s">
        <v>2</v>
      </c>
      <c r="D1693" t="s">
        <v>55</v>
      </c>
      <c r="E1693" t="s">
        <v>54</v>
      </c>
      <c r="F1693">
        <v>23</v>
      </c>
      <c r="G1693">
        <v>18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16</v>
      </c>
      <c r="P1693">
        <f t="shared" si="87"/>
        <v>2024</v>
      </c>
      <c r="Q1693">
        <f t="shared" si="88"/>
        <v>6</v>
      </c>
      <c r="R1693" t="str">
        <f t="shared" si="86"/>
        <v>超级直播</v>
      </c>
      <c r="S1693" t="s">
        <v>628</v>
      </c>
      <c r="T1693" s="546" t="s">
        <v>804</v>
      </c>
    </row>
    <row r="1694" spans="1:20" x14ac:dyDescent="0.3">
      <c r="A1694" t="s">
        <v>627</v>
      </c>
      <c r="B1694" s="16">
        <v>45450</v>
      </c>
      <c r="C1694" t="s">
        <v>2</v>
      </c>
      <c r="D1694" t="s">
        <v>55</v>
      </c>
      <c r="E1694" t="s">
        <v>56</v>
      </c>
      <c r="F1694" s="15">
        <v>8981</v>
      </c>
      <c r="G1694" s="15">
        <v>6898</v>
      </c>
      <c r="H1694">
        <v>0</v>
      </c>
      <c r="I1694">
        <v>2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154</v>
      </c>
      <c r="P1694">
        <f t="shared" si="87"/>
        <v>2024</v>
      </c>
      <c r="Q1694">
        <f t="shared" si="88"/>
        <v>6</v>
      </c>
      <c r="R1694" t="str">
        <f t="shared" si="86"/>
        <v>超级短视频</v>
      </c>
      <c r="S1694" t="s">
        <v>628</v>
      </c>
      <c r="T1694" s="546" t="s">
        <v>804</v>
      </c>
    </row>
    <row r="1695" spans="1:20" x14ac:dyDescent="0.3">
      <c r="A1695" t="s">
        <v>627</v>
      </c>
      <c r="B1695" s="16">
        <v>45450</v>
      </c>
      <c r="C1695" t="s">
        <v>2</v>
      </c>
      <c r="D1695" t="s">
        <v>52</v>
      </c>
      <c r="E1695" t="s">
        <v>53</v>
      </c>
      <c r="F1695" s="15">
        <v>1110</v>
      </c>
      <c r="G1695">
        <v>945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 s="15">
        <v>1110</v>
      </c>
      <c r="O1695">
        <v>106</v>
      </c>
      <c r="P1695">
        <f t="shared" si="87"/>
        <v>2024</v>
      </c>
      <c r="Q1695">
        <f t="shared" si="88"/>
        <v>6</v>
      </c>
      <c r="R1695" t="str">
        <f t="shared" si="86"/>
        <v>Showmax</v>
      </c>
      <c r="S1695" t="s">
        <v>628</v>
      </c>
      <c r="T1695" s="546" t="s">
        <v>804</v>
      </c>
    </row>
    <row r="1696" spans="1:20" x14ac:dyDescent="0.3">
      <c r="A1696" t="s">
        <v>627</v>
      </c>
      <c r="B1696" s="16">
        <v>45450</v>
      </c>
      <c r="C1696" t="s">
        <v>2</v>
      </c>
      <c r="D1696" t="s">
        <v>52</v>
      </c>
      <c r="E1696" t="s">
        <v>59</v>
      </c>
      <c r="F1696" s="15">
        <v>1466</v>
      </c>
      <c r="G1696" s="15">
        <v>1200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 s="15">
        <v>1466</v>
      </c>
      <c r="O1696">
        <v>215</v>
      </c>
      <c r="P1696">
        <f t="shared" si="87"/>
        <v>2024</v>
      </c>
      <c r="Q1696">
        <f t="shared" si="88"/>
        <v>6</v>
      </c>
      <c r="R1696" t="str">
        <f t="shared" si="86"/>
        <v>品牌特秀</v>
      </c>
      <c r="S1696" t="s">
        <v>628</v>
      </c>
      <c r="T1696" s="546" t="s">
        <v>804</v>
      </c>
    </row>
    <row r="1697" spans="1:20" x14ac:dyDescent="0.3">
      <c r="A1697" t="s">
        <v>627</v>
      </c>
      <c r="B1697" s="16">
        <v>45450</v>
      </c>
      <c r="C1697" t="s">
        <v>2</v>
      </c>
      <c r="D1697" t="s">
        <v>52</v>
      </c>
      <c r="E1697" t="s">
        <v>183</v>
      </c>
      <c r="F1697">
        <v>548</v>
      </c>
      <c r="G1697">
        <v>437</v>
      </c>
      <c r="H1697">
        <v>19</v>
      </c>
      <c r="I1697">
        <v>4</v>
      </c>
      <c r="J1697" s="15">
        <v>1480</v>
      </c>
      <c r="K1697">
        <v>1</v>
      </c>
      <c r="L1697" s="15">
        <v>1480</v>
      </c>
      <c r="M1697">
        <v>1</v>
      </c>
      <c r="N1697">
        <v>548</v>
      </c>
      <c r="O1697">
        <v>294</v>
      </c>
      <c r="P1697">
        <f t="shared" si="87"/>
        <v>2024</v>
      </c>
      <c r="Q1697">
        <f t="shared" si="88"/>
        <v>6</v>
      </c>
      <c r="R1697" t="str">
        <f t="shared" si="86"/>
        <v>品销宝-品牌专区</v>
      </c>
      <c r="S1697" t="s">
        <v>628</v>
      </c>
      <c r="T1697" s="546" t="s">
        <v>804</v>
      </c>
    </row>
    <row r="1698" spans="1:20" x14ac:dyDescent="0.3">
      <c r="A1698" t="s">
        <v>627</v>
      </c>
      <c r="B1698" s="16">
        <v>45450</v>
      </c>
      <c r="C1698" t="s">
        <v>2</v>
      </c>
      <c r="D1698" t="s">
        <v>57</v>
      </c>
      <c r="E1698" t="s">
        <v>65</v>
      </c>
      <c r="F1698" s="15">
        <v>2149</v>
      </c>
      <c r="G1698" s="15">
        <v>1735</v>
      </c>
      <c r="H1698">
        <v>23</v>
      </c>
      <c r="I1698">
        <v>21</v>
      </c>
      <c r="J1698" s="15">
        <v>54527</v>
      </c>
      <c r="K1698">
        <v>9</v>
      </c>
      <c r="L1698" s="15">
        <v>31852</v>
      </c>
      <c r="M1698">
        <v>6</v>
      </c>
      <c r="N1698">
        <v>236</v>
      </c>
      <c r="O1698" s="15">
        <v>2128</v>
      </c>
      <c r="P1698">
        <f t="shared" si="87"/>
        <v>2024</v>
      </c>
      <c r="Q1698">
        <f t="shared" si="88"/>
        <v>6</v>
      </c>
      <c r="R1698" t="str">
        <f t="shared" si="86"/>
        <v>直通车</v>
      </c>
      <c r="S1698" t="s">
        <v>628</v>
      </c>
      <c r="T1698" s="546" t="s">
        <v>804</v>
      </c>
    </row>
    <row r="1699" spans="1:20" x14ac:dyDescent="0.3">
      <c r="A1699" t="s">
        <v>627</v>
      </c>
      <c r="B1699" s="16">
        <v>45450</v>
      </c>
      <c r="C1699" t="s">
        <v>2</v>
      </c>
      <c r="D1699" t="s">
        <v>57</v>
      </c>
      <c r="E1699" t="s">
        <v>63</v>
      </c>
      <c r="F1699" s="15">
        <v>2915</v>
      </c>
      <c r="G1699" s="15">
        <v>1821</v>
      </c>
      <c r="H1699">
        <v>37</v>
      </c>
      <c r="I1699">
        <v>35</v>
      </c>
      <c r="J1699" s="15">
        <v>13105</v>
      </c>
      <c r="K1699">
        <v>4</v>
      </c>
      <c r="L1699" s="15">
        <v>3160</v>
      </c>
      <c r="M1699">
        <v>2</v>
      </c>
      <c r="N1699">
        <v>157</v>
      </c>
      <c r="O1699" s="15">
        <v>2914</v>
      </c>
      <c r="P1699">
        <f t="shared" si="87"/>
        <v>2024</v>
      </c>
      <c r="Q1699">
        <f t="shared" si="88"/>
        <v>6</v>
      </c>
      <c r="R1699" t="str">
        <f t="shared" si="86"/>
        <v>万相台</v>
      </c>
      <c r="S1699" t="s">
        <v>628</v>
      </c>
      <c r="T1699" s="546" t="s">
        <v>804</v>
      </c>
    </row>
    <row r="1700" spans="1:20" x14ac:dyDescent="0.3">
      <c r="A1700" t="s">
        <v>627</v>
      </c>
      <c r="B1700" s="16">
        <v>45450</v>
      </c>
      <c r="C1700" t="s">
        <v>2</v>
      </c>
      <c r="D1700" t="s">
        <v>57</v>
      </c>
      <c r="E1700" t="s">
        <v>64</v>
      </c>
      <c r="F1700" s="15">
        <v>13718</v>
      </c>
      <c r="G1700" s="15">
        <v>8627</v>
      </c>
      <c r="H1700">
        <v>24</v>
      </c>
      <c r="I1700">
        <v>33</v>
      </c>
      <c r="J1700" s="15">
        <v>1303</v>
      </c>
      <c r="K1700">
        <v>1</v>
      </c>
      <c r="L1700" s="15">
        <v>1303</v>
      </c>
      <c r="M1700">
        <v>1</v>
      </c>
      <c r="N1700">
        <v>269</v>
      </c>
      <c r="O1700" s="15">
        <v>13710</v>
      </c>
      <c r="P1700">
        <f t="shared" si="87"/>
        <v>2024</v>
      </c>
      <c r="Q1700">
        <f t="shared" si="88"/>
        <v>6</v>
      </c>
      <c r="R1700" t="str">
        <f t="shared" si="86"/>
        <v>引力魔方</v>
      </c>
      <c r="S1700" t="s">
        <v>628</v>
      </c>
      <c r="T1700" s="546" t="s">
        <v>804</v>
      </c>
    </row>
    <row r="1701" spans="1:20" x14ac:dyDescent="0.3">
      <c r="A1701" t="s">
        <v>627</v>
      </c>
      <c r="B1701" s="16">
        <v>45450</v>
      </c>
      <c r="C1701" t="s">
        <v>2</v>
      </c>
      <c r="D1701" t="s">
        <v>4</v>
      </c>
      <c r="E1701" t="s">
        <v>41</v>
      </c>
      <c r="F1701">
        <v>4</v>
      </c>
      <c r="G1701">
        <v>2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3</v>
      </c>
      <c r="P1701">
        <f t="shared" si="87"/>
        <v>2024</v>
      </c>
      <c r="Q1701">
        <f t="shared" si="88"/>
        <v>6</v>
      </c>
      <c r="R1701" t="str">
        <f t="shared" si="86"/>
        <v>流量宝</v>
      </c>
      <c r="S1701" t="s">
        <v>628</v>
      </c>
      <c r="T1701" s="546" t="s">
        <v>804</v>
      </c>
    </row>
    <row r="1702" spans="1:20" x14ac:dyDescent="0.3">
      <c r="A1702" t="s">
        <v>627</v>
      </c>
      <c r="B1702" s="16">
        <v>45450</v>
      </c>
      <c r="C1702" t="s">
        <v>2</v>
      </c>
      <c r="D1702" t="s">
        <v>4</v>
      </c>
      <c r="E1702" t="s">
        <v>43</v>
      </c>
      <c r="F1702" s="15">
        <v>1356</v>
      </c>
      <c r="G1702">
        <v>564</v>
      </c>
      <c r="H1702">
        <v>2</v>
      </c>
      <c r="I1702">
        <v>0</v>
      </c>
      <c r="J1702" s="15">
        <v>1680</v>
      </c>
      <c r="K1702">
        <v>1</v>
      </c>
      <c r="L1702" s="15">
        <v>1680</v>
      </c>
      <c r="M1702">
        <v>1</v>
      </c>
      <c r="N1702">
        <v>23</v>
      </c>
      <c r="O1702" s="15">
        <v>1352</v>
      </c>
      <c r="P1702">
        <f t="shared" si="87"/>
        <v>2024</v>
      </c>
      <c r="Q1702">
        <f t="shared" si="88"/>
        <v>6</v>
      </c>
      <c r="R1702" t="str">
        <f t="shared" si="86"/>
        <v>淘宝客</v>
      </c>
      <c r="S1702" t="s">
        <v>628</v>
      </c>
      <c r="T1702" s="546" t="s">
        <v>804</v>
      </c>
    </row>
    <row r="1703" spans="1:20" x14ac:dyDescent="0.3">
      <c r="A1703" t="s">
        <v>627</v>
      </c>
      <c r="B1703" s="16">
        <v>45451</v>
      </c>
      <c r="C1703" t="s">
        <v>3</v>
      </c>
      <c r="D1703" t="s">
        <v>114</v>
      </c>
      <c r="E1703" t="s">
        <v>159</v>
      </c>
      <c r="F1703">
        <v>93</v>
      </c>
      <c r="G1703">
        <v>44</v>
      </c>
      <c r="H1703">
        <v>6</v>
      </c>
      <c r="I1703">
        <v>4</v>
      </c>
      <c r="J1703">
        <v>0</v>
      </c>
      <c r="K1703">
        <v>0</v>
      </c>
      <c r="L1703">
        <v>0</v>
      </c>
      <c r="M1703">
        <v>0</v>
      </c>
      <c r="N1703">
        <v>17</v>
      </c>
      <c r="O1703">
        <v>82</v>
      </c>
      <c r="P1703">
        <f t="shared" si="87"/>
        <v>2024</v>
      </c>
      <c r="Q1703">
        <f t="shared" si="88"/>
        <v>6</v>
      </c>
      <c r="R1703" t="str">
        <f t="shared" si="86"/>
        <v>主会场</v>
      </c>
      <c r="S1703" t="s">
        <v>628</v>
      </c>
      <c r="T1703" s="546" t="s">
        <v>804</v>
      </c>
    </row>
    <row r="1704" spans="1:20" x14ac:dyDescent="0.3">
      <c r="A1704" t="s">
        <v>627</v>
      </c>
      <c r="B1704" s="16">
        <v>45451</v>
      </c>
      <c r="C1704" t="s">
        <v>3</v>
      </c>
      <c r="D1704" t="s">
        <v>114</v>
      </c>
      <c r="E1704" t="s">
        <v>160</v>
      </c>
      <c r="F1704">
        <v>11</v>
      </c>
      <c r="G1704">
        <v>11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1</v>
      </c>
      <c r="O1704">
        <v>11</v>
      </c>
      <c r="P1704">
        <f t="shared" si="87"/>
        <v>2024</v>
      </c>
      <c r="Q1704">
        <f t="shared" si="88"/>
        <v>6</v>
      </c>
      <c r="R1704" t="str">
        <f t="shared" si="86"/>
        <v>榜单会场</v>
      </c>
      <c r="S1704" t="s">
        <v>628</v>
      </c>
      <c r="T1704" s="546" t="s">
        <v>804</v>
      </c>
    </row>
    <row r="1705" spans="1:20" x14ac:dyDescent="0.3">
      <c r="A1705" t="s">
        <v>627</v>
      </c>
      <c r="B1705" s="16">
        <v>45451</v>
      </c>
      <c r="C1705" t="s">
        <v>3</v>
      </c>
      <c r="D1705" t="s">
        <v>117</v>
      </c>
      <c r="E1705" t="s">
        <v>161</v>
      </c>
      <c r="F1705">
        <v>22</v>
      </c>
      <c r="G1705">
        <v>19</v>
      </c>
      <c r="H1705">
        <v>1</v>
      </c>
      <c r="I1705">
        <v>3</v>
      </c>
      <c r="J1705">
        <v>0</v>
      </c>
      <c r="K1705">
        <v>0</v>
      </c>
      <c r="L1705">
        <v>0</v>
      </c>
      <c r="M1705">
        <v>0</v>
      </c>
      <c r="N1705">
        <v>5</v>
      </c>
      <c r="O1705">
        <v>22</v>
      </c>
      <c r="P1705">
        <f t="shared" si="87"/>
        <v>2024</v>
      </c>
      <c r="Q1705">
        <f t="shared" si="88"/>
        <v>6</v>
      </c>
      <c r="R1705" t="str">
        <f t="shared" si="86"/>
        <v>其他入口榜单</v>
      </c>
      <c r="S1705" t="s">
        <v>628</v>
      </c>
      <c r="T1705" s="546" t="s">
        <v>804</v>
      </c>
    </row>
    <row r="1706" spans="1:20" x14ac:dyDescent="0.3">
      <c r="A1706" t="s">
        <v>627</v>
      </c>
      <c r="B1706" s="16">
        <v>45451</v>
      </c>
      <c r="C1706" t="s">
        <v>3</v>
      </c>
      <c r="D1706" t="s">
        <v>117</v>
      </c>
      <c r="E1706" t="s">
        <v>191</v>
      </c>
      <c r="F1706">
        <v>6</v>
      </c>
      <c r="G1706">
        <v>6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6</v>
      </c>
      <c r="P1706">
        <f t="shared" si="87"/>
        <v>2024</v>
      </c>
      <c r="Q1706">
        <f t="shared" si="88"/>
        <v>6</v>
      </c>
      <c r="R1706" t="str">
        <f t="shared" si="86"/>
        <v>商品详情页入口榜单</v>
      </c>
      <c r="S1706" t="s">
        <v>628</v>
      </c>
      <c r="T1706" s="546" t="s">
        <v>804</v>
      </c>
    </row>
    <row r="1707" spans="1:20" x14ac:dyDescent="0.3">
      <c r="A1707" t="s">
        <v>627</v>
      </c>
      <c r="B1707" s="16">
        <v>45451</v>
      </c>
      <c r="C1707" t="s">
        <v>3</v>
      </c>
      <c r="D1707" t="s">
        <v>117</v>
      </c>
      <c r="E1707" t="s">
        <v>195</v>
      </c>
      <c r="F1707">
        <v>3</v>
      </c>
      <c r="G1707">
        <v>3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3</v>
      </c>
      <c r="P1707">
        <f t="shared" si="87"/>
        <v>2024</v>
      </c>
      <c r="Q1707">
        <f t="shared" si="88"/>
        <v>6</v>
      </c>
      <c r="R1707" t="str">
        <f t="shared" si="86"/>
        <v>搜索入口榜单</v>
      </c>
      <c r="S1707" t="s">
        <v>628</v>
      </c>
      <c r="T1707" s="546" t="s">
        <v>804</v>
      </c>
    </row>
    <row r="1708" spans="1:20" x14ac:dyDescent="0.3">
      <c r="A1708" t="s">
        <v>627</v>
      </c>
      <c r="B1708" s="16">
        <v>45451</v>
      </c>
      <c r="C1708" t="s">
        <v>3</v>
      </c>
      <c r="D1708" t="s">
        <v>120</v>
      </c>
      <c r="E1708" t="s">
        <v>162</v>
      </c>
      <c r="F1708">
        <v>1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f t="shared" si="87"/>
        <v>2024</v>
      </c>
      <c r="Q1708">
        <f t="shared" si="88"/>
        <v>6</v>
      </c>
      <c r="R1708" t="str">
        <f t="shared" si="86"/>
        <v>手机浏览器访问天猫</v>
      </c>
      <c r="S1708" t="s">
        <v>628</v>
      </c>
      <c r="T1708" s="546" t="s">
        <v>804</v>
      </c>
    </row>
    <row r="1709" spans="1:20" x14ac:dyDescent="0.3">
      <c r="A1709" t="s">
        <v>627</v>
      </c>
      <c r="B1709" s="16">
        <v>45451</v>
      </c>
      <c r="C1709" t="s">
        <v>3</v>
      </c>
      <c r="D1709" t="s">
        <v>120</v>
      </c>
      <c r="E1709" t="s">
        <v>163</v>
      </c>
      <c r="F1709">
        <v>88</v>
      </c>
      <c r="G1709">
        <v>44</v>
      </c>
      <c r="H1709">
        <v>2</v>
      </c>
      <c r="I1709">
        <v>0</v>
      </c>
      <c r="J1709" s="17">
        <v>2347.5</v>
      </c>
      <c r="K1709">
        <v>1</v>
      </c>
      <c r="L1709" s="17">
        <v>2347.5</v>
      </c>
      <c r="M1709">
        <v>1</v>
      </c>
      <c r="N1709">
        <v>29</v>
      </c>
      <c r="O1709">
        <v>87</v>
      </c>
      <c r="P1709">
        <f t="shared" si="87"/>
        <v>2024</v>
      </c>
      <c r="Q1709">
        <f t="shared" si="88"/>
        <v>6</v>
      </c>
      <c r="R1709" t="str">
        <f t="shared" si="86"/>
        <v>手猫免费其他</v>
      </c>
      <c r="S1709" t="s">
        <v>628</v>
      </c>
      <c r="T1709" s="546" t="s">
        <v>804</v>
      </c>
    </row>
    <row r="1710" spans="1:20" x14ac:dyDescent="0.3">
      <c r="A1710" t="s">
        <v>627</v>
      </c>
      <c r="B1710" s="16">
        <v>45451</v>
      </c>
      <c r="C1710" t="s">
        <v>3</v>
      </c>
      <c r="D1710" t="s">
        <v>120</v>
      </c>
      <c r="E1710" t="s">
        <v>164</v>
      </c>
      <c r="F1710">
        <v>8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8</v>
      </c>
      <c r="P1710">
        <f t="shared" si="87"/>
        <v>2024</v>
      </c>
      <c r="Q1710">
        <f t="shared" si="88"/>
        <v>6</v>
      </c>
      <c r="R1710" t="str">
        <f t="shared" si="86"/>
        <v>手猫其他店铺</v>
      </c>
      <c r="S1710" t="s">
        <v>628</v>
      </c>
      <c r="T1710" s="546" t="s">
        <v>804</v>
      </c>
    </row>
    <row r="1711" spans="1:20" x14ac:dyDescent="0.3">
      <c r="A1711" t="s">
        <v>627</v>
      </c>
      <c r="B1711" s="16">
        <v>45451</v>
      </c>
      <c r="C1711" t="s">
        <v>3</v>
      </c>
      <c r="D1711" t="s">
        <v>120</v>
      </c>
      <c r="E1711" t="s">
        <v>165</v>
      </c>
      <c r="F1711">
        <v>32</v>
      </c>
      <c r="G1711">
        <v>8</v>
      </c>
      <c r="H1711">
        <v>1</v>
      </c>
      <c r="I1711">
        <v>0</v>
      </c>
      <c r="J1711" s="15">
        <v>2237</v>
      </c>
      <c r="K1711">
        <v>1</v>
      </c>
      <c r="L1711" s="15">
        <v>2237</v>
      </c>
      <c r="M1711">
        <v>1</v>
      </c>
      <c r="N1711">
        <v>3</v>
      </c>
      <c r="O1711">
        <v>31</v>
      </c>
      <c r="P1711">
        <f t="shared" si="87"/>
        <v>2024</v>
      </c>
      <c r="Q1711">
        <f t="shared" si="88"/>
        <v>6</v>
      </c>
      <c r="R1711" t="str">
        <f t="shared" si="86"/>
        <v>手猫商品详情</v>
      </c>
      <c r="S1711" t="s">
        <v>628</v>
      </c>
      <c r="T1711" s="546" t="s">
        <v>804</v>
      </c>
    </row>
    <row r="1712" spans="1:20" x14ac:dyDescent="0.3">
      <c r="A1712" t="s">
        <v>627</v>
      </c>
      <c r="B1712" s="16">
        <v>45451</v>
      </c>
      <c r="C1712" t="s">
        <v>3</v>
      </c>
      <c r="D1712" t="s">
        <v>120</v>
      </c>
      <c r="E1712" t="s">
        <v>166</v>
      </c>
      <c r="F1712">
        <v>67</v>
      </c>
      <c r="G1712">
        <v>40</v>
      </c>
      <c r="H1712">
        <v>0</v>
      </c>
      <c r="I1712">
        <v>0</v>
      </c>
      <c r="J1712" s="17">
        <v>4627.5</v>
      </c>
      <c r="K1712">
        <v>2</v>
      </c>
      <c r="L1712" s="17">
        <v>2347.5</v>
      </c>
      <c r="M1712">
        <v>1</v>
      </c>
      <c r="N1712">
        <v>25</v>
      </c>
      <c r="O1712">
        <v>58</v>
      </c>
      <c r="P1712">
        <f t="shared" si="87"/>
        <v>2024</v>
      </c>
      <c r="Q1712">
        <f t="shared" si="88"/>
        <v>6</v>
      </c>
      <c r="R1712" t="str">
        <f t="shared" si="86"/>
        <v>手猫搜索</v>
      </c>
      <c r="S1712" t="s">
        <v>628</v>
      </c>
      <c r="T1712" s="546" t="s">
        <v>804</v>
      </c>
    </row>
    <row r="1713" spans="1:20" x14ac:dyDescent="0.3">
      <c r="A1713" t="s">
        <v>627</v>
      </c>
      <c r="B1713" s="16">
        <v>45451</v>
      </c>
      <c r="C1713" t="s">
        <v>3</v>
      </c>
      <c r="D1713" t="s">
        <v>120</v>
      </c>
      <c r="E1713" t="s">
        <v>167</v>
      </c>
      <c r="F1713">
        <v>3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3</v>
      </c>
      <c r="P1713">
        <f t="shared" si="87"/>
        <v>2024</v>
      </c>
      <c r="Q1713">
        <f t="shared" si="88"/>
        <v>6</v>
      </c>
      <c r="R1713" t="str">
        <f t="shared" si="86"/>
        <v>手猫旺信聊天</v>
      </c>
      <c r="S1713" t="s">
        <v>628</v>
      </c>
      <c r="T1713" s="546" t="s">
        <v>804</v>
      </c>
    </row>
    <row r="1714" spans="1:20" x14ac:dyDescent="0.3">
      <c r="A1714" t="s">
        <v>627</v>
      </c>
      <c r="B1714" s="16">
        <v>45451</v>
      </c>
      <c r="C1714" t="s">
        <v>3</v>
      </c>
      <c r="D1714" t="s">
        <v>120</v>
      </c>
      <c r="E1714" t="s">
        <v>168</v>
      </c>
      <c r="F1714">
        <v>383</v>
      </c>
      <c r="G1714">
        <v>207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24</v>
      </c>
      <c r="O1714">
        <v>383</v>
      </c>
      <c r="P1714">
        <f t="shared" si="87"/>
        <v>2024</v>
      </c>
      <c r="Q1714">
        <f t="shared" si="88"/>
        <v>6</v>
      </c>
      <c r="R1714" t="str">
        <f t="shared" si="86"/>
        <v>手猫首页</v>
      </c>
      <c r="S1714" t="s">
        <v>628</v>
      </c>
      <c r="T1714" s="546" t="s">
        <v>804</v>
      </c>
    </row>
    <row r="1715" spans="1:20" x14ac:dyDescent="0.3">
      <c r="A1715" t="s">
        <v>627</v>
      </c>
      <c r="B1715" s="16">
        <v>45451</v>
      </c>
      <c r="C1715" t="s">
        <v>3</v>
      </c>
      <c r="D1715" t="s">
        <v>123</v>
      </c>
      <c r="E1715" t="s">
        <v>169</v>
      </c>
      <c r="F1715">
        <v>173</v>
      </c>
      <c r="G1715">
        <v>96</v>
      </c>
      <c r="H1715">
        <v>3</v>
      </c>
      <c r="I1715">
        <v>1</v>
      </c>
      <c r="J1715" s="15">
        <v>4705</v>
      </c>
      <c r="K1715">
        <v>1</v>
      </c>
      <c r="L1715" s="15">
        <v>4705</v>
      </c>
      <c r="M1715">
        <v>1</v>
      </c>
      <c r="N1715">
        <v>49</v>
      </c>
      <c r="O1715">
        <v>147</v>
      </c>
      <c r="P1715">
        <f t="shared" si="87"/>
        <v>2024</v>
      </c>
      <c r="Q1715">
        <f t="shared" si="88"/>
        <v>6</v>
      </c>
      <c r="R1715" t="str">
        <f t="shared" si="86"/>
        <v>商品详情页头图推荐</v>
      </c>
      <c r="S1715" t="s">
        <v>628</v>
      </c>
      <c r="T1715" s="546" t="s">
        <v>804</v>
      </c>
    </row>
    <row r="1716" spans="1:20" x14ac:dyDescent="0.3">
      <c r="A1716" t="s">
        <v>627</v>
      </c>
      <c r="B1716" s="16">
        <v>45451</v>
      </c>
      <c r="C1716" t="s">
        <v>3</v>
      </c>
      <c r="D1716" t="s">
        <v>123</v>
      </c>
      <c r="E1716" t="s">
        <v>170</v>
      </c>
      <c r="F1716">
        <v>18</v>
      </c>
      <c r="G1716">
        <v>8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16</v>
      </c>
      <c r="O1716">
        <v>9</v>
      </c>
      <c r="P1716">
        <f t="shared" si="87"/>
        <v>2024</v>
      </c>
      <c r="Q1716">
        <f t="shared" si="88"/>
        <v>6</v>
      </c>
      <c r="R1716" t="str">
        <f t="shared" si="86"/>
        <v>店铺超链</v>
      </c>
      <c r="S1716" t="s">
        <v>628</v>
      </c>
      <c r="T1716" s="546" t="s">
        <v>804</v>
      </c>
    </row>
    <row r="1717" spans="1:20" x14ac:dyDescent="0.3">
      <c r="A1717" t="s">
        <v>627</v>
      </c>
      <c r="B1717" s="16">
        <v>45451</v>
      </c>
      <c r="C1717" t="s">
        <v>3</v>
      </c>
      <c r="D1717" t="s">
        <v>127</v>
      </c>
      <c r="E1717" t="s">
        <v>171</v>
      </c>
      <c r="F1717">
        <v>163</v>
      </c>
      <c r="G1717">
        <v>93</v>
      </c>
      <c r="H1717">
        <v>4</v>
      </c>
      <c r="I1717">
        <v>3</v>
      </c>
      <c r="J1717" s="15">
        <v>1725</v>
      </c>
      <c r="K1717">
        <v>1</v>
      </c>
      <c r="L1717" s="15">
        <v>1725</v>
      </c>
      <c r="M1717">
        <v>1</v>
      </c>
      <c r="N1717">
        <v>67</v>
      </c>
      <c r="O1717">
        <v>123</v>
      </c>
      <c r="P1717">
        <f t="shared" si="87"/>
        <v>2024</v>
      </c>
      <c r="Q1717">
        <f t="shared" si="88"/>
        <v>6</v>
      </c>
      <c r="R1717" t="str">
        <f t="shared" si="86"/>
        <v>其他猜你喜欢</v>
      </c>
      <c r="S1717" t="s">
        <v>628</v>
      </c>
      <c r="T1717" s="546" t="s">
        <v>804</v>
      </c>
    </row>
    <row r="1718" spans="1:20" x14ac:dyDescent="0.3">
      <c r="A1718" t="s">
        <v>627</v>
      </c>
      <c r="B1718" s="16">
        <v>45451</v>
      </c>
      <c r="C1718" t="s">
        <v>3</v>
      </c>
      <c r="D1718" t="s">
        <v>127</v>
      </c>
      <c r="E1718" t="s">
        <v>172</v>
      </c>
      <c r="F1718">
        <v>5</v>
      </c>
      <c r="G1718">
        <v>1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2</v>
      </c>
      <c r="O1718">
        <v>5</v>
      </c>
      <c r="P1718">
        <f t="shared" si="87"/>
        <v>2024</v>
      </c>
      <c r="Q1718">
        <f t="shared" si="88"/>
        <v>6</v>
      </c>
      <c r="R1718" t="str">
        <f t="shared" si="86"/>
        <v>购中推荐</v>
      </c>
      <c r="S1718" t="s">
        <v>628</v>
      </c>
      <c r="T1718" s="546" t="s">
        <v>804</v>
      </c>
    </row>
    <row r="1719" spans="1:20" x14ac:dyDescent="0.3">
      <c r="A1719" t="s">
        <v>627</v>
      </c>
      <c r="B1719" s="16">
        <v>45451</v>
      </c>
      <c r="C1719" t="s">
        <v>3</v>
      </c>
      <c r="D1719" t="s">
        <v>127</v>
      </c>
      <c r="E1719" t="s">
        <v>173</v>
      </c>
      <c r="F1719">
        <v>23</v>
      </c>
      <c r="G1719">
        <v>12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23</v>
      </c>
      <c r="P1719">
        <f t="shared" si="87"/>
        <v>2024</v>
      </c>
      <c r="Q1719">
        <f t="shared" si="88"/>
        <v>6</v>
      </c>
      <c r="R1719" t="str">
        <f t="shared" si="86"/>
        <v>购后推荐</v>
      </c>
      <c r="S1719" t="s">
        <v>628</v>
      </c>
      <c r="T1719" s="546" t="s">
        <v>804</v>
      </c>
    </row>
    <row r="1720" spans="1:20" x14ac:dyDescent="0.3">
      <c r="A1720" t="s">
        <v>627</v>
      </c>
      <c r="B1720" s="16">
        <v>45451</v>
      </c>
      <c r="C1720" t="s">
        <v>3</v>
      </c>
      <c r="D1720" t="s">
        <v>127</v>
      </c>
      <c r="E1720" t="s">
        <v>174</v>
      </c>
      <c r="F1720" s="15">
        <v>1847</v>
      </c>
      <c r="G1720" s="15">
        <v>1051</v>
      </c>
      <c r="H1720">
        <v>38</v>
      </c>
      <c r="I1720">
        <v>18</v>
      </c>
      <c r="J1720" s="15">
        <v>11605</v>
      </c>
      <c r="K1720">
        <v>5</v>
      </c>
      <c r="L1720" s="15">
        <v>11605</v>
      </c>
      <c r="M1720">
        <v>5</v>
      </c>
      <c r="N1720">
        <v>173</v>
      </c>
      <c r="O1720" s="15">
        <v>1847</v>
      </c>
      <c r="P1720">
        <f t="shared" si="87"/>
        <v>2024</v>
      </c>
      <c r="Q1720">
        <f t="shared" si="88"/>
        <v>6</v>
      </c>
      <c r="R1720" t="str">
        <f t="shared" si="86"/>
        <v>首页推荐-微详情</v>
      </c>
      <c r="S1720" t="s">
        <v>628</v>
      </c>
      <c r="T1720" s="546" t="s">
        <v>804</v>
      </c>
    </row>
    <row r="1721" spans="1:20" x14ac:dyDescent="0.3">
      <c r="A1721" t="s">
        <v>627</v>
      </c>
      <c r="B1721" s="16">
        <v>45451</v>
      </c>
      <c r="C1721" t="s">
        <v>3</v>
      </c>
      <c r="D1721" t="s">
        <v>127</v>
      </c>
      <c r="E1721" t="s">
        <v>175</v>
      </c>
      <c r="F1721">
        <v>40</v>
      </c>
      <c r="G1721">
        <v>6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f t="shared" si="87"/>
        <v>2024</v>
      </c>
      <c r="Q1721">
        <f t="shared" si="88"/>
        <v>6</v>
      </c>
      <c r="R1721" t="str">
        <f t="shared" si="86"/>
        <v>首页推荐-直播</v>
      </c>
      <c r="S1721" t="s">
        <v>628</v>
      </c>
      <c r="T1721" s="546" t="s">
        <v>804</v>
      </c>
    </row>
    <row r="1722" spans="1:20" x14ac:dyDescent="0.3">
      <c r="A1722" t="s">
        <v>627</v>
      </c>
      <c r="B1722" s="16">
        <v>45451</v>
      </c>
      <c r="C1722" t="s">
        <v>3</v>
      </c>
      <c r="D1722" t="s">
        <v>127</v>
      </c>
      <c r="E1722" t="s">
        <v>176</v>
      </c>
      <c r="F1722">
        <v>80</v>
      </c>
      <c r="G1722">
        <v>37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f t="shared" si="87"/>
        <v>2024</v>
      </c>
      <c r="Q1722">
        <f t="shared" si="88"/>
        <v>6</v>
      </c>
      <c r="R1722" t="str">
        <f t="shared" si="86"/>
        <v>首页推荐-短视频</v>
      </c>
      <c r="S1722" t="s">
        <v>628</v>
      </c>
      <c r="T1722" s="546" t="s">
        <v>804</v>
      </c>
    </row>
    <row r="1723" spans="1:20" x14ac:dyDescent="0.3">
      <c r="A1723" t="s">
        <v>627</v>
      </c>
      <c r="B1723" s="16">
        <v>45451</v>
      </c>
      <c r="C1723" t="s">
        <v>3</v>
      </c>
      <c r="D1723" t="s">
        <v>128</v>
      </c>
      <c r="E1723" t="s">
        <v>177</v>
      </c>
      <c r="F1723">
        <v>836</v>
      </c>
      <c r="G1723">
        <v>635</v>
      </c>
      <c r="H1723">
        <v>31</v>
      </c>
      <c r="I1723">
        <v>8</v>
      </c>
      <c r="J1723" s="15">
        <v>15294</v>
      </c>
      <c r="K1723">
        <v>5</v>
      </c>
      <c r="L1723" s="15">
        <v>13667</v>
      </c>
      <c r="M1723">
        <v>5</v>
      </c>
      <c r="N1723">
        <v>231</v>
      </c>
      <c r="O1723">
        <v>762</v>
      </c>
      <c r="P1723">
        <f t="shared" si="87"/>
        <v>2024</v>
      </c>
      <c r="Q1723">
        <f t="shared" si="88"/>
        <v>6</v>
      </c>
      <c r="R1723" t="str">
        <f t="shared" si="86"/>
        <v>手淘搜索-商品及其他</v>
      </c>
      <c r="S1723" t="s">
        <v>628</v>
      </c>
      <c r="T1723" s="546" t="s">
        <v>804</v>
      </c>
    </row>
    <row r="1724" spans="1:20" x14ac:dyDescent="0.3">
      <c r="A1724" t="s">
        <v>627</v>
      </c>
      <c r="B1724" s="16">
        <v>45451</v>
      </c>
      <c r="C1724" t="s">
        <v>3</v>
      </c>
      <c r="D1724" t="s">
        <v>128</v>
      </c>
      <c r="E1724" t="s">
        <v>179</v>
      </c>
      <c r="F1724">
        <v>31</v>
      </c>
      <c r="G1724">
        <v>16</v>
      </c>
      <c r="H1724">
        <v>1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2</v>
      </c>
      <c r="O1724">
        <v>8</v>
      </c>
      <c r="P1724">
        <f t="shared" si="87"/>
        <v>2024</v>
      </c>
      <c r="Q1724">
        <f t="shared" si="88"/>
        <v>6</v>
      </c>
      <c r="R1724" t="str">
        <f t="shared" si="86"/>
        <v>手淘搜索-短视频</v>
      </c>
      <c r="S1724" t="s">
        <v>628</v>
      </c>
      <c r="T1724" s="546" t="s">
        <v>804</v>
      </c>
    </row>
    <row r="1725" spans="1:20" x14ac:dyDescent="0.3">
      <c r="A1725" t="s">
        <v>627</v>
      </c>
      <c r="B1725" s="16">
        <v>45451</v>
      </c>
      <c r="C1725" t="s">
        <v>3</v>
      </c>
      <c r="D1725" t="s">
        <v>143</v>
      </c>
      <c r="E1725" t="s">
        <v>180</v>
      </c>
      <c r="F1725">
        <v>20</v>
      </c>
      <c r="G1725">
        <v>20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1</v>
      </c>
      <c r="O1725">
        <v>20</v>
      </c>
      <c r="P1725">
        <f t="shared" si="87"/>
        <v>2024</v>
      </c>
      <c r="Q1725">
        <f t="shared" si="88"/>
        <v>6</v>
      </c>
      <c r="R1725" t="str">
        <f t="shared" si="86"/>
        <v>淘特其他渠道</v>
      </c>
      <c r="S1725" t="s">
        <v>628</v>
      </c>
      <c r="T1725" s="546" t="s">
        <v>804</v>
      </c>
    </row>
    <row r="1726" spans="1:20" x14ac:dyDescent="0.3">
      <c r="A1726" t="s">
        <v>627</v>
      </c>
      <c r="B1726" s="16">
        <v>45451</v>
      </c>
      <c r="C1726" t="s">
        <v>3</v>
      </c>
      <c r="D1726" t="s">
        <v>143</v>
      </c>
      <c r="E1726" t="s">
        <v>181</v>
      </c>
      <c r="F1726">
        <v>1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</v>
      </c>
      <c r="P1726">
        <f t="shared" si="87"/>
        <v>2024</v>
      </c>
      <c r="Q1726">
        <f t="shared" si="88"/>
        <v>6</v>
      </c>
      <c r="R1726" t="str">
        <f t="shared" si="86"/>
        <v>淘特搜索</v>
      </c>
      <c r="S1726" t="s">
        <v>628</v>
      </c>
      <c r="T1726" s="546" t="s">
        <v>804</v>
      </c>
    </row>
    <row r="1727" spans="1:20" x14ac:dyDescent="0.3">
      <c r="A1727" t="s">
        <v>627</v>
      </c>
      <c r="B1727" s="16">
        <v>45451</v>
      </c>
      <c r="C1727" t="s">
        <v>2</v>
      </c>
      <c r="D1727" t="s">
        <v>55</v>
      </c>
      <c r="E1727" t="s">
        <v>54</v>
      </c>
      <c r="F1727">
        <v>5</v>
      </c>
      <c r="G1727">
        <v>2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3</v>
      </c>
      <c r="P1727">
        <f t="shared" si="87"/>
        <v>2024</v>
      </c>
      <c r="Q1727">
        <f t="shared" si="88"/>
        <v>6</v>
      </c>
      <c r="R1727" t="str">
        <f t="shared" si="86"/>
        <v>超级直播</v>
      </c>
      <c r="S1727" t="s">
        <v>628</v>
      </c>
      <c r="T1727" s="546" t="s">
        <v>804</v>
      </c>
    </row>
    <row r="1728" spans="1:20" x14ac:dyDescent="0.3">
      <c r="A1728" t="s">
        <v>627</v>
      </c>
      <c r="B1728" s="16">
        <v>45451</v>
      </c>
      <c r="C1728" t="s">
        <v>2</v>
      </c>
      <c r="D1728" t="s">
        <v>55</v>
      </c>
      <c r="E1728" t="s">
        <v>56</v>
      </c>
      <c r="F1728" s="15">
        <v>8647</v>
      </c>
      <c r="G1728" s="15">
        <v>6033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3</v>
      </c>
      <c r="O1728">
        <v>145</v>
      </c>
      <c r="P1728">
        <f t="shared" si="87"/>
        <v>2024</v>
      </c>
      <c r="Q1728">
        <f t="shared" si="88"/>
        <v>6</v>
      </c>
      <c r="R1728" t="str">
        <f t="shared" si="86"/>
        <v>超级短视频</v>
      </c>
      <c r="S1728" t="s">
        <v>628</v>
      </c>
      <c r="T1728" s="546" t="s">
        <v>804</v>
      </c>
    </row>
    <row r="1729" spans="1:20" x14ac:dyDescent="0.3">
      <c r="A1729" t="s">
        <v>627</v>
      </c>
      <c r="B1729" s="16">
        <v>45451</v>
      </c>
      <c r="C1729" t="s">
        <v>2</v>
      </c>
      <c r="D1729" t="s">
        <v>52</v>
      </c>
      <c r="E1729" t="s">
        <v>53</v>
      </c>
      <c r="F1729" s="15">
        <v>1044</v>
      </c>
      <c r="G1729">
        <v>870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 s="15">
        <v>1044</v>
      </c>
      <c r="O1729">
        <v>106</v>
      </c>
      <c r="P1729">
        <f t="shared" si="87"/>
        <v>2024</v>
      </c>
      <c r="Q1729">
        <f t="shared" si="88"/>
        <v>6</v>
      </c>
      <c r="R1729" t="str">
        <f t="shared" si="86"/>
        <v>Showmax</v>
      </c>
      <c r="S1729" t="s">
        <v>628</v>
      </c>
      <c r="T1729" s="546" t="s">
        <v>804</v>
      </c>
    </row>
    <row r="1730" spans="1:20" x14ac:dyDescent="0.3">
      <c r="A1730" t="s">
        <v>627</v>
      </c>
      <c r="B1730" s="16">
        <v>45451</v>
      </c>
      <c r="C1730" t="s">
        <v>2</v>
      </c>
      <c r="D1730" t="s">
        <v>52</v>
      </c>
      <c r="E1730" t="s">
        <v>59</v>
      </c>
      <c r="F1730" s="15">
        <v>1515</v>
      </c>
      <c r="G1730" s="15">
        <v>1179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 s="15">
        <v>1515</v>
      </c>
      <c r="O1730">
        <v>201</v>
      </c>
      <c r="P1730">
        <f t="shared" si="87"/>
        <v>2024</v>
      </c>
      <c r="Q1730">
        <f t="shared" si="88"/>
        <v>6</v>
      </c>
      <c r="R1730" t="str">
        <f t="shared" si="86"/>
        <v>品牌特秀</v>
      </c>
      <c r="S1730" t="s">
        <v>628</v>
      </c>
      <c r="T1730" s="546" t="s">
        <v>804</v>
      </c>
    </row>
    <row r="1731" spans="1:20" x14ac:dyDescent="0.3">
      <c r="A1731" t="s">
        <v>627</v>
      </c>
      <c r="B1731" s="16">
        <v>45451</v>
      </c>
      <c r="C1731" t="s">
        <v>2</v>
      </c>
      <c r="D1731" t="s">
        <v>52</v>
      </c>
      <c r="E1731" t="s">
        <v>183</v>
      </c>
      <c r="F1731">
        <v>529</v>
      </c>
      <c r="G1731">
        <v>431</v>
      </c>
      <c r="H1731">
        <v>12</v>
      </c>
      <c r="I1731">
        <v>5</v>
      </c>
      <c r="J1731" s="15">
        <v>5675</v>
      </c>
      <c r="K1731">
        <v>2</v>
      </c>
      <c r="L1731" s="15">
        <v>3450</v>
      </c>
      <c r="M1731">
        <v>1</v>
      </c>
      <c r="N1731">
        <v>529</v>
      </c>
      <c r="O1731">
        <v>270</v>
      </c>
      <c r="P1731">
        <f t="shared" si="87"/>
        <v>2024</v>
      </c>
      <c r="Q1731">
        <f t="shared" si="88"/>
        <v>6</v>
      </c>
      <c r="R1731" t="str">
        <f t="shared" si="86"/>
        <v>品销宝-品牌专区</v>
      </c>
      <c r="S1731" t="s">
        <v>628</v>
      </c>
      <c r="T1731" s="546" t="s">
        <v>804</v>
      </c>
    </row>
    <row r="1732" spans="1:20" x14ac:dyDescent="0.3">
      <c r="A1732" t="s">
        <v>627</v>
      </c>
      <c r="B1732" s="16">
        <v>45451</v>
      </c>
      <c r="C1732" t="s">
        <v>2</v>
      </c>
      <c r="D1732" t="s">
        <v>57</v>
      </c>
      <c r="E1732" t="s">
        <v>65</v>
      </c>
      <c r="F1732" s="15">
        <v>3150</v>
      </c>
      <c r="G1732" s="15">
        <v>2629</v>
      </c>
      <c r="H1732">
        <v>47</v>
      </c>
      <c r="I1732">
        <v>31</v>
      </c>
      <c r="J1732" s="17">
        <v>26912.5</v>
      </c>
      <c r="K1732">
        <v>8</v>
      </c>
      <c r="L1732" s="17">
        <v>19717.5</v>
      </c>
      <c r="M1732">
        <v>6</v>
      </c>
      <c r="N1732">
        <v>285</v>
      </c>
      <c r="O1732" s="15">
        <v>3128</v>
      </c>
      <c r="P1732">
        <f t="shared" si="87"/>
        <v>2024</v>
      </c>
      <c r="Q1732">
        <f t="shared" si="88"/>
        <v>6</v>
      </c>
      <c r="R1732" t="str">
        <f t="shared" si="86"/>
        <v>直通车</v>
      </c>
      <c r="S1732" t="s">
        <v>628</v>
      </c>
      <c r="T1732" s="546" t="s">
        <v>804</v>
      </c>
    </row>
    <row r="1733" spans="1:20" x14ac:dyDescent="0.3">
      <c r="A1733" t="s">
        <v>627</v>
      </c>
      <c r="B1733" s="16">
        <v>45451</v>
      </c>
      <c r="C1733" t="s">
        <v>2</v>
      </c>
      <c r="D1733" t="s">
        <v>57</v>
      </c>
      <c r="E1733" t="s">
        <v>63</v>
      </c>
      <c r="F1733" s="15">
        <v>2833</v>
      </c>
      <c r="G1733" s="15">
        <v>1799</v>
      </c>
      <c r="H1733">
        <v>34</v>
      </c>
      <c r="I1733">
        <v>30</v>
      </c>
      <c r="J1733" s="15">
        <v>12319</v>
      </c>
      <c r="K1733">
        <v>4</v>
      </c>
      <c r="L1733" s="15">
        <v>12319</v>
      </c>
      <c r="M1733">
        <v>4</v>
      </c>
      <c r="N1733">
        <v>149</v>
      </c>
      <c r="O1733" s="15">
        <v>2831</v>
      </c>
      <c r="P1733">
        <f t="shared" si="87"/>
        <v>2024</v>
      </c>
      <c r="Q1733">
        <f t="shared" si="88"/>
        <v>6</v>
      </c>
      <c r="R1733" t="str">
        <f t="shared" si="86"/>
        <v>万相台</v>
      </c>
      <c r="S1733" t="s">
        <v>628</v>
      </c>
      <c r="T1733" s="546" t="s">
        <v>804</v>
      </c>
    </row>
    <row r="1734" spans="1:20" x14ac:dyDescent="0.3">
      <c r="A1734" t="s">
        <v>627</v>
      </c>
      <c r="B1734" s="16">
        <v>45451</v>
      </c>
      <c r="C1734" t="s">
        <v>2</v>
      </c>
      <c r="D1734" t="s">
        <v>57</v>
      </c>
      <c r="E1734" t="s">
        <v>64</v>
      </c>
      <c r="F1734" s="15">
        <v>12577</v>
      </c>
      <c r="G1734" s="15">
        <v>7386</v>
      </c>
      <c r="H1734">
        <v>35</v>
      </c>
      <c r="I1734">
        <v>37</v>
      </c>
      <c r="J1734">
        <v>0</v>
      </c>
      <c r="K1734">
        <v>0</v>
      </c>
      <c r="L1734">
        <v>0</v>
      </c>
      <c r="M1734">
        <v>0</v>
      </c>
      <c r="N1734">
        <v>273</v>
      </c>
      <c r="O1734" s="15">
        <v>12572</v>
      </c>
      <c r="P1734">
        <f t="shared" si="87"/>
        <v>2024</v>
      </c>
      <c r="Q1734">
        <f t="shared" si="88"/>
        <v>6</v>
      </c>
      <c r="R1734" t="str">
        <f t="shared" si="86"/>
        <v>引力魔方</v>
      </c>
      <c r="S1734" t="s">
        <v>628</v>
      </c>
      <c r="T1734" s="546" t="s">
        <v>804</v>
      </c>
    </row>
    <row r="1735" spans="1:20" x14ac:dyDescent="0.3">
      <c r="A1735" t="s">
        <v>627</v>
      </c>
      <c r="B1735" s="16">
        <v>45451</v>
      </c>
      <c r="C1735" t="s">
        <v>2</v>
      </c>
      <c r="D1735" t="s">
        <v>4</v>
      </c>
      <c r="E1735" t="s">
        <v>43</v>
      </c>
      <c r="F1735" s="15">
        <v>1472</v>
      </c>
      <c r="G1735">
        <v>555</v>
      </c>
      <c r="H1735">
        <v>2</v>
      </c>
      <c r="I1735">
        <v>0</v>
      </c>
      <c r="J1735" s="15">
        <v>4705</v>
      </c>
      <c r="K1735">
        <v>1</v>
      </c>
      <c r="L1735" s="15">
        <v>4705</v>
      </c>
      <c r="M1735">
        <v>1</v>
      </c>
      <c r="N1735">
        <v>13</v>
      </c>
      <c r="O1735" s="15">
        <v>1469</v>
      </c>
      <c r="P1735">
        <f t="shared" si="87"/>
        <v>2024</v>
      </c>
      <c r="Q1735">
        <f t="shared" si="88"/>
        <v>6</v>
      </c>
      <c r="R1735" t="str">
        <f t="shared" ref="R1735:R1798" si="89">E1735</f>
        <v>淘宝客</v>
      </c>
      <c r="S1735" t="s">
        <v>628</v>
      </c>
      <c r="T1735" s="546" t="s">
        <v>804</v>
      </c>
    </row>
    <row r="1736" spans="1:20" x14ac:dyDescent="0.3">
      <c r="A1736" t="s">
        <v>627</v>
      </c>
      <c r="B1736" s="16">
        <v>45452</v>
      </c>
      <c r="C1736" t="s">
        <v>3</v>
      </c>
      <c r="D1736" t="s">
        <v>114</v>
      </c>
      <c r="E1736" t="s">
        <v>159</v>
      </c>
      <c r="F1736">
        <v>77</v>
      </c>
      <c r="G1736">
        <v>38</v>
      </c>
      <c r="H1736">
        <v>1</v>
      </c>
      <c r="I1736">
        <v>3</v>
      </c>
      <c r="J1736">
        <v>0</v>
      </c>
      <c r="K1736">
        <v>0</v>
      </c>
      <c r="L1736">
        <v>0</v>
      </c>
      <c r="M1736">
        <v>0</v>
      </c>
      <c r="N1736">
        <v>12</v>
      </c>
      <c r="O1736">
        <v>71</v>
      </c>
      <c r="P1736">
        <f t="shared" si="87"/>
        <v>2024</v>
      </c>
      <c r="Q1736">
        <f t="shared" si="88"/>
        <v>6</v>
      </c>
      <c r="R1736" t="str">
        <f t="shared" si="89"/>
        <v>主会场</v>
      </c>
      <c r="S1736" t="s">
        <v>628</v>
      </c>
      <c r="T1736" s="546" t="s">
        <v>804</v>
      </c>
    </row>
    <row r="1737" spans="1:20" x14ac:dyDescent="0.3">
      <c r="A1737" t="s">
        <v>627</v>
      </c>
      <c r="B1737" s="16">
        <v>45452</v>
      </c>
      <c r="C1737" t="s">
        <v>3</v>
      </c>
      <c r="D1737" t="s">
        <v>114</v>
      </c>
      <c r="E1737" t="s">
        <v>160</v>
      </c>
      <c r="F1737">
        <v>4</v>
      </c>
      <c r="G1737">
        <v>3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4</v>
      </c>
      <c r="P1737">
        <f t="shared" si="87"/>
        <v>2024</v>
      </c>
      <c r="Q1737">
        <f t="shared" si="88"/>
        <v>6</v>
      </c>
      <c r="R1737" t="str">
        <f t="shared" si="89"/>
        <v>榜单会场</v>
      </c>
      <c r="S1737" t="s">
        <v>628</v>
      </c>
      <c r="T1737" s="546" t="s">
        <v>804</v>
      </c>
    </row>
    <row r="1738" spans="1:20" x14ac:dyDescent="0.3">
      <c r="A1738" t="s">
        <v>627</v>
      </c>
      <c r="B1738" s="16">
        <v>45452</v>
      </c>
      <c r="C1738" t="s">
        <v>3</v>
      </c>
      <c r="D1738" t="s">
        <v>117</v>
      </c>
      <c r="E1738" t="s">
        <v>161</v>
      </c>
      <c r="F1738">
        <v>13</v>
      </c>
      <c r="G1738">
        <v>12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2</v>
      </c>
      <c r="O1738">
        <v>13</v>
      </c>
      <c r="P1738">
        <f t="shared" si="87"/>
        <v>2024</v>
      </c>
      <c r="Q1738">
        <f t="shared" si="88"/>
        <v>6</v>
      </c>
      <c r="R1738" t="str">
        <f t="shared" si="89"/>
        <v>其他入口榜单</v>
      </c>
      <c r="S1738" t="s">
        <v>628</v>
      </c>
      <c r="T1738" s="546" t="s">
        <v>804</v>
      </c>
    </row>
    <row r="1739" spans="1:20" x14ac:dyDescent="0.3">
      <c r="A1739" t="s">
        <v>627</v>
      </c>
      <c r="B1739" s="16">
        <v>45452</v>
      </c>
      <c r="C1739" t="s">
        <v>3</v>
      </c>
      <c r="D1739" t="s">
        <v>120</v>
      </c>
      <c r="E1739" t="s">
        <v>163</v>
      </c>
      <c r="F1739">
        <v>72</v>
      </c>
      <c r="G1739">
        <v>32</v>
      </c>
      <c r="H1739">
        <v>1</v>
      </c>
      <c r="I1739">
        <v>0</v>
      </c>
      <c r="J1739" s="15">
        <v>1677</v>
      </c>
      <c r="K1739">
        <v>1</v>
      </c>
      <c r="L1739" s="15">
        <v>1677</v>
      </c>
      <c r="M1739">
        <v>1</v>
      </c>
      <c r="N1739">
        <v>28</v>
      </c>
      <c r="O1739">
        <v>68</v>
      </c>
      <c r="P1739">
        <f t="shared" si="87"/>
        <v>2024</v>
      </c>
      <c r="Q1739">
        <f t="shared" si="88"/>
        <v>6</v>
      </c>
      <c r="R1739" t="str">
        <f t="shared" si="89"/>
        <v>手猫免费其他</v>
      </c>
      <c r="S1739" t="s">
        <v>628</v>
      </c>
      <c r="T1739" s="546" t="s">
        <v>804</v>
      </c>
    </row>
    <row r="1740" spans="1:20" x14ac:dyDescent="0.3">
      <c r="A1740" t="s">
        <v>627</v>
      </c>
      <c r="B1740" s="16">
        <v>45452</v>
      </c>
      <c r="C1740" t="s">
        <v>3</v>
      </c>
      <c r="D1740" t="s">
        <v>120</v>
      </c>
      <c r="E1740" t="s">
        <v>164</v>
      </c>
      <c r="F1740">
        <v>6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6</v>
      </c>
      <c r="P1740">
        <f t="shared" si="87"/>
        <v>2024</v>
      </c>
      <c r="Q1740">
        <f t="shared" si="88"/>
        <v>6</v>
      </c>
      <c r="R1740" t="str">
        <f t="shared" si="89"/>
        <v>手猫其他店铺</v>
      </c>
      <c r="S1740" t="s">
        <v>628</v>
      </c>
      <c r="T1740" s="546" t="s">
        <v>804</v>
      </c>
    </row>
    <row r="1741" spans="1:20" x14ac:dyDescent="0.3">
      <c r="A1741" t="s">
        <v>627</v>
      </c>
      <c r="B1741" s="16">
        <v>45452</v>
      </c>
      <c r="C1741" t="s">
        <v>3</v>
      </c>
      <c r="D1741" t="s">
        <v>120</v>
      </c>
      <c r="E1741" t="s">
        <v>165</v>
      </c>
      <c r="F1741">
        <v>26</v>
      </c>
      <c r="G1741">
        <v>12</v>
      </c>
      <c r="H1741">
        <v>2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3</v>
      </c>
      <c r="O1741">
        <v>22</v>
      </c>
      <c r="P1741">
        <f t="shared" si="87"/>
        <v>2024</v>
      </c>
      <c r="Q1741">
        <f t="shared" si="88"/>
        <v>6</v>
      </c>
      <c r="R1741" t="str">
        <f t="shared" si="89"/>
        <v>手猫商品详情</v>
      </c>
      <c r="S1741" t="s">
        <v>628</v>
      </c>
      <c r="T1741" s="546" t="s">
        <v>804</v>
      </c>
    </row>
    <row r="1742" spans="1:20" x14ac:dyDescent="0.3">
      <c r="A1742" t="s">
        <v>627</v>
      </c>
      <c r="B1742" s="16">
        <v>45452</v>
      </c>
      <c r="C1742" t="s">
        <v>3</v>
      </c>
      <c r="D1742" t="s">
        <v>120</v>
      </c>
      <c r="E1742" t="s">
        <v>166</v>
      </c>
      <c r="F1742">
        <v>70</v>
      </c>
      <c r="G1742">
        <v>39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27</v>
      </c>
      <c r="O1742">
        <v>61</v>
      </c>
      <c r="P1742">
        <f t="shared" si="87"/>
        <v>2024</v>
      </c>
      <c r="Q1742">
        <f t="shared" si="88"/>
        <v>6</v>
      </c>
      <c r="R1742" t="str">
        <f t="shared" si="89"/>
        <v>手猫搜索</v>
      </c>
      <c r="S1742" t="s">
        <v>628</v>
      </c>
      <c r="T1742" s="546" t="s">
        <v>804</v>
      </c>
    </row>
    <row r="1743" spans="1:20" x14ac:dyDescent="0.3">
      <c r="A1743" t="s">
        <v>627</v>
      </c>
      <c r="B1743" s="16">
        <v>45452</v>
      </c>
      <c r="C1743" t="s">
        <v>3</v>
      </c>
      <c r="D1743" t="s">
        <v>120</v>
      </c>
      <c r="E1743" t="s">
        <v>167</v>
      </c>
      <c r="F1743">
        <v>3</v>
      </c>
      <c r="G1743">
        <v>1</v>
      </c>
      <c r="H1743">
        <v>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3</v>
      </c>
      <c r="P1743">
        <f t="shared" si="87"/>
        <v>2024</v>
      </c>
      <c r="Q1743">
        <f t="shared" si="88"/>
        <v>6</v>
      </c>
      <c r="R1743" t="str">
        <f t="shared" si="89"/>
        <v>手猫旺信聊天</v>
      </c>
      <c r="S1743" t="s">
        <v>628</v>
      </c>
      <c r="T1743" s="546" t="s">
        <v>804</v>
      </c>
    </row>
    <row r="1744" spans="1:20" x14ac:dyDescent="0.3">
      <c r="A1744" t="s">
        <v>627</v>
      </c>
      <c r="B1744" s="16">
        <v>45452</v>
      </c>
      <c r="C1744" t="s">
        <v>3</v>
      </c>
      <c r="D1744" t="s">
        <v>120</v>
      </c>
      <c r="E1744" t="s">
        <v>168</v>
      </c>
      <c r="F1744">
        <v>406</v>
      </c>
      <c r="G1744">
        <v>214</v>
      </c>
      <c r="H1744">
        <v>2</v>
      </c>
      <c r="I1744">
        <v>0</v>
      </c>
      <c r="J1744" s="15">
        <v>3415</v>
      </c>
      <c r="K1744">
        <v>2</v>
      </c>
      <c r="L1744" s="15">
        <v>3415</v>
      </c>
      <c r="M1744">
        <v>2</v>
      </c>
      <c r="N1744">
        <v>15</v>
      </c>
      <c r="O1744">
        <v>406</v>
      </c>
      <c r="P1744">
        <f t="shared" si="87"/>
        <v>2024</v>
      </c>
      <c r="Q1744">
        <f t="shared" si="88"/>
        <v>6</v>
      </c>
      <c r="R1744" t="str">
        <f t="shared" si="89"/>
        <v>手猫首页</v>
      </c>
      <c r="S1744" t="s">
        <v>628</v>
      </c>
      <c r="T1744" s="546" t="s">
        <v>804</v>
      </c>
    </row>
    <row r="1745" spans="1:20" x14ac:dyDescent="0.3">
      <c r="A1745" t="s">
        <v>627</v>
      </c>
      <c r="B1745" s="16">
        <v>45452</v>
      </c>
      <c r="C1745" t="s">
        <v>3</v>
      </c>
      <c r="D1745" t="s">
        <v>123</v>
      </c>
      <c r="E1745" t="s">
        <v>169</v>
      </c>
      <c r="F1745">
        <v>209</v>
      </c>
      <c r="G1745">
        <v>136</v>
      </c>
      <c r="H1745">
        <v>1</v>
      </c>
      <c r="I1745">
        <v>3</v>
      </c>
      <c r="J1745">
        <v>0</v>
      </c>
      <c r="K1745">
        <v>0</v>
      </c>
      <c r="L1745">
        <v>0</v>
      </c>
      <c r="M1745">
        <v>0</v>
      </c>
      <c r="N1745">
        <v>42</v>
      </c>
      <c r="O1745">
        <v>164</v>
      </c>
      <c r="P1745">
        <f t="shared" si="87"/>
        <v>2024</v>
      </c>
      <c r="Q1745">
        <f t="shared" si="88"/>
        <v>6</v>
      </c>
      <c r="R1745" t="str">
        <f t="shared" si="89"/>
        <v>商品详情页头图推荐</v>
      </c>
      <c r="S1745" t="s">
        <v>628</v>
      </c>
      <c r="T1745" s="546" t="s">
        <v>804</v>
      </c>
    </row>
    <row r="1746" spans="1:20" x14ac:dyDescent="0.3">
      <c r="A1746" t="s">
        <v>627</v>
      </c>
      <c r="B1746" s="16">
        <v>45452</v>
      </c>
      <c r="C1746" t="s">
        <v>3</v>
      </c>
      <c r="D1746" t="s">
        <v>123</v>
      </c>
      <c r="E1746" t="s">
        <v>170</v>
      </c>
      <c r="F1746">
        <v>24</v>
      </c>
      <c r="G1746">
        <v>15</v>
      </c>
      <c r="H1746">
        <v>2</v>
      </c>
      <c r="I1746">
        <v>0</v>
      </c>
      <c r="J1746" s="15">
        <v>3495</v>
      </c>
      <c r="K1746">
        <v>1</v>
      </c>
      <c r="L1746" s="15">
        <v>3495</v>
      </c>
      <c r="M1746">
        <v>1</v>
      </c>
      <c r="N1746">
        <v>21</v>
      </c>
      <c r="O1746">
        <v>12</v>
      </c>
      <c r="P1746">
        <f t="shared" si="87"/>
        <v>2024</v>
      </c>
      <c r="Q1746">
        <f t="shared" si="88"/>
        <v>6</v>
      </c>
      <c r="R1746" t="str">
        <f t="shared" si="89"/>
        <v>店铺超链</v>
      </c>
      <c r="S1746" t="s">
        <v>628</v>
      </c>
      <c r="T1746" s="546" t="s">
        <v>804</v>
      </c>
    </row>
    <row r="1747" spans="1:20" x14ac:dyDescent="0.3">
      <c r="A1747" t="s">
        <v>627</v>
      </c>
      <c r="B1747" s="16">
        <v>45452</v>
      </c>
      <c r="C1747" t="s">
        <v>3</v>
      </c>
      <c r="D1747" t="s">
        <v>127</v>
      </c>
      <c r="E1747" t="s">
        <v>171</v>
      </c>
      <c r="F1747">
        <v>151</v>
      </c>
      <c r="G1747">
        <v>90</v>
      </c>
      <c r="H1747">
        <v>3</v>
      </c>
      <c r="I1747">
        <v>2</v>
      </c>
      <c r="J1747" s="15">
        <v>3495</v>
      </c>
      <c r="K1747">
        <v>1</v>
      </c>
      <c r="L1747" s="15">
        <v>3495</v>
      </c>
      <c r="M1747">
        <v>1</v>
      </c>
      <c r="N1747">
        <v>58</v>
      </c>
      <c r="O1747">
        <v>113</v>
      </c>
      <c r="P1747">
        <f t="shared" si="87"/>
        <v>2024</v>
      </c>
      <c r="Q1747">
        <f t="shared" si="88"/>
        <v>6</v>
      </c>
      <c r="R1747" t="str">
        <f t="shared" si="89"/>
        <v>其他猜你喜欢</v>
      </c>
      <c r="S1747" t="s">
        <v>628</v>
      </c>
      <c r="T1747" s="546" t="s">
        <v>804</v>
      </c>
    </row>
    <row r="1748" spans="1:20" x14ac:dyDescent="0.3">
      <c r="A1748" t="s">
        <v>627</v>
      </c>
      <c r="B1748" s="16">
        <v>45452</v>
      </c>
      <c r="C1748" t="s">
        <v>3</v>
      </c>
      <c r="D1748" t="s">
        <v>127</v>
      </c>
      <c r="E1748" t="s">
        <v>172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1</v>
      </c>
      <c r="P1748">
        <f t="shared" si="87"/>
        <v>2024</v>
      </c>
      <c r="Q1748">
        <f t="shared" si="88"/>
        <v>6</v>
      </c>
      <c r="R1748" t="str">
        <f t="shared" si="89"/>
        <v>购中推荐</v>
      </c>
      <c r="S1748" t="s">
        <v>628</v>
      </c>
      <c r="T1748" s="546" t="s">
        <v>804</v>
      </c>
    </row>
    <row r="1749" spans="1:20" x14ac:dyDescent="0.3">
      <c r="A1749" t="s">
        <v>627</v>
      </c>
      <c r="B1749" s="16">
        <v>45452</v>
      </c>
      <c r="C1749" t="s">
        <v>3</v>
      </c>
      <c r="D1749" t="s">
        <v>127</v>
      </c>
      <c r="E1749" t="s">
        <v>173</v>
      </c>
      <c r="F1749">
        <v>14</v>
      </c>
      <c r="G1749">
        <v>6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13</v>
      </c>
      <c r="P1749">
        <f t="shared" ref="P1749:P1812" si="90">YEAR(B1749)</f>
        <v>2024</v>
      </c>
      <c r="Q1749">
        <f t="shared" ref="Q1749:Q1812" si="91">MONTH(B1749)</f>
        <v>6</v>
      </c>
      <c r="R1749" t="str">
        <f t="shared" si="89"/>
        <v>购后推荐</v>
      </c>
      <c r="S1749" t="s">
        <v>628</v>
      </c>
      <c r="T1749" s="546" t="s">
        <v>804</v>
      </c>
    </row>
    <row r="1750" spans="1:20" x14ac:dyDescent="0.3">
      <c r="A1750" t="s">
        <v>627</v>
      </c>
      <c r="B1750" s="16">
        <v>45452</v>
      </c>
      <c r="C1750" t="s">
        <v>3</v>
      </c>
      <c r="D1750" t="s">
        <v>127</v>
      </c>
      <c r="E1750" t="s">
        <v>174</v>
      </c>
      <c r="F1750" s="15">
        <v>1727</v>
      </c>
      <c r="G1750">
        <v>988</v>
      </c>
      <c r="H1750">
        <v>35</v>
      </c>
      <c r="I1750">
        <v>13</v>
      </c>
      <c r="J1750" s="17">
        <v>5769.18</v>
      </c>
      <c r="K1750">
        <v>3</v>
      </c>
      <c r="L1750" s="17">
        <v>5769.18</v>
      </c>
      <c r="M1750">
        <v>3</v>
      </c>
      <c r="N1750">
        <v>122</v>
      </c>
      <c r="O1750" s="15">
        <v>1727</v>
      </c>
      <c r="P1750">
        <f t="shared" si="90"/>
        <v>2024</v>
      </c>
      <c r="Q1750">
        <f t="shared" si="91"/>
        <v>6</v>
      </c>
      <c r="R1750" t="str">
        <f t="shared" si="89"/>
        <v>首页推荐-微详情</v>
      </c>
      <c r="S1750" t="s">
        <v>628</v>
      </c>
      <c r="T1750" s="546" t="s">
        <v>804</v>
      </c>
    </row>
    <row r="1751" spans="1:20" x14ac:dyDescent="0.3">
      <c r="A1751" t="s">
        <v>627</v>
      </c>
      <c r="B1751" s="16">
        <v>45452</v>
      </c>
      <c r="C1751" t="s">
        <v>3</v>
      </c>
      <c r="D1751" t="s">
        <v>127</v>
      </c>
      <c r="E1751" t="s">
        <v>175</v>
      </c>
      <c r="F1751">
        <v>157</v>
      </c>
      <c r="G1751">
        <v>80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7</v>
      </c>
      <c r="P1751">
        <f t="shared" si="90"/>
        <v>2024</v>
      </c>
      <c r="Q1751">
        <f t="shared" si="91"/>
        <v>6</v>
      </c>
      <c r="R1751" t="str">
        <f t="shared" si="89"/>
        <v>首页推荐-直播</v>
      </c>
      <c r="S1751" t="s">
        <v>628</v>
      </c>
      <c r="T1751" s="546" t="s">
        <v>804</v>
      </c>
    </row>
    <row r="1752" spans="1:20" x14ac:dyDescent="0.3">
      <c r="A1752" t="s">
        <v>627</v>
      </c>
      <c r="B1752" s="16">
        <v>45452</v>
      </c>
      <c r="C1752" t="s">
        <v>3</v>
      </c>
      <c r="D1752" t="s">
        <v>127</v>
      </c>
      <c r="E1752" t="s">
        <v>176</v>
      </c>
      <c r="F1752">
        <v>87</v>
      </c>
      <c r="G1752">
        <v>44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f t="shared" si="90"/>
        <v>2024</v>
      </c>
      <c r="Q1752">
        <f t="shared" si="91"/>
        <v>6</v>
      </c>
      <c r="R1752" t="str">
        <f t="shared" si="89"/>
        <v>首页推荐-短视频</v>
      </c>
      <c r="S1752" t="s">
        <v>628</v>
      </c>
      <c r="T1752" s="546" t="s">
        <v>804</v>
      </c>
    </row>
    <row r="1753" spans="1:20" x14ac:dyDescent="0.3">
      <c r="A1753" t="s">
        <v>627</v>
      </c>
      <c r="B1753" s="16">
        <v>45452</v>
      </c>
      <c r="C1753" t="s">
        <v>3</v>
      </c>
      <c r="D1753" t="s">
        <v>128</v>
      </c>
      <c r="E1753" t="s">
        <v>177</v>
      </c>
      <c r="F1753">
        <v>829</v>
      </c>
      <c r="G1753">
        <v>642</v>
      </c>
      <c r="H1753">
        <v>46</v>
      </c>
      <c r="I1753">
        <v>10</v>
      </c>
      <c r="J1753" s="17">
        <v>41885.32</v>
      </c>
      <c r="K1753">
        <v>6</v>
      </c>
      <c r="L1753" s="17">
        <v>41885.32</v>
      </c>
      <c r="M1753">
        <v>6</v>
      </c>
      <c r="N1753">
        <v>257</v>
      </c>
      <c r="O1753">
        <v>739</v>
      </c>
      <c r="P1753">
        <f t="shared" si="90"/>
        <v>2024</v>
      </c>
      <c r="Q1753">
        <f t="shared" si="91"/>
        <v>6</v>
      </c>
      <c r="R1753" t="str">
        <f t="shared" si="89"/>
        <v>手淘搜索-商品及其他</v>
      </c>
      <c r="S1753" t="s">
        <v>628</v>
      </c>
      <c r="T1753" s="546" t="s">
        <v>804</v>
      </c>
    </row>
    <row r="1754" spans="1:20" x14ac:dyDescent="0.3">
      <c r="A1754" t="s">
        <v>627</v>
      </c>
      <c r="B1754" s="16">
        <v>45452</v>
      </c>
      <c r="C1754" t="s">
        <v>3</v>
      </c>
      <c r="D1754" t="s">
        <v>128</v>
      </c>
      <c r="E1754" t="s">
        <v>178</v>
      </c>
      <c r="F1754">
        <v>1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</v>
      </c>
      <c r="P1754">
        <f t="shared" si="90"/>
        <v>2024</v>
      </c>
      <c r="Q1754">
        <f t="shared" si="91"/>
        <v>6</v>
      </c>
      <c r="R1754" t="str">
        <f t="shared" si="89"/>
        <v>手淘搜索-直播</v>
      </c>
      <c r="S1754" t="s">
        <v>628</v>
      </c>
      <c r="T1754" s="546" t="s">
        <v>804</v>
      </c>
    </row>
    <row r="1755" spans="1:20" x14ac:dyDescent="0.3">
      <c r="A1755" t="s">
        <v>627</v>
      </c>
      <c r="B1755" s="16">
        <v>45452</v>
      </c>
      <c r="C1755" t="s">
        <v>3</v>
      </c>
      <c r="D1755" t="s">
        <v>128</v>
      </c>
      <c r="E1755" t="s">
        <v>179</v>
      </c>
      <c r="F1755">
        <v>17</v>
      </c>
      <c r="G1755">
        <v>8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4</v>
      </c>
      <c r="P1755">
        <f t="shared" si="90"/>
        <v>2024</v>
      </c>
      <c r="Q1755">
        <f t="shared" si="91"/>
        <v>6</v>
      </c>
      <c r="R1755" t="str">
        <f t="shared" si="89"/>
        <v>手淘搜索-短视频</v>
      </c>
      <c r="S1755" t="s">
        <v>628</v>
      </c>
      <c r="T1755" s="546" t="s">
        <v>804</v>
      </c>
    </row>
    <row r="1756" spans="1:20" x14ac:dyDescent="0.3">
      <c r="A1756" t="s">
        <v>627</v>
      </c>
      <c r="B1756" s="16">
        <v>45452</v>
      </c>
      <c r="C1756" t="s">
        <v>3</v>
      </c>
      <c r="D1756" t="s">
        <v>143</v>
      </c>
      <c r="E1756" t="s">
        <v>180</v>
      </c>
      <c r="F1756">
        <v>22</v>
      </c>
      <c r="G1756">
        <v>22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22</v>
      </c>
      <c r="P1756">
        <f t="shared" si="90"/>
        <v>2024</v>
      </c>
      <c r="Q1756">
        <f t="shared" si="91"/>
        <v>6</v>
      </c>
      <c r="R1756" t="str">
        <f t="shared" si="89"/>
        <v>淘特其他渠道</v>
      </c>
      <c r="S1756" t="s">
        <v>628</v>
      </c>
      <c r="T1756" s="546" t="s">
        <v>804</v>
      </c>
    </row>
    <row r="1757" spans="1:20" x14ac:dyDescent="0.3">
      <c r="A1757" t="s">
        <v>627</v>
      </c>
      <c r="B1757" s="16">
        <v>45452</v>
      </c>
      <c r="C1757" t="s">
        <v>3</v>
      </c>
      <c r="D1757" t="s">
        <v>143</v>
      </c>
      <c r="E1757" t="s">
        <v>181</v>
      </c>
      <c r="F1757">
        <v>1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</v>
      </c>
      <c r="P1757">
        <f t="shared" si="90"/>
        <v>2024</v>
      </c>
      <c r="Q1757">
        <f t="shared" si="91"/>
        <v>6</v>
      </c>
      <c r="R1757" t="str">
        <f t="shared" si="89"/>
        <v>淘特搜索</v>
      </c>
      <c r="S1757" t="s">
        <v>628</v>
      </c>
      <c r="T1757" s="546" t="s">
        <v>804</v>
      </c>
    </row>
    <row r="1758" spans="1:20" x14ac:dyDescent="0.3">
      <c r="A1758" t="s">
        <v>627</v>
      </c>
      <c r="B1758" s="16">
        <v>45452</v>
      </c>
      <c r="C1758" t="s">
        <v>2</v>
      </c>
      <c r="D1758" t="s">
        <v>55</v>
      </c>
      <c r="E1758" t="s">
        <v>66</v>
      </c>
      <c r="F1758">
        <v>1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f t="shared" si="90"/>
        <v>2024</v>
      </c>
      <c r="Q1758">
        <f t="shared" si="91"/>
        <v>6</v>
      </c>
      <c r="R1758" t="str">
        <f t="shared" si="89"/>
        <v>短直联动</v>
      </c>
      <c r="S1758" t="s">
        <v>628</v>
      </c>
      <c r="T1758" s="546" t="s">
        <v>804</v>
      </c>
    </row>
    <row r="1759" spans="1:20" x14ac:dyDescent="0.3">
      <c r="A1759" t="s">
        <v>627</v>
      </c>
      <c r="B1759" s="16">
        <v>45452</v>
      </c>
      <c r="C1759" t="s">
        <v>2</v>
      </c>
      <c r="D1759" t="s">
        <v>55</v>
      </c>
      <c r="E1759" t="s">
        <v>54</v>
      </c>
      <c r="F1759" s="15">
        <v>4866</v>
      </c>
      <c r="G1759" s="15">
        <v>4083</v>
      </c>
      <c r="H1759">
        <v>3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21</v>
      </c>
      <c r="O1759">
        <v>992</v>
      </c>
      <c r="P1759">
        <f t="shared" si="90"/>
        <v>2024</v>
      </c>
      <c r="Q1759">
        <f t="shared" si="91"/>
        <v>6</v>
      </c>
      <c r="R1759" t="str">
        <f t="shared" si="89"/>
        <v>超级直播</v>
      </c>
      <c r="S1759" t="s">
        <v>628</v>
      </c>
      <c r="T1759" s="546" t="s">
        <v>804</v>
      </c>
    </row>
    <row r="1760" spans="1:20" x14ac:dyDescent="0.3">
      <c r="A1760" t="s">
        <v>627</v>
      </c>
      <c r="B1760" s="16">
        <v>45452</v>
      </c>
      <c r="C1760" t="s">
        <v>2</v>
      </c>
      <c r="D1760" t="s">
        <v>55</v>
      </c>
      <c r="E1760" t="s">
        <v>56</v>
      </c>
      <c r="F1760" s="15">
        <v>9669</v>
      </c>
      <c r="G1760" s="15">
        <v>6693</v>
      </c>
      <c r="H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167</v>
      </c>
      <c r="P1760">
        <f t="shared" si="90"/>
        <v>2024</v>
      </c>
      <c r="Q1760">
        <f t="shared" si="91"/>
        <v>6</v>
      </c>
      <c r="R1760" t="str">
        <f t="shared" si="89"/>
        <v>超级短视频</v>
      </c>
      <c r="S1760" t="s">
        <v>628</v>
      </c>
      <c r="T1760" s="546" t="s">
        <v>804</v>
      </c>
    </row>
    <row r="1761" spans="1:20" x14ac:dyDescent="0.3">
      <c r="A1761" t="s">
        <v>627</v>
      </c>
      <c r="B1761" s="16">
        <v>45452</v>
      </c>
      <c r="C1761" t="s">
        <v>2</v>
      </c>
      <c r="D1761" t="s">
        <v>52</v>
      </c>
      <c r="E1761" t="s">
        <v>53</v>
      </c>
      <c r="F1761" s="15">
        <v>1114</v>
      </c>
      <c r="G1761">
        <v>935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 s="15">
        <v>1114</v>
      </c>
      <c r="O1761">
        <v>107</v>
      </c>
      <c r="P1761">
        <f t="shared" si="90"/>
        <v>2024</v>
      </c>
      <c r="Q1761">
        <f t="shared" si="91"/>
        <v>6</v>
      </c>
      <c r="R1761" t="str">
        <f t="shared" si="89"/>
        <v>Showmax</v>
      </c>
      <c r="S1761" t="s">
        <v>628</v>
      </c>
      <c r="T1761" s="546" t="s">
        <v>804</v>
      </c>
    </row>
    <row r="1762" spans="1:20" x14ac:dyDescent="0.3">
      <c r="A1762" t="s">
        <v>627</v>
      </c>
      <c r="B1762" s="16">
        <v>45452</v>
      </c>
      <c r="C1762" t="s">
        <v>2</v>
      </c>
      <c r="D1762" t="s">
        <v>52</v>
      </c>
      <c r="E1762" t="s">
        <v>51</v>
      </c>
      <c r="F1762">
        <v>1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f t="shared" si="90"/>
        <v>2024</v>
      </c>
      <c r="Q1762">
        <f t="shared" si="91"/>
        <v>6</v>
      </c>
      <c r="R1762" t="str">
        <f t="shared" si="89"/>
        <v>品牌定制</v>
      </c>
      <c r="S1762" t="s">
        <v>628</v>
      </c>
      <c r="T1762" s="546" t="s">
        <v>804</v>
      </c>
    </row>
    <row r="1763" spans="1:20" x14ac:dyDescent="0.3">
      <c r="A1763" t="s">
        <v>627</v>
      </c>
      <c r="B1763" s="16">
        <v>45452</v>
      </c>
      <c r="C1763" t="s">
        <v>2</v>
      </c>
      <c r="D1763" t="s">
        <v>52</v>
      </c>
      <c r="E1763" t="s">
        <v>59</v>
      </c>
      <c r="F1763" s="15">
        <v>1546</v>
      </c>
      <c r="G1763" s="15">
        <v>1217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 s="15">
        <v>1546</v>
      </c>
      <c r="O1763">
        <v>228</v>
      </c>
      <c r="P1763">
        <f t="shared" si="90"/>
        <v>2024</v>
      </c>
      <c r="Q1763">
        <f t="shared" si="91"/>
        <v>6</v>
      </c>
      <c r="R1763" t="str">
        <f t="shared" si="89"/>
        <v>品牌特秀</v>
      </c>
      <c r="S1763" t="s">
        <v>628</v>
      </c>
      <c r="T1763" s="546" t="s">
        <v>804</v>
      </c>
    </row>
    <row r="1764" spans="1:20" x14ac:dyDescent="0.3">
      <c r="A1764" t="s">
        <v>627</v>
      </c>
      <c r="B1764" s="16">
        <v>45452</v>
      </c>
      <c r="C1764" t="s">
        <v>2</v>
      </c>
      <c r="D1764" t="s">
        <v>52</v>
      </c>
      <c r="E1764" t="s">
        <v>183</v>
      </c>
      <c r="F1764">
        <v>688</v>
      </c>
      <c r="G1764">
        <v>576</v>
      </c>
      <c r="H1764">
        <v>16</v>
      </c>
      <c r="I1764">
        <v>10</v>
      </c>
      <c r="J1764" s="15">
        <v>53490</v>
      </c>
      <c r="K1764">
        <v>4</v>
      </c>
      <c r="L1764" s="15">
        <v>38545</v>
      </c>
      <c r="M1764">
        <v>3</v>
      </c>
      <c r="N1764">
        <v>688</v>
      </c>
      <c r="O1764">
        <v>341</v>
      </c>
      <c r="P1764">
        <f t="shared" si="90"/>
        <v>2024</v>
      </c>
      <c r="Q1764">
        <f t="shared" si="91"/>
        <v>6</v>
      </c>
      <c r="R1764" t="str">
        <f t="shared" si="89"/>
        <v>品销宝-品牌专区</v>
      </c>
      <c r="S1764" t="s">
        <v>628</v>
      </c>
      <c r="T1764" s="546" t="s">
        <v>804</v>
      </c>
    </row>
    <row r="1765" spans="1:20" x14ac:dyDescent="0.3">
      <c r="A1765" t="s">
        <v>627</v>
      </c>
      <c r="B1765" s="16">
        <v>45452</v>
      </c>
      <c r="C1765" t="s">
        <v>2</v>
      </c>
      <c r="D1765" t="s">
        <v>57</v>
      </c>
      <c r="E1765" t="s">
        <v>65</v>
      </c>
      <c r="F1765" s="15">
        <v>3402</v>
      </c>
      <c r="G1765" s="15">
        <v>2875</v>
      </c>
      <c r="H1765">
        <v>43</v>
      </c>
      <c r="I1765">
        <v>21</v>
      </c>
      <c r="J1765" s="15">
        <v>15849</v>
      </c>
      <c r="K1765">
        <v>4</v>
      </c>
      <c r="L1765" s="15">
        <v>15849</v>
      </c>
      <c r="M1765">
        <v>4</v>
      </c>
      <c r="N1765">
        <v>305</v>
      </c>
      <c r="O1765" s="15">
        <v>3368</v>
      </c>
      <c r="P1765">
        <f t="shared" si="90"/>
        <v>2024</v>
      </c>
      <c r="Q1765">
        <f t="shared" si="91"/>
        <v>6</v>
      </c>
      <c r="R1765" t="str">
        <f t="shared" si="89"/>
        <v>直通车</v>
      </c>
      <c r="S1765" t="s">
        <v>628</v>
      </c>
      <c r="T1765" s="546" t="s">
        <v>804</v>
      </c>
    </row>
    <row r="1766" spans="1:20" x14ac:dyDescent="0.3">
      <c r="A1766" t="s">
        <v>627</v>
      </c>
      <c r="B1766" s="16">
        <v>45452</v>
      </c>
      <c r="C1766" t="s">
        <v>2</v>
      </c>
      <c r="D1766" t="s">
        <v>57</v>
      </c>
      <c r="E1766" t="s">
        <v>63</v>
      </c>
      <c r="F1766" s="15">
        <v>3206</v>
      </c>
      <c r="G1766" s="15">
        <v>2085</v>
      </c>
      <c r="H1766">
        <v>44</v>
      </c>
      <c r="I1766">
        <v>30</v>
      </c>
      <c r="J1766" s="15">
        <v>13670</v>
      </c>
      <c r="K1766">
        <v>4</v>
      </c>
      <c r="L1766" s="15">
        <v>13670</v>
      </c>
      <c r="M1766">
        <v>4</v>
      </c>
      <c r="N1766">
        <v>183</v>
      </c>
      <c r="O1766" s="15">
        <v>3204</v>
      </c>
      <c r="P1766">
        <f t="shared" si="90"/>
        <v>2024</v>
      </c>
      <c r="Q1766">
        <f t="shared" si="91"/>
        <v>6</v>
      </c>
      <c r="R1766" t="str">
        <f t="shared" si="89"/>
        <v>万相台</v>
      </c>
      <c r="S1766" t="s">
        <v>628</v>
      </c>
      <c r="T1766" s="546" t="s">
        <v>804</v>
      </c>
    </row>
    <row r="1767" spans="1:20" x14ac:dyDescent="0.3">
      <c r="A1767" t="s">
        <v>627</v>
      </c>
      <c r="B1767" s="16">
        <v>45452</v>
      </c>
      <c r="C1767" t="s">
        <v>2</v>
      </c>
      <c r="D1767" t="s">
        <v>57</v>
      </c>
      <c r="E1767" t="s">
        <v>64</v>
      </c>
      <c r="F1767" s="15">
        <v>14012</v>
      </c>
      <c r="G1767" s="15">
        <v>8061</v>
      </c>
      <c r="H1767">
        <v>35</v>
      </c>
      <c r="I1767">
        <v>30</v>
      </c>
      <c r="J1767" s="15">
        <v>12390</v>
      </c>
      <c r="K1767">
        <v>3</v>
      </c>
      <c r="L1767" s="15">
        <v>12390</v>
      </c>
      <c r="M1767">
        <v>3</v>
      </c>
      <c r="N1767">
        <v>253</v>
      </c>
      <c r="O1767" s="15">
        <v>14008</v>
      </c>
      <c r="P1767">
        <f t="shared" si="90"/>
        <v>2024</v>
      </c>
      <c r="Q1767">
        <f t="shared" si="91"/>
        <v>6</v>
      </c>
      <c r="R1767" t="str">
        <f t="shared" si="89"/>
        <v>引力魔方</v>
      </c>
      <c r="S1767" t="s">
        <v>628</v>
      </c>
      <c r="T1767" s="546" t="s">
        <v>804</v>
      </c>
    </row>
    <row r="1768" spans="1:20" x14ac:dyDescent="0.3">
      <c r="A1768" t="s">
        <v>627</v>
      </c>
      <c r="B1768" s="16">
        <v>45452</v>
      </c>
      <c r="C1768" t="s">
        <v>2</v>
      </c>
      <c r="D1768" t="s">
        <v>4</v>
      </c>
      <c r="E1768" t="s">
        <v>43</v>
      </c>
      <c r="F1768" s="15">
        <v>1704</v>
      </c>
      <c r="G1768">
        <v>587</v>
      </c>
      <c r="H1768">
        <v>1</v>
      </c>
      <c r="I1768">
        <v>2</v>
      </c>
      <c r="J1768" s="15">
        <v>1677</v>
      </c>
      <c r="K1768">
        <v>1</v>
      </c>
      <c r="L1768" s="15">
        <v>1677</v>
      </c>
      <c r="M1768">
        <v>1</v>
      </c>
      <c r="N1768">
        <v>19</v>
      </c>
      <c r="O1768" s="15">
        <v>1692</v>
      </c>
      <c r="P1768">
        <f t="shared" si="90"/>
        <v>2024</v>
      </c>
      <c r="Q1768">
        <f t="shared" si="91"/>
        <v>6</v>
      </c>
      <c r="R1768" t="str">
        <f t="shared" si="89"/>
        <v>淘宝客</v>
      </c>
      <c r="S1768" t="s">
        <v>628</v>
      </c>
      <c r="T1768" s="546" t="s">
        <v>804</v>
      </c>
    </row>
    <row r="1769" spans="1:20" x14ac:dyDescent="0.3">
      <c r="A1769" t="s">
        <v>627</v>
      </c>
      <c r="B1769" s="16">
        <v>45453</v>
      </c>
      <c r="C1769" t="s">
        <v>3</v>
      </c>
      <c r="D1769" t="s">
        <v>114</v>
      </c>
      <c r="E1769" t="s">
        <v>159</v>
      </c>
      <c r="F1769">
        <v>86</v>
      </c>
      <c r="G1769">
        <v>41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14</v>
      </c>
      <c r="O1769">
        <v>71</v>
      </c>
      <c r="P1769">
        <f t="shared" si="90"/>
        <v>2024</v>
      </c>
      <c r="Q1769">
        <f t="shared" si="91"/>
        <v>6</v>
      </c>
      <c r="R1769" t="str">
        <f t="shared" si="89"/>
        <v>主会场</v>
      </c>
      <c r="S1769" t="s">
        <v>628</v>
      </c>
      <c r="T1769" s="546" t="s">
        <v>804</v>
      </c>
    </row>
    <row r="1770" spans="1:20" x14ac:dyDescent="0.3">
      <c r="A1770" t="s">
        <v>627</v>
      </c>
      <c r="B1770" s="16">
        <v>45453</v>
      </c>
      <c r="C1770" t="s">
        <v>3</v>
      </c>
      <c r="D1770" t="s">
        <v>120</v>
      </c>
      <c r="E1770" t="s">
        <v>163</v>
      </c>
      <c r="F1770">
        <v>63</v>
      </c>
      <c r="G1770">
        <v>33</v>
      </c>
      <c r="H1770">
        <v>1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12</v>
      </c>
      <c r="O1770">
        <v>61</v>
      </c>
      <c r="P1770">
        <f t="shared" si="90"/>
        <v>2024</v>
      </c>
      <c r="Q1770">
        <f t="shared" si="91"/>
        <v>6</v>
      </c>
      <c r="R1770" t="str">
        <f t="shared" si="89"/>
        <v>手猫免费其他</v>
      </c>
      <c r="S1770" t="s">
        <v>628</v>
      </c>
      <c r="T1770" s="546" t="s">
        <v>804</v>
      </c>
    </row>
    <row r="1771" spans="1:20" x14ac:dyDescent="0.3">
      <c r="A1771" t="s">
        <v>627</v>
      </c>
      <c r="B1771" s="16">
        <v>45453</v>
      </c>
      <c r="C1771" t="s">
        <v>3</v>
      </c>
      <c r="D1771" t="s">
        <v>120</v>
      </c>
      <c r="E1771" t="s">
        <v>164</v>
      </c>
      <c r="F1771">
        <v>9</v>
      </c>
      <c r="G1771">
        <v>7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1</v>
      </c>
      <c r="O1771">
        <v>9</v>
      </c>
      <c r="P1771">
        <f t="shared" si="90"/>
        <v>2024</v>
      </c>
      <c r="Q1771">
        <f t="shared" si="91"/>
        <v>6</v>
      </c>
      <c r="R1771" t="str">
        <f t="shared" si="89"/>
        <v>手猫其他店铺</v>
      </c>
      <c r="S1771" t="s">
        <v>628</v>
      </c>
      <c r="T1771" s="546" t="s">
        <v>804</v>
      </c>
    </row>
    <row r="1772" spans="1:20" x14ac:dyDescent="0.3">
      <c r="A1772" t="s">
        <v>627</v>
      </c>
      <c r="B1772" s="16">
        <v>45453</v>
      </c>
      <c r="C1772" t="s">
        <v>3</v>
      </c>
      <c r="D1772" t="s">
        <v>120</v>
      </c>
      <c r="E1772" t="s">
        <v>165</v>
      </c>
      <c r="F1772">
        <v>30</v>
      </c>
      <c r="G1772">
        <v>16</v>
      </c>
      <c r="H1772">
        <v>1</v>
      </c>
      <c r="I1772">
        <v>0</v>
      </c>
      <c r="J1772" s="15">
        <v>1725</v>
      </c>
      <c r="K1772">
        <v>1</v>
      </c>
      <c r="L1772" s="15">
        <v>1725</v>
      </c>
      <c r="M1772">
        <v>1</v>
      </c>
      <c r="N1772">
        <v>3</v>
      </c>
      <c r="O1772">
        <v>28</v>
      </c>
      <c r="P1772">
        <f t="shared" si="90"/>
        <v>2024</v>
      </c>
      <c r="Q1772">
        <f t="shared" si="91"/>
        <v>6</v>
      </c>
      <c r="R1772" t="str">
        <f t="shared" si="89"/>
        <v>手猫商品详情</v>
      </c>
      <c r="S1772" t="s">
        <v>628</v>
      </c>
      <c r="T1772" s="546" t="s">
        <v>804</v>
      </c>
    </row>
    <row r="1773" spans="1:20" x14ac:dyDescent="0.3">
      <c r="A1773" t="s">
        <v>627</v>
      </c>
      <c r="B1773" s="16">
        <v>45453</v>
      </c>
      <c r="C1773" t="s">
        <v>3</v>
      </c>
      <c r="D1773" t="s">
        <v>120</v>
      </c>
      <c r="E1773" t="s">
        <v>166</v>
      </c>
      <c r="F1773">
        <v>83</v>
      </c>
      <c r="G1773">
        <v>55</v>
      </c>
      <c r="H1773">
        <v>0</v>
      </c>
      <c r="I1773">
        <v>0</v>
      </c>
      <c r="J1773" s="15">
        <v>1498</v>
      </c>
      <c r="K1773">
        <v>1</v>
      </c>
      <c r="L1773" s="15">
        <v>1498</v>
      </c>
      <c r="M1773">
        <v>1</v>
      </c>
      <c r="N1773">
        <v>32</v>
      </c>
      <c r="O1773">
        <v>66</v>
      </c>
      <c r="P1773">
        <f t="shared" si="90"/>
        <v>2024</v>
      </c>
      <c r="Q1773">
        <f t="shared" si="91"/>
        <v>6</v>
      </c>
      <c r="R1773" t="str">
        <f t="shared" si="89"/>
        <v>手猫搜索</v>
      </c>
      <c r="S1773" t="s">
        <v>628</v>
      </c>
      <c r="T1773" s="546" t="s">
        <v>804</v>
      </c>
    </row>
    <row r="1774" spans="1:20" x14ac:dyDescent="0.3">
      <c r="A1774" t="s">
        <v>627</v>
      </c>
      <c r="B1774" s="16">
        <v>45453</v>
      </c>
      <c r="C1774" t="s">
        <v>3</v>
      </c>
      <c r="D1774" t="s">
        <v>120</v>
      </c>
      <c r="E1774" t="s">
        <v>167</v>
      </c>
      <c r="F1774">
        <v>1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f t="shared" si="90"/>
        <v>2024</v>
      </c>
      <c r="Q1774">
        <f t="shared" si="91"/>
        <v>6</v>
      </c>
      <c r="R1774" t="str">
        <f t="shared" si="89"/>
        <v>手猫旺信聊天</v>
      </c>
      <c r="S1774" t="s">
        <v>628</v>
      </c>
      <c r="T1774" s="546" t="s">
        <v>804</v>
      </c>
    </row>
    <row r="1775" spans="1:20" x14ac:dyDescent="0.3">
      <c r="A1775" t="s">
        <v>627</v>
      </c>
      <c r="B1775" s="16">
        <v>45453</v>
      </c>
      <c r="C1775" t="s">
        <v>3</v>
      </c>
      <c r="D1775" t="s">
        <v>120</v>
      </c>
      <c r="E1775" t="s">
        <v>168</v>
      </c>
      <c r="F1775">
        <v>364</v>
      </c>
      <c r="G1775">
        <v>206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15</v>
      </c>
      <c r="O1775">
        <v>364</v>
      </c>
      <c r="P1775">
        <f t="shared" si="90"/>
        <v>2024</v>
      </c>
      <c r="Q1775">
        <f t="shared" si="91"/>
        <v>6</v>
      </c>
      <c r="R1775" t="str">
        <f t="shared" si="89"/>
        <v>手猫首页</v>
      </c>
      <c r="S1775" t="s">
        <v>628</v>
      </c>
      <c r="T1775" s="546" t="s">
        <v>804</v>
      </c>
    </row>
    <row r="1776" spans="1:20" x14ac:dyDescent="0.3">
      <c r="A1776" t="s">
        <v>627</v>
      </c>
      <c r="B1776" s="16">
        <v>45453</v>
      </c>
      <c r="C1776" t="s">
        <v>3</v>
      </c>
      <c r="D1776" t="s">
        <v>123</v>
      </c>
      <c r="E1776" t="s">
        <v>169</v>
      </c>
      <c r="F1776">
        <v>232</v>
      </c>
      <c r="G1776">
        <v>122</v>
      </c>
      <c r="H1776">
        <v>9</v>
      </c>
      <c r="I1776">
        <v>2</v>
      </c>
      <c r="J1776" s="15">
        <v>3975</v>
      </c>
      <c r="K1776">
        <v>1</v>
      </c>
      <c r="L1776" s="15">
        <v>3975</v>
      </c>
      <c r="M1776">
        <v>1</v>
      </c>
      <c r="N1776">
        <v>74</v>
      </c>
      <c r="O1776">
        <v>199</v>
      </c>
      <c r="P1776">
        <f t="shared" si="90"/>
        <v>2024</v>
      </c>
      <c r="Q1776">
        <f t="shared" si="91"/>
        <v>6</v>
      </c>
      <c r="R1776" t="str">
        <f t="shared" si="89"/>
        <v>商品详情页头图推荐</v>
      </c>
      <c r="S1776" t="s">
        <v>628</v>
      </c>
      <c r="T1776" s="546" t="s">
        <v>804</v>
      </c>
    </row>
    <row r="1777" spans="1:20" x14ac:dyDescent="0.3">
      <c r="A1777" t="s">
        <v>627</v>
      </c>
      <c r="B1777" s="16">
        <v>45453</v>
      </c>
      <c r="C1777" t="s">
        <v>3</v>
      </c>
      <c r="D1777" t="s">
        <v>123</v>
      </c>
      <c r="E1777" t="s">
        <v>170</v>
      </c>
      <c r="F1777">
        <v>20</v>
      </c>
      <c r="G1777">
        <v>12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16</v>
      </c>
      <c r="O1777">
        <v>9</v>
      </c>
      <c r="P1777">
        <f t="shared" si="90"/>
        <v>2024</v>
      </c>
      <c r="Q1777">
        <f t="shared" si="91"/>
        <v>6</v>
      </c>
      <c r="R1777" t="str">
        <f t="shared" si="89"/>
        <v>店铺超链</v>
      </c>
      <c r="S1777" t="s">
        <v>628</v>
      </c>
      <c r="T1777" s="546" t="s">
        <v>804</v>
      </c>
    </row>
    <row r="1778" spans="1:20" x14ac:dyDescent="0.3">
      <c r="A1778" t="s">
        <v>627</v>
      </c>
      <c r="B1778" s="16">
        <v>45453</v>
      </c>
      <c r="C1778" t="s">
        <v>3</v>
      </c>
      <c r="D1778" t="s">
        <v>127</v>
      </c>
      <c r="E1778" t="s">
        <v>171</v>
      </c>
      <c r="F1778">
        <v>137</v>
      </c>
      <c r="G1778">
        <v>72</v>
      </c>
      <c r="H1778">
        <v>2</v>
      </c>
      <c r="I1778">
        <v>1</v>
      </c>
      <c r="J1778" s="15">
        <v>4494</v>
      </c>
      <c r="K1778">
        <v>1</v>
      </c>
      <c r="L1778" s="15">
        <v>1498</v>
      </c>
      <c r="M1778">
        <v>1</v>
      </c>
      <c r="N1778">
        <v>47</v>
      </c>
      <c r="O1778">
        <v>108</v>
      </c>
      <c r="P1778">
        <f t="shared" si="90"/>
        <v>2024</v>
      </c>
      <c r="Q1778">
        <f t="shared" si="91"/>
        <v>6</v>
      </c>
      <c r="R1778" t="str">
        <f t="shared" si="89"/>
        <v>其他猜你喜欢</v>
      </c>
      <c r="S1778" t="s">
        <v>628</v>
      </c>
      <c r="T1778" s="546" t="s">
        <v>804</v>
      </c>
    </row>
    <row r="1779" spans="1:20" x14ac:dyDescent="0.3">
      <c r="A1779" t="s">
        <v>627</v>
      </c>
      <c r="B1779" s="16">
        <v>45453</v>
      </c>
      <c r="C1779" t="s">
        <v>3</v>
      </c>
      <c r="D1779" t="s">
        <v>127</v>
      </c>
      <c r="E1779" t="s">
        <v>172</v>
      </c>
      <c r="F1779">
        <v>1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1</v>
      </c>
      <c r="P1779">
        <f t="shared" si="90"/>
        <v>2024</v>
      </c>
      <c r="Q1779">
        <f t="shared" si="91"/>
        <v>6</v>
      </c>
      <c r="R1779" t="str">
        <f t="shared" si="89"/>
        <v>购中推荐</v>
      </c>
      <c r="S1779" t="s">
        <v>628</v>
      </c>
      <c r="T1779" s="546" t="s">
        <v>804</v>
      </c>
    </row>
    <row r="1780" spans="1:20" x14ac:dyDescent="0.3">
      <c r="A1780" t="s">
        <v>627</v>
      </c>
      <c r="B1780" s="16">
        <v>45453</v>
      </c>
      <c r="C1780" t="s">
        <v>3</v>
      </c>
      <c r="D1780" t="s">
        <v>127</v>
      </c>
      <c r="E1780" t="s">
        <v>173</v>
      </c>
      <c r="F1780">
        <v>21</v>
      </c>
      <c r="G1780">
        <v>12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2</v>
      </c>
      <c r="O1780">
        <v>21</v>
      </c>
      <c r="P1780">
        <f t="shared" si="90"/>
        <v>2024</v>
      </c>
      <c r="Q1780">
        <f t="shared" si="91"/>
        <v>6</v>
      </c>
      <c r="R1780" t="str">
        <f t="shared" si="89"/>
        <v>购后推荐</v>
      </c>
      <c r="S1780" t="s">
        <v>628</v>
      </c>
      <c r="T1780" s="546" t="s">
        <v>804</v>
      </c>
    </row>
    <row r="1781" spans="1:20" x14ac:dyDescent="0.3">
      <c r="A1781" t="s">
        <v>627</v>
      </c>
      <c r="B1781" s="16">
        <v>45453</v>
      </c>
      <c r="C1781" t="s">
        <v>3</v>
      </c>
      <c r="D1781" t="s">
        <v>127</v>
      </c>
      <c r="E1781" t="s">
        <v>174</v>
      </c>
      <c r="F1781" s="15">
        <v>1795</v>
      </c>
      <c r="G1781" s="15">
        <v>1058</v>
      </c>
      <c r="H1781">
        <v>30</v>
      </c>
      <c r="I1781">
        <v>17</v>
      </c>
      <c r="J1781" s="17">
        <v>9882.5</v>
      </c>
      <c r="K1781">
        <v>3</v>
      </c>
      <c r="L1781" s="17">
        <v>6886.5</v>
      </c>
      <c r="M1781">
        <v>3</v>
      </c>
      <c r="N1781">
        <v>146</v>
      </c>
      <c r="O1781" s="15">
        <v>1795</v>
      </c>
      <c r="P1781">
        <f t="shared" si="90"/>
        <v>2024</v>
      </c>
      <c r="Q1781">
        <f t="shared" si="91"/>
        <v>6</v>
      </c>
      <c r="R1781" t="str">
        <f t="shared" si="89"/>
        <v>首页推荐-微详情</v>
      </c>
      <c r="S1781" t="s">
        <v>628</v>
      </c>
      <c r="T1781" s="546" t="s">
        <v>804</v>
      </c>
    </row>
    <row r="1782" spans="1:20" x14ac:dyDescent="0.3">
      <c r="A1782" t="s">
        <v>627</v>
      </c>
      <c r="B1782" s="16">
        <v>45453</v>
      </c>
      <c r="C1782" t="s">
        <v>3</v>
      </c>
      <c r="D1782" t="s">
        <v>127</v>
      </c>
      <c r="E1782" t="s">
        <v>175</v>
      </c>
      <c r="F1782">
        <v>44</v>
      </c>
      <c r="G1782">
        <v>9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2</v>
      </c>
      <c r="P1782">
        <f t="shared" si="90"/>
        <v>2024</v>
      </c>
      <c r="Q1782">
        <f t="shared" si="91"/>
        <v>6</v>
      </c>
      <c r="R1782" t="str">
        <f t="shared" si="89"/>
        <v>首页推荐-直播</v>
      </c>
      <c r="S1782" t="s">
        <v>628</v>
      </c>
      <c r="T1782" s="546" t="s">
        <v>804</v>
      </c>
    </row>
    <row r="1783" spans="1:20" x14ac:dyDescent="0.3">
      <c r="A1783" t="s">
        <v>627</v>
      </c>
      <c r="B1783" s="16">
        <v>45453</v>
      </c>
      <c r="C1783" t="s">
        <v>3</v>
      </c>
      <c r="D1783" t="s">
        <v>127</v>
      </c>
      <c r="E1783" t="s">
        <v>176</v>
      </c>
      <c r="F1783">
        <v>100</v>
      </c>
      <c r="G1783">
        <v>48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f t="shared" si="90"/>
        <v>2024</v>
      </c>
      <c r="Q1783">
        <f t="shared" si="91"/>
        <v>6</v>
      </c>
      <c r="R1783" t="str">
        <f t="shared" si="89"/>
        <v>首页推荐-短视频</v>
      </c>
      <c r="S1783" t="s">
        <v>628</v>
      </c>
      <c r="T1783" s="546" t="s">
        <v>804</v>
      </c>
    </row>
    <row r="1784" spans="1:20" x14ac:dyDescent="0.3">
      <c r="A1784" t="s">
        <v>627</v>
      </c>
      <c r="B1784" s="16">
        <v>45453</v>
      </c>
      <c r="C1784" t="s">
        <v>3</v>
      </c>
      <c r="D1784" t="s">
        <v>128</v>
      </c>
      <c r="E1784" t="s">
        <v>177</v>
      </c>
      <c r="F1784">
        <v>872</v>
      </c>
      <c r="G1784">
        <v>692</v>
      </c>
      <c r="H1784">
        <v>31</v>
      </c>
      <c r="I1784">
        <v>15</v>
      </c>
      <c r="J1784" s="17">
        <v>25428.5</v>
      </c>
      <c r="K1784">
        <v>11</v>
      </c>
      <c r="L1784" s="17">
        <v>17183.5</v>
      </c>
      <c r="M1784">
        <v>9</v>
      </c>
      <c r="N1784">
        <v>253</v>
      </c>
      <c r="O1784">
        <v>784</v>
      </c>
      <c r="P1784">
        <f t="shared" si="90"/>
        <v>2024</v>
      </c>
      <c r="Q1784">
        <f t="shared" si="91"/>
        <v>6</v>
      </c>
      <c r="R1784" t="str">
        <f t="shared" si="89"/>
        <v>手淘搜索-商品及其他</v>
      </c>
      <c r="S1784" t="s">
        <v>628</v>
      </c>
      <c r="T1784" s="546" t="s">
        <v>804</v>
      </c>
    </row>
    <row r="1785" spans="1:20" x14ac:dyDescent="0.3">
      <c r="A1785" t="s">
        <v>627</v>
      </c>
      <c r="B1785" s="16">
        <v>45453</v>
      </c>
      <c r="C1785" t="s">
        <v>3</v>
      </c>
      <c r="D1785" t="s">
        <v>128</v>
      </c>
      <c r="E1785" t="s">
        <v>179</v>
      </c>
      <c r="F1785">
        <v>23</v>
      </c>
      <c r="G1785">
        <v>10</v>
      </c>
      <c r="H1785">
        <v>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3</v>
      </c>
      <c r="O1785">
        <v>4</v>
      </c>
      <c r="P1785">
        <f t="shared" si="90"/>
        <v>2024</v>
      </c>
      <c r="Q1785">
        <f t="shared" si="91"/>
        <v>6</v>
      </c>
      <c r="R1785" t="str">
        <f t="shared" si="89"/>
        <v>手淘搜索-短视频</v>
      </c>
      <c r="S1785" t="s">
        <v>628</v>
      </c>
      <c r="T1785" s="546" t="s">
        <v>804</v>
      </c>
    </row>
    <row r="1786" spans="1:20" x14ac:dyDescent="0.3">
      <c r="A1786" t="s">
        <v>627</v>
      </c>
      <c r="B1786" s="16">
        <v>45453</v>
      </c>
      <c r="C1786" t="s">
        <v>3</v>
      </c>
      <c r="D1786" t="s">
        <v>143</v>
      </c>
      <c r="E1786" t="s">
        <v>180</v>
      </c>
      <c r="F1786">
        <v>10</v>
      </c>
      <c r="G1786">
        <v>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10</v>
      </c>
      <c r="P1786">
        <f t="shared" si="90"/>
        <v>2024</v>
      </c>
      <c r="Q1786">
        <f t="shared" si="91"/>
        <v>6</v>
      </c>
      <c r="R1786" t="str">
        <f t="shared" si="89"/>
        <v>淘特其他渠道</v>
      </c>
      <c r="S1786" t="s">
        <v>628</v>
      </c>
      <c r="T1786" s="546" t="s">
        <v>804</v>
      </c>
    </row>
    <row r="1787" spans="1:20" x14ac:dyDescent="0.3">
      <c r="A1787" t="s">
        <v>627</v>
      </c>
      <c r="B1787" s="16">
        <v>45453</v>
      </c>
      <c r="C1787" t="s">
        <v>3</v>
      </c>
      <c r="D1787" t="s">
        <v>143</v>
      </c>
      <c r="E1787" t="s">
        <v>181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1</v>
      </c>
      <c r="P1787">
        <f t="shared" si="90"/>
        <v>2024</v>
      </c>
      <c r="Q1787">
        <f t="shared" si="91"/>
        <v>6</v>
      </c>
      <c r="R1787" t="str">
        <f t="shared" si="89"/>
        <v>淘特搜索</v>
      </c>
      <c r="S1787" t="s">
        <v>628</v>
      </c>
      <c r="T1787" s="546" t="s">
        <v>804</v>
      </c>
    </row>
    <row r="1788" spans="1:20" x14ac:dyDescent="0.3">
      <c r="A1788" t="s">
        <v>627</v>
      </c>
      <c r="B1788" s="16">
        <v>45453</v>
      </c>
      <c r="C1788" t="s">
        <v>2</v>
      </c>
      <c r="D1788" t="s">
        <v>55</v>
      </c>
      <c r="E1788" t="s">
        <v>54</v>
      </c>
      <c r="F1788">
        <v>16</v>
      </c>
      <c r="G1788">
        <v>9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11</v>
      </c>
      <c r="P1788">
        <f t="shared" si="90"/>
        <v>2024</v>
      </c>
      <c r="Q1788">
        <f t="shared" si="91"/>
        <v>6</v>
      </c>
      <c r="R1788" t="str">
        <f t="shared" si="89"/>
        <v>超级直播</v>
      </c>
      <c r="S1788" t="s">
        <v>628</v>
      </c>
      <c r="T1788" s="546" t="s">
        <v>804</v>
      </c>
    </row>
    <row r="1789" spans="1:20" x14ac:dyDescent="0.3">
      <c r="A1789" t="s">
        <v>627</v>
      </c>
      <c r="B1789" s="16">
        <v>45453</v>
      </c>
      <c r="C1789" t="s">
        <v>2</v>
      </c>
      <c r="D1789" t="s">
        <v>55</v>
      </c>
      <c r="E1789" t="s">
        <v>56</v>
      </c>
      <c r="F1789" s="15">
        <v>11228</v>
      </c>
      <c r="G1789" s="15">
        <v>7099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2</v>
      </c>
      <c r="O1789">
        <v>193</v>
      </c>
      <c r="P1789">
        <f t="shared" si="90"/>
        <v>2024</v>
      </c>
      <c r="Q1789">
        <f t="shared" si="91"/>
        <v>6</v>
      </c>
      <c r="R1789" t="str">
        <f t="shared" si="89"/>
        <v>超级短视频</v>
      </c>
      <c r="S1789" t="s">
        <v>628</v>
      </c>
      <c r="T1789" s="546" t="s">
        <v>804</v>
      </c>
    </row>
    <row r="1790" spans="1:20" x14ac:dyDescent="0.3">
      <c r="A1790" t="s">
        <v>627</v>
      </c>
      <c r="B1790" s="16">
        <v>45453</v>
      </c>
      <c r="C1790" t="s">
        <v>2</v>
      </c>
      <c r="D1790" t="s">
        <v>52</v>
      </c>
      <c r="E1790" t="s">
        <v>53</v>
      </c>
      <c r="F1790">
        <v>980</v>
      </c>
      <c r="G1790">
        <v>799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980</v>
      </c>
      <c r="O1790">
        <v>91</v>
      </c>
      <c r="P1790">
        <f t="shared" si="90"/>
        <v>2024</v>
      </c>
      <c r="Q1790">
        <f t="shared" si="91"/>
        <v>6</v>
      </c>
      <c r="R1790" t="str">
        <f t="shared" si="89"/>
        <v>Showmax</v>
      </c>
      <c r="S1790" t="s">
        <v>628</v>
      </c>
      <c r="T1790" s="546" t="s">
        <v>804</v>
      </c>
    </row>
    <row r="1791" spans="1:20" x14ac:dyDescent="0.3">
      <c r="A1791" t="s">
        <v>627</v>
      </c>
      <c r="B1791" s="16">
        <v>45453</v>
      </c>
      <c r="C1791" t="s">
        <v>2</v>
      </c>
      <c r="D1791" t="s">
        <v>52</v>
      </c>
      <c r="E1791" t="s">
        <v>59</v>
      </c>
      <c r="F1791" s="15">
        <v>1602</v>
      </c>
      <c r="G1791" s="15">
        <v>1267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 s="15">
        <v>1602</v>
      </c>
      <c r="O1791">
        <v>256</v>
      </c>
      <c r="P1791">
        <f t="shared" si="90"/>
        <v>2024</v>
      </c>
      <c r="Q1791">
        <f t="shared" si="91"/>
        <v>6</v>
      </c>
      <c r="R1791" t="str">
        <f t="shared" si="89"/>
        <v>品牌特秀</v>
      </c>
      <c r="S1791" t="s">
        <v>628</v>
      </c>
      <c r="T1791" s="546" t="s">
        <v>804</v>
      </c>
    </row>
    <row r="1792" spans="1:20" x14ac:dyDescent="0.3">
      <c r="A1792" t="s">
        <v>627</v>
      </c>
      <c r="B1792" s="16">
        <v>45453</v>
      </c>
      <c r="C1792" t="s">
        <v>2</v>
      </c>
      <c r="D1792" t="s">
        <v>52</v>
      </c>
      <c r="E1792" t="s">
        <v>183</v>
      </c>
      <c r="F1792">
        <v>898</v>
      </c>
      <c r="G1792">
        <v>785</v>
      </c>
      <c r="H1792">
        <v>21</v>
      </c>
      <c r="I1792">
        <v>5</v>
      </c>
      <c r="J1792" s="15">
        <v>7905</v>
      </c>
      <c r="K1792">
        <v>2</v>
      </c>
      <c r="L1792" s="15">
        <v>7905</v>
      </c>
      <c r="M1792">
        <v>2</v>
      </c>
      <c r="N1792">
        <v>898</v>
      </c>
      <c r="O1792">
        <v>428</v>
      </c>
      <c r="P1792">
        <f t="shared" si="90"/>
        <v>2024</v>
      </c>
      <c r="Q1792">
        <f t="shared" si="91"/>
        <v>6</v>
      </c>
      <c r="R1792" t="str">
        <f t="shared" si="89"/>
        <v>品销宝-品牌专区</v>
      </c>
      <c r="S1792" t="s">
        <v>628</v>
      </c>
      <c r="T1792" s="546" t="s">
        <v>804</v>
      </c>
    </row>
    <row r="1793" spans="1:20" x14ac:dyDescent="0.3">
      <c r="A1793" t="s">
        <v>627</v>
      </c>
      <c r="B1793" s="16">
        <v>45453</v>
      </c>
      <c r="C1793" t="s">
        <v>2</v>
      </c>
      <c r="D1793" t="s">
        <v>57</v>
      </c>
      <c r="E1793" t="s">
        <v>65</v>
      </c>
      <c r="F1793" s="15">
        <v>2705</v>
      </c>
      <c r="G1793" s="15">
        <v>2241</v>
      </c>
      <c r="H1793">
        <v>47</v>
      </c>
      <c r="I1793">
        <v>26</v>
      </c>
      <c r="J1793" s="15">
        <v>17597</v>
      </c>
      <c r="K1793">
        <v>6</v>
      </c>
      <c r="L1793" s="15">
        <v>9351</v>
      </c>
      <c r="M1793">
        <v>5</v>
      </c>
      <c r="N1793">
        <v>239</v>
      </c>
      <c r="O1793" s="15">
        <v>2678</v>
      </c>
      <c r="P1793">
        <f t="shared" si="90"/>
        <v>2024</v>
      </c>
      <c r="Q1793">
        <f t="shared" si="91"/>
        <v>6</v>
      </c>
      <c r="R1793" t="str">
        <f t="shared" si="89"/>
        <v>直通车</v>
      </c>
      <c r="S1793" t="s">
        <v>628</v>
      </c>
      <c r="T1793" s="546" t="s">
        <v>804</v>
      </c>
    </row>
    <row r="1794" spans="1:20" x14ac:dyDescent="0.3">
      <c r="A1794" t="s">
        <v>627</v>
      </c>
      <c r="B1794" s="16">
        <v>45453</v>
      </c>
      <c r="C1794" t="s">
        <v>2</v>
      </c>
      <c r="D1794" t="s">
        <v>57</v>
      </c>
      <c r="E1794" t="s">
        <v>63</v>
      </c>
      <c r="F1794" s="15">
        <v>3032</v>
      </c>
      <c r="G1794" s="15">
        <v>1939</v>
      </c>
      <c r="H1794">
        <v>33</v>
      </c>
      <c r="I1794">
        <v>42</v>
      </c>
      <c r="J1794" s="17">
        <v>44141.2</v>
      </c>
      <c r="K1794">
        <v>11</v>
      </c>
      <c r="L1794" s="17">
        <v>27266.2</v>
      </c>
      <c r="M1794">
        <v>8</v>
      </c>
      <c r="N1794">
        <v>181</v>
      </c>
      <c r="O1794" s="15">
        <v>3030</v>
      </c>
      <c r="P1794">
        <f t="shared" si="90"/>
        <v>2024</v>
      </c>
      <c r="Q1794">
        <f t="shared" si="91"/>
        <v>6</v>
      </c>
      <c r="R1794" t="str">
        <f t="shared" si="89"/>
        <v>万相台</v>
      </c>
      <c r="S1794" t="s">
        <v>628</v>
      </c>
      <c r="T1794" s="546" t="s">
        <v>804</v>
      </c>
    </row>
    <row r="1795" spans="1:20" x14ac:dyDescent="0.3">
      <c r="A1795" t="s">
        <v>627</v>
      </c>
      <c r="B1795" s="16">
        <v>45453</v>
      </c>
      <c r="C1795" t="s">
        <v>2</v>
      </c>
      <c r="D1795" t="s">
        <v>57</v>
      </c>
      <c r="E1795" t="s">
        <v>64</v>
      </c>
      <c r="F1795" s="15">
        <v>13177</v>
      </c>
      <c r="G1795" s="15">
        <v>7210</v>
      </c>
      <c r="H1795">
        <v>32</v>
      </c>
      <c r="I1795">
        <v>29</v>
      </c>
      <c r="J1795" s="17">
        <v>10665.5</v>
      </c>
      <c r="K1795">
        <v>3</v>
      </c>
      <c r="L1795" s="17">
        <v>10665.5</v>
      </c>
      <c r="M1795">
        <v>3</v>
      </c>
      <c r="N1795">
        <v>293</v>
      </c>
      <c r="O1795" s="15">
        <v>13171</v>
      </c>
      <c r="P1795">
        <f t="shared" si="90"/>
        <v>2024</v>
      </c>
      <c r="Q1795">
        <f t="shared" si="91"/>
        <v>6</v>
      </c>
      <c r="R1795" t="str">
        <f t="shared" si="89"/>
        <v>引力魔方</v>
      </c>
      <c r="S1795" t="s">
        <v>628</v>
      </c>
      <c r="T1795" s="546" t="s">
        <v>804</v>
      </c>
    </row>
    <row r="1796" spans="1:20" x14ac:dyDescent="0.3">
      <c r="A1796" t="s">
        <v>627</v>
      </c>
      <c r="B1796" s="16">
        <v>45453</v>
      </c>
      <c r="C1796" t="s">
        <v>2</v>
      </c>
      <c r="D1796" t="s">
        <v>4</v>
      </c>
      <c r="E1796" t="s">
        <v>43</v>
      </c>
      <c r="F1796" s="15">
        <v>1871</v>
      </c>
      <c r="G1796">
        <v>561</v>
      </c>
      <c r="H1796">
        <v>1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29</v>
      </c>
      <c r="O1796" s="15">
        <v>1863</v>
      </c>
      <c r="P1796">
        <f t="shared" si="90"/>
        <v>2024</v>
      </c>
      <c r="Q1796">
        <f t="shared" si="91"/>
        <v>6</v>
      </c>
      <c r="R1796" t="str">
        <f t="shared" si="89"/>
        <v>淘宝客</v>
      </c>
      <c r="S1796" t="s">
        <v>628</v>
      </c>
      <c r="T1796" s="546" t="s">
        <v>804</v>
      </c>
    </row>
    <row r="1797" spans="1:20" x14ac:dyDescent="0.3">
      <c r="A1797" t="s">
        <v>627</v>
      </c>
      <c r="B1797" s="16">
        <v>45454</v>
      </c>
      <c r="C1797" t="s">
        <v>3</v>
      </c>
      <c r="D1797" t="s">
        <v>114</v>
      </c>
      <c r="E1797" t="s">
        <v>159</v>
      </c>
      <c r="F1797">
        <v>75</v>
      </c>
      <c r="G1797">
        <v>38</v>
      </c>
      <c r="H1797">
        <v>1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12</v>
      </c>
      <c r="O1797">
        <v>67</v>
      </c>
      <c r="P1797">
        <f t="shared" si="90"/>
        <v>2024</v>
      </c>
      <c r="Q1797">
        <f t="shared" si="91"/>
        <v>6</v>
      </c>
      <c r="R1797" t="str">
        <f t="shared" si="89"/>
        <v>主会场</v>
      </c>
      <c r="S1797" t="s">
        <v>628</v>
      </c>
      <c r="T1797" s="546" t="s">
        <v>804</v>
      </c>
    </row>
    <row r="1798" spans="1:20" x14ac:dyDescent="0.3">
      <c r="A1798" t="s">
        <v>627</v>
      </c>
      <c r="B1798" s="16">
        <v>45454</v>
      </c>
      <c r="C1798" t="s">
        <v>3</v>
      </c>
      <c r="D1798" t="s">
        <v>114</v>
      </c>
      <c r="E1798" t="s">
        <v>160</v>
      </c>
      <c r="F1798">
        <v>2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2</v>
      </c>
      <c r="P1798">
        <f t="shared" si="90"/>
        <v>2024</v>
      </c>
      <c r="Q1798">
        <f t="shared" si="91"/>
        <v>6</v>
      </c>
      <c r="R1798" t="str">
        <f t="shared" si="89"/>
        <v>榜单会场</v>
      </c>
      <c r="S1798" t="s">
        <v>628</v>
      </c>
      <c r="T1798" s="546" t="s">
        <v>804</v>
      </c>
    </row>
    <row r="1799" spans="1:20" x14ac:dyDescent="0.3">
      <c r="A1799" t="s">
        <v>627</v>
      </c>
      <c r="B1799" s="16">
        <v>45454</v>
      </c>
      <c r="C1799" t="s">
        <v>3</v>
      </c>
      <c r="D1799" t="s">
        <v>117</v>
      </c>
      <c r="E1799" t="s">
        <v>191</v>
      </c>
      <c r="F1799">
        <v>1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</v>
      </c>
      <c r="P1799">
        <f t="shared" si="90"/>
        <v>2024</v>
      </c>
      <c r="Q1799">
        <f t="shared" si="91"/>
        <v>6</v>
      </c>
      <c r="R1799" t="str">
        <f t="shared" ref="R1799:R1862" si="92">E1799</f>
        <v>商品详情页入口榜单</v>
      </c>
      <c r="S1799" t="s">
        <v>628</v>
      </c>
      <c r="T1799" s="546" t="s">
        <v>804</v>
      </c>
    </row>
    <row r="1800" spans="1:20" x14ac:dyDescent="0.3">
      <c r="A1800" t="s">
        <v>627</v>
      </c>
      <c r="B1800" s="16">
        <v>45454</v>
      </c>
      <c r="C1800" t="s">
        <v>3</v>
      </c>
      <c r="D1800" t="s">
        <v>120</v>
      </c>
      <c r="E1800" t="s">
        <v>162</v>
      </c>
      <c r="F1800">
        <v>2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1</v>
      </c>
      <c r="P1800">
        <f t="shared" si="90"/>
        <v>2024</v>
      </c>
      <c r="Q1800">
        <f t="shared" si="91"/>
        <v>6</v>
      </c>
      <c r="R1800" t="str">
        <f t="shared" si="92"/>
        <v>手机浏览器访问天猫</v>
      </c>
      <c r="S1800" t="s">
        <v>628</v>
      </c>
      <c r="T1800" s="546" t="s">
        <v>804</v>
      </c>
    </row>
    <row r="1801" spans="1:20" x14ac:dyDescent="0.3">
      <c r="A1801" t="s">
        <v>627</v>
      </c>
      <c r="B1801" s="16">
        <v>45454</v>
      </c>
      <c r="C1801" t="s">
        <v>3</v>
      </c>
      <c r="D1801" t="s">
        <v>120</v>
      </c>
      <c r="E1801" t="s">
        <v>163</v>
      </c>
      <c r="F1801">
        <v>65</v>
      </c>
      <c r="G1801">
        <v>28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17</v>
      </c>
      <c r="O1801">
        <v>63</v>
      </c>
      <c r="P1801">
        <f t="shared" si="90"/>
        <v>2024</v>
      </c>
      <c r="Q1801">
        <f t="shared" si="91"/>
        <v>6</v>
      </c>
      <c r="R1801" t="str">
        <f t="shared" si="92"/>
        <v>手猫免费其他</v>
      </c>
      <c r="S1801" t="s">
        <v>628</v>
      </c>
      <c r="T1801" s="546" t="s">
        <v>804</v>
      </c>
    </row>
    <row r="1802" spans="1:20" x14ac:dyDescent="0.3">
      <c r="A1802" t="s">
        <v>627</v>
      </c>
      <c r="B1802" s="16">
        <v>45454</v>
      </c>
      <c r="C1802" t="s">
        <v>3</v>
      </c>
      <c r="D1802" t="s">
        <v>120</v>
      </c>
      <c r="E1802" t="s">
        <v>164</v>
      </c>
      <c r="F1802">
        <v>6</v>
      </c>
      <c r="G1802">
        <v>2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6</v>
      </c>
      <c r="P1802">
        <f t="shared" si="90"/>
        <v>2024</v>
      </c>
      <c r="Q1802">
        <f t="shared" si="91"/>
        <v>6</v>
      </c>
      <c r="R1802" t="str">
        <f t="shared" si="92"/>
        <v>手猫其他店铺</v>
      </c>
      <c r="S1802" t="s">
        <v>628</v>
      </c>
      <c r="T1802" s="546" t="s">
        <v>804</v>
      </c>
    </row>
    <row r="1803" spans="1:20" x14ac:dyDescent="0.3">
      <c r="A1803" t="s">
        <v>627</v>
      </c>
      <c r="B1803" s="16">
        <v>45454</v>
      </c>
      <c r="C1803" t="s">
        <v>3</v>
      </c>
      <c r="D1803" t="s">
        <v>120</v>
      </c>
      <c r="E1803" t="s">
        <v>165</v>
      </c>
      <c r="F1803">
        <v>26</v>
      </c>
      <c r="G1803">
        <v>8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3</v>
      </c>
      <c r="O1803">
        <v>25</v>
      </c>
      <c r="P1803">
        <f t="shared" si="90"/>
        <v>2024</v>
      </c>
      <c r="Q1803">
        <f t="shared" si="91"/>
        <v>6</v>
      </c>
      <c r="R1803" t="str">
        <f t="shared" si="92"/>
        <v>手猫商品详情</v>
      </c>
      <c r="S1803" t="s">
        <v>628</v>
      </c>
      <c r="T1803" s="546" t="s">
        <v>804</v>
      </c>
    </row>
    <row r="1804" spans="1:20" x14ac:dyDescent="0.3">
      <c r="A1804" t="s">
        <v>627</v>
      </c>
      <c r="B1804" s="16">
        <v>45454</v>
      </c>
      <c r="C1804" t="s">
        <v>3</v>
      </c>
      <c r="D1804" t="s">
        <v>120</v>
      </c>
      <c r="E1804" t="s">
        <v>166</v>
      </c>
      <c r="F1804">
        <v>58</v>
      </c>
      <c r="G1804">
        <v>35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20</v>
      </c>
      <c r="O1804">
        <v>57</v>
      </c>
      <c r="P1804">
        <f t="shared" si="90"/>
        <v>2024</v>
      </c>
      <c r="Q1804">
        <f t="shared" si="91"/>
        <v>6</v>
      </c>
      <c r="R1804" t="str">
        <f t="shared" si="92"/>
        <v>手猫搜索</v>
      </c>
      <c r="S1804" t="s">
        <v>628</v>
      </c>
      <c r="T1804" s="546" t="s">
        <v>804</v>
      </c>
    </row>
    <row r="1805" spans="1:20" x14ac:dyDescent="0.3">
      <c r="A1805" t="s">
        <v>627</v>
      </c>
      <c r="B1805" s="16">
        <v>45454</v>
      </c>
      <c r="C1805" t="s">
        <v>3</v>
      </c>
      <c r="D1805" t="s">
        <v>120</v>
      </c>
      <c r="E1805" t="s">
        <v>167</v>
      </c>
      <c r="F1805">
        <v>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1</v>
      </c>
      <c r="O1805">
        <v>0</v>
      </c>
      <c r="P1805">
        <f t="shared" si="90"/>
        <v>2024</v>
      </c>
      <c r="Q1805">
        <f t="shared" si="91"/>
        <v>6</v>
      </c>
      <c r="R1805" t="str">
        <f t="shared" si="92"/>
        <v>手猫旺信聊天</v>
      </c>
      <c r="S1805" t="s">
        <v>628</v>
      </c>
      <c r="T1805" s="546" t="s">
        <v>804</v>
      </c>
    </row>
    <row r="1806" spans="1:20" x14ac:dyDescent="0.3">
      <c r="A1806" t="s">
        <v>627</v>
      </c>
      <c r="B1806" s="16">
        <v>45454</v>
      </c>
      <c r="C1806" t="s">
        <v>3</v>
      </c>
      <c r="D1806" t="s">
        <v>120</v>
      </c>
      <c r="E1806" t="s">
        <v>168</v>
      </c>
      <c r="F1806">
        <v>329</v>
      </c>
      <c r="G1806">
        <v>190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11</v>
      </c>
      <c r="O1806">
        <v>329</v>
      </c>
      <c r="P1806">
        <f t="shared" si="90"/>
        <v>2024</v>
      </c>
      <c r="Q1806">
        <f t="shared" si="91"/>
        <v>6</v>
      </c>
      <c r="R1806" t="str">
        <f t="shared" si="92"/>
        <v>手猫首页</v>
      </c>
      <c r="S1806" t="s">
        <v>628</v>
      </c>
      <c r="T1806" s="546" t="s">
        <v>804</v>
      </c>
    </row>
    <row r="1807" spans="1:20" x14ac:dyDescent="0.3">
      <c r="A1807" t="s">
        <v>627</v>
      </c>
      <c r="B1807" s="16">
        <v>45454</v>
      </c>
      <c r="C1807" t="s">
        <v>3</v>
      </c>
      <c r="D1807" t="s">
        <v>123</v>
      </c>
      <c r="E1807" t="s">
        <v>169</v>
      </c>
      <c r="F1807">
        <v>258</v>
      </c>
      <c r="G1807">
        <v>144</v>
      </c>
      <c r="H1807">
        <v>6</v>
      </c>
      <c r="I1807">
        <v>2</v>
      </c>
      <c r="J1807">
        <v>0</v>
      </c>
      <c r="K1807">
        <v>0</v>
      </c>
      <c r="L1807">
        <v>0</v>
      </c>
      <c r="M1807">
        <v>0</v>
      </c>
      <c r="N1807">
        <v>59</v>
      </c>
      <c r="O1807">
        <v>205</v>
      </c>
      <c r="P1807">
        <f t="shared" si="90"/>
        <v>2024</v>
      </c>
      <c r="Q1807">
        <f t="shared" si="91"/>
        <v>6</v>
      </c>
      <c r="R1807" t="str">
        <f t="shared" si="92"/>
        <v>商品详情页头图推荐</v>
      </c>
      <c r="S1807" t="s">
        <v>628</v>
      </c>
      <c r="T1807" s="546" t="s">
        <v>804</v>
      </c>
    </row>
    <row r="1808" spans="1:20" x14ac:dyDescent="0.3">
      <c r="A1808" t="s">
        <v>627</v>
      </c>
      <c r="B1808" s="16">
        <v>45454</v>
      </c>
      <c r="C1808" t="s">
        <v>3</v>
      </c>
      <c r="D1808" t="s">
        <v>123</v>
      </c>
      <c r="E1808" t="s">
        <v>170</v>
      </c>
      <c r="F1808">
        <v>27</v>
      </c>
      <c r="G1808">
        <v>21</v>
      </c>
      <c r="H1808">
        <v>2</v>
      </c>
      <c r="I1808">
        <v>1</v>
      </c>
      <c r="J1808" s="15">
        <v>5125</v>
      </c>
      <c r="K1808">
        <v>2</v>
      </c>
      <c r="L1808" s="15">
        <v>5125</v>
      </c>
      <c r="M1808">
        <v>2</v>
      </c>
      <c r="N1808">
        <v>25</v>
      </c>
      <c r="O1808">
        <v>11</v>
      </c>
      <c r="P1808">
        <f t="shared" si="90"/>
        <v>2024</v>
      </c>
      <c r="Q1808">
        <f t="shared" si="91"/>
        <v>6</v>
      </c>
      <c r="R1808" t="str">
        <f t="shared" si="92"/>
        <v>店铺超链</v>
      </c>
      <c r="S1808" t="s">
        <v>628</v>
      </c>
      <c r="T1808" s="546" t="s">
        <v>804</v>
      </c>
    </row>
    <row r="1809" spans="1:20" x14ac:dyDescent="0.3">
      <c r="A1809" t="s">
        <v>627</v>
      </c>
      <c r="B1809" s="16">
        <v>45454</v>
      </c>
      <c r="C1809" t="s">
        <v>3</v>
      </c>
      <c r="D1809" t="s">
        <v>127</v>
      </c>
      <c r="E1809" t="s">
        <v>171</v>
      </c>
      <c r="F1809">
        <v>186</v>
      </c>
      <c r="G1809">
        <v>120</v>
      </c>
      <c r="H1809">
        <v>9</v>
      </c>
      <c r="I1809">
        <v>1</v>
      </c>
      <c r="J1809" s="15">
        <v>10950</v>
      </c>
      <c r="K1809">
        <v>1</v>
      </c>
      <c r="L1809" s="15">
        <v>10950</v>
      </c>
      <c r="M1809">
        <v>1</v>
      </c>
      <c r="N1809">
        <v>69</v>
      </c>
      <c r="O1809">
        <v>147</v>
      </c>
      <c r="P1809">
        <f t="shared" si="90"/>
        <v>2024</v>
      </c>
      <c r="Q1809">
        <f t="shared" si="91"/>
        <v>6</v>
      </c>
      <c r="R1809" t="str">
        <f t="shared" si="92"/>
        <v>其他猜你喜欢</v>
      </c>
      <c r="S1809" t="s">
        <v>628</v>
      </c>
      <c r="T1809" s="546" t="s">
        <v>804</v>
      </c>
    </row>
    <row r="1810" spans="1:20" x14ac:dyDescent="0.3">
      <c r="A1810" t="s">
        <v>627</v>
      </c>
      <c r="B1810" s="16">
        <v>45454</v>
      </c>
      <c r="C1810" t="s">
        <v>3</v>
      </c>
      <c r="D1810" t="s">
        <v>127</v>
      </c>
      <c r="E1810" t="s">
        <v>172</v>
      </c>
      <c r="F1810">
        <v>4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</v>
      </c>
      <c r="O1810">
        <v>4</v>
      </c>
      <c r="P1810">
        <f t="shared" si="90"/>
        <v>2024</v>
      </c>
      <c r="Q1810">
        <f t="shared" si="91"/>
        <v>6</v>
      </c>
      <c r="R1810" t="str">
        <f t="shared" si="92"/>
        <v>购中推荐</v>
      </c>
      <c r="S1810" t="s">
        <v>628</v>
      </c>
      <c r="T1810" s="546" t="s">
        <v>804</v>
      </c>
    </row>
    <row r="1811" spans="1:20" x14ac:dyDescent="0.3">
      <c r="A1811" t="s">
        <v>627</v>
      </c>
      <c r="B1811" s="16">
        <v>45454</v>
      </c>
      <c r="C1811" t="s">
        <v>3</v>
      </c>
      <c r="D1811" t="s">
        <v>127</v>
      </c>
      <c r="E1811" t="s">
        <v>173</v>
      </c>
      <c r="F1811">
        <v>28</v>
      </c>
      <c r="G1811">
        <v>16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25</v>
      </c>
      <c r="P1811">
        <f t="shared" si="90"/>
        <v>2024</v>
      </c>
      <c r="Q1811">
        <f t="shared" si="91"/>
        <v>6</v>
      </c>
      <c r="R1811" t="str">
        <f t="shared" si="92"/>
        <v>购后推荐</v>
      </c>
      <c r="S1811" t="s">
        <v>628</v>
      </c>
      <c r="T1811" s="546" t="s">
        <v>804</v>
      </c>
    </row>
    <row r="1812" spans="1:20" x14ac:dyDescent="0.3">
      <c r="A1812" t="s">
        <v>627</v>
      </c>
      <c r="B1812" s="16">
        <v>45454</v>
      </c>
      <c r="C1812" t="s">
        <v>3</v>
      </c>
      <c r="D1812" t="s">
        <v>127</v>
      </c>
      <c r="E1812" t="s">
        <v>174</v>
      </c>
      <c r="F1812" s="15">
        <v>1854</v>
      </c>
      <c r="G1812" s="15">
        <v>1190</v>
      </c>
      <c r="H1812">
        <v>45</v>
      </c>
      <c r="I1812">
        <v>23</v>
      </c>
      <c r="J1812" s="15">
        <v>8103</v>
      </c>
      <c r="K1812">
        <v>4</v>
      </c>
      <c r="L1812" s="15">
        <v>4825</v>
      </c>
      <c r="M1812">
        <v>2</v>
      </c>
      <c r="N1812">
        <v>176</v>
      </c>
      <c r="O1812" s="15">
        <v>1854</v>
      </c>
      <c r="P1812">
        <f t="shared" si="90"/>
        <v>2024</v>
      </c>
      <c r="Q1812">
        <f t="shared" si="91"/>
        <v>6</v>
      </c>
      <c r="R1812" t="str">
        <f t="shared" si="92"/>
        <v>首页推荐-微详情</v>
      </c>
      <c r="S1812" t="s">
        <v>628</v>
      </c>
      <c r="T1812" s="546" t="s">
        <v>804</v>
      </c>
    </row>
    <row r="1813" spans="1:20" x14ac:dyDescent="0.3">
      <c r="A1813" t="s">
        <v>627</v>
      </c>
      <c r="B1813" s="16">
        <v>45454</v>
      </c>
      <c r="C1813" t="s">
        <v>3</v>
      </c>
      <c r="D1813" t="s">
        <v>127</v>
      </c>
      <c r="E1813" t="s">
        <v>175</v>
      </c>
      <c r="F1813">
        <v>147</v>
      </c>
      <c r="G1813">
        <v>83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3</v>
      </c>
      <c r="P1813">
        <f t="shared" ref="P1813:P1876" si="93">YEAR(B1813)</f>
        <v>2024</v>
      </c>
      <c r="Q1813">
        <f t="shared" ref="Q1813:Q1876" si="94">MONTH(B1813)</f>
        <v>6</v>
      </c>
      <c r="R1813" t="str">
        <f t="shared" si="92"/>
        <v>首页推荐-直播</v>
      </c>
      <c r="S1813" t="s">
        <v>628</v>
      </c>
      <c r="T1813" s="546" t="s">
        <v>804</v>
      </c>
    </row>
    <row r="1814" spans="1:20" x14ac:dyDescent="0.3">
      <c r="A1814" t="s">
        <v>627</v>
      </c>
      <c r="B1814" s="16">
        <v>45454</v>
      </c>
      <c r="C1814" t="s">
        <v>3</v>
      </c>
      <c r="D1814" t="s">
        <v>127</v>
      </c>
      <c r="E1814" t="s">
        <v>176</v>
      </c>
      <c r="F1814">
        <v>81</v>
      </c>
      <c r="G1814">
        <v>40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f t="shared" si="93"/>
        <v>2024</v>
      </c>
      <c r="Q1814">
        <f t="shared" si="94"/>
        <v>6</v>
      </c>
      <c r="R1814" t="str">
        <f t="shared" si="92"/>
        <v>首页推荐-短视频</v>
      </c>
      <c r="S1814" t="s">
        <v>628</v>
      </c>
      <c r="T1814" s="546" t="s">
        <v>804</v>
      </c>
    </row>
    <row r="1815" spans="1:20" x14ac:dyDescent="0.3">
      <c r="A1815" t="s">
        <v>627</v>
      </c>
      <c r="B1815" s="16">
        <v>45454</v>
      </c>
      <c r="C1815" t="s">
        <v>3</v>
      </c>
      <c r="D1815" t="s">
        <v>128</v>
      </c>
      <c r="E1815" t="s">
        <v>177</v>
      </c>
      <c r="F1815">
        <v>924</v>
      </c>
      <c r="G1815">
        <v>744</v>
      </c>
      <c r="H1815">
        <v>47</v>
      </c>
      <c r="I1815">
        <v>20</v>
      </c>
      <c r="J1815" s="15">
        <v>17440</v>
      </c>
      <c r="K1815">
        <v>8</v>
      </c>
      <c r="L1815" s="15">
        <v>17440</v>
      </c>
      <c r="M1815">
        <v>8</v>
      </c>
      <c r="N1815">
        <v>282</v>
      </c>
      <c r="O1815">
        <v>848</v>
      </c>
      <c r="P1815">
        <f t="shared" si="93"/>
        <v>2024</v>
      </c>
      <c r="Q1815">
        <f t="shared" si="94"/>
        <v>6</v>
      </c>
      <c r="R1815" t="str">
        <f t="shared" si="92"/>
        <v>手淘搜索-商品及其他</v>
      </c>
      <c r="S1815" t="s">
        <v>628</v>
      </c>
      <c r="T1815" s="546" t="s">
        <v>804</v>
      </c>
    </row>
    <row r="1816" spans="1:20" x14ac:dyDescent="0.3">
      <c r="A1816" t="s">
        <v>627</v>
      </c>
      <c r="B1816" s="16">
        <v>45454</v>
      </c>
      <c r="C1816" t="s">
        <v>3</v>
      </c>
      <c r="D1816" t="s">
        <v>128</v>
      </c>
      <c r="E1816" t="s">
        <v>178</v>
      </c>
      <c r="F1816">
        <v>2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</v>
      </c>
      <c r="P1816">
        <f t="shared" si="93"/>
        <v>2024</v>
      </c>
      <c r="Q1816">
        <f t="shared" si="94"/>
        <v>6</v>
      </c>
      <c r="R1816" t="str">
        <f t="shared" si="92"/>
        <v>手淘搜索-直播</v>
      </c>
      <c r="S1816" t="s">
        <v>628</v>
      </c>
      <c r="T1816" s="546" t="s">
        <v>804</v>
      </c>
    </row>
    <row r="1817" spans="1:20" x14ac:dyDescent="0.3">
      <c r="A1817" t="s">
        <v>627</v>
      </c>
      <c r="B1817" s="16">
        <v>45454</v>
      </c>
      <c r="C1817" t="s">
        <v>3</v>
      </c>
      <c r="D1817" t="s">
        <v>128</v>
      </c>
      <c r="E1817" t="s">
        <v>179</v>
      </c>
      <c r="F1817">
        <v>23</v>
      </c>
      <c r="G1817">
        <v>16</v>
      </c>
      <c r="H1817">
        <v>0</v>
      </c>
      <c r="I1817">
        <v>0</v>
      </c>
      <c r="J1817" s="15">
        <v>2377</v>
      </c>
      <c r="K1817">
        <v>1</v>
      </c>
      <c r="L1817" s="15">
        <v>2377</v>
      </c>
      <c r="M1817">
        <v>1</v>
      </c>
      <c r="N1817">
        <v>2</v>
      </c>
      <c r="O1817">
        <v>5</v>
      </c>
      <c r="P1817">
        <f t="shared" si="93"/>
        <v>2024</v>
      </c>
      <c r="Q1817">
        <f t="shared" si="94"/>
        <v>6</v>
      </c>
      <c r="R1817" t="str">
        <f t="shared" si="92"/>
        <v>手淘搜索-短视频</v>
      </c>
      <c r="S1817" t="s">
        <v>628</v>
      </c>
      <c r="T1817" s="546" t="s">
        <v>804</v>
      </c>
    </row>
    <row r="1818" spans="1:20" x14ac:dyDescent="0.3">
      <c r="A1818" t="s">
        <v>627</v>
      </c>
      <c r="B1818" s="16">
        <v>45454</v>
      </c>
      <c r="C1818" t="s">
        <v>3</v>
      </c>
      <c r="D1818" t="s">
        <v>143</v>
      </c>
      <c r="E1818" t="s">
        <v>180</v>
      </c>
      <c r="F1818">
        <v>8</v>
      </c>
      <c r="G1818">
        <v>6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8</v>
      </c>
      <c r="P1818">
        <f t="shared" si="93"/>
        <v>2024</v>
      </c>
      <c r="Q1818">
        <f t="shared" si="94"/>
        <v>6</v>
      </c>
      <c r="R1818" t="str">
        <f t="shared" si="92"/>
        <v>淘特其他渠道</v>
      </c>
      <c r="S1818" t="s">
        <v>628</v>
      </c>
      <c r="T1818" s="546" t="s">
        <v>804</v>
      </c>
    </row>
    <row r="1819" spans="1:20" x14ac:dyDescent="0.3">
      <c r="A1819" t="s">
        <v>627</v>
      </c>
      <c r="B1819" s="16">
        <v>45454</v>
      </c>
      <c r="C1819" t="s">
        <v>3</v>
      </c>
      <c r="D1819" t="s">
        <v>143</v>
      </c>
      <c r="E1819" t="s">
        <v>197</v>
      </c>
      <c r="F1819">
        <v>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</v>
      </c>
      <c r="P1819">
        <f t="shared" si="93"/>
        <v>2024</v>
      </c>
      <c r="Q1819">
        <f t="shared" si="94"/>
        <v>6</v>
      </c>
      <c r="R1819" t="str">
        <f t="shared" si="92"/>
        <v>淘特推荐</v>
      </c>
      <c r="S1819" t="s">
        <v>628</v>
      </c>
      <c r="T1819" s="546" t="s">
        <v>804</v>
      </c>
    </row>
    <row r="1820" spans="1:20" x14ac:dyDescent="0.3">
      <c r="A1820" t="s">
        <v>627</v>
      </c>
      <c r="B1820" s="16">
        <v>45454</v>
      </c>
      <c r="C1820" t="s">
        <v>2</v>
      </c>
      <c r="D1820" t="s">
        <v>55</v>
      </c>
      <c r="E1820" t="s">
        <v>54</v>
      </c>
      <c r="F1820" s="15">
        <v>3830</v>
      </c>
      <c r="G1820" s="15">
        <v>2852</v>
      </c>
      <c r="H1820">
        <v>5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15</v>
      </c>
      <c r="O1820">
        <v>643</v>
      </c>
      <c r="P1820">
        <f t="shared" si="93"/>
        <v>2024</v>
      </c>
      <c r="Q1820">
        <f t="shared" si="94"/>
        <v>6</v>
      </c>
      <c r="R1820" t="str">
        <f t="shared" si="92"/>
        <v>超级直播</v>
      </c>
      <c r="S1820" t="s">
        <v>628</v>
      </c>
      <c r="T1820" s="546" t="s">
        <v>804</v>
      </c>
    </row>
    <row r="1821" spans="1:20" x14ac:dyDescent="0.3">
      <c r="A1821" t="s">
        <v>627</v>
      </c>
      <c r="B1821" s="16">
        <v>45454</v>
      </c>
      <c r="C1821" t="s">
        <v>2</v>
      </c>
      <c r="D1821" t="s">
        <v>55</v>
      </c>
      <c r="E1821" t="s">
        <v>56</v>
      </c>
      <c r="F1821" s="15">
        <v>12343</v>
      </c>
      <c r="G1821" s="15">
        <v>7246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3</v>
      </c>
      <c r="O1821">
        <v>187</v>
      </c>
      <c r="P1821">
        <f t="shared" si="93"/>
        <v>2024</v>
      </c>
      <c r="Q1821">
        <f t="shared" si="94"/>
        <v>6</v>
      </c>
      <c r="R1821" t="str">
        <f t="shared" si="92"/>
        <v>超级短视频</v>
      </c>
      <c r="S1821" t="s">
        <v>628</v>
      </c>
      <c r="T1821" s="546" t="s">
        <v>804</v>
      </c>
    </row>
    <row r="1822" spans="1:20" x14ac:dyDescent="0.3">
      <c r="A1822" t="s">
        <v>627</v>
      </c>
      <c r="B1822" s="16">
        <v>45454</v>
      </c>
      <c r="C1822" t="s">
        <v>2</v>
      </c>
      <c r="D1822" t="s">
        <v>52</v>
      </c>
      <c r="E1822" t="s">
        <v>53</v>
      </c>
      <c r="F1822" s="15">
        <v>1089</v>
      </c>
      <c r="G1822">
        <v>885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 s="15">
        <v>1089</v>
      </c>
      <c r="O1822">
        <v>109</v>
      </c>
      <c r="P1822">
        <f t="shared" si="93"/>
        <v>2024</v>
      </c>
      <c r="Q1822">
        <f t="shared" si="94"/>
        <v>6</v>
      </c>
      <c r="R1822" t="str">
        <f t="shared" si="92"/>
        <v>Showmax</v>
      </c>
      <c r="S1822" t="s">
        <v>628</v>
      </c>
      <c r="T1822" s="546" t="s">
        <v>804</v>
      </c>
    </row>
    <row r="1823" spans="1:20" x14ac:dyDescent="0.3">
      <c r="A1823" t="s">
        <v>627</v>
      </c>
      <c r="B1823" s="16">
        <v>45454</v>
      </c>
      <c r="C1823" t="s">
        <v>2</v>
      </c>
      <c r="D1823" t="s">
        <v>52</v>
      </c>
      <c r="E1823" t="s">
        <v>59</v>
      </c>
      <c r="F1823" s="15">
        <v>1628</v>
      </c>
      <c r="G1823" s="15">
        <v>1336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s="15">
        <v>1628</v>
      </c>
      <c r="O1823">
        <v>239</v>
      </c>
      <c r="P1823">
        <f t="shared" si="93"/>
        <v>2024</v>
      </c>
      <c r="Q1823">
        <f t="shared" si="94"/>
        <v>6</v>
      </c>
      <c r="R1823" t="str">
        <f t="shared" si="92"/>
        <v>品牌特秀</v>
      </c>
      <c r="S1823" t="s">
        <v>628</v>
      </c>
      <c r="T1823" s="546" t="s">
        <v>804</v>
      </c>
    </row>
    <row r="1824" spans="1:20" x14ac:dyDescent="0.3">
      <c r="A1824" t="s">
        <v>627</v>
      </c>
      <c r="B1824" s="16">
        <v>45454</v>
      </c>
      <c r="C1824" t="s">
        <v>2</v>
      </c>
      <c r="D1824" t="s">
        <v>52</v>
      </c>
      <c r="E1824" t="s">
        <v>183</v>
      </c>
      <c r="F1824">
        <v>647</v>
      </c>
      <c r="G1824">
        <v>540</v>
      </c>
      <c r="H1824">
        <v>14</v>
      </c>
      <c r="I1824">
        <v>5</v>
      </c>
      <c r="J1824" s="15">
        <v>19711</v>
      </c>
      <c r="K1824">
        <v>8</v>
      </c>
      <c r="L1824" s="15">
        <v>19711</v>
      </c>
      <c r="M1824">
        <v>8</v>
      </c>
      <c r="N1824">
        <v>647</v>
      </c>
      <c r="O1824">
        <v>341</v>
      </c>
      <c r="P1824">
        <f t="shared" si="93"/>
        <v>2024</v>
      </c>
      <c r="Q1824">
        <f t="shared" si="94"/>
        <v>6</v>
      </c>
      <c r="R1824" t="str">
        <f t="shared" si="92"/>
        <v>品销宝-品牌专区</v>
      </c>
      <c r="S1824" t="s">
        <v>628</v>
      </c>
      <c r="T1824" s="546" t="s">
        <v>804</v>
      </c>
    </row>
    <row r="1825" spans="1:20" x14ac:dyDescent="0.3">
      <c r="A1825" t="s">
        <v>627</v>
      </c>
      <c r="B1825" s="16">
        <v>45454</v>
      </c>
      <c r="C1825" t="s">
        <v>2</v>
      </c>
      <c r="D1825" t="s">
        <v>57</v>
      </c>
      <c r="E1825" t="s">
        <v>65</v>
      </c>
      <c r="F1825" s="15">
        <v>2513</v>
      </c>
      <c r="G1825" s="15">
        <v>2115</v>
      </c>
      <c r="H1825">
        <v>38</v>
      </c>
      <c r="I1825">
        <v>26</v>
      </c>
      <c r="J1825" s="15">
        <v>26326</v>
      </c>
      <c r="K1825">
        <v>8</v>
      </c>
      <c r="L1825" s="15">
        <v>16906</v>
      </c>
      <c r="M1825">
        <v>7</v>
      </c>
      <c r="N1825">
        <v>237</v>
      </c>
      <c r="O1825" s="15">
        <v>2498</v>
      </c>
      <c r="P1825">
        <f t="shared" si="93"/>
        <v>2024</v>
      </c>
      <c r="Q1825">
        <f t="shared" si="94"/>
        <v>6</v>
      </c>
      <c r="R1825" t="str">
        <f t="shared" si="92"/>
        <v>直通车</v>
      </c>
      <c r="S1825" t="s">
        <v>628</v>
      </c>
      <c r="T1825" s="546" t="s">
        <v>804</v>
      </c>
    </row>
    <row r="1826" spans="1:20" x14ac:dyDescent="0.3">
      <c r="A1826" t="s">
        <v>627</v>
      </c>
      <c r="B1826" s="16">
        <v>45454</v>
      </c>
      <c r="C1826" t="s">
        <v>2</v>
      </c>
      <c r="D1826" t="s">
        <v>57</v>
      </c>
      <c r="E1826" t="s">
        <v>63</v>
      </c>
      <c r="F1826" s="15">
        <v>3513</v>
      </c>
      <c r="G1826" s="15">
        <v>2231</v>
      </c>
      <c r="H1826">
        <v>46</v>
      </c>
      <c r="I1826">
        <v>37</v>
      </c>
      <c r="J1826" s="15">
        <v>15133</v>
      </c>
      <c r="K1826">
        <v>5</v>
      </c>
      <c r="L1826" s="15">
        <v>9183</v>
      </c>
      <c r="M1826">
        <v>4</v>
      </c>
      <c r="N1826">
        <v>183</v>
      </c>
      <c r="O1826" s="15">
        <v>3511</v>
      </c>
      <c r="P1826">
        <f t="shared" si="93"/>
        <v>2024</v>
      </c>
      <c r="Q1826">
        <f t="shared" si="94"/>
        <v>6</v>
      </c>
      <c r="R1826" t="str">
        <f t="shared" si="92"/>
        <v>万相台</v>
      </c>
      <c r="S1826" t="s">
        <v>628</v>
      </c>
      <c r="T1826" s="546" t="s">
        <v>804</v>
      </c>
    </row>
    <row r="1827" spans="1:20" x14ac:dyDescent="0.3">
      <c r="A1827" t="s">
        <v>627</v>
      </c>
      <c r="B1827" s="16">
        <v>45454</v>
      </c>
      <c r="C1827" t="s">
        <v>2</v>
      </c>
      <c r="D1827" t="s">
        <v>57</v>
      </c>
      <c r="E1827" t="s">
        <v>64</v>
      </c>
      <c r="F1827" s="15">
        <v>14387</v>
      </c>
      <c r="G1827" s="15">
        <v>7487</v>
      </c>
      <c r="H1827">
        <v>29</v>
      </c>
      <c r="I1827">
        <v>22</v>
      </c>
      <c r="J1827" s="17">
        <v>24367.5</v>
      </c>
      <c r="K1827">
        <v>6</v>
      </c>
      <c r="L1827" s="17">
        <v>12527.5</v>
      </c>
      <c r="M1827">
        <v>4</v>
      </c>
      <c r="N1827">
        <v>282</v>
      </c>
      <c r="O1827" s="15">
        <v>14382</v>
      </c>
      <c r="P1827">
        <f t="shared" si="93"/>
        <v>2024</v>
      </c>
      <c r="Q1827">
        <f t="shared" si="94"/>
        <v>6</v>
      </c>
      <c r="R1827" t="str">
        <f t="shared" si="92"/>
        <v>引力魔方</v>
      </c>
      <c r="S1827" t="s">
        <v>628</v>
      </c>
      <c r="T1827" s="546" t="s">
        <v>804</v>
      </c>
    </row>
    <row r="1828" spans="1:20" x14ac:dyDescent="0.3">
      <c r="A1828" t="s">
        <v>627</v>
      </c>
      <c r="B1828" s="16">
        <v>45454</v>
      </c>
      <c r="C1828" t="s">
        <v>2</v>
      </c>
      <c r="D1828" t="s">
        <v>4</v>
      </c>
      <c r="E1828" t="s">
        <v>41</v>
      </c>
      <c r="F1828">
        <v>4</v>
      </c>
      <c r="G1828">
        <v>2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</v>
      </c>
      <c r="O1828">
        <v>3</v>
      </c>
      <c r="P1828">
        <f t="shared" si="93"/>
        <v>2024</v>
      </c>
      <c r="Q1828">
        <f t="shared" si="94"/>
        <v>6</v>
      </c>
      <c r="R1828" t="str">
        <f t="shared" si="92"/>
        <v>流量宝</v>
      </c>
      <c r="S1828" t="s">
        <v>628</v>
      </c>
      <c r="T1828" s="546" t="s">
        <v>804</v>
      </c>
    </row>
    <row r="1829" spans="1:20" x14ac:dyDescent="0.3">
      <c r="A1829" t="s">
        <v>627</v>
      </c>
      <c r="B1829" s="16">
        <v>45454</v>
      </c>
      <c r="C1829" t="s">
        <v>2</v>
      </c>
      <c r="D1829" t="s">
        <v>4</v>
      </c>
      <c r="E1829" t="s">
        <v>43</v>
      </c>
      <c r="F1829" s="15">
        <v>2054</v>
      </c>
      <c r="G1829">
        <v>559</v>
      </c>
      <c r="H1829">
        <v>1</v>
      </c>
      <c r="I1829">
        <v>3</v>
      </c>
      <c r="J1829" s="17">
        <v>4027.5</v>
      </c>
      <c r="K1829">
        <v>2</v>
      </c>
      <c r="L1829" s="17">
        <v>4027.5</v>
      </c>
      <c r="M1829">
        <v>2</v>
      </c>
      <c r="N1829">
        <v>16</v>
      </c>
      <c r="O1829" s="15">
        <v>2042</v>
      </c>
      <c r="P1829">
        <f t="shared" si="93"/>
        <v>2024</v>
      </c>
      <c r="Q1829">
        <f t="shared" si="94"/>
        <v>6</v>
      </c>
      <c r="R1829" t="str">
        <f t="shared" si="92"/>
        <v>淘宝客</v>
      </c>
      <c r="S1829" t="s">
        <v>628</v>
      </c>
      <c r="T1829" s="546" t="s">
        <v>804</v>
      </c>
    </row>
    <row r="1830" spans="1:20" x14ac:dyDescent="0.3">
      <c r="A1830" t="s">
        <v>627</v>
      </c>
      <c r="B1830" s="16">
        <v>45455</v>
      </c>
      <c r="C1830" t="s">
        <v>3</v>
      </c>
      <c r="D1830" t="s">
        <v>114</v>
      </c>
      <c r="E1830" t="s">
        <v>159</v>
      </c>
      <c r="F1830">
        <v>75</v>
      </c>
      <c r="G1830">
        <v>39</v>
      </c>
      <c r="H1830">
        <v>1</v>
      </c>
      <c r="I1830">
        <v>2</v>
      </c>
      <c r="J1830">
        <v>798</v>
      </c>
      <c r="K1830">
        <v>1</v>
      </c>
      <c r="L1830">
        <v>798</v>
      </c>
      <c r="M1830">
        <v>1</v>
      </c>
      <c r="N1830">
        <v>8</v>
      </c>
      <c r="O1830">
        <v>65</v>
      </c>
      <c r="P1830">
        <f t="shared" si="93"/>
        <v>2024</v>
      </c>
      <c r="Q1830">
        <f t="shared" si="94"/>
        <v>6</v>
      </c>
      <c r="R1830" t="str">
        <f t="shared" si="92"/>
        <v>主会场</v>
      </c>
      <c r="S1830" t="s">
        <v>628</v>
      </c>
      <c r="T1830" s="546" t="s">
        <v>804</v>
      </c>
    </row>
    <row r="1831" spans="1:20" x14ac:dyDescent="0.3">
      <c r="A1831" t="s">
        <v>627</v>
      </c>
      <c r="B1831" s="16">
        <v>45455</v>
      </c>
      <c r="C1831" t="s">
        <v>3</v>
      </c>
      <c r="D1831" t="s">
        <v>114</v>
      </c>
      <c r="E1831" t="s">
        <v>160</v>
      </c>
      <c r="F1831">
        <v>1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1</v>
      </c>
      <c r="P1831">
        <f t="shared" si="93"/>
        <v>2024</v>
      </c>
      <c r="Q1831">
        <f t="shared" si="94"/>
        <v>6</v>
      </c>
      <c r="R1831" t="str">
        <f t="shared" si="92"/>
        <v>榜单会场</v>
      </c>
      <c r="S1831" t="s">
        <v>628</v>
      </c>
      <c r="T1831" s="546" t="s">
        <v>804</v>
      </c>
    </row>
    <row r="1832" spans="1:20" x14ac:dyDescent="0.3">
      <c r="A1832" t="s">
        <v>627</v>
      </c>
      <c r="B1832" s="16">
        <v>45455</v>
      </c>
      <c r="C1832" t="s">
        <v>3</v>
      </c>
      <c r="D1832" t="s">
        <v>120</v>
      </c>
      <c r="E1832" t="s">
        <v>162</v>
      </c>
      <c r="F1832">
        <v>4</v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4</v>
      </c>
      <c r="O1832">
        <v>0</v>
      </c>
      <c r="P1832">
        <f t="shared" si="93"/>
        <v>2024</v>
      </c>
      <c r="Q1832">
        <f t="shared" si="94"/>
        <v>6</v>
      </c>
      <c r="R1832" t="str">
        <f t="shared" si="92"/>
        <v>手机浏览器访问天猫</v>
      </c>
      <c r="S1832" t="s">
        <v>628</v>
      </c>
      <c r="T1832" s="546" t="s">
        <v>804</v>
      </c>
    </row>
    <row r="1833" spans="1:20" x14ac:dyDescent="0.3">
      <c r="A1833" t="s">
        <v>627</v>
      </c>
      <c r="B1833" s="16">
        <v>45455</v>
      </c>
      <c r="C1833" t="s">
        <v>3</v>
      </c>
      <c r="D1833" t="s">
        <v>120</v>
      </c>
      <c r="E1833" t="s">
        <v>163</v>
      </c>
      <c r="F1833">
        <v>73</v>
      </c>
      <c r="G1833">
        <v>30</v>
      </c>
      <c r="H1833">
        <v>0</v>
      </c>
      <c r="I1833">
        <v>0</v>
      </c>
      <c r="J1833" s="17">
        <v>11467.94</v>
      </c>
      <c r="K1833">
        <v>4</v>
      </c>
      <c r="L1833" s="17">
        <v>11467.94</v>
      </c>
      <c r="M1833">
        <v>4</v>
      </c>
      <c r="N1833">
        <v>19</v>
      </c>
      <c r="O1833">
        <v>72</v>
      </c>
      <c r="P1833">
        <f t="shared" si="93"/>
        <v>2024</v>
      </c>
      <c r="Q1833">
        <f t="shared" si="94"/>
        <v>6</v>
      </c>
      <c r="R1833" t="str">
        <f t="shared" si="92"/>
        <v>手猫免费其他</v>
      </c>
      <c r="S1833" t="s">
        <v>628</v>
      </c>
      <c r="T1833" s="546" t="s">
        <v>804</v>
      </c>
    </row>
    <row r="1834" spans="1:20" x14ac:dyDescent="0.3">
      <c r="A1834" t="s">
        <v>627</v>
      </c>
      <c r="B1834" s="16">
        <v>45455</v>
      </c>
      <c r="C1834" t="s">
        <v>3</v>
      </c>
      <c r="D1834" t="s">
        <v>120</v>
      </c>
      <c r="E1834" t="s">
        <v>164</v>
      </c>
      <c r="F1834">
        <v>6</v>
      </c>
      <c r="G1834">
        <v>3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6</v>
      </c>
      <c r="P1834">
        <f t="shared" si="93"/>
        <v>2024</v>
      </c>
      <c r="Q1834">
        <f t="shared" si="94"/>
        <v>6</v>
      </c>
      <c r="R1834" t="str">
        <f t="shared" si="92"/>
        <v>手猫其他店铺</v>
      </c>
      <c r="S1834" t="s">
        <v>628</v>
      </c>
      <c r="T1834" s="546" t="s">
        <v>804</v>
      </c>
    </row>
    <row r="1835" spans="1:20" x14ac:dyDescent="0.3">
      <c r="A1835" t="s">
        <v>627</v>
      </c>
      <c r="B1835" s="16">
        <v>45455</v>
      </c>
      <c r="C1835" t="s">
        <v>3</v>
      </c>
      <c r="D1835" t="s">
        <v>120</v>
      </c>
      <c r="E1835" t="s">
        <v>165</v>
      </c>
      <c r="F1835">
        <v>23</v>
      </c>
      <c r="G1835">
        <v>11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5</v>
      </c>
      <c r="O1835">
        <v>22</v>
      </c>
      <c r="P1835">
        <f t="shared" si="93"/>
        <v>2024</v>
      </c>
      <c r="Q1835">
        <f t="shared" si="94"/>
        <v>6</v>
      </c>
      <c r="R1835" t="str">
        <f t="shared" si="92"/>
        <v>手猫商品详情</v>
      </c>
      <c r="S1835" t="s">
        <v>628</v>
      </c>
      <c r="T1835" s="546" t="s">
        <v>804</v>
      </c>
    </row>
    <row r="1836" spans="1:20" x14ac:dyDescent="0.3">
      <c r="A1836" t="s">
        <v>627</v>
      </c>
      <c r="B1836" s="16">
        <v>45455</v>
      </c>
      <c r="C1836" t="s">
        <v>3</v>
      </c>
      <c r="D1836" t="s">
        <v>120</v>
      </c>
      <c r="E1836" t="s">
        <v>166</v>
      </c>
      <c r="F1836">
        <v>77</v>
      </c>
      <c r="G1836">
        <v>44</v>
      </c>
      <c r="H1836">
        <v>2</v>
      </c>
      <c r="I1836">
        <v>0</v>
      </c>
      <c r="J1836" s="15">
        <v>10397</v>
      </c>
      <c r="K1836">
        <v>5</v>
      </c>
      <c r="L1836" s="15">
        <v>9094</v>
      </c>
      <c r="M1836">
        <v>4</v>
      </c>
      <c r="N1836">
        <v>27</v>
      </c>
      <c r="O1836">
        <v>67</v>
      </c>
      <c r="P1836">
        <f t="shared" si="93"/>
        <v>2024</v>
      </c>
      <c r="Q1836">
        <f t="shared" si="94"/>
        <v>6</v>
      </c>
      <c r="R1836" t="str">
        <f t="shared" si="92"/>
        <v>手猫搜索</v>
      </c>
      <c r="S1836" t="s">
        <v>628</v>
      </c>
      <c r="T1836" s="546" t="s">
        <v>804</v>
      </c>
    </row>
    <row r="1837" spans="1:20" x14ac:dyDescent="0.3">
      <c r="A1837" t="s">
        <v>627</v>
      </c>
      <c r="B1837" s="16">
        <v>45455</v>
      </c>
      <c r="C1837" t="s">
        <v>3</v>
      </c>
      <c r="D1837" t="s">
        <v>120</v>
      </c>
      <c r="E1837" t="s">
        <v>167</v>
      </c>
      <c r="F1837">
        <v>2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</v>
      </c>
      <c r="O1837">
        <v>1</v>
      </c>
      <c r="P1837">
        <f t="shared" si="93"/>
        <v>2024</v>
      </c>
      <c r="Q1837">
        <f t="shared" si="94"/>
        <v>6</v>
      </c>
      <c r="R1837" t="str">
        <f t="shared" si="92"/>
        <v>手猫旺信聊天</v>
      </c>
      <c r="S1837" t="s">
        <v>628</v>
      </c>
      <c r="T1837" s="546" t="s">
        <v>804</v>
      </c>
    </row>
    <row r="1838" spans="1:20" x14ac:dyDescent="0.3">
      <c r="A1838" t="s">
        <v>627</v>
      </c>
      <c r="B1838" s="16">
        <v>45455</v>
      </c>
      <c r="C1838" t="s">
        <v>3</v>
      </c>
      <c r="D1838" t="s">
        <v>120</v>
      </c>
      <c r="E1838" t="s">
        <v>168</v>
      </c>
      <c r="F1838">
        <v>301</v>
      </c>
      <c r="G1838">
        <v>145</v>
      </c>
      <c r="H1838">
        <v>1</v>
      </c>
      <c r="I1838">
        <v>0</v>
      </c>
      <c r="J1838" s="15">
        <v>1680</v>
      </c>
      <c r="K1838">
        <v>1</v>
      </c>
      <c r="L1838" s="15">
        <v>1680</v>
      </c>
      <c r="M1838">
        <v>1</v>
      </c>
      <c r="N1838">
        <v>14</v>
      </c>
      <c r="O1838">
        <v>301</v>
      </c>
      <c r="P1838">
        <f t="shared" si="93"/>
        <v>2024</v>
      </c>
      <c r="Q1838">
        <f t="shared" si="94"/>
        <v>6</v>
      </c>
      <c r="R1838" t="str">
        <f t="shared" si="92"/>
        <v>手猫首页</v>
      </c>
      <c r="S1838" t="s">
        <v>628</v>
      </c>
      <c r="T1838" s="546" t="s">
        <v>804</v>
      </c>
    </row>
    <row r="1839" spans="1:20" x14ac:dyDescent="0.3">
      <c r="A1839" t="s">
        <v>627</v>
      </c>
      <c r="B1839" s="16">
        <v>45455</v>
      </c>
      <c r="C1839" t="s">
        <v>3</v>
      </c>
      <c r="D1839" t="s">
        <v>123</v>
      </c>
      <c r="E1839" t="s">
        <v>169</v>
      </c>
      <c r="F1839">
        <v>223</v>
      </c>
      <c r="G1839">
        <v>114</v>
      </c>
      <c r="H1839">
        <v>8</v>
      </c>
      <c r="I1839">
        <v>2</v>
      </c>
      <c r="J1839" s="15">
        <v>2801</v>
      </c>
      <c r="K1839">
        <v>2</v>
      </c>
      <c r="L1839" s="15">
        <v>1498</v>
      </c>
      <c r="M1839">
        <v>1</v>
      </c>
      <c r="N1839">
        <v>69</v>
      </c>
      <c r="O1839">
        <v>189</v>
      </c>
      <c r="P1839">
        <f t="shared" si="93"/>
        <v>2024</v>
      </c>
      <c r="Q1839">
        <f t="shared" si="94"/>
        <v>6</v>
      </c>
      <c r="R1839" t="str">
        <f t="shared" si="92"/>
        <v>商品详情页头图推荐</v>
      </c>
      <c r="S1839" t="s">
        <v>628</v>
      </c>
      <c r="T1839" s="546" t="s">
        <v>804</v>
      </c>
    </row>
    <row r="1840" spans="1:20" x14ac:dyDescent="0.3">
      <c r="A1840" t="s">
        <v>627</v>
      </c>
      <c r="B1840" s="16">
        <v>45455</v>
      </c>
      <c r="C1840" t="s">
        <v>3</v>
      </c>
      <c r="D1840" t="s">
        <v>123</v>
      </c>
      <c r="E1840" t="s">
        <v>170</v>
      </c>
      <c r="F1840">
        <v>36</v>
      </c>
      <c r="G1840">
        <v>24</v>
      </c>
      <c r="H1840">
        <v>2</v>
      </c>
      <c r="I1840">
        <v>0</v>
      </c>
      <c r="J1840" s="15">
        <v>6842</v>
      </c>
      <c r="K1840">
        <v>4</v>
      </c>
      <c r="L1840" s="15">
        <v>6842</v>
      </c>
      <c r="M1840">
        <v>4</v>
      </c>
      <c r="N1840">
        <v>32</v>
      </c>
      <c r="O1840">
        <v>17</v>
      </c>
      <c r="P1840">
        <f t="shared" si="93"/>
        <v>2024</v>
      </c>
      <c r="Q1840">
        <f t="shared" si="94"/>
        <v>6</v>
      </c>
      <c r="R1840" t="str">
        <f t="shared" si="92"/>
        <v>店铺超链</v>
      </c>
      <c r="S1840" t="s">
        <v>628</v>
      </c>
      <c r="T1840" s="546" t="s">
        <v>804</v>
      </c>
    </row>
    <row r="1841" spans="1:20" x14ac:dyDescent="0.3">
      <c r="A1841" t="s">
        <v>627</v>
      </c>
      <c r="B1841" s="16">
        <v>45455</v>
      </c>
      <c r="C1841" t="s">
        <v>3</v>
      </c>
      <c r="D1841" t="s">
        <v>127</v>
      </c>
      <c r="E1841" t="s">
        <v>171</v>
      </c>
      <c r="F1841">
        <v>197</v>
      </c>
      <c r="G1841">
        <v>109</v>
      </c>
      <c r="H1841">
        <v>4</v>
      </c>
      <c r="I1841">
        <v>2</v>
      </c>
      <c r="J1841" s="17">
        <v>2339.5700000000002</v>
      </c>
      <c r="K1841">
        <v>1</v>
      </c>
      <c r="L1841" s="17">
        <v>2339.5700000000002</v>
      </c>
      <c r="M1841">
        <v>1</v>
      </c>
      <c r="N1841">
        <v>70</v>
      </c>
      <c r="O1841">
        <v>153</v>
      </c>
      <c r="P1841">
        <f t="shared" si="93"/>
        <v>2024</v>
      </c>
      <c r="Q1841">
        <f t="shared" si="94"/>
        <v>6</v>
      </c>
      <c r="R1841" t="str">
        <f t="shared" si="92"/>
        <v>其他猜你喜欢</v>
      </c>
      <c r="S1841" t="s">
        <v>628</v>
      </c>
      <c r="T1841" s="546" t="s">
        <v>804</v>
      </c>
    </row>
    <row r="1842" spans="1:20" x14ac:dyDescent="0.3">
      <c r="A1842" t="s">
        <v>627</v>
      </c>
      <c r="B1842" s="16">
        <v>45455</v>
      </c>
      <c r="C1842" t="s">
        <v>3</v>
      </c>
      <c r="D1842" t="s">
        <v>127</v>
      </c>
      <c r="E1842" t="s">
        <v>172</v>
      </c>
      <c r="F1842">
        <v>4</v>
      </c>
      <c r="G1842">
        <v>2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4</v>
      </c>
      <c r="P1842">
        <f t="shared" si="93"/>
        <v>2024</v>
      </c>
      <c r="Q1842">
        <f t="shared" si="94"/>
        <v>6</v>
      </c>
      <c r="R1842" t="str">
        <f t="shared" si="92"/>
        <v>购中推荐</v>
      </c>
      <c r="S1842" t="s">
        <v>628</v>
      </c>
      <c r="T1842" s="546" t="s">
        <v>804</v>
      </c>
    </row>
    <row r="1843" spans="1:20" x14ac:dyDescent="0.3">
      <c r="A1843" t="s">
        <v>627</v>
      </c>
      <c r="B1843" s="16">
        <v>45455</v>
      </c>
      <c r="C1843" t="s">
        <v>3</v>
      </c>
      <c r="D1843" t="s">
        <v>127</v>
      </c>
      <c r="E1843" t="s">
        <v>173</v>
      </c>
      <c r="F1843">
        <v>42</v>
      </c>
      <c r="G1843">
        <v>23</v>
      </c>
      <c r="H1843">
        <v>1</v>
      </c>
      <c r="I1843">
        <v>0</v>
      </c>
      <c r="J1843" s="15">
        <v>1303</v>
      </c>
      <c r="K1843">
        <v>1</v>
      </c>
      <c r="L1843" s="15">
        <v>1303</v>
      </c>
      <c r="M1843">
        <v>1</v>
      </c>
      <c r="N1843">
        <v>1</v>
      </c>
      <c r="O1843">
        <v>42</v>
      </c>
      <c r="P1843">
        <f t="shared" si="93"/>
        <v>2024</v>
      </c>
      <c r="Q1843">
        <f t="shared" si="94"/>
        <v>6</v>
      </c>
      <c r="R1843" t="str">
        <f t="shared" si="92"/>
        <v>购后推荐</v>
      </c>
      <c r="S1843" t="s">
        <v>628</v>
      </c>
      <c r="T1843" s="546" t="s">
        <v>804</v>
      </c>
    </row>
    <row r="1844" spans="1:20" x14ac:dyDescent="0.3">
      <c r="A1844" t="s">
        <v>627</v>
      </c>
      <c r="B1844" s="16">
        <v>45455</v>
      </c>
      <c r="C1844" t="s">
        <v>3</v>
      </c>
      <c r="D1844" t="s">
        <v>127</v>
      </c>
      <c r="E1844" t="s">
        <v>174</v>
      </c>
      <c r="F1844" s="15">
        <v>1647</v>
      </c>
      <c r="G1844" s="15">
        <v>1009</v>
      </c>
      <c r="H1844">
        <v>31</v>
      </c>
      <c r="I1844">
        <v>13</v>
      </c>
      <c r="J1844" s="15">
        <v>20974</v>
      </c>
      <c r="K1844">
        <v>9</v>
      </c>
      <c r="L1844" s="15">
        <v>13001</v>
      </c>
      <c r="M1844">
        <v>7</v>
      </c>
      <c r="N1844">
        <v>160</v>
      </c>
      <c r="O1844" s="15">
        <v>1647</v>
      </c>
      <c r="P1844">
        <f t="shared" si="93"/>
        <v>2024</v>
      </c>
      <c r="Q1844">
        <f t="shared" si="94"/>
        <v>6</v>
      </c>
      <c r="R1844" t="str">
        <f t="shared" si="92"/>
        <v>首页推荐-微详情</v>
      </c>
      <c r="S1844" t="s">
        <v>628</v>
      </c>
      <c r="T1844" s="546" t="s">
        <v>804</v>
      </c>
    </row>
    <row r="1845" spans="1:20" x14ac:dyDescent="0.3">
      <c r="A1845" t="s">
        <v>627</v>
      </c>
      <c r="B1845" s="16">
        <v>45455</v>
      </c>
      <c r="C1845" t="s">
        <v>3</v>
      </c>
      <c r="D1845" t="s">
        <v>127</v>
      </c>
      <c r="E1845" t="s">
        <v>175</v>
      </c>
      <c r="F1845">
        <v>55</v>
      </c>
      <c r="G1845">
        <v>15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f t="shared" si="93"/>
        <v>2024</v>
      </c>
      <c r="Q1845">
        <f t="shared" si="94"/>
        <v>6</v>
      </c>
      <c r="R1845" t="str">
        <f t="shared" si="92"/>
        <v>首页推荐-直播</v>
      </c>
      <c r="S1845" t="s">
        <v>628</v>
      </c>
      <c r="T1845" s="546" t="s">
        <v>804</v>
      </c>
    </row>
    <row r="1846" spans="1:20" x14ac:dyDescent="0.3">
      <c r="A1846" t="s">
        <v>627</v>
      </c>
      <c r="B1846" s="16">
        <v>45455</v>
      </c>
      <c r="C1846" t="s">
        <v>3</v>
      </c>
      <c r="D1846" t="s">
        <v>127</v>
      </c>
      <c r="E1846" t="s">
        <v>176</v>
      </c>
      <c r="F1846">
        <v>68</v>
      </c>
      <c r="G1846">
        <v>30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f t="shared" si="93"/>
        <v>2024</v>
      </c>
      <c r="Q1846">
        <f t="shared" si="94"/>
        <v>6</v>
      </c>
      <c r="R1846" t="str">
        <f t="shared" si="92"/>
        <v>首页推荐-短视频</v>
      </c>
      <c r="S1846" t="s">
        <v>628</v>
      </c>
      <c r="T1846" s="546" t="s">
        <v>804</v>
      </c>
    </row>
    <row r="1847" spans="1:20" x14ac:dyDescent="0.3">
      <c r="A1847" t="s">
        <v>627</v>
      </c>
      <c r="B1847" s="16">
        <v>45455</v>
      </c>
      <c r="C1847" t="s">
        <v>3</v>
      </c>
      <c r="D1847" t="s">
        <v>128</v>
      </c>
      <c r="E1847" t="s">
        <v>177</v>
      </c>
      <c r="F1847">
        <v>955</v>
      </c>
      <c r="G1847">
        <v>774</v>
      </c>
      <c r="H1847">
        <v>43</v>
      </c>
      <c r="I1847">
        <v>10</v>
      </c>
      <c r="J1847" s="15">
        <v>78205</v>
      </c>
      <c r="K1847">
        <v>15</v>
      </c>
      <c r="L1847" s="15">
        <v>35020</v>
      </c>
      <c r="M1847">
        <v>13</v>
      </c>
      <c r="N1847">
        <v>291</v>
      </c>
      <c r="O1847">
        <v>857</v>
      </c>
      <c r="P1847">
        <f t="shared" si="93"/>
        <v>2024</v>
      </c>
      <c r="Q1847">
        <f t="shared" si="94"/>
        <v>6</v>
      </c>
      <c r="R1847" t="str">
        <f t="shared" si="92"/>
        <v>手淘搜索-商品及其他</v>
      </c>
      <c r="S1847" t="s">
        <v>628</v>
      </c>
      <c r="T1847" s="546" t="s">
        <v>804</v>
      </c>
    </row>
    <row r="1848" spans="1:20" x14ac:dyDescent="0.3">
      <c r="A1848" t="s">
        <v>627</v>
      </c>
      <c r="B1848" s="16">
        <v>45455</v>
      </c>
      <c r="C1848" t="s">
        <v>3</v>
      </c>
      <c r="D1848" t="s">
        <v>128</v>
      </c>
      <c r="E1848" t="s">
        <v>179</v>
      </c>
      <c r="F1848">
        <v>14</v>
      </c>
      <c r="G1848">
        <v>9</v>
      </c>
      <c r="H1848">
        <v>0</v>
      </c>
      <c r="I1848">
        <v>0</v>
      </c>
      <c r="J1848" s="15">
        <v>2488</v>
      </c>
      <c r="K1848">
        <v>1</v>
      </c>
      <c r="L1848" s="15">
        <v>2488</v>
      </c>
      <c r="M1848">
        <v>1</v>
      </c>
      <c r="N1848">
        <v>1</v>
      </c>
      <c r="O1848">
        <v>5</v>
      </c>
      <c r="P1848">
        <f t="shared" si="93"/>
        <v>2024</v>
      </c>
      <c r="Q1848">
        <f t="shared" si="94"/>
        <v>6</v>
      </c>
      <c r="R1848" t="str">
        <f t="shared" si="92"/>
        <v>手淘搜索-短视频</v>
      </c>
      <c r="S1848" t="s">
        <v>628</v>
      </c>
      <c r="T1848" s="546" t="s">
        <v>804</v>
      </c>
    </row>
    <row r="1849" spans="1:20" x14ac:dyDescent="0.3">
      <c r="A1849" t="s">
        <v>627</v>
      </c>
      <c r="B1849" s="16">
        <v>45455</v>
      </c>
      <c r="C1849" t="s">
        <v>3</v>
      </c>
      <c r="D1849" t="s">
        <v>143</v>
      </c>
      <c r="E1849" t="s">
        <v>180</v>
      </c>
      <c r="F1849">
        <v>14</v>
      </c>
      <c r="G1849">
        <v>14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14</v>
      </c>
      <c r="P1849">
        <f t="shared" si="93"/>
        <v>2024</v>
      </c>
      <c r="Q1849">
        <f t="shared" si="94"/>
        <v>6</v>
      </c>
      <c r="R1849" t="str">
        <f t="shared" si="92"/>
        <v>淘特其他渠道</v>
      </c>
      <c r="S1849" t="s">
        <v>628</v>
      </c>
      <c r="T1849" s="546" t="s">
        <v>804</v>
      </c>
    </row>
    <row r="1850" spans="1:20" x14ac:dyDescent="0.3">
      <c r="A1850" t="s">
        <v>627</v>
      </c>
      <c r="B1850" s="16">
        <v>45455</v>
      </c>
      <c r="C1850" t="s">
        <v>2</v>
      </c>
      <c r="D1850" t="s">
        <v>55</v>
      </c>
      <c r="E1850" t="s">
        <v>54</v>
      </c>
      <c r="F1850">
        <v>12</v>
      </c>
      <c r="G1850">
        <v>9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5</v>
      </c>
      <c r="P1850">
        <f t="shared" si="93"/>
        <v>2024</v>
      </c>
      <c r="Q1850">
        <f t="shared" si="94"/>
        <v>6</v>
      </c>
      <c r="R1850" t="str">
        <f t="shared" si="92"/>
        <v>超级直播</v>
      </c>
      <c r="S1850" t="s">
        <v>628</v>
      </c>
      <c r="T1850" s="546" t="s">
        <v>804</v>
      </c>
    </row>
    <row r="1851" spans="1:20" x14ac:dyDescent="0.3">
      <c r="A1851" t="s">
        <v>627</v>
      </c>
      <c r="B1851" s="16">
        <v>45455</v>
      </c>
      <c r="C1851" t="s">
        <v>2</v>
      </c>
      <c r="D1851" t="s">
        <v>55</v>
      </c>
      <c r="E1851" t="s">
        <v>56</v>
      </c>
      <c r="F1851" s="15">
        <v>17152</v>
      </c>
      <c r="G1851" s="15">
        <v>12761</v>
      </c>
      <c r="H1851">
        <v>2</v>
      </c>
      <c r="I1851">
        <v>5</v>
      </c>
      <c r="J1851">
        <v>0</v>
      </c>
      <c r="K1851">
        <v>0</v>
      </c>
      <c r="L1851">
        <v>0</v>
      </c>
      <c r="M1851">
        <v>0</v>
      </c>
      <c r="N1851">
        <v>8</v>
      </c>
      <c r="O1851">
        <v>867</v>
      </c>
      <c r="P1851">
        <f t="shared" si="93"/>
        <v>2024</v>
      </c>
      <c r="Q1851">
        <f t="shared" si="94"/>
        <v>6</v>
      </c>
      <c r="R1851" t="str">
        <f t="shared" si="92"/>
        <v>超级短视频</v>
      </c>
      <c r="S1851" t="s">
        <v>628</v>
      </c>
      <c r="T1851" s="546" t="s">
        <v>804</v>
      </c>
    </row>
    <row r="1852" spans="1:20" x14ac:dyDescent="0.3">
      <c r="A1852" t="s">
        <v>627</v>
      </c>
      <c r="B1852" s="16">
        <v>45455</v>
      </c>
      <c r="C1852" t="s">
        <v>2</v>
      </c>
      <c r="D1852" t="s">
        <v>52</v>
      </c>
      <c r="E1852" t="s">
        <v>53</v>
      </c>
      <c r="F1852" s="15">
        <v>1117</v>
      </c>
      <c r="G1852">
        <v>885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 s="15">
        <v>1117</v>
      </c>
      <c r="O1852">
        <v>158</v>
      </c>
      <c r="P1852">
        <f t="shared" si="93"/>
        <v>2024</v>
      </c>
      <c r="Q1852">
        <f t="shared" si="94"/>
        <v>6</v>
      </c>
      <c r="R1852" t="str">
        <f t="shared" si="92"/>
        <v>Showmax</v>
      </c>
      <c r="S1852" t="s">
        <v>628</v>
      </c>
      <c r="T1852" s="546" t="s">
        <v>804</v>
      </c>
    </row>
    <row r="1853" spans="1:20" x14ac:dyDescent="0.3">
      <c r="A1853" t="s">
        <v>627</v>
      </c>
      <c r="B1853" s="16">
        <v>45455</v>
      </c>
      <c r="C1853" t="s">
        <v>2</v>
      </c>
      <c r="D1853" t="s">
        <v>52</v>
      </c>
      <c r="E1853" t="s">
        <v>59</v>
      </c>
      <c r="F1853" s="15">
        <v>1816</v>
      </c>
      <c r="G1853" s="15">
        <v>1482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 s="15">
        <v>1816</v>
      </c>
      <c r="O1853">
        <v>275</v>
      </c>
      <c r="P1853">
        <f t="shared" si="93"/>
        <v>2024</v>
      </c>
      <c r="Q1853">
        <f t="shared" si="94"/>
        <v>6</v>
      </c>
      <c r="R1853" t="str">
        <f t="shared" si="92"/>
        <v>品牌特秀</v>
      </c>
      <c r="S1853" t="s">
        <v>628</v>
      </c>
      <c r="T1853" s="546" t="s">
        <v>804</v>
      </c>
    </row>
    <row r="1854" spans="1:20" x14ac:dyDescent="0.3">
      <c r="A1854" t="s">
        <v>627</v>
      </c>
      <c r="B1854" s="16">
        <v>45455</v>
      </c>
      <c r="C1854" t="s">
        <v>2</v>
      </c>
      <c r="D1854" t="s">
        <v>52</v>
      </c>
      <c r="E1854" t="s">
        <v>183</v>
      </c>
      <c r="F1854">
        <v>646</v>
      </c>
      <c r="G1854">
        <v>551</v>
      </c>
      <c r="H1854">
        <v>18</v>
      </c>
      <c r="I1854">
        <v>3</v>
      </c>
      <c r="J1854" s="15">
        <v>22174</v>
      </c>
      <c r="K1854">
        <v>6</v>
      </c>
      <c r="L1854" s="15">
        <v>22174</v>
      </c>
      <c r="M1854">
        <v>6</v>
      </c>
      <c r="N1854">
        <v>646</v>
      </c>
      <c r="O1854">
        <v>325</v>
      </c>
      <c r="P1854">
        <f t="shared" si="93"/>
        <v>2024</v>
      </c>
      <c r="Q1854">
        <f t="shared" si="94"/>
        <v>6</v>
      </c>
      <c r="R1854" t="str">
        <f t="shared" si="92"/>
        <v>品销宝-品牌专区</v>
      </c>
      <c r="S1854" t="s">
        <v>628</v>
      </c>
      <c r="T1854" s="546" t="s">
        <v>804</v>
      </c>
    </row>
    <row r="1855" spans="1:20" x14ac:dyDescent="0.3">
      <c r="A1855" t="s">
        <v>627</v>
      </c>
      <c r="B1855" s="16">
        <v>45455</v>
      </c>
      <c r="C1855" t="s">
        <v>2</v>
      </c>
      <c r="D1855" t="s">
        <v>52</v>
      </c>
      <c r="E1855" t="s">
        <v>58</v>
      </c>
      <c r="F1855">
        <v>1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</v>
      </c>
      <c r="P1855">
        <f t="shared" si="93"/>
        <v>2024</v>
      </c>
      <c r="Q1855">
        <f t="shared" si="94"/>
        <v>6</v>
      </c>
      <c r="R1855" t="str">
        <f t="shared" si="92"/>
        <v>超级全域通</v>
      </c>
      <c r="S1855" t="s">
        <v>628</v>
      </c>
      <c r="T1855" s="546" t="s">
        <v>804</v>
      </c>
    </row>
    <row r="1856" spans="1:20" x14ac:dyDescent="0.3">
      <c r="A1856" t="s">
        <v>627</v>
      </c>
      <c r="B1856" s="16">
        <v>45455</v>
      </c>
      <c r="C1856" t="s">
        <v>2</v>
      </c>
      <c r="D1856" t="s">
        <v>57</v>
      </c>
      <c r="E1856" t="s">
        <v>65</v>
      </c>
      <c r="F1856" s="15">
        <v>3264</v>
      </c>
      <c r="G1856" s="15">
        <v>2809</v>
      </c>
      <c r="H1856">
        <v>46</v>
      </c>
      <c r="I1856">
        <v>25</v>
      </c>
      <c r="J1856" s="15">
        <v>85920</v>
      </c>
      <c r="K1856">
        <v>19</v>
      </c>
      <c r="L1856" s="15">
        <v>55055</v>
      </c>
      <c r="M1856">
        <v>17</v>
      </c>
      <c r="N1856">
        <v>312</v>
      </c>
      <c r="O1856" s="15">
        <v>3228</v>
      </c>
      <c r="P1856">
        <f t="shared" si="93"/>
        <v>2024</v>
      </c>
      <c r="Q1856">
        <f t="shared" si="94"/>
        <v>6</v>
      </c>
      <c r="R1856" t="str">
        <f t="shared" si="92"/>
        <v>直通车</v>
      </c>
      <c r="S1856" t="s">
        <v>628</v>
      </c>
      <c r="T1856" s="546" t="s">
        <v>804</v>
      </c>
    </row>
    <row r="1857" spans="1:20" x14ac:dyDescent="0.3">
      <c r="A1857" t="s">
        <v>627</v>
      </c>
      <c r="B1857" s="16">
        <v>45455</v>
      </c>
      <c r="C1857" t="s">
        <v>2</v>
      </c>
      <c r="D1857" t="s">
        <v>57</v>
      </c>
      <c r="E1857" t="s">
        <v>63</v>
      </c>
      <c r="F1857" s="15">
        <v>3391</v>
      </c>
      <c r="G1857" s="15">
        <v>2044</v>
      </c>
      <c r="H1857">
        <v>39</v>
      </c>
      <c r="I1857">
        <v>32</v>
      </c>
      <c r="J1857" s="15">
        <v>16444</v>
      </c>
      <c r="K1857">
        <v>7</v>
      </c>
      <c r="L1857" s="15">
        <v>16444</v>
      </c>
      <c r="M1857">
        <v>7</v>
      </c>
      <c r="N1857">
        <v>185</v>
      </c>
      <c r="O1857" s="15">
        <v>3390</v>
      </c>
      <c r="P1857">
        <f t="shared" si="93"/>
        <v>2024</v>
      </c>
      <c r="Q1857">
        <f t="shared" si="94"/>
        <v>6</v>
      </c>
      <c r="R1857" t="str">
        <f t="shared" si="92"/>
        <v>万相台</v>
      </c>
      <c r="S1857" t="s">
        <v>628</v>
      </c>
      <c r="T1857" s="546" t="s">
        <v>804</v>
      </c>
    </row>
    <row r="1858" spans="1:20" x14ac:dyDescent="0.3">
      <c r="A1858" t="s">
        <v>627</v>
      </c>
      <c r="B1858" s="16">
        <v>45455</v>
      </c>
      <c r="C1858" t="s">
        <v>2</v>
      </c>
      <c r="D1858" t="s">
        <v>57</v>
      </c>
      <c r="E1858" t="s">
        <v>64</v>
      </c>
      <c r="F1858" s="15">
        <v>13874</v>
      </c>
      <c r="G1858" s="15">
        <v>6752</v>
      </c>
      <c r="H1858">
        <v>27</v>
      </c>
      <c r="I1858">
        <v>25</v>
      </c>
      <c r="J1858" s="17">
        <v>13190.27</v>
      </c>
      <c r="K1858">
        <v>6</v>
      </c>
      <c r="L1858" s="17">
        <v>9630.27</v>
      </c>
      <c r="M1858">
        <v>5</v>
      </c>
      <c r="N1858">
        <v>277</v>
      </c>
      <c r="O1858" s="15">
        <v>13870</v>
      </c>
      <c r="P1858">
        <f t="shared" si="93"/>
        <v>2024</v>
      </c>
      <c r="Q1858">
        <f t="shared" si="94"/>
        <v>6</v>
      </c>
      <c r="R1858" t="str">
        <f t="shared" si="92"/>
        <v>引力魔方</v>
      </c>
      <c r="S1858" t="s">
        <v>628</v>
      </c>
      <c r="T1858" s="546" t="s">
        <v>804</v>
      </c>
    </row>
    <row r="1859" spans="1:20" x14ac:dyDescent="0.3">
      <c r="A1859" t="s">
        <v>627</v>
      </c>
      <c r="B1859" s="16">
        <v>45455</v>
      </c>
      <c r="C1859" t="s">
        <v>2</v>
      </c>
      <c r="D1859" t="s">
        <v>4</v>
      </c>
      <c r="E1859" t="s">
        <v>41</v>
      </c>
      <c r="F1859">
        <v>1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</v>
      </c>
      <c r="P1859">
        <f t="shared" si="93"/>
        <v>2024</v>
      </c>
      <c r="Q1859">
        <f t="shared" si="94"/>
        <v>6</v>
      </c>
      <c r="R1859" t="str">
        <f t="shared" si="92"/>
        <v>流量宝</v>
      </c>
      <c r="S1859" t="s">
        <v>628</v>
      </c>
      <c r="T1859" s="546" t="s">
        <v>804</v>
      </c>
    </row>
    <row r="1860" spans="1:20" x14ac:dyDescent="0.3">
      <c r="A1860" t="s">
        <v>627</v>
      </c>
      <c r="B1860" s="16">
        <v>45455</v>
      </c>
      <c r="C1860" t="s">
        <v>2</v>
      </c>
      <c r="D1860" t="s">
        <v>4</v>
      </c>
      <c r="E1860" t="s">
        <v>43</v>
      </c>
      <c r="F1860" s="15">
        <v>2147</v>
      </c>
      <c r="G1860">
        <v>480</v>
      </c>
      <c r="H1860">
        <v>4</v>
      </c>
      <c r="I1860">
        <v>1</v>
      </c>
      <c r="J1860" s="17">
        <v>11627.57</v>
      </c>
      <c r="K1860">
        <v>3</v>
      </c>
      <c r="L1860" s="17">
        <v>11627.57</v>
      </c>
      <c r="M1860">
        <v>3</v>
      </c>
      <c r="N1860">
        <v>17</v>
      </c>
      <c r="O1860" s="15">
        <v>2141</v>
      </c>
      <c r="P1860">
        <f t="shared" si="93"/>
        <v>2024</v>
      </c>
      <c r="Q1860">
        <f t="shared" si="94"/>
        <v>6</v>
      </c>
      <c r="R1860" t="str">
        <f t="shared" si="92"/>
        <v>淘宝客</v>
      </c>
      <c r="S1860" t="s">
        <v>628</v>
      </c>
      <c r="T1860" s="546" t="s">
        <v>804</v>
      </c>
    </row>
    <row r="1861" spans="1:20" x14ac:dyDescent="0.3">
      <c r="A1861" t="s">
        <v>627</v>
      </c>
      <c r="B1861" s="16">
        <v>45456</v>
      </c>
      <c r="C1861" t="s">
        <v>3</v>
      </c>
      <c r="D1861" t="s">
        <v>114</v>
      </c>
      <c r="E1861" t="s">
        <v>159</v>
      </c>
      <c r="F1861">
        <v>79</v>
      </c>
      <c r="G1861">
        <v>45</v>
      </c>
      <c r="H1861">
        <v>2</v>
      </c>
      <c r="I1861">
        <v>3</v>
      </c>
      <c r="J1861">
        <v>0</v>
      </c>
      <c r="K1861">
        <v>0</v>
      </c>
      <c r="L1861">
        <v>0</v>
      </c>
      <c r="M1861">
        <v>0</v>
      </c>
      <c r="N1861">
        <v>16</v>
      </c>
      <c r="O1861">
        <v>73</v>
      </c>
      <c r="P1861">
        <f t="shared" si="93"/>
        <v>2024</v>
      </c>
      <c r="Q1861">
        <f t="shared" si="94"/>
        <v>6</v>
      </c>
      <c r="R1861" t="str">
        <f t="shared" si="92"/>
        <v>主会场</v>
      </c>
      <c r="S1861" t="s">
        <v>628</v>
      </c>
      <c r="T1861" s="546" t="s">
        <v>804</v>
      </c>
    </row>
    <row r="1862" spans="1:20" x14ac:dyDescent="0.3">
      <c r="A1862" t="s">
        <v>627</v>
      </c>
      <c r="B1862" s="16">
        <v>45456</v>
      </c>
      <c r="C1862" t="s">
        <v>3</v>
      </c>
      <c r="D1862" t="s">
        <v>117</v>
      </c>
      <c r="E1862" t="s">
        <v>161</v>
      </c>
      <c r="F1862">
        <v>2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2</v>
      </c>
      <c r="P1862">
        <f t="shared" si="93"/>
        <v>2024</v>
      </c>
      <c r="Q1862">
        <f t="shared" si="94"/>
        <v>6</v>
      </c>
      <c r="R1862" t="str">
        <f t="shared" si="92"/>
        <v>其他入口榜单</v>
      </c>
      <c r="S1862" t="s">
        <v>628</v>
      </c>
      <c r="T1862" s="546" t="s">
        <v>804</v>
      </c>
    </row>
    <row r="1863" spans="1:20" x14ac:dyDescent="0.3">
      <c r="A1863" t="s">
        <v>627</v>
      </c>
      <c r="B1863" s="16">
        <v>45456</v>
      </c>
      <c r="C1863" t="s">
        <v>3</v>
      </c>
      <c r="D1863" t="s">
        <v>120</v>
      </c>
      <c r="E1863" t="s">
        <v>162</v>
      </c>
      <c r="F1863">
        <v>1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f t="shared" si="93"/>
        <v>2024</v>
      </c>
      <c r="Q1863">
        <f t="shared" si="94"/>
        <v>6</v>
      </c>
      <c r="R1863" t="str">
        <f t="shared" ref="R1863:R1926" si="95">E1863</f>
        <v>手机浏览器访问天猫</v>
      </c>
      <c r="S1863" t="s">
        <v>628</v>
      </c>
      <c r="T1863" s="546" t="s">
        <v>804</v>
      </c>
    </row>
    <row r="1864" spans="1:20" x14ac:dyDescent="0.3">
      <c r="A1864" t="s">
        <v>627</v>
      </c>
      <c r="B1864" s="16">
        <v>45456</v>
      </c>
      <c r="C1864" t="s">
        <v>3</v>
      </c>
      <c r="D1864" t="s">
        <v>120</v>
      </c>
      <c r="E1864" t="s">
        <v>163</v>
      </c>
      <c r="F1864">
        <v>76</v>
      </c>
      <c r="G1864">
        <v>39</v>
      </c>
      <c r="H1864">
        <v>1</v>
      </c>
      <c r="I1864">
        <v>0</v>
      </c>
      <c r="J1864" s="15">
        <v>7410</v>
      </c>
      <c r="K1864">
        <v>3</v>
      </c>
      <c r="L1864" s="15">
        <v>7410</v>
      </c>
      <c r="M1864">
        <v>3</v>
      </c>
      <c r="N1864">
        <v>21</v>
      </c>
      <c r="O1864">
        <v>73</v>
      </c>
      <c r="P1864">
        <f t="shared" si="93"/>
        <v>2024</v>
      </c>
      <c r="Q1864">
        <f t="shared" si="94"/>
        <v>6</v>
      </c>
      <c r="R1864" t="str">
        <f t="shared" si="95"/>
        <v>手猫免费其他</v>
      </c>
      <c r="S1864" t="s">
        <v>628</v>
      </c>
      <c r="T1864" s="546" t="s">
        <v>804</v>
      </c>
    </row>
    <row r="1865" spans="1:20" x14ac:dyDescent="0.3">
      <c r="A1865" t="s">
        <v>627</v>
      </c>
      <c r="B1865" s="16">
        <v>45456</v>
      </c>
      <c r="C1865" t="s">
        <v>3</v>
      </c>
      <c r="D1865" t="s">
        <v>120</v>
      </c>
      <c r="E1865" t="s">
        <v>164</v>
      </c>
      <c r="F1865">
        <v>11</v>
      </c>
      <c r="G1865">
        <v>7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11</v>
      </c>
      <c r="P1865">
        <f t="shared" si="93"/>
        <v>2024</v>
      </c>
      <c r="Q1865">
        <f t="shared" si="94"/>
        <v>6</v>
      </c>
      <c r="R1865" t="str">
        <f t="shared" si="95"/>
        <v>手猫其他店铺</v>
      </c>
      <c r="S1865" t="s">
        <v>628</v>
      </c>
      <c r="T1865" s="546" t="s">
        <v>804</v>
      </c>
    </row>
    <row r="1866" spans="1:20" x14ac:dyDescent="0.3">
      <c r="A1866" t="s">
        <v>627</v>
      </c>
      <c r="B1866" s="16">
        <v>45456</v>
      </c>
      <c r="C1866" t="s">
        <v>3</v>
      </c>
      <c r="D1866" t="s">
        <v>120</v>
      </c>
      <c r="E1866" t="s">
        <v>165</v>
      </c>
      <c r="F1866">
        <v>25</v>
      </c>
      <c r="G1866">
        <v>8</v>
      </c>
      <c r="H1866">
        <v>0</v>
      </c>
      <c r="I1866">
        <v>0</v>
      </c>
      <c r="J1866" s="15">
        <v>1680</v>
      </c>
      <c r="K1866">
        <v>1</v>
      </c>
      <c r="L1866" s="15">
        <v>1680</v>
      </c>
      <c r="M1866">
        <v>1</v>
      </c>
      <c r="N1866">
        <v>6</v>
      </c>
      <c r="O1866">
        <v>22</v>
      </c>
      <c r="P1866">
        <f t="shared" si="93"/>
        <v>2024</v>
      </c>
      <c r="Q1866">
        <f t="shared" si="94"/>
        <v>6</v>
      </c>
      <c r="R1866" t="str">
        <f t="shared" si="95"/>
        <v>手猫商品详情</v>
      </c>
      <c r="S1866" t="s">
        <v>628</v>
      </c>
      <c r="T1866" s="546" t="s">
        <v>804</v>
      </c>
    </row>
    <row r="1867" spans="1:20" x14ac:dyDescent="0.3">
      <c r="A1867" t="s">
        <v>627</v>
      </c>
      <c r="B1867" s="16">
        <v>45456</v>
      </c>
      <c r="C1867" t="s">
        <v>3</v>
      </c>
      <c r="D1867" t="s">
        <v>120</v>
      </c>
      <c r="E1867" t="s">
        <v>166</v>
      </c>
      <c r="F1867">
        <v>57</v>
      </c>
      <c r="G1867">
        <v>40</v>
      </c>
      <c r="H1867">
        <v>2</v>
      </c>
      <c r="I1867">
        <v>0</v>
      </c>
      <c r="J1867" s="15">
        <v>3178</v>
      </c>
      <c r="K1867">
        <v>2</v>
      </c>
      <c r="L1867" s="15">
        <v>3178</v>
      </c>
      <c r="M1867">
        <v>2</v>
      </c>
      <c r="N1867">
        <v>19</v>
      </c>
      <c r="O1867">
        <v>48</v>
      </c>
      <c r="P1867">
        <f t="shared" si="93"/>
        <v>2024</v>
      </c>
      <c r="Q1867">
        <f t="shared" si="94"/>
        <v>6</v>
      </c>
      <c r="R1867" t="str">
        <f t="shared" si="95"/>
        <v>手猫搜索</v>
      </c>
      <c r="S1867" t="s">
        <v>628</v>
      </c>
      <c r="T1867" s="546" t="s">
        <v>804</v>
      </c>
    </row>
    <row r="1868" spans="1:20" x14ac:dyDescent="0.3">
      <c r="A1868" t="s">
        <v>627</v>
      </c>
      <c r="B1868" s="16">
        <v>45456</v>
      </c>
      <c r="C1868" t="s">
        <v>3</v>
      </c>
      <c r="D1868" t="s">
        <v>120</v>
      </c>
      <c r="E1868" t="s">
        <v>167</v>
      </c>
      <c r="F1868">
        <v>1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1</v>
      </c>
      <c r="P1868">
        <f t="shared" si="93"/>
        <v>2024</v>
      </c>
      <c r="Q1868">
        <f t="shared" si="94"/>
        <v>6</v>
      </c>
      <c r="R1868" t="str">
        <f t="shared" si="95"/>
        <v>手猫旺信聊天</v>
      </c>
      <c r="S1868" t="s">
        <v>628</v>
      </c>
      <c r="T1868" s="546" t="s">
        <v>804</v>
      </c>
    </row>
    <row r="1869" spans="1:20" x14ac:dyDescent="0.3">
      <c r="A1869" t="s">
        <v>627</v>
      </c>
      <c r="B1869" s="16">
        <v>45456</v>
      </c>
      <c r="C1869" t="s">
        <v>3</v>
      </c>
      <c r="D1869" t="s">
        <v>120</v>
      </c>
      <c r="E1869" t="s">
        <v>168</v>
      </c>
      <c r="F1869">
        <v>305</v>
      </c>
      <c r="G1869">
        <v>163</v>
      </c>
      <c r="H1869">
        <v>1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11</v>
      </c>
      <c r="O1869">
        <v>305</v>
      </c>
      <c r="P1869">
        <f t="shared" si="93"/>
        <v>2024</v>
      </c>
      <c r="Q1869">
        <f t="shared" si="94"/>
        <v>6</v>
      </c>
      <c r="R1869" t="str">
        <f t="shared" si="95"/>
        <v>手猫首页</v>
      </c>
      <c r="S1869" t="s">
        <v>628</v>
      </c>
      <c r="T1869" s="546" t="s">
        <v>804</v>
      </c>
    </row>
    <row r="1870" spans="1:20" x14ac:dyDescent="0.3">
      <c r="A1870" t="s">
        <v>627</v>
      </c>
      <c r="B1870" s="16">
        <v>45456</v>
      </c>
      <c r="C1870" t="s">
        <v>3</v>
      </c>
      <c r="D1870" t="s">
        <v>123</v>
      </c>
      <c r="E1870" t="s">
        <v>169</v>
      </c>
      <c r="F1870">
        <v>137</v>
      </c>
      <c r="G1870">
        <v>55</v>
      </c>
      <c r="H1870">
        <v>3</v>
      </c>
      <c r="I1870">
        <v>3</v>
      </c>
      <c r="J1870" s="15">
        <v>5734</v>
      </c>
      <c r="K1870">
        <v>3</v>
      </c>
      <c r="L1870" s="15">
        <v>5734</v>
      </c>
      <c r="M1870">
        <v>3</v>
      </c>
      <c r="N1870">
        <v>44</v>
      </c>
      <c r="O1870">
        <v>125</v>
      </c>
      <c r="P1870">
        <f t="shared" si="93"/>
        <v>2024</v>
      </c>
      <c r="Q1870">
        <f t="shared" si="94"/>
        <v>6</v>
      </c>
      <c r="R1870" t="str">
        <f t="shared" si="95"/>
        <v>商品详情页头图推荐</v>
      </c>
      <c r="S1870" t="s">
        <v>628</v>
      </c>
      <c r="T1870" s="546" t="s">
        <v>804</v>
      </c>
    </row>
    <row r="1871" spans="1:20" x14ac:dyDescent="0.3">
      <c r="A1871" t="s">
        <v>627</v>
      </c>
      <c r="B1871" s="16">
        <v>45456</v>
      </c>
      <c r="C1871" t="s">
        <v>3</v>
      </c>
      <c r="D1871" t="s">
        <v>123</v>
      </c>
      <c r="E1871" t="s">
        <v>170</v>
      </c>
      <c r="F1871">
        <v>20</v>
      </c>
      <c r="G1871">
        <v>13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18</v>
      </c>
      <c r="O1871">
        <v>6</v>
      </c>
      <c r="P1871">
        <f t="shared" si="93"/>
        <v>2024</v>
      </c>
      <c r="Q1871">
        <f t="shared" si="94"/>
        <v>6</v>
      </c>
      <c r="R1871" t="str">
        <f t="shared" si="95"/>
        <v>店铺超链</v>
      </c>
      <c r="S1871" t="s">
        <v>628</v>
      </c>
      <c r="T1871" s="546" t="s">
        <v>804</v>
      </c>
    </row>
    <row r="1872" spans="1:20" x14ac:dyDescent="0.3">
      <c r="A1872" t="s">
        <v>627</v>
      </c>
      <c r="B1872" s="16">
        <v>45456</v>
      </c>
      <c r="C1872" t="s">
        <v>3</v>
      </c>
      <c r="D1872" t="s">
        <v>127</v>
      </c>
      <c r="E1872" t="s">
        <v>171</v>
      </c>
      <c r="F1872">
        <v>200</v>
      </c>
      <c r="G1872">
        <v>113</v>
      </c>
      <c r="H1872">
        <v>5</v>
      </c>
      <c r="I1872">
        <v>1</v>
      </c>
      <c r="J1872" s="15">
        <v>5037</v>
      </c>
      <c r="K1872">
        <v>3</v>
      </c>
      <c r="L1872" s="15">
        <v>5037</v>
      </c>
      <c r="M1872">
        <v>3</v>
      </c>
      <c r="N1872">
        <v>75</v>
      </c>
      <c r="O1872">
        <v>166</v>
      </c>
      <c r="P1872">
        <f t="shared" si="93"/>
        <v>2024</v>
      </c>
      <c r="Q1872">
        <f t="shared" si="94"/>
        <v>6</v>
      </c>
      <c r="R1872" t="str">
        <f t="shared" si="95"/>
        <v>其他猜你喜欢</v>
      </c>
      <c r="S1872" t="s">
        <v>628</v>
      </c>
      <c r="T1872" s="546" t="s">
        <v>804</v>
      </c>
    </row>
    <row r="1873" spans="1:20" x14ac:dyDescent="0.3">
      <c r="A1873" t="s">
        <v>627</v>
      </c>
      <c r="B1873" s="16">
        <v>45456</v>
      </c>
      <c r="C1873" t="s">
        <v>3</v>
      </c>
      <c r="D1873" t="s">
        <v>127</v>
      </c>
      <c r="E1873" t="s">
        <v>172</v>
      </c>
      <c r="F1873">
        <v>5</v>
      </c>
      <c r="G1873">
        <v>3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5</v>
      </c>
      <c r="P1873">
        <f t="shared" si="93"/>
        <v>2024</v>
      </c>
      <c r="Q1873">
        <f t="shared" si="94"/>
        <v>6</v>
      </c>
      <c r="R1873" t="str">
        <f t="shared" si="95"/>
        <v>购中推荐</v>
      </c>
      <c r="S1873" t="s">
        <v>628</v>
      </c>
      <c r="T1873" s="546" t="s">
        <v>804</v>
      </c>
    </row>
    <row r="1874" spans="1:20" x14ac:dyDescent="0.3">
      <c r="A1874" t="s">
        <v>627</v>
      </c>
      <c r="B1874" s="16">
        <v>45456</v>
      </c>
      <c r="C1874" t="s">
        <v>3</v>
      </c>
      <c r="D1874" t="s">
        <v>127</v>
      </c>
      <c r="E1874" t="s">
        <v>173</v>
      </c>
      <c r="F1874">
        <v>33</v>
      </c>
      <c r="G1874">
        <v>23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2</v>
      </c>
      <c r="O1874">
        <v>32</v>
      </c>
      <c r="P1874">
        <f t="shared" si="93"/>
        <v>2024</v>
      </c>
      <c r="Q1874">
        <f t="shared" si="94"/>
        <v>6</v>
      </c>
      <c r="R1874" t="str">
        <f t="shared" si="95"/>
        <v>购后推荐</v>
      </c>
      <c r="S1874" t="s">
        <v>628</v>
      </c>
      <c r="T1874" s="546" t="s">
        <v>804</v>
      </c>
    </row>
    <row r="1875" spans="1:20" x14ac:dyDescent="0.3">
      <c r="A1875" t="s">
        <v>627</v>
      </c>
      <c r="B1875" s="16">
        <v>45456</v>
      </c>
      <c r="C1875" t="s">
        <v>3</v>
      </c>
      <c r="D1875" t="s">
        <v>127</v>
      </c>
      <c r="E1875" t="s">
        <v>174</v>
      </c>
      <c r="F1875" s="15">
        <v>1615</v>
      </c>
      <c r="G1875">
        <v>927</v>
      </c>
      <c r="H1875">
        <v>33</v>
      </c>
      <c r="I1875">
        <v>15</v>
      </c>
      <c r="J1875" s="17">
        <v>11667.51</v>
      </c>
      <c r="K1875">
        <v>7</v>
      </c>
      <c r="L1875" s="17">
        <v>11667.51</v>
      </c>
      <c r="M1875">
        <v>7</v>
      </c>
      <c r="N1875">
        <v>127</v>
      </c>
      <c r="O1875" s="15">
        <v>1615</v>
      </c>
      <c r="P1875">
        <f t="shared" si="93"/>
        <v>2024</v>
      </c>
      <c r="Q1875">
        <f t="shared" si="94"/>
        <v>6</v>
      </c>
      <c r="R1875" t="str">
        <f t="shared" si="95"/>
        <v>首页推荐-微详情</v>
      </c>
      <c r="S1875" t="s">
        <v>628</v>
      </c>
      <c r="T1875" s="546" t="s">
        <v>804</v>
      </c>
    </row>
    <row r="1876" spans="1:20" x14ac:dyDescent="0.3">
      <c r="A1876" t="s">
        <v>627</v>
      </c>
      <c r="B1876" s="16">
        <v>45456</v>
      </c>
      <c r="C1876" t="s">
        <v>3</v>
      </c>
      <c r="D1876" t="s">
        <v>127</v>
      </c>
      <c r="E1876" t="s">
        <v>175</v>
      </c>
      <c r="F1876">
        <v>29</v>
      </c>
      <c r="G1876">
        <v>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f t="shared" si="93"/>
        <v>2024</v>
      </c>
      <c r="Q1876">
        <f t="shared" si="94"/>
        <v>6</v>
      </c>
      <c r="R1876" t="str">
        <f t="shared" si="95"/>
        <v>首页推荐-直播</v>
      </c>
      <c r="S1876" t="s">
        <v>628</v>
      </c>
      <c r="T1876" s="546" t="s">
        <v>804</v>
      </c>
    </row>
    <row r="1877" spans="1:20" x14ac:dyDescent="0.3">
      <c r="A1877" t="s">
        <v>627</v>
      </c>
      <c r="B1877" s="16">
        <v>45456</v>
      </c>
      <c r="C1877" t="s">
        <v>3</v>
      </c>
      <c r="D1877" t="s">
        <v>127</v>
      </c>
      <c r="E1877" t="s">
        <v>176</v>
      </c>
      <c r="F1877">
        <v>45</v>
      </c>
      <c r="G1877">
        <v>19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f t="shared" ref="P1877:P1940" si="96">YEAR(B1877)</f>
        <v>2024</v>
      </c>
      <c r="Q1877">
        <f t="shared" ref="Q1877:Q1940" si="97">MONTH(B1877)</f>
        <v>6</v>
      </c>
      <c r="R1877" t="str">
        <f t="shared" si="95"/>
        <v>首页推荐-短视频</v>
      </c>
      <c r="S1877" t="s">
        <v>628</v>
      </c>
      <c r="T1877" s="546" t="s">
        <v>804</v>
      </c>
    </row>
    <row r="1878" spans="1:20" x14ac:dyDescent="0.3">
      <c r="A1878" t="s">
        <v>627</v>
      </c>
      <c r="B1878" s="16">
        <v>45456</v>
      </c>
      <c r="C1878" t="s">
        <v>3</v>
      </c>
      <c r="D1878" t="s">
        <v>128</v>
      </c>
      <c r="E1878" t="s">
        <v>177</v>
      </c>
      <c r="F1878">
        <v>889</v>
      </c>
      <c r="G1878">
        <v>702</v>
      </c>
      <c r="H1878">
        <v>35</v>
      </c>
      <c r="I1878">
        <v>15</v>
      </c>
      <c r="J1878" s="15">
        <v>25695</v>
      </c>
      <c r="K1878">
        <v>9</v>
      </c>
      <c r="L1878" s="15">
        <v>12745</v>
      </c>
      <c r="M1878">
        <v>8</v>
      </c>
      <c r="N1878">
        <v>250</v>
      </c>
      <c r="O1878">
        <v>822</v>
      </c>
      <c r="P1878">
        <f t="shared" si="96"/>
        <v>2024</v>
      </c>
      <c r="Q1878">
        <f t="shared" si="97"/>
        <v>6</v>
      </c>
      <c r="R1878" t="str">
        <f t="shared" si="95"/>
        <v>手淘搜索-商品及其他</v>
      </c>
      <c r="S1878" t="s">
        <v>628</v>
      </c>
      <c r="T1878" s="546" t="s">
        <v>804</v>
      </c>
    </row>
    <row r="1879" spans="1:20" x14ac:dyDescent="0.3">
      <c r="A1879" t="s">
        <v>627</v>
      </c>
      <c r="B1879" s="16">
        <v>45456</v>
      </c>
      <c r="C1879" t="s">
        <v>3</v>
      </c>
      <c r="D1879" t="s">
        <v>128</v>
      </c>
      <c r="E1879" t="s">
        <v>179</v>
      </c>
      <c r="F1879">
        <v>30</v>
      </c>
      <c r="G1879">
        <v>18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5</v>
      </c>
      <c r="O1879">
        <v>9</v>
      </c>
      <c r="P1879">
        <f t="shared" si="96"/>
        <v>2024</v>
      </c>
      <c r="Q1879">
        <f t="shared" si="97"/>
        <v>6</v>
      </c>
      <c r="R1879" t="str">
        <f t="shared" si="95"/>
        <v>手淘搜索-短视频</v>
      </c>
      <c r="S1879" t="s">
        <v>628</v>
      </c>
      <c r="T1879" s="546" t="s">
        <v>804</v>
      </c>
    </row>
    <row r="1880" spans="1:20" x14ac:dyDescent="0.3">
      <c r="A1880" t="s">
        <v>627</v>
      </c>
      <c r="B1880" s="16">
        <v>45456</v>
      </c>
      <c r="C1880" t="s">
        <v>3</v>
      </c>
      <c r="D1880" t="s">
        <v>143</v>
      </c>
      <c r="E1880" t="s">
        <v>180</v>
      </c>
      <c r="F1880">
        <v>7</v>
      </c>
      <c r="G1880">
        <v>7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7</v>
      </c>
      <c r="P1880">
        <f t="shared" si="96"/>
        <v>2024</v>
      </c>
      <c r="Q1880">
        <f t="shared" si="97"/>
        <v>6</v>
      </c>
      <c r="R1880" t="str">
        <f t="shared" si="95"/>
        <v>淘特其他渠道</v>
      </c>
      <c r="S1880" t="s">
        <v>628</v>
      </c>
      <c r="T1880" s="546" t="s">
        <v>804</v>
      </c>
    </row>
    <row r="1881" spans="1:20" x14ac:dyDescent="0.3">
      <c r="A1881" t="s">
        <v>627</v>
      </c>
      <c r="B1881" s="16">
        <v>45456</v>
      </c>
      <c r="C1881" t="s">
        <v>2</v>
      </c>
      <c r="D1881" t="s">
        <v>55</v>
      </c>
      <c r="E1881" t="s">
        <v>56</v>
      </c>
      <c r="F1881" s="15">
        <v>10095</v>
      </c>
      <c r="G1881" s="15">
        <v>7720</v>
      </c>
      <c r="H1881">
        <v>1</v>
      </c>
      <c r="I1881">
        <v>4</v>
      </c>
      <c r="J1881">
        <v>0</v>
      </c>
      <c r="K1881">
        <v>0</v>
      </c>
      <c r="L1881">
        <v>0</v>
      </c>
      <c r="M1881">
        <v>0</v>
      </c>
      <c r="N1881">
        <v>8</v>
      </c>
      <c r="O1881">
        <v>333</v>
      </c>
      <c r="P1881">
        <f t="shared" si="96"/>
        <v>2024</v>
      </c>
      <c r="Q1881">
        <f t="shared" si="97"/>
        <v>6</v>
      </c>
      <c r="R1881" t="str">
        <f t="shared" si="95"/>
        <v>超级短视频</v>
      </c>
      <c r="S1881" t="s">
        <v>628</v>
      </c>
      <c r="T1881" s="546" t="s">
        <v>804</v>
      </c>
    </row>
    <row r="1882" spans="1:20" x14ac:dyDescent="0.3">
      <c r="A1882" t="s">
        <v>627</v>
      </c>
      <c r="B1882" s="16">
        <v>45456</v>
      </c>
      <c r="C1882" t="s">
        <v>2</v>
      </c>
      <c r="D1882" t="s">
        <v>52</v>
      </c>
      <c r="E1882" t="s">
        <v>53</v>
      </c>
      <c r="F1882" s="15">
        <v>1165</v>
      </c>
      <c r="G1882">
        <v>933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 s="15">
        <v>1165</v>
      </c>
      <c r="O1882">
        <v>153</v>
      </c>
      <c r="P1882">
        <f t="shared" si="96"/>
        <v>2024</v>
      </c>
      <c r="Q1882">
        <f t="shared" si="97"/>
        <v>6</v>
      </c>
      <c r="R1882" t="str">
        <f t="shared" si="95"/>
        <v>Showmax</v>
      </c>
      <c r="S1882" t="s">
        <v>628</v>
      </c>
      <c r="T1882" s="546" t="s">
        <v>804</v>
      </c>
    </row>
    <row r="1883" spans="1:20" x14ac:dyDescent="0.3">
      <c r="A1883" t="s">
        <v>627</v>
      </c>
      <c r="B1883" s="16">
        <v>45456</v>
      </c>
      <c r="C1883" t="s">
        <v>2</v>
      </c>
      <c r="D1883" t="s">
        <v>52</v>
      </c>
      <c r="E1883" t="s">
        <v>59</v>
      </c>
      <c r="F1883" s="15">
        <v>1732</v>
      </c>
      <c r="G1883" s="15">
        <v>1395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 s="15">
        <v>1732</v>
      </c>
      <c r="O1883">
        <v>230</v>
      </c>
      <c r="P1883">
        <f t="shared" si="96"/>
        <v>2024</v>
      </c>
      <c r="Q1883">
        <f t="shared" si="97"/>
        <v>6</v>
      </c>
      <c r="R1883" t="str">
        <f t="shared" si="95"/>
        <v>品牌特秀</v>
      </c>
      <c r="S1883" t="s">
        <v>628</v>
      </c>
      <c r="T1883" s="546" t="s">
        <v>804</v>
      </c>
    </row>
    <row r="1884" spans="1:20" x14ac:dyDescent="0.3">
      <c r="A1884" t="s">
        <v>627</v>
      </c>
      <c r="B1884" s="16">
        <v>45456</v>
      </c>
      <c r="C1884" t="s">
        <v>2</v>
      </c>
      <c r="D1884" t="s">
        <v>52</v>
      </c>
      <c r="E1884" t="s">
        <v>183</v>
      </c>
      <c r="F1884">
        <v>561</v>
      </c>
      <c r="G1884">
        <v>488</v>
      </c>
      <c r="H1884">
        <v>19</v>
      </c>
      <c r="I1884">
        <v>6</v>
      </c>
      <c r="J1884" s="15">
        <v>7321</v>
      </c>
      <c r="K1884">
        <v>4</v>
      </c>
      <c r="L1884" s="15">
        <v>7321</v>
      </c>
      <c r="M1884">
        <v>4</v>
      </c>
      <c r="N1884">
        <v>561</v>
      </c>
      <c r="O1884">
        <v>283</v>
      </c>
      <c r="P1884">
        <f t="shared" si="96"/>
        <v>2024</v>
      </c>
      <c r="Q1884">
        <f t="shared" si="97"/>
        <v>6</v>
      </c>
      <c r="R1884" t="str">
        <f t="shared" si="95"/>
        <v>品销宝-品牌专区</v>
      </c>
      <c r="S1884" t="s">
        <v>628</v>
      </c>
      <c r="T1884" s="546" t="s">
        <v>804</v>
      </c>
    </row>
    <row r="1885" spans="1:20" x14ac:dyDescent="0.3">
      <c r="A1885" t="s">
        <v>627</v>
      </c>
      <c r="B1885" s="16">
        <v>45456</v>
      </c>
      <c r="C1885" t="s">
        <v>2</v>
      </c>
      <c r="D1885" t="s">
        <v>57</v>
      </c>
      <c r="E1885" t="s">
        <v>65</v>
      </c>
      <c r="F1885" s="15">
        <v>2751</v>
      </c>
      <c r="G1885" s="15">
        <v>2362</v>
      </c>
      <c r="H1885">
        <v>34</v>
      </c>
      <c r="I1885">
        <v>32</v>
      </c>
      <c r="J1885" s="15">
        <v>73365</v>
      </c>
      <c r="K1885">
        <v>10</v>
      </c>
      <c r="L1885" s="15">
        <v>24715</v>
      </c>
      <c r="M1885">
        <v>8</v>
      </c>
      <c r="N1885">
        <v>239</v>
      </c>
      <c r="O1885" s="15">
        <v>2729</v>
      </c>
      <c r="P1885">
        <f t="shared" si="96"/>
        <v>2024</v>
      </c>
      <c r="Q1885">
        <f t="shared" si="97"/>
        <v>6</v>
      </c>
      <c r="R1885" t="str">
        <f t="shared" si="95"/>
        <v>直通车</v>
      </c>
      <c r="S1885" t="s">
        <v>628</v>
      </c>
      <c r="T1885" s="546" t="s">
        <v>804</v>
      </c>
    </row>
    <row r="1886" spans="1:20" x14ac:dyDescent="0.3">
      <c r="A1886" t="s">
        <v>627</v>
      </c>
      <c r="B1886" s="16">
        <v>45456</v>
      </c>
      <c r="C1886" t="s">
        <v>2</v>
      </c>
      <c r="D1886" t="s">
        <v>57</v>
      </c>
      <c r="E1886" t="s">
        <v>63</v>
      </c>
      <c r="F1886" s="15">
        <v>3317</v>
      </c>
      <c r="G1886" s="15">
        <v>1874</v>
      </c>
      <c r="H1886">
        <v>49</v>
      </c>
      <c r="I1886">
        <v>32</v>
      </c>
      <c r="J1886" s="15">
        <v>40336</v>
      </c>
      <c r="K1886">
        <v>13</v>
      </c>
      <c r="L1886" s="15">
        <v>23296</v>
      </c>
      <c r="M1886">
        <v>10</v>
      </c>
      <c r="N1886">
        <v>206</v>
      </c>
      <c r="O1886" s="15">
        <v>3315</v>
      </c>
      <c r="P1886">
        <f t="shared" si="96"/>
        <v>2024</v>
      </c>
      <c r="Q1886">
        <f t="shared" si="97"/>
        <v>6</v>
      </c>
      <c r="R1886" t="str">
        <f t="shared" si="95"/>
        <v>万相台</v>
      </c>
      <c r="S1886" t="s">
        <v>628</v>
      </c>
      <c r="T1886" s="546" t="s">
        <v>804</v>
      </c>
    </row>
    <row r="1887" spans="1:20" x14ac:dyDescent="0.3">
      <c r="A1887" t="s">
        <v>627</v>
      </c>
      <c r="B1887" s="16">
        <v>45456</v>
      </c>
      <c r="C1887" t="s">
        <v>2</v>
      </c>
      <c r="D1887" t="s">
        <v>57</v>
      </c>
      <c r="E1887" t="s">
        <v>64</v>
      </c>
      <c r="F1887" s="15">
        <v>13235</v>
      </c>
      <c r="G1887" s="15">
        <v>6291</v>
      </c>
      <c r="H1887">
        <v>20</v>
      </c>
      <c r="I1887">
        <v>28</v>
      </c>
      <c r="J1887">
        <v>0</v>
      </c>
      <c r="K1887">
        <v>0</v>
      </c>
      <c r="L1887">
        <v>0</v>
      </c>
      <c r="M1887">
        <v>0</v>
      </c>
      <c r="N1887">
        <v>262</v>
      </c>
      <c r="O1887" s="15">
        <v>13229</v>
      </c>
      <c r="P1887">
        <f t="shared" si="96"/>
        <v>2024</v>
      </c>
      <c r="Q1887">
        <f t="shared" si="97"/>
        <v>6</v>
      </c>
      <c r="R1887" t="str">
        <f t="shared" si="95"/>
        <v>引力魔方</v>
      </c>
      <c r="S1887" t="s">
        <v>628</v>
      </c>
      <c r="T1887" s="546" t="s">
        <v>804</v>
      </c>
    </row>
    <row r="1888" spans="1:20" x14ac:dyDescent="0.3">
      <c r="A1888" t="s">
        <v>627</v>
      </c>
      <c r="B1888" s="16">
        <v>45456</v>
      </c>
      <c r="C1888" t="s">
        <v>2</v>
      </c>
      <c r="D1888" t="s">
        <v>4</v>
      </c>
      <c r="E1888" t="s">
        <v>43</v>
      </c>
      <c r="F1888" s="15">
        <v>1704</v>
      </c>
      <c r="G1888">
        <v>327</v>
      </c>
      <c r="H1888">
        <v>1</v>
      </c>
      <c r="I1888">
        <v>1</v>
      </c>
      <c r="J1888">
        <v>350</v>
      </c>
      <c r="K1888">
        <v>1</v>
      </c>
      <c r="L1888">
        <v>350</v>
      </c>
      <c r="M1888">
        <v>1</v>
      </c>
      <c r="N1888">
        <v>16</v>
      </c>
      <c r="O1888" s="15">
        <v>1698</v>
      </c>
      <c r="P1888">
        <f t="shared" si="96"/>
        <v>2024</v>
      </c>
      <c r="Q1888">
        <f t="shared" si="97"/>
        <v>6</v>
      </c>
      <c r="R1888" t="str">
        <f t="shared" si="95"/>
        <v>淘宝客</v>
      </c>
      <c r="S1888" t="s">
        <v>628</v>
      </c>
      <c r="T1888" s="546" t="s">
        <v>804</v>
      </c>
    </row>
    <row r="1889" spans="1:20" x14ac:dyDescent="0.3">
      <c r="A1889" t="s">
        <v>627</v>
      </c>
      <c r="B1889" s="16">
        <v>45457</v>
      </c>
      <c r="C1889" t="s">
        <v>3</v>
      </c>
      <c r="D1889" t="s">
        <v>114</v>
      </c>
      <c r="E1889" t="s">
        <v>159</v>
      </c>
      <c r="F1889">
        <v>83</v>
      </c>
      <c r="G1889">
        <v>42</v>
      </c>
      <c r="H1889">
        <v>5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9</v>
      </c>
      <c r="O1889">
        <v>78</v>
      </c>
      <c r="P1889">
        <f t="shared" si="96"/>
        <v>2024</v>
      </c>
      <c r="Q1889">
        <f t="shared" si="97"/>
        <v>6</v>
      </c>
      <c r="R1889" t="str">
        <f t="shared" si="95"/>
        <v>主会场</v>
      </c>
      <c r="S1889" t="s">
        <v>628</v>
      </c>
      <c r="T1889" s="546" t="s">
        <v>804</v>
      </c>
    </row>
    <row r="1890" spans="1:20" x14ac:dyDescent="0.3">
      <c r="A1890" t="s">
        <v>627</v>
      </c>
      <c r="B1890" s="16">
        <v>45457</v>
      </c>
      <c r="C1890" t="s">
        <v>3</v>
      </c>
      <c r="D1890" t="s">
        <v>120</v>
      </c>
      <c r="E1890" t="s">
        <v>162</v>
      </c>
      <c r="F1890">
        <v>1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f t="shared" si="96"/>
        <v>2024</v>
      </c>
      <c r="Q1890">
        <f t="shared" si="97"/>
        <v>6</v>
      </c>
      <c r="R1890" t="str">
        <f t="shared" si="95"/>
        <v>手机浏览器访问天猫</v>
      </c>
      <c r="S1890" t="s">
        <v>628</v>
      </c>
      <c r="T1890" s="546" t="s">
        <v>804</v>
      </c>
    </row>
    <row r="1891" spans="1:20" x14ac:dyDescent="0.3">
      <c r="A1891" t="s">
        <v>627</v>
      </c>
      <c r="B1891" s="16">
        <v>45457</v>
      </c>
      <c r="C1891" t="s">
        <v>3</v>
      </c>
      <c r="D1891" t="s">
        <v>120</v>
      </c>
      <c r="E1891" t="s">
        <v>163</v>
      </c>
      <c r="F1891">
        <v>79</v>
      </c>
      <c r="G1891">
        <v>37</v>
      </c>
      <c r="H1891">
        <v>2</v>
      </c>
      <c r="I1891">
        <v>0</v>
      </c>
      <c r="J1891" s="15">
        <v>7969</v>
      </c>
      <c r="K1891">
        <v>2</v>
      </c>
      <c r="L1891" s="15">
        <v>7969</v>
      </c>
      <c r="M1891">
        <v>2</v>
      </c>
      <c r="N1891">
        <v>13</v>
      </c>
      <c r="O1891">
        <v>79</v>
      </c>
      <c r="P1891">
        <f t="shared" si="96"/>
        <v>2024</v>
      </c>
      <c r="Q1891">
        <f t="shared" si="97"/>
        <v>6</v>
      </c>
      <c r="R1891" t="str">
        <f t="shared" si="95"/>
        <v>手猫免费其他</v>
      </c>
      <c r="S1891" t="s">
        <v>628</v>
      </c>
      <c r="T1891" s="546" t="s">
        <v>804</v>
      </c>
    </row>
    <row r="1892" spans="1:20" x14ac:dyDescent="0.3">
      <c r="A1892" t="s">
        <v>627</v>
      </c>
      <c r="B1892" s="16">
        <v>45457</v>
      </c>
      <c r="C1892" t="s">
        <v>3</v>
      </c>
      <c r="D1892" t="s">
        <v>120</v>
      </c>
      <c r="E1892" t="s">
        <v>164</v>
      </c>
      <c r="F1892">
        <v>5</v>
      </c>
      <c r="G1892">
        <v>2</v>
      </c>
      <c r="H1892">
        <v>1</v>
      </c>
      <c r="I1892">
        <v>0</v>
      </c>
      <c r="J1892" s="17">
        <v>9960.5</v>
      </c>
      <c r="K1892">
        <v>4</v>
      </c>
      <c r="L1892" s="17">
        <v>8960.5</v>
      </c>
      <c r="M1892">
        <v>4</v>
      </c>
      <c r="N1892">
        <v>0</v>
      </c>
      <c r="O1892">
        <v>5</v>
      </c>
      <c r="P1892">
        <f t="shared" si="96"/>
        <v>2024</v>
      </c>
      <c r="Q1892">
        <f t="shared" si="97"/>
        <v>6</v>
      </c>
      <c r="R1892" t="str">
        <f t="shared" si="95"/>
        <v>手猫其他店铺</v>
      </c>
      <c r="S1892" t="s">
        <v>628</v>
      </c>
      <c r="T1892" s="546" t="s">
        <v>804</v>
      </c>
    </row>
    <row r="1893" spans="1:20" x14ac:dyDescent="0.3">
      <c r="A1893" t="s">
        <v>627</v>
      </c>
      <c r="B1893" s="16">
        <v>45457</v>
      </c>
      <c r="C1893" t="s">
        <v>3</v>
      </c>
      <c r="D1893" t="s">
        <v>120</v>
      </c>
      <c r="E1893" t="s">
        <v>165</v>
      </c>
      <c r="F1893">
        <v>17</v>
      </c>
      <c r="G1893">
        <v>10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3</v>
      </c>
      <c r="O1893">
        <v>15</v>
      </c>
      <c r="P1893">
        <f t="shared" si="96"/>
        <v>2024</v>
      </c>
      <c r="Q1893">
        <f t="shared" si="97"/>
        <v>6</v>
      </c>
      <c r="R1893" t="str">
        <f t="shared" si="95"/>
        <v>手猫商品详情</v>
      </c>
      <c r="S1893" t="s">
        <v>628</v>
      </c>
      <c r="T1893" s="546" t="s">
        <v>804</v>
      </c>
    </row>
    <row r="1894" spans="1:20" x14ac:dyDescent="0.3">
      <c r="A1894" t="s">
        <v>627</v>
      </c>
      <c r="B1894" s="16">
        <v>45457</v>
      </c>
      <c r="C1894" t="s">
        <v>3</v>
      </c>
      <c r="D1894" t="s">
        <v>120</v>
      </c>
      <c r="E1894" t="s">
        <v>166</v>
      </c>
      <c r="F1894">
        <v>56</v>
      </c>
      <c r="G1894">
        <v>38</v>
      </c>
      <c r="H1894">
        <v>0</v>
      </c>
      <c r="I1894">
        <v>0</v>
      </c>
      <c r="J1894" s="15">
        <v>2000</v>
      </c>
      <c r="K1894">
        <v>1</v>
      </c>
      <c r="L1894" s="15">
        <v>1000</v>
      </c>
      <c r="M1894">
        <v>1</v>
      </c>
      <c r="N1894">
        <v>16</v>
      </c>
      <c r="O1894">
        <v>50</v>
      </c>
      <c r="P1894">
        <f t="shared" si="96"/>
        <v>2024</v>
      </c>
      <c r="Q1894">
        <f t="shared" si="97"/>
        <v>6</v>
      </c>
      <c r="R1894" t="str">
        <f t="shared" si="95"/>
        <v>手猫搜索</v>
      </c>
      <c r="S1894" t="s">
        <v>628</v>
      </c>
      <c r="T1894" s="546" t="s">
        <v>804</v>
      </c>
    </row>
    <row r="1895" spans="1:20" x14ac:dyDescent="0.3">
      <c r="A1895" t="s">
        <v>627</v>
      </c>
      <c r="B1895" s="16">
        <v>45457</v>
      </c>
      <c r="C1895" t="s">
        <v>3</v>
      </c>
      <c r="D1895" t="s">
        <v>120</v>
      </c>
      <c r="E1895" t="s">
        <v>167</v>
      </c>
      <c r="F1895">
        <v>4</v>
      </c>
      <c r="G1895">
        <v>0</v>
      </c>
      <c r="H1895">
        <v>1</v>
      </c>
      <c r="I1895">
        <v>0</v>
      </c>
      <c r="J1895" s="15">
        <v>10963</v>
      </c>
      <c r="K1895">
        <v>4</v>
      </c>
      <c r="L1895" s="15">
        <v>9963</v>
      </c>
      <c r="M1895">
        <v>4</v>
      </c>
      <c r="N1895">
        <v>0</v>
      </c>
      <c r="O1895">
        <v>4</v>
      </c>
      <c r="P1895">
        <f t="shared" si="96"/>
        <v>2024</v>
      </c>
      <c r="Q1895">
        <f t="shared" si="97"/>
        <v>6</v>
      </c>
      <c r="R1895" t="str">
        <f t="shared" si="95"/>
        <v>手猫旺信聊天</v>
      </c>
      <c r="S1895" t="s">
        <v>628</v>
      </c>
      <c r="T1895" s="546" t="s">
        <v>804</v>
      </c>
    </row>
    <row r="1896" spans="1:20" x14ac:dyDescent="0.3">
      <c r="A1896" t="s">
        <v>627</v>
      </c>
      <c r="B1896" s="16">
        <v>45457</v>
      </c>
      <c r="C1896" t="s">
        <v>3</v>
      </c>
      <c r="D1896" t="s">
        <v>120</v>
      </c>
      <c r="E1896" t="s">
        <v>168</v>
      </c>
      <c r="F1896">
        <v>344</v>
      </c>
      <c r="G1896">
        <v>204</v>
      </c>
      <c r="H1896">
        <v>1</v>
      </c>
      <c r="I1896">
        <v>0</v>
      </c>
      <c r="J1896" s="15">
        <v>2778</v>
      </c>
      <c r="K1896">
        <v>2</v>
      </c>
      <c r="L1896" s="15">
        <v>2778</v>
      </c>
      <c r="M1896">
        <v>2</v>
      </c>
      <c r="N1896">
        <v>8</v>
      </c>
      <c r="O1896">
        <v>344</v>
      </c>
      <c r="P1896">
        <f t="shared" si="96"/>
        <v>2024</v>
      </c>
      <c r="Q1896">
        <f t="shared" si="97"/>
        <v>6</v>
      </c>
      <c r="R1896" t="str">
        <f t="shared" si="95"/>
        <v>手猫首页</v>
      </c>
      <c r="S1896" t="s">
        <v>628</v>
      </c>
      <c r="T1896" s="546" t="s">
        <v>804</v>
      </c>
    </row>
    <row r="1897" spans="1:20" x14ac:dyDescent="0.3">
      <c r="A1897" t="s">
        <v>627</v>
      </c>
      <c r="B1897" s="16">
        <v>45457</v>
      </c>
      <c r="C1897" t="s">
        <v>3</v>
      </c>
      <c r="D1897" t="s">
        <v>123</v>
      </c>
      <c r="E1897" t="s">
        <v>169</v>
      </c>
      <c r="F1897">
        <v>125</v>
      </c>
      <c r="G1897">
        <v>51</v>
      </c>
      <c r="H1897">
        <v>5</v>
      </c>
      <c r="I1897">
        <v>5</v>
      </c>
      <c r="J1897" s="17">
        <v>6892.5</v>
      </c>
      <c r="K1897">
        <v>1</v>
      </c>
      <c r="L1897" s="17">
        <v>2297.5</v>
      </c>
      <c r="M1897">
        <v>1</v>
      </c>
      <c r="N1897">
        <v>33</v>
      </c>
      <c r="O1897">
        <v>105</v>
      </c>
      <c r="P1897">
        <f t="shared" si="96"/>
        <v>2024</v>
      </c>
      <c r="Q1897">
        <f t="shared" si="97"/>
        <v>6</v>
      </c>
      <c r="R1897" t="str">
        <f t="shared" si="95"/>
        <v>商品详情页头图推荐</v>
      </c>
      <c r="S1897" t="s">
        <v>628</v>
      </c>
      <c r="T1897" s="546" t="s">
        <v>804</v>
      </c>
    </row>
    <row r="1898" spans="1:20" x14ac:dyDescent="0.3">
      <c r="A1898" t="s">
        <v>627</v>
      </c>
      <c r="B1898" s="16">
        <v>45457</v>
      </c>
      <c r="C1898" t="s">
        <v>3</v>
      </c>
      <c r="D1898" t="s">
        <v>123</v>
      </c>
      <c r="E1898" t="s">
        <v>170</v>
      </c>
      <c r="F1898">
        <v>23</v>
      </c>
      <c r="G1898">
        <v>18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17</v>
      </c>
      <c r="O1898">
        <v>14</v>
      </c>
      <c r="P1898">
        <f t="shared" si="96"/>
        <v>2024</v>
      </c>
      <c r="Q1898">
        <f t="shared" si="97"/>
        <v>6</v>
      </c>
      <c r="R1898" t="str">
        <f t="shared" si="95"/>
        <v>店铺超链</v>
      </c>
      <c r="S1898" t="s">
        <v>628</v>
      </c>
      <c r="T1898" s="546" t="s">
        <v>804</v>
      </c>
    </row>
    <row r="1899" spans="1:20" x14ac:dyDescent="0.3">
      <c r="A1899" t="s">
        <v>627</v>
      </c>
      <c r="B1899" s="16">
        <v>45457</v>
      </c>
      <c r="C1899" t="s">
        <v>3</v>
      </c>
      <c r="D1899" t="s">
        <v>127</v>
      </c>
      <c r="E1899" t="s">
        <v>171</v>
      </c>
      <c r="F1899">
        <v>174</v>
      </c>
      <c r="G1899">
        <v>101</v>
      </c>
      <c r="H1899">
        <v>1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69</v>
      </c>
      <c r="O1899">
        <v>130</v>
      </c>
      <c r="P1899">
        <f t="shared" si="96"/>
        <v>2024</v>
      </c>
      <c r="Q1899">
        <f t="shared" si="97"/>
        <v>6</v>
      </c>
      <c r="R1899" t="str">
        <f t="shared" si="95"/>
        <v>其他猜你喜欢</v>
      </c>
      <c r="S1899" t="s">
        <v>628</v>
      </c>
      <c r="T1899" s="546" t="s">
        <v>804</v>
      </c>
    </row>
    <row r="1900" spans="1:20" x14ac:dyDescent="0.3">
      <c r="A1900" t="s">
        <v>627</v>
      </c>
      <c r="B1900" s="16">
        <v>45457</v>
      </c>
      <c r="C1900" t="s">
        <v>3</v>
      </c>
      <c r="D1900" t="s">
        <v>127</v>
      </c>
      <c r="E1900" t="s">
        <v>172</v>
      </c>
      <c r="F1900">
        <v>3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1</v>
      </c>
      <c r="O1900">
        <v>2</v>
      </c>
      <c r="P1900">
        <f t="shared" si="96"/>
        <v>2024</v>
      </c>
      <c r="Q1900">
        <f t="shared" si="97"/>
        <v>6</v>
      </c>
      <c r="R1900" t="str">
        <f t="shared" si="95"/>
        <v>购中推荐</v>
      </c>
      <c r="S1900" t="s">
        <v>628</v>
      </c>
      <c r="T1900" s="546" t="s">
        <v>804</v>
      </c>
    </row>
    <row r="1901" spans="1:20" x14ac:dyDescent="0.3">
      <c r="A1901" t="s">
        <v>627</v>
      </c>
      <c r="B1901" s="16">
        <v>45457</v>
      </c>
      <c r="C1901" t="s">
        <v>3</v>
      </c>
      <c r="D1901" t="s">
        <v>127</v>
      </c>
      <c r="E1901" t="s">
        <v>173</v>
      </c>
      <c r="F1901">
        <v>51</v>
      </c>
      <c r="G1901">
        <v>37</v>
      </c>
      <c r="H1901">
        <v>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50</v>
      </c>
      <c r="P1901">
        <f t="shared" si="96"/>
        <v>2024</v>
      </c>
      <c r="Q1901">
        <f t="shared" si="97"/>
        <v>6</v>
      </c>
      <c r="R1901" t="str">
        <f t="shared" si="95"/>
        <v>购后推荐</v>
      </c>
      <c r="S1901" t="s">
        <v>628</v>
      </c>
      <c r="T1901" s="546" t="s">
        <v>804</v>
      </c>
    </row>
    <row r="1902" spans="1:20" x14ac:dyDescent="0.3">
      <c r="A1902" t="s">
        <v>627</v>
      </c>
      <c r="B1902" s="16">
        <v>45457</v>
      </c>
      <c r="C1902" t="s">
        <v>3</v>
      </c>
      <c r="D1902" t="s">
        <v>127</v>
      </c>
      <c r="E1902" t="s">
        <v>174</v>
      </c>
      <c r="F1902" s="15">
        <v>1480</v>
      </c>
      <c r="G1902">
        <v>888</v>
      </c>
      <c r="H1902">
        <v>30</v>
      </c>
      <c r="I1902">
        <v>13</v>
      </c>
      <c r="J1902" s="17">
        <v>10342.5</v>
      </c>
      <c r="K1902">
        <v>2</v>
      </c>
      <c r="L1902" s="17">
        <v>5747.5</v>
      </c>
      <c r="M1902">
        <v>2</v>
      </c>
      <c r="N1902">
        <v>128</v>
      </c>
      <c r="O1902" s="15">
        <v>1480</v>
      </c>
      <c r="P1902">
        <f t="shared" si="96"/>
        <v>2024</v>
      </c>
      <c r="Q1902">
        <f t="shared" si="97"/>
        <v>6</v>
      </c>
      <c r="R1902" t="str">
        <f t="shared" si="95"/>
        <v>首页推荐-微详情</v>
      </c>
      <c r="S1902" t="s">
        <v>628</v>
      </c>
      <c r="T1902" s="546" t="s">
        <v>804</v>
      </c>
    </row>
    <row r="1903" spans="1:20" x14ac:dyDescent="0.3">
      <c r="A1903" t="s">
        <v>627</v>
      </c>
      <c r="B1903" s="16">
        <v>45457</v>
      </c>
      <c r="C1903" t="s">
        <v>3</v>
      </c>
      <c r="D1903" t="s">
        <v>127</v>
      </c>
      <c r="E1903" t="s">
        <v>175</v>
      </c>
      <c r="F1903">
        <v>145</v>
      </c>
      <c r="G1903">
        <v>76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2</v>
      </c>
      <c r="O1903">
        <v>8</v>
      </c>
      <c r="P1903">
        <f t="shared" si="96"/>
        <v>2024</v>
      </c>
      <c r="Q1903">
        <f t="shared" si="97"/>
        <v>6</v>
      </c>
      <c r="R1903" t="str">
        <f t="shared" si="95"/>
        <v>首页推荐-直播</v>
      </c>
      <c r="S1903" t="s">
        <v>628</v>
      </c>
      <c r="T1903" s="546" t="s">
        <v>804</v>
      </c>
    </row>
    <row r="1904" spans="1:20" x14ac:dyDescent="0.3">
      <c r="A1904" t="s">
        <v>627</v>
      </c>
      <c r="B1904" s="16">
        <v>45457</v>
      </c>
      <c r="C1904" t="s">
        <v>3</v>
      </c>
      <c r="D1904" t="s">
        <v>127</v>
      </c>
      <c r="E1904" t="s">
        <v>176</v>
      </c>
      <c r="F1904">
        <v>42</v>
      </c>
      <c r="G1904">
        <v>21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f t="shared" si="96"/>
        <v>2024</v>
      </c>
      <c r="Q1904">
        <f t="shared" si="97"/>
        <v>6</v>
      </c>
      <c r="R1904" t="str">
        <f t="shared" si="95"/>
        <v>首页推荐-短视频</v>
      </c>
      <c r="S1904" t="s">
        <v>628</v>
      </c>
      <c r="T1904" s="546" t="s">
        <v>804</v>
      </c>
    </row>
    <row r="1905" spans="1:20" x14ac:dyDescent="0.3">
      <c r="A1905" t="s">
        <v>627</v>
      </c>
      <c r="B1905" s="16">
        <v>45457</v>
      </c>
      <c r="C1905" t="s">
        <v>3</v>
      </c>
      <c r="D1905" t="s">
        <v>128</v>
      </c>
      <c r="E1905" t="s">
        <v>177</v>
      </c>
      <c r="F1905">
        <v>796</v>
      </c>
      <c r="G1905">
        <v>654</v>
      </c>
      <c r="H1905">
        <v>42</v>
      </c>
      <c r="I1905">
        <v>12</v>
      </c>
      <c r="J1905" s="17">
        <v>25103.119999999999</v>
      </c>
      <c r="K1905">
        <v>11</v>
      </c>
      <c r="L1905" s="17">
        <v>22903.119999999999</v>
      </c>
      <c r="M1905">
        <v>11</v>
      </c>
      <c r="N1905">
        <v>244</v>
      </c>
      <c r="O1905">
        <v>713</v>
      </c>
      <c r="P1905">
        <f t="shared" si="96"/>
        <v>2024</v>
      </c>
      <c r="Q1905">
        <f t="shared" si="97"/>
        <v>6</v>
      </c>
      <c r="R1905" t="str">
        <f t="shared" si="95"/>
        <v>手淘搜索-商品及其他</v>
      </c>
      <c r="S1905" t="s">
        <v>628</v>
      </c>
      <c r="T1905" s="546" t="s">
        <v>804</v>
      </c>
    </row>
    <row r="1906" spans="1:20" x14ac:dyDescent="0.3">
      <c r="A1906" t="s">
        <v>627</v>
      </c>
      <c r="B1906" s="16">
        <v>45457</v>
      </c>
      <c r="C1906" t="s">
        <v>3</v>
      </c>
      <c r="D1906" t="s">
        <v>128</v>
      </c>
      <c r="E1906" t="s">
        <v>178</v>
      </c>
      <c r="F1906">
        <v>2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2</v>
      </c>
      <c r="P1906">
        <f t="shared" si="96"/>
        <v>2024</v>
      </c>
      <c r="Q1906">
        <f t="shared" si="97"/>
        <v>6</v>
      </c>
      <c r="R1906" t="str">
        <f t="shared" si="95"/>
        <v>手淘搜索-直播</v>
      </c>
      <c r="S1906" t="s">
        <v>628</v>
      </c>
      <c r="T1906" s="546" t="s">
        <v>804</v>
      </c>
    </row>
    <row r="1907" spans="1:20" x14ac:dyDescent="0.3">
      <c r="A1907" t="s">
        <v>627</v>
      </c>
      <c r="B1907" s="16">
        <v>45457</v>
      </c>
      <c r="C1907" t="s">
        <v>3</v>
      </c>
      <c r="D1907" t="s">
        <v>128</v>
      </c>
      <c r="E1907" t="s">
        <v>179</v>
      </c>
      <c r="F1907">
        <v>21</v>
      </c>
      <c r="G1907">
        <v>17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</v>
      </c>
      <c r="O1907">
        <v>3</v>
      </c>
      <c r="P1907">
        <f t="shared" si="96"/>
        <v>2024</v>
      </c>
      <c r="Q1907">
        <f t="shared" si="97"/>
        <v>6</v>
      </c>
      <c r="R1907" t="str">
        <f t="shared" si="95"/>
        <v>手淘搜索-短视频</v>
      </c>
      <c r="S1907" t="s">
        <v>628</v>
      </c>
      <c r="T1907" s="546" t="s">
        <v>804</v>
      </c>
    </row>
    <row r="1908" spans="1:20" x14ac:dyDescent="0.3">
      <c r="A1908" t="s">
        <v>627</v>
      </c>
      <c r="B1908" s="16">
        <v>45457</v>
      </c>
      <c r="C1908" t="s">
        <v>3</v>
      </c>
      <c r="D1908" t="s">
        <v>143</v>
      </c>
      <c r="E1908" t="s">
        <v>180</v>
      </c>
      <c r="F1908">
        <v>11</v>
      </c>
      <c r="G1908">
        <v>10</v>
      </c>
      <c r="H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11</v>
      </c>
      <c r="P1908">
        <f t="shared" si="96"/>
        <v>2024</v>
      </c>
      <c r="Q1908">
        <f t="shared" si="97"/>
        <v>6</v>
      </c>
      <c r="R1908" t="str">
        <f t="shared" si="95"/>
        <v>淘特其他渠道</v>
      </c>
      <c r="S1908" t="s">
        <v>628</v>
      </c>
      <c r="T1908" s="546" t="s">
        <v>804</v>
      </c>
    </row>
    <row r="1909" spans="1:20" x14ac:dyDescent="0.3">
      <c r="A1909" t="s">
        <v>627</v>
      </c>
      <c r="B1909" s="16">
        <v>45457</v>
      </c>
      <c r="C1909" t="s">
        <v>3</v>
      </c>
      <c r="D1909" t="s">
        <v>143</v>
      </c>
      <c r="E1909" t="s">
        <v>181</v>
      </c>
      <c r="F1909">
        <v>1</v>
      </c>
      <c r="G1909">
        <v>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f t="shared" si="96"/>
        <v>2024</v>
      </c>
      <c r="Q1909">
        <f t="shared" si="97"/>
        <v>6</v>
      </c>
      <c r="R1909" t="str">
        <f t="shared" si="95"/>
        <v>淘特搜索</v>
      </c>
      <c r="S1909" t="s">
        <v>628</v>
      </c>
      <c r="T1909" s="546" t="s">
        <v>804</v>
      </c>
    </row>
    <row r="1910" spans="1:20" x14ac:dyDescent="0.3">
      <c r="A1910" t="s">
        <v>627</v>
      </c>
      <c r="B1910" s="16">
        <v>45457</v>
      </c>
      <c r="C1910" t="s">
        <v>3</v>
      </c>
      <c r="D1910" t="s">
        <v>143</v>
      </c>
      <c r="E1910" t="s">
        <v>224</v>
      </c>
      <c r="F1910">
        <v>1</v>
      </c>
      <c r="G1910">
        <v>1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1</v>
      </c>
      <c r="P1910">
        <f t="shared" si="96"/>
        <v>2024</v>
      </c>
      <c r="Q1910">
        <f t="shared" si="97"/>
        <v>6</v>
      </c>
      <c r="R1910" t="str">
        <f t="shared" si="95"/>
        <v>淘特自主访问</v>
      </c>
      <c r="S1910" t="s">
        <v>628</v>
      </c>
      <c r="T1910" s="546" t="s">
        <v>804</v>
      </c>
    </row>
    <row r="1911" spans="1:20" x14ac:dyDescent="0.3">
      <c r="A1911" t="s">
        <v>627</v>
      </c>
      <c r="B1911" s="16">
        <v>45457</v>
      </c>
      <c r="C1911" t="s">
        <v>2</v>
      </c>
      <c r="D1911" t="s">
        <v>55</v>
      </c>
      <c r="E1911" t="s">
        <v>54</v>
      </c>
      <c r="F1911" s="15">
        <v>4925</v>
      </c>
      <c r="G1911" s="15">
        <v>3943</v>
      </c>
      <c r="H1911">
        <v>5</v>
      </c>
      <c r="I1911">
        <v>1</v>
      </c>
      <c r="J1911">
        <v>0</v>
      </c>
      <c r="K1911">
        <v>0</v>
      </c>
      <c r="L1911">
        <v>0</v>
      </c>
      <c r="M1911">
        <v>0</v>
      </c>
      <c r="N1911">
        <v>7</v>
      </c>
      <c r="O1911" s="15">
        <v>1316</v>
      </c>
      <c r="P1911">
        <f t="shared" si="96"/>
        <v>2024</v>
      </c>
      <c r="Q1911">
        <f t="shared" si="97"/>
        <v>6</v>
      </c>
      <c r="R1911" t="str">
        <f t="shared" si="95"/>
        <v>超级直播</v>
      </c>
      <c r="S1911" t="s">
        <v>628</v>
      </c>
      <c r="T1911" s="546" t="s">
        <v>804</v>
      </c>
    </row>
    <row r="1912" spans="1:20" x14ac:dyDescent="0.3">
      <c r="A1912" t="s">
        <v>627</v>
      </c>
      <c r="B1912" s="16">
        <v>45457</v>
      </c>
      <c r="C1912" t="s">
        <v>2</v>
      </c>
      <c r="D1912" t="s">
        <v>55</v>
      </c>
      <c r="E1912" t="s">
        <v>56</v>
      </c>
      <c r="F1912" s="15">
        <v>10791</v>
      </c>
      <c r="G1912" s="15">
        <v>7910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0</v>
      </c>
      <c r="N1912">
        <v>9</v>
      </c>
      <c r="O1912">
        <v>264</v>
      </c>
      <c r="P1912">
        <f t="shared" si="96"/>
        <v>2024</v>
      </c>
      <c r="Q1912">
        <f t="shared" si="97"/>
        <v>6</v>
      </c>
      <c r="R1912" t="str">
        <f t="shared" si="95"/>
        <v>超级短视频</v>
      </c>
      <c r="S1912" t="s">
        <v>628</v>
      </c>
      <c r="T1912" s="546" t="s">
        <v>804</v>
      </c>
    </row>
    <row r="1913" spans="1:20" x14ac:dyDescent="0.3">
      <c r="A1913" t="s">
        <v>627</v>
      </c>
      <c r="B1913" s="16">
        <v>45457</v>
      </c>
      <c r="C1913" t="s">
        <v>2</v>
      </c>
      <c r="D1913" t="s">
        <v>52</v>
      </c>
      <c r="E1913" t="s">
        <v>53</v>
      </c>
      <c r="F1913">
        <v>982</v>
      </c>
      <c r="G1913">
        <v>759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982</v>
      </c>
      <c r="O1913">
        <v>124</v>
      </c>
      <c r="P1913">
        <f t="shared" si="96"/>
        <v>2024</v>
      </c>
      <c r="Q1913">
        <f t="shared" si="97"/>
        <v>6</v>
      </c>
      <c r="R1913" t="str">
        <f t="shared" si="95"/>
        <v>Showmax</v>
      </c>
      <c r="S1913" t="s">
        <v>628</v>
      </c>
      <c r="T1913" s="546" t="s">
        <v>804</v>
      </c>
    </row>
    <row r="1914" spans="1:20" x14ac:dyDescent="0.3">
      <c r="A1914" t="s">
        <v>627</v>
      </c>
      <c r="B1914" s="16">
        <v>45457</v>
      </c>
      <c r="C1914" t="s">
        <v>2</v>
      </c>
      <c r="D1914" t="s">
        <v>52</v>
      </c>
      <c r="E1914" t="s">
        <v>59</v>
      </c>
      <c r="F1914" s="15">
        <v>1711</v>
      </c>
      <c r="G1914" s="15">
        <v>1346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 s="15">
        <v>1711</v>
      </c>
      <c r="O1914">
        <v>222</v>
      </c>
      <c r="P1914">
        <f t="shared" si="96"/>
        <v>2024</v>
      </c>
      <c r="Q1914">
        <f t="shared" si="97"/>
        <v>6</v>
      </c>
      <c r="R1914" t="str">
        <f t="shared" si="95"/>
        <v>品牌特秀</v>
      </c>
      <c r="S1914" t="s">
        <v>628</v>
      </c>
      <c r="T1914" s="546" t="s">
        <v>804</v>
      </c>
    </row>
    <row r="1915" spans="1:20" x14ac:dyDescent="0.3">
      <c r="A1915" t="s">
        <v>627</v>
      </c>
      <c r="B1915" s="16">
        <v>45457</v>
      </c>
      <c r="C1915" t="s">
        <v>2</v>
      </c>
      <c r="D1915" t="s">
        <v>52</v>
      </c>
      <c r="E1915" t="s">
        <v>183</v>
      </c>
      <c r="F1915">
        <v>581</v>
      </c>
      <c r="G1915">
        <v>492</v>
      </c>
      <c r="H1915">
        <v>20</v>
      </c>
      <c r="I1915">
        <v>4</v>
      </c>
      <c r="J1915" s="17">
        <v>18882.5</v>
      </c>
      <c r="K1915">
        <v>5</v>
      </c>
      <c r="L1915" s="17">
        <v>16645.5</v>
      </c>
      <c r="M1915">
        <v>5</v>
      </c>
      <c r="N1915">
        <v>581</v>
      </c>
      <c r="O1915">
        <v>295</v>
      </c>
      <c r="P1915">
        <f t="shared" si="96"/>
        <v>2024</v>
      </c>
      <c r="Q1915">
        <f t="shared" si="97"/>
        <v>6</v>
      </c>
      <c r="R1915" t="str">
        <f t="shared" si="95"/>
        <v>品销宝-品牌专区</v>
      </c>
      <c r="S1915" t="s">
        <v>628</v>
      </c>
      <c r="T1915" s="546" t="s">
        <v>804</v>
      </c>
    </row>
    <row r="1916" spans="1:20" x14ac:dyDescent="0.3">
      <c r="A1916" t="s">
        <v>627</v>
      </c>
      <c r="B1916" s="16">
        <v>45457</v>
      </c>
      <c r="C1916" t="s">
        <v>2</v>
      </c>
      <c r="D1916" t="s">
        <v>57</v>
      </c>
      <c r="E1916" t="s">
        <v>65</v>
      </c>
      <c r="F1916" s="15">
        <v>3209</v>
      </c>
      <c r="G1916" s="15">
        <v>2779</v>
      </c>
      <c r="H1916">
        <v>47</v>
      </c>
      <c r="I1916">
        <v>37</v>
      </c>
      <c r="J1916" s="17">
        <v>80954.5</v>
      </c>
      <c r="K1916">
        <v>15</v>
      </c>
      <c r="L1916" s="17">
        <v>69404.5</v>
      </c>
      <c r="M1916">
        <v>14</v>
      </c>
      <c r="N1916">
        <v>278</v>
      </c>
      <c r="O1916" s="15">
        <v>3184</v>
      </c>
      <c r="P1916">
        <f t="shared" si="96"/>
        <v>2024</v>
      </c>
      <c r="Q1916">
        <f t="shared" si="97"/>
        <v>6</v>
      </c>
      <c r="R1916" t="str">
        <f t="shared" si="95"/>
        <v>直通车</v>
      </c>
      <c r="S1916" t="s">
        <v>628</v>
      </c>
      <c r="T1916" s="546" t="s">
        <v>804</v>
      </c>
    </row>
    <row r="1917" spans="1:20" x14ac:dyDescent="0.3">
      <c r="A1917" t="s">
        <v>627</v>
      </c>
      <c r="B1917" s="16">
        <v>45457</v>
      </c>
      <c r="C1917" t="s">
        <v>2</v>
      </c>
      <c r="D1917" t="s">
        <v>57</v>
      </c>
      <c r="E1917" t="s">
        <v>63</v>
      </c>
      <c r="F1917" s="15">
        <v>3522</v>
      </c>
      <c r="G1917" s="15">
        <v>2139</v>
      </c>
      <c r="H1917">
        <v>54</v>
      </c>
      <c r="I1917">
        <v>34</v>
      </c>
      <c r="J1917" s="15">
        <v>51939</v>
      </c>
      <c r="K1917">
        <v>12</v>
      </c>
      <c r="L1917" s="15">
        <v>30594</v>
      </c>
      <c r="M1917">
        <v>10</v>
      </c>
      <c r="N1917">
        <v>163</v>
      </c>
      <c r="O1917" s="15">
        <v>3521</v>
      </c>
      <c r="P1917">
        <f t="shared" si="96"/>
        <v>2024</v>
      </c>
      <c r="Q1917">
        <f t="shared" si="97"/>
        <v>6</v>
      </c>
      <c r="R1917" t="str">
        <f t="shared" si="95"/>
        <v>万相台</v>
      </c>
      <c r="S1917" t="s">
        <v>628</v>
      </c>
      <c r="T1917" s="546" t="s">
        <v>804</v>
      </c>
    </row>
    <row r="1918" spans="1:20" x14ac:dyDescent="0.3">
      <c r="A1918" t="s">
        <v>627</v>
      </c>
      <c r="B1918" s="16">
        <v>45457</v>
      </c>
      <c r="C1918" t="s">
        <v>2</v>
      </c>
      <c r="D1918" t="s">
        <v>57</v>
      </c>
      <c r="E1918" t="s">
        <v>64</v>
      </c>
      <c r="F1918" s="15">
        <v>12771</v>
      </c>
      <c r="G1918" s="15">
        <v>6052</v>
      </c>
      <c r="H1918">
        <v>20</v>
      </c>
      <c r="I1918">
        <v>29</v>
      </c>
      <c r="J1918" s="15">
        <v>8535</v>
      </c>
      <c r="K1918">
        <v>3</v>
      </c>
      <c r="L1918">
        <v>0</v>
      </c>
      <c r="M1918">
        <v>0</v>
      </c>
      <c r="N1918">
        <v>245</v>
      </c>
      <c r="O1918" s="15">
        <v>12760</v>
      </c>
      <c r="P1918">
        <f t="shared" si="96"/>
        <v>2024</v>
      </c>
      <c r="Q1918">
        <f t="shared" si="97"/>
        <v>6</v>
      </c>
      <c r="R1918" t="str">
        <f t="shared" si="95"/>
        <v>引力魔方</v>
      </c>
      <c r="S1918" t="s">
        <v>628</v>
      </c>
      <c r="T1918" s="546" t="s">
        <v>804</v>
      </c>
    </row>
    <row r="1919" spans="1:20" x14ac:dyDescent="0.3">
      <c r="A1919" t="s">
        <v>627</v>
      </c>
      <c r="B1919" s="16">
        <v>45457</v>
      </c>
      <c r="C1919" t="s">
        <v>2</v>
      </c>
      <c r="D1919" t="s">
        <v>4</v>
      </c>
      <c r="E1919" t="s">
        <v>42</v>
      </c>
      <c r="F1919">
        <v>1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f t="shared" si="96"/>
        <v>2024</v>
      </c>
      <c r="Q1919">
        <f t="shared" si="97"/>
        <v>6</v>
      </c>
      <c r="R1919" t="str">
        <f t="shared" si="95"/>
        <v>UD效果投放</v>
      </c>
      <c r="S1919" t="s">
        <v>628</v>
      </c>
      <c r="T1919" s="546" t="s">
        <v>804</v>
      </c>
    </row>
    <row r="1920" spans="1:20" x14ac:dyDescent="0.3">
      <c r="A1920" t="s">
        <v>627</v>
      </c>
      <c r="B1920" s="16">
        <v>45457</v>
      </c>
      <c r="C1920" t="s">
        <v>2</v>
      </c>
      <c r="D1920" t="s">
        <v>4</v>
      </c>
      <c r="E1920" t="s">
        <v>41</v>
      </c>
      <c r="F1920">
        <v>1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f t="shared" si="96"/>
        <v>2024</v>
      </c>
      <c r="Q1920">
        <f t="shared" si="97"/>
        <v>6</v>
      </c>
      <c r="R1920" t="str">
        <f t="shared" si="95"/>
        <v>流量宝</v>
      </c>
      <c r="S1920" t="s">
        <v>628</v>
      </c>
      <c r="T1920" s="546" t="s">
        <v>804</v>
      </c>
    </row>
    <row r="1921" spans="1:20" x14ac:dyDescent="0.3">
      <c r="A1921" t="s">
        <v>627</v>
      </c>
      <c r="B1921" s="16">
        <v>45457</v>
      </c>
      <c r="C1921" t="s">
        <v>2</v>
      </c>
      <c r="D1921" t="s">
        <v>4</v>
      </c>
      <c r="E1921" t="s">
        <v>43</v>
      </c>
      <c r="F1921" s="15">
        <v>1348</v>
      </c>
      <c r="G1921">
        <v>230</v>
      </c>
      <c r="H1921">
        <v>2</v>
      </c>
      <c r="I1921">
        <v>2</v>
      </c>
      <c r="J1921" s="15">
        <v>2000</v>
      </c>
      <c r="K1921">
        <v>1</v>
      </c>
      <c r="L1921" s="15">
        <v>1000</v>
      </c>
      <c r="M1921">
        <v>1</v>
      </c>
      <c r="N1921">
        <v>6</v>
      </c>
      <c r="O1921" s="15">
        <v>1343</v>
      </c>
      <c r="P1921">
        <f t="shared" si="96"/>
        <v>2024</v>
      </c>
      <c r="Q1921">
        <f t="shared" si="97"/>
        <v>6</v>
      </c>
      <c r="R1921" t="str">
        <f t="shared" si="95"/>
        <v>淘宝客</v>
      </c>
      <c r="S1921" t="s">
        <v>628</v>
      </c>
      <c r="T1921" s="546" t="s">
        <v>804</v>
      </c>
    </row>
    <row r="1922" spans="1:20" x14ac:dyDescent="0.3">
      <c r="A1922" t="s">
        <v>627</v>
      </c>
      <c r="B1922" s="16">
        <v>45458</v>
      </c>
      <c r="C1922" t="s">
        <v>3</v>
      </c>
      <c r="D1922" t="s">
        <v>114</v>
      </c>
      <c r="E1922" t="s">
        <v>159</v>
      </c>
      <c r="F1922">
        <v>119</v>
      </c>
      <c r="G1922">
        <v>49</v>
      </c>
      <c r="H1922">
        <v>5</v>
      </c>
      <c r="I1922">
        <v>2</v>
      </c>
      <c r="J1922" s="17">
        <v>8728.48</v>
      </c>
      <c r="K1922">
        <v>3</v>
      </c>
      <c r="L1922" s="15">
        <v>3235</v>
      </c>
      <c r="M1922">
        <v>1</v>
      </c>
      <c r="N1922">
        <v>16</v>
      </c>
      <c r="O1922">
        <v>117</v>
      </c>
      <c r="P1922">
        <f t="shared" si="96"/>
        <v>2024</v>
      </c>
      <c r="Q1922">
        <f t="shared" si="97"/>
        <v>6</v>
      </c>
      <c r="R1922" t="str">
        <f t="shared" si="95"/>
        <v>主会场</v>
      </c>
      <c r="S1922" t="s">
        <v>628</v>
      </c>
      <c r="T1922" s="546" t="s">
        <v>804</v>
      </c>
    </row>
    <row r="1923" spans="1:20" x14ac:dyDescent="0.3">
      <c r="A1923" t="s">
        <v>627</v>
      </c>
      <c r="B1923" s="16">
        <v>45458</v>
      </c>
      <c r="C1923" t="s">
        <v>3</v>
      </c>
      <c r="D1923" t="s">
        <v>114</v>
      </c>
      <c r="E1923" t="s">
        <v>160</v>
      </c>
      <c r="F1923">
        <v>1</v>
      </c>
      <c r="G1923">
        <v>0</v>
      </c>
      <c r="H1923">
        <v>1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1</v>
      </c>
      <c r="P1923">
        <f t="shared" si="96"/>
        <v>2024</v>
      </c>
      <c r="Q1923">
        <f t="shared" si="97"/>
        <v>6</v>
      </c>
      <c r="R1923" t="str">
        <f t="shared" si="95"/>
        <v>榜单会场</v>
      </c>
      <c r="S1923" t="s">
        <v>628</v>
      </c>
      <c r="T1923" s="546" t="s">
        <v>804</v>
      </c>
    </row>
    <row r="1924" spans="1:20" x14ac:dyDescent="0.3">
      <c r="A1924" t="s">
        <v>627</v>
      </c>
      <c r="B1924" s="16">
        <v>45458</v>
      </c>
      <c r="C1924" t="s">
        <v>3</v>
      </c>
      <c r="D1924" t="s">
        <v>120</v>
      </c>
      <c r="E1924" t="s">
        <v>162</v>
      </c>
      <c r="F1924">
        <v>1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f t="shared" si="96"/>
        <v>2024</v>
      </c>
      <c r="Q1924">
        <f t="shared" si="97"/>
        <v>6</v>
      </c>
      <c r="R1924" t="str">
        <f t="shared" si="95"/>
        <v>手机浏览器访问天猫</v>
      </c>
      <c r="S1924" t="s">
        <v>628</v>
      </c>
      <c r="T1924" s="546" t="s">
        <v>804</v>
      </c>
    </row>
    <row r="1925" spans="1:20" x14ac:dyDescent="0.3">
      <c r="A1925" t="s">
        <v>627</v>
      </c>
      <c r="B1925" s="16">
        <v>45458</v>
      </c>
      <c r="C1925" t="s">
        <v>3</v>
      </c>
      <c r="D1925" t="s">
        <v>120</v>
      </c>
      <c r="E1925" t="s">
        <v>163</v>
      </c>
      <c r="F1925">
        <v>78</v>
      </c>
      <c r="G1925">
        <v>50</v>
      </c>
      <c r="H1925">
        <v>1</v>
      </c>
      <c r="I1925">
        <v>0</v>
      </c>
      <c r="J1925" s="15">
        <v>16100</v>
      </c>
      <c r="K1925">
        <v>1</v>
      </c>
      <c r="L1925">
        <v>0</v>
      </c>
      <c r="M1925">
        <v>0</v>
      </c>
      <c r="N1925">
        <v>21</v>
      </c>
      <c r="O1925">
        <v>77</v>
      </c>
      <c r="P1925">
        <f t="shared" si="96"/>
        <v>2024</v>
      </c>
      <c r="Q1925">
        <f t="shared" si="97"/>
        <v>6</v>
      </c>
      <c r="R1925" t="str">
        <f t="shared" si="95"/>
        <v>手猫免费其他</v>
      </c>
      <c r="S1925" t="s">
        <v>628</v>
      </c>
      <c r="T1925" s="546" t="s">
        <v>804</v>
      </c>
    </row>
    <row r="1926" spans="1:20" x14ac:dyDescent="0.3">
      <c r="A1926" t="s">
        <v>627</v>
      </c>
      <c r="B1926" s="16">
        <v>45458</v>
      </c>
      <c r="C1926" t="s">
        <v>3</v>
      </c>
      <c r="D1926" t="s">
        <v>120</v>
      </c>
      <c r="E1926" t="s">
        <v>164</v>
      </c>
      <c r="F1926">
        <v>6</v>
      </c>
      <c r="G1926">
        <v>3</v>
      </c>
      <c r="H1926">
        <v>1</v>
      </c>
      <c r="I1926">
        <v>0</v>
      </c>
      <c r="J1926" s="15">
        <v>1498</v>
      </c>
      <c r="K1926">
        <v>1</v>
      </c>
      <c r="L1926" s="15">
        <v>1498</v>
      </c>
      <c r="M1926">
        <v>1</v>
      </c>
      <c r="N1926">
        <v>0</v>
      </c>
      <c r="O1926">
        <v>6</v>
      </c>
      <c r="P1926">
        <f t="shared" si="96"/>
        <v>2024</v>
      </c>
      <c r="Q1926">
        <f t="shared" si="97"/>
        <v>6</v>
      </c>
      <c r="R1926" t="str">
        <f t="shared" si="95"/>
        <v>手猫其他店铺</v>
      </c>
      <c r="S1926" t="s">
        <v>628</v>
      </c>
      <c r="T1926" s="546" t="s">
        <v>804</v>
      </c>
    </row>
    <row r="1927" spans="1:20" x14ac:dyDescent="0.3">
      <c r="A1927" t="s">
        <v>627</v>
      </c>
      <c r="B1927" s="16">
        <v>45458</v>
      </c>
      <c r="C1927" t="s">
        <v>3</v>
      </c>
      <c r="D1927" t="s">
        <v>120</v>
      </c>
      <c r="E1927" t="s">
        <v>165</v>
      </c>
      <c r="F1927">
        <v>23</v>
      </c>
      <c r="G1927">
        <v>11</v>
      </c>
      <c r="H1927">
        <v>0</v>
      </c>
      <c r="I1927">
        <v>0</v>
      </c>
      <c r="J1927" s="15">
        <v>1680</v>
      </c>
      <c r="K1927">
        <v>1</v>
      </c>
      <c r="L1927" s="15">
        <v>1680</v>
      </c>
      <c r="M1927">
        <v>1</v>
      </c>
      <c r="N1927">
        <v>0</v>
      </c>
      <c r="O1927">
        <v>22</v>
      </c>
      <c r="P1927">
        <f t="shared" si="96"/>
        <v>2024</v>
      </c>
      <c r="Q1927">
        <f t="shared" si="97"/>
        <v>6</v>
      </c>
      <c r="R1927" t="str">
        <f t="shared" ref="R1927:R1990" si="98">E1927</f>
        <v>手猫商品详情</v>
      </c>
      <c r="S1927" t="s">
        <v>628</v>
      </c>
      <c r="T1927" s="546" t="s">
        <v>804</v>
      </c>
    </row>
    <row r="1928" spans="1:20" x14ac:dyDescent="0.3">
      <c r="A1928" t="s">
        <v>627</v>
      </c>
      <c r="B1928" s="16">
        <v>45458</v>
      </c>
      <c r="C1928" t="s">
        <v>3</v>
      </c>
      <c r="D1928" t="s">
        <v>120</v>
      </c>
      <c r="E1928" t="s">
        <v>166</v>
      </c>
      <c r="F1928">
        <v>75</v>
      </c>
      <c r="G1928">
        <v>48</v>
      </c>
      <c r="H1928">
        <v>2</v>
      </c>
      <c r="I1928">
        <v>0</v>
      </c>
      <c r="J1928" s="15">
        <v>4475</v>
      </c>
      <c r="K1928">
        <v>2</v>
      </c>
      <c r="L1928" s="15">
        <v>4475</v>
      </c>
      <c r="M1928">
        <v>2</v>
      </c>
      <c r="N1928">
        <v>20</v>
      </c>
      <c r="O1928">
        <v>69</v>
      </c>
      <c r="P1928">
        <f t="shared" si="96"/>
        <v>2024</v>
      </c>
      <c r="Q1928">
        <f t="shared" si="97"/>
        <v>6</v>
      </c>
      <c r="R1928" t="str">
        <f t="shared" si="98"/>
        <v>手猫搜索</v>
      </c>
      <c r="S1928" t="s">
        <v>628</v>
      </c>
      <c r="T1928" s="546" t="s">
        <v>804</v>
      </c>
    </row>
    <row r="1929" spans="1:20" x14ac:dyDescent="0.3">
      <c r="A1929" t="s">
        <v>627</v>
      </c>
      <c r="B1929" s="16">
        <v>45458</v>
      </c>
      <c r="C1929" t="s">
        <v>3</v>
      </c>
      <c r="D1929" t="s">
        <v>120</v>
      </c>
      <c r="E1929" t="s">
        <v>168</v>
      </c>
      <c r="F1929">
        <v>345</v>
      </c>
      <c r="G1929">
        <v>193</v>
      </c>
      <c r="H1929">
        <v>3</v>
      </c>
      <c r="I1929">
        <v>0</v>
      </c>
      <c r="J1929" s="15">
        <v>1680</v>
      </c>
      <c r="K1929">
        <v>1</v>
      </c>
      <c r="L1929" s="15">
        <v>1680</v>
      </c>
      <c r="M1929">
        <v>1</v>
      </c>
      <c r="N1929">
        <v>16</v>
      </c>
      <c r="O1929">
        <v>345</v>
      </c>
      <c r="P1929">
        <f t="shared" si="96"/>
        <v>2024</v>
      </c>
      <c r="Q1929">
        <f t="shared" si="97"/>
        <v>6</v>
      </c>
      <c r="R1929" t="str">
        <f t="shared" si="98"/>
        <v>手猫首页</v>
      </c>
      <c r="S1929" t="s">
        <v>628</v>
      </c>
      <c r="T1929" s="546" t="s">
        <v>804</v>
      </c>
    </row>
    <row r="1930" spans="1:20" x14ac:dyDescent="0.3">
      <c r="A1930" t="s">
        <v>627</v>
      </c>
      <c r="B1930" s="16">
        <v>45458</v>
      </c>
      <c r="C1930" t="s">
        <v>3</v>
      </c>
      <c r="D1930" t="s">
        <v>123</v>
      </c>
      <c r="E1930" t="s">
        <v>169</v>
      </c>
      <c r="F1930">
        <v>140</v>
      </c>
      <c r="G1930">
        <v>61</v>
      </c>
      <c r="H1930">
        <v>3</v>
      </c>
      <c r="I1930">
        <v>2</v>
      </c>
      <c r="J1930" s="15">
        <v>6622</v>
      </c>
      <c r="K1930">
        <v>2</v>
      </c>
      <c r="L1930" s="15">
        <v>1917</v>
      </c>
      <c r="M1930">
        <v>1</v>
      </c>
      <c r="N1930">
        <v>34</v>
      </c>
      <c r="O1930">
        <v>132</v>
      </c>
      <c r="P1930">
        <f t="shared" si="96"/>
        <v>2024</v>
      </c>
      <c r="Q1930">
        <f t="shared" si="97"/>
        <v>6</v>
      </c>
      <c r="R1930" t="str">
        <f t="shared" si="98"/>
        <v>商品详情页头图推荐</v>
      </c>
      <c r="S1930" t="s">
        <v>628</v>
      </c>
      <c r="T1930" s="546" t="s">
        <v>804</v>
      </c>
    </row>
    <row r="1931" spans="1:20" x14ac:dyDescent="0.3">
      <c r="A1931" t="s">
        <v>627</v>
      </c>
      <c r="B1931" s="16">
        <v>45458</v>
      </c>
      <c r="C1931" t="s">
        <v>3</v>
      </c>
      <c r="D1931" t="s">
        <v>123</v>
      </c>
      <c r="E1931" t="s">
        <v>170</v>
      </c>
      <c r="F1931">
        <v>22</v>
      </c>
      <c r="G1931">
        <v>14</v>
      </c>
      <c r="H1931">
        <v>2</v>
      </c>
      <c r="I1931">
        <v>0</v>
      </c>
      <c r="J1931" s="17">
        <v>3795.5</v>
      </c>
      <c r="K1931">
        <v>2</v>
      </c>
      <c r="L1931" s="17">
        <v>3795.5</v>
      </c>
      <c r="M1931">
        <v>2</v>
      </c>
      <c r="N1931">
        <v>21</v>
      </c>
      <c r="O1931">
        <v>8</v>
      </c>
      <c r="P1931">
        <f t="shared" si="96"/>
        <v>2024</v>
      </c>
      <c r="Q1931">
        <f t="shared" si="97"/>
        <v>6</v>
      </c>
      <c r="R1931" t="str">
        <f t="shared" si="98"/>
        <v>店铺超链</v>
      </c>
      <c r="S1931" t="s">
        <v>628</v>
      </c>
      <c r="T1931" s="546" t="s">
        <v>804</v>
      </c>
    </row>
    <row r="1932" spans="1:20" x14ac:dyDescent="0.3">
      <c r="A1932" t="s">
        <v>627</v>
      </c>
      <c r="B1932" s="16">
        <v>45458</v>
      </c>
      <c r="C1932" t="s">
        <v>3</v>
      </c>
      <c r="D1932" t="s">
        <v>127</v>
      </c>
      <c r="E1932" t="s">
        <v>171</v>
      </c>
      <c r="F1932">
        <v>225</v>
      </c>
      <c r="G1932">
        <v>147</v>
      </c>
      <c r="H1932">
        <v>0</v>
      </c>
      <c r="I1932">
        <v>3</v>
      </c>
      <c r="J1932" s="15">
        <v>1000</v>
      </c>
      <c r="K1932">
        <v>1</v>
      </c>
      <c r="L1932" s="15">
        <v>1000</v>
      </c>
      <c r="M1932">
        <v>1</v>
      </c>
      <c r="N1932">
        <v>77</v>
      </c>
      <c r="O1932">
        <v>182</v>
      </c>
      <c r="P1932">
        <f t="shared" si="96"/>
        <v>2024</v>
      </c>
      <c r="Q1932">
        <f t="shared" si="97"/>
        <v>6</v>
      </c>
      <c r="R1932" t="str">
        <f t="shared" si="98"/>
        <v>其他猜你喜欢</v>
      </c>
      <c r="S1932" t="s">
        <v>628</v>
      </c>
      <c r="T1932" s="546" t="s">
        <v>804</v>
      </c>
    </row>
    <row r="1933" spans="1:20" x14ac:dyDescent="0.3">
      <c r="A1933" t="s">
        <v>627</v>
      </c>
      <c r="B1933" s="16">
        <v>45458</v>
      </c>
      <c r="C1933" t="s">
        <v>3</v>
      </c>
      <c r="D1933" t="s">
        <v>127</v>
      </c>
      <c r="E1933" t="s">
        <v>172</v>
      </c>
      <c r="F1933">
        <v>9</v>
      </c>
      <c r="G1933">
        <v>4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2</v>
      </c>
      <c r="O1933">
        <v>8</v>
      </c>
      <c r="P1933">
        <f t="shared" si="96"/>
        <v>2024</v>
      </c>
      <c r="Q1933">
        <f t="shared" si="97"/>
        <v>6</v>
      </c>
      <c r="R1933" t="str">
        <f t="shared" si="98"/>
        <v>购中推荐</v>
      </c>
      <c r="S1933" t="s">
        <v>628</v>
      </c>
      <c r="T1933" s="546" t="s">
        <v>804</v>
      </c>
    </row>
    <row r="1934" spans="1:20" x14ac:dyDescent="0.3">
      <c r="A1934" t="s">
        <v>627</v>
      </c>
      <c r="B1934" s="16">
        <v>45458</v>
      </c>
      <c r="C1934" t="s">
        <v>3</v>
      </c>
      <c r="D1934" t="s">
        <v>127</v>
      </c>
      <c r="E1934" t="s">
        <v>173</v>
      </c>
      <c r="F1934">
        <v>26</v>
      </c>
      <c r="G1934">
        <v>14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2</v>
      </c>
      <c r="O1934">
        <v>23</v>
      </c>
      <c r="P1934">
        <f t="shared" si="96"/>
        <v>2024</v>
      </c>
      <c r="Q1934">
        <f t="shared" si="97"/>
        <v>6</v>
      </c>
      <c r="R1934" t="str">
        <f t="shared" si="98"/>
        <v>购后推荐</v>
      </c>
      <c r="S1934" t="s">
        <v>628</v>
      </c>
      <c r="T1934" s="546" t="s">
        <v>804</v>
      </c>
    </row>
    <row r="1935" spans="1:20" x14ac:dyDescent="0.3">
      <c r="A1935" t="s">
        <v>627</v>
      </c>
      <c r="B1935" s="16">
        <v>45458</v>
      </c>
      <c r="C1935" t="s">
        <v>3</v>
      </c>
      <c r="D1935" t="s">
        <v>127</v>
      </c>
      <c r="E1935" t="s">
        <v>174</v>
      </c>
      <c r="F1935" s="15">
        <v>1686</v>
      </c>
      <c r="G1935">
        <v>997</v>
      </c>
      <c r="H1935">
        <v>32</v>
      </c>
      <c r="I1935">
        <v>12</v>
      </c>
      <c r="J1935" s="17">
        <v>18737.759999999998</v>
      </c>
      <c r="K1935">
        <v>7</v>
      </c>
      <c r="L1935" s="17">
        <v>10284.76</v>
      </c>
      <c r="M1935">
        <v>5</v>
      </c>
      <c r="N1935">
        <v>162</v>
      </c>
      <c r="O1935" s="15">
        <v>1686</v>
      </c>
      <c r="P1935">
        <f t="shared" si="96"/>
        <v>2024</v>
      </c>
      <c r="Q1935">
        <f t="shared" si="97"/>
        <v>6</v>
      </c>
      <c r="R1935" t="str">
        <f t="shared" si="98"/>
        <v>首页推荐-微详情</v>
      </c>
      <c r="S1935" t="s">
        <v>628</v>
      </c>
      <c r="T1935" s="546" t="s">
        <v>804</v>
      </c>
    </row>
    <row r="1936" spans="1:20" x14ac:dyDescent="0.3">
      <c r="A1936" t="s">
        <v>627</v>
      </c>
      <c r="B1936" s="16">
        <v>45458</v>
      </c>
      <c r="C1936" t="s">
        <v>3</v>
      </c>
      <c r="D1936" t="s">
        <v>127</v>
      </c>
      <c r="E1936" t="s">
        <v>175</v>
      </c>
      <c r="F1936">
        <v>110</v>
      </c>
      <c r="G1936">
        <v>48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4</v>
      </c>
      <c r="P1936">
        <f t="shared" si="96"/>
        <v>2024</v>
      </c>
      <c r="Q1936">
        <f t="shared" si="97"/>
        <v>6</v>
      </c>
      <c r="R1936" t="str">
        <f t="shared" si="98"/>
        <v>首页推荐-直播</v>
      </c>
      <c r="S1936" t="s">
        <v>628</v>
      </c>
      <c r="T1936" s="546" t="s">
        <v>804</v>
      </c>
    </row>
    <row r="1937" spans="1:20" x14ac:dyDescent="0.3">
      <c r="A1937" t="s">
        <v>627</v>
      </c>
      <c r="B1937" s="16">
        <v>45458</v>
      </c>
      <c r="C1937" t="s">
        <v>3</v>
      </c>
      <c r="D1937" t="s">
        <v>127</v>
      </c>
      <c r="E1937" t="s">
        <v>176</v>
      </c>
      <c r="F1937">
        <v>23</v>
      </c>
      <c r="G1937">
        <v>10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f t="shared" si="96"/>
        <v>2024</v>
      </c>
      <c r="Q1937">
        <f t="shared" si="97"/>
        <v>6</v>
      </c>
      <c r="R1937" t="str">
        <f t="shared" si="98"/>
        <v>首页推荐-短视频</v>
      </c>
      <c r="S1937" t="s">
        <v>628</v>
      </c>
      <c r="T1937" s="546" t="s">
        <v>804</v>
      </c>
    </row>
    <row r="1938" spans="1:20" x14ac:dyDescent="0.3">
      <c r="A1938" t="s">
        <v>627</v>
      </c>
      <c r="B1938" s="16">
        <v>45458</v>
      </c>
      <c r="C1938" t="s">
        <v>3</v>
      </c>
      <c r="D1938" t="s">
        <v>128</v>
      </c>
      <c r="E1938" t="s">
        <v>177</v>
      </c>
      <c r="F1938">
        <v>967</v>
      </c>
      <c r="G1938">
        <v>780</v>
      </c>
      <c r="H1938">
        <v>74</v>
      </c>
      <c r="I1938">
        <v>14</v>
      </c>
      <c r="J1938" s="17">
        <v>59435.98</v>
      </c>
      <c r="K1938">
        <v>22</v>
      </c>
      <c r="L1938" s="17">
        <v>39786.5</v>
      </c>
      <c r="M1938">
        <v>15</v>
      </c>
      <c r="N1938">
        <v>290</v>
      </c>
      <c r="O1938">
        <v>870</v>
      </c>
      <c r="P1938">
        <f t="shared" si="96"/>
        <v>2024</v>
      </c>
      <c r="Q1938">
        <f t="shared" si="97"/>
        <v>6</v>
      </c>
      <c r="R1938" t="str">
        <f t="shared" si="98"/>
        <v>手淘搜索-商品及其他</v>
      </c>
      <c r="S1938" t="s">
        <v>628</v>
      </c>
      <c r="T1938" s="546" t="s">
        <v>804</v>
      </c>
    </row>
    <row r="1939" spans="1:20" x14ac:dyDescent="0.3">
      <c r="A1939" t="s">
        <v>627</v>
      </c>
      <c r="B1939" s="16">
        <v>45458</v>
      </c>
      <c r="C1939" t="s">
        <v>3</v>
      </c>
      <c r="D1939" t="s">
        <v>128</v>
      </c>
      <c r="E1939" t="s">
        <v>178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f t="shared" si="96"/>
        <v>2024</v>
      </c>
      <c r="Q1939">
        <f t="shared" si="97"/>
        <v>6</v>
      </c>
      <c r="R1939" t="str">
        <f t="shared" si="98"/>
        <v>手淘搜索-直播</v>
      </c>
      <c r="S1939" t="s">
        <v>628</v>
      </c>
      <c r="T1939" s="546" t="s">
        <v>804</v>
      </c>
    </row>
    <row r="1940" spans="1:20" x14ac:dyDescent="0.3">
      <c r="A1940" t="s">
        <v>627</v>
      </c>
      <c r="B1940" s="16">
        <v>45458</v>
      </c>
      <c r="C1940" t="s">
        <v>3</v>
      </c>
      <c r="D1940" t="s">
        <v>128</v>
      </c>
      <c r="E1940" t="s">
        <v>179</v>
      </c>
      <c r="F1940">
        <v>24</v>
      </c>
      <c r="G1940">
        <v>13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2</v>
      </c>
      <c r="O1940">
        <v>2</v>
      </c>
      <c r="P1940">
        <f t="shared" si="96"/>
        <v>2024</v>
      </c>
      <c r="Q1940">
        <f t="shared" si="97"/>
        <v>6</v>
      </c>
      <c r="R1940" t="str">
        <f t="shared" si="98"/>
        <v>手淘搜索-短视频</v>
      </c>
      <c r="S1940" t="s">
        <v>628</v>
      </c>
      <c r="T1940" s="546" t="s">
        <v>804</v>
      </c>
    </row>
    <row r="1941" spans="1:20" x14ac:dyDescent="0.3">
      <c r="A1941" t="s">
        <v>627</v>
      </c>
      <c r="B1941" s="16">
        <v>45458</v>
      </c>
      <c r="C1941" t="s">
        <v>3</v>
      </c>
      <c r="D1941" t="s">
        <v>143</v>
      </c>
      <c r="E1941" t="s">
        <v>180</v>
      </c>
      <c r="F1941">
        <v>22</v>
      </c>
      <c r="G1941">
        <v>21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22</v>
      </c>
      <c r="P1941">
        <f t="shared" ref="P1941:P2004" si="99">YEAR(B1941)</f>
        <v>2024</v>
      </c>
      <c r="Q1941">
        <f t="shared" ref="Q1941:Q2004" si="100">MONTH(B1941)</f>
        <v>6</v>
      </c>
      <c r="R1941" t="str">
        <f t="shared" si="98"/>
        <v>淘特其他渠道</v>
      </c>
      <c r="S1941" t="s">
        <v>628</v>
      </c>
      <c r="T1941" s="546" t="s">
        <v>804</v>
      </c>
    </row>
    <row r="1942" spans="1:20" x14ac:dyDescent="0.3">
      <c r="A1942" t="s">
        <v>627</v>
      </c>
      <c r="B1942" s="16">
        <v>45458</v>
      </c>
      <c r="C1942" t="s">
        <v>2</v>
      </c>
      <c r="D1942" t="s">
        <v>55</v>
      </c>
      <c r="E1942" t="s">
        <v>54</v>
      </c>
      <c r="F1942" s="15">
        <v>5459</v>
      </c>
      <c r="G1942" s="15">
        <v>4243</v>
      </c>
      <c r="H1942">
        <v>2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18</v>
      </c>
      <c r="O1942" s="15">
        <v>3131</v>
      </c>
      <c r="P1942">
        <f t="shared" si="99"/>
        <v>2024</v>
      </c>
      <c r="Q1942">
        <f t="shared" si="100"/>
        <v>6</v>
      </c>
      <c r="R1942" t="str">
        <f t="shared" si="98"/>
        <v>超级直播</v>
      </c>
      <c r="S1942" t="s">
        <v>628</v>
      </c>
      <c r="T1942" s="546" t="s">
        <v>804</v>
      </c>
    </row>
    <row r="1943" spans="1:20" x14ac:dyDescent="0.3">
      <c r="A1943" t="s">
        <v>627</v>
      </c>
      <c r="B1943" s="16">
        <v>45458</v>
      </c>
      <c r="C1943" t="s">
        <v>2</v>
      </c>
      <c r="D1943" t="s">
        <v>55</v>
      </c>
      <c r="E1943" t="s">
        <v>56</v>
      </c>
      <c r="F1943" s="15">
        <v>9197</v>
      </c>
      <c r="G1943" s="15">
        <v>6451</v>
      </c>
      <c r="H1943">
        <v>2</v>
      </c>
      <c r="I1943">
        <v>2</v>
      </c>
      <c r="J1943">
        <v>0</v>
      </c>
      <c r="K1943">
        <v>0</v>
      </c>
      <c r="L1943">
        <v>0</v>
      </c>
      <c r="M1943">
        <v>0</v>
      </c>
      <c r="N1943">
        <v>10</v>
      </c>
      <c r="O1943">
        <v>244</v>
      </c>
      <c r="P1943">
        <f t="shared" si="99"/>
        <v>2024</v>
      </c>
      <c r="Q1943">
        <f t="shared" si="100"/>
        <v>6</v>
      </c>
      <c r="R1943" t="str">
        <f t="shared" si="98"/>
        <v>超级短视频</v>
      </c>
      <c r="S1943" t="s">
        <v>628</v>
      </c>
      <c r="T1943" s="546" t="s">
        <v>804</v>
      </c>
    </row>
    <row r="1944" spans="1:20" x14ac:dyDescent="0.3">
      <c r="A1944" t="s">
        <v>627</v>
      </c>
      <c r="B1944" s="16">
        <v>45458</v>
      </c>
      <c r="C1944" t="s">
        <v>2</v>
      </c>
      <c r="D1944" t="s">
        <v>52</v>
      </c>
      <c r="E1944" t="s">
        <v>53</v>
      </c>
      <c r="F1944">
        <v>779</v>
      </c>
      <c r="G1944">
        <v>599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779</v>
      </c>
      <c r="O1944">
        <v>111</v>
      </c>
      <c r="P1944">
        <f t="shared" si="99"/>
        <v>2024</v>
      </c>
      <c r="Q1944">
        <f t="shared" si="100"/>
        <v>6</v>
      </c>
      <c r="R1944" t="str">
        <f t="shared" si="98"/>
        <v>Showmax</v>
      </c>
      <c r="S1944" t="s">
        <v>628</v>
      </c>
      <c r="T1944" s="546" t="s">
        <v>804</v>
      </c>
    </row>
    <row r="1945" spans="1:20" x14ac:dyDescent="0.3">
      <c r="A1945" t="s">
        <v>627</v>
      </c>
      <c r="B1945" s="16">
        <v>45458</v>
      </c>
      <c r="C1945" t="s">
        <v>2</v>
      </c>
      <c r="D1945" t="s">
        <v>52</v>
      </c>
      <c r="E1945" t="s">
        <v>59</v>
      </c>
      <c r="F1945" s="15">
        <v>1491</v>
      </c>
      <c r="G1945" s="15">
        <v>1205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 s="15">
        <v>1491</v>
      </c>
      <c r="O1945">
        <v>214</v>
      </c>
      <c r="P1945">
        <f t="shared" si="99"/>
        <v>2024</v>
      </c>
      <c r="Q1945">
        <f t="shared" si="100"/>
        <v>6</v>
      </c>
      <c r="R1945" t="str">
        <f t="shared" si="98"/>
        <v>品牌特秀</v>
      </c>
      <c r="S1945" t="s">
        <v>628</v>
      </c>
      <c r="T1945" s="546" t="s">
        <v>804</v>
      </c>
    </row>
    <row r="1946" spans="1:20" x14ac:dyDescent="0.3">
      <c r="A1946" t="s">
        <v>627</v>
      </c>
      <c r="B1946" s="16">
        <v>45458</v>
      </c>
      <c r="C1946" t="s">
        <v>2</v>
      </c>
      <c r="D1946" t="s">
        <v>52</v>
      </c>
      <c r="E1946" t="s">
        <v>183</v>
      </c>
      <c r="F1946">
        <v>563</v>
      </c>
      <c r="G1946">
        <v>462</v>
      </c>
      <c r="H1946">
        <v>18</v>
      </c>
      <c r="I1946">
        <v>5</v>
      </c>
      <c r="J1946" s="17">
        <v>50475.02</v>
      </c>
      <c r="K1946">
        <v>8</v>
      </c>
      <c r="L1946" s="17">
        <v>14620.5</v>
      </c>
      <c r="M1946">
        <v>6</v>
      </c>
      <c r="N1946">
        <v>563</v>
      </c>
      <c r="O1946">
        <v>292</v>
      </c>
      <c r="P1946">
        <f t="shared" si="99"/>
        <v>2024</v>
      </c>
      <c r="Q1946">
        <f t="shared" si="100"/>
        <v>6</v>
      </c>
      <c r="R1946" t="str">
        <f t="shared" si="98"/>
        <v>品销宝-品牌专区</v>
      </c>
      <c r="S1946" t="s">
        <v>628</v>
      </c>
      <c r="T1946" s="546" t="s">
        <v>804</v>
      </c>
    </row>
    <row r="1947" spans="1:20" x14ac:dyDescent="0.3">
      <c r="A1947" t="s">
        <v>627</v>
      </c>
      <c r="B1947" s="16">
        <v>45458</v>
      </c>
      <c r="C1947" t="s">
        <v>2</v>
      </c>
      <c r="D1947" t="s">
        <v>57</v>
      </c>
      <c r="E1947" t="s">
        <v>65</v>
      </c>
      <c r="F1947" s="15">
        <v>3886</v>
      </c>
      <c r="G1947" s="15">
        <v>3387</v>
      </c>
      <c r="H1947">
        <v>85</v>
      </c>
      <c r="I1947">
        <v>28</v>
      </c>
      <c r="J1947" s="17">
        <v>67770.5</v>
      </c>
      <c r="K1947">
        <v>24</v>
      </c>
      <c r="L1947" s="17">
        <v>55627.5</v>
      </c>
      <c r="M1947">
        <v>20</v>
      </c>
      <c r="N1947">
        <v>353</v>
      </c>
      <c r="O1947" s="15">
        <v>3847</v>
      </c>
      <c r="P1947">
        <f t="shared" si="99"/>
        <v>2024</v>
      </c>
      <c r="Q1947">
        <f t="shared" si="100"/>
        <v>6</v>
      </c>
      <c r="R1947" t="str">
        <f t="shared" si="98"/>
        <v>直通车</v>
      </c>
      <c r="S1947" t="s">
        <v>628</v>
      </c>
      <c r="T1947" s="546" t="s">
        <v>804</v>
      </c>
    </row>
    <row r="1948" spans="1:20" x14ac:dyDescent="0.3">
      <c r="A1948" t="s">
        <v>627</v>
      </c>
      <c r="B1948" s="16">
        <v>45458</v>
      </c>
      <c r="C1948" t="s">
        <v>2</v>
      </c>
      <c r="D1948" t="s">
        <v>57</v>
      </c>
      <c r="E1948" t="s">
        <v>63</v>
      </c>
      <c r="F1948" s="15">
        <v>5527</v>
      </c>
      <c r="G1948" s="15">
        <v>3423</v>
      </c>
      <c r="H1948">
        <v>68</v>
      </c>
      <c r="I1948">
        <v>54</v>
      </c>
      <c r="J1948" s="15">
        <v>59145</v>
      </c>
      <c r="K1948">
        <v>15</v>
      </c>
      <c r="L1948" s="15">
        <v>16530</v>
      </c>
      <c r="M1948">
        <v>6</v>
      </c>
      <c r="N1948">
        <v>285</v>
      </c>
      <c r="O1948" s="15">
        <v>5524</v>
      </c>
      <c r="P1948">
        <f t="shared" si="99"/>
        <v>2024</v>
      </c>
      <c r="Q1948">
        <f t="shared" si="100"/>
        <v>6</v>
      </c>
      <c r="R1948" t="str">
        <f t="shared" si="98"/>
        <v>万相台</v>
      </c>
      <c r="S1948" t="s">
        <v>628</v>
      </c>
      <c r="T1948" s="546" t="s">
        <v>804</v>
      </c>
    </row>
    <row r="1949" spans="1:20" x14ac:dyDescent="0.3">
      <c r="A1949" t="s">
        <v>627</v>
      </c>
      <c r="B1949" s="16">
        <v>45458</v>
      </c>
      <c r="C1949" t="s">
        <v>2</v>
      </c>
      <c r="D1949" t="s">
        <v>57</v>
      </c>
      <c r="E1949" t="s">
        <v>64</v>
      </c>
      <c r="F1949" s="15">
        <v>12953</v>
      </c>
      <c r="G1949" s="15">
        <v>6304</v>
      </c>
      <c r="H1949">
        <v>32</v>
      </c>
      <c r="I1949">
        <v>29</v>
      </c>
      <c r="J1949" s="15">
        <v>41337</v>
      </c>
      <c r="K1949">
        <v>5</v>
      </c>
      <c r="L1949" s="15">
        <v>34652</v>
      </c>
      <c r="M1949">
        <v>3</v>
      </c>
      <c r="N1949">
        <v>266</v>
      </c>
      <c r="O1949" s="15">
        <v>12946</v>
      </c>
      <c r="P1949">
        <f t="shared" si="99"/>
        <v>2024</v>
      </c>
      <c r="Q1949">
        <f t="shared" si="100"/>
        <v>6</v>
      </c>
      <c r="R1949" t="str">
        <f t="shared" si="98"/>
        <v>引力魔方</v>
      </c>
      <c r="S1949" t="s">
        <v>628</v>
      </c>
      <c r="T1949" s="546" t="s">
        <v>804</v>
      </c>
    </row>
    <row r="1950" spans="1:20" x14ac:dyDescent="0.3">
      <c r="A1950" t="s">
        <v>627</v>
      </c>
      <c r="B1950" s="16">
        <v>45458</v>
      </c>
      <c r="C1950" t="s">
        <v>2</v>
      </c>
      <c r="D1950" t="s">
        <v>4</v>
      </c>
      <c r="E1950" t="s">
        <v>41</v>
      </c>
      <c r="F1950">
        <v>4</v>
      </c>
      <c r="G1950">
        <v>4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2</v>
      </c>
      <c r="O1950">
        <v>3</v>
      </c>
      <c r="P1950">
        <f t="shared" si="99"/>
        <v>2024</v>
      </c>
      <c r="Q1950">
        <f t="shared" si="100"/>
        <v>6</v>
      </c>
      <c r="R1950" t="str">
        <f t="shared" si="98"/>
        <v>流量宝</v>
      </c>
      <c r="S1950" t="s">
        <v>628</v>
      </c>
      <c r="T1950" s="546" t="s">
        <v>804</v>
      </c>
    </row>
    <row r="1951" spans="1:20" x14ac:dyDescent="0.3">
      <c r="A1951" t="s">
        <v>627</v>
      </c>
      <c r="B1951" s="16">
        <v>45458</v>
      </c>
      <c r="C1951" t="s">
        <v>2</v>
      </c>
      <c r="D1951" t="s">
        <v>4</v>
      </c>
      <c r="E1951" t="s">
        <v>43</v>
      </c>
      <c r="F1951" s="15">
        <v>1313</v>
      </c>
      <c r="G1951">
        <v>232</v>
      </c>
      <c r="H1951">
        <v>2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18</v>
      </c>
      <c r="O1951" s="15">
        <v>1294</v>
      </c>
      <c r="P1951">
        <f t="shared" si="99"/>
        <v>2024</v>
      </c>
      <c r="Q1951">
        <f t="shared" si="100"/>
        <v>6</v>
      </c>
      <c r="R1951" t="str">
        <f t="shared" si="98"/>
        <v>淘宝客</v>
      </c>
      <c r="S1951" t="s">
        <v>628</v>
      </c>
      <c r="T1951" s="546" t="s">
        <v>804</v>
      </c>
    </row>
    <row r="1952" spans="1:20" x14ac:dyDescent="0.3">
      <c r="A1952" t="s">
        <v>627</v>
      </c>
      <c r="B1952" s="16">
        <v>45459</v>
      </c>
      <c r="C1952" t="s">
        <v>3</v>
      </c>
      <c r="D1952" t="s">
        <v>114</v>
      </c>
      <c r="E1952" t="s">
        <v>159</v>
      </c>
      <c r="F1952">
        <v>99</v>
      </c>
      <c r="G1952">
        <v>44</v>
      </c>
      <c r="H1952">
        <v>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11</v>
      </c>
      <c r="O1952">
        <v>95</v>
      </c>
      <c r="P1952">
        <f t="shared" si="99"/>
        <v>2024</v>
      </c>
      <c r="Q1952">
        <f t="shared" si="100"/>
        <v>6</v>
      </c>
      <c r="R1952" t="str">
        <f t="shared" si="98"/>
        <v>主会场</v>
      </c>
      <c r="S1952" t="s">
        <v>628</v>
      </c>
      <c r="T1952" s="546" t="s">
        <v>804</v>
      </c>
    </row>
    <row r="1953" spans="1:20" x14ac:dyDescent="0.3">
      <c r="A1953" t="s">
        <v>627</v>
      </c>
      <c r="B1953" s="16">
        <v>45459</v>
      </c>
      <c r="C1953" t="s">
        <v>3</v>
      </c>
      <c r="D1953" t="s">
        <v>114</v>
      </c>
      <c r="E1953" t="s">
        <v>160</v>
      </c>
      <c r="F1953">
        <v>3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3</v>
      </c>
      <c r="P1953">
        <f t="shared" si="99"/>
        <v>2024</v>
      </c>
      <c r="Q1953">
        <f t="shared" si="100"/>
        <v>6</v>
      </c>
      <c r="R1953" t="str">
        <f t="shared" si="98"/>
        <v>榜单会场</v>
      </c>
      <c r="S1953" t="s">
        <v>628</v>
      </c>
      <c r="T1953" s="546" t="s">
        <v>804</v>
      </c>
    </row>
    <row r="1954" spans="1:20" x14ac:dyDescent="0.3">
      <c r="A1954" t="s">
        <v>627</v>
      </c>
      <c r="B1954" s="16">
        <v>45459</v>
      </c>
      <c r="C1954" t="s">
        <v>3</v>
      </c>
      <c r="D1954" t="s">
        <v>120</v>
      </c>
      <c r="E1954" t="s">
        <v>162</v>
      </c>
      <c r="F1954">
        <v>1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</v>
      </c>
      <c r="O1954">
        <v>0</v>
      </c>
      <c r="P1954">
        <f t="shared" si="99"/>
        <v>2024</v>
      </c>
      <c r="Q1954">
        <f t="shared" si="100"/>
        <v>6</v>
      </c>
      <c r="R1954" t="str">
        <f t="shared" si="98"/>
        <v>手机浏览器访问天猫</v>
      </c>
      <c r="S1954" t="s">
        <v>628</v>
      </c>
      <c r="T1954" s="546" t="s">
        <v>804</v>
      </c>
    </row>
    <row r="1955" spans="1:20" x14ac:dyDescent="0.3">
      <c r="A1955" t="s">
        <v>627</v>
      </c>
      <c r="B1955" s="16">
        <v>45459</v>
      </c>
      <c r="C1955" t="s">
        <v>3</v>
      </c>
      <c r="D1955" t="s">
        <v>120</v>
      </c>
      <c r="E1955" t="s">
        <v>163</v>
      </c>
      <c r="F1955">
        <v>106</v>
      </c>
      <c r="G1955">
        <v>51</v>
      </c>
      <c r="H1955">
        <v>2</v>
      </c>
      <c r="I1955">
        <v>0</v>
      </c>
      <c r="J1955" s="17">
        <v>10217.17</v>
      </c>
      <c r="K1955">
        <v>4</v>
      </c>
      <c r="L1955" s="17">
        <v>7422.17</v>
      </c>
      <c r="M1955">
        <v>3</v>
      </c>
      <c r="N1955">
        <v>35</v>
      </c>
      <c r="O1955">
        <v>101</v>
      </c>
      <c r="P1955">
        <f t="shared" si="99"/>
        <v>2024</v>
      </c>
      <c r="Q1955">
        <f t="shared" si="100"/>
        <v>6</v>
      </c>
      <c r="R1955" t="str">
        <f t="shared" si="98"/>
        <v>手猫免费其他</v>
      </c>
      <c r="S1955" t="s">
        <v>628</v>
      </c>
      <c r="T1955" s="546" t="s">
        <v>804</v>
      </c>
    </row>
    <row r="1956" spans="1:20" x14ac:dyDescent="0.3">
      <c r="A1956" t="s">
        <v>627</v>
      </c>
      <c r="B1956" s="16">
        <v>45459</v>
      </c>
      <c r="C1956" t="s">
        <v>3</v>
      </c>
      <c r="D1956" t="s">
        <v>120</v>
      </c>
      <c r="E1956" t="s">
        <v>164</v>
      </c>
      <c r="F1956">
        <v>12</v>
      </c>
      <c r="G1956">
        <v>8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1</v>
      </c>
      <c r="O1956">
        <v>12</v>
      </c>
      <c r="P1956">
        <f t="shared" si="99"/>
        <v>2024</v>
      </c>
      <c r="Q1956">
        <f t="shared" si="100"/>
        <v>6</v>
      </c>
      <c r="R1956" t="str">
        <f t="shared" si="98"/>
        <v>手猫其他店铺</v>
      </c>
      <c r="S1956" t="s">
        <v>628</v>
      </c>
      <c r="T1956" s="546" t="s">
        <v>804</v>
      </c>
    </row>
    <row r="1957" spans="1:20" x14ac:dyDescent="0.3">
      <c r="A1957" t="s">
        <v>627</v>
      </c>
      <c r="B1957" s="16">
        <v>45459</v>
      </c>
      <c r="C1957" t="s">
        <v>3</v>
      </c>
      <c r="D1957" t="s">
        <v>120</v>
      </c>
      <c r="E1957" t="s">
        <v>165</v>
      </c>
      <c r="F1957">
        <v>32</v>
      </c>
      <c r="G1957">
        <v>16</v>
      </c>
      <c r="H1957">
        <v>2</v>
      </c>
      <c r="I1957">
        <v>0</v>
      </c>
      <c r="J1957" s="15">
        <v>6859</v>
      </c>
      <c r="K1957">
        <v>3</v>
      </c>
      <c r="L1957" s="15">
        <v>4064</v>
      </c>
      <c r="M1957">
        <v>2</v>
      </c>
      <c r="N1957">
        <v>11</v>
      </c>
      <c r="O1957">
        <v>28</v>
      </c>
      <c r="P1957">
        <f t="shared" si="99"/>
        <v>2024</v>
      </c>
      <c r="Q1957">
        <f t="shared" si="100"/>
        <v>6</v>
      </c>
      <c r="R1957" t="str">
        <f t="shared" si="98"/>
        <v>手猫商品详情</v>
      </c>
      <c r="S1957" t="s">
        <v>628</v>
      </c>
      <c r="T1957" s="546" t="s">
        <v>804</v>
      </c>
    </row>
    <row r="1958" spans="1:20" x14ac:dyDescent="0.3">
      <c r="A1958" t="s">
        <v>627</v>
      </c>
      <c r="B1958" s="16">
        <v>45459</v>
      </c>
      <c r="C1958" t="s">
        <v>3</v>
      </c>
      <c r="D1958" t="s">
        <v>120</v>
      </c>
      <c r="E1958" t="s">
        <v>166</v>
      </c>
      <c r="F1958">
        <v>96</v>
      </c>
      <c r="G1958">
        <v>54</v>
      </c>
      <c r="H1958">
        <v>2</v>
      </c>
      <c r="I1958">
        <v>0</v>
      </c>
      <c r="J1958" s="15">
        <v>7890</v>
      </c>
      <c r="K1958">
        <v>3</v>
      </c>
      <c r="L1958" s="15">
        <v>5095</v>
      </c>
      <c r="M1958">
        <v>2</v>
      </c>
      <c r="N1958">
        <v>34</v>
      </c>
      <c r="O1958">
        <v>87</v>
      </c>
      <c r="P1958">
        <f t="shared" si="99"/>
        <v>2024</v>
      </c>
      <c r="Q1958">
        <f t="shared" si="100"/>
        <v>6</v>
      </c>
      <c r="R1958" t="str">
        <f t="shared" si="98"/>
        <v>手猫搜索</v>
      </c>
      <c r="S1958" t="s">
        <v>628</v>
      </c>
      <c r="T1958" s="546" t="s">
        <v>804</v>
      </c>
    </row>
    <row r="1959" spans="1:20" x14ac:dyDescent="0.3">
      <c r="A1959" t="s">
        <v>627</v>
      </c>
      <c r="B1959" s="16">
        <v>45459</v>
      </c>
      <c r="C1959" t="s">
        <v>3</v>
      </c>
      <c r="D1959" t="s">
        <v>120</v>
      </c>
      <c r="E1959" t="s">
        <v>167</v>
      </c>
      <c r="F1959">
        <v>2</v>
      </c>
      <c r="G1959">
        <v>2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2</v>
      </c>
      <c r="P1959">
        <f t="shared" si="99"/>
        <v>2024</v>
      </c>
      <c r="Q1959">
        <f t="shared" si="100"/>
        <v>6</v>
      </c>
      <c r="R1959" t="str">
        <f t="shared" si="98"/>
        <v>手猫旺信聊天</v>
      </c>
      <c r="S1959" t="s">
        <v>628</v>
      </c>
      <c r="T1959" s="546" t="s">
        <v>804</v>
      </c>
    </row>
    <row r="1960" spans="1:20" x14ac:dyDescent="0.3">
      <c r="A1960" t="s">
        <v>627</v>
      </c>
      <c r="B1960" s="16">
        <v>45459</v>
      </c>
      <c r="C1960" t="s">
        <v>3</v>
      </c>
      <c r="D1960" t="s">
        <v>120</v>
      </c>
      <c r="E1960" t="s">
        <v>168</v>
      </c>
      <c r="F1960">
        <v>365</v>
      </c>
      <c r="G1960">
        <v>220</v>
      </c>
      <c r="H1960">
        <v>3</v>
      </c>
      <c r="I1960">
        <v>0</v>
      </c>
      <c r="J1960" s="15">
        <v>4293</v>
      </c>
      <c r="K1960">
        <v>2</v>
      </c>
      <c r="L1960" s="15">
        <v>1498</v>
      </c>
      <c r="M1960">
        <v>1</v>
      </c>
      <c r="N1960">
        <v>19</v>
      </c>
      <c r="O1960">
        <v>365</v>
      </c>
      <c r="P1960">
        <f t="shared" si="99"/>
        <v>2024</v>
      </c>
      <c r="Q1960">
        <f t="shared" si="100"/>
        <v>6</v>
      </c>
      <c r="R1960" t="str">
        <f t="shared" si="98"/>
        <v>手猫首页</v>
      </c>
      <c r="S1960" t="s">
        <v>628</v>
      </c>
      <c r="T1960" s="546" t="s">
        <v>804</v>
      </c>
    </row>
    <row r="1961" spans="1:20" x14ac:dyDescent="0.3">
      <c r="A1961" t="s">
        <v>627</v>
      </c>
      <c r="B1961" s="16">
        <v>45459</v>
      </c>
      <c r="C1961" t="s">
        <v>3</v>
      </c>
      <c r="D1961" t="s">
        <v>123</v>
      </c>
      <c r="E1961" t="s">
        <v>169</v>
      </c>
      <c r="F1961">
        <v>114</v>
      </c>
      <c r="G1961">
        <v>61</v>
      </c>
      <c r="H1961">
        <v>4</v>
      </c>
      <c r="I1961">
        <v>2</v>
      </c>
      <c r="J1961" s="15">
        <v>13813</v>
      </c>
      <c r="K1961">
        <v>1</v>
      </c>
      <c r="L1961" s="15">
        <v>13813</v>
      </c>
      <c r="M1961">
        <v>1</v>
      </c>
      <c r="N1961">
        <v>34</v>
      </c>
      <c r="O1961">
        <v>104</v>
      </c>
      <c r="P1961">
        <f t="shared" si="99"/>
        <v>2024</v>
      </c>
      <c r="Q1961">
        <f t="shared" si="100"/>
        <v>6</v>
      </c>
      <c r="R1961" t="str">
        <f t="shared" si="98"/>
        <v>商品详情页头图推荐</v>
      </c>
      <c r="S1961" t="s">
        <v>628</v>
      </c>
      <c r="T1961" s="546" t="s">
        <v>804</v>
      </c>
    </row>
    <row r="1962" spans="1:20" x14ac:dyDescent="0.3">
      <c r="A1962" t="s">
        <v>627</v>
      </c>
      <c r="B1962" s="16">
        <v>45459</v>
      </c>
      <c r="C1962" t="s">
        <v>3</v>
      </c>
      <c r="D1962" t="s">
        <v>123</v>
      </c>
      <c r="E1962" t="s">
        <v>170</v>
      </c>
      <c r="F1962">
        <v>35</v>
      </c>
      <c r="G1962">
        <v>25</v>
      </c>
      <c r="H1962">
        <v>3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30</v>
      </c>
      <c r="O1962">
        <v>17</v>
      </c>
      <c r="P1962">
        <f t="shared" si="99"/>
        <v>2024</v>
      </c>
      <c r="Q1962">
        <f t="shared" si="100"/>
        <v>6</v>
      </c>
      <c r="R1962" t="str">
        <f t="shared" si="98"/>
        <v>店铺超链</v>
      </c>
      <c r="S1962" t="s">
        <v>628</v>
      </c>
      <c r="T1962" s="546" t="s">
        <v>804</v>
      </c>
    </row>
    <row r="1963" spans="1:20" x14ac:dyDescent="0.3">
      <c r="A1963" t="s">
        <v>627</v>
      </c>
      <c r="B1963" s="16">
        <v>45459</v>
      </c>
      <c r="C1963" t="s">
        <v>3</v>
      </c>
      <c r="D1963" t="s">
        <v>127</v>
      </c>
      <c r="E1963" t="s">
        <v>171</v>
      </c>
      <c r="F1963">
        <v>198</v>
      </c>
      <c r="G1963">
        <v>108</v>
      </c>
      <c r="H1963">
        <v>2</v>
      </c>
      <c r="I1963">
        <v>1</v>
      </c>
      <c r="J1963" s="15">
        <v>1498</v>
      </c>
      <c r="K1963">
        <v>1</v>
      </c>
      <c r="L1963" s="15">
        <v>1498</v>
      </c>
      <c r="M1963">
        <v>1</v>
      </c>
      <c r="N1963">
        <v>56</v>
      </c>
      <c r="O1963">
        <v>163</v>
      </c>
      <c r="P1963">
        <f t="shared" si="99"/>
        <v>2024</v>
      </c>
      <c r="Q1963">
        <f t="shared" si="100"/>
        <v>6</v>
      </c>
      <c r="R1963" t="str">
        <f t="shared" si="98"/>
        <v>其他猜你喜欢</v>
      </c>
      <c r="S1963" t="s">
        <v>628</v>
      </c>
      <c r="T1963" s="546" t="s">
        <v>804</v>
      </c>
    </row>
    <row r="1964" spans="1:20" x14ac:dyDescent="0.3">
      <c r="A1964" t="s">
        <v>627</v>
      </c>
      <c r="B1964" s="16">
        <v>45459</v>
      </c>
      <c r="C1964" t="s">
        <v>3</v>
      </c>
      <c r="D1964" t="s">
        <v>127</v>
      </c>
      <c r="E1964" t="s">
        <v>172</v>
      </c>
      <c r="F1964">
        <v>3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3</v>
      </c>
      <c r="P1964">
        <f t="shared" si="99"/>
        <v>2024</v>
      </c>
      <c r="Q1964">
        <f t="shared" si="100"/>
        <v>6</v>
      </c>
      <c r="R1964" t="str">
        <f t="shared" si="98"/>
        <v>购中推荐</v>
      </c>
      <c r="S1964" t="s">
        <v>628</v>
      </c>
      <c r="T1964" s="546" t="s">
        <v>804</v>
      </c>
    </row>
    <row r="1965" spans="1:20" x14ac:dyDescent="0.3">
      <c r="A1965" t="s">
        <v>627</v>
      </c>
      <c r="B1965" s="16">
        <v>45459</v>
      </c>
      <c r="C1965" t="s">
        <v>3</v>
      </c>
      <c r="D1965" t="s">
        <v>127</v>
      </c>
      <c r="E1965" t="s">
        <v>173</v>
      </c>
      <c r="F1965">
        <v>33</v>
      </c>
      <c r="G1965">
        <v>18</v>
      </c>
      <c r="H1965">
        <v>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</v>
      </c>
      <c r="O1965">
        <v>32</v>
      </c>
      <c r="P1965">
        <f t="shared" si="99"/>
        <v>2024</v>
      </c>
      <c r="Q1965">
        <f t="shared" si="100"/>
        <v>6</v>
      </c>
      <c r="R1965" t="str">
        <f t="shared" si="98"/>
        <v>购后推荐</v>
      </c>
      <c r="S1965" t="s">
        <v>628</v>
      </c>
      <c r="T1965" s="546" t="s">
        <v>804</v>
      </c>
    </row>
    <row r="1966" spans="1:20" x14ac:dyDescent="0.3">
      <c r="A1966" t="s">
        <v>627</v>
      </c>
      <c r="B1966" s="16">
        <v>45459</v>
      </c>
      <c r="C1966" t="s">
        <v>3</v>
      </c>
      <c r="D1966" t="s">
        <v>127</v>
      </c>
      <c r="E1966" t="s">
        <v>174</v>
      </c>
      <c r="F1966" s="15">
        <v>1466</v>
      </c>
      <c r="G1966">
        <v>839</v>
      </c>
      <c r="H1966">
        <v>29</v>
      </c>
      <c r="I1966">
        <v>13</v>
      </c>
      <c r="J1966" s="15">
        <v>13745</v>
      </c>
      <c r="K1966">
        <v>6</v>
      </c>
      <c r="L1966" s="15">
        <v>13745</v>
      </c>
      <c r="M1966">
        <v>6</v>
      </c>
      <c r="N1966">
        <v>135</v>
      </c>
      <c r="O1966" s="15">
        <v>1466</v>
      </c>
      <c r="P1966">
        <f t="shared" si="99"/>
        <v>2024</v>
      </c>
      <c r="Q1966">
        <f t="shared" si="100"/>
        <v>6</v>
      </c>
      <c r="R1966" t="str">
        <f t="shared" si="98"/>
        <v>首页推荐-微详情</v>
      </c>
      <c r="S1966" t="s">
        <v>628</v>
      </c>
      <c r="T1966" s="546" t="s">
        <v>804</v>
      </c>
    </row>
    <row r="1967" spans="1:20" x14ac:dyDescent="0.3">
      <c r="A1967" t="s">
        <v>627</v>
      </c>
      <c r="B1967" s="16">
        <v>45459</v>
      </c>
      <c r="C1967" t="s">
        <v>3</v>
      </c>
      <c r="D1967" t="s">
        <v>127</v>
      </c>
      <c r="E1967" t="s">
        <v>175</v>
      </c>
      <c r="F1967">
        <v>41</v>
      </c>
      <c r="G1967">
        <v>4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f t="shared" si="99"/>
        <v>2024</v>
      </c>
      <c r="Q1967">
        <f t="shared" si="100"/>
        <v>6</v>
      </c>
      <c r="R1967" t="str">
        <f t="shared" si="98"/>
        <v>首页推荐-直播</v>
      </c>
      <c r="S1967" t="s">
        <v>628</v>
      </c>
      <c r="T1967" s="546" t="s">
        <v>804</v>
      </c>
    </row>
    <row r="1968" spans="1:20" x14ac:dyDescent="0.3">
      <c r="A1968" t="s">
        <v>627</v>
      </c>
      <c r="B1968" s="16">
        <v>45459</v>
      </c>
      <c r="C1968" t="s">
        <v>3</v>
      </c>
      <c r="D1968" t="s">
        <v>127</v>
      </c>
      <c r="E1968" t="s">
        <v>176</v>
      </c>
      <c r="F1968">
        <v>27</v>
      </c>
      <c r="G1968">
        <v>16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f t="shared" si="99"/>
        <v>2024</v>
      </c>
      <c r="Q1968">
        <f t="shared" si="100"/>
        <v>6</v>
      </c>
      <c r="R1968" t="str">
        <f t="shared" si="98"/>
        <v>首页推荐-短视频</v>
      </c>
      <c r="S1968" t="s">
        <v>628</v>
      </c>
      <c r="T1968" s="546" t="s">
        <v>804</v>
      </c>
    </row>
    <row r="1969" spans="1:20" x14ac:dyDescent="0.3">
      <c r="A1969" t="s">
        <v>627</v>
      </c>
      <c r="B1969" s="16">
        <v>45459</v>
      </c>
      <c r="C1969" t="s">
        <v>3</v>
      </c>
      <c r="D1969" t="s">
        <v>128</v>
      </c>
      <c r="E1969" t="s">
        <v>177</v>
      </c>
      <c r="F1969" s="15">
        <v>1069</v>
      </c>
      <c r="G1969">
        <v>846</v>
      </c>
      <c r="H1969">
        <v>66</v>
      </c>
      <c r="I1969">
        <v>19</v>
      </c>
      <c r="J1969" s="17">
        <v>67248.5</v>
      </c>
      <c r="K1969">
        <v>21</v>
      </c>
      <c r="L1969" s="17">
        <v>65568.5</v>
      </c>
      <c r="M1969">
        <v>20</v>
      </c>
      <c r="N1969">
        <v>329</v>
      </c>
      <c r="O1969">
        <v>958</v>
      </c>
      <c r="P1969">
        <f t="shared" si="99"/>
        <v>2024</v>
      </c>
      <c r="Q1969">
        <f t="shared" si="100"/>
        <v>6</v>
      </c>
      <c r="R1969" t="str">
        <f t="shared" si="98"/>
        <v>手淘搜索-商品及其他</v>
      </c>
      <c r="S1969" t="s">
        <v>628</v>
      </c>
      <c r="T1969" s="546" t="s">
        <v>804</v>
      </c>
    </row>
    <row r="1970" spans="1:20" x14ac:dyDescent="0.3">
      <c r="A1970" t="s">
        <v>627</v>
      </c>
      <c r="B1970" s="16">
        <v>45459</v>
      </c>
      <c r="C1970" t="s">
        <v>3</v>
      </c>
      <c r="D1970" t="s">
        <v>128</v>
      </c>
      <c r="E1970" t="s">
        <v>179</v>
      </c>
      <c r="F1970">
        <v>36</v>
      </c>
      <c r="G1970">
        <v>19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5</v>
      </c>
      <c r="O1970">
        <v>9</v>
      </c>
      <c r="P1970">
        <f t="shared" si="99"/>
        <v>2024</v>
      </c>
      <c r="Q1970">
        <f t="shared" si="100"/>
        <v>6</v>
      </c>
      <c r="R1970" t="str">
        <f t="shared" si="98"/>
        <v>手淘搜索-短视频</v>
      </c>
      <c r="S1970" t="s">
        <v>628</v>
      </c>
      <c r="T1970" s="546" t="s">
        <v>804</v>
      </c>
    </row>
    <row r="1971" spans="1:20" x14ac:dyDescent="0.3">
      <c r="A1971" t="s">
        <v>627</v>
      </c>
      <c r="B1971" s="16">
        <v>45459</v>
      </c>
      <c r="C1971" t="s">
        <v>3</v>
      </c>
      <c r="D1971" t="s">
        <v>143</v>
      </c>
      <c r="E1971" t="s">
        <v>180</v>
      </c>
      <c r="F1971">
        <v>18</v>
      </c>
      <c r="G1971">
        <v>18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18</v>
      </c>
      <c r="P1971">
        <f t="shared" si="99"/>
        <v>2024</v>
      </c>
      <c r="Q1971">
        <f t="shared" si="100"/>
        <v>6</v>
      </c>
      <c r="R1971" t="str">
        <f t="shared" si="98"/>
        <v>淘特其他渠道</v>
      </c>
      <c r="S1971" t="s">
        <v>628</v>
      </c>
      <c r="T1971" s="546" t="s">
        <v>804</v>
      </c>
    </row>
    <row r="1972" spans="1:20" x14ac:dyDescent="0.3">
      <c r="A1972" t="s">
        <v>627</v>
      </c>
      <c r="B1972" s="16">
        <v>45459</v>
      </c>
      <c r="C1972" t="s">
        <v>2</v>
      </c>
      <c r="D1972" t="s">
        <v>55</v>
      </c>
      <c r="E1972" t="s">
        <v>54</v>
      </c>
      <c r="F1972">
        <v>41</v>
      </c>
      <c r="G1972">
        <v>24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34</v>
      </c>
      <c r="P1972">
        <f t="shared" si="99"/>
        <v>2024</v>
      </c>
      <c r="Q1972">
        <f t="shared" si="100"/>
        <v>6</v>
      </c>
      <c r="R1972" t="str">
        <f t="shared" si="98"/>
        <v>超级直播</v>
      </c>
      <c r="S1972" t="s">
        <v>628</v>
      </c>
      <c r="T1972" s="546" t="s">
        <v>804</v>
      </c>
    </row>
    <row r="1973" spans="1:20" x14ac:dyDescent="0.3">
      <c r="A1973" t="s">
        <v>627</v>
      </c>
      <c r="B1973" s="16">
        <v>45459</v>
      </c>
      <c r="C1973" t="s">
        <v>2</v>
      </c>
      <c r="D1973" t="s">
        <v>55</v>
      </c>
      <c r="E1973" t="s">
        <v>56</v>
      </c>
      <c r="F1973" s="15">
        <v>8923</v>
      </c>
      <c r="G1973" s="15">
        <v>6143</v>
      </c>
      <c r="H1973">
        <v>2</v>
      </c>
      <c r="I1973">
        <v>4</v>
      </c>
      <c r="J1973">
        <v>0</v>
      </c>
      <c r="K1973">
        <v>0</v>
      </c>
      <c r="L1973">
        <v>0</v>
      </c>
      <c r="M1973">
        <v>0</v>
      </c>
      <c r="N1973">
        <v>7</v>
      </c>
      <c r="O1973">
        <v>299</v>
      </c>
      <c r="P1973">
        <f t="shared" si="99"/>
        <v>2024</v>
      </c>
      <c r="Q1973">
        <f t="shared" si="100"/>
        <v>6</v>
      </c>
      <c r="R1973" t="str">
        <f t="shared" si="98"/>
        <v>超级短视频</v>
      </c>
      <c r="S1973" t="s">
        <v>628</v>
      </c>
      <c r="T1973" s="546" t="s">
        <v>804</v>
      </c>
    </row>
    <row r="1974" spans="1:20" x14ac:dyDescent="0.3">
      <c r="A1974" t="s">
        <v>627</v>
      </c>
      <c r="B1974" s="16">
        <v>45459</v>
      </c>
      <c r="C1974" t="s">
        <v>2</v>
      </c>
      <c r="D1974" t="s">
        <v>52</v>
      </c>
      <c r="E1974" t="s">
        <v>53</v>
      </c>
      <c r="F1974">
        <v>718</v>
      </c>
      <c r="G1974">
        <v>570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718</v>
      </c>
      <c r="O1974">
        <v>98</v>
      </c>
      <c r="P1974">
        <f t="shared" si="99"/>
        <v>2024</v>
      </c>
      <c r="Q1974">
        <f t="shared" si="100"/>
        <v>6</v>
      </c>
      <c r="R1974" t="str">
        <f t="shared" si="98"/>
        <v>Showmax</v>
      </c>
      <c r="S1974" t="s">
        <v>628</v>
      </c>
      <c r="T1974" s="546" t="s">
        <v>804</v>
      </c>
    </row>
    <row r="1975" spans="1:20" x14ac:dyDescent="0.3">
      <c r="A1975" t="s">
        <v>627</v>
      </c>
      <c r="B1975" s="16">
        <v>45459</v>
      </c>
      <c r="C1975" t="s">
        <v>2</v>
      </c>
      <c r="D1975" t="s">
        <v>52</v>
      </c>
      <c r="E1975" t="s">
        <v>59</v>
      </c>
      <c r="F1975" s="15">
        <v>1316</v>
      </c>
      <c r="G1975" s="15">
        <v>1063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 s="15">
        <v>1316</v>
      </c>
      <c r="O1975">
        <v>154</v>
      </c>
      <c r="P1975">
        <f t="shared" si="99"/>
        <v>2024</v>
      </c>
      <c r="Q1975">
        <f t="shared" si="100"/>
        <v>6</v>
      </c>
      <c r="R1975" t="str">
        <f t="shared" si="98"/>
        <v>品牌特秀</v>
      </c>
      <c r="S1975" t="s">
        <v>628</v>
      </c>
      <c r="T1975" s="546" t="s">
        <v>804</v>
      </c>
    </row>
    <row r="1976" spans="1:20" x14ac:dyDescent="0.3">
      <c r="A1976" t="s">
        <v>627</v>
      </c>
      <c r="B1976" s="16">
        <v>45459</v>
      </c>
      <c r="C1976" t="s">
        <v>2</v>
      </c>
      <c r="D1976" t="s">
        <v>52</v>
      </c>
      <c r="E1976" t="s">
        <v>183</v>
      </c>
      <c r="F1976">
        <v>706</v>
      </c>
      <c r="G1976">
        <v>589</v>
      </c>
      <c r="H1976">
        <v>20</v>
      </c>
      <c r="I1976">
        <v>7</v>
      </c>
      <c r="J1976" s="15">
        <v>9172</v>
      </c>
      <c r="K1976">
        <v>4</v>
      </c>
      <c r="L1976" s="15">
        <v>9172</v>
      </c>
      <c r="M1976">
        <v>4</v>
      </c>
      <c r="N1976">
        <v>706</v>
      </c>
      <c r="O1976">
        <v>353</v>
      </c>
      <c r="P1976">
        <f t="shared" si="99"/>
        <v>2024</v>
      </c>
      <c r="Q1976">
        <f t="shared" si="100"/>
        <v>6</v>
      </c>
      <c r="R1976" t="str">
        <f t="shared" si="98"/>
        <v>品销宝-品牌专区</v>
      </c>
      <c r="S1976" t="s">
        <v>628</v>
      </c>
      <c r="T1976" s="546" t="s">
        <v>804</v>
      </c>
    </row>
    <row r="1977" spans="1:20" x14ac:dyDescent="0.3">
      <c r="A1977" t="s">
        <v>627</v>
      </c>
      <c r="B1977" s="16">
        <v>45459</v>
      </c>
      <c r="C1977" t="s">
        <v>2</v>
      </c>
      <c r="D1977" t="s">
        <v>57</v>
      </c>
      <c r="E1977" t="s">
        <v>65</v>
      </c>
      <c r="F1977" s="15">
        <v>4445</v>
      </c>
      <c r="G1977" s="15">
        <v>3893</v>
      </c>
      <c r="H1977">
        <v>60</v>
      </c>
      <c r="I1977">
        <v>39</v>
      </c>
      <c r="J1977" s="15">
        <v>55974</v>
      </c>
      <c r="K1977">
        <v>16</v>
      </c>
      <c r="L1977" s="15">
        <v>46474</v>
      </c>
      <c r="M1977">
        <v>13</v>
      </c>
      <c r="N1977">
        <v>371</v>
      </c>
      <c r="O1977" s="15">
        <v>4419</v>
      </c>
      <c r="P1977">
        <f t="shared" si="99"/>
        <v>2024</v>
      </c>
      <c r="Q1977">
        <f t="shared" si="100"/>
        <v>6</v>
      </c>
      <c r="R1977" t="str">
        <f t="shared" si="98"/>
        <v>直通车</v>
      </c>
      <c r="S1977" t="s">
        <v>628</v>
      </c>
      <c r="T1977" s="546" t="s">
        <v>804</v>
      </c>
    </row>
    <row r="1978" spans="1:20" x14ac:dyDescent="0.3">
      <c r="A1978" t="s">
        <v>627</v>
      </c>
      <c r="B1978" s="16">
        <v>45459</v>
      </c>
      <c r="C1978" t="s">
        <v>2</v>
      </c>
      <c r="D1978" t="s">
        <v>57</v>
      </c>
      <c r="E1978" t="s">
        <v>63</v>
      </c>
      <c r="F1978" s="15">
        <v>6357</v>
      </c>
      <c r="G1978" s="15">
        <v>3584</v>
      </c>
      <c r="H1978">
        <v>84</v>
      </c>
      <c r="I1978">
        <v>85</v>
      </c>
      <c r="J1978" s="15">
        <v>57310</v>
      </c>
      <c r="K1978">
        <v>13</v>
      </c>
      <c r="L1978" s="15">
        <v>24142</v>
      </c>
      <c r="M1978">
        <v>7</v>
      </c>
      <c r="N1978">
        <v>382</v>
      </c>
      <c r="O1978" s="15">
        <v>6353</v>
      </c>
      <c r="P1978">
        <f t="shared" si="99"/>
        <v>2024</v>
      </c>
      <c r="Q1978">
        <f t="shared" si="100"/>
        <v>6</v>
      </c>
      <c r="R1978" t="str">
        <f t="shared" si="98"/>
        <v>万相台</v>
      </c>
      <c r="S1978" t="s">
        <v>628</v>
      </c>
      <c r="T1978" s="546" t="s">
        <v>804</v>
      </c>
    </row>
    <row r="1979" spans="1:20" x14ac:dyDescent="0.3">
      <c r="A1979" t="s">
        <v>627</v>
      </c>
      <c r="B1979" s="16">
        <v>45459</v>
      </c>
      <c r="C1979" t="s">
        <v>2</v>
      </c>
      <c r="D1979" t="s">
        <v>57</v>
      </c>
      <c r="E1979" t="s">
        <v>64</v>
      </c>
      <c r="F1979" s="15">
        <v>13779</v>
      </c>
      <c r="G1979" s="15">
        <v>6513</v>
      </c>
      <c r="H1979">
        <v>37</v>
      </c>
      <c r="I1979">
        <v>42</v>
      </c>
      <c r="J1979" s="15">
        <v>10723</v>
      </c>
      <c r="K1979">
        <v>5</v>
      </c>
      <c r="L1979" s="15">
        <v>7545</v>
      </c>
      <c r="M1979">
        <v>4</v>
      </c>
      <c r="N1979">
        <v>278</v>
      </c>
      <c r="O1979" s="15">
        <v>13774</v>
      </c>
      <c r="P1979">
        <f t="shared" si="99"/>
        <v>2024</v>
      </c>
      <c r="Q1979">
        <f t="shared" si="100"/>
        <v>6</v>
      </c>
      <c r="R1979" t="str">
        <f t="shared" si="98"/>
        <v>引力魔方</v>
      </c>
      <c r="S1979" t="s">
        <v>628</v>
      </c>
      <c r="T1979" s="546" t="s">
        <v>804</v>
      </c>
    </row>
    <row r="1980" spans="1:20" x14ac:dyDescent="0.3">
      <c r="A1980" t="s">
        <v>627</v>
      </c>
      <c r="B1980" s="16">
        <v>45459</v>
      </c>
      <c r="C1980" t="s">
        <v>2</v>
      </c>
      <c r="D1980" t="s">
        <v>4</v>
      </c>
      <c r="E1980" t="s">
        <v>43</v>
      </c>
      <c r="F1980" s="15">
        <v>1082</v>
      </c>
      <c r="G1980">
        <v>178</v>
      </c>
      <c r="H1980">
        <v>3</v>
      </c>
      <c r="I1980">
        <v>1</v>
      </c>
      <c r="J1980" s="15">
        <v>4276</v>
      </c>
      <c r="K1980">
        <v>2</v>
      </c>
      <c r="L1980" s="15">
        <v>4276</v>
      </c>
      <c r="M1980">
        <v>2</v>
      </c>
      <c r="N1980">
        <v>19</v>
      </c>
      <c r="O1980" s="15">
        <v>1073</v>
      </c>
      <c r="P1980">
        <f t="shared" si="99"/>
        <v>2024</v>
      </c>
      <c r="Q1980">
        <f t="shared" si="100"/>
        <v>6</v>
      </c>
      <c r="R1980" t="str">
        <f t="shared" si="98"/>
        <v>淘宝客</v>
      </c>
      <c r="S1980" t="s">
        <v>628</v>
      </c>
      <c r="T1980" s="546" t="s">
        <v>804</v>
      </c>
    </row>
    <row r="1981" spans="1:20" x14ac:dyDescent="0.3">
      <c r="A1981" t="s">
        <v>627</v>
      </c>
      <c r="B1981" s="16">
        <v>45460</v>
      </c>
      <c r="C1981" t="s">
        <v>3</v>
      </c>
      <c r="D1981" t="s">
        <v>114</v>
      </c>
      <c r="E1981" t="s">
        <v>159</v>
      </c>
      <c r="F1981">
        <v>98</v>
      </c>
      <c r="G1981">
        <v>51</v>
      </c>
      <c r="H1981">
        <v>4</v>
      </c>
      <c r="I1981">
        <v>0</v>
      </c>
      <c r="J1981" s="17">
        <v>2282.88</v>
      </c>
      <c r="K1981">
        <v>2</v>
      </c>
      <c r="L1981" s="15">
        <v>1497</v>
      </c>
      <c r="M1981">
        <v>1</v>
      </c>
      <c r="N1981">
        <v>14</v>
      </c>
      <c r="O1981">
        <v>96</v>
      </c>
      <c r="P1981">
        <f t="shared" si="99"/>
        <v>2024</v>
      </c>
      <c r="Q1981">
        <f t="shared" si="100"/>
        <v>6</v>
      </c>
      <c r="R1981" t="str">
        <f t="shared" si="98"/>
        <v>主会场</v>
      </c>
      <c r="S1981" t="s">
        <v>628</v>
      </c>
      <c r="T1981" s="546" t="s">
        <v>804</v>
      </c>
    </row>
    <row r="1982" spans="1:20" x14ac:dyDescent="0.3">
      <c r="A1982" t="s">
        <v>627</v>
      </c>
      <c r="B1982" s="16">
        <v>45460</v>
      </c>
      <c r="C1982" t="s">
        <v>3</v>
      </c>
      <c r="D1982" t="s">
        <v>114</v>
      </c>
      <c r="E1982" t="s">
        <v>160</v>
      </c>
      <c r="F1982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1</v>
      </c>
      <c r="P1982">
        <f t="shared" si="99"/>
        <v>2024</v>
      </c>
      <c r="Q1982">
        <f t="shared" si="100"/>
        <v>6</v>
      </c>
      <c r="R1982" t="str">
        <f t="shared" si="98"/>
        <v>榜单会场</v>
      </c>
      <c r="S1982" t="s">
        <v>628</v>
      </c>
      <c r="T1982" s="546" t="s">
        <v>804</v>
      </c>
    </row>
    <row r="1983" spans="1:20" x14ac:dyDescent="0.3">
      <c r="A1983" t="s">
        <v>627</v>
      </c>
      <c r="B1983" s="16">
        <v>45460</v>
      </c>
      <c r="C1983" t="s">
        <v>3</v>
      </c>
      <c r="D1983" t="s">
        <v>120</v>
      </c>
      <c r="E1983" t="s">
        <v>162</v>
      </c>
      <c r="F1983">
        <v>1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1</v>
      </c>
      <c r="O1983">
        <v>0</v>
      </c>
      <c r="P1983">
        <f t="shared" si="99"/>
        <v>2024</v>
      </c>
      <c r="Q1983">
        <f t="shared" si="100"/>
        <v>6</v>
      </c>
      <c r="R1983" t="str">
        <f t="shared" si="98"/>
        <v>手机浏览器访问天猫</v>
      </c>
      <c r="S1983" t="s">
        <v>628</v>
      </c>
      <c r="T1983" s="546" t="s">
        <v>804</v>
      </c>
    </row>
    <row r="1984" spans="1:20" x14ac:dyDescent="0.3">
      <c r="A1984" t="s">
        <v>627</v>
      </c>
      <c r="B1984" s="16">
        <v>45460</v>
      </c>
      <c r="C1984" t="s">
        <v>3</v>
      </c>
      <c r="D1984" t="s">
        <v>120</v>
      </c>
      <c r="E1984" t="s">
        <v>163</v>
      </c>
      <c r="F1984">
        <v>70</v>
      </c>
      <c r="G1984">
        <v>40</v>
      </c>
      <c r="H1984">
        <v>1</v>
      </c>
      <c r="I1984">
        <v>0</v>
      </c>
      <c r="J1984" s="15">
        <v>1498</v>
      </c>
      <c r="K1984">
        <v>1</v>
      </c>
      <c r="L1984">
        <v>0</v>
      </c>
      <c r="M1984">
        <v>0</v>
      </c>
      <c r="N1984">
        <v>16</v>
      </c>
      <c r="O1984">
        <v>68</v>
      </c>
      <c r="P1984">
        <f t="shared" si="99"/>
        <v>2024</v>
      </c>
      <c r="Q1984">
        <f t="shared" si="100"/>
        <v>6</v>
      </c>
      <c r="R1984" t="str">
        <f t="shared" si="98"/>
        <v>手猫免费其他</v>
      </c>
      <c r="S1984" t="s">
        <v>628</v>
      </c>
      <c r="T1984" s="546" t="s">
        <v>804</v>
      </c>
    </row>
    <row r="1985" spans="1:20" x14ac:dyDescent="0.3">
      <c r="A1985" t="s">
        <v>627</v>
      </c>
      <c r="B1985" s="16">
        <v>45460</v>
      </c>
      <c r="C1985" t="s">
        <v>3</v>
      </c>
      <c r="D1985" t="s">
        <v>120</v>
      </c>
      <c r="E1985" t="s">
        <v>164</v>
      </c>
      <c r="F1985">
        <v>4</v>
      </c>
      <c r="G1985">
        <v>1</v>
      </c>
      <c r="H1985">
        <v>0</v>
      </c>
      <c r="I1985">
        <v>0</v>
      </c>
      <c r="J1985" s="15">
        <v>1498</v>
      </c>
      <c r="K1985">
        <v>1</v>
      </c>
      <c r="L1985">
        <v>0</v>
      </c>
      <c r="M1985">
        <v>0</v>
      </c>
      <c r="N1985">
        <v>0</v>
      </c>
      <c r="O1985">
        <v>4</v>
      </c>
      <c r="P1985">
        <f t="shared" si="99"/>
        <v>2024</v>
      </c>
      <c r="Q1985">
        <f t="shared" si="100"/>
        <v>6</v>
      </c>
      <c r="R1985" t="str">
        <f t="shared" si="98"/>
        <v>手猫其他店铺</v>
      </c>
      <c r="S1985" t="s">
        <v>628</v>
      </c>
      <c r="T1985" s="546" t="s">
        <v>804</v>
      </c>
    </row>
    <row r="1986" spans="1:20" x14ac:dyDescent="0.3">
      <c r="A1986" t="s">
        <v>627</v>
      </c>
      <c r="B1986" s="16">
        <v>45460</v>
      </c>
      <c r="C1986" t="s">
        <v>3</v>
      </c>
      <c r="D1986" t="s">
        <v>120</v>
      </c>
      <c r="E1986" t="s">
        <v>165</v>
      </c>
      <c r="F1986">
        <v>18</v>
      </c>
      <c r="G1986">
        <v>6</v>
      </c>
      <c r="H1986">
        <v>0</v>
      </c>
      <c r="I1986">
        <v>0</v>
      </c>
      <c r="J1986" s="15">
        <v>2980</v>
      </c>
      <c r="K1986">
        <v>1</v>
      </c>
      <c r="L1986" s="15">
        <v>2980</v>
      </c>
      <c r="M1986">
        <v>1</v>
      </c>
      <c r="N1986">
        <v>4</v>
      </c>
      <c r="O1986">
        <v>16</v>
      </c>
      <c r="P1986">
        <f t="shared" si="99"/>
        <v>2024</v>
      </c>
      <c r="Q1986">
        <f t="shared" si="100"/>
        <v>6</v>
      </c>
      <c r="R1986" t="str">
        <f t="shared" si="98"/>
        <v>手猫商品详情</v>
      </c>
      <c r="S1986" t="s">
        <v>628</v>
      </c>
      <c r="T1986" s="546" t="s">
        <v>804</v>
      </c>
    </row>
    <row r="1987" spans="1:20" x14ac:dyDescent="0.3">
      <c r="A1987" t="s">
        <v>627</v>
      </c>
      <c r="B1987" s="16">
        <v>45460</v>
      </c>
      <c r="C1987" t="s">
        <v>3</v>
      </c>
      <c r="D1987" t="s">
        <v>120</v>
      </c>
      <c r="E1987" t="s">
        <v>166</v>
      </c>
      <c r="F1987">
        <v>75</v>
      </c>
      <c r="G1987">
        <v>46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21</v>
      </c>
      <c r="O1987">
        <v>66</v>
      </c>
      <c r="P1987">
        <f t="shared" si="99"/>
        <v>2024</v>
      </c>
      <c r="Q1987">
        <f t="shared" si="100"/>
        <v>6</v>
      </c>
      <c r="R1987" t="str">
        <f t="shared" si="98"/>
        <v>手猫搜索</v>
      </c>
      <c r="S1987" t="s">
        <v>628</v>
      </c>
      <c r="T1987" s="546" t="s">
        <v>804</v>
      </c>
    </row>
    <row r="1988" spans="1:20" x14ac:dyDescent="0.3">
      <c r="A1988" t="s">
        <v>627</v>
      </c>
      <c r="B1988" s="16">
        <v>45460</v>
      </c>
      <c r="C1988" t="s">
        <v>3</v>
      </c>
      <c r="D1988" t="s">
        <v>120</v>
      </c>
      <c r="E1988" t="s">
        <v>167</v>
      </c>
      <c r="F1988">
        <v>2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v>2</v>
      </c>
      <c r="P1988">
        <f t="shared" si="99"/>
        <v>2024</v>
      </c>
      <c r="Q1988">
        <f t="shared" si="100"/>
        <v>6</v>
      </c>
      <c r="R1988" t="str">
        <f t="shared" si="98"/>
        <v>手猫旺信聊天</v>
      </c>
      <c r="S1988" t="s">
        <v>628</v>
      </c>
      <c r="T1988" s="546" t="s">
        <v>804</v>
      </c>
    </row>
    <row r="1989" spans="1:20" x14ac:dyDescent="0.3">
      <c r="A1989" t="s">
        <v>627</v>
      </c>
      <c r="B1989" s="16">
        <v>45460</v>
      </c>
      <c r="C1989" t="s">
        <v>3</v>
      </c>
      <c r="D1989" t="s">
        <v>120</v>
      </c>
      <c r="E1989" t="s">
        <v>168</v>
      </c>
      <c r="F1989">
        <v>300</v>
      </c>
      <c r="G1989">
        <v>174</v>
      </c>
      <c r="H1989">
        <v>0</v>
      </c>
      <c r="I1989">
        <v>0</v>
      </c>
      <c r="J1989" s="15">
        <v>1303</v>
      </c>
      <c r="K1989">
        <v>1</v>
      </c>
      <c r="L1989">
        <v>0</v>
      </c>
      <c r="M1989">
        <v>0</v>
      </c>
      <c r="N1989">
        <v>11</v>
      </c>
      <c r="O1989">
        <v>300</v>
      </c>
      <c r="P1989">
        <f t="shared" si="99"/>
        <v>2024</v>
      </c>
      <c r="Q1989">
        <f t="shared" si="100"/>
        <v>6</v>
      </c>
      <c r="R1989" t="str">
        <f t="shared" si="98"/>
        <v>手猫首页</v>
      </c>
      <c r="S1989" t="s">
        <v>628</v>
      </c>
      <c r="T1989" s="546" t="s">
        <v>804</v>
      </c>
    </row>
    <row r="1990" spans="1:20" x14ac:dyDescent="0.3">
      <c r="A1990" t="s">
        <v>627</v>
      </c>
      <c r="B1990" s="16">
        <v>45460</v>
      </c>
      <c r="C1990" t="s">
        <v>3</v>
      </c>
      <c r="D1990" t="s">
        <v>123</v>
      </c>
      <c r="E1990" t="s">
        <v>169</v>
      </c>
      <c r="F1990">
        <v>134</v>
      </c>
      <c r="G1990">
        <v>66</v>
      </c>
      <c r="H1990">
        <v>3</v>
      </c>
      <c r="I1990">
        <v>1</v>
      </c>
      <c r="J1990" s="15">
        <v>1480</v>
      </c>
      <c r="K1990">
        <v>1</v>
      </c>
      <c r="L1990" s="15">
        <v>1480</v>
      </c>
      <c r="M1990">
        <v>1</v>
      </c>
      <c r="N1990">
        <v>39</v>
      </c>
      <c r="O1990">
        <v>115</v>
      </c>
      <c r="P1990">
        <f t="shared" si="99"/>
        <v>2024</v>
      </c>
      <c r="Q1990">
        <f t="shared" si="100"/>
        <v>6</v>
      </c>
      <c r="R1990" t="str">
        <f t="shared" si="98"/>
        <v>商品详情页头图推荐</v>
      </c>
      <c r="S1990" t="s">
        <v>628</v>
      </c>
      <c r="T1990" s="546" t="s">
        <v>804</v>
      </c>
    </row>
    <row r="1991" spans="1:20" x14ac:dyDescent="0.3">
      <c r="A1991" t="s">
        <v>627</v>
      </c>
      <c r="B1991" s="16">
        <v>45460</v>
      </c>
      <c r="C1991" t="s">
        <v>3</v>
      </c>
      <c r="D1991" t="s">
        <v>123</v>
      </c>
      <c r="E1991" t="s">
        <v>170</v>
      </c>
      <c r="F1991">
        <v>28</v>
      </c>
      <c r="G1991">
        <v>18</v>
      </c>
      <c r="H1991">
        <v>3</v>
      </c>
      <c r="I1991">
        <v>0</v>
      </c>
      <c r="J1991" s="15">
        <v>3875</v>
      </c>
      <c r="K1991">
        <v>1</v>
      </c>
      <c r="L1991" s="15">
        <v>3875</v>
      </c>
      <c r="M1991">
        <v>1</v>
      </c>
      <c r="N1991">
        <v>24</v>
      </c>
      <c r="O1991">
        <v>12</v>
      </c>
      <c r="P1991">
        <f t="shared" si="99"/>
        <v>2024</v>
      </c>
      <c r="Q1991">
        <f t="shared" si="100"/>
        <v>6</v>
      </c>
      <c r="R1991" t="str">
        <f t="shared" ref="R1991:R2054" si="101">E1991</f>
        <v>店铺超链</v>
      </c>
      <c r="S1991" t="s">
        <v>628</v>
      </c>
      <c r="T1991" s="546" t="s">
        <v>804</v>
      </c>
    </row>
    <row r="1992" spans="1:20" x14ac:dyDescent="0.3">
      <c r="A1992" t="s">
        <v>627</v>
      </c>
      <c r="B1992" s="16">
        <v>45460</v>
      </c>
      <c r="C1992" t="s">
        <v>3</v>
      </c>
      <c r="D1992" t="s">
        <v>127</v>
      </c>
      <c r="E1992" t="s">
        <v>171</v>
      </c>
      <c r="F1992">
        <v>158</v>
      </c>
      <c r="G1992">
        <v>73</v>
      </c>
      <c r="H1992">
        <v>4</v>
      </c>
      <c r="I1992">
        <v>2</v>
      </c>
      <c r="J1992" s="15">
        <v>3350</v>
      </c>
      <c r="K1992">
        <v>1</v>
      </c>
      <c r="L1992">
        <v>0</v>
      </c>
      <c r="M1992">
        <v>0</v>
      </c>
      <c r="N1992">
        <v>38</v>
      </c>
      <c r="O1992">
        <v>134</v>
      </c>
      <c r="P1992">
        <f t="shared" si="99"/>
        <v>2024</v>
      </c>
      <c r="Q1992">
        <f t="shared" si="100"/>
        <v>6</v>
      </c>
      <c r="R1992" t="str">
        <f t="shared" si="101"/>
        <v>其他猜你喜欢</v>
      </c>
      <c r="S1992" t="s">
        <v>628</v>
      </c>
      <c r="T1992" s="546" t="s">
        <v>804</v>
      </c>
    </row>
    <row r="1993" spans="1:20" x14ac:dyDescent="0.3">
      <c r="A1993" t="s">
        <v>627</v>
      </c>
      <c r="B1993" s="16">
        <v>45460</v>
      </c>
      <c r="C1993" t="s">
        <v>3</v>
      </c>
      <c r="D1993" t="s">
        <v>127</v>
      </c>
      <c r="E1993" t="s">
        <v>172</v>
      </c>
      <c r="F1993">
        <v>6</v>
      </c>
      <c r="G1993">
        <v>4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</v>
      </c>
      <c r="O1993">
        <v>6</v>
      </c>
      <c r="P1993">
        <f t="shared" si="99"/>
        <v>2024</v>
      </c>
      <c r="Q1993">
        <f t="shared" si="100"/>
        <v>6</v>
      </c>
      <c r="R1993" t="str">
        <f t="shared" si="101"/>
        <v>购中推荐</v>
      </c>
      <c r="S1993" t="s">
        <v>628</v>
      </c>
      <c r="T1993" s="546" t="s">
        <v>804</v>
      </c>
    </row>
    <row r="1994" spans="1:20" x14ac:dyDescent="0.3">
      <c r="A1994" t="s">
        <v>627</v>
      </c>
      <c r="B1994" s="16">
        <v>45460</v>
      </c>
      <c r="C1994" t="s">
        <v>3</v>
      </c>
      <c r="D1994" t="s">
        <v>127</v>
      </c>
      <c r="E1994" t="s">
        <v>173</v>
      </c>
      <c r="F1994">
        <v>46</v>
      </c>
      <c r="G1994">
        <v>32</v>
      </c>
      <c r="H1994">
        <v>1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2</v>
      </c>
      <c r="O1994">
        <v>44</v>
      </c>
      <c r="P1994">
        <f t="shared" si="99"/>
        <v>2024</v>
      </c>
      <c r="Q1994">
        <f t="shared" si="100"/>
        <v>6</v>
      </c>
      <c r="R1994" t="str">
        <f t="shared" si="101"/>
        <v>购后推荐</v>
      </c>
      <c r="S1994" t="s">
        <v>628</v>
      </c>
      <c r="T1994" s="546" t="s">
        <v>804</v>
      </c>
    </row>
    <row r="1995" spans="1:20" x14ac:dyDescent="0.3">
      <c r="A1995" t="s">
        <v>627</v>
      </c>
      <c r="B1995" s="16">
        <v>45460</v>
      </c>
      <c r="C1995" t="s">
        <v>3</v>
      </c>
      <c r="D1995" t="s">
        <v>127</v>
      </c>
      <c r="E1995" t="s">
        <v>174</v>
      </c>
      <c r="F1995" s="15">
        <v>1247</v>
      </c>
      <c r="G1995">
        <v>657</v>
      </c>
      <c r="H1995">
        <v>27</v>
      </c>
      <c r="I1995">
        <v>12</v>
      </c>
      <c r="J1995" s="17">
        <v>10657.88</v>
      </c>
      <c r="K1995">
        <v>6</v>
      </c>
      <c r="L1995" s="15">
        <v>7635</v>
      </c>
      <c r="M1995">
        <v>4</v>
      </c>
      <c r="N1995">
        <v>117</v>
      </c>
      <c r="O1995" s="15">
        <v>1247</v>
      </c>
      <c r="P1995">
        <f t="shared" si="99"/>
        <v>2024</v>
      </c>
      <c r="Q1995">
        <f t="shared" si="100"/>
        <v>6</v>
      </c>
      <c r="R1995" t="str">
        <f t="shared" si="101"/>
        <v>首页推荐-微详情</v>
      </c>
      <c r="S1995" t="s">
        <v>628</v>
      </c>
      <c r="T1995" s="546" t="s">
        <v>804</v>
      </c>
    </row>
    <row r="1996" spans="1:20" x14ac:dyDescent="0.3">
      <c r="A1996" t="s">
        <v>627</v>
      </c>
      <c r="B1996" s="16">
        <v>45460</v>
      </c>
      <c r="C1996" t="s">
        <v>3</v>
      </c>
      <c r="D1996" t="s">
        <v>127</v>
      </c>
      <c r="E1996" t="s">
        <v>175</v>
      </c>
      <c r="F1996">
        <v>211</v>
      </c>
      <c r="G1996">
        <v>118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11</v>
      </c>
      <c r="P1996">
        <f t="shared" si="99"/>
        <v>2024</v>
      </c>
      <c r="Q1996">
        <f t="shared" si="100"/>
        <v>6</v>
      </c>
      <c r="R1996" t="str">
        <f t="shared" si="101"/>
        <v>首页推荐-直播</v>
      </c>
      <c r="S1996" t="s">
        <v>628</v>
      </c>
      <c r="T1996" s="546" t="s">
        <v>804</v>
      </c>
    </row>
    <row r="1997" spans="1:20" x14ac:dyDescent="0.3">
      <c r="A1997" t="s">
        <v>627</v>
      </c>
      <c r="B1997" s="16">
        <v>45460</v>
      </c>
      <c r="C1997" t="s">
        <v>3</v>
      </c>
      <c r="D1997" t="s">
        <v>127</v>
      </c>
      <c r="E1997" t="s">
        <v>176</v>
      </c>
      <c r="F1997">
        <v>60</v>
      </c>
      <c r="G1997">
        <v>37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f t="shared" si="99"/>
        <v>2024</v>
      </c>
      <c r="Q1997">
        <f t="shared" si="100"/>
        <v>6</v>
      </c>
      <c r="R1997" t="str">
        <f t="shared" si="101"/>
        <v>首页推荐-短视频</v>
      </c>
      <c r="S1997" t="s">
        <v>628</v>
      </c>
      <c r="T1997" s="546" t="s">
        <v>804</v>
      </c>
    </row>
    <row r="1998" spans="1:20" x14ac:dyDescent="0.3">
      <c r="A1998" t="s">
        <v>627</v>
      </c>
      <c r="B1998" s="16">
        <v>45460</v>
      </c>
      <c r="C1998" t="s">
        <v>3</v>
      </c>
      <c r="D1998" t="s">
        <v>128</v>
      </c>
      <c r="E1998" t="s">
        <v>177</v>
      </c>
      <c r="F1998">
        <v>973</v>
      </c>
      <c r="G1998">
        <v>757</v>
      </c>
      <c r="H1998">
        <v>82</v>
      </c>
      <c r="I1998">
        <v>9</v>
      </c>
      <c r="J1998" s="17">
        <v>65229.98</v>
      </c>
      <c r="K1998">
        <v>21</v>
      </c>
      <c r="L1998" s="17">
        <v>55399.98</v>
      </c>
      <c r="M1998">
        <v>19</v>
      </c>
      <c r="N1998">
        <v>269</v>
      </c>
      <c r="O1998">
        <v>876</v>
      </c>
      <c r="P1998">
        <f t="shared" si="99"/>
        <v>2024</v>
      </c>
      <c r="Q1998">
        <f t="shared" si="100"/>
        <v>6</v>
      </c>
      <c r="R1998" t="str">
        <f t="shared" si="101"/>
        <v>手淘搜索-商品及其他</v>
      </c>
      <c r="S1998" t="s">
        <v>628</v>
      </c>
      <c r="T1998" s="546" t="s">
        <v>804</v>
      </c>
    </row>
    <row r="1999" spans="1:20" x14ac:dyDescent="0.3">
      <c r="A1999" t="s">
        <v>627</v>
      </c>
      <c r="B1999" s="16">
        <v>45460</v>
      </c>
      <c r="C1999" t="s">
        <v>3</v>
      </c>
      <c r="D1999" t="s">
        <v>128</v>
      </c>
      <c r="E1999" t="s">
        <v>178</v>
      </c>
      <c r="F1999">
        <v>6</v>
      </c>
      <c r="G1999">
        <v>5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3</v>
      </c>
      <c r="P1999">
        <f t="shared" si="99"/>
        <v>2024</v>
      </c>
      <c r="Q1999">
        <f t="shared" si="100"/>
        <v>6</v>
      </c>
      <c r="R1999" t="str">
        <f t="shared" si="101"/>
        <v>手淘搜索-直播</v>
      </c>
      <c r="S1999" t="s">
        <v>628</v>
      </c>
      <c r="T1999" s="546" t="s">
        <v>804</v>
      </c>
    </row>
    <row r="2000" spans="1:20" x14ac:dyDescent="0.3">
      <c r="A2000" t="s">
        <v>627</v>
      </c>
      <c r="B2000" s="16">
        <v>45460</v>
      </c>
      <c r="C2000" t="s">
        <v>3</v>
      </c>
      <c r="D2000" t="s">
        <v>128</v>
      </c>
      <c r="E2000" t="s">
        <v>179</v>
      </c>
      <c r="F2000">
        <v>25</v>
      </c>
      <c r="G2000">
        <v>14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1</v>
      </c>
      <c r="O2000">
        <v>6</v>
      </c>
      <c r="P2000">
        <f t="shared" si="99"/>
        <v>2024</v>
      </c>
      <c r="Q2000">
        <f t="shared" si="100"/>
        <v>6</v>
      </c>
      <c r="R2000" t="str">
        <f t="shared" si="101"/>
        <v>手淘搜索-短视频</v>
      </c>
      <c r="S2000" t="s">
        <v>628</v>
      </c>
      <c r="T2000" s="546" t="s">
        <v>804</v>
      </c>
    </row>
    <row r="2001" spans="1:20" x14ac:dyDescent="0.3">
      <c r="A2001" t="s">
        <v>627</v>
      </c>
      <c r="B2001" s="16">
        <v>45460</v>
      </c>
      <c r="C2001" t="s">
        <v>3</v>
      </c>
      <c r="D2001" t="s">
        <v>143</v>
      </c>
      <c r="E2001" t="s">
        <v>180</v>
      </c>
      <c r="F2001">
        <v>21</v>
      </c>
      <c r="G2001">
        <v>21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21</v>
      </c>
      <c r="P2001">
        <f t="shared" si="99"/>
        <v>2024</v>
      </c>
      <c r="Q2001">
        <f t="shared" si="100"/>
        <v>6</v>
      </c>
      <c r="R2001" t="str">
        <f t="shared" si="101"/>
        <v>淘特其他渠道</v>
      </c>
      <c r="S2001" t="s">
        <v>628</v>
      </c>
      <c r="T2001" s="546" t="s">
        <v>804</v>
      </c>
    </row>
    <row r="2002" spans="1:20" x14ac:dyDescent="0.3">
      <c r="A2002" t="s">
        <v>627</v>
      </c>
      <c r="B2002" s="16">
        <v>45460</v>
      </c>
      <c r="C2002" t="s">
        <v>3</v>
      </c>
      <c r="D2002" t="s">
        <v>143</v>
      </c>
      <c r="E2002" t="s">
        <v>181</v>
      </c>
      <c r="F2002">
        <v>1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</v>
      </c>
      <c r="P2002">
        <f t="shared" si="99"/>
        <v>2024</v>
      </c>
      <c r="Q2002">
        <f t="shared" si="100"/>
        <v>6</v>
      </c>
      <c r="R2002" t="str">
        <f t="shared" si="101"/>
        <v>淘特搜索</v>
      </c>
      <c r="S2002" t="s">
        <v>628</v>
      </c>
      <c r="T2002" s="546" t="s">
        <v>804</v>
      </c>
    </row>
    <row r="2003" spans="1:20" x14ac:dyDescent="0.3">
      <c r="A2003" t="s">
        <v>627</v>
      </c>
      <c r="B2003" s="16">
        <v>45460</v>
      </c>
      <c r="C2003" t="s">
        <v>2</v>
      </c>
      <c r="D2003" t="s">
        <v>55</v>
      </c>
      <c r="E2003" t="s">
        <v>54</v>
      </c>
      <c r="F2003" s="15">
        <v>7274</v>
      </c>
      <c r="G2003" s="15">
        <v>6160</v>
      </c>
      <c r="H2003">
        <v>7</v>
      </c>
      <c r="I2003">
        <v>6</v>
      </c>
      <c r="J2003">
        <v>0</v>
      </c>
      <c r="K2003">
        <v>0</v>
      </c>
      <c r="L2003">
        <v>0</v>
      </c>
      <c r="M2003">
        <v>0</v>
      </c>
      <c r="N2003">
        <v>33</v>
      </c>
      <c r="O2003" s="15">
        <v>2811</v>
      </c>
      <c r="P2003">
        <f t="shared" si="99"/>
        <v>2024</v>
      </c>
      <c r="Q2003">
        <f t="shared" si="100"/>
        <v>6</v>
      </c>
      <c r="R2003" t="str">
        <f t="shared" si="101"/>
        <v>超级直播</v>
      </c>
      <c r="S2003" t="s">
        <v>628</v>
      </c>
      <c r="T2003" s="546" t="s">
        <v>804</v>
      </c>
    </row>
    <row r="2004" spans="1:20" x14ac:dyDescent="0.3">
      <c r="A2004" t="s">
        <v>627</v>
      </c>
      <c r="B2004" s="16">
        <v>45460</v>
      </c>
      <c r="C2004" t="s">
        <v>2</v>
      </c>
      <c r="D2004" t="s">
        <v>55</v>
      </c>
      <c r="E2004" t="s">
        <v>56</v>
      </c>
      <c r="F2004" s="15">
        <v>7851</v>
      </c>
      <c r="G2004" s="15">
        <v>5061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7</v>
      </c>
      <c r="O2004">
        <v>225</v>
      </c>
      <c r="P2004">
        <f t="shared" si="99"/>
        <v>2024</v>
      </c>
      <c r="Q2004">
        <f t="shared" si="100"/>
        <v>6</v>
      </c>
      <c r="R2004" t="str">
        <f t="shared" si="101"/>
        <v>超级短视频</v>
      </c>
      <c r="S2004" t="s">
        <v>628</v>
      </c>
      <c r="T2004" s="546" t="s">
        <v>804</v>
      </c>
    </row>
    <row r="2005" spans="1:20" x14ac:dyDescent="0.3">
      <c r="A2005" t="s">
        <v>627</v>
      </c>
      <c r="B2005" s="16">
        <v>45460</v>
      </c>
      <c r="C2005" t="s">
        <v>2</v>
      </c>
      <c r="D2005" t="s">
        <v>52</v>
      </c>
      <c r="E2005" t="s">
        <v>53</v>
      </c>
      <c r="F2005">
        <v>735</v>
      </c>
      <c r="G2005">
        <v>590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735</v>
      </c>
      <c r="O2005">
        <v>107</v>
      </c>
      <c r="P2005">
        <f t="shared" ref="P2005:P2068" si="102">YEAR(B2005)</f>
        <v>2024</v>
      </c>
      <c r="Q2005">
        <f t="shared" ref="Q2005:Q2068" si="103">MONTH(B2005)</f>
        <v>6</v>
      </c>
      <c r="R2005" t="str">
        <f t="shared" si="101"/>
        <v>Showmax</v>
      </c>
      <c r="S2005" t="s">
        <v>628</v>
      </c>
      <c r="T2005" s="546" t="s">
        <v>804</v>
      </c>
    </row>
    <row r="2006" spans="1:20" x14ac:dyDescent="0.3">
      <c r="A2006" t="s">
        <v>627</v>
      </c>
      <c r="B2006" s="16">
        <v>45460</v>
      </c>
      <c r="C2006" t="s">
        <v>2</v>
      </c>
      <c r="D2006" t="s">
        <v>52</v>
      </c>
      <c r="E2006" t="s">
        <v>59</v>
      </c>
      <c r="F2006" s="15">
        <v>1152</v>
      </c>
      <c r="G2006">
        <v>900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 s="15">
        <v>1152</v>
      </c>
      <c r="O2006">
        <v>138</v>
      </c>
      <c r="P2006">
        <f t="shared" si="102"/>
        <v>2024</v>
      </c>
      <c r="Q2006">
        <f t="shared" si="103"/>
        <v>6</v>
      </c>
      <c r="R2006" t="str">
        <f t="shared" si="101"/>
        <v>品牌特秀</v>
      </c>
      <c r="S2006" t="s">
        <v>628</v>
      </c>
      <c r="T2006" s="546" t="s">
        <v>804</v>
      </c>
    </row>
    <row r="2007" spans="1:20" x14ac:dyDescent="0.3">
      <c r="A2007" t="s">
        <v>627</v>
      </c>
      <c r="B2007" s="16">
        <v>45460</v>
      </c>
      <c r="C2007" t="s">
        <v>2</v>
      </c>
      <c r="D2007" t="s">
        <v>52</v>
      </c>
      <c r="E2007" t="s">
        <v>183</v>
      </c>
      <c r="F2007">
        <v>553</v>
      </c>
      <c r="G2007">
        <v>459</v>
      </c>
      <c r="H2007">
        <v>9</v>
      </c>
      <c r="I2007">
        <v>5</v>
      </c>
      <c r="J2007" s="15">
        <v>2237</v>
      </c>
      <c r="K2007">
        <v>1</v>
      </c>
      <c r="L2007" s="15">
        <v>2237</v>
      </c>
      <c r="M2007">
        <v>1</v>
      </c>
      <c r="N2007">
        <v>553</v>
      </c>
      <c r="O2007">
        <v>295</v>
      </c>
      <c r="P2007">
        <f t="shared" si="102"/>
        <v>2024</v>
      </c>
      <c r="Q2007">
        <f t="shared" si="103"/>
        <v>6</v>
      </c>
      <c r="R2007" t="str">
        <f t="shared" si="101"/>
        <v>品销宝-品牌专区</v>
      </c>
      <c r="S2007" t="s">
        <v>628</v>
      </c>
      <c r="T2007" s="546" t="s">
        <v>804</v>
      </c>
    </row>
    <row r="2008" spans="1:20" x14ac:dyDescent="0.3">
      <c r="A2008" t="s">
        <v>627</v>
      </c>
      <c r="B2008" s="16">
        <v>45460</v>
      </c>
      <c r="C2008" t="s">
        <v>2</v>
      </c>
      <c r="D2008" t="s">
        <v>57</v>
      </c>
      <c r="E2008" t="s">
        <v>65</v>
      </c>
      <c r="F2008" s="15">
        <v>5332</v>
      </c>
      <c r="G2008" s="15">
        <v>4758</v>
      </c>
      <c r="H2008">
        <v>103</v>
      </c>
      <c r="I2008">
        <v>38</v>
      </c>
      <c r="J2008" s="17">
        <v>185721.5</v>
      </c>
      <c r="K2008">
        <v>31</v>
      </c>
      <c r="L2008" s="17">
        <v>97901.5</v>
      </c>
      <c r="M2008">
        <v>24</v>
      </c>
      <c r="N2008">
        <v>424</v>
      </c>
      <c r="O2008" s="15">
        <v>5268</v>
      </c>
      <c r="P2008">
        <f t="shared" si="102"/>
        <v>2024</v>
      </c>
      <c r="Q2008">
        <f t="shared" si="103"/>
        <v>6</v>
      </c>
      <c r="R2008" t="str">
        <f t="shared" si="101"/>
        <v>直通车</v>
      </c>
      <c r="S2008" t="s">
        <v>628</v>
      </c>
      <c r="T2008" s="546" t="s">
        <v>804</v>
      </c>
    </row>
    <row r="2009" spans="1:20" x14ac:dyDescent="0.3">
      <c r="A2009" t="s">
        <v>627</v>
      </c>
      <c r="B2009" s="16">
        <v>45460</v>
      </c>
      <c r="C2009" t="s">
        <v>2</v>
      </c>
      <c r="D2009" t="s">
        <v>57</v>
      </c>
      <c r="E2009" t="s">
        <v>63</v>
      </c>
      <c r="F2009" s="15">
        <v>5753</v>
      </c>
      <c r="G2009" s="15">
        <v>2927</v>
      </c>
      <c r="H2009">
        <v>85</v>
      </c>
      <c r="I2009">
        <v>73</v>
      </c>
      <c r="J2009" s="15">
        <v>54509</v>
      </c>
      <c r="K2009">
        <v>15</v>
      </c>
      <c r="L2009" s="15">
        <v>21681</v>
      </c>
      <c r="M2009">
        <v>8</v>
      </c>
      <c r="N2009">
        <v>318</v>
      </c>
      <c r="O2009" s="15">
        <v>5750</v>
      </c>
      <c r="P2009">
        <f t="shared" si="102"/>
        <v>2024</v>
      </c>
      <c r="Q2009">
        <f t="shared" si="103"/>
        <v>6</v>
      </c>
      <c r="R2009" t="str">
        <f t="shared" si="101"/>
        <v>万相台</v>
      </c>
      <c r="S2009" t="s">
        <v>628</v>
      </c>
      <c r="T2009" s="546" t="s">
        <v>804</v>
      </c>
    </row>
    <row r="2010" spans="1:20" x14ac:dyDescent="0.3">
      <c r="A2010" t="s">
        <v>627</v>
      </c>
      <c r="B2010" s="16">
        <v>45460</v>
      </c>
      <c r="C2010" t="s">
        <v>2</v>
      </c>
      <c r="D2010" t="s">
        <v>57</v>
      </c>
      <c r="E2010" t="s">
        <v>64</v>
      </c>
      <c r="F2010" s="15">
        <v>12813</v>
      </c>
      <c r="G2010" s="15">
        <v>6002</v>
      </c>
      <c r="H2010">
        <v>32</v>
      </c>
      <c r="I2010">
        <v>45</v>
      </c>
      <c r="J2010">
        <v>0</v>
      </c>
      <c r="K2010">
        <v>0</v>
      </c>
      <c r="L2010">
        <v>0</v>
      </c>
      <c r="M2010">
        <v>0</v>
      </c>
      <c r="N2010">
        <v>274</v>
      </c>
      <c r="O2010" s="15">
        <v>12801</v>
      </c>
      <c r="P2010">
        <f t="shared" si="102"/>
        <v>2024</v>
      </c>
      <c r="Q2010">
        <f t="shared" si="103"/>
        <v>6</v>
      </c>
      <c r="R2010" t="str">
        <f t="shared" si="101"/>
        <v>引力魔方</v>
      </c>
      <c r="S2010" t="s">
        <v>628</v>
      </c>
      <c r="T2010" s="546" t="s">
        <v>804</v>
      </c>
    </row>
    <row r="2011" spans="1:20" x14ac:dyDescent="0.3">
      <c r="A2011" t="s">
        <v>627</v>
      </c>
      <c r="B2011" s="16">
        <v>45460</v>
      </c>
      <c r="C2011" t="s">
        <v>2</v>
      </c>
      <c r="D2011" t="s">
        <v>4</v>
      </c>
      <c r="E2011" t="s">
        <v>41</v>
      </c>
      <c r="F2011">
        <v>1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</v>
      </c>
      <c r="P2011">
        <f t="shared" si="102"/>
        <v>2024</v>
      </c>
      <c r="Q2011">
        <f t="shared" si="103"/>
        <v>6</v>
      </c>
      <c r="R2011" t="str">
        <f t="shared" si="101"/>
        <v>流量宝</v>
      </c>
      <c r="S2011" t="s">
        <v>628</v>
      </c>
      <c r="T2011" s="546" t="s">
        <v>804</v>
      </c>
    </row>
    <row r="2012" spans="1:20" x14ac:dyDescent="0.3">
      <c r="A2012" t="s">
        <v>627</v>
      </c>
      <c r="B2012" s="16">
        <v>45460</v>
      </c>
      <c r="C2012" t="s">
        <v>2</v>
      </c>
      <c r="D2012" t="s">
        <v>4</v>
      </c>
      <c r="E2012" t="s">
        <v>43</v>
      </c>
      <c r="F2012" s="15">
        <v>1128</v>
      </c>
      <c r="G2012">
        <v>246</v>
      </c>
      <c r="H2012">
        <v>0</v>
      </c>
      <c r="I2012">
        <v>0</v>
      </c>
      <c r="J2012" s="15">
        <v>8050</v>
      </c>
      <c r="K2012">
        <v>2</v>
      </c>
      <c r="L2012" s="15">
        <v>4025</v>
      </c>
      <c r="M2012">
        <v>1</v>
      </c>
      <c r="N2012">
        <v>16</v>
      </c>
      <c r="O2012" s="15">
        <v>1104</v>
      </c>
      <c r="P2012">
        <f t="shared" si="102"/>
        <v>2024</v>
      </c>
      <c r="Q2012">
        <f t="shared" si="103"/>
        <v>6</v>
      </c>
      <c r="R2012" t="str">
        <f t="shared" si="101"/>
        <v>淘宝客</v>
      </c>
      <c r="S2012" t="s">
        <v>628</v>
      </c>
      <c r="T2012" s="546" t="s">
        <v>804</v>
      </c>
    </row>
    <row r="2013" spans="1:20" x14ac:dyDescent="0.3">
      <c r="A2013" t="s">
        <v>627</v>
      </c>
      <c r="B2013" s="16">
        <v>45461</v>
      </c>
      <c r="C2013" t="s">
        <v>3</v>
      </c>
      <c r="D2013" t="s">
        <v>114</v>
      </c>
      <c r="E2013" t="s">
        <v>159</v>
      </c>
      <c r="F2013">
        <v>113</v>
      </c>
      <c r="G2013">
        <v>54</v>
      </c>
      <c r="H2013">
        <v>3</v>
      </c>
      <c r="I2013">
        <v>1</v>
      </c>
      <c r="J2013" s="15">
        <v>4695</v>
      </c>
      <c r="K2013">
        <v>1</v>
      </c>
      <c r="L2013">
        <v>0</v>
      </c>
      <c r="M2013">
        <v>0</v>
      </c>
      <c r="N2013">
        <v>13</v>
      </c>
      <c r="O2013">
        <v>105</v>
      </c>
      <c r="P2013">
        <f t="shared" si="102"/>
        <v>2024</v>
      </c>
      <c r="Q2013">
        <f t="shared" si="103"/>
        <v>6</v>
      </c>
      <c r="R2013" t="str">
        <f t="shared" si="101"/>
        <v>主会场</v>
      </c>
      <c r="S2013" t="s">
        <v>628</v>
      </c>
      <c r="T2013" s="546" t="s">
        <v>804</v>
      </c>
    </row>
    <row r="2014" spans="1:20" x14ac:dyDescent="0.3">
      <c r="A2014" t="s">
        <v>627</v>
      </c>
      <c r="B2014" s="16">
        <v>45461</v>
      </c>
      <c r="C2014" t="s">
        <v>3</v>
      </c>
      <c r="D2014" t="s">
        <v>120</v>
      </c>
      <c r="E2014" t="s">
        <v>162</v>
      </c>
      <c r="F2014">
        <v>1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1</v>
      </c>
      <c r="P2014">
        <f t="shared" si="102"/>
        <v>2024</v>
      </c>
      <c r="Q2014">
        <f t="shared" si="103"/>
        <v>6</v>
      </c>
      <c r="R2014" t="str">
        <f t="shared" si="101"/>
        <v>手机浏览器访问天猫</v>
      </c>
      <c r="S2014" t="s">
        <v>628</v>
      </c>
      <c r="T2014" s="546" t="s">
        <v>804</v>
      </c>
    </row>
    <row r="2015" spans="1:20" x14ac:dyDescent="0.3">
      <c r="A2015" t="s">
        <v>627</v>
      </c>
      <c r="B2015" s="16">
        <v>45461</v>
      </c>
      <c r="C2015" t="s">
        <v>3</v>
      </c>
      <c r="D2015" t="s">
        <v>120</v>
      </c>
      <c r="E2015" t="s">
        <v>163</v>
      </c>
      <c r="F2015">
        <v>92</v>
      </c>
      <c r="G2015">
        <v>47</v>
      </c>
      <c r="H2015">
        <v>0</v>
      </c>
      <c r="I2015">
        <v>0</v>
      </c>
      <c r="J2015" s="15">
        <v>5332</v>
      </c>
      <c r="K2015">
        <v>3</v>
      </c>
      <c r="L2015" s="15">
        <v>5332</v>
      </c>
      <c r="M2015">
        <v>3</v>
      </c>
      <c r="N2015">
        <v>35</v>
      </c>
      <c r="O2015">
        <v>88</v>
      </c>
      <c r="P2015">
        <f t="shared" si="102"/>
        <v>2024</v>
      </c>
      <c r="Q2015">
        <f t="shared" si="103"/>
        <v>6</v>
      </c>
      <c r="R2015" t="str">
        <f t="shared" si="101"/>
        <v>手猫免费其他</v>
      </c>
      <c r="S2015" t="s">
        <v>628</v>
      </c>
      <c r="T2015" s="546" t="s">
        <v>804</v>
      </c>
    </row>
    <row r="2016" spans="1:20" x14ac:dyDescent="0.3">
      <c r="A2016" t="s">
        <v>627</v>
      </c>
      <c r="B2016" s="16">
        <v>45461</v>
      </c>
      <c r="C2016" t="s">
        <v>3</v>
      </c>
      <c r="D2016" t="s">
        <v>120</v>
      </c>
      <c r="E2016" t="s">
        <v>164</v>
      </c>
      <c r="F2016">
        <v>7</v>
      </c>
      <c r="G2016">
        <v>3</v>
      </c>
      <c r="H2016">
        <v>1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7</v>
      </c>
      <c r="P2016">
        <f t="shared" si="102"/>
        <v>2024</v>
      </c>
      <c r="Q2016">
        <f t="shared" si="103"/>
        <v>6</v>
      </c>
      <c r="R2016" t="str">
        <f t="shared" si="101"/>
        <v>手猫其他店铺</v>
      </c>
      <c r="S2016" t="s">
        <v>628</v>
      </c>
      <c r="T2016" s="546" t="s">
        <v>804</v>
      </c>
    </row>
    <row r="2017" spans="1:20" x14ac:dyDescent="0.3">
      <c r="A2017" t="s">
        <v>627</v>
      </c>
      <c r="B2017" s="16">
        <v>45461</v>
      </c>
      <c r="C2017" t="s">
        <v>3</v>
      </c>
      <c r="D2017" t="s">
        <v>120</v>
      </c>
      <c r="E2017" t="s">
        <v>165</v>
      </c>
      <c r="F2017">
        <v>35</v>
      </c>
      <c r="G2017">
        <v>18</v>
      </c>
      <c r="H2017">
        <v>0</v>
      </c>
      <c r="I2017">
        <v>0</v>
      </c>
      <c r="J2017" s="15">
        <v>9086</v>
      </c>
      <c r="K2017">
        <v>3</v>
      </c>
      <c r="L2017" s="15">
        <v>9086</v>
      </c>
      <c r="M2017">
        <v>3</v>
      </c>
      <c r="N2017">
        <v>5</v>
      </c>
      <c r="O2017">
        <v>33</v>
      </c>
      <c r="P2017">
        <f t="shared" si="102"/>
        <v>2024</v>
      </c>
      <c r="Q2017">
        <f t="shared" si="103"/>
        <v>6</v>
      </c>
      <c r="R2017" t="str">
        <f t="shared" si="101"/>
        <v>手猫商品详情</v>
      </c>
      <c r="S2017" t="s">
        <v>628</v>
      </c>
      <c r="T2017" s="546" t="s">
        <v>804</v>
      </c>
    </row>
    <row r="2018" spans="1:20" x14ac:dyDescent="0.3">
      <c r="A2018" t="s">
        <v>627</v>
      </c>
      <c r="B2018" s="16">
        <v>45461</v>
      </c>
      <c r="C2018" t="s">
        <v>3</v>
      </c>
      <c r="D2018" t="s">
        <v>120</v>
      </c>
      <c r="E2018" t="s">
        <v>166</v>
      </c>
      <c r="F2018">
        <v>81</v>
      </c>
      <c r="G2018">
        <v>54</v>
      </c>
      <c r="H2018">
        <v>0</v>
      </c>
      <c r="I2018">
        <v>0</v>
      </c>
      <c r="J2018" s="15">
        <v>12176</v>
      </c>
      <c r="K2018">
        <v>5</v>
      </c>
      <c r="L2018" s="15">
        <v>12176</v>
      </c>
      <c r="M2018">
        <v>5</v>
      </c>
      <c r="N2018">
        <v>27</v>
      </c>
      <c r="O2018">
        <v>71</v>
      </c>
      <c r="P2018">
        <f t="shared" si="102"/>
        <v>2024</v>
      </c>
      <c r="Q2018">
        <f t="shared" si="103"/>
        <v>6</v>
      </c>
      <c r="R2018" t="str">
        <f t="shared" si="101"/>
        <v>手猫搜索</v>
      </c>
      <c r="S2018" t="s">
        <v>628</v>
      </c>
      <c r="T2018" s="546" t="s">
        <v>804</v>
      </c>
    </row>
    <row r="2019" spans="1:20" x14ac:dyDescent="0.3">
      <c r="A2019" t="s">
        <v>627</v>
      </c>
      <c r="B2019" s="16">
        <v>45461</v>
      </c>
      <c r="C2019" t="s">
        <v>3</v>
      </c>
      <c r="D2019" t="s">
        <v>120</v>
      </c>
      <c r="E2019" t="s">
        <v>167</v>
      </c>
      <c r="F2019">
        <v>2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1</v>
      </c>
      <c r="O2019">
        <v>2</v>
      </c>
      <c r="P2019">
        <f t="shared" si="102"/>
        <v>2024</v>
      </c>
      <c r="Q2019">
        <f t="shared" si="103"/>
        <v>6</v>
      </c>
      <c r="R2019" t="str">
        <f t="shared" si="101"/>
        <v>手猫旺信聊天</v>
      </c>
      <c r="S2019" t="s">
        <v>628</v>
      </c>
      <c r="T2019" s="546" t="s">
        <v>804</v>
      </c>
    </row>
    <row r="2020" spans="1:20" x14ac:dyDescent="0.3">
      <c r="A2020" t="s">
        <v>627</v>
      </c>
      <c r="B2020" s="16">
        <v>45461</v>
      </c>
      <c r="C2020" t="s">
        <v>3</v>
      </c>
      <c r="D2020" t="s">
        <v>120</v>
      </c>
      <c r="E2020" t="s">
        <v>168</v>
      </c>
      <c r="F2020">
        <v>350</v>
      </c>
      <c r="G2020">
        <v>199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10</v>
      </c>
      <c r="O2020">
        <v>350</v>
      </c>
      <c r="P2020">
        <f t="shared" si="102"/>
        <v>2024</v>
      </c>
      <c r="Q2020">
        <f t="shared" si="103"/>
        <v>6</v>
      </c>
      <c r="R2020" t="str">
        <f t="shared" si="101"/>
        <v>手猫首页</v>
      </c>
      <c r="S2020" t="s">
        <v>628</v>
      </c>
      <c r="T2020" s="546" t="s">
        <v>804</v>
      </c>
    </row>
    <row r="2021" spans="1:20" x14ac:dyDescent="0.3">
      <c r="A2021" t="s">
        <v>627</v>
      </c>
      <c r="B2021" s="16">
        <v>45461</v>
      </c>
      <c r="C2021" t="s">
        <v>3</v>
      </c>
      <c r="D2021" t="s">
        <v>123</v>
      </c>
      <c r="E2021" t="s">
        <v>169</v>
      </c>
      <c r="F2021">
        <v>99</v>
      </c>
      <c r="G2021">
        <v>39</v>
      </c>
      <c r="H2021">
        <v>4</v>
      </c>
      <c r="I2021">
        <v>1</v>
      </c>
      <c r="J2021" s="15">
        <v>8790</v>
      </c>
      <c r="K2021">
        <v>2</v>
      </c>
      <c r="L2021">
        <v>0</v>
      </c>
      <c r="M2021">
        <v>0</v>
      </c>
      <c r="N2021">
        <v>27</v>
      </c>
      <c r="O2021">
        <v>90</v>
      </c>
      <c r="P2021">
        <f t="shared" si="102"/>
        <v>2024</v>
      </c>
      <c r="Q2021">
        <f t="shared" si="103"/>
        <v>6</v>
      </c>
      <c r="R2021" t="str">
        <f t="shared" si="101"/>
        <v>商品详情页头图推荐</v>
      </c>
      <c r="S2021" t="s">
        <v>628</v>
      </c>
      <c r="T2021" s="546" t="s">
        <v>804</v>
      </c>
    </row>
    <row r="2022" spans="1:20" x14ac:dyDescent="0.3">
      <c r="A2022" t="s">
        <v>627</v>
      </c>
      <c r="B2022" s="16">
        <v>45461</v>
      </c>
      <c r="C2022" t="s">
        <v>3</v>
      </c>
      <c r="D2022" t="s">
        <v>123</v>
      </c>
      <c r="E2022" t="s">
        <v>170</v>
      </c>
      <c r="F2022">
        <v>21</v>
      </c>
      <c r="G2022">
        <v>14</v>
      </c>
      <c r="H2022">
        <v>1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19</v>
      </c>
      <c r="O2022">
        <v>10</v>
      </c>
      <c r="P2022">
        <f t="shared" si="102"/>
        <v>2024</v>
      </c>
      <c r="Q2022">
        <f t="shared" si="103"/>
        <v>6</v>
      </c>
      <c r="R2022" t="str">
        <f t="shared" si="101"/>
        <v>店铺超链</v>
      </c>
      <c r="S2022" t="s">
        <v>628</v>
      </c>
      <c r="T2022" s="546" t="s">
        <v>804</v>
      </c>
    </row>
    <row r="2023" spans="1:20" x14ac:dyDescent="0.3">
      <c r="A2023" t="s">
        <v>627</v>
      </c>
      <c r="B2023" s="16">
        <v>45461</v>
      </c>
      <c r="C2023" t="s">
        <v>3</v>
      </c>
      <c r="D2023" t="s">
        <v>127</v>
      </c>
      <c r="E2023" t="s">
        <v>171</v>
      </c>
      <c r="F2023">
        <v>163</v>
      </c>
      <c r="G2023">
        <v>80</v>
      </c>
      <c r="H2023">
        <v>11</v>
      </c>
      <c r="I2023">
        <v>4</v>
      </c>
      <c r="J2023" s="15">
        <v>12277</v>
      </c>
      <c r="K2023">
        <v>4</v>
      </c>
      <c r="L2023" s="15">
        <v>12277</v>
      </c>
      <c r="M2023">
        <v>4</v>
      </c>
      <c r="N2023">
        <v>48</v>
      </c>
      <c r="O2023">
        <v>139</v>
      </c>
      <c r="P2023">
        <f t="shared" si="102"/>
        <v>2024</v>
      </c>
      <c r="Q2023">
        <f t="shared" si="103"/>
        <v>6</v>
      </c>
      <c r="R2023" t="str">
        <f t="shared" si="101"/>
        <v>其他猜你喜欢</v>
      </c>
      <c r="S2023" t="s">
        <v>628</v>
      </c>
      <c r="T2023" s="546" t="s">
        <v>804</v>
      </c>
    </row>
    <row r="2024" spans="1:20" x14ac:dyDescent="0.3">
      <c r="A2024" t="s">
        <v>627</v>
      </c>
      <c r="B2024" s="16">
        <v>45461</v>
      </c>
      <c r="C2024" t="s">
        <v>3</v>
      </c>
      <c r="D2024" t="s">
        <v>127</v>
      </c>
      <c r="E2024" t="s">
        <v>172</v>
      </c>
      <c r="F2024">
        <v>7</v>
      </c>
      <c r="G2024">
        <v>4</v>
      </c>
      <c r="H2024">
        <v>0</v>
      </c>
      <c r="I2024">
        <v>1</v>
      </c>
      <c r="J2024">
        <v>0</v>
      </c>
      <c r="K2024">
        <v>0</v>
      </c>
      <c r="L2024">
        <v>0</v>
      </c>
      <c r="M2024">
        <v>0</v>
      </c>
      <c r="N2024">
        <v>2</v>
      </c>
      <c r="O2024">
        <v>6</v>
      </c>
      <c r="P2024">
        <f t="shared" si="102"/>
        <v>2024</v>
      </c>
      <c r="Q2024">
        <f t="shared" si="103"/>
        <v>6</v>
      </c>
      <c r="R2024" t="str">
        <f t="shared" si="101"/>
        <v>购中推荐</v>
      </c>
      <c r="S2024" t="s">
        <v>628</v>
      </c>
      <c r="T2024" s="546" t="s">
        <v>804</v>
      </c>
    </row>
    <row r="2025" spans="1:20" x14ac:dyDescent="0.3">
      <c r="A2025" t="s">
        <v>627</v>
      </c>
      <c r="B2025" s="16">
        <v>45461</v>
      </c>
      <c r="C2025" t="s">
        <v>3</v>
      </c>
      <c r="D2025" t="s">
        <v>127</v>
      </c>
      <c r="E2025" t="s">
        <v>173</v>
      </c>
      <c r="F2025">
        <v>53</v>
      </c>
      <c r="G2025">
        <v>35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1</v>
      </c>
      <c r="O2025">
        <v>50</v>
      </c>
      <c r="P2025">
        <f t="shared" si="102"/>
        <v>2024</v>
      </c>
      <c r="Q2025">
        <f t="shared" si="103"/>
        <v>6</v>
      </c>
      <c r="R2025" t="str">
        <f t="shared" si="101"/>
        <v>购后推荐</v>
      </c>
      <c r="S2025" t="s">
        <v>628</v>
      </c>
      <c r="T2025" s="546" t="s">
        <v>804</v>
      </c>
    </row>
    <row r="2026" spans="1:20" x14ac:dyDescent="0.3">
      <c r="A2026" t="s">
        <v>627</v>
      </c>
      <c r="B2026" s="16">
        <v>45461</v>
      </c>
      <c r="C2026" t="s">
        <v>3</v>
      </c>
      <c r="D2026" t="s">
        <v>127</v>
      </c>
      <c r="E2026" t="s">
        <v>174</v>
      </c>
      <c r="F2026" s="15">
        <v>1468</v>
      </c>
      <c r="G2026">
        <v>738</v>
      </c>
      <c r="H2026">
        <v>36</v>
      </c>
      <c r="I2026">
        <v>16</v>
      </c>
      <c r="J2026" s="15">
        <v>27635</v>
      </c>
      <c r="K2026">
        <v>10</v>
      </c>
      <c r="L2026" s="15">
        <v>25910</v>
      </c>
      <c r="M2026">
        <v>10</v>
      </c>
      <c r="N2026">
        <v>135</v>
      </c>
      <c r="O2026" s="15">
        <v>1468</v>
      </c>
      <c r="P2026">
        <f t="shared" si="102"/>
        <v>2024</v>
      </c>
      <c r="Q2026">
        <f t="shared" si="103"/>
        <v>6</v>
      </c>
      <c r="R2026" t="str">
        <f t="shared" si="101"/>
        <v>首页推荐-微详情</v>
      </c>
      <c r="S2026" t="s">
        <v>628</v>
      </c>
      <c r="T2026" s="546" t="s">
        <v>804</v>
      </c>
    </row>
    <row r="2027" spans="1:20" x14ac:dyDescent="0.3">
      <c r="A2027" t="s">
        <v>627</v>
      </c>
      <c r="B2027" s="16">
        <v>45461</v>
      </c>
      <c r="C2027" t="s">
        <v>3</v>
      </c>
      <c r="D2027" t="s">
        <v>127</v>
      </c>
      <c r="E2027" t="s">
        <v>175</v>
      </c>
      <c r="F2027">
        <v>163</v>
      </c>
      <c r="G2027">
        <v>69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5</v>
      </c>
      <c r="P2027">
        <f t="shared" si="102"/>
        <v>2024</v>
      </c>
      <c r="Q2027">
        <f t="shared" si="103"/>
        <v>6</v>
      </c>
      <c r="R2027" t="str">
        <f t="shared" si="101"/>
        <v>首页推荐-直播</v>
      </c>
      <c r="S2027" t="s">
        <v>628</v>
      </c>
      <c r="T2027" s="546" t="s">
        <v>804</v>
      </c>
    </row>
    <row r="2028" spans="1:20" x14ac:dyDescent="0.3">
      <c r="A2028" t="s">
        <v>627</v>
      </c>
      <c r="B2028" s="16">
        <v>45461</v>
      </c>
      <c r="C2028" t="s">
        <v>3</v>
      </c>
      <c r="D2028" t="s">
        <v>127</v>
      </c>
      <c r="E2028" t="s">
        <v>176</v>
      </c>
      <c r="F2028">
        <v>64</v>
      </c>
      <c r="G2028">
        <v>33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2</v>
      </c>
      <c r="O2028">
        <v>1</v>
      </c>
      <c r="P2028">
        <f t="shared" si="102"/>
        <v>2024</v>
      </c>
      <c r="Q2028">
        <f t="shared" si="103"/>
        <v>6</v>
      </c>
      <c r="R2028" t="str">
        <f t="shared" si="101"/>
        <v>首页推荐-短视频</v>
      </c>
      <c r="S2028" t="s">
        <v>628</v>
      </c>
      <c r="T2028" s="546" t="s">
        <v>804</v>
      </c>
    </row>
    <row r="2029" spans="1:20" x14ac:dyDescent="0.3">
      <c r="A2029" t="s">
        <v>627</v>
      </c>
      <c r="B2029" s="16">
        <v>45461</v>
      </c>
      <c r="C2029" t="s">
        <v>3</v>
      </c>
      <c r="D2029" t="s">
        <v>128</v>
      </c>
      <c r="E2029" t="s">
        <v>177</v>
      </c>
      <c r="F2029" s="15">
        <v>1012</v>
      </c>
      <c r="G2029">
        <v>792</v>
      </c>
      <c r="H2029">
        <v>115</v>
      </c>
      <c r="I2029">
        <v>7</v>
      </c>
      <c r="J2029" s="17">
        <v>148720.85999999999</v>
      </c>
      <c r="K2029">
        <v>42</v>
      </c>
      <c r="L2029" s="17">
        <v>134894.85999999999</v>
      </c>
      <c r="M2029">
        <v>38</v>
      </c>
      <c r="N2029">
        <v>275</v>
      </c>
      <c r="O2029">
        <v>911</v>
      </c>
      <c r="P2029">
        <f t="shared" si="102"/>
        <v>2024</v>
      </c>
      <c r="Q2029">
        <f t="shared" si="103"/>
        <v>6</v>
      </c>
      <c r="R2029" t="str">
        <f t="shared" si="101"/>
        <v>手淘搜索-商品及其他</v>
      </c>
      <c r="S2029" t="s">
        <v>628</v>
      </c>
      <c r="T2029" s="546" t="s">
        <v>804</v>
      </c>
    </row>
    <row r="2030" spans="1:20" x14ac:dyDescent="0.3">
      <c r="A2030" t="s">
        <v>627</v>
      </c>
      <c r="B2030" s="16">
        <v>45461</v>
      </c>
      <c r="C2030" t="s">
        <v>3</v>
      </c>
      <c r="D2030" t="s">
        <v>128</v>
      </c>
      <c r="E2030" t="s">
        <v>178</v>
      </c>
      <c r="F2030">
        <v>4</v>
      </c>
      <c r="G2030">
        <v>2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2</v>
      </c>
      <c r="P2030">
        <f t="shared" si="102"/>
        <v>2024</v>
      </c>
      <c r="Q2030">
        <f t="shared" si="103"/>
        <v>6</v>
      </c>
      <c r="R2030" t="str">
        <f t="shared" si="101"/>
        <v>手淘搜索-直播</v>
      </c>
      <c r="S2030" t="s">
        <v>628</v>
      </c>
      <c r="T2030" s="546" t="s">
        <v>804</v>
      </c>
    </row>
    <row r="2031" spans="1:20" x14ac:dyDescent="0.3">
      <c r="A2031" t="s">
        <v>627</v>
      </c>
      <c r="B2031" s="16">
        <v>45461</v>
      </c>
      <c r="C2031" t="s">
        <v>3</v>
      </c>
      <c r="D2031" t="s">
        <v>128</v>
      </c>
      <c r="E2031" t="s">
        <v>179</v>
      </c>
      <c r="F2031">
        <v>30</v>
      </c>
      <c r="G2031">
        <v>16</v>
      </c>
      <c r="H2031">
        <v>2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2</v>
      </c>
      <c r="O2031">
        <v>7</v>
      </c>
      <c r="P2031">
        <f t="shared" si="102"/>
        <v>2024</v>
      </c>
      <c r="Q2031">
        <f t="shared" si="103"/>
        <v>6</v>
      </c>
      <c r="R2031" t="str">
        <f t="shared" si="101"/>
        <v>手淘搜索-短视频</v>
      </c>
      <c r="S2031" t="s">
        <v>628</v>
      </c>
      <c r="T2031" s="546" t="s">
        <v>804</v>
      </c>
    </row>
    <row r="2032" spans="1:20" x14ac:dyDescent="0.3">
      <c r="A2032" t="s">
        <v>627</v>
      </c>
      <c r="B2032" s="16">
        <v>45461</v>
      </c>
      <c r="C2032" t="s">
        <v>3</v>
      </c>
      <c r="D2032" t="s">
        <v>143</v>
      </c>
      <c r="E2032" t="s">
        <v>180</v>
      </c>
      <c r="F2032">
        <v>18</v>
      </c>
      <c r="G2032">
        <v>17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1</v>
      </c>
      <c r="O2032">
        <v>18</v>
      </c>
      <c r="P2032">
        <f t="shared" si="102"/>
        <v>2024</v>
      </c>
      <c r="Q2032">
        <f t="shared" si="103"/>
        <v>6</v>
      </c>
      <c r="R2032" t="str">
        <f t="shared" si="101"/>
        <v>淘特其他渠道</v>
      </c>
      <c r="S2032" t="s">
        <v>628</v>
      </c>
      <c r="T2032" s="546" t="s">
        <v>804</v>
      </c>
    </row>
    <row r="2033" spans="1:20" x14ac:dyDescent="0.3">
      <c r="A2033" t="s">
        <v>627</v>
      </c>
      <c r="B2033" s="16">
        <v>45461</v>
      </c>
      <c r="C2033" t="s">
        <v>2</v>
      </c>
      <c r="D2033" t="s">
        <v>55</v>
      </c>
      <c r="E2033" t="s">
        <v>54</v>
      </c>
      <c r="F2033" s="15">
        <v>5221</v>
      </c>
      <c r="G2033" s="15">
        <v>4249</v>
      </c>
      <c r="H2033">
        <v>9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31</v>
      </c>
      <c r="O2033" s="15">
        <v>2303</v>
      </c>
      <c r="P2033">
        <f t="shared" si="102"/>
        <v>2024</v>
      </c>
      <c r="Q2033">
        <f t="shared" si="103"/>
        <v>6</v>
      </c>
      <c r="R2033" t="str">
        <f t="shared" si="101"/>
        <v>超级直播</v>
      </c>
      <c r="S2033" t="s">
        <v>628</v>
      </c>
      <c r="T2033" s="546" t="s">
        <v>804</v>
      </c>
    </row>
    <row r="2034" spans="1:20" x14ac:dyDescent="0.3">
      <c r="A2034" t="s">
        <v>627</v>
      </c>
      <c r="B2034" s="16">
        <v>45461</v>
      </c>
      <c r="C2034" t="s">
        <v>2</v>
      </c>
      <c r="D2034" t="s">
        <v>55</v>
      </c>
      <c r="E2034" t="s">
        <v>56</v>
      </c>
      <c r="F2034" s="15">
        <v>4936</v>
      </c>
      <c r="G2034" s="15">
        <v>3122</v>
      </c>
      <c r="H2034">
        <v>2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4</v>
      </c>
      <c r="O2034">
        <v>187</v>
      </c>
      <c r="P2034">
        <f t="shared" si="102"/>
        <v>2024</v>
      </c>
      <c r="Q2034">
        <f t="shared" si="103"/>
        <v>6</v>
      </c>
      <c r="R2034" t="str">
        <f t="shared" si="101"/>
        <v>超级短视频</v>
      </c>
      <c r="S2034" t="s">
        <v>628</v>
      </c>
      <c r="T2034" s="546" t="s">
        <v>804</v>
      </c>
    </row>
    <row r="2035" spans="1:20" x14ac:dyDescent="0.3">
      <c r="A2035" t="s">
        <v>627</v>
      </c>
      <c r="B2035" s="16">
        <v>45461</v>
      </c>
      <c r="C2035" t="s">
        <v>2</v>
      </c>
      <c r="D2035" t="s">
        <v>52</v>
      </c>
      <c r="E2035" t="s">
        <v>53</v>
      </c>
      <c r="F2035">
        <v>731</v>
      </c>
      <c r="G2035">
        <v>597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731</v>
      </c>
      <c r="O2035">
        <v>76</v>
      </c>
      <c r="P2035">
        <f t="shared" si="102"/>
        <v>2024</v>
      </c>
      <c r="Q2035">
        <f t="shared" si="103"/>
        <v>6</v>
      </c>
      <c r="R2035" t="str">
        <f t="shared" si="101"/>
        <v>Showmax</v>
      </c>
      <c r="S2035" t="s">
        <v>628</v>
      </c>
      <c r="T2035" s="546" t="s">
        <v>804</v>
      </c>
    </row>
    <row r="2036" spans="1:20" x14ac:dyDescent="0.3">
      <c r="A2036" t="s">
        <v>627</v>
      </c>
      <c r="B2036" s="16">
        <v>45461</v>
      </c>
      <c r="C2036" t="s">
        <v>2</v>
      </c>
      <c r="D2036" t="s">
        <v>52</v>
      </c>
      <c r="E2036" t="s">
        <v>51</v>
      </c>
      <c r="F2036">
        <v>1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1</v>
      </c>
      <c r="O2036">
        <v>0</v>
      </c>
      <c r="P2036">
        <f t="shared" si="102"/>
        <v>2024</v>
      </c>
      <c r="Q2036">
        <f t="shared" si="103"/>
        <v>6</v>
      </c>
      <c r="R2036" t="str">
        <f t="shared" si="101"/>
        <v>品牌定制</v>
      </c>
      <c r="S2036" t="s">
        <v>628</v>
      </c>
      <c r="T2036" s="546" t="s">
        <v>804</v>
      </c>
    </row>
    <row r="2037" spans="1:20" x14ac:dyDescent="0.3">
      <c r="A2037" t="s">
        <v>627</v>
      </c>
      <c r="B2037" s="16">
        <v>45461</v>
      </c>
      <c r="C2037" t="s">
        <v>2</v>
      </c>
      <c r="D2037" t="s">
        <v>52</v>
      </c>
      <c r="E2037" t="s">
        <v>59</v>
      </c>
      <c r="F2037" s="15">
        <v>1225</v>
      </c>
      <c r="G2037">
        <v>979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 s="15">
        <v>1225</v>
      </c>
      <c r="O2037">
        <v>158</v>
      </c>
      <c r="P2037">
        <f t="shared" si="102"/>
        <v>2024</v>
      </c>
      <c r="Q2037">
        <f t="shared" si="103"/>
        <v>6</v>
      </c>
      <c r="R2037" t="str">
        <f t="shared" si="101"/>
        <v>品牌特秀</v>
      </c>
      <c r="S2037" t="s">
        <v>628</v>
      </c>
      <c r="T2037" s="546" t="s">
        <v>804</v>
      </c>
    </row>
    <row r="2038" spans="1:20" x14ac:dyDescent="0.3">
      <c r="A2038" t="s">
        <v>627</v>
      </c>
      <c r="B2038" s="16">
        <v>45461</v>
      </c>
      <c r="C2038" t="s">
        <v>2</v>
      </c>
      <c r="D2038" t="s">
        <v>52</v>
      </c>
      <c r="E2038" t="s">
        <v>183</v>
      </c>
      <c r="F2038">
        <v>601</v>
      </c>
      <c r="G2038">
        <v>500</v>
      </c>
      <c r="H2038">
        <v>14</v>
      </c>
      <c r="I2038">
        <v>7</v>
      </c>
      <c r="J2038" s="15">
        <v>6035</v>
      </c>
      <c r="K2038">
        <v>3</v>
      </c>
      <c r="L2038" s="15">
        <v>6035</v>
      </c>
      <c r="M2038">
        <v>3</v>
      </c>
      <c r="N2038">
        <v>601</v>
      </c>
      <c r="O2038">
        <v>291</v>
      </c>
      <c r="P2038">
        <f t="shared" si="102"/>
        <v>2024</v>
      </c>
      <c r="Q2038">
        <f t="shared" si="103"/>
        <v>6</v>
      </c>
      <c r="R2038" t="str">
        <f t="shared" si="101"/>
        <v>品销宝-品牌专区</v>
      </c>
      <c r="S2038" t="s">
        <v>628</v>
      </c>
      <c r="T2038" s="546" t="s">
        <v>804</v>
      </c>
    </row>
    <row r="2039" spans="1:20" x14ac:dyDescent="0.3">
      <c r="A2039" t="s">
        <v>627</v>
      </c>
      <c r="B2039" s="16">
        <v>45461</v>
      </c>
      <c r="C2039" t="s">
        <v>2</v>
      </c>
      <c r="D2039" t="s">
        <v>57</v>
      </c>
      <c r="E2039" t="s">
        <v>65</v>
      </c>
      <c r="F2039" s="15">
        <v>4393</v>
      </c>
      <c r="G2039" s="15">
        <v>3832</v>
      </c>
      <c r="H2039">
        <v>142</v>
      </c>
      <c r="I2039">
        <v>41</v>
      </c>
      <c r="J2039" s="17">
        <v>258490.89</v>
      </c>
      <c r="K2039">
        <v>49</v>
      </c>
      <c r="L2039" s="17">
        <v>175867.5</v>
      </c>
      <c r="M2039">
        <v>40</v>
      </c>
      <c r="N2039">
        <v>382</v>
      </c>
      <c r="O2039" s="15">
        <v>4350</v>
      </c>
      <c r="P2039">
        <f t="shared" si="102"/>
        <v>2024</v>
      </c>
      <c r="Q2039">
        <f t="shared" si="103"/>
        <v>6</v>
      </c>
      <c r="R2039" t="str">
        <f t="shared" si="101"/>
        <v>直通车</v>
      </c>
      <c r="S2039" t="s">
        <v>628</v>
      </c>
      <c r="T2039" s="546" t="s">
        <v>804</v>
      </c>
    </row>
    <row r="2040" spans="1:20" x14ac:dyDescent="0.3">
      <c r="A2040" t="s">
        <v>627</v>
      </c>
      <c r="B2040" s="16">
        <v>45461</v>
      </c>
      <c r="C2040" t="s">
        <v>2</v>
      </c>
      <c r="D2040" t="s">
        <v>57</v>
      </c>
      <c r="E2040" t="s">
        <v>63</v>
      </c>
      <c r="F2040" s="15">
        <v>4367</v>
      </c>
      <c r="G2040" s="15">
        <v>2347</v>
      </c>
      <c r="H2040">
        <v>75</v>
      </c>
      <c r="I2040">
        <v>60</v>
      </c>
      <c r="J2040" s="15">
        <v>97526</v>
      </c>
      <c r="K2040">
        <v>24</v>
      </c>
      <c r="L2040" s="15">
        <v>48276</v>
      </c>
      <c r="M2040">
        <v>16</v>
      </c>
      <c r="N2040">
        <v>236</v>
      </c>
      <c r="O2040" s="15">
        <v>4364</v>
      </c>
      <c r="P2040">
        <f t="shared" si="102"/>
        <v>2024</v>
      </c>
      <c r="Q2040">
        <f t="shared" si="103"/>
        <v>6</v>
      </c>
      <c r="R2040" t="str">
        <f t="shared" si="101"/>
        <v>万相台</v>
      </c>
      <c r="S2040" t="s">
        <v>628</v>
      </c>
      <c r="T2040" s="546" t="s">
        <v>804</v>
      </c>
    </row>
    <row r="2041" spans="1:20" x14ac:dyDescent="0.3">
      <c r="A2041" t="s">
        <v>627</v>
      </c>
      <c r="B2041" s="16">
        <v>45461</v>
      </c>
      <c r="C2041" t="s">
        <v>2</v>
      </c>
      <c r="D2041" t="s">
        <v>57</v>
      </c>
      <c r="E2041" t="s">
        <v>64</v>
      </c>
      <c r="F2041" s="15">
        <v>12288</v>
      </c>
      <c r="G2041" s="15">
        <v>5870</v>
      </c>
      <c r="H2041">
        <v>25</v>
      </c>
      <c r="I2041">
        <v>30</v>
      </c>
      <c r="J2041" s="15">
        <v>4695</v>
      </c>
      <c r="K2041">
        <v>1</v>
      </c>
      <c r="L2041">
        <v>0</v>
      </c>
      <c r="M2041">
        <v>0</v>
      </c>
      <c r="N2041">
        <v>248</v>
      </c>
      <c r="O2041" s="15">
        <v>12276</v>
      </c>
      <c r="P2041">
        <f t="shared" si="102"/>
        <v>2024</v>
      </c>
      <c r="Q2041">
        <f t="shared" si="103"/>
        <v>6</v>
      </c>
      <c r="R2041" t="str">
        <f t="shared" si="101"/>
        <v>引力魔方</v>
      </c>
      <c r="S2041" t="s">
        <v>628</v>
      </c>
      <c r="T2041" s="546" t="s">
        <v>804</v>
      </c>
    </row>
    <row r="2042" spans="1:20" x14ac:dyDescent="0.3">
      <c r="A2042" t="s">
        <v>627</v>
      </c>
      <c r="B2042" s="16">
        <v>45461</v>
      </c>
      <c r="C2042" t="s">
        <v>2</v>
      </c>
      <c r="D2042" t="s">
        <v>4</v>
      </c>
      <c r="E2042" t="s">
        <v>41</v>
      </c>
      <c r="F2042">
        <v>3</v>
      </c>
      <c r="G2042">
        <v>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</v>
      </c>
      <c r="O2042">
        <v>1</v>
      </c>
      <c r="P2042">
        <f t="shared" si="102"/>
        <v>2024</v>
      </c>
      <c r="Q2042">
        <f t="shared" si="103"/>
        <v>6</v>
      </c>
      <c r="R2042" t="str">
        <f t="shared" si="101"/>
        <v>流量宝</v>
      </c>
      <c r="S2042" t="s">
        <v>628</v>
      </c>
      <c r="T2042" s="546" t="s">
        <v>804</v>
      </c>
    </row>
    <row r="2043" spans="1:20" x14ac:dyDescent="0.3">
      <c r="A2043" t="s">
        <v>627</v>
      </c>
      <c r="B2043" s="16">
        <v>45461</v>
      </c>
      <c r="C2043" t="s">
        <v>2</v>
      </c>
      <c r="D2043" t="s">
        <v>4</v>
      </c>
      <c r="E2043" t="s">
        <v>43</v>
      </c>
      <c r="F2043">
        <v>953</v>
      </c>
      <c r="G2043">
        <v>168</v>
      </c>
      <c r="H2043">
        <v>6</v>
      </c>
      <c r="I2043">
        <v>1</v>
      </c>
      <c r="J2043" s="15">
        <v>32434</v>
      </c>
      <c r="K2043">
        <v>9</v>
      </c>
      <c r="L2043" s="15">
        <v>30936</v>
      </c>
      <c r="M2043">
        <v>8</v>
      </c>
      <c r="N2043">
        <v>21</v>
      </c>
      <c r="O2043">
        <v>936</v>
      </c>
      <c r="P2043">
        <f t="shared" si="102"/>
        <v>2024</v>
      </c>
      <c r="Q2043">
        <f t="shared" si="103"/>
        <v>6</v>
      </c>
      <c r="R2043" t="str">
        <f t="shared" si="101"/>
        <v>淘宝客</v>
      </c>
      <c r="S2043" t="s">
        <v>628</v>
      </c>
      <c r="T2043" s="546" t="s">
        <v>804</v>
      </c>
    </row>
    <row r="2044" spans="1:20" x14ac:dyDescent="0.3">
      <c r="A2044" t="s">
        <v>627</v>
      </c>
      <c r="B2044" s="16">
        <v>45462</v>
      </c>
      <c r="C2044" t="s">
        <v>3</v>
      </c>
      <c r="D2044" t="s">
        <v>114</v>
      </c>
      <c r="E2044" t="s">
        <v>159</v>
      </c>
      <c r="F2044">
        <v>87</v>
      </c>
      <c r="G2044">
        <v>45</v>
      </c>
      <c r="H2044">
        <v>3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13</v>
      </c>
      <c r="O2044">
        <v>80</v>
      </c>
      <c r="P2044">
        <f t="shared" si="102"/>
        <v>2024</v>
      </c>
      <c r="Q2044">
        <f t="shared" si="103"/>
        <v>6</v>
      </c>
      <c r="R2044" t="str">
        <f t="shared" si="101"/>
        <v>主会场</v>
      </c>
      <c r="S2044" t="s">
        <v>628</v>
      </c>
      <c r="T2044" s="546" t="s">
        <v>804</v>
      </c>
    </row>
    <row r="2045" spans="1:20" x14ac:dyDescent="0.3">
      <c r="A2045" t="s">
        <v>627</v>
      </c>
      <c r="B2045" s="16">
        <v>45462</v>
      </c>
      <c r="C2045" t="s">
        <v>3</v>
      </c>
      <c r="D2045" t="s">
        <v>120</v>
      </c>
      <c r="E2045" t="s">
        <v>163</v>
      </c>
      <c r="F2045">
        <v>73</v>
      </c>
      <c r="G2045">
        <v>33</v>
      </c>
      <c r="H2045">
        <v>0</v>
      </c>
      <c r="I2045">
        <v>0</v>
      </c>
      <c r="J2045" s="15">
        <v>3425</v>
      </c>
      <c r="K2045">
        <v>1</v>
      </c>
      <c r="L2045" s="15">
        <v>3425</v>
      </c>
      <c r="M2045">
        <v>1</v>
      </c>
      <c r="N2045">
        <v>15</v>
      </c>
      <c r="O2045">
        <v>71</v>
      </c>
      <c r="P2045">
        <f t="shared" si="102"/>
        <v>2024</v>
      </c>
      <c r="Q2045">
        <f t="shared" si="103"/>
        <v>6</v>
      </c>
      <c r="R2045" t="str">
        <f t="shared" si="101"/>
        <v>手猫免费其他</v>
      </c>
      <c r="S2045" t="s">
        <v>628</v>
      </c>
      <c r="T2045" s="546" t="s">
        <v>804</v>
      </c>
    </row>
    <row r="2046" spans="1:20" x14ac:dyDescent="0.3">
      <c r="A2046" t="s">
        <v>627</v>
      </c>
      <c r="B2046" s="16">
        <v>45462</v>
      </c>
      <c r="C2046" t="s">
        <v>3</v>
      </c>
      <c r="D2046" t="s">
        <v>120</v>
      </c>
      <c r="E2046" t="s">
        <v>164</v>
      </c>
      <c r="F2046">
        <v>6</v>
      </c>
      <c r="G2046">
        <v>4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6</v>
      </c>
      <c r="P2046">
        <f t="shared" si="102"/>
        <v>2024</v>
      </c>
      <c r="Q2046">
        <f t="shared" si="103"/>
        <v>6</v>
      </c>
      <c r="R2046" t="str">
        <f t="shared" si="101"/>
        <v>手猫其他店铺</v>
      </c>
      <c r="S2046" t="s">
        <v>628</v>
      </c>
      <c r="T2046" s="546" t="s">
        <v>804</v>
      </c>
    </row>
    <row r="2047" spans="1:20" x14ac:dyDescent="0.3">
      <c r="A2047" t="s">
        <v>627</v>
      </c>
      <c r="B2047" s="16">
        <v>45462</v>
      </c>
      <c r="C2047" t="s">
        <v>3</v>
      </c>
      <c r="D2047" t="s">
        <v>120</v>
      </c>
      <c r="E2047" t="s">
        <v>165</v>
      </c>
      <c r="F2047">
        <v>20</v>
      </c>
      <c r="G2047">
        <v>11</v>
      </c>
      <c r="H2047">
        <v>0</v>
      </c>
      <c r="I2047">
        <v>0</v>
      </c>
      <c r="J2047" s="15">
        <v>4645</v>
      </c>
      <c r="K2047">
        <v>1</v>
      </c>
      <c r="L2047" s="15">
        <v>4645</v>
      </c>
      <c r="M2047">
        <v>1</v>
      </c>
      <c r="N2047">
        <v>1</v>
      </c>
      <c r="O2047">
        <v>18</v>
      </c>
      <c r="P2047">
        <f t="shared" si="102"/>
        <v>2024</v>
      </c>
      <c r="Q2047">
        <f t="shared" si="103"/>
        <v>6</v>
      </c>
      <c r="R2047" t="str">
        <f t="shared" si="101"/>
        <v>手猫商品详情</v>
      </c>
      <c r="S2047" t="s">
        <v>628</v>
      </c>
      <c r="T2047" s="546" t="s">
        <v>804</v>
      </c>
    </row>
    <row r="2048" spans="1:20" x14ac:dyDescent="0.3">
      <c r="A2048" t="s">
        <v>627</v>
      </c>
      <c r="B2048" s="16">
        <v>45462</v>
      </c>
      <c r="C2048" t="s">
        <v>3</v>
      </c>
      <c r="D2048" t="s">
        <v>120</v>
      </c>
      <c r="E2048" t="s">
        <v>166</v>
      </c>
      <c r="F2048">
        <v>60</v>
      </c>
      <c r="G2048">
        <v>41</v>
      </c>
      <c r="H2048">
        <v>2</v>
      </c>
      <c r="I2048">
        <v>0</v>
      </c>
      <c r="J2048" s="15">
        <v>1303</v>
      </c>
      <c r="K2048">
        <v>1</v>
      </c>
      <c r="L2048" s="15">
        <v>1303</v>
      </c>
      <c r="M2048">
        <v>1</v>
      </c>
      <c r="N2048">
        <v>16</v>
      </c>
      <c r="O2048">
        <v>55</v>
      </c>
      <c r="P2048">
        <f t="shared" si="102"/>
        <v>2024</v>
      </c>
      <c r="Q2048">
        <f t="shared" si="103"/>
        <v>6</v>
      </c>
      <c r="R2048" t="str">
        <f t="shared" si="101"/>
        <v>手猫搜索</v>
      </c>
      <c r="S2048" t="s">
        <v>628</v>
      </c>
      <c r="T2048" s="546" t="s">
        <v>804</v>
      </c>
    </row>
    <row r="2049" spans="1:20" x14ac:dyDescent="0.3">
      <c r="A2049" t="s">
        <v>627</v>
      </c>
      <c r="B2049" s="16">
        <v>45462</v>
      </c>
      <c r="C2049" t="s">
        <v>3</v>
      </c>
      <c r="D2049" t="s">
        <v>120</v>
      </c>
      <c r="E2049" t="s">
        <v>167</v>
      </c>
      <c r="F2049">
        <v>1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1</v>
      </c>
      <c r="P2049">
        <f t="shared" si="102"/>
        <v>2024</v>
      </c>
      <c r="Q2049">
        <f t="shared" si="103"/>
        <v>6</v>
      </c>
      <c r="R2049" t="str">
        <f t="shared" si="101"/>
        <v>手猫旺信聊天</v>
      </c>
      <c r="S2049" t="s">
        <v>628</v>
      </c>
      <c r="T2049" s="546" t="s">
        <v>804</v>
      </c>
    </row>
    <row r="2050" spans="1:20" x14ac:dyDescent="0.3">
      <c r="A2050" t="s">
        <v>627</v>
      </c>
      <c r="B2050" s="16">
        <v>45462</v>
      </c>
      <c r="C2050" t="s">
        <v>3</v>
      </c>
      <c r="D2050" t="s">
        <v>120</v>
      </c>
      <c r="E2050" t="s">
        <v>168</v>
      </c>
      <c r="F2050">
        <v>302</v>
      </c>
      <c r="G2050">
        <v>166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7</v>
      </c>
      <c r="O2050">
        <v>302</v>
      </c>
      <c r="P2050">
        <f t="shared" si="102"/>
        <v>2024</v>
      </c>
      <c r="Q2050">
        <f t="shared" si="103"/>
        <v>6</v>
      </c>
      <c r="R2050" t="str">
        <f t="shared" si="101"/>
        <v>手猫首页</v>
      </c>
      <c r="S2050" t="s">
        <v>628</v>
      </c>
      <c r="T2050" s="546" t="s">
        <v>804</v>
      </c>
    </row>
    <row r="2051" spans="1:20" x14ac:dyDescent="0.3">
      <c r="A2051" t="s">
        <v>627</v>
      </c>
      <c r="B2051" s="16">
        <v>45462</v>
      </c>
      <c r="C2051" t="s">
        <v>3</v>
      </c>
      <c r="D2051" t="s">
        <v>123</v>
      </c>
      <c r="E2051" t="s">
        <v>169</v>
      </c>
      <c r="F2051">
        <v>87</v>
      </c>
      <c r="G2051">
        <v>37</v>
      </c>
      <c r="H2051">
        <v>3</v>
      </c>
      <c r="I2051">
        <v>0</v>
      </c>
      <c r="J2051" s="17">
        <v>3138.99</v>
      </c>
      <c r="K2051">
        <v>2</v>
      </c>
      <c r="L2051" s="17">
        <v>3138.99</v>
      </c>
      <c r="M2051">
        <v>2</v>
      </c>
      <c r="N2051">
        <v>18</v>
      </c>
      <c r="O2051">
        <v>75</v>
      </c>
      <c r="P2051">
        <f t="shared" si="102"/>
        <v>2024</v>
      </c>
      <c r="Q2051">
        <f t="shared" si="103"/>
        <v>6</v>
      </c>
      <c r="R2051" t="str">
        <f t="shared" si="101"/>
        <v>商品详情页头图推荐</v>
      </c>
      <c r="S2051" t="s">
        <v>628</v>
      </c>
      <c r="T2051" s="546" t="s">
        <v>804</v>
      </c>
    </row>
    <row r="2052" spans="1:20" x14ac:dyDescent="0.3">
      <c r="A2052" t="s">
        <v>627</v>
      </c>
      <c r="B2052" s="16">
        <v>45462</v>
      </c>
      <c r="C2052" t="s">
        <v>3</v>
      </c>
      <c r="D2052" t="s">
        <v>123</v>
      </c>
      <c r="E2052" t="s">
        <v>170</v>
      </c>
      <c r="F2052">
        <v>20</v>
      </c>
      <c r="G2052">
        <v>14</v>
      </c>
      <c r="H2052">
        <v>2</v>
      </c>
      <c r="I2052">
        <v>0</v>
      </c>
      <c r="J2052" s="15">
        <v>5390</v>
      </c>
      <c r="K2052">
        <v>1</v>
      </c>
      <c r="L2052" s="15">
        <v>2695</v>
      </c>
      <c r="M2052">
        <v>1</v>
      </c>
      <c r="N2052">
        <v>17</v>
      </c>
      <c r="O2052">
        <v>8</v>
      </c>
      <c r="P2052">
        <f t="shared" si="102"/>
        <v>2024</v>
      </c>
      <c r="Q2052">
        <f t="shared" si="103"/>
        <v>6</v>
      </c>
      <c r="R2052" t="str">
        <f t="shared" si="101"/>
        <v>店铺超链</v>
      </c>
      <c r="S2052" t="s">
        <v>628</v>
      </c>
      <c r="T2052" s="546" t="s">
        <v>804</v>
      </c>
    </row>
    <row r="2053" spans="1:20" x14ac:dyDescent="0.3">
      <c r="A2053" t="s">
        <v>627</v>
      </c>
      <c r="B2053" s="16">
        <v>45462</v>
      </c>
      <c r="C2053" t="s">
        <v>3</v>
      </c>
      <c r="D2053" t="s">
        <v>127</v>
      </c>
      <c r="E2053" t="s">
        <v>171</v>
      </c>
      <c r="F2053">
        <v>189</v>
      </c>
      <c r="G2053">
        <v>89</v>
      </c>
      <c r="H2053">
        <v>4</v>
      </c>
      <c r="I2053">
        <v>2</v>
      </c>
      <c r="J2053" s="15">
        <v>5175</v>
      </c>
      <c r="K2053">
        <v>2</v>
      </c>
      <c r="L2053" s="15">
        <v>5175</v>
      </c>
      <c r="M2053">
        <v>2</v>
      </c>
      <c r="N2053">
        <v>54</v>
      </c>
      <c r="O2053">
        <v>152</v>
      </c>
      <c r="P2053">
        <f t="shared" si="102"/>
        <v>2024</v>
      </c>
      <c r="Q2053">
        <f t="shared" si="103"/>
        <v>6</v>
      </c>
      <c r="R2053" t="str">
        <f t="shared" si="101"/>
        <v>其他猜你喜欢</v>
      </c>
      <c r="S2053" t="s">
        <v>628</v>
      </c>
      <c r="T2053" s="546" t="s">
        <v>804</v>
      </c>
    </row>
    <row r="2054" spans="1:20" x14ac:dyDescent="0.3">
      <c r="A2054" t="s">
        <v>627</v>
      </c>
      <c r="B2054" s="16">
        <v>45462</v>
      </c>
      <c r="C2054" t="s">
        <v>3</v>
      </c>
      <c r="D2054" t="s">
        <v>127</v>
      </c>
      <c r="E2054" t="s">
        <v>172</v>
      </c>
      <c r="F2054">
        <v>8</v>
      </c>
      <c r="G2054">
        <v>4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5</v>
      </c>
      <c r="P2054">
        <f t="shared" si="102"/>
        <v>2024</v>
      </c>
      <c r="Q2054">
        <f t="shared" si="103"/>
        <v>6</v>
      </c>
      <c r="R2054" t="str">
        <f t="shared" si="101"/>
        <v>购中推荐</v>
      </c>
      <c r="S2054" t="s">
        <v>628</v>
      </c>
      <c r="T2054" s="546" t="s">
        <v>804</v>
      </c>
    </row>
    <row r="2055" spans="1:20" x14ac:dyDescent="0.3">
      <c r="A2055" t="s">
        <v>627</v>
      </c>
      <c r="B2055" s="16">
        <v>45462</v>
      </c>
      <c r="C2055" t="s">
        <v>3</v>
      </c>
      <c r="D2055" t="s">
        <v>127</v>
      </c>
      <c r="E2055" t="s">
        <v>173</v>
      </c>
      <c r="F2055">
        <v>46</v>
      </c>
      <c r="G2055">
        <v>29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  <c r="O2055">
        <v>39</v>
      </c>
      <c r="P2055">
        <f t="shared" si="102"/>
        <v>2024</v>
      </c>
      <c r="Q2055">
        <f t="shared" si="103"/>
        <v>6</v>
      </c>
      <c r="R2055" t="str">
        <f t="shared" ref="R2055:R2118" si="104">E2055</f>
        <v>购后推荐</v>
      </c>
      <c r="S2055" t="s">
        <v>628</v>
      </c>
      <c r="T2055" s="546" t="s">
        <v>804</v>
      </c>
    </row>
    <row r="2056" spans="1:20" x14ac:dyDescent="0.3">
      <c r="A2056" t="s">
        <v>627</v>
      </c>
      <c r="B2056" s="16">
        <v>45462</v>
      </c>
      <c r="C2056" t="s">
        <v>3</v>
      </c>
      <c r="D2056" t="s">
        <v>127</v>
      </c>
      <c r="E2056" t="s">
        <v>174</v>
      </c>
      <c r="F2056" s="15">
        <v>1396</v>
      </c>
      <c r="G2056">
        <v>784</v>
      </c>
      <c r="H2056">
        <v>38</v>
      </c>
      <c r="I2056">
        <v>4</v>
      </c>
      <c r="J2056" s="15">
        <v>12088</v>
      </c>
      <c r="K2056">
        <v>6</v>
      </c>
      <c r="L2056" s="15">
        <v>5355</v>
      </c>
      <c r="M2056">
        <v>2</v>
      </c>
      <c r="N2056">
        <v>118</v>
      </c>
      <c r="O2056" s="15">
        <v>1396</v>
      </c>
      <c r="P2056">
        <f t="shared" si="102"/>
        <v>2024</v>
      </c>
      <c r="Q2056">
        <f t="shared" si="103"/>
        <v>6</v>
      </c>
      <c r="R2056" t="str">
        <f t="shared" si="104"/>
        <v>首页推荐-微详情</v>
      </c>
      <c r="S2056" t="s">
        <v>628</v>
      </c>
      <c r="T2056" s="546" t="s">
        <v>804</v>
      </c>
    </row>
    <row r="2057" spans="1:20" x14ac:dyDescent="0.3">
      <c r="A2057" t="s">
        <v>627</v>
      </c>
      <c r="B2057" s="16">
        <v>45462</v>
      </c>
      <c r="C2057" t="s">
        <v>3</v>
      </c>
      <c r="D2057" t="s">
        <v>127</v>
      </c>
      <c r="E2057" t="s">
        <v>175</v>
      </c>
      <c r="F2057">
        <v>289</v>
      </c>
      <c r="G2057">
        <v>186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2</v>
      </c>
      <c r="P2057">
        <f t="shared" si="102"/>
        <v>2024</v>
      </c>
      <c r="Q2057">
        <f t="shared" si="103"/>
        <v>6</v>
      </c>
      <c r="R2057" t="str">
        <f t="shared" si="104"/>
        <v>首页推荐-直播</v>
      </c>
      <c r="S2057" t="s">
        <v>628</v>
      </c>
      <c r="T2057" s="546" t="s">
        <v>804</v>
      </c>
    </row>
    <row r="2058" spans="1:20" x14ac:dyDescent="0.3">
      <c r="A2058" t="s">
        <v>627</v>
      </c>
      <c r="B2058" s="16">
        <v>45462</v>
      </c>
      <c r="C2058" t="s">
        <v>3</v>
      </c>
      <c r="D2058" t="s">
        <v>127</v>
      </c>
      <c r="E2058" t="s">
        <v>176</v>
      </c>
      <c r="F2058">
        <v>50</v>
      </c>
      <c r="G2058">
        <v>27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1</v>
      </c>
      <c r="P2058">
        <f t="shared" si="102"/>
        <v>2024</v>
      </c>
      <c r="Q2058">
        <f t="shared" si="103"/>
        <v>6</v>
      </c>
      <c r="R2058" t="str">
        <f t="shared" si="104"/>
        <v>首页推荐-短视频</v>
      </c>
      <c r="S2058" t="s">
        <v>628</v>
      </c>
      <c r="T2058" s="546" t="s">
        <v>804</v>
      </c>
    </row>
    <row r="2059" spans="1:20" x14ac:dyDescent="0.3">
      <c r="A2059" t="s">
        <v>627</v>
      </c>
      <c r="B2059" s="16">
        <v>45462</v>
      </c>
      <c r="C2059" t="s">
        <v>3</v>
      </c>
      <c r="D2059" t="s">
        <v>128</v>
      </c>
      <c r="E2059" t="s">
        <v>177</v>
      </c>
      <c r="F2059">
        <v>808</v>
      </c>
      <c r="G2059">
        <v>617</v>
      </c>
      <c r="H2059">
        <v>91</v>
      </c>
      <c r="I2059">
        <v>10</v>
      </c>
      <c r="J2059" s="17">
        <v>119566.79</v>
      </c>
      <c r="K2059">
        <v>34</v>
      </c>
      <c r="L2059" s="17">
        <v>85170.29</v>
      </c>
      <c r="M2059">
        <v>28</v>
      </c>
      <c r="N2059">
        <v>204</v>
      </c>
      <c r="O2059">
        <v>736</v>
      </c>
      <c r="P2059">
        <f t="shared" si="102"/>
        <v>2024</v>
      </c>
      <c r="Q2059">
        <f t="shared" si="103"/>
        <v>6</v>
      </c>
      <c r="R2059" t="str">
        <f t="shared" si="104"/>
        <v>手淘搜索-商品及其他</v>
      </c>
      <c r="S2059" t="s">
        <v>628</v>
      </c>
      <c r="T2059" s="546" t="s">
        <v>804</v>
      </c>
    </row>
    <row r="2060" spans="1:20" x14ac:dyDescent="0.3">
      <c r="A2060" t="s">
        <v>627</v>
      </c>
      <c r="B2060" s="16">
        <v>45462</v>
      </c>
      <c r="C2060" t="s">
        <v>3</v>
      </c>
      <c r="D2060" t="s">
        <v>128</v>
      </c>
      <c r="E2060" t="s">
        <v>178</v>
      </c>
      <c r="F2060">
        <v>4</v>
      </c>
      <c r="G2060">
        <v>3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1</v>
      </c>
      <c r="O2060">
        <v>4</v>
      </c>
      <c r="P2060">
        <f t="shared" si="102"/>
        <v>2024</v>
      </c>
      <c r="Q2060">
        <f t="shared" si="103"/>
        <v>6</v>
      </c>
      <c r="R2060" t="str">
        <f t="shared" si="104"/>
        <v>手淘搜索-直播</v>
      </c>
      <c r="S2060" t="s">
        <v>628</v>
      </c>
      <c r="T2060" s="546" t="s">
        <v>804</v>
      </c>
    </row>
    <row r="2061" spans="1:20" x14ac:dyDescent="0.3">
      <c r="A2061" t="s">
        <v>627</v>
      </c>
      <c r="B2061" s="16">
        <v>45462</v>
      </c>
      <c r="C2061" t="s">
        <v>3</v>
      </c>
      <c r="D2061" t="s">
        <v>128</v>
      </c>
      <c r="E2061" t="s">
        <v>179</v>
      </c>
      <c r="F2061">
        <v>16</v>
      </c>
      <c r="G2061">
        <v>10</v>
      </c>
      <c r="H2061">
        <v>1</v>
      </c>
      <c r="I2061">
        <v>0</v>
      </c>
      <c r="J2061" s="15">
        <v>1398</v>
      </c>
      <c r="K2061">
        <v>1</v>
      </c>
      <c r="L2061">
        <v>0</v>
      </c>
      <c r="M2061">
        <v>0</v>
      </c>
      <c r="N2061">
        <v>3</v>
      </c>
      <c r="O2061">
        <v>3</v>
      </c>
      <c r="P2061">
        <f t="shared" si="102"/>
        <v>2024</v>
      </c>
      <c r="Q2061">
        <f t="shared" si="103"/>
        <v>6</v>
      </c>
      <c r="R2061" t="str">
        <f t="shared" si="104"/>
        <v>手淘搜索-短视频</v>
      </c>
      <c r="S2061" t="s">
        <v>628</v>
      </c>
      <c r="T2061" s="546" t="s">
        <v>804</v>
      </c>
    </row>
    <row r="2062" spans="1:20" x14ac:dyDescent="0.3">
      <c r="A2062" t="s">
        <v>627</v>
      </c>
      <c r="B2062" s="16">
        <v>45462</v>
      </c>
      <c r="C2062" t="s">
        <v>3</v>
      </c>
      <c r="D2062" t="s">
        <v>143</v>
      </c>
      <c r="E2062" t="s">
        <v>180</v>
      </c>
      <c r="F2062">
        <v>4</v>
      </c>
      <c r="G2062">
        <v>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</v>
      </c>
      <c r="O2062">
        <v>4</v>
      </c>
      <c r="P2062">
        <f t="shared" si="102"/>
        <v>2024</v>
      </c>
      <c r="Q2062">
        <f t="shared" si="103"/>
        <v>6</v>
      </c>
      <c r="R2062" t="str">
        <f t="shared" si="104"/>
        <v>淘特其他渠道</v>
      </c>
      <c r="S2062" t="s">
        <v>628</v>
      </c>
      <c r="T2062" s="546" t="s">
        <v>804</v>
      </c>
    </row>
    <row r="2063" spans="1:20" x14ac:dyDescent="0.3">
      <c r="A2063" t="s">
        <v>627</v>
      </c>
      <c r="B2063" s="16">
        <v>45462</v>
      </c>
      <c r="C2063" t="s">
        <v>2</v>
      </c>
      <c r="D2063" t="s">
        <v>55</v>
      </c>
      <c r="E2063" t="s">
        <v>54</v>
      </c>
      <c r="F2063" s="15">
        <v>9431</v>
      </c>
      <c r="G2063" s="15">
        <v>7987</v>
      </c>
      <c r="H2063">
        <v>3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38</v>
      </c>
      <c r="O2063" s="15">
        <v>5367</v>
      </c>
      <c r="P2063">
        <f t="shared" si="102"/>
        <v>2024</v>
      </c>
      <c r="Q2063">
        <f t="shared" si="103"/>
        <v>6</v>
      </c>
      <c r="R2063" t="str">
        <f t="shared" si="104"/>
        <v>超级直播</v>
      </c>
      <c r="S2063" t="s">
        <v>628</v>
      </c>
      <c r="T2063" s="546" t="s">
        <v>804</v>
      </c>
    </row>
    <row r="2064" spans="1:20" x14ac:dyDescent="0.3">
      <c r="A2064" t="s">
        <v>627</v>
      </c>
      <c r="B2064" s="16">
        <v>45462</v>
      </c>
      <c r="C2064" t="s">
        <v>2</v>
      </c>
      <c r="D2064" t="s">
        <v>55</v>
      </c>
      <c r="E2064" t="s">
        <v>56</v>
      </c>
      <c r="F2064" s="15">
        <v>5593</v>
      </c>
      <c r="G2064" s="15">
        <v>3612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6</v>
      </c>
      <c r="O2064">
        <v>180</v>
      </c>
      <c r="P2064">
        <f t="shared" si="102"/>
        <v>2024</v>
      </c>
      <c r="Q2064">
        <f t="shared" si="103"/>
        <v>6</v>
      </c>
      <c r="R2064" t="str">
        <f t="shared" si="104"/>
        <v>超级短视频</v>
      </c>
      <c r="S2064" t="s">
        <v>628</v>
      </c>
      <c r="T2064" s="546" t="s">
        <v>804</v>
      </c>
    </row>
    <row r="2065" spans="1:20" x14ac:dyDescent="0.3">
      <c r="A2065" t="s">
        <v>627</v>
      </c>
      <c r="B2065" s="16">
        <v>45462</v>
      </c>
      <c r="C2065" t="s">
        <v>2</v>
      </c>
      <c r="D2065" t="s">
        <v>52</v>
      </c>
      <c r="E2065" t="s">
        <v>53</v>
      </c>
      <c r="F2065" s="15">
        <v>1192</v>
      </c>
      <c r="G2065" s="15">
        <v>1011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 s="15">
        <v>1192</v>
      </c>
      <c r="O2065">
        <v>116</v>
      </c>
      <c r="P2065">
        <f t="shared" si="102"/>
        <v>2024</v>
      </c>
      <c r="Q2065">
        <f t="shared" si="103"/>
        <v>6</v>
      </c>
      <c r="R2065" t="str">
        <f t="shared" si="104"/>
        <v>Showmax</v>
      </c>
      <c r="S2065" t="s">
        <v>628</v>
      </c>
      <c r="T2065" s="546" t="s">
        <v>804</v>
      </c>
    </row>
    <row r="2066" spans="1:20" x14ac:dyDescent="0.3">
      <c r="A2066" t="s">
        <v>627</v>
      </c>
      <c r="B2066" s="16">
        <v>45462</v>
      </c>
      <c r="C2066" t="s">
        <v>2</v>
      </c>
      <c r="D2066" t="s">
        <v>52</v>
      </c>
      <c r="E2066" t="s">
        <v>59</v>
      </c>
      <c r="F2066">
        <v>947</v>
      </c>
      <c r="G2066">
        <v>764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947</v>
      </c>
      <c r="O2066">
        <v>122</v>
      </c>
      <c r="P2066">
        <f t="shared" si="102"/>
        <v>2024</v>
      </c>
      <c r="Q2066">
        <f t="shared" si="103"/>
        <v>6</v>
      </c>
      <c r="R2066" t="str">
        <f t="shared" si="104"/>
        <v>品牌特秀</v>
      </c>
      <c r="S2066" t="s">
        <v>628</v>
      </c>
      <c r="T2066" s="546" t="s">
        <v>804</v>
      </c>
    </row>
    <row r="2067" spans="1:20" x14ac:dyDescent="0.3">
      <c r="A2067" t="s">
        <v>627</v>
      </c>
      <c r="B2067" s="16">
        <v>45462</v>
      </c>
      <c r="C2067" t="s">
        <v>2</v>
      </c>
      <c r="D2067" t="s">
        <v>52</v>
      </c>
      <c r="E2067" t="s">
        <v>183</v>
      </c>
      <c r="F2067">
        <v>478</v>
      </c>
      <c r="G2067">
        <v>405</v>
      </c>
      <c r="H2067">
        <v>15</v>
      </c>
      <c r="I2067">
        <v>2</v>
      </c>
      <c r="J2067" s="15">
        <v>3598</v>
      </c>
      <c r="K2067">
        <v>3</v>
      </c>
      <c r="L2067" s="15">
        <v>2778</v>
      </c>
      <c r="M2067">
        <v>2</v>
      </c>
      <c r="N2067">
        <v>478</v>
      </c>
      <c r="O2067">
        <v>236</v>
      </c>
      <c r="P2067">
        <f t="shared" si="102"/>
        <v>2024</v>
      </c>
      <c r="Q2067">
        <f t="shared" si="103"/>
        <v>6</v>
      </c>
      <c r="R2067" t="str">
        <f t="shared" si="104"/>
        <v>品销宝-品牌专区</v>
      </c>
      <c r="S2067" t="s">
        <v>628</v>
      </c>
      <c r="T2067" s="546" t="s">
        <v>804</v>
      </c>
    </row>
    <row r="2068" spans="1:20" x14ac:dyDescent="0.3">
      <c r="A2068" t="s">
        <v>627</v>
      </c>
      <c r="B2068" s="16">
        <v>45462</v>
      </c>
      <c r="C2068" t="s">
        <v>2</v>
      </c>
      <c r="D2068" t="s">
        <v>57</v>
      </c>
      <c r="E2068" t="s">
        <v>65</v>
      </c>
      <c r="F2068" s="15">
        <v>2431</v>
      </c>
      <c r="G2068" s="15">
        <v>2062</v>
      </c>
      <c r="H2068">
        <v>75</v>
      </c>
      <c r="I2068">
        <v>24</v>
      </c>
      <c r="J2068" s="15">
        <v>117459</v>
      </c>
      <c r="K2068">
        <v>23</v>
      </c>
      <c r="L2068" s="15">
        <v>85469</v>
      </c>
      <c r="M2068">
        <v>19</v>
      </c>
      <c r="N2068">
        <v>230</v>
      </c>
      <c r="O2068" s="15">
        <v>2399</v>
      </c>
      <c r="P2068">
        <f t="shared" si="102"/>
        <v>2024</v>
      </c>
      <c r="Q2068">
        <f t="shared" si="103"/>
        <v>6</v>
      </c>
      <c r="R2068" t="str">
        <f t="shared" si="104"/>
        <v>直通车</v>
      </c>
      <c r="S2068" t="s">
        <v>628</v>
      </c>
      <c r="T2068" s="546" t="s">
        <v>804</v>
      </c>
    </row>
    <row r="2069" spans="1:20" x14ac:dyDescent="0.3">
      <c r="A2069" t="s">
        <v>627</v>
      </c>
      <c r="B2069" s="16">
        <v>45462</v>
      </c>
      <c r="C2069" t="s">
        <v>2</v>
      </c>
      <c r="D2069" t="s">
        <v>57</v>
      </c>
      <c r="E2069" t="s">
        <v>63</v>
      </c>
      <c r="F2069" s="15">
        <v>4292</v>
      </c>
      <c r="G2069" s="15">
        <v>2161</v>
      </c>
      <c r="H2069">
        <v>83</v>
      </c>
      <c r="I2069">
        <v>55</v>
      </c>
      <c r="J2069" s="15">
        <v>66218</v>
      </c>
      <c r="K2069">
        <v>20</v>
      </c>
      <c r="L2069" s="15">
        <v>39915</v>
      </c>
      <c r="M2069">
        <v>16</v>
      </c>
      <c r="N2069">
        <v>256</v>
      </c>
      <c r="O2069" s="15">
        <v>4290</v>
      </c>
      <c r="P2069">
        <f t="shared" ref="P2069:P2132" si="105">YEAR(B2069)</f>
        <v>2024</v>
      </c>
      <c r="Q2069">
        <f t="shared" ref="Q2069:Q2132" si="106">MONTH(B2069)</f>
        <v>6</v>
      </c>
      <c r="R2069" t="str">
        <f t="shared" si="104"/>
        <v>万相台</v>
      </c>
      <c r="S2069" t="s">
        <v>628</v>
      </c>
      <c r="T2069" s="546" t="s">
        <v>804</v>
      </c>
    </row>
    <row r="2070" spans="1:20" x14ac:dyDescent="0.3">
      <c r="A2070" t="s">
        <v>627</v>
      </c>
      <c r="B2070" s="16">
        <v>45462</v>
      </c>
      <c r="C2070" t="s">
        <v>2</v>
      </c>
      <c r="D2070" t="s">
        <v>57</v>
      </c>
      <c r="E2070" t="s">
        <v>64</v>
      </c>
      <c r="F2070" s="15">
        <v>11160</v>
      </c>
      <c r="G2070" s="15">
        <v>5368</v>
      </c>
      <c r="H2070">
        <v>19</v>
      </c>
      <c r="I2070">
        <v>37</v>
      </c>
      <c r="J2070" s="15">
        <v>8636</v>
      </c>
      <c r="K2070">
        <v>4</v>
      </c>
      <c r="L2070" s="15">
        <v>7139</v>
      </c>
      <c r="M2070">
        <v>4</v>
      </c>
      <c r="N2070">
        <v>220</v>
      </c>
      <c r="O2070" s="15">
        <v>11154</v>
      </c>
      <c r="P2070">
        <f t="shared" si="105"/>
        <v>2024</v>
      </c>
      <c r="Q2070">
        <f t="shared" si="106"/>
        <v>6</v>
      </c>
      <c r="R2070" t="str">
        <f t="shared" si="104"/>
        <v>引力魔方</v>
      </c>
      <c r="S2070" t="s">
        <v>628</v>
      </c>
      <c r="T2070" s="546" t="s">
        <v>804</v>
      </c>
    </row>
    <row r="2071" spans="1:20" x14ac:dyDescent="0.3">
      <c r="A2071" t="s">
        <v>627</v>
      </c>
      <c r="B2071" s="16">
        <v>45462</v>
      </c>
      <c r="C2071" t="s">
        <v>2</v>
      </c>
      <c r="D2071" t="s">
        <v>4</v>
      </c>
      <c r="E2071" t="s">
        <v>41</v>
      </c>
      <c r="F2071">
        <v>3</v>
      </c>
      <c r="G2071">
        <v>2</v>
      </c>
      <c r="H2071">
        <v>0</v>
      </c>
      <c r="I2071">
        <v>1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3</v>
      </c>
      <c r="P2071">
        <f t="shared" si="105"/>
        <v>2024</v>
      </c>
      <c r="Q2071">
        <f t="shared" si="106"/>
        <v>6</v>
      </c>
      <c r="R2071" t="str">
        <f t="shared" si="104"/>
        <v>流量宝</v>
      </c>
      <c r="S2071" t="s">
        <v>628</v>
      </c>
      <c r="T2071" s="546" t="s">
        <v>804</v>
      </c>
    </row>
    <row r="2072" spans="1:20" x14ac:dyDescent="0.3">
      <c r="A2072" t="s">
        <v>627</v>
      </c>
      <c r="B2072" s="16">
        <v>45462</v>
      </c>
      <c r="C2072" t="s">
        <v>2</v>
      </c>
      <c r="D2072" t="s">
        <v>4</v>
      </c>
      <c r="E2072" t="s">
        <v>43</v>
      </c>
      <c r="F2072">
        <v>841</v>
      </c>
      <c r="G2072">
        <v>154</v>
      </c>
      <c r="H2072">
        <v>8</v>
      </c>
      <c r="I2072">
        <v>1</v>
      </c>
      <c r="J2072" s="17">
        <v>11142.59</v>
      </c>
      <c r="K2072">
        <v>3</v>
      </c>
      <c r="L2072" s="17">
        <v>5649.59</v>
      </c>
      <c r="M2072">
        <v>2</v>
      </c>
      <c r="N2072">
        <v>14</v>
      </c>
      <c r="O2072">
        <v>826</v>
      </c>
      <c r="P2072">
        <f t="shared" si="105"/>
        <v>2024</v>
      </c>
      <c r="Q2072">
        <f t="shared" si="106"/>
        <v>6</v>
      </c>
      <c r="R2072" t="str">
        <f t="shared" si="104"/>
        <v>淘宝客</v>
      </c>
      <c r="S2072" t="s">
        <v>628</v>
      </c>
      <c r="T2072" s="546" t="s">
        <v>804</v>
      </c>
    </row>
    <row r="2073" spans="1:20" x14ac:dyDescent="0.3">
      <c r="A2073" t="s">
        <v>627</v>
      </c>
      <c r="B2073" s="16">
        <v>45463</v>
      </c>
      <c r="C2073" t="s">
        <v>3</v>
      </c>
      <c r="D2073" t="s">
        <v>114</v>
      </c>
      <c r="E2073" t="s">
        <v>159</v>
      </c>
      <c r="F2073">
        <v>77</v>
      </c>
      <c r="G2073">
        <v>42</v>
      </c>
      <c r="H2073">
        <v>2</v>
      </c>
      <c r="I2073">
        <v>1</v>
      </c>
      <c r="J2073" s="15">
        <v>1917</v>
      </c>
      <c r="K2073">
        <v>1</v>
      </c>
      <c r="L2073" s="15">
        <v>1917</v>
      </c>
      <c r="M2073">
        <v>1</v>
      </c>
      <c r="N2073">
        <v>9</v>
      </c>
      <c r="O2073">
        <v>69</v>
      </c>
      <c r="P2073">
        <f t="shared" si="105"/>
        <v>2024</v>
      </c>
      <c r="Q2073">
        <f t="shared" si="106"/>
        <v>6</v>
      </c>
      <c r="R2073" t="str">
        <f t="shared" si="104"/>
        <v>主会场</v>
      </c>
      <c r="S2073" t="s">
        <v>628</v>
      </c>
      <c r="T2073" s="546" t="s">
        <v>804</v>
      </c>
    </row>
    <row r="2074" spans="1:20" x14ac:dyDescent="0.3">
      <c r="A2074" t="s">
        <v>627</v>
      </c>
      <c r="B2074" s="16">
        <v>45463</v>
      </c>
      <c r="C2074" t="s">
        <v>3</v>
      </c>
      <c r="D2074" t="s">
        <v>117</v>
      </c>
      <c r="E2074" t="s">
        <v>161</v>
      </c>
      <c r="F2074">
        <v>1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</v>
      </c>
      <c r="P2074">
        <f t="shared" si="105"/>
        <v>2024</v>
      </c>
      <c r="Q2074">
        <f t="shared" si="106"/>
        <v>6</v>
      </c>
      <c r="R2074" t="str">
        <f t="shared" si="104"/>
        <v>其他入口榜单</v>
      </c>
      <c r="S2074" t="s">
        <v>628</v>
      </c>
      <c r="T2074" s="546" t="s">
        <v>804</v>
      </c>
    </row>
    <row r="2075" spans="1:20" x14ac:dyDescent="0.3">
      <c r="A2075" t="s">
        <v>627</v>
      </c>
      <c r="B2075" s="16">
        <v>45463</v>
      </c>
      <c r="C2075" t="s">
        <v>3</v>
      </c>
      <c r="D2075" t="s">
        <v>120</v>
      </c>
      <c r="E2075" t="s">
        <v>162</v>
      </c>
      <c r="F2075">
        <v>1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</v>
      </c>
      <c r="P2075">
        <f t="shared" si="105"/>
        <v>2024</v>
      </c>
      <c r="Q2075">
        <f t="shared" si="106"/>
        <v>6</v>
      </c>
      <c r="R2075" t="str">
        <f t="shared" si="104"/>
        <v>手机浏览器访问天猫</v>
      </c>
      <c r="S2075" t="s">
        <v>628</v>
      </c>
      <c r="T2075" s="546" t="s">
        <v>804</v>
      </c>
    </row>
    <row r="2076" spans="1:20" x14ac:dyDescent="0.3">
      <c r="A2076" t="s">
        <v>627</v>
      </c>
      <c r="B2076" s="16">
        <v>45463</v>
      </c>
      <c r="C2076" t="s">
        <v>3</v>
      </c>
      <c r="D2076" t="s">
        <v>120</v>
      </c>
      <c r="E2076" t="s">
        <v>163</v>
      </c>
      <c r="F2076">
        <v>73</v>
      </c>
      <c r="G2076">
        <v>33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17</v>
      </c>
      <c r="O2076">
        <v>69</v>
      </c>
      <c r="P2076">
        <f t="shared" si="105"/>
        <v>2024</v>
      </c>
      <c r="Q2076">
        <f t="shared" si="106"/>
        <v>6</v>
      </c>
      <c r="R2076" t="str">
        <f t="shared" si="104"/>
        <v>手猫免费其他</v>
      </c>
      <c r="S2076" t="s">
        <v>628</v>
      </c>
      <c r="T2076" s="546" t="s">
        <v>804</v>
      </c>
    </row>
    <row r="2077" spans="1:20" x14ac:dyDescent="0.3">
      <c r="A2077" t="s">
        <v>627</v>
      </c>
      <c r="B2077" s="16">
        <v>45463</v>
      </c>
      <c r="C2077" t="s">
        <v>3</v>
      </c>
      <c r="D2077" t="s">
        <v>120</v>
      </c>
      <c r="E2077" t="s">
        <v>164</v>
      </c>
      <c r="F2077">
        <v>4</v>
      </c>
      <c r="G2077">
        <v>2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4</v>
      </c>
      <c r="P2077">
        <f t="shared" si="105"/>
        <v>2024</v>
      </c>
      <c r="Q2077">
        <f t="shared" si="106"/>
        <v>6</v>
      </c>
      <c r="R2077" t="str">
        <f t="shared" si="104"/>
        <v>手猫其他店铺</v>
      </c>
      <c r="S2077" t="s">
        <v>628</v>
      </c>
      <c r="T2077" s="546" t="s">
        <v>804</v>
      </c>
    </row>
    <row r="2078" spans="1:20" x14ac:dyDescent="0.3">
      <c r="A2078" t="s">
        <v>627</v>
      </c>
      <c r="B2078" s="16">
        <v>45463</v>
      </c>
      <c r="C2078" t="s">
        <v>3</v>
      </c>
      <c r="D2078" t="s">
        <v>120</v>
      </c>
      <c r="E2078" t="s">
        <v>165</v>
      </c>
      <c r="F2078">
        <v>16</v>
      </c>
      <c r="G2078">
        <v>6</v>
      </c>
      <c r="H2078">
        <v>1</v>
      </c>
      <c r="I2078">
        <v>0</v>
      </c>
      <c r="J2078" s="17">
        <v>11113.96</v>
      </c>
      <c r="K2078">
        <v>2</v>
      </c>
      <c r="L2078" s="17">
        <v>6208.48</v>
      </c>
      <c r="M2078">
        <v>2</v>
      </c>
      <c r="N2078">
        <v>3</v>
      </c>
      <c r="O2078">
        <v>16</v>
      </c>
      <c r="P2078">
        <f t="shared" si="105"/>
        <v>2024</v>
      </c>
      <c r="Q2078">
        <f t="shared" si="106"/>
        <v>6</v>
      </c>
      <c r="R2078" t="str">
        <f t="shared" si="104"/>
        <v>手猫商品详情</v>
      </c>
      <c r="S2078" t="s">
        <v>628</v>
      </c>
      <c r="T2078" s="546" t="s">
        <v>804</v>
      </c>
    </row>
    <row r="2079" spans="1:20" x14ac:dyDescent="0.3">
      <c r="A2079" t="s">
        <v>627</v>
      </c>
      <c r="B2079" s="16">
        <v>45463</v>
      </c>
      <c r="C2079" t="s">
        <v>3</v>
      </c>
      <c r="D2079" t="s">
        <v>120</v>
      </c>
      <c r="E2079" t="s">
        <v>166</v>
      </c>
      <c r="F2079">
        <v>63</v>
      </c>
      <c r="G2079">
        <v>37</v>
      </c>
      <c r="H2079">
        <v>1</v>
      </c>
      <c r="I2079">
        <v>0</v>
      </c>
      <c r="J2079" s="17">
        <v>6753.24</v>
      </c>
      <c r="K2079">
        <v>1</v>
      </c>
      <c r="L2079" s="17">
        <v>4115.72</v>
      </c>
      <c r="M2079">
        <v>1</v>
      </c>
      <c r="N2079">
        <v>18</v>
      </c>
      <c r="O2079">
        <v>54</v>
      </c>
      <c r="P2079">
        <f t="shared" si="105"/>
        <v>2024</v>
      </c>
      <c r="Q2079">
        <f t="shared" si="106"/>
        <v>6</v>
      </c>
      <c r="R2079" t="str">
        <f t="shared" si="104"/>
        <v>手猫搜索</v>
      </c>
      <c r="S2079" t="s">
        <v>628</v>
      </c>
      <c r="T2079" s="546" t="s">
        <v>804</v>
      </c>
    </row>
    <row r="2080" spans="1:20" x14ac:dyDescent="0.3">
      <c r="A2080" t="s">
        <v>627</v>
      </c>
      <c r="B2080" s="16">
        <v>45463</v>
      </c>
      <c r="C2080" t="s">
        <v>3</v>
      </c>
      <c r="D2080" t="s">
        <v>120</v>
      </c>
      <c r="E2080" t="s">
        <v>167</v>
      </c>
      <c r="F2080">
        <v>1</v>
      </c>
      <c r="G2080">
        <v>0</v>
      </c>
      <c r="H2080">
        <v>0</v>
      </c>
      <c r="I2080">
        <v>0</v>
      </c>
      <c r="J2080" s="17">
        <v>8231.44</v>
      </c>
      <c r="K2080">
        <v>1</v>
      </c>
      <c r="L2080" s="17">
        <v>4115.72</v>
      </c>
      <c r="M2080">
        <v>1</v>
      </c>
      <c r="N2080">
        <v>0</v>
      </c>
      <c r="O2080">
        <v>1</v>
      </c>
      <c r="P2080">
        <f t="shared" si="105"/>
        <v>2024</v>
      </c>
      <c r="Q2080">
        <f t="shared" si="106"/>
        <v>6</v>
      </c>
      <c r="R2080" t="str">
        <f t="shared" si="104"/>
        <v>手猫旺信聊天</v>
      </c>
      <c r="S2080" t="s">
        <v>628</v>
      </c>
      <c r="T2080" s="546" t="s">
        <v>804</v>
      </c>
    </row>
    <row r="2081" spans="1:20" x14ac:dyDescent="0.3">
      <c r="A2081" t="s">
        <v>627</v>
      </c>
      <c r="B2081" s="16">
        <v>45463</v>
      </c>
      <c r="C2081" t="s">
        <v>3</v>
      </c>
      <c r="D2081" t="s">
        <v>120</v>
      </c>
      <c r="E2081" t="s">
        <v>168</v>
      </c>
      <c r="F2081">
        <v>223</v>
      </c>
      <c r="G2081">
        <v>117</v>
      </c>
      <c r="H2081">
        <v>1</v>
      </c>
      <c r="I2081">
        <v>0</v>
      </c>
      <c r="J2081" s="15">
        <v>1303</v>
      </c>
      <c r="K2081">
        <v>1</v>
      </c>
      <c r="L2081" s="15">
        <v>1303</v>
      </c>
      <c r="M2081">
        <v>1</v>
      </c>
      <c r="N2081">
        <v>3</v>
      </c>
      <c r="O2081">
        <v>223</v>
      </c>
      <c r="P2081">
        <f t="shared" si="105"/>
        <v>2024</v>
      </c>
      <c r="Q2081">
        <f t="shared" si="106"/>
        <v>6</v>
      </c>
      <c r="R2081" t="str">
        <f t="shared" si="104"/>
        <v>手猫首页</v>
      </c>
      <c r="S2081" t="s">
        <v>628</v>
      </c>
      <c r="T2081" s="546" t="s">
        <v>804</v>
      </c>
    </row>
    <row r="2082" spans="1:20" x14ac:dyDescent="0.3">
      <c r="A2082" t="s">
        <v>627</v>
      </c>
      <c r="B2082" s="16">
        <v>45463</v>
      </c>
      <c r="C2082" t="s">
        <v>3</v>
      </c>
      <c r="D2082" t="s">
        <v>123</v>
      </c>
      <c r="E2082" t="s">
        <v>169</v>
      </c>
      <c r="F2082">
        <v>96</v>
      </c>
      <c r="G2082">
        <v>47</v>
      </c>
      <c r="H2082">
        <v>1</v>
      </c>
      <c r="I2082">
        <v>4</v>
      </c>
      <c r="J2082" s="15">
        <v>1497</v>
      </c>
      <c r="K2082">
        <v>1</v>
      </c>
      <c r="L2082" s="15">
        <v>1497</v>
      </c>
      <c r="M2082">
        <v>1</v>
      </c>
      <c r="N2082">
        <v>32</v>
      </c>
      <c r="O2082">
        <v>83</v>
      </c>
      <c r="P2082">
        <f t="shared" si="105"/>
        <v>2024</v>
      </c>
      <c r="Q2082">
        <f t="shared" si="106"/>
        <v>6</v>
      </c>
      <c r="R2082" t="str">
        <f t="shared" si="104"/>
        <v>商品详情页头图推荐</v>
      </c>
      <c r="S2082" t="s">
        <v>628</v>
      </c>
      <c r="T2082" s="546" t="s">
        <v>804</v>
      </c>
    </row>
    <row r="2083" spans="1:20" x14ac:dyDescent="0.3">
      <c r="A2083" t="s">
        <v>627</v>
      </c>
      <c r="B2083" s="16">
        <v>45463</v>
      </c>
      <c r="C2083" t="s">
        <v>3</v>
      </c>
      <c r="D2083" t="s">
        <v>123</v>
      </c>
      <c r="E2083" t="s">
        <v>170</v>
      </c>
      <c r="F2083">
        <v>20</v>
      </c>
      <c r="G2083">
        <v>13</v>
      </c>
      <c r="H2083">
        <v>0</v>
      </c>
      <c r="I2083">
        <v>0</v>
      </c>
      <c r="J2083" s="17">
        <v>4892.1899999999996</v>
      </c>
      <c r="K2083">
        <v>2</v>
      </c>
      <c r="L2083" s="17">
        <v>4892.1899999999996</v>
      </c>
      <c r="M2083">
        <v>2</v>
      </c>
      <c r="N2083">
        <v>17</v>
      </c>
      <c r="O2083">
        <v>9</v>
      </c>
      <c r="P2083">
        <f t="shared" si="105"/>
        <v>2024</v>
      </c>
      <c r="Q2083">
        <f t="shared" si="106"/>
        <v>6</v>
      </c>
      <c r="R2083" t="str">
        <f t="shared" si="104"/>
        <v>店铺超链</v>
      </c>
      <c r="S2083" t="s">
        <v>628</v>
      </c>
      <c r="T2083" s="546" t="s">
        <v>804</v>
      </c>
    </row>
    <row r="2084" spans="1:20" x14ac:dyDescent="0.3">
      <c r="A2084" t="s">
        <v>627</v>
      </c>
      <c r="B2084" s="16">
        <v>45463</v>
      </c>
      <c r="C2084" t="s">
        <v>3</v>
      </c>
      <c r="D2084" t="s">
        <v>127</v>
      </c>
      <c r="E2084" t="s">
        <v>171</v>
      </c>
      <c r="F2084">
        <v>196</v>
      </c>
      <c r="G2084">
        <v>97</v>
      </c>
      <c r="H2084">
        <v>6</v>
      </c>
      <c r="I2084">
        <v>1</v>
      </c>
      <c r="J2084" s="17">
        <v>13490.38</v>
      </c>
      <c r="K2084">
        <v>4</v>
      </c>
      <c r="L2084" s="17">
        <v>13490.38</v>
      </c>
      <c r="M2084">
        <v>4</v>
      </c>
      <c r="N2084">
        <v>74</v>
      </c>
      <c r="O2084">
        <v>144</v>
      </c>
      <c r="P2084">
        <f t="shared" si="105"/>
        <v>2024</v>
      </c>
      <c r="Q2084">
        <f t="shared" si="106"/>
        <v>6</v>
      </c>
      <c r="R2084" t="str">
        <f t="shared" si="104"/>
        <v>其他猜你喜欢</v>
      </c>
      <c r="S2084" t="s">
        <v>628</v>
      </c>
      <c r="T2084" s="546" t="s">
        <v>804</v>
      </c>
    </row>
    <row r="2085" spans="1:20" x14ac:dyDescent="0.3">
      <c r="A2085" t="s">
        <v>627</v>
      </c>
      <c r="B2085" s="16">
        <v>45463</v>
      </c>
      <c r="C2085" t="s">
        <v>3</v>
      </c>
      <c r="D2085" t="s">
        <v>127</v>
      </c>
      <c r="E2085" t="s">
        <v>172</v>
      </c>
      <c r="F2085">
        <v>4</v>
      </c>
      <c r="G2085">
        <v>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4</v>
      </c>
      <c r="P2085">
        <f t="shared" si="105"/>
        <v>2024</v>
      </c>
      <c r="Q2085">
        <f t="shared" si="106"/>
        <v>6</v>
      </c>
      <c r="R2085" t="str">
        <f t="shared" si="104"/>
        <v>购中推荐</v>
      </c>
      <c r="S2085" t="s">
        <v>628</v>
      </c>
      <c r="T2085" s="546" t="s">
        <v>804</v>
      </c>
    </row>
    <row r="2086" spans="1:20" x14ac:dyDescent="0.3">
      <c r="A2086" t="s">
        <v>627</v>
      </c>
      <c r="B2086" s="16">
        <v>45463</v>
      </c>
      <c r="C2086" t="s">
        <v>3</v>
      </c>
      <c r="D2086" t="s">
        <v>127</v>
      </c>
      <c r="E2086" t="s">
        <v>173</v>
      </c>
      <c r="F2086">
        <v>28</v>
      </c>
      <c r="G2086">
        <v>17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1</v>
      </c>
      <c r="O2086">
        <v>26</v>
      </c>
      <c r="P2086">
        <f t="shared" si="105"/>
        <v>2024</v>
      </c>
      <c r="Q2086">
        <f t="shared" si="106"/>
        <v>6</v>
      </c>
      <c r="R2086" t="str">
        <f t="shared" si="104"/>
        <v>购后推荐</v>
      </c>
      <c r="S2086" t="s">
        <v>628</v>
      </c>
      <c r="T2086" s="546" t="s">
        <v>804</v>
      </c>
    </row>
    <row r="2087" spans="1:20" x14ac:dyDescent="0.3">
      <c r="A2087" t="s">
        <v>627</v>
      </c>
      <c r="B2087" s="16">
        <v>45463</v>
      </c>
      <c r="C2087" t="s">
        <v>3</v>
      </c>
      <c r="D2087" t="s">
        <v>127</v>
      </c>
      <c r="E2087" t="s">
        <v>174</v>
      </c>
      <c r="F2087" s="15">
        <v>1262</v>
      </c>
      <c r="G2087">
        <v>628</v>
      </c>
      <c r="H2087">
        <v>30</v>
      </c>
      <c r="I2087">
        <v>11</v>
      </c>
      <c r="J2087" s="15">
        <v>28104</v>
      </c>
      <c r="K2087">
        <v>11</v>
      </c>
      <c r="L2087" s="15">
        <v>21513</v>
      </c>
      <c r="M2087">
        <v>8</v>
      </c>
      <c r="N2087">
        <v>119</v>
      </c>
      <c r="O2087" s="15">
        <v>1262</v>
      </c>
      <c r="P2087">
        <f t="shared" si="105"/>
        <v>2024</v>
      </c>
      <c r="Q2087">
        <f t="shared" si="106"/>
        <v>6</v>
      </c>
      <c r="R2087" t="str">
        <f t="shared" si="104"/>
        <v>首页推荐-微详情</v>
      </c>
      <c r="S2087" t="s">
        <v>628</v>
      </c>
      <c r="T2087" s="546" t="s">
        <v>804</v>
      </c>
    </row>
    <row r="2088" spans="1:20" x14ac:dyDescent="0.3">
      <c r="A2088" t="s">
        <v>627</v>
      </c>
      <c r="B2088" s="16">
        <v>45463</v>
      </c>
      <c r="C2088" t="s">
        <v>3</v>
      </c>
      <c r="D2088" t="s">
        <v>127</v>
      </c>
      <c r="E2088" t="s">
        <v>175</v>
      </c>
      <c r="F2088">
        <v>143</v>
      </c>
      <c r="G2088">
        <v>76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</v>
      </c>
      <c r="O2088">
        <v>4</v>
      </c>
      <c r="P2088">
        <f t="shared" si="105"/>
        <v>2024</v>
      </c>
      <c r="Q2088">
        <f t="shared" si="106"/>
        <v>6</v>
      </c>
      <c r="R2088" t="str">
        <f t="shared" si="104"/>
        <v>首页推荐-直播</v>
      </c>
      <c r="S2088" t="s">
        <v>628</v>
      </c>
      <c r="T2088" s="546" t="s">
        <v>804</v>
      </c>
    </row>
    <row r="2089" spans="1:20" x14ac:dyDescent="0.3">
      <c r="A2089" t="s">
        <v>627</v>
      </c>
      <c r="B2089" s="16">
        <v>45463</v>
      </c>
      <c r="C2089" t="s">
        <v>3</v>
      </c>
      <c r="D2089" t="s">
        <v>127</v>
      </c>
      <c r="E2089" t="s">
        <v>176</v>
      </c>
      <c r="F2089">
        <v>29</v>
      </c>
      <c r="G2089">
        <v>23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f t="shared" si="105"/>
        <v>2024</v>
      </c>
      <c r="Q2089">
        <f t="shared" si="106"/>
        <v>6</v>
      </c>
      <c r="R2089" t="str">
        <f t="shared" si="104"/>
        <v>首页推荐-短视频</v>
      </c>
      <c r="S2089" t="s">
        <v>628</v>
      </c>
      <c r="T2089" s="546" t="s">
        <v>804</v>
      </c>
    </row>
    <row r="2090" spans="1:20" x14ac:dyDescent="0.3">
      <c r="A2090" t="s">
        <v>627</v>
      </c>
      <c r="B2090" s="16">
        <v>45463</v>
      </c>
      <c r="C2090" t="s">
        <v>3</v>
      </c>
      <c r="D2090" t="s">
        <v>128</v>
      </c>
      <c r="E2090" t="s">
        <v>177</v>
      </c>
      <c r="F2090">
        <v>836</v>
      </c>
      <c r="G2090">
        <v>656</v>
      </c>
      <c r="H2090">
        <v>104</v>
      </c>
      <c r="I2090">
        <v>15</v>
      </c>
      <c r="J2090" s="15">
        <v>139827</v>
      </c>
      <c r="K2090">
        <v>43</v>
      </c>
      <c r="L2090" s="15">
        <v>123958</v>
      </c>
      <c r="M2090">
        <v>39</v>
      </c>
      <c r="N2090">
        <v>216</v>
      </c>
      <c r="O2090">
        <v>770</v>
      </c>
      <c r="P2090">
        <f t="shared" si="105"/>
        <v>2024</v>
      </c>
      <c r="Q2090">
        <f t="shared" si="106"/>
        <v>6</v>
      </c>
      <c r="R2090" t="str">
        <f t="shared" si="104"/>
        <v>手淘搜索-商品及其他</v>
      </c>
      <c r="S2090" t="s">
        <v>628</v>
      </c>
      <c r="T2090" s="546" t="s">
        <v>804</v>
      </c>
    </row>
    <row r="2091" spans="1:20" x14ac:dyDescent="0.3">
      <c r="A2091" t="s">
        <v>627</v>
      </c>
      <c r="B2091" s="16">
        <v>45463</v>
      </c>
      <c r="C2091" t="s">
        <v>3</v>
      </c>
      <c r="D2091" t="s">
        <v>128</v>
      </c>
      <c r="E2091" t="s">
        <v>179</v>
      </c>
      <c r="F2091">
        <v>22</v>
      </c>
      <c r="G2091">
        <v>12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1</v>
      </c>
      <c r="O2091">
        <v>4</v>
      </c>
      <c r="P2091">
        <f t="shared" si="105"/>
        <v>2024</v>
      </c>
      <c r="Q2091">
        <f t="shared" si="106"/>
        <v>6</v>
      </c>
      <c r="R2091" t="str">
        <f t="shared" si="104"/>
        <v>手淘搜索-短视频</v>
      </c>
      <c r="S2091" t="s">
        <v>628</v>
      </c>
      <c r="T2091" s="546" t="s">
        <v>804</v>
      </c>
    </row>
    <row r="2092" spans="1:20" x14ac:dyDescent="0.3">
      <c r="A2092" t="s">
        <v>627</v>
      </c>
      <c r="B2092" s="16">
        <v>45463</v>
      </c>
      <c r="C2092" t="s">
        <v>3</v>
      </c>
      <c r="D2092" t="s">
        <v>143</v>
      </c>
      <c r="E2092" t="s">
        <v>180</v>
      </c>
      <c r="F2092">
        <v>12</v>
      </c>
      <c r="G2092">
        <v>10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v>12</v>
      </c>
      <c r="P2092">
        <f t="shared" si="105"/>
        <v>2024</v>
      </c>
      <c r="Q2092">
        <f t="shared" si="106"/>
        <v>6</v>
      </c>
      <c r="R2092" t="str">
        <f t="shared" si="104"/>
        <v>淘特其他渠道</v>
      </c>
      <c r="S2092" t="s">
        <v>628</v>
      </c>
      <c r="T2092" s="546" t="s">
        <v>804</v>
      </c>
    </row>
    <row r="2093" spans="1:20" x14ac:dyDescent="0.3">
      <c r="A2093" t="s">
        <v>627</v>
      </c>
      <c r="B2093" s="16">
        <v>45463</v>
      </c>
      <c r="C2093" t="s">
        <v>3</v>
      </c>
      <c r="D2093" t="s">
        <v>143</v>
      </c>
      <c r="E2093" t="s">
        <v>181</v>
      </c>
      <c r="F2093">
        <v>1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1</v>
      </c>
      <c r="P2093">
        <f t="shared" si="105"/>
        <v>2024</v>
      </c>
      <c r="Q2093">
        <f t="shared" si="106"/>
        <v>6</v>
      </c>
      <c r="R2093" t="str">
        <f t="shared" si="104"/>
        <v>淘特搜索</v>
      </c>
      <c r="S2093" t="s">
        <v>628</v>
      </c>
      <c r="T2093" s="546" t="s">
        <v>804</v>
      </c>
    </row>
    <row r="2094" spans="1:20" x14ac:dyDescent="0.3">
      <c r="A2094" t="s">
        <v>627</v>
      </c>
      <c r="B2094" s="16">
        <v>45463</v>
      </c>
      <c r="C2094" t="s">
        <v>2</v>
      </c>
      <c r="D2094" t="s">
        <v>55</v>
      </c>
      <c r="E2094" t="s">
        <v>54</v>
      </c>
      <c r="F2094" s="15">
        <v>5851</v>
      </c>
      <c r="G2094" s="15">
        <v>4609</v>
      </c>
      <c r="H2094">
        <v>3</v>
      </c>
      <c r="I2094">
        <v>2</v>
      </c>
      <c r="J2094">
        <v>0</v>
      </c>
      <c r="K2094">
        <v>0</v>
      </c>
      <c r="L2094">
        <v>0</v>
      </c>
      <c r="M2094">
        <v>0</v>
      </c>
      <c r="N2094">
        <v>31</v>
      </c>
      <c r="O2094" s="15">
        <v>2348</v>
      </c>
      <c r="P2094">
        <f t="shared" si="105"/>
        <v>2024</v>
      </c>
      <c r="Q2094">
        <f t="shared" si="106"/>
        <v>6</v>
      </c>
      <c r="R2094" t="str">
        <f t="shared" si="104"/>
        <v>超级直播</v>
      </c>
      <c r="S2094" t="s">
        <v>628</v>
      </c>
      <c r="T2094" s="546" t="s">
        <v>804</v>
      </c>
    </row>
    <row r="2095" spans="1:20" x14ac:dyDescent="0.3">
      <c r="A2095" t="s">
        <v>627</v>
      </c>
      <c r="B2095" s="16">
        <v>45463</v>
      </c>
      <c r="C2095" t="s">
        <v>2</v>
      </c>
      <c r="D2095" t="s">
        <v>55</v>
      </c>
      <c r="E2095" t="s">
        <v>56</v>
      </c>
      <c r="F2095" s="15">
        <v>5501</v>
      </c>
      <c r="G2095" s="15">
        <v>3657</v>
      </c>
      <c r="H2095">
        <v>2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6</v>
      </c>
      <c r="O2095">
        <v>194</v>
      </c>
      <c r="P2095">
        <f t="shared" si="105"/>
        <v>2024</v>
      </c>
      <c r="Q2095">
        <f t="shared" si="106"/>
        <v>6</v>
      </c>
      <c r="R2095" t="str">
        <f t="shared" si="104"/>
        <v>超级短视频</v>
      </c>
      <c r="S2095" t="s">
        <v>628</v>
      </c>
      <c r="T2095" s="546" t="s">
        <v>804</v>
      </c>
    </row>
    <row r="2096" spans="1:20" x14ac:dyDescent="0.3">
      <c r="A2096" t="s">
        <v>627</v>
      </c>
      <c r="B2096" s="16">
        <v>45463</v>
      </c>
      <c r="C2096" t="s">
        <v>2</v>
      </c>
      <c r="D2096" t="s">
        <v>52</v>
      </c>
      <c r="E2096" t="s">
        <v>53</v>
      </c>
      <c r="F2096" s="15">
        <v>1149</v>
      </c>
      <c r="G2096">
        <v>959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 s="15">
        <v>1149</v>
      </c>
      <c r="O2096">
        <v>143</v>
      </c>
      <c r="P2096">
        <f t="shared" si="105"/>
        <v>2024</v>
      </c>
      <c r="Q2096">
        <f t="shared" si="106"/>
        <v>6</v>
      </c>
      <c r="R2096" t="str">
        <f t="shared" si="104"/>
        <v>Showmax</v>
      </c>
      <c r="S2096" t="s">
        <v>628</v>
      </c>
      <c r="T2096" s="546" t="s">
        <v>804</v>
      </c>
    </row>
    <row r="2097" spans="1:20" x14ac:dyDescent="0.3">
      <c r="A2097" t="s">
        <v>627</v>
      </c>
      <c r="B2097" s="16">
        <v>45463</v>
      </c>
      <c r="C2097" t="s">
        <v>2</v>
      </c>
      <c r="D2097" t="s">
        <v>52</v>
      </c>
      <c r="E2097" t="s">
        <v>59</v>
      </c>
      <c r="F2097">
        <v>900</v>
      </c>
      <c r="G2097">
        <v>747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900</v>
      </c>
      <c r="O2097">
        <v>123</v>
      </c>
      <c r="P2097">
        <f t="shared" si="105"/>
        <v>2024</v>
      </c>
      <c r="Q2097">
        <f t="shared" si="106"/>
        <v>6</v>
      </c>
      <c r="R2097" t="str">
        <f t="shared" si="104"/>
        <v>品牌特秀</v>
      </c>
      <c r="S2097" t="s">
        <v>628</v>
      </c>
      <c r="T2097" s="546" t="s">
        <v>804</v>
      </c>
    </row>
    <row r="2098" spans="1:20" x14ac:dyDescent="0.3">
      <c r="A2098" t="s">
        <v>627</v>
      </c>
      <c r="B2098" s="16">
        <v>45463</v>
      </c>
      <c r="C2098" t="s">
        <v>2</v>
      </c>
      <c r="D2098" t="s">
        <v>52</v>
      </c>
      <c r="E2098" t="s">
        <v>183</v>
      </c>
      <c r="F2098">
        <v>507</v>
      </c>
      <c r="G2098">
        <v>429</v>
      </c>
      <c r="H2098">
        <v>10</v>
      </c>
      <c r="I2098">
        <v>4</v>
      </c>
      <c r="J2098" s="15">
        <v>7445</v>
      </c>
      <c r="K2098">
        <v>3</v>
      </c>
      <c r="L2098" s="15">
        <v>7445</v>
      </c>
      <c r="M2098">
        <v>3</v>
      </c>
      <c r="N2098">
        <v>507</v>
      </c>
      <c r="O2098">
        <v>280</v>
      </c>
      <c r="P2098">
        <f t="shared" si="105"/>
        <v>2024</v>
      </c>
      <c r="Q2098">
        <f t="shared" si="106"/>
        <v>6</v>
      </c>
      <c r="R2098" t="str">
        <f t="shared" si="104"/>
        <v>品销宝-品牌专区</v>
      </c>
      <c r="S2098" t="s">
        <v>628</v>
      </c>
      <c r="T2098" s="546" t="s">
        <v>804</v>
      </c>
    </row>
    <row r="2099" spans="1:20" x14ac:dyDescent="0.3">
      <c r="A2099" t="s">
        <v>627</v>
      </c>
      <c r="B2099" s="16">
        <v>45463</v>
      </c>
      <c r="C2099" t="s">
        <v>2</v>
      </c>
      <c r="D2099" t="s">
        <v>57</v>
      </c>
      <c r="E2099" t="s">
        <v>65</v>
      </c>
      <c r="F2099" s="15">
        <v>2269</v>
      </c>
      <c r="G2099" s="15">
        <v>1881</v>
      </c>
      <c r="H2099">
        <v>104</v>
      </c>
      <c r="I2099">
        <v>17</v>
      </c>
      <c r="J2099" s="17">
        <v>146471.4</v>
      </c>
      <c r="K2099">
        <v>35</v>
      </c>
      <c r="L2099" s="17">
        <v>101643.2</v>
      </c>
      <c r="M2099">
        <v>30</v>
      </c>
      <c r="N2099">
        <v>223</v>
      </c>
      <c r="O2099" s="15">
        <v>2240</v>
      </c>
      <c r="P2099">
        <f t="shared" si="105"/>
        <v>2024</v>
      </c>
      <c r="Q2099">
        <f t="shared" si="106"/>
        <v>6</v>
      </c>
      <c r="R2099" t="str">
        <f t="shared" si="104"/>
        <v>直通车</v>
      </c>
      <c r="S2099" t="s">
        <v>628</v>
      </c>
      <c r="T2099" s="546" t="s">
        <v>804</v>
      </c>
    </row>
    <row r="2100" spans="1:20" x14ac:dyDescent="0.3">
      <c r="A2100" t="s">
        <v>627</v>
      </c>
      <c r="B2100" s="16">
        <v>45463</v>
      </c>
      <c r="C2100" t="s">
        <v>2</v>
      </c>
      <c r="D2100" t="s">
        <v>57</v>
      </c>
      <c r="E2100" t="s">
        <v>63</v>
      </c>
      <c r="F2100" s="15">
        <v>2915</v>
      </c>
      <c r="G2100" s="15">
        <v>1393</v>
      </c>
      <c r="H2100">
        <v>59</v>
      </c>
      <c r="I2100">
        <v>31</v>
      </c>
      <c r="J2100" s="17">
        <v>98260.3</v>
      </c>
      <c r="K2100">
        <v>22</v>
      </c>
      <c r="L2100" s="17">
        <v>64983.3</v>
      </c>
      <c r="M2100">
        <v>17</v>
      </c>
      <c r="N2100">
        <v>168</v>
      </c>
      <c r="O2100" s="15">
        <v>2913</v>
      </c>
      <c r="P2100">
        <f t="shared" si="105"/>
        <v>2024</v>
      </c>
      <c r="Q2100">
        <f t="shared" si="106"/>
        <v>6</v>
      </c>
      <c r="R2100" t="str">
        <f t="shared" si="104"/>
        <v>万相台</v>
      </c>
      <c r="S2100" t="s">
        <v>628</v>
      </c>
      <c r="T2100" s="546" t="s">
        <v>804</v>
      </c>
    </row>
    <row r="2101" spans="1:20" x14ac:dyDescent="0.3">
      <c r="A2101" t="s">
        <v>627</v>
      </c>
      <c r="B2101" s="16">
        <v>45463</v>
      </c>
      <c r="C2101" t="s">
        <v>2</v>
      </c>
      <c r="D2101" t="s">
        <v>57</v>
      </c>
      <c r="E2101" t="s">
        <v>64</v>
      </c>
      <c r="F2101" s="15">
        <v>9399</v>
      </c>
      <c r="G2101" s="15">
        <v>4316</v>
      </c>
      <c r="H2101">
        <v>26</v>
      </c>
      <c r="I2101">
        <v>21</v>
      </c>
      <c r="J2101" s="15">
        <v>3350</v>
      </c>
      <c r="K2101">
        <v>1</v>
      </c>
      <c r="L2101" s="15">
        <v>3350</v>
      </c>
      <c r="M2101">
        <v>1</v>
      </c>
      <c r="N2101">
        <v>202</v>
      </c>
      <c r="O2101" s="15">
        <v>9396</v>
      </c>
      <c r="P2101">
        <f t="shared" si="105"/>
        <v>2024</v>
      </c>
      <c r="Q2101">
        <f t="shared" si="106"/>
        <v>6</v>
      </c>
      <c r="R2101" t="str">
        <f t="shared" si="104"/>
        <v>引力魔方</v>
      </c>
      <c r="S2101" t="s">
        <v>628</v>
      </c>
      <c r="T2101" s="546" t="s">
        <v>804</v>
      </c>
    </row>
    <row r="2102" spans="1:20" x14ac:dyDescent="0.3">
      <c r="A2102" t="s">
        <v>627</v>
      </c>
      <c r="B2102" s="16">
        <v>45463</v>
      </c>
      <c r="C2102" t="s">
        <v>2</v>
      </c>
      <c r="D2102" t="s">
        <v>4</v>
      </c>
      <c r="E2102" t="s">
        <v>41</v>
      </c>
      <c r="F2102">
        <v>1</v>
      </c>
      <c r="G2102">
        <v>1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</v>
      </c>
      <c r="P2102">
        <f t="shared" si="105"/>
        <v>2024</v>
      </c>
      <c r="Q2102">
        <f t="shared" si="106"/>
        <v>6</v>
      </c>
      <c r="R2102" t="str">
        <f t="shared" si="104"/>
        <v>流量宝</v>
      </c>
      <c r="S2102" t="s">
        <v>628</v>
      </c>
      <c r="T2102" s="546" t="s">
        <v>804</v>
      </c>
    </row>
    <row r="2103" spans="1:20" x14ac:dyDescent="0.3">
      <c r="A2103" t="s">
        <v>627</v>
      </c>
      <c r="B2103" s="16">
        <v>45463</v>
      </c>
      <c r="C2103" t="s">
        <v>2</v>
      </c>
      <c r="D2103" t="s">
        <v>4</v>
      </c>
      <c r="E2103" t="s">
        <v>43</v>
      </c>
      <c r="F2103">
        <v>774</v>
      </c>
      <c r="G2103">
        <v>147</v>
      </c>
      <c r="H2103">
        <v>3</v>
      </c>
      <c r="I2103">
        <v>0</v>
      </c>
      <c r="J2103" s="17">
        <v>5445.19</v>
      </c>
      <c r="K2103">
        <v>1</v>
      </c>
      <c r="L2103" s="17">
        <v>5445.19</v>
      </c>
      <c r="M2103">
        <v>1</v>
      </c>
      <c r="N2103">
        <v>9</v>
      </c>
      <c r="O2103">
        <v>760</v>
      </c>
      <c r="P2103">
        <f t="shared" si="105"/>
        <v>2024</v>
      </c>
      <c r="Q2103">
        <f t="shared" si="106"/>
        <v>6</v>
      </c>
      <c r="R2103" t="str">
        <f t="shared" si="104"/>
        <v>淘宝客</v>
      </c>
      <c r="S2103" t="s">
        <v>628</v>
      </c>
      <c r="T2103" s="546" t="s">
        <v>804</v>
      </c>
    </row>
    <row r="2104" spans="1:20" x14ac:dyDescent="0.3">
      <c r="A2104" t="s">
        <v>627</v>
      </c>
      <c r="B2104" s="16">
        <v>45789</v>
      </c>
      <c r="C2104" t="s">
        <v>3</v>
      </c>
      <c r="D2104" t="s">
        <v>123</v>
      </c>
      <c r="E2104" t="s">
        <v>169</v>
      </c>
      <c r="F2104">
        <v>143</v>
      </c>
      <c r="G2104">
        <v>73</v>
      </c>
      <c r="H2104">
        <v>13</v>
      </c>
      <c r="I2104">
        <v>5</v>
      </c>
      <c r="J2104" s="15">
        <v>5990</v>
      </c>
      <c r="K2104">
        <v>1</v>
      </c>
      <c r="L2104" s="15">
        <v>2995</v>
      </c>
      <c r="M2104">
        <v>1</v>
      </c>
      <c r="N2104">
        <v>39</v>
      </c>
      <c r="O2104">
        <v>133</v>
      </c>
      <c r="P2104">
        <f t="shared" si="105"/>
        <v>2025</v>
      </c>
      <c r="Q2104">
        <f t="shared" si="106"/>
        <v>5</v>
      </c>
      <c r="R2104" t="str">
        <f t="shared" si="104"/>
        <v>商品详情页头图推荐</v>
      </c>
      <c r="S2104" t="s">
        <v>629</v>
      </c>
      <c r="T2104" s="546" t="s">
        <v>804</v>
      </c>
    </row>
    <row r="2105" spans="1:20" x14ac:dyDescent="0.3">
      <c r="A2105" t="s">
        <v>627</v>
      </c>
      <c r="B2105" s="16">
        <v>45789</v>
      </c>
      <c r="C2105" t="s">
        <v>3</v>
      </c>
      <c r="D2105" t="s">
        <v>123</v>
      </c>
      <c r="E2105" t="s">
        <v>170</v>
      </c>
      <c r="F2105">
        <v>32</v>
      </c>
      <c r="G2105">
        <v>17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30</v>
      </c>
      <c r="O2105">
        <v>8</v>
      </c>
      <c r="P2105">
        <f t="shared" si="105"/>
        <v>2025</v>
      </c>
      <c r="Q2105">
        <f t="shared" si="106"/>
        <v>5</v>
      </c>
      <c r="R2105" t="str">
        <f t="shared" si="104"/>
        <v>店铺超链</v>
      </c>
      <c r="S2105" t="s">
        <v>629</v>
      </c>
      <c r="T2105" s="546" t="s">
        <v>804</v>
      </c>
    </row>
    <row r="2106" spans="1:20" x14ac:dyDescent="0.3">
      <c r="A2106" t="s">
        <v>627</v>
      </c>
      <c r="B2106" s="16">
        <v>45789</v>
      </c>
      <c r="C2106" t="s">
        <v>3</v>
      </c>
      <c r="D2106" t="s">
        <v>127</v>
      </c>
      <c r="E2106" t="s">
        <v>171</v>
      </c>
      <c r="F2106">
        <v>115</v>
      </c>
      <c r="G2106">
        <v>65</v>
      </c>
      <c r="H2106">
        <v>4</v>
      </c>
      <c r="I2106">
        <v>1</v>
      </c>
      <c r="J2106" s="15">
        <v>16862</v>
      </c>
      <c r="K2106">
        <v>4</v>
      </c>
      <c r="L2106" s="15">
        <v>9382</v>
      </c>
      <c r="M2106">
        <v>4</v>
      </c>
      <c r="N2106">
        <v>31</v>
      </c>
      <c r="O2106">
        <v>77</v>
      </c>
      <c r="P2106">
        <f t="shared" si="105"/>
        <v>2025</v>
      </c>
      <c r="Q2106">
        <f t="shared" si="106"/>
        <v>5</v>
      </c>
      <c r="R2106" t="str">
        <f t="shared" si="104"/>
        <v>其他猜你喜欢</v>
      </c>
      <c r="S2106" t="s">
        <v>629</v>
      </c>
      <c r="T2106" s="546" t="s">
        <v>804</v>
      </c>
    </row>
    <row r="2107" spans="1:20" x14ac:dyDescent="0.3">
      <c r="A2107" t="s">
        <v>627</v>
      </c>
      <c r="B2107" s="16">
        <v>45789</v>
      </c>
      <c r="C2107" t="s">
        <v>3</v>
      </c>
      <c r="D2107" t="s">
        <v>127</v>
      </c>
      <c r="E2107" t="s">
        <v>172</v>
      </c>
      <c r="F2107">
        <v>9</v>
      </c>
      <c r="G2107">
        <v>8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2</v>
      </c>
      <c r="P2107">
        <f t="shared" si="105"/>
        <v>2025</v>
      </c>
      <c r="Q2107">
        <f t="shared" si="106"/>
        <v>5</v>
      </c>
      <c r="R2107" t="str">
        <f t="shared" si="104"/>
        <v>购中推荐</v>
      </c>
      <c r="S2107" t="s">
        <v>629</v>
      </c>
      <c r="T2107" s="546" t="s">
        <v>804</v>
      </c>
    </row>
    <row r="2108" spans="1:20" x14ac:dyDescent="0.3">
      <c r="A2108" t="s">
        <v>627</v>
      </c>
      <c r="B2108" s="16">
        <v>45789</v>
      </c>
      <c r="C2108" t="s">
        <v>3</v>
      </c>
      <c r="D2108" t="s">
        <v>127</v>
      </c>
      <c r="E2108" t="s">
        <v>173</v>
      </c>
      <c r="F2108">
        <v>83</v>
      </c>
      <c r="G2108">
        <v>64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</v>
      </c>
      <c r="O2108">
        <v>12</v>
      </c>
      <c r="P2108">
        <f t="shared" si="105"/>
        <v>2025</v>
      </c>
      <c r="Q2108">
        <f t="shared" si="106"/>
        <v>5</v>
      </c>
      <c r="R2108" t="str">
        <f t="shared" si="104"/>
        <v>购后推荐</v>
      </c>
      <c r="S2108" t="s">
        <v>629</v>
      </c>
      <c r="T2108" s="546" t="s">
        <v>804</v>
      </c>
    </row>
    <row r="2109" spans="1:20" x14ac:dyDescent="0.3">
      <c r="A2109" t="s">
        <v>627</v>
      </c>
      <c r="B2109" s="16">
        <v>45789</v>
      </c>
      <c r="C2109" t="s">
        <v>3</v>
      </c>
      <c r="D2109" t="s">
        <v>127</v>
      </c>
      <c r="E2109" t="s">
        <v>174</v>
      </c>
      <c r="F2109">
        <v>759</v>
      </c>
      <c r="G2109">
        <v>491</v>
      </c>
      <c r="H2109">
        <v>13</v>
      </c>
      <c r="I2109">
        <v>2</v>
      </c>
      <c r="J2109" s="15">
        <v>3088</v>
      </c>
      <c r="K2109">
        <v>2</v>
      </c>
      <c r="L2109" s="15">
        <v>3088</v>
      </c>
      <c r="M2109">
        <v>2</v>
      </c>
      <c r="N2109">
        <v>45</v>
      </c>
      <c r="O2109">
        <v>759</v>
      </c>
      <c r="P2109">
        <f t="shared" si="105"/>
        <v>2025</v>
      </c>
      <c r="Q2109">
        <f t="shared" si="106"/>
        <v>5</v>
      </c>
      <c r="R2109" t="str">
        <f t="shared" si="104"/>
        <v>首页推荐-微详情</v>
      </c>
      <c r="S2109" t="s">
        <v>629</v>
      </c>
      <c r="T2109" s="546" t="s">
        <v>804</v>
      </c>
    </row>
    <row r="2110" spans="1:20" x14ac:dyDescent="0.3">
      <c r="A2110" t="s">
        <v>627</v>
      </c>
      <c r="B2110" s="16">
        <v>45789</v>
      </c>
      <c r="C2110" t="s">
        <v>3</v>
      </c>
      <c r="D2110" t="s">
        <v>127</v>
      </c>
      <c r="E2110" t="s">
        <v>176</v>
      </c>
      <c r="F2110">
        <v>591</v>
      </c>
      <c r="G2110">
        <v>491</v>
      </c>
      <c r="H2110">
        <v>3</v>
      </c>
      <c r="I2110">
        <v>0</v>
      </c>
      <c r="J2110" s="15">
        <v>3250</v>
      </c>
      <c r="K2110">
        <v>1</v>
      </c>
      <c r="L2110">
        <v>0</v>
      </c>
      <c r="M2110">
        <v>0</v>
      </c>
      <c r="N2110">
        <v>4</v>
      </c>
      <c r="O2110">
        <v>21</v>
      </c>
      <c r="P2110">
        <f t="shared" si="105"/>
        <v>2025</v>
      </c>
      <c r="Q2110">
        <f t="shared" si="106"/>
        <v>5</v>
      </c>
      <c r="R2110" t="str">
        <f t="shared" si="104"/>
        <v>首页推荐-短视频</v>
      </c>
      <c r="S2110" t="s">
        <v>629</v>
      </c>
      <c r="T2110" s="546" t="s">
        <v>804</v>
      </c>
    </row>
    <row r="2111" spans="1:20" x14ac:dyDescent="0.3">
      <c r="A2111" t="s">
        <v>627</v>
      </c>
      <c r="B2111" s="16">
        <v>45789</v>
      </c>
      <c r="C2111" t="s">
        <v>3</v>
      </c>
      <c r="D2111" t="s">
        <v>128</v>
      </c>
      <c r="E2111" t="s">
        <v>177</v>
      </c>
      <c r="F2111">
        <v>514</v>
      </c>
      <c r="G2111">
        <v>432</v>
      </c>
      <c r="H2111">
        <v>22</v>
      </c>
      <c r="I2111">
        <v>4</v>
      </c>
      <c r="J2111" s="15">
        <v>8785</v>
      </c>
      <c r="K2111">
        <v>2</v>
      </c>
      <c r="L2111" s="15">
        <v>1490</v>
      </c>
      <c r="M2111">
        <v>1</v>
      </c>
      <c r="N2111">
        <v>291</v>
      </c>
      <c r="O2111">
        <v>309</v>
      </c>
      <c r="P2111">
        <f t="shared" si="105"/>
        <v>2025</v>
      </c>
      <c r="Q2111">
        <f t="shared" si="106"/>
        <v>5</v>
      </c>
      <c r="R2111" t="str">
        <f t="shared" si="104"/>
        <v>手淘搜索-商品及其他</v>
      </c>
      <c r="S2111" t="s">
        <v>629</v>
      </c>
      <c r="T2111" s="546" t="s">
        <v>804</v>
      </c>
    </row>
    <row r="2112" spans="1:20" x14ac:dyDescent="0.3">
      <c r="A2112" t="s">
        <v>627</v>
      </c>
      <c r="B2112" s="16">
        <v>45789</v>
      </c>
      <c r="C2112" t="s">
        <v>3</v>
      </c>
      <c r="D2112" t="s">
        <v>128</v>
      </c>
      <c r="E2112" t="s">
        <v>179</v>
      </c>
      <c r="F2112">
        <v>5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5</v>
      </c>
      <c r="P2112">
        <f t="shared" si="105"/>
        <v>2025</v>
      </c>
      <c r="Q2112">
        <f t="shared" si="106"/>
        <v>5</v>
      </c>
      <c r="R2112" t="str">
        <f t="shared" si="104"/>
        <v>手淘搜索-短视频</v>
      </c>
      <c r="S2112" t="s">
        <v>629</v>
      </c>
      <c r="T2112" s="546" t="s">
        <v>804</v>
      </c>
    </row>
    <row r="2113" spans="1:20" x14ac:dyDescent="0.3">
      <c r="A2113" t="s">
        <v>627</v>
      </c>
      <c r="B2113" s="16">
        <v>45789</v>
      </c>
      <c r="C2113" t="s">
        <v>3</v>
      </c>
      <c r="D2113" t="s">
        <v>143</v>
      </c>
      <c r="E2113" t="s">
        <v>180</v>
      </c>
      <c r="F2113">
        <v>5</v>
      </c>
      <c r="G2113">
        <v>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1</v>
      </c>
      <c r="O2113">
        <v>4</v>
      </c>
      <c r="P2113">
        <f t="shared" si="105"/>
        <v>2025</v>
      </c>
      <c r="Q2113">
        <f t="shared" si="106"/>
        <v>5</v>
      </c>
      <c r="R2113" t="str">
        <f t="shared" si="104"/>
        <v>淘特其他渠道</v>
      </c>
      <c r="S2113" t="s">
        <v>629</v>
      </c>
      <c r="T2113" s="546" t="s">
        <v>804</v>
      </c>
    </row>
    <row r="2114" spans="1:20" x14ac:dyDescent="0.3">
      <c r="A2114" t="s">
        <v>627</v>
      </c>
      <c r="B2114" s="16">
        <v>45789</v>
      </c>
      <c r="C2114" t="s">
        <v>3</v>
      </c>
      <c r="D2114" t="s">
        <v>143</v>
      </c>
      <c r="E2114" t="s">
        <v>181</v>
      </c>
      <c r="F2114">
        <v>16</v>
      </c>
      <c r="G2114">
        <v>15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16</v>
      </c>
      <c r="P2114">
        <f t="shared" si="105"/>
        <v>2025</v>
      </c>
      <c r="Q2114">
        <f t="shared" si="106"/>
        <v>5</v>
      </c>
      <c r="R2114" t="str">
        <f t="shared" si="104"/>
        <v>淘特搜索</v>
      </c>
      <c r="S2114" t="s">
        <v>629</v>
      </c>
      <c r="T2114" s="546" t="s">
        <v>804</v>
      </c>
    </row>
    <row r="2115" spans="1:20" x14ac:dyDescent="0.3">
      <c r="A2115" t="s">
        <v>627</v>
      </c>
      <c r="B2115" s="16">
        <v>45789</v>
      </c>
      <c r="C2115" t="s">
        <v>2</v>
      </c>
      <c r="D2115" t="s">
        <v>55</v>
      </c>
      <c r="E2115" t="s">
        <v>54</v>
      </c>
      <c r="F2115">
        <v>1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f t="shared" si="105"/>
        <v>2025</v>
      </c>
      <c r="Q2115">
        <f t="shared" si="106"/>
        <v>5</v>
      </c>
      <c r="R2115" t="str">
        <f t="shared" si="104"/>
        <v>超级直播</v>
      </c>
      <c r="S2115" t="s">
        <v>629</v>
      </c>
      <c r="T2115" s="546" t="s">
        <v>804</v>
      </c>
    </row>
    <row r="2116" spans="1:20" x14ac:dyDescent="0.3">
      <c r="A2116" t="s">
        <v>627</v>
      </c>
      <c r="B2116" s="16">
        <v>45789</v>
      </c>
      <c r="C2116" t="s">
        <v>2</v>
      </c>
      <c r="D2116" t="s">
        <v>57</v>
      </c>
      <c r="E2116" t="s">
        <v>64</v>
      </c>
      <c r="F2116" s="15">
        <v>9711</v>
      </c>
      <c r="G2116" s="15">
        <v>6759</v>
      </c>
      <c r="H2116">
        <v>63</v>
      </c>
      <c r="I2116">
        <v>53</v>
      </c>
      <c r="J2116" s="17">
        <v>28453.63</v>
      </c>
      <c r="K2116">
        <v>8</v>
      </c>
      <c r="L2116" s="17">
        <v>24463.63</v>
      </c>
      <c r="M2116">
        <v>7</v>
      </c>
      <c r="N2116">
        <v>282</v>
      </c>
      <c r="O2116" s="15">
        <v>9711</v>
      </c>
      <c r="P2116">
        <f t="shared" si="105"/>
        <v>2025</v>
      </c>
      <c r="Q2116">
        <f t="shared" si="106"/>
        <v>5</v>
      </c>
      <c r="R2116" t="str">
        <f t="shared" si="104"/>
        <v>引力魔方</v>
      </c>
      <c r="S2116" t="s">
        <v>629</v>
      </c>
      <c r="T2116" s="546" t="s">
        <v>804</v>
      </c>
    </row>
    <row r="2117" spans="1:20" x14ac:dyDescent="0.3">
      <c r="A2117" t="s">
        <v>627</v>
      </c>
      <c r="B2117" s="16">
        <v>45789</v>
      </c>
      <c r="C2117" t="s">
        <v>2</v>
      </c>
      <c r="D2117" t="s">
        <v>57</v>
      </c>
      <c r="E2117" t="s">
        <v>65</v>
      </c>
      <c r="F2117" s="15">
        <v>2292</v>
      </c>
      <c r="G2117" s="15">
        <v>2063</v>
      </c>
      <c r="H2117">
        <v>19</v>
      </c>
      <c r="I2117">
        <v>13</v>
      </c>
      <c r="J2117" s="15">
        <v>16290</v>
      </c>
      <c r="K2117">
        <v>4</v>
      </c>
      <c r="L2117" s="15">
        <v>1050</v>
      </c>
      <c r="M2117">
        <v>1</v>
      </c>
      <c r="N2117">
        <v>137</v>
      </c>
      <c r="O2117" s="15">
        <v>2272</v>
      </c>
      <c r="P2117">
        <f t="shared" si="105"/>
        <v>2025</v>
      </c>
      <c r="Q2117">
        <f t="shared" si="106"/>
        <v>5</v>
      </c>
      <c r="R2117" t="str">
        <f t="shared" si="104"/>
        <v>直通车</v>
      </c>
      <c r="S2117" t="s">
        <v>629</v>
      </c>
      <c r="T2117" s="546" t="s">
        <v>804</v>
      </c>
    </row>
    <row r="2118" spans="1:20" x14ac:dyDescent="0.3">
      <c r="A2118" t="s">
        <v>627</v>
      </c>
      <c r="B2118" s="16">
        <v>45789</v>
      </c>
      <c r="C2118" t="s">
        <v>2</v>
      </c>
      <c r="D2118" t="s">
        <v>57</v>
      </c>
      <c r="E2118" t="s">
        <v>63</v>
      </c>
      <c r="F2118" s="15">
        <v>4539</v>
      </c>
      <c r="G2118" s="15">
        <v>3210</v>
      </c>
      <c r="H2118">
        <v>214</v>
      </c>
      <c r="I2118">
        <v>239</v>
      </c>
      <c r="J2118" s="17">
        <v>98545.02</v>
      </c>
      <c r="K2118">
        <v>25</v>
      </c>
      <c r="L2118" s="17">
        <v>74993.02</v>
      </c>
      <c r="M2118">
        <v>22</v>
      </c>
      <c r="N2118">
        <v>747</v>
      </c>
      <c r="O2118" s="15">
        <v>4258</v>
      </c>
      <c r="P2118">
        <f t="shared" si="105"/>
        <v>2025</v>
      </c>
      <c r="Q2118">
        <f t="shared" si="106"/>
        <v>5</v>
      </c>
      <c r="R2118" t="str">
        <f t="shared" si="104"/>
        <v>万相台</v>
      </c>
      <c r="S2118" t="s">
        <v>629</v>
      </c>
      <c r="T2118" s="546" t="s">
        <v>804</v>
      </c>
    </row>
    <row r="2119" spans="1:20" x14ac:dyDescent="0.3">
      <c r="A2119" t="s">
        <v>627</v>
      </c>
      <c r="B2119" s="16">
        <v>45789</v>
      </c>
      <c r="C2119" t="s">
        <v>2</v>
      </c>
      <c r="D2119" t="s">
        <v>4</v>
      </c>
      <c r="E2119" t="s">
        <v>43</v>
      </c>
      <c r="F2119">
        <v>232</v>
      </c>
      <c r="G2119">
        <v>80</v>
      </c>
      <c r="H2119">
        <v>2</v>
      </c>
      <c r="I2119">
        <v>1</v>
      </c>
      <c r="J2119" s="17">
        <v>15360.12</v>
      </c>
      <c r="K2119">
        <v>4</v>
      </c>
      <c r="L2119" s="17">
        <v>15360.12</v>
      </c>
      <c r="M2119">
        <v>4</v>
      </c>
      <c r="N2119">
        <v>2</v>
      </c>
      <c r="O2119">
        <v>232</v>
      </c>
      <c r="P2119">
        <f t="shared" si="105"/>
        <v>2025</v>
      </c>
      <c r="Q2119">
        <f t="shared" si="106"/>
        <v>5</v>
      </c>
      <c r="R2119" t="str">
        <f t="shared" ref="R2119:R2182" si="107">E2119</f>
        <v>淘宝客</v>
      </c>
      <c r="S2119" t="s">
        <v>629</v>
      </c>
      <c r="T2119" s="546" t="s">
        <v>804</v>
      </c>
    </row>
    <row r="2120" spans="1:20" x14ac:dyDescent="0.3">
      <c r="A2120" t="s">
        <v>627</v>
      </c>
      <c r="B2120" s="16">
        <v>45790</v>
      </c>
      <c r="C2120" t="s">
        <v>3</v>
      </c>
      <c r="D2120" t="s">
        <v>114</v>
      </c>
      <c r="E2120" t="s">
        <v>159</v>
      </c>
      <c r="F2120">
        <v>35</v>
      </c>
      <c r="G2120">
        <v>14</v>
      </c>
      <c r="H2120">
        <v>4</v>
      </c>
      <c r="I2120">
        <v>0</v>
      </c>
      <c r="J2120" s="15">
        <v>5845</v>
      </c>
      <c r="K2120">
        <v>1</v>
      </c>
      <c r="L2120">
        <v>0</v>
      </c>
      <c r="M2120">
        <v>0</v>
      </c>
      <c r="N2120">
        <v>11</v>
      </c>
      <c r="O2120">
        <v>30</v>
      </c>
      <c r="P2120">
        <f t="shared" si="105"/>
        <v>2025</v>
      </c>
      <c r="Q2120">
        <f t="shared" si="106"/>
        <v>5</v>
      </c>
      <c r="R2120" t="str">
        <f t="shared" si="107"/>
        <v>主会场</v>
      </c>
      <c r="S2120" t="s">
        <v>629</v>
      </c>
      <c r="T2120" s="546" t="s">
        <v>804</v>
      </c>
    </row>
    <row r="2121" spans="1:20" x14ac:dyDescent="0.3">
      <c r="A2121" t="s">
        <v>627</v>
      </c>
      <c r="B2121" s="16">
        <v>45790</v>
      </c>
      <c r="C2121" t="s">
        <v>3</v>
      </c>
      <c r="D2121" t="s">
        <v>123</v>
      </c>
      <c r="E2121" t="s">
        <v>169</v>
      </c>
      <c r="F2121">
        <v>175</v>
      </c>
      <c r="G2121">
        <v>88</v>
      </c>
      <c r="H2121">
        <v>11</v>
      </c>
      <c r="I2121">
        <v>10</v>
      </c>
      <c r="J2121" s="15">
        <v>10780</v>
      </c>
      <c r="K2121">
        <v>3</v>
      </c>
      <c r="L2121" s="15">
        <v>8385</v>
      </c>
      <c r="M2121">
        <v>3</v>
      </c>
      <c r="N2121">
        <v>45</v>
      </c>
      <c r="O2121">
        <v>164</v>
      </c>
      <c r="P2121">
        <f t="shared" si="105"/>
        <v>2025</v>
      </c>
      <c r="Q2121">
        <f t="shared" si="106"/>
        <v>5</v>
      </c>
      <c r="R2121" t="str">
        <f t="shared" si="107"/>
        <v>商品详情页头图推荐</v>
      </c>
      <c r="S2121" t="s">
        <v>629</v>
      </c>
      <c r="T2121" s="546" t="s">
        <v>804</v>
      </c>
    </row>
    <row r="2122" spans="1:20" x14ac:dyDescent="0.3">
      <c r="A2122" t="s">
        <v>627</v>
      </c>
      <c r="B2122" s="16">
        <v>45790</v>
      </c>
      <c r="C2122" t="s">
        <v>3</v>
      </c>
      <c r="D2122" t="s">
        <v>123</v>
      </c>
      <c r="E2122" t="s">
        <v>170</v>
      </c>
      <c r="F2122">
        <v>56</v>
      </c>
      <c r="G2122">
        <v>32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51</v>
      </c>
      <c r="O2122">
        <v>20</v>
      </c>
      <c r="P2122">
        <f t="shared" si="105"/>
        <v>2025</v>
      </c>
      <c r="Q2122">
        <f t="shared" si="106"/>
        <v>5</v>
      </c>
      <c r="R2122" t="str">
        <f t="shared" si="107"/>
        <v>店铺超链</v>
      </c>
      <c r="S2122" t="s">
        <v>629</v>
      </c>
      <c r="T2122" s="546" t="s">
        <v>804</v>
      </c>
    </row>
    <row r="2123" spans="1:20" x14ac:dyDescent="0.3">
      <c r="A2123" t="s">
        <v>627</v>
      </c>
      <c r="B2123" s="16">
        <v>45790</v>
      </c>
      <c r="C2123" t="s">
        <v>3</v>
      </c>
      <c r="D2123" t="s">
        <v>127</v>
      </c>
      <c r="E2123" t="s">
        <v>171</v>
      </c>
      <c r="F2123">
        <v>120</v>
      </c>
      <c r="G2123">
        <v>73</v>
      </c>
      <c r="H2123">
        <v>4</v>
      </c>
      <c r="I2123">
        <v>2</v>
      </c>
      <c r="J2123">
        <v>0</v>
      </c>
      <c r="K2123">
        <v>0</v>
      </c>
      <c r="L2123">
        <v>0</v>
      </c>
      <c r="M2123">
        <v>0</v>
      </c>
      <c r="N2123">
        <v>48</v>
      </c>
      <c r="O2123">
        <v>97</v>
      </c>
      <c r="P2123">
        <f t="shared" si="105"/>
        <v>2025</v>
      </c>
      <c r="Q2123">
        <f t="shared" si="106"/>
        <v>5</v>
      </c>
      <c r="R2123" t="str">
        <f t="shared" si="107"/>
        <v>其他猜你喜欢</v>
      </c>
      <c r="S2123" t="s">
        <v>629</v>
      </c>
      <c r="T2123" s="546" t="s">
        <v>804</v>
      </c>
    </row>
    <row r="2124" spans="1:20" x14ac:dyDescent="0.3">
      <c r="A2124" t="s">
        <v>627</v>
      </c>
      <c r="B2124" s="16">
        <v>45790</v>
      </c>
      <c r="C2124" t="s">
        <v>3</v>
      </c>
      <c r="D2124" t="s">
        <v>127</v>
      </c>
      <c r="E2124" t="s">
        <v>172</v>
      </c>
      <c r="F2124">
        <v>5</v>
      </c>
      <c r="G2124">
        <v>3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3</v>
      </c>
      <c r="P2124">
        <f t="shared" si="105"/>
        <v>2025</v>
      </c>
      <c r="Q2124">
        <f t="shared" si="106"/>
        <v>5</v>
      </c>
      <c r="R2124" t="str">
        <f t="shared" si="107"/>
        <v>购中推荐</v>
      </c>
      <c r="S2124" t="s">
        <v>629</v>
      </c>
      <c r="T2124" s="546" t="s">
        <v>804</v>
      </c>
    </row>
    <row r="2125" spans="1:20" x14ac:dyDescent="0.3">
      <c r="A2125" t="s">
        <v>627</v>
      </c>
      <c r="B2125" s="16">
        <v>45790</v>
      </c>
      <c r="C2125" t="s">
        <v>3</v>
      </c>
      <c r="D2125" t="s">
        <v>127</v>
      </c>
      <c r="E2125" t="s">
        <v>173</v>
      </c>
      <c r="F2125">
        <v>23</v>
      </c>
      <c r="G2125">
        <v>14</v>
      </c>
      <c r="H2125">
        <v>0</v>
      </c>
      <c r="I2125">
        <v>1</v>
      </c>
      <c r="J2125">
        <v>0</v>
      </c>
      <c r="K2125">
        <v>0</v>
      </c>
      <c r="L2125">
        <v>0</v>
      </c>
      <c r="M2125">
        <v>0</v>
      </c>
      <c r="N2125">
        <v>3</v>
      </c>
      <c r="O2125">
        <v>12</v>
      </c>
      <c r="P2125">
        <f t="shared" si="105"/>
        <v>2025</v>
      </c>
      <c r="Q2125">
        <f t="shared" si="106"/>
        <v>5</v>
      </c>
      <c r="R2125" t="str">
        <f t="shared" si="107"/>
        <v>购后推荐</v>
      </c>
      <c r="S2125" t="s">
        <v>629</v>
      </c>
      <c r="T2125" s="546" t="s">
        <v>804</v>
      </c>
    </row>
    <row r="2126" spans="1:20" x14ac:dyDescent="0.3">
      <c r="A2126" t="s">
        <v>627</v>
      </c>
      <c r="B2126" s="16">
        <v>45790</v>
      </c>
      <c r="C2126" t="s">
        <v>3</v>
      </c>
      <c r="D2126" t="s">
        <v>127</v>
      </c>
      <c r="E2126" t="s">
        <v>174</v>
      </c>
      <c r="F2126">
        <v>640</v>
      </c>
      <c r="G2126">
        <v>368</v>
      </c>
      <c r="H2126">
        <v>19</v>
      </c>
      <c r="I2126">
        <v>9</v>
      </c>
      <c r="J2126" s="15">
        <v>13592</v>
      </c>
      <c r="K2126">
        <v>4</v>
      </c>
      <c r="L2126" s="15">
        <v>10597</v>
      </c>
      <c r="M2126">
        <v>4</v>
      </c>
      <c r="N2126">
        <v>49</v>
      </c>
      <c r="O2126">
        <v>640</v>
      </c>
      <c r="P2126">
        <f t="shared" si="105"/>
        <v>2025</v>
      </c>
      <c r="Q2126">
        <f t="shared" si="106"/>
        <v>5</v>
      </c>
      <c r="R2126" t="str">
        <f t="shared" si="107"/>
        <v>首页推荐-微详情</v>
      </c>
      <c r="S2126" t="s">
        <v>629</v>
      </c>
      <c r="T2126" s="546" t="s">
        <v>804</v>
      </c>
    </row>
    <row r="2127" spans="1:20" x14ac:dyDescent="0.3">
      <c r="A2127" t="s">
        <v>627</v>
      </c>
      <c r="B2127" s="16">
        <v>45790</v>
      </c>
      <c r="C2127" t="s">
        <v>3</v>
      </c>
      <c r="D2127" t="s">
        <v>127</v>
      </c>
      <c r="E2127" t="s">
        <v>176</v>
      </c>
      <c r="F2127">
        <v>184</v>
      </c>
      <c r="G2127">
        <v>141</v>
      </c>
      <c r="H2127">
        <v>2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2</v>
      </c>
      <c r="O2127">
        <v>13</v>
      </c>
      <c r="P2127">
        <f t="shared" si="105"/>
        <v>2025</v>
      </c>
      <c r="Q2127">
        <f t="shared" si="106"/>
        <v>5</v>
      </c>
      <c r="R2127" t="str">
        <f t="shared" si="107"/>
        <v>首页推荐-短视频</v>
      </c>
      <c r="S2127" t="s">
        <v>629</v>
      </c>
      <c r="T2127" s="546" t="s">
        <v>804</v>
      </c>
    </row>
    <row r="2128" spans="1:20" x14ac:dyDescent="0.3">
      <c r="A2128" t="s">
        <v>627</v>
      </c>
      <c r="B2128" s="16">
        <v>45790</v>
      </c>
      <c r="C2128" t="s">
        <v>3</v>
      </c>
      <c r="D2128" t="s">
        <v>128</v>
      </c>
      <c r="E2128" t="s">
        <v>177</v>
      </c>
      <c r="F2128">
        <v>493</v>
      </c>
      <c r="G2128">
        <v>389</v>
      </c>
      <c r="H2128">
        <v>15</v>
      </c>
      <c r="I2128">
        <v>13</v>
      </c>
      <c r="J2128" s="15">
        <v>35610</v>
      </c>
      <c r="K2128">
        <v>6</v>
      </c>
      <c r="L2128" s="15">
        <v>6230</v>
      </c>
      <c r="M2128">
        <v>3</v>
      </c>
      <c r="N2128">
        <v>270</v>
      </c>
      <c r="O2128">
        <v>295</v>
      </c>
      <c r="P2128">
        <f t="shared" si="105"/>
        <v>2025</v>
      </c>
      <c r="Q2128">
        <f t="shared" si="106"/>
        <v>5</v>
      </c>
      <c r="R2128" t="str">
        <f t="shared" si="107"/>
        <v>手淘搜索-商品及其他</v>
      </c>
      <c r="S2128" t="s">
        <v>629</v>
      </c>
      <c r="T2128" s="546" t="s">
        <v>804</v>
      </c>
    </row>
    <row r="2129" spans="1:20" x14ac:dyDescent="0.3">
      <c r="A2129" t="s">
        <v>627</v>
      </c>
      <c r="B2129" s="16">
        <v>45790</v>
      </c>
      <c r="C2129" t="s">
        <v>3</v>
      </c>
      <c r="D2129" t="s">
        <v>128</v>
      </c>
      <c r="E2129" t="s">
        <v>179</v>
      </c>
      <c r="F2129">
        <v>2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2</v>
      </c>
      <c r="P2129">
        <f t="shared" si="105"/>
        <v>2025</v>
      </c>
      <c r="Q2129">
        <f t="shared" si="106"/>
        <v>5</v>
      </c>
      <c r="R2129" t="str">
        <f t="shared" si="107"/>
        <v>手淘搜索-短视频</v>
      </c>
      <c r="S2129" t="s">
        <v>629</v>
      </c>
      <c r="T2129" s="546" t="s">
        <v>804</v>
      </c>
    </row>
    <row r="2130" spans="1:20" x14ac:dyDescent="0.3">
      <c r="A2130" t="s">
        <v>627</v>
      </c>
      <c r="B2130" s="16">
        <v>45790</v>
      </c>
      <c r="C2130" t="s">
        <v>3</v>
      </c>
      <c r="D2130" t="s">
        <v>143</v>
      </c>
      <c r="E2130" t="s">
        <v>180</v>
      </c>
      <c r="F2130">
        <v>5</v>
      </c>
      <c r="G2130">
        <v>5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1</v>
      </c>
      <c r="O2130">
        <v>5</v>
      </c>
      <c r="P2130">
        <f t="shared" si="105"/>
        <v>2025</v>
      </c>
      <c r="Q2130">
        <f t="shared" si="106"/>
        <v>5</v>
      </c>
      <c r="R2130" t="str">
        <f t="shared" si="107"/>
        <v>淘特其他渠道</v>
      </c>
      <c r="S2130" t="s">
        <v>629</v>
      </c>
      <c r="T2130" s="546" t="s">
        <v>804</v>
      </c>
    </row>
    <row r="2131" spans="1:20" x14ac:dyDescent="0.3">
      <c r="A2131" t="s">
        <v>627</v>
      </c>
      <c r="B2131" s="16">
        <v>45790</v>
      </c>
      <c r="C2131" t="s">
        <v>3</v>
      </c>
      <c r="D2131" t="s">
        <v>143</v>
      </c>
      <c r="E2131" t="s">
        <v>181</v>
      </c>
      <c r="F2131">
        <v>28</v>
      </c>
      <c r="G2131">
        <v>27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28</v>
      </c>
      <c r="P2131">
        <f t="shared" si="105"/>
        <v>2025</v>
      </c>
      <c r="Q2131">
        <f t="shared" si="106"/>
        <v>5</v>
      </c>
      <c r="R2131" t="str">
        <f t="shared" si="107"/>
        <v>淘特搜索</v>
      </c>
      <c r="S2131" t="s">
        <v>629</v>
      </c>
      <c r="T2131" s="546" t="s">
        <v>804</v>
      </c>
    </row>
    <row r="2132" spans="1:20" x14ac:dyDescent="0.3">
      <c r="A2132" t="s">
        <v>627</v>
      </c>
      <c r="B2132" s="16">
        <v>45790</v>
      </c>
      <c r="C2132" t="s">
        <v>2</v>
      </c>
      <c r="D2132" t="s">
        <v>55</v>
      </c>
      <c r="E2132" t="s">
        <v>56</v>
      </c>
      <c r="F2132">
        <v>1</v>
      </c>
      <c r="G2132">
        <v>1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</v>
      </c>
      <c r="P2132">
        <f t="shared" si="105"/>
        <v>2025</v>
      </c>
      <c r="Q2132">
        <f t="shared" si="106"/>
        <v>5</v>
      </c>
      <c r="R2132" t="str">
        <f t="shared" si="107"/>
        <v>超级短视频</v>
      </c>
      <c r="S2132" t="s">
        <v>629</v>
      </c>
      <c r="T2132" s="546" t="s">
        <v>804</v>
      </c>
    </row>
    <row r="2133" spans="1:20" x14ac:dyDescent="0.3">
      <c r="A2133" t="s">
        <v>627</v>
      </c>
      <c r="B2133" s="16">
        <v>45790</v>
      </c>
      <c r="C2133" t="s">
        <v>2</v>
      </c>
      <c r="D2133" t="s">
        <v>52</v>
      </c>
      <c r="E2133" t="s">
        <v>58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1</v>
      </c>
      <c r="P2133">
        <f t="shared" ref="P2133:P2196" si="108">YEAR(B2133)</f>
        <v>2025</v>
      </c>
      <c r="Q2133">
        <f t="shared" ref="Q2133:Q2196" si="109">MONTH(B2133)</f>
        <v>5</v>
      </c>
      <c r="R2133" t="str">
        <f t="shared" si="107"/>
        <v>超级全域通</v>
      </c>
      <c r="S2133" t="s">
        <v>629</v>
      </c>
      <c r="T2133" s="546" t="s">
        <v>804</v>
      </c>
    </row>
    <row r="2134" spans="1:20" x14ac:dyDescent="0.3">
      <c r="A2134" t="s">
        <v>627</v>
      </c>
      <c r="B2134" s="16">
        <v>45790</v>
      </c>
      <c r="C2134" t="s">
        <v>2</v>
      </c>
      <c r="D2134" t="s">
        <v>57</v>
      </c>
      <c r="E2134" t="s">
        <v>64</v>
      </c>
      <c r="F2134" s="15">
        <v>9459</v>
      </c>
      <c r="G2134" s="15">
        <v>6246</v>
      </c>
      <c r="H2134">
        <v>66</v>
      </c>
      <c r="I2134">
        <v>44</v>
      </c>
      <c r="J2134" s="15">
        <v>13643</v>
      </c>
      <c r="K2134">
        <v>5</v>
      </c>
      <c r="L2134" s="15">
        <v>2980</v>
      </c>
      <c r="M2134">
        <v>1</v>
      </c>
      <c r="N2134">
        <v>333</v>
      </c>
      <c r="O2134" s="15">
        <v>9457</v>
      </c>
      <c r="P2134">
        <f t="shared" si="108"/>
        <v>2025</v>
      </c>
      <c r="Q2134">
        <f t="shared" si="109"/>
        <v>5</v>
      </c>
      <c r="R2134" t="str">
        <f t="shared" si="107"/>
        <v>引力魔方</v>
      </c>
      <c r="S2134" t="s">
        <v>629</v>
      </c>
      <c r="T2134" s="546" t="s">
        <v>804</v>
      </c>
    </row>
    <row r="2135" spans="1:20" x14ac:dyDescent="0.3">
      <c r="A2135" t="s">
        <v>627</v>
      </c>
      <c r="B2135" s="16">
        <v>45790</v>
      </c>
      <c r="C2135" t="s">
        <v>2</v>
      </c>
      <c r="D2135" t="s">
        <v>57</v>
      </c>
      <c r="E2135" t="s">
        <v>65</v>
      </c>
      <c r="F2135" s="15">
        <v>3402</v>
      </c>
      <c r="G2135" s="15">
        <v>3092</v>
      </c>
      <c r="H2135">
        <v>43</v>
      </c>
      <c r="I2135">
        <v>22</v>
      </c>
      <c r="J2135" s="15">
        <v>35580</v>
      </c>
      <c r="K2135">
        <v>6</v>
      </c>
      <c r="L2135" s="15">
        <v>20685</v>
      </c>
      <c r="M2135">
        <v>3</v>
      </c>
      <c r="N2135">
        <v>208</v>
      </c>
      <c r="O2135" s="15">
        <v>3375</v>
      </c>
      <c r="P2135">
        <f t="shared" si="108"/>
        <v>2025</v>
      </c>
      <c r="Q2135">
        <f t="shared" si="109"/>
        <v>5</v>
      </c>
      <c r="R2135" t="str">
        <f t="shared" si="107"/>
        <v>直通车</v>
      </c>
      <c r="S2135" t="s">
        <v>629</v>
      </c>
      <c r="T2135" s="546" t="s">
        <v>804</v>
      </c>
    </row>
    <row r="2136" spans="1:20" x14ac:dyDescent="0.3">
      <c r="A2136" t="s">
        <v>627</v>
      </c>
      <c r="B2136" s="16">
        <v>45790</v>
      </c>
      <c r="C2136" t="s">
        <v>2</v>
      </c>
      <c r="D2136" t="s">
        <v>57</v>
      </c>
      <c r="E2136" t="s">
        <v>63</v>
      </c>
      <c r="F2136" s="15">
        <v>4329</v>
      </c>
      <c r="G2136" s="15">
        <v>2941</v>
      </c>
      <c r="H2136">
        <v>179</v>
      </c>
      <c r="I2136">
        <v>216</v>
      </c>
      <c r="J2136" s="15">
        <v>74106</v>
      </c>
      <c r="K2136">
        <v>24</v>
      </c>
      <c r="L2136" s="15">
        <v>58771</v>
      </c>
      <c r="M2136">
        <v>22</v>
      </c>
      <c r="N2136">
        <v>773</v>
      </c>
      <c r="O2136" s="15">
        <v>4056</v>
      </c>
      <c r="P2136">
        <f t="shared" si="108"/>
        <v>2025</v>
      </c>
      <c r="Q2136">
        <f t="shared" si="109"/>
        <v>5</v>
      </c>
      <c r="R2136" t="str">
        <f t="shared" si="107"/>
        <v>万相台</v>
      </c>
      <c r="S2136" t="s">
        <v>629</v>
      </c>
      <c r="T2136" s="546" t="s">
        <v>804</v>
      </c>
    </row>
    <row r="2137" spans="1:20" x14ac:dyDescent="0.3">
      <c r="A2137" t="s">
        <v>627</v>
      </c>
      <c r="B2137" s="16">
        <v>45790</v>
      </c>
      <c r="C2137" t="s">
        <v>2</v>
      </c>
      <c r="D2137" t="s">
        <v>4</v>
      </c>
      <c r="E2137" t="s">
        <v>43</v>
      </c>
      <c r="F2137">
        <v>222</v>
      </c>
      <c r="G2137">
        <v>71</v>
      </c>
      <c r="H2137">
        <v>4</v>
      </c>
      <c r="I2137">
        <v>0</v>
      </c>
      <c r="J2137" s="15">
        <v>5278</v>
      </c>
      <c r="K2137">
        <v>3</v>
      </c>
      <c r="L2137" s="15">
        <v>5278</v>
      </c>
      <c r="M2137">
        <v>3</v>
      </c>
      <c r="N2137">
        <v>2</v>
      </c>
      <c r="O2137">
        <v>222</v>
      </c>
      <c r="P2137">
        <f t="shared" si="108"/>
        <v>2025</v>
      </c>
      <c r="Q2137">
        <f t="shared" si="109"/>
        <v>5</v>
      </c>
      <c r="R2137" t="str">
        <f t="shared" si="107"/>
        <v>淘宝客</v>
      </c>
      <c r="S2137" t="s">
        <v>629</v>
      </c>
      <c r="T2137" s="546" t="s">
        <v>804</v>
      </c>
    </row>
    <row r="2138" spans="1:20" x14ac:dyDescent="0.3">
      <c r="A2138" t="s">
        <v>627</v>
      </c>
      <c r="B2138" s="16">
        <v>45791</v>
      </c>
      <c r="C2138" t="s">
        <v>3</v>
      </c>
      <c r="D2138" t="s">
        <v>114</v>
      </c>
      <c r="E2138" t="s">
        <v>159</v>
      </c>
      <c r="F2138">
        <v>51</v>
      </c>
      <c r="G2138">
        <v>24</v>
      </c>
      <c r="H2138">
        <v>2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6</v>
      </c>
      <c r="O2138">
        <v>44</v>
      </c>
      <c r="P2138">
        <f t="shared" si="108"/>
        <v>2025</v>
      </c>
      <c r="Q2138">
        <f t="shared" si="109"/>
        <v>5</v>
      </c>
      <c r="R2138" t="str">
        <f t="shared" si="107"/>
        <v>主会场</v>
      </c>
      <c r="S2138" t="s">
        <v>629</v>
      </c>
      <c r="T2138" s="546" t="s">
        <v>804</v>
      </c>
    </row>
    <row r="2139" spans="1:20" x14ac:dyDescent="0.3">
      <c r="A2139" t="s">
        <v>627</v>
      </c>
      <c r="B2139" s="16">
        <v>45791</v>
      </c>
      <c r="C2139" t="s">
        <v>3</v>
      </c>
      <c r="D2139" t="s">
        <v>123</v>
      </c>
      <c r="E2139" t="s">
        <v>169</v>
      </c>
      <c r="F2139">
        <v>214</v>
      </c>
      <c r="G2139">
        <v>104</v>
      </c>
      <c r="H2139">
        <v>20</v>
      </c>
      <c r="I2139">
        <v>8</v>
      </c>
      <c r="J2139" s="15">
        <v>10500</v>
      </c>
      <c r="K2139">
        <v>4</v>
      </c>
      <c r="L2139" s="15">
        <v>10500</v>
      </c>
      <c r="M2139">
        <v>4</v>
      </c>
      <c r="N2139">
        <v>41</v>
      </c>
      <c r="O2139">
        <v>209</v>
      </c>
      <c r="P2139">
        <f t="shared" si="108"/>
        <v>2025</v>
      </c>
      <c r="Q2139">
        <f t="shared" si="109"/>
        <v>5</v>
      </c>
      <c r="R2139" t="str">
        <f t="shared" si="107"/>
        <v>商品详情页头图推荐</v>
      </c>
      <c r="S2139" t="s">
        <v>629</v>
      </c>
      <c r="T2139" s="546" t="s">
        <v>804</v>
      </c>
    </row>
    <row r="2140" spans="1:20" x14ac:dyDescent="0.3">
      <c r="A2140" t="s">
        <v>627</v>
      </c>
      <c r="B2140" s="16">
        <v>45791</v>
      </c>
      <c r="C2140" t="s">
        <v>3</v>
      </c>
      <c r="D2140" t="s">
        <v>123</v>
      </c>
      <c r="E2140" t="s">
        <v>170</v>
      </c>
      <c r="F2140">
        <v>28</v>
      </c>
      <c r="G2140">
        <v>16</v>
      </c>
      <c r="H2140">
        <v>3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25</v>
      </c>
      <c r="O2140">
        <v>9</v>
      </c>
      <c r="P2140">
        <f t="shared" si="108"/>
        <v>2025</v>
      </c>
      <c r="Q2140">
        <f t="shared" si="109"/>
        <v>5</v>
      </c>
      <c r="R2140" t="str">
        <f t="shared" si="107"/>
        <v>店铺超链</v>
      </c>
      <c r="S2140" t="s">
        <v>629</v>
      </c>
      <c r="T2140" s="546" t="s">
        <v>804</v>
      </c>
    </row>
    <row r="2141" spans="1:20" x14ac:dyDescent="0.3">
      <c r="A2141" t="s">
        <v>627</v>
      </c>
      <c r="B2141" s="16">
        <v>45791</v>
      </c>
      <c r="C2141" t="s">
        <v>3</v>
      </c>
      <c r="D2141" t="s">
        <v>127</v>
      </c>
      <c r="E2141" t="s">
        <v>171</v>
      </c>
      <c r="F2141">
        <v>106</v>
      </c>
      <c r="G2141">
        <v>47</v>
      </c>
      <c r="H2141">
        <v>7</v>
      </c>
      <c r="I2141">
        <v>1</v>
      </c>
      <c r="J2141" s="15">
        <v>4912</v>
      </c>
      <c r="K2141">
        <v>2</v>
      </c>
      <c r="L2141" s="15">
        <v>4912</v>
      </c>
      <c r="M2141">
        <v>2</v>
      </c>
      <c r="N2141">
        <v>35</v>
      </c>
      <c r="O2141">
        <v>89</v>
      </c>
      <c r="P2141">
        <f t="shared" si="108"/>
        <v>2025</v>
      </c>
      <c r="Q2141">
        <f t="shared" si="109"/>
        <v>5</v>
      </c>
      <c r="R2141" t="str">
        <f t="shared" si="107"/>
        <v>其他猜你喜欢</v>
      </c>
      <c r="S2141" t="s">
        <v>629</v>
      </c>
      <c r="T2141" s="546" t="s">
        <v>804</v>
      </c>
    </row>
    <row r="2142" spans="1:20" x14ac:dyDescent="0.3">
      <c r="A2142" t="s">
        <v>627</v>
      </c>
      <c r="B2142" s="16">
        <v>45791</v>
      </c>
      <c r="C2142" t="s">
        <v>3</v>
      </c>
      <c r="D2142" t="s">
        <v>127</v>
      </c>
      <c r="E2142" t="s">
        <v>172</v>
      </c>
      <c r="F2142">
        <v>2</v>
      </c>
      <c r="G2142">
        <v>2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1</v>
      </c>
      <c r="P2142">
        <f t="shared" si="108"/>
        <v>2025</v>
      </c>
      <c r="Q2142">
        <f t="shared" si="109"/>
        <v>5</v>
      </c>
      <c r="R2142" t="str">
        <f t="shared" si="107"/>
        <v>购中推荐</v>
      </c>
      <c r="S2142" t="s">
        <v>629</v>
      </c>
      <c r="T2142" s="546" t="s">
        <v>804</v>
      </c>
    </row>
    <row r="2143" spans="1:20" x14ac:dyDescent="0.3">
      <c r="A2143" t="s">
        <v>627</v>
      </c>
      <c r="B2143" s="16">
        <v>45791</v>
      </c>
      <c r="C2143" t="s">
        <v>3</v>
      </c>
      <c r="D2143" t="s">
        <v>127</v>
      </c>
      <c r="E2143" t="s">
        <v>173</v>
      </c>
      <c r="F2143">
        <v>25</v>
      </c>
      <c r="G2143">
        <v>13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13</v>
      </c>
      <c r="P2143">
        <f t="shared" si="108"/>
        <v>2025</v>
      </c>
      <c r="Q2143">
        <f t="shared" si="109"/>
        <v>5</v>
      </c>
      <c r="R2143" t="str">
        <f t="shared" si="107"/>
        <v>购后推荐</v>
      </c>
      <c r="S2143" t="s">
        <v>629</v>
      </c>
      <c r="T2143" s="546" t="s">
        <v>804</v>
      </c>
    </row>
    <row r="2144" spans="1:20" x14ac:dyDescent="0.3">
      <c r="A2144" t="s">
        <v>627</v>
      </c>
      <c r="B2144" s="16">
        <v>45791</v>
      </c>
      <c r="C2144" t="s">
        <v>3</v>
      </c>
      <c r="D2144" t="s">
        <v>127</v>
      </c>
      <c r="E2144" t="s">
        <v>174</v>
      </c>
      <c r="F2144">
        <v>576</v>
      </c>
      <c r="G2144">
        <v>265</v>
      </c>
      <c r="H2144">
        <v>14</v>
      </c>
      <c r="I2144">
        <v>4</v>
      </c>
      <c r="J2144" s="15">
        <v>1917</v>
      </c>
      <c r="K2144">
        <v>1</v>
      </c>
      <c r="L2144" s="15">
        <v>1917</v>
      </c>
      <c r="M2144">
        <v>1</v>
      </c>
      <c r="N2144">
        <v>49</v>
      </c>
      <c r="O2144">
        <v>576</v>
      </c>
      <c r="P2144">
        <f t="shared" si="108"/>
        <v>2025</v>
      </c>
      <c r="Q2144">
        <f t="shared" si="109"/>
        <v>5</v>
      </c>
      <c r="R2144" t="str">
        <f t="shared" si="107"/>
        <v>首页推荐-微详情</v>
      </c>
      <c r="S2144" t="s">
        <v>629</v>
      </c>
      <c r="T2144" s="546" t="s">
        <v>804</v>
      </c>
    </row>
    <row r="2145" spans="1:20" x14ac:dyDescent="0.3">
      <c r="A2145" t="s">
        <v>627</v>
      </c>
      <c r="B2145" s="16">
        <v>45791</v>
      </c>
      <c r="C2145" t="s">
        <v>3</v>
      </c>
      <c r="D2145" t="s">
        <v>127</v>
      </c>
      <c r="E2145" t="s">
        <v>175</v>
      </c>
      <c r="F2145">
        <v>116</v>
      </c>
      <c r="G2145">
        <v>72</v>
      </c>
      <c r="H2145">
        <v>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2</v>
      </c>
      <c r="O2145">
        <v>32</v>
      </c>
      <c r="P2145">
        <f t="shared" si="108"/>
        <v>2025</v>
      </c>
      <c r="Q2145">
        <f t="shared" si="109"/>
        <v>5</v>
      </c>
      <c r="R2145" t="str">
        <f t="shared" si="107"/>
        <v>首页推荐-直播</v>
      </c>
      <c r="S2145" t="s">
        <v>629</v>
      </c>
      <c r="T2145" s="546" t="s">
        <v>804</v>
      </c>
    </row>
    <row r="2146" spans="1:20" x14ac:dyDescent="0.3">
      <c r="A2146" t="s">
        <v>627</v>
      </c>
      <c r="B2146" s="16">
        <v>45791</v>
      </c>
      <c r="C2146" t="s">
        <v>3</v>
      </c>
      <c r="D2146" t="s">
        <v>127</v>
      </c>
      <c r="E2146" t="s">
        <v>176</v>
      </c>
      <c r="F2146">
        <v>109</v>
      </c>
      <c r="G2146">
        <v>56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1</v>
      </c>
      <c r="O2146">
        <v>10</v>
      </c>
      <c r="P2146">
        <f t="shared" si="108"/>
        <v>2025</v>
      </c>
      <c r="Q2146">
        <f t="shared" si="109"/>
        <v>5</v>
      </c>
      <c r="R2146" t="str">
        <f t="shared" si="107"/>
        <v>首页推荐-短视频</v>
      </c>
      <c r="S2146" t="s">
        <v>629</v>
      </c>
      <c r="T2146" s="546" t="s">
        <v>804</v>
      </c>
    </row>
    <row r="2147" spans="1:20" x14ac:dyDescent="0.3">
      <c r="A2147" t="s">
        <v>627</v>
      </c>
      <c r="B2147" s="16">
        <v>45791</v>
      </c>
      <c r="C2147" t="s">
        <v>3</v>
      </c>
      <c r="D2147" t="s">
        <v>128</v>
      </c>
      <c r="E2147" t="s">
        <v>177</v>
      </c>
      <c r="F2147">
        <v>591</v>
      </c>
      <c r="G2147">
        <v>495</v>
      </c>
      <c r="H2147">
        <v>23</v>
      </c>
      <c r="I2147">
        <v>3</v>
      </c>
      <c r="J2147" s="15">
        <v>3300</v>
      </c>
      <c r="K2147">
        <v>2</v>
      </c>
      <c r="L2147" s="15">
        <v>1050</v>
      </c>
      <c r="M2147">
        <v>1</v>
      </c>
      <c r="N2147">
        <v>291</v>
      </c>
      <c r="O2147">
        <v>359</v>
      </c>
      <c r="P2147">
        <f t="shared" si="108"/>
        <v>2025</v>
      </c>
      <c r="Q2147">
        <f t="shared" si="109"/>
        <v>5</v>
      </c>
      <c r="R2147" t="str">
        <f t="shared" si="107"/>
        <v>手淘搜索-商品及其他</v>
      </c>
      <c r="S2147" t="s">
        <v>629</v>
      </c>
      <c r="T2147" s="546" t="s">
        <v>804</v>
      </c>
    </row>
    <row r="2148" spans="1:20" x14ac:dyDescent="0.3">
      <c r="A2148" t="s">
        <v>627</v>
      </c>
      <c r="B2148" s="16">
        <v>45791</v>
      </c>
      <c r="C2148" t="s">
        <v>3</v>
      </c>
      <c r="D2148" t="s">
        <v>128</v>
      </c>
      <c r="E2148" t="s">
        <v>178</v>
      </c>
      <c r="F2148">
        <v>10</v>
      </c>
      <c r="G2148">
        <v>8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2</v>
      </c>
      <c r="O2148">
        <v>7</v>
      </c>
      <c r="P2148">
        <f t="shared" si="108"/>
        <v>2025</v>
      </c>
      <c r="Q2148">
        <f t="shared" si="109"/>
        <v>5</v>
      </c>
      <c r="R2148" t="str">
        <f t="shared" si="107"/>
        <v>手淘搜索-直播</v>
      </c>
      <c r="S2148" t="s">
        <v>629</v>
      </c>
      <c r="T2148" s="546" t="s">
        <v>804</v>
      </c>
    </row>
    <row r="2149" spans="1:20" x14ac:dyDescent="0.3">
      <c r="A2149" t="s">
        <v>627</v>
      </c>
      <c r="B2149" s="16">
        <v>45791</v>
      </c>
      <c r="C2149" t="s">
        <v>3</v>
      </c>
      <c r="D2149" t="s">
        <v>128</v>
      </c>
      <c r="E2149" t="s">
        <v>179</v>
      </c>
      <c r="F2149">
        <v>4</v>
      </c>
      <c r="G2149">
        <v>2</v>
      </c>
      <c r="H2149">
        <v>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1</v>
      </c>
      <c r="O2149">
        <v>4</v>
      </c>
      <c r="P2149">
        <f t="shared" si="108"/>
        <v>2025</v>
      </c>
      <c r="Q2149">
        <f t="shared" si="109"/>
        <v>5</v>
      </c>
      <c r="R2149" t="str">
        <f t="shared" si="107"/>
        <v>手淘搜索-短视频</v>
      </c>
      <c r="S2149" t="s">
        <v>629</v>
      </c>
      <c r="T2149" s="546" t="s">
        <v>804</v>
      </c>
    </row>
    <row r="2150" spans="1:20" x14ac:dyDescent="0.3">
      <c r="A2150" t="s">
        <v>627</v>
      </c>
      <c r="B2150" s="16">
        <v>45791</v>
      </c>
      <c r="C2150" t="s">
        <v>3</v>
      </c>
      <c r="D2150" t="s">
        <v>143</v>
      </c>
      <c r="E2150" t="s">
        <v>180</v>
      </c>
      <c r="F2150">
        <v>11</v>
      </c>
      <c r="G2150">
        <v>9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11</v>
      </c>
      <c r="P2150">
        <f t="shared" si="108"/>
        <v>2025</v>
      </c>
      <c r="Q2150">
        <f t="shared" si="109"/>
        <v>5</v>
      </c>
      <c r="R2150" t="str">
        <f t="shared" si="107"/>
        <v>淘特其他渠道</v>
      </c>
      <c r="S2150" t="s">
        <v>629</v>
      </c>
      <c r="T2150" s="546" t="s">
        <v>804</v>
      </c>
    </row>
    <row r="2151" spans="1:20" x14ac:dyDescent="0.3">
      <c r="A2151" t="s">
        <v>627</v>
      </c>
      <c r="B2151" s="16">
        <v>45791</v>
      </c>
      <c r="C2151" t="s">
        <v>3</v>
      </c>
      <c r="D2151" t="s">
        <v>143</v>
      </c>
      <c r="E2151" t="s">
        <v>181</v>
      </c>
      <c r="F2151">
        <v>38</v>
      </c>
      <c r="G2151">
        <v>38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38</v>
      </c>
      <c r="P2151">
        <f t="shared" si="108"/>
        <v>2025</v>
      </c>
      <c r="Q2151">
        <f t="shared" si="109"/>
        <v>5</v>
      </c>
      <c r="R2151" t="str">
        <f t="shared" si="107"/>
        <v>淘特搜索</v>
      </c>
      <c r="S2151" t="s">
        <v>629</v>
      </c>
      <c r="T2151" s="546" t="s">
        <v>804</v>
      </c>
    </row>
    <row r="2152" spans="1:20" x14ac:dyDescent="0.3">
      <c r="A2152" t="s">
        <v>627</v>
      </c>
      <c r="B2152" s="16">
        <v>45791</v>
      </c>
      <c r="C2152" t="s">
        <v>2</v>
      </c>
      <c r="D2152" t="s">
        <v>55</v>
      </c>
      <c r="E2152" t="s">
        <v>54</v>
      </c>
      <c r="F2152" s="15">
        <v>1270</v>
      </c>
      <c r="G2152" s="15">
        <v>1125</v>
      </c>
      <c r="H2152">
        <v>9</v>
      </c>
      <c r="I2152">
        <v>1</v>
      </c>
      <c r="J2152">
        <v>0</v>
      </c>
      <c r="K2152">
        <v>0</v>
      </c>
      <c r="L2152">
        <v>0</v>
      </c>
      <c r="M2152">
        <v>0</v>
      </c>
      <c r="N2152">
        <v>28</v>
      </c>
      <c r="O2152">
        <v>385</v>
      </c>
      <c r="P2152">
        <f t="shared" si="108"/>
        <v>2025</v>
      </c>
      <c r="Q2152">
        <f t="shared" si="109"/>
        <v>5</v>
      </c>
      <c r="R2152" t="str">
        <f t="shared" si="107"/>
        <v>超级直播</v>
      </c>
      <c r="S2152" t="s">
        <v>629</v>
      </c>
      <c r="T2152" s="546" t="s">
        <v>804</v>
      </c>
    </row>
    <row r="2153" spans="1:20" x14ac:dyDescent="0.3">
      <c r="A2153" t="s">
        <v>627</v>
      </c>
      <c r="B2153" s="16">
        <v>45791</v>
      </c>
      <c r="C2153" t="s">
        <v>2</v>
      </c>
      <c r="D2153" t="s">
        <v>52</v>
      </c>
      <c r="E2153" t="s">
        <v>58</v>
      </c>
      <c r="F2153">
        <v>1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f t="shared" si="108"/>
        <v>2025</v>
      </c>
      <c r="Q2153">
        <f t="shared" si="109"/>
        <v>5</v>
      </c>
      <c r="R2153" t="str">
        <f t="shared" si="107"/>
        <v>超级全域通</v>
      </c>
      <c r="S2153" t="s">
        <v>629</v>
      </c>
      <c r="T2153" s="546" t="s">
        <v>804</v>
      </c>
    </row>
    <row r="2154" spans="1:20" x14ac:dyDescent="0.3">
      <c r="A2154" t="s">
        <v>627</v>
      </c>
      <c r="B2154" s="16">
        <v>45791</v>
      </c>
      <c r="C2154" t="s">
        <v>2</v>
      </c>
      <c r="D2154" t="s">
        <v>57</v>
      </c>
      <c r="E2154" t="s">
        <v>64</v>
      </c>
      <c r="F2154" s="15">
        <v>9503</v>
      </c>
      <c r="G2154" s="15">
        <v>6241</v>
      </c>
      <c r="H2154">
        <v>68</v>
      </c>
      <c r="I2154">
        <v>40</v>
      </c>
      <c r="J2154" s="15">
        <v>1490</v>
      </c>
      <c r="K2154">
        <v>1</v>
      </c>
      <c r="L2154">
        <v>0</v>
      </c>
      <c r="M2154">
        <v>0</v>
      </c>
      <c r="N2154">
        <v>309</v>
      </c>
      <c r="O2154" s="15">
        <v>9502</v>
      </c>
      <c r="P2154">
        <f t="shared" si="108"/>
        <v>2025</v>
      </c>
      <c r="Q2154">
        <f t="shared" si="109"/>
        <v>5</v>
      </c>
      <c r="R2154" t="str">
        <f t="shared" si="107"/>
        <v>引力魔方</v>
      </c>
      <c r="S2154" t="s">
        <v>629</v>
      </c>
      <c r="T2154" s="546" t="s">
        <v>804</v>
      </c>
    </row>
    <row r="2155" spans="1:20" x14ac:dyDescent="0.3">
      <c r="A2155" t="s">
        <v>627</v>
      </c>
      <c r="B2155" s="16">
        <v>45791</v>
      </c>
      <c r="C2155" t="s">
        <v>2</v>
      </c>
      <c r="D2155" t="s">
        <v>57</v>
      </c>
      <c r="E2155" t="s">
        <v>65</v>
      </c>
      <c r="F2155" s="15">
        <v>4163</v>
      </c>
      <c r="G2155" s="15">
        <v>3799</v>
      </c>
      <c r="H2155">
        <v>40</v>
      </c>
      <c r="I2155">
        <v>21</v>
      </c>
      <c r="J2155" s="15">
        <v>35807</v>
      </c>
      <c r="K2155">
        <v>13</v>
      </c>
      <c r="L2155" s="15">
        <v>7690</v>
      </c>
      <c r="M2155">
        <v>2</v>
      </c>
      <c r="N2155">
        <v>224</v>
      </c>
      <c r="O2155" s="15">
        <v>4127</v>
      </c>
      <c r="P2155">
        <f t="shared" si="108"/>
        <v>2025</v>
      </c>
      <c r="Q2155">
        <f t="shared" si="109"/>
        <v>5</v>
      </c>
      <c r="R2155" t="str">
        <f t="shared" si="107"/>
        <v>直通车</v>
      </c>
      <c r="S2155" t="s">
        <v>629</v>
      </c>
      <c r="T2155" s="546" t="s">
        <v>804</v>
      </c>
    </row>
    <row r="2156" spans="1:20" x14ac:dyDescent="0.3">
      <c r="A2156" t="s">
        <v>627</v>
      </c>
      <c r="B2156" s="16">
        <v>45791</v>
      </c>
      <c r="C2156" t="s">
        <v>2</v>
      </c>
      <c r="D2156" t="s">
        <v>57</v>
      </c>
      <c r="E2156" t="s">
        <v>63</v>
      </c>
      <c r="F2156" s="15">
        <v>4352</v>
      </c>
      <c r="G2156" s="15">
        <v>2762</v>
      </c>
      <c r="H2156">
        <v>232</v>
      </c>
      <c r="I2156">
        <v>226</v>
      </c>
      <c r="J2156" s="15">
        <v>123739</v>
      </c>
      <c r="K2156">
        <v>36</v>
      </c>
      <c r="L2156" s="15">
        <v>48746</v>
      </c>
      <c r="M2156">
        <v>18</v>
      </c>
      <c r="N2156">
        <v>826</v>
      </c>
      <c r="O2156" s="15">
        <v>4077</v>
      </c>
      <c r="P2156">
        <f t="shared" si="108"/>
        <v>2025</v>
      </c>
      <c r="Q2156">
        <f t="shared" si="109"/>
        <v>5</v>
      </c>
      <c r="R2156" t="str">
        <f t="shared" si="107"/>
        <v>万相台</v>
      </c>
      <c r="S2156" t="s">
        <v>629</v>
      </c>
      <c r="T2156" s="546" t="s">
        <v>804</v>
      </c>
    </row>
    <row r="2157" spans="1:20" x14ac:dyDescent="0.3">
      <c r="A2157" t="s">
        <v>627</v>
      </c>
      <c r="B2157" s="16">
        <v>45791</v>
      </c>
      <c r="C2157" t="s">
        <v>2</v>
      </c>
      <c r="D2157" t="s">
        <v>4</v>
      </c>
      <c r="E2157" t="s">
        <v>41</v>
      </c>
      <c r="F2157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1</v>
      </c>
      <c r="O2157">
        <v>1</v>
      </c>
      <c r="P2157">
        <f t="shared" si="108"/>
        <v>2025</v>
      </c>
      <c r="Q2157">
        <f t="shared" si="109"/>
        <v>5</v>
      </c>
      <c r="R2157" t="str">
        <f t="shared" si="107"/>
        <v>流量宝</v>
      </c>
      <c r="S2157" t="s">
        <v>629</v>
      </c>
      <c r="T2157" s="546" t="s">
        <v>804</v>
      </c>
    </row>
    <row r="2158" spans="1:20" x14ac:dyDescent="0.3">
      <c r="A2158" t="s">
        <v>627</v>
      </c>
      <c r="B2158" s="16">
        <v>45791</v>
      </c>
      <c r="C2158" t="s">
        <v>2</v>
      </c>
      <c r="D2158" t="s">
        <v>4</v>
      </c>
      <c r="E2158" t="s">
        <v>43</v>
      </c>
      <c r="F2158">
        <v>213</v>
      </c>
      <c r="G2158">
        <v>76</v>
      </c>
      <c r="H2158">
        <v>1</v>
      </c>
      <c r="I2158">
        <v>0</v>
      </c>
      <c r="J2158" s="15">
        <v>2515</v>
      </c>
      <c r="K2158">
        <v>1</v>
      </c>
      <c r="L2158">
        <v>0</v>
      </c>
      <c r="M2158">
        <v>0</v>
      </c>
      <c r="N2158">
        <v>2</v>
      </c>
      <c r="O2158">
        <v>207</v>
      </c>
      <c r="P2158">
        <f t="shared" si="108"/>
        <v>2025</v>
      </c>
      <c r="Q2158">
        <f t="shared" si="109"/>
        <v>5</v>
      </c>
      <c r="R2158" t="str">
        <f t="shared" si="107"/>
        <v>淘宝客</v>
      </c>
      <c r="S2158" t="s">
        <v>629</v>
      </c>
      <c r="T2158" s="546" t="s">
        <v>804</v>
      </c>
    </row>
    <row r="2159" spans="1:20" x14ac:dyDescent="0.3">
      <c r="A2159" t="s">
        <v>627</v>
      </c>
      <c r="B2159" s="16">
        <v>45792</v>
      </c>
      <c r="C2159" t="s">
        <v>3</v>
      </c>
      <c r="D2159" t="s">
        <v>114</v>
      </c>
      <c r="E2159" t="s">
        <v>159</v>
      </c>
      <c r="F2159">
        <v>33</v>
      </c>
      <c r="G2159">
        <v>20</v>
      </c>
      <c r="H2159">
        <v>2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2</v>
      </c>
      <c r="O2159">
        <v>32</v>
      </c>
      <c r="P2159">
        <f t="shared" si="108"/>
        <v>2025</v>
      </c>
      <c r="Q2159">
        <f t="shared" si="109"/>
        <v>5</v>
      </c>
      <c r="R2159" t="str">
        <f t="shared" si="107"/>
        <v>主会场</v>
      </c>
      <c r="S2159" t="s">
        <v>629</v>
      </c>
      <c r="T2159" s="546" t="s">
        <v>804</v>
      </c>
    </row>
    <row r="2160" spans="1:20" x14ac:dyDescent="0.3">
      <c r="A2160" t="s">
        <v>627</v>
      </c>
      <c r="B2160" s="16">
        <v>45792</v>
      </c>
      <c r="C2160" t="s">
        <v>3</v>
      </c>
      <c r="D2160" t="s">
        <v>123</v>
      </c>
      <c r="E2160" t="s">
        <v>169</v>
      </c>
      <c r="F2160">
        <v>243</v>
      </c>
      <c r="G2160">
        <v>119</v>
      </c>
      <c r="H2160">
        <v>20</v>
      </c>
      <c r="I2160">
        <v>5</v>
      </c>
      <c r="J2160" s="15">
        <v>5305</v>
      </c>
      <c r="K2160">
        <v>2</v>
      </c>
      <c r="L2160">
        <v>0</v>
      </c>
      <c r="M2160">
        <v>0</v>
      </c>
      <c r="N2160">
        <v>57</v>
      </c>
      <c r="O2160">
        <v>232</v>
      </c>
      <c r="P2160">
        <f t="shared" si="108"/>
        <v>2025</v>
      </c>
      <c r="Q2160">
        <f t="shared" si="109"/>
        <v>5</v>
      </c>
      <c r="R2160" t="str">
        <f t="shared" si="107"/>
        <v>商品详情页头图推荐</v>
      </c>
      <c r="S2160" t="s">
        <v>629</v>
      </c>
      <c r="T2160" s="546" t="s">
        <v>804</v>
      </c>
    </row>
    <row r="2161" spans="1:20" x14ac:dyDescent="0.3">
      <c r="A2161" t="s">
        <v>627</v>
      </c>
      <c r="B2161" s="16">
        <v>45792</v>
      </c>
      <c r="C2161" t="s">
        <v>3</v>
      </c>
      <c r="D2161" t="s">
        <v>123</v>
      </c>
      <c r="E2161" t="s">
        <v>170</v>
      </c>
      <c r="F2161">
        <v>25</v>
      </c>
      <c r="G2161">
        <v>18</v>
      </c>
      <c r="H2161">
        <v>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20</v>
      </c>
      <c r="O2161">
        <v>13</v>
      </c>
      <c r="P2161">
        <f t="shared" si="108"/>
        <v>2025</v>
      </c>
      <c r="Q2161">
        <f t="shared" si="109"/>
        <v>5</v>
      </c>
      <c r="R2161" t="str">
        <f t="shared" si="107"/>
        <v>店铺超链</v>
      </c>
      <c r="S2161" t="s">
        <v>629</v>
      </c>
      <c r="T2161" s="546" t="s">
        <v>804</v>
      </c>
    </row>
    <row r="2162" spans="1:20" x14ac:dyDescent="0.3">
      <c r="A2162" t="s">
        <v>627</v>
      </c>
      <c r="B2162" s="16">
        <v>45792</v>
      </c>
      <c r="C2162" t="s">
        <v>3</v>
      </c>
      <c r="D2162" t="s">
        <v>127</v>
      </c>
      <c r="E2162" t="s">
        <v>171</v>
      </c>
      <c r="F2162">
        <v>116</v>
      </c>
      <c r="G2162">
        <v>64</v>
      </c>
      <c r="H2162">
        <v>4</v>
      </c>
      <c r="I2162">
        <v>0</v>
      </c>
      <c r="J2162" s="15">
        <v>2995</v>
      </c>
      <c r="K2162">
        <v>1</v>
      </c>
      <c r="L2162" s="15">
        <v>2995</v>
      </c>
      <c r="M2162">
        <v>1</v>
      </c>
      <c r="N2162">
        <v>19</v>
      </c>
      <c r="O2162">
        <v>101</v>
      </c>
      <c r="P2162">
        <f t="shared" si="108"/>
        <v>2025</v>
      </c>
      <c r="Q2162">
        <f t="shared" si="109"/>
        <v>5</v>
      </c>
      <c r="R2162" t="str">
        <f t="shared" si="107"/>
        <v>其他猜你喜欢</v>
      </c>
      <c r="S2162" t="s">
        <v>629</v>
      </c>
      <c r="T2162" s="546" t="s">
        <v>804</v>
      </c>
    </row>
    <row r="2163" spans="1:20" x14ac:dyDescent="0.3">
      <c r="A2163" t="s">
        <v>627</v>
      </c>
      <c r="B2163" s="16">
        <v>45792</v>
      </c>
      <c r="C2163" t="s">
        <v>3</v>
      </c>
      <c r="D2163" t="s">
        <v>127</v>
      </c>
      <c r="E2163" t="s">
        <v>172</v>
      </c>
      <c r="F2163">
        <v>3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</v>
      </c>
      <c r="O2163">
        <v>2</v>
      </c>
      <c r="P2163">
        <f t="shared" si="108"/>
        <v>2025</v>
      </c>
      <c r="Q2163">
        <f t="shared" si="109"/>
        <v>5</v>
      </c>
      <c r="R2163" t="str">
        <f t="shared" si="107"/>
        <v>购中推荐</v>
      </c>
      <c r="S2163" t="s">
        <v>629</v>
      </c>
      <c r="T2163" s="546" t="s">
        <v>804</v>
      </c>
    </row>
    <row r="2164" spans="1:20" x14ac:dyDescent="0.3">
      <c r="A2164" t="s">
        <v>627</v>
      </c>
      <c r="B2164" s="16">
        <v>45792</v>
      </c>
      <c r="C2164" t="s">
        <v>3</v>
      </c>
      <c r="D2164" t="s">
        <v>127</v>
      </c>
      <c r="E2164" t="s">
        <v>173</v>
      </c>
      <c r="F2164">
        <v>38</v>
      </c>
      <c r="G2164">
        <v>24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2</v>
      </c>
      <c r="O2164">
        <v>11</v>
      </c>
      <c r="P2164">
        <f t="shared" si="108"/>
        <v>2025</v>
      </c>
      <c r="Q2164">
        <f t="shared" si="109"/>
        <v>5</v>
      </c>
      <c r="R2164" t="str">
        <f t="shared" si="107"/>
        <v>购后推荐</v>
      </c>
      <c r="S2164" t="s">
        <v>629</v>
      </c>
      <c r="T2164" s="546" t="s">
        <v>804</v>
      </c>
    </row>
    <row r="2165" spans="1:20" x14ac:dyDescent="0.3">
      <c r="A2165" t="s">
        <v>627</v>
      </c>
      <c r="B2165" s="16">
        <v>45792</v>
      </c>
      <c r="C2165" t="s">
        <v>3</v>
      </c>
      <c r="D2165" t="s">
        <v>127</v>
      </c>
      <c r="E2165" t="s">
        <v>174</v>
      </c>
      <c r="F2165">
        <v>829</v>
      </c>
      <c r="G2165">
        <v>468</v>
      </c>
      <c r="H2165">
        <v>30</v>
      </c>
      <c r="I2165">
        <v>2</v>
      </c>
      <c r="J2165" s="15">
        <v>14864</v>
      </c>
      <c r="K2165">
        <v>6</v>
      </c>
      <c r="L2165" s="15">
        <v>8918</v>
      </c>
      <c r="M2165">
        <v>3</v>
      </c>
      <c r="N2165">
        <v>67</v>
      </c>
      <c r="O2165">
        <v>829</v>
      </c>
      <c r="P2165">
        <f t="shared" si="108"/>
        <v>2025</v>
      </c>
      <c r="Q2165">
        <f t="shared" si="109"/>
        <v>5</v>
      </c>
      <c r="R2165" t="str">
        <f t="shared" si="107"/>
        <v>首页推荐-微详情</v>
      </c>
      <c r="S2165" t="s">
        <v>629</v>
      </c>
      <c r="T2165" s="546" t="s">
        <v>804</v>
      </c>
    </row>
    <row r="2166" spans="1:20" x14ac:dyDescent="0.3">
      <c r="A2166" t="s">
        <v>627</v>
      </c>
      <c r="B2166" s="16">
        <v>45792</v>
      </c>
      <c r="C2166" t="s">
        <v>3</v>
      </c>
      <c r="D2166" t="s">
        <v>127</v>
      </c>
      <c r="E2166" t="s">
        <v>175</v>
      </c>
      <c r="F2166">
        <v>99</v>
      </c>
      <c r="G2166">
        <v>60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3</v>
      </c>
      <c r="O2166">
        <v>28</v>
      </c>
      <c r="P2166">
        <f t="shared" si="108"/>
        <v>2025</v>
      </c>
      <c r="Q2166">
        <f t="shared" si="109"/>
        <v>5</v>
      </c>
      <c r="R2166" t="str">
        <f t="shared" si="107"/>
        <v>首页推荐-直播</v>
      </c>
      <c r="S2166" t="s">
        <v>629</v>
      </c>
      <c r="T2166" s="546" t="s">
        <v>804</v>
      </c>
    </row>
    <row r="2167" spans="1:20" x14ac:dyDescent="0.3">
      <c r="A2167" t="s">
        <v>627</v>
      </c>
      <c r="B2167" s="16">
        <v>45792</v>
      </c>
      <c r="C2167" t="s">
        <v>3</v>
      </c>
      <c r="D2167" t="s">
        <v>127</v>
      </c>
      <c r="E2167" t="s">
        <v>176</v>
      </c>
      <c r="F2167">
        <v>173</v>
      </c>
      <c r="G2167">
        <v>127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13</v>
      </c>
      <c r="P2167">
        <f t="shared" si="108"/>
        <v>2025</v>
      </c>
      <c r="Q2167">
        <f t="shared" si="109"/>
        <v>5</v>
      </c>
      <c r="R2167" t="str">
        <f t="shared" si="107"/>
        <v>首页推荐-短视频</v>
      </c>
      <c r="S2167" t="s">
        <v>629</v>
      </c>
      <c r="T2167" s="546" t="s">
        <v>804</v>
      </c>
    </row>
    <row r="2168" spans="1:20" x14ac:dyDescent="0.3">
      <c r="A2168" t="s">
        <v>627</v>
      </c>
      <c r="B2168" s="16">
        <v>45792</v>
      </c>
      <c r="C2168" t="s">
        <v>3</v>
      </c>
      <c r="D2168" t="s">
        <v>128</v>
      </c>
      <c r="E2168" t="s">
        <v>177</v>
      </c>
      <c r="F2168">
        <v>721</v>
      </c>
      <c r="G2168">
        <v>587</v>
      </c>
      <c r="H2168">
        <v>40</v>
      </c>
      <c r="I2168">
        <v>10</v>
      </c>
      <c r="J2168" s="15">
        <v>29112</v>
      </c>
      <c r="K2168">
        <v>11</v>
      </c>
      <c r="L2168" s="15">
        <v>23726</v>
      </c>
      <c r="M2168">
        <v>8</v>
      </c>
      <c r="N2168">
        <v>365</v>
      </c>
      <c r="O2168">
        <v>477</v>
      </c>
      <c r="P2168">
        <f t="shared" si="108"/>
        <v>2025</v>
      </c>
      <c r="Q2168">
        <f t="shared" si="109"/>
        <v>5</v>
      </c>
      <c r="R2168" t="str">
        <f t="shared" si="107"/>
        <v>手淘搜索-商品及其他</v>
      </c>
      <c r="S2168" t="s">
        <v>629</v>
      </c>
      <c r="T2168" s="546" t="s">
        <v>804</v>
      </c>
    </row>
    <row r="2169" spans="1:20" x14ac:dyDescent="0.3">
      <c r="A2169" t="s">
        <v>627</v>
      </c>
      <c r="B2169" s="16">
        <v>45792</v>
      </c>
      <c r="C2169" t="s">
        <v>3</v>
      </c>
      <c r="D2169" t="s">
        <v>128</v>
      </c>
      <c r="E2169" t="s">
        <v>178</v>
      </c>
      <c r="F2169">
        <v>7</v>
      </c>
      <c r="G2169">
        <v>6</v>
      </c>
      <c r="H2169">
        <v>2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</v>
      </c>
      <c r="O2169">
        <v>4</v>
      </c>
      <c r="P2169">
        <f t="shared" si="108"/>
        <v>2025</v>
      </c>
      <c r="Q2169">
        <f t="shared" si="109"/>
        <v>5</v>
      </c>
      <c r="R2169" t="str">
        <f t="shared" si="107"/>
        <v>手淘搜索-直播</v>
      </c>
      <c r="S2169" t="s">
        <v>629</v>
      </c>
      <c r="T2169" s="546" t="s">
        <v>804</v>
      </c>
    </row>
    <row r="2170" spans="1:20" x14ac:dyDescent="0.3">
      <c r="A2170" t="s">
        <v>627</v>
      </c>
      <c r="B2170" s="16">
        <v>45792</v>
      </c>
      <c r="C2170" t="s">
        <v>3</v>
      </c>
      <c r="D2170" t="s">
        <v>128</v>
      </c>
      <c r="E2170" t="s">
        <v>179</v>
      </c>
      <c r="F2170">
        <v>11</v>
      </c>
      <c r="G2170">
        <v>7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11</v>
      </c>
      <c r="P2170">
        <f t="shared" si="108"/>
        <v>2025</v>
      </c>
      <c r="Q2170">
        <f t="shared" si="109"/>
        <v>5</v>
      </c>
      <c r="R2170" t="str">
        <f t="shared" si="107"/>
        <v>手淘搜索-短视频</v>
      </c>
      <c r="S2170" t="s">
        <v>629</v>
      </c>
      <c r="T2170" s="546" t="s">
        <v>804</v>
      </c>
    </row>
    <row r="2171" spans="1:20" x14ac:dyDescent="0.3">
      <c r="A2171" t="s">
        <v>627</v>
      </c>
      <c r="B2171" s="16">
        <v>45792</v>
      </c>
      <c r="C2171" t="s">
        <v>3</v>
      </c>
      <c r="D2171" t="s">
        <v>143</v>
      </c>
      <c r="E2171" t="s">
        <v>180</v>
      </c>
      <c r="F2171">
        <v>5</v>
      </c>
      <c r="G2171">
        <v>4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5</v>
      </c>
      <c r="P2171">
        <f t="shared" si="108"/>
        <v>2025</v>
      </c>
      <c r="Q2171">
        <f t="shared" si="109"/>
        <v>5</v>
      </c>
      <c r="R2171" t="str">
        <f t="shared" si="107"/>
        <v>淘特其他渠道</v>
      </c>
      <c r="S2171" t="s">
        <v>629</v>
      </c>
      <c r="T2171" s="546" t="s">
        <v>804</v>
      </c>
    </row>
    <row r="2172" spans="1:20" x14ac:dyDescent="0.3">
      <c r="A2172" t="s">
        <v>627</v>
      </c>
      <c r="B2172" s="16">
        <v>45792</v>
      </c>
      <c r="C2172" t="s">
        <v>3</v>
      </c>
      <c r="D2172" t="s">
        <v>143</v>
      </c>
      <c r="E2172" t="s">
        <v>181</v>
      </c>
      <c r="F2172">
        <v>38</v>
      </c>
      <c r="G2172">
        <v>37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38</v>
      </c>
      <c r="P2172">
        <f t="shared" si="108"/>
        <v>2025</v>
      </c>
      <c r="Q2172">
        <f t="shared" si="109"/>
        <v>5</v>
      </c>
      <c r="R2172" t="str">
        <f t="shared" si="107"/>
        <v>淘特搜索</v>
      </c>
      <c r="S2172" t="s">
        <v>629</v>
      </c>
      <c r="T2172" s="546" t="s">
        <v>804</v>
      </c>
    </row>
    <row r="2173" spans="1:20" x14ac:dyDescent="0.3">
      <c r="A2173" t="s">
        <v>627</v>
      </c>
      <c r="B2173" s="16">
        <v>45792</v>
      </c>
      <c r="C2173" t="s">
        <v>2</v>
      </c>
      <c r="D2173" t="s">
        <v>55</v>
      </c>
      <c r="E2173" t="s">
        <v>54</v>
      </c>
      <c r="F2173" s="15">
        <v>1032</v>
      </c>
      <c r="G2173">
        <v>880</v>
      </c>
      <c r="H2173">
        <v>11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17</v>
      </c>
      <c r="O2173">
        <v>236</v>
      </c>
      <c r="P2173">
        <f t="shared" si="108"/>
        <v>2025</v>
      </c>
      <c r="Q2173">
        <f t="shared" si="109"/>
        <v>5</v>
      </c>
      <c r="R2173" t="str">
        <f t="shared" si="107"/>
        <v>超级直播</v>
      </c>
      <c r="S2173" t="s">
        <v>629</v>
      </c>
      <c r="T2173" s="546" t="s">
        <v>804</v>
      </c>
    </row>
    <row r="2174" spans="1:20" x14ac:dyDescent="0.3">
      <c r="A2174" t="s">
        <v>627</v>
      </c>
      <c r="B2174" s="16">
        <v>45792</v>
      </c>
      <c r="C2174" t="s">
        <v>2</v>
      </c>
      <c r="D2174" t="s">
        <v>52</v>
      </c>
      <c r="E2174" t="s">
        <v>51</v>
      </c>
      <c r="F2174">
        <v>1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f t="shared" si="108"/>
        <v>2025</v>
      </c>
      <c r="Q2174">
        <f t="shared" si="109"/>
        <v>5</v>
      </c>
      <c r="R2174" t="str">
        <f t="shared" si="107"/>
        <v>品牌定制</v>
      </c>
      <c r="S2174" t="s">
        <v>629</v>
      </c>
      <c r="T2174" s="546" t="s">
        <v>804</v>
      </c>
    </row>
    <row r="2175" spans="1:20" x14ac:dyDescent="0.3">
      <c r="A2175" t="s">
        <v>627</v>
      </c>
      <c r="B2175" s="16">
        <v>45792</v>
      </c>
      <c r="C2175" t="s">
        <v>2</v>
      </c>
      <c r="D2175" t="s">
        <v>52</v>
      </c>
      <c r="E2175" t="s">
        <v>183</v>
      </c>
      <c r="F2175">
        <v>2</v>
      </c>
      <c r="G2175">
        <v>2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2</v>
      </c>
      <c r="O2175">
        <v>0</v>
      </c>
      <c r="P2175">
        <f t="shared" si="108"/>
        <v>2025</v>
      </c>
      <c r="Q2175">
        <f t="shared" si="109"/>
        <v>5</v>
      </c>
      <c r="R2175" t="str">
        <f t="shared" si="107"/>
        <v>品销宝-品牌专区</v>
      </c>
      <c r="S2175" t="s">
        <v>629</v>
      </c>
      <c r="T2175" s="546" t="s">
        <v>804</v>
      </c>
    </row>
    <row r="2176" spans="1:20" x14ac:dyDescent="0.3">
      <c r="A2176" t="s">
        <v>627</v>
      </c>
      <c r="B2176" s="16">
        <v>45792</v>
      </c>
      <c r="C2176" t="s">
        <v>2</v>
      </c>
      <c r="D2176" t="s">
        <v>52</v>
      </c>
      <c r="E2176" t="s">
        <v>58</v>
      </c>
      <c r="F2176">
        <v>1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1</v>
      </c>
      <c r="P2176">
        <f t="shared" si="108"/>
        <v>2025</v>
      </c>
      <c r="Q2176">
        <f t="shared" si="109"/>
        <v>5</v>
      </c>
      <c r="R2176" t="str">
        <f t="shared" si="107"/>
        <v>超级全域通</v>
      </c>
      <c r="S2176" t="s">
        <v>629</v>
      </c>
      <c r="T2176" s="546" t="s">
        <v>804</v>
      </c>
    </row>
    <row r="2177" spans="1:20" x14ac:dyDescent="0.3">
      <c r="A2177" t="s">
        <v>627</v>
      </c>
      <c r="B2177" s="16">
        <v>45792</v>
      </c>
      <c r="C2177" t="s">
        <v>2</v>
      </c>
      <c r="D2177" t="s">
        <v>57</v>
      </c>
      <c r="E2177" t="s">
        <v>64</v>
      </c>
      <c r="F2177" s="15">
        <v>12725</v>
      </c>
      <c r="G2177" s="15">
        <v>8901</v>
      </c>
      <c r="H2177">
        <v>88</v>
      </c>
      <c r="I2177">
        <v>35</v>
      </c>
      <c r="J2177" s="15">
        <v>27922</v>
      </c>
      <c r="K2177">
        <v>10</v>
      </c>
      <c r="L2177" s="15">
        <v>16842</v>
      </c>
      <c r="M2177">
        <v>6</v>
      </c>
      <c r="N2177">
        <v>368</v>
      </c>
      <c r="O2177" s="15">
        <v>12722</v>
      </c>
      <c r="P2177">
        <f t="shared" si="108"/>
        <v>2025</v>
      </c>
      <c r="Q2177">
        <f t="shared" si="109"/>
        <v>5</v>
      </c>
      <c r="R2177" t="str">
        <f t="shared" si="107"/>
        <v>引力魔方</v>
      </c>
      <c r="S2177" t="s">
        <v>629</v>
      </c>
      <c r="T2177" s="546" t="s">
        <v>804</v>
      </c>
    </row>
    <row r="2178" spans="1:20" x14ac:dyDescent="0.3">
      <c r="A2178" t="s">
        <v>627</v>
      </c>
      <c r="B2178" s="16">
        <v>45792</v>
      </c>
      <c r="C2178" t="s">
        <v>2</v>
      </c>
      <c r="D2178" t="s">
        <v>57</v>
      </c>
      <c r="E2178" t="s">
        <v>65</v>
      </c>
      <c r="F2178" s="15">
        <v>5270</v>
      </c>
      <c r="G2178" s="15">
        <v>4794</v>
      </c>
      <c r="H2178">
        <v>65</v>
      </c>
      <c r="I2178">
        <v>28</v>
      </c>
      <c r="J2178" s="15">
        <v>54758</v>
      </c>
      <c r="K2178">
        <v>14</v>
      </c>
      <c r="L2178" s="15">
        <v>22623</v>
      </c>
      <c r="M2178">
        <v>6</v>
      </c>
      <c r="N2178">
        <v>301</v>
      </c>
      <c r="O2178" s="15">
        <v>5221</v>
      </c>
      <c r="P2178">
        <f t="shared" si="108"/>
        <v>2025</v>
      </c>
      <c r="Q2178">
        <f t="shared" si="109"/>
        <v>5</v>
      </c>
      <c r="R2178" t="str">
        <f t="shared" si="107"/>
        <v>直通车</v>
      </c>
      <c r="S2178" t="s">
        <v>629</v>
      </c>
      <c r="T2178" s="546" t="s">
        <v>804</v>
      </c>
    </row>
    <row r="2179" spans="1:20" x14ac:dyDescent="0.3">
      <c r="A2179" t="s">
        <v>627</v>
      </c>
      <c r="B2179" s="16">
        <v>45792</v>
      </c>
      <c r="C2179" t="s">
        <v>2</v>
      </c>
      <c r="D2179" t="s">
        <v>57</v>
      </c>
      <c r="E2179" t="s">
        <v>63</v>
      </c>
      <c r="F2179" s="15">
        <v>4942</v>
      </c>
      <c r="G2179" s="15">
        <v>3255</v>
      </c>
      <c r="H2179">
        <v>289</v>
      </c>
      <c r="I2179">
        <v>222</v>
      </c>
      <c r="J2179" s="15">
        <v>73948</v>
      </c>
      <c r="K2179">
        <v>27</v>
      </c>
      <c r="L2179" s="15">
        <v>31115</v>
      </c>
      <c r="M2179">
        <v>12</v>
      </c>
      <c r="N2179">
        <v>849</v>
      </c>
      <c r="O2179" s="15">
        <v>4676</v>
      </c>
      <c r="P2179">
        <f t="shared" si="108"/>
        <v>2025</v>
      </c>
      <c r="Q2179">
        <f t="shared" si="109"/>
        <v>5</v>
      </c>
      <c r="R2179" t="str">
        <f t="shared" si="107"/>
        <v>万相台</v>
      </c>
      <c r="S2179" t="s">
        <v>629</v>
      </c>
      <c r="T2179" s="546" t="s">
        <v>804</v>
      </c>
    </row>
    <row r="2180" spans="1:20" x14ac:dyDescent="0.3">
      <c r="A2180" t="s">
        <v>627</v>
      </c>
      <c r="B2180" s="16">
        <v>45792</v>
      </c>
      <c r="C2180" t="s">
        <v>2</v>
      </c>
      <c r="D2180" t="s">
        <v>4</v>
      </c>
      <c r="E2180" t="s">
        <v>43</v>
      </c>
      <c r="F2180">
        <v>304</v>
      </c>
      <c r="G2180">
        <v>120</v>
      </c>
      <c r="H2180">
        <v>3</v>
      </c>
      <c r="I2180">
        <v>2</v>
      </c>
      <c r="J2180" s="15">
        <v>1490</v>
      </c>
      <c r="K2180">
        <v>1</v>
      </c>
      <c r="L2180">
        <v>0</v>
      </c>
      <c r="M2180">
        <v>0</v>
      </c>
      <c r="N2180">
        <v>4</v>
      </c>
      <c r="O2180">
        <v>295</v>
      </c>
      <c r="P2180">
        <f t="shared" si="108"/>
        <v>2025</v>
      </c>
      <c r="Q2180">
        <f t="shared" si="109"/>
        <v>5</v>
      </c>
      <c r="R2180" t="str">
        <f t="shared" si="107"/>
        <v>淘宝客</v>
      </c>
      <c r="S2180" t="s">
        <v>629</v>
      </c>
      <c r="T2180" s="546" t="s">
        <v>804</v>
      </c>
    </row>
    <row r="2181" spans="1:20" x14ac:dyDescent="0.3">
      <c r="A2181" t="s">
        <v>627</v>
      </c>
      <c r="B2181" s="16">
        <v>45793</v>
      </c>
      <c r="C2181" t="s">
        <v>3</v>
      </c>
      <c r="D2181" t="s">
        <v>114</v>
      </c>
      <c r="E2181" t="s">
        <v>159</v>
      </c>
      <c r="F2181">
        <v>83</v>
      </c>
      <c r="G2181">
        <v>30</v>
      </c>
      <c r="H2181">
        <v>3</v>
      </c>
      <c r="I2181">
        <v>0</v>
      </c>
      <c r="J2181" s="15">
        <v>9330</v>
      </c>
      <c r="K2181">
        <v>3</v>
      </c>
      <c r="L2181" s="15">
        <v>4685</v>
      </c>
      <c r="M2181">
        <v>2</v>
      </c>
      <c r="N2181">
        <v>7</v>
      </c>
      <c r="O2181">
        <v>81</v>
      </c>
      <c r="P2181">
        <f t="shared" si="108"/>
        <v>2025</v>
      </c>
      <c r="Q2181">
        <f t="shared" si="109"/>
        <v>5</v>
      </c>
      <c r="R2181" t="str">
        <f t="shared" si="107"/>
        <v>主会场</v>
      </c>
      <c r="S2181" t="s">
        <v>629</v>
      </c>
      <c r="T2181" s="546" t="s">
        <v>804</v>
      </c>
    </row>
    <row r="2182" spans="1:20" x14ac:dyDescent="0.3">
      <c r="A2182" t="s">
        <v>627</v>
      </c>
      <c r="B2182" s="16">
        <v>45793</v>
      </c>
      <c r="C2182" t="s">
        <v>3</v>
      </c>
      <c r="D2182" t="s">
        <v>123</v>
      </c>
      <c r="E2182" t="s">
        <v>169</v>
      </c>
      <c r="F2182">
        <v>241</v>
      </c>
      <c r="G2182">
        <v>119</v>
      </c>
      <c r="H2182">
        <v>21</v>
      </c>
      <c r="I2182">
        <v>5</v>
      </c>
      <c r="J2182" s="17">
        <v>18227.73</v>
      </c>
      <c r="K2182">
        <v>6</v>
      </c>
      <c r="L2182" s="17">
        <v>18227.73</v>
      </c>
      <c r="M2182">
        <v>6</v>
      </c>
      <c r="N2182">
        <v>51</v>
      </c>
      <c r="O2182">
        <v>229</v>
      </c>
      <c r="P2182">
        <f t="shared" si="108"/>
        <v>2025</v>
      </c>
      <c r="Q2182">
        <f t="shared" si="109"/>
        <v>5</v>
      </c>
      <c r="R2182" t="str">
        <f t="shared" si="107"/>
        <v>商品详情页头图推荐</v>
      </c>
      <c r="S2182" t="s">
        <v>629</v>
      </c>
      <c r="T2182" s="546" t="s">
        <v>804</v>
      </c>
    </row>
    <row r="2183" spans="1:20" x14ac:dyDescent="0.3">
      <c r="A2183" t="s">
        <v>627</v>
      </c>
      <c r="B2183" s="16">
        <v>45793</v>
      </c>
      <c r="C2183" t="s">
        <v>3</v>
      </c>
      <c r="D2183" t="s">
        <v>123</v>
      </c>
      <c r="E2183" t="s">
        <v>170</v>
      </c>
      <c r="F2183">
        <v>45</v>
      </c>
      <c r="G2183">
        <v>17</v>
      </c>
      <c r="H2183">
        <v>2</v>
      </c>
      <c r="I2183">
        <v>0</v>
      </c>
      <c r="J2183" s="15">
        <v>5467</v>
      </c>
      <c r="K2183">
        <v>1</v>
      </c>
      <c r="L2183" s="15">
        <v>5467</v>
      </c>
      <c r="M2183">
        <v>1</v>
      </c>
      <c r="N2183">
        <v>42</v>
      </c>
      <c r="O2183">
        <v>16</v>
      </c>
      <c r="P2183">
        <f t="shared" si="108"/>
        <v>2025</v>
      </c>
      <c r="Q2183">
        <f t="shared" si="109"/>
        <v>5</v>
      </c>
      <c r="R2183" t="str">
        <f t="shared" ref="R2183:R2246" si="110">E2183</f>
        <v>店铺超链</v>
      </c>
      <c r="S2183" t="s">
        <v>629</v>
      </c>
      <c r="T2183" s="546" t="s">
        <v>804</v>
      </c>
    </row>
    <row r="2184" spans="1:20" x14ac:dyDescent="0.3">
      <c r="A2184" t="s">
        <v>627</v>
      </c>
      <c r="B2184" s="16">
        <v>45793</v>
      </c>
      <c r="C2184" t="s">
        <v>3</v>
      </c>
      <c r="D2184" t="s">
        <v>127</v>
      </c>
      <c r="E2184" t="s">
        <v>171</v>
      </c>
      <c r="F2184">
        <v>183</v>
      </c>
      <c r="G2184">
        <v>95</v>
      </c>
      <c r="H2184">
        <v>4</v>
      </c>
      <c r="I2184">
        <v>4</v>
      </c>
      <c r="J2184">
        <v>0</v>
      </c>
      <c r="K2184">
        <v>0</v>
      </c>
      <c r="L2184">
        <v>0</v>
      </c>
      <c r="M2184">
        <v>0</v>
      </c>
      <c r="N2184">
        <v>47</v>
      </c>
      <c r="O2184">
        <v>154</v>
      </c>
      <c r="P2184">
        <f t="shared" si="108"/>
        <v>2025</v>
      </c>
      <c r="Q2184">
        <f t="shared" si="109"/>
        <v>5</v>
      </c>
      <c r="R2184" t="str">
        <f t="shared" si="110"/>
        <v>其他猜你喜欢</v>
      </c>
      <c r="S2184" t="s">
        <v>629</v>
      </c>
      <c r="T2184" s="546" t="s">
        <v>804</v>
      </c>
    </row>
    <row r="2185" spans="1:20" x14ac:dyDescent="0.3">
      <c r="A2185" t="s">
        <v>627</v>
      </c>
      <c r="B2185" s="16">
        <v>45793</v>
      </c>
      <c r="C2185" t="s">
        <v>3</v>
      </c>
      <c r="D2185" t="s">
        <v>127</v>
      </c>
      <c r="E2185" t="s">
        <v>172</v>
      </c>
      <c r="F2185">
        <v>6</v>
      </c>
      <c r="G2185">
        <v>3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5</v>
      </c>
      <c r="P2185">
        <f t="shared" si="108"/>
        <v>2025</v>
      </c>
      <c r="Q2185">
        <f t="shared" si="109"/>
        <v>5</v>
      </c>
      <c r="R2185" t="str">
        <f t="shared" si="110"/>
        <v>购中推荐</v>
      </c>
      <c r="S2185" t="s">
        <v>629</v>
      </c>
      <c r="T2185" s="546" t="s">
        <v>804</v>
      </c>
    </row>
    <row r="2186" spans="1:20" x14ac:dyDescent="0.3">
      <c r="A2186" t="s">
        <v>627</v>
      </c>
      <c r="B2186" s="16">
        <v>45793</v>
      </c>
      <c r="C2186" t="s">
        <v>3</v>
      </c>
      <c r="D2186" t="s">
        <v>127</v>
      </c>
      <c r="E2186" t="s">
        <v>173</v>
      </c>
      <c r="F2186">
        <v>27</v>
      </c>
      <c r="G2186">
        <v>11</v>
      </c>
      <c r="H2186">
        <v>0</v>
      </c>
      <c r="I2186">
        <v>1</v>
      </c>
      <c r="J2186">
        <v>0</v>
      </c>
      <c r="K2186">
        <v>0</v>
      </c>
      <c r="L2186">
        <v>0</v>
      </c>
      <c r="M2186">
        <v>0</v>
      </c>
      <c r="N2186">
        <v>1</v>
      </c>
      <c r="O2186">
        <v>17</v>
      </c>
      <c r="P2186">
        <f t="shared" si="108"/>
        <v>2025</v>
      </c>
      <c r="Q2186">
        <f t="shared" si="109"/>
        <v>5</v>
      </c>
      <c r="R2186" t="str">
        <f t="shared" si="110"/>
        <v>购后推荐</v>
      </c>
      <c r="S2186" t="s">
        <v>629</v>
      </c>
      <c r="T2186" s="546" t="s">
        <v>804</v>
      </c>
    </row>
    <row r="2187" spans="1:20" x14ac:dyDescent="0.3">
      <c r="A2187" t="s">
        <v>627</v>
      </c>
      <c r="B2187" s="16">
        <v>45793</v>
      </c>
      <c r="C2187" t="s">
        <v>3</v>
      </c>
      <c r="D2187" t="s">
        <v>127</v>
      </c>
      <c r="E2187" t="s">
        <v>174</v>
      </c>
      <c r="F2187">
        <v>839</v>
      </c>
      <c r="G2187">
        <v>416</v>
      </c>
      <c r="H2187">
        <v>24</v>
      </c>
      <c r="I2187">
        <v>8</v>
      </c>
      <c r="J2187" s="17">
        <v>36974.589999999997</v>
      </c>
      <c r="K2187">
        <v>7</v>
      </c>
      <c r="L2187" s="17">
        <v>30274.59</v>
      </c>
      <c r="M2187">
        <v>7</v>
      </c>
      <c r="N2187">
        <v>68</v>
      </c>
      <c r="O2187">
        <v>839</v>
      </c>
      <c r="P2187">
        <f t="shared" si="108"/>
        <v>2025</v>
      </c>
      <c r="Q2187">
        <f t="shared" si="109"/>
        <v>5</v>
      </c>
      <c r="R2187" t="str">
        <f t="shared" si="110"/>
        <v>首页推荐-微详情</v>
      </c>
      <c r="S2187" t="s">
        <v>629</v>
      </c>
      <c r="T2187" s="546" t="s">
        <v>804</v>
      </c>
    </row>
    <row r="2188" spans="1:20" x14ac:dyDescent="0.3">
      <c r="A2188" t="s">
        <v>627</v>
      </c>
      <c r="B2188" s="16">
        <v>45793</v>
      </c>
      <c r="C2188" t="s">
        <v>3</v>
      </c>
      <c r="D2188" t="s">
        <v>127</v>
      </c>
      <c r="E2188" t="s">
        <v>175</v>
      </c>
      <c r="F2188">
        <v>126</v>
      </c>
      <c r="G2188">
        <v>67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5</v>
      </c>
      <c r="O2188">
        <v>42</v>
      </c>
      <c r="P2188">
        <f t="shared" si="108"/>
        <v>2025</v>
      </c>
      <c r="Q2188">
        <f t="shared" si="109"/>
        <v>5</v>
      </c>
      <c r="R2188" t="str">
        <f t="shared" si="110"/>
        <v>首页推荐-直播</v>
      </c>
      <c r="S2188" t="s">
        <v>629</v>
      </c>
      <c r="T2188" s="546" t="s">
        <v>804</v>
      </c>
    </row>
    <row r="2189" spans="1:20" x14ac:dyDescent="0.3">
      <c r="A2189" t="s">
        <v>627</v>
      </c>
      <c r="B2189" s="16">
        <v>45793</v>
      </c>
      <c r="C2189" t="s">
        <v>3</v>
      </c>
      <c r="D2189" t="s">
        <v>127</v>
      </c>
      <c r="E2189" t="s">
        <v>176</v>
      </c>
      <c r="F2189">
        <v>153</v>
      </c>
      <c r="G2189">
        <v>117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6</v>
      </c>
      <c r="P2189">
        <f t="shared" si="108"/>
        <v>2025</v>
      </c>
      <c r="Q2189">
        <f t="shared" si="109"/>
        <v>5</v>
      </c>
      <c r="R2189" t="str">
        <f t="shared" si="110"/>
        <v>首页推荐-短视频</v>
      </c>
      <c r="S2189" t="s">
        <v>629</v>
      </c>
      <c r="T2189" s="546" t="s">
        <v>804</v>
      </c>
    </row>
    <row r="2190" spans="1:20" x14ac:dyDescent="0.3">
      <c r="A2190" t="s">
        <v>627</v>
      </c>
      <c r="B2190" s="16">
        <v>45793</v>
      </c>
      <c r="C2190" t="s">
        <v>3</v>
      </c>
      <c r="D2190" t="s">
        <v>128</v>
      </c>
      <c r="E2190" t="s">
        <v>177</v>
      </c>
      <c r="F2190">
        <v>899</v>
      </c>
      <c r="G2190">
        <v>719</v>
      </c>
      <c r="H2190">
        <v>59</v>
      </c>
      <c r="I2190">
        <v>10</v>
      </c>
      <c r="J2190" s="17">
        <v>88843.33</v>
      </c>
      <c r="K2190">
        <v>21</v>
      </c>
      <c r="L2190" s="17">
        <v>77868.33</v>
      </c>
      <c r="M2190">
        <v>20</v>
      </c>
      <c r="N2190">
        <v>392</v>
      </c>
      <c r="O2190">
        <v>624</v>
      </c>
      <c r="P2190">
        <f t="shared" si="108"/>
        <v>2025</v>
      </c>
      <c r="Q2190">
        <f t="shared" si="109"/>
        <v>5</v>
      </c>
      <c r="R2190" t="str">
        <f t="shared" si="110"/>
        <v>手淘搜索-商品及其他</v>
      </c>
      <c r="S2190" t="s">
        <v>629</v>
      </c>
      <c r="T2190" s="546" t="s">
        <v>804</v>
      </c>
    </row>
    <row r="2191" spans="1:20" x14ac:dyDescent="0.3">
      <c r="A2191" t="s">
        <v>627</v>
      </c>
      <c r="B2191" s="16">
        <v>45793</v>
      </c>
      <c r="C2191" t="s">
        <v>3</v>
      </c>
      <c r="D2191" t="s">
        <v>128</v>
      </c>
      <c r="E2191" t="s">
        <v>178</v>
      </c>
      <c r="F2191">
        <v>6</v>
      </c>
      <c r="G2191">
        <v>5</v>
      </c>
      <c r="H2191">
        <v>0</v>
      </c>
      <c r="I2191">
        <v>1</v>
      </c>
      <c r="J2191" s="15">
        <v>9340</v>
      </c>
      <c r="K2191">
        <v>1</v>
      </c>
      <c r="L2191" s="15">
        <v>9340</v>
      </c>
      <c r="M2191">
        <v>1</v>
      </c>
      <c r="N2191">
        <v>2</v>
      </c>
      <c r="O2191">
        <v>5</v>
      </c>
      <c r="P2191">
        <f t="shared" si="108"/>
        <v>2025</v>
      </c>
      <c r="Q2191">
        <f t="shared" si="109"/>
        <v>5</v>
      </c>
      <c r="R2191" t="str">
        <f t="shared" si="110"/>
        <v>手淘搜索-直播</v>
      </c>
      <c r="S2191" t="s">
        <v>629</v>
      </c>
      <c r="T2191" s="546" t="s">
        <v>804</v>
      </c>
    </row>
    <row r="2192" spans="1:20" x14ac:dyDescent="0.3">
      <c r="A2192" t="s">
        <v>627</v>
      </c>
      <c r="B2192" s="16">
        <v>45793</v>
      </c>
      <c r="C2192" t="s">
        <v>3</v>
      </c>
      <c r="D2192" t="s">
        <v>128</v>
      </c>
      <c r="E2192" t="s">
        <v>179</v>
      </c>
      <c r="F2192">
        <v>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</v>
      </c>
      <c r="P2192">
        <f t="shared" si="108"/>
        <v>2025</v>
      </c>
      <c r="Q2192">
        <f t="shared" si="109"/>
        <v>5</v>
      </c>
      <c r="R2192" t="str">
        <f t="shared" si="110"/>
        <v>手淘搜索-短视频</v>
      </c>
      <c r="S2192" t="s">
        <v>629</v>
      </c>
      <c r="T2192" s="546" t="s">
        <v>804</v>
      </c>
    </row>
    <row r="2193" spans="1:20" x14ac:dyDescent="0.3">
      <c r="A2193" t="s">
        <v>627</v>
      </c>
      <c r="B2193" s="16">
        <v>45793</v>
      </c>
      <c r="C2193" t="s">
        <v>3</v>
      </c>
      <c r="D2193" t="s">
        <v>143</v>
      </c>
      <c r="E2193" t="s">
        <v>180</v>
      </c>
      <c r="F2193">
        <v>3</v>
      </c>
      <c r="G2193">
        <v>3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3</v>
      </c>
      <c r="P2193">
        <f t="shared" si="108"/>
        <v>2025</v>
      </c>
      <c r="Q2193">
        <f t="shared" si="109"/>
        <v>5</v>
      </c>
      <c r="R2193" t="str">
        <f t="shared" si="110"/>
        <v>淘特其他渠道</v>
      </c>
      <c r="S2193" t="s">
        <v>629</v>
      </c>
      <c r="T2193" s="546" t="s">
        <v>804</v>
      </c>
    </row>
    <row r="2194" spans="1:20" x14ac:dyDescent="0.3">
      <c r="A2194" t="s">
        <v>627</v>
      </c>
      <c r="B2194" s="16">
        <v>45793</v>
      </c>
      <c r="C2194" t="s">
        <v>3</v>
      </c>
      <c r="D2194" t="s">
        <v>143</v>
      </c>
      <c r="E2194" t="s">
        <v>197</v>
      </c>
      <c r="F2194">
        <v>1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1</v>
      </c>
      <c r="P2194">
        <f t="shared" si="108"/>
        <v>2025</v>
      </c>
      <c r="Q2194">
        <f t="shared" si="109"/>
        <v>5</v>
      </c>
      <c r="R2194" t="str">
        <f t="shared" si="110"/>
        <v>淘特推荐</v>
      </c>
      <c r="S2194" t="s">
        <v>629</v>
      </c>
      <c r="T2194" s="546" t="s">
        <v>804</v>
      </c>
    </row>
    <row r="2195" spans="1:20" x14ac:dyDescent="0.3">
      <c r="A2195" t="s">
        <v>627</v>
      </c>
      <c r="B2195" s="16">
        <v>45793</v>
      </c>
      <c r="C2195" t="s">
        <v>3</v>
      </c>
      <c r="D2195" t="s">
        <v>143</v>
      </c>
      <c r="E2195" t="s">
        <v>181</v>
      </c>
      <c r="F2195">
        <v>41</v>
      </c>
      <c r="G2195">
        <v>38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41</v>
      </c>
      <c r="P2195">
        <f t="shared" si="108"/>
        <v>2025</v>
      </c>
      <c r="Q2195">
        <f t="shared" si="109"/>
        <v>5</v>
      </c>
      <c r="R2195" t="str">
        <f t="shared" si="110"/>
        <v>淘特搜索</v>
      </c>
      <c r="S2195" t="s">
        <v>629</v>
      </c>
      <c r="T2195" s="546" t="s">
        <v>804</v>
      </c>
    </row>
    <row r="2196" spans="1:20" x14ac:dyDescent="0.3">
      <c r="A2196" t="s">
        <v>627</v>
      </c>
      <c r="B2196" s="16">
        <v>45793</v>
      </c>
      <c r="C2196" t="s">
        <v>2</v>
      </c>
      <c r="D2196" t="s">
        <v>55</v>
      </c>
      <c r="E2196" t="s">
        <v>54</v>
      </c>
      <c r="F2196" s="15">
        <v>1642</v>
      </c>
      <c r="G2196" s="15">
        <v>1427</v>
      </c>
      <c r="H2196">
        <v>90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20</v>
      </c>
      <c r="O2196">
        <v>480</v>
      </c>
      <c r="P2196">
        <f t="shared" si="108"/>
        <v>2025</v>
      </c>
      <c r="Q2196">
        <f t="shared" si="109"/>
        <v>5</v>
      </c>
      <c r="R2196" t="str">
        <f t="shared" si="110"/>
        <v>超级直播</v>
      </c>
      <c r="S2196" t="s">
        <v>629</v>
      </c>
      <c r="T2196" s="546" t="s">
        <v>804</v>
      </c>
    </row>
    <row r="2197" spans="1:20" x14ac:dyDescent="0.3">
      <c r="A2197" t="s">
        <v>627</v>
      </c>
      <c r="B2197" s="16">
        <v>45793</v>
      </c>
      <c r="C2197" t="s">
        <v>2</v>
      </c>
      <c r="D2197" t="s">
        <v>55</v>
      </c>
      <c r="E2197" t="s">
        <v>56</v>
      </c>
      <c r="F2197">
        <v>1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1</v>
      </c>
      <c r="P2197">
        <f t="shared" ref="P2197:P2260" si="111">YEAR(B2197)</f>
        <v>2025</v>
      </c>
      <c r="Q2197">
        <f t="shared" ref="Q2197:Q2260" si="112">MONTH(B2197)</f>
        <v>5</v>
      </c>
      <c r="R2197" t="str">
        <f t="shared" si="110"/>
        <v>超级短视频</v>
      </c>
      <c r="S2197" t="s">
        <v>629</v>
      </c>
      <c r="T2197" s="546" t="s">
        <v>804</v>
      </c>
    </row>
    <row r="2198" spans="1:20" x14ac:dyDescent="0.3">
      <c r="A2198" t="s">
        <v>627</v>
      </c>
      <c r="B2198" s="16">
        <v>45793</v>
      </c>
      <c r="C2198" t="s">
        <v>2</v>
      </c>
      <c r="D2198" t="s">
        <v>52</v>
      </c>
      <c r="E2198" t="s">
        <v>51</v>
      </c>
      <c r="F2198">
        <v>1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f t="shared" si="111"/>
        <v>2025</v>
      </c>
      <c r="Q2198">
        <f t="shared" si="112"/>
        <v>5</v>
      </c>
      <c r="R2198" t="str">
        <f t="shared" si="110"/>
        <v>品牌定制</v>
      </c>
      <c r="S2198" t="s">
        <v>629</v>
      </c>
      <c r="T2198" s="546" t="s">
        <v>804</v>
      </c>
    </row>
    <row r="2199" spans="1:20" x14ac:dyDescent="0.3">
      <c r="A2199" t="s">
        <v>627</v>
      </c>
      <c r="B2199" s="16">
        <v>45793</v>
      </c>
      <c r="C2199" t="s">
        <v>2</v>
      </c>
      <c r="D2199" t="s">
        <v>52</v>
      </c>
      <c r="E2199" t="s">
        <v>58</v>
      </c>
      <c r="F2199">
        <v>1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</v>
      </c>
      <c r="P2199">
        <f t="shared" si="111"/>
        <v>2025</v>
      </c>
      <c r="Q2199">
        <f t="shared" si="112"/>
        <v>5</v>
      </c>
      <c r="R2199" t="str">
        <f t="shared" si="110"/>
        <v>超级全域通</v>
      </c>
      <c r="S2199" t="s">
        <v>629</v>
      </c>
      <c r="T2199" s="546" t="s">
        <v>804</v>
      </c>
    </row>
    <row r="2200" spans="1:20" x14ac:dyDescent="0.3">
      <c r="A2200" t="s">
        <v>627</v>
      </c>
      <c r="B2200" s="16">
        <v>45793</v>
      </c>
      <c r="C2200" t="s">
        <v>2</v>
      </c>
      <c r="D2200" t="s">
        <v>57</v>
      </c>
      <c r="E2200" t="s">
        <v>64</v>
      </c>
      <c r="F2200" s="15">
        <v>10561</v>
      </c>
      <c r="G2200" s="15">
        <v>7046</v>
      </c>
      <c r="H2200">
        <v>90</v>
      </c>
      <c r="I2200">
        <v>44</v>
      </c>
      <c r="J2200" s="15">
        <v>38809</v>
      </c>
      <c r="K2200">
        <v>14</v>
      </c>
      <c r="L2200" s="15">
        <v>31632</v>
      </c>
      <c r="M2200">
        <v>11</v>
      </c>
      <c r="N2200">
        <v>388</v>
      </c>
      <c r="O2200" s="15">
        <v>10561</v>
      </c>
      <c r="P2200">
        <f t="shared" si="111"/>
        <v>2025</v>
      </c>
      <c r="Q2200">
        <f t="shared" si="112"/>
        <v>5</v>
      </c>
      <c r="R2200" t="str">
        <f t="shared" si="110"/>
        <v>引力魔方</v>
      </c>
      <c r="S2200" t="s">
        <v>629</v>
      </c>
      <c r="T2200" s="546" t="s">
        <v>804</v>
      </c>
    </row>
    <row r="2201" spans="1:20" x14ac:dyDescent="0.3">
      <c r="A2201" t="s">
        <v>627</v>
      </c>
      <c r="B2201" s="16">
        <v>45793</v>
      </c>
      <c r="C2201" t="s">
        <v>2</v>
      </c>
      <c r="D2201" t="s">
        <v>57</v>
      </c>
      <c r="E2201" t="s">
        <v>65</v>
      </c>
      <c r="F2201" s="15">
        <v>6744</v>
      </c>
      <c r="G2201" s="15">
        <v>6195</v>
      </c>
      <c r="H2201">
        <v>142</v>
      </c>
      <c r="I2201">
        <v>40</v>
      </c>
      <c r="J2201" s="15">
        <v>225879</v>
      </c>
      <c r="K2201">
        <v>34</v>
      </c>
      <c r="L2201" s="15">
        <v>113469</v>
      </c>
      <c r="M2201">
        <v>28</v>
      </c>
      <c r="N2201">
        <v>337</v>
      </c>
      <c r="O2201" s="15">
        <v>6686</v>
      </c>
      <c r="P2201">
        <f t="shared" si="111"/>
        <v>2025</v>
      </c>
      <c r="Q2201">
        <f t="shared" si="112"/>
        <v>5</v>
      </c>
      <c r="R2201" t="str">
        <f t="shared" si="110"/>
        <v>直通车</v>
      </c>
      <c r="S2201" t="s">
        <v>629</v>
      </c>
      <c r="T2201" s="546" t="s">
        <v>804</v>
      </c>
    </row>
    <row r="2202" spans="1:20" x14ac:dyDescent="0.3">
      <c r="A2202" t="s">
        <v>627</v>
      </c>
      <c r="B2202" s="16">
        <v>45793</v>
      </c>
      <c r="C2202" t="s">
        <v>2</v>
      </c>
      <c r="D2202" t="s">
        <v>57</v>
      </c>
      <c r="E2202" t="s">
        <v>63</v>
      </c>
      <c r="F2202" s="15">
        <v>5648</v>
      </c>
      <c r="G2202" s="15">
        <v>3569</v>
      </c>
      <c r="H2202">
        <v>461</v>
      </c>
      <c r="I2202">
        <v>286</v>
      </c>
      <c r="J2202" s="17">
        <v>534075.89</v>
      </c>
      <c r="K2202">
        <v>119</v>
      </c>
      <c r="L2202" s="17">
        <v>388633.89</v>
      </c>
      <c r="M2202">
        <v>108</v>
      </c>
      <c r="N2202">
        <v>919</v>
      </c>
      <c r="O2202" s="15">
        <v>5394</v>
      </c>
      <c r="P2202">
        <f t="shared" si="111"/>
        <v>2025</v>
      </c>
      <c r="Q2202">
        <f t="shared" si="112"/>
        <v>5</v>
      </c>
      <c r="R2202" t="str">
        <f t="shared" si="110"/>
        <v>万相台</v>
      </c>
      <c r="S2202" t="s">
        <v>629</v>
      </c>
      <c r="T2202" s="546" t="s">
        <v>804</v>
      </c>
    </row>
    <row r="2203" spans="1:20" x14ac:dyDescent="0.3">
      <c r="A2203" t="s">
        <v>627</v>
      </c>
      <c r="B2203" s="16">
        <v>45793</v>
      </c>
      <c r="C2203" t="s">
        <v>2</v>
      </c>
      <c r="D2203" t="s">
        <v>4</v>
      </c>
      <c r="E2203" t="s">
        <v>42</v>
      </c>
      <c r="F2203">
        <v>2</v>
      </c>
      <c r="G2203">
        <v>2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f t="shared" si="111"/>
        <v>2025</v>
      </c>
      <c r="Q2203">
        <f t="shared" si="112"/>
        <v>5</v>
      </c>
      <c r="R2203" t="str">
        <f t="shared" si="110"/>
        <v>UD效果投放</v>
      </c>
      <c r="S2203" t="s">
        <v>629</v>
      </c>
      <c r="T2203" s="546" t="s">
        <v>804</v>
      </c>
    </row>
    <row r="2204" spans="1:20" x14ac:dyDescent="0.3">
      <c r="A2204" t="s">
        <v>627</v>
      </c>
      <c r="B2204" s="16">
        <v>45793</v>
      </c>
      <c r="C2204" t="s">
        <v>2</v>
      </c>
      <c r="D2204" t="s">
        <v>4</v>
      </c>
      <c r="E2204" t="s">
        <v>41</v>
      </c>
      <c r="F2204">
        <v>8</v>
      </c>
      <c r="G2204">
        <v>4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1</v>
      </c>
      <c r="O2204">
        <v>7</v>
      </c>
      <c r="P2204">
        <f t="shared" si="111"/>
        <v>2025</v>
      </c>
      <c r="Q2204">
        <f t="shared" si="112"/>
        <v>5</v>
      </c>
      <c r="R2204" t="str">
        <f t="shared" si="110"/>
        <v>流量宝</v>
      </c>
      <c r="S2204" t="s">
        <v>629</v>
      </c>
      <c r="T2204" s="546" t="s">
        <v>804</v>
      </c>
    </row>
    <row r="2205" spans="1:20" x14ac:dyDescent="0.3">
      <c r="A2205" t="s">
        <v>627</v>
      </c>
      <c r="B2205" s="16">
        <v>45793</v>
      </c>
      <c r="C2205" t="s">
        <v>2</v>
      </c>
      <c r="D2205" t="s">
        <v>4</v>
      </c>
      <c r="E2205" t="s">
        <v>43</v>
      </c>
      <c r="F2205">
        <v>325</v>
      </c>
      <c r="G2205">
        <v>122</v>
      </c>
      <c r="H2205">
        <v>9</v>
      </c>
      <c r="I2205">
        <v>3</v>
      </c>
      <c r="J2205" s="15">
        <v>40079</v>
      </c>
      <c r="K2205">
        <v>7</v>
      </c>
      <c r="L2205" s="15">
        <v>36594</v>
      </c>
      <c r="M2205">
        <v>7</v>
      </c>
      <c r="N2205">
        <v>3</v>
      </c>
      <c r="O2205">
        <v>312</v>
      </c>
      <c r="P2205">
        <f t="shared" si="111"/>
        <v>2025</v>
      </c>
      <c r="Q2205">
        <f t="shared" si="112"/>
        <v>5</v>
      </c>
      <c r="R2205" t="str">
        <f t="shared" si="110"/>
        <v>淘宝客</v>
      </c>
      <c r="S2205" t="s">
        <v>629</v>
      </c>
      <c r="T2205" s="546" t="s">
        <v>804</v>
      </c>
    </row>
    <row r="2206" spans="1:20" x14ac:dyDescent="0.3">
      <c r="A2206" t="s">
        <v>627</v>
      </c>
      <c r="B2206" s="16">
        <v>45794</v>
      </c>
      <c r="C2206" t="s">
        <v>3</v>
      </c>
      <c r="D2206" t="s">
        <v>114</v>
      </c>
      <c r="E2206" t="s">
        <v>159</v>
      </c>
      <c r="F2206">
        <v>133</v>
      </c>
      <c r="G2206">
        <v>57</v>
      </c>
      <c r="H2206">
        <v>4</v>
      </c>
      <c r="I2206">
        <v>3</v>
      </c>
      <c r="J2206" s="15">
        <v>1490</v>
      </c>
      <c r="K2206">
        <v>1</v>
      </c>
      <c r="L2206">
        <v>0</v>
      </c>
      <c r="M2206">
        <v>0</v>
      </c>
      <c r="N2206">
        <v>16</v>
      </c>
      <c r="O2206">
        <v>131</v>
      </c>
      <c r="P2206">
        <f t="shared" si="111"/>
        <v>2025</v>
      </c>
      <c r="Q2206">
        <f t="shared" si="112"/>
        <v>5</v>
      </c>
      <c r="R2206" t="str">
        <f t="shared" si="110"/>
        <v>主会场</v>
      </c>
      <c r="S2206" t="s">
        <v>629</v>
      </c>
      <c r="T2206" s="546" t="s">
        <v>804</v>
      </c>
    </row>
    <row r="2207" spans="1:20" x14ac:dyDescent="0.3">
      <c r="A2207" t="s">
        <v>627</v>
      </c>
      <c r="B2207" s="16">
        <v>45794</v>
      </c>
      <c r="C2207" t="s">
        <v>3</v>
      </c>
      <c r="D2207" t="s">
        <v>123</v>
      </c>
      <c r="E2207" t="s">
        <v>169</v>
      </c>
      <c r="F2207">
        <v>202</v>
      </c>
      <c r="G2207">
        <v>88</v>
      </c>
      <c r="H2207">
        <v>20</v>
      </c>
      <c r="I2207">
        <v>3</v>
      </c>
      <c r="J2207" s="15">
        <v>7410</v>
      </c>
      <c r="K2207">
        <v>4</v>
      </c>
      <c r="L2207" s="15">
        <v>7410</v>
      </c>
      <c r="M2207">
        <v>4</v>
      </c>
      <c r="N2207">
        <v>39</v>
      </c>
      <c r="O2207">
        <v>196</v>
      </c>
      <c r="P2207">
        <f t="shared" si="111"/>
        <v>2025</v>
      </c>
      <c r="Q2207">
        <f t="shared" si="112"/>
        <v>5</v>
      </c>
      <c r="R2207" t="str">
        <f t="shared" si="110"/>
        <v>商品详情页头图推荐</v>
      </c>
      <c r="S2207" t="s">
        <v>629</v>
      </c>
      <c r="T2207" s="546" t="s">
        <v>804</v>
      </c>
    </row>
    <row r="2208" spans="1:20" x14ac:dyDescent="0.3">
      <c r="A2208" t="s">
        <v>627</v>
      </c>
      <c r="B2208" s="16">
        <v>45794</v>
      </c>
      <c r="C2208" t="s">
        <v>3</v>
      </c>
      <c r="D2208" t="s">
        <v>123</v>
      </c>
      <c r="E2208" t="s">
        <v>170</v>
      </c>
      <c r="F2208">
        <v>46</v>
      </c>
      <c r="G2208">
        <v>23</v>
      </c>
      <c r="H2208">
        <v>4</v>
      </c>
      <c r="I2208">
        <v>1</v>
      </c>
      <c r="J2208" s="15">
        <v>5775</v>
      </c>
      <c r="K2208">
        <v>3</v>
      </c>
      <c r="L2208" s="15">
        <v>5775</v>
      </c>
      <c r="M2208">
        <v>3</v>
      </c>
      <c r="N2208">
        <v>44</v>
      </c>
      <c r="O2208">
        <v>17</v>
      </c>
      <c r="P2208">
        <f t="shared" si="111"/>
        <v>2025</v>
      </c>
      <c r="Q2208">
        <f t="shared" si="112"/>
        <v>5</v>
      </c>
      <c r="R2208" t="str">
        <f t="shared" si="110"/>
        <v>店铺超链</v>
      </c>
      <c r="S2208" t="s">
        <v>629</v>
      </c>
      <c r="T2208" s="546" t="s">
        <v>804</v>
      </c>
    </row>
    <row r="2209" spans="1:20" x14ac:dyDescent="0.3">
      <c r="A2209" t="s">
        <v>627</v>
      </c>
      <c r="B2209" s="16">
        <v>45794</v>
      </c>
      <c r="C2209" t="s">
        <v>3</v>
      </c>
      <c r="D2209" t="s">
        <v>127</v>
      </c>
      <c r="E2209" t="s">
        <v>171</v>
      </c>
      <c r="F2209">
        <v>208</v>
      </c>
      <c r="G2209">
        <v>100</v>
      </c>
      <c r="H2209">
        <v>10</v>
      </c>
      <c r="I2209">
        <v>4</v>
      </c>
      <c r="J2209" s="15">
        <v>2250</v>
      </c>
      <c r="K2209">
        <v>1</v>
      </c>
      <c r="L2209" s="15">
        <v>2250</v>
      </c>
      <c r="M2209">
        <v>1</v>
      </c>
      <c r="N2209">
        <v>34</v>
      </c>
      <c r="O2209">
        <v>191</v>
      </c>
      <c r="P2209">
        <f t="shared" si="111"/>
        <v>2025</v>
      </c>
      <c r="Q2209">
        <f t="shared" si="112"/>
        <v>5</v>
      </c>
      <c r="R2209" t="str">
        <f t="shared" si="110"/>
        <v>其他猜你喜欢</v>
      </c>
      <c r="S2209" t="s">
        <v>629</v>
      </c>
      <c r="T2209" s="546" t="s">
        <v>804</v>
      </c>
    </row>
    <row r="2210" spans="1:20" x14ac:dyDescent="0.3">
      <c r="A2210" t="s">
        <v>627</v>
      </c>
      <c r="B2210" s="16">
        <v>45794</v>
      </c>
      <c r="C2210" t="s">
        <v>3</v>
      </c>
      <c r="D2210" t="s">
        <v>127</v>
      </c>
      <c r="E2210" t="s">
        <v>173</v>
      </c>
      <c r="F2210">
        <v>37</v>
      </c>
      <c r="G2210">
        <v>17</v>
      </c>
      <c r="H2210">
        <v>1</v>
      </c>
      <c r="I2210">
        <v>0</v>
      </c>
      <c r="J2210" s="15">
        <v>3597</v>
      </c>
      <c r="K2210">
        <v>2</v>
      </c>
      <c r="L2210" s="15">
        <v>3597</v>
      </c>
      <c r="M2210">
        <v>2</v>
      </c>
      <c r="N2210">
        <v>1</v>
      </c>
      <c r="O2210">
        <v>22</v>
      </c>
      <c r="P2210">
        <f t="shared" si="111"/>
        <v>2025</v>
      </c>
      <c r="Q2210">
        <f t="shared" si="112"/>
        <v>5</v>
      </c>
      <c r="R2210" t="str">
        <f t="shared" si="110"/>
        <v>购后推荐</v>
      </c>
      <c r="S2210" t="s">
        <v>629</v>
      </c>
      <c r="T2210" s="546" t="s">
        <v>804</v>
      </c>
    </row>
    <row r="2211" spans="1:20" x14ac:dyDescent="0.3">
      <c r="A2211" t="s">
        <v>627</v>
      </c>
      <c r="B2211" s="16">
        <v>45794</v>
      </c>
      <c r="C2211" t="s">
        <v>3</v>
      </c>
      <c r="D2211" t="s">
        <v>127</v>
      </c>
      <c r="E2211" t="s">
        <v>174</v>
      </c>
      <c r="F2211" s="15">
        <v>1530</v>
      </c>
      <c r="G2211">
        <v>953</v>
      </c>
      <c r="H2211">
        <v>36</v>
      </c>
      <c r="I2211">
        <v>10</v>
      </c>
      <c r="J2211" s="15">
        <v>15743</v>
      </c>
      <c r="K2211">
        <v>7</v>
      </c>
      <c r="L2211" s="15">
        <v>15743</v>
      </c>
      <c r="M2211">
        <v>7</v>
      </c>
      <c r="N2211">
        <v>128</v>
      </c>
      <c r="O2211" s="15">
        <v>1530</v>
      </c>
      <c r="P2211">
        <f t="shared" si="111"/>
        <v>2025</v>
      </c>
      <c r="Q2211">
        <f t="shared" si="112"/>
        <v>5</v>
      </c>
      <c r="R2211" t="str">
        <f t="shared" si="110"/>
        <v>首页推荐-微详情</v>
      </c>
      <c r="S2211" t="s">
        <v>629</v>
      </c>
      <c r="T2211" s="546" t="s">
        <v>804</v>
      </c>
    </row>
    <row r="2212" spans="1:20" x14ac:dyDescent="0.3">
      <c r="A2212" t="s">
        <v>627</v>
      </c>
      <c r="B2212" s="16">
        <v>45794</v>
      </c>
      <c r="C2212" t="s">
        <v>3</v>
      </c>
      <c r="D2212" t="s">
        <v>127</v>
      </c>
      <c r="E2212" t="s">
        <v>176</v>
      </c>
      <c r="F2212" s="15">
        <v>1695</v>
      </c>
      <c r="G2212" s="15">
        <v>1611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5</v>
      </c>
      <c r="O2212">
        <v>18</v>
      </c>
      <c r="P2212">
        <f t="shared" si="111"/>
        <v>2025</v>
      </c>
      <c r="Q2212">
        <f t="shared" si="112"/>
        <v>5</v>
      </c>
      <c r="R2212" t="str">
        <f t="shared" si="110"/>
        <v>首页推荐-短视频</v>
      </c>
      <c r="S2212" t="s">
        <v>629</v>
      </c>
      <c r="T2212" s="546" t="s">
        <v>804</v>
      </c>
    </row>
    <row r="2213" spans="1:20" x14ac:dyDescent="0.3">
      <c r="A2213" t="s">
        <v>627</v>
      </c>
      <c r="B2213" s="16">
        <v>45794</v>
      </c>
      <c r="C2213" t="s">
        <v>3</v>
      </c>
      <c r="D2213" t="s">
        <v>128</v>
      </c>
      <c r="E2213" t="s">
        <v>177</v>
      </c>
      <c r="F2213">
        <v>909</v>
      </c>
      <c r="G2213">
        <v>711</v>
      </c>
      <c r="H2213">
        <v>50</v>
      </c>
      <c r="I2213">
        <v>10</v>
      </c>
      <c r="J2213" s="15">
        <v>41383</v>
      </c>
      <c r="K2213">
        <v>12</v>
      </c>
      <c r="L2213" s="15">
        <v>29703</v>
      </c>
      <c r="M2213">
        <v>11</v>
      </c>
      <c r="N2213">
        <v>412</v>
      </c>
      <c r="O2213">
        <v>663</v>
      </c>
      <c r="P2213">
        <f t="shared" si="111"/>
        <v>2025</v>
      </c>
      <c r="Q2213">
        <f t="shared" si="112"/>
        <v>5</v>
      </c>
      <c r="R2213" t="str">
        <f t="shared" si="110"/>
        <v>手淘搜索-商品及其他</v>
      </c>
      <c r="S2213" t="s">
        <v>629</v>
      </c>
      <c r="T2213" s="546" t="s">
        <v>804</v>
      </c>
    </row>
    <row r="2214" spans="1:20" x14ac:dyDescent="0.3">
      <c r="A2214" t="s">
        <v>627</v>
      </c>
      <c r="B2214" s="16">
        <v>45794</v>
      </c>
      <c r="C2214" t="s">
        <v>3</v>
      </c>
      <c r="D2214" t="s">
        <v>128</v>
      </c>
      <c r="E2214" t="s">
        <v>179</v>
      </c>
      <c r="F2214">
        <v>4</v>
      </c>
      <c r="G2214">
        <v>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4</v>
      </c>
      <c r="P2214">
        <f t="shared" si="111"/>
        <v>2025</v>
      </c>
      <c r="Q2214">
        <f t="shared" si="112"/>
        <v>5</v>
      </c>
      <c r="R2214" t="str">
        <f t="shared" si="110"/>
        <v>手淘搜索-短视频</v>
      </c>
      <c r="S2214" t="s">
        <v>629</v>
      </c>
      <c r="T2214" s="546" t="s">
        <v>804</v>
      </c>
    </row>
    <row r="2215" spans="1:20" x14ac:dyDescent="0.3">
      <c r="A2215" t="s">
        <v>627</v>
      </c>
      <c r="B2215" s="16">
        <v>45794</v>
      </c>
      <c r="C2215" t="s">
        <v>3</v>
      </c>
      <c r="D2215" t="s">
        <v>143</v>
      </c>
      <c r="E2215" t="s">
        <v>180</v>
      </c>
      <c r="F2215">
        <v>16</v>
      </c>
      <c r="G2215">
        <v>14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16</v>
      </c>
      <c r="P2215">
        <f t="shared" si="111"/>
        <v>2025</v>
      </c>
      <c r="Q2215">
        <f t="shared" si="112"/>
        <v>5</v>
      </c>
      <c r="R2215" t="str">
        <f t="shared" si="110"/>
        <v>淘特其他渠道</v>
      </c>
      <c r="S2215" t="s">
        <v>629</v>
      </c>
      <c r="T2215" s="546" t="s">
        <v>804</v>
      </c>
    </row>
    <row r="2216" spans="1:20" x14ac:dyDescent="0.3">
      <c r="A2216" t="s">
        <v>627</v>
      </c>
      <c r="B2216" s="16">
        <v>45794</v>
      </c>
      <c r="C2216" t="s">
        <v>3</v>
      </c>
      <c r="D2216" t="s">
        <v>143</v>
      </c>
      <c r="E2216" t="s">
        <v>181</v>
      </c>
      <c r="F2216">
        <v>61</v>
      </c>
      <c r="G2216">
        <v>57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61</v>
      </c>
      <c r="P2216">
        <f t="shared" si="111"/>
        <v>2025</v>
      </c>
      <c r="Q2216">
        <f t="shared" si="112"/>
        <v>5</v>
      </c>
      <c r="R2216" t="str">
        <f t="shared" si="110"/>
        <v>淘特搜索</v>
      </c>
      <c r="S2216" t="s">
        <v>629</v>
      </c>
      <c r="T2216" s="546" t="s">
        <v>804</v>
      </c>
    </row>
    <row r="2217" spans="1:20" x14ac:dyDescent="0.3">
      <c r="A2217" t="s">
        <v>627</v>
      </c>
      <c r="B2217" s="16">
        <v>45794</v>
      </c>
      <c r="C2217" t="s">
        <v>2</v>
      </c>
      <c r="D2217" t="s">
        <v>55</v>
      </c>
      <c r="E2217" t="s">
        <v>54</v>
      </c>
      <c r="F2217">
        <v>6</v>
      </c>
      <c r="G2217">
        <v>3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1</v>
      </c>
      <c r="O2217">
        <v>1</v>
      </c>
      <c r="P2217">
        <f t="shared" si="111"/>
        <v>2025</v>
      </c>
      <c r="Q2217">
        <f t="shared" si="112"/>
        <v>5</v>
      </c>
      <c r="R2217" t="str">
        <f t="shared" si="110"/>
        <v>超级直播</v>
      </c>
      <c r="S2217" t="s">
        <v>629</v>
      </c>
      <c r="T2217" s="546" t="s">
        <v>804</v>
      </c>
    </row>
    <row r="2218" spans="1:20" x14ac:dyDescent="0.3">
      <c r="A2218" t="s">
        <v>627</v>
      </c>
      <c r="B2218" s="16">
        <v>45794</v>
      </c>
      <c r="C2218" t="s">
        <v>2</v>
      </c>
      <c r="D2218" t="s">
        <v>55</v>
      </c>
      <c r="E2218" t="s">
        <v>56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f t="shared" si="111"/>
        <v>2025</v>
      </c>
      <c r="Q2218">
        <f t="shared" si="112"/>
        <v>5</v>
      </c>
      <c r="R2218" t="str">
        <f t="shared" si="110"/>
        <v>超级短视频</v>
      </c>
      <c r="S2218" t="s">
        <v>629</v>
      </c>
      <c r="T2218" s="546" t="s">
        <v>804</v>
      </c>
    </row>
    <row r="2219" spans="1:20" x14ac:dyDescent="0.3">
      <c r="A2219" t="s">
        <v>627</v>
      </c>
      <c r="B2219" s="16">
        <v>45794</v>
      </c>
      <c r="C2219" t="s">
        <v>2</v>
      </c>
      <c r="D2219" t="s">
        <v>52</v>
      </c>
      <c r="E2219" t="s">
        <v>58</v>
      </c>
      <c r="F2219">
        <v>1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1</v>
      </c>
      <c r="O2219">
        <v>1</v>
      </c>
      <c r="P2219">
        <f t="shared" si="111"/>
        <v>2025</v>
      </c>
      <c r="Q2219">
        <f t="shared" si="112"/>
        <v>5</v>
      </c>
      <c r="R2219" t="str">
        <f t="shared" si="110"/>
        <v>超级全域通</v>
      </c>
      <c r="S2219" t="s">
        <v>629</v>
      </c>
      <c r="T2219" s="546" t="s">
        <v>804</v>
      </c>
    </row>
    <row r="2220" spans="1:20" x14ac:dyDescent="0.3">
      <c r="A2220" t="s">
        <v>627</v>
      </c>
      <c r="B2220" s="16">
        <v>45794</v>
      </c>
      <c r="C2220" t="s">
        <v>2</v>
      </c>
      <c r="D2220" t="s">
        <v>57</v>
      </c>
      <c r="E2220" t="s">
        <v>64</v>
      </c>
      <c r="F2220" s="15">
        <v>12434</v>
      </c>
      <c r="G2220" s="15">
        <v>8129</v>
      </c>
      <c r="H2220">
        <v>106</v>
      </c>
      <c r="I2220">
        <v>48</v>
      </c>
      <c r="J2220" s="15">
        <v>62738</v>
      </c>
      <c r="K2220">
        <v>19</v>
      </c>
      <c r="L2220" s="15">
        <v>49385</v>
      </c>
      <c r="M2220">
        <v>15</v>
      </c>
      <c r="N2220">
        <v>341</v>
      </c>
      <c r="O2220" s="15">
        <v>12434</v>
      </c>
      <c r="P2220">
        <f t="shared" si="111"/>
        <v>2025</v>
      </c>
      <c r="Q2220">
        <f t="shared" si="112"/>
        <v>5</v>
      </c>
      <c r="R2220" t="str">
        <f t="shared" si="110"/>
        <v>引力魔方</v>
      </c>
      <c r="S2220" t="s">
        <v>629</v>
      </c>
      <c r="T2220" s="546" t="s">
        <v>804</v>
      </c>
    </row>
    <row r="2221" spans="1:20" x14ac:dyDescent="0.3">
      <c r="A2221" t="s">
        <v>627</v>
      </c>
      <c r="B2221" s="16">
        <v>45794</v>
      </c>
      <c r="C2221" t="s">
        <v>2</v>
      </c>
      <c r="D2221" t="s">
        <v>57</v>
      </c>
      <c r="E2221" t="s">
        <v>65</v>
      </c>
      <c r="F2221" s="15">
        <v>8053</v>
      </c>
      <c r="G2221" s="15">
        <v>7375</v>
      </c>
      <c r="H2221">
        <v>143</v>
      </c>
      <c r="I2221">
        <v>38</v>
      </c>
      <c r="J2221" s="15">
        <v>202933</v>
      </c>
      <c r="K2221">
        <v>40</v>
      </c>
      <c r="L2221" s="15">
        <v>114618</v>
      </c>
      <c r="M2221">
        <v>28</v>
      </c>
      <c r="N2221">
        <v>403</v>
      </c>
      <c r="O2221" s="15">
        <v>7996</v>
      </c>
      <c r="P2221">
        <f t="shared" si="111"/>
        <v>2025</v>
      </c>
      <c r="Q2221">
        <f t="shared" si="112"/>
        <v>5</v>
      </c>
      <c r="R2221" t="str">
        <f t="shared" si="110"/>
        <v>直通车</v>
      </c>
      <c r="S2221" t="s">
        <v>629</v>
      </c>
      <c r="T2221" s="546" t="s">
        <v>804</v>
      </c>
    </row>
    <row r="2222" spans="1:20" x14ac:dyDescent="0.3">
      <c r="A2222" t="s">
        <v>627</v>
      </c>
      <c r="B2222" s="16">
        <v>45794</v>
      </c>
      <c r="C2222" t="s">
        <v>2</v>
      </c>
      <c r="D2222" t="s">
        <v>57</v>
      </c>
      <c r="E2222" t="s">
        <v>63</v>
      </c>
      <c r="F2222" s="15">
        <v>6306</v>
      </c>
      <c r="G2222" s="15">
        <v>4003</v>
      </c>
      <c r="H2222">
        <v>262</v>
      </c>
      <c r="I2222">
        <v>265</v>
      </c>
      <c r="J2222" s="15">
        <v>188742</v>
      </c>
      <c r="K2222">
        <v>50</v>
      </c>
      <c r="L2222" s="15">
        <v>136472</v>
      </c>
      <c r="M2222">
        <v>42</v>
      </c>
      <c r="N2222">
        <v>852</v>
      </c>
      <c r="O2222" s="15">
        <v>6045</v>
      </c>
      <c r="P2222">
        <f t="shared" si="111"/>
        <v>2025</v>
      </c>
      <c r="Q2222">
        <f t="shared" si="112"/>
        <v>5</v>
      </c>
      <c r="R2222" t="str">
        <f t="shared" si="110"/>
        <v>万相台</v>
      </c>
      <c r="S2222" t="s">
        <v>629</v>
      </c>
      <c r="T2222" s="546" t="s">
        <v>804</v>
      </c>
    </row>
    <row r="2223" spans="1:20" x14ac:dyDescent="0.3">
      <c r="A2223" t="s">
        <v>627</v>
      </c>
      <c r="B2223" s="16">
        <v>45794</v>
      </c>
      <c r="C2223" t="s">
        <v>2</v>
      </c>
      <c r="D2223" t="s">
        <v>4</v>
      </c>
      <c r="E2223" t="s">
        <v>41</v>
      </c>
      <c r="F2223">
        <v>6</v>
      </c>
      <c r="G2223">
        <v>3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1</v>
      </c>
      <c r="O2223">
        <v>6</v>
      </c>
      <c r="P2223">
        <f t="shared" si="111"/>
        <v>2025</v>
      </c>
      <c r="Q2223">
        <f t="shared" si="112"/>
        <v>5</v>
      </c>
      <c r="R2223" t="str">
        <f t="shared" si="110"/>
        <v>流量宝</v>
      </c>
      <c r="S2223" t="s">
        <v>629</v>
      </c>
      <c r="T2223" s="546" t="s">
        <v>804</v>
      </c>
    </row>
    <row r="2224" spans="1:20" x14ac:dyDescent="0.3">
      <c r="A2224" t="s">
        <v>627</v>
      </c>
      <c r="B2224" s="16">
        <v>45794</v>
      </c>
      <c r="C2224" t="s">
        <v>2</v>
      </c>
      <c r="D2224" t="s">
        <v>4</v>
      </c>
      <c r="E2224" t="s">
        <v>43</v>
      </c>
      <c r="F2224">
        <v>380</v>
      </c>
      <c r="G2224">
        <v>159</v>
      </c>
      <c r="H2224">
        <v>4</v>
      </c>
      <c r="I2224">
        <v>0</v>
      </c>
      <c r="J2224" s="15">
        <v>37540</v>
      </c>
      <c r="K2224">
        <v>3</v>
      </c>
      <c r="L2224" s="15">
        <v>37540</v>
      </c>
      <c r="M2224">
        <v>3</v>
      </c>
      <c r="N2224">
        <v>2</v>
      </c>
      <c r="O2224">
        <v>379</v>
      </c>
      <c r="P2224">
        <f t="shared" si="111"/>
        <v>2025</v>
      </c>
      <c r="Q2224">
        <f t="shared" si="112"/>
        <v>5</v>
      </c>
      <c r="R2224" t="str">
        <f t="shared" si="110"/>
        <v>淘宝客</v>
      </c>
      <c r="S2224" t="s">
        <v>629</v>
      </c>
      <c r="T2224" s="546" t="s">
        <v>804</v>
      </c>
    </row>
    <row r="2225" spans="1:20" x14ac:dyDescent="0.3">
      <c r="A2225" t="s">
        <v>627</v>
      </c>
      <c r="B2225" s="16">
        <v>45795</v>
      </c>
      <c r="C2225" t="s">
        <v>3</v>
      </c>
      <c r="D2225" t="s">
        <v>114</v>
      </c>
      <c r="E2225" t="s">
        <v>159</v>
      </c>
      <c r="F2225">
        <v>129</v>
      </c>
      <c r="G2225">
        <v>58</v>
      </c>
      <c r="H2225">
        <v>7</v>
      </c>
      <c r="I2225">
        <v>3</v>
      </c>
      <c r="J2225">
        <v>0</v>
      </c>
      <c r="K2225">
        <v>0</v>
      </c>
      <c r="L2225">
        <v>0</v>
      </c>
      <c r="M2225">
        <v>0</v>
      </c>
      <c r="N2225">
        <v>10</v>
      </c>
      <c r="O2225">
        <v>127</v>
      </c>
      <c r="P2225">
        <f t="shared" si="111"/>
        <v>2025</v>
      </c>
      <c r="Q2225">
        <f t="shared" si="112"/>
        <v>5</v>
      </c>
      <c r="R2225" t="str">
        <f t="shared" si="110"/>
        <v>主会场</v>
      </c>
      <c r="S2225" t="s">
        <v>629</v>
      </c>
      <c r="T2225" s="546" t="s">
        <v>804</v>
      </c>
    </row>
    <row r="2226" spans="1:20" x14ac:dyDescent="0.3">
      <c r="A2226" t="s">
        <v>627</v>
      </c>
      <c r="B2226" s="16">
        <v>45795</v>
      </c>
      <c r="C2226" t="s">
        <v>3</v>
      </c>
      <c r="D2226" t="s">
        <v>123</v>
      </c>
      <c r="E2226" t="s">
        <v>169</v>
      </c>
      <c r="F2226">
        <v>262</v>
      </c>
      <c r="G2226">
        <v>131</v>
      </c>
      <c r="H2226">
        <v>13</v>
      </c>
      <c r="I2226">
        <v>11</v>
      </c>
      <c r="J2226" s="15">
        <v>8400</v>
      </c>
      <c r="K2226">
        <v>2</v>
      </c>
      <c r="L2226" s="15">
        <v>6910</v>
      </c>
      <c r="M2226">
        <v>1</v>
      </c>
      <c r="N2226">
        <v>61</v>
      </c>
      <c r="O2226">
        <v>256</v>
      </c>
      <c r="P2226">
        <f t="shared" si="111"/>
        <v>2025</v>
      </c>
      <c r="Q2226">
        <f t="shared" si="112"/>
        <v>5</v>
      </c>
      <c r="R2226" t="str">
        <f t="shared" si="110"/>
        <v>商品详情页头图推荐</v>
      </c>
      <c r="S2226" t="s">
        <v>629</v>
      </c>
      <c r="T2226" s="546" t="s">
        <v>804</v>
      </c>
    </row>
    <row r="2227" spans="1:20" x14ac:dyDescent="0.3">
      <c r="A2227" t="s">
        <v>627</v>
      </c>
      <c r="B2227" s="16">
        <v>45795</v>
      </c>
      <c r="C2227" t="s">
        <v>3</v>
      </c>
      <c r="D2227" t="s">
        <v>123</v>
      </c>
      <c r="E2227" t="s">
        <v>170</v>
      </c>
      <c r="F2227">
        <v>48</v>
      </c>
      <c r="G2227">
        <v>27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44</v>
      </c>
      <c r="O2227">
        <v>22</v>
      </c>
      <c r="P2227">
        <f t="shared" si="111"/>
        <v>2025</v>
      </c>
      <c r="Q2227">
        <f t="shared" si="112"/>
        <v>5</v>
      </c>
      <c r="R2227" t="str">
        <f t="shared" si="110"/>
        <v>店铺超链</v>
      </c>
      <c r="S2227" t="s">
        <v>629</v>
      </c>
      <c r="T2227" s="546" t="s">
        <v>804</v>
      </c>
    </row>
    <row r="2228" spans="1:20" x14ac:dyDescent="0.3">
      <c r="A2228" t="s">
        <v>627</v>
      </c>
      <c r="B2228" s="16">
        <v>45795</v>
      </c>
      <c r="C2228" t="s">
        <v>3</v>
      </c>
      <c r="D2228" t="s">
        <v>127</v>
      </c>
      <c r="E2228" t="s">
        <v>171</v>
      </c>
      <c r="F2228">
        <v>285</v>
      </c>
      <c r="G2228">
        <v>169</v>
      </c>
      <c r="H2228">
        <v>7</v>
      </c>
      <c r="I2228">
        <v>7</v>
      </c>
      <c r="J2228" s="17">
        <v>4648.59</v>
      </c>
      <c r="K2228">
        <v>2</v>
      </c>
      <c r="L2228" s="17">
        <v>4648.59</v>
      </c>
      <c r="M2228">
        <v>2</v>
      </c>
      <c r="N2228">
        <v>53</v>
      </c>
      <c r="O2228">
        <v>256</v>
      </c>
      <c r="P2228">
        <f t="shared" si="111"/>
        <v>2025</v>
      </c>
      <c r="Q2228">
        <f t="shared" si="112"/>
        <v>5</v>
      </c>
      <c r="R2228" t="str">
        <f t="shared" si="110"/>
        <v>其他猜你喜欢</v>
      </c>
      <c r="S2228" t="s">
        <v>629</v>
      </c>
      <c r="T2228" s="546" t="s">
        <v>804</v>
      </c>
    </row>
    <row r="2229" spans="1:20" x14ac:dyDescent="0.3">
      <c r="A2229" t="s">
        <v>627</v>
      </c>
      <c r="B2229" s="16">
        <v>45795</v>
      </c>
      <c r="C2229" t="s">
        <v>3</v>
      </c>
      <c r="D2229" t="s">
        <v>127</v>
      </c>
      <c r="E2229" t="s">
        <v>172</v>
      </c>
      <c r="F2229">
        <v>14</v>
      </c>
      <c r="G2229">
        <v>10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8</v>
      </c>
      <c r="P2229">
        <f t="shared" si="111"/>
        <v>2025</v>
      </c>
      <c r="Q2229">
        <f t="shared" si="112"/>
        <v>5</v>
      </c>
      <c r="R2229" t="str">
        <f t="shared" si="110"/>
        <v>购中推荐</v>
      </c>
      <c r="S2229" t="s">
        <v>629</v>
      </c>
      <c r="T2229" s="546" t="s">
        <v>804</v>
      </c>
    </row>
    <row r="2230" spans="1:20" x14ac:dyDescent="0.3">
      <c r="A2230" t="s">
        <v>627</v>
      </c>
      <c r="B2230" s="16">
        <v>45795</v>
      </c>
      <c r="C2230" t="s">
        <v>3</v>
      </c>
      <c r="D2230" t="s">
        <v>127</v>
      </c>
      <c r="E2230" t="s">
        <v>173</v>
      </c>
      <c r="F2230">
        <v>58</v>
      </c>
      <c r="G2230">
        <v>30</v>
      </c>
      <c r="H2230">
        <v>2</v>
      </c>
      <c r="I2230">
        <v>1</v>
      </c>
      <c r="J2230">
        <v>0</v>
      </c>
      <c r="K2230">
        <v>0</v>
      </c>
      <c r="L2230">
        <v>0</v>
      </c>
      <c r="M2230">
        <v>0</v>
      </c>
      <c r="N2230">
        <v>1</v>
      </c>
      <c r="O2230">
        <v>26</v>
      </c>
      <c r="P2230">
        <f t="shared" si="111"/>
        <v>2025</v>
      </c>
      <c r="Q2230">
        <f t="shared" si="112"/>
        <v>5</v>
      </c>
      <c r="R2230" t="str">
        <f t="shared" si="110"/>
        <v>购后推荐</v>
      </c>
      <c r="S2230" t="s">
        <v>629</v>
      </c>
      <c r="T2230" s="546" t="s">
        <v>804</v>
      </c>
    </row>
    <row r="2231" spans="1:20" x14ac:dyDescent="0.3">
      <c r="A2231" t="s">
        <v>627</v>
      </c>
      <c r="B2231" s="16">
        <v>45795</v>
      </c>
      <c r="C2231" t="s">
        <v>3</v>
      </c>
      <c r="D2231" t="s">
        <v>127</v>
      </c>
      <c r="E2231" t="s">
        <v>174</v>
      </c>
      <c r="F2231" s="15">
        <v>5140</v>
      </c>
      <c r="G2231" s="15">
        <v>3700</v>
      </c>
      <c r="H2231">
        <v>83</v>
      </c>
      <c r="I2231">
        <v>44</v>
      </c>
      <c r="J2231" s="17">
        <v>30914.57</v>
      </c>
      <c r="K2231">
        <v>9</v>
      </c>
      <c r="L2231" s="17">
        <v>29234.57</v>
      </c>
      <c r="M2231">
        <v>8</v>
      </c>
      <c r="N2231">
        <v>377</v>
      </c>
      <c r="O2231" s="15">
        <v>5140</v>
      </c>
      <c r="P2231">
        <f t="shared" si="111"/>
        <v>2025</v>
      </c>
      <c r="Q2231">
        <f t="shared" si="112"/>
        <v>5</v>
      </c>
      <c r="R2231" t="str">
        <f t="shared" si="110"/>
        <v>首页推荐-微详情</v>
      </c>
      <c r="S2231" t="s">
        <v>629</v>
      </c>
      <c r="T2231" s="546" t="s">
        <v>804</v>
      </c>
    </row>
    <row r="2232" spans="1:20" x14ac:dyDescent="0.3">
      <c r="A2232" t="s">
        <v>627</v>
      </c>
      <c r="B2232" s="16">
        <v>45795</v>
      </c>
      <c r="C2232" t="s">
        <v>3</v>
      </c>
      <c r="D2232" t="s">
        <v>127</v>
      </c>
      <c r="E2232" t="s">
        <v>176</v>
      </c>
      <c r="F2232">
        <v>322</v>
      </c>
      <c r="G2232">
        <v>221</v>
      </c>
      <c r="H2232">
        <v>0</v>
      </c>
      <c r="I2232">
        <v>0</v>
      </c>
      <c r="J2232" s="15">
        <v>4120</v>
      </c>
      <c r="K2232">
        <v>1</v>
      </c>
      <c r="L2232" s="15">
        <v>4120</v>
      </c>
      <c r="M2232">
        <v>1</v>
      </c>
      <c r="N2232">
        <v>3</v>
      </c>
      <c r="O2232">
        <v>29</v>
      </c>
      <c r="P2232">
        <f t="shared" si="111"/>
        <v>2025</v>
      </c>
      <c r="Q2232">
        <f t="shared" si="112"/>
        <v>5</v>
      </c>
      <c r="R2232" t="str">
        <f t="shared" si="110"/>
        <v>首页推荐-短视频</v>
      </c>
      <c r="S2232" t="s">
        <v>629</v>
      </c>
      <c r="T2232" s="546" t="s">
        <v>804</v>
      </c>
    </row>
    <row r="2233" spans="1:20" x14ac:dyDescent="0.3">
      <c r="A2233" t="s">
        <v>627</v>
      </c>
      <c r="B2233" s="16">
        <v>45795</v>
      </c>
      <c r="C2233" t="s">
        <v>3</v>
      </c>
      <c r="D2233" t="s">
        <v>128</v>
      </c>
      <c r="E2233" t="s">
        <v>177</v>
      </c>
      <c r="F2233">
        <v>968</v>
      </c>
      <c r="G2233">
        <v>741</v>
      </c>
      <c r="H2233">
        <v>43</v>
      </c>
      <c r="I2233">
        <v>11</v>
      </c>
      <c r="J2233" s="15">
        <v>38338</v>
      </c>
      <c r="K2233">
        <v>15</v>
      </c>
      <c r="L2233" s="15">
        <v>29598</v>
      </c>
      <c r="M2233">
        <v>13</v>
      </c>
      <c r="N2233">
        <v>435</v>
      </c>
      <c r="O2233">
        <v>729</v>
      </c>
      <c r="P2233">
        <f t="shared" si="111"/>
        <v>2025</v>
      </c>
      <c r="Q2233">
        <f t="shared" si="112"/>
        <v>5</v>
      </c>
      <c r="R2233" t="str">
        <f t="shared" si="110"/>
        <v>手淘搜索-商品及其他</v>
      </c>
      <c r="S2233" t="s">
        <v>629</v>
      </c>
      <c r="T2233" s="546" t="s">
        <v>804</v>
      </c>
    </row>
    <row r="2234" spans="1:20" x14ac:dyDescent="0.3">
      <c r="A2234" t="s">
        <v>627</v>
      </c>
      <c r="B2234" s="16">
        <v>45795</v>
      </c>
      <c r="C2234" t="s">
        <v>3</v>
      </c>
      <c r="D2234" t="s">
        <v>128</v>
      </c>
      <c r="E2234" t="s">
        <v>179</v>
      </c>
      <c r="F2234">
        <v>17</v>
      </c>
      <c r="G2234">
        <v>12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16</v>
      </c>
      <c r="P2234">
        <f t="shared" si="111"/>
        <v>2025</v>
      </c>
      <c r="Q2234">
        <f t="shared" si="112"/>
        <v>5</v>
      </c>
      <c r="R2234" t="str">
        <f t="shared" si="110"/>
        <v>手淘搜索-短视频</v>
      </c>
      <c r="S2234" t="s">
        <v>629</v>
      </c>
      <c r="T2234" s="546" t="s">
        <v>804</v>
      </c>
    </row>
    <row r="2235" spans="1:20" x14ac:dyDescent="0.3">
      <c r="A2235" t="s">
        <v>627</v>
      </c>
      <c r="B2235" s="16">
        <v>45795</v>
      </c>
      <c r="C2235" t="s">
        <v>3</v>
      </c>
      <c r="D2235" t="s">
        <v>143</v>
      </c>
      <c r="E2235" t="s">
        <v>180</v>
      </c>
      <c r="F2235">
        <v>21</v>
      </c>
      <c r="G2235">
        <v>16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1</v>
      </c>
      <c r="O2235">
        <v>20</v>
      </c>
      <c r="P2235">
        <f t="shared" si="111"/>
        <v>2025</v>
      </c>
      <c r="Q2235">
        <f t="shared" si="112"/>
        <v>5</v>
      </c>
      <c r="R2235" t="str">
        <f t="shared" si="110"/>
        <v>淘特其他渠道</v>
      </c>
      <c r="S2235" t="s">
        <v>629</v>
      </c>
      <c r="T2235" s="546" t="s">
        <v>804</v>
      </c>
    </row>
    <row r="2236" spans="1:20" x14ac:dyDescent="0.3">
      <c r="A2236" t="s">
        <v>627</v>
      </c>
      <c r="B2236" s="16">
        <v>45795</v>
      </c>
      <c r="C2236" t="s">
        <v>3</v>
      </c>
      <c r="D2236" t="s">
        <v>143</v>
      </c>
      <c r="E2236" t="s">
        <v>181</v>
      </c>
      <c r="F2236">
        <v>51</v>
      </c>
      <c r="G2236">
        <v>50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51</v>
      </c>
      <c r="P2236">
        <f t="shared" si="111"/>
        <v>2025</v>
      </c>
      <c r="Q2236">
        <f t="shared" si="112"/>
        <v>5</v>
      </c>
      <c r="R2236" t="str">
        <f t="shared" si="110"/>
        <v>淘特搜索</v>
      </c>
      <c r="S2236" t="s">
        <v>629</v>
      </c>
      <c r="T2236" s="546" t="s">
        <v>804</v>
      </c>
    </row>
    <row r="2237" spans="1:20" x14ac:dyDescent="0.3">
      <c r="A2237" t="s">
        <v>627</v>
      </c>
      <c r="B2237" s="16">
        <v>45795</v>
      </c>
      <c r="C2237" t="s">
        <v>3</v>
      </c>
      <c r="D2237" t="s">
        <v>143</v>
      </c>
      <c r="E2237" t="s">
        <v>224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</v>
      </c>
      <c r="P2237">
        <f t="shared" si="111"/>
        <v>2025</v>
      </c>
      <c r="Q2237">
        <f t="shared" si="112"/>
        <v>5</v>
      </c>
      <c r="R2237" t="str">
        <f t="shared" si="110"/>
        <v>淘特自主访问</v>
      </c>
      <c r="S2237" t="s">
        <v>629</v>
      </c>
      <c r="T2237" s="546" t="s">
        <v>804</v>
      </c>
    </row>
    <row r="2238" spans="1:20" x14ac:dyDescent="0.3">
      <c r="A2238" t="s">
        <v>627</v>
      </c>
      <c r="B2238" s="16">
        <v>45795</v>
      </c>
      <c r="C2238" t="s">
        <v>2</v>
      </c>
      <c r="D2238" t="s">
        <v>55</v>
      </c>
      <c r="E2238" t="s">
        <v>54</v>
      </c>
      <c r="F2238">
        <v>2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2</v>
      </c>
      <c r="P2238">
        <f t="shared" si="111"/>
        <v>2025</v>
      </c>
      <c r="Q2238">
        <f t="shared" si="112"/>
        <v>5</v>
      </c>
      <c r="R2238" t="str">
        <f t="shared" si="110"/>
        <v>超级直播</v>
      </c>
      <c r="S2238" t="s">
        <v>629</v>
      </c>
      <c r="T2238" s="546" t="s">
        <v>804</v>
      </c>
    </row>
    <row r="2239" spans="1:20" x14ac:dyDescent="0.3">
      <c r="A2239" t="s">
        <v>627</v>
      </c>
      <c r="B2239" s="16">
        <v>45795</v>
      </c>
      <c r="C2239" t="s">
        <v>2</v>
      </c>
      <c r="D2239" t="s">
        <v>55</v>
      </c>
      <c r="E2239" t="s">
        <v>56</v>
      </c>
      <c r="F2239">
        <v>1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</v>
      </c>
      <c r="P2239">
        <f t="shared" si="111"/>
        <v>2025</v>
      </c>
      <c r="Q2239">
        <f t="shared" si="112"/>
        <v>5</v>
      </c>
      <c r="R2239" t="str">
        <f t="shared" si="110"/>
        <v>超级短视频</v>
      </c>
      <c r="S2239" t="s">
        <v>629</v>
      </c>
      <c r="T2239" s="546" t="s">
        <v>804</v>
      </c>
    </row>
    <row r="2240" spans="1:20" x14ac:dyDescent="0.3">
      <c r="A2240" t="s">
        <v>627</v>
      </c>
      <c r="B2240" s="16">
        <v>45795</v>
      </c>
      <c r="C2240" t="s">
        <v>2</v>
      </c>
      <c r="D2240" t="s">
        <v>52</v>
      </c>
      <c r="E2240" t="s">
        <v>51</v>
      </c>
      <c r="F2240">
        <v>1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1</v>
      </c>
      <c r="O2240">
        <v>1</v>
      </c>
      <c r="P2240">
        <f t="shared" si="111"/>
        <v>2025</v>
      </c>
      <c r="Q2240">
        <f t="shared" si="112"/>
        <v>5</v>
      </c>
      <c r="R2240" t="str">
        <f t="shared" si="110"/>
        <v>品牌定制</v>
      </c>
      <c r="S2240" t="s">
        <v>629</v>
      </c>
      <c r="T2240" s="546" t="s">
        <v>804</v>
      </c>
    </row>
    <row r="2241" spans="1:20" x14ac:dyDescent="0.3">
      <c r="A2241" t="s">
        <v>627</v>
      </c>
      <c r="B2241" s="16">
        <v>45795</v>
      </c>
      <c r="C2241" t="s">
        <v>2</v>
      </c>
      <c r="D2241" t="s">
        <v>52</v>
      </c>
      <c r="E2241" t="s">
        <v>58</v>
      </c>
      <c r="F2241">
        <v>2</v>
      </c>
      <c r="G2241">
        <v>2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2</v>
      </c>
      <c r="P2241">
        <f t="shared" si="111"/>
        <v>2025</v>
      </c>
      <c r="Q2241">
        <f t="shared" si="112"/>
        <v>5</v>
      </c>
      <c r="R2241" t="str">
        <f t="shared" si="110"/>
        <v>超级全域通</v>
      </c>
      <c r="S2241" t="s">
        <v>629</v>
      </c>
      <c r="T2241" s="546" t="s">
        <v>804</v>
      </c>
    </row>
    <row r="2242" spans="1:20" x14ac:dyDescent="0.3">
      <c r="A2242" t="s">
        <v>627</v>
      </c>
      <c r="B2242" s="16">
        <v>45795</v>
      </c>
      <c r="C2242" t="s">
        <v>2</v>
      </c>
      <c r="D2242" t="s">
        <v>57</v>
      </c>
      <c r="E2242" t="s">
        <v>64</v>
      </c>
      <c r="F2242" s="15">
        <v>12167</v>
      </c>
      <c r="G2242" s="15">
        <v>8414</v>
      </c>
      <c r="H2242">
        <v>61</v>
      </c>
      <c r="I2242">
        <v>27</v>
      </c>
      <c r="J2242" s="15">
        <v>25460</v>
      </c>
      <c r="K2242">
        <v>8</v>
      </c>
      <c r="L2242" s="15">
        <v>4970</v>
      </c>
      <c r="M2242">
        <v>3</v>
      </c>
      <c r="N2242">
        <v>224</v>
      </c>
      <c r="O2242" s="15">
        <v>12166</v>
      </c>
      <c r="P2242">
        <f t="shared" si="111"/>
        <v>2025</v>
      </c>
      <c r="Q2242">
        <f t="shared" si="112"/>
        <v>5</v>
      </c>
      <c r="R2242" t="str">
        <f t="shared" si="110"/>
        <v>引力魔方</v>
      </c>
      <c r="S2242" t="s">
        <v>629</v>
      </c>
      <c r="T2242" s="546" t="s">
        <v>804</v>
      </c>
    </row>
    <row r="2243" spans="1:20" x14ac:dyDescent="0.3">
      <c r="A2243" t="s">
        <v>627</v>
      </c>
      <c r="B2243" s="16">
        <v>45795</v>
      </c>
      <c r="C2243" t="s">
        <v>2</v>
      </c>
      <c r="D2243" t="s">
        <v>57</v>
      </c>
      <c r="E2243" t="s">
        <v>65</v>
      </c>
      <c r="F2243" s="15">
        <v>7562</v>
      </c>
      <c r="G2243" s="15">
        <v>6904</v>
      </c>
      <c r="H2243">
        <v>78</v>
      </c>
      <c r="I2243">
        <v>39</v>
      </c>
      <c r="J2243" s="15">
        <v>108265</v>
      </c>
      <c r="K2243">
        <v>25</v>
      </c>
      <c r="L2243" s="15">
        <v>61559</v>
      </c>
      <c r="M2243">
        <v>17</v>
      </c>
      <c r="N2243">
        <v>370</v>
      </c>
      <c r="O2243" s="15">
        <v>7500</v>
      </c>
      <c r="P2243">
        <f t="shared" si="111"/>
        <v>2025</v>
      </c>
      <c r="Q2243">
        <f t="shared" si="112"/>
        <v>5</v>
      </c>
      <c r="R2243" t="str">
        <f t="shared" si="110"/>
        <v>直通车</v>
      </c>
      <c r="S2243" t="s">
        <v>629</v>
      </c>
      <c r="T2243" s="546" t="s">
        <v>804</v>
      </c>
    </row>
    <row r="2244" spans="1:20" x14ac:dyDescent="0.3">
      <c r="A2244" t="s">
        <v>627</v>
      </c>
      <c r="B2244" s="16">
        <v>45795</v>
      </c>
      <c r="C2244" t="s">
        <v>2</v>
      </c>
      <c r="D2244" t="s">
        <v>57</v>
      </c>
      <c r="E2244" t="s">
        <v>63</v>
      </c>
      <c r="F2244" s="15">
        <v>5747</v>
      </c>
      <c r="G2244" s="15">
        <v>3356</v>
      </c>
      <c r="H2244">
        <v>234</v>
      </c>
      <c r="I2244">
        <v>230</v>
      </c>
      <c r="J2244" s="15">
        <v>133815</v>
      </c>
      <c r="K2244">
        <v>41</v>
      </c>
      <c r="L2244" s="15">
        <v>102585</v>
      </c>
      <c r="M2244">
        <v>33</v>
      </c>
      <c r="N2244">
        <v>789</v>
      </c>
      <c r="O2244" s="15">
        <v>5525</v>
      </c>
      <c r="P2244">
        <f t="shared" si="111"/>
        <v>2025</v>
      </c>
      <c r="Q2244">
        <f t="shared" si="112"/>
        <v>5</v>
      </c>
      <c r="R2244" t="str">
        <f t="shared" si="110"/>
        <v>万相台</v>
      </c>
      <c r="S2244" t="s">
        <v>629</v>
      </c>
      <c r="T2244" s="546" t="s">
        <v>804</v>
      </c>
    </row>
    <row r="2245" spans="1:20" x14ac:dyDescent="0.3">
      <c r="A2245" t="s">
        <v>627</v>
      </c>
      <c r="B2245" s="16">
        <v>45795</v>
      </c>
      <c r="C2245" t="s">
        <v>2</v>
      </c>
      <c r="D2245" t="s">
        <v>4</v>
      </c>
      <c r="E2245" t="s">
        <v>41</v>
      </c>
      <c r="F2245">
        <v>5</v>
      </c>
      <c r="G2245">
        <v>4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5</v>
      </c>
      <c r="P2245">
        <f t="shared" si="111"/>
        <v>2025</v>
      </c>
      <c r="Q2245">
        <f t="shared" si="112"/>
        <v>5</v>
      </c>
      <c r="R2245" t="str">
        <f t="shared" si="110"/>
        <v>流量宝</v>
      </c>
      <c r="S2245" t="s">
        <v>629</v>
      </c>
      <c r="T2245" s="546" t="s">
        <v>804</v>
      </c>
    </row>
    <row r="2246" spans="1:20" x14ac:dyDescent="0.3">
      <c r="A2246" t="s">
        <v>627</v>
      </c>
      <c r="B2246" s="16">
        <v>45795</v>
      </c>
      <c r="C2246" t="s">
        <v>2</v>
      </c>
      <c r="D2246" t="s">
        <v>4</v>
      </c>
      <c r="E2246" t="s">
        <v>43</v>
      </c>
      <c r="F2246">
        <v>408</v>
      </c>
      <c r="G2246">
        <v>167</v>
      </c>
      <c r="H2246">
        <v>5</v>
      </c>
      <c r="I2246">
        <v>1</v>
      </c>
      <c r="J2246" s="15">
        <v>4642</v>
      </c>
      <c r="K2246">
        <v>3</v>
      </c>
      <c r="L2246" s="15">
        <v>4642</v>
      </c>
      <c r="M2246">
        <v>3</v>
      </c>
      <c r="N2246">
        <v>2</v>
      </c>
      <c r="O2246">
        <v>407</v>
      </c>
      <c r="P2246">
        <f t="shared" si="111"/>
        <v>2025</v>
      </c>
      <c r="Q2246">
        <f t="shared" si="112"/>
        <v>5</v>
      </c>
      <c r="R2246" t="str">
        <f t="shared" si="110"/>
        <v>淘宝客</v>
      </c>
      <c r="S2246" t="s">
        <v>629</v>
      </c>
      <c r="T2246" s="546" t="s">
        <v>804</v>
      </c>
    </row>
    <row r="2247" spans="1:20" x14ac:dyDescent="0.3">
      <c r="A2247" t="s">
        <v>627</v>
      </c>
      <c r="B2247" s="16">
        <v>45796</v>
      </c>
      <c r="C2247" t="s">
        <v>3</v>
      </c>
      <c r="D2247" t="s">
        <v>114</v>
      </c>
      <c r="E2247" t="s">
        <v>159</v>
      </c>
      <c r="F2247">
        <v>138</v>
      </c>
      <c r="G2247">
        <v>57</v>
      </c>
      <c r="H2247">
        <v>6</v>
      </c>
      <c r="I2247">
        <v>4</v>
      </c>
      <c r="J2247">
        <v>0</v>
      </c>
      <c r="K2247">
        <v>0</v>
      </c>
      <c r="L2247">
        <v>0</v>
      </c>
      <c r="M2247">
        <v>0</v>
      </c>
      <c r="N2247">
        <v>18</v>
      </c>
      <c r="O2247">
        <v>136</v>
      </c>
      <c r="P2247">
        <f t="shared" si="111"/>
        <v>2025</v>
      </c>
      <c r="Q2247">
        <f t="shared" si="112"/>
        <v>5</v>
      </c>
      <c r="R2247" t="str">
        <f t="shared" ref="R2247:R2310" si="113">E2247</f>
        <v>主会场</v>
      </c>
      <c r="S2247" t="s">
        <v>629</v>
      </c>
      <c r="T2247" s="546" t="s">
        <v>804</v>
      </c>
    </row>
    <row r="2248" spans="1:20" x14ac:dyDescent="0.3">
      <c r="A2248" t="s">
        <v>627</v>
      </c>
      <c r="B2248" s="16">
        <v>45796</v>
      </c>
      <c r="C2248" t="s">
        <v>3</v>
      </c>
      <c r="D2248" t="s">
        <v>123</v>
      </c>
      <c r="E2248" t="s">
        <v>169</v>
      </c>
      <c r="F2248">
        <v>256</v>
      </c>
      <c r="G2248">
        <v>122</v>
      </c>
      <c r="H2248">
        <v>18</v>
      </c>
      <c r="I2248">
        <v>7</v>
      </c>
      <c r="J2248" s="15">
        <v>10950</v>
      </c>
      <c r="K2248">
        <v>4</v>
      </c>
      <c r="L2248" s="15">
        <v>6960</v>
      </c>
      <c r="M2248">
        <v>3</v>
      </c>
      <c r="N2248">
        <v>56</v>
      </c>
      <c r="O2248">
        <v>249</v>
      </c>
      <c r="P2248">
        <f t="shared" si="111"/>
        <v>2025</v>
      </c>
      <c r="Q2248">
        <f t="shared" si="112"/>
        <v>5</v>
      </c>
      <c r="R2248" t="str">
        <f t="shared" si="113"/>
        <v>商品详情页头图推荐</v>
      </c>
      <c r="S2248" t="s">
        <v>629</v>
      </c>
      <c r="T2248" s="546" t="s">
        <v>804</v>
      </c>
    </row>
    <row r="2249" spans="1:20" x14ac:dyDescent="0.3">
      <c r="A2249" t="s">
        <v>627</v>
      </c>
      <c r="B2249" s="16">
        <v>45796</v>
      </c>
      <c r="C2249" t="s">
        <v>3</v>
      </c>
      <c r="D2249" t="s">
        <v>123</v>
      </c>
      <c r="E2249" t="s">
        <v>170</v>
      </c>
      <c r="F2249">
        <v>27</v>
      </c>
      <c r="G2249">
        <v>15</v>
      </c>
      <c r="H2249">
        <v>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25</v>
      </c>
      <c r="O2249">
        <v>7</v>
      </c>
      <c r="P2249">
        <f t="shared" si="111"/>
        <v>2025</v>
      </c>
      <c r="Q2249">
        <f t="shared" si="112"/>
        <v>5</v>
      </c>
      <c r="R2249" t="str">
        <f t="shared" si="113"/>
        <v>店铺超链</v>
      </c>
      <c r="S2249" t="s">
        <v>629</v>
      </c>
      <c r="T2249" s="546" t="s">
        <v>804</v>
      </c>
    </row>
    <row r="2250" spans="1:20" x14ac:dyDescent="0.3">
      <c r="A2250" t="s">
        <v>627</v>
      </c>
      <c r="B2250" s="16">
        <v>45796</v>
      </c>
      <c r="C2250" t="s">
        <v>3</v>
      </c>
      <c r="D2250" t="s">
        <v>127</v>
      </c>
      <c r="E2250" t="s">
        <v>171</v>
      </c>
      <c r="F2250">
        <v>229</v>
      </c>
      <c r="G2250">
        <v>129</v>
      </c>
      <c r="H2250">
        <v>7</v>
      </c>
      <c r="I2250">
        <v>3</v>
      </c>
      <c r="J2250" s="15">
        <v>16218</v>
      </c>
      <c r="K2250">
        <v>4</v>
      </c>
      <c r="L2250" s="15">
        <v>13703</v>
      </c>
      <c r="M2250">
        <v>4</v>
      </c>
      <c r="N2250">
        <v>44</v>
      </c>
      <c r="O2250">
        <v>194</v>
      </c>
      <c r="P2250">
        <f t="shared" si="111"/>
        <v>2025</v>
      </c>
      <c r="Q2250">
        <f t="shared" si="112"/>
        <v>5</v>
      </c>
      <c r="R2250" t="str">
        <f t="shared" si="113"/>
        <v>其他猜你喜欢</v>
      </c>
      <c r="S2250" t="s">
        <v>629</v>
      </c>
      <c r="T2250" s="546" t="s">
        <v>804</v>
      </c>
    </row>
    <row r="2251" spans="1:20" x14ac:dyDescent="0.3">
      <c r="A2251" t="s">
        <v>627</v>
      </c>
      <c r="B2251" s="16">
        <v>45796</v>
      </c>
      <c r="C2251" t="s">
        <v>3</v>
      </c>
      <c r="D2251" t="s">
        <v>127</v>
      </c>
      <c r="E2251" t="s">
        <v>172</v>
      </c>
      <c r="F2251">
        <v>10</v>
      </c>
      <c r="G2251">
        <v>3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1</v>
      </c>
      <c r="O2251">
        <v>9</v>
      </c>
      <c r="P2251">
        <f t="shared" si="111"/>
        <v>2025</v>
      </c>
      <c r="Q2251">
        <f t="shared" si="112"/>
        <v>5</v>
      </c>
      <c r="R2251" t="str">
        <f t="shared" si="113"/>
        <v>购中推荐</v>
      </c>
      <c r="S2251" t="s">
        <v>629</v>
      </c>
      <c r="T2251" s="546" t="s">
        <v>804</v>
      </c>
    </row>
    <row r="2252" spans="1:20" x14ac:dyDescent="0.3">
      <c r="A2252" t="s">
        <v>627</v>
      </c>
      <c r="B2252" s="16">
        <v>45796</v>
      </c>
      <c r="C2252" t="s">
        <v>3</v>
      </c>
      <c r="D2252" t="s">
        <v>127</v>
      </c>
      <c r="E2252" t="s">
        <v>173</v>
      </c>
      <c r="F2252">
        <v>96</v>
      </c>
      <c r="G2252">
        <v>62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1</v>
      </c>
      <c r="O2252">
        <v>38</v>
      </c>
      <c r="P2252">
        <f t="shared" si="111"/>
        <v>2025</v>
      </c>
      <c r="Q2252">
        <f t="shared" si="112"/>
        <v>5</v>
      </c>
      <c r="R2252" t="str">
        <f t="shared" si="113"/>
        <v>购后推荐</v>
      </c>
      <c r="S2252" t="s">
        <v>629</v>
      </c>
      <c r="T2252" s="546" t="s">
        <v>804</v>
      </c>
    </row>
    <row r="2253" spans="1:20" x14ac:dyDescent="0.3">
      <c r="A2253" t="s">
        <v>627</v>
      </c>
      <c r="B2253" s="16">
        <v>45796</v>
      </c>
      <c r="C2253" t="s">
        <v>3</v>
      </c>
      <c r="D2253" t="s">
        <v>127</v>
      </c>
      <c r="E2253" t="s">
        <v>174</v>
      </c>
      <c r="F2253" s="15">
        <v>3272</v>
      </c>
      <c r="G2253" s="15">
        <v>2291</v>
      </c>
      <c r="H2253">
        <v>75</v>
      </c>
      <c r="I2253">
        <v>35</v>
      </c>
      <c r="J2253" s="15">
        <v>34407</v>
      </c>
      <c r="K2253">
        <v>7</v>
      </c>
      <c r="L2253" s="15">
        <v>9937</v>
      </c>
      <c r="M2253">
        <v>3</v>
      </c>
      <c r="N2253">
        <v>231</v>
      </c>
      <c r="O2253" s="15">
        <v>3272</v>
      </c>
      <c r="P2253">
        <f t="shared" si="111"/>
        <v>2025</v>
      </c>
      <c r="Q2253">
        <f t="shared" si="112"/>
        <v>5</v>
      </c>
      <c r="R2253" t="str">
        <f t="shared" si="113"/>
        <v>首页推荐-微详情</v>
      </c>
      <c r="S2253" t="s">
        <v>629</v>
      </c>
      <c r="T2253" s="546" t="s">
        <v>804</v>
      </c>
    </row>
    <row r="2254" spans="1:20" x14ac:dyDescent="0.3">
      <c r="A2254" t="s">
        <v>627</v>
      </c>
      <c r="B2254" s="16">
        <v>45796</v>
      </c>
      <c r="C2254" t="s">
        <v>3</v>
      </c>
      <c r="D2254" t="s">
        <v>127</v>
      </c>
      <c r="E2254" t="s">
        <v>176</v>
      </c>
      <c r="F2254">
        <v>486</v>
      </c>
      <c r="G2254">
        <v>374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5</v>
      </c>
      <c r="O2254">
        <v>33</v>
      </c>
      <c r="P2254">
        <f t="shared" si="111"/>
        <v>2025</v>
      </c>
      <c r="Q2254">
        <f t="shared" si="112"/>
        <v>5</v>
      </c>
      <c r="R2254" t="str">
        <f t="shared" si="113"/>
        <v>首页推荐-短视频</v>
      </c>
      <c r="S2254" t="s">
        <v>629</v>
      </c>
      <c r="T2254" s="546" t="s">
        <v>804</v>
      </c>
    </row>
    <row r="2255" spans="1:20" x14ac:dyDescent="0.3">
      <c r="A2255" t="s">
        <v>627</v>
      </c>
      <c r="B2255" s="16">
        <v>45796</v>
      </c>
      <c r="C2255" t="s">
        <v>3</v>
      </c>
      <c r="D2255" t="s">
        <v>128</v>
      </c>
      <c r="E2255" t="s">
        <v>177</v>
      </c>
      <c r="F2255">
        <v>857</v>
      </c>
      <c r="G2255">
        <v>652</v>
      </c>
      <c r="H2255">
        <v>45</v>
      </c>
      <c r="I2255">
        <v>10</v>
      </c>
      <c r="J2255" s="15">
        <v>50082</v>
      </c>
      <c r="K2255">
        <v>14</v>
      </c>
      <c r="L2255" s="15">
        <v>38415</v>
      </c>
      <c r="M2255">
        <v>11</v>
      </c>
      <c r="N2255">
        <v>361</v>
      </c>
      <c r="O2255">
        <v>656</v>
      </c>
      <c r="P2255">
        <f t="shared" si="111"/>
        <v>2025</v>
      </c>
      <c r="Q2255">
        <f t="shared" si="112"/>
        <v>5</v>
      </c>
      <c r="R2255" t="str">
        <f t="shared" si="113"/>
        <v>手淘搜索-商品及其他</v>
      </c>
      <c r="S2255" t="s">
        <v>629</v>
      </c>
      <c r="T2255" s="546" t="s">
        <v>804</v>
      </c>
    </row>
    <row r="2256" spans="1:20" x14ac:dyDescent="0.3">
      <c r="A2256" t="s">
        <v>627</v>
      </c>
      <c r="B2256" s="16">
        <v>45796</v>
      </c>
      <c r="C2256" t="s">
        <v>3</v>
      </c>
      <c r="D2256" t="s">
        <v>128</v>
      </c>
      <c r="E2256" t="s">
        <v>179</v>
      </c>
      <c r="F2256">
        <v>10</v>
      </c>
      <c r="G2256">
        <v>6</v>
      </c>
      <c r="H2256">
        <v>1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9</v>
      </c>
      <c r="P2256">
        <f t="shared" si="111"/>
        <v>2025</v>
      </c>
      <c r="Q2256">
        <f t="shared" si="112"/>
        <v>5</v>
      </c>
      <c r="R2256" t="str">
        <f t="shared" si="113"/>
        <v>手淘搜索-短视频</v>
      </c>
      <c r="S2256" t="s">
        <v>629</v>
      </c>
      <c r="T2256" s="546" t="s">
        <v>804</v>
      </c>
    </row>
    <row r="2257" spans="1:20" x14ac:dyDescent="0.3">
      <c r="A2257" t="s">
        <v>627</v>
      </c>
      <c r="B2257" s="16">
        <v>45796</v>
      </c>
      <c r="C2257" t="s">
        <v>3</v>
      </c>
      <c r="D2257" t="s">
        <v>143</v>
      </c>
      <c r="E2257" t="s">
        <v>180</v>
      </c>
      <c r="F2257">
        <v>11</v>
      </c>
      <c r="G2257">
        <v>11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0</v>
      </c>
      <c r="N2257">
        <v>1</v>
      </c>
      <c r="O2257">
        <v>11</v>
      </c>
      <c r="P2257">
        <f t="shared" si="111"/>
        <v>2025</v>
      </c>
      <c r="Q2257">
        <f t="shared" si="112"/>
        <v>5</v>
      </c>
      <c r="R2257" t="str">
        <f t="shared" si="113"/>
        <v>淘特其他渠道</v>
      </c>
      <c r="S2257" t="s">
        <v>629</v>
      </c>
      <c r="T2257" s="546" t="s">
        <v>804</v>
      </c>
    </row>
    <row r="2258" spans="1:20" x14ac:dyDescent="0.3">
      <c r="A2258" t="s">
        <v>627</v>
      </c>
      <c r="B2258" s="16">
        <v>45796</v>
      </c>
      <c r="C2258" t="s">
        <v>3</v>
      </c>
      <c r="D2258" t="s">
        <v>143</v>
      </c>
      <c r="E2258" t="s">
        <v>181</v>
      </c>
      <c r="F2258">
        <v>38</v>
      </c>
      <c r="G2258">
        <v>37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38</v>
      </c>
      <c r="P2258">
        <f t="shared" si="111"/>
        <v>2025</v>
      </c>
      <c r="Q2258">
        <f t="shared" si="112"/>
        <v>5</v>
      </c>
      <c r="R2258" t="str">
        <f t="shared" si="113"/>
        <v>淘特搜索</v>
      </c>
      <c r="S2258" t="s">
        <v>629</v>
      </c>
      <c r="T2258" s="546" t="s">
        <v>804</v>
      </c>
    </row>
    <row r="2259" spans="1:20" x14ac:dyDescent="0.3">
      <c r="A2259" t="s">
        <v>627</v>
      </c>
      <c r="B2259" s="16">
        <v>45796</v>
      </c>
      <c r="C2259" t="s">
        <v>2</v>
      </c>
      <c r="D2259" t="s">
        <v>52</v>
      </c>
      <c r="E2259" t="s">
        <v>58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1</v>
      </c>
      <c r="P2259">
        <f t="shared" si="111"/>
        <v>2025</v>
      </c>
      <c r="Q2259">
        <f t="shared" si="112"/>
        <v>5</v>
      </c>
      <c r="R2259" t="str">
        <f t="shared" si="113"/>
        <v>超级全域通</v>
      </c>
      <c r="S2259" t="s">
        <v>629</v>
      </c>
      <c r="T2259" s="546" t="s">
        <v>804</v>
      </c>
    </row>
    <row r="2260" spans="1:20" x14ac:dyDescent="0.3">
      <c r="A2260" t="s">
        <v>627</v>
      </c>
      <c r="B2260" s="16">
        <v>45796</v>
      </c>
      <c r="C2260" t="s">
        <v>2</v>
      </c>
      <c r="D2260" t="s">
        <v>57</v>
      </c>
      <c r="E2260" t="s">
        <v>64</v>
      </c>
      <c r="F2260" s="15">
        <v>10834</v>
      </c>
      <c r="G2260" s="15">
        <v>6638</v>
      </c>
      <c r="H2260">
        <v>73</v>
      </c>
      <c r="I2260">
        <v>42</v>
      </c>
      <c r="J2260" s="17">
        <v>29183.49</v>
      </c>
      <c r="K2260">
        <v>11</v>
      </c>
      <c r="L2260" s="17">
        <v>24198.49</v>
      </c>
      <c r="M2260">
        <v>9</v>
      </c>
      <c r="N2260">
        <v>310</v>
      </c>
      <c r="O2260" s="15">
        <v>10834</v>
      </c>
      <c r="P2260">
        <f t="shared" si="111"/>
        <v>2025</v>
      </c>
      <c r="Q2260">
        <f t="shared" si="112"/>
        <v>5</v>
      </c>
      <c r="R2260" t="str">
        <f t="shared" si="113"/>
        <v>引力魔方</v>
      </c>
      <c r="S2260" t="s">
        <v>629</v>
      </c>
      <c r="T2260" s="546" t="s">
        <v>804</v>
      </c>
    </row>
    <row r="2261" spans="1:20" x14ac:dyDescent="0.3">
      <c r="A2261" t="s">
        <v>627</v>
      </c>
      <c r="B2261" s="16">
        <v>45796</v>
      </c>
      <c r="C2261" t="s">
        <v>2</v>
      </c>
      <c r="D2261" t="s">
        <v>57</v>
      </c>
      <c r="E2261" t="s">
        <v>65</v>
      </c>
      <c r="F2261" s="15">
        <v>6827</v>
      </c>
      <c r="G2261" s="15">
        <v>6170</v>
      </c>
      <c r="H2261">
        <v>62</v>
      </c>
      <c r="I2261">
        <v>21</v>
      </c>
      <c r="J2261" s="15">
        <v>112723</v>
      </c>
      <c r="K2261">
        <v>25</v>
      </c>
      <c r="L2261" s="15">
        <v>43001</v>
      </c>
      <c r="M2261">
        <v>11</v>
      </c>
      <c r="N2261">
        <v>349</v>
      </c>
      <c r="O2261" s="15">
        <v>6772</v>
      </c>
      <c r="P2261">
        <f t="shared" ref="P2261:P2324" si="114">YEAR(B2261)</f>
        <v>2025</v>
      </c>
      <c r="Q2261">
        <f t="shared" ref="Q2261:Q2324" si="115">MONTH(B2261)</f>
        <v>5</v>
      </c>
      <c r="R2261" t="str">
        <f t="shared" si="113"/>
        <v>直通车</v>
      </c>
      <c r="S2261" t="s">
        <v>629</v>
      </c>
      <c r="T2261" s="546" t="s">
        <v>804</v>
      </c>
    </row>
    <row r="2262" spans="1:20" x14ac:dyDescent="0.3">
      <c r="A2262" t="s">
        <v>627</v>
      </c>
      <c r="B2262" s="16">
        <v>45796</v>
      </c>
      <c r="C2262" t="s">
        <v>2</v>
      </c>
      <c r="D2262" t="s">
        <v>57</v>
      </c>
      <c r="E2262" t="s">
        <v>63</v>
      </c>
      <c r="F2262" s="15">
        <v>5852</v>
      </c>
      <c r="G2262" s="15">
        <v>3333</v>
      </c>
      <c r="H2262">
        <v>184</v>
      </c>
      <c r="I2262">
        <v>228</v>
      </c>
      <c r="J2262" s="17">
        <v>96309.77</v>
      </c>
      <c r="K2262">
        <v>29</v>
      </c>
      <c r="L2262" s="17">
        <v>79124.77</v>
      </c>
      <c r="M2262">
        <v>26</v>
      </c>
      <c r="N2262">
        <v>744</v>
      </c>
      <c r="O2262" s="15">
        <v>5626</v>
      </c>
      <c r="P2262">
        <f t="shared" si="114"/>
        <v>2025</v>
      </c>
      <c r="Q2262">
        <f t="shared" si="115"/>
        <v>5</v>
      </c>
      <c r="R2262" t="str">
        <f t="shared" si="113"/>
        <v>万相台</v>
      </c>
      <c r="S2262" t="s">
        <v>629</v>
      </c>
      <c r="T2262" s="546" t="s">
        <v>804</v>
      </c>
    </row>
    <row r="2263" spans="1:20" x14ac:dyDescent="0.3">
      <c r="A2263" t="s">
        <v>627</v>
      </c>
      <c r="B2263" s="16">
        <v>45796</v>
      </c>
      <c r="C2263" t="s">
        <v>2</v>
      </c>
      <c r="D2263" t="s">
        <v>4</v>
      </c>
      <c r="E2263" t="s">
        <v>41</v>
      </c>
      <c r="F2263">
        <v>4</v>
      </c>
      <c r="G2263">
        <v>2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4</v>
      </c>
      <c r="P2263">
        <f t="shared" si="114"/>
        <v>2025</v>
      </c>
      <c r="Q2263">
        <f t="shared" si="115"/>
        <v>5</v>
      </c>
      <c r="R2263" t="str">
        <f t="shared" si="113"/>
        <v>流量宝</v>
      </c>
      <c r="S2263" t="s">
        <v>629</v>
      </c>
      <c r="T2263" s="546" t="s">
        <v>804</v>
      </c>
    </row>
    <row r="2264" spans="1:20" x14ac:dyDescent="0.3">
      <c r="A2264" t="s">
        <v>627</v>
      </c>
      <c r="B2264" s="16">
        <v>45796</v>
      </c>
      <c r="C2264" t="s">
        <v>2</v>
      </c>
      <c r="D2264" t="s">
        <v>4</v>
      </c>
      <c r="E2264" t="s">
        <v>43</v>
      </c>
      <c r="F2264">
        <v>607</v>
      </c>
      <c r="G2264">
        <v>357</v>
      </c>
      <c r="H2264">
        <v>192</v>
      </c>
      <c r="I2264">
        <v>9</v>
      </c>
      <c r="J2264" s="15">
        <v>106677</v>
      </c>
      <c r="K2264">
        <v>24</v>
      </c>
      <c r="L2264" s="15">
        <v>43190</v>
      </c>
      <c r="M2264">
        <v>12</v>
      </c>
      <c r="N2264">
        <v>4</v>
      </c>
      <c r="O2264">
        <v>607</v>
      </c>
      <c r="P2264">
        <f t="shared" si="114"/>
        <v>2025</v>
      </c>
      <c r="Q2264">
        <f t="shared" si="115"/>
        <v>5</v>
      </c>
      <c r="R2264" t="str">
        <f t="shared" si="113"/>
        <v>淘宝客</v>
      </c>
      <c r="S2264" t="s">
        <v>629</v>
      </c>
      <c r="T2264" s="546" t="s">
        <v>804</v>
      </c>
    </row>
    <row r="2265" spans="1:20" x14ac:dyDescent="0.3">
      <c r="A2265" t="s">
        <v>627</v>
      </c>
      <c r="B2265" s="16">
        <v>45797</v>
      </c>
      <c r="C2265" t="s">
        <v>3</v>
      </c>
      <c r="D2265" t="s">
        <v>114</v>
      </c>
      <c r="E2265" t="s">
        <v>159</v>
      </c>
      <c r="F2265">
        <v>104</v>
      </c>
      <c r="G2265">
        <v>40</v>
      </c>
      <c r="H2265">
        <v>5</v>
      </c>
      <c r="I2265">
        <v>2</v>
      </c>
      <c r="J2265" s="15">
        <v>6648</v>
      </c>
      <c r="K2265">
        <v>3</v>
      </c>
      <c r="L2265" s="15">
        <v>5050</v>
      </c>
      <c r="M2265">
        <v>2</v>
      </c>
      <c r="N2265">
        <v>18</v>
      </c>
      <c r="O2265">
        <v>101</v>
      </c>
      <c r="P2265">
        <f t="shared" si="114"/>
        <v>2025</v>
      </c>
      <c r="Q2265">
        <f t="shared" si="115"/>
        <v>5</v>
      </c>
      <c r="R2265" t="str">
        <f t="shared" si="113"/>
        <v>主会场</v>
      </c>
      <c r="S2265" t="s">
        <v>629</v>
      </c>
      <c r="T2265" s="546" t="s">
        <v>804</v>
      </c>
    </row>
    <row r="2266" spans="1:20" x14ac:dyDescent="0.3">
      <c r="A2266" t="s">
        <v>627</v>
      </c>
      <c r="B2266" s="16">
        <v>45797</v>
      </c>
      <c r="C2266" t="s">
        <v>3</v>
      </c>
      <c r="D2266" t="s">
        <v>123</v>
      </c>
      <c r="E2266" t="s">
        <v>169</v>
      </c>
      <c r="F2266">
        <v>247</v>
      </c>
      <c r="G2266">
        <v>128</v>
      </c>
      <c r="H2266">
        <v>15</v>
      </c>
      <c r="I2266">
        <v>3</v>
      </c>
      <c r="J2266" s="15">
        <v>9110</v>
      </c>
      <c r="K2266">
        <v>5</v>
      </c>
      <c r="L2266" s="15">
        <v>5930</v>
      </c>
      <c r="M2266">
        <v>3</v>
      </c>
      <c r="N2266">
        <v>53</v>
      </c>
      <c r="O2266">
        <v>240</v>
      </c>
      <c r="P2266">
        <f t="shared" si="114"/>
        <v>2025</v>
      </c>
      <c r="Q2266">
        <f t="shared" si="115"/>
        <v>5</v>
      </c>
      <c r="R2266" t="str">
        <f t="shared" si="113"/>
        <v>商品详情页头图推荐</v>
      </c>
      <c r="S2266" t="s">
        <v>629</v>
      </c>
      <c r="T2266" s="546" t="s">
        <v>804</v>
      </c>
    </row>
    <row r="2267" spans="1:20" x14ac:dyDescent="0.3">
      <c r="A2267" t="s">
        <v>627</v>
      </c>
      <c r="B2267" s="16">
        <v>45797</v>
      </c>
      <c r="C2267" t="s">
        <v>3</v>
      </c>
      <c r="D2267" t="s">
        <v>123</v>
      </c>
      <c r="E2267" t="s">
        <v>170</v>
      </c>
      <c r="F2267">
        <v>31</v>
      </c>
      <c r="G2267">
        <v>18</v>
      </c>
      <c r="H2267">
        <v>5</v>
      </c>
      <c r="I2267">
        <v>0</v>
      </c>
      <c r="J2267" s="15">
        <v>5092</v>
      </c>
      <c r="K2267">
        <v>2</v>
      </c>
      <c r="L2267" s="15">
        <v>5092</v>
      </c>
      <c r="M2267">
        <v>2</v>
      </c>
      <c r="N2267">
        <v>30</v>
      </c>
      <c r="O2267">
        <v>15</v>
      </c>
      <c r="P2267">
        <f t="shared" si="114"/>
        <v>2025</v>
      </c>
      <c r="Q2267">
        <f t="shared" si="115"/>
        <v>5</v>
      </c>
      <c r="R2267" t="str">
        <f t="shared" si="113"/>
        <v>店铺超链</v>
      </c>
      <c r="S2267" t="s">
        <v>629</v>
      </c>
      <c r="T2267" s="546" t="s">
        <v>804</v>
      </c>
    </row>
    <row r="2268" spans="1:20" x14ac:dyDescent="0.3">
      <c r="A2268" t="s">
        <v>627</v>
      </c>
      <c r="B2268" s="16">
        <v>45797</v>
      </c>
      <c r="C2268" t="s">
        <v>3</v>
      </c>
      <c r="D2268" t="s">
        <v>127</v>
      </c>
      <c r="E2268" t="s">
        <v>171</v>
      </c>
      <c r="F2268">
        <v>244</v>
      </c>
      <c r="G2268">
        <v>130</v>
      </c>
      <c r="H2268">
        <v>16</v>
      </c>
      <c r="I2268">
        <v>5</v>
      </c>
      <c r="J2268" s="15">
        <v>9147</v>
      </c>
      <c r="K2268">
        <v>4</v>
      </c>
      <c r="L2268" s="15">
        <v>9147</v>
      </c>
      <c r="M2268">
        <v>4</v>
      </c>
      <c r="N2268">
        <v>51</v>
      </c>
      <c r="O2268">
        <v>211</v>
      </c>
      <c r="P2268">
        <f t="shared" si="114"/>
        <v>2025</v>
      </c>
      <c r="Q2268">
        <f t="shared" si="115"/>
        <v>5</v>
      </c>
      <c r="R2268" t="str">
        <f t="shared" si="113"/>
        <v>其他猜你喜欢</v>
      </c>
      <c r="S2268" t="s">
        <v>629</v>
      </c>
      <c r="T2268" s="546" t="s">
        <v>804</v>
      </c>
    </row>
    <row r="2269" spans="1:20" x14ac:dyDescent="0.3">
      <c r="A2269" t="s">
        <v>627</v>
      </c>
      <c r="B2269" s="16">
        <v>45797</v>
      </c>
      <c r="C2269" t="s">
        <v>3</v>
      </c>
      <c r="D2269" t="s">
        <v>127</v>
      </c>
      <c r="E2269" t="s">
        <v>172</v>
      </c>
      <c r="F2269">
        <v>5</v>
      </c>
      <c r="G2269">
        <v>2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4</v>
      </c>
      <c r="P2269">
        <f t="shared" si="114"/>
        <v>2025</v>
      </c>
      <c r="Q2269">
        <f t="shared" si="115"/>
        <v>5</v>
      </c>
      <c r="R2269" t="str">
        <f t="shared" si="113"/>
        <v>购中推荐</v>
      </c>
      <c r="S2269" t="s">
        <v>629</v>
      </c>
      <c r="T2269" s="546" t="s">
        <v>804</v>
      </c>
    </row>
    <row r="2270" spans="1:20" x14ac:dyDescent="0.3">
      <c r="A2270" t="s">
        <v>627</v>
      </c>
      <c r="B2270" s="16">
        <v>45797</v>
      </c>
      <c r="C2270" t="s">
        <v>3</v>
      </c>
      <c r="D2270" t="s">
        <v>127</v>
      </c>
      <c r="E2270" t="s">
        <v>173</v>
      </c>
      <c r="F2270">
        <v>52</v>
      </c>
      <c r="G2270">
        <v>33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44</v>
      </c>
      <c r="P2270">
        <f t="shared" si="114"/>
        <v>2025</v>
      </c>
      <c r="Q2270">
        <f t="shared" si="115"/>
        <v>5</v>
      </c>
      <c r="R2270" t="str">
        <f t="shared" si="113"/>
        <v>购后推荐</v>
      </c>
      <c r="S2270" t="s">
        <v>629</v>
      </c>
      <c r="T2270" s="546" t="s">
        <v>804</v>
      </c>
    </row>
    <row r="2271" spans="1:20" x14ac:dyDescent="0.3">
      <c r="A2271" t="s">
        <v>627</v>
      </c>
      <c r="B2271" s="16">
        <v>45797</v>
      </c>
      <c r="C2271" t="s">
        <v>3</v>
      </c>
      <c r="D2271" t="s">
        <v>127</v>
      </c>
      <c r="E2271" t="s">
        <v>174</v>
      </c>
      <c r="F2271" s="15">
        <v>3720</v>
      </c>
      <c r="G2271" s="15">
        <v>2570</v>
      </c>
      <c r="H2271">
        <v>67</v>
      </c>
      <c r="I2271">
        <v>32</v>
      </c>
      <c r="J2271" s="15">
        <v>42435</v>
      </c>
      <c r="K2271">
        <v>11</v>
      </c>
      <c r="L2271" s="15">
        <v>37575</v>
      </c>
      <c r="M2271">
        <v>9</v>
      </c>
      <c r="N2271">
        <v>246</v>
      </c>
      <c r="O2271" s="15">
        <v>3720</v>
      </c>
      <c r="P2271">
        <f t="shared" si="114"/>
        <v>2025</v>
      </c>
      <c r="Q2271">
        <f t="shared" si="115"/>
        <v>5</v>
      </c>
      <c r="R2271" t="str">
        <f t="shared" si="113"/>
        <v>首页推荐-微详情</v>
      </c>
      <c r="S2271" t="s">
        <v>629</v>
      </c>
      <c r="T2271" s="546" t="s">
        <v>804</v>
      </c>
    </row>
    <row r="2272" spans="1:20" x14ac:dyDescent="0.3">
      <c r="A2272" t="s">
        <v>627</v>
      </c>
      <c r="B2272" s="16">
        <v>45797</v>
      </c>
      <c r="C2272" t="s">
        <v>3</v>
      </c>
      <c r="D2272" t="s">
        <v>127</v>
      </c>
      <c r="E2272" t="s">
        <v>175</v>
      </c>
      <c r="F2272">
        <v>622</v>
      </c>
      <c r="G2272">
        <v>565</v>
      </c>
      <c r="H2272">
        <v>1</v>
      </c>
      <c r="I2272">
        <v>1</v>
      </c>
      <c r="J2272">
        <v>0</v>
      </c>
      <c r="K2272">
        <v>0</v>
      </c>
      <c r="L2272">
        <v>0</v>
      </c>
      <c r="M2272">
        <v>0</v>
      </c>
      <c r="N2272">
        <v>4</v>
      </c>
      <c r="O2272">
        <v>48</v>
      </c>
      <c r="P2272">
        <f t="shared" si="114"/>
        <v>2025</v>
      </c>
      <c r="Q2272">
        <f t="shared" si="115"/>
        <v>5</v>
      </c>
      <c r="R2272" t="str">
        <f t="shared" si="113"/>
        <v>首页推荐-直播</v>
      </c>
      <c r="S2272" t="s">
        <v>629</v>
      </c>
      <c r="T2272" s="546" t="s">
        <v>804</v>
      </c>
    </row>
    <row r="2273" spans="1:20" x14ac:dyDescent="0.3">
      <c r="A2273" t="s">
        <v>627</v>
      </c>
      <c r="B2273" s="16">
        <v>45797</v>
      </c>
      <c r="C2273" t="s">
        <v>3</v>
      </c>
      <c r="D2273" t="s">
        <v>127</v>
      </c>
      <c r="E2273" t="s">
        <v>176</v>
      </c>
      <c r="F2273">
        <v>260</v>
      </c>
      <c r="G2273">
        <v>187</v>
      </c>
      <c r="H2273">
        <v>1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2</v>
      </c>
      <c r="O2273">
        <v>21</v>
      </c>
      <c r="P2273">
        <f t="shared" si="114"/>
        <v>2025</v>
      </c>
      <c r="Q2273">
        <f t="shared" si="115"/>
        <v>5</v>
      </c>
      <c r="R2273" t="str">
        <f t="shared" si="113"/>
        <v>首页推荐-短视频</v>
      </c>
      <c r="S2273" t="s">
        <v>629</v>
      </c>
      <c r="T2273" s="546" t="s">
        <v>804</v>
      </c>
    </row>
    <row r="2274" spans="1:20" x14ac:dyDescent="0.3">
      <c r="A2274" t="s">
        <v>627</v>
      </c>
      <c r="B2274" s="16">
        <v>45797</v>
      </c>
      <c r="C2274" t="s">
        <v>3</v>
      </c>
      <c r="D2274" t="s">
        <v>128</v>
      </c>
      <c r="E2274" t="s">
        <v>177</v>
      </c>
      <c r="F2274">
        <v>913</v>
      </c>
      <c r="G2274">
        <v>686</v>
      </c>
      <c r="H2274">
        <v>59</v>
      </c>
      <c r="I2274">
        <v>11</v>
      </c>
      <c r="J2274" s="15">
        <v>51885</v>
      </c>
      <c r="K2274">
        <v>15</v>
      </c>
      <c r="L2274" s="15">
        <v>33903</v>
      </c>
      <c r="M2274">
        <v>12</v>
      </c>
      <c r="N2274">
        <v>406</v>
      </c>
      <c r="O2274">
        <v>661</v>
      </c>
      <c r="P2274">
        <f t="shared" si="114"/>
        <v>2025</v>
      </c>
      <c r="Q2274">
        <f t="shared" si="115"/>
        <v>5</v>
      </c>
      <c r="R2274" t="str">
        <f t="shared" si="113"/>
        <v>手淘搜索-商品及其他</v>
      </c>
      <c r="S2274" t="s">
        <v>629</v>
      </c>
      <c r="T2274" s="546" t="s">
        <v>804</v>
      </c>
    </row>
    <row r="2275" spans="1:20" x14ac:dyDescent="0.3">
      <c r="A2275" t="s">
        <v>627</v>
      </c>
      <c r="B2275" s="16">
        <v>45797</v>
      </c>
      <c r="C2275" t="s">
        <v>3</v>
      </c>
      <c r="D2275" t="s">
        <v>128</v>
      </c>
      <c r="E2275" t="s">
        <v>178</v>
      </c>
      <c r="F2275">
        <v>9</v>
      </c>
      <c r="G2275">
        <v>6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3</v>
      </c>
      <c r="P2275">
        <f t="shared" si="114"/>
        <v>2025</v>
      </c>
      <c r="Q2275">
        <f t="shared" si="115"/>
        <v>5</v>
      </c>
      <c r="R2275" t="str">
        <f t="shared" si="113"/>
        <v>手淘搜索-直播</v>
      </c>
      <c r="S2275" t="s">
        <v>629</v>
      </c>
      <c r="T2275" s="546" t="s">
        <v>804</v>
      </c>
    </row>
    <row r="2276" spans="1:20" x14ac:dyDescent="0.3">
      <c r="A2276" t="s">
        <v>627</v>
      </c>
      <c r="B2276" s="16">
        <v>45797</v>
      </c>
      <c r="C2276" t="s">
        <v>3</v>
      </c>
      <c r="D2276" t="s">
        <v>128</v>
      </c>
      <c r="E2276" t="s">
        <v>179</v>
      </c>
      <c r="F2276">
        <v>12</v>
      </c>
      <c r="G2276">
        <v>8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</v>
      </c>
      <c r="O2276">
        <v>12</v>
      </c>
      <c r="P2276">
        <f t="shared" si="114"/>
        <v>2025</v>
      </c>
      <c r="Q2276">
        <f t="shared" si="115"/>
        <v>5</v>
      </c>
      <c r="R2276" t="str">
        <f t="shared" si="113"/>
        <v>手淘搜索-短视频</v>
      </c>
      <c r="S2276" t="s">
        <v>629</v>
      </c>
      <c r="T2276" s="546" t="s">
        <v>804</v>
      </c>
    </row>
    <row r="2277" spans="1:20" x14ac:dyDescent="0.3">
      <c r="A2277" t="s">
        <v>627</v>
      </c>
      <c r="B2277" s="16">
        <v>45797</v>
      </c>
      <c r="C2277" t="s">
        <v>3</v>
      </c>
      <c r="D2277" t="s">
        <v>143</v>
      </c>
      <c r="E2277" t="s">
        <v>180</v>
      </c>
      <c r="F2277">
        <v>12</v>
      </c>
      <c r="G2277">
        <v>10</v>
      </c>
      <c r="H2277">
        <v>1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12</v>
      </c>
      <c r="P2277">
        <f t="shared" si="114"/>
        <v>2025</v>
      </c>
      <c r="Q2277">
        <f t="shared" si="115"/>
        <v>5</v>
      </c>
      <c r="R2277" t="str">
        <f t="shared" si="113"/>
        <v>淘特其他渠道</v>
      </c>
      <c r="S2277" t="s">
        <v>629</v>
      </c>
      <c r="T2277" s="546" t="s">
        <v>804</v>
      </c>
    </row>
    <row r="2278" spans="1:20" x14ac:dyDescent="0.3">
      <c r="A2278" t="s">
        <v>627</v>
      </c>
      <c r="B2278" s="16">
        <v>45797</v>
      </c>
      <c r="C2278" t="s">
        <v>3</v>
      </c>
      <c r="D2278" t="s">
        <v>143</v>
      </c>
      <c r="E2278" t="s">
        <v>181</v>
      </c>
      <c r="F2278">
        <v>42</v>
      </c>
      <c r="G2278">
        <v>41</v>
      </c>
      <c r="H2278">
        <v>1</v>
      </c>
      <c r="I2278">
        <v>1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42</v>
      </c>
      <c r="P2278">
        <f t="shared" si="114"/>
        <v>2025</v>
      </c>
      <c r="Q2278">
        <f t="shared" si="115"/>
        <v>5</v>
      </c>
      <c r="R2278" t="str">
        <f t="shared" si="113"/>
        <v>淘特搜索</v>
      </c>
      <c r="S2278" t="s">
        <v>629</v>
      </c>
      <c r="T2278" s="546" t="s">
        <v>804</v>
      </c>
    </row>
    <row r="2279" spans="1:20" x14ac:dyDescent="0.3">
      <c r="A2279" t="s">
        <v>627</v>
      </c>
      <c r="B2279" s="16">
        <v>45797</v>
      </c>
      <c r="C2279" t="s">
        <v>2</v>
      </c>
      <c r="D2279" t="s">
        <v>55</v>
      </c>
      <c r="E2279" t="s">
        <v>54</v>
      </c>
      <c r="F2279" s="15">
        <v>1084</v>
      </c>
      <c r="G2279">
        <v>986</v>
      </c>
      <c r="H2279">
        <v>15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16</v>
      </c>
      <c r="O2279">
        <v>221</v>
      </c>
      <c r="P2279">
        <f t="shared" si="114"/>
        <v>2025</v>
      </c>
      <c r="Q2279">
        <f t="shared" si="115"/>
        <v>5</v>
      </c>
      <c r="R2279" t="str">
        <f t="shared" si="113"/>
        <v>超级直播</v>
      </c>
      <c r="S2279" t="s">
        <v>629</v>
      </c>
      <c r="T2279" s="546" t="s">
        <v>804</v>
      </c>
    </row>
    <row r="2280" spans="1:20" x14ac:dyDescent="0.3">
      <c r="A2280" t="s">
        <v>627</v>
      </c>
      <c r="B2280" s="16">
        <v>45797</v>
      </c>
      <c r="C2280" t="s">
        <v>2</v>
      </c>
      <c r="D2280" t="s">
        <v>55</v>
      </c>
      <c r="E2280" t="s">
        <v>56</v>
      </c>
      <c r="F2280">
        <v>3</v>
      </c>
      <c r="G2280">
        <v>3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3</v>
      </c>
      <c r="P2280">
        <f t="shared" si="114"/>
        <v>2025</v>
      </c>
      <c r="Q2280">
        <f t="shared" si="115"/>
        <v>5</v>
      </c>
      <c r="R2280" t="str">
        <f t="shared" si="113"/>
        <v>超级短视频</v>
      </c>
      <c r="S2280" t="s">
        <v>629</v>
      </c>
      <c r="T2280" s="546" t="s">
        <v>804</v>
      </c>
    </row>
    <row r="2281" spans="1:20" x14ac:dyDescent="0.3">
      <c r="A2281" t="s">
        <v>627</v>
      </c>
      <c r="B2281" s="16">
        <v>45797</v>
      </c>
      <c r="C2281" t="s">
        <v>2</v>
      </c>
      <c r="D2281" t="s">
        <v>52</v>
      </c>
      <c r="E2281" t="s">
        <v>183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1</v>
      </c>
      <c r="O2281">
        <v>0</v>
      </c>
      <c r="P2281">
        <f t="shared" si="114"/>
        <v>2025</v>
      </c>
      <c r="Q2281">
        <f t="shared" si="115"/>
        <v>5</v>
      </c>
      <c r="R2281" t="str">
        <f t="shared" si="113"/>
        <v>品销宝-品牌专区</v>
      </c>
      <c r="S2281" t="s">
        <v>629</v>
      </c>
      <c r="T2281" s="546" t="s">
        <v>804</v>
      </c>
    </row>
    <row r="2282" spans="1:20" x14ac:dyDescent="0.3">
      <c r="A2282" t="s">
        <v>627</v>
      </c>
      <c r="B2282" s="16">
        <v>45797</v>
      </c>
      <c r="C2282" t="s">
        <v>2</v>
      </c>
      <c r="D2282" t="s">
        <v>57</v>
      </c>
      <c r="E2282" t="s">
        <v>64</v>
      </c>
      <c r="F2282" s="15">
        <v>11097</v>
      </c>
      <c r="G2282" s="15">
        <v>6687</v>
      </c>
      <c r="H2282">
        <v>85</v>
      </c>
      <c r="I2282">
        <v>43</v>
      </c>
      <c r="J2282" s="15">
        <v>48389</v>
      </c>
      <c r="K2282">
        <v>16</v>
      </c>
      <c r="L2282" s="15">
        <v>26089</v>
      </c>
      <c r="M2282">
        <v>10</v>
      </c>
      <c r="N2282">
        <v>311</v>
      </c>
      <c r="O2282" s="15">
        <v>11097</v>
      </c>
      <c r="P2282">
        <f t="shared" si="114"/>
        <v>2025</v>
      </c>
      <c r="Q2282">
        <f t="shared" si="115"/>
        <v>5</v>
      </c>
      <c r="R2282" t="str">
        <f t="shared" si="113"/>
        <v>引力魔方</v>
      </c>
      <c r="S2282" t="s">
        <v>629</v>
      </c>
      <c r="T2282" s="546" t="s">
        <v>804</v>
      </c>
    </row>
    <row r="2283" spans="1:20" x14ac:dyDescent="0.3">
      <c r="A2283" t="s">
        <v>627</v>
      </c>
      <c r="B2283" s="16">
        <v>45797</v>
      </c>
      <c r="C2283" t="s">
        <v>2</v>
      </c>
      <c r="D2283" t="s">
        <v>57</v>
      </c>
      <c r="E2283" t="s">
        <v>65</v>
      </c>
      <c r="F2283" s="15">
        <v>5748</v>
      </c>
      <c r="G2283" s="15">
        <v>5132</v>
      </c>
      <c r="H2283">
        <v>67</v>
      </c>
      <c r="I2283">
        <v>25</v>
      </c>
      <c r="J2283" s="15">
        <v>79469</v>
      </c>
      <c r="K2283">
        <v>20</v>
      </c>
      <c r="L2283" s="15">
        <v>45394</v>
      </c>
      <c r="M2283">
        <v>13</v>
      </c>
      <c r="N2283">
        <v>280</v>
      </c>
      <c r="O2283" s="15">
        <v>5700</v>
      </c>
      <c r="P2283">
        <f t="shared" si="114"/>
        <v>2025</v>
      </c>
      <c r="Q2283">
        <f t="shared" si="115"/>
        <v>5</v>
      </c>
      <c r="R2283" t="str">
        <f t="shared" si="113"/>
        <v>直通车</v>
      </c>
      <c r="S2283" t="s">
        <v>629</v>
      </c>
      <c r="T2283" s="546" t="s">
        <v>804</v>
      </c>
    </row>
    <row r="2284" spans="1:20" x14ac:dyDescent="0.3">
      <c r="A2284" t="s">
        <v>627</v>
      </c>
      <c r="B2284" s="16">
        <v>45797</v>
      </c>
      <c r="C2284" t="s">
        <v>2</v>
      </c>
      <c r="D2284" t="s">
        <v>57</v>
      </c>
      <c r="E2284" t="s">
        <v>63</v>
      </c>
      <c r="F2284" s="15">
        <v>4511</v>
      </c>
      <c r="G2284" s="15">
        <v>2520</v>
      </c>
      <c r="H2284">
        <v>183</v>
      </c>
      <c r="I2284">
        <v>182</v>
      </c>
      <c r="J2284" s="15">
        <v>158068</v>
      </c>
      <c r="K2284">
        <v>40</v>
      </c>
      <c r="L2284" s="15">
        <v>118630</v>
      </c>
      <c r="M2284">
        <v>32</v>
      </c>
      <c r="N2284">
        <v>766</v>
      </c>
      <c r="O2284" s="15">
        <v>4275</v>
      </c>
      <c r="P2284">
        <f t="shared" si="114"/>
        <v>2025</v>
      </c>
      <c r="Q2284">
        <f t="shared" si="115"/>
        <v>5</v>
      </c>
      <c r="R2284" t="str">
        <f t="shared" si="113"/>
        <v>万相台</v>
      </c>
      <c r="S2284" t="s">
        <v>629</v>
      </c>
      <c r="T2284" s="546" t="s">
        <v>804</v>
      </c>
    </row>
    <row r="2285" spans="1:20" x14ac:dyDescent="0.3">
      <c r="A2285" t="s">
        <v>627</v>
      </c>
      <c r="B2285" s="16">
        <v>45797</v>
      </c>
      <c r="C2285" t="s">
        <v>2</v>
      </c>
      <c r="D2285" t="s">
        <v>4</v>
      </c>
      <c r="E2285" t="s">
        <v>41</v>
      </c>
      <c r="F2285">
        <v>6</v>
      </c>
      <c r="G2285">
        <v>5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6</v>
      </c>
      <c r="P2285">
        <f t="shared" si="114"/>
        <v>2025</v>
      </c>
      <c r="Q2285">
        <f t="shared" si="115"/>
        <v>5</v>
      </c>
      <c r="R2285" t="str">
        <f t="shared" si="113"/>
        <v>流量宝</v>
      </c>
      <c r="S2285" t="s">
        <v>629</v>
      </c>
      <c r="T2285" s="546" t="s">
        <v>804</v>
      </c>
    </row>
    <row r="2286" spans="1:20" x14ac:dyDescent="0.3">
      <c r="A2286" t="s">
        <v>627</v>
      </c>
      <c r="B2286" s="16">
        <v>45797</v>
      </c>
      <c r="C2286" t="s">
        <v>2</v>
      </c>
      <c r="D2286" t="s">
        <v>4</v>
      </c>
      <c r="E2286" t="s">
        <v>43</v>
      </c>
      <c r="F2286">
        <v>458</v>
      </c>
      <c r="G2286">
        <v>192</v>
      </c>
      <c r="H2286">
        <v>68</v>
      </c>
      <c r="I2286">
        <v>6</v>
      </c>
      <c r="J2286" s="15">
        <v>38474</v>
      </c>
      <c r="K2286">
        <v>14</v>
      </c>
      <c r="L2286" s="15">
        <v>30089</v>
      </c>
      <c r="M2286">
        <v>11</v>
      </c>
      <c r="N2286">
        <v>8</v>
      </c>
      <c r="O2286">
        <v>450</v>
      </c>
      <c r="P2286">
        <f t="shared" si="114"/>
        <v>2025</v>
      </c>
      <c r="Q2286">
        <f t="shared" si="115"/>
        <v>5</v>
      </c>
      <c r="R2286" t="str">
        <f t="shared" si="113"/>
        <v>淘宝客</v>
      </c>
      <c r="S2286" t="s">
        <v>629</v>
      </c>
      <c r="T2286" s="546" t="s">
        <v>804</v>
      </c>
    </row>
    <row r="2287" spans="1:20" x14ac:dyDescent="0.3">
      <c r="A2287" t="s">
        <v>627</v>
      </c>
      <c r="B2287" s="16">
        <v>45798</v>
      </c>
      <c r="C2287" t="s">
        <v>3</v>
      </c>
      <c r="D2287" t="s">
        <v>114</v>
      </c>
      <c r="E2287" t="s">
        <v>159</v>
      </c>
      <c r="F2287">
        <v>117</v>
      </c>
      <c r="G2287">
        <v>49</v>
      </c>
      <c r="H2287">
        <v>8</v>
      </c>
      <c r="I2287">
        <v>1</v>
      </c>
      <c r="J2287" s="15">
        <v>1598</v>
      </c>
      <c r="K2287">
        <v>1</v>
      </c>
      <c r="L2287" s="15">
        <v>1598</v>
      </c>
      <c r="M2287">
        <v>1</v>
      </c>
      <c r="N2287">
        <v>13</v>
      </c>
      <c r="O2287">
        <v>114</v>
      </c>
      <c r="P2287">
        <f t="shared" si="114"/>
        <v>2025</v>
      </c>
      <c r="Q2287">
        <f t="shared" si="115"/>
        <v>5</v>
      </c>
      <c r="R2287" t="str">
        <f t="shared" si="113"/>
        <v>主会场</v>
      </c>
      <c r="S2287" t="s">
        <v>629</v>
      </c>
      <c r="T2287" s="546" t="s">
        <v>804</v>
      </c>
    </row>
    <row r="2288" spans="1:20" x14ac:dyDescent="0.3">
      <c r="A2288" t="s">
        <v>627</v>
      </c>
      <c r="B2288" s="16">
        <v>45798</v>
      </c>
      <c r="C2288" t="s">
        <v>3</v>
      </c>
      <c r="D2288" t="s">
        <v>123</v>
      </c>
      <c r="E2288" t="s">
        <v>169</v>
      </c>
      <c r="F2288">
        <v>272</v>
      </c>
      <c r="G2288">
        <v>132</v>
      </c>
      <c r="H2288">
        <v>17</v>
      </c>
      <c r="I2288">
        <v>5</v>
      </c>
      <c r="J2288" s="15">
        <v>6115</v>
      </c>
      <c r="K2288">
        <v>3</v>
      </c>
      <c r="L2288" s="15">
        <v>6115</v>
      </c>
      <c r="M2288">
        <v>3</v>
      </c>
      <c r="N2288">
        <v>53</v>
      </c>
      <c r="O2288">
        <v>268</v>
      </c>
      <c r="P2288">
        <f t="shared" si="114"/>
        <v>2025</v>
      </c>
      <c r="Q2288">
        <f t="shared" si="115"/>
        <v>5</v>
      </c>
      <c r="R2288" t="str">
        <f t="shared" si="113"/>
        <v>商品详情页头图推荐</v>
      </c>
      <c r="S2288" t="s">
        <v>629</v>
      </c>
      <c r="T2288" s="546" t="s">
        <v>804</v>
      </c>
    </row>
    <row r="2289" spans="1:20" x14ac:dyDescent="0.3">
      <c r="A2289" t="s">
        <v>627</v>
      </c>
      <c r="B2289" s="16">
        <v>45798</v>
      </c>
      <c r="C2289" t="s">
        <v>3</v>
      </c>
      <c r="D2289" t="s">
        <v>123</v>
      </c>
      <c r="E2289" t="s">
        <v>170</v>
      </c>
      <c r="F2289">
        <v>23</v>
      </c>
      <c r="G2289">
        <v>11</v>
      </c>
      <c r="H2289">
        <v>0</v>
      </c>
      <c r="I2289">
        <v>0</v>
      </c>
      <c r="J2289" s="15">
        <v>1490</v>
      </c>
      <c r="K2289">
        <v>1</v>
      </c>
      <c r="L2289" s="15">
        <v>1490</v>
      </c>
      <c r="M2289">
        <v>1</v>
      </c>
      <c r="N2289">
        <v>18</v>
      </c>
      <c r="O2289">
        <v>10</v>
      </c>
      <c r="P2289">
        <f t="shared" si="114"/>
        <v>2025</v>
      </c>
      <c r="Q2289">
        <f t="shared" si="115"/>
        <v>5</v>
      </c>
      <c r="R2289" t="str">
        <f t="shared" si="113"/>
        <v>店铺超链</v>
      </c>
      <c r="S2289" t="s">
        <v>629</v>
      </c>
      <c r="T2289" s="546" t="s">
        <v>804</v>
      </c>
    </row>
    <row r="2290" spans="1:20" x14ac:dyDescent="0.3">
      <c r="A2290" t="s">
        <v>627</v>
      </c>
      <c r="B2290" s="16">
        <v>45798</v>
      </c>
      <c r="C2290" t="s">
        <v>3</v>
      </c>
      <c r="D2290" t="s">
        <v>127</v>
      </c>
      <c r="E2290" t="s">
        <v>171</v>
      </c>
      <c r="F2290">
        <v>269</v>
      </c>
      <c r="G2290">
        <v>153</v>
      </c>
      <c r="H2290">
        <v>10</v>
      </c>
      <c r="I2290">
        <v>5</v>
      </c>
      <c r="J2290" s="17">
        <v>23135.47</v>
      </c>
      <c r="K2290">
        <v>9</v>
      </c>
      <c r="L2290" s="17">
        <v>18895.47</v>
      </c>
      <c r="M2290">
        <v>8</v>
      </c>
      <c r="N2290">
        <v>39</v>
      </c>
      <c r="O2290">
        <v>242</v>
      </c>
      <c r="P2290">
        <f t="shared" si="114"/>
        <v>2025</v>
      </c>
      <c r="Q2290">
        <f t="shared" si="115"/>
        <v>5</v>
      </c>
      <c r="R2290" t="str">
        <f t="shared" si="113"/>
        <v>其他猜你喜欢</v>
      </c>
      <c r="S2290" t="s">
        <v>629</v>
      </c>
      <c r="T2290" s="546" t="s">
        <v>804</v>
      </c>
    </row>
    <row r="2291" spans="1:20" x14ac:dyDescent="0.3">
      <c r="A2291" t="s">
        <v>627</v>
      </c>
      <c r="B2291" s="16">
        <v>45798</v>
      </c>
      <c r="C2291" t="s">
        <v>3</v>
      </c>
      <c r="D2291" t="s">
        <v>127</v>
      </c>
      <c r="E2291" t="s">
        <v>172</v>
      </c>
      <c r="F2291">
        <v>11</v>
      </c>
      <c r="G2291">
        <v>7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8</v>
      </c>
      <c r="P2291">
        <f t="shared" si="114"/>
        <v>2025</v>
      </c>
      <c r="Q2291">
        <f t="shared" si="115"/>
        <v>5</v>
      </c>
      <c r="R2291" t="str">
        <f t="shared" si="113"/>
        <v>购中推荐</v>
      </c>
      <c r="S2291" t="s">
        <v>629</v>
      </c>
      <c r="T2291" s="546" t="s">
        <v>804</v>
      </c>
    </row>
    <row r="2292" spans="1:20" x14ac:dyDescent="0.3">
      <c r="A2292" t="s">
        <v>627</v>
      </c>
      <c r="B2292" s="16">
        <v>45798</v>
      </c>
      <c r="C2292" t="s">
        <v>3</v>
      </c>
      <c r="D2292" t="s">
        <v>127</v>
      </c>
      <c r="E2292" t="s">
        <v>173</v>
      </c>
      <c r="F2292">
        <v>90</v>
      </c>
      <c r="G2292">
        <v>58</v>
      </c>
      <c r="H2292">
        <v>1</v>
      </c>
      <c r="I2292">
        <v>2</v>
      </c>
      <c r="J2292" s="15">
        <v>2750</v>
      </c>
      <c r="K2292">
        <v>1</v>
      </c>
      <c r="L2292" s="15">
        <v>2750</v>
      </c>
      <c r="M2292">
        <v>1</v>
      </c>
      <c r="N2292">
        <v>3</v>
      </c>
      <c r="O2292">
        <v>53</v>
      </c>
      <c r="P2292">
        <f t="shared" si="114"/>
        <v>2025</v>
      </c>
      <c r="Q2292">
        <f t="shared" si="115"/>
        <v>5</v>
      </c>
      <c r="R2292" t="str">
        <f t="shared" si="113"/>
        <v>购后推荐</v>
      </c>
      <c r="S2292" t="s">
        <v>629</v>
      </c>
      <c r="T2292" s="546" t="s">
        <v>804</v>
      </c>
    </row>
    <row r="2293" spans="1:20" x14ac:dyDescent="0.3">
      <c r="A2293" t="s">
        <v>627</v>
      </c>
      <c r="B2293" s="16">
        <v>45798</v>
      </c>
      <c r="C2293" t="s">
        <v>3</v>
      </c>
      <c r="D2293" t="s">
        <v>127</v>
      </c>
      <c r="E2293" t="s">
        <v>174</v>
      </c>
      <c r="F2293" s="15">
        <v>4465</v>
      </c>
      <c r="G2293" s="15">
        <v>3228</v>
      </c>
      <c r="H2293">
        <v>72</v>
      </c>
      <c r="I2293">
        <v>28</v>
      </c>
      <c r="J2293" s="15">
        <v>29381</v>
      </c>
      <c r="K2293">
        <v>12</v>
      </c>
      <c r="L2293" s="15">
        <v>20603</v>
      </c>
      <c r="M2293">
        <v>9</v>
      </c>
      <c r="N2293">
        <v>266</v>
      </c>
      <c r="O2293" s="15">
        <v>4465</v>
      </c>
      <c r="P2293">
        <f t="shared" si="114"/>
        <v>2025</v>
      </c>
      <c r="Q2293">
        <f t="shared" si="115"/>
        <v>5</v>
      </c>
      <c r="R2293" t="str">
        <f t="shared" si="113"/>
        <v>首页推荐-微详情</v>
      </c>
      <c r="S2293" t="s">
        <v>629</v>
      </c>
      <c r="T2293" s="546" t="s">
        <v>804</v>
      </c>
    </row>
    <row r="2294" spans="1:20" x14ac:dyDescent="0.3">
      <c r="A2294" t="s">
        <v>627</v>
      </c>
      <c r="B2294" s="16">
        <v>45798</v>
      </c>
      <c r="C2294" t="s">
        <v>3</v>
      </c>
      <c r="D2294" t="s">
        <v>127</v>
      </c>
      <c r="E2294" t="s">
        <v>175</v>
      </c>
      <c r="F2294" s="15">
        <v>1086</v>
      </c>
      <c r="G2294">
        <v>994</v>
      </c>
      <c r="H2294">
        <v>2</v>
      </c>
      <c r="I2294">
        <v>1</v>
      </c>
      <c r="J2294">
        <v>0</v>
      </c>
      <c r="K2294">
        <v>0</v>
      </c>
      <c r="L2294">
        <v>0</v>
      </c>
      <c r="M2294">
        <v>0</v>
      </c>
      <c r="N2294">
        <v>4</v>
      </c>
      <c r="O2294">
        <v>33</v>
      </c>
      <c r="P2294">
        <f t="shared" si="114"/>
        <v>2025</v>
      </c>
      <c r="Q2294">
        <f t="shared" si="115"/>
        <v>5</v>
      </c>
      <c r="R2294" t="str">
        <f t="shared" si="113"/>
        <v>首页推荐-直播</v>
      </c>
      <c r="S2294" t="s">
        <v>629</v>
      </c>
      <c r="T2294" s="546" t="s">
        <v>804</v>
      </c>
    </row>
    <row r="2295" spans="1:20" x14ac:dyDescent="0.3">
      <c r="A2295" t="s">
        <v>627</v>
      </c>
      <c r="B2295" s="16">
        <v>45798</v>
      </c>
      <c r="C2295" t="s">
        <v>3</v>
      </c>
      <c r="D2295" t="s">
        <v>127</v>
      </c>
      <c r="E2295" t="s">
        <v>176</v>
      </c>
      <c r="F2295">
        <v>311</v>
      </c>
      <c r="G2295">
        <v>225</v>
      </c>
      <c r="H2295">
        <v>1</v>
      </c>
      <c r="I2295">
        <v>0</v>
      </c>
      <c r="J2295" s="15">
        <v>16390</v>
      </c>
      <c r="K2295">
        <v>1</v>
      </c>
      <c r="L2295" s="15">
        <v>10430</v>
      </c>
      <c r="M2295">
        <v>1</v>
      </c>
      <c r="N2295">
        <v>4</v>
      </c>
      <c r="O2295">
        <v>36</v>
      </c>
      <c r="P2295">
        <f t="shared" si="114"/>
        <v>2025</v>
      </c>
      <c r="Q2295">
        <f t="shared" si="115"/>
        <v>5</v>
      </c>
      <c r="R2295" t="str">
        <f t="shared" si="113"/>
        <v>首页推荐-短视频</v>
      </c>
      <c r="S2295" t="s">
        <v>629</v>
      </c>
      <c r="T2295" s="546" t="s">
        <v>804</v>
      </c>
    </row>
    <row r="2296" spans="1:20" x14ac:dyDescent="0.3">
      <c r="A2296" t="s">
        <v>627</v>
      </c>
      <c r="B2296" s="16">
        <v>45798</v>
      </c>
      <c r="C2296" t="s">
        <v>3</v>
      </c>
      <c r="D2296" t="s">
        <v>128</v>
      </c>
      <c r="E2296" t="s">
        <v>177</v>
      </c>
      <c r="F2296">
        <v>870</v>
      </c>
      <c r="G2296">
        <v>665</v>
      </c>
      <c r="H2296">
        <v>59</v>
      </c>
      <c r="I2296">
        <v>9</v>
      </c>
      <c r="J2296" s="15">
        <v>37416</v>
      </c>
      <c r="K2296">
        <v>13</v>
      </c>
      <c r="L2296" s="15">
        <v>34821</v>
      </c>
      <c r="M2296">
        <v>12</v>
      </c>
      <c r="N2296">
        <v>398</v>
      </c>
      <c r="O2296">
        <v>634</v>
      </c>
      <c r="P2296">
        <f t="shared" si="114"/>
        <v>2025</v>
      </c>
      <c r="Q2296">
        <f t="shared" si="115"/>
        <v>5</v>
      </c>
      <c r="R2296" t="str">
        <f t="shared" si="113"/>
        <v>手淘搜索-商品及其他</v>
      </c>
      <c r="S2296" t="s">
        <v>629</v>
      </c>
      <c r="T2296" s="546" t="s">
        <v>804</v>
      </c>
    </row>
    <row r="2297" spans="1:20" x14ac:dyDescent="0.3">
      <c r="A2297" t="s">
        <v>627</v>
      </c>
      <c r="B2297" s="16">
        <v>45798</v>
      </c>
      <c r="C2297" t="s">
        <v>3</v>
      </c>
      <c r="D2297" t="s">
        <v>128</v>
      </c>
      <c r="E2297" t="s">
        <v>178</v>
      </c>
      <c r="F2297">
        <v>7</v>
      </c>
      <c r="G2297">
        <v>5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4</v>
      </c>
      <c r="P2297">
        <f t="shared" si="114"/>
        <v>2025</v>
      </c>
      <c r="Q2297">
        <f t="shared" si="115"/>
        <v>5</v>
      </c>
      <c r="R2297" t="str">
        <f t="shared" si="113"/>
        <v>手淘搜索-直播</v>
      </c>
      <c r="S2297" t="s">
        <v>629</v>
      </c>
      <c r="T2297" s="546" t="s">
        <v>804</v>
      </c>
    </row>
    <row r="2298" spans="1:20" x14ac:dyDescent="0.3">
      <c r="A2298" t="s">
        <v>627</v>
      </c>
      <c r="B2298" s="16">
        <v>45798</v>
      </c>
      <c r="C2298" t="s">
        <v>3</v>
      </c>
      <c r="D2298" t="s">
        <v>128</v>
      </c>
      <c r="E2298" t="s">
        <v>179</v>
      </c>
      <c r="F2298">
        <v>24</v>
      </c>
      <c r="G2298">
        <v>14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1</v>
      </c>
      <c r="O2298">
        <v>23</v>
      </c>
      <c r="P2298">
        <f t="shared" si="114"/>
        <v>2025</v>
      </c>
      <c r="Q2298">
        <f t="shared" si="115"/>
        <v>5</v>
      </c>
      <c r="R2298" t="str">
        <f t="shared" si="113"/>
        <v>手淘搜索-短视频</v>
      </c>
      <c r="S2298" t="s">
        <v>629</v>
      </c>
      <c r="T2298" s="546" t="s">
        <v>804</v>
      </c>
    </row>
    <row r="2299" spans="1:20" x14ac:dyDescent="0.3">
      <c r="A2299" t="s">
        <v>627</v>
      </c>
      <c r="B2299" s="16">
        <v>45798</v>
      </c>
      <c r="C2299" t="s">
        <v>3</v>
      </c>
      <c r="D2299" t="s">
        <v>143</v>
      </c>
      <c r="E2299" t="s">
        <v>180</v>
      </c>
      <c r="F2299">
        <v>13</v>
      </c>
      <c r="G2299">
        <v>11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1</v>
      </c>
      <c r="O2299">
        <v>13</v>
      </c>
      <c r="P2299">
        <f t="shared" si="114"/>
        <v>2025</v>
      </c>
      <c r="Q2299">
        <f t="shared" si="115"/>
        <v>5</v>
      </c>
      <c r="R2299" t="str">
        <f t="shared" si="113"/>
        <v>淘特其他渠道</v>
      </c>
      <c r="S2299" t="s">
        <v>629</v>
      </c>
      <c r="T2299" s="546" t="s">
        <v>804</v>
      </c>
    </row>
    <row r="2300" spans="1:20" x14ac:dyDescent="0.3">
      <c r="A2300" t="s">
        <v>627</v>
      </c>
      <c r="B2300" s="16">
        <v>45798</v>
      </c>
      <c r="C2300" t="s">
        <v>3</v>
      </c>
      <c r="D2300" t="s">
        <v>143</v>
      </c>
      <c r="E2300" t="s">
        <v>181</v>
      </c>
      <c r="F2300">
        <v>48</v>
      </c>
      <c r="G2300">
        <v>46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48</v>
      </c>
      <c r="P2300">
        <f t="shared" si="114"/>
        <v>2025</v>
      </c>
      <c r="Q2300">
        <f t="shared" si="115"/>
        <v>5</v>
      </c>
      <c r="R2300" t="str">
        <f t="shared" si="113"/>
        <v>淘特搜索</v>
      </c>
      <c r="S2300" t="s">
        <v>629</v>
      </c>
      <c r="T2300" s="546" t="s">
        <v>804</v>
      </c>
    </row>
    <row r="2301" spans="1:20" x14ac:dyDescent="0.3">
      <c r="A2301" t="s">
        <v>627</v>
      </c>
      <c r="B2301" s="16">
        <v>45798</v>
      </c>
      <c r="C2301" t="s">
        <v>2</v>
      </c>
      <c r="D2301" t="s">
        <v>55</v>
      </c>
      <c r="E2301" t="s">
        <v>54</v>
      </c>
      <c r="F2301">
        <v>797</v>
      </c>
      <c r="G2301">
        <v>655</v>
      </c>
      <c r="H2301">
        <v>13</v>
      </c>
      <c r="I2301">
        <v>1</v>
      </c>
      <c r="J2301">
        <v>0</v>
      </c>
      <c r="K2301">
        <v>0</v>
      </c>
      <c r="L2301">
        <v>0</v>
      </c>
      <c r="M2301">
        <v>0</v>
      </c>
      <c r="N2301">
        <v>21</v>
      </c>
      <c r="O2301">
        <v>156</v>
      </c>
      <c r="P2301">
        <f t="shared" si="114"/>
        <v>2025</v>
      </c>
      <c r="Q2301">
        <f t="shared" si="115"/>
        <v>5</v>
      </c>
      <c r="R2301" t="str">
        <f t="shared" si="113"/>
        <v>超级直播</v>
      </c>
      <c r="S2301" t="s">
        <v>629</v>
      </c>
      <c r="T2301" s="546" t="s">
        <v>804</v>
      </c>
    </row>
    <row r="2302" spans="1:20" x14ac:dyDescent="0.3">
      <c r="A2302" t="s">
        <v>627</v>
      </c>
      <c r="B2302" s="16">
        <v>45798</v>
      </c>
      <c r="C2302" t="s">
        <v>2</v>
      </c>
      <c r="D2302" t="s">
        <v>55</v>
      </c>
      <c r="E2302" t="s">
        <v>56</v>
      </c>
      <c r="F2302">
        <v>1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1</v>
      </c>
      <c r="P2302">
        <f t="shared" si="114"/>
        <v>2025</v>
      </c>
      <c r="Q2302">
        <f t="shared" si="115"/>
        <v>5</v>
      </c>
      <c r="R2302" t="str">
        <f t="shared" si="113"/>
        <v>超级短视频</v>
      </c>
      <c r="S2302" t="s">
        <v>629</v>
      </c>
      <c r="T2302" s="546" t="s">
        <v>804</v>
      </c>
    </row>
    <row r="2303" spans="1:20" x14ac:dyDescent="0.3">
      <c r="A2303" t="s">
        <v>627</v>
      </c>
      <c r="B2303" s="16">
        <v>45798</v>
      </c>
      <c r="C2303" t="s">
        <v>2</v>
      </c>
      <c r="D2303" t="s">
        <v>52</v>
      </c>
      <c r="E2303" t="s">
        <v>183</v>
      </c>
      <c r="F2303">
        <v>2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2</v>
      </c>
      <c r="O2303">
        <v>0</v>
      </c>
      <c r="P2303">
        <f t="shared" si="114"/>
        <v>2025</v>
      </c>
      <c r="Q2303">
        <f t="shared" si="115"/>
        <v>5</v>
      </c>
      <c r="R2303" t="str">
        <f t="shared" si="113"/>
        <v>品销宝-品牌专区</v>
      </c>
      <c r="S2303" t="s">
        <v>629</v>
      </c>
      <c r="T2303" s="546" t="s">
        <v>804</v>
      </c>
    </row>
    <row r="2304" spans="1:20" x14ac:dyDescent="0.3">
      <c r="A2304" t="s">
        <v>627</v>
      </c>
      <c r="B2304" s="16">
        <v>45798</v>
      </c>
      <c r="C2304" t="s">
        <v>2</v>
      </c>
      <c r="D2304" t="s">
        <v>52</v>
      </c>
      <c r="E2304" t="s">
        <v>58</v>
      </c>
      <c r="F2304">
        <v>1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1</v>
      </c>
      <c r="O2304">
        <v>0</v>
      </c>
      <c r="P2304">
        <f t="shared" si="114"/>
        <v>2025</v>
      </c>
      <c r="Q2304">
        <f t="shared" si="115"/>
        <v>5</v>
      </c>
      <c r="R2304" t="str">
        <f t="shared" si="113"/>
        <v>超级全域通</v>
      </c>
      <c r="S2304" t="s">
        <v>629</v>
      </c>
      <c r="T2304" s="546" t="s">
        <v>804</v>
      </c>
    </row>
    <row r="2305" spans="1:20" x14ac:dyDescent="0.3">
      <c r="A2305" t="s">
        <v>627</v>
      </c>
      <c r="B2305" s="16">
        <v>45798</v>
      </c>
      <c r="C2305" t="s">
        <v>2</v>
      </c>
      <c r="D2305" t="s">
        <v>57</v>
      </c>
      <c r="E2305" t="s">
        <v>64</v>
      </c>
      <c r="F2305" s="15">
        <v>11308</v>
      </c>
      <c r="G2305" s="15">
        <v>7304</v>
      </c>
      <c r="H2305">
        <v>55</v>
      </c>
      <c r="I2305">
        <v>42</v>
      </c>
      <c r="J2305" s="17">
        <v>32207.13</v>
      </c>
      <c r="K2305">
        <v>7</v>
      </c>
      <c r="L2305" s="17">
        <v>17422.13</v>
      </c>
      <c r="M2305">
        <v>5</v>
      </c>
      <c r="N2305">
        <v>272</v>
      </c>
      <c r="O2305" s="15">
        <v>11308</v>
      </c>
      <c r="P2305">
        <f t="shared" si="114"/>
        <v>2025</v>
      </c>
      <c r="Q2305">
        <f t="shared" si="115"/>
        <v>5</v>
      </c>
      <c r="R2305" t="str">
        <f t="shared" si="113"/>
        <v>引力魔方</v>
      </c>
      <c r="S2305" t="s">
        <v>629</v>
      </c>
      <c r="T2305" s="546" t="s">
        <v>804</v>
      </c>
    </row>
    <row r="2306" spans="1:20" x14ac:dyDescent="0.3">
      <c r="A2306" t="s">
        <v>627</v>
      </c>
      <c r="B2306" s="16">
        <v>45798</v>
      </c>
      <c r="C2306" t="s">
        <v>2</v>
      </c>
      <c r="D2306" t="s">
        <v>57</v>
      </c>
      <c r="E2306" t="s">
        <v>65</v>
      </c>
      <c r="F2306" s="15">
        <v>6597</v>
      </c>
      <c r="G2306" s="15">
        <v>5836</v>
      </c>
      <c r="H2306">
        <v>65</v>
      </c>
      <c r="I2306">
        <v>29</v>
      </c>
      <c r="J2306" s="17">
        <v>146528.53</v>
      </c>
      <c r="K2306">
        <v>20</v>
      </c>
      <c r="L2306" s="17">
        <v>44048.53</v>
      </c>
      <c r="M2306">
        <v>11</v>
      </c>
      <c r="N2306">
        <v>301</v>
      </c>
      <c r="O2306" s="15">
        <v>6547</v>
      </c>
      <c r="P2306">
        <f t="shared" si="114"/>
        <v>2025</v>
      </c>
      <c r="Q2306">
        <f t="shared" si="115"/>
        <v>5</v>
      </c>
      <c r="R2306" t="str">
        <f t="shared" si="113"/>
        <v>直通车</v>
      </c>
      <c r="S2306" t="s">
        <v>629</v>
      </c>
      <c r="T2306" s="546" t="s">
        <v>804</v>
      </c>
    </row>
    <row r="2307" spans="1:20" x14ac:dyDescent="0.3">
      <c r="A2307" t="s">
        <v>627</v>
      </c>
      <c r="B2307" s="16">
        <v>45798</v>
      </c>
      <c r="C2307" t="s">
        <v>2</v>
      </c>
      <c r="D2307" t="s">
        <v>57</v>
      </c>
      <c r="E2307" t="s">
        <v>63</v>
      </c>
      <c r="F2307" s="15">
        <v>4165</v>
      </c>
      <c r="G2307" s="15">
        <v>2102</v>
      </c>
      <c r="H2307">
        <v>208</v>
      </c>
      <c r="I2307">
        <v>177</v>
      </c>
      <c r="J2307" s="15">
        <v>228964</v>
      </c>
      <c r="K2307">
        <v>47</v>
      </c>
      <c r="L2307" s="15">
        <v>139543</v>
      </c>
      <c r="M2307">
        <v>41</v>
      </c>
      <c r="N2307">
        <v>778</v>
      </c>
      <c r="O2307" s="15">
        <v>3945</v>
      </c>
      <c r="P2307">
        <f t="shared" si="114"/>
        <v>2025</v>
      </c>
      <c r="Q2307">
        <f t="shared" si="115"/>
        <v>5</v>
      </c>
      <c r="R2307" t="str">
        <f t="shared" si="113"/>
        <v>万相台</v>
      </c>
      <c r="S2307" t="s">
        <v>629</v>
      </c>
      <c r="T2307" s="546" t="s">
        <v>804</v>
      </c>
    </row>
    <row r="2308" spans="1:20" x14ac:dyDescent="0.3">
      <c r="A2308" t="s">
        <v>627</v>
      </c>
      <c r="B2308" s="16">
        <v>45798</v>
      </c>
      <c r="C2308" t="s">
        <v>2</v>
      </c>
      <c r="D2308" t="s">
        <v>4</v>
      </c>
      <c r="E2308" t="s">
        <v>41</v>
      </c>
      <c r="F2308">
        <v>5</v>
      </c>
      <c r="G2308">
        <v>5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3</v>
      </c>
      <c r="P2308">
        <f t="shared" si="114"/>
        <v>2025</v>
      </c>
      <c r="Q2308">
        <f t="shared" si="115"/>
        <v>5</v>
      </c>
      <c r="R2308" t="str">
        <f t="shared" si="113"/>
        <v>流量宝</v>
      </c>
      <c r="S2308" t="s">
        <v>629</v>
      </c>
      <c r="T2308" s="546" t="s">
        <v>804</v>
      </c>
    </row>
    <row r="2309" spans="1:20" x14ac:dyDescent="0.3">
      <c r="A2309" t="s">
        <v>627</v>
      </c>
      <c r="B2309" s="16">
        <v>45798</v>
      </c>
      <c r="C2309" t="s">
        <v>2</v>
      </c>
      <c r="D2309" t="s">
        <v>4</v>
      </c>
      <c r="E2309" t="s">
        <v>43</v>
      </c>
      <c r="F2309">
        <v>538</v>
      </c>
      <c r="G2309">
        <v>273</v>
      </c>
      <c r="H2309">
        <v>134</v>
      </c>
      <c r="I2309">
        <v>6</v>
      </c>
      <c r="J2309" s="15">
        <v>80310</v>
      </c>
      <c r="K2309">
        <v>22</v>
      </c>
      <c r="L2309" s="15">
        <v>43975</v>
      </c>
      <c r="M2309">
        <v>13</v>
      </c>
      <c r="N2309">
        <v>21</v>
      </c>
      <c r="O2309">
        <v>533</v>
      </c>
      <c r="P2309">
        <f t="shared" si="114"/>
        <v>2025</v>
      </c>
      <c r="Q2309">
        <f t="shared" si="115"/>
        <v>5</v>
      </c>
      <c r="R2309" t="str">
        <f t="shared" si="113"/>
        <v>淘宝客</v>
      </c>
      <c r="S2309" t="s">
        <v>629</v>
      </c>
      <c r="T2309" s="546" t="s">
        <v>804</v>
      </c>
    </row>
    <row r="2310" spans="1:20" x14ac:dyDescent="0.3">
      <c r="A2310" t="s">
        <v>627</v>
      </c>
      <c r="B2310" s="16">
        <v>45799</v>
      </c>
      <c r="C2310" t="s">
        <v>3</v>
      </c>
      <c r="D2310" t="s">
        <v>114</v>
      </c>
      <c r="E2310" t="s">
        <v>159</v>
      </c>
      <c r="F2310">
        <v>128</v>
      </c>
      <c r="G2310">
        <v>49</v>
      </c>
      <c r="H2310">
        <v>8</v>
      </c>
      <c r="I2310">
        <v>4</v>
      </c>
      <c r="J2310" s="15">
        <v>5000</v>
      </c>
      <c r="K2310">
        <v>2</v>
      </c>
      <c r="L2310" s="15">
        <v>5000</v>
      </c>
      <c r="M2310">
        <v>2</v>
      </c>
      <c r="N2310">
        <v>13</v>
      </c>
      <c r="O2310">
        <v>127</v>
      </c>
      <c r="P2310">
        <f t="shared" si="114"/>
        <v>2025</v>
      </c>
      <c r="Q2310">
        <f t="shared" si="115"/>
        <v>5</v>
      </c>
      <c r="R2310" t="str">
        <f t="shared" si="113"/>
        <v>主会场</v>
      </c>
      <c r="S2310" t="s">
        <v>629</v>
      </c>
      <c r="T2310" s="546" t="s">
        <v>804</v>
      </c>
    </row>
    <row r="2311" spans="1:20" x14ac:dyDescent="0.3">
      <c r="A2311" t="s">
        <v>627</v>
      </c>
      <c r="B2311" s="16">
        <v>45799</v>
      </c>
      <c r="C2311" t="s">
        <v>3</v>
      </c>
      <c r="D2311" t="s">
        <v>123</v>
      </c>
      <c r="E2311" t="s">
        <v>169</v>
      </c>
      <c r="F2311">
        <v>225</v>
      </c>
      <c r="G2311">
        <v>107</v>
      </c>
      <c r="H2311">
        <v>22</v>
      </c>
      <c r="I2311">
        <v>3</v>
      </c>
      <c r="J2311" s="17">
        <v>11716.78</v>
      </c>
      <c r="K2311">
        <v>4</v>
      </c>
      <c r="L2311" s="17">
        <v>6741.78</v>
      </c>
      <c r="M2311">
        <v>3</v>
      </c>
      <c r="N2311">
        <v>42</v>
      </c>
      <c r="O2311">
        <v>222</v>
      </c>
      <c r="P2311">
        <f t="shared" si="114"/>
        <v>2025</v>
      </c>
      <c r="Q2311">
        <f t="shared" si="115"/>
        <v>5</v>
      </c>
      <c r="R2311" t="str">
        <f t="shared" ref="R2311:R2374" si="116">E2311</f>
        <v>商品详情页头图推荐</v>
      </c>
      <c r="S2311" t="s">
        <v>629</v>
      </c>
      <c r="T2311" s="546" t="s">
        <v>804</v>
      </c>
    </row>
    <row r="2312" spans="1:20" x14ac:dyDescent="0.3">
      <c r="A2312" t="s">
        <v>627</v>
      </c>
      <c r="B2312" s="16">
        <v>45799</v>
      </c>
      <c r="C2312" t="s">
        <v>3</v>
      </c>
      <c r="D2312" t="s">
        <v>123</v>
      </c>
      <c r="E2312" t="s">
        <v>170</v>
      </c>
      <c r="F2312">
        <v>33</v>
      </c>
      <c r="G2312">
        <v>22</v>
      </c>
      <c r="H2312">
        <v>1</v>
      </c>
      <c r="I2312">
        <v>0</v>
      </c>
      <c r="J2312" s="15">
        <v>3588</v>
      </c>
      <c r="K2312">
        <v>1</v>
      </c>
      <c r="L2312" s="15">
        <v>3588</v>
      </c>
      <c r="M2312">
        <v>1</v>
      </c>
      <c r="N2312">
        <v>28</v>
      </c>
      <c r="O2312">
        <v>18</v>
      </c>
      <c r="P2312">
        <f t="shared" si="114"/>
        <v>2025</v>
      </c>
      <c r="Q2312">
        <f t="shared" si="115"/>
        <v>5</v>
      </c>
      <c r="R2312" t="str">
        <f t="shared" si="116"/>
        <v>店铺超链</v>
      </c>
      <c r="S2312" t="s">
        <v>629</v>
      </c>
      <c r="T2312" s="546" t="s">
        <v>804</v>
      </c>
    </row>
    <row r="2313" spans="1:20" x14ac:dyDescent="0.3">
      <c r="A2313" t="s">
        <v>627</v>
      </c>
      <c r="B2313" s="16">
        <v>45799</v>
      </c>
      <c r="C2313" t="s">
        <v>3</v>
      </c>
      <c r="D2313" t="s">
        <v>127</v>
      </c>
      <c r="E2313" t="s">
        <v>171</v>
      </c>
      <c r="F2313">
        <v>335</v>
      </c>
      <c r="G2313">
        <v>206</v>
      </c>
      <c r="H2313">
        <v>10</v>
      </c>
      <c r="I2313">
        <v>2</v>
      </c>
      <c r="J2313" s="15">
        <v>70392</v>
      </c>
      <c r="K2313">
        <v>15</v>
      </c>
      <c r="L2313" s="15">
        <v>11942</v>
      </c>
      <c r="M2313">
        <v>5</v>
      </c>
      <c r="N2313">
        <v>45</v>
      </c>
      <c r="O2313">
        <v>287</v>
      </c>
      <c r="P2313">
        <f t="shared" si="114"/>
        <v>2025</v>
      </c>
      <c r="Q2313">
        <f t="shared" si="115"/>
        <v>5</v>
      </c>
      <c r="R2313" t="str">
        <f t="shared" si="116"/>
        <v>其他猜你喜欢</v>
      </c>
      <c r="S2313" t="s">
        <v>629</v>
      </c>
      <c r="T2313" s="546" t="s">
        <v>804</v>
      </c>
    </row>
    <row r="2314" spans="1:20" x14ac:dyDescent="0.3">
      <c r="A2314" t="s">
        <v>627</v>
      </c>
      <c r="B2314" s="16">
        <v>45799</v>
      </c>
      <c r="C2314" t="s">
        <v>3</v>
      </c>
      <c r="D2314" t="s">
        <v>127</v>
      </c>
      <c r="E2314" t="s">
        <v>172</v>
      </c>
      <c r="F2314">
        <v>21</v>
      </c>
      <c r="G2314">
        <v>13</v>
      </c>
      <c r="H2314">
        <v>0</v>
      </c>
      <c r="I2314">
        <v>0</v>
      </c>
      <c r="J2314" s="15">
        <v>2750</v>
      </c>
      <c r="K2314">
        <v>1</v>
      </c>
      <c r="L2314" s="15">
        <v>2750</v>
      </c>
      <c r="M2314">
        <v>1</v>
      </c>
      <c r="N2314">
        <v>0</v>
      </c>
      <c r="O2314">
        <v>9</v>
      </c>
      <c r="P2314">
        <f t="shared" si="114"/>
        <v>2025</v>
      </c>
      <c r="Q2314">
        <f t="shared" si="115"/>
        <v>5</v>
      </c>
      <c r="R2314" t="str">
        <f t="shared" si="116"/>
        <v>购中推荐</v>
      </c>
      <c r="S2314" t="s">
        <v>629</v>
      </c>
      <c r="T2314" s="546" t="s">
        <v>804</v>
      </c>
    </row>
    <row r="2315" spans="1:20" x14ac:dyDescent="0.3">
      <c r="A2315" t="s">
        <v>627</v>
      </c>
      <c r="B2315" s="16">
        <v>45799</v>
      </c>
      <c r="C2315" t="s">
        <v>3</v>
      </c>
      <c r="D2315" t="s">
        <v>127</v>
      </c>
      <c r="E2315" t="s">
        <v>173</v>
      </c>
      <c r="F2315">
        <v>191</v>
      </c>
      <c r="G2315">
        <v>140</v>
      </c>
      <c r="H2315">
        <v>1</v>
      </c>
      <c r="I2315">
        <v>0</v>
      </c>
      <c r="J2315" s="15">
        <v>4480</v>
      </c>
      <c r="K2315">
        <v>1</v>
      </c>
      <c r="L2315" s="15">
        <v>4480</v>
      </c>
      <c r="M2315">
        <v>1</v>
      </c>
      <c r="N2315">
        <v>3</v>
      </c>
      <c r="O2315">
        <v>59</v>
      </c>
      <c r="P2315">
        <f t="shared" si="114"/>
        <v>2025</v>
      </c>
      <c r="Q2315">
        <f t="shared" si="115"/>
        <v>5</v>
      </c>
      <c r="R2315" t="str">
        <f t="shared" si="116"/>
        <v>购后推荐</v>
      </c>
      <c r="S2315" t="s">
        <v>629</v>
      </c>
      <c r="T2315" s="546" t="s">
        <v>804</v>
      </c>
    </row>
    <row r="2316" spans="1:20" x14ac:dyDescent="0.3">
      <c r="A2316" t="s">
        <v>627</v>
      </c>
      <c r="B2316" s="16">
        <v>45799</v>
      </c>
      <c r="C2316" t="s">
        <v>3</v>
      </c>
      <c r="D2316" t="s">
        <v>127</v>
      </c>
      <c r="E2316" t="s">
        <v>174</v>
      </c>
      <c r="F2316" s="15">
        <v>4013</v>
      </c>
      <c r="G2316" s="15">
        <v>2801</v>
      </c>
      <c r="H2316">
        <v>62</v>
      </c>
      <c r="I2316">
        <v>22</v>
      </c>
      <c r="J2316" s="15">
        <v>30431</v>
      </c>
      <c r="K2316">
        <v>9</v>
      </c>
      <c r="L2316" s="15">
        <v>25456</v>
      </c>
      <c r="M2316">
        <v>8</v>
      </c>
      <c r="N2316">
        <v>213</v>
      </c>
      <c r="O2316" s="15">
        <v>4013</v>
      </c>
      <c r="P2316">
        <f t="shared" si="114"/>
        <v>2025</v>
      </c>
      <c r="Q2316">
        <f t="shared" si="115"/>
        <v>5</v>
      </c>
      <c r="R2316" t="str">
        <f t="shared" si="116"/>
        <v>首页推荐-微详情</v>
      </c>
      <c r="S2316" t="s">
        <v>629</v>
      </c>
      <c r="T2316" s="546" t="s">
        <v>804</v>
      </c>
    </row>
    <row r="2317" spans="1:20" x14ac:dyDescent="0.3">
      <c r="A2317" t="s">
        <v>627</v>
      </c>
      <c r="B2317" s="16">
        <v>45799</v>
      </c>
      <c r="C2317" t="s">
        <v>3</v>
      </c>
      <c r="D2317" t="s">
        <v>127</v>
      </c>
      <c r="E2317" t="s">
        <v>175</v>
      </c>
      <c r="F2317" s="15">
        <v>1023</v>
      </c>
      <c r="G2317">
        <v>922</v>
      </c>
      <c r="H2317">
        <v>1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2</v>
      </c>
      <c r="O2317">
        <v>35</v>
      </c>
      <c r="P2317">
        <f t="shared" si="114"/>
        <v>2025</v>
      </c>
      <c r="Q2317">
        <f t="shared" si="115"/>
        <v>5</v>
      </c>
      <c r="R2317" t="str">
        <f t="shared" si="116"/>
        <v>首页推荐-直播</v>
      </c>
      <c r="S2317" t="s">
        <v>629</v>
      </c>
      <c r="T2317" s="546" t="s">
        <v>804</v>
      </c>
    </row>
    <row r="2318" spans="1:20" x14ac:dyDescent="0.3">
      <c r="A2318" t="s">
        <v>627</v>
      </c>
      <c r="B2318" s="16">
        <v>45799</v>
      </c>
      <c r="C2318" t="s">
        <v>3</v>
      </c>
      <c r="D2318" t="s">
        <v>127</v>
      </c>
      <c r="E2318" t="s">
        <v>176</v>
      </c>
      <c r="F2318">
        <v>845</v>
      </c>
      <c r="G2318">
        <v>673</v>
      </c>
      <c r="H2318">
        <v>3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5</v>
      </c>
      <c r="O2318">
        <v>42</v>
      </c>
      <c r="P2318">
        <f t="shared" si="114"/>
        <v>2025</v>
      </c>
      <c r="Q2318">
        <f t="shared" si="115"/>
        <v>5</v>
      </c>
      <c r="R2318" t="str">
        <f t="shared" si="116"/>
        <v>首页推荐-短视频</v>
      </c>
      <c r="S2318" t="s">
        <v>629</v>
      </c>
      <c r="T2318" s="546" t="s">
        <v>804</v>
      </c>
    </row>
    <row r="2319" spans="1:20" x14ac:dyDescent="0.3">
      <c r="A2319" t="s">
        <v>627</v>
      </c>
      <c r="B2319" s="16">
        <v>45799</v>
      </c>
      <c r="C2319" t="s">
        <v>3</v>
      </c>
      <c r="D2319" t="s">
        <v>128</v>
      </c>
      <c r="E2319" t="s">
        <v>177</v>
      </c>
      <c r="F2319">
        <v>774</v>
      </c>
      <c r="G2319">
        <v>594</v>
      </c>
      <c r="H2319">
        <v>41</v>
      </c>
      <c r="I2319">
        <v>5</v>
      </c>
      <c r="J2319" s="15">
        <v>31960</v>
      </c>
      <c r="K2319">
        <v>11</v>
      </c>
      <c r="L2319" s="15">
        <v>28970</v>
      </c>
      <c r="M2319">
        <v>10</v>
      </c>
      <c r="N2319">
        <v>333</v>
      </c>
      <c r="O2319">
        <v>569</v>
      </c>
      <c r="P2319">
        <f t="shared" si="114"/>
        <v>2025</v>
      </c>
      <c r="Q2319">
        <f t="shared" si="115"/>
        <v>5</v>
      </c>
      <c r="R2319" t="str">
        <f t="shared" si="116"/>
        <v>手淘搜索-商品及其他</v>
      </c>
      <c r="S2319" t="s">
        <v>629</v>
      </c>
      <c r="T2319" s="546" t="s">
        <v>804</v>
      </c>
    </row>
    <row r="2320" spans="1:20" x14ac:dyDescent="0.3">
      <c r="A2320" t="s">
        <v>627</v>
      </c>
      <c r="B2320" s="16">
        <v>45799</v>
      </c>
      <c r="C2320" t="s">
        <v>3</v>
      </c>
      <c r="D2320" t="s">
        <v>128</v>
      </c>
      <c r="E2320" t="s">
        <v>178</v>
      </c>
      <c r="F2320">
        <v>13</v>
      </c>
      <c r="G2320">
        <v>11</v>
      </c>
      <c r="H2320">
        <v>1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4</v>
      </c>
      <c r="P2320">
        <f t="shared" si="114"/>
        <v>2025</v>
      </c>
      <c r="Q2320">
        <f t="shared" si="115"/>
        <v>5</v>
      </c>
      <c r="R2320" t="str">
        <f t="shared" si="116"/>
        <v>手淘搜索-直播</v>
      </c>
      <c r="S2320" t="s">
        <v>629</v>
      </c>
      <c r="T2320" s="546" t="s">
        <v>804</v>
      </c>
    </row>
    <row r="2321" spans="1:20" x14ac:dyDescent="0.3">
      <c r="A2321" t="s">
        <v>627</v>
      </c>
      <c r="B2321" s="16">
        <v>45799</v>
      </c>
      <c r="C2321" t="s">
        <v>3</v>
      </c>
      <c r="D2321" t="s">
        <v>128</v>
      </c>
      <c r="E2321" t="s">
        <v>179</v>
      </c>
      <c r="F2321">
        <v>11</v>
      </c>
      <c r="G2321">
        <v>6</v>
      </c>
      <c r="H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11</v>
      </c>
      <c r="P2321">
        <f t="shared" si="114"/>
        <v>2025</v>
      </c>
      <c r="Q2321">
        <f t="shared" si="115"/>
        <v>5</v>
      </c>
      <c r="R2321" t="str">
        <f t="shared" si="116"/>
        <v>手淘搜索-短视频</v>
      </c>
      <c r="S2321" t="s">
        <v>629</v>
      </c>
      <c r="T2321" s="546" t="s">
        <v>804</v>
      </c>
    </row>
    <row r="2322" spans="1:20" x14ac:dyDescent="0.3">
      <c r="A2322" t="s">
        <v>627</v>
      </c>
      <c r="B2322" s="16">
        <v>45799</v>
      </c>
      <c r="C2322" t="s">
        <v>3</v>
      </c>
      <c r="D2322" t="s">
        <v>143</v>
      </c>
      <c r="E2322" t="s">
        <v>180</v>
      </c>
      <c r="F2322">
        <v>5</v>
      </c>
      <c r="G2322">
        <v>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5</v>
      </c>
      <c r="P2322">
        <f t="shared" si="114"/>
        <v>2025</v>
      </c>
      <c r="Q2322">
        <f t="shared" si="115"/>
        <v>5</v>
      </c>
      <c r="R2322" t="str">
        <f t="shared" si="116"/>
        <v>淘特其他渠道</v>
      </c>
      <c r="S2322" t="s">
        <v>629</v>
      </c>
      <c r="T2322" s="546" t="s">
        <v>804</v>
      </c>
    </row>
    <row r="2323" spans="1:20" x14ac:dyDescent="0.3">
      <c r="A2323" t="s">
        <v>627</v>
      </c>
      <c r="B2323" s="16">
        <v>45799</v>
      </c>
      <c r="C2323" t="s">
        <v>3</v>
      </c>
      <c r="D2323" t="s">
        <v>143</v>
      </c>
      <c r="E2323" t="s">
        <v>181</v>
      </c>
      <c r="F2323">
        <v>43</v>
      </c>
      <c r="G2323">
        <v>41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43</v>
      </c>
      <c r="P2323">
        <f t="shared" si="114"/>
        <v>2025</v>
      </c>
      <c r="Q2323">
        <f t="shared" si="115"/>
        <v>5</v>
      </c>
      <c r="R2323" t="str">
        <f t="shared" si="116"/>
        <v>淘特搜索</v>
      </c>
      <c r="S2323" t="s">
        <v>629</v>
      </c>
      <c r="T2323" s="546" t="s">
        <v>804</v>
      </c>
    </row>
    <row r="2324" spans="1:20" x14ac:dyDescent="0.3">
      <c r="A2324" t="s">
        <v>627</v>
      </c>
      <c r="B2324" s="16">
        <v>45799</v>
      </c>
      <c r="C2324" t="s">
        <v>3</v>
      </c>
      <c r="D2324" t="s">
        <v>157</v>
      </c>
      <c r="E2324" t="s">
        <v>182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f t="shared" si="114"/>
        <v>2025</v>
      </c>
      <c r="Q2324">
        <f t="shared" si="115"/>
        <v>5</v>
      </c>
      <c r="R2324" t="str">
        <f t="shared" si="116"/>
        <v>飞猪其他</v>
      </c>
      <c r="S2324" t="s">
        <v>629</v>
      </c>
      <c r="T2324" s="546" t="s">
        <v>804</v>
      </c>
    </row>
    <row r="2325" spans="1:20" x14ac:dyDescent="0.3">
      <c r="A2325" t="s">
        <v>627</v>
      </c>
      <c r="B2325" s="16">
        <v>45799</v>
      </c>
      <c r="C2325" t="s">
        <v>2</v>
      </c>
      <c r="D2325" t="s">
        <v>55</v>
      </c>
      <c r="E2325" t="s">
        <v>54</v>
      </c>
      <c r="F2325">
        <v>938</v>
      </c>
      <c r="G2325">
        <v>854</v>
      </c>
      <c r="H2325">
        <v>5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9</v>
      </c>
      <c r="O2325">
        <v>118</v>
      </c>
      <c r="P2325">
        <f t="shared" ref="P2325:P2388" si="117">YEAR(B2325)</f>
        <v>2025</v>
      </c>
      <c r="Q2325">
        <f t="shared" ref="Q2325:Q2388" si="118">MONTH(B2325)</f>
        <v>5</v>
      </c>
      <c r="R2325" t="str">
        <f t="shared" si="116"/>
        <v>超级直播</v>
      </c>
      <c r="S2325" t="s">
        <v>629</v>
      </c>
      <c r="T2325" s="546" t="s">
        <v>804</v>
      </c>
    </row>
    <row r="2326" spans="1:20" x14ac:dyDescent="0.3">
      <c r="A2326" t="s">
        <v>627</v>
      </c>
      <c r="B2326" s="16">
        <v>45799</v>
      </c>
      <c r="C2326" t="s">
        <v>2</v>
      </c>
      <c r="D2326" t="s">
        <v>55</v>
      </c>
      <c r="E2326" t="s">
        <v>56</v>
      </c>
      <c r="F2326">
        <v>5</v>
      </c>
      <c r="G2326">
        <v>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5</v>
      </c>
      <c r="P2326">
        <f t="shared" si="117"/>
        <v>2025</v>
      </c>
      <c r="Q2326">
        <f t="shared" si="118"/>
        <v>5</v>
      </c>
      <c r="R2326" t="str">
        <f t="shared" si="116"/>
        <v>超级短视频</v>
      </c>
      <c r="S2326" t="s">
        <v>629</v>
      </c>
      <c r="T2326" s="546" t="s">
        <v>804</v>
      </c>
    </row>
    <row r="2327" spans="1:20" x14ac:dyDescent="0.3">
      <c r="A2327" t="s">
        <v>627</v>
      </c>
      <c r="B2327" s="16">
        <v>45799</v>
      </c>
      <c r="C2327" t="s">
        <v>2</v>
      </c>
      <c r="D2327" t="s">
        <v>52</v>
      </c>
      <c r="E2327" t="s">
        <v>183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1</v>
      </c>
      <c r="O2327">
        <v>0</v>
      </c>
      <c r="P2327">
        <f t="shared" si="117"/>
        <v>2025</v>
      </c>
      <c r="Q2327">
        <f t="shared" si="118"/>
        <v>5</v>
      </c>
      <c r="R2327" t="str">
        <f t="shared" si="116"/>
        <v>品销宝-品牌专区</v>
      </c>
      <c r="S2327" t="s">
        <v>629</v>
      </c>
      <c r="T2327" s="546" t="s">
        <v>804</v>
      </c>
    </row>
    <row r="2328" spans="1:20" x14ac:dyDescent="0.3">
      <c r="A2328" t="s">
        <v>627</v>
      </c>
      <c r="B2328" s="16">
        <v>45799</v>
      </c>
      <c r="C2328" t="s">
        <v>2</v>
      </c>
      <c r="D2328" t="s">
        <v>57</v>
      </c>
      <c r="E2328" t="s">
        <v>64</v>
      </c>
      <c r="F2328" s="15">
        <v>9625</v>
      </c>
      <c r="G2328" s="15">
        <v>5828</v>
      </c>
      <c r="H2328">
        <v>57</v>
      </c>
      <c r="I2328">
        <v>44</v>
      </c>
      <c r="J2328" s="17">
        <v>26315.78</v>
      </c>
      <c r="K2328">
        <v>5</v>
      </c>
      <c r="L2328" s="17">
        <v>13647.78</v>
      </c>
      <c r="M2328">
        <v>3</v>
      </c>
      <c r="N2328">
        <v>220</v>
      </c>
      <c r="O2328" s="15">
        <v>9625</v>
      </c>
      <c r="P2328">
        <f t="shared" si="117"/>
        <v>2025</v>
      </c>
      <c r="Q2328">
        <f t="shared" si="118"/>
        <v>5</v>
      </c>
      <c r="R2328" t="str">
        <f t="shared" si="116"/>
        <v>引力魔方</v>
      </c>
      <c r="S2328" t="s">
        <v>629</v>
      </c>
      <c r="T2328" s="546" t="s">
        <v>804</v>
      </c>
    </row>
    <row r="2329" spans="1:20" x14ac:dyDescent="0.3">
      <c r="A2329" t="s">
        <v>627</v>
      </c>
      <c r="B2329" s="16">
        <v>45799</v>
      </c>
      <c r="C2329" t="s">
        <v>2</v>
      </c>
      <c r="D2329" t="s">
        <v>57</v>
      </c>
      <c r="E2329" t="s">
        <v>65</v>
      </c>
      <c r="F2329" s="15">
        <v>6356</v>
      </c>
      <c r="G2329" s="15">
        <v>5684</v>
      </c>
      <c r="H2329">
        <v>70</v>
      </c>
      <c r="I2329">
        <v>39</v>
      </c>
      <c r="J2329" s="15">
        <v>57461</v>
      </c>
      <c r="K2329">
        <v>16</v>
      </c>
      <c r="L2329" s="15">
        <v>39130</v>
      </c>
      <c r="M2329">
        <v>10</v>
      </c>
      <c r="N2329">
        <v>343</v>
      </c>
      <c r="O2329" s="15">
        <v>6299</v>
      </c>
      <c r="P2329">
        <f t="shared" si="117"/>
        <v>2025</v>
      </c>
      <c r="Q2329">
        <f t="shared" si="118"/>
        <v>5</v>
      </c>
      <c r="R2329" t="str">
        <f t="shared" si="116"/>
        <v>直通车</v>
      </c>
      <c r="S2329" t="s">
        <v>629</v>
      </c>
      <c r="T2329" s="546" t="s">
        <v>804</v>
      </c>
    </row>
    <row r="2330" spans="1:20" x14ac:dyDescent="0.3">
      <c r="A2330" t="s">
        <v>627</v>
      </c>
      <c r="B2330" s="16">
        <v>45799</v>
      </c>
      <c r="C2330" t="s">
        <v>2</v>
      </c>
      <c r="D2330" t="s">
        <v>57</v>
      </c>
      <c r="E2330" t="s">
        <v>63</v>
      </c>
      <c r="F2330" s="15">
        <v>4865</v>
      </c>
      <c r="G2330" s="15">
        <v>2558</v>
      </c>
      <c r="H2330">
        <v>243</v>
      </c>
      <c r="I2330">
        <v>203</v>
      </c>
      <c r="J2330" s="15">
        <v>134536</v>
      </c>
      <c r="K2330">
        <v>35</v>
      </c>
      <c r="L2330" s="15">
        <v>88926</v>
      </c>
      <c r="M2330">
        <v>33</v>
      </c>
      <c r="N2330">
        <v>833</v>
      </c>
      <c r="O2330" s="15">
        <v>4642</v>
      </c>
      <c r="P2330">
        <f t="shared" si="117"/>
        <v>2025</v>
      </c>
      <c r="Q2330">
        <f t="shared" si="118"/>
        <v>5</v>
      </c>
      <c r="R2330" t="str">
        <f t="shared" si="116"/>
        <v>万相台</v>
      </c>
      <c r="S2330" t="s">
        <v>629</v>
      </c>
      <c r="T2330" s="546" t="s">
        <v>804</v>
      </c>
    </row>
    <row r="2331" spans="1:20" x14ac:dyDescent="0.3">
      <c r="A2331" t="s">
        <v>627</v>
      </c>
      <c r="B2331" s="16">
        <v>45799</v>
      </c>
      <c r="C2331" t="s">
        <v>2</v>
      </c>
      <c r="D2331" t="s">
        <v>4</v>
      </c>
      <c r="E2331" t="s">
        <v>42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1</v>
      </c>
      <c r="P2331">
        <f t="shared" si="117"/>
        <v>2025</v>
      </c>
      <c r="Q2331">
        <f t="shared" si="118"/>
        <v>5</v>
      </c>
      <c r="R2331" t="str">
        <f t="shared" si="116"/>
        <v>UD效果投放</v>
      </c>
      <c r="S2331" t="s">
        <v>629</v>
      </c>
      <c r="T2331" s="546" t="s">
        <v>804</v>
      </c>
    </row>
    <row r="2332" spans="1:20" x14ac:dyDescent="0.3">
      <c r="A2332" t="s">
        <v>627</v>
      </c>
      <c r="B2332" s="16">
        <v>45799</v>
      </c>
      <c r="C2332" t="s">
        <v>2</v>
      </c>
      <c r="D2332" t="s">
        <v>4</v>
      </c>
      <c r="E2332" t="s">
        <v>41</v>
      </c>
      <c r="F2332">
        <v>2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2</v>
      </c>
      <c r="P2332">
        <f t="shared" si="117"/>
        <v>2025</v>
      </c>
      <c r="Q2332">
        <f t="shared" si="118"/>
        <v>5</v>
      </c>
      <c r="R2332" t="str">
        <f t="shared" si="116"/>
        <v>流量宝</v>
      </c>
      <c r="S2332" t="s">
        <v>629</v>
      </c>
      <c r="T2332" s="546" t="s">
        <v>804</v>
      </c>
    </row>
    <row r="2333" spans="1:20" x14ac:dyDescent="0.3">
      <c r="A2333" t="s">
        <v>627</v>
      </c>
      <c r="B2333" s="16">
        <v>45799</v>
      </c>
      <c r="C2333" t="s">
        <v>2</v>
      </c>
      <c r="D2333" t="s">
        <v>4</v>
      </c>
      <c r="E2333" t="s">
        <v>43</v>
      </c>
      <c r="F2333">
        <v>519</v>
      </c>
      <c r="G2333">
        <v>227</v>
      </c>
      <c r="H2333">
        <v>126</v>
      </c>
      <c r="I2333">
        <v>4</v>
      </c>
      <c r="J2333" s="15">
        <v>132085</v>
      </c>
      <c r="K2333">
        <v>36</v>
      </c>
      <c r="L2333" s="15">
        <v>89505</v>
      </c>
      <c r="M2333">
        <v>24</v>
      </c>
      <c r="N2333">
        <v>18</v>
      </c>
      <c r="O2333">
        <v>516</v>
      </c>
      <c r="P2333">
        <f t="shared" si="117"/>
        <v>2025</v>
      </c>
      <c r="Q2333">
        <f t="shared" si="118"/>
        <v>5</v>
      </c>
      <c r="R2333" t="str">
        <f t="shared" si="116"/>
        <v>淘宝客</v>
      </c>
      <c r="S2333" t="s">
        <v>629</v>
      </c>
      <c r="T2333" s="546" t="s">
        <v>804</v>
      </c>
    </row>
    <row r="2334" spans="1:20" x14ac:dyDescent="0.3">
      <c r="A2334" t="s">
        <v>627</v>
      </c>
      <c r="B2334" s="16">
        <v>45800</v>
      </c>
      <c r="C2334" t="s">
        <v>3</v>
      </c>
      <c r="D2334" t="s">
        <v>114</v>
      </c>
      <c r="E2334" t="s">
        <v>159</v>
      </c>
      <c r="F2334">
        <v>108</v>
      </c>
      <c r="G2334">
        <v>47</v>
      </c>
      <c r="H2334">
        <v>4</v>
      </c>
      <c r="I2334">
        <v>1</v>
      </c>
      <c r="J2334">
        <v>0</v>
      </c>
      <c r="K2334">
        <v>0</v>
      </c>
      <c r="L2334">
        <v>0</v>
      </c>
      <c r="M2334">
        <v>0</v>
      </c>
      <c r="N2334">
        <v>9</v>
      </c>
      <c r="O2334">
        <v>107</v>
      </c>
      <c r="P2334">
        <f t="shared" si="117"/>
        <v>2025</v>
      </c>
      <c r="Q2334">
        <f t="shared" si="118"/>
        <v>5</v>
      </c>
      <c r="R2334" t="str">
        <f t="shared" si="116"/>
        <v>主会场</v>
      </c>
      <c r="S2334" t="s">
        <v>629</v>
      </c>
      <c r="T2334" s="546" t="s">
        <v>804</v>
      </c>
    </row>
    <row r="2335" spans="1:20" x14ac:dyDescent="0.3">
      <c r="A2335" t="s">
        <v>627</v>
      </c>
      <c r="B2335" s="16">
        <v>45800</v>
      </c>
      <c r="C2335" t="s">
        <v>3</v>
      </c>
      <c r="D2335" t="s">
        <v>117</v>
      </c>
      <c r="E2335" t="s">
        <v>161</v>
      </c>
      <c r="F2335">
        <v>1</v>
      </c>
      <c r="G2335">
        <v>1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1</v>
      </c>
      <c r="P2335">
        <f t="shared" si="117"/>
        <v>2025</v>
      </c>
      <c r="Q2335">
        <f t="shared" si="118"/>
        <v>5</v>
      </c>
      <c r="R2335" t="str">
        <f t="shared" si="116"/>
        <v>其他入口榜单</v>
      </c>
      <c r="S2335" t="s">
        <v>629</v>
      </c>
      <c r="T2335" s="546" t="s">
        <v>804</v>
      </c>
    </row>
    <row r="2336" spans="1:20" x14ac:dyDescent="0.3">
      <c r="A2336" t="s">
        <v>627</v>
      </c>
      <c r="B2336" s="16">
        <v>45800</v>
      </c>
      <c r="C2336" t="s">
        <v>3</v>
      </c>
      <c r="D2336" t="s">
        <v>123</v>
      </c>
      <c r="E2336" t="s">
        <v>169</v>
      </c>
      <c r="F2336">
        <v>223</v>
      </c>
      <c r="G2336">
        <v>107</v>
      </c>
      <c r="H2336">
        <v>14</v>
      </c>
      <c r="I2336">
        <v>4</v>
      </c>
      <c r="J2336" s="15">
        <v>4897</v>
      </c>
      <c r="K2336">
        <v>3</v>
      </c>
      <c r="L2336" s="15">
        <v>4897</v>
      </c>
      <c r="M2336">
        <v>3</v>
      </c>
      <c r="N2336">
        <v>46</v>
      </c>
      <c r="O2336">
        <v>213</v>
      </c>
      <c r="P2336">
        <f t="shared" si="117"/>
        <v>2025</v>
      </c>
      <c r="Q2336">
        <f t="shared" si="118"/>
        <v>5</v>
      </c>
      <c r="R2336" t="str">
        <f t="shared" si="116"/>
        <v>商品详情页头图推荐</v>
      </c>
      <c r="S2336" t="s">
        <v>629</v>
      </c>
      <c r="T2336" s="546" t="s">
        <v>804</v>
      </c>
    </row>
    <row r="2337" spans="1:20" x14ac:dyDescent="0.3">
      <c r="A2337" t="s">
        <v>627</v>
      </c>
      <c r="B2337" s="16">
        <v>45800</v>
      </c>
      <c r="C2337" t="s">
        <v>3</v>
      </c>
      <c r="D2337" t="s">
        <v>123</v>
      </c>
      <c r="E2337" t="s">
        <v>170</v>
      </c>
      <c r="F2337">
        <v>26</v>
      </c>
      <c r="G2337">
        <v>15</v>
      </c>
      <c r="H2337">
        <v>1</v>
      </c>
      <c r="I2337">
        <v>0</v>
      </c>
      <c r="J2337" s="15">
        <v>3357</v>
      </c>
      <c r="K2337">
        <v>1</v>
      </c>
      <c r="L2337" s="15">
        <v>3357</v>
      </c>
      <c r="M2337">
        <v>1</v>
      </c>
      <c r="N2337">
        <v>22</v>
      </c>
      <c r="O2337">
        <v>12</v>
      </c>
      <c r="P2337">
        <f t="shared" si="117"/>
        <v>2025</v>
      </c>
      <c r="Q2337">
        <f t="shared" si="118"/>
        <v>5</v>
      </c>
      <c r="R2337" t="str">
        <f t="shared" si="116"/>
        <v>店铺超链</v>
      </c>
      <c r="S2337" t="s">
        <v>629</v>
      </c>
      <c r="T2337" s="546" t="s">
        <v>804</v>
      </c>
    </row>
    <row r="2338" spans="1:20" x14ac:dyDescent="0.3">
      <c r="A2338" t="s">
        <v>627</v>
      </c>
      <c r="B2338" s="16">
        <v>45800</v>
      </c>
      <c r="C2338" t="s">
        <v>3</v>
      </c>
      <c r="D2338" t="s">
        <v>127</v>
      </c>
      <c r="E2338" t="s">
        <v>171</v>
      </c>
      <c r="F2338">
        <v>270</v>
      </c>
      <c r="G2338">
        <v>157</v>
      </c>
      <c r="H2338">
        <v>9</v>
      </c>
      <c r="I2338">
        <v>3</v>
      </c>
      <c r="J2338" s="15">
        <v>13607</v>
      </c>
      <c r="K2338">
        <v>3</v>
      </c>
      <c r="L2338" s="15">
        <v>1917</v>
      </c>
      <c r="M2338">
        <v>1</v>
      </c>
      <c r="N2338">
        <v>34</v>
      </c>
      <c r="O2338">
        <v>236</v>
      </c>
      <c r="P2338">
        <f t="shared" si="117"/>
        <v>2025</v>
      </c>
      <c r="Q2338">
        <f t="shared" si="118"/>
        <v>5</v>
      </c>
      <c r="R2338" t="str">
        <f t="shared" si="116"/>
        <v>其他猜你喜欢</v>
      </c>
      <c r="S2338" t="s">
        <v>629</v>
      </c>
      <c r="T2338" s="546" t="s">
        <v>804</v>
      </c>
    </row>
    <row r="2339" spans="1:20" x14ac:dyDescent="0.3">
      <c r="A2339" t="s">
        <v>627</v>
      </c>
      <c r="B2339" s="16">
        <v>45800</v>
      </c>
      <c r="C2339" t="s">
        <v>3</v>
      </c>
      <c r="D2339" t="s">
        <v>127</v>
      </c>
      <c r="E2339" t="s">
        <v>172</v>
      </c>
      <c r="F2339">
        <v>9</v>
      </c>
      <c r="G2339">
        <v>5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1</v>
      </c>
      <c r="O2339">
        <v>7</v>
      </c>
      <c r="P2339">
        <f t="shared" si="117"/>
        <v>2025</v>
      </c>
      <c r="Q2339">
        <f t="shared" si="118"/>
        <v>5</v>
      </c>
      <c r="R2339" t="str">
        <f t="shared" si="116"/>
        <v>购中推荐</v>
      </c>
      <c r="S2339" t="s">
        <v>629</v>
      </c>
      <c r="T2339" s="546" t="s">
        <v>804</v>
      </c>
    </row>
    <row r="2340" spans="1:20" x14ac:dyDescent="0.3">
      <c r="A2340" t="s">
        <v>627</v>
      </c>
      <c r="B2340" s="16">
        <v>45800</v>
      </c>
      <c r="C2340" t="s">
        <v>3</v>
      </c>
      <c r="D2340" t="s">
        <v>127</v>
      </c>
      <c r="E2340" t="s">
        <v>173</v>
      </c>
      <c r="F2340">
        <v>73</v>
      </c>
      <c r="G2340">
        <v>40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1</v>
      </c>
      <c r="O2340">
        <v>56</v>
      </c>
      <c r="P2340">
        <f t="shared" si="117"/>
        <v>2025</v>
      </c>
      <c r="Q2340">
        <f t="shared" si="118"/>
        <v>5</v>
      </c>
      <c r="R2340" t="str">
        <f t="shared" si="116"/>
        <v>购后推荐</v>
      </c>
      <c r="S2340" t="s">
        <v>629</v>
      </c>
      <c r="T2340" s="546" t="s">
        <v>804</v>
      </c>
    </row>
    <row r="2341" spans="1:20" x14ac:dyDescent="0.3">
      <c r="A2341" t="s">
        <v>627</v>
      </c>
      <c r="B2341" s="16">
        <v>45800</v>
      </c>
      <c r="C2341" t="s">
        <v>3</v>
      </c>
      <c r="D2341" t="s">
        <v>127</v>
      </c>
      <c r="E2341" t="s">
        <v>174</v>
      </c>
      <c r="F2341" s="15">
        <v>3865</v>
      </c>
      <c r="G2341" s="15">
        <v>2772</v>
      </c>
      <c r="H2341">
        <v>52</v>
      </c>
      <c r="I2341">
        <v>33</v>
      </c>
      <c r="J2341" s="15">
        <v>55190</v>
      </c>
      <c r="K2341">
        <v>3</v>
      </c>
      <c r="L2341" s="15">
        <v>4240</v>
      </c>
      <c r="M2341">
        <v>2</v>
      </c>
      <c r="N2341">
        <v>255</v>
      </c>
      <c r="O2341" s="15">
        <v>3865</v>
      </c>
      <c r="P2341">
        <f t="shared" si="117"/>
        <v>2025</v>
      </c>
      <c r="Q2341">
        <f t="shared" si="118"/>
        <v>5</v>
      </c>
      <c r="R2341" t="str">
        <f t="shared" si="116"/>
        <v>首页推荐-微详情</v>
      </c>
      <c r="S2341" t="s">
        <v>629</v>
      </c>
      <c r="T2341" s="546" t="s">
        <v>804</v>
      </c>
    </row>
    <row r="2342" spans="1:20" x14ac:dyDescent="0.3">
      <c r="A2342" t="s">
        <v>627</v>
      </c>
      <c r="B2342" s="16">
        <v>45800</v>
      </c>
      <c r="C2342" t="s">
        <v>3</v>
      </c>
      <c r="D2342" t="s">
        <v>127</v>
      </c>
      <c r="E2342" t="s">
        <v>175</v>
      </c>
      <c r="F2342">
        <v>799</v>
      </c>
      <c r="G2342">
        <v>703</v>
      </c>
      <c r="H2342">
        <v>2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3</v>
      </c>
      <c r="O2342">
        <v>37</v>
      </c>
      <c r="P2342">
        <f t="shared" si="117"/>
        <v>2025</v>
      </c>
      <c r="Q2342">
        <f t="shared" si="118"/>
        <v>5</v>
      </c>
      <c r="R2342" t="str">
        <f t="shared" si="116"/>
        <v>首页推荐-直播</v>
      </c>
      <c r="S2342" t="s">
        <v>629</v>
      </c>
      <c r="T2342" s="546" t="s">
        <v>804</v>
      </c>
    </row>
    <row r="2343" spans="1:20" x14ac:dyDescent="0.3">
      <c r="A2343" t="s">
        <v>627</v>
      </c>
      <c r="B2343" s="16">
        <v>45800</v>
      </c>
      <c r="C2343" t="s">
        <v>3</v>
      </c>
      <c r="D2343" t="s">
        <v>127</v>
      </c>
      <c r="E2343" t="s">
        <v>176</v>
      </c>
      <c r="F2343">
        <v>173</v>
      </c>
      <c r="G2343">
        <v>71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4</v>
      </c>
      <c r="O2343">
        <v>22</v>
      </c>
      <c r="P2343">
        <f t="shared" si="117"/>
        <v>2025</v>
      </c>
      <c r="Q2343">
        <f t="shared" si="118"/>
        <v>5</v>
      </c>
      <c r="R2343" t="str">
        <f t="shared" si="116"/>
        <v>首页推荐-短视频</v>
      </c>
      <c r="S2343" t="s">
        <v>629</v>
      </c>
      <c r="T2343" s="546" t="s">
        <v>804</v>
      </c>
    </row>
    <row r="2344" spans="1:20" x14ac:dyDescent="0.3">
      <c r="A2344" t="s">
        <v>627</v>
      </c>
      <c r="B2344" s="16">
        <v>45800</v>
      </c>
      <c r="C2344" t="s">
        <v>3</v>
      </c>
      <c r="D2344" t="s">
        <v>128</v>
      </c>
      <c r="E2344" t="s">
        <v>177</v>
      </c>
      <c r="F2344">
        <v>848</v>
      </c>
      <c r="G2344">
        <v>644</v>
      </c>
      <c r="H2344">
        <v>40</v>
      </c>
      <c r="I2344">
        <v>6</v>
      </c>
      <c r="J2344" s="15">
        <v>48513</v>
      </c>
      <c r="K2344">
        <v>16</v>
      </c>
      <c r="L2344" s="15">
        <v>38023</v>
      </c>
      <c r="M2344">
        <v>12</v>
      </c>
      <c r="N2344">
        <v>346</v>
      </c>
      <c r="O2344">
        <v>615</v>
      </c>
      <c r="P2344">
        <f t="shared" si="117"/>
        <v>2025</v>
      </c>
      <c r="Q2344">
        <f t="shared" si="118"/>
        <v>5</v>
      </c>
      <c r="R2344" t="str">
        <f t="shared" si="116"/>
        <v>手淘搜索-商品及其他</v>
      </c>
      <c r="S2344" t="s">
        <v>629</v>
      </c>
      <c r="T2344" s="546" t="s">
        <v>804</v>
      </c>
    </row>
    <row r="2345" spans="1:20" x14ac:dyDescent="0.3">
      <c r="A2345" t="s">
        <v>627</v>
      </c>
      <c r="B2345" s="16">
        <v>45800</v>
      </c>
      <c r="C2345" t="s">
        <v>3</v>
      </c>
      <c r="D2345" t="s">
        <v>128</v>
      </c>
      <c r="E2345" t="s">
        <v>178</v>
      </c>
      <c r="F2345">
        <v>16</v>
      </c>
      <c r="G2345">
        <v>10</v>
      </c>
      <c r="H2345">
        <v>1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1</v>
      </c>
      <c r="O2345">
        <v>8</v>
      </c>
      <c r="P2345">
        <f t="shared" si="117"/>
        <v>2025</v>
      </c>
      <c r="Q2345">
        <f t="shared" si="118"/>
        <v>5</v>
      </c>
      <c r="R2345" t="str">
        <f t="shared" si="116"/>
        <v>手淘搜索-直播</v>
      </c>
      <c r="S2345" t="s">
        <v>629</v>
      </c>
      <c r="T2345" s="546" t="s">
        <v>804</v>
      </c>
    </row>
    <row r="2346" spans="1:20" x14ac:dyDescent="0.3">
      <c r="A2346" t="s">
        <v>627</v>
      </c>
      <c r="B2346" s="16">
        <v>45800</v>
      </c>
      <c r="C2346" t="s">
        <v>3</v>
      </c>
      <c r="D2346" t="s">
        <v>128</v>
      </c>
      <c r="E2346" t="s">
        <v>179</v>
      </c>
      <c r="F2346">
        <v>25</v>
      </c>
      <c r="G2346">
        <v>10</v>
      </c>
      <c r="H2346">
        <v>3</v>
      </c>
      <c r="I2346">
        <v>2</v>
      </c>
      <c r="J2346">
        <v>0</v>
      </c>
      <c r="K2346">
        <v>0</v>
      </c>
      <c r="L2346">
        <v>0</v>
      </c>
      <c r="M2346">
        <v>0</v>
      </c>
      <c r="N2346">
        <v>2</v>
      </c>
      <c r="O2346">
        <v>25</v>
      </c>
      <c r="P2346">
        <f t="shared" si="117"/>
        <v>2025</v>
      </c>
      <c r="Q2346">
        <f t="shared" si="118"/>
        <v>5</v>
      </c>
      <c r="R2346" t="str">
        <f t="shared" si="116"/>
        <v>手淘搜索-短视频</v>
      </c>
      <c r="S2346" t="s">
        <v>629</v>
      </c>
      <c r="T2346" s="546" t="s">
        <v>804</v>
      </c>
    </row>
    <row r="2347" spans="1:20" x14ac:dyDescent="0.3">
      <c r="A2347" t="s">
        <v>627</v>
      </c>
      <c r="B2347" s="16">
        <v>45800</v>
      </c>
      <c r="C2347" t="s">
        <v>3</v>
      </c>
      <c r="D2347" t="s">
        <v>143</v>
      </c>
      <c r="E2347" t="s">
        <v>180</v>
      </c>
      <c r="F2347">
        <v>9</v>
      </c>
      <c r="G2347">
        <v>8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9</v>
      </c>
      <c r="P2347">
        <f t="shared" si="117"/>
        <v>2025</v>
      </c>
      <c r="Q2347">
        <f t="shared" si="118"/>
        <v>5</v>
      </c>
      <c r="R2347" t="str">
        <f t="shared" si="116"/>
        <v>淘特其他渠道</v>
      </c>
      <c r="S2347" t="s">
        <v>629</v>
      </c>
      <c r="T2347" s="546" t="s">
        <v>804</v>
      </c>
    </row>
    <row r="2348" spans="1:20" x14ac:dyDescent="0.3">
      <c r="A2348" t="s">
        <v>627</v>
      </c>
      <c r="B2348" s="16">
        <v>45800</v>
      </c>
      <c r="C2348" t="s">
        <v>3</v>
      </c>
      <c r="D2348" t="s">
        <v>143</v>
      </c>
      <c r="E2348" t="s">
        <v>181</v>
      </c>
      <c r="F2348">
        <v>28</v>
      </c>
      <c r="G2348">
        <v>28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28</v>
      </c>
      <c r="P2348">
        <f t="shared" si="117"/>
        <v>2025</v>
      </c>
      <c r="Q2348">
        <f t="shared" si="118"/>
        <v>5</v>
      </c>
      <c r="R2348" t="str">
        <f t="shared" si="116"/>
        <v>淘特搜索</v>
      </c>
      <c r="S2348" t="s">
        <v>629</v>
      </c>
      <c r="T2348" s="546" t="s">
        <v>804</v>
      </c>
    </row>
    <row r="2349" spans="1:20" x14ac:dyDescent="0.3">
      <c r="A2349" t="s">
        <v>627</v>
      </c>
      <c r="B2349" s="16">
        <v>45800</v>
      </c>
      <c r="C2349" t="s">
        <v>2</v>
      </c>
      <c r="D2349" t="s">
        <v>55</v>
      </c>
      <c r="E2349" t="s">
        <v>54</v>
      </c>
      <c r="F2349">
        <v>927</v>
      </c>
      <c r="G2349">
        <v>785</v>
      </c>
      <c r="H2349">
        <v>16</v>
      </c>
      <c r="I2349">
        <v>1</v>
      </c>
      <c r="J2349">
        <v>0</v>
      </c>
      <c r="K2349">
        <v>0</v>
      </c>
      <c r="L2349">
        <v>0</v>
      </c>
      <c r="M2349">
        <v>0</v>
      </c>
      <c r="N2349">
        <v>12</v>
      </c>
      <c r="O2349">
        <v>184</v>
      </c>
      <c r="P2349">
        <f t="shared" si="117"/>
        <v>2025</v>
      </c>
      <c r="Q2349">
        <f t="shared" si="118"/>
        <v>5</v>
      </c>
      <c r="R2349" t="str">
        <f t="shared" si="116"/>
        <v>超级直播</v>
      </c>
      <c r="S2349" t="s">
        <v>629</v>
      </c>
      <c r="T2349" s="546" t="s">
        <v>804</v>
      </c>
    </row>
    <row r="2350" spans="1:20" x14ac:dyDescent="0.3">
      <c r="A2350" t="s">
        <v>627</v>
      </c>
      <c r="B2350" s="16">
        <v>45800</v>
      </c>
      <c r="C2350" t="s">
        <v>2</v>
      </c>
      <c r="D2350" t="s">
        <v>57</v>
      </c>
      <c r="E2350" t="s">
        <v>64</v>
      </c>
      <c r="F2350" s="15">
        <v>9383</v>
      </c>
      <c r="G2350" s="15">
        <v>5777</v>
      </c>
      <c r="H2350">
        <v>57</v>
      </c>
      <c r="I2350">
        <v>36</v>
      </c>
      <c r="J2350" s="17">
        <v>21563.13</v>
      </c>
      <c r="K2350">
        <v>8</v>
      </c>
      <c r="L2350" s="17">
        <v>11753.13</v>
      </c>
      <c r="M2350">
        <v>5</v>
      </c>
      <c r="N2350">
        <v>228</v>
      </c>
      <c r="O2350" s="15">
        <v>9383</v>
      </c>
      <c r="P2350">
        <f t="shared" si="117"/>
        <v>2025</v>
      </c>
      <c r="Q2350">
        <f t="shared" si="118"/>
        <v>5</v>
      </c>
      <c r="R2350" t="str">
        <f t="shared" si="116"/>
        <v>引力魔方</v>
      </c>
      <c r="S2350" t="s">
        <v>629</v>
      </c>
      <c r="T2350" s="546" t="s">
        <v>804</v>
      </c>
    </row>
    <row r="2351" spans="1:20" x14ac:dyDescent="0.3">
      <c r="A2351" t="s">
        <v>627</v>
      </c>
      <c r="B2351" s="16">
        <v>45800</v>
      </c>
      <c r="C2351" t="s">
        <v>2</v>
      </c>
      <c r="D2351" t="s">
        <v>57</v>
      </c>
      <c r="E2351" t="s">
        <v>65</v>
      </c>
      <c r="F2351" s="15">
        <v>5985</v>
      </c>
      <c r="G2351" s="15">
        <v>5275</v>
      </c>
      <c r="H2351">
        <v>50</v>
      </c>
      <c r="I2351">
        <v>30</v>
      </c>
      <c r="J2351" s="15">
        <v>61677</v>
      </c>
      <c r="K2351">
        <v>11</v>
      </c>
      <c r="L2351" s="15">
        <v>53092</v>
      </c>
      <c r="M2351">
        <v>8</v>
      </c>
      <c r="N2351">
        <v>287</v>
      </c>
      <c r="O2351" s="15">
        <v>5940</v>
      </c>
      <c r="P2351">
        <f t="shared" si="117"/>
        <v>2025</v>
      </c>
      <c r="Q2351">
        <f t="shared" si="118"/>
        <v>5</v>
      </c>
      <c r="R2351" t="str">
        <f t="shared" si="116"/>
        <v>直通车</v>
      </c>
      <c r="S2351" t="s">
        <v>629</v>
      </c>
      <c r="T2351" s="546" t="s">
        <v>804</v>
      </c>
    </row>
    <row r="2352" spans="1:20" x14ac:dyDescent="0.3">
      <c r="A2352" t="s">
        <v>627</v>
      </c>
      <c r="B2352" s="16">
        <v>45800</v>
      </c>
      <c r="C2352" t="s">
        <v>2</v>
      </c>
      <c r="D2352" t="s">
        <v>57</v>
      </c>
      <c r="E2352" t="s">
        <v>63</v>
      </c>
      <c r="F2352" s="15">
        <v>4765</v>
      </c>
      <c r="G2352" s="15">
        <v>2553</v>
      </c>
      <c r="H2352">
        <v>222</v>
      </c>
      <c r="I2352">
        <v>247</v>
      </c>
      <c r="J2352" s="15">
        <v>106728</v>
      </c>
      <c r="K2352">
        <v>31</v>
      </c>
      <c r="L2352" s="15">
        <v>80568</v>
      </c>
      <c r="M2352">
        <v>26</v>
      </c>
      <c r="N2352">
        <v>826</v>
      </c>
      <c r="O2352" s="15">
        <v>4567</v>
      </c>
      <c r="P2352">
        <f t="shared" si="117"/>
        <v>2025</v>
      </c>
      <c r="Q2352">
        <f t="shared" si="118"/>
        <v>5</v>
      </c>
      <c r="R2352" t="str">
        <f t="shared" si="116"/>
        <v>万相台</v>
      </c>
      <c r="S2352" t="s">
        <v>629</v>
      </c>
      <c r="T2352" s="546" t="s">
        <v>804</v>
      </c>
    </row>
    <row r="2353" spans="1:20" x14ac:dyDescent="0.3">
      <c r="A2353" t="s">
        <v>627</v>
      </c>
      <c r="B2353" s="16">
        <v>45800</v>
      </c>
      <c r="C2353" t="s">
        <v>2</v>
      </c>
      <c r="D2353" t="s">
        <v>4</v>
      </c>
      <c r="E2353" t="s">
        <v>43</v>
      </c>
      <c r="F2353">
        <v>467</v>
      </c>
      <c r="G2353">
        <v>201</v>
      </c>
      <c r="H2353">
        <v>93</v>
      </c>
      <c r="I2353">
        <v>8</v>
      </c>
      <c r="J2353" s="15">
        <v>92155</v>
      </c>
      <c r="K2353">
        <v>25</v>
      </c>
      <c r="L2353" s="15">
        <v>61410</v>
      </c>
      <c r="M2353">
        <v>21</v>
      </c>
      <c r="N2353">
        <v>12</v>
      </c>
      <c r="O2353">
        <v>457</v>
      </c>
      <c r="P2353">
        <f t="shared" si="117"/>
        <v>2025</v>
      </c>
      <c r="Q2353">
        <f t="shared" si="118"/>
        <v>5</v>
      </c>
      <c r="R2353" t="str">
        <f t="shared" si="116"/>
        <v>淘宝客</v>
      </c>
      <c r="S2353" t="s">
        <v>629</v>
      </c>
      <c r="T2353" s="546" t="s">
        <v>804</v>
      </c>
    </row>
    <row r="2354" spans="1:20" x14ac:dyDescent="0.3">
      <c r="A2354" t="s">
        <v>627</v>
      </c>
      <c r="B2354" s="16">
        <v>45801</v>
      </c>
      <c r="C2354" t="s">
        <v>3</v>
      </c>
      <c r="D2354" t="s">
        <v>114</v>
      </c>
      <c r="E2354" t="s">
        <v>159</v>
      </c>
      <c r="F2354">
        <v>164</v>
      </c>
      <c r="G2354">
        <v>71</v>
      </c>
      <c r="H2354">
        <v>8</v>
      </c>
      <c r="I2354">
        <v>9</v>
      </c>
      <c r="J2354" s="15">
        <v>1598</v>
      </c>
      <c r="K2354">
        <v>1</v>
      </c>
      <c r="L2354" s="15">
        <v>1598</v>
      </c>
      <c r="M2354">
        <v>1</v>
      </c>
      <c r="N2354">
        <v>18</v>
      </c>
      <c r="O2354">
        <v>163</v>
      </c>
      <c r="P2354">
        <f t="shared" si="117"/>
        <v>2025</v>
      </c>
      <c r="Q2354">
        <f t="shared" si="118"/>
        <v>5</v>
      </c>
      <c r="R2354" t="str">
        <f t="shared" si="116"/>
        <v>主会场</v>
      </c>
      <c r="S2354" t="s">
        <v>629</v>
      </c>
      <c r="T2354" s="546" t="s">
        <v>804</v>
      </c>
    </row>
    <row r="2355" spans="1:20" x14ac:dyDescent="0.3">
      <c r="A2355" t="s">
        <v>627</v>
      </c>
      <c r="B2355" s="16">
        <v>45801</v>
      </c>
      <c r="C2355" t="s">
        <v>3</v>
      </c>
      <c r="D2355" t="s">
        <v>117</v>
      </c>
      <c r="E2355" t="s">
        <v>161</v>
      </c>
      <c r="F2355">
        <v>1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1</v>
      </c>
      <c r="P2355">
        <f t="shared" si="117"/>
        <v>2025</v>
      </c>
      <c r="Q2355">
        <f t="shared" si="118"/>
        <v>5</v>
      </c>
      <c r="R2355" t="str">
        <f t="shared" si="116"/>
        <v>其他入口榜单</v>
      </c>
      <c r="S2355" t="s">
        <v>629</v>
      </c>
      <c r="T2355" s="546" t="s">
        <v>804</v>
      </c>
    </row>
    <row r="2356" spans="1:20" x14ac:dyDescent="0.3">
      <c r="A2356" t="s">
        <v>627</v>
      </c>
      <c r="B2356" s="16">
        <v>45801</v>
      </c>
      <c r="C2356" t="s">
        <v>3</v>
      </c>
      <c r="D2356" t="s">
        <v>123</v>
      </c>
      <c r="E2356" t="s">
        <v>169</v>
      </c>
      <c r="F2356">
        <v>254</v>
      </c>
      <c r="G2356">
        <v>122</v>
      </c>
      <c r="H2356">
        <v>13</v>
      </c>
      <c r="I2356">
        <v>6</v>
      </c>
      <c r="J2356" s="15">
        <v>7673</v>
      </c>
      <c r="K2356">
        <v>3</v>
      </c>
      <c r="L2356" s="15">
        <v>7673</v>
      </c>
      <c r="M2356">
        <v>3</v>
      </c>
      <c r="N2356">
        <v>52</v>
      </c>
      <c r="O2356">
        <v>248</v>
      </c>
      <c r="P2356">
        <f t="shared" si="117"/>
        <v>2025</v>
      </c>
      <c r="Q2356">
        <f t="shared" si="118"/>
        <v>5</v>
      </c>
      <c r="R2356" t="str">
        <f t="shared" si="116"/>
        <v>商品详情页头图推荐</v>
      </c>
      <c r="S2356" t="s">
        <v>629</v>
      </c>
      <c r="T2356" s="546" t="s">
        <v>804</v>
      </c>
    </row>
    <row r="2357" spans="1:20" x14ac:dyDescent="0.3">
      <c r="A2357" t="s">
        <v>627</v>
      </c>
      <c r="B2357" s="16">
        <v>45801</v>
      </c>
      <c r="C2357" t="s">
        <v>3</v>
      </c>
      <c r="D2357" t="s">
        <v>123</v>
      </c>
      <c r="E2357" t="s">
        <v>170</v>
      </c>
      <c r="F2357">
        <v>24</v>
      </c>
      <c r="G2357">
        <v>16</v>
      </c>
      <c r="H2357">
        <v>2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23</v>
      </c>
      <c r="O2357">
        <v>6</v>
      </c>
      <c r="P2357">
        <f t="shared" si="117"/>
        <v>2025</v>
      </c>
      <c r="Q2357">
        <f t="shared" si="118"/>
        <v>5</v>
      </c>
      <c r="R2357" t="str">
        <f t="shared" si="116"/>
        <v>店铺超链</v>
      </c>
      <c r="S2357" t="s">
        <v>629</v>
      </c>
      <c r="T2357" s="546" t="s">
        <v>804</v>
      </c>
    </row>
    <row r="2358" spans="1:20" x14ac:dyDescent="0.3">
      <c r="A2358" t="s">
        <v>627</v>
      </c>
      <c r="B2358" s="16">
        <v>45801</v>
      </c>
      <c r="C2358" t="s">
        <v>3</v>
      </c>
      <c r="D2358" t="s">
        <v>127</v>
      </c>
      <c r="E2358" t="s">
        <v>171</v>
      </c>
      <c r="F2358">
        <v>286</v>
      </c>
      <c r="G2358">
        <v>161</v>
      </c>
      <c r="H2358">
        <v>9</v>
      </c>
      <c r="I2358">
        <v>5</v>
      </c>
      <c r="J2358" s="15">
        <v>4740</v>
      </c>
      <c r="K2358">
        <v>2</v>
      </c>
      <c r="L2358" s="15">
        <v>1490</v>
      </c>
      <c r="M2358">
        <v>1</v>
      </c>
      <c r="N2358">
        <v>33</v>
      </c>
      <c r="O2358">
        <v>259</v>
      </c>
      <c r="P2358">
        <f t="shared" si="117"/>
        <v>2025</v>
      </c>
      <c r="Q2358">
        <f t="shared" si="118"/>
        <v>5</v>
      </c>
      <c r="R2358" t="str">
        <f t="shared" si="116"/>
        <v>其他猜你喜欢</v>
      </c>
      <c r="S2358" t="s">
        <v>629</v>
      </c>
      <c r="T2358" s="546" t="s">
        <v>804</v>
      </c>
    </row>
    <row r="2359" spans="1:20" x14ac:dyDescent="0.3">
      <c r="A2359" t="s">
        <v>627</v>
      </c>
      <c r="B2359" s="16">
        <v>45801</v>
      </c>
      <c r="C2359" t="s">
        <v>3</v>
      </c>
      <c r="D2359" t="s">
        <v>127</v>
      </c>
      <c r="E2359" t="s">
        <v>172</v>
      </c>
      <c r="F2359">
        <v>24</v>
      </c>
      <c r="G2359">
        <v>16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1</v>
      </c>
      <c r="O2359">
        <v>21</v>
      </c>
      <c r="P2359">
        <f t="shared" si="117"/>
        <v>2025</v>
      </c>
      <c r="Q2359">
        <f t="shared" si="118"/>
        <v>5</v>
      </c>
      <c r="R2359" t="str">
        <f t="shared" si="116"/>
        <v>购中推荐</v>
      </c>
      <c r="S2359" t="s">
        <v>629</v>
      </c>
      <c r="T2359" s="546" t="s">
        <v>804</v>
      </c>
    </row>
    <row r="2360" spans="1:20" x14ac:dyDescent="0.3">
      <c r="A2360" t="s">
        <v>627</v>
      </c>
      <c r="B2360" s="16">
        <v>45801</v>
      </c>
      <c r="C2360" t="s">
        <v>3</v>
      </c>
      <c r="D2360" t="s">
        <v>127</v>
      </c>
      <c r="E2360" t="s">
        <v>173</v>
      </c>
      <c r="F2360">
        <v>118</v>
      </c>
      <c r="G2360">
        <v>92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8</v>
      </c>
      <c r="O2360">
        <v>100</v>
      </c>
      <c r="P2360">
        <f t="shared" si="117"/>
        <v>2025</v>
      </c>
      <c r="Q2360">
        <f t="shared" si="118"/>
        <v>5</v>
      </c>
      <c r="R2360" t="str">
        <f t="shared" si="116"/>
        <v>购后推荐</v>
      </c>
      <c r="S2360" t="s">
        <v>629</v>
      </c>
      <c r="T2360" s="546" t="s">
        <v>804</v>
      </c>
    </row>
    <row r="2361" spans="1:20" x14ac:dyDescent="0.3">
      <c r="A2361" t="s">
        <v>627</v>
      </c>
      <c r="B2361" s="16">
        <v>45801</v>
      </c>
      <c r="C2361" t="s">
        <v>3</v>
      </c>
      <c r="D2361" t="s">
        <v>127</v>
      </c>
      <c r="E2361" t="s">
        <v>174</v>
      </c>
      <c r="F2361" s="15">
        <v>3806</v>
      </c>
      <c r="G2361" s="15">
        <v>2563</v>
      </c>
      <c r="H2361">
        <v>67</v>
      </c>
      <c r="I2361">
        <v>34</v>
      </c>
      <c r="J2361" s="15">
        <v>18943</v>
      </c>
      <c r="K2361">
        <v>7</v>
      </c>
      <c r="L2361" s="15">
        <v>18943</v>
      </c>
      <c r="M2361">
        <v>7</v>
      </c>
      <c r="N2361">
        <v>244</v>
      </c>
      <c r="O2361" s="15">
        <v>3806</v>
      </c>
      <c r="P2361">
        <f t="shared" si="117"/>
        <v>2025</v>
      </c>
      <c r="Q2361">
        <f t="shared" si="118"/>
        <v>5</v>
      </c>
      <c r="R2361" t="str">
        <f t="shared" si="116"/>
        <v>首页推荐-微详情</v>
      </c>
      <c r="S2361" t="s">
        <v>629</v>
      </c>
      <c r="T2361" s="546" t="s">
        <v>804</v>
      </c>
    </row>
    <row r="2362" spans="1:20" x14ac:dyDescent="0.3">
      <c r="A2362" t="s">
        <v>627</v>
      </c>
      <c r="B2362" s="16">
        <v>45801</v>
      </c>
      <c r="C2362" t="s">
        <v>3</v>
      </c>
      <c r="D2362" t="s">
        <v>127</v>
      </c>
      <c r="E2362" t="s">
        <v>175</v>
      </c>
      <c r="F2362">
        <v>930</v>
      </c>
      <c r="G2362">
        <v>823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31</v>
      </c>
      <c r="P2362">
        <f t="shared" si="117"/>
        <v>2025</v>
      </c>
      <c r="Q2362">
        <f t="shared" si="118"/>
        <v>5</v>
      </c>
      <c r="R2362" t="str">
        <f t="shared" si="116"/>
        <v>首页推荐-直播</v>
      </c>
      <c r="S2362" t="s">
        <v>629</v>
      </c>
      <c r="T2362" s="546" t="s">
        <v>804</v>
      </c>
    </row>
    <row r="2363" spans="1:20" x14ac:dyDescent="0.3">
      <c r="A2363" t="s">
        <v>627</v>
      </c>
      <c r="B2363" s="16">
        <v>45801</v>
      </c>
      <c r="C2363" t="s">
        <v>3</v>
      </c>
      <c r="D2363" t="s">
        <v>127</v>
      </c>
      <c r="E2363" t="s">
        <v>176</v>
      </c>
      <c r="F2363">
        <v>286</v>
      </c>
      <c r="G2363">
        <v>186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1</v>
      </c>
      <c r="O2363">
        <v>13</v>
      </c>
      <c r="P2363">
        <f t="shared" si="117"/>
        <v>2025</v>
      </c>
      <c r="Q2363">
        <f t="shared" si="118"/>
        <v>5</v>
      </c>
      <c r="R2363" t="str">
        <f t="shared" si="116"/>
        <v>首页推荐-短视频</v>
      </c>
      <c r="S2363" t="s">
        <v>629</v>
      </c>
      <c r="T2363" s="546" t="s">
        <v>804</v>
      </c>
    </row>
    <row r="2364" spans="1:20" x14ac:dyDescent="0.3">
      <c r="A2364" t="s">
        <v>627</v>
      </c>
      <c r="B2364" s="16">
        <v>45801</v>
      </c>
      <c r="C2364" t="s">
        <v>3</v>
      </c>
      <c r="D2364" t="s">
        <v>128</v>
      </c>
      <c r="E2364" t="s">
        <v>177</v>
      </c>
      <c r="F2364">
        <v>810</v>
      </c>
      <c r="G2364">
        <v>594</v>
      </c>
      <c r="H2364">
        <v>47</v>
      </c>
      <c r="I2364">
        <v>8</v>
      </c>
      <c r="J2364" s="15">
        <v>53680</v>
      </c>
      <c r="K2364">
        <v>13</v>
      </c>
      <c r="L2364" s="15">
        <v>34230</v>
      </c>
      <c r="M2364">
        <v>11</v>
      </c>
      <c r="N2364">
        <v>329</v>
      </c>
      <c r="O2364">
        <v>611</v>
      </c>
      <c r="P2364">
        <f t="shared" si="117"/>
        <v>2025</v>
      </c>
      <c r="Q2364">
        <f t="shared" si="118"/>
        <v>5</v>
      </c>
      <c r="R2364" t="str">
        <f t="shared" si="116"/>
        <v>手淘搜索-商品及其他</v>
      </c>
      <c r="S2364" t="s">
        <v>629</v>
      </c>
      <c r="T2364" s="546" t="s">
        <v>804</v>
      </c>
    </row>
    <row r="2365" spans="1:20" x14ac:dyDescent="0.3">
      <c r="A2365" t="s">
        <v>627</v>
      </c>
      <c r="B2365" s="16">
        <v>45801</v>
      </c>
      <c r="C2365" t="s">
        <v>3</v>
      </c>
      <c r="D2365" t="s">
        <v>128</v>
      </c>
      <c r="E2365" t="s">
        <v>178</v>
      </c>
      <c r="F2365">
        <v>8</v>
      </c>
      <c r="G2365">
        <v>3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5</v>
      </c>
      <c r="P2365">
        <f t="shared" si="117"/>
        <v>2025</v>
      </c>
      <c r="Q2365">
        <f t="shared" si="118"/>
        <v>5</v>
      </c>
      <c r="R2365" t="str">
        <f t="shared" si="116"/>
        <v>手淘搜索-直播</v>
      </c>
      <c r="S2365" t="s">
        <v>629</v>
      </c>
      <c r="T2365" s="546" t="s">
        <v>804</v>
      </c>
    </row>
    <row r="2366" spans="1:20" x14ac:dyDescent="0.3">
      <c r="A2366" t="s">
        <v>627</v>
      </c>
      <c r="B2366" s="16">
        <v>45801</v>
      </c>
      <c r="C2366" t="s">
        <v>3</v>
      </c>
      <c r="D2366" t="s">
        <v>128</v>
      </c>
      <c r="E2366" t="s">
        <v>179</v>
      </c>
      <c r="F2366">
        <v>16</v>
      </c>
      <c r="G2366">
        <v>6</v>
      </c>
      <c r="H2366">
        <v>0</v>
      </c>
      <c r="I2366">
        <v>0</v>
      </c>
      <c r="J2366" s="15">
        <v>2250</v>
      </c>
      <c r="K2366">
        <v>1</v>
      </c>
      <c r="L2366" s="15">
        <v>2250</v>
      </c>
      <c r="M2366">
        <v>1</v>
      </c>
      <c r="N2366">
        <v>2</v>
      </c>
      <c r="O2366">
        <v>15</v>
      </c>
      <c r="P2366">
        <f t="shared" si="117"/>
        <v>2025</v>
      </c>
      <c r="Q2366">
        <f t="shared" si="118"/>
        <v>5</v>
      </c>
      <c r="R2366" t="str">
        <f t="shared" si="116"/>
        <v>手淘搜索-短视频</v>
      </c>
      <c r="S2366" t="s">
        <v>629</v>
      </c>
      <c r="T2366" s="546" t="s">
        <v>804</v>
      </c>
    </row>
    <row r="2367" spans="1:20" x14ac:dyDescent="0.3">
      <c r="A2367" t="s">
        <v>627</v>
      </c>
      <c r="B2367" s="16">
        <v>45801</v>
      </c>
      <c r="C2367" t="s">
        <v>3</v>
      </c>
      <c r="D2367" t="s">
        <v>143</v>
      </c>
      <c r="E2367" t="s">
        <v>180</v>
      </c>
      <c r="F2367">
        <v>8</v>
      </c>
      <c r="G2367">
        <v>8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8</v>
      </c>
      <c r="P2367">
        <f t="shared" si="117"/>
        <v>2025</v>
      </c>
      <c r="Q2367">
        <f t="shared" si="118"/>
        <v>5</v>
      </c>
      <c r="R2367" t="str">
        <f t="shared" si="116"/>
        <v>淘特其他渠道</v>
      </c>
      <c r="S2367" t="s">
        <v>629</v>
      </c>
      <c r="T2367" s="546" t="s">
        <v>804</v>
      </c>
    </row>
    <row r="2368" spans="1:20" x14ac:dyDescent="0.3">
      <c r="A2368" t="s">
        <v>627</v>
      </c>
      <c r="B2368" s="16">
        <v>45801</v>
      </c>
      <c r="C2368" t="s">
        <v>3</v>
      </c>
      <c r="D2368" t="s">
        <v>143</v>
      </c>
      <c r="E2368" t="s">
        <v>181</v>
      </c>
      <c r="F2368">
        <v>38</v>
      </c>
      <c r="G2368">
        <v>37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38</v>
      </c>
      <c r="P2368">
        <f t="shared" si="117"/>
        <v>2025</v>
      </c>
      <c r="Q2368">
        <f t="shared" si="118"/>
        <v>5</v>
      </c>
      <c r="R2368" t="str">
        <f t="shared" si="116"/>
        <v>淘特搜索</v>
      </c>
      <c r="S2368" t="s">
        <v>629</v>
      </c>
      <c r="T2368" s="546" t="s">
        <v>804</v>
      </c>
    </row>
    <row r="2369" spans="1:20" x14ac:dyDescent="0.3">
      <c r="A2369" t="s">
        <v>627</v>
      </c>
      <c r="B2369" s="16">
        <v>45801</v>
      </c>
      <c r="C2369" t="s">
        <v>2</v>
      </c>
      <c r="D2369" t="s">
        <v>55</v>
      </c>
      <c r="E2369" t="s">
        <v>54</v>
      </c>
      <c r="F2369">
        <v>938</v>
      </c>
      <c r="G2369">
        <v>757</v>
      </c>
      <c r="H2369">
        <v>21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15</v>
      </c>
      <c r="O2369">
        <v>178</v>
      </c>
      <c r="P2369">
        <f t="shared" si="117"/>
        <v>2025</v>
      </c>
      <c r="Q2369">
        <f t="shared" si="118"/>
        <v>5</v>
      </c>
      <c r="R2369" t="str">
        <f t="shared" si="116"/>
        <v>超级直播</v>
      </c>
      <c r="S2369" t="s">
        <v>629</v>
      </c>
      <c r="T2369" s="546" t="s">
        <v>804</v>
      </c>
    </row>
    <row r="2370" spans="1:20" x14ac:dyDescent="0.3">
      <c r="A2370" t="s">
        <v>627</v>
      </c>
      <c r="B2370" s="16">
        <v>45801</v>
      </c>
      <c r="C2370" t="s">
        <v>2</v>
      </c>
      <c r="D2370" t="s">
        <v>55</v>
      </c>
      <c r="E2370" t="s">
        <v>56</v>
      </c>
      <c r="F2370">
        <v>2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2</v>
      </c>
      <c r="P2370">
        <f t="shared" si="117"/>
        <v>2025</v>
      </c>
      <c r="Q2370">
        <f t="shared" si="118"/>
        <v>5</v>
      </c>
      <c r="R2370" t="str">
        <f t="shared" si="116"/>
        <v>超级短视频</v>
      </c>
      <c r="S2370" t="s">
        <v>629</v>
      </c>
      <c r="T2370" s="546" t="s">
        <v>804</v>
      </c>
    </row>
    <row r="2371" spans="1:20" x14ac:dyDescent="0.3">
      <c r="A2371" t="s">
        <v>627</v>
      </c>
      <c r="B2371" s="16">
        <v>45801</v>
      </c>
      <c r="C2371" t="s">
        <v>2</v>
      </c>
      <c r="D2371" t="s">
        <v>52</v>
      </c>
      <c r="E2371" t="s">
        <v>51</v>
      </c>
      <c r="F2371">
        <v>1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1</v>
      </c>
      <c r="P2371">
        <f t="shared" si="117"/>
        <v>2025</v>
      </c>
      <c r="Q2371">
        <f t="shared" si="118"/>
        <v>5</v>
      </c>
      <c r="R2371" t="str">
        <f t="shared" si="116"/>
        <v>品牌定制</v>
      </c>
      <c r="S2371" t="s">
        <v>629</v>
      </c>
      <c r="T2371" s="546" t="s">
        <v>804</v>
      </c>
    </row>
    <row r="2372" spans="1:20" x14ac:dyDescent="0.3">
      <c r="A2372" t="s">
        <v>627</v>
      </c>
      <c r="B2372" s="16">
        <v>45801</v>
      </c>
      <c r="C2372" t="s">
        <v>2</v>
      </c>
      <c r="D2372" t="s">
        <v>57</v>
      </c>
      <c r="E2372" t="s">
        <v>64</v>
      </c>
      <c r="F2372" s="15">
        <v>9860</v>
      </c>
      <c r="G2372" s="15">
        <v>6046</v>
      </c>
      <c r="H2372">
        <v>43</v>
      </c>
      <c r="I2372">
        <v>26</v>
      </c>
      <c r="J2372" s="15">
        <v>24108</v>
      </c>
      <c r="K2372">
        <v>6</v>
      </c>
      <c r="L2372" s="15">
        <v>11768</v>
      </c>
      <c r="M2372">
        <v>5</v>
      </c>
      <c r="N2372">
        <v>203</v>
      </c>
      <c r="O2372" s="15">
        <v>9859</v>
      </c>
      <c r="P2372">
        <f t="shared" si="117"/>
        <v>2025</v>
      </c>
      <c r="Q2372">
        <f t="shared" si="118"/>
        <v>5</v>
      </c>
      <c r="R2372" t="str">
        <f t="shared" si="116"/>
        <v>引力魔方</v>
      </c>
      <c r="S2372" t="s">
        <v>629</v>
      </c>
      <c r="T2372" s="546" t="s">
        <v>804</v>
      </c>
    </row>
    <row r="2373" spans="1:20" x14ac:dyDescent="0.3">
      <c r="A2373" t="s">
        <v>627</v>
      </c>
      <c r="B2373" s="16">
        <v>45801</v>
      </c>
      <c r="C2373" t="s">
        <v>2</v>
      </c>
      <c r="D2373" t="s">
        <v>57</v>
      </c>
      <c r="E2373" t="s">
        <v>65</v>
      </c>
      <c r="F2373" s="15">
        <v>7014</v>
      </c>
      <c r="G2373" s="15">
        <v>6203</v>
      </c>
      <c r="H2373">
        <v>64</v>
      </c>
      <c r="I2373">
        <v>37</v>
      </c>
      <c r="J2373" s="15">
        <v>125955</v>
      </c>
      <c r="K2373">
        <v>23</v>
      </c>
      <c r="L2373" s="15">
        <v>55040</v>
      </c>
      <c r="M2373">
        <v>12</v>
      </c>
      <c r="N2373">
        <v>308</v>
      </c>
      <c r="O2373" s="15">
        <v>6962</v>
      </c>
      <c r="P2373">
        <f t="shared" si="117"/>
        <v>2025</v>
      </c>
      <c r="Q2373">
        <f t="shared" si="118"/>
        <v>5</v>
      </c>
      <c r="R2373" t="str">
        <f t="shared" si="116"/>
        <v>直通车</v>
      </c>
      <c r="S2373" t="s">
        <v>629</v>
      </c>
      <c r="T2373" s="546" t="s">
        <v>804</v>
      </c>
    </row>
    <row r="2374" spans="1:20" x14ac:dyDescent="0.3">
      <c r="A2374" t="s">
        <v>627</v>
      </c>
      <c r="B2374" s="16">
        <v>45801</v>
      </c>
      <c r="C2374" t="s">
        <v>2</v>
      </c>
      <c r="D2374" t="s">
        <v>57</v>
      </c>
      <c r="E2374" t="s">
        <v>63</v>
      </c>
      <c r="F2374" s="15">
        <v>5318</v>
      </c>
      <c r="G2374" s="15">
        <v>2851</v>
      </c>
      <c r="H2374">
        <v>217</v>
      </c>
      <c r="I2374">
        <v>258</v>
      </c>
      <c r="J2374" s="15">
        <v>86079</v>
      </c>
      <c r="K2374">
        <v>31</v>
      </c>
      <c r="L2374" s="15">
        <v>69474</v>
      </c>
      <c r="M2374">
        <v>25</v>
      </c>
      <c r="N2374">
        <v>747</v>
      </c>
      <c r="O2374" s="15">
        <v>5122</v>
      </c>
      <c r="P2374">
        <f t="shared" si="117"/>
        <v>2025</v>
      </c>
      <c r="Q2374">
        <f t="shared" si="118"/>
        <v>5</v>
      </c>
      <c r="R2374" t="str">
        <f t="shared" si="116"/>
        <v>万相台</v>
      </c>
      <c r="S2374" t="s">
        <v>629</v>
      </c>
      <c r="T2374" s="546" t="s">
        <v>804</v>
      </c>
    </row>
    <row r="2375" spans="1:20" x14ac:dyDescent="0.3">
      <c r="A2375" t="s">
        <v>627</v>
      </c>
      <c r="B2375" s="16">
        <v>45801</v>
      </c>
      <c r="C2375" t="s">
        <v>2</v>
      </c>
      <c r="D2375" t="s">
        <v>4</v>
      </c>
      <c r="E2375" t="s">
        <v>41</v>
      </c>
      <c r="F2375">
        <v>2</v>
      </c>
      <c r="G2375">
        <v>2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2</v>
      </c>
      <c r="P2375">
        <f t="shared" si="117"/>
        <v>2025</v>
      </c>
      <c r="Q2375">
        <f t="shared" si="118"/>
        <v>5</v>
      </c>
      <c r="R2375" t="str">
        <f t="shared" ref="R2375:R2438" si="119">E2375</f>
        <v>流量宝</v>
      </c>
      <c r="S2375" t="s">
        <v>629</v>
      </c>
      <c r="T2375" s="546" t="s">
        <v>804</v>
      </c>
    </row>
    <row r="2376" spans="1:20" x14ac:dyDescent="0.3">
      <c r="A2376" t="s">
        <v>627</v>
      </c>
      <c r="B2376" s="16">
        <v>45801</v>
      </c>
      <c r="C2376" t="s">
        <v>2</v>
      </c>
      <c r="D2376" t="s">
        <v>4</v>
      </c>
      <c r="E2376" t="s">
        <v>43</v>
      </c>
      <c r="F2376">
        <v>471</v>
      </c>
      <c r="G2376">
        <v>212</v>
      </c>
      <c r="H2376">
        <v>45</v>
      </c>
      <c r="I2376">
        <v>4</v>
      </c>
      <c r="J2376" s="15">
        <v>47875</v>
      </c>
      <c r="K2376">
        <v>13</v>
      </c>
      <c r="L2376" s="15">
        <v>20040</v>
      </c>
      <c r="M2376">
        <v>8</v>
      </c>
      <c r="N2376">
        <v>6</v>
      </c>
      <c r="O2376">
        <v>464</v>
      </c>
      <c r="P2376">
        <f t="shared" si="117"/>
        <v>2025</v>
      </c>
      <c r="Q2376">
        <f t="shared" si="118"/>
        <v>5</v>
      </c>
      <c r="R2376" t="str">
        <f t="shared" si="119"/>
        <v>淘宝客</v>
      </c>
      <c r="S2376" t="s">
        <v>629</v>
      </c>
      <c r="T2376" s="546" t="s">
        <v>804</v>
      </c>
    </row>
    <row r="2377" spans="1:20" x14ac:dyDescent="0.3">
      <c r="A2377" t="s">
        <v>627</v>
      </c>
      <c r="B2377" s="16">
        <v>45802</v>
      </c>
      <c r="C2377" t="s">
        <v>3</v>
      </c>
      <c r="D2377" t="s">
        <v>114</v>
      </c>
      <c r="E2377" t="s">
        <v>159</v>
      </c>
      <c r="F2377">
        <v>150</v>
      </c>
      <c r="G2377">
        <v>52</v>
      </c>
      <c r="H2377">
        <v>3</v>
      </c>
      <c r="I2377">
        <v>3</v>
      </c>
      <c r="J2377" s="15">
        <v>2490</v>
      </c>
      <c r="K2377">
        <v>1</v>
      </c>
      <c r="L2377" s="15">
        <v>2490</v>
      </c>
      <c r="M2377">
        <v>1</v>
      </c>
      <c r="N2377">
        <v>15</v>
      </c>
      <c r="O2377">
        <v>149</v>
      </c>
      <c r="P2377">
        <f t="shared" si="117"/>
        <v>2025</v>
      </c>
      <c r="Q2377">
        <f t="shared" si="118"/>
        <v>5</v>
      </c>
      <c r="R2377" t="str">
        <f t="shared" si="119"/>
        <v>主会场</v>
      </c>
      <c r="S2377" t="s">
        <v>629</v>
      </c>
      <c r="T2377" s="546" t="s">
        <v>804</v>
      </c>
    </row>
    <row r="2378" spans="1:20" x14ac:dyDescent="0.3">
      <c r="A2378" t="s">
        <v>627</v>
      </c>
      <c r="B2378" s="16">
        <v>45802</v>
      </c>
      <c r="C2378" t="s">
        <v>3</v>
      </c>
      <c r="D2378" t="s">
        <v>117</v>
      </c>
      <c r="E2378" t="s">
        <v>161</v>
      </c>
      <c r="F2378">
        <v>1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</v>
      </c>
      <c r="O2378">
        <v>1</v>
      </c>
      <c r="P2378">
        <f t="shared" si="117"/>
        <v>2025</v>
      </c>
      <c r="Q2378">
        <f t="shared" si="118"/>
        <v>5</v>
      </c>
      <c r="R2378" t="str">
        <f t="shared" si="119"/>
        <v>其他入口榜单</v>
      </c>
      <c r="S2378" t="s">
        <v>629</v>
      </c>
      <c r="T2378" s="546" t="s">
        <v>804</v>
      </c>
    </row>
    <row r="2379" spans="1:20" x14ac:dyDescent="0.3">
      <c r="A2379" t="s">
        <v>627</v>
      </c>
      <c r="B2379" s="16">
        <v>45802</v>
      </c>
      <c r="C2379" t="s">
        <v>3</v>
      </c>
      <c r="D2379" t="s">
        <v>123</v>
      </c>
      <c r="E2379" t="s">
        <v>169</v>
      </c>
      <c r="F2379">
        <v>247</v>
      </c>
      <c r="G2379">
        <v>120</v>
      </c>
      <c r="H2379">
        <v>15</v>
      </c>
      <c r="I2379">
        <v>5</v>
      </c>
      <c r="J2379" s="15">
        <v>17160</v>
      </c>
      <c r="K2379">
        <v>4</v>
      </c>
      <c r="L2379" s="15">
        <v>15670</v>
      </c>
      <c r="M2379">
        <v>3</v>
      </c>
      <c r="N2379">
        <v>46</v>
      </c>
      <c r="O2379">
        <v>242</v>
      </c>
      <c r="P2379">
        <f t="shared" si="117"/>
        <v>2025</v>
      </c>
      <c r="Q2379">
        <f t="shared" si="118"/>
        <v>5</v>
      </c>
      <c r="R2379" t="str">
        <f t="shared" si="119"/>
        <v>商品详情页头图推荐</v>
      </c>
      <c r="S2379" t="s">
        <v>629</v>
      </c>
      <c r="T2379" s="546" t="s">
        <v>804</v>
      </c>
    </row>
    <row r="2380" spans="1:20" x14ac:dyDescent="0.3">
      <c r="A2380" t="s">
        <v>627</v>
      </c>
      <c r="B2380" s="16">
        <v>45802</v>
      </c>
      <c r="C2380" t="s">
        <v>3</v>
      </c>
      <c r="D2380" t="s">
        <v>123</v>
      </c>
      <c r="E2380" t="s">
        <v>170</v>
      </c>
      <c r="F2380">
        <v>22</v>
      </c>
      <c r="G2380">
        <v>15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19</v>
      </c>
      <c r="O2380">
        <v>13</v>
      </c>
      <c r="P2380">
        <f t="shared" si="117"/>
        <v>2025</v>
      </c>
      <c r="Q2380">
        <f t="shared" si="118"/>
        <v>5</v>
      </c>
      <c r="R2380" t="str">
        <f t="shared" si="119"/>
        <v>店铺超链</v>
      </c>
      <c r="S2380" t="s">
        <v>629</v>
      </c>
      <c r="T2380" s="546" t="s">
        <v>804</v>
      </c>
    </row>
    <row r="2381" spans="1:20" x14ac:dyDescent="0.3">
      <c r="A2381" t="s">
        <v>627</v>
      </c>
      <c r="B2381" s="16">
        <v>45802</v>
      </c>
      <c r="C2381" t="s">
        <v>3</v>
      </c>
      <c r="D2381" t="s">
        <v>127</v>
      </c>
      <c r="E2381" t="s">
        <v>171</v>
      </c>
      <c r="F2381">
        <v>282</v>
      </c>
      <c r="G2381">
        <v>161</v>
      </c>
      <c r="H2381">
        <v>10</v>
      </c>
      <c r="I2381">
        <v>3</v>
      </c>
      <c r="J2381" s="15">
        <v>6577</v>
      </c>
      <c r="K2381">
        <v>3</v>
      </c>
      <c r="L2381" s="15">
        <v>6577</v>
      </c>
      <c r="M2381">
        <v>3</v>
      </c>
      <c r="N2381">
        <v>29</v>
      </c>
      <c r="O2381">
        <v>269</v>
      </c>
      <c r="P2381">
        <f t="shared" si="117"/>
        <v>2025</v>
      </c>
      <c r="Q2381">
        <f t="shared" si="118"/>
        <v>5</v>
      </c>
      <c r="R2381" t="str">
        <f t="shared" si="119"/>
        <v>其他猜你喜欢</v>
      </c>
      <c r="S2381" t="s">
        <v>629</v>
      </c>
      <c r="T2381" s="546" t="s">
        <v>804</v>
      </c>
    </row>
    <row r="2382" spans="1:20" x14ac:dyDescent="0.3">
      <c r="A2382" t="s">
        <v>627</v>
      </c>
      <c r="B2382" s="16">
        <v>45802</v>
      </c>
      <c r="C2382" t="s">
        <v>3</v>
      </c>
      <c r="D2382" t="s">
        <v>127</v>
      </c>
      <c r="E2382" t="s">
        <v>172</v>
      </c>
      <c r="F2382">
        <v>16</v>
      </c>
      <c r="G2382">
        <v>12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15</v>
      </c>
      <c r="P2382">
        <f t="shared" si="117"/>
        <v>2025</v>
      </c>
      <c r="Q2382">
        <f t="shared" si="118"/>
        <v>5</v>
      </c>
      <c r="R2382" t="str">
        <f t="shared" si="119"/>
        <v>购中推荐</v>
      </c>
      <c r="S2382" t="s">
        <v>629</v>
      </c>
      <c r="T2382" s="546" t="s">
        <v>804</v>
      </c>
    </row>
    <row r="2383" spans="1:20" x14ac:dyDescent="0.3">
      <c r="A2383" t="s">
        <v>627</v>
      </c>
      <c r="B2383" s="16">
        <v>45802</v>
      </c>
      <c r="C2383" t="s">
        <v>3</v>
      </c>
      <c r="D2383" t="s">
        <v>127</v>
      </c>
      <c r="E2383" t="s">
        <v>173</v>
      </c>
      <c r="F2383">
        <v>80</v>
      </c>
      <c r="G2383">
        <v>63</v>
      </c>
      <c r="H2383">
        <v>4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3</v>
      </c>
      <c r="O2383">
        <v>68</v>
      </c>
      <c r="P2383">
        <f t="shared" si="117"/>
        <v>2025</v>
      </c>
      <c r="Q2383">
        <f t="shared" si="118"/>
        <v>5</v>
      </c>
      <c r="R2383" t="str">
        <f t="shared" si="119"/>
        <v>购后推荐</v>
      </c>
      <c r="S2383" t="s">
        <v>629</v>
      </c>
      <c r="T2383" s="546" t="s">
        <v>804</v>
      </c>
    </row>
    <row r="2384" spans="1:20" x14ac:dyDescent="0.3">
      <c r="A2384" t="s">
        <v>627</v>
      </c>
      <c r="B2384" s="16">
        <v>45802</v>
      </c>
      <c r="C2384" t="s">
        <v>3</v>
      </c>
      <c r="D2384" t="s">
        <v>127</v>
      </c>
      <c r="E2384" t="s">
        <v>174</v>
      </c>
      <c r="F2384" s="15">
        <v>4588</v>
      </c>
      <c r="G2384" s="15">
        <v>3472</v>
      </c>
      <c r="H2384">
        <v>68</v>
      </c>
      <c r="I2384">
        <v>32</v>
      </c>
      <c r="J2384" s="15">
        <v>16475</v>
      </c>
      <c r="K2384">
        <v>4</v>
      </c>
      <c r="L2384" s="15">
        <v>3680</v>
      </c>
      <c r="M2384">
        <v>2</v>
      </c>
      <c r="N2384">
        <v>264</v>
      </c>
      <c r="O2384" s="15">
        <v>4588</v>
      </c>
      <c r="P2384">
        <f t="shared" si="117"/>
        <v>2025</v>
      </c>
      <c r="Q2384">
        <f t="shared" si="118"/>
        <v>5</v>
      </c>
      <c r="R2384" t="str">
        <f t="shared" si="119"/>
        <v>首页推荐-微详情</v>
      </c>
      <c r="S2384" t="s">
        <v>629</v>
      </c>
      <c r="T2384" s="546" t="s">
        <v>804</v>
      </c>
    </row>
    <row r="2385" spans="1:20" x14ac:dyDescent="0.3">
      <c r="A2385" t="s">
        <v>627</v>
      </c>
      <c r="B2385" s="16">
        <v>45802</v>
      </c>
      <c r="C2385" t="s">
        <v>3</v>
      </c>
      <c r="D2385" t="s">
        <v>127</v>
      </c>
      <c r="E2385" t="s">
        <v>175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f t="shared" si="117"/>
        <v>2025</v>
      </c>
      <c r="Q2385">
        <f t="shared" si="118"/>
        <v>5</v>
      </c>
      <c r="R2385" t="str">
        <f t="shared" si="119"/>
        <v>首页推荐-直播</v>
      </c>
      <c r="S2385" t="s">
        <v>629</v>
      </c>
      <c r="T2385" s="546" t="s">
        <v>804</v>
      </c>
    </row>
    <row r="2386" spans="1:20" x14ac:dyDescent="0.3">
      <c r="A2386" t="s">
        <v>627</v>
      </c>
      <c r="B2386" s="16">
        <v>45802</v>
      </c>
      <c r="C2386" t="s">
        <v>3</v>
      </c>
      <c r="D2386" t="s">
        <v>127</v>
      </c>
      <c r="E2386" t="s">
        <v>176</v>
      </c>
      <c r="F2386">
        <v>322</v>
      </c>
      <c r="G2386">
        <v>222</v>
      </c>
      <c r="H2386">
        <v>1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5</v>
      </c>
      <c r="O2386">
        <v>24</v>
      </c>
      <c r="P2386">
        <f t="shared" si="117"/>
        <v>2025</v>
      </c>
      <c r="Q2386">
        <f t="shared" si="118"/>
        <v>5</v>
      </c>
      <c r="R2386" t="str">
        <f t="shared" si="119"/>
        <v>首页推荐-短视频</v>
      </c>
      <c r="S2386" t="s">
        <v>629</v>
      </c>
      <c r="T2386" s="546" t="s">
        <v>804</v>
      </c>
    </row>
    <row r="2387" spans="1:20" x14ac:dyDescent="0.3">
      <c r="A2387" t="s">
        <v>627</v>
      </c>
      <c r="B2387" s="16">
        <v>45802</v>
      </c>
      <c r="C2387" t="s">
        <v>3</v>
      </c>
      <c r="D2387" t="s">
        <v>128</v>
      </c>
      <c r="E2387" t="s">
        <v>177</v>
      </c>
      <c r="F2387">
        <v>820</v>
      </c>
      <c r="G2387">
        <v>647</v>
      </c>
      <c r="H2387">
        <v>53</v>
      </c>
      <c r="I2387">
        <v>13</v>
      </c>
      <c r="J2387" s="17">
        <v>27347.200000000001</v>
      </c>
      <c r="K2387">
        <v>7</v>
      </c>
      <c r="L2387" s="17">
        <v>20882.2</v>
      </c>
      <c r="M2387">
        <v>7</v>
      </c>
      <c r="N2387">
        <v>365</v>
      </c>
      <c r="O2387">
        <v>614</v>
      </c>
      <c r="P2387">
        <f t="shared" si="117"/>
        <v>2025</v>
      </c>
      <c r="Q2387">
        <f t="shared" si="118"/>
        <v>5</v>
      </c>
      <c r="R2387" t="str">
        <f t="shared" si="119"/>
        <v>手淘搜索-商品及其他</v>
      </c>
      <c r="S2387" t="s">
        <v>629</v>
      </c>
      <c r="T2387" s="546" t="s">
        <v>804</v>
      </c>
    </row>
    <row r="2388" spans="1:20" x14ac:dyDescent="0.3">
      <c r="A2388" t="s">
        <v>627</v>
      </c>
      <c r="B2388" s="16">
        <v>45802</v>
      </c>
      <c r="C2388" t="s">
        <v>3</v>
      </c>
      <c r="D2388" t="s">
        <v>128</v>
      </c>
      <c r="E2388" t="s">
        <v>179</v>
      </c>
      <c r="F2388">
        <v>15</v>
      </c>
      <c r="G2388">
        <v>6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2</v>
      </c>
      <c r="O2388">
        <v>15</v>
      </c>
      <c r="P2388">
        <f t="shared" si="117"/>
        <v>2025</v>
      </c>
      <c r="Q2388">
        <f t="shared" si="118"/>
        <v>5</v>
      </c>
      <c r="R2388" t="str">
        <f t="shared" si="119"/>
        <v>手淘搜索-短视频</v>
      </c>
      <c r="S2388" t="s">
        <v>629</v>
      </c>
      <c r="T2388" s="546" t="s">
        <v>804</v>
      </c>
    </row>
    <row r="2389" spans="1:20" x14ac:dyDescent="0.3">
      <c r="A2389" t="s">
        <v>627</v>
      </c>
      <c r="B2389" s="16">
        <v>45802</v>
      </c>
      <c r="C2389" t="s">
        <v>3</v>
      </c>
      <c r="D2389" t="s">
        <v>143</v>
      </c>
      <c r="E2389" t="s">
        <v>180</v>
      </c>
      <c r="F2389">
        <v>13</v>
      </c>
      <c r="G2389">
        <v>9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13</v>
      </c>
      <c r="P2389">
        <f t="shared" ref="P2389:P2452" si="120">YEAR(B2389)</f>
        <v>2025</v>
      </c>
      <c r="Q2389">
        <f t="shared" ref="Q2389:Q2452" si="121">MONTH(B2389)</f>
        <v>5</v>
      </c>
      <c r="R2389" t="str">
        <f t="shared" si="119"/>
        <v>淘特其他渠道</v>
      </c>
      <c r="S2389" t="s">
        <v>629</v>
      </c>
      <c r="T2389" s="546" t="s">
        <v>804</v>
      </c>
    </row>
    <row r="2390" spans="1:20" x14ac:dyDescent="0.3">
      <c r="A2390" t="s">
        <v>627</v>
      </c>
      <c r="B2390" s="16">
        <v>45802</v>
      </c>
      <c r="C2390" t="s">
        <v>3</v>
      </c>
      <c r="D2390" t="s">
        <v>143</v>
      </c>
      <c r="E2390" t="s">
        <v>181</v>
      </c>
      <c r="F2390">
        <v>33</v>
      </c>
      <c r="G2390">
        <v>30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33</v>
      </c>
      <c r="P2390">
        <f t="shared" si="120"/>
        <v>2025</v>
      </c>
      <c r="Q2390">
        <f t="shared" si="121"/>
        <v>5</v>
      </c>
      <c r="R2390" t="str">
        <f t="shared" si="119"/>
        <v>淘特搜索</v>
      </c>
      <c r="S2390" t="s">
        <v>629</v>
      </c>
      <c r="T2390" s="546" t="s">
        <v>804</v>
      </c>
    </row>
    <row r="2391" spans="1:20" x14ac:dyDescent="0.3">
      <c r="A2391" t="s">
        <v>627</v>
      </c>
      <c r="B2391" s="16">
        <v>45802</v>
      </c>
      <c r="C2391" t="s">
        <v>2</v>
      </c>
      <c r="D2391" t="s">
        <v>55</v>
      </c>
      <c r="E2391" t="s">
        <v>54</v>
      </c>
      <c r="F2391">
        <v>2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</v>
      </c>
      <c r="P2391">
        <f t="shared" si="120"/>
        <v>2025</v>
      </c>
      <c r="Q2391">
        <f t="shared" si="121"/>
        <v>5</v>
      </c>
      <c r="R2391" t="str">
        <f t="shared" si="119"/>
        <v>超级直播</v>
      </c>
      <c r="S2391" t="s">
        <v>629</v>
      </c>
      <c r="T2391" s="546" t="s">
        <v>804</v>
      </c>
    </row>
    <row r="2392" spans="1:20" x14ac:dyDescent="0.3">
      <c r="A2392" t="s">
        <v>627</v>
      </c>
      <c r="B2392" s="16">
        <v>45802</v>
      </c>
      <c r="C2392" t="s">
        <v>2</v>
      </c>
      <c r="D2392" t="s">
        <v>57</v>
      </c>
      <c r="E2392" t="s">
        <v>64</v>
      </c>
      <c r="F2392" s="15">
        <v>7334</v>
      </c>
      <c r="G2392" s="15">
        <v>4037</v>
      </c>
      <c r="H2392">
        <v>36</v>
      </c>
      <c r="I2392">
        <v>26</v>
      </c>
      <c r="J2392" s="15">
        <v>33330</v>
      </c>
      <c r="K2392">
        <v>7</v>
      </c>
      <c r="L2392" s="15">
        <v>3980</v>
      </c>
      <c r="M2392">
        <v>2</v>
      </c>
      <c r="N2392">
        <v>146</v>
      </c>
      <c r="O2392" s="15">
        <v>7334</v>
      </c>
      <c r="P2392">
        <f t="shared" si="120"/>
        <v>2025</v>
      </c>
      <c r="Q2392">
        <f t="shared" si="121"/>
        <v>5</v>
      </c>
      <c r="R2392" t="str">
        <f t="shared" si="119"/>
        <v>引力魔方</v>
      </c>
      <c r="S2392" t="s">
        <v>629</v>
      </c>
      <c r="T2392" s="546" t="s">
        <v>804</v>
      </c>
    </row>
    <row r="2393" spans="1:20" x14ac:dyDescent="0.3">
      <c r="A2393" t="s">
        <v>627</v>
      </c>
      <c r="B2393" s="16">
        <v>45802</v>
      </c>
      <c r="C2393" t="s">
        <v>2</v>
      </c>
      <c r="D2393" t="s">
        <v>57</v>
      </c>
      <c r="E2393" t="s">
        <v>65</v>
      </c>
      <c r="F2393" s="15">
        <v>6757</v>
      </c>
      <c r="G2393" s="15">
        <v>5915</v>
      </c>
      <c r="H2393">
        <v>81</v>
      </c>
      <c r="I2393">
        <v>35</v>
      </c>
      <c r="J2393" s="15">
        <v>160974</v>
      </c>
      <c r="K2393">
        <v>22</v>
      </c>
      <c r="L2393" s="15">
        <v>62629</v>
      </c>
      <c r="M2393">
        <v>12</v>
      </c>
      <c r="N2393">
        <v>305</v>
      </c>
      <c r="O2393" s="15">
        <v>6717</v>
      </c>
      <c r="P2393">
        <f t="shared" si="120"/>
        <v>2025</v>
      </c>
      <c r="Q2393">
        <f t="shared" si="121"/>
        <v>5</v>
      </c>
      <c r="R2393" t="str">
        <f t="shared" si="119"/>
        <v>直通车</v>
      </c>
      <c r="S2393" t="s">
        <v>629</v>
      </c>
      <c r="T2393" s="546" t="s">
        <v>804</v>
      </c>
    </row>
    <row r="2394" spans="1:20" x14ac:dyDescent="0.3">
      <c r="A2394" t="s">
        <v>627</v>
      </c>
      <c r="B2394" s="16">
        <v>45802</v>
      </c>
      <c r="C2394" t="s">
        <v>2</v>
      </c>
      <c r="D2394" t="s">
        <v>57</v>
      </c>
      <c r="E2394" t="s">
        <v>63</v>
      </c>
      <c r="F2394" s="15">
        <v>5454</v>
      </c>
      <c r="G2394" s="15">
        <v>2950</v>
      </c>
      <c r="H2394">
        <v>241</v>
      </c>
      <c r="I2394">
        <v>208</v>
      </c>
      <c r="J2394" s="15">
        <v>115505</v>
      </c>
      <c r="K2394">
        <v>28</v>
      </c>
      <c r="L2394" s="15">
        <v>65292</v>
      </c>
      <c r="M2394">
        <v>19</v>
      </c>
      <c r="N2394">
        <v>858</v>
      </c>
      <c r="O2394" s="15">
        <v>5241</v>
      </c>
      <c r="P2394">
        <f t="shared" si="120"/>
        <v>2025</v>
      </c>
      <c r="Q2394">
        <f t="shared" si="121"/>
        <v>5</v>
      </c>
      <c r="R2394" t="str">
        <f t="shared" si="119"/>
        <v>万相台</v>
      </c>
      <c r="S2394" t="s">
        <v>629</v>
      </c>
      <c r="T2394" s="546" t="s">
        <v>804</v>
      </c>
    </row>
    <row r="2395" spans="1:20" x14ac:dyDescent="0.3">
      <c r="A2395" t="s">
        <v>627</v>
      </c>
      <c r="B2395" s="16">
        <v>45802</v>
      </c>
      <c r="C2395" t="s">
        <v>2</v>
      </c>
      <c r="D2395" t="s">
        <v>4</v>
      </c>
      <c r="E2395" t="s">
        <v>43</v>
      </c>
      <c r="F2395">
        <v>375</v>
      </c>
      <c r="G2395">
        <v>124</v>
      </c>
      <c r="H2395">
        <v>12</v>
      </c>
      <c r="I2395">
        <v>3</v>
      </c>
      <c r="J2395" s="17">
        <v>8994.02</v>
      </c>
      <c r="K2395">
        <v>3</v>
      </c>
      <c r="L2395" s="17">
        <v>8994.02</v>
      </c>
      <c r="M2395">
        <v>3</v>
      </c>
      <c r="N2395">
        <v>5</v>
      </c>
      <c r="O2395">
        <v>375</v>
      </c>
      <c r="P2395">
        <f t="shared" si="120"/>
        <v>2025</v>
      </c>
      <c r="Q2395">
        <f t="shared" si="121"/>
        <v>5</v>
      </c>
      <c r="R2395" t="str">
        <f t="shared" si="119"/>
        <v>淘宝客</v>
      </c>
      <c r="S2395" t="s">
        <v>629</v>
      </c>
      <c r="T2395" s="546" t="s">
        <v>804</v>
      </c>
    </row>
    <row r="2396" spans="1:20" x14ac:dyDescent="0.3">
      <c r="A2396" t="s">
        <v>627</v>
      </c>
      <c r="B2396" s="16">
        <v>45803</v>
      </c>
      <c r="C2396" t="s">
        <v>3</v>
      </c>
      <c r="D2396" t="s">
        <v>114</v>
      </c>
      <c r="E2396" t="s">
        <v>159</v>
      </c>
      <c r="F2396">
        <v>148</v>
      </c>
      <c r="G2396">
        <v>59</v>
      </c>
      <c r="H2396">
        <v>6</v>
      </c>
      <c r="I2396">
        <v>3</v>
      </c>
      <c r="J2396" s="15">
        <v>2298</v>
      </c>
      <c r="K2396">
        <v>1</v>
      </c>
      <c r="L2396" s="15">
        <v>2298</v>
      </c>
      <c r="M2396">
        <v>1</v>
      </c>
      <c r="N2396">
        <v>13</v>
      </c>
      <c r="O2396">
        <v>145</v>
      </c>
      <c r="P2396">
        <f t="shared" si="120"/>
        <v>2025</v>
      </c>
      <c r="Q2396">
        <f t="shared" si="121"/>
        <v>5</v>
      </c>
      <c r="R2396" t="str">
        <f t="shared" si="119"/>
        <v>主会场</v>
      </c>
      <c r="S2396" t="s">
        <v>629</v>
      </c>
      <c r="T2396" s="546" t="s">
        <v>804</v>
      </c>
    </row>
    <row r="2397" spans="1:20" x14ac:dyDescent="0.3">
      <c r="A2397" t="s">
        <v>627</v>
      </c>
      <c r="B2397" s="16">
        <v>45803</v>
      </c>
      <c r="C2397" t="s">
        <v>3</v>
      </c>
      <c r="D2397" t="s">
        <v>117</v>
      </c>
      <c r="E2397" t="s">
        <v>161</v>
      </c>
      <c r="F2397">
        <v>1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f t="shared" si="120"/>
        <v>2025</v>
      </c>
      <c r="Q2397">
        <f t="shared" si="121"/>
        <v>5</v>
      </c>
      <c r="R2397" t="str">
        <f t="shared" si="119"/>
        <v>其他入口榜单</v>
      </c>
      <c r="S2397" t="s">
        <v>629</v>
      </c>
      <c r="T2397" s="546" t="s">
        <v>804</v>
      </c>
    </row>
    <row r="2398" spans="1:20" x14ac:dyDescent="0.3">
      <c r="A2398" t="s">
        <v>627</v>
      </c>
      <c r="B2398" s="16">
        <v>45803</v>
      </c>
      <c r="C2398" t="s">
        <v>3</v>
      </c>
      <c r="D2398" t="s">
        <v>123</v>
      </c>
      <c r="E2398" t="s">
        <v>169</v>
      </c>
      <c r="F2398">
        <v>228</v>
      </c>
      <c r="G2398">
        <v>115</v>
      </c>
      <c r="H2398">
        <v>6</v>
      </c>
      <c r="I2398">
        <v>2</v>
      </c>
      <c r="J2398" s="15">
        <v>12165</v>
      </c>
      <c r="K2398">
        <v>2</v>
      </c>
      <c r="L2398" s="15">
        <v>4980</v>
      </c>
      <c r="M2398">
        <v>1</v>
      </c>
      <c r="N2398">
        <v>58</v>
      </c>
      <c r="O2398">
        <v>221</v>
      </c>
      <c r="P2398">
        <f t="shared" si="120"/>
        <v>2025</v>
      </c>
      <c r="Q2398">
        <f t="shared" si="121"/>
        <v>5</v>
      </c>
      <c r="R2398" t="str">
        <f t="shared" si="119"/>
        <v>商品详情页头图推荐</v>
      </c>
      <c r="S2398" t="s">
        <v>629</v>
      </c>
      <c r="T2398" s="546" t="s">
        <v>804</v>
      </c>
    </row>
    <row r="2399" spans="1:20" x14ac:dyDescent="0.3">
      <c r="A2399" t="s">
        <v>627</v>
      </c>
      <c r="B2399" s="16">
        <v>45803</v>
      </c>
      <c r="C2399" t="s">
        <v>3</v>
      </c>
      <c r="D2399" t="s">
        <v>123</v>
      </c>
      <c r="E2399" t="s">
        <v>170</v>
      </c>
      <c r="F2399">
        <v>17</v>
      </c>
      <c r="G2399">
        <v>12</v>
      </c>
      <c r="H2399">
        <v>1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16</v>
      </c>
      <c r="O2399">
        <v>7</v>
      </c>
      <c r="P2399">
        <f t="shared" si="120"/>
        <v>2025</v>
      </c>
      <c r="Q2399">
        <f t="shared" si="121"/>
        <v>5</v>
      </c>
      <c r="R2399" t="str">
        <f t="shared" si="119"/>
        <v>店铺超链</v>
      </c>
      <c r="S2399" t="s">
        <v>629</v>
      </c>
      <c r="T2399" s="546" t="s">
        <v>804</v>
      </c>
    </row>
    <row r="2400" spans="1:20" x14ac:dyDescent="0.3">
      <c r="A2400" t="s">
        <v>627</v>
      </c>
      <c r="B2400" s="16">
        <v>45803</v>
      </c>
      <c r="C2400" t="s">
        <v>3</v>
      </c>
      <c r="D2400" t="s">
        <v>127</v>
      </c>
      <c r="E2400" t="s">
        <v>171</v>
      </c>
      <c r="F2400">
        <v>292</v>
      </c>
      <c r="G2400">
        <v>165</v>
      </c>
      <c r="H2400">
        <v>12</v>
      </c>
      <c r="I2400">
        <v>2</v>
      </c>
      <c r="J2400" s="15">
        <v>17769</v>
      </c>
      <c r="K2400">
        <v>5</v>
      </c>
      <c r="L2400" s="15">
        <v>13173</v>
      </c>
      <c r="M2400">
        <v>5</v>
      </c>
      <c r="N2400">
        <v>40</v>
      </c>
      <c r="O2400">
        <v>256</v>
      </c>
      <c r="P2400">
        <f t="shared" si="120"/>
        <v>2025</v>
      </c>
      <c r="Q2400">
        <f t="shared" si="121"/>
        <v>5</v>
      </c>
      <c r="R2400" t="str">
        <f t="shared" si="119"/>
        <v>其他猜你喜欢</v>
      </c>
      <c r="S2400" t="s">
        <v>629</v>
      </c>
      <c r="T2400" s="546" t="s">
        <v>804</v>
      </c>
    </row>
    <row r="2401" spans="1:20" x14ac:dyDescent="0.3">
      <c r="A2401" t="s">
        <v>627</v>
      </c>
      <c r="B2401" s="16">
        <v>45803</v>
      </c>
      <c r="C2401" t="s">
        <v>3</v>
      </c>
      <c r="D2401" t="s">
        <v>127</v>
      </c>
      <c r="E2401" t="s">
        <v>172</v>
      </c>
      <c r="F2401">
        <v>16</v>
      </c>
      <c r="G2401">
        <v>9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1</v>
      </c>
      <c r="O2401">
        <v>9</v>
      </c>
      <c r="P2401">
        <f t="shared" si="120"/>
        <v>2025</v>
      </c>
      <c r="Q2401">
        <f t="shared" si="121"/>
        <v>5</v>
      </c>
      <c r="R2401" t="str">
        <f t="shared" si="119"/>
        <v>购中推荐</v>
      </c>
      <c r="S2401" t="s">
        <v>629</v>
      </c>
      <c r="T2401" s="546" t="s">
        <v>804</v>
      </c>
    </row>
    <row r="2402" spans="1:20" x14ac:dyDescent="0.3">
      <c r="A2402" t="s">
        <v>627</v>
      </c>
      <c r="B2402" s="16">
        <v>45803</v>
      </c>
      <c r="C2402" t="s">
        <v>3</v>
      </c>
      <c r="D2402" t="s">
        <v>127</v>
      </c>
      <c r="E2402" t="s">
        <v>173</v>
      </c>
      <c r="F2402">
        <v>112</v>
      </c>
      <c r="G2402">
        <v>80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3</v>
      </c>
      <c r="O2402">
        <v>56</v>
      </c>
      <c r="P2402">
        <f t="shared" si="120"/>
        <v>2025</v>
      </c>
      <c r="Q2402">
        <f t="shared" si="121"/>
        <v>5</v>
      </c>
      <c r="R2402" t="str">
        <f t="shared" si="119"/>
        <v>购后推荐</v>
      </c>
      <c r="S2402" t="s">
        <v>629</v>
      </c>
      <c r="T2402" s="546" t="s">
        <v>804</v>
      </c>
    </row>
    <row r="2403" spans="1:20" x14ac:dyDescent="0.3">
      <c r="A2403" t="s">
        <v>627</v>
      </c>
      <c r="B2403" s="16">
        <v>45803</v>
      </c>
      <c r="C2403" t="s">
        <v>3</v>
      </c>
      <c r="D2403" t="s">
        <v>127</v>
      </c>
      <c r="E2403" t="s">
        <v>174</v>
      </c>
      <c r="F2403" s="15">
        <v>4645</v>
      </c>
      <c r="G2403" s="15">
        <v>3707</v>
      </c>
      <c r="H2403">
        <v>50</v>
      </c>
      <c r="I2403">
        <v>35</v>
      </c>
      <c r="J2403" s="15">
        <v>28082</v>
      </c>
      <c r="K2403">
        <v>6</v>
      </c>
      <c r="L2403" s="15">
        <v>23102</v>
      </c>
      <c r="M2403">
        <v>6</v>
      </c>
      <c r="N2403">
        <v>267</v>
      </c>
      <c r="O2403" s="15">
        <v>4645</v>
      </c>
      <c r="P2403">
        <f t="shared" si="120"/>
        <v>2025</v>
      </c>
      <c r="Q2403">
        <f t="shared" si="121"/>
        <v>5</v>
      </c>
      <c r="R2403" t="str">
        <f t="shared" si="119"/>
        <v>首页推荐-微详情</v>
      </c>
      <c r="S2403" t="s">
        <v>629</v>
      </c>
      <c r="T2403" s="546" t="s">
        <v>804</v>
      </c>
    </row>
    <row r="2404" spans="1:20" x14ac:dyDescent="0.3">
      <c r="A2404" t="s">
        <v>627</v>
      </c>
      <c r="B2404" s="16">
        <v>45803</v>
      </c>
      <c r="C2404" t="s">
        <v>3</v>
      </c>
      <c r="D2404" t="s">
        <v>127</v>
      </c>
      <c r="E2404" t="s">
        <v>175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f t="shared" si="120"/>
        <v>2025</v>
      </c>
      <c r="Q2404">
        <f t="shared" si="121"/>
        <v>5</v>
      </c>
      <c r="R2404" t="str">
        <f t="shared" si="119"/>
        <v>首页推荐-直播</v>
      </c>
      <c r="S2404" t="s">
        <v>629</v>
      </c>
      <c r="T2404" s="546" t="s">
        <v>804</v>
      </c>
    </row>
    <row r="2405" spans="1:20" x14ac:dyDescent="0.3">
      <c r="A2405" t="s">
        <v>627</v>
      </c>
      <c r="B2405" s="16">
        <v>45803</v>
      </c>
      <c r="C2405" t="s">
        <v>3</v>
      </c>
      <c r="D2405" t="s">
        <v>127</v>
      </c>
      <c r="E2405" t="s">
        <v>176</v>
      </c>
      <c r="F2405">
        <v>470</v>
      </c>
      <c r="G2405">
        <v>328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3</v>
      </c>
      <c r="O2405">
        <v>31</v>
      </c>
      <c r="P2405">
        <f t="shared" si="120"/>
        <v>2025</v>
      </c>
      <c r="Q2405">
        <f t="shared" si="121"/>
        <v>5</v>
      </c>
      <c r="R2405" t="str">
        <f t="shared" si="119"/>
        <v>首页推荐-短视频</v>
      </c>
      <c r="S2405" t="s">
        <v>629</v>
      </c>
      <c r="T2405" s="546" t="s">
        <v>804</v>
      </c>
    </row>
    <row r="2406" spans="1:20" x14ac:dyDescent="0.3">
      <c r="A2406" t="s">
        <v>627</v>
      </c>
      <c r="B2406" s="16">
        <v>45803</v>
      </c>
      <c r="C2406" t="s">
        <v>3</v>
      </c>
      <c r="D2406" t="s">
        <v>128</v>
      </c>
      <c r="E2406" t="s">
        <v>177</v>
      </c>
      <c r="F2406">
        <v>773</v>
      </c>
      <c r="G2406">
        <v>576</v>
      </c>
      <c r="H2406">
        <v>63</v>
      </c>
      <c r="I2406">
        <v>8</v>
      </c>
      <c r="J2406" s="15">
        <v>62393</v>
      </c>
      <c r="K2406">
        <v>16</v>
      </c>
      <c r="L2406" s="15">
        <v>51073</v>
      </c>
      <c r="M2406">
        <v>16</v>
      </c>
      <c r="N2406">
        <v>350</v>
      </c>
      <c r="O2406">
        <v>567</v>
      </c>
      <c r="P2406">
        <f t="shared" si="120"/>
        <v>2025</v>
      </c>
      <c r="Q2406">
        <f t="shared" si="121"/>
        <v>5</v>
      </c>
      <c r="R2406" t="str">
        <f t="shared" si="119"/>
        <v>手淘搜索-商品及其他</v>
      </c>
      <c r="S2406" t="s">
        <v>629</v>
      </c>
      <c r="T2406" s="546" t="s">
        <v>804</v>
      </c>
    </row>
    <row r="2407" spans="1:20" x14ac:dyDescent="0.3">
      <c r="A2407" t="s">
        <v>627</v>
      </c>
      <c r="B2407" s="16">
        <v>45803</v>
      </c>
      <c r="C2407" t="s">
        <v>3</v>
      </c>
      <c r="D2407" t="s">
        <v>128</v>
      </c>
      <c r="E2407" t="s">
        <v>179</v>
      </c>
      <c r="F2407">
        <v>14</v>
      </c>
      <c r="G2407">
        <v>7</v>
      </c>
      <c r="H2407">
        <v>0</v>
      </c>
      <c r="I2407">
        <v>1</v>
      </c>
      <c r="J2407" s="15">
        <v>2298</v>
      </c>
      <c r="K2407">
        <v>1</v>
      </c>
      <c r="L2407" s="15">
        <v>2298</v>
      </c>
      <c r="M2407">
        <v>1</v>
      </c>
      <c r="N2407">
        <v>1</v>
      </c>
      <c r="O2407">
        <v>14</v>
      </c>
      <c r="P2407">
        <f t="shared" si="120"/>
        <v>2025</v>
      </c>
      <c r="Q2407">
        <f t="shared" si="121"/>
        <v>5</v>
      </c>
      <c r="R2407" t="str">
        <f t="shared" si="119"/>
        <v>手淘搜索-短视频</v>
      </c>
      <c r="S2407" t="s">
        <v>629</v>
      </c>
      <c r="T2407" s="546" t="s">
        <v>804</v>
      </c>
    </row>
    <row r="2408" spans="1:20" x14ac:dyDescent="0.3">
      <c r="A2408" t="s">
        <v>627</v>
      </c>
      <c r="B2408" s="16">
        <v>45803</v>
      </c>
      <c r="C2408" t="s">
        <v>3</v>
      </c>
      <c r="D2408" t="s">
        <v>143</v>
      </c>
      <c r="E2408" t="s">
        <v>180</v>
      </c>
      <c r="F2408">
        <v>11</v>
      </c>
      <c r="G2408">
        <v>9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11</v>
      </c>
      <c r="P2408">
        <f t="shared" si="120"/>
        <v>2025</v>
      </c>
      <c r="Q2408">
        <f t="shared" si="121"/>
        <v>5</v>
      </c>
      <c r="R2408" t="str">
        <f t="shared" si="119"/>
        <v>淘特其他渠道</v>
      </c>
      <c r="S2408" t="s">
        <v>629</v>
      </c>
      <c r="T2408" s="546" t="s">
        <v>804</v>
      </c>
    </row>
    <row r="2409" spans="1:20" x14ac:dyDescent="0.3">
      <c r="A2409" t="s">
        <v>627</v>
      </c>
      <c r="B2409" s="16">
        <v>45803</v>
      </c>
      <c r="C2409" t="s">
        <v>3</v>
      </c>
      <c r="D2409" t="s">
        <v>143</v>
      </c>
      <c r="E2409" t="s">
        <v>181</v>
      </c>
      <c r="F2409">
        <v>23</v>
      </c>
      <c r="G2409">
        <v>23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23</v>
      </c>
      <c r="P2409">
        <f t="shared" si="120"/>
        <v>2025</v>
      </c>
      <c r="Q2409">
        <f t="shared" si="121"/>
        <v>5</v>
      </c>
      <c r="R2409" t="str">
        <f t="shared" si="119"/>
        <v>淘特搜索</v>
      </c>
      <c r="S2409" t="s">
        <v>629</v>
      </c>
      <c r="T2409" s="546" t="s">
        <v>804</v>
      </c>
    </row>
    <row r="2410" spans="1:20" x14ac:dyDescent="0.3">
      <c r="A2410" t="s">
        <v>627</v>
      </c>
      <c r="B2410" s="16">
        <v>45803</v>
      </c>
      <c r="C2410" t="s">
        <v>2</v>
      </c>
      <c r="D2410" t="s">
        <v>55</v>
      </c>
      <c r="E2410" t="s">
        <v>54</v>
      </c>
      <c r="F2410">
        <v>2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1</v>
      </c>
      <c r="P2410">
        <f t="shared" si="120"/>
        <v>2025</v>
      </c>
      <c r="Q2410">
        <f t="shared" si="121"/>
        <v>5</v>
      </c>
      <c r="R2410" t="str">
        <f t="shared" si="119"/>
        <v>超级直播</v>
      </c>
      <c r="S2410" t="s">
        <v>629</v>
      </c>
      <c r="T2410" s="546" t="s">
        <v>804</v>
      </c>
    </row>
    <row r="2411" spans="1:20" x14ac:dyDescent="0.3">
      <c r="A2411" t="s">
        <v>627</v>
      </c>
      <c r="B2411" s="16">
        <v>45803</v>
      </c>
      <c r="C2411" t="s">
        <v>2</v>
      </c>
      <c r="D2411" t="s">
        <v>55</v>
      </c>
      <c r="E2411" t="s">
        <v>56</v>
      </c>
      <c r="F2411">
        <v>1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</v>
      </c>
      <c r="P2411">
        <f t="shared" si="120"/>
        <v>2025</v>
      </c>
      <c r="Q2411">
        <f t="shared" si="121"/>
        <v>5</v>
      </c>
      <c r="R2411" t="str">
        <f t="shared" si="119"/>
        <v>超级短视频</v>
      </c>
      <c r="S2411" t="s">
        <v>629</v>
      </c>
      <c r="T2411" s="546" t="s">
        <v>804</v>
      </c>
    </row>
    <row r="2412" spans="1:20" x14ac:dyDescent="0.3">
      <c r="A2412" t="s">
        <v>627</v>
      </c>
      <c r="B2412" s="16">
        <v>45803</v>
      </c>
      <c r="C2412" t="s">
        <v>2</v>
      </c>
      <c r="D2412" t="s">
        <v>52</v>
      </c>
      <c r="E2412" t="s">
        <v>183</v>
      </c>
      <c r="F2412">
        <v>1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  <c r="O2412">
        <v>0</v>
      </c>
      <c r="P2412">
        <f t="shared" si="120"/>
        <v>2025</v>
      </c>
      <c r="Q2412">
        <f t="shared" si="121"/>
        <v>5</v>
      </c>
      <c r="R2412" t="str">
        <f t="shared" si="119"/>
        <v>品销宝-品牌专区</v>
      </c>
      <c r="S2412" t="s">
        <v>629</v>
      </c>
      <c r="T2412" s="546" t="s">
        <v>804</v>
      </c>
    </row>
    <row r="2413" spans="1:20" x14ac:dyDescent="0.3">
      <c r="A2413" t="s">
        <v>627</v>
      </c>
      <c r="B2413" s="16">
        <v>45803</v>
      </c>
      <c r="C2413" t="s">
        <v>2</v>
      </c>
      <c r="D2413" t="s">
        <v>52</v>
      </c>
      <c r="E2413" t="s">
        <v>58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1</v>
      </c>
      <c r="P2413">
        <f t="shared" si="120"/>
        <v>2025</v>
      </c>
      <c r="Q2413">
        <f t="shared" si="121"/>
        <v>5</v>
      </c>
      <c r="R2413" t="str">
        <f t="shared" si="119"/>
        <v>超级全域通</v>
      </c>
      <c r="S2413" t="s">
        <v>629</v>
      </c>
      <c r="T2413" s="546" t="s">
        <v>804</v>
      </c>
    </row>
    <row r="2414" spans="1:20" x14ac:dyDescent="0.3">
      <c r="A2414" t="s">
        <v>627</v>
      </c>
      <c r="B2414" s="16">
        <v>45803</v>
      </c>
      <c r="C2414" t="s">
        <v>2</v>
      </c>
      <c r="D2414" t="s">
        <v>57</v>
      </c>
      <c r="E2414" t="s">
        <v>64</v>
      </c>
      <c r="F2414" s="15">
        <v>6807</v>
      </c>
      <c r="G2414" s="15">
        <v>3831</v>
      </c>
      <c r="H2414">
        <v>32</v>
      </c>
      <c r="I2414">
        <v>23</v>
      </c>
      <c r="J2414" s="15">
        <v>41173</v>
      </c>
      <c r="K2414">
        <v>4</v>
      </c>
      <c r="L2414" s="15">
        <v>4485</v>
      </c>
      <c r="M2414">
        <v>2</v>
      </c>
      <c r="N2414">
        <v>140</v>
      </c>
      <c r="O2414" s="15">
        <v>6807</v>
      </c>
      <c r="P2414">
        <f t="shared" si="120"/>
        <v>2025</v>
      </c>
      <c r="Q2414">
        <f t="shared" si="121"/>
        <v>5</v>
      </c>
      <c r="R2414" t="str">
        <f t="shared" si="119"/>
        <v>引力魔方</v>
      </c>
      <c r="S2414" t="s">
        <v>629</v>
      </c>
      <c r="T2414" s="546" t="s">
        <v>804</v>
      </c>
    </row>
    <row r="2415" spans="1:20" x14ac:dyDescent="0.3">
      <c r="A2415" t="s">
        <v>627</v>
      </c>
      <c r="B2415" s="16">
        <v>45803</v>
      </c>
      <c r="C2415" t="s">
        <v>2</v>
      </c>
      <c r="D2415" t="s">
        <v>57</v>
      </c>
      <c r="E2415" t="s">
        <v>65</v>
      </c>
      <c r="F2415" s="15">
        <v>6185</v>
      </c>
      <c r="G2415" s="15">
        <v>5329</v>
      </c>
      <c r="H2415">
        <v>68</v>
      </c>
      <c r="I2415">
        <v>29</v>
      </c>
      <c r="J2415" s="15">
        <v>164948</v>
      </c>
      <c r="K2415">
        <v>28</v>
      </c>
      <c r="L2415" s="15">
        <v>74118</v>
      </c>
      <c r="M2415">
        <v>17</v>
      </c>
      <c r="N2415">
        <v>323</v>
      </c>
      <c r="O2415" s="15">
        <v>6132</v>
      </c>
      <c r="P2415">
        <f t="shared" si="120"/>
        <v>2025</v>
      </c>
      <c r="Q2415">
        <f t="shared" si="121"/>
        <v>5</v>
      </c>
      <c r="R2415" t="str">
        <f t="shared" si="119"/>
        <v>直通车</v>
      </c>
      <c r="S2415" t="s">
        <v>629</v>
      </c>
      <c r="T2415" s="546" t="s">
        <v>804</v>
      </c>
    </row>
    <row r="2416" spans="1:20" x14ac:dyDescent="0.3">
      <c r="A2416" t="s">
        <v>627</v>
      </c>
      <c r="B2416" s="16">
        <v>45803</v>
      </c>
      <c r="C2416" t="s">
        <v>2</v>
      </c>
      <c r="D2416" t="s">
        <v>57</v>
      </c>
      <c r="E2416" t="s">
        <v>63</v>
      </c>
      <c r="F2416" s="15">
        <v>5527</v>
      </c>
      <c r="G2416" s="15">
        <v>2943</v>
      </c>
      <c r="H2416">
        <v>235</v>
      </c>
      <c r="I2416">
        <v>219</v>
      </c>
      <c r="J2416" s="17">
        <v>190246.74</v>
      </c>
      <c r="K2416">
        <v>51</v>
      </c>
      <c r="L2416" s="17">
        <v>140748.74</v>
      </c>
      <c r="M2416">
        <v>43</v>
      </c>
      <c r="N2416">
        <v>753</v>
      </c>
      <c r="O2416" s="15">
        <v>5309</v>
      </c>
      <c r="P2416">
        <f t="shared" si="120"/>
        <v>2025</v>
      </c>
      <c r="Q2416">
        <f t="shared" si="121"/>
        <v>5</v>
      </c>
      <c r="R2416" t="str">
        <f t="shared" si="119"/>
        <v>万相台</v>
      </c>
      <c r="S2416" t="s">
        <v>629</v>
      </c>
      <c r="T2416" s="546" t="s">
        <v>804</v>
      </c>
    </row>
    <row r="2417" spans="1:20" x14ac:dyDescent="0.3">
      <c r="A2417" t="s">
        <v>627</v>
      </c>
      <c r="B2417" s="16">
        <v>45803</v>
      </c>
      <c r="C2417" t="s">
        <v>2</v>
      </c>
      <c r="D2417" t="s">
        <v>4</v>
      </c>
      <c r="E2417" t="s">
        <v>41</v>
      </c>
      <c r="F2417">
        <v>3</v>
      </c>
      <c r="G2417">
        <v>1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3</v>
      </c>
      <c r="P2417">
        <f t="shared" si="120"/>
        <v>2025</v>
      </c>
      <c r="Q2417">
        <f t="shared" si="121"/>
        <v>5</v>
      </c>
      <c r="R2417" t="str">
        <f t="shared" si="119"/>
        <v>流量宝</v>
      </c>
      <c r="S2417" t="s">
        <v>629</v>
      </c>
      <c r="T2417" s="546" t="s">
        <v>804</v>
      </c>
    </row>
    <row r="2418" spans="1:20" x14ac:dyDescent="0.3">
      <c r="A2418" t="s">
        <v>627</v>
      </c>
      <c r="B2418" s="16">
        <v>45803</v>
      </c>
      <c r="C2418" t="s">
        <v>2</v>
      </c>
      <c r="D2418" t="s">
        <v>4</v>
      </c>
      <c r="E2418" t="s">
        <v>43</v>
      </c>
      <c r="F2418">
        <v>701</v>
      </c>
      <c r="G2418">
        <v>376</v>
      </c>
      <c r="H2418">
        <v>292</v>
      </c>
      <c r="I2418">
        <v>13</v>
      </c>
      <c r="J2418" s="15">
        <v>330025</v>
      </c>
      <c r="K2418">
        <v>89</v>
      </c>
      <c r="L2418" s="15">
        <v>253120</v>
      </c>
      <c r="M2418">
        <v>74</v>
      </c>
      <c r="N2418">
        <v>13</v>
      </c>
      <c r="O2418">
        <v>701</v>
      </c>
      <c r="P2418">
        <f t="shared" si="120"/>
        <v>2025</v>
      </c>
      <c r="Q2418">
        <f t="shared" si="121"/>
        <v>5</v>
      </c>
      <c r="R2418" t="str">
        <f t="shared" si="119"/>
        <v>淘宝客</v>
      </c>
      <c r="S2418" t="s">
        <v>629</v>
      </c>
      <c r="T2418" s="546" t="s">
        <v>804</v>
      </c>
    </row>
    <row r="2419" spans="1:20" x14ac:dyDescent="0.3">
      <c r="A2419" t="s">
        <v>627</v>
      </c>
      <c r="B2419" s="16">
        <v>45804</v>
      </c>
      <c r="C2419" t="s">
        <v>3</v>
      </c>
      <c r="D2419" t="s">
        <v>114</v>
      </c>
      <c r="E2419" t="s">
        <v>159</v>
      </c>
      <c r="F2419">
        <v>187</v>
      </c>
      <c r="G2419">
        <v>100</v>
      </c>
      <c r="H2419">
        <v>2</v>
      </c>
      <c r="I2419">
        <v>3</v>
      </c>
      <c r="J2419">
        <v>0</v>
      </c>
      <c r="K2419">
        <v>0</v>
      </c>
      <c r="L2419">
        <v>0</v>
      </c>
      <c r="M2419">
        <v>0</v>
      </c>
      <c r="N2419">
        <v>12</v>
      </c>
      <c r="O2419">
        <v>175</v>
      </c>
      <c r="P2419">
        <f t="shared" si="120"/>
        <v>2025</v>
      </c>
      <c r="Q2419">
        <f t="shared" si="121"/>
        <v>5</v>
      </c>
      <c r="R2419" t="str">
        <f t="shared" si="119"/>
        <v>主会场</v>
      </c>
      <c r="S2419" t="s">
        <v>629</v>
      </c>
      <c r="T2419" s="546" t="s">
        <v>804</v>
      </c>
    </row>
    <row r="2420" spans="1:20" x14ac:dyDescent="0.3">
      <c r="A2420" t="s">
        <v>627</v>
      </c>
      <c r="B2420" s="16">
        <v>45804</v>
      </c>
      <c r="C2420" t="s">
        <v>3</v>
      </c>
      <c r="D2420" t="s">
        <v>117</v>
      </c>
      <c r="E2420" t="s">
        <v>161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1</v>
      </c>
      <c r="O2420">
        <v>1</v>
      </c>
      <c r="P2420">
        <f t="shared" si="120"/>
        <v>2025</v>
      </c>
      <c r="Q2420">
        <f t="shared" si="121"/>
        <v>5</v>
      </c>
      <c r="R2420" t="str">
        <f t="shared" si="119"/>
        <v>其他入口榜单</v>
      </c>
      <c r="S2420" t="s">
        <v>629</v>
      </c>
      <c r="T2420" s="546" t="s">
        <v>804</v>
      </c>
    </row>
    <row r="2421" spans="1:20" x14ac:dyDescent="0.3">
      <c r="A2421" t="s">
        <v>627</v>
      </c>
      <c r="B2421" s="16">
        <v>45804</v>
      </c>
      <c r="C2421" t="s">
        <v>3</v>
      </c>
      <c r="D2421" t="s">
        <v>123</v>
      </c>
      <c r="E2421" t="s">
        <v>169</v>
      </c>
      <c r="F2421">
        <v>194</v>
      </c>
      <c r="G2421">
        <v>97</v>
      </c>
      <c r="H2421">
        <v>10</v>
      </c>
      <c r="I2421">
        <v>3</v>
      </c>
      <c r="J2421">
        <v>0</v>
      </c>
      <c r="K2421">
        <v>0</v>
      </c>
      <c r="L2421">
        <v>0</v>
      </c>
      <c r="M2421">
        <v>0</v>
      </c>
      <c r="N2421">
        <v>34</v>
      </c>
      <c r="O2421">
        <v>192</v>
      </c>
      <c r="P2421">
        <f t="shared" si="120"/>
        <v>2025</v>
      </c>
      <c r="Q2421">
        <f t="shared" si="121"/>
        <v>5</v>
      </c>
      <c r="R2421" t="str">
        <f t="shared" si="119"/>
        <v>商品详情页头图推荐</v>
      </c>
      <c r="S2421" t="s">
        <v>629</v>
      </c>
      <c r="T2421" s="546" t="s">
        <v>804</v>
      </c>
    </row>
    <row r="2422" spans="1:20" x14ac:dyDescent="0.3">
      <c r="A2422" t="s">
        <v>627</v>
      </c>
      <c r="B2422" s="16">
        <v>45804</v>
      </c>
      <c r="C2422" t="s">
        <v>3</v>
      </c>
      <c r="D2422" t="s">
        <v>123</v>
      </c>
      <c r="E2422" t="s">
        <v>170</v>
      </c>
      <c r="F2422">
        <v>26</v>
      </c>
      <c r="G2422">
        <v>19</v>
      </c>
      <c r="H2422">
        <v>1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24</v>
      </c>
      <c r="O2422">
        <v>9</v>
      </c>
      <c r="P2422">
        <f t="shared" si="120"/>
        <v>2025</v>
      </c>
      <c r="Q2422">
        <f t="shared" si="121"/>
        <v>5</v>
      </c>
      <c r="R2422" t="str">
        <f t="shared" si="119"/>
        <v>店铺超链</v>
      </c>
      <c r="S2422" t="s">
        <v>629</v>
      </c>
      <c r="T2422" s="546" t="s">
        <v>804</v>
      </c>
    </row>
    <row r="2423" spans="1:20" x14ac:dyDescent="0.3">
      <c r="A2423" t="s">
        <v>627</v>
      </c>
      <c r="B2423" s="16">
        <v>45804</v>
      </c>
      <c r="C2423" t="s">
        <v>3</v>
      </c>
      <c r="D2423" t="s">
        <v>127</v>
      </c>
      <c r="E2423" t="s">
        <v>171</v>
      </c>
      <c r="F2423">
        <v>220</v>
      </c>
      <c r="G2423">
        <v>112</v>
      </c>
      <c r="H2423">
        <v>8</v>
      </c>
      <c r="I2423">
        <v>1</v>
      </c>
      <c r="J2423" s="15">
        <v>3395</v>
      </c>
      <c r="K2423">
        <v>1</v>
      </c>
      <c r="L2423" s="15">
        <v>3395</v>
      </c>
      <c r="M2423">
        <v>1</v>
      </c>
      <c r="N2423">
        <v>40</v>
      </c>
      <c r="O2423">
        <v>205</v>
      </c>
      <c r="P2423">
        <f t="shared" si="120"/>
        <v>2025</v>
      </c>
      <c r="Q2423">
        <f t="shared" si="121"/>
        <v>5</v>
      </c>
      <c r="R2423" t="str">
        <f t="shared" si="119"/>
        <v>其他猜你喜欢</v>
      </c>
      <c r="S2423" t="s">
        <v>629</v>
      </c>
      <c r="T2423" s="546" t="s">
        <v>804</v>
      </c>
    </row>
    <row r="2424" spans="1:20" x14ac:dyDescent="0.3">
      <c r="A2424" t="s">
        <v>627</v>
      </c>
      <c r="B2424" s="16">
        <v>45804</v>
      </c>
      <c r="C2424" t="s">
        <v>3</v>
      </c>
      <c r="D2424" t="s">
        <v>127</v>
      </c>
      <c r="E2424" t="s">
        <v>172</v>
      </c>
      <c r="F2424">
        <v>16</v>
      </c>
      <c r="G2424">
        <v>11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1</v>
      </c>
      <c r="O2424">
        <v>14</v>
      </c>
      <c r="P2424">
        <f t="shared" si="120"/>
        <v>2025</v>
      </c>
      <c r="Q2424">
        <f t="shared" si="121"/>
        <v>5</v>
      </c>
      <c r="R2424" t="str">
        <f t="shared" si="119"/>
        <v>购中推荐</v>
      </c>
      <c r="S2424" t="s">
        <v>629</v>
      </c>
      <c r="T2424" s="546" t="s">
        <v>804</v>
      </c>
    </row>
    <row r="2425" spans="1:20" x14ac:dyDescent="0.3">
      <c r="A2425" t="s">
        <v>627</v>
      </c>
      <c r="B2425" s="16">
        <v>45804</v>
      </c>
      <c r="C2425" t="s">
        <v>3</v>
      </c>
      <c r="D2425" t="s">
        <v>127</v>
      </c>
      <c r="E2425" t="s">
        <v>173</v>
      </c>
      <c r="F2425">
        <v>53</v>
      </c>
      <c r="G2425">
        <v>43</v>
      </c>
      <c r="H2425">
        <v>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50</v>
      </c>
      <c r="P2425">
        <f t="shared" si="120"/>
        <v>2025</v>
      </c>
      <c r="Q2425">
        <f t="shared" si="121"/>
        <v>5</v>
      </c>
      <c r="R2425" t="str">
        <f t="shared" si="119"/>
        <v>购后推荐</v>
      </c>
      <c r="S2425" t="s">
        <v>629</v>
      </c>
      <c r="T2425" s="546" t="s">
        <v>804</v>
      </c>
    </row>
    <row r="2426" spans="1:20" x14ac:dyDescent="0.3">
      <c r="A2426" t="s">
        <v>627</v>
      </c>
      <c r="B2426" s="16">
        <v>45804</v>
      </c>
      <c r="C2426" t="s">
        <v>3</v>
      </c>
      <c r="D2426" t="s">
        <v>127</v>
      </c>
      <c r="E2426" t="s">
        <v>174</v>
      </c>
      <c r="F2426" s="15">
        <v>3070</v>
      </c>
      <c r="G2426" s="15">
        <v>2223</v>
      </c>
      <c r="H2426">
        <v>39</v>
      </c>
      <c r="I2426">
        <v>21</v>
      </c>
      <c r="J2426" s="15">
        <v>5170</v>
      </c>
      <c r="K2426">
        <v>3</v>
      </c>
      <c r="L2426" s="15">
        <v>1990</v>
      </c>
      <c r="M2426">
        <v>1</v>
      </c>
      <c r="N2426">
        <v>176</v>
      </c>
      <c r="O2426" s="15">
        <v>3070</v>
      </c>
      <c r="P2426">
        <f t="shared" si="120"/>
        <v>2025</v>
      </c>
      <c r="Q2426">
        <f t="shared" si="121"/>
        <v>5</v>
      </c>
      <c r="R2426" t="str">
        <f t="shared" si="119"/>
        <v>首页推荐-微详情</v>
      </c>
      <c r="S2426" t="s">
        <v>629</v>
      </c>
      <c r="T2426" s="546" t="s">
        <v>804</v>
      </c>
    </row>
    <row r="2427" spans="1:20" x14ac:dyDescent="0.3">
      <c r="A2427" t="s">
        <v>627</v>
      </c>
      <c r="B2427" s="16">
        <v>45804</v>
      </c>
      <c r="C2427" t="s">
        <v>3</v>
      </c>
      <c r="D2427" t="s">
        <v>127</v>
      </c>
      <c r="E2427" t="s">
        <v>176</v>
      </c>
      <c r="F2427">
        <v>112</v>
      </c>
      <c r="G2427">
        <v>50</v>
      </c>
      <c r="H2427">
        <v>0</v>
      </c>
      <c r="I2427">
        <v>1</v>
      </c>
      <c r="J2427">
        <v>0</v>
      </c>
      <c r="K2427">
        <v>0</v>
      </c>
      <c r="L2427">
        <v>0</v>
      </c>
      <c r="M2427">
        <v>0</v>
      </c>
      <c r="N2427">
        <v>3</v>
      </c>
      <c r="O2427">
        <v>14</v>
      </c>
      <c r="P2427">
        <f t="shared" si="120"/>
        <v>2025</v>
      </c>
      <c r="Q2427">
        <f t="shared" si="121"/>
        <v>5</v>
      </c>
      <c r="R2427" t="str">
        <f t="shared" si="119"/>
        <v>首页推荐-短视频</v>
      </c>
      <c r="S2427" t="s">
        <v>629</v>
      </c>
      <c r="T2427" s="546" t="s">
        <v>804</v>
      </c>
    </row>
    <row r="2428" spans="1:20" x14ac:dyDescent="0.3">
      <c r="A2428" t="s">
        <v>627</v>
      </c>
      <c r="B2428" s="16">
        <v>45804</v>
      </c>
      <c r="C2428" t="s">
        <v>3</v>
      </c>
      <c r="D2428" t="s">
        <v>128</v>
      </c>
      <c r="E2428" t="s">
        <v>177</v>
      </c>
      <c r="F2428">
        <v>755</v>
      </c>
      <c r="G2428">
        <v>571</v>
      </c>
      <c r="H2428">
        <v>40</v>
      </c>
      <c r="I2428">
        <v>9</v>
      </c>
      <c r="J2428" s="15">
        <v>5657</v>
      </c>
      <c r="K2428">
        <v>2</v>
      </c>
      <c r="L2428" s="15">
        <v>5657</v>
      </c>
      <c r="M2428">
        <v>2</v>
      </c>
      <c r="N2428">
        <v>335</v>
      </c>
      <c r="O2428">
        <v>567</v>
      </c>
      <c r="P2428">
        <f t="shared" si="120"/>
        <v>2025</v>
      </c>
      <c r="Q2428">
        <f t="shared" si="121"/>
        <v>5</v>
      </c>
      <c r="R2428" t="str">
        <f t="shared" si="119"/>
        <v>手淘搜索-商品及其他</v>
      </c>
      <c r="S2428" t="s">
        <v>629</v>
      </c>
      <c r="T2428" s="546" t="s">
        <v>804</v>
      </c>
    </row>
    <row r="2429" spans="1:20" x14ac:dyDescent="0.3">
      <c r="A2429" t="s">
        <v>627</v>
      </c>
      <c r="B2429" s="16">
        <v>45804</v>
      </c>
      <c r="C2429" t="s">
        <v>3</v>
      </c>
      <c r="D2429" t="s">
        <v>128</v>
      </c>
      <c r="E2429" t="s">
        <v>179</v>
      </c>
      <c r="F2429">
        <v>10</v>
      </c>
      <c r="G2429">
        <v>4</v>
      </c>
      <c r="H2429">
        <v>2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10</v>
      </c>
      <c r="P2429">
        <f t="shared" si="120"/>
        <v>2025</v>
      </c>
      <c r="Q2429">
        <f t="shared" si="121"/>
        <v>5</v>
      </c>
      <c r="R2429" t="str">
        <f t="shared" si="119"/>
        <v>手淘搜索-短视频</v>
      </c>
      <c r="S2429" t="s">
        <v>629</v>
      </c>
      <c r="T2429" s="546" t="s">
        <v>804</v>
      </c>
    </row>
    <row r="2430" spans="1:20" x14ac:dyDescent="0.3">
      <c r="A2430" t="s">
        <v>627</v>
      </c>
      <c r="B2430" s="16">
        <v>45804</v>
      </c>
      <c r="C2430" t="s">
        <v>3</v>
      </c>
      <c r="D2430" t="s">
        <v>143</v>
      </c>
      <c r="E2430" t="s">
        <v>180</v>
      </c>
      <c r="F2430">
        <v>10</v>
      </c>
      <c r="G2430">
        <v>9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10</v>
      </c>
      <c r="P2430">
        <f t="shared" si="120"/>
        <v>2025</v>
      </c>
      <c r="Q2430">
        <f t="shared" si="121"/>
        <v>5</v>
      </c>
      <c r="R2430" t="str">
        <f t="shared" si="119"/>
        <v>淘特其他渠道</v>
      </c>
      <c r="S2430" t="s">
        <v>629</v>
      </c>
      <c r="T2430" s="546" t="s">
        <v>804</v>
      </c>
    </row>
    <row r="2431" spans="1:20" x14ac:dyDescent="0.3">
      <c r="A2431" t="s">
        <v>627</v>
      </c>
      <c r="B2431" s="16">
        <v>45804</v>
      </c>
      <c r="C2431" t="s">
        <v>3</v>
      </c>
      <c r="D2431" t="s">
        <v>143</v>
      </c>
      <c r="E2431" t="s">
        <v>181</v>
      </c>
      <c r="F2431">
        <v>36</v>
      </c>
      <c r="G2431">
        <v>34</v>
      </c>
      <c r="H2431">
        <v>1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36</v>
      </c>
      <c r="P2431">
        <f t="shared" si="120"/>
        <v>2025</v>
      </c>
      <c r="Q2431">
        <f t="shared" si="121"/>
        <v>5</v>
      </c>
      <c r="R2431" t="str">
        <f t="shared" si="119"/>
        <v>淘特搜索</v>
      </c>
      <c r="S2431" t="s">
        <v>629</v>
      </c>
      <c r="T2431" s="546" t="s">
        <v>804</v>
      </c>
    </row>
    <row r="2432" spans="1:20" x14ac:dyDescent="0.3">
      <c r="A2432" t="s">
        <v>627</v>
      </c>
      <c r="B2432" s="16">
        <v>45804</v>
      </c>
      <c r="C2432" t="s">
        <v>3</v>
      </c>
      <c r="D2432" t="s">
        <v>143</v>
      </c>
      <c r="E2432" t="s">
        <v>224</v>
      </c>
      <c r="F2432">
        <v>1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</v>
      </c>
      <c r="P2432">
        <f t="shared" si="120"/>
        <v>2025</v>
      </c>
      <c r="Q2432">
        <f t="shared" si="121"/>
        <v>5</v>
      </c>
      <c r="R2432" t="str">
        <f t="shared" si="119"/>
        <v>淘特自主访问</v>
      </c>
      <c r="S2432" t="s">
        <v>629</v>
      </c>
      <c r="T2432" s="546" t="s">
        <v>804</v>
      </c>
    </row>
    <row r="2433" spans="1:20" x14ac:dyDescent="0.3">
      <c r="A2433" t="s">
        <v>627</v>
      </c>
      <c r="B2433" s="16">
        <v>45804</v>
      </c>
      <c r="C2433" t="s">
        <v>2</v>
      </c>
      <c r="D2433" t="s">
        <v>55</v>
      </c>
      <c r="E2433" t="s">
        <v>56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f t="shared" si="120"/>
        <v>2025</v>
      </c>
      <c r="Q2433">
        <f t="shared" si="121"/>
        <v>5</v>
      </c>
      <c r="R2433" t="str">
        <f t="shared" si="119"/>
        <v>超级短视频</v>
      </c>
      <c r="S2433" t="s">
        <v>629</v>
      </c>
      <c r="T2433" s="546" t="s">
        <v>804</v>
      </c>
    </row>
    <row r="2434" spans="1:20" x14ac:dyDescent="0.3">
      <c r="A2434" t="s">
        <v>627</v>
      </c>
      <c r="B2434" s="16">
        <v>45804</v>
      </c>
      <c r="C2434" t="s">
        <v>2</v>
      </c>
      <c r="D2434" t="s">
        <v>57</v>
      </c>
      <c r="E2434" t="s">
        <v>64</v>
      </c>
      <c r="F2434" s="15">
        <v>6612</v>
      </c>
      <c r="G2434" s="15">
        <v>3714</v>
      </c>
      <c r="H2434">
        <v>35</v>
      </c>
      <c r="I2434">
        <v>26</v>
      </c>
      <c r="J2434" s="15">
        <v>8791</v>
      </c>
      <c r="K2434">
        <v>3</v>
      </c>
      <c r="L2434">
        <v>0</v>
      </c>
      <c r="M2434">
        <v>0</v>
      </c>
      <c r="N2434">
        <v>174</v>
      </c>
      <c r="O2434" s="15">
        <v>6612</v>
      </c>
      <c r="P2434">
        <f t="shared" si="120"/>
        <v>2025</v>
      </c>
      <c r="Q2434">
        <f t="shared" si="121"/>
        <v>5</v>
      </c>
      <c r="R2434" t="str">
        <f t="shared" si="119"/>
        <v>引力魔方</v>
      </c>
      <c r="S2434" t="s">
        <v>629</v>
      </c>
      <c r="T2434" s="546" t="s">
        <v>804</v>
      </c>
    </row>
    <row r="2435" spans="1:20" x14ac:dyDescent="0.3">
      <c r="A2435" t="s">
        <v>627</v>
      </c>
      <c r="B2435" s="16">
        <v>45804</v>
      </c>
      <c r="C2435" t="s">
        <v>2</v>
      </c>
      <c r="D2435" t="s">
        <v>57</v>
      </c>
      <c r="E2435" t="s">
        <v>65</v>
      </c>
      <c r="F2435" s="15">
        <v>5891</v>
      </c>
      <c r="G2435" s="15">
        <v>5108</v>
      </c>
      <c r="H2435">
        <v>34</v>
      </c>
      <c r="I2435">
        <v>27</v>
      </c>
      <c r="J2435" s="15">
        <v>24423</v>
      </c>
      <c r="K2435">
        <v>7</v>
      </c>
      <c r="L2435" s="15">
        <v>8095</v>
      </c>
      <c r="M2435">
        <v>2</v>
      </c>
      <c r="N2435">
        <v>257</v>
      </c>
      <c r="O2435" s="15">
        <v>5845</v>
      </c>
      <c r="P2435">
        <f t="shared" si="120"/>
        <v>2025</v>
      </c>
      <c r="Q2435">
        <f t="shared" si="121"/>
        <v>5</v>
      </c>
      <c r="R2435" t="str">
        <f t="shared" si="119"/>
        <v>直通车</v>
      </c>
      <c r="S2435" t="s">
        <v>629</v>
      </c>
      <c r="T2435" s="546" t="s">
        <v>804</v>
      </c>
    </row>
    <row r="2436" spans="1:20" x14ac:dyDescent="0.3">
      <c r="A2436" t="s">
        <v>627</v>
      </c>
      <c r="B2436" s="16">
        <v>45804</v>
      </c>
      <c r="C2436" t="s">
        <v>2</v>
      </c>
      <c r="D2436" t="s">
        <v>57</v>
      </c>
      <c r="E2436" t="s">
        <v>63</v>
      </c>
      <c r="F2436" s="15">
        <v>5662</v>
      </c>
      <c r="G2436" s="15">
        <v>2917</v>
      </c>
      <c r="H2436">
        <v>210</v>
      </c>
      <c r="I2436">
        <v>199</v>
      </c>
      <c r="J2436" s="15">
        <v>21834</v>
      </c>
      <c r="K2436">
        <v>7</v>
      </c>
      <c r="L2436" s="15">
        <v>9077</v>
      </c>
      <c r="M2436">
        <v>3</v>
      </c>
      <c r="N2436">
        <v>818</v>
      </c>
      <c r="O2436" s="15">
        <v>5450</v>
      </c>
      <c r="P2436">
        <f t="shared" si="120"/>
        <v>2025</v>
      </c>
      <c r="Q2436">
        <f t="shared" si="121"/>
        <v>5</v>
      </c>
      <c r="R2436" t="str">
        <f t="shared" si="119"/>
        <v>万相台</v>
      </c>
      <c r="S2436" t="s">
        <v>629</v>
      </c>
      <c r="T2436" s="546" t="s">
        <v>804</v>
      </c>
    </row>
    <row r="2437" spans="1:20" x14ac:dyDescent="0.3">
      <c r="A2437" t="s">
        <v>627</v>
      </c>
      <c r="B2437" s="16">
        <v>45804</v>
      </c>
      <c r="C2437" t="s">
        <v>2</v>
      </c>
      <c r="D2437" t="s">
        <v>4</v>
      </c>
      <c r="E2437" t="s">
        <v>41</v>
      </c>
      <c r="F2437">
        <v>2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2</v>
      </c>
      <c r="P2437">
        <f t="shared" si="120"/>
        <v>2025</v>
      </c>
      <c r="Q2437">
        <f t="shared" si="121"/>
        <v>5</v>
      </c>
      <c r="R2437" t="str">
        <f t="shared" si="119"/>
        <v>流量宝</v>
      </c>
      <c r="S2437" t="s">
        <v>629</v>
      </c>
      <c r="T2437" s="546" t="s">
        <v>804</v>
      </c>
    </row>
    <row r="2438" spans="1:20" x14ac:dyDescent="0.3">
      <c r="A2438" t="s">
        <v>627</v>
      </c>
      <c r="B2438" s="16">
        <v>45804</v>
      </c>
      <c r="C2438" t="s">
        <v>2</v>
      </c>
      <c r="D2438" t="s">
        <v>4</v>
      </c>
      <c r="E2438" t="s">
        <v>43</v>
      </c>
      <c r="F2438">
        <v>358</v>
      </c>
      <c r="G2438">
        <v>141</v>
      </c>
      <c r="H2438">
        <v>8</v>
      </c>
      <c r="I2438">
        <v>0</v>
      </c>
      <c r="J2438" s="15">
        <v>5670</v>
      </c>
      <c r="K2438">
        <v>2</v>
      </c>
      <c r="L2438">
        <v>0</v>
      </c>
      <c r="M2438">
        <v>0</v>
      </c>
      <c r="N2438">
        <v>5</v>
      </c>
      <c r="O2438">
        <v>354</v>
      </c>
      <c r="P2438">
        <f t="shared" si="120"/>
        <v>2025</v>
      </c>
      <c r="Q2438">
        <f t="shared" si="121"/>
        <v>5</v>
      </c>
      <c r="R2438" t="str">
        <f t="shared" si="119"/>
        <v>淘宝客</v>
      </c>
      <c r="S2438" t="s">
        <v>629</v>
      </c>
      <c r="T2438" s="546" t="s">
        <v>804</v>
      </c>
    </row>
    <row r="2439" spans="1:20" x14ac:dyDescent="0.3">
      <c r="A2439" t="s">
        <v>627</v>
      </c>
      <c r="B2439" s="16">
        <v>45805</v>
      </c>
      <c r="C2439" t="s">
        <v>3</v>
      </c>
      <c r="D2439" t="s">
        <v>114</v>
      </c>
      <c r="E2439" t="s">
        <v>159</v>
      </c>
      <c r="F2439">
        <v>135</v>
      </c>
      <c r="G2439">
        <v>54</v>
      </c>
      <c r="H2439">
        <v>3</v>
      </c>
      <c r="I2439">
        <v>5</v>
      </c>
      <c r="J2439" s="15">
        <v>2937</v>
      </c>
      <c r="K2439">
        <v>1</v>
      </c>
      <c r="L2439" s="15">
        <v>2937</v>
      </c>
      <c r="M2439">
        <v>1</v>
      </c>
      <c r="N2439">
        <v>16</v>
      </c>
      <c r="O2439">
        <v>131</v>
      </c>
      <c r="P2439">
        <f t="shared" si="120"/>
        <v>2025</v>
      </c>
      <c r="Q2439">
        <f t="shared" si="121"/>
        <v>5</v>
      </c>
      <c r="R2439" t="str">
        <f t="shared" ref="R2439:R2502" si="122">E2439</f>
        <v>主会场</v>
      </c>
      <c r="S2439" t="s">
        <v>629</v>
      </c>
      <c r="T2439" s="546" t="s">
        <v>804</v>
      </c>
    </row>
    <row r="2440" spans="1:20" x14ac:dyDescent="0.3">
      <c r="A2440" t="s">
        <v>627</v>
      </c>
      <c r="B2440" s="16">
        <v>45805</v>
      </c>
      <c r="C2440" t="s">
        <v>3</v>
      </c>
      <c r="D2440" t="s">
        <v>117</v>
      </c>
      <c r="E2440" t="s">
        <v>161</v>
      </c>
      <c r="F2440">
        <v>2</v>
      </c>
      <c r="G2440">
        <v>2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2</v>
      </c>
      <c r="P2440">
        <f t="shared" si="120"/>
        <v>2025</v>
      </c>
      <c r="Q2440">
        <f t="shared" si="121"/>
        <v>5</v>
      </c>
      <c r="R2440" t="str">
        <f t="shared" si="122"/>
        <v>其他入口榜单</v>
      </c>
      <c r="S2440" t="s">
        <v>629</v>
      </c>
      <c r="T2440" s="546" t="s">
        <v>804</v>
      </c>
    </row>
    <row r="2441" spans="1:20" x14ac:dyDescent="0.3">
      <c r="A2441" t="s">
        <v>627</v>
      </c>
      <c r="B2441" s="16">
        <v>45805</v>
      </c>
      <c r="C2441" t="s">
        <v>3</v>
      </c>
      <c r="D2441" t="s">
        <v>123</v>
      </c>
      <c r="E2441" t="s">
        <v>169</v>
      </c>
      <c r="F2441">
        <v>170</v>
      </c>
      <c r="G2441">
        <v>74</v>
      </c>
      <c r="H2441">
        <v>10</v>
      </c>
      <c r="I2441">
        <v>2</v>
      </c>
      <c r="J2441" s="15">
        <v>8192</v>
      </c>
      <c r="K2441">
        <v>3</v>
      </c>
      <c r="L2441" s="15">
        <v>6515</v>
      </c>
      <c r="M2441">
        <v>2</v>
      </c>
      <c r="N2441">
        <v>38</v>
      </c>
      <c r="O2441">
        <v>160</v>
      </c>
      <c r="P2441">
        <f t="shared" si="120"/>
        <v>2025</v>
      </c>
      <c r="Q2441">
        <f t="shared" si="121"/>
        <v>5</v>
      </c>
      <c r="R2441" t="str">
        <f t="shared" si="122"/>
        <v>商品详情页头图推荐</v>
      </c>
      <c r="S2441" t="s">
        <v>629</v>
      </c>
      <c r="T2441" s="546" t="s">
        <v>804</v>
      </c>
    </row>
    <row r="2442" spans="1:20" x14ac:dyDescent="0.3">
      <c r="A2442" t="s">
        <v>627</v>
      </c>
      <c r="B2442" s="16">
        <v>45805</v>
      </c>
      <c r="C2442" t="s">
        <v>3</v>
      </c>
      <c r="D2442" t="s">
        <v>123</v>
      </c>
      <c r="E2442" t="s">
        <v>170</v>
      </c>
      <c r="F2442">
        <v>26</v>
      </c>
      <c r="G2442">
        <v>13</v>
      </c>
      <c r="H2442">
        <v>3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22</v>
      </c>
      <c r="O2442">
        <v>14</v>
      </c>
      <c r="P2442">
        <f t="shared" si="120"/>
        <v>2025</v>
      </c>
      <c r="Q2442">
        <f t="shared" si="121"/>
        <v>5</v>
      </c>
      <c r="R2442" t="str">
        <f t="shared" si="122"/>
        <v>店铺超链</v>
      </c>
      <c r="S2442" t="s">
        <v>629</v>
      </c>
      <c r="T2442" s="546" t="s">
        <v>804</v>
      </c>
    </row>
    <row r="2443" spans="1:20" x14ac:dyDescent="0.3">
      <c r="A2443" t="s">
        <v>627</v>
      </c>
      <c r="B2443" s="16">
        <v>45805</v>
      </c>
      <c r="C2443" t="s">
        <v>3</v>
      </c>
      <c r="D2443" t="s">
        <v>127</v>
      </c>
      <c r="E2443" t="s">
        <v>171</v>
      </c>
      <c r="F2443">
        <v>224</v>
      </c>
      <c r="G2443">
        <v>128</v>
      </c>
      <c r="H2443">
        <v>8</v>
      </c>
      <c r="I2443">
        <v>2</v>
      </c>
      <c r="J2443" s="15">
        <v>12290</v>
      </c>
      <c r="K2443">
        <v>2</v>
      </c>
      <c r="L2443" s="15">
        <v>6090</v>
      </c>
      <c r="M2443">
        <v>2</v>
      </c>
      <c r="N2443">
        <v>36</v>
      </c>
      <c r="O2443">
        <v>198</v>
      </c>
      <c r="P2443">
        <f t="shared" si="120"/>
        <v>2025</v>
      </c>
      <c r="Q2443">
        <f t="shared" si="121"/>
        <v>5</v>
      </c>
      <c r="R2443" t="str">
        <f t="shared" si="122"/>
        <v>其他猜你喜欢</v>
      </c>
      <c r="S2443" t="s">
        <v>629</v>
      </c>
      <c r="T2443" s="546" t="s">
        <v>804</v>
      </c>
    </row>
    <row r="2444" spans="1:20" x14ac:dyDescent="0.3">
      <c r="A2444" t="s">
        <v>627</v>
      </c>
      <c r="B2444" s="16">
        <v>45805</v>
      </c>
      <c r="C2444" t="s">
        <v>3</v>
      </c>
      <c r="D2444" t="s">
        <v>127</v>
      </c>
      <c r="E2444" t="s">
        <v>172</v>
      </c>
      <c r="F2444">
        <v>16</v>
      </c>
      <c r="G2444">
        <v>11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1</v>
      </c>
      <c r="O2444">
        <v>12</v>
      </c>
      <c r="P2444">
        <f t="shared" si="120"/>
        <v>2025</v>
      </c>
      <c r="Q2444">
        <f t="shared" si="121"/>
        <v>5</v>
      </c>
      <c r="R2444" t="str">
        <f t="shared" si="122"/>
        <v>购中推荐</v>
      </c>
      <c r="S2444" t="s">
        <v>629</v>
      </c>
      <c r="T2444" s="546" t="s">
        <v>804</v>
      </c>
    </row>
    <row r="2445" spans="1:20" x14ac:dyDescent="0.3">
      <c r="A2445" t="s">
        <v>627</v>
      </c>
      <c r="B2445" s="16">
        <v>45805</v>
      </c>
      <c r="C2445" t="s">
        <v>3</v>
      </c>
      <c r="D2445" t="s">
        <v>127</v>
      </c>
      <c r="E2445" t="s">
        <v>173</v>
      </c>
      <c r="F2445">
        <v>61</v>
      </c>
      <c r="G2445">
        <v>43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32</v>
      </c>
      <c r="P2445">
        <f t="shared" si="120"/>
        <v>2025</v>
      </c>
      <c r="Q2445">
        <f t="shared" si="121"/>
        <v>5</v>
      </c>
      <c r="R2445" t="str">
        <f t="shared" si="122"/>
        <v>购后推荐</v>
      </c>
      <c r="S2445" t="s">
        <v>629</v>
      </c>
      <c r="T2445" s="546" t="s">
        <v>804</v>
      </c>
    </row>
    <row r="2446" spans="1:20" x14ac:dyDescent="0.3">
      <c r="A2446" t="s">
        <v>627</v>
      </c>
      <c r="B2446" s="16">
        <v>45805</v>
      </c>
      <c r="C2446" t="s">
        <v>3</v>
      </c>
      <c r="D2446" t="s">
        <v>127</v>
      </c>
      <c r="E2446" t="s">
        <v>174</v>
      </c>
      <c r="F2446" s="15">
        <v>2836</v>
      </c>
      <c r="G2446" s="15">
        <v>2049</v>
      </c>
      <c r="H2446">
        <v>24</v>
      </c>
      <c r="I2446">
        <v>17</v>
      </c>
      <c r="J2446" s="17">
        <v>22581.43</v>
      </c>
      <c r="K2446">
        <v>8</v>
      </c>
      <c r="L2446" s="17">
        <v>21091.43</v>
      </c>
      <c r="M2446">
        <v>7</v>
      </c>
      <c r="N2446">
        <v>125</v>
      </c>
      <c r="O2446" s="15">
        <v>2836</v>
      </c>
      <c r="P2446">
        <f t="shared" si="120"/>
        <v>2025</v>
      </c>
      <c r="Q2446">
        <f t="shared" si="121"/>
        <v>5</v>
      </c>
      <c r="R2446" t="str">
        <f t="shared" si="122"/>
        <v>首页推荐-微详情</v>
      </c>
      <c r="S2446" t="s">
        <v>629</v>
      </c>
      <c r="T2446" s="546" t="s">
        <v>804</v>
      </c>
    </row>
    <row r="2447" spans="1:20" x14ac:dyDescent="0.3">
      <c r="A2447" t="s">
        <v>627</v>
      </c>
      <c r="B2447" s="16">
        <v>45805</v>
      </c>
      <c r="C2447" t="s">
        <v>3</v>
      </c>
      <c r="D2447" t="s">
        <v>127</v>
      </c>
      <c r="E2447" t="s">
        <v>175</v>
      </c>
      <c r="F2447">
        <v>441</v>
      </c>
      <c r="G2447">
        <v>327</v>
      </c>
      <c r="H2447">
        <v>1</v>
      </c>
      <c r="I2447">
        <v>0</v>
      </c>
      <c r="J2447" s="15">
        <v>4980</v>
      </c>
      <c r="K2447">
        <v>2</v>
      </c>
      <c r="L2447" s="15">
        <v>4980</v>
      </c>
      <c r="M2447">
        <v>2</v>
      </c>
      <c r="N2447">
        <v>2</v>
      </c>
      <c r="O2447">
        <v>43</v>
      </c>
      <c r="P2447">
        <f t="shared" si="120"/>
        <v>2025</v>
      </c>
      <c r="Q2447">
        <f t="shared" si="121"/>
        <v>5</v>
      </c>
      <c r="R2447" t="str">
        <f t="shared" si="122"/>
        <v>首页推荐-直播</v>
      </c>
      <c r="S2447" t="s">
        <v>629</v>
      </c>
      <c r="T2447" s="546" t="s">
        <v>804</v>
      </c>
    </row>
    <row r="2448" spans="1:20" x14ac:dyDescent="0.3">
      <c r="A2448" t="s">
        <v>627</v>
      </c>
      <c r="B2448" s="16">
        <v>45805</v>
      </c>
      <c r="C2448" t="s">
        <v>3</v>
      </c>
      <c r="D2448" t="s">
        <v>127</v>
      </c>
      <c r="E2448" t="s">
        <v>176</v>
      </c>
      <c r="F2448">
        <v>309</v>
      </c>
      <c r="G2448">
        <v>223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3</v>
      </c>
      <c r="O2448">
        <v>20</v>
      </c>
      <c r="P2448">
        <f t="shared" si="120"/>
        <v>2025</v>
      </c>
      <c r="Q2448">
        <f t="shared" si="121"/>
        <v>5</v>
      </c>
      <c r="R2448" t="str">
        <f t="shared" si="122"/>
        <v>首页推荐-短视频</v>
      </c>
      <c r="S2448" t="s">
        <v>629</v>
      </c>
      <c r="T2448" s="546" t="s">
        <v>804</v>
      </c>
    </row>
    <row r="2449" spans="1:20" x14ac:dyDescent="0.3">
      <c r="A2449" t="s">
        <v>627</v>
      </c>
      <c r="B2449" s="16">
        <v>45805</v>
      </c>
      <c r="C2449" t="s">
        <v>3</v>
      </c>
      <c r="D2449" t="s">
        <v>128</v>
      </c>
      <c r="E2449" t="s">
        <v>177</v>
      </c>
      <c r="F2449">
        <v>886</v>
      </c>
      <c r="G2449">
        <v>680</v>
      </c>
      <c r="H2449">
        <v>53</v>
      </c>
      <c r="I2449">
        <v>6</v>
      </c>
      <c r="J2449" s="15">
        <v>52020</v>
      </c>
      <c r="K2449">
        <v>8</v>
      </c>
      <c r="L2449" s="15">
        <v>42680</v>
      </c>
      <c r="M2449">
        <v>6</v>
      </c>
      <c r="N2449">
        <v>369</v>
      </c>
      <c r="O2449">
        <v>673</v>
      </c>
      <c r="P2449">
        <f t="shared" si="120"/>
        <v>2025</v>
      </c>
      <c r="Q2449">
        <f t="shared" si="121"/>
        <v>5</v>
      </c>
      <c r="R2449" t="str">
        <f t="shared" si="122"/>
        <v>手淘搜索-商品及其他</v>
      </c>
      <c r="S2449" t="s">
        <v>629</v>
      </c>
      <c r="T2449" s="546" t="s">
        <v>804</v>
      </c>
    </row>
    <row r="2450" spans="1:20" x14ac:dyDescent="0.3">
      <c r="A2450" t="s">
        <v>627</v>
      </c>
      <c r="B2450" s="16">
        <v>45805</v>
      </c>
      <c r="C2450" t="s">
        <v>3</v>
      </c>
      <c r="D2450" t="s">
        <v>128</v>
      </c>
      <c r="E2450" t="s">
        <v>178</v>
      </c>
      <c r="F2450">
        <v>8</v>
      </c>
      <c r="G2450">
        <v>4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2</v>
      </c>
      <c r="O2450">
        <v>6</v>
      </c>
      <c r="P2450">
        <f t="shared" si="120"/>
        <v>2025</v>
      </c>
      <c r="Q2450">
        <f t="shared" si="121"/>
        <v>5</v>
      </c>
      <c r="R2450" t="str">
        <f t="shared" si="122"/>
        <v>手淘搜索-直播</v>
      </c>
      <c r="S2450" t="s">
        <v>629</v>
      </c>
      <c r="T2450" s="546" t="s">
        <v>804</v>
      </c>
    </row>
    <row r="2451" spans="1:20" x14ac:dyDescent="0.3">
      <c r="A2451" t="s">
        <v>627</v>
      </c>
      <c r="B2451" s="16">
        <v>45805</v>
      </c>
      <c r="C2451" t="s">
        <v>3</v>
      </c>
      <c r="D2451" t="s">
        <v>128</v>
      </c>
      <c r="E2451" t="s">
        <v>179</v>
      </c>
      <c r="F2451">
        <v>15</v>
      </c>
      <c r="G2451">
        <v>7</v>
      </c>
      <c r="H2451">
        <v>0</v>
      </c>
      <c r="I2451">
        <v>0</v>
      </c>
      <c r="J2451" s="15">
        <v>2750</v>
      </c>
      <c r="K2451">
        <v>1</v>
      </c>
      <c r="L2451" s="15">
        <v>2750</v>
      </c>
      <c r="M2451">
        <v>1</v>
      </c>
      <c r="N2451">
        <v>2</v>
      </c>
      <c r="O2451">
        <v>15</v>
      </c>
      <c r="P2451">
        <f t="shared" si="120"/>
        <v>2025</v>
      </c>
      <c r="Q2451">
        <f t="shared" si="121"/>
        <v>5</v>
      </c>
      <c r="R2451" t="str">
        <f t="shared" si="122"/>
        <v>手淘搜索-短视频</v>
      </c>
      <c r="S2451" t="s">
        <v>629</v>
      </c>
      <c r="T2451" s="546" t="s">
        <v>804</v>
      </c>
    </row>
    <row r="2452" spans="1:20" x14ac:dyDescent="0.3">
      <c r="A2452" t="s">
        <v>627</v>
      </c>
      <c r="B2452" s="16">
        <v>45805</v>
      </c>
      <c r="C2452" t="s">
        <v>3</v>
      </c>
      <c r="D2452" t="s">
        <v>143</v>
      </c>
      <c r="E2452" t="s">
        <v>180</v>
      </c>
      <c r="F2452">
        <v>11</v>
      </c>
      <c r="G2452">
        <v>9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11</v>
      </c>
      <c r="P2452">
        <f t="shared" si="120"/>
        <v>2025</v>
      </c>
      <c r="Q2452">
        <f t="shared" si="121"/>
        <v>5</v>
      </c>
      <c r="R2452" t="str">
        <f t="shared" si="122"/>
        <v>淘特其他渠道</v>
      </c>
      <c r="S2452" t="s">
        <v>629</v>
      </c>
      <c r="T2452" s="546" t="s">
        <v>804</v>
      </c>
    </row>
    <row r="2453" spans="1:20" x14ac:dyDescent="0.3">
      <c r="A2453" t="s">
        <v>627</v>
      </c>
      <c r="B2453" s="16">
        <v>45805</v>
      </c>
      <c r="C2453" t="s">
        <v>3</v>
      </c>
      <c r="D2453" t="s">
        <v>143</v>
      </c>
      <c r="E2453" t="s">
        <v>181</v>
      </c>
      <c r="F2453">
        <v>30</v>
      </c>
      <c r="G2453">
        <v>29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30</v>
      </c>
      <c r="P2453">
        <f t="shared" ref="P2453:P2516" si="123">YEAR(B2453)</f>
        <v>2025</v>
      </c>
      <c r="Q2453">
        <f t="shared" ref="Q2453:Q2516" si="124">MONTH(B2453)</f>
        <v>5</v>
      </c>
      <c r="R2453" t="str">
        <f t="shared" si="122"/>
        <v>淘特搜索</v>
      </c>
      <c r="S2453" t="s">
        <v>629</v>
      </c>
      <c r="T2453" s="546" t="s">
        <v>804</v>
      </c>
    </row>
    <row r="2454" spans="1:20" x14ac:dyDescent="0.3">
      <c r="A2454" t="s">
        <v>627</v>
      </c>
      <c r="B2454" s="16">
        <v>45805</v>
      </c>
      <c r="C2454" t="s">
        <v>2</v>
      </c>
      <c r="D2454" t="s">
        <v>55</v>
      </c>
      <c r="E2454" t="s">
        <v>54</v>
      </c>
      <c r="F2454" s="15">
        <v>1357</v>
      </c>
      <c r="G2454" s="15">
        <v>1173</v>
      </c>
      <c r="H2454">
        <v>28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34</v>
      </c>
      <c r="O2454">
        <v>384</v>
      </c>
      <c r="P2454">
        <f t="shared" si="123"/>
        <v>2025</v>
      </c>
      <c r="Q2454">
        <f t="shared" si="124"/>
        <v>5</v>
      </c>
      <c r="R2454" t="str">
        <f t="shared" si="122"/>
        <v>超级直播</v>
      </c>
      <c r="S2454" t="s">
        <v>629</v>
      </c>
      <c r="T2454" s="546" t="s">
        <v>804</v>
      </c>
    </row>
    <row r="2455" spans="1:20" x14ac:dyDescent="0.3">
      <c r="A2455" t="s">
        <v>627</v>
      </c>
      <c r="B2455" s="16">
        <v>45805</v>
      </c>
      <c r="C2455" t="s">
        <v>2</v>
      </c>
      <c r="D2455" t="s">
        <v>55</v>
      </c>
      <c r="E2455" t="s">
        <v>56</v>
      </c>
      <c r="F2455">
        <v>1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1</v>
      </c>
      <c r="P2455">
        <f t="shared" si="123"/>
        <v>2025</v>
      </c>
      <c r="Q2455">
        <f t="shared" si="124"/>
        <v>5</v>
      </c>
      <c r="R2455" t="str">
        <f t="shared" si="122"/>
        <v>超级短视频</v>
      </c>
      <c r="S2455" t="s">
        <v>629</v>
      </c>
      <c r="T2455" s="546" t="s">
        <v>804</v>
      </c>
    </row>
    <row r="2456" spans="1:20" x14ac:dyDescent="0.3">
      <c r="A2456" t="s">
        <v>627</v>
      </c>
      <c r="B2456" s="16">
        <v>45805</v>
      </c>
      <c r="C2456" t="s">
        <v>2</v>
      </c>
      <c r="D2456" t="s">
        <v>57</v>
      </c>
      <c r="E2456" t="s">
        <v>64</v>
      </c>
      <c r="F2456" s="15">
        <v>5749</v>
      </c>
      <c r="G2456" s="15">
        <v>3033</v>
      </c>
      <c r="H2456">
        <v>97</v>
      </c>
      <c r="I2456">
        <v>49</v>
      </c>
      <c r="J2456" s="15">
        <v>48293</v>
      </c>
      <c r="K2456">
        <v>11</v>
      </c>
      <c r="L2456" s="15">
        <v>34613</v>
      </c>
      <c r="M2456">
        <v>8</v>
      </c>
      <c r="N2456">
        <v>213</v>
      </c>
      <c r="O2456" s="15">
        <v>5749</v>
      </c>
      <c r="P2456">
        <f t="shared" si="123"/>
        <v>2025</v>
      </c>
      <c r="Q2456">
        <f t="shared" si="124"/>
        <v>5</v>
      </c>
      <c r="R2456" t="str">
        <f t="shared" si="122"/>
        <v>引力魔方</v>
      </c>
      <c r="S2456" t="s">
        <v>629</v>
      </c>
      <c r="T2456" s="546" t="s">
        <v>804</v>
      </c>
    </row>
    <row r="2457" spans="1:20" x14ac:dyDescent="0.3">
      <c r="A2457" t="s">
        <v>627</v>
      </c>
      <c r="B2457" s="16">
        <v>45805</v>
      </c>
      <c r="C2457" t="s">
        <v>2</v>
      </c>
      <c r="D2457" t="s">
        <v>57</v>
      </c>
      <c r="E2457" t="s">
        <v>65</v>
      </c>
      <c r="F2457" s="15">
        <v>5665</v>
      </c>
      <c r="G2457" s="15">
        <v>4855</v>
      </c>
      <c r="H2457">
        <v>38</v>
      </c>
      <c r="I2457">
        <v>27</v>
      </c>
      <c r="J2457" s="15">
        <v>41905</v>
      </c>
      <c r="K2457">
        <v>10</v>
      </c>
      <c r="L2457" s="15">
        <v>24080</v>
      </c>
      <c r="M2457">
        <v>7</v>
      </c>
      <c r="N2457">
        <v>246</v>
      </c>
      <c r="O2457" s="15">
        <v>5630</v>
      </c>
      <c r="P2457">
        <f t="shared" si="123"/>
        <v>2025</v>
      </c>
      <c r="Q2457">
        <f t="shared" si="124"/>
        <v>5</v>
      </c>
      <c r="R2457" t="str">
        <f t="shared" si="122"/>
        <v>直通车</v>
      </c>
      <c r="S2457" t="s">
        <v>629</v>
      </c>
      <c r="T2457" s="546" t="s">
        <v>804</v>
      </c>
    </row>
    <row r="2458" spans="1:20" x14ac:dyDescent="0.3">
      <c r="A2458" t="s">
        <v>627</v>
      </c>
      <c r="B2458" s="16">
        <v>45805</v>
      </c>
      <c r="C2458" t="s">
        <v>2</v>
      </c>
      <c r="D2458" t="s">
        <v>57</v>
      </c>
      <c r="E2458" t="s">
        <v>63</v>
      </c>
      <c r="F2458" s="15">
        <v>4758</v>
      </c>
      <c r="G2458" s="15">
        <v>2549</v>
      </c>
      <c r="H2458">
        <v>202</v>
      </c>
      <c r="I2458">
        <v>176</v>
      </c>
      <c r="J2458" s="15">
        <v>72283</v>
      </c>
      <c r="K2458">
        <v>22</v>
      </c>
      <c r="L2458" s="15">
        <v>40970</v>
      </c>
      <c r="M2458">
        <v>16</v>
      </c>
      <c r="N2458">
        <v>743</v>
      </c>
      <c r="O2458" s="15">
        <v>4549</v>
      </c>
      <c r="P2458">
        <f t="shared" si="123"/>
        <v>2025</v>
      </c>
      <c r="Q2458">
        <f t="shared" si="124"/>
        <v>5</v>
      </c>
      <c r="R2458" t="str">
        <f t="shared" si="122"/>
        <v>万相台</v>
      </c>
      <c r="S2458" t="s">
        <v>629</v>
      </c>
      <c r="T2458" s="546" t="s">
        <v>804</v>
      </c>
    </row>
    <row r="2459" spans="1:20" x14ac:dyDescent="0.3">
      <c r="A2459" t="s">
        <v>627</v>
      </c>
      <c r="B2459" s="16">
        <v>45805</v>
      </c>
      <c r="C2459" t="s">
        <v>2</v>
      </c>
      <c r="D2459" t="s">
        <v>4</v>
      </c>
      <c r="E2459" t="s">
        <v>41</v>
      </c>
      <c r="F2459">
        <v>3</v>
      </c>
      <c r="G2459">
        <v>3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1</v>
      </c>
      <c r="O2459">
        <v>2</v>
      </c>
      <c r="P2459">
        <f t="shared" si="123"/>
        <v>2025</v>
      </c>
      <c r="Q2459">
        <f t="shared" si="124"/>
        <v>5</v>
      </c>
      <c r="R2459" t="str">
        <f t="shared" si="122"/>
        <v>流量宝</v>
      </c>
      <c r="S2459" t="s">
        <v>629</v>
      </c>
      <c r="T2459" s="546" t="s">
        <v>804</v>
      </c>
    </row>
    <row r="2460" spans="1:20" x14ac:dyDescent="0.3">
      <c r="A2460" t="s">
        <v>627</v>
      </c>
      <c r="B2460" s="16">
        <v>45805</v>
      </c>
      <c r="C2460" t="s">
        <v>2</v>
      </c>
      <c r="D2460" t="s">
        <v>4</v>
      </c>
      <c r="E2460" t="s">
        <v>43</v>
      </c>
      <c r="F2460">
        <v>310</v>
      </c>
      <c r="G2460">
        <v>90</v>
      </c>
      <c r="H2460">
        <v>8</v>
      </c>
      <c r="I2460">
        <v>0</v>
      </c>
      <c r="J2460" s="15">
        <v>16950</v>
      </c>
      <c r="K2460">
        <v>4</v>
      </c>
      <c r="L2460" s="15">
        <v>14960</v>
      </c>
      <c r="M2460">
        <v>4</v>
      </c>
      <c r="N2460">
        <v>4</v>
      </c>
      <c r="O2460">
        <v>303</v>
      </c>
      <c r="P2460">
        <f t="shared" si="123"/>
        <v>2025</v>
      </c>
      <c r="Q2460">
        <f t="shared" si="124"/>
        <v>5</v>
      </c>
      <c r="R2460" t="str">
        <f t="shared" si="122"/>
        <v>淘宝客</v>
      </c>
      <c r="S2460" t="s">
        <v>629</v>
      </c>
      <c r="T2460" s="546" t="s">
        <v>804</v>
      </c>
    </row>
    <row r="2461" spans="1:20" x14ac:dyDescent="0.3">
      <c r="A2461" t="s">
        <v>627</v>
      </c>
      <c r="B2461" s="16">
        <v>45806</v>
      </c>
      <c r="C2461" t="s">
        <v>3</v>
      </c>
      <c r="D2461" t="s">
        <v>114</v>
      </c>
      <c r="E2461" t="s">
        <v>159</v>
      </c>
      <c r="F2461">
        <v>169</v>
      </c>
      <c r="G2461">
        <v>73</v>
      </c>
      <c r="H2461">
        <v>9</v>
      </c>
      <c r="I2461">
        <v>4</v>
      </c>
      <c r="J2461">
        <v>0</v>
      </c>
      <c r="K2461">
        <v>0</v>
      </c>
      <c r="L2461">
        <v>0</v>
      </c>
      <c r="M2461">
        <v>0</v>
      </c>
      <c r="N2461">
        <v>16</v>
      </c>
      <c r="O2461">
        <v>162</v>
      </c>
      <c r="P2461">
        <f t="shared" si="123"/>
        <v>2025</v>
      </c>
      <c r="Q2461">
        <f t="shared" si="124"/>
        <v>5</v>
      </c>
      <c r="R2461" t="str">
        <f t="shared" si="122"/>
        <v>主会场</v>
      </c>
      <c r="S2461" t="s">
        <v>629</v>
      </c>
      <c r="T2461" s="546" t="s">
        <v>804</v>
      </c>
    </row>
    <row r="2462" spans="1:20" x14ac:dyDescent="0.3">
      <c r="A2462" t="s">
        <v>627</v>
      </c>
      <c r="B2462" s="16">
        <v>45806</v>
      </c>
      <c r="C2462" t="s">
        <v>3</v>
      </c>
      <c r="D2462" t="s">
        <v>123</v>
      </c>
      <c r="E2462" t="s">
        <v>169</v>
      </c>
      <c r="F2462">
        <v>194</v>
      </c>
      <c r="G2462">
        <v>91</v>
      </c>
      <c r="H2462">
        <v>10</v>
      </c>
      <c r="I2462">
        <v>2</v>
      </c>
      <c r="J2462" s="15">
        <v>12680</v>
      </c>
      <c r="K2462">
        <v>5</v>
      </c>
      <c r="L2462" s="15">
        <v>11000</v>
      </c>
      <c r="M2462">
        <v>4</v>
      </c>
      <c r="N2462">
        <v>44</v>
      </c>
      <c r="O2462">
        <v>189</v>
      </c>
      <c r="P2462">
        <f t="shared" si="123"/>
        <v>2025</v>
      </c>
      <c r="Q2462">
        <f t="shared" si="124"/>
        <v>5</v>
      </c>
      <c r="R2462" t="str">
        <f t="shared" si="122"/>
        <v>商品详情页头图推荐</v>
      </c>
      <c r="S2462" t="s">
        <v>629</v>
      </c>
      <c r="T2462" s="546" t="s">
        <v>804</v>
      </c>
    </row>
    <row r="2463" spans="1:20" x14ac:dyDescent="0.3">
      <c r="A2463" t="s">
        <v>627</v>
      </c>
      <c r="B2463" s="16">
        <v>45806</v>
      </c>
      <c r="C2463" t="s">
        <v>3</v>
      </c>
      <c r="D2463" t="s">
        <v>123</v>
      </c>
      <c r="E2463" t="s">
        <v>170</v>
      </c>
      <c r="F2463">
        <v>29</v>
      </c>
      <c r="G2463">
        <v>18</v>
      </c>
      <c r="H2463">
        <v>2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26</v>
      </c>
      <c r="O2463">
        <v>14</v>
      </c>
      <c r="P2463">
        <f t="shared" si="123"/>
        <v>2025</v>
      </c>
      <c r="Q2463">
        <f t="shared" si="124"/>
        <v>5</v>
      </c>
      <c r="R2463" t="str">
        <f t="shared" si="122"/>
        <v>店铺超链</v>
      </c>
      <c r="S2463" t="s">
        <v>629</v>
      </c>
      <c r="T2463" s="546" t="s">
        <v>804</v>
      </c>
    </row>
    <row r="2464" spans="1:20" x14ac:dyDescent="0.3">
      <c r="A2464" t="s">
        <v>627</v>
      </c>
      <c r="B2464" s="16">
        <v>45806</v>
      </c>
      <c r="C2464" t="s">
        <v>3</v>
      </c>
      <c r="D2464" t="s">
        <v>127</v>
      </c>
      <c r="E2464" t="s">
        <v>171</v>
      </c>
      <c r="F2464">
        <v>198</v>
      </c>
      <c r="G2464">
        <v>116</v>
      </c>
      <c r="H2464">
        <v>5</v>
      </c>
      <c r="I2464">
        <v>3</v>
      </c>
      <c r="J2464" s="15">
        <v>10317</v>
      </c>
      <c r="K2464">
        <v>4</v>
      </c>
      <c r="L2464" s="15">
        <v>8627</v>
      </c>
      <c r="M2464">
        <v>3</v>
      </c>
      <c r="N2464">
        <v>39</v>
      </c>
      <c r="O2464">
        <v>157</v>
      </c>
      <c r="P2464">
        <f t="shared" si="123"/>
        <v>2025</v>
      </c>
      <c r="Q2464">
        <f t="shared" si="124"/>
        <v>5</v>
      </c>
      <c r="R2464" t="str">
        <f t="shared" si="122"/>
        <v>其他猜你喜欢</v>
      </c>
      <c r="S2464" t="s">
        <v>629</v>
      </c>
      <c r="T2464" s="546" t="s">
        <v>804</v>
      </c>
    </row>
    <row r="2465" spans="1:20" x14ac:dyDescent="0.3">
      <c r="A2465" t="s">
        <v>627</v>
      </c>
      <c r="B2465" s="16">
        <v>45806</v>
      </c>
      <c r="C2465" t="s">
        <v>3</v>
      </c>
      <c r="D2465" t="s">
        <v>127</v>
      </c>
      <c r="E2465" t="s">
        <v>172</v>
      </c>
      <c r="F2465">
        <v>21</v>
      </c>
      <c r="G2465">
        <v>12</v>
      </c>
      <c r="H2465">
        <v>1</v>
      </c>
      <c r="I2465">
        <v>0</v>
      </c>
      <c r="J2465" s="17">
        <v>4131.03</v>
      </c>
      <c r="K2465">
        <v>2</v>
      </c>
      <c r="L2465" s="17">
        <v>4131.03</v>
      </c>
      <c r="M2465">
        <v>2</v>
      </c>
      <c r="N2465">
        <v>0</v>
      </c>
      <c r="O2465">
        <v>12</v>
      </c>
      <c r="P2465">
        <f t="shared" si="123"/>
        <v>2025</v>
      </c>
      <c r="Q2465">
        <f t="shared" si="124"/>
        <v>5</v>
      </c>
      <c r="R2465" t="str">
        <f t="shared" si="122"/>
        <v>购中推荐</v>
      </c>
      <c r="S2465" t="s">
        <v>629</v>
      </c>
      <c r="T2465" s="546" t="s">
        <v>804</v>
      </c>
    </row>
    <row r="2466" spans="1:20" x14ac:dyDescent="0.3">
      <c r="A2466" t="s">
        <v>627</v>
      </c>
      <c r="B2466" s="16">
        <v>45806</v>
      </c>
      <c r="C2466" t="s">
        <v>3</v>
      </c>
      <c r="D2466" t="s">
        <v>127</v>
      </c>
      <c r="E2466" t="s">
        <v>173</v>
      </c>
      <c r="F2466">
        <v>100</v>
      </c>
      <c r="G2466">
        <v>74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5</v>
      </c>
      <c r="O2466">
        <v>41</v>
      </c>
      <c r="P2466">
        <f t="shared" si="123"/>
        <v>2025</v>
      </c>
      <c r="Q2466">
        <f t="shared" si="124"/>
        <v>5</v>
      </c>
      <c r="R2466" t="str">
        <f t="shared" si="122"/>
        <v>购后推荐</v>
      </c>
      <c r="S2466" t="s">
        <v>629</v>
      </c>
      <c r="T2466" s="546" t="s">
        <v>804</v>
      </c>
    </row>
    <row r="2467" spans="1:20" x14ac:dyDescent="0.3">
      <c r="A2467" t="s">
        <v>627</v>
      </c>
      <c r="B2467" s="16">
        <v>45806</v>
      </c>
      <c r="C2467" t="s">
        <v>3</v>
      </c>
      <c r="D2467" t="s">
        <v>127</v>
      </c>
      <c r="E2467" t="s">
        <v>174</v>
      </c>
      <c r="F2467" s="15">
        <v>2812</v>
      </c>
      <c r="G2467" s="15">
        <v>1984</v>
      </c>
      <c r="H2467">
        <v>35</v>
      </c>
      <c r="I2467">
        <v>18</v>
      </c>
      <c r="J2467" s="17">
        <v>23932.91</v>
      </c>
      <c r="K2467">
        <v>9</v>
      </c>
      <c r="L2467" s="17">
        <v>22242.91</v>
      </c>
      <c r="M2467">
        <v>8</v>
      </c>
      <c r="N2467">
        <v>152</v>
      </c>
      <c r="O2467" s="15">
        <v>2812</v>
      </c>
      <c r="P2467">
        <f t="shared" si="123"/>
        <v>2025</v>
      </c>
      <c r="Q2467">
        <f t="shared" si="124"/>
        <v>5</v>
      </c>
      <c r="R2467" t="str">
        <f t="shared" si="122"/>
        <v>首页推荐-微详情</v>
      </c>
      <c r="S2467" t="s">
        <v>629</v>
      </c>
      <c r="T2467" s="546" t="s">
        <v>804</v>
      </c>
    </row>
    <row r="2468" spans="1:20" x14ac:dyDescent="0.3">
      <c r="A2468" t="s">
        <v>627</v>
      </c>
      <c r="B2468" s="16">
        <v>45806</v>
      </c>
      <c r="C2468" t="s">
        <v>3</v>
      </c>
      <c r="D2468" t="s">
        <v>127</v>
      </c>
      <c r="E2468" t="s">
        <v>175</v>
      </c>
      <c r="F2468">
        <v>655</v>
      </c>
      <c r="G2468">
        <v>573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5</v>
      </c>
      <c r="O2468">
        <v>46</v>
      </c>
      <c r="P2468">
        <f t="shared" si="123"/>
        <v>2025</v>
      </c>
      <c r="Q2468">
        <f t="shared" si="124"/>
        <v>5</v>
      </c>
      <c r="R2468" t="str">
        <f t="shared" si="122"/>
        <v>首页推荐-直播</v>
      </c>
      <c r="S2468" t="s">
        <v>629</v>
      </c>
      <c r="T2468" s="546" t="s">
        <v>804</v>
      </c>
    </row>
    <row r="2469" spans="1:20" x14ac:dyDescent="0.3">
      <c r="A2469" t="s">
        <v>627</v>
      </c>
      <c r="B2469" s="16">
        <v>45806</v>
      </c>
      <c r="C2469" t="s">
        <v>3</v>
      </c>
      <c r="D2469" t="s">
        <v>127</v>
      </c>
      <c r="E2469" t="s">
        <v>176</v>
      </c>
      <c r="F2469">
        <v>308</v>
      </c>
      <c r="G2469">
        <v>185</v>
      </c>
      <c r="H2469">
        <v>1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3</v>
      </c>
      <c r="O2469">
        <v>25</v>
      </c>
      <c r="P2469">
        <f t="shared" si="123"/>
        <v>2025</v>
      </c>
      <c r="Q2469">
        <f t="shared" si="124"/>
        <v>5</v>
      </c>
      <c r="R2469" t="str">
        <f t="shared" si="122"/>
        <v>首页推荐-短视频</v>
      </c>
      <c r="S2469" t="s">
        <v>629</v>
      </c>
      <c r="T2469" s="546" t="s">
        <v>804</v>
      </c>
    </row>
    <row r="2470" spans="1:20" x14ac:dyDescent="0.3">
      <c r="A2470" t="s">
        <v>627</v>
      </c>
      <c r="B2470" s="16">
        <v>45806</v>
      </c>
      <c r="C2470" t="s">
        <v>3</v>
      </c>
      <c r="D2470" t="s">
        <v>128</v>
      </c>
      <c r="E2470" t="s">
        <v>177</v>
      </c>
      <c r="F2470">
        <v>752</v>
      </c>
      <c r="G2470">
        <v>555</v>
      </c>
      <c r="H2470">
        <v>32</v>
      </c>
      <c r="I2470">
        <v>7</v>
      </c>
      <c r="J2470" s="15">
        <v>7673</v>
      </c>
      <c r="K2470">
        <v>4</v>
      </c>
      <c r="L2470" s="15">
        <v>7673</v>
      </c>
      <c r="M2470">
        <v>4</v>
      </c>
      <c r="N2470">
        <v>307</v>
      </c>
      <c r="O2470">
        <v>548</v>
      </c>
      <c r="P2470">
        <f t="shared" si="123"/>
        <v>2025</v>
      </c>
      <c r="Q2470">
        <f t="shared" si="124"/>
        <v>5</v>
      </c>
      <c r="R2470" t="str">
        <f t="shared" si="122"/>
        <v>手淘搜索-商品及其他</v>
      </c>
      <c r="S2470" t="s">
        <v>629</v>
      </c>
      <c r="T2470" s="546" t="s">
        <v>804</v>
      </c>
    </row>
    <row r="2471" spans="1:20" x14ac:dyDescent="0.3">
      <c r="A2471" t="s">
        <v>627</v>
      </c>
      <c r="B2471" s="16">
        <v>45806</v>
      </c>
      <c r="C2471" t="s">
        <v>3</v>
      </c>
      <c r="D2471" t="s">
        <v>128</v>
      </c>
      <c r="E2471" t="s">
        <v>178</v>
      </c>
      <c r="F2471">
        <v>8</v>
      </c>
      <c r="G2471">
        <v>4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4</v>
      </c>
      <c r="P2471">
        <f t="shared" si="123"/>
        <v>2025</v>
      </c>
      <c r="Q2471">
        <f t="shared" si="124"/>
        <v>5</v>
      </c>
      <c r="R2471" t="str">
        <f t="shared" si="122"/>
        <v>手淘搜索-直播</v>
      </c>
      <c r="S2471" t="s">
        <v>629</v>
      </c>
      <c r="T2471" s="546" t="s">
        <v>804</v>
      </c>
    </row>
    <row r="2472" spans="1:20" x14ac:dyDescent="0.3">
      <c r="A2472" t="s">
        <v>627</v>
      </c>
      <c r="B2472" s="16">
        <v>45806</v>
      </c>
      <c r="C2472" t="s">
        <v>3</v>
      </c>
      <c r="D2472" t="s">
        <v>128</v>
      </c>
      <c r="E2472" t="s">
        <v>179</v>
      </c>
      <c r="F2472">
        <v>9</v>
      </c>
      <c r="G2472">
        <v>7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9</v>
      </c>
      <c r="P2472">
        <f t="shared" si="123"/>
        <v>2025</v>
      </c>
      <c r="Q2472">
        <f t="shared" si="124"/>
        <v>5</v>
      </c>
      <c r="R2472" t="str">
        <f t="shared" si="122"/>
        <v>手淘搜索-短视频</v>
      </c>
      <c r="S2472" t="s">
        <v>629</v>
      </c>
      <c r="T2472" s="546" t="s">
        <v>804</v>
      </c>
    </row>
    <row r="2473" spans="1:20" x14ac:dyDescent="0.3">
      <c r="A2473" t="s">
        <v>627</v>
      </c>
      <c r="B2473" s="16">
        <v>45806</v>
      </c>
      <c r="C2473" t="s">
        <v>3</v>
      </c>
      <c r="D2473" t="s">
        <v>143</v>
      </c>
      <c r="E2473" t="s">
        <v>180</v>
      </c>
      <c r="F2473">
        <v>5</v>
      </c>
      <c r="G2473">
        <v>4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5</v>
      </c>
      <c r="P2473">
        <f t="shared" si="123"/>
        <v>2025</v>
      </c>
      <c r="Q2473">
        <f t="shared" si="124"/>
        <v>5</v>
      </c>
      <c r="R2473" t="str">
        <f t="shared" si="122"/>
        <v>淘特其他渠道</v>
      </c>
      <c r="S2473" t="s">
        <v>629</v>
      </c>
      <c r="T2473" s="546" t="s">
        <v>804</v>
      </c>
    </row>
    <row r="2474" spans="1:20" x14ac:dyDescent="0.3">
      <c r="A2474" t="s">
        <v>627</v>
      </c>
      <c r="B2474" s="16">
        <v>45806</v>
      </c>
      <c r="C2474" t="s">
        <v>3</v>
      </c>
      <c r="D2474" t="s">
        <v>143</v>
      </c>
      <c r="E2474" t="s">
        <v>181</v>
      </c>
      <c r="F2474">
        <v>25</v>
      </c>
      <c r="G2474">
        <v>25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25</v>
      </c>
      <c r="P2474">
        <f t="shared" si="123"/>
        <v>2025</v>
      </c>
      <c r="Q2474">
        <f t="shared" si="124"/>
        <v>5</v>
      </c>
      <c r="R2474" t="str">
        <f t="shared" si="122"/>
        <v>淘特搜索</v>
      </c>
      <c r="S2474" t="s">
        <v>629</v>
      </c>
      <c r="T2474" s="546" t="s">
        <v>804</v>
      </c>
    </row>
    <row r="2475" spans="1:20" x14ac:dyDescent="0.3">
      <c r="A2475" t="s">
        <v>627</v>
      </c>
      <c r="B2475" s="16">
        <v>45806</v>
      </c>
      <c r="C2475" t="s">
        <v>2</v>
      </c>
      <c r="D2475" t="s">
        <v>55</v>
      </c>
      <c r="E2475" t="s">
        <v>54</v>
      </c>
      <c r="F2475" s="15">
        <v>1377</v>
      </c>
      <c r="G2475" s="15">
        <v>1273</v>
      </c>
      <c r="H2475">
        <v>5</v>
      </c>
      <c r="I2475">
        <v>1</v>
      </c>
      <c r="J2475">
        <v>0</v>
      </c>
      <c r="K2475">
        <v>0</v>
      </c>
      <c r="L2475">
        <v>0</v>
      </c>
      <c r="M2475">
        <v>0</v>
      </c>
      <c r="N2475">
        <v>9</v>
      </c>
      <c r="O2475">
        <v>189</v>
      </c>
      <c r="P2475">
        <f t="shared" si="123"/>
        <v>2025</v>
      </c>
      <c r="Q2475">
        <f t="shared" si="124"/>
        <v>5</v>
      </c>
      <c r="R2475" t="str">
        <f t="shared" si="122"/>
        <v>超级直播</v>
      </c>
      <c r="S2475" t="s">
        <v>629</v>
      </c>
      <c r="T2475" s="546" t="s">
        <v>804</v>
      </c>
    </row>
    <row r="2476" spans="1:20" x14ac:dyDescent="0.3">
      <c r="A2476" t="s">
        <v>627</v>
      </c>
      <c r="B2476" s="16">
        <v>45806</v>
      </c>
      <c r="C2476" t="s">
        <v>2</v>
      </c>
      <c r="D2476" t="s">
        <v>52</v>
      </c>
      <c r="E2476" t="s">
        <v>58</v>
      </c>
      <c r="F2476">
        <v>1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f t="shared" si="123"/>
        <v>2025</v>
      </c>
      <c r="Q2476">
        <f t="shared" si="124"/>
        <v>5</v>
      </c>
      <c r="R2476" t="str">
        <f t="shared" si="122"/>
        <v>超级全域通</v>
      </c>
      <c r="S2476" t="s">
        <v>629</v>
      </c>
      <c r="T2476" s="546" t="s">
        <v>804</v>
      </c>
    </row>
    <row r="2477" spans="1:20" x14ac:dyDescent="0.3">
      <c r="A2477" t="s">
        <v>627</v>
      </c>
      <c r="B2477" s="16">
        <v>45806</v>
      </c>
      <c r="C2477" t="s">
        <v>2</v>
      </c>
      <c r="D2477" t="s">
        <v>57</v>
      </c>
      <c r="E2477" t="s">
        <v>64</v>
      </c>
      <c r="F2477" s="15">
        <v>7779</v>
      </c>
      <c r="G2477" s="15">
        <v>4541</v>
      </c>
      <c r="H2477">
        <v>69</v>
      </c>
      <c r="I2477">
        <v>35</v>
      </c>
      <c r="J2477" s="15">
        <v>50018</v>
      </c>
      <c r="K2477">
        <v>10</v>
      </c>
      <c r="L2477" s="15">
        <v>32723</v>
      </c>
      <c r="M2477">
        <v>8</v>
      </c>
      <c r="N2477">
        <v>261</v>
      </c>
      <c r="O2477" s="15">
        <v>7776</v>
      </c>
      <c r="P2477">
        <f t="shared" si="123"/>
        <v>2025</v>
      </c>
      <c r="Q2477">
        <f t="shared" si="124"/>
        <v>5</v>
      </c>
      <c r="R2477" t="str">
        <f t="shared" si="122"/>
        <v>引力魔方</v>
      </c>
      <c r="S2477" t="s">
        <v>629</v>
      </c>
      <c r="T2477" s="546" t="s">
        <v>804</v>
      </c>
    </row>
    <row r="2478" spans="1:20" x14ac:dyDescent="0.3">
      <c r="A2478" t="s">
        <v>627</v>
      </c>
      <c r="B2478" s="16">
        <v>45806</v>
      </c>
      <c r="C2478" t="s">
        <v>2</v>
      </c>
      <c r="D2478" t="s">
        <v>57</v>
      </c>
      <c r="E2478" t="s">
        <v>65</v>
      </c>
      <c r="F2478" s="15">
        <v>5655</v>
      </c>
      <c r="G2478" s="15">
        <v>4945</v>
      </c>
      <c r="H2478">
        <v>39</v>
      </c>
      <c r="I2478">
        <v>19</v>
      </c>
      <c r="J2478" s="15">
        <v>14415</v>
      </c>
      <c r="K2478">
        <v>4</v>
      </c>
      <c r="L2478" s="15">
        <v>1690</v>
      </c>
      <c r="M2478">
        <v>1</v>
      </c>
      <c r="N2478">
        <v>283</v>
      </c>
      <c r="O2478" s="15">
        <v>5609</v>
      </c>
      <c r="P2478">
        <f t="shared" si="123"/>
        <v>2025</v>
      </c>
      <c r="Q2478">
        <f t="shared" si="124"/>
        <v>5</v>
      </c>
      <c r="R2478" t="str">
        <f t="shared" si="122"/>
        <v>直通车</v>
      </c>
      <c r="S2478" t="s">
        <v>629</v>
      </c>
      <c r="T2478" s="546" t="s">
        <v>804</v>
      </c>
    </row>
    <row r="2479" spans="1:20" x14ac:dyDescent="0.3">
      <c r="A2479" t="s">
        <v>627</v>
      </c>
      <c r="B2479" s="16">
        <v>45806</v>
      </c>
      <c r="C2479" t="s">
        <v>2</v>
      </c>
      <c r="D2479" t="s">
        <v>57</v>
      </c>
      <c r="E2479" t="s">
        <v>63</v>
      </c>
      <c r="F2479" s="15">
        <v>4891</v>
      </c>
      <c r="G2479" s="15">
        <v>2796</v>
      </c>
      <c r="H2479">
        <v>159</v>
      </c>
      <c r="I2479">
        <v>190</v>
      </c>
      <c r="J2479" s="15">
        <v>99889</v>
      </c>
      <c r="K2479">
        <v>31</v>
      </c>
      <c r="L2479" s="15">
        <v>63377</v>
      </c>
      <c r="M2479">
        <v>22</v>
      </c>
      <c r="N2479">
        <v>689</v>
      </c>
      <c r="O2479" s="15">
        <v>4708</v>
      </c>
      <c r="P2479">
        <f t="shared" si="123"/>
        <v>2025</v>
      </c>
      <c r="Q2479">
        <f t="shared" si="124"/>
        <v>5</v>
      </c>
      <c r="R2479" t="str">
        <f t="shared" si="122"/>
        <v>万相台</v>
      </c>
      <c r="S2479" t="s">
        <v>629</v>
      </c>
      <c r="T2479" s="546" t="s">
        <v>804</v>
      </c>
    </row>
    <row r="2480" spans="1:20" x14ac:dyDescent="0.3">
      <c r="A2480" t="s">
        <v>627</v>
      </c>
      <c r="B2480" s="16">
        <v>45806</v>
      </c>
      <c r="C2480" t="s">
        <v>2</v>
      </c>
      <c r="D2480" t="s">
        <v>4</v>
      </c>
      <c r="E2480" t="s">
        <v>41</v>
      </c>
      <c r="F2480">
        <v>3</v>
      </c>
      <c r="G2480">
        <v>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3</v>
      </c>
      <c r="P2480">
        <f t="shared" si="123"/>
        <v>2025</v>
      </c>
      <c r="Q2480">
        <f t="shared" si="124"/>
        <v>5</v>
      </c>
      <c r="R2480" t="str">
        <f t="shared" si="122"/>
        <v>流量宝</v>
      </c>
      <c r="S2480" t="s">
        <v>629</v>
      </c>
      <c r="T2480" s="546" t="s">
        <v>804</v>
      </c>
    </row>
    <row r="2481" spans="1:20" x14ac:dyDescent="0.3">
      <c r="A2481" t="s">
        <v>627</v>
      </c>
      <c r="B2481" s="16">
        <v>45806</v>
      </c>
      <c r="C2481" t="s">
        <v>2</v>
      </c>
      <c r="D2481" t="s">
        <v>4</v>
      </c>
      <c r="E2481" t="s">
        <v>43</v>
      </c>
      <c r="F2481">
        <v>336</v>
      </c>
      <c r="G2481">
        <v>122</v>
      </c>
      <c r="H2481">
        <v>5</v>
      </c>
      <c r="I2481">
        <v>2</v>
      </c>
      <c r="J2481" s="17">
        <v>8801.0300000000007</v>
      </c>
      <c r="K2481">
        <v>3</v>
      </c>
      <c r="L2481" s="17">
        <v>8801.0300000000007</v>
      </c>
      <c r="M2481">
        <v>3</v>
      </c>
      <c r="N2481">
        <v>2</v>
      </c>
      <c r="O2481">
        <v>334</v>
      </c>
      <c r="P2481">
        <f t="shared" si="123"/>
        <v>2025</v>
      </c>
      <c r="Q2481">
        <f t="shared" si="124"/>
        <v>5</v>
      </c>
      <c r="R2481" t="str">
        <f t="shared" si="122"/>
        <v>淘宝客</v>
      </c>
      <c r="S2481" t="s">
        <v>629</v>
      </c>
      <c r="T2481" s="546" t="s">
        <v>804</v>
      </c>
    </row>
    <row r="2482" spans="1:20" x14ac:dyDescent="0.3">
      <c r="A2482" t="s">
        <v>627</v>
      </c>
      <c r="B2482" s="16">
        <v>45807</v>
      </c>
      <c r="C2482" t="s">
        <v>3</v>
      </c>
      <c r="D2482" t="s">
        <v>114</v>
      </c>
      <c r="E2482" t="s">
        <v>159</v>
      </c>
      <c r="F2482">
        <v>102</v>
      </c>
      <c r="G2482">
        <v>61</v>
      </c>
      <c r="H2482">
        <v>0</v>
      </c>
      <c r="I2482">
        <v>0</v>
      </c>
      <c r="J2482" s="15">
        <v>3850</v>
      </c>
      <c r="K2482">
        <v>1</v>
      </c>
      <c r="L2482">
        <v>0</v>
      </c>
      <c r="M2482">
        <v>0</v>
      </c>
      <c r="N2482">
        <v>10</v>
      </c>
      <c r="O2482">
        <v>101</v>
      </c>
      <c r="P2482">
        <f t="shared" si="123"/>
        <v>2025</v>
      </c>
      <c r="Q2482">
        <f t="shared" si="124"/>
        <v>5</v>
      </c>
      <c r="R2482" t="str">
        <f t="shared" si="122"/>
        <v>主会场</v>
      </c>
      <c r="S2482" t="s">
        <v>629</v>
      </c>
      <c r="T2482" s="546" t="s">
        <v>804</v>
      </c>
    </row>
    <row r="2483" spans="1:20" x14ac:dyDescent="0.3">
      <c r="A2483" t="s">
        <v>627</v>
      </c>
      <c r="B2483" s="16">
        <v>45807</v>
      </c>
      <c r="C2483" t="s">
        <v>3</v>
      </c>
      <c r="D2483" t="s">
        <v>117</v>
      </c>
      <c r="E2483" t="s">
        <v>161</v>
      </c>
      <c r="F2483">
        <v>1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1</v>
      </c>
      <c r="P2483">
        <f t="shared" si="123"/>
        <v>2025</v>
      </c>
      <c r="Q2483">
        <f t="shared" si="124"/>
        <v>5</v>
      </c>
      <c r="R2483" t="str">
        <f t="shared" si="122"/>
        <v>其他入口榜单</v>
      </c>
      <c r="S2483" t="s">
        <v>629</v>
      </c>
      <c r="T2483" s="546" t="s">
        <v>804</v>
      </c>
    </row>
    <row r="2484" spans="1:20" x14ac:dyDescent="0.3">
      <c r="A2484" t="s">
        <v>627</v>
      </c>
      <c r="B2484" s="16">
        <v>45807</v>
      </c>
      <c r="C2484" t="s">
        <v>3</v>
      </c>
      <c r="D2484" t="s">
        <v>123</v>
      </c>
      <c r="E2484" t="s">
        <v>169</v>
      </c>
      <c r="F2484">
        <v>271</v>
      </c>
      <c r="G2484">
        <v>177</v>
      </c>
      <c r="H2484">
        <v>8</v>
      </c>
      <c r="I2484">
        <v>3</v>
      </c>
      <c r="J2484" s="15">
        <v>6990</v>
      </c>
      <c r="K2484">
        <v>2</v>
      </c>
      <c r="L2484" s="15">
        <v>4240</v>
      </c>
      <c r="M2484">
        <v>2</v>
      </c>
      <c r="N2484">
        <v>51</v>
      </c>
      <c r="O2484">
        <v>265</v>
      </c>
      <c r="P2484">
        <f t="shared" si="123"/>
        <v>2025</v>
      </c>
      <c r="Q2484">
        <f t="shared" si="124"/>
        <v>5</v>
      </c>
      <c r="R2484" t="str">
        <f t="shared" si="122"/>
        <v>商品详情页头图推荐</v>
      </c>
      <c r="S2484" t="s">
        <v>629</v>
      </c>
      <c r="T2484" s="546" t="s">
        <v>804</v>
      </c>
    </row>
    <row r="2485" spans="1:20" x14ac:dyDescent="0.3">
      <c r="A2485" t="s">
        <v>627</v>
      </c>
      <c r="B2485" s="16">
        <v>45807</v>
      </c>
      <c r="C2485" t="s">
        <v>3</v>
      </c>
      <c r="D2485" t="s">
        <v>123</v>
      </c>
      <c r="E2485" t="s">
        <v>170</v>
      </c>
      <c r="F2485">
        <v>19</v>
      </c>
      <c r="G2485">
        <v>6</v>
      </c>
      <c r="H2485">
        <v>1</v>
      </c>
      <c r="I2485">
        <v>0</v>
      </c>
      <c r="J2485" s="15">
        <v>4690</v>
      </c>
      <c r="K2485">
        <v>1</v>
      </c>
      <c r="L2485" s="15">
        <v>4690</v>
      </c>
      <c r="M2485">
        <v>1</v>
      </c>
      <c r="N2485">
        <v>17</v>
      </c>
      <c r="O2485">
        <v>10</v>
      </c>
      <c r="P2485">
        <f t="shared" si="123"/>
        <v>2025</v>
      </c>
      <c r="Q2485">
        <f t="shared" si="124"/>
        <v>5</v>
      </c>
      <c r="R2485" t="str">
        <f t="shared" si="122"/>
        <v>店铺超链</v>
      </c>
      <c r="S2485" t="s">
        <v>629</v>
      </c>
      <c r="T2485" s="546" t="s">
        <v>804</v>
      </c>
    </row>
    <row r="2486" spans="1:20" x14ac:dyDescent="0.3">
      <c r="A2486" t="s">
        <v>627</v>
      </c>
      <c r="B2486" s="16">
        <v>45807</v>
      </c>
      <c r="C2486" t="s">
        <v>3</v>
      </c>
      <c r="D2486" t="s">
        <v>127</v>
      </c>
      <c r="E2486" t="s">
        <v>171</v>
      </c>
      <c r="F2486">
        <v>269</v>
      </c>
      <c r="G2486">
        <v>174</v>
      </c>
      <c r="H2486">
        <v>8</v>
      </c>
      <c r="I2486">
        <v>3</v>
      </c>
      <c r="J2486" s="15">
        <v>6990</v>
      </c>
      <c r="K2486">
        <v>2</v>
      </c>
      <c r="L2486" s="15">
        <v>4240</v>
      </c>
      <c r="M2486">
        <v>2</v>
      </c>
      <c r="N2486">
        <v>34</v>
      </c>
      <c r="O2486">
        <v>244</v>
      </c>
      <c r="P2486">
        <f t="shared" si="123"/>
        <v>2025</v>
      </c>
      <c r="Q2486">
        <f t="shared" si="124"/>
        <v>5</v>
      </c>
      <c r="R2486" t="str">
        <f t="shared" si="122"/>
        <v>其他猜你喜欢</v>
      </c>
      <c r="S2486" t="s">
        <v>629</v>
      </c>
      <c r="T2486" s="546" t="s">
        <v>804</v>
      </c>
    </row>
    <row r="2487" spans="1:20" x14ac:dyDescent="0.3">
      <c r="A2487" t="s">
        <v>627</v>
      </c>
      <c r="B2487" s="16">
        <v>45807</v>
      </c>
      <c r="C2487" t="s">
        <v>3</v>
      </c>
      <c r="D2487" t="s">
        <v>127</v>
      </c>
      <c r="E2487" t="s">
        <v>172</v>
      </c>
      <c r="F2487">
        <v>10</v>
      </c>
      <c r="G2487">
        <v>6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6</v>
      </c>
      <c r="P2487">
        <f t="shared" si="123"/>
        <v>2025</v>
      </c>
      <c r="Q2487">
        <f t="shared" si="124"/>
        <v>5</v>
      </c>
      <c r="R2487" t="str">
        <f t="shared" si="122"/>
        <v>购中推荐</v>
      </c>
      <c r="S2487" t="s">
        <v>629</v>
      </c>
      <c r="T2487" s="546" t="s">
        <v>804</v>
      </c>
    </row>
    <row r="2488" spans="1:20" x14ac:dyDescent="0.3">
      <c r="A2488" t="s">
        <v>627</v>
      </c>
      <c r="B2488" s="16">
        <v>45807</v>
      </c>
      <c r="C2488" t="s">
        <v>3</v>
      </c>
      <c r="D2488" t="s">
        <v>127</v>
      </c>
      <c r="E2488" t="s">
        <v>173</v>
      </c>
      <c r="F2488">
        <v>113</v>
      </c>
      <c r="G2488">
        <v>64</v>
      </c>
      <c r="H2488">
        <v>2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5</v>
      </c>
      <c r="O2488">
        <v>58</v>
      </c>
      <c r="P2488">
        <f t="shared" si="123"/>
        <v>2025</v>
      </c>
      <c r="Q2488">
        <f t="shared" si="124"/>
        <v>5</v>
      </c>
      <c r="R2488" t="str">
        <f t="shared" si="122"/>
        <v>购后推荐</v>
      </c>
      <c r="S2488" t="s">
        <v>629</v>
      </c>
      <c r="T2488" s="546" t="s">
        <v>804</v>
      </c>
    </row>
    <row r="2489" spans="1:20" x14ac:dyDescent="0.3">
      <c r="A2489" t="s">
        <v>627</v>
      </c>
      <c r="B2489" s="16">
        <v>45807</v>
      </c>
      <c r="C2489" t="s">
        <v>3</v>
      </c>
      <c r="D2489" t="s">
        <v>127</v>
      </c>
      <c r="E2489" t="s">
        <v>174</v>
      </c>
      <c r="F2489" s="15">
        <v>8540</v>
      </c>
      <c r="G2489" s="15">
        <v>7521</v>
      </c>
      <c r="H2489">
        <v>50</v>
      </c>
      <c r="I2489">
        <v>45</v>
      </c>
      <c r="J2489" s="15">
        <v>12960</v>
      </c>
      <c r="K2489">
        <v>5</v>
      </c>
      <c r="L2489" s="15">
        <v>10210</v>
      </c>
      <c r="M2489">
        <v>5</v>
      </c>
      <c r="N2489">
        <v>476</v>
      </c>
      <c r="O2489" s="15">
        <v>8540</v>
      </c>
      <c r="P2489">
        <f t="shared" si="123"/>
        <v>2025</v>
      </c>
      <c r="Q2489">
        <f t="shared" si="124"/>
        <v>5</v>
      </c>
      <c r="R2489" t="str">
        <f t="shared" si="122"/>
        <v>首页推荐-微详情</v>
      </c>
      <c r="S2489" t="s">
        <v>629</v>
      </c>
      <c r="T2489" s="546" t="s">
        <v>804</v>
      </c>
    </row>
    <row r="2490" spans="1:20" x14ac:dyDescent="0.3">
      <c r="A2490" t="s">
        <v>627</v>
      </c>
      <c r="B2490" s="16">
        <v>45807</v>
      </c>
      <c r="C2490" t="s">
        <v>3</v>
      </c>
      <c r="D2490" t="s">
        <v>127</v>
      </c>
      <c r="E2490" t="s">
        <v>175</v>
      </c>
      <c r="F2490">
        <v>452</v>
      </c>
      <c r="G2490">
        <v>362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24</v>
      </c>
      <c r="P2490">
        <f t="shared" si="123"/>
        <v>2025</v>
      </c>
      <c r="Q2490">
        <f t="shared" si="124"/>
        <v>5</v>
      </c>
      <c r="R2490" t="str">
        <f t="shared" si="122"/>
        <v>首页推荐-直播</v>
      </c>
      <c r="S2490" t="s">
        <v>629</v>
      </c>
      <c r="T2490" s="546" t="s">
        <v>804</v>
      </c>
    </row>
    <row r="2491" spans="1:20" x14ac:dyDescent="0.3">
      <c r="A2491" t="s">
        <v>627</v>
      </c>
      <c r="B2491" s="16">
        <v>45807</v>
      </c>
      <c r="C2491" t="s">
        <v>3</v>
      </c>
      <c r="D2491" t="s">
        <v>127</v>
      </c>
      <c r="E2491" t="s">
        <v>176</v>
      </c>
      <c r="F2491">
        <v>268</v>
      </c>
      <c r="G2491">
        <v>126</v>
      </c>
      <c r="H2491">
        <v>2</v>
      </c>
      <c r="I2491">
        <v>0</v>
      </c>
      <c r="J2491" s="15">
        <v>1490</v>
      </c>
      <c r="K2491">
        <v>1</v>
      </c>
      <c r="L2491" s="15">
        <v>1490</v>
      </c>
      <c r="M2491">
        <v>1</v>
      </c>
      <c r="N2491">
        <v>4</v>
      </c>
      <c r="O2491">
        <v>33</v>
      </c>
      <c r="P2491">
        <f t="shared" si="123"/>
        <v>2025</v>
      </c>
      <c r="Q2491">
        <f t="shared" si="124"/>
        <v>5</v>
      </c>
      <c r="R2491" t="str">
        <f t="shared" si="122"/>
        <v>首页推荐-短视频</v>
      </c>
      <c r="S2491" t="s">
        <v>629</v>
      </c>
      <c r="T2491" s="546" t="s">
        <v>804</v>
      </c>
    </row>
    <row r="2492" spans="1:20" x14ac:dyDescent="0.3">
      <c r="A2492" t="s">
        <v>627</v>
      </c>
      <c r="B2492" s="16">
        <v>45807</v>
      </c>
      <c r="C2492" t="s">
        <v>3</v>
      </c>
      <c r="D2492" t="s">
        <v>128</v>
      </c>
      <c r="E2492" t="s">
        <v>177</v>
      </c>
      <c r="F2492">
        <v>715</v>
      </c>
      <c r="G2492">
        <v>527</v>
      </c>
      <c r="H2492">
        <v>24</v>
      </c>
      <c r="I2492">
        <v>12</v>
      </c>
      <c r="J2492" s="17">
        <v>6630.61</v>
      </c>
      <c r="K2492">
        <v>4</v>
      </c>
      <c r="L2492" s="17">
        <v>1960.61</v>
      </c>
      <c r="M2492">
        <v>1</v>
      </c>
      <c r="N2492">
        <v>319</v>
      </c>
      <c r="O2492">
        <v>531</v>
      </c>
      <c r="P2492">
        <f t="shared" si="123"/>
        <v>2025</v>
      </c>
      <c r="Q2492">
        <f t="shared" si="124"/>
        <v>5</v>
      </c>
      <c r="R2492" t="str">
        <f t="shared" si="122"/>
        <v>手淘搜索-商品及其他</v>
      </c>
      <c r="S2492" t="s">
        <v>629</v>
      </c>
      <c r="T2492" s="546" t="s">
        <v>804</v>
      </c>
    </row>
    <row r="2493" spans="1:20" x14ac:dyDescent="0.3">
      <c r="A2493" t="s">
        <v>627</v>
      </c>
      <c r="B2493" s="16">
        <v>45807</v>
      </c>
      <c r="C2493" t="s">
        <v>3</v>
      </c>
      <c r="D2493" t="s">
        <v>128</v>
      </c>
      <c r="E2493" t="s">
        <v>178</v>
      </c>
      <c r="F2493">
        <v>7</v>
      </c>
      <c r="G2493">
        <v>5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5</v>
      </c>
      <c r="P2493">
        <f t="shared" si="123"/>
        <v>2025</v>
      </c>
      <c r="Q2493">
        <f t="shared" si="124"/>
        <v>5</v>
      </c>
      <c r="R2493" t="str">
        <f t="shared" si="122"/>
        <v>手淘搜索-直播</v>
      </c>
      <c r="S2493" t="s">
        <v>629</v>
      </c>
      <c r="T2493" s="546" t="s">
        <v>804</v>
      </c>
    </row>
    <row r="2494" spans="1:20" x14ac:dyDescent="0.3">
      <c r="A2494" t="s">
        <v>627</v>
      </c>
      <c r="B2494" s="16">
        <v>45807</v>
      </c>
      <c r="C2494" t="s">
        <v>3</v>
      </c>
      <c r="D2494" t="s">
        <v>128</v>
      </c>
      <c r="E2494" t="s">
        <v>179</v>
      </c>
      <c r="F2494">
        <v>14</v>
      </c>
      <c r="G2494">
        <v>7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14</v>
      </c>
      <c r="P2494">
        <f t="shared" si="123"/>
        <v>2025</v>
      </c>
      <c r="Q2494">
        <f t="shared" si="124"/>
        <v>5</v>
      </c>
      <c r="R2494" t="str">
        <f t="shared" si="122"/>
        <v>手淘搜索-短视频</v>
      </c>
      <c r="S2494" t="s">
        <v>629</v>
      </c>
      <c r="T2494" s="546" t="s">
        <v>804</v>
      </c>
    </row>
    <row r="2495" spans="1:20" x14ac:dyDescent="0.3">
      <c r="A2495" t="s">
        <v>627</v>
      </c>
      <c r="B2495" s="16">
        <v>45807</v>
      </c>
      <c r="C2495" t="s">
        <v>3</v>
      </c>
      <c r="D2495" t="s">
        <v>143</v>
      </c>
      <c r="E2495" t="s">
        <v>180</v>
      </c>
      <c r="F2495">
        <v>7</v>
      </c>
      <c r="G2495">
        <v>6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7</v>
      </c>
      <c r="P2495">
        <f t="shared" si="123"/>
        <v>2025</v>
      </c>
      <c r="Q2495">
        <f t="shared" si="124"/>
        <v>5</v>
      </c>
      <c r="R2495" t="str">
        <f t="shared" si="122"/>
        <v>淘特其他渠道</v>
      </c>
      <c r="S2495" t="s">
        <v>629</v>
      </c>
      <c r="T2495" s="546" t="s">
        <v>804</v>
      </c>
    </row>
    <row r="2496" spans="1:20" x14ac:dyDescent="0.3">
      <c r="A2496" t="s">
        <v>627</v>
      </c>
      <c r="B2496" s="16">
        <v>45807</v>
      </c>
      <c r="C2496" t="s">
        <v>3</v>
      </c>
      <c r="D2496" t="s">
        <v>143</v>
      </c>
      <c r="E2496" t="s">
        <v>181</v>
      </c>
      <c r="F2496">
        <v>34</v>
      </c>
      <c r="G2496">
        <v>33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34</v>
      </c>
      <c r="P2496">
        <f t="shared" si="123"/>
        <v>2025</v>
      </c>
      <c r="Q2496">
        <f t="shared" si="124"/>
        <v>5</v>
      </c>
      <c r="R2496" t="str">
        <f t="shared" si="122"/>
        <v>淘特搜索</v>
      </c>
      <c r="S2496" t="s">
        <v>629</v>
      </c>
      <c r="T2496" s="546" t="s">
        <v>804</v>
      </c>
    </row>
    <row r="2497" spans="1:20" x14ac:dyDescent="0.3">
      <c r="A2497" t="s">
        <v>627</v>
      </c>
      <c r="B2497" s="16">
        <v>45807</v>
      </c>
      <c r="C2497" t="s">
        <v>2</v>
      </c>
      <c r="D2497" t="s">
        <v>55</v>
      </c>
      <c r="E2497" t="s">
        <v>54</v>
      </c>
      <c r="F2497" s="15">
        <v>1139</v>
      </c>
      <c r="G2497">
        <v>926</v>
      </c>
      <c r="H2497">
        <v>9</v>
      </c>
      <c r="I2497">
        <v>3</v>
      </c>
      <c r="J2497">
        <v>0</v>
      </c>
      <c r="K2497">
        <v>0</v>
      </c>
      <c r="L2497">
        <v>0</v>
      </c>
      <c r="M2497">
        <v>0</v>
      </c>
      <c r="N2497">
        <v>21</v>
      </c>
      <c r="O2497">
        <v>193</v>
      </c>
      <c r="P2497">
        <f t="shared" si="123"/>
        <v>2025</v>
      </c>
      <c r="Q2497">
        <f t="shared" si="124"/>
        <v>5</v>
      </c>
      <c r="R2497" t="str">
        <f t="shared" si="122"/>
        <v>超级直播</v>
      </c>
      <c r="S2497" t="s">
        <v>629</v>
      </c>
      <c r="T2497" s="546" t="s">
        <v>804</v>
      </c>
    </row>
    <row r="2498" spans="1:20" x14ac:dyDescent="0.3">
      <c r="A2498" t="s">
        <v>627</v>
      </c>
      <c r="B2498" s="16">
        <v>45807</v>
      </c>
      <c r="C2498" t="s">
        <v>2</v>
      </c>
      <c r="D2498" t="s">
        <v>55</v>
      </c>
      <c r="E2498" t="s">
        <v>56</v>
      </c>
      <c r="F2498">
        <v>4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4</v>
      </c>
      <c r="P2498">
        <f t="shared" si="123"/>
        <v>2025</v>
      </c>
      <c r="Q2498">
        <f t="shared" si="124"/>
        <v>5</v>
      </c>
      <c r="R2498" t="str">
        <f t="shared" si="122"/>
        <v>超级短视频</v>
      </c>
      <c r="S2498" t="s">
        <v>629</v>
      </c>
      <c r="T2498" s="546" t="s">
        <v>804</v>
      </c>
    </row>
    <row r="2499" spans="1:20" x14ac:dyDescent="0.3">
      <c r="A2499" t="s">
        <v>627</v>
      </c>
      <c r="B2499" s="16">
        <v>45807</v>
      </c>
      <c r="C2499" t="s">
        <v>2</v>
      </c>
      <c r="D2499" t="s">
        <v>52</v>
      </c>
      <c r="E2499" t="s">
        <v>51</v>
      </c>
      <c r="F2499">
        <v>1</v>
      </c>
      <c r="G2499">
        <v>1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f t="shared" si="123"/>
        <v>2025</v>
      </c>
      <c r="Q2499">
        <f t="shared" si="124"/>
        <v>5</v>
      </c>
      <c r="R2499" t="str">
        <f t="shared" si="122"/>
        <v>品牌定制</v>
      </c>
      <c r="S2499" t="s">
        <v>629</v>
      </c>
      <c r="T2499" s="546" t="s">
        <v>804</v>
      </c>
    </row>
    <row r="2500" spans="1:20" x14ac:dyDescent="0.3">
      <c r="A2500" t="s">
        <v>627</v>
      </c>
      <c r="B2500" s="16">
        <v>45807</v>
      </c>
      <c r="C2500" t="s">
        <v>2</v>
      </c>
      <c r="D2500" t="s">
        <v>52</v>
      </c>
      <c r="E2500" t="s">
        <v>58</v>
      </c>
      <c r="F2500">
        <v>3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3</v>
      </c>
      <c r="P2500">
        <f t="shared" si="123"/>
        <v>2025</v>
      </c>
      <c r="Q2500">
        <f t="shared" si="124"/>
        <v>5</v>
      </c>
      <c r="R2500" t="str">
        <f t="shared" si="122"/>
        <v>超级全域通</v>
      </c>
      <c r="S2500" t="s">
        <v>629</v>
      </c>
      <c r="T2500" s="546" t="s">
        <v>804</v>
      </c>
    </row>
    <row r="2501" spans="1:20" x14ac:dyDescent="0.3">
      <c r="A2501" t="s">
        <v>627</v>
      </c>
      <c r="B2501" s="16">
        <v>45807</v>
      </c>
      <c r="C2501" t="s">
        <v>2</v>
      </c>
      <c r="D2501" t="s">
        <v>57</v>
      </c>
      <c r="E2501" t="s">
        <v>64</v>
      </c>
      <c r="F2501" s="15">
        <v>7985</v>
      </c>
      <c r="G2501" s="15">
        <v>4783</v>
      </c>
      <c r="H2501">
        <v>52</v>
      </c>
      <c r="I2501">
        <v>44</v>
      </c>
      <c r="J2501" s="15">
        <v>19200</v>
      </c>
      <c r="K2501">
        <v>5</v>
      </c>
      <c r="L2501" s="15">
        <v>6935</v>
      </c>
      <c r="M2501">
        <v>2</v>
      </c>
      <c r="N2501">
        <v>205</v>
      </c>
      <c r="O2501" s="15">
        <v>7985</v>
      </c>
      <c r="P2501">
        <f t="shared" si="123"/>
        <v>2025</v>
      </c>
      <c r="Q2501">
        <f t="shared" si="124"/>
        <v>5</v>
      </c>
      <c r="R2501" t="str">
        <f t="shared" si="122"/>
        <v>引力魔方</v>
      </c>
      <c r="S2501" t="s">
        <v>629</v>
      </c>
      <c r="T2501" s="546" t="s">
        <v>804</v>
      </c>
    </row>
    <row r="2502" spans="1:20" x14ac:dyDescent="0.3">
      <c r="A2502" t="s">
        <v>627</v>
      </c>
      <c r="B2502" s="16">
        <v>45807</v>
      </c>
      <c r="C2502" t="s">
        <v>2</v>
      </c>
      <c r="D2502" t="s">
        <v>57</v>
      </c>
      <c r="E2502" t="s">
        <v>65</v>
      </c>
      <c r="F2502" s="15">
        <v>4868</v>
      </c>
      <c r="G2502" s="15">
        <v>4215</v>
      </c>
      <c r="H2502">
        <v>42</v>
      </c>
      <c r="I2502">
        <v>25</v>
      </c>
      <c r="J2502" s="15">
        <v>45287</v>
      </c>
      <c r="K2502">
        <v>7</v>
      </c>
      <c r="L2502" s="15">
        <v>11337</v>
      </c>
      <c r="M2502">
        <v>4</v>
      </c>
      <c r="N2502">
        <v>231</v>
      </c>
      <c r="O2502" s="15">
        <v>4831</v>
      </c>
      <c r="P2502">
        <f t="shared" si="123"/>
        <v>2025</v>
      </c>
      <c r="Q2502">
        <f t="shared" si="124"/>
        <v>5</v>
      </c>
      <c r="R2502" t="str">
        <f t="shared" si="122"/>
        <v>直通车</v>
      </c>
      <c r="S2502" t="s">
        <v>629</v>
      </c>
      <c r="T2502" s="546" t="s">
        <v>804</v>
      </c>
    </row>
    <row r="2503" spans="1:20" x14ac:dyDescent="0.3">
      <c r="A2503" t="s">
        <v>627</v>
      </c>
      <c r="B2503" s="16">
        <v>45807</v>
      </c>
      <c r="C2503" t="s">
        <v>2</v>
      </c>
      <c r="D2503" t="s">
        <v>57</v>
      </c>
      <c r="E2503" t="s">
        <v>63</v>
      </c>
      <c r="F2503" s="15">
        <v>4133</v>
      </c>
      <c r="G2503" s="15">
        <v>2400</v>
      </c>
      <c r="H2503">
        <v>125</v>
      </c>
      <c r="I2503">
        <v>158</v>
      </c>
      <c r="J2503" s="17">
        <v>43890.47</v>
      </c>
      <c r="K2503">
        <v>15</v>
      </c>
      <c r="L2503" s="17">
        <v>30137.47</v>
      </c>
      <c r="M2503">
        <v>11</v>
      </c>
      <c r="N2503">
        <v>595</v>
      </c>
      <c r="O2503" s="15">
        <v>3958</v>
      </c>
      <c r="P2503">
        <f t="shared" si="123"/>
        <v>2025</v>
      </c>
      <c r="Q2503">
        <f t="shared" si="124"/>
        <v>5</v>
      </c>
      <c r="R2503" t="str">
        <f t="shared" ref="R2503:R2566" si="125">E2503</f>
        <v>万相台</v>
      </c>
      <c r="S2503" t="s">
        <v>629</v>
      </c>
      <c r="T2503" s="546" t="s">
        <v>804</v>
      </c>
    </row>
    <row r="2504" spans="1:20" x14ac:dyDescent="0.3">
      <c r="A2504" t="s">
        <v>627</v>
      </c>
      <c r="B2504" s="16">
        <v>45807</v>
      </c>
      <c r="C2504" t="s">
        <v>2</v>
      </c>
      <c r="D2504" t="s">
        <v>4</v>
      </c>
      <c r="E2504" t="s">
        <v>41</v>
      </c>
      <c r="F2504">
        <v>2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2</v>
      </c>
      <c r="P2504">
        <f t="shared" si="123"/>
        <v>2025</v>
      </c>
      <c r="Q2504">
        <f t="shared" si="124"/>
        <v>5</v>
      </c>
      <c r="R2504" t="str">
        <f t="shared" si="125"/>
        <v>流量宝</v>
      </c>
      <c r="S2504" t="s">
        <v>629</v>
      </c>
      <c r="T2504" s="546" t="s">
        <v>804</v>
      </c>
    </row>
    <row r="2505" spans="1:20" x14ac:dyDescent="0.3">
      <c r="A2505" t="s">
        <v>627</v>
      </c>
      <c r="B2505" s="16">
        <v>45807</v>
      </c>
      <c r="C2505" t="s">
        <v>2</v>
      </c>
      <c r="D2505" t="s">
        <v>4</v>
      </c>
      <c r="E2505" t="s">
        <v>43</v>
      </c>
      <c r="F2505">
        <v>327</v>
      </c>
      <c r="G2505">
        <v>124</v>
      </c>
      <c r="H2505">
        <v>5</v>
      </c>
      <c r="I2505">
        <v>1</v>
      </c>
      <c r="J2505" s="15">
        <v>7565</v>
      </c>
      <c r="K2505">
        <v>2</v>
      </c>
      <c r="L2505" s="15">
        <v>4690</v>
      </c>
      <c r="M2505">
        <v>1</v>
      </c>
      <c r="N2505">
        <v>1</v>
      </c>
      <c r="O2505">
        <v>326</v>
      </c>
      <c r="P2505">
        <f t="shared" si="123"/>
        <v>2025</v>
      </c>
      <c r="Q2505">
        <f t="shared" si="124"/>
        <v>5</v>
      </c>
      <c r="R2505" t="str">
        <f t="shared" si="125"/>
        <v>淘宝客</v>
      </c>
      <c r="S2505" t="s">
        <v>629</v>
      </c>
      <c r="T2505" s="546" t="s">
        <v>804</v>
      </c>
    </row>
    <row r="2506" spans="1:20" x14ac:dyDescent="0.3">
      <c r="A2506" t="s">
        <v>627</v>
      </c>
      <c r="B2506" s="16">
        <v>45808</v>
      </c>
      <c r="C2506" t="s">
        <v>3</v>
      </c>
      <c r="D2506" t="s">
        <v>114</v>
      </c>
      <c r="E2506" t="s">
        <v>159</v>
      </c>
      <c r="F2506">
        <v>131</v>
      </c>
      <c r="G2506">
        <v>60</v>
      </c>
      <c r="H2506">
        <v>6</v>
      </c>
      <c r="I2506">
        <v>3</v>
      </c>
      <c r="J2506" s="15">
        <v>2490</v>
      </c>
      <c r="K2506">
        <v>1</v>
      </c>
      <c r="L2506">
        <v>0</v>
      </c>
      <c r="M2506">
        <v>0</v>
      </c>
      <c r="N2506">
        <v>13</v>
      </c>
      <c r="O2506">
        <v>130</v>
      </c>
      <c r="P2506">
        <f t="shared" si="123"/>
        <v>2025</v>
      </c>
      <c r="Q2506">
        <f t="shared" si="124"/>
        <v>5</v>
      </c>
      <c r="R2506" t="str">
        <f t="shared" si="125"/>
        <v>主会场</v>
      </c>
      <c r="S2506" t="s">
        <v>629</v>
      </c>
      <c r="T2506" s="546" t="s">
        <v>804</v>
      </c>
    </row>
    <row r="2507" spans="1:20" x14ac:dyDescent="0.3">
      <c r="A2507" t="s">
        <v>627</v>
      </c>
      <c r="B2507" s="16">
        <v>45808</v>
      </c>
      <c r="C2507" t="s">
        <v>3</v>
      </c>
      <c r="D2507" t="s">
        <v>117</v>
      </c>
      <c r="E2507" t="s">
        <v>161</v>
      </c>
      <c r="F2507">
        <v>1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1</v>
      </c>
      <c r="P2507">
        <f t="shared" si="123"/>
        <v>2025</v>
      </c>
      <c r="Q2507">
        <f t="shared" si="124"/>
        <v>5</v>
      </c>
      <c r="R2507" t="str">
        <f t="shared" si="125"/>
        <v>其他入口榜单</v>
      </c>
      <c r="S2507" t="s">
        <v>629</v>
      </c>
      <c r="T2507" s="546" t="s">
        <v>804</v>
      </c>
    </row>
    <row r="2508" spans="1:20" x14ac:dyDescent="0.3">
      <c r="A2508" t="s">
        <v>627</v>
      </c>
      <c r="B2508" s="16">
        <v>45808</v>
      </c>
      <c r="C2508" t="s">
        <v>3</v>
      </c>
      <c r="D2508" t="s">
        <v>123</v>
      </c>
      <c r="E2508" t="s">
        <v>169</v>
      </c>
      <c r="F2508">
        <v>362</v>
      </c>
      <c r="G2508">
        <v>246</v>
      </c>
      <c r="H2508">
        <v>9</v>
      </c>
      <c r="I2508">
        <v>4</v>
      </c>
      <c r="J2508" s="15">
        <v>3180</v>
      </c>
      <c r="K2508">
        <v>2</v>
      </c>
      <c r="L2508" s="15">
        <v>3180</v>
      </c>
      <c r="M2508">
        <v>2</v>
      </c>
      <c r="N2508">
        <v>70</v>
      </c>
      <c r="O2508">
        <v>355</v>
      </c>
      <c r="P2508">
        <f t="shared" si="123"/>
        <v>2025</v>
      </c>
      <c r="Q2508">
        <f t="shared" si="124"/>
        <v>5</v>
      </c>
      <c r="R2508" t="str">
        <f t="shared" si="125"/>
        <v>商品详情页头图推荐</v>
      </c>
      <c r="S2508" t="s">
        <v>629</v>
      </c>
      <c r="T2508" s="546" t="s">
        <v>804</v>
      </c>
    </row>
    <row r="2509" spans="1:20" x14ac:dyDescent="0.3">
      <c r="A2509" t="s">
        <v>627</v>
      </c>
      <c r="B2509" s="16">
        <v>45808</v>
      </c>
      <c r="C2509" t="s">
        <v>3</v>
      </c>
      <c r="D2509" t="s">
        <v>123</v>
      </c>
      <c r="E2509" t="s">
        <v>170</v>
      </c>
      <c r="F2509">
        <v>24</v>
      </c>
      <c r="G2509">
        <v>12</v>
      </c>
      <c r="H2509">
        <v>2</v>
      </c>
      <c r="I2509">
        <v>0</v>
      </c>
      <c r="J2509" s="15">
        <v>5945</v>
      </c>
      <c r="K2509">
        <v>1</v>
      </c>
      <c r="L2509" s="15">
        <v>5945</v>
      </c>
      <c r="M2509">
        <v>1</v>
      </c>
      <c r="N2509">
        <v>22</v>
      </c>
      <c r="O2509">
        <v>7</v>
      </c>
      <c r="P2509">
        <f t="shared" si="123"/>
        <v>2025</v>
      </c>
      <c r="Q2509">
        <f t="shared" si="124"/>
        <v>5</v>
      </c>
      <c r="R2509" t="str">
        <f t="shared" si="125"/>
        <v>店铺超链</v>
      </c>
      <c r="S2509" t="s">
        <v>629</v>
      </c>
      <c r="T2509" s="546" t="s">
        <v>804</v>
      </c>
    </row>
    <row r="2510" spans="1:20" x14ac:dyDescent="0.3">
      <c r="A2510" t="s">
        <v>627</v>
      </c>
      <c r="B2510" s="16">
        <v>45808</v>
      </c>
      <c r="C2510" t="s">
        <v>3</v>
      </c>
      <c r="D2510" t="s">
        <v>127</v>
      </c>
      <c r="E2510" t="s">
        <v>171</v>
      </c>
      <c r="F2510">
        <v>371</v>
      </c>
      <c r="G2510">
        <v>256</v>
      </c>
      <c r="H2510">
        <v>8</v>
      </c>
      <c r="I2510">
        <v>5</v>
      </c>
      <c r="J2510" s="15">
        <v>4670</v>
      </c>
      <c r="K2510">
        <v>3</v>
      </c>
      <c r="L2510" s="15">
        <v>4670</v>
      </c>
      <c r="M2510">
        <v>3</v>
      </c>
      <c r="N2510">
        <v>48</v>
      </c>
      <c r="O2510">
        <v>336</v>
      </c>
      <c r="P2510">
        <f t="shared" si="123"/>
        <v>2025</v>
      </c>
      <c r="Q2510">
        <f t="shared" si="124"/>
        <v>5</v>
      </c>
      <c r="R2510" t="str">
        <f t="shared" si="125"/>
        <v>其他猜你喜欢</v>
      </c>
      <c r="S2510" t="s">
        <v>629</v>
      </c>
      <c r="T2510" s="546" t="s">
        <v>804</v>
      </c>
    </row>
    <row r="2511" spans="1:20" x14ac:dyDescent="0.3">
      <c r="A2511" t="s">
        <v>627</v>
      </c>
      <c r="B2511" s="16">
        <v>45808</v>
      </c>
      <c r="C2511" t="s">
        <v>3</v>
      </c>
      <c r="D2511" t="s">
        <v>127</v>
      </c>
      <c r="E2511" t="s">
        <v>172</v>
      </c>
      <c r="F2511">
        <v>18</v>
      </c>
      <c r="G2511">
        <v>8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1</v>
      </c>
      <c r="O2511">
        <v>15</v>
      </c>
      <c r="P2511">
        <f t="shared" si="123"/>
        <v>2025</v>
      </c>
      <c r="Q2511">
        <f t="shared" si="124"/>
        <v>5</v>
      </c>
      <c r="R2511" t="str">
        <f t="shared" si="125"/>
        <v>购中推荐</v>
      </c>
      <c r="S2511" t="s">
        <v>629</v>
      </c>
      <c r="T2511" s="546" t="s">
        <v>804</v>
      </c>
    </row>
    <row r="2512" spans="1:20" x14ac:dyDescent="0.3">
      <c r="A2512" t="s">
        <v>627</v>
      </c>
      <c r="B2512" s="16">
        <v>45808</v>
      </c>
      <c r="C2512" t="s">
        <v>3</v>
      </c>
      <c r="D2512" t="s">
        <v>127</v>
      </c>
      <c r="E2512" t="s">
        <v>173</v>
      </c>
      <c r="F2512">
        <v>68</v>
      </c>
      <c r="G2512">
        <v>42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3</v>
      </c>
      <c r="O2512">
        <v>42</v>
      </c>
      <c r="P2512">
        <f t="shared" si="123"/>
        <v>2025</v>
      </c>
      <c r="Q2512">
        <f t="shared" si="124"/>
        <v>5</v>
      </c>
      <c r="R2512" t="str">
        <f t="shared" si="125"/>
        <v>购后推荐</v>
      </c>
      <c r="S2512" t="s">
        <v>629</v>
      </c>
      <c r="T2512" s="546" t="s">
        <v>804</v>
      </c>
    </row>
    <row r="2513" spans="1:20" x14ac:dyDescent="0.3">
      <c r="A2513" t="s">
        <v>627</v>
      </c>
      <c r="B2513" s="16">
        <v>45808</v>
      </c>
      <c r="C2513" t="s">
        <v>3</v>
      </c>
      <c r="D2513" t="s">
        <v>127</v>
      </c>
      <c r="E2513" t="s">
        <v>174</v>
      </c>
      <c r="F2513" s="15">
        <v>12280</v>
      </c>
      <c r="G2513" s="15">
        <v>11172</v>
      </c>
      <c r="H2513">
        <v>72</v>
      </c>
      <c r="I2513">
        <v>47</v>
      </c>
      <c r="J2513" s="15">
        <v>141645</v>
      </c>
      <c r="K2513">
        <v>8</v>
      </c>
      <c r="L2513" s="15">
        <v>17695</v>
      </c>
      <c r="M2513">
        <v>5</v>
      </c>
      <c r="N2513">
        <v>674</v>
      </c>
      <c r="O2513" s="15">
        <v>12280</v>
      </c>
      <c r="P2513">
        <f t="shared" si="123"/>
        <v>2025</v>
      </c>
      <c r="Q2513">
        <f t="shared" si="124"/>
        <v>5</v>
      </c>
      <c r="R2513" t="str">
        <f t="shared" si="125"/>
        <v>首页推荐-微详情</v>
      </c>
      <c r="S2513" t="s">
        <v>629</v>
      </c>
      <c r="T2513" s="546" t="s">
        <v>804</v>
      </c>
    </row>
    <row r="2514" spans="1:20" x14ac:dyDescent="0.3">
      <c r="A2514" t="s">
        <v>627</v>
      </c>
      <c r="B2514" s="16">
        <v>45808</v>
      </c>
      <c r="C2514" t="s">
        <v>3</v>
      </c>
      <c r="D2514" t="s">
        <v>127</v>
      </c>
      <c r="E2514" t="s">
        <v>175</v>
      </c>
      <c r="F2514">
        <v>3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f t="shared" si="123"/>
        <v>2025</v>
      </c>
      <c r="Q2514">
        <f t="shared" si="124"/>
        <v>5</v>
      </c>
      <c r="R2514" t="str">
        <f t="shared" si="125"/>
        <v>首页推荐-直播</v>
      </c>
      <c r="S2514" t="s">
        <v>629</v>
      </c>
      <c r="T2514" s="546" t="s">
        <v>804</v>
      </c>
    </row>
    <row r="2515" spans="1:20" x14ac:dyDescent="0.3">
      <c r="A2515" t="s">
        <v>627</v>
      </c>
      <c r="B2515" s="16">
        <v>45808</v>
      </c>
      <c r="C2515" t="s">
        <v>3</v>
      </c>
      <c r="D2515" t="s">
        <v>127</v>
      </c>
      <c r="E2515" t="s">
        <v>176</v>
      </c>
      <c r="F2515">
        <v>191</v>
      </c>
      <c r="G2515">
        <v>97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2</v>
      </c>
      <c r="O2515">
        <v>20</v>
      </c>
      <c r="P2515">
        <f t="shared" si="123"/>
        <v>2025</v>
      </c>
      <c r="Q2515">
        <f t="shared" si="124"/>
        <v>5</v>
      </c>
      <c r="R2515" t="str">
        <f t="shared" si="125"/>
        <v>首页推荐-短视频</v>
      </c>
      <c r="S2515" t="s">
        <v>629</v>
      </c>
      <c r="T2515" s="546" t="s">
        <v>804</v>
      </c>
    </row>
    <row r="2516" spans="1:20" x14ac:dyDescent="0.3">
      <c r="A2516" t="s">
        <v>627</v>
      </c>
      <c r="B2516" s="16">
        <v>45808</v>
      </c>
      <c r="C2516" t="s">
        <v>3</v>
      </c>
      <c r="D2516" t="s">
        <v>128</v>
      </c>
      <c r="E2516" t="s">
        <v>177</v>
      </c>
      <c r="F2516">
        <v>749</v>
      </c>
      <c r="G2516">
        <v>554</v>
      </c>
      <c r="H2516">
        <v>32</v>
      </c>
      <c r="I2516">
        <v>14</v>
      </c>
      <c r="J2516" s="17">
        <v>34192.699999999997</v>
      </c>
      <c r="K2516">
        <v>9</v>
      </c>
      <c r="L2516" s="17">
        <v>16246.7</v>
      </c>
      <c r="M2516">
        <v>7</v>
      </c>
      <c r="N2516">
        <v>338</v>
      </c>
      <c r="O2516">
        <v>551</v>
      </c>
      <c r="P2516">
        <f t="shared" si="123"/>
        <v>2025</v>
      </c>
      <c r="Q2516">
        <f t="shared" si="124"/>
        <v>5</v>
      </c>
      <c r="R2516" t="str">
        <f t="shared" si="125"/>
        <v>手淘搜索-商品及其他</v>
      </c>
      <c r="S2516" t="s">
        <v>629</v>
      </c>
      <c r="T2516" s="546" t="s">
        <v>804</v>
      </c>
    </row>
    <row r="2517" spans="1:20" x14ac:dyDescent="0.3">
      <c r="A2517" t="s">
        <v>627</v>
      </c>
      <c r="B2517" s="16">
        <v>45808</v>
      </c>
      <c r="C2517" t="s">
        <v>3</v>
      </c>
      <c r="D2517" t="s">
        <v>128</v>
      </c>
      <c r="E2517" t="s">
        <v>179</v>
      </c>
      <c r="F2517">
        <v>22</v>
      </c>
      <c r="G2517">
        <v>12</v>
      </c>
      <c r="H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22</v>
      </c>
      <c r="P2517">
        <f t="shared" ref="P2517:P2580" si="126">YEAR(B2517)</f>
        <v>2025</v>
      </c>
      <c r="Q2517">
        <f t="shared" ref="Q2517:Q2580" si="127">MONTH(B2517)</f>
        <v>5</v>
      </c>
      <c r="R2517" t="str">
        <f t="shared" si="125"/>
        <v>手淘搜索-短视频</v>
      </c>
      <c r="S2517" t="s">
        <v>629</v>
      </c>
      <c r="T2517" s="546" t="s">
        <v>804</v>
      </c>
    </row>
    <row r="2518" spans="1:20" x14ac:dyDescent="0.3">
      <c r="A2518" t="s">
        <v>627</v>
      </c>
      <c r="B2518" s="16">
        <v>45808</v>
      </c>
      <c r="C2518" t="s">
        <v>3</v>
      </c>
      <c r="D2518" t="s">
        <v>143</v>
      </c>
      <c r="E2518" t="s">
        <v>180</v>
      </c>
      <c r="F2518">
        <v>15</v>
      </c>
      <c r="G2518">
        <v>14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15</v>
      </c>
      <c r="P2518">
        <f t="shared" si="126"/>
        <v>2025</v>
      </c>
      <c r="Q2518">
        <f t="shared" si="127"/>
        <v>5</v>
      </c>
      <c r="R2518" t="str">
        <f t="shared" si="125"/>
        <v>淘特其他渠道</v>
      </c>
      <c r="S2518" t="s">
        <v>629</v>
      </c>
      <c r="T2518" s="546" t="s">
        <v>804</v>
      </c>
    </row>
    <row r="2519" spans="1:20" x14ac:dyDescent="0.3">
      <c r="A2519" t="s">
        <v>627</v>
      </c>
      <c r="B2519" s="16">
        <v>45808</v>
      </c>
      <c r="C2519" t="s">
        <v>3</v>
      </c>
      <c r="D2519" t="s">
        <v>143</v>
      </c>
      <c r="E2519" t="s">
        <v>181</v>
      </c>
      <c r="F2519">
        <v>52</v>
      </c>
      <c r="G2519">
        <v>51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52</v>
      </c>
      <c r="P2519">
        <f t="shared" si="126"/>
        <v>2025</v>
      </c>
      <c r="Q2519">
        <f t="shared" si="127"/>
        <v>5</v>
      </c>
      <c r="R2519" t="str">
        <f t="shared" si="125"/>
        <v>淘特搜索</v>
      </c>
      <c r="S2519" t="s">
        <v>629</v>
      </c>
      <c r="T2519" s="546" t="s">
        <v>804</v>
      </c>
    </row>
    <row r="2520" spans="1:20" x14ac:dyDescent="0.3">
      <c r="A2520" t="s">
        <v>627</v>
      </c>
      <c r="B2520" s="16">
        <v>45808</v>
      </c>
      <c r="C2520" t="s">
        <v>2</v>
      </c>
      <c r="D2520" t="s">
        <v>55</v>
      </c>
      <c r="E2520" t="s">
        <v>54</v>
      </c>
      <c r="F2520">
        <v>5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2</v>
      </c>
      <c r="P2520">
        <f t="shared" si="126"/>
        <v>2025</v>
      </c>
      <c r="Q2520">
        <f t="shared" si="127"/>
        <v>5</v>
      </c>
      <c r="R2520" t="str">
        <f t="shared" si="125"/>
        <v>超级直播</v>
      </c>
      <c r="S2520" t="s">
        <v>629</v>
      </c>
      <c r="T2520" s="546" t="s">
        <v>804</v>
      </c>
    </row>
    <row r="2521" spans="1:20" x14ac:dyDescent="0.3">
      <c r="A2521" t="s">
        <v>627</v>
      </c>
      <c r="B2521" s="16">
        <v>45808</v>
      </c>
      <c r="C2521" t="s">
        <v>2</v>
      </c>
      <c r="D2521" t="s">
        <v>55</v>
      </c>
      <c r="E2521" t="s">
        <v>56</v>
      </c>
      <c r="F2521">
        <v>1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1</v>
      </c>
      <c r="P2521">
        <f t="shared" si="126"/>
        <v>2025</v>
      </c>
      <c r="Q2521">
        <f t="shared" si="127"/>
        <v>5</v>
      </c>
      <c r="R2521" t="str">
        <f t="shared" si="125"/>
        <v>超级短视频</v>
      </c>
      <c r="S2521" t="s">
        <v>629</v>
      </c>
      <c r="T2521" s="546" t="s">
        <v>804</v>
      </c>
    </row>
    <row r="2522" spans="1:20" x14ac:dyDescent="0.3">
      <c r="A2522" t="s">
        <v>627</v>
      </c>
      <c r="B2522" s="16">
        <v>45808</v>
      </c>
      <c r="C2522" t="s">
        <v>2</v>
      </c>
      <c r="D2522" t="s">
        <v>52</v>
      </c>
      <c r="E2522" t="s">
        <v>58</v>
      </c>
      <c r="F2522">
        <v>1</v>
      </c>
      <c r="G2522">
        <v>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</v>
      </c>
      <c r="P2522">
        <f t="shared" si="126"/>
        <v>2025</v>
      </c>
      <c r="Q2522">
        <f t="shared" si="127"/>
        <v>5</v>
      </c>
      <c r="R2522" t="str">
        <f t="shared" si="125"/>
        <v>超级全域通</v>
      </c>
      <c r="S2522" t="s">
        <v>629</v>
      </c>
      <c r="T2522" s="546" t="s">
        <v>804</v>
      </c>
    </row>
    <row r="2523" spans="1:20" x14ac:dyDescent="0.3">
      <c r="A2523" t="s">
        <v>627</v>
      </c>
      <c r="B2523" s="16">
        <v>45808</v>
      </c>
      <c r="C2523" t="s">
        <v>2</v>
      </c>
      <c r="D2523" t="s">
        <v>57</v>
      </c>
      <c r="E2523" t="s">
        <v>64</v>
      </c>
      <c r="F2523" s="15">
        <v>10812</v>
      </c>
      <c r="G2523" s="15">
        <v>7107</v>
      </c>
      <c r="H2523">
        <v>69</v>
      </c>
      <c r="I2523">
        <v>60</v>
      </c>
      <c r="J2523" s="15">
        <v>9555</v>
      </c>
      <c r="K2523">
        <v>5</v>
      </c>
      <c r="L2523" s="15">
        <v>5670</v>
      </c>
      <c r="M2523">
        <v>3</v>
      </c>
      <c r="N2523">
        <v>275</v>
      </c>
      <c r="O2523" s="15">
        <v>10812</v>
      </c>
      <c r="P2523">
        <f t="shared" si="126"/>
        <v>2025</v>
      </c>
      <c r="Q2523">
        <f t="shared" si="127"/>
        <v>5</v>
      </c>
      <c r="R2523" t="str">
        <f t="shared" si="125"/>
        <v>引力魔方</v>
      </c>
      <c r="S2523" t="s">
        <v>629</v>
      </c>
      <c r="T2523" s="546" t="s">
        <v>804</v>
      </c>
    </row>
    <row r="2524" spans="1:20" x14ac:dyDescent="0.3">
      <c r="A2524" t="s">
        <v>627</v>
      </c>
      <c r="B2524" s="16">
        <v>45808</v>
      </c>
      <c r="C2524" t="s">
        <v>2</v>
      </c>
      <c r="D2524" t="s">
        <v>57</v>
      </c>
      <c r="E2524" t="s">
        <v>65</v>
      </c>
      <c r="F2524" s="15">
        <v>4956</v>
      </c>
      <c r="G2524" s="15">
        <v>4309</v>
      </c>
      <c r="H2524">
        <v>42</v>
      </c>
      <c r="I2524">
        <v>24</v>
      </c>
      <c r="J2524" s="15">
        <v>102592</v>
      </c>
      <c r="K2524">
        <v>11</v>
      </c>
      <c r="L2524" s="15">
        <v>8150</v>
      </c>
      <c r="M2524">
        <v>3</v>
      </c>
      <c r="N2524">
        <v>262</v>
      </c>
      <c r="O2524" s="15">
        <v>4909</v>
      </c>
      <c r="P2524">
        <f t="shared" si="126"/>
        <v>2025</v>
      </c>
      <c r="Q2524">
        <f t="shared" si="127"/>
        <v>5</v>
      </c>
      <c r="R2524" t="str">
        <f t="shared" si="125"/>
        <v>直通车</v>
      </c>
      <c r="S2524" t="s">
        <v>629</v>
      </c>
      <c r="T2524" s="546" t="s">
        <v>804</v>
      </c>
    </row>
    <row r="2525" spans="1:20" x14ac:dyDescent="0.3">
      <c r="A2525" t="s">
        <v>627</v>
      </c>
      <c r="B2525" s="16">
        <v>45808</v>
      </c>
      <c r="C2525" t="s">
        <v>2</v>
      </c>
      <c r="D2525" t="s">
        <v>57</v>
      </c>
      <c r="E2525" t="s">
        <v>63</v>
      </c>
      <c r="F2525" s="15">
        <v>5820</v>
      </c>
      <c r="G2525" s="15">
        <v>3599</v>
      </c>
      <c r="H2525">
        <v>153</v>
      </c>
      <c r="I2525">
        <v>183</v>
      </c>
      <c r="J2525" s="15">
        <v>132484</v>
      </c>
      <c r="K2525">
        <v>26</v>
      </c>
      <c r="L2525" s="15">
        <v>49949</v>
      </c>
      <c r="M2525">
        <v>14</v>
      </c>
      <c r="N2525">
        <v>645</v>
      </c>
      <c r="O2525" s="15">
        <v>5615</v>
      </c>
      <c r="P2525">
        <f t="shared" si="126"/>
        <v>2025</v>
      </c>
      <c r="Q2525">
        <f t="shared" si="127"/>
        <v>5</v>
      </c>
      <c r="R2525" t="str">
        <f t="shared" si="125"/>
        <v>万相台</v>
      </c>
      <c r="S2525" t="s">
        <v>629</v>
      </c>
      <c r="T2525" s="546" t="s">
        <v>804</v>
      </c>
    </row>
    <row r="2526" spans="1:20" x14ac:dyDescent="0.3">
      <c r="A2526" t="s">
        <v>627</v>
      </c>
      <c r="B2526" s="16">
        <v>45808</v>
      </c>
      <c r="C2526" t="s">
        <v>2</v>
      </c>
      <c r="D2526" t="s">
        <v>4</v>
      </c>
      <c r="E2526" t="s">
        <v>41</v>
      </c>
      <c r="F2526">
        <v>5</v>
      </c>
      <c r="G2526">
        <v>4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5</v>
      </c>
      <c r="P2526">
        <f t="shared" si="126"/>
        <v>2025</v>
      </c>
      <c r="Q2526">
        <f t="shared" si="127"/>
        <v>5</v>
      </c>
      <c r="R2526" t="str">
        <f t="shared" si="125"/>
        <v>流量宝</v>
      </c>
      <c r="S2526" t="s">
        <v>629</v>
      </c>
      <c r="T2526" s="546" t="s">
        <v>804</v>
      </c>
    </row>
    <row r="2527" spans="1:20" x14ac:dyDescent="0.3">
      <c r="A2527" t="s">
        <v>627</v>
      </c>
      <c r="B2527" s="16">
        <v>45808</v>
      </c>
      <c r="C2527" t="s">
        <v>2</v>
      </c>
      <c r="D2527" t="s">
        <v>4</v>
      </c>
      <c r="E2527" t="s">
        <v>43</v>
      </c>
      <c r="F2527">
        <v>352</v>
      </c>
      <c r="G2527">
        <v>109</v>
      </c>
      <c r="H2527">
        <v>3</v>
      </c>
      <c r="I2527">
        <v>2</v>
      </c>
      <c r="J2527" s="15">
        <v>18318</v>
      </c>
      <c r="K2527">
        <v>4</v>
      </c>
      <c r="L2527" s="15">
        <v>16328</v>
      </c>
      <c r="M2527">
        <v>3</v>
      </c>
      <c r="N2527">
        <v>4</v>
      </c>
      <c r="O2527">
        <v>350</v>
      </c>
      <c r="P2527">
        <f t="shared" si="126"/>
        <v>2025</v>
      </c>
      <c r="Q2527">
        <f t="shared" si="127"/>
        <v>5</v>
      </c>
      <c r="R2527" t="str">
        <f t="shared" si="125"/>
        <v>淘宝客</v>
      </c>
      <c r="S2527" t="s">
        <v>629</v>
      </c>
      <c r="T2527" s="546" t="s">
        <v>804</v>
      </c>
    </row>
    <row r="2528" spans="1:20" x14ac:dyDescent="0.3">
      <c r="A2528" t="s">
        <v>627</v>
      </c>
      <c r="B2528" s="16">
        <v>45809</v>
      </c>
      <c r="C2528" t="s">
        <v>3</v>
      </c>
      <c r="D2528" t="s">
        <v>114</v>
      </c>
      <c r="E2528" t="s">
        <v>159</v>
      </c>
      <c r="F2528">
        <v>165</v>
      </c>
      <c r="G2528">
        <v>92</v>
      </c>
      <c r="H2528">
        <v>6</v>
      </c>
      <c r="I2528">
        <v>1</v>
      </c>
      <c r="J2528" s="15">
        <v>21540</v>
      </c>
      <c r="K2528">
        <v>1</v>
      </c>
      <c r="L2528" s="15">
        <v>10770</v>
      </c>
      <c r="M2528">
        <v>1</v>
      </c>
      <c r="N2528">
        <v>8</v>
      </c>
      <c r="O2528">
        <v>160</v>
      </c>
      <c r="P2528">
        <f t="shared" si="126"/>
        <v>2025</v>
      </c>
      <c r="Q2528">
        <f t="shared" si="127"/>
        <v>6</v>
      </c>
      <c r="R2528" t="str">
        <f t="shared" si="125"/>
        <v>主会场</v>
      </c>
      <c r="S2528" t="s">
        <v>629</v>
      </c>
      <c r="T2528" s="546" t="s">
        <v>804</v>
      </c>
    </row>
    <row r="2529" spans="1:20" x14ac:dyDescent="0.3">
      <c r="A2529" t="s">
        <v>627</v>
      </c>
      <c r="B2529" s="16">
        <v>45809</v>
      </c>
      <c r="C2529" t="s">
        <v>3</v>
      </c>
      <c r="D2529" t="s">
        <v>123</v>
      </c>
      <c r="E2529" t="s">
        <v>169</v>
      </c>
      <c r="F2529">
        <v>348</v>
      </c>
      <c r="G2529">
        <v>249</v>
      </c>
      <c r="H2529">
        <v>10</v>
      </c>
      <c r="I2529">
        <v>3</v>
      </c>
      <c r="J2529" s="15">
        <v>13739</v>
      </c>
      <c r="K2529">
        <v>4</v>
      </c>
      <c r="L2529" s="15">
        <v>9905</v>
      </c>
      <c r="M2529">
        <v>3</v>
      </c>
      <c r="N2529">
        <v>79</v>
      </c>
      <c r="O2529">
        <v>340</v>
      </c>
      <c r="P2529">
        <f t="shared" si="126"/>
        <v>2025</v>
      </c>
      <c r="Q2529">
        <f t="shared" si="127"/>
        <v>6</v>
      </c>
      <c r="R2529" t="str">
        <f t="shared" si="125"/>
        <v>商品详情页头图推荐</v>
      </c>
      <c r="S2529" t="s">
        <v>629</v>
      </c>
      <c r="T2529" s="546" t="s">
        <v>804</v>
      </c>
    </row>
    <row r="2530" spans="1:20" x14ac:dyDescent="0.3">
      <c r="A2530" t="s">
        <v>627</v>
      </c>
      <c r="B2530" s="16">
        <v>45809</v>
      </c>
      <c r="C2530" t="s">
        <v>3</v>
      </c>
      <c r="D2530" t="s">
        <v>123</v>
      </c>
      <c r="E2530" t="s">
        <v>170</v>
      </c>
      <c r="F2530">
        <v>30</v>
      </c>
      <c r="G2530">
        <v>10</v>
      </c>
      <c r="H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26</v>
      </c>
      <c r="O2530">
        <v>17</v>
      </c>
      <c r="P2530">
        <f t="shared" si="126"/>
        <v>2025</v>
      </c>
      <c r="Q2530">
        <f t="shared" si="127"/>
        <v>6</v>
      </c>
      <c r="R2530" t="str">
        <f t="shared" si="125"/>
        <v>店铺超链</v>
      </c>
      <c r="S2530" t="s">
        <v>629</v>
      </c>
      <c r="T2530" s="546" t="s">
        <v>804</v>
      </c>
    </row>
    <row r="2531" spans="1:20" x14ac:dyDescent="0.3">
      <c r="A2531" t="s">
        <v>627</v>
      </c>
      <c r="B2531" s="16">
        <v>45809</v>
      </c>
      <c r="C2531" t="s">
        <v>3</v>
      </c>
      <c r="D2531" t="s">
        <v>127</v>
      </c>
      <c r="E2531" t="s">
        <v>171</v>
      </c>
      <c r="F2531">
        <v>341</v>
      </c>
      <c r="G2531">
        <v>236</v>
      </c>
      <c r="H2531">
        <v>7</v>
      </c>
      <c r="I2531">
        <v>1</v>
      </c>
      <c r="J2531" s="15">
        <v>5120</v>
      </c>
      <c r="K2531">
        <v>2</v>
      </c>
      <c r="L2531" s="15">
        <v>5120</v>
      </c>
      <c r="M2531">
        <v>2</v>
      </c>
      <c r="N2531">
        <v>44</v>
      </c>
      <c r="O2531">
        <v>317</v>
      </c>
      <c r="P2531">
        <f t="shared" si="126"/>
        <v>2025</v>
      </c>
      <c r="Q2531">
        <f t="shared" si="127"/>
        <v>6</v>
      </c>
      <c r="R2531" t="str">
        <f t="shared" si="125"/>
        <v>其他猜你喜欢</v>
      </c>
      <c r="S2531" t="s">
        <v>629</v>
      </c>
      <c r="T2531" s="546" t="s">
        <v>804</v>
      </c>
    </row>
    <row r="2532" spans="1:20" x14ac:dyDescent="0.3">
      <c r="A2532" t="s">
        <v>627</v>
      </c>
      <c r="B2532" s="16">
        <v>45809</v>
      </c>
      <c r="C2532" t="s">
        <v>3</v>
      </c>
      <c r="D2532" t="s">
        <v>127</v>
      </c>
      <c r="E2532" t="s">
        <v>172</v>
      </c>
      <c r="F2532">
        <v>14</v>
      </c>
      <c r="G2532">
        <v>8</v>
      </c>
      <c r="H2532">
        <v>1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11</v>
      </c>
      <c r="P2532">
        <f t="shared" si="126"/>
        <v>2025</v>
      </c>
      <c r="Q2532">
        <f t="shared" si="127"/>
        <v>6</v>
      </c>
      <c r="R2532" t="str">
        <f t="shared" si="125"/>
        <v>购中推荐</v>
      </c>
      <c r="S2532" t="s">
        <v>629</v>
      </c>
      <c r="T2532" s="546" t="s">
        <v>804</v>
      </c>
    </row>
    <row r="2533" spans="1:20" x14ac:dyDescent="0.3">
      <c r="A2533" t="s">
        <v>627</v>
      </c>
      <c r="B2533" s="16">
        <v>45809</v>
      </c>
      <c r="C2533" t="s">
        <v>3</v>
      </c>
      <c r="D2533" t="s">
        <v>127</v>
      </c>
      <c r="E2533" t="s">
        <v>173</v>
      </c>
      <c r="F2533">
        <v>60</v>
      </c>
      <c r="G2533">
        <v>39</v>
      </c>
      <c r="H2533">
        <v>4</v>
      </c>
      <c r="I2533">
        <v>0</v>
      </c>
      <c r="J2533" s="15">
        <v>3750</v>
      </c>
      <c r="K2533">
        <v>1</v>
      </c>
      <c r="L2533" s="15">
        <v>3750</v>
      </c>
      <c r="M2533">
        <v>1</v>
      </c>
      <c r="N2533">
        <v>2</v>
      </c>
      <c r="O2533">
        <v>52</v>
      </c>
      <c r="P2533">
        <f t="shared" si="126"/>
        <v>2025</v>
      </c>
      <c r="Q2533">
        <f t="shared" si="127"/>
        <v>6</v>
      </c>
      <c r="R2533" t="str">
        <f t="shared" si="125"/>
        <v>购后推荐</v>
      </c>
      <c r="S2533" t="s">
        <v>629</v>
      </c>
      <c r="T2533" s="546" t="s">
        <v>804</v>
      </c>
    </row>
    <row r="2534" spans="1:20" x14ac:dyDescent="0.3">
      <c r="A2534" t="s">
        <v>627</v>
      </c>
      <c r="B2534" s="16">
        <v>45809</v>
      </c>
      <c r="C2534" t="s">
        <v>3</v>
      </c>
      <c r="D2534" t="s">
        <v>127</v>
      </c>
      <c r="E2534" t="s">
        <v>174</v>
      </c>
      <c r="F2534" s="15">
        <v>13267</v>
      </c>
      <c r="G2534" s="15">
        <v>12107</v>
      </c>
      <c r="H2534">
        <v>80</v>
      </c>
      <c r="I2534">
        <v>57</v>
      </c>
      <c r="J2534" s="17">
        <v>32737.13</v>
      </c>
      <c r="K2534">
        <v>10</v>
      </c>
      <c r="L2534" s="17">
        <v>13757.13</v>
      </c>
      <c r="M2534">
        <v>7</v>
      </c>
      <c r="N2534">
        <v>736</v>
      </c>
      <c r="O2534" s="15">
        <v>13267</v>
      </c>
      <c r="P2534">
        <f t="shared" si="126"/>
        <v>2025</v>
      </c>
      <c r="Q2534">
        <f t="shared" si="127"/>
        <v>6</v>
      </c>
      <c r="R2534" t="str">
        <f t="shared" si="125"/>
        <v>首页推荐-微详情</v>
      </c>
      <c r="S2534" t="s">
        <v>629</v>
      </c>
      <c r="T2534" s="546" t="s">
        <v>804</v>
      </c>
    </row>
    <row r="2535" spans="1:20" x14ac:dyDescent="0.3">
      <c r="A2535" t="s">
        <v>627</v>
      </c>
      <c r="B2535" s="16">
        <v>45809</v>
      </c>
      <c r="C2535" t="s">
        <v>3</v>
      </c>
      <c r="D2535" t="s">
        <v>127</v>
      </c>
      <c r="E2535" t="s">
        <v>175</v>
      </c>
      <c r="F2535">
        <v>360</v>
      </c>
      <c r="G2535">
        <v>301</v>
      </c>
      <c r="H2535">
        <v>2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7</v>
      </c>
      <c r="O2535">
        <v>37</v>
      </c>
      <c r="P2535">
        <f t="shared" si="126"/>
        <v>2025</v>
      </c>
      <c r="Q2535">
        <f t="shared" si="127"/>
        <v>6</v>
      </c>
      <c r="R2535" t="str">
        <f t="shared" si="125"/>
        <v>首页推荐-直播</v>
      </c>
      <c r="S2535" t="s">
        <v>629</v>
      </c>
      <c r="T2535" s="546" t="s">
        <v>804</v>
      </c>
    </row>
    <row r="2536" spans="1:20" x14ac:dyDescent="0.3">
      <c r="A2536" t="s">
        <v>627</v>
      </c>
      <c r="B2536" s="16">
        <v>45809</v>
      </c>
      <c r="C2536" t="s">
        <v>3</v>
      </c>
      <c r="D2536" t="s">
        <v>127</v>
      </c>
      <c r="E2536" t="s">
        <v>176</v>
      </c>
      <c r="F2536">
        <v>147</v>
      </c>
      <c r="G2536">
        <v>99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12</v>
      </c>
      <c r="P2536">
        <f t="shared" si="126"/>
        <v>2025</v>
      </c>
      <c r="Q2536">
        <f t="shared" si="127"/>
        <v>6</v>
      </c>
      <c r="R2536" t="str">
        <f t="shared" si="125"/>
        <v>首页推荐-短视频</v>
      </c>
      <c r="S2536" t="s">
        <v>629</v>
      </c>
      <c r="T2536" s="546" t="s">
        <v>804</v>
      </c>
    </row>
    <row r="2537" spans="1:20" x14ac:dyDescent="0.3">
      <c r="A2537" t="s">
        <v>627</v>
      </c>
      <c r="B2537" s="16">
        <v>45809</v>
      </c>
      <c r="C2537" t="s">
        <v>3</v>
      </c>
      <c r="D2537" t="s">
        <v>128</v>
      </c>
      <c r="E2537" t="s">
        <v>177</v>
      </c>
      <c r="F2537">
        <v>750</v>
      </c>
      <c r="G2537">
        <v>561</v>
      </c>
      <c r="H2537">
        <v>26</v>
      </c>
      <c r="I2537">
        <v>9</v>
      </c>
      <c r="J2537" s="15">
        <v>33620</v>
      </c>
      <c r="K2537">
        <v>7</v>
      </c>
      <c r="L2537" s="15">
        <v>12755</v>
      </c>
      <c r="M2537">
        <v>5</v>
      </c>
      <c r="N2537">
        <v>334</v>
      </c>
      <c r="O2537">
        <v>540</v>
      </c>
      <c r="P2537">
        <f t="shared" si="126"/>
        <v>2025</v>
      </c>
      <c r="Q2537">
        <f t="shared" si="127"/>
        <v>6</v>
      </c>
      <c r="R2537" t="str">
        <f t="shared" si="125"/>
        <v>手淘搜索-商品及其他</v>
      </c>
      <c r="S2537" t="s">
        <v>629</v>
      </c>
      <c r="T2537" s="546" t="s">
        <v>804</v>
      </c>
    </row>
    <row r="2538" spans="1:20" x14ac:dyDescent="0.3">
      <c r="A2538" t="s">
        <v>627</v>
      </c>
      <c r="B2538" s="16">
        <v>45809</v>
      </c>
      <c r="C2538" t="s">
        <v>3</v>
      </c>
      <c r="D2538" t="s">
        <v>128</v>
      </c>
      <c r="E2538" t="s">
        <v>178</v>
      </c>
      <c r="F2538">
        <v>7</v>
      </c>
      <c r="G2538">
        <v>3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1</v>
      </c>
      <c r="O2538">
        <v>5</v>
      </c>
      <c r="P2538">
        <f t="shared" si="126"/>
        <v>2025</v>
      </c>
      <c r="Q2538">
        <f t="shared" si="127"/>
        <v>6</v>
      </c>
      <c r="R2538" t="str">
        <f t="shared" si="125"/>
        <v>手淘搜索-直播</v>
      </c>
      <c r="S2538" t="s">
        <v>629</v>
      </c>
      <c r="T2538" s="546" t="s">
        <v>804</v>
      </c>
    </row>
    <row r="2539" spans="1:20" x14ac:dyDescent="0.3">
      <c r="A2539" t="s">
        <v>627</v>
      </c>
      <c r="B2539" s="16">
        <v>45809</v>
      </c>
      <c r="C2539" t="s">
        <v>3</v>
      </c>
      <c r="D2539" t="s">
        <v>128</v>
      </c>
      <c r="E2539" t="s">
        <v>179</v>
      </c>
      <c r="F2539">
        <v>13</v>
      </c>
      <c r="G2539">
        <v>3</v>
      </c>
      <c r="H2539">
        <v>1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13</v>
      </c>
      <c r="P2539">
        <f t="shared" si="126"/>
        <v>2025</v>
      </c>
      <c r="Q2539">
        <f t="shared" si="127"/>
        <v>6</v>
      </c>
      <c r="R2539" t="str">
        <f t="shared" si="125"/>
        <v>手淘搜索-短视频</v>
      </c>
      <c r="S2539" t="s">
        <v>629</v>
      </c>
      <c r="T2539" s="546" t="s">
        <v>804</v>
      </c>
    </row>
    <row r="2540" spans="1:20" x14ac:dyDescent="0.3">
      <c r="A2540" t="s">
        <v>627</v>
      </c>
      <c r="B2540" s="16">
        <v>45809</v>
      </c>
      <c r="C2540" t="s">
        <v>3</v>
      </c>
      <c r="D2540" t="s">
        <v>143</v>
      </c>
      <c r="E2540" t="s">
        <v>180</v>
      </c>
      <c r="F2540">
        <v>14</v>
      </c>
      <c r="G2540">
        <v>12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14</v>
      </c>
      <c r="P2540">
        <f t="shared" si="126"/>
        <v>2025</v>
      </c>
      <c r="Q2540">
        <f t="shared" si="127"/>
        <v>6</v>
      </c>
      <c r="R2540" t="str">
        <f t="shared" si="125"/>
        <v>淘特其他渠道</v>
      </c>
      <c r="S2540" t="s">
        <v>629</v>
      </c>
      <c r="T2540" s="546" t="s">
        <v>804</v>
      </c>
    </row>
    <row r="2541" spans="1:20" x14ac:dyDescent="0.3">
      <c r="A2541" t="s">
        <v>627</v>
      </c>
      <c r="B2541" s="16">
        <v>45809</v>
      </c>
      <c r="C2541" t="s">
        <v>3</v>
      </c>
      <c r="D2541" t="s">
        <v>143</v>
      </c>
      <c r="E2541" t="s">
        <v>181</v>
      </c>
      <c r="F2541">
        <v>38</v>
      </c>
      <c r="G2541">
        <v>37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38</v>
      </c>
      <c r="P2541">
        <f t="shared" si="126"/>
        <v>2025</v>
      </c>
      <c r="Q2541">
        <f t="shared" si="127"/>
        <v>6</v>
      </c>
      <c r="R2541" t="str">
        <f t="shared" si="125"/>
        <v>淘特搜索</v>
      </c>
      <c r="S2541" t="s">
        <v>629</v>
      </c>
      <c r="T2541" s="546" t="s">
        <v>804</v>
      </c>
    </row>
    <row r="2542" spans="1:20" x14ac:dyDescent="0.3">
      <c r="A2542" t="s">
        <v>627</v>
      </c>
      <c r="B2542" s="16">
        <v>45809</v>
      </c>
      <c r="C2542" t="s">
        <v>2</v>
      </c>
      <c r="D2542" t="s">
        <v>55</v>
      </c>
      <c r="E2542" t="s">
        <v>54</v>
      </c>
      <c r="F2542" s="15">
        <v>1529</v>
      </c>
      <c r="G2542" s="15">
        <v>1382</v>
      </c>
      <c r="H2542">
        <v>6</v>
      </c>
      <c r="I2542">
        <v>1</v>
      </c>
      <c r="J2542">
        <v>0</v>
      </c>
      <c r="K2542">
        <v>0</v>
      </c>
      <c r="L2542">
        <v>0</v>
      </c>
      <c r="M2542">
        <v>0</v>
      </c>
      <c r="N2542">
        <v>23</v>
      </c>
      <c r="O2542">
        <v>180</v>
      </c>
      <c r="P2542">
        <f t="shared" si="126"/>
        <v>2025</v>
      </c>
      <c r="Q2542">
        <f t="shared" si="127"/>
        <v>6</v>
      </c>
      <c r="R2542" t="str">
        <f t="shared" si="125"/>
        <v>超级直播</v>
      </c>
      <c r="S2542" t="s">
        <v>629</v>
      </c>
      <c r="T2542" s="546" t="s">
        <v>804</v>
      </c>
    </row>
    <row r="2543" spans="1:20" x14ac:dyDescent="0.3">
      <c r="A2543" t="s">
        <v>627</v>
      </c>
      <c r="B2543" s="16">
        <v>45809</v>
      </c>
      <c r="C2543" t="s">
        <v>2</v>
      </c>
      <c r="D2543" t="s">
        <v>55</v>
      </c>
      <c r="E2543" t="s">
        <v>56</v>
      </c>
      <c r="F2543">
        <v>1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1</v>
      </c>
      <c r="P2543">
        <f t="shared" si="126"/>
        <v>2025</v>
      </c>
      <c r="Q2543">
        <f t="shared" si="127"/>
        <v>6</v>
      </c>
      <c r="R2543" t="str">
        <f t="shared" si="125"/>
        <v>超级短视频</v>
      </c>
      <c r="S2543" t="s">
        <v>629</v>
      </c>
      <c r="T2543" s="546" t="s">
        <v>804</v>
      </c>
    </row>
    <row r="2544" spans="1:20" x14ac:dyDescent="0.3">
      <c r="A2544" t="s">
        <v>627</v>
      </c>
      <c r="B2544" s="16">
        <v>45809</v>
      </c>
      <c r="C2544" t="s">
        <v>2</v>
      </c>
      <c r="D2544" t="s">
        <v>57</v>
      </c>
      <c r="E2544" t="s">
        <v>64</v>
      </c>
      <c r="F2544" s="15">
        <v>11234</v>
      </c>
      <c r="G2544" s="15">
        <v>7352</v>
      </c>
      <c r="H2544">
        <v>70</v>
      </c>
      <c r="I2544">
        <v>69</v>
      </c>
      <c r="J2544" s="15">
        <v>24397</v>
      </c>
      <c r="K2544">
        <v>7</v>
      </c>
      <c r="L2544" s="15">
        <v>22707</v>
      </c>
      <c r="M2544">
        <v>6</v>
      </c>
      <c r="N2544">
        <v>260</v>
      </c>
      <c r="O2544" s="15">
        <v>11233</v>
      </c>
      <c r="P2544">
        <f t="shared" si="126"/>
        <v>2025</v>
      </c>
      <c r="Q2544">
        <f t="shared" si="127"/>
        <v>6</v>
      </c>
      <c r="R2544" t="str">
        <f t="shared" si="125"/>
        <v>引力魔方</v>
      </c>
      <c r="S2544" t="s">
        <v>629</v>
      </c>
      <c r="T2544" s="546" t="s">
        <v>804</v>
      </c>
    </row>
    <row r="2545" spans="1:20" x14ac:dyDescent="0.3">
      <c r="A2545" t="s">
        <v>627</v>
      </c>
      <c r="B2545" s="16">
        <v>45809</v>
      </c>
      <c r="C2545" t="s">
        <v>2</v>
      </c>
      <c r="D2545" t="s">
        <v>57</v>
      </c>
      <c r="E2545" t="s">
        <v>65</v>
      </c>
      <c r="F2545" s="15">
        <v>5498</v>
      </c>
      <c r="G2545" s="15">
        <v>4802</v>
      </c>
      <c r="H2545">
        <v>29</v>
      </c>
      <c r="I2545">
        <v>24</v>
      </c>
      <c r="J2545" s="15">
        <v>42608</v>
      </c>
      <c r="K2545">
        <v>8</v>
      </c>
      <c r="L2545" s="15">
        <v>16223</v>
      </c>
      <c r="M2545">
        <v>4</v>
      </c>
      <c r="N2545">
        <v>281</v>
      </c>
      <c r="O2545" s="15">
        <v>5448</v>
      </c>
      <c r="P2545">
        <f t="shared" si="126"/>
        <v>2025</v>
      </c>
      <c r="Q2545">
        <f t="shared" si="127"/>
        <v>6</v>
      </c>
      <c r="R2545" t="str">
        <f t="shared" si="125"/>
        <v>直通车</v>
      </c>
      <c r="S2545" t="s">
        <v>629</v>
      </c>
      <c r="T2545" s="546" t="s">
        <v>804</v>
      </c>
    </row>
    <row r="2546" spans="1:20" x14ac:dyDescent="0.3">
      <c r="A2546" t="s">
        <v>627</v>
      </c>
      <c r="B2546" s="16">
        <v>45809</v>
      </c>
      <c r="C2546" t="s">
        <v>2</v>
      </c>
      <c r="D2546" t="s">
        <v>57</v>
      </c>
      <c r="E2546" t="s">
        <v>63</v>
      </c>
      <c r="F2546" s="15">
        <v>7011</v>
      </c>
      <c r="G2546" s="15">
        <v>4332</v>
      </c>
      <c r="H2546">
        <v>185</v>
      </c>
      <c r="I2546">
        <v>188</v>
      </c>
      <c r="J2546" s="17">
        <v>103349.87</v>
      </c>
      <c r="K2546">
        <v>26</v>
      </c>
      <c r="L2546" s="17">
        <v>49990.87</v>
      </c>
      <c r="M2546">
        <v>15</v>
      </c>
      <c r="N2546">
        <v>752</v>
      </c>
      <c r="O2546" s="15">
        <v>6811</v>
      </c>
      <c r="P2546">
        <f t="shared" si="126"/>
        <v>2025</v>
      </c>
      <c r="Q2546">
        <f t="shared" si="127"/>
        <v>6</v>
      </c>
      <c r="R2546" t="str">
        <f t="shared" si="125"/>
        <v>万相台</v>
      </c>
      <c r="S2546" t="s">
        <v>629</v>
      </c>
      <c r="T2546" s="546" t="s">
        <v>804</v>
      </c>
    </row>
    <row r="2547" spans="1:20" x14ac:dyDescent="0.3">
      <c r="A2547" t="s">
        <v>627</v>
      </c>
      <c r="B2547" s="16">
        <v>45809</v>
      </c>
      <c r="C2547" t="s">
        <v>2</v>
      </c>
      <c r="D2547" t="s">
        <v>4</v>
      </c>
      <c r="E2547" t="s">
        <v>41</v>
      </c>
      <c r="F2547">
        <v>4</v>
      </c>
      <c r="G2547">
        <v>4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4</v>
      </c>
      <c r="P2547">
        <f t="shared" si="126"/>
        <v>2025</v>
      </c>
      <c r="Q2547">
        <f t="shared" si="127"/>
        <v>6</v>
      </c>
      <c r="R2547" t="str">
        <f t="shared" si="125"/>
        <v>流量宝</v>
      </c>
      <c r="S2547" t="s">
        <v>629</v>
      </c>
      <c r="T2547" s="546" t="s">
        <v>804</v>
      </c>
    </row>
    <row r="2548" spans="1:20" x14ac:dyDescent="0.3">
      <c r="A2548" t="s">
        <v>627</v>
      </c>
      <c r="B2548" s="16">
        <v>45809</v>
      </c>
      <c r="C2548" t="s">
        <v>2</v>
      </c>
      <c r="D2548" t="s">
        <v>4</v>
      </c>
      <c r="E2548" t="s">
        <v>43</v>
      </c>
      <c r="F2548">
        <v>302</v>
      </c>
      <c r="G2548">
        <v>104</v>
      </c>
      <c r="H2548">
        <v>4</v>
      </c>
      <c r="I2548">
        <v>2</v>
      </c>
      <c r="J2548" s="15">
        <v>9920</v>
      </c>
      <c r="K2548">
        <v>2</v>
      </c>
      <c r="L2548" s="15">
        <v>9920</v>
      </c>
      <c r="M2548">
        <v>2</v>
      </c>
      <c r="N2548">
        <v>2</v>
      </c>
      <c r="O2548">
        <v>298</v>
      </c>
      <c r="P2548">
        <f t="shared" si="126"/>
        <v>2025</v>
      </c>
      <c r="Q2548">
        <f t="shared" si="127"/>
        <v>6</v>
      </c>
      <c r="R2548" t="str">
        <f t="shared" si="125"/>
        <v>淘宝客</v>
      </c>
      <c r="S2548" t="s">
        <v>629</v>
      </c>
      <c r="T2548" s="546" t="s">
        <v>804</v>
      </c>
    </row>
    <row r="2549" spans="1:20" x14ac:dyDescent="0.3">
      <c r="A2549" t="s">
        <v>627</v>
      </c>
      <c r="B2549" s="16">
        <v>45810</v>
      </c>
      <c r="C2549" t="s">
        <v>3</v>
      </c>
      <c r="D2549" t="s">
        <v>114</v>
      </c>
      <c r="E2549" t="s">
        <v>159</v>
      </c>
      <c r="F2549">
        <v>161</v>
      </c>
      <c r="G2549">
        <v>85</v>
      </c>
      <c r="H2549">
        <v>2</v>
      </c>
      <c r="I2549">
        <v>3</v>
      </c>
      <c r="J2549">
        <v>0</v>
      </c>
      <c r="K2549">
        <v>0</v>
      </c>
      <c r="L2549">
        <v>0</v>
      </c>
      <c r="M2549">
        <v>0</v>
      </c>
      <c r="N2549">
        <v>15</v>
      </c>
      <c r="O2549">
        <v>157</v>
      </c>
      <c r="P2549">
        <f t="shared" si="126"/>
        <v>2025</v>
      </c>
      <c r="Q2549">
        <f t="shared" si="127"/>
        <v>6</v>
      </c>
      <c r="R2549" t="str">
        <f t="shared" si="125"/>
        <v>主会场</v>
      </c>
      <c r="S2549" t="s">
        <v>629</v>
      </c>
      <c r="T2549" s="546" t="s">
        <v>804</v>
      </c>
    </row>
    <row r="2550" spans="1:20" x14ac:dyDescent="0.3">
      <c r="A2550" t="s">
        <v>627</v>
      </c>
      <c r="B2550" s="16">
        <v>45810</v>
      </c>
      <c r="C2550" t="s">
        <v>3</v>
      </c>
      <c r="D2550" t="s">
        <v>117</v>
      </c>
      <c r="E2550" t="s">
        <v>161</v>
      </c>
      <c r="F2550">
        <v>1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1</v>
      </c>
      <c r="O2550">
        <v>1</v>
      </c>
      <c r="P2550">
        <f t="shared" si="126"/>
        <v>2025</v>
      </c>
      <c r="Q2550">
        <f t="shared" si="127"/>
        <v>6</v>
      </c>
      <c r="R2550" t="str">
        <f t="shared" si="125"/>
        <v>其他入口榜单</v>
      </c>
      <c r="S2550" t="s">
        <v>629</v>
      </c>
      <c r="T2550" s="546" t="s">
        <v>804</v>
      </c>
    </row>
    <row r="2551" spans="1:20" x14ac:dyDescent="0.3">
      <c r="A2551" t="s">
        <v>627</v>
      </c>
      <c r="B2551" s="16">
        <v>45810</v>
      </c>
      <c r="C2551" t="s">
        <v>3</v>
      </c>
      <c r="D2551" t="s">
        <v>123</v>
      </c>
      <c r="E2551" t="s">
        <v>169</v>
      </c>
      <c r="F2551">
        <v>338</v>
      </c>
      <c r="G2551">
        <v>220</v>
      </c>
      <c r="H2551">
        <v>13</v>
      </c>
      <c r="I2551">
        <v>7</v>
      </c>
      <c r="J2551" s="15">
        <v>11910</v>
      </c>
      <c r="K2551">
        <v>5</v>
      </c>
      <c r="L2551" s="15">
        <v>11910</v>
      </c>
      <c r="M2551">
        <v>5</v>
      </c>
      <c r="N2551">
        <v>68</v>
      </c>
      <c r="O2551">
        <v>332</v>
      </c>
      <c r="P2551">
        <f t="shared" si="126"/>
        <v>2025</v>
      </c>
      <c r="Q2551">
        <f t="shared" si="127"/>
        <v>6</v>
      </c>
      <c r="R2551" t="str">
        <f t="shared" si="125"/>
        <v>商品详情页头图推荐</v>
      </c>
      <c r="S2551" t="s">
        <v>629</v>
      </c>
      <c r="T2551" s="546" t="s">
        <v>804</v>
      </c>
    </row>
    <row r="2552" spans="1:20" x14ac:dyDescent="0.3">
      <c r="A2552" t="s">
        <v>627</v>
      </c>
      <c r="B2552" s="16">
        <v>45810</v>
      </c>
      <c r="C2552" t="s">
        <v>3</v>
      </c>
      <c r="D2552" t="s">
        <v>123</v>
      </c>
      <c r="E2552" t="s">
        <v>170</v>
      </c>
      <c r="F2552">
        <v>27</v>
      </c>
      <c r="G2552">
        <v>17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26</v>
      </c>
      <c r="O2552">
        <v>11</v>
      </c>
      <c r="P2552">
        <f t="shared" si="126"/>
        <v>2025</v>
      </c>
      <c r="Q2552">
        <f t="shared" si="127"/>
        <v>6</v>
      </c>
      <c r="R2552" t="str">
        <f t="shared" si="125"/>
        <v>店铺超链</v>
      </c>
      <c r="S2552" t="s">
        <v>629</v>
      </c>
      <c r="T2552" s="546" t="s">
        <v>804</v>
      </c>
    </row>
    <row r="2553" spans="1:20" x14ac:dyDescent="0.3">
      <c r="A2553" t="s">
        <v>627</v>
      </c>
      <c r="B2553" s="16">
        <v>45810</v>
      </c>
      <c r="C2553" t="s">
        <v>3</v>
      </c>
      <c r="D2553" t="s">
        <v>127</v>
      </c>
      <c r="E2553" t="s">
        <v>171</v>
      </c>
      <c r="F2553">
        <v>335</v>
      </c>
      <c r="G2553">
        <v>225</v>
      </c>
      <c r="H2553">
        <v>7</v>
      </c>
      <c r="I2553">
        <v>5</v>
      </c>
      <c r="J2553" s="15">
        <v>3967</v>
      </c>
      <c r="K2553">
        <v>2</v>
      </c>
      <c r="L2553" s="15">
        <v>3967</v>
      </c>
      <c r="M2553">
        <v>2</v>
      </c>
      <c r="N2553">
        <v>47</v>
      </c>
      <c r="O2553">
        <v>310</v>
      </c>
      <c r="P2553">
        <f t="shared" si="126"/>
        <v>2025</v>
      </c>
      <c r="Q2553">
        <f t="shared" si="127"/>
        <v>6</v>
      </c>
      <c r="R2553" t="str">
        <f t="shared" si="125"/>
        <v>其他猜你喜欢</v>
      </c>
      <c r="S2553" t="s">
        <v>629</v>
      </c>
      <c r="T2553" s="546" t="s">
        <v>804</v>
      </c>
    </row>
    <row r="2554" spans="1:20" x14ac:dyDescent="0.3">
      <c r="A2554" t="s">
        <v>627</v>
      </c>
      <c r="B2554" s="16">
        <v>45810</v>
      </c>
      <c r="C2554" t="s">
        <v>3</v>
      </c>
      <c r="D2554" t="s">
        <v>127</v>
      </c>
      <c r="E2554" t="s">
        <v>172</v>
      </c>
      <c r="F2554">
        <v>12</v>
      </c>
      <c r="G2554">
        <v>10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3</v>
      </c>
      <c r="O2554">
        <v>11</v>
      </c>
      <c r="P2554">
        <f t="shared" si="126"/>
        <v>2025</v>
      </c>
      <c r="Q2554">
        <f t="shared" si="127"/>
        <v>6</v>
      </c>
      <c r="R2554" t="str">
        <f t="shared" si="125"/>
        <v>购中推荐</v>
      </c>
      <c r="S2554" t="s">
        <v>629</v>
      </c>
      <c r="T2554" s="546" t="s">
        <v>804</v>
      </c>
    </row>
    <row r="2555" spans="1:20" x14ac:dyDescent="0.3">
      <c r="A2555" t="s">
        <v>627</v>
      </c>
      <c r="B2555" s="16">
        <v>45810</v>
      </c>
      <c r="C2555" t="s">
        <v>3</v>
      </c>
      <c r="D2555" t="s">
        <v>127</v>
      </c>
      <c r="E2555" t="s">
        <v>173</v>
      </c>
      <c r="F2555">
        <v>91</v>
      </c>
      <c r="G2555">
        <v>69</v>
      </c>
      <c r="H2555">
        <v>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5</v>
      </c>
      <c r="O2555">
        <v>81</v>
      </c>
      <c r="P2555">
        <f t="shared" si="126"/>
        <v>2025</v>
      </c>
      <c r="Q2555">
        <f t="shared" si="127"/>
        <v>6</v>
      </c>
      <c r="R2555" t="str">
        <f t="shared" si="125"/>
        <v>购后推荐</v>
      </c>
      <c r="S2555" t="s">
        <v>629</v>
      </c>
      <c r="T2555" s="546" t="s">
        <v>804</v>
      </c>
    </row>
    <row r="2556" spans="1:20" x14ac:dyDescent="0.3">
      <c r="A2556" t="s">
        <v>627</v>
      </c>
      <c r="B2556" s="16">
        <v>45810</v>
      </c>
      <c r="C2556" t="s">
        <v>3</v>
      </c>
      <c r="D2556" t="s">
        <v>127</v>
      </c>
      <c r="E2556" t="s">
        <v>174</v>
      </c>
      <c r="F2556" s="15">
        <v>12574</v>
      </c>
      <c r="G2556" s="15">
        <v>11372</v>
      </c>
      <c r="H2556">
        <v>61</v>
      </c>
      <c r="I2556">
        <v>54</v>
      </c>
      <c r="J2556" s="15">
        <v>42635</v>
      </c>
      <c r="K2556">
        <v>6</v>
      </c>
      <c r="L2556" s="15">
        <v>9615</v>
      </c>
      <c r="M2556">
        <v>4</v>
      </c>
      <c r="N2556">
        <v>676</v>
      </c>
      <c r="O2556" s="15">
        <v>12574</v>
      </c>
      <c r="P2556">
        <f t="shared" si="126"/>
        <v>2025</v>
      </c>
      <c r="Q2556">
        <f t="shared" si="127"/>
        <v>6</v>
      </c>
      <c r="R2556" t="str">
        <f t="shared" si="125"/>
        <v>首页推荐-微详情</v>
      </c>
      <c r="S2556" t="s">
        <v>629</v>
      </c>
      <c r="T2556" s="546" t="s">
        <v>804</v>
      </c>
    </row>
    <row r="2557" spans="1:20" x14ac:dyDescent="0.3">
      <c r="A2557" t="s">
        <v>627</v>
      </c>
      <c r="B2557" s="16">
        <v>45810</v>
      </c>
      <c r="C2557" t="s">
        <v>3</v>
      </c>
      <c r="D2557" t="s">
        <v>127</v>
      </c>
      <c r="E2557" t="s">
        <v>175</v>
      </c>
      <c r="F2557">
        <v>429</v>
      </c>
      <c r="G2557">
        <v>357</v>
      </c>
      <c r="H2557">
        <v>3</v>
      </c>
      <c r="I2557">
        <v>1</v>
      </c>
      <c r="J2557">
        <v>0</v>
      </c>
      <c r="K2557">
        <v>0</v>
      </c>
      <c r="L2557">
        <v>0</v>
      </c>
      <c r="M2557">
        <v>0</v>
      </c>
      <c r="N2557">
        <v>9</v>
      </c>
      <c r="O2557">
        <v>50</v>
      </c>
      <c r="P2557">
        <f t="shared" si="126"/>
        <v>2025</v>
      </c>
      <c r="Q2557">
        <f t="shared" si="127"/>
        <v>6</v>
      </c>
      <c r="R2557" t="str">
        <f t="shared" si="125"/>
        <v>首页推荐-直播</v>
      </c>
      <c r="S2557" t="s">
        <v>629</v>
      </c>
      <c r="T2557" s="546" t="s">
        <v>804</v>
      </c>
    </row>
    <row r="2558" spans="1:20" x14ac:dyDescent="0.3">
      <c r="A2558" t="s">
        <v>627</v>
      </c>
      <c r="B2558" s="16">
        <v>45810</v>
      </c>
      <c r="C2558" t="s">
        <v>3</v>
      </c>
      <c r="D2558" t="s">
        <v>127</v>
      </c>
      <c r="E2558" t="s">
        <v>176</v>
      </c>
      <c r="F2558">
        <v>94</v>
      </c>
      <c r="G2558">
        <v>47</v>
      </c>
      <c r="H2558">
        <v>1</v>
      </c>
      <c r="I2558">
        <v>0</v>
      </c>
      <c r="J2558" s="15">
        <v>1677</v>
      </c>
      <c r="K2558">
        <v>1</v>
      </c>
      <c r="L2558" s="15">
        <v>1677</v>
      </c>
      <c r="M2558">
        <v>1</v>
      </c>
      <c r="N2558">
        <v>1</v>
      </c>
      <c r="O2558">
        <v>11</v>
      </c>
      <c r="P2558">
        <f t="shared" si="126"/>
        <v>2025</v>
      </c>
      <c r="Q2558">
        <f t="shared" si="127"/>
        <v>6</v>
      </c>
      <c r="R2558" t="str">
        <f t="shared" si="125"/>
        <v>首页推荐-短视频</v>
      </c>
      <c r="S2558" t="s">
        <v>629</v>
      </c>
      <c r="T2558" s="546" t="s">
        <v>804</v>
      </c>
    </row>
    <row r="2559" spans="1:20" x14ac:dyDescent="0.3">
      <c r="A2559" t="s">
        <v>627</v>
      </c>
      <c r="B2559" s="16">
        <v>45810</v>
      </c>
      <c r="C2559" t="s">
        <v>3</v>
      </c>
      <c r="D2559" t="s">
        <v>128</v>
      </c>
      <c r="E2559" t="s">
        <v>177</v>
      </c>
      <c r="F2559">
        <v>734</v>
      </c>
      <c r="G2559">
        <v>544</v>
      </c>
      <c r="H2559">
        <v>24</v>
      </c>
      <c r="I2559">
        <v>8</v>
      </c>
      <c r="J2559" s="15">
        <v>35856</v>
      </c>
      <c r="K2559">
        <v>9</v>
      </c>
      <c r="L2559" s="15">
        <v>31161</v>
      </c>
      <c r="M2559">
        <v>8</v>
      </c>
      <c r="N2559">
        <v>340</v>
      </c>
      <c r="O2559">
        <v>523</v>
      </c>
      <c r="P2559">
        <f t="shared" si="126"/>
        <v>2025</v>
      </c>
      <c r="Q2559">
        <f t="shared" si="127"/>
        <v>6</v>
      </c>
      <c r="R2559" t="str">
        <f t="shared" si="125"/>
        <v>手淘搜索-商品及其他</v>
      </c>
      <c r="S2559" t="s">
        <v>629</v>
      </c>
      <c r="T2559" s="546" t="s">
        <v>804</v>
      </c>
    </row>
    <row r="2560" spans="1:20" x14ac:dyDescent="0.3">
      <c r="A2560" t="s">
        <v>627</v>
      </c>
      <c r="B2560" s="16">
        <v>45810</v>
      </c>
      <c r="C2560" t="s">
        <v>3</v>
      </c>
      <c r="D2560" t="s">
        <v>128</v>
      </c>
      <c r="E2560" t="s">
        <v>178</v>
      </c>
      <c r="F2560">
        <v>6</v>
      </c>
      <c r="G2560">
        <v>2</v>
      </c>
      <c r="H2560">
        <v>1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1</v>
      </c>
      <c r="O2560">
        <v>6</v>
      </c>
      <c r="P2560">
        <f t="shared" si="126"/>
        <v>2025</v>
      </c>
      <c r="Q2560">
        <f t="shared" si="127"/>
        <v>6</v>
      </c>
      <c r="R2560" t="str">
        <f t="shared" si="125"/>
        <v>手淘搜索-直播</v>
      </c>
      <c r="S2560" t="s">
        <v>629</v>
      </c>
      <c r="T2560" s="546" t="s">
        <v>804</v>
      </c>
    </row>
    <row r="2561" spans="1:20" x14ac:dyDescent="0.3">
      <c r="A2561" t="s">
        <v>627</v>
      </c>
      <c r="B2561" s="16">
        <v>45810</v>
      </c>
      <c r="C2561" t="s">
        <v>3</v>
      </c>
      <c r="D2561" t="s">
        <v>128</v>
      </c>
      <c r="E2561" t="s">
        <v>179</v>
      </c>
      <c r="F2561">
        <v>26</v>
      </c>
      <c r="G2561">
        <v>12</v>
      </c>
      <c r="H2561">
        <v>2</v>
      </c>
      <c r="I2561">
        <v>0</v>
      </c>
      <c r="J2561" s="15">
        <v>2490</v>
      </c>
      <c r="K2561">
        <v>1</v>
      </c>
      <c r="L2561" s="15">
        <v>2490</v>
      </c>
      <c r="M2561">
        <v>1</v>
      </c>
      <c r="N2561">
        <v>4</v>
      </c>
      <c r="O2561">
        <v>26</v>
      </c>
      <c r="P2561">
        <f t="shared" si="126"/>
        <v>2025</v>
      </c>
      <c r="Q2561">
        <f t="shared" si="127"/>
        <v>6</v>
      </c>
      <c r="R2561" t="str">
        <f t="shared" si="125"/>
        <v>手淘搜索-短视频</v>
      </c>
      <c r="S2561" t="s">
        <v>629</v>
      </c>
      <c r="T2561" s="546" t="s">
        <v>804</v>
      </c>
    </row>
    <row r="2562" spans="1:20" x14ac:dyDescent="0.3">
      <c r="A2562" t="s">
        <v>627</v>
      </c>
      <c r="B2562" s="16">
        <v>45810</v>
      </c>
      <c r="C2562" t="s">
        <v>3</v>
      </c>
      <c r="D2562" t="s">
        <v>143</v>
      </c>
      <c r="E2562" t="s">
        <v>180</v>
      </c>
      <c r="F2562">
        <v>9</v>
      </c>
      <c r="G2562">
        <v>6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9</v>
      </c>
      <c r="P2562">
        <f t="shared" si="126"/>
        <v>2025</v>
      </c>
      <c r="Q2562">
        <f t="shared" si="127"/>
        <v>6</v>
      </c>
      <c r="R2562" t="str">
        <f t="shared" si="125"/>
        <v>淘特其他渠道</v>
      </c>
      <c r="S2562" t="s">
        <v>629</v>
      </c>
      <c r="T2562" s="546" t="s">
        <v>804</v>
      </c>
    </row>
    <row r="2563" spans="1:20" x14ac:dyDescent="0.3">
      <c r="A2563" t="s">
        <v>627</v>
      </c>
      <c r="B2563" s="16">
        <v>45810</v>
      </c>
      <c r="C2563" t="s">
        <v>3</v>
      </c>
      <c r="D2563" t="s">
        <v>143</v>
      </c>
      <c r="E2563" t="s">
        <v>181</v>
      </c>
      <c r="F2563">
        <v>53</v>
      </c>
      <c r="G2563">
        <v>52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53</v>
      </c>
      <c r="P2563">
        <f t="shared" si="126"/>
        <v>2025</v>
      </c>
      <c r="Q2563">
        <f t="shared" si="127"/>
        <v>6</v>
      </c>
      <c r="R2563" t="str">
        <f t="shared" si="125"/>
        <v>淘特搜索</v>
      </c>
      <c r="S2563" t="s">
        <v>629</v>
      </c>
      <c r="T2563" s="546" t="s">
        <v>804</v>
      </c>
    </row>
    <row r="2564" spans="1:20" x14ac:dyDescent="0.3">
      <c r="A2564" t="s">
        <v>627</v>
      </c>
      <c r="B2564" s="16">
        <v>45810</v>
      </c>
      <c r="C2564" t="s">
        <v>3</v>
      </c>
      <c r="D2564" t="s">
        <v>143</v>
      </c>
      <c r="E2564" t="s">
        <v>224</v>
      </c>
      <c r="F2564">
        <v>1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</v>
      </c>
      <c r="P2564">
        <f t="shared" si="126"/>
        <v>2025</v>
      </c>
      <c r="Q2564">
        <f t="shared" si="127"/>
        <v>6</v>
      </c>
      <c r="R2564" t="str">
        <f t="shared" si="125"/>
        <v>淘特自主访问</v>
      </c>
      <c r="S2564" t="s">
        <v>629</v>
      </c>
      <c r="T2564" s="546" t="s">
        <v>804</v>
      </c>
    </row>
    <row r="2565" spans="1:20" x14ac:dyDescent="0.3">
      <c r="A2565" t="s">
        <v>627</v>
      </c>
      <c r="B2565" s="16">
        <v>45810</v>
      </c>
      <c r="C2565" t="s">
        <v>3</v>
      </c>
      <c r="D2565" t="s">
        <v>157</v>
      </c>
      <c r="E2565" t="s">
        <v>182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f t="shared" si="126"/>
        <v>2025</v>
      </c>
      <c r="Q2565">
        <f t="shared" si="127"/>
        <v>6</v>
      </c>
      <c r="R2565" t="str">
        <f t="shared" si="125"/>
        <v>飞猪其他</v>
      </c>
      <c r="S2565" t="s">
        <v>629</v>
      </c>
      <c r="T2565" s="546" t="s">
        <v>804</v>
      </c>
    </row>
    <row r="2566" spans="1:20" x14ac:dyDescent="0.3">
      <c r="A2566" t="s">
        <v>627</v>
      </c>
      <c r="B2566" s="16">
        <v>45810</v>
      </c>
      <c r="C2566" t="s">
        <v>2</v>
      </c>
      <c r="D2566" t="s">
        <v>55</v>
      </c>
      <c r="E2566" t="s">
        <v>54</v>
      </c>
      <c r="F2566" s="15">
        <v>1066</v>
      </c>
      <c r="G2566">
        <v>875</v>
      </c>
      <c r="H2566">
        <v>9</v>
      </c>
      <c r="I2566">
        <v>2</v>
      </c>
      <c r="J2566">
        <v>0</v>
      </c>
      <c r="K2566">
        <v>0</v>
      </c>
      <c r="L2566">
        <v>0</v>
      </c>
      <c r="M2566">
        <v>0</v>
      </c>
      <c r="N2566">
        <v>21</v>
      </c>
      <c r="O2566">
        <v>165</v>
      </c>
      <c r="P2566">
        <f t="shared" si="126"/>
        <v>2025</v>
      </c>
      <c r="Q2566">
        <f t="shared" si="127"/>
        <v>6</v>
      </c>
      <c r="R2566" t="str">
        <f t="shared" si="125"/>
        <v>超级直播</v>
      </c>
      <c r="S2566" t="s">
        <v>629</v>
      </c>
      <c r="T2566" s="546" t="s">
        <v>804</v>
      </c>
    </row>
    <row r="2567" spans="1:20" x14ac:dyDescent="0.3">
      <c r="A2567" t="s">
        <v>627</v>
      </c>
      <c r="B2567" s="16">
        <v>45810</v>
      </c>
      <c r="C2567" t="s">
        <v>2</v>
      </c>
      <c r="D2567" t="s">
        <v>55</v>
      </c>
      <c r="E2567" t="s">
        <v>56</v>
      </c>
      <c r="F2567">
        <v>3</v>
      </c>
      <c r="G2567">
        <v>2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3</v>
      </c>
      <c r="P2567">
        <f t="shared" si="126"/>
        <v>2025</v>
      </c>
      <c r="Q2567">
        <f t="shared" si="127"/>
        <v>6</v>
      </c>
      <c r="R2567" t="str">
        <f t="shared" ref="R2567:R2630" si="128">E2567</f>
        <v>超级短视频</v>
      </c>
      <c r="S2567" t="s">
        <v>629</v>
      </c>
      <c r="T2567" s="546" t="s">
        <v>804</v>
      </c>
    </row>
    <row r="2568" spans="1:20" x14ac:dyDescent="0.3">
      <c r="A2568" t="s">
        <v>627</v>
      </c>
      <c r="B2568" s="16">
        <v>45810</v>
      </c>
      <c r="C2568" t="s">
        <v>2</v>
      </c>
      <c r="D2568" t="s">
        <v>57</v>
      </c>
      <c r="E2568" t="s">
        <v>64</v>
      </c>
      <c r="F2568" s="15">
        <v>12381</v>
      </c>
      <c r="G2568" s="15">
        <v>8013</v>
      </c>
      <c r="H2568">
        <v>79</v>
      </c>
      <c r="I2568">
        <v>78</v>
      </c>
      <c r="J2568" s="15">
        <v>10337</v>
      </c>
      <c r="K2568">
        <v>5</v>
      </c>
      <c r="L2568" s="15">
        <v>10337</v>
      </c>
      <c r="M2568">
        <v>5</v>
      </c>
      <c r="N2568">
        <v>249</v>
      </c>
      <c r="O2568" s="15">
        <v>12380</v>
      </c>
      <c r="P2568">
        <f t="shared" si="126"/>
        <v>2025</v>
      </c>
      <c r="Q2568">
        <f t="shared" si="127"/>
        <v>6</v>
      </c>
      <c r="R2568" t="str">
        <f t="shared" si="128"/>
        <v>引力魔方</v>
      </c>
      <c r="S2568" t="s">
        <v>629</v>
      </c>
      <c r="T2568" s="546" t="s">
        <v>804</v>
      </c>
    </row>
    <row r="2569" spans="1:20" x14ac:dyDescent="0.3">
      <c r="A2569" t="s">
        <v>627</v>
      </c>
      <c r="B2569" s="16">
        <v>45810</v>
      </c>
      <c r="C2569" t="s">
        <v>2</v>
      </c>
      <c r="D2569" t="s">
        <v>57</v>
      </c>
      <c r="E2569" t="s">
        <v>65</v>
      </c>
      <c r="F2569" s="15">
        <v>4831</v>
      </c>
      <c r="G2569" s="15">
        <v>4086</v>
      </c>
      <c r="H2569">
        <v>34</v>
      </c>
      <c r="I2569">
        <v>32</v>
      </c>
      <c r="J2569" s="15">
        <v>24195</v>
      </c>
      <c r="K2569">
        <v>6</v>
      </c>
      <c r="L2569" s="15">
        <v>7550</v>
      </c>
      <c r="M2569">
        <v>4</v>
      </c>
      <c r="N2569">
        <v>262</v>
      </c>
      <c r="O2569" s="15">
        <v>4784</v>
      </c>
      <c r="P2569">
        <f t="shared" si="126"/>
        <v>2025</v>
      </c>
      <c r="Q2569">
        <f t="shared" si="127"/>
        <v>6</v>
      </c>
      <c r="R2569" t="str">
        <f t="shared" si="128"/>
        <v>直通车</v>
      </c>
      <c r="S2569" t="s">
        <v>629</v>
      </c>
      <c r="T2569" s="546" t="s">
        <v>804</v>
      </c>
    </row>
    <row r="2570" spans="1:20" x14ac:dyDescent="0.3">
      <c r="A2570" t="s">
        <v>627</v>
      </c>
      <c r="B2570" s="16">
        <v>45810</v>
      </c>
      <c r="C2570" t="s">
        <v>2</v>
      </c>
      <c r="D2570" t="s">
        <v>57</v>
      </c>
      <c r="E2570" t="s">
        <v>63</v>
      </c>
      <c r="F2570" s="15">
        <v>5707</v>
      </c>
      <c r="G2570" s="15">
        <v>3143</v>
      </c>
      <c r="H2570">
        <v>204</v>
      </c>
      <c r="I2570">
        <v>179</v>
      </c>
      <c r="J2570" s="15">
        <v>94527</v>
      </c>
      <c r="K2570">
        <v>26</v>
      </c>
      <c r="L2570" s="15">
        <v>54350</v>
      </c>
      <c r="M2570">
        <v>19</v>
      </c>
      <c r="N2570">
        <v>731</v>
      </c>
      <c r="O2570" s="15">
        <v>5511</v>
      </c>
      <c r="P2570">
        <f t="shared" si="126"/>
        <v>2025</v>
      </c>
      <c r="Q2570">
        <f t="shared" si="127"/>
        <v>6</v>
      </c>
      <c r="R2570" t="str">
        <f t="shared" si="128"/>
        <v>万相台</v>
      </c>
      <c r="S2570" t="s">
        <v>629</v>
      </c>
      <c r="T2570" s="546" t="s">
        <v>804</v>
      </c>
    </row>
    <row r="2571" spans="1:20" x14ac:dyDescent="0.3">
      <c r="A2571" t="s">
        <v>627</v>
      </c>
      <c r="B2571" s="16">
        <v>45810</v>
      </c>
      <c r="C2571" t="s">
        <v>2</v>
      </c>
      <c r="D2571" t="s">
        <v>4</v>
      </c>
      <c r="E2571" t="s">
        <v>41</v>
      </c>
      <c r="F2571">
        <v>6</v>
      </c>
      <c r="G2571">
        <v>5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5</v>
      </c>
      <c r="P2571">
        <f t="shared" si="126"/>
        <v>2025</v>
      </c>
      <c r="Q2571">
        <f t="shared" si="127"/>
        <v>6</v>
      </c>
      <c r="R2571" t="str">
        <f t="shared" si="128"/>
        <v>流量宝</v>
      </c>
      <c r="S2571" t="s">
        <v>629</v>
      </c>
      <c r="T2571" s="546" t="s">
        <v>804</v>
      </c>
    </row>
    <row r="2572" spans="1:20" x14ac:dyDescent="0.3">
      <c r="A2572" t="s">
        <v>627</v>
      </c>
      <c r="B2572" s="16">
        <v>45810</v>
      </c>
      <c r="C2572" t="s">
        <v>2</v>
      </c>
      <c r="D2572" t="s">
        <v>4</v>
      </c>
      <c r="E2572" t="s">
        <v>43</v>
      </c>
      <c r="F2572">
        <v>330</v>
      </c>
      <c r="G2572">
        <v>106</v>
      </c>
      <c r="H2572">
        <v>8</v>
      </c>
      <c r="I2572">
        <v>2</v>
      </c>
      <c r="J2572" s="15">
        <v>19130</v>
      </c>
      <c r="K2572">
        <v>7</v>
      </c>
      <c r="L2572" s="15">
        <v>19130</v>
      </c>
      <c r="M2572">
        <v>7</v>
      </c>
      <c r="N2572">
        <v>4</v>
      </c>
      <c r="O2572">
        <v>328</v>
      </c>
      <c r="P2572">
        <f t="shared" si="126"/>
        <v>2025</v>
      </c>
      <c r="Q2572">
        <f t="shared" si="127"/>
        <v>6</v>
      </c>
      <c r="R2572" t="str">
        <f t="shared" si="128"/>
        <v>淘宝客</v>
      </c>
      <c r="S2572" t="s">
        <v>629</v>
      </c>
      <c r="T2572" s="546" t="s">
        <v>804</v>
      </c>
    </row>
    <row r="2573" spans="1:20" x14ac:dyDescent="0.3">
      <c r="A2573" t="s">
        <v>627</v>
      </c>
      <c r="B2573" s="16">
        <v>45811</v>
      </c>
      <c r="C2573" t="s">
        <v>3</v>
      </c>
      <c r="D2573" t="s">
        <v>114</v>
      </c>
      <c r="E2573" t="s">
        <v>159</v>
      </c>
      <c r="F2573">
        <v>143</v>
      </c>
      <c r="G2573">
        <v>92</v>
      </c>
      <c r="H2573">
        <v>4</v>
      </c>
      <c r="I2573">
        <v>3</v>
      </c>
      <c r="J2573" s="15">
        <v>8907</v>
      </c>
      <c r="K2573">
        <v>2</v>
      </c>
      <c r="L2573" s="15">
        <v>8907</v>
      </c>
      <c r="M2573">
        <v>2</v>
      </c>
      <c r="N2573">
        <v>12</v>
      </c>
      <c r="O2573">
        <v>141</v>
      </c>
      <c r="P2573">
        <f t="shared" si="126"/>
        <v>2025</v>
      </c>
      <c r="Q2573">
        <f t="shared" si="127"/>
        <v>6</v>
      </c>
      <c r="R2573" t="str">
        <f t="shared" si="128"/>
        <v>主会场</v>
      </c>
      <c r="S2573" t="s">
        <v>629</v>
      </c>
      <c r="T2573" s="546" t="s">
        <v>804</v>
      </c>
    </row>
    <row r="2574" spans="1:20" x14ac:dyDescent="0.3">
      <c r="A2574" t="s">
        <v>627</v>
      </c>
      <c r="B2574" s="16">
        <v>45811</v>
      </c>
      <c r="C2574" t="s">
        <v>3</v>
      </c>
      <c r="D2574" t="s">
        <v>117</v>
      </c>
      <c r="E2574" t="s">
        <v>161</v>
      </c>
      <c r="F2574">
        <v>1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1</v>
      </c>
      <c r="O2574">
        <v>1</v>
      </c>
      <c r="P2574">
        <f t="shared" si="126"/>
        <v>2025</v>
      </c>
      <c r="Q2574">
        <f t="shared" si="127"/>
        <v>6</v>
      </c>
      <c r="R2574" t="str">
        <f t="shared" si="128"/>
        <v>其他入口榜单</v>
      </c>
      <c r="S2574" t="s">
        <v>629</v>
      </c>
      <c r="T2574" s="546" t="s">
        <v>804</v>
      </c>
    </row>
    <row r="2575" spans="1:20" x14ac:dyDescent="0.3">
      <c r="A2575" t="s">
        <v>627</v>
      </c>
      <c r="B2575" s="16">
        <v>45811</v>
      </c>
      <c r="C2575" t="s">
        <v>3</v>
      </c>
      <c r="D2575" t="s">
        <v>123</v>
      </c>
      <c r="E2575" t="s">
        <v>169</v>
      </c>
      <c r="F2575">
        <v>240</v>
      </c>
      <c r="G2575">
        <v>145</v>
      </c>
      <c r="H2575">
        <v>7</v>
      </c>
      <c r="I2575">
        <v>6</v>
      </c>
      <c r="J2575" s="15">
        <v>3838</v>
      </c>
      <c r="K2575">
        <v>2</v>
      </c>
      <c r="L2575" s="15">
        <v>3838</v>
      </c>
      <c r="M2575">
        <v>2</v>
      </c>
      <c r="N2575">
        <v>57</v>
      </c>
      <c r="O2575">
        <v>237</v>
      </c>
      <c r="P2575">
        <f t="shared" si="126"/>
        <v>2025</v>
      </c>
      <c r="Q2575">
        <f t="shared" si="127"/>
        <v>6</v>
      </c>
      <c r="R2575" t="str">
        <f t="shared" si="128"/>
        <v>商品详情页头图推荐</v>
      </c>
      <c r="S2575" t="s">
        <v>629</v>
      </c>
      <c r="T2575" s="546" t="s">
        <v>804</v>
      </c>
    </row>
    <row r="2576" spans="1:20" x14ac:dyDescent="0.3">
      <c r="A2576" t="s">
        <v>627</v>
      </c>
      <c r="B2576" s="16">
        <v>45811</v>
      </c>
      <c r="C2576" t="s">
        <v>3</v>
      </c>
      <c r="D2576" t="s">
        <v>123</v>
      </c>
      <c r="E2576" t="s">
        <v>170</v>
      </c>
      <c r="F2576">
        <v>27</v>
      </c>
      <c r="G2576">
        <v>20</v>
      </c>
      <c r="H2576">
        <v>1</v>
      </c>
      <c r="I2576">
        <v>1</v>
      </c>
      <c r="J2576">
        <v>0</v>
      </c>
      <c r="K2576">
        <v>0</v>
      </c>
      <c r="L2576">
        <v>0</v>
      </c>
      <c r="M2576">
        <v>0</v>
      </c>
      <c r="N2576">
        <v>23</v>
      </c>
      <c r="O2576">
        <v>11</v>
      </c>
      <c r="P2576">
        <f t="shared" si="126"/>
        <v>2025</v>
      </c>
      <c r="Q2576">
        <f t="shared" si="127"/>
        <v>6</v>
      </c>
      <c r="R2576" t="str">
        <f t="shared" si="128"/>
        <v>店铺超链</v>
      </c>
      <c r="S2576" t="s">
        <v>629</v>
      </c>
      <c r="T2576" s="546" t="s">
        <v>804</v>
      </c>
    </row>
    <row r="2577" spans="1:20" x14ac:dyDescent="0.3">
      <c r="A2577" t="s">
        <v>627</v>
      </c>
      <c r="B2577" s="16">
        <v>45811</v>
      </c>
      <c r="C2577" t="s">
        <v>3</v>
      </c>
      <c r="D2577" t="s">
        <v>127</v>
      </c>
      <c r="E2577" t="s">
        <v>171</v>
      </c>
      <c r="F2577">
        <v>277</v>
      </c>
      <c r="G2577">
        <v>168</v>
      </c>
      <c r="H2577">
        <v>2</v>
      </c>
      <c r="I2577">
        <v>0</v>
      </c>
      <c r="J2577" s="15">
        <v>1490</v>
      </c>
      <c r="K2577">
        <v>1</v>
      </c>
      <c r="L2577" s="15">
        <v>1490</v>
      </c>
      <c r="M2577">
        <v>1</v>
      </c>
      <c r="N2577">
        <v>41</v>
      </c>
      <c r="O2577">
        <v>260</v>
      </c>
      <c r="P2577">
        <f t="shared" si="126"/>
        <v>2025</v>
      </c>
      <c r="Q2577">
        <f t="shared" si="127"/>
        <v>6</v>
      </c>
      <c r="R2577" t="str">
        <f t="shared" si="128"/>
        <v>其他猜你喜欢</v>
      </c>
      <c r="S2577" t="s">
        <v>629</v>
      </c>
      <c r="T2577" s="546" t="s">
        <v>804</v>
      </c>
    </row>
    <row r="2578" spans="1:20" x14ac:dyDescent="0.3">
      <c r="A2578" t="s">
        <v>627</v>
      </c>
      <c r="B2578" s="16">
        <v>45811</v>
      </c>
      <c r="C2578" t="s">
        <v>3</v>
      </c>
      <c r="D2578" t="s">
        <v>127</v>
      </c>
      <c r="E2578" t="s">
        <v>172</v>
      </c>
      <c r="F2578">
        <v>12</v>
      </c>
      <c r="G2578">
        <v>6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1</v>
      </c>
      <c r="O2578">
        <v>12</v>
      </c>
      <c r="P2578">
        <f t="shared" si="126"/>
        <v>2025</v>
      </c>
      <c r="Q2578">
        <f t="shared" si="127"/>
        <v>6</v>
      </c>
      <c r="R2578" t="str">
        <f t="shared" si="128"/>
        <v>购中推荐</v>
      </c>
      <c r="S2578" t="s">
        <v>629</v>
      </c>
      <c r="T2578" s="546" t="s">
        <v>804</v>
      </c>
    </row>
    <row r="2579" spans="1:20" x14ac:dyDescent="0.3">
      <c r="A2579" t="s">
        <v>627</v>
      </c>
      <c r="B2579" s="16">
        <v>45811</v>
      </c>
      <c r="C2579" t="s">
        <v>3</v>
      </c>
      <c r="D2579" t="s">
        <v>127</v>
      </c>
      <c r="E2579" t="s">
        <v>173</v>
      </c>
      <c r="F2579">
        <v>102</v>
      </c>
      <c r="G2579">
        <v>71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1</v>
      </c>
      <c r="O2579">
        <v>81</v>
      </c>
      <c r="P2579">
        <f t="shared" si="126"/>
        <v>2025</v>
      </c>
      <c r="Q2579">
        <f t="shared" si="127"/>
        <v>6</v>
      </c>
      <c r="R2579" t="str">
        <f t="shared" si="128"/>
        <v>购后推荐</v>
      </c>
      <c r="S2579" t="s">
        <v>629</v>
      </c>
      <c r="T2579" s="546" t="s">
        <v>804</v>
      </c>
    </row>
    <row r="2580" spans="1:20" x14ac:dyDescent="0.3">
      <c r="A2580" t="s">
        <v>627</v>
      </c>
      <c r="B2580" s="16">
        <v>45811</v>
      </c>
      <c r="C2580" t="s">
        <v>3</v>
      </c>
      <c r="D2580" t="s">
        <v>127</v>
      </c>
      <c r="E2580" t="s">
        <v>174</v>
      </c>
      <c r="F2580" s="15">
        <v>7939</v>
      </c>
      <c r="G2580" s="15">
        <v>6995</v>
      </c>
      <c r="H2580">
        <v>44</v>
      </c>
      <c r="I2580">
        <v>42</v>
      </c>
      <c r="J2580" s="15">
        <v>21426</v>
      </c>
      <c r="K2580">
        <v>5</v>
      </c>
      <c r="L2580" s="15">
        <v>6926</v>
      </c>
      <c r="M2580">
        <v>4</v>
      </c>
      <c r="N2580">
        <v>427</v>
      </c>
      <c r="O2580" s="15">
        <v>7939</v>
      </c>
      <c r="P2580">
        <f t="shared" si="126"/>
        <v>2025</v>
      </c>
      <c r="Q2580">
        <f t="shared" si="127"/>
        <v>6</v>
      </c>
      <c r="R2580" t="str">
        <f t="shared" si="128"/>
        <v>首页推荐-微详情</v>
      </c>
      <c r="S2580" t="s">
        <v>629</v>
      </c>
      <c r="T2580" s="546" t="s">
        <v>804</v>
      </c>
    </row>
    <row r="2581" spans="1:20" x14ac:dyDescent="0.3">
      <c r="A2581" t="s">
        <v>627</v>
      </c>
      <c r="B2581" s="16">
        <v>45811</v>
      </c>
      <c r="C2581" t="s">
        <v>3</v>
      </c>
      <c r="D2581" t="s">
        <v>127</v>
      </c>
      <c r="E2581" t="s">
        <v>175</v>
      </c>
      <c r="F2581">
        <v>266</v>
      </c>
      <c r="G2581">
        <v>196</v>
      </c>
      <c r="H2581">
        <v>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1</v>
      </c>
      <c r="O2581">
        <v>35</v>
      </c>
      <c r="P2581">
        <f t="shared" ref="P2581:P2644" si="129">YEAR(B2581)</f>
        <v>2025</v>
      </c>
      <c r="Q2581">
        <f t="shared" ref="Q2581:Q2644" si="130">MONTH(B2581)</f>
        <v>6</v>
      </c>
      <c r="R2581" t="str">
        <f t="shared" si="128"/>
        <v>首页推荐-直播</v>
      </c>
      <c r="S2581" t="s">
        <v>629</v>
      </c>
      <c r="T2581" s="546" t="s">
        <v>804</v>
      </c>
    </row>
    <row r="2582" spans="1:20" x14ac:dyDescent="0.3">
      <c r="A2582" t="s">
        <v>627</v>
      </c>
      <c r="B2582" s="16">
        <v>45811</v>
      </c>
      <c r="C2582" t="s">
        <v>3</v>
      </c>
      <c r="D2582" t="s">
        <v>127</v>
      </c>
      <c r="E2582" t="s">
        <v>176</v>
      </c>
      <c r="F2582">
        <v>128</v>
      </c>
      <c r="G2582">
        <v>53</v>
      </c>
      <c r="H2582">
        <v>1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2</v>
      </c>
      <c r="O2582">
        <v>17</v>
      </c>
      <c r="P2582">
        <f t="shared" si="129"/>
        <v>2025</v>
      </c>
      <c r="Q2582">
        <f t="shared" si="130"/>
        <v>6</v>
      </c>
      <c r="R2582" t="str">
        <f t="shared" si="128"/>
        <v>首页推荐-短视频</v>
      </c>
      <c r="S2582" t="s">
        <v>629</v>
      </c>
      <c r="T2582" s="546" t="s">
        <v>804</v>
      </c>
    </row>
    <row r="2583" spans="1:20" x14ac:dyDescent="0.3">
      <c r="A2583" t="s">
        <v>627</v>
      </c>
      <c r="B2583" s="16">
        <v>45811</v>
      </c>
      <c r="C2583" t="s">
        <v>3</v>
      </c>
      <c r="D2583" t="s">
        <v>128</v>
      </c>
      <c r="E2583" t="s">
        <v>177</v>
      </c>
      <c r="F2583">
        <v>787</v>
      </c>
      <c r="G2583">
        <v>581</v>
      </c>
      <c r="H2583">
        <v>34</v>
      </c>
      <c r="I2583">
        <v>11</v>
      </c>
      <c r="J2583" s="17">
        <v>36079.18</v>
      </c>
      <c r="K2583">
        <v>9</v>
      </c>
      <c r="L2583" s="17">
        <v>36079.18</v>
      </c>
      <c r="M2583">
        <v>9</v>
      </c>
      <c r="N2583">
        <v>365</v>
      </c>
      <c r="O2583">
        <v>566</v>
      </c>
      <c r="P2583">
        <f t="shared" si="129"/>
        <v>2025</v>
      </c>
      <c r="Q2583">
        <f t="shared" si="130"/>
        <v>6</v>
      </c>
      <c r="R2583" t="str">
        <f t="shared" si="128"/>
        <v>手淘搜索-商品及其他</v>
      </c>
      <c r="S2583" t="s">
        <v>629</v>
      </c>
      <c r="T2583" s="546" t="s">
        <v>804</v>
      </c>
    </row>
    <row r="2584" spans="1:20" x14ac:dyDescent="0.3">
      <c r="A2584" t="s">
        <v>627</v>
      </c>
      <c r="B2584" s="16">
        <v>45811</v>
      </c>
      <c r="C2584" t="s">
        <v>3</v>
      </c>
      <c r="D2584" t="s">
        <v>128</v>
      </c>
      <c r="E2584" t="s">
        <v>178</v>
      </c>
      <c r="F2584">
        <v>7</v>
      </c>
      <c r="G2584">
        <v>3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5</v>
      </c>
      <c r="P2584">
        <f t="shared" si="129"/>
        <v>2025</v>
      </c>
      <c r="Q2584">
        <f t="shared" si="130"/>
        <v>6</v>
      </c>
      <c r="R2584" t="str">
        <f t="shared" si="128"/>
        <v>手淘搜索-直播</v>
      </c>
      <c r="S2584" t="s">
        <v>629</v>
      </c>
      <c r="T2584" s="546" t="s">
        <v>804</v>
      </c>
    </row>
    <row r="2585" spans="1:20" x14ac:dyDescent="0.3">
      <c r="A2585" t="s">
        <v>627</v>
      </c>
      <c r="B2585" s="16">
        <v>45811</v>
      </c>
      <c r="C2585" t="s">
        <v>3</v>
      </c>
      <c r="D2585" t="s">
        <v>128</v>
      </c>
      <c r="E2585" t="s">
        <v>179</v>
      </c>
      <c r="F2585">
        <v>16</v>
      </c>
      <c r="G2585">
        <v>8</v>
      </c>
      <c r="H2585">
        <v>0</v>
      </c>
      <c r="I2585">
        <v>0</v>
      </c>
      <c r="J2585" s="15">
        <v>4980</v>
      </c>
      <c r="K2585">
        <v>1</v>
      </c>
      <c r="L2585" s="15">
        <v>2490</v>
      </c>
      <c r="M2585">
        <v>1</v>
      </c>
      <c r="N2585">
        <v>0</v>
      </c>
      <c r="O2585">
        <v>16</v>
      </c>
      <c r="P2585">
        <f t="shared" si="129"/>
        <v>2025</v>
      </c>
      <c r="Q2585">
        <f t="shared" si="130"/>
        <v>6</v>
      </c>
      <c r="R2585" t="str">
        <f t="shared" si="128"/>
        <v>手淘搜索-短视频</v>
      </c>
      <c r="S2585" t="s">
        <v>629</v>
      </c>
      <c r="T2585" s="546" t="s">
        <v>804</v>
      </c>
    </row>
    <row r="2586" spans="1:20" x14ac:dyDescent="0.3">
      <c r="A2586" t="s">
        <v>627</v>
      </c>
      <c r="B2586" s="16">
        <v>45811</v>
      </c>
      <c r="C2586" t="s">
        <v>3</v>
      </c>
      <c r="D2586" t="s">
        <v>143</v>
      </c>
      <c r="E2586" t="s">
        <v>180</v>
      </c>
      <c r="F2586">
        <v>5</v>
      </c>
      <c r="G2586">
        <v>4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5</v>
      </c>
      <c r="P2586">
        <f t="shared" si="129"/>
        <v>2025</v>
      </c>
      <c r="Q2586">
        <f t="shared" si="130"/>
        <v>6</v>
      </c>
      <c r="R2586" t="str">
        <f t="shared" si="128"/>
        <v>淘特其他渠道</v>
      </c>
      <c r="S2586" t="s">
        <v>629</v>
      </c>
      <c r="T2586" s="546" t="s">
        <v>804</v>
      </c>
    </row>
    <row r="2587" spans="1:20" x14ac:dyDescent="0.3">
      <c r="A2587" t="s">
        <v>627</v>
      </c>
      <c r="B2587" s="16">
        <v>45811</v>
      </c>
      <c r="C2587" t="s">
        <v>3</v>
      </c>
      <c r="D2587" t="s">
        <v>143</v>
      </c>
      <c r="E2587" t="s">
        <v>181</v>
      </c>
      <c r="F2587">
        <v>22</v>
      </c>
      <c r="G2587">
        <v>22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22</v>
      </c>
      <c r="P2587">
        <f t="shared" si="129"/>
        <v>2025</v>
      </c>
      <c r="Q2587">
        <f t="shared" si="130"/>
        <v>6</v>
      </c>
      <c r="R2587" t="str">
        <f t="shared" si="128"/>
        <v>淘特搜索</v>
      </c>
      <c r="S2587" t="s">
        <v>629</v>
      </c>
      <c r="T2587" s="546" t="s">
        <v>804</v>
      </c>
    </row>
    <row r="2588" spans="1:20" x14ac:dyDescent="0.3">
      <c r="A2588" t="s">
        <v>627</v>
      </c>
      <c r="B2588" s="16">
        <v>45811</v>
      </c>
      <c r="C2588" t="s">
        <v>3</v>
      </c>
      <c r="D2588" t="s">
        <v>157</v>
      </c>
      <c r="E2588" t="s">
        <v>182</v>
      </c>
      <c r="F2588">
        <v>1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f t="shared" si="129"/>
        <v>2025</v>
      </c>
      <c r="Q2588">
        <f t="shared" si="130"/>
        <v>6</v>
      </c>
      <c r="R2588" t="str">
        <f t="shared" si="128"/>
        <v>飞猪其他</v>
      </c>
      <c r="S2588" t="s">
        <v>629</v>
      </c>
      <c r="T2588" s="546" t="s">
        <v>804</v>
      </c>
    </row>
    <row r="2589" spans="1:20" x14ac:dyDescent="0.3">
      <c r="A2589" t="s">
        <v>627</v>
      </c>
      <c r="B2589" s="16">
        <v>45811</v>
      </c>
      <c r="C2589" t="s">
        <v>2</v>
      </c>
      <c r="D2589" t="s">
        <v>55</v>
      </c>
      <c r="E2589" t="s">
        <v>54</v>
      </c>
      <c r="F2589" s="15">
        <v>1062</v>
      </c>
      <c r="G2589">
        <v>796</v>
      </c>
      <c r="H2589">
        <v>11</v>
      </c>
      <c r="I2589">
        <v>2</v>
      </c>
      <c r="J2589">
        <v>0</v>
      </c>
      <c r="K2589">
        <v>0</v>
      </c>
      <c r="L2589">
        <v>0</v>
      </c>
      <c r="M2589">
        <v>0</v>
      </c>
      <c r="N2589">
        <v>15</v>
      </c>
      <c r="O2589">
        <v>167</v>
      </c>
      <c r="P2589">
        <f t="shared" si="129"/>
        <v>2025</v>
      </c>
      <c r="Q2589">
        <f t="shared" si="130"/>
        <v>6</v>
      </c>
      <c r="R2589" t="str">
        <f t="shared" si="128"/>
        <v>超级直播</v>
      </c>
      <c r="S2589" t="s">
        <v>629</v>
      </c>
      <c r="T2589" s="546" t="s">
        <v>804</v>
      </c>
    </row>
    <row r="2590" spans="1:20" x14ac:dyDescent="0.3">
      <c r="A2590" t="s">
        <v>627</v>
      </c>
      <c r="B2590" s="16">
        <v>45811</v>
      </c>
      <c r="C2590" t="s">
        <v>2</v>
      </c>
      <c r="D2590" t="s">
        <v>55</v>
      </c>
      <c r="E2590" t="s">
        <v>56</v>
      </c>
      <c r="F2590">
        <v>1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1</v>
      </c>
      <c r="P2590">
        <f t="shared" si="129"/>
        <v>2025</v>
      </c>
      <c r="Q2590">
        <f t="shared" si="130"/>
        <v>6</v>
      </c>
      <c r="R2590" t="str">
        <f t="shared" si="128"/>
        <v>超级短视频</v>
      </c>
      <c r="S2590" t="s">
        <v>629</v>
      </c>
      <c r="T2590" s="546" t="s">
        <v>804</v>
      </c>
    </row>
    <row r="2591" spans="1:20" x14ac:dyDescent="0.3">
      <c r="A2591" t="s">
        <v>627</v>
      </c>
      <c r="B2591" s="16">
        <v>45811</v>
      </c>
      <c r="C2591" t="s">
        <v>2</v>
      </c>
      <c r="D2591" t="s">
        <v>57</v>
      </c>
      <c r="E2591" t="s">
        <v>64</v>
      </c>
      <c r="F2591" s="15">
        <v>11335</v>
      </c>
      <c r="G2591" s="15">
        <v>6786</v>
      </c>
      <c r="H2591">
        <v>68</v>
      </c>
      <c r="I2591">
        <v>64</v>
      </c>
      <c r="J2591" s="15">
        <v>6387</v>
      </c>
      <c r="K2591">
        <v>4</v>
      </c>
      <c r="L2591" s="15">
        <v>1490</v>
      </c>
      <c r="M2591">
        <v>1</v>
      </c>
      <c r="N2591">
        <v>251</v>
      </c>
      <c r="O2591" s="15">
        <v>11335</v>
      </c>
      <c r="P2591">
        <f t="shared" si="129"/>
        <v>2025</v>
      </c>
      <c r="Q2591">
        <f t="shared" si="130"/>
        <v>6</v>
      </c>
      <c r="R2591" t="str">
        <f t="shared" si="128"/>
        <v>引力魔方</v>
      </c>
      <c r="S2591" t="s">
        <v>629</v>
      </c>
      <c r="T2591" s="546" t="s">
        <v>804</v>
      </c>
    </row>
    <row r="2592" spans="1:20" x14ac:dyDescent="0.3">
      <c r="A2592" t="s">
        <v>627</v>
      </c>
      <c r="B2592" s="16">
        <v>45811</v>
      </c>
      <c r="C2592" t="s">
        <v>2</v>
      </c>
      <c r="D2592" t="s">
        <v>57</v>
      </c>
      <c r="E2592" t="s">
        <v>65</v>
      </c>
      <c r="F2592" s="15">
        <v>4635</v>
      </c>
      <c r="G2592" s="15">
        <v>3937</v>
      </c>
      <c r="H2592">
        <v>35</v>
      </c>
      <c r="I2592">
        <v>27</v>
      </c>
      <c r="J2592" s="15">
        <v>52205</v>
      </c>
      <c r="K2592">
        <v>13</v>
      </c>
      <c r="L2592" s="15">
        <v>32660</v>
      </c>
      <c r="M2592">
        <v>8</v>
      </c>
      <c r="N2592">
        <v>258</v>
      </c>
      <c r="O2592" s="15">
        <v>4596</v>
      </c>
      <c r="P2592">
        <f t="shared" si="129"/>
        <v>2025</v>
      </c>
      <c r="Q2592">
        <f t="shared" si="130"/>
        <v>6</v>
      </c>
      <c r="R2592" t="str">
        <f t="shared" si="128"/>
        <v>直通车</v>
      </c>
      <c r="S2592" t="s">
        <v>629</v>
      </c>
      <c r="T2592" s="546" t="s">
        <v>804</v>
      </c>
    </row>
    <row r="2593" spans="1:20" x14ac:dyDescent="0.3">
      <c r="A2593" t="s">
        <v>627</v>
      </c>
      <c r="B2593" s="16">
        <v>45811</v>
      </c>
      <c r="C2593" t="s">
        <v>2</v>
      </c>
      <c r="D2593" t="s">
        <v>57</v>
      </c>
      <c r="E2593" t="s">
        <v>63</v>
      </c>
      <c r="F2593" s="15">
        <v>4674</v>
      </c>
      <c r="G2593" s="15">
        <v>2600</v>
      </c>
      <c r="H2593">
        <v>194</v>
      </c>
      <c r="I2593">
        <v>154</v>
      </c>
      <c r="J2593" s="15">
        <v>103030</v>
      </c>
      <c r="K2593">
        <v>20</v>
      </c>
      <c r="L2593" s="15">
        <v>32000</v>
      </c>
      <c r="M2593">
        <v>12</v>
      </c>
      <c r="N2593">
        <v>721</v>
      </c>
      <c r="O2593" s="15">
        <v>4433</v>
      </c>
      <c r="P2593">
        <f t="shared" si="129"/>
        <v>2025</v>
      </c>
      <c r="Q2593">
        <f t="shared" si="130"/>
        <v>6</v>
      </c>
      <c r="R2593" t="str">
        <f t="shared" si="128"/>
        <v>万相台</v>
      </c>
      <c r="S2593" t="s">
        <v>629</v>
      </c>
      <c r="T2593" s="546" t="s">
        <v>804</v>
      </c>
    </row>
    <row r="2594" spans="1:20" x14ac:dyDescent="0.3">
      <c r="A2594" t="s">
        <v>627</v>
      </c>
      <c r="B2594" s="16">
        <v>45811</v>
      </c>
      <c r="C2594" t="s">
        <v>2</v>
      </c>
      <c r="D2594" t="s">
        <v>4</v>
      </c>
      <c r="E2594" t="s">
        <v>41</v>
      </c>
      <c r="F2594">
        <v>1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1</v>
      </c>
      <c r="P2594">
        <f t="shared" si="129"/>
        <v>2025</v>
      </c>
      <c r="Q2594">
        <f t="shared" si="130"/>
        <v>6</v>
      </c>
      <c r="R2594" t="str">
        <f t="shared" si="128"/>
        <v>流量宝</v>
      </c>
      <c r="S2594" t="s">
        <v>629</v>
      </c>
      <c r="T2594" s="546" t="s">
        <v>804</v>
      </c>
    </row>
    <row r="2595" spans="1:20" x14ac:dyDescent="0.3">
      <c r="A2595" t="s">
        <v>627</v>
      </c>
      <c r="B2595" s="16">
        <v>45811</v>
      </c>
      <c r="C2595" t="s">
        <v>2</v>
      </c>
      <c r="D2595" t="s">
        <v>4</v>
      </c>
      <c r="E2595" t="s">
        <v>43</v>
      </c>
      <c r="F2595">
        <v>312</v>
      </c>
      <c r="G2595">
        <v>111</v>
      </c>
      <c r="H2595">
        <v>5</v>
      </c>
      <c r="I2595">
        <v>0</v>
      </c>
      <c r="J2595" s="15">
        <v>7330</v>
      </c>
      <c r="K2595">
        <v>2</v>
      </c>
      <c r="L2595" s="15">
        <v>7330</v>
      </c>
      <c r="M2595">
        <v>2</v>
      </c>
      <c r="N2595">
        <v>0</v>
      </c>
      <c r="O2595">
        <v>310</v>
      </c>
      <c r="P2595">
        <f t="shared" si="129"/>
        <v>2025</v>
      </c>
      <c r="Q2595">
        <f t="shared" si="130"/>
        <v>6</v>
      </c>
      <c r="R2595" t="str">
        <f t="shared" si="128"/>
        <v>淘宝客</v>
      </c>
      <c r="S2595" t="s">
        <v>629</v>
      </c>
      <c r="T2595" s="546" t="s">
        <v>804</v>
      </c>
    </row>
    <row r="2596" spans="1:20" x14ac:dyDescent="0.3">
      <c r="A2596" t="s">
        <v>627</v>
      </c>
      <c r="B2596" s="16">
        <v>45812</v>
      </c>
      <c r="C2596" t="s">
        <v>3</v>
      </c>
      <c r="D2596" t="s">
        <v>114</v>
      </c>
      <c r="E2596" t="s">
        <v>159</v>
      </c>
      <c r="F2596">
        <v>92</v>
      </c>
      <c r="G2596">
        <v>52</v>
      </c>
      <c r="H2596">
        <v>4</v>
      </c>
      <c r="I2596">
        <v>2</v>
      </c>
      <c r="J2596">
        <v>0</v>
      </c>
      <c r="K2596">
        <v>0</v>
      </c>
      <c r="L2596">
        <v>0</v>
      </c>
      <c r="M2596">
        <v>0</v>
      </c>
      <c r="N2596">
        <v>9</v>
      </c>
      <c r="O2596">
        <v>86</v>
      </c>
      <c r="P2596">
        <f t="shared" si="129"/>
        <v>2025</v>
      </c>
      <c r="Q2596">
        <f t="shared" si="130"/>
        <v>6</v>
      </c>
      <c r="R2596" t="str">
        <f t="shared" si="128"/>
        <v>主会场</v>
      </c>
      <c r="S2596" t="s">
        <v>629</v>
      </c>
      <c r="T2596" s="546" t="s">
        <v>804</v>
      </c>
    </row>
    <row r="2597" spans="1:20" x14ac:dyDescent="0.3">
      <c r="A2597" t="s">
        <v>627</v>
      </c>
      <c r="B2597" s="16">
        <v>45812</v>
      </c>
      <c r="C2597" t="s">
        <v>3</v>
      </c>
      <c r="D2597" t="s">
        <v>117</v>
      </c>
      <c r="E2597" t="s">
        <v>161</v>
      </c>
      <c r="F2597">
        <v>2</v>
      </c>
      <c r="G2597">
        <v>2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2</v>
      </c>
      <c r="P2597">
        <f t="shared" si="129"/>
        <v>2025</v>
      </c>
      <c r="Q2597">
        <f t="shared" si="130"/>
        <v>6</v>
      </c>
      <c r="R2597" t="str">
        <f t="shared" si="128"/>
        <v>其他入口榜单</v>
      </c>
      <c r="S2597" t="s">
        <v>629</v>
      </c>
      <c r="T2597" s="546" t="s">
        <v>804</v>
      </c>
    </row>
    <row r="2598" spans="1:20" x14ac:dyDescent="0.3">
      <c r="A2598" t="s">
        <v>627</v>
      </c>
      <c r="B2598" s="16">
        <v>45812</v>
      </c>
      <c r="C2598" t="s">
        <v>3</v>
      </c>
      <c r="D2598" t="s">
        <v>123</v>
      </c>
      <c r="E2598" t="s">
        <v>169</v>
      </c>
      <c r="F2598">
        <v>182</v>
      </c>
      <c r="G2598">
        <v>100</v>
      </c>
      <c r="H2598">
        <v>10</v>
      </c>
      <c r="I2598">
        <v>2</v>
      </c>
      <c r="J2598" s="15">
        <v>10860</v>
      </c>
      <c r="K2598">
        <v>3</v>
      </c>
      <c r="L2598" s="15">
        <v>8065</v>
      </c>
      <c r="M2598">
        <v>2</v>
      </c>
      <c r="N2598">
        <v>41</v>
      </c>
      <c r="O2598">
        <v>180</v>
      </c>
      <c r="P2598">
        <f t="shared" si="129"/>
        <v>2025</v>
      </c>
      <c r="Q2598">
        <f t="shared" si="130"/>
        <v>6</v>
      </c>
      <c r="R2598" t="str">
        <f t="shared" si="128"/>
        <v>商品详情页头图推荐</v>
      </c>
      <c r="S2598" t="s">
        <v>629</v>
      </c>
      <c r="T2598" s="546" t="s">
        <v>804</v>
      </c>
    </row>
    <row r="2599" spans="1:20" x14ac:dyDescent="0.3">
      <c r="A2599" t="s">
        <v>627</v>
      </c>
      <c r="B2599" s="16">
        <v>45812</v>
      </c>
      <c r="C2599" t="s">
        <v>3</v>
      </c>
      <c r="D2599" t="s">
        <v>123</v>
      </c>
      <c r="E2599" t="s">
        <v>170</v>
      </c>
      <c r="F2599">
        <v>25</v>
      </c>
      <c r="G2599">
        <v>14</v>
      </c>
      <c r="H2599">
        <v>1</v>
      </c>
      <c r="I2599">
        <v>0</v>
      </c>
      <c r="J2599" s="15">
        <v>12900</v>
      </c>
      <c r="K2599">
        <v>1</v>
      </c>
      <c r="L2599" s="15">
        <v>12900</v>
      </c>
      <c r="M2599">
        <v>1</v>
      </c>
      <c r="N2599">
        <v>24</v>
      </c>
      <c r="O2599">
        <v>13</v>
      </c>
      <c r="P2599">
        <f t="shared" si="129"/>
        <v>2025</v>
      </c>
      <c r="Q2599">
        <f t="shared" si="130"/>
        <v>6</v>
      </c>
      <c r="R2599" t="str">
        <f t="shared" si="128"/>
        <v>店铺超链</v>
      </c>
      <c r="S2599" t="s">
        <v>629</v>
      </c>
      <c r="T2599" s="546" t="s">
        <v>804</v>
      </c>
    </row>
    <row r="2600" spans="1:20" x14ac:dyDescent="0.3">
      <c r="A2600" t="s">
        <v>627</v>
      </c>
      <c r="B2600" s="16">
        <v>45812</v>
      </c>
      <c r="C2600" t="s">
        <v>3</v>
      </c>
      <c r="D2600" t="s">
        <v>127</v>
      </c>
      <c r="E2600" t="s">
        <v>171</v>
      </c>
      <c r="F2600">
        <v>235</v>
      </c>
      <c r="G2600">
        <v>125</v>
      </c>
      <c r="H2600">
        <v>5</v>
      </c>
      <c r="I2600">
        <v>1</v>
      </c>
      <c r="J2600" s="15">
        <v>3990</v>
      </c>
      <c r="K2600">
        <v>1</v>
      </c>
      <c r="L2600">
        <v>0</v>
      </c>
      <c r="M2600">
        <v>0</v>
      </c>
      <c r="N2600">
        <v>33</v>
      </c>
      <c r="O2600">
        <v>214</v>
      </c>
      <c r="P2600">
        <f t="shared" si="129"/>
        <v>2025</v>
      </c>
      <c r="Q2600">
        <f t="shared" si="130"/>
        <v>6</v>
      </c>
      <c r="R2600" t="str">
        <f t="shared" si="128"/>
        <v>其他猜你喜欢</v>
      </c>
      <c r="S2600" t="s">
        <v>629</v>
      </c>
      <c r="T2600" s="546" t="s">
        <v>804</v>
      </c>
    </row>
    <row r="2601" spans="1:20" x14ac:dyDescent="0.3">
      <c r="A2601" t="s">
        <v>627</v>
      </c>
      <c r="B2601" s="16">
        <v>45812</v>
      </c>
      <c r="C2601" t="s">
        <v>3</v>
      </c>
      <c r="D2601" t="s">
        <v>127</v>
      </c>
      <c r="E2601" t="s">
        <v>172</v>
      </c>
      <c r="F2601">
        <v>10</v>
      </c>
      <c r="G2601">
        <v>6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1</v>
      </c>
      <c r="O2601">
        <v>5</v>
      </c>
      <c r="P2601">
        <f t="shared" si="129"/>
        <v>2025</v>
      </c>
      <c r="Q2601">
        <f t="shared" si="130"/>
        <v>6</v>
      </c>
      <c r="R2601" t="str">
        <f t="shared" si="128"/>
        <v>购中推荐</v>
      </c>
      <c r="S2601" t="s">
        <v>629</v>
      </c>
      <c r="T2601" s="546" t="s">
        <v>804</v>
      </c>
    </row>
    <row r="2602" spans="1:20" x14ac:dyDescent="0.3">
      <c r="A2602" t="s">
        <v>627</v>
      </c>
      <c r="B2602" s="16">
        <v>45812</v>
      </c>
      <c r="C2602" t="s">
        <v>3</v>
      </c>
      <c r="D2602" t="s">
        <v>127</v>
      </c>
      <c r="E2602" t="s">
        <v>173</v>
      </c>
      <c r="F2602">
        <v>95</v>
      </c>
      <c r="G2602">
        <v>64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2</v>
      </c>
      <c r="O2602">
        <v>62</v>
      </c>
      <c r="P2602">
        <f t="shared" si="129"/>
        <v>2025</v>
      </c>
      <c r="Q2602">
        <f t="shared" si="130"/>
        <v>6</v>
      </c>
      <c r="R2602" t="str">
        <f t="shared" si="128"/>
        <v>购后推荐</v>
      </c>
      <c r="S2602" t="s">
        <v>629</v>
      </c>
      <c r="T2602" s="546" t="s">
        <v>804</v>
      </c>
    </row>
    <row r="2603" spans="1:20" x14ac:dyDescent="0.3">
      <c r="A2603" t="s">
        <v>627</v>
      </c>
      <c r="B2603" s="16">
        <v>45812</v>
      </c>
      <c r="C2603" t="s">
        <v>3</v>
      </c>
      <c r="D2603" t="s">
        <v>127</v>
      </c>
      <c r="E2603" t="s">
        <v>174</v>
      </c>
      <c r="F2603" s="15">
        <v>6218</v>
      </c>
      <c r="G2603" s="15">
        <v>5300</v>
      </c>
      <c r="H2603">
        <v>28</v>
      </c>
      <c r="I2603">
        <v>21</v>
      </c>
      <c r="J2603" s="15">
        <v>19035</v>
      </c>
      <c r="K2603">
        <v>8</v>
      </c>
      <c r="L2603" s="15">
        <v>10245</v>
      </c>
      <c r="M2603">
        <v>6</v>
      </c>
      <c r="N2603">
        <v>362</v>
      </c>
      <c r="O2603" s="15">
        <v>6218</v>
      </c>
      <c r="P2603">
        <f t="shared" si="129"/>
        <v>2025</v>
      </c>
      <c r="Q2603">
        <f t="shared" si="130"/>
        <v>6</v>
      </c>
      <c r="R2603" t="str">
        <f t="shared" si="128"/>
        <v>首页推荐-微详情</v>
      </c>
      <c r="S2603" t="s">
        <v>629</v>
      </c>
      <c r="T2603" s="546" t="s">
        <v>804</v>
      </c>
    </row>
    <row r="2604" spans="1:20" x14ac:dyDescent="0.3">
      <c r="A2604" t="s">
        <v>627</v>
      </c>
      <c r="B2604" s="16">
        <v>45812</v>
      </c>
      <c r="C2604" t="s">
        <v>3</v>
      </c>
      <c r="D2604" t="s">
        <v>127</v>
      </c>
      <c r="E2604" t="s">
        <v>175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f t="shared" si="129"/>
        <v>2025</v>
      </c>
      <c r="Q2604">
        <f t="shared" si="130"/>
        <v>6</v>
      </c>
      <c r="R2604" t="str">
        <f t="shared" si="128"/>
        <v>首页推荐-直播</v>
      </c>
      <c r="S2604" t="s">
        <v>629</v>
      </c>
      <c r="T2604" s="546" t="s">
        <v>804</v>
      </c>
    </row>
    <row r="2605" spans="1:20" x14ac:dyDescent="0.3">
      <c r="A2605" t="s">
        <v>627</v>
      </c>
      <c r="B2605" s="16">
        <v>45812</v>
      </c>
      <c r="C2605" t="s">
        <v>3</v>
      </c>
      <c r="D2605" t="s">
        <v>127</v>
      </c>
      <c r="E2605" t="s">
        <v>176</v>
      </c>
      <c r="F2605">
        <v>200</v>
      </c>
      <c r="G2605">
        <v>119</v>
      </c>
      <c r="H2605">
        <v>3</v>
      </c>
      <c r="I2605">
        <v>0</v>
      </c>
      <c r="J2605" s="15">
        <v>1917</v>
      </c>
      <c r="K2605">
        <v>1</v>
      </c>
      <c r="L2605" s="15">
        <v>1917</v>
      </c>
      <c r="M2605">
        <v>1</v>
      </c>
      <c r="N2605">
        <v>4</v>
      </c>
      <c r="O2605">
        <v>17</v>
      </c>
      <c r="P2605">
        <f t="shared" si="129"/>
        <v>2025</v>
      </c>
      <c r="Q2605">
        <f t="shared" si="130"/>
        <v>6</v>
      </c>
      <c r="R2605" t="str">
        <f t="shared" si="128"/>
        <v>首页推荐-短视频</v>
      </c>
      <c r="S2605" t="s">
        <v>629</v>
      </c>
      <c r="T2605" s="546" t="s">
        <v>804</v>
      </c>
    </row>
    <row r="2606" spans="1:20" x14ac:dyDescent="0.3">
      <c r="A2606" t="s">
        <v>627</v>
      </c>
      <c r="B2606" s="16">
        <v>45812</v>
      </c>
      <c r="C2606" t="s">
        <v>3</v>
      </c>
      <c r="D2606" t="s">
        <v>128</v>
      </c>
      <c r="E2606" t="s">
        <v>177</v>
      </c>
      <c r="F2606">
        <v>678</v>
      </c>
      <c r="G2606">
        <v>507</v>
      </c>
      <c r="H2606">
        <v>32</v>
      </c>
      <c r="I2606">
        <v>4</v>
      </c>
      <c r="J2606" s="15">
        <v>23972</v>
      </c>
      <c r="K2606">
        <v>8</v>
      </c>
      <c r="L2606" s="15">
        <v>18952</v>
      </c>
      <c r="M2606">
        <v>7</v>
      </c>
      <c r="N2606">
        <v>319</v>
      </c>
      <c r="O2606">
        <v>493</v>
      </c>
      <c r="P2606">
        <f t="shared" si="129"/>
        <v>2025</v>
      </c>
      <c r="Q2606">
        <f t="shared" si="130"/>
        <v>6</v>
      </c>
      <c r="R2606" t="str">
        <f t="shared" si="128"/>
        <v>手淘搜索-商品及其他</v>
      </c>
      <c r="S2606" t="s">
        <v>629</v>
      </c>
      <c r="T2606" s="546" t="s">
        <v>804</v>
      </c>
    </row>
    <row r="2607" spans="1:20" x14ac:dyDescent="0.3">
      <c r="A2607" t="s">
        <v>627</v>
      </c>
      <c r="B2607" s="16">
        <v>45812</v>
      </c>
      <c r="C2607" t="s">
        <v>3</v>
      </c>
      <c r="D2607" t="s">
        <v>128</v>
      </c>
      <c r="E2607" t="s">
        <v>179</v>
      </c>
      <c r="F2607">
        <v>22</v>
      </c>
      <c r="G2607">
        <v>10</v>
      </c>
      <c r="H2607">
        <v>3</v>
      </c>
      <c r="I2607">
        <v>0</v>
      </c>
      <c r="J2607" s="15">
        <v>1690</v>
      </c>
      <c r="K2607">
        <v>1</v>
      </c>
      <c r="L2607" s="15">
        <v>1690</v>
      </c>
      <c r="M2607">
        <v>1</v>
      </c>
      <c r="N2607">
        <v>4</v>
      </c>
      <c r="O2607">
        <v>20</v>
      </c>
      <c r="P2607">
        <f t="shared" si="129"/>
        <v>2025</v>
      </c>
      <c r="Q2607">
        <f t="shared" si="130"/>
        <v>6</v>
      </c>
      <c r="R2607" t="str">
        <f t="shared" si="128"/>
        <v>手淘搜索-短视频</v>
      </c>
      <c r="S2607" t="s">
        <v>629</v>
      </c>
      <c r="T2607" s="546" t="s">
        <v>804</v>
      </c>
    </row>
    <row r="2608" spans="1:20" x14ac:dyDescent="0.3">
      <c r="A2608" t="s">
        <v>627</v>
      </c>
      <c r="B2608" s="16">
        <v>45812</v>
      </c>
      <c r="C2608" t="s">
        <v>3</v>
      </c>
      <c r="D2608" t="s">
        <v>143</v>
      </c>
      <c r="E2608" t="s">
        <v>180</v>
      </c>
      <c r="F2608">
        <v>4</v>
      </c>
      <c r="G2608">
        <v>4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4</v>
      </c>
      <c r="P2608">
        <f t="shared" si="129"/>
        <v>2025</v>
      </c>
      <c r="Q2608">
        <f t="shared" si="130"/>
        <v>6</v>
      </c>
      <c r="R2608" t="str">
        <f t="shared" si="128"/>
        <v>淘特其他渠道</v>
      </c>
      <c r="S2608" t="s">
        <v>629</v>
      </c>
      <c r="T2608" s="546" t="s">
        <v>804</v>
      </c>
    </row>
    <row r="2609" spans="1:20" x14ac:dyDescent="0.3">
      <c r="A2609" t="s">
        <v>627</v>
      </c>
      <c r="B2609" s="16">
        <v>45812</v>
      </c>
      <c r="C2609" t="s">
        <v>3</v>
      </c>
      <c r="D2609" t="s">
        <v>143</v>
      </c>
      <c r="E2609" t="s">
        <v>181</v>
      </c>
      <c r="F2609">
        <v>19</v>
      </c>
      <c r="G2609">
        <v>19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19</v>
      </c>
      <c r="P2609">
        <f t="shared" si="129"/>
        <v>2025</v>
      </c>
      <c r="Q2609">
        <f t="shared" si="130"/>
        <v>6</v>
      </c>
      <c r="R2609" t="str">
        <f t="shared" si="128"/>
        <v>淘特搜索</v>
      </c>
      <c r="S2609" t="s">
        <v>629</v>
      </c>
      <c r="T2609" s="546" t="s">
        <v>804</v>
      </c>
    </row>
    <row r="2610" spans="1:20" x14ac:dyDescent="0.3">
      <c r="A2610" t="s">
        <v>627</v>
      </c>
      <c r="B2610" s="16">
        <v>45812</v>
      </c>
      <c r="C2610" t="s">
        <v>2</v>
      </c>
      <c r="D2610" t="s">
        <v>55</v>
      </c>
      <c r="E2610" t="s">
        <v>54</v>
      </c>
      <c r="F2610">
        <v>6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1</v>
      </c>
      <c r="P2610">
        <f t="shared" si="129"/>
        <v>2025</v>
      </c>
      <c r="Q2610">
        <f t="shared" si="130"/>
        <v>6</v>
      </c>
      <c r="R2610" t="str">
        <f t="shared" si="128"/>
        <v>超级直播</v>
      </c>
      <c r="S2610" t="s">
        <v>629</v>
      </c>
      <c r="T2610" s="546" t="s">
        <v>804</v>
      </c>
    </row>
    <row r="2611" spans="1:20" x14ac:dyDescent="0.3">
      <c r="A2611" t="s">
        <v>627</v>
      </c>
      <c r="B2611" s="16">
        <v>45812</v>
      </c>
      <c r="C2611" t="s">
        <v>2</v>
      </c>
      <c r="D2611" t="s">
        <v>55</v>
      </c>
      <c r="E2611" t="s">
        <v>56</v>
      </c>
      <c r="F2611">
        <v>1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1</v>
      </c>
      <c r="P2611">
        <f t="shared" si="129"/>
        <v>2025</v>
      </c>
      <c r="Q2611">
        <f t="shared" si="130"/>
        <v>6</v>
      </c>
      <c r="R2611" t="str">
        <f t="shared" si="128"/>
        <v>超级短视频</v>
      </c>
      <c r="S2611" t="s">
        <v>629</v>
      </c>
      <c r="T2611" s="546" t="s">
        <v>804</v>
      </c>
    </row>
    <row r="2612" spans="1:20" x14ac:dyDescent="0.3">
      <c r="A2612" t="s">
        <v>627</v>
      </c>
      <c r="B2612" s="16">
        <v>45812</v>
      </c>
      <c r="C2612" t="s">
        <v>2</v>
      </c>
      <c r="D2612" t="s">
        <v>57</v>
      </c>
      <c r="E2612" t="s">
        <v>64</v>
      </c>
      <c r="F2612" s="15">
        <v>10614</v>
      </c>
      <c r="G2612" s="15">
        <v>6098</v>
      </c>
      <c r="H2612">
        <v>63</v>
      </c>
      <c r="I2612">
        <v>60</v>
      </c>
      <c r="J2612" s="15">
        <v>29858</v>
      </c>
      <c r="K2612">
        <v>9</v>
      </c>
      <c r="L2612" s="15">
        <v>22970</v>
      </c>
      <c r="M2612">
        <v>6</v>
      </c>
      <c r="N2612">
        <v>248</v>
      </c>
      <c r="O2612" s="15">
        <v>10614</v>
      </c>
      <c r="P2612">
        <f t="shared" si="129"/>
        <v>2025</v>
      </c>
      <c r="Q2612">
        <f t="shared" si="130"/>
        <v>6</v>
      </c>
      <c r="R2612" t="str">
        <f t="shared" si="128"/>
        <v>引力魔方</v>
      </c>
      <c r="S2612" t="s">
        <v>629</v>
      </c>
      <c r="T2612" s="546" t="s">
        <v>804</v>
      </c>
    </row>
    <row r="2613" spans="1:20" x14ac:dyDescent="0.3">
      <c r="A2613" t="s">
        <v>627</v>
      </c>
      <c r="B2613" s="16">
        <v>45812</v>
      </c>
      <c r="C2613" t="s">
        <v>2</v>
      </c>
      <c r="D2613" t="s">
        <v>57</v>
      </c>
      <c r="E2613" t="s">
        <v>65</v>
      </c>
      <c r="F2613" s="15">
        <v>4219</v>
      </c>
      <c r="G2613" s="15">
        <v>3629</v>
      </c>
      <c r="H2613">
        <v>34</v>
      </c>
      <c r="I2613">
        <v>18</v>
      </c>
      <c r="J2613" s="15">
        <v>43088</v>
      </c>
      <c r="K2613">
        <v>12</v>
      </c>
      <c r="L2613" s="15">
        <v>21313</v>
      </c>
      <c r="M2613">
        <v>7</v>
      </c>
      <c r="N2613">
        <v>219</v>
      </c>
      <c r="O2613" s="15">
        <v>4178</v>
      </c>
      <c r="P2613">
        <f t="shared" si="129"/>
        <v>2025</v>
      </c>
      <c r="Q2613">
        <f t="shared" si="130"/>
        <v>6</v>
      </c>
      <c r="R2613" t="str">
        <f t="shared" si="128"/>
        <v>直通车</v>
      </c>
      <c r="S2613" t="s">
        <v>629</v>
      </c>
      <c r="T2613" s="546" t="s">
        <v>804</v>
      </c>
    </row>
    <row r="2614" spans="1:20" x14ac:dyDescent="0.3">
      <c r="A2614" t="s">
        <v>627</v>
      </c>
      <c r="B2614" s="16">
        <v>45812</v>
      </c>
      <c r="C2614" t="s">
        <v>2</v>
      </c>
      <c r="D2614" t="s">
        <v>57</v>
      </c>
      <c r="E2614" t="s">
        <v>63</v>
      </c>
      <c r="F2614" s="15">
        <v>3879</v>
      </c>
      <c r="G2614" s="15">
        <v>1996</v>
      </c>
      <c r="H2614">
        <v>143</v>
      </c>
      <c r="I2614">
        <v>139</v>
      </c>
      <c r="J2614" s="15">
        <v>102710</v>
      </c>
      <c r="K2614">
        <v>23</v>
      </c>
      <c r="L2614" s="15">
        <v>74975</v>
      </c>
      <c r="M2614">
        <v>18</v>
      </c>
      <c r="N2614">
        <v>607</v>
      </c>
      <c r="O2614" s="15">
        <v>3696</v>
      </c>
      <c r="P2614">
        <f t="shared" si="129"/>
        <v>2025</v>
      </c>
      <c r="Q2614">
        <f t="shared" si="130"/>
        <v>6</v>
      </c>
      <c r="R2614" t="str">
        <f t="shared" si="128"/>
        <v>万相台</v>
      </c>
      <c r="S2614" t="s">
        <v>629</v>
      </c>
      <c r="T2614" s="546" t="s">
        <v>804</v>
      </c>
    </row>
    <row r="2615" spans="1:20" x14ac:dyDescent="0.3">
      <c r="A2615" t="s">
        <v>627</v>
      </c>
      <c r="B2615" s="16">
        <v>45812</v>
      </c>
      <c r="C2615" t="s">
        <v>2</v>
      </c>
      <c r="D2615" t="s">
        <v>4</v>
      </c>
      <c r="E2615" t="s">
        <v>41</v>
      </c>
      <c r="F2615">
        <v>1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1</v>
      </c>
      <c r="P2615">
        <f t="shared" si="129"/>
        <v>2025</v>
      </c>
      <c r="Q2615">
        <f t="shared" si="130"/>
        <v>6</v>
      </c>
      <c r="R2615" t="str">
        <f t="shared" si="128"/>
        <v>流量宝</v>
      </c>
      <c r="S2615" t="s">
        <v>629</v>
      </c>
      <c r="T2615" s="546" t="s">
        <v>804</v>
      </c>
    </row>
    <row r="2616" spans="1:20" x14ac:dyDescent="0.3">
      <c r="A2616" t="s">
        <v>627</v>
      </c>
      <c r="B2616" s="16">
        <v>45812</v>
      </c>
      <c r="C2616" t="s">
        <v>2</v>
      </c>
      <c r="D2616" t="s">
        <v>4</v>
      </c>
      <c r="E2616" t="s">
        <v>43</v>
      </c>
      <c r="F2616">
        <v>337</v>
      </c>
      <c r="G2616">
        <v>102</v>
      </c>
      <c r="H2616">
        <v>1</v>
      </c>
      <c r="I2616">
        <v>1</v>
      </c>
      <c r="J2616" s="15">
        <v>16300</v>
      </c>
      <c r="K2616">
        <v>3</v>
      </c>
      <c r="L2616" s="15">
        <v>16300</v>
      </c>
      <c r="M2616">
        <v>3</v>
      </c>
      <c r="N2616">
        <v>4</v>
      </c>
      <c r="O2616">
        <v>336</v>
      </c>
      <c r="P2616">
        <f t="shared" si="129"/>
        <v>2025</v>
      </c>
      <c r="Q2616">
        <f t="shared" si="130"/>
        <v>6</v>
      </c>
      <c r="R2616" t="str">
        <f t="shared" si="128"/>
        <v>淘宝客</v>
      </c>
      <c r="S2616" t="s">
        <v>629</v>
      </c>
      <c r="T2616" s="546" t="s">
        <v>804</v>
      </c>
    </row>
    <row r="2617" spans="1:20" x14ac:dyDescent="0.3">
      <c r="A2617" t="s">
        <v>627</v>
      </c>
      <c r="B2617" s="16">
        <v>45813</v>
      </c>
      <c r="C2617" t="s">
        <v>3</v>
      </c>
      <c r="D2617" t="s">
        <v>114</v>
      </c>
      <c r="E2617" t="s">
        <v>159</v>
      </c>
      <c r="F2617">
        <v>174</v>
      </c>
      <c r="G2617">
        <v>118</v>
      </c>
      <c r="H2617">
        <v>4</v>
      </c>
      <c r="I2617">
        <v>4</v>
      </c>
      <c r="J2617" s="15">
        <v>8700</v>
      </c>
      <c r="K2617">
        <v>1</v>
      </c>
      <c r="L2617">
        <v>0</v>
      </c>
      <c r="M2617">
        <v>0</v>
      </c>
      <c r="N2617">
        <v>14</v>
      </c>
      <c r="O2617">
        <v>171</v>
      </c>
      <c r="P2617">
        <f t="shared" si="129"/>
        <v>2025</v>
      </c>
      <c r="Q2617">
        <f t="shared" si="130"/>
        <v>6</v>
      </c>
      <c r="R2617" t="str">
        <f t="shared" si="128"/>
        <v>主会场</v>
      </c>
      <c r="S2617" t="s">
        <v>629</v>
      </c>
      <c r="T2617" s="546" t="s">
        <v>804</v>
      </c>
    </row>
    <row r="2618" spans="1:20" x14ac:dyDescent="0.3">
      <c r="A2618" t="s">
        <v>627</v>
      </c>
      <c r="B2618" s="16">
        <v>45813</v>
      </c>
      <c r="C2618" t="s">
        <v>3</v>
      </c>
      <c r="D2618" t="s">
        <v>117</v>
      </c>
      <c r="E2618" t="s">
        <v>161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</v>
      </c>
      <c r="P2618">
        <f t="shared" si="129"/>
        <v>2025</v>
      </c>
      <c r="Q2618">
        <f t="shared" si="130"/>
        <v>6</v>
      </c>
      <c r="R2618" t="str">
        <f t="shared" si="128"/>
        <v>其他入口榜单</v>
      </c>
      <c r="S2618" t="s">
        <v>629</v>
      </c>
      <c r="T2618" s="546" t="s">
        <v>804</v>
      </c>
    </row>
    <row r="2619" spans="1:20" x14ac:dyDescent="0.3">
      <c r="A2619" t="s">
        <v>627</v>
      </c>
      <c r="B2619" s="16">
        <v>45813</v>
      </c>
      <c r="C2619" t="s">
        <v>3</v>
      </c>
      <c r="D2619" t="s">
        <v>123</v>
      </c>
      <c r="E2619" t="s">
        <v>169</v>
      </c>
      <c r="F2619">
        <v>154</v>
      </c>
      <c r="G2619">
        <v>75</v>
      </c>
      <c r="H2619">
        <v>6</v>
      </c>
      <c r="I2619">
        <v>3</v>
      </c>
      <c r="J2619" s="17">
        <v>1663.43</v>
      </c>
      <c r="K2619">
        <v>1</v>
      </c>
      <c r="L2619" s="17">
        <v>1663.43</v>
      </c>
      <c r="M2619">
        <v>1</v>
      </c>
      <c r="N2619">
        <v>22</v>
      </c>
      <c r="O2619">
        <v>151</v>
      </c>
      <c r="P2619">
        <f t="shared" si="129"/>
        <v>2025</v>
      </c>
      <c r="Q2619">
        <f t="shared" si="130"/>
        <v>6</v>
      </c>
      <c r="R2619" t="str">
        <f t="shared" si="128"/>
        <v>商品详情页头图推荐</v>
      </c>
      <c r="S2619" t="s">
        <v>629</v>
      </c>
      <c r="T2619" s="546" t="s">
        <v>804</v>
      </c>
    </row>
    <row r="2620" spans="1:20" x14ac:dyDescent="0.3">
      <c r="A2620" t="s">
        <v>627</v>
      </c>
      <c r="B2620" s="16">
        <v>45813</v>
      </c>
      <c r="C2620" t="s">
        <v>3</v>
      </c>
      <c r="D2620" t="s">
        <v>123</v>
      </c>
      <c r="E2620" t="s">
        <v>170</v>
      </c>
      <c r="F2620">
        <v>29</v>
      </c>
      <c r="G2620">
        <v>16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24</v>
      </c>
      <c r="O2620">
        <v>15</v>
      </c>
      <c r="P2620">
        <f t="shared" si="129"/>
        <v>2025</v>
      </c>
      <c r="Q2620">
        <f t="shared" si="130"/>
        <v>6</v>
      </c>
      <c r="R2620" t="str">
        <f t="shared" si="128"/>
        <v>店铺超链</v>
      </c>
      <c r="S2620" t="s">
        <v>629</v>
      </c>
      <c r="T2620" s="546" t="s">
        <v>804</v>
      </c>
    </row>
    <row r="2621" spans="1:20" x14ac:dyDescent="0.3">
      <c r="A2621" t="s">
        <v>627</v>
      </c>
      <c r="B2621" s="16">
        <v>45813</v>
      </c>
      <c r="C2621" t="s">
        <v>3</v>
      </c>
      <c r="D2621" t="s">
        <v>127</v>
      </c>
      <c r="E2621" t="s">
        <v>171</v>
      </c>
      <c r="F2621">
        <v>210</v>
      </c>
      <c r="G2621">
        <v>128</v>
      </c>
      <c r="H2621">
        <v>7</v>
      </c>
      <c r="I2621">
        <v>1</v>
      </c>
      <c r="J2621" s="17">
        <v>9646.43</v>
      </c>
      <c r="K2621">
        <v>3</v>
      </c>
      <c r="L2621" s="17">
        <v>9646.43</v>
      </c>
      <c r="M2621">
        <v>3</v>
      </c>
      <c r="N2621">
        <v>26</v>
      </c>
      <c r="O2621">
        <v>188</v>
      </c>
      <c r="P2621">
        <f t="shared" si="129"/>
        <v>2025</v>
      </c>
      <c r="Q2621">
        <f t="shared" si="130"/>
        <v>6</v>
      </c>
      <c r="R2621" t="str">
        <f t="shared" si="128"/>
        <v>其他猜你喜欢</v>
      </c>
      <c r="S2621" t="s">
        <v>629</v>
      </c>
      <c r="T2621" s="546" t="s">
        <v>804</v>
      </c>
    </row>
    <row r="2622" spans="1:20" x14ac:dyDescent="0.3">
      <c r="A2622" t="s">
        <v>627</v>
      </c>
      <c r="B2622" s="16">
        <v>45813</v>
      </c>
      <c r="C2622" t="s">
        <v>3</v>
      </c>
      <c r="D2622" t="s">
        <v>127</v>
      </c>
      <c r="E2622" t="s">
        <v>172</v>
      </c>
      <c r="F2622">
        <v>17</v>
      </c>
      <c r="G2622">
        <v>12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3</v>
      </c>
      <c r="O2622">
        <v>16</v>
      </c>
      <c r="P2622">
        <f t="shared" si="129"/>
        <v>2025</v>
      </c>
      <c r="Q2622">
        <f t="shared" si="130"/>
        <v>6</v>
      </c>
      <c r="R2622" t="str">
        <f t="shared" si="128"/>
        <v>购中推荐</v>
      </c>
      <c r="S2622" t="s">
        <v>629</v>
      </c>
      <c r="T2622" s="546" t="s">
        <v>804</v>
      </c>
    </row>
    <row r="2623" spans="1:20" x14ac:dyDescent="0.3">
      <c r="A2623" t="s">
        <v>627</v>
      </c>
      <c r="B2623" s="16">
        <v>45813</v>
      </c>
      <c r="C2623" t="s">
        <v>3</v>
      </c>
      <c r="D2623" t="s">
        <v>127</v>
      </c>
      <c r="E2623" t="s">
        <v>173</v>
      </c>
      <c r="F2623">
        <v>89</v>
      </c>
      <c r="G2623">
        <v>69</v>
      </c>
      <c r="H2623">
        <v>2</v>
      </c>
      <c r="I2623">
        <v>0</v>
      </c>
      <c r="J2623" s="17">
        <v>1663.43</v>
      </c>
      <c r="K2623">
        <v>1</v>
      </c>
      <c r="L2623" s="17">
        <v>1663.43</v>
      </c>
      <c r="M2623">
        <v>1</v>
      </c>
      <c r="N2623">
        <v>6</v>
      </c>
      <c r="O2623">
        <v>82</v>
      </c>
      <c r="P2623">
        <f t="shared" si="129"/>
        <v>2025</v>
      </c>
      <c r="Q2623">
        <f t="shared" si="130"/>
        <v>6</v>
      </c>
      <c r="R2623" t="str">
        <f t="shared" si="128"/>
        <v>购后推荐</v>
      </c>
      <c r="S2623" t="s">
        <v>629</v>
      </c>
      <c r="T2623" s="546" t="s">
        <v>804</v>
      </c>
    </row>
    <row r="2624" spans="1:20" x14ac:dyDescent="0.3">
      <c r="A2624" t="s">
        <v>627</v>
      </c>
      <c r="B2624" s="16">
        <v>45813</v>
      </c>
      <c r="C2624" t="s">
        <v>3</v>
      </c>
      <c r="D2624" t="s">
        <v>127</v>
      </c>
      <c r="E2624" t="s">
        <v>174</v>
      </c>
      <c r="F2624" s="15">
        <v>3632</v>
      </c>
      <c r="G2624" s="15">
        <v>2929</v>
      </c>
      <c r="H2624">
        <v>43</v>
      </c>
      <c r="I2624">
        <v>18</v>
      </c>
      <c r="J2624" s="15">
        <v>5644</v>
      </c>
      <c r="K2624">
        <v>3</v>
      </c>
      <c r="L2624" s="15">
        <v>5644</v>
      </c>
      <c r="M2624">
        <v>3</v>
      </c>
      <c r="N2624">
        <v>233</v>
      </c>
      <c r="O2624" s="15">
        <v>3632</v>
      </c>
      <c r="P2624">
        <f t="shared" si="129"/>
        <v>2025</v>
      </c>
      <c r="Q2624">
        <f t="shared" si="130"/>
        <v>6</v>
      </c>
      <c r="R2624" t="str">
        <f t="shared" si="128"/>
        <v>首页推荐-微详情</v>
      </c>
      <c r="S2624" t="s">
        <v>629</v>
      </c>
      <c r="T2624" s="546" t="s">
        <v>804</v>
      </c>
    </row>
    <row r="2625" spans="1:20" x14ac:dyDescent="0.3">
      <c r="A2625" t="s">
        <v>627</v>
      </c>
      <c r="B2625" s="16">
        <v>45813</v>
      </c>
      <c r="C2625" t="s">
        <v>3</v>
      </c>
      <c r="D2625" t="s">
        <v>127</v>
      </c>
      <c r="E2625" t="s">
        <v>175</v>
      </c>
      <c r="F2625">
        <v>706</v>
      </c>
      <c r="G2625">
        <v>645</v>
      </c>
      <c r="H2625">
        <v>1</v>
      </c>
      <c r="I2625">
        <v>1</v>
      </c>
      <c r="J2625">
        <v>0</v>
      </c>
      <c r="K2625">
        <v>0</v>
      </c>
      <c r="L2625">
        <v>0</v>
      </c>
      <c r="M2625">
        <v>0</v>
      </c>
      <c r="N2625">
        <v>1</v>
      </c>
      <c r="O2625">
        <v>26</v>
      </c>
      <c r="P2625">
        <f t="shared" si="129"/>
        <v>2025</v>
      </c>
      <c r="Q2625">
        <f t="shared" si="130"/>
        <v>6</v>
      </c>
      <c r="R2625" t="str">
        <f t="shared" si="128"/>
        <v>首页推荐-直播</v>
      </c>
      <c r="S2625" t="s">
        <v>629</v>
      </c>
      <c r="T2625" s="546" t="s">
        <v>804</v>
      </c>
    </row>
    <row r="2626" spans="1:20" x14ac:dyDescent="0.3">
      <c r="A2626" t="s">
        <v>627</v>
      </c>
      <c r="B2626" s="16">
        <v>45813</v>
      </c>
      <c r="C2626" t="s">
        <v>3</v>
      </c>
      <c r="D2626" t="s">
        <v>127</v>
      </c>
      <c r="E2626" t="s">
        <v>176</v>
      </c>
      <c r="F2626">
        <v>71</v>
      </c>
      <c r="G2626">
        <v>27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2</v>
      </c>
      <c r="O2626">
        <v>10</v>
      </c>
      <c r="P2626">
        <f t="shared" si="129"/>
        <v>2025</v>
      </c>
      <c r="Q2626">
        <f t="shared" si="130"/>
        <v>6</v>
      </c>
      <c r="R2626" t="str">
        <f t="shared" si="128"/>
        <v>首页推荐-短视频</v>
      </c>
      <c r="S2626" t="s">
        <v>629</v>
      </c>
      <c r="T2626" s="546" t="s">
        <v>804</v>
      </c>
    </row>
    <row r="2627" spans="1:20" x14ac:dyDescent="0.3">
      <c r="A2627" t="s">
        <v>627</v>
      </c>
      <c r="B2627" s="16">
        <v>45813</v>
      </c>
      <c r="C2627" t="s">
        <v>3</v>
      </c>
      <c r="D2627" t="s">
        <v>128</v>
      </c>
      <c r="E2627" t="s">
        <v>177</v>
      </c>
      <c r="F2627">
        <v>727</v>
      </c>
      <c r="G2627">
        <v>528</v>
      </c>
      <c r="H2627">
        <v>31</v>
      </c>
      <c r="I2627">
        <v>4</v>
      </c>
      <c r="J2627" s="15">
        <v>27070</v>
      </c>
      <c r="K2627">
        <v>9</v>
      </c>
      <c r="L2627" s="15">
        <v>19775</v>
      </c>
      <c r="M2627">
        <v>8</v>
      </c>
      <c r="N2627">
        <v>370</v>
      </c>
      <c r="O2627">
        <v>499</v>
      </c>
      <c r="P2627">
        <f t="shared" si="129"/>
        <v>2025</v>
      </c>
      <c r="Q2627">
        <f t="shared" si="130"/>
        <v>6</v>
      </c>
      <c r="R2627" t="str">
        <f t="shared" si="128"/>
        <v>手淘搜索-商品及其他</v>
      </c>
      <c r="S2627" t="s">
        <v>629</v>
      </c>
      <c r="T2627" s="546" t="s">
        <v>804</v>
      </c>
    </row>
    <row r="2628" spans="1:20" x14ac:dyDescent="0.3">
      <c r="A2628" t="s">
        <v>627</v>
      </c>
      <c r="B2628" s="16">
        <v>45813</v>
      </c>
      <c r="C2628" t="s">
        <v>3</v>
      </c>
      <c r="D2628" t="s">
        <v>128</v>
      </c>
      <c r="E2628" t="s">
        <v>178</v>
      </c>
      <c r="F2628">
        <v>9</v>
      </c>
      <c r="G2628">
        <v>6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2</v>
      </c>
      <c r="O2628">
        <v>5</v>
      </c>
      <c r="P2628">
        <f t="shared" si="129"/>
        <v>2025</v>
      </c>
      <c r="Q2628">
        <f t="shared" si="130"/>
        <v>6</v>
      </c>
      <c r="R2628" t="str">
        <f t="shared" si="128"/>
        <v>手淘搜索-直播</v>
      </c>
      <c r="S2628" t="s">
        <v>629</v>
      </c>
      <c r="T2628" s="546" t="s">
        <v>804</v>
      </c>
    </row>
    <row r="2629" spans="1:20" x14ac:dyDescent="0.3">
      <c r="A2629" t="s">
        <v>627</v>
      </c>
      <c r="B2629" s="16">
        <v>45813</v>
      </c>
      <c r="C2629" t="s">
        <v>3</v>
      </c>
      <c r="D2629" t="s">
        <v>128</v>
      </c>
      <c r="E2629" t="s">
        <v>179</v>
      </c>
      <c r="F2629">
        <v>12</v>
      </c>
      <c r="G2629">
        <v>5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1</v>
      </c>
      <c r="O2629">
        <v>12</v>
      </c>
      <c r="P2629">
        <f t="shared" si="129"/>
        <v>2025</v>
      </c>
      <c r="Q2629">
        <f t="shared" si="130"/>
        <v>6</v>
      </c>
      <c r="R2629" t="str">
        <f t="shared" si="128"/>
        <v>手淘搜索-短视频</v>
      </c>
      <c r="S2629" t="s">
        <v>629</v>
      </c>
      <c r="T2629" s="546" t="s">
        <v>804</v>
      </c>
    </row>
    <row r="2630" spans="1:20" x14ac:dyDescent="0.3">
      <c r="A2630" t="s">
        <v>627</v>
      </c>
      <c r="B2630" s="16">
        <v>45813</v>
      </c>
      <c r="C2630" t="s">
        <v>3</v>
      </c>
      <c r="D2630" t="s">
        <v>143</v>
      </c>
      <c r="E2630" t="s">
        <v>180</v>
      </c>
      <c r="F2630">
        <v>7</v>
      </c>
      <c r="G2630">
        <v>5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1</v>
      </c>
      <c r="O2630">
        <v>6</v>
      </c>
      <c r="P2630">
        <f t="shared" si="129"/>
        <v>2025</v>
      </c>
      <c r="Q2630">
        <f t="shared" si="130"/>
        <v>6</v>
      </c>
      <c r="R2630" t="str">
        <f t="shared" si="128"/>
        <v>淘特其他渠道</v>
      </c>
      <c r="S2630" t="s">
        <v>629</v>
      </c>
      <c r="T2630" s="546" t="s">
        <v>804</v>
      </c>
    </row>
    <row r="2631" spans="1:20" x14ac:dyDescent="0.3">
      <c r="A2631" t="s">
        <v>627</v>
      </c>
      <c r="B2631" s="16">
        <v>45813</v>
      </c>
      <c r="C2631" t="s">
        <v>3</v>
      </c>
      <c r="D2631" t="s">
        <v>143</v>
      </c>
      <c r="E2631" t="s">
        <v>181</v>
      </c>
      <c r="F2631">
        <v>17</v>
      </c>
      <c r="G2631">
        <v>17</v>
      </c>
      <c r="H2631">
        <v>1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17</v>
      </c>
      <c r="P2631">
        <f t="shared" si="129"/>
        <v>2025</v>
      </c>
      <c r="Q2631">
        <f t="shared" si="130"/>
        <v>6</v>
      </c>
      <c r="R2631" t="str">
        <f t="shared" ref="R2631:R2694" si="131">E2631</f>
        <v>淘特搜索</v>
      </c>
      <c r="S2631" t="s">
        <v>629</v>
      </c>
      <c r="T2631" s="546" t="s">
        <v>804</v>
      </c>
    </row>
    <row r="2632" spans="1:20" x14ac:dyDescent="0.3">
      <c r="A2632" t="s">
        <v>627</v>
      </c>
      <c r="B2632" s="16">
        <v>45813</v>
      </c>
      <c r="C2632" t="s">
        <v>2</v>
      </c>
      <c r="D2632" t="s">
        <v>55</v>
      </c>
      <c r="E2632" t="s">
        <v>54</v>
      </c>
      <c r="F2632" s="15">
        <v>1012</v>
      </c>
      <c r="G2632">
        <v>782</v>
      </c>
      <c r="H2632">
        <v>14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23</v>
      </c>
      <c r="O2632">
        <v>196</v>
      </c>
      <c r="P2632">
        <f t="shared" si="129"/>
        <v>2025</v>
      </c>
      <c r="Q2632">
        <f t="shared" si="130"/>
        <v>6</v>
      </c>
      <c r="R2632" t="str">
        <f t="shared" si="131"/>
        <v>超级直播</v>
      </c>
      <c r="S2632" t="s">
        <v>629</v>
      </c>
      <c r="T2632" s="546" t="s">
        <v>804</v>
      </c>
    </row>
    <row r="2633" spans="1:20" x14ac:dyDescent="0.3">
      <c r="A2633" t="s">
        <v>627</v>
      </c>
      <c r="B2633" s="16">
        <v>45813</v>
      </c>
      <c r="C2633" t="s">
        <v>2</v>
      </c>
      <c r="D2633" t="s">
        <v>55</v>
      </c>
      <c r="E2633" t="s">
        <v>56</v>
      </c>
      <c r="F2633">
        <v>2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2</v>
      </c>
      <c r="P2633">
        <f t="shared" si="129"/>
        <v>2025</v>
      </c>
      <c r="Q2633">
        <f t="shared" si="130"/>
        <v>6</v>
      </c>
      <c r="R2633" t="str">
        <f t="shared" si="131"/>
        <v>超级短视频</v>
      </c>
      <c r="S2633" t="s">
        <v>629</v>
      </c>
      <c r="T2633" s="546" t="s">
        <v>804</v>
      </c>
    </row>
    <row r="2634" spans="1:20" x14ac:dyDescent="0.3">
      <c r="A2634" t="s">
        <v>627</v>
      </c>
      <c r="B2634" s="16">
        <v>45813</v>
      </c>
      <c r="C2634" t="s">
        <v>2</v>
      </c>
      <c r="D2634" t="s">
        <v>57</v>
      </c>
      <c r="E2634" t="s">
        <v>64</v>
      </c>
      <c r="F2634" s="15">
        <v>9675</v>
      </c>
      <c r="G2634" s="15">
        <v>5412</v>
      </c>
      <c r="H2634">
        <v>38</v>
      </c>
      <c r="I2634">
        <v>39</v>
      </c>
      <c r="J2634" s="17">
        <v>19965.2</v>
      </c>
      <c r="K2634">
        <v>6</v>
      </c>
      <c r="L2634" s="17">
        <v>6285.2</v>
      </c>
      <c r="M2634">
        <v>3</v>
      </c>
      <c r="N2634">
        <v>201</v>
      </c>
      <c r="O2634" s="15">
        <v>9675</v>
      </c>
      <c r="P2634">
        <f t="shared" si="129"/>
        <v>2025</v>
      </c>
      <c r="Q2634">
        <f t="shared" si="130"/>
        <v>6</v>
      </c>
      <c r="R2634" t="str">
        <f t="shared" si="131"/>
        <v>引力魔方</v>
      </c>
      <c r="S2634" t="s">
        <v>629</v>
      </c>
      <c r="T2634" s="546" t="s">
        <v>804</v>
      </c>
    </row>
    <row r="2635" spans="1:20" x14ac:dyDescent="0.3">
      <c r="A2635" t="s">
        <v>627</v>
      </c>
      <c r="B2635" s="16">
        <v>45813</v>
      </c>
      <c r="C2635" t="s">
        <v>2</v>
      </c>
      <c r="D2635" t="s">
        <v>57</v>
      </c>
      <c r="E2635" t="s">
        <v>65</v>
      </c>
      <c r="F2635" s="15">
        <v>3923</v>
      </c>
      <c r="G2635" s="15">
        <v>3370</v>
      </c>
      <c r="H2635">
        <v>48</v>
      </c>
      <c r="I2635">
        <v>16</v>
      </c>
      <c r="J2635" s="15">
        <v>28472</v>
      </c>
      <c r="K2635">
        <v>10</v>
      </c>
      <c r="L2635" s="15">
        <v>26792</v>
      </c>
      <c r="M2635">
        <v>9</v>
      </c>
      <c r="N2635">
        <v>215</v>
      </c>
      <c r="O2635" s="15">
        <v>3892</v>
      </c>
      <c r="P2635">
        <f t="shared" si="129"/>
        <v>2025</v>
      </c>
      <c r="Q2635">
        <f t="shared" si="130"/>
        <v>6</v>
      </c>
      <c r="R2635" t="str">
        <f t="shared" si="131"/>
        <v>直通车</v>
      </c>
      <c r="S2635" t="s">
        <v>629</v>
      </c>
      <c r="T2635" s="546" t="s">
        <v>804</v>
      </c>
    </row>
    <row r="2636" spans="1:20" x14ac:dyDescent="0.3">
      <c r="A2636" t="s">
        <v>627</v>
      </c>
      <c r="B2636" s="16">
        <v>45813</v>
      </c>
      <c r="C2636" t="s">
        <v>2</v>
      </c>
      <c r="D2636" t="s">
        <v>57</v>
      </c>
      <c r="E2636" t="s">
        <v>63</v>
      </c>
      <c r="F2636" s="15">
        <v>3691</v>
      </c>
      <c r="G2636" s="15">
        <v>1978</v>
      </c>
      <c r="H2636">
        <v>154</v>
      </c>
      <c r="I2636">
        <v>149</v>
      </c>
      <c r="J2636" s="17">
        <v>90166.24</v>
      </c>
      <c r="K2636">
        <v>17</v>
      </c>
      <c r="L2636" s="17">
        <v>64251.24</v>
      </c>
      <c r="M2636">
        <v>12</v>
      </c>
      <c r="N2636">
        <v>605</v>
      </c>
      <c r="O2636" s="15">
        <v>3482</v>
      </c>
      <c r="P2636">
        <f t="shared" si="129"/>
        <v>2025</v>
      </c>
      <c r="Q2636">
        <f t="shared" si="130"/>
        <v>6</v>
      </c>
      <c r="R2636" t="str">
        <f t="shared" si="131"/>
        <v>万相台</v>
      </c>
      <c r="S2636" t="s">
        <v>629</v>
      </c>
      <c r="T2636" s="546" t="s">
        <v>804</v>
      </c>
    </row>
    <row r="2637" spans="1:20" x14ac:dyDescent="0.3">
      <c r="A2637" t="s">
        <v>627</v>
      </c>
      <c r="B2637" s="16">
        <v>45813</v>
      </c>
      <c r="C2637" t="s">
        <v>2</v>
      </c>
      <c r="D2637" t="s">
        <v>4</v>
      </c>
      <c r="E2637" t="s">
        <v>41</v>
      </c>
      <c r="F2637">
        <v>1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f t="shared" si="129"/>
        <v>2025</v>
      </c>
      <c r="Q2637">
        <f t="shared" si="130"/>
        <v>6</v>
      </c>
      <c r="R2637" t="str">
        <f t="shared" si="131"/>
        <v>流量宝</v>
      </c>
      <c r="S2637" t="s">
        <v>629</v>
      </c>
      <c r="T2637" s="546" t="s">
        <v>804</v>
      </c>
    </row>
    <row r="2638" spans="1:20" x14ac:dyDescent="0.3">
      <c r="A2638" t="s">
        <v>627</v>
      </c>
      <c r="B2638" s="16">
        <v>45813</v>
      </c>
      <c r="C2638" t="s">
        <v>2</v>
      </c>
      <c r="D2638" t="s">
        <v>4</v>
      </c>
      <c r="E2638" t="s">
        <v>43</v>
      </c>
      <c r="F2638">
        <v>328</v>
      </c>
      <c r="G2638">
        <v>109</v>
      </c>
      <c r="H2638">
        <v>4</v>
      </c>
      <c r="I2638">
        <v>0</v>
      </c>
      <c r="J2638" s="17">
        <v>8990.19</v>
      </c>
      <c r="K2638">
        <v>2</v>
      </c>
      <c r="L2638" s="17">
        <v>8990.19</v>
      </c>
      <c r="M2638">
        <v>2</v>
      </c>
      <c r="N2638">
        <v>3</v>
      </c>
      <c r="O2638">
        <v>323</v>
      </c>
      <c r="P2638">
        <f t="shared" si="129"/>
        <v>2025</v>
      </c>
      <c r="Q2638">
        <f t="shared" si="130"/>
        <v>6</v>
      </c>
      <c r="R2638" t="str">
        <f t="shared" si="131"/>
        <v>淘宝客</v>
      </c>
      <c r="S2638" t="s">
        <v>629</v>
      </c>
      <c r="T2638" s="546" t="s">
        <v>804</v>
      </c>
    </row>
    <row r="2639" spans="1:20" x14ac:dyDescent="0.3">
      <c r="A2639" t="s">
        <v>627</v>
      </c>
      <c r="B2639" s="16">
        <v>45814</v>
      </c>
      <c r="C2639" t="s">
        <v>3</v>
      </c>
      <c r="D2639" t="s">
        <v>114</v>
      </c>
      <c r="E2639" t="s">
        <v>159</v>
      </c>
      <c r="F2639">
        <v>149</v>
      </c>
      <c r="G2639">
        <v>91</v>
      </c>
      <c r="H2639">
        <v>3</v>
      </c>
      <c r="I2639">
        <v>2</v>
      </c>
      <c r="J2639">
        <v>0</v>
      </c>
      <c r="K2639">
        <v>0</v>
      </c>
      <c r="L2639">
        <v>0</v>
      </c>
      <c r="M2639">
        <v>0</v>
      </c>
      <c r="N2639">
        <v>10</v>
      </c>
      <c r="O2639">
        <v>146</v>
      </c>
      <c r="P2639">
        <f t="shared" si="129"/>
        <v>2025</v>
      </c>
      <c r="Q2639">
        <f t="shared" si="130"/>
        <v>6</v>
      </c>
      <c r="R2639" t="str">
        <f t="shared" si="131"/>
        <v>主会场</v>
      </c>
      <c r="S2639" t="s">
        <v>629</v>
      </c>
      <c r="T2639" s="546" t="s">
        <v>804</v>
      </c>
    </row>
    <row r="2640" spans="1:20" x14ac:dyDescent="0.3">
      <c r="A2640" t="s">
        <v>627</v>
      </c>
      <c r="B2640" s="16">
        <v>45814</v>
      </c>
      <c r="C2640" t="s">
        <v>3</v>
      </c>
      <c r="D2640" t="s">
        <v>123</v>
      </c>
      <c r="E2640" t="s">
        <v>169</v>
      </c>
      <c r="F2640">
        <v>163</v>
      </c>
      <c r="G2640">
        <v>93</v>
      </c>
      <c r="H2640">
        <v>3</v>
      </c>
      <c r="I2640">
        <v>1</v>
      </c>
      <c r="J2640" s="15">
        <v>1990</v>
      </c>
      <c r="K2640">
        <v>1</v>
      </c>
      <c r="L2640" s="15">
        <v>1990</v>
      </c>
      <c r="M2640">
        <v>1</v>
      </c>
      <c r="N2640">
        <v>33</v>
      </c>
      <c r="O2640">
        <v>158</v>
      </c>
      <c r="P2640">
        <f t="shared" si="129"/>
        <v>2025</v>
      </c>
      <c r="Q2640">
        <f t="shared" si="130"/>
        <v>6</v>
      </c>
      <c r="R2640" t="str">
        <f t="shared" si="131"/>
        <v>商品详情页头图推荐</v>
      </c>
      <c r="S2640" t="s">
        <v>629</v>
      </c>
      <c r="T2640" s="546" t="s">
        <v>804</v>
      </c>
    </row>
    <row r="2641" spans="1:20" x14ac:dyDescent="0.3">
      <c r="A2641" t="s">
        <v>627</v>
      </c>
      <c r="B2641" s="16">
        <v>45814</v>
      </c>
      <c r="C2641" t="s">
        <v>3</v>
      </c>
      <c r="D2641" t="s">
        <v>123</v>
      </c>
      <c r="E2641" t="s">
        <v>170</v>
      </c>
      <c r="F2641">
        <v>16</v>
      </c>
      <c r="G2641">
        <v>11</v>
      </c>
      <c r="H2641">
        <v>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16</v>
      </c>
      <c r="O2641">
        <v>6</v>
      </c>
      <c r="P2641">
        <f t="shared" si="129"/>
        <v>2025</v>
      </c>
      <c r="Q2641">
        <f t="shared" si="130"/>
        <v>6</v>
      </c>
      <c r="R2641" t="str">
        <f t="shared" si="131"/>
        <v>店铺超链</v>
      </c>
      <c r="S2641" t="s">
        <v>629</v>
      </c>
      <c r="T2641" s="546" t="s">
        <v>804</v>
      </c>
    </row>
    <row r="2642" spans="1:20" x14ac:dyDescent="0.3">
      <c r="A2642" t="s">
        <v>627</v>
      </c>
      <c r="B2642" s="16">
        <v>45814</v>
      </c>
      <c r="C2642" t="s">
        <v>3</v>
      </c>
      <c r="D2642" t="s">
        <v>127</v>
      </c>
      <c r="E2642" t="s">
        <v>171</v>
      </c>
      <c r="F2642">
        <v>233</v>
      </c>
      <c r="G2642">
        <v>132</v>
      </c>
      <c r="H2642">
        <v>3</v>
      </c>
      <c r="I2642">
        <v>1</v>
      </c>
      <c r="J2642" s="15">
        <v>6580</v>
      </c>
      <c r="K2642">
        <v>3</v>
      </c>
      <c r="L2642" s="15">
        <v>6580</v>
      </c>
      <c r="M2642">
        <v>3</v>
      </c>
      <c r="N2642">
        <v>35</v>
      </c>
      <c r="O2642">
        <v>209</v>
      </c>
      <c r="P2642">
        <f t="shared" si="129"/>
        <v>2025</v>
      </c>
      <c r="Q2642">
        <f t="shared" si="130"/>
        <v>6</v>
      </c>
      <c r="R2642" t="str">
        <f t="shared" si="131"/>
        <v>其他猜你喜欢</v>
      </c>
      <c r="S2642" t="s">
        <v>629</v>
      </c>
      <c r="T2642" s="546" t="s">
        <v>804</v>
      </c>
    </row>
    <row r="2643" spans="1:20" x14ac:dyDescent="0.3">
      <c r="A2643" t="s">
        <v>627</v>
      </c>
      <c r="B2643" s="16">
        <v>45814</v>
      </c>
      <c r="C2643" t="s">
        <v>3</v>
      </c>
      <c r="D2643" t="s">
        <v>127</v>
      </c>
      <c r="E2643" t="s">
        <v>172</v>
      </c>
      <c r="F2643">
        <v>9</v>
      </c>
      <c r="G2643">
        <v>4</v>
      </c>
      <c r="H2643">
        <v>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1</v>
      </c>
      <c r="O2643">
        <v>6</v>
      </c>
      <c r="P2643">
        <f t="shared" si="129"/>
        <v>2025</v>
      </c>
      <c r="Q2643">
        <f t="shared" si="130"/>
        <v>6</v>
      </c>
      <c r="R2643" t="str">
        <f t="shared" si="131"/>
        <v>购中推荐</v>
      </c>
      <c r="S2643" t="s">
        <v>629</v>
      </c>
      <c r="T2643" s="546" t="s">
        <v>804</v>
      </c>
    </row>
    <row r="2644" spans="1:20" x14ac:dyDescent="0.3">
      <c r="A2644" t="s">
        <v>627</v>
      </c>
      <c r="B2644" s="16">
        <v>45814</v>
      </c>
      <c r="C2644" t="s">
        <v>3</v>
      </c>
      <c r="D2644" t="s">
        <v>127</v>
      </c>
      <c r="E2644" t="s">
        <v>173</v>
      </c>
      <c r="F2644">
        <v>96</v>
      </c>
      <c r="G2644">
        <v>77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5</v>
      </c>
      <c r="O2644">
        <v>86</v>
      </c>
      <c r="P2644">
        <f t="shared" si="129"/>
        <v>2025</v>
      </c>
      <c r="Q2644">
        <f t="shared" si="130"/>
        <v>6</v>
      </c>
      <c r="R2644" t="str">
        <f t="shared" si="131"/>
        <v>购后推荐</v>
      </c>
      <c r="S2644" t="s">
        <v>629</v>
      </c>
      <c r="T2644" s="546" t="s">
        <v>804</v>
      </c>
    </row>
    <row r="2645" spans="1:20" x14ac:dyDescent="0.3">
      <c r="A2645" t="s">
        <v>627</v>
      </c>
      <c r="B2645" s="16">
        <v>45814</v>
      </c>
      <c r="C2645" t="s">
        <v>3</v>
      </c>
      <c r="D2645" t="s">
        <v>127</v>
      </c>
      <c r="E2645" t="s">
        <v>174</v>
      </c>
      <c r="F2645" s="15">
        <v>5114</v>
      </c>
      <c r="G2645" s="15">
        <v>4311</v>
      </c>
      <c r="H2645">
        <v>47</v>
      </c>
      <c r="I2645">
        <v>24</v>
      </c>
      <c r="J2645" s="15">
        <v>61363</v>
      </c>
      <c r="K2645">
        <v>7</v>
      </c>
      <c r="L2645" s="15">
        <v>17218</v>
      </c>
      <c r="M2645">
        <v>4</v>
      </c>
      <c r="N2645">
        <v>320</v>
      </c>
      <c r="O2645" s="15">
        <v>5114</v>
      </c>
      <c r="P2645">
        <f t="shared" ref="P2645:P2708" si="132">YEAR(B2645)</f>
        <v>2025</v>
      </c>
      <c r="Q2645">
        <f t="shared" ref="Q2645:Q2708" si="133">MONTH(B2645)</f>
        <v>6</v>
      </c>
      <c r="R2645" t="str">
        <f t="shared" si="131"/>
        <v>首页推荐-微详情</v>
      </c>
      <c r="S2645" t="s">
        <v>629</v>
      </c>
      <c r="T2645" s="546" t="s">
        <v>804</v>
      </c>
    </row>
    <row r="2646" spans="1:20" x14ac:dyDescent="0.3">
      <c r="A2646" t="s">
        <v>627</v>
      </c>
      <c r="B2646" s="16">
        <v>45814</v>
      </c>
      <c r="C2646" t="s">
        <v>3</v>
      </c>
      <c r="D2646" t="s">
        <v>127</v>
      </c>
      <c r="E2646" t="s">
        <v>175</v>
      </c>
      <c r="F2646">
        <v>383</v>
      </c>
      <c r="G2646">
        <v>330</v>
      </c>
      <c r="H2646">
        <v>2</v>
      </c>
      <c r="I2646">
        <v>2</v>
      </c>
      <c r="J2646">
        <v>0</v>
      </c>
      <c r="K2646">
        <v>0</v>
      </c>
      <c r="L2646">
        <v>0</v>
      </c>
      <c r="M2646">
        <v>0</v>
      </c>
      <c r="N2646">
        <v>4</v>
      </c>
      <c r="O2646">
        <v>25</v>
      </c>
      <c r="P2646">
        <f t="shared" si="132"/>
        <v>2025</v>
      </c>
      <c r="Q2646">
        <f t="shared" si="133"/>
        <v>6</v>
      </c>
      <c r="R2646" t="str">
        <f t="shared" si="131"/>
        <v>首页推荐-直播</v>
      </c>
      <c r="S2646" t="s">
        <v>629</v>
      </c>
      <c r="T2646" s="546" t="s">
        <v>804</v>
      </c>
    </row>
    <row r="2647" spans="1:20" x14ac:dyDescent="0.3">
      <c r="A2647" t="s">
        <v>627</v>
      </c>
      <c r="B2647" s="16">
        <v>45814</v>
      </c>
      <c r="C2647" t="s">
        <v>3</v>
      </c>
      <c r="D2647" t="s">
        <v>127</v>
      </c>
      <c r="E2647" t="s">
        <v>176</v>
      </c>
      <c r="F2647">
        <v>170</v>
      </c>
      <c r="G2647">
        <v>98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2</v>
      </c>
      <c r="O2647">
        <v>27</v>
      </c>
      <c r="P2647">
        <f t="shared" si="132"/>
        <v>2025</v>
      </c>
      <c r="Q2647">
        <f t="shared" si="133"/>
        <v>6</v>
      </c>
      <c r="R2647" t="str">
        <f t="shared" si="131"/>
        <v>首页推荐-短视频</v>
      </c>
      <c r="S2647" t="s">
        <v>629</v>
      </c>
      <c r="T2647" s="546" t="s">
        <v>804</v>
      </c>
    </row>
    <row r="2648" spans="1:20" x14ac:dyDescent="0.3">
      <c r="A2648" t="s">
        <v>627</v>
      </c>
      <c r="B2648" s="16">
        <v>45814</v>
      </c>
      <c r="C2648" t="s">
        <v>3</v>
      </c>
      <c r="D2648" t="s">
        <v>128</v>
      </c>
      <c r="E2648" t="s">
        <v>177</v>
      </c>
      <c r="F2648">
        <v>674</v>
      </c>
      <c r="G2648">
        <v>487</v>
      </c>
      <c r="H2648">
        <v>21</v>
      </c>
      <c r="I2648">
        <v>5</v>
      </c>
      <c r="J2648" s="15">
        <v>11095</v>
      </c>
      <c r="K2648">
        <v>3</v>
      </c>
      <c r="L2648" s="15">
        <v>9405</v>
      </c>
      <c r="M2648">
        <v>3</v>
      </c>
      <c r="N2648">
        <v>278</v>
      </c>
      <c r="O2648">
        <v>493</v>
      </c>
      <c r="P2648">
        <f t="shared" si="132"/>
        <v>2025</v>
      </c>
      <c r="Q2648">
        <f t="shared" si="133"/>
        <v>6</v>
      </c>
      <c r="R2648" t="str">
        <f t="shared" si="131"/>
        <v>手淘搜索-商品及其他</v>
      </c>
      <c r="S2648" t="s">
        <v>629</v>
      </c>
      <c r="T2648" s="546" t="s">
        <v>804</v>
      </c>
    </row>
    <row r="2649" spans="1:20" x14ac:dyDescent="0.3">
      <c r="A2649" t="s">
        <v>627</v>
      </c>
      <c r="B2649" s="16">
        <v>45814</v>
      </c>
      <c r="C2649" t="s">
        <v>3</v>
      </c>
      <c r="D2649" t="s">
        <v>128</v>
      </c>
      <c r="E2649" t="s">
        <v>178</v>
      </c>
      <c r="F2649">
        <v>13</v>
      </c>
      <c r="G2649">
        <v>10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1</v>
      </c>
      <c r="O2649">
        <v>9</v>
      </c>
      <c r="P2649">
        <f t="shared" si="132"/>
        <v>2025</v>
      </c>
      <c r="Q2649">
        <f t="shared" si="133"/>
        <v>6</v>
      </c>
      <c r="R2649" t="str">
        <f t="shared" si="131"/>
        <v>手淘搜索-直播</v>
      </c>
      <c r="S2649" t="s">
        <v>629</v>
      </c>
      <c r="T2649" s="546" t="s">
        <v>804</v>
      </c>
    </row>
    <row r="2650" spans="1:20" x14ac:dyDescent="0.3">
      <c r="A2650" t="s">
        <v>627</v>
      </c>
      <c r="B2650" s="16">
        <v>45814</v>
      </c>
      <c r="C2650" t="s">
        <v>3</v>
      </c>
      <c r="D2650" t="s">
        <v>128</v>
      </c>
      <c r="E2650" t="s">
        <v>179</v>
      </c>
      <c r="F2650">
        <v>16</v>
      </c>
      <c r="G2650">
        <v>10</v>
      </c>
      <c r="H2650">
        <v>1</v>
      </c>
      <c r="I2650">
        <v>1</v>
      </c>
      <c r="J2650">
        <v>0</v>
      </c>
      <c r="K2650">
        <v>0</v>
      </c>
      <c r="L2650">
        <v>0</v>
      </c>
      <c r="M2650">
        <v>0</v>
      </c>
      <c r="N2650">
        <v>2</v>
      </c>
      <c r="O2650">
        <v>15</v>
      </c>
      <c r="P2650">
        <f t="shared" si="132"/>
        <v>2025</v>
      </c>
      <c r="Q2650">
        <f t="shared" si="133"/>
        <v>6</v>
      </c>
      <c r="R2650" t="str">
        <f t="shared" si="131"/>
        <v>手淘搜索-短视频</v>
      </c>
      <c r="S2650" t="s">
        <v>629</v>
      </c>
      <c r="T2650" s="546" t="s">
        <v>804</v>
      </c>
    </row>
    <row r="2651" spans="1:20" x14ac:dyDescent="0.3">
      <c r="A2651" t="s">
        <v>627</v>
      </c>
      <c r="B2651" s="16">
        <v>45814</v>
      </c>
      <c r="C2651" t="s">
        <v>3</v>
      </c>
      <c r="D2651" t="s">
        <v>143</v>
      </c>
      <c r="E2651" t="s">
        <v>180</v>
      </c>
      <c r="F2651">
        <v>7</v>
      </c>
      <c r="G2651">
        <v>3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7</v>
      </c>
      <c r="P2651">
        <f t="shared" si="132"/>
        <v>2025</v>
      </c>
      <c r="Q2651">
        <f t="shared" si="133"/>
        <v>6</v>
      </c>
      <c r="R2651" t="str">
        <f t="shared" si="131"/>
        <v>淘特其他渠道</v>
      </c>
      <c r="S2651" t="s">
        <v>629</v>
      </c>
      <c r="T2651" s="546" t="s">
        <v>804</v>
      </c>
    </row>
    <row r="2652" spans="1:20" x14ac:dyDescent="0.3">
      <c r="A2652" t="s">
        <v>627</v>
      </c>
      <c r="B2652" s="16">
        <v>45814</v>
      </c>
      <c r="C2652" t="s">
        <v>3</v>
      </c>
      <c r="D2652" t="s">
        <v>143</v>
      </c>
      <c r="E2652" t="s">
        <v>181</v>
      </c>
      <c r="F2652">
        <v>19</v>
      </c>
      <c r="G2652">
        <v>18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19</v>
      </c>
      <c r="P2652">
        <f t="shared" si="132"/>
        <v>2025</v>
      </c>
      <c r="Q2652">
        <f t="shared" si="133"/>
        <v>6</v>
      </c>
      <c r="R2652" t="str">
        <f t="shared" si="131"/>
        <v>淘特搜索</v>
      </c>
      <c r="S2652" t="s">
        <v>629</v>
      </c>
      <c r="T2652" s="546" t="s">
        <v>804</v>
      </c>
    </row>
    <row r="2653" spans="1:20" x14ac:dyDescent="0.3">
      <c r="A2653" t="s">
        <v>627</v>
      </c>
      <c r="B2653" s="16">
        <v>45814</v>
      </c>
      <c r="C2653" t="s">
        <v>2</v>
      </c>
      <c r="D2653" t="s">
        <v>55</v>
      </c>
      <c r="E2653" t="s">
        <v>54</v>
      </c>
      <c r="F2653">
        <v>905</v>
      </c>
      <c r="G2653">
        <v>666</v>
      </c>
      <c r="H2653">
        <v>15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24</v>
      </c>
      <c r="O2653">
        <v>172</v>
      </c>
      <c r="P2653">
        <f t="shared" si="132"/>
        <v>2025</v>
      </c>
      <c r="Q2653">
        <f t="shared" si="133"/>
        <v>6</v>
      </c>
      <c r="R2653" t="str">
        <f t="shared" si="131"/>
        <v>超级直播</v>
      </c>
      <c r="S2653" t="s">
        <v>629</v>
      </c>
      <c r="T2653" s="546" t="s">
        <v>804</v>
      </c>
    </row>
    <row r="2654" spans="1:20" x14ac:dyDescent="0.3">
      <c r="A2654" t="s">
        <v>627</v>
      </c>
      <c r="B2654" s="16">
        <v>45814</v>
      </c>
      <c r="C2654" t="s">
        <v>2</v>
      </c>
      <c r="D2654" t="s">
        <v>57</v>
      </c>
      <c r="E2654" t="s">
        <v>64</v>
      </c>
      <c r="F2654" s="15">
        <v>9437</v>
      </c>
      <c r="G2654" s="15">
        <v>5329</v>
      </c>
      <c r="H2654">
        <v>47</v>
      </c>
      <c r="I2654">
        <v>26</v>
      </c>
      <c r="J2654" s="15">
        <v>16300</v>
      </c>
      <c r="K2654">
        <v>5</v>
      </c>
      <c r="L2654" s="15">
        <v>13925</v>
      </c>
      <c r="M2654">
        <v>4</v>
      </c>
      <c r="N2654">
        <v>193</v>
      </c>
      <c r="O2654" s="15">
        <v>9437</v>
      </c>
      <c r="P2654">
        <f t="shared" si="132"/>
        <v>2025</v>
      </c>
      <c r="Q2654">
        <f t="shared" si="133"/>
        <v>6</v>
      </c>
      <c r="R2654" t="str">
        <f t="shared" si="131"/>
        <v>引力魔方</v>
      </c>
      <c r="S2654" t="s">
        <v>629</v>
      </c>
      <c r="T2654" s="546" t="s">
        <v>804</v>
      </c>
    </row>
    <row r="2655" spans="1:20" x14ac:dyDescent="0.3">
      <c r="A2655" t="s">
        <v>627</v>
      </c>
      <c r="B2655" s="16">
        <v>45814</v>
      </c>
      <c r="C2655" t="s">
        <v>2</v>
      </c>
      <c r="D2655" t="s">
        <v>57</v>
      </c>
      <c r="E2655" t="s">
        <v>65</v>
      </c>
      <c r="F2655" s="15">
        <v>3256</v>
      </c>
      <c r="G2655" s="15">
        <v>2792</v>
      </c>
      <c r="H2655">
        <v>38</v>
      </c>
      <c r="I2655">
        <v>17</v>
      </c>
      <c r="J2655" s="15">
        <v>42509</v>
      </c>
      <c r="K2655">
        <v>7</v>
      </c>
      <c r="L2655" s="15">
        <v>9380</v>
      </c>
      <c r="M2655">
        <v>3</v>
      </c>
      <c r="N2655">
        <v>163</v>
      </c>
      <c r="O2655" s="15">
        <v>3232</v>
      </c>
      <c r="P2655">
        <f t="shared" si="132"/>
        <v>2025</v>
      </c>
      <c r="Q2655">
        <f t="shared" si="133"/>
        <v>6</v>
      </c>
      <c r="R2655" t="str">
        <f t="shared" si="131"/>
        <v>直通车</v>
      </c>
      <c r="S2655" t="s">
        <v>629</v>
      </c>
      <c r="T2655" s="546" t="s">
        <v>804</v>
      </c>
    </row>
    <row r="2656" spans="1:20" x14ac:dyDescent="0.3">
      <c r="A2656" t="s">
        <v>627</v>
      </c>
      <c r="B2656" s="16">
        <v>45814</v>
      </c>
      <c r="C2656" t="s">
        <v>2</v>
      </c>
      <c r="D2656" t="s">
        <v>57</v>
      </c>
      <c r="E2656" t="s">
        <v>63</v>
      </c>
      <c r="F2656" s="15">
        <v>3020</v>
      </c>
      <c r="G2656" s="15">
        <v>1498</v>
      </c>
      <c r="H2656">
        <v>108</v>
      </c>
      <c r="I2656">
        <v>112</v>
      </c>
      <c r="J2656" s="15">
        <v>31515</v>
      </c>
      <c r="K2656">
        <v>9</v>
      </c>
      <c r="L2656" s="15">
        <v>19505</v>
      </c>
      <c r="M2656">
        <v>7</v>
      </c>
      <c r="N2656">
        <v>549</v>
      </c>
      <c r="O2656" s="15">
        <v>2837</v>
      </c>
      <c r="P2656">
        <f t="shared" si="132"/>
        <v>2025</v>
      </c>
      <c r="Q2656">
        <f t="shared" si="133"/>
        <v>6</v>
      </c>
      <c r="R2656" t="str">
        <f t="shared" si="131"/>
        <v>万相台</v>
      </c>
      <c r="S2656" t="s">
        <v>629</v>
      </c>
      <c r="T2656" s="546" t="s">
        <v>804</v>
      </c>
    </row>
    <row r="2657" spans="1:20" x14ac:dyDescent="0.3">
      <c r="A2657" t="s">
        <v>627</v>
      </c>
      <c r="B2657" s="16">
        <v>45814</v>
      </c>
      <c r="C2657" t="s">
        <v>2</v>
      </c>
      <c r="D2657" t="s">
        <v>4</v>
      </c>
      <c r="E2657" t="s">
        <v>41</v>
      </c>
      <c r="F2657">
        <v>2</v>
      </c>
      <c r="G2657">
        <v>2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2</v>
      </c>
      <c r="P2657">
        <f t="shared" si="132"/>
        <v>2025</v>
      </c>
      <c r="Q2657">
        <f t="shared" si="133"/>
        <v>6</v>
      </c>
      <c r="R2657" t="str">
        <f t="shared" si="131"/>
        <v>流量宝</v>
      </c>
      <c r="S2657" t="s">
        <v>629</v>
      </c>
      <c r="T2657" s="546" t="s">
        <v>804</v>
      </c>
    </row>
    <row r="2658" spans="1:20" x14ac:dyDescent="0.3">
      <c r="A2658" t="s">
        <v>627</v>
      </c>
      <c r="B2658" s="16">
        <v>45814</v>
      </c>
      <c r="C2658" t="s">
        <v>2</v>
      </c>
      <c r="D2658" t="s">
        <v>4</v>
      </c>
      <c r="E2658" t="s">
        <v>43</v>
      </c>
      <c r="F2658">
        <v>303</v>
      </c>
      <c r="G2658">
        <v>86</v>
      </c>
      <c r="H2658">
        <v>4</v>
      </c>
      <c r="I2658">
        <v>0</v>
      </c>
      <c r="J2658" s="15">
        <v>8780</v>
      </c>
      <c r="K2658">
        <v>3</v>
      </c>
      <c r="L2658" s="15">
        <v>8780</v>
      </c>
      <c r="M2658">
        <v>3</v>
      </c>
      <c r="N2658">
        <v>4</v>
      </c>
      <c r="O2658">
        <v>302</v>
      </c>
      <c r="P2658">
        <f t="shared" si="132"/>
        <v>2025</v>
      </c>
      <c r="Q2658">
        <f t="shared" si="133"/>
        <v>6</v>
      </c>
      <c r="R2658" t="str">
        <f t="shared" si="131"/>
        <v>淘宝客</v>
      </c>
      <c r="S2658" t="s">
        <v>629</v>
      </c>
      <c r="T2658" s="546" t="s">
        <v>804</v>
      </c>
    </row>
    <row r="2659" spans="1:20" x14ac:dyDescent="0.3">
      <c r="A2659" t="s">
        <v>627</v>
      </c>
      <c r="B2659" s="16">
        <v>45815</v>
      </c>
      <c r="C2659" t="s">
        <v>3</v>
      </c>
      <c r="D2659" t="s">
        <v>114</v>
      </c>
      <c r="E2659" t="s">
        <v>159</v>
      </c>
      <c r="F2659">
        <v>158</v>
      </c>
      <c r="G2659">
        <v>90</v>
      </c>
      <c r="H2659">
        <v>4</v>
      </c>
      <c r="I2659">
        <v>1</v>
      </c>
      <c r="J2659">
        <v>0</v>
      </c>
      <c r="K2659">
        <v>0</v>
      </c>
      <c r="L2659">
        <v>0</v>
      </c>
      <c r="M2659">
        <v>0</v>
      </c>
      <c r="N2659">
        <v>9</v>
      </c>
      <c r="O2659">
        <v>154</v>
      </c>
      <c r="P2659">
        <f t="shared" si="132"/>
        <v>2025</v>
      </c>
      <c r="Q2659">
        <f t="shared" si="133"/>
        <v>6</v>
      </c>
      <c r="R2659" t="str">
        <f t="shared" si="131"/>
        <v>主会场</v>
      </c>
      <c r="S2659" t="s">
        <v>629</v>
      </c>
      <c r="T2659" s="546" t="s">
        <v>804</v>
      </c>
    </row>
    <row r="2660" spans="1:20" x14ac:dyDescent="0.3">
      <c r="A2660" t="s">
        <v>627</v>
      </c>
      <c r="B2660" s="16">
        <v>45815</v>
      </c>
      <c r="C2660" t="s">
        <v>3</v>
      </c>
      <c r="D2660" t="s">
        <v>123</v>
      </c>
      <c r="E2660" t="s">
        <v>169</v>
      </c>
      <c r="F2660">
        <v>263</v>
      </c>
      <c r="G2660">
        <v>174</v>
      </c>
      <c r="H2660">
        <v>5</v>
      </c>
      <c r="I2660">
        <v>4</v>
      </c>
      <c r="J2660">
        <v>0</v>
      </c>
      <c r="K2660">
        <v>0</v>
      </c>
      <c r="L2660">
        <v>0</v>
      </c>
      <c r="M2660">
        <v>0</v>
      </c>
      <c r="N2660">
        <v>56</v>
      </c>
      <c r="O2660">
        <v>256</v>
      </c>
      <c r="P2660">
        <f t="shared" si="132"/>
        <v>2025</v>
      </c>
      <c r="Q2660">
        <f t="shared" si="133"/>
        <v>6</v>
      </c>
      <c r="R2660" t="str">
        <f t="shared" si="131"/>
        <v>商品详情页头图推荐</v>
      </c>
      <c r="S2660" t="s">
        <v>629</v>
      </c>
      <c r="T2660" s="546" t="s">
        <v>804</v>
      </c>
    </row>
    <row r="2661" spans="1:20" x14ac:dyDescent="0.3">
      <c r="A2661" t="s">
        <v>627</v>
      </c>
      <c r="B2661" s="16">
        <v>45815</v>
      </c>
      <c r="C2661" t="s">
        <v>3</v>
      </c>
      <c r="D2661" t="s">
        <v>123</v>
      </c>
      <c r="E2661" t="s">
        <v>170</v>
      </c>
      <c r="F2661">
        <v>23</v>
      </c>
      <c r="G2661">
        <v>15</v>
      </c>
      <c r="H2661">
        <v>2</v>
      </c>
      <c r="I2661">
        <v>0</v>
      </c>
      <c r="J2661" s="17">
        <v>2623.5</v>
      </c>
      <c r="K2661">
        <v>1</v>
      </c>
      <c r="L2661" s="17">
        <v>2623.5</v>
      </c>
      <c r="M2661">
        <v>1</v>
      </c>
      <c r="N2661">
        <v>22</v>
      </c>
      <c r="O2661">
        <v>13</v>
      </c>
      <c r="P2661">
        <f t="shared" si="132"/>
        <v>2025</v>
      </c>
      <c r="Q2661">
        <f t="shared" si="133"/>
        <v>6</v>
      </c>
      <c r="R2661" t="str">
        <f t="shared" si="131"/>
        <v>店铺超链</v>
      </c>
      <c r="S2661" t="s">
        <v>629</v>
      </c>
      <c r="T2661" s="546" t="s">
        <v>804</v>
      </c>
    </row>
    <row r="2662" spans="1:20" x14ac:dyDescent="0.3">
      <c r="A2662" t="s">
        <v>627</v>
      </c>
      <c r="B2662" s="16">
        <v>45815</v>
      </c>
      <c r="C2662" t="s">
        <v>3</v>
      </c>
      <c r="D2662" t="s">
        <v>127</v>
      </c>
      <c r="E2662" t="s">
        <v>171</v>
      </c>
      <c r="F2662">
        <v>265</v>
      </c>
      <c r="G2662">
        <v>177</v>
      </c>
      <c r="H2662">
        <v>4</v>
      </c>
      <c r="I2662">
        <v>1</v>
      </c>
      <c r="J2662" s="15">
        <v>3200</v>
      </c>
      <c r="K2662">
        <v>1</v>
      </c>
      <c r="L2662" s="15">
        <v>3200</v>
      </c>
      <c r="M2662">
        <v>1</v>
      </c>
      <c r="N2662">
        <v>32</v>
      </c>
      <c r="O2662">
        <v>245</v>
      </c>
      <c r="P2662">
        <f t="shared" si="132"/>
        <v>2025</v>
      </c>
      <c r="Q2662">
        <f t="shared" si="133"/>
        <v>6</v>
      </c>
      <c r="R2662" t="str">
        <f t="shared" si="131"/>
        <v>其他猜你喜欢</v>
      </c>
      <c r="S2662" t="s">
        <v>629</v>
      </c>
      <c r="T2662" s="546" t="s">
        <v>804</v>
      </c>
    </row>
    <row r="2663" spans="1:20" x14ac:dyDescent="0.3">
      <c r="A2663" t="s">
        <v>627</v>
      </c>
      <c r="B2663" s="16">
        <v>45815</v>
      </c>
      <c r="C2663" t="s">
        <v>3</v>
      </c>
      <c r="D2663" t="s">
        <v>127</v>
      </c>
      <c r="E2663" t="s">
        <v>172</v>
      </c>
      <c r="F2663">
        <v>11</v>
      </c>
      <c r="G2663">
        <v>10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10</v>
      </c>
      <c r="P2663">
        <f t="shared" si="132"/>
        <v>2025</v>
      </c>
      <c r="Q2663">
        <f t="shared" si="133"/>
        <v>6</v>
      </c>
      <c r="R2663" t="str">
        <f t="shared" si="131"/>
        <v>购中推荐</v>
      </c>
      <c r="S2663" t="s">
        <v>629</v>
      </c>
      <c r="T2663" s="546" t="s">
        <v>804</v>
      </c>
    </row>
    <row r="2664" spans="1:20" x14ac:dyDescent="0.3">
      <c r="A2664" t="s">
        <v>627</v>
      </c>
      <c r="B2664" s="16">
        <v>45815</v>
      </c>
      <c r="C2664" t="s">
        <v>3</v>
      </c>
      <c r="D2664" t="s">
        <v>127</v>
      </c>
      <c r="E2664" t="s">
        <v>173</v>
      </c>
      <c r="F2664">
        <v>127</v>
      </c>
      <c r="G2664">
        <v>98</v>
      </c>
      <c r="H2664">
        <v>0</v>
      </c>
      <c r="I2664">
        <v>0</v>
      </c>
      <c r="J2664" s="15">
        <v>1990</v>
      </c>
      <c r="K2664">
        <v>1</v>
      </c>
      <c r="L2664" s="15">
        <v>1990</v>
      </c>
      <c r="M2664">
        <v>1</v>
      </c>
      <c r="N2664">
        <v>5</v>
      </c>
      <c r="O2664">
        <v>106</v>
      </c>
      <c r="P2664">
        <f t="shared" si="132"/>
        <v>2025</v>
      </c>
      <c r="Q2664">
        <f t="shared" si="133"/>
        <v>6</v>
      </c>
      <c r="R2664" t="str">
        <f t="shared" si="131"/>
        <v>购后推荐</v>
      </c>
      <c r="S2664" t="s">
        <v>629</v>
      </c>
      <c r="T2664" s="546" t="s">
        <v>804</v>
      </c>
    </row>
    <row r="2665" spans="1:20" x14ac:dyDescent="0.3">
      <c r="A2665" t="s">
        <v>627</v>
      </c>
      <c r="B2665" s="16">
        <v>45815</v>
      </c>
      <c r="C2665" t="s">
        <v>3</v>
      </c>
      <c r="D2665" t="s">
        <v>127</v>
      </c>
      <c r="E2665" t="s">
        <v>174</v>
      </c>
      <c r="F2665" s="15">
        <v>9081</v>
      </c>
      <c r="G2665" s="15">
        <v>8121</v>
      </c>
      <c r="H2665">
        <v>56</v>
      </c>
      <c r="I2665">
        <v>38</v>
      </c>
      <c r="J2665" s="15">
        <v>10330</v>
      </c>
      <c r="K2665">
        <v>4</v>
      </c>
      <c r="L2665" s="15">
        <v>7580</v>
      </c>
      <c r="M2665">
        <v>3</v>
      </c>
      <c r="N2665">
        <v>510</v>
      </c>
      <c r="O2665" s="15">
        <v>9081</v>
      </c>
      <c r="P2665">
        <f t="shared" si="132"/>
        <v>2025</v>
      </c>
      <c r="Q2665">
        <f t="shared" si="133"/>
        <v>6</v>
      </c>
      <c r="R2665" t="str">
        <f t="shared" si="131"/>
        <v>首页推荐-微详情</v>
      </c>
      <c r="S2665" t="s">
        <v>629</v>
      </c>
      <c r="T2665" s="546" t="s">
        <v>804</v>
      </c>
    </row>
    <row r="2666" spans="1:20" x14ac:dyDescent="0.3">
      <c r="A2666" t="s">
        <v>627</v>
      </c>
      <c r="B2666" s="16">
        <v>45815</v>
      </c>
      <c r="C2666" t="s">
        <v>3</v>
      </c>
      <c r="D2666" t="s">
        <v>127</v>
      </c>
      <c r="E2666" t="s">
        <v>175</v>
      </c>
      <c r="F2666">
        <v>1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f t="shared" si="132"/>
        <v>2025</v>
      </c>
      <c r="Q2666">
        <f t="shared" si="133"/>
        <v>6</v>
      </c>
      <c r="R2666" t="str">
        <f t="shared" si="131"/>
        <v>首页推荐-直播</v>
      </c>
      <c r="S2666" t="s">
        <v>629</v>
      </c>
      <c r="T2666" s="546" t="s">
        <v>804</v>
      </c>
    </row>
    <row r="2667" spans="1:20" x14ac:dyDescent="0.3">
      <c r="A2667" t="s">
        <v>627</v>
      </c>
      <c r="B2667" s="16">
        <v>45815</v>
      </c>
      <c r="C2667" t="s">
        <v>3</v>
      </c>
      <c r="D2667" t="s">
        <v>127</v>
      </c>
      <c r="E2667" t="s">
        <v>176</v>
      </c>
      <c r="F2667">
        <v>210</v>
      </c>
      <c r="G2667">
        <v>108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3</v>
      </c>
      <c r="O2667">
        <v>24</v>
      </c>
      <c r="P2667">
        <f t="shared" si="132"/>
        <v>2025</v>
      </c>
      <c r="Q2667">
        <f t="shared" si="133"/>
        <v>6</v>
      </c>
      <c r="R2667" t="str">
        <f t="shared" si="131"/>
        <v>首页推荐-短视频</v>
      </c>
      <c r="S2667" t="s">
        <v>629</v>
      </c>
      <c r="T2667" s="546" t="s">
        <v>804</v>
      </c>
    </row>
    <row r="2668" spans="1:20" x14ac:dyDescent="0.3">
      <c r="A2668" t="s">
        <v>627</v>
      </c>
      <c r="B2668" s="16">
        <v>45815</v>
      </c>
      <c r="C2668" t="s">
        <v>3</v>
      </c>
      <c r="D2668" t="s">
        <v>128</v>
      </c>
      <c r="E2668" t="s">
        <v>177</v>
      </c>
      <c r="F2668">
        <v>816</v>
      </c>
      <c r="G2668">
        <v>613</v>
      </c>
      <c r="H2668">
        <v>37</v>
      </c>
      <c r="I2668">
        <v>5</v>
      </c>
      <c r="J2668" s="15">
        <v>84730</v>
      </c>
      <c r="K2668">
        <v>6</v>
      </c>
      <c r="L2668" s="15">
        <v>48385</v>
      </c>
      <c r="M2668">
        <v>5</v>
      </c>
      <c r="N2668">
        <v>376</v>
      </c>
      <c r="O2668">
        <v>590</v>
      </c>
      <c r="P2668">
        <f t="shared" si="132"/>
        <v>2025</v>
      </c>
      <c r="Q2668">
        <f t="shared" si="133"/>
        <v>6</v>
      </c>
      <c r="R2668" t="str">
        <f t="shared" si="131"/>
        <v>手淘搜索-商品及其他</v>
      </c>
      <c r="S2668" t="s">
        <v>629</v>
      </c>
      <c r="T2668" s="546" t="s">
        <v>804</v>
      </c>
    </row>
    <row r="2669" spans="1:20" x14ac:dyDescent="0.3">
      <c r="A2669" t="s">
        <v>627</v>
      </c>
      <c r="B2669" s="16">
        <v>45815</v>
      </c>
      <c r="C2669" t="s">
        <v>3</v>
      </c>
      <c r="D2669" t="s">
        <v>128</v>
      </c>
      <c r="E2669" t="s">
        <v>179</v>
      </c>
      <c r="F2669">
        <v>12</v>
      </c>
      <c r="G2669">
        <v>9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2</v>
      </c>
      <c r="O2669">
        <v>11</v>
      </c>
      <c r="P2669">
        <f t="shared" si="132"/>
        <v>2025</v>
      </c>
      <c r="Q2669">
        <f t="shared" si="133"/>
        <v>6</v>
      </c>
      <c r="R2669" t="str">
        <f t="shared" si="131"/>
        <v>手淘搜索-短视频</v>
      </c>
      <c r="S2669" t="s">
        <v>629</v>
      </c>
      <c r="T2669" s="546" t="s">
        <v>804</v>
      </c>
    </row>
    <row r="2670" spans="1:20" x14ac:dyDescent="0.3">
      <c r="A2670" t="s">
        <v>627</v>
      </c>
      <c r="B2670" s="16">
        <v>45815</v>
      </c>
      <c r="C2670" t="s">
        <v>3</v>
      </c>
      <c r="D2670" t="s">
        <v>143</v>
      </c>
      <c r="E2670" t="s">
        <v>180</v>
      </c>
      <c r="F2670">
        <v>8</v>
      </c>
      <c r="G2670">
        <v>7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1</v>
      </c>
      <c r="O2670">
        <v>8</v>
      </c>
      <c r="P2670">
        <f t="shared" si="132"/>
        <v>2025</v>
      </c>
      <c r="Q2670">
        <f t="shared" si="133"/>
        <v>6</v>
      </c>
      <c r="R2670" t="str">
        <f t="shared" si="131"/>
        <v>淘特其他渠道</v>
      </c>
      <c r="S2670" t="s">
        <v>629</v>
      </c>
      <c r="T2670" s="546" t="s">
        <v>804</v>
      </c>
    </row>
    <row r="2671" spans="1:20" x14ac:dyDescent="0.3">
      <c r="A2671" t="s">
        <v>627</v>
      </c>
      <c r="B2671" s="16">
        <v>45815</v>
      </c>
      <c r="C2671" t="s">
        <v>3</v>
      </c>
      <c r="D2671" t="s">
        <v>143</v>
      </c>
      <c r="E2671" t="s">
        <v>181</v>
      </c>
      <c r="F2671">
        <v>27</v>
      </c>
      <c r="G2671">
        <v>26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27</v>
      </c>
      <c r="P2671">
        <f t="shared" si="132"/>
        <v>2025</v>
      </c>
      <c r="Q2671">
        <f t="shared" si="133"/>
        <v>6</v>
      </c>
      <c r="R2671" t="str">
        <f t="shared" si="131"/>
        <v>淘特搜索</v>
      </c>
      <c r="S2671" t="s">
        <v>629</v>
      </c>
      <c r="T2671" s="546" t="s">
        <v>804</v>
      </c>
    </row>
    <row r="2672" spans="1:20" x14ac:dyDescent="0.3">
      <c r="A2672" t="s">
        <v>627</v>
      </c>
      <c r="B2672" s="16">
        <v>45815</v>
      </c>
      <c r="C2672" t="s">
        <v>2</v>
      </c>
      <c r="D2672" t="s">
        <v>55</v>
      </c>
      <c r="E2672" t="s">
        <v>54</v>
      </c>
      <c r="F2672">
        <v>5</v>
      </c>
      <c r="G2672">
        <v>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2</v>
      </c>
      <c r="P2672">
        <f t="shared" si="132"/>
        <v>2025</v>
      </c>
      <c r="Q2672">
        <f t="shared" si="133"/>
        <v>6</v>
      </c>
      <c r="R2672" t="str">
        <f t="shared" si="131"/>
        <v>超级直播</v>
      </c>
      <c r="S2672" t="s">
        <v>629</v>
      </c>
      <c r="T2672" s="546" t="s">
        <v>804</v>
      </c>
    </row>
    <row r="2673" spans="1:20" x14ac:dyDescent="0.3">
      <c r="A2673" t="s">
        <v>627</v>
      </c>
      <c r="B2673" s="16">
        <v>45815</v>
      </c>
      <c r="C2673" t="s">
        <v>2</v>
      </c>
      <c r="D2673" t="s">
        <v>55</v>
      </c>
      <c r="E2673" t="s">
        <v>56</v>
      </c>
      <c r="F2673">
        <v>5</v>
      </c>
      <c r="G2673">
        <v>5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5</v>
      </c>
      <c r="P2673">
        <f t="shared" si="132"/>
        <v>2025</v>
      </c>
      <c r="Q2673">
        <f t="shared" si="133"/>
        <v>6</v>
      </c>
      <c r="R2673" t="str">
        <f t="shared" si="131"/>
        <v>超级短视频</v>
      </c>
      <c r="S2673" t="s">
        <v>629</v>
      </c>
      <c r="T2673" s="546" t="s">
        <v>804</v>
      </c>
    </row>
    <row r="2674" spans="1:20" x14ac:dyDescent="0.3">
      <c r="A2674" t="s">
        <v>627</v>
      </c>
      <c r="B2674" s="16">
        <v>45815</v>
      </c>
      <c r="C2674" t="s">
        <v>2</v>
      </c>
      <c r="D2674" t="s">
        <v>57</v>
      </c>
      <c r="E2674" t="s">
        <v>64</v>
      </c>
      <c r="F2674" s="15">
        <v>9910</v>
      </c>
      <c r="G2674" s="15">
        <v>5591</v>
      </c>
      <c r="H2674">
        <v>58</v>
      </c>
      <c r="I2674">
        <v>40</v>
      </c>
      <c r="J2674" s="15">
        <v>25940</v>
      </c>
      <c r="K2674">
        <v>9</v>
      </c>
      <c r="L2674" s="15">
        <v>11470</v>
      </c>
      <c r="M2674">
        <v>5</v>
      </c>
      <c r="N2674">
        <v>233</v>
      </c>
      <c r="O2674" s="15">
        <v>9910</v>
      </c>
      <c r="P2674">
        <f t="shared" si="132"/>
        <v>2025</v>
      </c>
      <c r="Q2674">
        <f t="shared" si="133"/>
        <v>6</v>
      </c>
      <c r="R2674" t="str">
        <f t="shared" si="131"/>
        <v>引力魔方</v>
      </c>
      <c r="S2674" t="s">
        <v>629</v>
      </c>
      <c r="T2674" s="546" t="s">
        <v>804</v>
      </c>
    </row>
    <row r="2675" spans="1:20" x14ac:dyDescent="0.3">
      <c r="A2675" t="s">
        <v>627</v>
      </c>
      <c r="B2675" s="16">
        <v>45815</v>
      </c>
      <c r="C2675" t="s">
        <v>2</v>
      </c>
      <c r="D2675" t="s">
        <v>57</v>
      </c>
      <c r="E2675" t="s">
        <v>65</v>
      </c>
      <c r="F2675" s="15">
        <v>3404</v>
      </c>
      <c r="G2675" s="15">
        <v>2888</v>
      </c>
      <c r="H2675">
        <v>32</v>
      </c>
      <c r="I2675">
        <v>20</v>
      </c>
      <c r="J2675" s="15">
        <v>19968</v>
      </c>
      <c r="K2675">
        <v>6</v>
      </c>
      <c r="L2675" s="15">
        <v>8835</v>
      </c>
      <c r="M2675">
        <v>3</v>
      </c>
      <c r="N2675">
        <v>194</v>
      </c>
      <c r="O2675" s="15">
        <v>3376</v>
      </c>
      <c r="P2675">
        <f t="shared" si="132"/>
        <v>2025</v>
      </c>
      <c r="Q2675">
        <f t="shared" si="133"/>
        <v>6</v>
      </c>
      <c r="R2675" t="str">
        <f t="shared" si="131"/>
        <v>直通车</v>
      </c>
      <c r="S2675" t="s">
        <v>629</v>
      </c>
      <c r="T2675" s="546" t="s">
        <v>804</v>
      </c>
    </row>
    <row r="2676" spans="1:20" x14ac:dyDescent="0.3">
      <c r="A2676" t="s">
        <v>627</v>
      </c>
      <c r="B2676" s="16">
        <v>45815</v>
      </c>
      <c r="C2676" t="s">
        <v>2</v>
      </c>
      <c r="D2676" t="s">
        <v>57</v>
      </c>
      <c r="E2676" t="s">
        <v>63</v>
      </c>
      <c r="F2676" s="15">
        <v>3130</v>
      </c>
      <c r="G2676" s="15">
        <v>1619</v>
      </c>
      <c r="H2676">
        <v>119</v>
      </c>
      <c r="I2676">
        <v>104</v>
      </c>
      <c r="J2676" s="15">
        <v>54098</v>
      </c>
      <c r="K2676">
        <v>11</v>
      </c>
      <c r="L2676" s="15">
        <v>30728</v>
      </c>
      <c r="M2676">
        <v>9</v>
      </c>
      <c r="N2676">
        <v>677</v>
      </c>
      <c r="O2676" s="15">
        <v>2878</v>
      </c>
      <c r="P2676">
        <f t="shared" si="132"/>
        <v>2025</v>
      </c>
      <c r="Q2676">
        <f t="shared" si="133"/>
        <v>6</v>
      </c>
      <c r="R2676" t="str">
        <f t="shared" si="131"/>
        <v>万相台</v>
      </c>
      <c r="S2676" t="s">
        <v>629</v>
      </c>
      <c r="T2676" s="546" t="s">
        <v>804</v>
      </c>
    </row>
    <row r="2677" spans="1:20" x14ac:dyDescent="0.3">
      <c r="A2677" t="s">
        <v>627</v>
      </c>
      <c r="B2677" s="16">
        <v>45815</v>
      </c>
      <c r="C2677" t="s">
        <v>2</v>
      </c>
      <c r="D2677" t="s">
        <v>4</v>
      </c>
      <c r="E2677" t="s">
        <v>41</v>
      </c>
      <c r="F2677">
        <v>3</v>
      </c>
      <c r="G2677">
        <v>2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3</v>
      </c>
      <c r="P2677">
        <f t="shared" si="132"/>
        <v>2025</v>
      </c>
      <c r="Q2677">
        <f t="shared" si="133"/>
        <v>6</v>
      </c>
      <c r="R2677" t="str">
        <f t="shared" si="131"/>
        <v>流量宝</v>
      </c>
      <c r="S2677" t="s">
        <v>629</v>
      </c>
      <c r="T2677" s="546" t="s">
        <v>804</v>
      </c>
    </row>
    <row r="2678" spans="1:20" x14ac:dyDescent="0.3">
      <c r="A2678" t="s">
        <v>627</v>
      </c>
      <c r="B2678" s="16">
        <v>45815</v>
      </c>
      <c r="C2678" t="s">
        <v>2</v>
      </c>
      <c r="D2678" t="s">
        <v>4</v>
      </c>
      <c r="E2678" t="s">
        <v>43</v>
      </c>
      <c r="F2678">
        <v>330</v>
      </c>
      <c r="G2678">
        <v>100</v>
      </c>
      <c r="H2678">
        <v>1</v>
      </c>
      <c r="I2678">
        <v>2</v>
      </c>
      <c r="J2678">
        <v>0</v>
      </c>
      <c r="K2678">
        <v>0</v>
      </c>
      <c r="L2678">
        <v>0</v>
      </c>
      <c r="M2678">
        <v>0</v>
      </c>
      <c r="N2678">
        <v>3</v>
      </c>
      <c r="O2678">
        <v>329</v>
      </c>
      <c r="P2678">
        <f t="shared" si="132"/>
        <v>2025</v>
      </c>
      <c r="Q2678">
        <f t="shared" si="133"/>
        <v>6</v>
      </c>
      <c r="R2678" t="str">
        <f t="shared" si="131"/>
        <v>淘宝客</v>
      </c>
      <c r="S2678" t="s">
        <v>629</v>
      </c>
      <c r="T2678" s="546" t="s">
        <v>804</v>
      </c>
    </row>
    <row r="2679" spans="1:20" x14ac:dyDescent="0.3">
      <c r="A2679" t="s">
        <v>627</v>
      </c>
      <c r="B2679" s="16">
        <v>45816</v>
      </c>
      <c r="C2679" t="s">
        <v>3</v>
      </c>
      <c r="D2679" t="s">
        <v>114</v>
      </c>
      <c r="E2679" t="s">
        <v>159</v>
      </c>
      <c r="F2679">
        <v>194</v>
      </c>
      <c r="G2679">
        <v>124</v>
      </c>
      <c r="H2679">
        <v>7</v>
      </c>
      <c r="I2679">
        <v>3</v>
      </c>
      <c r="J2679" s="15">
        <v>3990</v>
      </c>
      <c r="K2679">
        <v>1</v>
      </c>
      <c r="L2679" s="15">
        <v>3990</v>
      </c>
      <c r="M2679">
        <v>1</v>
      </c>
      <c r="N2679">
        <v>16</v>
      </c>
      <c r="O2679">
        <v>188</v>
      </c>
      <c r="P2679">
        <f t="shared" si="132"/>
        <v>2025</v>
      </c>
      <c r="Q2679">
        <f t="shared" si="133"/>
        <v>6</v>
      </c>
      <c r="R2679" t="str">
        <f t="shared" si="131"/>
        <v>主会场</v>
      </c>
      <c r="S2679" t="s">
        <v>629</v>
      </c>
      <c r="T2679" s="546" t="s">
        <v>804</v>
      </c>
    </row>
    <row r="2680" spans="1:20" x14ac:dyDescent="0.3">
      <c r="A2680" t="s">
        <v>627</v>
      </c>
      <c r="B2680" s="16">
        <v>45816</v>
      </c>
      <c r="C2680" t="s">
        <v>3</v>
      </c>
      <c r="D2680" t="s">
        <v>117</v>
      </c>
      <c r="E2680" t="s">
        <v>161</v>
      </c>
      <c r="F2680">
        <v>3</v>
      </c>
      <c r="G2680">
        <v>2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3</v>
      </c>
      <c r="P2680">
        <f t="shared" si="132"/>
        <v>2025</v>
      </c>
      <c r="Q2680">
        <f t="shared" si="133"/>
        <v>6</v>
      </c>
      <c r="R2680" t="str">
        <f t="shared" si="131"/>
        <v>其他入口榜单</v>
      </c>
      <c r="S2680" t="s">
        <v>629</v>
      </c>
      <c r="T2680" s="546" t="s">
        <v>804</v>
      </c>
    </row>
    <row r="2681" spans="1:20" x14ac:dyDescent="0.3">
      <c r="A2681" t="s">
        <v>627</v>
      </c>
      <c r="B2681" s="16">
        <v>45816</v>
      </c>
      <c r="C2681" t="s">
        <v>3</v>
      </c>
      <c r="D2681" t="s">
        <v>123</v>
      </c>
      <c r="E2681" t="s">
        <v>169</v>
      </c>
      <c r="F2681">
        <v>322</v>
      </c>
      <c r="G2681">
        <v>228</v>
      </c>
      <c r="H2681">
        <v>8</v>
      </c>
      <c r="I2681">
        <v>4</v>
      </c>
      <c r="J2681" s="15">
        <v>15430</v>
      </c>
      <c r="K2681">
        <v>6</v>
      </c>
      <c r="L2681" s="15">
        <v>10950</v>
      </c>
      <c r="M2681">
        <v>5</v>
      </c>
      <c r="N2681">
        <v>69</v>
      </c>
      <c r="O2681">
        <v>314</v>
      </c>
      <c r="P2681">
        <f t="shared" si="132"/>
        <v>2025</v>
      </c>
      <c r="Q2681">
        <f t="shared" si="133"/>
        <v>6</v>
      </c>
      <c r="R2681" t="str">
        <f t="shared" si="131"/>
        <v>商品详情页头图推荐</v>
      </c>
      <c r="S2681" t="s">
        <v>629</v>
      </c>
      <c r="T2681" s="546" t="s">
        <v>804</v>
      </c>
    </row>
    <row r="2682" spans="1:20" x14ac:dyDescent="0.3">
      <c r="A2682" t="s">
        <v>627</v>
      </c>
      <c r="B2682" s="16">
        <v>45816</v>
      </c>
      <c r="C2682" t="s">
        <v>3</v>
      </c>
      <c r="D2682" t="s">
        <v>123</v>
      </c>
      <c r="E2682" t="s">
        <v>170</v>
      </c>
      <c r="F2682">
        <v>30</v>
      </c>
      <c r="G2682">
        <v>18</v>
      </c>
      <c r="H2682">
        <v>2</v>
      </c>
      <c r="I2682">
        <v>1</v>
      </c>
      <c r="J2682">
        <v>0</v>
      </c>
      <c r="K2682">
        <v>0</v>
      </c>
      <c r="L2682">
        <v>0</v>
      </c>
      <c r="M2682">
        <v>0</v>
      </c>
      <c r="N2682">
        <v>24</v>
      </c>
      <c r="O2682">
        <v>18</v>
      </c>
      <c r="P2682">
        <f t="shared" si="132"/>
        <v>2025</v>
      </c>
      <c r="Q2682">
        <f t="shared" si="133"/>
        <v>6</v>
      </c>
      <c r="R2682" t="str">
        <f t="shared" si="131"/>
        <v>店铺超链</v>
      </c>
      <c r="S2682" t="s">
        <v>629</v>
      </c>
      <c r="T2682" s="546" t="s">
        <v>804</v>
      </c>
    </row>
    <row r="2683" spans="1:20" x14ac:dyDescent="0.3">
      <c r="A2683" t="s">
        <v>627</v>
      </c>
      <c r="B2683" s="16">
        <v>45816</v>
      </c>
      <c r="C2683" t="s">
        <v>3</v>
      </c>
      <c r="D2683" t="s">
        <v>127</v>
      </c>
      <c r="E2683" t="s">
        <v>171</v>
      </c>
      <c r="F2683">
        <v>346</v>
      </c>
      <c r="G2683">
        <v>241</v>
      </c>
      <c r="H2683">
        <v>4</v>
      </c>
      <c r="I2683">
        <v>3</v>
      </c>
      <c r="J2683" s="15">
        <v>1690</v>
      </c>
      <c r="K2683">
        <v>1</v>
      </c>
      <c r="L2683">
        <v>0</v>
      </c>
      <c r="M2683">
        <v>0</v>
      </c>
      <c r="N2683">
        <v>47</v>
      </c>
      <c r="O2683">
        <v>329</v>
      </c>
      <c r="P2683">
        <f t="shared" si="132"/>
        <v>2025</v>
      </c>
      <c r="Q2683">
        <f t="shared" si="133"/>
        <v>6</v>
      </c>
      <c r="R2683" t="str">
        <f t="shared" si="131"/>
        <v>其他猜你喜欢</v>
      </c>
      <c r="S2683" t="s">
        <v>629</v>
      </c>
      <c r="T2683" s="546" t="s">
        <v>804</v>
      </c>
    </row>
    <row r="2684" spans="1:20" x14ac:dyDescent="0.3">
      <c r="A2684" t="s">
        <v>627</v>
      </c>
      <c r="B2684" s="16">
        <v>45816</v>
      </c>
      <c r="C2684" t="s">
        <v>3</v>
      </c>
      <c r="D2684" t="s">
        <v>127</v>
      </c>
      <c r="E2684" t="s">
        <v>172</v>
      </c>
      <c r="F2684">
        <v>21</v>
      </c>
      <c r="G2684">
        <v>20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2</v>
      </c>
      <c r="O2684">
        <v>21</v>
      </c>
      <c r="P2684">
        <f t="shared" si="132"/>
        <v>2025</v>
      </c>
      <c r="Q2684">
        <f t="shared" si="133"/>
        <v>6</v>
      </c>
      <c r="R2684" t="str">
        <f t="shared" si="131"/>
        <v>购中推荐</v>
      </c>
      <c r="S2684" t="s">
        <v>629</v>
      </c>
      <c r="T2684" s="546" t="s">
        <v>804</v>
      </c>
    </row>
    <row r="2685" spans="1:20" x14ac:dyDescent="0.3">
      <c r="A2685" t="s">
        <v>627</v>
      </c>
      <c r="B2685" s="16">
        <v>45816</v>
      </c>
      <c r="C2685" t="s">
        <v>3</v>
      </c>
      <c r="D2685" t="s">
        <v>127</v>
      </c>
      <c r="E2685" t="s">
        <v>173</v>
      </c>
      <c r="F2685">
        <v>121</v>
      </c>
      <c r="G2685">
        <v>98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7</v>
      </c>
      <c r="O2685">
        <v>112</v>
      </c>
      <c r="P2685">
        <f t="shared" si="132"/>
        <v>2025</v>
      </c>
      <c r="Q2685">
        <f t="shared" si="133"/>
        <v>6</v>
      </c>
      <c r="R2685" t="str">
        <f t="shared" si="131"/>
        <v>购后推荐</v>
      </c>
      <c r="S2685" t="s">
        <v>629</v>
      </c>
      <c r="T2685" s="546" t="s">
        <v>804</v>
      </c>
    </row>
    <row r="2686" spans="1:20" x14ac:dyDescent="0.3">
      <c r="A2686" t="s">
        <v>627</v>
      </c>
      <c r="B2686" s="16">
        <v>45816</v>
      </c>
      <c r="C2686" t="s">
        <v>3</v>
      </c>
      <c r="D2686" t="s">
        <v>127</v>
      </c>
      <c r="E2686" t="s">
        <v>174</v>
      </c>
      <c r="F2686" s="15">
        <v>10661</v>
      </c>
      <c r="G2686" s="15">
        <v>9668</v>
      </c>
      <c r="H2686">
        <v>69</v>
      </c>
      <c r="I2686">
        <v>53</v>
      </c>
      <c r="J2686" s="15">
        <v>16543</v>
      </c>
      <c r="K2686">
        <v>5</v>
      </c>
      <c r="L2686" s="15">
        <v>12063</v>
      </c>
      <c r="M2686">
        <v>4</v>
      </c>
      <c r="N2686">
        <v>585</v>
      </c>
      <c r="O2686" s="15">
        <v>10661</v>
      </c>
      <c r="P2686">
        <f t="shared" si="132"/>
        <v>2025</v>
      </c>
      <c r="Q2686">
        <f t="shared" si="133"/>
        <v>6</v>
      </c>
      <c r="R2686" t="str">
        <f t="shared" si="131"/>
        <v>首页推荐-微详情</v>
      </c>
      <c r="S2686" t="s">
        <v>629</v>
      </c>
      <c r="T2686" s="546" t="s">
        <v>804</v>
      </c>
    </row>
    <row r="2687" spans="1:20" x14ac:dyDescent="0.3">
      <c r="A2687" t="s">
        <v>627</v>
      </c>
      <c r="B2687" s="16">
        <v>45816</v>
      </c>
      <c r="C2687" t="s">
        <v>3</v>
      </c>
      <c r="D2687" t="s">
        <v>127</v>
      </c>
      <c r="E2687" t="s">
        <v>175</v>
      </c>
      <c r="F2687">
        <v>1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f t="shared" si="132"/>
        <v>2025</v>
      </c>
      <c r="Q2687">
        <f t="shared" si="133"/>
        <v>6</v>
      </c>
      <c r="R2687" t="str">
        <f t="shared" si="131"/>
        <v>首页推荐-直播</v>
      </c>
      <c r="S2687" t="s">
        <v>629</v>
      </c>
      <c r="T2687" s="546" t="s">
        <v>804</v>
      </c>
    </row>
    <row r="2688" spans="1:20" x14ac:dyDescent="0.3">
      <c r="A2688" t="s">
        <v>627</v>
      </c>
      <c r="B2688" s="16">
        <v>45816</v>
      </c>
      <c r="C2688" t="s">
        <v>3</v>
      </c>
      <c r="D2688" t="s">
        <v>127</v>
      </c>
      <c r="E2688" t="s">
        <v>176</v>
      </c>
      <c r="F2688">
        <v>91</v>
      </c>
      <c r="G2688">
        <v>47</v>
      </c>
      <c r="H2688">
        <v>1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1</v>
      </c>
      <c r="O2688">
        <v>12</v>
      </c>
      <c r="P2688">
        <f t="shared" si="132"/>
        <v>2025</v>
      </c>
      <c r="Q2688">
        <f t="shared" si="133"/>
        <v>6</v>
      </c>
      <c r="R2688" t="str">
        <f t="shared" si="131"/>
        <v>首页推荐-短视频</v>
      </c>
      <c r="S2688" t="s">
        <v>629</v>
      </c>
      <c r="T2688" s="546" t="s">
        <v>804</v>
      </c>
    </row>
    <row r="2689" spans="1:20" x14ac:dyDescent="0.3">
      <c r="A2689" t="s">
        <v>627</v>
      </c>
      <c r="B2689" s="16">
        <v>45816</v>
      </c>
      <c r="C2689" t="s">
        <v>3</v>
      </c>
      <c r="D2689" t="s">
        <v>128</v>
      </c>
      <c r="E2689" t="s">
        <v>177</v>
      </c>
      <c r="F2689">
        <v>921</v>
      </c>
      <c r="G2689">
        <v>721</v>
      </c>
      <c r="H2689">
        <v>41</v>
      </c>
      <c r="I2689">
        <v>11</v>
      </c>
      <c r="J2689" s="15">
        <v>14243</v>
      </c>
      <c r="K2689">
        <v>7</v>
      </c>
      <c r="L2689" s="15">
        <v>12753</v>
      </c>
      <c r="M2689">
        <v>7</v>
      </c>
      <c r="N2689">
        <v>473</v>
      </c>
      <c r="O2689">
        <v>613</v>
      </c>
      <c r="P2689">
        <f t="shared" si="132"/>
        <v>2025</v>
      </c>
      <c r="Q2689">
        <f t="shared" si="133"/>
        <v>6</v>
      </c>
      <c r="R2689" t="str">
        <f t="shared" si="131"/>
        <v>手淘搜索-商品及其他</v>
      </c>
      <c r="S2689" t="s">
        <v>629</v>
      </c>
      <c r="T2689" s="546" t="s">
        <v>804</v>
      </c>
    </row>
    <row r="2690" spans="1:20" x14ac:dyDescent="0.3">
      <c r="A2690" t="s">
        <v>627</v>
      </c>
      <c r="B2690" s="16">
        <v>45816</v>
      </c>
      <c r="C2690" t="s">
        <v>3</v>
      </c>
      <c r="D2690" t="s">
        <v>128</v>
      </c>
      <c r="E2690" t="s">
        <v>179</v>
      </c>
      <c r="F2690">
        <v>18</v>
      </c>
      <c r="G2690">
        <v>8</v>
      </c>
      <c r="H2690">
        <v>1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2</v>
      </c>
      <c r="O2690">
        <v>17</v>
      </c>
      <c r="P2690">
        <f t="shared" si="132"/>
        <v>2025</v>
      </c>
      <c r="Q2690">
        <f t="shared" si="133"/>
        <v>6</v>
      </c>
      <c r="R2690" t="str">
        <f t="shared" si="131"/>
        <v>手淘搜索-短视频</v>
      </c>
      <c r="S2690" t="s">
        <v>629</v>
      </c>
      <c r="T2690" s="546" t="s">
        <v>804</v>
      </c>
    </row>
    <row r="2691" spans="1:20" x14ac:dyDescent="0.3">
      <c r="A2691" t="s">
        <v>627</v>
      </c>
      <c r="B2691" s="16">
        <v>45816</v>
      </c>
      <c r="C2691" t="s">
        <v>3</v>
      </c>
      <c r="D2691" t="s">
        <v>143</v>
      </c>
      <c r="E2691" t="s">
        <v>180</v>
      </c>
      <c r="F2691">
        <v>7</v>
      </c>
      <c r="G2691">
        <v>7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1</v>
      </c>
      <c r="O2691">
        <v>7</v>
      </c>
      <c r="P2691">
        <f t="shared" si="132"/>
        <v>2025</v>
      </c>
      <c r="Q2691">
        <f t="shared" si="133"/>
        <v>6</v>
      </c>
      <c r="R2691" t="str">
        <f t="shared" si="131"/>
        <v>淘特其他渠道</v>
      </c>
      <c r="S2691" t="s">
        <v>629</v>
      </c>
      <c r="T2691" s="546" t="s">
        <v>804</v>
      </c>
    </row>
    <row r="2692" spans="1:20" x14ac:dyDescent="0.3">
      <c r="A2692" t="s">
        <v>627</v>
      </c>
      <c r="B2692" s="16">
        <v>45816</v>
      </c>
      <c r="C2692" t="s">
        <v>3</v>
      </c>
      <c r="D2692" t="s">
        <v>143</v>
      </c>
      <c r="E2692" t="s">
        <v>197</v>
      </c>
      <c r="F2692">
        <v>1</v>
      </c>
      <c r="G2692">
        <v>1</v>
      </c>
      <c r="H2692">
        <v>0</v>
      </c>
      <c r="I2692">
        <v>0</v>
      </c>
      <c r="J2692" s="15">
        <v>1050</v>
      </c>
      <c r="K2692">
        <v>1</v>
      </c>
      <c r="L2692" s="15">
        <v>1050</v>
      </c>
      <c r="M2692">
        <v>1</v>
      </c>
      <c r="N2692">
        <v>0</v>
      </c>
      <c r="O2692">
        <v>1</v>
      </c>
      <c r="P2692">
        <f t="shared" si="132"/>
        <v>2025</v>
      </c>
      <c r="Q2692">
        <f t="shared" si="133"/>
        <v>6</v>
      </c>
      <c r="R2692" t="str">
        <f t="shared" si="131"/>
        <v>淘特推荐</v>
      </c>
      <c r="S2692" t="s">
        <v>629</v>
      </c>
      <c r="T2692" s="546" t="s">
        <v>804</v>
      </c>
    </row>
    <row r="2693" spans="1:20" x14ac:dyDescent="0.3">
      <c r="A2693" t="s">
        <v>627</v>
      </c>
      <c r="B2693" s="16">
        <v>45816</v>
      </c>
      <c r="C2693" t="s">
        <v>3</v>
      </c>
      <c r="D2693" t="s">
        <v>143</v>
      </c>
      <c r="E2693" t="s">
        <v>181</v>
      </c>
      <c r="F2693">
        <v>18</v>
      </c>
      <c r="G2693">
        <v>18</v>
      </c>
      <c r="H2693">
        <v>0</v>
      </c>
      <c r="I2693">
        <v>0</v>
      </c>
      <c r="J2693" s="15">
        <v>1050</v>
      </c>
      <c r="K2693">
        <v>1</v>
      </c>
      <c r="L2693" s="15">
        <v>1050</v>
      </c>
      <c r="M2693">
        <v>1</v>
      </c>
      <c r="N2693">
        <v>0</v>
      </c>
      <c r="O2693">
        <v>18</v>
      </c>
      <c r="P2693">
        <f t="shared" si="132"/>
        <v>2025</v>
      </c>
      <c r="Q2693">
        <f t="shared" si="133"/>
        <v>6</v>
      </c>
      <c r="R2693" t="str">
        <f t="shared" si="131"/>
        <v>淘特搜索</v>
      </c>
      <c r="S2693" t="s">
        <v>629</v>
      </c>
      <c r="T2693" s="546" t="s">
        <v>804</v>
      </c>
    </row>
    <row r="2694" spans="1:20" x14ac:dyDescent="0.3">
      <c r="A2694" t="s">
        <v>627</v>
      </c>
      <c r="B2694" s="16">
        <v>45816</v>
      </c>
      <c r="C2694" t="s">
        <v>3</v>
      </c>
      <c r="D2694" t="s">
        <v>143</v>
      </c>
      <c r="E2694" t="s">
        <v>224</v>
      </c>
      <c r="F2694">
        <v>1</v>
      </c>
      <c r="G2694">
        <v>1</v>
      </c>
      <c r="H2694">
        <v>0</v>
      </c>
      <c r="I2694">
        <v>0</v>
      </c>
      <c r="J2694" s="15">
        <v>1050</v>
      </c>
      <c r="K2694">
        <v>1</v>
      </c>
      <c r="L2694" s="15">
        <v>1050</v>
      </c>
      <c r="M2694">
        <v>1</v>
      </c>
      <c r="N2694">
        <v>0</v>
      </c>
      <c r="O2694">
        <v>1</v>
      </c>
      <c r="P2694">
        <f t="shared" si="132"/>
        <v>2025</v>
      </c>
      <c r="Q2694">
        <f t="shared" si="133"/>
        <v>6</v>
      </c>
      <c r="R2694" t="str">
        <f t="shared" si="131"/>
        <v>淘特自主访问</v>
      </c>
      <c r="S2694" t="s">
        <v>629</v>
      </c>
      <c r="T2694" s="546" t="s">
        <v>804</v>
      </c>
    </row>
    <row r="2695" spans="1:20" x14ac:dyDescent="0.3">
      <c r="A2695" t="s">
        <v>627</v>
      </c>
      <c r="B2695" s="16">
        <v>45816</v>
      </c>
      <c r="C2695" t="s">
        <v>2</v>
      </c>
      <c r="D2695" t="s">
        <v>55</v>
      </c>
      <c r="E2695" t="s">
        <v>54</v>
      </c>
      <c r="F2695">
        <v>1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f t="shared" si="132"/>
        <v>2025</v>
      </c>
      <c r="Q2695">
        <f t="shared" si="133"/>
        <v>6</v>
      </c>
      <c r="R2695" t="str">
        <f t="shared" ref="R2695:R2758" si="134">E2695</f>
        <v>超级直播</v>
      </c>
      <c r="S2695" t="s">
        <v>629</v>
      </c>
      <c r="T2695" s="546" t="s">
        <v>804</v>
      </c>
    </row>
    <row r="2696" spans="1:20" x14ac:dyDescent="0.3">
      <c r="A2696" t="s">
        <v>627</v>
      </c>
      <c r="B2696" s="16">
        <v>45816</v>
      </c>
      <c r="C2696" t="s">
        <v>2</v>
      </c>
      <c r="D2696" t="s">
        <v>55</v>
      </c>
      <c r="E2696" t="s">
        <v>56</v>
      </c>
      <c r="F2696">
        <v>1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</v>
      </c>
      <c r="P2696">
        <f t="shared" si="132"/>
        <v>2025</v>
      </c>
      <c r="Q2696">
        <f t="shared" si="133"/>
        <v>6</v>
      </c>
      <c r="R2696" t="str">
        <f t="shared" si="134"/>
        <v>超级短视频</v>
      </c>
      <c r="S2696" t="s">
        <v>629</v>
      </c>
      <c r="T2696" s="546" t="s">
        <v>804</v>
      </c>
    </row>
    <row r="2697" spans="1:20" x14ac:dyDescent="0.3">
      <c r="A2697" t="s">
        <v>627</v>
      </c>
      <c r="B2697" s="16">
        <v>45816</v>
      </c>
      <c r="C2697" t="s">
        <v>2</v>
      </c>
      <c r="D2697" t="s">
        <v>57</v>
      </c>
      <c r="E2697" t="s">
        <v>64</v>
      </c>
      <c r="F2697" s="15">
        <v>9949</v>
      </c>
      <c r="G2697" s="15">
        <v>5582</v>
      </c>
      <c r="H2697">
        <v>47</v>
      </c>
      <c r="I2697">
        <v>55</v>
      </c>
      <c r="J2697" s="15">
        <v>15255</v>
      </c>
      <c r="K2697">
        <v>4</v>
      </c>
      <c r="L2697" s="15">
        <v>9490</v>
      </c>
      <c r="M2697">
        <v>2</v>
      </c>
      <c r="N2697">
        <v>190</v>
      </c>
      <c r="O2697" s="15">
        <v>9949</v>
      </c>
      <c r="P2697">
        <f t="shared" si="132"/>
        <v>2025</v>
      </c>
      <c r="Q2697">
        <f t="shared" si="133"/>
        <v>6</v>
      </c>
      <c r="R2697" t="str">
        <f t="shared" si="134"/>
        <v>引力魔方</v>
      </c>
      <c r="S2697" t="s">
        <v>629</v>
      </c>
      <c r="T2697" s="546" t="s">
        <v>804</v>
      </c>
    </row>
    <row r="2698" spans="1:20" x14ac:dyDescent="0.3">
      <c r="A2698" t="s">
        <v>627</v>
      </c>
      <c r="B2698" s="16">
        <v>45816</v>
      </c>
      <c r="C2698" t="s">
        <v>2</v>
      </c>
      <c r="D2698" t="s">
        <v>57</v>
      </c>
      <c r="E2698" t="s">
        <v>65</v>
      </c>
      <c r="F2698" s="15">
        <v>3486</v>
      </c>
      <c r="G2698" s="15">
        <v>3011</v>
      </c>
      <c r="H2698">
        <v>43</v>
      </c>
      <c r="I2698">
        <v>19</v>
      </c>
      <c r="J2698" s="15">
        <v>36718</v>
      </c>
      <c r="K2698">
        <v>11</v>
      </c>
      <c r="L2698" s="15">
        <v>9818</v>
      </c>
      <c r="M2698">
        <v>5</v>
      </c>
      <c r="N2698">
        <v>212</v>
      </c>
      <c r="O2698" s="15">
        <v>3454</v>
      </c>
      <c r="P2698">
        <f t="shared" si="132"/>
        <v>2025</v>
      </c>
      <c r="Q2698">
        <f t="shared" si="133"/>
        <v>6</v>
      </c>
      <c r="R2698" t="str">
        <f t="shared" si="134"/>
        <v>直通车</v>
      </c>
      <c r="S2698" t="s">
        <v>629</v>
      </c>
      <c r="T2698" s="546" t="s">
        <v>804</v>
      </c>
    </row>
    <row r="2699" spans="1:20" x14ac:dyDescent="0.3">
      <c r="A2699" t="s">
        <v>627</v>
      </c>
      <c r="B2699" s="16">
        <v>45816</v>
      </c>
      <c r="C2699" t="s">
        <v>2</v>
      </c>
      <c r="D2699" t="s">
        <v>57</v>
      </c>
      <c r="E2699" t="s">
        <v>63</v>
      </c>
      <c r="F2699" s="15">
        <v>3684</v>
      </c>
      <c r="G2699" s="15">
        <v>1941</v>
      </c>
      <c r="H2699">
        <v>155</v>
      </c>
      <c r="I2699">
        <v>135</v>
      </c>
      <c r="J2699" s="15">
        <v>92747</v>
      </c>
      <c r="K2699">
        <v>31</v>
      </c>
      <c r="L2699" s="15">
        <v>77732</v>
      </c>
      <c r="M2699">
        <v>27</v>
      </c>
      <c r="N2699">
        <v>824</v>
      </c>
      <c r="O2699" s="15">
        <v>3380</v>
      </c>
      <c r="P2699">
        <f t="shared" si="132"/>
        <v>2025</v>
      </c>
      <c r="Q2699">
        <f t="shared" si="133"/>
        <v>6</v>
      </c>
      <c r="R2699" t="str">
        <f t="shared" si="134"/>
        <v>万相台</v>
      </c>
      <c r="S2699" t="s">
        <v>629</v>
      </c>
      <c r="T2699" s="546" t="s">
        <v>804</v>
      </c>
    </row>
    <row r="2700" spans="1:20" x14ac:dyDescent="0.3">
      <c r="A2700" t="s">
        <v>627</v>
      </c>
      <c r="B2700" s="16">
        <v>45816</v>
      </c>
      <c r="C2700" t="s">
        <v>2</v>
      </c>
      <c r="D2700" t="s">
        <v>4</v>
      </c>
      <c r="E2700" t="s">
        <v>41</v>
      </c>
      <c r="F2700">
        <v>6</v>
      </c>
      <c r="G2700">
        <v>6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1</v>
      </c>
      <c r="O2700">
        <v>6</v>
      </c>
      <c r="P2700">
        <f t="shared" si="132"/>
        <v>2025</v>
      </c>
      <c r="Q2700">
        <f t="shared" si="133"/>
        <v>6</v>
      </c>
      <c r="R2700" t="str">
        <f t="shared" si="134"/>
        <v>流量宝</v>
      </c>
      <c r="S2700" t="s">
        <v>629</v>
      </c>
      <c r="T2700" s="546" t="s">
        <v>804</v>
      </c>
    </row>
    <row r="2701" spans="1:20" x14ac:dyDescent="0.3">
      <c r="A2701" t="s">
        <v>627</v>
      </c>
      <c r="B2701" s="16">
        <v>45816</v>
      </c>
      <c r="C2701" t="s">
        <v>2</v>
      </c>
      <c r="D2701" t="s">
        <v>4</v>
      </c>
      <c r="E2701" t="s">
        <v>43</v>
      </c>
      <c r="F2701">
        <v>320</v>
      </c>
      <c r="G2701">
        <v>116</v>
      </c>
      <c r="H2701">
        <v>4</v>
      </c>
      <c r="I2701">
        <v>1</v>
      </c>
      <c r="J2701" s="15">
        <v>2490</v>
      </c>
      <c r="K2701">
        <v>1</v>
      </c>
      <c r="L2701" s="15">
        <v>2490</v>
      </c>
      <c r="M2701">
        <v>1</v>
      </c>
      <c r="N2701">
        <v>4</v>
      </c>
      <c r="O2701">
        <v>319</v>
      </c>
      <c r="P2701">
        <f t="shared" si="132"/>
        <v>2025</v>
      </c>
      <c r="Q2701">
        <f t="shared" si="133"/>
        <v>6</v>
      </c>
      <c r="R2701" t="str">
        <f t="shared" si="134"/>
        <v>淘宝客</v>
      </c>
      <c r="S2701" t="s">
        <v>629</v>
      </c>
      <c r="T2701" s="546" t="s">
        <v>804</v>
      </c>
    </row>
    <row r="2702" spans="1:20" x14ac:dyDescent="0.3">
      <c r="A2702" t="s">
        <v>627</v>
      </c>
      <c r="B2702" s="16">
        <v>45817</v>
      </c>
      <c r="C2702" t="s">
        <v>3</v>
      </c>
      <c r="D2702" t="s">
        <v>114</v>
      </c>
      <c r="E2702" t="s">
        <v>159</v>
      </c>
      <c r="F2702">
        <v>190</v>
      </c>
      <c r="G2702">
        <v>125</v>
      </c>
      <c r="H2702">
        <v>6</v>
      </c>
      <c r="I2702">
        <v>0</v>
      </c>
      <c r="J2702" s="15">
        <v>2490</v>
      </c>
      <c r="K2702">
        <v>1</v>
      </c>
      <c r="L2702">
        <v>0</v>
      </c>
      <c r="M2702">
        <v>0</v>
      </c>
      <c r="N2702">
        <v>13</v>
      </c>
      <c r="O2702">
        <v>185</v>
      </c>
      <c r="P2702">
        <f t="shared" si="132"/>
        <v>2025</v>
      </c>
      <c r="Q2702">
        <f t="shared" si="133"/>
        <v>6</v>
      </c>
      <c r="R2702" t="str">
        <f t="shared" si="134"/>
        <v>主会场</v>
      </c>
      <c r="S2702" t="s">
        <v>629</v>
      </c>
      <c r="T2702" s="546" t="s">
        <v>804</v>
      </c>
    </row>
    <row r="2703" spans="1:20" x14ac:dyDescent="0.3">
      <c r="A2703" t="s">
        <v>627</v>
      </c>
      <c r="B2703" s="16">
        <v>45817</v>
      </c>
      <c r="C2703" t="s">
        <v>3</v>
      </c>
      <c r="D2703" t="s">
        <v>123</v>
      </c>
      <c r="E2703" t="s">
        <v>169</v>
      </c>
      <c r="F2703">
        <v>220</v>
      </c>
      <c r="G2703">
        <v>135</v>
      </c>
      <c r="H2703">
        <v>8</v>
      </c>
      <c r="I2703">
        <v>7</v>
      </c>
      <c r="J2703" s="15">
        <v>7230</v>
      </c>
      <c r="K2703">
        <v>1</v>
      </c>
      <c r="L2703" s="15">
        <v>7230</v>
      </c>
      <c r="M2703">
        <v>1</v>
      </c>
      <c r="N2703">
        <v>46</v>
      </c>
      <c r="O2703">
        <v>210</v>
      </c>
      <c r="P2703">
        <f t="shared" si="132"/>
        <v>2025</v>
      </c>
      <c r="Q2703">
        <f t="shared" si="133"/>
        <v>6</v>
      </c>
      <c r="R2703" t="str">
        <f t="shared" si="134"/>
        <v>商品详情页头图推荐</v>
      </c>
      <c r="S2703" t="s">
        <v>629</v>
      </c>
      <c r="T2703" s="546" t="s">
        <v>804</v>
      </c>
    </row>
    <row r="2704" spans="1:20" x14ac:dyDescent="0.3">
      <c r="A2704" t="s">
        <v>627</v>
      </c>
      <c r="B2704" s="16">
        <v>45817</v>
      </c>
      <c r="C2704" t="s">
        <v>3</v>
      </c>
      <c r="D2704" t="s">
        <v>123</v>
      </c>
      <c r="E2704" t="s">
        <v>170</v>
      </c>
      <c r="F2704">
        <v>24</v>
      </c>
      <c r="G2704">
        <v>16</v>
      </c>
      <c r="H2704">
        <v>4</v>
      </c>
      <c r="I2704">
        <v>1</v>
      </c>
      <c r="J2704">
        <v>0</v>
      </c>
      <c r="K2704">
        <v>0</v>
      </c>
      <c r="L2704">
        <v>0</v>
      </c>
      <c r="M2704">
        <v>0</v>
      </c>
      <c r="N2704">
        <v>22</v>
      </c>
      <c r="O2704">
        <v>14</v>
      </c>
      <c r="P2704">
        <f t="shared" si="132"/>
        <v>2025</v>
      </c>
      <c r="Q2704">
        <f t="shared" si="133"/>
        <v>6</v>
      </c>
      <c r="R2704" t="str">
        <f t="shared" si="134"/>
        <v>店铺超链</v>
      </c>
      <c r="S2704" t="s">
        <v>629</v>
      </c>
      <c r="T2704" s="546" t="s">
        <v>804</v>
      </c>
    </row>
    <row r="2705" spans="1:20" x14ac:dyDescent="0.3">
      <c r="A2705" t="s">
        <v>627</v>
      </c>
      <c r="B2705" s="16">
        <v>45817</v>
      </c>
      <c r="C2705" t="s">
        <v>3</v>
      </c>
      <c r="D2705" t="s">
        <v>127</v>
      </c>
      <c r="E2705" t="s">
        <v>171</v>
      </c>
      <c r="F2705">
        <v>247</v>
      </c>
      <c r="G2705">
        <v>154</v>
      </c>
      <c r="H2705">
        <v>3</v>
      </c>
      <c r="I2705">
        <v>7</v>
      </c>
      <c r="J2705">
        <v>0</v>
      </c>
      <c r="K2705">
        <v>0</v>
      </c>
      <c r="L2705">
        <v>0</v>
      </c>
      <c r="M2705">
        <v>0</v>
      </c>
      <c r="N2705">
        <v>38</v>
      </c>
      <c r="O2705">
        <v>211</v>
      </c>
      <c r="P2705">
        <f t="shared" si="132"/>
        <v>2025</v>
      </c>
      <c r="Q2705">
        <f t="shared" si="133"/>
        <v>6</v>
      </c>
      <c r="R2705" t="str">
        <f t="shared" si="134"/>
        <v>其他猜你喜欢</v>
      </c>
      <c r="S2705" t="s">
        <v>629</v>
      </c>
      <c r="T2705" s="546" t="s">
        <v>804</v>
      </c>
    </row>
    <row r="2706" spans="1:20" x14ac:dyDescent="0.3">
      <c r="A2706" t="s">
        <v>627</v>
      </c>
      <c r="B2706" s="16">
        <v>45817</v>
      </c>
      <c r="C2706" t="s">
        <v>3</v>
      </c>
      <c r="D2706" t="s">
        <v>127</v>
      </c>
      <c r="E2706" t="s">
        <v>172</v>
      </c>
      <c r="F2706">
        <v>16</v>
      </c>
      <c r="G2706">
        <v>9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2</v>
      </c>
      <c r="O2706">
        <v>11</v>
      </c>
      <c r="P2706">
        <f t="shared" si="132"/>
        <v>2025</v>
      </c>
      <c r="Q2706">
        <f t="shared" si="133"/>
        <v>6</v>
      </c>
      <c r="R2706" t="str">
        <f t="shared" si="134"/>
        <v>购中推荐</v>
      </c>
      <c r="S2706" t="s">
        <v>629</v>
      </c>
      <c r="T2706" s="546" t="s">
        <v>804</v>
      </c>
    </row>
    <row r="2707" spans="1:20" x14ac:dyDescent="0.3">
      <c r="A2707" t="s">
        <v>627</v>
      </c>
      <c r="B2707" s="16">
        <v>45817</v>
      </c>
      <c r="C2707" t="s">
        <v>3</v>
      </c>
      <c r="D2707" t="s">
        <v>127</v>
      </c>
      <c r="E2707" t="s">
        <v>173</v>
      </c>
      <c r="F2707">
        <v>137</v>
      </c>
      <c r="G2707">
        <v>100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5</v>
      </c>
      <c r="O2707">
        <v>53</v>
      </c>
      <c r="P2707">
        <f t="shared" si="132"/>
        <v>2025</v>
      </c>
      <c r="Q2707">
        <f t="shared" si="133"/>
        <v>6</v>
      </c>
      <c r="R2707" t="str">
        <f t="shared" si="134"/>
        <v>购后推荐</v>
      </c>
      <c r="S2707" t="s">
        <v>629</v>
      </c>
      <c r="T2707" s="546" t="s">
        <v>804</v>
      </c>
    </row>
    <row r="2708" spans="1:20" x14ac:dyDescent="0.3">
      <c r="A2708" t="s">
        <v>627</v>
      </c>
      <c r="B2708" s="16">
        <v>45817</v>
      </c>
      <c r="C2708" t="s">
        <v>3</v>
      </c>
      <c r="D2708" t="s">
        <v>127</v>
      </c>
      <c r="E2708" t="s">
        <v>174</v>
      </c>
      <c r="F2708" s="15">
        <v>6982</v>
      </c>
      <c r="G2708" s="15">
        <v>6131</v>
      </c>
      <c r="H2708">
        <v>47</v>
      </c>
      <c r="I2708">
        <v>38</v>
      </c>
      <c r="J2708" s="15">
        <v>68410</v>
      </c>
      <c r="K2708">
        <v>7</v>
      </c>
      <c r="L2708" s="15">
        <v>8920</v>
      </c>
      <c r="M2708">
        <v>4</v>
      </c>
      <c r="N2708">
        <v>349</v>
      </c>
      <c r="O2708" s="15">
        <v>6982</v>
      </c>
      <c r="P2708">
        <f t="shared" si="132"/>
        <v>2025</v>
      </c>
      <c r="Q2708">
        <f t="shared" si="133"/>
        <v>6</v>
      </c>
      <c r="R2708" t="str">
        <f t="shared" si="134"/>
        <v>首页推荐-微详情</v>
      </c>
      <c r="S2708" t="s">
        <v>629</v>
      </c>
      <c r="T2708" s="546" t="s">
        <v>804</v>
      </c>
    </row>
    <row r="2709" spans="1:20" x14ac:dyDescent="0.3">
      <c r="A2709" t="s">
        <v>627</v>
      </c>
      <c r="B2709" s="16">
        <v>45817</v>
      </c>
      <c r="C2709" t="s">
        <v>3</v>
      </c>
      <c r="D2709" t="s">
        <v>127</v>
      </c>
      <c r="E2709" t="s">
        <v>176</v>
      </c>
      <c r="F2709">
        <v>352</v>
      </c>
      <c r="G2709">
        <v>244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2</v>
      </c>
      <c r="O2709">
        <v>21</v>
      </c>
      <c r="P2709">
        <f t="shared" ref="P2709:P2772" si="135">YEAR(B2709)</f>
        <v>2025</v>
      </c>
      <c r="Q2709">
        <f t="shared" ref="Q2709:Q2772" si="136">MONTH(B2709)</f>
        <v>6</v>
      </c>
      <c r="R2709" t="str">
        <f t="shared" si="134"/>
        <v>首页推荐-短视频</v>
      </c>
      <c r="S2709" t="s">
        <v>629</v>
      </c>
      <c r="T2709" s="546" t="s">
        <v>804</v>
      </c>
    </row>
    <row r="2710" spans="1:20" x14ac:dyDescent="0.3">
      <c r="A2710" t="s">
        <v>627</v>
      </c>
      <c r="B2710" s="16">
        <v>45817</v>
      </c>
      <c r="C2710" t="s">
        <v>3</v>
      </c>
      <c r="D2710" t="s">
        <v>128</v>
      </c>
      <c r="E2710" t="s">
        <v>177</v>
      </c>
      <c r="F2710">
        <v>810</v>
      </c>
      <c r="G2710">
        <v>586</v>
      </c>
      <c r="H2710">
        <v>41</v>
      </c>
      <c r="I2710">
        <v>5</v>
      </c>
      <c r="J2710" s="15">
        <v>24685</v>
      </c>
      <c r="K2710">
        <v>5</v>
      </c>
      <c r="L2710" s="15">
        <v>19665</v>
      </c>
      <c r="M2710">
        <v>4</v>
      </c>
      <c r="N2710">
        <v>363</v>
      </c>
      <c r="O2710">
        <v>600</v>
      </c>
      <c r="P2710">
        <f t="shared" si="135"/>
        <v>2025</v>
      </c>
      <c r="Q2710">
        <f t="shared" si="136"/>
        <v>6</v>
      </c>
      <c r="R2710" t="str">
        <f t="shared" si="134"/>
        <v>手淘搜索-商品及其他</v>
      </c>
      <c r="S2710" t="s">
        <v>629</v>
      </c>
      <c r="T2710" s="546" t="s">
        <v>804</v>
      </c>
    </row>
    <row r="2711" spans="1:20" x14ac:dyDescent="0.3">
      <c r="A2711" t="s">
        <v>627</v>
      </c>
      <c r="B2711" s="16">
        <v>45817</v>
      </c>
      <c r="C2711" t="s">
        <v>3</v>
      </c>
      <c r="D2711" t="s">
        <v>128</v>
      </c>
      <c r="E2711" t="s">
        <v>179</v>
      </c>
      <c r="F2711">
        <v>12</v>
      </c>
      <c r="G2711">
        <v>9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3</v>
      </c>
      <c r="O2711">
        <v>11</v>
      </c>
      <c r="P2711">
        <f t="shared" si="135"/>
        <v>2025</v>
      </c>
      <c r="Q2711">
        <f t="shared" si="136"/>
        <v>6</v>
      </c>
      <c r="R2711" t="str">
        <f t="shared" si="134"/>
        <v>手淘搜索-短视频</v>
      </c>
      <c r="S2711" t="s">
        <v>629</v>
      </c>
      <c r="T2711" s="546" t="s">
        <v>804</v>
      </c>
    </row>
    <row r="2712" spans="1:20" x14ac:dyDescent="0.3">
      <c r="A2712" t="s">
        <v>627</v>
      </c>
      <c r="B2712" s="16">
        <v>45817</v>
      </c>
      <c r="C2712" t="s">
        <v>3</v>
      </c>
      <c r="D2712" t="s">
        <v>143</v>
      </c>
      <c r="E2712" t="s">
        <v>180</v>
      </c>
      <c r="F2712">
        <v>4</v>
      </c>
      <c r="G2712">
        <v>2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1</v>
      </c>
      <c r="O2712">
        <v>3</v>
      </c>
      <c r="P2712">
        <f t="shared" si="135"/>
        <v>2025</v>
      </c>
      <c r="Q2712">
        <f t="shared" si="136"/>
        <v>6</v>
      </c>
      <c r="R2712" t="str">
        <f t="shared" si="134"/>
        <v>淘特其他渠道</v>
      </c>
      <c r="S2712" t="s">
        <v>629</v>
      </c>
      <c r="T2712" s="546" t="s">
        <v>804</v>
      </c>
    </row>
    <row r="2713" spans="1:20" x14ac:dyDescent="0.3">
      <c r="A2713" t="s">
        <v>627</v>
      </c>
      <c r="B2713" s="16">
        <v>45817</v>
      </c>
      <c r="C2713" t="s">
        <v>3</v>
      </c>
      <c r="D2713" t="s">
        <v>143</v>
      </c>
      <c r="E2713" t="s">
        <v>181</v>
      </c>
      <c r="F2713">
        <v>12</v>
      </c>
      <c r="G2713">
        <v>10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12</v>
      </c>
      <c r="P2713">
        <f t="shared" si="135"/>
        <v>2025</v>
      </c>
      <c r="Q2713">
        <f t="shared" si="136"/>
        <v>6</v>
      </c>
      <c r="R2713" t="str">
        <f t="shared" si="134"/>
        <v>淘特搜索</v>
      </c>
      <c r="S2713" t="s">
        <v>629</v>
      </c>
      <c r="T2713" s="546" t="s">
        <v>804</v>
      </c>
    </row>
    <row r="2714" spans="1:20" x14ac:dyDescent="0.3">
      <c r="A2714" t="s">
        <v>627</v>
      </c>
      <c r="B2714" s="16">
        <v>45817</v>
      </c>
      <c r="C2714" t="s">
        <v>2</v>
      </c>
      <c r="D2714" t="s">
        <v>55</v>
      </c>
      <c r="E2714" t="s">
        <v>56</v>
      </c>
      <c r="F2714">
        <v>4</v>
      </c>
      <c r="G2714">
        <v>4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4</v>
      </c>
      <c r="P2714">
        <f t="shared" si="135"/>
        <v>2025</v>
      </c>
      <c r="Q2714">
        <f t="shared" si="136"/>
        <v>6</v>
      </c>
      <c r="R2714" t="str">
        <f t="shared" si="134"/>
        <v>超级短视频</v>
      </c>
      <c r="S2714" t="s">
        <v>629</v>
      </c>
      <c r="T2714" s="546" t="s">
        <v>804</v>
      </c>
    </row>
    <row r="2715" spans="1:20" x14ac:dyDescent="0.3">
      <c r="A2715" t="s">
        <v>627</v>
      </c>
      <c r="B2715" s="16">
        <v>45817</v>
      </c>
      <c r="C2715" t="s">
        <v>2</v>
      </c>
      <c r="D2715" t="s">
        <v>52</v>
      </c>
      <c r="E2715" t="s">
        <v>183</v>
      </c>
      <c r="F2715">
        <v>1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1</v>
      </c>
      <c r="O2715">
        <v>0</v>
      </c>
      <c r="P2715">
        <f t="shared" si="135"/>
        <v>2025</v>
      </c>
      <c r="Q2715">
        <f t="shared" si="136"/>
        <v>6</v>
      </c>
      <c r="R2715" t="str">
        <f t="shared" si="134"/>
        <v>品销宝-品牌专区</v>
      </c>
      <c r="S2715" t="s">
        <v>629</v>
      </c>
      <c r="T2715" s="546" t="s">
        <v>804</v>
      </c>
    </row>
    <row r="2716" spans="1:20" x14ac:dyDescent="0.3">
      <c r="A2716" t="s">
        <v>627</v>
      </c>
      <c r="B2716" s="16">
        <v>45817</v>
      </c>
      <c r="C2716" t="s">
        <v>2</v>
      </c>
      <c r="D2716" t="s">
        <v>52</v>
      </c>
      <c r="E2716" t="s">
        <v>58</v>
      </c>
      <c r="F2716">
        <v>1</v>
      </c>
      <c r="G2716">
        <v>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1</v>
      </c>
      <c r="O2716">
        <v>1</v>
      </c>
      <c r="P2716">
        <f t="shared" si="135"/>
        <v>2025</v>
      </c>
      <c r="Q2716">
        <f t="shared" si="136"/>
        <v>6</v>
      </c>
      <c r="R2716" t="str">
        <f t="shared" si="134"/>
        <v>超级全域通</v>
      </c>
      <c r="S2716" t="s">
        <v>629</v>
      </c>
      <c r="T2716" s="546" t="s">
        <v>804</v>
      </c>
    </row>
    <row r="2717" spans="1:20" x14ac:dyDescent="0.3">
      <c r="A2717" t="s">
        <v>627</v>
      </c>
      <c r="B2717" s="16">
        <v>45817</v>
      </c>
      <c r="C2717" t="s">
        <v>2</v>
      </c>
      <c r="D2717" t="s">
        <v>57</v>
      </c>
      <c r="E2717" t="s">
        <v>64</v>
      </c>
      <c r="F2717" s="15">
        <v>9072</v>
      </c>
      <c r="G2717" s="15">
        <v>4939</v>
      </c>
      <c r="H2717">
        <v>43</v>
      </c>
      <c r="I2717">
        <v>50</v>
      </c>
      <c r="J2717" s="15">
        <v>24845</v>
      </c>
      <c r="K2717">
        <v>5</v>
      </c>
      <c r="L2717" s="15">
        <v>17960</v>
      </c>
      <c r="M2717">
        <v>4</v>
      </c>
      <c r="N2717">
        <v>218</v>
      </c>
      <c r="O2717" s="15">
        <v>9072</v>
      </c>
      <c r="P2717">
        <f t="shared" si="135"/>
        <v>2025</v>
      </c>
      <c r="Q2717">
        <f t="shared" si="136"/>
        <v>6</v>
      </c>
      <c r="R2717" t="str">
        <f t="shared" si="134"/>
        <v>引力魔方</v>
      </c>
      <c r="S2717" t="s">
        <v>629</v>
      </c>
      <c r="T2717" s="546" t="s">
        <v>804</v>
      </c>
    </row>
    <row r="2718" spans="1:20" x14ac:dyDescent="0.3">
      <c r="A2718" t="s">
        <v>627</v>
      </c>
      <c r="B2718" s="16">
        <v>45817</v>
      </c>
      <c r="C2718" t="s">
        <v>2</v>
      </c>
      <c r="D2718" t="s">
        <v>57</v>
      </c>
      <c r="E2718" t="s">
        <v>65</v>
      </c>
      <c r="F2718" s="15">
        <v>3392</v>
      </c>
      <c r="G2718" s="15">
        <v>2949</v>
      </c>
      <c r="H2718">
        <v>42</v>
      </c>
      <c r="I2718">
        <v>16</v>
      </c>
      <c r="J2718" s="15">
        <v>32199</v>
      </c>
      <c r="K2718">
        <v>9</v>
      </c>
      <c r="L2718" s="15">
        <v>10219</v>
      </c>
      <c r="M2718">
        <v>4</v>
      </c>
      <c r="N2718">
        <v>219</v>
      </c>
      <c r="O2718" s="15">
        <v>3358</v>
      </c>
      <c r="P2718">
        <f t="shared" si="135"/>
        <v>2025</v>
      </c>
      <c r="Q2718">
        <f t="shared" si="136"/>
        <v>6</v>
      </c>
      <c r="R2718" t="str">
        <f t="shared" si="134"/>
        <v>直通车</v>
      </c>
      <c r="S2718" t="s">
        <v>629</v>
      </c>
      <c r="T2718" s="546" t="s">
        <v>804</v>
      </c>
    </row>
    <row r="2719" spans="1:20" x14ac:dyDescent="0.3">
      <c r="A2719" t="s">
        <v>627</v>
      </c>
      <c r="B2719" s="16">
        <v>45817</v>
      </c>
      <c r="C2719" t="s">
        <v>2</v>
      </c>
      <c r="D2719" t="s">
        <v>57</v>
      </c>
      <c r="E2719" t="s">
        <v>63</v>
      </c>
      <c r="F2719" s="15">
        <v>3919</v>
      </c>
      <c r="G2719" s="15">
        <v>2037</v>
      </c>
      <c r="H2719">
        <v>143</v>
      </c>
      <c r="I2719">
        <v>149</v>
      </c>
      <c r="J2719" s="17">
        <v>53904.7</v>
      </c>
      <c r="K2719">
        <v>17</v>
      </c>
      <c r="L2719" s="17">
        <v>51431.85</v>
      </c>
      <c r="M2719">
        <v>17</v>
      </c>
      <c r="N2719">
        <v>707</v>
      </c>
      <c r="O2719" s="15">
        <v>3656</v>
      </c>
      <c r="P2719">
        <f t="shared" si="135"/>
        <v>2025</v>
      </c>
      <c r="Q2719">
        <f t="shared" si="136"/>
        <v>6</v>
      </c>
      <c r="R2719" t="str">
        <f t="shared" si="134"/>
        <v>万相台</v>
      </c>
      <c r="S2719" t="s">
        <v>629</v>
      </c>
      <c r="T2719" s="546" t="s">
        <v>804</v>
      </c>
    </row>
    <row r="2720" spans="1:20" x14ac:dyDescent="0.3">
      <c r="A2720" t="s">
        <v>627</v>
      </c>
      <c r="B2720" s="16">
        <v>45817</v>
      </c>
      <c r="C2720" t="s">
        <v>2</v>
      </c>
      <c r="D2720" t="s">
        <v>4</v>
      </c>
      <c r="E2720" t="s">
        <v>41</v>
      </c>
      <c r="F2720">
        <v>4</v>
      </c>
      <c r="G2720">
        <v>3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4</v>
      </c>
      <c r="P2720">
        <f t="shared" si="135"/>
        <v>2025</v>
      </c>
      <c r="Q2720">
        <f t="shared" si="136"/>
        <v>6</v>
      </c>
      <c r="R2720" t="str">
        <f t="shared" si="134"/>
        <v>流量宝</v>
      </c>
      <c r="S2720" t="s">
        <v>629</v>
      </c>
      <c r="T2720" s="546" t="s">
        <v>804</v>
      </c>
    </row>
    <row r="2721" spans="1:20" x14ac:dyDescent="0.3">
      <c r="A2721" t="s">
        <v>627</v>
      </c>
      <c r="B2721" s="16">
        <v>45817</v>
      </c>
      <c r="C2721" t="s">
        <v>2</v>
      </c>
      <c r="D2721" t="s">
        <v>4</v>
      </c>
      <c r="E2721" t="s">
        <v>43</v>
      </c>
      <c r="F2721">
        <v>296</v>
      </c>
      <c r="G2721">
        <v>76</v>
      </c>
      <c r="H2721">
        <v>4</v>
      </c>
      <c r="I2721">
        <v>0</v>
      </c>
      <c r="J2721" s="15">
        <v>4407</v>
      </c>
      <c r="K2721">
        <v>2</v>
      </c>
      <c r="L2721" s="15">
        <v>4407</v>
      </c>
      <c r="M2721">
        <v>2</v>
      </c>
      <c r="N2721">
        <v>2</v>
      </c>
      <c r="O2721">
        <v>296</v>
      </c>
      <c r="P2721">
        <f t="shared" si="135"/>
        <v>2025</v>
      </c>
      <c r="Q2721">
        <f t="shared" si="136"/>
        <v>6</v>
      </c>
      <c r="R2721" t="str">
        <f t="shared" si="134"/>
        <v>淘宝客</v>
      </c>
      <c r="S2721" t="s">
        <v>629</v>
      </c>
      <c r="T2721" s="546" t="s">
        <v>804</v>
      </c>
    </row>
    <row r="2722" spans="1:20" x14ac:dyDescent="0.3">
      <c r="A2722" t="s">
        <v>627</v>
      </c>
      <c r="B2722" s="16">
        <v>45818</v>
      </c>
      <c r="C2722" t="s">
        <v>3</v>
      </c>
      <c r="D2722" t="s">
        <v>114</v>
      </c>
      <c r="E2722" t="s">
        <v>159</v>
      </c>
      <c r="F2722">
        <v>171</v>
      </c>
      <c r="G2722">
        <v>109</v>
      </c>
      <c r="H2722">
        <v>2</v>
      </c>
      <c r="I2722">
        <v>3</v>
      </c>
      <c r="J2722">
        <v>0</v>
      </c>
      <c r="K2722">
        <v>0</v>
      </c>
      <c r="L2722">
        <v>0</v>
      </c>
      <c r="M2722">
        <v>0</v>
      </c>
      <c r="N2722">
        <v>13</v>
      </c>
      <c r="O2722">
        <v>168</v>
      </c>
      <c r="P2722">
        <f t="shared" si="135"/>
        <v>2025</v>
      </c>
      <c r="Q2722">
        <f t="shared" si="136"/>
        <v>6</v>
      </c>
      <c r="R2722" t="str">
        <f t="shared" si="134"/>
        <v>主会场</v>
      </c>
      <c r="S2722" t="s">
        <v>629</v>
      </c>
      <c r="T2722" s="546" t="s">
        <v>804</v>
      </c>
    </row>
    <row r="2723" spans="1:20" x14ac:dyDescent="0.3">
      <c r="A2723" t="s">
        <v>627</v>
      </c>
      <c r="B2723" s="16">
        <v>45818</v>
      </c>
      <c r="C2723" t="s">
        <v>3</v>
      </c>
      <c r="D2723" t="s">
        <v>123</v>
      </c>
      <c r="E2723" t="s">
        <v>169</v>
      </c>
      <c r="F2723">
        <v>131</v>
      </c>
      <c r="G2723">
        <v>66</v>
      </c>
      <c r="H2723">
        <v>4</v>
      </c>
      <c r="I2723">
        <v>2</v>
      </c>
      <c r="J2723" s="15">
        <v>13321</v>
      </c>
      <c r="K2723">
        <v>3</v>
      </c>
      <c r="L2723" s="15">
        <v>4625</v>
      </c>
      <c r="M2723">
        <v>2</v>
      </c>
      <c r="N2723">
        <v>30</v>
      </c>
      <c r="O2723">
        <v>126</v>
      </c>
      <c r="P2723">
        <f t="shared" si="135"/>
        <v>2025</v>
      </c>
      <c r="Q2723">
        <f t="shared" si="136"/>
        <v>6</v>
      </c>
      <c r="R2723" t="str">
        <f t="shared" si="134"/>
        <v>商品详情页头图推荐</v>
      </c>
      <c r="S2723" t="s">
        <v>629</v>
      </c>
      <c r="T2723" s="546" t="s">
        <v>804</v>
      </c>
    </row>
    <row r="2724" spans="1:20" x14ac:dyDescent="0.3">
      <c r="A2724" t="s">
        <v>627</v>
      </c>
      <c r="B2724" s="16">
        <v>45818</v>
      </c>
      <c r="C2724" t="s">
        <v>3</v>
      </c>
      <c r="D2724" t="s">
        <v>123</v>
      </c>
      <c r="E2724" t="s">
        <v>170</v>
      </c>
      <c r="F2724">
        <v>27</v>
      </c>
      <c r="G2724">
        <v>11</v>
      </c>
      <c r="H2724">
        <v>1</v>
      </c>
      <c r="I2724">
        <v>0</v>
      </c>
      <c r="J2724" s="15">
        <v>4085</v>
      </c>
      <c r="K2724">
        <v>2</v>
      </c>
      <c r="L2724" s="15">
        <v>1690</v>
      </c>
      <c r="M2724">
        <v>1</v>
      </c>
      <c r="N2724">
        <v>20</v>
      </c>
      <c r="O2724">
        <v>14</v>
      </c>
      <c r="P2724">
        <f t="shared" si="135"/>
        <v>2025</v>
      </c>
      <c r="Q2724">
        <f t="shared" si="136"/>
        <v>6</v>
      </c>
      <c r="R2724" t="str">
        <f t="shared" si="134"/>
        <v>店铺超链</v>
      </c>
      <c r="S2724" t="s">
        <v>629</v>
      </c>
      <c r="T2724" s="546" t="s">
        <v>804</v>
      </c>
    </row>
    <row r="2725" spans="1:20" x14ac:dyDescent="0.3">
      <c r="A2725" t="s">
        <v>627</v>
      </c>
      <c r="B2725" s="16">
        <v>45818</v>
      </c>
      <c r="C2725" t="s">
        <v>3</v>
      </c>
      <c r="D2725" t="s">
        <v>127</v>
      </c>
      <c r="E2725" t="s">
        <v>171</v>
      </c>
      <c r="F2725">
        <v>227</v>
      </c>
      <c r="G2725">
        <v>118</v>
      </c>
      <c r="H2725">
        <v>5</v>
      </c>
      <c r="I2725">
        <v>3</v>
      </c>
      <c r="J2725" s="15">
        <v>4740</v>
      </c>
      <c r="K2725">
        <v>4</v>
      </c>
      <c r="L2725" s="15">
        <v>4670</v>
      </c>
      <c r="M2725">
        <v>3</v>
      </c>
      <c r="N2725">
        <v>40</v>
      </c>
      <c r="O2725">
        <v>176</v>
      </c>
      <c r="P2725">
        <f t="shared" si="135"/>
        <v>2025</v>
      </c>
      <c r="Q2725">
        <f t="shared" si="136"/>
        <v>6</v>
      </c>
      <c r="R2725" t="str">
        <f t="shared" si="134"/>
        <v>其他猜你喜欢</v>
      </c>
      <c r="S2725" t="s">
        <v>629</v>
      </c>
      <c r="T2725" s="546" t="s">
        <v>804</v>
      </c>
    </row>
    <row r="2726" spans="1:20" x14ac:dyDescent="0.3">
      <c r="A2726" t="s">
        <v>627</v>
      </c>
      <c r="B2726" s="16">
        <v>45818</v>
      </c>
      <c r="C2726" t="s">
        <v>3</v>
      </c>
      <c r="D2726" t="s">
        <v>127</v>
      </c>
      <c r="E2726" t="s">
        <v>172</v>
      </c>
      <c r="F2726">
        <v>10</v>
      </c>
      <c r="G2726">
        <v>6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3</v>
      </c>
      <c r="P2726">
        <f t="shared" si="135"/>
        <v>2025</v>
      </c>
      <c r="Q2726">
        <f t="shared" si="136"/>
        <v>6</v>
      </c>
      <c r="R2726" t="str">
        <f t="shared" si="134"/>
        <v>购中推荐</v>
      </c>
      <c r="S2726" t="s">
        <v>629</v>
      </c>
      <c r="T2726" s="546" t="s">
        <v>804</v>
      </c>
    </row>
    <row r="2727" spans="1:20" x14ac:dyDescent="0.3">
      <c r="A2727" t="s">
        <v>627</v>
      </c>
      <c r="B2727" s="16">
        <v>45818</v>
      </c>
      <c r="C2727" t="s">
        <v>3</v>
      </c>
      <c r="D2727" t="s">
        <v>127</v>
      </c>
      <c r="E2727" t="s">
        <v>173</v>
      </c>
      <c r="F2727">
        <v>147</v>
      </c>
      <c r="G2727">
        <v>118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2</v>
      </c>
      <c r="O2727">
        <v>27</v>
      </c>
      <c r="P2727">
        <f t="shared" si="135"/>
        <v>2025</v>
      </c>
      <c r="Q2727">
        <f t="shared" si="136"/>
        <v>6</v>
      </c>
      <c r="R2727" t="str">
        <f t="shared" si="134"/>
        <v>购后推荐</v>
      </c>
      <c r="S2727" t="s">
        <v>629</v>
      </c>
      <c r="T2727" s="546" t="s">
        <v>804</v>
      </c>
    </row>
    <row r="2728" spans="1:20" x14ac:dyDescent="0.3">
      <c r="A2728" t="s">
        <v>627</v>
      </c>
      <c r="B2728" s="16">
        <v>45818</v>
      </c>
      <c r="C2728" t="s">
        <v>3</v>
      </c>
      <c r="D2728" t="s">
        <v>127</v>
      </c>
      <c r="E2728" t="s">
        <v>174</v>
      </c>
      <c r="F2728" s="15">
        <v>3074</v>
      </c>
      <c r="G2728" s="15">
        <v>2244</v>
      </c>
      <c r="H2728">
        <v>30</v>
      </c>
      <c r="I2728">
        <v>9</v>
      </c>
      <c r="J2728" s="15">
        <v>25205</v>
      </c>
      <c r="K2728">
        <v>7</v>
      </c>
      <c r="L2728" s="15">
        <v>10839</v>
      </c>
      <c r="M2728">
        <v>4</v>
      </c>
      <c r="N2728">
        <v>111</v>
      </c>
      <c r="O2728" s="15">
        <v>3074</v>
      </c>
      <c r="P2728">
        <f t="shared" si="135"/>
        <v>2025</v>
      </c>
      <c r="Q2728">
        <f t="shared" si="136"/>
        <v>6</v>
      </c>
      <c r="R2728" t="str">
        <f t="shared" si="134"/>
        <v>首页推荐-微详情</v>
      </c>
      <c r="S2728" t="s">
        <v>629</v>
      </c>
      <c r="T2728" s="546" t="s">
        <v>804</v>
      </c>
    </row>
    <row r="2729" spans="1:20" x14ac:dyDescent="0.3">
      <c r="A2729" t="s">
        <v>627</v>
      </c>
      <c r="B2729" s="16">
        <v>45818</v>
      </c>
      <c r="C2729" t="s">
        <v>3</v>
      </c>
      <c r="D2729" t="s">
        <v>127</v>
      </c>
      <c r="E2729" t="s">
        <v>175</v>
      </c>
      <c r="F2729">
        <v>689</v>
      </c>
      <c r="G2729">
        <v>635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2</v>
      </c>
      <c r="O2729">
        <v>27</v>
      </c>
      <c r="P2729">
        <f t="shared" si="135"/>
        <v>2025</v>
      </c>
      <c r="Q2729">
        <f t="shared" si="136"/>
        <v>6</v>
      </c>
      <c r="R2729" t="str">
        <f t="shared" si="134"/>
        <v>首页推荐-直播</v>
      </c>
      <c r="S2729" t="s">
        <v>629</v>
      </c>
      <c r="T2729" s="546" t="s">
        <v>804</v>
      </c>
    </row>
    <row r="2730" spans="1:20" x14ac:dyDescent="0.3">
      <c r="A2730" t="s">
        <v>627</v>
      </c>
      <c r="B2730" s="16">
        <v>45818</v>
      </c>
      <c r="C2730" t="s">
        <v>3</v>
      </c>
      <c r="D2730" t="s">
        <v>127</v>
      </c>
      <c r="E2730" t="s">
        <v>176</v>
      </c>
      <c r="F2730">
        <v>845</v>
      </c>
      <c r="G2730">
        <v>698</v>
      </c>
      <c r="H2730">
        <v>2</v>
      </c>
      <c r="I2730">
        <v>0</v>
      </c>
      <c r="J2730" s="15">
        <v>8696</v>
      </c>
      <c r="K2730">
        <v>1</v>
      </c>
      <c r="L2730">
        <v>0</v>
      </c>
      <c r="M2730">
        <v>0</v>
      </c>
      <c r="N2730">
        <v>6</v>
      </c>
      <c r="O2730">
        <v>36</v>
      </c>
      <c r="P2730">
        <f t="shared" si="135"/>
        <v>2025</v>
      </c>
      <c r="Q2730">
        <f t="shared" si="136"/>
        <v>6</v>
      </c>
      <c r="R2730" t="str">
        <f t="shared" si="134"/>
        <v>首页推荐-短视频</v>
      </c>
      <c r="S2730" t="s">
        <v>629</v>
      </c>
      <c r="T2730" s="546" t="s">
        <v>804</v>
      </c>
    </row>
    <row r="2731" spans="1:20" x14ac:dyDescent="0.3">
      <c r="A2731" t="s">
        <v>627</v>
      </c>
      <c r="B2731" s="16">
        <v>45818</v>
      </c>
      <c r="C2731" t="s">
        <v>3</v>
      </c>
      <c r="D2731" t="s">
        <v>128</v>
      </c>
      <c r="E2731" t="s">
        <v>177</v>
      </c>
      <c r="F2731">
        <v>802</v>
      </c>
      <c r="G2731">
        <v>609</v>
      </c>
      <c r="H2731">
        <v>34</v>
      </c>
      <c r="I2731">
        <v>9</v>
      </c>
      <c r="J2731" s="17">
        <v>32533.22</v>
      </c>
      <c r="K2731">
        <v>11</v>
      </c>
      <c r="L2731" s="17">
        <v>27688.22</v>
      </c>
      <c r="M2731">
        <v>10</v>
      </c>
      <c r="N2731">
        <v>384</v>
      </c>
      <c r="O2731">
        <v>560</v>
      </c>
      <c r="P2731">
        <f t="shared" si="135"/>
        <v>2025</v>
      </c>
      <c r="Q2731">
        <f t="shared" si="136"/>
        <v>6</v>
      </c>
      <c r="R2731" t="str">
        <f t="shared" si="134"/>
        <v>手淘搜索-商品及其他</v>
      </c>
      <c r="S2731" t="s">
        <v>629</v>
      </c>
      <c r="T2731" s="546" t="s">
        <v>804</v>
      </c>
    </row>
    <row r="2732" spans="1:20" x14ac:dyDescent="0.3">
      <c r="A2732" t="s">
        <v>627</v>
      </c>
      <c r="B2732" s="16">
        <v>45818</v>
      </c>
      <c r="C2732" t="s">
        <v>3</v>
      </c>
      <c r="D2732" t="s">
        <v>128</v>
      </c>
      <c r="E2732" t="s">
        <v>178</v>
      </c>
      <c r="F2732">
        <v>15</v>
      </c>
      <c r="G2732">
        <v>11</v>
      </c>
      <c r="H2732">
        <v>3</v>
      </c>
      <c r="I2732">
        <v>1</v>
      </c>
      <c r="J2732" s="15">
        <v>7185</v>
      </c>
      <c r="K2732">
        <v>1</v>
      </c>
      <c r="L2732">
        <v>0</v>
      </c>
      <c r="M2732">
        <v>0</v>
      </c>
      <c r="N2732">
        <v>3</v>
      </c>
      <c r="O2732">
        <v>10</v>
      </c>
      <c r="P2732">
        <f t="shared" si="135"/>
        <v>2025</v>
      </c>
      <c r="Q2732">
        <f t="shared" si="136"/>
        <v>6</v>
      </c>
      <c r="R2732" t="str">
        <f t="shared" si="134"/>
        <v>手淘搜索-直播</v>
      </c>
      <c r="S2732" t="s">
        <v>629</v>
      </c>
      <c r="T2732" s="546" t="s">
        <v>804</v>
      </c>
    </row>
    <row r="2733" spans="1:20" x14ac:dyDescent="0.3">
      <c r="A2733" t="s">
        <v>627</v>
      </c>
      <c r="B2733" s="16">
        <v>45818</v>
      </c>
      <c r="C2733" t="s">
        <v>3</v>
      </c>
      <c r="D2733" t="s">
        <v>128</v>
      </c>
      <c r="E2733" t="s">
        <v>179</v>
      </c>
      <c r="F2733">
        <v>11</v>
      </c>
      <c r="G2733">
        <v>3</v>
      </c>
      <c r="H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1</v>
      </c>
      <c r="O2733">
        <v>11</v>
      </c>
      <c r="P2733">
        <f t="shared" si="135"/>
        <v>2025</v>
      </c>
      <c r="Q2733">
        <f t="shared" si="136"/>
        <v>6</v>
      </c>
      <c r="R2733" t="str">
        <f t="shared" si="134"/>
        <v>手淘搜索-短视频</v>
      </c>
      <c r="S2733" t="s">
        <v>629</v>
      </c>
      <c r="T2733" s="546" t="s">
        <v>804</v>
      </c>
    </row>
    <row r="2734" spans="1:20" x14ac:dyDescent="0.3">
      <c r="A2734" t="s">
        <v>627</v>
      </c>
      <c r="B2734" s="16">
        <v>45818</v>
      </c>
      <c r="C2734" t="s">
        <v>3</v>
      </c>
      <c r="D2734" t="s">
        <v>143</v>
      </c>
      <c r="E2734" t="s">
        <v>180</v>
      </c>
      <c r="F2734">
        <v>8</v>
      </c>
      <c r="G2734">
        <v>7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8</v>
      </c>
      <c r="P2734">
        <f t="shared" si="135"/>
        <v>2025</v>
      </c>
      <c r="Q2734">
        <f t="shared" si="136"/>
        <v>6</v>
      </c>
      <c r="R2734" t="str">
        <f t="shared" si="134"/>
        <v>淘特其他渠道</v>
      </c>
      <c r="S2734" t="s">
        <v>629</v>
      </c>
      <c r="T2734" s="546" t="s">
        <v>804</v>
      </c>
    </row>
    <row r="2735" spans="1:20" x14ac:dyDescent="0.3">
      <c r="A2735" t="s">
        <v>627</v>
      </c>
      <c r="B2735" s="16">
        <v>45818</v>
      </c>
      <c r="C2735" t="s">
        <v>3</v>
      </c>
      <c r="D2735" t="s">
        <v>143</v>
      </c>
      <c r="E2735" t="s">
        <v>181</v>
      </c>
      <c r="F2735">
        <v>20</v>
      </c>
      <c r="G2735">
        <v>20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20</v>
      </c>
      <c r="P2735">
        <f t="shared" si="135"/>
        <v>2025</v>
      </c>
      <c r="Q2735">
        <f t="shared" si="136"/>
        <v>6</v>
      </c>
      <c r="R2735" t="str">
        <f t="shared" si="134"/>
        <v>淘特搜索</v>
      </c>
      <c r="S2735" t="s">
        <v>629</v>
      </c>
      <c r="T2735" s="546" t="s">
        <v>804</v>
      </c>
    </row>
    <row r="2736" spans="1:20" x14ac:dyDescent="0.3">
      <c r="A2736" t="s">
        <v>627</v>
      </c>
      <c r="B2736" s="16">
        <v>45818</v>
      </c>
      <c r="C2736" t="s">
        <v>2</v>
      </c>
      <c r="D2736" t="s">
        <v>55</v>
      </c>
      <c r="E2736" t="s">
        <v>54</v>
      </c>
      <c r="F2736" s="15">
        <v>1146</v>
      </c>
      <c r="G2736">
        <v>965</v>
      </c>
      <c r="H2736">
        <v>19</v>
      </c>
      <c r="I2736">
        <v>2</v>
      </c>
      <c r="J2736">
        <v>0</v>
      </c>
      <c r="K2736">
        <v>0</v>
      </c>
      <c r="L2736">
        <v>0</v>
      </c>
      <c r="M2736">
        <v>0</v>
      </c>
      <c r="N2736">
        <v>17</v>
      </c>
      <c r="O2736">
        <v>177</v>
      </c>
      <c r="P2736">
        <f t="shared" si="135"/>
        <v>2025</v>
      </c>
      <c r="Q2736">
        <f t="shared" si="136"/>
        <v>6</v>
      </c>
      <c r="R2736" t="str">
        <f t="shared" si="134"/>
        <v>超级直播</v>
      </c>
      <c r="S2736" t="s">
        <v>629</v>
      </c>
      <c r="T2736" s="546" t="s">
        <v>804</v>
      </c>
    </row>
    <row r="2737" spans="1:20" x14ac:dyDescent="0.3">
      <c r="A2737" t="s">
        <v>627</v>
      </c>
      <c r="B2737" s="16">
        <v>45818</v>
      </c>
      <c r="C2737" t="s">
        <v>2</v>
      </c>
      <c r="D2737" t="s">
        <v>55</v>
      </c>
      <c r="E2737" t="s">
        <v>56</v>
      </c>
      <c r="F2737">
        <v>7</v>
      </c>
      <c r="G2737">
        <v>3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7</v>
      </c>
      <c r="P2737">
        <f t="shared" si="135"/>
        <v>2025</v>
      </c>
      <c r="Q2737">
        <f t="shared" si="136"/>
        <v>6</v>
      </c>
      <c r="R2737" t="str">
        <f t="shared" si="134"/>
        <v>超级短视频</v>
      </c>
      <c r="S2737" t="s">
        <v>629</v>
      </c>
      <c r="T2737" s="546" t="s">
        <v>804</v>
      </c>
    </row>
    <row r="2738" spans="1:20" x14ac:dyDescent="0.3">
      <c r="A2738" t="s">
        <v>627</v>
      </c>
      <c r="B2738" s="16">
        <v>45818</v>
      </c>
      <c r="C2738" t="s">
        <v>2</v>
      </c>
      <c r="D2738" t="s">
        <v>57</v>
      </c>
      <c r="E2738" t="s">
        <v>64</v>
      </c>
      <c r="F2738" s="15">
        <v>9003</v>
      </c>
      <c r="G2738" s="15">
        <v>5035</v>
      </c>
      <c r="H2738">
        <v>65</v>
      </c>
      <c r="I2738">
        <v>56</v>
      </c>
      <c r="J2738" s="15">
        <v>12365</v>
      </c>
      <c r="K2738">
        <v>4</v>
      </c>
      <c r="L2738" s="15">
        <v>9430</v>
      </c>
      <c r="M2738">
        <v>3</v>
      </c>
      <c r="N2738">
        <v>230</v>
      </c>
      <c r="O2738" s="15">
        <v>9003</v>
      </c>
      <c r="P2738">
        <f t="shared" si="135"/>
        <v>2025</v>
      </c>
      <c r="Q2738">
        <f t="shared" si="136"/>
        <v>6</v>
      </c>
      <c r="R2738" t="str">
        <f t="shared" si="134"/>
        <v>引力魔方</v>
      </c>
      <c r="S2738" t="s">
        <v>629</v>
      </c>
      <c r="T2738" s="546" t="s">
        <v>804</v>
      </c>
    </row>
    <row r="2739" spans="1:20" x14ac:dyDescent="0.3">
      <c r="A2739" t="s">
        <v>627</v>
      </c>
      <c r="B2739" s="16">
        <v>45818</v>
      </c>
      <c r="C2739" t="s">
        <v>2</v>
      </c>
      <c r="D2739" t="s">
        <v>57</v>
      </c>
      <c r="E2739" t="s">
        <v>65</v>
      </c>
      <c r="F2739" s="15">
        <v>3182</v>
      </c>
      <c r="G2739" s="15">
        <v>2771</v>
      </c>
      <c r="H2739">
        <v>29</v>
      </c>
      <c r="I2739">
        <v>21</v>
      </c>
      <c r="J2739" s="15">
        <v>48769</v>
      </c>
      <c r="K2739">
        <v>13</v>
      </c>
      <c r="L2739" s="15">
        <v>9683</v>
      </c>
      <c r="M2739">
        <v>4</v>
      </c>
      <c r="N2739">
        <v>223</v>
      </c>
      <c r="O2739" s="15">
        <v>3142</v>
      </c>
      <c r="P2739">
        <f t="shared" si="135"/>
        <v>2025</v>
      </c>
      <c r="Q2739">
        <f t="shared" si="136"/>
        <v>6</v>
      </c>
      <c r="R2739" t="str">
        <f t="shared" si="134"/>
        <v>直通车</v>
      </c>
      <c r="S2739" t="s">
        <v>629</v>
      </c>
      <c r="T2739" s="546" t="s">
        <v>804</v>
      </c>
    </row>
    <row r="2740" spans="1:20" x14ac:dyDescent="0.3">
      <c r="A2740" t="s">
        <v>627</v>
      </c>
      <c r="B2740" s="16">
        <v>45818</v>
      </c>
      <c r="C2740" t="s">
        <v>2</v>
      </c>
      <c r="D2740" t="s">
        <v>57</v>
      </c>
      <c r="E2740" t="s">
        <v>63</v>
      </c>
      <c r="F2740" s="15">
        <v>4030</v>
      </c>
      <c r="G2740" s="15">
        <v>2204</v>
      </c>
      <c r="H2740">
        <v>116</v>
      </c>
      <c r="I2740">
        <v>146</v>
      </c>
      <c r="J2740" s="15">
        <v>58435</v>
      </c>
      <c r="K2740">
        <v>22</v>
      </c>
      <c r="L2740" s="15">
        <v>45105</v>
      </c>
      <c r="M2740">
        <v>18</v>
      </c>
      <c r="N2740">
        <v>691</v>
      </c>
      <c r="O2740" s="15">
        <v>3766</v>
      </c>
      <c r="P2740">
        <f t="shared" si="135"/>
        <v>2025</v>
      </c>
      <c r="Q2740">
        <f t="shared" si="136"/>
        <v>6</v>
      </c>
      <c r="R2740" t="str">
        <f t="shared" si="134"/>
        <v>万相台</v>
      </c>
      <c r="S2740" t="s">
        <v>629</v>
      </c>
      <c r="T2740" s="546" t="s">
        <v>804</v>
      </c>
    </row>
    <row r="2741" spans="1:20" x14ac:dyDescent="0.3">
      <c r="A2741" t="s">
        <v>627</v>
      </c>
      <c r="B2741" s="16">
        <v>45818</v>
      </c>
      <c r="C2741" t="s">
        <v>2</v>
      </c>
      <c r="D2741" t="s">
        <v>4</v>
      </c>
      <c r="E2741" t="s">
        <v>42</v>
      </c>
      <c r="F2741">
        <v>2</v>
      </c>
      <c r="G2741">
        <v>2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f t="shared" si="135"/>
        <v>2025</v>
      </c>
      <c r="Q2741">
        <f t="shared" si="136"/>
        <v>6</v>
      </c>
      <c r="R2741" t="str">
        <f t="shared" si="134"/>
        <v>UD效果投放</v>
      </c>
      <c r="S2741" t="s">
        <v>629</v>
      </c>
      <c r="T2741" s="546" t="s">
        <v>804</v>
      </c>
    </row>
    <row r="2742" spans="1:20" x14ac:dyDescent="0.3">
      <c r="A2742" t="s">
        <v>627</v>
      </c>
      <c r="B2742" s="16">
        <v>45818</v>
      </c>
      <c r="C2742" t="s">
        <v>2</v>
      </c>
      <c r="D2742" t="s">
        <v>4</v>
      </c>
      <c r="E2742" t="s">
        <v>41</v>
      </c>
      <c r="F2742">
        <v>1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</v>
      </c>
      <c r="P2742">
        <f t="shared" si="135"/>
        <v>2025</v>
      </c>
      <c r="Q2742">
        <f t="shared" si="136"/>
        <v>6</v>
      </c>
      <c r="R2742" t="str">
        <f t="shared" si="134"/>
        <v>流量宝</v>
      </c>
      <c r="S2742" t="s">
        <v>629</v>
      </c>
      <c r="T2742" s="546" t="s">
        <v>804</v>
      </c>
    </row>
    <row r="2743" spans="1:20" x14ac:dyDescent="0.3">
      <c r="A2743" t="s">
        <v>627</v>
      </c>
      <c r="B2743" s="16">
        <v>45818</v>
      </c>
      <c r="C2743" t="s">
        <v>2</v>
      </c>
      <c r="D2743" t="s">
        <v>4</v>
      </c>
      <c r="E2743" t="s">
        <v>43</v>
      </c>
      <c r="F2743">
        <v>248</v>
      </c>
      <c r="G2743">
        <v>79</v>
      </c>
      <c r="H2743">
        <v>3</v>
      </c>
      <c r="I2743">
        <v>1</v>
      </c>
      <c r="J2743" s="15">
        <v>13170</v>
      </c>
      <c r="K2743">
        <v>1</v>
      </c>
      <c r="L2743" s="15">
        <v>13170</v>
      </c>
      <c r="M2743">
        <v>1</v>
      </c>
      <c r="N2743">
        <v>1</v>
      </c>
      <c r="O2743">
        <v>246</v>
      </c>
      <c r="P2743">
        <f t="shared" si="135"/>
        <v>2025</v>
      </c>
      <c r="Q2743">
        <f t="shared" si="136"/>
        <v>6</v>
      </c>
      <c r="R2743" t="str">
        <f t="shared" si="134"/>
        <v>淘宝客</v>
      </c>
      <c r="S2743" t="s">
        <v>629</v>
      </c>
      <c r="T2743" s="546" t="s">
        <v>804</v>
      </c>
    </row>
    <row r="2744" spans="1:20" x14ac:dyDescent="0.3">
      <c r="A2744" t="s">
        <v>627</v>
      </c>
      <c r="B2744" s="16">
        <v>45819</v>
      </c>
      <c r="C2744" t="s">
        <v>3</v>
      </c>
      <c r="D2744" t="s">
        <v>114</v>
      </c>
      <c r="E2744" t="s">
        <v>159</v>
      </c>
      <c r="F2744">
        <v>137</v>
      </c>
      <c r="G2744">
        <v>91</v>
      </c>
      <c r="H2744">
        <v>5</v>
      </c>
      <c r="I2744">
        <v>1</v>
      </c>
      <c r="J2744" s="15">
        <v>1990</v>
      </c>
      <c r="K2744">
        <v>1</v>
      </c>
      <c r="L2744" s="15">
        <v>1990</v>
      </c>
      <c r="M2744">
        <v>1</v>
      </c>
      <c r="N2744">
        <v>7</v>
      </c>
      <c r="O2744">
        <v>136</v>
      </c>
      <c r="P2744">
        <f t="shared" si="135"/>
        <v>2025</v>
      </c>
      <c r="Q2744">
        <f t="shared" si="136"/>
        <v>6</v>
      </c>
      <c r="R2744" t="str">
        <f t="shared" si="134"/>
        <v>主会场</v>
      </c>
      <c r="S2744" t="s">
        <v>629</v>
      </c>
      <c r="T2744" s="546" t="s">
        <v>804</v>
      </c>
    </row>
    <row r="2745" spans="1:20" x14ac:dyDescent="0.3">
      <c r="A2745" t="s">
        <v>627</v>
      </c>
      <c r="B2745" s="16">
        <v>45819</v>
      </c>
      <c r="C2745" t="s">
        <v>3</v>
      </c>
      <c r="D2745" t="s">
        <v>123</v>
      </c>
      <c r="E2745" t="s">
        <v>169</v>
      </c>
      <c r="F2745">
        <v>132</v>
      </c>
      <c r="G2745">
        <v>49</v>
      </c>
      <c r="H2745">
        <v>7</v>
      </c>
      <c r="I2745">
        <v>3</v>
      </c>
      <c r="J2745" s="15">
        <v>16825</v>
      </c>
      <c r="K2745">
        <v>3</v>
      </c>
      <c r="L2745" s="15">
        <v>7940</v>
      </c>
      <c r="M2745">
        <v>2</v>
      </c>
      <c r="N2745">
        <v>26</v>
      </c>
      <c r="O2745">
        <v>129</v>
      </c>
      <c r="P2745">
        <f t="shared" si="135"/>
        <v>2025</v>
      </c>
      <c r="Q2745">
        <f t="shared" si="136"/>
        <v>6</v>
      </c>
      <c r="R2745" t="str">
        <f t="shared" si="134"/>
        <v>商品详情页头图推荐</v>
      </c>
      <c r="S2745" t="s">
        <v>629</v>
      </c>
      <c r="T2745" s="546" t="s">
        <v>804</v>
      </c>
    </row>
    <row r="2746" spans="1:20" x14ac:dyDescent="0.3">
      <c r="A2746" t="s">
        <v>627</v>
      </c>
      <c r="B2746" s="16">
        <v>45819</v>
      </c>
      <c r="C2746" t="s">
        <v>3</v>
      </c>
      <c r="D2746" t="s">
        <v>123</v>
      </c>
      <c r="E2746" t="s">
        <v>170</v>
      </c>
      <c r="F2746">
        <v>25</v>
      </c>
      <c r="G2746">
        <v>15</v>
      </c>
      <c r="H2746">
        <v>2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24</v>
      </c>
      <c r="O2746">
        <v>10</v>
      </c>
      <c r="P2746">
        <f t="shared" si="135"/>
        <v>2025</v>
      </c>
      <c r="Q2746">
        <f t="shared" si="136"/>
        <v>6</v>
      </c>
      <c r="R2746" t="str">
        <f t="shared" si="134"/>
        <v>店铺超链</v>
      </c>
      <c r="S2746" t="s">
        <v>629</v>
      </c>
      <c r="T2746" s="546" t="s">
        <v>804</v>
      </c>
    </row>
    <row r="2747" spans="1:20" x14ac:dyDescent="0.3">
      <c r="A2747" t="s">
        <v>627</v>
      </c>
      <c r="B2747" s="16">
        <v>45819</v>
      </c>
      <c r="C2747" t="s">
        <v>3</v>
      </c>
      <c r="D2747" t="s">
        <v>127</v>
      </c>
      <c r="E2747" t="s">
        <v>171</v>
      </c>
      <c r="F2747">
        <v>168</v>
      </c>
      <c r="G2747">
        <v>80</v>
      </c>
      <c r="H2747">
        <v>8</v>
      </c>
      <c r="I2747">
        <v>1</v>
      </c>
      <c r="J2747">
        <v>0</v>
      </c>
      <c r="K2747">
        <v>0</v>
      </c>
      <c r="L2747">
        <v>0</v>
      </c>
      <c r="M2747">
        <v>0</v>
      </c>
      <c r="N2747">
        <v>34</v>
      </c>
      <c r="O2747">
        <v>132</v>
      </c>
      <c r="P2747">
        <f t="shared" si="135"/>
        <v>2025</v>
      </c>
      <c r="Q2747">
        <f t="shared" si="136"/>
        <v>6</v>
      </c>
      <c r="R2747" t="str">
        <f t="shared" si="134"/>
        <v>其他猜你喜欢</v>
      </c>
      <c r="S2747" t="s">
        <v>629</v>
      </c>
      <c r="T2747" s="546" t="s">
        <v>804</v>
      </c>
    </row>
    <row r="2748" spans="1:20" x14ac:dyDescent="0.3">
      <c r="A2748" t="s">
        <v>627</v>
      </c>
      <c r="B2748" s="16">
        <v>45819</v>
      </c>
      <c r="C2748" t="s">
        <v>3</v>
      </c>
      <c r="D2748" t="s">
        <v>127</v>
      </c>
      <c r="E2748" t="s">
        <v>172</v>
      </c>
      <c r="F2748">
        <v>9</v>
      </c>
      <c r="G2748">
        <v>5</v>
      </c>
      <c r="H2748">
        <v>1</v>
      </c>
      <c r="I2748">
        <v>0</v>
      </c>
      <c r="J2748" s="15">
        <v>4750</v>
      </c>
      <c r="K2748">
        <v>1</v>
      </c>
      <c r="L2748" s="15">
        <v>2375</v>
      </c>
      <c r="M2748">
        <v>1</v>
      </c>
      <c r="N2748">
        <v>1</v>
      </c>
      <c r="O2748">
        <v>6</v>
      </c>
      <c r="P2748">
        <f t="shared" si="135"/>
        <v>2025</v>
      </c>
      <c r="Q2748">
        <f t="shared" si="136"/>
        <v>6</v>
      </c>
      <c r="R2748" t="str">
        <f t="shared" si="134"/>
        <v>购中推荐</v>
      </c>
      <c r="S2748" t="s">
        <v>629</v>
      </c>
      <c r="T2748" s="546" t="s">
        <v>804</v>
      </c>
    </row>
    <row r="2749" spans="1:20" x14ac:dyDescent="0.3">
      <c r="A2749" t="s">
        <v>627</v>
      </c>
      <c r="B2749" s="16">
        <v>45819</v>
      </c>
      <c r="C2749" t="s">
        <v>3</v>
      </c>
      <c r="D2749" t="s">
        <v>127</v>
      </c>
      <c r="E2749" t="s">
        <v>173</v>
      </c>
      <c r="F2749">
        <v>69</v>
      </c>
      <c r="G2749">
        <v>43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36</v>
      </c>
      <c r="P2749">
        <f t="shared" si="135"/>
        <v>2025</v>
      </c>
      <c r="Q2749">
        <f t="shared" si="136"/>
        <v>6</v>
      </c>
      <c r="R2749" t="str">
        <f t="shared" si="134"/>
        <v>购后推荐</v>
      </c>
      <c r="S2749" t="s">
        <v>629</v>
      </c>
      <c r="T2749" s="546" t="s">
        <v>804</v>
      </c>
    </row>
    <row r="2750" spans="1:20" x14ac:dyDescent="0.3">
      <c r="A2750" t="s">
        <v>627</v>
      </c>
      <c r="B2750" s="16">
        <v>45819</v>
      </c>
      <c r="C2750" t="s">
        <v>3</v>
      </c>
      <c r="D2750" t="s">
        <v>127</v>
      </c>
      <c r="E2750" t="s">
        <v>174</v>
      </c>
      <c r="F2750" s="15">
        <v>2047</v>
      </c>
      <c r="G2750" s="15">
        <v>1349</v>
      </c>
      <c r="H2750">
        <v>28</v>
      </c>
      <c r="I2750">
        <v>12</v>
      </c>
      <c r="J2750" s="15">
        <v>22342</v>
      </c>
      <c r="K2750">
        <v>5</v>
      </c>
      <c r="L2750" s="15">
        <v>11607</v>
      </c>
      <c r="M2750">
        <v>4</v>
      </c>
      <c r="N2750">
        <v>112</v>
      </c>
      <c r="O2750" s="15">
        <v>2047</v>
      </c>
      <c r="P2750">
        <f t="shared" si="135"/>
        <v>2025</v>
      </c>
      <c r="Q2750">
        <f t="shared" si="136"/>
        <v>6</v>
      </c>
      <c r="R2750" t="str">
        <f t="shared" si="134"/>
        <v>首页推荐-微详情</v>
      </c>
      <c r="S2750" t="s">
        <v>629</v>
      </c>
      <c r="T2750" s="546" t="s">
        <v>804</v>
      </c>
    </row>
    <row r="2751" spans="1:20" x14ac:dyDescent="0.3">
      <c r="A2751" t="s">
        <v>627</v>
      </c>
      <c r="B2751" s="16">
        <v>45819</v>
      </c>
      <c r="C2751" t="s">
        <v>3</v>
      </c>
      <c r="D2751" t="s">
        <v>127</v>
      </c>
      <c r="E2751" t="s">
        <v>175</v>
      </c>
      <c r="F2751">
        <v>553</v>
      </c>
      <c r="G2751">
        <v>467</v>
      </c>
      <c r="H2751">
        <v>1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1</v>
      </c>
      <c r="O2751">
        <v>28</v>
      </c>
      <c r="P2751">
        <f t="shared" si="135"/>
        <v>2025</v>
      </c>
      <c r="Q2751">
        <f t="shared" si="136"/>
        <v>6</v>
      </c>
      <c r="R2751" t="str">
        <f t="shared" si="134"/>
        <v>首页推荐-直播</v>
      </c>
      <c r="S2751" t="s">
        <v>629</v>
      </c>
      <c r="T2751" s="546" t="s">
        <v>804</v>
      </c>
    </row>
    <row r="2752" spans="1:20" x14ac:dyDescent="0.3">
      <c r="A2752" t="s">
        <v>627</v>
      </c>
      <c r="B2752" s="16">
        <v>45819</v>
      </c>
      <c r="C2752" t="s">
        <v>3</v>
      </c>
      <c r="D2752" t="s">
        <v>127</v>
      </c>
      <c r="E2752" t="s">
        <v>176</v>
      </c>
      <c r="F2752">
        <v>235</v>
      </c>
      <c r="G2752">
        <v>173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1</v>
      </c>
      <c r="O2752">
        <v>13</v>
      </c>
      <c r="P2752">
        <f t="shared" si="135"/>
        <v>2025</v>
      </c>
      <c r="Q2752">
        <f t="shared" si="136"/>
        <v>6</v>
      </c>
      <c r="R2752" t="str">
        <f t="shared" si="134"/>
        <v>首页推荐-短视频</v>
      </c>
      <c r="S2752" t="s">
        <v>629</v>
      </c>
      <c r="T2752" s="546" t="s">
        <v>804</v>
      </c>
    </row>
    <row r="2753" spans="1:20" x14ac:dyDescent="0.3">
      <c r="A2753" t="s">
        <v>627</v>
      </c>
      <c r="B2753" s="16">
        <v>45819</v>
      </c>
      <c r="C2753" t="s">
        <v>3</v>
      </c>
      <c r="D2753" t="s">
        <v>128</v>
      </c>
      <c r="E2753" t="s">
        <v>177</v>
      </c>
      <c r="F2753">
        <v>832</v>
      </c>
      <c r="G2753">
        <v>646</v>
      </c>
      <c r="H2753">
        <v>40</v>
      </c>
      <c r="I2753">
        <v>9</v>
      </c>
      <c r="J2753" s="15">
        <v>24155</v>
      </c>
      <c r="K2753">
        <v>7</v>
      </c>
      <c r="L2753" s="15">
        <v>17085</v>
      </c>
      <c r="M2753">
        <v>6</v>
      </c>
      <c r="N2753">
        <v>387</v>
      </c>
      <c r="O2753">
        <v>599</v>
      </c>
      <c r="P2753">
        <f t="shared" si="135"/>
        <v>2025</v>
      </c>
      <c r="Q2753">
        <f t="shared" si="136"/>
        <v>6</v>
      </c>
      <c r="R2753" t="str">
        <f t="shared" si="134"/>
        <v>手淘搜索-商品及其他</v>
      </c>
      <c r="S2753" t="s">
        <v>629</v>
      </c>
      <c r="T2753" s="546" t="s">
        <v>804</v>
      </c>
    </row>
    <row r="2754" spans="1:20" x14ac:dyDescent="0.3">
      <c r="A2754" t="s">
        <v>627</v>
      </c>
      <c r="B2754" s="16">
        <v>45819</v>
      </c>
      <c r="C2754" t="s">
        <v>3</v>
      </c>
      <c r="D2754" t="s">
        <v>128</v>
      </c>
      <c r="E2754" t="s">
        <v>178</v>
      </c>
      <c r="F2754">
        <v>11</v>
      </c>
      <c r="G2754">
        <v>7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7</v>
      </c>
      <c r="P2754">
        <f t="shared" si="135"/>
        <v>2025</v>
      </c>
      <c r="Q2754">
        <f t="shared" si="136"/>
        <v>6</v>
      </c>
      <c r="R2754" t="str">
        <f t="shared" si="134"/>
        <v>手淘搜索-直播</v>
      </c>
      <c r="S2754" t="s">
        <v>629</v>
      </c>
      <c r="T2754" s="546" t="s">
        <v>804</v>
      </c>
    </row>
    <row r="2755" spans="1:20" x14ac:dyDescent="0.3">
      <c r="A2755" t="s">
        <v>627</v>
      </c>
      <c r="B2755" s="16">
        <v>45819</v>
      </c>
      <c r="C2755" t="s">
        <v>3</v>
      </c>
      <c r="D2755" t="s">
        <v>128</v>
      </c>
      <c r="E2755" t="s">
        <v>179</v>
      </c>
      <c r="F2755">
        <v>20</v>
      </c>
      <c r="G2755">
        <v>9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19</v>
      </c>
      <c r="P2755">
        <f t="shared" si="135"/>
        <v>2025</v>
      </c>
      <c r="Q2755">
        <f t="shared" si="136"/>
        <v>6</v>
      </c>
      <c r="R2755" t="str">
        <f t="shared" si="134"/>
        <v>手淘搜索-短视频</v>
      </c>
      <c r="S2755" t="s">
        <v>629</v>
      </c>
      <c r="T2755" s="546" t="s">
        <v>804</v>
      </c>
    </row>
    <row r="2756" spans="1:20" x14ac:dyDescent="0.3">
      <c r="A2756" t="s">
        <v>627</v>
      </c>
      <c r="B2756" s="16">
        <v>45819</v>
      </c>
      <c r="C2756" t="s">
        <v>3</v>
      </c>
      <c r="D2756" t="s">
        <v>143</v>
      </c>
      <c r="E2756" t="s">
        <v>180</v>
      </c>
      <c r="F2756">
        <v>6</v>
      </c>
      <c r="G2756">
        <v>6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6</v>
      </c>
      <c r="P2756">
        <f t="shared" si="135"/>
        <v>2025</v>
      </c>
      <c r="Q2756">
        <f t="shared" si="136"/>
        <v>6</v>
      </c>
      <c r="R2756" t="str">
        <f t="shared" si="134"/>
        <v>淘特其他渠道</v>
      </c>
      <c r="S2756" t="s">
        <v>629</v>
      </c>
      <c r="T2756" s="546" t="s">
        <v>804</v>
      </c>
    </row>
    <row r="2757" spans="1:20" x14ac:dyDescent="0.3">
      <c r="A2757" t="s">
        <v>627</v>
      </c>
      <c r="B2757" s="16">
        <v>45819</v>
      </c>
      <c r="C2757" t="s">
        <v>3</v>
      </c>
      <c r="D2757" t="s">
        <v>143</v>
      </c>
      <c r="E2757" t="s">
        <v>181</v>
      </c>
      <c r="F2757">
        <v>22</v>
      </c>
      <c r="G2757">
        <v>21</v>
      </c>
      <c r="H2757">
        <v>0</v>
      </c>
      <c r="I2757">
        <v>1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22</v>
      </c>
      <c r="P2757">
        <f t="shared" si="135"/>
        <v>2025</v>
      </c>
      <c r="Q2757">
        <f t="shared" si="136"/>
        <v>6</v>
      </c>
      <c r="R2757" t="str">
        <f t="shared" si="134"/>
        <v>淘特搜索</v>
      </c>
      <c r="S2757" t="s">
        <v>629</v>
      </c>
      <c r="T2757" s="546" t="s">
        <v>804</v>
      </c>
    </row>
    <row r="2758" spans="1:20" x14ac:dyDescent="0.3">
      <c r="A2758" t="s">
        <v>627</v>
      </c>
      <c r="B2758" s="16">
        <v>45819</v>
      </c>
      <c r="C2758" t="s">
        <v>2</v>
      </c>
      <c r="D2758" t="s">
        <v>55</v>
      </c>
      <c r="E2758" t="s">
        <v>54</v>
      </c>
      <c r="F2758">
        <v>783</v>
      </c>
      <c r="G2758">
        <v>542</v>
      </c>
      <c r="H2758">
        <v>17</v>
      </c>
      <c r="I2758">
        <v>1</v>
      </c>
      <c r="J2758">
        <v>0</v>
      </c>
      <c r="K2758">
        <v>0</v>
      </c>
      <c r="L2758">
        <v>0</v>
      </c>
      <c r="M2758">
        <v>0</v>
      </c>
      <c r="N2758">
        <v>25</v>
      </c>
      <c r="O2758">
        <v>185</v>
      </c>
      <c r="P2758">
        <f t="shared" si="135"/>
        <v>2025</v>
      </c>
      <c r="Q2758">
        <f t="shared" si="136"/>
        <v>6</v>
      </c>
      <c r="R2758" t="str">
        <f t="shared" si="134"/>
        <v>超级直播</v>
      </c>
      <c r="S2758" t="s">
        <v>629</v>
      </c>
      <c r="T2758" s="546" t="s">
        <v>804</v>
      </c>
    </row>
    <row r="2759" spans="1:20" x14ac:dyDescent="0.3">
      <c r="A2759" t="s">
        <v>627</v>
      </c>
      <c r="B2759" s="16">
        <v>45819</v>
      </c>
      <c r="C2759" t="s">
        <v>2</v>
      </c>
      <c r="D2759" t="s">
        <v>55</v>
      </c>
      <c r="E2759" t="s">
        <v>56</v>
      </c>
      <c r="F2759">
        <v>1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1</v>
      </c>
      <c r="P2759">
        <f t="shared" si="135"/>
        <v>2025</v>
      </c>
      <c r="Q2759">
        <f t="shared" si="136"/>
        <v>6</v>
      </c>
      <c r="R2759" t="str">
        <f t="shared" ref="R2759:R2822" si="137">E2759</f>
        <v>超级短视频</v>
      </c>
      <c r="S2759" t="s">
        <v>629</v>
      </c>
      <c r="T2759" s="546" t="s">
        <v>804</v>
      </c>
    </row>
    <row r="2760" spans="1:20" x14ac:dyDescent="0.3">
      <c r="A2760" t="s">
        <v>627</v>
      </c>
      <c r="B2760" s="16">
        <v>45819</v>
      </c>
      <c r="C2760" t="s">
        <v>2</v>
      </c>
      <c r="D2760" t="s">
        <v>57</v>
      </c>
      <c r="E2760" t="s">
        <v>64</v>
      </c>
      <c r="F2760" s="15">
        <v>8690</v>
      </c>
      <c r="G2760" s="15">
        <v>4825</v>
      </c>
      <c r="H2760">
        <v>61</v>
      </c>
      <c r="I2760">
        <v>52</v>
      </c>
      <c r="J2760" s="15">
        <v>4925</v>
      </c>
      <c r="K2760">
        <v>2</v>
      </c>
      <c r="L2760" s="15">
        <v>1990</v>
      </c>
      <c r="M2760">
        <v>1</v>
      </c>
      <c r="N2760">
        <v>236</v>
      </c>
      <c r="O2760" s="15">
        <v>8690</v>
      </c>
      <c r="P2760">
        <f t="shared" si="135"/>
        <v>2025</v>
      </c>
      <c r="Q2760">
        <f t="shared" si="136"/>
        <v>6</v>
      </c>
      <c r="R2760" t="str">
        <f t="shared" si="137"/>
        <v>引力魔方</v>
      </c>
      <c r="S2760" t="s">
        <v>629</v>
      </c>
      <c r="T2760" s="546" t="s">
        <v>804</v>
      </c>
    </row>
    <row r="2761" spans="1:20" x14ac:dyDescent="0.3">
      <c r="A2761" t="s">
        <v>627</v>
      </c>
      <c r="B2761" s="16">
        <v>45819</v>
      </c>
      <c r="C2761" t="s">
        <v>2</v>
      </c>
      <c r="D2761" t="s">
        <v>57</v>
      </c>
      <c r="E2761" t="s">
        <v>65</v>
      </c>
      <c r="F2761" s="15">
        <v>3171</v>
      </c>
      <c r="G2761" s="15">
        <v>2772</v>
      </c>
      <c r="H2761">
        <v>38</v>
      </c>
      <c r="I2761">
        <v>8</v>
      </c>
      <c r="J2761" s="15">
        <v>69007</v>
      </c>
      <c r="K2761">
        <v>16</v>
      </c>
      <c r="L2761" s="15">
        <v>56210</v>
      </c>
      <c r="M2761">
        <v>12</v>
      </c>
      <c r="N2761">
        <v>202</v>
      </c>
      <c r="O2761" s="15">
        <v>3132</v>
      </c>
      <c r="P2761">
        <f t="shared" si="135"/>
        <v>2025</v>
      </c>
      <c r="Q2761">
        <f t="shared" si="136"/>
        <v>6</v>
      </c>
      <c r="R2761" t="str">
        <f t="shared" si="137"/>
        <v>直通车</v>
      </c>
      <c r="S2761" t="s">
        <v>629</v>
      </c>
      <c r="T2761" s="546" t="s">
        <v>804</v>
      </c>
    </row>
    <row r="2762" spans="1:20" x14ac:dyDescent="0.3">
      <c r="A2762" t="s">
        <v>627</v>
      </c>
      <c r="B2762" s="16">
        <v>45819</v>
      </c>
      <c r="C2762" t="s">
        <v>2</v>
      </c>
      <c r="D2762" t="s">
        <v>57</v>
      </c>
      <c r="E2762" t="s">
        <v>63</v>
      </c>
      <c r="F2762" s="15">
        <v>4160</v>
      </c>
      <c r="G2762" s="15">
        <v>2313</v>
      </c>
      <c r="H2762">
        <v>130</v>
      </c>
      <c r="I2762">
        <v>150</v>
      </c>
      <c r="J2762" s="15">
        <v>81940</v>
      </c>
      <c r="K2762">
        <v>21</v>
      </c>
      <c r="L2762" s="15">
        <v>52435</v>
      </c>
      <c r="M2762">
        <v>15</v>
      </c>
      <c r="N2762">
        <v>734</v>
      </c>
      <c r="O2762" s="15">
        <v>3879</v>
      </c>
      <c r="P2762">
        <f t="shared" si="135"/>
        <v>2025</v>
      </c>
      <c r="Q2762">
        <f t="shared" si="136"/>
        <v>6</v>
      </c>
      <c r="R2762" t="str">
        <f t="shared" si="137"/>
        <v>万相台</v>
      </c>
      <c r="S2762" t="s">
        <v>629</v>
      </c>
      <c r="T2762" s="546" t="s">
        <v>804</v>
      </c>
    </row>
    <row r="2763" spans="1:20" x14ac:dyDescent="0.3">
      <c r="A2763" t="s">
        <v>627</v>
      </c>
      <c r="B2763" s="16">
        <v>45819</v>
      </c>
      <c r="C2763" t="s">
        <v>2</v>
      </c>
      <c r="D2763" t="s">
        <v>4</v>
      </c>
      <c r="E2763" t="s">
        <v>41</v>
      </c>
      <c r="F2763">
        <v>3</v>
      </c>
      <c r="G2763">
        <v>3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2</v>
      </c>
      <c r="P2763">
        <f t="shared" si="135"/>
        <v>2025</v>
      </c>
      <c r="Q2763">
        <f t="shared" si="136"/>
        <v>6</v>
      </c>
      <c r="R2763" t="str">
        <f t="shared" si="137"/>
        <v>流量宝</v>
      </c>
      <c r="S2763" t="s">
        <v>629</v>
      </c>
      <c r="T2763" s="546" t="s">
        <v>804</v>
      </c>
    </row>
    <row r="2764" spans="1:20" x14ac:dyDescent="0.3">
      <c r="A2764" t="s">
        <v>627</v>
      </c>
      <c r="B2764" s="16">
        <v>45819</v>
      </c>
      <c r="C2764" t="s">
        <v>2</v>
      </c>
      <c r="D2764" t="s">
        <v>4</v>
      </c>
      <c r="E2764" t="s">
        <v>43</v>
      </c>
      <c r="F2764">
        <v>254</v>
      </c>
      <c r="G2764">
        <v>69</v>
      </c>
      <c r="H2764">
        <v>2</v>
      </c>
      <c r="I2764">
        <v>2</v>
      </c>
      <c r="J2764" s="15">
        <v>3980</v>
      </c>
      <c r="K2764">
        <v>2</v>
      </c>
      <c r="L2764" s="15">
        <v>3980</v>
      </c>
      <c r="M2764">
        <v>2</v>
      </c>
      <c r="N2764">
        <v>3</v>
      </c>
      <c r="O2764">
        <v>252</v>
      </c>
      <c r="P2764">
        <f t="shared" si="135"/>
        <v>2025</v>
      </c>
      <c r="Q2764">
        <f t="shared" si="136"/>
        <v>6</v>
      </c>
      <c r="R2764" t="str">
        <f t="shared" si="137"/>
        <v>淘宝客</v>
      </c>
      <c r="S2764" t="s">
        <v>629</v>
      </c>
      <c r="T2764" s="546" t="s">
        <v>804</v>
      </c>
    </row>
    <row r="2765" spans="1:20" x14ac:dyDescent="0.3">
      <c r="A2765" t="s">
        <v>627</v>
      </c>
      <c r="B2765" s="16">
        <v>45820</v>
      </c>
      <c r="C2765" t="s">
        <v>3</v>
      </c>
      <c r="D2765" t="s">
        <v>114</v>
      </c>
      <c r="E2765" t="s">
        <v>159</v>
      </c>
      <c r="F2765">
        <v>156</v>
      </c>
      <c r="G2765">
        <v>106</v>
      </c>
      <c r="H2765">
        <v>4</v>
      </c>
      <c r="I2765">
        <v>5</v>
      </c>
      <c r="J2765" s="15">
        <v>13500</v>
      </c>
      <c r="K2765">
        <v>1</v>
      </c>
      <c r="L2765">
        <v>0</v>
      </c>
      <c r="M2765">
        <v>0</v>
      </c>
      <c r="N2765">
        <v>10</v>
      </c>
      <c r="O2765">
        <v>153</v>
      </c>
      <c r="P2765">
        <f t="shared" si="135"/>
        <v>2025</v>
      </c>
      <c r="Q2765">
        <f t="shared" si="136"/>
        <v>6</v>
      </c>
      <c r="R2765" t="str">
        <f t="shared" si="137"/>
        <v>主会场</v>
      </c>
      <c r="S2765" t="s">
        <v>629</v>
      </c>
      <c r="T2765" s="546" t="s">
        <v>804</v>
      </c>
    </row>
    <row r="2766" spans="1:20" x14ac:dyDescent="0.3">
      <c r="A2766" t="s">
        <v>627</v>
      </c>
      <c r="B2766" s="16">
        <v>45820</v>
      </c>
      <c r="C2766" t="s">
        <v>3</v>
      </c>
      <c r="D2766" t="s">
        <v>117</v>
      </c>
      <c r="E2766" t="s">
        <v>161</v>
      </c>
      <c r="F2766">
        <v>2</v>
      </c>
      <c r="G2766">
        <v>2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2</v>
      </c>
      <c r="P2766">
        <f t="shared" si="135"/>
        <v>2025</v>
      </c>
      <c r="Q2766">
        <f t="shared" si="136"/>
        <v>6</v>
      </c>
      <c r="R2766" t="str">
        <f t="shared" si="137"/>
        <v>其他入口榜单</v>
      </c>
      <c r="S2766" t="s">
        <v>629</v>
      </c>
      <c r="T2766" s="546" t="s">
        <v>804</v>
      </c>
    </row>
    <row r="2767" spans="1:20" x14ac:dyDescent="0.3">
      <c r="A2767" t="s">
        <v>627</v>
      </c>
      <c r="B2767" s="16">
        <v>45820</v>
      </c>
      <c r="C2767" t="s">
        <v>3</v>
      </c>
      <c r="D2767" t="s">
        <v>123</v>
      </c>
      <c r="E2767" t="s">
        <v>169</v>
      </c>
      <c r="F2767">
        <v>132</v>
      </c>
      <c r="G2767">
        <v>64</v>
      </c>
      <c r="H2767">
        <v>6</v>
      </c>
      <c r="I2767">
        <v>1</v>
      </c>
      <c r="J2767" s="15">
        <v>7625</v>
      </c>
      <c r="K2767">
        <v>2</v>
      </c>
      <c r="L2767" s="15">
        <v>6135</v>
      </c>
      <c r="M2767">
        <v>2</v>
      </c>
      <c r="N2767">
        <v>36</v>
      </c>
      <c r="O2767">
        <v>121</v>
      </c>
      <c r="P2767">
        <f t="shared" si="135"/>
        <v>2025</v>
      </c>
      <c r="Q2767">
        <f t="shared" si="136"/>
        <v>6</v>
      </c>
      <c r="R2767" t="str">
        <f t="shared" si="137"/>
        <v>商品详情页头图推荐</v>
      </c>
      <c r="S2767" t="s">
        <v>629</v>
      </c>
      <c r="T2767" s="546" t="s">
        <v>804</v>
      </c>
    </row>
    <row r="2768" spans="1:20" x14ac:dyDescent="0.3">
      <c r="A2768" t="s">
        <v>627</v>
      </c>
      <c r="B2768" s="16">
        <v>45820</v>
      </c>
      <c r="C2768" t="s">
        <v>3</v>
      </c>
      <c r="D2768" t="s">
        <v>123</v>
      </c>
      <c r="E2768" t="s">
        <v>170</v>
      </c>
      <c r="F2768">
        <v>18</v>
      </c>
      <c r="G2768">
        <v>8</v>
      </c>
      <c r="H2768">
        <v>3</v>
      </c>
      <c r="I2768">
        <v>0</v>
      </c>
      <c r="J2768" s="15">
        <v>4645</v>
      </c>
      <c r="K2768">
        <v>1</v>
      </c>
      <c r="L2768" s="15">
        <v>4645</v>
      </c>
      <c r="M2768">
        <v>1</v>
      </c>
      <c r="N2768">
        <v>17</v>
      </c>
      <c r="O2768">
        <v>9</v>
      </c>
      <c r="P2768">
        <f t="shared" si="135"/>
        <v>2025</v>
      </c>
      <c r="Q2768">
        <f t="shared" si="136"/>
        <v>6</v>
      </c>
      <c r="R2768" t="str">
        <f t="shared" si="137"/>
        <v>店铺超链</v>
      </c>
      <c r="S2768" t="s">
        <v>629</v>
      </c>
      <c r="T2768" s="546" t="s">
        <v>804</v>
      </c>
    </row>
    <row r="2769" spans="1:20" x14ac:dyDescent="0.3">
      <c r="A2769" t="s">
        <v>627</v>
      </c>
      <c r="B2769" s="16">
        <v>45820</v>
      </c>
      <c r="C2769" t="s">
        <v>3</v>
      </c>
      <c r="D2769" t="s">
        <v>127</v>
      </c>
      <c r="E2769" t="s">
        <v>171</v>
      </c>
      <c r="F2769">
        <v>158</v>
      </c>
      <c r="G2769">
        <v>88</v>
      </c>
      <c r="H2769">
        <v>1</v>
      </c>
      <c r="I2769">
        <v>1</v>
      </c>
      <c r="J2769">
        <v>0</v>
      </c>
      <c r="K2769">
        <v>0</v>
      </c>
      <c r="L2769">
        <v>0</v>
      </c>
      <c r="M2769">
        <v>0</v>
      </c>
      <c r="N2769">
        <v>44</v>
      </c>
      <c r="O2769">
        <v>127</v>
      </c>
      <c r="P2769">
        <f t="shared" si="135"/>
        <v>2025</v>
      </c>
      <c r="Q2769">
        <f t="shared" si="136"/>
        <v>6</v>
      </c>
      <c r="R2769" t="str">
        <f t="shared" si="137"/>
        <v>其他猜你喜欢</v>
      </c>
      <c r="S2769" t="s">
        <v>629</v>
      </c>
      <c r="T2769" s="546" t="s">
        <v>804</v>
      </c>
    </row>
    <row r="2770" spans="1:20" x14ac:dyDescent="0.3">
      <c r="A2770" t="s">
        <v>627</v>
      </c>
      <c r="B2770" s="16">
        <v>45820</v>
      </c>
      <c r="C2770" t="s">
        <v>3</v>
      </c>
      <c r="D2770" t="s">
        <v>127</v>
      </c>
      <c r="E2770" t="s">
        <v>172</v>
      </c>
      <c r="F2770">
        <v>14</v>
      </c>
      <c r="G2770">
        <v>9</v>
      </c>
      <c r="H2770">
        <v>1</v>
      </c>
      <c r="I2770">
        <v>1</v>
      </c>
      <c r="J2770">
        <v>0</v>
      </c>
      <c r="K2770">
        <v>0</v>
      </c>
      <c r="L2770">
        <v>0</v>
      </c>
      <c r="M2770">
        <v>0</v>
      </c>
      <c r="N2770">
        <v>1</v>
      </c>
      <c r="O2770">
        <v>10</v>
      </c>
      <c r="P2770">
        <f t="shared" si="135"/>
        <v>2025</v>
      </c>
      <c r="Q2770">
        <f t="shared" si="136"/>
        <v>6</v>
      </c>
      <c r="R2770" t="str">
        <f t="shared" si="137"/>
        <v>购中推荐</v>
      </c>
      <c r="S2770" t="s">
        <v>629</v>
      </c>
      <c r="T2770" s="546" t="s">
        <v>804</v>
      </c>
    </row>
    <row r="2771" spans="1:20" x14ac:dyDescent="0.3">
      <c r="A2771" t="s">
        <v>627</v>
      </c>
      <c r="B2771" s="16">
        <v>45820</v>
      </c>
      <c r="C2771" t="s">
        <v>3</v>
      </c>
      <c r="D2771" t="s">
        <v>127</v>
      </c>
      <c r="E2771" t="s">
        <v>173</v>
      </c>
      <c r="F2771">
        <v>45</v>
      </c>
      <c r="G2771">
        <v>32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2</v>
      </c>
      <c r="O2771">
        <v>22</v>
      </c>
      <c r="P2771">
        <f t="shared" si="135"/>
        <v>2025</v>
      </c>
      <c r="Q2771">
        <f t="shared" si="136"/>
        <v>6</v>
      </c>
      <c r="R2771" t="str">
        <f t="shared" si="137"/>
        <v>购后推荐</v>
      </c>
      <c r="S2771" t="s">
        <v>629</v>
      </c>
      <c r="T2771" s="546" t="s">
        <v>804</v>
      </c>
    </row>
    <row r="2772" spans="1:20" x14ac:dyDescent="0.3">
      <c r="A2772" t="s">
        <v>627</v>
      </c>
      <c r="B2772" s="16">
        <v>45820</v>
      </c>
      <c r="C2772" t="s">
        <v>3</v>
      </c>
      <c r="D2772" t="s">
        <v>127</v>
      </c>
      <c r="E2772" t="s">
        <v>174</v>
      </c>
      <c r="F2772" s="15">
        <v>2405</v>
      </c>
      <c r="G2772" s="15">
        <v>1650</v>
      </c>
      <c r="H2772">
        <v>25</v>
      </c>
      <c r="I2772">
        <v>18</v>
      </c>
      <c r="J2772" s="15">
        <v>42430</v>
      </c>
      <c r="K2772">
        <v>2</v>
      </c>
      <c r="L2772" s="15">
        <v>11390</v>
      </c>
      <c r="M2772">
        <v>2</v>
      </c>
      <c r="N2772">
        <v>108</v>
      </c>
      <c r="O2772" s="15">
        <v>2405</v>
      </c>
      <c r="P2772">
        <f t="shared" si="135"/>
        <v>2025</v>
      </c>
      <c r="Q2772">
        <f t="shared" si="136"/>
        <v>6</v>
      </c>
      <c r="R2772" t="str">
        <f t="shared" si="137"/>
        <v>首页推荐-微详情</v>
      </c>
      <c r="S2772" t="s">
        <v>629</v>
      </c>
      <c r="T2772" s="546" t="s">
        <v>804</v>
      </c>
    </row>
    <row r="2773" spans="1:20" x14ac:dyDescent="0.3">
      <c r="A2773" t="s">
        <v>627</v>
      </c>
      <c r="B2773" s="16">
        <v>45820</v>
      </c>
      <c r="C2773" t="s">
        <v>3</v>
      </c>
      <c r="D2773" t="s">
        <v>127</v>
      </c>
      <c r="E2773" t="s">
        <v>175</v>
      </c>
      <c r="F2773">
        <v>3</v>
      </c>
      <c r="G2773">
        <v>2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f t="shared" ref="P2773:P2836" si="138">YEAR(B2773)</f>
        <v>2025</v>
      </c>
      <c r="Q2773">
        <f t="shared" ref="Q2773:Q2836" si="139">MONTH(B2773)</f>
        <v>6</v>
      </c>
      <c r="R2773" t="str">
        <f t="shared" si="137"/>
        <v>首页推荐-直播</v>
      </c>
      <c r="S2773" t="s">
        <v>629</v>
      </c>
      <c r="T2773" s="546" t="s">
        <v>804</v>
      </c>
    </row>
    <row r="2774" spans="1:20" x14ac:dyDescent="0.3">
      <c r="A2774" t="s">
        <v>627</v>
      </c>
      <c r="B2774" s="16">
        <v>45820</v>
      </c>
      <c r="C2774" t="s">
        <v>3</v>
      </c>
      <c r="D2774" t="s">
        <v>127</v>
      </c>
      <c r="E2774" t="s">
        <v>176</v>
      </c>
      <c r="F2774">
        <v>286</v>
      </c>
      <c r="G2774">
        <v>189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3</v>
      </c>
      <c r="O2774">
        <v>27</v>
      </c>
      <c r="P2774">
        <f t="shared" si="138"/>
        <v>2025</v>
      </c>
      <c r="Q2774">
        <f t="shared" si="139"/>
        <v>6</v>
      </c>
      <c r="R2774" t="str">
        <f t="shared" si="137"/>
        <v>首页推荐-短视频</v>
      </c>
      <c r="S2774" t="s">
        <v>629</v>
      </c>
      <c r="T2774" s="546" t="s">
        <v>804</v>
      </c>
    </row>
    <row r="2775" spans="1:20" x14ac:dyDescent="0.3">
      <c r="A2775" t="s">
        <v>627</v>
      </c>
      <c r="B2775" s="16">
        <v>45820</v>
      </c>
      <c r="C2775" t="s">
        <v>3</v>
      </c>
      <c r="D2775" t="s">
        <v>128</v>
      </c>
      <c r="E2775" t="s">
        <v>177</v>
      </c>
      <c r="F2775">
        <v>762</v>
      </c>
      <c r="G2775">
        <v>568</v>
      </c>
      <c r="H2775">
        <v>32</v>
      </c>
      <c r="I2775">
        <v>14</v>
      </c>
      <c r="J2775" s="15">
        <v>114267</v>
      </c>
      <c r="K2775">
        <v>14</v>
      </c>
      <c r="L2775" s="15">
        <v>55772</v>
      </c>
      <c r="M2775">
        <v>12</v>
      </c>
      <c r="N2775">
        <v>346</v>
      </c>
      <c r="O2775">
        <v>572</v>
      </c>
      <c r="P2775">
        <f t="shared" si="138"/>
        <v>2025</v>
      </c>
      <c r="Q2775">
        <f t="shared" si="139"/>
        <v>6</v>
      </c>
      <c r="R2775" t="str">
        <f t="shared" si="137"/>
        <v>手淘搜索-商品及其他</v>
      </c>
      <c r="S2775" t="s">
        <v>629</v>
      </c>
      <c r="T2775" s="546" t="s">
        <v>804</v>
      </c>
    </row>
    <row r="2776" spans="1:20" x14ac:dyDescent="0.3">
      <c r="A2776" t="s">
        <v>627</v>
      </c>
      <c r="B2776" s="16">
        <v>45820</v>
      </c>
      <c r="C2776" t="s">
        <v>3</v>
      </c>
      <c r="D2776" t="s">
        <v>128</v>
      </c>
      <c r="E2776" t="s">
        <v>178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f t="shared" si="138"/>
        <v>2025</v>
      </c>
      <c r="Q2776">
        <f t="shared" si="139"/>
        <v>6</v>
      </c>
      <c r="R2776" t="str">
        <f t="shared" si="137"/>
        <v>手淘搜索-直播</v>
      </c>
      <c r="S2776" t="s">
        <v>629</v>
      </c>
      <c r="T2776" s="546" t="s">
        <v>804</v>
      </c>
    </row>
    <row r="2777" spans="1:20" x14ac:dyDescent="0.3">
      <c r="A2777" t="s">
        <v>627</v>
      </c>
      <c r="B2777" s="16">
        <v>45820</v>
      </c>
      <c r="C2777" t="s">
        <v>3</v>
      </c>
      <c r="D2777" t="s">
        <v>128</v>
      </c>
      <c r="E2777" t="s">
        <v>179</v>
      </c>
      <c r="F2777">
        <v>17</v>
      </c>
      <c r="G2777">
        <v>7</v>
      </c>
      <c r="H2777">
        <v>0</v>
      </c>
      <c r="I2777">
        <v>1</v>
      </c>
      <c r="J2777">
        <v>0</v>
      </c>
      <c r="K2777">
        <v>0</v>
      </c>
      <c r="L2777">
        <v>0</v>
      </c>
      <c r="M2777">
        <v>0</v>
      </c>
      <c r="N2777">
        <v>1</v>
      </c>
      <c r="O2777">
        <v>17</v>
      </c>
      <c r="P2777">
        <f t="shared" si="138"/>
        <v>2025</v>
      </c>
      <c r="Q2777">
        <f t="shared" si="139"/>
        <v>6</v>
      </c>
      <c r="R2777" t="str">
        <f t="shared" si="137"/>
        <v>手淘搜索-短视频</v>
      </c>
      <c r="S2777" t="s">
        <v>629</v>
      </c>
      <c r="T2777" s="546" t="s">
        <v>804</v>
      </c>
    </row>
    <row r="2778" spans="1:20" x14ac:dyDescent="0.3">
      <c r="A2778" t="s">
        <v>627</v>
      </c>
      <c r="B2778" s="16">
        <v>45820</v>
      </c>
      <c r="C2778" t="s">
        <v>3</v>
      </c>
      <c r="D2778" t="s">
        <v>143</v>
      </c>
      <c r="E2778" t="s">
        <v>180</v>
      </c>
      <c r="F2778">
        <v>4</v>
      </c>
      <c r="G2778">
        <v>4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</v>
      </c>
      <c r="O2778">
        <v>3</v>
      </c>
      <c r="P2778">
        <f t="shared" si="138"/>
        <v>2025</v>
      </c>
      <c r="Q2778">
        <f t="shared" si="139"/>
        <v>6</v>
      </c>
      <c r="R2778" t="str">
        <f t="shared" si="137"/>
        <v>淘特其他渠道</v>
      </c>
      <c r="S2778" t="s">
        <v>629</v>
      </c>
      <c r="T2778" s="546" t="s">
        <v>804</v>
      </c>
    </row>
    <row r="2779" spans="1:20" x14ac:dyDescent="0.3">
      <c r="A2779" t="s">
        <v>627</v>
      </c>
      <c r="B2779" s="16">
        <v>45820</v>
      </c>
      <c r="C2779" t="s">
        <v>3</v>
      </c>
      <c r="D2779" t="s">
        <v>143</v>
      </c>
      <c r="E2779" t="s">
        <v>181</v>
      </c>
      <c r="F2779">
        <v>15</v>
      </c>
      <c r="G2779">
        <v>15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15</v>
      </c>
      <c r="P2779">
        <f t="shared" si="138"/>
        <v>2025</v>
      </c>
      <c r="Q2779">
        <f t="shared" si="139"/>
        <v>6</v>
      </c>
      <c r="R2779" t="str">
        <f t="shared" si="137"/>
        <v>淘特搜索</v>
      </c>
      <c r="S2779" t="s">
        <v>629</v>
      </c>
      <c r="T2779" s="546" t="s">
        <v>804</v>
      </c>
    </row>
    <row r="2780" spans="1:20" x14ac:dyDescent="0.3">
      <c r="A2780" t="s">
        <v>627</v>
      </c>
      <c r="B2780" s="16">
        <v>45820</v>
      </c>
      <c r="C2780" t="s">
        <v>2</v>
      </c>
      <c r="D2780" t="s">
        <v>55</v>
      </c>
      <c r="E2780" t="s">
        <v>54</v>
      </c>
      <c r="F2780">
        <v>3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1</v>
      </c>
      <c r="P2780">
        <f t="shared" si="138"/>
        <v>2025</v>
      </c>
      <c r="Q2780">
        <f t="shared" si="139"/>
        <v>6</v>
      </c>
      <c r="R2780" t="str">
        <f t="shared" si="137"/>
        <v>超级直播</v>
      </c>
      <c r="S2780" t="s">
        <v>629</v>
      </c>
      <c r="T2780" s="546" t="s">
        <v>804</v>
      </c>
    </row>
    <row r="2781" spans="1:20" x14ac:dyDescent="0.3">
      <c r="A2781" t="s">
        <v>627</v>
      </c>
      <c r="B2781" s="16">
        <v>45820</v>
      </c>
      <c r="C2781" t="s">
        <v>2</v>
      </c>
      <c r="D2781" t="s">
        <v>55</v>
      </c>
      <c r="E2781" t="s">
        <v>56</v>
      </c>
      <c r="F2781">
        <v>2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2</v>
      </c>
      <c r="P2781">
        <f t="shared" si="138"/>
        <v>2025</v>
      </c>
      <c r="Q2781">
        <f t="shared" si="139"/>
        <v>6</v>
      </c>
      <c r="R2781" t="str">
        <f t="shared" si="137"/>
        <v>超级短视频</v>
      </c>
      <c r="S2781" t="s">
        <v>629</v>
      </c>
      <c r="T2781" s="546" t="s">
        <v>804</v>
      </c>
    </row>
    <row r="2782" spans="1:20" x14ac:dyDescent="0.3">
      <c r="A2782" t="s">
        <v>627</v>
      </c>
      <c r="B2782" s="16">
        <v>45820</v>
      </c>
      <c r="C2782" t="s">
        <v>2</v>
      </c>
      <c r="D2782" t="s">
        <v>52</v>
      </c>
      <c r="E2782" t="s">
        <v>58</v>
      </c>
      <c r="F2782">
        <v>3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3</v>
      </c>
      <c r="P2782">
        <f t="shared" si="138"/>
        <v>2025</v>
      </c>
      <c r="Q2782">
        <f t="shared" si="139"/>
        <v>6</v>
      </c>
      <c r="R2782" t="str">
        <f t="shared" si="137"/>
        <v>超级全域通</v>
      </c>
      <c r="S2782" t="s">
        <v>629</v>
      </c>
      <c r="T2782" s="546" t="s">
        <v>804</v>
      </c>
    </row>
    <row r="2783" spans="1:20" x14ac:dyDescent="0.3">
      <c r="A2783" t="s">
        <v>627</v>
      </c>
      <c r="B2783" s="16">
        <v>45820</v>
      </c>
      <c r="C2783" t="s">
        <v>2</v>
      </c>
      <c r="D2783" t="s">
        <v>57</v>
      </c>
      <c r="E2783" t="s">
        <v>64</v>
      </c>
      <c r="F2783" s="15">
        <v>8416</v>
      </c>
      <c r="G2783" s="15">
        <v>4622</v>
      </c>
      <c r="H2783">
        <v>42</v>
      </c>
      <c r="I2783">
        <v>36</v>
      </c>
      <c r="J2783" s="15">
        <v>20043</v>
      </c>
      <c r="K2783">
        <v>5</v>
      </c>
      <c r="L2783" s="15">
        <v>13033</v>
      </c>
      <c r="M2783">
        <v>4</v>
      </c>
      <c r="N2783">
        <v>227</v>
      </c>
      <c r="O2783" s="15">
        <v>8416</v>
      </c>
      <c r="P2783">
        <f t="shared" si="138"/>
        <v>2025</v>
      </c>
      <c r="Q2783">
        <f t="shared" si="139"/>
        <v>6</v>
      </c>
      <c r="R2783" t="str">
        <f t="shared" si="137"/>
        <v>引力魔方</v>
      </c>
      <c r="S2783" t="s">
        <v>629</v>
      </c>
      <c r="T2783" s="546" t="s">
        <v>804</v>
      </c>
    </row>
    <row r="2784" spans="1:20" x14ac:dyDescent="0.3">
      <c r="A2784" t="s">
        <v>627</v>
      </c>
      <c r="B2784" s="16">
        <v>45820</v>
      </c>
      <c r="C2784" t="s">
        <v>2</v>
      </c>
      <c r="D2784" t="s">
        <v>57</v>
      </c>
      <c r="E2784" t="s">
        <v>65</v>
      </c>
      <c r="F2784" s="15">
        <v>3100</v>
      </c>
      <c r="G2784" s="15">
        <v>2741</v>
      </c>
      <c r="H2784">
        <v>46</v>
      </c>
      <c r="I2784">
        <v>15</v>
      </c>
      <c r="J2784" s="15">
        <v>66340</v>
      </c>
      <c r="K2784">
        <v>15</v>
      </c>
      <c r="L2784" s="15">
        <v>29027</v>
      </c>
      <c r="M2784">
        <v>10</v>
      </c>
      <c r="N2784">
        <v>191</v>
      </c>
      <c r="O2784" s="15">
        <v>3072</v>
      </c>
      <c r="P2784">
        <f t="shared" si="138"/>
        <v>2025</v>
      </c>
      <c r="Q2784">
        <f t="shared" si="139"/>
        <v>6</v>
      </c>
      <c r="R2784" t="str">
        <f t="shared" si="137"/>
        <v>直通车</v>
      </c>
      <c r="S2784" t="s">
        <v>629</v>
      </c>
      <c r="T2784" s="546" t="s">
        <v>804</v>
      </c>
    </row>
    <row r="2785" spans="1:20" x14ac:dyDescent="0.3">
      <c r="A2785" t="s">
        <v>627</v>
      </c>
      <c r="B2785" s="16">
        <v>45820</v>
      </c>
      <c r="C2785" t="s">
        <v>2</v>
      </c>
      <c r="D2785" t="s">
        <v>57</v>
      </c>
      <c r="E2785" t="s">
        <v>63</v>
      </c>
      <c r="F2785" s="15">
        <v>3928</v>
      </c>
      <c r="G2785" s="15">
        <v>2249</v>
      </c>
      <c r="H2785">
        <v>112</v>
      </c>
      <c r="I2785">
        <v>139</v>
      </c>
      <c r="J2785" s="17">
        <v>67420.58</v>
      </c>
      <c r="K2785">
        <v>21</v>
      </c>
      <c r="L2785" s="17">
        <v>43447.58</v>
      </c>
      <c r="M2785">
        <v>16</v>
      </c>
      <c r="N2785">
        <v>675</v>
      </c>
      <c r="O2785" s="15">
        <v>3681</v>
      </c>
      <c r="P2785">
        <f t="shared" si="138"/>
        <v>2025</v>
      </c>
      <c r="Q2785">
        <f t="shared" si="139"/>
        <v>6</v>
      </c>
      <c r="R2785" t="str">
        <f t="shared" si="137"/>
        <v>万相台</v>
      </c>
      <c r="S2785" t="s">
        <v>629</v>
      </c>
      <c r="T2785" s="546" t="s">
        <v>804</v>
      </c>
    </row>
    <row r="2786" spans="1:20" x14ac:dyDescent="0.3">
      <c r="A2786" t="s">
        <v>627</v>
      </c>
      <c r="B2786" s="16">
        <v>45820</v>
      </c>
      <c r="C2786" t="s">
        <v>2</v>
      </c>
      <c r="D2786" t="s">
        <v>4</v>
      </c>
      <c r="E2786" t="s">
        <v>41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</v>
      </c>
      <c r="P2786">
        <f t="shared" si="138"/>
        <v>2025</v>
      </c>
      <c r="Q2786">
        <f t="shared" si="139"/>
        <v>6</v>
      </c>
      <c r="R2786" t="str">
        <f t="shared" si="137"/>
        <v>流量宝</v>
      </c>
      <c r="S2786" t="s">
        <v>629</v>
      </c>
      <c r="T2786" s="546" t="s">
        <v>804</v>
      </c>
    </row>
    <row r="2787" spans="1:20" x14ac:dyDescent="0.3">
      <c r="A2787" t="s">
        <v>627</v>
      </c>
      <c r="B2787" s="16">
        <v>45820</v>
      </c>
      <c r="C2787" t="s">
        <v>2</v>
      </c>
      <c r="D2787" t="s">
        <v>4</v>
      </c>
      <c r="E2787" t="s">
        <v>43</v>
      </c>
      <c r="F2787">
        <v>340</v>
      </c>
      <c r="G2787">
        <v>150</v>
      </c>
      <c r="H2787">
        <v>5</v>
      </c>
      <c r="I2787">
        <v>2</v>
      </c>
      <c r="J2787" s="15">
        <v>6084</v>
      </c>
      <c r="K2787">
        <v>2</v>
      </c>
      <c r="L2787" s="15">
        <v>6084</v>
      </c>
      <c r="M2787">
        <v>2</v>
      </c>
      <c r="N2787">
        <v>10</v>
      </c>
      <c r="O2787">
        <v>340</v>
      </c>
      <c r="P2787">
        <f t="shared" si="138"/>
        <v>2025</v>
      </c>
      <c r="Q2787">
        <f t="shared" si="139"/>
        <v>6</v>
      </c>
      <c r="R2787" t="str">
        <f t="shared" si="137"/>
        <v>淘宝客</v>
      </c>
      <c r="S2787" t="s">
        <v>629</v>
      </c>
      <c r="T2787" s="546" t="s">
        <v>804</v>
      </c>
    </row>
    <row r="2788" spans="1:20" x14ac:dyDescent="0.3">
      <c r="A2788" t="s">
        <v>627</v>
      </c>
      <c r="B2788" s="16">
        <v>45821</v>
      </c>
      <c r="C2788" t="s">
        <v>3</v>
      </c>
      <c r="D2788" t="s">
        <v>114</v>
      </c>
      <c r="E2788" t="s">
        <v>159</v>
      </c>
      <c r="F2788">
        <v>247</v>
      </c>
      <c r="G2788">
        <v>188</v>
      </c>
      <c r="H2788">
        <v>2</v>
      </c>
      <c r="I2788">
        <v>3</v>
      </c>
      <c r="J2788" s="15">
        <v>19700</v>
      </c>
      <c r="K2788">
        <v>1</v>
      </c>
      <c r="L2788">
        <v>0</v>
      </c>
      <c r="M2788">
        <v>0</v>
      </c>
      <c r="N2788">
        <v>17</v>
      </c>
      <c r="O2788">
        <v>247</v>
      </c>
      <c r="P2788">
        <f t="shared" si="138"/>
        <v>2025</v>
      </c>
      <c r="Q2788">
        <f t="shared" si="139"/>
        <v>6</v>
      </c>
      <c r="R2788" t="str">
        <f t="shared" si="137"/>
        <v>主会场</v>
      </c>
      <c r="S2788" t="s">
        <v>629</v>
      </c>
      <c r="T2788" s="546" t="s">
        <v>804</v>
      </c>
    </row>
    <row r="2789" spans="1:20" x14ac:dyDescent="0.3">
      <c r="A2789" t="s">
        <v>627</v>
      </c>
      <c r="B2789" s="16">
        <v>45821</v>
      </c>
      <c r="C2789" t="s">
        <v>3</v>
      </c>
      <c r="D2789" t="s">
        <v>117</v>
      </c>
      <c r="E2789" t="s">
        <v>161</v>
      </c>
      <c r="F2789">
        <v>1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</v>
      </c>
      <c r="P2789">
        <f t="shared" si="138"/>
        <v>2025</v>
      </c>
      <c r="Q2789">
        <f t="shared" si="139"/>
        <v>6</v>
      </c>
      <c r="R2789" t="str">
        <f t="shared" si="137"/>
        <v>其他入口榜单</v>
      </c>
      <c r="S2789" t="s">
        <v>629</v>
      </c>
      <c r="T2789" s="546" t="s">
        <v>804</v>
      </c>
    </row>
    <row r="2790" spans="1:20" x14ac:dyDescent="0.3">
      <c r="A2790" t="s">
        <v>627</v>
      </c>
      <c r="B2790" s="16">
        <v>45821</v>
      </c>
      <c r="C2790" t="s">
        <v>3</v>
      </c>
      <c r="D2790" t="s">
        <v>123</v>
      </c>
      <c r="E2790" t="s">
        <v>169</v>
      </c>
      <c r="F2790">
        <v>115</v>
      </c>
      <c r="G2790">
        <v>57</v>
      </c>
      <c r="H2790">
        <v>11</v>
      </c>
      <c r="I2790">
        <v>1</v>
      </c>
      <c r="J2790" s="15">
        <v>26745</v>
      </c>
      <c r="K2790">
        <v>4</v>
      </c>
      <c r="L2790" s="15">
        <v>22100</v>
      </c>
      <c r="M2790">
        <v>4</v>
      </c>
      <c r="N2790">
        <v>23</v>
      </c>
      <c r="O2790">
        <v>109</v>
      </c>
      <c r="P2790">
        <f t="shared" si="138"/>
        <v>2025</v>
      </c>
      <c r="Q2790">
        <f t="shared" si="139"/>
        <v>6</v>
      </c>
      <c r="R2790" t="str">
        <f t="shared" si="137"/>
        <v>商品详情页头图推荐</v>
      </c>
      <c r="S2790" t="s">
        <v>629</v>
      </c>
      <c r="T2790" s="546" t="s">
        <v>804</v>
      </c>
    </row>
    <row r="2791" spans="1:20" x14ac:dyDescent="0.3">
      <c r="A2791" t="s">
        <v>627</v>
      </c>
      <c r="B2791" s="16">
        <v>45821</v>
      </c>
      <c r="C2791" t="s">
        <v>3</v>
      </c>
      <c r="D2791" t="s">
        <v>123</v>
      </c>
      <c r="E2791" t="s">
        <v>170</v>
      </c>
      <c r="F2791">
        <v>24</v>
      </c>
      <c r="G2791">
        <v>14</v>
      </c>
      <c r="H2791">
        <v>2</v>
      </c>
      <c r="I2791">
        <v>1</v>
      </c>
      <c r="J2791">
        <v>0</v>
      </c>
      <c r="K2791">
        <v>0</v>
      </c>
      <c r="L2791">
        <v>0</v>
      </c>
      <c r="M2791">
        <v>0</v>
      </c>
      <c r="N2791">
        <v>22</v>
      </c>
      <c r="O2791">
        <v>13</v>
      </c>
      <c r="P2791">
        <f t="shared" si="138"/>
        <v>2025</v>
      </c>
      <c r="Q2791">
        <f t="shared" si="139"/>
        <v>6</v>
      </c>
      <c r="R2791" t="str">
        <f t="shared" si="137"/>
        <v>店铺超链</v>
      </c>
      <c r="S2791" t="s">
        <v>629</v>
      </c>
      <c r="T2791" s="546" t="s">
        <v>804</v>
      </c>
    </row>
    <row r="2792" spans="1:20" x14ac:dyDescent="0.3">
      <c r="A2792" t="s">
        <v>627</v>
      </c>
      <c r="B2792" s="16">
        <v>45821</v>
      </c>
      <c r="C2792" t="s">
        <v>3</v>
      </c>
      <c r="D2792" t="s">
        <v>127</v>
      </c>
      <c r="E2792" t="s">
        <v>171</v>
      </c>
      <c r="F2792">
        <v>186</v>
      </c>
      <c r="G2792">
        <v>91</v>
      </c>
      <c r="H2792">
        <v>7</v>
      </c>
      <c r="I2792">
        <v>4</v>
      </c>
      <c r="J2792" s="15">
        <v>17490</v>
      </c>
      <c r="K2792">
        <v>4</v>
      </c>
      <c r="L2792" s="15">
        <v>11155</v>
      </c>
      <c r="M2792">
        <v>3</v>
      </c>
      <c r="N2792">
        <v>32</v>
      </c>
      <c r="O2792">
        <v>153</v>
      </c>
      <c r="P2792">
        <f t="shared" si="138"/>
        <v>2025</v>
      </c>
      <c r="Q2792">
        <f t="shared" si="139"/>
        <v>6</v>
      </c>
      <c r="R2792" t="str">
        <f t="shared" si="137"/>
        <v>其他猜你喜欢</v>
      </c>
      <c r="S2792" t="s">
        <v>629</v>
      </c>
      <c r="T2792" s="546" t="s">
        <v>804</v>
      </c>
    </row>
    <row r="2793" spans="1:20" x14ac:dyDescent="0.3">
      <c r="A2793" t="s">
        <v>627</v>
      </c>
      <c r="B2793" s="16">
        <v>45821</v>
      </c>
      <c r="C2793" t="s">
        <v>3</v>
      </c>
      <c r="D2793" t="s">
        <v>127</v>
      </c>
      <c r="E2793" t="s">
        <v>172</v>
      </c>
      <c r="F2793">
        <v>9</v>
      </c>
      <c r="G2793">
        <v>6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5</v>
      </c>
      <c r="P2793">
        <f t="shared" si="138"/>
        <v>2025</v>
      </c>
      <c r="Q2793">
        <f t="shared" si="139"/>
        <v>6</v>
      </c>
      <c r="R2793" t="str">
        <f t="shared" si="137"/>
        <v>购中推荐</v>
      </c>
      <c r="S2793" t="s">
        <v>629</v>
      </c>
      <c r="T2793" s="546" t="s">
        <v>804</v>
      </c>
    </row>
    <row r="2794" spans="1:20" x14ac:dyDescent="0.3">
      <c r="A2794" t="s">
        <v>627</v>
      </c>
      <c r="B2794" s="16">
        <v>45821</v>
      </c>
      <c r="C2794" t="s">
        <v>3</v>
      </c>
      <c r="D2794" t="s">
        <v>127</v>
      </c>
      <c r="E2794" t="s">
        <v>173</v>
      </c>
      <c r="F2794">
        <v>62</v>
      </c>
      <c r="G2794">
        <v>33</v>
      </c>
      <c r="H2794">
        <v>2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4</v>
      </c>
      <c r="O2794">
        <v>34</v>
      </c>
      <c r="P2794">
        <f t="shared" si="138"/>
        <v>2025</v>
      </c>
      <c r="Q2794">
        <f t="shared" si="139"/>
        <v>6</v>
      </c>
      <c r="R2794" t="str">
        <f t="shared" si="137"/>
        <v>购后推荐</v>
      </c>
      <c r="S2794" t="s">
        <v>629</v>
      </c>
      <c r="T2794" s="546" t="s">
        <v>804</v>
      </c>
    </row>
    <row r="2795" spans="1:20" x14ac:dyDescent="0.3">
      <c r="A2795" t="s">
        <v>627</v>
      </c>
      <c r="B2795" s="16">
        <v>45821</v>
      </c>
      <c r="C2795" t="s">
        <v>3</v>
      </c>
      <c r="D2795" t="s">
        <v>127</v>
      </c>
      <c r="E2795" t="s">
        <v>174</v>
      </c>
      <c r="F2795" s="15">
        <v>2519</v>
      </c>
      <c r="G2795" s="15">
        <v>1782</v>
      </c>
      <c r="H2795">
        <v>32</v>
      </c>
      <c r="I2795">
        <v>17</v>
      </c>
      <c r="J2795" s="15">
        <v>23565</v>
      </c>
      <c r="K2795">
        <v>4</v>
      </c>
      <c r="L2795" s="15">
        <v>23565</v>
      </c>
      <c r="M2795">
        <v>4</v>
      </c>
      <c r="N2795">
        <v>114</v>
      </c>
      <c r="O2795" s="15">
        <v>2519</v>
      </c>
      <c r="P2795">
        <f t="shared" si="138"/>
        <v>2025</v>
      </c>
      <c r="Q2795">
        <f t="shared" si="139"/>
        <v>6</v>
      </c>
      <c r="R2795" t="str">
        <f t="shared" si="137"/>
        <v>首页推荐-微详情</v>
      </c>
      <c r="S2795" t="s">
        <v>629</v>
      </c>
      <c r="T2795" s="546" t="s">
        <v>804</v>
      </c>
    </row>
    <row r="2796" spans="1:20" x14ac:dyDescent="0.3">
      <c r="A2796" t="s">
        <v>627</v>
      </c>
      <c r="B2796" s="16">
        <v>45821</v>
      </c>
      <c r="C2796" t="s">
        <v>3</v>
      </c>
      <c r="D2796" t="s">
        <v>127</v>
      </c>
      <c r="E2796" t="s">
        <v>175</v>
      </c>
      <c r="F2796">
        <v>334</v>
      </c>
      <c r="G2796">
        <v>268</v>
      </c>
      <c r="H2796">
        <v>3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1</v>
      </c>
      <c r="O2796">
        <v>18</v>
      </c>
      <c r="P2796">
        <f t="shared" si="138"/>
        <v>2025</v>
      </c>
      <c r="Q2796">
        <f t="shared" si="139"/>
        <v>6</v>
      </c>
      <c r="R2796" t="str">
        <f t="shared" si="137"/>
        <v>首页推荐-直播</v>
      </c>
      <c r="S2796" t="s">
        <v>629</v>
      </c>
      <c r="T2796" s="546" t="s">
        <v>804</v>
      </c>
    </row>
    <row r="2797" spans="1:20" x14ac:dyDescent="0.3">
      <c r="A2797" t="s">
        <v>627</v>
      </c>
      <c r="B2797" s="16">
        <v>45821</v>
      </c>
      <c r="C2797" t="s">
        <v>3</v>
      </c>
      <c r="D2797" t="s">
        <v>127</v>
      </c>
      <c r="E2797" t="s">
        <v>176</v>
      </c>
      <c r="F2797">
        <v>315</v>
      </c>
      <c r="G2797">
        <v>205</v>
      </c>
      <c r="H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4</v>
      </c>
      <c r="O2797">
        <v>31</v>
      </c>
      <c r="P2797">
        <f t="shared" si="138"/>
        <v>2025</v>
      </c>
      <c r="Q2797">
        <f t="shared" si="139"/>
        <v>6</v>
      </c>
      <c r="R2797" t="str">
        <f t="shared" si="137"/>
        <v>首页推荐-短视频</v>
      </c>
      <c r="S2797" t="s">
        <v>629</v>
      </c>
      <c r="T2797" s="546" t="s">
        <v>804</v>
      </c>
    </row>
    <row r="2798" spans="1:20" x14ac:dyDescent="0.3">
      <c r="A2798" t="s">
        <v>627</v>
      </c>
      <c r="B2798" s="16">
        <v>45821</v>
      </c>
      <c r="C2798" t="s">
        <v>3</v>
      </c>
      <c r="D2798" t="s">
        <v>128</v>
      </c>
      <c r="E2798" t="s">
        <v>177</v>
      </c>
      <c r="F2798">
        <v>694</v>
      </c>
      <c r="G2798">
        <v>544</v>
      </c>
      <c r="H2798">
        <v>24</v>
      </c>
      <c r="I2798">
        <v>4</v>
      </c>
      <c r="J2798" s="15">
        <v>35325</v>
      </c>
      <c r="K2798">
        <v>6</v>
      </c>
      <c r="L2798" s="15">
        <v>30710</v>
      </c>
      <c r="M2798">
        <v>4</v>
      </c>
      <c r="N2798">
        <v>334</v>
      </c>
      <c r="O2798">
        <v>499</v>
      </c>
      <c r="P2798">
        <f t="shared" si="138"/>
        <v>2025</v>
      </c>
      <c r="Q2798">
        <f t="shared" si="139"/>
        <v>6</v>
      </c>
      <c r="R2798" t="str">
        <f t="shared" si="137"/>
        <v>手淘搜索-商品及其他</v>
      </c>
      <c r="S2798" t="s">
        <v>629</v>
      </c>
      <c r="T2798" s="546" t="s">
        <v>804</v>
      </c>
    </row>
    <row r="2799" spans="1:20" x14ac:dyDescent="0.3">
      <c r="A2799" t="s">
        <v>627</v>
      </c>
      <c r="B2799" s="16">
        <v>45821</v>
      </c>
      <c r="C2799" t="s">
        <v>3</v>
      </c>
      <c r="D2799" t="s">
        <v>128</v>
      </c>
      <c r="E2799" t="s">
        <v>178</v>
      </c>
      <c r="F2799">
        <v>12</v>
      </c>
      <c r="G2799">
        <v>5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1</v>
      </c>
      <c r="O2799">
        <v>11</v>
      </c>
      <c r="P2799">
        <f t="shared" si="138"/>
        <v>2025</v>
      </c>
      <c r="Q2799">
        <f t="shared" si="139"/>
        <v>6</v>
      </c>
      <c r="R2799" t="str">
        <f t="shared" si="137"/>
        <v>手淘搜索-直播</v>
      </c>
      <c r="S2799" t="s">
        <v>629</v>
      </c>
      <c r="T2799" s="546" t="s">
        <v>804</v>
      </c>
    </row>
    <row r="2800" spans="1:20" x14ac:dyDescent="0.3">
      <c r="A2800" t="s">
        <v>627</v>
      </c>
      <c r="B2800" s="16">
        <v>45821</v>
      </c>
      <c r="C2800" t="s">
        <v>3</v>
      </c>
      <c r="D2800" t="s">
        <v>128</v>
      </c>
      <c r="E2800" t="s">
        <v>179</v>
      </c>
      <c r="F2800">
        <v>14</v>
      </c>
      <c r="G2800">
        <v>9</v>
      </c>
      <c r="H2800">
        <v>0</v>
      </c>
      <c r="I2800">
        <v>0</v>
      </c>
      <c r="J2800" s="15">
        <v>3907</v>
      </c>
      <c r="K2800">
        <v>2</v>
      </c>
      <c r="L2800" s="15">
        <v>3907</v>
      </c>
      <c r="M2800">
        <v>2</v>
      </c>
      <c r="N2800">
        <v>2</v>
      </c>
      <c r="O2800">
        <v>14</v>
      </c>
      <c r="P2800">
        <f t="shared" si="138"/>
        <v>2025</v>
      </c>
      <c r="Q2800">
        <f t="shared" si="139"/>
        <v>6</v>
      </c>
      <c r="R2800" t="str">
        <f t="shared" si="137"/>
        <v>手淘搜索-短视频</v>
      </c>
      <c r="S2800" t="s">
        <v>629</v>
      </c>
      <c r="T2800" s="546" t="s">
        <v>804</v>
      </c>
    </row>
    <row r="2801" spans="1:20" x14ac:dyDescent="0.3">
      <c r="A2801" t="s">
        <v>627</v>
      </c>
      <c r="B2801" s="16">
        <v>45821</v>
      </c>
      <c r="C2801" t="s">
        <v>3</v>
      </c>
      <c r="D2801" t="s">
        <v>143</v>
      </c>
      <c r="E2801" t="s">
        <v>180</v>
      </c>
      <c r="F2801">
        <v>3</v>
      </c>
      <c r="G2801">
        <v>3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3</v>
      </c>
      <c r="P2801">
        <f t="shared" si="138"/>
        <v>2025</v>
      </c>
      <c r="Q2801">
        <f t="shared" si="139"/>
        <v>6</v>
      </c>
      <c r="R2801" t="str">
        <f t="shared" si="137"/>
        <v>淘特其他渠道</v>
      </c>
      <c r="S2801" t="s">
        <v>629</v>
      </c>
      <c r="T2801" s="546" t="s">
        <v>804</v>
      </c>
    </row>
    <row r="2802" spans="1:20" x14ac:dyDescent="0.3">
      <c r="A2802" t="s">
        <v>627</v>
      </c>
      <c r="B2802" s="16">
        <v>45821</v>
      </c>
      <c r="C2802" t="s">
        <v>3</v>
      </c>
      <c r="D2802" t="s">
        <v>143</v>
      </c>
      <c r="E2802" t="s">
        <v>181</v>
      </c>
      <c r="F2802">
        <v>13</v>
      </c>
      <c r="G2802">
        <v>11</v>
      </c>
      <c r="H2802">
        <v>1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13</v>
      </c>
      <c r="P2802">
        <f t="shared" si="138"/>
        <v>2025</v>
      </c>
      <c r="Q2802">
        <f t="shared" si="139"/>
        <v>6</v>
      </c>
      <c r="R2802" t="str">
        <f t="shared" si="137"/>
        <v>淘特搜索</v>
      </c>
      <c r="S2802" t="s">
        <v>629</v>
      </c>
      <c r="T2802" s="546" t="s">
        <v>804</v>
      </c>
    </row>
    <row r="2803" spans="1:20" x14ac:dyDescent="0.3">
      <c r="A2803" t="s">
        <v>627</v>
      </c>
      <c r="B2803" s="16">
        <v>45821</v>
      </c>
      <c r="C2803" t="s">
        <v>2</v>
      </c>
      <c r="D2803" t="s">
        <v>55</v>
      </c>
      <c r="E2803" t="s">
        <v>54</v>
      </c>
      <c r="F2803">
        <v>841</v>
      </c>
      <c r="G2803">
        <v>579</v>
      </c>
      <c r="H2803">
        <v>18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23</v>
      </c>
      <c r="O2803">
        <v>236</v>
      </c>
      <c r="P2803">
        <f t="shared" si="138"/>
        <v>2025</v>
      </c>
      <c r="Q2803">
        <f t="shared" si="139"/>
        <v>6</v>
      </c>
      <c r="R2803" t="str">
        <f t="shared" si="137"/>
        <v>超级直播</v>
      </c>
      <c r="S2803" t="s">
        <v>629</v>
      </c>
      <c r="T2803" s="546" t="s">
        <v>804</v>
      </c>
    </row>
    <row r="2804" spans="1:20" x14ac:dyDescent="0.3">
      <c r="A2804" t="s">
        <v>627</v>
      </c>
      <c r="B2804" s="16">
        <v>45821</v>
      </c>
      <c r="C2804" t="s">
        <v>2</v>
      </c>
      <c r="D2804" t="s">
        <v>55</v>
      </c>
      <c r="E2804" t="s">
        <v>56</v>
      </c>
      <c r="F2804">
        <v>2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2</v>
      </c>
      <c r="P2804">
        <f t="shared" si="138"/>
        <v>2025</v>
      </c>
      <c r="Q2804">
        <f t="shared" si="139"/>
        <v>6</v>
      </c>
      <c r="R2804" t="str">
        <f t="shared" si="137"/>
        <v>超级短视频</v>
      </c>
      <c r="S2804" t="s">
        <v>629</v>
      </c>
      <c r="T2804" s="546" t="s">
        <v>804</v>
      </c>
    </row>
    <row r="2805" spans="1:20" x14ac:dyDescent="0.3">
      <c r="A2805" t="s">
        <v>627</v>
      </c>
      <c r="B2805" s="16">
        <v>45821</v>
      </c>
      <c r="C2805" t="s">
        <v>2</v>
      </c>
      <c r="D2805" t="s">
        <v>57</v>
      </c>
      <c r="E2805" t="s">
        <v>64</v>
      </c>
      <c r="F2805" s="15">
        <v>9052</v>
      </c>
      <c r="G2805" s="15">
        <v>5237</v>
      </c>
      <c r="H2805">
        <v>49</v>
      </c>
      <c r="I2805">
        <v>36</v>
      </c>
      <c r="J2805" s="15">
        <v>53520</v>
      </c>
      <c r="K2805">
        <v>8</v>
      </c>
      <c r="L2805" s="15">
        <v>29700</v>
      </c>
      <c r="M2805">
        <v>4</v>
      </c>
      <c r="N2805">
        <v>196</v>
      </c>
      <c r="O2805" s="15">
        <v>9052</v>
      </c>
      <c r="P2805">
        <f t="shared" si="138"/>
        <v>2025</v>
      </c>
      <c r="Q2805">
        <f t="shared" si="139"/>
        <v>6</v>
      </c>
      <c r="R2805" t="str">
        <f t="shared" si="137"/>
        <v>引力魔方</v>
      </c>
      <c r="S2805" t="s">
        <v>629</v>
      </c>
      <c r="T2805" s="546" t="s">
        <v>804</v>
      </c>
    </row>
    <row r="2806" spans="1:20" x14ac:dyDescent="0.3">
      <c r="A2806" t="s">
        <v>627</v>
      </c>
      <c r="B2806" s="16">
        <v>45821</v>
      </c>
      <c r="C2806" t="s">
        <v>2</v>
      </c>
      <c r="D2806" t="s">
        <v>57</v>
      </c>
      <c r="E2806" t="s">
        <v>65</v>
      </c>
      <c r="F2806" s="15">
        <v>2925</v>
      </c>
      <c r="G2806" s="15">
        <v>2583</v>
      </c>
      <c r="H2806">
        <v>20</v>
      </c>
      <c r="I2806">
        <v>15</v>
      </c>
      <c r="J2806" s="15">
        <v>32412</v>
      </c>
      <c r="K2806">
        <v>9</v>
      </c>
      <c r="L2806" s="15">
        <v>21587</v>
      </c>
      <c r="M2806">
        <v>7</v>
      </c>
      <c r="N2806">
        <v>189</v>
      </c>
      <c r="O2806" s="15">
        <v>2896</v>
      </c>
      <c r="P2806">
        <f t="shared" si="138"/>
        <v>2025</v>
      </c>
      <c r="Q2806">
        <f t="shared" si="139"/>
        <v>6</v>
      </c>
      <c r="R2806" t="str">
        <f t="shared" si="137"/>
        <v>直通车</v>
      </c>
      <c r="S2806" t="s">
        <v>629</v>
      </c>
      <c r="T2806" s="546" t="s">
        <v>804</v>
      </c>
    </row>
    <row r="2807" spans="1:20" x14ac:dyDescent="0.3">
      <c r="A2807" t="s">
        <v>627</v>
      </c>
      <c r="B2807" s="16">
        <v>45821</v>
      </c>
      <c r="C2807" t="s">
        <v>2</v>
      </c>
      <c r="D2807" t="s">
        <v>57</v>
      </c>
      <c r="E2807" t="s">
        <v>63</v>
      </c>
      <c r="F2807" s="15">
        <v>4469</v>
      </c>
      <c r="G2807" s="15">
        <v>2550</v>
      </c>
      <c r="H2807">
        <v>115</v>
      </c>
      <c r="I2807">
        <v>142</v>
      </c>
      <c r="J2807" s="15">
        <v>69295</v>
      </c>
      <c r="K2807">
        <v>15</v>
      </c>
      <c r="L2807" s="15">
        <v>55695</v>
      </c>
      <c r="M2807">
        <v>13</v>
      </c>
      <c r="N2807">
        <v>563</v>
      </c>
      <c r="O2807" s="15">
        <v>4290</v>
      </c>
      <c r="P2807">
        <f t="shared" si="138"/>
        <v>2025</v>
      </c>
      <c r="Q2807">
        <f t="shared" si="139"/>
        <v>6</v>
      </c>
      <c r="R2807" t="str">
        <f t="shared" si="137"/>
        <v>万相台</v>
      </c>
      <c r="S2807" t="s">
        <v>629</v>
      </c>
      <c r="T2807" s="546" t="s">
        <v>804</v>
      </c>
    </row>
    <row r="2808" spans="1:20" x14ac:dyDescent="0.3">
      <c r="A2808" t="s">
        <v>627</v>
      </c>
      <c r="B2808" s="16">
        <v>45821</v>
      </c>
      <c r="C2808" t="s">
        <v>2</v>
      </c>
      <c r="D2808" t="s">
        <v>4</v>
      </c>
      <c r="E2808" t="s">
        <v>41</v>
      </c>
      <c r="F2808">
        <v>5</v>
      </c>
      <c r="G2808">
        <v>4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5</v>
      </c>
      <c r="P2808">
        <f t="shared" si="138"/>
        <v>2025</v>
      </c>
      <c r="Q2808">
        <f t="shared" si="139"/>
        <v>6</v>
      </c>
      <c r="R2808" t="str">
        <f t="shared" si="137"/>
        <v>流量宝</v>
      </c>
      <c r="S2808" t="s">
        <v>629</v>
      </c>
      <c r="T2808" s="546" t="s">
        <v>804</v>
      </c>
    </row>
    <row r="2809" spans="1:20" x14ac:dyDescent="0.3">
      <c r="A2809" t="s">
        <v>627</v>
      </c>
      <c r="B2809" s="16">
        <v>45821</v>
      </c>
      <c r="C2809" t="s">
        <v>2</v>
      </c>
      <c r="D2809" t="s">
        <v>4</v>
      </c>
      <c r="E2809" t="s">
        <v>43</v>
      </c>
      <c r="F2809">
        <v>225</v>
      </c>
      <c r="G2809">
        <v>61</v>
      </c>
      <c r="H2809">
        <v>2</v>
      </c>
      <c r="I2809">
        <v>0</v>
      </c>
      <c r="J2809" s="15">
        <v>4750</v>
      </c>
      <c r="K2809">
        <v>1</v>
      </c>
      <c r="L2809" s="15">
        <v>2375</v>
      </c>
      <c r="M2809">
        <v>1</v>
      </c>
      <c r="N2809">
        <v>5</v>
      </c>
      <c r="O2809">
        <v>220</v>
      </c>
      <c r="P2809">
        <f t="shared" si="138"/>
        <v>2025</v>
      </c>
      <c r="Q2809">
        <f t="shared" si="139"/>
        <v>6</v>
      </c>
      <c r="R2809" t="str">
        <f t="shared" si="137"/>
        <v>淘宝客</v>
      </c>
      <c r="S2809" t="s">
        <v>629</v>
      </c>
      <c r="T2809" s="546" t="s">
        <v>804</v>
      </c>
    </row>
    <row r="2810" spans="1:20" x14ac:dyDescent="0.3">
      <c r="A2810" t="s">
        <v>627</v>
      </c>
      <c r="B2810" s="16">
        <v>45822</v>
      </c>
      <c r="C2810" t="s">
        <v>3</v>
      </c>
      <c r="D2810" t="s">
        <v>114</v>
      </c>
      <c r="E2810" t="s">
        <v>159</v>
      </c>
      <c r="F2810">
        <v>217</v>
      </c>
      <c r="G2810">
        <v>160</v>
      </c>
      <c r="H2810">
        <v>6</v>
      </c>
      <c r="I2810">
        <v>5</v>
      </c>
      <c r="J2810" s="15">
        <v>4420</v>
      </c>
      <c r="K2810">
        <v>1</v>
      </c>
      <c r="L2810" s="15">
        <v>4420</v>
      </c>
      <c r="M2810">
        <v>1</v>
      </c>
      <c r="N2810">
        <v>12</v>
      </c>
      <c r="O2810">
        <v>217</v>
      </c>
      <c r="P2810">
        <f t="shared" si="138"/>
        <v>2025</v>
      </c>
      <c r="Q2810">
        <f t="shared" si="139"/>
        <v>6</v>
      </c>
      <c r="R2810" t="str">
        <f t="shared" si="137"/>
        <v>主会场</v>
      </c>
      <c r="S2810" t="s">
        <v>629</v>
      </c>
      <c r="T2810" s="546" t="s">
        <v>804</v>
      </c>
    </row>
    <row r="2811" spans="1:20" x14ac:dyDescent="0.3">
      <c r="A2811" t="s">
        <v>627</v>
      </c>
      <c r="B2811" s="16">
        <v>45822</v>
      </c>
      <c r="C2811" t="s">
        <v>3</v>
      </c>
      <c r="D2811" t="s">
        <v>123</v>
      </c>
      <c r="E2811" t="s">
        <v>169</v>
      </c>
      <c r="F2811">
        <v>144</v>
      </c>
      <c r="G2811">
        <v>79</v>
      </c>
      <c r="H2811">
        <v>6</v>
      </c>
      <c r="I2811">
        <v>1</v>
      </c>
      <c r="J2811">
        <v>0</v>
      </c>
      <c r="K2811">
        <v>0</v>
      </c>
      <c r="L2811">
        <v>0</v>
      </c>
      <c r="M2811">
        <v>0</v>
      </c>
      <c r="N2811">
        <v>27</v>
      </c>
      <c r="O2811">
        <v>140</v>
      </c>
      <c r="P2811">
        <f t="shared" si="138"/>
        <v>2025</v>
      </c>
      <c r="Q2811">
        <f t="shared" si="139"/>
        <v>6</v>
      </c>
      <c r="R2811" t="str">
        <f t="shared" si="137"/>
        <v>商品详情页头图推荐</v>
      </c>
      <c r="S2811" t="s">
        <v>629</v>
      </c>
      <c r="T2811" s="546" t="s">
        <v>804</v>
      </c>
    </row>
    <row r="2812" spans="1:20" x14ac:dyDescent="0.3">
      <c r="A2812" t="s">
        <v>627</v>
      </c>
      <c r="B2812" s="16">
        <v>45822</v>
      </c>
      <c r="C2812" t="s">
        <v>3</v>
      </c>
      <c r="D2812" t="s">
        <v>123</v>
      </c>
      <c r="E2812" t="s">
        <v>170</v>
      </c>
      <c r="F2812">
        <v>26</v>
      </c>
      <c r="G2812">
        <v>15</v>
      </c>
      <c r="H2812">
        <v>2</v>
      </c>
      <c r="I2812">
        <v>0</v>
      </c>
      <c r="J2812" s="15">
        <v>4790</v>
      </c>
      <c r="K2812">
        <v>2</v>
      </c>
      <c r="L2812" s="15">
        <v>4790</v>
      </c>
      <c r="M2812">
        <v>2</v>
      </c>
      <c r="N2812">
        <v>19</v>
      </c>
      <c r="O2812">
        <v>11</v>
      </c>
      <c r="P2812">
        <f t="shared" si="138"/>
        <v>2025</v>
      </c>
      <c r="Q2812">
        <f t="shared" si="139"/>
        <v>6</v>
      </c>
      <c r="R2812" t="str">
        <f t="shared" si="137"/>
        <v>店铺超链</v>
      </c>
      <c r="S2812" t="s">
        <v>629</v>
      </c>
      <c r="T2812" s="546" t="s">
        <v>804</v>
      </c>
    </row>
    <row r="2813" spans="1:20" x14ac:dyDescent="0.3">
      <c r="A2813" t="s">
        <v>627</v>
      </c>
      <c r="B2813" s="16">
        <v>45822</v>
      </c>
      <c r="C2813" t="s">
        <v>3</v>
      </c>
      <c r="D2813" t="s">
        <v>127</v>
      </c>
      <c r="E2813" t="s">
        <v>171</v>
      </c>
      <c r="F2813">
        <v>165</v>
      </c>
      <c r="G2813">
        <v>87</v>
      </c>
      <c r="H2813">
        <v>8</v>
      </c>
      <c r="I2813">
        <v>3</v>
      </c>
      <c r="J2813" s="15">
        <v>15925</v>
      </c>
      <c r="K2813">
        <v>4</v>
      </c>
      <c r="L2813" s="15">
        <v>11030</v>
      </c>
      <c r="M2813">
        <v>3</v>
      </c>
      <c r="N2813">
        <v>24</v>
      </c>
      <c r="O2813">
        <v>142</v>
      </c>
      <c r="P2813">
        <f t="shared" si="138"/>
        <v>2025</v>
      </c>
      <c r="Q2813">
        <f t="shared" si="139"/>
        <v>6</v>
      </c>
      <c r="R2813" t="str">
        <f t="shared" si="137"/>
        <v>其他猜你喜欢</v>
      </c>
      <c r="S2813" t="s">
        <v>629</v>
      </c>
      <c r="T2813" s="546" t="s">
        <v>804</v>
      </c>
    </row>
    <row r="2814" spans="1:20" x14ac:dyDescent="0.3">
      <c r="A2814" t="s">
        <v>627</v>
      </c>
      <c r="B2814" s="16">
        <v>45822</v>
      </c>
      <c r="C2814" t="s">
        <v>3</v>
      </c>
      <c r="D2814" t="s">
        <v>127</v>
      </c>
      <c r="E2814" t="s">
        <v>172</v>
      </c>
      <c r="F2814">
        <v>7</v>
      </c>
      <c r="G2814">
        <v>3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4</v>
      </c>
      <c r="P2814">
        <f t="shared" si="138"/>
        <v>2025</v>
      </c>
      <c r="Q2814">
        <f t="shared" si="139"/>
        <v>6</v>
      </c>
      <c r="R2814" t="str">
        <f t="shared" si="137"/>
        <v>购中推荐</v>
      </c>
      <c r="S2814" t="s">
        <v>629</v>
      </c>
      <c r="T2814" s="546" t="s">
        <v>804</v>
      </c>
    </row>
    <row r="2815" spans="1:20" x14ac:dyDescent="0.3">
      <c r="A2815" t="s">
        <v>627</v>
      </c>
      <c r="B2815" s="16">
        <v>45822</v>
      </c>
      <c r="C2815" t="s">
        <v>3</v>
      </c>
      <c r="D2815" t="s">
        <v>127</v>
      </c>
      <c r="E2815" t="s">
        <v>173</v>
      </c>
      <c r="F2815">
        <v>50</v>
      </c>
      <c r="G2815">
        <v>28</v>
      </c>
      <c r="H2815">
        <v>0</v>
      </c>
      <c r="I2815">
        <v>0</v>
      </c>
      <c r="J2815" s="15">
        <v>1490</v>
      </c>
      <c r="K2815">
        <v>1</v>
      </c>
      <c r="L2815" s="15">
        <v>1490</v>
      </c>
      <c r="M2815">
        <v>1</v>
      </c>
      <c r="N2815">
        <v>1</v>
      </c>
      <c r="O2815">
        <v>31</v>
      </c>
      <c r="P2815">
        <f t="shared" si="138"/>
        <v>2025</v>
      </c>
      <c r="Q2815">
        <f t="shared" si="139"/>
        <v>6</v>
      </c>
      <c r="R2815" t="str">
        <f t="shared" si="137"/>
        <v>购后推荐</v>
      </c>
      <c r="S2815" t="s">
        <v>629</v>
      </c>
      <c r="T2815" s="546" t="s">
        <v>804</v>
      </c>
    </row>
    <row r="2816" spans="1:20" x14ac:dyDescent="0.3">
      <c r="A2816" t="s">
        <v>627</v>
      </c>
      <c r="B2816" s="16">
        <v>45822</v>
      </c>
      <c r="C2816" t="s">
        <v>3</v>
      </c>
      <c r="D2816" t="s">
        <v>127</v>
      </c>
      <c r="E2816" t="s">
        <v>174</v>
      </c>
      <c r="F2816" s="15">
        <v>2843</v>
      </c>
      <c r="G2816" s="15">
        <v>2005</v>
      </c>
      <c r="H2816">
        <v>35</v>
      </c>
      <c r="I2816">
        <v>11</v>
      </c>
      <c r="J2816" s="15">
        <v>18548</v>
      </c>
      <c r="K2816">
        <v>7</v>
      </c>
      <c r="L2816" s="15">
        <v>18548</v>
      </c>
      <c r="M2816">
        <v>7</v>
      </c>
      <c r="N2816">
        <v>147</v>
      </c>
      <c r="O2816" s="15">
        <v>2843</v>
      </c>
      <c r="P2816">
        <f t="shared" si="138"/>
        <v>2025</v>
      </c>
      <c r="Q2816">
        <f t="shared" si="139"/>
        <v>6</v>
      </c>
      <c r="R2816" t="str">
        <f t="shared" si="137"/>
        <v>首页推荐-微详情</v>
      </c>
      <c r="S2816" t="s">
        <v>629</v>
      </c>
      <c r="T2816" s="546" t="s">
        <v>804</v>
      </c>
    </row>
    <row r="2817" spans="1:20" x14ac:dyDescent="0.3">
      <c r="A2817" t="s">
        <v>627</v>
      </c>
      <c r="B2817" s="16">
        <v>45822</v>
      </c>
      <c r="C2817" t="s">
        <v>3</v>
      </c>
      <c r="D2817" t="s">
        <v>127</v>
      </c>
      <c r="E2817" t="s">
        <v>175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f t="shared" si="138"/>
        <v>2025</v>
      </c>
      <c r="Q2817">
        <f t="shared" si="139"/>
        <v>6</v>
      </c>
      <c r="R2817" t="str">
        <f t="shared" si="137"/>
        <v>首页推荐-直播</v>
      </c>
      <c r="S2817" t="s">
        <v>629</v>
      </c>
      <c r="T2817" s="546" t="s">
        <v>804</v>
      </c>
    </row>
    <row r="2818" spans="1:20" x14ac:dyDescent="0.3">
      <c r="A2818" t="s">
        <v>627</v>
      </c>
      <c r="B2818" s="16">
        <v>45822</v>
      </c>
      <c r="C2818" t="s">
        <v>3</v>
      </c>
      <c r="D2818" t="s">
        <v>127</v>
      </c>
      <c r="E2818" t="s">
        <v>176</v>
      </c>
      <c r="F2818">
        <v>195</v>
      </c>
      <c r="G2818">
        <v>106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2</v>
      </c>
      <c r="O2818">
        <v>15</v>
      </c>
      <c r="P2818">
        <f t="shared" si="138"/>
        <v>2025</v>
      </c>
      <c r="Q2818">
        <f t="shared" si="139"/>
        <v>6</v>
      </c>
      <c r="R2818" t="str">
        <f t="shared" si="137"/>
        <v>首页推荐-短视频</v>
      </c>
      <c r="S2818" t="s">
        <v>629</v>
      </c>
      <c r="T2818" s="546" t="s">
        <v>804</v>
      </c>
    </row>
    <row r="2819" spans="1:20" x14ac:dyDescent="0.3">
      <c r="A2819" t="s">
        <v>627</v>
      </c>
      <c r="B2819" s="16">
        <v>45822</v>
      </c>
      <c r="C2819" t="s">
        <v>3</v>
      </c>
      <c r="D2819" t="s">
        <v>128</v>
      </c>
      <c r="E2819" t="s">
        <v>177</v>
      </c>
      <c r="F2819">
        <v>800</v>
      </c>
      <c r="G2819">
        <v>604</v>
      </c>
      <c r="H2819">
        <v>37</v>
      </c>
      <c r="I2819">
        <v>8</v>
      </c>
      <c r="J2819" s="15">
        <v>38630</v>
      </c>
      <c r="K2819">
        <v>10</v>
      </c>
      <c r="L2819" s="15">
        <v>30645</v>
      </c>
      <c r="M2819">
        <v>9</v>
      </c>
      <c r="N2819">
        <v>355</v>
      </c>
      <c r="O2819">
        <v>617</v>
      </c>
      <c r="P2819">
        <f t="shared" si="138"/>
        <v>2025</v>
      </c>
      <c r="Q2819">
        <f t="shared" si="139"/>
        <v>6</v>
      </c>
      <c r="R2819" t="str">
        <f t="shared" si="137"/>
        <v>手淘搜索-商品及其他</v>
      </c>
      <c r="S2819" t="s">
        <v>629</v>
      </c>
      <c r="T2819" s="546" t="s">
        <v>804</v>
      </c>
    </row>
    <row r="2820" spans="1:20" x14ac:dyDescent="0.3">
      <c r="A2820" t="s">
        <v>627</v>
      </c>
      <c r="B2820" s="16">
        <v>45822</v>
      </c>
      <c r="C2820" t="s">
        <v>3</v>
      </c>
      <c r="D2820" t="s">
        <v>128</v>
      </c>
      <c r="E2820" t="s">
        <v>179</v>
      </c>
      <c r="F2820">
        <v>19</v>
      </c>
      <c r="G2820">
        <v>8</v>
      </c>
      <c r="H2820">
        <v>1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3</v>
      </c>
      <c r="O2820">
        <v>17</v>
      </c>
      <c r="P2820">
        <f t="shared" si="138"/>
        <v>2025</v>
      </c>
      <c r="Q2820">
        <f t="shared" si="139"/>
        <v>6</v>
      </c>
      <c r="R2820" t="str">
        <f t="shared" si="137"/>
        <v>手淘搜索-短视频</v>
      </c>
      <c r="S2820" t="s">
        <v>629</v>
      </c>
      <c r="T2820" s="546" t="s">
        <v>804</v>
      </c>
    </row>
    <row r="2821" spans="1:20" x14ac:dyDescent="0.3">
      <c r="A2821" t="s">
        <v>627</v>
      </c>
      <c r="B2821" s="16">
        <v>45822</v>
      </c>
      <c r="C2821" t="s">
        <v>3</v>
      </c>
      <c r="D2821" t="s">
        <v>143</v>
      </c>
      <c r="E2821" t="s">
        <v>180</v>
      </c>
      <c r="F2821">
        <v>2</v>
      </c>
      <c r="G2821">
        <v>2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2</v>
      </c>
      <c r="P2821">
        <f t="shared" si="138"/>
        <v>2025</v>
      </c>
      <c r="Q2821">
        <f t="shared" si="139"/>
        <v>6</v>
      </c>
      <c r="R2821" t="str">
        <f t="shared" si="137"/>
        <v>淘特其他渠道</v>
      </c>
      <c r="S2821" t="s">
        <v>629</v>
      </c>
      <c r="T2821" s="546" t="s">
        <v>804</v>
      </c>
    </row>
    <row r="2822" spans="1:20" x14ac:dyDescent="0.3">
      <c r="A2822" t="s">
        <v>627</v>
      </c>
      <c r="B2822" s="16">
        <v>45822</v>
      </c>
      <c r="C2822" t="s">
        <v>3</v>
      </c>
      <c r="D2822" t="s">
        <v>143</v>
      </c>
      <c r="E2822" t="s">
        <v>181</v>
      </c>
      <c r="F2822">
        <v>16</v>
      </c>
      <c r="G2822">
        <v>16</v>
      </c>
      <c r="H2822">
        <v>1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16</v>
      </c>
      <c r="P2822">
        <f t="shared" si="138"/>
        <v>2025</v>
      </c>
      <c r="Q2822">
        <f t="shared" si="139"/>
        <v>6</v>
      </c>
      <c r="R2822" t="str">
        <f t="shared" si="137"/>
        <v>淘特搜索</v>
      </c>
      <c r="S2822" t="s">
        <v>629</v>
      </c>
      <c r="T2822" s="546" t="s">
        <v>804</v>
      </c>
    </row>
    <row r="2823" spans="1:20" x14ac:dyDescent="0.3">
      <c r="A2823" t="s">
        <v>627</v>
      </c>
      <c r="B2823" s="16">
        <v>45822</v>
      </c>
      <c r="C2823" t="s">
        <v>2</v>
      </c>
      <c r="D2823" t="s">
        <v>55</v>
      </c>
      <c r="E2823" t="s">
        <v>54</v>
      </c>
      <c r="F2823">
        <v>1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f t="shared" si="138"/>
        <v>2025</v>
      </c>
      <c r="Q2823">
        <f t="shared" si="139"/>
        <v>6</v>
      </c>
      <c r="R2823" t="str">
        <f t="shared" ref="R2823:R2886" si="140">E2823</f>
        <v>超级直播</v>
      </c>
      <c r="S2823" t="s">
        <v>629</v>
      </c>
      <c r="T2823" s="546" t="s">
        <v>804</v>
      </c>
    </row>
    <row r="2824" spans="1:20" x14ac:dyDescent="0.3">
      <c r="A2824" t="s">
        <v>627</v>
      </c>
      <c r="B2824" s="16">
        <v>45822</v>
      </c>
      <c r="C2824" t="s">
        <v>2</v>
      </c>
      <c r="D2824" t="s">
        <v>55</v>
      </c>
      <c r="E2824" t="s">
        <v>56</v>
      </c>
      <c r="F2824">
        <v>5</v>
      </c>
      <c r="G2824">
        <v>4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5</v>
      </c>
      <c r="P2824">
        <f t="shared" si="138"/>
        <v>2025</v>
      </c>
      <c r="Q2824">
        <f t="shared" si="139"/>
        <v>6</v>
      </c>
      <c r="R2824" t="str">
        <f t="shared" si="140"/>
        <v>超级短视频</v>
      </c>
      <c r="S2824" t="s">
        <v>629</v>
      </c>
      <c r="T2824" s="546" t="s">
        <v>804</v>
      </c>
    </row>
    <row r="2825" spans="1:20" x14ac:dyDescent="0.3">
      <c r="A2825" t="s">
        <v>627</v>
      </c>
      <c r="B2825" s="16">
        <v>45822</v>
      </c>
      <c r="C2825" t="s">
        <v>2</v>
      </c>
      <c r="D2825" t="s">
        <v>52</v>
      </c>
      <c r="E2825" t="s">
        <v>58</v>
      </c>
      <c r="F2825">
        <v>1</v>
      </c>
      <c r="G2825">
        <v>1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1</v>
      </c>
      <c r="P2825">
        <f t="shared" si="138"/>
        <v>2025</v>
      </c>
      <c r="Q2825">
        <f t="shared" si="139"/>
        <v>6</v>
      </c>
      <c r="R2825" t="str">
        <f t="shared" si="140"/>
        <v>超级全域通</v>
      </c>
      <c r="S2825" t="s">
        <v>629</v>
      </c>
      <c r="T2825" s="546" t="s">
        <v>804</v>
      </c>
    </row>
    <row r="2826" spans="1:20" x14ac:dyDescent="0.3">
      <c r="A2826" t="s">
        <v>627</v>
      </c>
      <c r="B2826" s="16">
        <v>45822</v>
      </c>
      <c r="C2826" t="s">
        <v>2</v>
      </c>
      <c r="D2826" t="s">
        <v>57</v>
      </c>
      <c r="E2826" t="s">
        <v>64</v>
      </c>
      <c r="F2826" s="15">
        <v>9367</v>
      </c>
      <c r="G2826" s="15">
        <v>5323</v>
      </c>
      <c r="H2826">
        <v>59</v>
      </c>
      <c r="I2826">
        <v>40</v>
      </c>
      <c r="J2826" s="15">
        <v>26345</v>
      </c>
      <c r="K2826">
        <v>8</v>
      </c>
      <c r="L2826" s="15">
        <v>8730</v>
      </c>
      <c r="M2826">
        <v>4</v>
      </c>
      <c r="N2826">
        <v>263</v>
      </c>
      <c r="O2826" s="15">
        <v>9367</v>
      </c>
      <c r="P2826">
        <f t="shared" si="138"/>
        <v>2025</v>
      </c>
      <c r="Q2826">
        <f t="shared" si="139"/>
        <v>6</v>
      </c>
      <c r="R2826" t="str">
        <f t="shared" si="140"/>
        <v>引力魔方</v>
      </c>
      <c r="S2826" t="s">
        <v>629</v>
      </c>
      <c r="T2826" s="546" t="s">
        <v>804</v>
      </c>
    </row>
    <row r="2827" spans="1:20" x14ac:dyDescent="0.3">
      <c r="A2827" t="s">
        <v>627</v>
      </c>
      <c r="B2827" s="16">
        <v>45822</v>
      </c>
      <c r="C2827" t="s">
        <v>2</v>
      </c>
      <c r="D2827" t="s">
        <v>57</v>
      </c>
      <c r="E2827" t="s">
        <v>65</v>
      </c>
      <c r="F2827" s="15">
        <v>3217</v>
      </c>
      <c r="G2827" s="15">
        <v>2863</v>
      </c>
      <c r="H2827">
        <v>38</v>
      </c>
      <c r="I2827">
        <v>12</v>
      </c>
      <c r="J2827" s="15">
        <v>41998</v>
      </c>
      <c r="K2827">
        <v>9</v>
      </c>
      <c r="L2827" s="15">
        <v>16843</v>
      </c>
      <c r="M2827">
        <v>6</v>
      </c>
      <c r="N2827">
        <v>215</v>
      </c>
      <c r="O2827" s="15">
        <v>3182</v>
      </c>
      <c r="P2827">
        <f t="shared" si="138"/>
        <v>2025</v>
      </c>
      <c r="Q2827">
        <f t="shared" si="139"/>
        <v>6</v>
      </c>
      <c r="R2827" t="str">
        <f t="shared" si="140"/>
        <v>直通车</v>
      </c>
      <c r="S2827" t="s">
        <v>629</v>
      </c>
      <c r="T2827" s="546" t="s">
        <v>804</v>
      </c>
    </row>
    <row r="2828" spans="1:20" x14ac:dyDescent="0.3">
      <c r="A2828" t="s">
        <v>627</v>
      </c>
      <c r="B2828" s="16">
        <v>45822</v>
      </c>
      <c r="C2828" t="s">
        <v>2</v>
      </c>
      <c r="D2828" t="s">
        <v>57</v>
      </c>
      <c r="E2828" t="s">
        <v>63</v>
      </c>
      <c r="F2828" s="15">
        <v>3838</v>
      </c>
      <c r="G2828" s="15">
        <v>1941</v>
      </c>
      <c r="H2828">
        <v>110</v>
      </c>
      <c r="I2828">
        <v>133</v>
      </c>
      <c r="J2828" s="15">
        <v>51677</v>
      </c>
      <c r="K2828">
        <v>22</v>
      </c>
      <c r="L2828" s="15">
        <v>42800</v>
      </c>
      <c r="M2828">
        <v>18</v>
      </c>
      <c r="N2828">
        <v>612</v>
      </c>
      <c r="O2828" s="15">
        <v>3648</v>
      </c>
      <c r="P2828">
        <f t="shared" si="138"/>
        <v>2025</v>
      </c>
      <c r="Q2828">
        <f t="shared" si="139"/>
        <v>6</v>
      </c>
      <c r="R2828" t="str">
        <f t="shared" si="140"/>
        <v>万相台</v>
      </c>
      <c r="S2828" t="s">
        <v>629</v>
      </c>
      <c r="T2828" s="546" t="s">
        <v>804</v>
      </c>
    </row>
    <row r="2829" spans="1:20" x14ac:dyDescent="0.3">
      <c r="A2829" t="s">
        <v>627</v>
      </c>
      <c r="B2829" s="16">
        <v>45822</v>
      </c>
      <c r="C2829" t="s">
        <v>2</v>
      </c>
      <c r="D2829" t="s">
        <v>4</v>
      </c>
      <c r="E2829" t="s">
        <v>43</v>
      </c>
      <c r="F2829">
        <v>209</v>
      </c>
      <c r="G2829">
        <v>58</v>
      </c>
      <c r="H2829">
        <v>4</v>
      </c>
      <c r="I2829">
        <v>1</v>
      </c>
      <c r="J2829" s="15">
        <v>2625</v>
      </c>
      <c r="K2829">
        <v>1</v>
      </c>
      <c r="L2829" s="15">
        <v>2625</v>
      </c>
      <c r="M2829">
        <v>1</v>
      </c>
      <c r="N2829">
        <v>3</v>
      </c>
      <c r="O2829">
        <v>208</v>
      </c>
      <c r="P2829">
        <f t="shared" si="138"/>
        <v>2025</v>
      </c>
      <c r="Q2829">
        <f t="shared" si="139"/>
        <v>6</v>
      </c>
      <c r="R2829" t="str">
        <f t="shared" si="140"/>
        <v>淘宝客</v>
      </c>
      <c r="S2829" t="s">
        <v>629</v>
      </c>
      <c r="T2829" s="546" t="s">
        <v>804</v>
      </c>
    </row>
    <row r="2830" spans="1:20" x14ac:dyDescent="0.3">
      <c r="A2830" t="s">
        <v>627</v>
      </c>
      <c r="B2830" s="16">
        <v>45823</v>
      </c>
      <c r="C2830" t="s">
        <v>3</v>
      </c>
      <c r="D2830" t="s">
        <v>114</v>
      </c>
      <c r="E2830" t="s">
        <v>159</v>
      </c>
      <c r="F2830">
        <v>197</v>
      </c>
      <c r="G2830">
        <v>122</v>
      </c>
      <c r="H2830">
        <v>6</v>
      </c>
      <c r="I2830">
        <v>7</v>
      </c>
      <c r="J2830" s="15">
        <v>3885</v>
      </c>
      <c r="K2830">
        <v>2</v>
      </c>
      <c r="L2830" s="15">
        <v>3885</v>
      </c>
      <c r="M2830">
        <v>2</v>
      </c>
      <c r="N2830">
        <v>20</v>
      </c>
      <c r="O2830">
        <v>195</v>
      </c>
      <c r="P2830">
        <f t="shared" si="138"/>
        <v>2025</v>
      </c>
      <c r="Q2830">
        <f t="shared" si="139"/>
        <v>6</v>
      </c>
      <c r="R2830" t="str">
        <f t="shared" si="140"/>
        <v>主会场</v>
      </c>
      <c r="S2830" t="s">
        <v>629</v>
      </c>
      <c r="T2830" s="546" t="s">
        <v>804</v>
      </c>
    </row>
    <row r="2831" spans="1:20" x14ac:dyDescent="0.3">
      <c r="A2831" t="s">
        <v>627</v>
      </c>
      <c r="B2831" s="16">
        <v>45823</v>
      </c>
      <c r="C2831" t="s">
        <v>3</v>
      </c>
      <c r="D2831" t="s">
        <v>117</v>
      </c>
      <c r="E2831" t="s">
        <v>161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1</v>
      </c>
      <c r="P2831">
        <f t="shared" si="138"/>
        <v>2025</v>
      </c>
      <c r="Q2831">
        <f t="shared" si="139"/>
        <v>6</v>
      </c>
      <c r="R2831" t="str">
        <f t="shared" si="140"/>
        <v>其他入口榜单</v>
      </c>
      <c r="S2831" t="s">
        <v>629</v>
      </c>
      <c r="T2831" s="546" t="s">
        <v>804</v>
      </c>
    </row>
    <row r="2832" spans="1:20" x14ac:dyDescent="0.3">
      <c r="A2832" t="s">
        <v>627</v>
      </c>
      <c r="B2832" s="16">
        <v>45823</v>
      </c>
      <c r="C2832" t="s">
        <v>3</v>
      </c>
      <c r="D2832" t="s">
        <v>123</v>
      </c>
      <c r="E2832" t="s">
        <v>169</v>
      </c>
      <c r="F2832">
        <v>136</v>
      </c>
      <c r="G2832">
        <v>59</v>
      </c>
      <c r="H2832">
        <v>7</v>
      </c>
      <c r="I2832">
        <v>3</v>
      </c>
      <c r="J2832" s="15">
        <v>9692</v>
      </c>
      <c r="K2832">
        <v>4</v>
      </c>
      <c r="L2832" s="15">
        <v>9692</v>
      </c>
      <c r="M2832">
        <v>4</v>
      </c>
      <c r="N2832">
        <v>31</v>
      </c>
      <c r="O2832">
        <v>132</v>
      </c>
      <c r="P2832">
        <f t="shared" si="138"/>
        <v>2025</v>
      </c>
      <c r="Q2832">
        <f t="shared" si="139"/>
        <v>6</v>
      </c>
      <c r="R2832" t="str">
        <f t="shared" si="140"/>
        <v>商品详情页头图推荐</v>
      </c>
      <c r="S2832" t="s">
        <v>629</v>
      </c>
      <c r="T2832" s="546" t="s">
        <v>804</v>
      </c>
    </row>
    <row r="2833" spans="1:20" x14ac:dyDescent="0.3">
      <c r="A2833" t="s">
        <v>627</v>
      </c>
      <c r="B2833" s="16">
        <v>45823</v>
      </c>
      <c r="C2833" t="s">
        <v>3</v>
      </c>
      <c r="D2833" t="s">
        <v>123</v>
      </c>
      <c r="E2833" t="s">
        <v>170</v>
      </c>
      <c r="F2833">
        <v>33</v>
      </c>
      <c r="G2833">
        <v>14</v>
      </c>
      <c r="H2833">
        <v>0</v>
      </c>
      <c r="I2833">
        <v>0</v>
      </c>
      <c r="J2833" s="15">
        <v>2490</v>
      </c>
      <c r="K2833">
        <v>1</v>
      </c>
      <c r="L2833" s="15">
        <v>2490</v>
      </c>
      <c r="M2833">
        <v>1</v>
      </c>
      <c r="N2833">
        <v>26</v>
      </c>
      <c r="O2833">
        <v>15</v>
      </c>
      <c r="P2833">
        <f t="shared" si="138"/>
        <v>2025</v>
      </c>
      <c r="Q2833">
        <f t="shared" si="139"/>
        <v>6</v>
      </c>
      <c r="R2833" t="str">
        <f t="shared" si="140"/>
        <v>店铺超链</v>
      </c>
      <c r="S2833" t="s">
        <v>629</v>
      </c>
      <c r="T2833" s="546" t="s">
        <v>804</v>
      </c>
    </row>
    <row r="2834" spans="1:20" x14ac:dyDescent="0.3">
      <c r="A2834" t="s">
        <v>627</v>
      </c>
      <c r="B2834" s="16">
        <v>45823</v>
      </c>
      <c r="C2834" t="s">
        <v>3</v>
      </c>
      <c r="D2834" t="s">
        <v>127</v>
      </c>
      <c r="E2834" t="s">
        <v>171</v>
      </c>
      <c r="F2834">
        <v>167</v>
      </c>
      <c r="G2834">
        <v>99</v>
      </c>
      <c r="H2834">
        <v>8</v>
      </c>
      <c r="I2834">
        <v>2</v>
      </c>
      <c r="J2834" s="15">
        <v>8185</v>
      </c>
      <c r="K2834">
        <v>4</v>
      </c>
      <c r="L2834" s="15">
        <v>6495</v>
      </c>
      <c r="M2834">
        <v>3</v>
      </c>
      <c r="N2834">
        <v>32</v>
      </c>
      <c r="O2834">
        <v>149</v>
      </c>
      <c r="P2834">
        <f t="shared" si="138"/>
        <v>2025</v>
      </c>
      <c r="Q2834">
        <f t="shared" si="139"/>
        <v>6</v>
      </c>
      <c r="R2834" t="str">
        <f t="shared" si="140"/>
        <v>其他猜你喜欢</v>
      </c>
      <c r="S2834" t="s">
        <v>629</v>
      </c>
      <c r="T2834" s="546" t="s">
        <v>804</v>
      </c>
    </row>
    <row r="2835" spans="1:20" x14ac:dyDescent="0.3">
      <c r="A2835" t="s">
        <v>627</v>
      </c>
      <c r="B2835" s="16">
        <v>45823</v>
      </c>
      <c r="C2835" t="s">
        <v>3</v>
      </c>
      <c r="D2835" t="s">
        <v>127</v>
      </c>
      <c r="E2835" t="s">
        <v>172</v>
      </c>
      <c r="F2835">
        <v>7</v>
      </c>
      <c r="G2835">
        <v>3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7</v>
      </c>
      <c r="P2835">
        <f t="shared" si="138"/>
        <v>2025</v>
      </c>
      <c r="Q2835">
        <f t="shared" si="139"/>
        <v>6</v>
      </c>
      <c r="R2835" t="str">
        <f t="shared" si="140"/>
        <v>购中推荐</v>
      </c>
      <c r="S2835" t="s">
        <v>629</v>
      </c>
      <c r="T2835" s="546" t="s">
        <v>804</v>
      </c>
    </row>
    <row r="2836" spans="1:20" x14ac:dyDescent="0.3">
      <c r="A2836" t="s">
        <v>627</v>
      </c>
      <c r="B2836" s="16">
        <v>45823</v>
      </c>
      <c r="C2836" t="s">
        <v>3</v>
      </c>
      <c r="D2836" t="s">
        <v>127</v>
      </c>
      <c r="E2836" t="s">
        <v>173</v>
      </c>
      <c r="F2836">
        <v>41</v>
      </c>
      <c r="G2836">
        <v>22</v>
      </c>
      <c r="H2836">
        <v>2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2</v>
      </c>
      <c r="O2836">
        <v>30</v>
      </c>
      <c r="P2836">
        <f t="shared" si="138"/>
        <v>2025</v>
      </c>
      <c r="Q2836">
        <f t="shared" si="139"/>
        <v>6</v>
      </c>
      <c r="R2836" t="str">
        <f t="shared" si="140"/>
        <v>购后推荐</v>
      </c>
      <c r="S2836" t="s">
        <v>629</v>
      </c>
      <c r="T2836" s="546" t="s">
        <v>804</v>
      </c>
    </row>
    <row r="2837" spans="1:20" x14ac:dyDescent="0.3">
      <c r="A2837" t="s">
        <v>627</v>
      </c>
      <c r="B2837" s="16">
        <v>45823</v>
      </c>
      <c r="C2837" t="s">
        <v>3</v>
      </c>
      <c r="D2837" t="s">
        <v>127</v>
      </c>
      <c r="E2837" t="s">
        <v>174</v>
      </c>
      <c r="F2837" s="15">
        <v>3068</v>
      </c>
      <c r="G2837" s="15">
        <v>2279</v>
      </c>
      <c r="H2837">
        <v>42</v>
      </c>
      <c r="I2837">
        <v>16</v>
      </c>
      <c r="J2837" s="15">
        <v>18778</v>
      </c>
      <c r="K2837">
        <v>6</v>
      </c>
      <c r="L2837" s="15">
        <v>18778</v>
      </c>
      <c r="M2837">
        <v>6</v>
      </c>
      <c r="N2837">
        <v>146</v>
      </c>
      <c r="O2837" s="15">
        <v>3068</v>
      </c>
      <c r="P2837">
        <f t="shared" ref="P2837:P2900" si="141">YEAR(B2837)</f>
        <v>2025</v>
      </c>
      <c r="Q2837">
        <f t="shared" ref="Q2837:Q2900" si="142">MONTH(B2837)</f>
        <v>6</v>
      </c>
      <c r="R2837" t="str">
        <f t="shared" si="140"/>
        <v>首页推荐-微详情</v>
      </c>
      <c r="S2837" t="s">
        <v>629</v>
      </c>
      <c r="T2837" s="546" t="s">
        <v>804</v>
      </c>
    </row>
    <row r="2838" spans="1:20" x14ac:dyDescent="0.3">
      <c r="A2838" t="s">
        <v>627</v>
      </c>
      <c r="B2838" s="16">
        <v>45823</v>
      </c>
      <c r="C2838" t="s">
        <v>3</v>
      </c>
      <c r="D2838" t="s">
        <v>127</v>
      </c>
      <c r="E2838" t="s">
        <v>176</v>
      </c>
      <c r="F2838">
        <v>178</v>
      </c>
      <c r="G2838">
        <v>133</v>
      </c>
      <c r="H2838">
        <v>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</v>
      </c>
      <c r="O2838">
        <v>12</v>
      </c>
      <c r="P2838">
        <f t="shared" si="141"/>
        <v>2025</v>
      </c>
      <c r="Q2838">
        <f t="shared" si="142"/>
        <v>6</v>
      </c>
      <c r="R2838" t="str">
        <f t="shared" si="140"/>
        <v>首页推荐-短视频</v>
      </c>
      <c r="S2838" t="s">
        <v>629</v>
      </c>
      <c r="T2838" s="546" t="s">
        <v>804</v>
      </c>
    </row>
    <row r="2839" spans="1:20" x14ac:dyDescent="0.3">
      <c r="A2839" t="s">
        <v>627</v>
      </c>
      <c r="B2839" s="16">
        <v>45823</v>
      </c>
      <c r="C2839" t="s">
        <v>3</v>
      </c>
      <c r="D2839" t="s">
        <v>128</v>
      </c>
      <c r="E2839" t="s">
        <v>177</v>
      </c>
      <c r="F2839">
        <v>836</v>
      </c>
      <c r="G2839">
        <v>622</v>
      </c>
      <c r="H2839">
        <v>44</v>
      </c>
      <c r="I2839">
        <v>8</v>
      </c>
      <c r="J2839" s="15">
        <v>17925</v>
      </c>
      <c r="K2839">
        <v>11</v>
      </c>
      <c r="L2839" s="15">
        <v>16235</v>
      </c>
      <c r="M2839">
        <v>10</v>
      </c>
      <c r="N2839">
        <v>358</v>
      </c>
      <c r="O2839">
        <v>640</v>
      </c>
      <c r="P2839">
        <f t="shared" si="141"/>
        <v>2025</v>
      </c>
      <c r="Q2839">
        <f t="shared" si="142"/>
        <v>6</v>
      </c>
      <c r="R2839" t="str">
        <f t="shared" si="140"/>
        <v>手淘搜索-商品及其他</v>
      </c>
      <c r="S2839" t="s">
        <v>629</v>
      </c>
      <c r="T2839" s="546" t="s">
        <v>804</v>
      </c>
    </row>
    <row r="2840" spans="1:20" x14ac:dyDescent="0.3">
      <c r="A2840" t="s">
        <v>627</v>
      </c>
      <c r="B2840" s="16">
        <v>45823</v>
      </c>
      <c r="C2840" t="s">
        <v>3</v>
      </c>
      <c r="D2840" t="s">
        <v>128</v>
      </c>
      <c r="E2840" t="s">
        <v>179</v>
      </c>
      <c r="F2840">
        <v>22</v>
      </c>
      <c r="G2840">
        <v>11</v>
      </c>
      <c r="H2840">
        <v>1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3</v>
      </c>
      <c r="O2840">
        <v>22</v>
      </c>
      <c r="P2840">
        <f t="shared" si="141"/>
        <v>2025</v>
      </c>
      <c r="Q2840">
        <f t="shared" si="142"/>
        <v>6</v>
      </c>
      <c r="R2840" t="str">
        <f t="shared" si="140"/>
        <v>手淘搜索-短视频</v>
      </c>
      <c r="S2840" t="s">
        <v>629</v>
      </c>
      <c r="T2840" s="546" t="s">
        <v>804</v>
      </c>
    </row>
    <row r="2841" spans="1:20" x14ac:dyDescent="0.3">
      <c r="A2841" t="s">
        <v>627</v>
      </c>
      <c r="B2841" s="16">
        <v>45823</v>
      </c>
      <c r="C2841" t="s">
        <v>3</v>
      </c>
      <c r="D2841" t="s">
        <v>143</v>
      </c>
      <c r="E2841" t="s">
        <v>180</v>
      </c>
      <c r="F2841">
        <v>7</v>
      </c>
      <c r="G2841">
        <v>5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1</v>
      </c>
      <c r="O2841">
        <v>7</v>
      </c>
      <c r="P2841">
        <f t="shared" si="141"/>
        <v>2025</v>
      </c>
      <c r="Q2841">
        <f t="shared" si="142"/>
        <v>6</v>
      </c>
      <c r="R2841" t="str">
        <f t="shared" si="140"/>
        <v>淘特其他渠道</v>
      </c>
      <c r="S2841" t="s">
        <v>629</v>
      </c>
      <c r="T2841" s="546" t="s">
        <v>804</v>
      </c>
    </row>
    <row r="2842" spans="1:20" x14ac:dyDescent="0.3">
      <c r="A2842" t="s">
        <v>627</v>
      </c>
      <c r="B2842" s="16">
        <v>45823</v>
      </c>
      <c r="C2842" t="s">
        <v>3</v>
      </c>
      <c r="D2842" t="s">
        <v>143</v>
      </c>
      <c r="E2842" t="s">
        <v>181</v>
      </c>
      <c r="F2842">
        <v>18</v>
      </c>
      <c r="G2842">
        <v>17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1</v>
      </c>
      <c r="O2842">
        <v>18</v>
      </c>
      <c r="P2842">
        <f t="shared" si="141"/>
        <v>2025</v>
      </c>
      <c r="Q2842">
        <f t="shared" si="142"/>
        <v>6</v>
      </c>
      <c r="R2842" t="str">
        <f t="shared" si="140"/>
        <v>淘特搜索</v>
      </c>
      <c r="S2842" t="s">
        <v>629</v>
      </c>
      <c r="T2842" s="546" t="s">
        <v>804</v>
      </c>
    </row>
    <row r="2843" spans="1:20" x14ac:dyDescent="0.3">
      <c r="A2843" t="s">
        <v>627</v>
      </c>
      <c r="B2843" s="16">
        <v>45823</v>
      </c>
      <c r="C2843" t="s">
        <v>2</v>
      </c>
      <c r="D2843" t="s">
        <v>55</v>
      </c>
      <c r="E2843" t="s">
        <v>54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f t="shared" si="141"/>
        <v>2025</v>
      </c>
      <c r="Q2843">
        <f t="shared" si="142"/>
        <v>6</v>
      </c>
      <c r="R2843" t="str">
        <f t="shared" si="140"/>
        <v>超级直播</v>
      </c>
      <c r="S2843" t="s">
        <v>629</v>
      </c>
      <c r="T2843" s="546" t="s">
        <v>804</v>
      </c>
    </row>
    <row r="2844" spans="1:20" x14ac:dyDescent="0.3">
      <c r="A2844" t="s">
        <v>627</v>
      </c>
      <c r="B2844" s="16">
        <v>45823</v>
      </c>
      <c r="C2844" t="s">
        <v>2</v>
      </c>
      <c r="D2844" t="s">
        <v>55</v>
      </c>
      <c r="E2844" t="s">
        <v>56</v>
      </c>
      <c r="F2844">
        <v>3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3</v>
      </c>
      <c r="P2844">
        <f t="shared" si="141"/>
        <v>2025</v>
      </c>
      <c r="Q2844">
        <f t="shared" si="142"/>
        <v>6</v>
      </c>
      <c r="R2844" t="str">
        <f t="shared" si="140"/>
        <v>超级短视频</v>
      </c>
      <c r="S2844" t="s">
        <v>629</v>
      </c>
      <c r="T2844" s="546" t="s">
        <v>804</v>
      </c>
    </row>
    <row r="2845" spans="1:20" x14ac:dyDescent="0.3">
      <c r="A2845" t="s">
        <v>627</v>
      </c>
      <c r="B2845" s="16">
        <v>45823</v>
      </c>
      <c r="C2845" t="s">
        <v>2</v>
      </c>
      <c r="D2845" t="s">
        <v>57</v>
      </c>
      <c r="E2845" t="s">
        <v>64</v>
      </c>
      <c r="F2845" s="15">
        <v>9584</v>
      </c>
      <c r="G2845" s="15">
        <v>5714</v>
      </c>
      <c r="H2845">
        <v>35</v>
      </c>
      <c r="I2845">
        <v>32</v>
      </c>
      <c r="J2845" s="15">
        <v>9960</v>
      </c>
      <c r="K2845">
        <v>3</v>
      </c>
      <c r="L2845" s="15">
        <v>3250</v>
      </c>
      <c r="M2845">
        <v>1</v>
      </c>
      <c r="N2845">
        <v>271</v>
      </c>
      <c r="O2845" s="15">
        <v>9584</v>
      </c>
      <c r="P2845">
        <f t="shared" si="141"/>
        <v>2025</v>
      </c>
      <c r="Q2845">
        <f t="shared" si="142"/>
        <v>6</v>
      </c>
      <c r="R2845" t="str">
        <f t="shared" si="140"/>
        <v>引力魔方</v>
      </c>
      <c r="S2845" t="s">
        <v>629</v>
      </c>
      <c r="T2845" s="546" t="s">
        <v>804</v>
      </c>
    </row>
    <row r="2846" spans="1:20" x14ac:dyDescent="0.3">
      <c r="A2846" t="s">
        <v>627</v>
      </c>
      <c r="B2846" s="16">
        <v>45823</v>
      </c>
      <c r="C2846" t="s">
        <v>2</v>
      </c>
      <c r="D2846" t="s">
        <v>57</v>
      </c>
      <c r="E2846" t="s">
        <v>65</v>
      </c>
      <c r="F2846" s="15">
        <v>2962</v>
      </c>
      <c r="G2846" s="15">
        <v>2631</v>
      </c>
      <c r="H2846">
        <v>48</v>
      </c>
      <c r="I2846">
        <v>18</v>
      </c>
      <c r="J2846" s="15">
        <v>39262</v>
      </c>
      <c r="K2846">
        <v>11</v>
      </c>
      <c r="L2846" s="15">
        <v>23975</v>
      </c>
      <c r="M2846">
        <v>8</v>
      </c>
      <c r="N2846">
        <v>191</v>
      </c>
      <c r="O2846" s="15">
        <v>2936</v>
      </c>
      <c r="P2846">
        <f t="shared" si="141"/>
        <v>2025</v>
      </c>
      <c r="Q2846">
        <f t="shared" si="142"/>
        <v>6</v>
      </c>
      <c r="R2846" t="str">
        <f t="shared" si="140"/>
        <v>直通车</v>
      </c>
      <c r="S2846" t="s">
        <v>629</v>
      </c>
      <c r="T2846" s="546" t="s">
        <v>804</v>
      </c>
    </row>
    <row r="2847" spans="1:20" x14ac:dyDescent="0.3">
      <c r="A2847" t="s">
        <v>627</v>
      </c>
      <c r="B2847" s="16">
        <v>45823</v>
      </c>
      <c r="C2847" t="s">
        <v>2</v>
      </c>
      <c r="D2847" t="s">
        <v>57</v>
      </c>
      <c r="E2847" t="s">
        <v>63</v>
      </c>
      <c r="F2847" s="15">
        <v>3954</v>
      </c>
      <c r="G2847" s="15">
        <v>2048</v>
      </c>
      <c r="H2847">
        <v>106</v>
      </c>
      <c r="I2847">
        <v>112</v>
      </c>
      <c r="J2847" s="15">
        <v>138906</v>
      </c>
      <c r="K2847">
        <v>37</v>
      </c>
      <c r="L2847" s="15">
        <v>80508</v>
      </c>
      <c r="M2847">
        <v>31</v>
      </c>
      <c r="N2847">
        <v>667</v>
      </c>
      <c r="O2847" s="15">
        <v>3731</v>
      </c>
      <c r="P2847">
        <f t="shared" si="141"/>
        <v>2025</v>
      </c>
      <c r="Q2847">
        <f t="shared" si="142"/>
        <v>6</v>
      </c>
      <c r="R2847" t="str">
        <f t="shared" si="140"/>
        <v>万相台</v>
      </c>
      <c r="S2847" t="s">
        <v>629</v>
      </c>
      <c r="T2847" s="546" t="s">
        <v>804</v>
      </c>
    </row>
    <row r="2848" spans="1:20" x14ac:dyDescent="0.3">
      <c r="A2848" t="s">
        <v>627</v>
      </c>
      <c r="B2848" s="16">
        <v>45823</v>
      </c>
      <c r="C2848" t="s">
        <v>2</v>
      </c>
      <c r="D2848" t="s">
        <v>4</v>
      </c>
      <c r="E2848" t="s">
        <v>42</v>
      </c>
      <c r="F2848">
        <v>1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1</v>
      </c>
      <c r="P2848">
        <f t="shared" si="141"/>
        <v>2025</v>
      </c>
      <c r="Q2848">
        <f t="shared" si="142"/>
        <v>6</v>
      </c>
      <c r="R2848" t="str">
        <f t="shared" si="140"/>
        <v>UD效果投放</v>
      </c>
      <c r="S2848" t="s">
        <v>629</v>
      </c>
      <c r="T2848" s="546" t="s">
        <v>804</v>
      </c>
    </row>
    <row r="2849" spans="1:20" x14ac:dyDescent="0.3">
      <c r="A2849" t="s">
        <v>627</v>
      </c>
      <c r="B2849" s="16">
        <v>45823</v>
      </c>
      <c r="C2849" t="s">
        <v>2</v>
      </c>
      <c r="D2849" t="s">
        <v>4</v>
      </c>
      <c r="E2849" t="s">
        <v>41</v>
      </c>
      <c r="F2849">
        <v>1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1</v>
      </c>
      <c r="P2849">
        <f t="shared" si="141"/>
        <v>2025</v>
      </c>
      <c r="Q2849">
        <f t="shared" si="142"/>
        <v>6</v>
      </c>
      <c r="R2849" t="str">
        <f t="shared" si="140"/>
        <v>流量宝</v>
      </c>
      <c r="S2849" t="s">
        <v>629</v>
      </c>
      <c r="T2849" s="546" t="s">
        <v>804</v>
      </c>
    </row>
    <row r="2850" spans="1:20" x14ac:dyDescent="0.3">
      <c r="A2850" t="s">
        <v>627</v>
      </c>
      <c r="B2850" s="16">
        <v>45823</v>
      </c>
      <c r="C2850" t="s">
        <v>2</v>
      </c>
      <c r="D2850" t="s">
        <v>4</v>
      </c>
      <c r="E2850" t="s">
        <v>43</v>
      </c>
      <c r="F2850">
        <v>212</v>
      </c>
      <c r="G2850">
        <v>55</v>
      </c>
      <c r="H2850">
        <v>7</v>
      </c>
      <c r="I2850">
        <v>0</v>
      </c>
      <c r="J2850" s="15">
        <v>11335</v>
      </c>
      <c r="K2850">
        <v>5</v>
      </c>
      <c r="L2850" s="15">
        <v>11335</v>
      </c>
      <c r="M2850">
        <v>5</v>
      </c>
      <c r="N2850">
        <v>3</v>
      </c>
      <c r="O2850">
        <v>211</v>
      </c>
      <c r="P2850">
        <f t="shared" si="141"/>
        <v>2025</v>
      </c>
      <c r="Q2850">
        <f t="shared" si="142"/>
        <v>6</v>
      </c>
      <c r="R2850" t="str">
        <f t="shared" si="140"/>
        <v>淘宝客</v>
      </c>
      <c r="S2850" t="s">
        <v>629</v>
      </c>
      <c r="T2850" s="546" t="s">
        <v>804</v>
      </c>
    </row>
    <row r="2851" spans="1:20" x14ac:dyDescent="0.3">
      <c r="A2851" t="s">
        <v>627</v>
      </c>
      <c r="B2851" s="16">
        <v>45824</v>
      </c>
      <c r="C2851" t="s">
        <v>3</v>
      </c>
      <c r="D2851" t="s">
        <v>114</v>
      </c>
      <c r="E2851" t="s">
        <v>159</v>
      </c>
      <c r="F2851">
        <v>176</v>
      </c>
      <c r="G2851">
        <v>122</v>
      </c>
      <c r="H2851">
        <v>1</v>
      </c>
      <c r="I2851">
        <v>5</v>
      </c>
      <c r="J2851" s="15">
        <v>1677</v>
      </c>
      <c r="K2851">
        <v>1</v>
      </c>
      <c r="L2851">
        <v>0</v>
      </c>
      <c r="M2851">
        <v>0</v>
      </c>
      <c r="N2851">
        <v>11</v>
      </c>
      <c r="O2851">
        <v>173</v>
      </c>
      <c r="P2851">
        <f t="shared" si="141"/>
        <v>2025</v>
      </c>
      <c r="Q2851">
        <f t="shared" si="142"/>
        <v>6</v>
      </c>
      <c r="R2851" t="str">
        <f t="shared" si="140"/>
        <v>主会场</v>
      </c>
      <c r="S2851" t="s">
        <v>629</v>
      </c>
      <c r="T2851" s="546" t="s">
        <v>804</v>
      </c>
    </row>
    <row r="2852" spans="1:20" x14ac:dyDescent="0.3">
      <c r="A2852" t="s">
        <v>627</v>
      </c>
      <c r="B2852" s="16">
        <v>45824</v>
      </c>
      <c r="C2852" t="s">
        <v>3</v>
      </c>
      <c r="D2852" t="s">
        <v>117</v>
      </c>
      <c r="E2852" t="s">
        <v>161</v>
      </c>
      <c r="F2852">
        <v>1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1</v>
      </c>
      <c r="P2852">
        <f t="shared" si="141"/>
        <v>2025</v>
      </c>
      <c r="Q2852">
        <f t="shared" si="142"/>
        <v>6</v>
      </c>
      <c r="R2852" t="str">
        <f t="shared" si="140"/>
        <v>其他入口榜单</v>
      </c>
      <c r="S2852" t="s">
        <v>629</v>
      </c>
      <c r="T2852" s="546" t="s">
        <v>804</v>
      </c>
    </row>
    <row r="2853" spans="1:20" x14ac:dyDescent="0.3">
      <c r="A2853" t="s">
        <v>627</v>
      </c>
      <c r="B2853" s="16">
        <v>45824</v>
      </c>
      <c r="C2853" t="s">
        <v>3</v>
      </c>
      <c r="D2853" t="s">
        <v>123</v>
      </c>
      <c r="E2853" t="s">
        <v>169</v>
      </c>
      <c r="F2853">
        <v>135</v>
      </c>
      <c r="G2853">
        <v>72</v>
      </c>
      <c r="H2853">
        <v>12</v>
      </c>
      <c r="I2853">
        <v>1</v>
      </c>
      <c r="J2853" s="15">
        <v>9870</v>
      </c>
      <c r="K2853">
        <v>2</v>
      </c>
      <c r="L2853" s="15">
        <v>4975</v>
      </c>
      <c r="M2853">
        <v>1</v>
      </c>
      <c r="N2853">
        <v>34</v>
      </c>
      <c r="O2853">
        <v>129</v>
      </c>
      <c r="P2853">
        <f t="shared" si="141"/>
        <v>2025</v>
      </c>
      <c r="Q2853">
        <f t="shared" si="142"/>
        <v>6</v>
      </c>
      <c r="R2853" t="str">
        <f t="shared" si="140"/>
        <v>商品详情页头图推荐</v>
      </c>
      <c r="S2853" t="s">
        <v>629</v>
      </c>
      <c r="T2853" s="546" t="s">
        <v>804</v>
      </c>
    </row>
    <row r="2854" spans="1:20" x14ac:dyDescent="0.3">
      <c r="A2854" t="s">
        <v>627</v>
      </c>
      <c r="B2854" s="16">
        <v>45824</v>
      </c>
      <c r="C2854" t="s">
        <v>3</v>
      </c>
      <c r="D2854" t="s">
        <v>123</v>
      </c>
      <c r="E2854" t="s">
        <v>170</v>
      </c>
      <c r="F2854">
        <v>28</v>
      </c>
      <c r="G2854">
        <v>9</v>
      </c>
      <c r="H2854">
        <v>1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26</v>
      </c>
      <c r="O2854">
        <v>14</v>
      </c>
      <c r="P2854">
        <f t="shared" si="141"/>
        <v>2025</v>
      </c>
      <c r="Q2854">
        <f t="shared" si="142"/>
        <v>6</v>
      </c>
      <c r="R2854" t="str">
        <f t="shared" si="140"/>
        <v>店铺超链</v>
      </c>
      <c r="S2854" t="s">
        <v>629</v>
      </c>
      <c r="T2854" s="546" t="s">
        <v>804</v>
      </c>
    </row>
    <row r="2855" spans="1:20" x14ac:dyDescent="0.3">
      <c r="A2855" t="s">
        <v>627</v>
      </c>
      <c r="B2855" s="16">
        <v>45824</v>
      </c>
      <c r="C2855" t="s">
        <v>3</v>
      </c>
      <c r="D2855" t="s">
        <v>127</v>
      </c>
      <c r="E2855" t="s">
        <v>171</v>
      </c>
      <c r="F2855">
        <v>184</v>
      </c>
      <c r="G2855">
        <v>113</v>
      </c>
      <c r="H2855">
        <v>4</v>
      </c>
      <c r="I2855">
        <v>4</v>
      </c>
      <c r="J2855">
        <v>0</v>
      </c>
      <c r="K2855">
        <v>0</v>
      </c>
      <c r="L2855">
        <v>0</v>
      </c>
      <c r="M2855">
        <v>0</v>
      </c>
      <c r="N2855">
        <v>27</v>
      </c>
      <c r="O2855">
        <v>139</v>
      </c>
      <c r="P2855">
        <f t="shared" si="141"/>
        <v>2025</v>
      </c>
      <c r="Q2855">
        <f t="shared" si="142"/>
        <v>6</v>
      </c>
      <c r="R2855" t="str">
        <f t="shared" si="140"/>
        <v>其他猜你喜欢</v>
      </c>
      <c r="S2855" t="s">
        <v>629</v>
      </c>
      <c r="T2855" s="546" t="s">
        <v>804</v>
      </c>
    </row>
    <row r="2856" spans="1:20" x14ac:dyDescent="0.3">
      <c r="A2856" t="s">
        <v>627</v>
      </c>
      <c r="B2856" s="16">
        <v>45824</v>
      </c>
      <c r="C2856" t="s">
        <v>3</v>
      </c>
      <c r="D2856" t="s">
        <v>127</v>
      </c>
      <c r="E2856" t="s">
        <v>172</v>
      </c>
      <c r="F2856">
        <v>18</v>
      </c>
      <c r="G2856">
        <v>9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1</v>
      </c>
      <c r="O2856">
        <v>6</v>
      </c>
      <c r="P2856">
        <f t="shared" si="141"/>
        <v>2025</v>
      </c>
      <c r="Q2856">
        <f t="shared" si="142"/>
        <v>6</v>
      </c>
      <c r="R2856" t="str">
        <f t="shared" si="140"/>
        <v>购中推荐</v>
      </c>
      <c r="S2856" t="s">
        <v>629</v>
      </c>
      <c r="T2856" s="546" t="s">
        <v>804</v>
      </c>
    </row>
    <row r="2857" spans="1:20" x14ac:dyDescent="0.3">
      <c r="A2857" t="s">
        <v>627</v>
      </c>
      <c r="B2857" s="16">
        <v>45824</v>
      </c>
      <c r="C2857" t="s">
        <v>3</v>
      </c>
      <c r="D2857" t="s">
        <v>127</v>
      </c>
      <c r="E2857" t="s">
        <v>173</v>
      </c>
      <c r="F2857">
        <v>101</v>
      </c>
      <c r="G2857">
        <v>74</v>
      </c>
      <c r="H2857">
        <v>1</v>
      </c>
      <c r="I2857">
        <v>0</v>
      </c>
      <c r="J2857" s="15">
        <v>4975</v>
      </c>
      <c r="K2857">
        <v>1</v>
      </c>
      <c r="L2857" s="15">
        <v>4975</v>
      </c>
      <c r="M2857">
        <v>1</v>
      </c>
      <c r="N2857">
        <v>2</v>
      </c>
      <c r="O2857">
        <v>36</v>
      </c>
      <c r="P2857">
        <f t="shared" si="141"/>
        <v>2025</v>
      </c>
      <c r="Q2857">
        <f t="shared" si="142"/>
        <v>6</v>
      </c>
      <c r="R2857" t="str">
        <f t="shared" si="140"/>
        <v>购后推荐</v>
      </c>
      <c r="S2857" t="s">
        <v>629</v>
      </c>
      <c r="T2857" s="546" t="s">
        <v>804</v>
      </c>
    </row>
    <row r="2858" spans="1:20" x14ac:dyDescent="0.3">
      <c r="A2858" t="s">
        <v>627</v>
      </c>
      <c r="B2858" s="16">
        <v>45824</v>
      </c>
      <c r="C2858" t="s">
        <v>3</v>
      </c>
      <c r="D2858" t="s">
        <v>127</v>
      </c>
      <c r="E2858" t="s">
        <v>174</v>
      </c>
      <c r="F2858" s="15">
        <v>3095</v>
      </c>
      <c r="G2858" s="15">
        <v>2275</v>
      </c>
      <c r="H2858">
        <v>43</v>
      </c>
      <c r="I2858">
        <v>8</v>
      </c>
      <c r="J2858" s="15">
        <v>3980</v>
      </c>
      <c r="K2858">
        <v>2</v>
      </c>
      <c r="L2858" s="15">
        <v>3980</v>
      </c>
      <c r="M2858">
        <v>2</v>
      </c>
      <c r="N2858">
        <v>145</v>
      </c>
      <c r="O2858" s="15">
        <v>3095</v>
      </c>
      <c r="P2858">
        <f t="shared" si="141"/>
        <v>2025</v>
      </c>
      <c r="Q2858">
        <f t="shared" si="142"/>
        <v>6</v>
      </c>
      <c r="R2858" t="str">
        <f t="shared" si="140"/>
        <v>首页推荐-微详情</v>
      </c>
      <c r="S2858" t="s">
        <v>629</v>
      </c>
      <c r="T2858" s="546" t="s">
        <v>804</v>
      </c>
    </row>
    <row r="2859" spans="1:20" x14ac:dyDescent="0.3">
      <c r="A2859" t="s">
        <v>627</v>
      </c>
      <c r="B2859" s="16">
        <v>45824</v>
      </c>
      <c r="C2859" t="s">
        <v>3</v>
      </c>
      <c r="D2859" t="s">
        <v>127</v>
      </c>
      <c r="E2859" t="s">
        <v>175</v>
      </c>
      <c r="F2859">
        <v>321</v>
      </c>
      <c r="G2859">
        <v>237</v>
      </c>
      <c r="H2859">
        <v>3</v>
      </c>
      <c r="I2859">
        <v>1</v>
      </c>
      <c r="J2859">
        <v>0</v>
      </c>
      <c r="K2859">
        <v>0</v>
      </c>
      <c r="L2859">
        <v>0</v>
      </c>
      <c r="M2859">
        <v>0</v>
      </c>
      <c r="N2859">
        <v>3</v>
      </c>
      <c r="O2859">
        <v>15</v>
      </c>
      <c r="P2859">
        <f t="shared" si="141"/>
        <v>2025</v>
      </c>
      <c r="Q2859">
        <f t="shared" si="142"/>
        <v>6</v>
      </c>
      <c r="R2859" t="str">
        <f t="shared" si="140"/>
        <v>首页推荐-直播</v>
      </c>
      <c r="S2859" t="s">
        <v>629</v>
      </c>
      <c r="T2859" s="546" t="s">
        <v>804</v>
      </c>
    </row>
    <row r="2860" spans="1:20" x14ac:dyDescent="0.3">
      <c r="A2860" t="s">
        <v>627</v>
      </c>
      <c r="B2860" s="16">
        <v>45824</v>
      </c>
      <c r="C2860" t="s">
        <v>3</v>
      </c>
      <c r="D2860" t="s">
        <v>127</v>
      </c>
      <c r="E2860" t="s">
        <v>176</v>
      </c>
      <c r="F2860">
        <v>466</v>
      </c>
      <c r="G2860">
        <v>392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24</v>
      </c>
      <c r="P2860">
        <f t="shared" si="141"/>
        <v>2025</v>
      </c>
      <c r="Q2860">
        <f t="shared" si="142"/>
        <v>6</v>
      </c>
      <c r="R2860" t="str">
        <f t="shared" si="140"/>
        <v>首页推荐-短视频</v>
      </c>
      <c r="S2860" t="s">
        <v>629</v>
      </c>
      <c r="T2860" s="546" t="s">
        <v>804</v>
      </c>
    </row>
    <row r="2861" spans="1:20" x14ac:dyDescent="0.3">
      <c r="A2861" t="s">
        <v>627</v>
      </c>
      <c r="B2861" s="16">
        <v>45824</v>
      </c>
      <c r="C2861" t="s">
        <v>3</v>
      </c>
      <c r="D2861" t="s">
        <v>128</v>
      </c>
      <c r="E2861" t="s">
        <v>177</v>
      </c>
      <c r="F2861">
        <v>718</v>
      </c>
      <c r="G2861">
        <v>548</v>
      </c>
      <c r="H2861">
        <v>23</v>
      </c>
      <c r="I2861">
        <v>7</v>
      </c>
      <c r="J2861" s="15">
        <v>51335</v>
      </c>
      <c r="K2861">
        <v>9</v>
      </c>
      <c r="L2861" s="15">
        <v>21835</v>
      </c>
      <c r="M2861">
        <v>8</v>
      </c>
      <c r="N2861">
        <v>322</v>
      </c>
      <c r="O2861">
        <v>516</v>
      </c>
      <c r="P2861">
        <f t="shared" si="141"/>
        <v>2025</v>
      </c>
      <c r="Q2861">
        <f t="shared" si="142"/>
        <v>6</v>
      </c>
      <c r="R2861" t="str">
        <f t="shared" si="140"/>
        <v>手淘搜索-商品及其他</v>
      </c>
      <c r="S2861" t="s">
        <v>629</v>
      </c>
      <c r="T2861" s="546" t="s">
        <v>804</v>
      </c>
    </row>
    <row r="2862" spans="1:20" x14ac:dyDescent="0.3">
      <c r="A2862" t="s">
        <v>627</v>
      </c>
      <c r="B2862" s="16">
        <v>45824</v>
      </c>
      <c r="C2862" t="s">
        <v>3</v>
      </c>
      <c r="D2862" t="s">
        <v>128</v>
      </c>
      <c r="E2862" t="s">
        <v>178</v>
      </c>
      <c r="F2862">
        <v>10</v>
      </c>
      <c r="G2862">
        <v>8</v>
      </c>
      <c r="H2862">
        <v>1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1</v>
      </c>
      <c r="O2862">
        <v>8</v>
      </c>
      <c r="P2862">
        <f t="shared" si="141"/>
        <v>2025</v>
      </c>
      <c r="Q2862">
        <f t="shared" si="142"/>
        <v>6</v>
      </c>
      <c r="R2862" t="str">
        <f t="shared" si="140"/>
        <v>手淘搜索-直播</v>
      </c>
      <c r="S2862" t="s">
        <v>629</v>
      </c>
      <c r="T2862" s="546" t="s">
        <v>804</v>
      </c>
    </row>
    <row r="2863" spans="1:20" x14ac:dyDescent="0.3">
      <c r="A2863" t="s">
        <v>627</v>
      </c>
      <c r="B2863" s="16">
        <v>45824</v>
      </c>
      <c r="C2863" t="s">
        <v>3</v>
      </c>
      <c r="D2863" t="s">
        <v>128</v>
      </c>
      <c r="E2863" t="s">
        <v>179</v>
      </c>
      <c r="F2863">
        <v>21</v>
      </c>
      <c r="G2863">
        <v>11</v>
      </c>
      <c r="H2863">
        <v>2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4</v>
      </c>
      <c r="O2863">
        <v>20</v>
      </c>
      <c r="P2863">
        <f t="shared" si="141"/>
        <v>2025</v>
      </c>
      <c r="Q2863">
        <f t="shared" si="142"/>
        <v>6</v>
      </c>
      <c r="R2863" t="str">
        <f t="shared" si="140"/>
        <v>手淘搜索-短视频</v>
      </c>
      <c r="S2863" t="s">
        <v>629</v>
      </c>
      <c r="T2863" s="546" t="s">
        <v>804</v>
      </c>
    </row>
    <row r="2864" spans="1:20" x14ac:dyDescent="0.3">
      <c r="A2864" t="s">
        <v>627</v>
      </c>
      <c r="B2864" s="16">
        <v>45824</v>
      </c>
      <c r="C2864" t="s">
        <v>3</v>
      </c>
      <c r="D2864" t="s">
        <v>143</v>
      </c>
      <c r="E2864" t="s">
        <v>180</v>
      </c>
      <c r="F2864">
        <v>6</v>
      </c>
      <c r="G2864">
        <v>6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6</v>
      </c>
      <c r="P2864">
        <f t="shared" si="141"/>
        <v>2025</v>
      </c>
      <c r="Q2864">
        <f t="shared" si="142"/>
        <v>6</v>
      </c>
      <c r="R2864" t="str">
        <f t="shared" si="140"/>
        <v>淘特其他渠道</v>
      </c>
      <c r="S2864" t="s">
        <v>629</v>
      </c>
      <c r="T2864" s="546" t="s">
        <v>804</v>
      </c>
    </row>
    <row r="2865" spans="1:20" x14ac:dyDescent="0.3">
      <c r="A2865" t="s">
        <v>627</v>
      </c>
      <c r="B2865" s="16">
        <v>45824</v>
      </c>
      <c r="C2865" t="s">
        <v>3</v>
      </c>
      <c r="D2865" t="s">
        <v>143</v>
      </c>
      <c r="E2865" t="s">
        <v>181</v>
      </c>
      <c r="F2865">
        <v>17</v>
      </c>
      <c r="G2865">
        <v>17</v>
      </c>
      <c r="H2865">
        <v>1</v>
      </c>
      <c r="I2865">
        <v>1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17</v>
      </c>
      <c r="P2865">
        <f t="shared" si="141"/>
        <v>2025</v>
      </c>
      <c r="Q2865">
        <f t="shared" si="142"/>
        <v>6</v>
      </c>
      <c r="R2865" t="str">
        <f t="shared" si="140"/>
        <v>淘特搜索</v>
      </c>
      <c r="S2865" t="s">
        <v>629</v>
      </c>
      <c r="T2865" s="546" t="s">
        <v>804</v>
      </c>
    </row>
    <row r="2866" spans="1:20" x14ac:dyDescent="0.3">
      <c r="A2866" t="s">
        <v>627</v>
      </c>
      <c r="B2866" s="16">
        <v>45824</v>
      </c>
      <c r="C2866" t="s">
        <v>2</v>
      </c>
      <c r="D2866" t="s">
        <v>55</v>
      </c>
      <c r="E2866" t="s">
        <v>54</v>
      </c>
      <c r="F2866">
        <v>756</v>
      </c>
      <c r="G2866">
        <v>544</v>
      </c>
      <c r="H2866">
        <v>16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18</v>
      </c>
      <c r="O2866">
        <v>210</v>
      </c>
      <c r="P2866">
        <f t="shared" si="141"/>
        <v>2025</v>
      </c>
      <c r="Q2866">
        <f t="shared" si="142"/>
        <v>6</v>
      </c>
      <c r="R2866" t="str">
        <f t="shared" si="140"/>
        <v>超级直播</v>
      </c>
      <c r="S2866" t="s">
        <v>629</v>
      </c>
      <c r="T2866" s="546" t="s">
        <v>804</v>
      </c>
    </row>
    <row r="2867" spans="1:20" x14ac:dyDescent="0.3">
      <c r="A2867" t="s">
        <v>627</v>
      </c>
      <c r="B2867" s="16">
        <v>45824</v>
      </c>
      <c r="C2867" t="s">
        <v>2</v>
      </c>
      <c r="D2867" t="s">
        <v>55</v>
      </c>
      <c r="E2867" t="s">
        <v>56</v>
      </c>
      <c r="F2867">
        <v>5</v>
      </c>
      <c r="G2867">
        <v>2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5</v>
      </c>
      <c r="P2867">
        <f t="shared" si="141"/>
        <v>2025</v>
      </c>
      <c r="Q2867">
        <f t="shared" si="142"/>
        <v>6</v>
      </c>
      <c r="R2867" t="str">
        <f t="shared" si="140"/>
        <v>超级短视频</v>
      </c>
      <c r="S2867" t="s">
        <v>629</v>
      </c>
      <c r="T2867" s="546" t="s">
        <v>804</v>
      </c>
    </row>
    <row r="2868" spans="1:20" x14ac:dyDescent="0.3">
      <c r="A2868" t="s">
        <v>627</v>
      </c>
      <c r="B2868" s="16">
        <v>45824</v>
      </c>
      <c r="C2868" t="s">
        <v>2</v>
      </c>
      <c r="D2868" t="s">
        <v>57</v>
      </c>
      <c r="E2868" t="s">
        <v>64</v>
      </c>
      <c r="F2868" s="15">
        <v>9328</v>
      </c>
      <c r="G2868" s="15">
        <v>5510</v>
      </c>
      <c r="H2868">
        <v>38</v>
      </c>
      <c r="I2868">
        <v>41</v>
      </c>
      <c r="J2868" s="15">
        <v>15770</v>
      </c>
      <c r="K2868">
        <v>3</v>
      </c>
      <c r="L2868" s="15">
        <v>6385</v>
      </c>
      <c r="M2868">
        <v>2</v>
      </c>
      <c r="N2868">
        <v>213</v>
      </c>
      <c r="O2868" s="15">
        <v>9328</v>
      </c>
      <c r="P2868">
        <f t="shared" si="141"/>
        <v>2025</v>
      </c>
      <c r="Q2868">
        <f t="shared" si="142"/>
        <v>6</v>
      </c>
      <c r="R2868" t="str">
        <f t="shared" si="140"/>
        <v>引力魔方</v>
      </c>
      <c r="S2868" t="s">
        <v>629</v>
      </c>
      <c r="T2868" s="546" t="s">
        <v>804</v>
      </c>
    </row>
    <row r="2869" spans="1:20" x14ac:dyDescent="0.3">
      <c r="A2869" t="s">
        <v>627</v>
      </c>
      <c r="B2869" s="16">
        <v>45824</v>
      </c>
      <c r="C2869" t="s">
        <v>2</v>
      </c>
      <c r="D2869" t="s">
        <v>57</v>
      </c>
      <c r="E2869" t="s">
        <v>65</v>
      </c>
      <c r="F2869" s="15">
        <v>2886</v>
      </c>
      <c r="G2869" s="15">
        <v>2561</v>
      </c>
      <c r="H2869">
        <v>44</v>
      </c>
      <c r="I2869">
        <v>17</v>
      </c>
      <c r="J2869" s="15">
        <v>28936</v>
      </c>
      <c r="K2869">
        <v>10</v>
      </c>
      <c r="L2869" s="15">
        <v>23793</v>
      </c>
      <c r="M2869">
        <v>8</v>
      </c>
      <c r="N2869">
        <v>193</v>
      </c>
      <c r="O2869" s="15">
        <v>2843</v>
      </c>
      <c r="P2869">
        <f t="shared" si="141"/>
        <v>2025</v>
      </c>
      <c r="Q2869">
        <f t="shared" si="142"/>
        <v>6</v>
      </c>
      <c r="R2869" t="str">
        <f t="shared" si="140"/>
        <v>直通车</v>
      </c>
      <c r="S2869" t="s">
        <v>629</v>
      </c>
      <c r="T2869" s="546" t="s">
        <v>804</v>
      </c>
    </row>
    <row r="2870" spans="1:20" x14ac:dyDescent="0.3">
      <c r="A2870" t="s">
        <v>627</v>
      </c>
      <c r="B2870" s="16">
        <v>45824</v>
      </c>
      <c r="C2870" t="s">
        <v>2</v>
      </c>
      <c r="D2870" t="s">
        <v>57</v>
      </c>
      <c r="E2870" t="s">
        <v>63</v>
      </c>
      <c r="F2870" s="15">
        <v>3916</v>
      </c>
      <c r="G2870" s="15">
        <v>2071</v>
      </c>
      <c r="H2870">
        <v>114</v>
      </c>
      <c r="I2870">
        <v>121</v>
      </c>
      <c r="J2870" s="15">
        <v>112700</v>
      </c>
      <c r="K2870">
        <v>23</v>
      </c>
      <c r="L2870" s="15">
        <v>54207</v>
      </c>
      <c r="M2870">
        <v>13</v>
      </c>
      <c r="N2870">
        <v>571</v>
      </c>
      <c r="O2870" s="15">
        <v>3711</v>
      </c>
      <c r="P2870">
        <f t="shared" si="141"/>
        <v>2025</v>
      </c>
      <c r="Q2870">
        <f t="shared" si="142"/>
        <v>6</v>
      </c>
      <c r="R2870" t="str">
        <f t="shared" si="140"/>
        <v>万相台</v>
      </c>
      <c r="S2870" t="s">
        <v>629</v>
      </c>
      <c r="T2870" s="546" t="s">
        <v>804</v>
      </c>
    </row>
    <row r="2871" spans="1:20" x14ac:dyDescent="0.3">
      <c r="A2871" t="s">
        <v>627</v>
      </c>
      <c r="B2871" s="16">
        <v>45824</v>
      </c>
      <c r="C2871" t="s">
        <v>2</v>
      </c>
      <c r="D2871" t="s">
        <v>4</v>
      </c>
      <c r="E2871" t="s">
        <v>41</v>
      </c>
      <c r="F2871">
        <v>2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2</v>
      </c>
      <c r="P2871">
        <f t="shared" si="141"/>
        <v>2025</v>
      </c>
      <c r="Q2871">
        <f t="shared" si="142"/>
        <v>6</v>
      </c>
      <c r="R2871" t="str">
        <f t="shared" si="140"/>
        <v>流量宝</v>
      </c>
      <c r="S2871" t="s">
        <v>629</v>
      </c>
      <c r="T2871" s="546" t="s">
        <v>804</v>
      </c>
    </row>
    <row r="2872" spans="1:20" x14ac:dyDescent="0.3">
      <c r="A2872" t="s">
        <v>627</v>
      </c>
      <c r="B2872" s="16">
        <v>45824</v>
      </c>
      <c r="C2872" t="s">
        <v>2</v>
      </c>
      <c r="D2872" t="s">
        <v>4</v>
      </c>
      <c r="E2872" t="s">
        <v>43</v>
      </c>
      <c r="F2872">
        <v>251</v>
      </c>
      <c r="G2872">
        <v>78</v>
      </c>
      <c r="H2872">
        <v>1</v>
      </c>
      <c r="I2872">
        <v>0</v>
      </c>
      <c r="J2872" s="15">
        <v>3180</v>
      </c>
      <c r="K2872">
        <v>1</v>
      </c>
      <c r="L2872" s="15">
        <v>3180</v>
      </c>
      <c r="M2872">
        <v>1</v>
      </c>
      <c r="N2872">
        <v>1</v>
      </c>
      <c r="O2872">
        <v>247</v>
      </c>
      <c r="P2872">
        <f t="shared" si="141"/>
        <v>2025</v>
      </c>
      <c r="Q2872">
        <f t="shared" si="142"/>
        <v>6</v>
      </c>
      <c r="R2872" t="str">
        <f t="shared" si="140"/>
        <v>淘宝客</v>
      </c>
      <c r="S2872" t="s">
        <v>629</v>
      </c>
      <c r="T2872" s="546" t="s">
        <v>804</v>
      </c>
    </row>
    <row r="2873" spans="1:20" x14ac:dyDescent="0.3">
      <c r="A2873" t="s">
        <v>627</v>
      </c>
      <c r="B2873" s="16">
        <v>45825</v>
      </c>
      <c r="C2873" t="s">
        <v>3</v>
      </c>
      <c r="D2873" t="s">
        <v>114</v>
      </c>
      <c r="E2873" t="s">
        <v>159</v>
      </c>
      <c r="F2873">
        <v>195</v>
      </c>
      <c r="G2873">
        <v>119</v>
      </c>
      <c r="H2873">
        <v>4</v>
      </c>
      <c r="I2873">
        <v>3</v>
      </c>
      <c r="J2873" s="15">
        <v>5845</v>
      </c>
      <c r="K2873">
        <v>1</v>
      </c>
      <c r="L2873">
        <v>0</v>
      </c>
      <c r="M2873">
        <v>0</v>
      </c>
      <c r="N2873">
        <v>13</v>
      </c>
      <c r="O2873">
        <v>189</v>
      </c>
      <c r="P2873">
        <f t="shared" si="141"/>
        <v>2025</v>
      </c>
      <c r="Q2873">
        <f t="shared" si="142"/>
        <v>6</v>
      </c>
      <c r="R2873" t="str">
        <f t="shared" si="140"/>
        <v>主会场</v>
      </c>
      <c r="S2873" t="s">
        <v>629</v>
      </c>
      <c r="T2873" s="546" t="s">
        <v>804</v>
      </c>
    </row>
    <row r="2874" spans="1:20" x14ac:dyDescent="0.3">
      <c r="A2874" t="s">
        <v>627</v>
      </c>
      <c r="B2874" s="16">
        <v>45825</v>
      </c>
      <c r="C2874" t="s">
        <v>3</v>
      </c>
      <c r="D2874" t="s">
        <v>123</v>
      </c>
      <c r="E2874" t="s">
        <v>169</v>
      </c>
      <c r="F2874">
        <v>168</v>
      </c>
      <c r="G2874">
        <v>81</v>
      </c>
      <c r="H2874">
        <v>6</v>
      </c>
      <c r="I2874">
        <v>4</v>
      </c>
      <c r="J2874" s="15">
        <v>22987</v>
      </c>
      <c r="K2874">
        <v>3</v>
      </c>
      <c r="L2874" s="15">
        <v>13197</v>
      </c>
      <c r="M2874">
        <v>3</v>
      </c>
      <c r="N2874">
        <v>38</v>
      </c>
      <c r="O2874">
        <v>161</v>
      </c>
      <c r="P2874">
        <f t="shared" si="141"/>
        <v>2025</v>
      </c>
      <c r="Q2874">
        <f t="shared" si="142"/>
        <v>6</v>
      </c>
      <c r="R2874" t="str">
        <f t="shared" si="140"/>
        <v>商品详情页头图推荐</v>
      </c>
      <c r="S2874" t="s">
        <v>629</v>
      </c>
      <c r="T2874" s="546" t="s">
        <v>804</v>
      </c>
    </row>
    <row r="2875" spans="1:20" x14ac:dyDescent="0.3">
      <c r="A2875" t="s">
        <v>627</v>
      </c>
      <c r="B2875" s="16">
        <v>45825</v>
      </c>
      <c r="C2875" t="s">
        <v>3</v>
      </c>
      <c r="D2875" t="s">
        <v>123</v>
      </c>
      <c r="E2875" t="s">
        <v>170</v>
      </c>
      <c r="F2875">
        <v>18</v>
      </c>
      <c r="G2875">
        <v>12</v>
      </c>
      <c r="H2875">
        <v>2</v>
      </c>
      <c r="I2875">
        <v>0</v>
      </c>
      <c r="J2875" s="15">
        <v>2490</v>
      </c>
      <c r="K2875">
        <v>1</v>
      </c>
      <c r="L2875" s="15">
        <v>2490</v>
      </c>
      <c r="M2875">
        <v>1</v>
      </c>
      <c r="N2875">
        <v>17</v>
      </c>
      <c r="O2875">
        <v>14</v>
      </c>
      <c r="P2875">
        <f t="shared" si="141"/>
        <v>2025</v>
      </c>
      <c r="Q2875">
        <f t="shared" si="142"/>
        <v>6</v>
      </c>
      <c r="R2875" t="str">
        <f t="shared" si="140"/>
        <v>店铺超链</v>
      </c>
      <c r="S2875" t="s">
        <v>629</v>
      </c>
      <c r="T2875" s="546" t="s">
        <v>804</v>
      </c>
    </row>
    <row r="2876" spans="1:20" x14ac:dyDescent="0.3">
      <c r="A2876" t="s">
        <v>627</v>
      </c>
      <c r="B2876" s="16">
        <v>45825</v>
      </c>
      <c r="C2876" t="s">
        <v>3</v>
      </c>
      <c r="D2876" t="s">
        <v>127</v>
      </c>
      <c r="E2876" t="s">
        <v>171</v>
      </c>
      <c r="F2876">
        <v>166</v>
      </c>
      <c r="G2876">
        <v>87</v>
      </c>
      <c r="H2876">
        <v>5</v>
      </c>
      <c r="I2876">
        <v>4</v>
      </c>
      <c r="J2876" s="15">
        <v>9440</v>
      </c>
      <c r="K2876">
        <v>2</v>
      </c>
      <c r="L2876" s="15">
        <v>6190</v>
      </c>
      <c r="M2876">
        <v>2</v>
      </c>
      <c r="N2876">
        <v>32</v>
      </c>
      <c r="O2876">
        <v>145</v>
      </c>
      <c r="P2876">
        <f t="shared" si="141"/>
        <v>2025</v>
      </c>
      <c r="Q2876">
        <f t="shared" si="142"/>
        <v>6</v>
      </c>
      <c r="R2876" t="str">
        <f t="shared" si="140"/>
        <v>其他猜你喜欢</v>
      </c>
      <c r="S2876" t="s">
        <v>629</v>
      </c>
      <c r="T2876" s="546" t="s">
        <v>804</v>
      </c>
    </row>
    <row r="2877" spans="1:20" x14ac:dyDescent="0.3">
      <c r="A2877" t="s">
        <v>627</v>
      </c>
      <c r="B2877" s="16">
        <v>45825</v>
      </c>
      <c r="C2877" t="s">
        <v>3</v>
      </c>
      <c r="D2877" t="s">
        <v>127</v>
      </c>
      <c r="E2877" t="s">
        <v>172</v>
      </c>
      <c r="F2877">
        <v>4</v>
      </c>
      <c r="G2877">
        <v>3</v>
      </c>
      <c r="H2877">
        <v>0</v>
      </c>
      <c r="I2877">
        <v>1</v>
      </c>
      <c r="J2877">
        <v>0</v>
      </c>
      <c r="K2877">
        <v>0</v>
      </c>
      <c r="L2877">
        <v>0</v>
      </c>
      <c r="M2877">
        <v>0</v>
      </c>
      <c r="N2877">
        <v>1</v>
      </c>
      <c r="O2877">
        <v>4</v>
      </c>
      <c r="P2877">
        <f t="shared" si="141"/>
        <v>2025</v>
      </c>
      <c r="Q2877">
        <f t="shared" si="142"/>
        <v>6</v>
      </c>
      <c r="R2877" t="str">
        <f t="shared" si="140"/>
        <v>购中推荐</v>
      </c>
      <c r="S2877" t="s">
        <v>629</v>
      </c>
      <c r="T2877" s="546" t="s">
        <v>804</v>
      </c>
    </row>
    <row r="2878" spans="1:20" x14ac:dyDescent="0.3">
      <c r="A2878" t="s">
        <v>627</v>
      </c>
      <c r="B2878" s="16">
        <v>45825</v>
      </c>
      <c r="C2878" t="s">
        <v>3</v>
      </c>
      <c r="D2878" t="s">
        <v>127</v>
      </c>
      <c r="E2878" t="s">
        <v>173</v>
      </c>
      <c r="F2878">
        <v>37</v>
      </c>
      <c r="G2878">
        <v>24</v>
      </c>
      <c r="H2878">
        <v>1</v>
      </c>
      <c r="I2878">
        <v>1</v>
      </c>
      <c r="J2878" s="15">
        <v>1917</v>
      </c>
      <c r="K2878">
        <v>1</v>
      </c>
      <c r="L2878" s="15">
        <v>1917</v>
      </c>
      <c r="M2878">
        <v>1</v>
      </c>
      <c r="N2878">
        <v>1</v>
      </c>
      <c r="O2878">
        <v>22</v>
      </c>
      <c r="P2878">
        <f t="shared" si="141"/>
        <v>2025</v>
      </c>
      <c r="Q2878">
        <f t="shared" si="142"/>
        <v>6</v>
      </c>
      <c r="R2878" t="str">
        <f t="shared" si="140"/>
        <v>购后推荐</v>
      </c>
      <c r="S2878" t="s">
        <v>629</v>
      </c>
      <c r="T2878" s="546" t="s">
        <v>804</v>
      </c>
    </row>
    <row r="2879" spans="1:20" x14ac:dyDescent="0.3">
      <c r="A2879" t="s">
        <v>627</v>
      </c>
      <c r="B2879" s="16">
        <v>45825</v>
      </c>
      <c r="C2879" t="s">
        <v>3</v>
      </c>
      <c r="D2879" t="s">
        <v>127</v>
      </c>
      <c r="E2879" t="s">
        <v>174</v>
      </c>
      <c r="F2879" s="15">
        <v>2842</v>
      </c>
      <c r="G2879" s="15">
        <v>1957</v>
      </c>
      <c r="H2879">
        <v>33</v>
      </c>
      <c r="I2879">
        <v>18</v>
      </c>
      <c r="J2879" s="15">
        <v>18197</v>
      </c>
      <c r="K2879">
        <v>7</v>
      </c>
      <c r="L2879" s="15">
        <v>18197</v>
      </c>
      <c r="M2879">
        <v>7</v>
      </c>
      <c r="N2879">
        <v>166</v>
      </c>
      <c r="O2879" s="15">
        <v>2842</v>
      </c>
      <c r="P2879">
        <f t="shared" si="141"/>
        <v>2025</v>
      </c>
      <c r="Q2879">
        <f t="shared" si="142"/>
        <v>6</v>
      </c>
      <c r="R2879" t="str">
        <f t="shared" si="140"/>
        <v>首页推荐-微详情</v>
      </c>
      <c r="S2879" t="s">
        <v>629</v>
      </c>
      <c r="T2879" s="546" t="s">
        <v>804</v>
      </c>
    </row>
    <row r="2880" spans="1:20" x14ac:dyDescent="0.3">
      <c r="A2880" t="s">
        <v>627</v>
      </c>
      <c r="B2880" s="16">
        <v>45825</v>
      </c>
      <c r="C2880" t="s">
        <v>3</v>
      </c>
      <c r="D2880" t="s">
        <v>127</v>
      </c>
      <c r="E2880" t="s">
        <v>176</v>
      </c>
      <c r="F2880">
        <v>198</v>
      </c>
      <c r="G2880">
        <v>127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3</v>
      </c>
      <c r="O2880">
        <v>30</v>
      </c>
      <c r="P2880">
        <f t="shared" si="141"/>
        <v>2025</v>
      </c>
      <c r="Q2880">
        <f t="shared" si="142"/>
        <v>6</v>
      </c>
      <c r="R2880" t="str">
        <f t="shared" si="140"/>
        <v>首页推荐-短视频</v>
      </c>
      <c r="S2880" t="s">
        <v>629</v>
      </c>
      <c r="T2880" s="546" t="s">
        <v>804</v>
      </c>
    </row>
    <row r="2881" spans="1:20" x14ac:dyDescent="0.3">
      <c r="A2881" t="s">
        <v>627</v>
      </c>
      <c r="B2881" s="16">
        <v>45825</v>
      </c>
      <c r="C2881" t="s">
        <v>3</v>
      </c>
      <c r="D2881" t="s">
        <v>128</v>
      </c>
      <c r="E2881" t="s">
        <v>177</v>
      </c>
      <c r="F2881">
        <v>696</v>
      </c>
      <c r="G2881">
        <v>516</v>
      </c>
      <c r="H2881">
        <v>28</v>
      </c>
      <c r="I2881">
        <v>9</v>
      </c>
      <c r="J2881" s="15">
        <v>11900</v>
      </c>
      <c r="K2881">
        <v>6</v>
      </c>
      <c r="L2881" s="15">
        <v>11900</v>
      </c>
      <c r="M2881">
        <v>6</v>
      </c>
      <c r="N2881">
        <v>332</v>
      </c>
      <c r="O2881">
        <v>505</v>
      </c>
      <c r="P2881">
        <f t="shared" si="141"/>
        <v>2025</v>
      </c>
      <c r="Q2881">
        <f t="shared" si="142"/>
        <v>6</v>
      </c>
      <c r="R2881" t="str">
        <f t="shared" si="140"/>
        <v>手淘搜索-商品及其他</v>
      </c>
      <c r="S2881" t="s">
        <v>629</v>
      </c>
      <c r="T2881" s="546" t="s">
        <v>804</v>
      </c>
    </row>
    <row r="2882" spans="1:20" x14ac:dyDescent="0.3">
      <c r="A2882" t="s">
        <v>627</v>
      </c>
      <c r="B2882" s="16">
        <v>45825</v>
      </c>
      <c r="C2882" t="s">
        <v>3</v>
      </c>
      <c r="D2882" t="s">
        <v>128</v>
      </c>
      <c r="E2882" t="s">
        <v>179</v>
      </c>
      <c r="F2882">
        <v>19</v>
      </c>
      <c r="G2882">
        <v>9</v>
      </c>
      <c r="H2882">
        <v>0</v>
      </c>
      <c r="I2882">
        <v>1</v>
      </c>
      <c r="J2882" s="15">
        <v>2750</v>
      </c>
      <c r="K2882">
        <v>1</v>
      </c>
      <c r="L2882" s="15">
        <v>2750</v>
      </c>
      <c r="M2882">
        <v>1</v>
      </c>
      <c r="N2882">
        <v>1</v>
      </c>
      <c r="O2882">
        <v>18</v>
      </c>
      <c r="P2882">
        <f t="shared" si="141"/>
        <v>2025</v>
      </c>
      <c r="Q2882">
        <f t="shared" si="142"/>
        <v>6</v>
      </c>
      <c r="R2882" t="str">
        <f t="shared" si="140"/>
        <v>手淘搜索-短视频</v>
      </c>
      <c r="S2882" t="s">
        <v>629</v>
      </c>
      <c r="T2882" s="546" t="s">
        <v>804</v>
      </c>
    </row>
    <row r="2883" spans="1:20" x14ac:dyDescent="0.3">
      <c r="A2883" t="s">
        <v>627</v>
      </c>
      <c r="B2883" s="16">
        <v>45825</v>
      </c>
      <c r="C2883" t="s">
        <v>3</v>
      </c>
      <c r="D2883" t="s">
        <v>143</v>
      </c>
      <c r="E2883" t="s">
        <v>180</v>
      </c>
      <c r="F2883">
        <v>7</v>
      </c>
      <c r="G2883">
        <v>7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7</v>
      </c>
      <c r="P2883">
        <f t="shared" si="141"/>
        <v>2025</v>
      </c>
      <c r="Q2883">
        <f t="shared" si="142"/>
        <v>6</v>
      </c>
      <c r="R2883" t="str">
        <f t="shared" si="140"/>
        <v>淘特其他渠道</v>
      </c>
      <c r="S2883" t="s">
        <v>629</v>
      </c>
      <c r="T2883" s="546" t="s">
        <v>804</v>
      </c>
    </row>
    <row r="2884" spans="1:20" x14ac:dyDescent="0.3">
      <c r="A2884" t="s">
        <v>627</v>
      </c>
      <c r="B2884" s="16">
        <v>45825</v>
      </c>
      <c r="C2884" t="s">
        <v>3</v>
      </c>
      <c r="D2884" t="s">
        <v>143</v>
      </c>
      <c r="E2884" t="s">
        <v>181</v>
      </c>
      <c r="F2884">
        <v>22</v>
      </c>
      <c r="G2884">
        <v>22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22</v>
      </c>
      <c r="P2884">
        <f t="shared" si="141"/>
        <v>2025</v>
      </c>
      <c r="Q2884">
        <f t="shared" si="142"/>
        <v>6</v>
      </c>
      <c r="R2884" t="str">
        <f t="shared" si="140"/>
        <v>淘特搜索</v>
      </c>
      <c r="S2884" t="s">
        <v>629</v>
      </c>
      <c r="T2884" s="546" t="s">
        <v>804</v>
      </c>
    </row>
    <row r="2885" spans="1:20" x14ac:dyDescent="0.3">
      <c r="A2885" t="s">
        <v>627</v>
      </c>
      <c r="B2885" s="16">
        <v>45825</v>
      </c>
      <c r="C2885" t="s">
        <v>2</v>
      </c>
      <c r="D2885" t="s">
        <v>55</v>
      </c>
      <c r="E2885" t="s">
        <v>54</v>
      </c>
      <c r="F2885">
        <v>10</v>
      </c>
      <c r="G2885">
        <v>3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6</v>
      </c>
      <c r="P2885">
        <f t="shared" si="141"/>
        <v>2025</v>
      </c>
      <c r="Q2885">
        <f t="shared" si="142"/>
        <v>6</v>
      </c>
      <c r="R2885" t="str">
        <f t="shared" si="140"/>
        <v>超级直播</v>
      </c>
      <c r="S2885" t="s">
        <v>629</v>
      </c>
      <c r="T2885" s="546" t="s">
        <v>804</v>
      </c>
    </row>
    <row r="2886" spans="1:20" x14ac:dyDescent="0.3">
      <c r="A2886" t="s">
        <v>627</v>
      </c>
      <c r="B2886" s="16">
        <v>45825</v>
      </c>
      <c r="C2886" t="s">
        <v>2</v>
      </c>
      <c r="D2886" t="s">
        <v>55</v>
      </c>
      <c r="E2886" t="s">
        <v>56</v>
      </c>
      <c r="F2886">
        <v>6</v>
      </c>
      <c r="G2886">
        <v>3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6</v>
      </c>
      <c r="P2886">
        <f t="shared" si="141"/>
        <v>2025</v>
      </c>
      <c r="Q2886">
        <f t="shared" si="142"/>
        <v>6</v>
      </c>
      <c r="R2886" t="str">
        <f t="shared" si="140"/>
        <v>超级短视频</v>
      </c>
      <c r="S2886" t="s">
        <v>629</v>
      </c>
      <c r="T2886" s="546" t="s">
        <v>804</v>
      </c>
    </row>
    <row r="2887" spans="1:20" x14ac:dyDescent="0.3">
      <c r="A2887" t="s">
        <v>627</v>
      </c>
      <c r="B2887" s="16">
        <v>45825</v>
      </c>
      <c r="C2887" t="s">
        <v>2</v>
      </c>
      <c r="D2887" t="s">
        <v>57</v>
      </c>
      <c r="E2887" t="s">
        <v>64</v>
      </c>
      <c r="F2887" s="15">
        <v>12018</v>
      </c>
      <c r="G2887" s="15">
        <v>7669</v>
      </c>
      <c r="H2887">
        <v>52</v>
      </c>
      <c r="I2887">
        <v>35</v>
      </c>
      <c r="J2887" s="15">
        <v>26360</v>
      </c>
      <c r="K2887">
        <v>5</v>
      </c>
      <c r="L2887" s="15">
        <v>9370</v>
      </c>
      <c r="M2887">
        <v>3</v>
      </c>
      <c r="N2887">
        <v>283</v>
      </c>
      <c r="O2887" s="15">
        <v>12017</v>
      </c>
      <c r="P2887">
        <f t="shared" si="141"/>
        <v>2025</v>
      </c>
      <c r="Q2887">
        <f t="shared" si="142"/>
        <v>6</v>
      </c>
      <c r="R2887" t="str">
        <f t="shared" ref="R2887:R2950" si="143">E2887</f>
        <v>引力魔方</v>
      </c>
      <c r="S2887" t="s">
        <v>629</v>
      </c>
      <c r="T2887" s="546" t="s">
        <v>804</v>
      </c>
    </row>
    <row r="2888" spans="1:20" x14ac:dyDescent="0.3">
      <c r="A2888" t="s">
        <v>627</v>
      </c>
      <c r="B2888" s="16">
        <v>45825</v>
      </c>
      <c r="C2888" t="s">
        <v>2</v>
      </c>
      <c r="D2888" t="s">
        <v>57</v>
      </c>
      <c r="E2888" t="s">
        <v>65</v>
      </c>
      <c r="F2888" s="15">
        <v>3241</v>
      </c>
      <c r="G2888" s="15">
        <v>2901</v>
      </c>
      <c r="H2888">
        <v>36</v>
      </c>
      <c r="I2888">
        <v>18</v>
      </c>
      <c r="J2888" s="15">
        <v>40795</v>
      </c>
      <c r="K2888">
        <v>14</v>
      </c>
      <c r="L2888" s="15">
        <v>32518</v>
      </c>
      <c r="M2888">
        <v>12</v>
      </c>
      <c r="N2888">
        <v>217</v>
      </c>
      <c r="O2888" s="15">
        <v>3204</v>
      </c>
      <c r="P2888">
        <f t="shared" si="141"/>
        <v>2025</v>
      </c>
      <c r="Q2888">
        <f t="shared" si="142"/>
        <v>6</v>
      </c>
      <c r="R2888" t="str">
        <f t="shared" si="143"/>
        <v>直通车</v>
      </c>
      <c r="S2888" t="s">
        <v>629</v>
      </c>
      <c r="T2888" s="546" t="s">
        <v>804</v>
      </c>
    </row>
    <row r="2889" spans="1:20" x14ac:dyDescent="0.3">
      <c r="A2889" t="s">
        <v>627</v>
      </c>
      <c r="B2889" s="16">
        <v>45825</v>
      </c>
      <c r="C2889" t="s">
        <v>2</v>
      </c>
      <c r="D2889" t="s">
        <v>57</v>
      </c>
      <c r="E2889" t="s">
        <v>63</v>
      </c>
      <c r="F2889" s="15">
        <v>5176</v>
      </c>
      <c r="G2889" s="15">
        <v>2602</v>
      </c>
      <c r="H2889">
        <v>113</v>
      </c>
      <c r="I2889">
        <v>130</v>
      </c>
      <c r="J2889" s="15">
        <v>92328</v>
      </c>
      <c r="K2889">
        <v>21</v>
      </c>
      <c r="L2889" s="15">
        <v>69330</v>
      </c>
      <c r="M2889">
        <v>18</v>
      </c>
      <c r="N2889">
        <v>579</v>
      </c>
      <c r="O2889" s="15">
        <v>4979</v>
      </c>
      <c r="P2889">
        <f t="shared" si="141"/>
        <v>2025</v>
      </c>
      <c r="Q2889">
        <f t="shared" si="142"/>
        <v>6</v>
      </c>
      <c r="R2889" t="str">
        <f t="shared" si="143"/>
        <v>万相台</v>
      </c>
      <c r="S2889" t="s">
        <v>629</v>
      </c>
      <c r="T2889" s="546" t="s">
        <v>804</v>
      </c>
    </row>
    <row r="2890" spans="1:20" x14ac:dyDescent="0.3">
      <c r="A2890" t="s">
        <v>627</v>
      </c>
      <c r="B2890" s="16">
        <v>45825</v>
      </c>
      <c r="C2890" t="s">
        <v>2</v>
      </c>
      <c r="D2890" t="s">
        <v>4</v>
      </c>
      <c r="E2890" t="s">
        <v>43</v>
      </c>
      <c r="F2890">
        <v>268</v>
      </c>
      <c r="G2890">
        <v>91</v>
      </c>
      <c r="H2890">
        <v>4</v>
      </c>
      <c r="I2890">
        <v>0</v>
      </c>
      <c r="J2890" s="15">
        <v>14465</v>
      </c>
      <c r="K2890">
        <v>3</v>
      </c>
      <c r="L2890" s="15">
        <v>14465</v>
      </c>
      <c r="M2890">
        <v>3</v>
      </c>
      <c r="N2890">
        <v>1</v>
      </c>
      <c r="O2890">
        <v>268</v>
      </c>
      <c r="P2890">
        <f t="shared" si="141"/>
        <v>2025</v>
      </c>
      <c r="Q2890">
        <f t="shared" si="142"/>
        <v>6</v>
      </c>
      <c r="R2890" t="str">
        <f t="shared" si="143"/>
        <v>淘宝客</v>
      </c>
      <c r="S2890" t="s">
        <v>629</v>
      </c>
      <c r="T2890" s="546" t="s">
        <v>804</v>
      </c>
    </row>
    <row r="2891" spans="1:20" x14ac:dyDescent="0.3">
      <c r="A2891" t="s">
        <v>627</v>
      </c>
      <c r="B2891" s="16">
        <v>45826</v>
      </c>
      <c r="C2891" t="s">
        <v>3</v>
      </c>
      <c r="D2891" t="s">
        <v>114</v>
      </c>
      <c r="E2891" t="s">
        <v>159</v>
      </c>
      <c r="F2891">
        <v>235</v>
      </c>
      <c r="G2891">
        <v>151</v>
      </c>
      <c r="H2891">
        <v>6</v>
      </c>
      <c r="I2891">
        <v>4</v>
      </c>
      <c r="J2891">
        <v>0</v>
      </c>
      <c r="K2891">
        <v>0</v>
      </c>
      <c r="L2891">
        <v>0</v>
      </c>
      <c r="M2891">
        <v>0</v>
      </c>
      <c r="N2891">
        <v>18</v>
      </c>
      <c r="O2891">
        <v>232</v>
      </c>
      <c r="P2891">
        <f t="shared" si="141"/>
        <v>2025</v>
      </c>
      <c r="Q2891">
        <f t="shared" si="142"/>
        <v>6</v>
      </c>
      <c r="R2891" t="str">
        <f t="shared" si="143"/>
        <v>主会场</v>
      </c>
      <c r="S2891" t="s">
        <v>629</v>
      </c>
      <c r="T2891" s="546" t="s">
        <v>804</v>
      </c>
    </row>
    <row r="2892" spans="1:20" x14ac:dyDescent="0.3">
      <c r="A2892" t="s">
        <v>627</v>
      </c>
      <c r="B2892" s="16">
        <v>45826</v>
      </c>
      <c r="C2892" t="s">
        <v>3</v>
      </c>
      <c r="D2892" t="s">
        <v>123</v>
      </c>
      <c r="E2892" t="s">
        <v>169</v>
      </c>
      <c r="F2892">
        <v>169</v>
      </c>
      <c r="G2892">
        <v>79</v>
      </c>
      <c r="H2892">
        <v>7</v>
      </c>
      <c r="I2892">
        <v>2</v>
      </c>
      <c r="J2892" s="15">
        <v>14388</v>
      </c>
      <c r="K2892">
        <v>3</v>
      </c>
      <c r="L2892" s="15">
        <v>6175</v>
      </c>
      <c r="M2892">
        <v>2</v>
      </c>
      <c r="N2892">
        <v>37</v>
      </c>
      <c r="O2892">
        <v>161</v>
      </c>
      <c r="P2892">
        <f t="shared" si="141"/>
        <v>2025</v>
      </c>
      <c r="Q2892">
        <f t="shared" si="142"/>
        <v>6</v>
      </c>
      <c r="R2892" t="str">
        <f t="shared" si="143"/>
        <v>商品详情页头图推荐</v>
      </c>
      <c r="S2892" t="s">
        <v>629</v>
      </c>
      <c r="T2892" s="546" t="s">
        <v>804</v>
      </c>
    </row>
    <row r="2893" spans="1:20" x14ac:dyDescent="0.3">
      <c r="A2893" t="s">
        <v>627</v>
      </c>
      <c r="B2893" s="16">
        <v>45826</v>
      </c>
      <c r="C2893" t="s">
        <v>3</v>
      </c>
      <c r="D2893" t="s">
        <v>123</v>
      </c>
      <c r="E2893" t="s">
        <v>170</v>
      </c>
      <c r="F2893">
        <v>19</v>
      </c>
      <c r="G2893">
        <v>10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17</v>
      </c>
      <c r="O2893">
        <v>8</v>
      </c>
      <c r="P2893">
        <f t="shared" si="141"/>
        <v>2025</v>
      </c>
      <c r="Q2893">
        <f t="shared" si="142"/>
        <v>6</v>
      </c>
      <c r="R2893" t="str">
        <f t="shared" si="143"/>
        <v>店铺超链</v>
      </c>
      <c r="S2893" t="s">
        <v>629</v>
      </c>
      <c r="T2893" s="546" t="s">
        <v>804</v>
      </c>
    </row>
    <row r="2894" spans="1:20" x14ac:dyDescent="0.3">
      <c r="A2894" t="s">
        <v>627</v>
      </c>
      <c r="B2894" s="16">
        <v>45826</v>
      </c>
      <c r="C2894" t="s">
        <v>3</v>
      </c>
      <c r="D2894" t="s">
        <v>127</v>
      </c>
      <c r="E2894" t="s">
        <v>171</v>
      </c>
      <c r="F2894">
        <v>218</v>
      </c>
      <c r="G2894">
        <v>132</v>
      </c>
      <c r="H2894">
        <v>2</v>
      </c>
      <c r="I2894">
        <v>3</v>
      </c>
      <c r="J2894" s="15">
        <v>10125</v>
      </c>
      <c r="K2894">
        <v>3</v>
      </c>
      <c r="L2894" s="15">
        <v>6135</v>
      </c>
      <c r="M2894">
        <v>2</v>
      </c>
      <c r="N2894">
        <v>40</v>
      </c>
      <c r="O2894">
        <v>184</v>
      </c>
      <c r="P2894">
        <f t="shared" si="141"/>
        <v>2025</v>
      </c>
      <c r="Q2894">
        <f t="shared" si="142"/>
        <v>6</v>
      </c>
      <c r="R2894" t="str">
        <f t="shared" si="143"/>
        <v>其他猜你喜欢</v>
      </c>
      <c r="S2894" t="s">
        <v>629</v>
      </c>
      <c r="T2894" s="546" t="s">
        <v>804</v>
      </c>
    </row>
    <row r="2895" spans="1:20" x14ac:dyDescent="0.3">
      <c r="A2895" t="s">
        <v>627</v>
      </c>
      <c r="B2895" s="16">
        <v>45826</v>
      </c>
      <c r="C2895" t="s">
        <v>3</v>
      </c>
      <c r="D2895" t="s">
        <v>127</v>
      </c>
      <c r="E2895" t="s">
        <v>172</v>
      </c>
      <c r="F2895">
        <v>8</v>
      </c>
      <c r="G2895">
        <v>5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1</v>
      </c>
      <c r="O2895">
        <v>4</v>
      </c>
      <c r="P2895">
        <f t="shared" si="141"/>
        <v>2025</v>
      </c>
      <c r="Q2895">
        <f t="shared" si="142"/>
        <v>6</v>
      </c>
      <c r="R2895" t="str">
        <f t="shared" si="143"/>
        <v>购中推荐</v>
      </c>
      <c r="S2895" t="s">
        <v>629</v>
      </c>
      <c r="T2895" s="546" t="s">
        <v>804</v>
      </c>
    </row>
    <row r="2896" spans="1:20" x14ac:dyDescent="0.3">
      <c r="A2896" t="s">
        <v>627</v>
      </c>
      <c r="B2896" s="16">
        <v>45826</v>
      </c>
      <c r="C2896" t="s">
        <v>3</v>
      </c>
      <c r="D2896" t="s">
        <v>127</v>
      </c>
      <c r="E2896" t="s">
        <v>173</v>
      </c>
      <c r="F2896">
        <v>59</v>
      </c>
      <c r="G2896">
        <v>36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3</v>
      </c>
      <c r="O2896">
        <v>24</v>
      </c>
      <c r="P2896">
        <f t="shared" si="141"/>
        <v>2025</v>
      </c>
      <c r="Q2896">
        <f t="shared" si="142"/>
        <v>6</v>
      </c>
      <c r="R2896" t="str">
        <f t="shared" si="143"/>
        <v>购后推荐</v>
      </c>
      <c r="S2896" t="s">
        <v>629</v>
      </c>
      <c r="T2896" s="546" t="s">
        <v>804</v>
      </c>
    </row>
    <row r="2897" spans="1:20" x14ac:dyDescent="0.3">
      <c r="A2897" t="s">
        <v>627</v>
      </c>
      <c r="B2897" s="16">
        <v>45826</v>
      </c>
      <c r="C2897" t="s">
        <v>3</v>
      </c>
      <c r="D2897" t="s">
        <v>127</v>
      </c>
      <c r="E2897" t="s">
        <v>174</v>
      </c>
      <c r="F2897" s="15">
        <v>2947</v>
      </c>
      <c r="G2897" s="15">
        <v>2008</v>
      </c>
      <c r="H2897">
        <v>35</v>
      </c>
      <c r="I2897">
        <v>17</v>
      </c>
      <c r="J2897" s="17">
        <v>12480.6</v>
      </c>
      <c r="K2897">
        <v>5</v>
      </c>
      <c r="L2897" s="17">
        <v>10816.3</v>
      </c>
      <c r="M2897">
        <v>5</v>
      </c>
      <c r="N2897">
        <v>134</v>
      </c>
      <c r="O2897" s="15">
        <v>2947</v>
      </c>
      <c r="P2897">
        <f t="shared" si="141"/>
        <v>2025</v>
      </c>
      <c r="Q2897">
        <f t="shared" si="142"/>
        <v>6</v>
      </c>
      <c r="R2897" t="str">
        <f t="shared" si="143"/>
        <v>首页推荐-微详情</v>
      </c>
      <c r="S2897" t="s">
        <v>629</v>
      </c>
      <c r="T2897" s="546" t="s">
        <v>804</v>
      </c>
    </row>
    <row r="2898" spans="1:20" x14ac:dyDescent="0.3">
      <c r="A2898" t="s">
        <v>627</v>
      </c>
      <c r="B2898" s="16">
        <v>45826</v>
      </c>
      <c r="C2898" t="s">
        <v>3</v>
      </c>
      <c r="D2898" t="s">
        <v>127</v>
      </c>
      <c r="E2898" t="s">
        <v>175</v>
      </c>
      <c r="F2898">
        <v>553</v>
      </c>
      <c r="G2898">
        <v>444</v>
      </c>
      <c r="H2898">
        <v>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4</v>
      </c>
      <c r="O2898">
        <v>40</v>
      </c>
      <c r="P2898">
        <f t="shared" si="141"/>
        <v>2025</v>
      </c>
      <c r="Q2898">
        <f t="shared" si="142"/>
        <v>6</v>
      </c>
      <c r="R2898" t="str">
        <f t="shared" si="143"/>
        <v>首页推荐-直播</v>
      </c>
      <c r="S2898" t="s">
        <v>629</v>
      </c>
      <c r="T2898" s="546" t="s">
        <v>804</v>
      </c>
    </row>
    <row r="2899" spans="1:20" x14ac:dyDescent="0.3">
      <c r="A2899" t="s">
        <v>627</v>
      </c>
      <c r="B2899" s="16">
        <v>45826</v>
      </c>
      <c r="C2899" t="s">
        <v>3</v>
      </c>
      <c r="D2899" t="s">
        <v>127</v>
      </c>
      <c r="E2899" t="s">
        <v>176</v>
      </c>
      <c r="F2899">
        <v>282</v>
      </c>
      <c r="G2899">
        <v>182</v>
      </c>
      <c r="H2899">
        <v>1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2</v>
      </c>
      <c r="O2899">
        <v>24</v>
      </c>
      <c r="P2899">
        <f t="shared" si="141"/>
        <v>2025</v>
      </c>
      <c r="Q2899">
        <f t="shared" si="142"/>
        <v>6</v>
      </c>
      <c r="R2899" t="str">
        <f t="shared" si="143"/>
        <v>首页推荐-短视频</v>
      </c>
      <c r="S2899" t="s">
        <v>629</v>
      </c>
      <c r="T2899" s="546" t="s">
        <v>804</v>
      </c>
    </row>
    <row r="2900" spans="1:20" x14ac:dyDescent="0.3">
      <c r="A2900" t="s">
        <v>627</v>
      </c>
      <c r="B2900" s="16">
        <v>45826</v>
      </c>
      <c r="C2900" t="s">
        <v>3</v>
      </c>
      <c r="D2900" t="s">
        <v>128</v>
      </c>
      <c r="E2900" t="s">
        <v>177</v>
      </c>
      <c r="F2900">
        <v>730</v>
      </c>
      <c r="G2900">
        <v>535</v>
      </c>
      <c r="H2900">
        <v>43</v>
      </c>
      <c r="I2900">
        <v>8</v>
      </c>
      <c r="J2900" s="15">
        <v>31425</v>
      </c>
      <c r="K2900">
        <v>11</v>
      </c>
      <c r="L2900" s="15">
        <v>26730</v>
      </c>
      <c r="M2900">
        <v>10</v>
      </c>
      <c r="N2900">
        <v>306</v>
      </c>
      <c r="O2900">
        <v>545</v>
      </c>
      <c r="P2900">
        <f t="shared" si="141"/>
        <v>2025</v>
      </c>
      <c r="Q2900">
        <f t="shared" si="142"/>
        <v>6</v>
      </c>
      <c r="R2900" t="str">
        <f t="shared" si="143"/>
        <v>手淘搜索-商品及其他</v>
      </c>
      <c r="S2900" t="s">
        <v>629</v>
      </c>
      <c r="T2900" s="546" t="s">
        <v>804</v>
      </c>
    </row>
    <row r="2901" spans="1:20" x14ac:dyDescent="0.3">
      <c r="A2901" t="s">
        <v>627</v>
      </c>
      <c r="B2901" s="16">
        <v>45826</v>
      </c>
      <c r="C2901" t="s">
        <v>3</v>
      </c>
      <c r="D2901" t="s">
        <v>128</v>
      </c>
      <c r="E2901" t="s">
        <v>178</v>
      </c>
      <c r="F2901">
        <v>11</v>
      </c>
      <c r="G2901">
        <v>7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1</v>
      </c>
      <c r="O2901">
        <v>8</v>
      </c>
      <c r="P2901">
        <f t="shared" ref="P2901:P2957" si="144">YEAR(B2901)</f>
        <v>2025</v>
      </c>
      <c r="Q2901">
        <f t="shared" ref="Q2901:Q2957" si="145">MONTH(B2901)</f>
        <v>6</v>
      </c>
      <c r="R2901" t="str">
        <f t="shared" si="143"/>
        <v>手淘搜索-直播</v>
      </c>
      <c r="S2901" t="s">
        <v>629</v>
      </c>
      <c r="T2901" s="546" t="s">
        <v>804</v>
      </c>
    </row>
    <row r="2902" spans="1:20" x14ac:dyDescent="0.3">
      <c r="A2902" t="s">
        <v>627</v>
      </c>
      <c r="B2902" s="16">
        <v>45826</v>
      </c>
      <c r="C2902" t="s">
        <v>3</v>
      </c>
      <c r="D2902" t="s">
        <v>128</v>
      </c>
      <c r="E2902" t="s">
        <v>179</v>
      </c>
      <c r="F2902">
        <v>20</v>
      </c>
      <c r="G2902">
        <v>13</v>
      </c>
      <c r="H2902">
        <v>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2</v>
      </c>
      <c r="O2902">
        <v>20</v>
      </c>
      <c r="P2902">
        <f t="shared" si="144"/>
        <v>2025</v>
      </c>
      <c r="Q2902">
        <f t="shared" si="145"/>
        <v>6</v>
      </c>
      <c r="R2902" t="str">
        <f t="shared" si="143"/>
        <v>手淘搜索-短视频</v>
      </c>
      <c r="S2902" t="s">
        <v>629</v>
      </c>
      <c r="T2902" s="546" t="s">
        <v>804</v>
      </c>
    </row>
    <row r="2903" spans="1:20" x14ac:dyDescent="0.3">
      <c r="A2903" t="s">
        <v>627</v>
      </c>
      <c r="B2903" s="16">
        <v>45826</v>
      </c>
      <c r="C2903" t="s">
        <v>3</v>
      </c>
      <c r="D2903" t="s">
        <v>143</v>
      </c>
      <c r="E2903" t="s">
        <v>180</v>
      </c>
      <c r="F2903">
        <v>7</v>
      </c>
      <c r="G2903">
        <v>7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1</v>
      </c>
      <c r="O2903">
        <v>7</v>
      </c>
      <c r="P2903">
        <f t="shared" si="144"/>
        <v>2025</v>
      </c>
      <c r="Q2903">
        <f t="shared" si="145"/>
        <v>6</v>
      </c>
      <c r="R2903" t="str">
        <f t="shared" si="143"/>
        <v>淘特其他渠道</v>
      </c>
      <c r="S2903" t="s">
        <v>629</v>
      </c>
      <c r="T2903" s="546" t="s">
        <v>804</v>
      </c>
    </row>
    <row r="2904" spans="1:20" x14ac:dyDescent="0.3">
      <c r="A2904" t="s">
        <v>627</v>
      </c>
      <c r="B2904" s="16">
        <v>45826</v>
      </c>
      <c r="C2904" t="s">
        <v>3</v>
      </c>
      <c r="D2904" t="s">
        <v>143</v>
      </c>
      <c r="E2904" t="s">
        <v>181</v>
      </c>
      <c r="F2904">
        <v>19</v>
      </c>
      <c r="G2904">
        <v>19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19</v>
      </c>
      <c r="P2904">
        <f t="shared" si="144"/>
        <v>2025</v>
      </c>
      <c r="Q2904">
        <f t="shared" si="145"/>
        <v>6</v>
      </c>
      <c r="R2904" t="str">
        <f t="shared" si="143"/>
        <v>淘特搜索</v>
      </c>
      <c r="S2904" t="s">
        <v>629</v>
      </c>
      <c r="T2904" s="546" t="s">
        <v>804</v>
      </c>
    </row>
    <row r="2905" spans="1:20" x14ac:dyDescent="0.3">
      <c r="A2905" t="s">
        <v>627</v>
      </c>
      <c r="B2905" s="16">
        <v>45826</v>
      </c>
      <c r="C2905" t="s">
        <v>2</v>
      </c>
      <c r="D2905" t="s">
        <v>55</v>
      </c>
      <c r="E2905" t="s">
        <v>54</v>
      </c>
      <c r="F2905">
        <v>741</v>
      </c>
      <c r="G2905">
        <v>532</v>
      </c>
      <c r="H2905">
        <v>13</v>
      </c>
      <c r="I2905">
        <v>2</v>
      </c>
      <c r="J2905">
        <v>0</v>
      </c>
      <c r="K2905">
        <v>0</v>
      </c>
      <c r="L2905">
        <v>0</v>
      </c>
      <c r="M2905">
        <v>0</v>
      </c>
      <c r="N2905">
        <v>20</v>
      </c>
      <c r="O2905">
        <v>159</v>
      </c>
      <c r="P2905">
        <f t="shared" si="144"/>
        <v>2025</v>
      </c>
      <c r="Q2905">
        <f t="shared" si="145"/>
        <v>6</v>
      </c>
      <c r="R2905" t="str">
        <f t="shared" si="143"/>
        <v>超级直播</v>
      </c>
      <c r="S2905" t="s">
        <v>629</v>
      </c>
      <c r="T2905" s="546" t="s">
        <v>804</v>
      </c>
    </row>
    <row r="2906" spans="1:20" x14ac:dyDescent="0.3">
      <c r="A2906" t="s">
        <v>627</v>
      </c>
      <c r="B2906" s="16">
        <v>45826</v>
      </c>
      <c r="C2906" t="s">
        <v>2</v>
      </c>
      <c r="D2906" t="s">
        <v>55</v>
      </c>
      <c r="E2906" t="s">
        <v>56</v>
      </c>
      <c r="F2906">
        <v>3</v>
      </c>
      <c r="G2906">
        <v>2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3</v>
      </c>
      <c r="P2906">
        <f t="shared" si="144"/>
        <v>2025</v>
      </c>
      <c r="Q2906">
        <f t="shared" si="145"/>
        <v>6</v>
      </c>
      <c r="R2906" t="str">
        <f t="shared" si="143"/>
        <v>超级短视频</v>
      </c>
      <c r="S2906" t="s">
        <v>629</v>
      </c>
      <c r="T2906" s="546" t="s">
        <v>804</v>
      </c>
    </row>
    <row r="2907" spans="1:20" x14ac:dyDescent="0.3">
      <c r="A2907" t="s">
        <v>627</v>
      </c>
      <c r="B2907" s="16">
        <v>45826</v>
      </c>
      <c r="C2907" t="s">
        <v>2</v>
      </c>
      <c r="D2907" t="s">
        <v>57</v>
      </c>
      <c r="E2907" t="s">
        <v>64</v>
      </c>
      <c r="F2907" s="15">
        <v>12669</v>
      </c>
      <c r="G2907" s="15">
        <v>8259</v>
      </c>
      <c r="H2907">
        <v>42</v>
      </c>
      <c r="I2907">
        <v>53</v>
      </c>
      <c r="J2907" s="15">
        <v>20310</v>
      </c>
      <c r="K2907">
        <v>6</v>
      </c>
      <c r="L2907" s="15">
        <v>9635</v>
      </c>
      <c r="M2907">
        <v>3</v>
      </c>
      <c r="N2907">
        <v>302</v>
      </c>
      <c r="O2907" s="15">
        <v>12669</v>
      </c>
      <c r="P2907">
        <f t="shared" si="144"/>
        <v>2025</v>
      </c>
      <c r="Q2907">
        <f t="shared" si="145"/>
        <v>6</v>
      </c>
      <c r="R2907" t="str">
        <f t="shared" si="143"/>
        <v>引力魔方</v>
      </c>
      <c r="S2907" t="s">
        <v>629</v>
      </c>
      <c r="T2907" s="546" t="s">
        <v>804</v>
      </c>
    </row>
    <row r="2908" spans="1:20" x14ac:dyDescent="0.3">
      <c r="A2908" t="s">
        <v>627</v>
      </c>
      <c r="B2908" s="16">
        <v>45826</v>
      </c>
      <c r="C2908" t="s">
        <v>2</v>
      </c>
      <c r="D2908" t="s">
        <v>57</v>
      </c>
      <c r="E2908" t="s">
        <v>65</v>
      </c>
      <c r="F2908" s="15">
        <v>3572</v>
      </c>
      <c r="G2908" s="15">
        <v>3195</v>
      </c>
      <c r="H2908">
        <v>42</v>
      </c>
      <c r="I2908">
        <v>14</v>
      </c>
      <c r="J2908" s="15">
        <v>60808</v>
      </c>
      <c r="K2908">
        <v>14</v>
      </c>
      <c r="L2908" s="15">
        <v>40588</v>
      </c>
      <c r="M2908">
        <v>11</v>
      </c>
      <c r="N2908">
        <v>246</v>
      </c>
      <c r="O2908" s="15">
        <v>3529</v>
      </c>
      <c r="P2908">
        <f t="shared" si="144"/>
        <v>2025</v>
      </c>
      <c r="Q2908">
        <f t="shared" si="145"/>
        <v>6</v>
      </c>
      <c r="R2908" t="str">
        <f t="shared" si="143"/>
        <v>直通车</v>
      </c>
      <c r="S2908" t="s">
        <v>629</v>
      </c>
      <c r="T2908" s="546" t="s">
        <v>804</v>
      </c>
    </row>
    <row r="2909" spans="1:20" x14ac:dyDescent="0.3">
      <c r="A2909" t="s">
        <v>627</v>
      </c>
      <c r="B2909" s="16">
        <v>45826</v>
      </c>
      <c r="C2909" t="s">
        <v>2</v>
      </c>
      <c r="D2909" t="s">
        <v>57</v>
      </c>
      <c r="E2909" t="s">
        <v>63</v>
      </c>
      <c r="F2909" s="15">
        <v>5298</v>
      </c>
      <c r="G2909" s="15">
        <v>3098</v>
      </c>
      <c r="H2909">
        <v>117</v>
      </c>
      <c r="I2909">
        <v>148</v>
      </c>
      <c r="J2909" s="15">
        <v>87956</v>
      </c>
      <c r="K2909">
        <v>21</v>
      </c>
      <c r="L2909" s="15">
        <v>60179</v>
      </c>
      <c r="M2909">
        <v>16</v>
      </c>
      <c r="N2909">
        <v>593</v>
      </c>
      <c r="O2909" s="15">
        <v>5125</v>
      </c>
      <c r="P2909">
        <f t="shared" si="144"/>
        <v>2025</v>
      </c>
      <c r="Q2909">
        <f t="shared" si="145"/>
        <v>6</v>
      </c>
      <c r="R2909" t="str">
        <f t="shared" si="143"/>
        <v>万相台</v>
      </c>
      <c r="S2909" t="s">
        <v>629</v>
      </c>
      <c r="T2909" s="546" t="s">
        <v>804</v>
      </c>
    </row>
    <row r="2910" spans="1:20" x14ac:dyDescent="0.3">
      <c r="A2910" t="s">
        <v>627</v>
      </c>
      <c r="B2910" s="16">
        <v>45826</v>
      </c>
      <c r="C2910" t="s">
        <v>2</v>
      </c>
      <c r="D2910" t="s">
        <v>4</v>
      </c>
      <c r="E2910" t="s">
        <v>42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1</v>
      </c>
      <c r="P2910">
        <f t="shared" si="144"/>
        <v>2025</v>
      </c>
      <c r="Q2910">
        <f t="shared" si="145"/>
        <v>6</v>
      </c>
      <c r="R2910" t="str">
        <f t="shared" si="143"/>
        <v>UD效果投放</v>
      </c>
      <c r="S2910" t="s">
        <v>629</v>
      </c>
      <c r="T2910" s="546" t="s">
        <v>804</v>
      </c>
    </row>
    <row r="2911" spans="1:20" x14ac:dyDescent="0.3">
      <c r="A2911" t="s">
        <v>627</v>
      </c>
      <c r="B2911" s="16">
        <v>45826</v>
      </c>
      <c r="C2911" t="s">
        <v>2</v>
      </c>
      <c r="D2911" t="s">
        <v>4</v>
      </c>
      <c r="E2911" t="s">
        <v>41</v>
      </c>
      <c r="F2911">
        <v>1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1</v>
      </c>
      <c r="P2911">
        <f t="shared" si="144"/>
        <v>2025</v>
      </c>
      <c r="Q2911">
        <f t="shared" si="145"/>
        <v>6</v>
      </c>
      <c r="R2911" t="str">
        <f t="shared" si="143"/>
        <v>流量宝</v>
      </c>
      <c r="S2911" t="s">
        <v>629</v>
      </c>
      <c r="T2911" s="546" t="s">
        <v>804</v>
      </c>
    </row>
    <row r="2912" spans="1:20" x14ac:dyDescent="0.3">
      <c r="A2912" t="s">
        <v>627</v>
      </c>
      <c r="B2912" s="16">
        <v>45826</v>
      </c>
      <c r="C2912" t="s">
        <v>2</v>
      </c>
      <c r="D2912" t="s">
        <v>4</v>
      </c>
      <c r="E2912" t="s">
        <v>43</v>
      </c>
      <c r="F2912">
        <v>253</v>
      </c>
      <c r="G2912">
        <v>72</v>
      </c>
      <c r="H2912">
        <v>2</v>
      </c>
      <c r="I2912">
        <v>1</v>
      </c>
      <c r="J2912" s="15">
        <v>15704</v>
      </c>
      <c r="K2912">
        <v>3</v>
      </c>
      <c r="L2912" s="15">
        <v>13787</v>
      </c>
      <c r="M2912">
        <v>2</v>
      </c>
      <c r="N2912">
        <v>1</v>
      </c>
      <c r="O2912">
        <v>250</v>
      </c>
      <c r="P2912">
        <f t="shared" si="144"/>
        <v>2025</v>
      </c>
      <c r="Q2912">
        <f t="shared" si="145"/>
        <v>6</v>
      </c>
      <c r="R2912" t="str">
        <f t="shared" si="143"/>
        <v>淘宝客</v>
      </c>
      <c r="S2912" t="s">
        <v>629</v>
      </c>
      <c r="T2912" s="546" t="s">
        <v>804</v>
      </c>
    </row>
    <row r="2913" spans="1:20" x14ac:dyDescent="0.3">
      <c r="A2913" t="s">
        <v>627</v>
      </c>
      <c r="B2913" s="16">
        <v>45827</v>
      </c>
      <c r="C2913" t="s">
        <v>3</v>
      </c>
      <c r="D2913" t="s">
        <v>114</v>
      </c>
      <c r="E2913" t="s">
        <v>159</v>
      </c>
      <c r="F2913">
        <v>177</v>
      </c>
      <c r="G2913">
        <v>108</v>
      </c>
      <c r="H2913">
        <v>2</v>
      </c>
      <c r="I2913">
        <v>1</v>
      </c>
      <c r="J2913" s="15">
        <v>2490</v>
      </c>
      <c r="K2913">
        <v>1</v>
      </c>
      <c r="L2913">
        <v>0</v>
      </c>
      <c r="M2913">
        <v>0</v>
      </c>
      <c r="N2913">
        <v>10</v>
      </c>
      <c r="O2913">
        <v>171</v>
      </c>
      <c r="P2913">
        <f t="shared" si="144"/>
        <v>2025</v>
      </c>
      <c r="Q2913">
        <f t="shared" si="145"/>
        <v>6</v>
      </c>
      <c r="R2913" t="str">
        <f t="shared" si="143"/>
        <v>主会场</v>
      </c>
      <c r="S2913" t="s">
        <v>629</v>
      </c>
      <c r="T2913" s="546" t="s">
        <v>804</v>
      </c>
    </row>
    <row r="2914" spans="1:20" x14ac:dyDescent="0.3">
      <c r="A2914" t="s">
        <v>627</v>
      </c>
      <c r="B2914" s="16">
        <v>45827</v>
      </c>
      <c r="C2914" t="s">
        <v>3</v>
      </c>
      <c r="D2914" t="s">
        <v>117</v>
      </c>
      <c r="E2914" t="s">
        <v>161</v>
      </c>
      <c r="F2914">
        <v>2</v>
      </c>
      <c r="G2914">
        <v>2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2</v>
      </c>
      <c r="P2914">
        <f t="shared" si="144"/>
        <v>2025</v>
      </c>
      <c r="Q2914">
        <f t="shared" si="145"/>
        <v>6</v>
      </c>
      <c r="R2914" t="str">
        <f t="shared" si="143"/>
        <v>其他入口榜单</v>
      </c>
      <c r="S2914" t="s">
        <v>629</v>
      </c>
      <c r="T2914" s="546" t="s">
        <v>804</v>
      </c>
    </row>
    <row r="2915" spans="1:20" x14ac:dyDescent="0.3">
      <c r="A2915" t="s">
        <v>627</v>
      </c>
      <c r="B2915" s="16">
        <v>45827</v>
      </c>
      <c r="C2915" t="s">
        <v>3</v>
      </c>
      <c r="D2915" t="s">
        <v>123</v>
      </c>
      <c r="E2915" t="s">
        <v>169</v>
      </c>
      <c r="F2915">
        <v>178</v>
      </c>
      <c r="G2915">
        <v>87</v>
      </c>
      <c r="H2915">
        <v>9</v>
      </c>
      <c r="I2915">
        <v>5</v>
      </c>
      <c r="J2915" s="15">
        <v>19595</v>
      </c>
      <c r="K2915">
        <v>8</v>
      </c>
      <c r="L2915" s="15">
        <v>19595</v>
      </c>
      <c r="M2915">
        <v>8</v>
      </c>
      <c r="N2915">
        <v>36</v>
      </c>
      <c r="O2915">
        <v>168</v>
      </c>
      <c r="P2915">
        <f t="shared" si="144"/>
        <v>2025</v>
      </c>
      <c r="Q2915">
        <f t="shared" si="145"/>
        <v>6</v>
      </c>
      <c r="R2915" t="str">
        <f t="shared" si="143"/>
        <v>商品详情页头图推荐</v>
      </c>
      <c r="S2915" t="s">
        <v>629</v>
      </c>
      <c r="T2915" s="546" t="s">
        <v>804</v>
      </c>
    </row>
    <row r="2916" spans="1:20" x14ac:dyDescent="0.3">
      <c r="A2916" t="s">
        <v>627</v>
      </c>
      <c r="B2916" s="16">
        <v>45827</v>
      </c>
      <c r="C2916" t="s">
        <v>3</v>
      </c>
      <c r="D2916" t="s">
        <v>123</v>
      </c>
      <c r="E2916" t="s">
        <v>170</v>
      </c>
      <c r="F2916">
        <v>14</v>
      </c>
      <c r="G2916">
        <v>6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14</v>
      </c>
      <c r="O2916">
        <v>6</v>
      </c>
      <c r="P2916">
        <f t="shared" si="144"/>
        <v>2025</v>
      </c>
      <c r="Q2916">
        <f t="shared" si="145"/>
        <v>6</v>
      </c>
      <c r="R2916" t="str">
        <f t="shared" si="143"/>
        <v>店铺超链</v>
      </c>
      <c r="S2916" t="s">
        <v>629</v>
      </c>
      <c r="T2916" s="546" t="s">
        <v>804</v>
      </c>
    </row>
    <row r="2917" spans="1:20" x14ac:dyDescent="0.3">
      <c r="A2917" t="s">
        <v>627</v>
      </c>
      <c r="B2917" s="16">
        <v>45827</v>
      </c>
      <c r="C2917" t="s">
        <v>3</v>
      </c>
      <c r="D2917" t="s">
        <v>127</v>
      </c>
      <c r="E2917" t="s">
        <v>171</v>
      </c>
      <c r="F2917">
        <v>184</v>
      </c>
      <c r="G2917">
        <v>90</v>
      </c>
      <c r="H2917">
        <v>3</v>
      </c>
      <c r="I2917">
        <v>1</v>
      </c>
      <c r="J2917" s="15">
        <v>9467</v>
      </c>
      <c r="K2917">
        <v>2</v>
      </c>
      <c r="L2917" s="15">
        <v>9467</v>
      </c>
      <c r="M2917">
        <v>2</v>
      </c>
      <c r="N2917">
        <v>36</v>
      </c>
      <c r="O2917">
        <v>152</v>
      </c>
      <c r="P2917">
        <f t="shared" si="144"/>
        <v>2025</v>
      </c>
      <c r="Q2917">
        <f t="shared" si="145"/>
        <v>6</v>
      </c>
      <c r="R2917" t="str">
        <f t="shared" si="143"/>
        <v>其他猜你喜欢</v>
      </c>
      <c r="S2917" t="s">
        <v>629</v>
      </c>
      <c r="T2917" s="546" t="s">
        <v>804</v>
      </c>
    </row>
    <row r="2918" spans="1:20" x14ac:dyDescent="0.3">
      <c r="A2918" t="s">
        <v>627</v>
      </c>
      <c r="B2918" s="16">
        <v>45827</v>
      </c>
      <c r="C2918" t="s">
        <v>3</v>
      </c>
      <c r="D2918" t="s">
        <v>127</v>
      </c>
      <c r="E2918" t="s">
        <v>172</v>
      </c>
      <c r="F2918">
        <v>9</v>
      </c>
      <c r="G2918">
        <v>5</v>
      </c>
      <c r="H2918">
        <v>1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5</v>
      </c>
      <c r="P2918">
        <f t="shared" si="144"/>
        <v>2025</v>
      </c>
      <c r="Q2918">
        <f t="shared" si="145"/>
        <v>6</v>
      </c>
      <c r="R2918" t="str">
        <f t="shared" si="143"/>
        <v>购中推荐</v>
      </c>
      <c r="S2918" t="s">
        <v>629</v>
      </c>
      <c r="T2918" s="546" t="s">
        <v>804</v>
      </c>
    </row>
    <row r="2919" spans="1:20" x14ac:dyDescent="0.3">
      <c r="A2919" t="s">
        <v>627</v>
      </c>
      <c r="B2919" s="16">
        <v>45827</v>
      </c>
      <c r="C2919" t="s">
        <v>3</v>
      </c>
      <c r="D2919" t="s">
        <v>127</v>
      </c>
      <c r="E2919" t="s">
        <v>173</v>
      </c>
      <c r="F2919">
        <v>72</v>
      </c>
      <c r="G2919">
        <v>49</v>
      </c>
      <c r="H2919">
        <v>1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28</v>
      </c>
      <c r="P2919">
        <f t="shared" si="144"/>
        <v>2025</v>
      </c>
      <c r="Q2919">
        <f t="shared" si="145"/>
        <v>6</v>
      </c>
      <c r="R2919" t="str">
        <f t="shared" si="143"/>
        <v>购后推荐</v>
      </c>
      <c r="S2919" t="s">
        <v>629</v>
      </c>
      <c r="T2919" s="546" t="s">
        <v>804</v>
      </c>
    </row>
    <row r="2920" spans="1:20" x14ac:dyDescent="0.3">
      <c r="A2920" t="s">
        <v>627</v>
      </c>
      <c r="B2920" s="16">
        <v>45827</v>
      </c>
      <c r="C2920" t="s">
        <v>3</v>
      </c>
      <c r="D2920" t="s">
        <v>127</v>
      </c>
      <c r="E2920" t="s">
        <v>174</v>
      </c>
      <c r="F2920" s="15">
        <v>2336</v>
      </c>
      <c r="G2920" s="15">
        <v>1531</v>
      </c>
      <c r="H2920">
        <v>24</v>
      </c>
      <c r="I2920">
        <v>13</v>
      </c>
      <c r="J2920" s="15">
        <v>6660</v>
      </c>
      <c r="K2920">
        <v>4</v>
      </c>
      <c r="L2920" s="15">
        <v>5170</v>
      </c>
      <c r="M2920">
        <v>3</v>
      </c>
      <c r="N2920">
        <v>121</v>
      </c>
      <c r="O2920" s="15">
        <v>2336</v>
      </c>
      <c r="P2920">
        <f t="shared" si="144"/>
        <v>2025</v>
      </c>
      <c r="Q2920">
        <f t="shared" si="145"/>
        <v>6</v>
      </c>
      <c r="R2920" t="str">
        <f t="shared" si="143"/>
        <v>首页推荐-微详情</v>
      </c>
      <c r="S2920" t="s">
        <v>629</v>
      </c>
      <c r="T2920" s="546" t="s">
        <v>804</v>
      </c>
    </row>
    <row r="2921" spans="1:20" x14ac:dyDescent="0.3">
      <c r="A2921" t="s">
        <v>627</v>
      </c>
      <c r="B2921" s="16">
        <v>45827</v>
      </c>
      <c r="C2921" t="s">
        <v>3</v>
      </c>
      <c r="D2921" t="s">
        <v>127</v>
      </c>
      <c r="E2921" t="s">
        <v>175</v>
      </c>
      <c r="F2921">
        <v>784</v>
      </c>
      <c r="G2921">
        <v>683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3</v>
      </c>
      <c r="O2921">
        <v>26</v>
      </c>
      <c r="P2921">
        <f t="shared" si="144"/>
        <v>2025</v>
      </c>
      <c r="Q2921">
        <f t="shared" si="145"/>
        <v>6</v>
      </c>
      <c r="R2921" t="str">
        <f t="shared" si="143"/>
        <v>首页推荐-直播</v>
      </c>
      <c r="S2921" t="s">
        <v>629</v>
      </c>
      <c r="T2921" s="546" t="s">
        <v>804</v>
      </c>
    </row>
    <row r="2922" spans="1:20" x14ac:dyDescent="0.3">
      <c r="A2922" t="s">
        <v>627</v>
      </c>
      <c r="B2922" s="16">
        <v>45827</v>
      </c>
      <c r="C2922" t="s">
        <v>3</v>
      </c>
      <c r="D2922" t="s">
        <v>127</v>
      </c>
      <c r="E2922" t="s">
        <v>176</v>
      </c>
      <c r="F2922">
        <v>243</v>
      </c>
      <c r="G2922">
        <v>164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2</v>
      </c>
      <c r="O2922">
        <v>11</v>
      </c>
      <c r="P2922">
        <f t="shared" si="144"/>
        <v>2025</v>
      </c>
      <c r="Q2922">
        <f t="shared" si="145"/>
        <v>6</v>
      </c>
      <c r="R2922" t="str">
        <f t="shared" si="143"/>
        <v>首页推荐-短视频</v>
      </c>
      <c r="S2922" t="s">
        <v>629</v>
      </c>
      <c r="T2922" s="546" t="s">
        <v>804</v>
      </c>
    </row>
    <row r="2923" spans="1:20" x14ac:dyDescent="0.3">
      <c r="A2923" t="s">
        <v>627</v>
      </c>
      <c r="B2923" s="16">
        <v>45827</v>
      </c>
      <c r="C2923" t="s">
        <v>3</v>
      </c>
      <c r="D2923" t="s">
        <v>128</v>
      </c>
      <c r="E2923" t="s">
        <v>177</v>
      </c>
      <c r="F2923">
        <v>710</v>
      </c>
      <c r="G2923">
        <v>514</v>
      </c>
      <c r="H2923">
        <v>39</v>
      </c>
      <c r="I2923">
        <v>4</v>
      </c>
      <c r="J2923" s="15">
        <v>46105</v>
      </c>
      <c r="K2923">
        <v>8</v>
      </c>
      <c r="L2923" s="15">
        <v>35740</v>
      </c>
      <c r="M2923">
        <v>7</v>
      </c>
      <c r="N2923">
        <v>308</v>
      </c>
      <c r="O2923">
        <v>524</v>
      </c>
      <c r="P2923">
        <f t="shared" si="144"/>
        <v>2025</v>
      </c>
      <c r="Q2923">
        <f t="shared" si="145"/>
        <v>6</v>
      </c>
      <c r="R2923" t="str">
        <f t="shared" si="143"/>
        <v>手淘搜索-商品及其他</v>
      </c>
      <c r="S2923" t="s">
        <v>629</v>
      </c>
      <c r="T2923" s="546" t="s">
        <v>804</v>
      </c>
    </row>
    <row r="2924" spans="1:20" x14ac:dyDescent="0.3">
      <c r="A2924" t="s">
        <v>627</v>
      </c>
      <c r="B2924" s="16">
        <v>45827</v>
      </c>
      <c r="C2924" t="s">
        <v>3</v>
      </c>
      <c r="D2924" t="s">
        <v>128</v>
      </c>
      <c r="E2924" t="s">
        <v>178</v>
      </c>
      <c r="F2924">
        <v>8</v>
      </c>
      <c r="G2924">
        <v>4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5</v>
      </c>
      <c r="P2924">
        <f t="shared" si="144"/>
        <v>2025</v>
      </c>
      <c r="Q2924">
        <f t="shared" si="145"/>
        <v>6</v>
      </c>
      <c r="R2924" t="str">
        <f t="shared" si="143"/>
        <v>手淘搜索-直播</v>
      </c>
      <c r="S2924" t="s">
        <v>629</v>
      </c>
      <c r="T2924" s="546" t="s">
        <v>804</v>
      </c>
    </row>
    <row r="2925" spans="1:20" x14ac:dyDescent="0.3">
      <c r="A2925" t="s">
        <v>627</v>
      </c>
      <c r="B2925" s="16">
        <v>45827</v>
      </c>
      <c r="C2925" t="s">
        <v>3</v>
      </c>
      <c r="D2925" t="s">
        <v>128</v>
      </c>
      <c r="E2925" t="s">
        <v>179</v>
      </c>
      <c r="F2925">
        <v>15</v>
      </c>
      <c r="G2925">
        <v>5</v>
      </c>
      <c r="H2925">
        <v>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2</v>
      </c>
      <c r="O2925">
        <v>13</v>
      </c>
      <c r="P2925">
        <f t="shared" si="144"/>
        <v>2025</v>
      </c>
      <c r="Q2925">
        <f t="shared" si="145"/>
        <v>6</v>
      </c>
      <c r="R2925" t="str">
        <f t="shared" si="143"/>
        <v>手淘搜索-短视频</v>
      </c>
      <c r="S2925" t="s">
        <v>629</v>
      </c>
      <c r="T2925" s="546" t="s">
        <v>804</v>
      </c>
    </row>
    <row r="2926" spans="1:20" x14ac:dyDescent="0.3">
      <c r="A2926" t="s">
        <v>627</v>
      </c>
      <c r="B2926" s="16">
        <v>45827</v>
      </c>
      <c r="C2926" t="s">
        <v>3</v>
      </c>
      <c r="D2926" t="s">
        <v>143</v>
      </c>
      <c r="E2926" t="s">
        <v>180</v>
      </c>
      <c r="F2926">
        <v>12</v>
      </c>
      <c r="G2926">
        <v>10</v>
      </c>
      <c r="H2926">
        <v>2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1</v>
      </c>
      <c r="O2926">
        <v>12</v>
      </c>
      <c r="P2926">
        <f t="shared" si="144"/>
        <v>2025</v>
      </c>
      <c r="Q2926">
        <f t="shared" si="145"/>
        <v>6</v>
      </c>
      <c r="R2926" t="str">
        <f t="shared" si="143"/>
        <v>淘特其他渠道</v>
      </c>
      <c r="S2926" t="s">
        <v>629</v>
      </c>
      <c r="T2926" s="546" t="s">
        <v>804</v>
      </c>
    </row>
    <row r="2927" spans="1:20" x14ac:dyDescent="0.3">
      <c r="A2927" t="s">
        <v>627</v>
      </c>
      <c r="B2927" s="16">
        <v>45827</v>
      </c>
      <c r="C2927" t="s">
        <v>3</v>
      </c>
      <c r="D2927" t="s">
        <v>143</v>
      </c>
      <c r="E2927" t="s">
        <v>181</v>
      </c>
      <c r="F2927">
        <v>18</v>
      </c>
      <c r="G2927">
        <v>16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18</v>
      </c>
      <c r="P2927">
        <f t="shared" si="144"/>
        <v>2025</v>
      </c>
      <c r="Q2927">
        <f t="shared" si="145"/>
        <v>6</v>
      </c>
      <c r="R2927" t="str">
        <f t="shared" si="143"/>
        <v>淘特搜索</v>
      </c>
      <c r="S2927" t="s">
        <v>629</v>
      </c>
      <c r="T2927" s="546" t="s">
        <v>804</v>
      </c>
    </row>
    <row r="2928" spans="1:20" x14ac:dyDescent="0.3">
      <c r="A2928" t="s">
        <v>627</v>
      </c>
      <c r="B2928" s="16">
        <v>45827</v>
      </c>
      <c r="C2928" t="s">
        <v>2</v>
      </c>
      <c r="D2928" t="s">
        <v>55</v>
      </c>
      <c r="E2928" t="s">
        <v>66</v>
      </c>
      <c r="F2928">
        <v>1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f t="shared" si="144"/>
        <v>2025</v>
      </c>
      <c r="Q2928">
        <f t="shared" si="145"/>
        <v>6</v>
      </c>
      <c r="R2928" t="str">
        <f t="shared" si="143"/>
        <v>短直联动</v>
      </c>
      <c r="S2928" t="s">
        <v>629</v>
      </c>
      <c r="T2928" s="546" t="s">
        <v>804</v>
      </c>
    </row>
    <row r="2929" spans="1:20" x14ac:dyDescent="0.3">
      <c r="A2929" t="s">
        <v>627</v>
      </c>
      <c r="B2929" s="16">
        <v>45827</v>
      </c>
      <c r="C2929" t="s">
        <v>2</v>
      </c>
      <c r="D2929" t="s">
        <v>55</v>
      </c>
      <c r="E2929" t="s">
        <v>54</v>
      </c>
      <c r="F2929" s="15">
        <v>1138</v>
      </c>
      <c r="G2929">
        <v>891</v>
      </c>
      <c r="H2929">
        <v>11</v>
      </c>
      <c r="I2929">
        <v>1</v>
      </c>
      <c r="J2929">
        <v>0</v>
      </c>
      <c r="K2929">
        <v>0</v>
      </c>
      <c r="L2929">
        <v>0</v>
      </c>
      <c r="M2929">
        <v>0</v>
      </c>
      <c r="N2929">
        <v>17</v>
      </c>
      <c r="O2929">
        <v>148</v>
      </c>
      <c r="P2929">
        <f t="shared" si="144"/>
        <v>2025</v>
      </c>
      <c r="Q2929">
        <f t="shared" si="145"/>
        <v>6</v>
      </c>
      <c r="R2929" t="str">
        <f t="shared" si="143"/>
        <v>超级直播</v>
      </c>
      <c r="S2929" t="s">
        <v>629</v>
      </c>
      <c r="T2929" s="546" t="s">
        <v>804</v>
      </c>
    </row>
    <row r="2930" spans="1:20" x14ac:dyDescent="0.3">
      <c r="A2930" t="s">
        <v>627</v>
      </c>
      <c r="B2930" s="16">
        <v>45827</v>
      </c>
      <c r="C2930" t="s">
        <v>2</v>
      </c>
      <c r="D2930" t="s">
        <v>55</v>
      </c>
      <c r="E2930" t="s">
        <v>56</v>
      </c>
      <c r="F2930">
        <v>11</v>
      </c>
      <c r="G2930">
        <v>9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11</v>
      </c>
      <c r="P2930">
        <f t="shared" si="144"/>
        <v>2025</v>
      </c>
      <c r="Q2930">
        <f t="shared" si="145"/>
        <v>6</v>
      </c>
      <c r="R2930" t="str">
        <f t="shared" si="143"/>
        <v>超级短视频</v>
      </c>
      <c r="S2930" t="s">
        <v>629</v>
      </c>
      <c r="T2930" s="546" t="s">
        <v>804</v>
      </c>
    </row>
    <row r="2931" spans="1:20" x14ac:dyDescent="0.3">
      <c r="A2931" t="s">
        <v>627</v>
      </c>
      <c r="B2931" s="16">
        <v>45827</v>
      </c>
      <c r="C2931" t="s">
        <v>2</v>
      </c>
      <c r="D2931" t="s">
        <v>57</v>
      </c>
      <c r="E2931" t="s">
        <v>64</v>
      </c>
      <c r="F2931" s="15">
        <v>12145</v>
      </c>
      <c r="G2931" s="15">
        <v>7560</v>
      </c>
      <c r="H2931">
        <v>38</v>
      </c>
      <c r="I2931">
        <v>42</v>
      </c>
      <c r="J2931" s="15">
        <v>36925</v>
      </c>
      <c r="K2931">
        <v>8</v>
      </c>
      <c r="L2931" s="15">
        <v>21545</v>
      </c>
      <c r="M2931">
        <v>5</v>
      </c>
      <c r="N2931">
        <v>246</v>
      </c>
      <c r="O2931" s="15">
        <v>12144</v>
      </c>
      <c r="P2931">
        <f t="shared" si="144"/>
        <v>2025</v>
      </c>
      <c r="Q2931">
        <f t="shared" si="145"/>
        <v>6</v>
      </c>
      <c r="R2931" t="str">
        <f t="shared" si="143"/>
        <v>引力魔方</v>
      </c>
      <c r="S2931" t="s">
        <v>629</v>
      </c>
      <c r="T2931" s="546" t="s">
        <v>804</v>
      </c>
    </row>
    <row r="2932" spans="1:20" x14ac:dyDescent="0.3">
      <c r="A2932" t="s">
        <v>627</v>
      </c>
      <c r="B2932" s="16">
        <v>45827</v>
      </c>
      <c r="C2932" t="s">
        <v>2</v>
      </c>
      <c r="D2932" t="s">
        <v>57</v>
      </c>
      <c r="E2932" t="s">
        <v>65</v>
      </c>
      <c r="F2932" s="15">
        <v>4554</v>
      </c>
      <c r="G2932" s="15">
        <v>4156</v>
      </c>
      <c r="H2932">
        <v>67</v>
      </c>
      <c r="I2932">
        <v>26</v>
      </c>
      <c r="J2932" s="15">
        <v>192631</v>
      </c>
      <c r="K2932">
        <v>47</v>
      </c>
      <c r="L2932" s="15">
        <v>103126</v>
      </c>
      <c r="M2932">
        <v>29</v>
      </c>
      <c r="N2932">
        <v>240</v>
      </c>
      <c r="O2932" s="15">
        <v>4511</v>
      </c>
      <c r="P2932">
        <f t="shared" si="144"/>
        <v>2025</v>
      </c>
      <c r="Q2932">
        <f t="shared" si="145"/>
        <v>6</v>
      </c>
      <c r="R2932" t="str">
        <f t="shared" si="143"/>
        <v>直通车</v>
      </c>
      <c r="S2932" t="s">
        <v>629</v>
      </c>
      <c r="T2932" s="546" t="s">
        <v>804</v>
      </c>
    </row>
    <row r="2933" spans="1:20" x14ac:dyDescent="0.3">
      <c r="A2933" t="s">
        <v>627</v>
      </c>
      <c r="B2933" s="16">
        <v>45827</v>
      </c>
      <c r="C2933" t="s">
        <v>2</v>
      </c>
      <c r="D2933" t="s">
        <v>57</v>
      </c>
      <c r="E2933" t="s">
        <v>63</v>
      </c>
      <c r="F2933" s="15">
        <v>8071</v>
      </c>
      <c r="G2933" s="15">
        <v>5450</v>
      </c>
      <c r="H2933">
        <v>153</v>
      </c>
      <c r="I2933">
        <v>169</v>
      </c>
      <c r="J2933" s="15">
        <v>87221</v>
      </c>
      <c r="K2933">
        <v>30</v>
      </c>
      <c r="L2933" s="15">
        <v>69819</v>
      </c>
      <c r="M2933">
        <v>26</v>
      </c>
      <c r="N2933">
        <v>591</v>
      </c>
      <c r="O2933" s="15">
        <v>7878</v>
      </c>
      <c r="P2933">
        <f t="shared" si="144"/>
        <v>2025</v>
      </c>
      <c r="Q2933">
        <f t="shared" si="145"/>
        <v>6</v>
      </c>
      <c r="R2933" t="str">
        <f t="shared" si="143"/>
        <v>万相台</v>
      </c>
      <c r="S2933" t="s">
        <v>629</v>
      </c>
      <c r="T2933" s="546" t="s">
        <v>804</v>
      </c>
    </row>
    <row r="2934" spans="1:20" x14ac:dyDescent="0.3">
      <c r="A2934" t="s">
        <v>627</v>
      </c>
      <c r="B2934" s="16">
        <v>45827</v>
      </c>
      <c r="C2934" t="s">
        <v>2</v>
      </c>
      <c r="D2934" t="s">
        <v>4</v>
      </c>
      <c r="E2934" t="s">
        <v>42</v>
      </c>
      <c r="F2934">
        <v>1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1</v>
      </c>
      <c r="P2934">
        <f t="shared" si="144"/>
        <v>2025</v>
      </c>
      <c r="Q2934">
        <f t="shared" si="145"/>
        <v>6</v>
      </c>
      <c r="R2934" t="str">
        <f t="shared" si="143"/>
        <v>UD效果投放</v>
      </c>
      <c r="S2934" t="s">
        <v>629</v>
      </c>
      <c r="T2934" s="546" t="s">
        <v>804</v>
      </c>
    </row>
    <row r="2935" spans="1:20" x14ac:dyDescent="0.3">
      <c r="A2935" t="s">
        <v>627</v>
      </c>
      <c r="B2935" s="16">
        <v>45827</v>
      </c>
      <c r="C2935" t="s">
        <v>2</v>
      </c>
      <c r="D2935" t="s">
        <v>4</v>
      </c>
      <c r="E2935" t="s">
        <v>43</v>
      </c>
      <c r="F2935">
        <v>266</v>
      </c>
      <c r="G2935">
        <v>81</v>
      </c>
      <c r="H2935">
        <v>5</v>
      </c>
      <c r="I2935">
        <v>0</v>
      </c>
      <c r="J2935" s="15">
        <v>6385</v>
      </c>
      <c r="K2935">
        <v>2</v>
      </c>
      <c r="L2935" s="15">
        <v>6385</v>
      </c>
      <c r="M2935">
        <v>2</v>
      </c>
      <c r="N2935">
        <v>3</v>
      </c>
      <c r="O2935">
        <v>264</v>
      </c>
      <c r="P2935">
        <f t="shared" si="144"/>
        <v>2025</v>
      </c>
      <c r="Q2935">
        <f t="shared" si="145"/>
        <v>6</v>
      </c>
      <c r="R2935" t="str">
        <f t="shared" si="143"/>
        <v>淘宝客</v>
      </c>
      <c r="S2935" t="s">
        <v>629</v>
      </c>
      <c r="T2935" s="546" t="s">
        <v>804</v>
      </c>
    </row>
    <row r="2936" spans="1:20" x14ac:dyDescent="0.3">
      <c r="A2936" t="s">
        <v>627</v>
      </c>
      <c r="B2936" s="16">
        <v>45828</v>
      </c>
      <c r="C2936" t="s">
        <v>3</v>
      </c>
      <c r="D2936" t="s">
        <v>114</v>
      </c>
      <c r="E2936" t="s">
        <v>159</v>
      </c>
      <c r="F2936">
        <v>149</v>
      </c>
      <c r="G2936">
        <v>78</v>
      </c>
      <c r="H2936">
        <v>4</v>
      </c>
      <c r="I2936">
        <v>5</v>
      </c>
      <c r="J2936">
        <v>0</v>
      </c>
      <c r="K2936">
        <v>0</v>
      </c>
      <c r="L2936">
        <v>0</v>
      </c>
      <c r="M2936">
        <v>0</v>
      </c>
      <c r="N2936">
        <v>12</v>
      </c>
      <c r="O2936">
        <v>145</v>
      </c>
      <c r="P2936">
        <f t="shared" si="144"/>
        <v>2025</v>
      </c>
      <c r="Q2936">
        <f t="shared" si="145"/>
        <v>6</v>
      </c>
      <c r="R2936" t="str">
        <f t="shared" si="143"/>
        <v>主会场</v>
      </c>
      <c r="S2936" t="s">
        <v>629</v>
      </c>
      <c r="T2936" s="546" t="s">
        <v>804</v>
      </c>
    </row>
    <row r="2937" spans="1:20" x14ac:dyDescent="0.3">
      <c r="A2937" t="s">
        <v>627</v>
      </c>
      <c r="B2937" s="16">
        <v>45828</v>
      </c>
      <c r="C2937" t="s">
        <v>3</v>
      </c>
      <c r="D2937" t="s">
        <v>123</v>
      </c>
      <c r="E2937" t="s">
        <v>169</v>
      </c>
      <c r="F2937">
        <v>136</v>
      </c>
      <c r="G2937">
        <v>64</v>
      </c>
      <c r="H2937">
        <v>9</v>
      </c>
      <c r="I2937">
        <v>2</v>
      </c>
      <c r="J2937" s="15">
        <v>9163</v>
      </c>
      <c r="K2937">
        <v>3</v>
      </c>
      <c r="L2937" s="15">
        <v>9163</v>
      </c>
      <c r="M2937">
        <v>3</v>
      </c>
      <c r="N2937">
        <v>32</v>
      </c>
      <c r="O2937">
        <v>128</v>
      </c>
      <c r="P2937">
        <f t="shared" si="144"/>
        <v>2025</v>
      </c>
      <c r="Q2937">
        <f t="shared" si="145"/>
        <v>6</v>
      </c>
      <c r="R2937" t="str">
        <f t="shared" si="143"/>
        <v>商品详情页头图推荐</v>
      </c>
      <c r="S2937" t="s">
        <v>629</v>
      </c>
      <c r="T2937" s="546" t="s">
        <v>804</v>
      </c>
    </row>
    <row r="2938" spans="1:20" x14ac:dyDescent="0.3">
      <c r="A2938" t="s">
        <v>627</v>
      </c>
      <c r="B2938" s="16">
        <v>45828</v>
      </c>
      <c r="C2938" t="s">
        <v>3</v>
      </c>
      <c r="D2938" t="s">
        <v>123</v>
      </c>
      <c r="E2938" t="s">
        <v>170</v>
      </c>
      <c r="F2938">
        <v>15</v>
      </c>
      <c r="G2938">
        <v>11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12</v>
      </c>
      <c r="O2938">
        <v>10</v>
      </c>
      <c r="P2938">
        <f t="shared" si="144"/>
        <v>2025</v>
      </c>
      <c r="Q2938">
        <f t="shared" si="145"/>
        <v>6</v>
      </c>
      <c r="R2938" t="str">
        <f t="shared" si="143"/>
        <v>店铺超链</v>
      </c>
      <c r="S2938" t="s">
        <v>629</v>
      </c>
      <c r="T2938" s="546" t="s">
        <v>804</v>
      </c>
    </row>
    <row r="2939" spans="1:20" x14ac:dyDescent="0.3">
      <c r="A2939" t="s">
        <v>627</v>
      </c>
      <c r="B2939" s="16">
        <v>45828</v>
      </c>
      <c r="C2939" t="s">
        <v>3</v>
      </c>
      <c r="D2939" t="s">
        <v>127</v>
      </c>
      <c r="E2939" t="s">
        <v>171</v>
      </c>
      <c r="F2939">
        <v>170</v>
      </c>
      <c r="G2939">
        <v>93</v>
      </c>
      <c r="H2939">
        <v>3</v>
      </c>
      <c r="I2939">
        <v>0</v>
      </c>
      <c r="J2939" s="15">
        <v>9920</v>
      </c>
      <c r="K2939">
        <v>4</v>
      </c>
      <c r="L2939" s="15">
        <v>8430</v>
      </c>
      <c r="M2939">
        <v>3</v>
      </c>
      <c r="N2939">
        <v>29</v>
      </c>
      <c r="O2939">
        <v>143</v>
      </c>
      <c r="P2939">
        <f t="shared" si="144"/>
        <v>2025</v>
      </c>
      <c r="Q2939">
        <f t="shared" si="145"/>
        <v>6</v>
      </c>
      <c r="R2939" t="str">
        <f t="shared" si="143"/>
        <v>其他猜你喜欢</v>
      </c>
      <c r="S2939" t="s">
        <v>629</v>
      </c>
      <c r="T2939" s="546" t="s">
        <v>804</v>
      </c>
    </row>
    <row r="2940" spans="1:20" x14ac:dyDescent="0.3">
      <c r="A2940" t="s">
        <v>627</v>
      </c>
      <c r="B2940" s="16">
        <v>45828</v>
      </c>
      <c r="C2940" t="s">
        <v>3</v>
      </c>
      <c r="D2940" t="s">
        <v>127</v>
      </c>
      <c r="E2940" t="s">
        <v>172</v>
      </c>
      <c r="F2940">
        <v>9</v>
      </c>
      <c r="G2940">
        <v>6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2</v>
      </c>
      <c r="O2940">
        <v>4</v>
      </c>
      <c r="P2940">
        <f t="shared" si="144"/>
        <v>2025</v>
      </c>
      <c r="Q2940">
        <f t="shared" si="145"/>
        <v>6</v>
      </c>
      <c r="R2940" t="str">
        <f t="shared" si="143"/>
        <v>购中推荐</v>
      </c>
      <c r="S2940" t="s">
        <v>629</v>
      </c>
      <c r="T2940" s="546" t="s">
        <v>804</v>
      </c>
    </row>
    <row r="2941" spans="1:20" x14ac:dyDescent="0.3">
      <c r="A2941" t="s">
        <v>627</v>
      </c>
      <c r="B2941" s="16">
        <v>45828</v>
      </c>
      <c r="C2941" t="s">
        <v>3</v>
      </c>
      <c r="D2941" t="s">
        <v>127</v>
      </c>
      <c r="E2941" t="s">
        <v>173</v>
      </c>
      <c r="F2941">
        <v>49</v>
      </c>
      <c r="G2941">
        <v>28</v>
      </c>
      <c r="H2941">
        <v>1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31</v>
      </c>
      <c r="P2941">
        <f t="shared" si="144"/>
        <v>2025</v>
      </c>
      <c r="Q2941">
        <f t="shared" si="145"/>
        <v>6</v>
      </c>
      <c r="R2941" t="str">
        <f t="shared" si="143"/>
        <v>购后推荐</v>
      </c>
      <c r="S2941" t="s">
        <v>629</v>
      </c>
      <c r="T2941" s="546" t="s">
        <v>804</v>
      </c>
    </row>
    <row r="2942" spans="1:20" x14ac:dyDescent="0.3">
      <c r="A2942" t="s">
        <v>627</v>
      </c>
      <c r="B2942" s="16">
        <v>45828</v>
      </c>
      <c r="C2942" t="s">
        <v>3</v>
      </c>
      <c r="D2942" t="s">
        <v>127</v>
      </c>
      <c r="E2942" t="s">
        <v>174</v>
      </c>
      <c r="F2942" s="15">
        <v>2370</v>
      </c>
      <c r="G2942" s="15">
        <v>1537</v>
      </c>
      <c r="H2942">
        <v>34</v>
      </c>
      <c r="I2942">
        <v>18</v>
      </c>
      <c r="J2942" s="15">
        <v>55938</v>
      </c>
      <c r="K2942">
        <v>11</v>
      </c>
      <c r="L2942" s="15">
        <v>23958</v>
      </c>
      <c r="M2942">
        <v>7</v>
      </c>
      <c r="N2942">
        <v>129</v>
      </c>
      <c r="O2942" s="15">
        <v>2370</v>
      </c>
      <c r="P2942">
        <f t="shared" si="144"/>
        <v>2025</v>
      </c>
      <c r="Q2942">
        <f t="shared" si="145"/>
        <v>6</v>
      </c>
      <c r="R2942" t="str">
        <f t="shared" si="143"/>
        <v>首页推荐-微详情</v>
      </c>
      <c r="S2942" t="s">
        <v>629</v>
      </c>
      <c r="T2942" s="546" t="s">
        <v>804</v>
      </c>
    </row>
    <row r="2943" spans="1:20" x14ac:dyDescent="0.3">
      <c r="A2943" t="s">
        <v>627</v>
      </c>
      <c r="B2943" s="16">
        <v>45828</v>
      </c>
      <c r="C2943" t="s">
        <v>3</v>
      </c>
      <c r="D2943" t="s">
        <v>127</v>
      </c>
      <c r="E2943" t="s">
        <v>175</v>
      </c>
      <c r="F2943">
        <v>739</v>
      </c>
      <c r="G2943">
        <v>643</v>
      </c>
      <c r="H2943">
        <v>0</v>
      </c>
      <c r="I2943">
        <v>0</v>
      </c>
      <c r="J2943" s="15">
        <v>3250</v>
      </c>
      <c r="K2943">
        <v>1</v>
      </c>
      <c r="L2943" s="15">
        <v>3250</v>
      </c>
      <c r="M2943">
        <v>1</v>
      </c>
      <c r="N2943">
        <v>2</v>
      </c>
      <c r="O2943">
        <v>18</v>
      </c>
      <c r="P2943">
        <f t="shared" si="144"/>
        <v>2025</v>
      </c>
      <c r="Q2943">
        <f t="shared" si="145"/>
        <v>6</v>
      </c>
      <c r="R2943" t="str">
        <f t="shared" si="143"/>
        <v>首页推荐-直播</v>
      </c>
      <c r="S2943" t="s">
        <v>629</v>
      </c>
      <c r="T2943" s="546" t="s">
        <v>804</v>
      </c>
    </row>
    <row r="2944" spans="1:20" x14ac:dyDescent="0.3">
      <c r="A2944" t="s">
        <v>627</v>
      </c>
      <c r="B2944" s="16">
        <v>45828</v>
      </c>
      <c r="C2944" t="s">
        <v>3</v>
      </c>
      <c r="D2944" t="s">
        <v>127</v>
      </c>
      <c r="E2944" t="s">
        <v>176</v>
      </c>
      <c r="F2944">
        <v>147</v>
      </c>
      <c r="G2944">
        <v>92</v>
      </c>
      <c r="H2944">
        <v>0</v>
      </c>
      <c r="I2944">
        <v>0</v>
      </c>
      <c r="J2944" s="15">
        <v>2990</v>
      </c>
      <c r="K2944">
        <v>1</v>
      </c>
      <c r="L2944" s="15">
        <v>2990</v>
      </c>
      <c r="M2944">
        <v>1</v>
      </c>
      <c r="N2944">
        <v>3</v>
      </c>
      <c r="O2944">
        <v>15</v>
      </c>
      <c r="P2944">
        <f t="shared" si="144"/>
        <v>2025</v>
      </c>
      <c r="Q2944">
        <f t="shared" si="145"/>
        <v>6</v>
      </c>
      <c r="R2944" t="str">
        <f t="shared" si="143"/>
        <v>首页推荐-短视频</v>
      </c>
      <c r="S2944" t="s">
        <v>629</v>
      </c>
      <c r="T2944" s="546" t="s">
        <v>804</v>
      </c>
    </row>
    <row r="2945" spans="1:20" x14ac:dyDescent="0.3">
      <c r="A2945" t="s">
        <v>627</v>
      </c>
      <c r="B2945" s="16">
        <v>45828</v>
      </c>
      <c r="C2945" t="s">
        <v>3</v>
      </c>
      <c r="D2945" t="s">
        <v>128</v>
      </c>
      <c r="E2945" t="s">
        <v>177</v>
      </c>
      <c r="F2945">
        <v>679</v>
      </c>
      <c r="G2945">
        <v>498</v>
      </c>
      <c r="H2945">
        <v>27</v>
      </c>
      <c r="I2945">
        <v>8</v>
      </c>
      <c r="J2945" s="15">
        <v>49683</v>
      </c>
      <c r="K2945">
        <v>16</v>
      </c>
      <c r="L2945" s="15">
        <v>37913</v>
      </c>
      <c r="M2945">
        <v>13</v>
      </c>
      <c r="N2945">
        <v>304</v>
      </c>
      <c r="O2945">
        <v>505</v>
      </c>
      <c r="P2945">
        <f t="shared" si="144"/>
        <v>2025</v>
      </c>
      <c r="Q2945">
        <f t="shared" si="145"/>
        <v>6</v>
      </c>
      <c r="R2945" t="str">
        <f t="shared" si="143"/>
        <v>手淘搜索-商品及其他</v>
      </c>
      <c r="S2945" t="s">
        <v>629</v>
      </c>
      <c r="T2945" s="546" t="s">
        <v>804</v>
      </c>
    </row>
    <row r="2946" spans="1:20" x14ac:dyDescent="0.3">
      <c r="A2946" t="s">
        <v>627</v>
      </c>
      <c r="B2946" s="16">
        <v>45828</v>
      </c>
      <c r="C2946" t="s">
        <v>3</v>
      </c>
      <c r="D2946" t="s">
        <v>128</v>
      </c>
      <c r="E2946" t="s">
        <v>178</v>
      </c>
      <c r="F2946">
        <v>10</v>
      </c>
      <c r="G2946">
        <v>7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1</v>
      </c>
      <c r="O2946">
        <v>8</v>
      </c>
      <c r="P2946">
        <f t="shared" si="144"/>
        <v>2025</v>
      </c>
      <c r="Q2946">
        <f t="shared" si="145"/>
        <v>6</v>
      </c>
      <c r="R2946" t="str">
        <f t="shared" si="143"/>
        <v>手淘搜索-直播</v>
      </c>
      <c r="S2946" t="s">
        <v>629</v>
      </c>
      <c r="T2946" s="546" t="s">
        <v>804</v>
      </c>
    </row>
    <row r="2947" spans="1:20" x14ac:dyDescent="0.3">
      <c r="A2947" t="s">
        <v>627</v>
      </c>
      <c r="B2947" s="16">
        <v>45828</v>
      </c>
      <c r="C2947" t="s">
        <v>3</v>
      </c>
      <c r="D2947" t="s">
        <v>128</v>
      </c>
      <c r="E2947" t="s">
        <v>179</v>
      </c>
      <c r="F2947">
        <v>21</v>
      </c>
      <c r="G2947">
        <v>14</v>
      </c>
      <c r="H2947">
        <v>1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3</v>
      </c>
      <c r="O2947">
        <v>21</v>
      </c>
      <c r="P2947">
        <f t="shared" si="144"/>
        <v>2025</v>
      </c>
      <c r="Q2947">
        <f t="shared" si="145"/>
        <v>6</v>
      </c>
      <c r="R2947" t="str">
        <f t="shared" si="143"/>
        <v>手淘搜索-短视频</v>
      </c>
      <c r="S2947" t="s">
        <v>629</v>
      </c>
      <c r="T2947" s="546" t="s">
        <v>804</v>
      </c>
    </row>
    <row r="2948" spans="1:20" x14ac:dyDescent="0.3">
      <c r="A2948" t="s">
        <v>627</v>
      </c>
      <c r="B2948" s="16">
        <v>45828</v>
      </c>
      <c r="C2948" t="s">
        <v>3</v>
      </c>
      <c r="D2948" t="s">
        <v>143</v>
      </c>
      <c r="E2948" t="s">
        <v>180</v>
      </c>
      <c r="F2948">
        <v>3</v>
      </c>
      <c r="G2948">
        <v>3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3</v>
      </c>
      <c r="P2948">
        <f t="shared" si="144"/>
        <v>2025</v>
      </c>
      <c r="Q2948">
        <f t="shared" si="145"/>
        <v>6</v>
      </c>
      <c r="R2948" t="str">
        <f t="shared" si="143"/>
        <v>淘特其他渠道</v>
      </c>
      <c r="S2948" t="s">
        <v>629</v>
      </c>
      <c r="T2948" s="546" t="s">
        <v>804</v>
      </c>
    </row>
    <row r="2949" spans="1:20" x14ac:dyDescent="0.3">
      <c r="A2949" t="s">
        <v>627</v>
      </c>
      <c r="B2949" s="16">
        <v>45828</v>
      </c>
      <c r="C2949" t="s">
        <v>3</v>
      </c>
      <c r="D2949" t="s">
        <v>143</v>
      </c>
      <c r="E2949" t="s">
        <v>181</v>
      </c>
      <c r="F2949">
        <v>22</v>
      </c>
      <c r="G2949">
        <v>21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22</v>
      </c>
      <c r="P2949">
        <f t="shared" si="144"/>
        <v>2025</v>
      </c>
      <c r="Q2949">
        <f t="shared" si="145"/>
        <v>6</v>
      </c>
      <c r="R2949" t="str">
        <f t="shared" si="143"/>
        <v>淘特搜索</v>
      </c>
      <c r="S2949" t="s">
        <v>629</v>
      </c>
      <c r="T2949" s="546" t="s">
        <v>804</v>
      </c>
    </row>
    <row r="2950" spans="1:20" x14ac:dyDescent="0.3">
      <c r="A2950" t="s">
        <v>627</v>
      </c>
      <c r="B2950" s="16">
        <v>45828</v>
      </c>
      <c r="C2950" t="s">
        <v>2</v>
      </c>
      <c r="D2950" t="s">
        <v>55</v>
      </c>
      <c r="E2950" t="s">
        <v>54</v>
      </c>
      <c r="F2950">
        <v>796</v>
      </c>
      <c r="G2950">
        <v>558</v>
      </c>
      <c r="H2950">
        <v>16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18</v>
      </c>
      <c r="O2950">
        <v>152</v>
      </c>
      <c r="P2950">
        <f t="shared" si="144"/>
        <v>2025</v>
      </c>
      <c r="Q2950">
        <f t="shared" si="145"/>
        <v>6</v>
      </c>
      <c r="R2950" t="str">
        <f t="shared" si="143"/>
        <v>超级直播</v>
      </c>
      <c r="S2950" t="s">
        <v>629</v>
      </c>
      <c r="T2950" s="546" t="s">
        <v>804</v>
      </c>
    </row>
    <row r="2951" spans="1:20" x14ac:dyDescent="0.3">
      <c r="A2951" t="s">
        <v>627</v>
      </c>
      <c r="B2951" s="16">
        <v>45828</v>
      </c>
      <c r="C2951" t="s">
        <v>2</v>
      </c>
      <c r="D2951" t="s">
        <v>55</v>
      </c>
      <c r="E2951" t="s">
        <v>56</v>
      </c>
      <c r="F2951">
        <v>2</v>
      </c>
      <c r="G2951">
        <v>2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2</v>
      </c>
      <c r="P2951">
        <f t="shared" si="144"/>
        <v>2025</v>
      </c>
      <c r="Q2951">
        <f t="shared" si="145"/>
        <v>6</v>
      </c>
      <c r="R2951" t="str">
        <f t="shared" ref="R2951:R2957" si="146">E2951</f>
        <v>超级短视频</v>
      </c>
      <c r="S2951" t="s">
        <v>629</v>
      </c>
      <c r="T2951" s="546" t="s">
        <v>804</v>
      </c>
    </row>
    <row r="2952" spans="1:20" x14ac:dyDescent="0.3">
      <c r="A2952" t="s">
        <v>627</v>
      </c>
      <c r="B2952" s="16">
        <v>45828</v>
      </c>
      <c r="C2952" t="s">
        <v>2</v>
      </c>
      <c r="D2952" t="s">
        <v>57</v>
      </c>
      <c r="E2952" t="s">
        <v>64</v>
      </c>
      <c r="F2952" s="15">
        <v>9761</v>
      </c>
      <c r="G2952" s="15">
        <v>5849</v>
      </c>
      <c r="H2952">
        <v>45</v>
      </c>
      <c r="I2952">
        <v>43</v>
      </c>
      <c r="J2952" s="15">
        <v>35210</v>
      </c>
      <c r="K2952">
        <v>10</v>
      </c>
      <c r="L2952" s="15">
        <v>16790</v>
      </c>
      <c r="M2952">
        <v>6</v>
      </c>
      <c r="N2952">
        <v>204</v>
      </c>
      <c r="O2952" s="15">
        <v>9760</v>
      </c>
      <c r="P2952">
        <f t="shared" si="144"/>
        <v>2025</v>
      </c>
      <c r="Q2952">
        <f t="shared" si="145"/>
        <v>6</v>
      </c>
      <c r="R2952" t="str">
        <f t="shared" si="146"/>
        <v>引力魔方</v>
      </c>
      <c r="S2952" t="s">
        <v>629</v>
      </c>
      <c r="T2952" s="546" t="s">
        <v>804</v>
      </c>
    </row>
    <row r="2953" spans="1:20" x14ac:dyDescent="0.3">
      <c r="A2953" t="s">
        <v>627</v>
      </c>
      <c r="B2953" s="16">
        <v>45828</v>
      </c>
      <c r="C2953" t="s">
        <v>2</v>
      </c>
      <c r="D2953" t="s">
        <v>57</v>
      </c>
      <c r="E2953" t="s">
        <v>65</v>
      </c>
      <c r="F2953" s="15">
        <v>4320</v>
      </c>
      <c r="G2953" s="15">
        <v>3888</v>
      </c>
      <c r="H2953">
        <v>61</v>
      </c>
      <c r="I2953">
        <v>22</v>
      </c>
      <c r="J2953" s="15">
        <v>121361</v>
      </c>
      <c r="K2953">
        <v>24</v>
      </c>
      <c r="L2953" s="15">
        <v>55216</v>
      </c>
      <c r="M2953">
        <v>15</v>
      </c>
      <c r="N2953">
        <v>223</v>
      </c>
      <c r="O2953" s="15">
        <v>4287</v>
      </c>
      <c r="P2953">
        <f t="shared" si="144"/>
        <v>2025</v>
      </c>
      <c r="Q2953">
        <f t="shared" si="145"/>
        <v>6</v>
      </c>
      <c r="R2953" t="str">
        <f t="shared" si="146"/>
        <v>直通车</v>
      </c>
      <c r="S2953" t="s">
        <v>629</v>
      </c>
      <c r="T2953" s="546" t="s">
        <v>804</v>
      </c>
    </row>
    <row r="2954" spans="1:20" x14ac:dyDescent="0.3">
      <c r="A2954" t="s">
        <v>627</v>
      </c>
      <c r="B2954" s="16">
        <v>45828</v>
      </c>
      <c r="C2954" t="s">
        <v>2</v>
      </c>
      <c r="D2954" t="s">
        <v>57</v>
      </c>
      <c r="E2954" t="s">
        <v>63</v>
      </c>
      <c r="F2954" s="15">
        <v>4668</v>
      </c>
      <c r="G2954" s="15">
        <v>2542</v>
      </c>
      <c r="H2954">
        <v>99</v>
      </c>
      <c r="I2954">
        <v>170</v>
      </c>
      <c r="J2954" s="15">
        <v>69310</v>
      </c>
      <c r="K2954">
        <v>24</v>
      </c>
      <c r="L2954" s="15">
        <v>44665</v>
      </c>
      <c r="M2954">
        <v>17</v>
      </c>
      <c r="N2954">
        <v>536</v>
      </c>
      <c r="O2954" s="15">
        <v>4495</v>
      </c>
      <c r="P2954">
        <f t="shared" si="144"/>
        <v>2025</v>
      </c>
      <c r="Q2954">
        <f t="shared" si="145"/>
        <v>6</v>
      </c>
      <c r="R2954" t="str">
        <f t="shared" si="146"/>
        <v>万相台</v>
      </c>
      <c r="S2954" t="s">
        <v>629</v>
      </c>
      <c r="T2954" s="546" t="s">
        <v>804</v>
      </c>
    </row>
    <row r="2955" spans="1:20" x14ac:dyDescent="0.3">
      <c r="A2955" t="s">
        <v>627</v>
      </c>
      <c r="B2955" s="16">
        <v>45828</v>
      </c>
      <c r="C2955" t="s">
        <v>2</v>
      </c>
      <c r="D2955" t="s">
        <v>4</v>
      </c>
      <c r="E2955" t="s">
        <v>42</v>
      </c>
      <c r="F2955">
        <v>2</v>
      </c>
      <c r="G2955">
        <v>2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1</v>
      </c>
      <c r="P2955">
        <f t="shared" si="144"/>
        <v>2025</v>
      </c>
      <c r="Q2955">
        <f t="shared" si="145"/>
        <v>6</v>
      </c>
      <c r="R2955" t="str">
        <f t="shared" si="146"/>
        <v>UD效果投放</v>
      </c>
      <c r="S2955" t="s">
        <v>629</v>
      </c>
      <c r="T2955" s="546" t="s">
        <v>804</v>
      </c>
    </row>
    <row r="2956" spans="1:20" x14ac:dyDescent="0.3">
      <c r="A2956" t="s">
        <v>627</v>
      </c>
      <c r="B2956" s="16">
        <v>45828</v>
      </c>
      <c r="C2956" t="s">
        <v>2</v>
      </c>
      <c r="D2956" t="s">
        <v>4</v>
      </c>
      <c r="E2956" t="s">
        <v>41</v>
      </c>
      <c r="F2956">
        <v>1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1</v>
      </c>
      <c r="P2956">
        <f t="shared" si="144"/>
        <v>2025</v>
      </c>
      <c r="Q2956">
        <f t="shared" si="145"/>
        <v>6</v>
      </c>
      <c r="R2956" t="str">
        <f t="shared" si="146"/>
        <v>流量宝</v>
      </c>
      <c r="S2956" t="s">
        <v>629</v>
      </c>
      <c r="T2956" s="546" t="s">
        <v>804</v>
      </c>
    </row>
    <row r="2957" spans="1:20" x14ac:dyDescent="0.3">
      <c r="A2957" t="s">
        <v>627</v>
      </c>
      <c r="B2957" s="16">
        <v>45828</v>
      </c>
      <c r="C2957" t="s">
        <v>2</v>
      </c>
      <c r="D2957" t="s">
        <v>4</v>
      </c>
      <c r="E2957" t="s">
        <v>43</v>
      </c>
      <c r="F2957">
        <v>255</v>
      </c>
      <c r="G2957">
        <v>79</v>
      </c>
      <c r="H2957">
        <v>4</v>
      </c>
      <c r="I2957">
        <v>0</v>
      </c>
      <c r="J2957" s="15">
        <v>3995</v>
      </c>
      <c r="K2957">
        <v>1</v>
      </c>
      <c r="L2957" s="15">
        <v>3995</v>
      </c>
      <c r="M2957">
        <v>1</v>
      </c>
      <c r="N2957">
        <v>0</v>
      </c>
      <c r="O2957">
        <v>250</v>
      </c>
      <c r="P2957">
        <f t="shared" si="144"/>
        <v>2025</v>
      </c>
      <c r="Q2957">
        <f t="shared" si="145"/>
        <v>6</v>
      </c>
      <c r="R2957" t="str">
        <f t="shared" si="146"/>
        <v>淘宝客</v>
      </c>
      <c r="S2957" t="s">
        <v>629</v>
      </c>
      <c r="T2957" s="546" t="s">
        <v>804</v>
      </c>
    </row>
    <row r="2958" spans="1:20" x14ac:dyDescent="0.3">
      <c r="A2958" t="s">
        <v>110</v>
      </c>
      <c r="B2958" s="16">
        <v>45809</v>
      </c>
      <c r="C2958" t="s">
        <v>3</v>
      </c>
      <c r="D2958" t="s">
        <v>143</v>
      </c>
      <c r="E2958" t="s">
        <v>197</v>
      </c>
      <c r="F2958">
        <v>1</v>
      </c>
      <c r="G2958">
        <v>1</v>
      </c>
      <c r="H2958">
        <v>0</v>
      </c>
      <c r="I2958">
        <v>0</v>
      </c>
      <c r="J2958">
        <v>1050</v>
      </c>
      <c r="K2958">
        <v>1</v>
      </c>
      <c r="L2958">
        <v>1050</v>
      </c>
      <c r="M2958">
        <v>1</v>
      </c>
      <c r="N2958">
        <v>0</v>
      </c>
      <c r="O2958">
        <v>1</v>
      </c>
      <c r="P2958">
        <f t="shared" ref="P2958:P2986" si="147">YEAR(B2958)</f>
        <v>2025</v>
      </c>
      <c r="Q2958">
        <f t="shared" ref="Q2958:Q2986" si="148">MONTH(B2958)</f>
        <v>6</v>
      </c>
      <c r="R2958" t="str">
        <f t="shared" ref="R2958:R2986" si="149">E2958</f>
        <v>淘特推荐</v>
      </c>
      <c r="S2958" t="str">
        <f>_xlfn.XLOOKUP(B2958,全店核心数据_bymonth!A:A,全店核心数据_bymonth!AN:AN)</f>
        <v>BU26</v>
      </c>
    </row>
    <row r="2959" spans="1:20" x14ac:dyDescent="0.3">
      <c r="A2959" t="s">
        <v>110</v>
      </c>
      <c r="B2959" s="16">
        <v>45809</v>
      </c>
      <c r="C2959" t="s">
        <v>2</v>
      </c>
      <c r="D2959" t="s">
        <v>4</v>
      </c>
      <c r="E2959" t="s">
        <v>43</v>
      </c>
      <c r="F2959">
        <v>4184</v>
      </c>
      <c r="G2959">
        <v>2175</v>
      </c>
      <c r="H2959">
        <v>79</v>
      </c>
      <c r="I2959">
        <v>15</v>
      </c>
      <c r="J2959">
        <v>191140.19</v>
      </c>
      <c r="K2959">
        <v>45</v>
      </c>
      <c r="L2959">
        <v>174858.19</v>
      </c>
      <c r="M2959">
        <v>43</v>
      </c>
      <c r="N2959">
        <v>59</v>
      </c>
      <c r="O2959">
        <v>4146</v>
      </c>
      <c r="P2959">
        <f t="shared" si="147"/>
        <v>2025</v>
      </c>
      <c r="Q2959">
        <f t="shared" si="148"/>
        <v>6</v>
      </c>
      <c r="R2959" t="str">
        <f t="shared" si="149"/>
        <v>淘宝客</v>
      </c>
      <c r="S2959" t="str">
        <f>_xlfn.XLOOKUP(B2959,全店核心数据_bymonth!A:A,全店核心数据_bymonth!AN:AN)</f>
        <v>BU26</v>
      </c>
    </row>
    <row r="2960" spans="1:20" x14ac:dyDescent="0.3">
      <c r="A2960" t="s">
        <v>110</v>
      </c>
      <c r="B2960" s="16">
        <v>45809</v>
      </c>
      <c r="C2960" t="s">
        <v>2</v>
      </c>
      <c r="D2960" t="s">
        <v>4</v>
      </c>
      <c r="E2960" t="s">
        <v>41</v>
      </c>
      <c r="F2960">
        <v>48</v>
      </c>
      <c r="G2960">
        <v>41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2</v>
      </c>
      <c r="O2960">
        <v>45</v>
      </c>
      <c r="P2960">
        <f t="shared" si="147"/>
        <v>2025</v>
      </c>
      <c r="Q2960">
        <f t="shared" si="148"/>
        <v>6</v>
      </c>
      <c r="R2960" t="str">
        <f t="shared" si="149"/>
        <v>流量宝</v>
      </c>
      <c r="S2960" t="str">
        <f>_xlfn.XLOOKUP(B2960,全店核心数据_bymonth!A:A,全店核心数据_bymonth!AN:AN)</f>
        <v>BU26</v>
      </c>
    </row>
    <row r="2961" spans="1:19" x14ac:dyDescent="0.3">
      <c r="A2961" t="s">
        <v>110</v>
      </c>
      <c r="B2961" s="16">
        <v>45809</v>
      </c>
      <c r="C2961" t="s">
        <v>2</v>
      </c>
      <c r="D2961" t="s">
        <v>4</v>
      </c>
      <c r="E2961" t="s">
        <v>42</v>
      </c>
      <c r="F2961">
        <v>7</v>
      </c>
      <c r="G2961">
        <v>6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4</v>
      </c>
      <c r="P2961">
        <f t="shared" si="147"/>
        <v>2025</v>
      </c>
      <c r="Q2961">
        <f t="shared" si="148"/>
        <v>6</v>
      </c>
      <c r="R2961" t="str">
        <f t="shared" si="149"/>
        <v>UD效果投放</v>
      </c>
      <c r="S2961" t="str">
        <f>_xlfn.XLOOKUP(B2961,全店核心数据_bymonth!A:A,全店核心数据_bymonth!AN:AN)</f>
        <v>BU26</v>
      </c>
    </row>
    <row r="2962" spans="1:19" x14ac:dyDescent="0.3">
      <c r="A2962" t="s">
        <v>110</v>
      </c>
      <c r="B2962" s="16">
        <v>45809</v>
      </c>
      <c r="C2962" t="s">
        <v>2</v>
      </c>
      <c r="D2962" t="s">
        <v>57</v>
      </c>
      <c r="E2962" t="s">
        <v>63</v>
      </c>
      <c r="F2962">
        <v>68431</v>
      </c>
      <c r="G2962">
        <v>56559</v>
      </c>
      <c r="H2962">
        <v>2357</v>
      </c>
      <c r="I2962">
        <v>2568</v>
      </c>
      <c r="J2962">
        <v>1804036.39</v>
      </c>
      <c r="K2962">
        <v>434</v>
      </c>
      <c r="L2962">
        <v>1187219.54</v>
      </c>
      <c r="M2962">
        <v>339</v>
      </c>
      <c r="N2962">
        <v>15694</v>
      </c>
      <c r="O2962">
        <v>62778</v>
      </c>
      <c r="P2962">
        <f t="shared" si="147"/>
        <v>2025</v>
      </c>
      <c r="Q2962">
        <f t="shared" si="148"/>
        <v>6</v>
      </c>
      <c r="R2962" t="str">
        <f t="shared" si="149"/>
        <v>万相台</v>
      </c>
      <c r="S2962" t="str">
        <f>_xlfn.XLOOKUP(B2962,全店核心数据_bymonth!A:A,全店核心数据_bymonth!AN:AN)</f>
        <v>BU26</v>
      </c>
    </row>
    <row r="2963" spans="1:19" x14ac:dyDescent="0.3">
      <c r="A2963" t="s">
        <v>110</v>
      </c>
      <c r="B2963" s="16">
        <v>45809</v>
      </c>
      <c r="C2963" t="s">
        <v>2</v>
      </c>
      <c r="D2963" t="s">
        <v>57</v>
      </c>
      <c r="E2963" t="s">
        <v>65</v>
      </c>
      <c r="F2963">
        <v>83983</v>
      </c>
      <c r="G2963">
        <v>78717</v>
      </c>
      <c r="H2963">
        <v>894</v>
      </c>
      <c r="I2963">
        <v>454</v>
      </c>
      <c r="J2963">
        <v>1274266</v>
      </c>
      <c r="K2963">
        <v>288</v>
      </c>
      <c r="L2963">
        <v>592451</v>
      </c>
      <c r="M2963">
        <v>177</v>
      </c>
      <c r="N2963">
        <v>5267</v>
      </c>
      <c r="O2963">
        <v>83141</v>
      </c>
      <c r="P2963">
        <f t="shared" si="147"/>
        <v>2025</v>
      </c>
      <c r="Q2963">
        <f t="shared" si="148"/>
        <v>6</v>
      </c>
      <c r="R2963" t="str">
        <f t="shared" si="149"/>
        <v>直通车</v>
      </c>
      <c r="S2963" t="str">
        <f>_xlfn.XLOOKUP(B2963,全店核心数据_bymonth!A:A,全店核心数据_bymonth!AN:AN)</f>
        <v>BU26</v>
      </c>
    </row>
    <row r="2964" spans="1:19" x14ac:dyDescent="0.3">
      <c r="A2964" t="s">
        <v>110</v>
      </c>
      <c r="B2964" s="16">
        <v>45809</v>
      </c>
      <c r="C2964" t="s">
        <v>2</v>
      </c>
      <c r="D2964" t="s">
        <v>57</v>
      </c>
      <c r="E2964" t="s">
        <v>64</v>
      </c>
      <c r="F2964">
        <v>177613</v>
      </c>
      <c r="G2964">
        <v>159351</v>
      </c>
      <c r="H2964">
        <v>1125</v>
      </c>
      <c r="I2964">
        <v>1037</v>
      </c>
      <c r="J2964">
        <v>519187.20000000001</v>
      </c>
      <c r="K2964">
        <v>128</v>
      </c>
      <c r="L2964">
        <v>271197.2</v>
      </c>
      <c r="M2964">
        <v>78</v>
      </c>
      <c r="N2964">
        <v>5386</v>
      </c>
      <c r="O2964">
        <v>177610</v>
      </c>
      <c r="P2964">
        <f t="shared" si="147"/>
        <v>2025</v>
      </c>
      <c r="Q2964">
        <f t="shared" si="148"/>
        <v>6</v>
      </c>
      <c r="R2964" t="str">
        <f t="shared" si="149"/>
        <v>引力魔方</v>
      </c>
      <c r="S2964" t="str">
        <f>_xlfn.XLOOKUP(B2964,全店核心数据_bymonth!A:A,全店核心数据_bymonth!AN:AN)</f>
        <v>BU26</v>
      </c>
    </row>
    <row r="2965" spans="1:19" x14ac:dyDescent="0.3">
      <c r="A2965" t="s">
        <v>110</v>
      </c>
      <c r="B2965" s="16">
        <v>45809</v>
      </c>
      <c r="C2965" t="s">
        <v>2</v>
      </c>
      <c r="D2965" t="s">
        <v>52</v>
      </c>
      <c r="E2965" t="s">
        <v>58</v>
      </c>
      <c r="F2965">
        <v>6</v>
      </c>
      <c r="G2965">
        <v>3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</v>
      </c>
      <c r="O2965">
        <v>6</v>
      </c>
      <c r="P2965">
        <f t="shared" si="147"/>
        <v>2025</v>
      </c>
      <c r="Q2965">
        <f t="shared" si="148"/>
        <v>6</v>
      </c>
      <c r="R2965" t="str">
        <f t="shared" si="149"/>
        <v>超级全域通</v>
      </c>
      <c r="S2965" t="str">
        <f>_xlfn.XLOOKUP(B2965,全店核心数据_bymonth!A:A,全店核心数据_bymonth!AN:AN)</f>
        <v>BU26</v>
      </c>
    </row>
    <row r="2966" spans="1:19" x14ac:dyDescent="0.3">
      <c r="A2966" t="s">
        <v>110</v>
      </c>
      <c r="B2966" s="16">
        <v>45809</v>
      </c>
      <c r="C2966" t="s">
        <v>2</v>
      </c>
      <c r="D2966" t="s">
        <v>52</v>
      </c>
      <c r="E2966" t="s">
        <v>183</v>
      </c>
      <c r="F2966">
        <v>1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1</v>
      </c>
      <c r="O2966">
        <v>0</v>
      </c>
      <c r="P2966">
        <f t="shared" si="147"/>
        <v>2025</v>
      </c>
      <c r="Q2966">
        <f t="shared" si="148"/>
        <v>6</v>
      </c>
      <c r="R2966" t="str">
        <f t="shared" si="149"/>
        <v>品销宝-品牌专区</v>
      </c>
      <c r="S2966" t="str">
        <f>_xlfn.XLOOKUP(B2966,全店核心数据_bymonth!A:A,全店核心数据_bymonth!AN:AN)</f>
        <v>BU26</v>
      </c>
    </row>
    <row r="2967" spans="1:19" x14ac:dyDescent="0.3">
      <c r="A2967" t="s">
        <v>110</v>
      </c>
      <c r="B2967" s="16">
        <v>45809</v>
      </c>
      <c r="C2967" t="s">
        <v>2</v>
      </c>
      <c r="D2967" t="s">
        <v>55</v>
      </c>
      <c r="E2967" t="s">
        <v>56</v>
      </c>
      <c r="F2967">
        <v>62</v>
      </c>
      <c r="G2967">
        <v>42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62</v>
      </c>
      <c r="P2967">
        <f t="shared" si="147"/>
        <v>2025</v>
      </c>
      <c r="Q2967">
        <f t="shared" si="148"/>
        <v>6</v>
      </c>
      <c r="R2967" t="str">
        <f t="shared" si="149"/>
        <v>超级短视频</v>
      </c>
      <c r="S2967" t="str">
        <f>_xlfn.XLOOKUP(B2967,全店核心数据_bymonth!A:A,全店核心数据_bymonth!AN:AN)</f>
        <v>BU26</v>
      </c>
    </row>
    <row r="2968" spans="1:19" x14ac:dyDescent="0.3">
      <c r="A2968" t="s">
        <v>110</v>
      </c>
      <c r="B2968" s="16">
        <v>45809</v>
      </c>
      <c r="C2968" t="s">
        <v>2</v>
      </c>
      <c r="D2968" t="s">
        <v>55</v>
      </c>
      <c r="E2968" t="s">
        <v>54</v>
      </c>
      <c r="F2968">
        <v>12604</v>
      </c>
      <c r="G2968">
        <v>10531</v>
      </c>
      <c r="H2968">
        <v>170</v>
      </c>
      <c r="I2968">
        <v>13</v>
      </c>
      <c r="J2968">
        <v>0</v>
      </c>
      <c r="K2968">
        <v>0</v>
      </c>
      <c r="L2968">
        <v>0</v>
      </c>
      <c r="M2968">
        <v>0</v>
      </c>
      <c r="N2968">
        <v>275</v>
      </c>
      <c r="O2968">
        <v>2448</v>
      </c>
      <c r="P2968">
        <f t="shared" si="147"/>
        <v>2025</v>
      </c>
      <c r="Q2968">
        <f t="shared" si="148"/>
        <v>6</v>
      </c>
      <c r="R2968" t="str">
        <f t="shared" si="149"/>
        <v>超级直播</v>
      </c>
      <c r="S2968" t="str">
        <f>_xlfn.XLOOKUP(B2968,全店核心数据_bymonth!A:A,全店核心数据_bymonth!AN:AN)</f>
        <v>BU26</v>
      </c>
    </row>
    <row r="2969" spans="1:19" x14ac:dyDescent="0.3">
      <c r="A2969" t="s">
        <v>110</v>
      </c>
      <c r="B2969" s="16">
        <v>45809</v>
      </c>
      <c r="C2969" t="s">
        <v>2</v>
      </c>
      <c r="D2969" t="s">
        <v>55</v>
      </c>
      <c r="E2969" t="s">
        <v>66</v>
      </c>
      <c r="F2969">
        <v>1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f t="shared" si="147"/>
        <v>2025</v>
      </c>
      <c r="Q2969">
        <f t="shared" si="148"/>
        <v>6</v>
      </c>
      <c r="R2969" t="str">
        <f t="shared" si="149"/>
        <v>短直联动</v>
      </c>
      <c r="S2969" t="str">
        <f>_xlfn.XLOOKUP(B2969,全店核心数据_bymonth!A:A,全店核心数据_bymonth!AN:AN)</f>
        <v>BU26</v>
      </c>
    </row>
    <row r="2970" spans="1:19" x14ac:dyDescent="0.3">
      <c r="A2970" t="s">
        <v>110</v>
      </c>
      <c r="B2970" s="16">
        <v>45809</v>
      </c>
      <c r="C2970" t="s">
        <v>3</v>
      </c>
      <c r="D2970" t="s">
        <v>157</v>
      </c>
      <c r="E2970" t="s">
        <v>182</v>
      </c>
      <c r="F2970">
        <v>2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f t="shared" si="147"/>
        <v>2025</v>
      </c>
      <c r="Q2970">
        <f t="shared" si="148"/>
        <v>6</v>
      </c>
      <c r="R2970" t="str">
        <f t="shared" si="149"/>
        <v>飞猪其他</v>
      </c>
      <c r="S2970" t="str">
        <f>_xlfn.XLOOKUP(B2970,全店核心数据_bymonth!A:A,全店核心数据_bymonth!AN:AN)</f>
        <v>BU26</v>
      </c>
    </row>
    <row r="2971" spans="1:19" x14ac:dyDescent="0.3">
      <c r="A2971" t="s">
        <v>110</v>
      </c>
      <c r="B2971" s="16">
        <v>45809</v>
      </c>
      <c r="C2971" t="s">
        <v>3</v>
      </c>
      <c r="D2971" t="s">
        <v>143</v>
      </c>
      <c r="E2971" t="s">
        <v>224</v>
      </c>
      <c r="F2971">
        <v>3</v>
      </c>
      <c r="G2971">
        <v>3</v>
      </c>
      <c r="H2971">
        <v>0</v>
      </c>
      <c r="I2971">
        <v>0</v>
      </c>
      <c r="J2971">
        <v>1050</v>
      </c>
      <c r="K2971">
        <v>1</v>
      </c>
      <c r="L2971">
        <v>1050</v>
      </c>
      <c r="M2971">
        <v>1</v>
      </c>
      <c r="N2971">
        <v>0</v>
      </c>
      <c r="O2971">
        <v>3</v>
      </c>
      <c r="P2971">
        <f t="shared" si="147"/>
        <v>2025</v>
      </c>
      <c r="Q2971">
        <f t="shared" si="148"/>
        <v>6</v>
      </c>
      <c r="R2971" t="str">
        <f t="shared" si="149"/>
        <v>淘特自主访问</v>
      </c>
      <c r="S2971" t="str">
        <f>_xlfn.XLOOKUP(B2971,全店核心数据_bymonth!A:A,全店核心数据_bymonth!AN:AN)</f>
        <v>BU26</v>
      </c>
    </row>
    <row r="2972" spans="1:19" x14ac:dyDescent="0.3">
      <c r="A2972" t="s">
        <v>110</v>
      </c>
      <c r="B2972" s="16">
        <v>45809</v>
      </c>
      <c r="C2972" t="s">
        <v>3</v>
      </c>
      <c r="D2972" t="s">
        <v>143</v>
      </c>
      <c r="E2972" t="s">
        <v>181</v>
      </c>
      <c r="F2972">
        <v>488</v>
      </c>
      <c r="G2972">
        <v>484</v>
      </c>
      <c r="H2972">
        <v>4</v>
      </c>
      <c r="I2972">
        <v>4</v>
      </c>
      <c r="J2972">
        <v>1050</v>
      </c>
      <c r="K2972">
        <v>1</v>
      </c>
      <c r="L2972">
        <v>1050</v>
      </c>
      <c r="M2972">
        <v>1</v>
      </c>
      <c r="N2972">
        <v>1</v>
      </c>
      <c r="O2972">
        <v>488</v>
      </c>
      <c r="P2972">
        <f t="shared" si="147"/>
        <v>2025</v>
      </c>
      <c r="Q2972">
        <f t="shared" si="148"/>
        <v>6</v>
      </c>
      <c r="R2972" t="str">
        <f t="shared" si="149"/>
        <v>淘特搜索</v>
      </c>
      <c r="S2972" t="str">
        <f>_xlfn.XLOOKUP(B2972,全店核心数据_bymonth!A:A,全店核心数据_bymonth!AN:AN)</f>
        <v>BU26</v>
      </c>
    </row>
    <row r="2973" spans="1:19" x14ac:dyDescent="0.3">
      <c r="A2973" t="s">
        <v>110</v>
      </c>
      <c r="B2973" s="16">
        <v>45809</v>
      </c>
      <c r="C2973" t="s">
        <v>3</v>
      </c>
      <c r="D2973" t="s">
        <v>114</v>
      </c>
      <c r="E2973" t="s">
        <v>159</v>
      </c>
      <c r="F2973">
        <v>3260</v>
      </c>
      <c r="G2973">
        <v>2243</v>
      </c>
      <c r="H2973">
        <v>82</v>
      </c>
      <c r="I2973">
        <v>61</v>
      </c>
      <c r="J2973">
        <v>99134</v>
      </c>
      <c r="K2973">
        <v>15</v>
      </c>
      <c r="L2973">
        <v>33962</v>
      </c>
      <c r="M2973">
        <v>8</v>
      </c>
      <c r="N2973">
        <v>232</v>
      </c>
      <c r="O2973">
        <v>3117</v>
      </c>
      <c r="P2973">
        <f t="shared" si="147"/>
        <v>2025</v>
      </c>
      <c r="Q2973">
        <f t="shared" si="148"/>
        <v>6</v>
      </c>
      <c r="R2973" t="str">
        <f t="shared" si="149"/>
        <v>主会场</v>
      </c>
      <c r="S2973" t="str">
        <f>_xlfn.XLOOKUP(B2973,全店核心数据_bymonth!A:A,全店核心数据_bymonth!AN:AN)</f>
        <v>BU26</v>
      </c>
    </row>
    <row r="2974" spans="1:19" x14ac:dyDescent="0.3">
      <c r="A2974" t="s">
        <v>110</v>
      </c>
      <c r="B2974" s="16">
        <v>45809</v>
      </c>
      <c r="C2974" t="s">
        <v>3</v>
      </c>
      <c r="D2974" t="s">
        <v>143</v>
      </c>
      <c r="E2974" t="s">
        <v>180</v>
      </c>
      <c r="F2974">
        <v>141</v>
      </c>
      <c r="G2974">
        <v>122</v>
      </c>
      <c r="H2974">
        <v>2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7</v>
      </c>
      <c r="O2974">
        <v>139</v>
      </c>
      <c r="P2974">
        <f t="shared" si="147"/>
        <v>2025</v>
      </c>
      <c r="Q2974">
        <f t="shared" si="148"/>
        <v>6</v>
      </c>
      <c r="R2974" t="str">
        <f t="shared" si="149"/>
        <v>淘特其他渠道</v>
      </c>
      <c r="S2974" t="str">
        <f>_xlfn.XLOOKUP(B2974,全店核心数据_bymonth!A:A,全店核心数据_bymonth!AN:AN)</f>
        <v>BU26</v>
      </c>
    </row>
    <row r="2975" spans="1:19" x14ac:dyDescent="0.3">
      <c r="A2975" t="s">
        <v>110</v>
      </c>
      <c r="B2975" s="16">
        <v>45809</v>
      </c>
      <c r="C2975" t="s">
        <v>3</v>
      </c>
      <c r="D2975" t="s">
        <v>128</v>
      </c>
      <c r="E2975" t="s">
        <v>179</v>
      </c>
      <c r="F2975">
        <v>365</v>
      </c>
      <c r="G2975">
        <v>198</v>
      </c>
      <c r="H2975">
        <v>19</v>
      </c>
      <c r="I2975">
        <v>8</v>
      </c>
      <c r="J2975">
        <v>15817</v>
      </c>
      <c r="K2975">
        <v>6</v>
      </c>
      <c r="L2975">
        <v>13327</v>
      </c>
      <c r="M2975">
        <v>6</v>
      </c>
      <c r="N2975">
        <v>45</v>
      </c>
      <c r="O2975">
        <v>349</v>
      </c>
      <c r="P2975">
        <f t="shared" si="147"/>
        <v>2025</v>
      </c>
      <c r="Q2975">
        <f t="shared" si="148"/>
        <v>6</v>
      </c>
      <c r="R2975" t="str">
        <f t="shared" si="149"/>
        <v>手淘搜索-短视频</v>
      </c>
      <c r="S2975" t="str">
        <f>_xlfn.XLOOKUP(B2975,全店核心数据_bymonth!A:A,全店核心数据_bymonth!AN:AN)</f>
        <v>BU26</v>
      </c>
    </row>
    <row r="2976" spans="1:19" x14ac:dyDescent="0.3">
      <c r="A2976" t="s">
        <v>110</v>
      </c>
      <c r="B2976" s="16">
        <v>45809</v>
      </c>
      <c r="C2976" t="s">
        <v>3</v>
      </c>
      <c r="D2976" t="s">
        <v>128</v>
      </c>
      <c r="E2976" t="s">
        <v>178</v>
      </c>
      <c r="F2976">
        <v>138</v>
      </c>
      <c r="G2976">
        <v>87</v>
      </c>
      <c r="H2976">
        <v>7</v>
      </c>
      <c r="I2976">
        <v>1</v>
      </c>
      <c r="J2976">
        <v>7185</v>
      </c>
      <c r="K2976">
        <v>1</v>
      </c>
      <c r="L2976">
        <v>0</v>
      </c>
      <c r="M2976">
        <v>0</v>
      </c>
      <c r="N2976">
        <v>13</v>
      </c>
      <c r="O2976">
        <v>104</v>
      </c>
      <c r="P2976">
        <f t="shared" si="147"/>
        <v>2025</v>
      </c>
      <c r="Q2976">
        <f t="shared" si="148"/>
        <v>6</v>
      </c>
      <c r="R2976" t="str">
        <f t="shared" si="149"/>
        <v>手淘搜索-直播</v>
      </c>
      <c r="S2976" t="str">
        <f>_xlfn.XLOOKUP(B2976,全店核心数据_bymonth!A:A,全店核心数据_bymonth!AN:AN)</f>
        <v>BU26</v>
      </c>
    </row>
    <row r="2977" spans="1:19" x14ac:dyDescent="0.3">
      <c r="A2977" t="s">
        <v>110</v>
      </c>
      <c r="B2977" s="16">
        <v>45809</v>
      </c>
      <c r="C2977" t="s">
        <v>3</v>
      </c>
      <c r="D2977" t="s">
        <v>128</v>
      </c>
      <c r="E2977" t="s">
        <v>177</v>
      </c>
      <c r="F2977">
        <v>17129</v>
      </c>
      <c r="G2977">
        <v>14568</v>
      </c>
      <c r="H2977">
        <v>737</v>
      </c>
      <c r="I2977">
        <v>179</v>
      </c>
      <c r="J2977">
        <v>848408.4</v>
      </c>
      <c r="K2977">
        <v>186</v>
      </c>
      <c r="L2977">
        <v>600838.40000000002</v>
      </c>
      <c r="M2977">
        <v>165</v>
      </c>
      <c r="N2977">
        <v>8675</v>
      </c>
      <c r="O2977">
        <v>11937</v>
      </c>
      <c r="P2977">
        <f t="shared" si="147"/>
        <v>2025</v>
      </c>
      <c r="Q2977">
        <f t="shared" si="148"/>
        <v>6</v>
      </c>
      <c r="R2977" t="str">
        <f t="shared" si="149"/>
        <v>手淘搜索-商品及其他</v>
      </c>
      <c r="S2977" t="str">
        <f>_xlfn.XLOOKUP(B2977,全店核心数据_bymonth!A:A,全店核心数据_bymonth!AN:AN)</f>
        <v>BU26</v>
      </c>
    </row>
    <row r="2978" spans="1:19" x14ac:dyDescent="0.3">
      <c r="A2978" t="s">
        <v>110</v>
      </c>
      <c r="B2978" s="16">
        <v>45809</v>
      </c>
      <c r="C2978" t="s">
        <v>3</v>
      </c>
      <c r="D2978" t="s">
        <v>127</v>
      </c>
      <c r="E2978" t="s">
        <v>176</v>
      </c>
      <c r="F2978">
        <v>5535</v>
      </c>
      <c r="G2978">
        <v>4362</v>
      </c>
      <c r="H2978">
        <v>16</v>
      </c>
      <c r="I2978">
        <v>1</v>
      </c>
      <c r="J2978">
        <v>15280</v>
      </c>
      <c r="K2978">
        <v>4</v>
      </c>
      <c r="L2978">
        <v>6584</v>
      </c>
      <c r="M2978">
        <v>3</v>
      </c>
      <c r="N2978">
        <v>47</v>
      </c>
      <c r="O2978">
        <v>391</v>
      </c>
      <c r="P2978">
        <f t="shared" si="147"/>
        <v>2025</v>
      </c>
      <c r="Q2978">
        <f t="shared" si="148"/>
        <v>6</v>
      </c>
      <c r="R2978" t="str">
        <f t="shared" si="149"/>
        <v>首页推荐-短视频</v>
      </c>
      <c r="S2978" t="str">
        <f>_xlfn.XLOOKUP(B2978,全店核心数据_bymonth!A:A,全店核心数据_bymonth!AN:AN)</f>
        <v>BU26</v>
      </c>
    </row>
    <row r="2979" spans="1:19" x14ac:dyDescent="0.3">
      <c r="A2979" t="s">
        <v>110</v>
      </c>
      <c r="B2979" s="16">
        <v>45809</v>
      </c>
      <c r="C2979" t="s">
        <v>3</v>
      </c>
      <c r="D2979" t="s">
        <v>127</v>
      </c>
      <c r="E2979" t="s">
        <v>175</v>
      </c>
      <c r="F2979">
        <v>5801</v>
      </c>
      <c r="G2979">
        <v>5247</v>
      </c>
      <c r="H2979">
        <v>18</v>
      </c>
      <c r="I2979">
        <v>5</v>
      </c>
      <c r="J2979">
        <v>3250</v>
      </c>
      <c r="K2979">
        <v>1</v>
      </c>
      <c r="L2979">
        <v>3250</v>
      </c>
      <c r="M2979">
        <v>1</v>
      </c>
      <c r="N2979">
        <v>39</v>
      </c>
      <c r="O2979">
        <v>357</v>
      </c>
      <c r="P2979">
        <f t="shared" si="147"/>
        <v>2025</v>
      </c>
      <c r="Q2979">
        <f t="shared" si="148"/>
        <v>6</v>
      </c>
      <c r="R2979" t="str">
        <f t="shared" si="149"/>
        <v>首页推荐-直播</v>
      </c>
      <c r="S2979" t="str">
        <f>_xlfn.XLOOKUP(B2979,全店核心数据_bymonth!A:A,全店核心数据_bymonth!AN:AN)</f>
        <v>BU26</v>
      </c>
    </row>
    <row r="2980" spans="1:19" x14ac:dyDescent="0.3">
      <c r="A2980" t="s">
        <v>110</v>
      </c>
      <c r="B2980" s="16">
        <v>45809</v>
      </c>
      <c r="C2980" t="s">
        <v>3</v>
      </c>
      <c r="D2980" t="s">
        <v>127</v>
      </c>
      <c r="E2980" t="s">
        <v>174</v>
      </c>
      <c r="F2980">
        <v>99707</v>
      </c>
      <c r="G2980">
        <v>92497</v>
      </c>
      <c r="H2980">
        <v>845</v>
      </c>
      <c r="I2980">
        <v>548</v>
      </c>
      <c r="J2980">
        <v>547831.73</v>
      </c>
      <c r="K2980">
        <v>114</v>
      </c>
      <c r="L2980">
        <v>261316.43</v>
      </c>
      <c r="M2980">
        <v>89</v>
      </c>
      <c r="N2980">
        <v>5833</v>
      </c>
      <c r="O2980">
        <v>99707</v>
      </c>
      <c r="P2980">
        <f t="shared" si="147"/>
        <v>2025</v>
      </c>
      <c r="Q2980">
        <f t="shared" si="148"/>
        <v>6</v>
      </c>
      <c r="R2980" t="str">
        <f t="shared" si="149"/>
        <v>首页推荐-微详情</v>
      </c>
      <c r="S2980" t="str">
        <f>_xlfn.XLOOKUP(B2980,全店核心数据_bymonth!A:A,全店核心数据_bymonth!AN:AN)</f>
        <v>BU26</v>
      </c>
    </row>
    <row r="2981" spans="1:19" x14ac:dyDescent="0.3">
      <c r="A2981" t="s">
        <v>110</v>
      </c>
      <c r="B2981" s="16">
        <v>45809</v>
      </c>
      <c r="C2981" t="s">
        <v>3</v>
      </c>
      <c r="D2981" t="s">
        <v>127</v>
      </c>
      <c r="E2981" t="s">
        <v>173</v>
      </c>
      <c r="F2981">
        <v>1865</v>
      </c>
      <c r="G2981">
        <v>1403</v>
      </c>
      <c r="H2981">
        <v>18</v>
      </c>
      <c r="I2981">
        <v>4</v>
      </c>
      <c r="J2981">
        <v>15785.43</v>
      </c>
      <c r="K2981">
        <v>6</v>
      </c>
      <c r="L2981">
        <v>15785.43</v>
      </c>
      <c r="M2981">
        <v>6</v>
      </c>
      <c r="N2981">
        <v>61</v>
      </c>
      <c r="O2981">
        <v>1169</v>
      </c>
      <c r="P2981">
        <f t="shared" si="147"/>
        <v>2025</v>
      </c>
      <c r="Q2981">
        <f t="shared" si="148"/>
        <v>6</v>
      </c>
      <c r="R2981" t="str">
        <f t="shared" si="149"/>
        <v>购后推荐</v>
      </c>
      <c r="S2981" t="str">
        <f>_xlfn.XLOOKUP(B2981,全店核心数据_bymonth!A:A,全店核心数据_bymonth!AN:AN)</f>
        <v>BU26</v>
      </c>
    </row>
    <row r="2982" spans="1:19" x14ac:dyDescent="0.3">
      <c r="A2982" t="s">
        <v>110</v>
      </c>
      <c r="B2982" s="16">
        <v>45809</v>
      </c>
      <c r="C2982" t="s">
        <v>3</v>
      </c>
      <c r="D2982" t="s">
        <v>127</v>
      </c>
      <c r="E2982" t="s">
        <v>172</v>
      </c>
      <c r="F2982">
        <v>251</v>
      </c>
      <c r="G2982">
        <v>167</v>
      </c>
      <c r="H2982">
        <v>7</v>
      </c>
      <c r="I2982">
        <v>2</v>
      </c>
      <c r="J2982">
        <v>4750</v>
      </c>
      <c r="K2982">
        <v>1</v>
      </c>
      <c r="L2982">
        <v>2375</v>
      </c>
      <c r="M2982">
        <v>1</v>
      </c>
      <c r="N2982">
        <v>21</v>
      </c>
      <c r="O2982">
        <v>177</v>
      </c>
      <c r="P2982">
        <f t="shared" si="147"/>
        <v>2025</v>
      </c>
      <c r="Q2982">
        <f t="shared" si="148"/>
        <v>6</v>
      </c>
      <c r="R2982" t="str">
        <f t="shared" si="149"/>
        <v>购中推荐</v>
      </c>
      <c r="S2982" t="str">
        <f>_xlfn.XLOOKUP(B2982,全店核心数据_bymonth!A:A,全店核心数据_bymonth!AN:AN)</f>
        <v>BU26</v>
      </c>
    </row>
    <row r="2983" spans="1:19" x14ac:dyDescent="0.3">
      <c r="A2983" t="s">
        <v>110</v>
      </c>
      <c r="B2983" s="16">
        <v>45809</v>
      </c>
      <c r="C2983" t="s">
        <v>3</v>
      </c>
      <c r="D2983" t="s">
        <v>127</v>
      </c>
      <c r="E2983" t="s">
        <v>171</v>
      </c>
      <c r="F2983">
        <v>4809</v>
      </c>
      <c r="G2983">
        <v>3245</v>
      </c>
      <c r="H2983">
        <v>111</v>
      </c>
      <c r="I2983">
        <v>53</v>
      </c>
      <c r="J2983">
        <v>144740.43</v>
      </c>
      <c r="K2983">
        <v>42</v>
      </c>
      <c r="L2983">
        <v>104840.43</v>
      </c>
      <c r="M2983">
        <v>35</v>
      </c>
      <c r="N2983">
        <v>808</v>
      </c>
      <c r="O2983">
        <v>4205</v>
      </c>
      <c r="P2983">
        <f t="shared" si="147"/>
        <v>2025</v>
      </c>
      <c r="Q2983">
        <f t="shared" si="148"/>
        <v>6</v>
      </c>
      <c r="R2983" t="str">
        <f t="shared" si="149"/>
        <v>其他猜你喜欢</v>
      </c>
      <c r="S2983" t="str">
        <f>_xlfn.XLOOKUP(B2983,全店核心数据_bymonth!A:A,全店核心数据_bymonth!AN:AN)</f>
        <v>BU26</v>
      </c>
    </row>
    <row r="2984" spans="1:19" x14ac:dyDescent="0.3">
      <c r="A2984" t="s">
        <v>110</v>
      </c>
      <c r="B2984" s="16">
        <v>45809</v>
      </c>
      <c r="C2984" t="s">
        <v>3</v>
      </c>
      <c r="D2984" t="s">
        <v>123</v>
      </c>
      <c r="E2984" t="s">
        <v>170</v>
      </c>
      <c r="F2984">
        <v>542</v>
      </c>
      <c r="G2984">
        <v>327</v>
      </c>
      <c r="H2984">
        <v>28</v>
      </c>
      <c r="I2984">
        <v>7</v>
      </c>
      <c r="J2984">
        <v>34023.5</v>
      </c>
      <c r="K2984">
        <v>9</v>
      </c>
      <c r="L2984">
        <v>31628.5</v>
      </c>
      <c r="M2984">
        <v>8</v>
      </c>
      <c r="N2984">
        <v>477</v>
      </c>
      <c r="O2984">
        <v>270</v>
      </c>
      <c r="P2984">
        <f t="shared" si="147"/>
        <v>2025</v>
      </c>
      <c r="Q2984">
        <f t="shared" si="148"/>
        <v>6</v>
      </c>
      <c r="R2984" t="str">
        <f t="shared" si="149"/>
        <v>店铺超链</v>
      </c>
      <c r="S2984" t="str">
        <f>_xlfn.XLOOKUP(B2984,全店核心数据_bymonth!A:A,全店核心数据_bymonth!AN:AN)</f>
        <v>BU26</v>
      </c>
    </row>
    <row r="2985" spans="1:19" x14ac:dyDescent="0.3">
      <c r="A2985" t="s">
        <v>110</v>
      </c>
      <c r="B2985" s="16">
        <v>45809</v>
      </c>
      <c r="C2985" t="s">
        <v>3</v>
      </c>
      <c r="D2985" t="s">
        <v>123</v>
      </c>
      <c r="E2985" t="s">
        <v>169</v>
      </c>
      <c r="F2985">
        <v>3905</v>
      </c>
      <c r="G2985">
        <v>2461</v>
      </c>
      <c r="H2985">
        <v>162</v>
      </c>
      <c r="I2985">
        <v>71</v>
      </c>
      <c r="J2985">
        <v>237001.43</v>
      </c>
      <c r="K2985">
        <v>61</v>
      </c>
      <c r="L2985">
        <v>179278.43</v>
      </c>
      <c r="M2985">
        <v>54</v>
      </c>
      <c r="N2985">
        <v>921</v>
      </c>
      <c r="O2985">
        <v>3777</v>
      </c>
      <c r="P2985">
        <f t="shared" si="147"/>
        <v>2025</v>
      </c>
      <c r="Q2985">
        <f t="shared" si="148"/>
        <v>6</v>
      </c>
      <c r="R2985" t="str">
        <f t="shared" si="149"/>
        <v>商品详情页头图推荐</v>
      </c>
      <c r="S2985" t="str">
        <f>_xlfn.XLOOKUP(B2985,全店核心数据_bymonth!A:A,全店核心数据_bymonth!AN:AN)</f>
        <v>BU26</v>
      </c>
    </row>
    <row r="2986" spans="1:19" x14ac:dyDescent="0.3">
      <c r="A2986" t="s">
        <v>110</v>
      </c>
      <c r="B2986" s="16">
        <v>45809</v>
      </c>
      <c r="C2986" t="s">
        <v>3</v>
      </c>
      <c r="D2986" t="s">
        <v>117</v>
      </c>
      <c r="E2986" t="s">
        <v>161</v>
      </c>
      <c r="F2986">
        <v>17</v>
      </c>
      <c r="G2986">
        <v>14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4</v>
      </c>
      <c r="O2986">
        <v>17</v>
      </c>
      <c r="P2986">
        <f t="shared" si="147"/>
        <v>2025</v>
      </c>
      <c r="Q2986">
        <f t="shared" si="148"/>
        <v>6</v>
      </c>
      <c r="R2986" t="str">
        <f t="shared" si="149"/>
        <v>其他入口榜单</v>
      </c>
      <c r="S2986" t="str">
        <f>_xlfn.XLOOKUP(B2986,全店核心数据_bymonth!A:A,全店核心数据_bymonth!AN:AN)</f>
        <v>BU26</v>
      </c>
    </row>
    <row r="2987" spans="1:19" x14ac:dyDescent="0.3">
      <c r="A2987" t="s">
        <v>110</v>
      </c>
      <c r="B2987" s="16">
        <v>45839</v>
      </c>
      <c r="C2987" t="s">
        <v>3</v>
      </c>
      <c r="D2987" t="s">
        <v>128</v>
      </c>
      <c r="E2987" t="s">
        <v>179</v>
      </c>
      <c r="F2987">
        <v>113</v>
      </c>
      <c r="G2987">
        <v>55</v>
      </c>
      <c r="H2987">
        <v>5</v>
      </c>
      <c r="I2987">
        <v>0</v>
      </c>
      <c r="J2987">
        <v>3850</v>
      </c>
      <c r="K2987">
        <v>1</v>
      </c>
      <c r="L2987">
        <v>3850</v>
      </c>
      <c r="M2987">
        <v>1</v>
      </c>
      <c r="N2987">
        <v>11</v>
      </c>
      <c r="O2987">
        <v>105</v>
      </c>
      <c r="P2987">
        <f t="shared" ref="P2987:P3010" si="150">YEAR(B2987)</f>
        <v>2025</v>
      </c>
      <c r="Q2987">
        <f t="shared" ref="Q2987:Q3010" si="151">MONTH(B2987)</f>
        <v>7</v>
      </c>
      <c r="R2987" t="str">
        <f t="shared" ref="R2987:R3010" si="152">E2987</f>
        <v>手淘搜索-短视频</v>
      </c>
      <c r="S2987" t="str">
        <f>_xlfn.XLOOKUP(B2987,全店核心数据_bymonth!A:A,全店核心数据_bymonth!AN:AN)</f>
        <v>BU26</v>
      </c>
    </row>
    <row r="2988" spans="1:19" x14ac:dyDescent="0.3">
      <c r="A2988" t="s">
        <v>110</v>
      </c>
      <c r="B2988" s="16">
        <v>45839</v>
      </c>
      <c r="C2988" t="s">
        <v>2</v>
      </c>
      <c r="D2988" t="s">
        <v>4</v>
      </c>
      <c r="E2988" t="s">
        <v>43</v>
      </c>
      <c r="F2988">
        <v>2923</v>
      </c>
      <c r="G2988">
        <v>1646</v>
      </c>
      <c r="H2988">
        <v>27</v>
      </c>
      <c r="I2988">
        <v>11</v>
      </c>
      <c r="J2988">
        <v>53005</v>
      </c>
      <c r="K2988">
        <v>9</v>
      </c>
      <c r="L2988">
        <v>53005</v>
      </c>
      <c r="M2988">
        <v>9</v>
      </c>
      <c r="N2988">
        <v>30</v>
      </c>
      <c r="O2988">
        <v>2916</v>
      </c>
      <c r="P2988">
        <f t="shared" si="150"/>
        <v>2025</v>
      </c>
      <c r="Q2988">
        <f t="shared" si="151"/>
        <v>7</v>
      </c>
      <c r="R2988" t="str">
        <f t="shared" si="152"/>
        <v>淘宝客</v>
      </c>
      <c r="S2988" t="str">
        <f>_xlfn.XLOOKUP(B2988,全店核心数据_bymonth!A:A,全店核心数据_bymonth!AN:AN)</f>
        <v>BU26</v>
      </c>
    </row>
    <row r="2989" spans="1:19" x14ac:dyDescent="0.3">
      <c r="A2989" t="s">
        <v>110</v>
      </c>
      <c r="B2989" s="16">
        <v>45839</v>
      </c>
      <c r="C2989" t="s">
        <v>2</v>
      </c>
      <c r="D2989" t="s">
        <v>4</v>
      </c>
      <c r="E2989" t="s">
        <v>41</v>
      </c>
      <c r="F2989">
        <v>7</v>
      </c>
      <c r="G2989">
        <v>4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1</v>
      </c>
      <c r="O2989">
        <v>6</v>
      </c>
      <c r="P2989">
        <f t="shared" si="150"/>
        <v>2025</v>
      </c>
      <c r="Q2989">
        <f t="shared" si="151"/>
        <v>7</v>
      </c>
      <c r="R2989" t="str">
        <f t="shared" si="152"/>
        <v>流量宝</v>
      </c>
      <c r="S2989" t="str">
        <f>_xlfn.XLOOKUP(B2989,全店核心数据_bymonth!A:A,全店核心数据_bymonth!AN:AN)</f>
        <v>BU26</v>
      </c>
    </row>
    <row r="2990" spans="1:19" x14ac:dyDescent="0.3">
      <c r="A2990" t="s">
        <v>110</v>
      </c>
      <c r="B2990" s="16">
        <v>45839</v>
      </c>
      <c r="C2990" t="s">
        <v>2</v>
      </c>
      <c r="D2990" t="s">
        <v>57</v>
      </c>
      <c r="E2990" t="s">
        <v>63</v>
      </c>
      <c r="F2990">
        <v>17887</v>
      </c>
      <c r="G2990">
        <v>15457</v>
      </c>
      <c r="H2990">
        <v>416</v>
      </c>
      <c r="I2990">
        <v>493</v>
      </c>
      <c r="J2990">
        <v>220510</v>
      </c>
      <c r="K2990">
        <v>38</v>
      </c>
      <c r="L2990">
        <v>197625</v>
      </c>
      <c r="M2990">
        <v>33</v>
      </c>
      <c r="N2990">
        <v>11097</v>
      </c>
      <c r="O2990">
        <v>12625</v>
      </c>
      <c r="P2990">
        <f t="shared" si="150"/>
        <v>2025</v>
      </c>
      <c r="Q2990">
        <f t="shared" si="151"/>
        <v>7</v>
      </c>
      <c r="R2990" t="str">
        <f t="shared" si="152"/>
        <v>万相台</v>
      </c>
      <c r="S2990" t="str">
        <f>_xlfn.XLOOKUP(B2990,全店核心数据_bymonth!A:A,全店核心数据_bymonth!AN:AN)</f>
        <v>BU26</v>
      </c>
    </row>
    <row r="2991" spans="1:19" x14ac:dyDescent="0.3">
      <c r="A2991" t="s">
        <v>110</v>
      </c>
      <c r="B2991" s="16">
        <v>45839</v>
      </c>
      <c r="C2991" t="s">
        <v>2</v>
      </c>
      <c r="D2991" t="s">
        <v>57</v>
      </c>
      <c r="E2991" t="s">
        <v>65</v>
      </c>
      <c r="F2991">
        <v>53429</v>
      </c>
      <c r="G2991">
        <v>50746</v>
      </c>
      <c r="H2991">
        <v>482</v>
      </c>
      <c r="I2991">
        <v>322</v>
      </c>
      <c r="J2991">
        <v>478602</v>
      </c>
      <c r="K2991">
        <v>73</v>
      </c>
      <c r="L2991">
        <v>177307</v>
      </c>
      <c r="M2991">
        <v>36</v>
      </c>
      <c r="N2991">
        <v>3678</v>
      </c>
      <c r="O2991">
        <v>52829</v>
      </c>
      <c r="P2991">
        <f t="shared" si="150"/>
        <v>2025</v>
      </c>
      <c r="Q2991">
        <f t="shared" si="151"/>
        <v>7</v>
      </c>
      <c r="R2991" t="str">
        <f t="shared" si="152"/>
        <v>直通车</v>
      </c>
      <c r="S2991" t="str">
        <f>_xlfn.XLOOKUP(B2991,全店核心数据_bymonth!A:A,全店核心数据_bymonth!AN:AN)</f>
        <v>BU26</v>
      </c>
    </row>
    <row r="2992" spans="1:19" x14ac:dyDescent="0.3">
      <c r="A2992" t="s">
        <v>110</v>
      </c>
      <c r="B2992" s="16">
        <v>45839</v>
      </c>
      <c r="C2992" t="s">
        <v>2</v>
      </c>
      <c r="D2992" t="s">
        <v>57</v>
      </c>
      <c r="E2992" t="s">
        <v>64</v>
      </c>
      <c r="F2992">
        <v>161054</v>
      </c>
      <c r="G2992">
        <v>152446</v>
      </c>
      <c r="H2992">
        <v>700</v>
      </c>
      <c r="I2992">
        <v>709</v>
      </c>
      <c r="J2992">
        <v>647925</v>
      </c>
      <c r="K2992">
        <v>49</v>
      </c>
      <c r="L2992">
        <v>149705</v>
      </c>
      <c r="M2992">
        <v>26</v>
      </c>
      <c r="N2992">
        <v>4555</v>
      </c>
      <c r="O2992">
        <v>161045</v>
      </c>
      <c r="P2992">
        <f t="shared" si="150"/>
        <v>2025</v>
      </c>
      <c r="Q2992">
        <f t="shared" si="151"/>
        <v>7</v>
      </c>
      <c r="R2992" t="str">
        <f t="shared" si="152"/>
        <v>引力魔方</v>
      </c>
      <c r="S2992" t="str">
        <f>_xlfn.XLOOKUP(B2992,全店核心数据_bymonth!A:A,全店核心数据_bymonth!AN:AN)</f>
        <v>BU26</v>
      </c>
    </row>
    <row r="2993" spans="1:19" x14ac:dyDescent="0.3">
      <c r="A2993" t="s">
        <v>110</v>
      </c>
      <c r="B2993" s="16">
        <v>45839</v>
      </c>
      <c r="C2993" t="s">
        <v>2</v>
      </c>
      <c r="D2993" t="s">
        <v>52</v>
      </c>
      <c r="E2993" t="s">
        <v>183</v>
      </c>
      <c r="F2993">
        <v>1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1</v>
      </c>
      <c r="O2993">
        <v>0</v>
      </c>
      <c r="P2993">
        <f t="shared" si="150"/>
        <v>2025</v>
      </c>
      <c r="Q2993">
        <f t="shared" si="151"/>
        <v>7</v>
      </c>
      <c r="R2993" t="str">
        <f t="shared" si="152"/>
        <v>品销宝-品牌专区</v>
      </c>
      <c r="S2993" t="str">
        <f>_xlfn.XLOOKUP(B2993,全店核心数据_bymonth!A:A,全店核心数据_bymonth!AN:AN)</f>
        <v>BU26</v>
      </c>
    </row>
    <row r="2994" spans="1:19" x14ac:dyDescent="0.3">
      <c r="A2994" t="s">
        <v>110</v>
      </c>
      <c r="B2994" s="16">
        <v>45839</v>
      </c>
      <c r="C2994" t="s">
        <v>2</v>
      </c>
      <c r="D2994" t="s">
        <v>55</v>
      </c>
      <c r="E2994" t="s">
        <v>56</v>
      </c>
      <c r="F2994">
        <v>1583</v>
      </c>
      <c r="G2994">
        <v>1110</v>
      </c>
      <c r="H2994">
        <v>2</v>
      </c>
      <c r="I2994">
        <v>3</v>
      </c>
      <c r="J2994">
        <v>0</v>
      </c>
      <c r="K2994">
        <v>0</v>
      </c>
      <c r="L2994">
        <v>0</v>
      </c>
      <c r="M2994">
        <v>0</v>
      </c>
      <c r="N2994">
        <v>19</v>
      </c>
      <c r="O2994">
        <v>1193</v>
      </c>
      <c r="P2994">
        <f t="shared" si="150"/>
        <v>2025</v>
      </c>
      <c r="Q2994">
        <f t="shared" si="151"/>
        <v>7</v>
      </c>
      <c r="R2994" t="str">
        <f t="shared" si="152"/>
        <v>超级短视频</v>
      </c>
      <c r="S2994" t="str">
        <f>_xlfn.XLOOKUP(B2994,全店核心数据_bymonth!A:A,全店核心数据_bymonth!AN:AN)</f>
        <v>BU26</v>
      </c>
    </row>
    <row r="2995" spans="1:19" x14ac:dyDescent="0.3">
      <c r="A2995" t="s">
        <v>110</v>
      </c>
      <c r="B2995" s="16">
        <v>45839</v>
      </c>
      <c r="C2995" t="s">
        <v>2</v>
      </c>
      <c r="D2995" t="s">
        <v>55</v>
      </c>
      <c r="E2995" t="s">
        <v>54</v>
      </c>
      <c r="F2995">
        <v>2800</v>
      </c>
      <c r="G2995">
        <v>2101</v>
      </c>
      <c r="H2995">
        <v>13</v>
      </c>
      <c r="I2995">
        <v>3</v>
      </c>
      <c r="J2995">
        <v>0</v>
      </c>
      <c r="K2995">
        <v>0</v>
      </c>
      <c r="L2995">
        <v>0</v>
      </c>
      <c r="M2995">
        <v>0</v>
      </c>
      <c r="N2995">
        <v>67</v>
      </c>
      <c r="O2995">
        <v>735</v>
      </c>
      <c r="P2995">
        <f t="shared" si="150"/>
        <v>2025</v>
      </c>
      <c r="Q2995">
        <f t="shared" si="151"/>
        <v>7</v>
      </c>
      <c r="R2995" t="str">
        <f t="shared" si="152"/>
        <v>超级直播</v>
      </c>
      <c r="S2995" t="str">
        <f>_xlfn.XLOOKUP(B2995,全店核心数据_bymonth!A:A,全店核心数据_bymonth!AN:AN)</f>
        <v>BU26</v>
      </c>
    </row>
    <row r="2996" spans="1:19" x14ac:dyDescent="0.3">
      <c r="A2996" t="s">
        <v>110</v>
      </c>
      <c r="B2996" s="16">
        <v>45839</v>
      </c>
      <c r="C2996" t="s">
        <v>3</v>
      </c>
      <c r="D2996" t="s">
        <v>143</v>
      </c>
      <c r="E2996" t="s">
        <v>224</v>
      </c>
      <c r="F2996">
        <v>2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2</v>
      </c>
      <c r="P2996">
        <f t="shared" si="150"/>
        <v>2025</v>
      </c>
      <c r="Q2996">
        <f t="shared" si="151"/>
        <v>7</v>
      </c>
      <c r="R2996" t="str">
        <f t="shared" si="152"/>
        <v>淘特自主访问</v>
      </c>
      <c r="S2996" t="str">
        <f>_xlfn.XLOOKUP(B2996,全店核心数据_bymonth!A:A,全店核心数据_bymonth!AN:AN)</f>
        <v>BU26</v>
      </c>
    </row>
    <row r="2997" spans="1:19" x14ac:dyDescent="0.3">
      <c r="A2997" t="s">
        <v>110</v>
      </c>
      <c r="B2997" s="16">
        <v>45839</v>
      </c>
      <c r="C2997" t="s">
        <v>3</v>
      </c>
      <c r="D2997" t="s">
        <v>143</v>
      </c>
      <c r="E2997" t="s">
        <v>181</v>
      </c>
      <c r="F2997">
        <v>46</v>
      </c>
      <c r="G2997">
        <v>45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46</v>
      </c>
      <c r="P2997">
        <f t="shared" si="150"/>
        <v>2025</v>
      </c>
      <c r="Q2997">
        <f t="shared" si="151"/>
        <v>7</v>
      </c>
      <c r="R2997" t="str">
        <f t="shared" si="152"/>
        <v>淘特搜索</v>
      </c>
      <c r="S2997" t="str">
        <f>_xlfn.XLOOKUP(B2997,全店核心数据_bymonth!A:A,全店核心数据_bymonth!AN:AN)</f>
        <v>BU26</v>
      </c>
    </row>
    <row r="2998" spans="1:19" x14ac:dyDescent="0.3">
      <c r="A2998" t="s">
        <v>110</v>
      </c>
      <c r="B2998" s="16">
        <v>45839</v>
      </c>
      <c r="C2998" t="s">
        <v>3</v>
      </c>
      <c r="D2998" t="s">
        <v>143</v>
      </c>
      <c r="E2998" t="s">
        <v>180</v>
      </c>
      <c r="F2998">
        <v>21</v>
      </c>
      <c r="G2998">
        <v>13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21</v>
      </c>
      <c r="P2998">
        <f t="shared" si="150"/>
        <v>2025</v>
      </c>
      <c r="Q2998">
        <f t="shared" si="151"/>
        <v>7</v>
      </c>
      <c r="R2998" t="str">
        <f t="shared" si="152"/>
        <v>淘特其他渠道</v>
      </c>
      <c r="S2998" t="str">
        <f>_xlfn.XLOOKUP(B2998,全店核心数据_bymonth!A:A,全店核心数据_bymonth!AN:AN)</f>
        <v>BU26</v>
      </c>
    </row>
    <row r="2999" spans="1:19" x14ac:dyDescent="0.3">
      <c r="A2999" t="s">
        <v>110</v>
      </c>
      <c r="B2999" s="16">
        <v>45839</v>
      </c>
      <c r="C2999" t="s">
        <v>3</v>
      </c>
      <c r="D2999" t="s">
        <v>114</v>
      </c>
      <c r="E2999" t="s">
        <v>159</v>
      </c>
      <c r="F2999">
        <v>9</v>
      </c>
      <c r="G2999">
        <v>6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1</v>
      </c>
      <c r="O2999">
        <v>1</v>
      </c>
      <c r="P2999">
        <f t="shared" si="150"/>
        <v>2025</v>
      </c>
      <c r="Q2999">
        <f t="shared" si="151"/>
        <v>7</v>
      </c>
      <c r="R2999" t="str">
        <f t="shared" si="152"/>
        <v>主会场</v>
      </c>
      <c r="S2999" t="str">
        <f>_xlfn.XLOOKUP(B2999,全店核心数据_bymonth!A:A,全店核心数据_bymonth!AN:AN)</f>
        <v>BU26</v>
      </c>
    </row>
    <row r="3000" spans="1:19" x14ac:dyDescent="0.3">
      <c r="A3000" t="s">
        <v>110</v>
      </c>
      <c r="B3000" s="16">
        <v>45839</v>
      </c>
      <c r="C3000" t="s">
        <v>3</v>
      </c>
      <c r="D3000" t="s">
        <v>128</v>
      </c>
      <c r="E3000" t="s">
        <v>178</v>
      </c>
      <c r="F3000">
        <v>12</v>
      </c>
      <c r="G3000">
        <v>9</v>
      </c>
      <c r="H3000">
        <v>2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2</v>
      </c>
      <c r="O3000">
        <v>11</v>
      </c>
      <c r="P3000">
        <f t="shared" si="150"/>
        <v>2025</v>
      </c>
      <c r="Q3000">
        <f t="shared" si="151"/>
        <v>7</v>
      </c>
      <c r="R3000" t="str">
        <f t="shared" si="152"/>
        <v>手淘搜索-直播</v>
      </c>
      <c r="S3000" t="str">
        <f>_xlfn.XLOOKUP(B3000,全店核心数据_bymonth!A:A,全店核心数据_bymonth!AN:AN)</f>
        <v>BU26</v>
      </c>
    </row>
    <row r="3001" spans="1:19" x14ac:dyDescent="0.3">
      <c r="A3001" t="s">
        <v>110</v>
      </c>
      <c r="B3001" s="16">
        <v>45839</v>
      </c>
      <c r="C3001" t="s">
        <v>3</v>
      </c>
      <c r="D3001" t="s">
        <v>128</v>
      </c>
      <c r="E3001" t="s">
        <v>177</v>
      </c>
      <c r="F3001">
        <v>11664</v>
      </c>
      <c r="G3001">
        <v>10517</v>
      </c>
      <c r="H3001">
        <v>316</v>
      </c>
      <c r="I3001">
        <v>124</v>
      </c>
      <c r="J3001">
        <v>385116</v>
      </c>
      <c r="K3001">
        <v>44</v>
      </c>
      <c r="L3001">
        <v>184351</v>
      </c>
      <c r="M3001">
        <v>30</v>
      </c>
      <c r="N3001">
        <v>6538</v>
      </c>
      <c r="O3001">
        <v>7412</v>
      </c>
      <c r="P3001">
        <f t="shared" si="150"/>
        <v>2025</v>
      </c>
      <c r="Q3001">
        <f t="shared" si="151"/>
        <v>7</v>
      </c>
      <c r="R3001" t="str">
        <f t="shared" si="152"/>
        <v>手淘搜索-商品及其他</v>
      </c>
      <c r="S3001" t="str">
        <f>_xlfn.XLOOKUP(B3001,全店核心数据_bymonth!A:A,全店核心数据_bymonth!AN:AN)</f>
        <v>BU26</v>
      </c>
    </row>
    <row r="3002" spans="1:19" x14ac:dyDescent="0.3">
      <c r="A3002" t="s">
        <v>110</v>
      </c>
      <c r="B3002" s="16">
        <v>45839</v>
      </c>
      <c r="C3002" t="s">
        <v>3</v>
      </c>
      <c r="D3002" t="s">
        <v>127</v>
      </c>
      <c r="E3002" t="s">
        <v>176</v>
      </c>
      <c r="F3002">
        <v>4650</v>
      </c>
      <c r="G3002">
        <v>3940</v>
      </c>
      <c r="H3002">
        <v>1</v>
      </c>
      <c r="I3002">
        <v>2</v>
      </c>
      <c r="J3002">
        <v>6500</v>
      </c>
      <c r="K3002">
        <v>1</v>
      </c>
      <c r="L3002">
        <v>3250</v>
      </c>
      <c r="M3002">
        <v>1</v>
      </c>
      <c r="N3002">
        <v>33</v>
      </c>
      <c r="O3002">
        <v>238</v>
      </c>
      <c r="P3002">
        <f t="shared" si="150"/>
        <v>2025</v>
      </c>
      <c r="Q3002">
        <f t="shared" si="151"/>
        <v>7</v>
      </c>
      <c r="R3002" t="str">
        <f t="shared" si="152"/>
        <v>首页推荐-短视频</v>
      </c>
      <c r="S3002" t="str">
        <f>_xlfn.XLOOKUP(B3002,全店核心数据_bymonth!A:A,全店核心数据_bymonth!AN:AN)</f>
        <v>BU26</v>
      </c>
    </row>
    <row r="3003" spans="1:19" x14ac:dyDescent="0.3">
      <c r="A3003" t="s">
        <v>110</v>
      </c>
      <c r="B3003" s="16">
        <v>45839</v>
      </c>
      <c r="C3003" t="s">
        <v>3</v>
      </c>
      <c r="D3003" t="s">
        <v>127</v>
      </c>
      <c r="E3003" t="s">
        <v>175</v>
      </c>
      <c r="F3003">
        <v>543</v>
      </c>
      <c r="G3003">
        <v>414</v>
      </c>
      <c r="H3003">
        <v>2</v>
      </c>
      <c r="I3003">
        <v>5</v>
      </c>
      <c r="J3003">
        <v>0</v>
      </c>
      <c r="K3003">
        <v>0</v>
      </c>
      <c r="L3003">
        <v>0</v>
      </c>
      <c r="M3003">
        <v>0</v>
      </c>
      <c r="N3003">
        <v>10</v>
      </c>
      <c r="O3003">
        <v>142</v>
      </c>
      <c r="P3003">
        <f t="shared" si="150"/>
        <v>2025</v>
      </c>
      <c r="Q3003">
        <f t="shared" si="151"/>
        <v>7</v>
      </c>
      <c r="R3003" t="str">
        <f t="shared" si="152"/>
        <v>首页推荐-直播</v>
      </c>
      <c r="S3003" t="str">
        <f>_xlfn.XLOOKUP(B3003,全店核心数据_bymonth!A:A,全店核心数据_bymonth!AN:AN)</f>
        <v>BU26</v>
      </c>
    </row>
    <row r="3004" spans="1:19" x14ac:dyDescent="0.3">
      <c r="A3004" t="s">
        <v>110</v>
      </c>
      <c r="B3004" s="16">
        <v>45839</v>
      </c>
      <c r="C3004" t="s">
        <v>3</v>
      </c>
      <c r="D3004" t="s">
        <v>127</v>
      </c>
      <c r="E3004" t="s">
        <v>174</v>
      </c>
      <c r="F3004">
        <v>37675</v>
      </c>
      <c r="G3004">
        <v>34363</v>
      </c>
      <c r="H3004">
        <v>311</v>
      </c>
      <c r="I3004">
        <v>236</v>
      </c>
      <c r="J3004">
        <v>98467</v>
      </c>
      <c r="K3004">
        <v>13</v>
      </c>
      <c r="L3004">
        <v>67967</v>
      </c>
      <c r="M3004">
        <v>11</v>
      </c>
      <c r="N3004">
        <v>1944</v>
      </c>
      <c r="O3004">
        <v>37675</v>
      </c>
      <c r="P3004">
        <f t="shared" si="150"/>
        <v>2025</v>
      </c>
      <c r="Q3004">
        <f t="shared" si="151"/>
        <v>7</v>
      </c>
      <c r="R3004" t="str">
        <f t="shared" si="152"/>
        <v>首页推荐-微详情</v>
      </c>
      <c r="S3004" t="str">
        <f>_xlfn.XLOOKUP(B3004,全店核心数据_bymonth!A:A,全店核心数据_bymonth!AN:AN)</f>
        <v>BU26</v>
      </c>
    </row>
    <row r="3005" spans="1:19" x14ac:dyDescent="0.3">
      <c r="A3005" t="s">
        <v>110</v>
      </c>
      <c r="B3005" s="16">
        <v>45839</v>
      </c>
      <c r="C3005" t="s">
        <v>3</v>
      </c>
      <c r="D3005" t="s">
        <v>127</v>
      </c>
      <c r="E3005" t="s">
        <v>173</v>
      </c>
      <c r="F3005">
        <v>3179</v>
      </c>
      <c r="G3005">
        <v>2888</v>
      </c>
      <c r="H3005">
        <v>8</v>
      </c>
      <c r="I3005">
        <v>5</v>
      </c>
      <c r="J3005">
        <v>2815</v>
      </c>
      <c r="K3005">
        <v>1</v>
      </c>
      <c r="L3005">
        <v>2815</v>
      </c>
      <c r="M3005">
        <v>1</v>
      </c>
      <c r="N3005">
        <v>44</v>
      </c>
      <c r="O3005">
        <v>771</v>
      </c>
      <c r="P3005">
        <f t="shared" si="150"/>
        <v>2025</v>
      </c>
      <c r="Q3005">
        <f t="shared" si="151"/>
        <v>7</v>
      </c>
      <c r="R3005" t="str">
        <f t="shared" si="152"/>
        <v>购后推荐</v>
      </c>
      <c r="S3005" t="str">
        <f>_xlfn.XLOOKUP(B3005,全店核心数据_bymonth!A:A,全店核心数据_bymonth!AN:AN)</f>
        <v>BU26</v>
      </c>
    </row>
    <row r="3006" spans="1:19" x14ac:dyDescent="0.3">
      <c r="A3006" t="s">
        <v>110</v>
      </c>
      <c r="B3006" s="16">
        <v>45839</v>
      </c>
      <c r="C3006" t="s">
        <v>3</v>
      </c>
      <c r="D3006" t="s">
        <v>127</v>
      </c>
      <c r="E3006" t="s">
        <v>172</v>
      </c>
      <c r="F3006">
        <v>373</v>
      </c>
      <c r="G3006">
        <v>315</v>
      </c>
      <c r="H3006">
        <v>6</v>
      </c>
      <c r="I3006">
        <v>1</v>
      </c>
      <c r="J3006">
        <v>0</v>
      </c>
      <c r="K3006">
        <v>0</v>
      </c>
      <c r="L3006">
        <v>0</v>
      </c>
      <c r="M3006">
        <v>0</v>
      </c>
      <c r="N3006">
        <v>10</v>
      </c>
      <c r="O3006">
        <v>92</v>
      </c>
      <c r="P3006">
        <f t="shared" si="150"/>
        <v>2025</v>
      </c>
      <c r="Q3006">
        <f t="shared" si="151"/>
        <v>7</v>
      </c>
      <c r="R3006" t="str">
        <f t="shared" si="152"/>
        <v>购中推荐</v>
      </c>
      <c r="S3006" t="str">
        <f>_xlfn.XLOOKUP(B3006,全店核心数据_bymonth!A:A,全店核心数据_bymonth!AN:AN)</f>
        <v>BU26</v>
      </c>
    </row>
    <row r="3007" spans="1:19" x14ac:dyDescent="0.3">
      <c r="A3007" t="s">
        <v>110</v>
      </c>
      <c r="B3007" s="16">
        <v>45839</v>
      </c>
      <c r="C3007" t="s">
        <v>3</v>
      </c>
      <c r="D3007" t="s">
        <v>127</v>
      </c>
      <c r="E3007" t="s">
        <v>171</v>
      </c>
      <c r="F3007">
        <v>3891</v>
      </c>
      <c r="G3007">
        <v>2874</v>
      </c>
      <c r="H3007">
        <v>63</v>
      </c>
      <c r="I3007">
        <v>45</v>
      </c>
      <c r="J3007">
        <v>119525</v>
      </c>
      <c r="K3007">
        <v>19</v>
      </c>
      <c r="L3007">
        <v>88085</v>
      </c>
      <c r="M3007">
        <v>16</v>
      </c>
      <c r="N3007">
        <v>752</v>
      </c>
      <c r="O3007">
        <v>3317</v>
      </c>
      <c r="P3007">
        <f t="shared" si="150"/>
        <v>2025</v>
      </c>
      <c r="Q3007">
        <f t="shared" si="151"/>
        <v>7</v>
      </c>
      <c r="R3007" t="str">
        <f t="shared" si="152"/>
        <v>其他猜你喜欢</v>
      </c>
      <c r="S3007" t="str">
        <f>_xlfn.XLOOKUP(B3007,全店核心数据_bymonth!A:A,全店核心数据_bymonth!AN:AN)</f>
        <v>BU26</v>
      </c>
    </row>
    <row r="3008" spans="1:19" x14ac:dyDescent="0.3">
      <c r="A3008" t="s">
        <v>110</v>
      </c>
      <c r="B3008" s="16">
        <v>45839</v>
      </c>
      <c r="C3008" t="s">
        <v>3</v>
      </c>
      <c r="D3008" t="s">
        <v>123</v>
      </c>
      <c r="E3008" t="s">
        <v>170</v>
      </c>
      <c r="F3008">
        <v>319</v>
      </c>
      <c r="G3008">
        <v>220</v>
      </c>
      <c r="H3008">
        <v>8</v>
      </c>
      <c r="I3008">
        <v>3</v>
      </c>
      <c r="J3008">
        <v>19535</v>
      </c>
      <c r="K3008">
        <v>2</v>
      </c>
      <c r="L3008">
        <v>14840</v>
      </c>
      <c r="M3008">
        <v>2</v>
      </c>
      <c r="N3008">
        <v>279</v>
      </c>
      <c r="O3008">
        <v>153</v>
      </c>
      <c r="P3008">
        <f t="shared" si="150"/>
        <v>2025</v>
      </c>
      <c r="Q3008">
        <f t="shared" si="151"/>
        <v>7</v>
      </c>
      <c r="R3008" t="str">
        <f t="shared" si="152"/>
        <v>店铺超链</v>
      </c>
      <c r="S3008" t="str">
        <f>_xlfn.XLOOKUP(B3008,全店核心数据_bymonth!A:A,全店核心数据_bymonth!AN:AN)</f>
        <v>BU26</v>
      </c>
    </row>
    <row r="3009" spans="1:19" x14ac:dyDescent="0.3">
      <c r="A3009" t="s">
        <v>110</v>
      </c>
      <c r="B3009" s="16">
        <v>45839</v>
      </c>
      <c r="C3009" t="s">
        <v>3</v>
      </c>
      <c r="D3009" t="s">
        <v>123</v>
      </c>
      <c r="E3009" t="s">
        <v>169</v>
      </c>
      <c r="F3009">
        <v>988</v>
      </c>
      <c r="G3009">
        <v>646</v>
      </c>
      <c r="H3009">
        <v>31</v>
      </c>
      <c r="I3009">
        <v>19</v>
      </c>
      <c r="J3009">
        <v>22645</v>
      </c>
      <c r="K3009">
        <v>3</v>
      </c>
      <c r="L3009">
        <v>10695</v>
      </c>
      <c r="M3009">
        <v>2</v>
      </c>
      <c r="N3009">
        <v>248</v>
      </c>
      <c r="O3009">
        <v>939</v>
      </c>
      <c r="P3009">
        <f t="shared" si="150"/>
        <v>2025</v>
      </c>
      <c r="Q3009">
        <f t="shared" si="151"/>
        <v>7</v>
      </c>
      <c r="R3009" t="str">
        <f t="shared" si="152"/>
        <v>商品详情页头图推荐</v>
      </c>
      <c r="S3009" t="str">
        <f>_xlfn.XLOOKUP(B3009,全店核心数据_bymonth!A:A,全店核心数据_bymonth!AN:AN)</f>
        <v>BU26</v>
      </c>
    </row>
    <row r="3010" spans="1:19" x14ac:dyDescent="0.3">
      <c r="A3010" t="s">
        <v>110</v>
      </c>
      <c r="B3010" s="16">
        <v>45839</v>
      </c>
      <c r="C3010" t="s">
        <v>3</v>
      </c>
      <c r="D3010" t="s">
        <v>117</v>
      </c>
      <c r="E3010" t="s">
        <v>161</v>
      </c>
      <c r="F3010">
        <v>2</v>
      </c>
      <c r="G3010">
        <v>2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1</v>
      </c>
      <c r="O3010">
        <v>2</v>
      </c>
      <c r="P3010">
        <f t="shared" si="150"/>
        <v>2025</v>
      </c>
      <c r="Q3010">
        <f t="shared" si="151"/>
        <v>7</v>
      </c>
      <c r="R3010" t="str">
        <f t="shared" si="152"/>
        <v>其他入口榜单</v>
      </c>
      <c r="S3010" t="str">
        <f>_xlfn.XLOOKUP(B3010,全店核心数据_bymonth!A:A,全店核心数据_bymonth!AN:AN)</f>
        <v>BU26</v>
      </c>
    </row>
    <row r="3011" spans="1:19" x14ac:dyDescent="0.3">
      <c r="A3011" t="s">
        <v>110</v>
      </c>
      <c r="B3011" s="16">
        <v>45870</v>
      </c>
      <c r="C3011" t="s">
        <v>3</v>
      </c>
      <c r="D3011" t="s">
        <v>143</v>
      </c>
      <c r="E3011" t="s">
        <v>197</v>
      </c>
      <c r="F3011">
        <v>1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1</v>
      </c>
      <c r="P3011">
        <f t="shared" ref="P3011:P3037" si="153">YEAR(B3011)</f>
        <v>2025</v>
      </c>
      <c r="Q3011">
        <f t="shared" ref="Q3011:Q3037" si="154">MONTH(B3011)</f>
        <v>8</v>
      </c>
      <c r="R3011" t="str">
        <f t="shared" ref="R3011:R3037" si="155">E3011</f>
        <v>淘特推荐</v>
      </c>
      <c r="S3011" t="str">
        <f>_xlfn.XLOOKUP(B3011,全店核心数据_bymonth!A:A,全店核心数据_bymonth!AN:AN)</f>
        <v>BU26</v>
      </c>
    </row>
    <row r="3012" spans="1:19" x14ac:dyDescent="0.3">
      <c r="A3012" t="s">
        <v>110</v>
      </c>
      <c r="B3012" s="16">
        <v>45870</v>
      </c>
      <c r="C3012" t="s">
        <v>2</v>
      </c>
      <c r="D3012" t="s">
        <v>4</v>
      </c>
      <c r="E3012" t="s">
        <v>43</v>
      </c>
      <c r="F3012">
        <v>2502</v>
      </c>
      <c r="G3012">
        <v>1217</v>
      </c>
      <c r="H3012">
        <v>15</v>
      </c>
      <c r="I3012">
        <v>6</v>
      </c>
      <c r="J3012">
        <v>82680</v>
      </c>
      <c r="K3012">
        <v>15</v>
      </c>
      <c r="L3012">
        <v>77985</v>
      </c>
      <c r="M3012">
        <v>15</v>
      </c>
      <c r="N3012">
        <v>40</v>
      </c>
      <c r="O3012">
        <v>2485</v>
      </c>
      <c r="P3012">
        <f t="shared" si="153"/>
        <v>2025</v>
      </c>
      <c r="Q3012">
        <f t="shared" si="154"/>
        <v>8</v>
      </c>
      <c r="R3012" t="str">
        <f t="shared" si="155"/>
        <v>淘宝客</v>
      </c>
      <c r="S3012" t="str">
        <f>_xlfn.XLOOKUP(B3012,全店核心数据_bymonth!A:A,全店核心数据_bymonth!AN:AN)</f>
        <v>BU26</v>
      </c>
    </row>
    <row r="3013" spans="1:19" x14ac:dyDescent="0.3">
      <c r="A3013" t="s">
        <v>110</v>
      </c>
      <c r="B3013" s="16">
        <v>45870</v>
      </c>
      <c r="C3013" t="s">
        <v>2</v>
      </c>
      <c r="D3013" t="s">
        <v>4</v>
      </c>
      <c r="E3013" t="s">
        <v>41</v>
      </c>
      <c r="F3013">
        <v>18</v>
      </c>
      <c r="G3013">
        <v>9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3</v>
      </c>
      <c r="O3013">
        <v>16</v>
      </c>
      <c r="P3013">
        <f t="shared" si="153"/>
        <v>2025</v>
      </c>
      <c r="Q3013">
        <f t="shared" si="154"/>
        <v>8</v>
      </c>
      <c r="R3013" t="str">
        <f t="shared" si="155"/>
        <v>流量宝</v>
      </c>
      <c r="S3013" t="str">
        <f>_xlfn.XLOOKUP(B3013,全店核心数据_bymonth!A:A,全店核心数据_bymonth!AN:AN)</f>
        <v>BU26</v>
      </c>
    </row>
    <row r="3014" spans="1:19" x14ac:dyDescent="0.3">
      <c r="A3014" t="s">
        <v>110</v>
      </c>
      <c r="B3014" s="16">
        <v>45870</v>
      </c>
      <c r="C3014" t="s">
        <v>2</v>
      </c>
      <c r="D3014" t="s">
        <v>4</v>
      </c>
      <c r="E3014" t="s">
        <v>42</v>
      </c>
      <c r="F3014">
        <v>1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1</v>
      </c>
      <c r="O3014">
        <v>1</v>
      </c>
      <c r="P3014">
        <f t="shared" si="153"/>
        <v>2025</v>
      </c>
      <c r="Q3014">
        <f t="shared" si="154"/>
        <v>8</v>
      </c>
      <c r="R3014" t="str">
        <f t="shared" si="155"/>
        <v>UD效果投放</v>
      </c>
      <c r="S3014" t="str">
        <f>_xlfn.XLOOKUP(B3014,全店核心数据_bymonth!A:A,全店核心数据_bymonth!AN:AN)</f>
        <v>BU26</v>
      </c>
    </row>
    <row r="3015" spans="1:19" x14ac:dyDescent="0.3">
      <c r="A3015" t="s">
        <v>110</v>
      </c>
      <c r="B3015" s="16">
        <v>45870</v>
      </c>
      <c r="C3015" t="s">
        <v>2</v>
      </c>
      <c r="D3015" t="s">
        <v>57</v>
      </c>
      <c r="E3015" t="s">
        <v>63</v>
      </c>
      <c r="F3015">
        <v>13231</v>
      </c>
      <c r="G3015">
        <v>12560</v>
      </c>
      <c r="H3015">
        <v>342</v>
      </c>
      <c r="I3015">
        <v>95</v>
      </c>
      <c r="J3015">
        <v>131426.04999999999</v>
      </c>
      <c r="K3015">
        <v>33</v>
      </c>
      <c r="L3015">
        <v>83751.05</v>
      </c>
      <c r="M3015">
        <v>28</v>
      </c>
      <c r="N3015">
        <v>13209</v>
      </c>
      <c r="O3015">
        <v>6692</v>
      </c>
      <c r="P3015">
        <f t="shared" si="153"/>
        <v>2025</v>
      </c>
      <c r="Q3015">
        <f t="shared" si="154"/>
        <v>8</v>
      </c>
      <c r="R3015" t="str">
        <f t="shared" si="155"/>
        <v>万相台</v>
      </c>
      <c r="S3015" t="str">
        <f>_xlfn.XLOOKUP(B3015,全店核心数据_bymonth!A:A,全店核心数据_bymonth!AN:AN)</f>
        <v>BU26</v>
      </c>
    </row>
    <row r="3016" spans="1:19" x14ac:dyDescent="0.3">
      <c r="A3016" t="s">
        <v>110</v>
      </c>
      <c r="B3016" s="16">
        <v>45870</v>
      </c>
      <c r="C3016" t="s">
        <v>2</v>
      </c>
      <c r="D3016" t="s">
        <v>57</v>
      </c>
      <c r="E3016" t="s">
        <v>65</v>
      </c>
      <c r="F3016">
        <v>54176</v>
      </c>
      <c r="G3016">
        <v>51543</v>
      </c>
      <c r="H3016">
        <v>574</v>
      </c>
      <c r="I3016">
        <v>309</v>
      </c>
      <c r="J3016">
        <v>481620</v>
      </c>
      <c r="K3016">
        <v>82</v>
      </c>
      <c r="L3016">
        <v>262520</v>
      </c>
      <c r="M3016">
        <v>55</v>
      </c>
      <c r="N3016">
        <v>4109</v>
      </c>
      <c r="O3016">
        <v>53535</v>
      </c>
      <c r="P3016">
        <f t="shared" si="153"/>
        <v>2025</v>
      </c>
      <c r="Q3016">
        <f t="shared" si="154"/>
        <v>8</v>
      </c>
      <c r="R3016" t="str">
        <f t="shared" si="155"/>
        <v>直通车</v>
      </c>
      <c r="S3016" t="str">
        <f>_xlfn.XLOOKUP(B3016,全店核心数据_bymonth!A:A,全店核心数据_bymonth!AN:AN)</f>
        <v>BU26</v>
      </c>
    </row>
    <row r="3017" spans="1:19" x14ac:dyDescent="0.3">
      <c r="A3017" t="s">
        <v>110</v>
      </c>
      <c r="B3017" s="16">
        <v>45870</v>
      </c>
      <c r="C3017" t="s">
        <v>2</v>
      </c>
      <c r="D3017" t="s">
        <v>57</v>
      </c>
      <c r="E3017" t="s">
        <v>64</v>
      </c>
      <c r="F3017">
        <v>135826</v>
      </c>
      <c r="G3017">
        <v>127655</v>
      </c>
      <c r="H3017">
        <v>688</v>
      </c>
      <c r="I3017">
        <v>719</v>
      </c>
      <c r="J3017">
        <v>285587</v>
      </c>
      <c r="K3017">
        <v>43</v>
      </c>
      <c r="L3017">
        <v>95327</v>
      </c>
      <c r="M3017">
        <v>21</v>
      </c>
      <c r="N3017">
        <v>3987</v>
      </c>
      <c r="O3017">
        <v>135819</v>
      </c>
      <c r="P3017">
        <f t="shared" si="153"/>
        <v>2025</v>
      </c>
      <c r="Q3017">
        <f t="shared" si="154"/>
        <v>8</v>
      </c>
      <c r="R3017" t="str">
        <f t="shared" si="155"/>
        <v>引力魔方</v>
      </c>
      <c r="S3017" t="str">
        <f>_xlfn.XLOOKUP(B3017,全店核心数据_bymonth!A:A,全店核心数据_bymonth!AN:AN)</f>
        <v>BU26</v>
      </c>
    </row>
    <row r="3018" spans="1:19" x14ac:dyDescent="0.3">
      <c r="A3018" t="s">
        <v>110</v>
      </c>
      <c r="B3018" s="16">
        <v>45870</v>
      </c>
      <c r="C3018" t="s">
        <v>2</v>
      </c>
      <c r="D3018" t="s">
        <v>52</v>
      </c>
      <c r="E3018" t="s">
        <v>58</v>
      </c>
      <c r="F3018">
        <v>2</v>
      </c>
      <c r="G3018">
        <v>2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2</v>
      </c>
      <c r="P3018">
        <f t="shared" si="153"/>
        <v>2025</v>
      </c>
      <c r="Q3018">
        <f t="shared" si="154"/>
        <v>8</v>
      </c>
      <c r="R3018" t="str">
        <f t="shared" si="155"/>
        <v>超级全域通</v>
      </c>
      <c r="S3018" t="str">
        <f>_xlfn.XLOOKUP(B3018,全店核心数据_bymonth!A:A,全店核心数据_bymonth!AN:AN)</f>
        <v>BU26</v>
      </c>
    </row>
    <row r="3019" spans="1:19" x14ac:dyDescent="0.3">
      <c r="A3019" t="s">
        <v>110</v>
      </c>
      <c r="B3019" s="16">
        <v>45870</v>
      </c>
      <c r="C3019" t="s">
        <v>2</v>
      </c>
      <c r="D3019" t="s">
        <v>52</v>
      </c>
      <c r="E3019" t="s">
        <v>183</v>
      </c>
      <c r="F3019">
        <v>2</v>
      </c>
      <c r="G3019">
        <v>2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2</v>
      </c>
      <c r="O3019">
        <v>0</v>
      </c>
      <c r="P3019">
        <f t="shared" si="153"/>
        <v>2025</v>
      </c>
      <c r="Q3019">
        <f t="shared" si="154"/>
        <v>8</v>
      </c>
      <c r="R3019" t="str">
        <f t="shared" si="155"/>
        <v>品销宝-品牌专区</v>
      </c>
      <c r="S3019" t="str">
        <f>_xlfn.XLOOKUP(B3019,全店核心数据_bymonth!A:A,全店核心数据_bymonth!AN:AN)</f>
        <v>BU26</v>
      </c>
    </row>
    <row r="3020" spans="1:19" x14ac:dyDescent="0.3">
      <c r="A3020" t="s">
        <v>110</v>
      </c>
      <c r="B3020" s="16">
        <v>45870</v>
      </c>
      <c r="C3020" t="s">
        <v>2</v>
      </c>
      <c r="D3020" t="s">
        <v>52</v>
      </c>
      <c r="E3020" t="s">
        <v>51</v>
      </c>
      <c r="F3020">
        <v>2</v>
      </c>
      <c r="G3020">
        <v>1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2</v>
      </c>
      <c r="P3020">
        <f t="shared" si="153"/>
        <v>2025</v>
      </c>
      <c r="Q3020">
        <f t="shared" si="154"/>
        <v>8</v>
      </c>
      <c r="R3020" t="str">
        <f t="shared" si="155"/>
        <v>品牌定制</v>
      </c>
      <c r="S3020" t="str">
        <f>_xlfn.XLOOKUP(B3020,全店核心数据_bymonth!A:A,全店核心数据_bymonth!AN:AN)</f>
        <v>BU26</v>
      </c>
    </row>
    <row r="3021" spans="1:19" x14ac:dyDescent="0.3">
      <c r="A3021" t="s">
        <v>110</v>
      </c>
      <c r="B3021" s="16">
        <v>45870</v>
      </c>
      <c r="C3021" t="s">
        <v>2</v>
      </c>
      <c r="D3021" t="s">
        <v>55</v>
      </c>
      <c r="E3021" t="s">
        <v>56</v>
      </c>
      <c r="F3021">
        <v>3932</v>
      </c>
      <c r="G3021">
        <v>3406</v>
      </c>
      <c r="H3021">
        <v>8</v>
      </c>
      <c r="I3021">
        <v>3</v>
      </c>
      <c r="J3021">
        <v>22245</v>
      </c>
      <c r="K3021">
        <v>3</v>
      </c>
      <c r="L3021">
        <v>2995</v>
      </c>
      <c r="M3021">
        <v>1</v>
      </c>
      <c r="N3021">
        <v>89</v>
      </c>
      <c r="O3021">
        <v>3166</v>
      </c>
      <c r="P3021">
        <f t="shared" si="153"/>
        <v>2025</v>
      </c>
      <c r="Q3021">
        <f t="shared" si="154"/>
        <v>8</v>
      </c>
      <c r="R3021" t="str">
        <f t="shared" si="155"/>
        <v>超级短视频</v>
      </c>
      <c r="S3021" t="str">
        <f>_xlfn.XLOOKUP(B3021,全店核心数据_bymonth!A:A,全店核心数据_bymonth!AN:AN)</f>
        <v>BU26</v>
      </c>
    </row>
    <row r="3022" spans="1:19" x14ac:dyDescent="0.3">
      <c r="A3022" t="s">
        <v>110</v>
      </c>
      <c r="B3022" s="16">
        <v>45870</v>
      </c>
      <c r="C3022" t="s">
        <v>2</v>
      </c>
      <c r="D3022" t="s">
        <v>55</v>
      </c>
      <c r="E3022" t="s">
        <v>54</v>
      </c>
      <c r="F3022">
        <v>2999</v>
      </c>
      <c r="G3022">
        <v>2334</v>
      </c>
      <c r="H3022">
        <v>27</v>
      </c>
      <c r="I3022">
        <v>4</v>
      </c>
      <c r="J3022">
        <v>0</v>
      </c>
      <c r="K3022">
        <v>0</v>
      </c>
      <c r="L3022">
        <v>0</v>
      </c>
      <c r="M3022">
        <v>0</v>
      </c>
      <c r="N3022">
        <v>83</v>
      </c>
      <c r="O3022">
        <v>813</v>
      </c>
      <c r="P3022">
        <f t="shared" si="153"/>
        <v>2025</v>
      </c>
      <c r="Q3022">
        <f t="shared" si="154"/>
        <v>8</v>
      </c>
      <c r="R3022" t="str">
        <f t="shared" si="155"/>
        <v>超级直播</v>
      </c>
      <c r="S3022" t="str">
        <f>_xlfn.XLOOKUP(B3022,全店核心数据_bymonth!A:A,全店核心数据_bymonth!AN:AN)</f>
        <v>BU26</v>
      </c>
    </row>
    <row r="3023" spans="1:19" x14ac:dyDescent="0.3">
      <c r="A3023" t="s">
        <v>110</v>
      </c>
      <c r="B3023" s="16">
        <v>45870</v>
      </c>
      <c r="C3023" t="s">
        <v>2</v>
      </c>
      <c r="D3023" t="s">
        <v>55</v>
      </c>
      <c r="E3023" t="s">
        <v>66</v>
      </c>
      <c r="F3023">
        <v>1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1</v>
      </c>
      <c r="P3023">
        <f t="shared" si="153"/>
        <v>2025</v>
      </c>
      <c r="Q3023">
        <f t="shared" si="154"/>
        <v>8</v>
      </c>
      <c r="R3023" t="str">
        <f t="shared" si="155"/>
        <v>短直联动</v>
      </c>
      <c r="S3023" t="str">
        <f>_xlfn.XLOOKUP(B3023,全店核心数据_bymonth!A:A,全店核心数据_bymonth!AN:AN)</f>
        <v>BU26</v>
      </c>
    </row>
    <row r="3024" spans="1:19" x14ac:dyDescent="0.3">
      <c r="A3024" t="s">
        <v>110</v>
      </c>
      <c r="B3024" s="16">
        <v>45870</v>
      </c>
      <c r="C3024" t="s">
        <v>3</v>
      </c>
      <c r="D3024" t="s">
        <v>143</v>
      </c>
      <c r="E3024" t="s">
        <v>181</v>
      </c>
      <c r="F3024">
        <v>2</v>
      </c>
      <c r="G3024">
        <v>2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2</v>
      </c>
      <c r="P3024">
        <f t="shared" si="153"/>
        <v>2025</v>
      </c>
      <c r="Q3024">
        <f t="shared" si="154"/>
        <v>8</v>
      </c>
      <c r="R3024" t="str">
        <f t="shared" si="155"/>
        <v>淘特搜索</v>
      </c>
      <c r="S3024" t="str">
        <f>_xlfn.XLOOKUP(B3024,全店核心数据_bymonth!A:A,全店核心数据_bymonth!AN:AN)</f>
        <v>BU26</v>
      </c>
    </row>
    <row r="3025" spans="1:19" x14ac:dyDescent="0.3">
      <c r="A3025" t="s">
        <v>110</v>
      </c>
      <c r="B3025" s="16">
        <v>45870</v>
      </c>
      <c r="C3025" t="s">
        <v>3</v>
      </c>
      <c r="D3025" t="s">
        <v>117</v>
      </c>
      <c r="E3025" t="s">
        <v>161</v>
      </c>
      <c r="F3025">
        <v>5</v>
      </c>
      <c r="G3025">
        <v>4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5</v>
      </c>
      <c r="P3025">
        <f t="shared" si="153"/>
        <v>2025</v>
      </c>
      <c r="Q3025">
        <f t="shared" si="154"/>
        <v>8</v>
      </c>
      <c r="R3025" t="str">
        <f t="shared" si="155"/>
        <v>其他入口榜单</v>
      </c>
      <c r="S3025" t="str">
        <f>_xlfn.XLOOKUP(B3025,全店核心数据_bymonth!A:A,全店核心数据_bymonth!AN:AN)</f>
        <v>BU26</v>
      </c>
    </row>
    <row r="3026" spans="1:19" x14ac:dyDescent="0.3">
      <c r="A3026" t="s">
        <v>110</v>
      </c>
      <c r="B3026" s="16">
        <v>45870</v>
      </c>
      <c r="C3026" t="s">
        <v>3</v>
      </c>
      <c r="D3026" t="s">
        <v>143</v>
      </c>
      <c r="E3026" t="s">
        <v>180</v>
      </c>
      <c r="F3026">
        <v>9</v>
      </c>
      <c r="G3026">
        <v>3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1</v>
      </c>
      <c r="O3026">
        <v>9</v>
      </c>
      <c r="P3026">
        <f t="shared" si="153"/>
        <v>2025</v>
      </c>
      <c r="Q3026">
        <f t="shared" si="154"/>
        <v>8</v>
      </c>
      <c r="R3026" t="str">
        <f t="shared" si="155"/>
        <v>淘特其他渠道</v>
      </c>
      <c r="S3026" t="str">
        <f>_xlfn.XLOOKUP(B3026,全店核心数据_bymonth!A:A,全店核心数据_bymonth!AN:AN)</f>
        <v>BU26</v>
      </c>
    </row>
    <row r="3027" spans="1:19" x14ac:dyDescent="0.3">
      <c r="A3027" t="s">
        <v>110</v>
      </c>
      <c r="B3027" s="16">
        <v>45870</v>
      </c>
      <c r="C3027" t="s">
        <v>3</v>
      </c>
      <c r="D3027" t="s">
        <v>128</v>
      </c>
      <c r="E3027" t="s">
        <v>179</v>
      </c>
      <c r="F3027">
        <v>259</v>
      </c>
      <c r="G3027">
        <v>182</v>
      </c>
      <c r="H3027">
        <v>18</v>
      </c>
      <c r="I3027">
        <v>2</v>
      </c>
      <c r="J3027">
        <v>5970</v>
      </c>
      <c r="K3027">
        <v>2</v>
      </c>
      <c r="L3027">
        <v>3980</v>
      </c>
      <c r="M3027">
        <v>2</v>
      </c>
      <c r="N3027">
        <v>59</v>
      </c>
      <c r="O3027">
        <v>245</v>
      </c>
      <c r="P3027">
        <f t="shared" si="153"/>
        <v>2025</v>
      </c>
      <c r="Q3027">
        <f t="shared" si="154"/>
        <v>8</v>
      </c>
      <c r="R3027" t="str">
        <f t="shared" si="155"/>
        <v>手淘搜索-短视频</v>
      </c>
      <c r="S3027" t="str">
        <f>_xlfn.XLOOKUP(B3027,全店核心数据_bymonth!A:A,全店核心数据_bymonth!AN:AN)</f>
        <v>BU26</v>
      </c>
    </row>
    <row r="3028" spans="1:19" x14ac:dyDescent="0.3">
      <c r="A3028" t="s">
        <v>110</v>
      </c>
      <c r="B3028" s="16">
        <v>45870</v>
      </c>
      <c r="C3028" t="s">
        <v>3</v>
      </c>
      <c r="D3028" t="s">
        <v>128</v>
      </c>
      <c r="E3028" t="s">
        <v>178</v>
      </c>
      <c r="F3028">
        <v>19</v>
      </c>
      <c r="G3028">
        <v>11</v>
      </c>
      <c r="H3028">
        <v>1</v>
      </c>
      <c r="I3028">
        <v>0</v>
      </c>
      <c r="J3028">
        <v>2795</v>
      </c>
      <c r="K3028">
        <v>1</v>
      </c>
      <c r="L3028">
        <v>2795</v>
      </c>
      <c r="M3028">
        <v>1</v>
      </c>
      <c r="N3028">
        <v>5</v>
      </c>
      <c r="O3028">
        <v>14</v>
      </c>
      <c r="P3028">
        <f t="shared" si="153"/>
        <v>2025</v>
      </c>
      <c r="Q3028">
        <f t="shared" si="154"/>
        <v>8</v>
      </c>
      <c r="R3028" t="str">
        <f t="shared" si="155"/>
        <v>手淘搜索-直播</v>
      </c>
      <c r="S3028" t="str">
        <f>_xlfn.XLOOKUP(B3028,全店核心数据_bymonth!A:A,全店核心数据_bymonth!AN:AN)</f>
        <v>BU26</v>
      </c>
    </row>
    <row r="3029" spans="1:19" x14ac:dyDescent="0.3">
      <c r="A3029" t="s">
        <v>110</v>
      </c>
      <c r="B3029" s="16">
        <v>45870</v>
      </c>
      <c r="C3029" t="s">
        <v>3</v>
      </c>
      <c r="D3029" t="s">
        <v>128</v>
      </c>
      <c r="E3029" t="s">
        <v>177</v>
      </c>
      <c r="F3029">
        <v>24917</v>
      </c>
      <c r="G3029">
        <v>23515</v>
      </c>
      <c r="H3029">
        <v>503</v>
      </c>
      <c r="I3029">
        <v>223</v>
      </c>
      <c r="J3029">
        <v>445951</v>
      </c>
      <c r="K3029">
        <v>92</v>
      </c>
      <c r="L3029">
        <v>298741</v>
      </c>
      <c r="M3029">
        <v>75</v>
      </c>
      <c r="N3029">
        <v>8513</v>
      </c>
      <c r="O3029">
        <v>19813</v>
      </c>
      <c r="P3029">
        <f t="shared" si="153"/>
        <v>2025</v>
      </c>
      <c r="Q3029">
        <f t="shared" si="154"/>
        <v>8</v>
      </c>
      <c r="R3029" t="str">
        <f t="shared" si="155"/>
        <v>手淘搜索-商品及其他</v>
      </c>
      <c r="S3029" t="str">
        <f>_xlfn.XLOOKUP(B3029,全店核心数据_bymonth!A:A,全店核心数据_bymonth!AN:AN)</f>
        <v>BU26</v>
      </c>
    </row>
    <row r="3030" spans="1:19" x14ac:dyDescent="0.3">
      <c r="A3030" t="s">
        <v>110</v>
      </c>
      <c r="B3030" s="16">
        <v>45870</v>
      </c>
      <c r="C3030" t="s">
        <v>3</v>
      </c>
      <c r="D3030" t="s">
        <v>127</v>
      </c>
      <c r="E3030" t="s">
        <v>176</v>
      </c>
      <c r="F3030">
        <v>3527</v>
      </c>
      <c r="G3030">
        <v>2911</v>
      </c>
      <c r="H3030">
        <v>7</v>
      </c>
      <c r="I3030">
        <v>4</v>
      </c>
      <c r="J3030">
        <v>2515</v>
      </c>
      <c r="K3030">
        <v>1</v>
      </c>
      <c r="L3030">
        <v>2515</v>
      </c>
      <c r="M3030">
        <v>1</v>
      </c>
      <c r="N3030">
        <v>40</v>
      </c>
      <c r="O3030">
        <v>240</v>
      </c>
      <c r="P3030">
        <f t="shared" si="153"/>
        <v>2025</v>
      </c>
      <c r="Q3030">
        <f t="shared" si="154"/>
        <v>8</v>
      </c>
      <c r="R3030" t="str">
        <f t="shared" si="155"/>
        <v>首页推荐-短视频</v>
      </c>
      <c r="S3030" t="str">
        <f>_xlfn.XLOOKUP(B3030,全店核心数据_bymonth!A:A,全店核心数据_bymonth!AN:AN)</f>
        <v>BU26</v>
      </c>
    </row>
    <row r="3031" spans="1:19" x14ac:dyDescent="0.3">
      <c r="A3031" t="s">
        <v>110</v>
      </c>
      <c r="B3031" s="16">
        <v>45870</v>
      </c>
      <c r="C3031" t="s">
        <v>3</v>
      </c>
      <c r="D3031" t="s">
        <v>127</v>
      </c>
      <c r="E3031" t="s">
        <v>175</v>
      </c>
      <c r="F3031">
        <v>575</v>
      </c>
      <c r="G3031">
        <v>421</v>
      </c>
      <c r="H3031">
        <v>10</v>
      </c>
      <c r="I3031">
        <v>3</v>
      </c>
      <c r="J3031">
        <v>0</v>
      </c>
      <c r="K3031">
        <v>0</v>
      </c>
      <c r="L3031">
        <v>0</v>
      </c>
      <c r="M3031">
        <v>0</v>
      </c>
      <c r="N3031">
        <v>10</v>
      </c>
      <c r="O3031">
        <v>213</v>
      </c>
      <c r="P3031">
        <f t="shared" si="153"/>
        <v>2025</v>
      </c>
      <c r="Q3031">
        <f t="shared" si="154"/>
        <v>8</v>
      </c>
      <c r="R3031" t="str">
        <f t="shared" si="155"/>
        <v>首页推荐-直播</v>
      </c>
      <c r="S3031" t="str">
        <f>_xlfn.XLOOKUP(B3031,全店核心数据_bymonth!A:A,全店核心数据_bymonth!AN:AN)</f>
        <v>BU26</v>
      </c>
    </row>
    <row r="3032" spans="1:19" x14ac:dyDescent="0.3">
      <c r="A3032" t="s">
        <v>110</v>
      </c>
      <c r="B3032" s="16">
        <v>45870</v>
      </c>
      <c r="C3032" t="s">
        <v>3</v>
      </c>
      <c r="D3032" t="s">
        <v>127</v>
      </c>
      <c r="E3032" t="s">
        <v>174</v>
      </c>
      <c r="F3032">
        <v>27147</v>
      </c>
      <c r="G3032">
        <v>22938</v>
      </c>
      <c r="H3032">
        <v>369</v>
      </c>
      <c r="I3032">
        <v>187</v>
      </c>
      <c r="J3032">
        <v>158993.79</v>
      </c>
      <c r="K3032">
        <v>32</v>
      </c>
      <c r="L3032">
        <v>85543.79</v>
      </c>
      <c r="M3032">
        <v>20</v>
      </c>
      <c r="N3032">
        <v>1468</v>
      </c>
      <c r="O3032">
        <v>27147</v>
      </c>
      <c r="P3032">
        <f t="shared" si="153"/>
        <v>2025</v>
      </c>
      <c r="Q3032">
        <f t="shared" si="154"/>
        <v>8</v>
      </c>
      <c r="R3032" t="str">
        <f t="shared" si="155"/>
        <v>首页推荐-微详情</v>
      </c>
      <c r="S3032" t="str">
        <f>_xlfn.XLOOKUP(B3032,全店核心数据_bymonth!A:A,全店核心数据_bymonth!AN:AN)</f>
        <v>BU26</v>
      </c>
    </row>
    <row r="3033" spans="1:19" x14ac:dyDescent="0.3">
      <c r="A3033" t="s">
        <v>110</v>
      </c>
      <c r="B3033" s="16">
        <v>45870</v>
      </c>
      <c r="C3033" t="s">
        <v>3</v>
      </c>
      <c r="D3033" t="s">
        <v>127</v>
      </c>
      <c r="E3033" t="s">
        <v>173</v>
      </c>
      <c r="F3033">
        <v>2143</v>
      </c>
      <c r="G3033">
        <v>1562</v>
      </c>
      <c r="H3033">
        <v>52</v>
      </c>
      <c r="I3033">
        <v>13</v>
      </c>
      <c r="J3033">
        <v>32398.79</v>
      </c>
      <c r="K3033">
        <v>6</v>
      </c>
      <c r="L3033">
        <v>27703.79</v>
      </c>
      <c r="M3033">
        <v>5</v>
      </c>
      <c r="N3033">
        <v>97</v>
      </c>
      <c r="O3033">
        <v>1281</v>
      </c>
      <c r="P3033">
        <f t="shared" si="153"/>
        <v>2025</v>
      </c>
      <c r="Q3033">
        <f t="shared" si="154"/>
        <v>8</v>
      </c>
      <c r="R3033" t="str">
        <f t="shared" si="155"/>
        <v>购后推荐</v>
      </c>
      <c r="S3033" t="str">
        <f>_xlfn.XLOOKUP(B3033,全店核心数据_bymonth!A:A,全店核心数据_bymonth!AN:AN)</f>
        <v>BU26</v>
      </c>
    </row>
    <row r="3034" spans="1:19" x14ac:dyDescent="0.3">
      <c r="A3034" t="s">
        <v>110</v>
      </c>
      <c r="B3034" s="16">
        <v>45870</v>
      </c>
      <c r="C3034" t="s">
        <v>3</v>
      </c>
      <c r="D3034" t="s">
        <v>127</v>
      </c>
      <c r="E3034" t="s">
        <v>172</v>
      </c>
      <c r="F3034">
        <v>355</v>
      </c>
      <c r="G3034">
        <v>250</v>
      </c>
      <c r="H3034">
        <v>14</v>
      </c>
      <c r="I3034">
        <v>2</v>
      </c>
      <c r="J3034">
        <v>0</v>
      </c>
      <c r="K3034">
        <v>0</v>
      </c>
      <c r="L3034">
        <v>0</v>
      </c>
      <c r="M3034">
        <v>0</v>
      </c>
      <c r="N3034">
        <v>34</v>
      </c>
      <c r="O3034">
        <v>241</v>
      </c>
      <c r="P3034">
        <f t="shared" si="153"/>
        <v>2025</v>
      </c>
      <c r="Q3034">
        <f t="shared" si="154"/>
        <v>8</v>
      </c>
      <c r="R3034" t="str">
        <f t="shared" si="155"/>
        <v>购中推荐</v>
      </c>
      <c r="S3034" t="str">
        <f>_xlfn.XLOOKUP(B3034,全店核心数据_bymonth!A:A,全店核心数据_bymonth!AN:AN)</f>
        <v>BU26</v>
      </c>
    </row>
    <row r="3035" spans="1:19" x14ac:dyDescent="0.3">
      <c r="A3035" t="s">
        <v>110</v>
      </c>
      <c r="B3035" s="16">
        <v>45870</v>
      </c>
      <c r="C3035" t="s">
        <v>3</v>
      </c>
      <c r="D3035" t="s">
        <v>127</v>
      </c>
      <c r="E3035" t="s">
        <v>171</v>
      </c>
      <c r="F3035">
        <v>4601</v>
      </c>
      <c r="G3035">
        <v>3026</v>
      </c>
      <c r="H3035">
        <v>135</v>
      </c>
      <c r="I3035">
        <v>62</v>
      </c>
      <c r="J3035">
        <v>78698.789999999994</v>
      </c>
      <c r="K3035">
        <v>17</v>
      </c>
      <c r="L3035">
        <v>64733.79</v>
      </c>
      <c r="M3035">
        <v>15</v>
      </c>
      <c r="N3035">
        <v>969</v>
      </c>
      <c r="O3035">
        <v>4282</v>
      </c>
      <c r="P3035">
        <f t="shared" si="153"/>
        <v>2025</v>
      </c>
      <c r="Q3035">
        <f t="shared" si="154"/>
        <v>8</v>
      </c>
      <c r="R3035" t="str">
        <f t="shared" si="155"/>
        <v>其他猜你喜欢</v>
      </c>
      <c r="S3035" t="str">
        <f>_xlfn.XLOOKUP(B3035,全店核心数据_bymonth!A:A,全店核心数据_bymonth!AN:AN)</f>
        <v>BU26</v>
      </c>
    </row>
    <row r="3036" spans="1:19" x14ac:dyDescent="0.3">
      <c r="A3036" t="s">
        <v>110</v>
      </c>
      <c r="B3036" s="16">
        <v>45870</v>
      </c>
      <c r="C3036" t="s">
        <v>3</v>
      </c>
      <c r="D3036" t="s">
        <v>123</v>
      </c>
      <c r="E3036" t="s">
        <v>170</v>
      </c>
      <c r="F3036">
        <v>512</v>
      </c>
      <c r="G3036">
        <v>369</v>
      </c>
      <c r="H3036">
        <v>21</v>
      </c>
      <c r="I3036">
        <v>9</v>
      </c>
      <c r="J3036">
        <v>15230</v>
      </c>
      <c r="K3036">
        <v>5</v>
      </c>
      <c r="L3036">
        <v>15230</v>
      </c>
      <c r="M3036">
        <v>5</v>
      </c>
      <c r="N3036">
        <v>438</v>
      </c>
      <c r="O3036">
        <v>249</v>
      </c>
      <c r="P3036">
        <f t="shared" si="153"/>
        <v>2025</v>
      </c>
      <c r="Q3036">
        <f t="shared" si="154"/>
        <v>8</v>
      </c>
      <c r="R3036" t="str">
        <f t="shared" si="155"/>
        <v>店铺超链</v>
      </c>
      <c r="S3036" t="str">
        <f>_xlfn.XLOOKUP(B3036,全店核心数据_bymonth!A:A,全店核心数据_bymonth!AN:AN)</f>
        <v>BU26</v>
      </c>
    </row>
    <row r="3037" spans="1:19" x14ac:dyDescent="0.3">
      <c r="A3037" t="s">
        <v>110</v>
      </c>
      <c r="B3037" s="16">
        <v>45870</v>
      </c>
      <c r="C3037" t="s">
        <v>3</v>
      </c>
      <c r="D3037" t="s">
        <v>123</v>
      </c>
      <c r="E3037" t="s">
        <v>169</v>
      </c>
      <c r="F3037">
        <v>1</v>
      </c>
      <c r="G3037">
        <v>1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1</v>
      </c>
      <c r="P3037">
        <f t="shared" si="153"/>
        <v>2025</v>
      </c>
      <c r="Q3037">
        <f t="shared" si="154"/>
        <v>8</v>
      </c>
      <c r="R3037" t="str">
        <f t="shared" si="155"/>
        <v>商品详情页头图推荐</v>
      </c>
      <c r="S3037" t="str">
        <f>_xlfn.XLOOKUP(B3037,全店核心数据_bymonth!A:A,全店核心数据_bymonth!AN:AN)</f>
        <v>BU26</v>
      </c>
    </row>
    <row r="3038" spans="1:19" x14ac:dyDescent="0.3">
      <c r="A3038" t="s">
        <v>110</v>
      </c>
      <c r="B3038" s="16">
        <v>45901</v>
      </c>
      <c r="C3038" t="s">
        <v>3</v>
      </c>
      <c r="D3038" t="s">
        <v>143</v>
      </c>
      <c r="E3038" t="s">
        <v>181</v>
      </c>
      <c r="F3038">
        <v>3</v>
      </c>
      <c r="G3038">
        <v>3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3</v>
      </c>
      <c r="P3038">
        <f t="shared" ref="P3038:P3064" si="156">YEAR(B3038)</f>
        <v>2025</v>
      </c>
      <c r="Q3038">
        <f t="shared" ref="Q3038:Q3064" si="157">MONTH(B3038)</f>
        <v>9</v>
      </c>
      <c r="R3038" t="str">
        <f t="shared" ref="R3038:R3064" si="158">E3038</f>
        <v>淘特搜索</v>
      </c>
      <c r="S3038" t="str">
        <f>_xlfn.XLOOKUP(B3038,全店核心数据_bymonth!A:A,全店核心数据_bymonth!AN:AN)</f>
        <v>BU26</v>
      </c>
    </row>
    <row r="3039" spans="1:19" x14ac:dyDescent="0.3">
      <c r="A3039" t="s">
        <v>110</v>
      </c>
      <c r="B3039" s="16">
        <v>45901</v>
      </c>
      <c r="C3039" t="s">
        <v>2</v>
      </c>
      <c r="D3039" t="s">
        <v>4</v>
      </c>
      <c r="E3039" t="s">
        <v>43</v>
      </c>
      <c r="F3039">
        <v>2436</v>
      </c>
      <c r="G3039">
        <v>1139</v>
      </c>
      <c r="H3039">
        <v>11</v>
      </c>
      <c r="I3039">
        <v>7</v>
      </c>
      <c r="J3039">
        <v>37597</v>
      </c>
      <c r="K3039">
        <v>7</v>
      </c>
      <c r="L3039">
        <v>22257</v>
      </c>
      <c r="M3039">
        <v>5</v>
      </c>
      <c r="N3039">
        <v>56</v>
      </c>
      <c r="O3039">
        <v>2406</v>
      </c>
      <c r="P3039">
        <f t="shared" si="156"/>
        <v>2025</v>
      </c>
      <c r="Q3039">
        <f t="shared" si="157"/>
        <v>9</v>
      </c>
      <c r="R3039" t="str">
        <f t="shared" si="158"/>
        <v>淘宝客</v>
      </c>
      <c r="S3039" t="str">
        <f>_xlfn.XLOOKUP(B3039,全店核心数据_bymonth!A:A,全店核心数据_bymonth!AN:AN)</f>
        <v>BU26</v>
      </c>
    </row>
    <row r="3040" spans="1:19" x14ac:dyDescent="0.3">
      <c r="A3040" t="s">
        <v>110</v>
      </c>
      <c r="B3040" s="16">
        <v>45901</v>
      </c>
      <c r="C3040" t="s">
        <v>2</v>
      </c>
      <c r="D3040" t="s">
        <v>4</v>
      </c>
      <c r="E3040" t="s">
        <v>41</v>
      </c>
      <c r="F3040">
        <v>15</v>
      </c>
      <c r="G3040">
        <v>13</v>
      </c>
      <c r="H3040">
        <v>0</v>
      </c>
      <c r="I3040">
        <v>1</v>
      </c>
      <c r="J3040">
        <v>0</v>
      </c>
      <c r="K3040">
        <v>0</v>
      </c>
      <c r="L3040">
        <v>0</v>
      </c>
      <c r="M3040">
        <v>0</v>
      </c>
      <c r="N3040">
        <v>3</v>
      </c>
      <c r="O3040">
        <v>14</v>
      </c>
      <c r="P3040">
        <f t="shared" si="156"/>
        <v>2025</v>
      </c>
      <c r="Q3040">
        <f t="shared" si="157"/>
        <v>9</v>
      </c>
      <c r="R3040" t="str">
        <f t="shared" si="158"/>
        <v>流量宝</v>
      </c>
      <c r="S3040" t="str">
        <f>_xlfn.XLOOKUP(B3040,全店核心数据_bymonth!A:A,全店核心数据_bymonth!AN:AN)</f>
        <v>BU26</v>
      </c>
    </row>
    <row r="3041" spans="1:19" x14ac:dyDescent="0.3">
      <c r="A3041" t="s">
        <v>110</v>
      </c>
      <c r="B3041" s="16">
        <v>45901</v>
      </c>
      <c r="C3041" t="s">
        <v>2</v>
      </c>
      <c r="D3041" t="s">
        <v>4</v>
      </c>
      <c r="E3041" t="s">
        <v>42</v>
      </c>
      <c r="F3041">
        <v>1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1</v>
      </c>
      <c r="P3041">
        <f t="shared" si="156"/>
        <v>2025</v>
      </c>
      <c r="Q3041">
        <f t="shared" si="157"/>
        <v>9</v>
      </c>
      <c r="R3041" t="str">
        <f t="shared" si="158"/>
        <v>UD效果投放</v>
      </c>
      <c r="S3041" t="str">
        <f>_xlfn.XLOOKUP(B3041,全店核心数据_bymonth!A:A,全店核心数据_bymonth!AN:AN)</f>
        <v>BU26</v>
      </c>
    </row>
    <row r="3042" spans="1:19" x14ac:dyDescent="0.3">
      <c r="A3042" t="s">
        <v>110</v>
      </c>
      <c r="B3042" s="16">
        <v>45901</v>
      </c>
      <c r="C3042" t="s">
        <v>2</v>
      </c>
      <c r="D3042" t="s">
        <v>57</v>
      </c>
      <c r="E3042" t="s">
        <v>63</v>
      </c>
      <c r="F3042">
        <v>14634</v>
      </c>
      <c r="G3042">
        <v>13836</v>
      </c>
      <c r="H3042">
        <v>269</v>
      </c>
      <c r="I3042">
        <v>101</v>
      </c>
      <c r="J3042">
        <v>328362</v>
      </c>
      <c r="K3042">
        <v>42</v>
      </c>
      <c r="L3042">
        <v>271560</v>
      </c>
      <c r="M3042">
        <v>35</v>
      </c>
      <c r="N3042">
        <v>14576</v>
      </c>
      <c r="O3042">
        <v>6193</v>
      </c>
      <c r="P3042">
        <f t="shared" si="156"/>
        <v>2025</v>
      </c>
      <c r="Q3042">
        <f t="shared" si="157"/>
        <v>9</v>
      </c>
      <c r="R3042" t="str">
        <f t="shared" si="158"/>
        <v>万相台</v>
      </c>
      <c r="S3042" t="str">
        <f>_xlfn.XLOOKUP(B3042,全店核心数据_bymonth!A:A,全店核心数据_bymonth!AN:AN)</f>
        <v>BU26</v>
      </c>
    </row>
    <row r="3043" spans="1:19" x14ac:dyDescent="0.3">
      <c r="A3043" t="s">
        <v>110</v>
      </c>
      <c r="B3043" s="16">
        <v>45901</v>
      </c>
      <c r="C3043" t="s">
        <v>2</v>
      </c>
      <c r="D3043" t="s">
        <v>57</v>
      </c>
      <c r="E3043" t="s">
        <v>65</v>
      </c>
      <c r="F3043">
        <v>59373</v>
      </c>
      <c r="G3043">
        <v>56305</v>
      </c>
      <c r="H3043">
        <v>509</v>
      </c>
      <c r="I3043">
        <v>344</v>
      </c>
      <c r="J3043">
        <v>642706</v>
      </c>
      <c r="K3043">
        <v>67</v>
      </c>
      <c r="L3043">
        <v>151011</v>
      </c>
      <c r="M3043">
        <v>31</v>
      </c>
      <c r="N3043">
        <v>4355</v>
      </c>
      <c r="O3043">
        <v>58752</v>
      </c>
      <c r="P3043">
        <f t="shared" si="156"/>
        <v>2025</v>
      </c>
      <c r="Q3043">
        <f t="shared" si="157"/>
        <v>9</v>
      </c>
      <c r="R3043" t="str">
        <f t="shared" si="158"/>
        <v>直通车</v>
      </c>
      <c r="S3043" t="str">
        <f>_xlfn.XLOOKUP(B3043,全店核心数据_bymonth!A:A,全店核心数据_bymonth!AN:AN)</f>
        <v>BU26</v>
      </c>
    </row>
    <row r="3044" spans="1:19" x14ac:dyDescent="0.3">
      <c r="A3044" t="s">
        <v>110</v>
      </c>
      <c r="B3044" s="16">
        <v>45901</v>
      </c>
      <c r="C3044" t="s">
        <v>2</v>
      </c>
      <c r="D3044" t="s">
        <v>57</v>
      </c>
      <c r="E3044" t="s">
        <v>64</v>
      </c>
      <c r="F3044">
        <v>169900</v>
      </c>
      <c r="G3044">
        <v>161831</v>
      </c>
      <c r="H3044">
        <v>573</v>
      </c>
      <c r="I3044">
        <v>663</v>
      </c>
      <c r="J3044">
        <v>309235</v>
      </c>
      <c r="K3044">
        <v>28</v>
      </c>
      <c r="L3044">
        <v>120240</v>
      </c>
      <c r="M3044">
        <v>13</v>
      </c>
      <c r="N3044">
        <v>3449</v>
      </c>
      <c r="O3044">
        <v>169598</v>
      </c>
      <c r="P3044">
        <f t="shared" si="156"/>
        <v>2025</v>
      </c>
      <c r="Q3044">
        <f t="shared" si="157"/>
        <v>9</v>
      </c>
      <c r="R3044" t="str">
        <f t="shared" si="158"/>
        <v>引力魔方</v>
      </c>
      <c r="S3044" t="str">
        <f>_xlfn.XLOOKUP(B3044,全店核心数据_bymonth!A:A,全店核心数据_bymonth!AN:AN)</f>
        <v>BU26</v>
      </c>
    </row>
    <row r="3045" spans="1:19" x14ac:dyDescent="0.3">
      <c r="A3045" t="s">
        <v>110</v>
      </c>
      <c r="B3045" s="16">
        <v>45901</v>
      </c>
      <c r="C3045" t="s">
        <v>2</v>
      </c>
      <c r="D3045" t="s">
        <v>52</v>
      </c>
      <c r="E3045" t="s">
        <v>58</v>
      </c>
      <c r="F3045">
        <v>2</v>
      </c>
      <c r="G3045">
        <v>2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1</v>
      </c>
      <c r="P3045">
        <f t="shared" si="156"/>
        <v>2025</v>
      </c>
      <c r="Q3045">
        <f t="shared" si="157"/>
        <v>9</v>
      </c>
      <c r="R3045" t="str">
        <f t="shared" si="158"/>
        <v>超级全域通</v>
      </c>
      <c r="S3045" t="str">
        <f>_xlfn.XLOOKUP(B3045,全店核心数据_bymonth!A:A,全店核心数据_bymonth!AN:AN)</f>
        <v>BU26</v>
      </c>
    </row>
    <row r="3046" spans="1:19" x14ac:dyDescent="0.3">
      <c r="A3046" t="s">
        <v>110</v>
      </c>
      <c r="B3046" s="16">
        <v>45901</v>
      </c>
      <c r="C3046" t="s">
        <v>2</v>
      </c>
      <c r="D3046" t="s">
        <v>52</v>
      </c>
      <c r="E3046" t="s">
        <v>183</v>
      </c>
      <c r="F3046">
        <v>3</v>
      </c>
      <c r="G3046">
        <v>3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3</v>
      </c>
      <c r="O3046">
        <v>0</v>
      </c>
      <c r="P3046">
        <f t="shared" si="156"/>
        <v>2025</v>
      </c>
      <c r="Q3046">
        <f t="shared" si="157"/>
        <v>9</v>
      </c>
      <c r="R3046" t="str">
        <f t="shared" si="158"/>
        <v>品销宝-品牌专区</v>
      </c>
      <c r="S3046" t="str">
        <f>_xlfn.XLOOKUP(B3046,全店核心数据_bymonth!A:A,全店核心数据_bymonth!AN:AN)</f>
        <v>BU26</v>
      </c>
    </row>
    <row r="3047" spans="1:19" x14ac:dyDescent="0.3">
      <c r="A3047" t="s">
        <v>110</v>
      </c>
      <c r="B3047" s="16">
        <v>45901</v>
      </c>
      <c r="C3047" t="s">
        <v>2</v>
      </c>
      <c r="D3047" t="s">
        <v>52</v>
      </c>
      <c r="E3047" t="s">
        <v>51</v>
      </c>
      <c r="F3047">
        <v>1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1</v>
      </c>
      <c r="P3047">
        <f t="shared" si="156"/>
        <v>2025</v>
      </c>
      <c r="Q3047">
        <f t="shared" si="157"/>
        <v>9</v>
      </c>
      <c r="R3047" t="str">
        <f t="shared" si="158"/>
        <v>品牌定制</v>
      </c>
      <c r="S3047" t="str">
        <f>_xlfn.XLOOKUP(B3047,全店核心数据_bymonth!A:A,全店核心数据_bymonth!AN:AN)</f>
        <v>BU26</v>
      </c>
    </row>
    <row r="3048" spans="1:19" x14ac:dyDescent="0.3">
      <c r="A3048" t="s">
        <v>110</v>
      </c>
      <c r="B3048" s="16">
        <v>45901</v>
      </c>
      <c r="C3048" t="s">
        <v>2</v>
      </c>
      <c r="D3048" t="s">
        <v>55</v>
      </c>
      <c r="E3048" t="s">
        <v>56</v>
      </c>
      <c r="F3048">
        <v>4513</v>
      </c>
      <c r="G3048">
        <v>3936</v>
      </c>
      <c r="H3048">
        <v>5</v>
      </c>
      <c r="I3048">
        <v>5</v>
      </c>
      <c r="J3048">
        <v>13500</v>
      </c>
      <c r="K3048">
        <v>1</v>
      </c>
      <c r="L3048">
        <v>0</v>
      </c>
      <c r="M3048">
        <v>0</v>
      </c>
      <c r="N3048">
        <v>110</v>
      </c>
      <c r="O3048">
        <v>3169</v>
      </c>
      <c r="P3048">
        <f t="shared" si="156"/>
        <v>2025</v>
      </c>
      <c r="Q3048">
        <f t="shared" si="157"/>
        <v>9</v>
      </c>
      <c r="R3048" t="str">
        <f t="shared" si="158"/>
        <v>超级短视频</v>
      </c>
      <c r="S3048" t="str">
        <f>_xlfn.XLOOKUP(B3048,全店核心数据_bymonth!A:A,全店核心数据_bymonth!AN:AN)</f>
        <v>BU26</v>
      </c>
    </row>
    <row r="3049" spans="1:19" x14ac:dyDescent="0.3">
      <c r="A3049" t="s">
        <v>110</v>
      </c>
      <c r="B3049" s="16">
        <v>45901</v>
      </c>
      <c r="C3049" t="s">
        <v>2</v>
      </c>
      <c r="D3049" t="s">
        <v>55</v>
      </c>
      <c r="E3049" t="s">
        <v>54</v>
      </c>
      <c r="F3049">
        <v>23315</v>
      </c>
      <c r="G3049">
        <v>20341</v>
      </c>
      <c r="H3049">
        <v>48</v>
      </c>
      <c r="I3049">
        <v>22</v>
      </c>
      <c r="J3049">
        <v>0</v>
      </c>
      <c r="K3049">
        <v>0</v>
      </c>
      <c r="L3049">
        <v>0</v>
      </c>
      <c r="M3049">
        <v>0</v>
      </c>
      <c r="N3049">
        <v>304</v>
      </c>
      <c r="O3049">
        <v>11049</v>
      </c>
      <c r="P3049">
        <f t="shared" si="156"/>
        <v>2025</v>
      </c>
      <c r="Q3049">
        <f t="shared" si="157"/>
        <v>9</v>
      </c>
      <c r="R3049" t="str">
        <f t="shared" si="158"/>
        <v>超级直播</v>
      </c>
      <c r="S3049" t="str">
        <f>_xlfn.XLOOKUP(B3049,全店核心数据_bymonth!A:A,全店核心数据_bymonth!AN:AN)</f>
        <v>BU26</v>
      </c>
    </row>
    <row r="3050" spans="1:19" x14ac:dyDescent="0.3">
      <c r="A3050" t="s">
        <v>110</v>
      </c>
      <c r="B3050" s="16">
        <v>45901</v>
      </c>
      <c r="C3050" t="s">
        <v>2</v>
      </c>
      <c r="D3050" t="s">
        <v>55</v>
      </c>
      <c r="E3050" t="s">
        <v>66</v>
      </c>
      <c r="F3050">
        <v>18</v>
      </c>
      <c r="G3050">
        <v>17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f t="shared" si="156"/>
        <v>2025</v>
      </c>
      <c r="Q3050">
        <f t="shared" si="157"/>
        <v>9</v>
      </c>
      <c r="R3050" t="str">
        <f t="shared" si="158"/>
        <v>短直联动</v>
      </c>
      <c r="S3050" t="str">
        <f>_xlfn.XLOOKUP(B3050,全店核心数据_bymonth!A:A,全店核心数据_bymonth!AN:AN)</f>
        <v>BU26</v>
      </c>
    </row>
    <row r="3051" spans="1:19" x14ac:dyDescent="0.3">
      <c r="A3051" t="s">
        <v>110</v>
      </c>
      <c r="B3051" s="16">
        <v>45901</v>
      </c>
      <c r="C3051" t="s">
        <v>3</v>
      </c>
      <c r="D3051" t="s">
        <v>157</v>
      </c>
      <c r="E3051" t="s">
        <v>182</v>
      </c>
      <c r="F3051">
        <v>2</v>
      </c>
      <c r="G3051">
        <v>2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f t="shared" si="156"/>
        <v>2025</v>
      </c>
      <c r="Q3051">
        <f t="shared" si="157"/>
        <v>9</v>
      </c>
      <c r="R3051" t="str">
        <f t="shared" si="158"/>
        <v>飞猪其他</v>
      </c>
      <c r="S3051" t="str">
        <f>_xlfn.XLOOKUP(B3051,全店核心数据_bymonth!A:A,全店核心数据_bymonth!AN:AN)</f>
        <v>BU26</v>
      </c>
    </row>
    <row r="3052" spans="1:19" x14ac:dyDescent="0.3">
      <c r="A3052" t="s">
        <v>110</v>
      </c>
      <c r="B3052" s="16">
        <v>45901</v>
      </c>
      <c r="C3052" t="s">
        <v>3</v>
      </c>
      <c r="D3052" t="s">
        <v>117</v>
      </c>
      <c r="E3052" t="s">
        <v>161</v>
      </c>
      <c r="F3052">
        <v>3</v>
      </c>
      <c r="G3052">
        <v>3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3</v>
      </c>
      <c r="P3052">
        <f t="shared" si="156"/>
        <v>2025</v>
      </c>
      <c r="Q3052">
        <f t="shared" si="157"/>
        <v>9</v>
      </c>
      <c r="R3052" t="str">
        <f t="shared" si="158"/>
        <v>其他入口榜单</v>
      </c>
      <c r="S3052" t="str">
        <f>_xlfn.XLOOKUP(B3052,全店核心数据_bymonth!A:A,全店核心数据_bymonth!AN:AN)</f>
        <v>BU26</v>
      </c>
    </row>
    <row r="3053" spans="1:19" x14ac:dyDescent="0.3">
      <c r="A3053" t="s">
        <v>110</v>
      </c>
      <c r="B3053" s="16">
        <v>45901</v>
      </c>
      <c r="C3053" t="s">
        <v>3</v>
      </c>
      <c r="D3053" t="s">
        <v>143</v>
      </c>
      <c r="E3053" t="s">
        <v>180</v>
      </c>
      <c r="F3053">
        <v>5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5</v>
      </c>
      <c r="P3053">
        <f t="shared" si="156"/>
        <v>2025</v>
      </c>
      <c r="Q3053">
        <f t="shared" si="157"/>
        <v>9</v>
      </c>
      <c r="R3053" t="str">
        <f t="shared" si="158"/>
        <v>淘特其他渠道</v>
      </c>
      <c r="S3053" t="str">
        <f>_xlfn.XLOOKUP(B3053,全店核心数据_bymonth!A:A,全店核心数据_bymonth!AN:AN)</f>
        <v>BU26</v>
      </c>
    </row>
    <row r="3054" spans="1:19" x14ac:dyDescent="0.3">
      <c r="A3054" t="s">
        <v>110</v>
      </c>
      <c r="B3054" s="16">
        <v>45901</v>
      </c>
      <c r="C3054" t="s">
        <v>3</v>
      </c>
      <c r="D3054" t="s">
        <v>128</v>
      </c>
      <c r="E3054" t="s">
        <v>179</v>
      </c>
      <c r="F3054">
        <v>130</v>
      </c>
      <c r="G3054">
        <v>79</v>
      </c>
      <c r="H3054">
        <v>4</v>
      </c>
      <c r="I3054">
        <v>2</v>
      </c>
      <c r="J3054">
        <v>4695</v>
      </c>
      <c r="K3054">
        <v>1</v>
      </c>
      <c r="L3054">
        <v>4695</v>
      </c>
      <c r="M3054">
        <v>1</v>
      </c>
      <c r="N3054">
        <v>12</v>
      </c>
      <c r="O3054">
        <v>126</v>
      </c>
      <c r="P3054">
        <f t="shared" si="156"/>
        <v>2025</v>
      </c>
      <c r="Q3054">
        <f t="shared" si="157"/>
        <v>9</v>
      </c>
      <c r="R3054" t="str">
        <f t="shared" si="158"/>
        <v>手淘搜索-短视频</v>
      </c>
      <c r="S3054" t="str">
        <f>_xlfn.XLOOKUP(B3054,全店核心数据_bymonth!A:A,全店核心数据_bymonth!AN:AN)</f>
        <v>BU26</v>
      </c>
    </row>
    <row r="3055" spans="1:19" x14ac:dyDescent="0.3">
      <c r="A3055" t="s">
        <v>110</v>
      </c>
      <c r="B3055" s="16">
        <v>45901</v>
      </c>
      <c r="C3055" t="s">
        <v>3</v>
      </c>
      <c r="D3055" t="s">
        <v>128</v>
      </c>
      <c r="E3055" t="s">
        <v>178</v>
      </c>
      <c r="F3055">
        <v>17</v>
      </c>
      <c r="G3055">
        <v>9</v>
      </c>
      <c r="H3055">
        <v>2</v>
      </c>
      <c r="I3055">
        <v>1</v>
      </c>
      <c r="J3055">
        <v>0</v>
      </c>
      <c r="K3055">
        <v>0</v>
      </c>
      <c r="L3055">
        <v>0</v>
      </c>
      <c r="M3055">
        <v>0</v>
      </c>
      <c r="N3055">
        <v>1</v>
      </c>
      <c r="O3055">
        <v>16</v>
      </c>
      <c r="P3055">
        <f t="shared" si="156"/>
        <v>2025</v>
      </c>
      <c r="Q3055">
        <f t="shared" si="157"/>
        <v>9</v>
      </c>
      <c r="R3055" t="str">
        <f t="shared" si="158"/>
        <v>手淘搜索-直播</v>
      </c>
      <c r="S3055" t="str">
        <f>_xlfn.XLOOKUP(B3055,全店核心数据_bymonth!A:A,全店核心数据_bymonth!AN:AN)</f>
        <v>BU26</v>
      </c>
    </row>
    <row r="3056" spans="1:19" x14ac:dyDescent="0.3">
      <c r="A3056" t="s">
        <v>110</v>
      </c>
      <c r="B3056" s="16">
        <v>45901</v>
      </c>
      <c r="C3056" t="s">
        <v>3</v>
      </c>
      <c r="D3056" t="s">
        <v>128</v>
      </c>
      <c r="E3056" t="s">
        <v>177</v>
      </c>
      <c r="F3056">
        <v>32662</v>
      </c>
      <c r="G3056">
        <v>31337</v>
      </c>
      <c r="H3056">
        <v>413</v>
      </c>
      <c r="I3056">
        <v>231</v>
      </c>
      <c r="J3056">
        <v>511472</v>
      </c>
      <c r="K3056">
        <v>67</v>
      </c>
      <c r="L3056">
        <v>250422</v>
      </c>
      <c r="M3056">
        <v>43</v>
      </c>
      <c r="N3056">
        <v>3783</v>
      </c>
      <c r="O3056">
        <v>31421</v>
      </c>
      <c r="P3056">
        <f t="shared" si="156"/>
        <v>2025</v>
      </c>
      <c r="Q3056">
        <f t="shared" si="157"/>
        <v>9</v>
      </c>
      <c r="R3056" t="str">
        <f t="shared" si="158"/>
        <v>手淘搜索-商品及其他</v>
      </c>
      <c r="S3056" t="str">
        <f>_xlfn.XLOOKUP(B3056,全店核心数据_bymonth!A:A,全店核心数据_bymonth!AN:AN)</f>
        <v>BU26</v>
      </c>
    </row>
    <row r="3057" spans="1:19" x14ac:dyDescent="0.3">
      <c r="A3057" t="s">
        <v>110</v>
      </c>
      <c r="B3057" s="16">
        <v>45901</v>
      </c>
      <c r="C3057" t="s">
        <v>3</v>
      </c>
      <c r="D3057" t="s">
        <v>127</v>
      </c>
      <c r="E3057" t="s">
        <v>176</v>
      </c>
      <c r="F3057">
        <v>2371</v>
      </c>
      <c r="G3057">
        <v>1959</v>
      </c>
      <c r="H3057">
        <v>2</v>
      </c>
      <c r="I3057">
        <v>2</v>
      </c>
      <c r="J3057">
        <v>0</v>
      </c>
      <c r="K3057">
        <v>0</v>
      </c>
      <c r="L3057">
        <v>0</v>
      </c>
      <c r="M3057">
        <v>0</v>
      </c>
      <c r="N3057">
        <v>27</v>
      </c>
      <c r="O3057">
        <v>156</v>
      </c>
      <c r="P3057">
        <f t="shared" si="156"/>
        <v>2025</v>
      </c>
      <c r="Q3057">
        <f t="shared" si="157"/>
        <v>9</v>
      </c>
      <c r="R3057" t="str">
        <f t="shared" si="158"/>
        <v>首页推荐-短视频</v>
      </c>
      <c r="S3057" t="str">
        <f>_xlfn.XLOOKUP(B3057,全店核心数据_bymonth!A:A,全店核心数据_bymonth!AN:AN)</f>
        <v>BU26</v>
      </c>
    </row>
    <row r="3058" spans="1:19" x14ac:dyDescent="0.3">
      <c r="A3058" t="s">
        <v>110</v>
      </c>
      <c r="B3058" s="16">
        <v>45901</v>
      </c>
      <c r="C3058" t="s">
        <v>3</v>
      </c>
      <c r="D3058" t="s">
        <v>127</v>
      </c>
      <c r="E3058" t="s">
        <v>175</v>
      </c>
      <c r="F3058">
        <v>915</v>
      </c>
      <c r="G3058">
        <v>786</v>
      </c>
      <c r="H3058">
        <v>6</v>
      </c>
      <c r="I3058">
        <v>1</v>
      </c>
      <c r="J3058">
        <v>8350</v>
      </c>
      <c r="K3058">
        <v>1</v>
      </c>
      <c r="L3058">
        <v>0</v>
      </c>
      <c r="M3058">
        <v>0</v>
      </c>
      <c r="N3058">
        <v>17</v>
      </c>
      <c r="O3058">
        <v>352</v>
      </c>
      <c r="P3058">
        <f t="shared" si="156"/>
        <v>2025</v>
      </c>
      <c r="Q3058">
        <f t="shared" si="157"/>
        <v>9</v>
      </c>
      <c r="R3058" t="str">
        <f t="shared" si="158"/>
        <v>首页推荐-直播</v>
      </c>
      <c r="S3058" t="str">
        <f>_xlfn.XLOOKUP(B3058,全店核心数据_bymonth!A:A,全店核心数据_bymonth!AN:AN)</f>
        <v>BU26</v>
      </c>
    </row>
    <row r="3059" spans="1:19" x14ac:dyDescent="0.3">
      <c r="A3059" t="s">
        <v>110</v>
      </c>
      <c r="B3059" s="16">
        <v>45901</v>
      </c>
      <c r="C3059" t="s">
        <v>3</v>
      </c>
      <c r="D3059" t="s">
        <v>127</v>
      </c>
      <c r="E3059" t="s">
        <v>174</v>
      </c>
      <c r="F3059">
        <v>26906</v>
      </c>
      <c r="G3059">
        <v>22683</v>
      </c>
      <c r="H3059">
        <v>242</v>
      </c>
      <c r="I3059">
        <v>142</v>
      </c>
      <c r="J3059">
        <v>285605</v>
      </c>
      <c r="K3059">
        <v>23</v>
      </c>
      <c r="L3059">
        <v>138585</v>
      </c>
      <c r="M3059">
        <v>13</v>
      </c>
      <c r="N3059">
        <v>1231</v>
      </c>
      <c r="O3059">
        <v>26906</v>
      </c>
      <c r="P3059">
        <f t="shared" si="156"/>
        <v>2025</v>
      </c>
      <c r="Q3059">
        <f t="shared" si="157"/>
        <v>9</v>
      </c>
      <c r="R3059" t="str">
        <f t="shared" si="158"/>
        <v>首页推荐-微详情</v>
      </c>
      <c r="S3059" t="str">
        <f>_xlfn.XLOOKUP(B3059,全店核心数据_bymonth!A:A,全店核心数据_bymonth!AN:AN)</f>
        <v>BU26</v>
      </c>
    </row>
    <row r="3060" spans="1:19" x14ac:dyDescent="0.3">
      <c r="A3060" t="s">
        <v>110</v>
      </c>
      <c r="B3060" s="16">
        <v>45901</v>
      </c>
      <c r="C3060" t="s">
        <v>3</v>
      </c>
      <c r="D3060" t="s">
        <v>127</v>
      </c>
      <c r="E3060" t="s">
        <v>173</v>
      </c>
      <c r="F3060">
        <v>2886</v>
      </c>
      <c r="G3060">
        <v>2311</v>
      </c>
      <c r="H3060">
        <v>35</v>
      </c>
      <c r="I3060">
        <v>21</v>
      </c>
      <c r="J3060">
        <v>24590</v>
      </c>
      <c r="K3060">
        <v>2</v>
      </c>
      <c r="L3060">
        <v>24590</v>
      </c>
      <c r="M3060">
        <v>2</v>
      </c>
      <c r="N3060">
        <v>116</v>
      </c>
      <c r="O3060">
        <v>1817</v>
      </c>
      <c r="P3060">
        <f t="shared" si="156"/>
        <v>2025</v>
      </c>
      <c r="Q3060">
        <f t="shared" si="157"/>
        <v>9</v>
      </c>
      <c r="R3060" t="str">
        <f t="shared" si="158"/>
        <v>购后推荐</v>
      </c>
      <c r="S3060" t="str">
        <f>_xlfn.XLOOKUP(B3060,全店核心数据_bymonth!A:A,全店核心数据_bymonth!AN:AN)</f>
        <v>BU26</v>
      </c>
    </row>
    <row r="3061" spans="1:19" x14ac:dyDescent="0.3">
      <c r="A3061" t="s">
        <v>110</v>
      </c>
      <c r="B3061" s="16">
        <v>45901</v>
      </c>
      <c r="C3061" t="s">
        <v>3</v>
      </c>
      <c r="D3061" t="s">
        <v>127</v>
      </c>
      <c r="E3061" t="s">
        <v>172</v>
      </c>
      <c r="F3061">
        <v>416</v>
      </c>
      <c r="G3061">
        <v>318</v>
      </c>
      <c r="H3061">
        <v>5</v>
      </c>
      <c r="I3061">
        <v>5</v>
      </c>
      <c r="J3061">
        <v>0</v>
      </c>
      <c r="K3061">
        <v>0</v>
      </c>
      <c r="L3061">
        <v>0</v>
      </c>
      <c r="M3061">
        <v>0</v>
      </c>
      <c r="N3061">
        <v>16</v>
      </c>
      <c r="O3061">
        <v>271</v>
      </c>
      <c r="P3061">
        <f t="shared" si="156"/>
        <v>2025</v>
      </c>
      <c r="Q3061">
        <f t="shared" si="157"/>
        <v>9</v>
      </c>
      <c r="R3061" t="str">
        <f t="shared" si="158"/>
        <v>购中推荐</v>
      </c>
      <c r="S3061" t="str">
        <f>_xlfn.XLOOKUP(B3061,全店核心数据_bymonth!A:A,全店核心数据_bymonth!AN:AN)</f>
        <v>BU26</v>
      </c>
    </row>
    <row r="3062" spans="1:19" x14ac:dyDescent="0.3">
      <c r="A3062" t="s">
        <v>110</v>
      </c>
      <c r="B3062" s="16">
        <v>45901</v>
      </c>
      <c r="C3062" t="s">
        <v>3</v>
      </c>
      <c r="D3062" t="s">
        <v>127</v>
      </c>
      <c r="E3062" t="s">
        <v>171</v>
      </c>
      <c r="F3062">
        <v>3933</v>
      </c>
      <c r="G3062">
        <v>2615</v>
      </c>
      <c r="H3062">
        <v>63</v>
      </c>
      <c r="I3062">
        <v>49</v>
      </c>
      <c r="J3062">
        <v>74610</v>
      </c>
      <c r="K3062">
        <v>11</v>
      </c>
      <c r="L3062">
        <v>47220</v>
      </c>
      <c r="M3062">
        <v>7</v>
      </c>
      <c r="N3062">
        <v>702</v>
      </c>
      <c r="O3062">
        <v>3699</v>
      </c>
      <c r="P3062">
        <f t="shared" si="156"/>
        <v>2025</v>
      </c>
      <c r="Q3062">
        <f t="shared" si="157"/>
        <v>9</v>
      </c>
      <c r="R3062" t="str">
        <f t="shared" si="158"/>
        <v>其他猜你喜欢</v>
      </c>
      <c r="S3062" t="str">
        <f>_xlfn.XLOOKUP(B3062,全店核心数据_bymonth!A:A,全店核心数据_bymonth!AN:AN)</f>
        <v>BU26</v>
      </c>
    </row>
    <row r="3063" spans="1:19" x14ac:dyDescent="0.3">
      <c r="A3063" t="s">
        <v>110</v>
      </c>
      <c r="B3063" s="16">
        <v>45901</v>
      </c>
      <c r="C3063" t="s">
        <v>3</v>
      </c>
      <c r="D3063" t="s">
        <v>123</v>
      </c>
      <c r="E3063" t="s">
        <v>170</v>
      </c>
      <c r="F3063">
        <v>606</v>
      </c>
      <c r="G3063">
        <v>475</v>
      </c>
      <c r="H3063">
        <v>13</v>
      </c>
      <c r="I3063">
        <v>7</v>
      </c>
      <c r="J3063">
        <v>9750</v>
      </c>
      <c r="K3063">
        <v>2</v>
      </c>
      <c r="L3063">
        <v>5055</v>
      </c>
      <c r="M3063">
        <v>2</v>
      </c>
      <c r="N3063">
        <v>543</v>
      </c>
      <c r="O3063">
        <v>266</v>
      </c>
      <c r="P3063">
        <f t="shared" si="156"/>
        <v>2025</v>
      </c>
      <c r="Q3063">
        <f t="shared" si="157"/>
        <v>9</v>
      </c>
      <c r="R3063" t="str">
        <f t="shared" si="158"/>
        <v>店铺超链</v>
      </c>
      <c r="S3063" t="str">
        <f>_xlfn.XLOOKUP(B3063,全店核心数据_bymonth!A:A,全店核心数据_bymonth!AN:AN)</f>
        <v>BU26</v>
      </c>
    </row>
    <row r="3064" spans="1:19" x14ac:dyDescent="0.3">
      <c r="A3064" t="s">
        <v>110</v>
      </c>
      <c r="B3064" s="16">
        <v>45901</v>
      </c>
      <c r="C3064" t="s">
        <v>3</v>
      </c>
      <c r="D3064" t="s">
        <v>123</v>
      </c>
      <c r="E3064" t="s">
        <v>169</v>
      </c>
      <c r="F3064">
        <v>6</v>
      </c>
      <c r="G3064">
        <v>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6</v>
      </c>
      <c r="P3064">
        <f t="shared" si="156"/>
        <v>2025</v>
      </c>
      <c r="Q3064">
        <f t="shared" si="157"/>
        <v>9</v>
      </c>
      <c r="R3064" t="str">
        <f t="shared" si="158"/>
        <v>商品详情页头图推荐</v>
      </c>
      <c r="S3064" t="str">
        <f>_xlfn.XLOOKUP(B3064,全店核心数据_bymonth!A:A,全店核心数据_bymonth!AN:AN)</f>
        <v>BU26</v>
      </c>
    </row>
    <row r="3065" spans="1:19" x14ac:dyDescent="0.3">
      <c r="A3065" t="s">
        <v>110</v>
      </c>
      <c r="B3065" s="16">
        <v>45931</v>
      </c>
      <c r="C3065" t="s">
        <v>3</v>
      </c>
      <c r="D3065" t="s">
        <v>114</v>
      </c>
      <c r="E3065" t="s">
        <v>159</v>
      </c>
      <c r="F3065">
        <v>2110</v>
      </c>
      <c r="G3065">
        <v>923</v>
      </c>
      <c r="H3065">
        <v>72</v>
      </c>
      <c r="I3065">
        <v>26</v>
      </c>
      <c r="J3065">
        <v>49280</v>
      </c>
      <c r="K3065">
        <v>10</v>
      </c>
      <c r="L3065">
        <v>35610</v>
      </c>
      <c r="M3065">
        <v>7</v>
      </c>
      <c r="N3065">
        <v>216</v>
      </c>
      <c r="O3065">
        <v>2014</v>
      </c>
      <c r="P3065">
        <f t="shared" ref="P3065:P3096" si="159">YEAR(B3065)</f>
        <v>2025</v>
      </c>
      <c r="Q3065">
        <f t="shared" ref="Q3065:Q3096" si="160">MONTH(B3065)</f>
        <v>10</v>
      </c>
      <c r="R3065" t="str">
        <f t="shared" ref="R3065:R3096" si="161">E3065</f>
        <v>主会场</v>
      </c>
      <c r="S3065" t="str">
        <f>_xlfn.XLOOKUP(B3065,全店核心数据_bymonth!A:A,全店核心数据_bymonth!AN:AN)</f>
        <v>BU26</v>
      </c>
    </row>
    <row r="3066" spans="1:19" x14ac:dyDescent="0.3">
      <c r="A3066" t="s">
        <v>110</v>
      </c>
      <c r="B3066" s="16">
        <v>45931</v>
      </c>
      <c r="C3066" t="s">
        <v>3</v>
      </c>
      <c r="D3066" t="s">
        <v>114</v>
      </c>
      <c r="E3066" t="s">
        <v>160</v>
      </c>
      <c r="F3066">
        <v>22</v>
      </c>
      <c r="G3066">
        <v>18</v>
      </c>
      <c r="H3066">
        <v>1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4</v>
      </c>
      <c r="O3066">
        <v>22</v>
      </c>
      <c r="P3066">
        <f t="shared" si="159"/>
        <v>2025</v>
      </c>
      <c r="Q3066">
        <f t="shared" si="160"/>
        <v>10</v>
      </c>
      <c r="R3066" t="str">
        <f t="shared" si="161"/>
        <v>榜单会场</v>
      </c>
      <c r="S3066" t="str">
        <f>_xlfn.XLOOKUP(B3066,全店核心数据_bymonth!A:A,全店核心数据_bymonth!AN:AN)</f>
        <v>BU26</v>
      </c>
    </row>
    <row r="3067" spans="1:19" x14ac:dyDescent="0.3">
      <c r="A3067" t="s">
        <v>110</v>
      </c>
      <c r="B3067" s="16">
        <v>45931</v>
      </c>
      <c r="C3067" t="s">
        <v>3</v>
      </c>
      <c r="D3067" t="s">
        <v>117</v>
      </c>
      <c r="E3067" t="s">
        <v>161</v>
      </c>
      <c r="F3067">
        <v>19</v>
      </c>
      <c r="G3067">
        <v>16</v>
      </c>
      <c r="H3067">
        <v>1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  <c r="O3067">
        <v>19</v>
      </c>
      <c r="P3067">
        <f t="shared" si="159"/>
        <v>2025</v>
      </c>
      <c r="Q3067">
        <f t="shared" si="160"/>
        <v>10</v>
      </c>
      <c r="R3067" t="str">
        <f t="shared" si="161"/>
        <v>其他入口榜单</v>
      </c>
      <c r="S3067" t="str">
        <f>_xlfn.XLOOKUP(B3067,全店核心数据_bymonth!A:A,全店核心数据_bymonth!AN:AN)</f>
        <v>BU26</v>
      </c>
    </row>
    <row r="3068" spans="1:19" x14ac:dyDescent="0.3">
      <c r="A3068" t="s">
        <v>110</v>
      </c>
      <c r="B3068" s="16">
        <v>45931</v>
      </c>
      <c r="C3068" t="s">
        <v>3</v>
      </c>
      <c r="D3068" t="s">
        <v>117</v>
      </c>
      <c r="E3068" t="s">
        <v>191</v>
      </c>
      <c r="F3068">
        <v>4</v>
      </c>
      <c r="G3068">
        <v>4</v>
      </c>
      <c r="H3068">
        <v>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4</v>
      </c>
      <c r="P3068">
        <f t="shared" si="159"/>
        <v>2025</v>
      </c>
      <c r="Q3068">
        <f t="shared" si="160"/>
        <v>10</v>
      </c>
      <c r="R3068" t="str">
        <f t="shared" si="161"/>
        <v>商品详情页入口榜单</v>
      </c>
      <c r="S3068" t="str">
        <f>_xlfn.XLOOKUP(B3068,全店核心数据_bymonth!A:A,全店核心数据_bymonth!AN:AN)</f>
        <v>BU26</v>
      </c>
    </row>
    <row r="3069" spans="1:19" x14ac:dyDescent="0.3">
      <c r="A3069" t="s">
        <v>110</v>
      </c>
      <c r="B3069" s="16">
        <v>45931</v>
      </c>
      <c r="C3069" t="s">
        <v>3</v>
      </c>
      <c r="D3069" t="s">
        <v>123</v>
      </c>
      <c r="E3069" t="s">
        <v>169</v>
      </c>
      <c r="F3069">
        <v>1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1</v>
      </c>
      <c r="P3069">
        <f t="shared" si="159"/>
        <v>2025</v>
      </c>
      <c r="Q3069">
        <f t="shared" si="160"/>
        <v>10</v>
      </c>
      <c r="R3069" t="str">
        <f t="shared" si="161"/>
        <v>商品详情页头图推荐</v>
      </c>
      <c r="S3069" t="str">
        <f>_xlfn.XLOOKUP(B3069,全店核心数据_bymonth!A:A,全店核心数据_bymonth!AN:AN)</f>
        <v>BU26</v>
      </c>
    </row>
    <row r="3070" spans="1:19" x14ac:dyDescent="0.3">
      <c r="A3070" t="s">
        <v>110</v>
      </c>
      <c r="B3070" s="16">
        <v>45931</v>
      </c>
      <c r="C3070" t="s">
        <v>3</v>
      </c>
      <c r="D3070" t="s">
        <v>123</v>
      </c>
      <c r="E3070" t="s">
        <v>170</v>
      </c>
      <c r="F3070">
        <v>1031</v>
      </c>
      <c r="G3070">
        <v>582</v>
      </c>
      <c r="H3070">
        <v>62</v>
      </c>
      <c r="I3070">
        <v>6</v>
      </c>
      <c r="J3070">
        <v>71777.649999999994</v>
      </c>
      <c r="K3070">
        <v>16</v>
      </c>
      <c r="L3070">
        <v>57467.65</v>
      </c>
      <c r="M3070">
        <v>15</v>
      </c>
      <c r="N3070">
        <v>933</v>
      </c>
      <c r="O3070">
        <v>497</v>
      </c>
      <c r="P3070">
        <f t="shared" si="159"/>
        <v>2025</v>
      </c>
      <c r="Q3070">
        <f t="shared" si="160"/>
        <v>10</v>
      </c>
      <c r="R3070" t="str">
        <f t="shared" si="161"/>
        <v>店铺超链</v>
      </c>
      <c r="S3070" t="str">
        <f>_xlfn.XLOOKUP(B3070,全店核心数据_bymonth!A:A,全店核心数据_bymonth!AN:AN)</f>
        <v>BU26</v>
      </c>
    </row>
    <row r="3071" spans="1:19" x14ac:dyDescent="0.3">
      <c r="A3071" t="s">
        <v>110</v>
      </c>
      <c r="B3071" s="16">
        <v>45931</v>
      </c>
      <c r="C3071" t="s">
        <v>3</v>
      </c>
      <c r="D3071" t="s">
        <v>127</v>
      </c>
      <c r="E3071" t="s">
        <v>171</v>
      </c>
      <c r="F3071">
        <v>11990</v>
      </c>
      <c r="G3071">
        <v>6400</v>
      </c>
      <c r="H3071">
        <v>600</v>
      </c>
      <c r="I3071">
        <v>217</v>
      </c>
      <c r="J3071">
        <v>801294.68</v>
      </c>
      <c r="K3071">
        <v>147</v>
      </c>
      <c r="L3071">
        <v>638449.68000000005</v>
      </c>
      <c r="M3071">
        <v>132</v>
      </c>
      <c r="N3071">
        <v>2281</v>
      </c>
      <c r="O3071">
        <v>11503</v>
      </c>
      <c r="P3071">
        <f t="shared" si="159"/>
        <v>2025</v>
      </c>
      <c r="Q3071">
        <f t="shared" si="160"/>
        <v>10</v>
      </c>
      <c r="R3071" t="str">
        <f t="shared" si="161"/>
        <v>其他猜你喜欢</v>
      </c>
      <c r="S3071" t="str">
        <f>_xlfn.XLOOKUP(B3071,全店核心数据_bymonth!A:A,全店核心数据_bymonth!AN:AN)</f>
        <v>BU26</v>
      </c>
    </row>
    <row r="3072" spans="1:19" x14ac:dyDescent="0.3">
      <c r="A3072" t="s">
        <v>110</v>
      </c>
      <c r="B3072" s="16">
        <v>45931</v>
      </c>
      <c r="C3072" t="s">
        <v>3</v>
      </c>
      <c r="D3072" t="s">
        <v>127</v>
      </c>
      <c r="E3072" t="s">
        <v>172</v>
      </c>
      <c r="F3072">
        <v>1764</v>
      </c>
      <c r="G3072">
        <v>839</v>
      </c>
      <c r="H3072">
        <v>84</v>
      </c>
      <c r="I3072">
        <v>18</v>
      </c>
      <c r="J3072">
        <v>44193.72</v>
      </c>
      <c r="K3072">
        <v>11</v>
      </c>
      <c r="L3072">
        <v>44193.72</v>
      </c>
      <c r="M3072">
        <v>11</v>
      </c>
      <c r="N3072">
        <v>192</v>
      </c>
      <c r="O3072">
        <v>1592</v>
      </c>
      <c r="P3072">
        <f t="shared" si="159"/>
        <v>2025</v>
      </c>
      <c r="Q3072">
        <f t="shared" si="160"/>
        <v>10</v>
      </c>
      <c r="R3072" t="str">
        <f t="shared" si="161"/>
        <v>购中推荐</v>
      </c>
      <c r="S3072" t="str">
        <f>_xlfn.XLOOKUP(B3072,全店核心数据_bymonth!A:A,全店核心数据_bymonth!AN:AN)</f>
        <v>BU26</v>
      </c>
    </row>
    <row r="3073" spans="1:19" x14ac:dyDescent="0.3">
      <c r="A3073" t="s">
        <v>110</v>
      </c>
      <c r="B3073" s="16">
        <v>45931</v>
      </c>
      <c r="C3073" t="s">
        <v>3</v>
      </c>
      <c r="D3073" t="s">
        <v>127</v>
      </c>
      <c r="E3073" t="s">
        <v>173</v>
      </c>
      <c r="F3073">
        <v>9407</v>
      </c>
      <c r="G3073">
        <v>5551</v>
      </c>
      <c r="H3073">
        <v>409</v>
      </c>
      <c r="I3073">
        <v>97</v>
      </c>
      <c r="J3073">
        <v>416852.19</v>
      </c>
      <c r="K3073">
        <v>70</v>
      </c>
      <c r="L3073">
        <v>354857.19</v>
      </c>
      <c r="M3073">
        <v>62</v>
      </c>
      <c r="N3073">
        <v>778</v>
      </c>
      <c r="O3073">
        <v>7885</v>
      </c>
      <c r="P3073">
        <f t="shared" si="159"/>
        <v>2025</v>
      </c>
      <c r="Q3073">
        <f t="shared" si="160"/>
        <v>10</v>
      </c>
      <c r="R3073" t="str">
        <f t="shared" si="161"/>
        <v>购后推荐</v>
      </c>
      <c r="S3073" t="str">
        <f>_xlfn.XLOOKUP(B3073,全店核心数据_bymonth!A:A,全店核心数据_bymonth!AN:AN)</f>
        <v>BU26</v>
      </c>
    </row>
    <row r="3074" spans="1:19" x14ac:dyDescent="0.3">
      <c r="A3074" t="s">
        <v>110</v>
      </c>
      <c r="B3074" s="16">
        <v>45931</v>
      </c>
      <c r="C3074" t="s">
        <v>3</v>
      </c>
      <c r="D3074" t="s">
        <v>127</v>
      </c>
      <c r="E3074" t="s">
        <v>174</v>
      </c>
      <c r="F3074">
        <v>90921</v>
      </c>
      <c r="G3074">
        <v>72763</v>
      </c>
      <c r="H3074">
        <v>1496</v>
      </c>
      <c r="I3074">
        <v>464</v>
      </c>
      <c r="J3074">
        <v>1663756.21</v>
      </c>
      <c r="K3074">
        <v>270</v>
      </c>
      <c r="L3074">
        <v>1284166.21</v>
      </c>
      <c r="M3074">
        <v>226</v>
      </c>
      <c r="N3074">
        <v>4953</v>
      </c>
      <c r="O3074">
        <v>90921</v>
      </c>
      <c r="P3074">
        <f t="shared" si="159"/>
        <v>2025</v>
      </c>
      <c r="Q3074">
        <f t="shared" si="160"/>
        <v>10</v>
      </c>
      <c r="R3074" t="str">
        <f t="shared" si="161"/>
        <v>首页推荐-微详情</v>
      </c>
      <c r="S3074" t="str">
        <f>_xlfn.XLOOKUP(B3074,全店核心数据_bymonth!A:A,全店核心数据_bymonth!AN:AN)</f>
        <v>BU26</v>
      </c>
    </row>
    <row r="3075" spans="1:19" x14ac:dyDescent="0.3">
      <c r="A3075" t="s">
        <v>110</v>
      </c>
      <c r="B3075" s="16">
        <v>45931</v>
      </c>
      <c r="C3075" t="s">
        <v>3</v>
      </c>
      <c r="D3075" t="s">
        <v>127</v>
      </c>
      <c r="E3075" t="s">
        <v>175</v>
      </c>
      <c r="F3075">
        <v>2187</v>
      </c>
      <c r="G3075">
        <v>1568</v>
      </c>
      <c r="H3075">
        <v>26</v>
      </c>
      <c r="I3075">
        <v>5</v>
      </c>
      <c r="J3075">
        <v>48955</v>
      </c>
      <c r="K3075">
        <v>11</v>
      </c>
      <c r="L3075">
        <v>36080</v>
      </c>
      <c r="M3075">
        <v>8</v>
      </c>
      <c r="N3075">
        <v>101</v>
      </c>
      <c r="O3075">
        <v>1138</v>
      </c>
      <c r="P3075">
        <f t="shared" si="159"/>
        <v>2025</v>
      </c>
      <c r="Q3075">
        <f t="shared" si="160"/>
        <v>10</v>
      </c>
      <c r="R3075" t="str">
        <f t="shared" si="161"/>
        <v>首页推荐-直播</v>
      </c>
      <c r="S3075" t="str">
        <f>_xlfn.XLOOKUP(B3075,全店核心数据_bymonth!A:A,全店核心数据_bymonth!AN:AN)</f>
        <v>BU26</v>
      </c>
    </row>
    <row r="3076" spans="1:19" x14ac:dyDescent="0.3">
      <c r="A3076" t="s">
        <v>110</v>
      </c>
      <c r="B3076" s="16">
        <v>45931</v>
      </c>
      <c r="C3076" t="s">
        <v>3</v>
      </c>
      <c r="D3076" t="s">
        <v>127</v>
      </c>
      <c r="E3076" t="s">
        <v>176</v>
      </c>
      <c r="F3076">
        <v>3540</v>
      </c>
      <c r="G3076">
        <v>2690</v>
      </c>
      <c r="H3076">
        <v>15</v>
      </c>
      <c r="I3076">
        <v>1</v>
      </c>
      <c r="J3076">
        <v>6990</v>
      </c>
      <c r="K3076">
        <v>1</v>
      </c>
      <c r="L3076">
        <v>6990</v>
      </c>
      <c r="M3076">
        <v>1</v>
      </c>
      <c r="N3076">
        <v>52</v>
      </c>
      <c r="O3076">
        <v>319</v>
      </c>
      <c r="P3076">
        <f t="shared" si="159"/>
        <v>2025</v>
      </c>
      <c r="Q3076">
        <f t="shared" si="160"/>
        <v>10</v>
      </c>
      <c r="R3076" t="str">
        <f t="shared" si="161"/>
        <v>首页推荐-短视频</v>
      </c>
      <c r="S3076" t="str">
        <f>_xlfn.XLOOKUP(B3076,全店核心数据_bymonth!A:A,全店核心数据_bymonth!AN:AN)</f>
        <v>BU26</v>
      </c>
    </row>
    <row r="3077" spans="1:19" x14ac:dyDescent="0.3">
      <c r="A3077" t="s">
        <v>110</v>
      </c>
      <c r="B3077" s="16">
        <v>45931</v>
      </c>
      <c r="C3077" t="s">
        <v>3</v>
      </c>
      <c r="D3077" t="s">
        <v>128</v>
      </c>
      <c r="E3077" t="s">
        <v>177</v>
      </c>
      <c r="F3077">
        <v>38158</v>
      </c>
      <c r="G3077">
        <v>34144</v>
      </c>
      <c r="H3077">
        <v>993</v>
      </c>
      <c r="I3077">
        <v>298</v>
      </c>
      <c r="J3077">
        <v>1024260.43</v>
      </c>
      <c r="K3077">
        <v>172</v>
      </c>
      <c r="L3077">
        <v>669915.43000000005</v>
      </c>
      <c r="M3077">
        <v>135</v>
      </c>
      <c r="N3077">
        <v>6179</v>
      </c>
      <c r="O3077">
        <v>36514</v>
      </c>
      <c r="P3077">
        <f t="shared" si="159"/>
        <v>2025</v>
      </c>
      <c r="Q3077">
        <f t="shared" si="160"/>
        <v>10</v>
      </c>
      <c r="R3077" t="str">
        <f t="shared" si="161"/>
        <v>手淘搜索-商品及其他</v>
      </c>
      <c r="S3077" t="str">
        <f>_xlfn.XLOOKUP(B3077,全店核心数据_bymonth!A:A,全店核心数据_bymonth!AN:AN)</f>
        <v>BU26</v>
      </c>
    </row>
    <row r="3078" spans="1:19" x14ac:dyDescent="0.3">
      <c r="A3078" t="s">
        <v>110</v>
      </c>
      <c r="B3078" s="16">
        <v>45931</v>
      </c>
      <c r="C3078" t="s">
        <v>3</v>
      </c>
      <c r="D3078" t="s">
        <v>128</v>
      </c>
      <c r="E3078" t="s">
        <v>178</v>
      </c>
      <c r="F3078">
        <v>155</v>
      </c>
      <c r="G3078">
        <v>91</v>
      </c>
      <c r="H3078">
        <v>6</v>
      </c>
      <c r="I3078">
        <v>2</v>
      </c>
      <c r="J3078">
        <v>3490</v>
      </c>
      <c r="K3078">
        <v>1</v>
      </c>
      <c r="L3078">
        <v>0</v>
      </c>
      <c r="M3078">
        <v>0</v>
      </c>
      <c r="N3078">
        <v>17</v>
      </c>
      <c r="O3078">
        <v>133</v>
      </c>
      <c r="P3078">
        <f t="shared" si="159"/>
        <v>2025</v>
      </c>
      <c r="Q3078">
        <f t="shared" si="160"/>
        <v>10</v>
      </c>
      <c r="R3078" t="str">
        <f t="shared" si="161"/>
        <v>手淘搜索-直播</v>
      </c>
      <c r="S3078" t="str">
        <f>_xlfn.XLOOKUP(B3078,全店核心数据_bymonth!A:A,全店核心数据_bymonth!AN:AN)</f>
        <v>BU26</v>
      </c>
    </row>
    <row r="3079" spans="1:19" x14ac:dyDescent="0.3">
      <c r="A3079" t="s">
        <v>110</v>
      </c>
      <c r="B3079" s="16">
        <v>45931</v>
      </c>
      <c r="C3079" t="s">
        <v>3</v>
      </c>
      <c r="D3079" t="s">
        <v>128</v>
      </c>
      <c r="E3079" t="s">
        <v>179</v>
      </c>
      <c r="F3079">
        <v>324</v>
      </c>
      <c r="G3079">
        <v>174</v>
      </c>
      <c r="H3079">
        <v>11</v>
      </c>
      <c r="I3079">
        <v>5</v>
      </c>
      <c r="J3079">
        <v>14165</v>
      </c>
      <c r="K3079">
        <v>4</v>
      </c>
      <c r="L3079">
        <v>14165</v>
      </c>
      <c r="M3079">
        <v>4</v>
      </c>
      <c r="N3079">
        <v>25</v>
      </c>
      <c r="O3079">
        <v>314</v>
      </c>
      <c r="P3079">
        <f t="shared" si="159"/>
        <v>2025</v>
      </c>
      <c r="Q3079">
        <f t="shared" si="160"/>
        <v>10</v>
      </c>
      <c r="R3079" t="str">
        <f t="shared" si="161"/>
        <v>手淘搜索-短视频</v>
      </c>
      <c r="S3079" t="str">
        <f>_xlfn.XLOOKUP(B3079,全店核心数据_bymonth!A:A,全店核心数据_bymonth!AN:AN)</f>
        <v>BU26</v>
      </c>
    </row>
    <row r="3080" spans="1:19" x14ac:dyDescent="0.3">
      <c r="A3080" t="s">
        <v>110</v>
      </c>
      <c r="B3080" s="16">
        <v>45931</v>
      </c>
      <c r="C3080" t="s">
        <v>3</v>
      </c>
      <c r="D3080" t="s">
        <v>143</v>
      </c>
      <c r="E3080" t="s">
        <v>180</v>
      </c>
      <c r="F3080">
        <v>12</v>
      </c>
      <c r="G3080">
        <v>4</v>
      </c>
      <c r="H3080">
        <v>2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1</v>
      </c>
      <c r="O3080">
        <v>12</v>
      </c>
      <c r="P3080">
        <f t="shared" si="159"/>
        <v>2025</v>
      </c>
      <c r="Q3080">
        <f t="shared" si="160"/>
        <v>10</v>
      </c>
      <c r="R3080" t="str">
        <f t="shared" si="161"/>
        <v>淘特其他渠道</v>
      </c>
      <c r="S3080" t="str">
        <f>_xlfn.XLOOKUP(B3080,全店核心数据_bymonth!A:A,全店核心数据_bymonth!AN:AN)</f>
        <v>BU26</v>
      </c>
    </row>
    <row r="3081" spans="1:19" x14ac:dyDescent="0.3">
      <c r="A3081" t="s">
        <v>110</v>
      </c>
      <c r="B3081" s="16">
        <v>45931</v>
      </c>
      <c r="C3081" t="s">
        <v>3</v>
      </c>
      <c r="D3081" t="s">
        <v>143</v>
      </c>
      <c r="E3081" t="s">
        <v>197</v>
      </c>
      <c r="F3081">
        <v>1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1</v>
      </c>
      <c r="P3081">
        <f t="shared" si="159"/>
        <v>2025</v>
      </c>
      <c r="Q3081">
        <f t="shared" si="160"/>
        <v>10</v>
      </c>
      <c r="R3081" t="str">
        <f t="shared" si="161"/>
        <v>淘特推荐</v>
      </c>
      <c r="S3081" t="str">
        <f>_xlfn.XLOOKUP(B3081,全店核心数据_bymonth!A:A,全店核心数据_bymonth!AN:AN)</f>
        <v>BU26</v>
      </c>
    </row>
    <row r="3082" spans="1:19" x14ac:dyDescent="0.3">
      <c r="A3082" t="s">
        <v>110</v>
      </c>
      <c r="B3082" s="16">
        <v>45931</v>
      </c>
      <c r="C3082" t="s">
        <v>3</v>
      </c>
      <c r="D3082" t="s">
        <v>143</v>
      </c>
      <c r="E3082" t="s">
        <v>181</v>
      </c>
      <c r="F3082">
        <v>9</v>
      </c>
      <c r="G3082">
        <v>8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9</v>
      </c>
      <c r="P3082">
        <f t="shared" si="159"/>
        <v>2025</v>
      </c>
      <c r="Q3082">
        <f t="shared" si="160"/>
        <v>10</v>
      </c>
      <c r="R3082" t="str">
        <f t="shared" si="161"/>
        <v>淘特搜索</v>
      </c>
      <c r="S3082" t="str">
        <f>_xlfn.XLOOKUP(B3082,全店核心数据_bymonth!A:A,全店核心数据_bymonth!AN:AN)</f>
        <v>BU26</v>
      </c>
    </row>
    <row r="3083" spans="1:19" x14ac:dyDescent="0.3">
      <c r="A3083" t="s">
        <v>110</v>
      </c>
      <c r="B3083" s="16">
        <v>45931</v>
      </c>
      <c r="C3083" t="s">
        <v>3</v>
      </c>
      <c r="D3083" t="s">
        <v>143</v>
      </c>
      <c r="E3083" t="s">
        <v>224</v>
      </c>
      <c r="F3083">
        <v>2</v>
      </c>
      <c r="G3083">
        <v>1</v>
      </c>
      <c r="H3083">
        <v>1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2</v>
      </c>
      <c r="P3083">
        <f t="shared" si="159"/>
        <v>2025</v>
      </c>
      <c r="Q3083">
        <f t="shared" si="160"/>
        <v>10</v>
      </c>
      <c r="R3083" t="str">
        <f t="shared" si="161"/>
        <v>淘特自主访问</v>
      </c>
      <c r="S3083" t="str">
        <f>_xlfn.XLOOKUP(B3083,全店核心数据_bymonth!A:A,全店核心数据_bymonth!AN:AN)</f>
        <v>BU26</v>
      </c>
    </row>
    <row r="3084" spans="1:19" x14ac:dyDescent="0.3">
      <c r="A3084" t="s">
        <v>110</v>
      </c>
      <c r="B3084" s="16">
        <v>45931</v>
      </c>
      <c r="C3084" t="s">
        <v>3</v>
      </c>
      <c r="D3084" t="s">
        <v>157</v>
      </c>
      <c r="E3084" t="s">
        <v>182</v>
      </c>
      <c r="F3084">
        <v>8</v>
      </c>
      <c r="G3084">
        <v>5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f t="shared" si="159"/>
        <v>2025</v>
      </c>
      <c r="Q3084">
        <f t="shared" si="160"/>
        <v>10</v>
      </c>
      <c r="R3084" t="str">
        <f t="shared" si="161"/>
        <v>飞猪其他</v>
      </c>
      <c r="S3084" t="str">
        <f>_xlfn.XLOOKUP(B3084,全店核心数据_bymonth!A:A,全店核心数据_bymonth!AN:AN)</f>
        <v>BU26</v>
      </c>
    </row>
    <row r="3085" spans="1:19" x14ac:dyDescent="0.3">
      <c r="A3085" t="s">
        <v>110</v>
      </c>
      <c r="B3085" s="16">
        <v>45931</v>
      </c>
      <c r="C3085" t="s">
        <v>2</v>
      </c>
      <c r="D3085" t="s">
        <v>55</v>
      </c>
      <c r="E3085" t="s">
        <v>66</v>
      </c>
      <c r="F3085">
        <v>190</v>
      </c>
      <c r="G3085">
        <v>164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6</v>
      </c>
      <c r="P3085">
        <f t="shared" si="159"/>
        <v>2025</v>
      </c>
      <c r="Q3085">
        <f t="shared" si="160"/>
        <v>10</v>
      </c>
      <c r="R3085" t="str">
        <f t="shared" si="161"/>
        <v>短直联动</v>
      </c>
      <c r="S3085" t="str">
        <f>_xlfn.XLOOKUP(B3085,全店核心数据_bymonth!A:A,全店核心数据_bymonth!AN:AN)</f>
        <v>BU26</v>
      </c>
    </row>
    <row r="3086" spans="1:19" x14ac:dyDescent="0.3">
      <c r="A3086" t="s">
        <v>110</v>
      </c>
      <c r="B3086" s="16">
        <v>45931</v>
      </c>
      <c r="C3086" t="s">
        <v>2</v>
      </c>
      <c r="D3086" t="s">
        <v>55</v>
      </c>
      <c r="E3086" t="s">
        <v>54</v>
      </c>
      <c r="F3086">
        <v>18878</v>
      </c>
      <c r="G3086">
        <v>13088</v>
      </c>
      <c r="H3086">
        <v>233</v>
      </c>
      <c r="I3086">
        <v>27</v>
      </c>
      <c r="J3086">
        <v>0</v>
      </c>
      <c r="K3086">
        <v>0</v>
      </c>
      <c r="L3086">
        <v>0</v>
      </c>
      <c r="M3086">
        <v>0</v>
      </c>
      <c r="N3086">
        <v>526</v>
      </c>
      <c r="O3086">
        <v>5071</v>
      </c>
      <c r="P3086">
        <f t="shared" si="159"/>
        <v>2025</v>
      </c>
      <c r="Q3086">
        <f t="shared" si="160"/>
        <v>10</v>
      </c>
      <c r="R3086" t="str">
        <f t="shared" si="161"/>
        <v>超级直播</v>
      </c>
      <c r="S3086" t="str">
        <f>_xlfn.XLOOKUP(B3086,全店核心数据_bymonth!A:A,全店核心数据_bymonth!AN:AN)</f>
        <v>BU26</v>
      </c>
    </row>
    <row r="3087" spans="1:19" x14ac:dyDescent="0.3">
      <c r="A3087" t="s">
        <v>110</v>
      </c>
      <c r="B3087" s="16">
        <v>45931</v>
      </c>
      <c r="C3087" t="s">
        <v>2</v>
      </c>
      <c r="D3087" t="s">
        <v>55</v>
      </c>
      <c r="E3087" t="s">
        <v>56</v>
      </c>
      <c r="F3087">
        <v>8078</v>
      </c>
      <c r="G3087">
        <v>5744</v>
      </c>
      <c r="H3087">
        <v>12</v>
      </c>
      <c r="I3087">
        <v>13</v>
      </c>
      <c r="J3087">
        <v>21750</v>
      </c>
      <c r="K3087">
        <v>2</v>
      </c>
      <c r="L3087">
        <v>0</v>
      </c>
      <c r="M3087">
        <v>0</v>
      </c>
      <c r="N3087">
        <v>176</v>
      </c>
      <c r="O3087">
        <v>5367</v>
      </c>
      <c r="P3087">
        <f t="shared" si="159"/>
        <v>2025</v>
      </c>
      <c r="Q3087">
        <f t="shared" si="160"/>
        <v>10</v>
      </c>
      <c r="R3087" t="str">
        <f t="shared" si="161"/>
        <v>超级短视频</v>
      </c>
      <c r="S3087" t="str">
        <f>_xlfn.XLOOKUP(B3087,全店核心数据_bymonth!A:A,全店核心数据_bymonth!AN:AN)</f>
        <v>BU26</v>
      </c>
    </row>
    <row r="3088" spans="1:19" x14ac:dyDescent="0.3">
      <c r="A3088" t="s">
        <v>110</v>
      </c>
      <c r="B3088" s="16">
        <v>45931</v>
      </c>
      <c r="C3088" t="s">
        <v>2</v>
      </c>
      <c r="D3088" t="s">
        <v>52</v>
      </c>
      <c r="E3088" t="s">
        <v>51</v>
      </c>
      <c r="F3088">
        <v>1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1</v>
      </c>
      <c r="P3088">
        <f t="shared" si="159"/>
        <v>2025</v>
      </c>
      <c r="Q3088">
        <f t="shared" si="160"/>
        <v>10</v>
      </c>
      <c r="R3088" t="str">
        <f t="shared" si="161"/>
        <v>品牌定制</v>
      </c>
      <c r="S3088" t="str">
        <f>_xlfn.XLOOKUP(B3088,全店核心数据_bymonth!A:A,全店核心数据_bymonth!AN:AN)</f>
        <v>BU26</v>
      </c>
    </row>
    <row r="3089" spans="1:20" x14ac:dyDescent="0.3">
      <c r="A3089" t="s">
        <v>110</v>
      </c>
      <c r="B3089" s="16">
        <v>45931</v>
      </c>
      <c r="C3089" t="s">
        <v>2</v>
      </c>
      <c r="D3089" t="s">
        <v>52</v>
      </c>
      <c r="E3089" t="s">
        <v>183</v>
      </c>
      <c r="F3089">
        <v>2</v>
      </c>
      <c r="G3089">
        <v>2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2</v>
      </c>
      <c r="O3089">
        <v>0</v>
      </c>
      <c r="P3089">
        <f t="shared" si="159"/>
        <v>2025</v>
      </c>
      <c r="Q3089">
        <f t="shared" si="160"/>
        <v>10</v>
      </c>
      <c r="R3089" t="str">
        <f t="shared" si="161"/>
        <v>品销宝-品牌专区</v>
      </c>
      <c r="S3089" t="str">
        <f>_xlfn.XLOOKUP(B3089,全店核心数据_bymonth!A:A,全店核心数据_bymonth!AN:AN)</f>
        <v>BU26</v>
      </c>
    </row>
    <row r="3090" spans="1:20" x14ac:dyDescent="0.3">
      <c r="A3090" t="s">
        <v>110</v>
      </c>
      <c r="B3090" s="16">
        <v>45931</v>
      </c>
      <c r="C3090" t="s">
        <v>2</v>
      </c>
      <c r="D3090" t="s">
        <v>52</v>
      </c>
      <c r="E3090" t="s">
        <v>58</v>
      </c>
      <c r="F3090">
        <v>4</v>
      </c>
      <c r="G3090">
        <v>2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1</v>
      </c>
      <c r="O3090">
        <v>1</v>
      </c>
      <c r="P3090">
        <f t="shared" si="159"/>
        <v>2025</v>
      </c>
      <c r="Q3090">
        <f t="shared" si="160"/>
        <v>10</v>
      </c>
      <c r="R3090" t="str">
        <f t="shared" si="161"/>
        <v>超级全域通</v>
      </c>
      <c r="S3090" t="str">
        <f>_xlfn.XLOOKUP(B3090,全店核心数据_bymonth!A:A,全店核心数据_bymonth!AN:AN)</f>
        <v>BU26</v>
      </c>
    </row>
    <row r="3091" spans="1:20" x14ac:dyDescent="0.3">
      <c r="A3091" t="s">
        <v>110</v>
      </c>
      <c r="B3091" s="16">
        <v>45931</v>
      </c>
      <c r="C3091" t="s">
        <v>2</v>
      </c>
      <c r="D3091" t="s">
        <v>57</v>
      </c>
      <c r="E3091" t="s">
        <v>64</v>
      </c>
      <c r="F3091">
        <v>446701</v>
      </c>
      <c r="G3091">
        <v>420983</v>
      </c>
      <c r="H3091">
        <v>2694</v>
      </c>
      <c r="I3091">
        <v>2713</v>
      </c>
      <c r="J3091">
        <v>1654122.15</v>
      </c>
      <c r="K3091">
        <v>263</v>
      </c>
      <c r="L3091">
        <v>1189627.1499999999</v>
      </c>
      <c r="M3091">
        <v>217</v>
      </c>
      <c r="N3091">
        <v>11512</v>
      </c>
      <c r="O3091">
        <v>446662</v>
      </c>
      <c r="P3091">
        <f t="shared" si="159"/>
        <v>2025</v>
      </c>
      <c r="Q3091">
        <f t="shared" si="160"/>
        <v>10</v>
      </c>
      <c r="R3091" t="str">
        <f t="shared" si="161"/>
        <v>引力魔方</v>
      </c>
      <c r="S3091" t="str">
        <f>_xlfn.XLOOKUP(B3091,全店核心数据_bymonth!A:A,全店核心数据_bymonth!AN:AN)</f>
        <v>BU26</v>
      </c>
    </row>
    <row r="3092" spans="1:20" x14ac:dyDescent="0.3">
      <c r="A3092" t="s">
        <v>110</v>
      </c>
      <c r="B3092" s="16">
        <v>45931</v>
      </c>
      <c r="C3092" t="s">
        <v>2</v>
      </c>
      <c r="D3092" t="s">
        <v>57</v>
      </c>
      <c r="E3092" t="s">
        <v>65</v>
      </c>
      <c r="F3092">
        <v>139094</v>
      </c>
      <c r="G3092">
        <v>129830</v>
      </c>
      <c r="H3092">
        <v>1171</v>
      </c>
      <c r="I3092">
        <v>574</v>
      </c>
      <c r="J3092">
        <v>1954048.3</v>
      </c>
      <c r="K3092">
        <v>238</v>
      </c>
      <c r="L3092">
        <v>860398.3</v>
      </c>
      <c r="M3092">
        <v>152</v>
      </c>
      <c r="N3092">
        <v>8746</v>
      </c>
      <c r="O3092">
        <v>137438</v>
      </c>
      <c r="P3092">
        <f t="shared" si="159"/>
        <v>2025</v>
      </c>
      <c r="Q3092">
        <f t="shared" si="160"/>
        <v>10</v>
      </c>
      <c r="R3092" t="str">
        <f t="shared" si="161"/>
        <v>直通车</v>
      </c>
      <c r="S3092" t="str">
        <f>_xlfn.XLOOKUP(B3092,全店核心数据_bymonth!A:A,全店核心数据_bymonth!AN:AN)</f>
        <v>BU26</v>
      </c>
    </row>
    <row r="3093" spans="1:20" x14ac:dyDescent="0.3">
      <c r="A3093" t="s">
        <v>110</v>
      </c>
      <c r="B3093" s="16">
        <v>45931</v>
      </c>
      <c r="C3093" t="s">
        <v>2</v>
      </c>
      <c r="D3093" t="s">
        <v>57</v>
      </c>
      <c r="E3093" t="s">
        <v>63</v>
      </c>
      <c r="F3093">
        <v>19721</v>
      </c>
      <c r="G3093">
        <v>18101</v>
      </c>
      <c r="H3093">
        <v>496</v>
      </c>
      <c r="I3093">
        <v>140</v>
      </c>
      <c r="J3093">
        <v>637806</v>
      </c>
      <c r="K3093">
        <v>102</v>
      </c>
      <c r="L3093">
        <v>463851</v>
      </c>
      <c r="M3093">
        <v>91</v>
      </c>
      <c r="N3093">
        <v>19685</v>
      </c>
      <c r="O3093">
        <v>9444</v>
      </c>
      <c r="P3093">
        <f t="shared" si="159"/>
        <v>2025</v>
      </c>
      <c r="Q3093">
        <f t="shared" si="160"/>
        <v>10</v>
      </c>
      <c r="R3093" t="str">
        <f t="shared" si="161"/>
        <v>万相台</v>
      </c>
      <c r="S3093" t="str">
        <f>_xlfn.XLOOKUP(B3093,全店核心数据_bymonth!A:A,全店核心数据_bymonth!AN:AN)</f>
        <v>BU26</v>
      </c>
    </row>
    <row r="3094" spans="1:20" x14ac:dyDescent="0.3">
      <c r="A3094" t="s">
        <v>110</v>
      </c>
      <c r="B3094" s="16">
        <v>45931</v>
      </c>
      <c r="C3094" t="s">
        <v>2</v>
      </c>
      <c r="D3094" t="s">
        <v>4</v>
      </c>
      <c r="E3094" t="s">
        <v>42</v>
      </c>
      <c r="F3094">
        <v>7</v>
      </c>
      <c r="G3094">
        <v>3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3</v>
      </c>
      <c r="O3094">
        <v>5</v>
      </c>
      <c r="P3094">
        <f t="shared" si="159"/>
        <v>2025</v>
      </c>
      <c r="Q3094">
        <f t="shared" si="160"/>
        <v>10</v>
      </c>
      <c r="R3094" t="str">
        <f t="shared" si="161"/>
        <v>UD效果投放</v>
      </c>
      <c r="S3094" t="str">
        <f>_xlfn.XLOOKUP(B3094,全店核心数据_bymonth!A:A,全店核心数据_bymonth!AN:AN)</f>
        <v>BU26</v>
      </c>
    </row>
    <row r="3095" spans="1:20" x14ac:dyDescent="0.3">
      <c r="A3095" t="s">
        <v>110</v>
      </c>
      <c r="B3095" s="16">
        <v>45931</v>
      </c>
      <c r="C3095" t="s">
        <v>2</v>
      </c>
      <c r="D3095" t="s">
        <v>4</v>
      </c>
      <c r="E3095" t="s">
        <v>41</v>
      </c>
      <c r="F3095">
        <v>84</v>
      </c>
      <c r="G3095">
        <v>51</v>
      </c>
      <c r="H3095">
        <v>3</v>
      </c>
      <c r="I3095">
        <v>2</v>
      </c>
      <c r="J3095">
        <v>0</v>
      </c>
      <c r="K3095">
        <v>0</v>
      </c>
      <c r="L3095">
        <v>0</v>
      </c>
      <c r="M3095">
        <v>0</v>
      </c>
      <c r="N3095">
        <v>10</v>
      </c>
      <c r="O3095">
        <v>75</v>
      </c>
      <c r="P3095">
        <f t="shared" si="159"/>
        <v>2025</v>
      </c>
      <c r="Q3095">
        <f t="shared" si="160"/>
        <v>10</v>
      </c>
      <c r="R3095" t="str">
        <f t="shared" si="161"/>
        <v>流量宝</v>
      </c>
      <c r="S3095" t="str">
        <f>_xlfn.XLOOKUP(B3095,全店核心数据_bymonth!A:A,全店核心数据_bymonth!AN:AN)</f>
        <v>BU26</v>
      </c>
    </row>
    <row r="3096" spans="1:20" x14ac:dyDescent="0.3">
      <c r="A3096" t="s">
        <v>110</v>
      </c>
      <c r="B3096" s="16">
        <v>45931</v>
      </c>
      <c r="C3096" t="s">
        <v>2</v>
      </c>
      <c r="D3096" t="s">
        <v>4</v>
      </c>
      <c r="E3096" t="s">
        <v>43</v>
      </c>
      <c r="F3096">
        <v>5984</v>
      </c>
      <c r="G3096">
        <v>2757</v>
      </c>
      <c r="H3096">
        <v>75</v>
      </c>
      <c r="I3096">
        <v>26</v>
      </c>
      <c r="J3096">
        <v>324637.33</v>
      </c>
      <c r="K3096">
        <v>36</v>
      </c>
      <c r="L3096">
        <v>294804.46000000002</v>
      </c>
      <c r="M3096">
        <v>34</v>
      </c>
      <c r="N3096">
        <v>113</v>
      </c>
      <c r="O3096">
        <v>5898</v>
      </c>
      <c r="P3096">
        <f t="shared" si="159"/>
        <v>2025</v>
      </c>
      <c r="Q3096">
        <f t="shared" si="160"/>
        <v>10</v>
      </c>
      <c r="R3096" t="str">
        <f t="shared" si="161"/>
        <v>淘宝客</v>
      </c>
      <c r="S3096" t="str">
        <f>_xlfn.XLOOKUP(B3096,全店核心数据_bymonth!A:A,全店核心数据_bymonth!AN:AN)</f>
        <v>BU26</v>
      </c>
    </row>
    <row r="3097" spans="1:20" x14ac:dyDescent="0.3">
      <c r="A3097" t="s">
        <v>627</v>
      </c>
      <c r="B3097" s="16">
        <v>45975</v>
      </c>
      <c r="C3097" t="s">
        <v>3</v>
      </c>
      <c r="D3097" t="s">
        <v>114</v>
      </c>
      <c r="E3097" t="s">
        <v>159</v>
      </c>
      <c r="F3097">
        <v>124</v>
      </c>
      <c r="G3097">
        <v>54</v>
      </c>
      <c r="H3097">
        <v>3</v>
      </c>
      <c r="I3097">
        <v>3</v>
      </c>
      <c r="J3097">
        <v>0</v>
      </c>
      <c r="K3097">
        <v>0</v>
      </c>
      <c r="L3097">
        <v>0</v>
      </c>
      <c r="M3097">
        <v>0</v>
      </c>
      <c r="N3097">
        <v>16</v>
      </c>
      <c r="O3097">
        <v>123</v>
      </c>
      <c r="P3097">
        <f t="shared" ref="P3097:P3112" si="162">YEAR(B3097)</f>
        <v>2025</v>
      </c>
      <c r="Q3097">
        <f t="shared" ref="Q3097:Q3112" si="163">MONTH(B3097)</f>
        <v>11</v>
      </c>
      <c r="R3097" t="str">
        <f t="shared" ref="R3097:R3112" si="164">E3097</f>
        <v>主会场</v>
      </c>
      <c r="S3097" t="s">
        <v>784</v>
      </c>
      <c r="T3097" t="s">
        <v>805</v>
      </c>
    </row>
    <row r="3098" spans="1:20" x14ac:dyDescent="0.3">
      <c r="A3098" t="s">
        <v>627</v>
      </c>
      <c r="B3098" s="16">
        <v>45975</v>
      </c>
      <c r="C3098" t="s">
        <v>3</v>
      </c>
      <c r="D3098" t="s">
        <v>123</v>
      </c>
      <c r="E3098" t="s">
        <v>170</v>
      </c>
      <c r="F3098">
        <v>42</v>
      </c>
      <c r="G3098">
        <v>21</v>
      </c>
      <c r="H3098">
        <v>4</v>
      </c>
      <c r="I3098">
        <v>0</v>
      </c>
      <c r="J3098">
        <v>11205</v>
      </c>
      <c r="K3098">
        <v>3</v>
      </c>
      <c r="L3098">
        <v>11205</v>
      </c>
      <c r="M3098">
        <v>3</v>
      </c>
      <c r="N3098">
        <v>36</v>
      </c>
      <c r="O3098">
        <v>18</v>
      </c>
      <c r="P3098">
        <f t="shared" si="162"/>
        <v>2025</v>
      </c>
      <c r="Q3098">
        <f t="shared" si="163"/>
        <v>11</v>
      </c>
      <c r="R3098" t="str">
        <f t="shared" si="164"/>
        <v>店铺超链</v>
      </c>
      <c r="S3098" t="s">
        <v>784</v>
      </c>
      <c r="T3098" t="s">
        <v>805</v>
      </c>
    </row>
    <row r="3099" spans="1:20" x14ac:dyDescent="0.3">
      <c r="A3099" t="s">
        <v>627</v>
      </c>
      <c r="B3099" s="16">
        <v>45975</v>
      </c>
      <c r="C3099" t="s">
        <v>3</v>
      </c>
      <c r="D3099" t="s">
        <v>127</v>
      </c>
      <c r="E3099" t="s">
        <v>171</v>
      </c>
      <c r="F3099">
        <v>700</v>
      </c>
      <c r="G3099">
        <v>263</v>
      </c>
      <c r="H3099">
        <v>16</v>
      </c>
      <c r="I3099">
        <v>9</v>
      </c>
      <c r="J3099">
        <v>27710</v>
      </c>
      <c r="K3099">
        <v>5</v>
      </c>
      <c r="L3099">
        <v>23720</v>
      </c>
      <c r="M3099">
        <v>5</v>
      </c>
      <c r="N3099">
        <v>97</v>
      </c>
      <c r="O3099">
        <v>685</v>
      </c>
      <c r="P3099">
        <f t="shared" si="162"/>
        <v>2025</v>
      </c>
      <c r="Q3099">
        <f t="shared" si="163"/>
        <v>11</v>
      </c>
      <c r="R3099" t="str">
        <f t="shared" si="164"/>
        <v>其他猜你喜欢</v>
      </c>
      <c r="S3099" t="s">
        <v>784</v>
      </c>
      <c r="T3099" t="s">
        <v>805</v>
      </c>
    </row>
    <row r="3100" spans="1:20" x14ac:dyDescent="0.3">
      <c r="A3100" t="s">
        <v>627</v>
      </c>
      <c r="B3100" s="16">
        <v>45975</v>
      </c>
      <c r="C3100" t="s">
        <v>3</v>
      </c>
      <c r="D3100" t="s">
        <v>127</v>
      </c>
      <c r="E3100" t="s">
        <v>172</v>
      </c>
      <c r="F3100">
        <v>124</v>
      </c>
      <c r="G3100">
        <v>47</v>
      </c>
      <c r="H3100">
        <v>6</v>
      </c>
      <c r="I3100">
        <v>0</v>
      </c>
      <c r="J3100">
        <v>15710</v>
      </c>
      <c r="K3100">
        <v>3</v>
      </c>
      <c r="L3100">
        <v>15710</v>
      </c>
      <c r="M3100">
        <v>3</v>
      </c>
      <c r="N3100">
        <v>17</v>
      </c>
      <c r="O3100">
        <v>118</v>
      </c>
      <c r="P3100">
        <f t="shared" si="162"/>
        <v>2025</v>
      </c>
      <c r="Q3100">
        <f t="shared" si="163"/>
        <v>11</v>
      </c>
      <c r="R3100" t="str">
        <f t="shared" si="164"/>
        <v>购中推荐</v>
      </c>
      <c r="S3100" t="s">
        <v>784</v>
      </c>
      <c r="T3100" t="s">
        <v>805</v>
      </c>
    </row>
    <row r="3101" spans="1:20" x14ac:dyDescent="0.3">
      <c r="A3101" t="s">
        <v>627</v>
      </c>
      <c r="B3101" s="16">
        <v>45975</v>
      </c>
      <c r="C3101" t="s">
        <v>3</v>
      </c>
      <c r="D3101" t="s">
        <v>127</v>
      </c>
      <c r="E3101" t="s">
        <v>173</v>
      </c>
      <c r="F3101">
        <v>707</v>
      </c>
      <c r="G3101">
        <v>269</v>
      </c>
      <c r="H3101">
        <v>27</v>
      </c>
      <c r="I3101">
        <v>4</v>
      </c>
      <c r="J3101">
        <v>36480</v>
      </c>
      <c r="K3101">
        <v>7</v>
      </c>
      <c r="L3101">
        <v>24890</v>
      </c>
      <c r="M3101">
        <v>6</v>
      </c>
      <c r="N3101">
        <v>47</v>
      </c>
      <c r="O3101">
        <v>693</v>
      </c>
      <c r="P3101">
        <f t="shared" si="162"/>
        <v>2025</v>
      </c>
      <c r="Q3101">
        <f t="shared" si="163"/>
        <v>11</v>
      </c>
      <c r="R3101" t="str">
        <f t="shared" si="164"/>
        <v>购后推荐</v>
      </c>
      <c r="S3101" t="s">
        <v>784</v>
      </c>
      <c r="T3101" t="s">
        <v>805</v>
      </c>
    </row>
    <row r="3102" spans="1:20" x14ac:dyDescent="0.3">
      <c r="A3102" t="s">
        <v>627</v>
      </c>
      <c r="B3102" s="16">
        <v>45975</v>
      </c>
      <c r="C3102" t="s">
        <v>3</v>
      </c>
      <c r="D3102" t="s">
        <v>127</v>
      </c>
      <c r="E3102" t="s">
        <v>174</v>
      </c>
      <c r="F3102">
        <v>5034</v>
      </c>
      <c r="G3102">
        <v>1813</v>
      </c>
      <c r="H3102">
        <v>72</v>
      </c>
      <c r="I3102">
        <v>17</v>
      </c>
      <c r="J3102">
        <v>99670</v>
      </c>
      <c r="K3102">
        <v>17</v>
      </c>
      <c r="L3102">
        <v>82260</v>
      </c>
      <c r="M3102">
        <v>14</v>
      </c>
      <c r="N3102">
        <v>263</v>
      </c>
      <c r="O3102">
        <v>5034</v>
      </c>
      <c r="P3102">
        <f t="shared" si="162"/>
        <v>2025</v>
      </c>
      <c r="Q3102">
        <f t="shared" si="163"/>
        <v>11</v>
      </c>
      <c r="R3102" t="str">
        <f t="shared" si="164"/>
        <v>首页推荐-微详情</v>
      </c>
      <c r="S3102" t="s">
        <v>784</v>
      </c>
      <c r="T3102" t="s">
        <v>805</v>
      </c>
    </row>
    <row r="3103" spans="1:20" x14ac:dyDescent="0.3">
      <c r="A3103" t="s">
        <v>627</v>
      </c>
      <c r="B3103" s="16">
        <v>45975</v>
      </c>
      <c r="C3103" t="s">
        <v>3</v>
      </c>
      <c r="D3103" t="s">
        <v>127</v>
      </c>
      <c r="E3103" t="s">
        <v>176</v>
      </c>
      <c r="F3103">
        <v>107</v>
      </c>
      <c r="G3103">
        <v>47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3</v>
      </c>
      <c r="O3103">
        <v>16</v>
      </c>
      <c r="P3103">
        <f t="shared" si="162"/>
        <v>2025</v>
      </c>
      <c r="Q3103">
        <f t="shared" si="163"/>
        <v>11</v>
      </c>
      <c r="R3103" t="str">
        <f t="shared" si="164"/>
        <v>首页推荐-短视频</v>
      </c>
      <c r="S3103" t="s">
        <v>784</v>
      </c>
      <c r="T3103" t="s">
        <v>805</v>
      </c>
    </row>
    <row r="3104" spans="1:20" x14ac:dyDescent="0.3">
      <c r="A3104" t="s">
        <v>627</v>
      </c>
      <c r="B3104" s="16">
        <v>45975</v>
      </c>
      <c r="C3104" t="s">
        <v>3</v>
      </c>
      <c r="D3104" t="s">
        <v>128</v>
      </c>
      <c r="E3104" t="s">
        <v>177</v>
      </c>
      <c r="F3104">
        <v>2943</v>
      </c>
      <c r="G3104">
        <v>2511</v>
      </c>
      <c r="H3104">
        <v>59</v>
      </c>
      <c r="I3104">
        <v>16</v>
      </c>
      <c r="J3104">
        <v>52785.61</v>
      </c>
      <c r="K3104">
        <v>11</v>
      </c>
      <c r="L3104">
        <v>35285.61</v>
      </c>
      <c r="M3104">
        <v>10</v>
      </c>
      <c r="N3104">
        <v>379</v>
      </c>
      <c r="O3104">
        <v>2855</v>
      </c>
      <c r="P3104">
        <f t="shared" si="162"/>
        <v>2025</v>
      </c>
      <c r="Q3104">
        <f t="shared" si="163"/>
        <v>11</v>
      </c>
      <c r="R3104" t="str">
        <f t="shared" si="164"/>
        <v>手淘搜索-商品及其他</v>
      </c>
      <c r="S3104" t="s">
        <v>784</v>
      </c>
      <c r="T3104" t="s">
        <v>805</v>
      </c>
    </row>
    <row r="3105" spans="1:20" x14ac:dyDescent="0.3">
      <c r="A3105" t="s">
        <v>627</v>
      </c>
      <c r="B3105" s="16">
        <v>45975</v>
      </c>
      <c r="C3105" t="s">
        <v>3</v>
      </c>
      <c r="D3105" t="s">
        <v>128</v>
      </c>
      <c r="E3105" t="s">
        <v>179</v>
      </c>
      <c r="F3105">
        <v>17</v>
      </c>
      <c r="G3105">
        <v>4</v>
      </c>
      <c r="H3105">
        <v>1</v>
      </c>
      <c r="I3105">
        <v>1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14</v>
      </c>
      <c r="P3105">
        <f t="shared" si="162"/>
        <v>2025</v>
      </c>
      <c r="Q3105">
        <f t="shared" si="163"/>
        <v>11</v>
      </c>
      <c r="R3105" t="str">
        <f t="shared" si="164"/>
        <v>手淘搜索-短视频</v>
      </c>
      <c r="S3105" t="s">
        <v>784</v>
      </c>
      <c r="T3105" t="s">
        <v>805</v>
      </c>
    </row>
    <row r="3106" spans="1:20" x14ac:dyDescent="0.3">
      <c r="A3106" t="s">
        <v>627</v>
      </c>
      <c r="B3106" s="16">
        <v>45975</v>
      </c>
      <c r="C3106" t="s">
        <v>3</v>
      </c>
      <c r="D3106" t="s">
        <v>143</v>
      </c>
      <c r="E3106" t="s">
        <v>180</v>
      </c>
      <c r="F3106">
        <v>1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</v>
      </c>
      <c r="P3106">
        <f t="shared" si="162"/>
        <v>2025</v>
      </c>
      <c r="Q3106">
        <f t="shared" si="163"/>
        <v>11</v>
      </c>
      <c r="R3106" t="str">
        <f t="shared" si="164"/>
        <v>淘特其他渠道</v>
      </c>
      <c r="S3106" t="s">
        <v>784</v>
      </c>
      <c r="T3106" t="s">
        <v>805</v>
      </c>
    </row>
    <row r="3107" spans="1:20" x14ac:dyDescent="0.3">
      <c r="A3107" t="s">
        <v>627</v>
      </c>
      <c r="B3107" s="16">
        <v>45975</v>
      </c>
      <c r="C3107" t="s">
        <v>3</v>
      </c>
      <c r="D3107" t="s">
        <v>143</v>
      </c>
      <c r="E3107" t="s">
        <v>181</v>
      </c>
      <c r="F3107">
        <v>1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1</v>
      </c>
      <c r="P3107">
        <f t="shared" si="162"/>
        <v>2025</v>
      </c>
      <c r="Q3107">
        <f t="shared" si="163"/>
        <v>11</v>
      </c>
      <c r="R3107" t="str">
        <f t="shared" si="164"/>
        <v>淘特搜索</v>
      </c>
      <c r="S3107" t="s">
        <v>784</v>
      </c>
      <c r="T3107" t="s">
        <v>805</v>
      </c>
    </row>
    <row r="3108" spans="1:20" x14ac:dyDescent="0.3">
      <c r="A3108" t="s">
        <v>627</v>
      </c>
      <c r="B3108" s="16">
        <v>45975</v>
      </c>
      <c r="C3108" t="s">
        <v>2</v>
      </c>
      <c r="D3108" t="s">
        <v>55</v>
      </c>
      <c r="E3108" t="s">
        <v>54</v>
      </c>
      <c r="F3108">
        <v>1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</v>
      </c>
      <c r="P3108">
        <f t="shared" si="162"/>
        <v>2025</v>
      </c>
      <c r="Q3108">
        <f t="shared" si="163"/>
        <v>11</v>
      </c>
      <c r="R3108" t="str">
        <f t="shared" si="164"/>
        <v>超级直播</v>
      </c>
      <c r="S3108" t="s">
        <v>784</v>
      </c>
      <c r="T3108" t="s">
        <v>805</v>
      </c>
    </row>
    <row r="3109" spans="1:20" x14ac:dyDescent="0.3">
      <c r="A3109" t="s">
        <v>627</v>
      </c>
      <c r="B3109" s="16">
        <v>45975</v>
      </c>
      <c r="C3109" t="s">
        <v>2</v>
      </c>
      <c r="D3109" t="s">
        <v>55</v>
      </c>
      <c r="E3109" t="s">
        <v>56</v>
      </c>
      <c r="F3109">
        <v>9</v>
      </c>
      <c r="G3109">
        <v>4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9</v>
      </c>
      <c r="P3109">
        <f t="shared" si="162"/>
        <v>2025</v>
      </c>
      <c r="Q3109">
        <f t="shared" si="163"/>
        <v>11</v>
      </c>
      <c r="R3109" t="str">
        <f t="shared" si="164"/>
        <v>超级短视频</v>
      </c>
      <c r="S3109" t="s">
        <v>784</v>
      </c>
      <c r="T3109" t="s">
        <v>805</v>
      </c>
    </row>
    <row r="3110" spans="1:20" x14ac:dyDescent="0.3">
      <c r="A3110" t="s">
        <v>627</v>
      </c>
      <c r="B3110" s="16">
        <v>45975</v>
      </c>
      <c r="C3110" t="s">
        <v>2</v>
      </c>
      <c r="D3110" t="s">
        <v>52</v>
      </c>
      <c r="E3110" t="s">
        <v>58</v>
      </c>
      <c r="F3110">
        <v>1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1</v>
      </c>
      <c r="P3110">
        <f t="shared" si="162"/>
        <v>2025</v>
      </c>
      <c r="Q3110">
        <f t="shared" si="163"/>
        <v>11</v>
      </c>
      <c r="R3110" t="str">
        <f t="shared" si="164"/>
        <v>超级全域通</v>
      </c>
      <c r="S3110" t="s">
        <v>784</v>
      </c>
      <c r="T3110" t="s">
        <v>805</v>
      </c>
    </row>
    <row r="3111" spans="1:20" x14ac:dyDescent="0.3">
      <c r="A3111" t="s">
        <v>627</v>
      </c>
      <c r="B3111" s="16">
        <v>45975</v>
      </c>
      <c r="C3111" t="s">
        <v>2</v>
      </c>
      <c r="D3111" t="s">
        <v>57</v>
      </c>
      <c r="E3111" t="s">
        <v>63</v>
      </c>
      <c r="F3111">
        <v>737</v>
      </c>
      <c r="G3111">
        <v>598</v>
      </c>
      <c r="H3111">
        <v>20</v>
      </c>
      <c r="I3111">
        <v>4</v>
      </c>
      <c r="J3111">
        <v>28710</v>
      </c>
      <c r="K3111">
        <v>8</v>
      </c>
      <c r="L3111">
        <v>28710</v>
      </c>
      <c r="M3111">
        <v>8</v>
      </c>
      <c r="N3111">
        <v>736</v>
      </c>
      <c r="O3111">
        <v>399</v>
      </c>
      <c r="P3111">
        <f t="shared" si="162"/>
        <v>2025</v>
      </c>
      <c r="Q3111">
        <f t="shared" si="163"/>
        <v>11</v>
      </c>
      <c r="R3111" t="str">
        <f t="shared" si="164"/>
        <v>万相台</v>
      </c>
      <c r="S3111" t="s">
        <v>784</v>
      </c>
      <c r="T3111" t="s">
        <v>805</v>
      </c>
    </row>
    <row r="3112" spans="1:20" x14ac:dyDescent="0.3">
      <c r="A3112" t="s">
        <v>627</v>
      </c>
      <c r="B3112" s="16">
        <v>45975</v>
      </c>
      <c r="C3112" t="s">
        <v>2</v>
      </c>
      <c r="D3112" t="s">
        <v>57</v>
      </c>
      <c r="E3112" t="s">
        <v>64</v>
      </c>
      <c r="F3112">
        <v>15016</v>
      </c>
      <c r="G3112">
        <v>5934</v>
      </c>
      <c r="H3112">
        <v>44</v>
      </c>
      <c r="I3112">
        <v>76</v>
      </c>
      <c r="J3112">
        <v>48890</v>
      </c>
      <c r="K3112">
        <v>7</v>
      </c>
      <c r="L3112">
        <v>35190</v>
      </c>
      <c r="M3112">
        <v>5</v>
      </c>
      <c r="N3112">
        <v>242</v>
      </c>
      <c r="O3112">
        <v>15016</v>
      </c>
      <c r="P3112">
        <f t="shared" si="162"/>
        <v>2025</v>
      </c>
      <c r="Q3112">
        <f t="shared" si="163"/>
        <v>11</v>
      </c>
      <c r="R3112" t="str">
        <f t="shared" si="164"/>
        <v>引力魔方</v>
      </c>
      <c r="S3112" t="s">
        <v>784</v>
      </c>
      <c r="T3112" t="s">
        <v>805</v>
      </c>
    </row>
    <row r="3113" spans="1:20" x14ac:dyDescent="0.3">
      <c r="A3113" t="s">
        <v>627</v>
      </c>
      <c r="B3113" s="16">
        <v>45975</v>
      </c>
      <c r="C3113" t="s">
        <v>2</v>
      </c>
      <c r="D3113" t="s">
        <v>57</v>
      </c>
      <c r="E3113" t="s">
        <v>65</v>
      </c>
      <c r="F3113">
        <v>3492</v>
      </c>
      <c r="G3113">
        <v>2748</v>
      </c>
      <c r="H3113">
        <v>23</v>
      </c>
      <c r="I3113">
        <v>11</v>
      </c>
      <c r="J3113">
        <v>106905</v>
      </c>
      <c r="K3113">
        <v>7</v>
      </c>
      <c r="L3113">
        <v>17405</v>
      </c>
      <c r="M3113">
        <v>5</v>
      </c>
      <c r="N3113">
        <v>221</v>
      </c>
      <c r="O3113">
        <v>3455</v>
      </c>
      <c r="P3113">
        <f t="shared" ref="P3113:P3176" si="165">YEAR(B3113)</f>
        <v>2025</v>
      </c>
      <c r="Q3113">
        <f t="shared" ref="Q3113:Q3176" si="166">MONTH(B3113)</f>
        <v>11</v>
      </c>
      <c r="R3113" t="str">
        <f t="shared" ref="R3113:R3176" si="167">E3113</f>
        <v>直通车</v>
      </c>
      <c r="S3113" t="s">
        <v>784</v>
      </c>
      <c r="T3113" t="s">
        <v>805</v>
      </c>
    </row>
    <row r="3114" spans="1:20" x14ac:dyDescent="0.3">
      <c r="A3114" t="s">
        <v>627</v>
      </c>
      <c r="B3114" s="16">
        <v>45975</v>
      </c>
      <c r="C3114" t="s">
        <v>2</v>
      </c>
      <c r="D3114" t="s">
        <v>4</v>
      </c>
      <c r="E3114" t="s">
        <v>41</v>
      </c>
      <c r="F3114">
        <v>2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1</v>
      </c>
      <c r="O3114">
        <v>1</v>
      </c>
      <c r="P3114">
        <f t="shared" si="165"/>
        <v>2025</v>
      </c>
      <c r="Q3114">
        <f t="shared" si="166"/>
        <v>11</v>
      </c>
      <c r="R3114" t="str">
        <f t="shared" si="167"/>
        <v>流量宝</v>
      </c>
      <c r="S3114" t="s">
        <v>784</v>
      </c>
      <c r="T3114" t="s">
        <v>805</v>
      </c>
    </row>
    <row r="3115" spans="1:20" x14ac:dyDescent="0.3">
      <c r="A3115" t="s">
        <v>627</v>
      </c>
      <c r="B3115" s="16">
        <v>45975</v>
      </c>
      <c r="C3115" t="s">
        <v>2</v>
      </c>
      <c r="D3115" t="s">
        <v>4</v>
      </c>
      <c r="E3115" t="s">
        <v>43</v>
      </c>
      <c r="F3115">
        <v>348</v>
      </c>
      <c r="G3115">
        <v>64</v>
      </c>
      <c r="H3115">
        <v>5</v>
      </c>
      <c r="I3115">
        <v>3</v>
      </c>
      <c r="J3115">
        <v>48700.480000000003</v>
      </c>
      <c r="K3115">
        <v>7</v>
      </c>
      <c r="L3115">
        <v>41710.480000000003</v>
      </c>
      <c r="M3115">
        <v>7</v>
      </c>
      <c r="N3115">
        <v>10</v>
      </c>
      <c r="O3115">
        <v>347</v>
      </c>
      <c r="P3115">
        <f t="shared" si="165"/>
        <v>2025</v>
      </c>
      <c r="Q3115">
        <f t="shared" si="166"/>
        <v>11</v>
      </c>
      <c r="R3115" t="str">
        <f t="shared" si="167"/>
        <v>淘宝客</v>
      </c>
      <c r="S3115" t="s">
        <v>784</v>
      </c>
      <c r="T3115" t="s">
        <v>805</v>
      </c>
    </row>
    <row r="3116" spans="1:20" x14ac:dyDescent="0.3">
      <c r="A3116" t="s">
        <v>627</v>
      </c>
      <c r="B3116" s="16">
        <v>45974</v>
      </c>
      <c r="C3116" t="s">
        <v>3</v>
      </c>
      <c r="D3116" t="s">
        <v>114</v>
      </c>
      <c r="E3116" t="s">
        <v>159</v>
      </c>
      <c r="F3116">
        <v>113</v>
      </c>
      <c r="G3116">
        <v>36</v>
      </c>
      <c r="H3116">
        <v>5</v>
      </c>
      <c r="I3116">
        <v>0</v>
      </c>
      <c r="J3116">
        <v>11530</v>
      </c>
      <c r="K3116">
        <v>2</v>
      </c>
      <c r="L3116">
        <v>4990</v>
      </c>
      <c r="M3116">
        <v>1</v>
      </c>
      <c r="N3116">
        <v>8</v>
      </c>
      <c r="O3116">
        <v>113</v>
      </c>
      <c r="P3116">
        <f t="shared" si="165"/>
        <v>2025</v>
      </c>
      <c r="Q3116">
        <f t="shared" si="166"/>
        <v>11</v>
      </c>
      <c r="R3116" t="str">
        <f t="shared" si="167"/>
        <v>主会场</v>
      </c>
      <c r="S3116" t="s">
        <v>784</v>
      </c>
      <c r="T3116" t="s">
        <v>805</v>
      </c>
    </row>
    <row r="3117" spans="1:20" x14ac:dyDescent="0.3">
      <c r="A3117" t="s">
        <v>627</v>
      </c>
      <c r="B3117" s="16">
        <v>45974</v>
      </c>
      <c r="C3117" t="s">
        <v>3</v>
      </c>
      <c r="D3117" t="s">
        <v>114</v>
      </c>
      <c r="E3117" t="s">
        <v>160</v>
      </c>
      <c r="F3117">
        <v>1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1</v>
      </c>
      <c r="O3117">
        <v>1</v>
      </c>
      <c r="P3117">
        <f t="shared" si="165"/>
        <v>2025</v>
      </c>
      <c r="Q3117">
        <f t="shared" si="166"/>
        <v>11</v>
      </c>
      <c r="R3117" t="str">
        <f t="shared" si="167"/>
        <v>榜单会场</v>
      </c>
      <c r="S3117" t="s">
        <v>784</v>
      </c>
      <c r="T3117" t="s">
        <v>805</v>
      </c>
    </row>
    <row r="3118" spans="1:20" x14ac:dyDescent="0.3">
      <c r="A3118" t="s">
        <v>627</v>
      </c>
      <c r="B3118" s="16">
        <v>45974</v>
      </c>
      <c r="C3118" t="s">
        <v>3</v>
      </c>
      <c r="D3118" t="s">
        <v>117</v>
      </c>
      <c r="E3118" t="s">
        <v>161</v>
      </c>
      <c r="F3118">
        <v>1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1</v>
      </c>
      <c r="O3118">
        <v>1</v>
      </c>
      <c r="P3118">
        <f t="shared" si="165"/>
        <v>2025</v>
      </c>
      <c r="Q3118">
        <f t="shared" si="166"/>
        <v>11</v>
      </c>
      <c r="R3118" t="str">
        <f t="shared" si="167"/>
        <v>其他入口榜单</v>
      </c>
      <c r="S3118" t="s">
        <v>784</v>
      </c>
      <c r="T3118" t="s">
        <v>805</v>
      </c>
    </row>
    <row r="3119" spans="1:20" x14ac:dyDescent="0.3">
      <c r="A3119" t="s">
        <v>627</v>
      </c>
      <c r="B3119" s="16">
        <v>45974</v>
      </c>
      <c r="C3119" t="s">
        <v>3</v>
      </c>
      <c r="D3119" t="s">
        <v>123</v>
      </c>
      <c r="E3119" t="s">
        <v>170</v>
      </c>
      <c r="F3119">
        <v>54</v>
      </c>
      <c r="G3119">
        <v>31</v>
      </c>
      <c r="H3119">
        <v>1</v>
      </c>
      <c r="I3119">
        <v>2</v>
      </c>
      <c r="J3119">
        <v>3700</v>
      </c>
      <c r="K3119">
        <v>1</v>
      </c>
      <c r="L3119">
        <v>3700</v>
      </c>
      <c r="M3119">
        <v>1</v>
      </c>
      <c r="N3119">
        <v>48</v>
      </c>
      <c r="O3119">
        <v>23</v>
      </c>
      <c r="P3119">
        <f t="shared" si="165"/>
        <v>2025</v>
      </c>
      <c r="Q3119">
        <f t="shared" si="166"/>
        <v>11</v>
      </c>
      <c r="R3119" t="str">
        <f t="shared" si="167"/>
        <v>店铺超链</v>
      </c>
      <c r="S3119" t="s">
        <v>784</v>
      </c>
      <c r="T3119" t="s">
        <v>805</v>
      </c>
    </row>
    <row r="3120" spans="1:20" x14ac:dyDescent="0.3">
      <c r="A3120" t="s">
        <v>627</v>
      </c>
      <c r="B3120" s="16">
        <v>45974</v>
      </c>
      <c r="C3120" t="s">
        <v>3</v>
      </c>
      <c r="D3120" t="s">
        <v>127</v>
      </c>
      <c r="E3120" t="s">
        <v>171</v>
      </c>
      <c r="F3120">
        <v>859</v>
      </c>
      <c r="G3120">
        <v>390</v>
      </c>
      <c r="H3120">
        <v>34</v>
      </c>
      <c r="I3120">
        <v>13</v>
      </c>
      <c r="J3120">
        <v>43780</v>
      </c>
      <c r="K3120">
        <v>6</v>
      </c>
      <c r="L3120">
        <v>23710</v>
      </c>
      <c r="M3120">
        <v>4</v>
      </c>
      <c r="N3120">
        <v>123</v>
      </c>
      <c r="O3120">
        <v>824</v>
      </c>
      <c r="P3120">
        <f t="shared" si="165"/>
        <v>2025</v>
      </c>
      <c r="Q3120">
        <f t="shared" si="166"/>
        <v>11</v>
      </c>
      <c r="R3120" t="str">
        <f t="shared" si="167"/>
        <v>其他猜你喜欢</v>
      </c>
      <c r="S3120" t="s">
        <v>784</v>
      </c>
      <c r="T3120" t="s">
        <v>805</v>
      </c>
    </row>
    <row r="3121" spans="1:20" x14ac:dyDescent="0.3">
      <c r="A3121" t="s">
        <v>627</v>
      </c>
      <c r="B3121" s="16">
        <v>45974</v>
      </c>
      <c r="C3121" t="s">
        <v>3</v>
      </c>
      <c r="D3121" t="s">
        <v>127</v>
      </c>
      <c r="E3121" t="s">
        <v>172</v>
      </c>
      <c r="F3121">
        <v>151</v>
      </c>
      <c r="G3121">
        <v>71</v>
      </c>
      <c r="H3121">
        <v>7</v>
      </c>
      <c r="I3121">
        <v>1</v>
      </c>
      <c r="J3121">
        <v>0</v>
      </c>
      <c r="K3121">
        <v>0</v>
      </c>
      <c r="L3121">
        <v>0</v>
      </c>
      <c r="M3121">
        <v>0</v>
      </c>
      <c r="N3121">
        <v>12</v>
      </c>
      <c r="O3121">
        <v>134</v>
      </c>
      <c r="P3121">
        <f t="shared" si="165"/>
        <v>2025</v>
      </c>
      <c r="Q3121">
        <f t="shared" si="166"/>
        <v>11</v>
      </c>
      <c r="R3121" t="str">
        <f t="shared" si="167"/>
        <v>购中推荐</v>
      </c>
      <c r="S3121" t="s">
        <v>784</v>
      </c>
      <c r="T3121" t="s">
        <v>805</v>
      </c>
    </row>
    <row r="3122" spans="1:20" x14ac:dyDescent="0.3">
      <c r="A3122" t="s">
        <v>627</v>
      </c>
      <c r="B3122" s="16">
        <v>45974</v>
      </c>
      <c r="C3122" t="s">
        <v>3</v>
      </c>
      <c r="D3122" t="s">
        <v>127</v>
      </c>
      <c r="E3122" t="s">
        <v>173</v>
      </c>
      <c r="F3122">
        <v>1028</v>
      </c>
      <c r="G3122">
        <v>506</v>
      </c>
      <c r="H3122">
        <v>33</v>
      </c>
      <c r="I3122">
        <v>2</v>
      </c>
      <c r="J3122">
        <v>14890</v>
      </c>
      <c r="K3122">
        <v>2</v>
      </c>
      <c r="L3122">
        <v>9900</v>
      </c>
      <c r="M3122">
        <v>1</v>
      </c>
      <c r="N3122">
        <v>61</v>
      </c>
      <c r="O3122">
        <v>869</v>
      </c>
      <c r="P3122">
        <f t="shared" si="165"/>
        <v>2025</v>
      </c>
      <c r="Q3122">
        <f t="shared" si="166"/>
        <v>11</v>
      </c>
      <c r="R3122" t="str">
        <f t="shared" si="167"/>
        <v>购后推荐</v>
      </c>
      <c r="S3122" t="s">
        <v>784</v>
      </c>
      <c r="T3122" t="s">
        <v>805</v>
      </c>
    </row>
    <row r="3123" spans="1:20" x14ac:dyDescent="0.3">
      <c r="A3123" t="s">
        <v>627</v>
      </c>
      <c r="B3123" s="16">
        <v>45974</v>
      </c>
      <c r="C3123" t="s">
        <v>3</v>
      </c>
      <c r="D3123" t="s">
        <v>127</v>
      </c>
      <c r="E3123" t="s">
        <v>174</v>
      </c>
      <c r="F3123">
        <v>6172</v>
      </c>
      <c r="G3123">
        <v>2709</v>
      </c>
      <c r="H3123">
        <v>77</v>
      </c>
      <c r="I3123">
        <v>24</v>
      </c>
      <c r="J3123">
        <v>96195</v>
      </c>
      <c r="K3123">
        <v>15</v>
      </c>
      <c r="L3123">
        <v>48520</v>
      </c>
      <c r="M3123">
        <v>10</v>
      </c>
      <c r="N3123">
        <v>301</v>
      </c>
      <c r="O3123">
        <v>6172</v>
      </c>
      <c r="P3123">
        <f t="shared" si="165"/>
        <v>2025</v>
      </c>
      <c r="Q3123">
        <f t="shared" si="166"/>
        <v>11</v>
      </c>
      <c r="R3123" t="str">
        <f t="shared" si="167"/>
        <v>首页推荐-微详情</v>
      </c>
      <c r="S3123" t="s">
        <v>784</v>
      </c>
      <c r="T3123" t="s">
        <v>805</v>
      </c>
    </row>
    <row r="3124" spans="1:20" x14ac:dyDescent="0.3">
      <c r="A3124" t="s">
        <v>627</v>
      </c>
      <c r="B3124" s="16">
        <v>45974</v>
      </c>
      <c r="C3124" t="s">
        <v>3</v>
      </c>
      <c r="D3124" t="s">
        <v>127</v>
      </c>
      <c r="E3124" t="s">
        <v>176</v>
      </c>
      <c r="F3124">
        <v>203</v>
      </c>
      <c r="G3124">
        <v>121</v>
      </c>
      <c r="H3124">
        <v>0</v>
      </c>
      <c r="I3124">
        <v>1</v>
      </c>
      <c r="J3124">
        <v>0</v>
      </c>
      <c r="K3124">
        <v>0</v>
      </c>
      <c r="L3124">
        <v>0</v>
      </c>
      <c r="M3124">
        <v>0</v>
      </c>
      <c r="N3124">
        <v>1</v>
      </c>
      <c r="O3124">
        <v>24</v>
      </c>
      <c r="P3124">
        <f t="shared" si="165"/>
        <v>2025</v>
      </c>
      <c r="Q3124">
        <f t="shared" si="166"/>
        <v>11</v>
      </c>
      <c r="R3124" t="str">
        <f t="shared" si="167"/>
        <v>首页推荐-短视频</v>
      </c>
      <c r="S3124" t="s">
        <v>784</v>
      </c>
      <c r="T3124" t="s">
        <v>805</v>
      </c>
    </row>
    <row r="3125" spans="1:20" x14ac:dyDescent="0.3">
      <c r="A3125" t="s">
        <v>627</v>
      </c>
      <c r="B3125" s="16">
        <v>45974</v>
      </c>
      <c r="C3125" t="s">
        <v>3</v>
      </c>
      <c r="D3125" t="s">
        <v>128</v>
      </c>
      <c r="E3125" t="s">
        <v>177</v>
      </c>
      <c r="F3125">
        <v>3230</v>
      </c>
      <c r="G3125">
        <v>2743</v>
      </c>
      <c r="H3125">
        <v>56</v>
      </c>
      <c r="I3125">
        <v>19</v>
      </c>
      <c r="J3125">
        <v>81450</v>
      </c>
      <c r="K3125">
        <v>13</v>
      </c>
      <c r="L3125">
        <v>62520</v>
      </c>
      <c r="M3125">
        <v>13</v>
      </c>
      <c r="N3125">
        <v>396</v>
      </c>
      <c r="O3125">
        <v>3142</v>
      </c>
      <c r="P3125">
        <f t="shared" si="165"/>
        <v>2025</v>
      </c>
      <c r="Q3125">
        <f t="shared" si="166"/>
        <v>11</v>
      </c>
      <c r="R3125" t="str">
        <f t="shared" si="167"/>
        <v>手淘搜索-商品及其他</v>
      </c>
      <c r="S3125" t="s">
        <v>784</v>
      </c>
      <c r="T3125" t="s">
        <v>805</v>
      </c>
    </row>
    <row r="3126" spans="1:20" x14ac:dyDescent="0.3">
      <c r="A3126" t="s">
        <v>627</v>
      </c>
      <c r="B3126" s="16">
        <v>45974</v>
      </c>
      <c r="C3126" t="s">
        <v>3</v>
      </c>
      <c r="D3126" t="s">
        <v>128</v>
      </c>
      <c r="E3126" t="s">
        <v>179</v>
      </c>
      <c r="F3126">
        <v>28</v>
      </c>
      <c r="G3126">
        <v>14</v>
      </c>
      <c r="H3126">
        <v>2</v>
      </c>
      <c r="I3126">
        <v>1</v>
      </c>
      <c r="J3126">
        <v>0</v>
      </c>
      <c r="K3126">
        <v>0</v>
      </c>
      <c r="L3126">
        <v>0</v>
      </c>
      <c r="M3126">
        <v>0</v>
      </c>
      <c r="N3126">
        <v>1</v>
      </c>
      <c r="O3126">
        <v>24</v>
      </c>
      <c r="P3126">
        <f t="shared" si="165"/>
        <v>2025</v>
      </c>
      <c r="Q3126">
        <f t="shared" si="166"/>
        <v>11</v>
      </c>
      <c r="R3126" t="str">
        <f t="shared" si="167"/>
        <v>手淘搜索-短视频</v>
      </c>
      <c r="S3126" t="s">
        <v>784</v>
      </c>
      <c r="T3126" t="s">
        <v>805</v>
      </c>
    </row>
    <row r="3127" spans="1:20" x14ac:dyDescent="0.3">
      <c r="A3127" t="s">
        <v>627</v>
      </c>
      <c r="B3127" s="16">
        <v>45974</v>
      </c>
      <c r="C3127" t="s">
        <v>3</v>
      </c>
      <c r="D3127" t="s">
        <v>143</v>
      </c>
      <c r="E3127" t="s">
        <v>180</v>
      </c>
      <c r="F3127">
        <v>1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1</v>
      </c>
      <c r="P3127">
        <f t="shared" si="165"/>
        <v>2025</v>
      </c>
      <c r="Q3127">
        <f t="shared" si="166"/>
        <v>11</v>
      </c>
      <c r="R3127" t="str">
        <f t="shared" si="167"/>
        <v>淘特其他渠道</v>
      </c>
      <c r="S3127" t="s">
        <v>784</v>
      </c>
      <c r="T3127" t="s">
        <v>805</v>
      </c>
    </row>
    <row r="3128" spans="1:20" x14ac:dyDescent="0.3">
      <c r="A3128" t="s">
        <v>627</v>
      </c>
      <c r="B3128" s="16">
        <v>45974</v>
      </c>
      <c r="C3128" t="s">
        <v>3</v>
      </c>
      <c r="D3128" t="s">
        <v>143</v>
      </c>
      <c r="E3128" t="s">
        <v>181</v>
      </c>
      <c r="F3128">
        <v>1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1</v>
      </c>
      <c r="P3128">
        <f t="shared" si="165"/>
        <v>2025</v>
      </c>
      <c r="Q3128">
        <f t="shared" si="166"/>
        <v>11</v>
      </c>
      <c r="R3128" t="str">
        <f t="shared" si="167"/>
        <v>淘特搜索</v>
      </c>
      <c r="S3128" t="s">
        <v>784</v>
      </c>
      <c r="T3128" t="s">
        <v>805</v>
      </c>
    </row>
    <row r="3129" spans="1:20" x14ac:dyDescent="0.3">
      <c r="A3129" t="s">
        <v>627</v>
      </c>
      <c r="B3129" s="16">
        <v>45974</v>
      </c>
      <c r="C3129" t="s">
        <v>2</v>
      </c>
      <c r="D3129" t="s">
        <v>55</v>
      </c>
      <c r="E3129" t="s">
        <v>56</v>
      </c>
      <c r="F3129">
        <v>17</v>
      </c>
      <c r="G3129">
        <v>5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17</v>
      </c>
      <c r="P3129">
        <f t="shared" si="165"/>
        <v>2025</v>
      </c>
      <c r="Q3129">
        <f t="shared" si="166"/>
        <v>11</v>
      </c>
      <c r="R3129" t="str">
        <f t="shared" si="167"/>
        <v>超级短视频</v>
      </c>
      <c r="S3129" t="s">
        <v>784</v>
      </c>
      <c r="T3129" t="s">
        <v>805</v>
      </c>
    </row>
    <row r="3130" spans="1:20" x14ac:dyDescent="0.3">
      <c r="A3130" t="s">
        <v>627</v>
      </c>
      <c r="B3130" s="16">
        <v>45974</v>
      </c>
      <c r="C3130" t="s">
        <v>2</v>
      </c>
      <c r="D3130" t="s">
        <v>57</v>
      </c>
      <c r="E3130" t="s">
        <v>63</v>
      </c>
      <c r="F3130">
        <v>751</v>
      </c>
      <c r="G3130">
        <v>593</v>
      </c>
      <c r="H3130">
        <v>25</v>
      </c>
      <c r="I3130">
        <v>7</v>
      </c>
      <c r="J3130">
        <v>11262</v>
      </c>
      <c r="K3130">
        <v>4</v>
      </c>
      <c r="L3130">
        <v>11190</v>
      </c>
      <c r="M3130">
        <v>3</v>
      </c>
      <c r="N3130">
        <v>747</v>
      </c>
      <c r="O3130">
        <v>367</v>
      </c>
      <c r="P3130">
        <f t="shared" si="165"/>
        <v>2025</v>
      </c>
      <c r="Q3130">
        <f t="shared" si="166"/>
        <v>11</v>
      </c>
      <c r="R3130" t="str">
        <f t="shared" si="167"/>
        <v>万相台</v>
      </c>
      <c r="S3130" t="s">
        <v>784</v>
      </c>
      <c r="T3130" t="s">
        <v>805</v>
      </c>
    </row>
    <row r="3131" spans="1:20" x14ac:dyDescent="0.3">
      <c r="A3131" t="s">
        <v>627</v>
      </c>
      <c r="B3131" s="16">
        <v>45974</v>
      </c>
      <c r="C3131" t="s">
        <v>2</v>
      </c>
      <c r="D3131" t="s">
        <v>57</v>
      </c>
      <c r="E3131" t="s">
        <v>64</v>
      </c>
      <c r="F3131">
        <v>30164</v>
      </c>
      <c r="G3131">
        <v>14900</v>
      </c>
      <c r="H3131">
        <v>121</v>
      </c>
      <c r="I3131">
        <v>200</v>
      </c>
      <c r="J3131">
        <v>88255</v>
      </c>
      <c r="K3131">
        <v>13</v>
      </c>
      <c r="L3131">
        <v>58825</v>
      </c>
      <c r="M3131">
        <v>9</v>
      </c>
      <c r="N3131">
        <v>564</v>
      </c>
      <c r="O3131">
        <v>30163</v>
      </c>
      <c r="P3131">
        <f t="shared" si="165"/>
        <v>2025</v>
      </c>
      <c r="Q3131">
        <f t="shared" si="166"/>
        <v>11</v>
      </c>
      <c r="R3131" t="str">
        <f t="shared" si="167"/>
        <v>引力魔方</v>
      </c>
      <c r="S3131" t="s">
        <v>784</v>
      </c>
      <c r="T3131" t="s">
        <v>805</v>
      </c>
    </row>
    <row r="3132" spans="1:20" x14ac:dyDescent="0.3">
      <c r="A3132" t="s">
        <v>627</v>
      </c>
      <c r="B3132" s="16">
        <v>45974</v>
      </c>
      <c r="C3132" t="s">
        <v>2</v>
      </c>
      <c r="D3132" t="s">
        <v>57</v>
      </c>
      <c r="E3132" t="s">
        <v>65</v>
      </c>
      <c r="F3132">
        <v>4556</v>
      </c>
      <c r="G3132">
        <v>3600</v>
      </c>
      <c r="H3132">
        <v>34</v>
      </c>
      <c r="I3132">
        <v>25</v>
      </c>
      <c r="J3132">
        <v>85095</v>
      </c>
      <c r="K3132">
        <v>7</v>
      </c>
      <c r="L3132">
        <v>59665</v>
      </c>
      <c r="M3132">
        <v>6</v>
      </c>
      <c r="N3132">
        <v>340</v>
      </c>
      <c r="O3132">
        <v>4496</v>
      </c>
      <c r="P3132">
        <f t="shared" si="165"/>
        <v>2025</v>
      </c>
      <c r="Q3132">
        <f t="shared" si="166"/>
        <v>11</v>
      </c>
      <c r="R3132" t="str">
        <f t="shared" si="167"/>
        <v>直通车</v>
      </c>
      <c r="S3132" t="s">
        <v>784</v>
      </c>
      <c r="T3132" t="s">
        <v>805</v>
      </c>
    </row>
    <row r="3133" spans="1:20" x14ac:dyDescent="0.3">
      <c r="A3133" t="s">
        <v>627</v>
      </c>
      <c r="B3133" s="16">
        <v>45974</v>
      </c>
      <c r="C3133" t="s">
        <v>2</v>
      </c>
      <c r="D3133" t="s">
        <v>4</v>
      </c>
      <c r="E3133" t="s">
        <v>42</v>
      </c>
      <c r="F3133">
        <v>1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1</v>
      </c>
      <c r="P3133">
        <f t="shared" si="165"/>
        <v>2025</v>
      </c>
      <c r="Q3133">
        <f t="shared" si="166"/>
        <v>11</v>
      </c>
      <c r="R3133" t="str">
        <f t="shared" si="167"/>
        <v>UD效果投放</v>
      </c>
      <c r="S3133" t="s">
        <v>784</v>
      </c>
      <c r="T3133" t="s">
        <v>805</v>
      </c>
    </row>
    <row r="3134" spans="1:20" x14ac:dyDescent="0.3">
      <c r="A3134" t="s">
        <v>627</v>
      </c>
      <c r="B3134" s="16">
        <v>45974</v>
      </c>
      <c r="C3134" t="s">
        <v>2</v>
      </c>
      <c r="D3134" t="s">
        <v>4</v>
      </c>
      <c r="E3134" t="s">
        <v>41</v>
      </c>
      <c r="F3134">
        <v>9</v>
      </c>
      <c r="G3134">
        <v>4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2</v>
      </c>
      <c r="O3134">
        <v>9</v>
      </c>
      <c r="P3134">
        <f t="shared" si="165"/>
        <v>2025</v>
      </c>
      <c r="Q3134">
        <f t="shared" si="166"/>
        <v>11</v>
      </c>
      <c r="R3134" t="str">
        <f t="shared" si="167"/>
        <v>流量宝</v>
      </c>
      <c r="S3134" t="s">
        <v>784</v>
      </c>
      <c r="T3134" t="s">
        <v>805</v>
      </c>
    </row>
    <row r="3135" spans="1:20" x14ac:dyDescent="0.3">
      <c r="A3135" t="s">
        <v>627</v>
      </c>
      <c r="B3135" s="16">
        <v>45974</v>
      </c>
      <c r="C3135" t="s">
        <v>2</v>
      </c>
      <c r="D3135" t="s">
        <v>4</v>
      </c>
      <c r="E3135" t="s">
        <v>43</v>
      </c>
      <c r="F3135">
        <v>425</v>
      </c>
      <c r="G3135">
        <v>84</v>
      </c>
      <c r="H3135">
        <v>4</v>
      </c>
      <c r="I3135">
        <v>0</v>
      </c>
      <c r="J3135">
        <v>33240</v>
      </c>
      <c r="K3135">
        <v>5</v>
      </c>
      <c r="L3135">
        <v>33240</v>
      </c>
      <c r="M3135">
        <v>5</v>
      </c>
      <c r="N3135">
        <v>8</v>
      </c>
      <c r="O3135">
        <v>424</v>
      </c>
      <c r="P3135">
        <f t="shared" si="165"/>
        <v>2025</v>
      </c>
      <c r="Q3135">
        <f t="shared" si="166"/>
        <v>11</v>
      </c>
      <c r="R3135" t="str">
        <f t="shared" si="167"/>
        <v>淘宝客</v>
      </c>
      <c r="S3135" t="s">
        <v>784</v>
      </c>
      <c r="T3135" t="s">
        <v>805</v>
      </c>
    </row>
    <row r="3136" spans="1:20" x14ac:dyDescent="0.3">
      <c r="A3136" t="s">
        <v>627</v>
      </c>
      <c r="B3136" s="16">
        <v>45973</v>
      </c>
      <c r="C3136" t="s">
        <v>3</v>
      </c>
      <c r="D3136" t="s">
        <v>114</v>
      </c>
      <c r="E3136" t="s">
        <v>159</v>
      </c>
      <c r="F3136">
        <v>118</v>
      </c>
      <c r="G3136">
        <v>53</v>
      </c>
      <c r="H3136">
        <v>4</v>
      </c>
      <c r="I3136">
        <v>0</v>
      </c>
      <c r="J3136">
        <v>1990</v>
      </c>
      <c r="K3136">
        <v>1</v>
      </c>
      <c r="L3136">
        <v>1990</v>
      </c>
      <c r="M3136">
        <v>1</v>
      </c>
      <c r="N3136">
        <v>6</v>
      </c>
      <c r="O3136">
        <v>117</v>
      </c>
      <c r="P3136">
        <f t="shared" si="165"/>
        <v>2025</v>
      </c>
      <c r="Q3136">
        <f t="shared" si="166"/>
        <v>11</v>
      </c>
      <c r="R3136" t="str">
        <f t="shared" si="167"/>
        <v>主会场</v>
      </c>
      <c r="S3136" t="s">
        <v>784</v>
      </c>
      <c r="T3136" t="s">
        <v>805</v>
      </c>
    </row>
    <row r="3137" spans="1:20" x14ac:dyDescent="0.3">
      <c r="A3137" t="s">
        <v>627</v>
      </c>
      <c r="B3137" s="16">
        <v>45973</v>
      </c>
      <c r="C3137" t="s">
        <v>3</v>
      </c>
      <c r="D3137" t="s">
        <v>117</v>
      </c>
      <c r="E3137" t="s">
        <v>161</v>
      </c>
      <c r="F3137">
        <v>1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1</v>
      </c>
      <c r="P3137">
        <f t="shared" si="165"/>
        <v>2025</v>
      </c>
      <c r="Q3137">
        <f t="shared" si="166"/>
        <v>11</v>
      </c>
      <c r="R3137" t="str">
        <f t="shared" si="167"/>
        <v>其他入口榜单</v>
      </c>
      <c r="S3137" t="s">
        <v>784</v>
      </c>
      <c r="T3137" t="s">
        <v>805</v>
      </c>
    </row>
    <row r="3138" spans="1:20" x14ac:dyDescent="0.3">
      <c r="A3138" t="s">
        <v>627</v>
      </c>
      <c r="B3138" s="16">
        <v>45973</v>
      </c>
      <c r="C3138" t="s">
        <v>3</v>
      </c>
      <c r="D3138" t="s">
        <v>123</v>
      </c>
      <c r="E3138" t="s">
        <v>170</v>
      </c>
      <c r="F3138">
        <v>56</v>
      </c>
      <c r="G3138">
        <v>26</v>
      </c>
      <c r="H3138">
        <v>3</v>
      </c>
      <c r="I3138">
        <v>2</v>
      </c>
      <c r="J3138">
        <v>0</v>
      </c>
      <c r="K3138">
        <v>0</v>
      </c>
      <c r="L3138">
        <v>0</v>
      </c>
      <c r="M3138">
        <v>0</v>
      </c>
      <c r="N3138">
        <v>50</v>
      </c>
      <c r="O3138">
        <v>26</v>
      </c>
      <c r="P3138">
        <f t="shared" si="165"/>
        <v>2025</v>
      </c>
      <c r="Q3138">
        <f t="shared" si="166"/>
        <v>11</v>
      </c>
      <c r="R3138" t="str">
        <f t="shared" si="167"/>
        <v>店铺超链</v>
      </c>
      <c r="S3138" t="s">
        <v>784</v>
      </c>
      <c r="T3138" t="s">
        <v>805</v>
      </c>
    </row>
    <row r="3139" spans="1:20" x14ac:dyDescent="0.3">
      <c r="A3139" t="s">
        <v>627</v>
      </c>
      <c r="B3139" s="16">
        <v>45973</v>
      </c>
      <c r="C3139" t="s">
        <v>3</v>
      </c>
      <c r="D3139" t="s">
        <v>127</v>
      </c>
      <c r="E3139" t="s">
        <v>171</v>
      </c>
      <c r="F3139">
        <v>949</v>
      </c>
      <c r="G3139">
        <v>464</v>
      </c>
      <c r="H3139">
        <v>40</v>
      </c>
      <c r="I3139">
        <v>8</v>
      </c>
      <c r="J3139">
        <v>52570</v>
      </c>
      <c r="K3139">
        <v>8</v>
      </c>
      <c r="L3139">
        <v>39180</v>
      </c>
      <c r="M3139">
        <v>8</v>
      </c>
      <c r="N3139">
        <v>135</v>
      </c>
      <c r="O3139">
        <v>917</v>
      </c>
      <c r="P3139">
        <f t="shared" si="165"/>
        <v>2025</v>
      </c>
      <c r="Q3139">
        <f t="shared" si="166"/>
        <v>11</v>
      </c>
      <c r="R3139" t="str">
        <f t="shared" si="167"/>
        <v>其他猜你喜欢</v>
      </c>
      <c r="S3139" t="s">
        <v>784</v>
      </c>
      <c r="T3139" t="s">
        <v>805</v>
      </c>
    </row>
    <row r="3140" spans="1:20" x14ac:dyDescent="0.3">
      <c r="A3140" t="s">
        <v>627</v>
      </c>
      <c r="B3140" s="16">
        <v>45973</v>
      </c>
      <c r="C3140" t="s">
        <v>3</v>
      </c>
      <c r="D3140" t="s">
        <v>127</v>
      </c>
      <c r="E3140" t="s">
        <v>172</v>
      </c>
      <c r="F3140">
        <v>161</v>
      </c>
      <c r="G3140">
        <v>64</v>
      </c>
      <c r="H3140">
        <v>7</v>
      </c>
      <c r="I3140">
        <v>2</v>
      </c>
      <c r="J3140">
        <v>5350</v>
      </c>
      <c r="K3140">
        <v>1</v>
      </c>
      <c r="L3140">
        <v>5350</v>
      </c>
      <c r="M3140">
        <v>1</v>
      </c>
      <c r="N3140">
        <v>16</v>
      </c>
      <c r="O3140">
        <v>160</v>
      </c>
      <c r="P3140">
        <f t="shared" si="165"/>
        <v>2025</v>
      </c>
      <c r="Q3140">
        <f t="shared" si="166"/>
        <v>11</v>
      </c>
      <c r="R3140" t="str">
        <f t="shared" si="167"/>
        <v>购中推荐</v>
      </c>
      <c r="S3140" t="s">
        <v>784</v>
      </c>
      <c r="T3140" t="s">
        <v>805</v>
      </c>
    </row>
    <row r="3141" spans="1:20" x14ac:dyDescent="0.3">
      <c r="A3141" t="s">
        <v>627</v>
      </c>
      <c r="B3141" s="16">
        <v>45973</v>
      </c>
      <c r="C3141" t="s">
        <v>3</v>
      </c>
      <c r="D3141" t="s">
        <v>127</v>
      </c>
      <c r="E3141" t="s">
        <v>173</v>
      </c>
      <c r="F3141">
        <v>1051</v>
      </c>
      <c r="G3141">
        <v>465</v>
      </c>
      <c r="H3141">
        <v>32</v>
      </c>
      <c r="I3141">
        <v>15</v>
      </c>
      <c r="J3141">
        <v>32730</v>
      </c>
      <c r="K3141">
        <v>7</v>
      </c>
      <c r="L3141">
        <v>32730</v>
      </c>
      <c r="M3141">
        <v>7</v>
      </c>
      <c r="N3141">
        <v>83</v>
      </c>
      <c r="O3141">
        <v>1044</v>
      </c>
      <c r="P3141">
        <f t="shared" si="165"/>
        <v>2025</v>
      </c>
      <c r="Q3141">
        <f t="shared" si="166"/>
        <v>11</v>
      </c>
      <c r="R3141" t="str">
        <f t="shared" si="167"/>
        <v>购后推荐</v>
      </c>
      <c r="S3141" t="s">
        <v>784</v>
      </c>
      <c r="T3141" t="s">
        <v>805</v>
      </c>
    </row>
    <row r="3142" spans="1:20" x14ac:dyDescent="0.3">
      <c r="A3142" t="s">
        <v>627</v>
      </c>
      <c r="B3142" s="16">
        <v>45973</v>
      </c>
      <c r="C3142" t="s">
        <v>3</v>
      </c>
      <c r="D3142" t="s">
        <v>127</v>
      </c>
      <c r="E3142" t="s">
        <v>174</v>
      </c>
      <c r="F3142">
        <v>7989</v>
      </c>
      <c r="G3142">
        <v>4135</v>
      </c>
      <c r="H3142">
        <v>93</v>
      </c>
      <c r="I3142">
        <v>30</v>
      </c>
      <c r="J3142">
        <v>82660</v>
      </c>
      <c r="K3142">
        <v>16</v>
      </c>
      <c r="L3142">
        <v>59945</v>
      </c>
      <c r="M3142">
        <v>14</v>
      </c>
      <c r="N3142">
        <v>305</v>
      </c>
      <c r="O3142">
        <v>7989</v>
      </c>
      <c r="P3142">
        <f t="shared" si="165"/>
        <v>2025</v>
      </c>
      <c r="Q3142">
        <f t="shared" si="166"/>
        <v>11</v>
      </c>
      <c r="R3142" t="str">
        <f t="shared" si="167"/>
        <v>首页推荐-微详情</v>
      </c>
      <c r="S3142" t="s">
        <v>784</v>
      </c>
      <c r="T3142" t="s">
        <v>805</v>
      </c>
    </row>
    <row r="3143" spans="1:20" x14ac:dyDescent="0.3">
      <c r="A3143" t="s">
        <v>627</v>
      </c>
      <c r="B3143" s="16">
        <v>45973</v>
      </c>
      <c r="C3143" t="s">
        <v>3</v>
      </c>
      <c r="D3143" t="s">
        <v>127</v>
      </c>
      <c r="E3143" t="s">
        <v>175</v>
      </c>
      <c r="F3143">
        <v>2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f t="shared" si="165"/>
        <v>2025</v>
      </c>
      <c r="Q3143">
        <f t="shared" si="166"/>
        <v>11</v>
      </c>
      <c r="R3143" t="str">
        <f t="shared" si="167"/>
        <v>首页推荐-直播</v>
      </c>
      <c r="S3143" t="s">
        <v>784</v>
      </c>
      <c r="T3143" t="s">
        <v>805</v>
      </c>
    </row>
    <row r="3144" spans="1:20" x14ac:dyDescent="0.3">
      <c r="A3144" t="s">
        <v>627</v>
      </c>
      <c r="B3144" s="16">
        <v>45973</v>
      </c>
      <c r="C3144" t="s">
        <v>3</v>
      </c>
      <c r="D3144" t="s">
        <v>127</v>
      </c>
      <c r="E3144" t="s">
        <v>176</v>
      </c>
      <c r="F3144">
        <v>159</v>
      </c>
      <c r="G3144">
        <v>94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11</v>
      </c>
      <c r="P3144">
        <f t="shared" si="165"/>
        <v>2025</v>
      </c>
      <c r="Q3144">
        <f t="shared" si="166"/>
        <v>11</v>
      </c>
      <c r="R3144" t="str">
        <f t="shared" si="167"/>
        <v>首页推荐-短视频</v>
      </c>
      <c r="S3144" t="s">
        <v>784</v>
      </c>
      <c r="T3144" t="s">
        <v>805</v>
      </c>
    </row>
    <row r="3145" spans="1:20" x14ac:dyDescent="0.3">
      <c r="A3145" t="s">
        <v>627</v>
      </c>
      <c r="B3145" s="16">
        <v>45973</v>
      </c>
      <c r="C3145" t="s">
        <v>3</v>
      </c>
      <c r="D3145" t="s">
        <v>128</v>
      </c>
      <c r="E3145" t="s">
        <v>177</v>
      </c>
      <c r="F3145">
        <v>2913</v>
      </c>
      <c r="G3145">
        <v>2427</v>
      </c>
      <c r="H3145">
        <v>52</v>
      </c>
      <c r="I3145">
        <v>24</v>
      </c>
      <c r="J3145">
        <v>101425</v>
      </c>
      <c r="K3145">
        <v>18</v>
      </c>
      <c r="L3145">
        <v>69585</v>
      </c>
      <c r="M3145">
        <v>16</v>
      </c>
      <c r="N3145">
        <v>380</v>
      </c>
      <c r="O3145">
        <v>2830</v>
      </c>
      <c r="P3145">
        <f t="shared" si="165"/>
        <v>2025</v>
      </c>
      <c r="Q3145">
        <f t="shared" si="166"/>
        <v>11</v>
      </c>
      <c r="R3145" t="str">
        <f t="shared" si="167"/>
        <v>手淘搜索-商品及其他</v>
      </c>
      <c r="S3145" t="s">
        <v>784</v>
      </c>
      <c r="T3145" t="s">
        <v>805</v>
      </c>
    </row>
    <row r="3146" spans="1:20" x14ac:dyDescent="0.3">
      <c r="A3146" t="s">
        <v>627</v>
      </c>
      <c r="B3146" s="16">
        <v>45973</v>
      </c>
      <c r="C3146" t="s">
        <v>3</v>
      </c>
      <c r="D3146" t="s">
        <v>128</v>
      </c>
      <c r="E3146" t="s">
        <v>179</v>
      </c>
      <c r="F3146">
        <v>28</v>
      </c>
      <c r="G3146">
        <v>10</v>
      </c>
      <c r="H3146">
        <v>6</v>
      </c>
      <c r="I3146">
        <v>0</v>
      </c>
      <c r="J3146">
        <v>4490</v>
      </c>
      <c r="K3146">
        <v>1</v>
      </c>
      <c r="L3146">
        <v>4490</v>
      </c>
      <c r="M3146">
        <v>1</v>
      </c>
      <c r="N3146">
        <v>3</v>
      </c>
      <c r="O3146">
        <v>27</v>
      </c>
      <c r="P3146">
        <f t="shared" si="165"/>
        <v>2025</v>
      </c>
      <c r="Q3146">
        <f t="shared" si="166"/>
        <v>11</v>
      </c>
      <c r="R3146" t="str">
        <f t="shared" si="167"/>
        <v>手淘搜索-短视频</v>
      </c>
      <c r="S3146" t="s">
        <v>784</v>
      </c>
      <c r="T3146" t="s">
        <v>805</v>
      </c>
    </row>
    <row r="3147" spans="1:20" x14ac:dyDescent="0.3">
      <c r="A3147" t="s">
        <v>627</v>
      </c>
      <c r="B3147" s="16">
        <v>45973</v>
      </c>
      <c r="C3147" t="s">
        <v>3</v>
      </c>
      <c r="D3147" t="s">
        <v>143</v>
      </c>
      <c r="E3147" t="s">
        <v>224</v>
      </c>
      <c r="F3147">
        <v>1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</v>
      </c>
      <c r="P3147">
        <f t="shared" si="165"/>
        <v>2025</v>
      </c>
      <c r="Q3147">
        <f t="shared" si="166"/>
        <v>11</v>
      </c>
      <c r="R3147" t="str">
        <f t="shared" si="167"/>
        <v>淘特自主访问</v>
      </c>
      <c r="S3147" t="s">
        <v>784</v>
      </c>
      <c r="T3147" t="s">
        <v>805</v>
      </c>
    </row>
    <row r="3148" spans="1:20" x14ac:dyDescent="0.3">
      <c r="A3148" t="s">
        <v>627</v>
      </c>
      <c r="B3148" s="16">
        <v>45973</v>
      </c>
      <c r="C3148" t="s">
        <v>2</v>
      </c>
      <c r="D3148" t="s">
        <v>55</v>
      </c>
      <c r="E3148" t="s">
        <v>54</v>
      </c>
      <c r="F3148">
        <v>1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1</v>
      </c>
      <c r="P3148">
        <f t="shared" si="165"/>
        <v>2025</v>
      </c>
      <c r="Q3148">
        <f t="shared" si="166"/>
        <v>11</v>
      </c>
      <c r="R3148" t="str">
        <f t="shared" si="167"/>
        <v>超级直播</v>
      </c>
      <c r="S3148" t="s">
        <v>784</v>
      </c>
      <c r="T3148" t="s">
        <v>805</v>
      </c>
    </row>
    <row r="3149" spans="1:20" x14ac:dyDescent="0.3">
      <c r="A3149" t="s">
        <v>627</v>
      </c>
      <c r="B3149" s="16">
        <v>45973</v>
      </c>
      <c r="C3149" t="s">
        <v>2</v>
      </c>
      <c r="D3149" t="s">
        <v>55</v>
      </c>
      <c r="E3149" t="s">
        <v>56</v>
      </c>
      <c r="F3149">
        <v>28</v>
      </c>
      <c r="G3149">
        <v>12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28</v>
      </c>
      <c r="P3149">
        <f t="shared" si="165"/>
        <v>2025</v>
      </c>
      <c r="Q3149">
        <f t="shared" si="166"/>
        <v>11</v>
      </c>
      <c r="R3149" t="str">
        <f t="shared" si="167"/>
        <v>超级短视频</v>
      </c>
      <c r="S3149" t="s">
        <v>784</v>
      </c>
      <c r="T3149" t="s">
        <v>805</v>
      </c>
    </row>
    <row r="3150" spans="1:20" x14ac:dyDescent="0.3">
      <c r="A3150" t="s">
        <v>627</v>
      </c>
      <c r="B3150" s="16">
        <v>45973</v>
      </c>
      <c r="C3150" t="s">
        <v>2</v>
      </c>
      <c r="D3150" t="s">
        <v>57</v>
      </c>
      <c r="E3150" t="s">
        <v>63</v>
      </c>
      <c r="F3150">
        <v>760</v>
      </c>
      <c r="G3150">
        <v>619</v>
      </c>
      <c r="H3150">
        <v>25</v>
      </c>
      <c r="I3150">
        <v>5</v>
      </c>
      <c r="J3150">
        <v>21699</v>
      </c>
      <c r="K3150">
        <v>4</v>
      </c>
      <c r="L3150">
        <v>17449</v>
      </c>
      <c r="M3150">
        <v>4</v>
      </c>
      <c r="N3150">
        <v>756</v>
      </c>
      <c r="O3150">
        <v>405</v>
      </c>
      <c r="P3150">
        <f t="shared" si="165"/>
        <v>2025</v>
      </c>
      <c r="Q3150">
        <f t="shared" si="166"/>
        <v>11</v>
      </c>
      <c r="R3150" t="str">
        <f t="shared" si="167"/>
        <v>万相台</v>
      </c>
      <c r="S3150" t="s">
        <v>784</v>
      </c>
      <c r="T3150" t="s">
        <v>805</v>
      </c>
    </row>
    <row r="3151" spans="1:20" x14ac:dyDescent="0.3">
      <c r="A3151" t="s">
        <v>627</v>
      </c>
      <c r="B3151" s="16">
        <v>45973</v>
      </c>
      <c r="C3151" t="s">
        <v>2</v>
      </c>
      <c r="D3151" t="s">
        <v>57</v>
      </c>
      <c r="E3151" t="s">
        <v>64</v>
      </c>
      <c r="F3151">
        <v>31902</v>
      </c>
      <c r="G3151">
        <v>17626</v>
      </c>
      <c r="H3151">
        <v>95</v>
      </c>
      <c r="I3151">
        <v>173</v>
      </c>
      <c r="J3151">
        <v>54780</v>
      </c>
      <c r="K3151">
        <v>7</v>
      </c>
      <c r="L3151">
        <v>22740</v>
      </c>
      <c r="M3151">
        <v>5</v>
      </c>
      <c r="N3151">
        <v>521</v>
      </c>
      <c r="O3151">
        <v>31900</v>
      </c>
      <c r="P3151">
        <f t="shared" si="165"/>
        <v>2025</v>
      </c>
      <c r="Q3151">
        <f t="shared" si="166"/>
        <v>11</v>
      </c>
      <c r="R3151" t="str">
        <f t="shared" si="167"/>
        <v>引力魔方</v>
      </c>
      <c r="S3151" t="s">
        <v>784</v>
      </c>
      <c r="T3151" t="s">
        <v>805</v>
      </c>
    </row>
    <row r="3152" spans="1:20" x14ac:dyDescent="0.3">
      <c r="A3152" t="s">
        <v>627</v>
      </c>
      <c r="B3152" s="16">
        <v>45973</v>
      </c>
      <c r="C3152" t="s">
        <v>2</v>
      </c>
      <c r="D3152" t="s">
        <v>57</v>
      </c>
      <c r="E3152" t="s">
        <v>65</v>
      </c>
      <c r="F3152">
        <v>3832</v>
      </c>
      <c r="G3152">
        <v>2954</v>
      </c>
      <c r="H3152">
        <v>39</v>
      </c>
      <c r="I3152">
        <v>8</v>
      </c>
      <c r="J3152">
        <v>74560</v>
      </c>
      <c r="K3152">
        <v>14</v>
      </c>
      <c r="L3152">
        <v>51685</v>
      </c>
      <c r="M3152">
        <v>10</v>
      </c>
      <c r="N3152">
        <v>289</v>
      </c>
      <c r="O3152">
        <v>3777</v>
      </c>
      <c r="P3152">
        <f t="shared" si="165"/>
        <v>2025</v>
      </c>
      <c r="Q3152">
        <f t="shared" si="166"/>
        <v>11</v>
      </c>
      <c r="R3152" t="str">
        <f t="shared" si="167"/>
        <v>直通车</v>
      </c>
      <c r="S3152" t="s">
        <v>784</v>
      </c>
      <c r="T3152" t="s">
        <v>805</v>
      </c>
    </row>
    <row r="3153" spans="1:20" x14ac:dyDescent="0.3">
      <c r="A3153" t="s">
        <v>627</v>
      </c>
      <c r="B3153" s="16">
        <v>45973</v>
      </c>
      <c r="C3153" t="s">
        <v>2</v>
      </c>
      <c r="D3153" t="s">
        <v>4</v>
      </c>
      <c r="E3153" t="s">
        <v>41</v>
      </c>
      <c r="F3153">
        <v>1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1</v>
      </c>
      <c r="P3153">
        <f t="shared" si="165"/>
        <v>2025</v>
      </c>
      <c r="Q3153">
        <f t="shared" si="166"/>
        <v>11</v>
      </c>
      <c r="R3153" t="str">
        <f t="shared" si="167"/>
        <v>流量宝</v>
      </c>
      <c r="S3153" t="s">
        <v>784</v>
      </c>
      <c r="T3153" t="s">
        <v>805</v>
      </c>
    </row>
    <row r="3154" spans="1:20" x14ac:dyDescent="0.3">
      <c r="A3154" t="s">
        <v>627</v>
      </c>
      <c r="B3154" s="16">
        <v>45973</v>
      </c>
      <c r="C3154" t="s">
        <v>2</v>
      </c>
      <c r="D3154" t="s">
        <v>4</v>
      </c>
      <c r="E3154" t="s">
        <v>43</v>
      </c>
      <c r="F3154">
        <v>462</v>
      </c>
      <c r="G3154">
        <v>121</v>
      </c>
      <c r="H3154">
        <v>2</v>
      </c>
      <c r="I3154">
        <v>1</v>
      </c>
      <c r="J3154">
        <v>0</v>
      </c>
      <c r="K3154">
        <v>0</v>
      </c>
      <c r="L3154">
        <v>0</v>
      </c>
      <c r="M3154">
        <v>0</v>
      </c>
      <c r="N3154">
        <v>4</v>
      </c>
      <c r="O3154">
        <v>462</v>
      </c>
      <c r="P3154">
        <f t="shared" si="165"/>
        <v>2025</v>
      </c>
      <c r="Q3154">
        <f t="shared" si="166"/>
        <v>11</v>
      </c>
      <c r="R3154" t="str">
        <f t="shared" si="167"/>
        <v>淘宝客</v>
      </c>
      <c r="S3154" t="s">
        <v>784</v>
      </c>
      <c r="T3154" t="s">
        <v>805</v>
      </c>
    </row>
    <row r="3155" spans="1:20" x14ac:dyDescent="0.3">
      <c r="A3155" t="s">
        <v>627</v>
      </c>
      <c r="B3155" s="16">
        <v>45972</v>
      </c>
      <c r="C3155" t="s">
        <v>3</v>
      </c>
      <c r="D3155" t="s">
        <v>114</v>
      </c>
      <c r="E3155" t="s">
        <v>159</v>
      </c>
      <c r="F3155">
        <v>248</v>
      </c>
      <c r="G3155">
        <v>120</v>
      </c>
      <c r="H3155">
        <v>2</v>
      </c>
      <c r="I3155">
        <v>4</v>
      </c>
      <c r="J3155">
        <v>28220</v>
      </c>
      <c r="K3155">
        <v>2</v>
      </c>
      <c r="L3155">
        <v>19870</v>
      </c>
      <c r="M3155">
        <v>1</v>
      </c>
      <c r="N3155">
        <v>23</v>
      </c>
      <c r="O3155">
        <v>247</v>
      </c>
      <c r="P3155">
        <f t="shared" si="165"/>
        <v>2025</v>
      </c>
      <c r="Q3155">
        <f t="shared" si="166"/>
        <v>11</v>
      </c>
      <c r="R3155" t="str">
        <f t="shared" si="167"/>
        <v>主会场</v>
      </c>
      <c r="S3155" t="s">
        <v>784</v>
      </c>
      <c r="T3155" t="s">
        <v>805</v>
      </c>
    </row>
    <row r="3156" spans="1:20" x14ac:dyDescent="0.3">
      <c r="A3156" t="s">
        <v>627</v>
      </c>
      <c r="B3156" s="16">
        <v>45972</v>
      </c>
      <c r="C3156" t="s">
        <v>3</v>
      </c>
      <c r="D3156" t="s">
        <v>114</v>
      </c>
      <c r="E3156" t="s">
        <v>160</v>
      </c>
      <c r="F3156">
        <v>1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1</v>
      </c>
      <c r="P3156">
        <f t="shared" si="165"/>
        <v>2025</v>
      </c>
      <c r="Q3156">
        <f t="shared" si="166"/>
        <v>11</v>
      </c>
      <c r="R3156" t="str">
        <f t="shared" si="167"/>
        <v>榜单会场</v>
      </c>
      <c r="S3156" t="s">
        <v>784</v>
      </c>
      <c r="T3156" t="s">
        <v>805</v>
      </c>
    </row>
    <row r="3157" spans="1:20" x14ac:dyDescent="0.3">
      <c r="A3157" t="s">
        <v>627</v>
      </c>
      <c r="B3157" s="16">
        <v>45972</v>
      </c>
      <c r="C3157" t="s">
        <v>3</v>
      </c>
      <c r="D3157" t="s">
        <v>123</v>
      </c>
      <c r="E3157" t="s">
        <v>170</v>
      </c>
      <c r="F3157">
        <v>74</v>
      </c>
      <c r="G3157">
        <v>44</v>
      </c>
      <c r="H3157">
        <v>1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64</v>
      </c>
      <c r="O3157">
        <v>31</v>
      </c>
      <c r="P3157">
        <f t="shared" si="165"/>
        <v>2025</v>
      </c>
      <c r="Q3157">
        <f t="shared" si="166"/>
        <v>11</v>
      </c>
      <c r="R3157" t="str">
        <f t="shared" si="167"/>
        <v>店铺超链</v>
      </c>
      <c r="S3157" t="s">
        <v>784</v>
      </c>
      <c r="T3157" t="s">
        <v>805</v>
      </c>
    </row>
    <row r="3158" spans="1:20" x14ac:dyDescent="0.3">
      <c r="A3158" t="s">
        <v>627</v>
      </c>
      <c r="B3158" s="16">
        <v>45972</v>
      </c>
      <c r="C3158" t="s">
        <v>3</v>
      </c>
      <c r="D3158" t="s">
        <v>127</v>
      </c>
      <c r="E3158" t="s">
        <v>171</v>
      </c>
      <c r="F3158">
        <v>885</v>
      </c>
      <c r="G3158">
        <v>400</v>
      </c>
      <c r="H3158">
        <v>21</v>
      </c>
      <c r="I3158">
        <v>13</v>
      </c>
      <c r="J3158">
        <v>12220</v>
      </c>
      <c r="K3158">
        <v>3</v>
      </c>
      <c r="L3158">
        <v>12220</v>
      </c>
      <c r="M3158">
        <v>3</v>
      </c>
      <c r="N3158">
        <v>133</v>
      </c>
      <c r="O3158">
        <v>831</v>
      </c>
      <c r="P3158">
        <f t="shared" si="165"/>
        <v>2025</v>
      </c>
      <c r="Q3158">
        <f t="shared" si="166"/>
        <v>11</v>
      </c>
      <c r="R3158" t="str">
        <f t="shared" si="167"/>
        <v>其他猜你喜欢</v>
      </c>
      <c r="S3158" t="s">
        <v>784</v>
      </c>
      <c r="T3158" t="s">
        <v>805</v>
      </c>
    </row>
    <row r="3159" spans="1:20" x14ac:dyDescent="0.3">
      <c r="A3159" t="s">
        <v>627</v>
      </c>
      <c r="B3159" s="16">
        <v>45972</v>
      </c>
      <c r="C3159" t="s">
        <v>3</v>
      </c>
      <c r="D3159" t="s">
        <v>127</v>
      </c>
      <c r="E3159" t="s">
        <v>172</v>
      </c>
      <c r="F3159">
        <v>215</v>
      </c>
      <c r="G3159">
        <v>109</v>
      </c>
      <c r="H3159">
        <v>11</v>
      </c>
      <c r="I3159">
        <v>1</v>
      </c>
      <c r="J3159">
        <v>10375</v>
      </c>
      <c r="K3159">
        <v>3</v>
      </c>
      <c r="L3159">
        <v>10375</v>
      </c>
      <c r="M3159">
        <v>3</v>
      </c>
      <c r="N3159">
        <v>18</v>
      </c>
      <c r="O3159">
        <v>189</v>
      </c>
      <c r="P3159">
        <f t="shared" si="165"/>
        <v>2025</v>
      </c>
      <c r="Q3159">
        <f t="shared" si="166"/>
        <v>11</v>
      </c>
      <c r="R3159" t="str">
        <f t="shared" si="167"/>
        <v>购中推荐</v>
      </c>
      <c r="S3159" t="s">
        <v>784</v>
      </c>
      <c r="T3159" t="s">
        <v>805</v>
      </c>
    </row>
    <row r="3160" spans="1:20" x14ac:dyDescent="0.3">
      <c r="A3160" t="s">
        <v>627</v>
      </c>
      <c r="B3160" s="16">
        <v>45972</v>
      </c>
      <c r="C3160" t="s">
        <v>3</v>
      </c>
      <c r="D3160" t="s">
        <v>127</v>
      </c>
      <c r="E3160" t="s">
        <v>173</v>
      </c>
      <c r="F3160">
        <v>989</v>
      </c>
      <c r="G3160">
        <v>492</v>
      </c>
      <c r="H3160">
        <v>24</v>
      </c>
      <c r="I3160">
        <v>6</v>
      </c>
      <c r="J3160">
        <v>24830</v>
      </c>
      <c r="K3160">
        <v>5</v>
      </c>
      <c r="L3160">
        <v>12360</v>
      </c>
      <c r="M3160">
        <v>3</v>
      </c>
      <c r="N3160">
        <v>53</v>
      </c>
      <c r="O3160">
        <v>784</v>
      </c>
      <c r="P3160">
        <f t="shared" si="165"/>
        <v>2025</v>
      </c>
      <c r="Q3160">
        <f t="shared" si="166"/>
        <v>11</v>
      </c>
      <c r="R3160" t="str">
        <f t="shared" si="167"/>
        <v>购后推荐</v>
      </c>
      <c r="S3160" t="s">
        <v>784</v>
      </c>
      <c r="T3160" t="s">
        <v>805</v>
      </c>
    </row>
    <row r="3161" spans="1:20" x14ac:dyDescent="0.3">
      <c r="A3161" t="s">
        <v>627</v>
      </c>
      <c r="B3161" s="16">
        <v>45972</v>
      </c>
      <c r="C3161" t="s">
        <v>3</v>
      </c>
      <c r="D3161" t="s">
        <v>127</v>
      </c>
      <c r="E3161" t="s">
        <v>174</v>
      </c>
      <c r="F3161">
        <v>7830</v>
      </c>
      <c r="G3161">
        <v>3777</v>
      </c>
      <c r="H3161">
        <v>93</v>
      </c>
      <c r="I3161">
        <v>37</v>
      </c>
      <c r="J3161">
        <v>97985.01</v>
      </c>
      <c r="K3161">
        <v>21</v>
      </c>
      <c r="L3161">
        <v>91545.01</v>
      </c>
      <c r="M3161">
        <v>21</v>
      </c>
      <c r="N3161">
        <v>335</v>
      </c>
      <c r="O3161">
        <v>7830</v>
      </c>
      <c r="P3161">
        <f t="shared" si="165"/>
        <v>2025</v>
      </c>
      <c r="Q3161">
        <f t="shared" si="166"/>
        <v>11</v>
      </c>
      <c r="R3161" t="str">
        <f t="shared" si="167"/>
        <v>首页推荐-微详情</v>
      </c>
      <c r="S3161" t="s">
        <v>784</v>
      </c>
      <c r="T3161" t="s">
        <v>805</v>
      </c>
    </row>
    <row r="3162" spans="1:20" x14ac:dyDescent="0.3">
      <c r="A3162" t="s">
        <v>627</v>
      </c>
      <c r="B3162" s="16">
        <v>45972</v>
      </c>
      <c r="C3162" t="s">
        <v>3</v>
      </c>
      <c r="D3162" t="s">
        <v>127</v>
      </c>
      <c r="E3162" t="s">
        <v>175</v>
      </c>
      <c r="F3162">
        <v>206</v>
      </c>
      <c r="G3162">
        <v>123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5</v>
      </c>
      <c r="O3162">
        <v>102</v>
      </c>
      <c r="P3162">
        <f t="shared" si="165"/>
        <v>2025</v>
      </c>
      <c r="Q3162">
        <f t="shared" si="166"/>
        <v>11</v>
      </c>
      <c r="R3162" t="str">
        <f t="shared" si="167"/>
        <v>首页推荐-直播</v>
      </c>
      <c r="S3162" t="s">
        <v>784</v>
      </c>
      <c r="T3162" t="s">
        <v>805</v>
      </c>
    </row>
    <row r="3163" spans="1:20" x14ac:dyDescent="0.3">
      <c r="A3163" t="s">
        <v>627</v>
      </c>
      <c r="B3163" s="16">
        <v>45972</v>
      </c>
      <c r="C3163" t="s">
        <v>3</v>
      </c>
      <c r="D3163" t="s">
        <v>127</v>
      </c>
      <c r="E3163" t="s">
        <v>176</v>
      </c>
      <c r="F3163">
        <v>312</v>
      </c>
      <c r="G3163">
        <v>179</v>
      </c>
      <c r="H3163">
        <v>1</v>
      </c>
      <c r="I3163">
        <v>1</v>
      </c>
      <c r="J3163">
        <v>0</v>
      </c>
      <c r="K3163">
        <v>0</v>
      </c>
      <c r="L3163">
        <v>0</v>
      </c>
      <c r="M3163">
        <v>0</v>
      </c>
      <c r="N3163">
        <v>6</v>
      </c>
      <c r="O3163">
        <v>53</v>
      </c>
      <c r="P3163">
        <f t="shared" si="165"/>
        <v>2025</v>
      </c>
      <c r="Q3163">
        <f t="shared" si="166"/>
        <v>11</v>
      </c>
      <c r="R3163" t="str">
        <f t="shared" si="167"/>
        <v>首页推荐-短视频</v>
      </c>
      <c r="S3163" t="s">
        <v>784</v>
      </c>
      <c r="T3163" t="s">
        <v>805</v>
      </c>
    </row>
    <row r="3164" spans="1:20" x14ac:dyDescent="0.3">
      <c r="A3164" t="s">
        <v>627</v>
      </c>
      <c r="B3164" s="16">
        <v>45972</v>
      </c>
      <c r="C3164" t="s">
        <v>3</v>
      </c>
      <c r="D3164" t="s">
        <v>128</v>
      </c>
      <c r="E3164" t="s">
        <v>177</v>
      </c>
      <c r="F3164">
        <v>2733</v>
      </c>
      <c r="G3164">
        <v>2246</v>
      </c>
      <c r="H3164">
        <v>82</v>
      </c>
      <c r="I3164">
        <v>15</v>
      </c>
      <c r="J3164">
        <v>154796.18</v>
      </c>
      <c r="K3164">
        <v>29</v>
      </c>
      <c r="L3164">
        <v>85336.18</v>
      </c>
      <c r="M3164">
        <v>21</v>
      </c>
      <c r="N3164">
        <v>397</v>
      </c>
      <c r="O3164">
        <v>2641</v>
      </c>
      <c r="P3164">
        <f t="shared" si="165"/>
        <v>2025</v>
      </c>
      <c r="Q3164">
        <f t="shared" si="166"/>
        <v>11</v>
      </c>
      <c r="R3164" t="str">
        <f t="shared" si="167"/>
        <v>手淘搜索-商品及其他</v>
      </c>
      <c r="S3164" t="s">
        <v>784</v>
      </c>
      <c r="T3164" t="s">
        <v>805</v>
      </c>
    </row>
    <row r="3165" spans="1:20" x14ac:dyDescent="0.3">
      <c r="A3165" t="s">
        <v>627</v>
      </c>
      <c r="B3165" s="16">
        <v>45972</v>
      </c>
      <c r="C3165" t="s">
        <v>3</v>
      </c>
      <c r="D3165" t="s">
        <v>128</v>
      </c>
      <c r="E3165" t="s">
        <v>178</v>
      </c>
      <c r="F3165">
        <v>26</v>
      </c>
      <c r="G3165">
        <v>16</v>
      </c>
      <c r="H3165">
        <v>1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2</v>
      </c>
      <c r="O3165">
        <v>24</v>
      </c>
      <c r="P3165">
        <f t="shared" si="165"/>
        <v>2025</v>
      </c>
      <c r="Q3165">
        <f t="shared" si="166"/>
        <v>11</v>
      </c>
      <c r="R3165" t="str">
        <f t="shared" si="167"/>
        <v>手淘搜索-直播</v>
      </c>
      <c r="S3165" t="s">
        <v>784</v>
      </c>
      <c r="T3165" t="s">
        <v>805</v>
      </c>
    </row>
    <row r="3166" spans="1:20" x14ac:dyDescent="0.3">
      <c r="A3166" t="s">
        <v>627</v>
      </c>
      <c r="B3166" s="16">
        <v>45972</v>
      </c>
      <c r="C3166" t="s">
        <v>3</v>
      </c>
      <c r="D3166" t="s">
        <v>128</v>
      </c>
      <c r="E3166" t="s">
        <v>179</v>
      </c>
      <c r="F3166">
        <v>21</v>
      </c>
      <c r="G3166">
        <v>10</v>
      </c>
      <c r="H3166">
        <v>1</v>
      </c>
      <c r="I3166">
        <v>1</v>
      </c>
      <c r="J3166">
        <v>0</v>
      </c>
      <c r="K3166">
        <v>0</v>
      </c>
      <c r="L3166">
        <v>0</v>
      </c>
      <c r="M3166">
        <v>0</v>
      </c>
      <c r="N3166">
        <v>2</v>
      </c>
      <c r="O3166">
        <v>19</v>
      </c>
      <c r="P3166">
        <f t="shared" si="165"/>
        <v>2025</v>
      </c>
      <c r="Q3166">
        <f t="shared" si="166"/>
        <v>11</v>
      </c>
      <c r="R3166" t="str">
        <f t="shared" si="167"/>
        <v>手淘搜索-短视频</v>
      </c>
      <c r="S3166" t="s">
        <v>784</v>
      </c>
      <c r="T3166" t="s">
        <v>805</v>
      </c>
    </row>
    <row r="3167" spans="1:20" x14ac:dyDescent="0.3">
      <c r="A3167" t="s">
        <v>627</v>
      </c>
      <c r="B3167" s="16">
        <v>45972</v>
      </c>
      <c r="C3167" t="s">
        <v>3</v>
      </c>
      <c r="D3167" t="s">
        <v>157</v>
      </c>
      <c r="E3167" t="s">
        <v>182</v>
      </c>
      <c r="F3167">
        <v>1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f t="shared" si="165"/>
        <v>2025</v>
      </c>
      <c r="Q3167">
        <f t="shared" si="166"/>
        <v>11</v>
      </c>
      <c r="R3167" t="str">
        <f t="shared" si="167"/>
        <v>飞猪其他</v>
      </c>
      <c r="S3167" t="s">
        <v>784</v>
      </c>
      <c r="T3167" t="s">
        <v>805</v>
      </c>
    </row>
    <row r="3168" spans="1:20" x14ac:dyDescent="0.3">
      <c r="A3168" t="s">
        <v>627</v>
      </c>
      <c r="B3168" s="16">
        <v>45972</v>
      </c>
      <c r="C3168" t="s">
        <v>2</v>
      </c>
      <c r="D3168" t="s">
        <v>55</v>
      </c>
      <c r="E3168" t="s">
        <v>66</v>
      </c>
      <c r="F3168">
        <v>2</v>
      </c>
      <c r="G3168">
        <v>2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f t="shared" si="165"/>
        <v>2025</v>
      </c>
      <c r="Q3168">
        <f t="shared" si="166"/>
        <v>11</v>
      </c>
      <c r="R3168" t="str">
        <f t="shared" si="167"/>
        <v>短直联动</v>
      </c>
      <c r="S3168" t="s">
        <v>784</v>
      </c>
      <c r="T3168" t="s">
        <v>805</v>
      </c>
    </row>
    <row r="3169" spans="1:20" x14ac:dyDescent="0.3">
      <c r="A3169" t="s">
        <v>627</v>
      </c>
      <c r="B3169" s="16">
        <v>45972</v>
      </c>
      <c r="C3169" t="s">
        <v>2</v>
      </c>
      <c r="D3169" t="s">
        <v>55</v>
      </c>
      <c r="E3169" t="s">
        <v>54</v>
      </c>
      <c r="F3169">
        <v>991</v>
      </c>
      <c r="G3169">
        <v>702</v>
      </c>
      <c r="H3169">
        <v>17</v>
      </c>
      <c r="I3169">
        <v>1</v>
      </c>
      <c r="J3169">
        <v>0</v>
      </c>
      <c r="K3169">
        <v>0</v>
      </c>
      <c r="L3169">
        <v>0</v>
      </c>
      <c r="M3169">
        <v>0</v>
      </c>
      <c r="N3169">
        <v>37</v>
      </c>
      <c r="O3169">
        <v>343</v>
      </c>
      <c r="P3169">
        <f t="shared" si="165"/>
        <v>2025</v>
      </c>
      <c r="Q3169">
        <f t="shared" si="166"/>
        <v>11</v>
      </c>
      <c r="R3169" t="str">
        <f t="shared" si="167"/>
        <v>超级直播</v>
      </c>
      <c r="S3169" t="s">
        <v>784</v>
      </c>
      <c r="T3169" t="s">
        <v>805</v>
      </c>
    </row>
    <row r="3170" spans="1:20" x14ac:dyDescent="0.3">
      <c r="A3170" t="s">
        <v>627</v>
      </c>
      <c r="B3170" s="16">
        <v>45972</v>
      </c>
      <c r="C3170" t="s">
        <v>2</v>
      </c>
      <c r="D3170" t="s">
        <v>55</v>
      </c>
      <c r="E3170" t="s">
        <v>56</v>
      </c>
      <c r="F3170">
        <v>20</v>
      </c>
      <c r="G3170">
        <v>13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20</v>
      </c>
      <c r="P3170">
        <f t="shared" si="165"/>
        <v>2025</v>
      </c>
      <c r="Q3170">
        <f t="shared" si="166"/>
        <v>11</v>
      </c>
      <c r="R3170" t="str">
        <f t="shared" si="167"/>
        <v>超级短视频</v>
      </c>
      <c r="S3170" t="s">
        <v>784</v>
      </c>
      <c r="T3170" t="s">
        <v>805</v>
      </c>
    </row>
    <row r="3171" spans="1:20" x14ac:dyDescent="0.3">
      <c r="A3171" t="s">
        <v>627</v>
      </c>
      <c r="B3171" s="16">
        <v>45972</v>
      </c>
      <c r="C3171" t="s">
        <v>2</v>
      </c>
      <c r="D3171" t="s">
        <v>57</v>
      </c>
      <c r="E3171" t="s">
        <v>63</v>
      </c>
      <c r="F3171">
        <v>873</v>
      </c>
      <c r="G3171">
        <v>688</v>
      </c>
      <c r="H3171">
        <v>25</v>
      </c>
      <c r="I3171">
        <v>2</v>
      </c>
      <c r="J3171">
        <v>60060</v>
      </c>
      <c r="K3171">
        <v>7</v>
      </c>
      <c r="L3171">
        <v>33170</v>
      </c>
      <c r="M3171">
        <v>6</v>
      </c>
      <c r="N3171">
        <v>868</v>
      </c>
      <c r="O3171">
        <v>463</v>
      </c>
      <c r="P3171">
        <f t="shared" si="165"/>
        <v>2025</v>
      </c>
      <c r="Q3171">
        <f t="shared" si="166"/>
        <v>11</v>
      </c>
      <c r="R3171" t="str">
        <f t="shared" si="167"/>
        <v>万相台</v>
      </c>
      <c r="S3171" t="s">
        <v>784</v>
      </c>
      <c r="T3171" t="s">
        <v>805</v>
      </c>
    </row>
    <row r="3172" spans="1:20" x14ac:dyDescent="0.3">
      <c r="A3172" t="s">
        <v>627</v>
      </c>
      <c r="B3172" s="16">
        <v>45972</v>
      </c>
      <c r="C3172" t="s">
        <v>2</v>
      </c>
      <c r="D3172" t="s">
        <v>57</v>
      </c>
      <c r="E3172" t="s">
        <v>64</v>
      </c>
      <c r="F3172">
        <v>22252</v>
      </c>
      <c r="G3172">
        <v>9863</v>
      </c>
      <c r="H3172">
        <v>88</v>
      </c>
      <c r="I3172">
        <v>128</v>
      </c>
      <c r="J3172">
        <v>31725</v>
      </c>
      <c r="K3172">
        <v>8</v>
      </c>
      <c r="L3172">
        <v>29635</v>
      </c>
      <c r="M3172">
        <v>7</v>
      </c>
      <c r="N3172">
        <v>438</v>
      </c>
      <c r="O3172">
        <v>22251</v>
      </c>
      <c r="P3172">
        <f t="shared" si="165"/>
        <v>2025</v>
      </c>
      <c r="Q3172">
        <f t="shared" si="166"/>
        <v>11</v>
      </c>
      <c r="R3172" t="str">
        <f t="shared" si="167"/>
        <v>引力魔方</v>
      </c>
      <c r="S3172" t="s">
        <v>784</v>
      </c>
      <c r="T3172" t="s">
        <v>805</v>
      </c>
    </row>
    <row r="3173" spans="1:20" x14ac:dyDescent="0.3">
      <c r="A3173" t="s">
        <v>627</v>
      </c>
      <c r="B3173" s="16">
        <v>45972</v>
      </c>
      <c r="C3173" t="s">
        <v>2</v>
      </c>
      <c r="D3173" t="s">
        <v>57</v>
      </c>
      <c r="E3173" t="s">
        <v>65</v>
      </c>
      <c r="F3173">
        <v>4756</v>
      </c>
      <c r="G3173">
        <v>3860</v>
      </c>
      <c r="H3173">
        <v>57</v>
      </c>
      <c r="I3173">
        <v>21</v>
      </c>
      <c r="J3173">
        <v>112750</v>
      </c>
      <c r="K3173">
        <v>20</v>
      </c>
      <c r="L3173">
        <v>64290</v>
      </c>
      <c r="M3173">
        <v>16</v>
      </c>
      <c r="N3173">
        <v>310</v>
      </c>
      <c r="O3173">
        <v>4695</v>
      </c>
      <c r="P3173">
        <f t="shared" si="165"/>
        <v>2025</v>
      </c>
      <c r="Q3173">
        <f t="shared" si="166"/>
        <v>11</v>
      </c>
      <c r="R3173" t="str">
        <f t="shared" si="167"/>
        <v>直通车</v>
      </c>
      <c r="S3173" t="s">
        <v>784</v>
      </c>
      <c r="T3173" t="s">
        <v>805</v>
      </c>
    </row>
    <row r="3174" spans="1:20" x14ac:dyDescent="0.3">
      <c r="A3174" t="s">
        <v>627</v>
      </c>
      <c r="B3174" s="16">
        <v>45972</v>
      </c>
      <c r="C3174" t="s">
        <v>2</v>
      </c>
      <c r="D3174" t="s">
        <v>4</v>
      </c>
      <c r="E3174" t="s">
        <v>42</v>
      </c>
      <c r="F3174">
        <v>1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f t="shared" si="165"/>
        <v>2025</v>
      </c>
      <c r="Q3174">
        <f t="shared" si="166"/>
        <v>11</v>
      </c>
      <c r="R3174" t="str">
        <f t="shared" si="167"/>
        <v>UD效果投放</v>
      </c>
      <c r="S3174" t="s">
        <v>784</v>
      </c>
      <c r="T3174" t="s">
        <v>805</v>
      </c>
    </row>
    <row r="3175" spans="1:20" x14ac:dyDescent="0.3">
      <c r="A3175" t="s">
        <v>627</v>
      </c>
      <c r="B3175" s="16">
        <v>45972</v>
      </c>
      <c r="C3175" t="s">
        <v>2</v>
      </c>
      <c r="D3175" t="s">
        <v>4</v>
      </c>
      <c r="E3175" t="s">
        <v>41</v>
      </c>
      <c r="F3175">
        <v>12</v>
      </c>
      <c r="G3175">
        <v>8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1</v>
      </c>
      <c r="O3175">
        <v>11</v>
      </c>
      <c r="P3175">
        <f t="shared" si="165"/>
        <v>2025</v>
      </c>
      <c r="Q3175">
        <f t="shared" si="166"/>
        <v>11</v>
      </c>
      <c r="R3175" t="str">
        <f t="shared" si="167"/>
        <v>流量宝</v>
      </c>
      <c r="S3175" t="s">
        <v>784</v>
      </c>
      <c r="T3175" t="s">
        <v>805</v>
      </c>
    </row>
    <row r="3176" spans="1:20" x14ac:dyDescent="0.3">
      <c r="A3176" t="s">
        <v>627</v>
      </c>
      <c r="B3176" s="16">
        <v>45972</v>
      </c>
      <c r="C3176" t="s">
        <v>2</v>
      </c>
      <c r="D3176" t="s">
        <v>4</v>
      </c>
      <c r="E3176" t="s">
        <v>43</v>
      </c>
      <c r="F3176">
        <v>576</v>
      </c>
      <c r="G3176">
        <v>219</v>
      </c>
      <c r="H3176">
        <v>6</v>
      </c>
      <c r="I3176">
        <v>2</v>
      </c>
      <c r="J3176">
        <v>41311.18</v>
      </c>
      <c r="K3176">
        <v>9</v>
      </c>
      <c r="L3176">
        <v>37321.18</v>
      </c>
      <c r="M3176">
        <v>9</v>
      </c>
      <c r="N3176">
        <v>4</v>
      </c>
      <c r="O3176">
        <v>575</v>
      </c>
      <c r="P3176">
        <f t="shared" si="165"/>
        <v>2025</v>
      </c>
      <c r="Q3176">
        <f t="shared" si="166"/>
        <v>11</v>
      </c>
      <c r="R3176" t="str">
        <f t="shared" si="167"/>
        <v>淘宝客</v>
      </c>
      <c r="S3176" t="s">
        <v>784</v>
      </c>
      <c r="T3176" t="s">
        <v>805</v>
      </c>
    </row>
    <row r="3177" spans="1:20" x14ac:dyDescent="0.3">
      <c r="A3177" t="s">
        <v>627</v>
      </c>
      <c r="B3177" s="16">
        <v>45971</v>
      </c>
      <c r="C3177" t="s">
        <v>3</v>
      </c>
      <c r="D3177" t="s">
        <v>114</v>
      </c>
      <c r="E3177" t="s">
        <v>159</v>
      </c>
      <c r="F3177">
        <v>182</v>
      </c>
      <c r="G3177">
        <v>95</v>
      </c>
      <c r="H3177">
        <v>2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12</v>
      </c>
      <c r="O3177">
        <v>182</v>
      </c>
      <c r="P3177">
        <f t="shared" ref="P3177:P3240" si="168">YEAR(B3177)</f>
        <v>2025</v>
      </c>
      <c r="Q3177">
        <f t="shared" ref="Q3177:Q3240" si="169">MONTH(B3177)</f>
        <v>11</v>
      </c>
      <c r="R3177" t="str">
        <f t="shared" ref="R3177:R3240" si="170">E3177</f>
        <v>主会场</v>
      </c>
      <c r="S3177" t="s">
        <v>784</v>
      </c>
      <c r="T3177" t="s">
        <v>805</v>
      </c>
    </row>
    <row r="3178" spans="1:20" x14ac:dyDescent="0.3">
      <c r="A3178" t="s">
        <v>627</v>
      </c>
      <c r="B3178" s="16">
        <v>45971</v>
      </c>
      <c r="C3178" t="s">
        <v>3</v>
      </c>
      <c r="D3178" t="s">
        <v>117</v>
      </c>
      <c r="E3178" t="s">
        <v>161</v>
      </c>
      <c r="F3178">
        <v>2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1</v>
      </c>
      <c r="O3178">
        <v>2</v>
      </c>
      <c r="P3178">
        <f t="shared" si="168"/>
        <v>2025</v>
      </c>
      <c r="Q3178">
        <f t="shared" si="169"/>
        <v>11</v>
      </c>
      <c r="R3178" t="str">
        <f t="shared" si="170"/>
        <v>其他入口榜单</v>
      </c>
      <c r="S3178" t="s">
        <v>784</v>
      </c>
      <c r="T3178" t="s">
        <v>805</v>
      </c>
    </row>
    <row r="3179" spans="1:20" x14ac:dyDescent="0.3">
      <c r="A3179" t="s">
        <v>627</v>
      </c>
      <c r="B3179" s="16">
        <v>45971</v>
      </c>
      <c r="C3179" t="s">
        <v>3</v>
      </c>
      <c r="D3179" t="s">
        <v>117</v>
      </c>
      <c r="E3179" t="s">
        <v>191</v>
      </c>
      <c r="F3179">
        <v>3</v>
      </c>
      <c r="G3179">
        <v>1</v>
      </c>
      <c r="H3179">
        <v>0</v>
      </c>
      <c r="I3179">
        <v>0</v>
      </c>
      <c r="J3179">
        <v>3980</v>
      </c>
      <c r="K3179">
        <v>2</v>
      </c>
      <c r="L3179">
        <v>0</v>
      </c>
      <c r="M3179">
        <v>0</v>
      </c>
      <c r="N3179">
        <v>1</v>
      </c>
      <c r="O3179">
        <v>3</v>
      </c>
      <c r="P3179">
        <f t="shared" si="168"/>
        <v>2025</v>
      </c>
      <c r="Q3179">
        <f t="shared" si="169"/>
        <v>11</v>
      </c>
      <c r="R3179" t="str">
        <f t="shared" si="170"/>
        <v>商品详情页入口榜单</v>
      </c>
      <c r="S3179" t="s">
        <v>784</v>
      </c>
      <c r="T3179" t="s">
        <v>805</v>
      </c>
    </row>
    <row r="3180" spans="1:20" x14ac:dyDescent="0.3">
      <c r="A3180" t="s">
        <v>627</v>
      </c>
      <c r="B3180" s="16">
        <v>45971</v>
      </c>
      <c r="C3180" t="s">
        <v>3</v>
      </c>
      <c r="D3180" t="s">
        <v>123</v>
      </c>
      <c r="E3180" t="s">
        <v>169</v>
      </c>
      <c r="F3180">
        <v>1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1</v>
      </c>
      <c r="P3180">
        <f t="shared" si="168"/>
        <v>2025</v>
      </c>
      <c r="Q3180">
        <f t="shared" si="169"/>
        <v>11</v>
      </c>
      <c r="R3180" t="str">
        <f t="shared" si="170"/>
        <v>商品详情页头图推荐</v>
      </c>
      <c r="S3180" t="s">
        <v>784</v>
      </c>
      <c r="T3180" t="s">
        <v>805</v>
      </c>
    </row>
    <row r="3181" spans="1:20" x14ac:dyDescent="0.3">
      <c r="A3181" t="s">
        <v>627</v>
      </c>
      <c r="B3181" s="16">
        <v>45971</v>
      </c>
      <c r="C3181" t="s">
        <v>3</v>
      </c>
      <c r="D3181" t="s">
        <v>123</v>
      </c>
      <c r="E3181" t="s">
        <v>170</v>
      </c>
      <c r="F3181">
        <v>58</v>
      </c>
      <c r="G3181">
        <v>35</v>
      </c>
      <c r="H3181">
        <v>3</v>
      </c>
      <c r="I3181">
        <v>1</v>
      </c>
      <c r="J3181">
        <v>4695</v>
      </c>
      <c r="K3181">
        <v>1</v>
      </c>
      <c r="L3181">
        <v>4695</v>
      </c>
      <c r="M3181">
        <v>1</v>
      </c>
      <c r="N3181">
        <v>51</v>
      </c>
      <c r="O3181">
        <v>29</v>
      </c>
      <c r="P3181">
        <f t="shared" si="168"/>
        <v>2025</v>
      </c>
      <c r="Q3181">
        <f t="shared" si="169"/>
        <v>11</v>
      </c>
      <c r="R3181" t="str">
        <f t="shared" si="170"/>
        <v>店铺超链</v>
      </c>
      <c r="S3181" t="s">
        <v>784</v>
      </c>
      <c r="T3181" t="s">
        <v>805</v>
      </c>
    </row>
    <row r="3182" spans="1:20" x14ac:dyDescent="0.3">
      <c r="A3182" t="s">
        <v>627</v>
      </c>
      <c r="B3182" s="16">
        <v>45971</v>
      </c>
      <c r="C3182" t="s">
        <v>3</v>
      </c>
      <c r="D3182" t="s">
        <v>127</v>
      </c>
      <c r="E3182" t="s">
        <v>171</v>
      </c>
      <c r="F3182">
        <v>911</v>
      </c>
      <c r="G3182">
        <v>400</v>
      </c>
      <c r="H3182">
        <v>24</v>
      </c>
      <c r="I3182">
        <v>12</v>
      </c>
      <c r="J3182">
        <v>16955</v>
      </c>
      <c r="K3182">
        <v>4</v>
      </c>
      <c r="L3182">
        <v>5480</v>
      </c>
      <c r="M3182">
        <v>2</v>
      </c>
      <c r="N3182">
        <v>129</v>
      </c>
      <c r="O3182">
        <v>860</v>
      </c>
      <c r="P3182">
        <f t="shared" si="168"/>
        <v>2025</v>
      </c>
      <c r="Q3182">
        <f t="shared" si="169"/>
        <v>11</v>
      </c>
      <c r="R3182" t="str">
        <f t="shared" si="170"/>
        <v>其他猜你喜欢</v>
      </c>
      <c r="S3182" t="s">
        <v>784</v>
      </c>
      <c r="T3182" t="s">
        <v>805</v>
      </c>
    </row>
    <row r="3183" spans="1:20" x14ac:dyDescent="0.3">
      <c r="A3183" t="s">
        <v>627</v>
      </c>
      <c r="B3183" s="16">
        <v>45971</v>
      </c>
      <c r="C3183" t="s">
        <v>3</v>
      </c>
      <c r="D3183" t="s">
        <v>127</v>
      </c>
      <c r="E3183" t="s">
        <v>172</v>
      </c>
      <c r="F3183">
        <v>196</v>
      </c>
      <c r="G3183">
        <v>111</v>
      </c>
      <c r="H3183">
        <v>6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17</v>
      </c>
      <c r="O3183">
        <v>131</v>
      </c>
      <c r="P3183">
        <f t="shared" si="168"/>
        <v>2025</v>
      </c>
      <c r="Q3183">
        <f t="shared" si="169"/>
        <v>11</v>
      </c>
      <c r="R3183" t="str">
        <f t="shared" si="170"/>
        <v>购中推荐</v>
      </c>
      <c r="S3183" t="s">
        <v>784</v>
      </c>
      <c r="T3183" t="s">
        <v>805</v>
      </c>
    </row>
    <row r="3184" spans="1:20" x14ac:dyDescent="0.3">
      <c r="A3184" t="s">
        <v>627</v>
      </c>
      <c r="B3184" s="16">
        <v>45971</v>
      </c>
      <c r="C3184" t="s">
        <v>3</v>
      </c>
      <c r="D3184" t="s">
        <v>127</v>
      </c>
      <c r="E3184" t="s">
        <v>173</v>
      </c>
      <c r="F3184">
        <v>1175</v>
      </c>
      <c r="G3184">
        <v>726</v>
      </c>
      <c r="H3184">
        <v>23</v>
      </c>
      <c r="I3184">
        <v>8</v>
      </c>
      <c r="J3184">
        <v>6490</v>
      </c>
      <c r="K3184">
        <v>2</v>
      </c>
      <c r="L3184">
        <v>6490</v>
      </c>
      <c r="M3184">
        <v>2</v>
      </c>
      <c r="N3184">
        <v>45</v>
      </c>
      <c r="O3184">
        <v>678</v>
      </c>
      <c r="P3184">
        <f t="shared" si="168"/>
        <v>2025</v>
      </c>
      <c r="Q3184">
        <f t="shared" si="169"/>
        <v>11</v>
      </c>
      <c r="R3184" t="str">
        <f t="shared" si="170"/>
        <v>购后推荐</v>
      </c>
      <c r="S3184" t="s">
        <v>784</v>
      </c>
      <c r="T3184" t="s">
        <v>805</v>
      </c>
    </row>
    <row r="3185" spans="1:20" x14ac:dyDescent="0.3">
      <c r="A3185" t="s">
        <v>627</v>
      </c>
      <c r="B3185" s="16">
        <v>45971</v>
      </c>
      <c r="C3185" t="s">
        <v>3</v>
      </c>
      <c r="D3185" t="s">
        <v>127</v>
      </c>
      <c r="E3185" t="s">
        <v>174</v>
      </c>
      <c r="F3185">
        <v>7855</v>
      </c>
      <c r="G3185">
        <v>4124</v>
      </c>
      <c r="H3185">
        <v>88</v>
      </c>
      <c r="I3185">
        <v>40</v>
      </c>
      <c r="J3185">
        <v>95150</v>
      </c>
      <c r="K3185">
        <v>22</v>
      </c>
      <c r="L3185">
        <v>65310</v>
      </c>
      <c r="M3185">
        <v>16</v>
      </c>
      <c r="N3185">
        <v>314</v>
      </c>
      <c r="O3185">
        <v>7855</v>
      </c>
      <c r="P3185">
        <f t="shared" si="168"/>
        <v>2025</v>
      </c>
      <c r="Q3185">
        <f t="shared" si="169"/>
        <v>11</v>
      </c>
      <c r="R3185" t="str">
        <f t="shared" si="170"/>
        <v>首页推荐-微详情</v>
      </c>
      <c r="S3185" t="s">
        <v>784</v>
      </c>
      <c r="T3185" t="s">
        <v>805</v>
      </c>
    </row>
    <row r="3186" spans="1:20" x14ac:dyDescent="0.3">
      <c r="A3186" t="s">
        <v>627</v>
      </c>
      <c r="B3186" s="16">
        <v>45971</v>
      </c>
      <c r="C3186" t="s">
        <v>3</v>
      </c>
      <c r="D3186" t="s">
        <v>127</v>
      </c>
      <c r="E3186" t="s">
        <v>175</v>
      </c>
      <c r="F3186">
        <v>175</v>
      </c>
      <c r="G3186">
        <v>82</v>
      </c>
      <c r="H3186">
        <v>2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6</v>
      </c>
      <c r="O3186">
        <v>83</v>
      </c>
      <c r="P3186">
        <f t="shared" si="168"/>
        <v>2025</v>
      </c>
      <c r="Q3186">
        <f t="shared" si="169"/>
        <v>11</v>
      </c>
      <c r="R3186" t="str">
        <f t="shared" si="170"/>
        <v>首页推荐-直播</v>
      </c>
      <c r="S3186" t="s">
        <v>784</v>
      </c>
      <c r="T3186" t="s">
        <v>805</v>
      </c>
    </row>
    <row r="3187" spans="1:20" x14ac:dyDescent="0.3">
      <c r="A3187" t="s">
        <v>627</v>
      </c>
      <c r="B3187" s="16">
        <v>45971</v>
      </c>
      <c r="C3187" t="s">
        <v>3</v>
      </c>
      <c r="D3187" t="s">
        <v>127</v>
      </c>
      <c r="E3187" t="s">
        <v>176</v>
      </c>
      <c r="F3187">
        <v>598</v>
      </c>
      <c r="G3187">
        <v>390</v>
      </c>
      <c r="H3187">
        <v>1</v>
      </c>
      <c r="I3187">
        <v>1</v>
      </c>
      <c r="J3187">
        <v>0</v>
      </c>
      <c r="K3187">
        <v>0</v>
      </c>
      <c r="L3187">
        <v>0</v>
      </c>
      <c r="M3187">
        <v>0</v>
      </c>
      <c r="N3187">
        <v>11</v>
      </c>
      <c r="O3187">
        <v>47</v>
      </c>
      <c r="P3187">
        <f t="shared" si="168"/>
        <v>2025</v>
      </c>
      <c r="Q3187">
        <f t="shared" si="169"/>
        <v>11</v>
      </c>
      <c r="R3187" t="str">
        <f t="shared" si="170"/>
        <v>首页推荐-短视频</v>
      </c>
      <c r="S3187" t="s">
        <v>784</v>
      </c>
      <c r="T3187" t="s">
        <v>805</v>
      </c>
    </row>
    <row r="3188" spans="1:20" x14ac:dyDescent="0.3">
      <c r="A3188" t="s">
        <v>627</v>
      </c>
      <c r="B3188" s="16">
        <v>45971</v>
      </c>
      <c r="C3188" t="s">
        <v>3</v>
      </c>
      <c r="D3188" t="s">
        <v>128</v>
      </c>
      <c r="E3188" t="s">
        <v>177</v>
      </c>
      <c r="F3188">
        <v>3518</v>
      </c>
      <c r="G3188">
        <v>3007</v>
      </c>
      <c r="H3188">
        <v>76</v>
      </c>
      <c r="I3188">
        <v>24</v>
      </c>
      <c r="J3188">
        <v>128185</v>
      </c>
      <c r="K3188">
        <v>19</v>
      </c>
      <c r="L3188">
        <v>50775</v>
      </c>
      <c r="M3188">
        <v>12</v>
      </c>
      <c r="N3188">
        <v>459</v>
      </c>
      <c r="O3188">
        <v>3408</v>
      </c>
      <c r="P3188">
        <f t="shared" si="168"/>
        <v>2025</v>
      </c>
      <c r="Q3188">
        <f t="shared" si="169"/>
        <v>11</v>
      </c>
      <c r="R3188" t="str">
        <f t="shared" si="170"/>
        <v>手淘搜索-商品及其他</v>
      </c>
      <c r="S3188" t="s">
        <v>784</v>
      </c>
      <c r="T3188" t="s">
        <v>805</v>
      </c>
    </row>
    <row r="3189" spans="1:20" x14ac:dyDescent="0.3">
      <c r="A3189" t="s">
        <v>627</v>
      </c>
      <c r="B3189" s="16">
        <v>45971</v>
      </c>
      <c r="C3189" t="s">
        <v>3</v>
      </c>
      <c r="D3189" t="s">
        <v>128</v>
      </c>
      <c r="E3189" t="s">
        <v>178</v>
      </c>
      <c r="F3189">
        <v>37</v>
      </c>
      <c r="G3189">
        <v>23</v>
      </c>
      <c r="H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2</v>
      </c>
      <c r="O3189">
        <v>35</v>
      </c>
      <c r="P3189">
        <f t="shared" si="168"/>
        <v>2025</v>
      </c>
      <c r="Q3189">
        <f t="shared" si="169"/>
        <v>11</v>
      </c>
      <c r="R3189" t="str">
        <f t="shared" si="170"/>
        <v>手淘搜索-直播</v>
      </c>
      <c r="S3189" t="s">
        <v>784</v>
      </c>
      <c r="T3189" t="s">
        <v>805</v>
      </c>
    </row>
    <row r="3190" spans="1:20" x14ac:dyDescent="0.3">
      <c r="A3190" t="s">
        <v>627</v>
      </c>
      <c r="B3190" s="16">
        <v>45971</v>
      </c>
      <c r="C3190" t="s">
        <v>3</v>
      </c>
      <c r="D3190" t="s">
        <v>128</v>
      </c>
      <c r="E3190" t="s">
        <v>179</v>
      </c>
      <c r="F3190">
        <v>40</v>
      </c>
      <c r="G3190">
        <v>21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2</v>
      </c>
      <c r="O3190">
        <v>36</v>
      </c>
      <c r="P3190">
        <f t="shared" si="168"/>
        <v>2025</v>
      </c>
      <c r="Q3190">
        <f t="shared" si="169"/>
        <v>11</v>
      </c>
      <c r="R3190" t="str">
        <f t="shared" si="170"/>
        <v>手淘搜索-短视频</v>
      </c>
      <c r="S3190" t="s">
        <v>784</v>
      </c>
      <c r="T3190" t="s">
        <v>805</v>
      </c>
    </row>
    <row r="3191" spans="1:20" x14ac:dyDescent="0.3">
      <c r="A3191" t="s">
        <v>627</v>
      </c>
      <c r="B3191" s="16">
        <v>45971</v>
      </c>
      <c r="C3191" t="s">
        <v>3</v>
      </c>
      <c r="D3191" t="s">
        <v>143</v>
      </c>
      <c r="E3191" t="s">
        <v>180</v>
      </c>
      <c r="F3191">
        <v>1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1</v>
      </c>
      <c r="P3191">
        <f t="shared" si="168"/>
        <v>2025</v>
      </c>
      <c r="Q3191">
        <f t="shared" si="169"/>
        <v>11</v>
      </c>
      <c r="R3191" t="str">
        <f t="shared" si="170"/>
        <v>淘特其他渠道</v>
      </c>
      <c r="S3191" t="s">
        <v>784</v>
      </c>
      <c r="T3191" t="s">
        <v>805</v>
      </c>
    </row>
    <row r="3192" spans="1:20" x14ac:dyDescent="0.3">
      <c r="A3192" t="s">
        <v>627</v>
      </c>
      <c r="B3192" s="16">
        <v>45971</v>
      </c>
      <c r="C3192" t="s">
        <v>3</v>
      </c>
      <c r="D3192" t="s">
        <v>143</v>
      </c>
      <c r="E3192" t="s">
        <v>181</v>
      </c>
      <c r="F3192">
        <v>1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f t="shared" si="168"/>
        <v>2025</v>
      </c>
      <c r="Q3192">
        <f t="shared" si="169"/>
        <v>11</v>
      </c>
      <c r="R3192" t="str">
        <f t="shared" si="170"/>
        <v>淘特搜索</v>
      </c>
      <c r="S3192" t="s">
        <v>784</v>
      </c>
      <c r="T3192" t="s">
        <v>805</v>
      </c>
    </row>
    <row r="3193" spans="1:20" x14ac:dyDescent="0.3">
      <c r="A3193" t="s">
        <v>627</v>
      </c>
      <c r="B3193" s="16">
        <v>45971</v>
      </c>
      <c r="C3193" t="s">
        <v>3</v>
      </c>
      <c r="D3193" t="s">
        <v>157</v>
      </c>
      <c r="E3193" t="s">
        <v>182</v>
      </c>
      <c r="F3193">
        <v>1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f t="shared" si="168"/>
        <v>2025</v>
      </c>
      <c r="Q3193">
        <f t="shared" si="169"/>
        <v>11</v>
      </c>
      <c r="R3193" t="str">
        <f t="shared" si="170"/>
        <v>飞猪其他</v>
      </c>
      <c r="S3193" t="s">
        <v>784</v>
      </c>
      <c r="T3193" t="s">
        <v>805</v>
      </c>
    </row>
    <row r="3194" spans="1:20" x14ac:dyDescent="0.3">
      <c r="A3194" t="s">
        <v>627</v>
      </c>
      <c r="B3194" s="16">
        <v>45971</v>
      </c>
      <c r="C3194" t="s">
        <v>2</v>
      </c>
      <c r="D3194" t="s">
        <v>55</v>
      </c>
      <c r="E3194" t="s">
        <v>54</v>
      </c>
      <c r="F3194">
        <v>829</v>
      </c>
      <c r="G3194">
        <v>472</v>
      </c>
      <c r="H3194">
        <v>11</v>
      </c>
      <c r="I3194">
        <v>2</v>
      </c>
      <c r="J3194">
        <v>0</v>
      </c>
      <c r="K3194">
        <v>0</v>
      </c>
      <c r="L3194">
        <v>0</v>
      </c>
      <c r="M3194">
        <v>0</v>
      </c>
      <c r="N3194">
        <v>39</v>
      </c>
      <c r="O3194">
        <v>404</v>
      </c>
      <c r="P3194">
        <f t="shared" si="168"/>
        <v>2025</v>
      </c>
      <c r="Q3194">
        <f t="shared" si="169"/>
        <v>11</v>
      </c>
      <c r="R3194" t="str">
        <f t="shared" si="170"/>
        <v>超级直播</v>
      </c>
      <c r="S3194" t="s">
        <v>784</v>
      </c>
      <c r="T3194" t="s">
        <v>805</v>
      </c>
    </row>
    <row r="3195" spans="1:20" x14ac:dyDescent="0.3">
      <c r="A3195" t="s">
        <v>627</v>
      </c>
      <c r="B3195" s="16">
        <v>45971</v>
      </c>
      <c r="C3195" t="s">
        <v>2</v>
      </c>
      <c r="D3195" t="s">
        <v>55</v>
      </c>
      <c r="E3195" t="s">
        <v>56</v>
      </c>
      <c r="F3195">
        <v>38</v>
      </c>
      <c r="G3195">
        <v>19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1</v>
      </c>
      <c r="O3195">
        <v>37</v>
      </c>
      <c r="P3195">
        <f t="shared" si="168"/>
        <v>2025</v>
      </c>
      <c r="Q3195">
        <f t="shared" si="169"/>
        <v>11</v>
      </c>
      <c r="R3195" t="str">
        <f t="shared" si="170"/>
        <v>超级短视频</v>
      </c>
      <c r="S3195" t="s">
        <v>784</v>
      </c>
      <c r="T3195" t="s">
        <v>805</v>
      </c>
    </row>
    <row r="3196" spans="1:20" x14ac:dyDescent="0.3">
      <c r="A3196" t="s">
        <v>627</v>
      </c>
      <c r="B3196" s="16">
        <v>45971</v>
      </c>
      <c r="C3196" t="s">
        <v>2</v>
      </c>
      <c r="D3196" t="s">
        <v>57</v>
      </c>
      <c r="E3196" t="s">
        <v>63</v>
      </c>
      <c r="F3196">
        <v>907</v>
      </c>
      <c r="G3196">
        <v>723</v>
      </c>
      <c r="H3196">
        <v>32</v>
      </c>
      <c r="I3196">
        <v>8</v>
      </c>
      <c r="J3196">
        <v>13992</v>
      </c>
      <c r="K3196">
        <v>6</v>
      </c>
      <c r="L3196">
        <v>13992</v>
      </c>
      <c r="M3196">
        <v>6</v>
      </c>
      <c r="N3196">
        <v>903</v>
      </c>
      <c r="O3196">
        <v>455</v>
      </c>
      <c r="P3196">
        <f t="shared" si="168"/>
        <v>2025</v>
      </c>
      <c r="Q3196">
        <f t="shared" si="169"/>
        <v>11</v>
      </c>
      <c r="R3196" t="str">
        <f t="shared" si="170"/>
        <v>万相台</v>
      </c>
      <c r="S3196" t="s">
        <v>784</v>
      </c>
      <c r="T3196" t="s">
        <v>805</v>
      </c>
    </row>
    <row r="3197" spans="1:20" x14ac:dyDescent="0.3">
      <c r="A3197" t="s">
        <v>627</v>
      </c>
      <c r="B3197" s="16">
        <v>45971</v>
      </c>
      <c r="C3197" t="s">
        <v>2</v>
      </c>
      <c r="D3197" t="s">
        <v>57</v>
      </c>
      <c r="E3197" t="s">
        <v>64</v>
      </c>
      <c r="F3197">
        <v>26413</v>
      </c>
      <c r="G3197">
        <v>12259</v>
      </c>
      <c r="H3197">
        <v>95</v>
      </c>
      <c r="I3197">
        <v>138</v>
      </c>
      <c r="J3197">
        <v>52515</v>
      </c>
      <c r="K3197">
        <v>8</v>
      </c>
      <c r="L3197">
        <v>18500</v>
      </c>
      <c r="M3197">
        <v>5</v>
      </c>
      <c r="N3197">
        <v>525</v>
      </c>
      <c r="O3197">
        <v>26412</v>
      </c>
      <c r="P3197">
        <f t="shared" si="168"/>
        <v>2025</v>
      </c>
      <c r="Q3197">
        <f t="shared" si="169"/>
        <v>11</v>
      </c>
      <c r="R3197" t="str">
        <f t="shared" si="170"/>
        <v>引力魔方</v>
      </c>
      <c r="S3197" t="s">
        <v>784</v>
      </c>
      <c r="T3197" t="s">
        <v>805</v>
      </c>
    </row>
    <row r="3198" spans="1:20" x14ac:dyDescent="0.3">
      <c r="A3198" t="s">
        <v>627</v>
      </c>
      <c r="B3198" s="16">
        <v>45971</v>
      </c>
      <c r="C3198" t="s">
        <v>2</v>
      </c>
      <c r="D3198" t="s">
        <v>57</v>
      </c>
      <c r="E3198" t="s">
        <v>65</v>
      </c>
      <c r="F3198">
        <v>4907</v>
      </c>
      <c r="G3198">
        <v>4015</v>
      </c>
      <c r="H3198">
        <v>53</v>
      </c>
      <c r="I3198">
        <v>18</v>
      </c>
      <c r="J3198">
        <v>66365</v>
      </c>
      <c r="K3198">
        <v>11</v>
      </c>
      <c r="L3198">
        <v>35030</v>
      </c>
      <c r="M3198">
        <v>8</v>
      </c>
      <c r="N3198">
        <v>341</v>
      </c>
      <c r="O3198">
        <v>4828</v>
      </c>
      <c r="P3198">
        <f t="shared" si="168"/>
        <v>2025</v>
      </c>
      <c r="Q3198">
        <f t="shared" si="169"/>
        <v>11</v>
      </c>
      <c r="R3198" t="str">
        <f t="shared" si="170"/>
        <v>直通车</v>
      </c>
      <c r="S3198" t="s">
        <v>784</v>
      </c>
      <c r="T3198" t="s">
        <v>805</v>
      </c>
    </row>
    <row r="3199" spans="1:20" x14ac:dyDescent="0.3">
      <c r="A3199" t="s">
        <v>627</v>
      </c>
      <c r="B3199" s="16">
        <v>45971</v>
      </c>
      <c r="C3199" t="s">
        <v>2</v>
      </c>
      <c r="D3199" t="s">
        <v>4</v>
      </c>
      <c r="E3199" t="s">
        <v>41</v>
      </c>
      <c r="F3199">
        <v>8</v>
      </c>
      <c r="G3199">
        <v>4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8</v>
      </c>
      <c r="P3199">
        <f t="shared" si="168"/>
        <v>2025</v>
      </c>
      <c r="Q3199">
        <f t="shared" si="169"/>
        <v>11</v>
      </c>
      <c r="R3199" t="str">
        <f t="shared" si="170"/>
        <v>流量宝</v>
      </c>
      <c r="S3199" t="s">
        <v>784</v>
      </c>
      <c r="T3199" t="s">
        <v>805</v>
      </c>
    </row>
    <row r="3200" spans="1:20" x14ac:dyDescent="0.3">
      <c r="A3200" t="s">
        <v>627</v>
      </c>
      <c r="B3200" s="16">
        <v>45971</v>
      </c>
      <c r="C3200" t="s">
        <v>2</v>
      </c>
      <c r="D3200" t="s">
        <v>4</v>
      </c>
      <c r="E3200" t="s">
        <v>43</v>
      </c>
      <c r="F3200">
        <v>494</v>
      </c>
      <c r="G3200">
        <v>208</v>
      </c>
      <c r="H3200">
        <v>3</v>
      </c>
      <c r="I3200">
        <v>4</v>
      </c>
      <c r="J3200">
        <v>5980</v>
      </c>
      <c r="K3200">
        <v>2</v>
      </c>
      <c r="L3200">
        <v>3990</v>
      </c>
      <c r="M3200">
        <v>1</v>
      </c>
      <c r="N3200">
        <v>4</v>
      </c>
      <c r="O3200">
        <v>488</v>
      </c>
      <c r="P3200">
        <f t="shared" si="168"/>
        <v>2025</v>
      </c>
      <c r="Q3200">
        <f t="shared" si="169"/>
        <v>11</v>
      </c>
      <c r="R3200" t="str">
        <f t="shared" si="170"/>
        <v>淘宝客</v>
      </c>
      <c r="S3200" t="s">
        <v>784</v>
      </c>
      <c r="T3200" t="s">
        <v>805</v>
      </c>
    </row>
    <row r="3201" spans="1:20" x14ac:dyDescent="0.3">
      <c r="A3201" t="s">
        <v>627</v>
      </c>
      <c r="B3201" s="16">
        <v>45970</v>
      </c>
      <c r="C3201" t="s">
        <v>3</v>
      </c>
      <c r="D3201" t="s">
        <v>114</v>
      </c>
      <c r="E3201" t="s">
        <v>159</v>
      </c>
      <c r="F3201">
        <v>175</v>
      </c>
      <c r="G3201">
        <v>92</v>
      </c>
      <c r="H3201">
        <v>2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18</v>
      </c>
      <c r="O3201">
        <v>175</v>
      </c>
      <c r="P3201">
        <f t="shared" si="168"/>
        <v>2025</v>
      </c>
      <c r="Q3201">
        <f t="shared" si="169"/>
        <v>11</v>
      </c>
      <c r="R3201" t="str">
        <f t="shared" si="170"/>
        <v>主会场</v>
      </c>
      <c r="S3201" t="s">
        <v>784</v>
      </c>
      <c r="T3201" t="s">
        <v>805</v>
      </c>
    </row>
    <row r="3202" spans="1:20" x14ac:dyDescent="0.3">
      <c r="A3202" t="s">
        <v>627</v>
      </c>
      <c r="B3202" s="16">
        <v>45970</v>
      </c>
      <c r="C3202" t="s">
        <v>3</v>
      </c>
      <c r="D3202" t="s">
        <v>114</v>
      </c>
      <c r="E3202" t="s">
        <v>160</v>
      </c>
      <c r="F3202">
        <v>1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1</v>
      </c>
      <c r="P3202">
        <f t="shared" si="168"/>
        <v>2025</v>
      </c>
      <c r="Q3202">
        <f t="shared" si="169"/>
        <v>11</v>
      </c>
      <c r="R3202" t="str">
        <f t="shared" si="170"/>
        <v>榜单会场</v>
      </c>
      <c r="S3202" t="s">
        <v>784</v>
      </c>
      <c r="T3202" t="s">
        <v>805</v>
      </c>
    </row>
    <row r="3203" spans="1:20" x14ac:dyDescent="0.3">
      <c r="A3203" t="s">
        <v>627</v>
      </c>
      <c r="B3203" s="16">
        <v>45970</v>
      </c>
      <c r="C3203" t="s">
        <v>3</v>
      </c>
      <c r="D3203" t="s">
        <v>117</v>
      </c>
      <c r="E3203" t="s">
        <v>161</v>
      </c>
      <c r="F3203">
        <v>5</v>
      </c>
      <c r="G3203">
        <v>4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5</v>
      </c>
      <c r="P3203">
        <f t="shared" si="168"/>
        <v>2025</v>
      </c>
      <c r="Q3203">
        <f t="shared" si="169"/>
        <v>11</v>
      </c>
      <c r="R3203" t="str">
        <f t="shared" si="170"/>
        <v>其他入口榜单</v>
      </c>
      <c r="S3203" t="s">
        <v>784</v>
      </c>
      <c r="T3203" t="s">
        <v>805</v>
      </c>
    </row>
    <row r="3204" spans="1:20" x14ac:dyDescent="0.3">
      <c r="A3204" t="s">
        <v>627</v>
      </c>
      <c r="B3204" s="16">
        <v>45970</v>
      </c>
      <c r="C3204" t="s">
        <v>3</v>
      </c>
      <c r="D3204" t="s">
        <v>123</v>
      </c>
      <c r="E3204" t="s">
        <v>170</v>
      </c>
      <c r="F3204">
        <v>57</v>
      </c>
      <c r="G3204">
        <v>35</v>
      </c>
      <c r="H3204">
        <v>2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46</v>
      </c>
      <c r="O3204">
        <v>26</v>
      </c>
      <c r="P3204">
        <f t="shared" si="168"/>
        <v>2025</v>
      </c>
      <c r="Q3204">
        <f t="shared" si="169"/>
        <v>11</v>
      </c>
      <c r="R3204" t="str">
        <f t="shared" si="170"/>
        <v>店铺超链</v>
      </c>
      <c r="S3204" t="s">
        <v>784</v>
      </c>
      <c r="T3204" t="s">
        <v>805</v>
      </c>
    </row>
    <row r="3205" spans="1:20" x14ac:dyDescent="0.3">
      <c r="A3205" t="s">
        <v>627</v>
      </c>
      <c r="B3205" s="16">
        <v>45970</v>
      </c>
      <c r="C3205" t="s">
        <v>3</v>
      </c>
      <c r="D3205" t="s">
        <v>127</v>
      </c>
      <c r="E3205" t="s">
        <v>171</v>
      </c>
      <c r="F3205">
        <v>911</v>
      </c>
      <c r="G3205">
        <v>405</v>
      </c>
      <c r="H3205">
        <v>31</v>
      </c>
      <c r="I3205">
        <v>12</v>
      </c>
      <c r="J3205">
        <v>43805</v>
      </c>
      <c r="K3205">
        <v>9</v>
      </c>
      <c r="L3205">
        <v>41455</v>
      </c>
      <c r="M3205">
        <v>8</v>
      </c>
      <c r="N3205">
        <v>128</v>
      </c>
      <c r="O3205">
        <v>852</v>
      </c>
      <c r="P3205">
        <f t="shared" si="168"/>
        <v>2025</v>
      </c>
      <c r="Q3205">
        <f t="shared" si="169"/>
        <v>11</v>
      </c>
      <c r="R3205" t="str">
        <f t="shared" si="170"/>
        <v>其他猜你喜欢</v>
      </c>
      <c r="S3205" t="s">
        <v>784</v>
      </c>
      <c r="T3205" t="s">
        <v>805</v>
      </c>
    </row>
    <row r="3206" spans="1:20" x14ac:dyDescent="0.3">
      <c r="A3206" t="s">
        <v>627</v>
      </c>
      <c r="B3206" s="16">
        <v>45970</v>
      </c>
      <c r="C3206" t="s">
        <v>3</v>
      </c>
      <c r="D3206" t="s">
        <v>127</v>
      </c>
      <c r="E3206" t="s">
        <v>172</v>
      </c>
      <c r="F3206">
        <v>369</v>
      </c>
      <c r="G3206">
        <v>252</v>
      </c>
      <c r="H3206">
        <v>6</v>
      </c>
      <c r="I3206">
        <v>0</v>
      </c>
      <c r="J3206">
        <v>7240</v>
      </c>
      <c r="K3206">
        <v>2</v>
      </c>
      <c r="L3206">
        <v>3440</v>
      </c>
      <c r="M3206">
        <v>1</v>
      </c>
      <c r="N3206">
        <v>9</v>
      </c>
      <c r="O3206">
        <v>174</v>
      </c>
      <c r="P3206">
        <f t="shared" si="168"/>
        <v>2025</v>
      </c>
      <c r="Q3206">
        <f t="shared" si="169"/>
        <v>11</v>
      </c>
      <c r="R3206" t="str">
        <f t="shared" si="170"/>
        <v>购中推荐</v>
      </c>
      <c r="S3206" t="s">
        <v>784</v>
      </c>
      <c r="T3206" t="s">
        <v>805</v>
      </c>
    </row>
    <row r="3207" spans="1:20" x14ac:dyDescent="0.3">
      <c r="A3207" t="s">
        <v>627</v>
      </c>
      <c r="B3207" s="16">
        <v>45970</v>
      </c>
      <c r="C3207" t="s">
        <v>3</v>
      </c>
      <c r="D3207" t="s">
        <v>127</v>
      </c>
      <c r="E3207" t="s">
        <v>173</v>
      </c>
      <c r="F3207">
        <v>2353</v>
      </c>
      <c r="G3207">
        <v>1853</v>
      </c>
      <c r="H3207">
        <v>27</v>
      </c>
      <c r="I3207">
        <v>6</v>
      </c>
      <c r="J3207">
        <v>32945</v>
      </c>
      <c r="K3207">
        <v>3</v>
      </c>
      <c r="L3207">
        <v>11000</v>
      </c>
      <c r="M3207">
        <v>2</v>
      </c>
      <c r="N3207">
        <v>62</v>
      </c>
      <c r="O3207">
        <v>827</v>
      </c>
      <c r="P3207">
        <f t="shared" si="168"/>
        <v>2025</v>
      </c>
      <c r="Q3207">
        <f t="shared" si="169"/>
        <v>11</v>
      </c>
      <c r="R3207" t="str">
        <f t="shared" si="170"/>
        <v>购后推荐</v>
      </c>
      <c r="S3207" t="s">
        <v>784</v>
      </c>
      <c r="T3207" t="s">
        <v>805</v>
      </c>
    </row>
    <row r="3208" spans="1:20" x14ac:dyDescent="0.3">
      <c r="A3208" t="s">
        <v>627</v>
      </c>
      <c r="B3208" s="16">
        <v>45970</v>
      </c>
      <c r="C3208" t="s">
        <v>3</v>
      </c>
      <c r="D3208" t="s">
        <v>127</v>
      </c>
      <c r="E3208" t="s">
        <v>174</v>
      </c>
      <c r="F3208">
        <v>10467</v>
      </c>
      <c r="G3208">
        <v>6356</v>
      </c>
      <c r="H3208">
        <v>89</v>
      </c>
      <c r="I3208">
        <v>33</v>
      </c>
      <c r="J3208">
        <v>104215</v>
      </c>
      <c r="K3208">
        <v>17</v>
      </c>
      <c r="L3208">
        <v>97130</v>
      </c>
      <c r="M3208">
        <v>16</v>
      </c>
      <c r="N3208">
        <v>333</v>
      </c>
      <c r="O3208">
        <v>10467</v>
      </c>
      <c r="P3208">
        <f t="shared" si="168"/>
        <v>2025</v>
      </c>
      <c r="Q3208">
        <f t="shared" si="169"/>
        <v>11</v>
      </c>
      <c r="R3208" t="str">
        <f t="shared" si="170"/>
        <v>首页推荐-微详情</v>
      </c>
      <c r="S3208" t="s">
        <v>784</v>
      </c>
      <c r="T3208" t="s">
        <v>805</v>
      </c>
    </row>
    <row r="3209" spans="1:20" x14ac:dyDescent="0.3">
      <c r="A3209" t="s">
        <v>627</v>
      </c>
      <c r="B3209" s="16">
        <v>45970</v>
      </c>
      <c r="C3209" t="s">
        <v>3</v>
      </c>
      <c r="D3209" t="s">
        <v>127</v>
      </c>
      <c r="E3209" t="s">
        <v>175</v>
      </c>
      <c r="F3209">
        <v>175</v>
      </c>
      <c r="G3209">
        <v>101</v>
      </c>
      <c r="H3209">
        <v>2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8</v>
      </c>
      <c r="O3209">
        <v>70</v>
      </c>
      <c r="P3209">
        <f t="shared" si="168"/>
        <v>2025</v>
      </c>
      <c r="Q3209">
        <f t="shared" si="169"/>
        <v>11</v>
      </c>
      <c r="R3209" t="str">
        <f t="shared" si="170"/>
        <v>首页推荐-直播</v>
      </c>
      <c r="S3209" t="s">
        <v>784</v>
      </c>
      <c r="T3209" t="s">
        <v>805</v>
      </c>
    </row>
    <row r="3210" spans="1:20" x14ac:dyDescent="0.3">
      <c r="A3210" t="s">
        <v>627</v>
      </c>
      <c r="B3210" s="16">
        <v>45970</v>
      </c>
      <c r="C3210" t="s">
        <v>3</v>
      </c>
      <c r="D3210" t="s">
        <v>127</v>
      </c>
      <c r="E3210" t="s">
        <v>176</v>
      </c>
      <c r="F3210">
        <v>567</v>
      </c>
      <c r="G3210">
        <v>383</v>
      </c>
      <c r="H3210">
        <v>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4</v>
      </c>
      <c r="O3210">
        <v>49</v>
      </c>
      <c r="P3210">
        <f t="shared" si="168"/>
        <v>2025</v>
      </c>
      <c r="Q3210">
        <f t="shared" si="169"/>
        <v>11</v>
      </c>
      <c r="R3210" t="str">
        <f t="shared" si="170"/>
        <v>首页推荐-短视频</v>
      </c>
      <c r="S3210" t="s">
        <v>784</v>
      </c>
      <c r="T3210" t="s">
        <v>805</v>
      </c>
    </row>
    <row r="3211" spans="1:20" x14ac:dyDescent="0.3">
      <c r="A3211" t="s">
        <v>627</v>
      </c>
      <c r="B3211" s="16">
        <v>45970</v>
      </c>
      <c r="C3211" t="s">
        <v>3</v>
      </c>
      <c r="D3211" t="s">
        <v>128</v>
      </c>
      <c r="E3211" t="s">
        <v>177</v>
      </c>
      <c r="F3211">
        <v>3164</v>
      </c>
      <c r="G3211">
        <v>2646</v>
      </c>
      <c r="H3211">
        <v>63</v>
      </c>
      <c r="I3211">
        <v>24</v>
      </c>
      <c r="J3211">
        <v>100255</v>
      </c>
      <c r="K3211">
        <v>19</v>
      </c>
      <c r="L3211">
        <v>39235</v>
      </c>
      <c r="M3211">
        <v>11</v>
      </c>
      <c r="N3211">
        <v>432</v>
      </c>
      <c r="O3211">
        <v>3033</v>
      </c>
      <c r="P3211">
        <f t="shared" si="168"/>
        <v>2025</v>
      </c>
      <c r="Q3211">
        <f t="shared" si="169"/>
        <v>11</v>
      </c>
      <c r="R3211" t="str">
        <f t="shared" si="170"/>
        <v>手淘搜索-商品及其他</v>
      </c>
      <c r="S3211" t="s">
        <v>784</v>
      </c>
      <c r="T3211" t="s">
        <v>805</v>
      </c>
    </row>
    <row r="3212" spans="1:20" x14ac:dyDescent="0.3">
      <c r="A3212" t="s">
        <v>627</v>
      </c>
      <c r="B3212" s="16">
        <v>45970</v>
      </c>
      <c r="C3212" t="s">
        <v>3</v>
      </c>
      <c r="D3212" t="s">
        <v>128</v>
      </c>
      <c r="E3212" t="s">
        <v>178</v>
      </c>
      <c r="F3212">
        <v>26</v>
      </c>
      <c r="G3212">
        <v>16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1</v>
      </c>
      <c r="O3212">
        <v>23</v>
      </c>
      <c r="P3212">
        <f t="shared" si="168"/>
        <v>2025</v>
      </c>
      <c r="Q3212">
        <f t="shared" si="169"/>
        <v>11</v>
      </c>
      <c r="R3212" t="str">
        <f t="shared" si="170"/>
        <v>手淘搜索-直播</v>
      </c>
      <c r="S3212" t="s">
        <v>784</v>
      </c>
      <c r="T3212" t="s">
        <v>805</v>
      </c>
    </row>
    <row r="3213" spans="1:20" x14ac:dyDescent="0.3">
      <c r="A3213" t="s">
        <v>627</v>
      </c>
      <c r="B3213" s="16">
        <v>45970</v>
      </c>
      <c r="C3213" t="s">
        <v>3</v>
      </c>
      <c r="D3213" t="s">
        <v>128</v>
      </c>
      <c r="E3213" t="s">
        <v>179</v>
      </c>
      <c r="F3213">
        <v>33</v>
      </c>
      <c r="G3213">
        <v>12</v>
      </c>
      <c r="H3213">
        <v>3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6</v>
      </c>
      <c r="O3213">
        <v>32</v>
      </c>
      <c r="P3213">
        <f t="shared" si="168"/>
        <v>2025</v>
      </c>
      <c r="Q3213">
        <f t="shared" si="169"/>
        <v>11</v>
      </c>
      <c r="R3213" t="str">
        <f t="shared" si="170"/>
        <v>手淘搜索-短视频</v>
      </c>
      <c r="S3213" t="s">
        <v>784</v>
      </c>
      <c r="T3213" t="s">
        <v>805</v>
      </c>
    </row>
    <row r="3214" spans="1:20" x14ac:dyDescent="0.3">
      <c r="A3214" t="s">
        <v>627</v>
      </c>
      <c r="B3214" s="16">
        <v>45970</v>
      </c>
      <c r="C3214" t="s">
        <v>3</v>
      </c>
      <c r="D3214" t="s">
        <v>143</v>
      </c>
      <c r="E3214" t="s">
        <v>180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1</v>
      </c>
      <c r="P3214">
        <f t="shared" si="168"/>
        <v>2025</v>
      </c>
      <c r="Q3214">
        <f t="shared" si="169"/>
        <v>11</v>
      </c>
      <c r="R3214" t="str">
        <f t="shared" si="170"/>
        <v>淘特其他渠道</v>
      </c>
      <c r="S3214" t="s">
        <v>784</v>
      </c>
      <c r="T3214" t="s">
        <v>805</v>
      </c>
    </row>
    <row r="3215" spans="1:20" x14ac:dyDescent="0.3">
      <c r="A3215" t="s">
        <v>627</v>
      </c>
      <c r="B3215" s="16">
        <v>45970</v>
      </c>
      <c r="C3215" t="s">
        <v>2</v>
      </c>
      <c r="D3215" t="s">
        <v>55</v>
      </c>
      <c r="E3215" t="s">
        <v>66</v>
      </c>
      <c r="F3215">
        <v>9</v>
      </c>
      <c r="G3215">
        <v>9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1</v>
      </c>
      <c r="P3215">
        <f t="shared" si="168"/>
        <v>2025</v>
      </c>
      <c r="Q3215">
        <f t="shared" si="169"/>
        <v>11</v>
      </c>
      <c r="R3215" t="str">
        <f t="shared" si="170"/>
        <v>短直联动</v>
      </c>
      <c r="S3215" t="s">
        <v>784</v>
      </c>
      <c r="T3215" t="s">
        <v>805</v>
      </c>
    </row>
    <row r="3216" spans="1:20" x14ac:dyDescent="0.3">
      <c r="A3216" t="s">
        <v>627</v>
      </c>
      <c r="B3216" s="16">
        <v>45970</v>
      </c>
      <c r="C3216" t="s">
        <v>2</v>
      </c>
      <c r="D3216" t="s">
        <v>55</v>
      </c>
      <c r="E3216" t="s">
        <v>54</v>
      </c>
      <c r="F3216">
        <v>1193</v>
      </c>
      <c r="G3216">
        <v>960</v>
      </c>
      <c r="H3216">
        <v>10</v>
      </c>
      <c r="I3216">
        <v>1</v>
      </c>
      <c r="J3216">
        <v>0</v>
      </c>
      <c r="K3216">
        <v>0</v>
      </c>
      <c r="L3216">
        <v>0</v>
      </c>
      <c r="M3216">
        <v>0</v>
      </c>
      <c r="N3216">
        <v>45</v>
      </c>
      <c r="O3216">
        <v>266</v>
      </c>
      <c r="P3216">
        <f t="shared" si="168"/>
        <v>2025</v>
      </c>
      <c r="Q3216">
        <f t="shared" si="169"/>
        <v>11</v>
      </c>
      <c r="R3216" t="str">
        <f t="shared" si="170"/>
        <v>超级直播</v>
      </c>
      <c r="S3216" t="s">
        <v>784</v>
      </c>
      <c r="T3216" t="s">
        <v>805</v>
      </c>
    </row>
    <row r="3217" spans="1:20" x14ac:dyDescent="0.3">
      <c r="A3217" t="s">
        <v>627</v>
      </c>
      <c r="B3217" s="16">
        <v>45970</v>
      </c>
      <c r="C3217" t="s">
        <v>2</v>
      </c>
      <c r="D3217" t="s">
        <v>55</v>
      </c>
      <c r="E3217" t="s">
        <v>56</v>
      </c>
      <c r="F3217">
        <v>52</v>
      </c>
      <c r="G3217">
        <v>33</v>
      </c>
      <c r="H3217">
        <v>0</v>
      </c>
      <c r="I3217">
        <v>1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51</v>
      </c>
      <c r="P3217">
        <f t="shared" si="168"/>
        <v>2025</v>
      </c>
      <c r="Q3217">
        <f t="shared" si="169"/>
        <v>11</v>
      </c>
      <c r="R3217" t="str">
        <f t="shared" si="170"/>
        <v>超级短视频</v>
      </c>
      <c r="S3217" t="s">
        <v>784</v>
      </c>
      <c r="T3217" t="s">
        <v>805</v>
      </c>
    </row>
    <row r="3218" spans="1:20" x14ac:dyDescent="0.3">
      <c r="A3218" t="s">
        <v>627</v>
      </c>
      <c r="B3218" s="16">
        <v>45970</v>
      </c>
      <c r="C3218" t="s">
        <v>2</v>
      </c>
      <c r="D3218" t="s">
        <v>52</v>
      </c>
      <c r="E3218" t="s">
        <v>58</v>
      </c>
      <c r="F3218">
        <v>1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1</v>
      </c>
      <c r="P3218">
        <f t="shared" si="168"/>
        <v>2025</v>
      </c>
      <c r="Q3218">
        <f t="shared" si="169"/>
        <v>11</v>
      </c>
      <c r="R3218" t="str">
        <f t="shared" si="170"/>
        <v>超级全域通</v>
      </c>
      <c r="S3218" t="s">
        <v>784</v>
      </c>
      <c r="T3218" t="s">
        <v>805</v>
      </c>
    </row>
    <row r="3219" spans="1:20" x14ac:dyDescent="0.3">
      <c r="A3219" t="s">
        <v>627</v>
      </c>
      <c r="B3219" s="16">
        <v>45970</v>
      </c>
      <c r="C3219" t="s">
        <v>2</v>
      </c>
      <c r="D3219" t="s">
        <v>57</v>
      </c>
      <c r="E3219" t="s">
        <v>63</v>
      </c>
      <c r="F3219">
        <v>1199</v>
      </c>
      <c r="G3219">
        <v>1038</v>
      </c>
      <c r="H3219">
        <v>30</v>
      </c>
      <c r="I3219">
        <v>7</v>
      </c>
      <c r="J3219">
        <v>25443</v>
      </c>
      <c r="K3219">
        <v>8</v>
      </c>
      <c r="L3219">
        <v>25443</v>
      </c>
      <c r="M3219">
        <v>8</v>
      </c>
      <c r="N3219">
        <v>1191</v>
      </c>
      <c r="O3219">
        <v>725</v>
      </c>
      <c r="P3219">
        <f t="shared" si="168"/>
        <v>2025</v>
      </c>
      <c r="Q3219">
        <f t="shared" si="169"/>
        <v>11</v>
      </c>
      <c r="R3219" t="str">
        <f t="shared" si="170"/>
        <v>万相台</v>
      </c>
      <c r="S3219" t="s">
        <v>784</v>
      </c>
      <c r="T3219" t="s">
        <v>805</v>
      </c>
    </row>
    <row r="3220" spans="1:20" x14ac:dyDescent="0.3">
      <c r="A3220" t="s">
        <v>627</v>
      </c>
      <c r="B3220" s="16">
        <v>45970</v>
      </c>
      <c r="C3220" t="s">
        <v>2</v>
      </c>
      <c r="D3220" t="s">
        <v>57</v>
      </c>
      <c r="E3220" t="s">
        <v>64</v>
      </c>
      <c r="F3220">
        <v>24473</v>
      </c>
      <c r="G3220">
        <v>11043</v>
      </c>
      <c r="H3220">
        <v>112</v>
      </c>
      <c r="I3220">
        <v>119</v>
      </c>
      <c r="J3220">
        <v>40240</v>
      </c>
      <c r="K3220">
        <v>7</v>
      </c>
      <c r="L3220">
        <v>18900</v>
      </c>
      <c r="M3220">
        <v>5</v>
      </c>
      <c r="N3220">
        <v>449</v>
      </c>
      <c r="O3220">
        <v>24473</v>
      </c>
      <c r="P3220">
        <f t="shared" si="168"/>
        <v>2025</v>
      </c>
      <c r="Q3220">
        <f t="shared" si="169"/>
        <v>11</v>
      </c>
      <c r="R3220" t="str">
        <f t="shared" si="170"/>
        <v>引力魔方</v>
      </c>
      <c r="S3220" t="s">
        <v>784</v>
      </c>
      <c r="T3220" t="s">
        <v>805</v>
      </c>
    </row>
    <row r="3221" spans="1:20" x14ac:dyDescent="0.3">
      <c r="A3221" t="s">
        <v>627</v>
      </c>
      <c r="B3221" s="16">
        <v>45970</v>
      </c>
      <c r="C3221" t="s">
        <v>2</v>
      </c>
      <c r="D3221" t="s">
        <v>57</v>
      </c>
      <c r="E3221" t="s">
        <v>65</v>
      </c>
      <c r="F3221">
        <v>5464</v>
      </c>
      <c r="G3221">
        <v>4461</v>
      </c>
      <c r="H3221">
        <v>57</v>
      </c>
      <c r="I3221">
        <v>25</v>
      </c>
      <c r="J3221">
        <v>65470</v>
      </c>
      <c r="K3221">
        <v>11</v>
      </c>
      <c r="L3221">
        <v>39540</v>
      </c>
      <c r="M3221">
        <v>10</v>
      </c>
      <c r="N3221">
        <v>360</v>
      </c>
      <c r="O3221">
        <v>5400</v>
      </c>
      <c r="P3221">
        <f t="shared" si="168"/>
        <v>2025</v>
      </c>
      <c r="Q3221">
        <f t="shared" si="169"/>
        <v>11</v>
      </c>
      <c r="R3221" t="str">
        <f t="shared" si="170"/>
        <v>直通车</v>
      </c>
      <c r="S3221" t="s">
        <v>784</v>
      </c>
      <c r="T3221" t="s">
        <v>805</v>
      </c>
    </row>
    <row r="3222" spans="1:20" x14ac:dyDescent="0.3">
      <c r="A3222" t="s">
        <v>627</v>
      </c>
      <c r="B3222" s="16">
        <v>45970</v>
      </c>
      <c r="C3222" t="s">
        <v>2</v>
      </c>
      <c r="D3222" t="s">
        <v>4</v>
      </c>
      <c r="E3222" t="s">
        <v>41</v>
      </c>
      <c r="F3222">
        <v>14</v>
      </c>
      <c r="G3222">
        <v>13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5</v>
      </c>
      <c r="O3222">
        <v>13</v>
      </c>
      <c r="P3222">
        <f t="shared" si="168"/>
        <v>2025</v>
      </c>
      <c r="Q3222">
        <f t="shared" si="169"/>
        <v>11</v>
      </c>
      <c r="R3222" t="str">
        <f t="shared" si="170"/>
        <v>流量宝</v>
      </c>
      <c r="S3222" t="s">
        <v>784</v>
      </c>
      <c r="T3222" t="s">
        <v>805</v>
      </c>
    </row>
    <row r="3223" spans="1:20" x14ac:dyDescent="0.3">
      <c r="A3223" t="s">
        <v>627</v>
      </c>
      <c r="B3223" s="16">
        <v>45970</v>
      </c>
      <c r="C3223" t="s">
        <v>2</v>
      </c>
      <c r="D3223" t="s">
        <v>4</v>
      </c>
      <c r="E3223" t="s">
        <v>43</v>
      </c>
      <c r="F3223">
        <v>439</v>
      </c>
      <c r="G3223">
        <v>134</v>
      </c>
      <c r="H3223">
        <v>5</v>
      </c>
      <c r="I3223">
        <v>4</v>
      </c>
      <c r="J3223">
        <v>0</v>
      </c>
      <c r="K3223">
        <v>0</v>
      </c>
      <c r="L3223">
        <v>0</v>
      </c>
      <c r="M3223">
        <v>0</v>
      </c>
      <c r="N3223">
        <v>8</v>
      </c>
      <c r="O3223">
        <v>435</v>
      </c>
      <c r="P3223">
        <f t="shared" si="168"/>
        <v>2025</v>
      </c>
      <c r="Q3223">
        <f t="shared" si="169"/>
        <v>11</v>
      </c>
      <c r="R3223" t="str">
        <f t="shared" si="170"/>
        <v>淘宝客</v>
      </c>
      <c r="S3223" t="s">
        <v>784</v>
      </c>
      <c r="T3223" t="s">
        <v>805</v>
      </c>
    </row>
    <row r="3224" spans="1:20" x14ac:dyDescent="0.3">
      <c r="A3224" t="s">
        <v>627</v>
      </c>
      <c r="B3224" s="16">
        <v>45969</v>
      </c>
      <c r="C3224" t="s">
        <v>3</v>
      </c>
      <c r="D3224" t="s">
        <v>114</v>
      </c>
      <c r="E3224" t="s">
        <v>159</v>
      </c>
      <c r="F3224">
        <v>211</v>
      </c>
      <c r="G3224">
        <v>121</v>
      </c>
      <c r="H3224">
        <v>5</v>
      </c>
      <c r="I3224">
        <v>3</v>
      </c>
      <c r="J3224">
        <v>3940</v>
      </c>
      <c r="K3224">
        <v>1</v>
      </c>
      <c r="L3224">
        <v>3940</v>
      </c>
      <c r="M3224">
        <v>1</v>
      </c>
      <c r="N3224">
        <v>14</v>
      </c>
      <c r="O3224">
        <v>211</v>
      </c>
      <c r="P3224">
        <f t="shared" si="168"/>
        <v>2025</v>
      </c>
      <c r="Q3224">
        <f t="shared" si="169"/>
        <v>11</v>
      </c>
      <c r="R3224" t="str">
        <f t="shared" si="170"/>
        <v>主会场</v>
      </c>
      <c r="S3224" t="s">
        <v>784</v>
      </c>
      <c r="T3224" t="s">
        <v>805</v>
      </c>
    </row>
    <row r="3225" spans="1:20" x14ac:dyDescent="0.3">
      <c r="A3225" t="s">
        <v>627</v>
      </c>
      <c r="B3225" s="16">
        <v>45969</v>
      </c>
      <c r="C3225" t="s">
        <v>3</v>
      </c>
      <c r="D3225" t="s">
        <v>117</v>
      </c>
      <c r="E3225" t="s">
        <v>161</v>
      </c>
      <c r="F3225">
        <v>1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1</v>
      </c>
      <c r="P3225">
        <f t="shared" si="168"/>
        <v>2025</v>
      </c>
      <c r="Q3225">
        <f t="shared" si="169"/>
        <v>11</v>
      </c>
      <c r="R3225" t="str">
        <f t="shared" si="170"/>
        <v>其他入口榜单</v>
      </c>
      <c r="S3225" t="s">
        <v>784</v>
      </c>
      <c r="T3225" t="s">
        <v>805</v>
      </c>
    </row>
    <row r="3226" spans="1:20" x14ac:dyDescent="0.3">
      <c r="A3226" t="s">
        <v>627</v>
      </c>
      <c r="B3226" s="16">
        <v>45969</v>
      </c>
      <c r="C3226" t="s">
        <v>3</v>
      </c>
      <c r="D3226" t="s">
        <v>117</v>
      </c>
      <c r="E3226" t="s">
        <v>191</v>
      </c>
      <c r="F3226">
        <v>1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1</v>
      </c>
      <c r="O3226">
        <v>1</v>
      </c>
      <c r="P3226">
        <f t="shared" si="168"/>
        <v>2025</v>
      </c>
      <c r="Q3226">
        <f t="shared" si="169"/>
        <v>11</v>
      </c>
      <c r="R3226" t="str">
        <f t="shared" si="170"/>
        <v>商品详情页入口榜单</v>
      </c>
      <c r="S3226" t="s">
        <v>784</v>
      </c>
      <c r="T3226" t="s">
        <v>805</v>
      </c>
    </row>
    <row r="3227" spans="1:20" x14ac:dyDescent="0.3">
      <c r="A3227" t="s">
        <v>627</v>
      </c>
      <c r="B3227" s="16">
        <v>45969</v>
      </c>
      <c r="C3227" t="s">
        <v>3</v>
      </c>
      <c r="D3227" t="s">
        <v>123</v>
      </c>
      <c r="E3227" t="s">
        <v>170</v>
      </c>
      <c r="F3227">
        <v>55</v>
      </c>
      <c r="G3227">
        <v>30</v>
      </c>
      <c r="H3227">
        <v>3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47</v>
      </c>
      <c r="O3227">
        <v>23</v>
      </c>
      <c r="P3227">
        <f t="shared" si="168"/>
        <v>2025</v>
      </c>
      <c r="Q3227">
        <f t="shared" si="169"/>
        <v>11</v>
      </c>
      <c r="R3227" t="str">
        <f t="shared" si="170"/>
        <v>店铺超链</v>
      </c>
      <c r="S3227" t="s">
        <v>784</v>
      </c>
      <c r="T3227" t="s">
        <v>805</v>
      </c>
    </row>
    <row r="3228" spans="1:20" x14ac:dyDescent="0.3">
      <c r="A3228" t="s">
        <v>627</v>
      </c>
      <c r="B3228" s="16">
        <v>45969</v>
      </c>
      <c r="C3228" t="s">
        <v>3</v>
      </c>
      <c r="D3228" t="s">
        <v>127</v>
      </c>
      <c r="E3228" t="s">
        <v>171</v>
      </c>
      <c r="F3228">
        <v>976</v>
      </c>
      <c r="G3228">
        <v>413</v>
      </c>
      <c r="H3228">
        <v>39</v>
      </c>
      <c r="I3228">
        <v>16</v>
      </c>
      <c r="J3228">
        <v>54015</v>
      </c>
      <c r="K3228">
        <v>12</v>
      </c>
      <c r="L3228">
        <v>46130</v>
      </c>
      <c r="M3228">
        <v>11</v>
      </c>
      <c r="N3228">
        <v>133</v>
      </c>
      <c r="O3228">
        <v>952</v>
      </c>
      <c r="P3228">
        <f t="shared" si="168"/>
        <v>2025</v>
      </c>
      <c r="Q3228">
        <f t="shared" si="169"/>
        <v>11</v>
      </c>
      <c r="R3228" t="str">
        <f t="shared" si="170"/>
        <v>其他猜你喜欢</v>
      </c>
      <c r="S3228" t="s">
        <v>784</v>
      </c>
      <c r="T3228" t="s">
        <v>805</v>
      </c>
    </row>
    <row r="3229" spans="1:20" x14ac:dyDescent="0.3">
      <c r="A3229" t="s">
        <v>627</v>
      </c>
      <c r="B3229" s="16">
        <v>45969</v>
      </c>
      <c r="C3229" t="s">
        <v>3</v>
      </c>
      <c r="D3229" t="s">
        <v>127</v>
      </c>
      <c r="E3229" t="s">
        <v>172</v>
      </c>
      <c r="F3229">
        <v>223</v>
      </c>
      <c r="G3229">
        <v>124</v>
      </c>
      <c r="H3229">
        <v>9</v>
      </c>
      <c r="I3229">
        <v>1</v>
      </c>
      <c r="J3229">
        <v>12195</v>
      </c>
      <c r="K3229">
        <v>3</v>
      </c>
      <c r="L3229">
        <v>12195</v>
      </c>
      <c r="M3229">
        <v>3</v>
      </c>
      <c r="N3229">
        <v>10</v>
      </c>
      <c r="O3229">
        <v>178</v>
      </c>
      <c r="P3229">
        <f t="shared" si="168"/>
        <v>2025</v>
      </c>
      <c r="Q3229">
        <f t="shared" si="169"/>
        <v>11</v>
      </c>
      <c r="R3229" t="str">
        <f t="shared" si="170"/>
        <v>购中推荐</v>
      </c>
      <c r="S3229" t="s">
        <v>784</v>
      </c>
      <c r="T3229" t="s">
        <v>805</v>
      </c>
    </row>
    <row r="3230" spans="1:20" x14ac:dyDescent="0.3">
      <c r="A3230" t="s">
        <v>627</v>
      </c>
      <c r="B3230" s="16">
        <v>45969</v>
      </c>
      <c r="C3230" t="s">
        <v>3</v>
      </c>
      <c r="D3230" t="s">
        <v>127</v>
      </c>
      <c r="E3230" t="s">
        <v>173</v>
      </c>
      <c r="F3230">
        <v>1148</v>
      </c>
      <c r="G3230">
        <v>651</v>
      </c>
      <c r="H3230">
        <v>41</v>
      </c>
      <c r="I3230">
        <v>4</v>
      </c>
      <c r="J3230">
        <v>32685</v>
      </c>
      <c r="K3230">
        <v>7</v>
      </c>
      <c r="L3230">
        <v>19920</v>
      </c>
      <c r="M3230">
        <v>4</v>
      </c>
      <c r="N3230">
        <v>54</v>
      </c>
      <c r="O3230">
        <v>832</v>
      </c>
      <c r="P3230">
        <f t="shared" si="168"/>
        <v>2025</v>
      </c>
      <c r="Q3230">
        <f t="shared" si="169"/>
        <v>11</v>
      </c>
      <c r="R3230" t="str">
        <f t="shared" si="170"/>
        <v>购后推荐</v>
      </c>
      <c r="S3230" t="s">
        <v>784</v>
      </c>
      <c r="T3230" t="s">
        <v>805</v>
      </c>
    </row>
    <row r="3231" spans="1:20" x14ac:dyDescent="0.3">
      <c r="A3231" t="s">
        <v>627</v>
      </c>
      <c r="B3231" s="16">
        <v>45969</v>
      </c>
      <c r="C3231" t="s">
        <v>3</v>
      </c>
      <c r="D3231" t="s">
        <v>127</v>
      </c>
      <c r="E3231" t="s">
        <v>174</v>
      </c>
      <c r="F3231">
        <v>8122</v>
      </c>
      <c r="G3231">
        <v>4005</v>
      </c>
      <c r="H3231">
        <v>94</v>
      </c>
      <c r="I3231">
        <v>41</v>
      </c>
      <c r="J3231">
        <v>75090</v>
      </c>
      <c r="K3231">
        <v>13</v>
      </c>
      <c r="L3231">
        <v>33090</v>
      </c>
      <c r="M3231">
        <v>8</v>
      </c>
      <c r="N3231">
        <v>335</v>
      </c>
      <c r="O3231">
        <v>8122</v>
      </c>
      <c r="P3231">
        <f t="shared" si="168"/>
        <v>2025</v>
      </c>
      <c r="Q3231">
        <f t="shared" si="169"/>
        <v>11</v>
      </c>
      <c r="R3231" t="str">
        <f t="shared" si="170"/>
        <v>首页推荐-微详情</v>
      </c>
      <c r="S3231" t="s">
        <v>784</v>
      </c>
      <c r="T3231" t="s">
        <v>805</v>
      </c>
    </row>
    <row r="3232" spans="1:20" x14ac:dyDescent="0.3">
      <c r="A3232" t="s">
        <v>627</v>
      </c>
      <c r="B3232" s="16">
        <v>45969</v>
      </c>
      <c r="C3232" t="s">
        <v>3</v>
      </c>
      <c r="D3232" t="s">
        <v>127</v>
      </c>
      <c r="E3232" t="s">
        <v>175</v>
      </c>
      <c r="F3232">
        <v>4</v>
      </c>
      <c r="G3232">
        <v>2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3</v>
      </c>
      <c r="P3232">
        <f t="shared" si="168"/>
        <v>2025</v>
      </c>
      <c r="Q3232">
        <f t="shared" si="169"/>
        <v>11</v>
      </c>
      <c r="R3232" t="str">
        <f t="shared" si="170"/>
        <v>首页推荐-直播</v>
      </c>
      <c r="S3232" t="s">
        <v>784</v>
      </c>
      <c r="T3232" t="s">
        <v>805</v>
      </c>
    </row>
    <row r="3233" spans="1:20" x14ac:dyDescent="0.3">
      <c r="A3233" t="s">
        <v>627</v>
      </c>
      <c r="B3233" s="16">
        <v>45969</v>
      </c>
      <c r="C3233" t="s">
        <v>3</v>
      </c>
      <c r="D3233" t="s">
        <v>127</v>
      </c>
      <c r="E3233" t="s">
        <v>176</v>
      </c>
      <c r="F3233">
        <v>318</v>
      </c>
      <c r="G3233">
        <v>225</v>
      </c>
      <c r="H3233">
        <v>2</v>
      </c>
      <c r="I3233">
        <v>1</v>
      </c>
      <c r="J3233">
        <v>6990</v>
      </c>
      <c r="K3233">
        <v>1</v>
      </c>
      <c r="L3233">
        <v>6990</v>
      </c>
      <c r="M3233">
        <v>1</v>
      </c>
      <c r="N3233">
        <v>5</v>
      </c>
      <c r="O3233">
        <v>35</v>
      </c>
      <c r="P3233">
        <f t="shared" si="168"/>
        <v>2025</v>
      </c>
      <c r="Q3233">
        <f t="shared" si="169"/>
        <v>11</v>
      </c>
      <c r="R3233" t="str">
        <f t="shared" si="170"/>
        <v>首页推荐-短视频</v>
      </c>
      <c r="S3233" t="s">
        <v>784</v>
      </c>
      <c r="T3233" t="s">
        <v>805</v>
      </c>
    </row>
    <row r="3234" spans="1:20" x14ac:dyDescent="0.3">
      <c r="A3234" t="s">
        <v>627</v>
      </c>
      <c r="B3234" s="16">
        <v>45969</v>
      </c>
      <c r="C3234" t="s">
        <v>3</v>
      </c>
      <c r="D3234" t="s">
        <v>128</v>
      </c>
      <c r="E3234" t="s">
        <v>177</v>
      </c>
      <c r="F3234">
        <v>2572</v>
      </c>
      <c r="G3234">
        <v>2110</v>
      </c>
      <c r="H3234">
        <v>45</v>
      </c>
      <c r="I3234">
        <v>15</v>
      </c>
      <c r="J3234">
        <v>151225</v>
      </c>
      <c r="K3234">
        <v>22</v>
      </c>
      <c r="L3234">
        <v>62415</v>
      </c>
      <c r="M3234">
        <v>16</v>
      </c>
      <c r="N3234">
        <v>373</v>
      </c>
      <c r="O3234">
        <v>2463</v>
      </c>
      <c r="P3234">
        <f t="shared" si="168"/>
        <v>2025</v>
      </c>
      <c r="Q3234">
        <f t="shared" si="169"/>
        <v>11</v>
      </c>
      <c r="R3234" t="str">
        <f t="shared" si="170"/>
        <v>手淘搜索-商品及其他</v>
      </c>
      <c r="S3234" t="s">
        <v>784</v>
      </c>
      <c r="T3234" t="s">
        <v>805</v>
      </c>
    </row>
    <row r="3235" spans="1:20" x14ac:dyDescent="0.3">
      <c r="A3235" t="s">
        <v>627</v>
      </c>
      <c r="B3235" s="16">
        <v>45969</v>
      </c>
      <c r="C3235" t="s">
        <v>3</v>
      </c>
      <c r="D3235" t="s">
        <v>128</v>
      </c>
      <c r="E3235" t="s">
        <v>179</v>
      </c>
      <c r="F3235">
        <v>27</v>
      </c>
      <c r="G3235">
        <v>15</v>
      </c>
      <c r="H3235">
        <v>1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2</v>
      </c>
      <c r="O3235">
        <v>26</v>
      </c>
      <c r="P3235">
        <f t="shared" si="168"/>
        <v>2025</v>
      </c>
      <c r="Q3235">
        <f t="shared" si="169"/>
        <v>11</v>
      </c>
      <c r="R3235" t="str">
        <f t="shared" si="170"/>
        <v>手淘搜索-短视频</v>
      </c>
      <c r="S3235" t="s">
        <v>784</v>
      </c>
      <c r="T3235" t="s">
        <v>805</v>
      </c>
    </row>
    <row r="3236" spans="1:20" x14ac:dyDescent="0.3">
      <c r="A3236" t="s">
        <v>627</v>
      </c>
      <c r="B3236" s="16">
        <v>45969</v>
      </c>
      <c r="C3236" t="s">
        <v>3</v>
      </c>
      <c r="D3236" t="s">
        <v>143</v>
      </c>
      <c r="E3236" t="s">
        <v>180</v>
      </c>
      <c r="F3236">
        <v>1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1</v>
      </c>
      <c r="P3236">
        <f t="shared" si="168"/>
        <v>2025</v>
      </c>
      <c r="Q3236">
        <f t="shared" si="169"/>
        <v>11</v>
      </c>
      <c r="R3236" t="str">
        <f t="shared" si="170"/>
        <v>淘特其他渠道</v>
      </c>
      <c r="S3236" t="s">
        <v>784</v>
      </c>
      <c r="T3236" t="s">
        <v>805</v>
      </c>
    </row>
    <row r="3237" spans="1:20" x14ac:dyDescent="0.3">
      <c r="A3237" t="s">
        <v>627</v>
      </c>
      <c r="B3237" s="16">
        <v>45969</v>
      </c>
      <c r="C3237" t="s">
        <v>2</v>
      </c>
      <c r="D3237" t="s">
        <v>55</v>
      </c>
      <c r="E3237" t="s">
        <v>54</v>
      </c>
      <c r="F3237">
        <v>14</v>
      </c>
      <c r="G3237">
        <v>6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7</v>
      </c>
      <c r="P3237">
        <f t="shared" si="168"/>
        <v>2025</v>
      </c>
      <c r="Q3237">
        <f t="shared" si="169"/>
        <v>11</v>
      </c>
      <c r="R3237" t="str">
        <f t="shared" si="170"/>
        <v>超级直播</v>
      </c>
      <c r="S3237" t="s">
        <v>784</v>
      </c>
      <c r="T3237" t="s">
        <v>805</v>
      </c>
    </row>
    <row r="3238" spans="1:20" x14ac:dyDescent="0.3">
      <c r="A3238" t="s">
        <v>627</v>
      </c>
      <c r="B3238" s="16">
        <v>45969</v>
      </c>
      <c r="C3238" t="s">
        <v>2</v>
      </c>
      <c r="D3238" t="s">
        <v>55</v>
      </c>
      <c r="E3238" t="s">
        <v>56</v>
      </c>
      <c r="F3238">
        <v>26</v>
      </c>
      <c r="G3238">
        <v>11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26</v>
      </c>
      <c r="P3238">
        <f t="shared" si="168"/>
        <v>2025</v>
      </c>
      <c r="Q3238">
        <f t="shared" si="169"/>
        <v>11</v>
      </c>
      <c r="R3238" t="str">
        <f t="shared" si="170"/>
        <v>超级短视频</v>
      </c>
      <c r="S3238" t="s">
        <v>784</v>
      </c>
      <c r="T3238" t="s">
        <v>805</v>
      </c>
    </row>
    <row r="3239" spans="1:20" x14ac:dyDescent="0.3">
      <c r="A3239" t="s">
        <v>627</v>
      </c>
      <c r="B3239" s="16">
        <v>45969</v>
      </c>
      <c r="C3239" t="s">
        <v>2</v>
      </c>
      <c r="D3239" t="s">
        <v>52</v>
      </c>
      <c r="E3239" t="s">
        <v>58</v>
      </c>
      <c r="F3239">
        <v>1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1</v>
      </c>
      <c r="P3239">
        <f t="shared" si="168"/>
        <v>2025</v>
      </c>
      <c r="Q3239">
        <f t="shared" si="169"/>
        <v>11</v>
      </c>
      <c r="R3239" t="str">
        <f t="shared" si="170"/>
        <v>超级全域通</v>
      </c>
      <c r="S3239" t="s">
        <v>784</v>
      </c>
      <c r="T3239" t="s">
        <v>805</v>
      </c>
    </row>
    <row r="3240" spans="1:20" x14ac:dyDescent="0.3">
      <c r="A3240" t="s">
        <v>627</v>
      </c>
      <c r="B3240" s="16">
        <v>45969</v>
      </c>
      <c r="C3240" t="s">
        <v>2</v>
      </c>
      <c r="D3240" t="s">
        <v>57</v>
      </c>
      <c r="E3240" t="s">
        <v>63</v>
      </c>
      <c r="F3240">
        <v>987</v>
      </c>
      <c r="G3240">
        <v>794</v>
      </c>
      <c r="H3240">
        <v>32</v>
      </c>
      <c r="I3240">
        <v>7</v>
      </c>
      <c r="J3240">
        <v>29875</v>
      </c>
      <c r="K3240">
        <v>6</v>
      </c>
      <c r="L3240">
        <v>29875</v>
      </c>
      <c r="M3240">
        <v>6</v>
      </c>
      <c r="N3240">
        <v>981</v>
      </c>
      <c r="O3240">
        <v>495</v>
      </c>
      <c r="P3240">
        <f t="shared" si="168"/>
        <v>2025</v>
      </c>
      <c r="Q3240">
        <f t="shared" si="169"/>
        <v>11</v>
      </c>
      <c r="R3240" t="str">
        <f t="shared" si="170"/>
        <v>万相台</v>
      </c>
      <c r="S3240" t="s">
        <v>784</v>
      </c>
      <c r="T3240" t="s">
        <v>805</v>
      </c>
    </row>
    <row r="3241" spans="1:20" x14ac:dyDescent="0.3">
      <c r="A3241" t="s">
        <v>627</v>
      </c>
      <c r="B3241" s="16">
        <v>45969</v>
      </c>
      <c r="C3241" t="s">
        <v>2</v>
      </c>
      <c r="D3241" t="s">
        <v>57</v>
      </c>
      <c r="E3241" t="s">
        <v>64</v>
      </c>
      <c r="F3241">
        <v>24787</v>
      </c>
      <c r="G3241">
        <v>11458</v>
      </c>
      <c r="H3241">
        <v>116</v>
      </c>
      <c r="I3241">
        <v>131</v>
      </c>
      <c r="J3241">
        <v>77235</v>
      </c>
      <c r="K3241">
        <v>14</v>
      </c>
      <c r="L3241">
        <v>41460</v>
      </c>
      <c r="M3241">
        <v>10</v>
      </c>
      <c r="N3241">
        <v>449</v>
      </c>
      <c r="O3241">
        <v>24786</v>
      </c>
      <c r="P3241">
        <f t="shared" ref="P3241:P3304" si="171">YEAR(B3241)</f>
        <v>2025</v>
      </c>
      <c r="Q3241">
        <f t="shared" ref="Q3241:Q3304" si="172">MONTH(B3241)</f>
        <v>11</v>
      </c>
      <c r="R3241" t="str">
        <f t="shared" ref="R3241:R3304" si="173">E3241</f>
        <v>引力魔方</v>
      </c>
      <c r="S3241" t="s">
        <v>784</v>
      </c>
      <c r="T3241" t="s">
        <v>805</v>
      </c>
    </row>
    <row r="3242" spans="1:20" x14ac:dyDescent="0.3">
      <c r="A3242" t="s">
        <v>627</v>
      </c>
      <c r="B3242" s="16">
        <v>45969</v>
      </c>
      <c r="C3242" t="s">
        <v>2</v>
      </c>
      <c r="D3242" t="s">
        <v>57</v>
      </c>
      <c r="E3242" t="s">
        <v>65</v>
      </c>
      <c r="F3242">
        <v>5558</v>
      </c>
      <c r="G3242">
        <v>4558</v>
      </c>
      <c r="H3242">
        <v>56</v>
      </c>
      <c r="I3242">
        <v>20</v>
      </c>
      <c r="J3242">
        <v>71695</v>
      </c>
      <c r="K3242">
        <v>13</v>
      </c>
      <c r="L3242">
        <v>41245</v>
      </c>
      <c r="M3242">
        <v>11</v>
      </c>
      <c r="N3242">
        <v>289</v>
      </c>
      <c r="O3242">
        <v>5505</v>
      </c>
      <c r="P3242">
        <f t="shared" si="171"/>
        <v>2025</v>
      </c>
      <c r="Q3242">
        <f t="shared" si="172"/>
        <v>11</v>
      </c>
      <c r="R3242" t="str">
        <f t="shared" si="173"/>
        <v>直通车</v>
      </c>
      <c r="S3242" t="s">
        <v>784</v>
      </c>
      <c r="T3242" t="s">
        <v>805</v>
      </c>
    </row>
    <row r="3243" spans="1:20" x14ac:dyDescent="0.3">
      <c r="A3243" t="s">
        <v>627</v>
      </c>
      <c r="B3243" s="16">
        <v>45969</v>
      </c>
      <c r="C3243" t="s">
        <v>2</v>
      </c>
      <c r="D3243" t="s">
        <v>4</v>
      </c>
      <c r="E3243" t="s">
        <v>42</v>
      </c>
      <c r="F3243">
        <v>1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1</v>
      </c>
      <c r="P3243">
        <f t="shared" si="171"/>
        <v>2025</v>
      </c>
      <c r="Q3243">
        <f t="shared" si="172"/>
        <v>11</v>
      </c>
      <c r="R3243" t="str">
        <f t="shared" si="173"/>
        <v>UD效果投放</v>
      </c>
      <c r="S3243" t="s">
        <v>784</v>
      </c>
      <c r="T3243" t="s">
        <v>805</v>
      </c>
    </row>
    <row r="3244" spans="1:20" x14ac:dyDescent="0.3">
      <c r="A3244" t="s">
        <v>627</v>
      </c>
      <c r="B3244" s="16">
        <v>45969</v>
      </c>
      <c r="C3244" t="s">
        <v>2</v>
      </c>
      <c r="D3244" t="s">
        <v>4</v>
      </c>
      <c r="E3244" t="s">
        <v>41</v>
      </c>
      <c r="F3244">
        <v>4</v>
      </c>
      <c r="G3244">
        <v>3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4</v>
      </c>
      <c r="P3244">
        <f t="shared" si="171"/>
        <v>2025</v>
      </c>
      <c r="Q3244">
        <f t="shared" si="172"/>
        <v>11</v>
      </c>
      <c r="R3244" t="str">
        <f t="shared" si="173"/>
        <v>流量宝</v>
      </c>
      <c r="S3244" t="s">
        <v>784</v>
      </c>
      <c r="T3244" t="s">
        <v>805</v>
      </c>
    </row>
    <row r="3245" spans="1:20" x14ac:dyDescent="0.3">
      <c r="A3245" t="s">
        <v>627</v>
      </c>
      <c r="B3245" s="16">
        <v>45969</v>
      </c>
      <c r="C3245" t="s">
        <v>2</v>
      </c>
      <c r="D3245" t="s">
        <v>4</v>
      </c>
      <c r="E3245" t="s">
        <v>43</v>
      </c>
      <c r="F3245">
        <v>449</v>
      </c>
      <c r="G3245">
        <v>136</v>
      </c>
      <c r="H3245">
        <v>4</v>
      </c>
      <c r="I3245">
        <v>1</v>
      </c>
      <c r="J3245">
        <v>16830</v>
      </c>
      <c r="K3245">
        <v>3</v>
      </c>
      <c r="L3245">
        <v>16830</v>
      </c>
      <c r="M3245">
        <v>3</v>
      </c>
      <c r="N3245">
        <v>3</v>
      </c>
      <c r="O3245">
        <v>447</v>
      </c>
      <c r="P3245">
        <f t="shared" si="171"/>
        <v>2025</v>
      </c>
      <c r="Q3245">
        <f t="shared" si="172"/>
        <v>11</v>
      </c>
      <c r="R3245" t="str">
        <f t="shared" si="173"/>
        <v>淘宝客</v>
      </c>
      <c r="S3245" t="s">
        <v>784</v>
      </c>
      <c r="T3245" t="s">
        <v>805</v>
      </c>
    </row>
    <row r="3246" spans="1:20" x14ac:dyDescent="0.3">
      <c r="A3246" t="s">
        <v>627</v>
      </c>
      <c r="B3246" s="16">
        <v>45968</v>
      </c>
      <c r="C3246" t="s">
        <v>3</v>
      </c>
      <c r="D3246" t="s">
        <v>114</v>
      </c>
      <c r="E3246" t="s">
        <v>159</v>
      </c>
      <c r="F3246">
        <v>159</v>
      </c>
      <c r="G3246">
        <v>65</v>
      </c>
      <c r="H3246">
        <v>5</v>
      </c>
      <c r="I3246">
        <v>3</v>
      </c>
      <c r="J3246">
        <v>0</v>
      </c>
      <c r="K3246">
        <v>0</v>
      </c>
      <c r="L3246">
        <v>0</v>
      </c>
      <c r="M3246">
        <v>0</v>
      </c>
      <c r="N3246">
        <v>6</v>
      </c>
      <c r="O3246">
        <v>158</v>
      </c>
      <c r="P3246">
        <f t="shared" si="171"/>
        <v>2025</v>
      </c>
      <c r="Q3246">
        <f t="shared" si="172"/>
        <v>11</v>
      </c>
      <c r="R3246" t="str">
        <f t="shared" si="173"/>
        <v>主会场</v>
      </c>
      <c r="S3246" t="s">
        <v>784</v>
      </c>
      <c r="T3246" t="s">
        <v>805</v>
      </c>
    </row>
    <row r="3247" spans="1:20" x14ac:dyDescent="0.3">
      <c r="A3247" t="s">
        <v>627</v>
      </c>
      <c r="B3247" s="16">
        <v>45968</v>
      </c>
      <c r="C3247" t="s">
        <v>3</v>
      </c>
      <c r="D3247" t="s">
        <v>117</v>
      </c>
      <c r="E3247" t="s">
        <v>161</v>
      </c>
      <c r="F3247">
        <v>2</v>
      </c>
      <c r="G3247">
        <v>2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2</v>
      </c>
      <c r="P3247">
        <f t="shared" si="171"/>
        <v>2025</v>
      </c>
      <c r="Q3247">
        <f t="shared" si="172"/>
        <v>11</v>
      </c>
      <c r="R3247" t="str">
        <f t="shared" si="173"/>
        <v>其他入口榜单</v>
      </c>
      <c r="S3247" t="s">
        <v>784</v>
      </c>
      <c r="T3247" t="s">
        <v>805</v>
      </c>
    </row>
    <row r="3248" spans="1:20" x14ac:dyDescent="0.3">
      <c r="A3248" t="s">
        <v>627</v>
      </c>
      <c r="B3248" s="16">
        <v>45968</v>
      </c>
      <c r="C3248" t="s">
        <v>3</v>
      </c>
      <c r="D3248" t="s">
        <v>123</v>
      </c>
      <c r="E3248" t="s">
        <v>170</v>
      </c>
      <c r="F3248">
        <v>49</v>
      </c>
      <c r="G3248">
        <v>18</v>
      </c>
      <c r="H3248">
        <v>6</v>
      </c>
      <c r="I3248">
        <v>0</v>
      </c>
      <c r="J3248">
        <v>10820</v>
      </c>
      <c r="K3248">
        <v>3</v>
      </c>
      <c r="L3248">
        <v>10820</v>
      </c>
      <c r="M3248">
        <v>3</v>
      </c>
      <c r="N3248">
        <v>37</v>
      </c>
      <c r="O3248">
        <v>30</v>
      </c>
      <c r="P3248">
        <f t="shared" si="171"/>
        <v>2025</v>
      </c>
      <c r="Q3248">
        <f t="shared" si="172"/>
        <v>11</v>
      </c>
      <c r="R3248" t="str">
        <f t="shared" si="173"/>
        <v>店铺超链</v>
      </c>
      <c r="S3248" t="s">
        <v>784</v>
      </c>
      <c r="T3248" t="s">
        <v>805</v>
      </c>
    </row>
    <row r="3249" spans="1:20" x14ac:dyDescent="0.3">
      <c r="A3249" t="s">
        <v>627</v>
      </c>
      <c r="B3249" s="16">
        <v>45968</v>
      </c>
      <c r="C3249" t="s">
        <v>3</v>
      </c>
      <c r="D3249" t="s">
        <v>127</v>
      </c>
      <c r="E3249" t="s">
        <v>171</v>
      </c>
      <c r="F3249">
        <v>868</v>
      </c>
      <c r="G3249">
        <v>400</v>
      </c>
      <c r="H3249">
        <v>29</v>
      </c>
      <c r="I3249">
        <v>6</v>
      </c>
      <c r="J3249">
        <v>38745</v>
      </c>
      <c r="K3249">
        <v>5</v>
      </c>
      <c r="L3249">
        <v>38745</v>
      </c>
      <c r="M3249">
        <v>5</v>
      </c>
      <c r="N3249">
        <v>95</v>
      </c>
      <c r="O3249">
        <v>825</v>
      </c>
      <c r="P3249">
        <f t="shared" si="171"/>
        <v>2025</v>
      </c>
      <c r="Q3249">
        <f t="shared" si="172"/>
        <v>11</v>
      </c>
      <c r="R3249" t="str">
        <f t="shared" si="173"/>
        <v>其他猜你喜欢</v>
      </c>
      <c r="S3249" t="s">
        <v>784</v>
      </c>
      <c r="T3249" t="s">
        <v>805</v>
      </c>
    </row>
    <row r="3250" spans="1:20" x14ac:dyDescent="0.3">
      <c r="A3250" t="s">
        <v>627</v>
      </c>
      <c r="B3250" s="16">
        <v>45968</v>
      </c>
      <c r="C3250" t="s">
        <v>3</v>
      </c>
      <c r="D3250" t="s">
        <v>127</v>
      </c>
      <c r="E3250" t="s">
        <v>172</v>
      </c>
      <c r="F3250">
        <v>226</v>
      </c>
      <c r="G3250">
        <v>150</v>
      </c>
      <c r="H3250">
        <v>4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10</v>
      </c>
      <c r="O3250">
        <v>128</v>
      </c>
      <c r="P3250">
        <f t="shared" si="171"/>
        <v>2025</v>
      </c>
      <c r="Q3250">
        <f t="shared" si="172"/>
        <v>11</v>
      </c>
      <c r="R3250" t="str">
        <f t="shared" si="173"/>
        <v>购中推荐</v>
      </c>
      <c r="S3250" t="s">
        <v>784</v>
      </c>
      <c r="T3250" t="s">
        <v>805</v>
      </c>
    </row>
    <row r="3251" spans="1:20" x14ac:dyDescent="0.3">
      <c r="A3251" t="s">
        <v>627</v>
      </c>
      <c r="B3251" s="16">
        <v>45968</v>
      </c>
      <c r="C3251" t="s">
        <v>3</v>
      </c>
      <c r="D3251" t="s">
        <v>127</v>
      </c>
      <c r="E3251" t="s">
        <v>173</v>
      </c>
      <c r="F3251">
        <v>1626</v>
      </c>
      <c r="G3251">
        <v>1173</v>
      </c>
      <c r="H3251">
        <v>33</v>
      </c>
      <c r="I3251">
        <v>8</v>
      </c>
      <c r="J3251">
        <v>35115</v>
      </c>
      <c r="K3251">
        <v>6</v>
      </c>
      <c r="L3251">
        <v>30420</v>
      </c>
      <c r="M3251">
        <v>6</v>
      </c>
      <c r="N3251">
        <v>62</v>
      </c>
      <c r="O3251">
        <v>730</v>
      </c>
      <c r="P3251">
        <f t="shared" si="171"/>
        <v>2025</v>
      </c>
      <c r="Q3251">
        <f t="shared" si="172"/>
        <v>11</v>
      </c>
      <c r="R3251" t="str">
        <f t="shared" si="173"/>
        <v>购后推荐</v>
      </c>
      <c r="S3251" t="s">
        <v>784</v>
      </c>
      <c r="T3251" t="s">
        <v>805</v>
      </c>
    </row>
    <row r="3252" spans="1:20" x14ac:dyDescent="0.3">
      <c r="A3252" t="s">
        <v>627</v>
      </c>
      <c r="B3252" s="16">
        <v>45968</v>
      </c>
      <c r="C3252" t="s">
        <v>3</v>
      </c>
      <c r="D3252" t="s">
        <v>127</v>
      </c>
      <c r="E3252" t="s">
        <v>174</v>
      </c>
      <c r="F3252">
        <v>7933</v>
      </c>
      <c r="G3252">
        <v>4392</v>
      </c>
      <c r="H3252">
        <v>92</v>
      </c>
      <c r="I3252">
        <v>24</v>
      </c>
      <c r="J3252">
        <v>52005</v>
      </c>
      <c r="K3252">
        <v>11</v>
      </c>
      <c r="L3252">
        <v>37320</v>
      </c>
      <c r="M3252">
        <v>8</v>
      </c>
      <c r="N3252">
        <v>284</v>
      </c>
      <c r="O3252">
        <v>7933</v>
      </c>
      <c r="P3252">
        <f t="shared" si="171"/>
        <v>2025</v>
      </c>
      <c r="Q3252">
        <f t="shared" si="172"/>
        <v>11</v>
      </c>
      <c r="R3252" t="str">
        <f t="shared" si="173"/>
        <v>首页推荐-微详情</v>
      </c>
      <c r="S3252" t="s">
        <v>784</v>
      </c>
      <c r="T3252" t="s">
        <v>805</v>
      </c>
    </row>
    <row r="3253" spans="1:20" x14ac:dyDescent="0.3">
      <c r="A3253" t="s">
        <v>627</v>
      </c>
      <c r="B3253" s="16">
        <v>45968</v>
      </c>
      <c r="C3253" t="s">
        <v>3</v>
      </c>
      <c r="D3253" t="s">
        <v>127</v>
      </c>
      <c r="E3253" t="s">
        <v>175</v>
      </c>
      <c r="F3253">
        <v>193</v>
      </c>
      <c r="G3253">
        <v>137</v>
      </c>
      <c r="H3253">
        <v>3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6</v>
      </c>
      <c r="O3253">
        <v>73</v>
      </c>
      <c r="P3253">
        <f t="shared" si="171"/>
        <v>2025</v>
      </c>
      <c r="Q3253">
        <f t="shared" si="172"/>
        <v>11</v>
      </c>
      <c r="R3253" t="str">
        <f t="shared" si="173"/>
        <v>首页推荐-直播</v>
      </c>
      <c r="S3253" t="s">
        <v>784</v>
      </c>
      <c r="T3253" t="s">
        <v>805</v>
      </c>
    </row>
    <row r="3254" spans="1:20" x14ac:dyDescent="0.3">
      <c r="A3254" t="s">
        <v>627</v>
      </c>
      <c r="B3254" s="16">
        <v>45968</v>
      </c>
      <c r="C3254" t="s">
        <v>3</v>
      </c>
      <c r="D3254" t="s">
        <v>127</v>
      </c>
      <c r="E3254" t="s">
        <v>176</v>
      </c>
      <c r="F3254">
        <v>464</v>
      </c>
      <c r="G3254">
        <v>318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3</v>
      </c>
      <c r="O3254">
        <v>48</v>
      </c>
      <c r="P3254">
        <f t="shared" si="171"/>
        <v>2025</v>
      </c>
      <c r="Q3254">
        <f t="shared" si="172"/>
        <v>11</v>
      </c>
      <c r="R3254" t="str">
        <f t="shared" si="173"/>
        <v>首页推荐-短视频</v>
      </c>
      <c r="S3254" t="s">
        <v>784</v>
      </c>
      <c r="T3254" t="s">
        <v>805</v>
      </c>
    </row>
    <row r="3255" spans="1:20" x14ac:dyDescent="0.3">
      <c r="A3255" t="s">
        <v>627</v>
      </c>
      <c r="B3255" s="16">
        <v>45968</v>
      </c>
      <c r="C3255" t="s">
        <v>3</v>
      </c>
      <c r="D3255" t="s">
        <v>128</v>
      </c>
      <c r="E3255" t="s">
        <v>177</v>
      </c>
      <c r="F3255">
        <v>2315</v>
      </c>
      <c r="G3255">
        <v>1920</v>
      </c>
      <c r="H3255">
        <v>41</v>
      </c>
      <c r="I3255">
        <v>9</v>
      </c>
      <c r="J3255">
        <v>27650</v>
      </c>
      <c r="K3255">
        <v>5</v>
      </c>
      <c r="L3255">
        <v>27650</v>
      </c>
      <c r="M3255">
        <v>5</v>
      </c>
      <c r="N3255">
        <v>285</v>
      </c>
      <c r="O3255">
        <v>2243</v>
      </c>
      <c r="P3255">
        <f t="shared" si="171"/>
        <v>2025</v>
      </c>
      <c r="Q3255">
        <f t="shared" si="172"/>
        <v>11</v>
      </c>
      <c r="R3255" t="str">
        <f t="shared" si="173"/>
        <v>手淘搜索-商品及其他</v>
      </c>
      <c r="S3255" t="s">
        <v>784</v>
      </c>
      <c r="T3255" t="s">
        <v>805</v>
      </c>
    </row>
    <row r="3256" spans="1:20" x14ac:dyDescent="0.3">
      <c r="A3256" t="s">
        <v>627</v>
      </c>
      <c r="B3256" s="16">
        <v>45968</v>
      </c>
      <c r="C3256" t="s">
        <v>3</v>
      </c>
      <c r="D3256" t="s">
        <v>128</v>
      </c>
      <c r="E3256" t="s">
        <v>178</v>
      </c>
      <c r="F3256">
        <v>14</v>
      </c>
      <c r="G3256">
        <v>10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1</v>
      </c>
      <c r="O3256">
        <v>12</v>
      </c>
      <c r="P3256">
        <f t="shared" si="171"/>
        <v>2025</v>
      </c>
      <c r="Q3256">
        <f t="shared" si="172"/>
        <v>11</v>
      </c>
      <c r="R3256" t="str">
        <f t="shared" si="173"/>
        <v>手淘搜索-直播</v>
      </c>
      <c r="S3256" t="s">
        <v>784</v>
      </c>
      <c r="T3256" t="s">
        <v>805</v>
      </c>
    </row>
    <row r="3257" spans="1:20" x14ac:dyDescent="0.3">
      <c r="A3257" t="s">
        <v>627</v>
      </c>
      <c r="B3257" s="16">
        <v>45968</v>
      </c>
      <c r="C3257" t="s">
        <v>3</v>
      </c>
      <c r="D3257" t="s">
        <v>128</v>
      </c>
      <c r="E3257" t="s">
        <v>179</v>
      </c>
      <c r="F3257">
        <v>26</v>
      </c>
      <c r="G3257">
        <v>11</v>
      </c>
      <c r="H3257">
        <v>2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1</v>
      </c>
      <c r="O3257">
        <v>25</v>
      </c>
      <c r="P3257">
        <f t="shared" si="171"/>
        <v>2025</v>
      </c>
      <c r="Q3257">
        <f t="shared" si="172"/>
        <v>11</v>
      </c>
      <c r="R3257" t="str">
        <f t="shared" si="173"/>
        <v>手淘搜索-短视频</v>
      </c>
      <c r="S3257" t="s">
        <v>784</v>
      </c>
      <c r="T3257" t="s">
        <v>805</v>
      </c>
    </row>
    <row r="3258" spans="1:20" x14ac:dyDescent="0.3">
      <c r="A3258" t="s">
        <v>627</v>
      </c>
      <c r="B3258" s="16">
        <v>45968</v>
      </c>
      <c r="C3258" t="s">
        <v>3</v>
      </c>
      <c r="D3258" t="s">
        <v>157</v>
      </c>
      <c r="E3258" t="s">
        <v>182</v>
      </c>
      <c r="F3258">
        <v>1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f t="shared" si="171"/>
        <v>2025</v>
      </c>
      <c r="Q3258">
        <f t="shared" si="172"/>
        <v>11</v>
      </c>
      <c r="R3258" t="str">
        <f t="shared" si="173"/>
        <v>飞猪其他</v>
      </c>
      <c r="S3258" t="s">
        <v>784</v>
      </c>
      <c r="T3258" t="s">
        <v>805</v>
      </c>
    </row>
    <row r="3259" spans="1:20" x14ac:dyDescent="0.3">
      <c r="A3259" t="s">
        <v>627</v>
      </c>
      <c r="B3259" s="16">
        <v>45968</v>
      </c>
      <c r="C3259" t="s">
        <v>2</v>
      </c>
      <c r="D3259" t="s">
        <v>55</v>
      </c>
      <c r="E3259" t="s">
        <v>66</v>
      </c>
      <c r="F3259">
        <v>1</v>
      </c>
      <c r="G3259">
        <v>1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f t="shared" si="171"/>
        <v>2025</v>
      </c>
      <c r="Q3259">
        <f t="shared" si="172"/>
        <v>11</v>
      </c>
      <c r="R3259" t="str">
        <f t="shared" si="173"/>
        <v>短直联动</v>
      </c>
      <c r="S3259" t="s">
        <v>784</v>
      </c>
      <c r="T3259" t="s">
        <v>805</v>
      </c>
    </row>
    <row r="3260" spans="1:20" x14ac:dyDescent="0.3">
      <c r="A3260" t="s">
        <v>627</v>
      </c>
      <c r="B3260" s="16">
        <v>45968</v>
      </c>
      <c r="C3260" t="s">
        <v>2</v>
      </c>
      <c r="D3260" t="s">
        <v>55</v>
      </c>
      <c r="E3260" t="s">
        <v>54</v>
      </c>
      <c r="F3260">
        <v>1004</v>
      </c>
      <c r="G3260">
        <v>494</v>
      </c>
      <c r="H3260">
        <v>13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46</v>
      </c>
      <c r="O3260">
        <v>446</v>
      </c>
      <c r="P3260">
        <f t="shared" si="171"/>
        <v>2025</v>
      </c>
      <c r="Q3260">
        <f t="shared" si="172"/>
        <v>11</v>
      </c>
      <c r="R3260" t="str">
        <f t="shared" si="173"/>
        <v>超级直播</v>
      </c>
      <c r="S3260" t="s">
        <v>784</v>
      </c>
      <c r="T3260" t="s">
        <v>805</v>
      </c>
    </row>
    <row r="3261" spans="1:20" x14ac:dyDescent="0.3">
      <c r="A3261" t="s">
        <v>627</v>
      </c>
      <c r="B3261" s="16">
        <v>45968</v>
      </c>
      <c r="C3261" t="s">
        <v>2</v>
      </c>
      <c r="D3261" t="s">
        <v>55</v>
      </c>
      <c r="E3261" t="s">
        <v>56</v>
      </c>
      <c r="F3261">
        <v>34</v>
      </c>
      <c r="G3261">
        <v>17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30</v>
      </c>
      <c r="P3261">
        <f t="shared" si="171"/>
        <v>2025</v>
      </c>
      <c r="Q3261">
        <f t="shared" si="172"/>
        <v>11</v>
      </c>
      <c r="R3261" t="str">
        <f t="shared" si="173"/>
        <v>超级短视频</v>
      </c>
      <c r="S3261" t="s">
        <v>784</v>
      </c>
      <c r="T3261" t="s">
        <v>805</v>
      </c>
    </row>
    <row r="3262" spans="1:20" x14ac:dyDescent="0.3">
      <c r="A3262" t="s">
        <v>627</v>
      </c>
      <c r="B3262" s="16">
        <v>45968</v>
      </c>
      <c r="C3262" t="s">
        <v>2</v>
      </c>
      <c r="D3262" t="s">
        <v>57</v>
      </c>
      <c r="E3262" t="s">
        <v>63</v>
      </c>
      <c r="F3262">
        <v>782</v>
      </c>
      <c r="G3262">
        <v>615</v>
      </c>
      <c r="H3262">
        <v>19</v>
      </c>
      <c r="I3262">
        <v>4</v>
      </c>
      <c r="J3262">
        <v>19994</v>
      </c>
      <c r="K3262">
        <v>7</v>
      </c>
      <c r="L3262">
        <v>14014</v>
      </c>
      <c r="M3262">
        <v>5</v>
      </c>
      <c r="N3262">
        <v>777</v>
      </c>
      <c r="O3262">
        <v>397</v>
      </c>
      <c r="P3262">
        <f t="shared" si="171"/>
        <v>2025</v>
      </c>
      <c r="Q3262">
        <f t="shared" si="172"/>
        <v>11</v>
      </c>
      <c r="R3262" t="str">
        <f t="shared" si="173"/>
        <v>万相台</v>
      </c>
      <c r="S3262" t="s">
        <v>784</v>
      </c>
      <c r="T3262" t="s">
        <v>805</v>
      </c>
    </row>
    <row r="3263" spans="1:20" x14ac:dyDescent="0.3">
      <c r="A3263" t="s">
        <v>627</v>
      </c>
      <c r="B3263" s="16">
        <v>45968</v>
      </c>
      <c r="C3263" t="s">
        <v>2</v>
      </c>
      <c r="D3263" t="s">
        <v>57</v>
      </c>
      <c r="E3263" t="s">
        <v>64</v>
      </c>
      <c r="F3263">
        <v>26581</v>
      </c>
      <c r="G3263">
        <v>13402</v>
      </c>
      <c r="H3263">
        <v>89</v>
      </c>
      <c r="I3263">
        <v>142</v>
      </c>
      <c r="J3263">
        <v>36430</v>
      </c>
      <c r="K3263">
        <v>6</v>
      </c>
      <c r="L3263">
        <v>14950</v>
      </c>
      <c r="M3263">
        <v>4</v>
      </c>
      <c r="N3263">
        <v>387</v>
      </c>
      <c r="O3263">
        <v>26579</v>
      </c>
      <c r="P3263">
        <f t="shared" si="171"/>
        <v>2025</v>
      </c>
      <c r="Q3263">
        <f t="shared" si="172"/>
        <v>11</v>
      </c>
      <c r="R3263" t="str">
        <f t="shared" si="173"/>
        <v>引力魔方</v>
      </c>
      <c r="S3263" t="s">
        <v>784</v>
      </c>
      <c r="T3263" t="s">
        <v>805</v>
      </c>
    </row>
    <row r="3264" spans="1:20" x14ac:dyDescent="0.3">
      <c r="A3264" t="s">
        <v>627</v>
      </c>
      <c r="B3264" s="16">
        <v>45968</v>
      </c>
      <c r="C3264" t="s">
        <v>2</v>
      </c>
      <c r="D3264" t="s">
        <v>57</v>
      </c>
      <c r="E3264" t="s">
        <v>65</v>
      </c>
      <c r="F3264">
        <v>5463</v>
      </c>
      <c r="G3264">
        <v>4536</v>
      </c>
      <c r="H3264">
        <v>46</v>
      </c>
      <c r="I3264">
        <v>25</v>
      </c>
      <c r="J3264">
        <v>17310</v>
      </c>
      <c r="K3264">
        <v>4</v>
      </c>
      <c r="L3264">
        <v>2990</v>
      </c>
      <c r="M3264">
        <v>1</v>
      </c>
      <c r="N3264">
        <v>308</v>
      </c>
      <c r="O3264">
        <v>5408</v>
      </c>
      <c r="P3264">
        <f t="shared" si="171"/>
        <v>2025</v>
      </c>
      <c r="Q3264">
        <f t="shared" si="172"/>
        <v>11</v>
      </c>
      <c r="R3264" t="str">
        <f t="shared" si="173"/>
        <v>直通车</v>
      </c>
      <c r="S3264" t="s">
        <v>784</v>
      </c>
      <c r="T3264" t="s">
        <v>805</v>
      </c>
    </row>
    <row r="3265" spans="1:20" x14ac:dyDescent="0.3">
      <c r="A3265" t="s">
        <v>627</v>
      </c>
      <c r="B3265" s="16">
        <v>45968</v>
      </c>
      <c r="C3265" t="s">
        <v>2</v>
      </c>
      <c r="D3265" t="s">
        <v>4</v>
      </c>
      <c r="E3265" t="s">
        <v>41</v>
      </c>
      <c r="F3265">
        <v>2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2</v>
      </c>
      <c r="P3265">
        <f t="shared" si="171"/>
        <v>2025</v>
      </c>
      <c r="Q3265">
        <f t="shared" si="172"/>
        <v>11</v>
      </c>
      <c r="R3265" t="str">
        <f t="shared" si="173"/>
        <v>流量宝</v>
      </c>
      <c r="S3265" t="s">
        <v>784</v>
      </c>
      <c r="T3265" t="s">
        <v>805</v>
      </c>
    </row>
    <row r="3266" spans="1:20" x14ac:dyDescent="0.3">
      <c r="A3266" t="s">
        <v>627</v>
      </c>
      <c r="B3266" s="16">
        <v>45968</v>
      </c>
      <c r="C3266" t="s">
        <v>2</v>
      </c>
      <c r="D3266" t="s">
        <v>4</v>
      </c>
      <c r="E3266" t="s">
        <v>43</v>
      </c>
      <c r="F3266">
        <v>416</v>
      </c>
      <c r="G3266">
        <v>152</v>
      </c>
      <c r="H3266">
        <v>4</v>
      </c>
      <c r="I3266">
        <v>3</v>
      </c>
      <c r="J3266">
        <v>5140</v>
      </c>
      <c r="K3266">
        <v>2</v>
      </c>
      <c r="L3266">
        <v>8290</v>
      </c>
      <c r="M3266">
        <v>3</v>
      </c>
      <c r="N3266">
        <v>2</v>
      </c>
      <c r="O3266">
        <v>416</v>
      </c>
      <c r="P3266">
        <f t="shared" si="171"/>
        <v>2025</v>
      </c>
      <c r="Q3266">
        <f t="shared" si="172"/>
        <v>11</v>
      </c>
      <c r="R3266" t="str">
        <f t="shared" si="173"/>
        <v>淘宝客</v>
      </c>
      <c r="S3266" t="s">
        <v>784</v>
      </c>
      <c r="T3266" t="s">
        <v>805</v>
      </c>
    </row>
    <row r="3267" spans="1:20" x14ac:dyDescent="0.3">
      <c r="A3267" t="s">
        <v>627</v>
      </c>
      <c r="B3267" s="16">
        <v>45967</v>
      </c>
      <c r="C3267" t="s">
        <v>3</v>
      </c>
      <c r="D3267" t="s">
        <v>114</v>
      </c>
      <c r="E3267" t="s">
        <v>159</v>
      </c>
      <c r="F3267">
        <v>138</v>
      </c>
      <c r="G3267">
        <v>59</v>
      </c>
      <c r="H3267">
        <v>3</v>
      </c>
      <c r="I3267">
        <v>1</v>
      </c>
      <c r="J3267">
        <v>0</v>
      </c>
      <c r="K3267">
        <v>0</v>
      </c>
      <c r="L3267">
        <v>0</v>
      </c>
      <c r="M3267">
        <v>0</v>
      </c>
      <c r="N3267">
        <v>14</v>
      </c>
      <c r="O3267">
        <v>137</v>
      </c>
      <c r="P3267">
        <f t="shared" si="171"/>
        <v>2025</v>
      </c>
      <c r="Q3267">
        <f t="shared" si="172"/>
        <v>11</v>
      </c>
      <c r="R3267" t="str">
        <f t="shared" si="173"/>
        <v>主会场</v>
      </c>
      <c r="S3267" t="s">
        <v>784</v>
      </c>
      <c r="T3267" t="s">
        <v>805</v>
      </c>
    </row>
    <row r="3268" spans="1:20" x14ac:dyDescent="0.3">
      <c r="A3268" t="s">
        <v>627</v>
      </c>
      <c r="B3268" s="16">
        <v>45967</v>
      </c>
      <c r="C3268" t="s">
        <v>3</v>
      </c>
      <c r="D3268" t="s">
        <v>114</v>
      </c>
      <c r="E3268" t="s">
        <v>160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</v>
      </c>
      <c r="P3268">
        <f t="shared" si="171"/>
        <v>2025</v>
      </c>
      <c r="Q3268">
        <f t="shared" si="172"/>
        <v>11</v>
      </c>
      <c r="R3268" t="str">
        <f t="shared" si="173"/>
        <v>榜单会场</v>
      </c>
      <c r="S3268" t="s">
        <v>784</v>
      </c>
      <c r="T3268" t="s">
        <v>805</v>
      </c>
    </row>
    <row r="3269" spans="1:20" x14ac:dyDescent="0.3">
      <c r="A3269" t="s">
        <v>627</v>
      </c>
      <c r="B3269" s="16">
        <v>45967</v>
      </c>
      <c r="C3269" t="s">
        <v>3</v>
      </c>
      <c r="D3269" t="s">
        <v>117</v>
      </c>
      <c r="E3269" t="s">
        <v>161</v>
      </c>
      <c r="F3269">
        <v>1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1</v>
      </c>
      <c r="O3269">
        <v>1</v>
      </c>
      <c r="P3269">
        <f t="shared" si="171"/>
        <v>2025</v>
      </c>
      <c r="Q3269">
        <f t="shared" si="172"/>
        <v>11</v>
      </c>
      <c r="R3269" t="str">
        <f t="shared" si="173"/>
        <v>其他入口榜单</v>
      </c>
      <c r="S3269" t="s">
        <v>784</v>
      </c>
      <c r="T3269" t="s">
        <v>805</v>
      </c>
    </row>
    <row r="3270" spans="1:20" x14ac:dyDescent="0.3">
      <c r="A3270" t="s">
        <v>627</v>
      </c>
      <c r="B3270" s="16">
        <v>45967</v>
      </c>
      <c r="C3270" t="s">
        <v>3</v>
      </c>
      <c r="D3270" t="s">
        <v>123</v>
      </c>
      <c r="E3270" t="s">
        <v>170</v>
      </c>
      <c r="F3270">
        <v>48</v>
      </c>
      <c r="G3270">
        <v>24</v>
      </c>
      <c r="H3270">
        <v>3</v>
      </c>
      <c r="I3270">
        <v>0</v>
      </c>
      <c r="J3270">
        <v>16025</v>
      </c>
      <c r="K3270">
        <v>3</v>
      </c>
      <c r="L3270">
        <v>16025</v>
      </c>
      <c r="M3270">
        <v>3</v>
      </c>
      <c r="N3270">
        <v>42</v>
      </c>
      <c r="O3270">
        <v>28</v>
      </c>
      <c r="P3270">
        <f t="shared" si="171"/>
        <v>2025</v>
      </c>
      <c r="Q3270">
        <f t="shared" si="172"/>
        <v>11</v>
      </c>
      <c r="R3270" t="str">
        <f t="shared" si="173"/>
        <v>店铺超链</v>
      </c>
      <c r="S3270" t="s">
        <v>784</v>
      </c>
      <c r="T3270" t="s">
        <v>805</v>
      </c>
    </row>
    <row r="3271" spans="1:20" x14ac:dyDescent="0.3">
      <c r="A3271" t="s">
        <v>627</v>
      </c>
      <c r="B3271" s="16">
        <v>45967</v>
      </c>
      <c r="C3271" t="s">
        <v>3</v>
      </c>
      <c r="D3271" t="s">
        <v>127</v>
      </c>
      <c r="E3271" t="s">
        <v>171</v>
      </c>
      <c r="F3271">
        <v>867</v>
      </c>
      <c r="G3271">
        <v>383</v>
      </c>
      <c r="H3271">
        <v>40</v>
      </c>
      <c r="I3271">
        <v>9</v>
      </c>
      <c r="J3271">
        <v>36200</v>
      </c>
      <c r="K3271">
        <v>6</v>
      </c>
      <c r="L3271">
        <v>31210</v>
      </c>
      <c r="M3271">
        <v>6</v>
      </c>
      <c r="N3271">
        <v>115</v>
      </c>
      <c r="O3271">
        <v>828</v>
      </c>
      <c r="P3271">
        <f t="shared" si="171"/>
        <v>2025</v>
      </c>
      <c r="Q3271">
        <f t="shared" si="172"/>
        <v>11</v>
      </c>
      <c r="R3271" t="str">
        <f t="shared" si="173"/>
        <v>其他猜你喜欢</v>
      </c>
      <c r="S3271" t="s">
        <v>784</v>
      </c>
      <c r="T3271" t="s">
        <v>805</v>
      </c>
    </row>
    <row r="3272" spans="1:20" x14ac:dyDescent="0.3">
      <c r="A3272" t="s">
        <v>627</v>
      </c>
      <c r="B3272" s="16">
        <v>45967</v>
      </c>
      <c r="C3272" t="s">
        <v>3</v>
      </c>
      <c r="D3272" t="s">
        <v>127</v>
      </c>
      <c r="E3272" t="s">
        <v>172</v>
      </c>
      <c r="F3272">
        <v>139</v>
      </c>
      <c r="G3272">
        <v>47</v>
      </c>
      <c r="H3272">
        <v>8</v>
      </c>
      <c r="I3272">
        <v>1</v>
      </c>
      <c r="J3272">
        <v>3840.19</v>
      </c>
      <c r="K3272">
        <v>1</v>
      </c>
      <c r="L3272">
        <v>3840.19</v>
      </c>
      <c r="M3272">
        <v>1</v>
      </c>
      <c r="N3272">
        <v>16</v>
      </c>
      <c r="O3272">
        <v>136</v>
      </c>
      <c r="P3272">
        <f t="shared" si="171"/>
        <v>2025</v>
      </c>
      <c r="Q3272">
        <f t="shared" si="172"/>
        <v>11</v>
      </c>
      <c r="R3272" t="str">
        <f t="shared" si="173"/>
        <v>购中推荐</v>
      </c>
      <c r="S3272" t="s">
        <v>784</v>
      </c>
      <c r="T3272" t="s">
        <v>805</v>
      </c>
    </row>
    <row r="3273" spans="1:20" x14ac:dyDescent="0.3">
      <c r="A3273" t="s">
        <v>627</v>
      </c>
      <c r="B3273" s="16">
        <v>45967</v>
      </c>
      <c r="C3273" t="s">
        <v>3</v>
      </c>
      <c r="D3273" t="s">
        <v>127</v>
      </c>
      <c r="E3273" t="s">
        <v>173</v>
      </c>
      <c r="F3273">
        <v>853</v>
      </c>
      <c r="G3273">
        <v>355</v>
      </c>
      <c r="H3273">
        <v>24</v>
      </c>
      <c r="I3273">
        <v>7</v>
      </c>
      <c r="J3273">
        <v>2650</v>
      </c>
      <c r="K3273">
        <v>1</v>
      </c>
      <c r="L3273">
        <v>2650</v>
      </c>
      <c r="M3273">
        <v>1</v>
      </c>
      <c r="N3273">
        <v>44</v>
      </c>
      <c r="O3273">
        <v>822</v>
      </c>
      <c r="P3273">
        <f t="shared" si="171"/>
        <v>2025</v>
      </c>
      <c r="Q3273">
        <f t="shared" si="172"/>
        <v>11</v>
      </c>
      <c r="R3273" t="str">
        <f t="shared" si="173"/>
        <v>购后推荐</v>
      </c>
      <c r="S3273" t="s">
        <v>784</v>
      </c>
      <c r="T3273" t="s">
        <v>805</v>
      </c>
    </row>
    <row r="3274" spans="1:20" x14ac:dyDescent="0.3">
      <c r="A3274" t="s">
        <v>627</v>
      </c>
      <c r="B3274" s="16">
        <v>45967</v>
      </c>
      <c r="C3274" t="s">
        <v>3</v>
      </c>
      <c r="D3274" t="s">
        <v>127</v>
      </c>
      <c r="E3274" t="s">
        <v>174</v>
      </c>
      <c r="F3274">
        <v>7436</v>
      </c>
      <c r="G3274">
        <v>3046</v>
      </c>
      <c r="H3274">
        <v>102</v>
      </c>
      <c r="I3274">
        <v>38</v>
      </c>
      <c r="J3274">
        <v>60590</v>
      </c>
      <c r="K3274">
        <v>13</v>
      </c>
      <c r="L3274">
        <v>39630</v>
      </c>
      <c r="M3274">
        <v>11</v>
      </c>
      <c r="N3274">
        <v>287</v>
      </c>
      <c r="O3274">
        <v>7436</v>
      </c>
      <c r="P3274">
        <f t="shared" si="171"/>
        <v>2025</v>
      </c>
      <c r="Q3274">
        <f t="shared" si="172"/>
        <v>11</v>
      </c>
      <c r="R3274" t="str">
        <f t="shared" si="173"/>
        <v>首页推荐-微详情</v>
      </c>
      <c r="S3274" t="s">
        <v>784</v>
      </c>
      <c r="T3274" t="s">
        <v>805</v>
      </c>
    </row>
    <row r="3275" spans="1:20" x14ac:dyDescent="0.3">
      <c r="A3275" t="s">
        <v>627</v>
      </c>
      <c r="B3275" s="16">
        <v>45967</v>
      </c>
      <c r="C3275" t="s">
        <v>3</v>
      </c>
      <c r="D3275" t="s">
        <v>127</v>
      </c>
      <c r="E3275" t="s">
        <v>175</v>
      </c>
      <c r="F3275">
        <v>106</v>
      </c>
      <c r="G3275">
        <v>65</v>
      </c>
      <c r="H3275">
        <v>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4</v>
      </c>
      <c r="O3275">
        <v>64</v>
      </c>
      <c r="P3275">
        <f t="shared" si="171"/>
        <v>2025</v>
      </c>
      <c r="Q3275">
        <f t="shared" si="172"/>
        <v>11</v>
      </c>
      <c r="R3275" t="str">
        <f t="shared" si="173"/>
        <v>首页推荐-直播</v>
      </c>
      <c r="S3275" t="s">
        <v>784</v>
      </c>
      <c r="T3275" t="s">
        <v>805</v>
      </c>
    </row>
    <row r="3276" spans="1:20" x14ac:dyDescent="0.3">
      <c r="A3276" t="s">
        <v>627</v>
      </c>
      <c r="B3276" s="16">
        <v>45967</v>
      </c>
      <c r="C3276" t="s">
        <v>3</v>
      </c>
      <c r="D3276" t="s">
        <v>127</v>
      </c>
      <c r="E3276" t="s">
        <v>176</v>
      </c>
      <c r="F3276">
        <v>241</v>
      </c>
      <c r="G3276">
        <v>123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5</v>
      </c>
      <c r="O3276">
        <v>27</v>
      </c>
      <c r="P3276">
        <f t="shared" si="171"/>
        <v>2025</v>
      </c>
      <c r="Q3276">
        <f t="shared" si="172"/>
        <v>11</v>
      </c>
      <c r="R3276" t="str">
        <f t="shared" si="173"/>
        <v>首页推荐-短视频</v>
      </c>
      <c r="S3276" t="s">
        <v>784</v>
      </c>
      <c r="T3276" t="s">
        <v>805</v>
      </c>
    </row>
    <row r="3277" spans="1:20" x14ac:dyDescent="0.3">
      <c r="A3277" t="s">
        <v>627</v>
      </c>
      <c r="B3277" s="16">
        <v>45967</v>
      </c>
      <c r="C3277" t="s">
        <v>3</v>
      </c>
      <c r="D3277" t="s">
        <v>128</v>
      </c>
      <c r="E3277" t="s">
        <v>177</v>
      </c>
      <c r="F3277">
        <v>2490</v>
      </c>
      <c r="G3277">
        <v>2092</v>
      </c>
      <c r="H3277">
        <v>69</v>
      </c>
      <c r="I3277">
        <v>21</v>
      </c>
      <c r="J3277">
        <v>87435.44</v>
      </c>
      <c r="K3277">
        <v>17</v>
      </c>
      <c r="L3277">
        <v>64075.44</v>
      </c>
      <c r="M3277">
        <v>14</v>
      </c>
      <c r="N3277">
        <v>317</v>
      </c>
      <c r="O3277">
        <v>2401</v>
      </c>
      <c r="P3277">
        <f t="shared" si="171"/>
        <v>2025</v>
      </c>
      <c r="Q3277">
        <f t="shared" si="172"/>
        <v>11</v>
      </c>
      <c r="R3277" t="str">
        <f t="shared" si="173"/>
        <v>手淘搜索-商品及其他</v>
      </c>
      <c r="S3277" t="s">
        <v>784</v>
      </c>
      <c r="T3277" t="s">
        <v>805</v>
      </c>
    </row>
    <row r="3278" spans="1:20" x14ac:dyDescent="0.3">
      <c r="A3278" t="s">
        <v>627</v>
      </c>
      <c r="B3278" s="16">
        <v>45967</v>
      </c>
      <c r="C3278" t="s">
        <v>3</v>
      </c>
      <c r="D3278" t="s">
        <v>128</v>
      </c>
      <c r="E3278" t="s">
        <v>178</v>
      </c>
      <c r="F3278">
        <v>9</v>
      </c>
      <c r="G3278">
        <v>3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2</v>
      </c>
      <c r="O3278">
        <v>7</v>
      </c>
      <c r="P3278">
        <f t="shared" si="171"/>
        <v>2025</v>
      </c>
      <c r="Q3278">
        <f t="shared" si="172"/>
        <v>11</v>
      </c>
      <c r="R3278" t="str">
        <f t="shared" si="173"/>
        <v>手淘搜索-直播</v>
      </c>
      <c r="S3278" t="s">
        <v>784</v>
      </c>
      <c r="T3278" t="s">
        <v>805</v>
      </c>
    </row>
    <row r="3279" spans="1:20" x14ac:dyDescent="0.3">
      <c r="A3279" t="s">
        <v>627</v>
      </c>
      <c r="B3279" s="16">
        <v>45967</v>
      </c>
      <c r="C3279" t="s">
        <v>3</v>
      </c>
      <c r="D3279" t="s">
        <v>128</v>
      </c>
      <c r="E3279" t="s">
        <v>179</v>
      </c>
      <c r="F3279">
        <v>38</v>
      </c>
      <c r="G3279">
        <v>18</v>
      </c>
      <c r="H3279">
        <v>2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3</v>
      </c>
      <c r="O3279">
        <v>35</v>
      </c>
      <c r="P3279">
        <f t="shared" si="171"/>
        <v>2025</v>
      </c>
      <c r="Q3279">
        <f t="shared" si="172"/>
        <v>11</v>
      </c>
      <c r="R3279" t="str">
        <f t="shared" si="173"/>
        <v>手淘搜索-短视频</v>
      </c>
      <c r="S3279" t="s">
        <v>784</v>
      </c>
      <c r="T3279" t="s">
        <v>805</v>
      </c>
    </row>
    <row r="3280" spans="1:20" x14ac:dyDescent="0.3">
      <c r="A3280" t="s">
        <v>627</v>
      </c>
      <c r="B3280" s="16">
        <v>45967</v>
      </c>
      <c r="C3280" t="s">
        <v>3</v>
      </c>
      <c r="D3280" t="s">
        <v>143</v>
      </c>
      <c r="E3280" t="s">
        <v>180</v>
      </c>
      <c r="F3280">
        <v>1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1</v>
      </c>
      <c r="P3280">
        <f t="shared" si="171"/>
        <v>2025</v>
      </c>
      <c r="Q3280">
        <f t="shared" si="172"/>
        <v>11</v>
      </c>
      <c r="R3280" t="str">
        <f t="shared" si="173"/>
        <v>淘特其他渠道</v>
      </c>
      <c r="S3280" t="s">
        <v>784</v>
      </c>
      <c r="T3280" t="s">
        <v>805</v>
      </c>
    </row>
    <row r="3281" spans="1:20" x14ac:dyDescent="0.3">
      <c r="A3281" t="s">
        <v>627</v>
      </c>
      <c r="B3281" s="16">
        <v>45967</v>
      </c>
      <c r="C3281" t="s">
        <v>2</v>
      </c>
      <c r="D3281" t="s">
        <v>55</v>
      </c>
      <c r="E3281" t="s">
        <v>66</v>
      </c>
      <c r="F3281">
        <v>5</v>
      </c>
      <c r="G3281">
        <v>4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f t="shared" si="171"/>
        <v>2025</v>
      </c>
      <c r="Q3281">
        <f t="shared" si="172"/>
        <v>11</v>
      </c>
      <c r="R3281" t="str">
        <f t="shared" si="173"/>
        <v>短直联动</v>
      </c>
      <c r="S3281" t="s">
        <v>784</v>
      </c>
      <c r="T3281" t="s">
        <v>805</v>
      </c>
    </row>
    <row r="3282" spans="1:20" x14ac:dyDescent="0.3">
      <c r="A3282" t="s">
        <v>627</v>
      </c>
      <c r="B3282" s="16">
        <v>45967</v>
      </c>
      <c r="C3282" t="s">
        <v>2</v>
      </c>
      <c r="D3282" t="s">
        <v>55</v>
      </c>
      <c r="E3282" t="s">
        <v>54</v>
      </c>
      <c r="F3282">
        <v>825</v>
      </c>
      <c r="G3282">
        <v>426</v>
      </c>
      <c r="H3282">
        <v>12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38</v>
      </c>
      <c r="O3282">
        <v>402</v>
      </c>
      <c r="P3282">
        <f t="shared" si="171"/>
        <v>2025</v>
      </c>
      <c r="Q3282">
        <f t="shared" si="172"/>
        <v>11</v>
      </c>
      <c r="R3282" t="str">
        <f t="shared" si="173"/>
        <v>超级直播</v>
      </c>
      <c r="S3282" t="s">
        <v>784</v>
      </c>
      <c r="T3282" t="s">
        <v>805</v>
      </c>
    </row>
    <row r="3283" spans="1:20" x14ac:dyDescent="0.3">
      <c r="A3283" t="s">
        <v>627</v>
      </c>
      <c r="B3283" s="16">
        <v>45967</v>
      </c>
      <c r="C3283" t="s">
        <v>2</v>
      </c>
      <c r="D3283" t="s">
        <v>55</v>
      </c>
      <c r="E3283" t="s">
        <v>56</v>
      </c>
      <c r="F3283">
        <v>32</v>
      </c>
      <c r="G3283">
        <v>16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30</v>
      </c>
      <c r="P3283">
        <f t="shared" si="171"/>
        <v>2025</v>
      </c>
      <c r="Q3283">
        <f t="shared" si="172"/>
        <v>11</v>
      </c>
      <c r="R3283" t="str">
        <f t="shared" si="173"/>
        <v>超级短视频</v>
      </c>
      <c r="S3283" t="s">
        <v>784</v>
      </c>
      <c r="T3283" t="s">
        <v>805</v>
      </c>
    </row>
    <row r="3284" spans="1:20" x14ac:dyDescent="0.3">
      <c r="A3284" t="s">
        <v>627</v>
      </c>
      <c r="B3284" s="16">
        <v>45967</v>
      </c>
      <c r="C3284" t="s">
        <v>2</v>
      </c>
      <c r="D3284" t="s">
        <v>57</v>
      </c>
      <c r="E3284" t="s">
        <v>63</v>
      </c>
      <c r="F3284">
        <v>756</v>
      </c>
      <c r="G3284">
        <v>607</v>
      </c>
      <c r="H3284">
        <v>22</v>
      </c>
      <c r="I3284">
        <v>10</v>
      </c>
      <c r="J3284">
        <v>25358</v>
      </c>
      <c r="K3284">
        <v>4</v>
      </c>
      <c r="L3284">
        <v>14378</v>
      </c>
      <c r="M3284">
        <v>2</v>
      </c>
      <c r="N3284">
        <v>756</v>
      </c>
      <c r="O3284">
        <v>386</v>
      </c>
      <c r="P3284">
        <f t="shared" si="171"/>
        <v>2025</v>
      </c>
      <c r="Q3284">
        <f t="shared" si="172"/>
        <v>11</v>
      </c>
      <c r="R3284" t="str">
        <f t="shared" si="173"/>
        <v>万相台</v>
      </c>
      <c r="S3284" t="s">
        <v>784</v>
      </c>
      <c r="T3284" t="s">
        <v>805</v>
      </c>
    </row>
    <row r="3285" spans="1:20" x14ac:dyDescent="0.3">
      <c r="A3285" t="s">
        <v>627</v>
      </c>
      <c r="B3285" s="16">
        <v>45967</v>
      </c>
      <c r="C3285" t="s">
        <v>2</v>
      </c>
      <c r="D3285" t="s">
        <v>57</v>
      </c>
      <c r="E3285" t="s">
        <v>64</v>
      </c>
      <c r="F3285">
        <v>26095</v>
      </c>
      <c r="G3285">
        <v>12360</v>
      </c>
      <c r="H3285">
        <v>72</v>
      </c>
      <c r="I3285">
        <v>112</v>
      </c>
      <c r="J3285">
        <v>23175</v>
      </c>
      <c r="K3285">
        <v>4</v>
      </c>
      <c r="L3285">
        <v>10835</v>
      </c>
      <c r="M3285">
        <v>3</v>
      </c>
      <c r="N3285">
        <v>368</v>
      </c>
      <c r="O3285">
        <v>26095</v>
      </c>
      <c r="P3285">
        <f t="shared" si="171"/>
        <v>2025</v>
      </c>
      <c r="Q3285">
        <f t="shared" si="172"/>
        <v>11</v>
      </c>
      <c r="R3285" t="str">
        <f t="shared" si="173"/>
        <v>引力魔方</v>
      </c>
      <c r="S3285" t="s">
        <v>784</v>
      </c>
      <c r="T3285" t="s">
        <v>805</v>
      </c>
    </row>
    <row r="3286" spans="1:20" x14ac:dyDescent="0.3">
      <c r="A3286" t="s">
        <v>627</v>
      </c>
      <c r="B3286" s="16">
        <v>45967</v>
      </c>
      <c r="C3286" t="s">
        <v>2</v>
      </c>
      <c r="D3286" t="s">
        <v>57</v>
      </c>
      <c r="E3286" t="s">
        <v>65</v>
      </c>
      <c r="F3286">
        <v>5829</v>
      </c>
      <c r="G3286">
        <v>4950</v>
      </c>
      <c r="H3286">
        <v>37</v>
      </c>
      <c r="I3286">
        <v>14</v>
      </c>
      <c r="J3286">
        <v>30370</v>
      </c>
      <c r="K3286">
        <v>7</v>
      </c>
      <c r="L3286">
        <v>18380</v>
      </c>
      <c r="M3286">
        <v>6</v>
      </c>
      <c r="N3286">
        <v>300</v>
      </c>
      <c r="O3286">
        <v>5764</v>
      </c>
      <c r="P3286">
        <f t="shared" si="171"/>
        <v>2025</v>
      </c>
      <c r="Q3286">
        <f t="shared" si="172"/>
        <v>11</v>
      </c>
      <c r="R3286" t="str">
        <f t="shared" si="173"/>
        <v>直通车</v>
      </c>
      <c r="S3286" t="s">
        <v>784</v>
      </c>
      <c r="T3286" t="s">
        <v>805</v>
      </c>
    </row>
    <row r="3287" spans="1:20" x14ac:dyDescent="0.3">
      <c r="A3287" t="s">
        <v>627</v>
      </c>
      <c r="B3287" s="16">
        <v>45967</v>
      </c>
      <c r="C3287" t="s">
        <v>2</v>
      </c>
      <c r="D3287" t="s">
        <v>4</v>
      </c>
      <c r="E3287" t="s">
        <v>41</v>
      </c>
      <c r="F3287">
        <v>3</v>
      </c>
      <c r="G3287">
        <v>2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3</v>
      </c>
      <c r="P3287">
        <f t="shared" si="171"/>
        <v>2025</v>
      </c>
      <c r="Q3287">
        <f t="shared" si="172"/>
        <v>11</v>
      </c>
      <c r="R3287" t="str">
        <f t="shared" si="173"/>
        <v>流量宝</v>
      </c>
      <c r="S3287" t="s">
        <v>784</v>
      </c>
      <c r="T3287" t="s">
        <v>805</v>
      </c>
    </row>
    <row r="3288" spans="1:20" x14ac:dyDescent="0.3">
      <c r="A3288" t="s">
        <v>627</v>
      </c>
      <c r="B3288" s="16">
        <v>45967</v>
      </c>
      <c r="C3288" t="s">
        <v>2</v>
      </c>
      <c r="D3288" t="s">
        <v>4</v>
      </c>
      <c r="E3288" t="s">
        <v>43</v>
      </c>
      <c r="F3288">
        <v>345</v>
      </c>
      <c r="G3288">
        <v>95</v>
      </c>
      <c r="H3288">
        <v>5</v>
      </c>
      <c r="I3288">
        <v>1</v>
      </c>
      <c r="J3288">
        <v>12922.44</v>
      </c>
      <c r="K3288">
        <v>3</v>
      </c>
      <c r="L3288">
        <v>12922.44</v>
      </c>
      <c r="M3288">
        <v>3</v>
      </c>
      <c r="N3288">
        <v>2</v>
      </c>
      <c r="O3288">
        <v>345</v>
      </c>
      <c r="P3288">
        <f t="shared" si="171"/>
        <v>2025</v>
      </c>
      <c r="Q3288">
        <f t="shared" si="172"/>
        <v>11</v>
      </c>
      <c r="R3288" t="str">
        <f t="shared" si="173"/>
        <v>淘宝客</v>
      </c>
      <c r="S3288" t="s">
        <v>784</v>
      </c>
      <c r="T3288" t="s">
        <v>805</v>
      </c>
    </row>
    <row r="3289" spans="1:20" x14ac:dyDescent="0.3">
      <c r="A3289" t="s">
        <v>627</v>
      </c>
      <c r="B3289" s="16">
        <v>45966</v>
      </c>
      <c r="C3289" t="s">
        <v>3</v>
      </c>
      <c r="D3289" t="s">
        <v>114</v>
      </c>
      <c r="E3289" t="s">
        <v>159</v>
      </c>
      <c r="F3289">
        <v>178</v>
      </c>
      <c r="G3289">
        <v>92</v>
      </c>
      <c r="H3289">
        <v>10</v>
      </c>
      <c r="I3289">
        <v>3</v>
      </c>
      <c r="J3289">
        <v>6480</v>
      </c>
      <c r="K3289">
        <v>2</v>
      </c>
      <c r="L3289">
        <v>3490</v>
      </c>
      <c r="M3289">
        <v>1</v>
      </c>
      <c r="N3289">
        <v>14</v>
      </c>
      <c r="O3289">
        <v>177</v>
      </c>
      <c r="P3289">
        <f t="shared" si="171"/>
        <v>2025</v>
      </c>
      <c r="Q3289">
        <f t="shared" si="172"/>
        <v>11</v>
      </c>
      <c r="R3289" t="str">
        <f t="shared" si="173"/>
        <v>主会场</v>
      </c>
      <c r="S3289" t="s">
        <v>784</v>
      </c>
      <c r="T3289" t="s">
        <v>805</v>
      </c>
    </row>
    <row r="3290" spans="1:20" x14ac:dyDescent="0.3">
      <c r="A3290" t="s">
        <v>627</v>
      </c>
      <c r="B3290" s="16">
        <v>45966</v>
      </c>
      <c r="C3290" t="s">
        <v>3</v>
      </c>
      <c r="D3290" t="s">
        <v>117</v>
      </c>
      <c r="E3290" t="s">
        <v>161</v>
      </c>
      <c r="F3290">
        <v>1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1</v>
      </c>
      <c r="P3290">
        <f t="shared" si="171"/>
        <v>2025</v>
      </c>
      <c r="Q3290">
        <f t="shared" si="172"/>
        <v>11</v>
      </c>
      <c r="R3290" t="str">
        <f t="shared" si="173"/>
        <v>其他入口榜单</v>
      </c>
      <c r="S3290" t="s">
        <v>784</v>
      </c>
      <c r="T3290" t="s">
        <v>805</v>
      </c>
    </row>
    <row r="3291" spans="1:20" x14ac:dyDescent="0.3">
      <c r="A3291" t="s">
        <v>627</v>
      </c>
      <c r="B3291" s="16">
        <v>45966</v>
      </c>
      <c r="C3291" t="s">
        <v>3</v>
      </c>
      <c r="D3291" t="s">
        <v>123</v>
      </c>
      <c r="E3291" t="s">
        <v>170</v>
      </c>
      <c r="F3291">
        <v>49</v>
      </c>
      <c r="G3291">
        <v>26</v>
      </c>
      <c r="H3291">
        <v>3</v>
      </c>
      <c r="I3291">
        <v>1</v>
      </c>
      <c r="J3291">
        <v>20040</v>
      </c>
      <c r="K3291">
        <v>2</v>
      </c>
      <c r="L3291">
        <v>14640</v>
      </c>
      <c r="M3291">
        <v>2</v>
      </c>
      <c r="N3291">
        <v>40</v>
      </c>
      <c r="O3291">
        <v>28</v>
      </c>
      <c r="P3291">
        <f t="shared" si="171"/>
        <v>2025</v>
      </c>
      <c r="Q3291">
        <f t="shared" si="172"/>
        <v>11</v>
      </c>
      <c r="R3291" t="str">
        <f t="shared" si="173"/>
        <v>店铺超链</v>
      </c>
      <c r="S3291" t="s">
        <v>784</v>
      </c>
      <c r="T3291" t="s">
        <v>805</v>
      </c>
    </row>
    <row r="3292" spans="1:20" x14ac:dyDescent="0.3">
      <c r="A3292" t="s">
        <v>627</v>
      </c>
      <c r="B3292" s="16">
        <v>45966</v>
      </c>
      <c r="C3292" t="s">
        <v>3</v>
      </c>
      <c r="D3292" t="s">
        <v>127</v>
      </c>
      <c r="E3292" t="s">
        <v>171</v>
      </c>
      <c r="F3292">
        <v>851</v>
      </c>
      <c r="G3292">
        <v>349</v>
      </c>
      <c r="H3292">
        <v>29</v>
      </c>
      <c r="I3292">
        <v>9</v>
      </c>
      <c r="J3292">
        <v>55690</v>
      </c>
      <c r="K3292">
        <v>8</v>
      </c>
      <c r="L3292">
        <v>51700</v>
      </c>
      <c r="M3292">
        <v>7</v>
      </c>
      <c r="N3292">
        <v>107</v>
      </c>
      <c r="O3292">
        <v>812</v>
      </c>
      <c r="P3292">
        <f t="shared" si="171"/>
        <v>2025</v>
      </c>
      <c r="Q3292">
        <f t="shared" si="172"/>
        <v>11</v>
      </c>
      <c r="R3292" t="str">
        <f t="shared" si="173"/>
        <v>其他猜你喜欢</v>
      </c>
      <c r="S3292" t="s">
        <v>784</v>
      </c>
      <c r="T3292" t="s">
        <v>805</v>
      </c>
    </row>
    <row r="3293" spans="1:20" x14ac:dyDescent="0.3">
      <c r="A3293" t="s">
        <v>627</v>
      </c>
      <c r="B3293" s="16">
        <v>45966</v>
      </c>
      <c r="C3293" t="s">
        <v>3</v>
      </c>
      <c r="D3293" t="s">
        <v>127</v>
      </c>
      <c r="E3293" t="s">
        <v>172</v>
      </c>
      <c r="F3293">
        <v>149</v>
      </c>
      <c r="G3293">
        <v>59</v>
      </c>
      <c r="H3293">
        <v>3</v>
      </c>
      <c r="I3293">
        <v>4</v>
      </c>
      <c r="J3293">
        <v>7480</v>
      </c>
      <c r="K3293">
        <v>2</v>
      </c>
      <c r="L3293">
        <v>3490</v>
      </c>
      <c r="M3293">
        <v>1</v>
      </c>
      <c r="N3293">
        <v>13</v>
      </c>
      <c r="O3293">
        <v>149</v>
      </c>
      <c r="P3293">
        <f t="shared" si="171"/>
        <v>2025</v>
      </c>
      <c r="Q3293">
        <f t="shared" si="172"/>
        <v>11</v>
      </c>
      <c r="R3293" t="str">
        <f t="shared" si="173"/>
        <v>购中推荐</v>
      </c>
      <c r="S3293" t="s">
        <v>784</v>
      </c>
      <c r="T3293" t="s">
        <v>805</v>
      </c>
    </row>
    <row r="3294" spans="1:20" x14ac:dyDescent="0.3">
      <c r="A3294" t="s">
        <v>627</v>
      </c>
      <c r="B3294" s="16">
        <v>45966</v>
      </c>
      <c r="C3294" t="s">
        <v>3</v>
      </c>
      <c r="D3294" t="s">
        <v>127</v>
      </c>
      <c r="E3294" t="s">
        <v>173</v>
      </c>
      <c r="F3294">
        <v>795</v>
      </c>
      <c r="G3294">
        <v>317</v>
      </c>
      <c r="H3294">
        <v>22</v>
      </c>
      <c r="I3294">
        <v>4</v>
      </c>
      <c r="J3294">
        <v>23850</v>
      </c>
      <c r="K3294">
        <v>4</v>
      </c>
      <c r="L3294">
        <v>11480</v>
      </c>
      <c r="M3294">
        <v>3</v>
      </c>
      <c r="N3294">
        <v>42</v>
      </c>
      <c r="O3294">
        <v>791</v>
      </c>
      <c r="P3294">
        <f t="shared" si="171"/>
        <v>2025</v>
      </c>
      <c r="Q3294">
        <f t="shared" si="172"/>
        <v>11</v>
      </c>
      <c r="R3294" t="str">
        <f t="shared" si="173"/>
        <v>购后推荐</v>
      </c>
      <c r="S3294" t="s">
        <v>784</v>
      </c>
      <c r="T3294" t="s">
        <v>805</v>
      </c>
    </row>
    <row r="3295" spans="1:20" x14ac:dyDescent="0.3">
      <c r="A3295" t="s">
        <v>627</v>
      </c>
      <c r="B3295" s="16">
        <v>45966</v>
      </c>
      <c r="C3295" t="s">
        <v>3</v>
      </c>
      <c r="D3295" t="s">
        <v>127</v>
      </c>
      <c r="E3295" t="s">
        <v>174</v>
      </c>
      <c r="F3295">
        <v>8319</v>
      </c>
      <c r="G3295">
        <v>3613</v>
      </c>
      <c r="H3295">
        <v>113</v>
      </c>
      <c r="I3295">
        <v>28</v>
      </c>
      <c r="J3295">
        <v>130740</v>
      </c>
      <c r="K3295">
        <v>16</v>
      </c>
      <c r="L3295">
        <v>87920</v>
      </c>
      <c r="M3295">
        <v>13</v>
      </c>
      <c r="N3295">
        <v>260</v>
      </c>
      <c r="O3295">
        <v>8319</v>
      </c>
      <c r="P3295">
        <f t="shared" si="171"/>
        <v>2025</v>
      </c>
      <c r="Q3295">
        <f t="shared" si="172"/>
        <v>11</v>
      </c>
      <c r="R3295" t="str">
        <f t="shared" si="173"/>
        <v>首页推荐-微详情</v>
      </c>
      <c r="S3295" t="s">
        <v>784</v>
      </c>
      <c r="T3295" t="s">
        <v>805</v>
      </c>
    </row>
    <row r="3296" spans="1:20" x14ac:dyDescent="0.3">
      <c r="A3296" t="s">
        <v>627</v>
      </c>
      <c r="B3296" s="16">
        <v>45966</v>
      </c>
      <c r="C3296" t="s">
        <v>3</v>
      </c>
      <c r="D3296" t="s">
        <v>127</v>
      </c>
      <c r="E3296" t="s">
        <v>175</v>
      </c>
      <c r="F3296">
        <v>126</v>
      </c>
      <c r="G3296">
        <v>66</v>
      </c>
      <c r="H3296">
        <v>2</v>
      </c>
      <c r="I3296">
        <v>0</v>
      </c>
      <c r="J3296">
        <v>12060</v>
      </c>
      <c r="K3296">
        <v>3</v>
      </c>
      <c r="L3296">
        <v>8070</v>
      </c>
      <c r="M3296">
        <v>3</v>
      </c>
      <c r="N3296">
        <v>3</v>
      </c>
      <c r="O3296">
        <v>64</v>
      </c>
      <c r="P3296">
        <f t="shared" si="171"/>
        <v>2025</v>
      </c>
      <c r="Q3296">
        <f t="shared" si="172"/>
        <v>11</v>
      </c>
      <c r="R3296" t="str">
        <f t="shared" si="173"/>
        <v>首页推荐-直播</v>
      </c>
      <c r="S3296" t="s">
        <v>784</v>
      </c>
      <c r="T3296" t="s">
        <v>805</v>
      </c>
    </row>
    <row r="3297" spans="1:20" x14ac:dyDescent="0.3">
      <c r="A3297" t="s">
        <v>627</v>
      </c>
      <c r="B3297" s="16">
        <v>45966</v>
      </c>
      <c r="C3297" t="s">
        <v>3</v>
      </c>
      <c r="D3297" t="s">
        <v>127</v>
      </c>
      <c r="E3297" t="s">
        <v>176</v>
      </c>
      <c r="F3297">
        <v>137</v>
      </c>
      <c r="G3297">
        <v>55</v>
      </c>
      <c r="H3297">
        <v>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1</v>
      </c>
      <c r="O3297">
        <v>21</v>
      </c>
      <c r="P3297">
        <f t="shared" si="171"/>
        <v>2025</v>
      </c>
      <c r="Q3297">
        <f t="shared" si="172"/>
        <v>11</v>
      </c>
      <c r="R3297" t="str">
        <f t="shared" si="173"/>
        <v>首页推荐-短视频</v>
      </c>
      <c r="S3297" t="s">
        <v>784</v>
      </c>
      <c r="T3297" t="s">
        <v>805</v>
      </c>
    </row>
    <row r="3298" spans="1:20" x14ac:dyDescent="0.3">
      <c r="A3298" t="s">
        <v>627</v>
      </c>
      <c r="B3298" s="16">
        <v>45966</v>
      </c>
      <c r="C3298" t="s">
        <v>3</v>
      </c>
      <c r="D3298" t="s">
        <v>128</v>
      </c>
      <c r="E3298" t="s">
        <v>177</v>
      </c>
      <c r="F3298">
        <v>2836</v>
      </c>
      <c r="G3298">
        <v>2400</v>
      </c>
      <c r="H3298">
        <v>75</v>
      </c>
      <c r="I3298">
        <v>16</v>
      </c>
      <c r="J3298">
        <v>122210</v>
      </c>
      <c r="K3298">
        <v>19</v>
      </c>
      <c r="L3298">
        <v>44050</v>
      </c>
      <c r="M3298">
        <v>14</v>
      </c>
      <c r="N3298">
        <v>334</v>
      </c>
      <c r="O3298">
        <v>2754</v>
      </c>
      <c r="P3298">
        <f t="shared" si="171"/>
        <v>2025</v>
      </c>
      <c r="Q3298">
        <f t="shared" si="172"/>
        <v>11</v>
      </c>
      <c r="R3298" t="str">
        <f t="shared" si="173"/>
        <v>手淘搜索-商品及其他</v>
      </c>
      <c r="S3298" t="s">
        <v>784</v>
      </c>
      <c r="T3298" t="s">
        <v>805</v>
      </c>
    </row>
    <row r="3299" spans="1:20" x14ac:dyDescent="0.3">
      <c r="A3299" t="s">
        <v>627</v>
      </c>
      <c r="B3299" s="16">
        <v>45966</v>
      </c>
      <c r="C3299" t="s">
        <v>3</v>
      </c>
      <c r="D3299" t="s">
        <v>128</v>
      </c>
      <c r="E3299" t="s">
        <v>178</v>
      </c>
      <c r="F3299">
        <v>15</v>
      </c>
      <c r="G3299">
        <v>9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2</v>
      </c>
      <c r="O3299">
        <v>12</v>
      </c>
      <c r="P3299">
        <f t="shared" si="171"/>
        <v>2025</v>
      </c>
      <c r="Q3299">
        <f t="shared" si="172"/>
        <v>11</v>
      </c>
      <c r="R3299" t="str">
        <f t="shared" si="173"/>
        <v>手淘搜索-直播</v>
      </c>
      <c r="S3299" t="s">
        <v>784</v>
      </c>
      <c r="T3299" t="s">
        <v>805</v>
      </c>
    </row>
    <row r="3300" spans="1:20" x14ac:dyDescent="0.3">
      <c r="A3300" t="s">
        <v>627</v>
      </c>
      <c r="B3300" s="16">
        <v>45966</v>
      </c>
      <c r="C3300" t="s">
        <v>3</v>
      </c>
      <c r="D3300" t="s">
        <v>128</v>
      </c>
      <c r="E3300" t="s">
        <v>179</v>
      </c>
      <c r="F3300">
        <v>29</v>
      </c>
      <c r="G3300">
        <v>9</v>
      </c>
      <c r="H3300">
        <v>3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27</v>
      </c>
      <c r="P3300">
        <f t="shared" si="171"/>
        <v>2025</v>
      </c>
      <c r="Q3300">
        <f t="shared" si="172"/>
        <v>11</v>
      </c>
      <c r="R3300" t="str">
        <f t="shared" si="173"/>
        <v>手淘搜索-短视频</v>
      </c>
      <c r="S3300" t="s">
        <v>784</v>
      </c>
      <c r="T3300" t="s">
        <v>805</v>
      </c>
    </row>
    <row r="3301" spans="1:20" x14ac:dyDescent="0.3">
      <c r="A3301" t="s">
        <v>627</v>
      </c>
      <c r="B3301" s="16">
        <v>45966</v>
      </c>
      <c r="C3301" t="s">
        <v>3</v>
      </c>
      <c r="D3301" t="s">
        <v>143</v>
      </c>
      <c r="E3301" t="s">
        <v>224</v>
      </c>
      <c r="F3301">
        <v>3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3</v>
      </c>
      <c r="P3301">
        <f t="shared" si="171"/>
        <v>2025</v>
      </c>
      <c r="Q3301">
        <f t="shared" si="172"/>
        <v>11</v>
      </c>
      <c r="R3301" t="str">
        <f t="shared" si="173"/>
        <v>淘特自主访问</v>
      </c>
      <c r="S3301" t="s">
        <v>784</v>
      </c>
      <c r="T3301" t="s">
        <v>805</v>
      </c>
    </row>
    <row r="3302" spans="1:20" x14ac:dyDescent="0.3">
      <c r="A3302" t="s">
        <v>627</v>
      </c>
      <c r="B3302" s="16">
        <v>45966</v>
      </c>
      <c r="C3302" t="s">
        <v>2</v>
      </c>
      <c r="D3302" t="s">
        <v>55</v>
      </c>
      <c r="E3302" t="s">
        <v>66</v>
      </c>
      <c r="F3302">
        <v>9</v>
      </c>
      <c r="G3302">
        <v>9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f t="shared" si="171"/>
        <v>2025</v>
      </c>
      <c r="Q3302">
        <f t="shared" si="172"/>
        <v>11</v>
      </c>
      <c r="R3302" t="str">
        <f t="shared" si="173"/>
        <v>短直联动</v>
      </c>
      <c r="S3302" t="s">
        <v>784</v>
      </c>
      <c r="T3302" t="s">
        <v>805</v>
      </c>
    </row>
    <row r="3303" spans="1:20" x14ac:dyDescent="0.3">
      <c r="A3303" t="s">
        <v>627</v>
      </c>
      <c r="B3303" s="16">
        <v>45966</v>
      </c>
      <c r="C3303" t="s">
        <v>2</v>
      </c>
      <c r="D3303" t="s">
        <v>55</v>
      </c>
      <c r="E3303" t="s">
        <v>54</v>
      </c>
      <c r="F3303">
        <v>1416</v>
      </c>
      <c r="G3303">
        <v>973</v>
      </c>
      <c r="H3303">
        <v>11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34</v>
      </c>
      <c r="O3303">
        <v>338</v>
      </c>
      <c r="P3303">
        <f t="shared" si="171"/>
        <v>2025</v>
      </c>
      <c r="Q3303">
        <f t="shared" si="172"/>
        <v>11</v>
      </c>
      <c r="R3303" t="str">
        <f t="shared" si="173"/>
        <v>超级直播</v>
      </c>
      <c r="S3303" t="s">
        <v>784</v>
      </c>
      <c r="T3303" t="s">
        <v>805</v>
      </c>
    </row>
    <row r="3304" spans="1:20" x14ac:dyDescent="0.3">
      <c r="A3304" t="s">
        <v>627</v>
      </c>
      <c r="B3304" s="16">
        <v>45966</v>
      </c>
      <c r="C3304" t="s">
        <v>2</v>
      </c>
      <c r="D3304" t="s">
        <v>55</v>
      </c>
      <c r="E3304" t="s">
        <v>56</v>
      </c>
      <c r="F3304">
        <v>28</v>
      </c>
      <c r="G3304">
        <v>10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27</v>
      </c>
      <c r="P3304">
        <f t="shared" si="171"/>
        <v>2025</v>
      </c>
      <c r="Q3304">
        <f t="shared" si="172"/>
        <v>11</v>
      </c>
      <c r="R3304" t="str">
        <f t="shared" si="173"/>
        <v>超级短视频</v>
      </c>
      <c r="S3304" t="s">
        <v>784</v>
      </c>
      <c r="T3304" t="s">
        <v>805</v>
      </c>
    </row>
    <row r="3305" spans="1:20" x14ac:dyDescent="0.3">
      <c r="A3305" t="s">
        <v>627</v>
      </c>
      <c r="B3305" s="16">
        <v>45966</v>
      </c>
      <c r="C3305" t="s">
        <v>2</v>
      </c>
      <c r="D3305" t="s">
        <v>52</v>
      </c>
      <c r="E3305" t="s">
        <v>58</v>
      </c>
      <c r="F3305">
        <v>3</v>
      </c>
      <c r="G3305">
        <v>2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3</v>
      </c>
      <c r="P3305">
        <f t="shared" ref="P3305:P3368" si="174">YEAR(B3305)</f>
        <v>2025</v>
      </c>
      <c r="Q3305">
        <f t="shared" ref="Q3305:Q3368" si="175">MONTH(B3305)</f>
        <v>11</v>
      </c>
      <c r="R3305" t="str">
        <f t="shared" ref="R3305:R3368" si="176">E3305</f>
        <v>超级全域通</v>
      </c>
      <c r="S3305" t="s">
        <v>784</v>
      </c>
      <c r="T3305" t="s">
        <v>805</v>
      </c>
    </row>
    <row r="3306" spans="1:20" x14ac:dyDescent="0.3">
      <c r="A3306" t="s">
        <v>627</v>
      </c>
      <c r="B3306" s="16">
        <v>45966</v>
      </c>
      <c r="C3306" t="s">
        <v>2</v>
      </c>
      <c r="D3306" t="s">
        <v>57</v>
      </c>
      <c r="E3306" t="s">
        <v>63</v>
      </c>
      <c r="F3306">
        <v>785</v>
      </c>
      <c r="G3306">
        <v>623</v>
      </c>
      <c r="H3306">
        <v>32</v>
      </c>
      <c r="I3306">
        <v>11</v>
      </c>
      <c r="J3306">
        <v>32565</v>
      </c>
      <c r="K3306">
        <v>9</v>
      </c>
      <c r="L3306">
        <v>25475</v>
      </c>
      <c r="M3306">
        <v>7</v>
      </c>
      <c r="N3306">
        <v>782</v>
      </c>
      <c r="O3306">
        <v>408</v>
      </c>
      <c r="P3306">
        <f t="shared" si="174"/>
        <v>2025</v>
      </c>
      <c r="Q3306">
        <f t="shared" si="175"/>
        <v>11</v>
      </c>
      <c r="R3306" t="str">
        <f t="shared" si="176"/>
        <v>万相台</v>
      </c>
      <c r="S3306" t="s">
        <v>784</v>
      </c>
      <c r="T3306" t="s">
        <v>805</v>
      </c>
    </row>
    <row r="3307" spans="1:20" x14ac:dyDescent="0.3">
      <c r="A3307" t="s">
        <v>627</v>
      </c>
      <c r="B3307" s="16">
        <v>45966</v>
      </c>
      <c r="C3307" t="s">
        <v>2</v>
      </c>
      <c r="D3307" t="s">
        <v>57</v>
      </c>
      <c r="E3307" t="s">
        <v>64</v>
      </c>
      <c r="F3307">
        <v>29443</v>
      </c>
      <c r="G3307">
        <v>13938</v>
      </c>
      <c r="H3307">
        <v>110</v>
      </c>
      <c r="I3307">
        <v>143</v>
      </c>
      <c r="J3307">
        <v>58080</v>
      </c>
      <c r="K3307">
        <v>15</v>
      </c>
      <c r="L3307">
        <v>32250</v>
      </c>
      <c r="M3307">
        <v>9</v>
      </c>
      <c r="N3307">
        <v>530</v>
      </c>
      <c r="O3307">
        <v>29443</v>
      </c>
      <c r="P3307">
        <f t="shared" si="174"/>
        <v>2025</v>
      </c>
      <c r="Q3307">
        <f t="shared" si="175"/>
        <v>11</v>
      </c>
      <c r="R3307" t="str">
        <f t="shared" si="176"/>
        <v>引力魔方</v>
      </c>
      <c r="S3307" t="s">
        <v>784</v>
      </c>
      <c r="T3307" t="s">
        <v>805</v>
      </c>
    </row>
    <row r="3308" spans="1:20" x14ac:dyDescent="0.3">
      <c r="A3308" t="s">
        <v>627</v>
      </c>
      <c r="B3308" s="16">
        <v>45966</v>
      </c>
      <c r="C3308" t="s">
        <v>2</v>
      </c>
      <c r="D3308" t="s">
        <v>57</v>
      </c>
      <c r="E3308" t="s">
        <v>65</v>
      </c>
      <c r="F3308">
        <v>6419</v>
      </c>
      <c r="G3308">
        <v>5451</v>
      </c>
      <c r="H3308">
        <v>47</v>
      </c>
      <c r="I3308">
        <v>28</v>
      </c>
      <c r="J3308">
        <v>71820</v>
      </c>
      <c r="K3308">
        <v>9</v>
      </c>
      <c r="L3308">
        <v>18380</v>
      </c>
      <c r="M3308">
        <v>5</v>
      </c>
      <c r="N3308">
        <v>325</v>
      </c>
      <c r="O3308">
        <v>6353</v>
      </c>
      <c r="P3308">
        <f t="shared" si="174"/>
        <v>2025</v>
      </c>
      <c r="Q3308">
        <f t="shared" si="175"/>
        <v>11</v>
      </c>
      <c r="R3308" t="str">
        <f t="shared" si="176"/>
        <v>直通车</v>
      </c>
      <c r="S3308" t="s">
        <v>784</v>
      </c>
      <c r="T3308" t="s">
        <v>805</v>
      </c>
    </row>
    <row r="3309" spans="1:20" x14ac:dyDescent="0.3">
      <c r="A3309" t="s">
        <v>627</v>
      </c>
      <c r="B3309" s="16">
        <v>45966</v>
      </c>
      <c r="C3309" t="s">
        <v>2</v>
      </c>
      <c r="D3309" t="s">
        <v>4</v>
      </c>
      <c r="E3309" t="s">
        <v>41</v>
      </c>
      <c r="F3309">
        <v>4</v>
      </c>
      <c r="G3309">
        <v>1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0</v>
      </c>
      <c r="N3309">
        <v>1</v>
      </c>
      <c r="O3309">
        <v>3</v>
      </c>
      <c r="P3309">
        <f t="shared" si="174"/>
        <v>2025</v>
      </c>
      <c r="Q3309">
        <f t="shared" si="175"/>
        <v>11</v>
      </c>
      <c r="R3309" t="str">
        <f t="shared" si="176"/>
        <v>流量宝</v>
      </c>
      <c r="S3309" t="s">
        <v>784</v>
      </c>
      <c r="T3309" t="s">
        <v>805</v>
      </c>
    </row>
    <row r="3310" spans="1:20" x14ac:dyDescent="0.3">
      <c r="A3310" t="s">
        <v>627</v>
      </c>
      <c r="B3310" s="16">
        <v>45966</v>
      </c>
      <c r="C3310" t="s">
        <v>2</v>
      </c>
      <c r="D3310" t="s">
        <v>4</v>
      </c>
      <c r="E3310" t="s">
        <v>43</v>
      </c>
      <c r="F3310">
        <v>390</v>
      </c>
      <c r="G3310">
        <v>96</v>
      </c>
      <c r="H3310">
        <v>3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4</v>
      </c>
      <c r="O3310">
        <v>389</v>
      </c>
      <c r="P3310">
        <f t="shared" si="174"/>
        <v>2025</v>
      </c>
      <c r="Q3310">
        <f t="shared" si="175"/>
        <v>11</v>
      </c>
      <c r="R3310" t="str">
        <f t="shared" si="176"/>
        <v>淘宝客</v>
      </c>
      <c r="S3310" t="s">
        <v>784</v>
      </c>
      <c r="T3310" t="s">
        <v>805</v>
      </c>
    </row>
    <row r="3311" spans="1:20" x14ac:dyDescent="0.3">
      <c r="A3311" t="s">
        <v>627</v>
      </c>
      <c r="B3311" s="16">
        <v>45965</v>
      </c>
      <c r="C3311" t="s">
        <v>3</v>
      </c>
      <c r="D3311" t="s">
        <v>114</v>
      </c>
      <c r="E3311" t="s">
        <v>159</v>
      </c>
      <c r="F3311">
        <v>145</v>
      </c>
      <c r="G3311">
        <v>60</v>
      </c>
      <c r="H3311">
        <v>5</v>
      </c>
      <c r="I3311">
        <v>1</v>
      </c>
      <c r="J3311">
        <v>0</v>
      </c>
      <c r="K3311">
        <v>0</v>
      </c>
      <c r="L3311">
        <v>0</v>
      </c>
      <c r="M3311">
        <v>0</v>
      </c>
      <c r="N3311">
        <v>8</v>
      </c>
      <c r="O3311">
        <v>143</v>
      </c>
      <c r="P3311">
        <f t="shared" si="174"/>
        <v>2025</v>
      </c>
      <c r="Q3311">
        <f t="shared" si="175"/>
        <v>11</v>
      </c>
      <c r="R3311" t="str">
        <f t="shared" si="176"/>
        <v>主会场</v>
      </c>
      <c r="S3311" t="s">
        <v>784</v>
      </c>
      <c r="T3311" t="s">
        <v>805</v>
      </c>
    </row>
    <row r="3312" spans="1:20" x14ac:dyDescent="0.3">
      <c r="A3312" t="s">
        <v>627</v>
      </c>
      <c r="B3312" s="16">
        <v>45965</v>
      </c>
      <c r="C3312" t="s">
        <v>3</v>
      </c>
      <c r="D3312" t="s">
        <v>114</v>
      </c>
      <c r="E3312" t="s">
        <v>160</v>
      </c>
      <c r="F3312">
        <v>1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1</v>
      </c>
      <c r="P3312">
        <f t="shared" si="174"/>
        <v>2025</v>
      </c>
      <c r="Q3312">
        <f t="shared" si="175"/>
        <v>11</v>
      </c>
      <c r="R3312" t="str">
        <f t="shared" si="176"/>
        <v>榜单会场</v>
      </c>
      <c r="S3312" t="s">
        <v>784</v>
      </c>
      <c r="T3312" t="s">
        <v>805</v>
      </c>
    </row>
    <row r="3313" spans="1:20" x14ac:dyDescent="0.3">
      <c r="A3313" t="s">
        <v>627</v>
      </c>
      <c r="B3313" s="16">
        <v>45965</v>
      </c>
      <c r="C3313" t="s">
        <v>3</v>
      </c>
      <c r="D3313" t="s">
        <v>117</v>
      </c>
      <c r="E3313" t="s">
        <v>161</v>
      </c>
      <c r="F3313">
        <v>1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</v>
      </c>
      <c r="P3313">
        <f t="shared" si="174"/>
        <v>2025</v>
      </c>
      <c r="Q3313">
        <f t="shared" si="175"/>
        <v>11</v>
      </c>
      <c r="R3313" t="str">
        <f t="shared" si="176"/>
        <v>其他入口榜单</v>
      </c>
      <c r="S3313" t="s">
        <v>784</v>
      </c>
      <c r="T3313" t="s">
        <v>805</v>
      </c>
    </row>
    <row r="3314" spans="1:20" x14ac:dyDescent="0.3">
      <c r="A3314" t="s">
        <v>627</v>
      </c>
      <c r="B3314" s="16">
        <v>45965</v>
      </c>
      <c r="C3314" t="s">
        <v>3</v>
      </c>
      <c r="D3314" t="s">
        <v>123</v>
      </c>
      <c r="E3314" t="s">
        <v>169</v>
      </c>
      <c r="F3314">
        <v>1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</v>
      </c>
      <c r="P3314">
        <f t="shared" si="174"/>
        <v>2025</v>
      </c>
      <c r="Q3314">
        <f t="shared" si="175"/>
        <v>11</v>
      </c>
      <c r="R3314" t="str">
        <f t="shared" si="176"/>
        <v>商品详情页头图推荐</v>
      </c>
      <c r="S3314" t="s">
        <v>784</v>
      </c>
      <c r="T3314" t="s">
        <v>805</v>
      </c>
    </row>
    <row r="3315" spans="1:20" x14ac:dyDescent="0.3">
      <c r="A3315" t="s">
        <v>627</v>
      </c>
      <c r="B3315" s="16">
        <v>45965</v>
      </c>
      <c r="C3315" t="s">
        <v>3</v>
      </c>
      <c r="D3315" t="s">
        <v>123</v>
      </c>
      <c r="E3315" t="s">
        <v>170</v>
      </c>
      <c r="F3315">
        <v>55</v>
      </c>
      <c r="G3315">
        <v>21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43</v>
      </c>
      <c r="O3315">
        <v>30</v>
      </c>
      <c r="P3315">
        <f t="shared" si="174"/>
        <v>2025</v>
      </c>
      <c r="Q3315">
        <f t="shared" si="175"/>
        <v>11</v>
      </c>
      <c r="R3315" t="str">
        <f t="shared" si="176"/>
        <v>店铺超链</v>
      </c>
      <c r="S3315" t="s">
        <v>784</v>
      </c>
      <c r="T3315" t="s">
        <v>805</v>
      </c>
    </row>
    <row r="3316" spans="1:20" x14ac:dyDescent="0.3">
      <c r="A3316" t="s">
        <v>627</v>
      </c>
      <c r="B3316" s="16">
        <v>45965</v>
      </c>
      <c r="C3316" t="s">
        <v>3</v>
      </c>
      <c r="D3316" t="s">
        <v>127</v>
      </c>
      <c r="E3316" t="s">
        <v>171</v>
      </c>
      <c r="F3316">
        <v>826</v>
      </c>
      <c r="G3316">
        <v>369</v>
      </c>
      <c r="H3316">
        <v>27</v>
      </c>
      <c r="I3316">
        <v>11</v>
      </c>
      <c r="J3316">
        <v>15695</v>
      </c>
      <c r="K3316">
        <v>3</v>
      </c>
      <c r="L3316">
        <v>10445</v>
      </c>
      <c r="M3316">
        <v>2</v>
      </c>
      <c r="N3316">
        <v>94</v>
      </c>
      <c r="O3316">
        <v>797</v>
      </c>
      <c r="P3316">
        <f t="shared" si="174"/>
        <v>2025</v>
      </c>
      <c r="Q3316">
        <f t="shared" si="175"/>
        <v>11</v>
      </c>
      <c r="R3316" t="str">
        <f t="shared" si="176"/>
        <v>其他猜你喜欢</v>
      </c>
      <c r="S3316" t="s">
        <v>784</v>
      </c>
      <c r="T3316" t="s">
        <v>805</v>
      </c>
    </row>
    <row r="3317" spans="1:20" x14ac:dyDescent="0.3">
      <c r="A3317" t="s">
        <v>627</v>
      </c>
      <c r="B3317" s="16">
        <v>45965</v>
      </c>
      <c r="C3317" t="s">
        <v>3</v>
      </c>
      <c r="D3317" t="s">
        <v>127</v>
      </c>
      <c r="E3317" t="s">
        <v>172</v>
      </c>
      <c r="F3317">
        <v>157</v>
      </c>
      <c r="G3317">
        <v>73</v>
      </c>
      <c r="H3317">
        <v>4</v>
      </c>
      <c r="I3317">
        <v>1</v>
      </c>
      <c r="J3317">
        <v>0</v>
      </c>
      <c r="K3317">
        <v>0</v>
      </c>
      <c r="L3317">
        <v>0</v>
      </c>
      <c r="M3317">
        <v>0</v>
      </c>
      <c r="N3317">
        <v>7</v>
      </c>
      <c r="O3317">
        <v>148</v>
      </c>
      <c r="P3317">
        <f t="shared" si="174"/>
        <v>2025</v>
      </c>
      <c r="Q3317">
        <f t="shared" si="175"/>
        <v>11</v>
      </c>
      <c r="R3317" t="str">
        <f t="shared" si="176"/>
        <v>购中推荐</v>
      </c>
      <c r="S3317" t="s">
        <v>784</v>
      </c>
      <c r="T3317" t="s">
        <v>805</v>
      </c>
    </row>
    <row r="3318" spans="1:20" x14ac:dyDescent="0.3">
      <c r="A3318" t="s">
        <v>627</v>
      </c>
      <c r="B3318" s="16">
        <v>45965</v>
      </c>
      <c r="C3318" t="s">
        <v>3</v>
      </c>
      <c r="D3318" t="s">
        <v>127</v>
      </c>
      <c r="E3318" t="s">
        <v>173</v>
      </c>
      <c r="F3318">
        <v>967</v>
      </c>
      <c r="G3318">
        <v>470</v>
      </c>
      <c r="H3318">
        <v>24</v>
      </c>
      <c r="I3318">
        <v>8</v>
      </c>
      <c r="J3318">
        <v>0</v>
      </c>
      <c r="K3318">
        <v>0</v>
      </c>
      <c r="L3318">
        <v>0</v>
      </c>
      <c r="M3318">
        <v>0</v>
      </c>
      <c r="N3318">
        <v>54</v>
      </c>
      <c r="O3318">
        <v>863</v>
      </c>
      <c r="P3318">
        <f t="shared" si="174"/>
        <v>2025</v>
      </c>
      <c r="Q3318">
        <f t="shared" si="175"/>
        <v>11</v>
      </c>
      <c r="R3318" t="str">
        <f t="shared" si="176"/>
        <v>购后推荐</v>
      </c>
      <c r="S3318" t="s">
        <v>784</v>
      </c>
      <c r="T3318" t="s">
        <v>805</v>
      </c>
    </row>
    <row r="3319" spans="1:20" x14ac:dyDescent="0.3">
      <c r="A3319" t="s">
        <v>627</v>
      </c>
      <c r="B3319" s="16">
        <v>45965</v>
      </c>
      <c r="C3319" t="s">
        <v>3</v>
      </c>
      <c r="D3319" t="s">
        <v>127</v>
      </c>
      <c r="E3319" t="s">
        <v>174</v>
      </c>
      <c r="F3319">
        <v>21140</v>
      </c>
      <c r="G3319">
        <v>12853</v>
      </c>
      <c r="H3319">
        <v>81</v>
      </c>
      <c r="I3319">
        <v>25</v>
      </c>
      <c r="J3319">
        <v>36190</v>
      </c>
      <c r="K3319">
        <v>8</v>
      </c>
      <c r="L3319">
        <v>32210</v>
      </c>
      <c r="M3319">
        <v>7</v>
      </c>
      <c r="N3319">
        <v>292</v>
      </c>
      <c r="O3319">
        <v>21140</v>
      </c>
      <c r="P3319">
        <f t="shared" si="174"/>
        <v>2025</v>
      </c>
      <c r="Q3319">
        <f t="shared" si="175"/>
        <v>11</v>
      </c>
      <c r="R3319" t="str">
        <f t="shared" si="176"/>
        <v>首页推荐-微详情</v>
      </c>
      <c r="S3319" t="s">
        <v>784</v>
      </c>
      <c r="T3319" t="s">
        <v>805</v>
      </c>
    </row>
    <row r="3320" spans="1:20" x14ac:dyDescent="0.3">
      <c r="A3320" t="s">
        <v>627</v>
      </c>
      <c r="B3320" s="16">
        <v>45965</v>
      </c>
      <c r="C3320" t="s">
        <v>3</v>
      </c>
      <c r="D3320" t="s">
        <v>127</v>
      </c>
      <c r="E3320" t="s">
        <v>176</v>
      </c>
      <c r="F3320">
        <v>289</v>
      </c>
      <c r="G3320">
        <v>185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9</v>
      </c>
      <c r="O3320">
        <v>34</v>
      </c>
      <c r="P3320">
        <f t="shared" si="174"/>
        <v>2025</v>
      </c>
      <c r="Q3320">
        <f t="shared" si="175"/>
        <v>11</v>
      </c>
      <c r="R3320" t="str">
        <f t="shared" si="176"/>
        <v>首页推荐-短视频</v>
      </c>
      <c r="S3320" t="s">
        <v>784</v>
      </c>
      <c r="T3320" t="s">
        <v>805</v>
      </c>
    </row>
    <row r="3321" spans="1:20" x14ac:dyDescent="0.3">
      <c r="A3321" t="s">
        <v>627</v>
      </c>
      <c r="B3321" s="16">
        <v>45965</v>
      </c>
      <c r="C3321" t="s">
        <v>3</v>
      </c>
      <c r="D3321" t="s">
        <v>128</v>
      </c>
      <c r="E3321" t="s">
        <v>177</v>
      </c>
      <c r="F3321">
        <v>2476</v>
      </c>
      <c r="G3321">
        <v>2030</v>
      </c>
      <c r="H3321">
        <v>66</v>
      </c>
      <c r="I3321">
        <v>14</v>
      </c>
      <c r="J3321">
        <v>40575</v>
      </c>
      <c r="K3321">
        <v>10</v>
      </c>
      <c r="L3321">
        <v>32595</v>
      </c>
      <c r="M3321">
        <v>10</v>
      </c>
      <c r="N3321">
        <v>361</v>
      </c>
      <c r="O3321">
        <v>2391</v>
      </c>
      <c r="P3321">
        <f t="shared" si="174"/>
        <v>2025</v>
      </c>
      <c r="Q3321">
        <f t="shared" si="175"/>
        <v>11</v>
      </c>
      <c r="R3321" t="str">
        <f t="shared" si="176"/>
        <v>手淘搜索-商品及其他</v>
      </c>
      <c r="S3321" t="s">
        <v>784</v>
      </c>
      <c r="T3321" t="s">
        <v>805</v>
      </c>
    </row>
    <row r="3322" spans="1:20" x14ac:dyDescent="0.3">
      <c r="A3322" t="s">
        <v>627</v>
      </c>
      <c r="B3322" s="16">
        <v>45965</v>
      </c>
      <c r="C3322" t="s">
        <v>3</v>
      </c>
      <c r="D3322" t="s">
        <v>128</v>
      </c>
      <c r="E3322" t="s">
        <v>179</v>
      </c>
      <c r="F3322">
        <v>33</v>
      </c>
      <c r="G3322">
        <v>15</v>
      </c>
      <c r="H3322">
        <v>2</v>
      </c>
      <c r="I3322">
        <v>0</v>
      </c>
      <c r="J3322">
        <v>6840</v>
      </c>
      <c r="K3322">
        <v>2</v>
      </c>
      <c r="L3322">
        <v>6840</v>
      </c>
      <c r="M3322">
        <v>2</v>
      </c>
      <c r="N3322">
        <v>7</v>
      </c>
      <c r="O3322">
        <v>31</v>
      </c>
      <c r="P3322">
        <f t="shared" si="174"/>
        <v>2025</v>
      </c>
      <c r="Q3322">
        <f t="shared" si="175"/>
        <v>11</v>
      </c>
      <c r="R3322" t="str">
        <f t="shared" si="176"/>
        <v>手淘搜索-短视频</v>
      </c>
      <c r="S3322" t="s">
        <v>784</v>
      </c>
      <c r="T3322" t="s">
        <v>805</v>
      </c>
    </row>
    <row r="3323" spans="1:20" x14ac:dyDescent="0.3">
      <c r="A3323" t="s">
        <v>627</v>
      </c>
      <c r="B3323" s="16">
        <v>45965</v>
      </c>
      <c r="C3323" t="s">
        <v>3</v>
      </c>
      <c r="D3323" t="s">
        <v>143</v>
      </c>
      <c r="E3323" t="s">
        <v>180</v>
      </c>
      <c r="F3323">
        <v>1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1</v>
      </c>
      <c r="P3323">
        <f t="shared" si="174"/>
        <v>2025</v>
      </c>
      <c r="Q3323">
        <f t="shared" si="175"/>
        <v>11</v>
      </c>
      <c r="R3323" t="str">
        <f t="shared" si="176"/>
        <v>淘特其他渠道</v>
      </c>
      <c r="S3323" t="s">
        <v>784</v>
      </c>
      <c r="T3323" t="s">
        <v>805</v>
      </c>
    </row>
    <row r="3324" spans="1:20" x14ac:dyDescent="0.3">
      <c r="A3324" t="s">
        <v>627</v>
      </c>
      <c r="B3324" s="16">
        <v>45965</v>
      </c>
      <c r="C3324" t="s">
        <v>3</v>
      </c>
      <c r="D3324" t="s">
        <v>143</v>
      </c>
      <c r="E3324" t="s">
        <v>224</v>
      </c>
      <c r="F3324">
        <v>1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1</v>
      </c>
      <c r="P3324">
        <f t="shared" si="174"/>
        <v>2025</v>
      </c>
      <c r="Q3324">
        <f t="shared" si="175"/>
        <v>11</v>
      </c>
      <c r="R3324" t="str">
        <f t="shared" si="176"/>
        <v>淘特自主访问</v>
      </c>
      <c r="S3324" t="s">
        <v>784</v>
      </c>
      <c r="T3324" t="s">
        <v>805</v>
      </c>
    </row>
    <row r="3325" spans="1:20" x14ac:dyDescent="0.3">
      <c r="A3325" t="s">
        <v>627</v>
      </c>
      <c r="B3325" s="16">
        <v>45965</v>
      </c>
      <c r="C3325" t="s">
        <v>2</v>
      </c>
      <c r="D3325" t="s">
        <v>55</v>
      </c>
      <c r="E3325" t="s">
        <v>54</v>
      </c>
      <c r="F3325">
        <v>4</v>
      </c>
      <c r="G3325">
        <v>2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3</v>
      </c>
      <c r="P3325">
        <f t="shared" si="174"/>
        <v>2025</v>
      </c>
      <c r="Q3325">
        <f t="shared" si="175"/>
        <v>11</v>
      </c>
      <c r="R3325" t="str">
        <f t="shared" si="176"/>
        <v>超级直播</v>
      </c>
      <c r="S3325" t="s">
        <v>784</v>
      </c>
      <c r="T3325" t="s">
        <v>805</v>
      </c>
    </row>
    <row r="3326" spans="1:20" x14ac:dyDescent="0.3">
      <c r="A3326" t="s">
        <v>627</v>
      </c>
      <c r="B3326" s="16">
        <v>45965</v>
      </c>
      <c r="C3326" t="s">
        <v>2</v>
      </c>
      <c r="D3326" t="s">
        <v>55</v>
      </c>
      <c r="E3326" t="s">
        <v>56</v>
      </c>
      <c r="F3326">
        <v>61</v>
      </c>
      <c r="G3326">
        <v>39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61</v>
      </c>
      <c r="P3326">
        <f t="shared" si="174"/>
        <v>2025</v>
      </c>
      <c r="Q3326">
        <f t="shared" si="175"/>
        <v>11</v>
      </c>
      <c r="R3326" t="str">
        <f t="shared" si="176"/>
        <v>超级短视频</v>
      </c>
      <c r="S3326" t="s">
        <v>784</v>
      </c>
      <c r="T3326" t="s">
        <v>805</v>
      </c>
    </row>
    <row r="3327" spans="1:20" x14ac:dyDescent="0.3">
      <c r="A3327" t="s">
        <v>627</v>
      </c>
      <c r="B3327" s="16">
        <v>45965</v>
      </c>
      <c r="C3327" t="s">
        <v>2</v>
      </c>
      <c r="D3327" t="s">
        <v>52</v>
      </c>
      <c r="E3327" t="s">
        <v>58</v>
      </c>
      <c r="F3327">
        <v>2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2</v>
      </c>
      <c r="P3327">
        <f t="shared" si="174"/>
        <v>2025</v>
      </c>
      <c r="Q3327">
        <f t="shared" si="175"/>
        <v>11</v>
      </c>
      <c r="R3327" t="str">
        <f t="shared" si="176"/>
        <v>超级全域通</v>
      </c>
      <c r="S3327" t="s">
        <v>784</v>
      </c>
      <c r="T3327" t="s">
        <v>805</v>
      </c>
    </row>
    <row r="3328" spans="1:20" x14ac:dyDescent="0.3">
      <c r="A3328" t="s">
        <v>627</v>
      </c>
      <c r="B3328" s="16">
        <v>45965</v>
      </c>
      <c r="C3328" t="s">
        <v>2</v>
      </c>
      <c r="D3328" t="s">
        <v>57</v>
      </c>
      <c r="E3328" t="s">
        <v>63</v>
      </c>
      <c r="F3328">
        <v>764</v>
      </c>
      <c r="G3328">
        <v>622</v>
      </c>
      <c r="H3328">
        <v>25</v>
      </c>
      <c r="I3328">
        <v>5</v>
      </c>
      <c r="J3328">
        <v>34340</v>
      </c>
      <c r="K3328">
        <v>8</v>
      </c>
      <c r="L3328">
        <v>21070</v>
      </c>
      <c r="M3328">
        <v>6</v>
      </c>
      <c r="N3328">
        <v>758</v>
      </c>
      <c r="O3328">
        <v>414</v>
      </c>
      <c r="P3328">
        <f t="shared" si="174"/>
        <v>2025</v>
      </c>
      <c r="Q3328">
        <f t="shared" si="175"/>
        <v>11</v>
      </c>
      <c r="R3328" t="str">
        <f t="shared" si="176"/>
        <v>万相台</v>
      </c>
      <c r="S3328" t="s">
        <v>784</v>
      </c>
      <c r="T3328" t="s">
        <v>805</v>
      </c>
    </row>
    <row r="3329" spans="1:20" x14ac:dyDescent="0.3">
      <c r="A3329" t="s">
        <v>627</v>
      </c>
      <c r="B3329" s="16">
        <v>45965</v>
      </c>
      <c r="C3329" t="s">
        <v>2</v>
      </c>
      <c r="D3329" t="s">
        <v>57</v>
      </c>
      <c r="E3329" t="s">
        <v>64</v>
      </c>
      <c r="F3329">
        <v>27214</v>
      </c>
      <c r="G3329">
        <v>12793</v>
      </c>
      <c r="H3329">
        <v>102</v>
      </c>
      <c r="I3329">
        <v>145</v>
      </c>
      <c r="J3329">
        <v>49250</v>
      </c>
      <c r="K3329">
        <v>8</v>
      </c>
      <c r="L3329">
        <v>31110</v>
      </c>
      <c r="M3329">
        <v>6</v>
      </c>
      <c r="N3329">
        <v>456</v>
      </c>
      <c r="O3329">
        <v>27214</v>
      </c>
      <c r="P3329">
        <f t="shared" si="174"/>
        <v>2025</v>
      </c>
      <c r="Q3329">
        <f t="shared" si="175"/>
        <v>11</v>
      </c>
      <c r="R3329" t="str">
        <f t="shared" si="176"/>
        <v>引力魔方</v>
      </c>
      <c r="S3329" t="s">
        <v>784</v>
      </c>
      <c r="T3329" t="s">
        <v>805</v>
      </c>
    </row>
    <row r="3330" spans="1:20" x14ac:dyDescent="0.3">
      <c r="A3330" t="s">
        <v>627</v>
      </c>
      <c r="B3330" s="16">
        <v>45965</v>
      </c>
      <c r="C3330" t="s">
        <v>2</v>
      </c>
      <c r="D3330" t="s">
        <v>57</v>
      </c>
      <c r="E3330" t="s">
        <v>65</v>
      </c>
      <c r="F3330">
        <v>6044</v>
      </c>
      <c r="G3330">
        <v>5182</v>
      </c>
      <c r="H3330">
        <v>39</v>
      </c>
      <c r="I3330">
        <v>19</v>
      </c>
      <c r="J3330">
        <v>27530</v>
      </c>
      <c r="K3330">
        <v>7</v>
      </c>
      <c r="L3330">
        <v>8590</v>
      </c>
      <c r="M3330">
        <v>3</v>
      </c>
      <c r="N3330">
        <v>349</v>
      </c>
      <c r="O3330">
        <v>5964</v>
      </c>
      <c r="P3330">
        <f t="shared" si="174"/>
        <v>2025</v>
      </c>
      <c r="Q3330">
        <f t="shared" si="175"/>
        <v>11</v>
      </c>
      <c r="R3330" t="str">
        <f t="shared" si="176"/>
        <v>直通车</v>
      </c>
      <c r="S3330" t="s">
        <v>784</v>
      </c>
      <c r="T3330" t="s">
        <v>805</v>
      </c>
    </row>
    <row r="3331" spans="1:20" x14ac:dyDescent="0.3">
      <c r="A3331" t="s">
        <v>627</v>
      </c>
      <c r="B3331" s="16">
        <v>45965</v>
      </c>
      <c r="C3331" t="s">
        <v>2</v>
      </c>
      <c r="D3331" t="s">
        <v>4</v>
      </c>
      <c r="E3331" t="s">
        <v>41</v>
      </c>
      <c r="F3331">
        <v>5</v>
      </c>
      <c r="G3331">
        <v>3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5</v>
      </c>
      <c r="P3331">
        <f t="shared" si="174"/>
        <v>2025</v>
      </c>
      <c r="Q3331">
        <f t="shared" si="175"/>
        <v>11</v>
      </c>
      <c r="R3331" t="str">
        <f t="shared" si="176"/>
        <v>流量宝</v>
      </c>
      <c r="S3331" t="s">
        <v>784</v>
      </c>
      <c r="T3331" t="s">
        <v>805</v>
      </c>
    </row>
    <row r="3332" spans="1:20" x14ac:dyDescent="0.3">
      <c r="A3332" t="s">
        <v>627</v>
      </c>
      <c r="B3332" s="16">
        <v>45965</v>
      </c>
      <c r="C3332" t="s">
        <v>2</v>
      </c>
      <c r="D3332" t="s">
        <v>4</v>
      </c>
      <c r="E3332" t="s">
        <v>43</v>
      </c>
      <c r="F3332">
        <v>372</v>
      </c>
      <c r="G3332">
        <v>89</v>
      </c>
      <c r="H3332">
        <v>0</v>
      </c>
      <c r="I3332">
        <v>3</v>
      </c>
      <c r="J3332">
        <v>9850</v>
      </c>
      <c r="K3332">
        <v>1</v>
      </c>
      <c r="L3332">
        <v>9850</v>
      </c>
      <c r="M3332">
        <v>1</v>
      </c>
      <c r="N3332">
        <v>3</v>
      </c>
      <c r="O3332">
        <v>371</v>
      </c>
      <c r="P3332">
        <f t="shared" si="174"/>
        <v>2025</v>
      </c>
      <c r="Q3332">
        <f t="shared" si="175"/>
        <v>11</v>
      </c>
      <c r="R3332" t="str">
        <f t="shared" si="176"/>
        <v>淘宝客</v>
      </c>
      <c r="S3332" t="s">
        <v>784</v>
      </c>
      <c r="T3332" t="s">
        <v>805</v>
      </c>
    </row>
    <row r="3333" spans="1:20" x14ac:dyDescent="0.3">
      <c r="A3333" t="s">
        <v>627</v>
      </c>
      <c r="B3333" s="16">
        <v>45964</v>
      </c>
      <c r="C3333" t="s">
        <v>3</v>
      </c>
      <c r="D3333" t="s">
        <v>114</v>
      </c>
      <c r="E3333" t="s">
        <v>159</v>
      </c>
      <c r="F3333">
        <v>200</v>
      </c>
      <c r="G3333">
        <v>101</v>
      </c>
      <c r="H3333">
        <v>5</v>
      </c>
      <c r="I3333">
        <v>5</v>
      </c>
      <c r="J3333">
        <v>0</v>
      </c>
      <c r="K3333">
        <v>0</v>
      </c>
      <c r="L3333">
        <v>0</v>
      </c>
      <c r="M3333">
        <v>0</v>
      </c>
      <c r="N3333">
        <v>19</v>
      </c>
      <c r="O3333">
        <v>187</v>
      </c>
      <c r="P3333">
        <f t="shared" si="174"/>
        <v>2025</v>
      </c>
      <c r="Q3333">
        <f t="shared" si="175"/>
        <v>11</v>
      </c>
      <c r="R3333" t="str">
        <f t="shared" si="176"/>
        <v>主会场</v>
      </c>
      <c r="S3333" t="s">
        <v>784</v>
      </c>
      <c r="T3333" t="s">
        <v>805</v>
      </c>
    </row>
    <row r="3334" spans="1:20" x14ac:dyDescent="0.3">
      <c r="A3334" t="s">
        <v>627</v>
      </c>
      <c r="B3334" s="16">
        <v>45964</v>
      </c>
      <c r="C3334" t="s">
        <v>3</v>
      </c>
      <c r="D3334" t="s">
        <v>117</v>
      </c>
      <c r="E3334" t="s">
        <v>161</v>
      </c>
      <c r="F3334">
        <v>3</v>
      </c>
      <c r="G3334">
        <v>2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3</v>
      </c>
      <c r="P3334">
        <f t="shared" si="174"/>
        <v>2025</v>
      </c>
      <c r="Q3334">
        <f t="shared" si="175"/>
        <v>11</v>
      </c>
      <c r="R3334" t="str">
        <f t="shared" si="176"/>
        <v>其他入口榜单</v>
      </c>
      <c r="S3334" t="s">
        <v>784</v>
      </c>
      <c r="T3334" t="s">
        <v>805</v>
      </c>
    </row>
    <row r="3335" spans="1:20" x14ac:dyDescent="0.3">
      <c r="A3335" t="s">
        <v>627</v>
      </c>
      <c r="B3335" s="16">
        <v>45964</v>
      </c>
      <c r="C3335" t="s">
        <v>3</v>
      </c>
      <c r="D3335" t="s">
        <v>123</v>
      </c>
      <c r="E3335" t="s">
        <v>170</v>
      </c>
      <c r="F3335">
        <v>49</v>
      </c>
      <c r="G3335">
        <v>20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40</v>
      </c>
      <c r="O3335">
        <v>25</v>
      </c>
      <c r="P3335">
        <f t="shared" si="174"/>
        <v>2025</v>
      </c>
      <c r="Q3335">
        <f t="shared" si="175"/>
        <v>11</v>
      </c>
      <c r="R3335" t="str">
        <f t="shared" si="176"/>
        <v>店铺超链</v>
      </c>
      <c r="S3335" t="s">
        <v>784</v>
      </c>
      <c r="T3335" t="s">
        <v>805</v>
      </c>
    </row>
    <row r="3336" spans="1:20" x14ac:dyDescent="0.3">
      <c r="A3336" t="s">
        <v>627</v>
      </c>
      <c r="B3336" s="16">
        <v>45964</v>
      </c>
      <c r="C3336" t="s">
        <v>3</v>
      </c>
      <c r="D3336" t="s">
        <v>127</v>
      </c>
      <c r="E3336" t="s">
        <v>171</v>
      </c>
      <c r="F3336">
        <v>855</v>
      </c>
      <c r="G3336">
        <v>398</v>
      </c>
      <c r="H3336">
        <v>34</v>
      </c>
      <c r="I3336">
        <v>7</v>
      </c>
      <c r="J3336">
        <v>29785</v>
      </c>
      <c r="K3336">
        <v>4</v>
      </c>
      <c r="L3336">
        <v>19985</v>
      </c>
      <c r="M3336">
        <v>4</v>
      </c>
      <c r="N3336">
        <v>87</v>
      </c>
      <c r="O3336">
        <v>823</v>
      </c>
      <c r="P3336">
        <f t="shared" si="174"/>
        <v>2025</v>
      </c>
      <c r="Q3336">
        <f t="shared" si="175"/>
        <v>11</v>
      </c>
      <c r="R3336" t="str">
        <f t="shared" si="176"/>
        <v>其他猜你喜欢</v>
      </c>
      <c r="S3336" t="s">
        <v>784</v>
      </c>
      <c r="T3336" t="s">
        <v>805</v>
      </c>
    </row>
    <row r="3337" spans="1:20" x14ac:dyDescent="0.3">
      <c r="A3337" t="s">
        <v>627</v>
      </c>
      <c r="B3337" s="16">
        <v>45964</v>
      </c>
      <c r="C3337" t="s">
        <v>3</v>
      </c>
      <c r="D3337" t="s">
        <v>127</v>
      </c>
      <c r="E3337" t="s">
        <v>172</v>
      </c>
      <c r="F3337">
        <v>184</v>
      </c>
      <c r="G3337">
        <v>80</v>
      </c>
      <c r="H3337">
        <v>5</v>
      </c>
      <c r="I3337">
        <v>3</v>
      </c>
      <c r="J3337">
        <v>2990</v>
      </c>
      <c r="K3337">
        <v>1</v>
      </c>
      <c r="L3337">
        <v>2990</v>
      </c>
      <c r="M3337">
        <v>1</v>
      </c>
      <c r="N3337">
        <v>15</v>
      </c>
      <c r="O3337">
        <v>174</v>
      </c>
      <c r="P3337">
        <f t="shared" si="174"/>
        <v>2025</v>
      </c>
      <c r="Q3337">
        <f t="shared" si="175"/>
        <v>11</v>
      </c>
      <c r="R3337" t="str">
        <f t="shared" si="176"/>
        <v>购中推荐</v>
      </c>
      <c r="S3337" t="s">
        <v>784</v>
      </c>
      <c r="T3337" t="s">
        <v>805</v>
      </c>
    </row>
    <row r="3338" spans="1:20" x14ac:dyDescent="0.3">
      <c r="A3338" t="s">
        <v>627</v>
      </c>
      <c r="B3338" s="16">
        <v>45964</v>
      </c>
      <c r="C3338" t="s">
        <v>3</v>
      </c>
      <c r="D3338" t="s">
        <v>127</v>
      </c>
      <c r="E3338" t="s">
        <v>173</v>
      </c>
      <c r="F3338">
        <v>1105</v>
      </c>
      <c r="G3338">
        <v>557</v>
      </c>
      <c r="H3338">
        <v>36</v>
      </c>
      <c r="I3338">
        <v>10</v>
      </c>
      <c r="J3338">
        <v>21670</v>
      </c>
      <c r="K3338">
        <v>4</v>
      </c>
      <c r="L3338">
        <v>21670</v>
      </c>
      <c r="M3338">
        <v>4</v>
      </c>
      <c r="N3338">
        <v>58</v>
      </c>
      <c r="O3338">
        <v>998</v>
      </c>
      <c r="P3338">
        <f t="shared" si="174"/>
        <v>2025</v>
      </c>
      <c r="Q3338">
        <f t="shared" si="175"/>
        <v>11</v>
      </c>
      <c r="R3338" t="str">
        <f t="shared" si="176"/>
        <v>购后推荐</v>
      </c>
      <c r="S3338" t="s">
        <v>784</v>
      </c>
      <c r="T3338" t="s">
        <v>805</v>
      </c>
    </row>
    <row r="3339" spans="1:20" x14ac:dyDescent="0.3">
      <c r="A3339" t="s">
        <v>627</v>
      </c>
      <c r="B3339" s="16">
        <v>45964</v>
      </c>
      <c r="C3339" t="s">
        <v>3</v>
      </c>
      <c r="D3339" t="s">
        <v>127</v>
      </c>
      <c r="E3339" t="s">
        <v>174</v>
      </c>
      <c r="F3339">
        <v>10068</v>
      </c>
      <c r="G3339">
        <v>4683</v>
      </c>
      <c r="H3339">
        <v>89</v>
      </c>
      <c r="I3339">
        <v>30</v>
      </c>
      <c r="J3339">
        <v>21570</v>
      </c>
      <c r="K3339">
        <v>5</v>
      </c>
      <c r="L3339">
        <v>21570</v>
      </c>
      <c r="M3339">
        <v>5</v>
      </c>
      <c r="N3339">
        <v>275</v>
      </c>
      <c r="O3339">
        <v>10068</v>
      </c>
      <c r="P3339">
        <f t="shared" si="174"/>
        <v>2025</v>
      </c>
      <c r="Q3339">
        <f t="shared" si="175"/>
        <v>11</v>
      </c>
      <c r="R3339" t="str">
        <f t="shared" si="176"/>
        <v>首页推荐-微详情</v>
      </c>
      <c r="S3339" t="s">
        <v>784</v>
      </c>
      <c r="T3339" t="s">
        <v>805</v>
      </c>
    </row>
    <row r="3340" spans="1:20" x14ac:dyDescent="0.3">
      <c r="A3340" t="s">
        <v>627</v>
      </c>
      <c r="B3340" s="16">
        <v>45964</v>
      </c>
      <c r="C3340" t="s">
        <v>3</v>
      </c>
      <c r="D3340" t="s">
        <v>127</v>
      </c>
      <c r="E3340" t="s">
        <v>175</v>
      </c>
      <c r="F3340">
        <v>144</v>
      </c>
      <c r="G3340">
        <v>86</v>
      </c>
      <c r="H3340">
        <v>1</v>
      </c>
      <c r="I3340">
        <v>1</v>
      </c>
      <c r="J3340">
        <v>9800</v>
      </c>
      <c r="K3340">
        <v>1</v>
      </c>
      <c r="L3340">
        <v>9800</v>
      </c>
      <c r="M3340">
        <v>1</v>
      </c>
      <c r="N3340">
        <v>6</v>
      </c>
      <c r="O3340">
        <v>57</v>
      </c>
      <c r="P3340">
        <f t="shared" si="174"/>
        <v>2025</v>
      </c>
      <c r="Q3340">
        <f t="shared" si="175"/>
        <v>11</v>
      </c>
      <c r="R3340" t="str">
        <f t="shared" si="176"/>
        <v>首页推荐-直播</v>
      </c>
      <c r="S3340" t="s">
        <v>784</v>
      </c>
      <c r="T3340" t="s">
        <v>805</v>
      </c>
    </row>
    <row r="3341" spans="1:20" x14ac:dyDescent="0.3">
      <c r="A3341" t="s">
        <v>627</v>
      </c>
      <c r="B3341" s="16">
        <v>45964</v>
      </c>
      <c r="C3341" t="s">
        <v>3</v>
      </c>
      <c r="D3341" t="s">
        <v>127</v>
      </c>
      <c r="E3341" t="s">
        <v>176</v>
      </c>
      <c r="F3341">
        <v>210</v>
      </c>
      <c r="G3341">
        <v>117</v>
      </c>
      <c r="H3341">
        <v>1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3</v>
      </c>
      <c r="O3341">
        <v>20</v>
      </c>
      <c r="P3341">
        <f t="shared" si="174"/>
        <v>2025</v>
      </c>
      <c r="Q3341">
        <f t="shared" si="175"/>
        <v>11</v>
      </c>
      <c r="R3341" t="str">
        <f t="shared" si="176"/>
        <v>首页推荐-短视频</v>
      </c>
      <c r="S3341" t="s">
        <v>784</v>
      </c>
      <c r="T3341" t="s">
        <v>805</v>
      </c>
    </row>
    <row r="3342" spans="1:20" x14ac:dyDescent="0.3">
      <c r="A3342" t="s">
        <v>627</v>
      </c>
      <c r="B3342" s="16">
        <v>45964</v>
      </c>
      <c r="C3342" t="s">
        <v>3</v>
      </c>
      <c r="D3342" t="s">
        <v>128</v>
      </c>
      <c r="E3342" t="s">
        <v>177</v>
      </c>
      <c r="F3342">
        <v>2577</v>
      </c>
      <c r="G3342">
        <v>2138</v>
      </c>
      <c r="H3342">
        <v>73</v>
      </c>
      <c r="I3342">
        <v>17</v>
      </c>
      <c r="J3342">
        <v>63635</v>
      </c>
      <c r="K3342">
        <v>10</v>
      </c>
      <c r="L3342">
        <v>31180</v>
      </c>
      <c r="M3342">
        <v>8</v>
      </c>
      <c r="N3342">
        <v>340</v>
      </c>
      <c r="O3342">
        <v>2480</v>
      </c>
      <c r="P3342">
        <f t="shared" si="174"/>
        <v>2025</v>
      </c>
      <c r="Q3342">
        <f t="shared" si="175"/>
        <v>11</v>
      </c>
      <c r="R3342" t="str">
        <f t="shared" si="176"/>
        <v>手淘搜索-商品及其他</v>
      </c>
      <c r="S3342" t="s">
        <v>784</v>
      </c>
      <c r="T3342" t="s">
        <v>805</v>
      </c>
    </row>
    <row r="3343" spans="1:20" x14ac:dyDescent="0.3">
      <c r="A3343" t="s">
        <v>627</v>
      </c>
      <c r="B3343" s="16">
        <v>45964</v>
      </c>
      <c r="C3343" t="s">
        <v>3</v>
      </c>
      <c r="D3343" t="s">
        <v>128</v>
      </c>
      <c r="E3343" t="s">
        <v>178</v>
      </c>
      <c r="F3343">
        <v>16</v>
      </c>
      <c r="G3343">
        <v>10</v>
      </c>
      <c r="H3343">
        <v>1</v>
      </c>
      <c r="I3343">
        <v>0</v>
      </c>
      <c r="J3343">
        <v>9800</v>
      </c>
      <c r="K3343">
        <v>1</v>
      </c>
      <c r="L3343">
        <v>9800</v>
      </c>
      <c r="M3343">
        <v>1</v>
      </c>
      <c r="N3343">
        <v>4</v>
      </c>
      <c r="O3343">
        <v>14</v>
      </c>
      <c r="P3343">
        <f t="shared" si="174"/>
        <v>2025</v>
      </c>
      <c r="Q3343">
        <f t="shared" si="175"/>
        <v>11</v>
      </c>
      <c r="R3343" t="str">
        <f t="shared" si="176"/>
        <v>手淘搜索-直播</v>
      </c>
      <c r="S3343" t="s">
        <v>784</v>
      </c>
      <c r="T3343" t="s">
        <v>805</v>
      </c>
    </row>
    <row r="3344" spans="1:20" x14ac:dyDescent="0.3">
      <c r="A3344" t="s">
        <v>627</v>
      </c>
      <c r="B3344" s="16">
        <v>45964</v>
      </c>
      <c r="C3344" t="s">
        <v>3</v>
      </c>
      <c r="D3344" t="s">
        <v>128</v>
      </c>
      <c r="E3344" t="s">
        <v>179</v>
      </c>
      <c r="F3344">
        <v>29</v>
      </c>
      <c r="G3344">
        <v>11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3</v>
      </c>
      <c r="O3344">
        <v>29</v>
      </c>
      <c r="P3344">
        <f t="shared" si="174"/>
        <v>2025</v>
      </c>
      <c r="Q3344">
        <f t="shared" si="175"/>
        <v>11</v>
      </c>
      <c r="R3344" t="str">
        <f t="shared" si="176"/>
        <v>手淘搜索-短视频</v>
      </c>
      <c r="S3344" t="s">
        <v>784</v>
      </c>
      <c r="T3344" t="s">
        <v>805</v>
      </c>
    </row>
    <row r="3345" spans="1:20" x14ac:dyDescent="0.3">
      <c r="A3345" t="s">
        <v>627</v>
      </c>
      <c r="B3345" s="16">
        <v>45964</v>
      </c>
      <c r="C3345" t="s">
        <v>3</v>
      </c>
      <c r="D3345" t="s">
        <v>143</v>
      </c>
      <c r="E3345" t="s">
        <v>180</v>
      </c>
      <c r="F3345">
        <v>1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1</v>
      </c>
      <c r="P3345">
        <f t="shared" si="174"/>
        <v>2025</v>
      </c>
      <c r="Q3345">
        <f t="shared" si="175"/>
        <v>11</v>
      </c>
      <c r="R3345" t="str">
        <f t="shared" si="176"/>
        <v>淘特其他渠道</v>
      </c>
      <c r="S3345" t="s">
        <v>784</v>
      </c>
      <c r="T3345" t="s">
        <v>805</v>
      </c>
    </row>
    <row r="3346" spans="1:20" x14ac:dyDescent="0.3">
      <c r="A3346" t="s">
        <v>627</v>
      </c>
      <c r="B3346" s="16">
        <v>45964</v>
      </c>
      <c r="C3346" t="s">
        <v>3</v>
      </c>
      <c r="D3346" t="s">
        <v>157</v>
      </c>
      <c r="E3346" t="s">
        <v>182</v>
      </c>
      <c r="F3346">
        <v>1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f t="shared" si="174"/>
        <v>2025</v>
      </c>
      <c r="Q3346">
        <f t="shared" si="175"/>
        <v>11</v>
      </c>
      <c r="R3346" t="str">
        <f t="shared" si="176"/>
        <v>飞猪其他</v>
      </c>
      <c r="S3346" t="s">
        <v>784</v>
      </c>
      <c r="T3346" t="s">
        <v>805</v>
      </c>
    </row>
    <row r="3347" spans="1:20" x14ac:dyDescent="0.3">
      <c r="A3347" t="s">
        <v>627</v>
      </c>
      <c r="B3347" s="16">
        <v>45964</v>
      </c>
      <c r="C3347" t="s">
        <v>2</v>
      </c>
      <c r="D3347" t="s">
        <v>55</v>
      </c>
      <c r="E3347" t="s">
        <v>66</v>
      </c>
      <c r="F3347">
        <v>12</v>
      </c>
      <c r="G3347">
        <v>8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f t="shared" si="174"/>
        <v>2025</v>
      </c>
      <c r="Q3347">
        <f t="shared" si="175"/>
        <v>11</v>
      </c>
      <c r="R3347" t="str">
        <f t="shared" si="176"/>
        <v>短直联动</v>
      </c>
      <c r="S3347" t="s">
        <v>784</v>
      </c>
      <c r="T3347" t="s">
        <v>805</v>
      </c>
    </row>
    <row r="3348" spans="1:20" x14ac:dyDescent="0.3">
      <c r="A3348" t="s">
        <v>627</v>
      </c>
      <c r="B3348" s="16">
        <v>45964</v>
      </c>
      <c r="C3348" t="s">
        <v>2</v>
      </c>
      <c r="D3348" t="s">
        <v>55</v>
      </c>
      <c r="E3348" t="s">
        <v>54</v>
      </c>
      <c r="F3348">
        <v>1584</v>
      </c>
      <c r="G3348">
        <v>821</v>
      </c>
      <c r="H3348">
        <v>21</v>
      </c>
      <c r="I3348">
        <v>1</v>
      </c>
      <c r="J3348">
        <v>0</v>
      </c>
      <c r="K3348">
        <v>0</v>
      </c>
      <c r="L3348">
        <v>0</v>
      </c>
      <c r="M3348">
        <v>0</v>
      </c>
      <c r="N3348">
        <v>44</v>
      </c>
      <c r="O3348">
        <v>507</v>
      </c>
      <c r="P3348">
        <f t="shared" si="174"/>
        <v>2025</v>
      </c>
      <c r="Q3348">
        <f t="shared" si="175"/>
        <v>11</v>
      </c>
      <c r="R3348" t="str">
        <f t="shared" si="176"/>
        <v>超级直播</v>
      </c>
      <c r="S3348" t="s">
        <v>784</v>
      </c>
      <c r="T3348" t="s">
        <v>805</v>
      </c>
    </row>
    <row r="3349" spans="1:20" x14ac:dyDescent="0.3">
      <c r="A3349" t="s">
        <v>627</v>
      </c>
      <c r="B3349" s="16">
        <v>45964</v>
      </c>
      <c r="C3349" t="s">
        <v>2</v>
      </c>
      <c r="D3349" t="s">
        <v>55</v>
      </c>
      <c r="E3349" t="s">
        <v>56</v>
      </c>
      <c r="F3349">
        <v>87</v>
      </c>
      <c r="G3349">
        <v>64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3</v>
      </c>
      <c r="O3349">
        <v>76</v>
      </c>
      <c r="P3349">
        <f t="shared" si="174"/>
        <v>2025</v>
      </c>
      <c r="Q3349">
        <f t="shared" si="175"/>
        <v>11</v>
      </c>
      <c r="R3349" t="str">
        <f t="shared" si="176"/>
        <v>超级短视频</v>
      </c>
      <c r="S3349" t="s">
        <v>784</v>
      </c>
      <c r="T3349" t="s">
        <v>805</v>
      </c>
    </row>
    <row r="3350" spans="1:20" x14ac:dyDescent="0.3">
      <c r="A3350" t="s">
        <v>627</v>
      </c>
      <c r="B3350" s="16">
        <v>45964</v>
      </c>
      <c r="C3350" t="s">
        <v>2</v>
      </c>
      <c r="D3350" t="s">
        <v>57</v>
      </c>
      <c r="E3350" t="s">
        <v>63</v>
      </c>
      <c r="F3350">
        <v>838</v>
      </c>
      <c r="G3350">
        <v>651</v>
      </c>
      <c r="H3350">
        <v>31</v>
      </c>
      <c r="I3350">
        <v>6</v>
      </c>
      <c r="J3350">
        <v>32280</v>
      </c>
      <c r="K3350">
        <v>4</v>
      </c>
      <c r="L3350">
        <v>22480</v>
      </c>
      <c r="M3350">
        <v>4</v>
      </c>
      <c r="N3350">
        <v>830</v>
      </c>
      <c r="O3350">
        <v>432</v>
      </c>
      <c r="P3350">
        <f t="shared" si="174"/>
        <v>2025</v>
      </c>
      <c r="Q3350">
        <f t="shared" si="175"/>
        <v>11</v>
      </c>
      <c r="R3350" t="str">
        <f t="shared" si="176"/>
        <v>万相台</v>
      </c>
      <c r="S3350" t="s">
        <v>784</v>
      </c>
      <c r="T3350" t="s">
        <v>805</v>
      </c>
    </row>
    <row r="3351" spans="1:20" x14ac:dyDescent="0.3">
      <c r="A3351" t="s">
        <v>627</v>
      </c>
      <c r="B3351" s="16">
        <v>45964</v>
      </c>
      <c r="C3351" t="s">
        <v>2</v>
      </c>
      <c r="D3351" t="s">
        <v>57</v>
      </c>
      <c r="E3351" t="s">
        <v>64</v>
      </c>
      <c r="F3351">
        <v>24950</v>
      </c>
      <c r="G3351">
        <v>11658</v>
      </c>
      <c r="H3351">
        <v>87</v>
      </c>
      <c r="I3351">
        <v>123</v>
      </c>
      <c r="J3351">
        <v>50850</v>
      </c>
      <c r="K3351">
        <v>6</v>
      </c>
      <c r="L3351">
        <v>25470</v>
      </c>
      <c r="M3351">
        <v>4</v>
      </c>
      <c r="N3351">
        <v>423</v>
      </c>
      <c r="O3351">
        <v>24948</v>
      </c>
      <c r="P3351">
        <f t="shared" si="174"/>
        <v>2025</v>
      </c>
      <c r="Q3351">
        <f t="shared" si="175"/>
        <v>11</v>
      </c>
      <c r="R3351" t="str">
        <f t="shared" si="176"/>
        <v>引力魔方</v>
      </c>
      <c r="S3351" t="s">
        <v>784</v>
      </c>
      <c r="T3351" t="s">
        <v>805</v>
      </c>
    </row>
    <row r="3352" spans="1:20" x14ac:dyDescent="0.3">
      <c r="A3352" t="s">
        <v>627</v>
      </c>
      <c r="B3352" s="16">
        <v>45964</v>
      </c>
      <c r="C3352" t="s">
        <v>2</v>
      </c>
      <c r="D3352" t="s">
        <v>57</v>
      </c>
      <c r="E3352" t="s">
        <v>65</v>
      </c>
      <c r="F3352">
        <v>5908</v>
      </c>
      <c r="G3352">
        <v>5050</v>
      </c>
      <c r="H3352">
        <v>55</v>
      </c>
      <c r="I3352">
        <v>25</v>
      </c>
      <c r="J3352">
        <v>46320</v>
      </c>
      <c r="K3352">
        <v>8</v>
      </c>
      <c r="L3352">
        <v>31020</v>
      </c>
      <c r="M3352">
        <v>7</v>
      </c>
      <c r="N3352">
        <v>343</v>
      </c>
      <c r="O3352">
        <v>5830</v>
      </c>
      <c r="P3352">
        <f t="shared" si="174"/>
        <v>2025</v>
      </c>
      <c r="Q3352">
        <f t="shared" si="175"/>
        <v>11</v>
      </c>
      <c r="R3352" t="str">
        <f t="shared" si="176"/>
        <v>直通车</v>
      </c>
      <c r="S3352" t="s">
        <v>784</v>
      </c>
      <c r="T3352" t="s">
        <v>805</v>
      </c>
    </row>
    <row r="3353" spans="1:20" x14ac:dyDescent="0.3">
      <c r="A3353" t="s">
        <v>627</v>
      </c>
      <c r="B3353" s="16">
        <v>45964</v>
      </c>
      <c r="C3353" t="s">
        <v>2</v>
      </c>
      <c r="D3353" t="s">
        <v>4</v>
      </c>
      <c r="E3353" t="s">
        <v>41</v>
      </c>
      <c r="F3353">
        <v>4</v>
      </c>
      <c r="G3353">
        <v>2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1</v>
      </c>
      <c r="O3353">
        <v>4</v>
      </c>
      <c r="P3353">
        <f t="shared" si="174"/>
        <v>2025</v>
      </c>
      <c r="Q3353">
        <f t="shared" si="175"/>
        <v>11</v>
      </c>
      <c r="R3353" t="str">
        <f t="shared" si="176"/>
        <v>流量宝</v>
      </c>
      <c r="S3353" t="s">
        <v>784</v>
      </c>
      <c r="T3353" t="s">
        <v>805</v>
      </c>
    </row>
    <row r="3354" spans="1:20" x14ac:dyDescent="0.3">
      <c r="A3354" t="s">
        <v>627</v>
      </c>
      <c r="B3354" s="16">
        <v>45964</v>
      </c>
      <c r="C3354" t="s">
        <v>2</v>
      </c>
      <c r="D3354" t="s">
        <v>4</v>
      </c>
      <c r="E3354" t="s">
        <v>43</v>
      </c>
      <c r="F3354">
        <v>349</v>
      </c>
      <c r="G3354">
        <v>107</v>
      </c>
      <c r="H3354">
        <v>7</v>
      </c>
      <c r="I3354">
        <v>1</v>
      </c>
      <c r="J3354">
        <v>3750</v>
      </c>
      <c r="K3354">
        <v>1</v>
      </c>
      <c r="L3354">
        <v>3750</v>
      </c>
      <c r="M3354">
        <v>1</v>
      </c>
      <c r="N3354">
        <v>5</v>
      </c>
      <c r="O3354">
        <v>349</v>
      </c>
      <c r="P3354">
        <f t="shared" si="174"/>
        <v>2025</v>
      </c>
      <c r="Q3354">
        <f t="shared" si="175"/>
        <v>11</v>
      </c>
      <c r="R3354" t="str">
        <f t="shared" si="176"/>
        <v>淘宝客</v>
      </c>
      <c r="S3354" t="s">
        <v>784</v>
      </c>
      <c r="T3354" t="s">
        <v>805</v>
      </c>
    </row>
    <row r="3355" spans="1:20" x14ac:dyDescent="0.3">
      <c r="A3355" t="s">
        <v>627</v>
      </c>
      <c r="B3355" s="16">
        <v>45963</v>
      </c>
      <c r="C3355" t="s">
        <v>3</v>
      </c>
      <c r="D3355" t="s">
        <v>114</v>
      </c>
      <c r="E3355" t="s">
        <v>159</v>
      </c>
      <c r="F3355">
        <v>134</v>
      </c>
      <c r="G3355">
        <v>63</v>
      </c>
      <c r="H3355">
        <v>3</v>
      </c>
      <c r="I3355">
        <v>1</v>
      </c>
      <c r="J3355">
        <v>0</v>
      </c>
      <c r="K3355">
        <v>0</v>
      </c>
      <c r="L3355">
        <v>0</v>
      </c>
      <c r="M3355">
        <v>0</v>
      </c>
      <c r="N3355">
        <v>11</v>
      </c>
      <c r="O3355">
        <v>133</v>
      </c>
      <c r="P3355">
        <f t="shared" si="174"/>
        <v>2025</v>
      </c>
      <c r="Q3355">
        <f t="shared" si="175"/>
        <v>11</v>
      </c>
      <c r="R3355" t="str">
        <f t="shared" si="176"/>
        <v>主会场</v>
      </c>
      <c r="S3355" t="s">
        <v>784</v>
      </c>
      <c r="T3355" t="s">
        <v>805</v>
      </c>
    </row>
    <row r="3356" spans="1:20" x14ac:dyDescent="0.3">
      <c r="A3356" t="s">
        <v>627</v>
      </c>
      <c r="B3356" s="16">
        <v>45963</v>
      </c>
      <c r="C3356" t="s">
        <v>3</v>
      </c>
      <c r="D3356" t="s">
        <v>117</v>
      </c>
      <c r="E3356" t="s">
        <v>161</v>
      </c>
      <c r="F3356">
        <v>2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2</v>
      </c>
      <c r="P3356">
        <f t="shared" si="174"/>
        <v>2025</v>
      </c>
      <c r="Q3356">
        <f t="shared" si="175"/>
        <v>11</v>
      </c>
      <c r="R3356" t="str">
        <f t="shared" si="176"/>
        <v>其他入口榜单</v>
      </c>
      <c r="S3356" t="s">
        <v>784</v>
      </c>
      <c r="T3356" t="s">
        <v>805</v>
      </c>
    </row>
    <row r="3357" spans="1:20" x14ac:dyDescent="0.3">
      <c r="A3357" t="s">
        <v>627</v>
      </c>
      <c r="B3357" s="16">
        <v>45963</v>
      </c>
      <c r="C3357" t="s">
        <v>3</v>
      </c>
      <c r="D3357" t="s">
        <v>123</v>
      </c>
      <c r="E3357" t="s">
        <v>170</v>
      </c>
      <c r="F3357">
        <v>37</v>
      </c>
      <c r="G3357">
        <v>17</v>
      </c>
      <c r="H3357">
        <v>1</v>
      </c>
      <c r="I3357">
        <v>0</v>
      </c>
      <c r="J3357">
        <v>4290</v>
      </c>
      <c r="K3357">
        <v>1</v>
      </c>
      <c r="L3357">
        <v>4290</v>
      </c>
      <c r="M3357">
        <v>1</v>
      </c>
      <c r="N3357">
        <v>33</v>
      </c>
      <c r="O3357">
        <v>24</v>
      </c>
      <c r="P3357">
        <f t="shared" si="174"/>
        <v>2025</v>
      </c>
      <c r="Q3357">
        <f t="shared" si="175"/>
        <v>11</v>
      </c>
      <c r="R3357" t="str">
        <f t="shared" si="176"/>
        <v>店铺超链</v>
      </c>
      <c r="S3357" t="s">
        <v>784</v>
      </c>
      <c r="T3357" t="s">
        <v>805</v>
      </c>
    </row>
    <row r="3358" spans="1:20" x14ac:dyDescent="0.3">
      <c r="A3358" t="s">
        <v>627</v>
      </c>
      <c r="B3358" s="16">
        <v>45963</v>
      </c>
      <c r="C3358" t="s">
        <v>3</v>
      </c>
      <c r="D3358" t="s">
        <v>127</v>
      </c>
      <c r="E3358" t="s">
        <v>171</v>
      </c>
      <c r="F3358">
        <v>842</v>
      </c>
      <c r="G3358">
        <v>358</v>
      </c>
      <c r="H3358">
        <v>38</v>
      </c>
      <c r="I3358">
        <v>9</v>
      </c>
      <c r="J3358">
        <v>13000</v>
      </c>
      <c r="K3358">
        <v>2</v>
      </c>
      <c r="L3358">
        <v>13000</v>
      </c>
      <c r="M3358">
        <v>2</v>
      </c>
      <c r="N3358">
        <v>105</v>
      </c>
      <c r="O3358">
        <v>818</v>
      </c>
      <c r="P3358">
        <f t="shared" si="174"/>
        <v>2025</v>
      </c>
      <c r="Q3358">
        <f t="shared" si="175"/>
        <v>11</v>
      </c>
      <c r="R3358" t="str">
        <f t="shared" si="176"/>
        <v>其他猜你喜欢</v>
      </c>
      <c r="S3358" t="s">
        <v>784</v>
      </c>
      <c r="T3358" t="s">
        <v>805</v>
      </c>
    </row>
    <row r="3359" spans="1:20" x14ac:dyDescent="0.3">
      <c r="A3359" t="s">
        <v>627</v>
      </c>
      <c r="B3359" s="16">
        <v>45963</v>
      </c>
      <c r="C3359" t="s">
        <v>3</v>
      </c>
      <c r="D3359" t="s">
        <v>127</v>
      </c>
      <c r="E3359" t="s">
        <v>172</v>
      </c>
      <c r="F3359">
        <v>142</v>
      </c>
      <c r="G3359">
        <v>64</v>
      </c>
      <c r="H3359">
        <v>6</v>
      </c>
      <c r="I3359">
        <v>0</v>
      </c>
      <c r="J3359">
        <v>11670</v>
      </c>
      <c r="K3359">
        <v>3</v>
      </c>
      <c r="L3359">
        <v>11670</v>
      </c>
      <c r="M3359">
        <v>3</v>
      </c>
      <c r="N3359">
        <v>15</v>
      </c>
      <c r="O3359">
        <v>136</v>
      </c>
      <c r="P3359">
        <f t="shared" si="174"/>
        <v>2025</v>
      </c>
      <c r="Q3359">
        <f t="shared" si="175"/>
        <v>11</v>
      </c>
      <c r="R3359" t="str">
        <f t="shared" si="176"/>
        <v>购中推荐</v>
      </c>
      <c r="S3359" t="s">
        <v>784</v>
      </c>
      <c r="T3359" t="s">
        <v>805</v>
      </c>
    </row>
    <row r="3360" spans="1:20" x14ac:dyDescent="0.3">
      <c r="A3360" t="s">
        <v>627</v>
      </c>
      <c r="B3360" s="16">
        <v>45963</v>
      </c>
      <c r="C3360" t="s">
        <v>3</v>
      </c>
      <c r="D3360" t="s">
        <v>127</v>
      </c>
      <c r="E3360" t="s">
        <v>173</v>
      </c>
      <c r="F3360">
        <v>856</v>
      </c>
      <c r="G3360">
        <v>354</v>
      </c>
      <c r="H3360">
        <v>35</v>
      </c>
      <c r="I3360">
        <v>6</v>
      </c>
      <c r="J3360">
        <v>25370</v>
      </c>
      <c r="K3360">
        <v>4</v>
      </c>
      <c r="L3360">
        <v>14930</v>
      </c>
      <c r="M3360">
        <v>2</v>
      </c>
      <c r="N3360">
        <v>56</v>
      </c>
      <c r="O3360">
        <v>826</v>
      </c>
      <c r="P3360">
        <f t="shared" si="174"/>
        <v>2025</v>
      </c>
      <c r="Q3360">
        <f t="shared" si="175"/>
        <v>11</v>
      </c>
      <c r="R3360" t="str">
        <f t="shared" si="176"/>
        <v>购后推荐</v>
      </c>
      <c r="S3360" t="s">
        <v>784</v>
      </c>
      <c r="T3360" t="s">
        <v>805</v>
      </c>
    </row>
    <row r="3361" spans="1:20" x14ac:dyDescent="0.3">
      <c r="A3361" t="s">
        <v>627</v>
      </c>
      <c r="B3361" s="16">
        <v>45963</v>
      </c>
      <c r="C3361" t="s">
        <v>3</v>
      </c>
      <c r="D3361" t="s">
        <v>127</v>
      </c>
      <c r="E3361" t="s">
        <v>174</v>
      </c>
      <c r="F3361">
        <v>11873</v>
      </c>
      <c r="G3361">
        <v>6622</v>
      </c>
      <c r="H3361">
        <v>103</v>
      </c>
      <c r="I3361">
        <v>27</v>
      </c>
      <c r="J3361">
        <v>139545</v>
      </c>
      <c r="K3361">
        <v>20</v>
      </c>
      <c r="L3361">
        <v>107365</v>
      </c>
      <c r="M3361">
        <v>17</v>
      </c>
      <c r="N3361">
        <v>258</v>
      </c>
      <c r="O3361">
        <v>11873</v>
      </c>
      <c r="P3361">
        <f t="shared" si="174"/>
        <v>2025</v>
      </c>
      <c r="Q3361">
        <f t="shared" si="175"/>
        <v>11</v>
      </c>
      <c r="R3361" t="str">
        <f t="shared" si="176"/>
        <v>首页推荐-微详情</v>
      </c>
      <c r="S3361" t="s">
        <v>784</v>
      </c>
      <c r="T3361" t="s">
        <v>805</v>
      </c>
    </row>
    <row r="3362" spans="1:20" x14ac:dyDescent="0.3">
      <c r="A3362" t="s">
        <v>627</v>
      </c>
      <c r="B3362" s="16">
        <v>45963</v>
      </c>
      <c r="C3362" t="s">
        <v>3</v>
      </c>
      <c r="D3362" t="s">
        <v>127</v>
      </c>
      <c r="E3362" t="s">
        <v>175</v>
      </c>
      <c r="F3362">
        <v>123</v>
      </c>
      <c r="G3362">
        <v>62</v>
      </c>
      <c r="H3362">
        <v>3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9</v>
      </c>
      <c r="O3362">
        <v>69</v>
      </c>
      <c r="P3362">
        <f t="shared" si="174"/>
        <v>2025</v>
      </c>
      <c r="Q3362">
        <f t="shared" si="175"/>
        <v>11</v>
      </c>
      <c r="R3362" t="str">
        <f t="shared" si="176"/>
        <v>首页推荐-直播</v>
      </c>
      <c r="S3362" t="s">
        <v>784</v>
      </c>
      <c r="T3362" t="s">
        <v>805</v>
      </c>
    </row>
    <row r="3363" spans="1:20" x14ac:dyDescent="0.3">
      <c r="A3363" t="s">
        <v>627</v>
      </c>
      <c r="B3363" s="16">
        <v>45963</v>
      </c>
      <c r="C3363" t="s">
        <v>3</v>
      </c>
      <c r="D3363" t="s">
        <v>127</v>
      </c>
      <c r="E3363" t="s">
        <v>176</v>
      </c>
      <c r="F3363">
        <v>159</v>
      </c>
      <c r="G3363">
        <v>96</v>
      </c>
      <c r="H3363">
        <v>1</v>
      </c>
      <c r="I3363">
        <v>0</v>
      </c>
      <c r="J3363">
        <v>3490</v>
      </c>
      <c r="K3363">
        <v>1</v>
      </c>
      <c r="L3363">
        <v>3490</v>
      </c>
      <c r="M3363">
        <v>1</v>
      </c>
      <c r="N3363">
        <v>3</v>
      </c>
      <c r="O3363">
        <v>22</v>
      </c>
      <c r="P3363">
        <f t="shared" si="174"/>
        <v>2025</v>
      </c>
      <c r="Q3363">
        <f t="shared" si="175"/>
        <v>11</v>
      </c>
      <c r="R3363" t="str">
        <f t="shared" si="176"/>
        <v>首页推荐-短视频</v>
      </c>
      <c r="S3363" t="s">
        <v>784</v>
      </c>
      <c r="T3363" t="s">
        <v>805</v>
      </c>
    </row>
    <row r="3364" spans="1:20" x14ac:dyDescent="0.3">
      <c r="A3364" t="s">
        <v>627</v>
      </c>
      <c r="B3364" s="16">
        <v>45963</v>
      </c>
      <c r="C3364" t="s">
        <v>3</v>
      </c>
      <c r="D3364" t="s">
        <v>128</v>
      </c>
      <c r="E3364" t="s">
        <v>177</v>
      </c>
      <c r="F3364">
        <v>2046</v>
      </c>
      <c r="G3364">
        <v>1597</v>
      </c>
      <c r="H3364">
        <v>50</v>
      </c>
      <c r="I3364">
        <v>24</v>
      </c>
      <c r="J3364">
        <v>91875</v>
      </c>
      <c r="K3364">
        <v>14</v>
      </c>
      <c r="L3364">
        <v>81975</v>
      </c>
      <c r="M3364">
        <v>13</v>
      </c>
      <c r="N3364">
        <v>322</v>
      </c>
      <c r="O3364">
        <v>1956</v>
      </c>
      <c r="P3364">
        <f t="shared" si="174"/>
        <v>2025</v>
      </c>
      <c r="Q3364">
        <f t="shared" si="175"/>
        <v>11</v>
      </c>
      <c r="R3364" t="str">
        <f t="shared" si="176"/>
        <v>手淘搜索-商品及其他</v>
      </c>
      <c r="S3364" t="s">
        <v>784</v>
      </c>
      <c r="T3364" t="s">
        <v>805</v>
      </c>
    </row>
    <row r="3365" spans="1:20" x14ac:dyDescent="0.3">
      <c r="A3365" t="s">
        <v>627</v>
      </c>
      <c r="B3365" s="16">
        <v>45963</v>
      </c>
      <c r="C3365" t="s">
        <v>3</v>
      </c>
      <c r="D3365" t="s">
        <v>128</v>
      </c>
      <c r="E3365" t="s">
        <v>178</v>
      </c>
      <c r="F3365">
        <v>17</v>
      </c>
      <c r="G3365">
        <v>8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2</v>
      </c>
      <c r="O3365">
        <v>17</v>
      </c>
      <c r="P3365">
        <f t="shared" si="174"/>
        <v>2025</v>
      </c>
      <c r="Q3365">
        <f t="shared" si="175"/>
        <v>11</v>
      </c>
      <c r="R3365" t="str">
        <f t="shared" si="176"/>
        <v>手淘搜索-直播</v>
      </c>
      <c r="S3365" t="s">
        <v>784</v>
      </c>
      <c r="T3365" t="s">
        <v>805</v>
      </c>
    </row>
    <row r="3366" spans="1:20" x14ac:dyDescent="0.3">
      <c r="A3366" t="s">
        <v>627</v>
      </c>
      <c r="B3366" s="16">
        <v>45963</v>
      </c>
      <c r="C3366" t="s">
        <v>3</v>
      </c>
      <c r="D3366" t="s">
        <v>128</v>
      </c>
      <c r="E3366" t="s">
        <v>179</v>
      </c>
      <c r="F3366">
        <v>34</v>
      </c>
      <c r="G3366">
        <v>19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34</v>
      </c>
      <c r="P3366">
        <f t="shared" si="174"/>
        <v>2025</v>
      </c>
      <c r="Q3366">
        <f t="shared" si="175"/>
        <v>11</v>
      </c>
      <c r="R3366" t="str">
        <f t="shared" si="176"/>
        <v>手淘搜索-短视频</v>
      </c>
      <c r="S3366" t="s">
        <v>784</v>
      </c>
      <c r="T3366" t="s">
        <v>805</v>
      </c>
    </row>
    <row r="3367" spans="1:20" x14ac:dyDescent="0.3">
      <c r="A3367" t="s">
        <v>627</v>
      </c>
      <c r="B3367" s="16">
        <v>45963</v>
      </c>
      <c r="C3367" t="s">
        <v>3</v>
      </c>
      <c r="D3367" t="s">
        <v>143</v>
      </c>
      <c r="E3367" t="s">
        <v>180</v>
      </c>
      <c r="F3367">
        <v>1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1</v>
      </c>
      <c r="O3367">
        <v>1</v>
      </c>
      <c r="P3367">
        <f t="shared" si="174"/>
        <v>2025</v>
      </c>
      <c r="Q3367">
        <f t="shared" si="175"/>
        <v>11</v>
      </c>
      <c r="R3367" t="str">
        <f t="shared" si="176"/>
        <v>淘特其他渠道</v>
      </c>
      <c r="S3367" t="s">
        <v>784</v>
      </c>
      <c r="T3367" t="s">
        <v>805</v>
      </c>
    </row>
    <row r="3368" spans="1:20" x14ac:dyDescent="0.3">
      <c r="A3368" t="s">
        <v>627</v>
      </c>
      <c r="B3368" s="16">
        <v>45963</v>
      </c>
      <c r="C3368" t="s">
        <v>3</v>
      </c>
      <c r="D3368" t="s">
        <v>143</v>
      </c>
      <c r="E3368" t="s">
        <v>224</v>
      </c>
      <c r="F3368">
        <v>1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1</v>
      </c>
      <c r="P3368">
        <f t="shared" si="174"/>
        <v>2025</v>
      </c>
      <c r="Q3368">
        <f t="shared" si="175"/>
        <v>11</v>
      </c>
      <c r="R3368" t="str">
        <f t="shared" si="176"/>
        <v>淘特自主访问</v>
      </c>
      <c r="S3368" t="s">
        <v>784</v>
      </c>
      <c r="T3368" t="s">
        <v>805</v>
      </c>
    </row>
    <row r="3369" spans="1:20" x14ac:dyDescent="0.3">
      <c r="A3369" t="s">
        <v>627</v>
      </c>
      <c r="B3369" s="16">
        <v>45963</v>
      </c>
      <c r="C3369" t="s">
        <v>2</v>
      </c>
      <c r="D3369" t="s">
        <v>55</v>
      </c>
      <c r="E3369" t="s">
        <v>66</v>
      </c>
      <c r="F3369">
        <v>9</v>
      </c>
      <c r="G3369">
        <v>7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f t="shared" ref="P3369:P3432" si="177">YEAR(B3369)</f>
        <v>2025</v>
      </c>
      <c r="Q3369">
        <f t="shared" ref="Q3369:Q3432" si="178">MONTH(B3369)</f>
        <v>11</v>
      </c>
      <c r="R3369" t="str">
        <f t="shared" ref="R3369:R3432" si="179">E3369</f>
        <v>短直联动</v>
      </c>
      <c r="S3369" t="s">
        <v>784</v>
      </c>
      <c r="T3369" t="s">
        <v>805</v>
      </c>
    </row>
    <row r="3370" spans="1:20" x14ac:dyDescent="0.3">
      <c r="A3370" t="s">
        <v>627</v>
      </c>
      <c r="B3370" s="16">
        <v>45963</v>
      </c>
      <c r="C3370" t="s">
        <v>2</v>
      </c>
      <c r="D3370" t="s">
        <v>55</v>
      </c>
      <c r="E3370" t="s">
        <v>54</v>
      </c>
      <c r="F3370">
        <v>1614</v>
      </c>
      <c r="G3370">
        <v>1021</v>
      </c>
      <c r="H3370">
        <v>21</v>
      </c>
      <c r="I3370">
        <v>5</v>
      </c>
      <c r="J3370">
        <v>0</v>
      </c>
      <c r="K3370">
        <v>0</v>
      </c>
      <c r="L3370">
        <v>0</v>
      </c>
      <c r="M3370">
        <v>0</v>
      </c>
      <c r="N3370">
        <v>48</v>
      </c>
      <c r="O3370">
        <v>977</v>
      </c>
      <c r="P3370">
        <f t="shared" si="177"/>
        <v>2025</v>
      </c>
      <c r="Q3370">
        <f t="shared" si="178"/>
        <v>11</v>
      </c>
      <c r="R3370" t="str">
        <f t="shared" si="179"/>
        <v>超级直播</v>
      </c>
      <c r="S3370" t="s">
        <v>784</v>
      </c>
      <c r="T3370" t="s">
        <v>805</v>
      </c>
    </row>
    <row r="3371" spans="1:20" x14ac:dyDescent="0.3">
      <c r="A3371" t="s">
        <v>627</v>
      </c>
      <c r="B3371" s="16">
        <v>45963</v>
      </c>
      <c r="C3371" t="s">
        <v>2</v>
      </c>
      <c r="D3371" t="s">
        <v>55</v>
      </c>
      <c r="E3371" t="s">
        <v>56</v>
      </c>
      <c r="F3371">
        <v>152</v>
      </c>
      <c r="G3371">
        <v>118</v>
      </c>
      <c r="H3371">
        <v>1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5</v>
      </c>
      <c r="O3371">
        <v>139</v>
      </c>
      <c r="P3371">
        <f t="shared" si="177"/>
        <v>2025</v>
      </c>
      <c r="Q3371">
        <f t="shared" si="178"/>
        <v>11</v>
      </c>
      <c r="R3371" t="str">
        <f t="shared" si="179"/>
        <v>超级短视频</v>
      </c>
      <c r="S3371" t="s">
        <v>784</v>
      </c>
      <c r="T3371" t="s">
        <v>805</v>
      </c>
    </row>
    <row r="3372" spans="1:20" x14ac:dyDescent="0.3">
      <c r="A3372" t="s">
        <v>627</v>
      </c>
      <c r="B3372" s="16">
        <v>45963</v>
      </c>
      <c r="C3372" t="s">
        <v>2</v>
      </c>
      <c r="D3372" t="s">
        <v>52</v>
      </c>
      <c r="E3372" t="s">
        <v>51</v>
      </c>
      <c r="F3372">
        <v>1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1</v>
      </c>
      <c r="P3372">
        <f t="shared" si="177"/>
        <v>2025</v>
      </c>
      <c r="Q3372">
        <f t="shared" si="178"/>
        <v>11</v>
      </c>
      <c r="R3372" t="str">
        <f t="shared" si="179"/>
        <v>品牌定制</v>
      </c>
      <c r="S3372" t="s">
        <v>784</v>
      </c>
      <c r="T3372" t="s">
        <v>805</v>
      </c>
    </row>
    <row r="3373" spans="1:20" x14ac:dyDescent="0.3">
      <c r="A3373" t="s">
        <v>627</v>
      </c>
      <c r="B3373" s="16">
        <v>45963</v>
      </c>
      <c r="C3373" t="s">
        <v>2</v>
      </c>
      <c r="D3373" t="s">
        <v>57</v>
      </c>
      <c r="E3373" t="s">
        <v>63</v>
      </c>
      <c r="F3373">
        <v>914</v>
      </c>
      <c r="G3373">
        <v>758</v>
      </c>
      <c r="H3373">
        <v>25</v>
      </c>
      <c r="I3373">
        <v>10</v>
      </c>
      <c r="J3373">
        <v>53865</v>
      </c>
      <c r="K3373">
        <v>8</v>
      </c>
      <c r="L3373">
        <v>36975</v>
      </c>
      <c r="M3373">
        <v>7</v>
      </c>
      <c r="N3373">
        <v>913</v>
      </c>
      <c r="O3373">
        <v>477</v>
      </c>
      <c r="P3373">
        <f t="shared" si="177"/>
        <v>2025</v>
      </c>
      <c r="Q3373">
        <f t="shared" si="178"/>
        <v>11</v>
      </c>
      <c r="R3373" t="str">
        <f t="shared" si="179"/>
        <v>万相台</v>
      </c>
      <c r="S3373" t="s">
        <v>784</v>
      </c>
      <c r="T3373" t="s">
        <v>805</v>
      </c>
    </row>
    <row r="3374" spans="1:20" x14ac:dyDescent="0.3">
      <c r="A3374" t="s">
        <v>627</v>
      </c>
      <c r="B3374" s="16">
        <v>45963</v>
      </c>
      <c r="C3374" t="s">
        <v>2</v>
      </c>
      <c r="D3374" t="s">
        <v>57</v>
      </c>
      <c r="E3374" t="s">
        <v>64</v>
      </c>
      <c r="F3374">
        <v>26112</v>
      </c>
      <c r="G3374">
        <v>13815</v>
      </c>
      <c r="H3374">
        <v>81</v>
      </c>
      <c r="I3374">
        <v>128</v>
      </c>
      <c r="J3374">
        <v>20965</v>
      </c>
      <c r="K3374">
        <v>7</v>
      </c>
      <c r="L3374">
        <v>17715</v>
      </c>
      <c r="M3374">
        <v>6</v>
      </c>
      <c r="N3374">
        <v>333</v>
      </c>
      <c r="O3374">
        <v>26111</v>
      </c>
      <c r="P3374">
        <f t="shared" si="177"/>
        <v>2025</v>
      </c>
      <c r="Q3374">
        <f t="shared" si="178"/>
        <v>11</v>
      </c>
      <c r="R3374" t="str">
        <f t="shared" si="179"/>
        <v>引力魔方</v>
      </c>
      <c r="S3374" t="s">
        <v>784</v>
      </c>
      <c r="T3374" t="s">
        <v>805</v>
      </c>
    </row>
    <row r="3375" spans="1:20" x14ac:dyDescent="0.3">
      <c r="A3375" t="s">
        <v>627</v>
      </c>
      <c r="B3375" s="16">
        <v>45963</v>
      </c>
      <c r="C3375" t="s">
        <v>2</v>
      </c>
      <c r="D3375" t="s">
        <v>57</v>
      </c>
      <c r="E3375" t="s">
        <v>65</v>
      </c>
      <c r="F3375">
        <v>6721</v>
      </c>
      <c r="G3375">
        <v>5746</v>
      </c>
      <c r="H3375">
        <v>56</v>
      </c>
      <c r="I3375">
        <v>24</v>
      </c>
      <c r="J3375">
        <v>142130</v>
      </c>
      <c r="K3375">
        <v>12</v>
      </c>
      <c r="L3375">
        <v>69410</v>
      </c>
      <c r="M3375">
        <v>8</v>
      </c>
      <c r="N3375">
        <v>368</v>
      </c>
      <c r="O3375">
        <v>6663</v>
      </c>
      <c r="P3375">
        <f t="shared" si="177"/>
        <v>2025</v>
      </c>
      <c r="Q3375">
        <f t="shared" si="178"/>
        <v>11</v>
      </c>
      <c r="R3375" t="str">
        <f t="shared" si="179"/>
        <v>直通车</v>
      </c>
      <c r="S3375" t="s">
        <v>784</v>
      </c>
      <c r="T3375" t="s">
        <v>805</v>
      </c>
    </row>
    <row r="3376" spans="1:20" x14ac:dyDescent="0.3">
      <c r="A3376" t="s">
        <v>627</v>
      </c>
      <c r="B3376" s="16">
        <v>45963</v>
      </c>
      <c r="C3376" t="s">
        <v>2</v>
      </c>
      <c r="D3376" t="s">
        <v>4</v>
      </c>
      <c r="E3376" t="s">
        <v>41</v>
      </c>
      <c r="F3376">
        <v>3</v>
      </c>
      <c r="G3376">
        <v>3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2</v>
      </c>
      <c r="P3376">
        <f t="shared" si="177"/>
        <v>2025</v>
      </c>
      <c r="Q3376">
        <f t="shared" si="178"/>
        <v>11</v>
      </c>
      <c r="R3376" t="str">
        <f t="shared" si="179"/>
        <v>流量宝</v>
      </c>
      <c r="S3376" t="s">
        <v>784</v>
      </c>
      <c r="T3376" t="s">
        <v>805</v>
      </c>
    </row>
    <row r="3377" spans="1:20" x14ac:dyDescent="0.3">
      <c r="A3377" t="s">
        <v>627</v>
      </c>
      <c r="B3377" s="16">
        <v>45963</v>
      </c>
      <c r="C3377" t="s">
        <v>2</v>
      </c>
      <c r="D3377" t="s">
        <v>4</v>
      </c>
      <c r="E3377" t="s">
        <v>43</v>
      </c>
      <c r="F3377">
        <v>361</v>
      </c>
      <c r="G3377">
        <v>101</v>
      </c>
      <c r="H3377">
        <v>5</v>
      </c>
      <c r="I3377">
        <v>1</v>
      </c>
      <c r="J3377">
        <v>16470</v>
      </c>
      <c r="K3377">
        <v>4</v>
      </c>
      <c r="L3377">
        <v>16470</v>
      </c>
      <c r="M3377">
        <v>4</v>
      </c>
      <c r="N3377">
        <v>9</v>
      </c>
      <c r="O3377">
        <v>356</v>
      </c>
      <c r="P3377">
        <f t="shared" si="177"/>
        <v>2025</v>
      </c>
      <c r="Q3377">
        <f t="shared" si="178"/>
        <v>11</v>
      </c>
      <c r="R3377" t="str">
        <f t="shared" si="179"/>
        <v>淘宝客</v>
      </c>
      <c r="S3377" t="s">
        <v>784</v>
      </c>
      <c r="T3377" t="s">
        <v>805</v>
      </c>
    </row>
    <row r="3378" spans="1:20" x14ac:dyDescent="0.3">
      <c r="A3378" t="s">
        <v>627</v>
      </c>
      <c r="B3378" s="16">
        <v>45962</v>
      </c>
      <c r="C3378" t="s">
        <v>3</v>
      </c>
      <c r="D3378" t="s">
        <v>114</v>
      </c>
      <c r="E3378" t="s">
        <v>159</v>
      </c>
      <c r="F3378">
        <v>98</v>
      </c>
      <c r="G3378">
        <v>62</v>
      </c>
      <c r="H3378">
        <v>1</v>
      </c>
      <c r="I3378">
        <v>0</v>
      </c>
      <c r="J3378">
        <v>6990</v>
      </c>
      <c r="K3378">
        <v>1</v>
      </c>
      <c r="L3378">
        <v>0</v>
      </c>
      <c r="M3378">
        <v>0</v>
      </c>
      <c r="N3378">
        <v>9</v>
      </c>
      <c r="O3378">
        <v>95</v>
      </c>
      <c r="P3378">
        <f t="shared" si="177"/>
        <v>2025</v>
      </c>
      <c r="Q3378">
        <f t="shared" si="178"/>
        <v>11</v>
      </c>
      <c r="R3378" t="str">
        <f t="shared" si="179"/>
        <v>主会场</v>
      </c>
      <c r="S3378" t="s">
        <v>784</v>
      </c>
      <c r="T3378" t="s">
        <v>805</v>
      </c>
    </row>
    <row r="3379" spans="1:20" x14ac:dyDescent="0.3">
      <c r="A3379" t="s">
        <v>627</v>
      </c>
      <c r="B3379" s="16">
        <v>45962</v>
      </c>
      <c r="C3379" t="s">
        <v>3</v>
      </c>
      <c r="D3379" t="s">
        <v>117</v>
      </c>
      <c r="E3379" t="s">
        <v>161</v>
      </c>
      <c r="F3379">
        <v>1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1</v>
      </c>
      <c r="P3379">
        <f t="shared" si="177"/>
        <v>2025</v>
      </c>
      <c r="Q3379">
        <f t="shared" si="178"/>
        <v>11</v>
      </c>
      <c r="R3379" t="str">
        <f t="shared" si="179"/>
        <v>其他入口榜单</v>
      </c>
      <c r="S3379" t="s">
        <v>784</v>
      </c>
      <c r="T3379" t="s">
        <v>805</v>
      </c>
    </row>
    <row r="3380" spans="1:20" x14ac:dyDescent="0.3">
      <c r="A3380" t="s">
        <v>627</v>
      </c>
      <c r="B3380" s="16">
        <v>45962</v>
      </c>
      <c r="C3380" t="s">
        <v>3</v>
      </c>
      <c r="D3380" t="s">
        <v>123</v>
      </c>
      <c r="E3380" t="s">
        <v>170</v>
      </c>
      <c r="F3380">
        <v>44</v>
      </c>
      <c r="G3380">
        <v>16</v>
      </c>
      <c r="H3380">
        <v>4</v>
      </c>
      <c r="I3380">
        <v>0</v>
      </c>
      <c r="J3380">
        <v>6940</v>
      </c>
      <c r="K3380">
        <v>3</v>
      </c>
      <c r="L3380">
        <v>3450</v>
      </c>
      <c r="M3380">
        <v>2</v>
      </c>
      <c r="N3380">
        <v>39</v>
      </c>
      <c r="O3380">
        <v>24</v>
      </c>
      <c r="P3380">
        <f t="shared" si="177"/>
        <v>2025</v>
      </c>
      <c r="Q3380">
        <f t="shared" si="178"/>
        <v>11</v>
      </c>
      <c r="R3380" t="str">
        <f t="shared" si="179"/>
        <v>店铺超链</v>
      </c>
      <c r="S3380" t="s">
        <v>784</v>
      </c>
      <c r="T3380" t="s">
        <v>805</v>
      </c>
    </row>
    <row r="3381" spans="1:20" x14ac:dyDescent="0.3">
      <c r="A3381" t="s">
        <v>627</v>
      </c>
      <c r="B3381" s="16">
        <v>45962</v>
      </c>
      <c r="C3381" t="s">
        <v>3</v>
      </c>
      <c r="D3381" t="s">
        <v>127</v>
      </c>
      <c r="E3381" t="s">
        <v>171</v>
      </c>
      <c r="F3381">
        <v>814</v>
      </c>
      <c r="G3381">
        <v>356</v>
      </c>
      <c r="H3381">
        <v>21</v>
      </c>
      <c r="I3381">
        <v>6</v>
      </c>
      <c r="J3381">
        <v>32715</v>
      </c>
      <c r="K3381">
        <v>5</v>
      </c>
      <c r="L3381">
        <v>17215</v>
      </c>
      <c r="M3381">
        <v>4</v>
      </c>
      <c r="N3381">
        <v>69</v>
      </c>
      <c r="O3381">
        <v>780</v>
      </c>
      <c r="P3381">
        <f t="shared" si="177"/>
        <v>2025</v>
      </c>
      <c r="Q3381">
        <f t="shared" si="178"/>
        <v>11</v>
      </c>
      <c r="R3381" t="str">
        <f t="shared" si="179"/>
        <v>其他猜你喜欢</v>
      </c>
      <c r="S3381" t="s">
        <v>784</v>
      </c>
      <c r="T3381" t="s">
        <v>805</v>
      </c>
    </row>
    <row r="3382" spans="1:20" x14ac:dyDescent="0.3">
      <c r="A3382" t="s">
        <v>627</v>
      </c>
      <c r="B3382" s="16">
        <v>45962</v>
      </c>
      <c r="C3382" t="s">
        <v>3</v>
      </c>
      <c r="D3382" t="s">
        <v>127</v>
      </c>
      <c r="E3382" t="s">
        <v>172</v>
      </c>
      <c r="F3382">
        <v>189</v>
      </c>
      <c r="G3382">
        <v>87</v>
      </c>
      <c r="H3382">
        <v>7</v>
      </c>
      <c r="I3382">
        <v>0</v>
      </c>
      <c r="J3382">
        <v>10182.049999999999</v>
      </c>
      <c r="K3382">
        <v>2</v>
      </c>
      <c r="L3382">
        <v>10182.049999999999</v>
      </c>
      <c r="M3382">
        <v>2</v>
      </c>
      <c r="N3382">
        <v>16</v>
      </c>
      <c r="O3382">
        <v>156</v>
      </c>
      <c r="P3382">
        <f t="shared" si="177"/>
        <v>2025</v>
      </c>
      <c r="Q3382">
        <f t="shared" si="178"/>
        <v>11</v>
      </c>
      <c r="R3382" t="str">
        <f t="shared" si="179"/>
        <v>购中推荐</v>
      </c>
      <c r="S3382" t="s">
        <v>784</v>
      </c>
      <c r="T3382" t="s">
        <v>805</v>
      </c>
    </row>
    <row r="3383" spans="1:20" x14ac:dyDescent="0.3">
      <c r="A3383" t="s">
        <v>627</v>
      </c>
      <c r="B3383" s="16">
        <v>45962</v>
      </c>
      <c r="C3383" t="s">
        <v>3</v>
      </c>
      <c r="D3383" t="s">
        <v>127</v>
      </c>
      <c r="E3383" t="s">
        <v>173</v>
      </c>
      <c r="F3383">
        <v>1035</v>
      </c>
      <c r="G3383">
        <v>562</v>
      </c>
      <c r="H3383">
        <v>23</v>
      </c>
      <c r="I3383">
        <v>10</v>
      </c>
      <c r="J3383">
        <v>12865</v>
      </c>
      <c r="K3383">
        <v>4</v>
      </c>
      <c r="L3383">
        <v>12865</v>
      </c>
      <c r="M3383">
        <v>4</v>
      </c>
      <c r="N3383">
        <v>38</v>
      </c>
      <c r="O3383">
        <v>831</v>
      </c>
      <c r="P3383">
        <f t="shared" si="177"/>
        <v>2025</v>
      </c>
      <c r="Q3383">
        <f t="shared" si="178"/>
        <v>11</v>
      </c>
      <c r="R3383" t="str">
        <f t="shared" si="179"/>
        <v>购后推荐</v>
      </c>
      <c r="S3383" t="s">
        <v>784</v>
      </c>
      <c r="T3383" t="s">
        <v>805</v>
      </c>
    </row>
    <row r="3384" spans="1:20" x14ac:dyDescent="0.3">
      <c r="A3384" t="s">
        <v>627</v>
      </c>
      <c r="B3384" s="16">
        <v>45962</v>
      </c>
      <c r="C3384" t="s">
        <v>3</v>
      </c>
      <c r="D3384" t="s">
        <v>127</v>
      </c>
      <c r="E3384" t="s">
        <v>174</v>
      </c>
      <c r="F3384">
        <v>12022</v>
      </c>
      <c r="G3384">
        <v>6561</v>
      </c>
      <c r="H3384">
        <v>110</v>
      </c>
      <c r="I3384">
        <v>20</v>
      </c>
      <c r="J3384">
        <v>67016.149999999994</v>
      </c>
      <c r="K3384">
        <v>16</v>
      </c>
      <c r="L3384">
        <v>55426.15</v>
      </c>
      <c r="M3384">
        <v>13</v>
      </c>
      <c r="N3384">
        <v>257</v>
      </c>
      <c r="O3384">
        <v>12022</v>
      </c>
      <c r="P3384">
        <f t="shared" si="177"/>
        <v>2025</v>
      </c>
      <c r="Q3384">
        <f t="shared" si="178"/>
        <v>11</v>
      </c>
      <c r="R3384" t="str">
        <f t="shared" si="179"/>
        <v>首页推荐-微详情</v>
      </c>
      <c r="S3384" t="s">
        <v>784</v>
      </c>
      <c r="T3384" t="s">
        <v>805</v>
      </c>
    </row>
    <row r="3385" spans="1:20" x14ac:dyDescent="0.3">
      <c r="A3385" t="s">
        <v>627</v>
      </c>
      <c r="B3385" s="16">
        <v>45962</v>
      </c>
      <c r="C3385" t="s">
        <v>3</v>
      </c>
      <c r="D3385" t="s">
        <v>127</v>
      </c>
      <c r="E3385" t="s">
        <v>175</v>
      </c>
      <c r="F3385">
        <v>131</v>
      </c>
      <c r="G3385">
        <v>71</v>
      </c>
      <c r="H3385">
        <v>2</v>
      </c>
      <c r="I3385">
        <v>2</v>
      </c>
      <c r="J3385">
        <v>1990</v>
      </c>
      <c r="K3385">
        <v>1</v>
      </c>
      <c r="L3385">
        <v>0</v>
      </c>
      <c r="M3385">
        <v>0</v>
      </c>
      <c r="N3385">
        <v>10</v>
      </c>
      <c r="O3385">
        <v>79</v>
      </c>
      <c r="P3385">
        <f t="shared" si="177"/>
        <v>2025</v>
      </c>
      <c r="Q3385">
        <f t="shared" si="178"/>
        <v>11</v>
      </c>
      <c r="R3385" t="str">
        <f t="shared" si="179"/>
        <v>首页推荐-直播</v>
      </c>
      <c r="S3385" t="s">
        <v>784</v>
      </c>
      <c r="T3385" t="s">
        <v>805</v>
      </c>
    </row>
    <row r="3386" spans="1:20" x14ac:dyDescent="0.3">
      <c r="A3386" t="s">
        <v>627</v>
      </c>
      <c r="B3386" s="16">
        <v>45962</v>
      </c>
      <c r="C3386" t="s">
        <v>3</v>
      </c>
      <c r="D3386" t="s">
        <v>127</v>
      </c>
      <c r="E3386" t="s">
        <v>176</v>
      </c>
      <c r="F3386">
        <v>470</v>
      </c>
      <c r="G3386">
        <v>324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3</v>
      </c>
      <c r="O3386">
        <v>34</v>
      </c>
      <c r="P3386">
        <f t="shared" si="177"/>
        <v>2025</v>
      </c>
      <c r="Q3386">
        <f t="shared" si="178"/>
        <v>11</v>
      </c>
      <c r="R3386" t="str">
        <f t="shared" si="179"/>
        <v>首页推荐-短视频</v>
      </c>
      <c r="S3386" t="s">
        <v>784</v>
      </c>
      <c r="T3386" t="s">
        <v>805</v>
      </c>
    </row>
    <row r="3387" spans="1:20" x14ac:dyDescent="0.3">
      <c r="A3387" t="s">
        <v>627</v>
      </c>
      <c r="B3387" s="16">
        <v>45962</v>
      </c>
      <c r="C3387" t="s">
        <v>3</v>
      </c>
      <c r="D3387" t="s">
        <v>128</v>
      </c>
      <c r="E3387" t="s">
        <v>177</v>
      </c>
      <c r="F3387">
        <v>2382</v>
      </c>
      <c r="G3387">
        <v>1962</v>
      </c>
      <c r="H3387">
        <v>70</v>
      </c>
      <c r="I3387">
        <v>19</v>
      </c>
      <c r="J3387">
        <v>115155</v>
      </c>
      <c r="K3387">
        <v>19</v>
      </c>
      <c r="L3387">
        <v>66490</v>
      </c>
      <c r="M3387">
        <v>13</v>
      </c>
      <c r="N3387">
        <v>308</v>
      </c>
      <c r="O3387">
        <v>2322</v>
      </c>
      <c r="P3387">
        <f t="shared" si="177"/>
        <v>2025</v>
      </c>
      <c r="Q3387">
        <f t="shared" si="178"/>
        <v>11</v>
      </c>
      <c r="R3387" t="str">
        <f t="shared" si="179"/>
        <v>手淘搜索-商品及其他</v>
      </c>
      <c r="S3387" t="s">
        <v>784</v>
      </c>
      <c r="T3387" t="s">
        <v>805</v>
      </c>
    </row>
    <row r="3388" spans="1:20" x14ac:dyDescent="0.3">
      <c r="A3388" t="s">
        <v>627</v>
      </c>
      <c r="B3388" s="16">
        <v>45962</v>
      </c>
      <c r="C3388" t="s">
        <v>3</v>
      </c>
      <c r="D3388" t="s">
        <v>128</v>
      </c>
      <c r="E3388" t="s">
        <v>178</v>
      </c>
      <c r="F3388">
        <v>11</v>
      </c>
      <c r="G3388">
        <v>7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2</v>
      </c>
      <c r="O3388">
        <v>10</v>
      </c>
      <c r="P3388">
        <f t="shared" si="177"/>
        <v>2025</v>
      </c>
      <c r="Q3388">
        <f t="shared" si="178"/>
        <v>11</v>
      </c>
      <c r="R3388" t="str">
        <f t="shared" si="179"/>
        <v>手淘搜索-直播</v>
      </c>
      <c r="S3388" t="s">
        <v>784</v>
      </c>
      <c r="T3388" t="s">
        <v>805</v>
      </c>
    </row>
    <row r="3389" spans="1:20" x14ac:dyDescent="0.3">
      <c r="A3389" t="s">
        <v>627</v>
      </c>
      <c r="B3389" s="16">
        <v>45962</v>
      </c>
      <c r="C3389" t="s">
        <v>3</v>
      </c>
      <c r="D3389" t="s">
        <v>128</v>
      </c>
      <c r="E3389" t="s">
        <v>179</v>
      </c>
      <c r="F3389">
        <v>35</v>
      </c>
      <c r="G3389">
        <v>19</v>
      </c>
      <c r="H3389">
        <v>4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3</v>
      </c>
      <c r="O3389">
        <v>35</v>
      </c>
      <c r="P3389">
        <f t="shared" si="177"/>
        <v>2025</v>
      </c>
      <c r="Q3389">
        <f t="shared" si="178"/>
        <v>11</v>
      </c>
      <c r="R3389" t="str">
        <f t="shared" si="179"/>
        <v>手淘搜索-短视频</v>
      </c>
      <c r="S3389" t="s">
        <v>784</v>
      </c>
      <c r="T3389" t="s">
        <v>805</v>
      </c>
    </row>
    <row r="3390" spans="1:20" x14ac:dyDescent="0.3">
      <c r="A3390" t="s">
        <v>627</v>
      </c>
      <c r="B3390" s="16">
        <v>45962</v>
      </c>
      <c r="C3390" t="s">
        <v>3</v>
      </c>
      <c r="D3390" t="s">
        <v>143</v>
      </c>
      <c r="E3390" t="s">
        <v>181</v>
      </c>
      <c r="F3390">
        <v>1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1</v>
      </c>
      <c r="P3390">
        <f t="shared" si="177"/>
        <v>2025</v>
      </c>
      <c r="Q3390">
        <f t="shared" si="178"/>
        <v>11</v>
      </c>
      <c r="R3390" t="str">
        <f t="shared" si="179"/>
        <v>淘特搜索</v>
      </c>
      <c r="S3390" t="s">
        <v>784</v>
      </c>
      <c r="T3390" t="s">
        <v>805</v>
      </c>
    </row>
    <row r="3391" spans="1:20" x14ac:dyDescent="0.3">
      <c r="A3391" t="s">
        <v>627</v>
      </c>
      <c r="B3391" s="16">
        <v>45962</v>
      </c>
      <c r="C3391" t="s">
        <v>3</v>
      </c>
      <c r="D3391" t="s">
        <v>143</v>
      </c>
      <c r="E3391" t="s">
        <v>224</v>
      </c>
      <c r="F3391">
        <v>1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</v>
      </c>
      <c r="P3391">
        <f t="shared" si="177"/>
        <v>2025</v>
      </c>
      <c r="Q3391">
        <f t="shared" si="178"/>
        <v>11</v>
      </c>
      <c r="R3391" t="str">
        <f t="shared" si="179"/>
        <v>淘特自主访问</v>
      </c>
      <c r="S3391" t="s">
        <v>784</v>
      </c>
      <c r="T3391" t="s">
        <v>805</v>
      </c>
    </row>
    <row r="3392" spans="1:20" x14ac:dyDescent="0.3">
      <c r="A3392" t="s">
        <v>627</v>
      </c>
      <c r="B3392" s="16">
        <v>45962</v>
      </c>
      <c r="C3392" t="s">
        <v>2</v>
      </c>
      <c r="D3392" t="s">
        <v>55</v>
      </c>
      <c r="E3392" t="s">
        <v>66</v>
      </c>
      <c r="F3392">
        <v>11</v>
      </c>
      <c r="G3392">
        <v>10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f t="shared" si="177"/>
        <v>2025</v>
      </c>
      <c r="Q3392">
        <f t="shared" si="178"/>
        <v>11</v>
      </c>
      <c r="R3392" t="str">
        <f t="shared" si="179"/>
        <v>短直联动</v>
      </c>
      <c r="S3392" t="s">
        <v>784</v>
      </c>
      <c r="T3392" t="s">
        <v>805</v>
      </c>
    </row>
    <row r="3393" spans="1:20" x14ac:dyDescent="0.3">
      <c r="A3393" t="s">
        <v>627</v>
      </c>
      <c r="B3393" s="16">
        <v>45962</v>
      </c>
      <c r="C3393" t="s">
        <v>2</v>
      </c>
      <c r="D3393" t="s">
        <v>55</v>
      </c>
      <c r="E3393" t="s">
        <v>54</v>
      </c>
      <c r="F3393">
        <v>1450</v>
      </c>
      <c r="G3393">
        <v>1002</v>
      </c>
      <c r="H3393">
        <v>7</v>
      </c>
      <c r="I3393">
        <v>2</v>
      </c>
      <c r="J3393">
        <v>0</v>
      </c>
      <c r="K3393">
        <v>0</v>
      </c>
      <c r="L3393">
        <v>0</v>
      </c>
      <c r="M3393">
        <v>0</v>
      </c>
      <c r="N3393">
        <v>28</v>
      </c>
      <c r="O3393">
        <v>475</v>
      </c>
      <c r="P3393">
        <f t="shared" si="177"/>
        <v>2025</v>
      </c>
      <c r="Q3393">
        <f t="shared" si="178"/>
        <v>11</v>
      </c>
      <c r="R3393" t="str">
        <f t="shared" si="179"/>
        <v>超级直播</v>
      </c>
      <c r="S3393" t="s">
        <v>784</v>
      </c>
      <c r="T3393" t="s">
        <v>805</v>
      </c>
    </row>
    <row r="3394" spans="1:20" x14ac:dyDescent="0.3">
      <c r="A3394" t="s">
        <v>627</v>
      </c>
      <c r="B3394" s="16">
        <v>45962</v>
      </c>
      <c r="C3394" t="s">
        <v>2</v>
      </c>
      <c r="D3394" t="s">
        <v>55</v>
      </c>
      <c r="E3394" t="s">
        <v>56</v>
      </c>
      <c r="F3394">
        <v>152</v>
      </c>
      <c r="G3394">
        <v>121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4</v>
      </c>
      <c r="O3394">
        <v>145</v>
      </c>
      <c r="P3394">
        <f t="shared" si="177"/>
        <v>2025</v>
      </c>
      <c r="Q3394">
        <f t="shared" si="178"/>
        <v>11</v>
      </c>
      <c r="R3394" t="str">
        <f t="shared" si="179"/>
        <v>超级短视频</v>
      </c>
      <c r="S3394" t="s">
        <v>784</v>
      </c>
      <c r="T3394" t="s">
        <v>805</v>
      </c>
    </row>
    <row r="3395" spans="1:20" x14ac:dyDescent="0.3">
      <c r="A3395" t="s">
        <v>627</v>
      </c>
      <c r="B3395" s="16">
        <v>45962</v>
      </c>
      <c r="C3395" t="s">
        <v>2</v>
      </c>
      <c r="D3395" t="s">
        <v>52</v>
      </c>
      <c r="E3395" t="s">
        <v>58</v>
      </c>
      <c r="F3395">
        <v>1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1</v>
      </c>
      <c r="P3395">
        <f t="shared" si="177"/>
        <v>2025</v>
      </c>
      <c r="Q3395">
        <f t="shared" si="178"/>
        <v>11</v>
      </c>
      <c r="R3395" t="str">
        <f t="shared" si="179"/>
        <v>超级全域通</v>
      </c>
      <c r="S3395" t="s">
        <v>784</v>
      </c>
      <c r="T3395" t="s">
        <v>805</v>
      </c>
    </row>
    <row r="3396" spans="1:20" x14ac:dyDescent="0.3">
      <c r="A3396" t="s">
        <v>627</v>
      </c>
      <c r="B3396" s="16">
        <v>45962</v>
      </c>
      <c r="C3396" t="s">
        <v>2</v>
      </c>
      <c r="D3396" t="s">
        <v>57</v>
      </c>
      <c r="E3396" t="s">
        <v>63</v>
      </c>
      <c r="F3396">
        <v>847</v>
      </c>
      <c r="G3396">
        <v>677</v>
      </c>
      <c r="H3396">
        <v>33</v>
      </c>
      <c r="I3396">
        <v>9</v>
      </c>
      <c r="J3396">
        <v>30210</v>
      </c>
      <c r="K3396">
        <v>6</v>
      </c>
      <c r="L3396">
        <v>28720</v>
      </c>
      <c r="M3396">
        <v>5</v>
      </c>
      <c r="N3396">
        <v>843</v>
      </c>
      <c r="O3396">
        <v>462</v>
      </c>
      <c r="P3396">
        <f t="shared" si="177"/>
        <v>2025</v>
      </c>
      <c r="Q3396">
        <f t="shared" si="178"/>
        <v>11</v>
      </c>
      <c r="R3396" t="str">
        <f t="shared" si="179"/>
        <v>万相台</v>
      </c>
      <c r="S3396" t="s">
        <v>784</v>
      </c>
      <c r="T3396" t="s">
        <v>805</v>
      </c>
    </row>
    <row r="3397" spans="1:20" x14ac:dyDescent="0.3">
      <c r="A3397" t="s">
        <v>627</v>
      </c>
      <c r="B3397" s="16">
        <v>45962</v>
      </c>
      <c r="C3397" t="s">
        <v>2</v>
      </c>
      <c r="D3397" t="s">
        <v>57</v>
      </c>
      <c r="E3397" t="s">
        <v>64</v>
      </c>
      <c r="F3397">
        <v>23064</v>
      </c>
      <c r="G3397">
        <v>11759</v>
      </c>
      <c r="H3397">
        <v>57</v>
      </c>
      <c r="I3397">
        <v>120</v>
      </c>
      <c r="J3397">
        <v>19870</v>
      </c>
      <c r="K3397">
        <v>4</v>
      </c>
      <c r="L3397">
        <v>6430</v>
      </c>
      <c r="M3397">
        <v>2</v>
      </c>
      <c r="N3397">
        <v>279</v>
      </c>
      <c r="O3397">
        <v>23063</v>
      </c>
      <c r="P3397">
        <f t="shared" si="177"/>
        <v>2025</v>
      </c>
      <c r="Q3397">
        <f t="shared" si="178"/>
        <v>11</v>
      </c>
      <c r="R3397" t="str">
        <f t="shared" si="179"/>
        <v>引力魔方</v>
      </c>
      <c r="S3397" t="s">
        <v>784</v>
      </c>
      <c r="T3397" t="s">
        <v>805</v>
      </c>
    </row>
    <row r="3398" spans="1:20" x14ac:dyDescent="0.3">
      <c r="A3398" t="s">
        <v>627</v>
      </c>
      <c r="B3398" s="16">
        <v>45962</v>
      </c>
      <c r="C3398" t="s">
        <v>2</v>
      </c>
      <c r="D3398" t="s">
        <v>57</v>
      </c>
      <c r="E3398" t="s">
        <v>65</v>
      </c>
      <c r="F3398">
        <v>5984</v>
      </c>
      <c r="G3398">
        <v>5203</v>
      </c>
      <c r="H3398">
        <v>38</v>
      </c>
      <c r="I3398">
        <v>23</v>
      </c>
      <c r="J3398">
        <v>95700</v>
      </c>
      <c r="K3398">
        <v>10</v>
      </c>
      <c r="L3398">
        <v>44710</v>
      </c>
      <c r="M3398">
        <v>7</v>
      </c>
      <c r="N3398">
        <v>278</v>
      </c>
      <c r="O3398">
        <v>5935</v>
      </c>
      <c r="P3398">
        <f t="shared" si="177"/>
        <v>2025</v>
      </c>
      <c r="Q3398">
        <f t="shared" si="178"/>
        <v>11</v>
      </c>
      <c r="R3398" t="str">
        <f t="shared" si="179"/>
        <v>直通车</v>
      </c>
      <c r="S3398" t="s">
        <v>784</v>
      </c>
      <c r="T3398" t="s">
        <v>805</v>
      </c>
    </row>
    <row r="3399" spans="1:20" x14ac:dyDescent="0.3">
      <c r="A3399" t="s">
        <v>627</v>
      </c>
      <c r="B3399" s="16">
        <v>45962</v>
      </c>
      <c r="C3399" t="s">
        <v>2</v>
      </c>
      <c r="D3399" t="s">
        <v>4</v>
      </c>
      <c r="E3399" t="s">
        <v>41</v>
      </c>
      <c r="F3399">
        <v>4</v>
      </c>
      <c r="G3399">
        <v>2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4</v>
      </c>
      <c r="P3399">
        <f t="shared" si="177"/>
        <v>2025</v>
      </c>
      <c r="Q3399">
        <f t="shared" si="178"/>
        <v>11</v>
      </c>
      <c r="R3399" t="str">
        <f t="shared" si="179"/>
        <v>流量宝</v>
      </c>
      <c r="S3399" t="s">
        <v>784</v>
      </c>
      <c r="T3399" t="s">
        <v>805</v>
      </c>
    </row>
    <row r="3400" spans="1:20" x14ac:dyDescent="0.3">
      <c r="A3400" t="s">
        <v>627</v>
      </c>
      <c r="B3400" s="16">
        <v>45962</v>
      </c>
      <c r="C3400" t="s">
        <v>2</v>
      </c>
      <c r="D3400" t="s">
        <v>4</v>
      </c>
      <c r="E3400" t="s">
        <v>43</v>
      </c>
      <c r="F3400">
        <v>345</v>
      </c>
      <c r="G3400">
        <v>97</v>
      </c>
      <c r="H3400">
        <v>7</v>
      </c>
      <c r="I3400">
        <v>0</v>
      </c>
      <c r="J3400">
        <v>10640</v>
      </c>
      <c r="K3400">
        <v>2</v>
      </c>
      <c r="L3400">
        <v>10640</v>
      </c>
      <c r="M3400">
        <v>2</v>
      </c>
      <c r="N3400">
        <v>1</v>
      </c>
      <c r="O3400">
        <v>343</v>
      </c>
      <c r="P3400">
        <f t="shared" si="177"/>
        <v>2025</v>
      </c>
      <c r="Q3400">
        <f t="shared" si="178"/>
        <v>11</v>
      </c>
      <c r="R3400" t="str">
        <f t="shared" si="179"/>
        <v>淘宝客</v>
      </c>
      <c r="S3400" t="s">
        <v>784</v>
      </c>
      <c r="T3400" t="s">
        <v>805</v>
      </c>
    </row>
    <row r="3401" spans="1:20" x14ac:dyDescent="0.3">
      <c r="A3401" t="s">
        <v>627</v>
      </c>
      <c r="B3401" s="16">
        <v>45961</v>
      </c>
      <c r="C3401" t="s">
        <v>3</v>
      </c>
      <c r="D3401" t="s">
        <v>114</v>
      </c>
      <c r="E3401" t="s">
        <v>159</v>
      </c>
      <c r="F3401">
        <v>180</v>
      </c>
      <c r="G3401">
        <v>78</v>
      </c>
      <c r="H3401">
        <v>1</v>
      </c>
      <c r="I3401">
        <v>1</v>
      </c>
      <c r="J3401">
        <v>6990</v>
      </c>
      <c r="K3401">
        <v>1</v>
      </c>
      <c r="L3401">
        <v>6990</v>
      </c>
      <c r="M3401">
        <v>1</v>
      </c>
      <c r="N3401">
        <v>16</v>
      </c>
      <c r="O3401">
        <v>174</v>
      </c>
      <c r="P3401">
        <f t="shared" si="177"/>
        <v>2025</v>
      </c>
      <c r="Q3401">
        <f t="shared" si="178"/>
        <v>10</v>
      </c>
      <c r="R3401" t="str">
        <f t="shared" si="179"/>
        <v>主会场</v>
      </c>
      <c r="S3401" t="s">
        <v>784</v>
      </c>
      <c r="T3401" t="s">
        <v>805</v>
      </c>
    </row>
    <row r="3402" spans="1:20" x14ac:dyDescent="0.3">
      <c r="A3402" t="s">
        <v>627</v>
      </c>
      <c r="B3402" s="16">
        <v>45961</v>
      </c>
      <c r="C3402" t="s">
        <v>3</v>
      </c>
      <c r="D3402" t="s">
        <v>114</v>
      </c>
      <c r="E3402" t="s">
        <v>160</v>
      </c>
      <c r="F3402">
        <v>2</v>
      </c>
      <c r="G3402">
        <v>2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2</v>
      </c>
      <c r="P3402">
        <f t="shared" si="177"/>
        <v>2025</v>
      </c>
      <c r="Q3402">
        <f t="shared" si="178"/>
        <v>10</v>
      </c>
      <c r="R3402" t="str">
        <f t="shared" si="179"/>
        <v>榜单会场</v>
      </c>
      <c r="S3402" t="s">
        <v>784</v>
      </c>
      <c r="T3402" t="s">
        <v>805</v>
      </c>
    </row>
    <row r="3403" spans="1:20" x14ac:dyDescent="0.3">
      <c r="A3403" t="s">
        <v>627</v>
      </c>
      <c r="B3403" s="16">
        <v>45961</v>
      </c>
      <c r="C3403" t="s">
        <v>3</v>
      </c>
      <c r="D3403" t="s">
        <v>117</v>
      </c>
      <c r="E3403" t="s">
        <v>161</v>
      </c>
      <c r="F3403">
        <v>1</v>
      </c>
      <c r="G3403">
        <v>1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1</v>
      </c>
      <c r="P3403">
        <f t="shared" si="177"/>
        <v>2025</v>
      </c>
      <c r="Q3403">
        <f t="shared" si="178"/>
        <v>10</v>
      </c>
      <c r="R3403" t="str">
        <f t="shared" si="179"/>
        <v>其他入口榜单</v>
      </c>
      <c r="S3403" t="s">
        <v>784</v>
      </c>
      <c r="T3403" t="s">
        <v>805</v>
      </c>
    </row>
    <row r="3404" spans="1:20" x14ac:dyDescent="0.3">
      <c r="A3404" t="s">
        <v>627</v>
      </c>
      <c r="B3404" s="16">
        <v>45961</v>
      </c>
      <c r="C3404" t="s">
        <v>3</v>
      </c>
      <c r="D3404" t="s">
        <v>117</v>
      </c>
      <c r="E3404" t="s">
        <v>191</v>
      </c>
      <c r="F3404">
        <v>1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1</v>
      </c>
      <c r="P3404">
        <f t="shared" si="177"/>
        <v>2025</v>
      </c>
      <c r="Q3404">
        <f t="shared" si="178"/>
        <v>10</v>
      </c>
      <c r="R3404" t="str">
        <f t="shared" si="179"/>
        <v>商品详情页入口榜单</v>
      </c>
      <c r="S3404" t="s">
        <v>784</v>
      </c>
      <c r="T3404" t="s">
        <v>805</v>
      </c>
    </row>
    <row r="3405" spans="1:20" x14ac:dyDescent="0.3">
      <c r="A3405" t="s">
        <v>627</v>
      </c>
      <c r="B3405" s="16">
        <v>45961</v>
      </c>
      <c r="C3405" t="s">
        <v>3</v>
      </c>
      <c r="D3405" t="s">
        <v>123</v>
      </c>
      <c r="E3405" t="s">
        <v>169</v>
      </c>
      <c r="F3405">
        <v>1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</v>
      </c>
      <c r="P3405">
        <f t="shared" si="177"/>
        <v>2025</v>
      </c>
      <c r="Q3405">
        <f t="shared" si="178"/>
        <v>10</v>
      </c>
      <c r="R3405" t="str">
        <f t="shared" si="179"/>
        <v>商品详情页头图推荐</v>
      </c>
      <c r="S3405" t="s">
        <v>784</v>
      </c>
      <c r="T3405" t="s">
        <v>805</v>
      </c>
    </row>
    <row r="3406" spans="1:20" x14ac:dyDescent="0.3">
      <c r="A3406" t="s">
        <v>627</v>
      </c>
      <c r="B3406" s="16">
        <v>45961</v>
      </c>
      <c r="C3406" t="s">
        <v>3</v>
      </c>
      <c r="D3406" t="s">
        <v>123</v>
      </c>
      <c r="E3406" t="s">
        <v>170</v>
      </c>
      <c r="F3406">
        <v>48</v>
      </c>
      <c r="G3406">
        <v>20</v>
      </c>
      <c r="H3406">
        <v>6</v>
      </c>
      <c r="I3406">
        <v>0</v>
      </c>
      <c r="J3406">
        <v>9285</v>
      </c>
      <c r="K3406">
        <v>3</v>
      </c>
      <c r="L3406">
        <v>9285</v>
      </c>
      <c r="M3406">
        <v>3</v>
      </c>
      <c r="N3406">
        <v>41</v>
      </c>
      <c r="O3406">
        <v>25</v>
      </c>
      <c r="P3406">
        <f t="shared" si="177"/>
        <v>2025</v>
      </c>
      <c r="Q3406">
        <f t="shared" si="178"/>
        <v>10</v>
      </c>
      <c r="R3406" t="str">
        <f t="shared" si="179"/>
        <v>店铺超链</v>
      </c>
      <c r="S3406" t="s">
        <v>784</v>
      </c>
      <c r="T3406" t="s">
        <v>805</v>
      </c>
    </row>
    <row r="3407" spans="1:20" x14ac:dyDescent="0.3">
      <c r="A3407" t="s">
        <v>627</v>
      </c>
      <c r="B3407" s="16">
        <v>45961</v>
      </c>
      <c r="C3407" t="s">
        <v>3</v>
      </c>
      <c r="D3407" t="s">
        <v>127</v>
      </c>
      <c r="E3407" t="s">
        <v>171</v>
      </c>
      <c r="F3407">
        <v>736</v>
      </c>
      <c r="G3407">
        <v>306</v>
      </c>
      <c r="H3407">
        <v>29</v>
      </c>
      <c r="I3407">
        <v>11</v>
      </c>
      <c r="J3407">
        <v>53370</v>
      </c>
      <c r="K3407">
        <v>10</v>
      </c>
      <c r="L3407">
        <v>31380</v>
      </c>
      <c r="M3407">
        <v>8</v>
      </c>
      <c r="N3407">
        <v>50</v>
      </c>
      <c r="O3407">
        <v>715</v>
      </c>
      <c r="P3407">
        <f t="shared" si="177"/>
        <v>2025</v>
      </c>
      <c r="Q3407">
        <f t="shared" si="178"/>
        <v>10</v>
      </c>
      <c r="R3407" t="str">
        <f t="shared" si="179"/>
        <v>其他猜你喜欢</v>
      </c>
      <c r="S3407" t="s">
        <v>784</v>
      </c>
      <c r="T3407" t="s">
        <v>805</v>
      </c>
    </row>
    <row r="3408" spans="1:20" x14ac:dyDescent="0.3">
      <c r="A3408" t="s">
        <v>627</v>
      </c>
      <c r="B3408" s="16">
        <v>45961</v>
      </c>
      <c r="C3408" t="s">
        <v>3</v>
      </c>
      <c r="D3408" t="s">
        <v>127</v>
      </c>
      <c r="E3408" t="s">
        <v>172</v>
      </c>
      <c r="F3408">
        <v>153</v>
      </c>
      <c r="G3408">
        <v>57</v>
      </c>
      <c r="H3408">
        <v>4</v>
      </c>
      <c r="I3408">
        <v>1</v>
      </c>
      <c r="J3408">
        <v>3800</v>
      </c>
      <c r="K3408">
        <v>1</v>
      </c>
      <c r="L3408">
        <v>3800</v>
      </c>
      <c r="M3408">
        <v>1</v>
      </c>
      <c r="N3408">
        <v>6</v>
      </c>
      <c r="O3408">
        <v>147</v>
      </c>
      <c r="P3408">
        <f t="shared" si="177"/>
        <v>2025</v>
      </c>
      <c r="Q3408">
        <f t="shared" si="178"/>
        <v>10</v>
      </c>
      <c r="R3408" t="str">
        <f t="shared" si="179"/>
        <v>购中推荐</v>
      </c>
      <c r="S3408" t="s">
        <v>784</v>
      </c>
      <c r="T3408" t="s">
        <v>805</v>
      </c>
    </row>
    <row r="3409" spans="1:20" x14ac:dyDescent="0.3">
      <c r="A3409" t="s">
        <v>627</v>
      </c>
      <c r="B3409" s="16">
        <v>45961</v>
      </c>
      <c r="C3409" t="s">
        <v>3</v>
      </c>
      <c r="D3409" t="s">
        <v>127</v>
      </c>
      <c r="E3409" t="s">
        <v>173</v>
      </c>
      <c r="F3409">
        <v>903</v>
      </c>
      <c r="G3409">
        <v>440</v>
      </c>
      <c r="H3409">
        <v>39</v>
      </c>
      <c r="I3409">
        <v>8</v>
      </c>
      <c r="J3409">
        <v>45515</v>
      </c>
      <c r="K3409">
        <v>9</v>
      </c>
      <c r="L3409">
        <v>40515</v>
      </c>
      <c r="M3409">
        <v>8</v>
      </c>
      <c r="N3409">
        <v>47</v>
      </c>
      <c r="O3409">
        <v>861</v>
      </c>
      <c r="P3409">
        <f t="shared" si="177"/>
        <v>2025</v>
      </c>
      <c r="Q3409">
        <f t="shared" si="178"/>
        <v>10</v>
      </c>
      <c r="R3409" t="str">
        <f t="shared" si="179"/>
        <v>购后推荐</v>
      </c>
      <c r="S3409" t="s">
        <v>784</v>
      </c>
      <c r="T3409" t="s">
        <v>805</v>
      </c>
    </row>
    <row r="3410" spans="1:20" x14ac:dyDescent="0.3">
      <c r="A3410" t="s">
        <v>627</v>
      </c>
      <c r="B3410" s="16">
        <v>45961</v>
      </c>
      <c r="C3410" t="s">
        <v>3</v>
      </c>
      <c r="D3410" t="s">
        <v>127</v>
      </c>
      <c r="E3410" t="s">
        <v>174</v>
      </c>
      <c r="F3410">
        <v>8224</v>
      </c>
      <c r="G3410">
        <v>4022</v>
      </c>
      <c r="H3410">
        <v>89</v>
      </c>
      <c r="I3410">
        <v>31</v>
      </c>
      <c r="J3410">
        <v>100645</v>
      </c>
      <c r="K3410">
        <v>21</v>
      </c>
      <c r="L3410">
        <v>78010</v>
      </c>
      <c r="M3410">
        <v>16</v>
      </c>
      <c r="N3410">
        <v>188</v>
      </c>
      <c r="O3410">
        <v>8224</v>
      </c>
      <c r="P3410">
        <f t="shared" si="177"/>
        <v>2025</v>
      </c>
      <c r="Q3410">
        <f t="shared" si="178"/>
        <v>10</v>
      </c>
      <c r="R3410" t="str">
        <f t="shared" si="179"/>
        <v>首页推荐-微详情</v>
      </c>
      <c r="S3410" t="s">
        <v>784</v>
      </c>
      <c r="T3410" t="s">
        <v>805</v>
      </c>
    </row>
    <row r="3411" spans="1:20" x14ac:dyDescent="0.3">
      <c r="A3411" t="s">
        <v>627</v>
      </c>
      <c r="B3411" s="16">
        <v>45961</v>
      </c>
      <c r="C3411" t="s">
        <v>3</v>
      </c>
      <c r="D3411" t="s">
        <v>127</v>
      </c>
      <c r="E3411" t="s">
        <v>175</v>
      </c>
      <c r="F3411">
        <v>117</v>
      </c>
      <c r="G3411">
        <v>73</v>
      </c>
      <c r="H3411">
        <v>2</v>
      </c>
      <c r="I3411">
        <v>1</v>
      </c>
      <c r="J3411">
        <v>0</v>
      </c>
      <c r="K3411">
        <v>0</v>
      </c>
      <c r="L3411">
        <v>0</v>
      </c>
      <c r="M3411">
        <v>0</v>
      </c>
      <c r="N3411">
        <v>6</v>
      </c>
      <c r="O3411">
        <v>67</v>
      </c>
      <c r="P3411">
        <f t="shared" si="177"/>
        <v>2025</v>
      </c>
      <c r="Q3411">
        <f t="shared" si="178"/>
        <v>10</v>
      </c>
      <c r="R3411" t="str">
        <f t="shared" si="179"/>
        <v>首页推荐-直播</v>
      </c>
      <c r="S3411" t="s">
        <v>784</v>
      </c>
      <c r="T3411" t="s">
        <v>805</v>
      </c>
    </row>
    <row r="3412" spans="1:20" x14ac:dyDescent="0.3">
      <c r="A3412" t="s">
        <v>627</v>
      </c>
      <c r="B3412" s="16">
        <v>45961</v>
      </c>
      <c r="C3412" t="s">
        <v>3</v>
      </c>
      <c r="D3412" t="s">
        <v>127</v>
      </c>
      <c r="E3412" t="s">
        <v>176</v>
      </c>
      <c r="F3412">
        <v>181</v>
      </c>
      <c r="G3412">
        <v>116</v>
      </c>
      <c r="H3412">
        <v>2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4</v>
      </c>
      <c r="O3412">
        <v>25</v>
      </c>
      <c r="P3412">
        <f t="shared" si="177"/>
        <v>2025</v>
      </c>
      <c r="Q3412">
        <f t="shared" si="178"/>
        <v>10</v>
      </c>
      <c r="R3412" t="str">
        <f t="shared" si="179"/>
        <v>首页推荐-短视频</v>
      </c>
      <c r="S3412" t="s">
        <v>784</v>
      </c>
      <c r="T3412" t="s">
        <v>805</v>
      </c>
    </row>
    <row r="3413" spans="1:20" x14ac:dyDescent="0.3">
      <c r="A3413" t="s">
        <v>627</v>
      </c>
      <c r="B3413" s="16">
        <v>45961</v>
      </c>
      <c r="C3413" t="s">
        <v>3</v>
      </c>
      <c r="D3413" t="s">
        <v>128</v>
      </c>
      <c r="E3413" t="s">
        <v>177</v>
      </c>
      <c r="F3413">
        <v>3364</v>
      </c>
      <c r="G3413">
        <v>2906</v>
      </c>
      <c r="H3413">
        <v>65</v>
      </c>
      <c r="I3413">
        <v>19</v>
      </c>
      <c r="J3413">
        <v>101318.43</v>
      </c>
      <c r="K3413">
        <v>18</v>
      </c>
      <c r="L3413">
        <v>57998.43</v>
      </c>
      <c r="M3413">
        <v>15</v>
      </c>
      <c r="N3413">
        <v>339</v>
      </c>
      <c r="O3413">
        <v>3287</v>
      </c>
      <c r="P3413">
        <f t="shared" si="177"/>
        <v>2025</v>
      </c>
      <c r="Q3413">
        <f t="shared" si="178"/>
        <v>10</v>
      </c>
      <c r="R3413" t="str">
        <f t="shared" si="179"/>
        <v>手淘搜索-商品及其他</v>
      </c>
      <c r="S3413" t="s">
        <v>784</v>
      </c>
      <c r="T3413" t="s">
        <v>805</v>
      </c>
    </row>
    <row r="3414" spans="1:20" x14ac:dyDescent="0.3">
      <c r="A3414" t="s">
        <v>627</v>
      </c>
      <c r="B3414" s="16">
        <v>45961</v>
      </c>
      <c r="C3414" t="s">
        <v>3</v>
      </c>
      <c r="D3414" t="s">
        <v>128</v>
      </c>
      <c r="E3414" t="s">
        <v>178</v>
      </c>
      <c r="F3414">
        <v>8</v>
      </c>
      <c r="G3414">
        <v>5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1</v>
      </c>
      <c r="O3414">
        <v>6</v>
      </c>
      <c r="P3414">
        <f t="shared" si="177"/>
        <v>2025</v>
      </c>
      <c r="Q3414">
        <f t="shared" si="178"/>
        <v>10</v>
      </c>
      <c r="R3414" t="str">
        <f t="shared" si="179"/>
        <v>手淘搜索-直播</v>
      </c>
      <c r="S3414" t="s">
        <v>784</v>
      </c>
      <c r="T3414" t="s">
        <v>805</v>
      </c>
    </row>
    <row r="3415" spans="1:20" x14ac:dyDescent="0.3">
      <c r="A3415" t="s">
        <v>627</v>
      </c>
      <c r="B3415" s="16">
        <v>45961</v>
      </c>
      <c r="C3415" t="s">
        <v>3</v>
      </c>
      <c r="D3415" t="s">
        <v>128</v>
      </c>
      <c r="E3415" t="s">
        <v>179</v>
      </c>
      <c r="F3415">
        <v>26</v>
      </c>
      <c r="G3415">
        <v>13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1</v>
      </c>
      <c r="O3415">
        <v>26</v>
      </c>
      <c r="P3415">
        <f t="shared" si="177"/>
        <v>2025</v>
      </c>
      <c r="Q3415">
        <f t="shared" si="178"/>
        <v>10</v>
      </c>
      <c r="R3415" t="str">
        <f t="shared" si="179"/>
        <v>手淘搜索-短视频</v>
      </c>
      <c r="S3415" t="s">
        <v>784</v>
      </c>
      <c r="T3415" t="s">
        <v>805</v>
      </c>
    </row>
    <row r="3416" spans="1:20" x14ac:dyDescent="0.3">
      <c r="A3416" t="s">
        <v>627</v>
      </c>
      <c r="B3416" s="16">
        <v>45961</v>
      </c>
      <c r="C3416" t="s">
        <v>3</v>
      </c>
      <c r="D3416" t="s">
        <v>143</v>
      </c>
      <c r="E3416" t="s">
        <v>180</v>
      </c>
      <c r="F3416">
        <v>1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1</v>
      </c>
      <c r="P3416">
        <f t="shared" si="177"/>
        <v>2025</v>
      </c>
      <c r="Q3416">
        <f t="shared" si="178"/>
        <v>10</v>
      </c>
      <c r="R3416" t="str">
        <f t="shared" si="179"/>
        <v>淘特其他渠道</v>
      </c>
      <c r="S3416" t="s">
        <v>784</v>
      </c>
      <c r="T3416" t="s">
        <v>805</v>
      </c>
    </row>
    <row r="3417" spans="1:20" x14ac:dyDescent="0.3">
      <c r="A3417" t="s">
        <v>627</v>
      </c>
      <c r="B3417" s="16">
        <v>45961</v>
      </c>
      <c r="C3417" t="s">
        <v>3</v>
      </c>
      <c r="D3417" t="s">
        <v>143</v>
      </c>
      <c r="E3417" t="s">
        <v>181</v>
      </c>
      <c r="F3417">
        <v>1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1</v>
      </c>
      <c r="P3417">
        <f t="shared" si="177"/>
        <v>2025</v>
      </c>
      <c r="Q3417">
        <f t="shared" si="178"/>
        <v>10</v>
      </c>
      <c r="R3417" t="str">
        <f t="shared" si="179"/>
        <v>淘特搜索</v>
      </c>
      <c r="S3417" t="s">
        <v>784</v>
      </c>
      <c r="T3417" t="s">
        <v>805</v>
      </c>
    </row>
    <row r="3418" spans="1:20" x14ac:dyDescent="0.3">
      <c r="A3418" t="s">
        <v>627</v>
      </c>
      <c r="B3418" s="16">
        <v>45961</v>
      </c>
      <c r="C3418" t="s">
        <v>2</v>
      </c>
      <c r="D3418" t="s">
        <v>55</v>
      </c>
      <c r="E3418" t="s">
        <v>66</v>
      </c>
      <c r="F3418">
        <v>7</v>
      </c>
      <c r="G3418">
        <v>4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f t="shared" si="177"/>
        <v>2025</v>
      </c>
      <c r="Q3418">
        <f t="shared" si="178"/>
        <v>10</v>
      </c>
      <c r="R3418" t="str">
        <f t="shared" si="179"/>
        <v>短直联动</v>
      </c>
      <c r="S3418" t="s">
        <v>784</v>
      </c>
      <c r="T3418" t="s">
        <v>805</v>
      </c>
    </row>
    <row r="3419" spans="1:20" x14ac:dyDescent="0.3">
      <c r="A3419" t="s">
        <v>627</v>
      </c>
      <c r="B3419" s="16">
        <v>45961</v>
      </c>
      <c r="C3419" t="s">
        <v>2</v>
      </c>
      <c r="D3419" t="s">
        <v>55</v>
      </c>
      <c r="E3419" t="s">
        <v>54</v>
      </c>
      <c r="F3419">
        <v>1087</v>
      </c>
      <c r="G3419">
        <v>557</v>
      </c>
      <c r="H3419">
        <v>11</v>
      </c>
      <c r="I3419">
        <v>1</v>
      </c>
      <c r="J3419">
        <v>0</v>
      </c>
      <c r="K3419">
        <v>0</v>
      </c>
      <c r="L3419">
        <v>0</v>
      </c>
      <c r="M3419">
        <v>0</v>
      </c>
      <c r="N3419">
        <v>16</v>
      </c>
      <c r="O3419">
        <v>295</v>
      </c>
      <c r="P3419">
        <f t="shared" si="177"/>
        <v>2025</v>
      </c>
      <c r="Q3419">
        <f t="shared" si="178"/>
        <v>10</v>
      </c>
      <c r="R3419" t="str">
        <f t="shared" si="179"/>
        <v>超级直播</v>
      </c>
      <c r="S3419" t="s">
        <v>784</v>
      </c>
      <c r="T3419" t="s">
        <v>805</v>
      </c>
    </row>
    <row r="3420" spans="1:20" x14ac:dyDescent="0.3">
      <c r="A3420" t="s">
        <v>627</v>
      </c>
      <c r="B3420" s="16">
        <v>45961</v>
      </c>
      <c r="C3420" t="s">
        <v>2</v>
      </c>
      <c r="D3420" t="s">
        <v>55</v>
      </c>
      <c r="E3420" t="s">
        <v>56</v>
      </c>
      <c r="F3420">
        <v>130</v>
      </c>
      <c r="G3420">
        <v>108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5</v>
      </c>
      <c r="O3420">
        <v>123</v>
      </c>
      <c r="P3420">
        <f t="shared" si="177"/>
        <v>2025</v>
      </c>
      <c r="Q3420">
        <f t="shared" si="178"/>
        <v>10</v>
      </c>
      <c r="R3420" t="str">
        <f t="shared" si="179"/>
        <v>超级短视频</v>
      </c>
      <c r="S3420" t="s">
        <v>784</v>
      </c>
      <c r="T3420" t="s">
        <v>805</v>
      </c>
    </row>
    <row r="3421" spans="1:20" x14ac:dyDescent="0.3">
      <c r="A3421" t="s">
        <v>627</v>
      </c>
      <c r="B3421" s="16">
        <v>45961</v>
      </c>
      <c r="C3421" t="s">
        <v>2</v>
      </c>
      <c r="D3421" t="s">
        <v>57</v>
      </c>
      <c r="E3421" t="s">
        <v>63</v>
      </c>
      <c r="F3421">
        <v>771</v>
      </c>
      <c r="G3421">
        <v>616</v>
      </c>
      <c r="H3421">
        <v>27</v>
      </c>
      <c r="I3421">
        <v>4</v>
      </c>
      <c r="J3421">
        <v>54840</v>
      </c>
      <c r="K3421">
        <v>7</v>
      </c>
      <c r="L3421">
        <v>50850</v>
      </c>
      <c r="M3421">
        <v>7</v>
      </c>
      <c r="N3421">
        <v>769</v>
      </c>
      <c r="O3421">
        <v>412</v>
      </c>
      <c r="P3421">
        <f t="shared" si="177"/>
        <v>2025</v>
      </c>
      <c r="Q3421">
        <f t="shared" si="178"/>
        <v>10</v>
      </c>
      <c r="R3421" t="str">
        <f t="shared" si="179"/>
        <v>万相台</v>
      </c>
      <c r="S3421" t="s">
        <v>784</v>
      </c>
      <c r="T3421" t="s">
        <v>805</v>
      </c>
    </row>
    <row r="3422" spans="1:20" x14ac:dyDescent="0.3">
      <c r="A3422" t="s">
        <v>627</v>
      </c>
      <c r="B3422" s="16">
        <v>45961</v>
      </c>
      <c r="C3422" t="s">
        <v>2</v>
      </c>
      <c r="D3422" t="s">
        <v>57</v>
      </c>
      <c r="E3422" t="s">
        <v>64</v>
      </c>
      <c r="F3422">
        <v>19360</v>
      </c>
      <c r="G3422">
        <v>8240</v>
      </c>
      <c r="H3422">
        <v>72</v>
      </c>
      <c r="I3422">
        <v>101</v>
      </c>
      <c r="J3422">
        <v>60470</v>
      </c>
      <c r="K3422">
        <v>10</v>
      </c>
      <c r="L3422">
        <v>22100</v>
      </c>
      <c r="M3422">
        <v>6</v>
      </c>
      <c r="N3422">
        <v>255</v>
      </c>
      <c r="O3422">
        <v>19356</v>
      </c>
      <c r="P3422">
        <f t="shared" si="177"/>
        <v>2025</v>
      </c>
      <c r="Q3422">
        <f t="shared" si="178"/>
        <v>10</v>
      </c>
      <c r="R3422" t="str">
        <f t="shared" si="179"/>
        <v>引力魔方</v>
      </c>
      <c r="S3422" t="s">
        <v>784</v>
      </c>
      <c r="T3422" t="s">
        <v>805</v>
      </c>
    </row>
    <row r="3423" spans="1:20" x14ac:dyDescent="0.3">
      <c r="A3423" t="s">
        <v>627</v>
      </c>
      <c r="B3423" s="16">
        <v>45961</v>
      </c>
      <c r="C3423" t="s">
        <v>2</v>
      </c>
      <c r="D3423" t="s">
        <v>57</v>
      </c>
      <c r="E3423" t="s">
        <v>65</v>
      </c>
      <c r="F3423">
        <v>5582</v>
      </c>
      <c r="G3423">
        <v>4788</v>
      </c>
      <c r="H3423">
        <v>40</v>
      </c>
      <c r="I3423">
        <v>30</v>
      </c>
      <c r="J3423">
        <v>70865</v>
      </c>
      <c r="K3423">
        <v>17</v>
      </c>
      <c r="L3423">
        <v>49415</v>
      </c>
      <c r="M3423">
        <v>15</v>
      </c>
      <c r="N3423">
        <v>279</v>
      </c>
      <c r="O3423">
        <v>5533</v>
      </c>
      <c r="P3423">
        <f t="shared" si="177"/>
        <v>2025</v>
      </c>
      <c r="Q3423">
        <f t="shared" si="178"/>
        <v>10</v>
      </c>
      <c r="R3423" t="str">
        <f t="shared" si="179"/>
        <v>直通车</v>
      </c>
      <c r="S3423" t="s">
        <v>784</v>
      </c>
      <c r="T3423" t="s">
        <v>805</v>
      </c>
    </row>
    <row r="3424" spans="1:20" x14ac:dyDescent="0.3">
      <c r="A3424" t="s">
        <v>627</v>
      </c>
      <c r="B3424" s="16">
        <v>45961</v>
      </c>
      <c r="C3424" t="s">
        <v>2</v>
      </c>
      <c r="D3424" t="s">
        <v>4</v>
      </c>
      <c r="E3424" t="s">
        <v>41</v>
      </c>
      <c r="F3424">
        <v>5</v>
      </c>
      <c r="G3424">
        <v>4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1</v>
      </c>
      <c r="O3424">
        <v>4</v>
      </c>
      <c r="P3424">
        <f t="shared" si="177"/>
        <v>2025</v>
      </c>
      <c r="Q3424">
        <f t="shared" si="178"/>
        <v>10</v>
      </c>
      <c r="R3424" t="str">
        <f t="shared" si="179"/>
        <v>流量宝</v>
      </c>
      <c r="S3424" t="s">
        <v>784</v>
      </c>
      <c r="T3424" t="s">
        <v>805</v>
      </c>
    </row>
    <row r="3425" spans="1:20" x14ac:dyDescent="0.3">
      <c r="A3425" t="s">
        <v>627</v>
      </c>
      <c r="B3425" s="16">
        <v>45961</v>
      </c>
      <c r="C3425" t="s">
        <v>2</v>
      </c>
      <c r="D3425" t="s">
        <v>4</v>
      </c>
      <c r="E3425" t="s">
        <v>43</v>
      </c>
      <c r="F3425">
        <v>308</v>
      </c>
      <c r="G3425">
        <v>96</v>
      </c>
      <c r="H3425">
        <v>6</v>
      </c>
      <c r="I3425">
        <v>2</v>
      </c>
      <c r="J3425">
        <v>30750</v>
      </c>
      <c r="K3425">
        <v>2</v>
      </c>
      <c r="L3425">
        <v>16820</v>
      </c>
      <c r="M3425">
        <v>2</v>
      </c>
      <c r="N3425">
        <v>3</v>
      </c>
      <c r="O3425">
        <v>307</v>
      </c>
      <c r="P3425">
        <f t="shared" si="177"/>
        <v>2025</v>
      </c>
      <c r="Q3425">
        <f t="shared" si="178"/>
        <v>10</v>
      </c>
      <c r="R3425" t="str">
        <f t="shared" si="179"/>
        <v>淘宝客</v>
      </c>
      <c r="S3425" t="s">
        <v>784</v>
      </c>
      <c r="T3425" t="s">
        <v>805</v>
      </c>
    </row>
    <row r="3426" spans="1:20" x14ac:dyDescent="0.3">
      <c r="A3426" t="s">
        <v>627</v>
      </c>
      <c r="B3426" s="16">
        <v>45960</v>
      </c>
      <c r="C3426" t="s">
        <v>3</v>
      </c>
      <c r="D3426" t="s">
        <v>114</v>
      </c>
      <c r="E3426" t="s">
        <v>159</v>
      </c>
      <c r="F3426">
        <v>169</v>
      </c>
      <c r="G3426">
        <v>71</v>
      </c>
      <c r="H3426">
        <v>5</v>
      </c>
      <c r="I3426">
        <v>1</v>
      </c>
      <c r="J3426">
        <v>0</v>
      </c>
      <c r="K3426">
        <v>0</v>
      </c>
      <c r="L3426">
        <v>0</v>
      </c>
      <c r="M3426">
        <v>0</v>
      </c>
      <c r="N3426">
        <v>12</v>
      </c>
      <c r="O3426">
        <v>166</v>
      </c>
      <c r="P3426">
        <f t="shared" si="177"/>
        <v>2025</v>
      </c>
      <c r="Q3426">
        <f t="shared" si="178"/>
        <v>10</v>
      </c>
      <c r="R3426" t="str">
        <f t="shared" si="179"/>
        <v>主会场</v>
      </c>
      <c r="S3426" t="s">
        <v>784</v>
      </c>
      <c r="T3426" t="s">
        <v>805</v>
      </c>
    </row>
    <row r="3427" spans="1:20" x14ac:dyDescent="0.3">
      <c r="A3427" t="s">
        <v>627</v>
      </c>
      <c r="B3427" s="16">
        <v>45960</v>
      </c>
      <c r="C3427" t="s">
        <v>3</v>
      </c>
      <c r="D3427" t="s">
        <v>114</v>
      </c>
      <c r="E3427" t="s">
        <v>160</v>
      </c>
      <c r="F3427">
        <v>3</v>
      </c>
      <c r="G3427">
        <v>2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1</v>
      </c>
      <c r="O3427">
        <v>3</v>
      </c>
      <c r="P3427">
        <f t="shared" si="177"/>
        <v>2025</v>
      </c>
      <c r="Q3427">
        <f t="shared" si="178"/>
        <v>10</v>
      </c>
      <c r="R3427" t="str">
        <f t="shared" si="179"/>
        <v>榜单会场</v>
      </c>
      <c r="S3427" t="s">
        <v>784</v>
      </c>
      <c r="T3427" t="s">
        <v>805</v>
      </c>
    </row>
    <row r="3428" spans="1:20" x14ac:dyDescent="0.3">
      <c r="A3428" t="s">
        <v>627</v>
      </c>
      <c r="B3428" s="16">
        <v>45960</v>
      </c>
      <c r="C3428" t="s">
        <v>3</v>
      </c>
      <c r="D3428" t="s">
        <v>123</v>
      </c>
      <c r="E3428" t="s">
        <v>170</v>
      </c>
      <c r="F3428">
        <v>40</v>
      </c>
      <c r="G3428">
        <v>16</v>
      </c>
      <c r="H3428">
        <v>1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36</v>
      </c>
      <c r="O3428">
        <v>22</v>
      </c>
      <c r="P3428">
        <f t="shared" si="177"/>
        <v>2025</v>
      </c>
      <c r="Q3428">
        <f t="shared" si="178"/>
        <v>10</v>
      </c>
      <c r="R3428" t="str">
        <f t="shared" si="179"/>
        <v>店铺超链</v>
      </c>
      <c r="S3428" t="s">
        <v>784</v>
      </c>
      <c r="T3428" t="s">
        <v>805</v>
      </c>
    </row>
    <row r="3429" spans="1:20" x14ac:dyDescent="0.3">
      <c r="A3429" t="s">
        <v>627</v>
      </c>
      <c r="B3429" s="16">
        <v>45960</v>
      </c>
      <c r="C3429" t="s">
        <v>3</v>
      </c>
      <c r="D3429" t="s">
        <v>127</v>
      </c>
      <c r="E3429" t="s">
        <v>171</v>
      </c>
      <c r="F3429">
        <v>991</v>
      </c>
      <c r="G3429">
        <v>496</v>
      </c>
      <c r="H3429">
        <v>41</v>
      </c>
      <c r="I3429">
        <v>9</v>
      </c>
      <c r="J3429">
        <v>36136.269999999997</v>
      </c>
      <c r="K3429">
        <v>11</v>
      </c>
      <c r="L3429">
        <v>29406.27</v>
      </c>
      <c r="M3429">
        <v>11</v>
      </c>
      <c r="N3429">
        <v>109</v>
      </c>
      <c r="O3429">
        <v>946</v>
      </c>
      <c r="P3429">
        <f t="shared" si="177"/>
        <v>2025</v>
      </c>
      <c r="Q3429">
        <f t="shared" si="178"/>
        <v>10</v>
      </c>
      <c r="R3429" t="str">
        <f t="shared" si="179"/>
        <v>其他猜你喜欢</v>
      </c>
      <c r="S3429" t="s">
        <v>784</v>
      </c>
      <c r="T3429" t="s">
        <v>805</v>
      </c>
    </row>
    <row r="3430" spans="1:20" x14ac:dyDescent="0.3">
      <c r="A3430" t="s">
        <v>627</v>
      </c>
      <c r="B3430" s="16">
        <v>45960</v>
      </c>
      <c r="C3430" t="s">
        <v>3</v>
      </c>
      <c r="D3430" t="s">
        <v>127</v>
      </c>
      <c r="E3430" t="s">
        <v>172</v>
      </c>
      <c r="F3430">
        <v>114</v>
      </c>
      <c r="G3430">
        <v>49</v>
      </c>
      <c r="H3430">
        <v>3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8</v>
      </c>
      <c r="O3430">
        <v>109</v>
      </c>
      <c r="P3430">
        <f t="shared" si="177"/>
        <v>2025</v>
      </c>
      <c r="Q3430">
        <f t="shared" si="178"/>
        <v>10</v>
      </c>
      <c r="R3430" t="str">
        <f t="shared" si="179"/>
        <v>购中推荐</v>
      </c>
      <c r="S3430" t="s">
        <v>784</v>
      </c>
      <c r="T3430" t="s">
        <v>805</v>
      </c>
    </row>
    <row r="3431" spans="1:20" x14ac:dyDescent="0.3">
      <c r="A3431" t="s">
        <v>627</v>
      </c>
      <c r="B3431" s="16">
        <v>45960</v>
      </c>
      <c r="C3431" t="s">
        <v>3</v>
      </c>
      <c r="D3431" t="s">
        <v>127</v>
      </c>
      <c r="E3431" t="s">
        <v>173</v>
      </c>
      <c r="F3431">
        <v>735</v>
      </c>
      <c r="G3431">
        <v>313</v>
      </c>
      <c r="H3431">
        <v>26</v>
      </c>
      <c r="I3431">
        <v>6</v>
      </c>
      <c r="J3431">
        <v>16940</v>
      </c>
      <c r="K3431">
        <v>4</v>
      </c>
      <c r="L3431">
        <v>14850</v>
      </c>
      <c r="M3431">
        <v>4</v>
      </c>
      <c r="N3431">
        <v>34</v>
      </c>
      <c r="O3431">
        <v>690</v>
      </c>
      <c r="P3431">
        <f t="shared" si="177"/>
        <v>2025</v>
      </c>
      <c r="Q3431">
        <f t="shared" si="178"/>
        <v>10</v>
      </c>
      <c r="R3431" t="str">
        <f t="shared" si="179"/>
        <v>购后推荐</v>
      </c>
      <c r="S3431" t="s">
        <v>784</v>
      </c>
      <c r="T3431" t="s">
        <v>805</v>
      </c>
    </row>
    <row r="3432" spans="1:20" x14ac:dyDescent="0.3">
      <c r="A3432" t="s">
        <v>627</v>
      </c>
      <c r="B3432" s="16">
        <v>45960</v>
      </c>
      <c r="C3432" t="s">
        <v>3</v>
      </c>
      <c r="D3432" t="s">
        <v>127</v>
      </c>
      <c r="E3432" t="s">
        <v>174</v>
      </c>
      <c r="F3432">
        <v>8634</v>
      </c>
      <c r="G3432">
        <v>4644</v>
      </c>
      <c r="H3432">
        <v>87</v>
      </c>
      <c r="I3432">
        <v>20</v>
      </c>
      <c r="J3432">
        <v>66450</v>
      </c>
      <c r="K3432">
        <v>17</v>
      </c>
      <c r="L3432">
        <v>57720</v>
      </c>
      <c r="M3432">
        <v>16</v>
      </c>
      <c r="N3432">
        <v>175</v>
      </c>
      <c r="O3432">
        <v>8634</v>
      </c>
      <c r="P3432">
        <f t="shared" si="177"/>
        <v>2025</v>
      </c>
      <c r="Q3432">
        <f t="shared" si="178"/>
        <v>10</v>
      </c>
      <c r="R3432" t="str">
        <f t="shared" si="179"/>
        <v>首页推荐-微详情</v>
      </c>
      <c r="S3432" t="s">
        <v>784</v>
      </c>
      <c r="T3432" t="s">
        <v>805</v>
      </c>
    </row>
    <row r="3433" spans="1:20" x14ac:dyDescent="0.3">
      <c r="A3433" t="s">
        <v>627</v>
      </c>
      <c r="B3433" s="16">
        <v>45960</v>
      </c>
      <c r="C3433" t="s">
        <v>3</v>
      </c>
      <c r="D3433" t="s">
        <v>127</v>
      </c>
      <c r="E3433" t="s">
        <v>175</v>
      </c>
      <c r="F3433">
        <v>298</v>
      </c>
      <c r="G3433">
        <v>220</v>
      </c>
      <c r="H3433">
        <v>0</v>
      </c>
      <c r="I3433">
        <v>1</v>
      </c>
      <c r="J3433">
        <v>4895</v>
      </c>
      <c r="K3433">
        <v>1</v>
      </c>
      <c r="L3433">
        <v>0</v>
      </c>
      <c r="M3433">
        <v>0</v>
      </c>
      <c r="N3433">
        <v>3</v>
      </c>
      <c r="O3433">
        <v>81</v>
      </c>
      <c r="P3433">
        <f t="shared" ref="P3433:P3496" si="180">YEAR(B3433)</f>
        <v>2025</v>
      </c>
      <c r="Q3433">
        <f t="shared" ref="Q3433:Q3496" si="181">MONTH(B3433)</f>
        <v>10</v>
      </c>
      <c r="R3433" t="str">
        <f t="shared" ref="R3433:R3496" si="182">E3433</f>
        <v>首页推荐-直播</v>
      </c>
      <c r="S3433" t="s">
        <v>784</v>
      </c>
      <c r="T3433" t="s">
        <v>805</v>
      </c>
    </row>
    <row r="3434" spans="1:20" x14ac:dyDescent="0.3">
      <c r="A3434" t="s">
        <v>627</v>
      </c>
      <c r="B3434" s="16">
        <v>45960</v>
      </c>
      <c r="C3434" t="s">
        <v>3</v>
      </c>
      <c r="D3434" t="s">
        <v>127</v>
      </c>
      <c r="E3434" t="s">
        <v>176</v>
      </c>
      <c r="F3434">
        <v>97</v>
      </c>
      <c r="G3434">
        <v>53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1</v>
      </c>
      <c r="O3434">
        <v>14</v>
      </c>
      <c r="P3434">
        <f t="shared" si="180"/>
        <v>2025</v>
      </c>
      <c r="Q3434">
        <f t="shared" si="181"/>
        <v>10</v>
      </c>
      <c r="R3434" t="str">
        <f t="shared" si="182"/>
        <v>首页推荐-短视频</v>
      </c>
      <c r="S3434" t="s">
        <v>784</v>
      </c>
      <c r="T3434" t="s">
        <v>805</v>
      </c>
    </row>
    <row r="3435" spans="1:20" x14ac:dyDescent="0.3">
      <c r="A3435" t="s">
        <v>627</v>
      </c>
      <c r="B3435" s="16">
        <v>45960</v>
      </c>
      <c r="C3435" t="s">
        <v>3</v>
      </c>
      <c r="D3435" t="s">
        <v>128</v>
      </c>
      <c r="E3435" t="s">
        <v>177</v>
      </c>
      <c r="F3435">
        <v>2300</v>
      </c>
      <c r="G3435">
        <v>1890</v>
      </c>
      <c r="H3435">
        <v>68</v>
      </c>
      <c r="I3435">
        <v>18</v>
      </c>
      <c r="J3435">
        <v>67325</v>
      </c>
      <c r="K3435">
        <v>10</v>
      </c>
      <c r="L3435">
        <v>46345</v>
      </c>
      <c r="M3435">
        <v>8</v>
      </c>
      <c r="N3435">
        <v>276</v>
      </c>
      <c r="O3435">
        <v>2246</v>
      </c>
      <c r="P3435">
        <f t="shared" si="180"/>
        <v>2025</v>
      </c>
      <c r="Q3435">
        <f t="shared" si="181"/>
        <v>10</v>
      </c>
      <c r="R3435" t="str">
        <f t="shared" si="182"/>
        <v>手淘搜索-商品及其他</v>
      </c>
      <c r="S3435" t="s">
        <v>784</v>
      </c>
      <c r="T3435" t="s">
        <v>805</v>
      </c>
    </row>
    <row r="3436" spans="1:20" x14ac:dyDescent="0.3">
      <c r="A3436" t="s">
        <v>627</v>
      </c>
      <c r="B3436" s="16">
        <v>45960</v>
      </c>
      <c r="C3436" t="s">
        <v>3</v>
      </c>
      <c r="D3436" t="s">
        <v>128</v>
      </c>
      <c r="E3436" t="s">
        <v>178</v>
      </c>
      <c r="F3436">
        <v>22</v>
      </c>
      <c r="G3436">
        <v>17</v>
      </c>
      <c r="H3436">
        <v>1</v>
      </c>
      <c r="I3436">
        <v>0</v>
      </c>
      <c r="J3436">
        <v>3490</v>
      </c>
      <c r="K3436">
        <v>1</v>
      </c>
      <c r="L3436">
        <v>0</v>
      </c>
      <c r="M3436">
        <v>0</v>
      </c>
      <c r="N3436">
        <v>2</v>
      </c>
      <c r="O3436">
        <v>20</v>
      </c>
      <c r="P3436">
        <f t="shared" si="180"/>
        <v>2025</v>
      </c>
      <c r="Q3436">
        <f t="shared" si="181"/>
        <v>10</v>
      </c>
      <c r="R3436" t="str">
        <f t="shared" si="182"/>
        <v>手淘搜索-直播</v>
      </c>
      <c r="S3436" t="s">
        <v>784</v>
      </c>
      <c r="T3436" t="s">
        <v>805</v>
      </c>
    </row>
    <row r="3437" spans="1:20" x14ac:dyDescent="0.3">
      <c r="A3437" t="s">
        <v>627</v>
      </c>
      <c r="B3437" s="16">
        <v>45960</v>
      </c>
      <c r="C3437" t="s">
        <v>3</v>
      </c>
      <c r="D3437" t="s">
        <v>128</v>
      </c>
      <c r="E3437" t="s">
        <v>179</v>
      </c>
      <c r="F3437">
        <v>29</v>
      </c>
      <c r="G3437">
        <v>14</v>
      </c>
      <c r="H3437">
        <v>0</v>
      </c>
      <c r="I3437">
        <v>0</v>
      </c>
      <c r="J3437">
        <v>3990</v>
      </c>
      <c r="K3437">
        <v>1</v>
      </c>
      <c r="L3437">
        <v>3990</v>
      </c>
      <c r="M3437">
        <v>1</v>
      </c>
      <c r="N3437">
        <v>0</v>
      </c>
      <c r="O3437">
        <v>29</v>
      </c>
      <c r="P3437">
        <f t="shared" si="180"/>
        <v>2025</v>
      </c>
      <c r="Q3437">
        <f t="shared" si="181"/>
        <v>10</v>
      </c>
      <c r="R3437" t="str">
        <f t="shared" si="182"/>
        <v>手淘搜索-短视频</v>
      </c>
      <c r="S3437" t="s">
        <v>784</v>
      </c>
      <c r="T3437" t="s">
        <v>805</v>
      </c>
    </row>
    <row r="3438" spans="1:20" x14ac:dyDescent="0.3">
      <c r="A3438" t="s">
        <v>627</v>
      </c>
      <c r="B3438" s="16">
        <v>45960</v>
      </c>
      <c r="C3438" t="s">
        <v>3</v>
      </c>
      <c r="D3438" t="s">
        <v>143</v>
      </c>
      <c r="E3438" t="s">
        <v>180</v>
      </c>
      <c r="F3438">
        <v>1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1</v>
      </c>
      <c r="P3438">
        <f t="shared" si="180"/>
        <v>2025</v>
      </c>
      <c r="Q3438">
        <f t="shared" si="181"/>
        <v>10</v>
      </c>
      <c r="R3438" t="str">
        <f t="shared" si="182"/>
        <v>淘特其他渠道</v>
      </c>
      <c r="S3438" t="s">
        <v>784</v>
      </c>
      <c r="T3438" t="s">
        <v>805</v>
      </c>
    </row>
    <row r="3439" spans="1:20" x14ac:dyDescent="0.3">
      <c r="A3439" t="s">
        <v>627</v>
      </c>
      <c r="B3439" s="16">
        <v>45960</v>
      </c>
      <c r="C3439" t="s">
        <v>3</v>
      </c>
      <c r="D3439" t="s">
        <v>157</v>
      </c>
      <c r="E3439" t="s">
        <v>182</v>
      </c>
      <c r="F3439">
        <v>1</v>
      </c>
      <c r="G3439">
        <v>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f t="shared" si="180"/>
        <v>2025</v>
      </c>
      <c r="Q3439">
        <f t="shared" si="181"/>
        <v>10</v>
      </c>
      <c r="R3439" t="str">
        <f t="shared" si="182"/>
        <v>飞猪其他</v>
      </c>
      <c r="S3439" t="s">
        <v>784</v>
      </c>
      <c r="T3439" t="s">
        <v>805</v>
      </c>
    </row>
    <row r="3440" spans="1:20" x14ac:dyDescent="0.3">
      <c r="A3440" t="s">
        <v>627</v>
      </c>
      <c r="B3440" s="16">
        <v>45960</v>
      </c>
      <c r="C3440" t="s">
        <v>2</v>
      </c>
      <c r="D3440" t="s">
        <v>55</v>
      </c>
      <c r="E3440" t="s">
        <v>66</v>
      </c>
      <c r="F3440">
        <v>4</v>
      </c>
      <c r="G3440">
        <v>2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f t="shared" si="180"/>
        <v>2025</v>
      </c>
      <c r="Q3440">
        <f t="shared" si="181"/>
        <v>10</v>
      </c>
      <c r="R3440" t="str">
        <f t="shared" si="182"/>
        <v>短直联动</v>
      </c>
      <c r="S3440" t="s">
        <v>784</v>
      </c>
      <c r="T3440" t="s">
        <v>805</v>
      </c>
    </row>
    <row r="3441" spans="1:20" x14ac:dyDescent="0.3">
      <c r="A3441" t="s">
        <v>627</v>
      </c>
      <c r="B3441" s="16">
        <v>45960</v>
      </c>
      <c r="C3441" t="s">
        <v>2</v>
      </c>
      <c r="D3441" t="s">
        <v>55</v>
      </c>
      <c r="E3441" t="s">
        <v>54</v>
      </c>
      <c r="F3441">
        <v>1036</v>
      </c>
      <c r="G3441">
        <v>549</v>
      </c>
      <c r="H3441">
        <v>19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30</v>
      </c>
      <c r="O3441">
        <v>359</v>
      </c>
      <c r="P3441">
        <f t="shared" si="180"/>
        <v>2025</v>
      </c>
      <c r="Q3441">
        <f t="shared" si="181"/>
        <v>10</v>
      </c>
      <c r="R3441" t="str">
        <f t="shared" si="182"/>
        <v>超级直播</v>
      </c>
      <c r="S3441" t="s">
        <v>784</v>
      </c>
      <c r="T3441" t="s">
        <v>805</v>
      </c>
    </row>
    <row r="3442" spans="1:20" x14ac:dyDescent="0.3">
      <c r="A3442" t="s">
        <v>627</v>
      </c>
      <c r="B3442" s="16">
        <v>45960</v>
      </c>
      <c r="C3442" t="s">
        <v>2</v>
      </c>
      <c r="D3442" t="s">
        <v>55</v>
      </c>
      <c r="E3442" t="s">
        <v>56</v>
      </c>
      <c r="F3442">
        <v>157</v>
      </c>
      <c r="G3442">
        <v>122</v>
      </c>
      <c r="H3442">
        <v>1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2</v>
      </c>
      <c r="O3442">
        <v>154</v>
      </c>
      <c r="P3442">
        <f t="shared" si="180"/>
        <v>2025</v>
      </c>
      <c r="Q3442">
        <f t="shared" si="181"/>
        <v>10</v>
      </c>
      <c r="R3442" t="str">
        <f t="shared" si="182"/>
        <v>超级短视频</v>
      </c>
      <c r="S3442" t="s">
        <v>784</v>
      </c>
      <c r="T3442" t="s">
        <v>805</v>
      </c>
    </row>
    <row r="3443" spans="1:20" x14ac:dyDescent="0.3">
      <c r="A3443" t="s">
        <v>627</v>
      </c>
      <c r="B3443" s="16">
        <v>45960</v>
      </c>
      <c r="C3443" t="s">
        <v>2</v>
      </c>
      <c r="D3443" t="s">
        <v>57</v>
      </c>
      <c r="E3443" t="s">
        <v>63</v>
      </c>
      <c r="F3443">
        <v>835</v>
      </c>
      <c r="G3443">
        <v>686</v>
      </c>
      <c r="H3443">
        <v>19</v>
      </c>
      <c r="I3443">
        <v>5</v>
      </c>
      <c r="J3443">
        <v>30585</v>
      </c>
      <c r="K3443">
        <v>6</v>
      </c>
      <c r="L3443">
        <v>30585</v>
      </c>
      <c r="M3443">
        <v>6</v>
      </c>
      <c r="N3443">
        <v>832</v>
      </c>
      <c r="O3443">
        <v>472</v>
      </c>
      <c r="P3443">
        <f t="shared" si="180"/>
        <v>2025</v>
      </c>
      <c r="Q3443">
        <f t="shared" si="181"/>
        <v>10</v>
      </c>
      <c r="R3443" t="str">
        <f t="shared" si="182"/>
        <v>万相台</v>
      </c>
      <c r="S3443" t="s">
        <v>784</v>
      </c>
      <c r="T3443" t="s">
        <v>805</v>
      </c>
    </row>
    <row r="3444" spans="1:20" x14ac:dyDescent="0.3">
      <c r="A3444" t="s">
        <v>627</v>
      </c>
      <c r="B3444" s="16">
        <v>45960</v>
      </c>
      <c r="C3444" t="s">
        <v>2</v>
      </c>
      <c r="D3444" t="s">
        <v>57</v>
      </c>
      <c r="E3444" t="s">
        <v>64</v>
      </c>
      <c r="F3444">
        <v>42231</v>
      </c>
      <c r="G3444">
        <v>25428</v>
      </c>
      <c r="H3444">
        <v>123</v>
      </c>
      <c r="I3444">
        <v>182</v>
      </c>
      <c r="J3444">
        <v>45320</v>
      </c>
      <c r="K3444">
        <v>13</v>
      </c>
      <c r="L3444">
        <v>39740</v>
      </c>
      <c r="M3444">
        <v>12</v>
      </c>
      <c r="N3444">
        <v>445</v>
      </c>
      <c r="O3444">
        <v>42230</v>
      </c>
      <c r="P3444">
        <f t="shared" si="180"/>
        <v>2025</v>
      </c>
      <c r="Q3444">
        <f t="shared" si="181"/>
        <v>10</v>
      </c>
      <c r="R3444" t="str">
        <f t="shared" si="182"/>
        <v>引力魔方</v>
      </c>
      <c r="S3444" t="s">
        <v>784</v>
      </c>
      <c r="T3444" t="s">
        <v>805</v>
      </c>
    </row>
    <row r="3445" spans="1:20" x14ac:dyDescent="0.3">
      <c r="A3445" t="s">
        <v>627</v>
      </c>
      <c r="B3445" s="16">
        <v>45960</v>
      </c>
      <c r="C3445" t="s">
        <v>2</v>
      </c>
      <c r="D3445" t="s">
        <v>57</v>
      </c>
      <c r="E3445" t="s">
        <v>65</v>
      </c>
      <c r="F3445">
        <v>5656</v>
      </c>
      <c r="G3445">
        <v>4856</v>
      </c>
      <c r="H3445">
        <v>49</v>
      </c>
      <c r="I3445">
        <v>7</v>
      </c>
      <c r="J3445">
        <v>94215</v>
      </c>
      <c r="K3445">
        <v>14</v>
      </c>
      <c r="L3445">
        <v>37045</v>
      </c>
      <c r="M3445">
        <v>10</v>
      </c>
      <c r="N3445">
        <v>295</v>
      </c>
      <c r="O3445">
        <v>5606</v>
      </c>
      <c r="P3445">
        <f t="shared" si="180"/>
        <v>2025</v>
      </c>
      <c r="Q3445">
        <f t="shared" si="181"/>
        <v>10</v>
      </c>
      <c r="R3445" t="str">
        <f t="shared" si="182"/>
        <v>直通车</v>
      </c>
      <c r="S3445" t="s">
        <v>784</v>
      </c>
      <c r="T3445" t="s">
        <v>805</v>
      </c>
    </row>
    <row r="3446" spans="1:20" x14ac:dyDescent="0.3">
      <c r="A3446" t="s">
        <v>627</v>
      </c>
      <c r="B3446" s="16">
        <v>45960</v>
      </c>
      <c r="C3446" t="s">
        <v>2</v>
      </c>
      <c r="D3446" t="s">
        <v>4</v>
      </c>
      <c r="E3446" t="s">
        <v>41</v>
      </c>
      <c r="F3446">
        <v>7</v>
      </c>
      <c r="G3446">
        <v>4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6</v>
      </c>
      <c r="P3446">
        <f t="shared" si="180"/>
        <v>2025</v>
      </c>
      <c r="Q3446">
        <f t="shared" si="181"/>
        <v>10</v>
      </c>
      <c r="R3446" t="str">
        <f t="shared" si="182"/>
        <v>流量宝</v>
      </c>
      <c r="S3446" t="s">
        <v>784</v>
      </c>
      <c r="T3446" t="s">
        <v>805</v>
      </c>
    </row>
    <row r="3447" spans="1:20" x14ac:dyDescent="0.3">
      <c r="A3447" t="s">
        <v>627</v>
      </c>
      <c r="B3447" s="16">
        <v>45960</v>
      </c>
      <c r="C3447" t="s">
        <v>2</v>
      </c>
      <c r="D3447" t="s">
        <v>4</v>
      </c>
      <c r="E3447" t="s">
        <v>43</v>
      </c>
      <c r="F3447">
        <v>349</v>
      </c>
      <c r="G3447">
        <v>100</v>
      </c>
      <c r="H3447">
        <v>3</v>
      </c>
      <c r="I3447">
        <v>0</v>
      </c>
      <c r="J3447">
        <v>19860</v>
      </c>
      <c r="K3447">
        <v>4</v>
      </c>
      <c r="L3447">
        <v>14865</v>
      </c>
      <c r="M3447">
        <v>3</v>
      </c>
      <c r="N3447">
        <v>5</v>
      </c>
      <c r="O3447">
        <v>347</v>
      </c>
      <c r="P3447">
        <f t="shared" si="180"/>
        <v>2025</v>
      </c>
      <c r="Q3447">
        <f t="shared" si="181"/>
        <v>10</v>
      </c>
      <c r="R3447" t="str">
        <f t="shared" si="182"/>
        <v>淘宝客</v>
      </c>
      <c r="S3447" t="s">
        <v>784</v>
      </c>
      <c r="T3447" t="s">
        <v>805</v>
      </c>
    </row>
    <row r="3448" spans="1:20" x14ac:dyDescent="0.3">
      <c r="A3448" t="s">
        <v>627</v>
      </c>
      <c r="B3448" s="16">
        <v>45959</v>
      </c>
      <c r="C3448" t="s">
        <v>3</v>
      </c>
      <c r="D3448" t="s">
        <v>114</v>
      </c>
      <c r="E3448" t="s">
        <v>159</v>
      </c>
      <c r="F3448">
        <v>160</v>
      </c>
      <c r="G3448">
        <v>63</v>
      </c>
      <c r="H3448">
        <v>5</v>
      </c>
      <c r="I3448">
        <v>3</v>
      </c>
      <c r="J3448">
        <v>0</v>
      </c>
      <c r="K3448">
        <v>0</v>
      </c>
      <c r="L3448">
        <v>0</v>
      </c>
      <c r="M3448">
        <v>0</v>
      </c>
      <c r="N3448">
        <v>12</v>
      </c>
      <c r="O3448">
        <v>156</v>
      </c>
      <c r="P3448">
        <f t="shared" si="180"/>
        <v>2025</v>
      </c>
      <c r="Q3448">
        <f t="shared" si="181"/>
        <v>10</v>
      </c>
      <c r="R3448" t="str">
        <f t="shared" si="182"/>
        <v>主会场</v>
      </c>
      <c r="S3448" t="s">
        <v>784</v>
      </c>
      <c r="T3448" t="s">
        <v>805</v>
      </c>
    </row>
    <row r="3449" spans="1:20" x14ac:dyDescent="0.3">
      <c r="A3449" t="s">
        <v>627</v>
      </c>
      <c r="B3449" s="16">
        <v>45959</v>
      </c>
      <c r="C3449" t="s">
        <v>3</v>
      </c>
      <c r="D3449" t="s">
        <v>114</v>
      </c>
      <c r="E3449" t="s">
        <v>160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1</v>
      </c>
      <c r="P3449">
        <f t="shared" si="180"/>
        <v>2025</v>
      </c>
      <c r="Q3449">
        <f t="shared" si="181"/>
        <v>10</v>
      </c>
      <c r="R3449" t="str">
        <f t="shared" si="182"/>
        <v>榜单会场</v>
      </c>
      <c r="S3449" t="s">
        <v>784</v>
      </c>
      <c r="T3449" t="s">
        <v>805</v>
      </c>
    </row>
    <row r="3450" spans="1:20" x14ac:dyDescent="0.3">
      <c r="A3450" t="s">
        <v>627</v>
      </c>
      <c r="B3450" s="16">
        <v>45959</v>
      </c>
      <c r="C3450" t="s">
        <v>3</v>
      </c>
      <c r="D3450" t="s">
        <v>123</v>
      </c>
      <c r="E3450" t="s">
        <v>170</v>
      </c>
      <c r="F3450">
        <v>47</v>
      </c>
      <c r="G3450">
        <v>24</v>
      </c>
      <c r="H3450">
        <v>3</v>
      </c>
      <c r="I3450">
        <v>0</v>
      </c>
      <c r="J3450">
        <v>2990</v>
      </c>
      <c r="K3450">
        <v>1</v>
      </c>
      <c r="L3450">
        <v>2990</v>
      </c>
      <c r="M3450">
        <v>1</v>
      </c>
      <c r="N3450">
        <v>38</v>
      </c>
      <c r="O3450">
        <v>32</v>
      </c>
      <c r="P3450">
        <f t="shared" si="180"/>
        <v>2025</v>
      </c>
      <c r="Q3450">
        <f t="shared" si="181"/>
        <v>10</v>
      </c>
      <c r="R3450" t="str">
        <f t="shared" si="182"/>
        <v>店铺超链</v>
      </c>
      <c r="S3450" t="s">
        <v>784</v>
      </c>
      <c r="T3450" t="s">
        <v>805</v>
      </c>
    </row>
    <row r="3451" spans="1:20" x14ac:dyDescent="0.3">
      <c r="A3451" t="s">
        <v>627</v>
      </c>
      <c r="B3451" s="16">
        <v>45959</v>
      </c>
      <c r="C3451" t="s">
        <v>3</v>
      </c>
      <c r="D3451" t="s">
        <v>127</v>
      </c>
      <c r="E3451" t="s">
        <v>171</v>
      </c>
      <c r="F3451">
        <v>879</v>
      </c>
      <c r="G3451">
        <v>391</v>
      </c>
      <c r="H3451">
        <v>32</v>
      </c>
      <c r="I3451">
        <v>7</v>
      </c>
      <c r="J3451">
        <v>70455</v>
      </c>
      <c r="K3451">
        <v>16</v>
      </c>
      <c r="L3451">
        <v>61475</v>
      </c>
      <c r="M3451">
        <v>15</v>
      </c>
      <c r="N3451">
        <v>90</v>
      </c>
      <c r="O3451">
        <v>835</v>
      </c>
      <c r="P3451">
        <f t="shared" si="180"/>
        <v>2025</v>
      </c>
      <c r="Q3451">
        <f t="shared" si="181"/>
        <v>10</v>
      </c>
      <c r="R3451" t="str">
        <f t="shared" si="182"/>
        <v>其他猜你喜欢</v>
      </c>
      <c r="S3451" t="s">
        <v>784</v>
      </c>
      <c r="T3451" t="s">
        <v>805</v>
      </c>
    </row>
    <row r="3452" spans="1:20" x14ac:dyDescent="0.3">
      <c r="A3452" t="s">
        <v>627</v>
      </c>
      <c r="B3452" s="16">
        <v>45959</v>
      </c>
      <c r="C3452" t="s">
        <v>3</v>
      </c>
      <c r="D3452" t="s">
        <v>127</v>
      </c>
      <c r="E3452" t="s">
        <v>172</v>
      </c>
      <c r="F3452">
        <v>165</v>
      </c>
      <c r="G3452">
        <v>75</v>
      </c>
      <c r="H3452">
        <v>8</v>
      </c>
      <c r="I3452">
        <v>1</v>
      </c>
      <c r="J3452">
        <v>7980</v>
      </c>
      <c r="K3452">
        <v>2</v>
      </c>
      <c r="L3452">
        <v>7980</v>
      </c>
      <c r="M3452">
        <v>2</v>
      </c>
      <c r="N3452">
        <v>13</v>
      </c>
      <c r="O3452">
        <v>141</v>
      </c>
      <c r="P3452">
        <f t="shared" si="180"/>
        <v>2025</v>
      </c>
      <c r="Q3452">
        <f t="shared" si="181"/>
        <v>10</v>
      </c>
      <c r="R3452" t="str">
        <f t="shared" si="182"/>
        <v>购中推荐</v>
      </c>
      <c r="S3452" t="s">
        <v>784</v>
      </c>
      <c r="T3452" t="s">
        <v>805</v>
      </c>
    </row>
    <row r="3453" spans="1:20" x14ac:dyDescent="0.3">
      <c r="A3453" t="s">
        <v>627</v>
      </c>
      <c r="B3453" s="16">
        <v>45959</v>
      </c>
      <c r="C3453" t="s">
        <v>3</v>
      </c>
      <c r="D3453" t="s">
        <v>127</v>
      </c>
      <c r="E3453" t="s">
        <v>173</v>
      </c>
      <c r="F3453">
        <v>978</v>
      </c>
      <c r="G3453">
        <v>541</v>
      </c>
      <c r="H3453">
        <v>32</v>
      </c>
      <c r="I3453">
        <v>6</v>
      </c>
      <c r="J3453">
        <v>23270</v>
      </c>
      <c r="K3453">
        <v>2</v>
      </c>
      <c r="L3453">
        <v>23270</v>
      </c>
      <c r="M3453">
        <v>2</v>
      </c>
      <c r="N3453">
        <v>48</v>
      </c>
      <c r="O3453">
        <v>733</v>
      </c>
      <c r="P3453">
        <f t="shared" si="180"/>
        <v>2025</v>
      </c>
      <c r="Q3453">
        <f t="shared" si="181"/>
        <v>10</v>
      </c>
      <c r="R3453" t="str">
        <f t="shared" si="182"/>
        <v>购后推荐</v>
      </c>
      <c r="S3453" t="s">
        <v>784</v>
      </c>
      <c r="T3453" t="s">
        <v>805</v>
      </c>
    </row>
    <row r="3454" spans="1:20" x14ac:dyDescent="0.3">
      <c r="A3454" t="s">
        <v>627</v>
      </c>
      <c r="B3454" s="16">
        <v>45959</v>
      </c>
      <c r="C3454" t="s">
        <v>3</v>
      </c>
      <c r="D3454" t="s">
        <v>127</v>
      </c>
      <c r="E3454" t="s">
        <v>174</v>
      </c>
      <c r="F3454">
        <v>11746</v>
      </c>
      <c r="G3454">
        <v>7279</v>
      </c>
      <c r="H3454">
        <v>95</v>
      </c>
      <c r="I3454">
        <v>34</v>
      </c>
      <c r="J3454">
        <v>121455</v>
      </c>
      <c r="K3454">
        <v>18</v>
      </c>
      <c r="L3454">
        <v>116810</v>
      </c>
      <c r="M3454">
        <v>17</v>
      </c>
      <c r="N3454">
        <v>259</v>
      </c>
      <c r="O3454">
        <v>11746</v>
      </c>
      <c r="P3454">
        <f t="shared" si="180"/>
        <v>2025</v>
      </c>
      <c r="Q3454">
        <f t="shared" si="181"/>
        <v>10</v>
      </c>
      <c r="R3454" t="str">
        <f t="shared" si="182"/>
        <v>首页推荐-微详情</v>
      </c>
      <c r="S3454" t="s">
        <v>784</v>
      </c>
      <c r="T3454" t="s">
        <v>805</v>
      </c>
    </row>
    <row r="3455" spans="1:20" x14ac:dyDescent="0.3">
      <c r="A3455" t="s">
        <v>627</v>
      </c>
      <c r="B3455" s="16">
        <v>45959</v>
      </c>
      <c r="C3455" t="s">
        <v>3</v>
      </c>
      <c r="D3455" t="s">
        <v>127</v>
      </c>
      <c r="E3455" t="s">
        <v>175</v>
      </c>
      <c r="F3455">
        <v>132</v>
      </c>
      <c r="G3455">
        <v>90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6</v>
      </c>
      <c r="O3455">
        <v>86</v>
      </c>
      <c r="P3455">
        <f t="shared" si="180"/>
        <v>2025</v>
      </c>
      <c r="Q3455">
        <f t="shared" si="181"/>
        <v>10</v>
      </c>
      <c r="R3455" t="str">
        <f t="shared" si="182"/>
        <v>首页推荐-直播</v>
      </c>
      <c r="S3455" t="s">
        <v>784</v>
      </c>
      <c r="T3455" t="s">
        <v>805</v>
      </c>
    </row>
    <row r="3456" spans="1:20" x14ac:dyDescent="0.3">
      <c r="A3456" t="s">
        <v>627</v>
      </c>
      <c r="B3456" s="16">
        <v>45959</v>
      </c>
      <c r="C3456" t="s">
        <v>3</v>
      </c>
      <c r="D3456" t="s">
        <v>127</v>
      </c>
      <c r="E3456" t="s">
        <v>176</v>
      </c>
      <c r="F3456">
        <v>416</v>
      </c>
      <c r="G3456">
        <v>299</v>
      </c>
      <c r="H3456">
        <v>1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7</v>
      </c>
      <c r="O3456">
        <v>41</v>
      </c>
      <c r="P3456">
        <f t="shared" si="180"/>
        <v>2025</v>
      </c>
      <c r="Q3456">
        <f t="shared" si="181"/>
        <v>10</v>
      </c>
      <c r="R3456" t="str">
        <f t="shared" si="182"/>
        <v>首页推荐-短视频</v>
      </c>
      <c r="S3456" t="s">
        <v>784</v>
      </c>
      <c r="T3456" t="s">
        <v>805</v>
      </c>
    </row>
    <row r="3457" spans="1:20" x14ac:dyDescent="0.3">
      <c r="A3457" t="s">
        <v>627</v>
      </c>
      <c r="B3457" s="16">
        <v>45959</v>
      </c>
      <c r="C3457" t="s">
        <v>3</v>
      </c>
      <c r="D3457" t="s">
        <v>128</v>
      </c>
      <c r="E3457" t="s">
        <v>177</v>
      </c>
      <c r="F3457">
        <v>2004</v>
      </c>
      <c r="G3457">
        <v>1611</v>
      </c>
      <c r="H3457">
        <v>57</v>
      </c>
      <c r="I3457">
        <v>13</v>
      </c>
      <c r="J3457">
        <v>25302</v>
      </c>
      <c r="K3457">
        <v>8</v>
      </c>
      <c r="L3457">
        <v>25302</v>
      </c>
      <c r="M3457">
        <v>8</v>
      </c>
      <c r="N3457">
        <v>302</v>
      </c>
      <c r="O3457">
        <v>1936</v>
      </c>
      <c r="P3457">
        <f t="shared" si="180"/>
        <v>2025</v>
      </c>
      <c r="Q3457">
        <f t="shared" si="181"/>
        <v>10</v>
      </c>
      <c r="R3457" t="str">
        <f t="shared" si="182"/>
        <v>手淘搜索-商品及其他</v>
      </c>
      <c r="S3457" t="s">
        <v>784</v>
      </c>
      <c r="T3457" t="s">
        <v>805</v>
      </c>
    </row>
    <row r="3458" spans="1:20" x14ac:dyDescent="0.3">
      <c r="A3458" t="s">
        <v>627</v>
      </c>
      <c r="B3458" s="16">
        <v>45959</v>
      </c>
      <c r="C3458" t="s">
        <v>3</v>
      </c>
      <c r="D3458" t="s">
        <v>128</v>
      </c>
      <c r="E3458" t="s">
        <v>178</v>
      </c>
      <c r="F3458">
        <v>22</v>
      </c>
      <c r="G3458">
        <v>11</v>
      </c>
      <c r="H3458">
        <v>1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4</v>
      </c>
      <c r="O3458">
        <v>18</v>
      </c>
      <c r="P3458">
        <f t="shared" si="180"/>
        <v>2025</v>
      </c>
      <c r="Q3458">
        <f t="shared" si="181"/>
        <v>10</v>
      </c>
      <c r="R3458" t="str">
        <f t="shared" si="182"/>
        <v>手淘搜索-直播</v>
      </c>
      <c r="S3458" t="s">
        <v>784</v>
      </c>
      <c r="T3458" t="s">
        <v>805</v>
      </c>
    </row>
    <row r="3459" spans="1:20" x14ac:dyDescent="0.3">
      <c r="A3459" t="s">
        <v>627</v>
      </c>
      <c r="B3459" s="16">
        <v>45959</v>
      </c>
      <c r="C3459" t="s">
        <v>3</v>
      </c>
      <c r="D3459" t="s">
        <v>128</v>
      </c>
      <c r="E3459" t="s">
        <v>179</v>
      </c>
      <c r="F3459">
        <v>25</v>
      </c>
      <c r="G3459">
        <v>11</v>
      </c>
      <c r="H3459">
        <v>3</v>
      </c>
      <c r="I3459">
        <v>1</v>
      </c>
      <c r="J3459">
        <v>0</v>
      </c>
      <c r="K3459">
        <v>0</v>
      </c>
      <c r="L3459">
        <v>0</v>
      </c>
      <c r="M3459">
        <v>0</v>
      </c>
      <c r="N3459">
        <v>2</v>
      </c>
      <c r="O3459">
        <v>25</v>
      </c>
      <c r="P3459">
        <f t="shared" si="180"/>
        <v>2025</v>
      </c>
      <c r="Q3459">
        <f t="shared" si="181"/>
        <v>10</v>
      </c>
      <c r="R3459" t="str">
        <f t="shared" si="182"/>
        <v>手淘搜索-短视频</v>
      </c>
      <c r="S3459" t="s">
        <v>784</v>
      </c>
      <c r="T3459" t="s">
        <v>805</v>
      </c>
    </row>
    <row r="3460" spans="1:20" x14ac:dyDescent="0.3">
      <c r="A3460" t="s">
        <v>627</v>
      </c>
      <c r="B3460" s="16">
        <v>45959</v>
      </c>
      <c r="C3460" t="s">
        <v>3</v>
      </c>
      <c r="D3460" t="s">
        <v>143</v>
      </c>
      <c r="E3460" t="s">
        <v>180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1</v>
      </c>
      <c r="P3460">
        <f t="shared" si="180"/>
        <v>2025</v>
      </c>
      <c r="Q3460">
        <f t="shared" si="181"/>
        <v>10</v>
      </c>
      <c r="R3460" t="str">
        <f t="shared" si="182"/>
        <v>淘特其他渠道</v>
      </c>
      <c r="S3460" t="s">
        <v>784</v>
      </c>
      <c r="T3460" t="s">
        <v>805</v>
      </c>
    </row>
    <row r="3461" spans="1:20" x14ac:dyDescent="0.3">
      <c r="A3461" t="s">
        <v>627</v>
      </c>
      <c r="B3461" s="16">
        <v>45959</v>
      </c>
      <c r="C3461" t="s">
        <v>3</v>
      </c>
      <c r="D3461" t="s">
        <v>143</v>
      </c>
      <c r="E3461" t="s">
        <v>181</v>
      </c>
      <c r="F3461">
        <v>1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1</v>
      </c>
      <c r="P3461">
        <f t="shared" si="180"/>
        <v>2025</v>
      </c>
      <c r="Q3461">
        <f t="shared" si="181"/>
        <v>10</v>
      </c>
      <c r="R3461" t="str">
        <f t="shared" si="182"/>
        <v>淘特搜索</v>
      </c>
      <c r="S3461" t="s">
        <v>784</v>
      </c>
      <c r="T3461" t="s">
        <v>805</v>
      </c>
    </row>
    <row r="3462" spans="1:20" x14ac:dyDescent="0.3">
      <c r="A3462" t="s">
        <v>627</v>
      </c>
      <c r="B3462" s="16">
        <v>45959</v>
      </c>
      <c r="C3462" t="s">
        <v>3</v>
      </c>
      <c r="D3462" t="s">
        <v>157</v>
      </c>
      <c r="E3462" t="s">
        <v>182</v>
      </c>
      <c r="F3462">
        <v>1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f t="shared" si="180"/>
        <v>2025</v>
      </c>
      <c r="Q3462">
        <f t="shared" si="181"/>
        <v>10</v>
      </c>
      <c r="R3462" t="str">
        <f t="shared" si="182"/>
        <v>飞猪其他</v>
      </c>
      <c r="S3462" t="s">
        <v>784</v>
      </c>
      <c r="T3462" t="s">
        <v>805</v>
      </c>
    </row>
    <row r="3463" spans="1:20" x14ac:dyDescent="0.3">
      <c r="A3463" t="s">
        <v>627</v>
      </c>
      <c r="B3463" s="16">
        <v>45959</v>
      </c>
      <c r="C3463" t="s">
        <v>2</v>
      </c>
      <c r="D3463" t="s">
        <v>55</v>
      </c>
      <c r="E3463" t="s">
        <v>66</v>
      </c>
      <c r="F3463">
        <v>13</v>
      </c>
      <c r="G3463">
        <v>10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f t="shared" si="180"/>
        <v>2025</v>
      </c>
      <c r="Q3463">
        <f t="shared" si="181"/>
        <v>10</v>
      </c>
      <c r="R3463" t="str">
        <f t="shared" si="182"/>
        <v>短直联动</v>
      </c>
      <c r="S3463" t="s">
        <v>784</v>
      </c>
      <c r="T3463" t="s">
        <v>805</v>
      </c>
    </row>
    <row r="3464" spans="1:20" x14ac:dyDescent="0.3">
      <c r="A3464" t="s">
        <v>627</v>
      </c>
      <c r="B3464" s="16">
        <v>45959</v>
      </c>
      <c r="C3464" t="s">
        <v>2</v>
      </c>
      <c r="D3464" t="s">
        <v>55</v>
      </c>
      <c r="E3464" t="s">
        <v>54</v>
      </c>
      <c r="F3464">
        <v>1159</v>
      </c>
      <c r="G3464">
        <v>600</v>
      </c>
      <c r="H3464">
        <v>11</v>
      </c>
      <c r="I3464">
        <v>1</v>
      </c>
      <c r="J3464">
        <v>0</v>
      </c>
      <c r="K3464">
        <v>0</v>
      </c>
      <c r="L3464">
        <v>0</v>
      </c>
      <c r="M3464">
        <v>0</v>
      </c>
      <c r="N3464">
        <v>25</v>
      </c>
      <c r="O3464">
        <v>404</v>
      </c>
      <c r="P3464">
        <f t="shared" si="180"/>
        <v>2025</v>
      </c>
      <c r="Q3464">
        <f t="shared" si="181"/>
        <v>10</v>
      </c>
      <c r="R3464" t="str">
        <f t="shared" si="182"/>
        <v>超级直播</v>
      </c>
      <c r="S3464" t="s">
        <v>784</v>
      </c>
      <c r="T3464" t="s">
        <v>805</v>
      </c>
    </row>
    <row r="3465" spans="1:20" x14ac:dyDescent="0.3">
      <c r="A3465" t="s">
        <v>627</v>
      </c>
      <c r="B3465" s="16">
        <v>45959</v>
      </c>
      <c r="C3465" t="s">
        <v>2</v>
      </c>
      <c r="D3465" t="s">
        <v>55</v>
      </c>
      <c r="E3465" t="s">
        <v>56</v>
      </c>
      <c r="F3465">
        <v>176</v>
      </c>
      <c r="G3465">
        <v>153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5</v>
      </c>
      <c r="O3465">
        <v>168</v>
      </c>
      <c r="P3465">
        <f t="shared" si="180"/>
        <v>2025</v>
      </c>
      <c r="Q3465">
        <f t="shared" si="181"/>
        <v>10</v>
      </c>
      <c r="R3465" t="str">
        <f t="shared" si="182"/>
        <v>超级短视频</v>
      </c>
      <c r="S3465" t="s">
        <v>784</v>
      </c>
      <c r="T3465" t="s">
        <v>805</v>
      </c>
    </row>
    <row r="3466" spans="1:20" x14ac:dyDescent="0.3">
      <c r="A3466" t="s">
        <v>627</v>
      </c>
      <c r="B3466" s="16">
        <v>45959</v>
      </c>
      <c r="C3466" t="s">
        <v>2</v>
      </c>
      <c r="D3466" t="s">
        <v>57</v>
      </c>
      <c r="E3466" t="s">
        <v>63</v>
      </c>
      <c r="F3466">
        <v>783</v>
      </c>
      <c r="G3466">
        <v>643</v>
      </c>
      <c r="H3466">
        <v>37</v>
      </c>
      <c r="I3466">
        <v>8</v>
      </c>
      <c r="J3466">
        <v>11880</v>
      </c>
      <c r="K3466">
        <v>3</v>
      </c>
      <c r="L3466">
        <v>11880</v>
      </c>
      <c r="M3466">
        <v>3</v>
      </c>
      <c r="N3466">
        <v>776</v>
      </c>
      <c r="O3466">
        <v>418</v>
      </c>
      <c r="P3466">
        <f t="shared" si="180"/>
        <v>2025</v>
      </c>
      <c r="Q3466">
        <f t="shared" si="181"/>
        <v>10</v>
      </c>
      <c r="R3466" t="str">
        <f t="shared" si="182"/>
        <v>万相台</v>
      </c>
      <c r="S3466" t="s">
        <v>784</v>
      </c>
      <c r="T3466" t="s">
        <v>805</v>
      </c>
    </row>
    <row r="3467" spans="1:20" x14ac:dyDescent="0.3">
      <c r="A3467" t="s">
        <v>627</v>
      </c>
      <c r="B3467" s="16">
        <v>45959</v>
      </c>
      <c r="C3467" t="s">
        <v>2</v>
      </c>
      <c r="D3467" t="s">
        <v>57</v>
      </c>
      <c r="E3467" t="s">
        <v>64</v>
      </c>
      <c r="F3467">
        <v>26065</v>
      </c>
      <c r="G3467">
        <v>12759</v>
      </c>
      <c r="H3467">
        <v>100</v>
      </c>
      <c r="I3467">
        <v>117</v>
      </c>
      <c r="J3467">
        <v>88475</v>
      </c>
      <c r="K3467">
        <v>12</v>
      </c>
      <c r="L3467">
        <v>59995</v>
      </c>
      <c r="M3467">
        <v>9</v>
      </c>
      <c r="N3467">
        <v>387</v>
      </c>
      <c r="O3467">
        <v>26063</v>
      </c>
      <c r="P3467">
        <f t="shared" si="180"/>
        <v>2025</v>
      </c>
      <c r="Q3467">
        <f t="shared" si="181"/>
        <v>10</v>
      </c>
      <c r="R3467" t="str">
        <f t="shared" si="182"/>
        <v>引力魔方</v>
      </c>
      <c r="S3467" t="s">
        <v>784</v>
      </c>
      <c r="T3467" t="s">
        <v>805</v>
      </c>
    </row>
    <row r="3468" spans="1:20" x14ac:dyDescent="0.3">
      <c r="A3468" t="s">
        <v>627</v>
      </c>
      <c r="B3468" s="16">
        <v>45959</v>
      </c>
      <c r="C3468" t="s">
        <v>2</v>
      </c>
      <c r="D3468" t="s">
        <v>57</v>
      </c>
      <c r="E3468" t="s">
        <v>65</v>
      </c>
      <c r="F3468">
        <v>5403</v>
      </c>
      <c r="G3468">
        <v>4632</v>
      </c>
      <c r="H3468">
        <v>45</v>
      </c>
      <c r="I3468">
        <v>23</v>
      </c>
      <c r="J3468">
        <v>60080</v>
      </c>
      <c r="K3468">
        <v>10</v>
      </c>
      <c r="L3468">
        <v>56280</v>
      </c>
      <c r="M3468">
        <v>10</v>
      </c>
      <c r="N3468">
        <v>287</v>
      </c>
      <c r="O3468">
        <v>5352</v>
      </c>
      <c r="P3468">
        <f t="shared" si="180"/>
        <v>2025</v>
      </c>
      <c r="Q3468">
        <f t="shared" si="181"/>
        <v>10</v>
      </c>
      <c r="R3468" t="str">
        <f t="shared" si="182"/>
        <v>直通车</v>
      </c>
      <c r="S3468" t="s">
        <v>784</v>
      </c>
      <c r="T3468" t="s">
        <v>805</v>
      </c>
    </row>
    <row r="3469" spans="1:20" x14ac:dyDescent="0.3">
      <c r="A3469" t="s">
        <v>627</v>
      </c>
      <c r="B3469" s="16">
        <v>45959</v>
      </c>
      <c r="C3469" t="s">
        <v>2</v>
      </c>
      <c r="D3469" t="s">
        <v>4</v>
      </c>
      <c r="E3469" t="s">
        <v>41</v>
      </c>
      <c r="F3469">
        <v>6</v>
      </c>
      <c r="G3469">
        <v>4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6</v>
      </c>
      <c r="P3469">
        <f t="shared" si="180"/>
        <v>2025</v>
      </c>
      <c r="Q3469">
        <f t="shared" si="181"/>
        <v>10</v>
      </c>
      <c r="R3469" t="str">
        <f t="shared" si="182"/>
        <v>流量宝</v>
      </c>
      <c r="S3469" t="s">
        <v>784</v>
      </c>
      <c r="T3469" t="s">
        <v>805</v>
      </c>
    </row>
    <row r="3470" spans="1:20" x14ac:dyDescent="0.3">
      <c r="A3470" t="s">
        <v>627</v>
      </c>
      <c r="B3470" s="16">
        <v>45959</v>
      </c>
      <c r="C3470" t="s">
        <v>2</v>
      </c>
      <c r="D3470" t="s">
        <v>4</v>
      </c>
      <c r="E3470" t="s">
        <v>43</v>
      </c>
      <c r="F3470">
        <v>341</v>
      </c>
      <c r="G3470">
        <v>113</v>
      </c>
      <c r="H3470">
        <v>5</v>
      </c>
      <c r="I3470">
        <v>1</v>
      </c>
      <c r="J3470">
        <v>35825</v>
      </c>
      <c r="K3470">
        <v>4</v>
      </c>
      <c r="L3470">
        <v>35825</v>
      </c>
      <c r="M3470">
        <v>4</v>
      </c>
      <c r="N3470">
        <v>7</v>
      </c>
      <c r="O3470">
        <v>341</v>
      </c>
      <c r="P3470">
        <f t="shared" si="180"/>
        <v>2025</v>
      </c>
      <c r="Q3470">
        <f t="shared" si="181"/>
        <v>10</v>
      </c>
      <c r="R3470" t="str">
        <f t="shared" si="182"/>
        <v>淘宝客</v>
      </c>
      <c r="S3470" t="s">
        <v>784</v>
      </c>
      <c r="T3470" t="s">
        <v>805</v>
      </c>
    </row>
    <row r="3471" spans="1:20" x14ac:dyDescent="0.3">
      <c r="A3471" t="s">
        <v>627</v>
      </c>
      <c r="B3471" s="16">
        <v>45958</v>
      </c>
      <c r="C3471" t="s">
        <v>3</v>
      </c>
      <c r="D3471" t="s">
        <v>114</v>
      </c>
      <c r="E3471" t="s">
        <v>159</v>
      </c>
      <c r="F3471">
        <v>180</v>
      </c>
      <c r="G3471">
        <v>80</v>
      </c>
      <c r="H3471">
        <v>6</v>
      </c>
      <c r="I3471">
        <v>4</v>
      </c>
      <c r="J3471">
        <v>6220</v>
      </c>
      <c r="K3471">
        <v>1</v>
      </c>
      <c r="L3471">
        <v>6220</v>
      </c>
      <c r="M3471">
        <v>1</v>
      </c>
      <c r="N3471">
        <v>27</v>
      </c>
      <c r="O3471">
        <v>173</v>
      </c>
      <c r="P3471">
        <f t="shared" si="180"/>
        <v>2025</v>
      </c>
      <c r="Q3471">
        <f t="shared" si="181"/>
        <v>10</v>
      </c>
      <c r="R3471" t="str">
        <f t="shared" si="182"/>
        <v>主会场</v>
      </c>
      <c r="S3471" t="s">
        <v>784</v>
      </c>
      <c r="T3471" t="s">
        <v>805</v>
      </c>
    </row>
    <row r="3472" spans="1:20" x14ac:dyDescent="0.3">
      <c r="A3472" t="s">
        <v>627</v>
      </c>
      <c r="B3472" s="16">
        <v>45958</v>
      </c>
      <c r="C3472" t="s">
        <v>3</v>
      </c>
      <c r="D3472" t="s">
        <v>114</v>
      </c>
      <c r="E3472" t="s">
        <v>160</v>
      </c>
      <c r="F3472">
        <v>4</v>
      </c>
      <c r="G3472">
        <v>3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1</v>
      </c>
      <c r="O3472">
        <v>4</v>
      </c>
      <c r="P3472">
        <f t="shared" si="180"/>
        <v>2025</v>
      </c>
      <c r="Q3472">
        <f t="shared" si="181"/>
        <v>10</v>
      </c>
      <c r="R3472" t="str">
        <f t="shared" si="182"/>
        <v>榜单会场</v>
      </c>
      <c r="S3472" t="s">
        <v>784</v>
      </c>
      <c r="T3472" t="s">
        <v>805</v>
      </c>
    </row>
    <row r="3473" spans="1:20" x14ac:dyDescent="0.3">
      <c r="A3473" t="s">
        <v>627</v>
      </c>
      <c r="B3473" s="16">
        <v>45958</v>
      </c>
      <c r="C3473" t="s">
        <v>3</v>
      </c>
      <c r="D3473" t="s">
        <v>117</v>
      </c>
      <c r="E3473" t="s">
        <v>161</v>
      </c>
      <c r="F3473">
        <v>4</v>
      </c>
      <c r="G3473">
        <v>3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4</v>
      </c>
      <c r="P3473">
        <f t="shared" si="180"/>
        <v>2025</v>
      </c>
      <c r="Q3473">
        <f t="shared" si="181"/>
        <v>10</v>
      </c>
      <c r="R3473" t="str">
        <f t="shared" si="182"/>
        <v>其他入口榜单</v>
      </c>
      <c r="S3473" t="s">
        <v>784</v>
      </c>
      <c r="T3473" t="s">
        <v>805</v>
      </c>
    </row>
    <row r="3474" spans="1:20" x14ac:dyDescent="0.3">
      <c r="A3474" t="s">
        <v>627</v>
      </c>
      <c r="B3474" s="16">
        <v>45958</v>
      </c>
      <c r="C3474" t="s">
        <v>3</v>
      </c>
      <c r="D3474" t="s">
        <v>123</v>
      </c>
      <c r="E3474" t="s">
        <v>170</v>
      </c>
      <c r="F3474">
        <v>37</v>
      </c>
      <c r="G3474">
        <v>20</v>
      </c>
      <c r="H3474">
        <v>3</v>
      </c>
      <c r="I3474">
        <v>0</v>
      </c>
      <c r="J3474">
        <v>2150</v>
      </c>
      <c r="K3474">
        <v>1</v>
      </c>
      <c r="L3474">
        <v>2150</v>
      </c>
      <c r="M3474">
        <v>1</v>
      </c>
      <c r="N3474">
        <v>34</v>
      </c>
      <c r="O3474">
        <v>16</v>
      </c>
      <c r="P3474">
        <f t="shared" si="180"/>
        <v>2025</v>
      </c>
      <c r="Q3474">
        <f t="shared" si="181"/>
        <v>10</v>
      </c>
      <c r="R3474" t="str">
        <f t="shared" si="182"/>
        <v>店铺超链</v>
      </c>
      <c r="S3474" t="s">
        <v>784</v>
      </c>
      <c r="T3474" t="s">
        <v>805</v>
      </c>
    </row>
    <row r="3475" spans="1:20" x14ac:dyDescent="0.3">
      <c r="A3475" t="s">
        <v>627</v>
      </c>
      <c r="B3475" s="16">
        <v>45958</v>
      </c>
      <c r="C3475" t="s">
        <v>3</v>
      </c>
      <c r="D3475" t="s">
        <v>127</v>
      </c>
      <c r="E3475" t="s">
        <v>171</v>
      </c>
      <c r="F3475">
        <v>679</v>
      </c>
      <c r="G3475">
        <v>266</v>
      </c>
      <c r="H3475">
        <v>40</v>
      </c>
      <c r="I3475">
        <v>8</v>
      </c>
      <c r="J3475">
        <v>38385</v>
      </c>
      <c r="K3475">
        <v>8</v>
      </c>
      <c r="L3475">
        <v>38385</v>
      </c>
      <c r="M3475">
        <v>8</v>
      </c>
      <c r="N3475">
        <v>114</v>
      </c>
      <c r="O3475">
        <v>657</v>
      </c>
      <c r="P3475">
        <f t="shared" si="180"/>
        <v>2025</v>
      </c>
      <c r="Q3475">
        <f t="shared" si="181"/>
        <v>10</v>
      </c>
      <c r="R3475" t="str">
        <f t="shared" si="182"/>
        <v>其他猜你喜欢</v>
      </c>
      <c r="S3475" t="s">
        <v>784</v>
      </c>
      <c r="T3475" t="s">
        <v>805</v>
      </c>
    </row>
    <row r="3476" spans="1:20" x14ac:dyDescent="0.3">
      <c r="A3476" t="s">
        <v>627</v>
      </c>
      <c r="B3476" s="16">
        <v>45958</v>
      </c>
      <c r="C3476" t="s">
        <v>3</v>
      </c>
      <c r="D3476" t="s">
        <v>127</v>
      </c>
      <c r="E3476" t="s">
        <v>172</v>
      </c>
      <c r="F3476">
        <v>122</v>
      </c>
      <c r="G3476">
        <v>47</v>
      </c>
      <c r="H3476">
        <v>8</v>
      </c>
      <c r="I3476">
        <v>1</v>
      </c>
      <c r="J3476">
        <v>0</v>
      </c>
      <c r="K3476">
        <v>0</v>
      </c>
      <c r="L3476">
        <v>0</v>
      </c>
      <c r="M3476">
        <v>0</v>
      </c>
      <c r="N3476">
        <v>12</v>
      </c>
      <c r="O3476">
        <v>122</v>
      </c>
      <c r="P3476">
        <f t="shared" si="180"/>
        <v>2025</v>
      </c>
      <c r="Q3476">
        <f t="shared" si="181"/>
        <v>10</v>
      </c>
      <c r="R3476" t="str">
        <f t="shared" si="182"/>
        <v>购中推荐</v>
      </c>
      <c r="S3476" t="s">
        <v>784</v>
      </c>
      <c r="T3476" t="s">
        <v>805</v>
      </c>
    </row>
    <row r="3477" spans="1:20" x14ac:dyDescent="0.3">
      <c r="A3477" t="s">
        <v>627</v>
      </c>
      <c r="B3477" s="16">
        <v>45958</v>
      </c>
      <c r="C3477" t="s">
        <v>3</v>
      </c>
      <c r="D3477" t="s">
        <v>127</v>
      </c>
      <c r="E3477" t="s">
        <v>173</v>
      </c>
      <c r="F3477">
        <v>620</v>
      </c>
      <c r="G3477">
        <v>232</v>
      </c>
      <c r="H3477">
        <v>28</v>
      </c>
      <c r="I3477">
        <v>5</v>
      </c>
      <c r="J3477">
        <v>32640</v>
      </c>
      <c r="K3477">
        <v>5</v>
      </c>
      <c r="L3477">
        <v>29490</v>
      </c>
      <c r="M3477">
        <v>4</v>
      </c>
      <c r="N3477">
        <v>55</v>
      </c>
      <c r="O3477">
        <v>620</v>
      </c>
      <c r="P3477">
        <f t="shared" si="180"/>
        <v>2025</v>
      </c>
      <c r="Q3477">
        <f t="shared" si="181"/>
        <v>10</v>
      </c>
      <c r="R3477" t="str">
        <f t="shared" si="182"/>
        <v>购后推荐</v>
      </c>
      <c r="S3477" t="s">
        <v>784</v>
      </c>
      <c r="T3477" t="s">
        <v>805</v>
      </c>
    </row>
    <row r="3478" spans="1:20" x14ac:dyDescent="0.3">
      <c r="A3478" t="s">
        <v>627</v>
      </c>
      <c r="B3478" s="16">
        <v>45958</v>
      </c>
      <c r="C3478" t="s">
        <v>3</v>
      </c>
      <c r="D3478" t="s">
        <v>127</v>
      </c>
      <c r="E3478" t="s">
        <v>174</v>
      </c>
      <c r="F3478">
        <v>6235</v>
      </c>
      <c r="G3478">
        <v>2944</v>
      </c>
      <c r="H3478">
        <v>91</v>
      </c>
      <c r="I3478">
        <v>24</v>
      </c>
      <c r="J3478">
        <v>135810</v>
      </c>
      <c r="K3478">
        <v>21</v>
      </c>
      <c r="L3478">
        <v>126190</v>
      </c>
      <c r="M3478">
        <v>18</v>
      </c>
      <c r="N3478">
        <v>288</v>
      </c>
      <c r="O3478">
        <v>6235</v>
      </c>
      <c r="P3478">
        <f t="shared" si="180"/>
        <v>2025</v>
      </c>
      <c r="Q3478">
        <f t="shared" si="181"/>
        <v>10</v>
      </c>
      <c r="R3478" t="str">
        <f t="shared" si="182"/>
        <v>首页推荐-微详情</v>
      </c>
      <c r="S3478" t="s">
        <v>784</v>
      </c>
      <c r="T3478" t="s">
        <v>805</v>
      </c>
    </row>
    <row r="3479" spans="1:20" x14ac:dyDescent="0.3">
      <c r="A3479" t="s">
        <v>627</v>
      </c>
      <c r="B3479" s="16">
        <v>45958</v>
      </c>
      <c r="C3479" t="s">
        <v>3</v>
      </c>
      <c r="D3479" t="s">
        <v>127</v>
      </c>
      <c r="E3479" t="s">
        <v>175</v>
      </c>
      <c r="F3479">
        <v>2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f t="shared" si="180"/>
        <v>2025</v>
      </c>
      <c r="Q3479">
        <f t="shared" si="181"/>
        <v>10</v>
      </c>
      <c r="R3479" t="str">
        <f t="shared" si="182"/>
        <v>首页推荐-直播</v>
      </c>
      <c r="S3479" t="s">
        <v>784</v>
      </c>
      <c r="T3479" t="s">
        <v>805</v>
      </c>
    </row>
    <row r="3480" spans="1:20" x14ac:dyDescent="0.3">
      <c r="A3480" t="s">
        <v>627</v>
      </c>
      <c r="B3480" s="16">
        <v>45958</v>
      </c>
      <c r="C3480" t="s">
        <v>3</v>
      </c>
      <c r="D3480" t="s">
        <v>127</v>
      </c>
      <c r="E3480" t="s">
        <v>176</v>
      </c>
      <c r="F3480">
        <v>60</v>
      </c>
      <c r="G3480">
        <v>45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5</v>
      </c>
      <c r="P3480">
        <f t="shared" si="180"/>
        <v>2025</v>
      </c>
      <c r="Q3480">
        <f t="shared" si="181"/>
        <v>10</v>
      </c>
      <c r="R3480" t="str">
        <f t="shared" si="182"/>
        <v>首页推荐-短视频</v>
      </c>
      <c r="S3480" t="s">
        <v>784</v>
      </c>
      <c r="T3480" t="s">
        <v>805</v>
      </c>
    </row>
    <row r="3481" spans="1:20" x14ac:dyDescent="0.3">
      <c r="A3481" t="s">
        <v>627</v>
      </c>
      <c r="B3481" s="16">
        <v>45958</v>
      </c>
      <c r="C3481" t="s">
        <v>3</v>
      </c>
      <c r="D3481" t="s">
        <v>128</v>
      </c>
      <c r="E3481" t="s">
        <v>177</v>
      </c>
      <c r="F3481">
        <v>2405</v>
      </c>
      <c r="G3481">
        <v>1997</v>
      </c>
      <c r="H3481">
        <v>69</v>
      </c>
      <c r="I3481">
        <v>10</v>
      </c>
      <c r="J3481">
        <v>55645</v>
      </c>
      <c r="K3481">
        <v>10</v>
      </c>
      <c r="L3481">
        <v>39370</v>
      </c>
      <c r="M3481">
        <v>8</v>
      </c>
      <c r="N3481">
        <v>328</v>
      </c>
      <c r="O3481">
        <v>2325</v>
      </c>
      <c r="P3481">
        <f t="shared" si="180"/>
        <v>2025</v>
      </c>
      <c r="Q3481">
        <f t="shared" si="181"/>
        <v>10</v>
      </c>
      <c r="R3481" t="str">
        <f t="shared" si="182"/>
        <v>手淘搜索-商品及其他</v>
      </c>
      <c r="S3481" t="s">
        <v>784</v>
      </c>
      <c r="T3481" t="s">
        <v>805</v>
      </c>
    </row>
    <row r="3482" spans="1:20" x14ac:dyDescent="0.3">
      <c r="A3482" t="s">
        <v>627</v>
      </c>
      <c r="B3482" s="16">
        <v>45958</v>
      </c>
      <c r="C3482" t="s">
        <v>3</v>
      </c>
      <c r="D3482" t="s">
        <v>128</v>
      </c>
      <c r="E3482" t="s">
        <v>179</v>
      </c>
      <c r="F3482">
        <v>20</v>
      </c>
      <c r="G3482">
        <v>13</v>
      </c>
      <c r="H3482">
        <v>2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1</v>
      </c>
      <c r="O3482">
        <v>20</v>
      </c>
      <c r="P3482">
        <f t="shared" si="180"/>
        <v>2025</v>
      </c>
      <c r="Q3482">
        <f t="shared" si="181"/>
        <v>10</v>
      </c>
      <c r="R3482" t="str">
        <f t="shared" si="182"/>
        <v>手淘搜索-短视频</v>
      </c>
      <c r="S3482" t="s">
        <v>784</v>
      </c>
      <c r="T3482" t="s">
        <v>805</v>
      </c>
    </row>
    <row r="3483" spans="1:20" x14ac:dyDescent="0.3">
      <c r="A3483" t="s">
        <v>627</v>
      </c>
      <c r="B3483" s="16">
        <v>45958</v>
      </c>
      <c r="C3483" t="s">
        <v>3</v>
      </c>
      <c r="D3483" t="s">
        <v>143</v>
      </c>
      <c r="E3483" t="s">
        <v>180</v>
      </c>
      <c r="F3483">
        <v>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1</v>
      </c>
      <c r="P3483">
        <f t="shared" si="180"/>
        <v>2025</v>
      </c>
      <c r="Q3483">
        <f t="shared" si="181"/>
        <v>10</v>
      </c>
      <c r="R3483" t="str">
        <f t="shared" si="182"/>
        <v>淘特其他渠道</v>
      </c>
      <c r="S3483" t="s">
        <v>784</v>
      </c>
      <c r="T3483" t="s">
        <v>805</v>
      </c>
    </row>
    <row r="3484" spans="1:20" x14ac:dyDescent="0.3">
      <c r="A3484" t="s">
        <v>627</v>
      </c>
      <c r="B3484" s="16">
        <v>45958</v>
      </c>
      <c r="C3484" t="s">
        <v>2</v>
      </c>
      <c r="D3484" t="s">
        <v>55</v>
      </c>
      <c r="E3484" t="s">
        <v>66</v>
      </c>
      <c r="F3484">
        <v>1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1</v>
      </c>
      <c r="P3484">
        <f t="shared" si="180"/>
        <v>2025</v>
      </c>
      <c r="Q3484">
        <f t="shared" si="181"/>
        <v>10</v>
      </c>
      <c r="R3484" t="str">
        <f t="shared" si="182"/>
        <v>短直联动</v>
      </c>
      <c r="S3484" t="s">
        <v>784</v>
      </c>
      <c r="T3484" t="s">
        <v>805</v>
      </c>
    </row>
    <row r="3485" spans="1:20" x14ac:dyDescent="0.3">
      <c r="A3485" t="s">
        <v>627</v>
      </c>
      <c r="B3485" s="16">
        <v>45958</v>
      </c>
      <c r="C3485" t="s">
        <v>2</v>
      </c>
      <c r="D3485" t="s">
        <v>55</v>
      </c>
      <c r="E3485" t="s">
        <v>54</v>
      </c>
      <c r="F3485">
        <v>9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4</v>
      </c>
      <c r="P3485">
        <f t="shared" si="180"/>
        <v>2025</v>
      </c>
      <c r="Q3485">
        <f t="shared" si="181"/>
        <v>10</v>
      </c>
      <c r="R3485" t="str">
        <f t="shared" si="182"/>
        <v>超级直播</v>
      </c>
      <c r="S3485" t="s">
        <v>784</v>
      </c>
      <c r="T3485" t="s">
        <v>805</v>
      </c>
    </row>
    <row r="3486" spans="1:20" x14ac:dyDescent="0.3">
      <c r="A3486" t="s">
        <v>627</v>
      </c>
      <c r="B3486" s="16">
        <v>45958</v>
      </c>
      <c r="C3486" t="s">
        <v>2</v>
      </c>
      <c r="D3486" t="s">
        <v>55</v>
      </c>
      <c r="E3486" t="s">
        <v>56</v>
      </c>
      <c r="F3486">
        <v>133</v>
      </c>
      <c r="G3486">
        <v>102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</v>
      </c>
      <c r="O3486">
        <v>131</v>
      </c>
      <c r="P3486">
        <f t="shared" si="180"/>
        <v>2025</v>
      </c>
      <c r="Q3486">
        <f t="shared" si="181"/>
        <v>10</v>
      </c>
      <c r="R3486" t="str">
        <f t="shared" si="182"/>
        <v>超级短视频</v>
      </c>
      <c r="S3486" t="s">
        <v>784</v>
      </c>
      <c r="T3486" t="s">
        <v>805</v>
      </c>
    </row>
    <row r="3487" spans="1:20" x14ac:dyDescent="0.3">
      <c r="A3487" t="s">
        <v>627</v>
      </c>
      <c r="B3487" s="16">
        <v>45958</v>
      </c>
      <c r="C3487" t="s">
        <v>2</v>
      </c>
      <c r="D3487" t="s">
        <v>57</v>
      </c>
      <c r="E3487" t="s">
        <v>63</v>
      </c>
      <c r="F3487">
        <v>768</v>
      </c>
      <c r="G3487">
        <v>643</v>
      </c>
      <c r="H3487">
        <v>18</v>
      </c>
      <c r="I3487">
        <v>6</v>
      </c>
      <c r="J3487">
        <v>46882</v>
      </c>
      <c r="K3487">
        <v>8</v>
      </c>
      <c r="L3487">
        <v>43082</v>
      </c>
      <c r="M3487">
        <v>8</v>
      </c>
      <c r="N3487">
        <v>767</v>
      </c>
      <c r="O3487">
        <v>391</v>
      </c>
      <c r="P3487">
        <f t="shared" si="180"/>
        <v>2025</v>
      </c>
      <c r="Q3487">
        <f t="shared" si="181"/>
        <v>10</v>
      </c>
      <c r="R3487" t="str">
        <f t="shared" si="182"/>
        <v>万相台</v>
      </c>
      <c r="S3487" t="s">
        <v>784</v>
      </c>
      <c r="T3487" t="s">
        <v>805</v>
      </c>
    </row>
    <row r="3488" spans="1:20" x14ac:dyDescent="0.3">
      <c r="A3488" t="s">
        <v>627</v>
      </c>
      <c r="B3488" s="16">
        <v>45958</v>
      </c>
      <c r="C3488" t="s">
        <v>2</v>
      </c>
      <c r="D3488" t="s">
        <v>57</v>
      </c>
      <c r="E3488" t="s">
        <v>64</v>
      </c>
      <c r="F3488">
        <v>24522</v>
      </c>
      <c r="G3488">
        <v>12591</v>
      </c>
      <c r="H3488">
        <v>99</v>
      </c>
      <c r="I3488">
        <v>107</v>
      </c>
      <c r="J3488">
        <v>52225</v>
      </c>
      <c r="K3488">
        <v>8</v>
      </c>
      <c r="L3488">
        <v>19980</v>
      </c>
      <c r="M3488">
        <v>6</v>
      </c>
      <c r="N3488">
        <v>409</v>
      </c>
      <c r="O3488">
        <v>24522</v>
      </c>
      <c r="P3488">
        <f t="shared" si="180"/>
        <v>2025</v>
      </c>
      <c r="Q3488">
        <f t="shared" si="181"/>
        <v>10</v>
      </c>
      <c r="R3488" t="str">
        <f t="shared" si="182"/>
        <v>引力魔方</v>
      </c>
      <c r="S3488" t="s">
        <v>784</v>
      </c>
      <c r="T3488" t="s">
        <v>805</v>
      </c>
    </row>
    <row r="3489" spans="1:20" x14ac:dyDescent="0.3">
      <c r="A3489" t="s">
        <v>627</v>
      </c>
      <c r="B3489" s="16">
        <v>45958</v>
      </c>
      <c r="C3489" t="s">
        <v>2</v>
      </c>
      <c r="D3489" t="s">
        <v>57</v>
      </c>
      <c r="E3489" t="s">
        <v>65</v>
      </c>
      <c r="F3489">
        <v>5860</v>
      </c>
      <c r="G3489">
        <v>4976</v>
      </c>
      <c r="H3489">
        <v>62</v>
      </c>
      <c r="I3489">
        <v>25</v>
      </c>
      <c r="J3489">
        <v>144180</v>
      </c>
      <c r="K3489">
        <v>16</v>
      </c>
      <c r="L3489">
        <v>82280</v>
      </c>
      <c r="M3489">
        <v>11</v>
      </c>
      <c r="N3489">
        <v>330</v>
      </c>
      <c r="O3489">
        <v>5796</v>
      </c>
      <c r="P3489">
        <f t="shared" si="180"/>
        <v>2025</v>
      </c>
      <c r="Q3489">
        <f t="shared" si="181"/>
        <v>10</v>
      </c>
      <c r="R3489" t="str">
        <f t="shared" si="182"/>
        <v>直通车</v>
      </c>
      <c r="S3489" t="s">
        <v>784</v>
      </c>
      <c r="T3489" t="s">
        <v>805</v>
      </c>
    </row>
    <row r="3490" spans="1:20" x14ac:dyDescent="0.3">
      <c r="A3490" t="s">
        <v>627</v>
      </c>
      <c r="B3490" s="16">
        <v>45958</v>
      </c>
      <c r="C3490" t="s">
        <v>2</v>
      </c>
      <c r="D3490" t="s">
        <v>4</v>
      </c>
      <c r="E3490" t="s">
        <v>42</v>
      </c>
      <c r="F3490">
        <v>1</v>
      </c>
      <c r="G3490">
        <v>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1</v>
      </c>
      <c r="P3490">
        <f t="shared" si="180"/>
        <v>2025</v>
      </c>
      <c r="Q3490">
        <f t="shared" si="181"/>
        <v>10</v>
      </c>
      <c r="R3490" t="str">
        <f t="shared" si="182"/>
        <v>UD效果投放</v>
      </c>
      <c r="S3490" t="s">
        <v>784</v>
      </c>
      <c r="T3490" t="s">
        <v>805</v>
      </c>
    </row>
    <row r="3491" spans="1:20" x14ac:dyDescent="0.3">
      <c r="A3491" t="s">
        <v>627</v>
      </c>
      <c r="B3491" s="16">
        <v>45958</v>
      </c>
      <c r="C3491" t="s">
        <v>2</v>
      </c>
      <c r="D3491" t="s">
        <v>4</v>
      </c>
      <c r="E3491" t="s">
        <v>41</v>
      </c>
      <c r="F3491">
        <v>2</v>
      </c>
      <c r="G3491">
        <v>1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1</v>
      </c>
      <c r="P3491">
        <f t="shared" si="180"/>
        <v>2025</v>
      </c>
      <c r="Q3491">
        <f t="shared" si="181"/>
        <v>10</v>
      </c>
      <c r="R3491" t="str">
        <f t="shared" si="182"/>
        <v>流量宝</v>
      </c>
      <c r="S3491" t="s">
        <v>784</v>
      </c>
      <c r="T3491" t="s">
        <v>805</v>
      </c>
    </row>
    <row r="3492" spans="1:20" x14ac:dyDescent="0.3">
      <c r="A3492" t="s">
        <v>627</v>
      </c>
      <c r="B3492" s="16">
        <v>45958</v>
      </c>
      <c r="C3492" t="s">
        <v>2</v>
      </c>
      <c r="D3492" t="s">
        <v>4</v>
      </c>
      <c r="E3492" t="s">
        <v>43</v>
      </c>
      <c r="F3492">
        <v>288</v>
      </c>
      <c r="G3492">
        <v>93</v>
      </c>
      <c r="H3492">
        <v>4</v>
      </c>
      <c r="I3492">
        <v>1</v>
      </c>
      <c r="J3492">
        <v>16540</v>
      </c>
      <c r="K3492">
        <v>1</v>
      </c>
      <c r="L3492">
        <v>16540</v>
      </c>
      <c r="M3492">
        <v>1</v>
      </c>
      <c r="N3492">
        <v>6</v>
      </c>
      <c r="O3492">
        <v>288</v>
      </c>
      <c r="P3492">
        <f t="shared" si="180"/>
        <v>2025</v>
      </c>
      <c r="Q3492">
        <f t="shared" si="181"/>
        <v>10</v>
      </c>
      <c r="R3492" t="str">
        <f t="shared" si="182"/>
        <v>淘宝客</v>
      </c>
      <c r="S3492" t="s">
        <v>784</v>
      </c>
      <c r="T3492" t="s">
        <v>805</v>
      </c>
    </row>
    <row r="3493" spans="1:20" x14ac:dyDescent="0.3">
      <c r="A3493" t="s">
        <v>627</v>
      </c>
      <c r="B3493" s="16">
        <v>45957</v>
      </c>
      <c r="C3493" t="s">
        <v>3</v>
      </c>
      <c r="D3493" t="s">
        <v>114</v>
      </c>
      <c r="E3493" t="s">
        <v>159</v>
      </c>
      <c r="F3493">
        <v>168</v>
      </c>
      <c r="G3493">
        <v>66</v>
      </c>
      <c r="H3493">
        <v>7</v>
      </c>
      <c r="I3493">
        <v>1</v>
      </c>
      <c r="J3493">
        <v>0</v>
      </c>
      <c r="K3493">
        <v>0</v>
      </c>
      <c r="L3493">
        <v>0</v>
      </c>
      <c r="M3493">
        <v>0</v>
      </c>
      <c r="N3493">
        <v>14</v>
      </c>
      <c r="O3493">
        <v>166</v>
      </c>
      <c r="P3493">
        <f t="shared" si="180"/>
        <v>2025</v>
      </c>
      <c r="Q3493">
        <f t="shared" si="181"/>
        <v>10</v>
      </c>
      <c r="R3493" t="str">
        <f t="shared" si="182"/>
        <v>主会场</v>
      </c>
      <c r="S3493" t="s">
        <v>784</v>
      </c>
      <c r="T3493" t="s">
        <v>805</v>
      </c>
    </row>
    <row r="3494" spans="1:20" x14ac:dyDescent="0.3">
      <c r="A3494" t="s">
        <v>627</v>
      </c>
      <c r="B3494" s="16">
        <v>45957</v>
      </c>
      <c r="C3494" t="s">
        <v>3</v>
      </c>
      <c r="D3494" t="s">
        <v>114</v>
      </c>
      <c r="E3494" t="s">
        <v>160</v>
      </c>
      <c r="F3494">
        <v>4</v>
      </c>
      <c r="G3494">
        <v>4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4</v>
      </c>
      <c r="P3494">
        <f t="shared" si="180"/>
        <v>2025</v>
      </c>
      <c r="Q3494">
        <f t="shared" si="181"/>
        <v>10</v>
      </c>
      <c r="R3494" t="str">
        <f t="shared" si="182"/>
        <v>榜单会场</v>
      </c>
      <c r="S3494" t="s">
        <v>784</v>
      </c>
      <c r="T3494" t="s">
        <v>805</v>
      </c>
    </row>
    <row r="3495" spans="1:20" x14ac:dyDescent="0.3">
      <c r="A3495" t="s">
        <v>627</v>
      </c>
      <c r="B3495" s="16">
        <v>45957</v>
      </c>
      <c r="C3495" t="s">
        <v>3</v>
      </c>
      <c r="D3495" t="s">
        <v>117</v>
      </c>
      <c r="E3495" t="s">
        <v>161</v>
      </c>
      <c r="F3495">
        <v>3</v>
      </c>
      <c r="G3495">
        <v>3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3</v>
      </c>
      <c r="P3495">
        <f t="shared" si="180"/>
        <v>2025</v>
      </c>
      <c r="Q3495">
        <f t="shared" si="181"/>
        <v>10</v>
      </c>
      <c r="R3495" t="str">
        <f t="shared" si="182"/>
        <v>其他入口榜单</v>
      </c>
      <c r="S3495" t="s">
        <v>784</v>
      </c>
      <c r="T3495" t="s">
        <v>805</v>
      </c>
    </row>
    <row r="3496" spans="1:20" x14ac:dyDescent="0.3">
      <c r="A3496" t="s">
        <v>627</v>
      </c>
      <c r="B3496" s="16">
        <v>45957</v>
      </c>
      <c r="C3496" t="s">
        <v>3</v>
      </c>
      <c r="D3496" t="s">
        <v>117</v>
      </c>
      <c r="E3496" t="s">
        <v>191</v>
      </c>
      <c r="F3496">
        <v>2</v>
      </c>
      <c r="G3496">
        <v>2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2</v>
      </c>
      <c r="P3496">
        <f t="shared" si="180"/>
        <v>2025</v>
      </c>
      <c r="Q3496">
        <f t="shared" si="181"/>
        <v>10</v>
      </c>
      <c r="R3496" t="str">
        <f t="shared" si="182"/>
        <v>商品详情页入口榜单</v>
      </c>
      <c r="S3496" t="s">
        <v>784</v>
      </c>
      <c r="T3496" t="s">
        <v>805</v>
      </c>
    </row>
    <row r="3497" spans="1:20" x14ac:dyDescent="0.3">
      <c r="A3497" t="s">
        <v>627</v>
      </c>
      <c r="B3497" s="16">
        <v>45957</v>
      </c>
      <c r="C3497" t="s">
        <v>3</v>
      </c>
      <c r="D3497" t="s">
        <v>123</v>
      </c>
      <c r="E3497" t="s">
        <v>170</v>
      </c>
      <c r="F3497">
        <v>53</v>
      </c>
      <c r="G3497">
        <v>19</v>
      </c>
      <c r="H3497">
        <v>5</v>
      </c>
      <c r="I3497">
        <v>0</v>
      </c>
      <c r="J3497">
        <v>4900</v>
      </c>
      <c r="K3497">
        <v>1</v>
      </c>
      <c r="L3497">
        <v>4900</v>
      </c>
      <c r="M3497">
        <v>1</v>
      </c>
      <c r="N3497">
        <v>50</v>
      </c>
      <c r="O3497">
        <v>21</v>
      </c>
      <c r="P3497">
        <f t="shared" ref="P3497:P3560" si="183">YEAR(B3497)</f>
        <v>2025</v>
      </c>
      <c r="Q3497">
        <f t="shared" ref="Q3497:Q3560" si="184">MONTH(B3497)</f>
        <v>10</v>
      </c>
      <c r="R3497" t="str">
        <f t="shared" ref="R3497:R3560" si="185">E3497</f>
        <v>店铺超链</v>
      </c>
      <c r="S3497" t="s">
        <v>784</v>
      </c>
      <c r="T3497" t="s">
        <v>805</v>
      </c>
    </row>
    <row r="3498" spans="1:20" x14ac:dyDescent="0.3">
      <c r="A3498" t="s">
        <v>627</v>
      </c>
      <c r="B3498" s="16">
        <v>45957</v>
      </c>
      <c r="C3498" t="s">
        <v>3</v>
      </c>
      <c r="D3498" t="s">
        <v>127</v>
      </c>
      <c r="E3498" t="s">
        <v>171</v>
      </c>
      <c r="F3498">
        <v>699</v>
      </c>
      <c r="G3498">
        <v>283</v>
      </c>
      <c r="H3498">
        <v>25</v>
      </c>
      <c r="I3498">
        <v>9</v>
      </c>
      <c r="J3498">
        <v>73580</v>
      </c>
      <c r="K3498">
        <v>10</v>
      </c>
      <c r="L3498">
        <v>38600</v>
      </c>
      <c r="M3498">
        <v>8</v>
      </c>
      <c r="N3498">
        <v>93</v>
      </c>
      <c r="O3498">
        <v>665</v>
      </c>
      <c r="P3498">
        <f t="shared" si="183"/>
        <v>2025</v>
      </c>
      <c r="Q3498">
        <f t="shared" si="184"/>
        <v>10</v>
      </c>
      <c r="R3498" t="str">
        <f t="shared" si="185"/>
        <v>其他猜你喜欢</v>
      </c>
      <c r="S3498" t="s">
        <v>784</v>
      </c>
      <c r="T3498" t="s">
        <v>805</v>
      </c>
    </row>
    <row r="3499" spans="1:20" x14ac:dyDescent="0.3">
      <c r="A3499" t="s">
        <v>627</v>
      </c>
      <c r="B3499" s="16">
        <v>45957</v>
      </c>
      <c r="C3499" t="s">
        <v>3</v>
      </c>
      <c r="D3499" t="s">
        <v>127</v>
      </c>
      <c r="E3499" t="s">
        <v>172</v>
      </c>
      <c r="F3499">
        <v>98</v>
      </c>
      <c r="G3499">
        <v>38</v>
      </c>
      <c r="H3499">
        <v>4</v>
      </c>
      <c r="I3499">
        <v>0</v>
      </c>
      <c r="J3499">
        <v>3980</v>
      </c>
      <c r="K3499">
        <v>1</v>
      </c>
      <c r="L3499">
        <v>3980</v>
      </c>
      <c r="M3499">
        <v>1</v>
      </c>
      <c r="N3499">
        <v>2</v>
      </c>
      <c r="O3499">
        <v>82</v>
      </c>
      <c r="P3499">
        <f t="shared" si="183"/>
        <v>2025</v>
      </c>
      <c r="Q3499">
        <f t="shared" si="184"/>
        <v>10</v>
      </c>
      <c r="R3499" t="str">
        <f t="shared" si="185"/>
        <v>购中推荐</v>
      </c>
      <c r="S3499" t="s">
        <v>784</v>
      </c>
      <c r="T3499" t="s">
        <v>805</v>
      </c>
    </row>
    <row r="3500" spans="1:20" x14ac:dyDescent="0.3">
      <c r="A3500" t="s">
        <v>627</v>
      </c>
      <c r="B3500" s="16">
        <v>45957</v>
      </c>
      <c r="C3500" t="s">
        <v>3</v>
      </c>
      <c r="D3500" t="s">
        <v>127</v>
      </c>
      <c r="E3500" t="s">
        <v>173</v>
      </c>
      <c r="F3500">
        <v>783</v>
      </c>
      <c r="G3500">
        <v>300</v>
      </c>
      <c r="H3500">
        <v>13</v>
      </c>
      <c r="I3500">
        <v>11</v>
      </c>
      <c r="J3500">
        <v>22270</v>
      </c>
      <c r="K3500">
        <v>4</v>
      </c>
      <c r="L3500">
        <v>12370</v>
      </c>
      <c r="M3500">
        <v>3</v>
      </c>
      <c r="N3500">
        <v>34</v>
      </c>
      <c r="O3500">
        <v>671</v>
      </c>
      <c r="P3500">
        <f t="shared" si="183"/>
        <v>2025</v>
      </c>
      <c r="Q3500">
        <f t="shared" si="184"/>
        <v>10</v>
      </c>
      <c r="R3500" t="str">
        <f t="shared" si="185"/>
        <v>购后推荐</v>
      </c>
      <c r="S3500" t="s">
        <v>784</v>
      </c>
      <c r="T3500" t="s">
        <v>805</v>
      </c>
    </row>
    <row r="3501" spans="1:20" x14ac:dyDescent="0.3">
      <c r="A3501" t="s">
        <v>627</v>
      </c>
      <c r="B3501" s="16">
        <v>45957</v>
      </c>
      <c r="C3501" t="s">
        <v>3</v>
      </c>
      <c r="D3501" t="s">
        <v>127</v>
      </c>
      <c r="E3501" t="s">
        <v>174</v>
      </c>
      <c r="F3501">
        <v>6618</v>
      </c>
      <c r="G3501">
        <v>2654</v>
      </c>
      <c r="H3501">
        <v>101</v>
      </c>
      <c r="I3501">
        <v>32</v>
      </c>
      <c r="J3501">
        <v>109815</v>
      </c>
      <c r="K3501">
        <v>14</v>
      </c>
      <c r="L3501">
        <v>52300</v>
      </c>
      <c r="M3501">
        <v>11</v>
      </c>
      <c r="N3501">
        <v>241</v>
      </c>
      <c r="O3501">
        <v>6618</v>
      </c>
      <c r="P3501">
        <f t="shared" si="183"/>
        <v>2025</v>
      </c>
      <c r="Q3501">
        <f t="shared" si="184"/>
        <v>10</v>
      </c>
      <c r="R3501" t="str">
        <f t="shared" si="185"/>
        <v>首页推荐-微详情</v>
      </c>
      <c r="S3501" t="s">
        <v>784</v>
      </c>
      <c r="T3501" t="s">
        <v>805</v>
      </c>
    </row>
    <row r="3502" spans="1:20" x14ac:dyDescent="0.3">
      <c r="A3502" t="s">
        <v>627</v>
      </c>
      <c r="B3502" s="16">
        <v>45957</v>
      </c>
      <c r="C3502" t="s">
        <v>3</v>
      </c>
      <c r="D3502" t="s">
        <v>127</v>
      </c>
      <c r="E3502" t="s">
        <v>175</v>
      </c>
      <c r="F3502">
        <v>251</v>
      </c>
      <c r="G3502">
        <v>174</v>
      </c>
      <c r="H3502">
        <v>5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14</v>
      </c>
      <c r="O3502">
        <v>118</v>
      </c>
      <c r="P3502">
        <f t="shared" si="183"/>
        <v>2025</v>
      </c>
      <c r="Q3502">
        <f t="shared" si="184"/>
        <v>10</v>
      </c>
      <c r="R3502" t="str">
        <f t="shared" si="185"/>
        <v>首页推荐-直播</v>
      </c>
      <c r="S3502" t="s">
        <v>784</v>
      </c>
      <c r="T3502" t="s">
        <v>805</v>
      </c>
    </row>
    <row r="3503" spans="1:20" x14ac:dyDescent="0.3">
      <c r="A3503" t="s">
        <v>627</v>
      </c>
      <c r="B3503" s="16">
        <v>45957</v>
      </c>
      <c r="C3503" t="s">
        <v>3</v>
      </c>
      <c r="D3503" t="s">
        <v>127</v>
      </c>
      <c r="E3503" t="s">
        <v>176</v>
      </c>
      <c r="F3503">
        <v>257</v>
      </c>
      <c r="G3503">
        <v>149</v>
      </c>
      <c r="H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23</v>
      </c>
      <c r="P3503">
        <f t="shared" si="183"/>
        <v>2025</v>
      </c>
      <c r="Q3503">
        <f t="shared" si="184"/>
        <v>10</v>
      </c>
      <c r="R3503" t="str">
        <f t="shared" si="185"/>
        <v>首页推荐-短视频</v>
      </c>
      <c r="S3503" t="s">
        <v>784</v>
      </c>
      <c r="T3503" t="s">
        <v>805</v>
      </c>
    </row>
    <row r="3504" spans="1:20" x14ac:dyDescent="0.3">
      <c r="A3504" t="s">
        <v>627</v>
      </c>
      <c r="B3504" s="16">
        <v>45957</v>
      </c>
      <c r="C3504" t="s">
        <v>3</v>
      </c>
      <c r="D3504" t="s">
        <v>128</v>
      </c>
      <c r="E3504" t="s">
        <v>177</v>
      </c>
      <c r="F3504">
        <v>1332</v>
      </c>
      <c r="G3504">
        <v>1020</v>
      </c>
      <c r="H3504">
        <v>51</v>
      </c>
      <c r="I3504">
        <v>10</v>
      </c>
      <c r="J3504">
        <v>30710</v>
      </c>
      <c r="K3504">
        <v>8</v>
      </c>
      <c r="L3504">
        <v>23930</v>
      </c>
      <c r="M3504">
        <v>7</v>
      </c>
      <c r="N3504">
        <v>282</v>
      </c>
      <c r="O3504">
        <v>1267</v>
      </c>
      <c r="P3504">
        <f t="shared" si="183"/>
        <v>2025</v>
      </c>
      <c r="Q3504">
        <f t="shared" si="184"/>
        <v>10</v>
      </c>
      <c r="R3504" t="str">
        <f t="shared" si="185"/>
        <v>手淘搜索-商品及其他</v>
      </c>
      <c r="S3504" t="s">
        <v>784</v>
      </c>
      <c r="T3504" t="s">
        <v>805</v>
      </c>
    </row>
    <row r="3505" spans="1:20" x14ac:dyDescent="0.3">
      <c r="A3505" t="s">
        <v>627</v>
      </c>
      <c r="B3505" s="16">
        <v>45957</v>
      </c>
      <c r="C3505" t="s">
        <v>3</v>
      </c>
      <c r="D3505" t="s">
        <v>128</v>
      </c>
      <c r="E3505" t="s">
        <v>178</v>
      </c>
      <c r="F3505">
        <v>15</v>
      </c>
      <c r="G3505">
        <v>10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1</v>
      </c>
      <c r="O3505">
        <v>12</v>
      </c>
      <c r="P3505">
        <f t="shared" si="183"/>
        <v>2025</v>
      </c>
      <c r="Q3505">
        <f t="shared" si="184"/>
        <v>10</v>
      </c>
      <c r="R3505" t="str">
        <f t="shared" si="185"/>
        <v>手淘搜索-直播</v>
      </c>
      <c r="S3505" t="s">
        <v>784</v>
      </c>
      <c r="T3505" t="s">
        <v>805</v>
      </c>
    </row>
    <row r="3506" spans="1:20" x14ac:dyDescent="0.3">
      <c r="A3506" t="s">
        <v>627</v>
      </c>
      <c r="B3506" s="16">
        <v>45957</v>
      </c>
      <c r="C3506" t="s">
        <v>3</v>
      </c>
      <c r="D3506" t="s">
        <v>128</v>
      </c>
      <c r="E3506" t="s">
        <v>179</v>
      </c>
      <c r="F3506">
        <v>23</v>
      </c>
      <c r="G3506">
        <v>10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3</v>
      </c>
      <c r="O3506">
        <v>23</v>
      </c>
      <c r="P3506">
        <f t="shared" si="183"/>
        <v>2025</v>
      </c>
      <c r="Q3506">
        <f t="shared" si="184"/>
        <v>10</v>
      </c>
      <c r="R3506" t="str">
        <f t="shared" si="185"/>
        <v>手淘搜索-短视频</v>
      </c>
      <c r="S3506" t="s">
        <v>784</v>
      </c>
      <c r="T3506" t="s">
        <v>805</v>
      </c>
    </row>
    <row r="3507" spans="1:20" x14ac:dyDescent="0.3">
      <c r="A3507" t="s">
        <v>627</v>
      </c>
      <c r="B3507" s="16">
        <v>45957</v>
      </c>
      <c r="C3507" t="s">
        <v>3</v>
      </c>
      <c r="D3507" t="s">
        <v>143</v>
      </c>
      <c r="E3507" t="s">
        <v>224</v>
      </c>
      <c r="F3507">
        <v>1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1</v>
      </c>
      <c r="P3507">
        <f t="shared" si="183"/>
        <v>2025</v>
      </c>
      <c r="Q3507">
        <f t="shared" si="184"/>
        <v>10</v>
      </c>
      <c r="R3507" t="str">
        <f t="shared" si="185"/>
        <v>淘特自主访问</v>
      </c>
      <c r="S3507" t="s">
        <v>784</v>
      </c>
      <c r="T3507" t="s">
        <v>805</v>
      </c>
    </row>
    <row r="3508" spans="1:20" x14ac:dyDescent="0.3">
      <c r="A3508" t="s">
        <v>627</v>
      </c>
      <c r="B3508" s="16">
        <v>45957</v>
      </c>
      <c r="C3508" t="s">
        <v>3</v>
      </c>
      <c r="D3508" t="s">
        <v>157</v>
      </c>
      <c r="E3508" t="s">
        <v>182</v>
      </c>
      <c r="F3508">
        <v>2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f t="shared" si="183"/>
        <v>2025</v>
      </c>
      <c r="Q3508">
        <f t="shared" si="184"/>
        <v>10</v>
      </c>
      <c r="R3508" t="str">
        <f t="shared" si="185"/>
        <v>飞猪其他</v>
      </c>
      <c r="S3508" t="s">
        <v>784</v>
      </c>
      <c r="T3508" t="s">
        <v>805</v>
      </c>
    </row>
    <row r="3509" spans="1:20" x14ac:dyDescent="0.3">
      <c r="A3509" t="s">
        <v>627</v>
      </c>
      <c r="B3509" s="16">
        <v>45957</v>
      </c>
      <c r="C3509" t="s">
        <v>2</v>
      </c>
      <c r="D3509" t="s">
        <v>55</v>
      </c>
      <c r="E3509" t="s">
        <v>66</v>
      </c>
      <c r="F3509">
        <v>11</v>
      </c>
      <c r="G3509">
        <v>10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f t="shared" si="183"/>
        <v>2025</v>
      </c>
      <c r="Q3509">
        <f t="shared" si="184"/>
        <v>10</v>
      </c>
      <c r="R3509" t="str">
        <f t="shared" si="185"/>
        <v>短直联动</v>
      </c>
      <c r="S3509" t="s">
        <v>784</v>
      </c>
      <c r="T3509" t="s">
        <v>805</v>
      </c>
    </row>
    <row r="3510" spans="1:20" x14ac:dyDescent="0.3">
      <c r="A3510" t="s">
        <v>627</v>
      </c>
      <c r="B3510" s="16">
        <v>45957</v>
      </c>
      <c r="C3510" t="s">
        <v>2</v>
      </c>
      <c r="D3510" t="s">
        <v>55</v>
      </c>
      <c r="E3510" t="s">
        <v>54</v>
      </c>
      <c r="F3510">
        <v>1433</v>
      </c>
      <c r="G3510">
        <v>847</v>
      </c>
      <c r="H3510">
        <v>13</v>
      </c>
      <c r="I3510">
        <v>3</v>
      </c>
      <c r="J3510">
        <v>0</v>
      </c>
      <c r="K3510">
        <v>0</v>
      </c>
      <c r="L3510">
        <v>0</v>
      </c>
      <c r="M3510">
        <v>0</v>
      </c>
      <c r="N3510">
        <v>42</v>
      </c>
      <c r="O3510">
        <v>448</v>
      </c>
      <c r="P3510">
        <f t="shared" si="183"/>
        <v>2025</v>
      </c>
      <c r="Q3510">
        <f t="shared" si="184"/>
        <v>10</v>
      </c>
      <c r="R3510" t="str">
        <f t="shared" si="185"/>
        <v>超级直播</v>
      </c>
      <c r="S3510" t="s">
        <v>784</v>
      </c>
      <c r="T3510" t="s">
        <v>805</v>
      </c>
    </row>
    <row r="3511" spans="1:20" x14ac:dyDescent="0.3">
      <c r="A3511" t="s">
        <v>627</v>
      </c>
      <c r="B3511" s="16">
        <v>45957</v>
      </c>
      <c r="C3511" t="s">
        <v>2</v>
      </c>
      <c r="D3511" t="s">
        <v>55</v>
      </c>
      <c r="E3511" t="s">
        <v>56</v>
      </c>
      <c r="F3511">
        <v>139</v>
      </c>
      <c r="G3511">
        <v>110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3</v>
      </c>
      <c r="O3511">
        <v>136</v>
      </c>
      <c r="P3511">
        <f t="shared" si="183"/>
        <v>2025</v>
      </c>
      <c r="Q3511">
        <f t="shared" si="184"/>
        <v>10</v>
      </c>
      <c r="R3511" t="str">
        <f t="shared" si="185"/>
        <v>超级短视频</v>
      </c>
      <c r="S3511" t="s">
        <v>784</v>
      </c>
      <c r="T3511" t="s">
        <v>805</v>
      </c>
    </row>
    <row r="3512" spans="1:20" x14ac:dyDescent="0.3">
      <c r="A3512" t="s">
        <v>627</v>
      </c>
      <c r="B3512" s="16">
        <v>45957</v>
      </c>
      <c r="C3512" t="s">
        <v>2</v>
      </c>
      <c r="D3512" t="s">
        <v>52</v>
      </c>
      <c r="E3512" t="s">
        <v>183</v>
      </c>
      <c r="F3512">
        <v>1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1</v>
      </c>
      <c r="O3512">
        <v>0</v>
      </c>
      <c r="P3512">
        <f t="shared" si="183"/>
        <v>2025</v>
      </c>
      <c r="Q3512">
        <f t="shared" si="184"/>
        <v>10</v>
      </c>
      <c r="R3512" t="str">
        <f t="shared" si="185"/>
        <v>品销宝-品牌专区</v>
      </c>
      <c r="S3512" t="s">
        <v>784</v>
      </c>
      <c r="T3512" t="s">
        <v>805</v>
      </c>
    </row>
    <row r="3513" spans="1:20" x14ac:dyDescent="0.3">
      <c r="A3513" t="s">
        <v>627</v>
      </c>
      <c r="B3513" s="16">
        <v>45957</v>
      </c>
      <c r="C3513" t="s">
        <v>2</v>
      </c>
      <c r="D3513" t="s">
        <v>57</v>
      </c>
      <c r="E3513" t="s">
        <v>63</v>
      </c>
      <c r="F3513">
        <v>961</v>
      </c>
      <c r="G3513">
        <v>788</v>
      </c>
      <c r="H3513">
        <v>29</v>
      </c>
      <c r="I3513">
        <v>11</v>
      </c>
      <c r="J3513">
        <v>2780</v>
      </c>
      <c r="K3513">
        <v>3</v>
      </c>
      <c r="L3513">
        <v>2780</v>
      </c>
      <c r="M3513">
        <v>3</v>
      </c>
      <c r="N3513">
        <v>957</v>
      </c>
      <c r="O3513">
        <v>484</v>
      </c>
      <c r="P3513">
        <f t="shared" si="183"/>
        <v>2025</v>
      </c>
      <c r="Q3513">
        <f t="shared" si="184"/>
        <v>10</v>
      </c>
      <c r="R3513" t="str">
        <f t="shared" si="185"/>
        <v>万相台</v>
      </c>
      <c r="S3513" t="s">
        <v>784</v>
      </c>
      <c r="T3513" t="s">
        <v>805</v>
      </c>
    </row>
    <row r="3514" spans="1:20" x14ac:dyDescent="0.3">
      <c r="A3514" t="s">
        <v>627</v>
      </c>
      <c r="B3514" s="16">
        <v>45957</v>
      </c>
      <c r="C3514" t="s">
        <v>2</v>
      </c>
      <c r="D3514" t="s">
        <v>57</v>
      </c>
      <c r="E3514" t="s">
        <v>64</v>
      </c>
      <c r="F3514">
        <v>21010</v>
      </c>
      <c r="G3514">
        <v>9273</v>
      </c>
      <c r="H3514">
        <v>89</v>
      </c>
      <c r="I3514">
        <v>102</v>
      </c>
      <c r="J3514">
        <v>13965</v>
      </c>
      <c r="K3514">
        <v>2</v>
      </c>
      <c r="L3514">
        <v>8215</v>
      </c>
      <c r="M3514">
        <v>1</v>
      </c>
      <c r="N3514">
        <v>354</v>
      </c>
      <c r="O3514">
        <v>21009</v>
      </c>
      <c r="P3514">
        <f t="shared" si="183"/>
        <v>2025</v>
      </c>
      <c r="Q3514">
        <f t="shared" si="184"/>
        <v>10</v>
      </c>
      <c r="R3514" t="str">
        <f t="shared" si="185"/>
        <v>引力魔方</v>
      </c>
      <c r="S3514" t="s">
        <v>784</v>
      </c>
      <c r="T3514" t="s">
        <v>805</v>
      </c>
    </row>
    <row r="3515" spans="1:20" x14ac:dyDescent="0.3">
      <c r="A3515" t="s">
        <v>627</v>
      </c>
      <c r="B3515" s="16">
        <v>45957</v>
      </c>
      <c r="C3515" t="s">
        <v>2</v>
      </c>
      <c r="D3515" t="s">
        <v>57</v>
      </c>
      <c r="E3515" t="s">
        <v>65</v>
      </c>
      <c r="F3515">
        <v>6821</v>
      </c>
      <c r="G3515">
        <v>5784</v>
      </c>
      <c r="H3515">
        <v>68</v>
      </c>
      <c r="I3515">
        <v>25</v>
      </c>
      <c r="J3515">
        <v>135929.46</v>
      </c>
      <c r="K3515">
        <v>10</v>
      </c>
      <c r="L3515">
        <v>28949.46</v>
      </c>
      <c r="M3515">
        <v>6</v>
      </c>
      <c r="N3515">
        <v>396</v>
      </c>
      <c r="O3515">
        <v>6744</v>
      </c>
      <c r="P3515">
        <f t="shared" si="183"/>
        <v>2025</v>
      </c>
      <c r="Q3515">
        <f t="shared" si="184"/>
        <v>10</v>
      </c>
      <c r="R3515" t="str">
        <f t="shared" si="185"/>
        <v>直通车</v>
      </c>
      <c r="S3515" t="s">
        <v>784</v>
      </c>
      <c r="T3515" t="s">
        <v>805</v>
      </c>
    </row>
    <row r="3516" spans="1:20" x14ac:dyDescent="0.3">
      <c r="A3516" t="s">
        <v>627</v>
      </c>
      <c r="B3516" s="16">
        <v>45957</v>
      </c>
      <c r="C3516" t="s">
        <v>2</v>
      </c>
      <c r="D3516" t="s">
        <v>4</v>
      </c>
      <c r="E3516" t="s">
        <v>41</v>
      </c>
      <c r="F3516">
        <v>7</v>
      </c>
      <c r="G3516">
        <v>5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6</v>
      </c>
      <c r="P3516">
        <f t="shared" si="183"/>
        <v>2025</v>
      </c>
      <c r="Q3516">
        <f t="shared" si="184"/>
        <v>10</v>
      </c>
      <c r="R3516" t="str">
        <f t="shared" si="185"/>
        <v>流量宝</v>
      </c>
      <c r="S3516" t="s">
        <v>784</v>
      </c>
      <c r="T3516" t="s">
        <v>805</v>
      </c>
    </row>
    <row r="3517" spans="1:20" x14ac:dyDescent="0.3">
      <c r="A3517" t="s">
        <v>627</v>
      </c>
      <c r="B3517" s="16">
        <v>45957</v>
      </c>
      <c r="C3517" t="s">
        <v>2</v>
      </c>
      <c r="D3517" t="s">
        <v>4</v>
      </c>
      <c r="E3517" t="s">
        <v>43</v>
      </c>
      <c r="F3517">
        <v>320</v>
      </c>
      <c r="G3517">
        <v>98</v>
      </c>
      <c r="H3517">
        <v>6</v>
      </c>
      <c r="I3517">
        <v>0</v>
      </c>
      <c r="J3517">
        <v>30839.46</v>
      </c>
      <c r="K3517">
        <v>4</v>
      </c>
      <c r="L3517">
        <v>30839.46</v>
      </c>
      <c r="M3517">
        <v>4</v>
      </c>
      <c r="N3517">
        <v>9</v>
      </c>
      <c r="O3517">
        <v>313</v>
      </c>
      <c r="P3517">
        <f t="shared" si="183"/>
        <v>2025</v>
      </c>
      <c r="Q3517">
        <f t="shared" si="184"/>
        <v>10</v>
      </c>
      <c r="R3517" t="str">
        <f t="shared" si="185"/>
        <v>淘宝客</v>
      </c>
      <c r="S3517" t="s">
        <v>784</v>
      </c>
      <c r="T3517" t="s">
        <v>805</v>
      </c>
    </row>
    <row r="3518" spans="1:20" x14ac:dyDescent="0.3">
      <c r="A3518" t="s">
        <v>627</v>
      </c>
      <c r="B3518" s="16">
        <v>45956</v>
      </c>
      <c r="C3518" t="s">
        <v>3</v>
      </c>
      <c r="D3518" t="s">
        <v>114</v>
      </c>
      <c r="E3518" t="s">
        <v>159</v>
      </c>
      <c r="F3518">
        <v>158</v>
      </c>
      <c r="G3518">
        <v>67</v>
      </c>
      <c r="H3518">
        <v>9</v>
      </c>
      <c r="I3518">
        <v>1</v>
      </c>
      <c r="J3518">
        <v>3990</v>
      </c>
      <c r="K3518">
        <v>1</v>
      </c>
      <c r="L3518">
        <v>3990</v>
      </c>
      <c r="M3518">
        <v>1</v>
      </c>
      <c r="N3518">
        <v>13</v>
      </c>
      <c r="O3518">
        <v>153</v>
      </c>
      <c r="P3518">
        <f t="shared" si="183"/>
        <v>2025</v>
      </c>
      <c r="Q3518">
        <f t="shared" si="184"/>
        <v>10</v>
      </c>
      <c r="R3518" t="str">
        <f t="shared" si="185"/>
        <v>主会场</v>
      </c>
      <c r="S3518" t="s">
        <v>784</v>
      </c>
      <c r="T3518" t="s">
        <v>805</v>
      </c>
    </row>
    <row r="3519" spans="1:20" x14ac:dyDescent="0.3">
      <c r="A3519" t="s">
        <v>627</v>
      </c>
      <c r="B3519" s="16">
        <v>45956</v>
      </c>
      <c r="C3519" t="s">
        <v>3</v>
      </c>
      <c r="D3519" t="s">
        <v>114</v>
      </c>
      <c r="E3519" t="s">
        <v>160</v>
      </c>
      <c r="F3519">
        <v>1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1</v>
      </c>
      <c r="P3519">
        <f t="shared" si="183"/>
        <v>2025</v>
      </c>
      <c r="Q3519">
        <f t="shared" si="184"/>
        <v>10</v>
      </c>
      <c r="R3519" t="str">
        <f t="shared" si="185"/>
        <v>榜单会场</v>
      </c>
      <c r="S3519" t="s">
        <v>784</v>
      </c>
      <c r="T3519" t="s">
        <v>805</v>
      </c>
    </row>
    <row r="3520" spans="1:20" x14ac:dyDescent="0.3">
      <c r="A3520" t="s">
        <v>627</v>
      </c>
      <c r="B3520" s="16">
        <v>45956</v>
      </c>
      <c r="C3520" t="s">
        <v>3</v>
      </c>
      <c r="D3520" t="s">
        <v>117</v>
      </c>
      <c r="E3520" t="s">
        <v>161</v>
      </c>
      <c r="F3520">
        <v>2</v>
      </c>
      <c r="G3520">
        <v>2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2</v>
      </c>
      <c r="P3520">
        <f t="shared" si="183"/>
        <v>2025</v>
      </c>
      <c r="Q3520">
        <f t="shared" si="184"/>
        <v>10</v>
      </c>
      <c r="R3520" t="str">
        <f t="shared" si="185"/>
        <v>其他入口榜单</v>
      </c>
      <c r="S3520" t="s">
        <v>784</v>
      </c>
      <c r="T3520" t="s">
        <v>805</v>
      </c>
    </row>
    <row r="3521" spans="1:20" x14ac:dyDescent="0.3">
      <c r="A3521" t="s">
        <v>627</v>
      </c>
      <c r="B3521" s="16">
        <v>45956</v>
      </c>
      <c r="C3521" t="s">
        <v>3</v>
      </c>
      <c r="D3521" t="s">
        <v>123</v>
      </c>
      <c r="E3521" t="s">
        <v>170</v>
      </c>
      <c r="F3521">
        <v>44</v>
      </c>
      <c r="G3521">
        <v>21</v>
      </c>
      <c r="H3521">
        <v>3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41</v>
      </c>
      <c r="O3521">
        <v>19</v>
      </c>
      <c r="P3521">
        <f t="shared" si="183"/>
        <v>2025</v>
      </c>
      <c r="Q3521">
        <f t="shared" si="184"/>
        <v>10</v>
      </c>
      <c r="R3521" t="str">
        <f t="shared" si="185"/>
        <v>店铺超链</v>
      </c>
      <c r="S3521" t="s">
        <v>784</v>
      </c>
      <c r="T3521" t="s">
        <v>805</v>
      </c>
    </row>
    <row r="3522" spans="1:20" x14ac:dyDescent="0.3">
      <c r="A3522" t="s">
        <v>627</v>
      </c>
      <c r="B3522" s="16">
        <v>45956</v>
      </c>
      <c r="C3522" t="s">
        <v>3</v>
      </c>
      <c r="D3522" t="s">
        <v>127</v>
      </c>
      <c r="E3522" t="s">
        <v>171</v>
      </c>
      <c r="F3522">
        <v>750</v>
      </c>
      <c r="G3522">
        <v>254</v>
      </c>
      <c r="H3522">
        <v>34</v>
      </c>
      <c r="I3522">
        <v>16</v>
      </c>
      <c r="J3522">
        <v>40120</v>
      </c>
      <c r="K3522">
        <v>9</v>
      </c>
      <c r="L3522">
        <v>40120</v>
      </c>
      <c r="M3522">
        <v>9</v>
      </c>
      <c r="N3522">
        <v>113</v>
      </c>
      <c r="O3522">
        <v>736</v>
      </c>
      <c r="P3522">
        <f t="shared" si="183"/>
        <v>2025</v>
      </c>
      <c r="Q3522">
        <f t="shared" si="184"/>
        <v>10</v>
      </c>
      <c r="R3522" t="str">
        <f t="shared" si="185"/>
        <v>其他猜你喜欢</v>
      </c>
      <c r="S3522" t="s">
        <v>784</v>
      </c>
      <c r="T3522" t="s">
        <v>805</v>
      </c>
    </row>
    <row r="3523" spans="1:20" x14ac:dyDescent="0.3">
      <c r="A3523" t="s">
        <v>627</v>
      </c>
      <c r="B3523" s="16">
        <v>45956</v>
      </c>
      <c r="C3523" t="s">
        <v>3</v>
      </c>
      <c r="D3523" t="s">
        <v>127</v>
      </c>
      <c r="E3523" t="s">
        <v>172</v>
      </c>
      <c r="F3523">
        <v>128</v>
      </c>
      <c r="G3523">
        <v>33</v>
      </c>
      <c r="H3523">
        <v>0</v>
      </c>
      <c r="I3523">
        <v>0</v>
      </c>
      <c r="J3523">
        <v>3650</v>
      </c>
      <c r="K3523">
        <v>1</v>
      </c>
      <c r="L3523">
        <v>3650</v>
      </c>
      <c r="M3523">
        <v>1</v>
      </c>
      <c r="N3523">
        <v>10</v>
      </c>
      <c r="O3523">
        <v>128</v>
      </c>
      <c r="P3523">
        <f t="shared" si="183"/>
        <v>2025</v>
      </c>
      <c r="Q3523">
        <f t="shared" si="184"/>
        <v>10</v>
      </c>
      <c r="R3523" t="str">
        <f t="shared" si="185"/>
        <v>购中推荐</v>
      </c>
      <c r="S3523" t="s">
        <v>784</v>
      </c>
      <c r="T3523" t="s">
        <v>805</v>
      </c>
    </row>
    <row r="3524" spans="1:20" x14ac:dyDescent="0.3">
      <c r="A3524" t="s">
        <v>627</v>
      </c>
      <c r="B3524" s="16">
        <v>45956</v>
      </c>
      <c r="C3524" t="s">
        <v>3</v>
      </c>
      <c r="D3524" t="s">
        <v>127</v>
      </c>
      <c r="E3524" t="s">
        <v>173</v>
      </c>
      <c r="F3524">
        <v>810</v>
      </c>
      <c r="G3524">
        <v>245</v>
      </c>
      <c r="H3524">
        <v>37</v>
      </c>
      <c r="I3524">
        <v>5</v>
      </c>
      <c r="J3524">
        <v>11905</v>
      </c>
      <c r="K3524">
        <v>3</v>
      </c>
      <c r="L3524">
        <v>11905</v>
      </c>
      <c r="M3524">
        <v>3</v>
      </c>
      <c r="N3524">
        <v>40</v>
      </c>
      <c r="O3524">
        <v>809</v>
      </c>
      <c r="P3524">
        <f t="shared" si="183"/>
        <v>2025</v>
      </c>
      <c r="Q3524">
        <f t="shared" si="184"/>
        <v>10</v>
      </c>
      <c r="R3524" t="str">
        <f t="shared" si="185"/>
        <v>购后推荐</v>
      </c>
      <c r="S3524" t="s">
        <v>784</v>
      </c>
      <c r="T3524" t="s">
        <v>805</v>
      </c>
    </row>
    <row r="3525" spans="1:20" x14ac:dyDescent="0.3">
      <c r="A3525" t="s">
        <v>627</v>
      </c>
      <c r="B3525" s="16">
        <v>45956</v>
      </c>
      <c r="C3525" t="s">
        <v>3</v>
      </c>
      <c r="D3525" t="s">
        <v>127</v>
      </c>
      <c r="E3525" t="s">
        <v>174</v>
      </c>
      <c r="F3525">
        <v>5368</v>
      </c>
      <c r="G3525">
        <v>2026</v>
      </c>
      <c r="H3525">
        <v>97</v>
      </c>
      <c r="I3525">
        <v>32</v>
      </c>
      <c r="J3525">
        <v>88674.37</v>
      </c>
      <c r="K3525">
        <v>20</v>
      </c>
      <c r="L3525">
        <v>66994.37</v>
      </c>
      <c r="M3525">
        <v>17</v>
      </c>
      <c r="N3525">
        <v>311</v>
      </c>
      <c r="O3525">
        <v>5368</v>
      </c>
      <c r="P3525">
        <f t="shared" si="183"/>
        <v>2025</v>
      </c>
      <c r="Q3525">
        <f t="shared" si="184"/>
        <v>10</v>
      </c>
      <c r="R3525" t="str">
        <f t="shared" si="185"/>
        <v>首页推荐-微详情</v>
      </c>
      <c r="S3525" t="s">
        <v>784</v>
      </c>
      <c r="T3525" t="s">
        <v>805</v>
      </c>
    </row>
    <row r="3526" spans="1:20" x14ac:dyDescent="0.3">
      <c r="A3526" t="s">
        <v>627</v>
      </c>
      <c r="B3526" s="16">
        <v>45956</v>
      </c>
      <c r="C3526" t="s">
        <v>3</v>
      </c>
      <c r="D3526" t="s">
        <v>127</v>
      </c>
      <c r="E3526" t="s">
        <v>176</v>
      </c>
      <c r="F3526">
        <v>28</v>
      </c>
      <c r="G3526">
        <v>9</v>
      </c>
      <c r="H3526">
        <v>2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2</v>
      </c>
      <c r="O3526">
        <v>6</v>
      </c>
      <c r="P3526">
        <f t="shared" si="183"/>
        <v>2025</v>
      </c>
      <c r="Q3526">
        <f t="shared" si="184"/>
        <v>10</v>
      </c>
      <c r="R3526" t="str">
        <f t="shared" si="185"/>
        <v>首页推荐-短视频</v>
      </c>
      <c r="S3526" t="s">
        <v>784</v>
      </c>
      <c r="T3526" t="s">
        <v>805</v>
      </c>
    </row>
    <row r="3527" spans="1:20" x14ac:dyDescent="0.3">
      <c r="A3527" t="s">
        <v>627</v>
      </c>
      <c r="B3527" s="16">
        <v>45956</v>
      </c>
      <c r="C3527" t="s">
        <v>3</v>
      </c>
      <c r="D3527" t="s">
        <v>128</v>
      </c>
      <c r="E3527" t="s">
        <v>177</v>
      </c>
      <c r="F3527">
        <v>1181</v>
      </c>
      <c r="G3527">
        <v>828</v>
      </c>
      <c r="H3527">
        <v>51</v>
      </c>
      <c r="I3527">
        <v>15</v>
      </c>
      <c r="J3527">
        <v>20860</v>
      </c>
      <c r="K3527">
        <v>5</v>
      </c>
      <c r="L3527">
        <v>20860</v>
      </c>
      <c r="M3527">
        <v>5</v>
      </c>
      <c r="N3527">
        <v>261</v>
      </c>
      <c r="O3527">
        <v>1115</v>
      </c>
      <c r="P3527">
        <f t="shared" si="183"/>
        <v>2025</v>
      </c>
      <c r="Q3527">
        <f t="shared" si="184"/>
        <v>10</v>
      </c>
      <c r="R3527" t="str">
        <f t="shared" si="185"/>
        <v>手淘搜索-商品及其他</v>
      </c>
      <c r="S3527" t="s">
        <v>784</v>
      </c>
      <c r="T3527" t="s">
        <v>805</v>
      </c>
    </row>
    <row r="3528" spans="1:20" x14ac:dyDescent="0.3">
      <c r="A3528" t="s">
        <v>627</v>
      </c>
      <c r="B3528" s="16">
        <v>45956</v>
      </c>
      <c r="C3528" t="s">
        <v>3</v>
      </c>
      <c r="D3528" t="s">
        <v>128</v>
      </c>
      <c r="E3528" t="s">
        <v>179</v>
      </c>
      <c r="F3528">
        <v>25</v>
      </c>
      <c r="G3528">
        <v>12</v>
      </c>
      <c r="H3528">
        <v>1</v>
      </c>
      <c r="I3528">
        <v>1</v>
      </c>
      <c r="J3528">
        <v>2990</v>
      </c>
      <c r="K3528">
        <v>1</v>
      </c>
      <c r="L3528">
        <v>2990</v>
      </c>
      <c r="M3528">
        <v>1</v>
      </c>
      <c r="N3528">
        <v>0</v>
      </c>
      <c r="O3528">
        <v>25</v>
      </c>
      <c r="P3528">
        <f t="shared" si="183"/>
        <v>2025</v>
      </c>
      <c r="Q3528">
        <f t="shared" si="184"/>
        <v>10</v>
      </c>
      <c r="R3528" t="str">
        <f t="shared" si="185"/>
        <v>手淘搜索-短视频</v>
      </c>
      <c r="S3528" t="s">
        <v>784</v>
      </c>
      <c r="T3528" t="s">
        <v>805</v>
      </c>
    </row>
    <row r="3529" spans="1:20" x14ac:dyDescent="0.3">
      <c r="A3529" t="s">
        <v>627</v>
      </c>
      <c r="B3529" s="16">
        <v>45956</v>
      </c>
      <c r="C3529" t="s">
        <v>3</v>
      </c>
      <c r="D3529" t="s">
        <v>143</v>
      </c>
      <c r="E3529" t="s">
        <v>180</v>
      </c>
      <c r="F3529">
        <v>1</v>
      </c>
      <c r="G3529">
        <v>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1</v>
      </c>
      <c r="P3529">
        <f t="shared" si="183"/>
        <v>2025</v>
      </c>
      <c r="Q3529">
        <f t="shared" si="184"/>
        <v>10</v>
      </c>
      <c r="R3529" t="str">
        <f t="shared" si="185"/>
        <v>淘特其他渠道</v>
      </c>
      <c r="S3529" t="s">
        <v>784</v>
      </c>
      <c r="T3529" t="s">
        <v>805</v>
      </c>
    </row>
    <row r="3530" spans="1:20" x14ac:dyDescent="0.3">
      <c r="A3530" t="s">
        <v>627</v>
      </c>
      <c r="B3530" s="16">
        <v>45956</v>
      </c>
      <c r="C3530" t="s">
        <v>2</v>
      </c>
      <c r="D3530" t="s">
        <v>55</v>
      </c>
      <c r="E3530" t="s">
        <v>54</v>
      </c>
      <c r="F3530">
        <v>8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5</v>
      </c>
      <c r="P3530">
        <f t="shared" si="183"/>
        <v>2025</v>
      </c>
      <c r="Q3530">
        <f t="shared" si="184"/>
        <v>10</v>
      </c>
      <c r="R3530" t="str">
        <f t="shared" si="185"/>
        <v>超级直播</v>
      </c>
      <c r="S3530" t="s">
        <v>784</v>
      </c>
      <c r="T3530" t="s">
        <v>805</v>
      </c>
    </row>
    <row r="3531" spans="1:20" x14ac:dyDescent="0.3">
      <c r="A3531" t="s">
        <v>627</v>
      </c>
      <c r="B3531" s="16">
        <v>45956</v>
      </c>
      <c r="C3531" t="s">
        <v>2</v>
      </c>
      <c r="D3531" t="s">
        <v>55</v>
      </c>
      <c r="E3531" t="s">
        <v>56</v>
      </c>
      <c r="F3531">
        <v>132</v>
      </c>
      <c r="G3531">
        <v>100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3</v>
      </c>
      <c r="O3531">
        <v>124</v>
      </c>
      <c r="P3531">
        <f t="shared" si="183"/>
        <v>2025</v>
      </c>
      <c r="Q3531">
        <f t="shared" si="184"/>
        <v>10</v>
      </c>
      <c r="R3531" t="str">
        <f t="shared" si="185"/>
        <v>超级短视频</v>
      </c>
      <c r="S3531" t="s">
        <v>784</v>
      </c>
      <c r="T3531" t="s">
        <v>805</v>
      </c>
    </row>
    <row r="3532" spans="1:20" x14ac:dyDescent="0.3">
      <c r="A3532" t="s">
        <v>627</v>
      </c>
      <c r="B3532" s="16">
        <v>45956</v>
      </c>
      <c r="C3532" t="s">
        <v>2</v>
      </c>
      <c r="D3532" t="s">
        <v>57</v>
      </c>
      <c r="E3532" t="s">
        <v>63</v>
      </c>
      <c r="F3532">
        <v>993</v>
      </c>
      <c r="G3532">
        <v>843</v>
      </c>
      <c r="H3532">
        <v>24</v>
      </c>
      <c r="I3532">
        <v>6</v>
      </c>
      <c r="J3532">
        <v>9620</v>
      </c>
      <c r="K3532">
        <v>4</v>
      </c>
      <c r="L3532">
        <v>9620</v>
      </c>
      <c r="M3532">
        <v>4</v>
      </c>
      <c r="N3532">
        <v>992</v>
      </c>
      <c r="O3532">
        <v>524</v>
      </c>
      <c r="P3532">
        <f t="shared" si="183"/>
        <v>2025</v>
      </c>
      <c r="Q3532">
        <f t="shared" si="184"/>
        <v>10</v>
      </c>
      <c r="R3532" t="str">
        <f t="shared" si="185"/>
        <v>万相台</v>
      </c>
      <c r="S3532" t="s">
        <v>784</v>
      </c>
      <c r="T3532" t="s">
        <v>805</v>
      </c>
    </row>
    <row r="3533" spans="1:20" x14ac:dyDescent="0.3">
      <c r="A3533" t="s">
        <v>627</v>
      </c>
      <c r="B3533" s="16">
        <v>45956</v>
      </c>
      <c r="C3533" t="s">
        <v>2</v>
      </c>
      <c r="D3533" t="s">
        <v>57</v>
      </c>
      <c r="E3533" t="s">
        <v>64</v>
      </c>
      <c r="F3533">
        <v>23144</v>
      </c>
      <c r="G3533">
        <v>11309</v>
      </c>
      <c r="H3533">
        <v>117</v>
      </c>
      <c r="I3533">
        <v>142</v>
      </c>
      <c r="J3533">
        <v>57825</v>
      </c>
      <c r="K3533">
        <v>9</v>
      </c>
      <c r="L3533">
        <v>25485</v>
      </c>
      <c r="M3533">
        <v>5</v>
      </c>
      <c r="N3533">
        <v>433</v>
      </c>
      <c r="O3533">
        <v>23144</v>
      </c>
      <c r="P3533">
        <f t="shared" si="183"/>
        <v>2025</v>
      </c>
      <c r="Q3533">
        <f t="shared" si="184"/>
        <v>10</v>
      </c>
      <c r="R3533" t="str">
        <f t="shared" si="185"/>
        <v>引力魔方</v>
      </c>
      <c r="S3533" t="s">
        <v>784</v>
      </c>
      <c r="T3533" t="s">
        <v>805</v>
      </c>
    </row>
    <row r="3534" spans="1:20" x14ac:dyDescent="0.3">
      <c r="A3534" t="s">
        <v>627</v>
      </c>
      <c r="B3534" s="16">
        <v>45956</v>
      </c>
      <c r="C3534" t="s">
        <v>2</v>
      </c>
      <c r="D3534" t="s">
        <v>57</v>
      </c>
      <c r="E3534" t="s">
        <v>65</v>
      </c>
      <c r="F3534">
        <v>5802</v>
      </c>
      <c r="G3534">
        <v>5009</v>
      </c>
      <c r="H3534">
        <v>51</v>
      </c>
      <c r="I3534">
        <v>16</v>
      </c>
      <c r="J3534">
        <v>32535</v>
      </c>
      <c r="K3534">
        <v>8</v>
      </c>
      <c r="L3534">
        <v>32535</v>
      </c>
      <c r="M3534">
        <v>8</v>
      </c>
      <c r="N3534">
        <v>377</v>
      </c>
      <c r="O3534">
        <v>5720</v>
      </c>
      <c r="P3534">
        <f t="shared" si="183"/>
        <v>2025</v>
      </c>
      <c r="Q3534">
        <f t="shared" si="184"/>
        <v>10</v>
      </c>
      <c r="R3534" t="str">
        <f t="shared" si="185"/>
        <v>直通车</v>
      </c>
      <c r="S3534" t="s">
        <v>784</v>
      </c>
      <c r="T3534" t="s">
        <v>805</v>
      </c>
    </row>
    <row r="3535" spans="1:20" x14ac:dyDescent="0.3">
      <c r="A3535" t="s">
        <v>627</v>
      </c>
      <c r="B3535" s="16">
        <v>45956</v>
      </c>
      <c r="C3535" t="s">
        <v>2</v>
      </c>
      <c r="D3535" t="s">
        <v>4</v>
      </c>
      <c r="E3535" t="s">
        <v>42</v>
      </c>
      <c r="F3535">
        <v>1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1</v>
      </c>
      <c r="P3535">
        <f t="shared" si="183"/>
        <v>2025</v>
      </c>
      <c r="Q3535">
        <f t="shared" si="184"/>
        <v>10</v>
      </c>
      <c r="R3535" t="str">
        <f t="shared" si="185"/>
        <v>UD效果投放</v>
      </c>
      <c r="S3535" t="s">
        <v>784</v>
      </c>
      <c r="T3535" t="s">
        <v>805</v>
      </c>
    </row>
    <row r="3536" spans="1:20" x14ac:dyDescent="0.3">
      <c r="A3536" t="s">
        <v>627</v>
      </c>
      <c r="B3536" s="16">
        <v>45956</v>
      </c>
      <c r="C3536" t="s">
        <v>2</v>
      </c>
      <c r="D3536" t="s">
        <v>4</v>
      </c>
      <c r="E3536" t="s">
        <v>41</v>
      </c>
      <c r="F3536">
        <v>1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1</v>
      </c>
      <c r="P3536">
        <f t="shared" si="183"/>
        <v>2025</v>
      </c>
      <c r="Q3536">
        <f t="shared" si="184"/>
        <v>10</v>
      </c>
      <c r="R3536" t="str">
        <f t="shared" si="185"/>
        <v>流量宝</v>
      </c>
      <c r="S3536" t="s">
        <v>784</v>
      </c>
      <c r="T3536" t="s">
        <v>805</v>
      </c>
    </row>
    <row r="3537" spans="1:20" x14ac:dyDescent="0.3">
      <c r="A3537" t="s">
        <v>627</v>
      </c>
      <c r="B3537" s="16">
        <v>45956</v>
      </c>
      <c r="C3537" t="s">
        <v>2</v>
      </c>
      <c r="D3537" t="s">
        <v>4</v>
      </c>
      <c r="E3537" t="s">
        <v>43</v>
      </c>
      <c r="F3537">
        <v>307</v>
      </c>
      <c r="G3537">
        <v>81</v>
      </c>
      <c r="H3537">
        <v>5</v>
      </c>
      <c r="I3537">
        <v>2</v>
      </c>
      <c r="J3537">
        <v>19415</v>
      </c>
      <c r="K3537">
        <v>2</v>
      </c>
      <c r="L3537">
        <v>19415</v>
      </c>
      <c r="M3537">
        <v>2</v>
      </c>
      <c r="N3537">
        <v>6</v>
      </c>
      <c r="O3537">
        <v>306</v>
      </c>
      <c r="P3537">
        <f t="shared" si="183"/>
        <v>2025</v>
      </c>
      <c r="Q3537">
        <f t="shared" si="184"/>
        <v>10</v>
      </c>
      <c r="R3537" t="str">
        <f t="shared" si="185"/>
        <v>淘宝客</v>
      </c>
      <c r="S3537" t="s">
        <v>784</v>
      </c>
      <c r="T3537" t="s">
        <v>805</v>
      </c>
    </row>
    <row r="3538" spans="1:20" x14ac:dyDescent="0.3">
      <c r="A3538" t="s">
        <v>627</v>
      </c>
      <c r="B3538" s="16">
        <v>45955</v>
      </c>
      <c r="C3538" t="s">
        <v>3</v>
      </c>
      <c r="D3538" t="s">
        <v>114</v>
      </c>
      <c r="E3538" t="s">
        <v>159</v>
      </c>
      <c r="F3538">
        <v>156</v>
      </c>
      <c r="G3538">
        <v>62</v>
      </c>
      <c r="H3538">
        <v>5</v>
      </c>
      <c r="I3538">
        <v>1</v>
      </c>
      <c r="J3538">
        <v>4990</v>
      </c>
      <c r="K3538">
        <v>1</v>
      </c>
      <c r="L3538">
        <v>4990</v>
      </c>
      <c r="M3538">
        <v>1</v>
      </c>
      <c r="N3538">
        <v>18</v>
      </c>
      <c r="O3538">
        <v>152</v>
      </c>
      <c r="P3538">
        <f t="shared" si="183"/>
        <v>2025</v>
      </c>
      <c r="Q3538">
        <f t="shared" si="184"/>
        <v>10</v>
      </c>
      <c r="R3538" t="str">
        <f t="shared" si="185"/>
        <v>主会场</v>
      </c>
      <c r="S3538" t="s">
        <v>784</v>
      </c>
      <c r="T3538" t="s">
        <v>805</v>
      </c>
    </row>
    <row r="3539" spans="1:20" x14ac:dyDescent="0.3">
      <c r="A3539" t="s">
        <v>627</v>
      </c>
      <c r="B3539" s="16">
        <v>45955</v>
      </c>
      <c r="C3539" t="s">
        <v>3</v>
      </c>
      <c r="D3539" t="s">
        <v>114</v>
      </c>
      <c r="E3539" t="s">
        <v>160</v>
      </c>
      <c r="F3539">
        <v>3</v>
      </c>
      <c r="G3539">
        <v>3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3</v>
      </c>
      <c r="P3539">
        <f t="shared" si="183"/>
        <v>2025</v>
      </c>
      <c r="Q3539">
        <f t="shared" si="184"/>
        <v>10</v>
      </c>
      <c r="R3539" t="str">
        <f t="shared" si="185"/>
        <v>榜单会场</v>
      </c>
      <c r="S3539" t="s">
        <v>784</v>
      </c>
      <c r="T3539" t="s">
        <v>805</v>
      </c>
    </row>
    <row r="3540" spans="1:20" x14ac:dyDescent="0.3">
      <c r="A3540" t="s">
        <v>627</v>
      </c>
      <c r="B3540" s="16">
        <v>45955</v>
      </c>
      <c r="C3540" t="s">
        <v>3</v>
      </c>
      <c r="D3540" t="s">
        <v>117</v>
      </c>
      <c r="E3540" t="s">
        <v>161</v>
      </c>
      <c r="F3540">
        <v>3</v>
      </c>
      <c r="G3540">
        <v>3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3</v>
      </c>
      <c r="P3540">
        <f t="shared" si="183"/>
        <v>2025</v>
      </c>
      <c r="Q3540">
        <f t="shared" si="184"/>
        <v>10</v>
      </c>
      <c r="R3540" t="str">
        <f t="shared" si="185"/>
        <v>其他入口榜单</v>
      </c>
      <c r="S3540" t="s">
        <v>784</v>
      </c>
      <c r="T3540" t="s">
        <v>805</v>
      </c>
    </row>
    <row r="3541" spans="1:20" x14ac:dyDescent="0.3">
      <c r="A3541" t="s">
        <v>627</v>
      </c>
      <c r="B3541" s="16">
        <v>45955</v>
      </c>
      <c r="C3541" t="s">
        <v>3</v>
      </c>
      <c r="D3541" t="s">
        <v>123</v>
      </c>
      <c r="E3541" t="s">
        <v>170</v>
      </c>
      <c r="F3541">
        <v>41</v>
      </c>
      <c r="G3541">
        <v>17</v>
      </c>
      <c r="H3541">
        <v>1</v>
      </c>
      <c r="I3541">
        <v>1</v>
      </c>
      <c r="J3541">
        <v>0</v>
      </c>
      <c r="K3541">
        <v>0</v>
      </c>
      <c r="L3541">
        <v>0</v>
      </c>
      <c r="M3541">
        <v>0</v>
      </c>
      <c r="N3541">
        <v>34</v>
      </c>
      <c r="O3541">
        <v>20</v>
      </c>
      <c r="P3541">
        <f t="shared" si="183"/>
        <v>2025</v>
      </c>
      <c r="Q3541">
        <f t="shared" si="184"/>
        <v>10</v>
      </c>
      <c r="R3541" t="str">
        <f t="shared" si="185"/>
        <v>店铺超链</v>
      </c>
      <c r="S3541" t="s">
        <v>784</v>
      </c>
      <c r="T3541" t="s">
        <v>805</v>
      </c>
    </row>
    <row r="3542" spans="1:20" x14ac:dyDescent="0.3">
      <c r="A3542" t="s">
        <v>627</v>
      </c>
      <c r="B3542" s="16">
        <v>45955</v>
      </c>
      <c r="C3542" t="s">
        <v>3</v>
      </c>
      <c r="D3542" t="s">
        <v>127</v>
      </c>
      <c r="E3542" t="s">
        <v>171</v>
      </c>
      <c r="F3542">
        <v>612</v>
      </c>
      <c r="G3542">
        <v>201</v>
      </c>
      <c r="H3542">
        <v>30</v>
      </c>
      <c r="I3542">
        <v>5</v>
      </c>
      <c r="J3542">
        <v>26290</v>
      </c>
      <c r="K3542">
        <v>6</v>
      </c>
      <c r="L3542">
        <v>22300</v>
      </c>
      <c r="M3542">
        <v>5</v>
      </c>
      <c r="N3542">
        <v>90</v>
      </c>
      <c r="O3542">
        <v>584</v>
      </c>
      <c r="P3542">
        <f t="shared" si="183"/>
        <v>2025</v>
      </c>
      <c r="Q3542">
        <f t="shared" si="184"/>
        <v>10</v>
      </c>
      <c r="R3542" t="str">
        <f t="shared" si="185"/>
        <v>其他猜你喜欢</v>
      </c>
      <c r="S3542" t="s">
        <v>784</v>
      </c>
      <c r="T3542" t="s">
        <v>805</v>
      </c>
    </row>
    <row r="3543" spans="1:20" x14ac:dyDescent="0.3">
      <c r="A3543" t="s">
        <v>627</v>
      </c>
      <c r="B3543" s="16">
        <v>45955</v>
      </c>
      <c r="C3543" t="s">
        <v>3</v>
      </c>
      <c r="D3543" t="s">
        <v>127</v>
      </c>
      <c r="E3543" t="s">
        <v>172</v>
      </c>
      <c r="F3543">
        <v>94</v>
      </c>
      <c r="G3543">
        <v>19</v>
      </c>
      <c r="H3543">
        <v>6</v>
      </c>
      <c r="I3543">
        <v>3</v>
      </c>
      <c r="J3543">
        <v>0</v>
      </c>
      <c r="K3543">
        <v>0</v>
      </c>
      <c r="L3543">
        <v>0</v>
      </c>
      <c r="M3543">
        <v>0</v>
      </c>
      <c r="N3543">
        <v>3</v>
      </c>
      <c r="O3543">
        <v>92</v>
      </c>
      <c r="P3543">
        <f t="shared" si="183"/>
        <v>2025</v>
      </c>
      <c r="Q3543">
        <f t="shared" si="184"/>
        <v>10</v>
      </c>
      <c r="R3543" t="str">
        <f t="shared" si="185"/>
        <v>购中推荐</v>
      </c>
      <c r="S3543" t="s">
        <v>784</v>
      </c>
      <c r="T3543" t="s">
        <v>805</v>
      </c>
    </row>
    <row r="3544" spans="1:20" x14ac:dyDescent="0.3">
      <c r="A3544" t="s">
        <v>627</v>
      </c>
      <c r="B3544" s="16">
        <v>45955</v>
      </c>
      <c r="C3544" t="s">
        <v>3</v>
      </c>
      <c r="D3544" t="s">
        <v>127</v>
      </c>
      <c r="E3544" t="s">
        <v>173</v>
      </c>
      <c r="F3544">
        <v>541</v>
      </c>
      <c r="G3544">
        <v>148</v>
      </c>
      <c r="H3544">
        <v>21</v>
      </c>
      <c r="I3544">
        <v>3</v>
      </c>
      <c r="J3544">
        <v>9480</v>
      </c>
      <c r="K3544">
        <v>2</v>
      </c>
      <c r="L3544">
        <v>4990</v>
      </c>
      <c r="M3544">
        <v>1</v>
      </c>
      <c r="N3544">
        <v>36</v>
      </c>
      <c r="O3544">
        <v>507</v>
      </c>
      <c r="P3544">
        <f t="shared" si="183"/>
        <v>2025</v>
      </c>
      <c r="Q3544">
        <f t="shared" si="184"/>
        <v>10</v>
      </c>
      <c r="R3544" t="str">
        <f t="shared" si="185"/>
        <v>购后推荐</v>
      </c>
      <c r="S3544" t="s">
        <v>784</v>
      </c>
      <c r="T3544" t="s">
        <v>805</v>
      </c>
    </row>
    <row r="3545" spans="1:20" x14ac:dyDescent="0.3">
      <c r="A3545" t="s">
        <v>627</v>
      </c>
      <c r="B3545" s="16">
        <v>45955</v>
      </c>
      <c r="C3545" t="s">
        <v>3</v>
      </c>
      <c r="D3545" t="s">
        <v>127</v>
      </c>
      <c r="E3545" t="s">
        <v>174</v>
      </c>
      <c r="F3545">
        <v>6348</v>
      </c>
      <c r="G3545">
        <v>3471</v>
      </c>
      <c r="H3545">
        <v>72</v>
      </c>
      <c r="I3545">
        <v>18</v>
      </c>
      <c r="J3545">
        <v>42130</v>
      </c>
      <c r="K3545">
        <v>10</v>
      </c>
      <c r="L3545">
        <v>30910</v>
      </c>
      <c r="M3545">
        <v>8</v>
      </c>
      <c r="N3545">
        <v>193</v>
      </c>
      <c r="O3545">
        <v>6348</v>
      </c>
      <c r="P3545">
        <f t="shared" si="183"/>
        <v>2025</v>
      </c>
      <c r="Q3545">
        <f t="shared" si="184"/>
        <v>10</v>
      </c>
      <c r="R3545" t="str">
        <f t="shared" si="185"/>
        <v>首页推荐-微详情</v>
      </c>
      <c r="S3545" t="s">
        <v>784</v>
      </c>
      <c r="T3545" t="s">
        <v>805</v>
      </c>
    </row>
    <row r="3546" spans="1:20" x14ac:dyDescent="0.3">
      <c r="A3546" t="s">
        <v>627</v>
      </c>
      <c r="B3546" s="16">
        <v>45955</v>
      </c>
      <c r="C3546" t="s">
        <v>3</v>
      </c>
      <c r="D3546" t="s">
        <v>127</v>
      </c>
      <c r="E3546" t="s">
        <v>175</v>
      </c>
      <c r="F3546">
        <v>150</v>
      </c>
      <c r="G3546">
        <v>88</v>
      </c>
      <c r="H3546">
        <v>4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12</v>
      </c>
      <c r="O3546">
        <v>95</v>
      </c>
      <c r="P3546">
        <f t="shared" si="183"/>
        <v>2025</v>
      </c>
      <c r="Q3546">
        <f t="shared" si="184"/>
        <v>10</v>
      </c>
      <c r="R3546" t="str">
        <f t="shared" si="185"/>
        <v>首页推荐-直播</v>
      </c>
      <c r="S3546" t="s">
        <v>784</v>
      </c>
      <c r="T3546" t="s">
        <v>805</v>
      </c>
    </row>
    <row r="3547" spans="1:20" x14ac:dyDescent="0.3">
      <c r="A3547" t="s">
        <v>627</v>
      </c>
      <c r="B3547" s="16">
        <v>45955</v>
      </c>
      <c r="C3547" t="s">
        <v>3</v>
      </c>
      <c r="D3547" t="s">
        <v>127</v>
      </c>
      <c r="E3547" t="s">
        <v>176</v>
      </c>
      <c r="F3547">
        <v>123</v>
      </c>
      <c r="G3547">
        <v>68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3</v>
      </c>
      <c r="O3547">
        <v>17</v>
      </c>
      <c r="P3547">
        <f t="shared" si="183"/>
        <v>2025</v>
      </c>
      <c r="Q3547">
        <f t="shared" si="184"/>
        <v>10</v>
      </c>
      <c r="R3547" t="str">
        <f t="shared" si="185"/>
        <v>首页推荐-短视频</v>
      </c>
      <c r="S3547" t="s">
        <v>784</v>
      </c>
      <c r="T3547" t="s">
        <v>805</v>
      </c>
    </row>
    <row r="3548" spans="1:20" x14ac:dyDescent="0.3">
      <c r="A3548" t="s">
        <v>627</v>
      </c>
      <c r="B3548" s="16">
        <v>45955</v>
      </c>
      <c r="C3548" t="s">
        <v>3</v>
      </c>
      <c r="D3548" t="s">
        <v>128</v>
      </c>
      <c r="E3548" t="s">
        <v>177</v>
      </c>
      <c r="F3548">
        <v>1035</v>
      </c>
      <c r="G3548">
        <v>697</v>
      </c>
      <c r="H3548">
        <v>55</v>
      </c>
      <c r="I3548">
        <v>10</v>
      </c>
      <c r="J3548">
        <v>29210</v>
      </c>
      <c r="K3548">
        <v>7</v>
      </c>
      <c r="L3548">
        <v>22480</v>
      </c>
      <c r="M3548">
        <v>6</v>
      </c>
      <c r="N3548">
        <v>236</v>
      </c>
      <c r="O3548">
        <v>992</v>
      </c>
      <c r="P3548">
        <f t="shared" si="183"/>
        <v>2025</v>
      </c>
      <c r="Q3548">
        <f t="shared" si="184"/>
        <v>10</v>
      </c>
      <c r="R3548" t="str">
        <f t="shared" si="185"/>
        <v>手淘搜索-商品及其他</v>
      </c>
      <c r="S3548" t="s">
        <v>784</v>
      </c>
      <c r="T3548" t="s">
        <v>805</v>
      </c>
    </row>
    <row r="3549" spans="1:20" x14ac:dyDescent="0.3">
      <c r="A3549" t="s">
        <v>627</v>
      </c>
      <c r="B3549" s="16">
        <v>45955</v>
      </c>
      <c r="C3549" t="s">
        <v>3</v>
      </c>
      <c r="D3549" t="s">
        <v>128</v>
      </c>
      <c r="E3549" t="s">
        <v>178</v>
      </c>
      <c r="F3549">
        <v>13</v>
      </c>
      <c r="G3549">
        <v>7</v>
      </c>
      <c r="H3549">
        <v>1</v>
      </c>
      <c r="I3549">
        <v>1</v>
      </c>
      <c r="J3549">
        <v>0</v>
      </c>
      <c r="K3549">
        <v>0</v>
      </c>
      <c r="L3549">
        <v>0</v>
      </c>
      <c r="M3549">
        <v>0</v>
      </c>
      <c r="N3549">
        <v>1</v>
      </c>
      <c r="O3549">
        <v>11</v>
      </c>
      <c r="P3549">
        <f t="shared" si="183"/>
        <v>2025</v>
      </c>
      <c r="Q3549">
        <f t="shared" si="184"/>
        <v>10</v>
      </c>
      <c r="R3549" t="str">
        <f t="shared" si="185"/>
        <v>手淘搜索-直播</v>
      </c>
      <c r="S3549" t="s">
        <v>784</v>
      </c>
      <c r="T3549" t="s">
        <v>805</v>
      </c>
    </row>
    <row r="3550" spans="1:20" x14ac:dyDescent="0.3">
      <c r="A3550" t="s">
        <v>627</v>
      </c>
      <c r="B3550" s="16">
        <v>45955</v>
      </c>
      <c r="C3550" t="s">
        <v>3</v>
      </c>
      <c r="D3550" t="s">
        <v>128</v>
      </c>
      <c r="E3550" t="s">
        <v>179</v>
      </c>
      <c r="F3550">
        <v>30</v>
      </c>
      <c r="G3550">
        <v>11</v>
      </c>
      <c r="H3550">
        <v>1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3</v>
      </c>
      <c r="O3550">
        <v>30</v>
      </c>
      <c r="P3550">
        <f t="shared" si="183"/>
        <v>2025</v>
      </c>
      <c r="Q3550">
        <f t="shared" si="184"/>
        <v>10</v>
      </c>
      <c r="R3550" t="str">
        <f t="shared" si="185"/>
        <v>手淘搜索-短视频</v>
      </c>
      <c r="S3550" t="s">
        <v>784</v>
      </c>
      <c r="T3550" t="s">
        <v>805</v>
      </c>
    </row>
    <row r="3551" spans="1:20" x14ac:dyDescent="0.3">
      <c r="A3551" t="s">
        <v>627</v>
      </c>
      <c r="B3551" s="16">
        <v>45955</v>
      </c>
      <c r="C3551" t="s">
        <v>3</v>
      </c>
      <c r="D3551" t="s">
        <v>143</v>
      </c>
      <c r="E3551" t="s">
        <v>180</v>
      </c>
      <c r="F3551">
        <v>2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2</v>
      </c>
      <c r="P3551">
        <f t="shared" si="183"/>
        <v>2025</v>
      </c>
      <c r="Q3551">
        <f t="shared" si="184"/>
        <v>10</v>
      </c>
      <c r="R3551" t="str">
        <f t="shared" si="185"/>
        <v>淘特其他渠道</v>
      </c>
      <c r="S3551" t="s">
        <v>784</v>
      </c>
      <c r="T3551" t="s">
        <v>805</v>
      </c>
    </row>
    <row r="3552" spans="1:20" x14ac:dyDescent="0.3">
      <c r="A3552" t="s">
        <v>627</v>
      </c>
      <c r="B3552" s="16">
        <v>45955</v>
      </c>
      <c r="C3552" t="s">
        <v>2</v>
      </c>
      <c r="D3552" t="s">
        <v>55</v>
      </c>
      <c r="E3552" t="s">
        <v>66</v>
      </c>
      <c r="F3552">
        <v>4</v>
      </c>
      <c r="G3552">
        <v>4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f t="shared" si="183"/>
        <v>2025</v>
      </c>
      <c r="Q3552">
        <f t="shared" si="184"/>
        <v>10</v>
      </c>
      <c r="R3552" t="str">
        <f t="shared" si="185"/>
        <v>短直联动</v>
      </c>
      <c r="S3552" t="s">
        <v>784</v>
      </c>
      <c r="T3552" t="s">
        <v>805</v>
      </c>
    </row>
    <row r="3553" spans="1:20" x14ac:dyDescent="0.3">
      <c r="A3553" t="s">
        <v>627</v>
      </c>
      <c r="B3553" s="16">
        <v>45955</v>
      </c>
      <c r="C3553" t="s">
        <v>2</v>
      </c>
      <c r="D3553" t="s">
        <v>55</v>
      </c>
      <c r="E3553" t="s">
        <v>54</v>
      </c>
      <c r="F3553">
        <v>1118</v>
      </c>
      <c r="G3553">
        <v>515</v>
      </c>
      <c r="H3553">
        <v>26</v>
      </c>
      <c r="I3553">
        <v>3</v>
      </c>
      <c r="J3553">
        <v>0</v>
      </c>
      <c r="K3553">
        <v>0</v>
      </c>
      <c r="L3553">
        <v>0</v>
      </c>
      <c r="M3553">
        <v>0</v>
      </c>
      <c r="N3553">
        <v>38</v>
      </c>
      <c r="O3553">
        <v>490</v>
      </c>
      <c r="P3553">
        <f t="shared" si="183"/>
        <v>2025</v>
      </c>
      <c r="Q3553">
        <f t="shared" si="184"/>
        <v>10</v>
      </c>
      <c r="R3553" t="str">
        <f t="shared" si="185"/>
        <v>超级直播</v>
      </c>
      <c r="S3553" t="s">
        <v>784</v>
      </c>
      <c r="T3553" t="s">
        <v>805</v>
      </c>
    </row>
    <row r="3554" spans="1:20" x14ac:dyDescent="0.3">
      <c r="A3554" t="s">
        <v>627</v>
      </c>
      <c r="B3554" s="16">
        <v>45955</v>
      </c>
      <c r="C3554" t="s">
        <v>2</v>
      </c>
      <c r="D3554" t="s">
        <v>55</v>
      </c>
      <c r="E3554" t="s">
        <v>56</v>
      </c>
      <c r="F3554">
        <v>135</v>
      </c>
      <c r="G3554">
        <v>120</v>
      </c>
      <c r="H3554">
        <v>1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3</v>
      </c>
      <c r="O3554">
        <v>132</v>
      </c>
      <c r="P3554">
        <f t="shared" si="183"/>
        <v>2025</v>
      </c>
      <c r="Q3554">
        <f t="shared" si="184"/>
        <v>10</v>
      </c>
      <c r="R3554" t="str">
        <f t="shared" si="185"/>
        <v>超级短视频</v>
      </c>
      <c r="S3554" t="s">
        <v>784</v>
      </c>
      <c r="T3554" t="s">
        <v>805</v>
      </c>
    </row>
    <row r="3555" spans="1:20" x14ac:dyDescent="0.3">
      <c r="A3555" t="s">
        <v>627</v>
      </c>
      <c r="B3555" s="16">
        <v>45955</v>
      </c>
      <c r="C3555" t="s">
        <v>2</v>
      </c>
      <c r="D3555" t="s">
        <v>52</v>
      </c>
      <c r="E3555" t="s">
        <v>58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f t="shared" si="183"/>
        <v>2025</v>
      </c>
      <c r="Q3555">
        <f t="shared" si="184"/>
        <v>10</v>
      </c>
      <c r="R3555" t="str">
        <f t="shared" si="185"/>
        <v>超级全域通</v>
      </c>
      <c r="S3555" t="s">
        <v>784</v>
      </c>
      <c r="T3555" t="s">
        <v>805</v>
      </c>
    </row>
    <row r="3556" spans="1:20" x14ac:dyDescent="0.3">
      <c r="A3556" t="s">
        <v>627</v>
      </c>
      <c r="B3556" s="16">
        <v>45955</v>
      </c>
      <c r="C3556" t="s">
        <v>2</v>
      </c>
      <c r="D3556" t="s">
        <v>57</v>
      </c>
      <c r="E3556" t="s">
        <v>63</v>
      </c>
      <c r="F3556">
        <v>973</v>
      </c>
      <c r="G3556">
        <v>801</v>
      </c>
      <c r="H3556">
        <v>17</v>
      </c>
      <c r="I3556">
        <v>5</v>
      </c>
      <c r="J3556">
        <v>6730</v>
      </c>
      <c r="K3556">
        <v>1</v>
      </c>
      <c r="L3556">
        <v>0</v>
      </c>
      <c r="M3556">
        <v>0</v>
      </c>
      <c r="N3556">
        <v>972</v>
      </c>
      <c r="O3556">
        <v>501</v>
      </c>
      <c r="P3556">
        <f t="shared" si="183"/>
        <v>2025</v>
      </c>
      <c r="Q3556">
        <f t="shared" si="184"/>
        <v>10</v>
      </c>
      <c r="R3556" t="str">
        <f t="shared" si="185"/>
        <v>万相台</v>
      </c>
      <c r="S3556" t="s">
        <v>784</v>
      </c>
      <c r="T3556" t="s">
        <v>805</v>
      </c>
    </row>
    <row r="3557" spans="1:20" x14ac:dyDescent="0.3">
      <c r="A3557" t="s">
        <v>627</v>
      </c>
      <c r="B3557" s="16">
        <v>45955</v>
      </c>
      <c r="C3557" t="s">
        <v>2</v>
      </c>
      <c r="D3557" t="s">
        <v>57</v>
      </c>
      <c r="E3557" t="s">
        <v>64</v>
      </c>
      <c r="F3557">
        <v>19124</v>
      </c>
      <c r="G3557">
        <v>8627</v>
      </c>
      <c r="H3557">
        <v>113</v>
      </c>
      <c r="I3557">
        <v>119</v>
      </c>
      <c r="J3557">
        <v>29910</v>
      </c>
      <c r="K3557">
        <v>9</v>
      </c>
      <c r="L3557">
        <v>28420</v>
      </c>
      <c r="M3557">
        <v>8</v>
      </c>
      <c r="N3557">
        <v>331</v>
      </c>
      <c r="O3557">
        <v>19122</v>
      </c>
      <c r="P3557">
        <f t="shared" si="183"/>
        <v>2025</v>
      </c>
      <c r="Q3557">
        <f t="shared" si="184"/>
        <v>10</v>
      </c>
      <c r="R3557" t="str">
        <f t="shared" si="185"/>
        <v>引力魔方</v>
      </c>
      <c r="S3557" t="s">
        <v>784</v>
      </c>
      <c r="T3557" t="s">
        <v>805</v>
      </c>
    </row>
    <row r="3558" spans="1:20" x14ac:dyDescent="0.3">
      <c r="A3558" t="s">
        <v>627</v>
      </c>
      <c r="B3558" s="16">
        <v>45955</v>
      </c>
      <c r="C3558" t="s">
        <v>2</v>
      </c>
      <c r="D3558" t="s">
        <v>57</v>
      </c>
      <c r="E3558" t="s">
        <v>65</v>
      </c>
      <c r="F3558">
        <v>4714</v>
      </c>
      <c r="G3558">
        <v>3875</v>
      </c>
      <c r="H3558">
        <v>49</v>
      </c>
      <c r="I3558">
        <v>22</v>
      </c>
      <c r="J3558">
        <v>44775</v>
      </c>
      <c r="K3558">
        <v>6</v>
      </c>
      <c r="L3558">
        <v>14035</v>
      </c>
      <c r="M3558">
        <v>3</v>
      </c>
      <c r="N3558">
        <v>316</v>
      </c>
      <c r="O3558">
        <v>4659</v>
      </c>
      <c r="P3558">
        <f t="shared" si="183"/>
        <v>2025</v>
      </c>
      <c r="Q3558">
        <f t="shared" si="184"/>
        <v>10</v>
      </c>
      <c r="R3558" t="str">
        <f t="shared" si="185"/>
        <v>直通车</v>
      </c>
      <c r="S3558" t="s">
        <v>784</v>
      </c>
      <c r="T3558" t="s">
        <v>805</v>
      </c>
    </row>
    <row r="3559" spans="1:20" x14ac:dyDescent="0.3">
      <c r="A3559" t="s">
        <v>627</v>
      </c>
      <c r="B3559" s="16">
        <v>45955</v>
      </c>
      <c r="C3559" t="s">
        <v>2</v>
      </c>
      <c r="D3559" t="s">
        <v>4</v>
      </c>
      <c r="E3559" t="s">
        <v>41</v>
      </c>
      <c r="F3559">
        <v>2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1</v>
      </c>
      <c r="O3559">
        <v>1</v>
      </c>
      <c r="P3559">
        <f t="shared" si="183"/>
        <v>2025</v>
      </c>
      <c r="Q3559">
        <f t="shared" si="184"/>
        <v>10</v>
      </c>
      <c r="R3559" t="str">
        <f t="shared" si="185"/>
        <v>流量宝</v>
      </c>
      <c r="S3559" t="s">
        <v>784</v>
      </c>
      <c r="T3559" t="s">
        <v>805</v>
      </c>
    </row>
    <row r="3560" spans="1:20" x14ac:dyDescent="0.3">
      <c r="A3560" t="s">
        <v>627</v>
      </c>
      <c r="B3560" s="16">
        <v>45955</v>
      </c>
      <c r="C3560" t="s">
        <v>2</v>
      </c>
      <c r="D3560" t="s">
        <v>4</v>
      </c>
      <c r="E3560" t="s">
        <v>43</v>
      </c>
      <c r="F3560">
        <v>320</v>
      </c>
      <c r="G3560">
        <v>77</v>
      </c>
      <c r="H3560">
        <v>6</v>
      </c>
      <c r="I3560">
        <v>1</v>
      </c>
      <c r="J3560">
        <v>4945</v>
      </c>
      <c r="K3560">
        <v>1</v>
      </c>
      <c r="L3560">
        <v>4945</v>
      </c>
      <c r="M3560">
        <v>1</v>
      </c>
      <c r="N3560">
        <v>4</v>
      </c>
      <c r="O3560">
        <v>318</v>
      </c>
      <c r="P3560">
        <f t="shared" si="183"/>
        <v>2025</v>
      </c>
      <c r="Q3560">
        <f t="shared" si="184"/>
        <v>10</v>
      </c>
      <c r="R3560" t="str">
        <f t="shared" si="185"/>
        <v>淘宝客</v>
      </c>
      <c r="S3560" t="s">
        <v>784</v>
      </c>
      <c r="T3560" t="s">
        <v>805</v>
      </c>
    </row>
    <row r="3561" spans="1:20" x14ac:dyDescent="0.3">
      <c r="A3561" t="s">
        <v>627</v>
      </c>
      <c r="B3561" s="16">
        <v>45954</v>
      </c>
      <c r="C3561" t="s">
        <v>3</v>
      </c>
      <c r="D3561" t="s">
        <v>114</v>
      </c>
      <c r="E3561" t="s">
        <v>159</v>
      </c>
      <c r="F3561">
        <v>128</v>
      </c>
      <c r="G3561">
        <v>54</v>
      </c>
      <c r="H3561">
        <v>4</v>
      </c>
      <c r="I3561">
        <v>2</v>
      </c>
      <c r="J3561">
        <v>3990</v>
      </c>
      <c r="K3561">
        <v>1</v>
      </c>
      <c r="L3561">
        <v>0</v>
      </c>
      <c r="M3561">
        <v>0</v>
      </c>
      <c r="N3561">
        <v>8</v>
      </c>
      <c r="O3561">
        <v>124</v>
      </c>
      <c r="P3561">
        <f t="shared" ref="P3561:P3624" si="186">YEAR(B3561)</f>
        <v>2025</v>
      </c>
      <c r="Q3561">
        <f t="shared" ref="Q3561:Q3624" si="187">MONTH(B3561)</f>
        <v>10</v>
      </c>
      <c r="R3561" t="str">
        <f t="shared" ref="R3561:R3624" si="188">E3561</f>
        <v>主会场</v>
      </c>
      <c r="S3561" t="s">
        <v>784</v>
      </c>
      <c r="T3561" t="s">
        <v>805</v>
      </c>
    </row>
    <row r="3562" spans="1:20" x14ac:dyDescent="0.3">
      <c r="A3562" t="s">
        <v>627</v>
      </c>
      <c r="B3562" s="16">
        <v>45954</v>
      </c>
      <c r="C3562" t="s">
        <v>3</v>
      </c>
      <c r="D3562" t="s">
        <v>114</v>
      </c>
      <c r="E3562" t="s">
        <v>160</v>
      </c>
      <c r="F3562">
        <v>2</v>
      </c>
      <c r="G3562">
        <v>2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1</v>
      </c>
      <c r="O3562">
        <v>2</v>
      </c>
      <c r="P3562">
        <f t="shared" si="186"/>
        <v>2025</v>
      </c>
      <c r="Q3562">
        <f t="shared" si="187"/>
        <v>10</v>
      </c>
      <c r="R3562" t="str">
        <f t="shared" si="188"/>
        <v>榜单会场</v>
      </c>
      <c r="S3562" t="s">
        <v>784</v>
      </c>
      <c r="T3562" t="s">
        <v>805</v>
      </c>
    </row>
    <row r="3563" spans="1:20" x14ac:dyDescent="0.3">
      <c r="A3563" t="s">
        <v>627</v>
      </c>
      <c r="B3563" s="16">
        <v>45954</v>
      </c>
      <c r="C3563" t="s">
        <v>3</v>
      </c>
      <c r="D3563" t="s">
        <v>117</v>
      </c>
      <c r="E3563" t="s">
        <v>161</v>
      </c>
      <c r="F3563">
        <v>1</v>
      </c>
      <c r="G3563">
        <v>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1</v>
      </c>
      <c r="P3563">
        <f t="shared" si="186"/>
        <v>2025</v>
      </c>
      <c r="Q3563">
        <f t="shared" si="187"/>
        <v>10</v>
      </c>
      <c r="R3563" t="str">
        <f t="shared" si="188"/>
        <v>其他入口榜单</v>
      </c>
      <c r="S3563" t="s">
        <v>784</v>
      </c>
      <c r="T3563" t="s">
        <v>805</v>
      </c>
    </row>
    <row r="3564" spans="1:20" x14ac:dyDescent="0.3">
      <c r="A3564" t="s">
        <v>627</v>
      </c>
      <c r="B3564" s="16">
        <v>45954</v>
      </c>
      <c r="C3564" t="s">
        <v>3</v>
      </c>
      <c r="D3564" t="s">
        <v>117</v>
      </c>
      <c r="E3564" t="s">
        <v>191</v>
      </c>
      <c r="F3564">
        <v>1</v>
      </c>
      <c r="G3564">
        <v>1</v>
      </c>
      <c r="H3564">
        <v>1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1</v>
      </c>
      <c r="P3564">
        <f t="shared" si="186"/>
        <v>2025</v>
      </c>
      <c r="Q3564">
        <f t="shared" si="187"/>
        <v>10</v>
      </c>
      <c r="R3564" t="str">
        <f t="shared" si="188"/>
        <v>商品详情页入口榜单</v>
      </c>
      <c r="S3564" t="s">
        <v>784</v>
      </c>
      <c r="T3564" t="s">
        <v>805</v>
      </c>
    </row>
    <row r="3565" spans="1:20" x14ac:dyDescent="0.3">
      <c r="A3565" t="s">
        <v>627</v>
      </c>
      <c r="B3565" s="16">
        <v>45954</v>
      </c>
      <c r="C3565" t="s">
        <v>3</v>
      </c>
      <c r="D3565" t="s">
        <v>123</v>
      </c>
      <c r="E3565" t="s">
        <v>170</v>
      </c>
      <c r="F3565">
        <v>38</v>
      </c>
      <c r="G3565">
        <v>23</v>
      </c>
      <c r="H3565">
        <v>2</v>
      </c>
      <c r="I3565">
        <v>2</v>
      </c>
      <c r="J3565">
        <v>0</v>
      </c>
      <c r="K3565">
        <v>0</v>
      </c>
      <c r="L3565">
        <v>0</v>
      </c>
      <c r="M3565">
        <v>0</v>
      </c>
      <c r="N3565">
        <v>35</v>
      </c>
      <c r="O3565">
        <v>22</v>
      </c>
      <c r="P3565">
        <f t="shared" si="186"/>
        <v>2025</v>
      </c>
      <c r="Q3565">
        <f t="shared" si="187"/>
        <v>10</v>
      </c>
      <c r="R3565" t="str">
        <f t="shared" si="188"/>
        <v>店铺超链</v>
      </c>
      <c r="S3565" t="s">
        <v>784</v>
      </c>
      <c r="T3565" t="s">
        <v>805</v>
      </c>
    </row>
    <row r="3566" spans="1:20" x14ac:dyDescent="0.3">
      <c r="A3566" t="s">
        <v>627</v>
      </c>
      <c r="B3566" s="16">
        <v>45954</v>
      </c>
      <c r="C3566" t="s">
        <v>3</v>
      </c>
      <c r="D3566" t="s">
        <v>127</v>
      </c>
      <c r="E3566" t="s">
        <v>171</v>
      </c>
      <c r="F3566">
        <v>639</v>
      </c>
      <c r="G3566">
        <v>209</v>
      </c>
      <c r="H3566">
        <v>22</v>
      </c>
      <c r="I3566">
        <v>14</v>
      </c>
      <c r="J3566">
        <v>19230</v>
      </c>
      <c r="K3566">
        <v>4</v>
      </c>
      <c r="L3566">
        <v>19230</v>
      </c>
      <c r="M3566">
        <v>4</v>
      </c>
      <c r="N3566">
        <v>103</v>
      </c>
      <c r="O3566">
        <v>620</v>
      </c>
      <c r="P3566">
        <f t="shared" si="186"/>
        <v>2025</v>
      </c>
      <c r="Q3566">
        <f t="shared" si="187"/>
        <v>10</v>
      </c>
      <c r="R3566" t="str">
        <f t="shared" si="188"/>
        <v>其他猜你喜欢</v>
      </c>
      <c r="S3566" t="s">
        <v>784</v>
      </c>
      <c r="T3566" t="s">
        <v>805</v>
      </c>
    </row>
    <row r="3567" spans="1:20" x14ac:dyDescent="0.3">
      <c r="A3567" t="s">
        <v>627</v>
      </c>
      <c r="B3567" s="16">
        <v>45954</v>
      </c>
      <c r="C3567" t="s">
        <v>3</v>
      </c>
      <c r="D3567" t="s">
        <v>127</v>
      </c>
      <c r="E3567" t="s">
        <v>172</v>
      </c>
      <c r="F3567">
        <v>91</v>
      </c>
      <c r="G3567">
        <v>20</v>
      </c>
      <c r="H3567">
        <v>5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7</v>
      </c>
      <c r="O3567">
        <v>83</v>
      </c>
      <c r="P3567">
        <f t="shared" si="186"/>
        <v>2025</v>
      </c>
      <c r="Q3567">
        <f t="shared" si="187"/>
        <v>10</v>
      </c>
      <c r="R3567" t="str">
        <f t="shared" si="188"/>
        <v>购中推荐</v>
      </c>
      <c r="S3567" t="s">
        <v>784</v>
      </c>
      <c r="T3567" t="s">
        <v>805</v>
      </c>
    </row>
    <row r="3568" spans="1:20" x14ac:dyDescent="0.3">
      <c r="A3568" t="s">
        <v>627</v>
      </c>
      <c r="B3568" s="16">
        <v>45954</v>
      </c>
      <c r="C3568" t="s">
        <v>3</v>
      </c>
      <c r="D3568" t="s">
        <v>127</v>
      </c>
      <c r="E3568" t="s">
        <v>173</v>
      </c>
      <c r="F3568">
        <v>625</v>
      </c>
      <c r="G3568">
        <v>197</v>
      </c>
      <c r="H3568">
        <v>28</v>
      </c>
      <c r="I3568">
        <v>7</v>
      </c>
      <c r="J3568">
        <v>7665</v>
      </c>
      <c r="K3568">
        <v>2</v>
      </c>
      <c r="L3568">
        <v>2990</v>
      </c>
      <c r="M3568">
        <v>1</v>
      </c>
      <c r="N3568">
        <v>47</v>
      </c>
      <c r="O3568">
        <v>574</v>
      </c>
      <c r="P3568">
        <f t="shared" si="186"/>
        <v>2025</v>
      </c>
      <c r="Q3568">
        <f t="shared" si="187"/>
        <v>10</v>
      </c>
      <c r="R3568" t="str">
        <f t="shared" si="188"/>
        <v>购后推荐</v>
      </c>
      <c r="S3568" t="s">
        <v>784</v>
      </c>
      <c r="T3568" t="s">
        <v>805</v>
      </c>
    </row>
    <row r="3569" spans="1:20" x14ac:dyDescent="0.3">
      <c r="A3569" t="s">
        <v>627</v>
      </c>
      <c r="B3569" s="16">
        <v>45954</v>
      </c>
      <c r="C3569" t="s">
        <v>3</v>
      </c>
      <c r="D3569" t="s">
        <v>127</v>
      </c>
      <c r="E3569" t="s">
        <v>174</v>
      </c>
      <c r="F3569">
        <v>4719</v>
      </c>
      <c r="G3569">
        <v>1840</v>
      </c>
      <c r="H3569">
        <v>79</v>
      </c>
      <c r="I3569">
        <v>26</v>
      </c>
      <c r="J3569">
        <v>52575</v>
      </c>
      <c r="K3569">
        <v>11</v>
      </c>
      <c r="L3569">
        <v>38255</v>
      </c>
      <c r="M3569">
        <v>7</v>
      </c>
      <c r="N3569">
        <v>265</v>
      </c>
      <c r="O3569">
        <v>4719</v>
      </c>
      <c r="P3569">
        <f t="shared" si="186"/>
        <v>2025</v>
      </c>
      <c r="Q3569">
        <f t="shared" si="187"/>
        <v>10</v>
      </c>
      <c r="R3569" t="str">
        <f t="shared" si="188"/>
        <v>首页推荐-微详情</v>
      </c>
      <c r="S3569" t="s">
        <v>784</v>
      </c>
      <c r="T3569" t="s">
        <v>805</v>
      </c>
    </row>
    <row r="3570" spans="1:20" x14ac:dyDescent="0.3">
      <c r="A3570" t="s">
        <v>627</v>
      </c>
      <c r="B3570" s="16">
        <v>45954</v>
      </c>
      <c r="C3570" t="s">
        <v>3</v>
      </c>
      <c r="D3570" t="s">
        <v>127</v>
      </c>
      <c r="E3570" t="s">
        <v>175</v>
      </c>
      <c r="F3570">
        <v>3</v>
      </c>
      <c r="G3570">
        <v>2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</v>
      </c>
      <c r="P3570">
        <f t="shared" si="186"/>
        <v>2025</v>
      </c>
      <c r="Q3570">
        <f t="shared" si="187"/>
        <v>10</v>
      </c>
      <c r="R3570" t="str">
        <f t="shared" si="188"/>
        <v>首页推荐-直播</v>
      </c>
      <c r="S3570" t="s">
        <v>784</v>
      </c>
      <c r="T3570" t="s">
        <v>805</v>
      </c>
    </row>
    <row r="3571" spans="1:20" x14ac:dyDescent="0.3">
      <c r="A3571" t="s">
        <v>627</v>
      </c>
      <c r="B3571" s="16">
        <v>45954</v>
      </c>
      <c r="C3571" t="s">
        <v>3</v>
      </c>
      <c r="D3571" t="s">
        <v>127</v>
      </c>
      <c r="E3571" t="s">
        <v>176</v>
      </c>
      <c r="F3571">
        <v>212</v>
      </c>
      <c r="G3571">
        <v>117</v>
      </c>
      <c r="H3571">
        <v>1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6</v>
      </c>
      <c r="O3571">
        <v>25</v>
      </c>
      <c r="P3571">
        <f t="shared" si="186"/>
        <v>2025</v>
      </c>
      <c r="Q3571">
        <f t="shared" si="187"/>
        <v>10</v>
      </c>
      <c r="R3571" t="str">
        <f t="shared" si="188"/>
        <v>首页推荐-短视频</v>
      </c>
      <c r="S3571" t="s">
        <v>784</v>
      </c>
      <c r="T3571" t="s">
        <v>805</v>
      </c>
    </row>
    <row r="3572" spans="1:20" x14ac:dyDescent="0.3">
      <c r="A3572" t="s">
        <v>627</v>
      </c>
      <c r="B3572" s="16">
        <v>45954</v>
      </c>
      <c r="C3572" t="s">
        <v>3</v>
      </c>
      <c r="D3572" t="s">
        <v>128</v>
      </c>
      <c r="E3572" t="s">
        <v>177</v>
      </c>
      <c r="F3572">
        <v>1073</v>
      </c>
      <c r="G3572">
        <v>778</v>
      </c>
      <c r="H3572">
        <v>35</v>
      </c>
      <c r="I3572">
        <v>15</v>
      </c>
      <c r="J3572">
        <v>35885</v>
      </c>
      <c r="K3572">
        <v>7</v>
      </c>
      <c r="L3572">
        <v>24905</v>
      </c>
      <c r="M3572">
        <v>6</v>
      </c>
      <c r="N3572">
        <v>251</v>
      </c>
      <c r="O3572">
        <v>1009</v>
      </c>
      <c r="P3572">
        <f t="shared" si="186"/>
        <v>2025</v>
      </c>
      <c r="Q3572">
        <f t="shared" si="187"/>
        <v>10</v>
      </c>
      <c r="R3572" t="str">
        <f t="shared" si="188"/>
        <v>手淘搜索-商品及其他</v>
      </c>
      <c r="S3572" t="s">
        <v>784</v>
      </c>
      <c r="T3572" t="s">
        <v>805</v>
      </c>
    </row>
    <row r="3573" spans="1:20" x14ac:dyDescent="0.3">
      <c r="A3573" t="s">
        <v>627</v>
      </c>
      <c r="B3573" s="16">
        <v>45954</v>
      </c>
      <c r="C3573" t="s">
        <v>3</v>
      </c>
      <c r="D3573" t="s">
        <v>128</v>
      </c>
      <c r="E3573" t="s">
        <v>179</v>
      </c>
      <c r="F3573">
        <v>30</v>
      </c>
      <c r="G3573">
        <v>14</v>
      </c>
      <c r="H3573">
        <v>2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7</v>
      </c>
      <c r="O3573">
        <v>28</v>
      </c>
      <c r="P3573">
        <f t="shared" si="186"/>
        <v>2025</v>
      </c>
      <c r="Q3573">
        <f t="shared" si="187"/>
        <v>10</v>
      </c>
      <c r="R3573" t="str">
        <f t="shared" si="188"/>
        <v>手淘搜索-短视频</v>
      </c>
      <c r="S3573" t="s">
        <v>784</v>
      </c>
      <c r="T3573" t="s">
        <v>805</v>
      </c>
    </row>
    <row r="3574" spans="1:20" x14ac:dyDescent="0.3">
      <c r="A3574" t="s">
        <v>627</v>
      </c>
      <c r="B3574" s="16">
        <v>45954</v>
      </c>
      <c r="C3574" t="s">
        <v>2</v>
      </c>
      <c r="D3574" t="s">
        <v>55</v>
      </c>
      <c r="E3574" t="s">
        <v>54</v>
      </c>
      <c r="F3574">
        <v>4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2</v>
      </c>
      <c r="P3574">
        <f t="shared" si="186"/>
        <v>2025</v>
      </c>
      <c r="Q3574">
        <f t="shared" si="187"/>
        <v>10</v>
      </c>
      <c r="R3574" t="str">
        <f t="shared" si="188"/>
        <v>超级直播</v>
      </c>
      <c r="S3574" t="s">
        <v>784</v>
      </c>
      <c r="T3574" t="s">
        <v>805</v>
      </c>
    </row>
    <row r="3575" spans="1:20" x14ac:dyDescent="0.3">
      <c r="A3575" t="s">
        <v>627</v>
      </c>
      <c r="B3575" s="16">
        <v>45954</v>
      </c>
      <c r="C3575" t="s">
        <v>2</v>
      </c>
      <c r="D3575" t="s">
        <v>55</v>
      </c>
      <c r="E3575" t="s">
        <v>56</v>
      </c>
      <c r="F3575">
        <v>124</v>
      </c>
      <c r="G3575">
        <v>104</v>
      </c>
      <c r="H3575">
        <v>0</v>
      </c>
      <c r="I3575">
        <v>1</v>
      </c>
      <c r="J3575">
        <v>0</v>
      </c>
      <c r="K3575">
        <v>0</v>
      </c>
      <c r="L3575">
        <v>0</v>
      </c>
      <c r="M3575">
        <v>0</v>
      </c>
      <c r="N3575">
        <v>3</v>
      </c>
      <c r="O3575">
        <v>121</v>
      </c>
      <c r="P3575">
        <f t="shared" si="186"/>
        <v>2025</v>
      </c>
      <c r="Q3575">
        <f t="shared" si="187"/>
        <v>10</v>
      </c>
      <c r="R3575" t="str">
        <f t="shared" si="188"/>
        <v>超级短视频</v>
      </c>
      <c r="S3575" t="s">
        <v>784</v>
      </c>
      <c r="T3575" t="s">
        <v>805</v>
      </c>
    </row>
    <row r="3576" spans="1:20" x14ac:dyDescent="0.3">
      <c r="A3576" t="s">
        <v>627</v>
      </c>
      <c r="B3576" s="16">
        <v>45954</v>
      </c>
      <c r="C3576" t="s">
        <v>2</v>
      </c>
      <c r="D3576" t="s">
        <v>57</v>
      </c>
      <c r="E3576" t="s">
        <v>63</v>
      </c>
      <c r="F3576">
        <v>868</v>
      </c>
      <c r="G3576">
        <v>712</v>
      </c>
      <c r="H3576">
        <v>10</v>
      </c>
      <c r="I3576">
        <v>6</v>
      </c>
      <c r="J3576">
        <v>4740</v>
      </c>
      <c r="K3576">
        <v>2</v>
      </c>
      <c r="L3576">
        <v>4740</v>
      </c>
      <c r="M3576">
        <v>2</v>
      </c>
      <c r="N3576">
        <v>868</v>
      </c>
      <c r="O3576">
        <v>431</v>
      </c>
      <c r="P3576">
        <f t="shared" si="186"/>
        <v>2025</v>
      </c>
      <c r="Q3576">
        <f t="shared" si="187"/>
        <v>10</v>
      </c>
      <c r="R3576" t="str">
        <f t="shared" si="188"/>
        <v>万相台</v>
      </c>
      <c r="S3576" t="s">
        <v>784</v>
      </c>
      <c r="T3576" t="s">
        <v>805</v>
      </c>
    </row>
    <row r="3577" spans="1:20" x14ac:dyDescent="0.3">
      <c r="A3577" t="s">
        <v>627</v>
      </c>
      <c r="B3577" s="16">
        <v>45954</v>
      </c>
      <c r="C3577" t="s">
        <v>2</v>
      </c>
      <c r="D3577" t="s">
        <v>57</v>
      </c>
      <c r="E3577" t="s">
        <v>64</v>
      </c>
      <c r="F3577">
        <v>21858</v>
      </c>
      <c r="G3577">
        <v>9857</v>
      </c>
      <c r="H3577">
        <v>77</v>
      </c>
      <c r="I3577">
        <v>90</v>
      </c>
      <c r="J3577">
        <v>63030</v>
      </c>
      <c r="K3577">
        <v>9</v>
      </c>
      <c r="L3577">
        <v>49295</v>
      </c>
      <c r="M3577">
        <v>7</v>
      </c>
      <c r="N3577">
        <v>373</v>
      </c>
      <c r="O3577">
        <v>21858</v>
      </c>
      <c r="P3577">
        <f t="shared" si="186"/>
        <v>2025</v>
      </c>
      <c r="Q3577">
        <f t="shared" si="187"/>
        <v>10</v>
      </c>
      <c r="R3577" t="str">
        <f t="shared" si="188"/>
        <v>引力魔方</v>
      </c>
      <c r="S3577" t="s">
        <v>784</v>
      </c>
      <c r="T3577" t="s">
        <v>805</v>
      </c>
    </row>
    <row r="3578" spans="1:20" x14ac:dyDescent="0.3">
      <c r="A3578" t="s">
        <v>627</v>
      </c>
      <c r="B3578" s="16">
        <v>45954</v>
      </c>
      <c r="C3578" t="s">
        <v>2</v>
      </c>
      <c r="D3578" t="s">
        <v>57</v>
      </c>
      <c r="E3578" t="s">
        <v>65</v>
      </c>
      <c r="F3578">
        <v>6757</v>
      </c>
      <c r="G3578">
        <v>5746</v>
      </c>
      <c r="H3578">
        <v>58</v>
      </c>
      <c r="I3578">
        <v>25</v>
      </c>
      <c r="J3578">
        <v>81790</v>
      </c>
      <c r="K3578">
        <v>14</v>
      </c>
      <c r="L3578">
        <v>47645</v>
      </c>
      <c r="M3578">
        <v>11</v>
      </c>
      <c r="N3578">
        <v>386</v>
      </c>
      <c r="O3578">
        <v>6685</v>
      </c>
      <c r="P3578">
        <f t="shared" si="186"/>
        <v>2025</v>
      </c>
      <c r="Q3578">
        <f t="shared" si="187"/>
        <v>10</v>
      </c>
      <c r="R3578" t="str">
        <f t="shared" si="188"/>
        <v>直通车</v>
      </c>
      <c r="S3578" t="s">
        <v>784</v>
      </c>
      <c r="T3578" t="s">
        <v>805</v>
      </c>
    </row>
    <row r="3579" spans="1:20" x14ac:dyDescent="0.3">
      <c r="A3579" t="s">
        <v>627</v>
      </c>
      <c r="B3579" s="16">
        <v>45954</v>
      </c>
      <c r="C3579" t="s">
        <v>2</v>
      </c>
      <c r="D3579" t="s">
        <v>4</v>
      </c>
      <c r="E3579" t="s">
        <v>41</v>
      </c>
      <c r="F3579">
        <v>1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</v>
      </c>
      <c r="P3579">
        <f t="shared" si="186"/>
        <v>2025</v>
      </c>
      <c r="Q3579">
        <f t="shared" si="187"/>
        <v>10</v>
      </c>
      <c r="R3579" t="str">
        <f t="shared" si="188"/>
        <v>流量宝</v>
      </c>
      <c r="S3579" t="s">
        <v>784</v>
      </c>
      <c r="T3579" t="s">
        <v>805</v>
      </c>
    </row>
    <row r="3580" spans="1:20" x14ac:dyDescent="0.3">
      <c r="A3580" t="s">
        <v>627</v>
      </c>
      <c r="B3580" s="16">
        <v>45954</v>
      </c>
      <c r="C3580" t="s">
        <v>2</v>
      </c>
      <c r="D3580" t="s">
        <v>4</v>
      </c>
      <c r="E3580" t="s">
        <v>43</v>
      </c>
      <c r="F3580">
        <v>395</v>
      </c>
      <c r="G3580">
        <v>91</v>
      </c>
      <c r="H3580">
        <v>1</v>
      </c>
      <c r="I3580">
        <v>0</v>
      </c>
      <c r="J3580">
        <v>1490</v>
      </c>
      <c r="K3580">
        <v>1</v>
      </c>
      <c r="L3580">
        <v>1490</v>
      </c>
      <c r="M3580">
        <v>1</v>
      </c>
      <c r="N3580">
        <v>2</v>
      </c>
      <c r="O3580">
        <v>393</v>
      </c>
      <c r="P3580">
        <f t="shared" si="186"/>
        <v>2025</v>
      </c>
      <c r="Q3580">
        <f t="shared" si="187"/>
        <v>10</v>
      </c>
      <c r="R3580" t="str">
        <f t="shared" si="188"/>
        <v>淘宝客</v>
      </c>
      <c r="S3580" t="s">
        <v>784</v>
      </c>
      <c r="T3580" t="s">
        <v>805</v>
      </c>
    </row>
    <row r="3581" spans="1:20" x14ac:dyDescent="0.3">
      <c r="A3581" t="s">
        <v>627</v>
      </c>
      <c r="B3581" s="16">
        <v>45953</v>
      </c>
      <c r="C3581" t="s">
        <v>3</v>
      </c>
      <c r="D3581" t="s">
        <v>114</v>
      </c>
      <c r="E3581" t="s">
        <v>159</v>
      </c>
      <c r="F3581">
        <v>141</v>
      </c>
      <c r="G3581">
        <v>61</v>
      </c>
      <c r="H3581">
        <v>4</v>
      </c>
      <c r="I3581">
        <v>1</v>
      </c>
      <c r="J3581">
        <v>2490</v>
      </c>
      <c r="K3581">
        <v>1</v>
      </c>
      <c r="L3581">
        <v>2490</v>
      </c>
      <c r="M3581">
        <v>1</v>
      </c>
      <c r="N3581">
        <v>13</v>
      </c>
      <c r="O3581">
        <v>138</v>
      </c>
      <c r="P3581">
        <f t="shared" si="186"/>
        <v>2025</v>
      </c>
      <c r="Q3581">
        <f t="shared" si="187"/>
        <v>10</v>
      </c>
      <c r="R3581" t="str">
        <f t="shared" si="188"/>
        <v>主会场</v>
      </c>
      <c r="S3581" t="s">
        <v>784</v>
      </c>
      <c r="T3581" t="s">
        <v>805</v>
      </c>
    </row>
    <row r="3582" spans="1:20" x14ac:dyDescent="0.3">
      <c r="A3582" t="s">
        <v>627</v>
      </c>
      <c r="B3582" s="16">
        <v>45953</v>
      </c>
      <c r="C3582" t="s">
        <v>3</v>
      </c>
      <c r="D3582" t="s">
        <v>114</v>
      </c>
      <c r="E3582" t="s">
        <v>160</v>
      </c>
      <c r="F3582">
        <v>2</v>
      </c>
      <c r="G3582">
        <v>1</v>
      </c>
      <c r="H3582">
        <v>1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1</v>
      </c>
      <c r="O3582">
        <v>2</v>
      </c>
      <c r="P3582">
        <f t="shared" si="186"/>
        <v>2025</v>
      </c>
      <c r="Q3582">
        <f t="shared" si="187"/>
        <v>10</v>
      </c>
      <c r="R3582" t="str">
        <f t="shared" si="188"/>
        <v>榜单会场</v>
      </c>
      <c r="S3582" t="s">
        <v>784</v>
      </c>
      <c r="T3582" t="s">
        <v>805</v>
      </c>
    </row>
    <row r="3583" spans="1:20" x14ac:dyDescent="0.3">
      <c r="A3583" t="s">
        <v>627</v>
      </c>
      <c r="B3583" s="16">
        <v>45953</v>
      </c>
      <c r="C3583" t="s">
        <v>3</v>
      </c>
      <c r="D3583" t="s">
        <v>117</v>
      </c>
      <c r="E3583" t="s">
        <v>161</v>
      </c>
      <c r="F3583">
        <v>2</v>
      </c>
      <c r="G3583">
        <v>2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2</v>
      </c>
      <c r="P3583">
        <f t="shared" si="186"/>
        <v>2025</v>
      </c>
      <c r="Q3583">
        <f t="shared" si="187"/>
        <v>10</v>
      </c>
      <c r="R3583" t="str">
        <f t="shared" si="188"/>
        <v>其他入口榜单</v>
      </c>
      <c r="S3583" t="s">
        <v>784</v>
      </c>
      <c r="T3583" t="s">
        <v>805</v>
      </c>
    </row>
    <row r="3584" spans="1:20" x14ac:dyDescent="0.3">
      <c r="A3584" t="s">
        <v>627</v>
      </c>
      <c r="B3584" s="16">
        <v>45953</v>
      </c>
      <c r="C3584" t="s">
        <v>3</v>
      </c>
      <c r="D3584" t="s">
        <v>123</v>
      </c>
      <c r="E3584" t="s">
        <v>170</v>
      </c>
      <c r="F3584">
        <v>40</v>
      </c>
      <c r="G3584">
        <v>18</v>
      </c>
      <c r="H3584">
        <v>6</v>
      </c>
      <c r="I3584">
        <v>1</v>
      </c>
      <c r="J3584">
        <v>5400</v>
      </c>
      <c r="K3584">
        <v>1</v>
      </c>
      <c r="L3584">
        <v>0</v>
      </c>
      <c r="M3584">
        <v>0</v>
      </c>
      <c r="N3584">
        <v>34</v>
      </c>
      <c r="O3584">
        <v>25</v>
      </c>
      <c r="P3584">
        <f t="shared" si="186"/>
        <v>2025</v>
      </c>
      <c r="Q3584">
        <f t="shared" si="187"/>
        <v>10</v>
      </c>
      <c r="R3584" t="str">
        <f t="shared" si="188"/>
        <v>店铺超链</v>
      </c>
      <c r="S3584" t="s">
        <v>784</v>
      </c>
      <c r="T3584" t="s">
        <v>805</v>
      </c>
    </row>
    <row r="3585" spans="1:20" x14ac:dyDescent="0.3">
      <c r="A3585" t="s">
        <v>627</v>
      </c>
      <c r="B3585" s="16">
        <v>45953</v>
      </c>
      <c r="C3585" t="s">
        <v>3</v>
      </c>
      <c r="D3585" t="s">
        <v>127</v>
      </c>
      <c r="E3585" t="s">
        <v>171</v>
      </c>
      <c r="F3585">
        <v>802</v>
      </c>
      <c r="G3585">
        <v>276</v>
      </c>
      <c r="H3585">
        <v>30</v>
      </c>
      <c r="I3585">
        <v>14</v>
      </c>
      <c r="J3585">
        <v>36080</v>
      </c>
      <c r="K3585">
        <v>9</v>
      </c>
      <c r="L3585">
        <v>36080</v>
      </c>
      <c r="M3585">
        <v>9</v>
      </c>
      <c r="N3585">
        <v>127</v>
      </c>
      <c r="O3585">
        <v>766</v>
      </c>
      <c r="P3585">
        <f t="shared" si="186"/>
        <v>2025</v>
      </c>
      <c r="Q3585">
        <f t="shared" si="187"/>
        <v>10</v>
      </c>
      <c r="R3585" t="str">
        <f t="shared" si="188"/>
        <v>其他猜你喜欢</v>
      </c>
      <c r="S3585" t="s">
        <v>784</v>
      </c>
      <c r="T3585" t="s">
        <v>805</v>
      </c>
    </row>
    <row r="3586" spans="1:20" x14ac:dyDescent="0.3">
      <c r="A3586" t="s">
        <v>627</v>
      </c>
      <c r="B3586" s="16">
        <v>45953</v>
      </c>
      <c r="C3586" t="s">
        <v>3</v>
      </c>
      <c r="D3586" t="s">
        <v>127</v>
      </c>
      <c r="E3586" t="s">
        <v>172</v>
      </c>
      <c r="F3586">
        <v>115</v>
      </c>
      <c r="G3586">
        <v>46</v>
      </c>
      <c r="H3586">
        <v>3</v>
      </c>
      <c r="I3586">
        <v>1</v>
      </c>
      <c r="J3586">
        <v>8140</v>
      </c>
      <c r="K3586">
        <v>1</v>
      </c>
      <c r="L3586">
        <v>8140</v>
      </c>
      <c r="M3586">
        <v>1</v>
      </c>
      <c r="N3586">
        <v>7</v>
      </c>
      <c r="O3586">
        <v>108</v>
      </c>
      <c r="P3586">
        <f t="shared" si="186"/>
        <v>2025</v>
      </c>
      <c r="Q3586">
        <f t="shared" si="187"/>
        <v>10</v>
      </c>
      <c r="R3586" t="str">
        <f t="shared" si="188"/>
        <v>购中推荐</v>
      </c>
      <c r="S3586" t="s">
        <v>784</v>
      </c>
      <c r="T3586" t="s">
        <v>805</v>
      </c>
    </row>
    <row r="3587" spans="1:20" x14ac:dyDescent="0.3">
      <c r="A3587" t="s">
        <v>627</v>
      </c>
      <c r="B3587" s="16">
        <v>45953</v>
      </c>
      <c r="C3587" t="s">
        <v>3</v>
      </c>
      <c r="D3587" t="s">
        <v>127</v>
      </c>
      <c r="E3587" t="s">
        <v>173</v>
      </c>
      <c r="F3587">
        <v>826</v>
      </c>
      <c r="G3587">
        <v>291</v>
      </c>
      <c r="H3587">
        <v>34</v>
      </c>
      <c r="I3587">
        <v>6</v>
      </c>
      <c r="J3587">
        <v>38070</v>
      </c>
      <c r="K3587">
        <v>8</v>
      </c>
      <c r="L3587">
        <v>38070</v>
      </c>
      <c r="M3587">
        <v>8</v>
      </c>
      <c r="N3587">
        <v>54</v>
      </c>
      <c r="O3587">
        <v>775</v>
      </c>
      <c r="P3587">
        <f t="shared" si="186"/>
        <v>2025</v>
      </c>
      <c r="Q3587">
        <f t="shared" si="187"/>
        <v>10</v>
      </c>
      <c r="R3587" t="str">
        <f t="shared" si="188"/>
        <v>购后推荐</v>
      </c>
      <c r="S3587" t="s">
        <v>784</v>
      </c>
      <c r="T3587" t="s">
        <v>805</v>
      </c>
    </row>
    <row r="3588" spans="1:20" x14ac:dyDescent="0.3">
      <c r="A3588" t="s">
        <v>627</v>
      </c>
      <c r="B3588" s="16">
        <v>45953</v>
      </c>
      <c r="C3588" t="s">
        <v>3</v>
      </c>
      <c r="D3588" t="s">
        <v>127</v>
      </c>
      <c r="E3588" t="s">
        <v>174</v>
      </c>
      <c r="F3588">
        <v>4589</v>
      </c>
      <c r="G3588">
        <v>1746</v>
      </c>
      <c r="H3588">
        <v>99</v>
      </c>
      <c r="I3588">
        <v>21</v>
      </c>
      <c r="J3588">
        <v>89170</v>
      </c>
      <c r="K3588">
        <v>16</v>
      </c>
      <c r="L3588">
        <v>64810</v>
      </c>
      <c r="M3588">
        <v>13</v>
      </c>
      <c r="N3588">
        <v>332</v>
      </c>
      <c r="O3588">
        <v>4589</v>
      </c>
      <c r="P3588">
        <f t="shared" si="186"/>
        <v>2025</v>
      </c>
      <c r="Q3588">
        <f t="shared" si="187"/>
        <v>10</v>
      </c>
      <c r="R3588" t="str">
        <f t="shared" si="188"/>
        <v>首页推荐-微详情</v>
      </c>
      <c r="S3588" t="s">
        <v>784</v>
      </c>
      <c r="T3588" t="s">
        <v>805</v>
      </c>
    </row>
    <row r="3589" spans="1:20" x14ac:dyDescent="0.3">
      <c r="A3589" t="s">
        <v>627</v>
      </c>
      <c r="B3589" s="16">
        <v>45953</v>
      </c>
      <c r="C3589" t="s">
        <v>3</v>
      </c>
      <c r="D3589" t="s">
        <v>127</v>
      </c>
      <c r="E3589" t="s">
        <v>175</v>
      </c>
      <c r="F3589">
        <v>120</v>
      </c>
      <c r="G3589">
        <v>70</v>
      </c>
      <c r="H3589">
        <v>1</v>
      </c>
      <c r="I3589">
        <v>0</v>
      </c>
      <c r="J3589">
        <v>3850</v>
      </c>
      <c r="K3589">
        <v>1</v>
      </c>
      <c r="L3589">
        <v>3850</v>
      </c>
      <c r="M3589">
        <v>1</v>
      </c>
      <c r="N3589">
        <v>4</v>
      </c>
      <c r="O3589">
        <v>63</v>
      </c>
      <c r="P3589">
        <f t="shared" si="186"/>
        <v>2025</v>
      </c>
      <c r="Q3589">
        <f t="shared" si="187"/>
        <v>10</v>
      </c>
      <c r="R3589" t="str">
        <f t="shared" si="188"/>
        <v>首页推荐-直播</v>
      </c>
      <c r="S3589" t="s">
        <v>784</v>
      </c>
      <c r="T3589" t="s">
        <v>805</v>
      </c>
    </row>
    <row r="3590" spans="1:20" x14ac:dyDescent="0.3">
      <c r="A3590" t="s">
        <v>627</v>
      </c>
      <c r="B3590" s="16">
        <v>45953</v>
      </c>
      <c r="C3590" t="s">
        <v>3</v>
      </c>
      <c r="D3590" t="s">
        <v>127</v>
      </c>
      <c r="E3590" t="s">
        <v>176</v>
      </c>
      <c r="F3590">
        <v>132</v>
      </c>
      <c r="G3590">
        <v>95</v>
      </c>
      <c r="H3590">
        <v>1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3</v>
      </c>
      <c r="O3590">
        <v>12</v>
      </c>
      <c r="P3590">
        <f t="shared" si="186"/>
        <v>2025</v>
      </c>
      <c r="Q3590">
        <f t="shared" si="187"/>
        <v>10</v>
      </c>
      <c r="R3590" t="str">
        <f t="shared" si="188"/>
        <v>首页推荐-短视频</v>
      </c>
      <c r="S3590" t="s">
        <v>784</v>
      </c>
      <c r="T3590" t="s">
        <v>805</v>
      </c>
    </row>
    <row r="3591" spans="1:20" x14ac:dyDescent="0.3">
      <c r="A3591" t="s">
        <v>627</v>
      </c>
      <c r="B3591" s="16">
        <v>45953</v>
      </c>
      <c r="C3591" t="s">
        <v>3</v>
      </c>
      <c r="D3591" t="s">
        <v>128</v>
      </c>
      <c r="E3591" t="s">
        <v>177</v>
      </c>
      <c r="F3591">
        <v>1309</v>
      </c>
      <c r="G3591">
        <v>929</v>
      </c>
      <c r="H3591">
        <v>50</v>
      </c>
      <c r="I3591">
        <v>14</v>
      </c>
      <c r="J3591">
        <v>53190</v>
      </c>
      <c r="K3591">
        <v>10</v>
      </c>
      <c r="L3591">
        <v>53190</v>
      </c>
      <c r="M3591">
        <v>10</v>
      </c>
      <c r="N3591">
        <v>309</v>
      </c>
      <c r="O3591">
        <v>1242</v>
      </c>
      <c r="P3591">
        <f t="shared" si="186"/>
        <v>2025</v>
      </c>
      <c r="Q3591">
        <f t="shared" si="187"/>
        <v>10</v>
      </c>
      <c r="R3591" t="str">
        <f t="shared" si="188"/>
        <v>手淘搜索-商品及其他</v>
      </c>
      <c r="S3591" t="s">
        <v>784</v>
      </c>
      <c r="T3591" t="s">
        <v>805</v>
      </c>
    </row>
    <row r="3592" spans="1:20" x14ac:dyDescent="0.3">
      <c r="A3592" t="s">
        <v>627</v>
      </c>
      <c r="B3592" s="16">
        <v>45953</v>
      </c>
      <c r="C3592" t="s">
        <v>3</v>
      </c>
      <c r="D3592" t="s">
        <v>128</v>
      </c>
      <c r="E3592" t="s">
        <v>178</v>
      </c>
      <c r="F3592">
        <v>8</v>
      </c>
      <c r="G3592">
        <v>4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6</v>
      </c>
      <c r="P3592">
        <f t="shared" si="186"/>
        <v>2025</v>
      </c>
      <c r="Q3592">
        <f t="shared" si="187"/>
        <v>10</v>
      </c>
      <c r="R3592" t="str">
        <f t="shared" si="188"/>
        <v>手淘搜索-直播</v>
      </c>
      <c r="S3592" t="s">
        <v>784</v>
      </c>
      <c r="T3592" t="s">
        <v>805</v>
      </c>
    </row>
    <row r="3593" spans="1:20" x14ac:dyDescent="0.3">
      <c r="A3593" t="s">
        <v>627</v>
      </c>
      <c r="B3593" s="16">
        <v>45953</v>
      </c>
      <c r="C3593" t="s">
        <v>3</v>
      </c>
      <c r="D3593" t="s">
        <v>128</v>
      </c>
      <c r="E3593" t="s">
        <v>179</v>
      </c>
      <c r="F3593">
        <v>25</v>
      </c>
      <c r="G3593">
        <v>14</v>
      </c>
      <c r="H3593">
        <v>1</v>
      </c>
      <c r="I3593">
        <v>1</v>
      </c>
      <c r="J3593">
        <v>2490</v>
      </c>
      <c r="K3593">
        <v>1</v>
      </c>
      <c r="L3593">
        <v>2490</v>
      </c>
      <c r="M3593">
        <v>1</v>
      </c>
      <c r="N3593">
        <v>3</v>
      </c>
      <c r="O3593">
        <v>24</v>
      </c>
      <c r="P3593">
        <f t="shared" si="186"/>
        <v>2025</v>
      </c>
      <c r="Q3593">
        <f t="shared" si="187"/>
        <v>10</v>
      </c>
      <c r="R3593" t="str">
        <f t="shared" si="188"/>
        <v>手淘搜索-短视频</v>
      </c>
      <c r="S3593" t="s">
        <v>784</v>
      </c>
      <c r="T3593" t="s">
        <v>805</v>
      </c>
    </row>
    <row r="3594" spans="1:20" x14ac:dyDescent="0.3">
      <c r="A3594" t="s">
        <v>627</v>
      </c>
      <c r="B3594" s="16">
        <v>45953</v>
      </c>
      <c r="C3594" t="s">
        <v>3</v>
      </c>
      <c r="D3594" t="s">
        <v>157</v>
      </c>
      <c r="E3594" t="s">
        <v>182</v>
      </c>
      <c r="F3594">
        <v>1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f t="shared" si="186"/>
        <v>2025</v>
      </c>
      <c r="Q3594">
        <f t="shared" si="187"/>
        <v>10</v>
      </c>
      <c r="R3594" t="str">
        <f t="shared" si="188"/>
        <v>飞猪其他</v>
      </c>
      <c r="S3594" t="s">
        <v>784</v>
      </c>
      <c r="T3594" t="s">
        <v>805</v>
      </c>
    </row>
    <row r="3595" spans="1:20" x14ac:dyDescent="0.3">
      <c r="A3595" t="s">
        <v>627</v>
      </c>
      <c r="B3595" s="16">
        <v>45953</v>
      </c>
      <c r="C3595" t="s">
        <v>2</v>
      </c>
      <c r="D3595" t="s">
        <v>55</v>
      </c>
      <c r="E3595" t="s">
        <v>66</v>
      </c>
      <c r="F3595">
        <v>15</v>
      </c>
      <c r="G3595">
        <v>14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f t="shared" si="186"/>
        <v>2025</v>
      </c>
      <c r="Q3595">
        <f t="shared" si="187"/>
        <v>10</v>
      </c>
      <c r="R3595" t="str">
        <f t="shared" si="188"/>
        <v>短直联动</v>
      </c>
      <c r="S3595" t="s">
        <v>784</v>
      </c>
      <c r="T3595" t="s">
        <v>805</v>
      </c>
    </row>
    <row r="3596" spans="1:20" x14ac:dyDescent="0.3">
      <c r="A3596" t="s">
        <v>627</v>
      </c>
      <c r="B3596" s="16">
        <v>45953</v>
      </c>
      <c r="C3596" t="s">
        <v>2</v>
      </c>
      <c r="D3596" t="s">
        <v>55</v>
      </c>
      <c r="E3596" t="s">
        <v>54</v>
      </c>
      <c r="F3596">
        <v>1151</v>
      </c>
      <c r="G3596">
        <v>634</v>
      </c>
      <c r="H3596">
        <v>16</v>
      </c>
      <c r="I3596">
        <v>2</v>
      </c>
      <c r="J3596">
        <v>0</v>
      </c>
      <c r="K3596">
        <v>0</v>
      </c>
      <c r="L3596">
        <v>0</v>
      </c>
      <c r="M3596">
        <v>0</v>
      </c>
      <c r="N3596">
        <v>38</v>
      </c>
      <c r="O3596">
        <v>421</v>
      </c>
      <c r="P3596">
        <f t="shared" si="186"/>
        <v>2025</v>
      </c>
      <c r="Q3596">
        <f t="shared" si="187"/>
        <v>10</v>
      </c>
      <c r="R3596" t="str">
        <f t="shared" si="188"/>
        <v>超级直播</v>
      </c>
      <c r="S3596" t="s">
        <v>784</v>
      </c>
      <c r="T3596" t="s">
        <v>805</v>
      </c>
    </row>
    <row r="3597" spans="1:20" x14ac:dyDescent="0.3">
      <c r="A3597" t="s">
        <v>627</v>
      </c>
      <c r="B3597" s="16">
        <v>45953</v>
      </c>
      <c r="C3597" t="s">
        <v>2</v>
      </c>
      <c r="D3597" t="s">
        <v>55</v>
      </c>
      <c r="E3597" t="s">
        <v>56</v>
      </c>
      <c r="F3597">
        <v>115</v>
      </c>
      <c r="G3597">
        <v>85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5</v>
      </c>
      <c r="O3597">
        <v>105</v>
      </c>
      <c r="P3597">
        <f t="shared" si="186"/>
        <v>2025</v>
      </c>
      <c r="Q3597">
        <f t="shared" si="187"/>
        <v>10</v>
      </c>
      <c r="R3597" t="str">
        <f t="shared" si="188"/>
        <v>超级短视频</v>
      </c>
      <c r="S3597" t="s">
        <v>784</v>
      </c>
      <c r="T3597" t="s">
        <v>805</v>
      </c>
    </row>
    <row r="3598" spans="1:20" x14ac:dyDescent="0.3">
      <c r="A3598" t="s">
        <v>627</v>
      </c>
      <c r="B3598" s="16">
        <v>45953</v>
      </c>
      <c r="C3598" t="s">
        <v>2</v>
      </c>
      <c r="D3598" t="s">
        <v>52</v>
      </c>
      <c r="E3598" t="s">
        <v>58</v>
      </c>
      <c r="F3598">
        <v>1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f t="shared" si="186"/>
        <v>2025</v>
      </c>
      <c r="Q3598">
        <f t="shared" si="187"/>
        <v>10</v>
      </c>
      <c r="R3598" t="str">
        <f t="shared" si="188"/>
        <v>超级全域通</v>
      </c>
      <c r="S3598" t="s">
        <v>784</v>
      </c>
      <c r="T3598" t="s">
        <v>805</v>
      </c>
    </row>
    <row r="3599" spans="1:20" x14ac:dyDescent="0.3">
      <c r="A3599" t="s">
        <v>627</v>
      </c>
      <c r="B3599" s="16">
        <v>45953</v>
      </c>
      <c r="C3599" t="s">
        <v>2</v>
      </c>
      <c r="D3599" t="s">
        <v>57</v>
      </c>
      <c r="E3599" t="s">
        <v>63</v>
      </c>
      <c r="F3599">
        <v>737</v>
      </c>
      <c r="G3599">
        <v>601</v>
      </c>
      <c r="H3599">
        <v>16</v>
      </c>
      <c r="I3599">
        <v>3</v>
      </c>
      <c r="J3599">
        <v>14195</v>
      </c>
      <c r="K3599">
        <v>4</v>
      </c>
      <c r="L3599">
        <v>14195</v>
      </c>
      <c r="M3599">
        <v>4</v>
      </c>
      <c r="N3599">
        <v>737</v>
      </c>
      <c r="O3599">
        <v>369</v>
      </c>
      <c r="P3599">
        <f t="shared" si="186"/>
        <v>2025</v>
      </c>
      <c r="Q3599">
        <f t="shared" si="187"/>
        <v>10</v>
      </c>
      <c r="R3599" t="str">
        <f t="shared" si="188"/>
        <v>万相台</v>
      </c>
      <c r="S3599" t="s">
        <v>784</v>
      </c>
      <c r="T3599" t="s">
        <v>805</v>
      </c>
    </row>
    <row r="3600" spans="1:20" x14ac:dyDescent="0.3">
      <c r="A3600" t="s">
        <v>627</v>
      </c>
      <c r="B3600" s="16">
        <v>45953</v>
      </c>
      <c r="C3600" t="s">
        <v>2</v>
      </c>
      <c r="D3600" t="s">
        <v>57</v>
      </c>
      <c r="E3600" t="s">
        <v>64</v>
      </c>
      <c r="F3600">
        <v>41150</v>
      </c>
      <c r="G3600">
        <v>20678</v>
      </c>
      <c r="H3600">
        <v>172</v>
      </c>
      <c r="I3600">
        <v>283</v>
      </c>
      <c r="J3600">
        <v>67805</v>
      </c>
      <c r="K3600">
        <v>13</v>
      </c>
      <c r="L3600">
        <v>56965</v>
      </c>
      <c r="M3600">
        <v>12</v>
      </c>
      <c r="N3600">
        <v>674</v>
      </c>
      <c r="O3600">
        <v>41149</v>
      </c>
      <c r="P3600">
        <f t="shared" si="186"/>
        <v>2025</v>
      </c>
      <c r="Q3600">
        <f t="shared" si="187"/>
        <v>10</v>
      </c>
      <c r="R3600" t="str">
        <f t="shared" si="188"/>
        <v>引力魔方</v>
      </c>
      <c r="S3600" t="s">
        <v>784</v>
      </c>
      <c r="T3600" t="s">
        <v>805</v>
      </c>
    </row>
    <row r="3601" spans="1:20" x14ac:dyDescent="0.3">
      <c r="A3601" t="s">
        <v>627</v>
      </c>
      <c r="B3601" s="16">
        <v>45953</v>
      </c>
      <c r="C3601" t="s">
        <v>2</v>
      </c>
      <c r="D3601" t="s">
        <v>57</v>
      </c>
      <c r="E3601" t="s">
        <v>65</v>
      </c>
      <c r="F3601">
        <v>7743</v>
      </c>
      <c r="G3601">
        <v>6620</v>
      </c>
      <c r="H3601">
        <v>68</v>
      </c>
      <c r="I3601">
        <v>34</v>
      </c>
      <c r="J3601">
        <v>165645</v>
      </c>
      <c r="K3601">
        <v>22</v>
      </c>
      <c r="L3601">
        <v>123305</v>
      </c>
      <c r="M3601">
        <v>19</v>
      </c>
      <c r="N3601">
        <v>420</v>
      </c>
      <c r="O3601">
        <v>7675</v>
      </c>
      <c r="P3601">
        <f t="shared" si="186"/>
        <v>2025</v>
      </c>
      <c r="Q3601">
        <f t="shared" si="187"/>
        <v>10</v>
      </c>
      <c r="R3601" t="str">
        <f t="shared" si="188"/>
        <v>直通车</v>
      </c>
      <c r="S3601" t="s">
        <v>784</v>
      </c>
      <c r="T3601" t="s">
        <v>805</v>
      </c>
    </row>
    <row r="3602" spans="1:20" x14ac:dyDescent="0.3">
      <c r="A3602" t="s">
        <v>627</v>
      </c>
      <c r="B3602" s="16">
        <v>45953</v>
      </c>
      <c r="C3602" t="s">
        <v>2</v>
      </c>
      <c r="D3602" t="s">
        <v>4</v>
      </c>
      <c r="E3602" t="s">
        <v>41</v>
      </c>
      <c r="F3602">
        <v>4</v>
      </c>
      <c r="G3602">
        <v>2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3</v>
      </c>
      <c r="P3602">
        <f t="shared" si="186"/>
        <v>2025</v>
      </c>
      <c r="Q3602">
        <f t="shared" si="187"/>
        <v>10</v>
      </c>
      <c r="R3602" t="str">
        <f t="shared" si="188"/>
        <v>流量宝</v>
      </c>
      <c r="S3602" t="s">
        <v>784</v>
      </c>
      <c r="T3602" t="s">
        <v>805</v>
      </c>
    </row>
    <row r="3603" spans="1:20" x14ac:dyDescent="0.3">
      <c r="A3603" t="s">
        <v>627</v>
      </c>
      <c r="B3603" s="16">
        <v>45953</v>
      </c>
      <c r="C3603" t="s">
        <v>2</v>
      </c>
      <c r="D3603" t="s">
        <v>4</v>
      </c>
      <c r="E3603" t="s">
        <v>43</v>
      </c>
      <c r="F3603">
        <v>439</v>
      </c>
      <c r="G3603">
        <v>131</v>
      </c>
      <c r="H3603">
        <v>8</v>
      </c>
      <c r="I3603">
        <v>2</v>
      </c>
      <c r="J3603">
        <v>14260</v>
      </c>
      <c r="K3603">
        <v>3</v>
      </c>
      <c r="L3603">
        <v>14260</v>
      </c>
      <c r="M3603">
        <v>3</v>
      </c>
      <c r="N3603">
        <v>3</v>
      </c>
      <c r="O3603">
        <v>432</v>
      </c>
      <c r="P3603">
        <f t="shared" si="186"/>
        <v>2025</v>
      </c>
      <c r="Q3603">
        <f t="shared" si="187"/>
        <v>10</v>
      </c>
      <c r="R3603" t="str">
        <f t="shared" si="188"/>
        <v>淘宝客</v>
      </c>
      <c r="S3603" t="s">
        <v>784</v>
      </c>
      <c r="T3603" t="s">
        <v>805</v>
      </c>
    </row>
    <row r="3604" spans="1:20" x14ac:dyDescent="0.3">
      <c r="A3604" t="s">
        <v>627</v>
      </c>
      <c r="B3604" s="16">
        <v>45952</v>
      </c>
      <c r="C3604" t="s">
        <v>3</v>
      </c>
      <c r="D3604" t="s">
        <v>114</v>
      </c>
      <c r="E3604" t="s">
        <v>159</v>
      </c>
      <c r="F3604">
        <v>149</v>
      </c>
      <c r="G3604">
        <v>63</v>
      </c>
      <c r="H3604">
        <v>3</v>
      </c>
      <c r="I3604">
        <v>4</v>
      </c>
      <c r="J3604">
        <v>0</v>
      </c>
      <c r="K3604">
        <v>0</v>
      </c>
      <c r="L3604">
        <v>0</v>
      </c>
      <c r="M3604">
        <v>0</v>
      </c>
      <c r="N3604">
        <v>11</v>
      </c>
      <c r="O3604">
        <v>135</v>
      </c>
      <c r="P3604">
        <f t="shared" si="186"/>
        <v>2025</v>
      </c>
      <c r="Q3604">
        <f t="shared" si="187"/>
        <v>10</v>
      </c>
      <c r="R3604" t="str">
        <f t="shared" si="188"/>
        <v>主会场</v>
      </c>
      <c r="S3604" t="s">
        <v>784</v>
      </c>
      <c r="T3604" t="s">
        <v>805</v>
      </c>
    </row>
    <row r="3605" spans="1:20" x14ac:dyDescent="0.3">
      <c r="A3605" t="s">
        <v>627</v>
      </c>
      <c r="B3605" s="16">
        <v>45952</v>
      </c>
      <c r="C3605" t="s">
        <v>3</v>
      </c>
      <c r="D3605" t="s">
        <v>117</v>
      </c>
      <c r="E3605" t="s">
        <v>161</v>
      </c>
      <c r="F3605">
        <v>1</v>
      </c>
      <c r="G3605">
        <v>0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1</v>
      </c>
      <c r="P3605">
        <f t="shared" si="186"/>
        <v>2025</v>
      </c>
      <c r="Q3605">
        <f t="shared" si="187"/>
        <v>10</v>
      </c>
      <c r="R3605" t="str">
        <f t="shared" si="188"/>
        <v>其他入口榜单</v>
      </c>
      <c r="S3605" t="s">
        <v>784</v>
      </c>
      <c r="T3605" t="s">
        <v>805</v>
      </c>
    </row>
    <row r="3606" spans="1:20" x14ac:dyDescent="0.3">
      <c r="A3606" t="s">
        <v>627</v>
      </c>
      <c r="B3606" s="16">
        <v>45952</v>
      </c>
      <c r="C3606" t="s">
        <v>3</v>
      </c>
      <c r="D3606" t="s">
        <v>123</v>
      </c>
      <c r="E3606" t="s">
        <v>170</v>
      </c>
      <c r="F3606">
        <v>52</v>
      </c>
      <c r="G3606">
        <v>18</v>
      </c>
      <c r="H3606">
        <v>3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47</v>
      </c>
      <c r="O3606">
        <v>22</v>
      </c>
      <c r="P3606">
        <f t="shared" si="186"/>
        <v>2025</v>
      </c>
      <c r="Q3606">
        <f t="shared" si="187"/>
        <v>10</v>
      </c>
      <c r="R3606" t="str">
        <f t="shared" si="188"/>
        <v>店铺超链</v>
      </c>
      <c r="S3606" t="s">
        <v>784</v>
      </c>
      <c r="T3606" t="s">
        <v>805</v>
      </c>
    </row>
    <row r="3607" spans="1:20" x14ac:dyDescent="0.3">
      <c r="A3607" t="s">
        <v>627</v>
      </c>
      <c r="B3607" s="16">
        <v>45952</v>
      </c>
      <c r="C3607" t="s">
        <v>3</v>
      </c>
      <c r="D3607" t="s">
        <v>127</v>
      </c>
      <c r="E3607" t="s">
        <v>171</v>
      </c>
      <c r="F3607">
        <v>904</v>
      </c>
      <c r="G3607">
        <v>337</v>
      </c>
      <c r="H3607">
        <v>40</v>
      </c>
      <c r="I3607">
        <v>15</v>
      </c>
      <c r="J3607">
        <v>61160.44</v>
      </c>
      <c r="K3607">
        <v>7</v>
      </c>
      <c r="L3607">
        <v>61160.44</v>
      </c>
      <c r="M3607">
        <v>7</v>
      </c>
      <c r="N3607">
        <v>162</v>
      </c>
      <c r="O3607">
        <v>867</v>
      </c>
      <c r="P3607">
        <f t="shared" si="186"/>
        <v>2025</v>
      </c>
      <c r="Q3607">
        <f t="shared" si="187"/>
        <v>10</v>
      </c>
      <c r="R3607" t="str">
        <f t="shared" si="188"/>
        <v>其他猜你喜欢</v>
      </c>
      <c r="S3607" t="s">
        <v>784</v>
      </c>
      <c r="T3607" t="s">
        <v>805</v>
      </c>
    </row>
    <row r="3608" spans="1:20" x14ac:dyDescent="0.3">
      <c r="A3608" t="s">
        <v>627</v>
      </c>
      <c r="B3608" s="16">
        <v>45952</v>
      </c>
      <c r="C3608" t="s">
        <v>3</v>
      </c>
      <c r="D3608" t="s">
        <v>127</v>
      </c>
      <c r="E3608" t="s">
        <v>172</v>
      </c>
      <c r="F3608">
        <v>94</v>
      </c>
      <c r="G3608">
        <v>25</v>
      </c>
      <c r="H3608">
        <v>7</v>
      </c>
      <c r="I3608">
        <v>2</v>
      </c>
      <c r="J3608">
        <v>973.72</v>
      </c>
      <c r="K3608">
        <v>1</v>
      </c>
      <c r="L3608">
        <v>973.72</v>
      </c>
      <c r="M3608">
        <v>1</v>
      </c>
      <c r="N3608">
        <v>12</v>
      </c>
      <c r="O3608">
        <v>93</v>
      </c>
      <c r="P3608">
        <f t="shared" si="186"/>
        <v>2025</v>
      </c>
      <c r="Q3608">
        <f t="shared" si="187"/>
        <v>10</v>
      </c>
      <c r="R3608" t="str">
        <f t="shared" si="188"/>
        <v>购中推荐</v>
      </c>
      <c r="S3608" t="s">
        <v>784</v>
      </c>
      <c r="T3608" t="s">
        <v>805</v>
      </c>
    </row>
    <row r="3609" spans="1:20" x14ac:dyDescent="0.3">
      <c r="A3609" t="s">
        <v>627</v>
      </c>
      <c r="B3609" s="16">
        <v>45952</v>
      </c>
      <c r="C3609" t="s">
        <v>3</v>
      </c>
      <c r="D3609" t="s">
        <v>127</v>
      </c>
      <c r="E3609" t="s">
        <v>173</v>
      </c>
      <c r="F3609">
        <v>661</v>
      </c>
      <c r="G3609">
        <v>214</v>
      </c>
      <c r="H3609">
        <v>16</v>
      </c>
      <c r="I3609">
        <v>7</v>
      </c>
      <c r="J3609">
        <v>43790</v>
      </c>
      <c r="K3609">
        <v>6</v>
      </c>
      <c r="L3609">
        <v>36800</v>
      </c>
      <c r="M3609">
        <v>5</v>
      </c>
      <c r="N3609">
        <v>62</v>
      </c>
      <c r="O3609">
        <v>654</v>
      </c>
      <c r="P3609">
        <f t="shared" si="186"/>
        <v>2025</v>
      </c>
      <c r="Q3609">
        <f t="shared" si="187"/>
        <v>10</v>
      </c>
      <c r="R3609" t="str">
        <f t="shared" si="188"/>
        <v>购后推荐</v>
      </c>
      <c r="S3609" t="s">
        <v>784</v>
      </c>
      <c r="T3609" t="s">
        <v>805</v>
      </c>
    </row>
    <row r="3610" spans="1:20" x14ac:dyDescent="0.3">
      <c r="A3610" t="s">
        <v>627</v>
      </c>
      <c r="B3610" s="16">
        <v>45952</v>
      </c>
      <c r="C3610" t="s">
        <v>3</v>
      </c>
      <c r="D3610" t="s">
        <v>127</v>
      </c>
      <c r="E3610" t="s">
        <v>174</v>
      </c>
      <c r="F3610">
        <v>5621</v>
      </c>
      <c r="G3610">
        <v>2546</v>
      </c>
      <c r="H3610">
        <v>80</v>
      </c>
      <c r="I3610">
        <v>19</v>
      </c>
      <c r="J3610">
        <v>167815</v>
      </c>
      <c r="K3610">
        <v>25</v>
      </c>
      <c r="L3610">
        <v>149950</v>
      </c>
      <c r="M3610">
        <v>25</v>
      </c>
      <c r="N3610">
        <v>387</v>
      </c>
      <c r="O3610">
        <v>5621</v>
      </c>
      <c r="P3610">
        <f t="shared" si="186"/>
        <v>2025</v>
      </c>
      <c r="Q3610">
        <f t="shared" si="187"/>
        <v>10</v>
      </c>
      <c r="R3610" t="str">
        <f t="shared" si="188"/>
        <v>首页推荐-微详情</v>
      </c>
      <c r="S3610" t="s">
        <v>784</v>
      </c>
      <c r="T3610" t="s">
        <v>805</v>
      </c>
    </row>
    <row r="3611" spans="1:20" x14ac:dyDescent="0.3">
      <c r="A3611" t="s">
        <v>627</v>
      </c>
      <c r="B3611" s="16">
        <v>45952</v>
      </c>
      <c r="C3611" t="s">
        <v>3</v>
      </c>
      <c r="D3611" t="s">
        <v>127</v>
      </c>
      <c r="E3611" t="s">
        <v>175</v>
      </c>
      <c r="F3611">
        <v>171</v>
      </c>
      <c r="G3611">
        <v>102</v>
      </c>
      <c r="H3611">
        <v>2</v>
      </c>
      <c r="I3611">
        <v>1</v>
      </c>
      <c r="J3611">
        <v>6680</v>
      </c>
      <c r="K3611">
        <v>1</v>
      </c>
      <c r="L3611">
        <v>6680</v>
      </c>
      <c r="M3611">
        <v>1</v>
      </c>
      <c r="N3611">
        <v>2</v>
      </c>
      <c r="O3611">
        <v>84</v>
      </c>
      <c r="P3611">
        <f t="shared" si="186"/>
        <v>2025</v>
      </c>
      <c r="Q3611">
        <f t="shared" si="187"/>
        <v>10</v>
      </c>
      <c r="R3611" t="str">
        <f t="shared" si="188"/>
        <v>首页推荐-直播</v>
      </c>
      <c r="S3611" t="s">
        <v>784</v>
      </c>
      <c r="T3611" t="s">
        <v>805</v>
      </c>
    </row>
    <row r="3612" spans="1:20" x14ac:dyDescent="0.3">
      <c r="A3612" t="s">
        <v>627</v>
      </c>
      <c r="B3612" s="16">
        <v>45952</v>
      </c>
      <c r="C3612" t="s">
        <v>3</v>
      </c>
      <c r="D3612" t="s">
        <v>127</v>
      </c>
      <c r="E3612" t="s">
        <v>176</v>
      </c>
      <c r="F3612">
        <v>86</v>
      </c>
      <c r="G3612">
        <v>52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1</v>
      </c>
      <c r="O3612">
        <v>7</v>
      </c>
      <c r="P3612">
        <f t="shared" si="186"/>
        <v>2025</v>
      </c>
      <c r="Q3612">
        <f t="shared" si="187"/>
        <v>10</v>
      </c>
      <c r="R3612" t="str">
        <f t="shared" si="188"/>
        <v>首页推荐-短视频</v>
      </c>
      <c r="S3612" t="s">
        <v>784</v>
      </c>
      <c r="T3612" t="s">
        <v>805</v>
      </c>
    </row>
    <row r="3613" spans="1:20" x14ac:dyDescent="0.3">
      <c r="A3613" t="s">
        <v>627</v>
      </c>
      <c r="B3613" s="16">
        <v>45952</v>
      </c>
      <c r="C3613" t="s">
        <v>3</v>
      </c>
      <c r="D3613" t="s">
        <v>128</v>
      </c>
      <c r="E3613" t="s">
        <v>177</v>
      </c>
      <c r="F3613">
        <v>1322</v>
      </c>
      <c r="G3613">
        <v>984</v>
      </c>
      <c r="H3613">
        <v>37</v>
      </c>
      <c r="I3613">
        <v>10</v>
      </c>
      <c r="J3613">
        <v>48025</v>
      </c>
      <c r="K3613">
        <v>7</v>
      </c>
      <c r="L3613">
        <v>36095</v>
      </c>
      <c r="M3613">
        <v>5</v>
      </c>
      <c r="N3613">
        <v>302</v>
      </c>
      <c r="O3613">
        <v>1246</v>
      </c>
      <c r="P3613">
        <f t="shared" si="186"/>
        <v>2025</v>
      </c>
      <c r="Q3613">
        <f t="shared" si="187"/>
        <v>10</v>
      </c>
      <c r="R3613" t="str">
        <f t="shared" si="188"/>
        <v>手淘搜索-商品及其他</v>
      </c>
      <c r="S3613" t="s">
        <v>784</v>
      </c>
      <c r="T3613" t="s">
        <v>805</v>
      </c>
    </row>
    <row r="3614" spans="1:20" x14ac:dyDescent="0.3">
      <c r="A3614" t="s">
        <v>627</v>
      </c>
      <c r="B3614" s="16">
        <v>45952</v>
      </c>
      <c r="C3614" t="s">
        <v>3</v>
      </c>
      <c r="D3614" t="s">
        <v>128</v>
      </c>
      <c r="E3614" t="s">
        <v>178</v>
      </c>
      <c r="F3614">
        <v>5</v>
      </c>
      <c r="G3614">
        <v>2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5</v>
      </c>
      <c r="P3614">
        <f t="shared" si="186"/>
        <v>2025</v>
      </c>
      <c r="Q3614">
        <f t="shared" si="187"/>
        <v>10</v>
      </c>
      <c r="R3614" t="str">
        <f t="shared" si="188"/>
        <v>手淘搜索-直播</v>
      </c>
      <c r="S3614" t="s">
        <v>784</v>
      </c>
      <c r="T3614" t="s">
        <v>805</v>
      </c>
    </row>
    <row r="3615" spans="1:20" x14ac:dyDescent="0.3">
      <c r="A3615" t="s">
        <v>627</v>
      </c>
      <c r="B3615" s="16">
        <v>45952</v>
      </c>
      <c r="C3615" t="s">
        <v>3</v>
      </c>
      <c r="D3615" t="s">
        <v>128</v>
      </c>
      <c r="E3615" t="s">
        <v>179</v>
      </c>
      <c r="F3615">
        <v>14</v>
      </c>
      <c r="G3615">
        <v>8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12</v>
      </c>
      <c r="P3615">
        <f t="shared" si="186"/>
        <v>2025</v>
      </c>
      <c r="Q3615">
        <f t="shared" si="187"/>
        <v>10</v>
      </c>
      <c r="R3615" t="str">
        <f t="shared" si="188"/>
        <v>手淘搜索-短视频</v>
      </c>
      <c r="S3615" t="s">
        <v>784</v>
      </c>
      <c r="T3615" t="s">
        <v>805</v>
      </c>
    </row>
    <row r="3616" spans="1:20" x14ac:dyDescent="0.3">
      <c r="A3616" t="s">
        <v>627</v>
      </c>
      <c r="B3616" s="16">
        <v>45952</v>
      </c>
      <c r="C3616" t="s">
        <v>3</v>
      </c>
      <c r="D3616" t="s">
        <v>143</v>
      </c>
      <c r="E3616" t="s">
        <v>181</v>
      </c>
      <c r="F3616">
        <v>2</v>
      </c>
      <c r="G3616">
        <v>2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2</v>
      </c>
      <c r="P3616">
        <f t="shared" si="186"/>
        <v>2025</v>
      </c>
      <c r="Q3616">
        <f t="shared" si="187"/>
        <v>10</v>
      </c>
      <c r="R3616" t="str">
        <f t="shared" si="188"/>
        <v>淘特搜索</v>
      </c>
      <c r="S3616" t="s">
        <v>784</v>
      </c>
      <c r="T3616" t="s">
        <v>805</v>
      </c>
    </row>
    <row r="3617" spans="1:20" x14ac:dyDescent="0.3">
      <c r="A3617" t="s">
        <v>627</v>
      </c>
      <c r="B3617" s="16">
        <v>45952</v>
      </c>
      <c r="C3617" t="s">
        <v>3</v>
      </c>
      <c r="D3617" t="s">
        <v>157</v>
      </c>
      <c r="E3617" t="s">
        <v>182</v>
      </c>
      <c r="F3617">
        <v>1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f t="shared" si="186"/>
        <v>2025</v>
      </c>
      <c r="Q3617">
        <f t="shared" si="187"/>
        <v>10</v>
      </c>
      <c r="R3617" t="str">
        <f t="shared" si="188"/>
        <v>飞猪其他</v>
      </c>
      <c r="S3617" t="s">
        <v>784</v>
      </c>
      <c r="T3617" t="s">
        <v>805</v>
      </c>
    </row>
    <row r="3618" spans="1:20" x14ac:dyDescent="0.3">
      <c r="A3618" t="s">
        <v>627</v>
      </c>
      <c r="B3618" s="16">
        <v>45952</v>
      </c>
      <c r="C3618" t="s">
        <v>2</v>
      </c>
      <c r="D3618" t="s">
        <v>55</v>
      </c>
      <c r="E3618" t="s">
        <v>66</v>
      </c>
      <c r="F3618">
        <v>16</v>
      </c>
      <c r="G3618">
        <v>12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f t="shared" si="186"/>
        <v>2025</v>
      </c>
      <c r="Q3618">
        <f t="shared" si="187"/>
        <v>10</v>
      </c>
      <c r="R3618" t="str">
        <f t="shared" si="188"/>
        <v>短直联动</v>
      </c>
      <c r="S3618" t="s">
        <v>784</v>
      </c>
      <c r="T3618" t="s">
        <v>805</v>
      </c>
    </row>
    <row r="3619" spans="1:20" x14ac:dyDescent="0.3">
      <c r="A3619" t="s">
        <v>627</v>
      </c>
      <c r="B3619" s="16">
        <v>45952</v>
      </c>
      <c r="C3619" t="s">
        <v>2</v>
      </c>
      <c r="D3619" t="s">
        <v>55</v>
      </c>
      <c r="E3619" t="s">
        <v>54</v>
      </c>
      <c r="F3619">
        <v>1354</v>
      </c>
      <c r="G3619">
        <v>861</v>
      </c>
      <c r="H3619">
        <v>16</v>
      </c>
      <c r="I3619">
        <v>2</v>
      </c>
      <c r="J3619">
        <v>0</v>
      </c>
      <c r="K3619">
        <v>0</v>
      </c>
      <c r="L3619">
        <v>0</v>
      </c>
      <c r="M3619">
        <v>0</v>
      </c>
      <c r="N3619">
        <v>46</v>
      </c>
      <c r="O3619">
        <v>404</v>
      </c>
      <c r="P3619">
        <f t="shared" si="186"/>
        <v>2025</v>
      </c>
      <c r="Q3619">
        <f t="shared" si="187"/>
        <v>10</v>
      </c>
      <c r="R3619" t="str">
        <f t="shared" si="188"/>
        <v>超级直播</v>
      </c>
      <c r="S3619" t="s">
        <v>784</v>
      </c>
      <c r="T3619" t="s">
        <v>805</v>
      </c>
    </row>
    <row r="3620" spans="1:20" x14ac:dyDescent="0.3">
      <c r="A3620" t="s">
        <v>627</v>
      </c>
      <c r="B3620" s="16">
        <v>45952</v>
      </c>
      <c r="C3620" t="s">
        <v>2</v>
      </c>
      <c r="D3620" t="s">
        <v>55</v>
      </c>
      <c r="E3620" t="s">
        <v>56</v>
      </c>
      <c r="F3620">
        <v>115</v>
      </c>
      <c r="G3620">
        <v>105</v>
      </c>
      <c r="H3620">
        <v>1</v>
      </c>
      <c r="I3620">
        <v>1</v>
      </c>
      <c r="J3620">
        <v>0</v>
      </c>
      <c r="K3620">
        <v>0</v>
      </c>
      <c r="L3620">
        <v>0</v>
      </c>
      <c r="M3620">
        <v>0</v>
      </c>
      <c r="N3620">
        <v>5</v>
      </c>
      <c r="O3620">
        <v>111</v>
      </c>
      <c r="P3620">
        <f t="shared" si="186"/>
        <v>2025</v>
      </c>
      <c r="Q3620">
        <f t="shared" si="187"/>
        <v>10</v>
      </c>
      <c r="R3620" t="str">
        <f t="shared" si="188"/>
        <v>超级短视频</v>
      </c>
      <c r="S3620" t="s">
        <v>784</v>
      </c>
      <c r="T3620" t="s">
        <v>805</v>
      </c>
    </row>
    <row r="3621" spans="1:20" x14ac:dyDescent="0.3">
      <c r="A3621" t="s">
        <v>627</v>
      </c>
      <c r="B3621" s="16">
        <v>45952</v>
      </c>
      <c r="C3621" t="s">
        <v>2</v>
      </c>
      <c r="D3621" t="s">
        <v>57</v>
      </c>
      <c r="E3621" t="s">
        <v>63</v>
      </c>
      <c r="F3621">
        <v>726</v>
      </c>
      <c r="G3621">
        <v>600</v>
      </c>
      <c r="H3621">
        <v>19</v>
      </c>
      <c r="I3621">
        <v>3</v>
      </c>
      <c r="J3621">
        <v>23495</v>
      </c>
      <c r="K3621">
        <v>5</v>
      </c>
      <c r="L3621">
        <v>18910</v>
      </c>
      <c r="M3621">
        <v>3</v>
      </c>
      <c r="N3621">
        <v>723</v>
      </c>
      <c r="O3621">
        <v>345</v>
      </c>
      <c r="P3621">
        <f t="shared" si="186"/>
        <v>2025</v>
      </c>
      <c r="Q3621">
        <f t="shared" si="187"/>
        <v>10</v>
      </c>
      <c r="R3621" t="str">
        <f t="shared" si="188"/>
        <v>万相台</v>
      </c>
      <c r="S3621" t="s">
        <v>784</v>
      </c>
      <c r="T3621" t="s">
        <v>805</v>
      </c>
    </row>
    <row r="3622" spans="1:20" x14ac:dyDescent="0.3">
      <c r="A3622" t="s">
        <v>627</v>
      </c>
      <c r="B3622" s="16">
        <v>45952</v>
      </c>
      <c r="C3622" t="s">
        <v>2</v>
      </c>
      <c r="D3622" t="s">
        <v>57</v>
      </c>
      <c r="E3622" t="s">
        <v>64</v>
      </c>
      <c r="F3622">
        <v>44963</v>
      </c>
      <c r="G3622">
        <v>24434</v>
      </c>
      <c r="H3622">
        <v>211</v>
      </c>
      <c r="I3622">
        <v>312</v>
      </c>
      <c r="J3622">
        <v>81645</v>
      </c>
      <c r="K3622">
        <v>15</v>
      </c>
      <c r="L3622">
        <v>72425</v>
      </c>
      <c r="M3622">
        <v>13</v>
      </c>
      <c r="N3622">
        <v>896</v>
      </c>
      <c r="O3622">
        <v>44962</v>
      </c>
      <c r="P3622">
        <f t="shared" si="186"/>
        <v>2025</v>
      </c>
      <c r="Q3622">
        <f t="shared" si="187"/>
        <v>10</v>
      </c>
      <c r="R3622" t="str">
        <f t="shared" si="188"/>
        <v>引力魔方</v>
      </c>
      <c r="S3622" t="s">
        <v>784</v>
      </c>
      <c r="T3622" t="s">
        <v>805</v>
      </c>
    </row>
    <row r="3623" spans="1:20" x14ac:dyDescent="0.3">
      <c r="A3623" t="s">
        <v>627</v>
      </c>
      <c r="B3623" s="16">
        <v>45952</v>
      </c>
      <c r="C3623" t="s">
        <v>2</v>
      </c>
      <c r="D3623" t="s">
        <v>57</v>
      </c>
      <c r="E3623" t="s">
        <v>65</v>
      </c>
      <c r="F3623">
        <v>7168</v>
      </c>
      <c r="G3623">
        <v>6216</v>
      </c>
      <c r="H3623">
        <v>65</v>
      </c>
      <c r="I3623">
        <v>31</v>
      </c>
      <c r="J3623">
        <v>156910</v>
      </c>
      <c r="K3623">
        <v>23</v>
      </c>
      <c r="L3623">
        <v>71935</v>
      </c>
      <c r="M3623">
        <v>15</v>
      </c>
      <c r="N3623">
        <v>425</v>
      </c>
      <c r="O3623">
        <v>7080</v>
      </c>
      <c r="P3623">
        <f t="shared" si="186"/>
        <v>2025</v>
      </c>
      <c r="Q3623">
        <f t="shared" si="187"/>
        <v>10</v>
      </c>
      <c r="R3623" t="str">
        <f t="shared" si="188"/>
        <v>直通车</v>
      </c>
      <c r="S3623" t="s">
        <v>784</v>
      </c>
      <c r="T3623" t="s">
        <v>805</v>
      </c>
    </row>
    <row r="3624" spans="1:20" x14ac:dyDescent="0.3">
      <c r="A3624" t="s">
        <v>627</v>
      </c>
      <c r="B3624" s="16">
        <v>45952</v>
      </c>
      <c r="C3624" t="s">
        <v>2</v>
      </c>
      <c r="D3624" t="s">
        <v>4</v>
      </c>
      <c r="E3624" t="s">
        <v>41</v>
      </c>
      <c r="F3624">
        <v>5</v>
      </c>
      <c r="G3624">
        <v>2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5</v>
      </c>
      <c r="P3624">
        <f t="shared" si="186"/>
        <v>2025</v>
      </c>
      <c r="Q3624">
        <f t="shared" si="187"/>
        <v>10</v>
      </c>
      <c r="R3624" t="str">
        <f t="shared" si="188"/>
        <v>流量宝</v>
      </c>
      <c r="S3624" t="s">
        <v>784</v>
      </c>
      <c r="T3624" t="s">
        <v>805</v>
      </c>
    </row>
    <row r="3625" spans="1:20" x14ac:dyDescent="0.3">
      <c r="A3625" t="s">
        <v>627</v>
      </c>
      <c r="B3625" s="16">
        <v>45952</v>
      </c>
      <c r="C3625" t="s">
        <v>2</v>
      </c>
      <c r="D3625" t="s">
        <v>4</v>
      </c>
      <c r="E3625" t="s">
        <v>43</v>
      </c>
      <c r="F3625">
        <v>445</v>
      </c>
      <c r="G3625">
        <v>135</v>
      </c>
      <c r="H3625">
        <v>6</v>
      </c>
      <c r="I3625">
        <v>2</v>
      </c>
      <c r="J3625">
        <v>23635</v>
      </c>
      <c r="K3625">
        <v>3</v>
      </c>
      <c r="L3625">
        <v>20945</v>
      </c>
      <c r="M3625">
        <v>3</v>
      </c>
      <c r="N3625">
        <v>4</v>
      </c>
      <c r="O3625">
        <v>434</v>
      </c>
      <c r="P3625">
        <f t="shared" ref="P3625:P3688" si="189">YEAR(B3625)</f>
        <v>2025</v>
      </c>
      <c r="Q3625">
        <f t="shared" ref="Q3625:Q3688" si="190">MONTH(B3625)</f>
        <v>10</v>
      </c>
      <c r="R3625" t="str">
        <f t="shared" ref="R3625:R3688" si="191">E3625</f>
        <v>淘宝客</v>
      </c>
      <c r="S3625" t="s">
        <v>784</v>
      </c>
      <c r="T3625" t="s">
        <v>805</v>
      </c>
    </row>
    <row r="3626" spans="1:20" x14ac:dyDescent="0.3">
      <c r="A3626" t="s">
        <v>627</v>
      </c>
      <c r="B3626" s="16">
        <v>45951</v>
      </c>
      <c r="C3626" t="s">
        <v>3</v>
      </c>
      <c r="D3626" t="s">
        <v>114</v>
      </c>
      <c r="E3626" t="s">
        <v>159</v>
      </c>
      <c r="F3626">
        <v>171</v>
      </c>
      <c r="G3626">
        <v>75</v>
      </c>
      <c r="H3626">
        <v>5</v>
      </c>
      <c r="I3626">
        <v>1</v>
      </c>
      <c r="J3626">
        <v>2690</v>
      </c>
      <c r="K3626">
        <v>1</v>
      </c>
      <c r="L3626">
        <v>0</v>
      </c>
      <c r="M3626">
        <v>0</v>
      </c>
      <c r="N3626">
        <v>19</v>
      </c>
      <c r="O3626">
        <v>159</v>
      </c>
      <c r="P3626">
        <f t="shared" si="189"/>
        <v>2025</v>
      </c>
      <c r="Q3626">
        <f t="shared" si="190"/>
        <v>10</v>
      </c>
      <c r="R3626" t="str">
        <f t="shared" si="191"/>
        <v>主会场</v>
      </c>
      <c r="S3626" t="s">
        <v>784</v>
      </c>
      <c r="T3626" t="s">
        <v>805</v>
      </c>
    </row>
    <row r="3627" spans="1:20" x14ac:dyDescent="0.3">
      <c r="A3627" t="s">
        <v>627</v>
      </c>
      <c r="B3627" s="16">
        <v>45951</v>
      </c>
      <c r="C3627" t="s">
        <v>3</v>
      </c>
      <c r="D3627" t="s">
        <v>123</v>
      </c>
      <c r="E3627" t="s">
        <v>170</v>
      </c>
      <c r="F3627">
        <v>67</v>
      </c>
      <c r="G3627">
        <v>31</v>
      </c>
      <c r="H3627">
        <v>5</v>
      </c>
      <c r="I3627">
        <v>1</v>
      </c>
      <c r="J3627">
        <v>20325</v>
      </c>
      <c r="K3627">
        <v>4</v>
      </c>
      <c r="L3627">
        <v>11415</v>
      </c>
      <c r="M3627">
        <v>4</v>
      </c>
      <c r="N3627">
        <v>62</v>
      </c>
      <c r="O3627">
        <v>31</v>
      </c>
      <c r="P3627">
        <f t="shared" si="189"/>
        <v>2025</v>
      </c>
      <c r="Q3627">
        <f t="shared" si="190"/>
        <v>10</v>
      </c>
      <c r="R3627" t="str">
        <f t="shared" si="191"/>
        <v>店铺超链</v>
      </c>
      <c r="S3627" t="s">
        <v>784</v>
      </c>
      <c r="T3627" t="s">
        <v>805</v>
      </c>
    </row>
    <row r="3628" spans="1:20" x14ac:dyDescent="0.3">
      <c r="A3628" t="s">
        <v>627</v>
      </c>
      <c r="B3628" s="16">
        <v>45951</v>
      </c>
      <c r="C3628" t="s">
        <v>3</v>
      </c>
      <c r="D3628" t="s">
        <v>127</v>
      </c>
      <c r="E3628" t="s">
        <v>171</v>
      </c>
      <c r="F3628">
        <v>830</v>
      </c>
      <c r="G3628">
        <v>328</v>
      </c>
      <c r="H3628">
        <v>31</v>
      </c>
      <c r="I3628">
        <v>14</v>
      </c>
      <c r="J3628">
        <v>50453.58</v>
      </c>
      <c r="K3628">
        <v>8</v>
      </c>
      <c r="L3628">
        <v>41273.58</v>
      </c>
      <c r="M3628">
        <v>7</v>
      </c>
      <c r="N3628">
        <v>144</v>
      </c>
      <c r="O3628">
        <v>784</v>
      </c>
      <c r="P3628">
        <f t="shared" si="189"/>
        <v>2025</v>
      </c>
      <c r="Q3628">
        <f t="shared" si="190"/>
        <v>10</v>
      </c>
      <c r="R3628" t="str">
        <f t="shared" si="191"/>
        <v>其他猜你喜欢</v>
      </c>
      <c r="S3628" t="s">
        <v>784</v>
      </c>
      <c r="T3628" t="s">
        <v>805</v>
      </c>
    </row>
    <row r="3629" spans="1:20" x14ac:dyDescent="0.3">
      <c r="A3629" t="s">
        <v>627</v>
      </c>
      <c r="B3629" s="16">
        <v>45951</v>
      </c>
      <c r="C3629" t="s">
        <v>3</v>
      </c>
      <c r="D3629" t="s">
        <v>127</v>
      </c>
      <c r="E3629" t="s">
        <v>172</v>
      </c>
      <c r="F3629">
        <v>164</v>
      </c>
      <c r="G3629">
        <v>73</v>
      </c>
      <c r="H3629">
        <v>7</v>
      </c>
      <c r="I3629">
        <v>0</v>
      </c>
      <c r="J3629">
        <v>4440</v>
      </c>
      <c r="K3629">
        <v>1</v>
      </c>
      <c r="L3629">
        <v>4440</v>
      </c>
      <c r="M3629">
        <v>1</v>
      </c>
      <c r="N3629">
        <v>17</v>
      </c>
      <c r="O3629">
        <v>138</v>
      </c>
      <c r="P3629">
        <f t="shared" si="189"/>
        <v>2025</v>
      </c>
      <c r="Q3629">
        <f t="shared" si="190"/>
        <v>10</v>
      </c>
      <c r="R3629" t="str">
        <f t="shared" si="191"/>
        <v>购中推荐</v>
      </c>
      <c r="S3629" t="s">
        <v>784</v>
      </c>
      <c r="T3629" t="s">
        <v>805</v>
      </c>
    </row>
    <row r="3630" spans="1:20" x14ac:dyDescent="0.3">
      <c r="A3630" t="s">
        <v>627</v>
      </c>
      <c r="B3630" s="16">
        <v>45951</v>
      </c>
      <c r="C3630" t="s">
        <v>3</v>
      </c>
      <c r="D3630" t="s">
        <v>127</v>
      </c>
      <c r="E3630" t="s">
        <v>173</v>
      </c>
      <c r="F3630">
        <v>824</v>
      </c>
      <c r="G3630">
        <v>361</v>
      </c>
      <c r="H3630">
        <v>36</v>
      </c>
      <c r="I3630">
        <v>5</v>
      </c>
      <c r="J3630">
        <v>12890</v>
      </c>
      <c r="K3630">
        <v>2</v>
      </c>
      <c r="L3630">
        <v>12890</v>
      </c>
      <c r="M3630">
        <v>2</v>
      </c>
      <c r="N3630">
        <v>73</v>
      </c>
      <c r="O3630">
        <v>712</v>
      </c>
      <c r="P3630">
        <f t="shared" si="189"/>
        <v>2025</v>
      </c>
      <c r="Q3630">
        <f t="shared" si="190"/>
        <v>10</v>
      </c>
      <c r="R3630" t="str">
        <f t="shared" si="191"/>
        <v>购后推荐</v>
      </c>
      <c r="S3630" t="s">
        <v>784</v>
      </c>
      <c r="T3630" t="s">
        <v>805</v>
      </c>
    </row>
    <row r="3631" spans="1:20" x14ac:dyDescent="0.3">
      <c r="A3631" t="s">
        <v>627</v>
      </c>
      <c r="B3631" s="16">
        <v>45951</v>
      </c>
      <c r="C3631" t="s">
        <v>3</v>
      </c>
      <c r="D3631" t="s">
        <v>127</v>
      </c>
      <c r="E3631" t="s">
        <v>174</v>
      </c>
      <c r="F3631">
        <v>5474</v>
      </c>
      <c r="G3631">
        <v>2299</v>
      </c>
      <c r="H3631">
        <v>102</v>
      </c>
      <c r="I3631">
        <v>28</v>
      </c>
      <c r="J3631">
        <v>136281.42000000001</v>
      </c>
      <c r="K3631">
        <v>20</v>
      </c>
      <c r="L3631">
        <v>100341.42</v>
      </c>
      <c r="M3631">
        <v>17</v>
      </c>
      <c r="N3631">
        <v>344</v>
      </c>
      <c r="O3631">
        <v>5474</v>
      </c>
      <c r="P3631">
        <f t="shared" si="189"/>
        <v>2025</v>
      </c>
      <c r="Q3631">
        <f t="shared" si="190"/>
        <v>10</v>
      </c>
      <c r="R3631" t="str">
        <f t="shared" si="191"/>
        <v>首页推荐-微详情</v>
      </c>
      <c r="S3631" t="s">
        <v>784</v>
      </c>
      <c r="T3631" t="s">
        <v>805</v>
      </c>
    </row>
    <row r="3632" spans="1:20" x14ac:dyDescent="0.3">
      <c r="A3632" t="s">
        <v>627</v>
      </c>
      <c r="B3632" s="16">
        <v>45951</v>
      </c>
      <c r="C3632" t="s">
        <v>3</v>
      </c>
      <c r="D3632" t="s">
        <v>127</v>
      </c>
      <c r="E3632" t="s">
        <v>175</v>
      </c>
      <c r="F3632">
        <v>295</v>
      </c>
      <c r="G3632">
        <v>209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5</v>
      </c>
      <c r="O3632">
        <v>90</v>
      </c>
      <c r="P3632">
        <f t="shared" si="189"/>
        <v>2025</v>
      </c>
      <c r="Q3632">
        <f t="shared" si="190"/>
        <v>10</v>
      </c>
      <c r="R3632" t="str">
        <f t="shared" si="191"/>
        <v>首页推荐-直播</v>
      </c>
      <c r="S3632" t="s">
        <v>784</v>
      </c>
      <c r="T3632" t="s">
        <v>805</v>
      </c>
    </row>
    <row r="3633" spans="1:20" x14ac:dyDescent="0.3">
      <c r="A3633" t="s">
        <v>627</v>
      </c>
      <c r="B3633" s="16">
        <v>45951</v>
      </c>
      <c r="C3633" t="s">
        <v>3</v>
      </c>
      <c r="D3633" t="s">
        <v>127</v>
      </c>
      <c r="E3633" t="s">
        <v>176</v>
      </c>
      <c r="F3633">
        <v>305</v>
      </c>
      <c r="G3633">
        <v>219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3</v>
      </c>
      <c r="O3633">
        <v>19</v>
      </c>
      <c r="P3633">
        <f t="shared" si="189"/>
        <v>2025</v>
      </c>
      <c r="Q3633">
        <f t="shared" si="190"/>
        <v>10</v>
      </c>
      <c r="R3633" t="str">
        <f t="shared" si="191"/>
        <v>首页推荐-短视频</v>
      </c>
      <c r="S3633" t="s">
        <v>784</v>
      </c>
      <c r="T3633" t="s">
        <v>805</v>
      </c>
    </row>
    <row r="3634" spans="1:20" x14ac:dyDescent="0.3">
      <c r="A3634" t="s">
        <v>627</v>
      </c>
      <c r="B3634" s="16">
        <v>45951</v>
      </c>
      <c r="C3634" t="s">
        <v>3</v>
      </c>
      <c r="D3634" t="s">
        <v>128</v>
      </c>
      <c r="E3634" t="s">
        <v>177</v>
      </c>
      <c r="F3634">
        <v>1021</v>
      </c>
      <c r="G3634">
        <v>746</v>
      </c>
      <c r="H3634">
        <v>43</v>
      </c>
      <c r="I3634">
        <v>9</v>
      </c>
      <c r="J3634">
        <v>48730</v>
      </c>
      <c r="K3634">
        <v>10</v>
      </c>
      <c r="L3634">
        <v>27490</v>
      </c>
      <c r="M3634">
        <v>8</v>
      </c>
      <c r="N3634">
        <v>232</v>
      </c>
      <c r="O3634">
        <v>961</v>
      </c>
      <c r="P3634">
        <f t="shared" si="189"/>
        <v>2025</v>
      </c>
      <c r="Q3634">
        <f t="shared" si="190"/>
        <v>10</v>
      </c>
      <c r="R3634" t="str">
        <f t="shared" si="191"/>
        <v>手淘搜索-商品及其他</v>
      </c>
      <c r="S3634" t="s">
        <v>784</v>
      </c>
      <c r="T3634" t="s">
        <v>805</v>
      </c>
    </row>
    <row r="3635" spans="1:20" x14ac:dyDescent="0.3">
      <c r="A3635" t="s">
        <v>627</v>
      </c>
      <c r="B3635" s="16">
        <v>45951</v>
      </c>
      <c r="C3635" t="s">
        <v>3</v>
      </c>
      <c r="D3635" t="s">
        <v>128</v>
      </c>
      <c r="E3635" t="s">
        <v>178</v>
      </c>
      <c r="F3635">
        <v>9</v>
      </c>
      <c r="G3635">
        <v>3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7</v>
      </c>
      <c r="P3635">
        <f t="shared" si="189"/>
        <v>2025</v>
      </c>
      <c r="Q3635">
        <f t="shared" si="190"/>
        <v>10</v>
      </c>
      <c r="R3635" t="str">
        <f t="shared" si="191"/>
        <v>手淘搜索-直播</v>
      </c>
      <c r="S3635" t="s">
        <v>784</v>
      </c>
      <c r="T3635" t="s">
        <v>805</v>
      </c>
    </row>
    <row r="3636" spans="1:20" x14ac:dyDescent="0.3">
      <c r="A3636" t="s">
        <v>627</v>
      </c>
      <c r="B3636" s="16">
        <v>45951</v>
      </c>
      <c r="C3636" t="s">
        <v>3</v>
      </c>
      <c r="D3636" t="s">
        <v>128</v>
      </c>
      <c r="E3636" t="s">
        <v>179</v>
      </c>
      <c r="F3636">
        <v>10</v>
      </c>
      <c r="G3636">
        <v>3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9</v>
      </c>
      <c r="P3636">
        <f t="shared" si="189"/>
        <v>2025</v>
      </c>
      <c r="Q3636">
        <f t="shared" si="190"/>
        <v>10</v>
      </c>
      <c r="R3636" t="str">
        <f t="shared" si="191"/>
        <v>手淘搜索-短视频</v>
      </c>
      <c r="S3636" t="s">
        <v>784</v>
      </c>
      <c r="T3636" t="s">
        <v>805</v>
      </c>
    </row>
    <row r="3637" spans="1:20" x14ac:dyDescent="0.3">
      <c r="A3637" t="s">
        <v>627</v>
      </c>
      <c r="B3637" s="16">
        <v>45951</v>
      </c>
      <c r="C3637" t="s">
        <v>3</v>
      </c>
      <c r="D3637" t="s">
        <v>143</v>
      </c>
      <c r="E3637" t="s">
        <v>181</v>
      </c>
      <c r="F3637">
        <v>1</v>
      </c>
      <c r="G3637">
        <v>1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1</v>
      </c>
      <c r="P3637">
        <f t="shared" si="189"/>
        <v>2025</v>
      </c>
      <c r="Q3637">
        <f t="shared" si="190"/>
        <v>10</v>
      </c>
      <c r="R3637" t="str">
        <f t="shared" si="191"/>
        <v>淘特搜索</v>
      </c>
      <c r="S3637" t="s">
        <v>784</v>
      </c>
      <c r="T3637" t="s">
        <v>805</v>
      </c>
    </row>
    <row r="3638" spans="1:20" x14ac:dyDescent="0.3">
      <c r="A3638" t="s">
        <v>627</v>
      </c>
      <c r="B3638" s="16">
        <v>45951</v>
      </c>
      <c r="C3638" t="s">
        <v>2</v>
      </c>
      <c r="D3638" t="s">
        <v>55</v>
      </c>
      <c r="E3638" t="s">
        <v>66</v>
      </c>
      <c r="F3638">
        <v>24</v>
      </c>
      <c r="G3638">
        <v>23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f t="shared" si="189"/>
        <v>2025</v>
      </c>
      <c r="Q3638">
        <f t="shared" si="190"/>
        <v>10</v>
      </c>
      <c r="R3638" t="str">
        <f t="shared" si="191"/>
        <v>短直联动</v>
      </c>
      <c r="S3638" t="s">
        <v>784</v>
      </c>
      <c r="T3638" t="s">
        <v>805</v>
      </c>
    </row>
    <row r="3639" spans="1:20" x14ac:dyDescent="0.3">
      <c r="A3639" t="s">
        <v>627</v>
      </c>
      <c r="B3639" s="16">
        <v>45951</v>
      </c>
      <c r="C3639" t="s">
        <v>2</v>
      </c>
      <c r="D3639" t="s">
        <v>55</v>
      </c>
      <c r="E3639" t="s">
        <v>54</v>
      </c>
      <c r="F3639">
        <v>2136</v>
      </c>
      <c r="G3639">
        <v>1660</v>
      </c>
      <c r="H3639">
        <v>23</v>
      </c>
      <c r="I3639">
        <v>1</v>
      </c>
      <c r="J3639">
        <v>0</v>
      </c>
      <c r="K3639">
        <v>0</v>
      </c>
      <c r="L3639">
        <v>0</v>
      </c>
      <c r="M3639">
        <v>0</v>
      </c>
      <c r="N3639">
        <v>42</v>
      </c>
      <c r="O3639">
        <v>368</v>
      </c>
      <c r="P3639">
        <f t="shared" si="189"/>
        <v>2025</v>
      </c>
      <c r="Q3639">
        <f t="shared" si="190"/>
        <v>10</v>
      </c>
      <c r="R3639" t="str">
        <f t="shared" si="191"/>
        <v>超级直播</v>
      </c>
      <c r="S3639" t="s">
        <v>784</v>
      </c>
      <c r="T3639" t="s">
        <v>805</v>
      </c>
    </row>
    <row r="3640" spans="1:20" x14ac:dyDescent="0.3">
      <c r="A3640" t="s">
        <v>627</v>
      </c>
      <c r="B3640" s="16">
        <v>45951</v>
      </c>
      <c r="C3640" t="s">
        <v>2</v>
      </c>
      <c r="D3640" t="s">
        <v>55</v>
      </c>
      <c r="E3640" t="s">
        <v>56</v>
      </c>
      <c r="F3640">
        <v>255</v>
      </c>
      <c r="G3640">
        <v>144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5</v>
      </c>
      <c r="O3640">
        <v>156</v>
      </c>
      <c r="P3640">
        <f t="shared" si="189"/>
        <v>2025</v>
      </c>
      <c r="Q3640">
        <f t="shared" si="190"/>
        <v>10</v>
      </c>
      <c r="R3640" t="str">
        <f t="shared" si="191"/>
        <v>超级短视频</v>
      </c>
      <c r="S3640" t="s">
        <v>784</v>
      </c>
      <c r="T3640" t="s">
        <v>805</v>
      </c>
    </row>
    <row r="3641" spans="1:20" x14ac:dyDescent="0.3">
      <c r="A3641" t="s">
        <v>627</v>
      </c>
      <c r="B3641" s="16">
        <v>45951</v>
      </c>
      <c r="C3641" t="s">
        <v>2</v>
      </c>
      <c r="D3641" t="s">
        <v>57</v>
      </c>
      <c r="E3641" t="s">
        <v>63</v>
      </c>
      <c r="F3641">
        <v>790</v>
      </c>
      <c r="G3641">
        <v>616</v>
      </c>
      <c r="H3641">
        <v>34</v>
      </c>
      <c r="I3641">
        <v>6</v>
      </c>
      <c r="J3641">
        <v>91330</v>
      </c>
      <c r="K3641">
        <v>14</v>
      </c>
      <c r="L3641">
        <v>43680</v>
      </c>
      <c r="M3641">
        <v>11</v>
      </c>
      <c r="N3641">
        <v>788</v>
      </c>
      <c r="O3641">
        <v>373</v>
      </c>
      <c r="P3641">
        <f t="shared" si="189"/>
        <v>2025</v>
      </c>
      <c r="Q3641">
        <f t="shared" si="190"/>
        <v>10</v>
      </c>
      <c r="R3641" t="str">
        <f t="shared" si="191"/>
        <v>万相台</v>
      </c>
      <c r="S3641" t="s">
        <v>784</v>
      </c>
      <c r="T3641" t="s">
        <v>805</v>
      </c>
    </row>
    <row r="3642" spans="1:20" x14ac:dyDescent="0.3">
      <c r="A3642" t="s">
        <v>627</v>
      </c>
      <c r="B3642" s="16">
        <v>45951</v>
      </c>
      <c r="C3642" t="s">
        <v>2</v>
      </c>
      <c r="D3642" t="s">
        <v>57</v>
      </c>
      <c r="E3642" t="s">
        <v>64</v>
      </c>
      <c r="F3642">
        <v>35091</v>
      </c>
      <c r="G3642">
        <v>17603</v>
      </c>
      <c r="H3642">
        <v>202</v>
      </c>
      <c r="I3642">
        <v>288</v>
      </c>
      <c r="J3642">
        <v>102916.42</v>
      </c>
      <c r="K3642">
        <v>24</v>
      </c>
      <c r="L3642">
        <v>77286.42</v>
      </c>
      <c r="M3642">
        <v>20</v>
      </c>
      <c r="N3642">
        <v>809</v>
      </c>
      <c r="O3642">
        <v>35087</v>
      </c>
      <c r="P3642">
        <f t="shared" si="189"/>
        <v>2025</v>
      </c>
      <c r="Q3642">
        <f t="shared" si="190"/>
        <v>10</v>
      </c>
      <c r="R3642" t="str">
        <f t="shared" si="191"/>
        <v>引力魔方</v>
      </c>
      <c r="S3642" t="s">
        <v>784</v>
      </c>
      <c r="T3642" t="s">
        <v>805</v>
      </c>
    </row>
    <row r="3643" spans="1:20" x14ac:dyDescent="0.3">
      <c r="A3643" t="s">
        <v>627</v>
      </c>
      <c r="B3643" s="16">
        <v>45951</v>
      </c>
      <c r="C3643" t="s">
        <v>2</v>
      </c>
      <c r="D3643" t="s">
        <v>57</v>
      </c>
      <c r="E3643" t="s">
        <v>65</v>
      </c>
      <c r="F3643">
        <v>7189</v>
      </c>
      <c r="G3643">
        <v>6246</v>
      </c>
      <c r="H3643">
        <v>65</v>
      </c>
      <c r="I3643">
        <v>29</v>
      </c>
      <c r="J3643">
        <v>115779.84</v>
      </c>
      <c r="K3643">
        <v>14</v>
      </c>
      <c r="L3643">
        <v>49639.839999999997</v>
      </c>
      <c r="M3643">
        <v>12</v>
      </c>
      <c r="N3643">
        <v>403</v>
      </c>
      <c r="O3643">
        <v>7109</v>
      </c>
      <c r="P3643">
        <f t="shared" si="189"/>
        <v>2025</v>
      </c>
      <c r="Q3643">
        <f t="shared" si="190"/>
        <v>10</v>
      </c>
      <c r="R3643" t="str">
        <f t="shared" si="191"/>
        <v>直通车</v>
      </c>
      <c r="S3643" t="s">
        <v>784</v>
      </c>
      <c r="T3643" t="s">
        <v>805</v>
      </c>
    </row>
    <row r="3644" spans="1:20" x14ac:dyDescent="0.3">
      <c r="A3644" t="s">
        <v>627</v>
      </c>
      <c r="B3644" s="16">
        <v>45951</v>
      </c>
      <c r="C3644" t="s">
        <v>2</v>
      </c>
      <c r="D3644" t="s">
        <v>4</v>
      </c>
      <c r="E3644" t="s">
        <v>41</v>
      </c>
      <c r="F3644">
        <v>7</v>
      </c>
      <c r="G3644">
        <v>4</v>
      </c>
      <c r="H3644">
        <v>1</v>
      </c>
      <c r="I3644">
        <v>1</v>
      </c>
      <c r="J3644">
        <v>0</v>
      </c>
      <c r="K3644">
        <v>0</v>
      </c>
      <c r="L3644">
        <v>0</v>
      </c>
      <c r="M3644">
        <v>0</v>
      </c>
      <c r="N3644">
        <v>3</v>
      </c>
      <c r="O3644">
        <v>6</v>
      </c>
      <c r="P3644">
        <f t="shared" si="189"/>
        <v>2025</v>
      </c>
      <c r="Q3644">
        <f t="shared" si="190"/>
        <v>10</v>
      </c>
      <c r="R3644" t="str">
        <f t="shared" si="191"/>
        <v>流量宝</v>
      </c>
      <c r="S3644" t="s">
        <v>784</v>
      </c>
      <c r="T3644" t="s">
        <v>805</v>
      </c>
    </row>
    <row r="3645" spans="1:20" x14ac:dyDescent="0.3">
      <c r="A3645" t="s">
        <v>627</v>
      </c>
      <c r="B3645" s="16">
        <v>45951</v>
      </c>
      <c r="C3645" t="s">
        <v>2</v>
      </c>
      <c r="D3645" t="s">
        <v>4</v>
      </c>
      <c r="E3645" t="s">
        <v>43</v>
      </c>
      <c r="F3645">
        <v>478</v>
      </c>
      <c r="G3645">
        <v>163</v>
      </c>
      <c r="H3645">
        <v>2</v>
      </c>
      <c r="I3645">
        <v>2</v>
      </c>
      <c r="J3645">
        <v>35730</v>
      </c>
      <c r="K3645">
        <v>2</v>
      </c>
      <c r="L3645">
        <v>35730</v>
      </c>
      <c r="M3645">
        <v>2</v>
      </c>
      <c r="N3645">
        <v>9</v>
      </c>
      <c r="O3645">
        <v>466</v>
      </c>
      <c r="P3645">
        <f t="shared" si="189"/>
        <v>2025</v>
      </c>
      <c r="Q3645">
        <f t="shared" si="190"/>
        <v>10</v>
      </c>
      <c r="R3645" t="str">
        <f t="shared" si="191"/>
        <v>淘宝客</v>
      </c>
      <c r="S3645" t="s">
        <v>784</v>
      </c>
      <c r="T3645" t="s">
        <v>805</v>
      </c>
    </row>
    <row r="3646" spans="1:20" x14ac:dyDescent="0.3">
      <c r="A3646" t="s">
        <v>627</v>
      </c>
      <c r="B3646" s="16">
        <v>45950</v>
      </c>
      <c r="C3646" t="s">
        <v>3</v>
      </c>
      <c r="D3646" t="s">
        <v>114</v>
      </c>
      <c r="E3646" t="s">
        <v>159</v>
      </c>
      <c r="F3646">
        <v>126</v>
      </c>
      <c r="G3646">
        <v>42</v>
      </c>
      <c r="H3646">
        <v>6</v>
      </c>
      <c r="I3646">
        <v>0</v>
      </c>
      <c r="J3646">
        <v>10930</v>
      </c>
      <c r="K3646">
        <v>2</v>
      </c>
      <c r="L3646">
        <v>10930</v>
      </c>
      <c r="M3646">
        <v>2</v>
      </c>
      <c r="N3646">
        <v>12</v>
      </c>
      <c r="O3646">
        <v>121</v>
      </c>
      <c r="P3646">
        <f t="shared" si="189"/>
        <v>2025</v>
      </c>
      <c r="Q3646">
        <f t="shared" si="190"/>
        <v>10</v>
      </c>
      <c r="R3646" t="str">
        <f t="shared" si="191"/>
        <v>主会场</v>
      </c>
      <c r="S3646" t="s">
        <v>784</v>
      </c>
      <c r="T3646" t="s">
        <v>805</v>
      </c>
    </row>
    <row r="3647" spans="1:20" x14ac:dyDescent="0.3">
      <c r="A3647" t="s">
        <v>627</v>
      </c>
      <c r="B3647" s="16">
        <v>45950</v>
      </c>
      <c r="C3647" t="s">
        <v>3</v>
      </c>
      <c r="D3647" t="s">
        <v>123</v>
      </c>
      <c r="E3647" t="s">
        <v>170</v>
      </c>
      <c r="F3647">
        <v>77</v>
      </c>
      <c r="G3647">
        <v>29</v>
      </c>
      <c r="H3647">
        <v>5</v>
      </c>
      <c r="I3647">
        <v>0</v>
      </c>
      <c r="J3647">
        <v>4330</v>
      </c>
      <c r="K3647">
        <v>1</v>
      </c>
      <c r="L3647">
        <v>4330</v>
      </c>
      <c r="M3647">
        <v>1</v>
      </c>
      <c r="N3647">
        <v>71</v>
      </c>
      <c r="O3647">
        <v>32</v>
      </c>
      <c r="P3647">
        <f t="shared" si="189"/>
        <v>2025</v>
      </c>
      <c r="Q3647">
        <f t="shared" si="190"/>
        <v>10</v>
      </c>
      <c r="R3647" t="str">
        <f t="shared" si="191"/>
        <v>店铺超链</v>
      </c>
      <c r="S3647" t="s">
        <v>784</v>
      </c>
      <c r="T3647" t="s">
        <v>805</v>
      </c>
    </row>
    <row r="3648" spans="1:20" x14ac:dyDescent="0.3">
      <c r="A3648" t="s">
        <v>627</v>
      </c>
      <c r="B3648" s="16">
        <v>45950</v>
      </c>
      <c r="C3648" t="s">
        <v>3</v>
      </c>
      <c r="D3648" t="s">
        <v>127</v>
      </c>
      <c r="E3648" t="s">
        <v>171</v>
      </c>
      <c r="F3648">
        <v>853</v>
      </c>
      <c r="G3648">
        <v>331</v>
      </c>
      <c r="H3648">
        <v>41</v>
      </c>
      <c r="I3648">
        <v>13</v>
      </c>
      <c r="J3648">
        <v>91085</v>
      </c>
      <c r="K3648">
        <v>18</v>
      </c>
      <c r="L3648">
        <v>53145</v>
      </c>
      <c r="M3648">
        <v>14</v>
      </c>
      <c r="N3648">
        <v>167</v>
      </c>
      <c r="O3648">
        <v>810</v>
      </c>
      <c r="P3648">
        <f t="shared" si="189"/>
        <v>2025</v>
      </c>
      <c r="Q3648">
        <f t="shared" si="190"/>
        <v>10</v>
      </c>
      <c r="R3648" t="str">
        <f t="shared" si="191"/>
        <v>其他猜你喜欢</v>
      </c>
      <c r="S3648" t="s">
        <v>784</v>
      </c>
      <c r="T3648" t="s">
        <v>805</v>
      </c>
    </row>
    <row r="3649" spans="1:20" x14ac:dyDescent="0.3">
      <c r="A3649" t="s">
        <v>627</v>
      </c>
      <c r="B3649" s="16">
        <v>45950</v>
      </c>
      <c r="C3649" t="s">
        <v>3</v>
      </c>
      <c r="D3649" t="s">
        <v>127</v>
      </c>
      <c r="E3649" t="s">
        <v>172</v>
      </c>
      <c r="F3649">
        <v>151</v>
      </c>
      <c r="G3649">
        <v>53</v>
      </c>
      <c r="H3649">
        <v>9</v>
      </c>
      <c r="I3649">
        <v>2</v>
      </c>
      <c r="J3649">
        <v>1990</v>
      </c>
      <c r="K3649">
        <v>1</v>
      </c>
      <c r="L3649">
        <v>1990</v>
      </c>
      <c r="M3649">
        <v>1</v>
      </c>
      <c r="N3649">
        <v>18</v>
      </c>
      <c r="O3649">
        <v>151</v>
      </c>
      <c r="P3649">
        <f t="shared" si="189"/>
        <v>2025</v>
      </c>
      <c r="Q3649">
        <f t="shared" si="190"/>
        <v>10</v>
      </c>
      <c r="R3649" t="str">
        <f t="shared" si="191"/>
        <v>购中推荐</v>
      </c>
      <c r="S3649" t="s">
        <v>784</v>
      </c>
      <c r="T3649" t="s">
        <v>805</v>
      </c>
    </row>
    <row r="3650" spans="1:20" x14ac:dyDescent="0.3">
      <c r="A3650" t="s">
        <v>627</v>
      </c>
      <c r="B3650" s="16">
        <v>45950</v>
      </c>
      <c r="C3650" t="s">
        <v>3</v>
      </c>
      <c r="D3650" t="s">
        <v>127</v>
      </c>
      <c r="E3650" t="s">
        <v>173</v>
      </c>
      <c r="F3650">
        <v>515</v>
      </c>
      <c r="G3650">
        <v>160</v>
      </c>
      <c r="H3650">
        <v>24</v>
      </c>
      <c r="I3650">
        <v>6</v>
      </c>
      <c r="J3650">
        <v>49675</v>
      </c>
      <c r="K3650">
        <v>10</v>
      </c>
      <c r="L3650">
        <v>42475</v>
      </c>
      <c r="M3650">
        <v>9</v>
      </c>
      <c r="N3650">
        <v>47</v>
      </c>
      <c r="O3650">
        <v>513</v>
      </c>
      <c r="P3650">
        <f t="shared" si="189"/>
        <v>2025</v>
      </c>
      <c r="Q3650">
        <f t="shared" si="190"/>
        <v>10</v>
      </c>
      <c r="R3650" t="str">
        <f t="shared" si="191"/>
        <v>购后推荐</v>
      </c>
      <c r="S3650" t="s">
        <v>784</v>
      </c>
      <c r="T3650" t="s">
        <v>805</v>
      </c>
    </row>
    <row r="3651" spans="1:20" x14ac:dyDescent="0.3">
      <c r="A3651" t="s">
        <v>627</v>
      </c>
      <c r="B3651" s="16">
        <v>45950</v>
      </c>
      <c r="C3651" t="s">
        <v>3</v>
      </c>
      <c r="D3651" t="s">
        <v>127</v>
      </c>
      <c r="E3651" t="s">
        <v>174</v>
      </c>
      <c r="F3651">
        <v>5910</v>
      </c>
      <c r="G3651">
        <v>3007</v>
      </c>
      <c r="H3651">
        <v>118</v>
      </c>
      <c r="I3651">
        <v>35</v>
      </c>
      <c r="J3651">
        <v>128800.65</v>
      </c>
      <c r="K3651">
        <v>31</v>
      </c>
      <c r="L3651">
        <v>114830.65</v>
      </c>
      <c r="M3651">
        <v>28</v>
      </c>
      <c r="N3651">
        <v>541</v>
      </c>
      <c r="O3651">
        <v>5910</v>
      </c>
      <c r="P3651">
        <f t="shared" si="189"/>
        <v>2025</v>
      </c>
      <c r="Q3651">
        <f t="shared" si="190"/>
        <v>10</v>
      </c>
      <c r="R3651" t="str">
        <f t="shared" si="191"/>
        <v>首页推荐-微详情</v>
      </c>
      <c r="S3651" t="s">
        <v>784</v>
      </c>
      <c r="T3651" t="s">
        <v>805</v>
      </c>
    </row>
    <row r="3652" spans="1:20" x14ac:dyDescent="0.3">
      <c r="A3652" t="s">
        <v>627</v>
      </c>
      <c r="B3652" s="16">
        <v>45950</v>
      </c>
      <c r="C3652" t="s">
        <v>3</v>
      </c>
      <c r="D3652" t="s">
        <v>127</v>
      </c>
      <c r="E3652" t="s">
        <v>175</v>
      </c>
      <c r="F3652">
        <v>220</v>
      </c>
      <c r="G3652">
        <v>146</v>
      </c>
      <c r="H3652">
        <v>2</v>
      </c>
      <c r="I3652">
        <v>0</v>
      </c>
      <c r="J3652">
        <v>16570</v>
      </c>
      <c r="K3652">
        <v>4</v>
      </c>
      <c r="L3652">
        <v>16570</v>
      </c>
      <c r="M3652">
        <v>4</v>
      </c>
      <c r="N3652">
        <v>10</v>
      </c>
      <c r="O3652">
        <v>139</v>
      </c>
      <c r="P3652">
        <f t="shared" si="189"/>
        <v>2025</v>
      </c>
      <c r="Q3652">
        <f t="shared" si="190"/>
        <v>10</v>
      </c>
      <c r="R3652" t="str">
        <f t="shared" si="191"/>
        <v>首页推荐-直播</v>
      </c>
      <c r="S3652" t="s">
        <v>784</v>
      </c>
      <c r="T3652" t="s">
        <v>805</v>
      </c>
    </row>
    <row r="3653" spans="1:20" x14ac:dyDescent="0.3">
      <c r="A3653" t="s">
        <v>627</v>
      </c>
      <c r="B3653" s="16">
        <v>45950</v>
      </c>
      <c r="C3653" t="s">
        <v>3</v>
      </c>
      <c r="D3653" t="s">
        <v>127</v>
      </c>
      <c r="E3653" t="s">
        <v>176</v>
      </c>
      <c r="F3653">
        <v>65</v>
      </c>
      <c r="G3653">
        <v>41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10</v>
      </c>
      <c r="P3653">
        <f t="shared" si="189"/>
        <v>2025</v>
      </c>
      <c r="Q3653">
        <f t="shared" si="190"/>
        <v>10</v>
      </c>
      <c r="R3653" t="str">
        <f t="shared" si="191"/>
        <v>首页推荐-短视频</v>
      </c>
      <c r="S3653" t="s">
        <v>784</v>
      </c>
      <c r="T3653" t="s">
        <v>805</v>
      </c>
    </row>
    <row r="3654" spans="1:20" x14ac:dyDescent="0.3">
      <c r="A3654" t="s">
        <v>627</v>
      </c>
      <c r="B3654" s="16">
        <v>45950</v>
      </c>
      <c r="C3654" t="s">
        <v>3</v>
      </c>
      <c r="D3654" t="s">
        <v>128</v>
      </c>
      <c r="E3654" t="s">
        <v>177</v>
      </c>
      <c r="F3654">
        <v>1271</v>
      </c>
      <c r="G3654">
        <v>951</v>
      </c>
      <c r="H3654">
        <v>58</v>
      </c>
      <c r="I3654">
        <v>14</v>
      </c>
      <c r="J3654">
        <v>86705</v>
      </c>
      <c r="K3654">
        <v>18</v>
      </c>
      <c r="L3654">
        <v>75530</v>
      </c>
      <c r="M3654">
        <v>14</v>
      </c>
      <c r="N3654">
        <v>270</v>
      </c>
      <c r="O3654">
        <v>1195</v>
      </c>
      <c r="P3654">
        <f t="shared" si="189"/>
        <v>2025</v>
      </c>
      <c r="Q3654">
        <f t="shared" si="190"/>
        <v>10</v>
      </c>
      <c r="R3654" t="str">
        <f t="shared" si="191"/>
        <v>手淘搜索-商品及其他</v>
      </c>
      <c r="S3654" t="s">
        <v>784</v>
      </c>
      <c r="T3654" t="s">
        <v>805</v>
      </c>
    </row>
    <row r="3655" spans="1:20" x14ac:dyDescent="0.3">
      <c r="A3655" t="s">
        <v>627</v>
      </c>
      <c r="B3655" s="16">
        <v>45950</v>
      </c>
      <c r="C3655" t="s">
        <v>3</v>
      </c>
      <c r="D3655" t="s">
        <v>128</v>
      </c>
      <c r="E3655" t="s">
        <v>178</v>
      </c>
      <c r="F3655">
        <v>19</v>
      </c>
      <c r="G3655">
        <v>11</v>
      </c>
      <c r="H3655">
        <v>2</v>
      </c>
      <c r="I3655">
        <v>1</v>
      </c>
      <c r="J3655">
        <v>0</v>
      </c>
      <c r="K3655">
        <v>0</v>
      </c>
      <c r="L3655">
        <v>0</v>
      </c>
      <c r="M3655">
        <v>0</v>
      </c>
      <c r="N3655">
        <v>2</v>
      </c>
      <c r="O3655">
        <v>18</v>
      </c>
      <c r="P3655">
        <f t="shared" si="189"/>
        <v>2025</v>
      </c>
      <c r="Q3655">
        <f t="shared" si="190"/>
        <v>10</v>
      </c>
      <c r="R3655" t="str">
        <f t="shared" si="191"/>
        <v>手淘搜索-直播</v>
      </c>
      <c r="S3655" t="s">
        <v>784</v>
      </c>
      <c r="T3655" t="s">
        <v>805</v>
      </c>
    </row>
    <row r="3656" spans="1:20" x14ac:dyDescent="0.3">
      <c r="A3656" t="s">
        <v>627</v>
      </c>
      <c r="B3656" s="16">
        <v>45950</v>
      </c>
      <c r="C3656" t="s">
        <v>3</v>
      </c>
      <c r="D3656" t="s">
        <v>128</v>
      </c>
      <c r="E3656" t="s">
        <v>179</v>
      </c>
      <c r="F3656">
        <v>12</v>
      </c>
      <c r="G3656">
        <v>9</v>
      </c>
      <c r="H3656">
        <v>0</v>
      </c>
      <c r="I3656">
        <v>1</v>
      </c>
      <c r="J3656">
        <v>4695</v>
      </c>
      <c r="K3656">
        <v>1</v>
      </c>
      <c r="L3656">
        <v>4695</v>
      </c>
      <c r="M3656">
        <v>1</v>
      </c>
      <c r="N3656">
        <v>0</v>
      </c>
      <c r="O3656">
        <v>12</v>
      </c>
      <c r="P3656">
        <f t="shared" si="189"/>
        <v>2025</v>
      </c>
      <c r="Q3656">
        <f t="shared" si="190"/>
        <v>10</v>
      </c>
      <c r="R3656" t="str">
        <f t="shared" si="191"/>
        <v>手淘搜索-短视频</v>
      </c>
      <c r="S3656" t="s">
        <v>784</v>
      </c>
      <c r="T3656" t="s">
        <v>805</v>
      </c>
    </row>
    <row r="3657" spans="1:20" x14ac:dyDescent="0.3">
      <c r="A3657" t="s">
        <v>627</v>
      </c>
      <c r="B3657" s="16">
        <v>45950</v>
      </c>
      <c r="C3657" t="s">
        <v>2</v>
      </c>
      <c r="D3657" t="s">
        <v>55</v>
      </c>
      <c r="E3657" t="s">
        <v>66</v>
      </c>
      <c r="F3657">
        <v>18</v>
      </c>
      <c r="G3657">
        <v>13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f t="shared" si="189"/>
        <v>2025</v>
      </c>
      <c r="Q3657">
        <f t="shared" si="190"/>
        <v>10</v>
      </c>
      <c r="R3657" t="str">
        <f t="shared" si="191"/>
        <v>短直联动</v>
      </c>
      <c r="S3657" t="s">
        <v>784</v>
      </c>
      <c r="T3657" t="s">
        <v>805</v>
      </c>
    </row>
    <row r="3658" spans="1:20" x14ac:dyDescent="0.3">
      <c r="A3658" t="s">
        <v>627</v>
      </c>
      <c r="B3658" s="16">
        <v>45950</v>
      </c>
      <c r="C3658" t="s">
        <v>2</v>
      </c>
      <c r="D3658" t="s">
        <v>55</v>
      </c>
      <c r="E3658" t="s">
        <v>54</v>
      </c>
      <c r="F3658">
        <v>1617</v>
      </c>
      <c r="G3658">
        <v>998</v>
      </c>
      <c r="H3658">
        <v>37</v>
      </c>
      <c r="I3658">
        <v>1</v>
      </c>
      <c r="J3658">
        <v>0</v>
      </c>
      <c r="K3658">
        <v>0</v>
      </c>
      <c r="L3658">
        <v>0</v>
      </c>
      <c r="M3658">
        <v>0</v>
      </c>
      <c r="N3658">
        <v>63</v>
      </c>
      <c r="O3658">
        <v>482</v>
      </c>
      <c r="P3658">
        <f t="shared" si="189"/>
        <v>2025</v>
      </c>
      <c r="Q3658">
        <f t="shared" si="190"/>
        <v>10</v>
      </c>
      <c r="R3658" t="str">
        <f t="shared" si="191"/>
        <v>超级直播</v>
      </c>
      <c r="S3658" t="s">
        <v>784</v>
      </c>
      <c r="T3658" t="s">
        <v>805</v>
      </c>
    </row>
    <row r="3659" spans="1:20" x14ac:dyDescent="0.3">
      <c r="A3659" t="s">
        <v>627</v>
      </c>
      <c r="B3659" s="16">
        <v>45950</v>
      </c>
      <c r="C3659" t="s">
        <v>2</v>
      </c>
      <c r="D3659" t="s">
        <v>55</v>
      </c>
      <c r="E3659" t="s">
        <v>56</v>
      </c>
      <c r="F3659">
        <v>474</v>
      </c>
      <c r="G3659">
        <v>278</v>
      </c>
      <c r="H3659">
        <v>1</v>
      </c>
      <c r="I3659">
        <v>2</v>
      </c>
      <c r="J3659">
        <v>0</v>
      </c>
      <c r="K3659">
        <v>0</v>
      </c>
      <c r="L3659">
        <v>0</v>
      </c>
      <c r="M3659">
        <v>0</v>
      </c>
      <c r="N3659">
        <v>6</v>
      </c>
      <c r="O3659">
        <v>308</v>
      </c>
      <c r="P3659">
        <f t="shared" si="189"/>
        <v>2025</v>
      </c>
      <c r="Q3659">
        <f t="shared" si="190"/>
        <v>10</v>
      </c>
      <c r="R3659" t="str">
        <f t="shared" si="191"/>
        <v>超级短视频</v>
      </c>
      <c r="S3659" t="s">
        <v>784</v>
      </c>
      <c r="T3659" t="s">
        <v>805</v>
      </c>
    </row>
    <row r="3660" spans="1:20" x14ac:dyDescent="0.3">
      <c r="A3660" t="s">
        <v>627</v>
      </c>
      <c r="B3660" s="16">
        <v>45950</v>
      </c>
      <c r="C3660" t="s">
        <v>2</v>
      </c>
      <c r="D3660" t="s">
        <v>52</v>
      </c>
      <c r="E3660" t="s">
        <v>183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1</v>
      </c>
      <c r="O3660">
        <v>0</v>
      </c>
      <c r="P3660">
        <f t="shared" si="189"/>
        <v>2025</v>
      </c>
      <c r="Q3660">
        <f t="shared" si="190"/>
        <v>10</v>
      </c>
      <c r="R3660" t="str">
        <f t="shared" si="191"/>
        <v>品销宝-品牌专区</v>
      </c>
      <c r="S3660" t="s">
        <v>784</v>
      </c>
      <c r="T3660" t="s">
        <v>805</v>
      </c>
    </row>
    <row r="3661" spans="1:20" x14ac:dyDescent="0.3">
      <c r="A3661" t="s">
        <v>627</v>
      </c>
      <c r="B3661" s="16">
        <v>45950</v>
      </c>
      <c r="C3661" t="s">
        <v>2</v>
      </c>
      <c r="D3661" t="s">
        <v>57</v>
      </c>
      <c r="E3661" t="s">
        <v>63</v>
      </c>
      <c r="F3661">
        <v>850</v>
      </c>
      <c r="G3661">
        <v>689</v>
      </c>
      <c r="H3661">
        <v>37</v>
      </c>
      <c r="I3661">
        <v>10</v>
      </c>
      <c r="J3661">
        <v>134060</v>
      </c>
      <c r="K3661">
        <v>15</v>
      </c>
      <c r="L3661">
        <v>81330</v>
      </c>
      <c r="M3661">
        <v>13</v>
      </c>
      <c r="N3661">
        <v>850</v>
      </c>
      <c r="O3661">
        <v>431</v>
      </c>
      <c r="P3661">
        <f t="shared" si="189"/>
        <v>2025</v>
      </c>
      <c r="Q3661">
        <f t="shared" si="190"/>
        <v>10</v>
      </c>
      <c r="R3661" t="str">
        <f t="shared" si="191"/>
        <v>万相台</v>
      </c>
      <c r="S3661" t="s">
        <v>784</v>
      </c>
      <c r="T3661" t="s">
        <v>805</v>
      </c>
    </row>
    <row r="3662" spans="1:20" x14ac:dyDescent="0.3">
      <c r="A3662" t="s">
        <v>627</v>
      </c>
      <c r="B3662" s="16">
        <v>45950</v>
      </c>
      <c r="C3662" t="s">
        <v>2</v>
      </c>
      <c r="D3662" t="s">
        <v>57</v>
      </c>
      <c r="E3662" t="s">
        <v>64</v>
      </c>
      <c r="F3662">
        <v>34925</v>
      </c>
      <c r="G3662">
        <v>18729</v>
      </c>
      <c r="H3662">
        <v>234</v>
      </c>
      <c r="I3662">
        <v>246</v>
      </c>
      <c r="J3662">
        <v>396936.34</v>
      </c>
      <c r="K3662">
        <v>62</v>
      </c>
      <c r="L3662">
        <v>343866.34</v>
      </c>
      <c r="M3662">
        <v>58</v>
      </c>
      <c r="N3662">
        <v>887</v>
      </c>
      <c r="O3662">
        <v>34921</v>
      </c>
      <c r="P3662">
        <f t="shared" si="189"/>
        <v>2025</v>
      </c>
      <c r="Q3662">
        <f t="shared" si="190"/>
        <v>10</v>
      </c>
      <c r="R3662" t="str">
        <f t="shared" si="191"/>
        <v>引力魔方</v>
      </c>
      <c r="S3662" t="s">
        <v>784</v>
      </c>
      <c r="T3662" t="s">
        <v>805</v>
      </c>
    </row>
    <row r="3663" spans="1:20" x14ac:dyDescent="0.3">
      <c r="A3663" t="s">
        <v>627</v>
      </c>
      <c r="B3663" s="16">
        <v>45950</v>
      </c>
      <c r="C3663" t="s">
        <v>2</v>
      </c>
      <c r="D3663" t="s">
        <v>57</v>
      </c>
      <c r="E3663" t="s">
        <v>65</v>
      </c>
      <c r="F3663">
        <v>6569</v>
      </c>
      <c r="G3663">
        <v>5594</v>
      </c>
      <c r="H3663">
        <v>46</v>
      </c>
      <c r="I3663">
        <v>27</v>
      </c>
      <c r="J3663">
        <v>104355</v>
      </c>
      <c r="K3663">
        <v>13</v>
      </c>
      <c r="L3663">
        <v>55020</v>
      </c>
      <c r="M3663">
        <v>9</v>
      </c>
      <c r="N3663">
        <v>389</v>
      </c>
      <c r="O3663">
        <v>6486</v>
      </c>
      <c r="P3663">
        <f t="shared" si="189"/>
        <v>2025</v>
      </c>
      <c r="Q3663">
        <f t="shared" si="190"/>
        <v>10</v>
      </c>
      <c r="R3663" t="str">
        <f t="shared" si="191"/>
        <v>直通车</v>
      </c>
      <c r="S3663" t="s">
        <v>784</v>
      </c>
      <c r="T3663" t="s">
        <v>805</v>
      </c>
    </row>
    <row r="3664" spans="1:20" x14ac:dyDescent="0.3">
      <c r="A3664" t="s">
        <v>627</v>
      </c>
      <c r="B3664" s="16">
        <v>45950</v>
      </c>
      <c r="C3664" t="s">
        <v>2</v>
      </c>
      <c r="D3664" t="s">
        <v>4</v>
      </c>
      <c r="E3664" t="s">
        <v>41</v>
      </c>
      <c r="F3664">
        <v>9</v>
      </c>
      <c r="G3664">
        <v>3</v>
      </c>
      <c r="H3664">
        <v>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2</v>
      </c>
      <c r="O3664">
        <v>9</v>
      </c>
      <c r="P3664">
        <f t="shared" si="189"/>
        <v>2025</v>
      </c>
      <c r="Q3664">
        <f t="shared" si="190"/>
        <v>10</v>
      </c>
      <c r="R3664" t="str">
        <f t="shared" si="191"/>
        <v>流量宝</v>
      </c>
      <c r="S3664" t="s">
        <v>784</v>
      </c>
      <c r="T3664" t="s">
        <v>805</v>
      </c>
    </row>
    <row r="3665" spans="1:20" x14ac:dyDescent="0.3">
      <c r="A3665" t="s">
        <v>627</v>
      </c>
      <c r="B3665" s="16">
        <v>45950</v>
      </c>
      <c r="C3665" t="s">
        <v>2</v>
      </c>
      <c r="D3665" t="s">
        <v>4</v>
      </c>
      <c r="E3665" t="s">
        <v>43</v>
      </c>
      <c r="F3665">
        <v>545</v>
      </c>
      <c r="G3665">
        <v>189</v>
      </c>
      <c r="H3665">
        <v>8</v>
      </c>
      <c r="I3665">
        <v>2</v>
      </c>
      <c r="J3665">
        <v>60267.87</v>
      </c>
      <c r="K3665">
        <v>7</v>
      </c>
      <c r="L3665">
        <v>55040</v>
      </c>
      <c r="M3665">
        <v>7</v>
      </c>
      <c r="N3665">
        <v>6</v>
      </c>
      <c r="O3665">
        <v>540</v>
      </c>
      <c r="P3665">
        <f t="shared" si="189"/>
        <v>2025</v>
      </c>
      <c r="Q3665">
        <f t="shared" si="190"/>
        <v>10</v>
      </c>
      <c r="R3665" t="str">
        <f t="shared" si="191"/>
        <v>淘宝客</v>
      </c>
      <c r="S3665" t="s">
        <v>784</v>
      </c>
      <c r="T3665" t="s">
        <v>805</v>
      </c>
    </row>
    <row r="3666" spans="1:20" x14ac:dyDescent="0.3">
      <c r="A3666" t="s">
        <v>627</v>
      </c>
      <c r="B3666" s="16">
        <v>45949</v>
      </c>
      <c r="C3666" t="s">
        <v>3</v>
      </c>
      <c r="D3666" t="s">
        <v>114</v>
      </c>
      <c r="E3666" t="s">
        <v>159</v>
      </c>
      <c r="F3666">
        <v>144</v>
      </c>
      <c r="G3666">
        <v>59</v>
      </c>
      <c r="H3666">
        <v>5</v>
      </c>
      <c r="I3666">
        <v>3</v>
      </c>
      <c r="J3666">
        <v>0</v>
      </c>
      <c r="K3666">
        <v>0</v>
      </c>
      <c r="L3666">
        <v>0</v>
      </c>
      <c r="M3666">
        <v>0</v>
      </c>
      <c r="N3666">
        <v>24</v>
      </c>
      <c r="O3666">
        <v>137</v>
      </c>
      <c r="P3666">
        <f t="shared" si="189"/>
        <v>2025</v>
      </c>
      <c r="Q3666">
        <f t="shared" si="190"/>
        <v>10</v>
      </c>
      <c r="R3666" t="str">
        <f t="shared" si="191"/>
        <v>主会场</v>
      </c>
      <c r="S3666" t="s">
        <v>784</v>
      </c>
      <c r="T3666" t="s">
        <v>805</v>
      </c>
    </row>
    <row r="3667" spans="1:20" x14ac:dyDescent="0.3">
      <c r="A3667" t="s">
        <v>627</v>
      </c>
      <c r="B3667" s="16">
        <v>45949</v>
      </c>
      <c r="C3667" t="s">
        <v>3</v>
      </c>
      <c r="D3667" t="s">
        <v>123</v>
      </c>
      <c r="E3667" t="s">
        <v>170</v>
      </c>
      <c r="F3667">
        <v>51</v>
      </c>
      <c r="G3667">
        <v>28</v>
      </c>
      <c r="H3667">
        <v>2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46</v>
      </c>
      <c r="O3667">
        <v>28</v>
      </c>
      <c r="P3667">
        <f t="shared" si="189"/>
        <v>2025</v>
      </c>
      <c r="Q3667">
        <f t="shared" si="190"/>
        <v>10</v>
      </c>
      <c r="R3667" t="str">
        <f t="shared" si="191"/>
        <v>店铺超链</v>
      </c>
      <c r="S3667" t="s">
        <v>784</v>
      </c>
      <c r="T3667" t="s">
        <v>805</v>
      </c>
    </row>
    <row r="3668" spans="1:20" x14ac:dyDescent="0.3">
      <c r="A3668" t="s">
        <v>627</v>
      </c>
      <c r="B3668" s="16">
        <v>45949</v>
      </c>
      <c r="C3668" t="s">
        <v>3</v>
      </c>
      <c r="D3668" t="s">
        <v>127</v>
      </c>
      <c r="E3668" t="s">
        <v>171</v>
      </c>
      <c r="F3668">
        <v>821</v>
      </c>
      <c r="G3668">
        <v>365</v>
      </c>
      <c r="H3668">
        <v>36</v>
      </c>
      <c r="I3668">
        <v>21</v>
      </c>
      <c r="J3668">
        <v>24405</v>
      </c>
      <c r="K3668">
        <v>3</v>
      </c>
      <c r="L3668">
        <v>19730</v>
      </c>
      <c r="M3668">
        <v>2</v>
      </c>
      <c r="N3668">
        <v>161</v>
      </c>
      <c r="O3668">
        <v>794</v>
      </c>
      <c r="P3668">
        <f t="shared" si="189"/>
        <v>2025</v>
      </c>
      <c r="Q3668">
        <f t="shared" si="190"/>
        <v>10</v>
      </c>
      <c r="R3668" t="str">
        <f t="shared" si="191"/>
        <v>其他猜你喜欢</v>
      </c>
      <c r="S3668" t="s">
        <v>784</v>
      </c>
      <c r="T3668" t="s">
        <v>805</v>
      </c>
    </row>
    <row r="3669" spans="1:20" x14ac:dyDescent="0.3">
      <c r="A3669" t="s">
        <v>627</v>
      </c>
      <c r="B3669" s="16">
        <v>45949</v>
      </c>
      <c r="C3669" t="s">
        <v>3</v>
      </c>
      <c r="D3669" t="s">
        <v>127</v>
      </c>
      <c r="E3669" t="s">
        <v>172</v>
      </c>
      <c r="F3669">
        <v>110</v>
      </c>
      <c r="G3669">
        <v>50</v>
      </c>
      <c r="H3669">
        <v>4</v>
      </c>
      <c r="I3669">
        <v>1</v>
      </c>
      <c r="J3669">
        <v>0</v>
      </c>
      <c r="K3669">
        <v>0</v>
      </c>
      <c r="L3669">
        <v>0</v>
      </c>
      <c r="M3669">
        <v>0</v>
      </c>
      <c r="N3669">
        <v>14</v>
      </c>
      <c r="O3669">
        <v>88</v>
      </c>
      <c r="P3669">
        <f t="shared" si="189"/>
        <v>2025</v>
      </c>
      <c r="Q3669">
        <f t="shared" si="190"/>
        <v>10</v>
      </c>
      <c r="R3669" t="str">
        <f t="shared" si="191"/>
        <v>购中推荐</v>
      </c>
      <c r="S3669" t="s">
        <v>784</v>
      </c>
      <c r="T3669" t="s">
        <v>805</v>
      </c>
    </row>
    <row r="3670" spans="1:20" x14ac:dyDescent="0.3">
      <c r="A3670" t="s">
        <v>627</v>
      </c>
      <c r="B3670" s="16">
        <v>45949</v>
      </c>
      <c r="C3670" t="s">
        <v>3</v>
      </c>
      <c r="D3670" t="s">
        <v>127</v>
      </c>
      <c r="E3670" t="s">
        <v>173</v>
      </c>
      <c r="F3670">
        <v>398</v>
      </c>
      <c r="G3670">
        <v>187</v>
      </c>
      <c r="H3670">
        <v>9</v>
      </c>
      <c r="I3670">
        <v>2</v>
      </c>
      <c r="J3670">
        <v>5400</v>
      </c>
      <c r="K3670">
        <v>1</v>
      </c>
      <c r="L3670">
        <v>5400</v>
      </c>
      <c r="M3670">
        <v>1</v>
      </c>
      <c r="N3670">
        <v>30</v>
      </c>
      <c r="O3670">
        <v>328</v>
      </c>
      <c r="P3670">
        <f t="shared" si="189"/>
        <v>2025</v>
      </c>
      <c r="Q3670">
        <f t="shared" si="190"/>
        <v>10</v>
      </c>
      <c r="R3670" t="str">
        <f t="shared" si="191"/>
        <v>购后推荐</v>
      </c>
      <c r="S3670" t="s">
        <v>784</v>
      </c>
      <c r="T3670" t="s">
        <v>805</v>
      </c>
    </row>
    <row r="3671" spans="1:20" x14ac:dyDescent="0.3">
      <c r="A3671" t="s">
        <v>627</v>
      </c>
      <c r="B3671" s="16">
        <v>45949</v>
      </c>
      <c r="C3671" t="s">
        <v>3</v>
      </c>
      <c r="D3671" t="s">
        <v>127</v>
      </c>
      <c r="E3671" t="s">
        <v>174</v>
      </c>
      <c r="F3671">
        <v>4374</v>
      </c>
      <c r="G3671">
        <v>2107</v>
      </c>
      <c r="H3671">
        <v>88</v>
      </c>
      <c r="I3671">
        <v>26</v>
      </c>
      <c r="J3671">
        <v>40135</v>
      </c>
      <c r="K3671">
        <v>3</v>
      </c>
      <c r="L3671">
        <v>24635</v>
      </c>
      <c r="M3671">
        <v>2</v>
      </c>
      <c r="N3671">
        <v>312</v>
      </c>
      <c r="O3671">
        <v>4374</v>
      </c>
      <c r="P3671">
        <f t="shared" si="189"/>
        <v>2025</v>
      </c>
      <c r="Q3671">
        <f t="shared" si="190"/>
        <v>10</v>
      </c>
      <c r="R3671" t="str">
        <f t="shared" si="191"/>
        <v>首页推荐-微详情</v>
      </c>
      <c r="S3671" t="s">
        <v>784</v>
      </c>
      <c r="T3671" t="s">
        <v>805</v>
      </c>
    </row>
    <row r="3672" spans="1:20" x14ac:dyDescent="0.3">
      <c r="A3672" t="s">
        <v>627</v>
      </c>
      <c r="B3672" s="16">
        <v>45949</v>
      </c>
      <c r="C3672" t="s">
        <v>3</v>
      </c>
      <c r="D3672" t="s">
        <v>127</v>
      </c>
      <c r="E3672" t="s">
        <v>176</v>
      </c>
      <c r="F3672">
        <v>136</v>
      </c>
      <c r="G3672">
        <v>102</v>
      </c>
      <c r="H3672">
        <v>2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11</v>
      </c>
      <c r="P3672">
        <f t="shared" si="189"/>
        <v>2025</v>
      </c>
      <c r="Q3672">
        <f t="shared" si="190"/>
        <v>10</v>
      </c>
      <c r="R3672" t="str">
        <f t="shared" si="191"/>
        <v>首页推荐-短视频</v>
      </c>
      <c r="S3672" t="s">
        <v>784</v>
      </c>
      <c r="T3672" t="s">
        <v>805</v>
      </c>
    </row>
    <row r="3673" spans="1:20" x14ac:dyDescent="0.3">
      <c r="A3673" t="s">
        <v>627</v>
      </c>
      <c r="B3673" s="16">
        <v>45949</v>
      </c>
      <c r="C3673" t="s">
        <v>3</v>
      </c>
      <c r="D3673" t="s">
        <v>128</v>
      </c>
      <c r="E3673" t="s">
        <v>177</v>
      </c>
      <c r="F3673">
        <v>879</v>
      </c>
      <c r="G3673">
        <v>626</v>
      </c>
      <c r="H3673">
        <v>44</v>
      </c>
      <c r="I3673">
        <v>6</v>
      </c>
      <c r="J3673">
        <v>32220</v>
      </c>
      <c r="K3673">
        <v>4</v>
      </c>
      <c r="L3673">
        <v>7990</v>
      </c>
      <c r="M3673">
        <v>1</v>
      </c>
      <c r="N3673">
        <v>239</v>
      </c>
      <c r="O3673">
        <v>808</v>
      </c>
      <c r="P3673">
        <f t="shared" si="189"/>
        <v>2025</v>
      </c>
      <c r="Q3673">
        <f t="shared" si="190"/>
        <v>10</v>
      </c>
      <c r="R3673" t="str">
        <f t="shared" si="191"/>
        <v>手淘搜索-商品及其他</v>
      </c>
      <c r="S3673" t="s">
        <v>784</v>
      </c>
      <c r="T3673" t="s">
        <v>805</v>
      </c>
    </row>
    <row r="3674" spans="1:20" x14ac:dyDescent="0.3">
      <c r="A3674" t="s">
        <v>627</v>
      </c>
      <c r="B3674" s="16">
        <v>45949</v>
      </c>
      <c r="C3674" t="s">
        <v>3</v>
      </c>
      <c r="D3674" t="s">
        <v>128</v>
      </c>
      <c r="E3674" t="s">
        <v>179</v>
      </c>
      <c r="F3674">
        <v>10</v>
      </c>
      <c r="G3674">
        <v>6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9</v>
      </c>
      <c r="P3674">
        <f t="shared" si="189"/>
        <v>2025</v>
      </c>
      <c r="Q3674">
        <f t="shared" si="190"/>
        <v>10</v>
      </c>
      <c r="R3674" t="str">
        <f t="shared" si="191"/>
        <v>手淘搜索-短视频</v>
      </c>
      <c r="S3674" t="s">
        <v>784</v>
      </c>
      <c r="T3674" t="s">
        <v>805</v>
      </c>
    </row>
    <row r="3675" spans="1:20" x14ac:dyDescent="0.3">
      <c r="A3675" t="s">
        <v>627</v>
      </c>
      <c r="B3675" s="16">
        <v>45949</v>
      </c>
      <c r="C3675" t="s">
        <v>2</v>
      </c>
      <c r="D3675" t="s">
        <v>55</v>
      </c>
      <c r="E3675" t="s">
        <v>54</v>
      </c>
      <c r="F3675">
        <v>7</v>
      </c>
      <c r="G3675">
        <v>2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4</v>
      </c>
      <c r="P3675">
        <f t="shared" si="189"/>
        <v>2025</v>
      </c>
      <c r="Q3675">
        <f t="shared" si="190"/>
        <v>10</v>
      </c>
      <c r="R3675" t="str">
        <f t="shared" si="191"/>
        <v>超级直播</v>
      </c>
      <c r="S3675" t="s">
        <v>784</v>
      </c>
      <c r="T3675" t="s">
        <v>805</v>
      </c>
    </row>
    <row r="3676" spans="1:20" x14ac:dyDescent="0.3">
      <c r="A3676" t="s">
        <v>627</v>
      </c>
      <c r="B3676" s="16">
        <v>45949</v>
      </c>
      <c r="C3676" t="s">
        <v>2</v>
      </c>
      <c r="D3676" t="s">
        <v>55</v>
      </c>
      <c r="E3676" t="s">
        <v>56</v>
      </c>
      <c r="F3676">
        <v>736</v>
      </c>
      <c r="G3676">
        <v>331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11</v>
      </c>
      <c r="O3676">
        <v>432</v>
      </c>
      <c r="P3676">
        <f t="shared" si="189"/>
        <v>2025</v>
      </c>
      <c r="Q3676">
        <f t="shared" si="190"/>
        <v>10</v>
      </c>
      <c r="R3676" t="str">
        <f t="shared" si="191"/>
        <v>超级短视频</v>
      </c>
      <c r="S3676" t="s">
        <v>784</v>
      </c>
      <c r="T3676" t="s">
        <v>805</v>
      </c>
    </row>
    <row r="3677" spans="1:20" x14ac:dyDescent="0.3">
      <c r="A3677" t="s">
        <v>627</v>
      </c>
      <c r="B3677" s="16">
        <v>45949</v>
      </c>
      <c r="C3677" t="s">
        <v>2</v>
      </c>
      <c r="D3677" t="s">
        <v>52</v>
      </c>
      <c r="E3677" t="s">
        <v>58</v>
      </c>
      <c r="F3677">
        <v>1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1</v>
      </c>
      <c r="P3677">
        <f t="shared" si="189"/>
        <v>2025</v>
      </c>
      <c r="Q3677">
        <f t="shared" si="190"/>
        <v>10</v>
      </c>
      <c r="R3677" t="str">
        <f t="shared" si="191"/>
        <v>超级全域通</v>
      </c>
      <c r="S3677" t="s">
        <v>784</v>
      </c>
      <c r="T3677" t="s">
        <v>805</v>
      </c>
    </row>
    <row r="3678" spans="1:20" x14ac:dyDescent="0.3">
      <c r="A3678" t="s">
        <v>627</v>
      </c>
      <c r="B3678" s="16">
        <v>45949</v>
      </c>
      <c r="C3678" t="s">
        <v>2</v>
      </c>
      <c r="D3678" t="s">
        <v>57</v>
      </c>
      <c r="E3678" t="s">
        <v>63</v>
      </c>
      <c r="F3678">
        <v>814</v>
      </c>
      <c r="G3678">
        <v>673</v>
      </c>
      <c r="H3678">
        <v>27</v>
      </c>
      <c r="I3678">
        <v>6</v>
      </c>
      <c r="J3678">
        <v>21770</v>
      </c>
      <c r="K3678">
        <v>4</v>
      </c>
      <c r="L3678">
        <v>21770</v>
      </c>
      <c r="M3678">
        <v>4</v>
      </c>
      <c r="N3678">
        <v>813</v>
      </c>
      <c r="O3678">
        <v>400</v>
      </c>
      <c r="P3678">
        <f t="shared" si="189"/>
        <v>2025</v>
      </c>
      <c r="Q3678">
        <f t="shared" si="190"/>
        <v>10</v>
      </c>
      <c r="R3678" t="str">
        <f t="shared" si="191"/>
        <v>万相台</v>
      </c>
      <c r="S3678" t="s">
        <v>784</v>
      </c>
      <c r="T3678" t="s">
        <v>805</v>
      </c>
    </row>
    <row r="3679" spans="1:20" x14ac:dyDescent="0.3">
      <c r="A3679" t="s">
        <v>627</v>
      </c>
      <c r="B3679" s="16">
        <v>45949</v>
      </c>
      <c r="C3679" t="s">
        <v>2</v>
      </c>
      <c r="D3679" t="s">
        <v>57</v>
      </c>
      <c r="E3679" t="s">
        <v>64</v>
      </c>
      <c r="F3679">
        <v>46227</v>
      </c>
      <c r="G3679">
        <v>27200</v>
      </c>
      <c r="H3679">
        <v>309</v>
      </c>
      <c r="I3679">
        <v>389</v>
      </c>
      <c r="J3679">
        <v>34350</v>
      </c>
      <c r="K3679">
        <v>2</v>
      </c>
      <c r="L3679">
        <v>34350</v>
      </c>
      <c r="M3679">
        <v>2</v>
      </c>
      <c r="N3679">
        <v>1255</v>
      </c>
      <c r="O3679">
        <v>46227</v>
      </c>
      <c r="P3679">
        <f t="shared" si="189"/>
        <v>2025</v>
      </c>
      <c r="Q3679">
        <f t="shared" si="190"/>
        <v>10</v>
      </c>
      <c r="R3679" t="str">
        <f t="shared" si="191"/>
        <v>引力魔方</v>
      </c>
      <c r="S3679" t="s">
        <v>784</v>
      </c>
      <c r="T3679" t="s">
        <v>805</v>
      </c>
    </row>
    <row r="3680" spans="1:20" x14ac:dyDescent="0.3">
      <c r="A3680" t="s">
        <v>627</v>
      </c>
      <c r="B3680" s="16">
        <v>45949</v>
      </c>
      <c r="C3680" t="s">
        <v>2</v>
      </c>
      <c r="D3680" t="s">
        <v>57</v>
      </c>
      <c r="E3680" t="s">
        <v>65</v>
      </c>
      <c r="F3680">
        <v>7373</v>
      </c>
      <c r="G3680">
        <v>6339</v>
      </c>
      <c r="H3680">
        <v>51</v>
      </c>
      <c r="I3680">
        <v>29</v>
      </c>
      <c r="J3680">
        <v>64495</v>
      </c>
      <c r="K3680">
        <v>7</v>
      </c>
      <c r="L3680">
        <v>15740</v>
      </c>
      <c r="M3680">
        <v>1</v>
      </c>
      <c r="N3680">
        <v>438</v>
      </c>
      <c r="O3680">
        <v>7275</v>
      </c>
      <c r="P3680">
        <f t="shared" si="189"/>
        <v>2025</v>
      </c>
      <c r="Q3680">
        <f t="shared" si="190"/>
        <v>10</v>
      </c>
      <c r="R3680" t="str">
        <f t="shared" si="191"/>
        <v>直通车</v>
      </c>
      <c r="S3680" t="s">
        <v>784</v>
      </c>
      <c r="T3680" t="s">
        <v>805</v>
      </c>
    </row>
    <row r="3681" spans="1:20" x14ac:dyDescent="0.3">
      <c r="A3681" t="s">
        <v>627</v>
      </c>
      <c r="B3681" s="16">
        <v>45949</v>
      </c>
      <c r="C3681" t="s">
        <v>2</v>
      </c>
      <c r="D3681" t="s">
        <v>4</v>
      </c>
      <c r="E3681" t="s">
        <v>42</v>
      </c>
      <c r="F3681">
        <v>1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1</v>
      </c>
      <c r="O3681">
        <v>1</v>
      </c>
      <c r="P3681">
        <f t="shared" si="189"/>
        <v>2025</v>
      </c>
      <c r="Q3681">
        <f t="shared" si="190"/>
        <v>10</v>
      </c>
      <c r="R3681" t="str">
        <f t="shared" si="191"/>
        <v>UD效果投放</v>
      </c>
      <c r="S3681" t="s">
        <v>784</v>
      </c>
      <c r="T3681" t="s">
        <v>805</v>
      </c>
    </row>
    <row r="3682" spans="1:20" x14ac:dyDescent="0.3">
      <c r="A3682" t="s">
        <v>627</v>
      </c>
      <c r="B3682" s="16">
        <v>45949</v>
      </c>
      <c r="C3682" t="s">
        <v>2</v>
      </c>
      <c r="D3682" t="s">
        <v>4</v>
      </c>
      <c r="E3682" t="s">
        <v>41</v>
      </c>
      <c r="F3682">
        <v>5</v>
      </c>
      <c r="G3682">
        <v>4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5</v>
      </c>
      <c r="P3682">
        <f t="shared" si="189"/>
        <v>2025</v>
      </c>
      <c r="Q3682">
        <f t="shared" si="190"/>
        <v>10</v>
      </c>
      <c r="R3682" t="str">
        <f t="shared" si="191"/>
        <v>流量宝</v>
      </c>
      <c r="S3682" t="s">
        <v>784</v>
      </c>
      <c r="T3682" t="s">
        <v>805</v>
      </c>
    </row>
    <row r="3683" spans="1:20" x14ac:dyDescent="0.3">
      <c r="A3683" t="s">
        <v>627</v>
      </c>
      <c r="B3683" s="16">
        <v>45949</v>
      </c>
      <c r="C3683" t="s">
        <v>2</v>
      </c>
      <c r="D3683" t="s">
        <v>4</v>
      </c>
      <c r="E3683" t="s">
        <v>43</v>
      </c>
      <c r="F3683">
        <v>514</v>
      </c>
      <c r="G3683">
        <v>157</v>
      </c>
      <c r="H3683">
        <v>4</v>
      </c>
      <c r="I3683">
        <v>3</v>
      </c>
      <c r="J3683">
        <v>0</v>
      </c>
      <c r="K3683">
        <v>0</v>
      </c>
      <c r="L3683">
        <v>0</v>
      </c>
      <c r="M3683">
        <v>0</v>
      </c>
      <c r="N3683">
        <v>3</v>
      </c>
      <c r="O3683">
        <v>514</v>
      </c>
      <c r="P3683">
        <f t="shared" si="189"/>
        <v>2025</v>
      </c>
      <c r="Q3683">
        <f t="shared" si="190"/>
        <v>10</v>
      </c>
      <c r="R3683" t="str">
        <f t="shared" si="191"/>
        <v>淘宝客</v>
      </c>
      <c r="S3683" t="s">
        <v>784</v>
      </c>
      <c r="T3683" t="s">
        <v>805</v>
      </c>
    </row>
    <row r="3684" spans="1:20" x14ac:dyDescent="0.3">
      <c r="A3684" t="s">
        <v>627</v>
      </c>
      <c r="B3684" s="16">
        <v>45948</v>
      </c>
      <c r="C3684" t="s">
        <v>3</v>
      </c>
      <c r="D3684" t="s">
        <v>114</v>
      </c>
      <c r="E3684" t="s">
        <v>159</v>
      </c>
      <c r="F3684">
        <v>105</v>
      </c>
      <c r="G3684">
        <v>41</v>
      </c>
      <c r="H3684">
        <v>5</v>
      </c>
      <c r="I3684">
        <v>1</v>
      </c>
      <c r="J3684">
        <v>0</v>
      </c>
      <c r="K3684">
        <v>0</v>
      </c>
      <c r="L3684">
        <v>0</v>
      </c>
      <c r="M3684">
        <v>0</v>
      </c>
      <c r="N3684">
        <v>12</v>
      </c>
      <c r="O3684">
        <v>93</v>
      </c>
      <c r="P3684">
        <f t="shared" si="189"/>
        <v>2025</v>
      </c>
      <c r="Q3684">
        <f t="shared" si="190"/>
        <v>10</v>
      </c>
      <c r="R3684" t="str">
        <f t="shared" si="191"/>
        <v>主会场</v>
      </c>
      <c r="S3684" t="s">
        <v>784</v>
      </c>
      <c r="T3684" t="s">
        <v>805</v>
      </c>
    </row>
    <row r="3685" spans="1:20" x14ac:dyDescent="0.3">
      <c r="A3685" t="s">
        <v>627</v>
      </c>
      <c r="B3685" s="16">
        <v>45948</v>
      </c>
      <c r="C3685" t="s">
        <v>3</v>
      </c>
      <c r="D3685" t="s">
        <v>123</v>
      </c>
      <c r="E3685" t="s">
        <v>170</v>
      </c>
      <c r="F3685">
        <v>44</v>
      </c>
      <c r="G3685">
        <v>22</v>
      </c>
      <c r="H3685">
        <v>3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40</v>
      </c>
      <c r="O3685">
        <v>25</v>
      </c>
      <c r="P3685">
        <f t="shared" si="189"/>
        <v>2025</v>
      </c>
      <c r="Q3685">
        <f t="shared" si="190"/>
        <v>10</v>
      </c>
      <c r="R3685" t="str">
        <f t="shared" si="191"/>
        <v>店铺超链</v>
      </c>
      <c r="S3685" t="s">
        <v>784</v>
      </c>
      <c r="T3685" t="s">
        <v>805</v>
      </c>
    </row>
    <row r="3686" spans="1:20" x14ac:dyDescent="0.3">
      <c r="A3686" t="s">
        <v>627</v>
      </c>
      <c r="B3686" s="16">
        <v>45948</v>
      </c>
      <c r="C3686" t="s">
        <v>3</v>
      </c>
      <c r="D3686" t="s">
        <v>127</v>
      </c>
      <c r="E3686" t="s">
        <v>171</v>
      </c>
      <c r="F3686">
        <v>676</v>
      </c>
      <c r="G3686">
        <v>317</v>
      </c>
      <c r="H3686">
        <v>36</v>
      </c>
      <c r="I3686">
        <v>11</v>
      </c>
      <c r="J3686">
        <v>31900</v>
      </c>
      <c r="K3686">
        <v>6</v>
      </c>
      <c r="L3686">
        <v>27910</v>
      </c>
      <c r="M3686">
        <v>5</v>
      </c>
      <c r="N3686">
        <v>138</v>
      </c>
      <c r="O3686">
        <v>653</v>
      </c>
      <c r="P3686">
        <f t="shared" si="189"/>
        <v>2025</v>
      </c>
      <c r="Q3686">
        <f t="shared" si="190"/>
        <v>10</v>
      </c>
      <c r="R3686" t="str">
        <f t="shared" si="191"/>
        <v>其他猜你喜欢</v>
      </c>
      <c r="S3686" t="s">
        <v>784</v>
      </c>
      <c r="T3686" t="s">
        <v>805</v>
      </c>
    </row>
    <row r="3687" spans="1:20" x14ac:dyDescent="0.3">
      <c r="A3687" t="s">
        <v>627</v>
      </c>
      <c r="B3687" s="16">
        <v>45948</v>
      </c>
      <c r="C3687" t="s">
        <v>3</v>
      </c>
      <c r="D3687" t="s">
        <v>127</v>
      </c>
      <c r="E3687" t="s">
        <v>172</v>
      </c>
      <c r="F3687">
        <v>118</v>
      </c>
      <c r="G3687">
        <v>45</v>
      </c>
      <c r="H3687">
        <v>2</v>
      </c>
      <c r="I3687">
        <v>1</v>
      </c>
      <c r="J3687">
        <v>0</v>
      </c>
      <c r="K3687">
        <v>0</v>
      </c>
      <c r="L3687">
        <v>0</v>
      </c>
      <c r="M3687">
        <v>0</v>
      </c>
      <c r="N3687">
        <v>14</v>
      </c>
      <c r="O3687">
        <v>118</v>
      </c>
      <c r="P3687">
        <f t="shared" si="189"/>
        <v>2025</v>
      </c>
      <c r="Q3687">
        <f t="shared" si="190"/>
        <v>10</v>
      </c>
      <c r="R3687" t="str">
        <f t="shared" si="191"/>
        <v>购中推荐</v>
      </c>
      <c r="S3687" t="s">
        <v>784</v>
      </c>
      <c r="T3687" t="s">
        <v>805</v>
      </c>
    </row>
    <row r="3688" spans="1:20" x14ac:dyDescent="0.3">
      <c r="A3688" t="s">
        <v>627</v>
      </c>
      <c r="B3688" s="16">
        <v>45948</v>
      </c>
      <c r="C3688" t="s">
        <v>3</v>
      </c>
      <c r="D3688" t="s">
        <v>127</v>
      </c>
      <c r="E3688" t="s">
        <v>173</v>
      </c>
      <c r="F3688">
        <v>339</v>
      </c>
      <c r="G3688">
        <v>145</v>
      </c>
      <c r="H3688">
        <v>15</v>
      </c>
      <c r="I3688">
        <v>1</v>
      </c>
      <c r="J3688">
        <v>0</v>
      </c>
      <c r="K3688">
        <v>0</v>
      </c>
      <c r="L3688">
        <v>0</v>
      </c>
      <c r="M3688">
        <v>0</v>
      </c>
      <c r="N3688">
        <v>41</v>
      </c>
      <c r="O3688">
        <v>337</v>
      </c>
      <c r="P3688">
        <f t="shared" si="189"/>
        <v>2025</v>
      </c>
      <c r="Q3688">
        <f t="shared" si="190"/>
        <v>10</v>
      </c>
      <c r="R3688" t="str">
        <f t="shared" si="191"/>
        <v>购后推荐</v>
      </c>
      <c r="S3688" t="s">
        <v>784</v>
      </c>
      <c r="T3688" t="s">
        <v>805</v>
      </c>
    </row>
    <row r="3689" spans="1:20" x14ac:dyDescent="0.3">
      <c r="A3689" t="s">
        <v>627</v>
      </c>
      <c r="B3689" s="16">
        <v>45948</v>
      </c>
      <c r="C3689" t="s">
        <v>3</v>
      </c>
      <c r="D3689" t="s">
        <v>127</v>
      </c>
      <c r="E3689" t="s">
        <v>174</v>
      </c>
      <c r="F3689">
        <v>4637</v>
      </c>
      <c r="G3689">
        <v>2395</v>
      </c>
      <c r="H3689">
        <v>81</v>
      </c>
      <c r="I3689">
        <v>20</v>
      </c>
      <c r="J3689">
        <v>67400</v>
      </c>
      <c r="K3689">
        <v>9</v>
      </c>
      <c r="L3689">
        <v>25970</v>
      </c>
      <c r="M3689">
        <v>5</v>
      </c>
      <c r="N3689">
        <v>272</v>
      </c>
      <c r="O3689">
        <v>4637</v>
      </c>
      <c r="P3689">
        <f t="shared" ref="P3689:P3752" si="192">YEAR(B3689)</f>
        <v>2025</v>
      </c>
      <c r="Q3689">
        <f t="shared" ref="Q3689:Q3752" si="193">MONTH(B3689)</f>
        <v>10</v>
      </c>
      <c r="R3689" t="str">
        <f t="shared" ref="R3689:R3752" si="194">E3689</f>
        <v>首页推荐-微详情</v>
      </c>
      <c r="S3689" t="s">
        <v>784</v>
      </c>
      <c r="T3689" t="s">
        <v>805</v>
      </c>
    </row>
    <row r="3690" spans="1:20" x14ac:dyDescent="0.3">
      <c r="A3690" t="s">
        <v>627</v>
      </c>
      <c r="B3690" s="16">
        <v>45948</v>
      </c>
      <c r="C3690" t="s">
        <v>3</v>
      </c>
      <c r="D3690" t="s">
        <v>127</v>
      </c>
      <c r="E3690" t="s">
        <v>175</v>
      </c>
      <c r="F3690">
        <v>89</v>
      </c>
      <c r="G3690">
        <v>37</v>
      </c>
      <c r="H3690">
        <v>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6</v>
      </c>
      <c r="O3690">
        <v>45</v>
      </c>
      <c r="P3690">
        <f t="shared" si="192"/>
        <v>2025</v>
      </c>
      <c r="Q3690">
        <f t="shared" si="193"/>
        <v>10</v>
      </c>
      <c r="R3690" t="str">
        <f t="shared" si="194"/>
        <v>首页推荐-直播</v>
      </c>
      <c r="S3690" t="s">
        <v>784</v>
      </c>
      <c r="T3690" t="s">
        <v>805</v>
      </c>
    </row>
    <row r="3691" spans="1:20" x14ac:dyDescent="0.3">
      <c r="A3691" t="s">
        <v>627</v>
      </c>
      <c r="B3691" s="16">
        <v>45948</v>
      </c>
      <c r="C3691" t="s">
        <v>3</v>
      </c>
      <c r="D3691" t="s">
        <v>127</v>
      </c>
      <c r="E3691" t="s">
        <v>176</v>
      </c>
      <c r="F3691">
        <v>25</v>
      </c>
      <c r="G3691">
        <v>7</v>
      </c>
      <c r="H3691">
        <v>2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1</v>
      </c>
      <c r="O3691">
        <v>7</v>
      </c>
      <c r="P3691">
        <f t="shared" si="192"/>
        <v>2025</v>
      </c>
      <c r="Q3691">
        <f t="shared" si="193"/>
        <v>10</v>
      </c>
      <c r="R3691" t="str">
        <f t="shared" si="194"/>
        <v>首页推荐-短视频</v>
      </c>
      <c r="S3691" t="s">
        <v>784</v>
      </c>
      <c r="T3691" t="s">
        <v>805</v>
      </c>
    </row>
    <row r="3692" spans="1:20" x14ac:dyDescent="0.3">
      <c r="A3692" t="s">
        <v>627</v>
      </c>
      <c r="B3692" s="16">
        <v>45948</v>
      </c>
      <c r="C3692" t="s">
        <v>3</v>
      </c>
      <c r="D3692" t="s">
        <v>128</v>
      </c>
      <c r="E3692" t="s">
        <v>177</v>
      </c>
      <c r="F3692">
        <v>878</v>
      </c>
      <c r="G3692">
        <v>647</v>
      </c>
      <c r="H3692">
        <v>43</v>
      </c>
      <c r="I3692">
        <v>11</v>
      </c>
      <c r="J3692">
        <v>28070</v>
      </c>
      <c r="K3692">
        <v>5</v>
      </c>
      <c r="L3692">
        <v>16480</v>
      </c>
      <c r="M3692">
        <v>4</v>
      </c>
      <c r="N3692">
        <v>216</v>
      </c>
      <c r="O3692">
        <v>818</v>
      </c>
      <c r="P3692">
        <f t="shared" si="192"/>
        <v>2025</v>
      </c>
      <c r="Q3692">
        <f t="shared" si="193"/>
        <v>10</v>
      </c>
      <c r="R3692" t="str">
        <f t="shared" si="194"/>
        <v>手淘搜索-商品及其他</v>
      </c>
      <c r="S3692" t="s">
        <v>784</v>
      </c>
      <c r="T3692" t="s">
        <v>805</v>
      </c>
    </row>
    <row r="3693" spans="1:20" x14ac:dyDescent="0.3">
      <c r="A3693" t="s">
        <v>627</v>
      </c>
      <c r="B3693" s="16">
        <v>45948</v>
      </c>
      <c r="C3693" t="s">
        <v>3</v>
      </c>
      <c r="D3693" t="s">
        <v>128</v>
      </c>
      <c r="E3693" t="s">
        <v>178</v>
      </c>
      <c r="F3693">
        <v>13</v>
      </c>
      <c r="G3693">
        <v>9</v>
      </c>
      <c r="H3693">
        <v>1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2</v>
      </c>
      <c r="O3693">
        <v>13</v>
      </c>
      <c r="P3693">
        <f t="shared" si="192"/>
        <v>2025</v>
      </c>
      <c r="Q3693">
        <f t="shared" si="193"/>
        <v>10</v>
      </c>
      <c r="R3693" t="str">
        <f t="shared" si="194"/>
        <v>手淘搜索-直播</v>
      </c>
      <c r="S3693" t="s">
        <v>784</v>
      </c>
      <c r="T3693" t="s">
        <v>805</v>
      </c>
    </row>
    <row r="3694" spans="1:20" x14ac:dyDescent="0.3">
      <c r="A3694" t="s">
        <v>627</v>
      </c>
      <c r="B3694" s="16">
        <v>45948</v>
      </c>
      <c r="C3694" t="s">
        <v>3</v>
      </c>
      <c r="D3694" t="s">
        <v>128</v>
      </c>
      <c r="E3694" t="s">
        <v>179</v>
      </c>
      <c r="F3694">
        <v>13</v>
      </c>
      <c r="G3694">
        <v>8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1</v>
      </c>
      <c r="O3694">
        <v>13</v>
      </c>
      <c r="P3694">
        <f t="shared" si="192"/>
        <v>2025</v>
      </c>
      <c r="Q3694">
        <f t="shared" si="193"/>
        <v>10</v>
      </c>
      <c r="R3694" t="str">
        <f t="shared" si="194"/>
        <v>手淘搜索-短视频</v>
      </c>
      <c r="S3694" t="s">
        <v>784</v>
      </c>
      <c r="T3694" t="s">
        <v>805</v>
      </c>
    </row>
    <row r="3695" spans="1:20" x14ac:dyDescent="0.3">
      <c r="A3695" t="s">
        <v>627</v>
      </c>
      <c r="B3695" s="16">
        <v>45948</v>
      </c>
      <c r="C3695" t="s">
        <v>3</v>
      </c>
      <c r="D3695" t="s">
        <v>143</v>
      </c>
      <c r="E3695" t="s">
        <v>181</v>
      </c>
      <c r="F3695">
        <v>1</v>
      </c>
      <c r="G3695">
        <v>1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1</v>
      </c>
      <c r="P3695">
        <f t="shared" si="192"/>
        <v>2025</v>
      </c>
      <c r="Q3695">
        <f t="shared" si="193"/>
        <v>10</v>
      </c>
      <c r="R3695" t="str">
        <f t="shared" si="194"/>
        <v>淘特搜索</v>
      </c>
      <c r="S3695" t="s">
        <v>784</v>
      </c>
      <c r="T3695" t="s">
        <v>805</v>
      </c>
    </row>
    <row r="3696" spans="1:20" x14ac:dyDescent="0.3">
      <c r="A3696" t="s">
        <v>627</v>
      </c>
      <c r="B3696" s="16">
        <v>45948</v>
      </c>
      <c r="C3696" t="s">
        <v>3</v>
      </c>
      <c r="D3696" t="s">
        <v>157</v>
      </c>
      <c r="E3696" t="s">
        <v>182</v>
      </c>
      <c r="F3696">
        <v>3</v>
      </c>
      <c r="G3696">
        <v>2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f t="shared" si="192"/>
        <v>2025</v>
      </c>
      <c r="Q3696">
        <f t="shared" si="193"/>
        <v>10</v>
      </c>
      <c r="R3696" t="str">
        <f t="shared" si="194"/>
        <v>飞猪其他</v>
      </c>
      <c r="S3696" t="s">
        <v>784</v>
      </c>
      <c r="T3696" t="s">
        <v>805</v>
      </c>
    </row>
    <row r="3697" spans="1:20" x14ac:dyDescent="0.3">
      <c r="A3697" t="s">
        <v>627</v>
      </c>
      <c r="B3697" s="16">
        <v>45948</v>
      </c>
      <c r="C3697" t="s">
        <v>2</v>
      </c>
      <c r="D3697" t="s">
        <v>55</v>
      </c>
      <c r="E3697" t="s">
        <v>66</v>
      </c>
      <c r="F3697">
        <v>21</v>
      </c>
      <c r="G3697">
        <v>18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f t="shared" si="192"/>
        <v>2025</v>
      </c>
      <c r="Q3697">
        <f t="shared" si="193"/>
        <v>10</v>
      </c>
      <c r="R3697" t="str">
        <f t="shared" si="194"/>
        <v>短直联动</v>
      </c>
      <c r="S3697" t="s">
        <v>784</v>
      </c>
      <c r="T3697" t="s">
        <v>805</v>
      </c>
    </row>
    <row r="3698" spans="1:20" x14ac:dyDescent="0.3">
      <c r="A3698" t="s">
        <v>627</v>
      </c>
      <c r="B3698" s="16">
        <v>45948</v>
      </c>
      <c r="C3698" t="s">
        <v>2</v>
      </c>
      <c r="D3698" t="s">
        <v>55</v>
      </c>
      <c r="E3698" t="s">
        <v>54</v>
      </c>
      <c r="F3698">
        <v>1148</v>
      </c>
      <c r="G3698">
        <v>766</v>
      </c>
      <c r="H3698">
        <v>11</v>
      </c>
      <c r="I3698">
        <v>4</v>
      </c>
      <c r="J3698">
        <v>0</v>
      </c>
      <c r="K3698">
        <v>0</v>
      </c>
      <c r="L3698">
        <v>0</v>
      </c>
      <c r="M3698">
        <v>0</v>
      </c>
      <c r="N3698">
        <v>32</v>
      </c>
      <c r="O3698">
        <v>261</v>
      </c>
      <c r="P3698">
        <f t="shared" si="192"/>
        <v>2025</v>
      </c>
      <c r="Q3698">
        <f t="shared" si="193"/>
        <v>10</v>
      </c>
      <c r="R3698" t="str">
        <f t="shared" si="194"/>
        <v>超级直播</v>
      </c>
      <c r="S3698" t="s">
        <v>784</v>
      </c>
      <c r="T3698" t="s">
        <v>805</v>
      </c>
    </row>
    <row r="3699" spans="1:20" x14ac:dyDescent="0.3">
      <c r="A3699" t="s">
        <v>627</v>
      </c>
      <c r="B3699" s="16">
        <v>45948</v>
      </c>
      <c r="C3699" t="s">
        <v>2</v>
      </c>
      <c r="D3699" t="s">
        <v>55</v>
      </c>
      <c r="E3699" t="s">
        <v>56</v>
      </c>
      <c r="F3699">
        <v>703</v>
      </c>
      <c r="G3699">
        <v>366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10</v>
      </c>
      <c r="O3699">
        <v>435</v>
      </c>
      <c r="P3699">
        <f t="shared" si="192"/>
        <v>2025</v>
      </c>
      <c r="Q3699">
        <f t="shared" si="193"/>
        <v>10</v>
      </c>
      <c r="R3699" t="str">
        <f t="shared" si="194"/>
        <v>超级短视频</v>
      </c>
      <c r="S3699" t="s">
        <v>784</v>
      </c>
      <c r="T3699" t="s">
        <v>805</v>
      </c>
    </row>
    <row r="3700" spans="1:20" x14ac:dyDescent="0.3">
      <c r="A3700" t="s">
        <v>627</v>
      </c>
      <c r="B3700" s="16">
        <v>45948</v>
      </c>
      <c r="C3700" t="s">
        <v>2</v>
      </c>
      <c r="D3700" t="s">
        <v>57</v>
      </c>
      <c r="E3700" t="s">
        <v>63</v>
      </c>
      <c r="F3700">
        <v>672</v>
      </c>
      <c r="G3700">
        <v>569</v>
      </c>
      <c r="H3700">
        <v>14</v>
      </c>
      <c r="I3700">
        <v>3</v>
      </c>
      <c r="J3700">
        <v>6650</v>
      </c>
      <c r="K3700">
        <v>1</v>
      </c>
      <c r="L3700">
        <v>6650</v>
      </c>
      <c r="M3700">
        <v>1</v>
      </c>
      <c r="N3700">
        <v>669</v>
      </c>
      <c r="O3700">
        <v>306</v>
      </c>
      <c r="P3700">
        <f t="shared" si="192"/>
        <v>2025</v>
      </c>
      <c r="Q3700">
        <f t="shared" si="193"/>
        <v>10</v>
      </c>
      <c r="R3700" t="str">
        <f t="shared" si="194"/>
        <v>万相台</v>
      </c>
      <c r="S3700" t="s">
        <v>784</v>
      </c>
      <c r="T3700" t="s">
        <v>805</v>
      </c>
    </row>
    <row r="3701" spans="1:20" x14ac:dyDescent="0.3">
      <c r="A3701" t="s">
        <v>627</v>
      </c>
      <c r="B3701" s="16">
        <v>45948</v>
      </c>
      <c r="C3701" t="s">
        <v>2</v>
      </c>
      <c r="D3701" t="s">
        <v>57</v>
      </c>
      <c r="E3701" t="s">
        <v>64</v>
      </c>
      <c r="F3701">
        <v>38001</v>
      </c>
      <c r="G3701">
        <v>23445</v>
      </c>
      <c r="H3701">
        <v>239</v>
      </c>
      <c r="I3701">
        <v>220</v>
      </c>
      <c r="J3701">
        <v>30410</v>
      </c>
      <c r="K3701">
        <v>5</v>
      </c>
      <c r="L3701">
        <v>22070</v>
      </c>
      <c r="M3701">
        <v>3</v>
      </c>
      <c r="N3701">
        <v>1036</v>
      </c>
      <c r="O3701">
        <v>37996</v>
      </c>
      <c r="P3701">
        <f t="shared" si="192"/>
        <v>2025</v>
      </c>
      <c r="Q3701">
        <f t="shared" si="193"/>
        <v>10</v>
      </c>
      <c r="R3701" t="str">
        <f t="shared" si="194"/>
        <v>引力魔方</v>
      </c>
      <c r="S3701" t="s">
        <v>784</v>
      </c>
      <c r="T3701" t="s">
        <v>805</v>
      </c>
    </row>
    <row r="3702" spans="1:20" x14ac:dyDescent="0.3">
      <c r="A3702" t="s">
        <v>627</v>
      </c>
      <c r="B3702" s="16">
        <v>45948</v>
      </c>
      <c r="C3702" t="s">
        <v>2</v>
      </c>
      <c r="D3702" t="s">
        <v>57</v>
      </c>
      <c r="E3702" t="s">
        <v>65</v>
      </c>
      <c r="F3702">
        <v>6776</v>
      </c>
      <c r="G3702">
        <v>5976</v>
      </c>
      <c r="H3702">
        <v>44</v>
      </c>
      <c r="I3702">
        <v>28</v>
      </c>
      <c r="J3702">
        <v>96070</v>
      </c>
      <c r="K3702">
        <v>7</v>
      </c>
      <c r="L3702">
        <v>4375</v>
      </c>
      <c r="M3702">
        <v>1</v>
      </c>
      <c r="N3702">
        <v>354</v>
      </c>
      <c r="O3702">
        <v>6697</v>
      </c>
      <c r="P3702">
        <f t="shared" si="192"/>
        <v>2025</v>
      </c>
      <c r="Q3702">
        <f t="shared" si="193"/>
        <v>10</v>
      </c>
      <c r="R3702" t="str">
        <f t="shared" si="194"/>
        <v>直通车</v>
      </c>
      <c r="S3702" t="s">
        <v>784</v>
      </c>
      <c r="T3702" t="s">
        <v>805</v>
      </c>
    </row>
    <row r="3703" spans="1:20" x14ac:dyDescent="0.3">
      <c r="A3703" t="s">
        <v>627</v>
      </c>
      <c r="B3703" s="16">
        <v>45948</v>
      </c>
      <c r="C3703" t="s">
        <v>2</v>
      </c>
      <c r="D3703" t="s">
        <v>4</v>
      </c>
      <c r="E3703" t="s">
        <v>41</v>
      </c>
      <c r="F3703">
        <v>3</v>
      </c>
      <c r="G3703">
        <v>1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2</v>
      </c>
      <c r="P3703">
        <f t="shared" si="192"/>
        <v>2025</v>
      </c>
      <c r="Q3703">
        <f t="shared" si="193"/>
        <v>10</v>
      </c>
      <c r="R3703" t="str">
        <f t="shared" si="194"/>
        <v>流量宝</v>
      </c>
      <c r="S3703" t="s">
        <v>784</v>
      </c>
      <c r="T3703" t="s">
        <v>805</v>
      </c>
    </row>
    <row r="3704" spans="1:20" x14ac:dyDescent="0.3">
      <c r="A3704" t="s">
        <v>627</v>
      </c>
      <c r="B3704" s="16">
        <v>45948</v>
      </c>
      <c r="C3704" t="s">
        <v>2</v>
      </c>
      <c r="D3704" t="s">
        <v>4</v>
      </c>
      <c r="E3704" t="s">
        <v>43</v>
      </c>
      <c r="F3704">
        <v>401</v>
      </c>
      <c r="G3704">
        <v>149</v>
      </c>
      <c r="H3704">
        <v>3</v>
      </c>
      <c r="I3704">
        <v>1</v>
      </c>
      <c r="J3704">
        <v>0</v>
      </c>
      <c r="K3704">
        <v>0</v>
      </c>
      <c r="L3704">
        <v>0</v>
      </c>
      <c r="M3704">
        <v>0</v>
      </c>
      <c r="N3704">
        <v>6</v>
      </c>
      <c r="O3704">
        <v>397</v>
      </c>
      <c r="P3704">
        <f t="shared" si="192"/>
        <v>2025</v>
      </c>
      <c r="Q3704">
        <f t="shared" si="193"/>
        <v>10</v>
      </c>
      <c r="R3704" t="str">
        <f t="shared" si="194"/>
        <v>淘宝客</v>
      </c>
      <c r="S3704" t="s">
        <v>784</v>
      </c>
      <c r="T3704" t="s">
        <v>805</v>
      </c>
    </row>
    <row r="3705" spans="1:20" x14ac:dyDescent="0.3">
      <c r="A3705" t="s">
        <v>627</v>
      </c>
      <c r="B3705" s="16">
        <v>45947</v>
      </c>
      <c r="C3705" t="s">
        <v>3</v>
      </c>
      <c r="D3705" t="s">
        <v>114</v>
      </c>
      <c r="E3705" t="s">
        <v>159</v>
      </c>
      <c r="F3705">
        <v>109</v>
      </c>
      <c r="G3705">
        <v>42</v>
      </c>
      <c r="H3705">
        <v>2</v>
      </c>
      <c r="I3705">
        <v>2</v>
      </c>
      <c r="J3705">
        <v>6990</v>
      </c>
      <c r="K3705">
        <v>1</v>
      </c>
      <c r="L3705">
        <v>0</v>
      </c>
      <c r="M3705">
        <v>0</v>
      </c>
      <c r="N3705">
        <v>8</v>
      </c>
      <c r="O3705">
        <v>97</v>
      </c>
      <c r="P3705">
        <f t="shared" si="192"/>
        <v>2025</v>
      </c>
      <c r="Q3705">
        <f t="shared" si="193"/>
        <v>10</v>
      </c>
      <c r="R3705" t="str">
        <f t="shared" si="194"/>
        <v>主会场</v>
      </c>
      <c r="S3705" t="s">
        <v>784</v>
      </c>
      <c r="T3705" t="s">
        <v>805</v>
      </c>
    </row>
    <row r="3706" spans="1:20" x14ac:dyDescent="0.3">
      <c r="A3706" t="s">
        <v>627</v>
      </c>
      <c r="B3706" s="16">
        <v>45947</v>
      </c>
      <c r="C3706" t="s">
        <v>3</v>
      </c>
      <c r="D3706" t="s">
        <v>117</v>
      </c>
      <c r="E3706" t="s">
        <v>161</v>
      </c>
      <c r="F3706">
        <v>1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1</v>
      </c>
      <c r="P3706">
        <f t="shared" si="192"/>
        <v>2025</v>
      </c>
      <c r="Q3706">
        <f t="shared" si="193"/>
        <v>10</v>
      </c>
      <c r="R3706" t="str">
        <f t="shared" si="194"/>
        <v>其他入口榜单</v>
      </c>
      <c r="S3706" t="s">
        <v>784</v>
      </c>
      <c r="T3706" t="s">
        <v>805</v>
      </c>
    </row>
    <row r="3707" spans="1:20" x14ac:dyDescent="0.3">
      <c r="A3707" t="s">
        <v>627</v>
      </c>
      <c r="B3707" s="16">
        <v>45947</v>
      </c>
      <c r="C3707" t="s">
        <v>3</v>
      </c>
      <c r="D3707" t="s">
        <v>123</v>
      </c>
      <c r="E3707" t="s">
        <v>170</v>
      </c>
      <c r="F3707">
        <v>40</v>
      </c>
      <c r="G3707">
        <v>20</v>
      </c>
      <c r="H3707">
        <v>3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31</v>
      </c>
      <c r="O3707">
        <v>16</v>
      </c>
      <c r="P3707">
        <f t="shared" si="192"/>
        <v>2025</v>
      </c>
      <c r="Q3707">
        <f t="shared" si="193"/>
        <v>10</v>
      </c>
      <c r="R3707" t="str">
        <f t="shared" si="194"/>
        <v>店铺超链</v>
      </c>
      <c r="S3707" t="s">
        <v>784</v>
      </c>
      <c r="T3707" t="s">
        <v>805</v>
      </c>
    </row>
    <row r="3708" spans="1:20" x14ac:dyDescent="0.3">
      <c r="A3708" t="s">
        <v>627</v>
      </c>
      <c r="B3708" s="16">
        <v>45947</v>
      </c>
      <c r="C3708" t="s">
        <v>3</v>
      </c>
      <c r="D3708" t="s">
        <v>127</v>
      </c>
      <c r="E3708" t="s">
        <v>171</v>
      </c>
      <c r="F3708">
        <v>520</v>
      </c>
      <c r="G3708">
        <v>245</v>
      </c>
      <c r="H3708">
        <v>31</v>
      </c>
      <c r="I3708">
        <v>8</v>
      </c>
      <c r="J3708">
        <v>0</v>
      </c>
      <c r="K3708">
        <v>0</v>
      </c>
      <c r="L3708">
        <v>0</v>
      </c>
      <c r="M3708">
        <v>0</v>
      </c>
      <c r="N3708">
        <v>103</v>
      </c>
      <c r="O3708">
        <v>508</v>
      </c>
      <c r="P3708">
        <f t="shared" si="192"/>
        <v>2025</v>
      </c>
      <c r="Q3708">
        <f t="shared" si="193"/>
        <v>10</v>
      </c>
      <c r="R3708" t="str">
        <f t="shared" si="194"/>
        <v>其他猜你喜欢</v>
      </c>
      <c r="S3708" t="s">
        <v>784</v>
      </c>
      <c r="T3708" t="s">
        <v>805</v>
      </c>
    </row>
    <row r="3709" spans="1:20" x14ac:dyDescent="0.3">
      <c r="A3709" t="s">
        <v>627</v>
      </c>
      <c r="B3709" s="16">
        <v>45947</v>
      </c>
      <c r="C3709" t="s">
        <v>3</v>
      </c>
      <c r="D3709" t="s">
        <v>127</v>
      </c>
      <c r="E3709" t="s">
        <v>172</v>
      </c>
      <c r="F3709">
        <v>80</v>
      </c>
      <c r="G3709">
        <v>24</v>
      </c>
      <c r="H3709">
        <v>3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10</v>
      </c>
      <c r="O3709">
        <v>79</v>
      </c>
      <c r="P3709">
        <f t="shared" si="192"/>
        <v>2025</v>
      </c>
      <c r="Q3709">
        <f t="shared" si="193"/>
        <v>10</v>
      </c>
      <c r="R3709" t="str">
        <f t="shared" si="194"/>
        <v>购中推荐</v>
      </c>
      <c r="S3709" t="s">
        <v>784</v>
      </c>
      <c r="T3709" t="s">
        <v>805</v>
      </c>
    </row>
    <row r="3710" spans="1:20" x14ac:dyDescent="0.3">
      <c r="A3710" t="s">
        <v>627</v>
      </c>
      <c r="B3710" s="16">
        <v>45947</v>
      </c>
      <c r="C3710" t="s">
        <v>3</v>
      </c>
      <c r="D3710" t="s">
        <v>127</v>
      </c>
      <c r="E3710" t="s">
        <v>173</v>
      </c>
      <c r="F3710">
        <v>290</v>
      </c>
      <c r="G3710">
        <v>106</v>
      </c>
      <c r="H3710">
        <v>15</v>
      </c>
      <c r="I3710">
        <v>4</v>
      </c>
      <c r="J3710">
        <v>18500</v>
      </c>
      <c r="K3710">
        <v>1</v>
      </c>
      <c r="L3710">
        <v>0</v>
      </c>
      <c r="M3710">
        <v>0</v>
      </c>
      <c r="N3710">
        <v>25</v>
      </c>
      <c r="O3710">
        <v>288</v>
      </c>
      <c r="P3710">
        <f t="shared" si="192"/>
        <v>2025</v>
      </c>
      <c r="Q3710">
        <f t="shared" si="193"/>
        <v>10</v>
      </c>
      <c r="R3710" t="str">
        <f t="shared" si="194"/>
        <v>购后推荐</v>
      </c>
      <c r="S3710" t="s">
        <v>784</v>
      </c>
      <c r="T3710" t="s">
        <v>805</v>
      </c>
    </row>
    <row r="3711" spans="1:20" x14ac:dyDescent="0.3">
      <c r="A3711" t="s">
        <v>627</v>
      </c>
      <c r="B3711" s="16">
        <v>45947</v>
      </c>
      <c r="C3711" t="s">
        <v>3</v>
      </c>
      <c r="D3711" t="s">
        <v>127</v>
      </c>
      <c r="E3711" t="s">
        <v>174</v>
      </c>
      <c r="F3711">
        <v>4383</v>
      </c>
      <c r="G3711">
        <v>2100</v>
      </c>
      <c r="H3711">
        <v>87</v>
      </c>
      <c r="I3711">
        <v>18</v>
      </c>
      <c r="J3711">
        <v>25270</v>
      </c>
      <c r="K3711">
        <v>4</v>
      </c>
      <c r="L3711">
        <v>10580</v>
      </c>
      <c r="M3711">
        <v>2</v>
      </c>
      <c r="N3711">
        <v>313</v>
      </c>
      <c r="O3711">
        <v>4383</v>
      </c>
      <c r="P3711">
        <f t="shared" si="192"/>
        <v>2025</v>
      </c>
      <c r="Q3711">
        <f t="shared" si="193"/>
        <v>10</v>
      </c>
      <c r="R3711" t="str">
        <f t="shared" si="194"/>
        <v>首页推荐-微详情</v>
      </c>
      <c r="S3711" t="s">
        <v>784</v>
      </c>
      <c r="T3711" t="s">
        <v>805</v>
      </c>
    </row>
    <row r="3712" spans="1:20" x14ac:dyDescent="0.3">
      <c r="A3712" t="s">
        <v>627</v>
      </c>
      <c r="B3712" s="16">
        <v>45947</v>
      </c>
      <c r="C3712" t="s">
        <v>3</v>
      </c>
      <c r="D3712" t="s">
        <v>127</v>
      </c>
      <c r="E3712" t="s">
        <v>175</v>
      </c>
      <c r="F3712">
        <v>121</v>
      </c>
      <c r="G3712">
        <v>81</v>
      </c>
      <c r="H3712">
        <v>3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8</v>
      </c>
      <c r="O3712">
        <v>78</v>
      </c>
      <c r="P3712">
        <f t="shared" si="192"/>
        <v>2025</v>
      </c>
      <c r="Q3712">
        <f t="shared" si="193"/>
        <v>10</v>
      </c>
      <c r="R3712" t="str">
        <f t="shared" si="194"/>
        <v>首页推荐-直播</v>
      </c>
      <c r="S3712" t="s">
        <v>784</v>
      </c>
      <c r="T3712" t="s">
        <v>805</v>
      </c>
    </row>
    <row r="3713" spans="1:20" x14ac:dyDescent="0.3">
      <c r="A3713" t="s">
        <v>627</v>
      </c>
      <c r="B3713" s="16">
        <v>45947</v>
      </c>
      <c r="C3713" t="s">
        <v>3</v>
      </c>
      <c r="D3713" t="s">
        <v>127</v>
      </c>
      <c r="E3713" t="s">
        <v>176</v>
      </c>
      <c r="F3713">
        <v>22</v>
      </c>
      <c r="G3713">
        <v>4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2</v>
      </c>
      <c r="O3713">
        <v>8</v>
      </c>
      <c r="P3713">
        <f t="shared" si="192"/>
        <v>2025</v>
      </c>
      <c r="Q3713">
        <f t="shared" si="193"/>
        <v>10</v>
      </c>
      <c r="R3713" t="str">
        <f t="shared" si="194"/>
        <v>首页推荐-短视频</v>
      </c>
      <c r="S3713" t="s">
        <v>784</v>
      </c>
      <c r="T3713" t="s">
        <v>805</v>
      </c>
    </row>
    <row r="3714" spans="1:20" x14ac:dyDescent="0.3">
      <c r="A3714" t="s">
        <v>627</v>
      </c>
      <c r="B3714" s="16">
        <v>45947</v>
      </c>
      <c r="C3714" t="s">
        <v>3</v>
      </c>
      <c r="D3714" t="s">
        <v>128</v>
      </c>
      <c r="E3714" t="s">
        <v>177</v>
      </c>
      <c r="F3714">
        <v>790</v>
      </c>
      <c r="G3714">
        <v>602</v>
      </c>
      <c r="H3714">
        <v>30</v>
      </c>
      <c r="I3714">
        <v>6</v>
      </c>
      <c r="J3714">
        <v>13055</v>
      </c>
      <c r="K3714">
        <v>3</v>
      </c>
      <c r="L3714">
        <v>1070</v>
      </c>
      <c r="M3714">
        <v>1</v>
      </c>
      <c r="N3714">
        <v>183</v>
      </c>
      <c r="O3714">
        <v>732</v>
      </c>
      <c r="P3714">
        <f t="shared" si="192"/>
        <v>2025</v>
      </c>
      <c r="Q3714">
        <f t="shared" si="193"/>
        <v>10</v>
      </c>
      <c r="R3714" t="str">
        <f t="shared" si="194"/>
        <v>手淘搜索-商品及其他</v>
      </c>
      <c r="S3714" t="s">
        <v>784</v>
      </c>
      <c r="T3714" t="s">
        <v>805</v>
      </c>
    </row>
    <row r="3715" spans="1:20" x14ac:dyDescent="0.3">
      <c r="A3715" t="s">
        <v>627</v>
      </c>
      <c r="B3715" s="16">
        <v>45947</v>
      </c>
      <c r="C3715" t="s">
        <v>3</v>
      </c>
      <c r="D3715" t="s">
        <v>128</v>
      </c>
      <c r="E3715" t="s">
        <v>178</v>
      </c>
      <c r="F3715">
        <v>2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2</v>
      </c>
      <c r="P3715">
        <f t="shared" si="192"/>
        <v>2025</v>
      </c>
      <c r="Q3715">
        <f t="shared" si="193"/>
        <v>10</v>
      </c>
      <c r="R3715" t="str">
        <f t="shared" si="194"/>
        <v>手淘搜索-直播</v>
      </c>
      <c r="S3715" t="s">
        <v>784</v>
      </c>
      <c r="T3715" t="s">
        <v>805</v>
      </c>
    </row>
    <row r="3716" spans="1:20" x14ac:dyDescent="0.3">
      <c r="A3716" t="s">
        <v>627</v>
      </c>
      <c r="B3716" s="16">
        <v>45947</v>
      </c>
      <c r="C3716" t="s">
        <v>3</v>
      </c>
      <c r="D3716" t="s">
        <v>128</v>
      </c>
      <c r="E3716" t="s">
        <v>179</v>
      </c>
      <c r="F3716">
        <v>10</v>
      </c>
      <c r="G3716">
        <v>6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9</v>
      </c>
      <c r="P3716">
        <f t="shared" si="192"/>
        <v>2025</v>
      </c>
      <c r="Q3716">
        <f t="shared" si="193"/>
        <v>10</v>
      </c>
      <c r="R3716" t="str">
        <f t="shared" si="194"/>
        <v>手淘搜索-短视频</v>
      </c>
      <c r="S3716" t="s">
        <v>784</v>
      </c>
      <c r="T3716" t="s">
        <v>805</v>
      </c>
    </row>
    <row r="3717" spans="1:20" x14ac:dyDescent="0.3">
      <c r="A3717" t="s">
        <v>627</v>
      </c>
      <c r="B3717" s="16">
        <v>45947</v>
      </c>
      <c r="C3717" t="s">
        <v>3</v>
      </c>
      <c r="D3717" t="s">
        <v>143</v>
      </c>
      <c r="E3717" t="s">
        <v>180</v>
      </c>
      <c r="F3717">
        <v>1</v>
      </c>
      <c r="G3717">
        <v>1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1</v>
      </c>
      <c r="P3717">
        <f t="shared" si="192"/>
        <v>2025</v>
      </c>
      <c r="Q3717">
        <f t="shared" si="193"/>
        <v>10</v>
      </c>
      <c r="R3717" t="str">
        <f t="shared" si="194"/>
        <v>淘特其他渠道</v>
      </c>
      <c r="S3717" t="s">
        <v>784</v>
      </c>
      <c r="T3717" t="s">
        <v>805</v>
      </c>
    </row>
    <row r="3718" spans="1:20" x14ac:dyDescent="0.3">
      <c r="A3718" t="s">
        <v>627</v>
      </c>
      <c r="B3718" s="16">
        <v>45947</v>
      </c>
      <c r="C3718" t="s">
        <v>3</v>
      </c>
      <c r="D3718" t="s">
        <v>143</v>
      </c>
      <c r="E3718" t="s">
        <v>181</v>
      </c>
      <c r="F3718">
        <v>1</v>
      </c>
      <c r="G3718">
        <v>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1</v>
      </c>
      <c r="P3718">
        <f t="shared" si="192"/>
        <v>2025</v>
      </c>
      <c r="Q3718">
        <f t="shared" si="193"/>
        <v>10</v>
      </c>
      <c r="R3718" t="str">
        <f t="shared" si="194"/>
        <v>淘特搜索</v>
      </c>
      <c r="S3718" t="s">
        <v>784</v>
      </c>
      <c r="T3718" t="s">
        <v>805</v>
      </c>
    </row>
    <row r="3719" spans="1:20" x14ac:dyDescent="0.3">
      <c r="A3719" t="s">
        <v>627</v>
      </c>
      <c r="B3719" s="16">
        <v>45947</v>
      </c>
      <c r="C3719" t="s">
        <v>2</v>
      </c>
      <c r="D3719" t="s">
        <v>55</v>
      </c>
      <c r="E3719" t="s">
        <v>66</v>
      </c>
      <c r="F3719">
        <v>13</v>
      </c>
      <c r="G3719">
        <v>12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f t="shared" si="192"/>
        <v>2025</v>
      </c>
      <c r="Q3719">
        <f t="shared" si="193"/>
        <v>10</v>
      </c>
      <c r="R3719" t="str">
        <f t="shared" si="194"/>
        <v>短直联动</v>
      </c>
      <c r="S3719" t="s">
        <v>784</v>
      </c>
      <c r="T3719" t="s">
        <v>805</v>
      </c>
    </row>
    <row r="3720" spans="1:20" x14ac:dyDescent="0.3">
      <c r="A3720" t="s">
        <v>627</v>
      </c>
      <c r="B3720" s="16">
        <v>45947</v>
      </c>
      <c r="C3720" t="s">
        <v>2</v>
      </c>
      <c r="D3720" t="s">
        <v>55</v>
      </c>
      <c r="E3720" t="s">
        <v>54</v>
      </c>
      <c r="F3720">
        <v>1454</v>
      </c>
      <c r="G3720">
        <v>1059</v>
      </c>
      <c r="H3720">
        <v>13</v>
      </c>
      <c r="I3720">
        <v>3</v>
      </c>
      <c r="J3720">
        <v>0</v>
      </c>
      <c r="K3720">
        <v>0</v>
      </c>
      <c r="L3720">
        <v>0</v>
      </c>
      <c r="M3720">
        <v>0</v>
      </c>
      <c r="N3720">
        <v>22</v>
      </c>
      <c r="O3720">
        <v>232</v>
      </c>
      <c r="P3720">
        <f t="shared" si="192"/>
        <v>2025</v>
      </c>
      <c r="Q3720">
        <f t="shared" si="193"/>
        <v>10</v>
      </c>
      <c r="R3720" t="str">
        <f t="shared" si="194"/>
        <v>超级直播</v>
      </c>
      <c r="S3720" t="s">
        <v>784</v>
      </c>
      <c r="T3720" t="s">
        <v>805</v>
      </c>
    </row>
    <row r="3721" spans="1:20" x14ac:dyDescent="0.3">
      <c r="A3721" t="s">
        <v>627</v>
      </c>
      <c r="B3721" s="16">
        <v>45947</v>
      </c>
      <c r="C3721" t="s">
        <v>2</v>
      </c>
      <c r="D3721" t="s">
        <v>55</v>
      </c>
      <c r="E3721" t="s">
        <v>56</v>
      </c>
      <c r="F3721">
        <v>920</v>
      </c>
      <c r="G3721">
        <v>494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13</v>
      </c>
      <c r="O3721">
        <v>447</v>
      </c>
      <c r="P3721">
        <f t="shared" si="192"/>
        <v>2025</v>
      </c>
      <c r="Q3721">
        <f t="shared" si="193"/>
        <v>10</v>
      </c>
      <c r="R3721" t="str">
        <f t="shared" si="194"/>
        <v>超级短视频</v>
      </c>
      <c r="S3721" t="s">
        <v>784</v>
      </c>
      <c r="T3721" t="s">
        <v>805</v>
      </c>
    </row>
    <row r="3722" spans="1:20" x14ac:dyDescent="0.3">
      <c r="A3722" t="s">
        <v>627</v>
      </c>
      <c r="B3722" s="16">
        <v>45947</v>
      </c>
      <c r="C3722" t="s">
        <v>2</v>
      </c>
      <c r="D3722" t="s">
        <v>52</v>
      </c>
      <c r="E3722" t="s">
        <v>183</v>
      </c>
      <c r="F3722">
        <v>1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1</v>
      </c>
      <c r="O3722">
        <v>0</v>
      </c>
      <c r="P3722">
        <f t="shared" si="192"/>
        <v>2025</v>
      </c>
      <c r="Q3722">
        <f t="shared" si="193"/>
        <v>10</v>
      </c>
      <c r="R3722" t="str">
        <f t="shared" si="194"/>
        <v>品销宝-品牌专区</v>
      </c>
      <c r="S3722" t="s">
        <v>784</v>
      </c>
      <c r="T3722" t="s">
        <v>805</v>
      </c>
    </row>
    <row r="3723" spans="1:20" x14ac:dyDescent="0.3">
      <c r="A3723" t="s">
        <v>627</v>
      </c>
      <c r="B3723" s="16">
        <v>45947</v>
      </c>
      <c r="C3723" t="s">
        <v>2</v>
      </c>
      <c r="D3723" t="s">
        <v>57</v>
      </c>
      <c r="E3723" t="s">
        <v>63</v>
      </c>
      <c r="F3723">
        <v>668</v>
      </c>
      <c r="G3723">
        <v>544</v>
      </c>
      <c r="H3723">
        <v>13</v>
      </c>
      <c r="I3723">
        <v>1</v>
      </c>
      <c r="J3723">
        <v>0</v>
      </c>
      <c r="K3723">
        <v>0</v>
      </c>
      <c r="L3723">
        <v>0</v>
      </c>
      <c r="M3723">
        <v>0</v>
      </c>
      <c r="N3723">
        <v>666</v>
      </c>
      <c r="O3723">
        <v>290</v>
      </c>
      <c r="P3723">
        <f t="shared" si="192"/>
        <v>2025</v>
      </c>
      <c r="Q3723">
        <f t="shared" si="193"/>
        <v>10</v>
      </c>
      <c r="R3723" t="str">
        <f t="shared" si="194"/>
        <v>万相台</v>
      </c>
      <c r="S3723" t="s">
        <v>784</v>
      </c>
      <c r="T3723" t="s">
        <v>805</v>
      </c>
    </row>
    <row r="3724" spans="1:20" x14ac:dyDescent="0.3">
      <c r="A3724" t="s">
        <v>627</v>
      </c>
      <c r="B3724" s="16">
        <v>45947</v>
      </c>
      <c r="C3724" t="s">
        <v>2</v>
      </c>
      <c r="D3724" t="s">
        <v>57</v>
      </c>
      <c r="E3724" t="s">
        <v>64</v>
      </c>
      <c r="F3724">
        <v>30528</v>
      </c>
      <c r="G3724">
        <v>19842</v>
      </c>
      <c r="H3724">
        <v>135</v>
      </c>
      <c r="I3724">
        <v>131</v>
      </c>
      <c r="J3724">
        <v>30560</v>
      </c>
      <c r="K3724">
        <v>4</v>
      </c>
      <c r="L3724">
        <v>7980</v>
      </c>
      <c r="M3724">
        <v>2</v>
      </c>
      <c r="N3724">
        <v>663</v>
      </c>
      <c r="O3724">
        <v>30524</v>
      </c>
      <c r="P3724">
        <f t="shared" si="192"/>
        <v>2025</v>
      </c>
      <c r="Q3724">
        <f t="shared" si="193"/>
        <v>10</v>
      </c>
      <c r="R3724" t="str">
        <f t="shared" si="194"/>
        <v>引力魔方</v>
      </c>
      <c r="S3724" t="s">
        <v>784</v>
      </c>
      <c r="T3724" t="s">
        <v>805</v>
      </c>
    </row>
    <row r="3725" spans="1:20" x14ac:dyDescent="0.3">
      <c r="A3725" t="s">
        <v>627</v>
      </c>
      <c r="B3725" s="16">
        <v>45947</v>
      </c>
      <c r="C3725" t="s">
        <v>2</v>
      </c>
      <c r="D3725" t="s">
        <v>57</v>
      </c>
      <c r="E3725" t="s">
        <v>65</v>
      </c>
      <c r="F3725">
        <v>5341</v>
      </c>
      <c r="G3725">
        <v>4574</v>
      </c>
      <c r="H3725">
        <v>39</v>
      </c>
      <c r="I3725">
        <v>22</v>
      </c>
      <c r="J3725">
        <v>15340</v>
      </c>
      <c r="K3725">
        <v>2</v>
      </c>
      <c r="L3725">
        <v>8350</v>
      </c>
      <c r="M3725">
        <v>1</v>
      </c>
      <c r="N3725">
        <v>289</v>
      </c>
      <c r="O3725">
        <v>5298</v>
      </c>
      <c r="P3725">
        <f t="shared" si="192"/>
        <v>2025</v>
      </c>
      <c r="Q3725">
        <f t="shared" si="193"/>
        <v>10</v>
      </c>
      <c r="R3725" t="str">
        <f t="shared" si="194"/>
        <v>直通车</v>
      </c>
      <c r="S3725" t="s">
        <v>784</v>
      </c>
      <c r="T3725" t="s">
        <v>805</v>
      </c>
    </row>
    <row r="3726" spans="1:20" x14ac:dyDescent="0.3">
      <c r="A3726" t="s">
        <v>627</v>
      </c>
      <c r="B3726" s="16">
        <v>45947</v>
      </c>
      <c r="C3726" t="s">
        <v>2</v>
      </c>
      <c r="D3726" t="s">
        <v>4</v>
      </c>
      <c r="E3726" t="s">
        <v>41</v>
      </c>
      <c r="F3726">
        <v>2</v>
      </c>
      <c r="G3726">
        <v>1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2</v>
      </c>
      <c r="P3726">
        <f t="shared" si="192"/>
        <v>2025</v>
      </c>
      <c r="Q3726">
        <f t="shared" si="193"/>
        <v>10</v>
      </c>
      <c r="R3726" t="str">
        <f t="shared" si="194"/>
        <v>流量宝</v>
      </c>
      <c r="S3726" t="s">
        <v>784</v>
      </c>
      <c r="T3726" t="s">
        <v>805</v>
      </c>
    </row>
    <row r="3727" spans="1:20" x14ac:dyDescent="0.3">
      <c r="A3727" t="s">
        <v>627</v>
      </c>
      <c r="B3727" s="16">
        <v>45947</v>
      </c>
      <c r="C3727" t="s">
        <v>2</v>
      </c>
      <c r="D3727" t="s">
        <v>4</v>
      </c>
      <c r="E3727" t="s">
        <v>43</v>
      </c>
      <c r="F3727">
        <v>340</v>
      </c>
      <c r="G3727">
        <v>121</v>
      </c>
      <c r="H3727">
        <v>1</v>
      </c>
      <c r="I3727">
        <v>1</v>
      </c>
      <c r="J3727">
        <v>8845</v>
      </c>
      <c r="K3727">
        <v>1</v>
      </c>
      <c r="L3727">
        <v>8845</v>
      </c>
      <c r="M3727">
        <v>1</v>
      </c>
      <c r="N3727">
        <v>5</v>
      </c>
      <c r="O3727">
        <v>331</v>
      </c>
      <c r="P3727">
        <f t="shared" si="192"/>
        <v>2025</v>
      </c>
      <c r="Q3727">
        <f t="shared" si="193"/>
        <v>10</v>
      </c>
      <c r="R3727" t="str">
        <f t="shared" si="194"/>
        <v>淘宝客</v>
      </c>
      <c r="S3727" t="s">
        <v>784</v>
      </c>
      <c r="T3727" t="s">
        <v>805</v>
      </c>
    </row>
    <row r="3728" spans="1:20" x14ac:dyDescent="0.3">
      <c r="A3728" t="s">
        <v>627</v>
      </c>
      <c r="B3728" s="16">
        <v>45946</v>
      </c>
      <c r="C3728" t="s">
        <v>3</v>
      </c>
      <c r="D3728" t="s">
        <v>123</v>
      </c>
      <c r="E3728" t="s">
        <v>170</v>
      </c>
      <c r="F3728">
        <v>45</v>
      </c>
      <c r="G3728">
        <v>19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38</v>
      </c>
      <c r="O3728">
        <v>23</v>
      </c>
      <c r="P3728">
        <f t="shared" si="192"/>
        <v>2025</v>
      </c>
      <c r="Q3728">
        <f t="shared" si="193"/>
        <v>10</v>
      </c>
      <c r="R3728" t="str">
        <f t="shared" si="194"/>
        <v>店铺超链</v>
      </c>
      <c r="S3728" t="s">
        <v>784</v>
      </c>
      <c r="T3728" t="s">
        <v>805</v>
      </c>
    </row>
    <row r="3729" spans="1:20" x14ac:dyDescent="0.3">
      <c r="A3729" t="s">
        <v>627</v>
      </c>
      <c r="B3729" s="16">
        <v>45946</v>
      </c>
      <c r="C3729" t="s">
        <v>3</v>
      </c>
      <c r="D3729" t="s">
        <v>127</v>
      </c>
      <c r="E3729" t="s">
        <v>171</v>
      </c>
      <c r="F3729">
        <v>510</v>
      </c>
      <c r="G3729">
        <v>234</v>
      </c>
      <c r="H3729">
        <v>32</v>
      </c>
      <c r="I3729">
        <v>9</v>
      </c>
      <c r="J3729">
        <v>10050</v>
      </c>
      <c r="K3729">
        <v>3</v>
      </c>
      <c r="L3729">
        <v>10050</v>
      </c>
      <c r="M3729">
        <v>3</v>
      </c>
      <c r="N3729">
        <v>103</v>
      </c>
      <c r="O3729">
        <v>484</v>
      </c>
      <c r="P3729">
        <f t="shared" si="192"/>
        <v>2025</v>
      </c>
      <c r="Q3729">
        <f t="shared" si="193"/>
        <v>10</v>
      </c>
      <c r="R3729" t="str">
        <f t="shared" si="194"/>
        <v>其他猜你喜欢</v>
      </c>
      <c r="S3729" t="s">
        <v>784</v>
      </c>
      <c r="T3729" t="s">
        <v>805</v>
      </c>
    </row>
    <row r="3730" spans="1:20" x14ac:dyDescent="0.3">
      <c r="A3730" t="s">
        <v>627</v>
      </c>
      <c r="B3730" s="16">
        <v>45946</v>
      </c>
      <c r="C3730" t="s">
        <v>3</v>
      </c>
      <c r="D3730" t="s">
        <v>127</v>
      </c>
      <c r="E3730" t="s">
        <v>172</v>
      </c>
      <c r="F3730">
        <v>50</v>
      </c>
      <c r="G3730">
        <v>15</v>
      </c>
      <c r="H3730">
        <v>3</v>
      </c>
      <c r="I3730">
        <v>1</v>
      </c>
      <c r="J3730">
        <v>0</v>
      </c>
      <c r="K3730">
        <v>0</v>
      </c>
      <c r="L3730">
        <v>0</v>
      </c>
      <c r="M3730">
        <v>0</v>
      </c>
      <c r="N3730">
        <v>8</v>
      </c>
      <c r="O3730">
        <v>50</v>
      </c>
      <c r="P3730">
        <f t="shared" si="192"/>
        <v>2025</v>
      </c>
      <c r="Q3730">
        <f t="shared" si="193"/>
        <v>10</v>
      </c>
      <c r="R3730" t="str">
        <f t="shared" si="194"/>
        <v>购中推荐</v>
      </c>
      <c r="S3730" t="s">
        <v>784</v>
      </c>
      <c r="T3730" t="s">
        <v>805</v>
      </c>
    </row>
    <row r="3731" spans="1:20" x14ac:dyDescent="0.3">
      <c r="A3731" t="s">
        <v>627</v>
      </c>
      <c r="B3731" s="16">
        <v>45946</v>
      </c>
      <c r="C3731" t="s">
        <v>3</v>
      </c>
      <c r="D3731" t="s">
        <v>127</v>
      </c>
      <c r="E3731" t="s">
        <v>173</v>
      </c>
      <c r="F3731">
        <v>270</v>
      </c>
      <c r="G3731">
        <v>113</v>
      </c>
      <c r="H3731">
        <v>14</v>
      </c>
      <c r="I3731">
        <v>3</v>
      </c>
      <c r="J3731">
        <v>8550</v>
      </c>
      <c r="K3731">
        <v>2</v>
      </c>
      <c r="L3731">
        <v>8550</v>
      </c>
      <c r="M3731">
        <v>2</v>
      </c>
      <c r="N3731">
        <v>23</v>
      </c>
      <c r="O3731">
        <v>254</v>
      </c>
      <c r="P3731">
        <f t="shared" si="192"/>
        <v>2025</v>
      </c>
      <c r="Q3731">
        <f t="shared" si="193"/>
        <v>10</v>
      </c>
      <c r="R3731" t="str">
        <f t="shared" si="194"/>
        <v>购后推荐</v>
      </c>
      <c r="S3731" t="s">
        <v>784</v>
      </c>
      <c r="T3731" t="s">
        <v>805</v>
      </c>
    </row>
    <row r="3732" spans="1:20" x14ac:dyDescent="0.3">
      <c r="A3732" t="s">
        <v>627</v>
      </c>
      <c r="B3732" s="16">
        <v>45946</v>
      </c>
      <c r="C3732" t="s">
        <v>3</v>
      </c>
      <c r="D3732" t="s">
        <v>127</v>
      </c>
      <c r="E3732" t="s">
        <v>174</v>
      </c>
      <c r="F3732">
        <v>3505</v>
      </c>
      <c r="G3732">
        <v>1708</v>
      </c>
      <c r="H3732">
        <v>50</v>
      </c>
      <c r="I3732">
        <v>16</v>
      </c>
      <c r="J3732">
        <v>18440</v>
      </c>
      <c r="K3732">
        <v>3</v>
      </c>
      <c r="L3732">
        <v>10740</v>
      </c>
      <c r="M3732">
        <v>2</v>
      </c>
      <c r="N3732">
        <v>250</v>
      </c>
      <c r="O3732">
        <v>3505</v>
      </c>
      <c r="P3732">
        <f t="shared" si="192"/>
        <v>2025</v>
      </c>
      <c r="Q3732">
        <f t="shared" si="193"/>
        <v>10</v>
      </c>
      <c r="R3732" t="str">
        <f t="shared" si="194"/>
        <v>首页推荐-微详情</v>
      </c>
      <c r="S3732" t="s">
        <v>784</v>
      </c>
      <c r="T3732" t="s">
        <v>805</v>
      </c>
    </row>
    <row r="3733" spans="1:20" x14ac:dyDescent="0.3">
      <c r="A3733" t="s">
        <v>627</v>
      </c>
      <c r="B3733" s="16">
        <v>45946</v>
      </c>
      <c r="C3733" t="s">
        <v>3</v>
      </c>
      <c r="D3733" t="s">
        <v>127</v>
      </c>
      <c r="E3733" t="s">
        <v>175</v>
      </c>
      <c r="F3733">
        <v>82</v>
      </c>
      <c r="G3733">
        <v>43</v>
      </c>
      <c r="H3733">
        <v>2</v>
      </c>
      <c r="I3733">
        <v>1</v>
      </c>
      <c r="J3733">
        <v>4990</v>
      </c>
      <c r="K3733">
        <v>1</v>
      </c>
      <c r="L3733">
        <v>4990</v>
      </c>
      <c r="M3733">
        <v>1</v>
      </c>
      <c r="N3733">
        <v>9</v>
      </c>
      <c r="O3733">
        <v>49</v>
      </c>
      <c r="P3733">
        <f t="shared" si="192"/>
        <v>2025</v>
      </c>
      <c r="Q3733">
        <f t="shared" si="193"/>
        <v>10</v>
      </c>
      <c r="R3733" t="str">
        <f t="shared" si="194"/>
        <v>首页推荐-直播</v>
      </c>
      <c r="S3733" t="s">
        <v>784</v>
      </c>
      <c r="T3733" t="s">
        <v>805</v>
      </c>
    </row>
    <row r="3734" spans="1:20" x14ac:dyDescent="0.3">
      <c r="A3734" t="s">
        <v>627</v>
      </c>
      <c r="B3734" s="16">
        <v>45946</v>
      </c>
      <c r="C3734" t="s">
        <v>3</v>
      </c>
      <c r="D3734" t="s">
        <v>127</v>
      </c>
      <c r="E3734" t="s">
        <v>176</v>
      </c>
      <c r="F3734">
        <v>122</v>
      </c>
      <c r="G3734">
        <v>79</v>
      </c>
      <c r="H3734">
        <v>2</v>
      </c>
      <c r="I3734">
        <v>0</v>
      </c>
      <c r="J3734">
        <v>6990</v>
      </c>
      <c r="K3734">
        <v>1</v>
      </c>
      <c r="L3734">
        <v>6990</v>
      </c>
      <c r="M3734">
        <v>1</v>
      </c>
      <c r="N3734">
        <v>2</v>
      </c>
      <c r="O3734">
        <v>10</v>
      </c>
      <c r="P3734">
        <f t="shared" si="192"/>
        <v>2025</v>
      </c>
      <c r="Q3734">
        <f t="shared" si="193"/>
        <v>10</v>
      </c>
      <c r="R3734" t="str">
        <f t="shared" si="194"/>
        <v>首页推荐-短视频</v>
      </c>
      <c r="S3734" t="s">
        <v>784</v>
      </c>
      <c r="T3734" t="s">
        <v>805</v>
      </c>
    </row>
    <row r="3735" spans="1:20" x14ac:dyDescent="0.3">
      <c r="A3735" t="s">
        <v>627</v>
      </c>
      <c r="B3735" s="16">
        <v>45946</v>
      </c>
      <c r="C3735" t="s">
        <v>3</v>
      </c>
      <c r="D3735" t="s">
        <v>128</v>
      </c>
      <c r="E3735" t="s">
        <v>177</v>
      </c>
      <c r="F3735">
        <v>519</v>
      </c>
      <c r="G3735">
        <v>377</v>
      </c>
      <c r="H3735">
        <v>16</v>
      </c>
      <c r="I3735">
        <v>6</v>
      </c>
      <c r="J3735">
        <v>10040</v>
      </c>
      <c r="K3735">
        <v>4</v>
      </c>
      <c r="L3735">
        <v>10040</v>
      </c>
      <c r="M3735">
        <v>4</v>
      </c>
      <c r="N3735">
        <v>156</v>
      </c>
      <c r="O3735">
        <v>465</v>
      </c>
      <c r="P3735">
        <f t="shared" si="192"/>
        <v>2025</v>
      </c>
      <c r="Q3735">
        <f t="shared" si="193"/>
        <v>10</v>
      </c>
      <c r="R3735" t="str">
        <f t="shared" si="194"/>
        <v>手淘搜索-商品及其他</v>
      </c>
      <c r="S3735" t="s">
        <v>784</v>
      </c>
      <c r="T3735" t="s">
        <v>805</v>
      </c>
    </row>
    <row r="3736" spans="1:20" x14ac:dyDescent="0.3">
      <c r="A3736" t="s">
        <v>627</v>
      </c>
      <c r="B3736" s="16">
        <v>45946</v>
      </c>
      <c r="C3736" t="s">
        <v>3</v>
      </c>
      <c r="D3736" t="s">
        <v>128</v>
      </c>
      <c r="E3736" t="s">
        <v>178</v>
      </c>
      <c r="F3736">
        <v>4</v>
      </c>
      <c r="G3736">
        <v>3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1</v>
      </c>
      <c r="O3736">
        <v>3</v>
      </c>
      <c r="P3736">
        <f t="shared" si="192"/>
        <v>2025</v>
      </c>
      <c r="Q3736">
        <f t="shared" si="193"/>
        <v>10</v>
      </c>
      <c r="R3736" t="str">
        <f t="shared" si="194"/>
        <v>手淘搜索-直播</v>
      </c>
      <c r="S3736" t="s">
        <v>784</v>
      </c>
      <c r="T3736" t="s">
        <v>805</v>
      </c>
    </row>
    <row r="3737" spans="1:20" x14ac:dyDescent="0.3">
      <c r="A3737" t="s">
        <v>627</v>
      </c>
      <c r="B3737" s="16">
        <v>45946</v>
      </c>
      <c r="C3737" t="s">
        <v>3</v>
      </c>
      <c r="D3737" t="s">
        <v>128</v>
      </c>
      <c r="E3737" t="s">
        <v>179</v>
      </c>
      <c r="F3737">
        <v>7</v>
      </c>
      <c r="G3737">
        <v>5</v>
      </c>
      <c r="H3737">
        <v>0</v>
      </c>
      <c r="I3737">
        <v>1</v>
      </c>
      <c r="J3737">
        <v>0</v>
      </c>
      <c r="K3737">
        <v>0</v>
      </c>
      <c r="L3737">
        <v>0</v>
      </c>
      <c r="M3737">
        <v>0</v>
      </c>
      <c r="N3737">
        <v>2</v>
      </c>
      <c r="O3737">
        <v>6</v>
      </c>
      <c r="P3737">
        <f t="shared" si="192"/>
        <v>2025</v>
      </c>
      <c r="Q3737">
        <f t="shared" si="193"/>
        <v>10</v>
      </c>
      <c r="R3737" t="str">
        <f t="shared" si="194"/>
        <v>手淘搜索-短视频</v>
      </c>
      <c r="S3737" t="s">
        <v>784</v>
      </c>
      <c r="T3737" t="s">
        <v>805</v>
      </c>
    </row>
    <row r="3738" spans="1:20" x14ac:dyDescent="0.3">
      <c r="A3738" t="s">
        <v>627</v>
      </c>
      <c r="B3738" s="16">
        <v>45946</v>
      </c>
      <c r="C3738" t="s">
        <v>3</v>
      </c>
      <c r="D3738" t="s">
        <v>143</v>
      </c>
      <c r="E3738" t="s">
        <v>180</v>
      </c>
      <c r="F3738">
        <v>1</v>
      </c>
      <c r="G3738">
        <v>1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1</v>
      </c>
      <c r="P3738">
        <f t="shared" si="192"/>
        <v>2025</v>
      </c>
      <c r="Q3738">
        <f t="shared" si="193"/>
        <v>10</v>
      </c>
      <c r="R3738" t="str">
        <f t="shared" si="194"/>
        <v>淘特其他渠道</v>
      </c>
      <c r="S3738" t="s">
        <v>784</v>
      </c>
      <c r="T3738" t="s">
        <v>805</v>
      </c>
    </row>
    <row r="3739" spans="1:20" x14ac:dyDescent="0.3">
      <c r="A3739" t="s">
        <v>627</v>
      </c>
      <c r="B3739" s="16">
        <v>45946</v>
      </c>
      <c r="C3739" t="s">
        <v>2</v>
      </c>
      <c r="D3739" t="s">
        <v>55</v>
      </c>
      <c r="E3739" t="s">
        <v>66</v>
      </c>
      <c r="F3739">
        <v>19</v>
      </c>
      <c r="G3739">
        <v>17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f t="shared" si="192"/>
        <v>2025</v>
      </c>
      <c r="Q3739">
        <f t="shared" si="193"/>
        <v>10</v>
      </c>
      <c r="R3739" t="str">
        <f t="shared" si="194"/>
        <v>短直联动</v>
      </c>
      <c r="S3739" t="s">
        <v>784</v>
      </c>
      <c r="T3739" t="s">
        <v>805</v>
      </c>
    </row>
    <row r="3740" spans="1:20" x14ac:dyDescent="0.3">
      <c r="A3740" t="s">
        <v>627</v>
      </c>
      <c r="B3740" s="16">
        <v>45946</v>
      </c>
      <c r="C3740" t="s">
        <v>2</v>
      </c>
      <c r="D3740" t="s">
        <v>55</v>
      </c>
      <c r="E3740" t="s">
        <v>54</v>
      </c>
      <c r="F3740">
        <v>1305</v>
      </c>
      <c r="G3740">
        <v>748</v>
      </c>
      <c r="H3740">
        <v>7</v>
      </c>
      <c r="I3740">
        <v>1</v>
      </c>
      <c r="J3740">
        <v>0</v>
      </c>
      <c r="K3740">
        <v>0</v>
      </c>
      <c r="L3740">
        <v>0</v>
      </c>
      <c r="M3740">
        <v>0</v>
      </c>
      <c r="N3740">
        <v>27</v>
      </c>
      <c r="O3740">
        <v>258</v>
      </c>
      <c r="P3740">
        <f t="shared" si="192"/>
        <v>2025</v>
      </c>
      <c r="Q3740">
        <f t="shared" si="193"/>
        <v>10</v>
      </c>
      <c r="R3740" t="str">
        <f t="shared" si="194"/>
        <v>超级直播</v>
      </c>
      <c r="S3740" t="s">
        <v>784</v>
      </c>
      <c r="T3740" t="s">
        <v>805</v>
      </c>
    </row>
    <row r="3741" spans="1:20" x14ac:dyDescent="0.3">
      <c r="A3741" t="s">
        <v>627</v>
      </c>
      <c r="B3741" s="16">
        <v>45946</v>
      </c>
      <c r="C3741" t="s">
        <v>2</v>
      </c>
      <c r="D3741" t="s">
        <v>55</v>
      </c>
      <c r="E3741" t="s">
        <v>56</v>
      </c>
      <c r="F3741">
        <v>916</v>
      </c>
      <c r="G3741">
        <v>399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2</v>
      </c>
      <c r="O3741">
        <v>285</v>
      </c>
      <c r="P3741">
        <f t="shared" si="192"/>
        <v>2025</v>
      </c>
      <c r="Q3741">
        <f t="shared" si="193"/>
        <v>10</v>
      </c>
      <c r="R3741" t="str">
        <f t="shared" si="194"/>
        <v>超级短视频</v>
      </c>
      <c r="S3741" t="s">
        <v>784</v>
      </c>
      <c r="T3741" t="s">
        <v>805</v>
      </c>
    </row>
    <row r="3742" spans="1:20" x14ac:dyDescent="0.3">
      <c r="A3742" t="s">
        <v>627</v>
      </c>
      <c r="B3742" s="16">
        <v>45946</v>
      </c>
      <c r="C3742" t="s">
        <v>2</v>
      </c>
      <c r="D3742" t="s">
        <v>57</v>
      </c>
      <c r="E3742" t="s">
        <v>63</v>
      </c>
      <c r="F3742">
        <v>635</v>
      </c>
      <c r="G3742">
        <v>550</v>
      </c>
      <c r="H3742">
        <v>7</v>
      </c>
      <c r="I3742">
        <v>3</v>
      </c>
      <c r="J3742">
        <v>2990</v>
      </c>
      <c r="K3742">
        <v>1</v>
      </c>
      <c r="L3742">
        <v>2990</v>
      </c>
      <c r="M3742">
        <v>1</v>
      </c>
      <c r="N3742">
        <v>633</v>
      </c>
      <c r="O3742">
        <v>276</v>
      </c>
      <c r="P3742">
        <f t="shared" si="192"/>
        <v>2025</v>
      </c>
      <c r="Q3742">
        <f t="shared" si="193"/>
        <v>10</v>
      </c>
      <c r="R3742" t="str">
        <f t="shared" si="194"/>
        <v>万相台</v>
      </c>
      <c r="S3742" t="s">
        <v>784</v>
      </c>
      <c r="T3742" t="s">
        <v>805</v>
      </c>
    </row>
    <row r="3743" spans="1:20" x14ac:dyDescent="0.3">
      <c r="A3743" t="s">
        <v>627</v>
      </c>
      <c r="B3743" s="16">
        <v>45946</v>
      </c>
      <c r="C3743" t="s">
        <v>2</v>
      </c>
      <c r="D3743" t="s">
        <v>57</v>
      </c>
      <c r="E3743" t="s">
        <v>64</v>
      </c>
      <c r="F3743">
        <v>20443</v>
      </c>
      <c r="G3743">
        <v>9404</v>
      </c>
      <c r="H3743">
        <v>156</v>
      </c>
      <c r="I3743">
        <v>132</v>
      </c>
      <c r="J3743">
        <v>33715</v>
      </c>
      <c r="K3743">
        <v>8</v>
      </c>
      <c r="L3743">
        <v>30725</v>
      </c>
      <c r="M3743">
        <v>7</v>
      </c>
      <c r="N3743">
        <v>627</v>
      </c>
      <c r="O3743">
        <v>20436</v>
      </c>
      <c r="P3743">
        <f t="shared" si="192"/>
        <v>2025</v>
      </c>
      <c r="Q3743">
        <f t="shared" si="193"/>
        <v>10</v>
      </c>
      <c r="R3743" t="str">
        <f t="shared" si="194"/>
        <v>引力魔方</v>
      </c>
      <c r="S3743" t="s">
        <v>784</v>
      </c>
      <c r="T3743" t="s">
        <v>805</v>
      </c>
    </row>
    <row r="3744" spans="1:20" x14ac:dyDescent="0.3">
      <c r="A3744" t="s">
        <v>627</v>
      </c>
      <c r="B3744" s="16">
        <v>45946</v>
      </c>
      <c r="C3744" t="s">
        <v>2</v>
      </c>
      <c r="D3744" t="s">
        <v>57</v>
      </c>
      <c r="E3744" t="s">
        <v>65</v>
      </c>
      <c r="F3744">
        <v>5007</v>
      </c>
      <c r="G3744">
        <v>4351</v>
      </c>
      <c r="H3744">
        <v>32</v>
      </c>
      <c r="I3744">
        <v>23</v>
      </c>
      <c r="J3744">
        <v>71480</v>
      </c>
      <c r="K3744">
        <v>7</v>
      </c>
      <c r="L3744">
        <v>4695</v>
      </c>
      <c r="M3744">
        <v>1</v>
      </c>
      <c r="N3744">
        <v>314</v>
      </c>
      <c r="O3744">
        <v>4940</v>
      </c>
      <c r="P3744">
        <f t="shared" si="192"/>
        <v>2025</v>
      </c>
      <c r="Q3744">
        <f t="shared" si="193"/>
        <v>10</v>
      </c>
      <c r="R3744" t="str">
        <f t="shared" si="194"/>
        <v>直通车</v>
      </c>
      <c r="S3744" t="s">
        <v>784</v>
      </c>
      <c r="T3744" t="s">
        <v>805</v>
      </c>
    </row>
    <row r="3745" spans="1:20" x14ac:dyDescent="0.3">
      <c r="A3745" t="s">
        <v>627</v>
      </c>
      <c r="B3745" s="16">
        <v>45946</v>
      </c>
      <c r="C3745" t="s">
        <v>2</v>
      </c>
      <c r="D3745" t="s">
        <v>4</v>
      </c>
      <c r="E3745" t="s">
        <v>41</v>
      </c>
      <c r="F3745">
        <v>3</v>
      </c>
      <c r="G3745">
        <v>3</v>
      </c>
      <c r="H3745">
        <v>0</v>
      </c>
      <c r="I3745">
        <v>1</v>
      </c>
      <c r="J3745">
        <v>0</v>
      </c>
      <c r="K3745">
        <v>0</v>
      </c>
      <c r="L3745">
        <v>0</v>
      </c>
      <c r="M3745">
        <v>0</v>
      </c>
      <c r="N3745">
        <v>1</v>
      </c>
      <c r="O3745">
        <v>3</v>
      </c>
      <c r="P3745">
        <f t="shared" si="192"/>
        <v>2025</v>
      </c>
      <c r="Q3745">
        <f t="shared" si="193"/>
        <v>10</v>
      </c>
      <c r="R3745" t="str">
        <f t="shared" si="194"/>
        <v>流量宝</v>
      </c>
      <c r="S3745" t="s">
        <v>784</v>
      </c>
      <c r="T3745" t="s">
        <v>805</v>
      </c>
    </row>
    <row r="3746" spans="1:20" x14ac:dyDescent="0.3">
      <c r="A3746" t="s">
        <v>627</v>
      </c>
      <c r="B3746" s="16">
        <v>45946</v>
      </c>
      <c r="C3746" t="s">
        <v>2</v>
      </c>
      <c r="D3746" t="s">
        <v>4</v>
      </c>
      <c r="E3746" t="s">
        <v>43</v>
      </c>
      <c r="F3746">
        <v>315</v>
      </c>
      <c r="G3746">
        <v>84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1</v>
      </c>
      <c r="O3746">
        <v>308</v>
      </c>
      <c r="P3746">
        <f t="shared" si="192"/>
        <v>2025</v>
      </c>
      <c r="Q3746">
        <f t="shared" si="193"/>
        <v>10</v>
      </c>
      <c r="R3746" t="str">
        <f t="shared" si="194"/>
        <v>淘宝客</v>
      </c>
      <c r="S3746" t="s">
        <v>784</v>
      </c>
      <c r="T3746" t="s">
        <v>805</v>
      </c>
    </row>
    <row r="3747" spans="1:20" x14ac:dyDescent="0.3">
      <c r="A3747" t="s">
        <v>627</v>
      </c>
      <c r="B3747" s="16">
        <v>45945</v>
      </c>
      <c r="C3747" t="s">
        <v>3</v>
      </c>
      <c r="D3747" t="s">
        <v>123</v>
      </c>
      <c r="E3747" t="s">
        <v>170</v>
      </c>
      <c r="F3747">
        <v>61</v>
      </c>
      <c r="G3747">
        <v>26</v>
      </c>
      <c r="H3747">
        <v>4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53</v>
      </c>
      <c r="O3747">
        <v>27</v>
      </c>
      <c r="P3747">
        <f t="shared" si="192"/>
        <v>2025</v>
      </c>
      <c r="Q3747">
        <f t="shared" si="193"/>
        <v>10</v>
      </c>
      <c r="R3747" t="str">
        <f t="shared" si="194"/>
        <v>店铺超链</v>
      </c>
      <c r="S3747" t="s">
        <v>784</v>
      </c>
      <c r="T3747" t="s">
        <v>805</v>
      </c>
    </row>
    <row r="3748" spans="1:20" x14ac:dyDescent="0.3">
      <c r="A3748" t="s">
        <v>627</v>
      </c>
      <c r="B3748" s="16">
        <v>45945</v>
      </c>
      <c r="C3748" t="s">
        <v>3</v>
      </c>
      <c r="D3748" t="s">
        <v>127</v>
      </c>
      <c r="E3748" t="s">
        <v>171</v>
      </c>
      <c r="F3748">
        <v>471</v>
      </c>
      <c r="G3748">
        <v>209</v>
      </c>
      <c r="H3748">
        <v>26</v>
      </c>
      <c r="I3748">
        <v>4</v>
      </c>
      <c r="J3748">
        <v>17850</v>
      </c>
      <c r="K3748">
        <v>3</v>
      </c>
      <c r="L3748">
        <v>17850</v>
      </c>
      <c r="M3748">
        <v>3</v>
      </c>
      <c r="N3748">
        <v>92</v>
      </c>
      <c r="O3748">
        <v>449</v>
      </c>
      <c r="P3748">
        <f t="shared" si="192"/>
        <v>2025</v>
      </c>
      <c r="Q3748">
        <f t="shared" si="193"/>
        <v>10</v>
      </c>
      <c r="R3748" t="str">
        <f t="shared" si="194"/>
        <v>其他猜你喜欢</v>
      </c>
      <c r="S3748" t="s">
        <v>784</v>
      </c>
      <c r="T3748" t="s">
        <v>805</v>
      </c>
    </row>
    <row r="3749" spans="1:20" x14ac:dyDescent="0.3">
      <c r="A3749" t="s">
        <v>627</v>
      </c>
      <c r="B3749" s="16">
        <v>45945</v>
      </c>
      <c r="C3749" t="s">
        <v>3</v>
      </c>
      <c r="D3749" t="s">
        <v>127</v>
      </c>
      <c r="E3749" t="s">
        <v>172</v>
      </c>
      <c r="F3749">
        <v>57</v>
      </c>
      <c r="G3749">
        <v>19</v>
      </c>
      <c r="H3749">
        <v>2</v>
      </c>
      <c r="I3749">
        <v>0</v>
      </c>
      <c r="J3749">
        <v>9240</v>
      </c>
      <c r="K3749">
        <v>2</v>
      </c>
      <c r="L3749">
        <v>9240</v>
      </c>
      <c r="M3749">
        <v>2</v>
      </c>
      <c r="N3749">
        <v>11</v>
      </c>
      <c r="O3749">
        <v>56</v>
      </c>
      <c r="P3749">
        <f t="shared" si="192"/>
        <v>2025</v>
      </c>
      <c r="Q3749">
        <f t="shared" si="193"/>
        <v>10</v>
      </c>
      <c r="R3749" t="str">
        <f t="shared" si="194"/>
        <v>购中推荐</v>
      </c>
      <c r="S3749" t="s">
        <v>784</v>
      </c>
      <c r="T3749" t="s">
        <v>805</v>
      </c>
    </row>
    <row r="3750" spans="1:20" x14ac:dyDescent="0.3">
      <c r="A3750" t="s">
        <v>627</v>
      </c>
      <c r="B3750" s="16">
        <v>45945</v>
      </c>
      <c r="C3750" t="s">
        <v>3</v>
      </c>
      <c r="D3750" t="s">
        <v>127</v>
      </c>
      <c r="E3750" t="s">
        <v>173</v>
      </c>
      <c r="F3750">
        <v>307</v>
      </c>
      <c r="G3750">
        <v>127</v>
      </c>
      <c r="H3750">
        <v>12</v>
      </c>
      <c r="I3750">
        <v>3</v>
      </c>
      <c r="J3750">
        <v>0</v>
      </c>
      <c r="K3750">
        <v>0</v>
      </c>
      <c r="L3750">
        <v>0</v>
      </c>
      <c r="M3750">
        <v>0</v>
      </c>
      <c r="N3750">
        <v>30</v>
      </c>
      <c r="O3750">
        <v>303</v>
      </c>
      <c r="P3750">
        <f t="shared" si="192"/>
        <v>2025</v>
      </c>
      <c r="Q3750">
        <f t="shared" si="193"/>
        <v>10</v>
      </c>
      <c r="R3750" t="str">
        <f t="shared" si="194"/>
        <v>购后推荐</v>
      </c>
      <c r="S3750" t="s">
        <v>784</v>
      </c>
      <c r="T3750" t="s">
        <v>805</v>
      </c>
    </row>
    <row r="3751" spans="1:20" x14ac:dyDescent="0.3">
      <c r="A3751" t="s">
        <v>627</v>
      </c>
      <c r="B3751" s="16">
        <v>45945</v>
      </c>
      <c r="C3751" t="s">
        <v>3</v>
      </c>
      <c r="D3751" t="s">
        <v>127</v>
      </c>
      <c r="E3751" t="s">
        <v>174</v>
      </c>
      <c r="F3751">
        <v>3193</v>
      </c>
      <c r="G3751">
        <v>1461</v>
      </c>
      <c r="H3751">
        <v>50</v>
      </c>
      <c r="I3751">
        <v>16</v>
      </c>
      <c r="J3751">
        <v>15150</v>
      </c>
      <c r="K3751">
        <v>4</v>
      </c>
      <c r="L3751">
        <v>15150</v>
      </c>
      <c r="M3751">
        <v>4</v>
      </c>
      <c r="N3751">
        <v>256</v>
      </c>
      <c r="O3751">
        <v>3193</v>
      </c>
      <c r="P3751">
        <f t="shared" si="192"/>
        <v>2025</v>
      </c>
      <c r="Q3751">
        <f t="shared" si="193"/>
        <v>10</v>
      </c>
      <c r="R3751" t="str">
        <f t="shared" si="194"/>
        <v>首页推荐-微详情</v>
      </c>
      <c r="S3751" t="s">
        <v>784</v>
      </c>
      <c r="T3751" t="s">
        <v>805</v>
      </c>
    </row>
    <row r="3752" spans="1:20" x14ac:dyDescent="0.3">
      <c r="A3752" t="s">
        <v>627</v>
      </c>
      <c r="B3752" s="16">
        <v>45945</v>
      </c>
      <c r="C3752" t="s">
        <v>3</v>
      </c>
      <c r="D3752" t="s">
        <v>127</v>
      </c>
      <c r="E3752" t="s">
        <v>175</v>
      </c>
      <c r="F3752">
        <v>132</v>
      </c>
      <c r="G3752">
        <v>88</v>
      </c>
      <c r="H3752">
        <v>3</v>
      </c>
      <c r="I3752">
        <v>1</v>
      </c>
      <c r="J3752">
        <v>3990</v>
      </c>
      <c r="K3752">
        <v>1</v>
      </c>
      <c r="L3752">
        <v>0</v>
      </c>
      <c r="M3752">
        <v>0</v>
      </c>
      <c r="N3752">
        <v>10</v>
      </c>
      <c r="O3752">
        <v>93</v>
      </c>
      <c r="P3752">
        <f t="shared" si="192"/>
        <v>2025</v>
      </c>
      <c r="Q3752">
        <f t="shared" si="193"/>
        <v>10</v>
      </c>
      <c r="R3752" t="str">
        <f t="shared" si="194"/>
        <v>首页推荐-直播</v>
      </c>
      <c r="S3752" t="s">
        <v>784</v>
      </c>
      <c r="T3752" t="s">
        <v>805</v>
      </c>
    </row>
    <row r="3753" spans="1:20" x14ac:dyDescent="0.3">
      <c r="A3753" t="s">
        <v>627</v>
      </c>
      <c r="B3753" s="16">
        <v>45945</v>
      </c>
      <c r="C3753" t="s">
        <v>3</v>
      </c>
      <c r="D3753" t="s">
        <v>127</v>
      </c>
      <c r="E3753" t="s">
        <v>176</v>
      </c>
      <c r="F3753">
        <v>22</v>
      </c>
      <c r="G3753">
        <v>9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9</v>
      </c>
      <c r="P3753">
        <f t="shared" ref="P3753:P3816" si="195">YEAR(B3753)</f>
        <v>2025</v>
      </c>
      <c r="Q3753">
        <f t="shared" ref="Q3753:Q3816" si="196">MONTH(B3753)</f>
        <v>10</v>
      </c>
      <c r="R3753" t="str">
        <f t="shared" ref="R3753:R3816" si="197">E3753</f>
        <v>首页推荐-短视频</v>
      </c>
      <c r="S3753" t="s">
        <v>784</v>
      </c>
      <c r="T3753" t="s">
        <v>805</v>
      </c>
    </row>
    <row r="3754" spans="1:20" x14ac:dyDescent="0.3">
      <c r="A3754" t="s">
        <v>627</v>
      </c>
      <c r="B3754" s="16">
        <v>45945</v>
      </c>
      <c r="C3754" t="s">
        <v>3</v>
      </c>
      <c r="D3754" t="s">
        <v>128</v>
      </c>
      <c r="E3754" t="s">
        <v>177</v>
      </c>
      <c r="F3754">
        <v>680</v>
      </c>
      <c r="G3754">
        <v>522</v>
      </c>
      <c r="H3754">
        <v>27</v>
      </c>
      <c r="I3754">
        <v>7</v>
      </c>
      <c r="J3754">
        <v>23350</v>
      </c>
      <c r="K3754">
        <v>3</v>
      </c>
      <c r="L3754">
        <v>16570</v>
      </c>
      <c r="M3754">
        <v>2</v>
      </c>
      <c r="N3754">
        <v>159</v>
      </c>
      <c r="O3754">
        <v>627</v>
      </c>
      <c r="P3754">
        <f t="shared" si="195"/>
        <v>2025</v>
      </c>
      <c r="Q3754">
        <f t="shared" si="196"/>
        <v>10</v>
      </c>
      <c r="R3754" t="str">
        <f t="shared" si="197"/>
        <v>手淘搜索-商品及其他</v>
      </c>
      <c r="S3754" t="s">
        <v>784</v>
      </c>
      <c r="T3754" t="s">
        <v>805</v>
      </c>
    </row>
    <row r="3755" spans="1:20" x14ac:dyDescent="0.3">
      <c r="A3755" t="s">
        <v>627</v>
      </c>
      <c r="B3755" s="16">
        <v>45945</v>
      </c>
      <c r="C3755" t="s">
        <v>3</v>
      </c>
      <c r="D3755" t="s">
        <v>128</v>
      </c>
      <c r="E3755" t="s">
        <v>178</v>
      </c>
      <c r="F3755">
        <v>7</v>
      </c>
      <c r="G3755">
        <v>3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1</v>
      </c>
      <c r="O3755">
        <v>5</v>
      </c>
      <c r="P3755">
        <f t="shared" si="195"/>
        <v>2025</v>
      </c>
      <c r="Q3755">
        <f t="shared" si="196"/>
        <v>10</v>
      </c>
      <c r="R3755" t="str">
        <f t="shared" si="197"/>
        <v>手淘搜索-直播</v>
      </c>
      <c r="S3755" t="s">
        <v>784</v>
      </c>
      <c r="T3755" t="s">
        <v>805</v>
      </c>
    </row>
    <row r="3756" spans="1:20" x14ac:dyDescent="0.3">
      <c r="A3756" t="s">
        <v>627</v>
      </c>
      <c r="B3756" s="16">
        <v>45945</v>
      </c>
      <c r="C3756" t="s">
        <v>3</v>
      </c>
      <c r="D3756" t="s">
        <v>128</v>
      </c>
      <c r="E3756" t="s">
        <v>179</v>
      </c>
      <c r="F3756">
        <v>2</v>
      </c>
      <c r="G3756">
        <v>1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2</v>
      </c>
      <c r="P3756">
        <f t="shared" si="195"/>
        <v>2025</v>
      </c>
      <c r="Q3756">
        <f t="shared" si="196"/>
        <v>10</v>
      </c>
      <c r="R3756" t="str">
        <f t="shared" si="197"/>
        <v>手淘搜索-短视频</v>
      </c>
      <c r="S3756" t="s">
        <v>784</v>
      </c>
      <c r="T3756" t="s">
        <v>805</v>
      </c>
    </row>
    <row r="3757" spans="1:20" x14ac:dyDescent="0.3">
      <c r="A3757" t="s">
        <v>627</v>
      </c>
      <c r="B3757" s="16">
        <v>45945</v>
      </c>
      <c r="C3757" t="s">
        <v>3</v>
      </c>
      <c r="D3757" t="s">
        <v>143</v>
      </c>
      <c r="E3757" t="s">
        <v>197</v>
      </c>
      <c r="F3757">
        <v>1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1</v>
      </c>
      <c r="P3757">
        <f t="shared" si="195"/>
        <v>2025</v>
      </c>
      <c r="Q3757">
        <f t="shared" si="196"/>
        <v>10</v>
      </c>
      <c r="R3757" t="str">
        <f t="shared" si="197"/>
        <v>淘特推荐</v>
      </c>
      <c r="S3757" t="s">
        <v>784</v>
      </c>
      <c r="T3757" t="s">
        <v>805</v>
      </c>
    </row>
    <row r="3758" spans="1:20" x14ac:dyDescent="0.3">
      <c r="A3758" t="s">
        <v>627</v>
      </c>
      <c r="B3758" s="16">
        <v>45945</v>
      </c>
      <c r="C3758" t="s">
        <v>3</v>
      </c>
      <c r="D3758" t="s">
        <v>143</v>
      </c>
      <c r="E3758" t="s">
        <v>181</v>
      </c>
      <c r="F3758">
        <v>1</v>
      </c>
      <c r="G3758">
        <v>1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1</v>
      </c>
      <c r="P3758">
        <f t="shared" si="195"/>
        <v>2025</v>
      </c>
      <c r="Q3758">
        <f t="shared" si="196"/>
        <v>10</v>
      </c>
      <c r="R3758" t="str">
        <f t="shared" si="197"/>
        <v>淘特搜索</v>
      </c>
      <c r="S3758" t="s">
        <v>784</v>
      </c>
      <c r="T3758" t="s">
        <v>805</v>
      </c>
    </row>
    <row r="3759" spans="1:20" x14ac:dyDescent="0.3">
      <c r="A3759" t="s">
        <v>627</v>
      </c>
      <c r="B3759" s="16">
        <v>45945</v>
      </c>
      <c r="C3759" t="s">
        <v>2</v>
      </c>
      <c r="D3759" t="s">
        <v>55</v>
      </c>
      <c r="E3759" t="s">
        <v>66</v>
      </c>
      <c r="F3759">
        <v>7</v>
      </c>
      <c r="G3759">
        <v>5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2</v>
      </c>
      <c r="P3759">
        <f t="shared" si="195"/>
        <v>2025</v>
      </c>
      <c r="Q3759">
        <f t="shared" si="196"/>
        <v>10</v>
      </c>
      <c r="R3759" t="str">
        <f t="shared" si="197"/>
        <v>短直联动</v>
      </c>
      <c r="S3759" t="s">
        <v>784</v>
      </c>
      <c r="T3759" t="s">
        <v>805</v>
      </c>
    </row>
    <row r="3760" spans="1:20" x14ac:dyDescent="0.3">
      <c r="A3760" t="s">
        <v>627</v>
      </c>
      <c r="B3760" s="16">
        <v>45945</v>
      </c>
      <c r="C3760" t="s">
        <v>2</v>
      </c>
      <c r="D3760" t="s">
        <v>55</v>
      </c>
      <c r="E3760" t="s">
        <v>54</v>
      </c>
      <c r="F3760">
        <v>1444</v>
      </c>
      <c r="G3760">
        <v>746</v>
      </c>
      <c r="H3760">
        <v>9</v>
      </c>
      <c r="I3760">
        <v>3</v>
      </c>
      <c r="J3760">
        <v>0</v>
      </c>
      <c r="K3760">
        <v>0</v>
      </c>
      <c r="L3760">
        <v>0</v>
      </c>
      <c r="M3760">
        <v>0</v>
      </c>
      <c r="N3760">
        <v>30</v>
      </c>
      <c r="O3760">
        <v>465</v>
      </c>
      <c r="P3760">
        <f t="shared" si="195"/>
        <v>2025</v>
      </c>
      <c r="Q3760">
        <f t="shared" si="196"/>
        <v>10</v>
      </c>
      <c r="R3760" t="str">
        <f t="shared" si="197"/>
        <v>超级直播</v>
      </c>
      <c r="S3760" t="s">
        <v>784</v>
      </c>
      <c r="T3760" t="s">
        <v>805</v>
      </c>
    </row>
    <row r="3761" spans="1:20" x14ac:dyDescent="0.3">
      <c r="A3761" t="s">
        <v>627</v>
      </c>
      <c r="B3761" s="16">
        <v>45945</v>
      </c>
      <c r="C3761" t="s">
        <v>2</v>
      </c>
      <c r="D3761" t="s">
        <v>55</v>
      </c>
      <c r="E3761" t="s">
        <v>56</v>
      </c>
      <c r="F3761">
        <v>515</v>
      </c>
      <c r="G3761">
        <v>311</v>
      </c>
      <c r="H3761">
        <v>2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8</v>
      </c>
      <c r="O3761">
        <v>216</v>
      </c>
      <c r="P3761">
        <f t="shared" si="195"/>
        <v>2025</v>
      </c>
      <c r="Q3761">
        <f t="shared" si="196"/>
        <v>10</v>
      </c>
      <c r="R3761" t="str">
        <f t="shared" si="197"/>
        <v>超级短视频</v>
      </c>
      <c r="S3761" t="s">
        <v>784</v>
      </c>
      <c r="T3761" t="s">
        <v>805</v>
      </c>
    </row>
    <row r="3762" spans="1:20" x14ac:dyDescent="0.3">
      <c r="A3762" t="s">
        <v>627</v>
      </c>
      <c r="B3762" s="16">
        <v>45945</v>
      </c>
      <c r="C3762" t="s">
        <v>2</v>
      </c>
      <c r="D3762" t="s">
        <v>52</v>
      </c>
      <c r="E3762" t="s">
        <v>58</v>
      </c>
      <c r="F3762">
        <v>1</v>
      </c>
      <c r="G3762">
        <v>1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1</v>
      </c>
      <c r="O3762">
        <v>0</v>
      </c>
      <c r="P3762">
        <f t="shared" si="195"/>
        <v>2025</v>
      </c>
      <c r="Q3762">
        <f t="shared" si="196"/>
        <v>10</v>
      </c>
      <c r="R3762" t="str">
        <f t="shared" si="197"/>
        <v>超级全域通</v>
      </c>
      <c r="S3762" t="s">
        <v>784</v>
      </c>
      <c r="T3762" t="s">
        <v>805</v>
      </c>
    </row>
    <row r="3763" spans="1:20" x14ac:dyDescent="0.3">
      <c r="A3763" t="s">
        <v>627</v>
      </c>
      <c r="B3763" s="16">
        <v>45945</v>
      </c>
      <c r="C3763" t="s">
        <v>2</v>
      </c>
      <c r="D3763" t="s">
        <v>57</v>
      </c>
      <c r="E3763" t="s">
        <v>63</v>
      </c>
      <c r="F3763">
        <v>615</v>
      </c>
      <c r="G3763">
        <v>518</v>
      </c>
      <c r="H3763">
        <v>15</v>
      </c>
      <c r="I3763">
        <v>4</v>
      </c>
      <c r="J3763">
        <v>9960</v>
      </c>
      <c r="K3763">
        <v>4</v>
      </c>
      <c r="L3763">
        <v>5970</v>
      </c>
      <c r="M3763">
        <v>3</v>
      </c>
      <c r="N3763">
        <v>614</v>
      </c>
      <c r="O3763">
        <v>283</v>
      </c>
      <c r="P3763">
        <f t="shared" si="195"/>
        <v>2025</v>
      </c>
      <c r="Q3763">
        <f t="shared" si="196"/>
        <v>10</v>
      </c>
      <c r="R3763" t="str">
        <f t="shared" si="197"/>
        <v>万相台</v>
      </c>
      <c r="S3763" t="s">
        <v>784</v>
      </c>
      <c r="T3763" t="s">
        <v>805</v>
      </c>
    </row>
    <row r="3764" spans="1:20" x14ac:dyDescent="0.3">
      <c r="A3764" t="s">
        <v>627</v>
      </c>
      <c r="B3764" s="16">
        <v>45945</v>
      </c>
      <c r="C3764" t="s">
        <v>2</v>
      </c>
      <c r="D3764" t="s">
        <v>57</v>
      </c>
      <c r="E3764" t="s">
        <v>64</v>
      </c>
      <c r="F3764">
        <v>24863</v>
      </c>
      <c r="G3764">
        <v>14850</v>
      </c>
      <c r="H3764">
        <v>118</v>
      </c>
      <c r="I3764">
        <v>113</v>
      </c>
      <c r="J3764">
        <v>32940</v>
      </c>
      <c r="K3764">
        <v>3</v>
      </c>
      <c r="L3764">
        <v>5440</v>
      </c>
      <c r="M3764">
        <v>2</v>
      </c>
      <c r="N3764">
        <v>511</v>
      </c>
      <c r="O3764">
        <v>24854</v>
      </c>
      <c r="P3764">
        <f t="shared" si="195"/>
        <v>2025</v>
      </c>
      <c r="Q3764">
        <f t="shared" si="196"/>
        <v>10</v>
      </c>
      <c r="R3764" t="str">
        <f t="shared" si="197"/>
        <v>引力魔方</v>
      </c>
      <c r="S3764" t="s">
        <v>784</v>
      </c>
      <c r="T3764" t="s">
        <v>805</v>
      </c>
    </row>
    <row r="3765" spans="1:20" x14ac:dyDescent="0.3">
      <c r="A3765" t="s">
        <v>627</v>
      </c>
      <c r="B3765" s="16">
        <v>45945</v>
      </c>
      <c r="C3765" t="s">
        <v>2</v>
      </c>
      <c r="D3765" t="s">
        <v>57</v>
      </c>
      <c r="E3765" t="s">
        <v>65</v>
      </c>
      <c r="F3765">
        <v>5240</v>
      </c>
      <c r="G3765">
        <v>4561</v>
      </c>
      <c r="H3765">
        <v>44</v>
      </c>
      <c r="I3765">
        <v>28</v>
      </c>
      <c r="J3765">
        <v>90339</v>
      </c>
      <c r="K3765">
        <v>7</v>
      </c>
      <c r="L3765">
        <v>17894</v>
      </c>
      <c r="M3765">
        <v>2</v>
      </c>
      <c r="N3765">
        <v>368</v>
      </c>
      <c r="O3765">
        <v>5164</v>
      </c>
      <c r="P3765">
        <f t="shared" si="195"/>
        <v>2025</v>
      </c>
      <c r="Q3765">
        <f t="shared" si="196"/>
        <v>10</v>
      </c>
      <c r="R3765" t="str">
        <f t="shared" si="197"/>
        <v>直通车</v>
      </c>
      <c r="S3765" t="s">
        <v>784</v>
      </c>
      <c r="T3765" t="s">
        <v>805</v>
      </c>
    </row>
    <row r="3766" spans="1:20" x14ac:dyDescent="0.3">
      <c r="A3766" t="s">
        <v>627</v>
      </c>
      <c r="B3766" s="16">
        <v>45945</v>
      </c>
      <c r="C3766" t="s">
        <v>2</v>
      </c>
      <c r="D3766" t="s">
        <v>4</v>
      </c>
      <c r="E3766" t="s">
        <v>42</v>
      </c>
      <c r="F3766">
        <v>1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1</v>
      </c>
      <c r="O3766">
        <v>0</v>
      </c>
      <c r="P3766">
        <f t="shared" si="195"/>
        <v>2025</v>
      </c>
      <c r="Q3766">
        <f t="shared" si="196"/>
        <v>10</v>
      </c>
      <c r="R3766" t="str">
        <f t="shared" si="197"/>
        <v>UD效果投放</v>
      </c>
      <c r="S3766" t="s">
        <v>784</v>
      </c>
      <c r="T3766" t="s">
        <v>805</v>
      </c>
    </row>
    <row r="3767" spans="1:20" x14ac:dyDescent="0.3">
      <c r="A3767" t="s">
        <v>627</v>
      </c>
      <c r="B3767" s="16">
        <v>45945</v>
      </c>
      <c r="C3767" t="s">
        <v>2</v>
      </c>
      <c r="D3767" t="s">
        <v>4</v>
      </c>
      <c r="E3767" t="s">
        <v>41</v>
      </c>
      <c r="F3767">
        <v>2</v>
      </c>
      <c r="G3767">
        <v>2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2</v>
      </c>
      <c r="P3767">
        <f t="shared" si="195"/>
        <v>2025</v>
      </c>
      <c r="Q3767">
        <f t="shared" si="196"/>
        <v>10</v>
      </c>
      <c r="R3767" t="str">
        <f t="shared" si="197"/>
        <v>流量宝</v>
      </c>
      <c r="S3767" t="s">
        <v>784</v>
      </c>
      <c r="T3767" t="s">
        <v>805</v>
      </c>
    </row>
    <row r="3768" spans="1:20" x14ac:dyDescent="0.3">
      <c r="A3768" t="s">
        <v>627</v>
      </c>
      <c r="B3768" s="16">
        <v>45945</v>
      </c>
      <c r="C3768" t="s">
        <v>2</v>
      </c>
      <c r="D3768" t="s">
        <v>4</v>
      </c>
      <c r="E3768" t="s">
        <v>43</v>
      </c>
      <c r="F3768">
        <v>363</v>
      </c>
      <c r="G3768">
        <v>106</v>
      </c>
      <c r="H3768">
        <v>0</v>
      </c>
      <c r="I3768">
        <v>1</v>
      </c>
      <c r="J3768">
        <v>0</v>
      </c>
      <c r="K3768">
        <v>0</v>
      </c>
      <c r="L3768">
        <v>0</v>
      </c>
      <c r="M3768">
        <v>0</v>
      </c>
      <c r="N3768">
        <v>3</v>
      </c>
      <c r="O3768">
        <v>356</v>
      </c>
      <c r="P3768">
        <f t="shared" si="195"/>
        <v>2025</v>
      </c>
      <c r="Q3768">
        <f t="shared" si="196"/>
        <v>10</v>
      </c>
      <c r="R3768" t="str">
        <f t="shared" si="197"/>
        <v>淘宝客</v>
      </c>
      <c r="S3768" t="s">
        <v>784</v>
      </c>
      <c r="T3768" t="s">
        <v>805</v>
      </c>
    </row>
    <row r="3769" spans="1:20" x14ac:dyDescent="0.3">
      <c r="A3769" t="s">
        <v>627</v>
      </c>
      <c r="B3769" s="16">
        <v>45944</v>
      </c>
      <c r="C3769" t="s">
        <v>3</v>
      </c>
      <c r="D3769" t="s">
        <v>123</v>
      </c>
      <c r="E3769" t="s">
        <v>170</v>
      </c>
      <c r="F3769">
        <v>36</v>
      </c>
      <c r="G3769">
        <v>25</v>
      </c>
      <c r="H3769">
        <v>2</v>
      </c>
      <c r="I3769">
        <v>1</v>
      </c>
      <c r="J3769">
        <v>0</v>
      </c>
      <c r="K3769">
        <v>0</v>
      </c>
      <c r="L3769">
        <v>0</v>
      </c>
      <c r="M3769">
        <v>0</v>
      </c>
      <c r="N3769">
        <v>32</v>
      </c>
      <c r="O3769">
        <v>13</v>
      </c>
      <c r="P3769">
        <f t="shared" si="195"/>
        <v>2025</v>
      </c>
      <c r="Q3769">
        <f t="shared" si="196"/>
        <v>10</v>
      </c>
      <c r="R3769" t="str">
        <f t="shared" si="197"/>
        <v>店铺超链</v>
      </c>
      <c r="S3769" t="s">
        <v>784</v>
      </c>
      <c r="T3769" t="s">
        <v>805</v>
      </c>
    </row>
    <row r="3770" spans="1:20" x14ac:dyDescent="0.3">
      <c r="A3770" t="s">
        <v>627</v>
      </c>
      <c r="B3770" s="16">
        <v>45944</v>
      </c>
      <c r="C3770" t="s">
        <v>3</v>
      </c>
      <c r="D3770" t="s">
        <v>127</v>
      </c>
      <c r="E3770" t="s">
        <v>171</v>
      </c>
      <c r="F3770">
        <v>378</v>
      </c>
      <c r="G3770">
        <v>159</v>
      </c>
      <c r="H3770">
        <v>21</v>
      </c>
      <c r="I3770">
        <v>13</v>
      </c>
      <c r="J3770">
        <v>38840</v>
      </c>
      <c r="K3770">
        <v>5</v>
      </c>
      <c r="L3770">
        <v>31900</v>
      </c>
      <c r="M3770">
        <v>5</v>
      </c>
      <c r="N3770">
        <v>73</v>
      </c>
      <c r="O3770">
        <v>365</v>
      </c>
      <c r="P3770">
        <f t="shared" si="195"/>
        <v>2025</v>
      </c>
      <c r="Q3770">
        <f t="shared" si="196"/>
        <v>10</v>
      </c>
      <c r="R3770" t="str">
        <f t="shared" si="197"/>
        <v>其他猜你喜欢</v>
      </c>
      <c r="S3770" t="s">
        <v>784</v>
      </c>
      <c r="T3770" t="s">
        <v>805</v>
      </c>
    </row>
    <row r="3771" spans="1:20" x14ac:dyDescent="0.3">
      <c r="A3771" t="s">
        <v>627</v>
      </c>
      <c r="B3771" s="16">
        <v>45944</v>
      </c>
      <c r="C3771" t="s">
        <v>3</v>
      </c>
      <c r="D3771" t="s">
        <v>127</v>
      </c>
      <c r="E3771" t="s">
        <v>172</v>
      </c>
      <c r="F3771">
        <v>53</v>
      </c>
      <c r="G3771">
        <v>24</v>
      </c>
      <c r="H3771">
        <v>2</v>
      </c>
      <c r="I3771">
        <v>2</v>
      </c>
      <c r="J3771">
        <v>0</v>
      </c>
      <c r="K3771">
        <v>0</v>
      </c>
      <c r="L3771">
        <v>0</v>
      </c>
      <c r="M3771">
        <v>0</v>
      </c>
      <c r="N3771">
        <v>5</v>
      </c>
      <c r="O3771">
        <v>53</v>
      </c>
      <c r="P3771">
        <f t="shared" si="195"/>
        <v>2025</v>
      </c>
      <c r="Q3771">
        <f t="shared" si="196"/>
        <v>10</v>
      </c>
      <c r="R3771" t="str">
        <f t="shared" si="197"/>
        <v>购中推荐</v>
      </c>
      <c r="S3771" t="s">
        <v>784</v>
      </c>
      <c r="T3771" t="s">
        <v>805</v>
      </c>
    </row>
    <row r="3772" spans="1:20" x14ac:dyDescent="0.3">
      <c r="A3772" t="s">
        <v>627</v>
      </c>
      <c r="B3772" s="16">
        <v>45944</v>
      </c>
      <c r="C3772" t="s">
        <v>3</v>
      </c>
      <c r="D3772" t="s">
        <v>127</v>
      </c>
      <c r="E3772" t="s">
        <v>173</v>
      </c>
      <c r="F3772">
        <v>289</v>
      </c>
      <c r="G3772">
        <v>126</v>
      </c>
      <c r="H3772">
        <v>9</v>
      </c>
      <c r="I3772">
        <v>1</v>
      </c>
      <c r="J3772">
        <v>15110</v>
      </c>
      <c r="K3772">
        <v>3</v>
      </c>
      <c r="L3772">
        <v>15110</v>
      </c>
      <c r="M3772">
        <v>3</v>
      </c>
      <c r="N3772">
        <v>24</v>
      </c>
      <c r="O3772">
        <v>286</v>
      </c>
      <c r="P3772">
        <f t="shared" si="195"/>
        <v>2025</v>
      </c>
      <c r="Q3772">
        <f t="shared" si="196"/>
        <v>10</v>
      </c>
      <c r="R3772" t="str">
        <f t="shared" si="197"/>
        <v>购后推荐</v>
      </c>
      <c r="S3772" t="s">
        <v>784</v>
      </c>
      <c r="T3772" t="s">
        <v>805</v>
      </c>
    </row>
    <row r="3773" spans="1:20" x14ac:dyDescent="0.3">
      <c r="A3773" t="s">
        <v>627</v>
      </c>
      <c r="B3773" s="16">
        <v>45944</v>
      </c>
      <c r="C3773" t="s">
        <v>3</v>
      </c>
      <c r="D3773" t="s">
        <v>127</v>
      </c>
      <c r="E3773" t="s">
        <v>174</v>
      </c>
      <c r="F3773">
        <v>3294</v>
      </c>
      <c r="G3773">
        <v>1444</v>
      </c>
      <c r="H3773">
        <v>65</v>
      </c>
      <c r="I3773">
        <v>17</v>
      </c>
      <c r="J3773">
        <v>59026.96</v>
      </c>
      <c r="K3773">
        <v>12</v>
      </c>
      <c r="L3773">
        <v>54046.96</v>
      </c>
      <c r="M3773">
        <v>10</v>
      </c>
      <c r="N3773">
        <v>255</v>
      </c>
      <c r="O3773">
        <v>3294</v>
      </c>
      <c r="P3773">
        <f t="shared" si="195"/>
        <v>2025</v>
      </c>
      <c r="Q3773">
        <f t="shared" si="196"/>
        <v>10</v>
      </c>
      <c r="R3773" t="str">
        <f t="shared" si="197"/>
        <v>首页推荐-微详情</v>
      </c>
      <c r="S3773" t="s">
        <v>784</v>
      </c>
      <c r="T3773" t="s">
        <v>805</v>
      </c>
    </row>
    <row r="3774" spans="1:20" x14ac:dyDescent="0.3">
      <c r="A3774" t="s">
        <v>627</v>
      </c>
      <c r="B3774" s="16">
        <v>45944</v>
      </c>
      <c r="C3774" t="s">
        <v>3</v>
      </c>
      <c r="D3774" t="s">
        <v>127</v>
      </c>
      <c r="E3774" t="s">
        <v>175</v>
      </c>
      <c r="F3774">
        <v>102</v>
      </c>
      <c r="G3774">
        <v>68</v>
      </c>
      <c r="H3774">
        <v>0</v>
      </c>
      <c r="I3774">
        <v>0</v>
      </c>
      <c r="J3774">
        <v>3990</v>
      </c>
      <c r="K3774">
        <v>1</v>
      </c>
      <c r="L3774">
        <v>0</v>
      </c>
      <c r="M3774">
        <v>0</v>
      </c>
      <c r="N3774">
        <v>3</v>
      </c>
      <c r="O3774">
        <v>62</v>
      </c>
      <c r="P3774">
        <f t="shared" si="195"/>
        <v>2025</v>
      </c>
      <c r="Q3774">
        <f t="shared" si="196"/>
        <v>10</v>
      </c>
      <c r="R3774" t="str">
        <f t="shared" si="197"/>
        <v>首页推荐-直播</v>
      </c>
      <c r="S3774" t="s">
        <v>784</v>
      </c>
      <c r="T3774" t="s">
        <v>805</v>
      </c>
    </row>
    <row r="3775" spans="1:20" x14ac:dyDescent="0.3">
      <c r="A3775" t="s">
        <v>627</v>
      </c>
      <c r="B3775" s="16">
        <v>45944</v>
      </c>
      <c r="C3775" t="s">
        <v>3</v>
      </c>
      <c r="D3775" t="s">
        <v>127</v>
      </c>
      <c r="E3775" t="s">
        <v>176</v>
      </c>
      <c r="F3775">
        <v>31</v>
      </c>
      <c r="G3775">
        <v>14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2</v>
      </c>
      <c r="O3775">
        <v>4</v>
      </c>
      <c r="P3775">
        <f t="shared" si="195"/>
        <v>2025</v>
      </c>
      <c r="Q3775">
        <f t="shared" si="196"/>
        <v>10</v>
      </c>
      <c r="R3775" t="str">
        <f t="shared" si="197"/>
        <v>首页推荐-短视频</v>
      </c>
      <c r="S3775" t="s">
        <v>784</v>
      </c>
      <c r="T3775" t="s">
        <v>805</v>
      </c>
    </row>
    <row r="3776" spans="1:20" x14ac:dyDescent="0.3">
      <c r="A3776" t="s">
        <v>627</v>
      </c>
      <c r="B3776" s="16">
        <v>45944</v>
      </c>
      <c r="C3776" t="s">
        <v>3</v>
      </c>
      <c r="D3776" t="s">
        <v>128</v>
      </c>
      <c r="E3776" t="s">
        <v>177</v>
      </c>
      <c r="F3776">
        <v>1034</v>
      </c>
      <c r="G3776">
        <v>886</v>
      </c>
      <c r="H3776">
        <v>22</v>
      </c>
      <c r="I3776">
        <v>5</v>
      </c>
      <c r="J3776">
        <v>24800</v>
      </c>
      <c r="K3776">
        <v>3</v>
      </c>
      <c r="L3776">
        <v>2050</v>
      </c>
      <c r="M3776">
        <v>1</v>
      </c>
      <c r="N3776">
        <v>167</v>
      </c>
      <c r="O3776">
        <v>976</v>
      </c>
      <c r="P3776">
        <f t="shared" si="195"/>
        <v>2025</v>
      </c>
      <c r="Q3776">
        <f t="shared" si="196"/>
        <v>10</v>
      </c>
      <c r="R3776" t="str">
        <f t="shared" si="197"/>
        <v>手淘搜索-商品及其他</v>
      </c>
      <c r="S3776" t="s">
        <v>784</v>
      </c>
      <c r="T3776" t="s">
        <v>805</v>
      </c>
    </row>
    <row r="3777" spans="1:20" x14ac:dyDescent="0.3">
      <c r="A3777" t="s">
        <v>627</v>
      </c>
      <c r="B3777" s="16">
        <v>45944</v>
      </c>
      <c r="C3777" t="s">
        <v>3</v>
      </c>
      <c r="D3777" t="s">
        <v>128</v>
      </c>
      <c r="E3777" t="s">
        <v>178</v>
      </c>
      <c r="F3777">
        <v>3</v>
      </c>
      <c r="G3777">
        <v>2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2</v>
      </c>
      <c r="P3777">
        <f t="shared" si="195"/>
        <v>2025</v>
      </c>
      <c r="Q3777">
        <f t="shared" si="196"/>
        <v>10</v>
      </c>
      <c r="R3777" t="str">
        <f t="shared" si="197"/>
        <v>手淘搜索-直播</v>
      </c>
      <c r="S3777" t="s">
        <v>784</v>
      </c>
      <c r="T3777" t="s">
        <v>805</v>
      </c>
    </row>
    <row r="3778" spans="1:20" x14ac:dyDescent="0.3">
      <c r="A3778" t="s">
        <v>627</v>
      </c>
      <c r="B3778" s="16">
        <v>45944</v>
      </c>
      <c r="C3778" t="s">
        <v>3</v>
      </c>
      <c r="D3778" t="s">
        <v>128</v>
      </c>
      <c r="E3778" t="s">
        <v>179</v>
      </c>
      <c r="F3778">
        <v>3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3</v>
      </c>
      <c r="P3778">
        <f t="shared" si="195"/>
        <v>2025</v>
      </c>
      <c r="Q3778">
        <f t="shared" si="196"/>
        <v>10</v>
      </c>
      <c r="R3778" t="str">
        <f t="shared" si="197"/>
        <v>手淘搜索-短视频</v>
      </c>
      <c r="S3778" t="s">
        <v>784</v>
      </c>
      <c r="T3778" t="s">
        <v>805</v>
      </c>
    </row>
    <row r="3779" spans="1:20" x14ac:dyDescent="0.3">
      <c r="A3779" t="s">
        <v>627</v>
      </c>
      <c r="B3779" s="16">
        <v>45944</v>
      </c>
      <c r="C3779" t="s">
        <v>3</v>
      </c>
      <c r="D3779" t="s">
        <v>143</v>
      </c>
      <c r="E3779" t="s">
        <v>180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1</v>
      </c>
      <c r="P3779">
        <f t="shared" si="195"/>
        <v>2025</v>
      </c>
      <c r="Q3779">
        <f t="shared" si="196"/>
        <v>10</v>
      </c>
      <c r="R3779" t="str">
        <f t="shared" si="197"/>
        <v>淘特其他渠道</v>
      </c>
      <c r="S3779" t="s">
        <v>784</v>
      </c>
      <c r="T3779" t="s">
        <v>805</v>
      </c>
    </row>
    <row r="3780" spans="1:20" x14ac:dyDescent="0.3">
      <c r="A3780" t="s">
        <v>627</v>
      </c>
      <c r="B3780" s="16">
        <v>45944</v>
      </c>
      <c r="C3780" t="s">
        <v>3</v>
      </c>
      <c r="D3780" t="s">
        <v>143</v>
      </c>
      <c r="E3780" t="s">
        <v>197</v>
      </c>
      <c r="F3780">
        <v>1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1</v>
      </c>
      <c r="P3780">
        <f t="shared" si="195"/>
        <v>2025</v>
      </c>
      <c r="Q3780">
        <f t="shared" si="196"/>
        <v>10</v>
      </c>
      <c r="R3780" t="str">
        <f t="shared" si="197"/>
        <v>淘特推荐</v>
      </c>
      <c r="S3780" t="s">
        <v>784</v>
      </c>
      <c r="T3780" t="s">
        <v>805</v>
      </c>
    </row>
    <row r="3781" spans="1:20" x14ac:dyDescent="0.3">
      <c r="A3781" t="s">
        <v>627</v>
      </c>
      <c r="B3781" s="16">
        <v>45944</v>
      </c>
      <c r="C3781" t="s">
        <v>2</v>
      </c>
      <c r="D3781" t="s">
        <v>55</v>
      </c>
      <c r="E3781" t="s">
        <v>66</v>
      </c>
      <c r="F3781">
        <v>16</v>
      </c>
      <c r="G3781">
        <v>15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f t="shared" si="195"/>
        <v>2025</v>
      </c>
      <c r="Q3781">
        <f t="shared" si="196"/>
        <v>10</v>
      </c>
      <c r="R3781" t="str">
        <f t="shared" si="197"/>
        <v>短直联动</v>
      </c>
      <c r="S3781" t="s">
        <v>784</v>
      </c>
      <c r="T3781" t="s">
        <v>805</v>
      </c>
    </row>
    <row r="3782" spans="1:20" x14ac:dyDescent="0.3">
      <c r="A3782" t="s">
        <v>627</v>
      </c>
      <c r="B3782" s="16">
        <v>45944</v>
      </c>
      <c r="C3782" t="s">
        <v>2</v>
      </c>
      <c r="D3782" t="s">
        <v>55</v>
      </c>
      <c r="E3782" t="s">
        <v>54</v>
      </c>
      <c r="F3782">
        <v>1313</v>
      </c>
      <c r="G3782">
        <v>839</v>
      </c>
      <c r="H3782">
        <v>11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28</v>
      </c>
      <c r="O3782">
        <v>362</v>
      </c>
      <c r="P3782">
        <f t="shared" si="195"/>
        <v>2025</v>
      </c>
      <c r="Q3782">
        <f t="shared" si="196"/>
        <v>10</v>
      </c>
      <c r="R3782" t="str">
        <f t="shared" si="197"/>
        <v>超级直播</v>
      </c>
      <c r="S3782" t="s">
        <v>784</v>
      </c>
      <c r="T3782" t="s">
        <v>805</v>
      </c>
    </row>
    <row r="3783" spans="1:20" x14ac:dyDescent="0.3">
      <c r="A3783" t="s">
        <v>627</v>
      </c>
      <c r="B3783" s="16">
        <v>45944</v>
      </c>
      <c r="C3783" t="s">
        <v>2</v>
      </c>
      <c r="D3783" t="s">
        <v>55</v>
      </c>
      <c r="E3783" t="s">
        <v>56</v>
      </c>
      <c r="F3783">
        <v>546</v>
      </c>
      <c r="G3783">
        <v>327</v>
      </c>
      <c r="H3783">
        <v>0</v>
      </c>
      <c r="I3783">
        <v>2</v>
      </c>
      <c r="J3783">
        <v>0</v>
      </c>
      <c r="K3783">
        <v>0</v>
      </c>
      <c r="L3783">
        <v>0</v>
      </c>
      <c r="M3783">
        <v>0</v>
      </c>
      <c r="N3783">
        <v>8</v>
      </c>
      <c r="O3783">
        <v>253</v>
      </c>
      <c r="P3783">
        <f t="shared" si="195"/>
        <v>2025</v>
      </c>
      <c r="Q3783">
        <f t="shared" si="196"/>
        <v>10</v>
      </c>
      <c r="R3783" t="str">
        <f t="shared" si="197"/>
        <v>超级短视频</v>
      </c>
      <c r="S3783" t="s">
        <v>784</v>
      </c>
      <c r="T3783" t="s">
        <v>805</v>
      </c>
    </row>
    <row r="3784" spans="1:20" x14ac:dyDescent="0.3">
      <c r="A3784" t="s">
        <v>627</v>
      </c>
      <c r="B3784" s="16">
        <v>45944</v>
      </c>
      <c r="C3784" t="s">
        <v>2</v>
      </c>
      <c r="D3784" t="s">
        <v>52</v>
      </c>
      <c r="E3784" t="s">
        <v>51</v>
      </c>
      <c r="F3784">
        <v>1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</v>
      </c>
      <c r="P3784">
        <f t="shared" si="195"/>
        <v>2025</v>
      </c>
      <c r="Q3784">
        <f t="shared" si="196"/>
        <v>10</v>
      </c>
      <c r="R3784" t="str">
        <f t="shared" si="197"/>
        <v>品牌定制</v>
      </c>
      <c r="S3784" t="s">
        <v>784</v>
      </c>
      <c r="T3784" t="s">
        <v>805</v>
      </c>
    </row>
    <row r="3785" spans="1:20" x14ac:dyDescent="0.3">
      <c r="A3785" t="s">
        <v>627</v>
      </c>
      <c r="B3785" s="16">
        <v>45944</v>
      </c>
      <c r="C3785" t="s">
        <v>2</v>
      </c>
      <c r="D3785" t="s">
        <v>57</v>
      </c>
      <c r="E3785" t="s">
        <v>63</v>
      </c>
      <c r="F3785">
        <v>635</v>
      </c>
      <c r="G3785">
        <v>554</v>
      </c>
      <c r="H3785">
        <v>12</v>
      </c>
      <c r="I3785">
        <v>3</v>
      </c>
      <c r="J3785">
        <v>4695</v>
      </c>
      <c r="K3785">
        <v>1</v>
      </c>
      <c r="L3785">
        <v>4695</v>
      </c>
      <c r="M3785">
        <v>1</v>
      </c>
      <c r="N3785">
        <v>634</v>
      </c>
      <c r="O3785">
        <v>262</v>
      </c>
      <c r="P3785">
        <f t="shared" si="195"/>
        <v>2025</v>
      </c>
      <c r="Q3785">
        <f t="shared" si="196"/>
        <v>10</v>
      </c>
      <c r="R3785" t="str">
        <f t="shared" si="197"/>
        <v>万相台</v>
      </c>
      <c r="S3785" t="s">
        <v>784</v>
      </c>
      <c r="T3785" t="s">
        <v>805</v>
      </c>
    </row>
    <row r="3786" spans="1:20" x14ac:dyDescent="0.3">
      <c r="A3786" t="s">
        <v>627</v>
      </c>
      <c r="B3786" s="16">
        <v>45944</v>
      </c>
      <c r="C3786" t="s">
        <v>2</v>
      </c>
      <c r="D3786" t="s">
        <v>57</v>
      </c>
      <c r="E3786" t="s">
        <v>64</v>
      </c>
      <c r="F3786">
        <v>18556</v>
      </c>
      <c r="G3786">
        <v>7429</v>
      </c>
      <c r="H3786">
        <v>114</v>
      </c>
      <c r="I3786">
        <v>83</v>
      </c>
      <c r="J3786">
        <v>50705</v>
      </c>
      <c r="K3786">
        <v>9</v>
      </c>
      <c r="L3786">
        <v>50705</v>
      </c>
      <c r="M3786">
        <v>9</v>
      </c>
      <c r="N3786">
        <v>518</v>
      </c>
      <c r="O3786">
        <v>18554</v>
      </c>
      <c r="P3786">
        <f t="shared" si="195"/>
        <v>2025</v>
      </c>
      <c r="Q3786">
        <f t="shared" si="196"/>
        <v>10</v>
      </c>
      <c r="R3786" t="str">
        <f t="shared" si="197"/>
        <v>引力魔方</v>
      </c>
      <c r="S3786" t="s">
        <v>784</v>
      </c>
      <c r="T3786" t="s">
        <v>805</v>
      </c>
    </row>
    <row r="3787" spans="1:20" x14ac:dyDescent="0.3">
      <c r="A3787" t="s">
        <v>627</v>
      </c>
      <c r="B3787" s="16">
        <v>45944</v>
      </c>
      <c r="C3787" t="s">
        <v>2</v>
      </c>
      <c r="D3787" t="s">
        <v>57</v>
      </c>
      <c r="E3787" t="s">
        <v>65</v>
      </c>
      <c r="F3787">
        <v>5578</v>
      </c>
      <c r="G3787">
        <v>4972</v>
      </c>
      <c r="H3787">
        <v>39</v>
      </c>
      <c r="I3787">
        <v>15</v>
      </c>
      <c r="J3787">
        <v>86990</v>
      </c>
      <c r="K3787">
        <v>6</v>
      </c>
      <c r="L3787">
        <v>3980</v>
      </c>
      <c r="M3787">
        <v>1</v>
      </c>
      <c r="N3787">
        <v>333</v>
      </c>
      <c r="O3787">
        <v>5511</v>
      </c>
      <c r="P3787">
        <f t="shared" si="195"/>
        <v>2025</v>
      </c>
      <c r="Q3787">
        <f t="shared" si="196"/>
        <v>10</v>
      </c>
      <c r="R3787" t="str">
        <f t="shared" si="197"/>
        <v>直通车</v>
      </c>
      <c r="S3787" t="s">
        <v>784</v>
      </c>
      <c r="T3787" t="s">
        <v>805</v>
      </c>
    </row>
    <row r="3788" spans="1:20" x14ac:dyDescent="0.3">
      <c r="A3788" t="s">
        <v>627</v>
      </c>
      <c r="B3788" s="16">
        <v>45944</v>
      </c>
      <c r="C3788" t="s">
        <v>2</v>
      </c>
      <c r="D3788" t="s">
        <v>4</v>
      </c>
      <c r="E3788" t="s">
        <v>41</v>
      </c>
      <c r="F3788">
        <v>3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3</v>
      </c>
      <c r="P3788">
        <f t="shared" si="195"/>
        <v>2025</v>
      </c>
      <c r="Q3788">
        <f t="shared" si="196"/>
        <v>10</v>
      </c>
      <c r="R3788" t="str">
        <f t="shared" si="197"/>
        <v>流量宝</v>
      </c>
      <c r="S3788" t="s">
        <v>784</v>
      </c>
      <c r="T3788" t="s">
        <v>805</v>
      </c>
    </row>
    <row r="3789" spans="1:20" x14ac:dyDescent="0.3">
      <c r="A3789" t="s">
        <v>627</v>
      </c>
      <c r="B3789" s="16">
        <v>45944</v>
      </c>
      <c r="C3789" t="s">
        <v>2</v>
      </c>
      <c r="D3789" t="s">
        <v>4</v>
      </c>
      <c r="E3789" t="s">
        <v>43</v>
      </c>
      <c r="F3789">
        <v>234</v>
      </c>
      <c r="G3789">
        <v>41</v>
      </c>
      <c r="H3789">
        <v>1</v>
      </c>
      <c r="I3789">
        <v>3</v>
      </c>
      <c r="J3789">
        <v>2990</v>
      </c>
      <c r="K3789">
        <v>1</v>
      </c>
      <c r="L3789">
        <v>0</v>
      </c>
      <c r="M3789">
        <v>0</v>
      </c>
      <c r="N3789">
        <v>5</v>
      </c>
      <c r="O3789">
        <v>232</v>
      </c>
      <c r="P3789">
        <f t="shared" si="195"/>
        <v>2025</v>
      </c>
      <c r="Q3789">
        <f t="shared" si="196"/>
        <v>10</v>
      </c>
      <c r="R3789" t="str">
        <f t="shared" si="197"/>
        <v>淘宝客</v>
      </c>
      <c r="S3789" t="s">
        <v>784</v>
      </c>
      <c r="T3789" t="s">
        <v>805</v>
      </c>
    </row>
    <row r="3790" spans="1:20" x14ac:dyDescent="0.3">
      <c r="A3790" t="s">
        <v>627</v>
      </c>
      <c r="B3790" s="16">
        <v>45943</v>
      </c>
      <c r="C3790" t="s">
        <v>3</v>
      </c>
      <c r="D3790" t="s">
        <v>117</v>
      </c>
      <c r="E3790" t="s">
        <v>161</v>
      </c>
      <c r="F3790">
        <v>1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1</v>
      </c>
      <c r="O3790">
        <v>1</v>
      </c>
      <c r="P3790">
        <f t="shared" si="195"/>
        <v>2025</v>
      </c>
      <c r="Q3790">
        <f t="shared" si="196"/>
        <v>10</v>
      </c>
      <c r="R3790" t="str">
        <f t="shared" si="197"/>
        <v>其他入口榜单</v>
      </c>
      <c r="S3790" t="s">
        <v>784</v>
      </c>
      <c r="T3790" t="s">
        <v>805</v>
      </c>
    </row>
    <row r="3791" spans="1:20" x14ac:dyDescent="0.3">
      <c r="A3791" t="s">
        <v>627</v>
      </c>
      <c r="B3791" s="16">
        <v>45943</v>
      </c>
      <c r="C3791" t="s">
        <v>3</v>
      </c>
      <c r="D3791" t="s">
        <v>123</v>
      </c>
      <c r="E3791" t="s">
        <v>170</v>
      </c>
      <c r="F3791">
        <v>48</v>
      </c>
      <c r="G3791">
        <v>20</v>
      </c>
      <c r="H3791">
        <v>1</v>
      </c>
      <c r="I3791">
        <v>0</v>
      </c>
      <c r="J3791">
        <v>7080</v>
      </c>
      <c r="K3791">
        <v>2</v>
      </c>
      <c r="L3791">
        <v>7080</v>
      </c>
      <c r="M3791">
        <v>2</v>
      </c>
      <c r="N3791">
        <v>43</v>
      </c>
      <c r="O3791">
        <v>27</v>
      </c>
      <c r="P3791">
        <f t="shared" si="195"/>
        <v>2025</v>
      </c>
      <c r="Q3791">
        <f t="shared" si="196"/>
        <v>10</v>
      </c>
      <c r="R3791" t="str">
        <f t="shared" si="197"/>
        <v>店铺超链</v>
      </c>
      <c r="S3791" t="s">
        <v>784</v>
      </c>
      <c r="T3791" t="s">
        <v>805</v>
      </c>
    </row>
    <row r="3792" spans="1:20" x14ac:dyDescent="0.3">
      <c r="A3792" t="s">
        <v>627</v>
      </c>
      <c r="B3792" s="16">
        <v>45943</v>
      </c>
      <c r="C3792" t="s">
        <v>3</v>
      </c>
      <c r="D3792" t="s">
        <v>127</v>
      </c>
      <c r="E3792" t="s">
        <v>171</v>
      </c>
      <c r="F3792">
        <v>364</v>
      </c>
      <c r="G3792">
        <v>134</v>
      </c>
      <c r="H3792">
        <v>15</v>
      </c>
      <c r="I3792">
        <v>2</v>
      </c>
      <c r="J3792">
        <v>2090</v>
      </c>
      <c r="K3792">
        <v>1</v>
      </c>
      <c r="L3792">
        <v>2090</v>
      </c>
      <c r="M3792">
        <v>1</v>
      </c>
      <c r="N3792">
        <v>72</v>
      </c>
      <c r="O3792">
        <v>341</v>
      </c>
      <c r="P3792">
        <f t="shared" si="195"/>
        <v>2025</v>
      </c>
      <c r="Q3792">
        <f t="shared" si="196"/>
        <v>10</v>
      </c>
      <c r="R3792" t="str">
        <f t="shared" si="197"/>
        <v>其他猜你喜欢</v>
      </c>
      <c r="S3792" t="s">
        <v>784</v>
      </c>
      <c r="T3792" t="s">
        <v>805</v>
      </c>
    </row>
    <row r="3793" spans="1:20" x14ac:dyDescent="0.3">
      <c r="A3793" t="s">
        <v>627</v>
      </c>
      <c r="B3793" s="16">
        <v>45943</v>
      </c>
      <c r="C3793" t="s">
        <v>3</v>
      </c>
      <c r="D3793" t="s">
        <v>127</v>
      </c>
      <c r="E3793" t="s">
        <v>172</v>
      </c>
      <c r="F3793">
        <v>42</v>
      </c>
      <c r="G3793">
        <v>15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4</v>
      </c>
      <c r="O3793">
        <v>35</v>
      </c>
      <c r="P3793">
        <f t="shared" si="195"/>
        <v>2025</v>
      </c>
      <c r="Q3793">
        <f t="shared" si="196"/>
        <v>10</v>
      </c>
      <c r="R3793" t="str">
        <f t="shared" si="197"/>
        <v>购中推荐</v>
      </c>
      <c r="S3793" t="s">
        <v>784</v>
      </c>
      <c r="T3793" t="s">
        <v>805</v>
      </c>
    </row>
    <row r="3794" spans="1:20" x14ac:dyDescent="0.3">
      <c r="A3794" t="s">
        <v>627</v>
      </c>
      <c r="B3794" s="16">
        <v>45943</v>
      </c>
      <c r="C3794" t="s">
        <v>3</v>
      </c>
      <c r="D3794" t="s">
        <v>127</v>
      </c>
      <c r="E3794" t="s">
        <v>173</v>
      </c>
      <c r="F3794">
        <v>337</v>
      </c>
      <c r="G3794">
        <v>202</v>
      </c>
      <c r="H3794">
        <v>11</v>
      </c>
      <c r="I3794">
        <v>2</v>
      </c>
      <c r="J3794">
        <v>43510</v>
      </c>
      <c r="K3794">
        <v>5</v>
      </c>
      <c r="L3794">
        <v>43510</v>
      </c>
      <c r="M3794">
        <v>5</v>
      </c>
      <c r="N3794">
        <v>15</v>
      </c>
      <c r="O3794">
        <v>246</v>
      </c>
      <c r="P3794">
        <f t="shared" si="195"/>
        <v>2025</v>
      </c>
      <c r="Q3794">
        <f t="shared" si="196"/>
        <v>10</v>
      </c>
      <c r="R3794" t="str">
        <f t="shared" si="197"/>
        <v>购后推荐</v>
      </c>
      <c r="S3794" t="s">
        <v>784</v>
      </c>
      <c r="T3794" t="s">
        <v>805</v>
      </c>
    </row>
    <row r="3795" spans="1:20" x14ac:dyDescent="0.3">
      <c r="A3795" t="s">
        <v>627</v>
      </c>
      <c r="B3795" s="16">
        <v>45943</v>
      </c>
      <c r="C3795" t="s">
        <v>3</v>
      </c>
      <c r="D3795" t="s">
        <v>127</v>
      </c>
      <c r="E3795" t="s">
        <v>174</v>
      </c>
      <c r="F3795">
        <v>3290</v>
      </c>
      <c r="G3795">
        <v>1803</v>
      </c>
      <c r="H3795">
        <v>52</v>
      </c>
      <c r="I3795">
        <v>13</v>
      </c>
      <c r="J3795">
        <v>46165</v>
      </c>
      <c r="K3795">
        <v>7</v>
      </c>
      <c r="L3795">
        <v>29690</v>
      </c>
      <c r="M3795">
        <v>3</v>
      </c>
      <c r="N3795">
        <v>177</v>
      </c>
      <c r="O3795">
        <v>3290</v>
      </c>
      <c r="P3795">
        <f t="shared" si="195"/>
        <v>2025</v>
      </c>
      <c r="Q3795">
        <f t="shared" si="196"/>
        <v>10</v>
      </c>
      <c r="R3795" t="str">
        <f t="shared" si="197"/>
        <v>首页推荐-微详情</v>
      </c>
      <c r="S3795" t="s">
        <v>784</v>
      </c>
      <c r="T3795" t="s">
        <v>805</v>
      </c>
    </row>
    <row r="3796" spans="1:20" x14ac:dyDescent="0.3">
      <c r="A3796" t="s">
        <v>627</v>
      </c>
      <c r="B3796" s="16">
        <v>45943</v>
      </c>
      <c r="C3796" t="s">
        <v>3</v>
      </c>
      <c r="D3796" t="s">
        <v>127</v>
      </c>
      <c r="E3796" t="s">
        <v>176</v>
      </c>
      <c r="F3796">
        <v>158</v>
      </c>
      <c r="G3796">
        <v>129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2</v>
      </c>
      <c r="O3796">
        <v>14</v>
      </c>
      <c r="P3796">
        <f t="shared" si="195"/>
        <v>2025</v>
      </c>
      <c r="Q3796">
        <f t="shared" si="196"/>
        <v>10</v>
      </c>
      <c r="R3796" t="str">
        <f t="shared" si="197"/>
        <v>首页推荐-短视频</v>
      </c>
      <c r="S3796" t="s">
        <v>784</v>
      </c>
      <c r="T3796" t="s">
        <v>805</v>
      </c>
    </row>
    <row r="3797" spans="1:20" x14ac:dyDescent="0.3">
      <c r="A3797" t="s">
        <v>627</v>
      </c>
      <c r="B3797" s="16">
        <v>45943</v>
      </c>
      <c r="C3797" t="s">
        <v>3</v>
      </c>
      <c r="D3797" t="s">
        <v>128</v>
      </c>
      <c r="E3797" t="s">
        <v>177</v>
      </c>
      <c r="F3797">
        <v>1931</v>
      </c>
      <c r="G3797">
        <v>1790</v>
      </c>
      <c r="H3797">
        <v>28</v>
      </c>
      <c r="I3797">
        <v>12</v>
      </c>
      <c r="J3797">
        <v>24740</v>
      </c>
      <c r="K3797">
        <v>4</v>
      </c>
      <c r="L3797">
        <v>24740</v>
      </c>
      <c r="M3797">
        <v>4</v>
      </c>
      <c r="N3797">
        <v>221</v>
      </c>
      <c r="O3797">
        <v>1866</v>
      </c>
      <c r="P3797">
        <f t="shared" si="195"/>
        <v>2025</v>
      </c>
      <c r="Q3797">
        <f t="shared" si="196"/>
        <v>10</v>
      </c>
      <c r="R3797" t="str">
        <f t="shared" si="197"/>
        <v>手淘搜索-商品及其他</v>
      </c>
      <c r="S3797" t="s">
        <v>784</v>
      </c>
      <c r="T3797" t="s">
        <v>805</v>
      </c>
    </row>
    <row r="3798" spans="1:20" x14ac:dyDescent="0.3">
      <c r="A3798" t="s">
        <v>627</v>
      </c>
      <c r="B3798" s="16">
        <v>45943</v>
      </c>
      <c r="C3798" t="s">
        <v>3</v>
      </c>
      <c r="D3798" t="s">
        <v>128</v>
      </c>
      <c r="E3798" t="s">
        <v>179</v>
      </c>
      <c r="F3798">
        <v>2</v>
      </c>
      <c r="G3798">
        <v>2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2</v>
      </c>
      <c r="P3798">
        <f t="shared" si="195"/>
        <v>2025</v>
      </c>
      <c r="Q3798">
        <f t="shared" si="196"/>
        <v>10</v>
      </c>
      <c r="R3798" t="str">
        <f t="shared" si="197"/>
        <v>手淘搜索-短视频</v>
      </c>
      <c r="S3798" t="s">
        <v>784</v>
      </c>
      <c r="T3798" t="s">
        <v>805</v>
      </c>
    </row>
    <row r="3799" spans="1:20" x14ac:dyDescent="0.3">
      <c r="A3799" t="s">
        <v>627</v>
      </c>
      <c r="B3799" s="16">
        <v>45943</v>
      </c>
      <c r="C3799" t="s">
        <v>2</v>
      </c>
      <c r="D3799" t="s">
        <v>55</v>
      </c>
      <c r="E3799" t="s">
        <v>54</v>
      </c>
      <c r="F3799">
        <v>2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2</v>
      </c>
      <c r="P3799">
        <f t="shared" si="195"/>
        <v>2025</v>
      </c>
      <c r="Q3799">
        <f t="shared" si="196"/>
        <v>10</v>
      </c>
      <c r="R3799" t="str">
        <f t="shared" si="197"/>
        <v>超级直播</v>
      </c>
      <c r="S3799" t="s">
        <v>784</v>
      </c>
      <c r="T3799" t="s">
        <v>805</v>
      </c>
    </row>
    <row r="3800" spans="1:20" x14ac:dyDescent="0.3">
      <c r="A3800" t="s">
        <v>627</v>
      </c>
      <c r="B3800" s="16">
        <v>45943</v>
      </c>
      <c r="C3800" t="s">
        <v>2</v>
      </c>
      <c r="D3800" t="s">
        <v>55</v>
      </c>
      <c r="E3800" t="s">
        <v>56</v>
      </c>
      <c r="F3800">
        <v>486</v>
      </c>
      <c r="G3800">
        <v>273</v>
      </c>
      <c r="H3800">
        <v>1</v>
      </c>
      <c r="I3800">
        <v>0</v>
      </c>
      <c r="J3800">
        <v>13500</v>
      </c>
      <c r="K3800">
        <v>1</v>
      </c>
      <c r="L3800">
        <v>0</v>
      </c>
      <c r="M3800">
        <v>0</v>
      </c>
      <c r="N3800">
        <v>7</v>
      </c>
      <c r="O3800">
        <v>259</v>
      </c>
      <c r="P3800">
        <f t="shared" si="195"/>
        <v>2025</v>
      </c>
      <c r="Q3800">
        <f t="shared" si="196"/>
        <v>10</v>
      </c>
      <c r="R3800" t="str">
        <f t="shared" si="197"/>
        <v>超级短视频</v>
      </c>
      <c r="S3800" t="s">
        <v>784</v>
      </c>
      <c r="T3800" t="s">
        <v>805</v>
      </c>
    </row>
    <row r="3801" spans="1:20" x14ac:dyDescent="0.3">
      <c r="A3801" t="s">
        <v>627</v>
      </c>
      <c r="B3801" s="16">
        <v>45943</v>
      </c>
      <c r="C3801" t="s">
        <v>2</v>
      </c>
      <c r="D3801" t="s">
        <v>52</v>
      </c>
      <c r="E3801" t="s">
        <v>183</v>
      </c>
      <c r="F3801">
        <v>2</v>
      </c>
      <c r="G3801">
        <v>1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2</v>
      </c>
      <c r="O3801">
        <v>0</v>
      </c>
      <c r="P3801">
        <f t="shared" si="195"/>
        <v>2025</v>
      </c>
      <c r="Q3801">
        <f t="shared" si="196"/>
        <v>10</v>
      </c>
      <c r="R3801" t="str">
        <f t="shared" si="197"/>
        <v>品销宝-品牌专区</v>
      </c>
      <c r="S3801" t="s">
        <v>784</v>
      </c>
      <c r="T3801" t="s">
        <v>805</v>
      </c>
    </row>
    <row r="3802" spans="1:20" x14ac:dyDescent="0.3">
      <c r="A3802" t="s">
        <v>627</v>
      </c>
      <c r="B3802" s="16">
        <v>45943</v>
      </c>
      <c r="C3802" t="s">
        <v>2</v>
      </c>
      <c r="D3802" t="s">
        <v>57</v>
      </c>
      <c r="E3802" t="s">
        <v>63</v>
      </c>
      <c r="F3802">
        <v>632</v>
      </c>
      <c r="G3802">
        <v>540</v>
      </c>
      <c r="H3802">
        <v>9</v>
      </c>
      <c r="I3802">
        <v>5</v>
      </c>
      <c r="J3802">
        <v>29297</v>
      </c>
      <c r="K3802">
        <v>5</v>
      </c>
      <c r="L3802">
        <v>25497</v>
      </c>
      <c r="M3802">
        <v>4</v>
      </c>
      <c r="N3802">
        <v>631</v>
      </c>
      <c r="O3802">
        <v>271</v>
      </c>
      <c r="P3802">
        <f t="shared" si="195"/>
        <v>2025</v>
      </c>
      <c r="Q3802">
        <f t="shared" si="196"/>
        <v>10</v>
      </c>
      <c r="R3802" t="str">
        <f t="shared" si="197"/>
        <v>万相台</v>
      </c>
      <c r="S3802" t="s">
        <v>784</v>
      </c>
      <c r="T3802" t="s">
        <v>805</v>
      </c>
    </row>
    <row r="3803" spans="1:20" x14ac:dyDescent="0.3">
      <c r="A3803" t="s">
        <v>627</v>
      </c>
      <c r="B3803" s="16">
        <v>45943</v>
      </c>
      <c r="C3803" t="s">
        <v>2</v>
      </c>
      <c r="D3803" t="s">
        <v>57</v>
      </c>
      <c r="E3803" t="s">
        <v>64</v>
      </c>
      <c r="F3803">
        <v>21465</v>
      </c>
      <c r="G3803">
        <v>11113</v>
      </c>
      <c r="H3803">
        <v>112</v>
      </c>
      <c r="I3803">
        <v>69</v>
      </c>
      <c r="J3803">
        <v>29060</v>
      </c>
      <c r="K3803">
        <v>10</v>
      </c>
      <c r="L3803">
        <v>22080</v>
      </c>
      <c r="M3803">
        <v>8</v>
      </c>
      <c r="N3803">
        <v>428</v>
      </c>
      <c r="O3803">
        <v>21464</v>
      </c>
      <c r="P3803">
        <f t="shared" si="195"/>
        <v>2025</v>
      </c>
      <c r="Q3803">
        <f t="shared" si="196"/>
        <v>10</v>
      </c>
      <c r="R3803" t="str">
        <f t="shared" si="197"/>
        <v>引力魔方</v>
      </c>
      <c r="S3803" t="s">
        <v>784</v>
      </c>
      <c r="T3803" t="s">
        <v>805</v>
      </c>
    </row>
    <row r="3804" spans="1:20" x14ac:dyDescent="0.3">
      <c r="A3804" t="s">
        <v>627</v>
      </c>
      <c r="B3804" s="16">
        <v>45943</v>
      </c>
      <c r="C3804" t="s">
        <v>2</v>
      </c>
      <c r="D3804" t="s">
        <v>57</v>
      </c>
      <c r="E3804" t="s">
        <v>65</v>
      </c>
      <c r="F3804">
        <v>5012</v>
      </c>
      <c r="G3804">
        <v>4488</v>
      </c>
      <c r="H3804">
        <v>35</v>
      </c>
      <c r="I3804">
        <v>14</v>
      </c>
      <c r="J3804">
        <v>60865</v>
      </c>
      <c r="K3804">
        <v>9</v>
      </c>
      <c r="L3804">
        <v>15635</v>
      </c>
      <c r="M3804">
        <v>4</v>
      </c>
      <c r="N3804">
        <v>324</v>
      </c>
      <c r="O3804">
        <v>4939</v>
      </c>
      <c r="P3804">
        <f t="shared" si="195"/>
        <v>2025</v>
      </c>
      <c r="Q3804">
        <f t="shared" si="196"/>
        <v>10</v>
      </c>
      <c r="R3804" t="str">
        <f t="shared" si="197"/>
        <v>直通车</v>
      </c>
      <c r="S3804" t="s">
        <v>784</v>
      </c>
      <c r="T3804" t="s">
        <v>805</v>
      </c>
    </row>
    <row r="3805" spans="1:20" x14ac:dyDescent="0.3">
      <c r="A3805" t="s">
        <v>627</v>
      </c>
      <c r="B3805" s="16">
        <v>45943</v>
      </c>
      <c r="C3805" t="s">
        <v>2</v>
      </c>
      <c r="D3805" t="s">
        <v>4</v>
      </c>
      <c r="E3805" t="s">
        <v>41</v>
      </c>
      <c r="F3805">
        <v>3</v>
      </c>
      <c r="G3805">
        <v>2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1</v>
      </c>
      <c r="O3805">
        <v>2</v>
      </c>
      <c r="P3805">
        <f t="shared" si="195"/>
        <v>2025</v>
      </c>
      <c r="Q3805">
        <f t="shared" si="196"/>
        <v>10</v>
      </c>
      <c r="R3805" t="str">
        <f t="shared" si="197"/>
        <v>流量宝</v>
      </c>
      <c r="S3805" t="s">
        <v>784</v>
      </c>
      <c r="T3805" t="s">
        <v>805</v>
      </c>
    </row>
    <row r="3806" spans="1:20" x14ac:dyDescent="0.3">
      <c r="A3806" t="s">
        <v>627</v>
      </c>
      <c r="B3806" s="16">
        <v>45943</v>
      </c>
      <c r="C3806" t="s">
        <v>2</v>
      </c>
      <c r="D3806" t="s">
        <v>4</v>
      </c>
      <c r="E3806" t="s">
        <v>43</v>
      </c>
      <c r="F3806">
        <v>278</v>
      </c>
      <c r="G3806">
        <v>66</v>
      </c>
      <c r="H3806">
        <v>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5</v>
      </c>
      <c r="O3806">
        <v>275</v>
      </c>
      <c r="P3806">
        <f t="shared" si="195"/>
        <v>2025</v>
      </c>
      <c r="Q3806">
        <f t="shared" si="196"/>
        <v>10</v>
      </c>
      <c r="R3806" t="str">
        <f t="shared" si="197"/>
        <v>淘宝客</v>
      </c>
      <c r="S3806" t="s">
        <v>784</v>
      </c>
      <c r="T3806" t="s">
        <v>805</v>
      </c>
    </row>
    <row r="3807" spans="1:20" x14ac:dyDescent="0.3">
      <c r="A3807" t="s">
        <v>627</v>
      </c>
      <c r="B3807" s="16">
        <v>45942</v>
      </c>
      <c r="C3807" t="s">
        <v>3</v>
      </c>
      <c r="D3807" t="s">
        <v>123</v>
      </c>
      <c r="E3807" t="s">
        <v>170</v>
      </c>
      <c r="F3807">
        <v>46</v>
      </c>
      <c r="G3807">
        <v>23</v>
      </c>
      <c r="H3807">
        <v>3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41</v>
      </c>
      <c r="O3807">
        <v>15</v>
      </c>
      <c r="P3807">
        <f t="shared" si="195"/>
        <v>2025</v>
      </c>
      <c r="Q3807">
        <f t="shared" si="196"/>
        <v>10</v>
      </c>
      <c r="R3807" t="str">
        <f t="shared" si="197"/>
        <v>店铺超链</v>
      </c>
      <c r="S3807" t="s">
        <v>784</v>
      </c>
      <c r="T3807" t="s">
        <v>805</v>
      </c>
    </row>
    <row r="3808" spans="1:20" x14ac:dyDescent="0.3">
      <c r="A3808" t="s">
        <v>627</v>
      </c>
      <c r="B3808" s="16">
        <v>45942</v>
      </c>
      <c r="C3808" t="s">
        <v>3</v>
      </c>
      <c r="D3808" t="s">
        <v>127</v>
      </c>
      <c r="E3808" t="s">
        <v>171</v>
      </c>
      <c r="F3808">
        <v>283</v>
      </c>
      <c r="G3808">
        <v>105</v>
      </c>
      <c r="H3808">
        <v>18</v>
      </c>
      <c r="I3808">
        <v>1</v>
      </c>
      <c r="J3808">
        <v>14785</v>
      </c>
      <c r="K3808">
        <v>3</v>
      </c>
      <c r="L3808">
        <v>14785</v>
      </c>
      <c r="M3808">
        <v>3</v>
      </c>
      <c r="N3808">
        <v>64</v>
      </c>
      <c r="O3808">
        <v>266</v>
      </c>
      <c r="P3808">
        <f t="shared" si="195"/>
        <v>2025</v>
      </c>
      <c r="Q3808">
        <f t="shared" si="196"/>
        <v>10</v>
      </c>
      <c r="R3808" t="str">
        <f t="shared" si="197"/>
        <v>其他猜你喜欢</v>
      </c>
      <c r="S3808" t="s">
        <v>784</v>
      </c>
      <c r="T3808" t="s">
        <v>805</v>
      </c>
    </row>
    <row r="3809" spans="1:20" x14ac:dyDescent="0.3">
      <c r="A3809" t="s">
        <v>627</v>
      </c>
      <c r="B3809" s="16">
        <v>45942</v>
      </c>
      <c r="C3809" t="s">
        <v>3</v>
      </c>
      <c r="D3809" t="s">
        <v>127</v>
      </c>
      <c r="E3809" t="s">
        <v>172</v>
      </c>
      <c r="F3809">
        <v>35</v>
      </c>
      <c r="G3809">
        <v>19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7</v>
      </c>
      <c r="O3809">
        <v>31</v>
      </c>
      <c r="P3809">
        <f t="shared" si="195"/>
        <v>2025</v>
      </c>
      <c r="Q3809">
        <f t="shared" si="196"/>
        <v>10</v>
      </c>
      <c r="R3809" t="str">
        <f t="shared" si="197"/>
        <v>购中推荐</v>
      </c>
      <c r="S3809" t="s">
        <v>784</v>
      </c>
      <c r="T3809" t="s">
        <v>805</v>
      </c>
    </row>
    <row r="3810" spans="1:20" x14ac:dyDescent="0.3">
      <c r="A3810" t="s">
        <v>627</v>
      </c>
      <c r="B3810" s="16">
        <v>45942</v>
      </c>
      <c r="C3810" t="s">
        <v>3</v>
      </c>
      <c r="D3810" t="s">
        <v>127</v>
      </c>
      <c r="E3810" t="s">
        <v>173</v>
      </c>
      <c r="F3810">
        <v>230</v>
      </c>
      <c r="G3810">
        <v>132</v>
      </c>
      <c r="H3810">
        <v>12</v>
      </c>
      <c r="I3810">
        <v>4</v>
      </c>
      <c r="J3810">
        <v>11672.19</v>
      </c>
      <c r="K3810">
        <v>3</v>
      </c>
      <c r="L3810">
        <v>11672.19</v>
      </c>
      <c r="M3810">
        <v>3</v>
      </c>
      <c r="N3810">
        <v>20</v>
      </c>
      <c r="O3810">
        <v>205</v>
      </c>
      <c r="P3810">
        <f t="shared" si="195"/>
        <v>2025</v>
      </c>
      <c r="Q3810">
        <f t="shared" si="196"/>
        <v>10</v>
      </c>
      <c r="R3810" t="str">
        <f t="shared" si="197"/>
        <v>购后推荐</v>
      </c>
      <c r="S3810" t="s">
        <v>784</v>
      </c>
      <c r="T3810" t="s">
        <v>805</v>
      </c>
    </row>
    <row r="3811" spans="1:20" x14ac:dyDescent="0.3">
      <c r="A3811" t="s">
        <v>627</v>
      </c>
      <c r="B3811" s="16">
        <v>45942</v>
      </c>
      <c r="C3811" t="s">
        <v>3</v>
      </c>
      <c r="D3811" t="s">
        <v>127</v>
      </c>
      <c r="E3811" t="s">
        <v>174</v>
      </c>
      <c r="F3811">
        <v>2680</v>
      </c>
      <c r="G3811">
        <v>1412</v>
      </c>
      <c r="H3811">
        <v>54</v>
      </c>
      <c r="I3811">
        <v>13</v>
      </c>
      <c r="J3811">
        <v>34287.81</v>
      </c>
      <c r="K3811">
        <v>6</v>
      </c>
      <c r="L3811">
        <v>29592.81</v>
      </c>
      <c r="M3811">
        <v>5</v>
      </c>
      <c r="N3811">
        <v>141</v>
      </c>
      <c r="O3811">
        <v>2680</v>
      </c>
      <c r="P3811">
        <f t="shared" si="195"/>
        <v>2025</v>
      </c>
      <c r="Q3811">
        <f t="shared" si="196"/>
        <v>10</v>
      </c>
      <c r="R3811" t="str">
        <f t="shared" si="197"/>
        <v>首页推荐-微详情</v>
      </c>
      <c r="S3811" t="s">
        <v>784</v>
      </c>
      <c r="T3811" t="s">
        <v>805</v>
      </c>
    </row>
    <row r="3812" spans="1:20" x14ac:dyDescent="0.3">
      <c r="A3812" t="s">
        <v>627</v>
      </c>
      <c r="B3812" s="16">
        <v>45942</v>
      </c>
      <c r="C3812" t="s">
        <v>3</v>
      </c>
      <c r="D3812" t="s">
        <v>127</v>
      </c>
      <c r="E3812" t="s">
        <v>176</v>
      </c>
      <c r="F3812">
        <v>127</v>
      </c>
      <c r="G3812">
        <v>105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5</v>
      </c>
      <c r="P3812">
        <f t="shared" si="195"/>
        <v>2025</v>
      </c>
      <c r="Q3812">
        <f t="shared" si="196"/>
        <v>10</v>
      </c>
      <c r="R3812" t="str">
        <f t="shared" si="197"/>
        <v>首页推荐-短视频</v>
      </c>
      <c r="S3812" t="s">
        <v>784</v>
      </c>
      <c r="T3812" t="s">
        <v>805</v>
      </c>
    </row>
    <row r="3813" spans="1:20" x14ac:dyDescent="0.3">
      <c r="A3813" t="s">
        <v>627</v>
      </c>
      <c r="B3813" s="16">
        <v>45942</v>
      </c>
      <c r="C3813" t="s">
        <v>3</v>
      </c>
      <c r="D3813" t="s">
        <v>128</v>
      </c>
      <c r="E3813" t="s">
        <v>177</v>
      </c>
      <c r="F3813">
        <v>1483</v>
      </c>
      <c r="G3813">
        <v>1334</v>
      </c>
      <c r="H3813">
        <v>26</v>
      </c>
      <c r="I3813">
        <v>9</v>
      </c>
      <c r="J3813">
        <v>56950</v>
      </c>
      <c r="K3813">
        <v>7</v>
      </c>
      <c r="L3813">
        <v>37930</v>
      </c>
      <c r="M3813">
        <v>5</v>
      </c>
      <c r="N3813">
        <v>212</v>
      </c>
      <c r="O3813">
        <v>1426</v>
      </c>
      <c r="P3813">
        <f t="shared" si="195"/>
        <v>2025</v>
      </c>
      <c r="Q3813">
        <f t="shared" si="196"/>
        <v>10</v>
      </c>
      <c r="R3813" t="str">
        <f t="shared" si="197"/>
        <v>手淘搜索-商品及其他</v>
      </c>
      <c r="S3813" t="s">
        <v>784</v>
      </c>
      <c r="T3813" t="s">
        <v>805</v>
      </c>
    </row>
    <row r="3814" spans="1:20" x14ac:dyDescent="0.3">
      <c r="A3814" t="s">
        <v>627</v>
      </c>
      <c r="B3814" s="16">
        <v>45942</v>
      </c>
      <c r="C3814" t="s">
        <v>3</v>
      </c>
      <c r="D3814" t="s">
        <v>128</v>
      </c>
      <c r="E3814" t="s">
        <v>179</v>
      </c>
      <c r="F3814">
        <v>4</v>
      </c>
      <c r="G3814">
        <v>1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4</v>
      </c>
      <c r="P3814">
        <f t="shared" si="195"/>
        <v>2025</v>
      </c>
      <c r="Q3814">
        <f t="shared" si="196"/>
        <v>10</v>
      </c>
      <c r="R3814" t="str">
        <f t="shared" si="197"/>
        <v>手淘搜索-短视频</v>
      </c>
      <c r="S3814" t="s">
        <v>784</v>
      </c>
      <c r="T3814" t="s">
        <v>805</v>
      </c>
    </row>
    <row r="3815" spans="1:20" x14ac:dyDescent="0.3">
      <c r="A3815" t="s">
        <v>627</v>
      </c>
      <c r="B3815" s="16">
        <v>45942</v>
      </c>
      <c r="C3815" t="s">
        <v>3</v>
      </c>
      <c r="D3815" t="s">
        <v>143</v>
      </c>
      <c r="E3815" t="s">
        <v>180</v>
      </c>
      <c r="F3815">
        <v>1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1</v>
      </c>
      <c r="P3815">
        <f t="shared" si="195"/>
        <v>2025</v>
      </c>
      <c r="Q3815">
        <f t="shared" si="196"/>
        <v>10</v>
      </c>
      <c r="R3815" t="str">
        <f t="shared" si="197"/>
        <v>淘特其他渠道</v>
      </c>
      <c r="S3815" t="s">
        <v>784</v>
      </c>
      <c r="T3815" t="s">
        <v>805</v>
      </c>
    </row>
    <row r="3816" spans="1:20" x14ac:dyDescent="0.3">
      <c r="A3816" t="s">
        <v>627</v>
      </c>
      <c r="B3816" s="16">
        <v>45942</v>
      </c>
      <c r="C3816" t="s">
        <v>2</v>
      </c>
      <c r="D3816" t="s">
        <v>55</v>
      </c>
      <c r="E3816" t="s">
        <v>54</v>
      </c>
      <c r="F3816">
        <v>7</v>
      </c>
      <c r="G3816">
        <v>3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3</v>
      </c>
      <c r="P3816">
        <f t="shared" si="195"/>
        <v>2025</v>
      </c>
      <c r="Q3816">
        <f t="shared" si="196"/>
        <v>10</v>
      </c>
      <c r="R3816" t="str">
        <f t="shared" si="197"/>
        <v>超级直播</v>
      </c>
      <c r="S3816" t="s">
        <v>784</v>
      </c>
      <c r="T3816" t="s">
        <v>805</v>
      </c>
    </row>
    <row r="3817" spans="1:20" x14ac:dyDescent="0.3">
      <c r="A3817" t="s">
        <v>627</v>
      </c>
      <c r="B3817" s="16">
        <v>45942</v>
      </c>
      <c r="C3817" t="s">
        <v>2</v>
      </c>
      <c r="D3817" t="s">
        <v>55</v>
      </c>
      <c r="E3817" t="s">
        <v>56</v>
      </c>
      <c r="F3817">
        <v>536</v>
      </c>
      <c r="G3817">
        <v>312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6</v>
      </c>
      <c r="O3817">
        <v>244</v>
      </c>
      <c r="P3817">
        <f t="shared" ref="P3817:P3880" si="198">YEAR(B3817)</f>
        <v>2025</v>
      </c>
      <c r="Q3817">
        <f t="shared" ref="Q3817:Q3880" si="199">MONTH(B3817)</f>
        <v>10</v>
      </c>
      <c r="R3817" t="str">
        <f t="shared" ref="R3817:R3880" si="200">E3817</f>
        <v>超级短视频</v>
      </c>
      <c r="S3817" t="s">
        <v>784</v>
      </c>
      <c r="T3817" t="s">
        <v>805</v>
      </c>
    </row>
    <row r="3818" spans="1:20" x14ac:dyDescent="0.3">
      <c r="A3818" t="s">
        <v>627</v>
      </c>
      <c r="B3818" s="16">
        <v>45942</v>
      </c>
      <c r="C3818" t="s">
        <v>2</v>
      </c>
      <c r="D3818" t="s">
        <v>57</v>
      </c>
      <c r="E3818" t="s">
        <v>63</v>
      </c>
      <c r="F3818">
        <v>646</v>
      </c>
      <c r="G3818">
        <v>575</v>
      </c>
      <c r="H3818">
        <v>18</v>
      </c>
      <c r="I3818">
        <v>5</v>
      </c>
      <c r="J3818">
        <v>16885</v>
      </c>
      <c r="K3818">
        <v>3</v>
      </c>
      <c r="L3818">
        <v>16885</v>
      </c>
      <c r="M3818">
        <v>3</v>
      </c>
      <c r="N3818">
        <v>645</v>
      </c>
      <c r="O3818">
        <v>313</v>
      </c>
      <c r="P3818">
        <f t="shared" si="198"/>
        <v>2025</v>
      </c>
      <c r="Q3818">
        <f t="shared" si="199"/>
        <v>10</v>
      </c>
      <c r="R3818" t="str">
        <f t="shared" si="200"/>
        <v>万相台</v>
      </c>
      <c r="S3818" t="s">
        <v>784</v>
      </c>
      <c r="T3818" t="s">
        <v>805</v>
      </c>
    </row>
    <row r="3819" spans="1:20" x14ac:dyDescent="0.3">
      <c r="A3819" t="s">
        <v>627</v>
      </c>
      <c r="B3819" s="16">
        <v>45942</v>
      </c>
      <c r="C3819" t="s">
        <v>2</v>
      </c>
      <c r="D3819" t="s">
        <v>57</v>
      </c>
      <c r="E3819" t="s">
        <v>64</v>
      </c>
      <c r="F3819">
        <v>21477</v>
      </c>
      <c r="G3819">
        <v>10555</v>
      </c>
      <c r="H3819">
        <v>103</v>
      </c>
      <c r="I3819">
        <v>83</v>
      </c>
      <c r="J3819">
        <v>67705</v>
      </c>
      <c r="K3819">
        <v>13</v>
      </c>
      <c r="L3819">
        <v>49530</v>
      </c>
      <c r="M3819">
        <v>10</v>
      </c>
      <c r="N3819">
        <v>405</v>
      </c>
      <c r="O3819">
        <v>21477</v>
      </c>
      <c r="P3819">
        <f t="shared" si="198"/>
        <v>2025</v>
      </c>
      <c r="Q3819">
        <f t="shared" si="199"/>
        <v>10</v>
      </c>
      <c r="R3819" t="str">
        <f t="shared" si="200"/>
        <v>引力魔方</v>
      </c>
      <c r="S3819" t="s">
        <v>784</v>
      </c>
      <c r="T3819" t="s">
        <v>805</v>
      </c>
    </row>
    <row r="3820" spans="1:20" x14ac:dyDescent="0.3">
      <c r="A3820" t="s">
        <v>627</v>
      </c>
      <c r="B3820" s="16">
        <v>45942</v>
      </c>
      <c r="C3820" t="s">
        <v>2</v>
      </c>
      <c r="D3820" t="s">
        <v>57</v>
      </c>
      <c r="E3820" t="s">
        <v>65</v>
      </c>
      <c r="F3820">
        <v>4295</v>
      </c>
      <c r="G3820">
        <v>3798</v>
      </c>
      <c r="H3820">
        <v>27</v>
      </c>
      <c r="I3820">
        <v>12</v>
      </c>
      <c r="J3820">
        <v>65985</v>
      </c>
      <c r="K3820">
        <v>7</v>
      </c>
      <c r="L3820">
        <v>29045</v>
      </c>
      <c r="M3820">
        <v>3</v>
      </c>
      <c r="N3820">
        <v>265</v>
      </c>
      <c r="O3820">
        <v>4232</v>
      </c>
      <c r="P3820">
        <f t="shared" si="198"/>
        <v>2025</v>
      </c>
      <c r="Q3820">
        <f t="shared" si="199"/>
        <v>10</v>
      </c>
      <c r="R3820" t="str">
        <f t="shared" si="200"/>
        <v>直通车</v>
      </c>
      <c r="S3820" t="s">
        <v>784</v>
      </c>
      <c r="T3820" t="s">
        <v>805</v>
      </c>
    </row>
    <row r="3821" spans="1:20" x14ac:dyDescent="0.3">
      <c r="A3821" t="s">
        <v>627</v>
      </c>
      <c r="B3821" s="16">
        <v>45942</v>
      </c>
      <c r="C3821" t="s">
        <v>2</v>
      </c>
      <c r="D3821" t="s">
        <v>4</v>
      </c>
      <c r="E3821" t="s">
        <v>42</v>
      </c>
      <c r="F3821">
        <v>1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1</v>
      </c>
      <c r="P3821">
        <f t="shared" si="198"/>
        <v>2025</v>
      </c>
      <c r="Q3821">
        <f t="shared" si="199"/>
        <v>10</v>
      </c>
      <c r="R3821" t="str">
        <f t="shared" si="200"/>
        <v>UD效果投放</v>
      </c>
      <c r="S3821" t="s">
        <v>784</v>
      </c>
      <c r="T3821" t="s">
        <v>805</v>
      </c>
    </row>
    <row r="3822" spans="1:20" x14ac:dyDescent="0.3">
      <c r="A3822" t="s">
        <v>627</v>
      </c>
      <c r="B3822" s="16">
        <v>45942</v>
      </c>
      <c r="C3822" t="s">
        <v>2</v>
      </c>
      <c r="D3822" t="s">
        <v>4</v>
      </c>
      <c r="E3822" t="s">
        <v>41</v>
      </c>
      <c r="F3822">
        <v>3</v>
      </c>
      <c r="G3822">
        <v>2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3</v>
      </c>
      <c r="P3822">
        <f t="shared" si="198"/>
        <v>2025</v>
      </c>
      <c r="Q3822">
        <f t="shared" si="199"/>
        <v>10</v>
      </c>
      <c r="R3822" t="str">
        <f t="shared" si="200"/>
        <v>流量宝</v>
      </c>
      <c r="S3822" t="s">
        <v>784</v>
      </c>
      <c r="T3822" t="s">
        <v>805</v>
      </c>
    </row>
    <row r="3823" spans="1:20" x14ac:dyDescent="0.3">
      <c r="A3823" t="s">
        <v>627</v>
      </c>
      <c r="B3823" s="16">
        <v>45942</v>
      </c>
      <c r="C3823" t="s">
        <v>2</v>
      </c>
      <c r="D3823" t="s">
        <v>4</v>
      </c>
      <c r="E3823" t="s">
        <v>43</v>
      </c>
      <c r="F3823">
        <v>293</v>
      </c>
      <c r="G3823">
        <v>57</v>
      </c>
      <c r="H3823">
        <v>2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4</v>
      </c>
      <c r="O3823">
        <v>293</v>
      </c>
      <c r="P3823">
        <f t="shared" si="198"/>
        <v>2025</v>
      </c>
      <c r="Q3823">
        <f t="shared" si="199"/>
        <v>10</v>
      </c>
      <c r="R3823" t="str">
        <f t="shared" si="200"/>
        <v>淘宝客</v>
      </c>
      <c r="S3823" t="s">
        <v>784</v>
      </c>
      <c r="T3823" t="s">
        <v>805</v>
      </c>
    </row>
    <row r="3824" spans="1:20" x14ac:dyDescent="0.3">
      <c r="A3824" t="s">
        <v>627</v>
      </c>
      <c r="B3824" s="16">
        <v>45941</v>
      </c>
      <c r="C3824" t="s">
        <v>3</v>
      </c>
      <c r="D3824" t="s">
        <v>123</v>
      </c>
      <c r="E3824" t="s">
        <v>170</v>
      </c>
      <c r="F3824">
        <v>43</v>
      </c>
      <c r="G3824">
        <v>23</v>
      </c>
      <c r="H3824">
        <v>2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39</v>
      </c>
      <c r="O3824">
        <v>16</v>
      </c>
      <c r="P3824">
        <f t="shared" si="198"/>
        <v>2025</v>
      </c>
      <c r="Q3824">
        <f t="shared" si="199"/>
        <v>10</v>
      </c>
      <c r="R3824" t="str">
        <f t="shared" si="200"/>
        <v>店铺超链</v>
      </c>
      <c r="S3824" t="s">
        <v>784</v>
      </c>
      <c r="T3824" t="s">
        <v>805</v>
      </c>
    </row>
    <row r="3825" spans="1:20" x14ac:dyDescent="0.3">
      <c r="A3825" t="s">
        <v>627</v>
      </c>
      <c r="B3825" s="16">
        <v>45941</v>
      </c>
      <c r="C3825" t="s">
        <v>3</v>
      </c>
      <c r="D3825" t="s">
        <v>127</v>
      </c>
      <c r="E3825" t="s">
        <v>171</v>
      </c>
      <c r="F3825">
        <v>321</v>
      </c>
      <c r="G3825">
        <v>163</v>
      </c>
      <c r="H3825">
        <v>10</v>
      </c>
      <c r="I3825">
        <v>2</v>
      </c>
      <c r="J3825">
        <v>39890</v>
      </c>
      <c r="K3825">
        <v>4</v>
      </c>
      <c r="L3825">
        <v>21940</v>
      </c>
      <c r="M3825">
        <v>3</v>
      </c>
      <c r="N3825">
        <v>82</v>
      </c>
      <c r="O3825">
        <v>293</v>
      </c>
      <c r="P3825">
        <f t="shared" si="198"/>
        <v>2025</v>
      </c>
      <c r="Q3825">
        <f t="shared" si="199"/>
        <v>10</v>
      </c>
      <c r="R3825" t="str">
        <f t="shared" si="200"/>
        <v>其他猜你喜欢</v>
      </c>
      <c r="S3825" t="s">
        <v>784</v>
      </c>
      <c r="T3825" t="s">
        <v>805</v>
      </c>
    </row>
    <row r="3826" spans="1:20" x14ac:dyDescent="0.3">
      <c r="A3826" t="s">
        <v>627</v>
      </c>
      <c r="B3826" s="16">
        <v>45941</v>
      </c>
      <c r="C3826" t="s">
        <v>3</v>
      </c>
      <c r="D3826" t="s">
        <v>127</v>
      </c>
      <c r="E3826" t="s">
        <v>172</v>
      </c>
      <c r="F3826">
        <v>24</v>
      </c>
      <c r="G3826">
        <v>7</v>
      </c>
      <c r="H3826">
        <v>4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4</v>
      </c>
      <c r="O3826">
        <v>24</v>
      </c>
      <c r="P3826">
        <f t="shared" si="198"/>
        <v>2025</v>
      </c>
      <c r="Q3826">
        <f t="shared" si="199"/>
        <v>10</v>
      </c>
      <c r="R3826" t="str">
        <f t="shared" si="200"/>
        <v>购中推荐</v>
      </c>
      <c r="S3826" t="s">
        <v>784</v>
      </c>
      <c r="T3826" t="s">
        <v>805</v>
      </c>
    </row>
    <row r="3827" spans="1:20" x14ac:dyDescent="0.3">
      <c r="A3827" t="s">
        <v>627</v>
      </c>
      <c r="B3827" s="16">
        <v>45941</v>
      </c>
      <c r="C3827" t="s">
        <v>3</v>
      </c>
      <c r="D3827" t="s">
        <v>127</v>
      </c>
      <c r="E3827" t="s">
        <v>173</v>
      </c>
      <c r="F3827">
        <v>176</v>
      </c>
      <c r="G3827">
        <v>90</v>
      </c>
      <c r="H3827">
        <v>10</v>
      </c>
      <c r="I3827">
        <v>2</v>
      </c>
      <c r="J3827">
        <v>0</v>
      </c>
      <c r="K3827">
        <v>0</v>
      </c>
      <c r="L3827">
        <v>0</v>
      </c>
      <c r="M3827">
        <v>0</v>
      </c>
      <c r="N3827">
        <v>21</v>
      </c>
      <c r="O3827">
        <v>170</v>
      </c>
      <c r="P3827">
        <f t="shared" si="198"/>
        <v>2025</v>
      </c>
      <c r="Q3827">
        <f t="shared" si="199"/>
        <v>10</v>
      </c>
      <c r="R3827" t="str">
        <f t="shared" si="200"/>
        <v>购后推荐</v>
      </c>
      <c r="S3827" t="s">
        <v>784</v>
      </c>
      <c r="T3827" t="s">
        <v>805</v>
      </c>
    </row>
    <row r="3828" spans="1:20" x14ac:dyDescent="0.3">
      <c r="A3828" t="s">
        <v>627</v>
      </c>
      <c r="B3828" s="16">
        <v>45941</v>
      </c>
      <c r="C3828" t="s">
        <v>3</v>
      </c>
      <c r="D3828" t="s">
        <v>127</v>
      </c>
      <c r="E3828" t="s">
        <v>174</v>
      </c>
      <c r="F3828">
        <v>2131</v>
      </c>
      <c r="G3828">
        <v>1151</v>
      </c>
      <c r="H3828">
        <v>32</v>
      </c>
      <c r="I3828">
        <v>5</v>
      </c>
      <c r="J3828">
        <v>22080</v>
      </c>
      <c r="K3828">
        <v>3</v>
      </c>
      <c r="L3828">
        <v>12690</v>
      </c>
      <c r="M3828">
        <v>2</v>
      </c>
      <c r="N3828">
        <v>105</v>
      </c>
      <c r="O3828">
        <v>2131</v>
      </c>
      <c r="P3828">
        <f t="shared" si="198"/>
        <v>2025</v>
      </c>
      <c r="Q3828">
        <f t="shared" si="199"/>
        <v>10</v>
      </c>
      <c r="R3828" t="str">
        <f t="shared" si="200"/>
        <v>首页推荐-微详情</v>
      </c>
      <c r="S3828" t="s">
        <v>784</v>
      </c>
      <c r="T3828" t="s">
        <v>805</v>
      </c>
    </row>
    <row r="3829" spans="1:20" x14ac:dyDescent="0.3">
      <c r="A3829" t="s">
        <v>627</v>
      </c>
      <c r="B3829" s="16">
        <v>45941</v>
      </c>
      <c r="C3829" t="s">
        <v>3</v>
      </c>
      <c r="D3829" t="s">
        <v>127</v>
      </c>
      <c r="E3829" t="s">
        <v>175</v>
      </c>
      <c r="F3829">
        <v>83</v>
      </c>
      <c r="G3829">
        <v>65</v>
      </c>
      <c r="H3829">
        <v>1</v>
      </c>
      <c r="I3829">
        <v>0</v>
      </c>
      <c r="J3829">
        <v>3990</v>
      </c>
      <c r="K3829">
        <v>1</v>
      </c>
      <c r="L3829">
        <v>3990</v>
      </c>
      <c r="M3829">
        <v>1</v>
      </c>
      <c r="N3829">
        <v>4</v>
      </c>
      <c r="O3829">
        <v>39</v>
      </c>
      <c r="P3829">
        <f t="shared" si="198"/>
        <v>2025</v>
      </c>
      <c r="Q3829">
        <f t="shared" si="199"/>
        <v>10</v>
      </c>
      <c r="R3829" t="str">
        <f t="shared" si="200"/>
        <v>首页推荐-直播</v>
      </c>
      <c r="S3829" t="s">
        <v>784</v>
      </c>
      <c r="T3829" t="s">
        <v>805</v>
      </c>
    </row>
    <row r="3830" spans="1:20" x14ac:dyDescent="0.3">
      <c r="A3830" t="s">
        <v>627</v>
      </c>
      <c r="B3830" s="16">
        <v>45941</v>
      </c>
      <c r="C3830" t="s">
        <v>3</v>
      </c>
      <c r="D3830" t="s">
        <v>127</v>
      </c>
      <c r="E3830" t="s">
        <v>176</v>
      </c>
      <c r="F3830">
        <v>165</v>
      </c>
      <c r="G3830">
        <v>149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2</v>
      </c>
      <c r="O3830">
        <v>6</v>
      </c>
      <c r="P3830">
        <f t="shared" si="198"/>
        <v>2025</v>
      </c>
      <c r="Q3830">
        <f t="shared" si="199"/>
        <v>10</v>
      </c>
      <c r="R3830" t="str">
        <f t="shared" si="200"/>
        <v>首页推荐-短视频</v>
      </c>
      <c r="S3830" t="s">
        <v>784</v>
      </c>
      <c r="T3830" t="s">
        <v>805</v>
      </c>
    </row>
    <row r="3831" spans="1:20" x14ac:dyDescent="0.3">
      <c r="A3831" t="s">
        <v>627</v>
      </c>
      <c r="B3831" s="16">
        <v>45941</v>
      </c>
      <c r="C3831" t="s">
        <v>3</v>
      </c>
      <c r="D3831" t="s">
        <v>128</v>
      </c>
      <c r="E3831" t="s">
        <v>177</v>
      </c>
      <c r="F3831">
        <v>955</v>
      </c>
      <c r="G3831">
        <v>834</v>
      </c>
      <c r="H3831">
        <v>23</v>
      </c>
      <c r="I3831">
        <v>4</v>
      </c>
      <c r="J3831">
        <v>11285</v>
      </c>
      <c r="K3831">
        <v>2</v>
      </c>
      <c r="L3831">
        <v>0</v>
      </c>
      <c r="M3831">
        <v>0</v>
      </c>
      <c r="N3831">
        <v>173</v>
      </c>
      <c r="O3831">
        <v>889</v>
      </c>
      <c r="P3831">
        <f t="shared" si="198"/>
        <v>2025</v>
      </c>
      <c r="Q3831">
        <f t="shared" si="199"/>
        <v>10</v>
      </c>
      <c r="R3831" t="str">
        <f t="shared" si="200"/>
        <v>手淘搜索-商品及其他</v>
      </c>
      <c r="S3831" t="s">
        <v>784</v>
      </c>
      <c r="T3831" t="s">
        <v>805</v>
      </c>
    </row>
    <row r="3832" spans="1:20" x14ac:dyDescent="0.3">
      <c r="A3832" t="s">
        <v>627</v>
      </c>
      <c r="B3832" s="16">
        <v>45941</v>
      </c>
      <c r="C3832" t="s">
        <v>3</v>
      </c>
      <c r="D3832" t="s">
        <v>128</v>
      </c>
      <c r="E3832" t="s">
        <v>178</v>
      </c>
      <c r="F3832">
        <v>3</v>
      </c>
      <c r="G3832">
        <v>2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2</v>
      </c>
      <c r="O3832">
        <v>2</v>
      </c>
      <c r="P3832">
        <f t="shared" si="198"/>
        <v>2025</v>
      </c>
      <c r="Q3832">
        <f t="shared" si="199"/>
        <v>10</v>
      </c>
      <c r="R3832" t="str">
        <f t="shared" si="200"/>
        <v>手淘搜索-直播</v>
      </c>
      <c r="S3832" t="s">
        <v>784</v>
      </c>
      <c r="T3832" t="s">
        <v>805</v>
      </c>
    </row>
    <row r="3833" spans="1:20" x14ac:dyDescent="0.3">
      <c r="A3833" t="s">
        <v>627</v>
      </c>
      <c r="B3833" s="16">
        <v>45941</v>
      </c>
      <c r="C3833" t="s">
        <v>3</v>
      </c>
      <c r="D3833" t="s">
        <v>143</v>
      </c>
      <c r="E3833" t="s">
        <v>180</v>
      </c>
      <c r="F3833">
        <v>1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1</v>
      </c>
      <c r="P3833">
        <f t="shared" si="198"/>
        <v>2025</v>
      </c>
      <c r="Q3833">
        <f t="shared" si="199"/>
        <v>10</v>
      </c>
      <c r="R3833" t="str">
        <f t="shared" si="200"/>
        <v>淘特其他渠道</v>
      </c>
      <c r="S3833" t="s">
        <v>784</v>
      </c>
      <c r="T3833" t="s">
        <v>805</v>
      </c>
    </row>
    <row r="3834" spans="1:20" x14ac:dyDescent="0.3">
      <c r="A3834" t="s">
        <v>627</v>
      </c>
      <c r="B3834" s="16">
        <v>45941</v>
      </c>
      <c r="C3834" t="s">
        <v>2</v>
      </c>
      <c r="D3834" t="s">
        <v>55</v>
      </c>
      <c r="E3834" t="s">
        <v>66</v>
      </c>
      <c r="F3834">
        <v>2</v>
      </c>
      <c r="G3834">
        <v>2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1</v>
      </c>
      <c r="P3834">
        <f t="shared" si="198"/>
        <v>2025</v>
      </c>
      <c r="Q3834">
        <f t="shared" si="199"/>
        <v>10</v>
      </c>
      <c r="R3834" t="str">
        <f t="shared" si="200"/>
        <v>短直联动</v>
      </c>
      <c r="S3834" t="s">
        <v>784</v>
      </c>
      <c r="T3834" t="s">
        <v>805</v>
      </c>
    </row>
    <row r="3835" spans="1:20" x14ac:dyDescent="0.3">
      <c r="A3835" t="s">
        <v>627</v>
      </c>
      <c r="B3835" s="16">
        <v>45941</v>
      </c>
      <c r="C3835" t="s">
        <v>2</v>
      </c>
      <c r="D3835" t="s">
        <v>55</v>
      </c>
      <c r="E3835" t="s">
        <v>54</v>
      </c>
      <c r="F3835">
        <v>1385</v>
      </c>
      <c r="G3835">
        <v>928</v>
      </c>
      <c r="H3835">
        <v>12</v>
      </c>
      <c r="I3835">
        <v>1</v>
      </c>
      <c r="J3835">
        <v>0</v>
      </c>
      <c r="K3835">
        <v>0</v>
      </c>
      <c r="L3835">
        <v>0</v>
      </c>
      <c r="M3835">
        <v>0</v>
      </c>
      <c r="N3835">
        <v>29</v>
      </c>
      <c r="O3835">
        <v>379</v>
      </c>
      <c r="P3835">
        <f t="shared" si="198"/>
        <v>2025</v>
      </c>
      <c r="Q3835">
        <f t="shared" si="199"/>
        <v>10</v>
      </c>
      <c r="R3835" t="str">
        <f t="shared" si="200"/>
        <v>超级直播</v>
      </c>
      <c r="S3835" t="s">
        <v>784</v>
      </c>
      <c r="T3835" t="s">
        <v>805</v>
      </c>
    </row>
    <row r="3836" spans="1:20" x14ac:dyDescent="0.3">
      <c r="A3836" t="s">
        <v>627</v>
      </c>
      <c r="B3836" s="16">
        <v>45941</v>
      </c>
      <c r="C3836" t="s">
        <v>2</v>
      </c>
      <c r="D3836" t="s">
        <v>55</v>
      </c>
      <c r="E3836" t="s">
        <v>56</v>
      </c>
      <c r="F3836">
        <v>556</v>
      </c>
      <c r="G3836">
        <v>343</v>
      </c>
      <c r="H3836">
        <v>0</v>
      </c>
      <c r="I3836">
        <v>2</v>
      </c>
      <c r="J3836">
        <v>0</v>
      </c>
      <c r="K3836">
        <v>0</v>
      </c>
      <c r="L3836">
        <v>0</v>
      </c>
      <c r="M3836">
        <v>0</v>
      </c>
      <c r="N3836">
        <v>9</v>
      </c>
      <c r="O3836">
        <v>243</v>
      </c>
      <c r="P3836">
        <f t="shared" si="198"/>
        <v>2025</v>
      </c>
      <c r="Q3836">
        <f t="shared" si="199"/>
        <v>10</v>
      </c>
      <c r="R3836" t="str">
        <f t="shared" si="200"/>
        <v>超级短视频</v>
      </c>
      <c r="S3836" t="s">
        <v>784</v>
      </c>
      <c r="T3836" t="s">
        <v>805</v>
      </c>
    </row>
    <row r="3837" spans="1:20" x14ac:dyDescent="0.3">
      <c r="A3837" t="s">
        <v>627</v>
      </c>
      <c r="B3837" s="16">
        <v>45941</v>
      </c>
      <c r="C3837" t="s">
        <v>2</v>
      </c>
      <c r="D3837" t="s">
        <v>57</v>
      </c>
      <c r="E3837" t="s">
        <v>63</v>
      </c>
      <c r="F3837">
        <v>602</v>
      </c>
      <c r="G3837">
        <v>524</v>
      </c>
      <c r="H3837">
        <v>15</v>
      </c>
      <c r="I3837">
        <v>5</v>
      </c>
      <c r="J3837">
        <v>22850</v>
      </c>
      <c r="K3837">
        <v>2</v>
      </c>
      <c r="L3837">
        <v>2900</v>
      </c>
      <c r="M3837">
        <v>1</v>
      </c>
      <c r="N3837">
        <v>601</v>
      </c>
      <c r="O3837">
        <v>276</v>
      </c>
      <c r="P3837">
        <f t="shared" si="198"/>
        <v>2025</v>
      </c>
      <c r="Q3837">
        <f t="shared" si="199"/>
        <v>10</v>
      </c>
      <c r="R3837" t="str">
        <f t="shared" si="200"/>
        <v>万相台</v>
      </c>
      <c r="S3837" t="s">
        <v>784</v>
      </c>
      <c r="T3837" t="s">
        <v>805</v>
      </c>
    </row>
    <row r="3838" spans="1:20" x14ac:dyDescent="0.3">
      <c r="A3838" t="s">
        <v>627</v>
      </c>
      <c r="B3838" s="16">
        <v>45941</v>
      </c>
      <c r="C3838" t="s">
        <v>2</v>
      </c>
      <c r="D3838" t="s">
        <v>57</v>
      </c>
      <c r="E3838" t="s">
        <v>64</v>
      </c>
      <c r="F3838">
        <v>39818</v>
      </c>
      <c r="G3838">
        <v>26592</v>
      </c>
      <c r="H3838">
        <v>82</v>
      </c>
      <c r="I3838">
        <v>68</v>
      </c>
      <c r="J3838">
        <v>111785</v>
      </c>
      <c r="K3838">
        <v>19</v>
      </c>
      <c r="L3838">
        <v>72025</v>
      </c>
      <c r="M3838">
        <v>15</v>
      </c>
      <c r="N3838">
        <v>503</v>
      </c>
      <c r="O3838">
        <v>39799</v>
      </c>
      <c r="P3838">
        <f t="shared" si="198"/>
        <v>2025</v>
      </c>
      <c r="Q3838">
        <f t="shared" si="199"/>
        <v>10</v>
      </c>
      <c r="R3838" t="str">
        <f t="shared" si="200"/>
        <v>引力魔方</v>
      </c>
      <c r="S3838" t="s">
        <v>784</v>
      </c>
      <c r="T3838" t="s">
        <v>805</v>
      </c>
    </row>
    <row r="3839" spans="1:20" x14ac:dyDescent="0.3">
      <c r="A3839" t="s">
        <v>627</v>
      </c>
      <c r="B3839" s="16">
        <v>45941</v>
      </c>
      <c r="C3839" t="s">
        <v>2</v>
      </c>
      <c r="D3839" t="s">
        <v>57</v>
      </c>
      <c r="E3839" t="s">
        <v>65</v>
      </c>
      <c r="F3839">
        <v>4166</v>
      </c>
      <c r="G3839">
        <v>3699</v>
      </c>
      <c r="H3839">
        <v>25</v>
      </c>
      <c r="I3839">
        <v>11</v>
      </c>
      <c r="J3839">
        <v>36025</v>
      </c>
      <c r="K3839">
        <v>3</v>
      </c>
      <c r="L3839">
        <v>19180</v>
      </c>
      <c r="M3839">
        <v>1</v>
      </c>
      <c r="N3839">
        <v>207</v>
      </c>
      <c r="O3839">
        <v>4128</v>
      </c>
      <c r="P3839">
        <f t="shared" si="198"/>
        <v>2025</v>
      </c>
      <c r="Q3839">
        <f t="shared" si="199"/>
        <v>10</v>
      </c>
      <c r="R3839" t="str">
        <f t="shared" si="200"/>
        <v>直通车</v>
      </c>
      <c r="S3839" t="s">
        <v>784</v>
      </c>
      <c r="T3839" t="s">
        <v>805</v>
      </c>
    </row>
    <row r="3840" spans="1:20" x14ac:dyDescent="0.3">
      <c r="A3840" t="s">
        <v>627</v>
      </c>
      <c r="B3840" s="16">
        <v>45941</v>
      </c>
      <c r="C3840" t="s">
        <v>2</v>
      </c>
      <c r="D3840" t="s">
        <v>4</v>
      </c>
      <c r="E3840" t="s">
        <v>42</v>
      </c>
      <c r="F3840">
        <v>1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1</v>
      </c>
      <c r="O3840">
        <v>0</v>
      </c>
      <c r="P3840">
        <f t="shared" si="198"/>
        <v>2025</v>
      </c>
      <c r="Q3840">
        <f t="shared" si="199"/>
        <v>10</v>
      </c>
      <c r="R3840" t="str">
        <f t="shared" si="200"/>
        <v>UD效果投放</v>
      </c>
      <c r="S3840" t="s">
        <v>784</v>
      </c>
      <c r="T3840" t="s">
        <v>805</v>
      </c>
    </row>
    <row r="3841" spans="1:20" x14ac:dyDescent="0.3">
      <c r="A3841" t="s">
        <v>627</v>
      </c>
      <c r="B3841" s="16">
        <v>45941</v>
      </c>
      <c r="C3841" t="s">
        <v>2</v>
      </c>
      <c r="D3841" t="s">
        <v>4</v>
      </c>
      <c r="E3841" t="s">
        <v>41</v>
      </c>
      <c r="F3841">
        <v>1</v>
      </c>
      <c r="G3841">
        <v>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f t="shared" si="198"/>
        <v>2025</v>
      </c>
      <c r="Q3841">
        <f t="shared" si="199"/>
        <v>10</v>
      </c>
      <c r="R3841" t="str">
        <f t="shared" si="200"/>
        <v>流量宝</v>
      </c>
      <c r="S3841" t="s">
        <v>784</v>
      </c>
      <c r="T3841" t="s">
        <v>805</v>
      </c>
    </row>
    <row r="3842" spans="1:20" x14ac:dyDescent="0.3">
      <c r="A3842" t="s">
        <v>627</v>
      </c>
      <c r="B3842" s="16">
        <v>45941</v>
      </c>
      <c r="C3842" t="s">
        <v>2</v>
      </c>
      <c r="D3842" t="s">
        <v>4</v>
      </c>
      <c r="E3842" t="s">
        <v>43</v>
      </c>
      <c r="F3842">
        <v>376</v>
      </c>
      <c r="G3842">
        <v>94</v>
      </c>
      <c r="H3842">
        <v>2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1</v>
      </c>
      <c r="O3842">
        <v>375</v>
      </c>
      <c r="P3842">
        <f t="shared" si="198"/>
        <v>2025</v>
      </c>
      <c r="Q3842">
        <f t="shared" si="199"/>
        <v>10</v>
      </c>
      <c r="R3842" t="str">
        <f t="shared" si="200"/>
        <v>淘宝客</v>
      </c>
      <c r="S3842" t="s">
        <v>784</v>
      </c>
      <c r="T3842" t="s">
        <v>805</v>
      </c>
    </row>
    <row r="3843" spans="1:20" x14ac:dyDescent="0.3">
      <c r="A3843" t="s">
        <v>627</v>
      </c>
      <c r="B3843" s="16">
        <v>45940</v>
      </c>
      <c r="C3843" t="s">
        <v>3</v>
      </c>
      <c r="D3843" t="s">
        <v>123</v>
      </c>
      <c r="E3843" t="s">
        <v>170</v>
      </c>
      <c r="F3843">
        <v>55</v>
      </c>
      <c r="G3843">
        <v>31</v>
      </c>
      <c r="H3843">
        <v>3</v>
      </c>
      <c r="I3843">
        <v>0</v>
      </c>
      <c r="J3843">
        <v>5467.65</v>
      </c>
      <c r="K3843">
        <v>2</v>
      </c>
      <c r="L3843">
        <v>5467.65</v>
      </c>
      <c r="M3843">
        <v>2</v>
      </c>
      <c r="N3843">
        <v>50</v>
      </c>
      <c r="O3843">
        <v>21</v>
      </c>
      <c r="P3843">
        <f t="shared" si="198"/>
        <v>2025</v>
      </c>
      <c r="Q3843">
        <f t="shared" si="199"/>
        <v>10</v>
      </c>
      <c r="R3843" t="str">
        <f t="shared" si="200"/>
        <v>店铺超链</v>
      </c>
      <c r="S3843" t="s">
        <v>784</v>
      </c>
      <c r="T3843" t="s">
        <v>805</v>
      </c>
    </row>
    <row r="3844" spans="1:20" x14ac:dyDescent="0.3">
      <c r="A3844" t="s">
        <v>627</v>
      </c>
      <c r="B3844" s="16">
        <v>45940</v>
      </c>
      <c r="C3844" t="s">
        <v>3</v>
      </c>
      <c r="D3844" t="s">
        <v>127</v>
      </c>
      <c r="E3844" t="s">
        <v>171</v>
      </c>
      <c r="F3844">
        <v>338</v>
      </c>
      <c r="G3844">
        <v>175</v>
      </c>
      <c r="H3844">
        <v>9</v>
      </c>
      <c r="I3844">
        <v>8</v>
      </c>
      <c r="J3844">
        <v>7644.39</v>
      </c>
      <c r="K3844">
        <v>3</v>
      </c>
      <c r="L3844">
        <v>7644.39</v>
      </c>
      <c r="M3844">
        <v>3</v>
      </c>
      <c r="N3844">
        <v>85</v>
      </c>
      <c r="O3844">
        <v>312</v>
      </c>
      <c r="P3844">
        <f t="shared" si="198"/>
        <v>2025</v>
      </c>
      <c r="Q3844">
        <f t="shared" si="199"/>
        <v>10</v>
      </c>
      <c r="R3844" t="str">
        <f t="shared" si="200"/>
        <v>其他猜你喜欢</v>
      </c>
      <c r="S3844" t="s">
        <v>784</v>
      </c>
      <c r="T3844" t="s">
        <v>805</v>
      </c>
    </row>
    <row r="3845" spans="1:20" x14ac:dyDescent="0.3">
      <c r="A3845" t="s">
        <v>627</v>
      </c>
      <c r="B3845" s="16">
        <v>45940</v>
      </c>
      <c r="C3845" t="s">
        <v>3</v>
      </c>
      <c r="D3845" t="s">
        <v>127</v>
      </c>
      <c r="E3845" t="s">
        <v>172</v>
      </c>
      <c r="F3845">
        <v>18</v>
      </c>
      <c r="G3845">
        <v>10</v>
      </c>
      <c r="H3845">
        <v>1</v>
      </c>
      <c r="I3845">
        <v>2</v>
      </c>
      <c r="J3845">
        <v>0</v>
      </c>
      <c r="K3845">
        <v>0</v>
      </c>
      <c r="L3845">
        <v>0</v>
      </c>
      <c r="M3845">
        <v>0</v>
      </c>
      <c r="N3845">
        <v>4</v>
      </c>
      <c r="O3845">
        <v>18</v>
      </c>
      <c r="P3845">
        <f t="shared" si="198"/>
        <v>2025</v>
      </c>
      <c r="Q3845">
        <f t="shared" si="199"/>
        <v>10</v>
      </c>
      <c r="R3845" t="str">
        <f t="shared" si="200"/>
        <v>购中推荐</v>
      </c>
      <c r="S3845" t="s">
        <v>784</v>
      </c>
      <c r="T3845" t="s">
        <v>805</v>
      </c>
    </row>
    <row r="3846" spans="1:20" x14ac:dyDescent="0.3">
      <c r="A3846" t="s">
        <v>627</v>
      </c>
      <c r="B3846" s="16">
        <v>45940</v>
      </c>
      <c r="C3846" t="s">
        <v>3</v>
      </c>
      <c r="D3846" t="s">
        <v>127</v>
      </c>
      <c r="E3846" t="s">
        <v>173</v>
      </c>
      <c r="F3846">
        <v>107</v>
      </c>
      <c r="G3846">
        <v>50</v>
      </c>
      <c r="H3846">
        <v>0</v>
      </c>
      <c r="I3846">
        <v>1</v>
      </c>
      <c r="J3846">
        <v>0</v>
      </c>
      <c r="K3846">
        <v>0</v>
      </c>
      <c r="L3846">
        <v>0</v>
      </c>
      <c r="M3846">
        <v>0</v>
      </c>
      <c r="N3846">
        <v>9</v>
      </c>
      <c r="O3846">
        <v>105</v>
      </c>
      <c r="P3846">
        <f t="shared" si="198"/>
        <v>2025</v>
      </c>
      <c r="Q3846">
        <f t="shared" si="199"/>
        <v>10</v>
      </c>
      <c r="R3846" t="str">
        <f t="shared" si="200"/>
        <v>购后推荐</v>
      </c>
      <c r="S3846" t="s">
        <v>784</v>
      </c>
      <c r="T3846" t="s">
        <v>805</v>
      </c>
    </row>
    <row r="3847" spans="1:20" x14ac:dyDescent="0.3">
      <c r="A3847" t="s">
        <v>627</v>
      </c>
      <c r="B3847" s="16">
        <v>45940</v>
      </c>
      <c r="C3847" t="s">
        <v>3</v>
      </c>
      <c r="D3847" t="s">
        <v>127</v>
      </c>
      <c r="E3847" t="s">
        <v>174</v>
      </c>
      <c r="F3847">
        <v>1267</v>
      </c>
      <c r="G3847">
        <v>682</v>
      </c>
      <c r="H3847">
        <v>8</v>
      </c>
      <c r="I3847">
        <v>4</v>
      </c>
      <c r="J3847">
        <v>20300</v>
      </c>
      <c r="K3847">
        <v>3</v>
      </c>
      <c r="L3847">
        <v>16310</v>
      </c>
      <c r="M3847">
        <v>3</v>
      </c>
      <c r="N3847">
        <v>58</v>
      </c>
      <c r="O3847">
        <v>1267</v>
      </c>
      <c r="P3847">
        <f t="shared" si="198"/>
        <v>2025</v>
      </c>
      <c r="Q3847">
        <f t="shared" si="199"/>
        <v>10</v>
      </c>
      <c r="R3847" t="str">
        <f t="shared" si="200"/>
        <v>首页推荐-微详情</v>
      </c>
      <c r="S3847" t="s">
        <v>784</v>
      </c>
      <c r="T3847" t="s">
        <v>805</v>
      </c>
    </row>
    <row r="3848" spans="1:20" x14ac:dyDescent="0.3">
      <c r="A3848" t="s">
        <v>627</v>
      </c>
      <c r="B3848" s="16">
        <v>45940</v>
      </c>
      <c r="C3848" t="s">
        <v>3</v>
      </c>
      <c r="D3848" t="s">
        <v>127</v>
      </c>
      <c r="E3848" t="s">
        <v>175</v>
      </c>
      <c r="F3848">
        <v>54</v>
      </c>
      <c r="G3848">
        <v>32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1</v>
      </c>
      <c r="O3848">
        <v>7</v>
      </c>
      <c r="P3848">
        <f t="shared" si="198"/>
        <v>2025</v>
      </c>
      <c r="Q3848">
        <f t="shared" si="199"/>
        <v>10</v>
      </c>
      <c r="R3848" t="str">
        <f t="shared" si="200"/>
        <v>首页推荐-直播</v>
      </c>
      <c r="S3848" t="s">
        <v>784</v>
      </c>
      <c r="T3848" t="s">
        <v>805</v>
      </c>
    </row>
    <row r="3849" spans="1:20" x14ac:dyDescent="0.3">
      <c r="A3849" t="s">
        <v>627</v>
      </c>
      <c r="B3849" s="16">
        <v>45940</v>
      </c>
      <c r="C3849" t="s">
        <v>3</v>
      </c>
      <c r="D3849" t="s">
        <v>127</v>
      </c>
      <c r="E3849" t="s">
        <v>176</v>
      </c>
      <c r="F3849">
        <v>44</v>
      </c>
      <c r="G3849">
        <v>38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2</v>
      </c>
      <c r="O3849">
        <v>4</v>
      </c>
      <c r="P3849">
        <f t="shared" si="198"/>
        <v>2025</v>
      </c>
      <c r="Q3849">
        <f t="shared" si="199"/>
        <v>10</v>
      </c>
      <c r="R3849" t="str">
        <f t="shared" si="200"/>
        <v>首页推荐-短视频</v>
      </c>
      <c r="S3849" t="s">
        <v>784</v>
      </c>
      <c r="T3849" t="s">
        <v>805</v>
      </c>
    </row>
    <row r="3850" spans="1:20" x14ac:dyDescent="0.3">
      <c r="A3850" t="s">
        <v>627</v>
      </c>
      <c r="B3850" s="16">
        <v>45940</v>
      </c>
      <c r="C3850" t="s">
        <v>3</v>
      </c>
      <c r="D3850" t="s">
        <v>128</v>
      </c>
      <c r="E3850" t="s">
        <v>177</v>
      </c>
      <c r="F3850">
        <v>868</v>
      </c>
      <c r="G3850">
        <v>764</v>
      </c>
      <c r="H3850">
        <v>21</v>
      </c>
      <c r="I3850">
        <v>6</v>
      </c>
      <c r="J3850">
        <v>68885</v>
      </c>
      <c r="K3850">
        <v>5</v>
      </c>
      <c r="L3850">
        <v>28155</v>
      </c>
      <c r="M3850">
        <v>4</v>
      </c>
      <c r="N3850">
        <v>142</v>
      </c>
      <c r="O3850">
        <v>819</v>
      </c>
      <c r="P3850">
        <f t="shared" si="198"/>
        <v>2025</v>
      </c>
      <c r="Q3850">
        <f t="shared" si="199"/>
        <v>10</v>
      </c>
      <c r="R3850" t="str">
        <f t="shared" si="200"/>
        <v>手淘搜索-商品及其他</v>
      </c>
      <c r="S3850" t="s">
        <v>784</v>
      </c>
      <c r="T3850" t="s">
        <v>805</v>
      </c>
    </row>
    <row r="3851" spans="1:20" x14ac:dyDescent="0.3">
      <c r="A3851" t="s">
        <v>627</v>
      </c>
      <c r="B3851" s="16">
        <v>45940</v>
      </c>
      <c r="C3851" t="s">
        <v>3</v>
      </c>
      <c r="D3851" t="s">
        <v>128</v>
      </c>
      <c r="E3851" t="s">
        <v>178</v>
      </c>
      <c r="F3851">
        <v>3</v>
      </c>
      <c r="G3851">
        <v>2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3</v>
      </c>
      <c r="P3851">
        <f t="shared" si="198"/>
        <v>2025</v>
      </c>
      <c r="Q3851">
        <f t="shared" si="199"/>
        <v>10</v>
      </c>
      <c r="R3851" t="str">
        <f t="shared" si="200"/>
        <v>手淘搜索-直播</v>
      </c>
      <c r="S3851" t="s">
        <v>784</v>
      </c>
      <c r="T3851" t="s">
        <v>805</v>
      </c>
    </row>
    <row r="3852" spans="1:20" x14ac:dyDescent="0.3">
      <c r="A3852" t="s">
        <v>627</v>
      </c>
      <c r="B3852" s="16">
        <v>45940</v>
      </c>
      <c r="C3852" t="s">
        <v>3</v>
      </c>
      <c r="D3852" t="s">
        <v>128</v>
      </c>
      <c r="E3852" t="s">
        <v>179</v>
      </c>
      <c r="F3852">
        <v>6</v>
      </c>
      <c r="G3852">
        <v>4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2</v>
      </c>
      <c r="O3852">
        <v>6</v>
      </c>
      <c r="P3852">
        <f t="shared" si="198"/>
        <v>2025</v>
      </c>
      <c r="Q3852">
        <f t="shared" si="199"/>
        <v>10</v>
      </c>
      <c r="R3852" t="str">
        <f t="shared" si="200"/>
        <v>手淘搜索-短视频</v>
      </c>
      <c r="S3852" t="s">
        <v>784</v>
      </c>
      <c r="T3852" t="s">
        <v>805</v>
      </c>
    </row>
    <row r="3853" spans="1:20" x14ac:dyDescent="0.3">
      <c r="A3853" t="s">
        <v>627</v>
      </c>
      <c r="B3853" s="16">
        <v>45940</v>
      </c>
      <c r="C3853" t="s">
        <v>3</v>
      </c>
      <c r="D3853" t="s">
        <v>143</v>
      </c>
      <c r="E3853" t="s">
        <v>180</v>
      </c>
      <c r="F3853">
        <v>1</v>
      </c>
      <c r="G3853">
        <v>1</v>
      </c>
      <c r="H3853">
        <v>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1</v>
      </c>
      <c r="O3853">
        <v>1</v>
      </c>
      <c r="P3853">
        <f t="shared" si="198"/>
        <v>2025</v>
      </c>
      <c r="Q3853">
        <f t="shared" si="199"/>
        <v>10</v>
      </c>
      <c r="R3853" t="str">
        <f t="shared" si="200"/>
        <v>淘特其他渠道</v>
      </c>
      <c r="S3853" t="s">
        <v>784</v>
      </c>
      <c r="T3853" t="s">
        <v>805</v>
      </c>
    </row>
    <row r="3854" spans="1:20" x14ac:dyDescent="0.3">
      <c r="A3854" t="s">
        <v>627</v>
      </c>
      <c r="B3854" s="16">
        <v>45940</v>
      </c>
      <c r="C3854" t="s">
        <v>3</v>
      </c>
      <c r="D3854" t="s">
        <v>143</v>
      </c>
      <c r="E3854" t="s">
        <v>224</v>
      </c>
      <c r="F3854">
        <v>1</v>
      </c>
      <c r="G3854">
        <v>1</v>
      </c>
      <c r="H3854">
        <v>1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</v>
      </c>
      <c r="P3854">
        <f t="shared" si="198"/>
        <v>2025</v>
      </c>
      <c r="Q3854">
        <f t="shared" si="199"/>
        <v>10</v>
      </c>
      <c r="R3854" t="str">
        <f t="shared" si="200"/>
        <v>淘特自主访问</v>
      </c>
      <c r="S3854" t="s">
        <v>784</v>
      </c>
      <c r="T3854" t="s">
        <v>805</v>
      </c>
    </row>
    <row r="3855" spans="1:20" x14ac:dyDescent="0.3">
      <c r="A3855" t="s">
        <v>627</v>
      </c>
      <c r="B3855" s="16">
        <v>45940</v>
      </c>
      <c r="C3855" t="s">
        <v>2</v>
      </c>
      <c r="D3855" t="s">
        <v>55</v>
      </c>
      <c r="E3855" t="s">
        <v>66</v>
      </c>
      <c r="F3855">
        <v>2</v>
      </c>
      <c r="G3855">
        <v>2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f t="shared" si="198"/>
        <v>2025</v>
      </c>
      <c r="Q3855">
        <f t="shared" si="199"/>
        <v>10</v>
      </c>
      <c r="R3855" t="str">
        <f t="shared" si="200"/>
        <v>短直联动</v>
      </c>
      <c r="S3855" t="s">
        <v>784</v>
      </c>
      <c r="T3855" t="s">
        <v>805</v>
      </c>
    </row>
    <row r="3856" spans="1:20" x14ac:dyDescent="0.3">
      <c r="A3856" t="s">
        <v>627</v>
      </c>
      <c r="B3856" s="16">
        <v>45940</v>
      </c>
      <c r="C3856" t="s">
        <v>2</v>
      </c>
      <c r="D3856" t="s">
        <v>55</v>
      </c>
      <c r="E3856" t="s">
        <v>54</v>
      </c>
      <c r="F3856">
        <v>1356</v>
      </c>
      <c r="G3856">
        <v>896</v>
      </c>
      <c r="H3856">
        <v>7</v>
      </c>
      <c r="I3856">
        <v>2</v>
      </c>
      <c r="J3856">
        <v>0</v>
      </c>
      <c r="K3856">
        <v>0</v>
      </c>
      <c r="L3856">
        <v>0</v>
      </c>
      <c r="M3856">
        <v>0</v>
      </c>
      <c r="N3856">
        <v>33</v>
      </c>
      <c r="O3856">
        <v>280</v>
      </c>
      <c r="P3856">
        <f t="shared" si="198"/>
        <v>2025</v>
      </c>
      <c r="Q3856">
        <f t="shared" si="199"/>
        <v>10</v>
      </c>
      <c r="R3856" t="str">
        <f t="shared" si="200"/>
        <v>超级直播</v>
      </c>
      <c r="S3856" t="s">
        <v>784</v>
      </c>
      <c r="T3856" t="s">
        <v>805</v>
      </c>
    </row>
    <row r="3857" spans="1:20" x14ac:dyDescent="0.3">
      <c r="A3857" t="s">
        <v>627</v>
      </c>
      <c r="B3857" s="16">
        <v>45940</v>
      </c>
      <c r="C3857" t="s">
        <v>2</v>
      </c>
      <c r="D3857" t="s">
        <v>55</v>
      </c>
      <c r="E3857" t="s">
        <v>56</v>
      </c>
      <c r="F3857">
        <v>393</v>
      </c>
      <c r="G3857">
        <v>247</v>
      </c>
      <c r="H3857">
        <v>1</v>
      </c>
      <c r="I3857">
        <v>1</v>
      </c>
      <c r="J3857">
        <v>0</v>
      </c>
      <c r="K3857">
        <v>0</v>
      </c>
      <c r="L3857">
        <v>0</v>
      </c>
      <c r="M3857">
        <v>0</v>
      </c>
      <c r="N3857">
        <v>13</v>
      </c>
      <c r="O3857">
        <v>225</v>
      </c>
      <c r="P3857">
        <f t="shared" si="198"/>
        <v>2025</v>
      </c>
      <c r="Q3857">
        <f t="shared" si="199"/>
        <v>10</v>
      </c>
      <c r="R3857" t="str">
        <f t="shared" si="200"/>
        <v>超级短视频</v>
      </c>
      <c r="S3857" t="s">
        <v>784</v>
      </c>
      <c r="T3857" t="s">
        <v>805</v>
      </c>
    </row>
    <row r="3858" spans="1:20" x14ac:dyDescent="0.3">
      <c r="A3858" t="s">
        <v>627</v>
      </c>
      <c r="B3858" s="16">
        <v>45940</v>
      </c>
      <c r="C3858" t="s">
        <v>2</v>
      </c>
      <c r="D3858" t="s">
        <v>52</v>
      </c>
      <c r="E3858" t="s">
        <v>183</v>
      </c>
      <c r="F3858">
        <v>1</v>
      </c>
      <c r="G3858">
        <v>1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1</v>
      </c>
      <c r="O3858">
        <v>0</v>
      </c>
      <c r="P3858">
        <f t="shared" si="198"/>
        <v>2025</v>
      </c>
      <c r="Q3858">
        <f t="shared" si="199"/>
        <v>10</v>
      </c>
      <c r="R3858" t="str">
        <f t="shared" si="200"/>
        <v>品销宝-品牌专区</v>
      </c>
      <c r="S3858" t="s">
        <v>784</v>
      </c>
      <c r="T3858" t="s">
        <v>805</v>
      </c>
    </row>
    <row r="3859" spans="1:20" x14ac:dyDescent="0.3">
      <c r="A3859" t="s">
        <v>627</v>
      </c>
      <c r="B3859" s="16">
        <v>45940</v>
      </c>
      <c r="C3859" t="s">
        <v>2</v>
      </c>
      <c r="D3859" t="s">
        <v>57</v>
      </c>
      <c r="E3859" t="s">
        <v>63</v>
      </c>
      <c r="F3859">
        <v>717</v>
      </c>
      <c r="G3859">
        <v>621</v>
      </c>
      <c r="H3859">
        <v>11</v>
      </c>
      <c r="I3859">
        <v>3</v>
      </c>
      <c r="J3859">
        <v>16755</v>
      </c>
      <c r="K3859">
        <v>2</v>
      </c>
      <c r="L3859">
        <v>9975</v>
      </c>
      <c r="M3859">
        <v>2</v>
      </c>
      <c r="N3859">
        <v>717</v>
      </c>
      <c r="O3859">
        <v>304</v>
      </c>
      <c r="P3859">
        <f t="shared" si="198"/>
        <v>2025</v>
      </c>
      <c r="Q3859">
        <f t="shared" si="199"/>
        <v>10</v>
      </c>
      <c r="R3859" t="str">
        <f t="shared" si="200"/>
        <v>万相台</v>
      </c>
      <c r="S3859" t="s">
        <v>784</v>
      </c>
      <c r="T3859" t="s">
        <v>805</v>
      </c>
    </row>
    <row r="3860" spans="1:20" x14ac:dyDescent="0.3">
      <c r="A3860" t="s">
        <v>627</v>
      </c>
      <c r="B3860" s="16">
        <v>45940</v>
      </c>
      <c r="C3860" t="s">
        <v>2</v>
      </c>
      <c r="D3860" t="s">
        <v>57</v>
      </c>
      <c r="E3860" t="s">
        <v>64</v>
      </c>
      <c r="F3860">
        <v>38271</v>
      </c>
      <c r="G3860">
        <v>24717</v>
      </c>
      <c r="H3860">
        <v>140</v>
      </c>
      <c r="I3860">
        <v>74</v>
      </c>
      <c r="J3860">
        <v>58314.39</v>
      </c>
      <c r="K3860">
        <v>14</v>
      </c>
      <c r="L3860">
        <v>51874.39</v>
      </c>
      <c r="M3860">
        <v>12</v>
      </c>
      <c r="N3860">
        <v>606</v>
      </c>
      <c r="O3860">
        <v>38262</v>
      </c>
      <c r="P3860">
        <f t="shared" si="198"/>
        <v>2025</v>
      </c>
      <c r="Q3860">
        <f t="shared" si="199"/>
        <v>10</v>
      </c>
      <c r="R3860" t="str">
        <f t="shared" si="200"/>
        <v>引力魔方</v>
      </c>
      <c r="S3860" t="s">
        <v>784</v>
      </c>
      <c r="T3860" t="s">
        <v>805</v>
      </c>
    </row>
    <row r="3861" spans="1:20" x14ac:dyDescent="0.3">
      <c r="A3861" t="s">
        <v>627</v>
      </c>
      <c r="B3861" s="16">
        <v>45940</v>
      </c>
      <c r="C3861" t="s">
        <v>2</v>
      </c>
      <c r="D3861" t="s">
        <v>57</v>
      </c>
      <c r="E3861" t="s">
        <v>65</v>
      </c>
      <c r="F3861">
        <v>6065</v>
      </c>
      <c r="G3861">
        <v>5486</v>
      </c>
      <c r="H3861">
        <v>34</v>
      </c>
      <c r="I3861">
        <v>14</v>
      </c>
      <c r="J3861">
        <v>35190</v>
      </c>
      <c r="K3861">
        <v>6</v>
      </c>
      <c r="L3861">
        <v>18740</v>
      </c>
      <c r="M3861">
        <v>4</v>
      </c>
      <c r="N3861">
        <v>309</v>
      </c>
      <c r="O3861">
        <v>6006</v>
      </c>
      <c r="P3861">
        <f t="shared" si="198"/>
        <v>2025</v>
      </c>
      <c r="Q3861">
        <f t="shared" si="199"/>
        <v>10</v>
      </c>
      <c r="R3861" t="str">
        <f t="shared" si="200"/>
        <v>直通车</v>
      </c>
      <c r="S3861" t="s">
        <v>784</v>
      </c>
      <c r="T3861" t="s">
        <v>805</v>
      </c>
    </row>
    <row r="3862" spans="1:20" x14ac:dyDescent="0.3">
      <c r="A3862" t="s">
        <v>627</v>
      </c>
      <c r="B3862" s="16">
        <v>45940</v>
      </c>
      <c r="C3862" t="s">
        <v>2</v>
      </c>
      <c r="D3862" t="s">
        <v>4</v>
      </c>
      <c r="E3862" t="s">
        <v>42</v>
      </c>
      <c r="F3862">
        <v>1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1</v>
      </c>
      <c r="P3862">
        <f t="shared" si="198"/>
        <v>2025</v>
      </c>
      <c r="Q3862">
        <f t="shared" si="199"/>
        <v>10</v>
      </c>
      <c r="R3862" t="str">
        <f t="shared" si="200"/>
        <v>UD效果投放</v>
      </c>
      <c r="S3862" t="s">
        <v>784</v>
      </c>
      <c r="T3862" t="s">
        <v>805</v>
      </c>
    </row>
    <row r="3863" spans="1:20" x14ac:dyDescent="0.3">
      <c r="A3863" t="s">
        <v>627</v>
      </c>
      <c r="B3863" s="16">
        <v>45940</v>
      </c>
      <c r="C3863" t="s">
        <v>2</v>
      </c>
      <c r="D3863" t="s">
        <v>4</v>
      </c>
      <c r="E3863" t="s">
        <v>43</v>
      </c>
      <c r="F3863">
        <v>313</v>
      </c>
      <c r="G3863">
        <v>117</v>
      </c>
      <c r="H3863">
        <v>3</v>
      </c>
      <c r="I3863">
        <v>1</v>
      </c>
      <c r="J3863">
        <v>6745</v>
      </c>
      <c r="K3863">
        <v>2</v>
      </c>
      <c r="L3863">
        <v>6745</v>
      </c>
      <c r="M3863">
        <v>2</v>
      </c>
      <c r="N3863">
        <v>2</v>
      </c>
      <c r="O3863">
        <v>313</v>
      </c>
      <c r="P3863">
        <f t="shared" si="198"/>
        <v>2025</v>
      </c>
      <c r="Q3863">
        <f t="shared" si="199"/>
        <v>10</v>
      </c>
      <c r="R3863" t="str">
        <f t="shared" si="200"/>
        <v>淘宝客</v>
      </c>
      <c r="S3863" t="s">
        <v>784</v>
      </c>
      <c r="T3863" t="s">
        <v>805</v>
      </c>
    </row>
    <row r="3864" spans="1:20" x14ac:dyDescent="0.3">
      <c r="A3864" t="s">
        <v>627</v>
      </c>
      <c r="B3864" s="16">
        <v>45610</v>
      </c>
      <c r="C3864" t="s">
        <v>3</v>
      </c>
      <c r="D3864" t="s">
        <v>117</v>
      </c>
      <c r="E3864" t="s">
        <v>161</v>
      </c>
      <c r="F3864">
        <v>5</v>
      </c>
      <c r="G3864">
        <v>5</v>
      </c>
      <c r="H3864">
        <v>0</v>
      </c>
      <c r="I3864">
        <v>1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5</v>
      </c>
      <c r="P3864">
        <f t="shared" si="198"/>
        <v>2024</v>
      </c>
      <c r="Q3864">
        <f t="shared" si="199"/>
        <v>11</v>
      </c>
      <c r="R3864" t="str">
        <f t="shared" si="200"/>
        <v>其他入口榜单</v>
      </c>
      <c r="S3864" t="s">
        <v>785</v>
      </c>
    </row>
    <row r="3865" spans="1:20" x14ac:dyDescent="0.3">
      <c r="A3865" t="s">
        <v>627</v>
      </c>
      <c r="B3865" s="16">
        <v>45610</v>
      </c>
      <c r="C3865" t="s">
        <v>3</v>
      </c>
      <c r="D3865" t="s">
        <v>123</v>
      </c>
      <c r="E3865" t="s">
        <v>169</v>
      </c>
      <c r="F3865">
        <v>134</v>
      </c>
      <c r="G3865">
        <v>56</v>
      </c>
      <c r="H3865">
        <v>2</v>
      </c>
      <c r="I3865">
        <v>3</v>
      </c>
      <c r="J3865">
        <v>0</v>
      </c>
      <c r="K3865">
        <v>0</v>
      </c>
      <c r="L3865">
        <v>0</v>
      </c>
      <c r="M3865">
        <v>0</v>
      </c>
      <c r="N3865">
        <v>16</v>
      </c>
      <c r="O3865">
        <v>132</v>
      </c>
      <c r="P3865">
        <f t="shared" si="198"/>
        <v>2024</v>
      </c>
      <c r="Q3865">
        <f t="shared" si="199"/>
        <v>11</v>
      </c>
      <c r="R3865" t="str">
        <f t="shared" si="200"/>
        <v>商品详情页头图推荐</v>
      </c>
      <c r="S3865" t="s">
        <v>785</v>
      </c>
    </row>
    <row r="3866" spans="1:20" x14ac:dyDescent="0.3">
      <c r="A3866" t="s">
        <v>627</v>
      </c>
      <c r="B3866" s="16">
        <v>45610</v>
      </c>
      <c r="C3866" t="s">
        <v>3</v>
      </c>
      <c r="D3866" t="s">
        <v>123</v>
      </c>
      <c r="E3866" t="s">
        <v>170</v>
      </c>
      <c r="F3866">
        <v>28</v>
      </c>
      <c r="G3866">
        <v>18</v>
      </c>
      <c r="H3866">
        <v>0</v>
      </c>
      <c r="I3866">
        <v>1</v>
      </c>
      <c r="J3866">
        <v>0</v>
      </c>
      <c r="K3866">
        <v>0</v>
      </c>
      <c r="L3866">
        <v>0</v>
      </c>
      <c r="M3866">
        <v>0</v>
      </c>
      <c r="N3866">
        <v>20</v>
      </c>
      <c r="O3866">
        <v>14</v>
      </c>
      <c r="P3866">
        <f t="shared" si="198"/>
        <v>2024</v>
      </c>
      <c r="Q3866">
        <f t="shared" si="199"/>
        <v>11</v>
      </c>
      <c r="R3866" t="str">
        <f t="shared" si="200"/>
        <v>店铺超链</v>
      </c>
      <c r="S3866" t="s">
        <v>785</v>
      </c>
    </row>
    <row r="3867" spans="1:20" x14ac:dyDescent="0.3">
      <c r="A3867" t="s">
        <v>627</v>
      </c>
      <c r="B3867" s="16">
        <v>45610</v>
      </c>
      <c r="C3867" t="s">
        <v>3</v>
      </c>
      <c r="D3867" t="s">
        <v>127</v>
      </c>
      <c r="E3867" t="s">
        <v>171</v>
      </c>
      <c r="F3867">
        <v>258</v>
      </c>
      <c r="G3867">
        <v>125</v>
      </c>
      <c r="H3867">
        <v>2</v>
      </c>
      <c r="I3867">
        <v>3</v>
      </c>
      <c r="J3867">
        <v>0</v>
      </c>
      <c r="K3867">
        <v>0</v>
      </c>
      <c r="L3867">
        <v>0</v>
      </c>
      <c r="M3867">
        <v>0</v>
      </c>
      <c r="N3867">
        <v>30</v>
      </c>
      <c r="O3867">
        <v>234</v>
      </c>
      <c r="P3867">
        <f t="shared" si="198"/>
        <v>2024</v>
      </c>
      <c r="Q3867">
        <f t="shared" si="199"/>
        <v>11</v>
      </c>
      <c r="R3867" t="str">
        <f t="shared" si="200"/>
        <v>其他猜你喜欢</v>
      </c>
      <c r="S3867" t="s">
        <v>785</v>
      </c>
    </row>
    <row r="3868" spans="1:20" x14ac:dyDescent="0.3">
      <c r="A3868" t="s">
        <v>627</v>
      </c>
      <c r="B3868" s="16">
        <v>45610</v>
      </c>
      <c r="C3868" t="s">
        <v>3</v>
      </c>
      <c r="D3868" t="s">
        <v>127</v>
      </c>
      <c r="E3868" t="s">
        <v>172</v>
      </c>
      <c r="F3868">
        <v>11</v>
      </c>
      <c r="G3868">
        <v>7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2</v>
      </c>
      <c r="O3868">
        <v>11</v>
      </c>
      <c r="P3868">
        <f t="shared" si="198"/>
        <v>2024</v>
      </c>
      <c r="Q3868">
        <f t="shared" si="199"/>
        <v>11</v>
      </c>
      <c r="R3868" t="str">
        <f t="shared" si="200"/>
        <v>购中推荐</v>
      </c>
      <c r="S3868" t="s">
        <v>785</v>
      </c>
    </row>
    <row r="3869" spans="1:20" x14ac:dyDescent="0.3">
      <c r="A3869" t="s">
        <v>627</v>
      </c>
      <c r="B3869" s="16">
        <v>45610</v>
      </c>
      <c r="C3869" t="s">
        <v>3</v>
      </c>
      <c r="D3869" t="s">
        <v>127</v>
      </c>
      <c r="E3869" t="s">
        <v>173</v>
      </c>
      <c r="F3869">
        <v>79</v>
      </c>
      <c r="G3869">
        <v>47</v>
      </c>
      <c r="H3869">
        <v>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6</v>
      </c>
      <c r="O3869">
        <v>75</v>
      </c>
      <c r="P3869">
        <f t="shared" si="198"/>
        <v>2024</v>
      </c>
      <c r="Q3869">
        <f t="shared" si="199"/>
        <v>11</v>
      </c>
      <c r="R3869" t="str">
        <f t="shared" si="200"/>
        <v>购后推荐</v>
      </c>
      <c r="S3869" t="s">
        <v>785</v>
      </c>
    </row>
    <row r="3870" spans="1:20" x14ac:dyDescent="0.3">
      <c r="A3870" t="s">
        <v>627</v>
      </c>
      <c r="B3870" s="16">
        <v>45610</v>
      </c>
      <c r="C3870" t="s">
        <v>3</v>
      </c>
      <c r="D3870" t="s">
        <v>127</v>
      </c>
      <c r="E3870" t="s">
        <v>174</v>
      </c>
      <c r="F3870">
        <v>2996</v>
      </c>
      <c r="G3870">
        <v>1299</v>
      </c>
      <c r="H3870">
        <v>46</v>
      </c>
      <c r="I3870">
        <v>28</v>
      </c>
      <c r="J3870">
        <v>17500</v>
      </c>
      <c r="K3870">
        <v>1</v>
      </c>
      <c r="L3870">
        <v>17500</v>
      </c>
      <c r="M3870">
        <v>1</v>
      </c>
      <c r="N3870">
        <v>179</v>
      </c>
      <c r="O3870">
        <v>2996</v>
      </c>
      <c r="P3870">
        <f t="shared" si="198"/>
        <v>2024</v>
      </c>
      <c r="Q3870">
        <f t="shared" si="199"/>
        <v>11</v>
      </c>
      <c r="R3870" t="str">
        <f t="shared" si="200"/>
        <v>首页推荐-微详情</v>
      </c>
      <c r="S3870" t="s">
        <v>785</v>
      </c>
    </row>
    <row r="3871" spans="1:20" x14ac:dyDescent="0.3">
      <c r="A3871" t="s">
        <v>627</v>
      </c>
      <c r="B3871" s="16">
        <v>45610</v>
      </c>
      <c r="C3871" t="s">
        <v>3</v>
      </c>
      <c r="D3871" t="s">
        <v>127</v>
      </c>
      <c r="E3871" t="s">
        <v>175</v>
      </c>
      <c r="F3871">
        <v>1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f t="shared" si="198"/>
        <v>2024</v>
      </c>
      <c r="Q3871">
        <f t="shared" si="199"/>
        <v>11</v>
      </c>
      <c r="R3871" t="str">
        <f t="shared" si="200"/>
        <v>首页推荐-直播</v>
      </c>
      <c r="S3871" t="s">
        <v>785</v>
      </c>
    </row>
    <row r="3872" spans="1:20" x14ac:dyDescent="0.3">
      <c r="A3872" t="s">
        <v>627</v>
      </c>
      <c r="B3872" s="16">
        <v>45610</v>
      </c>
      <c r="C3872" t="s">
        <v>3</v>
      </c>
      <c r="D3872" t="s">
        <v>127</v>
      </c>
      <c r="E3872" t="s">
        <v>176</v>
      </c>
      <c r="F3872">
        <v>474</v>
      </c>
      <c r="G3872">
        <v>200</v>
      </c>
      <c r="H3872">
        <v>3</v>
      </c>
      <c r="I3872">
        <v>3</v>
      </c>
      <c r="J3872">
        <v>1680</v>
      </c>
      <c r="K3872">
        <v>1</v>
      </c>
      <c r="L3872">
        <v>0</v>
      </c>
      <c r="M3872">
        <v>0</v>
      </c>
      <c r="N3872">
        <v>14</v>
      </c>
      <c r="O3872">
        <v>111</v>
      </c>
      <c r="P3872">
        <f t="shared" si="198"/>
        <v>2024</v>
      </c>
      <c r="Q3872">
        <f t="shared" si="199"/>
        <v>11</v>
      </c>
      <c r="R3872" t="str">
        <f t="shared" si="200"/>
        <v>首页推荐-短视频</v>
      </c>
      <c r="S3872" t="s">
        <v>785</v>
      </c>
    </row>
    <row r="3873" spans="1:19" x14ac:dyDescent="0.3">
      <c r="A3873" t="s">
        <v>627</v>
      </c>
      <c r="B3873" s="16">
        <v>45610</v>
      </c>
      <c r="C3873" t="s">
        <v>3</v>
      </c>
      <c r="D3873" t="s">
        <v>128</v>
      </c>
      <c r="E3873" t="s">
        <v>177</v>
      </c>
      <c r="F3873">
        <v>961</v>
      </c>
      <c r="G3873">
        <v>743</v>
      </c>
      <c r="H3873">
        <v>23</v>
      </c>
      <c r="I3873">
        <v>13</v>
      </c>
      <c r="J3873">
        <v>15045</v>
      </c>
      <c r="K3873">
        <v>2</v>
      </c>
      <c r="L3873">
        <v>4095</v>
      </c>
      <c r="M3873">
        <v>1</v>
      </c>
      <c r="N3873">
        <v>267</v>
      </c>
      <c r="O3873">
        <v>836</v>
      </c>
      <c r="P3873">
        <f t="shared" si="198"/>
        <v>2024</v>
      </c>
      <c r="Q3873">
        <f t="shared" si="199"/>
        <v>11</v>
      </c>
      <c r="R3873" t="str">
        <f t="shared" si="200"/>
        <v>手淘搜索-商品及其他</v>
      </c>
      <c r="S3873" t="s">
        <v>785</v>
      </c>
    </row>
    <row r="3874" spans="1:19" x14ac:dyDescent="0.3">
      <c r="A3874" t="s">
        <v>627</v>
      </c>
      <c r="B3874" s="16">
        <v>45610</v>
      </c>
      <c r="C3874" t="s">
        <v>3</v>
      </c>
      <c r="D3874" t="s">
        <v>128</v>
      </c>
      <c r="E3874" t="s">
        <v>179</v>
      </c>
      <c r="F3874">
        <v>140</v>
      </c>
      <c r="G3874">
        <v>118</v>
      </c>
      <c r="H3874">
        <v>1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2</v>
      </c>
      <c r="O3874">
        <v>137</v>
      </c>
      <c r="P3874">
        <f t="shared" si="198"/>
        <v>2024</v>
      </c>
      <c r="Q3874">
        <f t="shared" si="199"/>
        <v>11</v>
      </c>
      <c r="R3874" t="str">
        <f t="shared" si="200"/>
        <v>手淘搜索-短视频</v>
      </c>
      <c r="S3874" t="s">
        <v>785</v>
      </c>
    </row>
    <row r="3875" spans="1:19" x14ac:dyDescent="0.3">
      <c r="A3875" t="s">
        <v>627</v>
      </c>
      <c r="B3875" s="16">
        <v>45610</v>
      </c>
      <c r="C3875" t="s">
        <v>3</v>
      </c>
      <c r="D3875" t="s">
        <v>143</v>
      </c>
      <c r="E3875" t="s">
        <v>180</v>
      </c>
      <c r="F3875">
        <v>2</v>
      </c>
      <c r="G3875">
        <v>2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2</v>
      </c>
      <c r="P3875">
        <f t="shared" si="198"/>
        <v>2024</v>
      </c>
      <c r="Q3875">
        <f t="shared" si="199"/>
        <v>11</v>
      </c>
      <c r="R3875" t="str">
        <f t="shared" si="200"/>
        <v>淘特其他渠道</v>
      </c>
      <c r="S3875" t="s">
        <v>785</v>
      </c>
    </row>
    <row r="3876" spans="1:19" x14ac:dyDescent="0.3">
      <c r="A3876" t="s">
        <v>627</v>
      </c>
      <c r="B3876" s="16">
        <v>45610</v>
      </c>
      <c r="C3876" t="s">
        <v>3</v>
      </c>
      <c r="D3876" t="s">
        <v>143</v>
      </c>
      <c r="E3876" t="s">
        <v>181</v>
      </c>
      <c r="F3876">
        <v>12</v>
      </c>
      <c r="G3876">
        <v>12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12</v>
      </c>
      <c r="P3876">
        <f t="shared" si="198"/>
        <v>2024</v>
      </c>
      <c r="Q3876">
        <f t="shared" si="199"/>
        <v>11</v>
      </c>
      <c r="R3876" t="str">
        <f t="shared" si="200"/>
        <v>淘特搜索</v>
      </c>
      <c r="S3876" t="s">
        <v>785</v>
      </c>
    </row>
    <row r="3877" spans="1:19" x14ac:dyDescent="0.3">
      <c r="A3877" t="s">
        <v>627</v>
      </c>
      <c r="B3877" s="16">
        <v>45610</v>
      </c>
      <c r="C3877" t="s">
        <v>2</v>
      </c>
      <c r="D3877" t="s">
        <v>55</v>
      </c>
      <c r="E3877" t="s">
        <v>56</v>
      </c>
      <c r="F3877">
        <v>108</v>
      </c>
      <c r="G3877">
        <v>79</v>
      </c>
      <c r="H3877">
        <v>3</v>
      </c>
      <c r="I3877">
        <v>3</v>
      </c>
      <c r="J3877">
        <v>0</v>
      </c>
      <c r="K3877">
        <v>0</v>
      </c>
      <c r="L3877">
        <v>0</v>
      </c>
      <c r="M3877">
        <v>0</v>
      </c>
      <c r="N3877">
        <v>4</v>
      </c>
      <c r="O3877">
        <v>81</v>
      </c>
      <c r="P3877">
        <f t="shared" si="198"/>
        <v>2024</v>
      </c>
      <c r="Q3877">
        <f t="shared" si="199"/>
        <v>11</v>
      </c>
      <c r="R3877" t="str">
        <f t="shared" si="200"/>
        <v>超级短视频</v>
      </c>
      <c r="S3877" t="s">
        <v>785</v>
      </c>
    </row>
    <row r="3878" spans="1:19" x14ac:dyDescent="0.3">
      <c r="A3878" t="s">
        <v>627</v>
      </c>
      <c r="B3878" s="16">
        <v>45610</v>
      </c>
      <c r="C3878" t="s">
        <v>2</v>
      </c>
      <c r="D3878" t="s">
        <v>52</v>
      </c>
      <c r="E3878" t="s">
        <v>183</v>
      </c>
      <c r="F3878">
        <v>555</v>
      </c>
      <c r="G3878">
        <v>462</v>
      </c>
      <c r="H3878">
        <v>16</v>
      </c>
      <c r="I3878">
        <v>4</v>
      </c>
      <c r="J3878">
        <v>4695</v>
      </c>
      <c r="K3878">
        <v>1</v>
      </c>
      <c r="L3878">
        <v>4695</v>
      </c>
      <c r="M3878">
        <v>1</v>
      </c>
      <c r="N3878">
        <v>555</v>
      </c>
      <c r="O3878">
        <v>310</v>
      </c>
      <c r="P3878">
        <f t="shared" si="198"/>
        <v>2024</v>
      </c>
      <c r="Q3878">
        <f t="shared" si="199"/>
        <v>11</v>
      </c>
      <c r="R3878" t="str">
        <f t="shared" si="200"/>
        <v>品销宝-品牌专区</v>
      </c>
      <c r="S3878" t="s">
        <v>785</v>
      </c>
    </row>
    <row r="3879" spans="1:19" x14ac:dyDescent="0.3">
      <c r="A3879" t="s">
        <v>627</v>
      </c>
      <c r="B3879" s="16">
        <v>45610</v>
      </c>
      <c r="C3879" t="s">
        <v>2</v>
      </c>
      <c r="D3879" t="s">
        <v>57</v>
      </c>
      <c r="E3879" t="s">
        <v>65</v>
      </c>
      <c r="F3879">
        <v>2847</v>
      </c>
      <c r="G3879">
        <v>2352</v>
      </c>
      <c r="H3879">
        <v>33</v>
      </c>
      <c r="I3879">
        <v>32</v>
      </c>
      <c r="J3879">
        <v>31570</v>
      </c>
      <c r="K3879">
        <v>5</v>
      </c>
      <c r="L3879">
        <v>10060</v>
      </c>
      <c r="M3879">
        <v>2</v>
      </c>
      <c r="N3879">
        <v>270</v>
      </c>
      <c r="O3879">
        <v>2829</v>
      </c>
      <c r="P3879">
        <f t="shared" si="198"/>
        <v>2024</v>
      </c>
      <c r="Q3879">
        <f t="shared" si="199"/>
        <v>11</v>
      </c>
      <c r="R3879" t="str">
        <f t="shared" si="200"/>
        <v>直通车</v>
      </c>
      <c r="S3879" t="s">
        <v>785</v>
      </c>
    </row>
    <row r="3880" spans="1:19" x14ac:dyDescent="0.3">
      <c r="A3880" t="s">
        <v>627</v>
      </c>
      <c r="B3880" s="16">
        <v>45610</v>
      </c>
      <c r="C3880" t="s">
        <v>2</v>
      </c>
      <c r="D3880" t="s">
        <v>57</v>
      </c>
      <c r="E3880" t="s">
        <v>63</v>
      </c>
      <c r="F3880">
        <v>2386</v>
      </c>
      <c r="G3880">
        <v>1187</v>
      </c>
      <c r="H3880">
        <v>97</v>
      </c>
      <c r="I3880">
        <v>48</v>
      </c>
      <c r="J3880">
        <v>30890</v>
      </c>
      <c r="K3880">
        <v>6</v>
      </c>
      <c r="L3880">
        <v>8855</v>
      </c>
      <c r="M3880">
        <v>2</v>
      </c>
      <c r="N3880">
        <v>137</v>
      </c>
      <c r="O3880">
        <v>2373</v>
      </c>
      <c r="P3880">
        <f t="shared" si="198"/>
        <v>2024</v>
      </c>
      <c r="Q3880">
        <f t="shared" si="199"/>
        <v>11</v>
      </c>
      <c r="R3880" t="str">
        <f t="shared" si="200"/>
        <v>万相台</v>
      </c>
      <c r="S3880" t="s">
        <v>785</v>
      </c>
    </row>
    <row r="3881" spans="1:19" x14ac:dyDescent="0.3">
      <c r="A3881" t="s">
        <v>627</v>
      </c>
      <c r="B3881" s="16">
        <v>45610</v>
      </c>
      <c r="C3881" t="s">
        <v>2</v>
      </c>
      <c r="D3881" t="s">
        <v>57</v>
      </c>
      <c r="E3881" t="s">
        <v>64</v>
      </c>
      <c r="F3881">
        <v>3295</v>
      </c>
      <c r="G3881">
        <v>1144</v>
      </c>
      <c r="H3881">
        <v>38</v>
      </c>
      <c r="I3881">
        <v>41</v>
      </c>
      <c r="J3881">
        <v>13147</v>
      </c>
      <c r="K3881">
        <v>4</v>
      </c>
      <c r="L3881">
        <v>8172</v>
      </c>
      <c r="M3881">
        <v>3</v>
      </c>
      <c r="N3881">
        <v>199</v>
      </c>
      <c r="O3881">
        <v>3293</v>
      </c>
      <c r="P3881">
        <f t="shared" ref="P3881:P3944" si="201">YEAR(B3881)</f>
        <v>2024</v>
      </c>
      <c r="Q3881">
        <f t="shared" ref="Q3881:Q3944" si="202">MONTH(B3881)</f>
        <v>11</v>
      </c>
      <c r="R3881" t="str">
        <f t="shared" ref="R3881:R3944" si="203">E3881</f>
        <v>引力魔方</v>
      </c>
      <c r="S3881" t="s">
        <v>785</v>
      </c>
    </row>
    <row r="3882" spans="1:19" x14ac:dyDescent="0.3">
      <c r="A3882" t="s">
        <v>627</v>
      </c>
      <c r="B3882" s="16">
        <v>45610</v>
      </c>
      <c r="C3882" t="s">
        <v>2</v>
      </c>
      <c r="D3882" t="s">
        <v>4</v>
      </c>
      <c r="E3882" t="s">
        <v>43</v>
      </c>
      <c r="F3882">
        <v>207</v>
      </c>
      <c r="G3882">
        <v>69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11</v>
      </c>
      <c r="O3882">
        <v>203</v>
      </c>
      <c r="P3882">
        <f t="shared" si="201"/>
        <v>2024</v>
      </c>
      <c r="Q3882">
        <f t="shared" si="202"/>
        <v>11</v>
      </c>
      <c r="R3882" t="str">
        <f t="shared" si="203"/>
        <v>淘宝客</v>
      </c>
      <c r="S3882" t="s">
        <v>785</v>
      </c>
    </row>
    <row r="3883" spans="1:19" x14ac:dyDescent="0.3">
      <c r="A3883" t="s">
        <v>627</v>
      </c>
      <c r="B3883" s="16">
        <v>45609</v>
      </c>
      <c r="C3883" t="s">
        <v>3</v>
      </c>
      <c r="D3883" t="s">
        <v>114</v>
      </c>
      <c r="E3883" t="s">
        <v>159</v>
      </c>
      <c r="F3883">
        <v>3</v>
      </c>
      <c r="G3883">
        <v>2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2</v>
      </c>
      <c r="P3883">
        <f t="shared" si="201"/>
        <v>2024</v>
      </c>
      <c r="Q3883">
        <f t="shared" si="202"/>
        <v>11</v>
      </c>
      <c r="R3883" t="str">
        <f t="shared" si="203"/>
        <v>主会场</v>
      </c>
      <c r="S3883" t="s">
        <v>785</v>
      </c>
    </row>
    <row r="3884" spans="1:19" x14ac:dyDescent="0.3">
      <c r="A3884" t="s">
        <v>627</v>
      </c>
      <c r="B3884" s="16">
        <v>45609</v>
      </c>
      <c r="C3884" t="s">
        <v>3</v>
      </c>
      <c r="D3884" t="s">
        <v>114</v>
      </c>
      <c r="E3884" t="s">
        <v>160</v>
      </c>
      <c r="F3884">
        <v>1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1</v>
      </c>
      <c r="O3884">
        <v>1</v>
      </c>
      <c r="P3884">
        <f t="shared" si="201"/>
        <v>2024</v>
      </c>
      <c r="Q3884">
        <f t="shared" si="202"/>
        <v>11</v>
      </c>
      <c r="R3884" t="str">
        <f t="shared" si="203"/>
        <v>榜单会场</v>
      </c>
      <c r="S3884" t="s">
        <v>785</v>
      </c>
    </row>
    <row r="3885" spans="1:19" x14ac:dyDescent="0.3">
      <c r="A3885" t="s">
        <v>627</v>
      </c>
      <c r="B3885" s="16">
        <v>45609</v>
      </c>
      <c r="C3885" t="s">
        <v>3</v>
      </c>
      <c r="D3885" t="s">
        <v>117</v>
      </c>
      <c r="E3885" t="s">
        <v>195</v>
      </c>
      <c r="F3885">
        <v>1</v>
      </c>
      <c r="G3885">
        <v>1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1</v>
      </c>
      <c r="O3885">
        <v>1</v>
      </c>
      <c r="P3885">
        <f t="shared" si="201"/>
        <v>2024</v>
      </c>
      <c r="Q3885">
        <f t="shared" si="202"/>
        <v>11</v>
      </c>
      <c r="R3885" t="str">
        <f t="shared" si="203"/>
        <v>搜索入口榜单</v>
      </c>
      <c r="S3885" t="s">
        <v>785</v>
      </c>
    </row>
    <row r="3886" spans="1:19" x14ac:dyDescent="0.3">
      <c r="A3886" t="s">
        <v>627</v>
      </c>
      <c r="B3886" s="16">
        <v>45609</v>
      </c>
      <c r="C3886" t="s">
        <v>3</v>
      </c>
      <c r="D3886" t="s">
        <v>123</v>
      </c>
      <c r="E3886" t="s">
        <v>169</v>
      </c>
      <c r="F3886">
        <v>141</v>
      </c>
      <c r="G3886">
        <v>53</v>
      </c>
      <c r="H3886">
        <v>5</v>
      </c>
      <c r="I3886">
        <v>2</v>
      </c>
      <c r="J3886">
        <v>21480</v>
      </c>
      <c r="K3886">
        <v>2</v>
      </c>
      <c r="L3886">
        <v>21480</v>
      </c>
      <c r="M3886">
        <v>2</v>
      </c>
      <c r="N3886">
        <v>30</v>
      </c>
      <c r="O3886">
        <v>140</v>
      </c>
      <c r="P3886">
        <f t="shared" si="201"/>
        <v>2024</v>
      </c>
      <c r="Q3886">
        <f t="shared" si="202"/>
        <v>11</v>
      </c>
      <c r="R3886" t="str">
        <f t="shared" si="203"/>
        <v>商品详情页头图推荐</v>
      </c>
      <c r="S3886" t="s">
        <v>785</v>
      </c>
    </row>
    <row r="3887" spans="1:19" x14ac:dyDescent="0.3">
      <c r="A3887" t="s">
        <v>627</v>
      </c>
      <c r="B3887" s="16">
        <v>45609</v>
      </c>
      <c r="C3887" t="s">
        <v>3</v>
      </c>
      <c r="D3887" t="s">
        <v>123</v>
      </c>
      <c r="E3887" t="s">
        <v>170</v>
      </c>
      <c r="F3887">
        <v>30</v>
      </c>
      <c r="G3887">
        <v>17</v>
      </c>
      <c r="H3887">
        <v>2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26</v>
      </c>
      <c r="O3887">
        <v>14</v>
      </c>
      <c r="P3887">
        <f t="shared" si="201"/>
        <v>2024</v>
      </c>
      <c r="Q3887">
        <f t="shared" si="202"/>
        <v>11</v>
      </c>
      <c r="R3887" t="str">
        <f t="shared" si="203"/>
        <v>店铺超链</v>
      </c>
      <c r="S3887" t="s">
        <v>785</v>
      </c>
    </row>
    <row r="3888" spans="1:19" x14ac:dyDescent="0.3">
      <c r="A3888" t="s">
        <v>627</v>
      </c>
      <c r="B3888" s="16">
        <v>45609</v>
      </c>
      <c r="C3888" t="s">
        <v>3</v>
      </c>
      <c r="D3888" t="s">
        <v>127</v>
      </c>
      <c r="E3888" t="s">
        <v>171</v>
      </c>
      <c r="F3888">
        <v>303</v>
      </c>
      <c r="G3888">
        <v>126</v>
      </c>
      <c r="H3888">
        <v>3</v>
      </c>
      <c r="I3888">
        <v>2</v>
      </c>
      <c r="J3888">
        <v>19500</v>
      </c>
      <c r="K3888">
        <v>1</v>
      </c>
      <c r="L3888">
        <v>19500</v>
      </c>
      <c r="M3888">
        <v>1</v>
      </c>
      <c r="N3888">
        <v>38</v>
      </c>
      <c r="O3888">
        <v>273</v>
      </c>
      <c r="P3888">
        <f t="shared" si="201"/>
        <v>2024</v>
      </c>
      <c r="Q3888">
        <f t="shared" si="202"/>
        <v>11</v>
      </c>
      <c r="R3888" t="str">
        <f t="shared" si="203"/>
        <v>其他猜你喜欢</v>
      </c>
      <c r="S3888" t="s">
        <v>785</v>
      </c>
    </row>
    <row r="3889" spans="1:19" x14ac:dyDescent="0.3">
      <c r="A3889" t="s">
        <v>627</v>
      </c>
      <c r="B3889" s="16">
        <v>45609</v>
      </c>
      <c r="C3889" t="s">
        <v>3</v>
      </c>
      <c r="D3889" t="s">
        <v>127</v>
      </c>
      <c r="E3889" t="s">
        <v>172</v>
      </c>
      <c r="F3889">
        <v>11</v>
      </c>
      <c r="G3889">
        <v>3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1</v>
      </c>
      <c r="O3889">
        <v>11</v>
      </c>
      <c r="P3889">
        <f t="shared" si="201"/>
        <v>2024</v>
      </c>
      <c r="Q3889">
        <f t="shared" si="202"/>
        <v>11</v>
      </c>
      <c r="R3889" t="str">
        <f t="shared" si="203"/>
        <v>购中推荐</v>
      </c>
      <c r="S3889" t="s">
        <v>785</v>
      </c>
    </row>
    <row r="3890" spans="1:19" x14ac:dyDescent="0.3">
      <c r="A3890" t="s">
        <v>627</v>
      </c>
      <c r="B3890" s="16">
        <v>45609</v>
      </c>
      <c r="C3890" t="s">
        <v>3</v>
      </c>
      <c r="D3890" t="s">
        <v>127</v>
      </c>
      <c r="E3890" t="s">
        <v>173</v>
      </c>
      <c r="F3890">
        <v>86</v>
      </c>
      <c r="G3890">
        <v>40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4</v>
      </c>
      <c r="O3890">
        <v>78</v>
      </c>
      <c r="P3890">
        <f t="shared" si="201"/>
        <v>2024</v>
      </c>
      <c r="Q3890">
        <f t="shared" si="202"/>
        <v>11</v>
      </c>
      <c r="R3890" t="str">
        <f t="shared" si="203"/>
        <v>购后推荐</v>
      </c>
      <c r="S3890" t="s">
        <v>785</v>
      </c>
    </row>
    <row r="3891" spans="1:19" x14ac:dyDescent="0.3">
      <c r="A3891" t="s">
        <v>627</v>
      </c>
      <c r="B3891" s="16">
        <v>45609</v>
      </c>
      <c r="C3891" t="s">
        <v>3</v>
      </c>
      <c r="D3891" t="s">
        <v>127</v>
      </c>
      <c r="E3891" t="s">
        <v>174</v>
      </c>
      <c r="F3891">
        <v>3141</v>
      </c>
      <c r="G3891">
        <v>1247</v>
      </c>
      <c r="H3891">
        <v>38</v>
      </c>
      <c r="I3891">
        <v>18</v>
      </c>
      <c r="J3891">
        <v>34680</v>
      </c>
      <c r="K3891">
        <v>3</v>
      </c>
      <c r="L3891">
        <v>34680</v>
      </c>
      <c r="M3891">
        <v>3</v>
      </c>
      <c r="N3891">
        <v>182</v>
      </c>
      <c r="O3891">
        <v>3141</v>
      </c>
      <c r="P3891">
        <f t="shared" si="201"/>
        <v>2024</v>
      </c>
      <c r="Q3891">
        <f t="shared" si="202"/>
        <v>11</v>
      </c>
      <c r="R3891" t="str">
        <f t="shared" si="203"/>
        <v>首页推荐-微详情</v>
      </c>
      <c r="S3891" t="s">
        <v>785</v>
      </c>
    </row>
    <row r="3892" spans="1:19" x14ac:dyDescent="0.3">
      <c r="A3892" t="s">
        <v>627</v>
      </c>
      <c r="B3892" s="16">
        <v>45609</v>
      </c>
      <c r="C3892" t="s">
        <v>3</v>
      </c>
      <c r="D3892" t="s">
        <v>127</v>
      </c>
      <c r="E3892" t="s">
        <v>176</v>
      </c>
      <c r="F3892">
        <v>527</v>
      </c>
      <c r="G3892">
        <v>199</v>
      </c>
      <c r="H3892">
        <v>3</v>
      </c>
      <c r="I3892">
        <v>2</v>
      </c>
      <c r="J3892">
        <v>0</v>
      </c>
      <c r="K3892">
        <v>0</v>
      </c>
      <c r="L3892">
        <v>0</v>
      </c>
      <c r="M3892">
        <v>0</v>
      </c>
      <c r="N3892">
        <v>14</v>
      </c>
      <c r="O3892">
        <v>122</v>
      </c>
      <c r="P3892">
        <f t="shared" si="201"/>
        <v>2024</v>
      </c>
      <c r="Q3892">
        <f t="shared" si="202"/>
        <v>11</v>
      </c>
      <c r="R3892" t="str">
        <f t="shared" si="203"/>
        <v>首页推荐-短视频</v>
      </c>
      <c r="S3892" t="s">
        <v>785</v>
      </c>
    </row>
    <row r="3893" spans="1:19" x14ac:dyDescent="0.3">
      <c r="A3893" t="s">
        <v>627</v>
      </c>
      <c r="B3893" s="16">
        <v>45609</v>
      </c>
      <c r="C3893" t="s">
        <v>3</v>
      </c>
      <c r="D3893" t="s">
        <v>128</v>
      </c>
      <c r="E3893" t="s">
        <v>177</v>
      </c>
      <c r="F3893">
        <v>896</v>
      </c>
      <c r="G3893">
        <v>656</v>
      </c>
      <c r="H3893">
        <v>28</v>
      </c>
      <c r="I3893">
        <v>11</v>
      </c>
      <c r="J3893">
        <v>41970</v>
      </c>
      <c r="K3893">
        <v>5</v>
      </c>
      <c r="L3893">
        <v>28790</v>
      </c>
      <c r="M3893">
        <v>4</v>
      </c>
      <c r="N3893">
        <v>231</v>
      </c>
      <c r="O3893">
        <v>799</v>
      </c>
      <c r="P3893">
        <f t="shared" si="201"/>
        <v>2024</v>
      </c>
      <c r="Q3893">
        <f t="shared" si="202"/>
        <v>11</v>
      </c>
      <c r="R3893" t="str">
        <f t="shared" si="203"/>
        <v>手淘搜索-商品及其他</v>
      </c>
      <c r="S3893" t="s">
        <v>785</v>
      </c>
    </row>
    <row r="3894" spans="1:19" x14ac:dyDescent="0.3">
      <c r="A3894" t="s">
        <v>627</v>
      </c>
      <c r="B3894" s="16">
        <v>45609</v>
      </c>
      <c r="C3894" t="s">
        <v>3</v>
      </c>
      <c r="D3894" t="s">
        <v>128</v>
      </c>
      <c r="E3894" t="s">
        <v>179</v>
      </c>
      <c r="F3894">
        <v>100</v>
      </c>
      <c r="G3894">
        <v>77</v>
      </c>
      <c r="H3894">
        <v>1</v>
      </c>
      <c r="I3894">
        <v>2</v>
      </c>
      <c r="J3894">
        <v>30730</v>
      </c>
      <c r="K3894">
        <v>2</v>
      </c>
      <c r="L3894">
        <v>19230</v>
      </c>
      <c r="M3894">
        <v>2</v>
      </c>
      <c r="N3894">
        <v>2</v>
      </c>
      <c r="O3894">
        <v>99</v>
      </c>
      <c r="P3894">
        <f t="shared" si="201"/>
        <v>2024</v>
      </c>
      <c r="Q3894">
        <f t="shared" si="202"/>
        <v>11</v>
      </c>
      <c r="R3894" t="str">
        <f t="shared" si="203"/>
        <v>手淘搜索-短视频</v>
      </c>
      <c r="S3894" t="s">
        <v>785</v>
      </c>
    </row>
    <row r="3895" spans="1:19" x14ac:dyDescent="0.3">
      <c r="A3895" t="s">
        <v>627</v>
      </c>
      <c r="B3895" s="16">
        <v>45609</v>
      </c>
      <c r="C3895" t="s">
        <v>3</v>
      </c>
      <c r="D3895" t="s">
        <v>143</v>
      </c>
      <c r="E3895" t="s">
        <v>180</v>
      </c>
      <c r="F3895">
        <v>6</v>
      </c>
      <c r="G3895">
        <v>3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6</v>
      </c>
      <c r="P3895">
        <f t="shared" si="201"/>
        <v>2024</v>
      </c>
      <c r="Q3895">
        <f t="shared" si="202"/>
        <v>11</v>
      </c>
      <c r="R3895" t="str">
        <f t="shared" si="203"/>
        <v>淘特其他渠道</v>
      </c>
      <c r="S3895" t="s">
        <v>785</v>
      </c>
    </row>
    <row r="3896" spans="1:19" x14ac:dyDescent="0.3">
      <c r="A3896" t="s">
        <v>627</v>
      </c>
      <c r="B3896" s="16">
        <v>45609</v>
      </c>
      <c r="C3896" t="s">
        <v>3</v>
      </c>
      <c r="D3896" t="s">
        <v>143</v>
      </c>
      <c r="E3896" t="s">
        <v>181</v>
      </c>
      <c r="F3896">
        <v>8</v>
      </c>
      <c r="G3896">
        <v>6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8</v>
      </c>
      <c r="P3896">
        <f t="shared" si="201"/>
        <v>2024</v>
      </c>
      <c r="Q3896">
        <f t="shared" si="202"/>
        <v>11</v>
      </c>
      <c r="R3896" t="str">
        <f t="shared" si="203"/>
        <v>淘特搜索</v>
      </c>
      <c r="S3896" t="s">
        <v>785</v>
      </c>
    </row>
    <row r="3897" spans="1:19" x14ac:dyDescent="0.3">
      <c r="A3897" t="s">
        <v>627</v>
      </c>
      <c r="B3897" s="16">
        <v>45609</v>
      </c>
      <c r="C3897" t="s">
        <v>2</v>
      </c>
      <c r="D3897" t="s">
        <v>55</v>
      </c>
      <c r="E3897" t="s">
        <v>54</v>
      </c>
      <c r="F3897">
        <v>2</v>
      </c>
      <c r="G3897">
        <v>1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1</v>
      </c>
      <c r="P3897">
        <f t="shared" si="201"/>
        <v>2024</v>
      </c>
      <c r="Q3897">
        <f t="shared" si="202"/>
        <v>11</v>
      </c>
      <c r="R3897" t="str">
        <f t="shared" si="203"/>
        <v>超级直播</v>
      </c>
      <c r="S3897" t="s">
        <v>785</v>
      </c>
    </row>
    <row r="3898" spans="1:19" x14ac:dyDescent="0.3">
      <c r="A3898" t="s">
        <v>627</v>
      </c>
      <c r="B3898" s="16">
        <v>45609</v>
      </c>
      <c r="C3898" t="s">
        <v>2</v>
      </c>
      <c r="D3898" t="s">
        <v>55</v>
      </c>
      <c r="E3898" t="s">
        <v>56</v>
      </c>
      <c r="F3898">
        <v>54</v>
      </c>
      <c r="G3898">
        <v>37</v>
      </c>
      <c r="H3898">
        <v>9</v>
      </c>
      <c r="I3898">
        <v>1</v>
      </c>
      <c r="J3898">
        <v>0</v>
      </c>
      <c r="K3898">
        <v>0</v>
      </c>
      <c r="L3898">
        <v>0</v>
      </c>
      <c r="M3898">
        <v>0</v>
      </c>
      <c r="N3898">
        <v>2</v>
      </c>
      <c r="O3898">
        <v>48</v>
      </c>
      <c r="P3898">
        <f t="shared" si="201"/>
        <v>2024</v>
      </c>
      <c r="Q3898">
        <f t="shared" si="202"/>
        <v>11</v>
      </c>
      <c r="R3898" t="str">
        <f t="shared" si="203"/>
        <v>超级短视频</v>
      </c>
      <c r="S3898" t="s">
        <v>785</v>
      </c>
    </row>
    <row r="3899" spans="1:19" x14ac:dyDescent="0.3">
      <c r="A3899" t="s">
        <v>627</v>
      </c>
      <c r="B3899" s="16">
        <v>45609</v>
      </c>
      <c r="C3899" t="s">
        <v>2</v>
      </c>
      <c r="D3899" t="s">
        <v>52</v>
      </c>
      <c r="E3899" t="s">
        <v>53</v>
      </c>
      <c r="F3899">
        <v>1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1</v>
      </c>
      <c r="O3899">
        <v>0</v>
      </c>
      <c r="P3899">
        <f t="shared" si="201"/>
        <v>2024</v>
      </c>
      <c r="Q3899">
        <f t="shared" si="202"/>
        <v>11</v>
      </c>
      <c r="R3899" t="str">
        <f t="shared" si="203"/>
        <v>Showmax</v>
      </c>
      <c r="S3899" t="s">
        <v>785</v>
      </c>
    </row>
    <row r="3900" spans="1:19" x14ac:dyDescent="0.3">
      <c r="A3900" t="s">
        <v>627</v>
      </c>
      <c r="B3900" s="16">
        <v>45609</v>
      </c>
      <c r="C3900" t="s">
        <v>2</v>
      </c>
      <c r="D3900" t="s">
        <v>52</v>
      </c>
      <c r="E3900" t="s">
        <v>59</v>
      </c>
      <c r="F3900">
        <v>1</v>
      </c>
      <c r="G3900">
        <v>1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1</v>
      </c>
      <c r="O3900">
        <v>0</v>
      </c>
      <c r="P3900">
        <f t="shared" si="201"/>
        <v>2024</v>
      </c>
      <c r="Q3900">
        <f t="shared" si="202"/>
        <v>11</v>
      </c>
      <c r="R3900" t="str">
        <f t="shared" si="203"/>
        <v>品牌特秀</v>
      </c>
      <c r="S3900" t="s">
        <v>785</v>
      </c>
    </row>
    <row r="3901" spans="1:19" x14ac:dyDescent="0.3">
      <c r="A3901" t="s">
        <v>627</v>
      </c>
      <c r="B3901" s="16">
        <v>45609</v>
      </c>
      <c r="C3901" t="s">
        <v>2</v>
      </c>
      <c r="D3901" t="s">
        <v>52</v>
      </c>
      <c r="E3901" t="s">
        <v>183</v>
      </c>
      <c r="F3901">
        <v>610</v>
      </c>
      <c r="G3901">
        <v>507</v>
      </c>
      <c r="H3901">
        <v>8</v>
      </c>
      <c r="I3901">
        <v>2</v>
      </c>
      <c r="J3901">
        <v>9950</v>
      </c>
      <c r="K3901">
        <v>2</v>
      </c>
      <c r="L3901">
        <v>9950</v>
      </c>
      <c r="M3901">
        <v>2</v>
      </c>
      <c r="N3901">
        <v>610</v>
      </c>
      <c r="O3901">
        <v>327</v>
      </c>
      <c r="P3901">
        <f t="shared" si="201"/>
        <v>2024</v>
      </c>
      <c r="Q3901">
        <f t="shared" si="202"/>
        <v>11</v>
      </c>
      <c r="R3901" t="str">
        <f t="shared" si="203"/>
        <v>品销宝-品牌专区</v>
      </c>
      <c r="S3901" t="s">
        <v>785</v>
      </c>
    </row>
    <row r="3902" spans="1:19" x14ac:dyDescent="0.3">
      <c r="A3902" t="s">
        <v>627</v>
      </c>
      <c r="B3902" s="16">
        <v>45609</v>
      </c>
      <c r="C3902" t="s">
        <v>2</v>
      </c>
      <c r="D3902" t="s">
        <v>57</v>
      </c>
      <c r="E3902" t="s">
        <v>65</v>
      </c>
      <c r="F3902">
        <v>2678</v>
      </c>
      <c r="G3902">
        <v>2212</v>
      </c>
      <c r="H3902">
        <v>34</v>
      </c>
      <c r="I3902">
        <v>11</v>
      </c>
      <c r="J3902">
        <v>61810</v>
      </c>
      <c r="K3902">
        <v>7</v>
      </c>
      <c r="L3902">
        <v>36545</v>
      </c>
      <c r="M3902">
        <v>5</v>
      </c>
      <c r="N3902">
        <v>225</v>
      </c>
      <c r="O3902">
        <v>2656</v>
      </c>
      <c r="P3902">
        <f t="shared" si="201"/>
        <v>2024</v>
      </c>
      <c r="Q3902">
        <f t="shared" si="202"/>
        <v>11</v>
      </c>
      <c r="R3902" t="str">
        <f t="shared" si="203"/>
        <v>直通车</v>
      </c>
      <c r="S3902" t="s">
        <v>785</v>
      </c>
    </row>
    <row r="3903" spans="1:19" x14ac:dyDescent="0.3">
      <c r="A3903" t="s">
        <v>627</v>
      </c>
      <c r="B3903" s="16">
        <v>45609</v>
      </c>
      <c r="C3903" t="s">
        <v>2</v>
      </c>
      <c r="D3903" t="s">
        <v>57</v>
      </c>
      <c r="E3903" t="s">
        <v>63</v>
      </c>
      <c r="F3903">
        <v>2492</v>
      </c>
      <c r="G3903">
        <v>1340</v>
      </c>
      <c r="H3903">
        <v>103</v>
      </c>
      <c r="I3903">
        <v>65</v>
      </c>
      <c r="J3903">
        <v>110658</v>
      </c>
      <c r="K3903">
        <v>10</v>
      </c>
      <c r="L3903">
        <v>51700</v>
      </c>
      <c r="M3903">
        <v>7</v>
      </c>
      <c r="N3903">
        <v>153</v>
      </c>
      <c r="O3903">
        <v>2481</v>
      </c>
      <c r="P3903">
        <f t="shared" si="201"/>
        <v>2024</v>
      </c>
      <c r="Q3903">
        <f t="shared" si="202"/>
        <v>11</v>
      </c>
      <c r="R3903" t="str">
        <f t="shared" si="203"/>
        <v>万相台</v>
      </c>
      <c r="S3903" t="s">
        <v>785</v>
      </c>
    </row>
    <row r="3904" spans="1:19" x14ac:dyDescent="0.3">
      <c r="A3904" t="s">
        <v>627</v>
      </c>
      <c r="B3904" s="16">
        <v>45609</v>
      </c>
      <c r="C3904" t="s">
        <v>2</v>
      </c>
      <c r="D3904" t="s">
        <v>57</v>
      </c>
      <c r="E3904" t="s">
        <v>64</v>
      </c>
      <c r="F3904">
        <v>3267</v>
      </c>
      <c r="G3904">
        <v>1204</v>
      </c>
      <c r="H3904">
        <v>58</v>
      </c>
      <c r="I3904">
        <v>19</v>
      </c>
      <c r="J3904">
        <v>24093</v>
      </c>
      <c r="K3904">
        <v>4</v>
      </c>
      <c r="L3904">
        <v>9655</v>
      </c>
      <c r="M3904">
        <v>2</v>
      </c>
      <c r="N3904">
        <v>188</v>
      </c>
      <c r="O3904">
        <v>3265</v>
      </c>
      <c r="P3904">
        <f t="shared" si="201"/>
        <v>2024</v>
      </c>
      <c r="Q3904">
        <f t="shared" si="202"/>
        <v>11</v>
      </c>
      <c r="R3904" t="str">
        <f t="shared" si="203"/>
        <v>引力魔方</v>
      </c>
      <c r="S3904" t="s">
        <v>785</v>
      </c>
    </row>
    <row r="3905" spans="1:19" x14ac:dyDescent="0.3">
      <c r="A3905" t="s">
        <v>627</v>
      </c>
      <c r="B3905" s="16">
        <v>45609</v>
      </c>
      <c r="C3905" t="s">
        <v>2</v>
      </c>
      <c r="D3905" t="s">
        <v>4</v>
      </c>
      <c r="E3905" t="s">
        <v>41</v>
      </c>
      <c r="F3905">
        <v>3</v>
      </c>
      <c r="G3905">
        <v>2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3</v>
      </c>
      <c r="P3905">
        <f t="shared" si="201"/>
        <v>2024</v>
      </c>
      <c r="Q3905">
        <f t="shared" si="202"/>
        <v>11</v>
      </c>
      <c r="R3905" t="str">
        <f t="shared" si="203"/>
        <v>流量宝</v>
      </c>
      <c r="S3905" t="s">
        <v>785</v>
      </c>
    </row>
    <row r="3906" spans="1:19" x14ac:dyDescent="0.3">
      <c r="A3906" t="s">
        <v>627</v>
      </c>
      <c r="B3906" s="16">
        <v>45609</v>
      </c>
      <c r="C3906" t="s">
        <v>2</v>
      </c>
      <c r="D3906" t="s">
        <v>4</v>
      </c>
      <c r="E3906" t="s">
        <v>43</v>
      </c>
      <c r="F3906">
        <v>191</v>
      </c>
      <c r="G3906">
        <v>63</v>
      </c>
      <c r="H3906">
        <v>3</v>
      </c>
      <c r="I3906">
        <v>1</v>
      </c>
      <c r="J3906">
        <v>0</v>
      </c>
      <c r="K3906">
        <v>0</v>
      </c>
      <c r="L3906">
        <v>0</v>
      </c>
      <c r="M3906">
        <v>0</v>
      </c>
      <c r="N3906">
        <v>15</v>
      </c>
      <c r="O3906">
        <v>188</v>
      </c>
      <c r="P3906">
        <f t="shared" si="201"/>
        <v>2024</v>
      </c>
      <c r="Q3906">
        <f t="shared" si="202"/>
        <v>11</v>
      </c>
      <c r="R3906" t="str">
        <f t="shared" si="203"/>
        <v>淘宝客</v>
      </c>
      <c r="S3906" t="s">
        <v>785</v>
      </c>
    </row>
    <row r="3907" spans="1:19" x14ac:dyDescent="0.3">
      <c r="A3907" t="s">
        <v>627</v>
      </c>
      <c r="B3907" s="16">
        <v>45608</v>
      </c>
      <c r="C3907" t="s">
        <v>3</v>
      </c>
      <c r="D3907" t="s">
        <v>114</v>
      </c>
      <c r="E3907" t="s">
        <v>159</v>
      </c>
      <c r="F3907">
        <v>3</v>
      </c>
      <c r="G3907">
        <v>3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3</v>
      </c>
      <c r="P3907">
        <f t="shared" si="201"/>
        <v>2024</v>
      </c>
      <c r="Q3907">
        <f t="shared" si="202"/>
        <v>11</v>
      </c>
      <c r="R3907" t="str">
        <f t="shared" si="203"/>
        <v>主会场</v>
      </c>
      <c r="S3907" t="s">
        <v>785</v>
      </c>
    </row>
    <row r="3908" spans="1:19" x14ac:dyDescent="0.3">
      <c r="A3908" t="s">
        <v>627</v>
      </c>
      <c r="B3908" s="16">
        <v>45608</v>
      </c>
      <c r="C3908" t="s">
        <v>3</v>
      </c>
      <c r="D3908" t="s">
        <v>114</v>
      </c>
      <c r="E3908" t="s">
        <v>160</v>
      </c>
      <c r="F3908">
        <v>2</v>
      </c>
      <c r="G3908">
        <v>1</v>
      </c>
      <c r="H3908">
        <v>1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2</v>
      </c>
      <c r="P3908">
        <f t="shared" si="201"/>
        <v>2024</v>
      </c>
      <c r="Q3908">
        <f t="shared" si="202"/>
        <v>11</v>
      </c>
      <c r="R3908" t="str">
        <f t="shared" si="203"/>
        <v>榜单会场</v>
      </c>
      <c r="S3908" t="s">
        <v>785</v>
      </c>
    </row>
    <row r="3909" spans="1:19" x14ac:dyDescent="0.3">
      <c r="A3909" t="s">
        <v>627</v>
      </c>
      <c r="B3909" s="16">
        <v>45608</v>
      </c>
      <c r="C3909" t="s">
        <v>3</v>
      </c>
      <c r="D3909" t="s">
        <v>117</v>
      </c>
      <c r="E3909" t="s">
        <v>195</v>
      </c>
      <c r="F3909">
        <v>2</v>
      </c>
      <c r="G3909">
        <v>2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1</v>
      </c>
      <c r="O3909">
        <v>2</v>
      </c>
      <c r="P3909">
        <f t="shared" si="201"/>
        <v>2024</v>
      </c>
      <c r="Q3909">
        <f t="shared" si="202"/>
        <v>11</v>
      </c>
      <c r="R3909" t="str">
        <f t="shared" si="203"/>
        <v>搜索入口榜单</v>
      </c>
      <c r="S3909" t="s">
        <v>785</v>
      </c>
    </row>
    <row r="3910" spans="1:19" x14ac:dyDescent="0.3">
      <c r="A3910" t="s">
        <v>627</v>
      </c>
      <c r="B3910" s="16">
        <v>45608</v>
      </c>
      <c r="C3910" t="s">
        <v>3</v>
      </c>
      <c r="D3910" t="s">
        <v>123</v>
      </c>
      <c r="E3910" t="s">
        <v>169</v>
      </c>
      <c r="F3910">
        <v>115</v>
      </c>
      <c r="G3910">
        <v>39</v>
      </c>
      <c r="H3910">
        <v>3</v>
      </c>
      <c r="I3910">
        <v>2</v>
      </c>
      <c r="J3910">
        <v>8865</v>
      </c>
      <c r="K3910">
        <v>3</v>
      </c>
      <c r="L3910">
        <v>8865</v>
      </c>
      <c r="M3910">
        <v>3</v>
      </c>
      <c r="N3910">
        <v>22</v>
      </c>
      <c r="O3910">
        <v>113</v>
      </c>
      <c r="P3910">
        <f t="shared" si="201"/>
        <v>2024</v>
      </c>
      <c r="Q3910">
        <f t="shared" si="202"/>
        <v>11</v>
      </c>
      <c r="R3910" t="str">
        <f t="shared" si="203"/>
        <v>商品详情页头图推荐</v>
      </c>
      <c r="S3910" t="s">
        <v>785</v>
      </c>
    </row>
    <row r="3911" spans="1:19" x14ac:dyDescent="0.3">
      <c r="A3911" t="s">
        <v>627</v>
      </c>
      <c r="B3911" s="16">
        <v>45608</v>
      </c>
      <c r="C3911" t="s">
        <v>3</v>
      </c>
      <c r="D3911" t="s">
        <v>123</v>
      </c>
      <c r="E3911" t="s">
        <v>170</v>
      </c>
      <c r="F3911">
        <v>27</v>
      </c>
      <c r="G3911">
        <v>11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24</v>
      </c>
      <c r="O3911">
        <v>11</v>
      </c>
      <c r="P3911">
        <f t="shared" si="201"/>
        <v>2024</v>
      </c>
      <c r="Q3911">
        <f t="shared" si="202"/>
        <v>11</v>
      </c>
      <c r="R3911" t="str">
        <f t="shared" si="203"/>
        <v>店铺超链</v>
      </c>
      <c r="S3911" t="s">
        <v>785</v>
      </c>
    </row>
    <row r="3912" spans="1:19" x14ac:dyDescent="0.3">
      <c r="A3912" t="s">
        <v>627</v>
      </c>
      <c r="B3912" s="16">
        <v>45608</v>
      </c>
      <c r="C3912" t="s">
        <v>3</v>
      </c>
      <c r="D3912" t="s">
        <v>127</v>
      </c>
      <c r="E3912" t="s">
        <v>171</v>
      </c>
      <c r="F3912">
        <v>281</v>
      </c>
      <c r="G3912">
        <v>122</v>
      </c>
      <c r="H3912">
        <v>1</v>
      </c>
      <c r="I3912">
        <v>3</v>
      </c>
      <c r="J3912">
        <v>10738</v>
      </c>
      <c r="K3912">
        <v>2</v>
      </c>
      <c r="L3912">
        <v>10738</v>
      </c>
      <c r="M3912">
        <v>2</v>
      </c>
      <c r="N3912">
        <v>49</v>
      </c>
      <c r="O3912">
        <v>234</v>
      </c>
      <c r="P3912">
        <f t="shared" si="201"/>
        <v>2024</v>
      </c>
      <c r="Q3912">
        <f t="shared" si="202"/>
        <v>11</v>
      </c>
      <c r="R3912" t="str">
        <f t="shared" si="203"/>
        <v>其他猜你喜欢</v>
      </c>
      <c r="S3912" t="s">
        <v>785</v>
      </c>
    </row>
    <row r="3913" spans="1:19" x14ac:dyDescent="0.3">
      <c r="A3913" t="s">
        <v>627</v>
      </c>
      <c r="B3913" s="16">
        <v>45608</v>
      </c>
      <c r="C3913" t="s">
        <v>3</v>
      </c>
      <c r="D3913" t="s">
        <v>127</v>
      </c>
      <c r="E3913" t="s">
        <v>172</v>
      </c>
      <c r="F3913">
        <v>19</v>
      </c>
      <c r="G3913">
        <v>9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1</v>
      </c>
      <c r="O3913">
        <v>17</v>
      </c>
      <c r="P3913">
        <f t="shared" si="201"/>
        <v>2024</v>
      </c>
      <c r="Q3913">
        <f t="shared" si="202"/>
        <v>11</v>
      </c>
      <c r="R3913" t="str">
        <f t="shared" si="203"/>
        <v>购中推荐</v>
      </c>
      <c r="S3913" t="s">
        <v>785</v>
      </c>
    </row>
    <row r="3914" spans="1:19" x14ac:dyDescent="0.3">
      <c r="A3914" t="s">
        <v>627</v>
      </c>
      <c r="B3914" s="16">
        <v>45608</v>
      </c>
      <c r="C3914" t="s">
        <v>3</v>
      </c>
      <c r="D3914" t="s">
        <v>127</v>
      </c>
      <c r="E3914" t="s">
        <v>173</v>
      </c>
      <c r="F3914">
        <v>106</v>
      </c>
      <c r="G3914">
        <v>61</v>
      </c>
      <c r="H3914">
        <v>1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5</v>
      </c>
      <c r="O3914">
        <v>93</v>
      </c>
      <c r="P3914">
        <f t="shared" si="201"/>
        <v>2024</v>
      </c>
      <c r="Q3914">
        <f t="shared" si="202"/>
        <v>11</v>
      </c>
      <c r="R3914" t="str">
        <f t="shared" si="203"/>
        <v>购后推荐</v>
      </c>
      <c r="S3914" t="s">
        <v>785</v>
      </c>
    </row>
    <row r="3915" spans="1:19" x14ac:dyDescent="0.3">
      <c r="A3915" t="s">
        <v>627</v>
      </c>
      <c r="B3915" s="16">
        <v>45608</v>
      </c>
      <c r="C3915" t="s">
        <v>3</v>
      </c>
      <c r="D3915" t="s">
        <v>127</v>
      </c>
      <c r="E3915" t="s">
        <v>174</v>
      </c>
      <c r="F3915">
        <v>3255</v>
      </c>
      <c r="G3915">
        <v>1369</v>
      </c>
      <c r="H3915">
        <v>32</v>
      </c>
      <c r="I3915">
        <v>20</v>
      </c>
      <c r="J3915">
        <v>32110</v>
      </c>
      <c r="K3915">
        <v>7</v>
      </c>
      <c r="L3915">
        <v>23760</v>
      </c>
      <c r="M3915">
        <v>6</v>
      </c>
      <c r="N3915">
        <v>136</v>
      </c>
      <c r="O3915">
        <v>3255</v>
      </c>
      <c r="P3915">
        <f t="shared" si="201"/>
        <v>2024</v>
      </c>
      <c r="Q3915">
        <f t="shared" si="202"/>
        <v>11</v>
      </c>
      <c r="R3915" t="str">
        <f t="shared" si="203"/>
        <v>首页推荐-微详情</v>
      </c>
      <c r="S3915" t="s">
        <v>785</v>
      </c>
    </row>
    <row r="3916" spans="1:19" x14ac:dyDescent="0.3">
      <c r="A3916" t="s">
        <v>627</v>
      </c>
      <c r="B3916" s="16">
        <v>45608</v>
      </c>
      <c r="C3916" t="s">
        <v>3</v>
      </c>
      <c r="D3916" t="s">
        <v>127</v>
      </c>
      <c r="E3916" t="s">
        <v>175</v>
      </c>
      <c r="F3916">
        <v>6</v>
      </c>
      <c r="G3916">
        <v>3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f t="shared" si="201"/>
        <v>2024</v>
      </c>
      <c r="Q3916">
        <f t="shared" si="202"/>
        <v>11</v>
      </c>
      <c r="R3916" t="str">
        <f t="shared" si="203"/>
        <v>首页推荐-直播</v>
      </c>
      <c r="S3916" t="s">
        <v>785</v>
      </c>
    </row>
    <row r="3917" spans="1:19" x14ac:dyDescent="0.3">
      <c r="A3917" t="s">
        <v>627</v>
      </c>
      <c r="B3917" s="16">
        <v>45608</v>
      </c>
      <c r="C3917" t="s">
        <v>3</v>
      </c>
      <c r="D3917" t="s">
        <v>127</v>
      </c>
      <c r="E3917" t="s">
        <v>176</v>
      </c>
      <c r="F3917">
        <v>454</v>
      </c>
      <c r="G3917">
        <v>153</v>
      </c>
      <c r="H3917">
        <v>2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18</v>
      </c>
      <c r="O3917">
        <v>100</v>
      </c>
      <c r="P3917">
        <f t="shared" si="201"/>
        <v>2024</v>
      </c>
      <c r="Q3917">
        <f t="shared" si="202"/>
        <v>11</v>
      </c>
      <c r="R3917" t="str">
        <f t="shared" si="203"/>
        <v>首页推荐-短视频</v>
      </c>
      <c r="S3917" t="s">
        <v>785</v>
      </c>
    </row>
    <row r="3918" spans="1:19" x14ac:dyDescent="0.3">
      <c r="A3918" t="s">
        <v>627</v>
      </c>
      <c r="B3918" s="16">
        <v>45608</v>
      </c>
      <c r="C3918" t="s">
        <v>3</v>
      </c>
      <c r="D3918" t="s">
        <v>128</v>
      </c>
      <c r="E3918" t="s">
        <v>177</v>
      </c>
      <c r="F3918">
        <v>1031</v>
      </c>
      <c r="G3918">
        <v>752</v>
      </c>
      <c r="H3918">
        <v>19</v>
      </c>
      <c r="I3918">
        <v>11</v>
      </c>
      <c r="J3918">
        <v>12192</v>
      </c>
      <c r="K3918">
        <v>3</v>
      </c>
      <c r="L3918">
        <v>7597</v>
      </c>
      <c r="M3918">
        <v>2</v>
      </c>
      <c r="N3918">
        <v>283</v>
      </c>
      <c r="O3918">
        <v>895</v>
      </c>
      <c r="P3918">
        <f t="shared" si="201"/>
        <v>2024</v>
      </c>
      <c r="Q3918">
        <f t="shared" si="202"/>
        <v>11</v>
      </c>
      <c r="R3918" t="str">
        <f t="shared" si="203"/>
        <v>手淘搜索-商品及其他</v>
      </c>
      <c r="S3918" t="s">
        <v>785</v>
      </c>
    </row>
    <row r="3919" spans="1:19" x14ac:dyDescent="0.3">
      <c r="A3919" t="s">
        <v>627</v>
      </c>
      <c r="B3919" s="16">
        <v>45608</v>
      </c>
      <c r="C3919" t="s">
        <v>3</v>
      </c>
      <c r="D3919" t="s">
        <v>128</v>
      </c>
      <c r="E3919" t="s">
        <v>178</v>
      </c>
      <c r="F3919">
        <v>1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f t="shared" si="201"/>
        <v>2024</v>
      </c>
      <c r="Q3919">
        <f t="shared" si="202"/>
        <v>11</v>
      </c>
      <c r="R3919" t="str">
        <f t="shared" si="203"/>
        <v>手淘搜索-直播</v>
      </c>
      <c r="S3919" t="s">
        <v>785</v>
      </c>
    </row>
    <row r="3920" spans="1:19" x14ac:dyDescent="0.3">
      <c r="A3920" t="s">
        <v>627</v>
      </c>
      <c r="B3920" s="16">
        <v>45608</v>
      </c>
      <c r="C3920" t="s">
        <v>3</v>
      </c>
      <c r="D3920" t="s">
        <v>128</v>
      </c>
      <c r="E3920" t="s">
        <v>179</v>
      </c>
      <c r="F3920">
        <v>198</v>
      </c>
      <c r="G3920">
        <v>166</v>
      </c>
      <c r="H3920">
        <v>1</v>
      </c>
      <c r="I3920">
        <v>0</v>
      </c>
      <c r="J3920">
        <v>5800</v>
      </c>
      <c r="K3920">
        <v>1</v>
      </c>
      <c r="L3920">
        <v>5800</v>
      </c>
      <c r="M3920">
        <v>1</v>
      </c>
      <c r="N3920">
        <v>4</v>
      </c>
      <c r="O3920">
        <v>191</v>
      </c>
      <c r="P3920">
        <f t="shared" si="201"/>
        <v>2024</v>
      </c>
      <c r="Q3920">
        <f t="shared" si="202"/>
        <v>11</v>
      </c>
      <c r="R3920" t="str">
        <f t="shared" si="203"/>
        <v>手淘搜索-短视频</v>
      </c>
      <c r="S3920" t="s">
        <v>785</v>
      </c>
    </row>
    <row r="3921" spans="1:20" x14ac:dyDescent="0.3">
      <c r="A3921" t="s">
        <v>627</v>
      </c>
      <c r="B3921" s="16">
        <v>45608</v>
      </c>
      <c r="C3921" t="s">
        <v>3</v>
      </c>
      <c r="D3921" t="s">
        <v>143</v>
      </c>
      <c r="E3921" t="s">
        <v>180</v>
      </c>
      <c r="F3921">
        <v>4</v>
      </c>
      <c r="G3921">
        <v>3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4</v>
      </c>
      <c r="P3921">
        <f t="shared" si="201"/>
        <v>2024</v>
      </c>
      <c r="Q3921">
        <f t="shared" si="202"/>
        <v>11</v>
      </c>
      <c r="R3921" t="str">
        <f t="shared" si="203"/>
        <v>淘特其他渠道</v>
      </c>
      <c r="S3921" t="s">
        <v>785</v>
      </c>
    </row>
    <row r="3922" spans="1:20" x14ac:dyDescent="0.3">
      <c r="A3922" t="s">
        <v>627</v>
      </c>
      <c r="B3922" s="16">
        <v>45608</v>
      </c>
      <c r="C3922" t="s">
        <v>3</v>
      </c>
      <c r="D3922" t="s">
        <v>143</v>
      </c>
      <c r="E3922" t="s">
        <v>181</v>
      </c>
      <c r="F3922">
        <v>13</v>
      </c>
      <c r="G3922">
        <v>13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13</v>
      </c>
      <c r="P3922">
        <f t="shared" si="201"/>
        <v>2024</v>
      </c>
      <c r="Q3922">
        <f t="shared" si="202"/>
        <v>11</v>
      </c>
      <c r="R3922" t="str">
        <f t="shared" si="203"/>
        <v>淘特搜索</v>
      </c>
      <c r="S3922" t="s">
        <v>785</v>
      </c>
    </row>
    <row r="3923" spans="1:20" x14ac:dyDescent="0.3">
      <c r="A3923" t="s">
        <v>627</v>
      </c>
      <c r="B3923" s="16">
        <v>45608</v>
      </c>
      <c r="C3923" t="s">
        <v>2</v>
      </c>
      <c r="D3923" t="s">
        <v>55</v>
      </c>
      <c r="E3923" t="s">
        <v>54</v>
      </c>
      <c r="F3923">
        <v>5</v>
      </c>
      <c r="G3923">
        <v>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2</v>
      </c>
      <c r="P3923">
        <f t="shared" si="201"/>
        <v>2024</v>
      </c>
      <c r="Q3923">
        <f t="shared" si="202"/>
        <v>11</v>
      </c>
      <c r="R3923" t="str">
        <f t="shared" si="203"/>
        <v>超级直播</v>
      </c>
      <c r="S3923" t="s">
        <v>785</v>
      </c>
    </row>
    <row r="3924" spans="1:20" x14ac:dyDescent="0.3">
      <c r="A3924" t="s">
        <v>627</v>
      </c>
      <c r="B3924" s="16">
        <v>45608</v>
      </c>
      <c r="C3924" t="s">
        <v>2</v>
      </c>
      <c r="D3924" t="s">
        <v>55</v>
      </c>
      <c r="E3924" t="s">
        <v>56</v>
      </c>
      <c r="F3924">
        <v>45</v>
      </c>
      <c r="G3924">
        <v>30</v>
      </c>
      <c r="H3924">
        <v>3</v>
      </c>
      <c r="I3924">
        <v>5</v>
      </c>
      <c r="J3924">
        <v>0</v>
      </c>
      <c r="K3924">
        <v>0</v>
      </c>
      <c r="L3924">
        <v>0</v>
      </c>
      <c r="M3924">
        <v>0</v>
      </c>
      <c r="N3924">
        <v>2</v>
      </c>
      <c r="O3924">
        <v>38</v>
      </c>
      <c r="P3924">
        <f t="shared" si="201"/>
        <v>2024</v>
      </c>
      <c r="Q3924">
        <f t="shared" si="202"/>
        <v>11</v>
      </c>
      <c r="R3924" t="str">
        <f t="shared" si="203"/>
        <v>超级短视频</v>
      </c>
      <c r="S3924" t="s">
        <v>785</v>
      </c>
    </row>
    <row r="3925" spans="1:20" x14ac:dyDescent="0.3">
      <c r="A3925" t="s">
        <v>627</v>
      </c>
      <c r="B3925" s="16">
        <v>45608</v>
      </c>
      <c r="C3925" t="s">
        <v>2</v>
      </c>
      <c r="D3925" t="s">
        <v>52</v>
      </c>
      <c r="E3925" t="s">
        <v>53</v>
      </c>
      <c r="F3925">
        <v>4</v>
      </c>
      <c r="G3925">
        <v>3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4</v>
      </c>
      <c r="O3925">
        <v>1</v>
      </c>
      <c r="P3925">
        <f t="shared" si="201"/>
        <v>2024</v>
      </c>
      <c r="Q3925">
        <f t="shared" si="202"/>
        <v>11</v>
      </c>
      <c r="R3925" t="str">
        <f t="shared" si="203"/>
        <v>Showmax</v>
      </c>
      <c r="S3925" t="s">
        <v>785</v>
      </c>
    </row>
    <row r="3926" spans="1:20" x14ac:dyDescent="0.3">
      <c r="A3926" t="s">
        <v>627</v>
      </c>
      <c r="B3926" s="16">
        <v>45608</v>
      </c>
      <c r="C3926" t="s">
        <v>2</v>
      </c>
      <c r="D3926" t="s">
        <v>52</v>
      </c>
      <c r="E3926" t="s">
        <v>59</v>
      </c>
      <c r="F3926">
        <v>7</v>
      </c>
      <c r="G3926">
        <v>2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7</v>
      </c>
      <c r="O3926">
        <v>0</v>
      </c>
      <c r="P3926">
        <f t="shared" si="201"/>
        <v>2024</v>
      </c>
      <c r="Q3926">
        <f t="shared" si="202"/>
        <v>11</v>
      </c>
      <c r="R3926" t="str">
        <f t="shared" si="203"/>
        <v>品牌特秀</v>
      </c>
      <c r="S3926" t="s">
        <v>785</v>
      </c>
    </row>
    <row r="3927" spans="1:20" x14ac:dyDescent="0.3">
      <c r="A3927" t="s">
        <v>627</v>
      </c>
      <c r="B3927" s="16">
        <v>45608</v>
      </c>
      <c r="C3927" t="s">
        <v>2</v>
      </c>
      <c r="D3927" t="s">
        <v>52</v>
      </c>
      <c r="E3927" t="s">
        <v>183</v>
      </c>
      <c r="F3927">
        <v>665</v>
      </c>
      <c r="G3927">
        <v>529</v>
      </c>
      <c r="H3927">
        <v>11</v>
      </c>
      <c r="I3927">
        <v>3</v>
      </c>
      <c r="J3927">
        <v>5917</v>
      </c>
      <c r="K3927">
        <v>4</v>
      </c>
      <c r="L3927">
        <v>5917</v>
      </c>
      <c r="M3927">
        <v>4</v>
      </c>
      <c r="N3927">
        <v>665</v>
      </c>
      <c r="O3927">
        <v>353</v>
      </c>
      <c r="P3927">
        <f t="shared" si="201"/>
        <v>2024</v>
      </c>
      <c r="Q3927">
        <f t="shared" si="202"/>
        <v>11</v>
      </c>
      <c r="R3927" t="str">
        <f t="shared" si="203"/>
        <v>品销宝-品牌专区</v>
      </c>
      <c r="S3927" t="s">
        <v>785</v>
      </c>
    </row>
    <row r="3928" spans="1:20" x14ac:dyDescent="0.3">
      <c r="A3928" t="s">
        <v>627</v>
      </c>
      <c r="B3928" s="16">
        <v>45608</v>
      </c>
      <c r="C3928" t="s">
        <v>2</v>
      </c>
      <c r="D3928" t="s">
        <v>57</v>
      </c>
      <c r="E3928" t="s">
        <v>65</v>
      </c>
      <c r="F3928">
        <v>2505</v>
      </c>
      <c r="G3928">
        <v>2026</v>
      </c>
      <c r="H3928">
        <v>31</v>
      </c>
      <c r="I3928">
        <v>11</v>
      </c>
      <c r="J3928">
        <v>48637</v>
      </c>
      <c r="K3928">
        <v>7</v>
      </c>
      <c r="L3928">
        <v>24292</v>
      </c>
      <c r="M3928">
        <v>5</v>
      </c>
      <c r="N3928">
        <v>220</v>
      </c>
      <c r="O3928">
        <v>2487</v>
      </c>
      <c r="P3928">
        <f t="shared" si="201"/>
        <v>2024</v>
      </c>
      <c r="Q3928">
        <f t="shared" si="202"/>
        <v>11</v>
      </c>
      <c r="R3928" t="str">
        <f t="shared" si="203"/>
        <v>直通车</v>
      </c>
      <c r="S3928" t="s">
        <v>785</v>
      </c>
    </row>
    <row r="3929" spans="1:20" x14ac:dyDescent="0.3">
      <c r="A3929" t="s">
        <v>627</v>
      </c>
      <c r="B3929" s="16">
        <v>45608</v>
      </c>
      <c r="C3929" t="s">
        <v>2</v>
      </c>
      <c r="D3929" t="s">
        <v>57</v>
      </c>
      <c r="E3929" t="s">
        <v>63</v>
      </c>
      <c r="F3929">
        <v>2589</v>
      </c>
      <c r="G3929">
        <v>1164</v>
      </c>
      <c r="H3929">
        <v>110</v>
      </c>
      <c r="I3929">
        <v>54</v>
      </c>
      <c r="J3929">
        <v>15850</v>
      </c>
      <c r="K3929">
        <v>5</v>
      </c>
      <c r="L3929">
        <v>15850</v>
      </c>
      <c r="M3929">
        <v>5</v>
      </c>
      <c r="N3929">
        <v>150</v>
      </c>
      <c r="O3929">
        <v>2581</v>
      </c>
      <c r="P3929">
        <f t="shared" si="201"/>
        <v>2024</v>
      </c>
      <c r="Q3929">
        <f t="shared" si="202"/>
        <v>11</v>
      </c>
      <c r="R3929" t="str">
        <f t="shared" si="203"/>
        <v>万相台</v>
      </c>
      <c r="S3929" t="s">
        <v>785</v>
      </c>
    </row>
    <row r="3930" spans="1:20" x14ac:dyDescent="0.3">
      <c r="A3930" t="s">
        <v>627</v>
      </c>
      <c r="B3930" s="16">
        <v>45608</v>
      </c>
      <c r="C3930" t="s">
        <v>2</v>
      </c>
      <c r="D3930" t="s">
        <v>57</v>
      </c>
      <c r="E3930" t="s">
        <v>64</v>
      </c>
      <c r="F3930">
        <v>2847</v>
      </c>
      <c r="G3930">
        <v>765</v>
      </c>
      <c r="H3930">
        <v>37</v>
      </c>
      <c r="I3930">
        <v>23</v>
      </c>
      <c r="J3930">
        <v>25170</v>
      </c>
      <c r="K3930">
        <v>3</v>
      </c>
      <c r="L3930">
        <v>3670</v>
      </c>
      <c r="M3930">
        <v>2</v>
      </c>
      <c r="N3930">
        <v>136</v>
      </c>
      <c r="O3930">
        <v>2845</v>
      </c>
      <c r="P3930">
        <f t="shared" si="201"/>
        <v>2024</v>
      </c>
      <c r="Q3930">
        <f t="shared" si="202"/>
        <v>11</v>
      </c>
      <c r="R3930" t="str">
        <f t="shared" si="203"/>
        <v>引力魔方</v>
      </c>
      <c r="S3930" t="s">
        <v>785</v>
      </c>
    </row>
    <row r="3931" spans="1:20" x14ac:dyDescent="0.3">
      <c r="A3931" t="s">
        <v>627</v>
      </c>
      <c r="B3931" s="16">
        <v>45608</v>
      </c>
      <c r="C3931" t="s">
        <v>2</v>
      </c>
      <c r="D3931" t="s">
        <v>4</v>
      </c>
      <c r="E3931" t="s">
        <v>43</v>
      </c>
      <c r="F3931">
        <v>259</v>
      </c>
      <c r="G3931">
        <v>87</v>
      </c>
      <c r="H3931">
        <v>4</v>
      </c>
      <c r="I3931">
        <v>0</v>
      </c>
      <c r="J3931">
        <v>4995</v>
      </c>
      <c r="K3931">
        <v>1</v>
      </c>
      <c r="L3931">
        <v>4995</v>
      </c>
      <c r="M3931">
        <v>1</v>
      </c>
      <c r="N3931">
        <v>23</v>
      </c>
      <c r="O3931">
        <v>254</v>
      </c>
      <c r="P3931">
        <f t="shared" si="201"/>
        <v>2024</v>
      </c>
      <c r="Q3931">
        <f t="shared" si="202"/>
        <v>11</v>
      </c>
      <c r="R3931" t="str">
        <f t="shared" si="203"/>
        <v>淘宝客</v>
      </c>
      <c r="S3931" t="s">
        <v>785</v>
      </c>
    </row>
    <row r="3932" spans="1:20" x14ac:dyDescent="0.3">
      <c r="A3932" t="s">
        <v>627</v>
      </c>
      <c r="B3932" s="16">
        <v>45607</v>
      </c>
      <c r="C3932" t="s">
        <v>3</v>
      </c>
      <c r="D3932" t="s">
        <v>114</v>
      </c>
      <c r="E3932" t="s">
        <v>159</v>
      </c>
      <c r="F3932">
        <v>404</v>
      </c>
      <c r="G3932">
        <v>280</v>
      </c>
      <c r="H3932">
        <v>8</v>
      </c>
      <c r="I3932">
        <v>4</v>
      </c>
      <c r="J3932">
        <v>18615</v>
      </c>
      <c r="K3932">
        <v>6</v>
      </c>
      <c r="L3932">
        <v>13685</v>
      </c>
      <c r="M3932">
        <v>5</v>
      </c>
      <c r="N3932">
        <v>31</v>
      </c>
      <c r="O3932">
        <v>393</v>
      </c>
      <c r="P3932">
        <f t="shared" si="201"/>
        <v>2024</v>
      </c>
      <c r="Q3932">
        <f t="shared" si="202"/>
        <v>11</v>
      </c>
      <c r="R3932" t="str">
        <f t="shared" si="203"/>
        <v>主会场</v>
      </c>
      <c r="S3932" t="s">
        <v>785</v>
      </c>
      <c r="T3932" t="s">
        <v>805</v>
      </c>
    </row>
    <row r="3933" spans="1:20" x14ac:dyDescent="0.3">
      <c r="A3933" t="s">
        <v>627</v>
      </c>
      <c r="B3933" s="16">
        <v>45607</v>
      </c>
      <c r="C3933" t="s">
        <v>3</v>
      </c>
      <c r="D3933" t="s">
        <v>114</v>
      </c>
      <c r="E3933" t="s">
        <v>160</v>
      </c>
      <c r="F3933">
        <v>11</v>
      </c>
      <c r="G3933">
        <v>9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1</v>
      </c>
      <c r="O3933">
        <v>11</v>
      </c>
      <c r="P3933">
        <f t="shared" si="201"/>
        <v>2024</v>
      </c>
      <c r="Q3933">
        <f t="shared" si="202"/>
        <v>11</v>
      </c>
      <c r="R3933" t="str">
        <f t="shared" si="203"/>
        <v>榜单会场</v>
      </c>
      <c r="S3933" t="s">
        <v>785</v>
      </c>
      <c r="T3933" t="s">
        <v>805</v>
      </c>
    </row>
    <row r="3934" spans="1:20" x14ac:dyDescent="0.3">
      <c r="A3934" t="s">
        <v>627</v>
      </c>
      <c r="B3934" s="16">
        <v>45607</v>
      </c>
      <c r="C3934" t="s">
        <v>3</v>
      </c>
      <c r="D3934" t="s">
        <v>117</v>
      </c>
      <c r="E3934" t="s">
        <v>161</v>
      </c>
      <c r="F3934">
        <v>62</v>
      </c>
      <c r="G3934">
        <v>58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3</v>
      </c>
      <c r="O3934">
        <v>62</v>
      </c>
      <c r="P3934">
        <f t="shared" si="201"/>
        <v>2024</v>
      </c>
      <c r="Q3934">
        <f t="shared" si="202"/>
        <v>11</v>
      </c>
      <c r="R3934" t="str">
        <f t="shared" si="203"/>
        <v>其他入口榜单</v>
      </c>
      <c r="S3934" t="s">
        <v>785</v>
      </c>
      <c r="T3934" t="s">
        <v>805</v>
      </c>
    </row>
    <row r="3935" spans="1:20" x14ac:dyDescent="0.3">
      <c r="A3935" t="s">
        <v>627</v>
      </c>
      <c r="B3935" s="16">
        <v>45607</v>
      </c>
      <c r="C3935" t="s">
        <v>3</v>
      </c>
      <c r="D3935" t="s">
        <v>117</v>
      </c>
      <c r="E3935" t="s">
        <v>195</v>
      </c>
      <c r="F3935">
        <v>1</v>
      </c>
      <c r="G3935">
        <v>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1</v>
      </c>
      <c r="P3935">
        <f t="shared" si="201"/>
        <v>2024</v>
      </c>
      <c r="Q3935">
        <f t="shared" si="202"/>
        <v>11</v>
      </c>
      <c r="R3935" t="str">
        <f t="shared" si="203"/>
        <v>搜索入口榜单</v>
      </c>
      <c r="S3935" t="s">
        <v>785</v>
      </c>
      <c r="T3935" t="s">
        <v>805</v>
      </c>
    </row>
    <row r="3936" spans="1:20" x14ac:dyDescent="0.3">
      <c r="A3936" t="s">
        <v>627</v>
      </c>
      <c r="B3936" s="16">
        <v>45607</v>
      </c>
      <c r="C3936" t="s">
        <v>3</v>
      </c>
      <c r="D3936" t="s">
        <v>123</v>
      </c>
      <c r="E3936" t="s">
        <v>169</v>
      </c>
      <c r="F3936">
        <v>338</v>
      </c>
      <c r="G3936">
        <v>131</v>
      </c>
      <c r="H3936">
        <v>16</v>
      </c>
      <c r="I3936">
        <v>6</v>
      </c>
      <c r="J3936">
        <v>38537</v>
      </c>
      <c r="K3936">
        <v>8</v>
      </c>
      <c r="L3936">
        <v>27757</v>
      </c>
      <c r="M3936">
        <v>5</v>
      </c>
      <c r="N3936">
        <v>67</v>
      </c>
      <c r="O3936">
        <v>326</v>
      </c>
      <c r="P3936">
        <f t="shared" si="201"/>
        <v>2024</v>
      </c>
      <c r="Q3936">
        <f t="shared" si="202"/>
        <v>11</v>
      </c>
      <c r="R3936" t="str">
        <f t="shared" si="203"/>
        <v>商品详情页头图推荐</v>
      </c>
      <c r="S3936" t="s">
        <v>785</v>
      </c>
      <c r="T3936" t="s">
        <v>805</v>
      </c>
    </row>
    <row r="3937" spans="1:20" x14ac:dyDescent="0.3">
      <c r="A3937" t="s">
        <v>627</v>
      </c>
      <c r="B3937" s="16">
        <v>45607</v>
      </c>
      <c r="C3937" t="s">
        <v>3</v>
      </c>
      <c r="D3937" t="s">
        <v>123</v>
      </c>
      <c r="E3937" t="s">
        <v>170</v>
      </c>
      <c r="F3937">
        <v>81</v>
      </c>
      <c r="G3937">
        <v>44</v>
      </c>
      <c r="H3937">
        <v>8</v>
      </c>
      <c r="I3937">
        <v>1</v>
      </c>
      <c r="J3937">
        <v>10335</v>
      </c>
      <c r="K3937">
        <v>4</v>
      </c>
      <c r="L3937">
        <v>10335</v>
      </c>
      <c r="M3937">
        <v>4</v>
      </c>
      <c r="N3937">
        <v>75</v>
      </c>
      <c r="O3937">
        <v>34</v>
      </c>
      <c r="P3937">
        <f t="shared" si="201"/>
        <v>2024</v>
      </c>
      <c r="Q3937">
        <f t="shared" si="202"/>
        <v>11</v>
      </c>
      <c r="R3937" t="str">
        <f t="shared" si="203"/>
        <v>店铺超链</v>
      </c>
      <c r="S3937" t="s">
        <v>785</v>
      </c>
      <c r="T3937" t="s">
        <v>805</v>
      </c>
    </row>
    <row r="3938" spans="1:20" x14ac:dyDescent="0.3">
      <c r="A3938" t="s">
        <v>627</v>
      </c>
      <c r="B3938" s="16">
        <v>45607</v>
      </c>
      <c r="C3938" t="s">
        <v>2</v>
      </c>
      <c r="D3938" t="s">
        <v>52</v>
      </c>
      <c r="E3938" t="s">
        <v>59</v>
      </c>
      <c r="F3938">
        <v>1385</v>
      </c>
      <c r="G3938">
        <v>1079</v>
      </c>
      <c r="H3938">
        <v>10</v>
      </c>
      <c r="I3938">
        <v>3</v>
      </c>
      <c r="J3938">
        <v>40640</v>
      </c>
      <c r="K3938">
        <v>7</v>
      </c>
      <c r="L3938">
        <v>34240</v>
      </c>
      <c r="M3938">
        <v>7</v>
      </c>
      <c r="N3938">
        <v>1120</v>
      </c>
      <c r="O3938">
        <v>290</v>
      </c>
      <c r="P3938">
        <f t="shared" si="201"/>
        <v>2024</v>
      </c>
      <c r="Q3938">
        <f t="shared" si="202"/>
        <v>11</v>
      </c>
      <c r="R3938" t="s">
        <v>171</v>
      </c>
      <c r="S3938" t="s">
        <v>785</v>
      </c>
      <c r="T3938" t="s">
        <v>805</v>
      </c>
    </row>
    <row r="3939" spans="1:20" x14ac:dyDescent="0.3">
      <c r="A3939" t="s">
        <v>627</v>
      </c>
      <c r="B3939" s="16">
        <v>45607</v>
      </c>
      <c r="C3939" t="s">
        <v>3</v>
      </c>
      <c r="D3939" t="s">
        <v>127</v>
      </c>
      <c r="E3939" t="s">
        <v>172</v>
      </c>
      <c r="F3939">
        <v>37</v>
      </c>
      <c r="G3939">
        <v>17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5</v>
      </c>
      <c r="O3939">
        <v>31</v>
      </c>
      <c r="P3939">
        <f t="shared" si="201"/>
        <v>2024</v>
      </c>
      <c r="Q3939">
        <f t="shared" si="202"/>
        <v>11</v>
      </c>
      <c r="R3939" t="str">
        <f t="shared" si="203"/>
        <v>购中推荐</v>
      </c>
      <c r="S3939" t="s">
        <v>785</v>
      </c>
      <c r="T3939" t="s">
        <v>805</v>
      </c>
    </row>
    <row r="3940" spans="1:20" x14ac:dyDescent="0.3">
      <c r="A3940" t="s">
        <v>627</v>
      </c>
      <c r="B3940" s="16">
        <v>45607</v>
      </c>
      <c r="C3940" t="s">
        <v>3</v>
      </c>
      <c r="D3940" t="s">
        <v>127</v>
      </c>
      <c r="E3940" t="s">
        <v>173</v>
      </c>
      <c r="F3940">
        <v>174</v>
      </c>
      <c r="G3940">
        <v>110</v>
      </c>
      <c r="H3940">
        <v>0</v>
      </c>
      <c r="I3940">
        <v>2</v>
      </c>
      <c r="J3940">
        <v>13125</v>
      </c>
      <c r="K3940">
        <v>2</v>
      </c>
      <c r="L3940">
        <v>9300</v>
      </c>
      <c r="M3940">
        <v>2</v>
      </c>
      <c r="N3940">
        <v>45</v>
      </c>
      <c r="O3940">
        <v>86</v>
      </c>
      <c r="P3940">
        <f t="shared" si="201"/>
        <v>2024</v>
      </c>
      <c r="Q3940">
        <f t="shared" si="202"/>
        <v>11</v>
      </c>
      <c r="R3940" t="str">
        <f t="shared" si="203"/>
        <v>购后推荐</v>
      </c>
      <c r="S3940" t="s">
        <v>785</v>
      </c>
      <c r="T3940" t="s">
        <v>805</v>
      </c>
    </row>
    <row r="3941" spans="1:20" x14ac:dyDescent="0.3">
      <c r="A3941" t="s">
        <v>627</v>
      </c>
      <c r="B3941" s="16">
        <v>45607</v>
      </c>
      <c r="C3941" t="s">
        <v>3</v>
      </c>
      <c r="D3941" t="s">
        <v>127</v>
      </c>
      <c r="E3941" t="s">
        <v>174</v>
      </c>
      <c r="F3941">
        <v>6066</v>
      </c>
      <c r="G3941">
        <v>3531</v>
      </c>
      <c r="H3941">
        <v>86</v>
      </c>
      <c r="I3941">
        <v>27</v>
      </c>
      <c r="J3941">
        <v>240445.35</v>
      </c>
      <c r="K3941">
        <v>44</v>
      </c>
      <c r="L3941">
        <v>127742.85</v>
      </c>
      <c r="M3941">
        <v>37</v>
      </c>
      <c r="N3941">
        <v>273</v>
      </c>
      <c r="O3941">
        <v>6066</v>
      </c>
      <c r="P3941">
        <f t="shared" si="201"/>
        <v>2024</v>
      </c>
      <c r="Q3941">
        <f t="shared" si="202"/>
        <v>11</v>
      </c>
      <c r="R3941" t="str">
        <f t="shared" si="203"/>
        <v>首页推荐-微详情</v>
      </c>
      <c r="S3941" t="s">
        <v>785</v>
      </c>
      <c r="T3941" t="s">
        <v>805</v>
      </c>
    </row>
    <row r="3942" spans="1:20" x14ac:dyDescent="0.3">
      <c r="A3942" t="s">
        <v>627</v>
      </c>
      <c r="B3942" s="16">
        <v>45607</v>
      </c>
      <c r="C3942" t="s">
        <v>3</v>
      </c>
      <c r="D3942" t="s">
        <v>127</v>
      </c>
      <c r="E3942" t="s">
        <v>175</v>
      </c>
      <c r="F3942">
        <v>318</v>
      </c>
      <c r="G3942">
        <v>168</v>
      </c>
      <c r="H3942">
        <v>4</v>
      </c>
      <c r="I3942">
        <v>0</v>
      </c>
      <c r="J3942">
        <v>20275</v>
      </c>
      <c r="K3942">
        <v>3</v>
      </c>
      <c r="L3942">
        <v>17525</v>
      </c>
      <c r="M3942">
        <v>3</v>
      </c>
      <c r="N3942">
        <v>7</v>
      </c>
      <c r="O3942">
        <v>52</v>
      </c>
      <c r="P3942">
        <f t="shared" si="201"/>
        <v>2024</v>
      </c>
      <c r="Q3942">
        <f t="shared" si="202"/>
        <v>11</v>
      </c>
      <c r="R3942" t="str">
        <f t="shared" si="203"/>
        <v>首页推荐-直播</v>
      </c>
      <c r="S3942" t="s">
        <v>785</v>
      </c>
      <c r="T3942" t="s">
        <v>805</v>
      </c>
    </row>
    <row r="3943" spans="1:20" x14ac:dyDescent="0.3">
      <c r="A3943" t="s">
        <v>627</v>
      </c>
      <c r="B3943" s="16">
        <v>45607</v>
      </c>
      <c r="C3943" t="s">
        <v>3</v>
      </c>
      <c r="D3943" t="s">
        <v>127</v>
      </c>
      <c r="E3943" t="s">
        <v>176</v>
      </c>
      <c r="F3943">
        <v>784</v>
      </c>
      <c r="G3943">
        <v>352</v>
      </c>
      <c r="H3943">
        <v>8</v>
      </c>
      <c r="I3943">
        <v>1</v>
      </c>
      <c r="J3943">
        <v>5188</v>
      </c>
      <c r="K3943">
        <v>3</v>
      </c>
      <c r="L3943">
        <v>5188</v>
      </c>
      <c r="M3943">
        <v>3</v>
      </c>
      <c r="N3943">
        <v>34</v>
      </c>
      <c r="O3943">
        <v>179</v>
      </c>
      <c r="P3943">
        <f t="shared" si="201"/>
        <v>2024</v>
      </c>
      <c r="Q3943">
        <f t="shared" si="202"/>
        <v>11</v>
      </c>
      <c r="R3943" t="str">
        <f t="shared" si="203"/>
        <v>首页推荐-短视频</v>
      </c>
      <c r="S3943" t="s">
        <v>785</v>
      </c>
      <c r="T3943" t="s">
        <v>805</v>
      </c>
    </row>
    <row r="3944" spans="1:20" x14ac:dyDescent="0.3">
      <c r="A3944" t="s">
        <v>627</v>
      </c>
      <c r="B3944" s="16">
        <v>45607</v>
      </c>
      <c r="C3944" t="s">
        <v>3</v>
      </c>
      <c r="D3944" t="s">
        <v>128</v>
      </c>
      <c r="E3944" t="s">
        <v>177</v>
      </c>
      <c r="F3944">
        <v>2296</v>
      </c>
      <c r="G3944">
        <v>1761</v>
      </c>
      <c r="H3944">
        <v>292</v>
      </c>
      <c r="I3944">
        <v>24</v>
      </c>
      <c r="J3944">
        <v>500748.11</v>
      </c>
      <c r="K3944">
        <v>119</v>
      </c>
      <c r="L3944">
        <v>403140.61</v>
      </c>
      <c r="M3944">
        <v>105</v>
      </c>
      <c r="N3944">
        <v>538</v>
      </c>
      <c r="O3944">
        <v>2124</v>
      </c>
      <c r="P3944">
        <f t="shared" si="201"/>
        <v>2024</v>
      </c>
      <c r="Q3944">
        <f t="shared" si="202"/>
        <v>11</v>
      </c>
      <c r="R3944" t="str">
        <f t="shared" si="203"/>
        <v>手淘搜索-商品及其他</v>
      </c>
      <c r="S3944" t="s">
        <v>785</v>
      </c>
      <c r="T3944" t="s">
        <v>805</v>
      </c>
    </row>
    <row r="3945" spans="1:20" x14ac:dyDescent="0.3">
      <c r="A3945" t="s">
        <v>627</v>
      </c>
      <c r="B3945" s="16">
        <v>45607</v>
      </c>
      <c r="C3945" t="s">
        <v>3</v>
      </c>
      <c r="D3945" t="s">
        <v>128</v>
      </c>
      <c r="E3945" t="s">
        <v>178</v>
      </c>
      <c r="F3945">
        <v>36</v>
      </c>
      <c r="G3945">
        <v>15</v>
      </c>
      <c r="H3945">
        <v>3</v>
      </c>
      <c r="I3945">
        <v>0</v>
      </c>
      <c r="J3945">
        <v>13646.73</v>
      </c>
      <c r="K3945">
        <v>3</v>
      </c>
      <c r="L3945">
        <v>9821.73</v>
      </c>
      <c r="M3945">
        <v>3</v>
      </c>
      <c r="N3945">
        <v>2</v>
      </c>
      <c r="O3945">
        <v>26</v>
      </c>
      <c r="P3945">
        <f t="shared" ref="P3945:P4008" si="204">YEAR(B3945)</f>
        <v>2024</v>
      </c>
      <c r="Q3945">
        <f t="shared" ref="Q3945:Q4008" si="205">MONTH(B3945)</f>
        <v>11</v>
      </c>
      <c r="R3945" t="str">
        <f t="shared" ref="R3945:R4008" si="206">E3945</f>
        <v>手淘搜索-直播</v>
      </c>
      <c r="S3945" t="s">
        <v>785</v>
      </c>
      <c r="T3945" t="s">
        <v>805</v>
      </c>
    </row>
    <row r="3946" spans="1:20" x14ac:dyDescent="0.3">
      <c r="A3946" t="s">
        <v>627</v>
      </c>
      <c r="B3946" s="16">
        <v>45607</v>
      </c>
      <c r="C3946" t="s">
        <v>3</v>
      </c>
      <c r="D3946" t="s">
        <v>128</v>
      </c>
      <c r="E3946" t="s">
        <v>179</v>
      </c>
      <c r="F3946">
        <v>316</v>
      </c>
      <c r="G3946">
        <v>277</v>
      </c>
      <c r="H3946">
        <v>6</v>
      </c>
      <c r="I3946">
        <v>2</v>
      </c>
      <c r="J3946">
        <v>12190</v>
      </c>
      <c r="K3946">
        <v>2</v>
      </c>
      <c r="L3946">
        <v>12190</v>
      </c>
      <c r="M3946">
        <v>2</v>
      </c>
      <c r="N3946">
        <v>11</v>
      </c>
      <c r="O3946">
        <v>315</v>
      </c>
      <c r="P3946">
        <f t="shared" si="204"/>
        <v>2024</v>
      </c>
      <c r="Q3946">
        <f t="shared" si="205"/>
        <v>11</v>
      </c>
      <c r="R3946" t="str">
        <f t="shared" si="206"/>
        <v>手淘搜索-短视频</v>
      </c>
      <c r="S3946" t="s">
        <v>785</v>
      </c>
      <c r="T3946" t="s">
        <v>805</v>
      </c>
    </row>
    <row r="3947" spans="1:20" x14ac:dyDescent="0.3">
      <c r="A3947" t="s">
        <v>627</v>
      </c>
      <c r="B3947" s="16">
        <v>45607</v>
      </c>
      <c r="C3947" t="s">
        <v>3</v>
      </c>
      <c r="D3947" t="s">
        <v>143</v>
      </c>
      <c r="E3947" t="s">
        <v>180</v>
      </c>
      <c r="F3947">
        <v>8</v>
      </c>
      <c r="G3947">
        <v>7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8</v>
      </c>
      <c r="P3947">
        <f t="shared" si="204"/>
        <v>2024</v>
      </c>
      <c r="Q3947">
        <f t="shared" si="205"/>
        <v>11</v>
      </c>
      <c r="R3947" t="str">
        <f t="shared" si="206"/>
        <v>淘特其他渠道</v>
      </c>
      <c r="S3947" t="s">
        <v>785</v>
      </c>
      <c r="T3947" t="s">
        <v>805</v>
      </c>
    </row>
    <row r="3948" spans="1:20" x14ac:dyDescent="0.3">
      <c r="A3948" t="s">
        <v>627</v>
      </c>
      <c r="B3948" s="16">
        <v>45607</v>
      </c>
      <c r="C3948" t="s">
        <v>3</v>
      </c>
      <c r="D3948" t="s">
        <v>143</v>
      </c>
      <c r="E3948" t="s">
        <v>181</v>
      </c>
      <c r="F3948">
        <v>22</v>
      </c>
      <c r="G3948">
        <v>20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22</v>
      </c>
      <c r="P3948">
        <f t="shared" si="204"/>
        <v>2024</v>
      </c>
      <c r="Q3948">
        <f t="shared" si="205"/>
        <v>11</v>
      </c>
      <c r="R3948" t="str">
        <f t="shared" si="206"/>
        <v>淘特搜索</v>
      </c>
      <c r="S3948" t="s">
        <v>785</v>
      </c>
      <c r="T3948" t="s">
        <v>805</v>
      </c>
    </row>
    <row r="3949" spans="1:20" x14ac:dyDescent="0.3">
      <c r="A3949" t="s">
        <v>627</v>
      </c>
      <c r="B3949" s="16">
        <v>45607</v>
      </c>
      <c r="C3949" t="s">
        <v>2</v>
      </c>
      <c r="D3949" t="s">
        <v>55</v>
      </c>
      <c r="E3949" t="s">
        <v>54</v>
      </c>
      <c r="F3949">
        <v>1143</v>
      </c>
      <c r="G3949">
        <v>687</v>
      </c>
      <c r="H3949">
        <v>29</v>
      </c>
      <c r="I3949">
        <v>1</v>
      </c>
      <c r="J3949">
        <v>0</v>
      </c>
      <c r="K3949">
        <v>0</v>
      </c>
      <c r="L3949">
        <v>0</v>
      </c>
      <c r="M3949">
        <v>0</v>
      </c>
      <c r="N3949">
        <v>35</v>
      </c>
      <c r="O3949">
        <v>181</v>
      </c>
      <c r="P3949">
        <f t="shared" si="204"/>
        <v>2024</v>
      </c>
      <c r="Q3949">
        <f t="shared" si="205"/>
        <v>11</v>
      </c>
      <c r="R3949" t="str">
        <f t="shared" si="206"/>
        <v>超级直播</v>
      </c>
      <c r="S3949" t="s">
        <v>785</v>
      </c>
      <c r="T3949" t="s">
        <v>805</v>
      </c>
    </row>
    <row r="3950" spans="1:20" x14ac:dyDescent="0.3">
      <c r="A3950" t="s">
        <v>627</v>
      </c>
      <c r="B3950" s="16">
        <v>45607</v>
      </c>
      <c r="C3950" t="s">
        <v>2</v>
      </c>
      <c r="D3950" t="s">
        <v>55</v>
      </c>
      <c r="E3950" t="s">
        <v>56</v>
      </c>
      <c r="F3950">
        <v>98</v>
      </c>
      <c r="G3950">
        <v>60</v>
      </c>
      <c r="H3950">
        <v>14</v>
      </c>
      <c r="I3950">
        <v>1</v>
      </c>
      <c r="J3950">
        <v>0</v>
      </c>
      <c r="K3950">
        <v>0</v>
      </c>
      <c r="L3950">
        <v>0</v>
      </c>
      <c r="M3950">
        <v>0</v>
      </c>
      <c r="N3950">
        <v>2</v>
      </c>
      <c r="O3950">
        <v>67</v>
      </c>
      <c r="P3950">
        <f t="shared" si="204"/>
        <v>2024</v>
      </c>
      <c r="Q3950">
        <f t="shared" si="205"/>
        <v>11</v>
      </c>
      <c r="R3950" t="str">
        <f t="shared" si="206"/>
        <v>超级短视频</v>
      </c>
      <c r="S3950" t="s">
        <v>785</v>
      </c>
      <c r="T3950" t="s">
        <v>805</v>
      </c>
    </row>
    <row r="3951" spans="1:20" x14ac:dyDescent="0.3">
      <c r="A3951" t="s">
        <v>627</v>
      </c>
      <c r="B3951" s="16">
        <v>45607</v>
      </c>
      <c r="C3951" t="s">
        <v>2</v>
      </c>
      <c r="D3951" t="s">
        <v>52</v>
      </c>
      <c r="E3951" t="s">
        <v>53</v>
      </c>
      <c r="F3951">
        <v>531</v>
      </c>
      <c r="G3951">
        <v>443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531</v>
      </c>
      <c r="O3951">
        <v>83</v>
      </c>
      <c r="P3951">
        <f t="shared" si="204"/>
        <v>2024</v>
      </c>
      <c r="Q3951">
        <f t="shared" si="205"/>
        <v>11</v>
      </c>
      <c r="R3951" t="str">
        <f t="shared" si="206"/>
        <v>Showmax</v>
      </c>
      <c r="S3951" t="s">
        <v>785</v>
      </c>
      <c r="T3951" t="s">
        <v>805</v>
      </c>
    </row>
    <row r="3952" spans="1:20" x14ac:dyDescent="0.3">
      <c r="A3952" t="s">
        <v>627</v>
      </c>
      <c r="B3952" s="16">
        <v>45607</v>
      </c>
      <c r="C3952" t="s">
        <v>2</v>
      </c>
      <c r="D3952" t="s">
        <v>52</v>
      </c>
      <c r="E3952" t="s">
        <v>59</v>
      </c>
      <c r="F3952">
        <v>605</v>
      </c>
      <c r="G3952">
        <v>506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605</v>
      </c>
      <c r="O3952">
        <v>152</v>
      </c>
      <c r="P3952">
        <f t="shared" si="204"/>
        <v>2024</v>
      </c>
      <c r="Q3952">
        <f t="shared" si="205"/>
        <v>11</v>
      </c>
      <c r="R3952" t="str">
        <f t="shared" si="206"/>
        <v>品牌特秀</v>
      </c>
      <c r="S3952" t="s">
        <v>785</v>
      </c>
      <c r="T3952" t="s">
        <v>805</v>
      </c>
    </row>
    <row r="3953" spans="1:20" x14ac:dyDescent="0.3">
      <c r="A3953" t="s">
        <v>627</v>
      </c>
      <c r="B3953" s="16">
        <v>45607</v>
      </c>
      <c r="C3953" t="s">
        <v>2</v>
      </c>
      <c r="D3953" t="s">
        <v>52</v>
      </c>
      <c r="E3953" t="s">
        <v>183</v>
      </c>
      <c r="F3953">
        <v>853</v>
      </c>
      <c r="G3953">
        <v>658</v>
      </c>
      <c r="H3953">
        <v>42</v>
      </c>
      <c r="I3953">
        <v>5</v>
      </c>
      <c r="J3953">
        <v>81461</v>
      </c>
      <c r="K3953">
        <v>24</v>
      </c>
      <c r="L3953">
        <v>71501</v>
      </c>
      <c r="M3953">
        <v>20</v>
      </c>
      <c r="N3953">
        <v>853</v>
      </c>
      <c r="O3953">
        <v>494</v>
      </c>
      <c r="P3953">
        <f t="shared" si="204"/>
        <v>2024</v>
      </c>
      <c r="Q3953">
        <f t="shared" si="205"/>
        <v>11</v>
      </c>
      <c r="R3953" t="str">
        <f t="shared" si="206"/>
        <v>品销宝-品牌专区</v>
      </c>
      <c r="S3953" t="s">
        <v>785</v>
      </c>
      <c r="T3953" t="s">
        <v>805</v>
      </c>
    </row>
    <row r="3954" spans="1:20" x14ac:dyDescent="0.3">
      <c r="A3954" t="s">
        <v>627</v>
      </c>
      <c r="B3954" s="16">
        <v>45607</v>
      </c>
      <c r="C3954" t="s">
        <v>2</v>
      </c>
      <c r="D3954" t="s">
        <v>57</v>
      </c>
      <c r="E3954" t="s">
        <v>65</v>
      </c>
      <c r="F3954">
        <v>5125</v>
      </c>
      <c r="G3954">
        <v>4398</v>
      </c>
      <c r="H3954">
        <v>283</v>
      </c>
      <c r="I3954">
        <v>31</v>
      </c>
      <c r="J3954">
        <v>434241</v>
      </c>
      <c r="K3954">
        <v>94</v>
      </c>
      <c r="L3954">
        <v>357703</v>
      </c>
      <c r="M3954">
        <v>87</v>
      </c>
      <c r="N3954">
        <v>422</v>
      </c>
      <c r="O3954">
        <v>5087</v>
      </c>
      <c r="P3954">
        <f t="shared" si="204"/>
        <v>2024</v>
      </c>
      <c r="Q3954">
        <f t="shared" si="205"/>
        <v>11</v>
      </c>
      <c r="R3954" t="str">
        <f t="shared" si="206"/>
        <v>直通车</v>
      </c>
      <c r="S3954" t="s">
        <v>785</v>
      </c>
      <c r="T3954" t="s">
        <v>805</v>
      </c>
    </row>
    <row r="3955" spans="1:20" x14ac:dyDescent="0.3">
      <c r="A3955" t="s">
        <v>627</v>
      </c>
      <c r="B3955" s="16">
        <v>45607</v>
      </c>
      <c r="C3955" t="s">
        <v>2</v>
      </c>
      <c r="D3955" t="s">
        <v>57</v>
      </c>
      <c r="E3955" t="s">
        <v>63</v>
      </c>
      <c r="F3955">
        <v>4159</v>
      </c>
      <c r="G3955">
        <v>1963</v>
      </c>
      <c r="H3955">
        <v>261</v>
      </c>
      <c r="I3955">
        <v>64</v>
      </c>
      <c r="J3955">
        <v>299521.67</v>
      </c>
      <c r="K3955">
        <v>67</v>
      </c>
      <c r="L3955">
        <v>274068.67</v>
      </c>
      <c r="M3955">
        <v>63</v>
      </c>
      <c r="N3955">
        <v>391</v>
      </c>
      <c r="O3955">
        <v>4142</v>
      </c>
      <c r="P3955">
        <f t="shared" si="204"/>
        <v>2024</v>
      </c>
      <c r="Q3955">
        <f t="shared" si="205"/>
        <v>11</v>
      </c>
      <c r="R3955" t="str">
        <f t="shared" si="206"/>
        <v>万相台</v>
      </c>
      <c r="S3955" t="s">
        <v>785</v>
      </c>
      <c r="T3955" t="s">
        <v>805</v>
      </c>
    </row>
    <row r="3956" spans="1:20" x14ac:dyDescent="0.3">
      <c r="A3956" t="s">
        <v>627</v>
      </c>
      <c r="B3956" s="16">
        <v>45607</v>
      </c>
      <c r="C3956" t="s">
        <v>2</v>
      </c>
      <c r="D3956" t="s">
        <v>57</v>
      </c>
      <c r="E3956" t="s">
        <v>64</v>
      </c>
      <c r="F3956">
        <v>7258</v>
      </c>
      <c r="G3956">
        <v>3293</v>
      </c>
      <c r="H3956">
        <v>153</v>
      </c>
      <c r="I3956">
        <v>71</v>
      </c>
      <c r="J3956">
        <v>156167.76999999999</v>
      </c>
      <c r="K3956">
        <v>33</v>
      </c>
      <c r="L3956">
        <v>113282.77</v>
      </c>
      <c r="M3956">
        <v>27</v>
      </c>
      <c r="N3956">
        <v>615</v>
      </c>
      <c r="O3956">
        <v>7258</v>
      </c>
      <c r="P3956">
        <f t="shared" si="204"/>
        <v>2024</v>
      </c>
      <c r="Q3956">
        <f t="shared" si="205"/>
        <v>11</v>
      </c>
      <c r="R3956" t="str">
        <f t="shared" si="206"/>
        <v>引力魔方</v>
      </c>
      <c r="S3956" t="s">
        <v>785</v>
      </c>
      <c r="T3956" t="s">
        <v>805</v>
      </c>
    </row>
    <row r="3957" spans="1:20" x14ac:dyDescent="0.3">
      <c r="A3957" t="s">
        <v>627</v>
      </c>
      <c r="B3957" s="16">
        <v>45607</v>
      </c>
      <c r="C3957" t="s">
        <v>2</v>
      </c>
      <c r="D3957" t="s">
        <v>4</v>
      </c>
      <c r="E3957" t="s">
        <v>41</v>
      </c>
      <c r="F3957">
        <v>1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1</v>
      </c>
      <c r="P3957">
        <f t="shared" si="204"/>
        <v>2024</v>
      </c>
      <c r="Q3957">
        <f t="shared" si="205"/>
        <v>11</v>
      </c>
      <c r="R3957" t="str">
        <f t="shared" si="206"/>
        <v>流量宝</v>
      </c>
      <c r="S3957" t="s">
        <v>785</v>
      </c>
      <c r="T3957" t="s">
        <v>805</v>
      </c>
    </row>
    <row r="3958" spans="1:20" x14ac:dyDescent="0.3">
      <c r="A3958" t="s">
        <v>627</v>
      </c>
      <c r="B3958" s="16">
        <v>45607</v>
      </c>
      <c r="C3958" t="s">
        <v>2</v>
      </c>
      <c r="D3958" t="s">
        <v>4</v>
      </c>
      <c r="E3958" t="s">
        <v>43</v>
      </c>
      <c r="F3958">
        <v>341</v>
      </c>
      <c r="G3958">
        <v>142</v>
      </c>
      <c r="H3958">
        <v>12</v>
      </c>
      <c r="I3958">
        <v>0</v>
      </c>
      <c r="J3958">
        <v>14026.14</v>
      </c>
      <c r="K3958">
        <v>5</v>
      </c>
      <c r="L3958">
        <v>12988.14</v>
      </c>
      <c r="M3958">
        <v>5</v>
      </c>
      <c r="N3958">
        <v>27</v>
      </c>
      <c r="O3958">
        <v>334</v>
      </c>
      <c r="P3958">
        <f t="shared" si="204"/>
        <v>2024</v>
      </c>
      <c r="Q3958">
        <f t="shared" si="205"/>
        <v>11</v>
      </c>
      <c r="R3958" t="str">
        <f t="shared" si="206"/>
        <v>淘宝客</v>
      </c>
      <c r="S3958" t="s">
        <v>785</v>
      </c>
      <c r="T3958" t="s">
        <v>805</v>
      </c>
    </row>
    <row r="3959" spans="1:20" x14ac:dyDescent="0.3">
      <c r="A3959" t="s">
        <v>627</v>
      </c>
      <c r="B3959" s="16">
        <v>45606</v>
      </c>
      <c r="C3959" t="s">
        <v>3</v>
      </c>
      <c r="D3959" t="s">
        <v>114</v>
      </c>
      <c r="E3959" t="s">
        <v>159</v>
      </c>
      <c r="F3959">
        <v>292</v>
      </c>
      <c r="G3959">
        <v>173</v>
      </c>
      <c r="H3959">
        <v>6</v>
      </c>
      <c r="I3959">
        <v>6</v>
      </c>
      <c r="J3959">
        <v>5093</v>
      </c>
      <c r="K3959">
        <v>2</v>
      </c>
      <c r="L3959">
        <v>2298</v>
      </c>
      <c r="M3959">
        <v>1</v>
      </c>
      <c r="N3959">
        <v>22</v>
      </c>
      <c r="O3959">
        <v>288</v>
      </c>
      <c r="P3959">
        <f t="shared" si="204"/>
        <v>2024</v>
      </c>
      <c r="Q3959">
        <f t="shared" si="205"/>
        <v>11</v>
      </c>
      <c r="R3959" t="str">
        <f t="shared" si="206"/>
        <v>主会场</v>
      </c>
      <c r="S3959" t="s">
        <v>785</v>
      </c>
      <c r="T3959" t="s">
        <v>805</v>
      </c>
    </row>
    <row r="3960" spans="1:20" x14ac:dyDescent="0.3">
      <c r="A3960" t="s">
        <v>627</v>
      </c>
      <c r="B3960" s="16">
        <v>45606</v>
      </c>
      <c r="C3960" t="s">
        <v>3</v>
      </c>
      <c r="D3960" t="s">
        <v>114</v>
      </c>
      <c r="E3960" t="s">
        <v>160</v>
      </c>
      <c r="F3960">
        <v>23</v>
      </c>
      <c r="G3960">
        <v>22</v>
      </c>
      <c r="H3960">
        <v>1</v>
      </c>
      <c r="I3960">
        <v>1</v>
      </c>
      <c r="J3960">
        <v>0</v>
      </c>
      <c r="K3960">
        <v>0</v>
      </c>
      <c r="L3960">
        <v>0</v>
      </c>
      <c r="M3960">
        <v>0</v>
      </c>
      <c r="N3960">
        <v>4</v>
      </c>
      <c r="O3960">
        <v>23</v>
      </c>
      <c r="P3960">
        <f t="shared" si="204"/>
        <v>2024</v>
      </c>
      <c r="Q3960">
        <f t="shared" si="205"/>
        <v>11</v>
      </c>
      <c r="R3960" t="str">
        <f t="shared" si="206"/>
        <v>榜单会场</v>
      </c>
      <c r="S3960" t="s">
        <v>785</v>
      </c>
      <c r="T3960" t="s">
        <v>805</v>
      </c>
    </row>
    <row r="3961" spans="1:20" x14ac:dyDescent="0.3">
      <c r="A3961" t="s">
        <v>627</v>
      </c>
      <c r="B3961" s="16">
        <v>45606</v>
      </c>
      <c r="C3961" t="s">
        <v>3</v>
      </c>
      <c r="D3961" t="s">
        <v>117</v>
      </c>
      <c r="E3961" t="s">
        <v>161</v>
      </c>
      <c r="F3961">
        <v>49</v>
      </c>
      <c r="G3961">
        <v>42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6</v>
      </c>
      <c r="O3961">
        <v>49</v>
      </c>
      <c r="P3961">
        <f t="shared" si="204"/>
        <v>2024</v>
      </c>
      <c r="Q3961">
        <f t="shared" si="205"/>
        <v>11</v>
      </c>
      <c r="R3961" t="str">
        <f t="shared" si="206"/>
        <v>其他入口榜单</v>
      </c>
      <c r="S3961" t="s">
        <v>785</v>
      </c>
      <c r="T3961" t="s">
        <v>805</v>
      </c>
    </row>
    <row r="3962" spans="1:20" x14ac:dyDescent="0.3">
      <c r="A3962" t="s">
        <v>627</v>
      </c>
      <c r="B3962" s="16">
        <v>45606</v>
      </c>
      <c r="C3962" t="s">
        <v>3</v>
      </c>
      <c r="D3962" t="s">
        <v>117</v>
      </c>
      <c r="E3962" t="s">
        <v>191</v>
      </c>
      <c r="F3962">
        <v>3</v>
      </c>
      <c r="G3962">
        <v>2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3</v>
      </c>
      <c r="P3962">
        <f t="shared" si="204"/>
        <v>2024</v>
      </c>
      <c r="Q3962">
        <f t="shared" si="205"/>
        <v>11</v>
      </c>
      <c r="R3962" t="str">
        <f t="shared" si="206"/>
        <v>商品详情页入口榜单</v>
      </c>
      <c r="S3962" t="s">
        <v>785</v>
      </c>
      <c r="T3962" t="s">
        <v>805</v>
      </c>
    </row>
    <row r="3963" spans="1:20" x14ac:dyDescent="0.3">
      <c r="A3963" t="s">
        <v>627</v>
      </c>
      <c r="B3963" s="16">
        <v>45606</v>
      </c>
      <c r="C3963" t="s">
        <v>3</v>
      </c>
      <c r="D3963" t="s">
        <v>117</v>
      </c>
      <c r="E3963" t="s">
        <v>195</v>
      </c>
      <c r="F3963">
        <v>5</v>
      </c>
      <c r="G3963">
        <v>3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5</v>
      </c>
      <c r="P3963">
        <f t="shared" si="204"/>
        <v>2024</v>
      </c>
      <c r="Q3963">
        <f t="shared" si="205"/>
        <v>11</v>
      </c>
      <c r="R3963" t="str">
        <f t="shared" si="206"/>
        <v>搜索入口榜单</v>
      </c>
      <c r="S3963" t="s">
        <v>785</v>
      </c>
      <c r="T3963" t="s">
        <v>805</v>
      </c>
    </row>
    <row r="3964" spans="1:20" x14ac:dyDescent="0.3">
      <c r="A3964" t="s">
        <v>627</v>
      </c>
      <c r="B3964" s="16">
        <v>45606</v>
      </c>
      <c r="C3964" t="s">
        <v>3</v>
      </c>
      <c r="D3964" t="s">
        <v>123</v>
      </c>
      <c r="E3964" t="s">
        <v>169</v>
      </c>
      <c r="F3964">
        <v>444</v>
      </c>
      <c r="G3964">
        <v>196</v>
      </c>
      <c r="H3964">
        <v>20</v>
      </c>
      <c r="I3964">
        <v>9</v>
      </c>
      <c r="J3964">
        <v>35354</v>
      </c>
      <c r="K3964">
        <v>9</v>
      </c>
      <c r="L3964">
        <v>35354</v>
      </c>
      <c r="M3964">
        <v>9</v>
      </c>
      <c r="N3964">
        <v>107</v>
      </c>
      <c r="O3964">
        <v>435</v>
      </c>
      <c r="P3964">
        <f t="shared" si="204"/>
        <v>2024</v>
      </c>
      <c r="Q3964">
        <f t="shared" si="205"/>
        <v>11</v>
      </c>
      <c r="R3964" t="str">
        <f t="shared" si="206"/>
        <v>商品详情页头图推荐</v>
      </c>
      <c r="S3964" t="s">
        <v>785</v>
      </c>
      <c r="T3964" t="s">
        <v>805</v>
      </c>
    </row>
    <row r="3965" spans="1:20" x14ac:dyDescent="0.3">
      <c r="A3965" t="s">
        <v>627</v>
      </c>
      <c r="B3965" s="16">
        <v>45606</v>
      </c>
      <c r="C3965" t="s">
        <v>3</v>
      </c>
      <c r="D3965" t="s">
        <v>123</v>
      </c>
      <c r="E3965" t="s">
        <v>170</v>
      </c>
      <c r="F3965">
        <v>109</v>
      </c>
      <c r="G3965">
        <v>65</v>
      </c>
      <c r="H3965">
        <v>7</v>
      </c>
      <c r="I3965">
        <v>1</v>
      </c>
      <c r="J3965">
        <v>19137</v>
      </c>
      <c r="K3965">
        <v>4</v>
      </c>
      <c r="L3965">
        <v>15342</v>
      </c>
      <c r="M3965">
        <v>3</v>
      </c>
      <c r="N3965">
        <v>95</v>
      </c>
      <c r="O3965">
        <v>55</v>
      </c>
      <c r="P3965">
        <f t="shared" si="204"/>
        <v>2024</v>
      </c>
      <c r="Q3965">
        <f t="shared" si="205"/>
        <v>11</v>
      </c>
      <c r="R3965" t="str">
        <f t="shared" si="206"/>
        <v>店铺超链</v>
      </c>
      <c r="S3965" t="s">
        <v>785</v>
      </c>
      <c r="T3965" t="s">
        <v>805</v>
      </c>
    </row>
    <row r="3966" spans="1:20" x14ac:dyDescent="0.3">
      <c r="A3966" t="s">
        <v>627</v>
      </c>
      <c r="B3966" s="16">
        <v>45606</v>
      </c>
      <c r="C3966" t="s">
        <v>2</v>
      </c>
      <c r="D3966" t="s">
        <v>52</v>
      </c>
      <c r="E3966" t="s">
        <v>59</v>
      </c>
      <c r="F3966">
        <v>1571</v>
      </c>
      <c r="G3966">
        <v>1190</v>
      </c>
      <c r="H3966">
        <v>8</v>
      </c>
      <c r="I3966">
        <v>5</v>
      </c>
      <c r="J3966">
        <v>7955</v>
      </c>
      <c r="K3966">
        <v>2</v>
      </c>
      <c r="L3966">
        <v>7955</v>
      </c>
      <c r="M3966">
        <v>2</v>
      </c>
      <c r="N3966">
        <v>1280</v>
      </c>
      <c r="O3966">
        <v>336</v>
      </c>
      <c r="P3966">
        <f t="shared" si="204"/>
        <v>2024</v>
      </c>
      <c r="Q3966">
        <f t="shared" si="205"/>
        <v>11</v>
      </c>
      <c r="R3966" t="s">
        <v>171</v>
      </c>
      <c r="S3966" t="s">
        <v>785</v>
      </c>
      <c r="T3966" t="s">
        <v>805</v>
      </c>
    </row>
    <row r="3967" spans="1:20" x14ac:dyDescent="0.3">
      <c r="A3967" t="s">
        <v>627</v>
      </c>
      <c r="B3967" s="16">
        <v>45606</v>
      </c>
      <c r="C3967" t="s">
        <v>3</v>
      </c>
      <c r="D3967" t="s">
        <v>127</v>
      </c>
      <c r="E3967" t="s">
        <v>172</v>
      </c>
      <c r="F3967">
        <v>32</v>
      </c>
      <c r="G3967">
        <v>13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6</v>
      </c>
      <c r="O3967">
        <v>20</v>
      </c>
      <c r="P3967">
        <f t="shared" si="204"/>
        <v>2024</v>
      </c>
      <c r="Q3967">
        <f t="shared" si="205"/>
        <v>11</v>
      </c>
      <c r="R3967" t="str">
        <f t="shared" si="206"/>
        <v>购中推荐</v>
      </c>
      <c r="S3967" t="s">
        <v>785</v>
      </c>
      <c r="T3967" t="s">
        <v>805</v>
      </c>
    </row>
    <row r="3968" spans="1:20" x14ac:dyDescent="0.3">
      <c r="A3968" t="s">
        <v>627</v>
      </c>
      <c r="B3968" s="16">
        <v>45606</v>
      </c>
      <c r="C3968" t="s">
        <v>3</v>
      </c>
      <c r="D3968" t="s">
        <v>127</v>
      </c>
      <c r="E3968" t="s">
        <v>173</v>
      </c>
      <c r="F3968">
        <v>156</v>
      </c>
      <c r="G3968">
        <v>93</v>
      </c>
      <c r="H3968">
        <v>3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42</v>
      </c>
      <c r="O3968">
        <v>91</v>
      </c>
      <c r="P3968">
        <f t="shared" si="204"/>
        <v>2024</v>
      </c>
      <c r="Q3968">
        <f t="shared" si="205"/>
        <v>11</v>
      </c>
      <c r="R3968" t="str">
        <f t="shared" si="206"/>
        <v>购后推荐</v>
      </c>
      <c r="S3968" t="s">
        <v>785</v>
      </c>
      <c r="T3968" t="s">
        <v>805</v>
      </c>
    </row>
    <row r="3969" spans="1:20" x14ac:dyDescent="0.3">
      <c r="A3969" t="s">
        <v>627</v>
      </c>
      <c r="B3969" s="16">
        <v>45606</v>
      </c>
      <c r="C3969" t="s">
        <v>3</v>
      </c>
      <c r="D3969" t="s">
        <v>127</v>
      </c>
      <c r="E3969" t="s">
        <v>174</v>
      </c>
      <c r="F3969">
        <v>5375</v>
      </c>
      <c r="G3969">
        <v>2819</v>
      </c>
      <c r="H3969">
        <v>116</v>
      </c>
      <c r="I3969">
        <v>32</v>
      </c>
      <c r="J3969">
        <v>98668.5</v>
      </c>
      <c r="K3969">
        <v>25</v>
      </c>
      <c r="L3969">
        <v>77963.5</v>
      </c>
      <c r="M3969">
        <v>21</v>
      </c>
      <c r="N3969">
        <v>318</v>
      </c>
      <c r="O3969">
        <v>5375</v>
      </c>
      <c r="P3969">
        <f t="shared" si="204"/>
        <v>2024</v>
      </c>
      <c r="Q3969">
        <f t="shared" si="205"/>
        <v>11</v>
      </c>
      <c r="R3969" t="str">
        <f t="shared" si="206"/>
        <v>首页推荐-微详情</v>
      </c>
      <c r="S3969" t="s">
        <v>785</v>
      </c>
      <c r="T3969" t="s">
        <v>805</v>
      </c>
    </row>
    <row r="3970" spans="1:20" x14ac:dyDescent="0.3">
      <c r="A3970" t="s">
        <v>627</v>
      </c>
      <c r="B3970" s="16">
        <v>45606</v>
      </c>
      <c r="C3970" t="s">
        <v>3</v>
      </c>
      <c r="D3970" t="s">
        <v>127</v>
      </c>
      <c r="E3970" t="s">
        <v>175</v>
      </c>
      <c r="F3970">
        <v>450</v>
      </c>
      <c r="G3970">
        <v>276</v>
      </c>
      <c r="H3970">
        <v>3</v>
      </c>
      <c r="I3970">
        <v>1</v>
      </c>
      <c r="J3970">
        <v>11565</v>
      </c>
      <c r="K3970">
        <v>2</v>
      </c>
      <c r="L3970">
        <v>5475</v>
      </c>
      <c r="M3970">
        <v>1</v>
      </c>
      <c r="N3970">
        <v>7</v>
      </c>
      <c r="O3970">
        <v>56</v>
      </c>
      <c r="P3970">
        <f t="shared" si="204"/>
        <v>2024</v>
      </c>
      <c r="Q3970">
        <f t="shared" si="205"/>
        <v>11</v>
      </c>
      <c r="R3970" t="str">
        <f t="shared" si="206"/>
        <v>首页推荐-直播</v>
      </c>
      <c r="S3970" t="s">
        <v>785</v>
      </c>
      <c r="T3970" t="s">
        <v>805</v>
      </c>
    </row>
    <row r="3971" spans="1:20" x14ac:dyDescent="0.3">
      <c r="A3971" t="s">
        <v>627</v>
      </c>
      <c r="B3971" s="16">
        <v>45606</v>
      </c>
      <c r="C3971" t="s">
        <v>3</v>
      </c>
      <c r="D3971" t="s">
        <v>127</v>
      </c>
      <c r="E3971" t="s">
        <v>176</v>
      </c>
      <c r="F3971">
        <v>863</v>
      </c>
      <c r="G3971">
        <v>389</v>
      </c>
      <c r="H3971">
        <v>9</v>
      </c>
      <c r="I3971">
        <v>5</v>
      </c>
      <c r="J3971">
        <v>19292.5</v>
      </c>
      <c r="K3971">
        <v>5</v>
      </c>
      <c r="L3971">
        <v>19292.5</v>
      </c>
      <c r="M3971">
        <v>5</v>
      </c>
      <c r="N3971">
        <v>33</v>
      </c>
      <c r="O3971">
        <v>201</v>
      </c>
      <c r="P3971">
        <f t="shared" si="204"/>
        <v>2024</v>
      </c>
      <c r="Q3971">
        <f t="shared" si="205"/>
        <v>11</v>
      </c>
      <c r="R3971" t="str">
        <f t="shared" si="206"/>
        <v>首页推荐-短视频</v>
      </c>
      <c r="S3971" t="s">
        <v>785</v>
      </c>
      <c r="T3971" t="s">
        <v>805</v>
      </c>
    </row>
    <row r="3972" spans="1:20" x14ac:dyDescent="0.3">
      <c r="A3972" t="s">
        <v>627</v>
      </c>
      <c r="B3972" s="16">
        <v>45606</v>
      </c>
      <c r="C3972" t="s">
        <v>3</v>
      </c>
      <c r="D3972" t="s">
        <v>128</v>
      </c>
      <c r="E3972" t="s">
        <v>177</v>
      </c>
      <c r="F3972">
        <v>2109</v>
      </c>
      <c r="G3972">
        <v>1642</v>
      </c>
      <c r="H3972">
        <v>233</v>
      </c>
      <c r="I3972">
        <v>27</v>
      </c>
      <c r="J3972">
        <v>244939</v>
      </c>
      <c r="K3972">
        <v>57</v>
      </c>
      <c r="L3972">
        <v>220196</v>
      </c>
      <c r="M3972">
        <v>51</v>
      </c>
      <c r="N3972">
        <v>530</v>
      </c>
      <c r="O3972">
        <v>1933</v>
      </c>
      <c r="P3972">
        <f t="shared" si="204"/>
        <v>2024</v>
      </c>
      <c r="Q3972">
        <f t="shared" si="205"/>
        <v>11</v>
      </c>
      <c r="R3972" t="str">
        <f t="shared" si="206"/>
        <v>手淘搜索-商品及其他</v>
      </c>
      <c r="S3972" t="s">
        <v>785</v>
      </c>
      <c r="T3972" t="s">
        <v>805</v>
      </c>
    </row>
    <row r="3973" spans="1:20" x14ac:dyDescent="0.3">
      <c r="A3973" t="s">
        <v>627</v>
      </c>
      <c r="B3973" s="16">
        <v>45606</v>
      </c>
      <c r="C3973" t="s">
        <v>3</v>
      </c>
      <c r="D3973" t="s">
        <v>128</v>
      </c>
      <c r="E3973" t="s">
        <v>178</v>
      </c>
      <c r="F3973">
        <v>41</v>
      </c>
      <c r="G3973">
        <v>23</v>
      </c>
      <c r="H3973">
        <v>1</v>
      </c>
      <c r="I3973">
        <v>0</v>
      </c>
      <c r="J3973">
        <v>2298</v>
      </c>
      <c r="K3973">
        <v>1</v>
      </c>
      <c r="L3973">
        <v>0</v>
      </c>
      <c r="M3973">
        <v>0</v>
      </c>
      <c r="N3973">
        <v>3</v>
      </c>
      <c r="O3973">
        <v>30</v>
      </c>
      <c r="P3973">
        <f t="shared" si="204"/>
        <v>2024</v>
      </c>
      <c r="Q3973">
        <f t="shared" si="205"/>
        <v>11</v>
      </c>
      <c r="R3973" t="str">
        <f t="shared" si="206"/>
        <v>手淘搜索-直播</v>
      </c>
      <c r="S3973" t="s">
        <v>785</v>
      </c>
      <c r="T3973" t="s">
        <v>805</v>
      </c>
    </row>
    <row r="3974" spans="1:20" x14ac:dyDescent="0.3">
      <c r="A3974" t="s">
        <v>627</v>
      </c>
      <c r="B3974" s="16">
        <v>45606</v>
      </c>
      <c r="C3974" t="s">
        <v>3</v>
      </c>
      <c r="D3974" t="s">
        <v>128</v>
      </c>
      <c r="E3974" t="s">
        <v>179</v>
      </c>
      <c r="F3974">
        <v>331</v>
      </c>
      <c r="G3974">
        <v>276</v>
      </c>
      <c r="H3974">
        <v>4</v>
      </c>
      <c r="I3974">
        <v>3</v>
      </c>
      <c r="J3974">
        <v>13325</v>
      </c>
      <c r="K3974">
        <v>3</v>
      </c>
      <c r="L3974">
        <v>8335</v>
      </c>
      <c r="M3974">
        <v>2</v>
      </c>
      <c r="N3974">
        <v>17</v>
      </c>
      <c r="O3974">
        <v>326</v>
      </c>
      <c r="P3974">
        <f t="shared" si="204"/>
        <v>2024</v>
      </c>
      <c r="Q3974">
        <f t="shared" si="205"/>
        <v>11</v>
      </c>
      <c r="R3974" t="str">
        <f t="shared" si="206"/>
        <v>手淘搜索-短视频</v>
      </c>
      <c r="S3974" t="s">
        <v>785</v>
      </c>
      <c r="T3974" t="s">
        <v>805</v>
      </c>
    </row>
    <row r="3975" spans="1:20" x14ac:dyDescent="0.3">
      <c r="A3975" t="s">
        <v>627</v>
      </c>
      <c r="B3975" s="16">
        <v>45606</v>
      </c>
      <c r="C3975" t="s">
        <v>3</v>
      </c>
      <c r="D3975" t="s">
        <v>143</v>
      </c>
      <c r="E3975" t="s">
        <v>180</v>
      </c>
      <c r="F3975">
        <v>6</v>
      </c>
      <c r="G3975">
        <v>6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6</v>
      </c>
      <c r="P3975">
        <f t="shared" si="204"/>
        <v>2024</v>
      </c>
      <c r="Q3975">
        <f t="shared" si="205"/>
        <v>11</v>
      </c>
      <c r="R3975" t="str">
        <f t="shared" si="206"/>
        <v>淘特其他渠道</v>
      </c>
      <c r="S3975" t="s">
        <v>785</v>
      </c>
      <c r="T3975" t="s">
        <v>805</v>
      </c>
    </row>
    <row r="3976" spans="1:20" x14ac:dyDescent="0.3">
      <c r="A3976" t="s">
        <v>627</v>
      </c>
      <c r="B3976" s="16">
        <v>45606</v>
      </c>
      <c r="C3976" t="s">
        <v>3</v>
      </c>
      <c r="D3976" t="s">
        <v>143</v>
      </c>
      <c r="E3976" t="s">
        <v>197</v>
      </c>
      <c r="F3976">
        <v>1</v>
      </c>
      <c r="G3976">
        <v>0</v>
      </c>
      <c r="H3976">
        <v>0</v>
      </c>
      <c r="I3976">
        <v>0</v>
      </c>
      <c r="J3976">
        <v>4940</v>
      </c>
      <c r="K3976">
        <v>1</v>
      </c>
      <c r="L3976">
        <v>4940</v>
      </c>
      <c r="M3976">
        <v>1</v>
      </c>
      <c r="N3976">
        <v>0</v>
      </c>
      <c r="O3976">
        <v>1</v>
      </c>
      <c r="P3976">
        <f t="shared" si="204"/>
        <v>2024</v>
      </c>
      <c r="Q3976">
        <f t="shared" si="205"/>
        <v>11</v>
      </c>
      <c r="R3976" t="str">
        <f t="shared" si="206"/>
        <v>淘特推荐</v>
      </c>
      <c r="S3976" t="s">
        <v>785</v>
      </c>
      <c r="T3976" t="s">
        <v>805</v>
      </c>
    </row>
    <row r="3977" spans="1:20" x14ac:dyDescent="0.3">
      <c r="A3977" t="s">
        <v>627</v>
      </c>
      <c r="B3977" s="16">
        <v>45606</v>
      </c>
      <c r="C3977" t="s">
        <v>3</v>
      </c>
      <c r="D3977" t="s">
        <v>143</v>
      </c>
      <c r="E3977" t="s">
        <v>181</v>
      </c>
      <c r="F3977">
        <v>20</v>
      </c>
      <c r="G3977">
        <v>20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20</v>
      </c>
      <c r="P3977">
        <f t="shared" si="204"/>
        <v>2024</v>
      </c>
      <c r="Q3977">
        <f t="shared" si="205"/>
        <v>11</v>
      </c>
      <c r="R3977" t="str">
        <f t="shared" si="206"/>
        <v>淘特搜索</v>
      </c>
      <c r="S3977" t="s">
        <v>785</v>
      </c>
      <c r="T3977" t="s">
        <v>805</v>
      </c>
    </row>
    <row r="3978" spans="1:20" x14ac:dyDescent="0.3">
      <c r="A3978" t="s">
        <v>627</v>
      </c>
      <c r="B3978" s="16">
        <v>45606</v>
      </c>
      <c r="C3978" t="s">
        <v>2</v>
      </c>
      <c r="D3978" t="s">
        <v>55</v>
      </c>
      <c r="E3978" t="s">
        <v>54</v>
      </c>
      <c r="F3978">
        <v>1237</v>
      </c>
      <c r="G3978">
        <v>869</v>
      </c>
      <c r="H3978">
        <v>18</v>
      </c>
      <c r="I3978">
        <v>2</v>
      </c>
      <c r="J3978">
        <v>0</v>
      </c>
      <c r="K3978">
        <v>0</v>
      </c>
      <c r="L3978">
        <v>0</v>
      </c>
      <c r="M3978">
        <v>0</v>
      </c>
      <c r="N3978">
        <v>31</v>
      </c>
      <c r="O3978">
        <v>181</v>
      </c>
      <c r="P3978">
        <f t="shared" si="204"/>
        <v>2024</v>
      </c>
      <c r="Q3978">
        <f t="shared" si="205"/>
        <v>11</v>
      </c>
      <c r="R3978" t="str">
        <f t="shared" si="206"/>
        <v>超级直播</v>
      </c>
      <c r="S3978" t="s">
        <v>785</v>
      </c>
      <c r="T3978" t="s">
        <v>805</v>
      </c>
    </row>
    <row r="3979" spans="1:20" x14ac:dyDescent="0.3">
      <c r="A3979" t="s">
        <v>627</v>
      </c>
      <c r="B3979" s="16">
        <v>45606</v>
      </c>
      <c r="C3979" t="s">
        <v>2</v>
      </c>
      <c r="D3979" t="s">
        <v>55</v>
      </c>
      <c r="E3979" t="s">
        <v>56</v>
      </c>
      <c r="F3979">
        <v>118</v>
      </c>
      <c r="G3979">
        <v>77</v>
      </c>
      <c r="H3979">
        <v>12</v>
      </c>
      <c r="I3979">
        <v>7</v>
      </c>
      <c r="J3979">
        <v>0</v>
      </c>
      <c r="K3979">
        <v>0</v>
      </c>
      <c r="L3979">
        <v>0</v>
      </c>
      <c r="M3979">
        <v>0</v>
      </c>
      <c r="N3979">
        <v>1</v>
      </c>
      <c r="O3979">
        <v>94</v>
      </c>
      <c r="P3979">
        <f t="shared" si="204"/>
        <v>2024</v>
      </c>
      <c r="Q3979">
        <f t="shared" si="205"/>
        <v>11</v>
      </c>
      <c r="R3979" t="str">
        <f t="shared" si="206"/>
        <v>超级短视频</v>
      </c>
      <c r="S3979" t="s">
        <v>785</v>
      </c>
      <c r="T3979" t="s">
        <v>805</v>
      </c>
    </row>
    <row r="3980" spans="1:20" x14ac:dyDescent="0.3">
      <c r="A3980" t="s">
        <v>627</v>
      </c>
      <c r="B3980" s="16">
        <v>45606</v>
      </c>
      <c r="C3980" t="s">
        <v>2</v>
      </c>
      <c r="D3980" t="s">
        <v>52</v>
      </c>
      <c r="E3980" t="s">
        <v>53</v>
      </c>
      <c r="F3980">
        <v>524</v>
      </c>
      <c r="G3980">
        <v>443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524</v>
      </c>
      <c r="O3980">
        <v>99</v>
      </c>
      <c r="P3980">
        <f t="shared" si="204"/>
        <v>2024</v>
      </c>
      <c r="Q3980">
        <f t="shared" si="205"/>
        <v>11</v>
      </c>
      <c r="R3980" t="str">
        <f t="shared" si="206"/>
        <v>Showmax</v>
      </c>
      <c r="S3980" t="s">
        <v>785</v>
      </c>
      <c r="T3980" t="s">
        <v>805</v>
      </c>
    </row>
    <row r="3981" spans="1:20" x14ac:dyDescent="0.3">
      <c r="A3981" t="s">
        <v>627</v>
      </c>
      <c r="B3981" s="16">
        <v>45606</v>
      </c>
      <c r="C3981" t="s">
        <v>2</v>
      </c>
      <c r="D3981" t="s">
        <v>52</v>
      </c>
      <c r="E3981" t="s">
        <v>59</v>
      </c>
      <c r="F3981">
        <v>580</v>
      </c>
      <c r="G3981">
        <v>492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580</v>
      </c>
      <c r="O3981">
        <v>167</v>
      </c>
      <c r="P3981">
        <f t="shared" si="204"/>
        <v>2024</v>
      </c>
      <c r="Q3981">
        <f t="shared" si="205"/>
        <v>11</v>
      </c>
      <c r="R3981" t="str">
        <f t="shared" si="206"/>
        <v>品牌特秀</v>
      </c>
      <c r="S3981" t="s">
        <v>785</v>
      </c>
      <c r="T3981" t="s">
        <v>805</v>
      </c>
    </row>
    <row r="3982" spans="1:20" x14ac:dyDescent="0.3">
      <c r="A3982" t="s">
        <v>627</v>
      </c>
      <c r="B3982" s="16">
        <v>45606</v>
      </c>
      <c r="C3982" t="s">
        <v>2</v>
      </c>
      <c r="D3982" t="s">
        <v>52</v>
      </c>
      <c r="E3982" t="s">
        <v>183</v>
      </c>
      <c r="F3982">
        <v>884</v>
      </c>
      <c r="G3982">
        <v>725</v>
      </c>
      <c r="H3982">
        <v>48</v>
      </c>
      <c r="I3982">
        <v>11</v>
      </c>
      <c r="J3982">
        <v>69336</v>
      </c>
      <c r="K3982">
        <v>21</v>
      </c>
      <c r="L3982">
        <v>61322</v>
      </c>
      <c r="M3982">
        <v>19</v>
      </c>
      <c r="N3982">
        <v>884</v>
      </c>
      <c r="O3982">
        <v>504</v>
      </c>
      <c r="P3982">
        <f t="shared" si="204"/>
        <v>2024</v>
      </c>
      <c r="Q3982">
        <f t="shared" si="205"/>
        <v>11</v>
      </c>
      <c r="R3982" t="str">
        <f t="shared" si="206"/>
        <v>品销宝-品牌专区</v>
      </c>
      <c r="S3982" t="s">
        <v>785</v>
      </c>
      <c r="T3982" t="s">
        <v>805</v>
      </c>
    </row>
    <row r="3983" spans="1:20" x14ac:dyDescent="0.3">
      <c r="A3983" t="s">
        <v>627</v>
      </c>
      <c r="B3983" s="16">
        <v>45606</v>
      </c>
      <c r="C3983" t="s">
        <v>2</v>
      </c>
      <c r="D3983" t="s">
        <v>52</v>
      </c>
      <c r="E3983" t="s">
        <v>58</v>
      </c>
      <c r="F3983">
        <v>1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1</v>
      </c>
      <c r="O3983">
        <v>0</v>
      </c>
      <c r="P3983">
        <f t="shared" si="204"/>
        <v>2024</v>
      </c>
      <c r="Q3983">
        <f t="shared" si="205"/>
        <v>11</v>
      </c>
      <c r="R3983" t="str">
        <f t="shared" si="206"/>
        <v>超级全域通</v>
      </c>
      <c r="S3983" t="s">
        <v>785</v>
      </c>
      <c r="T3983" t="s">
        <v>805</v>
      </c>
    </row>
    <row r="3984" spans="1:20" x14ac:dyDescent="0.3">
      <c r="A3984" t="s">
        <v>627</v>
      </c>
      <c r="B3984" s="16">
        <v>45606</v>
      </c>
      <c r="C3984" t="s">
        <v>2</v>
      </c>
      <c r="D3984" t="s">
        <v>57</v>
      </c>
      <c r="E3984" t="s">
        <v>65</v>
      </c>
      <c r="F3984">
        <v>5171</v>
      </c>
      <c r="G3984">
        <v>4430</v>
      </c>
      <c r="H3984">
        <v>353</v>
      </c>
      <c r="I3984">
        <v>27</v>
      </c>
      <c r="J3984">
        <v>412025</v>
      </c>
      <c r="K3984">
        <v>107</v>
      </c>
      <c r="L3984">
        <v>322272</v>
      </c>
      <c r="M3984">
        <v>95</v>
      </c>
      <c r="N3984">
        <v>480</v>
      </c>
      <c r="O3984">
        <v>5129</v>
      </c>
      <c r="P3984">
        <f t="shared" si="204"/>
        <v>2024</v>
      </c>
      <c r="Q3984">
        <f t="shared" si="205"/>
        <v>11</v>
      </c>
      <c r="R3984" t="str">
        <f t="shared" si="206"/>
        <v>直通车</v>
      </c>
      <c r="S3984" t="s">
        <v>785</v>
      </c>
      <c r="T3984" t="s">
        <v>805</v>
      </c>
    </row>
    <row r="3985" spans="1:20" x14ac:dyDescent="0.3">
      <c r="A3985" t="s">
        <v>627</v>
      </c>
      <c r="B3985" s="16">
        <v>45606</v>
      </c>
      <c r="C3985" t="s">
        <v>2</v>
      </c>
      <c r="D3985" t="s">
        <v>57</v>
      </c>
      <c r="E3985" t="s">
        <v>63</v>
      </c>
      <c r="F3985">
        <v>4505</v>
      </c>
      <c r="G3985">
        <v>2169</v>
      </c>
      <c r="H3985">
        <v>254</v>
      </c>
      <c r="I3985">
        <v>83</v>
      </c>
      <c r="J3985">
        <v>250177</v>
      </c>
      <c r="K3985">
        <v>66</v>
      </c>
      <c r="L3985">
        <v>231810</v>
      </c>
      <c r="M3985">
        <v>64</v>
      </c>
      <c r="N3985">
        <v>418</v>
      </c>
      <c r="O3985">
        <v>4495</v>
      </c>
      <c r="P3985">
        <f t="shared" si="204"/>
        <v>2024</v>
      </c>
      <c r="Q3985">
        <f t="shared" si="205"/>
        <v>11</v>
      </c>
      <c r="R3985" t="str">
        <f t="shared" si="206"/>
        <v>万相台</v>
      </c>
      <c r="S3985" t="s">
        <v>785</v>
      </c>
      <c r="T3985" t="s">
        <v>805</v>
      </c>
    </row>
    <row r="3986" spans="1:20" x14ac:dyDescent="0.3">
      <c r="A3986" t="s">
        <v>627</v>
      </c>
      <c r="B3986" s="16">
        <v>45606</v>
      </c>
      <c r="C3986" t="s">
        <v>2</v>
      </c>
      <c r="D3986" t="s">
        <v>57</v>
      </c>
      <c r="E3986" t="s">
        <v>64</v>
      </c>
      <c r="F3986">
        <v>7859</v>
      </c>
      <c r="G3986">
        <v>3825</v>
      </c>
      <c r="H3986">
        <v>180</v>
      </c>
      <c r="I3986">
        <v>100</v>
      </c>
      <c r="J3986">
        <v>108433</v>
      </c>
      <c r="K3986">
        <v>29</v>
      </c>
      <c r="L3986">
        <v>82210</v>
      </c>
      <c r="M3986">
        <v>23</v>
      </c>
      <c r="N3986">
        <v>669</v>
      </c>
      <c r="O3986">
        <v>7854</v>
      </c>
      <c r="P3986">
        <f t="shared" si="204"/>
        <v>2024</v>
      </c>
      <c r="Q3986">
        <f t="shared" si="205"/>
        <v>11</v>
      </c>
      <c r="R3986" t="str">
        <f t="shared" si="206"/>
        <v>引力魔方</v>
      </c>
      <c r="S3986" t="s">
        <v>785</v>
      </c>
      <c r="T3986" t="s">
        <v>805</v>
      </c>
    </row>
    <row r="3987" spans="1:20" x14ac:dyDescent="0.3">
      <c r="A3987" t="s">
        <v>627</v>
      </c>
      <c r="B3987" s="16">
        <v>45606</v>
      </c>
      <c r="C3987" t="s">
        <v>2</v>
      </c>
      <c r="D3987" t="s">
        <v>4</v>
      </c>
      <c r="E3987" t="s">
        <v>42</v>
      </c>
      <c r="F3987">
        <v>1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</v>
      </c>
      <c r="P3987">
        <f t="shared" si="204"/>
        <v>2024</v>
      </c>
      <c r="Q3987">
        <f t="shared" si="205"/>
        <v>11</v>
      </c>
      <c r="R3987" t="str">
        <f t="shared" si="206"/>
        <v>UD效果投放</v>
      </c>
      <c r="S3987" t="s">
        <v>785</v>
      </c>
      <c r="T3987" t="s">
        <v>805</v>
      </c>
    </row>
    <row r="3988" spans="1:20" x14ac:dyDescent="0.3">
      <c r="A3988" t="s">
        <v>627</v>
      </c>
      <c r="B3988" s="16">
        <v>45606</v>
      </c>
      <c r="C3988" t="s">
        <v>2</v>
      </c>
      <c r="D3988" t="s">
        <v>4</v>
      </c>
      <c r="E3988" t="s">
        <v>41</v>
      </c>
      <c r="F3988">
        <v>3</v>
      </c>
      <c r="G3988">
        <v>2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3</v>
      </c>
      <c r="P3988">
        <f t="shared" si="204"/>
        <v>2024</v>
      </c>
      <c r="Q3988">
        <f t="shared" si="205"/>
        <v>11</v>
      </c>
      <c r="R3988" t="str">
        <f t="shared" si="206"/>
        <v>流量宝</v>
      </c>
      <c r="S3988" t="s">
        <v>785</v>
      </c>
      <c r="T3988" t="s">
        <v>805</v>
      </c>
    </row>
    <row r="3989" spans="1:20" x14ac:dyDescent="0.3">
      <c r="A3989" t="s">
        <v>627</v>
      </c>
      <c r="B3989" s="16">
        <v>45606</v>
      </c>
      <c r="C3989" t="s">
        <v>2</v>
      </c>
      <c r="D3989" t="s">
        <v>4</v>
      </c>
      <c r="E3989" t="s">
        <v>43</v>
      </c>
      <c r="F3989">
        <v>385</v>
      </c>
      <c r="G3989">
        <v>150</v>
      </c>
      <c r="H3989">
        <v>14</v>
      </c>
      <c r="I3989">
        <v>1</v>
      </c>
      <c r="J3989">
        <v>27451</v>
      </c>
      <c r="K3989">
        <v>6</v>
      </c>
      <c r="L3989">
        <v>27451</v>
      </c>
      <c r="M3989">
        <v>6</v>
      </c>
      <c r="N3989">
        <v>36</v>
      </c>
      <c r="O3989">
        <v>372</v>
      </c>
      <c r="P3989">
        <f t="shared" si="204"/>
        <v>2024</v>
      </c>
      <c r="Q3989">
        <f t="shared" si="205"/>
        <v>11</v>
      </c>
      <c r="R3989" t="str">
        <f t="shared" si="206"/>
        <v>淘宝客</v>
      </c>
      <c r="S3989" t="s">
        <v>785</v>
      </c>
      <c r="T3989" t="s">
        <v>805</v>
      </c>
    </row>
    <row r="3990" spans="1:20" x14ac:dyDescent="0.3">
      <c r="A3990" t="s">
        <v>627</v>
      </c>
      <c r="B3990" s="16">
        <v>45605</v>
      </c>
      <c r="C3990" t="s">
        <v>3</v>
      </c>
      <c r="D3990" t="s">
        <v>114</v>
      </c>
      <c r="E3990" t="s">
        <v>159</v>
      </c>
      <c r="F3990">
        <v>197</v>
      </c>
      <c r="G3990">
        <v>121</v>
      </c>
      <c r="H3990">
        <v>3</v>
      </c>
      <c r="I3990">
        <v>1</v>
      </c>
      <c r="J3990">
        <v>3960</v>
      </c>
      <c r="K3990">
        <v>1</v>
      </c>
      <c r="L3990">
        <v>1980</v>
      </c>
      <c r="M3990">
        <v>1</v>
      </c>
      <c r="N3990">
        <v>16</v>
      </c>
      <c r="O3990">
        <v>194</v>
      </c>
      <c r="P3990">
        <f t="shared" si="204"/>
        <v>2024</v>
      </c>
      <c r="Q3990">
        <f t="shared" si="205"/>
        <v>11</v>
      </c>
      <c r="R3990" t="str">
        <f t="shared" si="206"/>
        <v>主会场</v>
      </c>
      <c r="S3990" t="s">
        <v>785</v>
      </c>
      <c r="T3990" t="s">
        <v>805</v>
      </c>
    </row>
    <row r="3991" spans="1:20" x14ac:dyDescent="0.3">
      <c r="A3991" t="s">
        <v>627</v>
      </c>
      <c r="B3991" s="16">
        <v>45605</v>
      </c>
      <c r="C3991" t="s">
        <v>3</v>
      </c>
      <c r="D3991" t="s">
        <v>114</v>
      </c>
      <c r="E3991" t="s">
        <v>160</v>
      </c>
      <c r="F3991">
        <v>7</v>
      </c>
      <c r="G3991">
        <v>6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3</v>
      </c>
      <c r="O3991">
        <v>7</v>
      </c>
      <c r="P3991">
        <f t="shared" si="204"/>
        <v>2024</v>
      </c>
      <c r="Q3991">
        <f t="shared" si="205"/>
        <v>11</v>
      </c>
      <c r="R3991" t="str">
        <f t="shared" si="206"/>
        <v>榜单会场</v>
      </c>
      <c r="S3991" t="s">
        <v>785</v>
      </c>
      <c r="T3991" t="s">
        <v>805</v>
      </c>
    </row>
    <row r="3992" spans="1:20" x14ac:dyDescent="0.3">
      <c r="A3992" t="s">
        <v>627</v>
      </c>
      <c r="B3992" s="16">
        <v>45605</v>
      </c>
      <c r="C3992" t="s">
        <v>3</v>
      </c>
      <c r="D3992" t="s">
        <v>117</v>
      </c>
      <c r="E3992" t="s">
        <v>161</v>
      </c>
      <c r="F3992">
        <v>14</v>
      </c>
      <c r="G3992">
        <v>12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2</v>
      </c>
      <c r="O3992">
        <v>14</v>
      </c>
      <c r="P3992">
        <f t="shared" si="204"/>
        <v>2024</v>
      </c>
      <c r="Q3992">
        <f t="shared" si="205"/>
        <v>11</v>
      </c>
      <c r="R3992" t="str">
        <f t="shared" si="206"/>
        <v>其他入口榜单</v>
      </c>
      <c r="S3992" t="s">
        <v>785</v>
      </c>
      <c r="T3992" t="s">
        <v>805</v>
      </c>
    </row>
    <row r="3993" spans="1:20" x14ac:dyDescent="0.3">
      <c r="A3993" t="s">
        <v>627</v>
      </c>
      <c r="B3993" s="16">
        <v>45605</v>
      </c>
      <c r="C3993" t="s">
        <v>3</v>
      </c>
      <c r="D3993" t="s">
        <v>117</v>
      </c>
      <c r="E3993" t="s">
        <v>191</v>
      </c>
      <c r="F3993">
        <v>1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1</v>
      </c>
      <c r="P3993">
        <f t="shared" si="204"/>
        <v>2024</v>
      </c>
      <c r="Q3993">
        <f t="shared" si="205"/>
        <v>11</v>
      </c>
      <c r="R3993" t="str">
        <f t="shared" si="206"/>
        <v>商品详情页入口榜单</v>
      </c>
      <c r="S3993" t="s">
        <v>785</v>
      </c>
      <c r="T3993" t="s">
        <v>805</v>
      </c>
    </row>
    <row r="3994" spans="1:20" x14ac:dyDescent="0.3">
      <c r="A3994" t="s">
        <v>627</v>
      </c>
      <c r="B3994" s="16">
        <v>45605</v>
      </c>
      <c r="C3994" t="s">
        <v>3</v>
      </c>
      <c r="D3994" t="s">
        <v>123</v>
      </c>
      <c r="E3994" t="s">
        <v>169</v>
      </c>
      <c r="F3994">
        <v>337</v>
      </c>
      <c r="G3994">
        <v>153</v>
      </c>
      <c r="H3994">
        <v>23</v>
      </c>
      <c r="I3994">
        <v>5</v>
      </c>
      <c r="J3994">
        <v>39070</v>
      </c>
      <c r="K3994">
        <v>7</v>
      </c>
      <c r="L3994">
        <v>15390</v>
      </c>
      <c r="M3994">
        <v>5</v>
      </c>
      <c r="N3994">
        <v>74</v>
      </c>
      <c r="O3994">
        <v>330</v>
      </c>
      <c r="P3994">
        <f t="shared" si="204"/>
        <v>2024</v>
      </c>
      <c r="Q3994">
        <f t="shared" si="205"/>
        <v>11</v>
      </c>
      <c r="R3994" t="str">
        <f t="shared" si="206"/>
        <v>商品详情页头图推荐</v>
      </c>
      <c r="S3994" t="s">
        <v>785</v>
      </c>
      <c r="T3994" t="s">
        <v>805</v>
      </c>
    </row>
    <row r="3995" spans="1:20" x14ac:dyDescent="0.3">
      <c r="A3995" t="s">
        <v>627</v>
      </c>
      <c r="B3995" s="16">
        <v>45605</v>
      </c>
      <c r="C3995" t="s">
        <v>3</v>
      </c>
      <c r="D3995" t="s">
        <v>123</v>
      </c>
      <c r="E3995" t="s">
        <v>170</v>
      </c>
      <c r="F3995">
        <v>74</v>
      </c>
      <c r="G3995">
        <v>40</v>
      </c>
      <c r="H3995">
        <v>5</v>
      </c>
      <c r="I3995">
        <v>1</v>
      </c>
      <c r="J3995">
        <v>0</v>
      </c>
      <c r="K3995">
        <v>0</v>
      </c>
      <c r="L3995">
        <v>0</v>
      </c>
      <c r="M3995">
        <v>0</v>
      </c>
      <c r="N3995">
        <v>65</v>
      </c>
      <c r="O3995">
        <v>34</v>
      </c>
      <c r="P3995">
        <f t="shared" si="204"/>
        <v>2024</v>
      </c>
      <c r="Q3995">
        <f t="shared" si="205"/>
        <v>11</v>
      </c>
      <c r="R3995" t="str">
        <f t="shared" si="206"/>
        <v>店铺超链</v>
      </c>
      <c r="S3995" t="s">
        <v>785</v>
      </c>
      <c r="T3995" t="s">
        <v>805</v>
      </c>
    </row>
    <row r="3996" spans="1:20" x14ac:dyDescent="0.3">
      <c r="A3996" t="s">
        <v>627</v>
      </c>
      <c r="B3996" s="16">
        <v>45605</v>
      </c>
      <c r="C3996" t="s">
        <v>2</v>
      </c>
      <c r="D3996" t="s">
        <v>52</v>
      </c>
      <c r="E3996" t="s">
        <v>59</v>
      </c>
      <c r="F3996">
        <v>1318</v>
      </c>
      <c r="G3996">
        <v>1020</v>
      </c>
      <c r="H3996">
        <v>12</v>
      </c>
      <c r="I3996">
        <v>4</v>
      </c>
      <c r="J3996">
        <v>23498</v>
      </c>
      <c r="K3996">
        <v>5</v>
      </c>
      <c r="L3996">
        <v>17518</v>
      </c>
      <c r="M3996">
        <v>5</v>
      </c>
      <c r="N3996">
        <v>1102</v>
      </c>
      <c r="O3996">
        <v>261</v>
      </c>
      <c r="P3996">
        <f t="shared" si="204"/>
        <v>2024</v>
      </c>
      <c r="Q3996">
        <f t="shared" si="205"/>
        <v>11</v>
      </c>
      <c r="R3996" t="s">
        <v>171</v>
      </c>
      <c r="S3996" t="s">
        <v>785</v>
      </c>
      <c r="T3996" t="s">
        <v>805</v>
      </c>
    </row>
    <row r="3997" spans="1:20" x14ac:dyDescent="0.3">
      <c r="A3997" t="s">
        <v>627</v>
      </c>
      <c r="B3997" s="16">
        <v>45605</v>
      </c>
      <c r="C3997" t="s">
        <v>3</v>
      </c>
      <c r="D3997" t="s">
        <v>127</v>
      </c>
      <c r="E3997" t="s">
        <v>172</v>
      </c>
      <c r="F3997">
        <v>39</v>
      </c>
      <c r="G3997">
        <v>19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9</v>
      </c>
      <c r="O3997">
        <v>26</v>
      </c>
      <c r="P3997">
        <f t="shared" si="204"/>
        <v>2024</v>
      </c>
      <c r="Q3997">
        <f t="shared" si="205"/>
        <v>11</v>
      </c>
      <c r="R3997" t="str">
        <f t="shared" si="206"/>
        <v>购中推荐</v>
      </c>
      <c r="S3997" t="s">
        <v>785</v>
      </c>
      <c r="T3997" t="s">
        <v>805</v>
      </c>
    </row>
    <row r="3998" spans="1:20" x14ac:dyDescent="0.3">
      <c r="A3998" t="s">
        <v>627</v>
      </c>
      <c r="B3998" s="16">
        <v>45605</v>
      </c>
      <c r="C3998" t="s">
        <v>3</v>
      </c>
      <c r="D3998" t="s">
        <v>127</v>
      </c>
      <c r="E3998" t="s">
        <v>173</v>
      </c>
      <c r="F3998">
        <v>149</v>
      </c>
      <c r="G3998">
        <v>97</v>
      </c>
      <c r="H3998">
        <v>0</v>
      </c>
      <c r="I3998">
        <v>1</v>
      </c>
      <c r="J3998">
        <v>0</v>
      </c>
      <c r="K3998">
        <v>0</v>
      </c>
      <c r="L3998">
        <v>0</v>
      </c>
      <c r="M3998">
        <v>0</v>
      </c>
      <c r="N3998">
        <v>41</v>
      </c>
      <c r="O3998">
        <v>79</v>
      </c>
      <c r="P3998">
        <f t="shared" si="204"/>
        <v>2024</v>
      </c>
      <c r="Q3998">
        <f t="shared" si="205"/>
        <v>11</v>
      </c>
      <c r="R3998" t="str">
        <f t="shared" si="206"/>
        <v>购后推荐</v>
      </c>
      <c r="S3998" t="s">
        <v>785</v>
      </c>
      <c r="T3998" t="s">
        <v>805</v>
      </c>
    </row>
    <row r="3999" spans="1:20" x14ac:dyDescent="0.3">
      <c r="A3999" t="s">
        <v>627</v>
      </c>
      <c r="B3999" s="16">
        <v>45605</v>
      </c>
      <c r="C3999" t="s">
        <v>3</v>
      </c>
      <c r="D3999" t="s">
        <v>127</v>
      </c>
      <c r="E3999" t="s">
        <v>174</v>
      </c>
      <c r="F3999">
        <v>4592</v>
      </c>
      <c r="G3999">
        <v>2299</v>
      </c>
      <c r="H3999">
        <v>92</v>
      </c>
      <c r="I3999">
        <v>36</v>
      </c>
      <c r="J3999">
        <v>115387</v>
      </c>
      <c r="K3999">
        <v>16</v>
      </c>
      <c r="L3999">
        <v>29795</v>
      </c>
      <c r="M3999">
        <v>9</v>
      </c>
      <c r="N3999">
        <v>314</v>
      </c>
      <c r="O3999">
        <v>4592</v>
      </c>
      <c r="P3999">
        <f t="shared" si="204"/>
        <v>2024</v>
      </c>
      <c r="Q3999">
        <f t="shared" si="205"/>
        <v>11</v>
      </c>
      <c r="R3999" t="str">
        <f t="shared" si="206"/>
        <v>首页推荐-微详情</v>
      </c>
      <c r="S3999" t="s">
        <v>785</v>
      </c>
      <c r="T3999" t="s">
        <v>805</v>
      </c>
    </row>
    <row r="4000" spans="1:20" x14ac:dyDescent="0.3">
      <c r="A4000" t="s">
        <v>627</v>
      </c>
      <c r="B4000" s="16">
        <v>45605</v>
      </c>
      <c r="C4000" t="s">
        <v>3</v>
      </c>
      <c r="D4000" t="s">
        <v>127</v>
      </c>
      <c r="E4000" t="s">
        <v>175</v>
      </c>
      <c r="F4000">
        <v>1274</v>
      </c>
      <c r="G4000">
        <v>1017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4</v>
      </c>
      <c r="O4000">
        <v>24</v>
      </c>
      <c r="P4000">
        <f t="shared" si="204"/>
        <v>2024</v>
      </c>
      <c r="Q4000">
        <f t="shared" si="205"/>
        <v>11</v>
      </c>
      <c r="R4000" t="str">
        <f t="shared" si="206"/>
        <v>首页推荐-直播</v>
      </c>
      <c r="S4000" t="s">
        <v>785</v>
      </c>
      <c r="T4000" t="s">
        <v>805</v>
      </c>
    </row>
    <row r="4001" spans="1:20" x14ac:dyDescent="0.3">
      <c r="A4001" t="s">
        <v>627</v>
      </c>
      <c r="B4001" s="16">
        <v>45605</v>
      </c>
      <c r="C4001" t="s">
        <v>3</v>
      </c>
      <c r="D4001" t="s">
        <v>127</v>
      </c>
      <c r="E4001" t="s">
        <v>176</v>
      </c>
      <c r="F4001">
        <v>796</v>
      </c>
      <c r="G4001">
        <v>362</v>
      </c>
      <c r="H4001">
        <v>12</v>
      </c>
      <c r="I4001">
        <v>4</v>
      </c>
      <c r="J4001">
        <v>12950</v>
      </c>
      <c r="K4001">
        <v>3</v>
      </c>
      <c r="L4001">
        <v>6970</v>
      </c>
      <c r="M4001">
        <v>3</v>
      </c>
      <c r="N4001">
        <v>37</v>
      </c>
      <c r="O4001">
        <v>188</v>
      </c>
      <c r="P4001">
        <f t="shared" si="204"/>
        <v>2024</v>
      </c>
      <c r="Q4001">
        <f t="shared" si="205"/>
        <v>11</v>
      </c>
      <c r="R4001" t="str">
        <f t="shared" si="206"/>
        <v>首页推荐-短视频</v>
      </c>
      <c r="S4001" t="s">
        <v>785</v>
      </c>
      <c r="T4001" t="s">
        <v>805</v>
      </c>
    </row>
    <row r="4002" spans="1:20" x14ac:dyDescent="0.3">
      <c r="A4002" t="s">
        <v>627</v>
      </c>
      <c r="B4002" s="16">
        <v>45605</v>
      </c>
      <c r="C4002" t="s">
        <v>3</v>
      </c>
      <c r="D4002" t="s">
        <v>128</v>
      </c>
      <c r="E4002" t="s">
        <v>177</v>
      </c>
      <c r="F4002">
        <v>1399</v>
      </c>
      <c r="G4002">
        <v>1026</v>
      </c>
      <c r="H4002">
        <v>75</v>
      </c>
      <c r="I4002">
        <v>14</v>
      </c>
      <c r="J4002">
        <v>36980</v>
      </c>
      <c r="K4002">
        <v>7</v>
      </c>
      <c r="L4002">
        <v>29063</v>
      </c>
      <c r="M4002">
        <v>7</v>
      </c>
      <c r="N4002">
        <v>384</v>
      </c>
      <c r="O4002">
        <v>1265</v>
      </c>
      <c r="P4002">
        <f t="shared" si="204"/>
        <v>2024</v>
      </c>
      <c r="Q4002">
        <f t="shared" si="205"/>
        <v>11</v>
      </c>
      <c r="R4002" t="str">
        <f t="shared" si="206"/>
        <v>手淘搜索-商品及其他</v>
      </c>
      <c r="S4002" t="s">
        <v>785</v>
      </c>
      <c r="T4002" t="s">
        <v>805</v>
      </c>
    </row>
    <row r="4003" spans="1:20" x14ac:dyDescent="0.3">
      <c r="A4003" t="s">
        <v>627</v>
      </c>
      <c r="B4003" s="16">
        <v>45605</v>
      </c>
      <c r="C4003" t="s">
        <v>3</v>
      </c>
      <c r="D4003" t="s">
        <v>128</v>
      </c>
      <c r="E4003" t="s">
        <v>178</v>
      </c>
      <c r="F4003">
        <v>53</v>
      </c>
      <c r="G4003">
        <v>29</v>
      </c>
      <c r="H4003">
        <v>3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8</v>
      </c>
      <c r="O4003">
        <v>39</v>
      </c>
      <c r="P4003">
        <f t="shared" si="204"/>
        <v>2024</v>
      </c>
      <c r="Q4003">
        <f t="shared" si="205"/>
        <v>11</v>
      </c>
      <c r="R4003" t="str">
        <f t="shared" si="206"/>
        <v>手淘搜索-直播</v>
      </c>
      <c r="S4003" t="s">
        <v>785</v>
      </c>
      <c r="T4003" t="s">
        <v>805</v>
      </c>
    </row>
    <row r="4004" spans="1:20" x14ac:dyDescent="0.3">
      <c r="A4004" t="s">
        <v>627</v>
      </c>
      <c r="B4004" s="16">
        <v>45605</v>
      </c>
      <c r="C4004" t="s">
        <v>3</v>
      </c>
      <c r="D4004" t="s">
        <v>128</v>
      </c>
      <c r="E4004" t="s">
        <v>179</v>
      </c>
      <c r="F4004">
        <v>240</v>
      </c>
      <c r="G4004">
        <v>196</v>
      </c>
      <c r="H4004">
        <v>6</v>
      </c>
      <c r="I4004">
        <v>2</v>
      </c>
      <c r="J4004">
        <v>1680</v>
      </c>
      <c r="K4004">
        <v>1</v>
      </c>
      <c r="L4004">
        <v>1680</v>
      </c>
      <c r="M4004">
        <v>1</v>
      </c>
      <c r="N4004">
        <v>11</v>
      </c>
      <c r="O4004">
        <v>237</v>
      </c>
      <c r="P4004">
        <f t="shared" si="204"/>
        <v>2024</v>
      </c>
      <c r="Q4004">
        <f t="shared" si="205"/>
        <v>11</v>
      </c>
      <c r="R4004" t="str">
        <f t="shared" si="206"/>
        <v>手淘搜索-短视频</v>
      </c>
      <c r="S4004" t="s">
        <v>785</v>
      </c>
      <c r="T4004" t="s">
        <v>805</v>
      </c>
    </row>
    <row r="4005" spans="1:20" x14ac:dyDescent="0.3">
      <c r="A4005" t="s">
        <v>627</v>
      </c>
      <c r="B4005" s="16">
        <v>45605</v>
      </c>
      <c r="C4005" t="s">
        <v>3</v>
      </c>
      <c r="D4005" t="s">
        <v>143</v>
      </c>
      <c r="E4005" t="s">
        <v>180</v>
      </c>
      <c r="F4005">
        <v>7</v>
      </c>
      <c r="G4005">
        <v>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7</v>
      </c>
      <c r="P4005">
        <f t="shared" si="204"/>
        <v>2024</v>
      </c>
      <c r="Q4005">
        <f t="shared" si="205"/>
        <v>11</v>
      </c>
      <c r="R4005" t="str">
        <f t="shared" si="206"/>
        <v>淘特其他渠道</v>
      </c>
      <c r="S4005" t="s">
        <v>785</v>
      </c>
      <c r="T4005" t="s">
        <v>805</v>
      </c>
    </row>
    <row r="4006" spans="1:20" x14ac:dyDescent="0.3">
      <c r="A4006" t="s">
        <v>627</v>
      </c>
      <c r="B4006" s="16">
        <v>45605</v>
      </c>
      <c r="C4006" t="s">
        <v>3</v>
      </c>
      <c r="D4006" t="s">
        <v>143</v>
      </c>
      <c r="E4006" t="s">
        <v>181</v>
      </c>
      <c r="F4006">
        <v>23</v>
      </c>
      <c r="G4006">
        <v>21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23</v>
      </c>
      <c r="P4006">
        <f t="shared" si="204"/>
        <v>2024</v>
      </c>
      <c r="Q4006">
        <f t="shared" si="205"/>
        <v>11</v>
      </c>
      <c r="R4006" t="str">
        <f t="shared" si="206"/>
        <v>淘特搜索</v>
      </c>
      <c r="S4006" t="s">
        <v>785</v>
      </c>
      <c r="T4006" t="s">
        <v>805</v>
      </c>
    </row>
    <row r="4007" spans="1:20" x14ac:dyDescent="0.3">
      <c r="A4007" t="s">
        <v>627</v>
      </c>
      <c r="B4007" s="16">
        <v>45605</v>
      </c>
      <c r="C4007" t="s">
        <v>2</v>
      </c>
      <c r="D4007" t="s">
        <v>55</v>
      </c>
      <c r="E4007" t="s">
        <v>54</v>
      </c>
      <c r="F4007">
        <v>1755</v>
      </c>
      <c r="G4007">
        <v>1294</v>
      </c>
      <c r="H4007">
        <v>19</v>
      </c>
      <c r="I4007">
        <v>8</v>
      </c>
      <c r="J4007">
        <v>0</v>
      </c>
      <c r="K4007">
        <v>0</v>
      </c>
      <c r="L4007">
        <v>0</v>
      </c>
      <c r="M4007">
        <v>0</v>
      </c>
      <c r="N4007">
        <v>54</v>
      </c>
      <c r="O4007">
        <v>471</v>
      </c>
      <c r="P4007">
        <f t="shared" si="204"/>
        <v>2024</v>
      </c>
      <c r="Q4007">
        <f t="shared" si="205"/>
        <v>11</v>
      </c>
      <c r="R4007" t="str">
        <f t="shared" si="206"/>
        <v>超级直播</v>
      </c>
      <c r="S4007" t="s">
        <v>785</v>
      </c>
      <c r="T4007" t="s">
        <v>805</v>
      </c>
    </row>
    <row r="4008" spans="1:20" x14ac:dyDescent="0.3">
      <c r="A4008" t="s">
        <v>627</v>
      </c>
      <c r="B4008" s="16">
        <v>45605</v>
      </c>
      <c r="C4008" t="s">
        <v>2</v>
      </c>
      <c r="D4008" t="s">
        <v>55</v>
      </c>
      <c r="E4008" t="s">
        <v>56</v>
      </c>
      <c r="F4008">
        <v>166</v>
      </c>
      <c r="G4008">
        <v>117</v>
      </c>
      <c r="H4008">
        <v>8</v>
      </c>
      <c r="I4008">
        <v>3</v>
      </c>
      <c r="J4008">
        <v>0</v>
      </c>
      <c r="K4008">
        <v>0</v>
      </c>
      <c r="L4008">
        <v>0</v>
      </c>
      <c r="M4008">
        <v>0</v>
      </c>
      <c r="N4008">
        <v>5</v>
      </c>
      <c r="O4008">
        <v>125</v>
      </c>
      <c r="P4008">
        <f t="shared" si="204"/>
        <v>2024</v>
      </c>
      <c r="Q4008">
        <f t="shared" si="205"/>
        <v>11</v>
      </c>
      <c r="R4008" t="str">
        <f t="shared" si="206"/>
        <v>超级短视频</v>
      </c>
      <c r="S4008" t="s">
        <v>785</v>
      </c>
      <c r="T4008" t="s">
        <v>805</v>
      </c>
    </row>
    <row r="4009" spans="1:20" x14ac:dyDescent="0.3">
      <c r="A4009" t="s">
        <v>627</v>
      </c>
      <c r="B4009" s="16">
        <v>45605</v>
      </c>
      <c r="C4009" t="s">
        <v>2</v>
      </c>
      <c r="D4009" t="s">
        <v>52</v>
      </c>
      <c r="E4009" t="s">
        <v>53</v>
      </c>
      <c r="F4009">
        <v>454</v>
      </c>
      <c r="G4009">
        <v>387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454</v>
      </c>
      <c r="O4009">
        <v>73</v>
      </c>
      <c r="P4009">
        <f t="shared" ref="P4009:P4072" si="207">YEAR(B4009)</f>
        <v>2024</v>
      </c>
      <c r="Q4009">
        <f t="shared" ref="Q4009:Q4072" si="208">MONTH(B4009)</f>
        <v>11</v>
      </c>
      <c r="R4009" t="str">
        <f t="shared" ref="R4009:R4072" si="209">E4009</f>
        <v>Showmax</v>
      </c>
      <c r="S4009" t="s">
        <v>785</v>
      </c>
      <c r="T4009" t="s">
        <v>805</v>
      </c>
    </row>
    <row r="4010" spans="1:20" x14ac:dyDescent="0.3">
      <c r="A4010" t="s">
        <v>627</v>
      </c>
      <c r="B4010" s="16">
        <v>45605</v>
      </c>
      <c r="C4010" t="s">
        <v>2</v>
      </c>
      <c r="D4010" t="s">
        <v>52</v>
      </c>
      <c r="E4010" t="s">
        <v>59</v>
      </c>
      <c r="F4010">
        <v>429</v>
      </c>
      <c r="G4010">
        <v>368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429</v>
      </c>
      <c r="O4010">
        <v>114</v>
      </c>
      <c r="P4010">
        <f t="shared" si="207"/>
        <v>2024</v>
      </c>
      <c r="Q4010">
        <f t="shared" si="208"/>
        <v>11</v>
      </c>
      <c r="R4010" t="str">
        <f t="shared" si="209"/>
        <v>品牌特秀</v>
      </c>
      <c r="S4010" t="s">
        <v>785</v>
      </c>
      <c r="T4010" t="s">
        <v>805</v>
      </c>
    </row>
    <row r="4011" spans="1:20" x14ac:dyDescent="0.3">
      <c r="A4011" t="s">
        <v>627</v>
      </c>
      <c r="B4011" s="16">
        <v>45605</v>
      </c>
      <c r="C4011" t="s">
        <v>2</v>
      </c>
      <c r="D4011" t="s">
        <v>52</v>
      </c>
      <c r="E4011" t="s">
        <v>183</v>
      </c>
      <c r="F4011">
        <v>636</v>
      </c>
      <c r="G4011">
        <v>531</v>
      </c>
      <c r="H4011">
        <v>24</v>
      </c>
      <c r="I4011">
        <v>7</v>
      </c>
      <c r="J4011">
        <v>40520</v>
      </c>
      <c r="K4011">
        <v>3</v>
      </c>
      <c r="L4011">
        <v>25525</v>
      </c>
      <c r="M4011">
        <v>2</v>
      </c>
      <c r="N4011">
        <v>636</v>
      </c>
      <c r="O4011">
        <v>377</v>
      </c>
      <c r="P4011">
        <f t="shared" si="207"/>
        <v>2024</v>
      </c>
      <c r="Q4011">
        <f t="shared" si="208"/>
        <v>11</v>
      </c>
      <c r="R4011" t="str">
        <f t="shared" si="209"/>
        <v>品销宝-品牌专区</v>
      </c>
      <c r="S4011" t="s">
        <v>785</v>
      </c>
      <c r="T4011" t="s">
        <v>805</v>
      </c>
    </row>
    <row r="4012" spans="1:20" x14ac:dyDescent="0.3">
      <c r="A4012" t="s">
        <v>627</v>
      </c>
      <c r="B4012" s="16">
        <v>45605</v>
      </c>
      <c r="C4012" t="s">
        <v>2</v>
      </c>
      <c r="D4012" t="s">
        <v>57</v>
      </c>
      <c r="E4012" t="s">
        <v>65</v>
      </c>
      <c r="F4012">
        <v>4799</v>
      </c>
      <c r="G4012">
        <v>4009</v>
      </c>
      <c r="H4012">
        <v>87</v>
      </c>
      <c r="I4012">
        <v>38</v>
      </c>
      <c r="J4012">
        <v>36568</v>
      </c>
      <c r="K4012">
        <v>12</v>
      </c>
      <c r="L4012">
        <v>16921</v>
      </c>
      <c r="M4012">
        <v>7</v>
      </c>
      <c r="N4012">
        <v>397</v>
      </c>
      <c r="O4012">
        <v>4750</v>
      </c>
      <c r="P4012">
        <f t="shared" si="207"/>
        <v>2024</v>
      </c>
      <c r="Q4012">
        <f t="shared" si="208"/>
        <v>11</v>
      </c>
      <c r="R4012" t="str">
        <f t="shared" si="209"/>
        <v>直通车</v>
      </c>
      <c r="S4012" t="s">
        <v>785</v>
      </c>
      <c r="T4012" t="s">
        <v>805</v>
      </c>
    </row>
    <row r="4013" spans="1:20" x14ac:dyDescent="0.3">
      <c r="A4013" t="s">
        <v>627</v>
      </c>
      <c r="B4013" s="16">
        <v>45605</v>
      </c>
      <c r="C4013" t="s">
        <v>2</v>
      </c>
      <c r="D4013" t="s">
        <v>57</v>
      </c>
      <c r="E4013" t="s">
        <v>63</v>
      </c>
      <c r="F4013">
        <v>3640</v>
      </c>
      <c r="G4013">
        <v>1612</v>
      </c>
      <c r="H4013">
        <v>166</v>
      </c>
      <c r="I4013">
        <v>97</v>
      </c>
      <c r="J4013">
        <v>107397</v>
      </c>
      <c r="K4013">
        <v>24</v>
      </c>
      <c r="L4013">
        <v>67262</v>
      </c>
      <c r="M4013">
        <v>18</v>
      </c>
      <c r="N4013">
        <v>313</v>
      </c>
      <c r="O4013">
        <v>3634</v>
      </c>
      <c r="P4013">
        <f t="shared" si="207"/>
        <v>2024</v>
      </c>
      <c r="Q4013">
        <f t="shared" si="208"/>
        <v>11</v>
      </c>
      <c r="R4013" t="str">
        <f t="shared" si="209"/>
        <v>万相台</v>
      </c>
      <c r="S4013" t="s">
        <v>785</v>
      </c>
      <c r="T4013" t="s">
        <v>805</v>
      </c>
    </row>
    <row r="4014" spans="1:20" x14ac:dyDescent="0.3">
      <c r="A4014" t="s">
        <v>627</v>
      </c>
      <c r="B4014" s="16">
        <v>45605</v>
      </c>
      <c r="C4014" t="s">
        <v>2</v>
      </c>
      <c r="D4014" t="s">
        <v>57</v>
      </c>
      <c r="E4014" t="s">
        <v>64</v>
      </c>
      <c r="F4014">
        <v>6453</v>
      </c>
      <c r="G4014">
        <v>2811</v>
      </c>
      <c r="H4014">
        <v>139</v>
      </c>
      <c r="I4014">
        <v>72</v>
      </c>
      <c r="J4014">
        <v>39163</v>
      </c>
      <c r="K4014">
        <v>10</v>
      </c>
      <c r="L4014">
        <v>24918</v>
      </c>
      <c r="M4014">
        <v>8</v>
      </c>
      <c r="N4014">
        <v>498</v>
      </c>
      <c r="O4014">
        <v>6449</v>
      </c>
      <c r="P4014">
        <f t="shared" si="207"/>
        <v>2024</v>
      </c>
      <c r="Q4014">
        <f t="shared" si="208"/>
        <v>11</v>
      </c>
      <c r="R4014" t="str">
        <f t="shared" si="209"/>
        <v>引力魔方</v>
      </c>
      <c r="S4014" t="s">
        <v>785</v>
      </c>
      <c r="T4014" t="s">
        <v>805</v>
      </c>
    </row>
    <row r="4015" spans="1:20" x14ac:dyDescent="0.3">
      <c r="A4015" t="s">
        <v>627</v>
      </c>
      <c r="B4015" s="16">
        <v>45605</v>
      </c>
      <c r="C4015" t="s">
        <v>2</v>
      </c>
      <c r="D4015" t="s">
        <v>4</v>
      </c>
      <c r="E4015" t="s">
        <v>41</v>
      </c>
      <c r="F4015">
        <v>3</v>
      </c>
      <c r="G4015">
        <v>2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2</v>
      </c>
      <c r="O4015">
        <v>2</v>
      </c>
      <c r="P4015">
        <f t="shared" si="207"/>
        <v>2024</v>
      </c>
      <c r="Q4015">
        <f t="shared" si="208"/>
        <v>11</v>
      </c>
      <c r="R4015" t="str">
        <f t="shared" si="209"/>
        <v>流量宝</v>
      </c>
      <c r="S4015" t="s">
        <v>785</v>
      </c>
      <c r="T4015" t="s">
        <v>805</v>
      </c>
    </row>
    <row r="4016" spans="1:20" x14ac:dyDescent="0.3">
      <c r="A4016" t="s">
        <v>627</v>
      </c>
      <c r="B4016" s="16">
        <v>45605</v>
      </c>
      <c r="C4016" t="s">
        <v>2</v>
      </c>
      <c r="D4016" t="s">
        <v>4</v>
      </c>
      <c r="E4016" t="s">
        <v>43</v>
      </c>
      <c r="F4016">
        <v>357</v>
      </c>
      <c r="G4016">
        <v>152</v>
      </c>
      <c r="H4016">
        <v>11</v>
      </c>
      <c r="I4016">
        <v>1</v>
      </c>
      <c r="J4016">
        <v>8775</v>
      </c>
      <c r="K4016">
        <v>3</v>
      </c>
      <c r="L4016">
        <v>8775</v>
      </c>
      <c r="M4016">
        <v>3</v>
      </c>
      <c r="N4016">
        <v>34</v>
      </c>
      <c r="O4016">
        <v>345</v>
      </c>
      <c r="P4016">
        <f t="shared" si="207"/>
        <v>2024</v>
      </c>
      <c r="Q4016">
        <f t="shared" si="208"/>
        <v>11</v>
      </c>
      <c r="R4016" t="str">
        <f t="shared" si="209"/>
        <v>淘宝客</v>
      </c>
      <c r="S4016" t="s">
        <v>785</v>
      </c>
      <c r="T4016" t="s">
        <v>805</v>
      </c>
    </row>
    <row r="4017" spans="1:20" x14ac:dyDescent="0.3">
      <c r="A4017" t="s">
        <v>627</v>
      </c>
      <c r="B4017" s="16">
        <v>45604</v>
      </c>
      <c r="C4017" t="s">
        <v>3</v>
      </c>
      <c r="D4017" t="s">
        <v>114</v>
      </c>
      <c r="E4017" t="s">
        <v>159</v>
      </c>
      <c r="F4017">
        <v>178</v>
      </c>
      <c r="G4017">
        <v>79</v>
      </c>
      <c r="H4017">
        <v>3</v>
      </c>
      <c r="I4017">
        <v>2</v>
      </c>
      <c r="J4017">
        <v>2610</v>
      </c>
      <c r="K4017">
        <v>1</v>
      </c>
      <c r="L4017">
        <v>2610</v>
      </c>
      <c r="M4017">
        <v>1</v>
      </c>
      <c r="N4017">
        <v>12</v>
      </c>
      <c r="O4017">
        <v>171</v>
      </c>
      <c r="P4017">
        <f t="shared" si="207"/>
        <v>2024</v>
      </c>
      <c r="Q4017">
        <f t="shared" si="208"/>
        <v>11</v>
      </c>
      <c r="R4017" t="str">
        <f t="shared" si="209"/>
        <v>主会场</v>
      </c>
      <c r="S4017" t="s">
        <v>785</v>
      </c>
      <c r="T4017" t="s">
        <v>805</v>
      </c>
    </row>
    <row r="4018" spans="1:20" x14ac:dyDescent="0.3">
      <c r="A4018" t="s">
        <v>627</v>
      </c>
      <c r="B4018" s="16">
        <v>45604</v>
      </c>
      <c r="C4018" t="s">
        <v>3</v>
      </c>
      <c r="D4018" t="s">
        <v>114</v>
      </c>
      <c r="E4018" t="s">
        <v>160</v>
      </c>
      <c r="F4018">
        <v>7</v>
      </c>
      <c r="G4018">
        <v>6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7</v>
      </c>
      <c r="P4018">
        <f t="shared" si="207"/>
        <v>2024</v>
      </c>
      <c r="Q4018">
        <f t="shared" si="208"/>
        <v>11</v>
      </c>
      <c r="R4018" t="str">
        <f t="shared" si="209"/>
        <v>榜单会场</v>
      </c>
      <c r="S4018" t="s">
        <v>785</v>
      </c>
      <c r="T4018" t="s">
        <v>805</v>
      </c>
    </row>
    <row r="4019" spans="1:20" x14ac:dyDescent="0.3">
      <c r="A4019" t="s">
        <v>627</v>
      </c>
      <c r="B4019" s="16">
        <v>45604</v>
      </c>
      <c r="C4019" t="s">
        <v>3</v>
      </c>
      <c r="D4019" t="s">
        <v>117</v>
      </c>
      <c r="E4019" t="s">
        <v>161</v>
      </c>
      <c r="F4019">
        <v>14</v>
      </c>
      <c r="G4019">
        <v>12</v>
      </c>
      <c r="H4019">
        <v>0</v>
      </c>
      <c r="I4019">
        <v>1</v>
      </c>
      <c r="J4019">
        <v>0</v>
      </c>
      <c r="K4019">
        <v>0</v>
      </c>
      <c r="L4019">
        <v>0</v>
      </c>
      <c r="M4019">
        <v>0</v>
      </c>
      <c r="N4019">
        <v>1</v>
      </c>
      <c r="O4019">
        <v>14</v>
      </c>
      <c r="P4019">
        <f t="shared" si="207"/>
        <v>2024</v>
      </c>
      <c r="Q4019">
        <f t="shared" si="208"/>
        <v>11</v>
      </c>
      <c r="R4019" t="str">
        <f t="shared" si="209"/>
        <v>其他入口榜单</v>
      </c>
      <c r="S4019" t="s">
        <v>785</v>
      </c>
      <c r="T4019" t="s">
        <v>805</v>
      </c>
    </row>
    <row r="4020" spans="1:20" x14ac:dyDescent="0.3">
      <c r="A4020" t="s">
        <v>627</v>
      </c>
      <c r="B4020" s="16">
        <v>45604</v>
      </c>
      <c r="C4020" t="s">
        <v>3</v>
      </c>
      <c r="D4020" t="s">
        <v>123</v>
      </c>
      <c r="E4020" t="s">
        <v>169</v>
      </c>
      <c r="F4020">
        <v>290</v>
      </c>
      <c r="G4020">
        <v>121</v>
      </c>
      <c r="H4020">
        <v>29</v>
      </c>
      <c r="I4020">
        <v>9</v>
      </c>
      <c r="J4020">
        <v>18300</v>
      </c>
      <c r="K4020">
        <v>4</v>
      </c>
      <c r="L4020">
        <v>10033</v>
      </c>
      <c r="M4020">
        <v>3</v>
      </c>
      <c r="N4020">
        <v>66</v>
      </c>
      <c r="O4020">
        <v>285</v>
      </c>
      <c r="P4020">
        <f t="shared" si="207"/>
        <v>2024</v>
      </c>
      <c r="Q4020">
        <f t="shared" si="208"/>
        <v>11</v>
      </c>
      <c r="R4020" t="str">
        <f t="shared" si="209"/>
        <v>商品详情页头图推荐</v>
      </c>
      <c r="S4020" t="s">
        <v>785</v>
      </c>
      <c r="T4020" t="s">
        <v>805</v>
      </c>
    </row>
    <row r="4021" spans="1:20" x14ac:dyDescent="0.3">
      <c r="A4021" t="s">
        <v>627</v>
      </c>
      <c r="B4021" s="16">
        <v>45604</v>
      </c>
      <c r="C4021" t="s">
        <v>3</v>
      </c>
      <c r="D4021" t="s">
        <v>123</v>
      </c>
      <c r="E4021" t="s">
        <v>170</v>
      </c>
      <c r="F4021">
        <v>53</v>
      </c>
      <c r="G4021">
        <v>37</v>
      </c>
      <c r="H4021">
        <v>1</v>
      </c>
      <c r="I4021">
        <v>1</v>
      </c>
      <c r="J4021">
        <v>0</v>
      </c>
      <c r="K4021">
        <v>0</v>
      </c>
      <c r="L4021">
        <v>0</v>
      </c>
      <c r="M4021">
        <v>0</v>
      </c>
      <c r="N4021">
        <v>49</v>
      </c>
      <c r="O4021">
        <v>19</v>
      </c>
      <c r="P4021">
        <f t="shared" si="207"/>
        <v>2024</v>
      </c>
      <c r="Q4021">
        <f t="shared" si="208"/>
        <v>11</v>
      </c>
      <c r="R4021" t="str">
        <f t="shared" si="209"/>
        <v>店铺超链</v>
      </c>
      <c r="S4021" t="s">
        <v>785</v>
      </c>
      <c r="T4021" t="s">
        <v>805</v>
      </c>
    </row>
    <row r="4022" spans="1:20" x14ac:dyDescent="0.3">
      <c r="A4022" t="s">
        <v>627</v>
      </c>
      <c r="B4022" s="16">
        <v>45604</v>
      </c>
      <c r="C4022" t="s">
        <v>2</v>
      </c>
      <c r="D4022" t="s">
        <v>52</v>
      </c>
      <c r="E4022" t="s">
        <v>59</v>
      </c>
      <c r="F4022">
        <v>1278</v>
      </c>
      <c r="G4022">
        <v>991</v>
      </c>
      <c r="H4022">
        <v>6</v>
      </c>
      <c r="I4022">
        <v>0</v>
      </c>
      <c r="J4022">
        <v>15014.5</v>
      </c>
      <c r="K4022">
        <v>3</v>
      </c>
      <c r="L4022">
        <v>0</v>
      </c>
      <c r="M4022">
        <v>0</v>
      </c>
      <c r="N4022">
        <v>1115</v>
      </c>
      <c r="O4022">
        <v>189</v>
      </c>
      <c r="P4022">
        <f t="shared" si="207"/>
        <v>2024</v>
      </c>
      <c r="Q4022">
        <f t="shared" si="208"/>
        <v>11</v>
      </c>
      <c r="R4022" t="s">
        <v>171</v>
      </c>
      <c r="S4022" t="s">
        <v>785</v>
      </c>
      <c r="T4022" t="s">
        <v>805</v>
      </c>
    </row>
    <row r="4023" spans="1:20" x14ac:dyDescent="0.3">
      <c r="A4023" t="s">
        <v>627</v>
      </c>
      <c r="B4023" s="16">
        <v>45604</v>
      </c>
      <c r="C4023" t="s">
        <v>3</v>
      </c>
      <c r="D4023" t="s">
        <v>127</v>
      </c>
      <c r="E4023" t="s">
        <v>172</v>
      </c>
      <c r="F4023">
        <v>25</v>
      </c>
      <c r="G4023">
        <v>12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2</v>
      </c>
      <c r="O4023">
        <v>21</v>
      </c>
      <c r="P4023">
        <f t="shared" si="207"/>
        <v>2024</v>
      </c>
      <c r="Q4023">
        <f t="shared" si="208"/>
        <v>11</v>
      </c>
      <c r="R4023" t="str">
        <f t="shared" si="209"/>
        <v>购中推荐</v>
      </c>
      <c r="S4023" t="s">
        <v>785</v>
      </c>
      <c r="T4023" t="s">
        <v>805</v>
      </c>
    </row>
    <row r="4024" spans="1:20" x14ac:dyDescent="0.3">
      <c r="A4024" t="s">
        <v>627</v>
      </c>
      <c r="B4024" s="16">
        <v>45604</v>
      </c>
      <c r="C4024" t="s">
        <v>3</v>
      </c>
      <c r="D4024" t="s">
        <v>127</v>
      </c>
      <c r="E4024" t="s">
        <v>173</v>
      </c>
      <c r="F4024">
        <v>84</v>
      </c>
      <c r="G4024">
        <v>49</v>
      </c>
      <c r="H4024">
        <v>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19</v>
      </c>
      <c r="O4024">
        <v>57</v>
      </c>
      <c r="P4024">
        <f t="shared" si="207"/>
        <v>2024</v>
      </c>
      <c r="Q4024">
        <f t="shared" si="208"/>
        <v>11</v>
      </c>
      <c r="R4024" t="str">
        <f t="shared" si="209"/>
        <v>购后推荐</v>
      </c>
      <c r="S4024" t="s">
        <v>785</v>
      </c>
      <c r="T4024" t="s">
        <v>805</v>
      </c>
    </row>
    <row r="4025" spans="1:20" x14ac:dyDescent="0.3">
      <c r="A4025" t="s">
        <v>627</v>
      </c>
      <c r="B4025" s="16">
        <v>45604</v>
      </c>
      <c r="C4025" t="s">
        <v>3</v>
      </c>
      <c r="D4025" t="s">
        <v>127</v>
      </c>
      <c r="E4025" t="s">
        <v>174</v>
      </c>
      <c r="F4025">
        <v>3542</v>
      </c>
      <c r="G4025">
        <v>1650</v>
      </c>
      <c r="H4025">
        <v>89</v>
      </c>
      <c r="I4025">
        <v>35</v>
      </c>
      <c r="J4025">
        <v>38145</v>
      </c>
      <c r="K4025">
        <v>8</v>
      </c>
      <c r="L4025">
        <v>26240</v>
      </c>
      <c r="M4025">
        <v>5</v>
      </c>
      <c r="N4025">
        <v>295</v>
      </c>
      <c r="O4025">
        <v>3542</v>
      </c>
      <c r="P4025">
        <f t="shared" si="207"/>
        <v>2024</v>
      </c>
      <c r="Q4025">
        <f t="shared" si="208"/>
        <v>11</v>
      </c>
      <c r="R4025" t="str">
        <f t="shared" si="209"/>
        <v>首页推荐-微详情</v>
      </c>
      <c r="S4025" t="s">
        <v>785</v>
      </c>
      <c r="T4025" t="s">
        <v>805</v>
      </c>
    </row>
    <row r="4026" spans="1:20" x14ac:dyDescent="0.3">
      <c r="A4026" t="s">
        <v>627</v>
      </c>
      <c r="B4026" s="16">
        <v>45604</v>
      </c>
      <c r="C4026" t="s">
        <v>3</v>
      </c>
      <c r="D4026" t="s">
        <v>127</v>
      </c>
      <c r="E4026" t="s">
        <v>175</v>
      </c>
      <c r="F4026">
        <v>20</v>
      </c>
      <c r="G4026">
        <v>14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f t="shared" si="207"/>
        <v>2024</v>
      </c>
      <c r="Q4026">
        <f t="shared" si="208"/>
        <v>11</v>
      </c>
      <c r="R4026" t="str">
        <f t="shared" si="209"/>
        <v>首页推荐-直播</v>
      </c>
      <c r="S4026" t="s">
        <v>785</v>
      </c>
      <c r="T4026" t="s">
        <v>805</v>
      </c>
    </row>
    <row r="4027" spans="1:20" x14ac:dyDescent="0.3">
      <c r="A4027" t="s">
        <v>627</v>
      </c>
      <c r="B4027" s="16">
        <v>45604</v>
      </c>
      <c r="C4027" t="s">
        <v>3</v>
      </c>
      <c r="D4027" t="s">
        <v>127</v>
      </c>
      <c r="E4027" t="s">
        <v>176</v>
      </c>
      <c r="F4027">
        <v>641</v>
      </c>
      <c r="G4027">
        <v>282</v>
      </c>
      <c r="H4027">
        <v>12</v>
      </c>
      <c r="I4027">
        <v>3</v>
      </c>
      <c r="J4027">
        <v>1990</v>
      </c>
      <c r="K4027">
        <v>1</v>
      </c>
      <c r="L4027">
        <v>1990</v>
      </c>
      <c r="M4027">
        <v>1</v>
      </c>
      <c r="N4027">
        <v>29</v>
      </c>
      <c r="O4027">
        <v>153</v>
      </c>
      <c r="P4027">
        <f t="shared" si="207"/>
        <v>2024</v>
      </c>
      <c r="Q4027">
        <f t="shared" si="208"/>
        <v>11</v>
      </c>
      <c r="R4027" t="str">
        <f t="shared" si="209"/>
        <v>首页推荐-短视频</v>
      </c>
      <c r="S4027" t="s">
        <v>785</v>
      </c>
      <c r="T4027" t="s">
        <v>805</v>
      </c>
    </row>
    <row r="4028" spans="1:20" x14ac:dyDescent="0.3">
      <c r="A4028" t="s">
        <v>627</v>
      </c>
      <c r="B4028" s="16">
        <v>45604</v>
      </c>
      <c r="C4028" t="s">
        <v>3</v>
      </c>
      <c r="D4028" t="s">
        <v>128</v>
      </c>
      <c r="E4028" t="s">
        <v>177</v>
      </c>
      <c r="F4028">
        <v>1180</v>
      </c>
      <c r="G4028">
        <v>846</v>
      </c>
      <c r="H4028">
        <v>45</v>
      </c>
      <c r="I4028">
        <v>15</v>
      </c>
      <c r="J4028">
        <v>44514</v>
      </c>
      <c r="K4028">
        <v>9</v>
      </c>
      <c r="L4028">
        <v>36224</v>
      </c>
      <c r="M4028">
        <v>8</v>
      </c>
      <c r="N4028">
        <v>298</v>
      </c>
      <c r="O4028">
        <v>1085</v>
      </c>
      <c r="P4028">
        <f t="shared" si="207"/>
        <v>2024</v>
      </c>
      <c r="Q4028">
        <f t="shared" si="208"/>
        <v>11</v>
      </c>
      <c r="R4028" t="str">
        <f t="shared" si="209"/>
        <v>手淘搜索-商品及其他</v>
      </c>
      <c r="S4028" t="s">
        <v>785</v>
      </c>
      <c r="T4028" t="s">
        <v>805</v>
      </c>
    </row>
    <row r="4029" spans="1:20" x14ac:dyDescent="0.3">
      <c r="A4029" t="s">
        <v>627</v>
      </c>
      <c r="B4029" s="16">
        <v>45604</v>
      </c>
      <c r="C4029" t="s">
        <v>3</v>
      </c>
      <c r="D4029" t="s">
        <v>128</v>
      </c>
      <c r="E4029" t="s">
        <v>179</v>
      </c>
      <c r="F4029">
        <v>114</v>
      </c>
      <c r="G4029">
        <v>95</v>
      </c>
      <c r="H4029">
        <v>4</v>
      </c>
      <c r="I4029">
        <v>4</v>
      </c>
      <c r="J4029">
        <v>11530</v>
      </c>
      <c r="K4029">
        <v>3</v>
      </c>
      <c r="L4029">
        <v>5730</v>
      </c>
      <c r="M4029">
        <v>2</v>
      </c>
      <c r="N4029">
        <v>4</v>
      </c>
      <c r="O4029">
        <v>114</v>
      </c>
      <c r="P4029">
        <f t="shared" si="207"/>
        <v>2024</v>
      </c>
      <c r="Q4029">
        <f t="shared" si="208"/>
        <v>11</v>
      </c>
      <c r="R4029" t="str">
        <f t="shared" si="209"/>
        <v>手淘搜索-短视频</v>
      </c>
      <c r="S4029" t="s">
        <v>785</v>
      </c>
      <c r="T4029" t="s">
        <v>805</v>
      </c>
    </row>
    <row r="4030" spans="1:20" x14ac:dyDescent="0.3">
      <c r="A4030" t="s">
        <v>627</v>
      </c>
      <c r="B4030" s="16">
        <v>45604</v>
      </c>
      <c r="C4030" t="s">
        <v>3</v>
      </c>
      <c r="D4030" t="s">
        <v>143</v>
      </c>
      <c r="E4030" t="s">
        <v>180</v>
      </c>
      <c r="F4030">
        <v>3</v>
      </c>
      <c r="G4030">
        <v>2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3</v>
      </c>
      <c r="P4030">
        <f t="shared" si="207"/>
        <v>2024</v>
      </c>
      <c r="Q4030">
        <f t="shared" si="208"/>
        <v>11</v>
      </c>
      <c r="R4030" t="str">
        <f t="shared" si="209"/>
        <v>淘特其他渠道</v>
      </c>
      <c r="S4030" t="s">
        <v>785</v>
      </c>
      <c r="T4030" t="s">
        <v>805</v>
      </c>
    </row>
    <row r="4031" spans="1:20" x14ac:dyDescent="0.3">
      <c r="A4031" t="s">
        <v>627</v>
      </c>
      <c r="B4031" s="16">
        <v>45604</v>
      </c>
      <c r="C4031" t="s">
        <v>3</v>
      </c>
      <c r="D4031" t="s">
        <v>143</v>
      </c>
      <c r="E4031" t="s">
        <v>181</v>
      </c>
      <c r="F4031">
        <v>14</v>
      </c>
      <c r="G4031">
        <v>14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14</v>
      </c>
      <c r="P4031">
        <f t="shared" si="207"/>
        <v>2024</v>
      </c>
      <c r="Q4031">
        <f t="shared" si="208"/>
        <v>11</v>
      </c>
      <c r="R4031" t="str">
        <f t="shared" si="209"/>
        <v>淘特搜索</v>
      </c>
      <c r="S4031" t="s">
        <v>785</v>
      </c>
      <c r="T4031" t="s">
        <v>805</v>
      </c>
    </row>
    <row r="4032" spans="1:20" x14ac:dyDescent="0.3">
      <c r="A4032" t="s">
        <v>627</v>
      </c>
      <c r="B4032" s="16">
        <v>45604</v>
      </c>
      <c r="C4032" t="s">
        <v>2</v>
      </c>
      <c r="D4032" t="s">
        <v>55</v>
      </c>
      <c r="E4032" t="s">
        <v>54</v>
      </c>
      <c r="F4032">
        <v>11</v>
      </c>
      <c r="G4032">
        <v>8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1</v>
      </c>
      <c r="P4032">
        <f t="shared" si="207"/>
        <v>2024</v>
      </c>
      <c r="Q4032">
        <f t="shared" si="208"/>
        <v>11</v>
      </c>
      <c r="R4032" t="str">
        <f t="shared" si="209"/>
        <v>超级直播</v>
      </c>
      <c r="S4032" t="s">
        <v>785</v>
      </c>
      <c r="T4032" t="s">
        <v>805</v>
      </c>
    </row>
    <row r="4033" spans="1:20" x14ac:dyDescent="0.3">
      <c r="A4033" t="s">
        <v>627</v>
      </c>
      <c r="B4033" s="16">
        <v>45604</v>
      </c>
      <c r="C4033" t="s">
        <v>2</v>
      </c>
      <c r="D4033" t="s">
        <v>55</v>
      </c>
      <c r="E4033" t="s">
        <v>56</v>
      </c>
      <c r="F4033">
        <v>167</v>
      </c>
      <c r="G4033">
        <v>115</v>
      </c>
      <c r="H4033">
        <v>10</v>
      </c>
      <c r="I4033">
        <v>8</v>
      </c>
      <c r="J4033">
        <v>0</v>
      </c>
      <c r="K4033">
        <v>0</v>
      </c>
      <c r="L4033">
        <v>0</v>
      </c>
      <c r="M4033">
        <v>0</v>
      </c>
      <c r="N4033">
        <v>2</v>
      </c>
      <c r="O4033">
        <v>125</v>
      </c>
      <c r="P4033">
        <f t="shared" si="207"/>
        <v>2024</v>
      </c>
      <c r="Q4033">
        <f t="shared" si="208"/>
        <v>11</v>
      </c>
      <c r="R4033" t="str">
        <f t="shared" si="209"/>
        <v>超级短视频</v>
      </c>
      <c r="S4033" t="s">
        <v>785</v>
      </c>
      <c r="T4033" t="s">
        <v>805</v>
      </c>
    </row>
    <row r="4034" spans="1:20" x14ac:dyDescent="0.3">
      <c r="A4034" t="s">
        <v>627</v>
      </c>
      <c r="B4034" s="16">
        <v>45604</v>
      </c>
      <c r="C4034" t="s">
        <v>2</v>
      </c>
      <c r="D4034" t="s">
        <v>52</v>
      </c>
      <c r="E4034" t="s">
        <v>53</v>
      </c>
      <c r="F4034">
        <v>351</v>
      </c>
      <c r="G4034">
        <v>309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351</v>
      </c>
      <c r="O4034">
        <v>32</v>
      </c>
      <c r="P4034">
        <f t="shared" si="207"/>
        <v>2024</v>
      </c>
      <c r="Q4034">
        <f t="shared" si="208"/>
        <v>11</v>
      </c>
      <c r="R4034" t="str">
        <f t="shared" si="209"/>
        <v>Showmax</v>
      </c>
      <c r="S4034" t="s">
        <v>785</v>
      </c>
      <c r="T4034" t="s">
        <v>805</v>
      </c>
    </row>
    <row r="4035" spans="1:20" x14ac:dyDescent="0.3">
      <c r="A4035" t="s">
        <v>627</v>
      </c>
      <c r="B4035" s="16">
        <v>45604</v>
      </c>
      <c r="C4035" t="s">
        <v>2</v>
      </c>
      <c r="D4035" t="s">
        <v>52</v>
      </c>
      <c r="E4035" t="s">
        <v>59</v>
      </c>
      <c r="F4035">
        <v>230</v>
      </c>
      <c r="G4035">
        <v>199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230</v>
      </c>
      <c r="O4035">
        <v>45</v>
      </c>
      <c r="P4035">
        <f t="shared" si="207"/>
        <v>2024</v>
      </c>
      <c r="Q4035">
        <f t="shared" si="208"/>
        <v>11</v>
      </c>
      <c r="R4035" t="str">
        <f t="shared" si="209"/>
        <v>品牌特秀</v>
      </c>
      <c r="S4035" t="s">
        <v>785</v>
      </c>
      <c r="T4035" t="s">
        <v>805</v>
      </c>
    </row>
    <row r="4036" spans="1:20" x14ac:dyDescent="0.3">
      <c r="A4036" t="s">
        <v>627</v>
      </c>
      <c r="B4036" s="16">
        <v>45604</v>
      </c>
      <c r="C4036" t="s">
        <v>2</v>
      </c>
      <c r="D4036" t="s">
        <v>52</v>
      </c>
      <c r="E4036" t="s">
        <v>183</v>
      </c>
      <c r="F4036">
        <v>587</v>
      </c>
      <c r="G4036">
        <v>456</v>
      </c>
      <c r="H4036">
        <v>27</v>
      </c>
      <c r="I4036">
        <v>7</v>
      </c>
      <c r="J4036">
        <v>62840</v>
      </c>
      <c r="K4036">
        <v>3</v>
      </c>
      <c r="L4036">
        <v>58845</v>
      </c>
      <c r="M4036">
        <v>2</v>
      </c>
      <c r="N4036">
        <v>587</v>
      </c>
      <c r="O4036">
        <v>338</v>
      </c>
      <c r="P4036">
        <f t="shared" si="207"/>
        <v>2024</v>
      </c>
      <c r="Q4036">
        <f t="shared" si="208"/>
        <v>11</v>
      </c>
      <c r="R4036" t="str">
        <f t="shared" si="209"/>
        <v>品销宝-品牌专区</v>
      </c>
      <c r="S4036" t="s">
        <v>785</v>
      </c>
      <c r="T4036" t="s">
        <v>805</v>
      </c>
    </row>
    <row r="4037" spans="1:20" x14ac:dyDescent="0.3">
      <c r="A4037" t="s">
        <v>627</v>
      </c>
      <c r="B4037" s="16">
        <v>45604</v>
      </c>
      <c r="C4037" t="s">
        <v>2</v>
      </c>
      <c r="D4037" t="s">
        <v>57</v>
      </c>
      <c r="E4037" t="s">
        <v>65</v>
      </c>
      <c r="F4037">
        <v>3715</v>
      </c>
      <c r="G4037">
        <v>3043</v>
      </c>
      <c r="H4037">
        <v>84</v>
      </c>
      <c r="I4037">
        <v>25</v>
      </c>
      <c r="J4037">
        <v>198402.5</v>
      </c>
      <c r="K4037">
        <v>15</v>
      </c>
      <c r="L4037">
        <v>88127.5</v>
      </c>
      <c r="M4037">
        <v>13</v>
      </c>
      <c r="N4037">
        <v>337</v>
      </c>
      <c r="O4037">
        <v>3685</v>
      </c>
      <c r="P4037">
        <f t="shared" si="207"/>
        <v>2024</v>
      </c>
      <c r="Q4037">
        <f t="shared" si="208"/>
        <v>11</v>
      </c>
      <c r="R4037" t="str">
        <f t="shared" si="209"/>
        <v>直通车</v>
      </c>
      <c r="S4037" t="s">
        <v>785</v>
      </c>
      <c r="T4037" t="s">
        <v>805</v>
      </c>
    </row>
    <row r="4038" spans="1:20" x14ac:dyDescent="0.3">
      <c r="A4038" t="s">
        <v>627</v>
      </c>
      <c r="B4038" s="16">
        <v>45604</v>
      </c>
      <c r="C4038" t="s">
        <v>2</v>
      </c>
      <c r="D4038" t="s">
        <v>57</v>
      </c>
      <c r="E4038" t="s">
        <v>63</v>
      </c>
      <c r="F4038">
        <v>3155</v>
      </c>
      <c r="G4038">
        <v>1453</v>
      </c>
      <c r="H4038">
        <v>145</v>
      </c>
      <c r="I4038">
        <v>75</v>
      </c>
      <c r="J4038">
        <v>51958</v>
      </c>
      <c r="K4038">
        <v>12</v>
      </c>
      <c r="L4038">
        <v>37260.5</v>
      </c>
      <c r="M4038">
        <v>9</v>
      </c>
      <c r="N4038">
        <v>214</v>
      </c>
      <c r="O4038">
        <v>3149</v>
      </c>
      <c r="P4038">
        <f t="shared" si="207"/>
        <v>2024</v>
      </c>
      <c r="Q4038">
        <f t="shared" si="208"/>
        <v>11</v>
      </c>
      <c r="R4038" t="str">
        <f t="shared" si="209"/>
        <v>万相台</v>
      </c>
      <c r="S4038" t="s">
        <v>785</v>
      </c>
      <c r="T4038" t="s">
        <v>805</v>
      </c>
    </row>
    <row r="4039" spans="1:20" x14ac:dyDescent="0.3">
      <c r="A4039" t="s">
        <v>627</v>
      </c>
      <c r="B4039" s="16">
        <v>45604</v>
      </c>
      <c r="C4039" t="s">
        <v>2</v>
      </c>
      <c r="D4039" t="s">
        <v>57</v>
      </c>
      <c r="E4039" t="s">
        <v>64</v>
      </c>
      <c r="F4039">
        <v>5699</v>
      </c>
      <c r="G4039">
        <v>2378</v>
      </c>
      <c r="H4039">
        <v>136</v>
      </c>
      <c r="I4039">
        <v>69</v>
      </c>
      <c r="J4039">
        <v>60390</v>
      </c>
      <c r="K4039">
        <v>14</v>
      </c>
      <c r="L4039">
        <v>31293</v>
      </c>
      <c r="M4039">
        <v>9</v>
      </c>
      <c r="N4039">
        <v>434</v>
      </c>
      <c r="O4039">
        <v>5699</v>
      </c>
      <c r="P4039">
        <f t="shared" si="207"/>
        <v>2024</v>
      </c>
      <c r="Q4039">
        <f t="shared" si="208"/>
        <v>11</v>
      </c>
      <c r="R4039" t="str">
        <f t="shared" si="209"/>
        <v>引力魔方</v>
      </c>
      <c r="S4039" t="s">
        <v>785</v>
      </c>
      <c r="T4039" t="s">
        <v>805</v>
      </c>
    </row>
    <row r="4040" spans="1:20" x14ac:dyDescent="0.3">
      <c r="A4040" t="s">
        <v>627</v>
      </c>
      <c r="B4040" s="16">
        <v>45604</v>
      </c>
      <c r="C4040" t="s">
        <v>2</v>
      </c>
      <c r="D4040" t="s">
        <v>4</v>
      </c>
      <c r="E4040" t="s">
        <v>41</v>
      </c>
      <c r="F4040">
        <v>2</v>
      </c>
      <c r="G4040">
        <v>1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1</v>
      </c>
      <c r="O4040">
        <v>1</v>
      </c>
      <c r="P4040">
        <f t="shared" si="207"/>
        <v>2024</v>
      </c>
      <c r="Q4040">
        <f t="shared" si="208"/>
        <v>11</v>
      </c>
      <c r="R4040" t="str">
        <f t="shared" si="209"/>
        <v>流量宝</v>
      </c>
      <c r="S4040" t="s">
        <v>785</v>
      </c>
      <c r="T4040" t="s">
        <v>805</v>
      </c>
    </row>
    <row r="4041" spans="1:20" x14ac:dyDescent="0.3">
      <c r="A4041" t="s">
        <v>627</v>
      </c>
      <c r="B4041" s="16">
        <v>45604</v>
      </c>
      <c r="C4041" t="s">
        <v>2</v>
      </c>
      <c r="D4041" t="s">
        <v>4</v>
      </c>
      <c r="E4041" t="s">
        <v>43</v>
      </c>
      <c r="F4041">
        <v>275</v>
      </c>
      <c r="G4041">
        <v>93</v>
      </c>
      <c r="H4041">
        <v>6</v>
      </c>
      <c r="I4041">
        <v>2</v>
      </c>
      <c r="J4041">
        <v>15930</v>
      </c>
      <c r="K4041">
        <v>2</v>
      </c>
      <c r="L4041">
        <v>15930</v>
      </c>
      <c r="M4041">
        <v>2</v>
      </c>
      <c r="N4041">
        <v>27</v>
      </c>
      <c r="O4041">
        <v>261</v>
      </c>
      <c r="P4041">
        <f t="shared" si="207"/>
        <v>2024</v>
      </c>
      <c r="Q4041">
        <f t="shared" si="208"/>
        <v>11</v>
      </c>
      <c r="R4041" t="str">
        <f t="shared" si="209"/>
        <v>淘宝客</v>
      </c>
      <c r="S4041" t="s">
        <v>785</v>
      </c>
      <c r="T4041" t="s">
        <v>805</v>
      </c>
    </row>
    <row r="4042" spans="1:20" x14ac:dyDescent="0.3">
      <c r="A4042" t="s">
        <v>627</v>
      </c>
      <c r="B4042" s="16">
        <v>45603</v>
      </c>
      <c r="C4042" t="s">
        <v>3</v>
      </c>
      <c r="D4042" t="s">
        <v>114</v>
      </c>
      <c r="E4042" t="s">
        <v>159</v>
      </c>
      <c r="F4042">
        <v>167</v>
      </c>
      <c r="G4042">
        <v>93</v>
      </c>
      <c r="H4042">
        <v>3</v>
      </c>
      <c r="I4042">
        <v>2</v>
      </c>
      <c r="J4042">
        <v>5700</v>
      </c>
      <c r="K4042">
        <v>1</v>
      </c>
      <c r="L4042">
        <v>5700</v>
      </c>
      <c r="M4042">
        <v>1</v>
      </c>
      <c r="N4042">
        <v>14</v>
      </c>
      <c r="O4042">
        <v>157</v>
      </c>
      <c r="P4042">
        <f t="shared" si="207"/>
        <v>2024</v>
      </c>
      <c r="Q4042">
        <f t="shared" si="208"/>
        <v>11</v>
      </c>
      <c r="R4042" t="str">
        <f t="shared" si="209"/>
        <v>主会场</v>
      </c>
      <c r="S4042" t="s">
        <v>785</v>
      </c>
      <c r="T4042" t="s">
        <v>805</v>
      </c>
    </row>
    <row r="4043" spans="1:20" x14ac:dyDescent="0.3">
      <c r="A4043" t="s">
        <v>627</v>
      </c>
      <c r="B4043" s="16">
        <v>45603</v>
      </c>
      <c r="C4043" t="s">
        <v>3</v>
      </c>
      <c r="D4043" t="s">
        <v>114</v>
      </c>
      <c r="E4043" t="s">
        <v>160</v>
      </c>
      <c r="F4043">
        <v>7</v>
      </c>
      <c r="G4043">
        <v>6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7</v>
      </c>
      <c r="P4043">
        <f t="shared" si="207"/>
        <v>2024</v>
      </c>
      <c r="Q4043">
        <f t="shared" si="208"/>
        <v>11</v>
      </c>
      <c r="R4043" t="str">
        <f t="shared" si="209"/>
        <v>榜单会场</v>
      </c>
      <c r="S4043" t="s">
        <v>785</v>
      </c>
      <c r="T4043" t="s">
        <v>805</v>
      </c>
    </row>
    <row r="4044" spans="1:20" x14ac:dyDescent="0.3">
      <c r="A4044" t="s">
        <v>627</v>
      </c>
      <c r="B4044" s="16">
        <v>45603</v>
      </c>
      <c r="C4044" t="s">
        <v>3</v>
      </c>
      <c r="D4044" t="s">
        <v>117</v>
      </c>
      <c r="E4044" t="s">
        <v>161</v>
      </c>
      <c r="F4044">
        <v>18</v>
      </c>
      <c r="G4044">
        <v>14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1</v>
      </c>
      <c r="O4044">
        <v>18</v>
      </c>
      <c r="P4044">
        <f t="shared" si="207"/>
        <v>2024</v>
      </c>
      <c r="Q4044">
        <f t="shared" si="208"/>
        <v>11</v>
      </c>
      <c r="R4044" t="str">
        <f t="shared" si="209"/>
        <v>其他入口榜单</v>
      </c>
      <c r="S4044" t="s">
        <v>785</v>
      </c>
      <c r="T4044" t="s">
        <v>805</v>
      </c>
    </row>
    <row r="4045" spans="1:20" x14ac:dyDescent="0.3">
      <c r="A4045" t="s">
        <v>627</v>
      </c>
      <c r="B4045" s="16">
        <v>45603</v>
      </c>
      <c r="C4045" t="s">
        <v>3</v>
      </c>
      <c r="D4045" t="s">
        <v>123</v>
      </c>
      <c r="E4045" t="s">
        <v>169</v>
      </c>
      <c r="F4045">
        <v>296</v>
      </c>
      <c r="G4045">
        <v>109</v>
      </c>
      <c r="H4045">
        <v>26</v>
      </c>
      <c r="I4045">
        <v>6</v>
      </c>
      <c r="J4045">
        <v>20478</v>
      </c>
      <c r="K4045">
        <v>4</v>
      </c>
      <c r="L4045">
        <v>20478</v>
      </c>
      <c r="M4045">
        <v>4</v>
      </c>
      <c r="N4045">
        <v>62</v>
      </c>
      <c r="O4045">
        <v>280</v>
      </c>
      <c r="P4045">
        <f t="shared" si="207"/>
        <v>2024</v>
      </c>
      <c r="Q4045">
        <f t="shared" si="208"/>
        <v>11</v>
      </c>
      <c r="R4045" t="str">
        <f t="shared" si="209"/>
        <v>商品详情页头图推荐</v>
      </c>
      <c r="S4045" t="s">
        <v>785</v>
      </c>
      <c r="T4045" t="s">
        <v>805</v>
      </c>
    </row>
    <row r="4046" spans="1:20" x14ac:dyDescent="0.3">
      <c r="A4046" t="s">
        <v>627</v>
      </c>
      <c r="B4046" s="16">
        <v>45603</v>
      </c>
      <c r="C4046" t="s">
        <v>3</v>
      </c>
      <c r="D4046" t="s">
        <v>123</v>
      </c>
      <c r="E4046" t="s">
        <v>170</v>
      </c>
      <c r="F4046">
        <v>59</v>
      </c>
      <c r="G4046">
        <v>25</v>
      </c>
      <c r="H4046">
        <v>3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55</v>
      </c>
      <c r="O4046">
        <v>22</v>
      </c>
      <c r="P4046">
        <f t="shared" si="207"/>
        <v>2024</v>
      </c>
      <c r="Q4046">
        <f t="shared" si="208"/>
        <v>11</v>
      </c>
      <c r="R4046" t="str">
        <f t="shared" si="209"/>
        <v>店铺超链</v>
      </c>
      <c r="S4046" t="s">
        <v>785</v>
      </c>
      <c r="T4046" t="s">
        <v>805</v>
      </c>
    </row>
    <row r="4047" spans="1:20" x14ac:dyDescent="0.3">
      <c r="A4047" t="s">
        <v>627</v>
      </c>
      <c r="B4047" s="16">
        <v>45603</v>
      </c>
      <c r="C4047" t="s">
        <v>2</v>
      </c>
      <c r="D4047" t="s">
        <v>52</v>
      </c>
      <c r="E4047" t="s">
        <v>59</v>
      </c>
      <c r="F4047">
        <v>1142</v>
      </c>
      <c r="G4047">
        <v>837</v>
      </c>
      <c r="H4047">
        <v>12</v>
      </c>
      <c r="I4047">
        <v>1</v>
      </c>
      <c r="J4047">
        <v>1680</v>
      </c>
      <c r="K4047">
        <v>1</v>
      </c>
      <c r="L4047">
        <v>1680</v>
      </c>
      <c r="M4047">
        <v>1</v>
      </c>
      <c r="N4047">
        <v>925</v>
      </c>
      <c r="O4047">
        <v>236</v>
      </c>
      <c r="P4047">
        <f t="shared" si="207"/>
        <v>2024</v>
      </c>
      <c r="Q4047">
        <f t="shared" si="208"/>
        <v>11</v>
      </c>
      <c r="R4047" t="s">
        <v>171</v>
      </c>
      <c r="S4047" t="s">
        <v>785</v>
      </c>
      <c r="T4047" t="s">
        <v>805</v>
      </c>
    </row>
    <row r="4048" spans="1:20" x14ac:dyDescent="0.3">
      <c r="A4048" t="s">
        <v>627</v>
      </c>
      <c r="B4048" s="16">
        <v>45603</v>
      </c>
      <c r="C4048" t="s">
        <v>3</v>
      </c>
      <c r="D4048" t="s">
        <v>127</v>
      </c>
      <c r="E4048" t="s">
        <v>172</v>
      </c>
      <c r="F4048">
        <v>31</v>
      </c>
      <c r="G4048">
        <v>18</v>
      </c>
      <c r="H4048">
        <v>0</v>
      </c>
      <c r="I4048">
        <v>1</v>
      </c>
      <c r="J4048">
        <v>0</v>
      </c>
      <c r="K4048">
        <v>0</v>
      </c>
      <c r="L4048">
        <v>0</v>
      </c>
      <c r="M4048">
        <v>0</v>
      </c>
      <c r="N4048">
        <v>6</v>
      </c>
      <c r="O4048">
        <v>20</v>
      </c>
      <c r="P4048">
        <f t="shared" si="207"/>
        <v>2024</v>
      </c>
      <c r="Q4048">
        <f t="shared" si="208"/>
        <v>11</v>
      </c>
      <c r="R4048" t="str">
        <f t="shared" si="209"/>
        <v>购中推荐</v>
      </c>
      <c r="S4048" t="s">
        <v>785</v>
      </c>
      <c r="T4048" t="s">
        <v>805</v>
      </c>
    </row>
    <row r="4049" spans="1:20" x14ac:dyDescent="0.3">
      <c r="A4049" t="s">
        <v>627</v>
      </c>
      <c r="B4049" s="16">
        <v>45603</v>
      </c>
      <c r="C4049" t="s">
        <v>3</v>
      </c>
      <c r="D4049" t="s">
        <v>127</v>
      </c>
      <c r="E4049" t="s">
        <v>173</v>
      </c>
      <c r="F4049">
        <v>216</v>
      </c>
      <c r="G4049">
        <v>168</v>
      </c>
      <c r="H4049">
        <v>2</v>
      </c>
      <c r="I4049">
        <v>0</v>
      </c>
      <c r="J4049">
        <v>1480</v>
      </c>
      <c r="K4049">
        <v>1</v>
      </c>
      <c r="L4049">
        <v>1480</v>
      </c>
      <c r="M4049">
        <v>1</v>
      </c>
      <c r="N4049">
        <v>111</v>
      </c>
      <c r="O4049">
        <v>80</v>
      </c>
      <c r="P4049">
        <f t="shared" si="207"/>
        <v>2024</v>
      </c>
      <c r="Q4049">
        <f t="shared" si="208"/>
        <v>11</v>
      </c>
      <c r="R4049" t="str">
        <f t="shared" si="209"/>
        <v>购后推荐</v>
      </c>
      <c r="S4049" t="s">
        <v>785</v>
      </c>
      <c r="T4049" t="s">
        <v>805</v>
      </c>
    </row>
    <row r="4050" spans="1:20" x14ac:dyDescent="0.3">
      <c r="A4050" t="s">
        <v>627</v>
      </c>
      <c r="B4050" s="16">
        <v>45603</v>
      </c>
      <c r="C4050" t="s">
        <v>3</v>
      </c>
      <c r="D4050" t="s">
        <v>127</v>
      </c>
      <c r="E4050" t="s">
        <v>174</v>
      </c>
      <c r="F4050">
        <v>4763</v>
      </c>
      <c r="G4050">
        <v>2393</v>
      </c>
      <c r="H4050">
        <v>108</v>
      </c>
      <c r="I4050">
        <v>34</v>
      </c>
      <c r="J4050">
        <v>67074.5</v>
      </c>
      <c r="K4050">
        <v>14</v>
      </c>
      <c r="L4050">
        <v>44875</v>
      </c>
      <c r="M4050">
        <v>7</v>
      </c>
      <c r="N4050">
        <v>326</v>
      </c>
      <c r="O4050">
        <v>4763</v>
      </c>
      <c r="P4050">
        <f t="shared" si="207"/>
        <v>2024</v>
      </c>
      <c r="Q4050">
        <f t="shared" si="208"/>
        <v>11</v>
      </c>
      <c r="R4050" t="str">
        <f t="shared" si="209"/>
        <v>首页推荐-微详情</v>
      </c>
      <c r="S4050" t="s">
        <v>785</v>
      </c>
      <c r="T4050" t="s">
        <v>805</v>
      </c>
    </row>
    <row r="4051" spans="1:20" x14ac:dyDescent="0.3">
      <c r="A4051" t="s">
        <v>627</v>
      </c>
      <c r="B4051" s="16">
        <v>45603</v>
      </c>
      <c r="C4051" t="s">
        <v>3</v>
      </c>
      <c r="D4051" t="s">
        <v>127</v>
      </c>
      <c r="E4051" t="s">
        <v>175</v>
      </c>
      <c r="F4051">
        <v>2302</v>
      </c>
      <c r="G4051">
        <v>1979</v>
      </c>
      <c r="H4051">
        <v>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3</v>
      </c>
      <c r="O4051">
        <v>41</v>
      </c>
      <c r="P4051">
        <f t="shared" si="207"/>
        <v>2024</v>
      </c>
      <c r="Q4051">
        <f t="shared" si="208"/>
        <v>11</v>
      </c>
      <c r="R4051" t="str">
        <f t="shared" si="209"/>
        <v>首页推荐-直播</v>
      </c>
      <c r="S4051" t="s">
        <v>785</v>
      </c>
      <c r="T4051" t="s">
        <v>805</v>
      </c>
    </row>
    <row r="4052" spans="1:20" x14ac:dyDescent="0.3">
      <c r="A4052" t="s">
        <v>627</v>
      </c>
      <c r="B4052" s="16">
        <v>45603</v>
      </c>
      <c r="C4052" t="s">
        <v>3</v>
      </c>
      <c r="D4052" t="s">
        <v>127</v>
      </c>
      <c r="E4052" t="s">
        <v>176</v>
      </c>
      <c r="F4052">
        <v>769</v>
      </c>
      <c r="G4052">
        <v>325</v>
      </c>
      <c r="H4052">
        <v>9</v>
      </c>
      <c r="I4052">
        <v>1</v>
      </c>
      <c r="J4052">
        <v>14640</v>
      </c>
      <c r="K4052">
        <v>3</v>
      </c>
      <c r="L4052">
        <v>12890</v>
      </c>
      <c r="M4052">
        <v>2</v>
      </c>
      <c r="N4052">
        <v>33</v>
      </c>
      <c r="O4052">
        <v>190</v>
      </c>
      <c r="P4052">
        <f t="shared" si="207"/>
        <v>2024</v>
      </c>
      <c r="Q4052">
        <f t="shared" si="208"/>
        <v>11</v>
      </c>
      <c r="R4052" t="str">
        <f t="shared" si="209"/>
        <v>首页推荐-短视频</v>
      </c>
      <c r="S4052" t="s">
        <v>785</v>
      </c>
      <c r="T4052" t="s">
        <v>805</v>
      </c>
    </row>
    <row r="4053" spans="1:20" x14ac:dyDescent="0.3">
      <c r="A4053" t="s">
        <v>627</v>
      </c>
      <c r="B4053" s="16">
        <v>45603</v>
      </c>
      <c r="C4053" t="s">
        <v>3</v>
      </c>
      <c r="D4053" t="s">
        <v>128</v>
      </c>
      <c r="E4053" t="s">
        <v>177</v>
      </c>
      <c r="F4053">
        <v>1127</v>
      </c>
      <c r="G4053">
        <v>815</v>
      </c>
      <c r="H4053">
        <v>40</v>
      </c>
      <c r="I4053">
        <v>15</v>
      </c>
      <c r="J4053">
        <v>28753</v>
      </c>
      <c r="K4053">
        <v>9</v>
      </c>
      <c r="L4053">
        <v>25015</v>
      </c>
      <c r="M4053">
        <v>7</v>
      </c>
      <c r="N4053">
        <v>312</v>
      </c>
      <c r="O4053">
        <v>999</v>
      </c>
      <c r="P4053">
        <f t="shared" si="207"/>
        <v>2024</v>
      </c>
      <c r="Q4053">
        <f t="shared" si="208"/>
        <v>11</v>
      </c>
      <c r="R4053" t="str">
        <f t="shared" si="209"/>
        <v>手淘搜索-商品及其他</v>
      </c>
      <c r="S4053" t="s">
        <v>785</v>
      </c>
      <c r="T4053" t="s">
        <v>805</v>
      </c>
    </row>
    <row r="4054" spans="1:20" x14ac:dyDescent="0.3">
      <c r="A4054" t="s">
        <v>627</v>
      </c>
      <c r="B4054" s="16">
        <v>45603</v>
      </c>
      <c r="C4054" t="s">
        <v>3</v>
      </c>
      <c r="D4054" t="s">
        <v>128</v>
      </c>
      <c r="E4054" t="s">
        <v>178</v>
      </c>
      <c r="F4054">
        <v>49</v>
      </c>
      <c r="G4054">
        <v>45</v>
      </c>
      <c r="H4054">
        <v>1</v>
      </c>
      <c r="I4054">
        <v>0</v>
      </c>
      <c r="J4054">
        <v>1797</v>
      </c>
      <c r="K4054">
        <v>1</v>
      </c>
      <c r="L4054">
        <v>1797</v>
      </c>
      <c r="M4054">
        <v>1</v>
      </c>
      <c r="N4054">
        <v>1</v>
      </c>
      <c r="O4054">
        <v>15</v>
      </c>
      <c r="P4054">
        <f t="shared" si="207"/>
        <v>2024</v>
      </c>
      <c r="Q4054">
        <f t="shared" si="208"/>
        <v>11</v>
      </c>
      <c r="R4054" t="str">
        <f t="shared" si="209"/>
        <v>手淘搜索-直播</v>
      </c>
      <c r="S4054" t="s">
        <v>785</v>
      </c>
      <c r="T4054" t="s">
        <v>805</v>
      </c>
    </row>
    <row r="4055" spans="1:20" x14ac:dyDescent="0.3">
      <c r="A4055" t="s">
        <v>627</v>
      </c>
      <c r="B4055" s="16">
        <v>45603</v>
      </c>
      <c r="C4055" t="s">
        <v>3</v>
      </c>
      <c r="D4055" t="s">
        <v>128</v>
      </c>
      <c r="E4055" t="s">
        <v>179</v>
      </c>
      <c r="F4055">
        <v>70</v>
      </c>
      <c r="G4055">
        <v>50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1</v>
      </c>
      <c r="O4055">
        <v>66</v>
      </c>
      <c r="P4055">
        <f t="shared" si="207"/>
        <v>2024</v>
      </c>
      <c r="Q4055">
        <f t="shared" si="208"/>
        <v>11</v>
      </c>
      <c r="R4055" t="str">
        <f t="shared" si="209"/>
        <v>手淘搜索-短视频</v>
      </c>
      <c r="S4055" t="s">
        <v>785</v>
      </c>
      <c r="T4055" t="s">
        <v>805</v>
      </c>
    </row>
    <row r="4056" spans="1:20" x14ac:dyDescent="0.3">
      <c r="A4056" t="s">
        <v>627</v>
      </c>
      <c r="B4056" s="16">
        <v>45603</v>
      </c>
      <c r="C4056" t="s">
        <v>3</v>
      </c>
      <c r="D4056" t="s">
        <v>143</v>
      </c>
      <c r="E4056" t="s">
        <v>180</v>
      </c>
      <c r="F4056">
        <v>9</v>
      </c>
      <c r="G4056">
        <v>8</v>
      </c>
      <c r="H4056">
        <v>1</v>
      </c>
      <c r="I4056">
        <v>1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9</v>
      </c>
      <c r="P4056">
        <f t="shared" si="207"/>
        <v>2024</v>
      </c>
      <c r="Q4056">
        <f t="shared" si="208"/>
        <v>11</v>
      </c>
      <c r="R4056" t="str">
        <f t="shared" si="209"/>
        <v>淘特其他渠道</v>
      </c>
      <c r="S4056" t="s">
        <v>785</v>
      </c>
      <c r="T4056" t="s">
        <v>805</v>
      </c>
    </row>
    <row r="4057" spans="1:20" x14ac:dyDescent="0.3">
      <c r="A4057" t="s">
        <v>627</v>
      </c>
      <c r="B4057" s="16">
        <v>45603</v>
      </c>
      <c r="C4057" t="s">
        <v>3</v>
      </c>
      <c r="D4057" t="s">
        <v>143</v>
      </c>
      <c r="E4057" t="s">
        <v>197</v>
      </c>
      <c r="F4057">
        <v>1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1</v>
      </c>
      <c r="P4057">
        <f t="shared" si="207"/>
        <v>2024</v>
      </c>
      <c r="Q4057">
        <f t="shared" si="208"/>
        <v>11</v>
      </c>
      <c r="R4057" t="str">
        <f t="shared" si="209"/>
        <v>淘特推荐</v>
      </c>
      <c r="S4057" t="s">
        <v>785</v>
      </c>
      <c r="T4057" t="s">
        <v>805</v>
      </c>
    </row>
    <row r="4058" spans="1:20" x14ac:dyDescent="0.3">
      <c r="A4058" t="s">
        <v>627</v>
      </c>
      <c r="B4058" s="16">
        <v>45603</v>
      </c>
      <c r="C4058" t="s">
        <v>3</v>
      </c>
      <c r="D4058" t="s">
        <v>143</v>
      </c>
      <c r="E4058" t="s">
        <v>181</v>
      </c>
      <c r="F4058">
        <v>20</v>
      </c>
      <c r="G4058">
        <v>19</v>
      </c>
      <c r="H4058">
        <v>1</v>
      </c>
      <c r="I4058">
        <v>1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20</v>
      </c>
      <c r="P4058">
        <f t="shared" si="207"/>
        <v>2024</v>
      </c>
      <c r="Q4058">
        <f t="shared" si="208"/>
        <v>11</v>
      </c>
      <c r="R4058" t="str">
        <f t="shared" si="209"/>
        <v>淘特搜索</v>
      </c>
      <c r="S4058" t="s">
        <v>785</v>
      </c>
      <c r="T4058" t="s">
        <v>805</v>
      </c>
    </row>
    <row r="4059" spans="1:20" x14ac:dyDescent="0.3">
      <c r="A4059" t="s">
        <v>627</v>
      </c>
      <c r="B4059" s="16">
        <v>45603</v>
      </c>
      <c r="C4059" t="s">
        <v>3</v>
      </c>
      <c r="D4059" t="s">
        <v>143</v>
      </c>
      <c r="E4059" t="s">
        <v>224</v>
      </c>
      <c r="F4059">
        <v>1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1</v>
      </c>
      <c r="P4059">
        <f t="shared" si="207"/>
        <v>2024</v>
      </c>
      <c r="Q4059">
        <f t="shared" si="208"/>
        <v>11</v>
      </c>
      <c r="R4059" t="str">
        <f t="shared" si="209"/>
        <v>淘特自主访问</v>
      </c>
      <c r="S4059" t="s">
        <v>785</v>
      </c>
      <c r="T4059" t="s">
        <v>805</v>
      </c>
    </row>
    <row r="4060" spans="1:20" x14ac:dyDescent="0.3">
      <c r="A4060" t="s">
        <v>627</v>
      </c>
      <c r="B4060" s="16">
        <v>45603</v>
      </c>
      <c r="C4060" t="s">
        <v>2</v>
      </c>
      <c r="D4060" t="s">
        <v>55</v>
      </c>
      <c r="E4060" t="s">
        <v>54</v>
      </c>
      <c r="F4060">
        <v>1767</v>
      </c>
      <c r="G4060">
        <v>1297</v>
      </c>
      <c r="H4060">
        <v>12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58</v>
      </c>
      <c r="O4060">
        <v>424</v>
      </c>
      <c r="P4060">
        <f t="shared" si="207"/>
        <v>2024</v>
      </c>
      <c r="Q4060">
        <f t="shared" si="208"/>
        <v>11</v>
      </c>
      <c r="R4060" t="str">
        <f t="shared" si="209"/>
        <v>超级直播</v>
      </c>
      <c r="S4060" t="s">
        <v>785</v>
      </c>
      <c r="T4060" t="s">
        <v>805</v>
      </c>
    </row>
    <row r="4061" spans="1:20" x14ac:dyDescent="0.3">
      <c r="A4061" t="s">
        <v>627</v>
      </c>
      <c r="B4061" s="16">
        <v>45603</v>
      </c>
      <c r="C4061" t="s">
        <v>2</v>
      </c>
      <c r="D4061" t="s">
        <v>55</v>
      </c>
      <c r="E4061" t="s">
        <v>56</v>
      </c>
      <c r="F4061">
        <v>151</v>
      </c>
      <c r="G4061">
        <v>94</v>
      </c>
      <c r="H4061">
        <v>1</v>
      </c>
      <c r="I4061">
        <v>4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123</v>
      </c>
      <c r="P4061">
        <f t="shared" si="207"/>
        <v>2024</v>
      </c>
      <c r="Q4061">
        <f t="shared" si="208"/>
        <v>11</v>
      </c>
      <c r="R4061" t="str">
        <f t="shared" si="209"/>
        <v>超级短视频</v>
      </c>
      <c r="S4061" t="s">
        <v>785</v>
      </c>
      <c r="T4061" t="s">
        <v>805</v>
      </c>
    </row>
    <row r="4062" spans="1:20" x14ac:dyDescent="0.3">
      <c r="A4062" t="s">
        <v>627</v>
      </c>
      <c r="B4062" s="16">
        <v>45603</v>
      </c>
      <c r="C4062" t="s">
        <v>2</v>
      </c>
      <c r="D4062" t="s">
        <v>52</v>
      </c>
      <c r="E4062" t="s">
        <v>53</v>
      </c>
      <c r="F4062">
        <v>265</v>
      </c>
      <c r="G4062">
        <v>234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265</v>
      </c>
      <c r="O4062">
        <v>34</v>
      </c>
      <c r="P4062">
        <f t="shared" si="207"/>
        <v>2024</v>
      </c>
      <c r="Q4062">
        <f t="shared" si="208"/>
        <v>11</v>
      </c>
      <c r="R4062" t="str">
        <f t="shared" si="209"/>
        <v>Showmax</v>
      </c>
      <c r="S4062" t="s">
        <v>785</v>
      </c>
      <c r="T4062" t="s">
        <v>805</v>
      </c>
    </row>
    <row r="4063" spans="1:20" x14ac:dyDescent="0.3">
      <c r="A4063" t="s">
        <v>627</v>
      </c>
      <c r="B4063" s="16">
        <v>45603</v>
      </c>
      <c r="C4063" t="s">
        <v>2</v>
      </c>
      <c r="D4063" t="s">
        <v>52</v>
      </c>
      <c r="E4063" t="s">
        <v>59</v>
      </c>
      <c r="F4063">
        <v>256</v>
      </c>
      <c r="G4063">
        <v>208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256</v>
      </c>
      <c r="O4063">
        <v>63</v>
      </c>
      <c r="P4063">
        <f t="shared" si="207"/>
        <v>2024</v>
      </c>
      <c r="Q4063">
        <f t="shared" si="208"/>
        <v>11</v>
      </c>
      <c r="R4063" t="str">
        <f t="shared" si="209"/>
        <v>品牌特秀</v>
      </c>
      <c r="S4063" t="s">
        <v>785</v>
      </c>
      <c r="T4063" t="s">
        <v>805</v>
      </c>
    </row>
    <row r="4064" spans="1:20" x14ac:dyDescent="0.3">
      <c r="A4064" t="s">
        <v>627</v>
      </c>
      <c r="B4064" s="16">
        <v>45603</v>
      </c>
      <c r="C4064" t="s">
        <v>2</v>
      </c>
      <c r="D4064" t="s">
        <v>52</v>
      </c>
      <c r="E4064" t="s">
        <v>183</v>
      </c>
      <c r="F4064">
        <v>580</v>
      </c>
      <c r="G4064">
        <v>468</v>
      </c>
      <c r="H4064">
        <v>13</v>
      </c>
      <c r="I4064">
        <v>4</v>
      </c>
      <c r="J4064">
        <v>25343</v>
      </c>
      <c r="K4064">
        <v>9</v>
      </c>
      <c r="L4064">
        <v>16328</v>
      </c>
      <c r="M4064">
        <v>7</v>
      </c>
      <c r="N4064">
        <v>580</v>
      </c>
      <c r="O4064">
        <v>321</v>
      </c>
      <c r="P4064">
        <f t="shared" si="207"/>
        <v>2024</v>
      </c>
      <c r="Q4064">
        <f t="shared" si="208"/>
        <v>11</v>
      </c>
      <c r="R4064" t="str">
        <f t="shared" si="209"/>
        <v>品销宝-品牌专区</v>
      </c>
      <c r="S4064" t="s">
        <v>785</v>
      </c>
      <c r="T4064" t="s">
        <v>805</v>
      </c>
    </row>
    <row r="4065" spans="1:20" x14ac:dyDescent="0.3">
      <c r="A4065" t="s">
        <v>627</v>
      </c>
      <c r="B4065" s="16">
        <v>45603</v>
      </c>
      <c r="C4065" t="s">
        <v>2</v>
      </c>
      <c r="D4065" t="s">
        <v>57</v>
      </c>
      <c r="E4065" t="s">
        <v>65</v>
      </c>
      <c r="F4065">
        <v>3440</v>
      </c>
      <c r="G4065">
        <v>2801</v>
      </c>
      <c r="H4065">
        <v>49</v>
      </c>
      <c r="I4065">
        <v>22</v>
      </c>
      <c r="J4065">
        <v>63194.5</v>
      </c>
      <c r="K4065">
        <v>11</v>
      </c>
      <c r="L4065">
        <v>36447</v>
      </c>
      <c r="M4065">
        <v>8</v>
      </c>
      <c r="N4065">
        <v>307</v>
      </c>
      <c r="O4065">
        <v>3405</v>
      </c>
      <c r="P4065">
        <f t="shared" si="207"/>
        <v>2024</v>
      </c>
      <c r="Q4065">
        <f t="shared" si="208"/>
        <v>11</v>
      </c>
      <c r="R4065" t="str">
        <f t="shared" si="209"/>
        <v>直通车</v>
      </c>
      <c r="S4065" t="s">
        <v>785</v>
      </c>
      <c r="T4065" t="s">
        <v>805</v>
      </c>
    </row>
    <row r="4066" spans="1:20" x14ac:dyDescent="0.3">
      <c r="A4066" t="s">
        <v>627</v>
      </c>
      <c r="B4066" s="16">
        <v>45603</v>
      </c>
      <c r="C4066" t="s">
        <v>2</v>
      </c>
      <c r="D4066" t="s">
        <v>57</v>
      </c>
      <c r="E4066" t="s">
        <v>63</v>
      </c>
      <c r="F4066">
        <v>3085</v>
      </c>
      <c r="G4066">
        <v>1310</v>
      </c>
      <c r="H4066">
        <v>126</v>
      </c>
      <c r="I4066">
        <v>49</v>
      </c>
      <c r="J4066">
        <v>55592.89</v>
      </c>
      <c r="K4066">
        <v>12</v>
      </c>
      <c r="L4066">
        <v>34522.89</v>
      </c>
      <c r="M4066">
        <v>9</v>
      </c>
      <c r="N4066">
        <v>198</v>
      </c>
      <c r="O4066">
        <v>3082</v>
      </c>
      <c r="P4066">
        <f t="shared" si="207"/>
        <v>2024</v>
      </c>
      <c r="Q4066">
        <f t="shared" si="208"/>
        <v>11</v>
      </c>
      <c r="R4066" t="str">
        <f t="shared" si="209"/>
        <v>万相台</v>
      </c>
      <c r="S4066" t="s">
        <v>785</v>
      </c>
      <c r="T4066" t="s">
        <v>805</v>
      </c>
    </row>
    <row r="4067" spans="1:20" x14ac:dyDescent="0.3">
      <c r="A4067" t="s">
        <v>627</v>
      </c>
      <c r="B4067" s="16">
        <v>45603</v>
      </c>
      <c r="C4067" t="s">
        <v>2</v>
      </c>
      <c r="D4067" t="s">
        <v>57</v>
      </c>
      <c r="E4067" t="s">
        <v>64</v>
      </c>
      <c r="F4067">
        <v>5206</v>
      </c>
      <c r="G4067">
        <v>1988</v>
      </c>
      <c r="H4067">
        <v>111</v>
      </c>
      <c r="I4067">
        <v>68</v>
      </c>
      <c r="J4067">
        <v>71642.5</v>
      </c>
      <c r="K4067">
        <v>14</v>
      </c>
      <c r="L4067">
        <v>40332.5</v>
      </c>
      <c r="M4067">
        <v>10</v>
      </c>
      <c r="N4067">
        <v>364</v>
      </c>
      <c r="O4067">
        <v>5205</v>
      </c>
      <c r="P4067">
        <f t="shared" si="207"/>
        <v>2024</v>
      </c>
      <c r="Q4067">
        <f t="shared" si="208"/>
        <v>11</v>
      </c>
      <c r="R4067" t="str">
        <f t="shared" si="209"/>
        <v>引力魔方</v>
      </c>
      <c r="S4067" t="s">
        <v>785</v>
      </c>
      <c r="T4067" t="s">
        <v>805</v>
      </c>
    </row>
    <row r="4068" spans="1:20" x14ac:dyDescent="0.3">
      <c r="A4068" t="s">
        <v>627</v>
      </c>
      <c r="B4068" s="16">
        <v>45603</v>
      </c>
      <c r="C4068" t="s">
        <v>2</v>
      </c>
      <c r="D4068" t="s">
        <v>4</v>
      </c>
      <c r="E4068" t="s">
        <v>41</v>
      </c>
      <c r="F4068">
        <v>2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1</v>
      </c>
      <c r="O4068">
        <v>1</v>
      </c>
      <c r="P4068">
        <f t="shared" si="207"/>
        <v>2024</v>
      </c>
      <c r="Q4068">
        <f t="shared" si="208"/>
        <v>11</v>
      </c>
      <c r="R4068" t="str">
        <f t="shared" si="209"/>
        <v>流量宝</v>
      </c>
      <c r="S4068" t="s">
        <v>785</v>
      </c>
      <c r="T4068" t="s">
        <v>805</v>
      </c>
    </row>
    <row r="4069" spans="1:20" x14ac:dyDescent="0.3">
      <c r="A4069" t="s">
        <v>627</v>
      </c>
      <c r="B4069" s="16">
        <v>45603</v>
      </c>
      <c r="C4069" t="s">
        <v>2</v>
      </c>
      <c r="D4069" t="s">
        <v>4</v>
      </c>
      <c r="E4069" t="s">
        <v>43</v>
      </c>
      <c r="F4069">
        <v>291</v>
      </c>
      <c r="G4069">
        <v>95</v>
      </c>
      <c r="H4069">
        <v>4</v>
      </c>
      <c r="I4069">
        <v>2</v>
      </c>
      <c r="J4069">
        <v>1990</v>
      </c>
      <c r="K4069">
        <v>1</v>
      </c>
      <c r="L4069">
        <v>1990</v>
      </c>
      <c r="M4069">
        <v>1</v>
      </c>
      <c r="N4069">
        <v>22</v>
      </c>
      <c r="O4069">
        <v>285</v>
      </c>
      <c r="P4069">
        <f t="shared" si="207"/>
        <v>2024</v>
      </c>
      <c r="Q4069">
        <f t="shared" si="208"/>
        <v>11</v>
      </c>
      <c r="R4069" t="str">
        <f t="shared" si="209"/>
        <v>淘宝客</v>
      </c>
      <c r="S4069" t="s">
        <v>785</v>
      </c>
      <c r="T4069" t="s">
        <v>805</v>
      </c>
    </row>
    <row r="4070" spans="1:20" x14ac:dyDescent="0.3">
      <c r="A4070" t="s">
        <v>627</v>
      </c>
      <c r="B4070" s="16">
        <v>45602</v>
      </c>
      <c r="C4070" t="s">
        <v>3</v>
      </c>
      <c r="D4070" t="s">
        <v>114</v>
      </c>
      <c r="E4070" t="s">
        <v>159</v>
      </c>
      <c r="F4070">
        <v>162</v>
      </c>
      <c r="G4070">
        <v>65</v>
      </c>
      <c r="H4070">
        <v>3</v>
      </c>
      <c r="I4070">
        <v>2</v>
      </c>
      <c r="J4070">
        <v>3900</v>
      </c>
      <c r="K4070">
        <v>1</v>
      </c>
      <c r="L4070">
        <v>3900</v>
      </c>
      <c r="M4070">
        <v>1</v>
      </c>
      <c r="N4070">
        <v>13</v>
      </c>
      <c r="O4070">
        <v>157</v>
      </c>
      <c r="P4070">
        <f t="shared" si="207"/>
        <v>2024</v>
      </c>
      <c r="Q4070">
        <f t="shared" si="208"/>
        <v>11</v>
      </c>
      <c r="R4070" t="str">
        <f t="shared" si="209"/>
        <v>主会场</v>
      </c>
      <c r="S4070" t="s">
        <v>785</v>
      </c>
      <c r="T4070" t="s">
        <v>805</v>
      </c>
    </row>
    <row r="4071" spans="1:20" x14ac:dyDescent="0.3">
      <c r="A4071" t="s">
        <v>627</v>
      </c>
      <c r="B4071" s="16">
        <v>45602</v>
      </c>
      <c r="C4071" t="s">
        <v>3</v>
      </c>
      <c r="D4071" t="s">
        <v>114</v>
      </c>
      <c r="E4071" t="s">
        <v>160</v>
      </c>
      <c r="F4071">
        <v>5</v>
      </c>
      <c r="G4071">
        <v>4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2</v>
      </c>
      <c r="O4071">
        <v>5</v>
      </c>
      <c r="P4071">
        <f t="shared" si="207"/>
        <v>2024</v>
      </c>
      <c r="Q4071">
        <f t="shared" si="208"/>
        <v>11</v>
      </c>
      <c r="R4071" t="str">
        <f t="shared" si="209"/>
        <v>榜单会场</v>
      </c>
      <c r="S4071" t="s">
        <v>785</v>
      </c>
      <c r="T4071" t="s">
        <v>805</v>
      </c>
    </row>
    <row r="4072" spans="1:20" x14ac:dyDescent="0.3">
      <c r="A4072" t="s">
        <v>627</v>
      </c>
      <c r="B4072" s="16">
        <v>45602</v>
      </c>
      <c r="C4072" t="s">
        <v>3</v>
      </c>
      <c r="D4072" t="s">
        <v>117</v>
      </c>
      <c r="E4072" t="s">
        <v>161</v>
      </c>
      <c r="F4072">
        <v>16</v>
      </c>
      <c r="G4072">
        <v>11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2</v>
      </c>
      <c r="O4072">
        <v>16</v>
      </c>
      <c r="P4072">
        <f t="shared" si="207"/>
        <v>2024</v>
      </c>
      <c r="Q4072">
        <f t="shared" si="208"/>
        <v>11</v>
      </c>
      <c r="R4072" t="str">
        <f t="shared" si="209"/>
        <v>其他入口榜单</v>
      </c>
      <c r="S4072" t="s">
        <v>785</v>
      </c>
      <c r="T4072" t="s">
        <v>805</v>
      </c>
    </row>
    <row r="4073" spans="1:20" x14ac:dyDescent="0.3">
      <c r="A4073" t="s">
        <v>627</v>
      </c>
      <c r="B4073" s="16">
        <v>45602</v>
      </c>
      <c r="C4073" t="s">
        <v>3</v>
      </c>
      <c r="D4073" t="s">
        <v>117</v>
      </c>
      <c r="E4073" t="s">
        <v>195</v>
      </c>
      <c r="F4073">
        <v>1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</v>
      </c>
      <c r="P4073">
        <f t="shared" ref="P4073:P4136" si="210">YEAR(B4073)</f>
        <v>2024</v>
      </c>
      <c r="Q4073">
        <f t="shared" ref="Q4073:Q4136" si="211">MONTH(B4073)</f>
        <v>11</v>
      </c>
      <c r="R4073" t="str">
        <f t="shared" ref="R4073:R4136" si="212">E4073</f>
        <v>搜索入口榜单</v>
      </c>
      <c r="S4073" t="s">
        <v>785</v>
      </c>
      <c r="T4073" t="s">
        <v>805</v>
      </c>
    </row>
    <row r="4074" spans="1:20" x14ac:dyDescent="0.3">
      <c r="A4074" t="s">
        <v>627</v>
      </c>
      <c r="B4074" s="16">
        <v>45602</v>
      </c>
      <c r="C4074" t="s">
        <v>3</v>
      </c>
      <c r="D4074" t="s">
        <v>123</v>
      </c>
      <c r="E4074" t="s">
        <v>169</v>
      </c>
      <c r="F4074">
        <v>274</v>
      </c>
      <c r="G4074">
        <v>105</v>
      </c>
      <c r="H4074">
        <v>14</v>
      </c>
      <c r="I4074">
        <v>5</v>
      </c>
      <c r="J4074">
        <v>33140</v>
      </c>
      <c r="K4074">
        <v>6</v>
      </c>
      <c r="L4074">
        <v>12840</v>
      </c>
      <c r="M4074">
        <v>4</v>
      </c>
      <c r="N4074">
        <v>59</v>
      </c>
      <c r="O4074">
        <v>265</v>
      </c>
      <c r="P4074">
        <f t="shared" si="210"/>
        <v>2024</v>
      </c>
      <c r="Q4074">
        <f t="shared" si="211"/>
        <v>11</v>
      </c>
      <c r="R4074" t="str">
        <f t="shared" si="212"/>
        <v>商品详情页头图推荐</v>
      </c>
      <c r="S4074" t="s">
        <v>785</v>
      </c>
      <c r="T4074" t="s">
        <v>805</v>
      </c>
    </row>
    <row r="4075" spans="1:20" x14ac:dyDescent="0.3">
      <c r="A4075" t="s">
        <v>627</v>
      </c>
      <c r="B4075" s="16">
        <v>45602</v>
      </c>
      <c r="C4075" t="s">
        <v>3</v>
      </c>
      <c r="D4075" t="s">
        <v>123</v>
      </c>
      <c r="E4075" t="s">
        <v>170</v>
      </c>
      <c r="F4075">
        <v>60</v>
      </c>
      <c r="G4075">
        <v>28</v>
      </c>
      <c r="H4075">
        <v>2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52</v>
      </c>
      <c r="O4075">
        <v>29</v>
      </c>
      <c r="P4075">
        <f t="shared" si="210"/>
        <v>2024</v>
      </c>
      <c r="Q4075">
        <f t="shared" si="211"/>
        <v>11</v>
      </c>
      <c r="R4075" t="str">
        <f t="shared" si="212"/>
        <v>店铺超链</v>
      </c>
      <c r="S4075" t="s">
        <v>785</v>
      </c>
      <c r="T4075" t="s">
        <v>805</v>
      </c>
    </row>
    <row r="4076" spans="1:20" x14ac:dyDescent="0.3">
      <c r="A4076" t="s">
        <v>627</v>
      </c>
      <c r="B4076" s="16">
        <v>45602</v>
      </c>
      <c r="C4076" t="s">
        <v>2</v>
      </c>
      <c r="D4076" t="s">
        <v>52</v>
      </c>
      <c r="E4076" t="s">
        <v>59</v>
      </c>
      <c r="F4076">
        <v>1202</v>
      </c>
      <c r="G4076">
        <v>919</v>
      </c>
      <c r="H4076">
        <v>12</v>
      </c>
      <c r="I4076">
        <v>3</v>
      </c>
      <c r="J4076">
        <v>5530</v>
      </c>
      <c r="K4076">
        <v>2</v>
      </c>
      <c r="L4076">
        <v>5530</v>
      </c>
      <c r="M4076">
        <v>2</v>
      </c>
      <c r="N4076">
        <v>1015</v>
      </c>
      <c r="O4076">
        <v>185</v>
      </c>
      <c r="P4076">
        <f t="shared" si="210"/>
        <v>2024</v>
      </c>
      <c r="Q4076">
        <f t="shared" si="211"/>
        <v>11</v>
      </c>
      <c r="R4076" t="s">
        <v>171</v>
      </c>
      <c r="S4076" t="s">
        <v>785</v>
      </c>
      <c r="T4076" t="s">
        <v>805</v>
      </c>
    </row>
    <row r="4077" spans="1:20" x14ac:dyDescent="0.3">
      <c r="A4077" t="s">
        <v>627</v>
      </c>
      <c r="B4077" s="16">
        <v>45602</v>
      </c>
      <c r="C4077" t="s">
        <v>3</v>
      </c>
      <c r="D4077" t="s">
        <v>127</v>
      </c>
      <c r="E4077" t="s">
        <v>172</v>
      </c>
      <c r="F4077">
        <v>31</v>
      </c>
      <c r="G4077">
        <v>18</v>
      </c>
      <c r="H4077">
        <v>0</v>
      </c>
      <c r="I4077">
        <v>1</v>
      </c>
      <c r="J4077">
        <v>0</v>
      </c>
      <c r="K4077">
        <v>0</v>
      </c>
      <c r="L4077">
        <v>0</v>
      </c>
      <c r="M4077">
        <v>0</v>
      </c>
      <c r="N4077">
        <v>7</v>
      </c>
      <c r="O4077">
        <v>21</v>
      </c>
      <c r="P4077">
        <f t="shared" si="210"/>
        <v>2024</v>
      </c>
      <c r="Q4077">
        <f t="shared" si="211"/>
        <v>11</v>
      </c>
      <c r="R4077" t="str">
        <f t="shared" si="212"/>
        <v>购中推荐</v>
      </c>
      <c r="S4077" t="s">
        <v>785</v>
      </c>
      <c r="T4077" t="s">
        <v>805</v>
      </c>
    </row>
    <row r="4078" spans="1:20" x14ac:dyDescent="0.3">
      <c r="A4078" t="s">
        <v>627</v>
      </c>
      <c r="B4078" s="16">
        <v>45602</v>
      </c>
      <c r="C4078" t="s">
        <v>3</v>
      </c>
      <c r="D4078" t="s">
        <v>127</v>
      </c>
      <c r="E4078" t="s">
        <v>173</v>
      </c>
      <c r="F4078">
        <v>183</v>
      </c>
      <c r="G4078">
        <v>128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60</v>
      </c>
      <c r="O4078">
        <v>63</v>
      </c>
      <c r="P4078">
        <f t="shared" si="210"/>
        <v>2024</v>
      </c>
      <c r="Q4078">
        <f t="shared" si="211"/>
        <v>11</v>
      </c>
      <c r="R4078" t="str">
        <f t="shared" si="212"/>
        <v>购后推荐</v>
      </c>
      <c r="S4078" t="s">
        <v>785</v>
      </c>
      <c r="T4078" t="s">
        <v>805</v>
      </c>
    </row>
    <row r="4079" spans="1:20" x14ac:dyDescent="0.3">
      <c r="A4079" t="s">
        <v>627</v>
      </c>
      <c r="B4079" s="16">
        <v>45602</v>
      </c>
      <c r="C4079" t="s">
        <v>3</v>
      </c>
      <c r="D4079" t="s">
        <v>127</v>
      </c>
      <c r="E4079" t="s">
        <v>174</v>
      </c>
      <c r="F4079">
        <v>5017</v>
      </c>
      <c r="G4079">
        <v>2587</v>
      </c>
      <c r="H4079">
        <v>124</v>
      </c>
      <c r="I4079">
        <v>51</v>
      </c>
      <c r="J4079">
        <v>68271</v>
      </c>
      <c r="K4079">
        <v>12</v>
      </c>
      <c r="L4079">
        <v>49733</v>
      </c>
      <c r="M4079">
        <v>8</v>
      </c>
      <c r="N4079">
        <v>354</v>
      </c>
      <c r="O4079">
        <v>5017</v>
      </c>
      <c r="P4079">
        <f t="shared" si="210"/>
        <v>2024</v>
      </c>
      <c r="Q4079">
        <f t="shared" si="211"/>
        <v>11</v>
      </c>
      <c r="R4079" t="str">
        <f t="shared" si="212"/>
        <v>首页推荐-微详情</v>
      </c>
      <c r="S4079" t="s">
        <v>785</v>
      </c>
      <c r="T4079" t="s">
        <v>805</v>
      </c>
    </row>
    <row r="4080" spans="1:20" x14ac:dyDescent="0.3">
      <c r="A4080" t="s">
        <v>627</v>
      </c>
      <c r="B4080" s="16">
        <v>45602</v>
      </c>
      <c r="C4080" t="s">
        <v>3</v>
      </c>
      <c r="D4080" t="s">
        <v>127</v>
      </c>
      <c r="E4080" t="s">
        <v>175</v>
      </c>
      <c r="F4080">
        <v>1782</v>
      </c>
      <c r="G4080">
        <v>1528</v>
      </c>
      <c r="H4080">
        <v>5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1</v>
      </c>
      <c r="O4080">
        <v>40</v>
      </c>
      <c r="P4080">
        <f t="shared" si="210"/>
        <v>2024</v>
      </c>
      <c r="Q4080">
        <f t="shared" si="211"/>
        <v>11</v>
      </c>
      <c r="R4080" t="str">
        <f t="shared" si="212"/>
        <v>首页推荐-直播</v>
      </c>
      <c r="S4080" t="s">
        <v>785</v>
      </c>
      <c r="T4080" t="s">
        <v>805</v>
      </c>
    </row>
    <row r="4081" spans="1:20" x14ac:dyDescent="0.3">
      <c r="A4081" t="s">
        <v>627</v>
      </c>
      <c r="B4081" s="16">
        <v>45602</v>
      </c>
      <c r="C4081" t="s">
        <v>3</v>
      </c>
      <c r="D4081" t="s">
        <v>127</v>
      </c>
      <c r="E4081" t="s">
        <v>176</v>
      </c>
      <c r="F4081">
        <v>730</v>
      </c>
      <c r="G4081">
        <v>307</v>
      </c>
      <c r="H4081">
        <v>14</v>
      </c>
      <c r="I4081">
        <v>0</v>
      </c>
      <c r="J4081">
        <v>11650</v>
      </c>
      <c r="K4081">
        <v>2</v>
      </c>
      <c r="L4081">
        <v>11650</v>
      </c>
      <c r="M4081">
        <v>2</v>
      </c>
      <c r="N4081">
        <v>37</v>
      </c>
      <c r="O4081">
        <v>175</v>
      </c>
      <c r="P4081">
        <f t="shared" si="210"/>
        <v>2024</v>
      </c>
      <c r="Q4081">
        <f t="shared" si="211"/>
        <v>11</v>
      </c>
      <c r="R4081" t="str">
        <f t="shared" si="212"/>
        <v>首页推荐-短视频</v>
      </c>
      <c r="S4081" t="s">
        <v>785</v>
      </c>
      <c r="T4081" t="s">
        <v>805</v>
      </c>
    </row>
    <row r="4082" spans="1:20" x14ac:dyDescent="0.3">
      <c r="A4082" t="s">
        <v>627</v>
      </c>
      <c r="B4082" s="16">
        <v>45602</v>
      </c>
      <c r="C4082" t="s">
        <v>3</v>
      </c>
      <c r="D4082" t="s">
        <v>128</v>
      </c>
      <c r="E4082" t="s">
        <v>177</v>
      </c>
      <c r="F4082">
        <v>1223</v>
      </c>
      <c r="G4082">
        <v>875</v>
      </c>
      <c r="H4082">
        <v>43</v>
      </c>
      <c r="I4082">
        <v>22</v>
      </c>
      <c r="J4082">
        <v>31600</v>
      </c>
      <c r="K4082">
        <v>8</v>
      </c>
      <c r="L4082">
        <v>22400</v>
      </c>
      <c r="M4082">
        <v>6</v>
      </c>
      <c r="N4082">
        <v>323</v>
      </c>
      <c r="O4082">
        <v>1115</v>
      </c>
      <c r="P4082">
        <f t="shared" si="210"/>
        <v>2024</v>
      </c>
      <c r="Q4082">
        <f t="shared" si="211"/>
        <v>11</v>
      </c>
      <c r="R4082" t="str">
        <f t="shared" si="212"/>
        <v>手淘搜索-商品及其他</v>
      </c>
      <c r="S4082" t="s">
        <v>785</v>
      </c>
      <c r="T4082" t="s">
        <v>805</v>
      </c>
    </row>
    <row r="4083" spans="1:20" x14ac:dyDescent="0.3">
      <c r="A4083" t="s">
        <v>627</v>
      </c>
      <c r="B4083" s="16">
        <v>45602</v>
      </c>
      <c r="C4083" t="s">
        <v>3</v>
      </c>
      <c r="D4083" t="s">
        <v>128</v>
      </c>
      <c r="E4083" t="s">
        <v>178</v>
      </c>
      <c r="F4083">
        <v>70</v>
      </c>
      <c r="G4083">
        <v>64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1</v>
      </c>
      <c r="O4083">
        <v>13</v>
      </c>
      <c r="P4083">
        <f t="shared" si="210"/>
        <v>2024</v>
      </c>
      <c r="Q4083">
        <f t="shared" si="211"/>
        <v>11</v>
      </c>
      <c r="R4083" t="str">
        <f t="shared" si="212"/>
        <v>手淘搜索-直播</v>
      </c>
      <c r="S4083" t="s">
        <v>785</v>
      </c>
      <c r="T4083" t="s">
        <v>805</v>
      </c>
    </row>
    <row r="4084" spans="1:20" x14ac:dyDescent="0.3">
      <c r="A4084" t="s">
        <v>627</v>
      </c>
      <c r="B4084" s="16">
        <v>45602</v>
      </c>
      <c r="C4084" t="s">
        <v>3</v>
      </c>
      <c r="D4084" t="s">
        <v>128</v>
      </c>
      <c r="E4084" t="s">
        <v>179</v>
      </c>
      <c r="F4084">
        <v>153</v>
      </c>
      <c r="G4084">
        <v>132</v>
      </c>
      <c r="H4084">
        <v>2</v>
      </c>
      <c r="I4084">
        <v>0</v>
      </c>
      <c r="J4084">
        <v>5750</v>
      </c>
      <c r="K4084">
        <v>1</v>
      </c>
      <c r="L4084">
        <v>0</v>
      </c>
      <c r="M4084">
        <v>0</v>
      </c>
      <c r="N4084">
        <v>4</v>
      </c>
      <c r="O4084">
        <v>149</v>
      </c>
      <c r="P4084">
        <f t="shared" si="210"/>
        <v>2024</v>
      </c>
      <c r="Q4084">
        <f t="shared" si="211"/>
        <v>11</v>
      </c>
      <c r="R4084" t="str">
        <f t="shared" si="212"/>
        <v>手淘搜索-短视频</v>
      </c>
      <c r="S4084" t="s">
        <v>785</v>
      </c>
      <c r="T4084" t="s">
        <v>805</v>
      </c>
    </row>
    <row r="4085" spans="1:20" x14ac:dyDescent="0.3">
      <c r="A4085" t="s">
        <v>627</v>
      </c>
      <c r="B4085" s="16">
        <v>45602</v>
      </c>
      <c r="C4085" t="s">
        <v>3</v>
      </c>
      <c r="D4085" t="s">
        <v>143</v>
      </c>
      <c r="E4085" t="s">
        <v>180</v>
      </c>
      <c r="F4085">
        <v>3</v>
      </c>
      <c r="G4085">
        <v>3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3</v>
      </c>
      <c r="P4085">
        <f t="shared" si="210"/>
        <v>2024</v>
      </c>
      <c r="Q4085">
        <f t="shared" si="211"/>
        <v>11</v>
      </c>
      <c r="R4085" t="str">
        <f t="shared" si="212"/>
        <v>淘特其他渠道</v>
      </c>
      <c r="S4085" t="s">
        <v>785</v>
      </c>
      <c r="T4085" t="s">
        <v>805</v>
      </c>
    </row>
    <row r="4086" spans="1:20" x14ac:dyDescent="0.3">
      <c r="A4086" t="s">
        <v>627</v>
      </c>
      <c r="B4086" s="16">
        <v>45602</v>
      </c>
      <c r="C4086" t="s">
        <v>3</v>
      </c>
      <c r="D4086" t="s">
        <v>143</v>
      </c>
      <c r="E4086" t="s">
        <v>181</v>
      </c>
      <c r="F4086">
        <v>12</v>
      </c>
      <c r="G4086">
        <v>12</v>
      </c>
      <c r="H4086">
        <v>1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12</v>
      </c>
      <c r="P4086">
        <f t="shared" si="210"/>
        <v>2024</v>
      </c>
      <c r="Q4086">
        <f t="shared" si="211"/>
        <v>11</v>
      </c>
      <c r="R4086" t="str">
        <f t="shared" si="212"/>
        <v>淘特搜索</v>
      </c>
      <c r="S4086" t="s">
        <v>785</v>
      </c>
      <c r="T4086" t="s">
        <v>805</v>
      </c>
    </row>
    <row r="4087" spans="1:20" x14ac:dyDescent="0.3">
      <c r="A4087" t="s">
        <v>627</v>
      </c>
      <c r="B4087" s="16">
        <v>45602</v>
      </c>
      <c r="C4087" t="s">
        <v>3</v>
      </c>
      <c r="D4087" t="s">
        <v>143</v>
      </c>
      <c r="E4087" t="s">
        <v>224</v>
      </c>
      <c r="F4087">
        <v>1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1</v>
      </c>
      <c r="P4087">
        <f t="shared" si="210"/>
        <v>2024</v>
      </c>
      <c r="Q4087">
        <f t="shared" si="211"/>
        <v>11</v>
      </c>
      <c r="R4087" t="str">
        <f t="shared" si="212"/>
        <v>淘特自主访问</v>
      </c>
      <c r="S4087" t="s">
        <v>785</v>
      </c>
      <c r="T4087" t="s">
        <v>805</v>
      </c>
    </row>
    <row r="4088" spans="1:20" x14ac:dyDescent="0.3">
      <c r="A4088" t="s">
        <v>627</v>
      </c>
      <c r="B4088" s="16">
        <v>45602</v>
      </c>
      <c r="C4088" t="s">
        <v>2</v>
      </c>
      <c r="D4088" t="s">
        <v>55</v>
      </c>
      <c r="E4088" t="s">
        <v>54</v>
      </c>
      <c r="F4088">
        <v>1700</v>
      </c>
      <c r="G4088">
        <v>1197</v>
      </c>
      <c r="H4088">
        <v>16</v>
      </c>
      <c r="I4088">
        <v>4</v>
      </c>
      <c r="J4088">
        <v>0</v>
      </c>
      <c r="K4088">
        <v>0</v>
      </c>
      <c r="L4088">
        <v>0</v>
      </c>
      <c r="M4088">
        <v>0</v>
      </c>
      <c r="N4088">
        <v>52</v>
      </c>
      <c r="O4088">
        <v>221</v>
      </c>
      <c r="P4088">
        <f t="shared" si="210"/>
        <v>2024</v>
      </c>
      <c r="Q4088">
        <f t="shared" si="211"/>
        <v>11</v>
      </c>
      <c r="R4088" t="str">
        <f t="shared" si="212"/>
        <v>超级直播</v>
      </c>
      <c r="S4088" t="s">
        <v>785</v>
      </c>
      <c r="T4088" t="s">
        <v>805</v>
      </c>
    </row>
    <row r="4089" spans="1:20" x14ac:dyDescent="0.3">
      <c r="A4089" t="s">
        <v>627</v>
      </c>
      <c r="B4089" s="16">
        <v>45602</v>
      </c>
      <c r="C4089" t="s">
        <v>2</v>
      </c>
      <c r="D4089" t="s">
        <v>55</v>
      </c>
      <c r="E4089" t="s">
        <v>56</v>
      </c>
      <c r="F4089">
        <v>108</v>
      </c>
      <c r="G4089">
        <v>59</v>
      </c>
      <c r="H4089">
        <v>3</v>
      </c>
      <c r="I4089">
        <v>7</v>
      </c>
      <c r="J4089">
        <v>0</v>
      </c>
      <c r="K4089">
        <v>0</v>
      </c>
      <c r="L4089">
        <v>0</v>
      </c>
      <c r="M4089">
        <v>0</v>
      </c>
      <c r="N4089">
        <v>2</v>
      </c>
      <c r="O4089">
        <v>93</v>
      </c>
      <c r="P4089">
        <f t="shared" si="210"/>
        <v>2024</v>
      </c>
      <c r="Q4089">
        <f t="shared" si="211"/>
        <v>11</v>
      </c>
      <c r="R4089" t="str">
        <f t="shared" si="212"/>
        <v>超级短视频</v>
      </c>
      <c r="S4089" t="s">
        <v>785</v>
      </c>
      <c r="T4089" t="s">
        <v>805</v>
      </c>
    </row>
    <row r="4090" spans="1:20" x14ac:dyDescent="0.3">
      <c r="A4090" t="s">
        <v>627</v>
      </c>
      <c r="B4090" s="16">
        <v>45602</v>
      </c>
      <c r="C4090" t="s">
        <v>2</v>
      </c>
      <c r="D4090" t="s">
        <v>52</v>
      </c>
      <c r="E4090" t="s">
        <v>53</v>
      </c>
      <c r="F4090">
        <v>336</v>
      </c>
      <c r="G4090">
        <v>288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336</v>
      </c>
      <c r="O4090">
        <v>47</v>
      </c>
      <c r="P4090">
        <f t="shared" si="210"/>
        <v>2024</v>
      </c>
      <c r="Q4090">
        <f t="shared" si="211"/>
        <v>11</v>
      </c>
      <c r="R4090" t="str">
        <f t="shared" si="212"/>
        <v>Showmax</v>
      </c>
      <c r="S4090" t="s">
        <v>785</v>
      </c>
      <c r="T4090" t="s">
        <v>805</v>
      </c>
    </row>
    <row r="4091" spans="1:20" x14ac:dyDescent="0.3">
      <c r="A4091" t="s">
        <v>627</v>
      </c>
      <c r="B4091" s="16">
        <v>45602</v>
      </c>
      <c r="C4091" t="s">
        <v>2</v>
      </c>
      <c r="D4091" t="s">
        <v>52</v>
      </c>
      <c r="E4091" t="s">
        <v>59</v>
      </c>
      <c r="F4091">
        <v>233</v>
      </c>
      <c r="G4091">
        <v>205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233</v>
      </c>
      <c r="O4091">
        <v>40</v>
      </c>
      <c r="P4091">
        <f t="shared" si="210"/>
        <v>2024</v>
      </c>
      <c r="Q4091">
        <f t="shared" si="211"/>
        <v>11</v>
      </c>
      <c r="R4091" t="str">
        <f t="shared" si="212"/>
        <v>品牌特秀</v>
      </c>
      <c r="S4091" t="s">
        <v>785</v>
      </c>
      <c r="T4091" t="s">
        <v>805</v>
      </c>
    </row>
    <row r="4092" spans="1:20" x14ac:dyDescent="0.3">
      <c r="A4092" t="s">
        <v>627</v>
      </c>
      <c r="B4092" s="16">
        <v>45602</v>
      </c>
      <c r="C4092" t="s">
        <v>2</v>
      </c>
      <c r="D4092" t="s">
        <v>52</v>
      </c>
      <c r="E4092" t="s">
        <v>183</v>
      </c>
      <c r="F4092">
        <v>562</v>
      </c>
      <c r="G4092">
        <v>443</v>
      </c>
      <c r="H4092">
        <v>17</v>
      </c>
      <c r="I4092">
        <v>6</v>
      </c>
      <c r="J4092">
        <v>32296.5</v>
      </c>
      <c r="K4092">
        <v>8</v>
      </c>
      <c r="L4092">
        <v>32296.5</v>
      </c>
      <c r="M4092">
        <v>8</v>
      </c>
      <c r="N4092">
        <v>562</v>
      </c>
      <c r="O4092">
        <v>334</v>
      </c>
      <c r="P4092">
        <f t="shared" si="210"/>
        <v>2024</v>
      </c>
      <c r="Q4092">
        <f t="shared" si="211"/>
        <v>11</v>
      </c>
      <c r="R4092" t="str">
        <f t="shared" si="212"/>
        <v>品销宝-品牌专区</v>
      </c>
      <c r="S4092" t="s">
        <v>785</v>
      </c>
      <c r="T4092" t="s">
        <v>805</v>
      </c>
    </row>
    <row r="4093" spans="1:20" x14ac:dyDescent="0.3">
      <c r="A4093" t="s">
        <v>627</v>
      </c>
      <c r="B4093" s="16">
        <v>45602</v>
      </c>
      <c r="C4093" t="s">
        <v>2</v>
      </c>
      <c r="D4093" t="s">
        <v>52</v>
      </c>
      <c r="E4093" t="s">
        <v>58</v>
      </c>
      <c r="F4093">
        <v>1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1</v>
      </c>
      <c r="P4093">
        <f t="shared" si="210"/>
        <v>2024</v>
      </c>
      <c r="Q4093">
        <f t="shared" si="211"/>
        <v>11</v>
      </c>
      <c r="R4093" t="str">
        <f t="shared" si="212"/>
        <v>超级全域通</v>
      </c>
      <c r="S4093" t="s">
        <v>785</v>
      </c>
      <c r="T4093" t="s">
        <v>805</v>
      </c>
    </row>
    <row r="4094" spans="1:20" x14ac:dyDescent="0.3">
      <c r="A4094" t="s">
        <v>627</v>
      </c>
      <c r="B4094" s="16">
        <v>45602</v>
      </c>
      <c r="C4094" t="s">
        <v>2</v>
      </c>
      <c r="D4094" t="s">
        <v>57</v>
      </c>
      <c r="E4094" t="s">
        <v>65</v>
      </c>
      <c r="F4094">
        <v>3487</v>
      </c>
      <c r="G4094">
        <v>2880</v>
      </c>
      <c r="H4094">
        <v>52</v>
      </c>
      <c r="I4094">
        <v>15</v>
      </c>
      <c r="J4094">
        <v>45330</v>
      </c>
      <c r="K4094">
        <v>7</v>
      </c>
      <c r="L4094">
        <v>29970</v>
      </c>
      <c r="M4094">
        <v>6</v>
      </c>
      <c r="N4094">
        <v>299</v>
      </c>
      <c r="O4094">
        <v>3455</v>
      </c>
      <c r="P4094">
        <f t="shared" si="210"/>
        <v>2024</v>
      </c>
      <c r="Q4094">
        <f t="shared" si="211"/>
        <v>11</v>
      </c>
      <c r="R4094" t="str">
        <f t="shared" si="212"/>
        <v>直通车</v>
      </c>
      <c r="S4094" t="s">
        <v>785</v>
      </c>
      <c r="T4094" t="s">
        <v>805</v>
      </c>
    </row>
    <row r="4095" spans="1:20" x14ac:dyDescent="0.3">
      <c r="A4095" t="s">
        <v>627</v>
      </c>
      <c r="B4095" s="16">
        <v>45602</v>
      </c>
      <c r="C4095" t="s">
        <v>2</v>
      </c>
      <c r="D4095" t="s">
        <v>57</v>
      </c>
      <c r="E4095" t="s">
        <v>63</v>
      </c>
      <c r="F4095">
        <v>3343</v>
      </c>
      <c r="G4095">
        <v>1786</v>
      </c>
      <c r="H4095">
        <v>105</v>
      </c>
      <c r="I4095">
        <v>43</v>
      </c>
      <c r="J4095">
        <v>76945</v>
      </c>
      <c r="K4095">
        <v>11</v>
      </c>
      <c r="L4095">
        <v>23970</v>
      </c>
      <c r="M4095">
        <v>5</v>
      </c>
      <c r="N4095">
        <v>180</v>
      </c>
      <c r="O4095">
        <v>3327</v>
      </c>
      <c r="P4095">
        <f t="shared" si="210"/>
        <v>2024</v>
      </c>
      <c r="Q4095">
        <f t="shared" si="211"/>
        <v>11</v>
      </c>
      <c r="R4095" t="str">
        <f t="shared" si="212"/>
        <v>万相台</v>
      </c>
      <c r="S4095" t="s">
        <v>785</v>
      </c>
      <c r="T4095" t="s">
        <v>805</v>
      </c>
    </row>
    <row r="4096" spans="1:20" x14ac:dyDescent="0.3">
      <c r="A4096" t="s">
        <v>627</v>
      </c>
      <c r="B4096" s="16">
        <v>45602</v>
      </c>
      <c r="C4096" t="s">
        <v>2</v>
      </c>
      <c r="D4096" t="s">
        <v>57</v>
      </c>
      <c r="E4096" t="s">
        <v>64</v>
      </c>
      <c r="F4096">
        <v>5301</v>
      </c>
      <c r="G4096">
        <v>1943</v>
      </c>
      <c r="H4096">
        <v>114</v>
      </c>
      <c r="I4096">
        <v>69</v>
      </c>
      <c r="J4096">
        <v>44555</v>
      </c>
      <c r="K4096">
        <v>9</v>
      </c>
      <c r="L4096">
        <v>21975</v>
      </c>
      <c r="M4096">
        <v>6</v>
      </c>
      <c r="N4096">
        <v>397</v>
      </c>
      <c r="O4096">
        <v>5301</v>
      </c>
      <c r="P4096">
        <f t="shared" si="210"/>
        <v>2024</v>
      </c>
      <c r="Q4096">
        <f t="shared" si="211"/>
        <v>11</v>
      </c>
      <c r="R4096" t="str">
        <f t="shared" si="212"/>
        <v>引力魔方</v>
      </c>
      <c r="S4096" t="s">
        <v>785</v>
      </c>
      <c r="T4096" t="s">
        <v>805</v>
      </c>
    </row>
    <row r="4097" spans="1:20" x14ac:dyDescent="0.3">
      <c r="A4097" t="s">
        <v>627</v>
      </c>
      <c r="B4097" s="16">
        <v>45602</v>
      </c>
      <c r="C4097" t="s">
        <v>2</v>
      </c>
      <c r="D4097" t="s">
        <v>4</v>
      </c>
      <c r="E4097" t="s">
        <v>42</v>
      </c>
      <c r="F4097">
        <v>1</v>
      </c>
      <c r="G4097">
        <v>1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f t="shared" si="210"/>
        <v>2024</v>
      </c>
      <c r="Q4097">
        <f t="shared" si="211"/>
        <v>11</v>
      </c>
      <c r="R4097" t="str">
        <f t="shared" si="212"/>
        <v>UD效果投放</v>
      </c>
      <c r="S4097" t="s">
        <v>785</v>
      </c>
      <c r="T4097" t="s">
        <v>805</v>
      </c>
    </row>
    <row r="4098" spans="1:20" x14ac:dyDescent="0.3">
      <c r="A4098" t="s">
        <v>627</v>
      </c>
      <c r="B4098" s="16">
        <v>45602</v>
      </c>
      <c r="C4098" t="s">
        <v>2</v>
      </c>
      <c r="D4098" t="s">
        <v>4</v>
      </c>
      <c r="E4098" t="s">
        <v>41</v>
      </c>
      <c r="F4098">
        <v>2</v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1</v>
      </c>
      <c r="O4098">
        <v>2</v>
      </c>
      <c r="P4098">
        <f t="shared" si="210"/>
        <v>2024</v>
      </c>
      <c r="Q4098">
        <f t="shared" si="211"/>
        <v>11</v>
      </c>
      <c r="R4098" t="str">
        <f t="shared" si="212"/>
        <v>流量宝</v>
      </c>
      <c r="S4098" t="s">
        <v>785</v>
      </c>
      <c r="T4098" t="s">
        <v>805</v>
      </c>
    </row>
    <row r="4099" spans="1:20" x14ac:dyDescent="0.3">
      <c r="A4099" t="s">
        <v>627</v>
      </c>
      <c r="B4099" s="16">
        <v>45602</v>
      </c>
      <c r="C4099" t="s">
        <v>2</v>
      </c>
      <c r="D4099" t="s">
        <v>4</v>
      </c>
      <c r="E4099" t="s">
        <v>43</v>
      </c>
      <c r="F4099">
        <v>302</v>
      </c>
      <c r="G4099">
        <v>101</v>
      </c>
      <c r="H4099">
        <v>7</v>
      </c>
      <c r="I4099">
        <v>1</v>
      </c>
      <c r="J4099">
        <v>0</v>
      </c>
      <c r="K4099">
        <v>0</v>
      </c>
      <c r="L4099">
        <v>0</v>
      </c>
      <c r="M4099">
        <v>0</v>
      </c>
      <c r="N4099">
        <v>20</v>
      </c>
      <c r="O4099">
        <v>298</v>
      </c>
      <c r="P4099">
        <f t="shared" si="210"/>
        <v>2024</v>
      </c>
      <c r="Q4099">
        <f t="shared" si="211"/>
        <v>11</v>
      </c>
      <c r="R4099" t="str">
        <f t="shared" si="212"/>
        <v>淘宝客</v>
      </c>
      <c r="S4099" t="s">
        <v>785</v>
      </c>
      <c r="T4099" t="s">
        <v>805</v>
      </c>
    </row>
    <row r="4100" spans="1:20" x14ac:dyDescent="0.3">
      <c r="A4100" t="s">
        <v>627</v>
      </c>
      <c r="B4100" s="16">
        <v>45601</v>
      </c>
      <c r="C4100" t="s">
        <v>3</v>
      </c>
      <c r="D4100" t="s">
        <v>114</v>
      </c>
      <c r="E4100" t="s">
        <v>159</v>
      </c>
      <c r="F4100">
        <v>161</v>
      </c>
      <c r="G4100">
        <v>74</v>
      </c>
      <c r="H4100">
        <v>2</v>
      </c>
      <c r="I4100">
        <v>3</v>
      </c>
      <c r="J4100">
        <v>0</v>
      </c>
      <c r="K4100">
        <v>0</v>
      </c>
      <c r="L4100">
        <v>0</v>
      </c>
      <c r="M4100">
        <v>0</v>
      </c>
      <c r="N4100">
        <v>12</v>
      </c>
      <c r="O4100">
        <v>156</v>
      </c>
      <c r="P4100">
        <f t="shared" si="210"/>
        <v>2024</v>
      </c>
      <c r="Q4100">
        <f t="shared" si="211"/>
        <v>11</v>
      </c>
      <c r="R4100" t="str">
        <f t="shared" si="212"/>
        <v>主会场</v>
      </c>
      <c r="S4100" t="s">
        <v>785</v>
      </c>
      <c r="T4100" t="s">
        <v>805</v>
      </c>
    </row>
    <row r="4101" spans="1:20" x14ac:dyDescent="0.3">
      <c r="A4101" t="s">
        <v>627</v>
      </c>
      <c r="B4101" s="16">
        <v>45601</v>
      </c>
      <c r="C4101" t="s">
        <v>3</v>
      </c>
      <c r="D4101" t="s">
        <v>114</v>
      </c>
      <c r="E4101" t="s">
        <v>160</v>
      </c>
      <c r="F4101">
        <v>6</v>
      </c>
      <c r="G4101">
        <v>6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2</v>
      </c>
      <c r="O4101">
        <v>6</v>
      </c>
      <c r="P4101">
        <f t="shared" si="210"/>
        <v>2024</v>
      </c>
      <c r="Q4101">
        <f t="shared" si="211"/>
        <v>11</v>
      </c>
      <c r="R4101" t="str">
        <f t="shared" si="212"/>
        <v>榜单会场</v>
      </c>
      <c r="S4101" t="s">
        <v>785</v>
      </c>
      <c r="T4101" t="s">
        <v>805</v>
      </c>
    </row>
    <row r="4102" spans="1:20" x14ac:dyDescent="0.3">
      <c r="A4102" t="s">
        <v>627</v>
      </c>
      <c r="B4102" s="16">
        <v>45601</v>
      </c>
      <c r="C4102" t="s">
        <v>3</v>
      </c>
      <c r="D4102" t="s">
        <v>117</v>
      </c>
      <c r="E4102" t="s">
        <v>161</v>
      </c>
      <c r="F4102">
        <v>20</v>
      </c>
      <c r="G4102">
        <v>18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3</v>
      </c>
      <c r="O4102">
        <v>20</v>
      </c>
      <c r="P4102">
        <f t="shared" si="210"/>
        <v>2024</v>
      </c>
      <c r="Q4102">
        <f t="shared" si="211"/>
        <v>11</v>
      </c>
      <c r="R4102" t="str">
        <f t="shared" si="212"/>
        <v>其他入口榜单</v>
      </c>
      <c r="S4102" t="s">
        <v>785</v>
      </c>
      <c r="T4102" t="s">
        <v>805</v>
      </c>
    </row>
    <row r="4103" spans="1:20" x14ac:dyDescent="0.3">
      <c r="A4103" t="s">
        <v>627</v>
      </c>
      <c r="B4103" s="16">
        <v>45601</v>
      </c>
      <c r="C4103" t="s">
        <v>3</v>
      </c>
      <c r="D4103" t="s">
        <v>123</v>
      </c>
      <c r="E4103" t="s">
        <v>169</v>
      </c>
      <c r="F4103">
        <v>254</v>
      </c>
      <c r="G4103">
        <v>90</v>
      </c>
      <c r="H4103">
        <v>17</v>
      </c>
      <c r="I4103">
        <v>5</v>
      </c>
      <c r="J4103">
        <v>21467.23</v>
      </c>
      <c r="K4103">
        <v>6</v>
      </c>
      <c r="L4103">
        <v>16497.23</v>
      </c>
      <c r="M4103">
        <v>5</v>
      </c>
      <c r="N4103">
        <v>52</v>
      </c>
      <c r="O4103">
        <v>252</v>
      </c>
      <c r="P4103">
        <f t="shared" si="210"/>
        <v>2024</v>
      </c>
      <c r="Q4103">
        <f t="shared" si="211"/>
        <v>11</v>
      </c>
      <c r="R4103" t="str">
        <f t="shared" si="212"/>
        <v>商品详情页头图推荐</v>
      </c>
      <c r="S4103" t="s">
        <v>785</v>
      </c>
      <c r="T4103" t="s">
        <v>805</v>
      </c>
    </row>
    <row r="4104" spans="1:20" x14ac:dyDescent="0.3">
      <c r="A4104" t="s">
        <v>627</v>
      </c>
      <c r="B4104" s="16">
        <v>45601</v>
      </c>
      <c r="C4104" t="s">
        <v>3</v>
      </c>
      <c r="D4104" t="s">
        <v>123</v>
      </c>
      <c r="E4104" t="s">
        <v>170</v>
      </c>
      <c r="F4104">
        <v>58</v>
      </c>
      <c r="G4104">
        <v>28</v>
      </c>
      <c r="H4104">
        <v>3</v>
      </c>
      <c r="I4104">
        <v>0</v>
      </c>
      <c r="J4104">
        <v>1990</v>
      </c>
      <c r="K4104">
        <v>1</v>
      </c>
      <c r="L4104">
        <v>0</v>
      </c>
      <c r="M4104">
        <v>0</v>
      </c>
      <c r="N4104">
        <v>48</v>
      </c>
      <c r="O4104">
        <v>26</v>
      </c>
      <c r="P4104">
        <f t="shared" si="210"/>
        <v>2024</v>
      </c>
      <c r="Q4104">
        <f t="shared" si="211"/>
        <v>11</v>
      </c>
      <c r="R4104" t="str">
        <f t="shared" si="212"/>
        <v>店铺超链</v>
      </c>
      <c r="S4104" t="s">
        <v>785</v>
      </c>
      <c r="T4104" t="s">
        <v>805</v>
      </c>
    </row>
    <row r="4105" spans="1:20" x14ac:dyDescent="0.3">
      <c r="A4105" t="s">
        <v>627</v>
      </c>
      <c r="B4105" s="16">
        <v>45601</v>
      </c>
      <c r="C4105" t="s">
        <v>2</v>
      </c>
      <c r="D4105" t="s">
        <v>52</v>
      </c>
      <c r="E4105" t="s">
        <v>59</v>
      </c>
      <c r="F4105">
        <v>1214</v>
      </c>
      <c r="G4105">
        <v>927</v>
      </c>
      <c r="H4105">
        <v>8</v>
      </c>
      <c r="I4105">
        <v>1</v>
      </c>
      <c r="J4105">
        <v>5800</v>
      </c>
      <c r="K4105">
        <v>1</v>
      </c>
      <c r="L4105">
        <v>0</v>
      </c>
      <c r="M4105">
        <v>0</v>
      </c>
      <c r="N4105">
        <v>999</v>
      </c>
      <c r="O4105">
        <v>238</v>
      </c>
      <c r="P4105">
        <f t="shared" si="210"/>
        <v>2024</v>
      </c>
      <c r="Q4105">
        <f t="shared" si="211"/>
        <v>11</v>
      </c>
      <c r="R4105" t="s">
        <v>171</v>
      </c>
      <c r="S4105" t="s">
        <v>785</v>
      </c>
      <c r="T4105" t="s">
        <v>805</v>
      </c>
    </row>
    <row r="4106" spans="1:20" x14ac:dyDescent="0.3">
      <c r="A4106" t="s">
        <v>627</v>
      </c>
      <c r="B4106" s="16">
        <v>45601</v>
      </c>
      <c r="C4106" t="s">
        <v>3</v>
      </c>
      <c r="D4106" t="s">
        <v>127</v>
      </c>
      <c r="E4106" t="s">
        <v>172</v>
      </c>
      <c r="F4106">
        <v>25</v>
      </c>
      <c r="G4106">
        <v>10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6</v>
      </c>
      <c r="O4106">
        <v>20</v>
      </c>
      <c r="P4106">
        <f t="shared" si="210"/>
        <v>2024</v>
      </c>
      <c r="Q4106">
        <f t="shared" si="211"/>
        <v>11</v>
      </c>
      <c r="R4106" t="str">
        <f t="shared" si="212"/>
        <v>购中推荐</v>
      </c>
      <c r="S4106" t="s">
        <v>785</v>
      </c>
      <c r="T4106" t="s">
        <v>805</v>
      </c>
    </row>
    <row r="4107" spans="1:20" x14ac:dyDescent="0.3">
      <c r="A4107" t="s">
        <v>627</v>
      </c>
      <c r="B4107" s="16">
        <v>45601</v>
      </c>
      <c r="C4107" t="s">
        <v>3</v>
      </c>
      <c r="D4107" t="s">
        <v>127</v>
      </c>
      <c r="E4107" t="s">
        <v>173</v>
      </c>
      <c r="F4107">
        <v>142</v>
      </c>
      <c r="G4107">
        <v>104</v>
      </c>
      <c r="H4107">
        <v>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84</v>
      </c>
      <c r="O4107">
        <v>55</v>
      </c>
      <c r="P4107">
        <f t="shared" si="210"/>
        <v>2024</v>
      </c>
      <c r="Q4107">
        <f t="shared" si="211"/>
        <v>11</v>
      </c>
      <c r="R4107" t="str">
        <f t="shared" si="212"/>
        <v>购后推荐</v>
      </c>
      <c r="S4107" t="s">
        <v>785</v>
      </c>
      <c r="T4107" t="s">
        <v>805</v>
      </c>
    </row>
    <row r="4108" spans="1:20" x14ac:dyDescent="0.3">
      <c r="A4108" t="s">
        <v>627</v>
      </c>
      <c r="B4108" s="16">
        <v>45601</v>
      </c>
      <c r="C4108" t="s">
        <v>3</v>
      </c>
      <c r="D4108" t="s">
        <v>127</v>
      </c>
      <c r="E4108" t="s">
        <v>174</v>
      </c>
      <c r="F4108">
        <v>4420</v>
      </c>
      <c r="G4108">
        <v>2145</v>
      </c>
      <c r="H4108">
        <v>115</v>
      </c>
      <c r="I4108">
        <v>55</v>
      </c>
      <c r="J4108">
        <v>55065</v>
      </c>
      <c r="K4108">
        <v>9</v>
      </c>
      <c r="L4108">
        <v>21470</v>
      </c>
      <c r="M4108">
        <v>6</v>
      </c>
      <c r="N4108">
        <v>383</v>
      </c>
      <c r="O4108">
        <v>4420</v>
      </c>
      <c r="P4108">
        <f t="shared" si="210"/>
        <v>2024</v>
      </c>
      <c r="Q4108">
        <f t="shared" si="211"/>
        <v>11</v>
      </c>
      <c r="R4108" t="str">
        <f t="shared" si="212"/>
        <v>首页推荐-微详情</v>
      </c>
      <c r="S4108" t="s">
        <v>785</v>
      </c>
      <c r="T4108" t="s">
        <v>805</v>
      </c>
    </row>
    <row r="4109" spans="1:20" x14ac:dyDescent="0.3">
      <c r="A4109" t="s">
        <v>627</v>
      </c>
      <c r="B4109" s="16">
        <v>45601</v>
      </c>
      <c r="C4109" t="s">
        <v>3</v>
      </c>
      <c r="D4109" t="s">
        <v>127</v>
      </c>
      <c r="E4109" t="s">
        <v>175</v>
      </c>
      <c r="F4109">
        <v>3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1</v>
      </c>
      <c r="P4109">
        <f t="shared" si="210"/>
        <v>2024</v>
      </c>
      <c r="Q4109">
        <f t="shared" si="211"/>
        <v>11</v>
      </c>
      <c r="R4109" t="str">
        <f t="shared" si="212"/>
        <v>首页推荐-直播</v>
      </c>
      <c r="S4109" t="s">
        <v>785</v>
      </c>
      <c r="T4109" t="s">
        <v>805</v>
      </c>
    </row>
    <row r="4110" spans="1:20" x14ac:dyDescent="0.3">
      <c r="A4110" t="s">
        <v>627</v>
      </c>
      <c r="B4110" s="16">
        <v>45601</v>
      </c>
      <c r="C4110" t="s">
        <v>3</v>
      </c>
      <c r="D4110" t="s">
        <v>127</v>
      </c>
      <c r="E4110" t="s">
        <v>176</v>
      </c>
      <c r="F4110">
        <v>780</v>
      </c>
      <c r="G4110">
        <v>358</v>
      </c>
      <c r="H4110">
        <v>7</v>
      </c>
      <c r="I4110">
        <v>2</v>
      </c>
      <c r="J4110">
        <v>2500</v>
      </c>
      <c r="K4110">
        <v>1</v>
      </c>
      <c r="L4110">
        <v>2500</v>
      </c>
      <c r="M4110">
        <v>1</v>
      </c>
      <c r="N4110">
        <v>14</v>
      </c>
      <c r="O4110">
        <v>176</v>
      </c>
      <c r="P4110">
        <f t="shared" si="210"/>
        <v>2024</v>
      </c>
      <c r="Q4110">
        <f t="shared" si="211"/>
        <v>11</v>
      </c>
      <c r="R4110" t="str">
        <f t="shared" si="212"/>
        <v>首页推荐-短视频</v>
      </c>
      <c r="S4110" t="s">
        <v>785</v>
      </c>
      <c r="T4110" t="s">
        <v>805</v>
      </c>
    </row>
    <row r="4111" spans="1:20" x14ac:dyDescent="0.3">
      <c r="A4111" t="s">
        <v>627</v>
      </c>
      <c r="B4111" s="16">
        <v>45601</v>
      </c>
      <c r="C4111" t="s">
        <v>3</v>
      </c>
      <c r="D4111" t="s">
        <v>128</v>
      </c>
      <c r="E4111" t="s">
        <v>177</v>
      </c>
      <c r="F4111">
        <v>1262</v>
      </c>
      <c r="G4111">
        <v>885</v>
      </c>
      <c r="H4111">
        <v>42</v>
      </c>
      <c r="I4111">
        <v>14</v>
      </c>
      <c r="J4111">
        <v>51273.5</v>
      </c>
      <c r="K4111">
        <v>14</v>
      </c>
      <c r="L4111">
        <v>35988</v>
      </c>
      <c r="M4111">
        <v>11</v>
      </c>
      <c r="N4111">
        <v>326</v>
      </c>
      <c r="O4111">
        <v>1153</v>
      </c>
      <c r="P4111">
        <f t="shared" si="210"/>
        <v>2024</v>
      </c>
      <c r="Q4111">
        <f t="shared" si="211"/>
        <v>11</v>
      </c>
      <c r="R4111" t="str">
        <f t="shared" si="212"/>
        <v>手淘搜索-商品及其他</v>
      </c>
      <c r="S4111" t="s">
        <v>785</v>
      </c>
      <c r="T4111" t="s">
        <v>805</v>
      </c>
    </row>
    <row r="4112" spans="1:20" x14ac:dyDescent="0.3">
      <c r="A4112" t="s">
        <v>627</v>
      </c>
      <c r="B4112" s="16">
        <v>45601</v>
      </c>
      <c r="C4112" t="s">
        <v>3</v>
      </c>
      <c r="D4112" t="s">
        <v>128</v>
      </c>
      <c r="E4112" t="s">
        <v>179</v>
      </c>
      <c r="F4112">
        <v>434</v>
      </c>
      <c r="G4112">
        <v>411</v>
      </c>
      <c r="H4112">
        <v>4</v>
      </c>
      <c r="I4112">
        <v>1</v>
      </c>
      <c r="J4112">
        <v>23905</v>
      </c>
      <c r="K4112">
        <v>3</v>
      </c>
      <c r="L4112">
        <v>23905</v>
      </c>
      <c r="M4112">
        <v>3</v>
      </c>
      <c r="N4112">
        <v>8</v>
      </c>
      <c r="O4112">
        <v>430</v>
      </c>
      <c r="P4112">
        <f t="shared" si="210"/>
        <v>2024</v>
      </c>
      <c r="Q4112">
        <f t="shared" si="211"/>
        <v>11</v>
      </c>
      <c r="R4112" t="str">
        <f t="shared" si="212"/>
        <v>手淘搜索-短视频</v>
      </c>
      <c r="S4112" t="s">
        <v>785</v>
      </c>
      <c r="T4112" t="s">
        <v>805</v>
      </c>
    </row>
    <row r="4113" spans="1:20" x14ac:dyDescent="0.3">
      <c r="A4113" t="s">
        <v>627</v>
      </c>
      <c r="B4113" s="16">
        <v>45601</v>
      </c>
      <c r="C4113" t="s">
        <v>3</v>
      </c>
      <c r="D4113" t="s">
        <v>143</v>
      </c>
      <c r="E4113" t="s">
        <v>180</v>
      </c>
      <c r="F4113">
        <v>5</v>
      </c>
      <c r="G4113">
        <v>5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5</v>
      </c>
      <c r="P4113">
        <f t="shared" si="210"/>
        <v>2024</v>
      </c>
      <c r="Q4113">
        <f t="shared" si="211"/>
        <v>11</v>
      </c>
      <c r="R4113" t="str">
        <f t="shared" si="212"/>
        <v>淘特其他渠道</v>
      </c>
      <c r="S4113" t="s">
        <v>785</v>
      </c>
      <c r="T4113" t="s">
        <v>805</v>
      </c>
    </row>
    <row r="4114" spans="1:20" x14ac:dyDescent="0.3">
      <c r="A4114" t="s">
        <v>627</v>
      </c>
      <c r="B4114" s="16">
        <v>45601</v>
      </c>
      <c r="C4114" t="s">
        <v>3</v>
      </c>
      <c r="D4114" t="s">
        <v>143</v>
      </c>
      <c r="E4114" t="s">
        <v>181</v>
      </c>
      <c r="F4114">
        <v>14</v>
      </c>
      <c r="G4114">
        <v>14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14</v>
      </c>
      <c r="P4114">
        <f t="shared" si="210"/>
        <v>2024</v>
      </c>
      <c r="Q4114">
        <f t="shared" si="211"/>
        <v>11</v>
      </c>
      <c r="R4114" t="str">
        <f t="shared" si="212"/>
        <v>淘特搜索</v>
      </c>
      <c r="S4114" t="s">
        <v>785</v>
      </c>
      <c r="T4114" t="s">
        <v>805</v>
      </c>
    </row>
    <row r="4115" spans="1:20" x14ac:dyDescent="0.3">
      <c r="A4115" t="s">
        <v>627</v>
      </c>
      <c r="B4115" s="16">
        <v>45601</v>
      </c>
      <c r="C4115" t="s">
        <v>2</v>
      </c>
      <c r="D4115" t="s">
        <v>55</v>
      </c>
      <c r="E4115" t="s">
        <v>54</v>
      </c>
      <c r="F4115">
        <v>1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f t="shared" si="210"/>
        <v>2024</v>
      </c>
      <c r="Q4115">
        <f t="shared" si="211"/>
        <v>11</v>
      </c>
      <c r="R4115" t="str">
        <f t="shared" si="212"/>
        <v>超级直播</v>
      </c>
      <c r="S4115" t="s">
        <v>785</v>
      </c>
      <c r="T4115" t="s">
        <v>805</v>
      </c>
    </row>
    <row r="4116" spans="1:20" x14ac:dyDescent="0.3">
      <c r="A4116" t="s">
        <v>627</v>
      </c>
      <c r="B4116" s="16">
        <v>45601</v>
      </c>
      <c r="C4116" t="s">
        <v>2</v>
      </c>
      <c r="D4116" t="s">
        <v>55</v>
      </c>
      <c r="E4116" t="s">
        <v>56</v>
      </c>
      <c r="F4116">
        <v>284</v>
      </c>
      <c r="G4116">
        <v>158</v>
      </c>
      <c r="H4116">
        <v>11</v>
      </c>
      <c r="I4116">
        <v>12</v>
      </c>
      <c r="J4116">
        <v>0</v>
      </c>
      <c r="K4116">
        <v>0</v>
      </c>
      <c r="L4116">
        <v>0</v>
      </c>
      <c r="M4116">
        <v>0</v>
      </c>
      <c r="N4116">
        <v>8</v>
      </c>
      <c r="O4116">
        <v>236</v>
      </c>
      <c r="P4116">
        <f t="shared" si="210"/>
        <v>2024</v>
      </c>
      <c r="Q4116">
        <f t="shared" si="211"/>
        <v>11</v>
      </c>
      <c r="R4116" t="str">
        <f t="shared" si="212"/>
        <v>超级短视频</v>
      </c>
      <c r="S4116" t="s">
        <v>785</v>
      </c>
      <c r="T4116" t="s">
        <v>805</v>
      </c>
    </row>
    <row r="4117" spans="1:20" x14ac:dyDescent="0.3">
      <c r="A4117" t="s">
        <v>627</v>
      </c>
      <c r="B4117" s="16">
        <v>45601</v>
      </c>
      <c r="C4117" t="s">
        <v>2</v>
      </c>
      <c r="D4117" t="s">
        <v>52</v>
      </c>
      <c r="E4117" t="s">
        <v>53</v>
      </c>
      <c r="F4117">
        <v>358</v>
      </c>
      <c r="G4117">
        <v>305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358</v>
      </c>
      <c r="O4117">
        <v>53</v>
      </c>
      <c r="P4117">
        <f t="shared" si="210"/>
        <v>2024</v>
      </c>
      <c r="Q4117">
        <f t="shared" si="211"/>
        <v>11</v>
      </c>
      <c r="R4117" t="str">
        <f t="shared" si="212"/>
        <v>Showmax</v>
      </c>
      <c r="S4117" t="s">
        <v>785</v>
      </c>
      <c r="T4117" t="s">
        <v>805</v>
      </c>
    </row>
    <row r="4118" spans="1:20" x14ac:dyDescent="0.3">
      <c r="A4118" t="s">
        <v>627</v>
      </c>
      <c r="B4118" s="16">
        <v>45601</v>
      </c>
      <c r="C4118" t="s">
        <v>2</v>
      </c>
      <c r="D4118" t="s">
        <v>52</v>
      </c>
      <c r="E4118" t="s">
        <v>59</v>
      </c>
      <c r="F4118">
        <v>166</v>
      </c>
      <c r="G4118">
        <v>128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166</v>
      </c>
      <c r="O4118">
        <v>39</v>
      </c>
      <c r="P4118">
        <f t="shared" si="210"/>
        <v>2024</v>
      </c>
      <c r="Q4118">
        <f t="shared" si="211"/>
        <v>11</v>
      </c>
      <c r="R4118" t="str">
        <f t="shared" si="212"/>
        <v>品牌特秀</v>
      </c>
      <c r="S4118" t="s">
        <v>785</v>
      </c>
      <c r="T4118" t="s">
        <v>805</v>
      </c>
    </row>
    <row r="4119" spans="1:20" x14ac:dyDescent="0.3">
      <c r="A4119" t="s">
        <v>627</v>
      </c>
      <c r="B4119" s="16">
        <v>45601</v>
      </c>
      <c r="C4119" t="s">
        <v>2</v>
      </c>
      <c r="D4119" t="s">
        <v>52</v>
      </c>
      <c r="E4119" t="s">
        <v>183</v>
      </c>
      <c r="F4119">
        <v>605</v>
      </c>
      <c r="G4119">
        <v>483</v>
      </c>
      <c r="H4119">
        <v>16</v>
      </c>
      <c r="I4119">
        <v>4</v>
      </c>
      <c r="J4119">
        <v>14555</v>
      </c>
      <c r="K4119">
        <v>4</v>
      </c>
      <c r="L4119">
        <v>9560</v>
      </c>
      <c r="M4119">
        <v>3</v>
      </c>
      <c r="N4119">
        <v>605</v>
      </c>
      <c r="O4119">
        <v>322</v>
      </c>
      <c r="P4119">
        <f t="shared" si="210"/>
        <v>2024</v>
      </c>
      <c r="Q4119">
        <f t="shared" si="211"/>
        <v>11</v>
      </c>
      <c r="R4119" t="str">
        <f t="shared" si="212"/>
        <v>品销宝-品牌专区</v>
      </c>
      <c r="S4119" t="s">
        <v>785</v>
      </c>
      <c r="T4119" t="s">
        <v>805</v>
      </c>
    </row>
    <row r="4120" spans="1:20" x14ac:dyDescent="0.3">
      <c r="A4120" t="s">
        <v>627</v>
      </c>
      <c r="B4120" s="16">
        <v>45601</v>
      </c>
      <c r="C4120" t="s">
        <v>2</v>
      </c>
      <c r="D4120" t="s">
        <v>57</v>
      </c>
      <c r="E4120" t="s">
        <v>65</v>
      </c>
      <c r="F4120">
        <v>4074</v>
      </c>
      <c r="G4120">
        <v>3381</v>
      </c>
      <c r="H4120">
        <v>48</v>
      </c>
      <c r="I4120">
        <v>27</v>
      </c>
      <c r="J4120">
        <v>78859</v>
      </c>
      <c r="K4120">
        <v>9</v>
      </c>
      <c r="L4120">
        <v>27346</v>
      </c>
      <c r="M4120">
        <v>5</v>
      </c>
      <c r="N4120">
        <v>320</v>
      </c>
      <c r="O4120">
        <v>4038</v>
      </c>
      <c r="P4120">
        <f t="shared" si="210"/>
        <v>2024</v>
      </c>
      <c r="Q4120">
        <f t="shared" si="211"/>
        <v>11</v>
      </c>
      <c r="R4120" t="str">
        <f t="shared" si="212"/>
        <v>直通车</v>
      </c>
      <c r="S4120" t="s">
        <v>785</v>
      </c>
      <c r="T4120" t="s">
        <v>805</v>
      </c>
    </row>
    <row r="4121" spans="1:20" x14ac:dyDescent="0.3">
      <c r="A4121" t="s">
        <v>627</v>
      </c>
      <c r="B4121" s="16">
        <v>45601</v>
      </c>
      <c r="C4121" t="s">
        <v>2</v>
      </c>
      <c r="D4121" t="s">
        <v>57</v>
      </c>
      <c r="E4121" t="s">
        <v>63</v>
      </c>
      <c r="F4121">
        <v>3851</v>
      </c>
      <c r="G4121">
        <v>1857</v>
      </c>
      <c r="H4121">
        <v>146</v>
      </c>
      <c r="I4121">
        <v>72</v>
      </c>
      <c r="J4121">
        <v>123594</v>
      </c>
      <c r="K4121">
        <v>22</v>
      </c>
      <c r="L4121">
        <v>91906</v>
      </c>
      <c r="M4121">
        <v>18</v>
      </c>
      <c r="N4121">
        <v>244</v>
      </c>
      <c r="O4121">
        <v>3847</v>
      </c>
      <c r="P4121">
        <f t="shared" si="210"/>
        <v>2024</v>
      </c>
      <c r="Q4121">
        <f t="shared" si="211"/>
        <v>11</v>
      </c>
      <c r="R4121" t="str">
        <f t="shared" si="212"/>
        <v>万相台</v>
      </c>
      <c r="S4121" t="s">
        <v>785</v>
      </c>
      <c r="T4121" t="s">
        <v>805</v>
      </c>
    </row>
    <row r="4122" spans="1:20" x14ac:dyDescent="0.3">
      <c r="A4122" t="s">
        <v>627</v>
      </c>
      <c r="B4122" s="16">
        <v>45601</v>
      </c>
      <c r="C4122" t="s">
        <v>2</v>
      </c>
      <c r="D4122" t="s">
        <v>57</v>
      </c>
      <c r="E4122" t="s">
        <v>64</v>
      </c>
      <c r="F4122">
        <v>4222</v>
      </c>
      <c r="G4122">
        <v>1430</v>
      </c>
      <c r="H4122">
        <v>109</v>
      </c>
      <c r="I4122">
        <v>48</v>
      </c>
      <c r="J4122">
        <v>15555</v>
      </c>
      <c r="K4122">
        <v>6</v>
      </c>
      <c r="L4122">
        <v>5197.5</v>
      </c>
      <c r="M4122">
        <v>2</v>
      </c>
      <c r="N4122">
        <v>289</v>
      </c>
      <c r="O4122">
        <v>4221</v>
      </c>
      <c r="P4122">
        <f t="shared" si="210"/>
        <v>2024</v>
      </c>
      <c r="Q4122">
        <f t="shared" si="211"/>
        <v>11</v>
      </c>
      <c r="R4122" t="str">
        <f t="shared" si="212"/>
        <v>引力魔方</v>
      </c>
      <c r="S4122" t="s">
        <v>785</v>
      </c>
      <c r="T4122" t="s">
        <v>805</v>
      </c>
    </row>
    <row r="4123" spans="1:20" x14ac:dyDescent="0.3">
      <c r="A4123" t="s">
        <v>627</v>
      </c>
      <c r="B4123" s="16">
        <v>45601</v>
      </c>
      <c r="C4123" t="s">
        <v>2</v>
      </c>
      <c r="D4123" t="s">
        <v>4</v>
      </c>
      <c r="E4123" t="s">
        <v>41</v>
      </c>
      <c r="F4123">
        <v>1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1</v>
      </c>
      <c r="P4123">
        <f t="shared" si="210"/>
        <v>2024</v>
      </c>
      <c r="Q4123">
        <f t="shared" si="211"/>
        <v>11</v>
      </c>
      <c r="R4123" t="str">
        <f t="shared" si="212"/>
        <v>流量宝</v>
      </c>
      <c r="S4123" t="s">
        <v>785</v>
      </c>
      <c r="T4123" t="s">
        <v>805</v>
      </c>
    </row>
    <row r="4124" spans="1:20" x14ac:dyDescent="0.3">
      <c r="A4124" t="s">
        <v>627</v>
      </c>
      <c r="B4124" s="16">
        <v>45601</v>
      </c>
      <c r="C4124" t="s">
        <v>2</v>
      </c>
      <c r="D4124" t="s">
        <v>4</v>
      </c>
      <c r="E4124" t="s">
        <v>43</v>
      </c>
      <c r="F4124">
        <v>287</v>
      </c>
      <c r="G4124">
        <v>107</v>
      </c>
      <c r="H4124">
        <v>4</v>
      </c>
      <c r="I4124">
        <v>2</v>
      </c>
      <c r="J4124">
        <v>0</v>
      </c>
      <c r="K4124">
        <v>0</v>
      </c>
      <c r="L4124">
        <v>0</v>
      </c>
      <c r="M4124">
        <v>0</v>
      </c>
      <c r="N4124">
        <v>18</v>
      </c>
      <c r="O4124">
        <v>281</v>
      </c>
      <c r="P4124">
        <f t="shared" si="210"/>
        <v>2024</v>
      </c>
      <c r="Q4124">
        <f t="shared" si="211"/>
        <v>11</v>
      </c>
      <c r="R4124" t="str">
        <f t="shared" si="212"/>
        <v>淘宝客</v>
      </c>
      <c r="S4124" t="s">
        <v>785</v>
      </c>
      <c r="T4124" t="s">
        <v>805</v>
      </c>
    </row>
    <row r="4125" spans="1:20" x14ac:dyDescent="0.3">
      <c r="A4125" t="s">
        <v>627</v>
      </c>
      <c r="B4125" s="16">
        <v>45600</v>
      </c>
      <c r="C4125" t="s">
        <v>3</v>
      </c>
      <c r="D4125" t="s">
        <v>114</v>
      </c>
      <c r="E4125" t="s">
        <v>159</v>
      </c>
      <c r="F4125">
        <v>158</v>
      </c>
      <c r="G4125">
        <v>65</v>
      </c>
      <c r="H4125">
        <v>3</v>
      </c>
      <c r="I4125">
        <v>6</v>
      </c>
      <c r="J4125">
        <v>2500</v>
      </c>
      <c r="K4125">
        <v>1</v>
      </c>
      <c r="L4125">
        <v>2500</v>
      </c>
      <c r="M4125">
        <v>1</v>
      </c>
      <c r="N4125">
        <v>14</v>
      </c>
      <c r="O4125">
        <v>155</v>
      </c>
      <c r="P4125">
        <f t="shared" si="210"/>
        <v>2024</v>
      </c>
      <c r="Q4125">
        <f t="shared" si="211"/>
        <v>11</v>
      </c>
      <c r="R4125" t="str">
        <f t="shared" si="212"/>
        <v>主会场</v>
      </c>
      <c r="S4125" t="s">
        <v>785</v>
      </c>
      <c r="T4125" t="s">
        <v>805</v>
      </c>
    </row>
    <row r="4126" spans="1:20" x14ac:dyDescent="0.3">
      <c r="A4126" t="s">
        <v>627</v>
      </c>
      <c r="B4126" s="16">
        <v>45600</v>
      </c>
      <c r="C4126" t="s">
        <v>3</v>
      </c>
      <c r="D4126" t="s">
        <v>114</v>
      </c>
      <c r="E4126" t="s">
        <v>160</v>
      </c>
      <c r="F4126">
        <v>2</v>
      </c>
      <c r="G4126">
        <v>1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1</v>
      </c>
      <c r="O4126">
        <v>2</v>
      </c>
      <c r="P4126">
        <f t="shared" si="210"/>
        <v>2024</v>
      </c>
      <c r="Q4126">
        <f t="shared" si="211"/>
        <v>11</v>
      </c>
      <c r="R4126" t="str">
        <f t="shared" si="212"/>
        <v>榜单会场</v>
      </c>
      <c r="S4126" t="s">
        <v>785</v>
      </c>
      <c r="T4126" t="s">
        <v>805</v>
      </c>
    </row>
    <row r="4127" spans="1:20" x14ac:dyDescent="0.3">
      <c r="A4127" t="s">
        <v>627</v>
      </c>
      <c r="B4127" s="16">
        <v>45600</v>
      </c>
      <c r="C4127" t="s">
        <v>3</v>
      </c>
      <c r="D4127" t="s">
        <v>117</v>
      </c>
      <c r="E4127" t="s">
        <v>161</v>
      </c>
      <c r="F4127">
        <v>20</v>
      </c>
      <c r="G4127">
        <v>17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3</v>
      </c>
      <c r="O4127">
        <v>20</v>
      </c>
      <c r="P4127">
        <f t="shared" si="210"/>
        <v>2024</v>
      </c>
      <c r="Q4127">
        <f t="shared" si="211"/>
        <v>11</v>
      </c>
      <c r="R4127" t="str">
        <f t="shared" si="212"/>
        <v>其他入口榜单</v>
      </c>
      <c r="S4127" t="s">
        <v>785</v>
      </c>
      <c r="T4127" t="s">
        <v>805</v>
      </c>
    </row>
    <row r="4128" spans="1:20" x14ac:dyDescent="0.3">
      <c r="A4128" t="s">
        <v>627</v>
      </c>
      <c r="B4128" s="16">
        <v>45600</v>
      </c>
      <c r="C4128" t="s">
        <v>3</v>
      </c>
      <c r="D4128" t="s">
        <v>117</v>
      </c>
      <c r="E4128" t="s">
        <v>195</v>
      </c>
      <c r="F4128">
        <v>2</v>
      </c>
      <c r="G4128">
        <v>2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2</v>
      </c>
      <c r="P4128">
        <f t="shared" si="210"/>
        <v>2024</v>
      </c>
      <c r="Q4128">
        <f t="shared" si="211"/>
        <v>11</v>
      </c>
      <c r="R4128" t="str">
        <f t="shared" si="212"/>
        <v>搜索入口榜单</v>
      </c>
      <c r="S4128" t="s">
        <v>785</v>
      </c>
      <c r="T4128" t="s">
        <v>805</v>
      </c>
    </row>
    <row r="4129" spans="1:20" x14ac:dyDescent="0.3">
      <c r="A4129" t="s">
        <v>627</v>
      </c>
      <c r="B4129" s="16">
        <v>45600</v>
      </c>
      <c r="C4129" t="s">
        <v>3</v>
      </c>
      <c r="D4129" t="s">
        <v>123</v>
      </c>
      <c r="E4129" t="s">
        <v>169</v>
      </c>
      <c r="F4129">
        <v>288</v>
      </c>
      <c r="G4129">
        <v>121</v>
      </c>
      <c r="H4129">
        <v>17</v>
      </c>
      <c r="I4129">
        <v>7</v>
      </c>
      <c r="J4129">
        <v>12510</v>
      </c>
      <c r="K4129">
        <v>3</v>
      </c>
      <c r="L4129">
        <v>6930</v>
      </c>
      <c r="M4129">
        <v>2</v>
      </c>
      <c r="N4129">
        <v>63</v>
      </c>
      <c r="O4129">
        <v>283</v>
      </c>
      <c r="P4129">
        <f t="shared" si="210"/>
        <v>2024</v>
      </c>
      <c r="Q4129">
        <f t="shared" si="211"/>
        <v>11</v>
      </c>
      <c r="R4129" t="str">
        <f t="shared" si="212"/>
        <v>商品详情页头图推荐</v>
      </c>
      <c r="S4129" t="s">
        <v>785</v>
      </c>
      <c r="T4129" t="s">
        <v>805</v>
      </c>
    </row>
    <row r="4130" spans="1:20" x14ac:dyDescent="0.3">
      <c r="A4130" t="s">
        <v>627</v>
      </c>
      <c r="B4130" s="16">
        <v>45600</v>
      </c>
      <c r="C4130" t="s">
        <v>3</v>
      </c>
      <c r="D4130" t="s">
        <v>123</v>
      </c>
      <c r="E4130" t="s">
        <v>170</v>
      </c>
      <c r="F4130">
        <v>58</v>
      </c>
      <c r="G4130">
        <v>25</v>
      </c>
      <c r="H4130">
        <v>4</v>
      </c>
      <c r="I4130">
        <v>1</v>
      </c>
      <c r="J4130">
        <v>0</v>
      </c>
      <c r="K4130">
        <v>0</v>
      </c>
      <c r="L4130">
        <v>0</v>
      </c>
      <c r="M4130">
        <v>0</v>
      </c>
      <c r="N4130">
        <v>50</v>
      </c>
      <c r="O4130">
        <v>31</v>
      </c>
      <c r="P4130">
        <f t="shared" si="210"/>
        <v>2024</v>
      </c>
      <c r="Q4130">
        <f t="shared" si="211"/>
        <v>11</v>
      </c>
      <c r="R4130" t="str">
        <f t="shared" si="212"/>
        <v>店铺超链</v>
      </c>
      <c r="S4130" t="s">
        <v>785</v>
      </c>
      <c r="T4130" t="s">
        <v>805</v>
      </c>
    </row>
    <row r="4131" spans="1:20" x14ac:dyDescent="0.3">
      <c r="A4131" t="s">
        <v>627</v>
      </c>
      <c r="B4131" s="16">
        <v>45600</v>
      </c>
      <c r="C4131" t="s">
        <v>2</v>
      </c>
      <c r="D4131" t="s">
        <v>52</v>
      </c>
      <c r="E4131" t="s">
        <v>59</v>
      </c>
      <c r="F4131">
        <v>628</v>
      </c>
      <c r="G4131">
        <v>407</v>
      </c>
      <c r="H4131">
        <v>5</v>
      </c>
      <c r="I4131">
        <v>5</v>
      </c>
      <c r="J4131">
        <v>0</v>
      </c>
      <c r="K4131">
        <v>0</v>
      </c>
      <c r="L4131">
        <v>0</v>
      </c>
      <c r="M4131">
        <v>0</v>
      </c>
      <c r="N4131">
        <v>443</v>
      </c>
      <c r="O4131">
        <v>204</v>
      </c>
      <c r="P4131">
        <f t="shared" si="210"/>
        <v>2024</v>
      </c>
      <c r="Q4131">
        <f t="shared" si="211"/>
        <v>11</v>
      </c>
      <c r="R4131" t="s">
        <v>171</v>
      </c>
      <c r="S4131" t="s">
        <v>785</v>
      </c>
      <c r="T4131" t="s">
        <v>805</v>
      </c>
    </row>
    <row r="4132" spans="1:20" x14ac:dyDescent="0.3">
      <c r="A4132" t="s">
        <v>627</v>
      </c>
      <c r="B4132" s="16">
        <v>45600</v>
      </c>
      <c r="C4132" t="s">
        <v>3</v>
      </c>
      <c r="D4132" t="s">
        <v>127</v>
      </c>
      <c r="E4132" t="s">
        <v>172</v>
      </c>
      <c r="F4132">
        <v>25</v>
      </c>
      <c r="G4132">
        <v>11</v>
      </c>
      <c r="H4132">
        <v>1</v>
      </c>
      <c r="I4132">
        <v>0</v>
      </c>
      <c r="J4132">
        <v>1700</v>
      </c>
      <c r="K4132">
        <v>1</v>
      </c>
      <c r="L4132">
        <v>1700</v>
      </c>
      <c r="M4132">
        <v>1</v>
      </c>
      <c r="N4132">
        <v>5</v>
      </c>
      <c r="O4132">
        <v>17</v>
      </c>
      <c r="P4132">
        <f t="shared" si="210"/>
        <v>2024</v>
      </c>
      <c r="Q4132">
        <f t="shared" si="211"/>
        <v>11</v>
      </c>
      <c r="R4132" t="str">
        <f t="shared" si="212"/>
        <v>购中推荐</v>
      </c>
      <c r="S4132" t="s">
        <v>785</v>
      </c>
      <c r="T4132" t="s">
        <v>805</v>
      </c>
    </row>
    <row r="4133" spans="1:20" x14ac:dyDescent="0.3">
      <c r="A4133" t="s">
        <v>627</v>
      </c>
      <c r="B4133" s="16">
        <v>45600</v>
      </c>
      <c r="C4133" t="s">
        <v>3</v>
      </c>
      <c r="D4133" t="s">
        <v>127</v>
      </c>
      <c r="E4133" t="s">
        <v>173</v>
      </c>
      <c r="F4133">
        <v>69</v>
      </c>
      <c r="G4133">
        <v>38</v>
      </c>
      <c r="H4133">
        <v>1</v>
      </c>
      <c r="I4133">
        <v>1</v>
      </c>
      <c r="J4133">
        <v>5580</v>
      </c>
      <c r="K4133">
        <v>1</v>
      </c>
      <c r="L4133">
        <v>0</v>
      </c>
      <c r="M4133">
        <v>0</v>
      </c>
      <c r="N4133">
        <v>14</v>
      </c>
      <c r="O4133">
        <v>43</v>
      </c>
      <c r="P4133">
        <f t="shared" si="210"/>
        <v>2024</v>
      </c>
      <c r="Q4133">
        <f t="shared" si="211"/>
        <v>11</v>
      </c>
      <c r="R4133" t="str">
        <f t="shared" si="212"/>
        <v>购后推荐</v>
      </c>
      <c r="S4133" t="s">
        <v>785</v>
      </c>
      <c r="T4133" t="s">
        <v>805</v>
      </c>
    </row>
    <row r="4134" spans="1:20" x14ac:dyDescent="0.3">
      <c r="A4134" t="s">
        <v>627</v>
      </c>
      <c r="B4134" s="16">
        <v>45600</v>
      </c>
      <c r="C4134" t="s">
        <v>3</v>
      </c>
      <c r="D4134" t="s">
        <v>127</v>
      </c>
      <c r="E4134" t="s">
        <v>174</v>
      </c>
      <c r="F4134">
        <v>4749</v>
      </c>
      <c r="G4134">
        <v>2376</v>
      </c>
      <c r="H4134">
        <v>112</v>
      </c>
      <c r="I4134">
        <v>42</v>
      </c>
      <c r="J4134">
        <v>60270</v>
      </c>
      <c r="K4134">
        <v>16</v>
      </c>
      <c r="L4134">
        <v>36490</v>
      </c>
      <c r="M4134">
        <v>12</v>
      </c>
      <c r="N4134">
        <v>375</v>
      </c>
      <c r="O4134">
        <v>4749</v>
      </c>
      <c r="P4134">
        <f t="shared" si="210"/>
        <v>2024</v>
      </c>
      <c r="Q4134">
        <f t="shared" si="211"/>
        <v>11</v>
      </c>
      <c r="R4134" t="str">
        <f t="shared" si="212"/>
        <v>首页推荐-微详情</v>
      </c>
      <c r="S4134" t="s">
        <v>785</v>
      </c>
      <c r="T4134" t="s">
        <v>805</v>
      </c>
    </row>
    <row r="4135" spans="1:20" x14ac:dyDescent="0.3">
      <c r="A4135" t="s">
        <v>627</v>
      </c>
      <c r="B4135" s="16">
        <v>45600</v>
      </c>
      <c r="C4135" t="s">
        <v>3</v>
      </c>
      <c r="D4135" t="s">
        <v>127</v>
      </c>
      <c r="E4135" t="s">
        <v>175</v>
      </c>
      <c r="F4135">
        <v>12</v>
      </c>
      <c r="G4135">
        <v>7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f t="shared" si="210"/>
        <v>2024</v>
      </c>
      <c r="Q4135">
        <f t="shared" si="211"/>
        <v>11</v>
      </c>
      <c r="R4135" t="str">
        <f t="shared" si="212"/>
        <v>首页推荐-直播</v>
      </c>
      <c r="S4135" t="s">
        <v>785</v>
      </c>
      <c r="T4135" t="s">
        <v>805</v>
      </c>
    </row>
    <row r="4136" spans="1:20" x14ac:dyDescent="0.3">
      <c r="A4136" t="s">
        <v>627</v>
      </c>
      <c r="B4136" s="16">
        <v>45600</v>
      </c>
      <c r="C4136" t="s">
        <v>3</v>
      </c>
      <c r="D4136" t="s">
        <v>127</v>
      </c>
      <c r="E4136" t="s">
        <v>176</v>
      </c>
      <c r="F4136">
        <v>847</v>
      </c>
      <c r="G4136">
        <v>407</v>
      </c>
      <c r="H4136">
        <v>8</v>
      </c>
      <c r="I4136">
        <v>3</v>
      </c>
      <c r="J4136">
        <v>6920</v>
      </c>
      <c r="K4136">
        <v>2</v>
      </c>
      <c r="L4136">
        <v>6920</v>
      </c>
      <c r="M4136">
        <v>2</v>
      </c>
      <c r="N4136">
        <v>32</v>
      </c>
      <c r="O4136">
        <v>197</v>
      </c>
      <c r="P4136">
        <f t="shared" si="210"/>
        <v>2024</v>
      </c>
      <c r="Q4136">
        <f t="shared" si="211"/>
        <v>11</v>
      </c>
      <c r="R4136" t="str">
        <f t="shared" si="212"/>
        <v>首页推荐-短视频</v>
      </c>
      <c r="S4136" t="s">
        <v>785</v>
      </c>
      <c r="T4136" t="s">
        <v>805</v>
      </c>
    </row>
    <row r="4137" spans="1:20" x14ac:dyDescent="0.3">
      <c r="A4137" t="s">
        <v>627</v>
      </c>
      <c r="B4137" s="16">
        <v>45600</v>
      </c>
      <c r="C4137" t="s">
        <v>3</v>
      </c>
      <c r="D4137" t="s">
        <v>128</v>
      </c>
      <c r="E4137" t="s">
        <v>177</v>
      </c>
      <c r="F4137">
        <v>1477</v>
      </c>
      <c r="G4137">
        <v>1054</v>
      </c>
      <c r="H4137">
        <v>60</v>
      </c>
      <c r="I4137">
        <v>20</v>
      </c>
      <c r="J4137">
        <v>68103</v>
      </c>
      <c r="K4137">
        <v>10</v>
      </c>
      <c r="L4137">
        <v>45863</v>
      </c>
      <c r="M4137">
        <v>7</v>
      </c>
      <c r="N4137">
        <v>350</v>
      </c>
      <c r="O4137">
        <v>1365</v>
      </c>
      <c r="P4137">
        <f t="shared" ref="P4137:P4200" si="213">YEAR(B4137)</f>
        <v>2024</v>
      </c>
      <c r="Q4137">
        <f t="shared" ref="Q4137:Q4200" si="214">MONTH(B4137)</f>
        <v>11</v>
      </c>
      <c r="R4137" t="str">
        <f t="shared" ref="R4137:R4200" si="215">E4137</f>
        <v>手淘搜索-商品及其他</v>
      </c>
      <c r="S4137" t="s">
        <v>785</v>
      </c>
      <c r="T4137" t="s">
        <v>805</v>
      </c>
    </row>
    <row r="4138" spans="1:20" x14ac:dyDescent="0.3">
      <c r="A4138" t="s">
        <v>627</v>
      </c>
      <c r="B4138" s="16">
        <v>45600</v>
      </c>
      <c r="C4138" t="s">
        <v>3</v>
      </c>
      <c r="D4138" t="s">
        <v>128</v>
      </c>
      <c r="E4138" t="s">
        <v>179</v>
      </c>
      <c r="F4138">
        <v>382</v>
      </c>
      <c r="G4138">
        <v>340</v>
      </c>
      <c r="H4138">
        <v>3</v>
      </c>
      <c r="I4138">
        <v>1</v>
      </c>
      <c r="J4138">
        <v>7960</v>
      </c>
      <c r="K4138">
        <v>1</v>
      </c>
      <c r="L4138">
        <v>7960</v>
      </c>
      <c r="M4138">
        <v>1</v>
      </c>
      <c r="N4138">
        <v>5</v>
      </c>
      <c r="O4138">
        <v>371</v>
      </c>
      <c r="P4138">
        <f t="shared" si="213"/>
        <v>2024</v>
      </c>
      <c r="Q4138">
        <f t="shared" si="214"/>
        <v>11</v>
      </c>
      <c r="R4138" t="str">
        <f t="shared" si="215"/>
        <v>手淘搜索-短视频</v>
      </c>
      <c r="S4138" t="s">
        <v>785</v>
      </c>
      <c r="T4138" t="s">
        <v>805</v>
      </c>
    </row>
    <row r="4139" spans="1:20" x14ac:dyDescent="0.3">
      <c r="A4139" t="s">
        <v>627</v>
      </c>
      <c r="B4139" s="16">
        <v>45600</v>
      </c>
      <c r="C4139" t="s">
        <v>3</v>
      </c>
      <c r="D4139" t="s">
        <v>143</v>
      </c>
      <c r="E4139" t="s">
        <v>180</v>
      </c>
      <c r="F4139">
        <v>6</v>
      </c>
      <c r="G4139">
        <v>4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6</v>
      </c>
      <c r="P4139">
        <f t="shared" si="213"/>
        <v>2024</v>
      </c>
      <c r="Q4139">
        <f t="shared" si="214"/>
        <v>11</v>
      </c>
      <c r="R4139" t="str">
        <f t="shared" si="215"/>
        <v>淘特其他渠道</v>
      </c>
      <c r="S4139" t="s">
        <v>785</v>
      </c>
      <c r="T4139" t="s">
        <v>805</v>
      </c>
    </row>
    <row r="4140" spans="1:20" x14ac:dyDescent="0.3">
      <c r="A4140" t="s">
        <v>627</v>
      </c>
      <c r="B4140" s="16">
        <v>45600</v>
      </c>
      <c r="C4140" t="s">
        <v>3</v>
      </c>
      <c r="D4140" t="s">
        <v>143</v>
      </c>
      <c r="E4140" t="s">
        <v>181</v>
      </c>
      <c r="F4140">
        <v>16</v>
      </c>
      <c r="G4140">
        <v>14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16</v>
      </c>
      <c r="P4140">
        <f t="shared" si="213"/>
        <v>2024</v>
      </c>
      <c r="Q4140">
        <f t="shared" si="214"/>
        <v>11</v>
      </c>
      <c r="R4140" t="str">
        <f t="shared" si="215"/>
        <v>淘特搜索</v>
      </c>
      <c r="S4140" t="s">
        <v>785</v>
      </c>
      <c r="T4140" t="s">
        <v>805</v>
      </c>
    </row>
    <row r="4141" spans="1:20" x14ac:dyDescent="0.3">
      <c r="A4141" t="s">
        <v>627</v>
      </c>
      <c r="B4141" s="16">
        <v>45600</v>
      </c>
      <c r="C4141" t="s">
        <v>3</v>
      </c>
      <c r="D4141" t="s">
        <v>143</v>
      </c>
      <c r="E4141" t="s">
        <v>224</v>
      </c>
      <c r="F4141">
        <v>1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1</v>
      </c>
      <c r="P4141">
        <f t="shared" si="213"/>
        <v>2024</v>
      </c>
      <c r="Q4141">
        <f t="shared" si="214"/>
        <v>11</v>
      </c>
      <c r="R4141" t="str">
        <f t="shared" si="215"/>
        <v>淘特自主访问</v>
      </c>
      <c r="S4141" t="s">
        <v>785</v>
      </c>
      <c r="T4141" t="s">
        <v>805</v>
      </c>
    </row>
    <row r="4142" spans="1:20" x14ac:dyDescent="0.3">
      <c r="A4142" t="s">
        <v>627</v>
      </c>
      <c r="B4142" s="16">
        <v>45600</v>
      </c>
      <c r="C4142" t="s">
        <v>2</v>
      </c>
      <c r="D4142" t="s">
        <v>55</v>
      </c>
      <c r="E4142" t="s">
        <v>54</v>
      </c>
      <c r="F4142">
        <v>11</v>
      </c>
      <c r="G4142">
        <v>2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2</v>
      </c>
      <c r="P4142">
        <f t="shared" si="213"/>
        <v>2024</v>
      </c>
      <c r="Q4142">
        <f t="shared" si="214"/>
        <v>11</v>
      </c>
      <c r="R4142" t="str">
        <f t="shared" si="215"/>
        <v>超级直播</v>
      </c>
      <c r="S4142" t="s">
        <v>785</v>
      </c>
      <c r="T4142" t="s">
        <v>805</v>
      </c>
    </row>
    <row r="4143" spans="1:20" x14ac:dyDescent="0.3">
      <c r="A4143" t="s">
        <v>627</v>
      </c>
      <c r="B4143" s="16">
        <v>45600</v>
      </c>
      <c r="C4143" t="s">
        <v>2</v>
      </c>
      <c r="D4143" t="s">
        <v>55</v>
      </c>
      <c r="E4143" t="s">
        <v>56</v>
      </c>
      <c r="F4143">
        <v>161</v>
      </c>
      <c r="G4143">
        <v>101</v>
      </c>
      <c r="H4143">
        <v>9</v>
      </c>
      <c r="I4143">
        <v>5</v>
      </c>
      <c r="J4143">
        <v>0</v>
      </c>
      <c r="K4143">
        <v>0</v>
      </c>
      <c r="L4143">
        <v>0</v>
      </c>
      <c r="M4143">
        <v>0</v>
      </c>
      <c r="N4143">
        <v>5</v>
      </c>
      <c r="O4143">
        <v>120</v>
      </c>
      <c r="P4143">
        <f t="shared" si="213"/>
        <v>2024</v>
      </c>
      <c r="Q4143">
        <f t="shared" si="214"/>
        <v>11</v>
      </c>
      <c r="R4143" t="str">
        <f t="shared" si="215"/>
        <v>超级短视频</v>
      </c>
      <c r="S4143" t="s">
        <v>785</v>
      </c>
      <c r="T4143" t="s">
        <v>805</v>
      </c>
    </row>
    <row r="4144" spans="1:20" x14ac:dyDescent="0.3">
      <c r="A4144" t="s">
        <v>627</v>
      </c>
      <c r="B4144" s="16">
        <v>45600</v>
      </c>
      <c r="C4144" t="s">
        <v>2</v>
      </c>
      <c r="D4144" t="s">
        <v>52</v>
      </c>
      <c r="E4144" t="s">
        <v>53</v>
      </c>
      <c r="F4144">
        <v>602</v>
      </c>
      <c r="G4144">
        <v>524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602</v>
      </c>
      <c r="O4144">
        <v>104</v>
      </c>
      <c r="P4144">
        <f t="shared" si="213"/>
        <v>2024</v>
      </c>
      <c r="Q4144">
        <f t="shared" si="214"/>
        <v>11</v>
      </c>
      <c r="R4144" t="str">
        <f t="shared" si="215"/>
        <v>Showmax</v>
      </c>
      <c r="S4144" t="s">
        <v>785</v>
      </c>
      <c r="T4144" t="s">
        <v>805</v>
      </c>
    </row>
    <row r="4145" spans="1:20" x14ac:dyDescent="0.3">
      <c r="A4145" t="s">
        <v>627</v>
      </c>
      <c r="B4145" s="16">
        <v>45600</v>
      </c>
      <c r="C4145" t="s">
        <v>2</v>
      </c>
      <c r="D4145" t="s">
        <v>52</v>
      </c>
      <c r="E4145" t="s">
        <v>59</v>
      </c>
      <c r="F4145">
        <v>291</v>
      </c>
      <c r="G4145">
        <v>239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291</v>
      </c>
      <c r="O4145">
        <v>68</v>
      </c>
      <c r="P4145">
        <f t="shared" si="213"/>
        <v>2024</v>
      </c>
      <c r="Q4145">
        <f t="shared" si="214"/>
        <v>11</v>
      </c>
      <c r="R4145" t="str">
        <f t="shared" si="215"/>
        <v>品牌特秀</v>
      </c>
      <c r="S4145" t="s">
        <v>785</v>
      </c>
      <c r="T4145" t="s">
        <v>805</v>
      </c>
    </row>
    <row r="4146" spans="1:20" x14ac:dyDescent="0.3">
      <c r="A4146" t="s">
        <v>627</v>
      </c>
      <c r="B4146" s="16">
        <v>45600</v>
      </c>
      <c r="C4146" t="s">
        <v>2</v>
      </c>
      <c r="D4146" t="s">
        <v>52</v>
      </c>
      <c r="E4146" t="s">
        <v>183</v>
      </c>
      <c r="F4146">
        <v>608</v>
      </c>
      <c r="G4146">
        <v>484</v>
      </c>
      <c r="H4146">
        <v>21</v>
      </c>
      <c r="I4146">
        <v>8</v>
      </c>
      <c r="J4146">
        <v>12238</v>
      </c>
      <c r="K4146">
        <v>4</v>
      </c>
      <c r="L4146">
        <v>10558</v>
      </c>
      <c r="M4146">
        <v>4</v>
      </c>
      <c r="N4146">
        <v>608</v>
      </c>
      <c r="O4146">
        <v>344</v>
      </c>
      <c r="P4146">
        <f t="shared" si="213"/>
        <v>2024</v>
      </c>
      <c r="Q4146">
        <f t="shared" si="214"/>
        <v>11</v>
      </c>
      <c r="R4146" t="str">
        <f t="shared" si="215"/>
        <v>品销宝-品牌专区</v>
      </c>
      <c r="S4146" t="s">
        <v>785</v>
      </c>
      <c r="T4146" t="s">
        <v>805</v>
      </c>
    </row>
    <row r="4147" spans="1:20" x14ac:dyDescent="0.3">
      <c r="A4147" t="s">
        <v>627</v>
      </c>
      <c r="B4147" s="16">
        <v>45600</v>
      </c>
      <c r="C4147" t="s">
        <v>2</v>
      </c>
      <c r="D4147" t="s">
        <v>57</v>
      </c>
      <c r="E4147" t="s">
        <v>65</v>
      </c>
      <c r="F4147">
        <v>3424</v>
      </c>
      <c r="G4147">
        <v>2717</v>
      </c>
      <c r="H4147">
        <v>70</v>
      </c>
      <c r="I4147">
        <v>20</v>
      </c>
      <c r="J4147">
        <v>76317</v>
      </c>
      <c r="K4147">
        <v>10</v>
      </c>
      <c r="L4147">
        <v>6480</v>
      </c>
      <c r="M4147">
        <v>2</v>
      </c>
      <c r="N4147">
        <v>249</v>
      </c>
      <c r="O4147">
        <v>3403</v>
      </c>
      <c r="P4147">
        <f t="shared" si="213"/>
        <v>2024</v>
      </c>
      <c r="Q4147">
        <f t="shared" si="214"/>
        <v>11</v>
      </c>
      <c r="R4147" t="str">
        <f t="shared" si="215"/>
        <v>直通车</v>
      </c>
      <c r="S4147" t="s">
        <v>785</v>
      </c>
      <c r="T4147" t="s">
        <v>805</v>
      </c>
    </row>
    <row r="4148" spans="1:20" x14ac:dyDescent="0.3">
      <c r="A4148" t="s">
        <v>627</v>
      </c>
      <c r="B4148" s="16">
        <v>45600</v>
      </c>
      <c r="C4148" t="s">
        <v>2</v>
      </c>
      <c r="D4148" t="s">
        <v>57</v>
      </c>
      <c r="E4148" t="s">
        <v>63</v>
      </c>
      <c r="F4148">
        <v>4316</v>
      </c>
      <c r="G4148">
        <v>2321</v>
      </c>
      <c r="H4148">
        <v>147</v>
      </c>
      <c r="I4148">
        <v>69</v>
      </c>
      <c r="J4148">
        <v>103511</v>
      </c>
      <c r="K4148">
        <v>21</v>
      </c>
      <c r="L4148">
        <v>49226</v>
      </c>
      <c r="M4148">
        <v>13</v>
      </c>
      <c r="N4148">
        <v>208</v>
      </c>
      <c r="O4148">
        <v>4310</v>
      </c>
      <c r="P4148">
        <f t="shared" si="213"/>
        <v>2024</v>
      </c>
      <c r="Q4148">
        <f t="shared" si="214"/>
        <v>11</v>
      </c>
      <c r="R4148" t="str">
        <f t="shared" si="215"/>
        <v>万相台</v>
      </c>
      <c r="S4148" t="s">
        <v>785</v>
      </c>
      <c r="T4148" t="s">
        <v>805</v>
      </c>
    </row>
    <row r="4149" spans="1:20" x14ac:dyDescent="0.3">
      <c r="A4149" t="s">
        <v>627</v>
      </c>
      <c r="B4149" s="16">
        <v>45600</v>
      </c>
      <c r="C4149" t="s">
        <v>2</v>
      </c>
      <c r="D4149" t="s">
        <v>57</v>
      </c>
      <c r="E4149" t="s">
        <v>64</v>
      </c>
      <c r="F4149">
        <v>5744</v>
      </c>
      <c r="G4149">
        <v>2209</v>
      </c>
      <c r="H4149">
        <v>87</v>
      </c>
      <c r="I4149">
        <v>72</v>
      </c>
      <c r="J4149">
        <v>43630</v>
      </c>
      <c r="K4149">
        <v>10</v>
      </c>
      <c r="L4149">
        <v>31965</v>
      </c>
      <c r="M4149">
        <v>8</v>
      </c>
      <c r="N4149">
        <v>405</v>
      </c>
      <c r="O4149">
        <v>5741</v>
      </c>
      <c r="P4149">
        <f t="shared" si="213"/>
        <v>2024</v>
      </c>
      <c r="Q4149">
        <f t="shared" si="214"/>
        <v>11</v>
      </c>
      <c r="R4149" t="str">
        <f t="shared" si="215"/>
        <v>引力魔方</v>
      </c>
      <c r="S4149" t="s">
        <v>785</v>
      </c>
      <c r="T4149" t="s">
        <v>805</v>
      </c>
    </row>
    <row r="4150" spans="1:20" x14ac:dyDescent="0.3">
      <c r="A4150" t="s">
        <v>627</v>
      </c>
      <c r="B4150" s="16">
        <v>45600</v>
      </c>
      <c r="C4150" t="s">
        <v>2</v>
      </c>
      <c r="D4150" t="s">
        <v>4</v>
      </c>
      <c r="E4150" t="s">
        <v>41</v>
      </c>
      <c r="F4150">
        <v>1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1</v>
      </c>
      <c r="P4150">
        <f t="shared" si="213"/>
        <v>2024</v>
      </c>
      <c r="Q4150">
        <f t="shared" si="214"/>
        <v>11</v>
      </c>
      <c r="R4150" t="str">
        <f t="shared" si="215"/>
        <v>流量宝</v>
      </c>
      <c r="S4150" t="s">
        <v>785</v>
      </c>
      <c r="T4150" t="s">
        <v>805</v>
      </c>
    </row>
    <row r="4151" spans="1:20" x14ac:dyDescent="0.3">
      <c r="A4151" t="s">
        <v>627</v>
      </c>
      <c r="B4151" s="16">
        <v>45600</v>
      </c>
      <c r="C4151" t="s">
        <v>2</v>
      </c>
      <c r="D4151" t="s">
        <v>4</v>
      </c>
      <c r="E4151" t="s">
        <v>43</v>
      </c>
      <c r="F4151">
        <v>350</v>
      </c>
      <c r="G4151">
        <v>112</v>
      </c>
      <c r="H4151">
        <v>4</v>
      </c>
      <c r="I4151">
        <v>0</v>
      </c>
      <c r="J4151">
        <v>9395</v>
      </c>
      <c r="K4151">
        <v>1</v>
      </c>
      <c r="L4151">
        <v>3875</v>
      </c>
      <c r="M4151">
        <v>1</v>
      </c>
      <c r="N4151">
        <v>15</v>
      </c>
      <c r="O4151">
        <v>346</v>
      </c>
      <c r="P4151">
        <f t="shared" si="213"/>
        <v>2024</v>
      </c>
      <c r="Q4151">
        <f t="shared" si="214"/>
        <v>11</v>
      </c>
      <c r="R4151" t="str">
        <f t="shared" si="215"/>
        <v>淘宝客</v>
      </c>
      <c r="S4151" t="s">
        <v>785</v>
      </c>
      <c r="T4151" t="s">
        <v>805</v>
      </c>
    </row>
    <row r="4152" spans="1:20" x14ac:dyDescent="0.3">
      <c r="A4152" t="s">
        <v>627</v>
      </c>
      <c r="B4152" s="16">
        <v>45599</v>
      </c>
      <c r="C4152" t="s">
        <v>3</v>
      </c>
      <c r="D4152" t="s">
        <v>114</v>
      </c>
      <c r="E4152" t="s">
        <v>159</v>
      </c>
      <c r="F4152">
        <v>226</v>
      </c>
      <c r="G4152">
        <v>101</v>
      </c>
      <c r="H4152">
        <v>6</v>
      </c>
      <c r="I4152">
        <v>6</v>
      </c>
      <c r="J4152">
        <v>6857</v>
      </c>
      <c r="K4152">
        <v>2</v>
      </c>
      <c r="L4152">
        <v>6857</v>
      </c>
      <c r="M4152">
        <v>2</v>
      </c>
      <c r="N4152">
        <v>23</v>
      </c>
      <c r="O4152">
        <v>222</v>
      </c>
      <c r="P4152">
        <f t="shared" si="213"/>
        <v>2024</v>
      </c>
      <c r="Q4152">
        <f t="shared" si="214"/>
        <v>11</v>
      </c>
      <c r="R4152" t="str">
        <f t="shared" si="215"/>
        <v>主会场</v>
      </c>
      <c r="S4152" t="s">
        <v>785</v>
      </c>
      <c r="T4152" t="s">
        <v>805</v>
      </c>
    </row>
    <row r="4153" spans="1:20" x14ac:dyDescent="0.3">
      <c r="A4153" t="s">
        <v>627</v>
      </c>
      <c r="B4153" s="16">
        <v>45599</v>
      </c>
      <c r="C4153" t="s">
        <v>3</v>
      </c>
      <c r="D4153" t="s">
        <v>114</v>
      </c>
      <c r="E4153" t="s">
        <v>160</v>
      </c>
      <c r="F4153">
        <v>5</v>
      </c>
      <c r="G4153">
        <v>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2</v>
      </c>
      <c r="O4153">
        <v>5</v>
      </c>
      <c r="P4153">
        <f t="shared" si="213"/>
        <v>2024</v>
      </c>
      <c r="Q4153">
        <f t="shared" si="214"/>
        <v>11</v>
      </c>
      <c r="R4153" t="str">
        <f t="shared" si="215"/>
        <v>榜单会场</v>
      </c>
      <c r="S4153" t="s">
        <v>785</v>
      </c>
      <c r="T4153" t="s">
        <v>805</v>
      </c>
    </row>
    <row r="4154" spans="1:20" x14ac:dyDescent="0.3">
      <c r="A4154" t="s">
        <v>627</v>
      </c>
      <c r="B4154" s="16">
        <v>45599</v>
      </c>
      <c r="C4154" t="s">
        <v>3</v>
      </c>
      <c r="D4154" t="s">
        <v>117</v>
      </c>
      <c r="E4154" t="s">
        <v>161</v>
      </c>
      <c r="F4154">
        <v>18</v>
      </c>
      <c r="G4154">
        <v>17</v>
      </c>
      <c r="H4154">
        <v>2</v>
      </c>
      <c r="I4154">
        <v>1</v>
      </c>
      <c r="J4154">
        <v>3900</v>
      </c>
      <c r="K4154">
        <v>1</v>
      </c>
      <c r="L4154">
        <v>3900</v>
      </c>
      <c r="M4154">
        <v>1</v>
      </c>
      <c r="N4154">
        <v>3</v>
      </c>
      <c r="O4154">
        <v>18</v>
      </c>
      <c r="P4154">
        <f t="shared" si="213"/>
        <v>2024</v>
      </c>
      <c r="Q4154">
        <f t="shared" si="214"/>
        <v>11</v>
      </c>
      <c r="R4154" t="str">
        <f t="shared" si="215"/>
        <v>其他入口榜单</v>
      </c>
      <c r="S4154" t="s">
        <v>785</v>
      </c>
      <c r="T4154" t="s">
        <v>805</v>
      </c>
    </row>
    <row r="4155" spans="1:20" x14ac:dyDescent="0.3">
      <c r="A4155" t="s">
        <v>627</v>
      </c>
      <c r="B4155" s="16">
        <v>45599</v>
      </c>
      <c r="C4155" t="s">
        <v>3</v>
      </c>
      <c r="D4155" t="s">
        <v>117</v>
      </c>
      <c r="E4155" t="s">
        <v>195</v>
      </c>
      <c r="F4155">
        <v>1</v>
      </c>
      <c r="G4155">
        <v>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1</v>
      </c>
      <c r="P4155">
        <f t="shared" si="213"/>
        <v>2024</v>
      </c>
      <c r="Q4155">
        <f t="shared" si="214"/>
        <v>11</v>
      </c>
      <c r="R4155" t="str">
        <f t="shared" si="215"/>
        <v>搜索入口榜单</v>
      </c>
      <c r="S4155" t="s">
        <v>785</v>
      </c>
      <c r="T4155" t="s">
        <v>805</v>
      </c>
    </row>
    <row r="4156" spans="1:20" x14ac:dyDescent="0.3">
      <c r="A4156" t="s">
        <v>627</v>
      </c>
      <c r="B4156" s="16">
        <v>45599</v>
      </c>
      <c r="C4156" t="s">
        <v>3</v>
      </c>
      <c r="D4156" t="s">
        <v>123</v>
      </c>
      <c r="E4156" t="s">
        <v>169</v>
      </c>
      <c r="F4156">
        <v>378</v>
      </c>
      <c r="G4156">
        <v>146</v>
      </c>
      <c r="H4156">
        <v>23</v>
      </c>
      <c r="I4156">
        <v>7</v>
      </c>
      <c r="J4156">
        <v>54390.3</v>
      </c>
      <c r="K4156">
        <v>9</v>
      </c>
      <c r="L4156">
        <v>45040.3</v>
      </c>
      <c r="M4156">
        <v>8</v>
      </c>
      <c r="N4156">
        <v>81</v>
      </c>
      <c r="O4156">
        <v>367</v>
      </c>
      <c r="P4156">
        <f t="shared" si="213"/>
        <v>2024</v>
      </c>
      <c r="Q4156">
        <f t="shared" si="214"/>
        <v>11</v>
      </c>
      <c r="R4156" t="str">
        <f t="shared" si="215"/>
        <v>商品详情页头图推荐</v>
      </c>
      <c r="S4156" t="s">
        <v>785</v>
      </c>
      <c r="T4156" t="s">
        <v>805</v>
      </c>
    </row>
    <row r="4157" spans="1:20" x14ac:dyDescent="0.3">
      <c r="A4157" t="s">
        <v>627</v>
      </c>
      <c r="B4157" s="16">
        <v>45599</v>
      </c>
      <c r="C4157" t="s">
        <v>3</v>
      </c>
      <c r="D4157" t="s">
        <v>123</v>
      </c>
      <c r="E4157" t="s">
        <v>170</v>
      </c>
      <c r="F4157">
        <v>61</v>
      </c>
      <c r="G4157">
        <v>30</v>
      </c>
      <c r="H4157">
        <v>7</v>
      </c>
      <c r="I4157">
        <v>1</v>
      </c>
      <c r="J4157">
        <v>4447.5</v>
      </c>
      <c r="K4157">
        <v>1</v>
      </c>
      <c r="L4157">
        <v>4447.5</v>
      </c>
      <c r="M4157">
        <v>1</v>
      </c>
      <c r="N4157">
        <v>51</v>
      </c>
      <c r="O4157">
        <v>32</v>
      </c>
      <c r="P4157">
        <f t="shared" si="213"/>
        <v>2024</v>
      </c>
      <c r="Q4157">
        <f t="shared" si="214"/>
        <v>11</v>
      </c>
      <c r="R4157" t="str">
        <f t="shared" si="215"/>
        <v>店铺超链</v>
      </c>
      <c r="S4157" t="s">
        <v>785</v>
      </c>
      <c r="T4157" t="s">
        <v>805</v>
      </c>
    </row>
    <row r="4158" spans="1:20" x14ac:dyDescent="0.3">
      <c r="A4158" t="s">
        <v>627</v>
      </c>
      <c r="B4158" s="16">
        <v>45599</v>
      </c>
      <c r="C4158" t="s">
        <v>2</v>
      </c>
      <c r="D4158" t="s">
        <v>52</v>
      </c>
      <c r="E4158" t="s">
        <v>59</v>
      </c>
      <c r="F4158">
        <v>969</v>
      </c>
      <c r="G4158">
        <v>694</v>
      </c>
      <c r="H4158">
        <v>13</v>
      </c>
      <c r="I4158">
        <v>4</v>
      </c>
      <c r="J4158">
        <v>5827</v>
      </c>
      <c r="K4158">
        <v>2</v>
      </c>
      <c r="L4158">
        <v>5827</v>
      </c>
      <c r="M4158">
        <v>2</v>
      </c>
      <c r="N4158">
        <v>732</v>
      </c>
      <c r="O4158">
        <v>255</v>
      </c>
      <c r="P4158">
        <f t="shared" si="213"/>
        <v>2024</v>
      </c>
      <c r="Q4158">
        <f t="shared" si="214"/>
        <v>11</v>
      </c>
      <c r="R4158" t="s">
        <v>171</v>
      </c>
      <c r="S4158" t="s">
        <v>785</v>
      </c>
      <c r="T4158" t="s">
        <v>805</v>
      </c>
    </row>
    <row r="4159" spans="1:20" x14ac:dyDescent="0.3">
      <c r="A4159" t="s">
        <v>627</v>
      </c>
      <c r="B4159" s="16">
        <v>45599</v>
      </c>
      <c r="C4159" t="s">
        <v>3</v>
      </c>
      <c r="D4159" t="s">
        <v>127</v>
      </c>
      <c r="E4159" t="s">
        <v>172</v>
      </c>
      <c r="F4159">
        <v>25</v>
      </c>
      <c r="G4159">
        <v>15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1</v>
      </c>
      <c r="O4159">
        <v>17</v>
      </c>
      <c r="P4159">
        <f t="shared" si="213"/>
        <v>2024</v>
      </c>
      <c r="Q4159">
        <f t="shared" si="214"/>
        <v>11</v>
      </c>
      <c r="R4159" t="str">
        <f t="shared" si="215"/>
        <v>购中推荐</v>
      </c>
      <c r="S4159" t="s">
        <v>785</v>
      </c>
      <c r="T4159" t="s">
        <v>805</v>
      </c>
    </row>
    <row r="4160" spans="1:20" x14ac:dyDescent="0.3">
      <c r="A4160" t="s">
        <v>627</v>
      </c>
      <c r="B4160" s="16">
        <v>45599</v>
      </c>
      <c r="C4160" t="s">
        <v>3</v>
      </c>
      <c r="D4160" t="s">
        <v>127</v>
      </c>
      <c r="E4160" t="s">
        <v>173</v>
      </c>
      <c r="F4160">
        <v>104</v>
      </c>
      <c r="G4160">
        <v>48</v>
      </c>
      <c r="H4160">
        <v>4</v>
      </c>
      <c r="I4160">
        <v>1</v>
      </c>
      <c r="J4160">
        <v>0</v>
      </c>
      <c r="K4160">
        <v>0</v>
      </c>
      <c r="L4160">
        <v>0</v>
      </c>
      <c r="M4160">
        <v>0</v>
      </c>
      <c r="N4160">
        <v>9</v>
      </c>
      <c r="O4160">
        <v>68</v>
      </c>
      <c r="P4160">
        <f t="shared" si="213"/>
        <v>2024</v>
      </c>
      <c r="Q4160">
        <f t="shared" si="214"/>
        <v>11</v>
      </c>
      <c r="R4160" t="str">
        <f t="shared" si="215"/>
        <v>购后推荐</v>
      </c>
      <c r="S4160" t="s">
        <v>785</v>
      </c>
      <c r="T4160" t="s">
        <v>805</v>
      </c>
    </row>
    <row r="4161" spans="1:20" x14ac:dyDescent="0.3">
      <c r="A4161" t="s">
        <v>627</v>
      </c>
      <c r="B4161" s="16">
        <v>45599</v>
      </c>
      <c r="C4161" t="s">
        <v>3</v>
      </c>
      <c r="D4161" t="s">
        <v>127</v>
      </c>
      <c r="E4161" t="s">
        <v>174</v>
      </c>
      <c r="F4161">
        <v>4769</v>
      </c>
      <c r="G4161">
        <v>2187</v>
      </c>
      <c r="H4161">
        <v>116</v>
      </c>
      <c r="I4161">
        <v>45</v>
      </c>
      <c r="J4161">
        <v>206367.5</v>
      </c>
      <c r="K4161">
        <v>27</v>
      </c>
      <c r="L4161">
        <v>121798.5</v>
      </c>
      <c r="M4161">
        <v>23</v>
      </c>
      <c r="N4161">
        <v>351</v>
      </c>
      <c r="O4161">
        <v>4769</v>
      </c>
      <c r="P4161">
        <f t="shared" si="213"/>
        <v>2024</v>
      </c>
      <c r="Q4161">
        <f t="shared" si="214"/>
        <v>11</v>
      </c>
      <c r="R4161" t="str">
        <f t="shared" si="215"/>
        <v>首页推荐-微详情</v>
      </c>
      <c r="S4161" t="s">
        <v>785</v>
      </c>
      <c r="T4161" t="s">
        <v>805</v>
      </c>
    </row>
    <row r="4162" spans="1:20" x14ac:dyDescent="0.3">
      <c r="A4162" t="s">
        <v>627</v>
      </c>
      <c r="B4162" s="16">
        <v>45599</v>
      </c>
      <c r="C4162" t="s">
        <v>3</v>
      </c>
      <c r="D4162" t="s">
        <v>127</v>
      </c>
      <c r="E4162" t="s">
        <v>175</v>
      </c>
      <c r="F4162">
        <v>1971</v>
      </c>
      <c r="G4162">
        <v>1630</v>
      </c>
      <c r="H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49</v>
      </c>
      <c r="P4162">
        <f t="shared" si="213"/>
        <v>2024</v>
      </c>
      <c r="Q4162">
        <f t="shared" si="214"/>
        <v>11</v>
      </c>
      <c r="R4162" t="str">
        <f t="shared" si="215"/>
        <v>首页推荐-直播</v>
      </c>
      <c r="S4162" t="s">
        <v>785</v>
      </c>
      <c r="T4162" t="s">
        <v>805</v>
      </c>
    </row>
    <row r="4163" spans="1:20" x14ac:dyDescent="0.3">
      <c r="A4163" t="s">
        <v>627</v>
      </c>
      <c r="B4163" s="16">
        <v>45599</v>
      </c>
      <c r="C4163" t="s">
        <v>3</v>
      </c>
      <c r="D4163" t="s">
        <v>127</v>
      </c>
      <c r="E4163" t="s">
        <v>176</v>
      </c>
      <c r="F4163">
        <v>839</v>
      </c>
      <c r="G4163">
        <v>321</v>
      </c>
      <c r="H4163">
        <v>8</v>
      </c>
      <c r="I4163">
        <v>1</v>
      </c>
      <c r="J4163">
        <v>15000</v>
      </c>
      <c r="K4163">
        <v>2</v>
      </c>
      <c r="L4163">
        <v>3900</v>
      </c>
      <c r="M4163">
        <v>1</v>
      </c>
      <c r="N4163">
        <v>29</v>
      </c>
      <c r="O4163">
        <v>195</v>
      </c>
      <c r="P4163">
        <f t="shared" si="213"/>
        <v>2024</v>
      </c>
      <c r="Q4163">
        <f t="shared" si="214"/>
        <v>11</v>
      </c>
      <c r="R4163" t="str">
        <f t="shared" si="215"/>
        <v>首页推荐-短视频</v>
      </c>
      <c r="S4163" t="s">
        <v>785</v>
      </c>
      <c r="T4163" t="s">
        <v>805</v>
      </c>
    </row>
    <row r="4164" spans="1:20" x14ac:dyDescent="0.3">
      <c r="A4164" t="s">
        <v>627</v>
      </c>
      <c r="B4164" s="16">
        <v>45599</v>
      </c>
      <c r="C4164" t="s">
        <v>3</v>
      </c>
      <c r="D4164" t="s">
        <v>128</v>
      </c>
      <c r="E4164" t="s">
        <v>177</v>
      </c>
      <c r="F4164">
        <v>1852</v>
      </c>
      <c r="G4164">
        <v>1398</v>
      </c>
      <c r="H4164">
        <v>229</v>
      </c>
      <c r="I4164">
        <v>13</v>
      </c>
      <c r="J4164">
        <v>347058.95</v>
      </c>
      <c r="K4164">
        <v>77</v>
      </c>
      <c r="L4164">
        <v>290361.95</v>
      </c>
      <c r="M4164">
        <v>70</v>
      </c>
      <c r="N4164">
        <v>447</v>
      </c>
      <c r="O4164">
        <v>1677</v>
      </c>
      <c r="P4164">
        <f t="shared" si="213"/>
        <v>2024</v>
      </c>
      <c r="Q4164">
        <f t="shared" si="214"/>
        <v>11</v>
      </c>
      <c r="R4164" t="str">
        <f t="shared" si="215"/>
        <v>手淘搜索-商品及其他</v>
      </c>
      <c r="S4164" t="s">
        <v>785</v>
      </c>
      <c r="T4164" t="s">
        <v>805</v>
      </c>
    </row>
    <row r="4165" spans="1:20" x14ac:dyDescent="0.3">
      <c r="A4165" t="s">
        <v>627</v>
      </c>
      <c r="B4165" s="16">
        <v>45599</v>
      </c>
      <c r="C4165" t="s">
        <v>3</v>
      </c>
      <c r="D4165" t="s">
        <v>128</v>
      </c>
      <c r="E4165" t="s">
        <v>178</v>
      </c>
      <c r="F4165">
        <v>36</v>
      </c>
      <c r="G4165">
        <v>26</v>
      </c>
      <c r="H4165">
        <v>2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1</v>
      </c>
      <c r="O4165">
        <v>17</v>
      </c>
      <c r="P4165">
        <f t="shared" si="213"/>
        <v>2024</v>
      </c>
      <c r="Q4165">
        <f t="shared" si="214"/>
        <v>11</v>
      </c>
      <c r="R4165" t="str">
        <f t="shared" si="215"/>
        <v>手淘搜索-直播</v>
      </c>
      <c r="S4165" t="s">
        <v>785</v>
      </c>
      <c r="T4165" t="s">
        <v>805</v>
      </c>
    </row>
    <row r="4166" spans="1:20" x14ac:dyDescent="0.3">
      <c r="A4166" t="s">
        <v>627</v>
      </c>
      <c r="B4166" s="16">
        <v>45599</v>
      </c>
      <c r="C4166" t="s">
        <v>3</v>
      </c>
      <c r="D4166" t="s">
        <v>128</v>
      </c>
      <c r="E4166" t="s">
        <v>179</v>
      </c>
      <c r="F4166">
        <v>213</v>
      </c>
      <c r="G4166">
        <v>173</v>
      </c>
      <c r="H4166">
        <v>3</v>
      </c>
      <c r="I4166">
        <v>1</v>
      </c>
      <c r="J4166">
        <v>20060</v>
      </c>
      <c r="K4166">
        <v>3</v>
      </c>
      <c r="L4166">
        <v>16130</v>
      </c>
      <c r="M4166">
        <v>3</v>
      </c>
      <c r="N4166">
        <v>15</v>
      </c>
      <c r="O4166">
        <v>190</v>
      </c>
      <c r="P4166">
        <f t="shared" si="213"/>
        <v>2024</v>
      </c>
      <c r="Q4166">
        <f t="shared" si="214"/>
        <v>11</v>
      </c>
      <c r="R4166" t="str">
        <f t="shared" si="215"/>
        <v>手淘搜索-短视频</v>
      </c>
      <c r="S4166" t="s">
        <v>785</v>
      </c>
      <c r="T4166" t="s">
        <v>805</v>
      </c>
    </row>
    <row r="4167" spans="1:20" x14ac:dyDescent="0.3">
      <c r="A4167" t="s">
        <v>627</v>
      </c>
      <c r="B4167" s="16">
        <v>45599</v>
      </c>
      <c r="C4167" t="s">
        <v>3</v>
      </c>
      <c r="D4167" t="s">
        <v>143</v>
      </c>
      <c r="E4167" t="s">
        <v>180</v>
      </c>
      <c r="F4167">
        <v>4</v>
      </c>
      <c r="G4167">
        <v>3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4</v>
      </c>
      <c r="P4167">
        <f t="shared" si="213"/>
        <v>2024</v>
      </c>
      <c r="Q4167">
        <f t="shared" si="214"/>
        <v>11</v>
      </c>
      <c r="R4167" t="str">
        <f t="shared" si="215"/>
        <v>淘特其他渠道</v>
      </c>
      <c r="S4167" t="s">
        <v>785</v>
      </c>
      <c r="T4167" t="s">
        <v>805</v>
      </c>
    </row>
    <row r="4168" spans="1:20" x14ac:dyDescent="0.3">
      <c r="A4168" t="s">
        <v>627</v>
      </c>
      <c r="B4168" s="16">
        <v>45599</v>
      </c>
      <c r="C4168" t="s">
        <v>3</v>
      </c>
      <c r="D4168" t="s">
        <v>143</v>
      </c>
      <c r="E4168" t="s">
        <v>181</v>
      </c>
      <c r="F4168">
        <v>11</v>
      </c>
      <c r="G4168">
        <v>10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11</v>
      </c>
      <c r="P4168">
        <f t="shared" si="213"/>
        <v>2024</v>
      </c>
      <c r="Q4168">
        <f t="shared" si="214"/>
        <v>11</v>
      </c>
      <c r="R4168" t="str">
        <f t="shared" si="215"/>
        <v>淘特搜索</v>
      </c>
      <c r="S4168" t="s">
        <v>785</v>
      </c>
      <c r="T4168" t="s">
        <v>805</v>
      </c>
    </row>
    <row r="4169" spans="1:20" x14ac:dyDescent="0.3">
      <c r="A4169" t="s">
        <v>627</v>
      </c>
      <c r="B4169" s="16">
        <v>45599</v>
      </c>
      <c r="C4169" t="s">
        <v>2</v>
      </c>
      <c r="D4169" t="s">
        <v>55</v>
      </c>
      <c r="E4169" t="s">
        <v>54</v>
      </c>
      <c r="F4169">
        <v>1526</v>
      </c>
      <c r="G4169">
        <v>1072</v>
      </c>
      <c r="H4169">
        <v>16</v>
      </c>
      <c r="I4169">
        <v>2</v>
      </c>
      <c r="J4169">
        <v>0</v>
      </c>
      <c r="K4169">
        <v>0</v>
      </c>
      <c r="L4169">
        <v>0</v>
      </c>
      <c r="M4169">
        <v>0</v>
      </c>
      <c r="N4169">
        <v>38</v>
      </c>
      <c r="O4169">
        <v>362</v>
      </c>
      <c r="P4169">
        <f t="shared" si="213"/>
        <v>2024</v>
      </c>
      <c r="Q4169">
        <f t="shared" si="214"/>
        <v>11</v>
      </c>
      <c r="R4169" t="str">
        <f t="shared" si="215"/>
        <v>超级直播</v>
      </c>
      <c r="S4169" t="s">
        <v>785</v>
      </c>
      <c r="T4169" t="s">
        <v>805</v>
      </c>
    </row>
    <row r="4170" spans="1:20" x14ac:dyDescent="0.3">
      <c r="A4170" t="s">
        <v>627</v>
      </c>
      <c r="B4170" s="16">
        <v>45599</v>
      </c>
      <c r="C4170" t="s">
        <v>2</v>
      </c>
      <c r="D4170" t="s">
        <v>55</v>
      </c>
      <c r="E4170" t="s">
        <v>56</v>
      </c>
      <c r="F4170">
        <v>444</v>
      </c>
      <c r="G4170">
        <v>338</v>
      </c>
      <c r="H4170">
        <v>11</v>
      </c>
      <c r="I4170">
        <v>8</v>
      </c>
      <c r="J4170">
        <v>0</v>
      </c>
      <c r="K4170">
        <v>0</v>
      </c>
      <c r="L4170">
        <v>0</v>
      </c>
      <c r="M4170">
        <v>0</v>
      </c>
      <c r="N4170">
        <v>7</v>
      </c>
      <c r="O4170">
        <v>382</v>
      </c>
      <c r="P4170">
        <f t="shared" si="213"/>
        <v>2024</v>
      </c>
      <c r="Q4170">
        <f t="shared" si="214"/>
        <v>11</v>
      </c>
      <c r="R4170" t="str">
        <f t="shared" si="215"/>
        <v>超级短视频</v>
      </c>
      <c r="S4170" t="s">
        <v>785</v>
      </c>
      <c r="T4170" t="s">
        <v>805</v>
      </c>
    </row>
    <row r="4171" spans="1:20" x14ac:dyDescent="0.3">
      <c r="A4171" t="s">
        <v>627</v>
      </c>
      <c r="B4171" s="16">
        <v>45599</v>
      </c>
      <c r="C4171" t="s">
        <v>2</v>
      </c>
      <c r="D4171" t="s">
        <v>52</v>
      </c>
      <c r="E4171" t="s">
        <v>53</v>
      </c>
      <c r="F4171">
        <v>283</v>
      </c>
      <c r="G4171">
        <v>248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283</v>
      </c>
      <c r="O4171">
        <v>44</v>
      </c>
      <c r="P4171">
        <f t="shared" si="213"/>
        <v>2024</v>
      </c>
      <c r="Q4171">
        <f t="shared" si="214"/>
        <v>11</v>
      </c>
      <c r="R4171" t="str">
        <f t="shared" si="215"/>
        <v>Showmax</v>
      </c>
      <c r="S4171" t="s">
        <v>785</v>
      </c>
      <c r="T4171" t="s">
        <v>805</v>
      </c>
    </row>
    <row r="4172" spans="1:20" x14ac:dyDescent="0.3">
      <c r="A4172" t="s">
        <v>627</v>
      </c>
      <c r="B4172" s="16">
        <v>45599</v>
      </c>
      <c r="C4172" t="s">
        <v>2</v>
      </c>
      <c r="D4172" t="s">
        <v>52</v>
      </c>
      <c r="E4172" t="s">
        <v>59</v>
      </c>
      <c r="F4172">
        <v>322</v>
      </c>
      <c r="G4172">
        <v>275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322</v>
      </c>
      <c r="O4172">
        <v>78</v>
      </c>
      <c r="P4172">
        <f t="shared" si="213"/>
        <v>2024</v>
      </c>
      <c r="Q4172">
        <f t="shared" si="214"/>
        <v>11</v>
      </c>
      <c r="R4172" t="str">
        <f t="shared" si="215"/>
        <v>品牌特秀</v>
      </c>
      <c r="S4172" t="s">
        <v>785</v>
      </c>
      <c r="T4172" t="s">
        <v>805</v>
      </c>
    </row>
    <row r="4173" spans="1:20" x14ac:dyDescent="0.3">
      <c r="A4173" t="s">
        <v>627</v>
      </c>
      <c r="B4173" s="16">
        <v>45599</v>
      </c>
      <c r="C4173" t="s">
        <v>2</v>
      </c>
      <c r="D4173" t="s">
        <v>52</v>
      </c>
      <c r="E4173" t="s">
        <v>183</v>
      </c>
      <c r="F4173">
        <v>703</v>
      </c>
      <c r="G4173">
        <v>565</v>
      </c>
      <c r="H4173">
        <v>38</v>
      </c>
      <c r="I4173">
        <v>4</v>
      </c>
      <c r="J4173">
        <v>103852</v>
      </c>
      <c r="K4173">
        <v>13</v>
      </c>
      <c r="L4173">
        <v>69742</v>
      </c>
      <c r="M4173">
        <v>11</v>
      </c>
      <c r="N4173">
        <v>703</v>
      </c>
      <c r="O4173">
        <v>403</v>
      </c>
      <c r="P4173">
        <f t="shared" si="213"/>
        <v>2024</v>
      </c>
      <c r="Q4173">
        <f t="shared" si="214"/>
        <v>11</v>
      </c>
      <c r="R4173" t="str">
        <f t="shared" si="215"/>
        <v>品销宝-品牌专区</v>
      </c>
      <c r="S4173" t="s">
        <v>785</v>
      </c>
      <c r="T4173" t="s">
        <v>805</v>
      </c>
    </row>
    <row r="4174" spans="1:20" x14ac:dyDescent="0.3">
      <c r="A4174" t="s">
        <v>627</v>
      </c>
      <c r="B4174" s="16">
        <v>45599</v>
      </c>
      <c r="C4174" t="s">
        <v>2</v>
      </c>
      <c r="D4174" t="s">
        <v>52</v>
      </c>
      <c r="E4174" t="s">
        <v>58</v>
      </c>
      <c r="F4174">
        <v>1</v>
      </c>
      <c r="G4174">
        <v>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1</v>
      </c>
      <c r="P4174">
        <f t="shared" si="213"/>
        <v>2024</v>
      </c>
      <c r="Q4174">
        <f t="shared" si="214"/>
        <v>11</v>
      </c>
      <c r="R4174" t="str">
        <f t="shared" si="215"/>
        <v>超级全域通</v>
      </c>
      <c r="S4174" t="s">
        <v>785</v>
      </c>
      <c r="T4174" t="s">
        <v>805</v>
      </c>
    </row>
    <row r="4175" spans="1:20" x14ac:dyDescent="0.3">
      <c r="A4175" t="s">
        <v>627</v>
      </c>
      <c r="B4175" s="16">
        <v>45599</v>
      </c>
      <c r="C4175" t="s">
        <v>2</v>
      </c>
      <c r="D4175" t="s">
        <v>57</v>
      </c>
      <c r="E4175" t="s">
        <v>65</v>
      </c>
      <c r="F4175">
        <v>4695</v>
      </c>
      <c r="G4175">
        <v>3937</v>
      </c>
      <c r="H4175">
        <v>241</v>
      </c>
      <c r="I4175">
        <v>34</v>
      </c>
      <c r="J4175">
        <v>353181</v>
      </c>
      <c r="K4175">
        <v>72</v>
      </c>
      <c r="L4175">
        <v>302443</v>
      </c>
      <c r="M4175">
        <v>68</v>
      </c>
      <c r="N4175">
        <v>405</v>
      </c>
      <c r="O4175">
        <v>4641</v>
      </c>
      <c r="P4175">
        <f t="shared" si="213"/>
        <v>2024</v>
      </c>
      <c r="Q4175">
        <f t="shared" si="214"/>
        <v>11</v>
      </c>
      <c r="R4175" t="str">
        <f t="shared" si="215"/>
        <v>直通车</v>
      </c>
      <c r="S4175" t="s">
        <v>785</v>
      </c>
      <c r="T4175" t="s">
        <v>805</v>
      </c>
    </row>
    <row r="4176" spans="1:20" x14ac:dyDescent="0.3">
      <c r="A4176" t="s">
        <v>627</v>
      </c>
      <c r="B4176" s="16">
        <v>45599</v>
      </c>
      <c r="C4176" t="s">
        <v>2</v>
      </c>
      <c r="D4176" t="s">
        <v>57</v>
      </c>
      <c r="E4176" t="s">
        <v>63</v>
      </c>
      <c r="F4176">
        <v>5211</v>
      </c>
      <c r="G4176">
        <v>2679</v>
      </c>
      <c r="H4176">
        <v>239</v>
      </c>
      <c r="I4176">
        <v>79</v>
      </c>
      <c r="J4176">
        <v>291769.52</v>
      </c>
      <c r="K4176">
        <v>58</v>
      </c>
      <c r="L4176">
        <v>190734.02</v>
      </c>
      <c r="M4176">
        <v>48</v>
      </c>
      <c r="N4176">
        <v>376</v>
      </c>
      <c r="O4176">
        <v>5197</v>
      </c>
      <c r="P4176">
        <f t="shared" si="213"/>
        <v>2024</v>
      </c>
      <c r="Q4176">
        <f t="shared" si="214"/>
        <v>11</v>
      </c>
      <c r="R4176" t="str">
        <f t="shared" si="215"/>
        <v>万相台</v>
      </c>
      <c r="S4176" t="s">
        <v>785</v>
      </c>
      <c r="T4176" t="s">
        <v>805</v>
      </c>
    </row>
    <row r="4177" spans="1:20" x14ac:dyDescent="0.3">
      <c r="A4177" t="s">
        <v>627</v>
      </c>
      <c r="B4177" s="16">
        <v>45599</v>
      </c>
      <c r="C4177" t="s">
        <v>2</v>
      </c>
      <c r="D4177" t="s">
        <v>57</v>
      </c>
      <c r="E4177" t="s">
        <v>64</v>
      </c>
      <c r="F4177">
        <v>7619</v>
      </c>
      <c r="G4177">
        <v>3055</v>
      </c>
      <c r="H4177">
        <v>156</v>
      </c>
      <c r="I4177">
        <v>79</v>
      </c>
      <c r="J4177">
        <v>83054</v>
      </c>
      <c r="K4177">
        <v>20</v>
      </c>
      <c r="L4177">
        <v>80064</v>
      </c>
      <c r="M4177">
        <v>19</v>
      </c>
      <c r="N4177">
        <v>605</v>
      </c>
      <c r="O4177">
        <v>7614</v>
      </c>
      <c r="P4177">
        <f t="shared" si="213"/>
        <v>2024</v>
      </c>
      <c r="Q4177">
        <f t="shared" si="214"/>
        <v>11</v>
      </c>
      <c r="R4177" t="str">
        <f t="shared" si="215"/>
        <v>引力魔方</v>
      </c>
      <c r="S4177" t="s">
        <v>785</v>
      </c>
      <c r="T4177" t="s">
        <v>805</v>
      </c>
    </row>
    <row r="4178" spans="1:20" x14ac:dyDescent="0.3">
      <c r="A4178" t="s">
        <v>627</v>
      </c>
      <c r="B4178" s="16">
        <v>45599</v>
      </c>
      <c r="C4178" t="s">
        <v>2</v>
      </c>
      <c r="D4178" t="s">
        <v>4</v>
      </c>
      <c r="E4178" t="s">
        <v>41</v>
      </c>
      <c r="F4178">
        <v>1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1</v>
      </c>
      <c r="P4178">
        <f t="shared" si="213"/>
        <v>2024</v>
      </c>
      <c r="Q4178">
        <f t="shared" si="214"/>
        <v>11</v>
      </c>
      <c r="R4178" t="str">
        <f t="shared" si="215"/>
        <v>流量宝</v>
      </c>
      <c r="S4178" t="s">
        <v>785</v>
      </c>
      <c r="T4178" t="s">
        <v>805</v>
      </c>
    </row>
    <row r="4179" spans="1:20" x14ac:dyDescent="0.3">
      <c r="A4179" t="s">
        <v>627</v>
      </c>
      <c r="B4179" s="16">
        <v>45599</v>
      </c>
      <c r="C4179" t="s">
        <v>2</v>
      </c>
      <c r="D4179" t="s">
        <v>4</v>
      </c>
      <c r="E4179" t="s">
        <v>43</v>
      </c>
      <c r="F4179">
        <v>352</v>
      </c>
      <c r="G4179">
        <v>113</v>
      </c>
      <c r="H4179">
        <v>9</v>
      </c>
      <c r="I4179">
        <v>0</v>
      </c>
      <c r="J4179">
        <v>29499.27</v>
      </c>
      <c r="K4179">
        <v>8</v>
      </c>
      <c r="L4179">
        <v>21597.27</v>
      </c>
      <c r="M4179">
        <v>6</v>
      </c>
      <c r="N4179">
        <v>18</v>
      </c>
      <c r="O4179">
        <v>340</v>
      </c>
      <c r="P4179">
        <f t="shared" si="213"/>
        <v>2024</v>
      </c>
      <c r="Q4179">
        <f t="shared" si="214"/>
        <v>11</v>
      </c>
      <c r="R4179" t="str">
        <f t="shared" si="215"/>
        <v>淘宝客</v>
      </c>
      <c r="S4179" t="s">
        <v>785</v>
      </c>
      <c r="T4179" t="s">
        <v>805</v>
      </c>
    </row>
    <row r="4180" spans="1:20" x14ac:dyDescent="0.3">
      <c r="A4180" t="s">
        <v>627</v>
      </c>
      <c r="B4180" s="16">
        <v>45598</v>
      </c>
      <c r="C4180" t="s">
        <v>3</v>
      </c>
      <c r="D4180" t="s">
        <v>114</v>
      </c>
      <c r="E4180" t="s">
        <v>159</v>
      </c>
      <c r="F4180">
        <v>282</v>
      </c>
      <c r="G4180">
        <v>137</v>
      </c>
      <c r="H4180">
        <v>7</v>
      </c>
      <c r="I4180">
        <v>15</v>
      </c>
      <c r="J4180">
        <v>0</v>
      </c>
      <c r="K4180">
        <v>0</v>
      </c>
      <c r="L4180">
        <v>0</v>
      </c>
      <c r="M4180">
        <v>0</v>
      </c>
      <c r="N4180">
        <v>26</v>
      </c>
      <c r="O4180">
        <v>275</v>
      </c>
      <c r="P4180">
        <f t="shared" si="213"/>
        <v>2024</v>
      </c>
      <c r="Q4180">
        <f t="shared" si="214"/>
        <v>11</v>
      </c>
      <c r="R4180" t="str">
        <f t="shared" si="215"/>
        <v>主会场</v>
      </c>
      <c r="S4180" t="s">
        <v>785</v>
      </c>
      <c r="T4180" t="s">
        <v>805</v>
      </c>
    </row>
    <row r="4181" spans="1:20" x14ac:dyDescent="0.3">
      <c r="A4181" t="s">
        <v>627</v>
      </c>
      <c r="B4181" s="16">
        <v>45598</v>
      </c>
      <c r="C4181" t="s">
        <v>3</v>
      </c>
      <c r="D4181" t="s">
        <v>117</v>
      </c>
      <c r="E4181" t="s">
        <v>161</v>
      </c>
      <c r="F4181">
        <v>1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1</v>
      </c>
      <c r="P4181">
        <f t="shared" si="213"/>
        <v>2024</v>
      </c>
      <c r="Q4181">
        <f t="shared" si="214"/>
        <v>11</v>
      </c>
      <c r="R4181" t="str">
        <f t="shared" si="215"/>
        <v>其他入口榜单</v>
      </c>
      <c r="S4181" t="s">
        <v>785</v>
      </c>
      <c r="T4181" t="s">
        <v>805</v>
      </c>
    </row>
    <row r="4182" spans="1:20" x14ac:dyDescent="0.3">
      <c r="A4182" t="s">
        <v>627</v>
      </c>
      <c r="B4182" s="16">
        <v>45598</v>
      </c>
      <c r="C4182" t="s">
        <v>3</v>
      </c>
      <c r="D4182" t="s">
        <v>123</v>
      </c>
      <c r="E4182" t="s">
        <v>169</v>
      </c>
      <c r="F4182">
        <v>377</v>
      </c>
      <c r="G4182">
        <v>149</v>
      </c>
      <c r="H4182">
        <v>26</v>
      </c>
      <c r="I4182">
        <v>8</v>
      </c>
      <c r="J4182">
        <v>25540</v>
      </c>
      <c r="K4182">
        <v>6</v>
      </c>
      <c r="L4182">
        <v>24042</v>
      </c>
      <c r="M4182">
        <v>6</v>
      </c>
      <c r="N4182">
        <v>75</v>
      </c>
      <c r="O4182">
        <v>367</v>
      </c>
      <c r="P4182">
        <f t="shared" si="213"/>
        <v>2024</v>
      </c>
      <c r="Q4182">
        <f t="shared" si="214"/>
        <v>11</v>
      </c>
      <c r="R4182" t="str">
        <f t="shared" si="215"/>
        <v>商品详情页头图推荐</v>
      </c>
      <c r="S4182" t="s">
        <v>785</v>
      </c>
      <c r="T4182" t="s">
        <v>805</v>
      </c>
    </row>
    <row r="4183" spans="1:20" x14ac:dyDescent="0.3">
      <c r="A4183" t="s">
        <v>627</v>
      </c>
      <c r="B4183" s="16">
        <v>45598</v>
      </c>
      <c r="C4183" t="s">
        <v>3</v>
      </c>
      <c r="D4183" t="s">
        <v>123</v>
      </c>
      <c r="E4183" t="s">
        <v>170</v>
      </c>
      <c r="F4183">
        <v>72</v>
      </c>
      <c r="G4183">
        <v>35</v>
      </c>
      <c r="H4183">
        <v>2</v>
      </c>
      <c r="I4183">
        <v>1</v>
      </c>
      <c r="J4183">
        <v>3900</v>
      </c>
      <c r="K4183">
        <v>1</v>
      </c>
      <c r="L4183">
        <v>0</v>
      </c>
      <c r="M4183">
        <v>0</v>
      </c>
      <c r="N4183">
        <v>62</v>
      </c>
      <c r="O4183">
        <v>32</v>
      </c>
      <c r="P4183">
        <f t="shared" si="213"/>
        <v>2024</v>
      </c>
      <c r="Q4183">
        <f t="shared" si="214"/>
        <v>11</v>
      </c>
      <c r="R4183" t="str">
        <f t="shared" si="215"/>
        <v>店铺超链</v>
      </c>
      <c r="S4183" t="s">
        <v>785</v>
      </c>
      <c r="T4183" t="s">
        <v>805</v>
      </c>
    </row>
    <row r="4184" spans="1:20" x14ac:dyDescent="0.3">
      <c r="A4184" t="s">
        <v>627</v>
      </c>
      <c r="B4184" s="16">
        <v>45598</v>
      </c>
      <c r="C4184" t="s">
        <v>2</v>
      </c>
      <c r="D4184" t="s">
        <v>52</v>
      </c>
      <c r="E4184" t="s">
        <v>59</v>
      </c>
      <c r="F4184">
        <v>801</v>
      </c>
      <c r="G4184">
        <v>571</v>
      </c>
      <c r="H4184">
        <v>10</v>
      </c>
      <c r="I4184">
        <v>3</v>
      </c>
      <c r="J4184">
        <v>25975</v>
      </c>
      <c r="K4184">
        <v>4</v>
      </c>
      <c r="L4184">
        <v>25975</v>
      </c>
      <c r="M4184">
        <v>4</v>
      </c>
      <c r="N4184">
        <v>598</v>
      </c>
      <c r="O4184">
        <v>217</v>
      </c>
      <c r="P4184">
        <f t="shared" si="213"/>
        <v>2024</v>
      </c>
      <c r="Q4184">
        <f t="shared" si="214"/>
        <v>11</v>
      </c>
      <c r="R4184" t="s">
        <v>171</v>
      </c>
      <c r="S4184" t="s">
        <v>785</v>
      </c>
      <c r="T4184" t="s">
        <v>805</v>
      </c>
    </row>
    <row r="4185" spans="1:20" x14ac:dyDescent="0.3">
      <c r="A4185" t="s">
        <v>627</v>
      </c>
      <c r="B4185" s="16">
        <v>45598</v>
      </c>
      <c r="C4185" t="s">
        <v>3</v>
      </c>
      <c r="D4185" t="s">
        <v>127</v>
      </c>
      <c r="E4185" t="s">
        <v>172</v>
      </c>
      <c r="F4185">
        <v>23</v>
      </c>
      <c r="G4185">
        <v>13</v>
      </c>
      <c r="H4185">
        <v>1</v>
      </c>
      <c r="I4185">
        <v>1</v>
      </c>
      <c r="J4185">
        <v>0</v>
      </c>
      <c r="K4185">
        <v>0</v>
      </c>
      <c r="L4185">
        <v>0</v>
      </c>
      <c r="M4185">
        <v>0</v>
      </c>
      <c r="N4185">
        <v>3</v>
      </c>
      <c r="O4185">
        <v>18</v>
      </c>
      <c r="P4185">
        <f t="shared" si="213"/>
        <v>2024</v>
      </c>
      <c r="Q4185">
        <f t="shared" si="214"/>
        <v>11</v>
      </c>
      <c r="R4185" t="str">
        <f t="shared" si="215"/>
        <v>购中推荐</v>
      </c>
      <c r="S4185" t="s">
        <v>785</v>
      </c>
      <c r="T4185" t="s">
        <v>805</v>
      </c>
    </row>
    <row r="4186" spans="1:20" x14ac:dyDescent="0.3">
      <c r="A4186" t="s">
        <v>627</v>
      </c>
      <c r="B4186" s="16">
        <v>45598</v>
      </c>
      <c r="C4186" t="s">
        <v>3</v>
      </c>
      <c r="D4186" t="s">
        <v>127</v>
      </c>
      <c r="E4186" t="s">
        <v>173</v>
      </c>
      <c r="F4186">
        <v>113</v>
      </c>
      <c r="G4186">
        <v>67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22</v>
      </c>
      <c r="O4186">
        <v>60</v>
      </c>
      <c r="P4186">
        <f t="shared" si="213"/>
        <v>2024</v>
      </c>
      <c r="Q4186">
        <f t="shared" si="214"/>
        <v>11</v>
      </c>
      <c r="R4186" t="str">
        <f t="shared" si="215"/>
        <v>购后推荐</v>
      </c>
      <c r="S4186" t="s">
        <v>785</v>
      </c>
      <c r="T4186" t="s">
        <v>805</v>
      </c>
    </row>
    <row r="4187" spans="1:20" x14ac:dyDescent="0.3">
      <c r="A4187" t="s">
        <v>627</v>
      </c>
      <c r="B4187" s="16">
        <v>45598</v>
      </c>
      <c r="C4187" t="s">
        <v>3</v>
      </c>
      <c r="D4187" t="s">
        <v>127</v>
      </c>
      <c r="E4187" t="s">
        <v>174</v>
      </c>
      <c r="F4187">
        <v>5838</v>
      </c>
      <c r="G4187">
        <v>3021</v>
      </c>
      <c r="H4187">
        <v>132</v>
      </c>
      <c r="I4187">
        <v>53</v>
      </c>
      <c r="J4187">
        <v>75629.5</v>
      </c>
      <c r="K4187">
        <v>18</v>
      </c>
      <c r="L4187">
        <v>71719.5</v>
      </c>
      <c r="M4187">
        <v>17</v>
      </c>
      <c r="N4187">
        <v>423</v>
      </c>
      <c r="O4187">
        <v>5838</v>
      </c>
      <c r="P4187">
        <f t="shared" si="213"/>
        <v>2024</v>
      </c>
      <c r="Q4187">
        <f t="shared" si="214"/>
        <v>11</v>
      </c>
      <c r="R4187" t="str">
        <f t="shared" si="215"/>
        <v>首页推荐-微详情</v>
      </c>
      <c r="S4187" t="s">
        <v>785</v>
      </c>
      <c r="T4187" t="s">
        <v>805</v>
      </c>
    </row>
    <row r="4188" spans="1:20" x14ac:dyDescent="0.3">
      <c r="A4188" t="s">
        <v>627</v>
      </c>
      <c r="B4188" s="16">
        <v>45598</v>
      </c>
      <c r="C4188" t="s">
        <v>3</v>
      </c>
      <c r="D4188" t="s">
        <v>127</v>
      </c>
      <c r="E4188" t="s">
        <v>175</v>
      </c>
      <c r="F4188">
        <v>1472</v>
      </c>
      <c r="G4188">
        <v>1194</v>
      </c>
      <c r="H4188">
        <v>0</v>
      </c>
      <c r="I4188">
        <v>1</v>
      </c>
      <c r="J4188">
        <v>0</v>
      </c>
      <c r="K4188">
        <v>0</v>
      </c>
      <c r="L4188">
        <v>0</v>
      </c>
      <c r="M4188">
        <v>0</v>
      </c>
      <c r="N4188">
        <v>3</v>
      </c>
      <c r="O4188">
        <v>46</v>
      </c>
      <c r="P4188">
        <f t="shared" si="213"/>
        <v>2024</v>
      </c>
      <c r="Q4188">
        <f t="shared" si="214"/>
        <v>11</v>
      </c>
      <c r="R4188" t="str">
        <f t="shared" si="215"/>
        <v>首页推荐-直播</v>
      </c>
      <c r="S4188" t="s">
        <v>785</v>
      </c>
      <c r="T4188" t="s">
        <v>805</v>
      </c>
    </row>
    <row r="4189" spans="1:20" x14ac:dyDescent="0.3">
      <c r="A4189" t="s">
        <v>627</v>
      </c>
      <c r="B4189" s="16">
        <v>45598</v>
      </c>
      <c r="C4189" t="s">
        <v>3</v>
      </c>
      <c r="D4189" t="s">
        <v>127</v>
      </c>
      <c r="E4189" t="s">
        <v>176</v>
      </c>
      <c r="F4189">
        <v>1075</v>
      </c>
      <c r="G4189">
        <v>519</v>
      </c>
      <c r="H4189">
        <v>22</v>
      </c>
      <c r="I4189">
        <v>3</v>
      </c>
      <c r="J4189">
        <v>3450</v>
      </c>
      <c r="K4189">
        <v>1</v>
      </c>
      <c r="L4189">
        <v>3450</v>
      </c>
      <c r="M4189">
        <v>1</v>
      </c>
      <c r="N4189">
        <v>45</v>
      </c>
      <c r="O4189">
        <v>257</v>
      </c>
      <c r="P4189">
        <f t="shared" si="213"/>
        <v>2024</v>
      </c>
      <c r="Q4189">
        <f t="shared" si="214"/>
        <v>11</v>
      </c>
      <c r="R4189" t="str">
        <f t="shared" si="215"/>
        <v>首页推荐-短视频</v>
      </c>
      <c r="S4189" t="s">
        <v>785</v>
      </c>
      <c r="T4189" t="s">
        <v>805</v>
      </c>
    </row>
    <row r="4190" spans="1:20" x14ac:dyDescent="0.3">
      <c r="A4190" t="s">
        <v>627</v>
      </c>
      <c r="B4190" s="16">
        <v>45598</v>
      </c>
      <c r="C4190" t="s">
        <v>3</v>
      </c>
      <c r="D4190" t="s">
        <v>128</v>
      </c>
      <c r="E4190" t="s">
        <v>177</v>
      </c>
      <c r="F4190">
        <v>1678</v>
      </c>
      <c r="G4190">
        <v>1236</v>
      </c>
      <c r="H4190">
        <v>136</v>
      </c>
      <c r="I4190">
        <v>27</v>
      </c>
      <c r="J4190">
        <v>187650.11</v>
      </c>
      <c r="K4190">
        <v>50</v>
      </c>
      <c r="L4190">
        <v>158740.10999999999</v>
      </c>
      <c r="M4190">
        <v>45</v>
      </c>
      <c r="N4190">
        <v>393</v>
      </c>
      <c r="O4190">
        <v>1551</v>
      </c>
      <c r="P4190">
        <f t="shared" si="213"/>
        <v>2024</v>
      </c>
      <c r="Q4190">
        <f t="shared" si="214"/>
        <v>11</v>
      </c>
      <c r="R4190" t="str">
        <f t="shared" si="215"/>
        <v>手淘搜索-商品及其他</v>
      </c>
      <c r="S4190" t="s">
        <v>785</v>
      </c>
      <c r="T4190" t="s">
        <v>805</v>
      </c>
    </row>
    <row r="4191" spans="1:20" x14ac:dyDescent="0.3">
      <c r="A4191" t="s">
        <v>627</v>
      </c>
      <c r="B4191" s="16">
        <v>45598</v>
      </c>
      <c r="C4191" t="s">
        <v>3</v>
      </c>
      <c r="D4191" t="s">
        <v>128</v>
      </c>
      <c r="E4191" t="s">
        <v>178</v>
      </c>
      <c r="F4191">
        <v>35</v>
      </c>
      <c r="G4191">
        <v>25</v>
      </c>
      <c r="H4191">
        <v>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3</v>
      </c>
      <c r="O4191">
        <v>18</v>
      </c>
      <c r="P4191">
        <f t="shared" si="213"/>
        <v>2024</v>
      </c>
      <c r="Q4191">
        <f t="shared" si="214"/>
        <v>11</v>
      </c>
      <c r="R4191" t="str">
        <f t="shared" si="215"/>
        <v>手淘搜索-直播</v>
      </c>
      <c r="S4191" t="s">
        <v>785</v>
      </c>
      <c r="T4191" t="s">
        <v>805</v>
      </c>
    </row>
    <row r="4192" spans="1:20" x14ac:dyDescent="0.3">
      <c r="A4192" t="s">
        <v>627</v>
      </c>
      <c r="B4192" s="16">
        <v>45598</v>
      </c>
      <c r="C4192" t="s">
        <v>3</v>
      </c>
      <c r="D4192" t="s">
        <v>128</v>
      </c>
      <c r="E4192" t="s">
        <v>179</v>
      </c>
      <c r="F4192">
        <v>335</v>
      </c>
      <c r="G4192">
        <v>306</v>
      </c>
      <c r="H4192">
        <v>3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7</v>
      </c>
      <c r="O4192">
        <v>319</v>
      </c>
      <c r="P4192">
        <f t="shared" si="213"/>
        <v>2024</v>
      </c>
      <c r="Q4192">
        <f t="shared" si="214"/>
        <v>11</v>
      </c>
      <c r="R4192" t="str">
        <f t="shared" si="215"/>
        <v>手淘搜索-短视频</v>
      </c>
      <c r="S4192" t="s">
        <v>785</v>
      </c>
      <c r="T4192" t="s">
        <v>805</v>
      </c>
    </row>
    <row r="4193" spans="1:20" x14ac:dyDescent="0.3">
      <c r="A4193" t="s">
        <v>627</v>
      </c>
      <c r="B4193" s="16">
        <v>45598</v>
      </c>
      <c r="C4193" t="s">
        <v>3</v>
      </c>
      <c r="D4193" t="s">
        <v>143</v>
      </c>
      <c r="E4193" t="s">
        <v>180</v>
      </c>
      <c r="F4193">
        <v>6</v>
      </c>
      <c r="G4193">
        <v>2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1</v>
      </c>
      <c r="O4193">
        <v>6</v>
      </c>
      <c r="P4193">
        <f t="shared" si="213"/>
        <v>2024</v>
      </c>
      <c r="Q4193">
        <f t="shared" si="214"/>
        <v>11</v>
      </c>
      <c r="R4193" t="str">
        <f t="shared" si="215"/>
        <v>淘特其他渠道</v>
      </c>
      <c r="S4193" t="s">
        <v>785</v>
      </c>
      <c r="T4193" t="s">
        <v>805</v>
      </c>
    </row>
    <row r="4194" spans="1:20" x14ac:dyDescent="0.3">
      <c r="A4194" t="s">
        <v>627</v>
      </c>
      <c r="B4194" s="16">
        <v>45598</v>
      </c>
      <c r="C4194" t="s">
        <v>3</v>
      </c>
      <c r="D4194" t="s">
        <v>143</v>
      </c>
      <c r="E4194" t="s">
        <v>181</v>
      </c>
      <c r="F4194">
        <v>11</v>
      </c>
      <c r="G4194">
        <v>10</v>
      </c>
      <c r="H4194">
        <v>0</v>
      </c>
      <c r="I4194">
        <v>1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11</v>
      </c>
      <c r="P4194">
        <f t="shared" si="213"/>
        <v>2024</v>
      </c>
      <c r="Q4194">
        <f t="shared" si="214"/>
        <v>11</v>
      </c>
      <c r="R4194" t="str">
        <f t="shared" si="215"/>
        <v>淘特搜索</v>
      </c>
      <c r="S4194" t="s">
        <v>785</v>
      </c>
      <c r="T4194" t="s">
        <v>805</v>
      </c>
    </row>
    <row r="4195" spans="1:20" x14ac:dyDescent="0.3">
      <c r="A4195" t="s">
        <v>627</v>
      </c>
      <c r="B4195" s="16">
        <v>45598</v>
      </c>
      <c r="C4195" t="s">
        <v>3</v>
      </c>
      <c r="D4195" t="s">
        <v>143</v>
      </c>
      <c r="E4195" t="s">
        <v>224</v>
      </c>
      <c r="F4195">
        <v>1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f t="shared" si="213"/>
        <v>2024</v>
      </c>
      <c r="Q4195">
        <f t="shared" si="214"/>
        <v>11</v>
      </c>
      <c r="R4195" t="str">
        <f t="shared" si="215"/>
        <v>淘特自主访问</v>
      </c>
      <c r="S4195" t="s">
        <v>785</v>
      </c>
      <c r="T4195" t="s">
        <v>805</v>
      </c>
    </row>
    <row r="4196" spans="1:20" x14ac:dyDescent="0.3">
      <c r="A4196" t="s">
        <v>627</v>
      </c>
      <c r="B4196" s="16">
        <v>45598</v>
      </c>
      <c r="C4196" t="s">
        <v>2</v>
      </c>
      <c r="D4196" t="s">
        <v>55</v>
      </c>
      <c r="E4196" t="s">
        <v>66</v>
      </c>
      <c r="F4196">
        <v>1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1</v>
      </c>
      <c r="P4196">
        <f t="shared" si="213"/>
        <v>2024</v>
      </c>
      <c r="Q4196">
        <f t="shared" si="214"/>
        <v>11</v>
      </c>
      <c r="R4196" t="str">
        <f t="shared" si="215"/>
        <v>短直联动</v>
      </c>
      <c r="S4196" t="s">
        <v>785</v>
      </c>
      <c r="T4196" t="s">
        <v>805</v>
      </c>
    </row>
    <row r="4197" spans="1:20" x14ac:dyDescent="0.3">
      <c r="A4197" t="s">
        <v>627</v>
      </c>
      <c r="B4197" s="16">
        <v>45598</v>
      </c>
      <c r="C4197" t="s">
        <v>2</v>
      </c>
      <c r="D4197" t="s">
        <v>55</v>
      </c>
      <c r="E4197" t="s">
        <v>54</v>
      </c>
      <c r="F4197">
        <v>1441</v>
      </c>
      <c r="G4197">
        <v>983</v>
      </c>
      <c r="H4197">
        <v>21</v>
      </c>
      <c r="I4197">
        <v>2</v>
      </c>
      <c r="J4197">
        <v>0</v>
      </c>
      <c r="K4197">
        <v>0</v>
      </c>
      <c r="L4197">
        <v>0</v>
      </c>
      <c r="M4197">
        <v>0</v>
      </c>
      <c r="N4197">
        <v>48</v>
      </c>
      <c r="O4197">
        <v>348</v>
      </c>
      <c r="P4197">
        <f t="shared" si="213"/>
        <v>2024</v>
      </c>
      <c r="Q4197">
        <f t="shared" si="214"/>
        <v>11</v>
      </c>
      <c r="R4197" t="str">
        <f t="shared" si="215"/>
        <v>超级直播</v>
      </c>
      <c r="S4197" t="s">
        <v>785</v>
      </c>
      <c r="T4197" t="s">
        <v>805</v>
      </c>
    </row>
    <row r="4198" spans="1:20" x14ac:dyDescent="0.3">
      <c r="A4198" t="s">
        <v>627</v>
      </c>
      <c r="B4198" s="16">
        <v>45598</v>
      </c>
      <c r="C4198" t="s">
        <v>2</v>
      </c>
      <c r="D4198" t="s">
        <v>55</v>
      </c>
      <c r="E4198" t="s">
        <v>56</v>
      </c>
      <c r="F4198">
        <v>139</v>
      </c>
      <c r="G4198">
        <v>89</v>
      </c>
      <c r="H4198">
        <v>3</v>
      </c>
      <c r="I4198">
        <v>4</v>
      </c>
      <c r="J4198">
        <v>0</v>
      </c>
      <c r="K4198">
        <v>0</v>
      </c>
      <c r="L4198">
        <v>0</v>
      </c>
      <c r="M4198">
        <v>0</v>
      </c>
      <c r="N4198">
        <v>3</v>
      </c>
      <c r="O4198">
        <v>108</v>
      </c>
      <c r="P4198">
        <f t="shared" si="213"/>
        <v>2024</v>
      </c>
      <c r="Q4198">
        <f t="shared" si="214"/>
        <v>11</v>
      </c>
      <c r="R4198" t="str">
        <f t="shared" si="215"/>
        <v>超级短视频</v>
      </c>
      <c r="S4198" t="s">
        <v>785</v>
      </c>
      <c r="T4198" t="s">
        <v>805</v>
      </c>
    </row>
    <row r="4199" spans="1:20" x14ac:dyDescent="0.3">
      <c r="A4199" t="s">
        <v>627</v>
      </c>
      <c r="B4199" s="16">
        <v>45598</v>
      </c>
      <c r="C4199" t="s">
        <v>2</v>
      </c>
      <c r="D4199" t="s">
        <v>52</v>
      </c>
      <c r="E4199" t="s">
        <v>53</v>
      </c>
      <c r="F4199">
        <v>370</v>
      </c>
      <c r="G4199">
        <v>314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370</v>
      </c>
      <c r="O4199">
        <v>60</v>
      </c>
      <c r="P4199">
        <f t="shared" si="213"/>
        <v>2024</v>
      </c>
      <c r="Q4199">
        <f t="shared" si="214"/>
        <v>11</v>
      </c>
      <c r="R4199" t="str">
        <f t="shared" si="215"/>
        <v>Showmax</v>
      </c>
      <c r="S4199" t="s">
        <v>785</v>
      </c>
      <c r="T4199" t="s">
        <v>805</v>
      </c>
    </row>
    <row r="4200" spans="1:20" x14ac:dyDescent="0.3">
      <c r="A4200" t="s">
        <v>627</v>
      </c>
      <c r="B4200" s="16">
        <v>45598</v>
      </c>
      <c r="C4200" t="s">
        <v>2</v>
      </c>
      <c r="D4200" t="s">
        <v>52</v>
      </c>
      <c r="E4200" t="s">
        <v>59</v>
      </c>
      <c r="F4200">
        <v>382</v>
      </c>
      <c r="G4200">
        <v>315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382</v>
      </c>
      <c r="O4200">
        <v>95</v>
      </c>
      <c r="P4200">
        <f t="shared" si="213"/>
        <v>2024</v>
      </c>
      <c r="Q4200">
        <f t="shared" si="214"/>
        <v>11</v>
      </c>
      <c r="R4200" t="str">
        <f t="shared" si="215"/>
        <v>品牌特秀</v>
      </c>
      <c r="S4200" t="s">
        <v>785</v>
      </c>
      <c r="T4200" t="s">
        <v>805</v>
      </c>
    </row>
    <row r="4201" spans="1:20" x14ac:dyDescent="0.3">
      <c r="A4201" t="s">
        <v>627</v>
      </c>
      <c r="B4201" s="16">
        <v>45598</v>
      </c>
      <c r="C4201" t="s">
        <v>2</v>
      </c>
      <c r="D4201" t="s">
        <v>52</v>
      </c>
      <c r="E4201" t="s">
        <v>183</v>
      </c>
      <c r="F4201">
        <v>684</v>
      </c>
      <c r="G4201">
        <v>533</v>
      </c>
      <c r="H4201">
        <v>36</v>
      </c>
      <c r="I4201">
        <v>5</v>
      </c>
      <c r="J4201">
        <v>20818</v>
      </c>
      <c r="K4201">
        <v>5</v>
      </c>
      <c r="L4201">
        <v>20818</v>
      </c>
      <c r="M4201">
        <v>5</v>
      </c>
      <c r="N4201">
        <v>684</v>
      </c>
      <c r="O4201">
        <v>411</v>
      </c>
      <c r="P4201">
        <f t="shared" ref="P4201:P4264" si="216">YEAR(B4201)</f>
        <v>2024</v>
      </c>
      <c r="Q4201">
        <f t="shared" ref="Q4201:Q4264" si="217">MONTH(B4201)</f>
        <v>11</v>
      </c>
      <c r="R4201" t="str">
        <f t="shared" ref="R4201:R4263" si="218">E4201</f>
        <v>品销宝-品牌专区</v>
      </c>
      <c r="S4201" t="s">
        <v>785</v>
      </c>
      <c r="T4201" t="s">
        <v>805</v>
      </c>
    </row>
    <row r="4202" spans="1:20" x14ac:dyDescent="0.3">
      <c r="A4202" t="s">
        <v>627</v>
      </c>
      <c r="B4202" s="16">
        <v>45598</v>
      </c>
      <c r="C4202" t="s">
        <v>2</v>
      </c>
      <c r="D4202" t="s">
        <v>57</v>
      </c>
      <c r="E4202" t="s">
        <v>65</v>
      </c>
      <c r="F4202">
        <v>4386</v>
      </c>
      <c r="G4202">
        <v>3697</v>
      </c>
      <c r="H4202">
        <v>168</v>
      </c>
      <c r="I4202">
        <v>22</v>
      </c>
      <c r="J4202">
        <v>213483</v>
      </c>
      <c r="K4202">
        <v>49</v>
      </c>
      <c r="L4202">
        <v>180678</v>
      </c>
      <c r="M4202">
        <v>45</v>
      </c>
      <c r="N4202">
        <v>322</v>
      </c>
      <c r="O4202">
        <v>4334</v>
      </c>
      <c r="P4202">
        <f t="shared" si="216"/>
        <v>2024</v>
      </c>
      <c r="Q4202">
        <f t="shared" si="217"/>
        <v>11</v>
      </c>
      <c r="R4202" t="str">
        <f t="shared" si="218"/>
        <v>直通车</v>
      </c>
      <c r="S4202" t="s">
        <v>785</v>
      </c>
      <c r="T4202" t="s">
        <v>805</v>
      </c>
    </row>
    <row r="4203" spans="1:20" x14ac:dyDescent="0.3">
      <c r="A4203" t="s">
        <v>627</v>
      </c>
      <c r="B4203" s="16">
        <v>45598</v>
      </c>
      <c r="C4203" t="s">
        <v>2</v>
      </c>
      <c r="D4203" t="s">
        <v>57</v>
      </c>
      <c r="E4203" t="s">
        <v>63</v>
      </c>
      <c r="F4203">
        <v>4815</v>
      </c>
      <c r="G4203">
        <v>2519</v>
      </c>
      <c r="H4203">
        <v>197</v>
      </c>
      <c r="I4203">
        <v>82</v>
      </c>
      <c r="J4203">
        <v>160815.19</v>
      </c>
      <c r="K4203">
        <v>40</v>
      </c>
      <c r="L4203">
        <v>139060.19</v>
      </c>
      <c r="M4203">
        <v>37</v>
      </c>
      <c r="N4203">
        <v>378</v>
      </c>
      <c r="O4203">
        <v>4808</v>
      </c>
      <c r="P4203">
        <f t="shared" si="216"/>
        <v>2024</v>
      </c>
      <c r="Q4203">
        <f t="shared" si="217"/>
        <v>11</v>
      </c>
      <c r="R4203" t="str">
        <f t="shared" si="218"/>
        <v>万相台</v>
      </c>
      <c r="S4203" t="s">
        <v>785</v>
      </c>
      <c r="T4203" t="s">
        <v>805</v>
      </c>
    </row>
    <row r="4204" spans="1:20" x14ac:dyDescent="0.3">
      <c r="A4204" t="s">
        <v>627</v>
      </c>
      <c r="B4204" s="16">
        <v>45598</v>
      </c>
      <c r="C4204" t="s">
        <v>2</v>
      </c>
      <c r="D4204" t="s">
        <v>57</v>
      </c>
      <c r="E4204" t="s">
        <v>64</v>
      </c>
      <c r="F4204">
        <v>7247</v>
      </c>
      <c r="G4204">
        <v>3063</v>
      </c>
      <c r="H4204">
        <v>154</v>
      </c>
      <c r="I4204">
        <v>92</v>
      </c>
      <c r="J4204">
        <v>121792</v>
      </c>
      <c r="K4204">
        <v>22</v>
      </c>
      <c r="L4204">
        <v>88625</v>
      </c>
      <c r="M4204">
        <v>17</v>
      </c>
      <c r="N4204">
        <v>626</v>
      </c>
      <c r="O4204">
        <v>7247</v>
      </c>
      <c r="P4204">
        <f t="shared" si="216"/>
        <v>2024</v>
      </c>
      <c r="Q4204">
        <f t="shared" si="217"/>
        <v>11</v>
      </c>
      <c r="R4204" t="str">
        <f t="shared" si="218"/>
        <v>引力魔方</v>
      </c>
      <c r="S4204" t="s">
        <v>785</v>
      </c>
      <c r="T4204" t="s">
        <v>805</v>
      </c>
    </row>
    <row r="4205" spans="1:20" x14ac:dyDescent="0.3">
      <c r="A4205" t="s">
        <v>627</v>
      </c>
      <c r="B4205" s="16">
        <v>45598</v>
      </c>
      <c r="C4205" t="s">
        <v>2</v>
      </c>
      <c r="D4205" t="s">
        <v>4</v>
      </c>
      <c r="E4205" t="s">
        <v>41</v>
      </c>
      <c r="F4205">
        <v>5</v>
      </c>
      <c r="G4205">
        <v>2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1</v>
      </c>
      <c r="O4205">
        <v>5</v>
      </c>
      <c r="P4205">
        <f t="shared" si="216"/>
        <v>2024</v>
      </c>
      <c r="Q4205">
        <f t="shared" si="217"/>
        <v>11</v>
      </c>
      <c r="R4205" t="str">
        <f t="shared" si="218"/>
        <v>流量宝</v>
      </c>
      <c r="S4205" t="s">
        <v>785</v>
      </c>
      <c r="T4205" t="s">
        <v>805</v>
      </c>
    </row>
    <row r="4206" spans="1:20" x14ac:dyDescent="0.3">
      <c r="A4206" t="s">
        <v>627</v>
      </c>
      <c r="B4206" s="16">
        <v>45598</v>
      </c>
      <c r="C4206" t="s">
        <v>2</v>
      </c>
      <c r="D4206" t="s">
        <v>4</v>
      </c>
      <c r="E4206" t="s">
        <v>43</v>
      </c>
      <c r="F4206">
        <v>381</v>
      </c>
      <c r="G4206">
        <v>139</v>
      </c>
      <c r="H4206">
        <v>9</v>
      </c>
      <c r="I4206">
        <v>2</v>
      </c>
      <c r="J4206">
        <v>14564</v>
      </c>
      <c r="K4206">
        <v>4</v>
      </c>
      <c r="L4206">
        <v>10487</v>
      </c>
      <c r="M4206">
        <v>4</v>
      </c>
      <c r="N4206">
        <v>31</v>
      </c>
      <c r="O4206">
        <v>373</v>
      </c>
      <c r="P4206">
        <f t="shared" si="216"/>
        <v>2024</v>
      </c>
      <c r="Q4206">
        <f t="shared" si="217"/>
        <v>11</v>
      </c>
      <c r="R4206" t="str">
        <f t="shared" si="218"/>
        <v>淘宝客</v>
      </c>
      <c r="S4206" t="s">
        <v>785</v>
      </c>
      <c r="T4206" t="s">
        <v>805</v>
      </c>
    </row>
    <row r="4207" spans="1:20" x14ac:dyDescent="0.3">
      <c r="A4207" t="s">
        <v>627</v>
      </c>
      <c r="B4207" s="16">
        <v>45597</v>
      </c>
      <c r="C4207" t="s">
        <v>3</v>
      </c>
      <c r="D4207" t="s">
        <v>114</v>
      </c>
      <c r="E4207" t="s">
        <v>159</v>
      </c>
      <c r="F4207">
        <v>235</v>
      </c>
      <c r="G4207">
        <v>128</v>
      </c>
      <c r="H4207">
        <v>8</v>
      </c>
      <c r="I4207">
        <v>12</v>
      </c>
      <c r="J4207">
        <v>2300</v>
      </c>
      <c r="K4207">
        <v>1</v>
      </c>
      <c r="L4207">
        <v>2300</v>
      </c>
      <c r="M4207">
        <v>1</v>
      </c>
      <c r="N4207">
        <v>27</v>
      </c>
      <c r="O4207">
        <v>232</v>
      </c>
      <c r="P4207">
        <f t="shared" si="216"/>
        <v>2024</v>
      </c>
      <c r="Q4207">
        <f t="shared" si="217"/>
        <v>11</v>
      </c>
      <c r="R4207" t="str">
        <f t="shared" si="218"/>
        <v>主会场</v>
      </c>
      <c r="S4207" t="s">
        <v>785</v>
      </c>
      <c r="T4207" t="s">
        <v>805</v>
      </c>
    </row>
    <row r="4208" spans="1:20" x14ac:dyDescent="0.3">
      <c r="A4208" t="s">
        <v>627</v>
      </c>
      <c r="B4208" s="16">
        <v>45597</v>
      </c>
      <c r="C4208" t="s">
        <v>3</v>
      </c>
      <c r="D4208" t="s">
        <v>117</v>
      </c>
      <c r="E4208" t="s">
        <v>161</v>
      </c>
      <c r="F4208">
        <v>2</v>
      </c>
      <c r="G4208">
        <v>2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2</v>
      </c>
      <c r="P4208">
        <f t="shared" si="216"/>
        <v>2024</v>
      </c>
      <c r="Q4208">
        <f t="shared" si="217"/>
        <v>11</v>
      </c>
      <c r="R4208" t="str">
        <f t="shared" si="218"/>
        <v>其他入口榜单</v>
      </c>
      <c r="S4208" t="s">
        <v>785</v>
      </c>
      <c r="T4208" t="s">
        <v>805</v>
      </c>
    </row>
    <row r="4209" spans="1:20" x14ac:dyDescent="0.3">
      <c r="A4209" t="s">
        <v>627</v>
      </c>
      <c r="B4209" s="16">
        <v>45597</v>
      </c>
      <c r="C4209" t="s">
        <v>3</v>
      </c>
      <c r="D4209" t="s">
        <v>123</v>
      </c>
      <c r="E4209" t="s">
        <v>169</v>
      </c>
      <c r="F4209">
        <v>355</v>
      </c>
      <c r="G4209">
        <v>134</v>
      </c>
      <c r="H4209">
        <v>19</v>
      </c>
      <c r="I4209">
        <v>11</v>
      </c>
      <c r="J4209">
        <v>30542.74</v>
      </c>
      <c r="K4209">
        <v>9</v>
      </c>
      <c r="L4209">
        <v>21176.37</v>
      </c>
      <c r="M4209">
        <v>8</v>
      </c>
      <c r="N4209">
        <v>68</v>
      </c>
      <c r="O4209">
        <v>348</v>
      </c>
      <c r="P4209">
        <f t="shared" si="216"/>
        <v>2024</v>
      </c>
      <c r="Q4209">
        <f t="shared" si="217"/>
        <v>11</v>
      </c>
      <c r="R4209" t="str">
        <f t="shared" si="218"/>
        <v>商品详情页头图推荐</v>
      </c>
      <c r="S4209" t="s">
        <v>785</v>
      </c>
      <c r="T4209" t="s">
        <v>805</v>
      </c>
    </row>
    <row r="4210" spans="1:20" x14ac:dyDescent="0.3">
      <c r="A4210" t="s">
        <v>627</v>
      </c>
      <c r="B4210" s="16">
        <v>45597</v>
      </c>
      <c r="C4210" t="s">
        <v>3</v>
      </c>
      <c r="D4210" t="s">
        <v>123</v>
      </c>
      <c r="E4210" t="s">
        <v>170</v>
      </c>
      <c r="F4210">
        <v>68</v>
      </c>
      <c r="G4210">
        <v>33</v>
      </c>
      <c r="H4210">
        <v>3</v>
      </c>
      <c r="I4210">
        <v>2</v>
      </c>
      <c r="J4210">
        <v>6832.74</v>
      </c>
      <c r="K4210">
        <v>1</v>
      </c>
      <c r="L4210">
        <v>3416.37</v>
      </c>
      <c r="M4210">
        <v>1</v>
      </c>
      <c r="N4210">
        <v>62</v>
      </c>
      <c r="O4210">
        <v>33</v>
      </c>
      <c r="P4210">
        <f t="shared" si="216"/>
        <v>2024</v>
      </c>
      <c r="Q4210">
        <f t="shared" si="217"/>
        <v>11</v>
      </c>
      <c r="R4210" t="str">
        <f t="shared" si="218"/>
        <v>店铺超链</v>
      </c>
      <c r="S4210" t="s">
        <v>785</v>
      </c>
      <c r="T4210" t="s">
        <v>805</v>
      </c>
    </row>
    <row r="4211" spans="1:20" x14ac:dyDescent="0.3">
      <c r="A4211" t="s">
        <v>627</v>
      </c>
      <c r="B4211" s="16">
        <v>45597</v>
      </c>
      <c r="C4211" t="s">
        <v>2</v>
      </c>
      <c r="D4211" t="s">
        <v>52</v>
      </c>
      <c r="E4211" t="s">
        <v>59</v>
      </c>
      <c r="F4211">
        <v>1259</v>
      </c>
      <c r="G4211">
        <v>943</v>
      </c>
      <c r="H4211">
        <v>14</v>
      </c>
      <c r="I4211">
        <v>4</v>
      </c>
      <c r="J4211">
        <v>20200</v>
      </c>
      <c r="K4211">
        <v>5</v>
      </c>
      <c r="L4211">
        <v>10510</v>
      </c>
      <c r="M4211">
        <v>3</v>
      </c>
      <c r="N4211">
        <v>982</v>
      </c>
      <c r="O4211">
        <v>292</v>
      </c>
      <c r="P4211">
        <f t="shared" si="216"/>
        <v>2024</v>
      </c>
      <c r="Q4211">
        <f t="shared" si="217"/>
        <v>11</v>
      </c>
      <c r="R4211" t="s">
        <v>171</v>
      </c>
      <c r="S4211" t="s">
        <v>785</v>
      </c>
      <c r="T4211" t="s">
        <v>805</v>
      </c>
    </row>
    <row r="4212" spans="1:20" x14ac:dyDescent="0.3">
      <c r="A4212" t="s">
        <v>627</v>
      </c>
      <c r="B4212" s="16">
        <v>45597</v>
      </c>
      <c r="C4212" t="s">
        <v>3</v>
      </c>
      <c r="D4212" t="s">
        <v>127</v>
      </c>
      <c r="E4212" t="s">
        <v>172</v>
      </c>
      <c r="F4212">
        <v>29</v>
      </c>
      <c r="G4212">
        <v>17</v>
      </c>
      <c r="H4212">
        <v>1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2</v>
      </c>
      <c r="O4212">
        <v>21</v>
      </c>
      <c r="P4212">
        <f t="shared" si="216"/>
        <v>2024</v>
      </c>
      <c r="Q4212">
        <f t="shared" si="217"/>
        <v>11</v>
      </c>
      <c r="R4212" t="str">
        <f t="shared" si="218"/>
        <v>购中推荐</v>
      </c>
      <c r="S4212" t="s">
        <v>785</v>
      </c>
      <c r="T4212" t="s">
        <v>805</v>
      </c>
    </row>
    <row r="4213" spans="1:20" x14ac:dyDescent="0.3">
      <c r="A4213" t="s">
        <v>627</v>
      </c>
      <c r="B4213" s="16">
        <v>45597</v>
      </c>
      <c r="C4213" t="s">
        <v>3</v>
      </c>
      <c r="D4213" t="s">
        <v>127</v>
      </c>
      <c r="E4213" t="s">
        <v>173</v>
      </c>
      <c r="F4213">
        <v>189</v>
      </c>
      <c r="G4213">
        <v>131</v>
      </c>
      <c r="H4213">
        <v>2</v>
      </c>
      <c r="I4213">
        <v>0</v>
      </c>
      <c r="J4213">
        <v>2457</v>
      </c>
      <c r="K4213">
        <v>1</v>
      </c>
      <c r="L4213">
        <v>2457</v>
      </c>
      <c r="M4213">
        <v>1</v>
      </c>
      <c r="N4213">
        <v>78</v>
      </c>
      <c r="O4213">
        <v>69</v>
      </c>
      <c r="P4213">
        <f t="shared" si="216"/>
        <v>2024</v>
      </c>
      <c r="Q4213">
        <f t="shared" si="217"/>
        <v>11</v>
      </c>
      <c r="R4213" t="str">
        <f t="shared" si="218"/>
        <v>购后推荐</v>
      </c>
      <c r="S4213" t="s">
        <v>785</v>
      </c>
      <c r="T4213" t="s">
        <v>805</v>
      </c>
    </row>
    <row r="4214" spans="1:20" x14ac:dyDescent="0.3">
      <c r="A4214" t="s">
        <v>627</v>
      </c>
      <c r="B4214" s="16">
        <v>45597</v>
      </c>
      <c r="C4214" t="s">
        <v>3</v>
      </c>
      <c r="D4214" t="s">
        <v>127</v>
      </c>
      <c r="E4214" t="s">
        <v>174</v>
      </c>
      <c r="F4214">
        <v>5279</v>
      </c>
      <c r="G4214">
        <v>2730</v>
      </c>
      <c r="H4214">
        <v>122</v>
      </c>
      <c r="I4214">
        <v>64</v>
      </c>
      <c r="J4214">
        <v>58512</v>
      </c>
      <c r="K4214">
        <v>13</v>
      </c>
      <c r="L4214">
        <v>48064.5</v>
      </c>
      <c r="M4214">
        <v>12</v>
      </c>
      <c r="N4214">
        <v>401</v>
      </c>
      <c r="O4214">
        <v>5279</v>
      </c>
      <c r="P4214">
        <f t="shared" si="216"/>
        <v>2024</v>
      </c>
      <c r="Q4214">
        <f t="shared" si="217"/>
        <v>11</v>
      </c>
      <c r="R4214" t="str">
        <f t="shared" si="218"/>
        <v>首页推荐-微详情</v>
      </c>
      <c r="S4214" t="s">
        <v>785</v>
      </c>
      <c r="T4214" t="s">
        <v>805</v>
      </c>
    </row>
    <row r="4215" spans="1:20" x14ac:dyDescent="0.3">
      <c r="A4215" t="s">
        <v>627</v>
      </c>
      <c r="B4215" s="16">
        <v>45597</v>
      </c>
      <c r="C4215" t="s">
        <v>3</v>
      </c>
      <c r="D4215" t="s">
        <v>127</v>
      </c>
      <c r="E4215" t="s">
        <v>175</v>
      </c>
      <c r="F4215">
        <v>683</v>
      </c>
      <c r="G4215">
        <v>451</v>
      </c>
      <c r="H4215">
        <v>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4</v>
      </c>
      <c r="O4215">
        <v>47</v>
      </c>
      <c r="P4215">
        <f t="shared" si="216"/>
        <v>2024</v>
      </c>
      <c r="Q4215">
        <f t="shared" si="217"/>
        <v>11</v>
      </c>
      <c r="R4215" t="str">
        <f t="shared" si="218"/>
        <v>首页推荐-直播</v>
      </c>
      <c r="S4215" t="s">
        <v>785</v>
      </c>
      <c r="T4215" t="s">
        <v>805</v>
      </c>
    </row>
    <row r="4216" spans="1:20" x14ac:dyDescent="0.3">
      <c r="A4216" t="s">
        <v>627</v>
      </c>
      <c r="B4216" s="16">
        <v>45597</v>
      </c>
      <c r="C4216" t="s">
        <v>3</v>
      </c>
      <c r="D4216" t="s">
        <v>127</v>
      </c>
      <c r="E4216" t="s">
        <v>176</v>
      </c>
      <c r="F4216">
        <v>886</v>
      </c>
      <c r="G4216">
        <v>381</v>
      </c>
      <c r="H4216">
        <v>11</v>
      </c>
      <c r="I4216">
        <v>1</v>
      </c>
      <c r="J4216">
        <v>6240</v>
      </c>
      <c r="K4216">
        <v>2</v>
      </c>
      <c r="L4216">
        <v>1990</v>
      </c>
      <c r="M4216">
        <v>1</v>
      </c>
      <c r="N4216">
        <v>33</v>
      </c>
      <c r="O4216">
        <v>211</v>
      </c>
      <c r="P4216">
        <f t="shared" si="216"/>
        <v>2024</v>
      </c>
      <c r="Q4216">
        <f t="shared" si="217"/>
        <v>11</v>
      </c>
      <c r="R4216" t="str">
        <f t="shared" si="218"/>
        <v>首页推荐-短视频</v>
      </c>
      <c r="S4216" t="s">
        <v>785</v>
      </c>
      <c r="T4216" t="s">
        <v>805</v>
      </c>
    </row>
    <row r="4217" spans="1:20" x14ac:dyDescent="0.3">
      <c r="A4217" t="s">
        <v>627</v>
      </c>
      <c r="B4217" s="16">
        <v>45597</v>
      </c>
      <c r="C4217" t="s">
        <v>3</v>
      </c>
      <c r="D4217" t="s">
        <v>128</v>
      </c>
      <c r="E4217" t="s">
        <v>177</v>
      </c>
      <c r="F4217">
        <v>1675</v>
      </c>
      <c r="G4217">
        <v>1244</v>
      </c>
      <c r="H4217">
        <v>122</v>
      </c>
      <c r="I4217">
        <v>19</v>
      </c>
      <c r="J4217">
        <v>156693.5</v>
      </c>
      <c r="K4217">
        <v>35</v>
      </c>
      <c r="L4217">
        <v>133182</v>
      </c>
      <c r="M4217">
        <v>29</v>
      </c>
      <c r="N4217">
        <v>412</v>
      </c>
      <c r="O4217">
        <v>1503</v>
      </c>
      <c r="P4217">
        <f t="shared" si="216"/>
        <v>2024</v>
      </c>
      <c r="Q4217">
        <f t="shared" si="217"/>
        <v>11</v>
      </c>
      <c r="R4217" t="str">
        <f t="shared" si="218"/>
        <v>手淘搜索-商品及其他</v>
      </c>
      <c r="S4217" t="s">
        <v>785</v>
      </c>
      <c r="T4217" t="s">
        <v>805</v>
      </c>
    </row>
    <row r="4218" spans="1:20" x14ac:dyDescent="0.3">
      <c r="A4218" t="s">
        <v>627</v>
      </c>
      <c r="B4218" s="16">
        <v>45597</v>
      </c>
      <c r="C4218" t="s">
        <v>3</v>
      </c>
      <c r="D4218" t="s">
        <v>128</v>
      </c>
      <c r="E4218" t="s">
        <v>178</v>
      </c>
      <c r="F4218">
        <v>19</v>
      </c>
      <c r="G4218">
        <v>8</v>
      </c>
      <c r="H4218">
        <v>1</v>
      </c>
      <c r="I4218">
        <v>0</v>
      </c>
      <c r="J4218">
        <v>7967</v>
      </c>
      <c r="K4218">
        <v>1</v>
      </c>
      <c r="L4218">
        <v>7967</v>
      </c>
      <c r="M4218">
        <v>1</v>
      </c>
      <c r="N4218">
        <v>1</v>
      </c>
      <c r="O4218">
        <v>12</v>
      </c>
      <c r="P4218">
        <f t="shared" si="216"/>
        <v>2024</v>
      </c>
      <c r="Q4218">
        <f t="shared" si="217"/>
        <v>11</v>
      </c>
      <c r="R4218" t="str">
        <f t="shared" si="218"/>
        <v>手淘搜索-直播</v>
      </c>
      <c r="S4218" t="s">
        <v>785</v>
      </c>
      <c r="T4218" t="s">
        <v>805</v>
      </c>
    </row>
    <row r="4219" spans="1:20" x14ac:dyDescent="0.3">
      <c r="A4219" t="s">
        <v>627</v>
      </c>
      <c r="B4219" s="16">
        <v>45597</v>
      </c>
      <c r="C4219" t="s">
        <v>3</v>
      </c>
      <c r="D4219" t="s">
        <v>128</v>
      </c>
      <c r="E4219" t="s">
        <v>179</v>
      </c>
      <c r="F4219">
        <v>496</v>
      </c>
      <c r="G4219">
        <v>465</v>
      </c>
      <c r="H4219">
        <v>2</v>
      </c>
      <c r="I4219">
        <v>1</v>
      </c>
      <c r="J4219">
        <v>0</v>
      </c>
      <c r="K4219">
        <v>0</v>
      </c>
      <c r="L4219">
        <v>0</v>
      </c>
      <c r="M4219">
        <v>0</v>
      </c>
      <c r="N4219">
        <v>2</v>
      </c>
      <c r="O4219">
        <v>489</v>
      </c>
      <c r="P4219">
        <f t="shared" si="216"/>
        <v>2024</v>
      </c>
      <c r="Q4219">
        <f t="shared" si="217"/>
        <v>11</v>
      </c>
      <c r="R4219" t="str">
        <f t="shared" si="218"/>
        <v>手淘搜索-短视频</v>
      </c>
      <c r="S4219" t="s">
        <v>785</v>
      </c>
      <c r="T4219" t="s">
        <v>805</v>
      </c>
    </row>
    <row r="4220" spans="1:20" x14ac:dyDescent="0.3">
      <c r="A4220" t="s">
        <v>627</v>
      </c>
      <c r="B4220" s="16">
        <v>45597</v>
      </c>
      <c r="C4220" t="s">
        <v>3</v>
      </c>
      <c r="D4220" t="s">
        <v>143</v>
      </c>
      <c r="E4220" t="s">
        <v>180</v>
      </c>
      <c r="F4220">
        <v>4</v>
      </c>
      <c r="G4220">
        <v>4</v>
      </c>
      <c r="H4220">
        <v>0</v>
      </c>
      <c r="I4220">
        <v>1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4</v>
      </c>
      <c r="P4220">
        <f t="shared" si="216"/>
        <v>2024</v>
      </c>
      <c r="Q4220">
        <f t="shared" si="217"/>
        <v>11</v>
      </c>
      <c r="R4220" t="str">
        <f t="shared" si="218"/>
        <v>淘特其他渠道</v>
      </c>
      <c r="S4220" t="s">
        <v>785</v>
      </c>
      <c r="T4220" t="s">
        <v>805</v>
      </c>
    </row>
    <row r="4221" spans="1:20" x14ac:dyDescent="0.3">
      <c r="A4221" t="s">
        <v>627</v>
      </c>
      <c r="B4221" s="16">
        <v>45597</v>
      </c>
      <c r="C4221" t="s">
        <v>3</v>
      </c>
      <c r="D4221" t="s">
        <v>143</v>
      </c>
      <c r="E4221" t="s">
        <v>181</v>
      </c>
      <c r="F4221">
        <v>15</v>
      </c>
      <c r="G4221">
        <v>15</v>
      </c>
      <c r="H4221">
        <v>0</v>
      </c>
      <c r="I4221">
        <v>1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15</v>
      </c>
      <c r="P4221">
        <f t="shared" si="216"/>
        <v>2024</v>
      </c>
      <c r="Q4221">
        <f t="shared" si="217"/>
        <v>11</v>
      </c>
      <c r="R4221" t="str">
        <f t="shared" si="218"/>
        <v>淘特搜索</v>
      </c>
      <c r="S4221" t="s">
        <v>785</v>
      </c>
      <c r="T4221" t="s">
        <v>805</v>
      </c>
    </row>
    <row r="4222" spans="1:20" x14ac:dyDescent="0.3">
      <c r="A4222" t="s">
        <v>627</v>
      </c>
      <c r="B4222" s="16">
        <v>45597</v>
      </c>
      <c r="C4222" t="s">
        <v>3</v>
      </c>
      <c r="D4222" t="s">
        <v>143</v>
      </c>
      <c r="E4222" t="s">
        <v>224</v>
      </c>
      <c r="F4222">
        <v>1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1</v>
      </c>
      <c r="P4222">
        <f t="shared" si="216"/>
        <v>2024</v>
      </c>
      <c r="Q4222">
        <f t="shared" si="217"/>
        <v>11</v>
      </c>
      <c r="R4222" t="str">
        <f t="shared" si="218"/>
        <v>淘特自主访问</v>
      </c>
      <c r="S4222" t="s">
        <v>785</v>
      </c>
      <c r="T4222" t="s">
        <v>805</v>
      </c>
    </row>
    <row r="4223" spans="1:20" x14ac:dyDescent="0.3">
      <c r="A4223" t="s">
        <v>627</v>
      </c>
      <c r="B4223" s="16">
        <v>45597</v>
      </c>
      <c r="C4223" t="s">
        <v>2</v>
      </c>
      <c r="D4223" t="s">
        <v>55</v>
      </c>
      <c r="E4223" t="s">
        <v>54</v>
      </c>
      <c r="F4223">
        <v>1404</v>
      </c>
      <c r="G4223">
        <v>1069</v>
      </c>
      <c r="H4223">
        <v>7</v>
      </c>
      <c r="I4223">
        <v>7</v>
      </c>
      <c r="J4223">
        <v>0</v>
      </c>
      <c r="K4223">
        <v>0</v>
      </c>
      <c r="L4223">
        <v>0</v>
      </c>
      <c r="M4223">
        <v>0</v>
      </c>
      <c r="N4223">
        <v>26</v>
      </c>
      <c r="O4223">
        <v>118</v>
      </c>
      <c r="P4223">
        <f t="shared" si="216"/>
        <v>2024</v>
      </c>
      <c r="Q4223">
        <f t="shared" si="217"/>
        <v>11</v>
      </c>
      <c r="R4223" t="str">
        <f t="shared" si="218"/>
        <v>超级直播</v>
      </c>
      <c r="S4223" t="s">
        <v>785</v>
      </c>
      <c r="T4223" t="s">
        <v>805</v>
      </c>
    </row>
    <row r="4224" spans="1:20" x14ac:dyDescent="0.3">
      <c r="A4224" t="s">
        <v>627</v>
      </c>
      <c r="B4224" s="16">
        <v>45597</v>
      </c>
      <c r="C4224" t="s">
        <v>2</v>
      </c>
      <c r="D4224" t="s">
        <v>55</v>
      </c>
      <c r="E4224" t="s">
        <v>56</v>
      </c>
      <c r="F4224">
        <v>168</v>
      </c>
      <c r="G4224">
        <v>120</v>
      </c>
      <c r="H4224">
        <v>4</v>
      </c>
      <c r="I4224">
        <v>6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143</v>
      </c>
      <c r="P4224">
        <f t="shared" si="216"/>
        <v>2024</v>
      </c>
      <c r="Q4224">
        <f t="shared" si="217"/>
        <v>11</v>
      </c>
      <c r="R4224" t="str">
        <f t="shared" si="218"/>
        <v>超级短视频</v>
      </c>
      <c r="S4224" t="s">
        <v>785</v>
      </c>
      <c r="T4224" t="s">
        <v>805</v>
      </c>
    </row>
    <row r="4225" spans="1:20" x14ac:dyDescent="0.3">
      <c r="A4225" t="s">
        <v>627</v>
      </c>
      <c r="B4225" s="16">
        <v>45597</v>
      </c>
      <c r="C4225" t="s">
        <v>2</v>
      </c>
      <c r="D4225" t="s">
        <v>52</v>
      </c>
      <c r="E4225" t="s">
        <v>53</v>
      </c>
      <c r="F4225">
        <v>73</v>
      </c>
      <c r="G4225">
        <v>60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73</v>
      </c>
      <c r="O4225">
        <v>9</v>
      </c>
      <c r="P4225">
        <f t="shared" si="216"/>
        <v>2024</v>
      </c>
      <c r="Q4225">
        <f t="shared" si="217"/>
        <v>11</v>
      </c>
      <c r="R4225" t="str">
        <f t="shared" si="218"/>
        <v>Showmax</v>
      </c>
      <c r="S4225" t="s">
        <v>785</v>
      </c>
      <c r="T4225" t="s">
        <v>805</v>
      </c>
    </row>
    <row r="4226" spans="1:20" x14ac:dyDescent="0.3">
      <c r="A4226" t="s">
        <v>627</v>
      </c>
      <c r="B4226" s="16">
        <v>45597</v>
      </c>
      <c r="C4226" t="s">
        <v>2</v>
      </c>
      <c r="D4226" t="s">
        <v>52</v>
      </c>
      <c r="E4226" t="s">
        <v>59</v>
      </c>
      <c r="F4226">
        <v>173</v>
      </c>
      <c r="G4226">
        <v>152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173</v>
      </c>
      <c r="O4226">
        <v>40</v>
      </c>
      <c r="P4226">
        <f t="shared" si="216"/>
        <v>2024</v>
      </c>
      <c r="Q4226">
        <f t="shared" si="217"/>
        <v>11</v>
      </c>
      <c r="R4226" t="str">
        <f t="shared" si="218"/>
        <v>品牌特秀</v>
      </c>
      <c r="S4226" t="s">
        <v>785</v>
      </c>
      <c r="T4226" t="s">
        <v>805</v>
      </c>
    </row>
    <row r="4227" spans="1:20" x14ac:dyDescent="0.3">
      <c r="A4227" t="s">
        <v>627</v>
      </c>
      <c r="B4227" s="16">
        <v>45597</v>
      </c>
      <c r="C4227" t="s">
        <v>2</v>
      </c>
      <c r="D4227" t="s">
        <v>52</v>
      </c>
      <c r="E4227" t="s">
        <v>183</v>
      </c>
      <c r="F4227">
        <v>625</v>
      </c>
      <c r="G4227">
        <v>485</v>
      </c>
      <c r="H4227">
        <v>30</v>
      </c>
      <c r="I4227">
        <v>9</v>
      </c>
      <c r="J4227">
        <v>16405</v>
      </c>
      <c r="K4227">
        <v>3</v>
      </c>
      <c r="L4227">
        <v>15110</v>
      </c>
      <c r="M4227">
        <v>3</v>
      </c>
      <c r="N4227">
        <v>625</v>
      </c>
      <c r="O4227">
        <v>372</v>
      </c>
      <c r="P4227">
        <f t="shared" si="216"/>
        <v>2024</v>
      </c>
      <c r="Q4227">
        <f t="shared" si="217"/>
        <v>11</v>
      </c>
      <c r="R4227" t="str">
        <f t="shared" si="218"/>
        <v>品销宝-品牌专区</v>
      </c>
      <c r="S4227" t="s">
        <v>785</v>
      </c>
      <c r="T4227" t="s">
        <v>805</v>
      </c>
    </row>
    <row r="4228" spans="1:20" x14ac:dyDescent="0.3">
      <c r="A4228" t="s">
        <v>627</v>
      </c>
      <c r="B4228" s="16">
        <v>45597</v>
      </c>
      <c r="C4228" t="s">
        <v>2</v>
      </c>
      <c r="D4228" t="s">
        <v>57</v>
      </c>
      <c r="E4228" t="s">
        <v>65</v>
      </c>
      <c r="F4228">
        <v>5283</v>
      </c>
      <c r="G4228">
        <v>4581</v>
      </c>
      <c r="H4228">
        <v>329</v>
      </c>
      <c r="I4228">
        <v>31</v>
      </c>
      <c r="J4228">
        <v>408379.5</v>
      </c>
      <c r="K4228">
        <v>89</v>
      </c>
      <c r="L4228">
        <v>361029.5</v>
      </c>
      <c r="M4228">
        <v>83</v>
      </c>
      <c r="N4228">
        <v>445</v>
      </c>
      <c r="O4228">
        <v>5226</v>
      </c>
      <c r="P4228">
        <f t="shared" si="216"/>
        <v>2024</v>
      </c>
      <c r="Q4228">
        <f t="shared" si="217"/>
        <v>11</v>
      </c>
      <c r="R4228" t="str">
        <f t="shared" si="218"/>
        <v>直通车</v>
      </c>
      <c r="S4228" t="s">
        <v>785</v>
      </c>
      <c r="T4228" t="s">
        <v>805</v>
      </c>
    </row>
    <row r="4229" spans="1:20" x14ac:dyDescent="0.3">
      <c r="A4229" t="s">
        <v>627</v>
      </c>
      <c r="B4229" s="16">
        <v>45597</v>
      </c>
      <c r="C4229" t="s">
        <v>2</v>
      </c>
      <c r="D4229" t="s">
        <v>57</v>
      </c>
      <c r="E4229" t="s">
        <v>63</v>
      </c>
      <c r="F4229">
        <v>4894</v>
      </c>
      <c r="G4229">
        <v>2460</v>
      </c>
      <c r="H4229">
        <v>219</v>
      </c>
      <c r="I4229">
        <v>73</v>
      </c>
      <c r="J4229">
        <v>240303</v>
      </c>
      <c r="K4229">
        <v>49</v>
      </c>
      <c r="L4229">
        <v>188085</v>
      </c>
      <c r="M4229">
        <v>41</v>
      </c>
      <c r="N4229">
        <v>350</v>
      </c>
      <c r="O4229">
        <v>4891</v>
      </c>
      <c r="P4229">
        <f t="shared" si="216"/>
        <v>2024</v>
      </c>
      <c r="Q4229">
        <f t="shared" si="217"/>
        <v>11</v>
      </c>
      <c r="R4229" t="str">
        <f t="shared" si="218"/>
        <v>万相台</v>
      </c>
      <c r="S4229" t="s">
        <v>785</v>
      </c>
      <c r="T4229" t="s">
        <v>805</v>
      </c>
    </row>
    <row r="4230" spans="1:20" x14ac:dyDescent="0.3">
      <c r="A4230" t="s">
        <v>627</v>
      </c>
      <c r="B4230" s="16">
        <v>45597</v>
      </c>
      <c r="C4230" t="s">
        <v>2</v>
      </c>
      <c r="D4230" t="s">
        <v>57</v>
      </c>
      <c r="E4230" t="s">
        <v>64</v>
      </c>
      <c r="F4230">
        <v>6933</v>
      </c>
      <c r="G4230">
        <v>3053</v>
      </c>
      <c r="H4230">
        <v>154</v>
      </c>
      <c r="I4230">
        <v>84</v>
      </c>
      <c r="J4230">
        <v>76180.740000000005</v>
      </c>
      <c r="K4230">
        <v>19</v>
      </c>
      <c r="L4230">
        <v>51896.37</v>
      </c>
      <c r="M4230">
        <v>15</v>
      </c>
      <c r="N4230">
        <v>566</v>
      </c>
      <c r="O4230">
        <v>6931</v>
      </c>
      <c r="P4230">
        <f t="shared" si="216"/>
        <v>2024</v>
      </c>
      <c r="Q4230">
        <f t="shared" si="217"/>
        <v>11</v>
      </c>
      <c r="R4230" t="str">
        <f t="shared" si="218"/>
        <v>引力魔方</v>
      </c>
      <c r="S4230" t="s">
        <v>785</v>
      </c>
      <c r="T4230" t="s">
        <v>805</v>
      </c>
    </row>
    <row r="4231" spans="1:20" x14ac:dyDescent="0.3">
      <c r="A4231" t="s">
        <v>627</v>
      </c>
      <c r="B4231" s="16">
        <v>45597</v>
      </c>
      <c r="C4231" t="s">
        <v>2</v>
      </c>
      <c r="D4231" t="s">
        <v>4</v>
      </c>
      <c r="E4231" t="s">
        <v>41</v>
      </c>
      <c r="F4231">
        <v>3</v>
      </c>
      <c r="G4231">
        <v>1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1</v>
      </c>
      <c r="O4231">
        <v>3</v>
      </c>
      <c r="P4231">
        <f t="shared" si="216"/>
        <v>2024</v>
      </c>
      <c r="Q4231">
        <f t="shared" si="217"/>
        <v>11</v>
      </c>
      <c r="R4231" t="str">
        <f t="shared" si="218"/>
        <v>流量宝</v>
      </c>
      <c r="S4231" t="s">
        <v>785</v>
      </c>
      <c r="T4231" t="s">
        <v>805</v>
      </c>
    </row>
    <row r="4232" spans="1:20" x14ac:dyDescent="0.3">
      <c r="A4232" t="s">
        <v>627</v>
      </c>
      <c r="B4232" s="16">
        <v>45597</v>
      </c>
      <c r="C4232" t="s">
        <v>2</v>
      </c>
      <c r="D4232" t="s">
        <v>4</v>
      </c>
      <c r="E4232" t="s">
        <v>43</v>
      </c>
      <c r="F4232">
        <v>392</v>
      </c>
      <c r="G4232">
        <v>146</v>
      </c>
      <c r="H4232">
        <v>14</v>
      </c>
      <c r="I4232">
        <v>0</v>
      </c>
      <c r="J4232">
        <v>28180</v>
      </c>
      <c r="K4232">
        <v>5</v>
      </c>
      <c r="L4232">
        <v>28180</v>
      </c>
      <c r="M4232">
        <v>5</v>
      </c>
      <c r="N4232">
        <v>23</v>
      </c>
      <c r="O4232">
        <v>385</v>
      </c>
      <c r="P4232">
        <f t="shared" si="216"/>
        <v>2024</v>
      </c>
      <c r="Q4232">
        <f t="shared" si="217"/>
        <v>11</v>
      </c>
      <c r="R4232" t="str">
        <f t="shared" si="218"/>
        <v>淘宝客</v>
      </c>
      <c r="S4232" t="s">
        <v>785</v>
      </c>
      <c r="T4232" t="s">
        <v>805</v>
      </c>
    </row>
    <row r="4233" spans="1:20" x14ac:dyDescent="0.3">
      <c r="A4233" t="s">
        <v>627</v>
      </c>
      <c r="B4233" s="16">
        <v>45596</v>
      </c>
      <c r="C4233" t="s">
        <v>3</v>
      </c>
      <c r="D4233" t="s">
        <v>114</v>
      </c>
      <c r="E4233" t="s">
        <v>159</v>
      </c>
      <c r="F4233">
        <v>203</v>
      </c>
      <c r="G4233">
        <v>100</v>
      </c>
      <c r="H4233">
        <v>7</v>
      </c>
      <c r="I4233">
        <v>3</v>
      </c>
      <c r="J4233">
        <v>9298</v>
      </c>
      <c r="K4233">
        <v>2</v>
      </c>
      <c r="L4233">
        <v>9298</v>
      </c>
      <c r="M4233">
        <v>2</v>
      </c>
      <c r="N4233">
        <v>19</v>
      </c>
      <c r="O4233">
        <v>200</v>
      </c>
      <c r="P4233">
        <f t="shared" si="216"/>
        <v>2024</v>
      </c>
      <c r="Q4233">
        <f t="shared" si="217"/>
        <v>10</v>
      </c>
      <c r="R4233" t="str">
        <f t="shared" si="218"/>
        <v>主会场</v>
      </c>
      <c r="S4233" t="s">
        <v>785</v>
      </c>
      <c r="T4233" t="s">
        <v>805</v>
      </c>
    </row>
    <row r="4234" spans="1:20" x14ac:dyDescent="0.3">
      <c r="A4234" t="s">
        <v>627</v>
      </c>
      <c r="B4234" s="16">
        <v>45596</v>
      </c>
      <c r="C4234" t="s">
        <v>3</v>
      </c>
      <c r="D4234" t="s">
        <v>114</v>
      </c>
      <c r="E4234" t="s">
        <v>160</v>
      </c>
      <c r="F4234">
        <v>3</v>
      </c>
      <c r="G4234">
        <v>2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3</v>
      </c>
      <c r="P4234">
        <f t="shared" si="216"/>
        <v>2024</v>
      </c>
      <c r="Q4234">
        <f t="shared" si="217"/>
        <v>10</v>
      </c>
      <c r="R4234" t="str">
        <f t="shared" si="218"/>
        <v>榜单会场</v>
      </c>
      <c r="S4234" t="s">
        <v>785</v>
      </c>
      <c r="T4234" t="s">
        <v>805</v>
      </c>
    </row>
    <row r="4235" spans="1:20" x14ac:dyDescent="0.3">
      <c r="A4235" t="s">
        <v>627</v>
      </c>
      <c r="B4235" s="16">
        <v>45596</v>
      </c>
      <c r="C4235" t="s">
        <v>3</v>
      </c>
      <c r="D4235" t="s">
        <v>117</v>
      </c>
      <c r="E4235" t="s">
        <v>161</v>
      </c>
      <c r="F4235">
        <v>2</v>
      </c>
      <c r="G4235">
        <v>1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1</v>
      </c>
      <c r="O4235">
        <v>2</v>
      </c>
      <c r="P4235">
        <f t="shared" si="216"/>
        <v>2024</v>
      </c>
      <c r="Q4235">
        <f t="shared" si="217"/>
        <v>10</v>
      </c>
      <c r="R4235" t="str">
        <f t="shared" si="218"/>
        <v>其他入口榜单</v>
      </c>
      <c r="S4235" t="s">
        <v>785</v>
      </c>
      <c r="T4235" t="s">
        <v>805</v>
      </c>
    </row>
    <row r="4236" spans="1:20" x14ac:dyDescent="0.3">
      <c r="A4236" t="s">
        <v>627</v>
      </c>
      <c r="B4236" s="16">
        <v>45596</v>
      </c>
      <c r="C4236" t="s">
        <v>3</v>
      </c>
      <c r="D4236" t="s">
        <v>117</v>
      </c>
      <c r="E4236" t="s">
        <v>195</v>
      </c>
      <c r="F4236">
        <v>1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1</v>
      </c>
      <c r="P4236">
        <f t="shared" si="216"/>
        <v>2024</v>
      </c>
      <c r="Q4236">
        <f t="shared" si="217"/>
        <v>10</v>
      </c>
      <c r="R4236" t="str">
        <f t="shared" si="218"/>
        <v>搜索入口榜单</v>
      </c>
      <c r="S4236" t="s">
        <v>785</v>
      </c>
      <c r="T4236" t="s">
        <v>805</v>
      </c>
    </row>
    <row r="4237" spans="1:20" x14ac:dyDescent="0.3">
      <c r="A4237" t="s">
        <v>627</v>
      </c>
      <c r="B4237" s="16">
        <v>45596</v>
      </c>
      <c r="C4237" t="s">
        <v>3</v>
      </c>
      <c r="D4237" t="s">
        <v>123</v>
      </c>
      <c r="E4237" t="s">
        <v>169</v>
      </c>
      <c r="F4237">
        <v>379</v>
      </c>
      <c r="G4237">
        <v>138</v>
      </c>
      <c r="H4237">
        <v>32</v>
      </c>
      <c r="I4237">
        <v>3</v>
      </c>
      <c r="J4237">
        <v>51977.32</v>
      </c>
      <c r="K4237">
        <v>11</v>
      </c>
      <c r="L4237">
        <v>51977.32</v>
      </c>
      <c r="M4237">
        <v>11</v>
      </c>
      <c r="N4237">
        <v>83</v>
      </c>
      <c r="O4237">
        <v>361</v>
      </c>
      <c r="P4237">
        <f t="shared" si="216"/>
        <v>2024</v>
      </c>
      <c r="Q4237">
        <f t="shared" si="217"/>
        <v>10</v>
      </c>
      <c r="R4237" t="str">
        <f t="shared" si="218"/>
        <v>商品详情页头图推荐</v>
      </c>
      <c r="S4237" t="s">
        <v>785</v>
      </c>
      <c r="T4237" t="s">
        <v>805</v>
      </c>
    </row>
    <row r="4238" spans="1:20" x14ac:dyDescent="0.3">
      <c r="A4238" t="s">
        <v>627</v>
      </c>
      <c r="B4238" s="16">
        <v>45596</v>
      </c>
      <c r="C4238" t="s">
        <v>3</v>
      </c>
      <c r="D4238" t="s">
        <v>123</v>
      </c>
      <c r="E4238" t="s">
        <v>170</v>
      </c>
      <c r="F4238">
        <v>102</v>
      </c>
      <c r="G4238">
        <v>56</v>
      </c>
      <c r="H4238">
        <v>9</v>
      </c>
      <c r="I4238">
        <v>1</v>
      </c>
      <c r="J4238">
        <v>24604</v>
      </c>
      <c r="K4238">
        <v>6</v>
      </c>
      <c r="L4238">
        <v>24604</v>
      </c>
      <c r="M4238">
        <v>6</v>
      </c>
      <c r="N4238">
        <v>87</v>
      </c>
      <c r="O4238">
        <v>59</v>
      </c>
      <c r="P4238">
        <f t="shared" si="216"/>
        <v>2024</v>
      </c>
      <c r="Q4238">
        <f t="shared" si="217"/>
        <v>10</v>
      </c>
      <c r="R4238" t="str">
        <f t="shared" si="218"/>
        <v>店铺超链</v>
      </c>
      <c r="S4238" t="s">
        <v>785</v>
      </c>
      <c r="T4238" t="s">
        <v>805</v>
      </c>
    </row>
    <row r="4239" spans="1:20" x14ac:dyDescent="0.3">
      <c r="A4239" t="s">
        <v>627</v>
      </c>
      <c r="B4239" s="16">
        <v>45596</v>
      </c>
      <c r="C4239" t="s">
        <v>2</v>
      </c>
      <c r="D4239" t="s">
        <v>52</v>
      </c>
      <c r="E4239" t="s">
        <v>59</v>
      </c>
      <c r="F4239">
        <v>1529</v>
      </c>
      <c r="G4239">
        <v>1208</v>
      </c>
      <c r="H4239">
        <v>8</v>
      </c>
      <c r="I4239">
        <v>0</v>
      </c>
      <c r="J4239">
        <v>37896</v>
      </c>
      <c r="K4239">
        <v>7</v>
      </c>
      <c r="L4239">
        <v>29112</v>
      </c>
      <c r="M4239">
        <v>7</v>
      </c>
      <c r="N4239">
        <v>1305</v>
      </c>
      <c r="O4239">
        <v>241</v>
      </c>
      <c r="P4239">
        <f t="shared" si="216"/>
        <v>2024</v>
      </c>
      <c r="Q4239">
        <f t="shared" si="217"/>
        <v>10</v>
      </c>
      <c r="R4239" t="s">
        <v>171</v>
      </c>
      <c r="S4239" t="s">
        <v>785</v>
      </c>
      <c r="T4239" t="s">
        <v>805</v>
      </c>
    </row>
    <row r="4240" spans="1:20" x14ac:dyDescent="0.3">
      <c r="A4240" t="s">
        <v>627</v>
      </c>
      <c r="B4240" s="16">
        <v>45596</v>
      </c>
      <c r="C4240" t="s">
        <v>3</v>
      </c>
      <c r="D4240" t="s">
        <v>127</v>
      </c>
      <c r="E4240" t="s">
        <v>172</v>
      </c>
      <c r="F4240">
        <v>40</v>
      </c>
      <c r="G4240">
        <v>19</v>
      </c>
      <c r="H4240">
        <v>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10</v>
      </c>
      <c r="O4240">
        <v>27</v>
      </c>
      <c r="P4240">
        <f t="shared" si="216"/>
        <v>2024</v>
      </c>
      <c r="Q4240">
        <f t="shared" si="217"/>
        <v>10</v>
      </c>
      <c r="R4240" t="str">
        <f t="shared" si="218"/>
        <v>购中推荐</v>
      </c>
      <c r="S4240" t="s">
        <v>785</v>
      </c>
      <c r="T4240" t="s">
        <v>805</v>
      </c>
    </row>
    <row r="4241" spans="1:20" x14ac:dyDescent="0.3">
      <c r="A4241" t="s">
        <v>627</v>
      </c>
      <c r="B4241" s="16">
        <v>45596</v>
      </c>
      <c r="C4241" t="s">
        <v>3</v>
      </c>
      <c r="D4241" t="s">
        <v>127</v>
      </c>
      <c r="E4241" t="s">
        <v>173</v>
      </c>
      <c r="F4241">
        <v>122</v>
      </c>
      <c r="G4241">
        <v>85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61</v>
      </c>
      <c r="O4241">
        <v>42</v>
      </c>
      <c r="P4241">
        <f t="shared" si="216"/>
        <v>2024</v>
      </c>
      <c r="Q4241">
        <f t="shared" si="217"/>
        <v>10</v>
      </c>
      <c r="R4241" t="str">
        <f t="shared" si="218"/>
        <v>购后推荐</v>
      </c>
      <c r="S4241" t="s">
        <v>785</v>
      </c>
      <c r="T4241" t="s">
        <v>805</v>
      </c>
    </row>
    <row r="4242" spans="1:20" x14ac:dyDescent="0.3">
      <c r="A4242" t="s">
        <v>627</v>
      </c>
      <c r="B4242" s="16">
        <v>45596</v>
      </c>
      <c r="C4242" t="s">
        <v>3</v>
      </c>
      <c r="D4242" t="s">
        <v>127</v>
      </c>
      <c r="E4242" t="s">
        <v>174</v>
      </c>
      <c r="F4242">
        <v>5100</v>
      </c>
      <c r="G4242">
        <v>2595</v>
      </c>
      <c r="H4242">
        <v>146</v>
      </c>
      <c r="I4242">
        <v>46</v>
      </c>
      <c r="J4242">
        <v>204884.88</v>
      </c>
      <c r="K4242">
        <v>37</v>
      </c>
      <c r="L4242">
        <v>147885.88</v>
      </c>
      <c r="M4242">
        <v>31</v>
      </c>
      <c r="N4242">
        <v>428</v>
      </c>
      <c r="O4242">
        <v>5100</v>
      </c>
      <c r="P4242">
        <f t="shared" si="216"/>
        <v>2024</v>
      </c>
      <c r="Q4242">
        <f t="shared" si="217"/>
        <v>10</v>
      </c>
      <c r="R4242" t="str">
        <f t="shared" si="218"/>
        <v>首页推荐-微详情</v>
      </c>
      <c r="S4242" t="s">
        <v>785</v>
      </c>
      <c r="T4242" t="s">
        <v>805</v>
      </c>
    </row>
    <row r="4243" spans="1:20" x14ac:dyDescent="0.3">
      <c r="A4243" t="s">
        <v>627</v>
      </c>
      <c r="B4243" s="16">
        <v>45596</v>
      </c>
      <c r="C4243" t="s">
        <v>3</v>
      </c>
      <c r="D4243" t="s">
        <v>127</v>
      </c>
      <c r="E4243" t="s">
        <v>175</v>
      </c>
      <c r="F4243">
        <v>369</v>
      </c>
      <c r="G4243">
        <v>202</v>
      </c>
      <c r="H4243">
        <v>0</v>
      </c>
      <c r="I4243">
        <v>0</v>
      </c>
      <c r="J4243">
        <v>8734</v>
      </c>
      <c r="K4243">
        <v>1</v>
      </c>
      <c r="L4243">
        <v>8734</v>
      </c>
      <c r="M4243">
        <v>1</v>
      </c>
      <c r="N4243">
        <v>0</v>
      </c>
      <c r="O4243">
        <v>45</v>
      </c>
      <c r="P4243">
        <f t="shared" si="216"/>
        <v>2024</v>
      </c>
      <c r="Q4243">
        <f t="shared" si="217"/>
        <v>10</v>
      </c>
      <c r="R4243" t="str">
        <f t="shared" si="218"/>
        <v>首页推荐-直播</v>
      </c>
      <c r="S4243" t="s">
        <v>785</v>
      </c>
      <c r="T4243" t="s">
        <v>805</v>
      </c>
    </row>
    <row r="4244" spans="1:20" x14ac:dyDescent="0.3">
      <c r="A4244" t="s">
        <v>627</v>
      </c>
      <c r="B4244" s="16">
        <v>45596</v>
      </c>
      <c r="C4244" t="s">
        <v>3</v>
      </c>
      <c r="D4244" t="s">
        <v>127</v>
      </c>
      <c r="E4244" t="s">
        <v>176</v>
      </c>
      <c r="F4244">
        <v>910</v>
      </c>
      <c r="G4244">
        <v>389</v>
      </c>
      <c r="H4244">
        <v>16</v>
      </c>
      <c r="I4244">
        <v>1</v>
      </c>
      <c r="J4244">
        <v>20701.09</v>
      </c>
      <c r="K4244">
        <v>6</v>
      </c>
      <c r="L4244">
        <v>20701.09</v>
      </c>
      <c r="M4244">
        <v>6</v>
      </c>
      <c r="N4244">
        <v>37</v>
      </c>
      <c r="O4244">
        <v>225</v>
      </c>
      <c r="P4244">
        <f t="shared" si="216"/>
        <v>2024</v>
      </c>
      <c r="Q4244">
        <f t="shared" si="217"/>
        <v>10</v>
      </c>
      <c r="R4244" t="str">
        <f t="shared" si="218"/>
        <v>首页推荐-短视频</v>
      </c>
      <c r="S4244" t="s">
        <v>785</v>
      </c>
      <c r="T4244" t="s">
        <v>805</v>
      </c>
    </row>
    <row r="4245" spans="1:20" x14ac:dyDescent="0.3">
      <c r="A4245" t="s">
        <v>627</v>
      </c>
      <c r="B4245" s="16">
        <v>45596</v>
      </c>
      <c r="C4245" t="s">
        <v>3</v>
      </c>
      <c r="D4245" t="s">
        <v>128</v>
      </c>
      <c r="E4245" t="s">
        <v>177</v>
      </c>
      <c r="F4245">
        <v>1928</v>
      </c>
      <c r="G4245">
        <v>1502</v>
      </c>
      <c r="H4245">
        <v>174</v>
      </c>
      <c r="I4245">
        <v>20</v>
      </c>
      <c r="J4245">
        <v>214241.5</v>
      </c>
      <c r="K4245">
        <v>53</v>
      </c>
      <c r="L4245">
        <v>189037.5</v>
      </c>
      <c r="M4245">
        <v>47</v>
      </c>
      <c r="N4245">
        <v>380</v>
      </c>
      <c r="O4245">
        <v>1790</v>
      </c>
      <c r="P4245">
        <f t="shared" si="216"/>
        <v>2024</v>
      </c>
      <c r="Q4245">
        <f t="shared" si="217"/>
        <v>10</v>
      </c>
      <c r="R4245" t="str">
        <f t="shared" si="218"/>
        <v>手淘搜索-商品及其他</v>
      </c>
      <c r="S4245" t="s">
        <v>785</v>
      </c>
      <c r="T4245" t="s">
        <v>805</v>
      </c>
    </row>
    <row r="4246" spans="1:20" x14ac:dyDescent="0.3">
      <c r="A4246" t="s">
        <v>627</v>
      </c>
      <c r="B4246" s="16">
        <v>45596</v>
      </c>
      <c r="C4246" t="s">
        <v>3</v>
      </c>
      <c r="D4246" t="s">
        <v>128</v>
      </c>
      <c r="E4246" t="s">
        <v>178</v>
      </c>
      <c r="F4246">
        <v>39</v>
      </c>
      <c r="G4246">
        <v>17</v>
      </c>
      <c r="H4246">
        <v>4</v>
      </c>
      <c r="I4246">
        <v>1</v>
      </c>
      <c r="J4246">
        <v>6350</v>
      </c>
      <c r="K4246">
        <v>2</v>
      </c>
      <c r="L4246">
        <v>6350</v>
      </c>
      <c r="M4246">
        <v>2</v>
      </c>
      <c r="N4246">
        <v>3</v>
      </c>
      <c r="O4246">
        <v>28</v>
      </c>
      <c r="P4246">
        <f t="shared" si="216"/>
        <v>2024</v>
      </c>
      <c r="Q4246">
        <f t="shared" si="217"/>
        <v>10</v>
      </c>
      <c r="R4246" t="str">
        <f t="shared" si="218"/>
        <v>手淘搜索-直播</v>
      </c>
      <c r="S4246" t="s">
        <v>785</v>
      </c>
      <c r="T4246" t="s">
        <v>805</v>
      </c>
    </row>
    <row r="4247" spans="1:20" x14ac:dyDescent="0.3">
      <c r="A4247" t="s">
        <v>627</v>
      </c>
      <c r="B4247" s="16">
        <v>45596</v>
      </c>
      <c r="C4247" t="s">
        <v>3</v>
      </c>
      <c r="D4247" t="s">
        <v>128</v>
      </c>
      <c r="E4247" t="s">
        <v>179</v>
      </c>
      <c r="F4247">
        <v>700</v>
      </c>
      <c r="G4247">
        <v>653</v>
      </c>
      <c r="H4247">
        <v>3</v>
      </c>
      <c r="I4247">
        <v>0</v>
      </c>
      <c r="J4247">
        <v>2300</v>
      </c>
      <c r="K4247">
        <v>1</v>
      </c>
      <c r="L4247">
        <v>2300</v>
      </c>
      <c r="M4247">
        <v>1</v>
      </c>
      <c r="N4247">
        <v>4</v>
      </c>
      <c r="O4247">
        <v>691</v>
      </c>
      <c r="P4247">
        <f t="shared" si="216"/>
        <v>2024</v>
      </c>
      <c r="Q4247">
        <f t="shared" si="217"/>
        <v>10</v>
      </c>
      <c r="R4247" t="str">
        <f t="shared" si="218"/>
        <v>手淘搜索-短视频</v>
      </c>
      <c r="S4247" t="s">
        <v>785</v>
      </c>
      <c r="T4247" t="s">
        <v>805</v>
      </c>
    </row>
    <row r="4248" spans="1:20" x14ac:dyDescent="0.3">
      <c r="A4248" t="s">
        <v>627</v>
      </c>
      <c r="B4248" s="16">
        <v>45596</v>
      </c>
      <c r="C4248" t="s">
        <v>3</v>
      </c>
      <c r="D4248" t="s">
        <v>143</v>
      </c>
      <c r="E4248" t="s">
        <v>180</v>
      </c>
      <c r="F4248">
        <v>4</v>
      </c>
      <c r="G4248">
        <v>3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4</v>
      </c>
      <c r="P4248">
        <f t="shared" si="216"/>
        <v>2024</v>
      </c>
      <c r="Q4248">
        <f t="shared" si="217"/>
        <v>10</v>
      </c>
      <c r="R4248" t="str">
        <f t="shared" si="218"/>
        <v>淘特其他渠道</v>
      </c>
      <c r="S4248" t="s">
        <v>785</v>
      </c>
      <c r="T4248" t="s">
        <v>805</v>
      </c>
    </row>
    <row r="4249" spans="1:20" x14ac:dyDescent="0.3">
      <c r="A4249" t="s">
        <v>627</v>
      </c>
      <c r="B4249" s="16">
        <v>45596</v>
      </c>
      <c r="C4249" t="s">
        <v>3</v>
      </c>
      <c r="D4249" t="s">
        <v>143</v>
      </c>
      <c r="E4249" t="s">
        <v>181</v>
      </c>
      <c r="F4249">
        <v>11</v>
      </c>
      <c r="G4249">
        <v>11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11</v>
      </c>
      <c r="P4249">
        <f t="shared" si="216"/>
        <v>2024</v>
      </c>
      <c r="Q4249">
        <f t="shared" si="217"/>
        <v>10</v>
      </c>
      <c r="R4249" t="str">
        <f t="shared" si="218"/>
        <v>淘特搜索</v>
      </c>
      <c r="S4249" t="s">
        <v>785</v>
      </c>
      <c r="T4249" t="s">
        <v>805</v>
      </c>
    </row>
    <row r="4250" spans="1:20" x14ac:dyDescent="0.3">
      <c r="A4250" t="s">
        <v>627</v>
      </c>
      <c r="B4250" s="16">
        <v>45596</v>
      </c>
      <c r="C4250" t="s">
        <v>2</v>
      </c>
      <c r="D4250" t="s">
        <v>55</v>
      </c>
      <c r="E4250" t="s">
        <v>66</v>
      </c>
      <c r="F4250">
        <v>1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f t="shared" si="216"/>
        <v>2024</v>
      </c>
      <c r="Q4250">
        <f t="shared" si="217"/>
        <v>10</v>
      </c>
      <c r="R4250" t="str">
        <f t="shared" si="218"/>
        <v>短直联动</v>
      </c>
      <c r="S4250" t="s">
        <v>785</v>
      </c>
      <c r="T4250" t="s">
        <v>805</v>
      </c>
    </row>
    <row r="4251" spans="1:20" x14ac:dyDescent="0.3">
      <c r="A4251" t="s">
        <v>627</v>
      </c>
      <c r="B4251" s="16">
        <v>45596</v>
      </c>
      <c r="C4251" t="s">
        <v>2</v>
      </c>
      <c r="D4251" t="s">
        <v>55</v>
      </c>
      <c r="E4251" t="s">
        <v>54</v>
      </c>
      <c r="F4251">
        <v>1654</v>
      </c>
      <c r="G4251">
        <v>1280</v>
      </c>
      <c r="H4251">
        <v>8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23</v>
      </c>
      <c r="O4251">
        <v>210</v>
      </c>
      <c r="P4251">
        <f t="shared" si="216"/>
        <v>2024</v>
      </c>
      <c r="Q4251">
        <f t="shared" si="217"/>
        <v>10</v>
      </c>
      <c r="R4251" t="str">
        <f t="shared" si="218"/>
        <v>超级直播</v>
      </c>
      <c r="S4251" t="s">
        <v>785</v>
      </c>
      <c r="T4251" t="s">
        <v>805</v>
      </c>
    </row>
    <row r="4252" spans="1:20" x14ac:dyDescent="0.3">
      <c r="A4252" t="s">
        <v>627</v>
      </c>
      <c r="B4252" s="16">
        <v>45596</v>
      </c>
      <c r="C4252" t="s">
        <v>2</v>
      </c>
      <c r="D4252" t="s">
        <v>55</v>
      </c>
      <c r="E4252" t="s">
        <v>56</v>
      </c>
      <c r="F4252">
        <v>203</v>
      </c>
      <c r="G4252">
        <v>164</v>
      </c>
      <c r="H4252">
        <v>2</v>
      </c>
      <c r="I4252">
        <v>2</v>
      </c>
      <c r="J4252">
        <v>0</v>
      </c>
      <c r="K4252">
        <v>0</v>
      </c>
      <c r="L4252">
        <v>0</v>
      </c>
      <c r="M4252">
        <v>0</v>
      </c>
      <c r="N4252">
        <v>2</v>
      </c>
      <c r="O4252">
        <v>143</v>
      </c>
      <c r="P4252">
        <f t="shared" si="216"/>
        <v>2024</v>
      </c>
      <c r="Q4252">
        <f t="shared" si="217"/>
        <v>10</v>
      </c>
      <c r="R4252" t="str">
        <f t="shared" si="218"/>
        <v>超级短视频</v>
      </c>
      <c r="S4252" t="s">
        <v>785</v>
      </c>
      <c r="T4252" t="s">
        <v>805</v>
      </c>
    </row>
    <row r="4253" spans="1:20" x14ac:dyDescent="0.3">
      <c r="A4253" t="s">
        <v>627</v>
      </c>
      <c r="B4253" s="16">
        <v>45596</v>
      </c>
      <c r="C4253" t="s">
        <v>2</v>
      </c>
      <c r="D4253" t="s">
        <v>52</v>
      </c>
      <c r="E4253" t="s">
        <v>183</v>
      </c>
      <c r="F4253">
        <v>803</v>
      </c>
      <c r="G4253">
        <v>613</v>
      </c>
      <c r="H4253">
        <v>39</v>
      </c>
      <c r="I4253">
        <v>11</v>
      </c>
      <c r="J4253">
        <v>50896</v>
      </c>
      <c r="K4253">
        <v>14</v>
      </c>
      <c r="L4253">
        <v>48101</v>
      </c>
      <c r="M4253">
        <v>13</v>
      </c>
      <c r="N4253">
        <v>803</v>
      </c>
      <c r="O4253">
        <v>478</v>
      </c>
      <c r="P4253">
        <f t="shared" si="216"/>
        <v>2024</v>
      </c>
      <c r="Q4253">
        <f t="shared" si="217"/>
        <v>10</v>
      </c>
      <c r="R4253" t="str">
        <f t="shared" si="218"/>
        <v>品销宝-品牌专区</v>
      </c>
      <c r="S4253" t="s">
        <v>785</v>
      </c>
      <c r="T4253" t="s">
        <v>805</v>
      </c>
    </row>
    <row r="4254" spans="1:20" x14ac:dyDescent="0.3">
      <c r="A4254" t="s">
        <v>627</v>
      </c>
      <c r="B4254" s="16">
        <v>45596</v>
      </c>
      <c r="C4254" t="s">
        <v>2</v>
      </c>
      <c r="D4254" t="s">
        <v>57</v>
      </c>
      <c r="E4254" t="s">
        <v>65</v>
      </c>
      <c r="F4254">
        <v>5926</v>
      </c>
      <c r="G4254">
        <v>5068</v>
      </c>
      <c r="H4254">
        <v>391</v>
      </c>
      <c r="I4254">
        <v>43</v>
      </c>
      <c r="J4254">
        <v>496476.5</v>
      </c>
      <c r="K4254">
        <v>128</v>
      </c>
      <c r="L4254">
        <v>397017</v>
      </c>
      <c r="M4254">
        <v>114</v>
      </c>
      <c r="N4254">
        <v>462</v>
      </c>
      <c r="O4254">
        <v>5865</v>
      </c>
      <c r="P4254">
        <f t="shared" si="216"/>
        <v>2024</v>
      </c>
      <c r="Q4254">
        <f t="shared" si="217"/>
        <v>10</v>
      </c>
      <c r="R4254" t="str">
        <f t="shared" si="218"/>
        <v>直通车</v>
      </c>
      <c r="S4254" t="s">
        <v>785</v>
      </c>
      <c r="T4254" t="s">
        <v>805</v>
      </c>
    </row>
    <row r="4255" spans="1:20" x14ac:dyDescent="0.3">
      <c r="A4255" t="s">
        <v>627</v>
      </c>
      <c r="B4255" s="16">
        <v>45596</v>
      </c>
      <c r="C4255" t="s">
        <v>2</v>
      </c>
      <c r="D4255" t="s">
        <v>57</v>
      </c>
      <c r="E4255" t="s">
        <v>63</v>
      </c>
      <c r="F4255">
        <v>4314</v>
      </c>
      <c r="G4255">
        <v>1981</v>
      </c>
      <c r="H4255">
        <v>269</v>
      </c>
      <c r="I4255">
        <v>62</v>
      </c>
      <c r="J4255">
        <v>556602.5</v>
      </c>
      <c r="K4255">
        <v>115</v>
      </c>
      <c r="L4255">
        <v>510869.5</v>
      </c>
      <c r="M4255">
        <v>109</v>
      </c>
      <c r="N4255">
        <v>378</v>
      </c>
      <c r="O4255">
        <v>4306</v>
      </c>
      <c r="P4255">
        <f t="shared" si="216"/>
        <v>2024</v>
      </c>
      <c r="Q4255">
        <f t="shared" si="217"/>
        <v>10</v>
      </c>
      <c r="R4255" t="str">
        <f t="shared" si="218"/>
        <v>万相台</v>
      </c>
      <c r="S4255" t="s">
        <v>785</v>
      </c>
      <c r="T4255" t="s">
        <v>805</v>
      </c>
    </row>
    <row r="4256" spans="1:20" x14ac:dyDescent="0.3">
      <c r="A4256" t="s">
        <v>627</v>
      </c>
      <c r="B4256" s="16">
        <v>45596</v>
      </c>
      <c r="C4256" t="s">
        <v>2</v>
      </c>
      <c r="D4256" t="s">
        <v>57</v>
      </c>
      <c r="E4256" t="s">
        <v>64</v>
      </c>
      <c r="F4256">
        <v>5547</v>
      </c>
      <c r="G4256">
        <v>2308</v>
      </c>
      <c r="H4256">
        <v>139</v>
      </c>
      <c r="I4256">
        <v>74</v>
      </c>
      <c r="J4256">
        <v>103499.29</v>
      </c>
      <c r="K4256">
        <v>25</v>
      </c>
      <c r="L4256">
        <v>80639.289999999994</v>
      </c>
      <c r="M4256">
        <v>23</v>
      </c>
      <c r="N4256">
        <v>437</v>
      </c>
      <c r="O4256">
        <v>5543</v>
      </c>
      <c r="P4256">
        <f t="shared" si="216"/>
        <v>2024</v>
      </c>
      <c r="Q4256">
        <f t="shared" si="217"/>
        <v>10</v>
      </c>
      <c r="R4256" t="str">
        <f t="shared" si="218"/>
        <v>引力魔方</v>
      </c>
      <c r="S4256" t="s">
        <v>785</v>
      </c>
      <c r="T4256" t="s">
        <v>805</v>
      </c>
    </row>
    <row r="4257" spans="1:20" x14ac:dyDescent="0.3">
      <c r="A4257" t="s">
        <v>627</v>
      </c>
      <c r="B4257" s="16">
        <v>45596</v>
      </c>
      <c r="C4257" t="s">
        <v>2</v>
      </c>
      <c r="D4257" t="s">
        <v>4</v>
      </c>
      <c r="E4257" t="s">
        <v>41</v>
      </c>
      <c r="F4257">
        <v>2</v>
      </c>
      <c r="G4257">
        <v>2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2</v>
      </c>
      <c r="P4257">
        <f t="shared" si="216"/>
        <v>2024</v>
      </c>
      <c r="Q4257">
        <f t="shared" si="217"/>
        <v>10</v>
      </c>
      <c r="R4257" t="str">
        <f t="shared" si="218"/>
        <v>流量宝</v>
      </c>
      <c r="S4257" t="s">
        <v>785</v>
      </c>
      <c r="T4257" t="s">
        <v>805</v>
      </c>
    </row>
    <row r="4258" spans="1:20" x14ac:dyDescent="0.3">
      <c r="A4258" t="s">
        <v>627</v>
      </c>
      <c r="B4258" s="16">
        <v>45596</v>
      </c>
      <c r="C4258" t="s">
        <v>2</v>
      </c>
      <c r="D4258" t="s">
        <v>4</v>
      </c>
      <c r="E4258" t="s">
        <v>43</v>
      </c>
      <c r="F4258">
        <v>339</v>
      </c>
      <c r="G4258">
        <v>127</v>
      </c>
      <c r="H4258">
        <v>17</v>
      </c>
      <c r="I4258">
        <v>1</v>
      </c>
      <c r="J4258">
        <v>37901</v>
      </c>
      <c r="K4258">
        <v>8</v>
      </c>
      <c r="L4258">
        <v>33433</v>
      </c>
      <c r="M4258">
        <v>6</v>
      </c>
      <c r="N4258">
        <v>21</v>
      </c>
      <c r="O4258">
        <v>326</v>
      </c>
      <c r="P4258">
        <f t="shared" si="216"/>
        <v>2024</v>
      </c>
      <c r="Q4258">
        <f t="shared" si="217"/>
        <v>10</v>
      </c>
      <c r="R4258" t="str">
        <f t="shared" si="218"/>
        <v>淘宝客</v>
      </c>
      <c r="S4258" t="s">
        <v>785</v>
      </c>
      <c r="T4258" t="s">
        <v>805</v>
      </c>
    </row>
    <row r="4259" spans="1:20" x14ac:dyDescent="0.3">
      <c r="A4259" t="s">
        <v>627</v>
      </c>
      <c r="B4259" s="16">
        <v>45595</v>
      </c>
      <c r="C4259" t="s">
        <v>3</v>
      </c>
      <c r="D4259" t="s">
        <v>114</v>
      </c>
      <c r="E4259" t="s">
        <v>159</v>
      </c>
      <c r="F4259">
        <v>180</v>
      </c>
      <c r="G4259">
        <v>87</v>
      </c>
      <c r="H4259">
        <v>5</v>
      </c>
      <c r="I4259">
        <v>1</v>
      </c>
      <c r="J4259">
        <v>3900</v>
      </c>
      <c r="K4259">
        <v>1</v>
      </c>
      <c r="L4259">
        <v>0</v>
      </c>
      <c r="M4259">
        <v>0</v>
      </c>
      <c r="N4259">
        <v>18</v>
      </c>
      <c r="O4259">
        <v>169</v>
      </c>
      <c r="P4259">
        <f t="shared" si="216"/>
        <v>2024</v>
      </c>
      <c r="Q4259">
        <f t="shared" si="217"/>
        <v>10</v>
      </c>
      <c r="R4259" t="str">
        <f t="shared" si="218"/>
        <v>主会场</v>
      </c>
      <c r="S4259" t="s">
        <v>785</v>
      </c>
      <c r="T4259" t="s">
        <v>805</v>
      </c>
    </row>
    <row r="4260" spans="1:20" x14ac:dyDescent="0.3">
      <c r="A4260" t="s">
        <v>627</v>
      </c>
      <c r="B4260" s="16">
        <v>45595</v>
      </c>
      <c r="C4260" t="s">
        <v>3</v>
      </c>
      <c r="D4260" t="s">
        <v>114</v>
      </c>
      <c r="E4260" t="s">
        <v>160</v>
      </c>
      <c r="F4260">
        <v>1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1</v>
      </c>
      <c r="P4260">
        <f t="shared" si="216"/>
        <v>2024</v>
      </c>
      <c r="Q4260">
        <f t="shared" si="217"/>
        <v>10</v>
      </c>
      <c r="R4260" t="str">
        <f t="shared" si="218"/>
        <v>榜单会场</v>
      </c>
      <c r="S4260" t="s">
        <v>785</v>
      </c>
      <c r="T4260" t="s">
        <v>805</v>
      </c>
    </row>
    <row r="4261" spans="1:20" x14ac:dyDescent="0.3">
      <c r="A4261" t="s">
        <v>627</v>
      </c>
      <c r="B4261" s="16">
        <v>45595</v>
      </c>
      <c r="C4261" t="s">
        <v>3</v>
      </c>
      <c r="D4261" t="s">
        <v>117</v>
      </c>
      <c r="E4261" t="s">
        <v>161</v>
      </c>
      <c r="F4261">
        <v>2</v>
      </c>
      <c r="G4261">
        <v>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1</v>
      </c>
      <c r="O4261">
        <v>2</v>
      </c>
      <c r="P4261">
        <f t="shared" si="216"/>
        <v>2024</v>
      </c>
      <c r="Q4261">
        <f t="shared" si="217"/>
        <v>10</v>
      </c>
      <c r="R4261" t="str">
        <f t="shared" si="218"/>
        <v>其他入口榜单</v>
      </c>
      <c r="S4261" t="s">
        <v>785</v>
      </c>
      <c r="T4261" t="s">
        <v>805</v>
      </c>
    </row>
    <row r="4262" spans="1:20" x14ac:dyDescent="0.3">
      <c r="A4262" t="s">
        <v>627</v>
      </c>
      <c r="B4262" s="16">
        <v>45595</v>
      </c>
      <c r="C4262" t="s">
        <v>3</v>
      </c>
      <c r="D4262" t="s">
        <v>123</v>
      </c>
      <c r="E4262" t="s">
        <v>169</v>
      </c>
      <c r="F4262">
        <v>364</v>
      </c>
      <c r="G4262">
        <v>138</v>
      </c>
      <c r="H4262">
        <v>24</v>
      </c>
      <c r="I4262">
        <v>9</v>
      </c>
      <c r="J4262">
        <v>17747</v>
      </c>
      <c r="K4262">
        <v>3</v>
      </c>
      <c r="L4262">
        <v>17747</v>
      </c>
      <c r="M4262">
        <v>3</v>
      </c>
      <c r="N4262">
        <v>66</v>
      </c>
      <c r="O4262">
        <v>355</v>
      </c>
      <c r="P4262">
        <f t="shared" si="216"/>
        <v>2024</v>
      </c>
      <c r="Q4262">
        <f t="shared" si="217"/>
        <v>10</v>
      </c>
      <c r="R4262" t="str">
        <f t="shared" si="218"/>
        <v>商品详情页头图推荐</v>
      </c>
      <c r="S4262" t="s">
        <v>785</v>
      </c>
      <c r="T4262" t="s">
        <v>805</v>
      </c>
    </row>
    <row r="4263" spans="1:20" x14ac:dyDescent="0.3">
      <c r="A4263" t="s">
        <v>627</v>
      </c>
      <c r="B4263" s="16">
        <v>45595</v>
      </c>
      <c r="C4263" t="s">
        <v>3</v>
      </c>
      <c r="D4263" t="s">
        <v>123</v>
      </c>
      <c r="E4263" t="s">
        <v>170</v>
      </c>
      <c r="F4263">
        <v>77</v>
      </c>
      <c r="G4263">
        <v>38</v>
      </c>
      <c r="H4263">
        <v>8</v>
      </c>
      <c r="I4263">
        <v>2</v>
      </c>
      <c r="J4263">
        <v>3980</v>
      </c>
      <c r="K4263">
        <v>1</v>
      </c>
      <c r="L4263">
        <v>0</v>
      </c>
      <c r="M4263">
        <v>0</v>
      </c>
      <c r="N4263">
        <v>63</v>
      </c>
      <c r="O4263">
        <v>41</v>
      </c>
      <c r="P4263">
        <f t="shared" si="216"/>
        <v>2024</v>
      </c>
      <c r="Q4263">
        <f t="shared" si="217"/>
        <v>10</v>
      </c>
      <c r="R4263" t="str">
        <f t="shared" si="218"/>
        <v>店铺超链</v>
      </c>
      <c r="S4263" t="s">
        <v>785</v>
      </c>
      <c r="T4263" t="s">
        <v>805</v>
      </c>
    </row>
    <row r="4264" spans="1:20" x14ac:dyDescent="0.3">
      <c r="A4264" t="s">
        <v>627</v>
      </c>
      <c r="B4264" s="16">
        <v>45595</v>
      </c>
      <c r="C4264" t="s">
        <v>2</v>
      </c>
      <c r="D4264" t="s">
        <v>52</v>
      </c>
      <c r="E4264" t="s">
        <v>59</v>
      </c>
      <c r="F4264">
        <v>1374</v>
      </c>
      <c r="G4264">
        <v>1081</v>
      </c>
      <c r="H4264">
        <v>6</v>
      </c>
      <c r="I4264">
        <v>2</v>
      </c>
      <c r="J4264">
        <v>0</v>
      </c>
      <c r="K4264">
        <v>0</v>
      </c>
      <c r="L4264">
        <v>0</v>
      </c>
      <c r="M4264">
        <v>0</v>
      </c>
      <c r="N4264">
        <v>1145</v>
      </c>
      <c r="O4264">
        <v>245</v>
      </c>
      <c r="P4264">
        <f t="shared" si="216"/>
        <v>2024</v>
      </c>
      <c r="Q4264">
        <f t="shared" si="217"/>
        <v>10</v>
      </c>
      <c r="R4264" t="s">
        <v>171</v>
      </c>
      <c r="S4264" t="s">
        <v>785</v>
      </c>
      <c r="T4264" t="s">
        <v>805</v>
      </c>
    </row>
    <row r="4265" spans="1:20" x14ac:dyDescent="0.3">
      <c r="A4265" t="s">
        <v>627</v>
      </c>
      <c r="B4265" s="16">
        <v>45595</v>
      </c>
      <c r="C4265" t="s">
        <v>3</v>
      </c>
      <c r="D4265" t="s">
        <v>127</v>
      </c>
      <c r="E4265" t="s">
        <v>172</v>
      </c>
      <c r="F4265">
        <v>39</v>
      </c>
      <c r="G4265">
        <v>22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12</v>
      </c>
      <c r="O4265">
        <v>22</v>
      </c>
      <c r="P4265">
        <f t="shared" ref="P4265:P4328" si="219">YEAR(B4265)</f>
        <v>2024</v>
      </c>
      <c r="Q4265">
        <f t="shared" ref="Q4265:Q4328" si="220">MONTH(B4265)</f>
        <v>10</v>
      </c>
      <c r="R4265" t="str">
        <f t="shared" ref="R4265:R4328" si="221">E4265</f>
        <v>购中推荐</v>
      </c>
      <c r="S4265" t="s">
        <v>785</v>
      </c>
      <c r="T4265" t="s">
        <v>805</v>
      </c>
    </row>
    <row r="4266" spans="1:20" x14ac:dyDescent="0.3">
      <c r="A4266" t="s">
        <v>627</v>
      </c>
      <c r="B4266" s="16">
        <v>45595</v>
      </c>
      <c r="C4266" t="s">
        <v>3</v>
      </c>
      <c r="D4266" t="s">
        <v>127</v>
      </c>
      <c r="E4266" t="s">
        <v>173</v>
      </c>
      <c r="F4266">
        <v>186</v>
      </c>
      <c r="G4266">
        <v>130</v>
      </c>
      <c r="H4266">
        <v>2</v>
      </c>
      <c r="I4266">
        <v>1</v>
      </c>
      <c r="J4266">
        <v>0</v>
      </c>
      <c r="K4266">
        <v>0</v>
      </c>
      <c r="L4266">
        <v>0</v>
      </c>
      <c r="M4266">
        <v>0</v>
      </c>
      <c r="N4266">
        <v>68</v>
      </c>
      <c r="O4266">
        <v>61</v>
      </c>
      <c r="P4266">
        <f t="shared" si="219"/>
        <v>2024</v>
      </c>
      <c r="Q4266">
        <f t="shared" si="220"/>
        <v>10</v>
      </c>
      <c r="R4266" t="str">
        <f t="shared" si="221"/>
        <v>购后推荐</v>
      </c>
      <c r="S4266" t="s">
        <v>785</v>
      </c>
      <c r="T4266" t="s">
        <v>805</v>
      </c>
    </row>
    <row r="4267" spans="1:20" x14ac:dyDescent="0.3">
      <c r="A4267" t="s">
        <v>627</v>
      </c>
      <c r="B4267" s="16">
        <v>45595</v>
      </c>
      <c r="C4267" t="s">
        <v>3</v>
      </c>
      <c r="D4267" t="s">
        <v>127</v>
      </c>
      <c r="E4267" t="s">
        <v>174</v>
      </c>
      <c r="F4267">
        <v>5071</v>
      </c>
      <c r="G4267">
        <v>2636</v>
      </c>
      <c r="H4267">
        <v>122</v>
      </c>
      <c r="I4267">
        <v>45</v>
      </c>
      <c r="J4267">
        <v>45463.5</v>
      </c>
      <c r="K4267">
        <v>12</v>
      </c>
      <c r="L4267">
        <v>29649</v>
      </c>
      <c r="M4267">
        <v>9</v>
      </c>
      <c r="N4267">
        <v>334</v>
      </c>
      <c r="O4267">
        <v>5071</v>
      </c>
      <c r="P4267">
        <f t="shared" si="219"/>
        <v>2024</v>
      </c>
      <c r="Q4267">
        <f t="shared" si="220"/>
        <v>10</v>
      </c>
      <c r="R4267" t="str">
        <f t="shared" si="221"/>
        <v>首页推荐-微详情</v>
      </c>
      <c r="S4267" t="s">
        <v>785</v>
      </c>
      <c r="T4267" t="s">
        <v>805</v>
      </c>
    </row>
    <row r="4268" spans="1:20" x14ac:dyDescent="0.3">
      <c r="A4268" t="s">
        <v>627</v>
      </c>
      <c r="B4268" s="16">
        <v>45595</v>
      </c>
      <c r="C4268" t="s">
        <v>3</v>
      </c>
      <c r="D4268" t="s">
        <v>127</v>
      </c>
      <c r="E4268" t="s">
        <v>175</v>
      </c>
      <c r="F4268">
        <v>2973</v>
      </c>
      <c r="G4268">
        <v>2700</v>
      </c>
      <c r="H4268">
        <v>2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5</v>
      </c>
      <c r="O4268">
        <v>50</v>
      </c>
      <c r="P4268">
        <f t="shared" si="219"/>
        <v>2024</v>
      </c>
      <c r="Q4268">
        <f t="shared" si="220"/>
        <v>10</v>
      </c>
      <c r="R4268" t="str">
        <f t="shared" si="221"/>
        <v>首页推荐-直播</v>
      </c>
      <c r="S4268" t="s">
        <v>785</v>
      </c>
      <c r="T4268" t="s">
        <v>805</v>
      </c>
    </row>
    <row r="4269" spans="1:20" x14ac:dyDescent="0.3">
      <c r="A4269" t="s">
        <v>627</v>
      </c>
      <c r="B4269" s="16">
        <v>45595</v>
      </c>
      <c r="C4269" t="s">
        <v>3</v>
      </c>
      <c r="D4269" t="s">
        <v>127</v>
      </c>
      <c r="E4269" t="s">
        <v>176</v>
      </c>
      <c r="F4269">
        <v>885</v>
      </c>
      <c r="G4269">
        <v>391</v>
      </c>
      <c r="H4269">
        <v>10</v>
      </c>
      <c r="I4269">
        <v>5</v>
      </c>
      <c r="J4269">
        <v>9705</v>
      </c>
      <c r="K4269">
        <v>3</v>
      </c>
      <c r="L4269">
        <v>9705</v>
      </c>
      <c r="M4269">
        <v>3</v>
      </c>
      <c r="N4269">
        <v>24</v>
      </c>
      <c r="O4269">
        <v>226</v>
      </c>
      <c r="P4269">
        <f t="shared" si="219"/>
        <v>2024</v>
      </c>
      <c r="Q4269">
        <f t="shared" si="220"/>
        <v>10</v>
      </c>
      <c r="R4269" t="str">
        <f t="shared" si="221"/>
        <v>首页推荐-短视频</v>
      </c>
      <c r="S4269" t="s">
        <v>785</v>
      </c>
      <c r="T4269" t="s">
        <v>805</v>
      </c>
    </row>
    <row r="4270" spans="1:20" x14ac:dyDescent="0.3">
      <c r="A4270" t="s">
        <v>627</v>
      </c>
      <c r="B4270" s="16">
        <v>45595</v>
      </c>
      <c r="C4270" t="s">
        <v>3</v>
      </c>
      <c r="D4270" t="s">
        <v>128</v>
      </c>
      <c r="E4270" t="s">
        <v>177</v>
      </c>
      <c r="F4270">
        <v>1482</v>
      </c>
      <c r="G4270">
        <v>1107</v>
      </c>
      <c r="H4270">
        <v>59</v>
      </c>
      <c r="I4270">
        <v>15</v>
      </c>
      <c r="J4270">
        <v>63467.5</v>
      </c>
      <c r="K4270">
        <v>7</v>
      </c>
      <c r="L4270">
        <v>42345</v>
      </c>
      <c r="M4270">
        <v>4</v>
      </c>
      <c r="N4270">
        <v>307</v>
      </c>
      <c r="O4270">
        <v>1363</v>
      </c>
      <c r="P4270">
        <f t="shared" si="219"/>
        <v>2024</v>
      </c>
      <c r="Q4270">
        <f t="shared" si="220"/>
        <v>10</v>
      </c>
      <c r="R4270" t="str">
        <f t="shared" si="221"/>
        <v>手淘搜索-商品及其他</v>
      </c>
      <c r="S4270" t="s">
        <v>785</v>
      </c>
      <c r="T4270" t="s">
        <v>805</v>
      </c>
    </row>
    <row r="4271" spans="1:20" x14ac:dyDescent="0.3">
      <c r="A4271" t="s">
        <v>627</v>
      </c>
      <c r="B4271" s="16">
        <v>45595</v>
      </c>
      <c r="C4271" t="s">
        <v>3</v>
      </c>
      <c r="D4271" t="s">
        <v>128</v>
      </c>
      <c r="E4271" t="s">
        <v>178</v>
      </c>
      <c r="F4271">
        <v>113</v>
      </c>
      <c r="G4271">
        <v>101</v>
      </c>
      <c r="H4271">
        <v>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4</v>
      </c>
      <c r="O4271">
        <v>18</v>
      </c>
      <c r="P4271">
        <f t="shared" si="219"/>
        <v>2024</v>
      </c>
      <c r="Q4271">
        <f t="shared" si="220"/>
        <v>10</v>
      </c>
      <c r="R4271" t="str">
        <f t="shared" si="221"/>
        <v>手淘搜索-直播</v>
      </c>
      <c r="S4271" t="s">
        <v>785</v>
      </c>
      <c r="T4271" t="s">
        <v>805</v>
      </c>
    </row>
    <row r="4272" spans="1:20" x14ac:dyDescent="0.3">
      <c r="A4272" t="s">
        <v>627</v>
      </c>
      <c r="B4272" s="16">
        <v>45595</v>
      </c>
      <c r="C4272" t="s">
        <v>3</v>
      </c>
      <c r="D4272" t="s">
        <v>128</v>
      </c>
      <c r="E4272" t="s">
        <v>179</v>
      </c>
      <c r="F4272">
        <v>693</v>
      </c>
      <c r="G4272">
        <v>652</v>
      </c>
      <c r="H4272">
        <v>2</v>
      </c>
      <c r="I4272">
        <v>3</v>
      </c>
      <c r="J4272">
        <v>0</v>
      </c>
      <c r="K4272">
        <v>0</v>
      </c>
      <c r="L4272">
        <v>0</v>
      </c>
      <c r="M4272">
        <v>0</v>
      </c>
      <c r="N4272">
        <v>5</v>
      </c>
      <c r="O4272">
        <v>674</v>
      </c>
      <c r="P4272">
        <f t="shared" si="219"/>
        <v>2024</v>
      </c>
      <c r="Q4272">
        <f t="shared" si="220"/>
        <v>10</v>
      </c>
      <c r="R4272" t="str">
        <f t="shared" si="221"/>
        <v>手淘搜索-短视频</v>
      </c>
      <c r="S4272" t="s">
        <v>785</v>
      </c>
      <c r="T4272" t="s">
        <v>805</v>
      </c>
    </row>
    <row r="4273" spans="1:20" x14ac:dyDescent="0.3">
      <c r="A4273" t="s">
        <v>627</v>
      </c>
      <c r="B4273" s="16">
        <v>45595</v>
      </c>
      <c r="C4273" t="s">
        <v>3</v>
      </c>
      <c r="D4273" t="s">
        <v>143</v>
      </c>
      <c r="E4273" t="s">
        <v>180</v>
      </c>
      <c r="F4273">
        <v>1</v>
      </c>
      <c r="G4273">
        <v>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1</v>
      </c>
      <c r="P4273">
        <f t="shared" si="219"/>
        <v>2024</v>
      </c>
      <c r="Q4273">
        <f t="shared" si="220"/>
        <v>10</v>
      </c>
      <c r="R4273" t="str">
        <f t="shared" si="221"/>
        <v>淘特其他渠道</v>
      </c>
      <c r="S4273" t="s">
        <v>785</v>
      </c>
      <c r="T4273" t="s">
        <v>805</v>
      </c>
    </row>
    <row r="4274" spans="1:20" x14ac:dyDescent="0.3">
      <c r="A4274" t="s">
        <v>627</v>
      </c>
      <c r="B4274" s="16">
        <v>45595</v>
      </c>
      <c r="C4274" t="s">
        <v>3</v>
      </c>
      <c r="D4274" t="s">
        <v>143</v>
      </c>
      <c r="E4274" t="s">
        <v>181</v>
      </c>
      <c r="F4274">
        <v>9</v>
      </c>
      <c r="G4274">
        <v>8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9</v>
      </c>
      <c r="P4274">
        <f t="shared" si="219"/>
        <v>2024</v>
      </c>
      <c r="Q4274">
        <f t="shared" si="220"/>
        <v>10</v>
      </c>
      <c r="R4274" t="str">
        <f t="shared" si="221"/>
        <v>淘特搜索</v>
      </c>
      <c r="S4274" t="s">
        <v>785</v>
      </c>
      <c r="T4274" t="s">
        <v>805</v>
      </c>
    </row>
    <row r="4275" spans="1:20" x14ac:dyDescent="0.3">
      <c r="A4275" t="s">
        <v>627</v>
      </c>
      <c r="B4275" s="16">
        <v>45595</v>
      </c>
      <c r="C4275" t="s">
        <v>3</v>
      </c>
      <c r="D4275" t="s">
        <v>143</v>
      </c>
      <c r="E4275" t="s">
        <v>224</v>
      </c>
      <c r="F4275">
        <v>1</v>
      </c>
      <c r="G4275">
        <v>1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1</v>
      </c>
      <c r="P4275">
        <f t="shared" si="219"/>
        <v>2024</v>
      </c>
      <c r="Q4275">
        <f t="shared" si="220"/>
        <v>10</v>
      </c>
      <c r="R4275" t="str">
        <f t="shared" si="221"/>
        <v>淘特自主访问</v>
      </c>
      <c r="S4275" t="s">
        <v>785</v>
      </c>
      <c r="T4275" t="s">
        <v>805</v>
      </c>
    </row>
    <row r="4276" spans="1:20" x14ac:dyDescent="0.3">
      <c r="A4276" t="s">
        <v>627</v>
      </c>
      <c r="B4276" s="16">
        <v>45595</v>
      </c>
      <c r="C4276" t="s">
        <v>2</v>
      </c>
      <c r="D4276" t="s">
        <v>55</v>
      </c>
      <c r="E4276" t="s">
        <v>66</v>
      </c>
      <c r="F4276">
        <v>1</v>
      </c>
      <c r="G4276">
        <v>1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f t="shared" si="219"/>
        <v>2024</v>
      </c>
      <c r="Q4276">
        <f t="shared" si="220"/>
        <v>10</v>
      </c>
      <c r="R4276" t="str">
        <f t="shared" si="221"/>
        <v>短直联动</v>
      </c>
      <c r="S4276" t="s">
        <v>785</v>
      </c>
      <c r="T4276" t="s">
        <v>805</v>
      </c>
    </row>
    <row r="4277" spans="1:20" x14ac:dyDescent="0.3">
      <c r="A4277" t="s">
        <v>627</v>
      </c>
      <c r="B4277" s="16">
        <v>45595</v>
      </c>
      <c r="C4277" t="s">
        <v>2</v>
      </c>
      <c r="D4277" t="s">
        <v>55</v>
      </c>
      <c r="E4277" t="s">
        <v>54</v>
      </c>
      <c r="F4277">
        <v>1434</v>
      </c>
      <c r="G4277">
        <v>1234</v>
      </c>
      <c r="H4277">
        <v>6</v>
      </c>
      <c r="I4277">
        <v>1</v>
      </c>
      <c r="J4277">
        <v>0</v>
      </c>
      <c r="K4277">
        <v>0</v>
      </c>
      <c r="L4277">
        <v>0</v>
      </c>
      <c r="M4277">
        <v>0</v>
      </c>
      <c r="N4277">
        <v>19</v>
      </c>
      <c r="O4277">
        <v>74</v>
      </c>
      <c r="P4277">
        <f t="shared" si="219"/>
        <v>2024</v>
      </c>
      <c r="Q4277">
        <f t="shared" si="220"/>
        <v>10</v>
      </c>
      <c r="R4277" t="str">
        <f t="shared" si="221"/>
        <v>超级直播</v>
      </c>
      <c r="S4277" t="s">
        <v>785</v>
      </c>
      <c r="T4277" t="s">
        <v>805</v>
      </c>
    </row>
    <row r="4278" spans="1:20" x14ac:dyDescent="0.3">
      <c r="A4278" t="s">
        <v>627</v>
      </c>
      <c r="B4278" s="16">
        <v>45595</v>
      </c>
      <c r="C4278" t="s">
        <v>2</v>
      </c>
      <c r="D4278" t="s">
        <v>55</v>
      </c>
      <c r="E4278" t="s">
        <v>56</v>
      </c>
      <c r="F4278">
        <v>263</v>
      </c>
      <c r="G4278">
        <v>172</v>
      </c>
      <c r="H4278">
        <v>4</v>
      </c>
      <c r="I4278">
        <v>5</v>
      </c>
      <c r="J4278">
        <v>0</v>
      </c>
      <c r="K4278">
        <v>0</v>
      </c>
      <c r="L4278">
        <v>0</v>
      </c>
      <c r="M4278">
        <v>0</v>
      </c>
      <c r="N4278">
        <v>4</v>
      </c>
      <c r="O4278">
        <v>182</v>
      </c>
      <c r="P4278">
        <f t="shared" si="219"/>
        <v>2024</v>
      </c>
      <c r="Q4278">
        <f t="shared" si="220"/>
        <v>10</v>
      </c>
      <c r="R4278" t="str">
        <f t="shared" si="221"/>
        <v>超级短视频</v>
      </c>
      <c r="S4278" t="s">
        <v>785</v>
      </c>
      <c r="T4278" t="s">
        <v>805</v>
      </c>
    </row>
    <row r="4279" spans="1:20" x14ac:dyDescent="0.3">
      <c r="A4279" t="s">
        <v>627</v>
      </c>
      <c r="B4279" s="16">
        <v>45595</v>
      </c>
      <c r="C4279" t="s">
        <v>2</v>
      </c>
      <c r="D4279" t="s">
        <v>52</v>
      </c>
      <c r="E4279" t="s">
        <v>59</v>
      </c>
      <c r="F4279">
        <v>2</v>
      </c>
      <c r="G4279">
        <v>2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2</v>
      </c>
      <c r="O4279">
        <v>0</v>
      </c>
      <c r="P4279">
        <f t="shared" si="219"/>
        <v>2024</v>
      </c>
      <c r="Q4279">
        <f t="shared" si="220"/>
        <v>10</v>
      </c>
      <c r="R4279" t="str">
        <f t="shared" si="221"/>
        <v>品牌特秀</v>
      </c>
      <c r="S4279" t="s">
        <v>785</v>
      </c>
      <c r="T4279" t="s">
        <v>805</v>
      </c>
    </row>
    <row r="4280" spans="1:20" x14ac:dyDescent="0.3">
      <c r="A4280" t="s">
        <v>627</v>
      </c>
      <c r="B4280" s="16">
        <v>45595</v>
      </c>
      <c r="C4280" t="s">
        <v>2</v>
      </c>
      <c r="D4280" t="s">
        <v>52</v>
      </c>
      <c r="E4280" t="s">
        <v>183</v>
      </c>
      <c r="F4280">
        <v>663</v>
      </c>
      <c r="G4280">
        <v>523</v>
      </c>
      <c r="H4280">
        <v>41</v>
      </c>
      <c r="I4280">
        <v>8</v>
      </c>
      <c r="J4280">
        <v>25695</v>
      </c>
      <c r="K4280">
        <v>7</v>
      </c>
      <c r="L4280">
        <v>20330</v>
      </c>
      <c r="M4280">
        <v>6</v>
      </c>
      <c r="N4280">
        <v>663</v>
      </c>
      <c r="O4280">
        <v>402</v>
      </c>
      <c r="P4280">
        <f t="shared" si="219"/>
        <v>2024</v>
      </c>
      <c r="Q4280">
        <f t="shared" si="220"/>
        <v>10</v>
      </c>
      <c r="R4280" t="str">
        <f t="shared" si="221"/>
        <v>品销宝-品牌专区</v>
      </c>
      <c r="S4280" t="s">
        <v>785</v>
      </c>
      <c r="T4280" t="s">
        <v>805</v>
      </c>
    </row>
    <row r="4281" spans="1:20" x14ac:dyDescent="0.3">
      <c r="A4281" t="s">
        <v>627</v>
      </c>
      <c r="B4281" s="16">
        <v>45595</v>
      </c>
      <c r="C4281" t="s">
        <v>2</v>
      </c>
      <c r="D4281" t="s">
        <v>57</v>
      </c>
      <c r="E4281" t="s">
        <v>65</v>
      </c>
      <c r="F4281">
        <v>5483</v>
      </c>
      <c r="G4281">
        <v>4578</v>
      </c>
      <c r="H4281">
        <v>96</v>
      </c>
      <c r="I4281">
        <v>39</v>
      </c>
      <c r="J4281">
        <v>40707.5</v>
      </c>
      <c r="K4281">
        <v>6</v>
      </c>
      <c r="L4281">
        <v>11500</v>
      </c>
      <c r="M4281">
        <v>2</v>
      </c>
      <c r="N4281">
        <v>369</v>
      </c>
      <c r="O4281">
        <v>5444</v>
      </c>
      <c r="P4281">
        <f t="shared" si="219"/>
        <v>2024</v>
      </c>
      <c r="Q4281">
        <f t="shared" si="220"/>
        <v>10</v>
      </c>
      <c r="R4281" t="str">
        <f t="shared" si="221"/>
        <v>直通车</v>
      </c>
      <c r="S4281" t="s">
        <v>785</v>
      </c>
      <c r="T4281" t="s">
        <v>805</v>
      </c>
    </row>
    <row r="4282" spans="1:20" x14ac:dyDescent="0.3">
      <c r="A4282" t="s">
        <v>627</v>
      </c>
      <c r="B4282" s="16">
        <v>45595</v>
      </c>
      <c r="C4282" t="s">
        <v>2</v>
      </c>
      <c r="D4282" t="s">
        <v>57</v>
      </c>
      <c r="E4282" t="s">
        <v>63</v>
      </c>
      <c r="F4282">
        <v>4107</v>
      </c>
      <c r="G4282">
        <v>1973</v>
      </c>
      <c r="H4282">
        <v>170</v>
      </c>
      <c r="I4282">
        <v>69</v>
      </c>
      <c r="J4282">
        <v>133972.5</v>
      </c>
      <c r="K4282">
        <v>24</v>
      </c>
      <c r="L4282">
        <v>77337.5</v>
      </c>
      <c r="M4282">
        <v>15</v>
      </c>
      <c r="N4282">
        <v>258</v>
      </c>
      <c r="O4282">
        <v>4098</v>
      </c>
      <c r="P4282">
        <f t="shared" si="219"/>
        <v>2024</v>
      </c>
      <c r="Q4282">
        <f t="shared" si="220"/>
        <v>10</v>
      </c>
      <c r="R4282" t="str">
        <f t="shared" si="221"/>
        <v>万相台</v>
      </c>
      <c r="S4282" t="s">
        <v>785</v>
      </c>
      <c r="T4282" t="s">
        <v>805</v>
      </c>
    </row>
    <row r="4283" spans="1:20" x14ac:dyDescent="0.3">
      <c r="A4283" t="s">
        <v>627</v>
      </c>
      <c r="B4283" s="16">
        <v>45595</v>
      </c>
      <c r="C4283" t="s">
        <v>2</v>
      </c>
      <c r="D4283" t="s">
        <v>57</v>
      </c>
      <c r="E4283" t="s">
        <v>64</v>
      </c>
      <c r="F4283">
        <v>6045</v>
      </c>
      <c r="G4283">
        <v>2694</v>
      </c>
      <c r="H4283">
        <v>113</v>
      </c>
      <c r="I4283">
        <v>53</v>
      </c>
      <c r="J4283">
        <v>50730</v>
      </c>
      <c r="K4283">
        <v>10</v>
      </c>
      <c r="L4283">
        <v>24757.5</v>
      </c>
      <c r="M4283">
        <v>6</v>
      </c>
      <c r="N4283">
        <v>457</v>
      </c>
      <c r="O4283">
        <v>6043</v>
      </c>
      <c r="P4283">
        <f t="shared" si="219"/>
        <v>2024</v>
      </c>
      <c r="Q4283">
        <f t="shared" si="220"/>
        <v>10</v>
      </c>
      <c r="R4283" t="str">
        <f t="shared" si="221"/>
        <v>引力魔方</v>
      </c>
      <c r="S4283" t="s">
        <v>785</v>
      </c>
      <c r="T4283" t="s">
        <v>805</v>
      </c>
    </row>
    <row r="4284" spans="1:20" x14ac:dyDescent="0.3">
      <c r="A4284" t="s">
        <v>627</v>
      </c>
      <c r="B4284" s="16">
        <v>45595</v>
      </c>
      <c r="C4284" t="s">
        <v>2</v>
      </c>
      <c r="D4284" t="s">
        <v>4</v>
      </c>
      <c r="E4284" t="s">
        <v>42</v>
      </c>
      <c r="F4284">
        <v>1</v>
      </c>
      <c r="G4284">
        <v>1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f t="shared" si="219"/>
        <v>2024</v>
      </c>
      <c r="Q4284">
        <f t="shared" si="220"/>
        <v>10</v>
      </c>
      <c r="R4284" t="str">
        <f t="shared" si="221"/>
        <v>UD效果投放</v>
      </c>
      <c r="S4284" t="s">
        <v>785</v>
      </c>
      <c r="T4284" t="s">
        <v>805</v>
      </c>
    </row>
    <row r="4285" spans="1:20" x14ac:dyDescent="0.3">
      <c r="A4285" t="s">
        <v>627</v>
      </c>
      <c r="B4285" s="16">
        <v>45595</v>
      </c>
      <c r="C4285" t="s">
        <v>2</v>
      </c>
      <c r="D4285" t="s">
        <v>4</v>
      </c>
      <c r="E4285" t="s">
        <v>41</v>
      </c>
      <c r="F4285">
        <v>2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2</v>
      </c>
      <c r="P4285">
        <f t="shared" si="219"/>
        <v>2024</v>
      </c>
      <c r="Q4285">
        <f t="shared" si="220"/>
        <v>10</v>
      </c>
      <c r="R4285" t="str">
        <f t="shared" si="221"/>
        <v>流量宝</v>
      </c>
      <c r="S4285" t="s">
        <v>785</v>
      </c>
      <c r="T4285" t="s">
        <v>805</v>
      </c>
    </row>
    <row r="4286" spans="1:20" x14ac:dyDescent="0.3">
      <c r="A4286" t="s">
        <v>627</v>
      </c>
      <c r="B4286" s="16">
        <v>45595</v>
      </c>
      <c r="C4286" t="s">
        <v>2</v>
      </c>
      <c r="D4286" t="s">
        <v>4</v>
      </c>
      <c r="E4286" t="s">
        <v>43</v>
      </c>
      <c r="F4286">
        <v>269</v>
      </c>
      <c r="G4286">
        <v>82</v>
      </c>
      <c r="H4286">
        <v>9</v>
      </c>
      <c r="I4286">
        <v>0</v>
      </c>
      <c r="J4286">
        <v>5530</v>
      </c>
      <c r="K4286">
        <v>1</v>
      </c>
      <c r="L4286">
        <v>5530</v>
      </c>
      <c r="M4286">
        <v>1</v>
      </c>
      <c r="N4286">
        <v>17</v>
      </c>
      <c r="O4286">
        <v>265</v>
      </c>
      <c r="P4286">
        <f t="shared" si="219"/>
        <v>2024</v>
      </c>
      <c r="Q4286">
        <f t="shared" si="220"/>
        <v>10</v>
      </c>
      <c r="R4286" t="str">
        <f t="shared" si="221"/>
        <v>淘宝客</v>
      </c>
      <c r="S4286" t="s">
        <v>785</v>
      </c>
      <c r="T4286" t="s">
        <v>805</v>
      </c>
    </row>
    <row r="4287" spans="1:20" x14ac:dyDescent="0.3">
      <c r="A4287" t="s">
        <v>627</v>
      </c>
      <c r="B4287" s="16">
        <v>45594</v>
      </c>
      <c r="C4287" t="s">
        <v>3</v>
      </c>
      <c r="D4287" t="s">
        <v>114</v>
      </c>
      <c r="E4287" t="s">
        <v>159</v>
      </c>
      <c r="F4287">
        <v>184</v>
      </c>
      <c r="G4287">
        <v>89</v>
      </c>
      <c r="H4287">
        <v>8</v>
      </c>
      <c r="I4287">
        <v>7</v>
      </c>
      <c r="J4287">
        <v>8980</v>
      </c>
      <c r="K4287">
        <v>2</v>
      </c>
      <c r="L4287">
        <v>5580</v>
      </c>
      <c r="M4287">
        <v>1</v>
      </c>
      <c r="N4287">
        <v>23</v>
      </c>
      <c r="O4287">
        <v>177</v>
      </c>
      <c r="P4287">
        <f t="shared" si="219"/>
        <v>2024</v>
      </c>
      <c r="Q4287">
        <f t="shared" si="220"/>
        <v>10</v>
      </c>
      <c r="R4287" t="str">
        <f t="shared" si="221"/>
        <v>主会场</v>
      </c>
      <c r="S4287" t="s">
        <v>785</v>
      </c>
      <c r="T4287" t="s">
        <v>805</v>
      </c>
    </row>
    <row r="4288" spans="1:20" x14ac:dyDescent="0.3">
      <c r="A4288" t="s">
        <v>627</v>
      </c>
      <c r="B4288" s="16">
        <v>45594</v>
      </c>
      <c r="C4288" t="s">
        <v>3</v>
      </c>
      <c r="D4288" t="s">
        <v>114</v>
      </c>
      <c r="E4288" t="s">
        <v>160</v>
      </c>
      <c r="F4288">
        <v>1</v>
      </c>
      <c r="G4288">
        <v>1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1</v>
      </c>
      <c r="O4288">
        <v>1</v>
      </c>
      <c r="P4288">
        <f t="shared" si="219"/>
        <v>2024</v>
      </c>
      <c r="Q4288">
        <f t="shared" si="220"/>
        <v>10</v>
      </c>
      <c r="R4288" t="str">
        <f t="shared" si="221"/>
        <v>榜单会场</v>
      </c>
      <c r="S4288" t="s">
        <v>785</v>
      </c>
      <c r="T4288" t="s">
        <v>805</v>
      </c>
    </row>
    <row r="4289" spans="1:20" x14ac:dyDescent="0.3">
      <c r="A4289" t="s">
        <v>627</v>
      </c>
      <c r="B4289" s="16">
        <v>45594</v>
      </c>
      <c r="C4289" t="s">
        <v>3</v>
      </c>
      <c r="D4289" t="s">
        <v>117</v>
      </c>
      <c r="E4289" t="s">
        <v>161</v>
      </c>
      <c r="F4289">
        <v>2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2</v>
      </c>
      <c r="P4289">
        <f t="shared" si="219"/>
        <v>2024</v>
      </c>
      <c r="Q4289">
        <f t="shared" si="220"/>
        <v>10</v>
      </c>
      <c r="R4289" t="str">
        <f t="shared" si="221"/>
        <v>其他入口榜单</v>
      </c>
      <c r="S4289" t="s">
        <v>785</v>
      </c>
      <c r="T4289" t="s">
        <v>805</v>
      </c>
    </row>
    <row r="4290" spans="1:20" x14ac:dyDescent="0.3">
      <c r="A4290" t="s">
        <v>627</v>
      </c>
      <c r="B4290" s="16">
        <v>45594</v>
      </c>
      <c r="C4290" t="s">
        <v>3</v>
      </c>
      <c r="D4290" t="s">
        <v>120</v>
      </c>
      <c r="E4290" t="s">
        <v>162</v>
      </c>
      <c r="F4290">
        <v>1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1</v>
      </c>
      <c r="O4290">
        <v>0</v>
      </c>
      <c r="P4290">
        <f t="shared" si="219"/>
        <v>2024</v>
      </c>
      <c r="Q4290">
        <f t="shared" si="220"/>
        <v>10</v>
      </c>
      <c r="R4290" t="str">
        <f t="shared" si="221"/>
        <v>手机浏览器访问天猫</v>
      </c>
      <c r="S4290" t="s">
        <v>785</v>
      </c>
      <c r="T4290" t="s">
        <v>805</v>
      </c>
    </row>
    <row r="4291" spans="1:20" x14ac:dyDescent="0.3">
      <c r="A4291" t="s">
        <v>627</v>
      </c>
      <c r="B4291" s="16">
        <v>45594</v>
      </c>
      <c r="C4291" t="s">
        <v>3</v>
      </c>
      <c r="D4291" t="s">
        <v>120</v>
      </c>
      <c r="E4291" t="s">
        <v>163</v>
      </c>
      <c r="F4291">
        <v>65</v>
      </c>
      <c r="G4291">
        <v>23</v>
      </c>
      <c r="H4291">
        <v>1</v>
      </c>
      <c r="I4291">
        <v>0</v>
      </c>
      <c r="J4291">
        <v>5580</v>
      </c>
      <c r="K4291">
        <v>1</v>
      </c>
      <c r="L4291">
        <v>5580</v>
      </c>
      <c r="M4291">
        <v>1</v>
      </c>
      <c r="N4291">
        <v>25</v>
      </c>
      <c r="O4291">
        <v>54</v>
      </c>
      <c r="P4291">
        <f t="shared" si="219"/>
        <v>2024</v>
      </c>
      <c r="Q4291">
        <f t="shared" si="220"/>
        <v>10</v>
      </c>
      <c r="R4291" t="str">
        <f t="shared" si="221"/>
        <v>手猫免费其他</v>
      </c>
      <c r="S4291" t="s">
        <v>785</v>
      </c>
      <c r="T4291" t="s">
        <v>805</v>
      </c>
    </row>
    <row r="4292" spans="1:20" x14ac:dyDescent="0.3">
      <c r="A4292" t="s">
        <v>627</v>
      </c>
      <c r="B4292" s="16">
        <v>45594</v>
      </c>
      <c r="C4292" t="s">
        <v>3</v>
      </c>
      <c r="D4292" t="s">
        <v>120</v>
      </c>
      <c r="E4292" t="s">
        <v>164</v>
      </c>
      <c r="F4292">
        <v>34</v>
      </c>
      <c r="G4292">
        <v>13</v>
      </c>
      <c r="H4292">
        <v>6</v>
      </c>
      <c r="I4292">
        <v>0</v>
      </c>
      <c r="J4292">
        <v>11880</v>
      </c>
      <c r="K4292">
        <v>1</v>
      </c>
      <c r="L4292">
        <v>5940</v>
      </c>
      <c r="M4292">
        <v>1</v>
      </c>
      <c r="N4292">
        <v>0</v>
      </c>
      <c r="O4292">
        <v>34</v>
      </c>
      <c r="P4292">
        <f t="shared" si="219"/>
        <v>2024</v>
      </c>
      <c r="Q4292">
        <f t="shared" si="220"/>
        <v>10</v>
      </c>
      <c r="R4292" t="str">
        <f t="shared" si="221"/>
        <v>手猫其他店铺</v>
      </c>
      <c r="S4292" t="s">
        <v>785</v>
      </c>
      <c r="T4292" t="s">
        <v>805</v>
      </c>
    </row>
    <row r="4293" spans="1:20" x14ac:dyDescent="0.3">
      <c r="A4293" t="s">
        <v>627</v>
      </c>
      <c r="B4293" s="16">
        <v>45594</v>
      </c>
      <c r="C4293" t="s">
        <v>3</v>
      </c>
      <c r="D4293" t="s">
        <v>120</v>
      </c>
      <c r="E4293" t="s">
        <v>165</v>
      </c>
      <c r="F4293">
        <v>53</v>
      </c>
      <c r="G4293">
        <v>17</v>
      </c>
      <c r="H4293">
        <v>5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10</v>
      </c>
      <c r="O4293">
        <v>52</v>
      </c>
      <c r="P4293">
        <f t="shared" si="219"/>
        <v>2024</v>
      </c>
      <c r="Q4293">
        <f t="shared" si="220"/>
        <v>10</v>
      </c>
      <c r="R4293" t="str">
        <f t="shared" si="221"/>
        <v>手猫商品详情</v>
      </c>
      <c r="S4293" t="s">
        <v>785</v>
      </c>
      <c r="T4293" t="s">
        <v>805</v>
      </c>
    </row>
    <row r="4294" spans="1:20" x14ac:dyDescent="0.3">
      <c r="A4294" t="s">
        <v>627</v>
      </c>
      <c r="B4294" s="16">
        <v>45594</v>
      </c>
      <c r="C4294" t="s">
        <v>3</v>
      </c>
      <c r="D4294" t="s">
        <v>120</v>
      </c>
      <c r="E4294" t="s">
        <v>166</v>
      </c>
      <c r="F4294">
        <v>102</v>
      </c>
      <c r="G4294">
        <v>51</v>
      </c>
      <c r="H4294">
        <v>9</v>
      </c>
      <c r="I4294">
        <v>0</v>
      </c>
      <c r="J4294">
        <v>17460</v>
      </c>
      <c r="K4294">
        <v>2</v>
      </c>
      <c r="L4294">
        <v>11520</v>
      </c>
      <c r="M4294">
        <v>2</v>
      </c>
      <c r="N4294">
        <v>30</v>
      </c>
      <c r="O4294">
        <v>92</v>
      </c>
      <c r="P4294">
        <f t="shared" si="219"/>
        <v>2024</v>
      </c>
      <c r="Q4294">
        <f t="shared" si="220"/>
        <v>10</v>
      </c>
      <c r="R4294" t="str">
        <f t="shared" si="221"/>
        <v>手猫搜索</v>
      </c>
      <c r="S4294" t="s">
        <v>785</v>
      </c>
      <c r="T4294" t="s">
        <v>805</v>
      </c>
    </row>
    <row r="4295" spans="1:20" x14ac:dyDescent="0.3">
      <c r="A4295" t="s">
        <v>627</v>
      </c>
      <c r="B4295" s="16">
        <v>45594</v>
      </c>
      <c r="C4295" t="s">
        <v>3</v>
      </c>
      <c r="D4295" t="s">
        <v>120</v>
      </c>
      <c r="E4295" t="s">
        <v>167</v>
      </c>
      <c r="F4295">
        <v>6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6</v>
      </c>
      <c r="P4295">
        <f t="shared" si="219"/>
        <v>2024</v>
      </c>
      <c r="Q4295">
        <f t="shared" si="220"/>
        <v>10</v>
      </c>
      <c r="R4295" t="str">
        <f t="shared" si="221"/>
        <v>手猫旺信聊天</v>
      </c>
      <c r="S4295" t="s">
        <v>785</v>
      </c>
      <c r="T4295" t="s">
        <v>805</v>
      </c>
    </row>
    <row r="4296" spans="1:20" x14ac:dyDescent="0.3">
      <c r="A4296" t="s">
        <v>627</v>
      </c>
      <c r="B4296" s="16">
        <v>45594</v>
      </c>
      <c r="C4296" t="s">
        <v>3</v>
      </c>
      <c r="D4296" t="s">
        <v>120</v>
      </c>
      <c r="E4296" t="s">
        <v>192</v>
      </c>
      <c r="F4296">
        <v>4</v>
      </c>
      <c r="G4296">
        <v>2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4</v>
      </c>
      <c r="P4296">
        <f t="shared" si="219"/>
        <v>2024</v>
      </c>
      <c r="Q4296">
        <f t="shared" si="220"/>
        <v>10</v>
      </c>
      <c r="R4296" t="str">
        <f t="shared" si="221"/>
        <v>手猫消息中心</v>
      </c>
      <c r="S4296" t="s">
        <v>785</v>
      </c>
      <c r="T4296" t="s">
        <v>805</v>
      </c>
    </row>
    <row r="4297" spans="1:20" x14ac:dyDescent="0.3">
      <c r="A4297" t="s">
        <v>627</v>
      </c>
      <c r="B4297" s="16">
        <v>45594</v>
      </c>
      <c r="C4297" t="s">
        <v>3</v>
      </c>
      <c r="D4297" t="s">
        <v>120</v>
      </c>
      <c r="E4297" t="s">
        <v>168</v>
      </c>
      <c r="F4297">
        <v>466</v>
      </c>
      <c r="G4297">
        <v>194</v>
      </c>
      <c r="H4297">
        <v>11</v>
      </c>
      <c r="I4297">
        <v>0</v>
      </c>
      <c r="J4297">
        <v>4540</v>
      </c>
      <c r="K4297">
        <v>2</v>
      </c>
      <c r="L4297">
        <v>2550</v>
      </c>
      <c r="M4297">
        <v>1</v>
      </c>
      <c r="N4297">
        <v>27</v>
      </c>
      <c r="O4297">
        <v>466</v>
      </c>
      <c r="P4297">
        <f t="shared" si="219"/>
        <v>2024</v>
      </c>
      <c r="Q4297">
        <f t="shared" si="220"/>
        <v>10</v>
      </c>
      <c r="R4297" t="str">
        <f t="shared" si="221"/>
        <v>手猫首页</v>
      </c>
      <c r="S4297" t="s">
        <v>785</v>
      </c>
      <c r="T4297" t="s">
        <v>805</v>
      </c>
    </row>
    <row r="4298" spans="1:20" x14ac:dyDescent="0.3">
      <c r="A4298" t="s">
        <v>627</v>
      </c>
      <c r="B4298" s="16">
        <v>45594</v>
      </c>
      <c r="C4298" t="s">
        <v>3</v>
      </c>
      <c r="D4298" t="s">
        <v>123</v>
      </c>
      <c r="E4298" t="s">
        <v>169</v>
      </c>
      <c r="F4298">
        <v>322</v>
      </c>
      <c r="G4298">
        <v>121</v>
      </c>
      <c r="H4298">
        <v>26</v>
      </c>
      <c r="I4298">
        <v>13</v>
      </c>
      <c r="J4298">
        <v>22367.5</v>
      </c>
      <c r="K4298">
        <v>5</v>
      </c>
      <c r="L4298">
        <v>16427.5</v>
      </c>
      <c r="M4298">
        <v>5</v>
      </c>
      <c r="N4298">
        <v>63</v>
      </c>
      <c r="O4298">
        <v>318</v>
      </c>
      <c r="P4298">
        <f t="shared" si="219"/>
        <v>2024</v>
      </c>
      <c r="Q4298">
        <f t="shared" si="220"/>
        <v>10</v>
      </c>
      <c r="R4298" t="str">
        <f t="shared" si="221"/>
        <v>商品详情页头图推荐</v>
      </c>
      <c r="S4298" t="s">
        <v>785</v>
      </c>
      <c r="T4298" t="s">
        <v>805</v>
      </c>
    </row>
    <row r="4299" spans="1:20" x14ac:dyDescent="0.3">
      <c r="A4299" t="s">
        <v>627</v>
      </c>
      <c r="B4299" s="16">
        <v>45594</v>
      </c>
      <c r="C4299" t="s">
        <v>3</v>
      </c>
      <c r="D4299" t="s">
        <v>123</v>
      </c>
      <c r="E4299" t="s">
        <v>170</v>
      </c>
      <c r="F4299">
        <v>46</v>
      </c>
      <c r="G4299">
        <v>23</v>
      </c>
      <c r="H4299">
        <v>0</v>
      </c>
      <c r="I4299">
        <v>0</v>
      </c>
      <c r="J4299">
        <v>3634</v>
      </c>
      <c r="K4299">
        <v>1</v>
      </c>
      <c r="L4299">
        <v>3634</v>
      </c>
      <c r="M4299">
        <v>1</v>
      </c>
      <c r="N4299">
        <v>42</v>
      </c>
      <c r="O4299">
        <v>19</v>
      </c>
      <c r="P4299">
        <f t="shared" si="219"/>
        <v>2024</v>
      </c>
      <c r="Q4299">
        <f t="shared" si="220"/>
        <v>10</v>
      </c>
      <c r="R4299" t="str">
        <f t="shared" si="221"/>
        <v>店铺超链</v>
      </c>
      <c r="S4299" t="s">
        <v>785</v>
      </c>
      <c r="T4299" t="s">
        <v>805</v>
      </c>
    </row>
    <row r="4300" spans="1:20" x14ac:dyDescent="0.3">
      <c r="A4300" t="s">
        <v>627</v>
      </c>
      <c r="B4300" s="16">
        <v>45594</v>
      </c>
      <c r="C4300" t="s">
        <v>2</v>
      </c>
      <c r="D4300" t="s">
        <v>52</v>
      </c>
      <c r="E4300" t="s">
        <v>59</v>
      </c>
      <c r="F4300">
        <v>1294</v>
      </c>
      <c r="G4300">
        <v>993</v>
      </c>
      <c r="H4300">
        <v>5</v>
      </c>
      <c r="I4300">
        <v>1</v>
      </c>
      <c r="J4300">
        <v>2990</v>
      </c>
      <c r="K4300">
        <v>1</v>
      </c>
      <c r="L4300">
        <v>2990</v>
      </c>
      <c r="M4300">
        <v>1</v>
      </c>
      <c r="N4300">
        <v>1082</v>
      </c>
      <c r="O4300">
        <v>235</v>
      </c>
      <c r="P4300">
        <f t="shared" si="219"/>
        <v>2024</v>
      </c>
      <c r="Q4300">
        <f t="shared" si="220"/>
        <v>10</v>
      </c>
      <c r="R4300" t="s">
        <v>171</v>
      </c>
      <c r="S4300" t="s">
        <v>785</v>
      </c>
      <c r="T4300" t="s">
        <v>805</v>
      </c>
    </row>
    <row r="4301" spans="1:20" x14ac:dyDescent="0.3">
      <c r="A4301" t="s">
        <v>627</v>
      </c>
      <c r="B4301" s="16">
        <v>45594</v>
      </c>
      <c r="C4301" t="s">
        <v>3</v>
      </c>
      <c r="D4301" t="s">
        <v>127</v>
      </c>
      <c r="E4301" t="s">
        <v>172</v>
      </c>
      <c r="F4301">
        <v>25</v>
      </c>
      <c r="G4301">
        <v>18</v>
      </c>
      <c r="H4301">
        <v>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11</v>
      </c>
      <c r="O4301">
        <v>14</v>
      </c>
      <c r="P4301">
        <f t="shared" si="219"/>
        <v>2024</v>
      </c>
      <c r="Q4301">
        <f t="shared" si="220"/>
        <v>10</v>
      </c>
      <c r="R4301" t="str">
        <f t="shared" si="221"/>
        <v>购中推荐</v>
      </c>
      <c r="S4301" t="s">
        <v>785</v>
      </c>
      <c r="T4301" t="s">
        <v>805</v>
      </c>
    </row>
    <row r="4302" spans="1:20" x14ac:dyDescent="0.3">
      <c r="A4302" t="s">
        <v>627</v>
      </c>
      <c r="B4302" s="16">
        <v>45594</v>
      </c>
      <c r="C4302" t="s">
        <v>3</v>
      </c>
      <c r="D4302" t="s">
        <v>127</v>
      </c>
      <c r="E4302" t="s">
        <v>173</v>
      </c>
      <c r="F4302">
        <v>123</v>
      </c>
      <c r="G4302">
        <v>89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71</v>
      </c>
      <c r="O4302">
        <v>41</v>
      </c>
      <c r="P4302">
        <f t="shared" si="219"/>
        <v>2024</v>
      </c>
      <c r="Q4302">
        <f t="shared" si="220"/>
        <v>10</v>
      </c>
      <c r="R4302" t="str">
        <f t="shared" si="221"/>
        <v>购后推荐</v>
      </c>
      <c r="S4302" t="s">
        <v>785</v>
      </c>
      <c r="T4302" t="s">
        <v>805</v>
      </c>
    </row>
    <row r="4303" spans="1:20" x14ac:dyDescent="0.3">
      <c r="A4303" t="s">
        <v>627</v>
      </c>
      <c r="B4303" s="16">
        <v>45594</v>
      </c>
      <c r="C4303" t="s">
        <v>3</v>
      </c>
      <c r="D4303" t="s">
        <v>127</v>
      </c>
      <c r="E4303" t="s">
        <v>174</v>
      </c>
      <c r="F4303">
        <v>4257</v>
      </c>
      <c r="G4303">
        <v>2276</v>
      </c>
      <c r="H4303">
        <v>99</v>
      </c>
      <c r="I4303">
        <v>43</v>
      </c>
      <c r="J4303">
        <v>41801.18</v>
      </c>
      <c r="K4303">
        <v>11</v>
      </c>
      <c r="L4303">
        <v>27571.18</v>
      </c>
      <c r="M4303">
        <v>8</v>
      </c>
      <c r="N4303">
        <v>342</v>
      </c>
      <c r="O4303">
        <v>4257</v>
      </c>
      <c r="P4303">
        <f t="shared" si="219"/>
        <v>2024</v>
      </c>
      <c r="Q4303">
        <f t="shared" si="220"/>
        <v>10</v>
      </c>
      <c r="R4303" t="str">
        <f t="shared" si="221"/>
        <v>首页推荐-微详情</v>
      </c>
      <c r="S4303" t="s">
        <v>785</v>
      </c>
      <c r="T4303" t="s">
        <v>805</v>
      </c>
    </row>
    <row r="4304" spans="1:20" x14ac:dyDescent="0.3">
      <c r="A4304" t="s">
        <v>627</v>
      </c>
      <c r="B4304" s="16">
        <v>45594</v>
      </c>
      <c r="C4304" t="s">
        <v>3</v>
      </c>
      <c r="D4304" t="s">
        <v>127</v>
      </c>
      <c r="E4304" t="s">
        <v>175</v>
      </c>
      <c r="F4304">
        <v>18</v>
      </c>
      <c r="G4304">
        <v>8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f t="shared" si="219"/>
        <v>2024</v>
      </c>
      <c r="Q4304">
        <f t="shared" si="220"/>
        <v>10</v>
      </c>
      <c r="R4304" t="str">
        <f t="shared" si="221"/>
        <v>首页推荐-直播</v>
      </c>
      <c r="S4304" t="s">
        <v>785</v>
      </c>
      <c r="T4304" t="s">
        <v>805</v>
      </c>
    </row>
    <row r="4305" spans="1:20" x14ac:dyDescent="0.3">
      <c r="A4305" t="s">
        <v>627</v>
      </c>
      <c r="B4305" s="16">
        <v>45594</v>
      </c>
      <c r="C4305" t="s">
        <v>3</v>
      </c>
      <c r="D4305" t="s">
        <v>127</v>
      </c>
      <c r="E4305" t="s">
        <v>176</v>
      </c>
      <c r="F4305">
        <v>804</v>
      </c>
      <c r="G4305">
        <v>418</v>
      </c>
      <c r="H4305">
        <v>11</v>
      </c>
      <c r="I4305">
        <v>1</v>
      </c>
      <c r="J4305">
        <v>10530</v>
      </c>
      <c r="K4305">
        <v>2</v>
      </c>
      <c r="L4305">
        <v>6230</v>
      </c>
      <c r="M4305">
        <v>2</v>
      </c>
      <c r="N4305">
        <v>23</v>
      </c>
      <c r="O4305">
        <v>190</v>
      </c>
      <c r="P4305">
        <f t="shared" si="219"/>
        <v>2024</v>
      </c>
      <c r="Q4305">
        <f t="shared" si="220"/>
        <v>10</v>
      </c>
      <c r="R4305" t="str">
        <f t="shared" si="221"/>
        <v>首页推荐-短视频</v>
      </c>
      <c r="S4305" t="s">
        <v>785</v>
      </c>
      <c r="T4305" t="s">
        <v>805</v>
      </c>
    </row>
    <row r="4306" spans="1:20" x14ac:dyDescent="0.3">
      <c r="A4306" t="s">
        <v>627</v>
      </c>
      <c r="B4306" s="16">
        <v>45594</v>
      </c>
      <c r="C4306" t="s">
        <v>3</v>
      </c>
      <c r="D4306" t="s">
        <v>128</v>
      </c>
      <c r="E4306" t="s">
        <v>177</v>
      </c>
      <c r="F4306">
        <v>1514</v>
      </c>
      <c r="G4306">
        <v>1098</v>
      </c>
      <c r="H4306">
        <v>59</v>
      </c>
      <c r="I4306">
        <v>18</v>
      </c>
      <c r="J4306">
        <v>76620</v>
      </c>
      <c r="K4306">
        <v>8</v>
      </c>
      <c r="L4306">
        <v>55100</v>
      </c>
      <c r="M4306">
        <v>7</v>
      </c>
      <c r="N4306">
        <v>318</v>
      </c>
      <c r="O4306">
        <v>1402</v>
      </c>
      <c r="P4306">
        <f t="shared" si="219"/>
        <v>2024</v>
      </c>
      <c r="Q4306">
        <f t="shared" si="220"/>
        <v>10</v>
      </c>
      <c r="R4306" t="str">
        <f t="shared" si="221"/>
        <v>手淘搜索-商品及其他</v>
      </c>
      <c r="S4306" t="s">
        <v>785</v>
      </c>
      <c r="T4306" t="s">
        <v>805</v>
      </c>
    </row>
    <row r="4307" spans="1:20" x14ac:dyDescent="0.3">
      <c r="A4307" t="s">
        <v>627</v>
      </c>
      <c r="B4307" s="16">
        <v>45594</v>
      </c>
      <c r="C4307" t="s">
        <v>3</v>
      </c>
      <c r="D4307" t="s">
        <v>128</v>
      </c>
      <c r="E4307" t="s">
        <v>178</v>
      </c>
      <c r="F4307">
        <v>1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1</v>
      </c>
      <c r="P4307">
        <f t="shared" si="219"/>
        <v>2024</v>
      </c>
      <c r="Q4307">
        <f t="shared" si="220"/>
        <v>10</v>
      </c>
      <c r="R4307" t="str">
        <f t="shared" si="221"/>
        <v>手淘搜索-直播</v>
      </c>
      <c r="S4307" t="s">
        <v>785</v>
      </c>
      <c r="T4307" t="s">
        <v>805</v>
      </c>
    </row>
    <row r="4308" spans="1:20" x14ac:dyDescent="0.3">
      <c r="A4308" t="s">
        <v>627</v>
      </c>
      <c r="B4308" s="16">
        <v>45594</v>
      </c>
      <c r="C4308" t="s">
        <v>3</v>
      </c>
      <c r="D4308" t="s">
        <v>128</v>
      </c>
      <c r="E4308" t="s">
        <v>179</v>
      </c>
      <c r="F4308">
        <v>266</v>
      </c>
      <c r="G4308">
        <v>245</v>
      </c>
      <c r="H4308">
        <v>3</v>
      </c>
      <c r="I4308">
        <v>1</v>
      </c>
      <c r="J4308">
        <v>0</v>
      </c>
      <c r="K4308">
        <v>0</v>
      </c>
      <c r="L4308">
        <v>0</v>
      </c>
      <c r="M4308">
        <v>0</v>
      </c>
      <c r="N4308">
        <v>6</v>
      </c>
      <c r="O4308">
        <v>254</v>
      </c>
      <c r="P4308">
        <f t="shared" si="219"/>
        <v>2024</v>
      </c>
      <c r="Q4308">
        <f t="shared" si="220"/>
        <v>10</v>
      </c>
      <c r="R4308" t="str">
        <f t="shared" si="221"/>
        <v>手淘搜索-短视频</v>
      </c>
      <c r="S4308" t="s">
        <v>785</v>
      </c>
      <c r="T4308" t="s">
        <v>805</v>
      </c>
    </row>
    <row r="4309" spans="1:20" x14ac:dyDescent="0.3">
      <c r="A4309" t="s">
        <v>627</v>
      </c>
      <c r="B4309" s="16">
        <v>45594</v>
      </c>
      <c r="C4309" t="s">
        <v>3</v>
      </c>
      <c r="D4309" t="s">
        <v>143</v>
      </c>
      <c r="E4309" t="s">
        <v>180</v>
      </c>
      <c r="F4309">
        <v>4</v>
      </c>
      <c r="G4309">
        <v>4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4</v>
      </c>
      <c r="P4309">
        <f t="shared" si="219"/>
        <v>2024</v>
      </c>
      <c r="Q4309">
        <f t="shared" si="220"/>
        <v>10</v>
      </c>
      <c r="R4309" t="str">
        <f t="shared" si="221"/>
        <v>淘特其他渠道</v>
      </c>
      <c r="S4309" t="s">
        <v>785</v>
      </c>
      <c r="T4309" t="s">
        <v>805</v>
      </c>
    </row>
    <row r="4310" spans="1:20" x14ac:dyDescent="0.3">
      <c r="A4310" t="s">
        <v>627</v>
      </c>
      <c r="B4310" s="16">
        <v>45594</v>
      </c>
      <c r="C4310" t="s">
        <v>3</v>
      </c>
      <c r="D4310" t="s">
        <v>143</v>
      </c>
      <c r="E4310" t="s">
        <v>181</v>
      </c>
      <c r="F4310">
        <v>11</v>
      </c>
      <c r="G4310">
        <v>8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11</v>
      </c>
      <c r="P4310">
        <f t="shared" si="219"/>
        <v>2024</v>
      </c>
      <c r="Q4310">
        <f t="shared" si="220"/>
        <v>10</v>
      </c>
      <c r="R4310" t="str">
        <f t="shared" si="221"/>
        <v>淘特搜索</v>
      </c>
      <c r="S4310" t="s">
        <v>785</v>
      </c>
      <c r="T4310" t="s">
        <v>805</v>
      </c>
    </row>
    <row r="4311" spans="1:20" x14ac:dyDescent="0.3">
      <c r="A4311" t="s">
        <v>627</v>
      </c>
      <c r="B4311" s="16">
        <v>45594</v>
      </c>
      <c r="C4311" t="s">
        <v>2</v>
      </c>
      <c r="D4311" t="s">
        <v>55</v>
      </c>
      <c r="E4311" t="s">
        <v>54</v>
      </c>
      <c r="F4311">
        <v>7</v>
      </c>
      <c r="G4311">
        <v>5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1</v>
      </c>
      <c r="P4311">
        <f t="shared" si="219"/>
        <v>2024</v>
      </c>
      <c r="Q4311">
        <f t="shared" si="220"/>
        <v>10</v>
      </c>
      <c r="R4311" t="str">
        <f t="shared" si="221"/>
        <v>超级直播</v>
      </c>
      <c r="S4311" t="s">
        <v>785</v>
      </c>
      <c r="T4311" t="s">
        <v>805</v>
      </c>
    </row>
    <row r="4312" spans="1:20" x14ac:dyDescent="0.3">
      <c r="A4312" t="s">
        <v>627</v>
      </c>
      <c r="B4312" s="16">
        <v>45594</v>
      </c>
      <c r="C4312" t="s">
        <v>2</v>
      </c>
      <c r="D4312" t="s">
        <v>55</v>
      </c>
      <c r="E4312" t="s">
        <v>56</v>
      </c>
      <c r="F4312">
        <v>214</v>
      </c>
      <c r="G4312">
        <v>162</v>
      </c>
      <c r="H4312">
        <v>6</v>
      </c>
      <c r="I4312">
        <v>4</v>
      </c>
      <c r="J4312">
        <v>0</v>
      </c>
      <c r="K4312">
        <v>0</v>
      </c>
      <c r="L4312">
        <v>0</v>
      </c>
      <c r="M4312">
        <v>0</v>
      </c>
      <c r="N4312">
        <v>3</v>
      </c>
      <c r="O4312">
        <v>185</v>
      </c>
      <c r="P4312">
        <f t="shared" si="219"/>
        <v>2024</v>
      </c>
      <c r="Q4312">
        <f t="shared" si="220"/>
        <v>10</v>
      </c>
      <c r="R4312" t="str">
        <f t="shared" si="221"/>
        <v>超级短视频</v>
      </c>
      <c r="S4312" t="s">
        <v>785</v>
      </c>
      <c r="T4312" t="s">
        <v>805</v>
      </c>
    </row>
    <row r="4313" spans="1:20" x14ac:dyDescent="0.3">
      <c r="A4313" t="s">
        <v>627</v>
      </c>
      <c r="B4313" s="16">
        <v>45594</v>
      </c>
      <c r="C4313" t="s">
        <v>2</v>
      </c>
      <c r="D4313" t="s">
        <v>52</v>
      </c>
      <c r="E4313" t="s">
        <v>183</v>
      </c>
      <c r="F4313">
        <v>678</v>
      </c>
      <c r="G4313">
        <v>537</v>
      </c>
      <c r="H4313">
        <v>39</v>
      </c>
      <c r="I4313">
        <v>7</v>
      </c>
      <c r="J4313">
        <v>27060</v>
      </c>
      <c r="K4313">
        <v>7</v>
      </c>
      <c r="L4313">
        <v>20770</v>
      </c>
      <c r="M4313">
        <v>5</v>
      </c>
      <c r="N4313">
        <v>678</v>
      </c>
      <c r="O4313">
        <v>414</v>
      </c>
      <c r="P4313">
        <f t="shared" si="219"/>
        <v>2024</v>
      </c>
      <c r="Q4313">
        <f t="shared" si="220"/>
        <v>10</v>
      </c>
      <c r="R4313" t="str">
        <f t="shared" si="221"/>
        <v>品销宝-品牌专区</v>
      </c>
      <c r="S4313" t="s">
        <v>785</v>
      </c>
      <c r="T4313" t="s">
        <v>805</v>
      </c>
    </row>
    <row r="4314" spans="1:20" x14ac:dyDescent="0.3">
      <c r="A4314" t="s">
        <v>627</v>
      </c>
      <c r="B4314" s="16">
        <v>45594</v>
      </c>
      <c r="C4314" t="s">
        <v>2</v>
      </c>
      <c r="D4314" t="s">
        <v>52</v>
      </c>
      <c r="E4314" t="s">
        <v>62</v>
      </c>
      <c r="F4314">
        <v>1</v>
      </c>
      <c r="G4314">
        <v>1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1</v>
      </c>
      <c r="P4314">
        <f t="shared" si="219"/>
        <v>2024</v>
      </c>
      <c r="Q4314">
        <f t="shared" si="220"/>
        <v>10</v>
      </c>
      <c r="R4314" t="str">
        <f t="shared" si="221"/>
        <v>超级互动城</v>
      </c>
      <c r="S4314" t="s">
        <v>785</v>
      </c>
      <c r="T4314" t="s">
        <v>805</v>
      </c>
    </row>
    <row r="4315" spans="1:20" x14ac:dyDescent="0.3">
      <c r="A4315" t="s">
        <v>627</v>
      </c>
      <c r="B4315" s="16">
        <v>45594</v>
      </c>
      <c r="C4315" t="s">
        <v>2</v>
      </c>
      <c r="D4315" t="s">
        <v>52</v>
      </c>
      <c r="E4315" t="s">
        <v>58</v>
      </c>
      <c r="F4315">
        <v>1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1</v>
      </c>
      <c r="O4315">
        <v>0</v>
      </c>
      <c r="P4315">
        <f t="shared" si="219"/>
        <v>2024</v>
      </c>
      <c r="Q4315">
        <f t="shared" si="220"/>
        <v>10</v>
      </c>
      <c r="R4315" t="str">
        <f t="shared" si="221"/>
        <v>超级全域通</v>
      </c>
      <c r="S4315" t="s">
        <v>785</v>
      </c>
      <c r="T4315" t="s">
        <v>805</v>
      </c>
    </row>
    <row r="4316" spans="1:20" x14ac:dyDescent="0.3">
      <c r="A4316" t="s">
        <v>627</v>
      </c>
      <c r="B4316" s="16">
        <v>45594</v>
      </c>
      <c r="C4316" t="s">
        <v>2</v>
      </c>
      <c r="D4316" t="s">
        <v>57</v>
      </c>
      <c r="E4316" t="s">
        <v>65</v>
      </c>
      <c r="F4316">
        <v>5012</v>
      </c>
      <c r="G4316">
        <v>4173</v>
      </c>
      <c r="H4316">
        <v>78</v>
      </c>
      <c r="I4316">
        <v>41</v>
      </c>
      <c r="J4316">
        <v>108794</v>
      </c>
      <c r="K4316">
        <v>13</v>
      </c>
      <c r="L4316">
        <v>22577</v>
      </c>
      <c r="M4316">
        <v>6</v>
      </c>
      <c r="N4316">
        <v>310</v>
      </c>
      <c r="O4316">
        <v>4982</v>
      </c>
      <c r="P4316">
        <f t="shared" si="219"/>
        <v>2024</v>
      </c>
      <c r="Q4316">
        <f t="shared" si="220"/>
        <v>10</v>
      </c>
      <c r="R4316" t="str">
        <f t="shared" si="221"/>
        <v>直通车</v>
      </c>
      <c r="S4316" t="s">
        <v>785</v>
      </c>
      <c r="T4316" t="s">
        <v>805</v>
      </c>
    </row>
    <row r="4317" spans="1:20" x14ac:dyDescent="0.3">
      <c r="A4317" t="s">
        <v>627</v>
      </c>
      <c r="B4317" s="16">
        <v>45594</v>
      </c>
      <c r="C4317" t="s">
        <v>2</v>
      </c>
      <c r="D4317" t="s">
        <v>57</v>
      </c>
      <c r="E4317" t="s">
        <v>63</v>
      </c>
      <c r="F4317">
        <v>3882</v>
      </c>
      <c r="G4317">
        <v>1942</v>
      </c>
      <c r="H4317">
        <v>129</v>
      </c>
      <c r="I4317">
        <v>66</v>
      </c>
      <c r="J4317">
        <v>106370.5</v>
      </c>
      <c r="K4317">
        <v>18</v>
      </c>
      <c r="L4317">
        <v>66847.5</v>
      </c>
      <c r="M4317">
        <v>12</v>
      </c>
      <c r="N4317">
        <v>200</v>
      </c>
      <c r="O4317">
        <v>3879</v>
      </c>
      <c r="P4317">
        <f t="shared" si="219"/>
        <v>2024</v>
      </c>
      <c r="Q4317">
        <f t="shared" si="220"/>
        <v>10</v>
      </c>
      <c r="R4317" t="str">
        <f t="shared" si="221"/>
        <v>万相台</v>
      </c>
      <c r="S4317" t="s">
        <v>785</v>
      </c>
      <c r="T4317" t="s">
        <v>805</v>
      </c>
    </row>
    <row r="4318" spans="1:20" x14ac:dyDescent="0.3">
      <c r="A4318" t="s">
        <v>627</v>
      </c>
      <c r="B4318" s="16">
        <v>45594</v>
      </c>
      <c r="C4318" t="s">
        <v>2</v>
      </c>
      <c r="D4318" t="s">
        <v>57</v>
      </c>
      <c r="E4318" t="s">
        <v>64</v>
      </c>
      <c r="F4318">
        <v>5480</v>
      </c>
      <c r="G4318">
        <v>2155</v>
      </c>
      <c r="H4318">
        <v>117</v>
      </c>
      <c r="I4318">
        <v>60</v>
      </c>
      <c r="J4318">
        <v>45567.5</v>
      </c>
      <c r="K4318">
        <v>9</v>
      </c>
      <c r="L4318">
        <v>27037.5</v>
      </c>
      <c r="M4318">
        <v>7</v>
      </c>
      <c r="N4318">
        <v>391</v>
      </c>
      <c r="O4318">
        <v>5475</v>
      </c>
      <c r="P4318">
        <f t="shared" si="219"/>
        <v>2024</v>
      </c>
      <c r="Q4318">
        <f t="shared" si="220"/>
        <v>10</v>
      </c>
      <c r="R4318" t="str">
        <f t="shared" si="221"/>
        <v>引力魔方</v>
      </c>
      <c r="S4318" t="s">
        <v>785</v>
      </c>
      <c r="T4318" t="s">
        <v>805</v>
      </c>
    </row>
    <row r="4319" spans="1:20" x14ac:dyDescent="0.3">
      <c r="A4319" t="s">
        <v>627</v>
      </c>
      <c r="B4319" s="16">
        <v>45594</v>
      </c>
      <c r="C4319" t="s">
        <v>2</v>
      </c>
      <c r="D4319" t="s">
        <v>4</v>
      </c>
      <c r="E4319" t="s">
        <v>41</v>
      </c>
      <c r="F4319">
        <v>3</v>
      </c>
      <c r="G4319">
        <v>3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1</v>
      </c>
      <c r="O4319">
        <v>3</v>
      </c>
      <c r="P4319">
        <f t="shared" si="219"/>
        <v>2024</v>
      </c>
      <c r="Q4319">
        <f t="shared" si="220"/>
        <v>10</v>
      </c>
      <c r="R4319" t="str">
        <f t="shared" si="221"/>
        <v>流量宝</v>
      </c>
      <c r="S4319" t="s">
        <v>785</v>
      </c>
      <c r="T4319" t="s">
        <v>805</v>
      </c>
    </row>
    <row r="4320" spans="1:20" x14ac:dyDescent="0.3">
      <c r="A4320" t="s">
        <v>627</v>
      </c>
      <c r="B4320" s="16">
        <v>45594</v>
      </c>
      <c r="C4320" t="s">
        <v>2</v>
      </c>
      <c r="D4320" t="s">
        <v>4</v>
      </c>
      <c r="E4320" t="s">
        <v>43</v>
      </c>
      <c r="F4320">
        <v>307</v>
      </c>
      <c r="G4320">
        <v>101</v>
      </c>
      <c r="H4320">
        <v>16</v>
      </c>
      <c r="I4320">
        <v>2</v>
      </c>
      <c r="J4320">
        <v>0</v>
      </c>
      <c r="K4320">
        <v>0</v>
      </c>
      <c r="L4320">
        <v>0</v>
      </c>
      <c r="M4320">
        <v>0</v>
      </c>
      <c r="N4320">
        <v>20</v>
      </c>
      <c r="O4320">
        <v>300</v>
      </c>
      <c r="P4320">
        <f t="shared" si="219"/>
        <v>2024</v>
      </c>
      <c r="Q4320">
        <f t="shared" si="220"/>
        <v>10</v>
      </c>
      <c r="R4320" t="str">
        <f t="shared" si="221"/>
        <v>淘宝客</v>
      </c>
      <c r="S4320" t="s">
        <v>785</v>
      </c>
      <c r="T4320" t="s">
        <v>805</v>
      </c>
    </row>
    <row r="4321" spans="1:20" x14ac:dyDescent="0.3">
      <c r="A4321" t="s">
        <v>627</v>
      </c>
      <c r="B4321" s="16">
        <v>45593</v>
      </c>
      <c r="C4321" t="s">
        <v>3</v>
      </c>
      <c r="D4321" t="s">
        <v>114</v>
      </c>
      <c r="E4321" t="s">
        <v>159</v>
      </c>
      <c r="F4321">
        <v>172</v>
      </c>
      <c r="G4321">
        <v>78</v>
      </c>
      <c r="H4321">
        <v>9</v>
      </c>
      <c r="I4321">
        <v>1</v>
      </c>
      <c r="J4321">
        <v>0</v>
      </c>
      <c r="K4321">
        <v>0</v>
      </c>
      <c r="L4321">
        <v>0</v>
      </c>
      <c r="M4321">
        <v>0</v>
      </c>
      <c r="N4321">
        <v>20</v>
      </c>
      <c r="O4321">
        <v>169</v>
      </c>
      <c r="P4321">
        <f t="shared" si="219"/>
        <v>2024</v>
      </c>
      <c r="Q4321">
        <f t="shared" si="220"/>
        <v>10</v>
      </c>
      <c r="R4321" t="str">
        <f t="shared" si="221"/>
        <v>主会场</v>
      </c>
      <c r="S4321" t="s">
        <v>785</v>
      </c>
      <c r="T4321" t="s">
        <v>805</v>
      </c>
    </row>
    <row r="4322" spans="1:20" x14ac:dyDescent="0.3">
      <c r="A4322" t="s">
        <v>627</v>
      </c>
      <c r="B4322" s="16">
        <v>45593</v>
      </c>
      <c r="C4322" t="s">
        <v>3</v>
      </c>
      <c r="D4322" t="s">
        <v>117</v>
      </c>
      <c r="E4322" t="s">
        <v>161</v>
      </c>
      <c r="F4322">
        <v>1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1</v>
      </c>
      <c r="P4322">
        <f t="shared" si="219"/>
        <v>2024</v>
      </c>
      <c r="Q4322">
        <f t="shared" si="220"/>
        <v>10</v>
      </c>
      <c r="R4322" t="str">
        <f t="shared" si="221"/>
        <v>其他入口榜单</v>
      </c>
      <c r="S4322" t="s">
        <v>785</v>
      </c>
      <c r="T4322" t="s">
        <v>805</v>
      </c>
    </row>
    <row r="4323" spans="1:20" x14ac:dyDescent="0.3">
      <c r="A4323" t="s">
        <v>627</v>
      </c>
      <c r="B4323" s="16">
        <v>45593</v>
      </c>
      <c r="C4323" t="s">
        <v>3</v>
      </c>
      <c r="D4323" t="s">
        <v>120</v>
      </c>
      <c r="E4323" t="s">
        <v>162</v>
      </c>
      <c r="F4323">
        <v>3</v>
      </c>
      <c r="G4323">
        <v>3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3</v>
      </c>
      <c r="O4323">
        <v>0</v>
      </c>
      <c r="P4323">
        <f t="shared" si="219"/>
        <v>2024</v>
      </c>
      <c r="Q4323">
        <f t="shared" si="220"/>
        <v>10</v>
      </c>
      <c r="R4323" t="str">
        <f t="shared" si="221"/>
        <v>手机浏览器访问天猫</v>
      </c>
      <c r="S4323" t="s">
        <v>785</v>
      </c>
      <c r="T4323" t="s">
        <v>805</v>
      </c>
    </row>
    <row r="4324" spans="1:20" x14ac:dyDescent="0.3">
      <c r="A4324" t="s">
        <v>627</v>
      </c>
      <c r="B4324" s="16">
        <v>45593</v>
      </c>
      <c r="C4324" t="s">
        <v>3</v>
      </c>
      <c r="D4324" t="s">
        <v>120</v>
      </c>
      <c r="E4324" t="s">
        <v>163</v>
      </c>
      <c r="F4324">
        <v>41</v>
      </c>
      <c r="G4324">
        <v>14</v>
      </c>
      <c r="H4324">
        <v>0</v>
      </c>
      <c r="I4324">
        <v>0</v>
      </c>
      <c r="J4324">
        <v>8365</v>
      </c>
      <c r="K4324">
        <v>1</v>
      </c>
      <c r="L4324">
        <v>8365</v>
      </c>
      <c r="M4324">
        <v>1</v>
      </c>
      <c r="N4324">
        <v>13</v>
      </c>
      <c r="O4324">
        <v>35</v>
      </c>
      <c r="P4324">
        <f t="shared" si="219"/>
        <v>2024</v>
      </c>
      <c r="Q4324">
        <f t="shared" si="220"/>
        <v>10</v>
      </c>
      <c r="R4324" t="str">
        <f t="shared" si="221"/>
        <v>手猫免费其他</v>
      </c>
      <c r="S4324" t="s">
        <v>785</v>
      </c>
      <c r="T4324" t="s">
        <v>805</v>
      </c>
    </row>
    <row r="4325" spans="1:20" x14ac:dyDescent="0.3">
      <c r="A4325" t="s">
        <v>627</v>
      </c>
      <c r="B4325" s="16">
        <v>45593</v>
      </c>
      <c r="C4325" t="s">
        <v>3</v>
      </c>
      <c r="D4325" t="s">
        <v>120</v>
      </c>
      <c r="E4325" t="s">
        <v>164</v>
      </c>
      <c r="F4325">
        <v>35</v>
      </c>
      <c r="G4325">
        <v>19</v>
      </c>
      <c r="H4325">
        <v>4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35</v>
      </c>
      <c r="P4325">
        <f t="shared" si="219"/>
        <v>2024</v>
      </c>
      <c r="Q4325">
        <f t="shared" si="220"/>
        <v>10</v>
      </c>
      <c r="R4325" t="str">
        <f t="shared" si="221"/>
        <v>手猫其他店铺</v>
      </c>
      <c r="S4325" t="s">
        <v>785</v>
      </c>
      <c r="T4325" t="s">
        <v>805</v>
      </c>
    </row>
    <row r="4326" spans="1:20" x14ac:dyDescent="0.3">
      <c r="A4326" t="s">
        <v>627</v>
      </c>
      <c r="B4326" s="16">
        <v>45593</v>
      </c>
      <c r="C4326" t="s">
        <v>3</v>
      </c>
      <c r="D4326" t="s">
        <v>120</v>
      </c>
      <c r="E4326" t="s">
        <v>165</v>
      </c>
      <c r="F4326">
        <v>49</v>
      </c>
      <c r="G4326">
        <v>12</v>
      </c>
      <c r="H4326">
        <v>4</v>
      </c>
      <c r="I4326">
        <v>0</v>
      </c>
      <c r="J4326">
        <v>4867</v>
      </c>
      <c r="K4326">
        <v>1</v>
      </c>
      <c r="L4326">
        <v>0</v>
      </c>
      <c r="M4326">
        <v>0</v>
      </c>
      <c r="N4326">
        <v>8</v>
      </c>
      <c r="O4326">
        <v>47</v>
      </c>
      <c r="P4326">
        <f t="shared" si="219"/>
        <v>2024</v>
      </c>
      <c r="Q4326">
        <f t="shared" si="220"/>
        <v>10</v>
      </c>
      <c r="R4326" t="str">
        <f t="shared" si="221"/>
        <v>手猫商品详情</v>
      </c>
      <c r="S4326" t="s">
        <v>785</v>
      </c>
      <c r="T4326" t="s">
        <v>805</v>
      </c>
    </row>
    <row r="4327" spans="1:20" x14ac:dyDescent="0.3">
      <c r="A4327" t="s">
        <v>627</v>
      </c>
      <c r="B4327" s="16">
        <v>45593</v>
      </c>
      <c r="C4327" t="s">
        <v>3</v>
      </c>
      <c r="D4327" t="s">
        <v>120</v>
      </c>
      <c r="E4327" t="s">
        <v>166</v>
      </c>
      <c r="F4327">
        <v>92</v>
      </c>
      <c r="G4327">
        <v>48</v>
      </c>
      <c r="H4327">
        <v>0</v>
      </c>
      <c r="I4327">
        <v>0</v>
      </c>
      <c r="J4327">
        <v>8365</v>
      </c>
      <c r="K4327">
        <v>1</v>
      </c>
      <c r="L4327">
        <v>8365</v>
      </c>
      <c r="M4327">
        <v>1</v>
      </c>
      <c r="N4327">
        <v>28</v>
      </c>
      <c r="O4327">
        <v>86</v>
      </c>
      <c r="P4327">
        <f t="shared" si="219"/>
        <v>2024</v>
      </c>
      <c r="Q4327">
        <f t="shared" si="220"/>
        <v>10</v>
      </c>
      <c r="R4327" t="str">
        <f t="shared" si="221"/>
        <v>手猫搜索</v>
      </c>
      <c r="S4327" t="s">
        <v>785</v>
      </c>
      <c r="T4327" t="s">
        <v>805</v>
      </c>
    </row>
    <row r="4328" spans="1:20" x14ac:dyDescent="0.3">
      <c r="A4328" t="s">
        <v>627</v>
      </c>
      <c r="B4328" s="16">
        <v>45593</v>
      </c>
      <c r="C4328" t="s">
        <v>3</v>
      </c>
      <c r="D4328" t="s">
        <v>120</v>
      </c>
      <c r="E4328" t="s">
        <v>167</v>
      </c>
      <c r="F4328">
        <v>5</v>
      </c>
      <c r="G4328">
        <v>2</v>
      </c>
      <c r="H4328">
        <v>2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4</v>
      </c>
      <c r="O4328">
        <v>4</v>
      </c>
      <c r="P4328">
        <f t="shared" si="219"/>
        <v>2024</v>
      </c>
      <c r="Q4328">
        <f t="shared" si="220"/>
        <v>10</v>
      </c>
      <c r="R4328" t="str">
        <f t="shared" si="221"/>
        <v>手猫旺信聊天</v>
      </c>
      <c r="S4328" t="s">
        <v>785</v>
      </c>
      <c r="T4328" t="s">
        <v>805</v>
      </c>
    </row>
    <row r="4329" spans="1:20" x14ac:dyDescent="0.3">
      <c r="A4329" t="s">
        <v>627</v>
      </c>
      <c r="B4329" s="16">
        <v>45593</v>
      </c>
      <c r="C4329" t="s">
        <v>3</v>
      </c>
      <c r="D4329" t="s">
        <v>120</v>
      </c>
      <c r="E4329" t="s">
        <v>192</v>
      </c>
      <c r="F4329">
        <v>3</v>
      </c>
      <c r="G4329">
        <v>1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2</v>
      </c>
      <c r="P4329">
        <f t="shared" ref="P4329:P4392" si="222">YEAR(B4329)</f>
        <v>2024</v>
      </c>
      <c r="Q4329">
        <f t="shared" ref="Q4329:Q4392" si="223">MONTH(B4329)</f>
        <v>10</v>
      </c>
      <c r="R4329" t="str">
        <f t="shared" ref="R4329:R4392" si="224">E4329</f>
        <v>手猫消息中心</v>
      </c>
      <c r="S4329" t="s">
        <v>785</v>
      </c>
      <c r="T4329" t="s">
        <v>805</v>
      </c>
    </row>
    <row r="4330" spans="1:20" x14ac:dyDescent="0.3">
      <c r="A4330" t="s">
        <v>627</v>
      </c>
      <c r="B4330" s="16">
        <v>45593</v>
      </c>
      <c r="C4330" t="s">
        <v>3</v>
      </c>
      <c r="D4330" t="s">
        <v>120</v>
      </c>
      <c r="E4330" t="s">
        <v>168</v>
      </c>
      <c r="F4330">
        <v>405</v>
      </c>
      <c r="G4330">
        <v>164</v>
      </c>
      <c r="H4330">
        <v>8</v>
      </c>
      <c r="I4330">
        <v>0</v>
      </c>
      <c r="J4330">
        <v>12579</v>
      </c>
      <c r="K4330">
        <v>4</v>
      </c>
      <c r="L4330">
        <v>4475</v>
      </c>
      <c r="M4330">
        <v>2</v>
      </c>
      <c r="N4330">
        <v>36</v>
      </c>
      <c r="O4330">
        <v>405</v>
      </c>
      <c r="P4330">
        <f t="shared" si="222"/>
        <v>2024</v>
      </c>
      <c r="Q4330">
        <f t="shared" si="223"/>
        <v>10</v>
      </c>
      <c r="R4330" t="str">
        <f t="shared" si="224"/>
        <v>手猫首页</v>
      </c>
      <c r="S4330" t="s">
        <v>785</v>
      </c>
      <c r="T4330" t="s">
        <v>805</v>
      </c>
    </row>
    <row r="4331" spans="1:20" x14ac:dyDescent="0.3">
      <c r="A4331" t="s">
        <v>627</v>
      </c>
      <c r="B4331" s="16">
        <v>45593</v>
      </c>
      <c r="C4331" t="s">
        <v>3</v>
      </c>
      <c r="D4331" t="s">
        <v>123</v>
      </c>
      <c r="E4331" t="s">
        <v>169</v>
      </c>
      <c r="F4331">
        <v>330</v>
      </c>
      <c r="G4331">
        <v>132</v>
      </c>
      <c r="H4331">
        <v>24</v>
      </c>
      <c r="I4331">
        <v>5</v>
      </c>
      <c r="J4331">
        <v>26456.5</v>
      </c>
      <c r="K4331">
        <v>5</v>
      </c>
      <c r="L4331">
        <v>15034</v>
      </c>
      <c r="M4331">
        <v>3</v>
      </c>
      <c r="N4331">
        <v>54</v>
      </c>
      <c r="O4331">
        <v>321</v>
      </c>
      <c r="P4331">
        <f t="shared" si="222"/>
        <v>2024</v>
      </c>
      <c r="Q4331">
        <f t="shared" si="223"/>
        <v>10</v>
      </c>
      <c r="R4331" t="str">
        <f t="shared" si="224"/>
        <v>商品详情页头图推荐</v>
      </c>
      <c r="S4331" t="s">
        <v>785</v>
      </c>
      <c r="T4331" t="s">
        <v>805</v>
      </c>
    </row>
    <row r="4332" spans="1:20" x14ac:dyDescent="0.3">
      <c r="A4332" t="s">
        <v>627</v>
      </c>
      <c r="B4332" s="16">
        <v>45593</v>
      </c>
      <c r="C4332" t="s">
        <v>3</v>
      </c>
      <c r="D4332" t="s">
        <v>123</v>
      </c>
      <c r="E4332" t="s">
        <v>170</v>
      </c>
      <c r="F4332">
        <v>64</v>
      </c>
      <c r="G4332">
        <v>31</v>
      </c>
      <c r="H4332">
        <v>6</v>
      </c>
      <c r="I4332">
        <v>0</v>
      </c>
      <c r="J4332">
        <v>20950</v>
      </c>
      <c r="K4332">
        <v>1</v>
      </c>
      <c r="L4332">
        <v>20950</v>
      </c>
      <c r="M4332">
        <v>1</v>
      </c>
      <c r="N4332">
        <v>52</v>
      </c>
      <c r="O4332">
        <v>34</v>
      </c>
      <c r="P4332">
        <f t="shared" si="222"/>
        <v>2024</v>
      </c>
      <c r="Q4332">
        <f t="shared" si="223"/>
        <v>10</v>
      </c>
      <c r="R4332" t="str">
        <f t="shared" si="224"/>
        <v>店铺超链</v>
      </c>
      <c r="S4332" t="s">
        <v>785</v>
      </c>
      <c r="T4332" t="s">
        <v>805</v>
      </c>
    </row>
    <row r="4333" spans="1:20" x14ac:dyDescent="0.3">
      <c r="A4333" t="s">
        <v>627</v>
      </c>
      <c r="B4333" s="16">
        <v>45593</v>
      </c>
      <c r="C4333" t="s">
        <v>2</v>
      </c>
      <c r="D4333" t="s">
        <v>52</v>
      </c>
      <c r="E4333" t="s">
        <v>59</v>
      </c>
      <c r="F4333">
        <v>1342</v>
      </c>
      <c r="G4333">
        <v>1008</v>
      </c>
      <c r="H4333">
        <v>7</v>
      </c>
      <c r="I4333">
        <v>4</v>
      </c>
      <c r="J4333">
        <v>7250</v>
      </c>
      <c r="K4333">
        <v>2</v>
      </c>
      <c r="L4333">
        <v>7250</v>
      </c>
      <c r="M4333">
        <v>2</v>
      </c>
      <c r="N4333">
        <v>1110</v>
      </c>
      <c r="O4333">
        <v>250</v>
      </c>
      <c r="P4333">
        <f t="shared" si="222"/>
        <v>2024</v>
      </c>
      <c r="Q4333">
        <f t="shared" si="223"/>
        <v>10</v>
      </c>
      <c r="R4333" t="s">
        <v>171</v>
      </c>
      <c r="S4333" t="s">
        <v>785</v>
      </c>
      <c r="T4333" t="s">
        <v>805</v>
      </c>
    </row>
    <row r="4334" spans="1:20" x14ac:dyDescent="0.3">
      <c r="A4334" t="s">
        <v>627</v>
      </c>
      <c r="B4334" s="16">
        <v>45593</v>
      </c>
      <c r="C4334" t="s">
        <v>3</v>
      </c>
      <c r="D4334" t="s">
        <v>127</v>
      </c>
      <c r="E4334" t="s">
        <v>172</v>
      </c>
      <c r="F4334">
        <v>32</v>
      </c>
      <c r="G4334">
        <v>19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8</v>
      </c>
      <c r="O4334">
        <v>18</v>
      </c>
      <c r="P4334">
        <f t="shared" si="222"/>
        <v>2024</v>
      </c>
      <c r="Q4334">
        <f t="shared" si="223"/>
        <v>10</v>
      </c>
      <c r="R4334" t="str">
        <f t="shared" si="224"/>
        <v>购中推荐</v>
      </c>
      <c r="S4334" t="s">
        <v>785</v>
      </c>
      <c r="T4334" t="s">
        <v>805</v>
      </c>
    </row>
    <row r="4335" spans="1:20" x14ac:dyDescent="0.3">
      <c r="A4335" t="s">
        <v>627</v>
      </c>
      <c r="B4335" s="16">
        <v>45593</v>
      </c>
      <c r="C4335" t="s">
        <v>3</v>
      </c>
      <c r="D4335" t="s">
        <v>127</v>
      </c>
      <c r="E4335" t="s">
        <v>173</v>
      </c>
      <c r="F4335">
        <v>146</v>
      </c>
      <c r="G4335">
        <v>109</v>
      </c>
      <c r="H4335">
        <v>0</v>
      </c>
      <c r="I4335">
        <v>0</v>
      </c>
      <c r="J4335">
        <v>1700</v>
      </c>
      <c r="K4335">
        <v>1</v>
      </c>
      <c r="L4335">
        <v>1700</v>
      </c>
      <c r="M4335">
        <v>1</v>
      </c>
      <c r="N4335">
        <v>65</v>
      </c>
      <c r="O4335">
        <v>60</v>
      </c>
      <c r="P4335">
        <f t="shared" si="222"/>
        <v>2024</v>
      </c>
      <c r="Q4335">
        <f t="shared" si="223"/>
        <v>10</v>
      </c>
      <c r="R4335" t="str">
        <f t="shared" si="224"/>
        <v>购后推荐</v>
      </c>
      <c r="S4335" t="s">
        <v>785</v>
      </c>
      <c r="T4335" t="s">
        <v>805</v>
      </c>
    </row>
    <row r="4336" spans="1:20" x14ac:dyDescent="0.3">
      <c r="A4336" t="s">
        <v>627</v>
      </c>
      <c r="B4336" s="16">
        <v>45593</v>
      </c>
      <c r="C4336" t="s">
        <v>3</v>
      </c>
      <c r="D4336" t="s">
        <v>127</v>
      </c>
      <c r="E4336" t="s">
        <v>174</v>
      </c>
      <c r="F4336">
        <v>3975</v>
      </c>
      <c r="G4336">
        <v>2068</v>
      </c>
      <c r="H4336">
        <v>106</v>
      </c>
      <c r="I4336">
        <v>49</v>
      </c>
      <c r="J4336">
        <v>29117.68</v>
      </c>
      <c r="K4336">
        <v>8</v>
      </c>
      <c r="L4336">
        <v>15567.68</v>
      </c>
      <c r="M4336">
        <v>5</v>
      </c>
      <c r="N4336">
        <v>311</v>
      </c>
      <c r="O4336">
        <v>3975</v>
      </c>
      <c r="P4336">
        <f t="shared" si="222"/>
        <v>2024</v>
      </c>
      <c r="Q4336">
        <f t="shared" si="223"/>
        <v>10</v>
      </c>
      <c r="R4336" t="str">
        <f t="shared" si="224"/>
        <v>首页推荐-微详情</v>
      </c>
      <c r="S4336" t="s">
        <v>785</v>
      </c>
      <c r="T4336" t="s">
        <v>805</v>
      </c>
    </row>
    <row r="4337" spans="1:20" x14ac:dyDescent="0.3">
      <c r="A4337" t="s">
        <v>627</v>
      </c>
      <c r="B4337" s="16">
        <v>45593</v>
      </c>
      <c r="C4337" t="s">
        <v>3</v>
      </c>
      <c r="D4337" t="s">
        <v>127</v>
      </c>
      <c r="E4337" t="s">
        <v>175</v>
      </c>
      <c r="F4337">
        <v>2213</v>
      </c>
      <c r="G4337">
        <v>2025</v>
      </c>
      <c r="H4337">
        <v>3</v>
      </c>
      <c r="I4337">
        <v>3</v>
      </c>
      <c r="J4337">
        <v>0</v>
      </c>
      <c r="K4337">
        <v>0</v>
      </c>
      <c r="L4337">
        <v>0</v>
      </c>
      <c r="M4337">
        <v>0</v>
      </c>
      <c r="N4337">
        <v>7</v>
      </c>
      <c r="O4337">
        <v>48</v>
      </c>
      <c r="P4337">
        <f t="shared" si="222"/>
        <v>2024</v>
      </c>
      <c r="Q4337">
        <f t="shared" si="223"/>
        <v>10</v>
      </c>
      <c r="R4337" t="str">
        <f t="shared" si="224"/>
        <v>首页推荐-直播</v>
      </c>
      <c r="S4337" t="s">
        <v>785</v>
      </c>
      <c r="T4337" t="s">
        <v>805</v>
      </c>
    </row>
    <row r="4338" spans="1:20" x14ac:dyDescent="0.3">
      <c r="A4338" t="s">
        <v>627</v>
      </c>
      <c r="B4338" s="16">
        <v>45593</v>
      </c>
      <c r="C4338" t="s">
        <v>3</v>
      </c>
      <c r="D4338" t="s">
        <v>127</v>
      </c>
      <c r="E4338" t="s">
        <v>176</v>
      </c>
      <c r="F4338">
        <v>676</v>
      </c>
      <c r="G4338">
        <v>307</v>
      </c>
      <c r="H4338">
        <v>12</v>
      </c>
      <c r="I4338">
        <v>3</v>
      </c>
      <c r="J4338">
        <v>11660</v>
      </c>
      <c r="K4338">
        <v>2</v>
      </c>
      <c r="L4338">
        <v>11660</v>
      </c>
      <c r="M4338">
        <v>2</v>
      </c>
      <c r="N4338">
        <v>32</v>
      </c>
      <c r="O4338">
        <v>175</v>
      </c>
      <c r="P4338">
        <f t="shared" si="222"/>
        <v>2024</v>
      </c>
      <c r="Q4338">
        <f t="shared" si="223"/>
        <v>10</v>
      </c>
      <c r="R4338" t="str">
        <f t="shared" si="224"/>
        <v>首页推荐-短视频</v>
      </c>
      <c r="S4338" t="s">
        <v>785</v>
      </c>
      <c r="T4338" t="s">
        <v>805</v>
      </c>
    </row>
    <row r="4339" spans="1:20" x14ac:dyDescent="0.3">
      <c r="A4339" t="s">
        <v>627</v>
      </c>
      <c r="B4339" s="16">
        <v>45593</v>
      </c>
      <c r="C4339" t="s">
        <v>3</v>
      </c>
      <c r="D4339" t="s">
        <v>128</v>
      </c>
      <c r="E4339" t="s">
        <v>177</v>
      </c>
      <c r="F4339">
        <v>1547</v>
      </c>
      <c r="G4339">
        <v>1148</v>
      </c>
      <c r="H4339">
        <v>66</v>
      </c>
      <c r="I4339">
        <v>31</v>
      </c>
      <c r="J4339">
        <v>38237</v>
      </c>
      <c r="K4339">
        <v>5</v>
      </c>
      <c r="L4339">
        <v>35737</v>
      </c>
      <c r="M4339">
        <v>4</v>
      </c>
      <c r="N4339">
        <v>348</v>
      </c>
      <c r="O4339">
        <v>1417</v>
      </c>
      <c r="P4339">
        <f t="shared" si="222"/>
        <v>2024</v>
      </c>
      <c r="Q4339">
        <f t="shared" si="223"/>
        <v>10</v>
      </c>
      <c r="R4339" t="str">
        <f t="shared" si="224"/>
        <v>手淘搜索-商品及其他</v>
      </c>
      <c r="S4339" t="s">
        <v>785</v>
      </c>
      <c r="T4339" t="s">
        <v>805</v>
      </c>
    </row>
    <row r="4340" spans="1:20" x14ac:dyDescent="0.3">
      <c r="A4340" t="s">
        <v>627</v>
      </c>
      <c r="B4340" s="16">
        <v>45593</v>
      </c>
      <c r="C4340" t="s">
        <v>3</v>
      </c>
      <c r="D4340" t="s">
        <v>128</v>
      </c>
      <c r="E4340" t="s">
        <v>178</v>
      </c>
      <c r="F4340">
        <v>39</v>
      </c>
      <c r="G4340">
        <v>33</v>
      </c>
      <c r="H4340">
        <v>0</v>
      </c>
      <c r="I4340">
        <v>1</v>
      </c>
      <c r="J4340">
        <v>0</v>
      </c>
      <c r="K4340">
        <v>0</v>
      </c>
      <c r="L4340">
        <v>0</v>
      </c>
      <c r="M4340">
        <v>0</v>
      </c>
      <c r="N4340">
        <v>2</v>
      </c>
      <c r="O4340">
        <v>10</v>
      </c>
      <c r="P4340">
        <f t="shared" si="222"/>
        <v>2024</v>
      </c>
      <c r="Q4340">
        <f t="shared" si="223"/>
        <v>10</v>
      </c>
      <c r="R4340" t="str">
        <f t="shared" si="224"/>
        <v>手淘搜索-直播</v>
      </c>
      <c r="S4340" t="s">
        <v>785</v>
      </c>
      <c r="T4340" t="s">
        <v>805</v>
      </c>
    </row>
    <row r="4341" spans="1:20" x14ac:dyDescent="0.3">
      <c r="A4341" t="s">
        <v>627</v>
      </c>
      <c r="B4341" s="16">
        <v>45593</v>
      </c>
      <c r="C4341" t="s">
        <v>3</v>
      </c>
      <c r="D4341" t="s">
        <v>128</v>
      </c>
      <c r="E4341" t="s">
        <v>179</v>
      </c>
      <c r="F4341">
        <v>119</v>
      </c>
      <c r="G4341">
        <v>100</v>
      </c>
      <c r="H4341">
        <v>1</v>
      </c>
      <c r="I4341">
        <v>1</v>
      </c>
      <c r="J4341">
        <v>0</v>
      </c>
      <c r="K4341">
        <v>0</v>
      </c>
      <c r="L4341">
        <v>0</v>
      </c>
      <c r="M4341">
        <v>0</v>
      </c>
      <c r="N4341">
        <v>2</v>
      </c>
      <c r="O4341">
        <v>114</v>
      </c>
      <c r="P4341">
        <f t="shared" si="222"/>
        <v>2024</v>
      </c>
      <c r="Q4341">
        <f t="shared" si="223"/>
        <v>10</v>
      </c>
      <c r="R4341" t="str">
        <f t="shared" si="224"/>
        <v>手淘搜索-短视频</v>
      </c>
      <c r="S4341" t="s">
        <v>785</v>
      </c>
      <c r="T4341" t="s">
        <v>805</v>
      </c>
    </row>
    <row r="4342" spans="1:20" x14ac:dyDescent="0.3">
      <c r="A4342" t="s">
        <v>627</v>
      </c>
      <c r="B4342" s="16">
        <v>45593</v>
      </c>
      <c r="C4342" t="s">
        <v>3</v>
      </c>
      <c r="D4342" t="s">
        <v>143</v>
      </c>
      <c r="E4342" t="s">
        <v>180</v>
      </c>
      <c r="F4342">
        <v>4</v>
      </c>
      <c r="G4342">
        <v>3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4</v>
      </c>
      <c r="P4342">
        <f t="shared" si="222"/>
        <v>2024</v>
      </c>
      <c r="Q4342">
        <f t="shared" si="223"/>
        <v>10</v>
      </c>
      <c r="R4342" t="str">
        <f t="shared" si="224"/>
        <v>淘特其他渠道</v>
      </c>
      <c r="S4342" t="s">
        <v>785</v>
      </c>
      <c r="T4342" t="s">
        <v>805</v>
      </c>
    </row>
    <row r="4343" spans="1:20" x14ac:dyDescent="0.3">
      <c r="A4343" t="s">
        <v>627</v>
      </c>
      <c r="B4343" s="16">
        <v>45593</v>
      </c>
      <c r="C4343" t="s">
        <v>3</v>
      </c>
      <c r="D4343" t="s">
        <v>143</v>
      </c>
      <c r="E4343" t="s">
        <v>181</v>
      </c>
      <c r="F4343">
        <v>20</v>
      </c>
      <c r="G4343">
        <v>20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20</v>
      </c>
      <c r="P4343">
        <f t="shared" si="222"/>
        <v>2024</v>
      </c>
      <c r="Q4343">
        <f t="shared" si="223"/>
        <v>10</v>
      </c>
      <c r="R4343" t="str">
        <f t="shared" si="224"/>
        <v>淘特搜索</v>
      </c>
      <c r="S4343" t="s">
        <v>785</v>
      </c>
      <c r="T4343" t="s">
        <v>805</v>
      </c>
    </row>
    <row r="4344" spans="1:20" x14ac:dyDescent="0.3">
      <c r="A4344" t="s">
        <v>627</v>
      </c>
      <c r="B4344" s="16">
        <v>45593</v>
      </c>
      <c r="C4344" t="s">
        <v>2</v>
      </c>
      <c r="D4344" t="s">
        <v>55</v>
      </c>
      <c r="E4344" t="s">
        <v>54</v>
      </c>
      <c r="F4344">
        <v>1914</v>
      </c>
      <c r="G4344">
        <v>1563</v>
      </c>
      <c r="H4344">
        <v>8</v>
      </c>
      <c r="I4344">
        <v>3</v>
      </c>
      <c r="J4344">
        <v>0</v>
      </c>
      <c r="K4344">
        <v>0</v>
      </c>
      <c r="L4344">
        <v>0</v>
      </c>
      <c r="M4344">
        <v>0</v>
      </c>
      <c r="N4344">
        <v>34</v>
      </c>
      <c r="O4344">
        <v>223</v>
      </c>
      <c r="P4344">
        <f t="shared" si="222"/>
        <v>2024</v>
      </c>
      <c r="Q4344">
        <f t="shared" si="223"/>
        <v>10</v>
      </c>
      <c r="R4344" t="str">
        <f t="shared" si="224"/>
        <v>超级直播</v>
      </c>
      <c r="S4344" t="s">
        <v>785</v>
      </c>
      <c r="T4344" t="s">
        <v>805</v>
      </c>
    </row>
    <row r="4345" spans="1:20" x14ac:dyDescent="0.3">
      <c r="A4345" t="s">
        <v>627</v>
      </c>
      <c r="B4345" s="16">
        <v>45593</v>
      </c>
      <c r="C4345" t="s">
        <v>2</v>
      </c>
      <c r="D4345" t="s">
        <v>55</v>
      </c>
      <c r="E4345" t="s">
        <v>56</v>
      </c>
      <c r="F4345">
        <v>188</v>
      </c>
      <c r="G4345">
        <v>136</v>
      </c>
      <c r="H4345">
        <v>6</v>
      </c>
      <c r="I4345">
        <v>5</v>
      </c>
      <c r="J4345">
        <v>0</v>
      </c>
      <c r="K4345">
        <v>0</v>
      </c>
      <c r="L4345">
        <v>0</v>
      </c>
      <c r="M4345">
        <v>0</v>
      </c>
      <c r="N4345">
        <v>2</v>
      </c>
      <c r="O4345">
        <v>145</v>
      </c>
      <c r="P4345">
        <f t="shared" si="222"/>
        <v>2024</v>
      </c>
      <c r="Q4345">
        <f t="shared" si="223"/>
        <v>10</v>
      </c>
      <c r="R4345" t="str">
        <f t="shared" si="224"/>
        <v>超级短视频</v>
      </c>
      <c r="S4345" t="s">
        <v>785</v>
      </c>
      <c r="T4345" t="s">
        <v>805</v>
      </c>
    </row>
    <row r="4346" spans="1:20" x14ac:dyDescent="0.3">
      <c r="A4346" t="s">
        <v>627</v>
      </c>
      <c r="B4346" s="16">
        <v>45593</v>
      </c>
      <c r="C4346" t="s">
        <v>2</v>
      </c>
      <c r="D4346" t="s">
        <v>52</v>
      </c>
      <c r="E4346" t="s">
        <v>51</v>
      </c>
      <c r="F4346">
        <v>1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1</v>
      </c>
      <c r="O4346">
        <v>0</v>
      </c>
      <c r="P4346">
        <f t="shared" si="222"/>
        <v>2024</v>
      </c>
      <c r="Q4346">
        <f t="shared" si="223"/>
        <v>10</v>
      </c>
      <c r="R4346" t="str">
        <f t="shared" si="224"/>
        <v>品牌定制</v>
      </c>
      <c r="S4346" t="s">
        <v>785</v>
      </c>
      <c r="T4346" t="s">
        <v>805</v>
      </c>
    </row>
    <row r="4347" spans="1:20" x14ac:dyDescent="0.3">
      <c r="A4347" t="s">
        <v>627</v>
      </c>
      <c r="B4347" s="16">
        <v>45593</v>
      </c>
      <c r="C4347" t="s">
        <v>2</v>
      </c>
      <c r="D4347" t="s">
        <v>52</v>
      </c>
      <c r="E4347" t="s">
        <v>183</v>
      </c>
      <c r="F4347">
        <v>693</v>
      </c>
      <c r="G4347">
        <v>539</v>
      </c>
      <c r="H4347">
        <v>30</v>
      </c>
      <c r="I4347">
        <v>11</v>
      </c>
      <c r="J4347">
        <v>19244.5</v>
      </c>
      <c r="K4347">
        <v>3</v>
      </c>
      <c r="L4347">
        <v>11579.5</v>
      </c>
      <c r="M4347">
        <v>2</v>
      </c>
      <c r="N4347">
        <v>693</v>
      </c>
      <c r="O4347">
        <v>428</v>
      </c>
      <c r="P4347">
        <f t="shared" si="222"/>
        <v>2024</v>
      </c>
      <c r="Q4347">
        <f t="shared" si="223"/>
        <v>10</v>
      </c>
      <c r="R4347" t="str">
        <f t="shared" si="224"/>
        <v>品销宝-品牌专区</v>
      </c>
      <c r="S4347" t="s">
        <v>785</v>
      </c>
      <c r="T4347" t="s">
        <v>805</v>
      </c>
    </row>
    <row r="4348" spans="1:20" x14ac:dyDescent="0.3">
      <c r="A4348" t="s">
        <v>627</v>
      </c>
      <c r="B4348" s="16">
        <v>45593</v>
      </c>
      <c r="C4348" t="s">
        <v>2</v>
      </c>
      <c r="D4348" t="s">
        <v>52</v>
      </c>
      <c r="E4348" t="s">
        <v>58</v>
      </c>
      <c r="F4348">
        <v>1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1</v>
      </c>
      <c r="P4348">
        <f t="shared" si="222"/>
        <v>2024</v>
      </c>
      <c r="Q4348">
        <f t="shared" si="223"/>
        <v>10</v>
      </c>
      <c r="R4348" t="str">
        <f t="shared" si="224"/>
        <v>超级全域通</v>
      </c>
      <c r="S4348" t="s">
        <v>785</v>
      </c>
      <c r="T4348" t="s">
        <v>805</v>
      </c>
    </row>
    <row r="4349" spans="1:20" x14ac:dyDescent="0.3">
      <c r="A4349" t="s">
        <v>627</v>
      </c>
      <c r="B4349" s="16">
        <v>45593</v>
      </c>
      <c r="C4349" t="s">
        <v>2</v>
      </c>
      <c r="D4349" t="s">
        <v>57</v>
      </c>
      <c r="E4349" t="s">
        <v>65</v>
      </c>
      <c r="F4349">
        <v>6108</v>
      </c>
      <c r="G4349">
        <v>5310</v>
      </c>
      <c r="H4349">
        <v>76</v>
      </c>
      <c r="I4349">
        <v>43</v>
      </c>
      <c r="J4349">
        <v>77885</v>
      </c>
      <c r="K4349">
        <v>10</v>
      </c>
      <c r="L4349">
        <v>28237</v>
      </c>
      <c r="M4349">
        <v>4</v>
      </c>
      <c r="N4349">
        <v>397</v>
      </c>
      <c r="O4349">
        <v>6060</v>
      </c>
      <c r="P4349">
        <f t="shared" si="222"/>
        <v>2024</v>
      </c>
      <c r="Q4349">
        <f t="shared" si="223"/>
        <v>10</v>
      </c>
      <c r="R4349" t="str">
        <f t="shared" si="224"/>
        <v>直通车</v>
      </c>
      <c r="S4349" t="s">
        <v>785</v>
      </c>
      <c r="T4349" t="s">
        <v>805</v>
      </c>
    </row>
    <row r="4350" spans="1:20" x14ac:dyDescent="0.3">
      <c r="A4350" t="s">
        <v>627</v>
      </c>
      <c r="B4350" s="16">
        <v>45593</v>
      </c>
      <c r="C4350" t="s">
        <v>2</v>
      </c>
      <c r="D4350" t="s">
        <v>57</v>
      </c>
      <c r="E4350" t="s">
        <v>63</v>
      </c>
      <c r="F4350">
        <v>4603</v>
      </c>
      <c r="G4350">
        <v>2435</v>
      </c>
      <c r="H4350">
        <v>147</v>
      </c>
      <c r="I4350">
        <v>63</v>
      </c>
      <c r="J4350">
        <v>112689</v>
      </c>
      <c r="K4350">
        <v>16</v>
      </c>
      <c r="L4350">
        <v>37104</v>
      </c>
      <c r="M4350">
        <v>6</v>
      </c>
      <c r="N4350">
        <v>217</v>
      </c>
      <c r="O4350">
        <v>4599</v>
      </c>
      <c r="P4350">
        <f t="shared" si="222"/>
        <v>2024</v>
      </c>
      <c r="Q4350">
        <f t="shared" si="223"/>
        <v>10</v>
      </c>
      <c r="R4350" t="str">
        <f t="shared" si="224"/>
        <v>万相台</v>
      </c>
      <c r="S4350" t="s">
        <v>785</v>
      </c>
      <c r="T4350" t="s">
        <v>805</v>
      </c>
    </row>
    <row r="4351" spans="1:20" x14ac:dyDescent="0.3">
      <c r="A4351" t="s">
        <v>627</v>
      </c>
      <c r="B4351" s="16">
        <v>45593</v>
      </c>
      <c r="C4351" t="s">
        <v>2</v>
      </c>
      <c r="D4351" t="s">
        <v>57</v>
      </c>
      <c r="E4351" t="s">
        <v>64</v>
      </c>
      <c r="F4351">
        <v>6044</v>
      </c>
      <c r="G4351">
        <v>2427</v>
      </c>
      <c r="H4351">
        <v>154</v>
      </c>
      <c r="I4351">
        <v>73</v>
      </c>
      <c r="J4351">
        <v>40092.5</v>
      </c>
      <c r="K4351">
        <v>9</v>
      </c>
      <c r="L4351">
        <v>14830</v>
      </c>
      <c r="M4351">
        <v>4</v>
      </c>
      <c r="N4351">
        <v>477</v>
      </c>
      <c r="O4351">
        <v>6043</v>
      </c>
      <c r="P4351">
        <f t="shared" si="222"/>
        <v>2024</v>
      </c>
      <c r="Q4351">
        <f t="shared" si="223"/>
        <v>10</v>
      </c>
      <c r="R4351" t="str">
        <f t="shared" si="224"/>
        <v>引力魔方</v>
      </c>
      <c r="S4351" t="s">
        <v>785</v>
      </c>
      <c r="T4351" t="s">
        <v>805</v>
      </c>
    </row>
    <row r="4352" spans="1:20" x14ac:dyDescent="0.3">
      <c r="A4352" t="s">
        <v>627</v>
      </c>
      <c r="B4352" s="16">
        <v>45593</v>
      </c>
      <c r="C4352" t="s">
        <v>2</v>
      </c>
      <c r="D4352" t="s">
        <v>4</v>
      </c>
      <c r="E4352" t="s">
        <v>41</v>
      </c>
      <c r="F4352">
        <v>1</v>
      </c>
      <c r="G4352">
        <v>1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1</v>
      </c>
      <c r="O4352">
        <v>1</v>
      </c>
      <c r="P4352">
        <f t="shared" si="222"/>
        <v>2024</v>
      </c>
      <c r="Q4352">
        <f t="shared" si="223"/>
        <v>10</v>
      </c>
      <c r="R4352" t="str">
        <f t="shared" si="224"/>
        <v>流量宝</v>
      </c>
      <c r="S4352" t="s">
        <v>785</v>
      </c>
      <c r="T4352" t="s">
        <v>805</v>
      </c>
    </row>
    <row r="4353" spans="1:20" x14ac:dyDescent="0.3">
      <c r="A4353" t="s">
        <v>627</v>
      </c>
      <c r="B4353" s="16">
        <v>45593</v>
      </c>
      <c r="C4353" t="s">
        <v>2</v>
      </c>
      <c r="D4353" t="s">
        <v>4</v>
      </c>
      <c r="E4353" t="s">
        <v>43</v>
      </c>
      <c r="F4353">
        <v>308</v>
      </c>
      <c r="G4353">
        <v>119</v>
      </c>
      <c r="H4353">
        <v>12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24</v>
      </c>
      <c r="O4353">
        <v>294</v>
      </c>
      <c r="P4353">
        <f t="shared" si="222"/>
        <v>2024</v>
      </c>
      <c r="Q4353">
        <f t="shared" si="223"/>
        <v>10</v>
      </c>
      <c r="R4353" t="str">
        <f t="shared" si="224"/>
        <v>淘宝客</v>
      </c>
      <c r="S4353" t="s">
        <v>785</v>
      </c>
      <c r="T4353" t="s">
        <v>805</v>
      </c>
    </row>
    <row r="4354" spans="1:20" x14ac:dyDescent="0.3">
      <c r="A4354" t="s">
        <v>627</v>
      </c>
      <c r="B4354" s="16">
        <v>45592</v>
      </c>
      <c r="C4354" t="s">
        <v>3</v>
      </c>
      <c r="D4354" t="s">
        <v>114</v>
      </c>
      <c r="E4354" t="s">
        <v>159</v>
      </c>
      <c r="F4354">
        <v>1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1</v>
      </c>
      <c r="P4354">
        <f t="shared" si="222"/>
        <v>2024</v>
      </c>
      <c r="Q4354">
        <f t="shared" si="223"/>
        <v>10</v>
      </c>
      <c r="R4354" t="str">
        <f t="shared" si="224"/>
        <v>主会场</v>
      </c>
      <c r="S4354" t="s">
        <v>785</v>
      </c>
      <c r="T4354" t="s">
        <v>805</v>
      </c>
    </row>
    <row r="4355" spans="1:20" x14ac:dyDescent="0.3">
      <c r="A4355" t="s">
        <v>627</v>
      </c>
      <c r="B4355" s="16">
        <v>45592</v>
      </c>
      <c r="C4355" t="s">
        <v>3</v>
      </c>
      <c r="D4355" t="s">
        <v>117</v>
      </c>
      <c r="E4355" t="s">
        <v>161</v>
      </c>
      <c r="F4355">
        <v>19</v>
      </c>
      <c r="G4355">
        <v>7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4</v>
      </c>
      <c r="O4355">
        <v>19</v>
      </c>
      <c r="P4355">
        <f t="shared" si="222"/>
        <v>2024</v>
      </c>
      <c r="Q4355">
        <f t="shared" si="223"/>
        <v>10</v>
      </c>
      <c r="R4355" t="str">
        <f t="shared" si="224"/>
        <v>其他入口榜单</v>
      </c>
      <c r="S4355" t="s">
        <v>785</v>
      </c>
      <c r="T4355" t="s">
        <v>805</v>
      </c>
    </row>
    <row r="4356" spans="1:20" x14ac:dyDescent="0.3">
      <c r="A4356" t="s">
        <v>627</v>
      </c>
      <c r="B4356" s="16">
        <v>45592</v>
      </c>
      <c r="C4356" t="s">
        <v>3</v>
      </c>
      <c r="D4356" t="s">
        <v>120</v>
      </c>
      <c r="E4356" t="s">
        <v>163</v>
      </c>
      <c r="F4356">
        <v>64</v>
      </c>
      <c r="G4356">
        <v>20</v>
      </c>
      <c r="H4356">
        <v>4</v>
      </c>
      <c r="I4356">
        <v>0</v>
      </c>
      <c r="J4356">
        <v>10500</v>
      </c>
      <c r="K4356">
        <v>1</v>
      </c>
      <c r="L4356">
        <v>10500</v>
      </c>
      <c r="M4356">
        <v>1</v>
      </c>
      <c r="N4356">
        <v>18</v>
      </c>
      <c r="O4356">
        <v>58</v>
      </c>
      <c r="P4356">
        <f t="shared" si="222"/>
        <v>2024</v>
      </c>
      <c r="Q4356">
        <f t="shared" si="223"/>
        <v>10</v>
      </c>
      <c r="R4356" t="str">
        <f t="shared" si="224"/>
        <v>手猫免费其他</v>
      </c>
      <c r="S4356" t="s">
        <v>785</v>
      </c>
      <c r="T4356" t="s">
        <v>805</v>
      </c>
    </row>
    <row r="4357" spans="1:20" x14ac:dyDescent="0.3">
      <c r="A4357" t="s">
        <v>627</v>
      </c>
      <c r="B4357" s="16">
        <v>45592</v>
      </c>
      <c r="C4357" t="s">
        <v>3</v>
      </c>
      <c r="D4357" t="s">
        <v>120</v>
      </c>
      <c r="E4357" t="s">
        <v>164</v>
      </c>
      <c r="F4357">
        <v>41</v>
      </c>
      <c r="G4357">
        <v>13</v>
      </c>
      <c r="H4357">
        <v>7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41</v>
      </c>
      <c r="P4357">
        <f t="shared" si="222"/>
        <v>2024</v>
      </c>
      <c r="Q4357">
        <f t="shared" si="223"/>
        <v>10</v>
      </c>
      <c r="R4357" t="str">
        <f t="shared" si="224"/>
        <v>手猫其他店铺</v>
      </c>
      <c r="S4357" t="s">
        <v>785</v>
      </c>
      <c r="T4357" t="s">
        <v>805</v>
      </c>
    </row>
    <row r="4358" spans="1:20" x14ac:dyDescent="0.3">
      <c r="A4358" t="s">
        <v>627</v>
      </c>
      <c r="B4358" s="16">
        <v>45592</v>
      </c>
      <c r="C4358" t="s">
        <v>3</v>
      </c>
      <c r="D4358" t="s">
        <v>120</v>
      </c>
      <c r="E4358" t="s">
        <v>165</v>
      </c>
      <c r="F4358">
        <v>67</v>
      </c>
      <c r="G4358">
        <v>28</v>
      </c>
      <c r="H4358">
        <v>6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11</v>
      </c>
      <c r="O4358">
        <v>66</v>
      </c>
      <c r="P4358">
        <f t="shared" si="222"/>
        <v>2024</v>
      </c>
      <c r="Q4358">
        <f t="shared" si="223"/>
        <v>10</v>
      </c>
      <c r="R4358" t="str">
        <f t="shared" si="224"/>
        <v>手猫商品详情</v>
      </c>
      <c r="S4358" t="s">
        <v>785</v>
      </c>
      <c r="T4358" t="s">
        <v>805</v>
      </c>
    </row>
    <row r="4359" spans="1:20" x14ac:dyDescent="0.3">
      <c r="A4359" t="s">
        <v>627</v>
      </c>
      <c r="B4359" s="16">
        <v>45592</v>
      </c>
      <c r="C4359" t="s">
        <v>3</v>
      </c>
      <c r="D4359" t="s">
        <v>120</v>
      </c>
      <c r="E4359" t="s">
        <v>166</v>
      </c>
      <c r="F4359">
        <v>114</v>
      </c>
      <c r="G4359">
        <v>62</v>
      </c>
      <c r="H4359">
        <v>5</v>
      </c>
      <c r="I4359">
        <v>0</v>
      </c>
      <c r="J4359">
        <v>7377.5</v>
      </c>
      <c r="K4359">
        <v>2</v>
      </c>
      <c r="L4359">
        <v>3980</v>
      </c>
      <c r="M4359">
        <v>1</v>
      </c>
      <c r="N4359">
        <v>31</v>
      </c>
      <c r="O4359">
        <v>108</v>
      </c>
      <c r="P4359">
        <f t="shared" si="222"/>
        <v>2024</v>
      </c>
      <c r="Q4359">
        <f t="shared" si="223"/>
        <v>10</v>
      </c>
      <c r="R4359" t="str">
        <f t="shared" si="224"/>
        <v>手猫搜索</v>
      </c>
      <c r="S4359" t="s">
        <v>785</v>
      </c>
      <c r="T4359" t="s">
        <v>805</v>
      </c>
    </row>
    <row r="4360" spans="1:20" x14ac:dyDescent="0.3">
      <c r="A4360" t="s">
        <v>627</v>
      </c>
      <c r="B4360" s="16">
        <v>45592</v>
      </c>
      <c r="C4360" t="s">
        <v>3</v>
      </c>
      <c r="D4360" t="s">
        <v>120</v>
      </c>
      <c r="E4360" t="s">
        <v>167</v>
      </c>
      <c r="F4360">
        <v>3</v>
      </c>
      <c r="G4360">
        <v>0</v>
      </c>
      <c r="H4360">
        <v>0</v>
      </c>
      <c r="I4360">
        <v>0</v>
      </c>
      <c r="J4360">
        <v>27950</v>
      </c>
      <c r="K4360">
        <v>2</v>
      </c>
      <c r="L4360">
        <v>27950</v>
      </c>
      <c r="M4360">
        <v>2</v>
      </c>
      <c r="N4360">
        <v>1</v>
      </c>
      <c r="O4360">
        <v>3</v>
      </c>
      <c r="P4360">
        <f t="shared" si="222"/>
        <v>2024</v>
      </c>
      <c r="Q4360">
        <f t="shared" si="223"/>
        <v>10</v>
      </c>
      <c r="R4360" t="str">
        <f t="shared" si="224"/>
        <v>手猫旺信聊天</v>
      </c>
      <c r="S4360" t="s">
        <v>785</v>
      </c>
      <c r="T4360" t="s">
        <v>805</v>
      </c>
    </row>
    <row r="4361" spans="1:20" x14ac:dyDescent="0.3">
      <c r="A4361" t="s">
        <v>627</v>
      </c>
      <c r="B4361" s="16">
        <v>45592</v>
      </c>
      <c r="C4361" t="s">
        <v>3</v>
      </c>
      <c r="D4361" t="s">
        <v>120</v>
      </c>
      <c r="E4361" t="s">
        <v>192</v>
      </c>
      <c r="F4361">
        <v>10</v>
      </c>
      <c r="G4361">
        <v>2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2</v>
      </c>
      <c r="O4361">
        <v>10</v>
      </c>
      <c r="P4361">
        <f t="shared" si="222"/>
        <v>2024</v>
      </c>
      <c r="Q4361">
        <f t="shared" si="223"/>
        <v>10</v>
      </c>
      <c r="R4361" t="str">
        <f t="shared" si="224"/>
        <v>手猫消息中心</v>
      </c>
      <c r="S4361" t="s">
        <v>785</v>
      </c>
      <c r="T4361" t="s">
        <v>805</v>
      </c>
    </row>
    <row r="4362" spans="1:20" x14ac:dyDescent="0.3">
      <c r="A4362" t="s">
        <v>627</v>
      </c>
      <c r="B4362" s="16">
        <v>45592</v>
      </c>
      <c r="C4362" t="s">
        <v>3</v>
      </c>
      <c r="D4362" t="s">
        <v>120</v>
      </c>
      <c r="E4362" t="s">
        <v>168</v>
      </c>
      <c r="F4362">
        <v>478</v>
      </c>
      <c r="G4362">
        <v>231</v>
      </c>
      <c r="H4362">
        <v>13</v>
      </c>
      <c r="I4362">
        <v>0</v>
      </c>
      <c r="J4362">
        <v>19012.5</v>
      </c>
      <c r="K4362">
        <v>4</v>
      </c>
      <c r="L4362">
        <v>11547.5</v>
      </c>
      <c r="M4362">
        <v>2</v>
      </c>
      <c r="N4362">
        <v>37</v>
      </c>
      <c r="O4362">
        <v>478</v>
      </c>
      <c r="P4362">
        <f t="shared" si="222"/>
        <v>2024</v>
      </c>
      <c r="Q4362">
        <f t="shared" si="223"/>
        <v>10</v>
      </c>
      <c r="R4362" t="str">
        <f t="shared" si="224"/>
        <v>手猫首页</v>
      </c>
      <c r="S4362" t="s">
        <v>785</v>
      </c>
      <c r="T4362" t="s">
        <v>805</v>
      </c>
    </row>
    <row r="4363" spans="1:20" x14ac:dyDescent="0.3">
      <c r="A4363" t="s">
        <v>627</v>
      </c>
      <c r="B4363" s="16">
        <v>45592</v>
      </c>
      <c r="C4363" t="s">
        <v>3</v>
      </c>
      <c r="D4363" t="s">
        <v>123</v>
      </c>
      <c r="E4363" t="s">
        <v>169</v>
      </c>
      <c r="F4363">
        <v>328</v>
      </c>
      <c r="G4363">
        <v>118</v>
      </c>
      <c r="H4363">
        <v>22</v>
      </c>
      <c r="I4363">
        <v>11</v>
      </c>
      <c r="J4363">
        <v>33123.56</v>
      </c>
      <c r="K4363">
        <v>11</v>
      </c>
      <c r="L4363">
        <v>26063.56</v>
      </c>
      <c r="M4363">
        <v>9</v>
      </c>
      <c r="N4363">
        <v>53</v>
      </c>
      <c r="O4363">
        <v>321</v>
      </c>
      <c r="P4363">
        <f t="shared" si="222"/>
        <v>2024</v>
      </c>
      <c r="Q4363">
        <f t="shared" si="223"/>
        <v>10</v>
      </c>
      <c r="R4363" t="str">
        <f t="shared" si="224"/>
        <v>商品详情页头图推荐</v>
      </c>
      <c r="S4363" t="s">
        <v>785</v>
      </c>
      <c r="T4363" t="s">
        <v>805</v>
      </c>
    </row>
    <row r="4364" spans="1:20" x14ac:dyDescent="0.3">
      <c r="A4364" t="s">
        <v>627</v>
      </c>
      <c r="B4364" s="16">
        <v>45592</v>
      </c>
      <c r="C4364" t="s">
        <v>3</v>
      </c>
      <c r="D4364" t="s">
        <v>123</v>
      </c>
      <c r="E4364" t="s">
        <v>170</v>
      </c>
      <c r="F4364">
        <v>70</v>
      </c>
      <c r="G4364">
        <v>33</v>
      </c>
      <c r="H4364">
        <v>1</v>
      </c>
      <c r="I4364">
        <v>1</v>
      </c>
      <c r="J4364">
        <v>15493.78</v>
      </c>
      <c r="K4364">
        <v>3</v>
      </c>
      <c r="L4364">
        <v>4938.78</v>
      </c>
      <c r="M4364">
        <v>1</v>
      </c>
      <c r="N4364">
        <v>60</v>
      </c>
      <c r="O4364">
        <v>39</v>
      </c>
      <c r="P4364">
        <f t="shared" si="222"/>
        <v>2024</v>
      </c>
      <c r="Q4364">
        <f t="shared" si="223"/>
        <v>10</v>
      </c>
      <c r="R4364" t="str">
        <f t="shared" si="224"/>
        <v>店铺超链</v>
      </c>
      <c r="S4364" t="s">
        <v>785</v>
      </c>
      <c r="T4364" t="s">
        <v>805</v>
      </c>
    </row>
    <row r="4365" spans="1:20" x14ac:dyDescent="0.3">
      <c r="A4365" t="s">
        <v>627</v>
      </c>
      <c r="B4365" s="16">
        <v>45592</v>
      </c>
      <c r="C4365" t="s">
        <v>2</v>
      </c>
      <c r="D4365" t="s">
        <v>52</v>
      </c>
      <c r="E4365" t="s">
        <v>59</v>
      </c>
      <c r="F4365">
        <v>1411</v>
      </c>
      <c r="G4365">
        <v>1090</v>
      </c>
      <c r="H4365">
        <v>6</v>
      </c>
      <c r="I4365">
        <v>6</v>
      </c>
      <c r="J4365">
        <v>13520</v>
      </c>
      <c r="K4365">
        <v>3</v>
      </c>
      <c r="L4365">
        <v>5855</v>
      </c>
      <c r="M4365">
        <v>2</v>
      </c>
      <c r="N4365">
        <v>1223</v>
      </c>
      <c r="O4365">
        <v>207</v>
      </c>
      <c r="P4365">
        <f t="shared" si="222"/>
        <v>2024</v>
      </c>
      <c r="Q4365">
        <f t="shared" si="223"/>
        <v>10</v>
      </c>
      <c r="R4365" t="s">
        <v>171</v>
      </c>
      <c r="S4365" t="s">
        <v>785</v>
      </c>
      <c r="T4365" t="s">
        <v>805</v>
      </c>
    </row>
    <row r="4366" spans="1:20" x14ac:dyDescent="0.3">
      <c r="A4366" t="s">
        <v>627</v>
      </c>
      <c r="B4366" s="16">
        <v>45592</v>
      </c>
      <c r="C4366" t="s">
        <v>3</v>
      </c>
      <c r="D4366" t="s">
        <v>127</v>
      </c>
      <c r="E4366" t="s">
        <v>172</v>
      </c>
      <c r="F4366">
        <v>30</v>
      </c>
      <c r="G4366">
        <v>14</v>
      </c>
      <c r="H4366">
        <v>1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9</v>
      </c>
      <c r="O4366">
        <v>21</v>
      </c>
      <c r="P4366">
        <f t="shared" si="222"/>
        <v>2024</v>
      </c>
      <c r="Q4366">
        <f t="shared" si="223"/>
        <v>10</v>
      </c>
      <c r="R4366" t="str">
        <f t="shared" si="224"/>
        <v>购中推荐</v>
      </c>
      <c r="S4366" t="s">
        <v>785</v>
      </c>
      <c r="T4366" t="s">
        <v>805</v>
      </c>
    </row>
    <row r="4367" spans="1:20" x14ac:dyDescent="0.3">
      <c r="A4367" t="s">
        <v>627</v>
      </c>
      <c r="B4367" s="16">
        <v>45592</v>
      </c>
      <c r="C4367" t="s">
        <v>3</v>
      </c>
      <c r="D4367" t="s">
        <v>127</v>
      </c>
      <c r="E4367" t="s">
        <v>173</v>
      </c>
      <c r="F4367">
        <v>121</v>
      </c>
      <c r="G4367">
        <v>83</v>
      </c>
      <c r="H4367">
        <v>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50</v>
      </c>
      <c r="O4367">
        <v>62</v>
      </c>
      <c r="P4367">
        <f t="shared" si="222"/>
        <v>2024</v>
      </c>
      <c r="Q4367">
        <f t="shared" si="223"/>
        <v>10</v>
      </c>
      <c r="R4367" t="str">
        <f t="shared" si="224"/>
        <v>购后推荐</v>
      </c>
      <c r="S4367" t="s">
        <v>785</v>
      </c>
      <c r="T4367" t="s">
        <v>805</v>
      </c>
    </row>
    <row r="4368" spans="1:20" x14ac:dyDescent="0.3">
      <c r="A4368" t="s">
        <v>627</v>
      </c>
      <c r="B4368" s="16">
        <v>45592</v>
      </c>
      <c r="C4368" t="s">
        <v>3</v>
      </c>
      <c r="D4368" t="s">
        <v>127</v>
      </c>
      <c r="E4368" t="s">
        <v>174</v>
      </c>
      <c r="F4368">
        <v>3098</v>
      </c>
      <c r="G4368">
        <v>1387</v>
      </c>
      <c r="H4368">
        <v>104</v>
      </c>
      <c r="I4368">
        <v>33</v>
      </c>
      <c r="J4368">
        <v>69804.59</v>
      </c>
      <c r="K4368">
        <v>16</v>
      </c>
      <c r="L4368">
        <v>50169.59</v>
      </c>
      <c r="M4368">
        <v>12</v>
      </c>
      <c r="N4368">
        <v>268</v>
      </c>
      <c r="O4368">
        <v>3098</v>
      </c>
      <c r="P4368">
        <f t="shared" si="222"/>
        <v>2024</v>
      </c>
      <c r="Q4368">
        <f t="shared" si="223"/>
        <v>10</v>
      </c>
      <c r="R4368" t="str">
        <f t="shared" si="224"/>
        <v>首页推荐-微详情</v>
      </c>
      <c r="S4368" t="s">
        <v>785</v>
      </c>
      <c r="T4368" t="s">
        <v>805</v>
      </c>
    </row>
    <row r="4369" spans="1:20" x14ac:dyDescent="0.3">
      <c r="A4369" t="s">
        <v>627</v>
      </c>
      <c r="B4369" s="16">
        <v>45592</v>
      </c>
      <c r="C4369" t="s">
        <v>3</v>
      </c>
      <c r="D4369" t="s">
        <v>127</v>
      </c>
      <c r="E4369" t="s">
        <v>175</v>
      </c>
      <c r="F4369">
        <v>4</v>
      </c>
      <c r="G4369">
        <v>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f t="shared" si="222"/>
        <v>2024</v>
      </c>
      <c r="Q4369">
        <f t="shared" si="223"/>
        <v>10</v>
      </c>
      <c r="R4369" t="str">
        <f t="shared" si="224"/>
        <v>首页推荐-直播</v>
      </c>
      <c r="S4369" t="s">
        <v>785</v>
      </c>
      <c r="T4369" t="s">
        <v>805</v>
      </c>
    </row>
    <row r="4370" spans="1:20" x14ac:dyDescent="0.3">
      <c r="A4370" t="s">
        <v>627</v>
      </c>
      <c r="B4370" s="16">
        <v>45592</v>
      </c>
      <c r="C4370" t="s">
        <v>3</v>
      </c>
      <c r="D4370" t="s">
        <v>127</v>
      </c>
      <c r="E4370" t="s">
        <v>176</v>
      </c>
      <c r="F4370">
        <v>617</v>
      </c>
      <c r="G4370">
        <v>254</v>
      </c>
      <c r="H4370">
        <v>9</v>
      </c>
      <c r="I4370">
        <v>3</v>
      </c>
      <c r="J4370">
        <v>2550</v>
      </c>
      <c r="K4370">
        <v>1</v>
      </c>
      <c r="L4370">
        <v>2550</v>
      </c>
      <c r="M4370">
        <v>1</v>
      </c>
      <c r="N4370">
        <v>18</v>
      </c>
      <c r="O4370">
        <v>165</v>
      </c>
      <c r="P4370">
        <f t="shared" si="222"/>
        <v>2024</v>
      </c>
      <c r="Q4370">
        <f t="shared" si="223"/>
        <v>10</v>
      </c>
      <c r="R4370" t="str">
        <f t="shared" si="224"/>
        <v>首页推荐-短视频</v>
      </c>
      <c r="S4370" t="s">
        <v>785</v>
      </c>
      <c r="T4370" t="s">
        <v>805</v>
      </c>
    </row>
    <row r="4371" spans="1:20" x14ac:dyDescent="0.3">
      <c r="A4371" t="s">
        <v>627</v>
      </c>
      <c r="B4371" s="16">
        <v>45592</v>
      </c>
      <c r="C4371" t="s">
        <v>3</v>
      </c>
      <c r="D4371" t="s">
        <v>128</v>
      </c>
      <c r="E4371" t="s">
        <v>177</v>
      </c>
      <c r="F4371">
        <v>1519</v>
      </c>
      <c r="G4371">
        <v>1104</v>
      </c>
      <c r="H4371">
        <v>61</v>
      </c>
      <c r="I4371">
        <v>26</v>
      </c>
      <c r="J4371">
        <v>52349.56</v>
      </c>
      <c r="K4371">
        <v>10</v>
      </c>
      <c r="L4371">
        <v>50869.56</v>
      </c>
      <c r="M4371">
        <v>9</v>
      </c>
      <c r="N4371">
        <v>373</v>
      </c>
      <c r="O4371">
        <v>1398</v>
      </c>
      <c r="P4371">
        <f t="shared" si="222"/>
        <v>2024</v>
      </c>
      <c r="Q4371">
        <f t="shared" si="223"/>
        <v>10</v>
      </c>
      <c r="R4371" t="str">
        <f t="shared" si="224"/>
        <v>手淘搜索-商品及其他</v>
      </c>
      <c r="S4371" t="s">
        <v>785</v>
      </c>
      <c r="T4371" t="s">
        <v>805</v>
      </c>
    </row>
    <row r="4372" spans="1:20" x14ac:dyDescent="0.3">
      <c r="A4372" t="s">
        <v>627</v>
      </c>
      <c r="B4372" s="16">
        <v>45592</v>
      </c>
      <c r="C4372" t="s">
        <v>3</v>
      </c>
      <c r="D4372" t="s">
        <v>128</v>
      </c>
      <c r="E4372" t="s">
        <v>179</v>
      </c>
      <c r="F4372">
        <v>145</v>
      </c>
      <c r="G4372">
        <v>123</v>
      </c>
      <c r="H4372">
        <v>1</v>
      </c>
      <c r="I4372">
        <v>1</v>
      </c>
      <c r="J4372">
        <v>0</v>
      </c>
      <c r="K4372">
        <v>0</v>
      </c>
      <c r="L4372">
        <v>0</v>
      </c>
      <c r="M4372">
        <v>0</v>
      </c>
      <c r="N4372">
        <v>5</v>
      </c>
      <c r="O4372">
        <v>139</v>
      </c>
      <c r="P4372">
        <f t="shared" si="222"/>
        <v>2024</v>
      </c>
      <c r="Q4372">
        <f t="shared" si="223"/>
        <v>10</v>
      </c>
      <c r="R4372" t="str">
        <f t="shared" si="224"/>
        <v>手淘搜索-短视频</v>
      </c>
      <c r="S4372" t="s">
        <v>785</v>
      </c>
      <c r="T4372" t="s">
        <v>805</v>
      </c>
    </row>
    <row r="4373" spans="1:20" x14ac:dyDescent="0.3">
      <c r="A4373" t="s">
        <v>627</v>
      </c>
      <c r="B4373" s="16">
        <v>45592</v>
      </c>
      <c r="C4373" t="s">
        <v>3</v>
      </c>
      <c r="D4373" t="s">
        <v>143</v>
      </c>
      <c r="E4373" t="s">
        <v>180</v>
      </c>
      <c r="F4373">
        <v>7</v>
      </c>
      <c r="G4373">
        <v>7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7</v>
      </c>
      <c r="P4373">
        <f t="shared" si="222"/>
        <v>2024</v>
      </c>
      <c r="Q4373">
        <f t="shared" si="223"/>
        <v>10</v>
      </c>
      <c r="R4373" t="str">
        <f t="shared" si="224"/>
        <v>淘特其他渠道</v>
      </c>
      <c r="S4373" t="s">
        <v>785</v>
      </c>
      <c r="T4373" t="s">
        <v>805</v>
      </c>
    </row>
    <row r="4374" spans="1:20" x14ac:dyDescent="0.3">
      <c r="A4374" t="s">
        <v>627</v>
      </c>
      <c r="B4374" s="16">
        <v>45592</v>
      </c>
      <c r="C4374" t="s">
        <v>3</v>
      </c>
      <c r="D4374" t="s">
        <v>143</v>
      </c>
      <c r="E4374" t="s">
        <v>197</v>
      </c>
      <c r="F4374">
        <v>1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1</v>
      </c>
      <c r="P4374">
        <f t="shared" si="222"/>
        <v>2024</v>
      </c>
      <c r="Q4374">
        <f t="shared" si="223"/>
        <v>10</v>
      </c>
      <c r="R4374" t="str">
        <f t="shared" si="224"/>
        <v>淘特推荐</v>
      </c>
      <c r="S4374" t="s">
        <v>785</v>
      </c>
      <c r="T4374" t="s">
        <v>805</v>
      </c>
    </row>
    <row r="4375" spans="1:20" x14ac:dyDescent="0.3">
      <c r="A4375" t="s">
        <v>627</v>
      </c>
      <c r="B4375" s="16">
        <v>45592</v>
      </c>
      <c r="C4375" t="s">
        <v>3</v>
      </c>
      <c r="D4375" t="s">
        <v>143</v>
      </c>
      <c r="E4375" t="s">
        <v>181</v>
      </c>
      <c r="F4375">
        <v>17</v>
      </c>
      <c r="G4375">
        <v>16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17</v>
      </c>
      <c r="P4375">
        <f t="shared" si="222"/>
        <v>2024</v>
      </c>
      <c r="Q4375">
        <f t="shared" si="223"/>
        <v>10</v>
      </c>
      <c r="R4375" t="str">
        <f t="shared" si="224"/>
        <v>淘特搜索</v>
      </c>
      <c r="S4375" t="s">
        <v>785</v>
      </c>
      <c r="T4375" t="s">
        <v>805</v>
      </c>
    </row>
    <row r="4376" spans="1:20" x14ac:dyDescent="0.3">
      <c r="A4376" t="s">
        <v>627</v>
      </c>
      <c r="B4376" s="16">
        <v>45592</v>
      </c>
      <c r="C4376" t="s">
        <v>2</v>
      </c>
      <c r="D4376" t="s">
        <v>55</v>
      </c>
      <c r="E4376" t="s">
        <v>54</v>
      </c>
      <c r="F4376">
        <v>1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f t="shared" si="222"/>
        <v>2024</v>
      </c>
      <c r="Q4376">
        <f t="shared" si="223"/>
        <v>10</v>
      </c>
      <c r="R4376" t="str">
        <f t="shared" si="224"/>
        <v>超级直播</v>
      </c>
      <c r="S4376" t="s">
        <v>785</v>
      </c>
      <c r="T4376" t="s">
        <v>805</v>
      </c>
    </row>
    <row r="4377" spans="1:20" x14ac:dyDescent="0.3">
      <c r="A4377" t="s">
        <v>627</v>
      </c>
      <c r="B4377" s="16">
        <v>45592</v>
      </c>
      <c r="C4377" t="s">
        <v>2</v>
      </c>
      <c r="D4377" t="s">
        <v>55</v>
      </c>
      <c r="E4377" t="s">
        <v>56</v>
      </c>
      <c r="F4377">
        <v>256</v>
      </c>
      <c r="G4377">
        <v>194</v>
      </c>
      <c r="H4377">
        <v>8</v>
      </c>
      <c r="I4377">
        <v>7</v>
      </c>
      <c r="J4377">
        <v>0</v>
      </c>
      <c r="K4377">
        <v>0</v>
      </c>
      <c r="L4377">
        <v>0</v>
      </c>
      <c r="M4377">
        <v>0</v>
      </c>
      <c r="N4377">
        <v>6</v>
      </c>
      <c r="O4377">
        <v>215</v>
      </c>
      <c r="P4377">
        <f t="shared" si="222"/>
        <v>2024</v>
      </c>
      <c r="Q4377">
        <f t="shared" si="223"/>
        <v>10</v>
      </c>
      <c r="R4377" t="str">
        <f t="shared" si="224"/>
        <v>超级短视频</v>
      </c>
      <c r="S4377" t="s">
        <v>785</v>
      </c>
      <c r="T4377" t="s">
        <v>805</v>
      </c>
    </row>
    <row r="4378" spans="1:20" x14ac:dyDescent="0.3">
      <c r="A4378" t="s">
        <v>627</v>
      </c>
      <c r="B4378" s="16">
        <v>45592</v>
      </c>
      <c r="C4378" t="s">
        <v>2</v>
      </c>
      <c r="D4378" t="s">
        <v>52</v>
      </c>
      <c r="E4378" t="s">
        <v>59</v>
      </c>
      <c r="F4378">
        <v>1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1</v>
      </c>
      <c r="O4378">
        <v>0</v>
      </c>
      <c r="P4378">
        <f t="shared" si="222"/>
        <v>2024</v>
      </c>
      <c r="Q4378">
        <f t="shared" si="223"/>
        <v>10</v>
      </c>
      <c r="R4378" t="str">
        <f t="shared" si="224"/>
        <v>品牌特秀</v>
      </c>
      <c r="S4378" t="s">
        <v>785</v>
      </c>
      <c r="T4378" t="s">
        <v>805</v>
      </c>
    </row>
    <row r="4379" spans="1:20" x14ac:dyDescent="0.3">
      <c r="A4379" t="s">
        <v>627</v>
      </c>
      <c r="B4379" s="16">
        <v>45592</v>
      </c>
      <c r="C4379" t="s">
        <v>2</v>
      </c>
      <c r="D4379" t="s">
        <v>52</v>
      </c>
      <c r="E4379" t="s">
        <v>183</v>
      </c>
      <c r="F4379">
        <v>682</v>
      </c>
      <c r="G4379">
        <v>533</v>
      </c>
      <c r="H4379">
        <v>33</v>
      </c>
      <c r="I4379">
        <v>7</v>
      </c>
      <c r="J4379">
        <v>35150</v>
      </c>
      <c r="K4379">
        <v>5</v>
      </c>
      <c r="L4379">
        <v>35150</v>
      </c>
      <c r="M4379">
        <v>5</v>
      </c>
      <c r="N4379">
        <v>682</v>
      </c>
      <c r="O4379">
        <v>404</v>
      </c>
      <c r="P4379">
        <f t="shared" si="222"/>
        <v>2024</v>
      </c>
      <c r="Q4379">
        <f t="shared" si="223"/>
        <v>10</v>
      </c>
      <c r="R4379" t="str">
        <f t="shared" si="224"/>
        <v>品销宝-品牌专区</v>
      </c>
      <c r="S4379" t="s">
        <v>785</v>
      </c>
      <c r="T4379" t="s">
        <v>805</v>
      </c>
    </row>
    <row r="4380" spans="1:20" x14ac:dyDescent="0.3">
      <c r="A4380" t="s">
        <v>627</v>
      </c>
      <c r="B4380" s="16">
        <v>45592</v>
      </c>
      <c r="C4380" t="s">
        <v>2</v>
      </c>
      <c r="D4380" t="s">
        <v>57</v>
      </c>
      <c r="E4380" t="s">
        <v>65</v>
      </c>
      <c r="F4380">
        <v>3489</v>
      </c>
      <c r="G4380">
        <v>2827</v>
      </c>
      <c r="H4380">
        <v>58</v>
      </c>
      <c r="I4380">
        <v>28</v>
      </c>
      <c r="J4380">
        <v>18448</v>
      </c>
      <c r="K4380">
        <v>6</v>
      </c>
      <c r="L4380">
        <v>16460</v>
      </c>
      <c r="M4380">
        <v>5</v>
      </c>
      <c r="N4380">
        <v>256</v>
      </c>
      <c r="O4380">
        <v>3463</v>
      </c>
      <c r="P4380">
        <f t="shared" si="222"/>
        <v>2024</v>
      </c>
      <c r="Q4380">
        <f t="shared" si="223"/>
        <v>10</v>
      </c>
      <c r="R4380" t="str">
        <f t="shared" si="224"/>
        <v>直通车</v>
      </c>
      <c r="S4380" t="s">
        <v>785</v>
      </c>
      <c r="T4380" t="s">
        <v>805</v>
      </c>
    </row>
    <row r="4381" spans="1:20" x14ac:dyDescent="0.3">
      <c r="A4381" t="s">
        <v>627</v>
      </c>
      <c r="B4381" s="16">
        <v>45592</v>
      </c>
      <c r="C4381" t="s">
        <v>2</v>
      </c>
      <c r="D4381" t="s">
        <v>57</v>
      </c>
      <c r="E4381" t="s">
        <v>63</v>
      </c>
      <c r="F4381">
        <v>4283</v>
      </c>
      <c r="G4381">
        <v>2197</v>
      </c>
      <c r="H4381">
        <v>154</v>
      </c>
      <c r="I4381">
        <v>81</v>
      </c>
      <c r="J4381">
        <v>173305.14</v>
      </c>
      <c r="K4381">
        <v>27</v>
      </c>
      <c r="L4381">
        <v>92587.64</v>
      </c>
      <c r="M4381">
        <v>16</v>
      </c>
      <c r="N4381">
        <v>236</v>
      </c>
      <c r="O4381">
        <v>4281</v>
      </c>
      <c r="P4381">
        <f t="shared" si="222"/>
        <v>2024</v>
      </c>
      <c r="Q4381">
        <f t="shared" si="223"/>
        <v>10</v>
      </c>
      <c r="R4381" t="str">
        <f t="shared" si="224"/>
        <v>万相台</v>
      </c>
      <c r="S4381" t="s">
        <v>785</v>
      </c>
      <c r="T4381" t="s">
        <v>805</v>
      </c>
    </row>
    <row r="4382" spans="1:20" x14ac:dyDescent="0.3">
      <c r="A4382" t="s">
        <v>627</v>
      </c>
      <c r="B4382" s="16">
        <v>45592</v>
      </c>
      <c r="C4382" t="s">
        <v>2</v>
      </c>
      <c r="D4382" t="s">
        <v>57</v>
      </c>
      <c r="E4382" t="s">
        <v>64</v>
      </c>
      <c r="F4382">
        <v>5739</v>
      </c>
      <c r="G4382">
        <v>2224</v>
      </c>
      <c r="H4382">
        <v>156</v>
      </c>
      <c r="I4382">
        <v>67</v>
      </c>
      <c r="J4382">
        <v>62724.35</v>
      </c>
      <c r="K4382">
        <v>17</v>
      </c>
      <c r="L4382">
        <v>54484.35</v>
      </c>
      <c r="M4382">
        <v>15</v>
      </c>
      <c r="N4382">
        <v>485</v>
      </c>
      <c r="O4382">
        <v>5737</v>
      </c>
      <c r="P4382">
        <f t="shared" si="222"/>
        <v>2024</v>
      </c>
      <c r="Q4382">
        <f t="shared" si="223"/>
        <v>10</v>
      </c>
      <c r="R4382" t="str">
        <f t="shared" si="224"/>
        <v>引力魔方</v>
      </c>
      <c r="S4382" t="s">
        <v>785</v>
      </c>
      <c r="T4382" t="s">
        <v>805</v>
      </c>
    </row>
    <row r="4383" spans="1:20" x14ac:dyDescent="0.3">
      <c r="A4383" t="s">
        <v>627</v>
      </c>
      <c r="B4383" s="16">
        <v>45592</v>
      </c>
      <c r="C4383" t="s">
        <v>2</v>
      </c>
      <c r="D4383" t="s">
        <v>4</v>
      </c>
      <c r="E4383" t="s">
        <v>41</v>
      </c>
      <c r="F4383">
        <v>3</v>
      </c>
      <c r="G4383">
        <v>3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1</v>
      </c>
      <c r="O4383">
        <v>2</v>
      </c>
      <c r="P4383">
        <f t="shared" si="222"/>
        <v>2024</v>
      </c>
      <c r="Q4383">
        <f t="shared" si="223"/>
        <v>10</v>
      </c>
      <c r="R4383" t="str">
        <f t="shared" si="224"/>
        <v>流量宝</v>
      </c>
      <c r="S4383" t="s">
        <v>785</v>
      </c>
      <c r="T4383" t="s">
        <v>805</v>
      </c>
    </row>
    <row r="4384" spans="1:20" x14ac:dyDescent="0.3">
      <c r="A4384" t="s">
        <v>627</v>
      </c>
      <c r="B4384" s="16">
        <v>45592</v>
      </c>
      <c r="C4384" t="s">
        <v>2</v>
      </c>
      <c r="D4384" t="s">
        <v>4</v>
      </c>
      <c r="E4384" t="s">
        <v>43</v>
      </c>
      <c r="F4384">
        <v>347</v>
      </c>
      <c r="G4384">
        <v>122</v>
      </c>
      <c r="H4384">
        <v>18</v>
      </c>
      <c r="I4384">
        <v>0</v>
      </c>
      <c r="J4384">
        <v>20932.5</v>
      </c>
      <c r="K4384">
        <v>3</v>
      </c>
      <c r="L4384">
        <v>20932.5</v>
      </c>
      <c r="M4384">
        <v>3</v>
      </c>
      <c r="N4384">
        <v>29</v>
      </c>
      <c r="O4384">
        <v>334</v>
      </c>
      <c r="P4384">
        <f t="shared" si="222"/>
        <v>2024</v>
      </c>
      <c r="Q4384">
        <f t="shared" si="223"/>
        <v>10</v>
      </c>
      <c r="R4384" t="str">
        <f t="shared" si="224"/>
        <v>淘宝客</v>
      </c>
      <c r="S4384" t="s">
        <v>785</v>
      </c>
      <c r="T4384" t="s">
        <v>805</v>
      </c>
    </row>
    <row r="4385" spans="1:20" x14ac:dyDescent="0.3">
      <c r="A4385" t="s">
        <v>627</v>
      </c>
      <c r="B4385" s="16">
        <v>45591</v>
      </c>
      <c r="C4385" t="s">
        <v>3</v>
      </c>
      <c r="D4385" t="s">
        <v>114</v>
      </c>
      <c r="E4385" t="s">
        <v>159</v>
      </c>
      <c r="F4385">
        <v>4</v>
      </c>
      <c r="G4385">
        <v>2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1</v>
      </c>
      <c r="O4385">
        <v>0</v>
      </c>
      <c r="P4385">
        <f t="shared" si="222"/>
        <v>2024</v>
      </c>
      <c r="Q4385">
        <f t="shared" si="223"/>
        <v>10</v>
      </c>
      <c r="R4385" t="str">
        <f t="shared" si="224"/>
        <v>主会场</v>
      </c>
      <c r="S4385" t="s">
        <v>785</v>
      </c>
      <c r="T4385" t="s">
        <v>805</v>
      </c>
    </row>
    <row r="4386" spans="1:20" x14ac:dyDescent="0.3">
      <c r="A4386" t="s">
        <v>627</v>
      </c>
      <c r="B4386" s="16">
        <v>45591</v>
      </c>
      <c r="C4386" t="s">
        <v>3</v>
      </c>
      <c r="D4386" t="s">
        <v>114</v>
      </c>
      <c r="E4386" t="s">
        <v>160</v>
      </c>
      <c r="F4386">
        <v>1</v>
      </c>
      <c r="G4386">
        <v>1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1</v>
      </c>
      <c r="P4386">
        <f t="shared" si="222"/>
        <v>2024</v>
      </c>
      <c r="Q4386">
        <f t="shared" si="223"/>
        <v>10</v>
      </c>
      <c r="R4386" t="str">
        <f t="shared" si="224"/>
        <v>榜单会场</v>
      </c>
      <c r="S4386" t="s">
        <v>785</v>
      </c>
      <c r="T4386" t="s">
        <v>805</v>
      </c>
    </row>
    <row r="4387" spans="1:20" x14ac:dyDescent="0.3">
      <c r="A4387" t="s">
        <v>627</v>
      </c>
      <c r="B4387" s="16">
        <v>45591</v>
      </c>
      <c r="C4387" t="s">
        <v>3</v>
      </c>
      <c r="D4387" t="s">
        <v>117</v>
      </c>
      <c r="E4387" t="s">
        <v>161</v>
      </c>
      <c r="F4387">
        <v>19</v>
      </c>
      <c r="G4387">
        <v>8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3</v>
      </c>
      <c r="O4387">
        <v>19</v>
      </c>
      <c r="P4387">
        <f t="shared" si="222"/>
        <v>2024</v>
      </c>
      <c r="Q4387">
        <f t="shared" si="223"/>
        <v>10</v>
      </c>
      <c r="R4387" t="str">
        <f t="shared" si="224"/>
        <v>其他入口榜单</v>
      </c>
      <c r="S4387" t="s">
        <v>785</v>
      </c>
      <c r="T4387" t="s">
        <v>805</v>
      </c>
    </row>
    <row r="4388" spans="1:20" x14ac:dyDescent="0.3">
      <c r="A4388" t="s">
        <v>627</v>
      </c>
      <c r="B4388" s="16">
        <v>45591</v>
      </c>
      <c r="C4388" t="s">
        <v>3</v>
      </c>
      <c r="D4388" t="s">
        <v>120</v>
      </c>
      <c r="E4388" t="s">
        <v>162</v>
      </c>
      <c r="F4388">
        <v>1</v>
      </c>
      <c r="G4388">
        <v>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1</v>
      </c>
      <c r="O4388">
        <v>0</v>
      </c>
      <c r="P4388">
        <f t="shared" si="222"/>
        <v>2024</v>
      </c>
      <c r="Q4388">
        <f t="shared" si="223"/>
        <v>10</v>
      </c>
      <c r="R4388" t="str">
        <f t="shared" si="224"/>
        <v>手机浏览器访问天猫</v>
      </c>
      <c r="S4388" t="s">
        <v>785</v>
      </c>
      <c r="T4388" t="s">
        <v>805</v>
      </c>
    </row>
    <row r="4389" spans="1:20" x14ac:dyDescent="0.3">
      <c r="A4389" t="s">
        <v>627</v>
      </c>
      <c r="B4389" s="16">
        <v>45591</v>
      </c>
      <c r="C4389" t="s">
        <v>3</v>
      </c>
      <c r="D4389" t="s">
        <v>120</v>
      </c>
      <c r="E4389" t="s">
        <v>163</v>
      </c>
      <c r="F4389">
        <v>57</v>
      </c>
      <c r="G4389">
        <v>21</v>
      </c>
      <c r="H4389">
        <v>1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20</v>
      </c>
      <c r="O4389">
        <v>50</v>
      </c>
      <c r="P4389">
        <f t="shared" si="222"/>
        <v>2024</v>
      </c>
      <c r="Q4389">
        <f t="shared" si="223"/>
        <v>10</v>
      </c>
      <c r="R4389" t="str">
        <f t="shared" si="224"/>
        <v>手猫免费其他</v>
      </c>
      <c r="S4389" t="s">
        <v>785</v>
      </c>
      <c r="T4389" t="s">
        <v>805</v>
      </c>
    </row>
    <row r="4390" spans="1:20" x14ac:dyDescent="0.3">
      <c r="A4390" t="s">
        <v>627</v>
      </c>
      <c r="B4390" s="16">
        <v>45591</v>
      </c>
      <c r="C4390" t="s">
        <v>3</v>
      </c>
      <c r="D4390" t="s">
        <v>120</v>
      </c>
      <c r="E4390" t="s">
        <v>164</v>
      </c>
      <c r="F4390">
        <v>45</v>
      </c>
      <c r="G4390">
        <v>18</v>
      </c>
      <c r="H4390">
        <v>4</v>
      </c>
      <c r="I4390">
        <v>0</v>
      </c>
      <c r="J4390">
        <v>2895</v>
      </c>
      <c r="K4390">
        <v>1</v>
      </c>
      <c r="L4390">
        <v>0</v>
      </c>
      <c r="M4390">
        <v>0</v>
      </c>
      <c r="N4390">
        <v>1</v>
      </c>
      <c r="O4390">
        <v>45</v>
      </c>
      <c r="P4390">
        <f t="shared" si="222"/>
        <v>2024</v>
      </c>
      <c r="Q4390">
        <f t="shared" si="223"/>
        <v>10</v>
      </c>
      <c r="R4390" t="str">
        <f t="shared" si="224"/>
        <v>手猫其他店铺</v>
      </c>
      <c r="S4390" t="s">
        <v>785</v>
      </c>
      <c r="T4390" t="s">
        <v>805</v>
      </c>
    </row>
    <row r="4391" spans="1:20" x14ac:dyDescent="0.3">
      <c r="A4391" t="s">
        <v>627</v>
      </c>
      <c r="B4391" s="16">
        <v>45591</v>
      </c>
      <c r="C4391" t="s">
        <v>3</v>
      </c>
      <c r="D4391" t="s">
        <v>120</v>
      </c>
      <c r="E4391" t="s">
        <v>165</v>
      </c>
      <c r="F4391">
        <v>52</v>
      </c>
      <c r="G4391">
        <v>16</v>
      </c>
      <c r="H4391">
        <v>5</v>
      </c>
      <c r="I4391">
        <v>0</v>
      </c>
      <c r="J4391">
        <v>2550</v>
      </c>
      <c r="K4391">
        <v>1</v>
      </c>
      <c r="L4391">
        <v>2550</v>
      </c>
      <c r="M4391">
        <v>1</v>
      </c>
      <c r="N4391">
        <v>10</v>
      </c>
      <c r="O4391">
        <v>50</v>
      </c>
      <c r="P4391">
        <f t="shared" si="222"/>
        <v>2024</v>
      </c>
      <c r="Q4391">
        <f t="shared" si="223"/>
        <v>10</v>
      </c>
      <c r="R4391" t="str">
        <f t="shared" si="224"/>
        <v>手猫商品详情</v>
      </c>
      <c r="S4391" t="s">
        <v>785</v>
      </c>
      <c r="T4391" t="s">
        <v>805</v>
      </c>
    </row>
    <row r="4392" spans="1:20" x14ac:dyDescent="0.3">
      <c r="A4392" t="s">
        <v>627</v>
      </c>
      <c r="B4392" s="16">
        <v>45591</v>
      </c>
      <c r="C4392" t="s">
        <v>3</v>
      </c>
      <c r="D4392" t="s">
        <v>120</v>
      </c>
      <c r="E4392" t="s">
        <v>166</v>
      </c>
      <c r="F4392">
        <v>100</v>
      </c>
      <c r="G4392">
        <v>58</v>
      </c>
      <c r="H4392">
        <v>2</v>
      </c>
      <c r="I4392">
        <v>0</v>
      </c>
      <c r="J4392">
        <v>25295</v>
      </c>
      <c r="K4392">
        <v>3</v>
      </c>
      <c r="L4392">
        <v>10300</v>
      </c>
      <c r="M4392">
        <v>2</v>
      </c>
      <c r="N4392">
        <v>28</v>
      </c>
      <c r="O4392">
        <v>91</v>
      </c>
      <c r="P4392">
        <f t="shared" si="222"/>
        <v>2024</v>
      </c>
      <c r="Q4392">
        <f t="shared" si="223"/>
        <v>10</v>
      </c>
      <c r="R4392" t="str">
        <f t="shared" si="224"/>
        <v>手猫搜索</v>
      </c>
      <c r="S4392" t="s">
        <v>785</v>
      </c>
      <c r="T4392" t="s">
        <v>805</v>
      </c>
    </row>
    <row r="4393" spans="1:20" x14ac:dyDescent="0.3">
      <c r="A4393" t="s">
        <v>627</v>
      </c>
      <c r="B4393" s="16">
        <v>45591</v>
      </c>
      <c r="C4393" t="s">
        <v>3</v>
      </c>
      <c r="D4393" t="s">
        <v>120</v>
      </c>
      <c r="E4393" t="s">
        <v>167</v>
      </c>
      <c r="F4393">
        <v>5</v>
      </c>
      <c r="G4393">
        <v>0</v>
      </c>
      <c r="H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2</v>
      </c>
      <c r="O4393">
        <v>5</v>
      </c>
      <c r="P4393">
        <f t="shared" ref="P4393:P4456" si="225">YEAR(B4393)</f>
        <v>2024</v>
      </c>
      <c r="Q4393">
        <f t="shared" ref="Q4393:Q4456" si="226">MONTH(B4393)</f>
        <v>10</v>
      </c>
      <c r="R4393" t="str">
        <f t="shared" ref="R4393:R4456" si="227">E4393</f>
        <v>手猫旺信聊天</v>
      </c>
      <c r="S4393" t="s">
        <v>785</v>
      </c>
      <c r="T4393" t="s">
        <v>805</v>
      </c>
    </row>
    <row r="4394" spans="1:20" x14ac:dyDescent="0.3">
      <c r="A4394" t="s">
        <v>627</v>
      </c>
      <c r="B4394" s="16">
        <v>45591</v>
      </c>
      <c r="C4394" t="s">
        <v>3</v>
      </c>
      <c r="D4394" t="s">
        <v>120</v>
      </c>
      <c r="E4394" t="s">
        <v>192</v>
      </c>
      <c r="F4394">
        <v>3</v>
      </c>
      <c r="G4394">
        <v>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1</v>
      </c>
      <c r="O4394">
        <v>3</v>
      </c>
      <c r="P4394">
        <f t="shared" si="225"/>
        <v>2024</v>
      </c>
      <c r="Q4394">
        <f t="shared" si="226"/>
        <v>10</v>
      </c>
      <c r="R4394" t="str">
        <f t="shared" si="227"/>
        <v>手猫消息中心</v>
      </c>
      <c r="S4394" t="s">
        <v>785</v>
      </c>
      <c r="T4394" t="s">
        <v>805</v>
      </c>
    </row>
    <row r="4395" spans="1:20" x14ac:dyDescent="0.3">
      <c r="A4395" t="s">
        <v>627</v>
      </c>
      <c r="B4395" s="16">
        <v>45591</v>
      </c>
      <c r="C4395" t="s">
        <v>3</v>
      </c>
      <c r="D4395" t="s">
        <v>120</v>
      </c>
      <c r="E4395" t="s">
        <v>168</v>
      </c>
      <c r="F4395">
        <v>460</v>
      </c>
      <c r="G4395">
        <v>218</v>
      </c>
      <c r="H4395">
        <v>11</v>
      </c>
      <c r="I4395">
        <v>0</v>
      </c>
      <c r="J4395">
        <v>28495</v>
      </c>
      <c r="K4395">
        <v>7</v>
      </c>
      <c r="L4395">
        <v>23520</v>
      </c>
      <c r="M4395">
        <v>6</v>
      </c>
      <c r="N4395">
        <v>39</v>
      </c>
      <c r="O4395">
        <v>458</v>
      </c>
      <c r="P4395">
        <f t="shared" si="225"/>
        <v>2024</v>
      </c>
      <c r="Q4395">
        <f t="shared" si="226"/>
        <v>10</v>
      </c>
      <c r="R4395" t="str">
        <f t="shared" si="227"/>
        <v>手猫首页</v>
      </c>
      <c r="S4395" t="s">
        <v>785</v>
      </c>
      <c r="T4395" t="s">
        <v>805</v>
      </c>
    </row>
    <row r="4396" spans="1:20" x14ac:dyDescent="0.3">
      <c r="A4396" t="s">
        <v>627</v>
      </c>
      <c r="B4396" s="16">
        <v>45591</v>
      </c>
      <c r="C4396" t="s">
        <v>3</v>
      </c>
      <c r="D4396" t="s">
        <v>123</v>
      </c>
      <c r="E4396" t="s">
        <v>169</v>
      </c>
      <c r="F4396">
        <v>320</v>
      </c>
      <c r="G4396">
        <v>99</v>
      </c>
      <c r="H4396">
        <v>12</v>
      </c>
      <c r="I4396">
        <v>6</v>
      </c>
      <c r="J4396">
        <v>5373</v>
      </c>
      <c r="K4396">
        <v>2</v>
      </c>
      <c r="L4396">
        <v>5373</v>
      </c>
      <c r="M4396">
        <v>2</v>
      </c>
      <c r="N4396">
        <v>45</v>
      </c>
      <c r="O4396">
        <v>314</v>
      </c>
      <c r="P4396">
        <f t="shared" si="225"/>
        <v>2024</v>
      </c>
      <c r="Q4396">
        <f t="shared" si="226"/>
        <v>10</v>
      </c>
      <c r="R4396" t="str">
        <f t="shared" si="227"/>
        <v>商品详情页头图推荐</v>
      </c>
      <c r="S4396" t="s">
        <v>785</v>
      </c>
      <c r="T4396" t="s">
        <v>805</v>
      </c>
    </row>
    <row r="4397" spans="1:20" x14ac:dyDescent="0.3">
      <c r="A4397" t="s">
        <v>627</v>
      </c>
      <c r="B4397" s="16">
        <v>45591</v>
      </c>
      <c r="C4397" t="s">
        <v>3</v>
      </c>
      <c r="D4397" t="s">
        <v>123</v>
      </c>
      <c r="E4397" t="s">
        <v>170</v>
      </c>
      <c r="F4397">
        <v>52</v>
      </c>
      <c r="G4397">
        <v>28</v>
      </c>
      <c r="H4397">
        <v>5</v>
      </c>
      <c r="I4397">
        <v>1</v>
      </c>
      <c r="J4397">
        <v>0</v>
      </c>
      <c r="K4397">
        <v>0</v>
      </c>
      <c r="L4397">
        <v>0</v>
      </c>
      <c r="M4397">
        <v>0</v>
      </c>
      <c r="N4397">
        <v>41</v>
      </c>
      <c r="O4397">
        <v>32</v>
      </c>
      <c r="P4397">
        <f t="shared" si="225"/>
        <v>2024</v>
      </c>
      <c r="Q4397">
        <f t="shared" si="226"/>
        <v>10</v>
      </c>
      <c r="R4397" t="str">
        <f t="shared" si="227"/>
        <v>店铺超链</v>
      </c>
      <c r="S4397" t="s">
        <v>785</v>
      </c>
      <c r="T4397" t="s">
        <v>805</v>
      </c>
    </row>
    <row r="4398" spans="1:20" x14ac:dyDescent="0.3">
      <c r="A4398" t="s">
        <v>627</v>
      </c>
      <c r="B4398" s="16">
        <v>45591</v>
      </c>
      <c r="C4398" t="s">
        <v>2</v>
      </c>
      <c r="D4398" t="s">
        <v>52</v>
      </c>
      <c r="E4398" t="s">
        <v>59</v>
      </c>
      <c r="F4398">
        <v>1451</v>
      </c>
      <c r="G4398">
        <v>1090</v>
      </c>
      <c r="H4398">
        <v>12</v>
      </c>
      <c r="I4398">
        <v>3</v>
      </c>
      <c r="J4398">
        <v>7965</v>
      </c>
      <c r="K4398">
        <v>2</v>
      </c>
      <c r="L4398">
        <v>4975</v>
      </c>
      <c r="M4398">
        <v>1</v>
      </c>
      <c r="N4398">
        <v>1223</v>
      </c>
      <c r="O4398">
        <v>204</v>
      </c>
      <c r="P4398">
        <f t="shared" si="225"/>
        <v>2024</v>
      </c>
      <c r="Q4398">
        <f t="shared" si="226"/>
        <v>10</v>
      </c>
      <c r="R4398" t="s">
        <v>171</v>
      </c>
      <c r="S4398" t="s">
        <v>785</v>
      </c>
      <c r="T4398" t="s">
        <v>805</v>
      </c>
    </row>
    <row r="4399" spans="1:20" x14ac:dyDescent="0.3">
      <c r="A4399" t="s">
        <v>627</v>
      </c>
      <c r="B4399" s="16">
        <v>45591</v>
      </c>
      <c r="C4399" t="s">
        <v>3</v>
      </c>
      <c r="D4399" t="s">
        <v>127</v>
      </c>
      <c r="E4399" t="s">
        <v>172</v>
      </c>
      <c r="F4399">
        <v>48</v>
      </c>
      <c r="G4399">
        <v>29</v>
      </c>
      <c r="H4399">
        <v>3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8</v>
      </c>
      <c r="O4399">
        <v>21</v>
      </c>
      <c r="P4399">
        <f t="shared" si="225"/>
        <v>2024</v>
      </c>
      <c r="Q4399">
        <f t="shared" si="226"/>
        <v>10</v>
      </c>
      <c r="R4399" t="str">
        <f t="shared" si="227"/>
        <v>购中推荐</v>
      </c>
      <c r="S4399" t="s">
        <v>785</v>
      </c>
      <c r="T4399" t="s">
        <v>805</v>
      </c>
    </row>
    <row r="4400" spans="1:20" x14ac:dyDescent="0.3">
      <c r="A4400" t="s">
        <v>627</v>
      </c>
      <c r="B4400" s="16">
        <v>45591</v>
      </c>
      <c r="C4400" t="s">
        <v>3</v>
      </c>
      <c r="D4400" t="s">
        <v>127</v>
      </c>
      <c r="E4400" t="s">
        <v>173</v>
      </c>
      <c r="F4400">
        <v>208</v>
      </c>
      <c r="G4400">
        <v>154</v>
      </c>
      <c r="H4400">
        <v>2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63</v>
      </c>
      <c r="O4400">
        <v>60</v>
      </c>
      <c r="P4400">
        <f t="shared" si="225"/>
        <v>2024</v>
      </c>
      <c r="Q4400">
        <f t="shared" si="226"/>
        <v>10</v>
      </c>
      <c r="R4400" t="str">
        <f t="shared" si="227"/>
        <v>购后推荐</v>
      </c>
      <c r="S4400" t="s">
        <v>785</v>
      </c>
      <c r="T4400" t="s">
        <v>805</v>
      </c>
    </row>
    <row r="4401" spans="1:20" x14ac:dyDescent="0.3">
      <c r="A4401" t="s">
        <v>627</v>
      </c>
      <c r="B4401" s="16">
        <v>45591</v>
      </c>
      <c r="C4401" t="s">
        <v>3</v>
      </c>
      <c r="D4401" t="s">
        <v>127</v>
      </c>
      <c r="E4401" t="s">
        <v>174</v>
      </c>
      <c r="F4401">
        <v>3706</v>
      </c>
      <c r="G4401">
        <v>1718</v>
      </c>
      <c r="H4401">
        <v>103</v>
      </c>
      <c r="I4401">
        <v>46</v>
      </c>
      <c r="J4401">
        <v>87920</v>
      </c>
      <c r="K4401">
        <v>17</v>
      </c>
      <c r="L4401">
        <v>67800</v>
      </c>
      <c r="M4401">
        <v>13</v>
      </c>
      <c r="N4401">
        <v>287</v>
      </c>
      <c r="O4401">
        <v>3706</v>
      </c>
      <c r="P4401">
        <f t="shared" si="225"/>
        <v>2024</v>
      </c>
      <c r="Q4401">
        <f t="shared" si="226"/>
        <v>10</v>
      </c>
      <c r="R4401" t="str">
        <f t="shared" si="227"/>
        <v>首页推荐-微详情</v>
      </c>
      <c r="S4401" t="s">
        <v>785</v>
      </c>
      <c r="T4401" t="s">
        <v>805</v>
      </c>
    </row>
    <row r="4402" spans="1:20" x14ac:dyDescent="0.3">
      <c r="A4402" t="s">
        <v>627</v>
      </c>
      <c r="B4402" s="16">
        <v>45591</v>
      </c>
      <c r="C4402" t="s">
        <v>3</v>
      </c>
      <c r="D4402" t="s">
        <v>127</v>
      </c>
      <c r="E4402" t="s">
        <v>175</v>
      </c>
      <c r="F4402">
        <v>532</v>
      </c>
      <c r="G4402">
        <v>463</v>
      </c>
      <c r="H4402">
        <v>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9</v>
      </c>
      <c r="P4402">
        <f t="shared" si="225"/>
        <v>2024</v>
      </c>
      <c r="Q4402">
        <f t="shared" si="226"/>
        <v>10</v>
      </c>
      <c r="R4402" t="str">
        <f t="shared" si="227"/>
        <v>首页推荐-直播</v>
      </c>
      <c r="S4402" t="s">
        <v>785</v>
      </c>
      <c r="T4402" t="s">
        <v>805</v>
      </c>
    </row>
    <row r="4403" spans="1:20" x14ac:dyDescent="0.3">
      <c r="A4403" t="s">
        <v>627</v>
      </c>
      <c r="B4403" s="16">
        <v>45591</v>
      </c>
      <c r="C4403" t="s">
        <v>3</v>
      </c>
      <c r="D4403" t="s">
        <v>127</v>
      </c>
      <c r="E4403" t="s">
        <v>176</v>
      </c>
      <c r="F4403">
        <v>757</v>
      </c>
      <c r="G4403">
        <v>312</v>
      </c>
      <c r="H4403">
        <v>8</v>
      </c>
      <c r="I4403">
        <v>3</v>
      </c>
      <c r="J4403">
        <v>6473</v>
      </c>
      <c r="K4403">
        <v>2</v>
      </c>
      <c r="L4403">
        <v>6473</v>
      </c>
      <c r="M4403">
        <v>2</v>
      </c>
      <c r="N4403">
        <v>26</v>
      </c>
      <c r="O4403">
        <v>192</v>
      </c>
      <c r="P4403">
        <f t="shared" si="225"/>
        <v>2024</v>
      </c>
      <c r="Q4403">
        <f t="shared" si="226"/>
        <v>10</v>
      </c>
      <c r="R4403" t="str">
        <f t="shared" si="227"/>
        <v>首页推荐-短视频</v>
      </c>
      <c r="S4403" t="s">
        <v>785</v>
      </c>
      <c r="T4403" t="s">
        <v>805</v>
      </c>
    </row>
    <row r="4404" spans="1:20" x14ac:dyDescent="0.3">
      <c r="A4404" t="s">
        <v>627</v>
      </c>
      <c r="B4404" s="16">
        <v>45591</v>
      </c>
      <c r="C4404" t="s">
        <v>3</v>
      </c>
      <c r="D4404" t="s">
        <v>128</v>
      </c>
      <c r="E4404" t="s">
        <v>177</v>
      </c>
      <c r="F4404">
        <v>1268</v>
      </c>
      <c r="G4404">
        <v>897</v>
      </c>
      <c r="H4404">
        <v>53</v>
      </c>
      <c r="I4404">
        <v>20</v>
      </c>
      <c r="J4404">
        <v>28845</v>
      </c>
      <c r="K4404">
        <v>7</v>
      </c>
      <c r="L4404">
        <v>26928</v>
      </c>
      <c r="M4404">
        <v>6</v>
      </c>
      <c r="N4404">
        <v>292</v>
      </c>
      <c r="O4404">
        <v>1174</v>
      </c>
      <c r="P4404">
        <f t="shared" si="225"/>
        <v>2024</v>
      </c>
      <c r="Q4404">
        <f t="shared" si="226"/>
        <v>10</v>
      </c>
      <c r="R4404" t="str">
        <f t="shared" si="227"/>
        <v>手淘搜索-商品及其他</v>
      </c>
      <c r="S4404" t="s">
        <v>785</v>
      </c>
      <c r="T4404" t="s">
        <v>805</v>
      </c>
    </row>
    <row r="4405" spans="1:20" x14ac:dyDescent="0.3">
      <c r="A4405" t="s">
        <v>627</v>
      </c>
      <c r="B4405" s="16">
        <v>45591</v>
      </c>
      <c r="C4405" t="s">
        <v>3</v>
      </c>
      <c r="D4405" t="s">
        <v>128</v>
      </c>
      <c r="E4405" t="s">
        <v>178</v>
      </c>
      <c r="F4405">
        <v>7</v>
      </c>
      <c r="G4405">
        <v>3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1</v>
      </c>
      <c r="O4405">
        <v>5</v>
      </c>
      <c r="P4405">
        <f t="shared" si="225"/>
        <v>2024</v>
      </c>
      <c r="Q4405">
        <f t="shared" si="226"/>
        <v>10</v>
      </c>
      <c r="R4405" t="str">
        <f t="shared" si="227"/>
        <v>手淘搜索-直播</v>
      </c>
      <c r="S4405" t="s">
        <v>785</v>
      </c>
      <c r="T4405" t="s">
        <v>805</v>
      </c>
    </row>
    <row r="4406" spans="1:20" x14ac:dyDescent="0.3">
      <c r="A4406" t="s">
        <v>627</v>
      </c>
      <c r="B4406" s="16">
        <v>45591</v>
      </c>
      <c r="C4406" t="s">
        <v>3</v>
      </c>
      <c r="D4406" t="s">
        <v>128</v>
      </c>
      <c r="E4406" t="s">
        <v>179</v>
      </c>
      <c r="F4406">
        <v>89</v>
      </c>
      <c r="G4406">
        <v>81</v>
      </c>
      <c r="H4406">
        <v>2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85</v>
      </c>
      <c r="P4406">
        <f t="shared" si="225"/>
        <v>2024</v>
      </c>
      <c r="Q4406">
        <f t="shared" si="226"/>
        <v>10</v>
      </c>
      <c r="R4406" t="str">
        <f t="shared" si="227"/>
        <v>手淘搜索-短视频</v>
      </c>
      <c r="S4406" t="s">
        <v>785</v>
      </c>
      <c r="T4406" t="s">
        <v>805</v>
      </c>
    </row>
    <row r="4407" spans="1:20" x14ac:dyDescent="0.3">
      <c r="A4407" t="s">
        <v>627</v>
      </c>
      <c r="B4407" s="16">
        <v>45591</v>
      </c>
      <c r="C4407" t="s">
        <v>3</v>
      </c>
      <c r="D4407" t="s">
        <v>143</v>
      </c>
      <c r="E4407" t="s">
        <v>180</v>
      </c>
      <c r="F4407">
        <v>1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1</v>
      </c>
      <c r="P4407">
        <f t="shared" si="225"/>
        <v>2024</v>
      </c>
      <c r="Q4407">
        <f t="shared" si="226"/>
        <v>10</v>
      </c>
      <c r="R4407" t="str">
        <f t="shared" si="227"/>
        <v>淘特其他渠道</v>
      </c>
      <c r="S4407" t="s">
        <v>785</v>
      </c>
      <c r="T4407" t="s">
        <v>805</v>
      </c>
    </row>
    <row r="4408" spans="1:20" x14ac:dyDescent="0.3">
      <c r="A4408" t="s">
        <v>627</v>
      </c>
      <c r="B4408" s="16">
        <v>45591</v>
      </c>
      <c r="C4408" t="s">
        <v>3</v>
      </c>
      <c r="D4408" t="s">
        <v>143</v>
      </c>
      <c r="E4408" t="s">
        <v>181</v>
      </c>
      <c r="F4408">
        <v>10</v>
      </c>
      <c r="G4408">
        <v>9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10</v>
      </c>
      <c r="P4408">
        <f t="shared" si="225"/>
        <v>2024</v>
      </c>
      <c r="Q4408">
        <f t="shared" si="226"/>
        <v>10</v>
      </c>
      <c r="R4408" t="str">
        <f t="shared" si="227"/>
        <v>淘特搜索</v>
      </c>
      <c r="S4408" t="s">
        <v>785</v>
      </c>
      <c r="T4408" t="s">
        <v>805</v>
      </c>
    </row>
    <row r="4409" spans="1:20" x14ac:dyDescent="0.3">
      <c r="A4409" t="s">
        <v>627</v>
      </c>
      <c r="B4409" s="16">
        <v>45591</v>
      </c>
      <c r="C4409" t="s">
        <v>3</v>
      </c>
      <c r="D4409" t="s">
        <v>143</v>
      </c>
      <c r="E4409" t="s">
        <v>224</v>
      </c>
      <c r="F4409">
        <v>1</v>
      </c>
      <c r="G4409">
        <v>1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1</v>
      </c>
      <c r="P4409">
        <f t="shared" si="225"/>
        <v>2024</v>
      </c>
      <c r="Q4409">
        <f t="shared" si="226"/>
        <v>10</v>
      </c>
      <c r="R4409" t="str">
        <f t="shared" si="227"/>
        <v>淘特自主访问</v>
      </c>
      <c r="S4409" t="s">
        <v>785</v>
      </c>
      <c r="T4409" t="s">
        <v>805</v>
      </c>
    </row>
    <row r="4410" spans="1:20" x14ac:dyDescent="0.3">
      <c r="A4410" t="s">
        <v>627</v>
      </c>
      <c r="B4410" s="16">
        <v>45591</v>
      </c>
      <c r="C4410" t="s">
        <v>2</v>
      </c>
      <c r="D4410" t="s">
        <v>55</v>
      </c>
      <c r="E4410" t="s">
        <v>54</v>
      </c>
      <c r="F4410">
        <v>887</v>
      </c>
      <c r="G4410">
        <v>720</v>
      </c>
      <c r="H4410">
        <v>2</v>
      </c>
      <c r="I4410">
        <v>2</v>
      </c>
      <c r="J4410">
        <v>0</v>
      </c>
      <c r="K4410">
        <v>0</v>
      </c>
      <c r="L4410">
        <v>0</v>
      </c>
      <c r="M4410">
        <v>0</v>
      </c>
      <c r="N4410">
        <v>11</v>
      </c>
      <c r="O4410">
        <v>117</v>
      </c>
      <c r="P4410">
        <f t="shared" si="225"/>
        <v>2024</v>
      </c>
      <c r="Q4410">
        <f t="shared" si="226"/>
        <v>10</v>
      </c>
      <c r="R4410" t="str">
        <f t="shared" si="227"/>
        <v>超级直播</v>
      </c>
      <c r="S4410" t="s">
        <v>785</v>
      </c>
      <c r="T4410" t="s">
        <v>805</v>
      </c>
    </row>
    <row r="4411" spans="1:20" x14ac:dyDescent="0.3">
      <c r="A4411" t="s">
        <v>627</v>
      </c>
      <c r="B4411" s="16">
        <v>45591</v>
      </c>
      <c r="C4411" t="s">
        <v>2</v>
      </c>
      <c r="D4411" t="s">
        <v>55</v>
      </c>
      <c r="E4411" t="s">
        <v>56</v>
      </c>
      <c r="F4411">
        <v>282</v>
      </c>
      <c r="G4411">
        <v>207</v>
      </c>
      <c r="H4411">
        <v>7</v>
      </c>
      <c r="I4411">
        <v>3</v>
      </c>
      <c r="J4411">
        <v>0</v>
      </c>
      <c r="K4411">
        <v>0</v>
      </c>
      <c r="L4411">
        <v>0</v>
      </c>
      <c r="M4411">
        <v>0</v>
      </c>
      <c r="N4411">
        <v>2</v>
      </c>
      <c r="O4411">
        <v>230</v>
      </c>
      <c r="P4411">
        <f t="shared" si="225"/>
        <v>2024</v>
      </c>
      <c r="Q4411">
        <f t="shared" si="226"/>
        <v>10</v>
      </c>
      <c r="R4411" t="str">
        <f t="shared" si="227"/>
        <v>超级短视频</v>
      </c>
      <c r="S4411" t="s">
        <v>785</v>
      </c>
      <c r="T4411" t="s">
        <v>805</v>
      </c>
    </row>
    <row r="4412" spans="1:20" x14ac:dyDescent="0.3">
      <c r="A4412" t="s">
        <v>627</v>
      </c>
      <c r="B4412" s="16">
        <v>45591</v>
      </c>
      <c r="C4412" t="s">
        <v>2</v>
      </c>
      <c r="D4412" t="s">
        <v>52</v>
      </c>
      <c r="E4412" t="s">
        <v>59</v>
      </c>
      <c r="F4412">
        <v>1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1</v>
      </c>
      <c r="O4412">
        <v>0</v>
      </c>
      <c r="P4412">
        <f t="shared" si="225"/>
        <v>2024</v>
      </c>
      <c r="Q4412">
        <f t="shared" si="226"/>
        <v>10</v>
      </c>
      <c r="R4412" t="str">
        <f t="shared" si="227"/>
        <v>品牌特秀</v>
      </c>
      <c r="S4412" t="s">
        <v>785</v>
      </c>
      <c r="T4412" t="s">
        <v>805</v>
      </c>
    </row>
    <row r="4413" spans="1:20" x14ac:dyDescent="0.3">
      <c r="A4413" t="s">
        <v>627</v>
      </c>
      <c r="B4413" s="16">
        <v>45591</v>
      </c>
      <c r="C4413" t="s">
        <v>2</v>
      </c>
      <c r="D4413" t="s">
        <v>52</v>
      </c>
      <c r="E4413" t="s">
        <v>183</v>
      </c>
      <c r="F4413">
        <v>715</v>
      </c>
      <c r="G4413">
        <v>541</v>
      </c>
      <c r="H4413">
        <v>38</v>
      </c>
      <c r="I4413">
        <v>3</v>
      </c>
      <c r="J4413">
        <v>58594</v>
      </c>
      <c r="K4413">
        <v>8</v>
      </c>
      <c r="L4413">
        <v>28094</v>
      </c>
      <c r="M4413">
        <v>7</v>
      </c>
      <c r="N4413">
        <v>715</v>
      </c>
      <c r="O4413">
        <v>444</v>
      </c>
      <c r="P4413">
        <f t="shared" si="225"/>
        <v>2024</v>
      </c>
      <c r="Q4413">
        <f t="shared" si="226"/>
        <v>10</v>
      </c>
      <c r="R4413" t="str">
        <f t="shared" si="227"/>
        <v>品销宝-品牌专区</v>
      </c>
      <c r="S4413" t="s">
        <v>785</v>
      </c>
      <c r="T4413" t="s">
        <v>805</v>
      </c>
    </row>
    <row r="4414" spans="1:20" x14ac:dyDescent="0.3">
      <c r="A4414" t="s">
        <v>627</v>
      </c>
      <c r="B4414" s="16">
        <v>45591</v>
      </c>
      <c r="C4414" t="s">
        <v>2</v>
      </c>
      <c r="D4414" t="s">
        <v>57</v>
      </c>
      <c r="E4414" t="s">
        <v>65</v>
      </c>
      <c r="F4414">
        <v>3429</v>
      </c>
      <c r="G4414">
        <v>2806</v>
      </c>
      <c r="H4414">
        <v>62</v>
      </c>
      <c r="I4414">
        <v>25</v>
      </c>
      <c r="J4414">
        <v>80734.5</v>
      </c>
      <c r="K4414">
        <v>11</v>
      </c>
      <c r="L4414">
        <v>40244.5</v>
      </c>
      <c r="M4414">
        <v>7</v>
      </c>
      <c r="N4414">
        <v>265</v>
      </c>
      <c r="O4414">
        <v>3416</v>
      </c>
      <c r="P4414">
        <f t="shared" si="225"/>
        <v>2024</v>
      </c>
      <c r="Q4414">
        <f t="shared" si="226"/>
        <v>10</v>
      </c>
      <c r="R4414" t="str">
        <f t="shared" si="227"/>
        <v>直通车</v>
      </c>
      <c r="S4414" t="s">
        <v>785</v>
      </c>
      <c r="T4414" t="s">
        <v>805</v>
      </c>
    </row>
    <row r="4415" spans="1:20" x14ac:dyDescent="0.3">
      <c r="A4415" t="s">
        <v>627</v>
      </c>
      <c r="B4415" s="16">
        <v>45591</v>
      </c>
      <c r="C4415" t="s">
        <v>2</v>
      </c>
      <c r="D4415" t="s">
        <v>57</v>
      </c>
      <c r="E4415" t="s">
        <v>63</v>
      </c>
      <c r="F4415">
        <v>4494</v>
      </c>
      <c r="G4415">
        <v>2341</v>
      </c>
      <c r="H4415">
        <v>179</v>
      </c>
      <c r="I4415">
        <v>77</v>
      </c>
      <c r="J4415">
        <v>205651</v>
      </c>
      <c r="K4415">
        <v>32</v>
      </c>
      <c r="L4415">
        <v>122761</v>
      </c>
      <c r="M4415">
        <v>23</v>
      </c>
      <c r="N4415">
        <v>284</v>
      </c>
      <c r="O4415">
        <v>4489</v>
      </c>
      <c r="P4415">
        <f t="shared" si="225"/>
        <v>2024</v>
      </c>
      <c r="Q4415">
        <f t="shared" si="226"/>
        <v>10</v>
      </c>
      <c r="R4415" t="str">
        <f t="shared" si="227"/>
        <v>万相台</v>
      </c>
      <c r="S4415" t="s">
        <v>785</v>
      </c>
      <c r="T4415" t="s">
        <v>805</v>
      </c>
    </row>
    <row r="4416" spans="1:20" x14ac:dyDescent="0.3">
      <c r="A4416" t="s">
        <v>627</v>
      </c>
      <c r="B4416" s="16">
        <v>45591</v>
      </c>
      <c r="C4416" t="s">
        <v>2</v>
      </c>
      <c r="D4416" t="s">
        <v>57</v>
      </c>
      <c r="E4416" t="s">
        <v>64</v>
      </c>
      <c r="F4416">
        <v>5427</v>
      </c>
      <c r="G4416">
        <v>1975</v>
      </c>
      <c r="H4416">
        <v>142</v>
      </c>
      <c r="I4416">
        <v>69</v>
      </c>
      <c r="J4416">
        <v>44644</v>
      </c>
      <c r="K4416">
        <v>11</v>
      </c>
      <c r="L4416">
        <v>40747</v>
      </c>
      <c r="M4416">
        <v>10</v>
      </c>
      <c r="N4416">
        <v>418</v>
      </c>
      <c r="O4416">
        <v>5426</v>
      </c>
      <c r="P4416">
        <f t="shared" si="225"/>
        <v>2024</v>
      </c>
      <c r="Q4416">
        <f t="shared" si="226"/>
        <v>10</v>
      </c>
      <c r="R4416" t="str">
        <f t="shared" si="227"/>
        <v>引力魔方</v>
      </c>
      <c r="S4416" t="s">
        <v>785</v>
      </c>
      <c r="T4416" t="s">
        <v>805</v>
      </c>
    </row>
    <row r="4417" spans="1:20" x14ac:dyDescent="0.3">
      <c r="A4417" t="s">
        <v>627</v>
      </c>
      <c r="B4417" s="16">
        <v>45591</v>
      </c>
      <c r="C4417" t="s">
        <v>2</v>
      </c>
      <c r="D4417" t="s">
        <v>4</v>
      </c>
      <c r="E4417" t="s">
        <v>41</v>
      </c>
      <c r="F4417">
        <v>7</v>
      </c>
      <c r="G4417">
        <v>4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2</v>
      </c>
      <c r="O4417">
        <v>5</v>
      </c>
      <c r="P4417">
        <f t="shared" si="225"/>
        <v>2024</v>
      </c>
      <c r="Q4417">
        <f t="shared" si="226"/>
        <v>10</v>
      </c>
      <c r="R4417" t="str">
        <f t="shared" si="227"/>
        <v>流量宝</v>
      </c>
      <c r="S4417" t="s">
        <v>785</v>
      </c>
      <c r="T4417" t="s">
        <v>805</v>
      </c>
    </row>
    <row r="4418" spans="1:20" x14ac:dyDescent="0.3">
      <c r="A4418" t="s">
        <v>627</v>
      </c>
      <c r="B4418" s="16">
        <v>45591</v>
      </c>
      <c r="C4418" t="s">
        <v>2</v>
      </c>
      <c r="D4418" t="s">
        <v>4</v>
      </c>
      <c r="E4418" t="s">
        <v>43</v>
      </c>
      <c r="F4418">
        <v>338</v>
      </c>
      <c r="G4418">
        <v>119</v>
      </c>
      <c r="H4418">
        <v>20</v>
      </c>
      <c r="I4418">
        <v>0</v>
      </c>
      <c r="J4418">
        <v>10280</v>
      </c>
      <c r="K4418">
        <v>2</v>
      </c>
      <c r="L4418">
        <v>10280</v>
      </c>
      <c r="M4418">
        <v>2</v>
      </c>
      <c r="N4418">
        <v>27</v>
      </c>
      <c r="O4418">
        <v>326</v>
      </c>
      <c r="P4418">
        <f t="shared" si="225"/>
        <v>2024</v>
      </c>
      <c r="Q4418">
        <f t="shared" si="226"/>
        <v>10</v>
      </c>
      <c r="R4418" t="str">
        <f t="shared" si="227"/>
        <v>淘宝客</v>
      </c>
      <c r="S4418" t="s">
        <v>785</v>
      </c>
      <c r="T4418" t="s">
        <v>805</v>
      </c>
    </row>
    <row r="4419" spans="1:20" x14ac:dyDescent="0.3">
      <c r="A4419" t="s">
        <v>627</v>
      </c>
      <c r="B4419" s="16">
        <v>45590</v>
      </c>
      <c r="C4419" t="s">
        <v>3</v>
      </c>
      <c r="D4419" t="s">
        <v>114</v>
      </c>
      <c r="E4419" t="s">
        <v>159</v>
      </c>
      <c r="F4419">
        <v>2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1</v>
      </c>
      <c r="O4419">
        <v>1</v>
      </c>
      <c r="P4419">
        <f t="shared" si="225"/>
        <v>2024</v>
      </c>
      <c r="Q4419">
        <f t="shared" si="226"/>
        <v>10</v>
      </c>
      <c r="R4419" t="str">
        <f t="shared" si="227"/>
        <v>主会场</v>
      </c>
      <c r="S4419" t="s">
        <v>785</v>
      </c>
      <c r="T4419" t="s">
        <v>805</v>
      </c>
    </row>
    <row r="4420" spans="1:20" x14ac:dyDescent="0.3">
      <c r="A4420" t="s">
        <v>627</v>
      </c>
      <c r="B4420" s="16">
        <v>45590</v>
      </c>
      <c r="C4420" t="s">
        <v>3</v>
      </c>
      <c r="D4420" t="s">
        <v>117</v>
      </c>
      <c r="E4420" t="s">
        <v>161</v>
      </c>
      <c r="F4420">
        <v>1</v>
      </c>
      <c r="G4420">
        <v>1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1</v>
      </c>
      <c r="P4420">
        <f t="shared" si="225"/>
        <v>2024</v>
      </c>
      <c r="Q4420">
        <f t="shared" si="226"/>
        <v>10</v>
      </c>
      <c r="R4420" t="str">
        <f t="shared" si="227"/>
        <v>其他入口榜单</v>
      </c>
      <c r="S4420" t="s">
        <v>785</v>
      </c>
      <c r="T4420" t="s">
        <v>805</v>
      </c>
    </row>
    <row r="4421" spans="1:20" x14ac:dyDescent="0.3">
      <c r="A4421" t="s">
        <v>627</v>
      </c>
      <c r="B4421" s="16">
        <v>45590</v>
      </c>
      <c r="C4421" t="s">
        <v>3</v>
      </c>
      <c r="D4421" t="s">
        <v>120</v>
      </c>
      <c r="E4421" t="s">
        <v>163</v>
      </c>
      <c r="F4421">
        <v>58</v>
      </c>
      <c r="G4421">
        <v>21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15</v>
      </c>
      <c r="O4421">
        <v>52</v>
      </c>
      <c r="P4421">
        <f t="shared" si="225"/>
        <v>2024</v>
      </c>
      <c r="Q4421">
        <f t="shared" si="226"/>
        <v>10</v>
      </c>
      <c r="R4421" t="str">
        <f t="shared" si="227"/>
        <v>手猫免费其他</v>
      </c>
      <c r="S4421" t="s">
        <v>785</v>
      </c>
      <c r="T4421" t="s">
        <v>805</v>
      </c>
    </row>
    <row r="4422" spans="1:20" x14ac:dyDescent="0.3">
      <c r="A4422" t="s">
        <v>627</v>
      </c>
      <c r="B4422" s="16">
        <v>45590</v>
      </c>
      <c r="C4422" t="s">
        <v>3</v>
      </c>
      <c r="D4422" t="s">
        <v>120</v>
      </c>
      <c r="E4422" t="s">
        <v>164</v>
      </c>
      <c r="F4422">
        <v>38</v>
      </c>
      <c r="G4422">
        <v>11</v>
      </c>
      <c r="H4422">
        <v>5</v>
      </c>
      <c r="I4422">
        <v>0</v>
      </c>
      <c r="J4422">
        <v>5367</v>
      </c>
      <c r="K4422">
        <v>1</v>
      </c>
      <c r="L4422">
        <v>3850</v>
      </c>
      <c r="M4422">
        <v>1</v>
      </c>
      <c r="N4422">
        <v>0</v>
      </c>
      <c r="O4422">
        <v>38</v>
      </c>
      <c r="P4422">
        <f t="shared" si="225"/>
        <v>2024</v>
      </c>
      <c r="Q4422">
        <f t="shared" si="226"/>
        <v>10</v>
      </c>
      <c r="R4422" t="str">
        <f t="shared" si="227"/>
        <v>手猫其他店铺</v>
      </c>
      <c r="S4422" t="s">
        <v>785</v>
      </c>
      <c r="T4422" t="s">
        <v>805</v>
      </c>
    </row>
    <row r="4423" spans="1:20" x14ac:dyDescent="0.3">
      <c r="A4423" t="s">
        <v>627</v>
      </c>
      <c r="B4423" s="16">
        <v>45590</v>
      </c>
      <c r="C4423" t="s">
        <v>3</v>
      </c>
      <c r="D4423" t="s">
        <v>120</v>
      </c>
      <c r="E4423" t="s">
        <v>165</v>
      </c>
      <c r="F4423">
        <v>36</v>
      </c>
      <c r="G4423">
        <v>14</v>
      </c>
      <c r="H4423">
        <v>5</v>
      </c>
      <c r="I4423">
        <v>0</v>
      </c>
      <c r="J4423">
        <v>12384.63</v>
      </c>
      <c r="K4423">
        <v>1</v>
      </c>
      <c r="L4423">
        <v>12384.63</v>
      </c>
      <c r="M4423">
        <v>1</v>
      </c>
      <c r="N4423">
        <v>5</v>
      </c>
      <c r="O4423">
        <v>35</v>
      </c>
      <c r="P4423">
        <f t="shared" si="225"/>
        <v>2024</v>
      </c>
      <c r="Q4423">
        <f t="shared" si="226"/>
        <v>10</v>
      </c>
      <c r="R4423" t="str">
        <f t="shared" si="227"/>
        <v>手猫商品详情</v>
      </c>
      <c r="S4423" t="s">
        <v>785</v>
      </c>
      <c r="T4423" t="s">
        <v>805</v>
      </c>
    </row>
    <row r="4424" spans="1:20" x14ac:dyDescent="0.3">
      <c r="A4424" t="s">
        <v>627</v>
      </c>
      <c r="B4424" s="16">
        <v>45590</v>
      </c>
      <c r="C4424" t="s">
        <v>3</v>
      </c>
      <c r="D4424" t="s">
        <v>120</v>
      </c>
      <c r="E4424" t="s">
        <v>166</v>
      </c>
      <c r="F4424">
        <v>89</v>
      </c>
      <c r="G4424">
        <v>49</v>
      </c>
      <c r="H4424">
        <v>2</v>
      </c>
      <c r="I4424">
        <v>0</v>
      </c>
      <c r="J4424">
        <v>2550</v>
      </c>
      <c r="K4424">
        <v>1</v>
      </c>
      <c r="L4424">
        <v>3850</v>
      </c>
      <c r="M4424">
        <v>1</v>
      </c>
      <c r="N4424">
        <v>27</v>
      </c>
      <c r="O4424">
        <v>76</v>
      </c>
      <c r="P4424">
        <f t="shared" si="225"/>
        <v>2024</v>
      </c>
      <c r="Q4424">
        <f t="shared" si="226"/>
        <v>10</v>
      </c>
      <c r="R4424" t="str">
        <f t="shared" si="227"/>
        <v>手猫搜索</v>
      </c>
      <c r="S4424" t="s">
        <v>785</v>
      </c>
      <c r="T4424" t="s">
        <v>805</v>
      </c>
    </row>
    <row r="4425" spans="1:20" x14ac:dyDescent="0.3">
      <c r="A4425" t="s">
        <v>627</v>
      </c>
      <c r="B4425" s="16">
        <v>45590</v>
      </c>
      <c r="C4425" t="s">
        <v>3</v>
      </c>
      <c r="D4425" t="s">
        <v>120</v>
      </c>
      <c r="E4425" t="s">
        <v>167</v>
      </c>
      <c r="F4425">
        <v>9</v>
      </c>
      <c r="G4425">
        <v>2</v>
      </c>
      <c r="H4425">
        <v>2</v>
      </c>
      <c r="I4425">
        <v>0</v>
      </c>
      <c r="J4425">
        <v>4436.8</v>
      </c>
      <c r="K4425">
        <v>1</v>
      </c>
      <c r="L4425">
        <v>4436.8</v>
      </c>
      <c r="M4425">
        <v>1</v>
      </c>
      <c r="N4425">
        <v>7</v>
      </c>
      <c r="O4425">
        <v>7</v>
      </c>
      <c r="P4425">
        <f t="shared" si="225"/>
        <v>2024</v>
      </c>
      <c r="Q4425">
        <f t="shared" si="226"/>
        <v>10</v>
      </c>
      <c r="R4425" t="str">
        <f t="shared" si="227"/>
        <v>手猫旺信聊天</v>
      </c>
      <c r="S4425" t="s">
        <v>785</v>
      </c>
      <c r="T4425" t="s">
        <v>805</v>
      </c>
    </row>
    <row r="4426" spans="1:20" x14ac:dyDescent="0.3">
      <c r="A4426" t="s">
        <v>627</v>
      </c>
      <c r="B4426" s="16">
        <v>45590</v>
      </c>
      <c r="C4426" t="s">
        <v>3</v>
      </c>
      <c r="D4426" t="s">
        <v>120</v>
      </c>
      <c r="E4426" t="s">
        <v>192</v>
      </c>
      <c r="F4426">
        <v>6</v>
      </c>
      <c r="G4426">
        <v>4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6</v>
      </c>
      <c r="P4426">
        <f t="shared" si="225"/>
        <v>2024</v>
      </c>
      <c r="Q4426">
        <f t="shared" si="226"/>
        <v>10</v>
      </c>
      <c r="R4426" t="str">
        <f t="shared" si="227"/>
        <v>手猫消息中心</v>
      </c>
      <c r="S4426" t="s">
        <v>785</v>
      </c>
      <c r="T4426" t="s">
        <v>805</v>
      </c>
    </row>
    <row r="4427" spans="1:20" x14ac:dyDescent="0.3">
      <c r="A4427" t="s">
        <v>627</v>
      </c>
      <c r="B4427" s="16">
        <v>45590</v>
      </c>
      <c r="C4427" t="s">
        <v>3</v>
      </c>
      <c r="D4427" t="s">
        <v>120</v>
      </c>
      <c r="E4427" t="s">
        <v>168</v>
      </c>
      <c r="F4427">
        <v>399</v>
      </c>
      <c r="G4427">
        <v>193</v>
      </c>
      <c r="H4427">
        <v>11</v>
      </c>
      <c r="I4427">
        <v>0</v>
      </c>
      <c r="J4427">
        <v>7947.83</v>
      </c>
      <c r="K4427">
        <v>1</v>
      </c>
      <c r="L4427">
        <v>7947.83</v>
      </c>
      <c r="M4427">
        <v>1</v>
      </c>
      <c r="N4427">
        <v>38</v>
      </c>
      <c r="O4427">
        <v>399</v>
      </c>
      <c r="P4427">
        <f t="shared" si="225"/>
        <v>2024</v>
      </c>
      <c r="Q4427">
        <f t="shared" si="226"/>
        <v>10</v>
      </c>
      <c r="R4427" t="str">
        <f t="shared" si="227"/>
        <v>手猫首页</v>
      </c>
      <c r="S4427" t="s">
        <v>785</v>
      </c>
      <c r="T4427" t="s">
        <v>805</v>
      </c>
    </row>
    <row r="4428" spans="1:20" x14ac:dyDescent="0.3">
      <c r="A4428" t="s">
        <v>627</v>
      </c>
      <c r="B4428" s="16">
        <v>45590</v>
      </c>
      <c r="C4428" t="s">
        <v>3</v>
      </c>
      <c r="D4428" t="s">
        <v>123</v>
      </c>
      <c r="E4428" t="s">
        <v>169</v>
      </c>
      <c r="F4428">
        <v>343</v>
      </c>
      <c r="G4428">
        <v>115</v>
      </c>
      <c r="H4428">
        <v>21</v>
      </c>
      <c r="I4428">
        <v>6</v>
      </c>
      <c r="J4428">
        <v>31034.26</v>
      </c>
      <c r="K4428">
        <v>5</v>
      </c>
      <c r="L4428">
        <v>31034.26</v>
      </c>
      <c r="M4428">
        <v>5</v>
      </c>
      <c r="N4428">
        <v>55</v>
      </c>
      <c r="O4428">
        <v>338</v>
      </c>
      <c r="P4428">
        <f t="shared" si="225"/>
        <v>2024</v>
      </c>
      <c r="Q4428">
        <f t="shared" si="226"/>
        <v>10</v>
      </c>
      <c r="R4428" t="str">
        <f t="shared" si="227"/>
        <v>商品详情页头图推荐</v>
      </c>
      <c r="S4428" t="s">
        <v>785</v>
      </c>
      <c r="T4428" t="s">
        <v>805</v>
      </c>
    </row>
    <row r="4429" spans="1:20" x14ac:dyDescent="0.3">
      <c r="A4429" t="s">
        <v>627</v>
      </c>
      <c r="B4429" s="16">
        <v>45590</v>
      </c>
      <c r="C4429" t="s">
        <v>3</v>
      </c>
      <c r="D4429" t="s">
        <v>123</v>
      </c>
      <c r="E4429" t="s">
        <v>170</v>
      </c>
      <c r="F4429">
        <v>50</v>
      </c>
      <c r="G4429">
        <v>28</v>
      </c>
      <c r="H4429">
        <v>3</v>
      </c>
      <c r="I4429">
        <v>1</v>
      </c>
      <c r="J4429">
        <v>7800</v>
      </c>
      <c r="K4429">
        <v>1</v>
      </c>
      <c r="L4429">
        <v>7800</v>
      </c>
      <c r="M4429">
        <v>1</v>
      </c>
      <c r="N4429">
        <v>45</v>
      </c>
      <c r="O4429">
        <v>23</v>
      </c>
      <c r="P4429">
        <f t="shared" si="225"/>
        <v>2024</v>
      </c>
      <c r="Q4429">
        <f t="shared" si="226"/>
        <v>10</v>
      </c>
      <c r="R4429" t="str">
        <f t="shared" si="227"/>
        <v>店铺超链</v>
      </c>
      <c r="S4429" t="s">
        <v>785</v>
      </c>
      <c r="T4429" t="s">
        <v>805</v>
      </c>
    </row>
    <row r="4430" spans="1:20" x14ac:dyDescent="0.3">
      <c r="A4430" t="s">
        <v>627</v>
      </c>
      <c r="B4430" s="16">
        <v>45590</v>
      </c>
      <c r="C4430" t="s">
        <v>2</v>
      </c>
      <c r="D4430" t="s">
        <v>52</v>
      </c>
      <c r="E4430" t="s">
        <v>59</v>
      </c>
      <c r="F4430">
        <v>1408</v>
      </c>
      <c r="G4430">
        <v>1040</v>
      </c>
      <c r="H4430">
        <v>4</v>
      </c>
      <c r="I4430">
        <v>5</v>
      </c>
      <c r="J4430">
        <v>63000</v>
      </c>
      <c r="K4430">
        <v>1</v>
      </c>
      <c r="L4430">
        <v>63000</v>
      </c>
      <c r="M4430">
        <v>1</v>
      </c>
      <c r="N4430">
        <v>1165</v>
      </c>
      <c r="O4430">
        <v>254</v>
      </c>
      <c r="P4430">
        <f t="shared" si="225"/>
        <v>2024</v>
      </c>
      <c r="Q4430">
        <f t="shared" si="226"/>
        <v>10</v>
      </c>
      <c r="R4430" t="s">
        <v>171</v>
      </c>
      <c r="S4430" t="s">
        <v>785</v>
      </c>
      <c r="T4430" t="s">
        <v>805</v>
      </c>
    </row>
    <row r="4431" spans="1:20" x14ac:dyDescent="0.3">
      <c r="A4431" t="s">
        <v>627</v>
      </c>
      <c r="B4431" s="16">
        <v>45590</v>
      </c>
      <c r="C4431" t="s">
        <v>3</v>
      </c>
      <c r="D4431" t="s">
        <v>127</v>
      </c>
      <c r="E4431" t="s">
        <v>172</v>
      </c>
      <c r="F4431">
        <v>26</v>
      </c>
      <c r="G4431">
        <v>20</v>
      </c>
      <c r="H4431">
        <v>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15</v>
      </c>
      <c r="O4431">
        <v>9</v>
      </c>
      <c r="P4431">
        <f t="shared" si="225"/>
        <v>2024</v>
      </c>
      <c r="Q4431">
        <f t="shared" si="226"/>
        <v>10</v>
      </c>
      <c r="R4431" t="str">
        <f t="shared" si="227"/>
        <v>购中推荐</v>
      </c>
      <c r="S4431" t="s">
        <v>785</v>
      </c>
      <c r="T4431" t="s">
        <v>805</v>
      </c>
    </row>
    <row r="4432" spans="1:20" x14ac:dyDescent="0.3">
      <c r="A4432" t="s">
        <v>627</v>
      </c>
      <c r="B4432" s="16">
        <v>45590</v>
      </c>
      <c r="C4432" t="s">
        <v>3</v>
      </c>
      <c r="D4432" t="s">
        <v>127</v>
      </c>
      <c r="E4432" t="s">
        <v>173</v>
      </c>
      <c r="F4432">
        <v>187</v>
      </c>
      <c r="G4432">
        <v>129</v>
      </c>
      <c r="H4432">
        <v>3</v>
      </c>
      <c r="I4432">
        <v>2</v>
      </c>
      <c r="J4432">
        <v>0</v>
      </c>
      <c r="K4432">
        <v>0</v>
      </c>
      <c r="L4432">
        <v>0</v>
      </c>
      <c r="M4432">
        <v>0</v>
      </c>
      <c r="N4432">
        <v>95</v>
      </c>
      <c r="O4432">
        <v>66</v>
      </c>
      <c r="P4432">
        <f t="shared" si="225"/>
        <v>2024</v>
      </c>
      <c r="Q4432">
        <f t="shared" si="226"/>
        <v>10</v>
      </c>
      <c r="R4432" t="str">
        <f t="shared" si="227"/>
        <v>购后推荐</v>
      </c>
      <c r="S4432" t="s">
        <v>785</v>
      </c>
      <c r="T4432" t="s">
        <v>805</v>
      </c>
    </row>
    <row r="4433" spans="1:20" x14ac:dyDescent="0.3">
      <c r="A4433" t="s">
        <v>627</v>
      </c>
      <c r="B4433" s="16">
        <v>45590</v>
      </c>
      <c r="C4433" t="s">
        <v>3</v>
      </c>
      <c r="D4433" t="s">
        <v>127</v>
      </c>
      <c r="E4433" t="s">
        <v>174</v>
      </c>
      <c r="F4433">
        <v>4259</v>
      </c>
      <c r="G4433">
        <v>2107</v>
      </c>
      <c r="H4433">
        <v>133</v>
      </c>
      <c r="I4433">
        <v>39</v>
      </c>
      <c r="J4433">
        <v>104969.24</v>
      </c>
      <c r="K4433">
        <v>17</v>
      </c>
      <c r="L4433">
        <v>73594.240000000005</v>
      </c>
      <c r="M4433">
        <v>14</v>
      </c>
      <c r="N4433">
        <v>278</v>
      </c>
      <c r="O4433">
        <v>4259</v>
      </c>
      <c r="P4433">
        <f t="shared" si="225"/>
        <v>2024</v>
      </c>
      <c r="Q4433">
        <f t="shared" si="226"/>
        <v>10</v>
      </c>
      <c r="R4433" t="str">
        <f t="shared" si="227"/>
        <v>首页推荐-微详情</v>
      </c>
      <c r="S4433" t="s">
        <v>785</v>
      </c>
      <c r="T4433" t="s">
        <v>805</v>
      </c>
    </row>
    <row r="4434" spans="1:20" x14ac:dyDescent="0.3">
      <c r="A4434" t="s">
        <v>627</v>
      </c>
      <c r="B4434" s="16">
        <v>45590</v>
      </c>
      <c r="C4434" t="s">
        <v>3</v>
      </c>
      <c r="D4434" t="s">
        <v>127</v>
      </c>
      <c r="E4434" t="s">
        <v>175</v>
      </c>
      <c r="F4434">
        <v>12</v>
      </c>
      <c r="G4434">
        <v>2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f t="shared" si="225"/>
        <v>2024</v>
      </c>
      <c r="Q4434">
        <f t="shared" si="226"/>
        <v>10</v>
      </c>
      <c r="R4434" t="str">
        <f t="shared" si="227"/>
        <v>首页推荐-直播</v>
      </c>
      <c r="S4434" t="s">
        <v>785</v>
      </c>
      <c r="T4434" t="s">
        <v>805</v>
      </c>
    </row>
    <row r="4435" spans="1:20" x14ac:dyDescent="0.3">
      <c r="A4435" t="s">
        <v>627</v>
      </c>
      <c r="B4435" s="16">
        <v>45590</v>
      </c>
      <c r="C4435" t="s">
        <v>3</v>
      </c>
      <c r="D4435" t="s">
        <v>127</v>
      </c>
      <c r="E4435" t="s">
        <v>176</v>
      </c>
      <c r="F4435">
        <v>716</v>
      </c>
      <c r="G4435">
        <v>315</v>
      </c>
      <c r="H4435">
        <v>13</v>
      </c>
      <c r="I4435">
        <v>1</v>
      </c>
      <c r="J4435">
        <v>18924</v>
      </c>
      <c r="K4435">
        <v>3</v>
      </c>
      <c r="L4435">
        <v>13724</v>
      </c>
      <c r="M4435">
        <v>2</v>
      </c>
      <c r="N4435">
        <v>21</v>
      </c>
      <c r="O4435">
        <v>183</v>
      </c>
      <c r="P4435">
        <f t="shared" si="225"/>
        <v>2024</v>
      </c>
      <c r="Q4435">
        <f t="shared" si="226"/>
        <v>10</v>
      </c>
      <c r="R4435" t="str">
        <f t="shared" si="227"/>
        <v>首页推荐-短视频</v>
      </c>
      <c r="S4435" t="s">
        <v>785</v>
      </c>
      <c r="T4435" t="s">
        <v>805</v>
      </c>
    </row>
    <row r="4436" spans="1:20" x14ac:dyDescent="0.3">
      <c r="A4436" t="s">
        <v>627</v>
      </c>
      <c r="B4436" s="16">
        <v>45590</v>
      </c>
      <c r="C4436" t="s">
        <v>3</v>
      </c>
      <c r="D4436" t="s">
        <v>128</v>
      </c>
      <c r="E4436" t="s">
        <v>177</v>
      </c>
      <c r="F4436">
        <v>1064</v>
      </c>
      <c r="G4436">
        <v>710</v>
      </c>
      <c r="H4436">
        <v>37</v>
      </c>
      <c r="I4436">
        <v>12</v>
      </c>
      <c r="J4436">
        <v>73758</v>
      </c>
      <c r="K4436">
        <v>9</v>
      </c>
      <c r="L4436">
        <v>47788</v>
      </c>
      <c r="M4436">
        <v>6</v>
      </c>
      <c r="N4436">
        <v>254</v>
      </c>
      <c r="O4436">
        <v>983</v>
      </c>
      <c r="P4436">
        <f t="shared" si="225"/>
        <v>2024</v>
      </c>
      <c r="Q4436">
        <f t="shared" si="226"/>
        <v>10</v>
      </c>
      <c r="R4436" t="str">
        <f t="shared" si="227"/>
        <v>手淘搜索-商品及其他</v>
      </c>
      <c r="S4436" t="s">
        <v>785</v>
      </c>
      <c r="T4436" t="s">
        <v>805</v>
      </c>
    </row>
    <row r="4437" spans="1:20" x14ac:dyDescent="0.3">
      <c r="A4437" t="s">
        <v>627</v>
      </c>
      <c r="B4437" s="16">
        <v>45590</v>
      </c>
      <c r="C4437" t="s">
        <v>3</v>
      </c>
      <c r="D4437" t="s">
        <v>128</v>
      </c>
      <c r="E4437" t="s">
        <v>179</v>
      </c>
      <c r="F4437">
        <v>31</v>
      </c>
      <c r="G4437">
        <v>19</v>
      </c>
      <c r="H4437">
        <v>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1</v>
      </c>
      <c r="O4437">
        <v>28</v>
      </c>
      <c r="P4437">
        <f t="shared" si="225"/>
        <v>2024</v>
      </c>
      <c r="Q4437">
        <f t="shared" si="226"/>
        <v>10</v>
      </c>
      <c r="R4437" t="str">
        <f t="shared" si="227"/>
        <v>手淘搜索-短视频</v>
      </c>
      <c r="S4437" t="s">
        <v>785</v>
      </c>
      <c r="T4437" t="s">
        <v>805</v>
      </c>
    </row>
    <row r="4438" spans="1:20" x14ac:dyDescent="0.3">
      <c r="A4438" t="s">
        <v>627</v>
      </c>
      <c r="B4438" s="16">
        <v>45590</v>
      </c>
      <c r="C4438" t="s">
        <v>3</v>
      </c>
      <c r="D4438" t="s">
        <v>143</v>
      </c>
      <c r="E4438" t="s">
        <v>180</v>
      </c>
      <c r="F4438">
        <v>5</v>
      </c>
      <c r="G4438">
        <v>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5</v>
      </c>
      <c r="P4438">
        <f t="shared" si="225"/>
        <v>2024</v>
      </c>
      <c r="Q4438">
        <f t="shared" si="226"/>
        <v>10</v>
      </c>
      <c r="R4438" t="str">
        <f t="shared" si="227"/>
        <v>淘特其他渠道</v>
      </c>
      <c r="S4438" t="s">
        <v>785</v>
      </c>
      <c r="T4438" t="s">
        <v>805</v>
      </c>
    </row>
    <row r="4439" spans="1:20" x14ac:dyDescent="0.3">
      <c r="A4439" t="s">
        <v>627</v>
      </c>
      <c r="B4439" s="16">
        <v>45590</v>
      </c>
      <c r="C4439" t="s">
        <v>3</v>
      </c>
      <c r="D4439" t="s">
        <v>143</v>
      </c>
      <c r="E4439" t="s">
        <v>181</v>
      </c>
      <c r="F4439">
        <v>12</v>
      </c>
      <c r="G4439">
        <v>11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12</v>
      </c>
      <c r="P4439">
        <f t="shared" si="225"/>
        <v>2024</v>
      </c>
      <c r="Q4439">
        <f t="shared" si="226"/>
        <v>10</v>
      </c>
      <c r="R4439" t="str">
        <f t="shared" si="227"/>
        <v>淘特搜索</v>
      </c>
      <c r="S4439" t="s">
        <v>785</v>
      </c>
      <c r="T4439" t="s">
        <v>805</v>
      </c>
    </row>
    <row r="4440" spans="1:20" x14ac:dyDescent="0.3">
      <c r="A4440" t="s">
        <v>627</v>
      </c>
      <c r="B4440" s="16">
        <v>45590</v>
      </c>
      <c r="C4440" t="s">
        <v>2</v>
      </c>
      <c r="D4440" t="s">
        <v>55</v>
      </c>
      <c r="E4440" t="s">
        <v>54</v>
      </c>
      <c r="F4440">
        <v>4</v>
      </c>
      <c r="G4440">
        <v>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</v>
      </c>
      <c r="P4440">
        <f t="shared" si="225"/>
        <v>2024</v>
      </c>
      <c r="Q4440">
        <f t="shared" si="226"/>
        <v>10</v>
      </c>
      <c r="R4440" t="str">
        <f t="shared" si="227"/>
        <v>超级直播</v>
      </c>
      <c r="S4440" t="s">
        <v>785</v>
      </c>
      <c r="T4440" t="s">
        <v>805</v>
      </c>
    </row>
    <row r="4441" spans="1:20" x14ac:dyDescent="0.3">
      <c r="A4441" t="s">
        <v>627</v>
      </c>
      <c r="B4441" s="16">
        <v>45590</v>
      </c>
      <c r="C4441" t="s">
        <v>2</v>
      </c>
      <c r="D4441" t="s">
        <v>55</v>
      </c>
      <c r="E4441" t="s">
        <v>56</v>
      </c>
      <c r="F4441">
        <v>218</v>
      </c>
      <c r="G4441">
        <v>166</v>
      </c>
      <c r="H4441">
        <v>4</v>
      </c>
      <c r="I4441">
        <v>3</v>
      </c>
      <c r="J4441">
        <v>0</v>
      </c>
      <c r="K4441">
        <v>0</v>
      </c>
      <c r="L4441">
        <v>0</v>
      </c>
      <c r="M4441">
        <v>0</v>
      </c>
      <c r="N4441">
        <v>4</v>
      </c>
      <c r="O4441">
        <v>173</v>
      </c>
      <c r="P4441">
        <f t="shared" si="225"/>
        <v>2024</v>
      </c>
      <c r="Q4441">
        <f t="shared" si="226"/>
        <v>10</v>
      </c>
      <c r="R4441" t="str">
        <f t="shared" si="227"/>
        <v>超级短视频</v>
      </c>
      <c r="S4441" t="s">
        <v>785</v>
      </c>
      <c r="T4441" t="s">
        <v>805</v>
      </c>
    </row>
    <row r="4442" spans="1:20" x14ac:dyDescent="0.3">
      <c r="A4442" t="s">
        <v>627</v>
      </c>
      <c r="B4442" s="16">
        <v>45590</v>
      </c>
      <c r="C4442" t="s">
        <v>2</v>
      </c>
      <c r="D4442" t="s">
        <v>52</v>
      </c>
      <c r="E4442" t="s">
        <v>59</v>
      </c>
      <c r="F4442">
        <v>1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1</v>
      </c>
      <c r="O4442">
        <v>0</v>
      </c>
      <c r="P4442">
        <f t="shared" si="225"/>
        <v>2024</v>
      </c>
      <c r="Q4442">
        <f t="shared" si="226"/>
        <v>10</v>
      </c>
      <c r="R4442" t="str">
        <f t="shared" si="227"/>
        <v>品牌特秀</v>
      </c>
      <c r="S4442" t="s">
        <v>785</v>
      </c>
      <c r="T4442" t="s">
        <v>805</v>
      </c>
    </row>
    <row r="4443" spans="1:20" x14ac:dyDescent="0.3">
      <c r="A4443" t="s">
        <v>627</v>
      </c>
      <c r="B4443" s="16">
        <v>45590</v>
      </c>
      <c r="C4443" t="s">
        <v>2</v>
      </c>
      <c r="D4443" t="s">
        <v>52</v>
      </c>
      <c r="E4443" t="s">
        <v>183</v>
      </c>
      <c r="F4443">
        <v>659</v>
      </c>
      <c r="G4443">
        <v>484</v>
      </c>
      <c r="H4443">
        <v>33</v>
      </c>
      <c r="I4443">
        <v>2</v>
      </c>
      <c r="J4443">
        <v>47631</v>
      </c>
      <c r="K4443">
        <v>7</v>
      </c>
      <c r="L4443">
        <v>38731</v>
      </c>
      <c r="M4443">
        <v>6</v>
      </c>
      <c r="N4443">
        <v>659</v>
      </c>
      <c r="O4443">
        <v>398</v>
      </c>
      <c r="P4443">
        <f t="shared" si="225"/>
        <v>2024</v>
      </c>
      <c r="Q4443">
        <f t="shared" si="226"/>
        <v>10</v>
      </c>
      <c r="R4443" t="str">
        <f t="shared" si="227"/>
        <v>品销宝-品牌专区</v>
      </c>
      <c r="S4443" t="s">
        <v>785</v>
      </c>
      <c r="T4443" t="s">
        <v>805</v>
      </c>
    </row>
    <row r="4444" spans="1:20" x14ac:dyDescent="0.3">
      <c r="A4444" t="s">
        <v>627</v>
      </c>
      <c r="B4444" s="16">
        <v>45590</v>
      </c>
      <c r="C4444" t="s">
        <v>2</v>
      </c>
      <c r="D4444" t="s">
        <v>57</v>
      </c>
      <c r="E4444" t="s">
        <v>65</v>
      </c>
      <c r="F4444">
        <v>2853</v>
      </c>
      <c r="G4444">
        <v>2376</v>
      </c>
      <c r="H4444">
        <v>49</v>
      </c>
      <c r="I4444">
        <v>16</v>
      </c>
      <c r="J4444">
        <v>39882</v>
      </c>
      <c r="K4444">
        <v>7</v>
      </c>
      <c r="L4444">
        <v>27432</v>
      </c>
      <c r="M4444">
        <v>5</v>
      </c>
      <c r="N4444">
        <v>196</v>
      </c>
      <c r="O4444">
        <v>2833</v>
      </c>
      <c r="P4444">
        <f t="shared" si="225"/>
        <v>2024</v>
      </c>
      <c r="Q4444">
        <f t="shared" si="226"/>
        <v>10</v>
      </c>
      <c r="R4444" t="str">
        <f t="shared" si="227"/>
        <v>直通车</v>
      </c>
      <c r="S4444" t="s">
        <v>785</v>
      </c>
      <c r="T4444" t="s">
        <v>805</v>
      </c>
    </row>
    <row r="4445" spans="1:20" x14ac:dyDescent="0.3">
      <c r="A4445" t="s">
        <v>627</v>
      </c>
      <c r="B4445" s="16">
        <v>45590</v>
      </c>
      <c r="C4445" t="s">
        <v>2</v>
      </c>
      <c r="D4445" t="s">
        <v>57</v>
      </c>
      <c r="E4445" t="s">
        <v>63</v>
      </c>
      <c r="F4445">
        <v>4613</v>
      </c>
      <c r="G4445">
        <v>2603</v>
      </c>
      <c r="H4445">
        <v>134</v>
      </c>
      <c r="I4445">
        <v>54</v>
      </c>
      <c r="J4445">
        <v>204838</v>
      </c>
      <c r="K4445">
        <v>29</v>
      </c>
      <c r="L4445">
        <v>127215</v>
      </c>
      <c r="M4445">
        <v>21</v>
      </c>
      <c r="N4445">
        <v>212</v>
      </c>
      <c r="O4445">
        <v>4605</v>
      </c>
      <c r="P4445">
        <f t="shared" si="225"/>
        <v>2024</v>
      </c>
      <c r="Q4445">
        <f t="shared" si="226"/>
        <v>10</v>
      </c>
      <c r="R4445" t="str">
        <f t="shared" si="227"/>
        <v>万相台</v>
      </c>
      <c r="S4445" t="s">
        <v>785</v>
      </c>
      <c r="T4445" t="s">
        <v>805</v>
      </c>
    </row>
    <row r="4446" spans="1:20" x14ac:dyDescent="0.3">
      <c r="A4446" t="s">
        <v>627</v>
      </c>
      <c r="B4446" s="16">
        <v>45590</v>
      </c>
      <c r="C4446" t="s">
        <v>2</v>
      </c>
      <c r="D4446" t="s">
        <v>57</v>
      </c>
      <c r="E4446" t="s">
        <v>64</v>
      </c>
      <c r="F4446">
        <v>5220</v>
      </c>
      <c r="G4446">
        <v>1907</v>
      </c>
      <c r="H4446">
        <v>131</v>
      </c>
      <c r="I4446">
        <v>70</v>
      </c>
      <c r="J4446">
        <v>120587</v>
      </c>
      <c r="K4446">
        <v>14</v>
      </c>
      <c r="L4446">
        <v>83137</v>
      </c>
      <c r="M4446">
        <v>10</v>
      </c>
      <c r="N4446">
        <v>374</v>
      </c>
      <c r="O4446">
        <v>5218</v>
      </c>
      <c r="P4446">
        <f t="shared" si="225"/>
        <v>2024</v>
      </c>
      <c r="Q4446">
        <f t="shared" si="226"/>
        <v>10</v>
      </c>
      <c r="R4446" t="str">
        <f t="shared" si="227"/>
        <v>引力魔方</v>
      </c>
      <c r="S4446" t="s">
        <v>785</v>
      </c>
      <c r="T4446" t="s">
        <v>805</v>
      </c>
    </row>
    <row r="4447" spans="1:20" x14ac:dyDescent="0.3">
      <c r="A4447" t="s">
        <v>627</v>
      </c>
      <c r="B4447" s="16">
        <v>45590</v>
      </c>
      <c r="C4447" t="s">
        <v>2</v>
      </c>
      <c r="D4447" t="s">
        <v>4</v>
      </c>
      <c r="E4447" t="s">
        <v>41</v>
      </c>
      <c r="F4447">
        <v>5</v>
      </c>
      <c r="G4447">
        <v>1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2</v>
      </c>
      <c r="O4447">
        <v>4</v>
      </c>
      <c r="P4447">
        <f t="shared" si="225"/>
        <v>2024</v>
      </c>
      <c r="Q4447">
        <f t="shared" si="226"/>
        <v>10</v>
      </c>
      <c r="R4447" t="str">
        <f t="shared" si="227"/>
        <v>流量宝</v>
      </c>
      <c r="S4447" t="s">
        <v>785</v>
      </c>
      <c r="T4447" t="s">
        <v>805</v>
      </c>
    </row>
    <row r="4448" spans="1:20" x14ac:dyDescent="0.3">
      <c r="A4448" t="s">
        <v>627</v>
      </c>
      <c r="B4448" s="16">
        <v>45590</v>
      </c>
      <c r="C4448" t="s">
        <v>2</v>
      </c>
      <c r="D4448" t="s">
        <v>4</v>
      </c>
      <c r="E4448" t="s">
        <v>43</v>
      </c>
      <c r="F4448">
        <v>415</v>
      </c>
      <c r="G4448">
        <v>159</v>
      </c>
      <c r="H4448">
        <v>33</v>
      </c>
      <c r="I4448">
        <v>0</v>
      </c>
      <c r="J4448">
        <v>19088</v>
      </c>
      <c r="K4448">
        <v>3</v>
      </c>
      <c r="L4448">
        <v>8100</v>
      </c>
      <c r="M4448">
        <v>2</v>
      </c>
      <c r="N4448">
        <v>27</v>
      </c>
      <c r="O4448">
        <v>407</v>
      </c>
      <c r="P4448">
        <f t="shared" si="225"/>
        <v>2024</v>
      </c>
      <c r="Q4448">
        <f t="shared" si="226"/>
        <v>10</v>
      </c>
      <c r="R4448" t="str">
        <f t="shared" si="227"/>
        <v>淘宝客</v>
      </c>
      <c r="S4448" t="s">
        <v>785</v>
      </c>
      <c r="T4448" t="s">
        <v>805</v>
      </c>
    </row>
    <row r="4449" spans="1:20" x14ac:dyDescent="0.3">
      <c r="A4449" t="s">
        <v>627</v>
      </c>
      <c r="B4449" s="16">
        <v>45589</v>
      </c>
      <c r="C4449" t="s">
        <v>3</v>
      </c>
      <c r="D4449" t="s">
        <v>114</v>
      </c>
      <c r="E4449" t="s">
        <v>159</v>
      </c>
      <c r="F4449">
        <v>185</v>
      </c>
      <c r="G4449">
        <v>64</v>
      </c>
      <c r="H4449">
        <v>5</v>
      </c>
      <c r="I4449">
        <v>1</v>
      </c>
      <c r="J4449">
        <v>12634</v>
      </c>
      <c r="K4449">
        <v>2</v>
      </c>
      <c r="L4449">
        <v>8734</v>
      </c>
      <c r="M4449">
        <v>1</v>
      </c>
      <c r="N4449">
        <v>15</v>
      </c>
      <c r="O4449">
        <v>176</v>
      </c>
      <c r="P4449">
        <f t="shared" si="225"/>
        <v>2024</v>
      </c>
      <c r="Q4449">
        <f t="shared" si="226"/>
        <v>10</v>
      </c>
      <c r="R4449" t="str">
        <f t="shared" si="227"/>
        <v>主会场</v>
      </c>
      <c r="S4449" t="s">
        <v>785</v>
      </c>
      <c r="T4449" t="s">
        <v>805</v>
      </c>
    </row>
    <row r="4450" spans="1:20" x14ac:dyDescent="0.3">
      <c r="A4450" t="s">
        <v>627</v>
      </c>
      <c r="B4450" s="16">
        <v>45589</v>
      </c>
      <c r="C4450" t="s">
        <v>3</v>
      </c>
      <c r="D4450" t="s">
        <v>114</v>
      </c>
      <c r="E4450" t="s">
        <v>160</v>
      </c>
      <c r="F4450">
        <v>3</v>
      </c>
      <c r="G4450">
        <v>2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1</v>
      </c>
      <c r="O4450">
        <v>3</v>
      </c>
      <c r="P4450">
        <f t="shared" si="225"/>
        <v>2024</v>
      </c>
      <c r="Q4450">
        <f t="shared" si="226"/>
        <v>10</v>
      </c>
      <c r="R4450" t="str">
        <f t="shared" si="227"/>
        <v>榜单会场</v>
      </c>
      <c r="S4450" t="s">
        <v>785</v>
      </c>
      <c r="T4450" t="s">
        <v>805</v>
      </c>
    </row>
    <row r="4451" spans="1:20" x14ac:dyDescent="0.3">
      <c r="A4451" t="s">
        <v>627</v>
      </c>
      <c r="B4451" s="16">
        <v>45589</v>
      </c>
      <c r="C4451" t="s">
        <v>3</v>
      </c>
      <c r="D4451" t="s">
        <v>117</v>
      </c>
      <c r="E4451" t="s">
        <v>161</v>
      </c>
      <c r="F4451">
        <v>1</v>
      </c>
      <c r="G4451">
        <v>1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1</v>
      </c>
      <c r="P4451">
        <f t="shared" si="225"/>
        <v>2024</v>
      </c>
      <c r="Q4451">
        <f t="shared" si="226"/>
        <v>10</v>
      </c>
      <c r="R4451" t="str">
        <f t="shared" si="227"/>
        <v>其他入口榜单</v>
      </c>
      <c r="S4451" t="s">
        <v>785</v>
      </c>
      <c r="T4451" t="s">
        <v>805</v>
      </c>
    </row>
    <row r="4452" spans="1:20" x14ac:dyDescent="0.3">
      <c r="A4452" t="s">
        <v>627</v>
      </c>
      <c r="B4452" s="16">
        <v>45589</v>
      </c>
      <c r="C4452" t="s">
        <v>3</v>
      </c>
      <c r="D4452" t="s">
        <v>117</v>
      </c>
      <c r="E4452" t="s">
        <v>195</v>
      </c>
      <c r="F4452">
        <v>1</v>
      </c>
      <c r="G4452">
        <v>1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1</v>
      </c>
      <c r="P4452">
        <f t="shared" si="225"/>
        <v>2024</v>
      </c>
      <c r="Q4452">
        <f t="shared" si="226"/>
        <v>10</v>
      </c>
      <c r="R4452" t="str">
        <f t="shared" si="227"/>
        <v>搜索入口榜单</v>
      </c>
      <c r="S4452" t="s">
        <v>785</v>
      </c>
      <c r="T4452" t="s">
        <v>805</v>
      </c>
    </row>
    <row r="4453" spans="1:20" x14ac:dyDescent="0.3">
      <c r="A4453" t="s">
        <v>627</v>
      </c>
      <c r="B4453" s="16">
        <v>45589</v>
      </c>
      <c r="C4453" t="s">
        <v>3</v>
      </c>
      <c r="D4453" t="s">
        <v>120</v>
      </c>
      <c r="E4453" t="s">
        <v>162</v>
      </c>
      <c r="F4453">
        <v>1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1</v>
      </c>
      <c r="O4453">
        <v>0</v>
      </c>
      <c r="P4453">
        <f t="shared" si="225"/>
        <v>2024</v>
      </c>
      <c r="Q4453">
        <f t="shared" si="226"/>
        <v>10</v>
      </c>
      <c r="R4453" t="str">
        <f t="shared" si="227"/>
        <v>手机浏览器访问天猫</v>
      </c>
      <c r="S4453" t="s">
        <v>785</v>
      </c>
      <c r="T4453" t="s">
        <v>805</v>
      </c>
    </row>
    <row r="4454" spans="1:20" x14ac:dyDescent="0.3">
      <c r="A4454" t="s">
        <v>627</v>
      </c>
      <c r="B4454" s="16">
        <v>45589</v>
      </c>
      <c r="C4454" t="s">
        <v>3</v>
      </c>
      <c r="D4454" t="s">
        <v>120</v>
      </c>
      <c r="E4454" t="s">
        <v>163</v>
      </c>
      <c r="F4454">
        <v>63</v>
      </c>
      <c r="G4454">
        <v>16</v>
      </c>
      <c r="H4454">
        <v>1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14</v>
      </c>
      <c r="O4454">
        <v>56</v>
      </c>
      <c r="P4454">
        <f t="shared" si="225"/>
        <v>2024</v>
      </c>
      <c r="Q4454">
        <f t="shared" si="226"/>
        <v>10</v>
      </c>
      <c r="R4454" t="str">
        <f t="shared" si="227"/>
        <v>手猫免费其他</v>
      </c>
      <c r="S4454" t="s">
        <v>785</v>
      </c>
      <c r="T4454" t="s">
        <v>805</v>
      </c>
    </row>
    <row r="4455" spans="1:20" x14ac:dyDescent="0.3">
      <c r="A4455" t="s">
        <v>627</v>
      </c>
      <c r="B4455" s="16">
        <v>45589</v>
      </c>
      <c r="C4455" t="s">
        <v>3</v>
      </c>
      <c r="D4455" t="s">
        <v>120</v>
      </c>
      <c r="E4455" t="s">
        <v>164</v>
      </c>
      <c r="F4455">
        <v>45</v>
      </c>
      <c r="G4455">
        <v>18</v>
      </c>
      <c r="H4455">
        <v>5</v>
      </c>
      <c r="I4455">
        <v>0</v>
      </c>
      <c r="J4455">
        <v>7823</v>
      </c>
      <c r="K4455">
        <v>2</v>
      </c>
      <c r="L4455">
        <v>7823</v>
      </c>
      <c r="M4455">
        <v>2</v>
      </c>
      <c r="N4455">
        <v>0</v>
      </c>
      <c r="O4455">
        <v>45</v>
      </c>
      <c r="P4455">
        <f t="shared" si="225"/>
        <v>2024</v>
      </c>
      <c r="Q4455">
        <f t="shared" si="226"/>
        <v>10</v>
      </c>
      <c r="R4455" t="str">
        <f t="shared" si="227"/>
        <v>手猫其他店铺</v>
      </c>
      <c r="S4455" t="s">
        <v>785</v>
      </c>
      <c r="T4455" t="s">
        <v>805</v>
      </c>
    </row>
    <row r="4456" spans="1:20" x14ac:dyDescent="0.3">
      <c r="A4456" t="s">
        <v>627</v>
      </c>
      <c r="B4456" s="16">
        <v>45589</v>
      </c>
      <c r="C4456" t="s">
        <v>3</v>
      </c>
      <c r="D4456" t="s">
        <v>120</v>
      </c>
      <c r="E4456" t="s">
        <v>165</v>
      </c>
      <c r="F4456">
        <v>64</v>
      </c>
      <c r="G4456">
        <v>27</v>
      </c>
      <c r="H4456">
        <v>6</v>
      </c>
      <c r="I4456">
        <v>0</v>
      </c>
      <c r="J4456">
        <v>17608</v>
      </c>
      <c r="K4456">
        <v>5</v>
      </c>
      <c r="L4456">
        <v>12618</v>
      </c>
      <c r="M4456">
        <v>4</v>
      </c>
      <c r="N4456">
        <v>14</v>
      </c>
      <c r="O4456">
        <v>63</v>
      </c>
      <c r="P4456">
        <f t="shared" si="225"/>
        <v>2024</v>
      </c>
      <c r="Q4456">
        <f t="shared" si="226"/>
        <v>10</v>
      </c>
      <c r="R4456" t="str">
        <f t="shared" si="227"/>
        <v>手猫商品详情</v>
      </c>
      <c r="S4456" t="s">
        <v>785</v>
      </c>
      <c r="T4456" t="s">
        <v>805</v>
      </c>
    </row>
    <row r="4457" spans="1:20" x14ac:dyDescent="0.3">
      <c r="A4457" t="s">
        <v>627</v>
      </c>
      <c r="B4457" s="16">
        <v>45589</v>
      </c>
      <c r="C4457" t="s">
        <v>3</v>
      </c>
      <c r="D4457" t="s">
        <v>120</v>
      </c>
      <c r="E4457" t="s">
        <v>166</v>
      </c>
      <c r="F4457">
        <v>135</v>
      </c>
      <c r="G4457">
        <v>90</v>
      </c>
      <c r="H4457">
        <v>23</v>
      </c>
      <c r="I4457">
        <v>0</v>
      </c>
      <c r="J4457">
        <v>23075</v>
      </c>
      <c r="K4457">
        <v>4</v>
      </c>
      <c r="L4457">
        <v>19225</v>
      </c>
      <c r="M4457">
        <v>3</v>
      </c>
      <c r="N4457">
        <v>33</v>
      </c>
      <c r="O4457">
        <v>128</v>
      </c>
      <c r="P4457">
        <f t="shared" ref="P4457:P4520" si="228">YEAR(B4457)</f>
        <v>2024</v>
      </c>
      <c r="Q4457">
        <f t="shared" ref="Q4457:Q4520" si="229">MONTH(B4457)</f>
        <v>10</v>
      </c>
      <c r="R4457" t="str">
        <f t="shared" ref="R4457:R4520" si="230">E4457</f>
        <v>手猫搜索</v>
      </c>
      <c r="S4457" t="s">
        <v>785</v>
      </c>
      <c r="T4457" t="s">
        <v>805</v>
      </c>
    </row>
    <row r="4458" spans="1:20" x14ac:dyDescent="0.3">
      <c r="A4458" t="s">
        <v>627</v>
      </c>
      <c r="B4458" s="16">
        <v>45589</v>
      </c>
      <c r="C4458" t="s">
        <v>3</v>
      </c>
      <c r="D4458" t="s">
        <v>120</v>
      </c>
      <c r="E4458" t="s">
        <v>167</v>
      </c>
      <c r="F4458">
        <v>6</v>
      </c>
      <c r="G4458">
        <v>0</v>
      </c>
      <c r="H4458">
        <v>2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1</v>
      </c>
      <c r="O4458">
        <v>6</v>
      </c>
      <c r="P4458">
        <f t="shared" si="228"/>
        <v>2024</v>
      </c>
      <c r="Q4458">
        <f t="shared" si="229"/>
        <v>10</v>
      </c>
      <c r="R4458" t="str">
        <f t="shared" si="230"/>
        <v>手猫旺信聊天</v>
      </c>
      <c r="S4458" t="s">
        <v>785</v>
      </c>
      <c r="T4458" t="s">
        <v>805</v>
      </c>
    </row>
    <row r="4459" spans="1:20" x14ac:dyDescent="0.3">
      <c r="A4459" t="s">
        <v>627</v>
      </c>
      <c r="B4459" s="16">
        <v>45589</v>
      </c>
      <c r="C4459" t="s">
        <v>3</v>
      </c>
      <c r="D4459" t="s">
        <v>120</v>
      </c>
      <c r="E4459" t="s">
        <v>192</v>
      </c>
      <c r="F4459">
        <v>5</v>
      </c>
      <c r="G4459">
        <v>2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5</v>
      </c>
      <c r="P4459">
        <f t="shared" si="228"/>
        <v>2024</v>
      </c>
      <c r="Q4459">
        <f t="shared" si="229"/>
        <v>10</v>
      </c>
      <c r="R4459" t="str">
        <f t="shared" si="230"/>
        <v>手猫消息中心</v>
      </c>
      <c r="S4459" t="s">
        <v>785</v>
      </c>
      <c r="T4459" t="s">
        <v>805</v>
      </c>
    </row>
    <row r="4460" spans="1:20" x14ac:dyDescent="0.3">
      <c r="A4460" t="s">
        <v>627</v>
      </c>
      <c r="B4460" s="16">
        <v>45589</v>
      </c>
      <c r="C4460" t="s">
        <v>3</v>
      </c>
      <c r="D4460" t="s">
        <v>120</v>
      </c>
      <c r="E4460" t="s">
        <v>168</v>
      </c>
      <c r="F4460">
        <v>363</v>
      </c>
      <c r="G4460">
        <v>164</v>
      </c>
      <c r="H4460">
        <v>10</v>
      </c>
      <c r="I4460">
        <v>0</v>
      </c>
      <c r="J4460">
        <v>11103</v>
      </c>
      <c r="K4460">
        <v>3</v>
      </c>
      <c r="L4460">
        <v>5163</v>
      </c>
      <c r="M4460">
        <v>2</v>
      </c>
      <c r="N4460">
        <v>26</v>
      </c>
      <c r="O4460">
        <v>363</v>
      </c>
      <c r="P4460">
        <f t="shared" si="228"/>
        <v>2024</v>
      </c>
      <c r="Q4460">
        <f t="shared" si="229"/>
        <v>10</v>
      </c>
      <c r="R4460" t="str">
        <f t="shared" si="230"/>
        <v>手猫首页</v>
      </c>
      <c r="S4460" t="s">
        <v>785</v>
      </c>
      <c r="T4460" t="s">
        <v>805</v>
      </c>
    </row>
    <row r="4461" spans="1:20" x14ac:dyDescent="0.3">
      <c r="A4461" t="s">
        <v>627</v>
      </c>
      <c r="B4461" s="16">
        <v>45589</v>
      </c>
      <c r="C4461" t="s">
        <v>3</v>
      </c>
      <c r="D4461" t="s">
        <v>123</v>
      </c>
      <c r="E4461" t="s">
        <v>169</v>
      </c>
      <c r="F4461">
        <v>416</v>
      </c>
      <c r="G4461">
        <v>166</v>
      </c>
      <c r="H4461">
        <v>46</v>
      </c>
      <c r="I4461">
        <v>3</v>
      </c>
      <c r="J4461">
        <v>44250</v>
      </c>
      <c r="K4461">
        <v>12</v>
      </c>
      <c r="L4461">
        <v>44250</v>
      </c>
      <c r="M4461">
        <v>12</v>
      </c>
      <c r="N4461">
        <v>63</v>
      </c>
      <c r="O4461">
        <v>407</v>
      </c>
      <c r="P4461">
        <f t="shared" si="228"/>
        <v>2024</v>
      </c>
      <c r="Q4461">
        <f t="shared" si="229"/>
        <v>10</v>
      </c>
      <c r="R4461" t="str">
        <f t="shared" si="230"/>
        <v>商品详情页头图推荐</v>
      </c>
      <c r="S4461" t="s">
        <v>785</v>
      </c>
      <c r="T4461" t="s">
        <v>805</v>
      </c>
    </row>
    <row r="4462" spans="1:20" x14ac:dyDescent="0.3">
      <c r="A4462" t="s">
        <v>627</v>
      </c>
      <c r="B4462" s="16">
        <v>45589</v>
      </c>
      <c r="C4462" t="s">
        <v>3</v>
      </c>
      <c r="D4462" t="s">
        <v>123</v>
      </c>
      <c r="E4462" t="s">
        <v>170</v>
      </c>
      <c r="F4462">
        <v>73</v>
      </c>
      <c r="G4462">
        <v>35</v>
      </c>
      <c r="H4462">
        <v>9</v>
      </c>
      <c r="I4462">
        <v>1</v>
      </c>
      <c r="J4462">
        <v>18438.64</v>
      </c>
      <c r="K4462">
        <v>4</v>
      </c>
      <c r="L4462">
        <v>18438.64</v>
      </c>
      <c r="M4462">
        <v>4</v>
      </c>
      <c r="N4462">
        <v>60</v>
      </c>
      <c r="O4462">
        <v>37</v>
      </c>
      <c r="P4462">
        <f t="shared" si="228"/>
        <v>2024</v>
      </c>
      <c r="Q4462">
        <f t="shared" si="229"/>
        <v>10</v>
      </c>
      <c r="R4462" t="str">
        <f t="shared" si="230"/>
        <v>店铺超链</v>
      </c>
      <c r="S4462" t="s">
        <v>785</v>
      </c>
      <c r="T4462" t="s">
        <v>805</v>
      </c>
    </row>
    <row r="4463" spans="1:20" x14ac:dyDescent="0.3">
      <c r="A4463" t="s">
        <v>627</v>
      </c>
      <c r="B4463" s="16">
        <v>45589</v>
      </c>
      <c r="C4463" t="s">
        <v>2</v>
      </c>
      <c r="D4463" t="s">
        <v>52</v>
      </c>
      <c r="E4463" t="s">
        <v>59</v>
      </c>
      <c r="F4463">
        <v>1481</v>
      </c>
      <c r="G4463">
        <v>1130</v>
      </c>
      <c r="H4463">
        <v>22</v>
      </c>
      <c r="I4463">
        <v>5</v>
      </c>
      <c r="J4463">
        <v>20566</v>
      </c>
      <c r="K4463">
        <v>5</v>
      </c>
      <c r="L4463">
        <v>20566</v>
      </c>
      <c r="M4463">
        <v>5</v>
      </c>
      <c r="N4463">
        <v>1206</v>
      </c>
      <c r="O4463">
        <v>296</v>
      </c>
      <c r="P4463">
        <f t="shared" si="228"/>
        <v>2024</v>
      </c>
      <c r="Q4463">
        <f t="shared" si="229"/>
        <v>10</v>
      </c>
      <c r="R4463" t="s">
        <v>171</v>
      </c>
      <c r="S4463" t="s">
        <v>785</v>
      </c>
      <c r="T4463" t="s">
        <v>805</v>
      </c>
    </row>
    <row r="4464" spans="1:20" x14ac:dyDescent="0.3">
      <c r="A4464" t="s">
        <v>627</v>
      </c>
      <c r="B4464" s="16">
        <v>45589</v>
      </c>
      <c r="C4464" t="s">
        <v>3</v>
      </c>
      <c r="D4464" t="s">
        <v>127</v>
      </c>
      <c r="E4464" t="s">
        <v>172</v>
      </c>
      <c r="F4464">
        <v>35</v>
      </c>
      <c r="G4464">
        <v>26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9</v>
      </c>
      <c r="O4464">
        <v>17</v>
      </c>
      <c r="P4464">
        <f t="shared" si="228"/>
        <v>2024</v>
      </c>
      <c r="Q4464">
        <f t="shared" si="229"/>
        <v>10</v>
      </c>
      <c r="R4464" t="str">
        <f t="shared" si="230"/>
        <v>购中推荐</v>
      </c>
      <c r="S4464" t="s">
        <v>785</v>
      </c>
      <c r="T4464" t="s">
        <v>805</v>
      </c>
    </row>
    <row r="4465" spans="1:20" x14ac:dyDescent="0.3">
      <c r="A4465" t="s">
        <v>627</v>
      </c>
      <c r="B4465" s="16">
        <v>45589</v>
      </c>
      <c r="C4465" t="s">
        <v>3</v>
      </c>
      <c r="D4465" t="s">
        <v>127</v>
      </c>
      <c r="E4465" t="s">
        <v>173</v>
      </c>
      <c r="F4465">
        <v>209</v>
      </c>
      <c r="G4465">
        <v>155</v>
      </c>
      <c r="H4465">
        <v>2</v>
      </c>
      <c r="I4465">
        <v>1</v>
      </c>
      <c r="J4465">
        <v>0</v>
      </c>
      <c r="K4465">
        <v>0</v>
      </c>
      <c r="L4465">
        <v>0</v>
      </c>
      <c r="M4465">
        <v>0</v>
      </c>
      <c r="N4465">
        <v>69</v>
      </c>
      <c r="O4465">
        <v>89</v>
      </c>
      <c r="P4465">
        <f t="shared" si="228"/>
        <v>2024</v>
      </c>
      <c r="Q4465">
        <f t="shared" si="229"/>
        <v>10</v>
      </c>
      <c r="R4465" t="str">
        <f t="shared" si="230"/>
        <v>购后推荐</v>
      </c>
      <c r="S4465" t="s">
        <v>785</v>
      </c>
      <c r="T4465" t="s">
        <v>805</v>
      </c>
    </row>
    <row r="4466" spans="1:20" x14ac:dyDescent="0.3">
      <c r="A4466" t="s">
        <v>627</v>
      </c>
      <c r="B4466" s="16">
        <v>45589</v>
      </c>
      <c r="C4466" t="s">
        <v>3</v>
      </c>
      <c r="D4466" t="s">
        <v>127</v>
      </c>
      <c r="E4466" t="s">
        <v>174</v>
      </c>
      <c r="F4466">
        <v>5143</v>
      </c>
      <c r="G4466">
        <v>2855</v>
      </c>
      <c r="H4466">
        <v>158</v>
      </c>
      <c r="I4466">
        <v>52</v>
      </c>
      <c r="J4466">
        <v>171517.5</v>
      </c>
      <c r="K4466">
        <v>39</v>
      </c>
      <c r="L4466">
        <v>132612</v>
      </c>
      <c r="M4466">
        <v>34</v>
      </c>
      <c r="N4466">
        <v>400</v>
      </c>
      <c r="O4466">
        <v>5143</v>
      </c>
      <c r="P4466">
        <f t="shared" si="228"/>
        <v>2024</v>
      </c>
      <c r="Q4466">
        <f t="shared" si="229"/>
        <v>10</v>
      </c>
      <c r="R4466" t="str">
        <f t="shared" si="230"/>
        <v>首页推荐-微详情</v>
      </c>
      <c r="S4466" t="s">
        <v>785</v>
      </c>
      <c r="T4466" t="s">
        <v>805</v>
      </c>
    </row>
    <row r="4467" spans="1:20" x14ac:dyDescent="0.3">
      <c r="A4467" t="s">
        <v>627</v>
      </c>
      <c r="B4467" s="16">
        <v>45589</v>
      </c>
      <c r="C4467" t="s">
        <v>3</v>
      </c>
      <c r="D4467" t="s">
        <v>127</v>
      </c>
      <c r="E4467" t="s">
        <v>175</v>
      </c>
      <c r="F4467">
        <v>572</v>
      </c>
      <c r="G4467">
        <v>362</v>
      </c>
      <c r="H4467">
        <v>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2</v>
      </c>
      <c r="O4467">
        <v>37</v>
      </c>
      <c r="P4467">
        <f t="shared" si="228"/>
        <v>2024</v>
      </c>
      <c r="Q4467">
        <f t="shared" si="229"/>
        <v>10</v>
      </c>
      <c r="R4467" t="str">
        <f t="shared" si="230"/>
        <v>首页推荐-直播</v>
      </c>
      <c r="S4467" t="s">
        <v>785</v>
      </c>
      <c r="T4467" t="s">
        <v>805</v>
      </c>
    </row>
    <row r="4468" spans="1:20" x14ac:dyDescent="0.3">
      <c r="A4468" t="s">
        <v>627</v>
      </c>
      <c r="B4468" s="16">
        <v>45589</v>
      </c>
      <c r="C4468" t="s">
        <v>3</v>
      </c>
      <c r="D4468" t="s">
        <v>127</v>
      </c>
      <c r="E4468" t="s">
        <v>176</v>
      </c>
      <c r="F4468">
        <v>912</v>
      </c>
      <c r="G4468">
        <v>490</v>
      </c>
      <c r="H4468">
        <v>14</v>
      </c>
      <c r="I4468">
        <v>4</v>
      </c>
      <c r="J4468">
        <v>23682</v>
      </c>
      <c r="K4468">
        <v>5</v>
      </c>
      <c r="L4468">
        <v>23682</v>
      </c>
      <c r="M4468">
        <v>5</v>
      </c>
      <c r="N4468">
        <v>31</v>
      </c>
      <c r="O4468">
        <v>221</v>
      </c>
      <c r="P4468">
        <f t="shared" si="228"/>
        <v>2024</v>
      </c>
      <c r="Q4468">
        <f t="shared" si="229"/>
        <v>10</v>
      </c>
      <c r="R4468" t="str">
        <f t="shared" si="230"/>
        <v>首页推荐-短视频</v>
      </c>
      <c r="S4468" t="s">
        <v>785</v>
      </c>
      <c r="T4468" t="s">
        <v>805</v>
      </c>
    </row>
    <row r="4469" spans="1:20" x14ac:dyDescent="0.3">
      <c r="A4469" t="s">
        <v>627</v>
      </c>
      <c r="B4469" s="16">
        <v>45589</v>
      </c>
      <c r="C4469" t="s">
        <v>3</v>
      </c>
      <c r="D4469" t="s">
        <v>128</v>
      </c>
      <c r="E4469" t="s">
        <v>177</v>
      </c>
      <c r="F4469">
        <v>2371</v>
      </c>
      <c r="G4469">
        <v>1890</v>
      </c>
      <c r="H4469">
        <v>460</v>
      </c>
      <c r="I4469">
        <v>27</v>
      </c>
      <c r="J4469">
        <v>869611.5</v>
      </c>
      <c r="K4469">
        <v>181</v>
      </c>
      <c r="L4469">
        <v>760746.5</v>
      </c>
      <c r="M4469">
        <v>163</v>
      </c>
      <c r="N4469">
        <v>452</v>
      </c>
      <c r="O4469">
        <v>2232</v>
      </c>
      <c r="P4469">
        <f t="shared" si="228"/>
        <v>2024</v>
      </c>
      <c r="Q4469">
        <f t="shared" si="229"/>
        <v>10</v>
      </c>
      <c r="R4469" t="str">
        <f t="shared" si="230"/>
        <v>手淘搜索-商品及其他</v>
      </c>
      <c r="S4469" t="s">
        <v>785</v>
      </c>
      <c r="T4469" t="s">
        <v>805</v>
      </c>
    </row>
    <row r="4470" spans="1:20" x14ac:dyDescent="0.3">
      <c r="A4470" t="s">
        <v>627</v>
      </c>
      <c r="B4470" s="16">
        <v>45589</v>
      </c>
      <c r="C4470" t="s">
        <v>3</v>
      </c>
      <c r="D4470" t="s">
        <v>128</v>
      </c>
      <c r="E4470" t="s">
        <v>178</v>
      </c>
      <c r="F4470">
        <v>33</v>
      </c>
      <c r="G4470">
        <v>26</v>
      </c>
      <c r="H4470">
        <v>0</v>
      </c>
      <c r="I4470">
        <v>1</v>
      </c>
      <c r="J4470">
        <v>6975</v>
      </c>
      <c r="K4470">
        <v>1</v>
      </c>
      <c r="L4470">
        <v>0</v>
      </c>
      <c r="M4470">
        <v>0</v>
      </c>
      <c r="N4470">
        <v>2</v>
      </c>
      <c r="O4470">
        <v>13</v>
      </c>
      <c r="P4470">
        <f t="shared" si="228"/>
        <v>2024</v>
      </c>
      <c r="Q4470">
        <f t="shared" si="229"/>
        <v>10</v>
      </c>
      <c r="R4470" t="str">
        <f t="shared" si="230"/>
        <v>手淘搜索-直播</v>
      </c>
      <c r="S4470" t="s">
        <v>785</v>
      </c>
      <c r="T4470" t="s">
        <v>805</v>
      </c>
    </row>
    <row r="4471" spans="1:20" x14ac:dyDescent="0.3">
      <c r="A4471" t="s">
        <v>627</v>
      </c>
      <c r="B4471" s="16">
        <v>45589</v>
      </c>
      <c r="C4471" t="s">
        <v>3</v>
      </c>
      <c r="D4471" t="s">
        <v>128</v>
      </c>
      <c r="E4471" t="s">
        <v>179</v>
      </c>
      <c r="F4471">
        <v>214</v>
      </c>
      <c r="G4471">
        <v>200</v>
      </c>
      <c r="H4471">
        <v>2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1</v>
      </c>
      <c r="O4471">
        <v>201</v>
      </c>
      <c r="P4471">
        <f t="shared" si="228"/>
        <v>2024</v>
      </c>
      <c r="Q4471">
        <f t="shared" si="229"/>
        <v>10</v>
      </c>
      <c r="R4471" t="str">
        <f t="shared" si="230"/>
        <v>手淘搜索-短视频</v>
      </c>
      <c r="S4471" t="s">
        <v>785</v>
      </c>
      <c r="T4471" t="s">
        <v>805</v>
      </c>
    </row>
    <row r="4472" spans="1:20" x14ac:dyDescent="0.3">
      <c r="A4472" t="s">
        <v>627</v>
      </c>
      <c r="B4472" s="16">
        <v>45589</v>
      </c>
      <c r="C4472" t="s">
        <v>3</v>
      </c>
      <c r="D4472" t="s">
        <v>143</v>
      </c>
      <c r="E4472" t="s">
        <v>180</v>
      </c>
      <c r="F4472">
        <v>7</v>
      </c>
      <c r="G4472">
        <v>6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1</v>
      </c>
      <c r="O4472">
        <v>7</v>
      </c>
      <c r="P4472">
        <f t="shared" si="228"/>
        <v>2024</v>
      </c>
      <c r="Q4472">
        <f t="shared" si="229"/>
        <v>10</v>
      </c>
      <c r="R4472" t="str">
        <f t="shared" si="230"/>
        <v>淘特其他渠道</v>
      </c>
      <c r="S4472" t="s">
        <v>785</v>
      </c>
      <c r="T4472" t="s">
        <v>805</v>
      </c>
    </row>
    <row r="4473" spans="1:20" x14ac:dyDescent="0.3">
      <c r="A4473" t="s">
        <v>627</v>
      </c>
      <c r="B4473" s="16">
        <v>45589</v>
      </c>
      <c r="C4473" t="s">
        <v>3</v>
      </c>
      <c r="D4473" t="s">
        <v>143</v>
      </c>
      <c r="E4473" t="s">
        <v>181</v>
      </c>
      <c r="F4473">
        <v>23</v>
      </c>
      <c r="G4473">
        <v>22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23</v>
      </c>
      <c r="P4473">
        <f t="shared" si="228"/>
        <v>2024</v>
      </c>
      <c r="Q4473">
        <f t="shared" si="229"/>
        <v>10</v>
      </c>
      <c r="R4473" t="str">
        <f t="shared" si="230"/>
        <v>淘特搜索</v>
      </c>
      <c r="S4473" t="s">
        <v>785</v>
      </c>
      <c r="T4473" t="s">
        <v>805</v>
      </c>
    </row>
    <row r="4474" spans="1:20" x14ac:dyDescent="0.3">
      <c r="A4474" t="s">
        <v>627</v>
      </c>
      <c r="B4474" s="16">
        <v>45589</v>
      </c>
      <c r="C4474" t="s">
        <v>2</v>
      </c>
      <c r="D4474" t="s">
        <v>55</v>
      </c>
      <c r="E4474" t="s">
        <v>66</v>
      </c>
      <c r="F4474">
        <v>1</v>
      </c>
      <c r="G4474">
        <v>1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f t="shared" si="228"/>
        <v>2024</v>
      </c>
      <c r="Q4474">
        <f t="shared" si="229"/>
        <v>10</v>
      </c>
      <c r="R4474" t="str">
        <f t="shared" si="230"/>
        <v>短直联动</v>
      </c>
      <c r="S4474" t="s">
        <v>785</v>
      </c>
      <c r="T4474" t="s">
        <v>805</v>
      </c>
    </row>
    <row r="4475" spans="1:20" x14ac:dyDescent="0.3">
      <c r="A4475" t="s">
        <v>627</v>
      </c>
      <c r="B4475" s="16">
        <v>45589</v>
      </c>
      <c r="C4475" t="s">
        <v>2</v>
      </c>
      <c r="D4475" t="s">
        <v>55</v>
      </c>
      <c r="E4475" t="s">
        <v>54</v>
      </c>
      <c r="F4475">
        <v>1804</v>
      </c>
      <c r="G4475">
        <v>1347</v>
      </c>
      <c r="H4475">
        <v>8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26</v>
      </c>
      <c r="O4475">
        <v>189</v>
      </c>
      <c r="P4475">
        <f t="shared" si="228"/>
        <v>2024</v>
      </c>
      <c r="Q4475">
        <f t="shared" si="229"/>
        <v>10</v>
      </c>
      <c r="R4475" t="str">
        <f t="shared" si="230"/>
        <v>超级直播</v>
      </c>
      <c r="S4475" t="s">
        <v>785</v>
      </c>
      <c r="T4475" t="s">
        <v>805</v>
      </c>
    </row>
    <row r="4476" spans="1:20" x14ac:dyDescent="0.3">
      <c r="A4476" t="s">
        <v>627</v>
      </c>
      <c r="B4476" s="16">
        <v>45589</v>
      </c>
      <c r="C4476" t="s">
        <v>2</v>
      </c>
      <c r="D4476" t="s">
        <v>55</v>
      </c>
      <c r="E4476" t="s">
        <v>56</v>
      </c>
      <c r="F4476">
        <v>300</v>
      </c>
      <c r="G4476">
        <v>238</v>
      </c>
      <c r="H4476">
        <v>8</v>
      </c>
      <c r="I4476">
        <v>5</v>
      </c>
      <c r="J4476">
        <v>0</v>
      </c>
      <c r="K4476">
        <v>0</v>
      </c>
      <c r="L4476">
        <v>0</v>
      </c>
      <c r="M4476">
        <v>0</v>
      </c>
      <c r="N4476">
        <v>4</v>
      </c>
      <c r="O4476">
        <v>246</v>
      </c>
      <c r="P4476">
        <f t="shared" si="228"/>
        <v>2024</v>
      </c>
      <c r="Q4476">
        <f t="shared" si="229"/>
        <v>10</v>
      </c>
      <c r="R4476" t="str">
        <f t="shared" si="230"/>
        <v>超级短视频</v>
      </c>
      <c r="S4476" t="s">
        <v>785</v>
      </c>
      <c r="T4476" t="s">
        <v>805</v>
      </c>
    </row>
    <row r="4477" spans="1:20" x14ac:dyDescent="0.3">
      <c r="A4477" t="s">
        <v>627</v>
      </c>
      <c r="B4477" s="16">
        <v>45589</v>
      </c>
      <c r="C4477" t="s">
        <v>2</v>
      </c>
      <c r="D4477" t="s">
        <v>52</v>
      </c>
      <c r="E4477" t="s">
        <v>183</v>
      </c>
      <c r="F4477">
        <v>682</v>
      </c>
      <c r="G4477">
        <v>501</v>
      </c>
      <c r="H4477">
        <v>49</v>
      </c>
      <c r="I4477">
        <v>10</v>
      </c>
      <c r="J4477">
        <v>124136.93</v>
      </c>
      <c r="K4477">
        <v>23</v>
      </c>
      <c r="L4477">
        <v>119836.93</v>
      </c>
      <c r="M4477">
        <v>23</v>
      </c>
      <c r="N4477">
        <v>682</v>
      </c>
      <c r="O4477">
        <v>431</v>
      </c>
      <c r="P4477">
        <f t="shared" si="228"/>
        <v>2024</v>
      </c>
      <c r="Q4477">
        <f t="shared" si="229"/>
        <v>10</v>
      </c>
      <c r="R4477" t="str">
        <f t="shared" si="230"/>
        <v>品销宝-品牌专区</v>
      </c>
      <c r="S4477" t="s">
        <v>785</v>
      </c>
      <c r="T4477" t="s">
        <v>805</v>
      </c>
    </row>
    <row r="4478" spans="1:20" x14ac:dyDescent="0.3">
      <c r="A4478" t="s">
        <v>627</v>
      </c>
      <c r="B4478" s="16">
        <v>45589</v>
      </c>
      <c r="C4478" t="s">
        <v>2</v>
      </c>
      <c r="D4478" t="s">
        <v>57</v>
      </c>
      <c r="E4478" t="s">
        <v>65</v>
      </c>
      <c r="F4478">
        <v>5876</v>
      </c>
      <c r="G4478">
        <v>5091</v>
      </c>
      <c r="H4478">
        <v>399</v>
      </c>
      <c r="I4478">
        <v>37</v>
      </c>
      <c r="J4478">
        <v>784555.5</v>
      </c>
      <c r="K4478">
        <v>141</v>
      </c>
      <c r="L4478">
        <v>622081</v>
      </c>
      <c r="M4478">
        <v>124</v>
      </c>
      <c r="N4478">
        <v>399</v>
      </c>
      <c r="O4478">
        <v>5808</v>
      </c>
      <c r="P4478">
        <f t="shared" si="228"/>
        <v>2024</v>
      </c>
      <c r="Q4478">
        <f t="shared" si="229"/>
        <v>10</v>
      </c>
      <c r="R4478" t="str">
        <f t="shared" si="230"/>
        <v>直通车</v>
      </c>
      <c r="S4478" t="s">
        <v>785</v>
      </c>
      <c r="T4478" t="s">
        <v>805</v>
      </c>
    </row>
    <row r="4479" spans="1:20" x14ac:dyDescent="0.3">
      <c r="A4479" t="s">
        <v>627</v>
      </c>
      <c r="B4479" s="16">
        <v>45589</v>
      </c>
      <c r="C4479" t="s">
        <v>2</v>
      </c>
      <c r="D4479" t="s">
        <v>57</v>
      </c>
      <c r="E4479" t="s">
        <v>63</v>
      </c>
      <c r="F4479">
        <v>5416</v>
      </c>
      <c r="G4479">
        <v>2999</v>
      </c>
      <c r="H4479">
        <v>315</v>
      </c>
      <c r="I4479">
        <v>82</v>
      </c>
      <c r="J4479">
        <v>552961.5</v>
      </c>
      <c r="K4479">
        <v>89</v>
      </c>
      <c r="L4479">
        <v>467427.5</v>
      </c>
      <c r="M4479">
        <v>79</v>
      </c>
      <c r="N4479">
        <v>360</v>
      </c>
      <c r="O4479">
        <v>5403</v>
      </c>
      <c r="P4479">
        <f t="shared" si="228"/>
        <v>2024</v>
      </c>
      <c r="Q4479">
        <f t="shared" si="229"/>
        <v>10</v>
      </c>
      <c r="R4479" t="str">
        <f t="shared" si="230"/>
        <v>万相台</v>
      </c>
      <c r="S4479" t="s">
        <v>785</v>
      </c>
      <c r="T4479" t="s">
        <v>805</v>
      </c>
    </row>
    <row r="4480" spans="1:20" x14ac:dyDescent="0.3">
      <c r="A4480" t="s">
        <v>627</v>
      </c>
      <c r="B4480" s="16">
        <v>45589</v>
      </c>
      <c r="C4480" t="s">
        <v>2</v>
      </c>
      <c r="D4480" t="s">
        <v>57</v>
      </c>
      <c r="E4480" t="s">
        <v>64</v>
      </c>
      <c r="F4480">
        <v>6650</v>
      </c>
      <c r="G4480">
        <v>2887</v>
      </c>
      <c r="H4480">
        <v>167</v>
      </c>
      <c r="I4480">
        <v>73</v>
      </c>
      <c r="J4480">
        <v>97797.34</v>
      </c>
      <c r="K4480">
        <v>15</v>
      </c>
      <c r="L4480">
        <v>63302.34</v>
      </c>
      <c r="M4480">
        <v>12</v>
      </c>
      <c r="N4480">
        <v>514</v>
      </c>
      <c r="O4480">
        <v>6649</v>
      </c>
      <c r="P4480">
        <f t="shared" si="228"/>
        <v>2024</v>
      </c>
      <c r="Q4480">
        <f t="shared" si="229"/>
        <v>10</v>
      </c>
      <c r="R4480" t="str">
        <f t="shared" si="230"/>
        <v>引力魔方</v>
      </c>
      <c r="S4480" t="s">
        <v>785</v>
      </c>
      <c r="T4480" t="s">
        <v>805</v>
      </c>
    </row>
    <row r="4481" spans="1:20" x14ac:dyDescent="0.3">
      <c r="A4481" t="s">
        <v>627</v>
      </c>
      <c r="B4481" s="16">
        <v>45589</v>
      </c>
      <c r="C4481" t="s">
        <v>2</v>
      </c>
      <c r="D4481" t="s">
        <v>4</v>
      </c>
      <c r="E4481" t="s">
        <v>41</v>
      </c>
      <c r="F4481">
        <v>4</v>
      </c>
      <c r="G4481">
        <v>3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1</v>
      </c>
      <c r="O4481">
        <v>3</v>
      </c>
      <c r="P4481">
        <f t="shared" si="228"/>
        <v>2024</v>
      </c>
      <c r="Q4481">
        <f t="shared" si="229"/>
        <v>10</v>
      </c>
      <c r="R4481" t="str">
        <f t="shared" si="230"/>
        <v>流量宝</v>
      </c>
      <c r="S4481" t="s">
        <v>785</v>
      </c>
      <c r="T4481" t="s">
        <v>805</v>
      </c>
    </row>
    <row r="4482" spans="1:20" x14ac:dyDescent="0.3">
      <c r="A4482" t="s">
        <v>627</v>
      </c>
      <c r="B4482" s="16">
        <v>45589</v>
      </c>
      <c r="C4482" t="s">
        <v>2</v>
      </c>
      <c r="D4482" t="s">
        <v>4</v>
      </c>
      <c r="E4482" t="s">
        <v>43</v>
      </c>
      <c r="F4482">
        <v>4079</v>
      </c>
      <c r="G4482">
        <v>3846</v>
      </c>
      <c r="H4482">
        <v>247</v>
      </c>
      <c r="I4482">
        <v>16</v>
      </c>
      <c r="J4482">
        <v>189513</v>
      </c>
      <c r="K4482">
        <v>54</v>
      </c>
      <c r="L4482">
        <v>152193</v>
      </c>
      <c r="M4482">
        <v>48</v>
      </c>
      <c r="N4482">
        <v>49</v>
      </c>
      <c r="O4482">
        <v>4063</v>
      </c>
      <c r="P4482">
        <f t="shared" si="228"/>
        <v>2024</v>
      </c>
      <c r="Q4482">
        <f t="shared" si="229"/>
        <v>10</v>
      </c>
      <c r="R4482" t="str">
        <f t="shared" si="230"/>
        <v>淘宝客</v>
      </c>
      <c r="S4482" t="s">
        <v>785</v>
      </c>
      <c r="T4482" t="s">
        <v>805</v>
      </c>
    </row>
    <row r="4483" spans="1:20" x14ac:dyDescent="0.3">
      <c r="A4483" t="s">
        <v>627</v>
      </c>
      <c r="B4483" s="16">
        <v>45588</v>
      </c>
      <c r="C4483" t="s">
        <v>3</v>
      </c>
      <c r="D4483" t="s">
        <v>114</v>
      </c>
      <c r="E4483" t="s">
        <v>159</v>
      </c>
      <c r="F4483">
        <v>200</v>
      </c>
      <c r="G4483">
        <v>75</v>
      </c>
      <c r="H4483">
        <v>6</v>
      </c>
      <c r="I4483">
        <v>2</v>
      </c>
      <c r="J4483">
        <v>1498</v>
      </c>
      <c r="K4483">
        <v>1</v>
      </c>
      <c r="L4483">
        <v>1498</v>
      </c>
      <c r="M4483">
        <v>1</v>
      </c>
      <c r="N4483">
        <v>22</v>
      </c>
      <c r="O4483">
        <v>188</v>
      </c>
      <c r="P4483">
        <f t="shared" si="228"/>
        <v>2024</v>
      </c>
      <c r="Q4483">
        <f t="shared" si="229"/>
        <v>10</v>
      </c>
      <c r="R4483" t="str">
        <f t="shared" si="230"/>
        <v>主会场</v>
      </c>
      <c r="S4483" t="s">
        <v>785</v>
      </c>
      <c r="T4483" t="s">
        <v>805</v>
      </c>
    </row>
    <row r="4484" spans="1:20" x14ac:dyDescent="0.3">
      <c r="A4484" t="s">
        <v>627</v>
      </c>
      <c r="B4484" s="16">
        <v>45588</v>
      </c>
      <c r="C4484" t="s">
        <v>3</v>
      </c>
      <c r="D4484" t="s">
        <v>114</v>
      </c>
      <c r="E4484" t="s">
        <v>160</v>
      </c>
      <c r="F4484">
        <v>1</v>
      </c>
      <c r="G4484">
        <v>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1</v>
      </c>
      <c r="O4484">
        <v>1</v>
      </c>
      <c r="P4484">
        <f t="shared" si="228"/>
        <v>2024</v>
      </c>
      <c r="Q4484">
        <f t="shared" si="229"/>
        <v>10</v>
      </c>
      <c r="R4484" t="str">
        <f t="shared" si="230"/>
        <v>榜单会场</v>
      </c>
      <c r="S4484" t="s">
        <v>785</v>
      </c>
      <c r="T4484" t="s">
        <v>805</v>
      </c>
    </row>
    <row r="4485" spans="1:20" x14ac:dyDescent="0.3">
      <c r="A4485" t="s">
        <v>627</v>
      </c>
      <c r="B4485" s="16">
        <v>45588</v>
      </c>
      <c r="C4485" t="s">
        <v>3</v>
      </c>
      <c r="D4485" t="s">
        <v>117</v>
      </c>
      <c r="E4485" t="s">
        <v>161</v>
      </c>
      <c r="F4485">
        <v>1</v>
      </c>
      <c r="G4485">
        <v>1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1</v>
      </c>
      <c r="P4485">
        <f t="shared" si="228"/>
        <v>2024</v>
      </c>
      <c r="Q4485">
        <f t="shared" si="229"/>
        <v>10</v>
      </c>
      <c r="R4485" t="str">
        <f t="shared" si="230"/>
        <v>其他入口榜单</v>
      </c>
      <c r="S4485" t="s">
        <v>785</v>
      </c>
      <c r="T4485" t="s">
        <v>805</v>
      </c>
    </row>
    <row r="4486" spans="1:20" x14ac:dyDescent="0.3">
      <c r="A4486" t="s">
        <v>627</v>
      </c>
      <c r="B4486" s="16">
        <v>45588</v>
      </c>
      <c r="C4486" t="s">
        <v>3</v>
      </c>
      <c r="D4486" t="s">
        <v>120</v>
      </c>
      <c r="E4486" t="s">
        <v>163</v>
      </c>
      <c r="F4486">
        <v>65</v>
      </c>
      <c r="G4486">
        <v>26</v>
      </c>
      <c r="H4486">
        <v>4</v>
      </c>
      <c r="I4486">
        <v>0</v>
      </c>
      <c r="J4486">
        <v>24967</v>
      </c>
      <c r="K4486">
        <v>3</v>
      </c>
      <c r="L4486">
        <v>16867</v>
      </c>
      <c r="M4486">
        <v>3</v>
      </c>
      <c r="N4486">
        <v>17</v>
      </c>
      <c r="O4486">
        <v>57</v>
      </c>
      <c r="P4486">
        <f t="shared" si="228"/>
        <v>2024</v>
      </c>
      <c r="Q4486">
        <f t="shared" si="229"/>
        <v>10</v>
      </c>
      <c r="R4486" t="str">
        <f t="shared" si="230"/>
        <v>手猫免费其他</v>
      </c>
      <c r="S4486" t="s">
        <v>785</v>
      </c>
      <c r="T4486" t="s">
        <v>805</v>
      </c>
    </row>
    <row r="4487" spans="1:20" x14ac:dyDescent="0.3">
      <c r="A4487" t="s">
        <v>627</v>
      </c>
      <c r="B4487" s="16">
        <v>45588</v>
      </c>
      <c r="C4487" t="s">
        <v>3</v>
      </c>
      <c r="D4487" t="s">
        <v>120</v>
      </c>
      <c r="E4487" t="s">
        <v>164</v>
      </c>
      <c r="F4487">
        <v>39</v>
      </c>
      <c r="G4487">
        <v>17</v>
      </c>
      <c r="H4487">
        <v>10</v>
      </c>
      <c r="I4487">
        <v>0</v>
      </c>
      <c r="J4487">
        <v>16703.41</v>
      </c>
      <c r="K4487">
        <v>3</v>
      </c>
      <c r="L4487">
        <v>8603.41</v>
      </c>
      <c r="M4487">
        <v>3</v>
      </c>
      <c r="N4487">
        <v>1</v>
      </c>
      <c r="O4487">
        <v>39</v>
      </c>
      <c r="P4487">
        <f t="shared" si="228"/>
        <v>2024</v>
      </c>
      <c r="Q4487">
        <f t="shared" si="229"/>
        <v>10</v>
      </c>
      <c r="R4487" t="str">
        <f t="shared" si="230"/>
        <v>手猫其他店铺</v>
      </c>
      <c r="S4487" t="s">
        <v>785</v>
      </c>
      <c r="T4487" t="s">
        <v>805</v>
      </c>
    </row>
    <row r="4488" spans="1:20" x14ac:dyDescent="0.3">
      <c r="A4488" t="s">
        <v>627</v>
      </c>
      <c r="B4488" s="16">
        <v>45588</v>
      </c>
      <c r="C4488" t="s">
        <v>3</v>
      </c>
      <c r="D4488" t="s">
        <v>120</v>
      </c>
      <c r="E4488" t="s">
        <v>165</v>
      </c>
      <c r="F4488">
        <v>59</v>
      </c>
      <c r="G4488">
        <v>26</v>
      </c>
      <c r="H4488">
        <v>4</v>
      </c>
      <c r="I4488">
        <v>0</v>
      </c>
      <c r="J4488">
        <v>14450</v>
      </c>
      <c r="K4488">
        <v>2</v>
      </c>
      <c r="L4488">
        <v>6350</v>
      </c>
      <c r="M4488">
        <v>2</v>
      </c>
      <c r="N4488">
        <v>12</v>
      </c>
      <c r="O4488">
        <v>55</v>
      </c>
      <c r="P4488">
        <f t="shared" si="228"/>
        <v>2024</v>
      </c>
      <c r="Q4488">
        <f t="shared" si="229"/>
        <v>10</v>
      </c>
      <c r="R4488" t="str">
        <f t="shared" si="230"/>
        <v>手猫商品详情</v>
      </c>
      <c r="S4488" t="s">
        <v>785</v>
      </c>
      <c r="T4488" t="s">
        <v>805</v>
      </c>
    </row>
    <row r="4489" spans="1:20" x14ac:dyDescent="0.3">
      <c r="A4489" t="s">
        <v>627</v>
      </c>
      <c r="B4489" s="16">
        <v>45588</v>
      </c>
      <c r="C4489" t="s">
        <v>3</v>
      </c>
      <c r="D4489" t="s">
        <v>120</v>
      </c>
      <c r="E4489" t="s">
        <v>166</v>
      </c>
      <c r="F4489">
        <v>117</v>
      </c>
      <c r="G4489">
        <v>74</v>
      </c>
      <c r="H4489">
        <v>12</v>
      </c>
      <c r="I4489">
        <v>0</v>
      </c>
      <c r="J4489">
        <v>16022.22</v>
      </c>
      <c r="K4489">
        <v>2</v>
      </c>
      <c r="L4489">
        <v>7922.22</v>
      </c>
      <c r="M4489">
        <v>2</v>
      </c>
      <c r="N4489">
        <v>34</v>
      </c>
      <c r="O4489">
        <v>108</v>
      </c>
      <c r="P4489">
        <f t="shared" si="228"/>
        <v>2024</v>
      </c>
      <c r="Q4489">
        <f t="shared" si="229"/>
        <v>10</v>
      </c>
      <c r="R4489" t="str">
        <f t="shared" si="230"/>
        <v>手猫搜索</v>
      </c>
      <c r="S4489" t="s">
        <v>785</v>
      </c>
      <c r="T4489" t="s">
        <v>805</v>
      </c>
    </row>
    <row r="4490" spans="1:20" x14ac:dyDescent="0.3">
      <c r="A4490" t="s">
        <v>627</v>
      </c>
      <c r="B4490" s="16">
        <v>45588</v>
      </c>
      <c r="C4490" t="s">
        <v>3</v>
      </c>
      <c r="D4490" t="s">
        <v>120</v>
      </c>
      <c r="E4490" t="s">
        <v>167</v>
      </c>
      <c r="F4490">
        <v>5</v>
      </c>
      <c r="G4490">
        <v>1</v>
      </c>
      <c r="H4490">
        <v>1</v>
      </c>
      <c r="I4490">
        <v>0</v>
      </c>
      <c r="J4490">
        <v>1980</v>
      </c>
      <c r="K4490">
        <v>1</v>
      </c>
      <c r="L4490">
        <v>1980</v>
      </c>
      <c r="M4490">
        <v>1</v>
      </c>
      <c r="N4490">
        <v>2</v>
      </c>
      <c r="O4490">
        <v>5</v>
      </c>
      <c r="P4490">
        <f t="shared" si="228"/>
        <v>2024</v>
      </c>
      <c r="Q4490">
        <f t="shared" si="229"/>
        <v>10</v>
      </c>
      <c r="R4490" t="str">
        <f t="shared" si="230"/>
        <v>手猫旺信聊天</v>
      </c>
      <c r="S4490" t="s">
        <v>785</v>
      </c>
      <c r="T4490" t="s">
        <v>805</v>
      </c>
    </row>
    <row r="4491" spans="1:20" x14ac:dyDescent="0.3">
      <c r="A4491" t="s">
        <v>627</v>
      </c>
      <c r="B4491" s="16">
        <v>45588</v>
      </c>
      <c r="C4491" t="s">
        <v>3</v>
      </c>
      <c r="D4491" t="s">
        <v>120</v>
      </c>
      <c r="E4491" t="s">
        <v>192</v>
      </c>
      <c r="F4491">
        <v>5</v>
      </c>
      <c r="G4491">
        <v>1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4</v>
      </c>
      <c r="P4491">
        <f t="shared" si="228"/>
        <v>2024</v>
      </c>
      <c r="Q4491">
        <f t="shared" si="229"/>
        <v>10</v>
      </c>
      <c r="R4491" t="str">
        <f t="shared" si="230"/>
        <v>手猫消息中心</v>
      </c>
      <c r="S4491" t="s">
        <v>785</v>
      </c>
      <c r="T4491" t="s">
        <v>805</v>
      </c>
    </row>
    <row r="4492" spans="1:20" x14ac:dyDescent="0.3">
      <c r="A4492" t="s">
        <v>627</v>
      </c>
      <c r="B4492" s="16">
        <v>45588</v>
      </c>
      <c r="C4492" t="s">
        <v>3</v>
      </c>
      <c r="D4492" t="s">
        <v>120</v>
      </c>
      <c r="E4492" t="s">
        <v>168</v>
      </c>
      <c r="F4492">
        <v>358</v>
      </c>
      <c r="G4492">
        <v>167</v>
      </c>
      <c r="H4492">
        <v>8</v>
      </c>
      <c r="I4492">
        <v>0</v>
      </c>
      <c r="J4492">
        <v>7970</v>
      </c>
      <c r="K4492">
        <v>2</v>
      </c>
      <c r="L4492">
        <v>7970</v>
      </c>
      <c r="M4492">
        <v>2</v>
      </c>
      <c r="N4492">
        <v>14</v>
      </c>
      <c r="O4492">
        <v>358</v>
      </c>
      <c r="P4492">
        <f t="shared" si="228"/>
        <v>2024</v>
      </c>
      <c r="Q4492">
        <f t="shared" si="229"/>
        <v>10</v>
      </c>
      <c r="R4492" t="str">
        <f t="shared" si="230"/>
        <v>手猫首页</v>
      </c>
      <c r="S4492" t="s">
        <v>785</v>
      </c>
      <c r="T4492" t="s">
        <v>805</v>
      </c>
    </row>
    <row r="4493" spans="1:20" x14ac:dyDescent="0.3">
      <c r="A4493" t="s">
        <v>627</v>
      </c>
      <c r="B4493" s="16">
        <v>45588</v>
      </c>
      <c r="C4493" t="s">
        <v>3</v>
      </c>
      <c r="D4493" t="s">
        <v>123</v>
      </c>
      <c r="E4493" t="s">
        <v>169</v>
      </c>
      <c r="F4493">
        <v>425</v>
      </c>
      <c r="G4493">
        <v>181</v>
      </c>
      <c r="H4493">
        <v>33</v>
      </c>
      <c r="I4493">
        <v>9</v>
      </c>
      <c r="J4493">
        <v>42501.2</v>
      </c>
      <c r="K4493">
        <v>10</v>
      </c>
      <c r="L4493">
        <v>37103.78</v>
      </c>
      <c r="M4493">
        <v>8</v>
      </c>
      <c r="N4493">
        <v>59</v>
      </c>
      <c r="O4493">
        <v>415</v>
      </c>
      <c r="P4493">
        <f t="shared" si="228"/>
        <v>2024</v>
      </c>
      <c r="Q4493">
        <f t="shared" si="229"/>
        <v>10</v>
      </c>
      <c r="R4493" t="str">
        <f t="shared" si="230"/>
        <v>商品详情页头图推荐</v>
      </c>
      <c r="S4493" t="s">
        <v>785</v>
      </c>
      <c r="T4493" t="s">
        <v>805</v>
      </c>
    </row>
    <row r="4494" spans="1:20" x14ac:dyDescent="0.3">
      <c r="A4494" t="s">
        <v>627</v>
      </c>
      <c r="B4494" s="16">
        <v>45588</v>
      </c>
      <c r="C4494" t="s">
        <v>3</v>
      </c>
      <c r="D4494" t="s">
        <v>123</v>
      </c>
      <c r="E4494" t="s">
        <v>170</v>
      </c>
      <c r="F4494">
        <v>83</v>
      </c>
      <c r="G4494">
        <v>43</v>
      </c>
      <c r="H4494">
        <v>10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75</v>
      </c>
      <c r="O4494">
        <v>34</v>
      </c>
      <c r="P4494">
        <f t="shared" si="228"/>
        <v>2024</v>
      </c>
      <c r="Q4494">
        <f t="shared" si="229"/>
        <v>10</v>
      </c>
      <c r="R4494" t="str">
        <f t="shared" si="230"/>
        <v>店铺超链</v>
      </c>
      <c r="S4494" t="s">
        <v>785</v>
      </c>
      <c r="T4494" t="s">
        <v>805</v>
      </c>
    </row>
    <row r="4495" spans="1:20" x14ac:dyDescent="0.3">
      <c r="A4495" t="s">
        <v>627</v>
      </c>
      <c r="B4495" s="16">
        <v>45588</v>
      </c>
      <c r="C4495" t="s">
        <v>2</v>
      </c>
      <c r="D4495" t="s">
        <v>52</v>
      </c>
      <c r="E4495" t="s">
        <v>59</v>
      </c>
      <c r="F4495">
        <v>1221</v>
      </c>
      <c r="G4495">
        <v>916</v>
      </c>
      <c r="H4495">
        <v>6</v>
      </c>
      <c r="I4495">
        <v>2</v>
      </c>
      <c r="J4495">
        <v>10295</v>
      </c>
      <c r="K4495">
        <v>2</v>
      </c>
      <c r="L4495">
        <v>1980</v>
      </c>
      <c r="M4495">
        <v>1</v>
      </c>
      <c r="N4495">
        <v>1026</v>
      </c>
      <c r="O4495">
        <v>197</v>
      </c>
      <c r="P4495">
        <f t="shared" si="228"/>
        <v>2024</v>
      </c>
      <c r="Q4495">
        <f t="shared" si="229"/>
        <v>10</v>
      </c>
      <c r="R4495" t="s">
        <v>171</v>
      </c>
      <c r="S4495" t="s">
        <v>785</v>
      </c>
      <c r="T4495" t="s">
        <v>805</v>
      </c>
    </row>
    <row r="4496" spans="1:20" x14ac:dyDescent="0.3">
      <c r="A4496" t="s">
        <v>627</v>
      </c>
      <c r="B4496" s="16">
        <v>45588</v>
      </c>
      <c r="C4496" t="s">
        <v>3</v>
      </c>
      <c r="D4496" t="s">
        <v>127</v>
      </c>
      <c r="E4496" t="s">
        <v>172</v>
      </c>
      <c r="F4496">
        <v>30</v>
      </c>
      <c r="G4496">
        <v>18</v>
      </c>
      <c r="H4496">
        <v>1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2</v>
      </c>
      <c r="O4496">
        <v>15</v>
      </c>
      <c r="P4496">
        <f t="shared" si="228"/>
        <v>2024</v>
      </c>
      <c r="Q4496">
        <f t="shared" si="229"/>
        <v>10</v>
      </c>
      <c r="R4496" t="str">
        <f t="shared" si="230"/>
        <v>购中推荐</v>
      </c>
      <c r="S4496" t="s">
        <v>785</v>
      </c>
      <c r="T4496" t="s">
        <v>805</v>
      </c>
    </row>
    <row r="4497" spans="1:20" x14ac:dyDescent="0.3">
      <c r="A4497" t="s">
        <v>627</v>
      </c>
      <c r="B4497" s="16">
        <v>45588</v>
      </c>
      <c r="C4497" t="s">
        <v>3</v>
      </c>
      <c r="D4497" t="s">
        <v>127</v>
      </c>
      <c r="E4497" t="s">
        <v>173</v>
      </c>
      <c r="F4497">
        <v>170</v>
      </c>
      <c r="G4497">
        <v>128</v>
      </c>
      <c r="H4497">
        <v>1</v>
      </c>
      <c r="I4497">
        <v>2</v>
      </c>
      <c r="J4497">
        <v>6980</v>
      </c>
      <c r="K4497">
        <v>2</v>
      </c>
      <c r="L4497">
        <v>6980</v>
      </c>
      <c r="M4497">
        <v>2</v>
      </c>
      <c r="N4497">
        <v>63</v>
      </c>
      <c r="O4497">
        <v>38</v>
      </c>
      <c r="P4497">
        <f t="shared" si="228"/>
        <v>2024</v>
      </c>
      <c r="Q4497">
        <f t="shared" si="229"/>
        <v>10</v>
      </c>
      <c r="R4497" t="str">
        <f t="shared" si="230"/>
        <v>购后推荐</v>
      </c>
      <c r="S4497" t="s">
        <v>785</v>
      </c>
      <c r="T4497" t="s">
        <v>805</v>
      </c>
    </row>
    <row r="4498" spans="1:20" x14ac:dyDescent="0.3">
      <c r="A4498" t="s">
        <v>627</v>
      </c>
      <c r="B4498" s="16">
        <v>45588</v>
      </c>
      <c r="C4498" t="s">
        <v>3</v>
      </c>
      <c r="D4498" t="s">
        <v>127</v>
      </c>
      <c r="E4498" t="s">
        <v>174</v>
      </c>
      <c r="F4498">
        <v>4560</v>
      </c>
      <c r="G4498">
        <v>2505</v>
      </c>
      <c r="H4498">
        <v>103</v>
      </c>
      <c r="I4498">
        <v>34</v>
      </c>
      <c r="J4498">
        <v>76130</v>
      </c>
      <c r="K4498">
        <v>16</v>
      </c>
      <c r="L4498">
        <v>65150</v>
      </c>
      <c r="M4498">
        <v>14</v>
      </c>
      <c r="N4498">
        <v>291</v>
      </c>
      <c r="O4498">
        <v>4560</v>
      </c>
      <c r="P4498">
        <f t="shared" si="228"/>
        <v>2024</v>
      </c>
      <c r="Q4498">
        <f t="shared" si="229"/>
        <v>10</v>
      </c>
      <c r="R4498" t="str">
        <f t="shared" si="230"/>
        <v>首页推荐-微详情</v>
      </c>
      <c r="S4498" t="s">
        <v>785</v>
      </c>
      <c r="T4498" t="s">
        <v>805</v>
      </c>
    </row>
    <row r="4499" spans="1:20" x14ac:dyDescent="0.3">
      <c r="A4499" t="s">
        <v>627</v>
      </c>
      <c r="B4499" s="16">
        <v>45588</v>
      </c>
      <c r="C4499" t="s">
        <v>3</v>
      </c>
      <c r="D4499" t="s">
        <v>127</v>
      </c>
      <c r="E4499" t="s">
        <v>175</v>
      </c>
      <c r="F4499">
        <v>706</v>
      </c>
      <c r="G4499">
        <v>556</v>
      </c>
      <c r="H4499">
        <v>4</v>
      </c>
      <c r="I4499">
        <v>0</v>
      </c>
      <c r="J4499">
        <v>2900</v>
      </c>
      <c r="K4499">
        <v>1</v>
      </c>
      <c r="L4499">
        <v>2900</v>
      </c>
      <c r="M4499">
        <v>1</v>
      </c>
      <c r="N4499">
        <v>2</v>
      </c>
      <c r="O4499">
        <v>26</v>
      </c>
      <c r="P4499">
        <f t="shared" si="228"/>
        <v>2024</v>
      </c>
      <c r="Q4499">
        <f t="shared" si="229"/>
        <v>10</v>
      </c>
      <c r="R4499" t="str">
        <f t="shared" si="230"/>
        <v>首页推荐-直播</v>
      </c>
      <c r="S4499" t="s">
        <v>785</v>
      </c>
      <c r="T4499" t="s">
        <v>805</v>
      </c>
    </row>
    <row r="4500" spans="1:20" x14ac:dyDescent="0.3">
      <c r="A4500" t="s">
        <v>627</v>
      </c>
      <c r="B4500" s="16">
        <v>45588</v>
      </c>
      <c r="C4500" t="s">
        <v>3</v>
      </c>
      <c r="D4500" t="s">
        <v>127</v>
      </c>
      <c r="E4500" t="s">
        <v>176</v>
      </c>
      <c r="F4500">
        <v>792</v>
      </c>
      <c r="G4500">
        <v>402</v>
      </c>
      <c r="H4500">
        <v>6</v>
      </c>
      <c r="I4500">
        <v>3</v>
      </c>
      <c r="J4500">
        <v>28180</v>
      </c>
      <c r="K4500">
        <v>2</v>
      </c>
      <c r="L4500">
        <v>2990</v>
      </c>
      <c r="M4500">
        <v>1</v>
      </c>
      <c r="N4500">
        <v>30</v>
      </c>
      <c r="O4500">
        <v>186</v>
      </c>
      <c r="P4500">
        <f t="shared" si="228"/>
        <v>2024</v>
      </c>
      <c r="Q4500">
        <f t="shared" si="229"/>
        <v>10</v>
      </c>
      <c r="R4500" t="str">
        <f t="shared" si="230"/>
        <v>首页推荐-短视频</v>
      </c>
      <c r="S4500" t="s">
        <v>785</v>
      </c>
      <c r="T4500" t="s">
        <v>805</v>
      </c>
    </row>
    <row r="4501" spans="1:20" x14ac:dyDescent="0.3">
      <c r="A4501" t="s">
        <v>627</v>
      </c>
      <c r="B4501" s="16">
        <v>45588</v>
      </c>
      <c r="C4501" t="s">
        <v>3</v>
      </c>
      <c r="D4501" t="s">
        <v>128</v>
      </c>
      <c r="E4501" t="s">
        <v>177</v>
      </c>
      <c r="F4501">
        <v>1692</v>
      </c>
      <c r="G4501">
        <v>1316</v>
      </c>
      <c r="H4501">
        <v>213</v>
      </c>
      <c r="I4501">
        <v>14</v>
      </c>
      <c r="J4501">
        <v>286478</v>
      </c>
      <c r="K4501">
        <v>53</v>
      </c>
      <c r="L4501">
        <v>234205</v>
      </c>
      <c r="M4501">
        <v>48</v>
      </c>
      <c r="N4501">
        <v>375</v>
      </c>
      <c r="O4501">
        <v>1551</v>
      </c>
      <c r="P4501">
        <f t="shared" si="228"/>
        <v>2024</v>
      </c>
      <c r="Q4501">
        <f t="shared" si="229"/>
        <v>10</v>
      </c>
      <c r="R4501" t="str">
        <f t="shared" si="230"/>
        <v>手淘搜索-商品及其他</v>
      </c>
      <c r="S4501" t="s">
        <v>785</v>
      </c>
      <c r="T4501" t="s">
        <v>805</v>
      </c>
    </row>
    <row r="4502" spans="1:20" x14ac:dyDescent="0.3">
      <c r="A4502" t="s">
        <v>627</v>
      </c>
      <c r="B4502" s="16">
        <v>45588</v>
      </c>
      <c r="C4502" t="s">
        <v>3</v>
      </c>
      <c r="D4502" t="s">
        <v>128</v>
      </c>
      <c r="E4502" t="s">
        <v>178</v>
      </c>
      <c r="F4502">
        <v>47</v>
      </c>
      <c r="G4502">
        <v>41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2</v>
      </c>
      <c r="O4502">
        <v>13</v>
      </c>
      <c r="P4502">
        <f t="shared" si="228"/>
        <v>2024</v>
      </c>
      <c r="Q4502">
        <f t="shared" si="229"/>
        <v>10</v>
      </c>
      <c r="R4502" t="str">
        <f t="shared" si="230"/>
        <v>手淘搜索-直播</v>
      </c>
      <c r="S4502" t="s">
        <v>785</v>
      </c>
      <c r="T4502" t="s">
        <v>805</v>
      </c>
    </row>
    <row r="4503" spans="1:20" x14ac:dyDescent="0.3">
      <c r="A4503" t="s">
        <v>627</v>
      </c>
      <c r="B4503" s="16">
        <v>45588</v>
      </c>
      <c r="C4503" t="s">
        <v>3</v>
      </c>
      <c r="D4503" t="s">
        <v>128</v>
      </c>
      <c r="E4503" t="s">
        <v>179</v>
      </c>
      <c r="F4503">
        <v>24</v>
      </c>
      <c r="G4503">
        <v>13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1</v>
      </c>
      <c r="O4503">
        <v>23</v>
      </c>
      <c r="P4503">
        <f t="shared" si="228"/>
        <v>2024</v>
      </c>
      <c r="Q4503">
        <f t="shared" si="229"/>
        <v>10</v>
      </c>
      <c r="R4503" t="str">
        <f t="shared" si="230"/>
        <v>手淘搜索-短视频</v>
      </c>
      <c r="S4503" t="s">
        <v>785</v>
      </c>
      <c r="T4503" t="s">
        <v>805</v>
      </c>
    </row>
    <row r="4504" spans="1:20" x14ac:dyDescent="0.3">
      <c r="A4504" t="s">
        <v>627</v>
      </c>
      <c r="B4504" s="16">
        <v>45588</v>
      </c>
      <c r="C4504" t="s">
        <v>3</v>
      </c>
      <c r="D4504" t="s">
        <v>143</v>
      </c>
      <c r="E4504" t="s">
        <v>180</v>
      </c>
      <c r="F4504">
        <v>21</v>
      </c>
      <c r="G4504">
        <v>19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2</v>
      </c>
      <c r="O4504">
        <v>21</v>
      </c>
      <c r="P4504">
        <f t="shared" si="228"/>
        <v>2024</v>
      </c>
      <c r="Q4504">
        <f t="shared" si="229"/>
        <v>10</v>
      </c>
      <c r="R4504" t="str">
        <f t="shared" si="230"/>
        <v>淘特其他渠道</v>
      </c>
      <c r="S4504" t="s">
        <v>785</v>
      </c>
      <c r="T4504" t="s">
        <v>805</v>
      </c>
    </row>
    <row r="4505" spans="1:20" x14ac:dyDescent="0.3">
      <c r="A4505" t="s">
        <v>627</v>
      </c>
      <c r="B4505" s="16">
        <v>45588</v>
      </c>
      <c r="C4505" t="s">
        <v>3</v>
      </c>
      <c r="D4505" t="s">
        <v>143</v>
      </c>
      <c r="E4505" t="s">
        <v>181</v>
      </c>
      <c r="F4505">
        <v>1</v>
      </c>
      <c r="G4505">
        <v>1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1</v>
      </c>
      <c r="P4505">
        <f t="shared" si="228"/>
        <v>2024</v>
      </c>
      <c r="Q4505">
        <f t="shared" si="229"/>
        <v>10</v>
      </c>
      <c r="R4505" t="str">
        <f t="shared" si="230"/>
        <v>淘特搜索</v>
      </c>
      <c r="S4505" t="s">
        <v>785</v>
      </c>
      <c r="T4505" t="s">
        <v>805</v>
      </c>
    </row>
    <row r="4506" spans="1:20" x14ac:dyDescent="0.3">
      <c r="A4506" t="s">
        <v>627</v>
      </c>
      <c r="B4506" s="16">
        <v>45588</v>
      </c>
      <c r="C4506" t="s">
        <v>2</v>
      </c>
      <c r="D4506" t="s">
        <v>55</v>
      </c>
      <c r="E4506" t="s">
        <v>54</v>
      </c>
      <c r="F4506">
        <v>1826</v>
      </c>
      <c r="G4506">
        <v>1412</v>
      </c>
      <c r="H4506">
        <v>13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13</v>
      </c>
      <c r="O4506">
        <v>155</v>
      </c>
      <c r="P4506">
        <f t="shared" si="228"/>
        <v>2024</v>
      </c>
      <c r="Q4506">
        <f t="shared" si="229"/>
        <v>10</v>
      </c>
      <c r="R4506" t="str">
        <f t="shared" si="230"/>
        <v>超级直播</v>
      </c>
      <c r="S4506" t="s">
        <v>785</v>
      </c>
      <c r="T4506" t="s">
        <v>805</v>
      </c>
    </row>
    <row r="4507" spans="1:20" x14ac:dyDescent="0.3">
      <c r="A4507" t="s">
        <v>627</v>
      </c>
      <c r="B4507" s="16">
        <v>45588</v>
      </c>
      <c r="C4507" t="s">
        <v>2</v>
      </c>
      <c r="D4507" t="s">
        <v>55</v>
      </c>
      <c r="E4507" t="s">
        <v>56</v>
      </c>
      <c r="F4507">
        <v>212</v>
      </c>
      <c r="G4507">
        <v>195</v>
      </c>
      <c r="H4507">
        <v>0</v>
      </c>
      <c r="I4507">
        <v>3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204</v>
      </c>
      <c r="P4507">
        <f t="shared" si="228"/>
        <v>2024</v>
      </c>
      <c r="Q4507">
        <f t="shared" si="229"/>
        <v>10</v>
      </c>
      <c r="R4507" t="str">
        <f t="shared" si="230"/>
        <v>超级短视频</v>
      </c>
      <c r="S4507" t="s">
        <v>785</v>
      </c>
      <c r="T4507" t="s">
        <v>805</v>
      </c>
    </row>
    <row r="4508" spans="1:20" x14ac:dyDescent="0.3">
      <c r="A4508" t="s">
        <v>627</v>
      </c>
      <c r="B4508" s="16">
        <v>45588</v>
      </c>
      <c r="C4508" t="s">
        <v>2</v>
      </c>
      <c r="D4508" t="s">
        <v>52</v>
      </c>
      <c r="E4508" t="s">
        <v>183</v>
      </c>
      <c r="F4508">
        <v>720</v>
      </c>
      <c r="G4508">
        <v>542</v>
      </c>
      <c r="H4508">
        <v>36</v>
      </c>
      <c r="I4508">
        <v>7</v>
      </c>
      <c r="J4508">
        <v>70308</v>
      </c>
      <c r="K4508">
        <v>12</v>
      </c>
      <c r="L4508">
        <v>36358</v>
      </c>
      <c r="M4508">
        <v>11</v>
      </c>
      <c r="N4508">
        <v>720</v>
      </c>
      <c r="O4508">
        <v>438</v>
      </c>
      <c r="P4508">
        <f t="shared" si="228"/>
        <v>2024</v>
      </c>
      <c r="Q4508">
        <f t="shared" si="229"/>
        <v>10</v>
      </c>
      <c r="R4508" t="str">
        <f t="shared" si="230"/>
        <v>品销宝-品牌专区</v>
      </c>
      <c r="S4508" t="s">
        <v>785</v>
      </c>
      <c r="T4508" t="s">
        <v>805</v>
      </c>
    </row>
    <row r="4509" spans="1:20" x14ac:dyDescent="0.3">
      <c r="A4509" t="s">
        <v>627</v>
      </c>
      <c r="B4509" s="16">
        <v>45588</v>
      </c>
      <c r="C4509" t="s">
        <v>2</v>
      </c>
      <c r="D4509" t="s">
        <v>57</v>
      </c>
      <c r="E4509" t="s">
        <v>65</v>
      </c>
      <c r="F4509">
        <v>5743</v>
      </c>
      <c r="G4509">
        <v>5035</v>
      </c>
      <c r="H4509">
        <v>264</v>
      </c>
      <c r="I4509">
        <v>39</v>
      </c>
      <c r="J4509">
        <v>460300.5</v>
      </c>
      <c r="K4509">
        <v>80</v>
      </c>
      <c r="L4509">
        <v>363315.5</v>
      </c>
      <c r="M4509">
        <v>70</v>
      </c>
      <c r="N4509">
        <v>394</v>
      </c>
      <c r="O4509">
        <v>5699</v>
      </c>
      <c r="P4509">
        <f t="shared" si="228"/>
        <v>2024</v>
      </c>
      <c r="Q4509">
        <f t="shared" si="229"/>
        <v>10</v>
      </c>
      <c r="R4509" t="str">
        <f t="shared" si="230"/>
        <v>直通车</v>
      </c>
      <c r="S4509" t="s">
        <v>785</v>
      </c>
      <c r="T4509" t="s">
        <v>805</v>
      </c>
    </row>
    <row r="4510" spans="1:20" x14ac:dyDescent="0.3">
      <c r="A4510" t="s">
        <v>627</v>
      </c>
      <c r="B4510" s="16">
        <v>45588</v>
      </c>
      <c r="C4510" t="s">
        <v>2</v>
      </c>
      <c r="D4510" t="s">
        <v>57</v>
      </c>
      <c r="E4510" t="s">
        <v>63</v>
      </c>
      <c r="F4510">
        <v>6052</v>
      </c>
      <c r="G4510">
        <v>3257</v>
      </c>
      <c r="H4510">
        <v>254</v>
      </c>
      <c r="I4510">
        <v>85</v>
      </c>
      <c r="J4510">
        <v>318159.37</v>
      </c>
      <c r="K4510">
        <v>63</v>
      </c>
      <c r="L4510">
        <v>250904.37</v>
      </c>
      <c r="M4510">
        <v>54</v>
      </c>
      <c r="N4510">
        <v>326</v>
      </c>
      <c r="O4510">
        <v>6045</v>
      </c>
      <c r="P4510">
        <f t="shared" si="228"/>
        <v>2024</v>
      </c>
      <c r="Q4510">
        <f t="shared" si="229"/>
        <v>10</v>
      </c>
      <c r="R4510" t="str">
        <f t="shared" si="230"/>
        <v>万相台</v>
      </c>
      <c r="S4510" t="s">
        <v>785</v>
      </c>
      <c r="T4510" t="s">
        <v>805</v>
      </c>
    </row>
    <row r="4511" spans="1:20" x14ac:dyDescent="0.3">
      <c r="A4511" t="s">
        <v>627</v>
      </c>
      <c r="B4511" s="16">
        <v>45588</v>
      </c>
      <c r="C4511" t="s">
        <v>2</v>
      </c>
      <c r="D4511" t="s">
        <v>57</v>
      </c>
      <c r="E4511" t="s">
        <v>64</v>
      </c>
      <c r="F4511">
        <v>6410</v>
      </c>
      <c r="G4511">
        <v>2674</v>
      </c>
      <c r="H4511">
        <v>160</v>
      </c>
      <c r="I4511">
        <v>82</v>
      </c>
      <c r="J4511">
        <v>108339.92</v>
      </c>
      <c r="K4511">
        <v>26</v>
      </c>
      <c r="L4511">
        <v>63762.5</v>
      </c>
      <c r="M4511">
        <v>16</v>
      </c>
      <c r="N4511">
        <v>474</v>
      </c>
      <c r="O4511">
        <v>6404</v>
      </c>
      <c r="P4511">
        <f t="shared" si="228"/>
        <v>2024</v>
      </c>
      <c r="Q4511">
        <f t="shared" si="229"/>
        <v>10</v>
      </c>
      <c r="R4511" t="str">
        <f t="shared" si="230"/>
        <v>引力魔方</v>
      </c>
      <c r="S4511" t="s">
        <v>785</v>
      </c>
      <c r="T4511" t="s">
        <v>805</v>
      </c>
    </row>
    <row r="4512" spans="1:20" x14ac:dyDescent="0.3">
      <c r="A4512" t="s">
        <v>627</v>
      </c>
      <c r="B4512" s="16">
        <v>45588</v>
      </c>
      <c r="C4512" t="s">
        <v>2</v>
      </c>
      <c r="D4512" t="s">
        <v>4</v>
      </c>
      <c r="E4512" t="s">
        <v>41</v>
      </c>
      <c r="F4512">
        <v>5</v>
      </c>
      <c r="G4512">
        <v>2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2</v>
      </c>
      <c r="O4512">
        <v>3</v>
      </c>
      <c r="P4512">
        <f t="shared" si="228"/>
        <v>2024</v>
      </c>
      <c r="Q4512">
        <f t="shared" si="229"/>
        <v>10</v>
      </c>
      <c r="R4512" t="str">
        <f t="shared" si="230"/>
        <v>流量宝</v>
      </c>
      <c r="S4512" t="s">
        <v>785</v>
      </c>
      <c r="T4512" t="s">
        <v>805</v>
      </c>
    </row>
    <row r="4513" spans="1:20" x14ac:dyDescent="0.3">
      <c r="A4513" t="s">
        <v>627</v>
      </c>
      <c r="B4513" s="16">
        <v>45588</v>
      </c>
      <c r="C4513" t="s">
        <v>2</v>
      </c>
      <c r="D4513" t="s">
        <v>4</v>
      </c>
      <c r="E4513" t="s">
        <v>43</v>
      </c>
      <c r="F4513">
        <v>364</v>
      </c>
      <c r="G4513">
        <v>154</v>
      </c>
      <c r="H4513">
        <v>10</v>
      </c>
      <c r="I4513">
        <v>0</v>
      </c>
      <c r="J4513">
        <v>13362.5</v>
      </c>
      <c r="K4513">
        <v>5</v>
      </c>
      <c r="L4513">
        <v>13362.5</v>
      </c>
      <c r="M4513">
        <v>5</v>
      </c>
      <c r="N4513">
        <v>18</v>
      </c>
      <c r="O4513">
        <v>350</v>
      </c>
      <c r="P4513">
        <f t="shared" si="228"/>
        <v>2024</v>
      </c>
      <c r="Q4513">
        <f t="shared" si="229"/>
        <v>10</v>
      </c>
      <c r="R4513" t="str">
        <f t="shared" si="230"/>
        <v>淘宝客</v>
      </c>
      <c r="S4513" t="s">
        <v>785</v>
      </c>
      <c r="T4513" t="s">
        <v>805</v>
      </c>
    </row>
    <row r="4514" spans="1:20" x14ac:dyDescent="0.3">
      <c r="A4514" t="s">
        <v>627</v>
      </c>
      <c r="B4514" s="16">
        <v>45587</v>
      </c>
      <c r="C4514" t="s">
        <v>3</v>
      </c>
      <c r="D4514" t="s">
        <v>114</v>
      </c>
      <c r="E4514" t="s">
        <v>159</v>
      </c>
      <c r="F4514">
        <v>225</v>
      </c>
      <c r="G4514">
        <v>83</v>
      </c>
      <c r="H4514">
        <v>6</v>
      </c>
      <c r="I4514">
        <v>4</v>
      </c>
      <c r="J4514">
        <v>25945</v>
      </c>
      <c r="K4514">
        <v>5</v>
      </c>
      <c r="L4514">
        <v>20365</v>
      </c>
      <c r="M4514">
        <v>4</v>
      </c>
      <c r="N4514">
        <v>19</v>
      </c>
      <c r="O4514">
        <v>208</v>
      </c>
      <c r="P4514">
        <f t="shared" si="228"/>
        <v>2024</v>
      </c>
      <c r="Q4514">
        <f t="shared" si="229"/>
        <v>10</v>
      </c>
      <c r="R4514" t="str">
        <f t="shared" si="230"/>
        <v>主会场</v>
      </c>
      <c r="S4514" t="s">
        <v>785</v>
      </c>
      <c r="T4514" t="s">
        <v>805</v>
      </c>
    </row>
    <row r="4515" spans="1:20" x14ac:dyDescent="0.3">
      <c r="A4515" t="s">
        <v>627</v>
      </c>
      <c r="B4515" s="16">
        <v>45587</v>
      </c>
      <c r="C4515" t="s">
        <v>3</v>
      </c>
      <c r="D4515" t="s">
        <v>114</v>
      </c>
      <c r="E4515" t="s">
        <v>160</v>
      </c>
      <c r="F4515">
        <v>1</v>
      </c>
      <c r="G4515">
        <v>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1</v>
      </c>
      <c r="P4515">
        <f t="shared" si="228"/>
        <v>2024</v>
      </c>
      <c r="Q4515">
        <f t="shared" si="229"/>
        <v>10</v>
      </c>
      <c r="R4515" t="str">
        <f t="shared" si="230"/>
        <v>榜单会场</v>
      </c>
      <c r="S4515" t="s">
        <v>785</v>
      </c>
      <c r="T4515" t="s">
        <v>805</v>
      </c>
    </row>
    <row r="4516" spans="1:20" x14ac:dyDescent="0.3">
      <c r="A4516" t="s">
        <v>627</v>
      </c>
      <c r="B4516" s="16">
        <v>45587</v>
      </c>
      <c r="C4516" t="s">
        <v>3</v>
      </c>
      <c r="D4516" t="s">
        <v>120</v>
      </c>
      <c r="E4516" t="s">
        <v>162</v>
      </c>
      <c r="F4516">
        <v>2</v>
      </c>
      <c r="G4516">
        <v>2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1</v>
      </c>
      <c r="O4516">
        <v>1</v>
      </c>
      <c r="P4516">
        <f t="shared" si="228"/>
        <v>2024</v>
      </c>
      <c r="Q4516">
        <f t="shared" si="229"/>
        <v>10</v>
      </c>
      <c r="R4516" t="str">
        <f t="shared" si="230"/>
        <v>手机浏览器访问天猫</v>
      </c>
      <c r="S4516" t="s">
        <v>785</v>
      </c>
      <c r="T4516" t="s">
        <v>805</v>
      </c>
    </row>
    <row r="4517" spans="1:20" x14ac:dyDescent="0.3">
      <c r="A4517" t="s">
        <v>627</v>
      </c>
      <c r="B4517" s="16">
        <v>45587</v>
      </c>
      <c r="C4517" t="s">
        <v>3</v>
      </c>
      <c r="D4517" t="s">
        <v>120</v>
      </c>
      <c r="E4517" t="s">
        <v>163</v>
      </c>
      <c r="F4517">
        <v>54</v>
      </c>
      <c r="G4517">
        <v>25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12</v>
      </c>
      <c r="O4517">
        <v>46</v>
      </c>
      <c r="P4517">
        <f t="shared" si="228"/>
        <v>2024</v>
      </c>
      <c r="Q4517">
        <f t="shared" si="229"/>
        <v>10</v>
      </c>
      <c r="R4517" t="str">
        <f t="shared" si="230"/>
        <v>手猫免费其他</v>
      </c>
      <c r="S4517" t="s">
        <v>785</v>
      </c>
      <c r="T4517" t="s">
        <v>805</v>
      </c>
    </row>
    <row r="4518" spans="1:20" x14ac:dyDescent="0.3">
      <c r="A4518" t="s">
        <v>627</v>
      </c>
      <c r="B4518" s="16">
        <v>45587</v>
      </c>
      <c r="C4518" t="s">
        <v>3</v>
      </c>
      <c r="D4518" t="s">
        <v>120</v>
      </c>
      <c r="E4518" t="s">
        <v>164</v>
      </c>
      <c r="F4518">
        <v>34</v>
      </c>
      <c r="G4518">
        <v>17</v>
      </c>
      <c r="H4518">
        <v>4</v>
      </c>
      <c r="I4518">
        <v>0</v>
      </c>
      <c r="J4518">
        <v>5663.94</v>
      </c>
      <c r="K4518">
        <v>2</v>
      </c>
      <c r="L4518">
        <v>5663.94</v>
      </c>
      <c r="M4518">
        <v>2</v>
      </c>
      <c r="N4518">
        <v>2</v>
      </c>
      <c r="O4518">
        <v>34</v>
      </c>
      <c r="P4518">
        <f t="shared" si="228"/>
        <v>2024</v>
      </c>
      <c r="Q4518">
        <f t="shared" si="229"/>
        <v>10</v>
      </c>
      <c r="R4518" t="str">
        <f t="shared" si="230"/>
        <v>手猫其他店铺</v>
      </c>
      <c r="S4518" t="s">
        <v>785</v>
      </c>
      <c r="T4518" t="s">
        <v>805</v>
      </c>
    </row>
    <row r="4519" spans="1:20" x14ac:dyDescent="0.3">
      <c r="A4519" t="s">
        <v>627</v>
      </c>
      <c r="B4519" s="16">
        <v>45587</v>
      </c>
      <c r="C4519" t="s">
        <v>3</v>
      </c>
      <c r="D4519" t="s">
        <v>120</v>
      </c>
      <c r="E4519" t="s">
        <v>165</v>
      </c>
      <c r="F4519">
        <v>58</v>
      </c>
      <c r="G4519">
        <v>23</v>
      </c>
      <c r="H4519">
        <v>2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11</v>
      </c>
      <c r="O4519">
        <v>56</v>
      </c>
      <c r="P4519">
        <f t="shared" si="228"/>
        <v>2024</v>
      </c>
      <c r="Q4519">
        <f t="shared" si="229"/>
        <v>10</v>
      </c>
      <c r="R4519" t="str">
        <f t="shared" si="230"/>
        <v>手猫商品详情</v>
      </c>
      <c r="S4519" t="s">
        <v>785</v>
      </c>
      <c r="T4519" t="s">
        <v>805</v>
      </c>
    </row>
    <row r="4520" spans="1:20" x14ac:dyDescent="0.3">
      <c r="A4520" t="s">
        <v>627</v>
      </c>
      <c r="B4520" s="16">
        <v>45587</v>
      </c>
      <c r="C4520" t="s">
        <v>3</v>
      </c>
      <c r="D4520" t="s">
        <v>120</v>
      </c>
      <c r="E4520" t="s">
        <v>166</v>
      </c>
      <c r="F4520">
        <v>104</v>
      </c>
      <c r="G4520">
        <v>72</v>
      </c>
      <c r="H4520">
        <v>6</v>
      </c>
      <c r="I4520">
        <v>0</v>
      </c>
      <c r="J4520">
        <v>7470</v>
      </c>
      <c r="K4520">
        <v>1</v>
      </c>
      <c r="L4520">
        <v>7470</v>
      </c>
      <c r="M4520">
        <v>1</v>
      </c>
      <c r="N4520">
        <v>36</v>
      </c>
      <c r="O4520">
        <v>94</v>
      </c>
      <c r="P4520">
        <f t="shared" si="228"/>
        <v>2024</v>
      </c>
      <c r="Q4520">
        <f t="shared" si="229"/>
        <v>10</v>
      </c>
      <c r="R4520" t="str">
        <f t="shared" si="230"/>
        <v>手猫搜索</v>
      </c>
      <c r="S4520" t="s">
        <v>785</v>
      </c>
      <c r="T4520" t="s">
        <v>805</v>
      </c>
    </row>
    <row r="4521" spans="1:20" x14ac:dyDescent="0.3">
      <c r="A4521" t="s">
        <v>627</v>
      </c>
      <c r="B4521" s="16">
        <v>45587</v>
      </c>
      <c r="C4521" t="s">
        <v>3</v>
      </c>
      <c r="D4521" t="s">
        <v>120</v>
      </c>
      <c r="E4521" t="s">
        <v>167</v>
      </c>
      <c r="F4521">
        <v>7</v>
      </c>
      <c r="G4521">
        <v>2</v>
      </c>
      <c r="H4521">
        <v>1</v>
      </c>
      <c r="I4521">
        <v>0</v>
      </c>
      <c r="J4521">
        <v>2990</v>
      </c>
      <c r="K4521">
        <v>1</v>
      </c>
      <c r="L4521">
        <v>2990</v>
      </c>
      <c r="M4521">
        <v>1</v>
      </c>
      <c r="N4521">
        <v>4</v>
      </c>
      <c r="O4521">
        <v>6</v>
      </c>
      <c r="P4521">
        <f t="shared" ref="P4521:P4584" si="231">YEAR(B4521)</f>
        <v>2024</v>
      </c>
      <c r="Q4521">
        <f t="shared" ref="Q4521:Q4584" si="232">MONTH(B4521)</f>
        <v>10</v>
      </c>
      <c r="R4521" t="str">
        <f t="shared" ref="R4521:R4584" si="233">E4521</f>
        <v>手猫旺信聊天</v>
      </c>
      <c r="S4521" t="s">
        <v>785</v>
      </c>
      <c r="T4521" t="s">
        <v>805</v>
      </c>
    </row>
    <row r="4522" spans="1:20" x14ac:dyDescent="0.3">
      <c r="A4522" t="s">
        <v>627</v>
      </c>
      <c r="B4522" s="16">
        <v>45587</v>
      </c>
      <c r="C4522" t="s">
        <v>3</v>
      </c>
      <c r="D4522" t="s">
        <v>120</v>
      </c>
      <c r="E4522" t="s">
        <v>192</v>
      </c>
      <c r="F4522">
        <v>6</v>
      </c>
      <c r="G4522">
        <v>1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1</v>
      </c>
      <c r="O4522">
        <v>6</v>
      </c>
      <c r="P4522">
        <f t="shared" si="231"/>
        <v>2024</v>
      </c>
      <c r="Q4522">
        <f t="shared" si="232"/>
        <v>10</v>
      </c>
      <c r="R4522" t="str">
        <f t="shared" si="233"/>
        <v>手猫消息中心</v>
      </c>
      <c r="S4522" t="s">
        <v>785</v>
      </c>
      <c r="T4522" t="s">
        <v>805</v>
      </c>
    </row>
    <row r="4523" spans="1:20" x14ac:dyDescent="0.3">
      <c r="A4523" t="s">
        <v>627</v>
      </c>
      <c r="B4523" s="16">
        <v>45587</v>
      </c>
      <c r="C4523" t="s">
        <v>3</v>
      </c>
      <c r="D4523" t="s">
        <v>120</v>
      </c>
      <c r="E4523" t="s">
        <v>168</v>
      </c>
      <c r="F4523">
        <v>382</v>
      </c>
      <c r="G4523">
        <v>188</v>
      </c>
      <c r="H4523">
        <v>8</v>
      </c>
      <c r="I4523">
        <v>0</v>
      </c>
      <c r="J4523">
        <v>31960</v>
      </c>
      <c r="K4523">
        <v>4</v>
      </c>
      <c r="L4523">
        <v>22120</v>
      </c>
      <c r="M4523">
        <v>3</v>
      </c>
      <c r="N4523">
        <v>27</v>
      </c>
      <c r="O4523">
        <v>382</v>
      </c>
      <c r="P4523">
        <f t="shared" si="231"/>
        <v>2024</v>
      </c>
      <c r="Q4523">
        <f t="shared" si="232"/>
        <v>10</v>
      </c>
      <c r="R4523" t="str">
        <f t="shared" si="233"/>
        <v>手猫首页</v>
      </c>
      <c r="S4523" t="s">
        <v>785</v>
      </c>
      <c r="T4523" t="s">
        <v>805</v>
      </c>
    </row>
    <row r="4524" spans="1:20" x14ac:dyDescent="0.3">
      <c r="A4524" t="s">
        <v>627</v>
      </c>
      <c r="B4524" s="16">
        <v>45587</v>
      </c>
      <c r="C4524" t="s">
        <v>3</v>
      </c>
      <c r="D4524" t="s">
        <v>123</v>
      </c>
      <c r="E4524" t="s">
        <v>169</v>
      </c>
      <c r="F4524">
        <v>482</v>
      </c>
      <c r="G4524">
        <v>175</v>
      </c>
      <c r="H4524">
        <v>32</v>
      </c>
      <c r="I4524">
        <v>6</v>
      </c>
      <c r="J4524">
        <v>46058</v>
      </c>
      <c r="K4524">
        <v>10</v>
      </c>
      <c r="L4524">
        <v>41068</v>
      </c>
      <c r="M4524">
        <v>9</v>
      </c>
      <c r="N4524">
        <v>72</v>
      </c>
      <c r="O4524">
        <v>472</v>
      </c>
      <c r="P4524">
        <f t="shared" si="231"/>
        <v>2024</v>
      </c>
      <c r="Q4524">
        <f t="shared" si="232"/>
        <v>10</v>
      </c>
      <c r="R4524" t="str">
        <f t="shared" si="233"/>
        <v>商品详情页头图推荐</v>
      </c>
      <c r="S4524" t="s">
        <v>785</v>
      </c>
      <c r="T4524" t="s">
        <v>805</v>
      </c>
    </row>
    <row r="4525" spans="1:20" x14ac:dyDescent="0.3">
      <c r="A4525" t="s">
        <v>627</v>
      </c>
      <c r="B4525" s="16">
        <v>45587</v>
      </c>
      <c r="C4525" t="s">
        <v>3</v>
      </c>
      <c r="D4525" t="s">
        <v>123</v>
      </c>
      <c r="E4525" t="s">
        <v>170</v>
      </c>
      <c r="F4525">
        <v>95</v>
      </c>
      <c r="G4525">
        <v>43</v>
      </c>
      <c r="H4525">
        <v>6</v>
      </c>
      <c r="I4525">
        <v>1</v>
      </c>
      <c r="J4525">
        <v>14985.58</v>
      </c>
      <c r="K4525">
        <v>2</v>
      </c>
      <c r="L4525">
        <v>1785.58</v>
      </c>
      <c r="M4525">
        <v>1</v>
      </c>
      <c r="N4525">
        <v>87</v>
      </c>
      <c r="O4525">
        <v>46</v>
      </c>
      <c r="P4525">
        <f t="shared" si="231"/>
        <v>2024</v>
      </c>
      <c r="Q4525">
        <f t="shared" si="232"/>
        <v>10</v>
      </c>
      <c r="R4525" t="str">
        <f t="shared" si="233"/>
        <v>店铺超链</v>
      </c>
      <c r="S4525" t="s">
        <v>785</v>
      </c>
      <c r="T4525" t="s">
        <v>805</v>
      </c>
    </row>
    <row r="4526" spans="1:20" x14ac:dyDescent="0.3">
      <c r="A4526" t="s">
        <v>627</v>
      </c>
      <c r="B4526" s="16">
        <v>45587</v>
      </c>
      <c r="C4526" t="s">
        <v>2</v>
      </c>
      <c r="D4526" t="s">
        <v>52</v>
      </c>
      <c r="E4526" t="s">
        <v>59</v>
      </c>
      <c r="F4526">
        <v>1365</v>
      </c>
      <c r="G4526">
        <v>1015</v>
      </c>
      <c r="H4526">
        <v>12</v>
      </c>
      <c r="I4526">
        <v>5</v>
      </c>
      <c r="J4526">
        <v>33237.5</v>
      </c>
      <c r="K4526">
        <v>4</v>
      </c>
      <c r="L4526">
        <v>12937.5</v>
      </c>
      <c r="M4526">
        <v>3</v>
      </c>
      <c r="N4526">
        <v>1163</v>
      </c>
      <c r="O4526">
        <v>200</v>
      </c>
      <c r="P4526">
        <f t="shared" si="231"/>
        <v>2024</v>
      </c>
      <c r="Q4526">
        <f t="shared" si="232"/>
        <v>10</v>
      </c>
      <c r="R4526" t="s">
        <v>171</v>
      </c>
      <c r="S4526" t="s">
        <v>785</v>
      </c>
      <c r="T4526" t="s">
        <v>805</v>
      </c>
    </row>
    <row r="4527" spans="1:20" x14ac:dyDescent="0.3">
      <c r="A4527" t="s">
        <v>627</v>
      </c>
      <c r="B4527" s="16">
        <v>45587</v>
      </c>
      <c r="C4527" t="s">
        <v>3</v>
      </c>
      <c r="D4527" t="s">
        <v>127</v>
      </c>
      <c r="E4527" t="s">
        <v>172</v>
      </c>
      <c r="F4527">
        <v>39</v>
      </c>
      <c r="G4527">
        <v>27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8</v>
      </c>
      <c r="O4527">
        <v>12</v>
      </c>
      <c r="P4527">
        <f t="shared" si="231"/>
        <v>2024</v>
      </c>
      <c r="Q4527">
        <f t="shared" si="232"/>
        <v>10</v>
      </c>
      <c r="R4527" t="str">
        <f t="shared" si="233"/>
        <v>购中推荐</v>
      </c>
      <c r="S4527" t="s">
        <v>785</v>
      </c>
      <c r="T4527" t="s">
        <v>805</v>
      </c>
    </row>
    <row r="4528" spans="1:20" x14ac:dyDescent="0.3">
      <c r="A4528" t="s">
        <v>627</v>
      </c>
      <c r="B4528" s="16">
        <v>45587</v>
      </c>
      <c r="C4528" t="s">
        <v>3</v>
      </c>
      <c r="D4528" t="s">
        <v>127</v>
      </c>
      <c r="E4528" t="s">
        <v>173</v>
      </c>
      <c r="F4528">
        <v>228</v>
      </c>
      <c r="G4528">
        <v>178</v>
      </c>
      <c r="H4528">
        <v>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91</v>
      </c>
      <c r="O4528">
        <v>45</v>
      </c>
      <c r="P4528">
        <f t="shared" si="231"/>
        <v>2024</v>
      </c>
      <c r="Q4528">
        <f t="shared" si="232"/>
        <v>10</v>
      </c>
      <c r="R4528" t="str">
        <f t="shared" si="233"/>
        <v>购后推荐</v>
      </c>
      <c r="S4528" t="s">
        <v>785</v>
      </c>
      <c r="T4528" t="s">
        <v>805</v>
      </c>
    </row>
    <row r="4529" spans="1:20" x14ac:dyDescent="0.3">
      <c r="A4529" t="s">
        <v>627</v>
      </c>
      <c r="B4529" s="16">
        <v>45587</v>
      </c>
      <c r="C4529" t="s">
        <v>3</v>
      </c>
      <c r="D4529" t="s">
        <v>127</v>
      </c>
      <c r="E4529" t="s">
        <v>174</v>
      </c>
      <c r="F4529">
        <v>4258</v>
      </c>
      <c r="G4529">
        <v>2382</v>
      </c>
      <c r="H4529">
        <v>129</v>
      </c>
      <c r="I4529">
        <v>35</v>
      </c>
      <c r="J4529">
        <v>84594</v>
      </c>
      <c r="K4529">
        <v>19</v>
      </c>
      <c r="L4529">
        <v>43301</v>
      </c>
      <c r="M4529">
        <v>12</v>
      </c>
      <c r="N4529">
        <v>311</v>
      </c>
      <c r="O4529">
        <v>4258</v>
      </c>
      <c r="P4529">
        <f t="shared" si="231"/>
        <v>2024</v>
      </c>
      <c r="Q4529">
        <f t="shared" si="232"/>
        <v>10</v>
      </c>
      <c r="R4529" t="str">
        <f t="shared" si="233"/>
        <v>首页推荐-微详情</v>
      </c>
      <c r="S4529" t="s">
        <v>785</v>
      </c>
      <c r="T4529" t="s">
        <v>805</v>
      </c>
    </row>
    <row r="4530" spans="1:20" x14ac:dyDescent="0.3">
      <c r="A4530" t="s">
        <v>627</v>
      </c>
      <c r="B4530" s="16">
        <v>45587</v>
      </c>
      <c r="C4530" t="s">
        <v>3</v>
      </c>
      <c r="D4530" t="s">
        <v>127</v>
      </c>
      <c r="E4530" t="s">
        <v>175</v>
      </c>
      <c r="F4530">
        <v>885</v>
      </c>
      <c r="G4530">
        <v>754</v>
      </c>
      <c r="H4530">
        <v>0</v>
      </c>
      <c r="I4530">
        <v>1</v>
      </c>
      <c r="J4530">
        <v>8365</v>
      </c>
      <c r="K4530">
        <v>1</v>
      </c>
      <c r="L4530">
        <v>0</v>
      </c>
      <c r="M4530">
        <v>0</v>
      </c>
      <c r="N4530">
        <v>5</v>
      </c>
      <c r="O4530">
        <v>42</v>
      </c>
      <c r="P4530">
        <f t="shared" si="231"/>
        <v>2024</v>
      </c>
      <c r="Q4530">
        <f t="shared" si="232"/>
        <v>10</v>
      </c>
      <c r="R4530" t="str">
        <f t="shared" si="233"/>
        <v>首页推荐-直播</v>
      </c>
      <c r="S4530" t="s">
        <v>785</v>
      </c>
      <c r="T4530" t="s">
        <v>805</v>
      </c>
    </row>
    <row r="4531" spans="1:20" x14ac:dyDescent="0.3">
      <c r="A4531" t="s">
        <v>627</v>
      </c>
      <c r="B4531" s="16">
        <v>45587</v>
      </c>
      <c r="C4531" t="s">
        <v>3</v>
      </c>
      <c r="D4531" t="s">
        <v>127</v>
      </c>
      <c r="E4531" t="s">
        <v>176</v>
      </c>
      <c r="F4531">
        <v>737</v>
      </c>
      <c r="G4531">
        <v>352</v>
      </c>
      <c r="H4531">
        <v>8</v>
      </c>
      <c r="I4531">
        <v>2</v>
      </c>
      <c r="J4531">
        <v>14695</v>
      </c>
      <c r="K4531">
        <v>4</v>
      </c>
      <c r="L4531">
        <v>4125</v>
      </c>
      <c r="M4531">
        <v>2</v>
      </c>
      <c r="N4531">
        <v>34</v>
      </c>
      <c r="O4531">
        <v>195</v>
      </c>
      <c r="P4531">
        <f t="shared" si="231"/>
        <v>2024</v>
      </c>
      <c r="Q4531">
        <f t="shared" si="232"/>
        <v>10</v>
      </c>
      <c r="R4531" t="str">
        <f t="shared" si="233"/>
        <v>首页推荐-短视频</v>
      </c>
      <c r="S4531" t="s">
        <v>785</v>
      </c>
      <c r="T4531" t="s">
        <v>805</v>
      </c>
    </row>
    <row r="4532" spans="1:20" x14ac:dyDescent="0.3">
      <c r="A4532" t="s">
        <v>627</v>
      </c>
      <c r="B4532" s="16">
        <v>45587</v>
      </c>
      <c r="C4532" t="s">
        <v>3</v>
      </c>
      <c r="D4532" t="s">
        <v>128</v>
      </c>
      <c r="E4532" t="s">
        <v>177</v>
      </c>
      <c r="F4532">
        <v>1935</v>
      </c>
      <c r="G4532">
        <v>1479</v>
      </c>
      <c r="H4532">
        <v>322</v>
      </c>
      <c r="I4532">
        <v>23</v>
      </c>
      <c r="J4532">
        <v>329791.08</v>
      </c>
      <c r="K4532">
        <v>81</v>
      </c>
      <c r="L4532">
        <v>262016.08</v>
      </c>
      <c r="M4532">
        <v>74</v>
      </c>
      <c r="N4532">
        <v>410</v>
      </c>
      <c r="O4532">
        <v>1780</v>
      </c>
      <c r="P4532">
        <f t="shared" si="231"/>
        <v>2024</v>
      </c>
      <c r="Q4532">
        <f t="shared" si="232"/>
        <v>10</v>
      </c>
      <c r="R4532" t="str">
        <f t="shared" si="233"/>
        <v>手淘搜索-商品及其他</v>
      </c>
      <c r="S4532" t="s">
        <v>785</v>
      </c>
      <c r="T4532" t="s">
        <v>805</v>
      </c>
    </row>
    <row r="4533" spans="1:20" x14ac:dyDescent="0.3">
      <c r="A4533" t="s">
        <v>627</v>
      </c>
      <c r="B4533" s="16">
        <v>45587</v>
      </c>
      <c r="C4533" t="s">
        <v>3</v>
      </c>
      <c r="D4533" t="s">
        <v>128</v>
      </c>
      <c r="E4533" t="s">
        <v>178</v>
      </c>
      <c r="F4533">
        <v>45</v>
      </c>
      <c r="G4533">
        <v>30</v>
      </c>
      <c r="H4533">
        <v>1</v>
      </c>
      <c r="I4533">
        <v>0</v>
      </c>
      <c r="J4533">
        <v>1677</v>
      </c>
      <c r="K4533">
        <v>1</v>
      </c>
      <c r="L4533">
        <v>1677</v>
      </c>
      <c r="M4533">
        <v>1</v>
      </c>
      <c r="N4533">
        <v>3</v>
      </c>
      <c r="O4533">
        <v>17</v>
      </c>
      <c r="P4533">
        <f t="shared" si="231"/>
        <v>2024</v>
      </c>
      <c r="Q4533">
        <f t="shared" si="232"/>
        <v>10</v>
      </c>
      <c r="R4533" t="str">
        <f t="shared" si="233"/>
        <v>手淘搜索-直播</v>
      </c>
      <c r="S4533" t="s">
        <v>785</v>
      </c>
      <c r="T4533" t="s">
        <v>805</v>
      </c>
    </row>
    <row r="4534" spans="1:20" x14ac:dyDescent="0.3">
      <c r="A4534" t="s">
        <v>627</v>
      </c>
      <c r="B4534" s="16">
        <v>45587</v>
      </c>
      <c r="C4534" t="s">
        <v>3</v>
      </c>
      <c r="D4534" t="s">
        <v>128</v>
      </c>
      <c r="E4534" t="s">
        <v>179</v>
      </c>
      <c r="F4534">
        <v>25</v>
      </c>
      <c r="G4534">
        <v>11</v>
      </c>
      <c r="H4534">
        <v>0</v>
      </c>
      <c r="I4534">
        <v>0</v>
      </c>
      <c r="J4534">
        <v>1980</v>
      </c>
      <c r="K4534">
        <v>1</v>
      </c>
      <c r="L4534">
        <v>1980</v>
      </c>
      <c r="M4534">
        <v>1</v>
      </c>
      <c r="N4534">
        <v>0</v>
      </c>
      <c r="O4534">
        <v>25</v>
      </c>
      <c r="P4534">
        <f t="shared" si="231"/>
        <v>2024</v>
      </c>
      <c r="Q4534">
        <f t="shared" si="232"/>
        <v>10</v>
      </c>
      <c r="R4534" t="str">
        <f t="shared" si="233"/>
        <v>手淘搜索-短视频</v>
      </c>
      <c r="S4534" t="s">
        <v>785</v>
      </c>
      <c r="T4534" t="s">
        <v>805</v>
      </c>
    </row>
    <row r="4535" spans="1:20" x14ac:dyDescent="0.3">
      <c r="A4535" t="s">
        <v>627</v>
      </c>
      <c r="B4535" s="16">
        <v>45587</v>
      </c>
      <c r="C4535" t="s">
        <v>3</v>
      </c>
      <c r="D4535" t="s">
        <v>143</v>
      </c>
      <c r="E4535" t="s">
        <v>180</v>
      </c>
      <c r="F4535">
        <v>26</v>
      </c>
      <c r="G4535">
        <v>25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26</v>
      </c>
      <c r="P4535">
        <f t="shared" si="231"/>
        <v>2024</v>
      </c>
      <c r="Q4535">
        <f t="shared" si="232"/>
        <v>10</v>
      </c>
      <c r="R4535" t="str">
        <f t="shared" si="233"/>
        <v>淘特其他渠道</v>
      </c>
      <c r="S4535" t="s">
        <v>785</v>
      </c>
      <c r="T4535" t="s">
        <v>805</v>
      </c>
    </row>
    <row r="4536" spans="1:20" x14ac:dyDescent="0.3">
      <c r="A4536" t="s">
        <v>627</v>
      </c>
      <c r="B4536" s="16">
        <v>45587</v>
      </c>
      <c r="C4536" t="s">
        <v>3</v>
      </c>
      <c r="D4536" t="s">
        <v>143</v>
      </c>
      <c r="E4536" t="s">
        <v>181</v>
      </c>
      <c r="F4536">
        <v>1</v>
      </c>
      <c r="G4536">
        <v>1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1</v>
      </c>
      <c r="P4536">
        <f t="shared" si="231"/>
        <v>2024</v>
      </c>
      <c r="Q4536">
        <f t="shared" si="232"/>
        <v>10</v>
      </c>
      <c r="R4536" t="str">
        <f t="shared" si="233"/>
        <v>淘特搜索</v>
      </c>
      <c r="S4536" t="s">
        <v>785</v>
      </c>
      <c r="T4536" t="s">
        <v>805</v>
      </c>
    </row>
    <row r="4537" spans="1:20" x14ac:dyDescent="0.3">
      <c r="A4537" t="s">
        <v>627</v>
      </c>
      <c r="B4537" s="16">
        <v>45587</v>
      </c>
      <c r="C4537" t="s">
        <v>2</v>
      </c>
      <c r="D4537" t="s">
        <v>55</v>
      </c>
      <c r="E4537" t="s">
        <v>54</v>
      </c>
      <c r="F4537">
        <v>1687</v>
      </c>
      <c r="G4537">
        <v>1246</v>
      </c>
      <c r="H4537">
        <v>9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23</v>
      </c>
      <c r="O4537">
        <v>143</v>
      </c>
      <c r="P4537">
        <f t="shared" si="231"/>
        <v>2024</v>
      </c>
      <c r="Q4537">
        <f t="shared" si="232"/>
        <v>10</v>
      </c>
      <c r="R4537" t="str">
        <f t="shared" si="233"/>
        <v>超级直播</v>
      </c>
      <c r="S4537" t="s">
        <v>785</v>
      </c>
      <c r="T4537" t="s">
        <v>805</v>
      </c>
    </row>
    <row r="4538" spans="1:20" x14ac:dyDescent="0.3">
      <c r="A4538" t="s">
        <v>627</v>
      </c>
      <c r="B4538" s="16">
        <v>45587</v>
      </c>
      <c r="C4538" t="s">
        <v>2</v>
      </c>
      <c r="D4538" t="s">
        <v>55</v>
      </c>
      <c r="E4538" t="s">
        <v>56</v>
      </c>
      <c r="F4538">
        <v>156</v>
      </c>
      <c r="G4538">
        <v>121</v>
      </c>
      <c r="H4538">
        <v>5</v>
      </c>
      <c r="I4538">
        <v>1</v>
      </c>
      <c r="J4538">
        <v>0</v>
      </c>
      <c r="K4538">
        <v>0</v>
      </c>
      <c r="L4538">
        <v>0</v>
      </c>
      <c r="M4538">
        <v>0</v>
      </c>
      <c r="N4538">
        <v>3</v>
      </c>
      <c r="O4538">
        <v>113</v>
      </c>
      <c r="P4538">
        <f t="shared" si="231"/>
        <v>2024</v>
      </c>
      <c r="Q4538">
        <f t="shared" si="232"/>
        <v>10</v>
      </c>
      <c r="R4538" t="str">
        <f t="shared" si="233"/>
        <v>超级短视频</v>
      </c>
      <c r="S4538" t="s">
        <v>785</v>
      </c>
      <c r="T4538" t="s">
        <v>805</v>
      </c>
    </row>
    <row r="4539" spans="1:20" x14ac:dyDescent="0.3">
      <c r="A4539" t="s">
        <v>627</v>
      </c>
      <c r="B4539" s="16">
        <v>45587</v>
      </c>
      <c r="C4539" t="s">
        <v>2</v>
      </c>
      <c r="D4539" t="s">
        <v>52</v>
      </c>
      <c r="E4539" t="s">
        <v>59</v>
      </c>
      <c r="F4539">
        <v>2</v>
      </c>
      <c r="G4539">
        <v>1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2</v>
      </c>
      <c r="O4539">
        <v>1</v>
      </c>
      <c r="P4539">
        <f t="shared" si="231"/>
        <v>2024</v>
      </c>
      <c r="Q4539">
        <f t="shared" si="232"/>
        <v>10</v>
      </c>
      <c r="R4539" t="str">
        <f t="shared" si="233"/>
        <v>品牌特秀</v>
      </c>
      <c r="S4539" t="s">
        <v>785</v>
      </c>
      <c r="T4539" t="s">
        <v>805</v>
      </c>
    </row>
    <row r="4540" spans="1:20" x14ac:dyDescent="0.3">
      <c r="A4540" t="s">
        <v>627</v>
      </c>
      <c r="B4540" s="16">
        <v>45587</v>
      </c>
      <c r="C4540" t="s">
        <v>2</v>
      </c>
      <c r="D4540" t="s">
        <v>52</v>
      </c>
      <c r="E4540" t="s">
        <v>183</v>
      </c>
      <c r="F4540">
        <v>757</v>
      </c>
      <c r="G4540">
        <v>561</v>
      </c>
      <c r="H4540">
        <v>42</v>
      </c>
      <c r="I4540">
        <v>9</v>
      </c>
      <c r="J4540">
        <v>266567</v>
      </c>
      <c r="K4540">
        <v>13</v>
      </c>
      <c r="L4540">
        <v>41387</v>
      </c>
      <c r="M4540">
        <v>9</v>
      </c>
      <c r="N4540">
        <v>757</v>
      </c>
      <c r="O4540">
        <v>476</v>
      </c>
      <c r="P4540">
        <f t="shared" si="231"/>
        <v>2024</v>
      </c>
      <c r="Q4540">
        <f t="shared" si="232"/>
        <v>10</v>
      </c>
      <c r="R4540" t="str">
        <f t="shared" si="233"/>
        <v>品销宝-品牌专区</v>
      </c>
      <c r="S4540" t="s">
        <v>785</v>
      </c>
      <c r="T4540" t="s">
        <v>805</v>
      </c>
    </row>
    <row r="4541" spans="1:20" x14ac:dyDescent="0.3">
      <c r="A4541" t="s">
        <v>627</v>
      </c>
      <c r="B4541" s="16">
        <v>45587</v>
      </c>
      <c r="C4541" t="s">
        <v>2</v>
      </c>
      <c r="D4541" t="s">
        <v>57</v>
      </c>
      <c r="E4541" t="s">
        <v>65</v>
      </c>
      <c r="F4541">
        <v>6241</v>
      </c>
      <c r="G4541">
        <v>5435</v>
      </c>
      <c r="H4541">
        <v>367</v>
      </c>
      <c r="I4541">
        <v>37</v>
      </c>
      <c r="J4541">
        <v>741374</v>
      </c>
      <c r="K4541">
        <v>126</v>
      </c>
      <c r="L4541">
        <v>551646</v>
      </c>
      <c r="M4541">
        <v>110</v>
      </c>
      <c r="N4541">
        <v>410</v>
      </c>
      <c r="O4541">
        <v>6194</v>
      </c>
      <c r="P4541">
        <f t="shared" si="231"/>
        <v>2024</v>
      </c>
      <c r="Q4541">
        <f t="shared" si="232"/>
        <v>10</v>
      </c>
      <c r="R4541" t="str">
        <f t="shared" si="233"/>
        <v>直通车</v>
      </c>
      <c r="S4541" t="s">
        <v>785</v>
      </c>
      <c r="T4541" t="s">
        <v>805</v>
      </c>
    </row>
    <row r="4542" spans="1:20" x14ac:dyDescent="0.3">
      <c r="A4542" t="s">
        <v>627</v>
      </c>
      <c r="B4542" s="16">
        <v>45587</v>
      </c>
      <c r="C4542" t="s">
        <v>2</v>
      </c>
      <c r="D4542" t="s">
        <v>57</v>
      </c>
      <c r="E4542" t="s">
        <v>63</v>
      </c>
      <c r="F4542">
        <v>5547</v>
      </c>
      <c r="G4542">
        <v>2934</v>
      </c>
      <c r="H4542">
        <v>292</v>
      </c>
      <c r="I4542">
        <v>78</v>
      </c>
      <c r="J4542">
        <v>490247.39</v>
      </c>
      <c r="K4542">
        <v>92</v>
      </c>
      <c r="L4542">
        <v>327301.89</v>
      </c>
      <c r="M4542">
        <v>74</v>
      </c>
      <c r="N4542">
        <v>363</v>
      </c>
      <c r="O4542">
        <v>5536</v>
      </c>
      <c r="P4542">
        <f t="shared" si="231"/>
        <v>2024</v>
      </c>
      <c r="Q4542">
        <f t="shared" si="232"/>
        <v>10</v>
      </c>
      <c r="R4542" t="str">
        <f t="shared" si="233"/>
        <v>万相台</v>
      </c>
      <c r="S4542" t="s">
        <v>785</v>
      </c>
      <c r="T4542" t="s">
        <v>805</v>
      </c>
    </row>
    <row r="4543" spans="1:20" x14ac:dyDescent="0.3">
      <c r="A4543" t="s">
        <v>627</v>
      </c>
      <c r="B4543" s="16">
        <v>45587</v>
      </c>
      <c r="C4543" t="s">
        <v>2</v>
      </c>
      <c r="D4543" t="s">
        <v>57</v>
      </c>
      <c r="E4543" t="s">
        <v>64</v>
      </c>
      <c r="F4543">
        <v>6404</v>
      </c>
      <c r="G4543">
        <v>2636</v>
      </c>
      <c r="H4543">
        <v>160</v>
      </c>
      <c r="I4543">
        <v>94</v>
      </c>
      <c r="J4543">
        <v>175057.5</v>
      </c>
      <c r="K4543">
        <v>25</v>
      </c>
      <c r="L4543">
        <v>90837.5</v>
      </c>
      <c r="M4543">
        <v>19</v>
      </c>
      <c r="N4543">
        <v>482</v>
      </c>
      <c r="O4543">
        <v>6399</v>
      </c>
      <c r="P4543">
        <f t="shared" si="231"/>
        <v>2024</v>
      </c>
      <c r="Q4543">
        <f t="shared" si="232"/>
        <v>10</v>
      </c>
      <c r="R4543" t="str">
        <f t="shared" si="233"/>
        <v>引力魔方</v>
      </c>
      <c r="S4543" t="s">
        <v>785</v>
      </c>
      <c r="T4543" t="s">
        <v>805</v>
      </c>
    </row>
    <row r="4544" spans="1:20" x14ac:dyDescent="0.3">
      <c r="A4544" t="s">
        <v>627</v>
      </c>
      <c r="B4544" s="16">
        <v>45587</v>
      </c>
      <c r="C4544" t="s">
        <v>2</v>
      </c>
      <c r="D4544" t="s">
        <v>4</v>
      </c>
      <c r="E4544" t="s">
        <v>41</v>
      </c>
      <c r="F4544">
        <v>3</v>
      </c>
      <c r="G4544">
        <v>1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1</v>
      </c>
      <c r="O4544">
        <v>3</v>
      </c>
      <c r="P4544">
        <f t="shared" si="231"/>
        <v>2024</v>
      </c>
      <c r="Q4544">
        <f t="shared" si="232"/>
        <v>10</v>
      </c>
      <c r="R4544" t="str">
        <f t="shared" si="233"/>
        <v>流量宝</v>
      </c>
      <c r="S4544" t="s">
        <v>785</v>
      </c>
      <c r="T4544" t="s">
        <v>805</v>
      </c>
    </row>
    <row r="4545" spans="1:20" x14ac:dyDescent="0.3">
      <c r="A4545" t="s">
        <v>627</v>
      </c>
      <c r="B4545" s="16">
        <v>45587</v>
      </c>
      <c r="C4545" t="s">
        <v>2</v>
      </c>
      <c r="D4545" t="s">
        <v>4</v>
      </c>
      <c r="E4545" t="s">
        <v>43</v>
      </c>
      <c r="F4545">
        <v>309</v>
      </c>
      <c r="G4545">
        <v>123</v>
      </c>
      <c r="H4545">
        <v>5</v>
      </c>
      <c r="I4545">
        <v>1</v>
      </c>
      <c r="J4545">
        <v>27877</v>
      </c>
      <c r="K4545">
        <v>5</v>
      </c>
      <c r="L4545">
        <v>27877</v>
      </c>
      <c r="M4545">
        <v>5</v>
      </c>
      <c r="N4545">
        <v>10</v>
      </c>
      <c r="O4545">
        <v>303</v>
      </c>
      <c r="P4545">
        <f t="shared" si="231"/>
        <v>2024</v>
      </c>
      <c r="Q4545">
        <f t="shared" si="232"/>
        <v>10</v>
      </c>
      <c r="R4545" t="str">
        <f t="shared" si="233"/>
        <v>淘宝客</v>
      </c>
      <c r="S4545" t="s">
        <v>785</v>
      </c>
      <c r="T4545" t="s">
        <v>805</v>
      </c>
    </row>
    <row r="4546" spans="1:20" x14ac:dyDescent="0.3">
      <c r="A4546" t="s">
        <v>627</v>
      </c>
      <c r="B4546" s="16">
        <v>45586</v>
      </c>
      <c r="C4546" t="s">
        <v>3</v>
      </c>
      <c r="D4546" t="s">
        <v>114</v>
      </c>
      <c r="E4546" t="s">
        <v>159</v>
      </c>
      <c r="F4546">
        <v>207</v>
      </c>
      <c r="G4546">
        <v>99</v>
      </c>
      <c r="H4546">
        <v>6</v>
      </c>
      <c r="I4546">
        <v>1</v>
      </c>
      <c r="J4546">
        <v>13385</v>
      </c>
      <c r="K4546">
        <v>2</v>
      </c>
      <c r="L4546">
        <v>13385</v>
      </c>
      <c r="M4546">
        <v>2</v>
      </c>
      <c r="N4546">
        <v>23</v>
      </c>
      <c r="O4546">
        <v>191</v>
      </c>
      <c r="P4546">
        <f t="shared" si="231"/>
        <v>2024</v>
      </c>
      <c r="Q4546">
        <f t="shared" si="232"/>
        <v>10</v>
      </c>
      <c r="R4546" t="str">
        <f t="shared" si="233"/>
        <v>主会场</v>
      </c>
      <c r="S4546" t="s">
        <v>785</v>
      </c>
      <c r="T4546" t="s">
        <v>805</v>
      </c>
    </row>
    <row r="4547" spans="1:20" x14ac:dyDescent="0.3">
      <c r="A4547" t="s">
        <v>627</v>
      </c>
      <c r="B4547" s="16">
        <v>45586</v>
      </c>
      <c r="C4547" t="s">
        <v>3</v>
      </c>
      <c r="D4547" t="s">
        <v>114</v>
      </c>
      <c r="E4547" t="s">
        <v>160</v>
      </c>
      <c r="F4547">
        <v>4</v>
      </c>
      <c r="G4547">
        <v>3</v>
      </c>
      <c r="H4547">
        <v>3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4</v>
      </c>
      <c r="P4547">
        <f t="shared" si="231"/>
        <v>2024</v>
      </c>
      <c r="Q4547">
        <f t="shared" si="232"/>
        <v>10</v>
      </c>
      <c r="R4547" t="str">
        <f t="shared" si="233"/>
        <v>榜单会场</v>
      </c>
      <c r="S4547" t="s">
        <v>785</v>
      </c>
      <c r="T4547" t="s">
        <v>805</v>
      </c>
    </row>
    <row r="4548" spans="1:20" x14ac:dyDescent="0.3">
      <c r="A4548" t="s">
        <v>627</v>
      </c>
      <c r="B4548" s="16">
        <v>45586</v>
      </c>
      <c r="C4548" t="s">
        <v>3</v>
      </c>
      <c r="D4548" t="s">
        <v>120</v>
      </c>
      <c r="E4548" t="s">
        <v>162</v>
      </c>
      <c r="F4548">
        <v>2</v>
      </c>
      <c r="G4548">
        <v>2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2</v>
      </c>
      <c r="O4548">
        <v>1</v>
      </c>
      <c r="P4548">
        <f t="shared" si="231"/>
        <v>2024</v>
      </c>
      <c r="Q4548">
        <f t="shared" si="232"/>
        <v>10</v>
      </c>
      <c r="R4548" t="str">
        <f t="shared" si="233"/>
        <v>手机浏览器访问天猫</v>
      </c>
      <c r="S4548" t="s">
        <v>785</v>
      </c>
      <c r="T4548" t="s">
        <v>805</v>
      </c>
    </row>
    <row r="4549" spans="1:20" x14ac:dyDescent="0.3">
      <c r="A4549" t="s">
        <v>627</v>
      </c>
      <c r="B4549" s="16">
        <v>45586</v>
      </c>
      <c r="C4549" t="s">
        <v>3</v>
      </c>
      <c r="D4549" t="s">
        <v>120</v>
      </c>
      <c r="E4549" t="s">
        <v>163</v>
      </c>
      <c r="F4549">
        <v>58</v>
      </c>
      <c r="G4549">
        <v>25</v>
      </c>
      <c r="H4549">
        <v>1</v>
      </c>
      <c r="I4549">
        <v>0</v>
      </c>
      <c r="J4549">
        <v>1493.65</v>
      </c>
      <c r="K4549">
        <v>1</v>
      </c>
      <c r="L4549">
        <v>1493.65</v>
      </c>
      <c r="M4549">
        <v>1</v>
      </c>
      <c r="N4549">
        <v>17</v>
      </c>
      <c r="O4549">
        <v>50</v>
      </c>
      <c r="P4549">
        <f t="shared" si="231"/>
        <v>2024</v>
      </c>
      <c r="Q4549">
        <f t="shared" si="232"/>
        <v>10</v>
      </c>
      <c r="R4549" t="str">
        <f t="shared" si="233"/>
        <v>手猫免费其他</v>
      </c>
      <c r="S4549" t="s">
        <v>785</v>
      </c>
      <c r="T4549" t="s">
        <v>805</v>
      </c>
    </row>
    <row r="4550" spans="1:20" x14ac:dyDescent="0.3">
      <c r="A4550" t="s">
        <v>627</v>
      </c>
      <c r="B4550" s="16">
        <v>45586</v>
      </c>
      <c r="C4550" t="s">
        <v>3</v>
      </c>
      <c r="D4550" t="s">
        <v>120</v>
      </c>
      <c r="E4550" t="s">
        <v>164</v>
      </c>
      <c r="F4550">
        <v>50</v>
      </c>
      <c r="G4550">
        <v>19</v>
      </c>
      <c r="H4550">
        <v>7</v>
      </c>
      <c r="I4550">
        <v>0</v>
      </c>
      <c r="J4550">
        <v>18735</v>
      </c>
      <c r="K4550">
        <v>3</v>
      </c>
      <c r="L4550">
        <v>18735</v>
      </c>
      <c r="M4550">
        <v>3</v>
      </c>
      <c r="N4550">
        <v>0</v>
      </c>
      <c r="O4550">
        <v>50</v>
      </c>
      <c r="P4550">
        <f t="shared" si="231"/>
        <v>2024</v>
      </c>
      <c r="Q4550">
        <f t="shared" si="232"/>
        <v>10</v>
      </c>
      <c r="R4550" t="str">
        <f t="shared" si="233"/>
        <v>手猫其他店铺</v>
      </c>
      <c r="S4550" t="s">
        <v>785</v>
      </c>
      <c r="T4550" t="s">
        <v>805</v>
      </c>
    </row>
    <row r="4551" spans="1:20" x14ac:dyDescent="0.3">
      <c r="A4551" t="s">
        <v>627</v>
      </c>
      <c r="B4551" s="16">
        <v>45586</v>
      </c>
      <c r="C4551" t="s">
        <v>3</v>
      </c>
      <c r="D4551" t="s">
        <v>120</v>
      </c>
      <c r="E4551" t="s">
        <v>165</v>
      </c>
      <c r="F4551">
        <v>72</v>
      </c>
      <c r="G4551">
        <v>17</v>
      </c>
      <c r="H4551">
        <v>3</v>
      </c>
      <c r="I4551">
        <v>0</v>
      </c>
      <c r="J4551">
        <v>4300</v>
      </c>
      <c r="K4551">
        <v>1</v>
      </c>
      <c r="L4551">
        <v>4300</v>
      </c>
      <c r="M4551">
        <v>1</v>
      </c>
      <c r="N4551">
        <v>11</v>
      </c>
      <c r="O4551">
        <v>69</v>
      </c>
      <c r="P4551">
        <f t="shared" si="231"/>
        <v>2024</v>
      </c>
      <c r="Q4551">
        <f t="shared" si="232"/>
        <v>10</v>
      </c>
      <c r="R4551" t="str">
        <f t="shared" si="233"/>
        <v>手猫商品详情</v>
      </c>
      <c r="S4551" t="s">
        <v>785</v>
      </c>
      <c r="T4551" t="s">
        <v>805</v>
      </c>
    </row>
    <row r="4552" spans="1:20" x14ac:dyDescent="0.3">
      <c r="A4552" t="s">
        <v>627</v>
      </c>
      <c r="B4552" s="16">
        <v>45586</v>
      </c>
      <c r="C4552" t="s">
        <v>3</v>
      </c>
      <c r="D4552" t="s">
        <v>120</v>
      </c>
      <c r="E4552" t="s">
        <v>166</v>
      </c>
      <c r="F4552">
        <v>116</v>
      </c>
      <c r="G4552">
        <v>66</v>
      </c>
      <c r="H4552">
        <v>9</v>
      </c>
      <c r="I4552">
        <v>0</v>
      </c>
      <c r="J4552">
        <v>36917.5</v>
      </c>
      <c r="K4552">
        <v>4</v>
      </c>
      <c r="L4552">
        <v>11067.5</v>
      </c>
      <c r="M4552">
        <v>2</v>
      </c>
      <c r="N4552">
        <v>35</v>
      </c>
      <c r="O4552">
        <v>107</v>
      </c>
      <c r="P4552">
        <f t="shared" si="231"/>
        <v>2024</v>
      </c>
      <c r="Q4552">
        <f t="shared" si="232"/>
        <v>10</v>
      </c>
      <c r="R4552" t="str">
        <f t="shared" si="233"/>
        <v>手猫搜索</v>
      </c>
      <c r="S4552" t="s">
        <v>785</v>
      </c>
      <c r="T4552" t="s">
        <v>805</v>
      </c>
    </row>
    <row r="4553" spans="1:20" x14ac:dyDescent="0.3">
      <c r="A4553" t="s">
        <v>627</v>
      </c>
      <c r="B4553" s="16">
        <v>45586</v>
      </c>
      <c r="C4553" t="s">
        <v>3</v>
      </c>
      <c r="D4553" t="s">
        <v>120</v>
      </c>
      <c r="E4553" t="s">
        <v>167</v>
      </c>
      <c r="F4553">
        <v>4</v>
      </c>
      <c r="G4553">
        <v>1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1</v>
      </c>
      <c r="O4553">
        <v>4</v>
      </c>
      <c r="P4553">
        <f t="shared" si="231"/>
        <v>2024</v>
      </c>
      <c r="Q4553">
        <f t="shared" si="232"/>
        <v>10</v>
      </c>
      <c r="R4553" t="str">
        <f t="shared" si="233"/>
        <v>手猫旺信聊天</v>
      </c>
      <c r="S4553" t="s">
        <v>785</v>
      </c>
      <c r="T4553" t="s">
        <v>805</v>
      </c>
    </row>
    <row r="4554" spans="1:20" x14ac:dyDescent="0.3">
      <c r="A4554" t="s">
        <v>627</v>
      </c>
      <c r="B4554" s="16">
        <v>45586</v>
      </c>
      <c r="C4554" t="s">
        <v>3</v>
      </c>
      <c r="D4554" t="s">
        <v>120</v>
      </c>
      <c r="E4554" t="s">
        <v>192</v>
      </c>
      <c r="F4554">
        <v>6</v>
      </c>
      <c r="G4554">
        <v>1</v>
      </c>
      <c r="H4554">
        <v>0</v>
      </c>
      <c r="I4554">
        <v>0</v>
      </c>
      <c r="J4554">
        <v>6757</v>
      </c>
      <c r="K4554">
        <v>1</v>
      </c>
      <c r="L4554">
        <v>6757</v>
      </c>
      <c r="M4554">
        <v>1</v>
      </c>
      <c r="N4554">
        <v>0</v>
      </c>
      <c r="O4554">
        <v>6</v>
      </c>
      <c r="P4554">
        <f t="shared" si="231"/>
        <v>2024</v>
      </c>
      <c r="Q4554">
        <f t="shared" si="232"/>
        <v>10</v>
      </c>
      <c r="R4554" t="str">
        <f t="shared" si="233"/>
        <v>手猫消息中心</v>
      </c>
      <c r="S4554" t="s">
        <v>785</v>
      </c>
      <c r="T4554" t="s">
        <v>805</v>
      </c>
    </row>
    <row r="4555" spans="1:20" x14ac:dyDescent="0.3">
      <c r="A4555" t="s">
        <v>627</v>
      </c>
      <c r="B4555" s="16">
        <v>45586</v>
      </c>
      <c r="C4555" t="s">
        <v>3</v>
      </c>
      <c r="D4555" t="s">
        <v>120</v>
      </c>
      <c r="E4555" t="s">
        <v>168</v>
      </c>
      <c r="F4555">
        <v>399</v>
      </c>
      <c r="G4555">
        <v>183</v>
      </c>
      <c r="H4555">
        <v>10</v>
      </c>
      <c r="I4555">
        <v>0</v>
      </c>
      <c r="J4555">
        <v>38116.44</v>
      </c>
      <c r="K4555">
        <v>8</v>
      </c>
      <c r="L4555">
        <v>38116.44</v>
      </c>
      <c r="M4555">
        <v>8</v>
      </c>
      <c r="N4555">
        <v>30</v>
      </c>
      <c r="O4555">
        <v>399</v>
      </c>
      <c r="P4555">
        <f t="shared" si="231"/>
        <v>2024</v>
      </c>
      <c r="Q4555">
        <f t="shared" si="232"/>
        <v>10</v>
      </c>
      <c r="R4555" t="str">
        <f t="shared" si="233"/>
        <v>手猫首页</v>
      </c>
      <c r="S4555" t="s">
        <v>785</v>
      </c>
      <c r="T4555" t="s">
        <v>805</v>
      </c>
    </row>
    <row r="4556" spans="1:20" x14ac:dyDescent="0.3">
      <c r="A4556" t="s">
        <v>627</v>
      </c>
      <c r="B4556" s="16">
        <v>45586</v>
      </c>
      <c r="C4556" t="s">
        <v>3</v>
      </c>
      <c r="D4556" t="s">
        <v>123</v>
      </c>
      <c r="E4556" t="s">
        <v>169</v>
      </c>
      <c r="F4556">
        <v>420</v>
      </c>
      <c r="G4556">
        <v>165</v>
      </c>
      <c r="H4556">
        <v>29</v>
      </c>
      <c r="I4556">
        <v>5</v>
      </c>
      <c r="J4556">
        <v>53110.16</v>
      </c>
      <c r="K4556">
        <v>13</v>
      </c>
      <c r="L4556">
        <v>53110.16</v>
      </c>
      <c r="M4556">
        <v>13</v>
      </c>
      <c r="N4556">
        <v>52</v>
      </c>
      <c r="O4556">
        <v>406</v>
      </c>
      <c r="P4556">
        <f t="shared" si="231"/>
        <v>2024</v>
      </c>
      <c r="Q4556">
        <f t="shared" si="232"/>
        <v>10</v>
      </c>
      <c r="R4556" t="str">
        <f t="shared" si="233"/>
        <v>商品详情页头图推荐</v>
      </c>
      <c r="S4556" t="s">
        <v>785</v>
      </c>
      <c r="T4556" t="s">
        <v>805</v>
      </c>
    </row>
    <row r="4557" spans="1:20" x14ac:dyDescent="0.3">
      <c r="A4557" t="s">
        <v>627</v>
      </c>
      <c r="B4557" s="16">
        <v>45586</v>
      </c>
      <c r="C4557" t="s">
        <v>3</v>
      </c>
      <c r="D4557" t="s">
        <v>123</v>
      </c>
      <c r="E4557" t="s">
        <v>170</v>
      </c>
      <c r="F4557">
        <v>113</v>
      </c>
      <c r="G4557">
        <v>58</v>
      </c>
      <c r="H4557">
        <v>13</v>
      </c>
      <c r="I4557">
        <v>0</v>
      </c>
      <c r="J4557">
        <v>26937</v>
      </c>
      <c r="K4557">
        <v>7</v>
      </c>
      <c r="L4557">
        <v>25257</v>
      </c>
      <c r="M4557">
        <v>6</v>
      </c>
      <c r="N4557">
        <v>100</v>
      </c>
      <c r="O4557">
        <v>64</v>
      </c>
      <c r="P4557">
        <f t="shared" si="231"/>
        <v>2024</v>
      </c>
      <c r="Q4557">
        <f t="shared" si="232"/>
        <v>10</v>
      </c>
      <c r="R4557" t="str">
        <f t="shared" si="233"/>
        <v>店铺超链</v>
      </c>
      <c r="S4557" t="s">
        <v>785</v>
      </c>
      <c r="T4557" t="s">
        <v>805</v>
      </c>
    </row>
    <row r="4558" spans="1:20" x14ac:dyDescent="0.3">
      <c r="A4558" t="s">
        <v>627</v>
      </c>
      <c r="B4558" s="16">
        <v>45586</v>
      </c>
      <c r="C4558" t="s">
        <v>2</v>
      </c>
      <c r="D4558" t="s">
        <v>52</v>
      </c>
      <c r="E4558" t="s">
        <v>59</v>
      </c>
      <c r="F4558">
        <v>1353</v>
      </c>
      <c r="G4558">
        <v>1019</v>
      </c>
      <c r="H4558">
        <v>11</v>
      </c>
      <c r="I4558">
        <v>2</v>
      </c>
      <c r="J4558">
        <v>26742.77</v>
      </c>
      <c r="K4558">
        <v>8</v>
      </c>
      <c r="L4558">
        <v>26742.77</v>
      </c>
      <c r="M4558">
        <v>8</v>
      </c>
      <c r="N4558">
        <v>1193</v>
      </c>
      <c r="O4558">
        <v>179</v>
      </c>
      <c r="P4558">
        <f t="shared" si="231"/>
        <v>2024</v>
      </c>
      <c r="Q4558">
        <f t="shared" si="232"/>
        <v>10</v>
      </c>
      <c r="R4558" t="s">
        <v>171</v>
      </c>
      <c r="S4558" t="s">
        <v>785</v>
      </c>
      <c r="T4558" t="s">
        <v>805</v>
      </c>
    </row>
    <row r="4559" spans="1:20" x14ac:dyDescent="0.3">
      <c r="A4559" t="s">
        <v>627</v>
      </c>
      <c r="B4559" s="16">
        <v>45586</v>
      </c>
      <c r="C4559" t="s">
        <v>3</v>
      </c>
      <c r="D4559" t="s">
        <v>127</v>
      </c>
      <c r="E4559" t="s">
        <v>172</v>
      </c>
      <c r="F4559">
        <v>26</v>
      </c>
      <c r="G4559">
        <v>14</v>
      </c>
      <c r="H4559">
        <v>1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13</v>
      </c>
      <c r="O4559">
        <v>11</v>
      </c>
      <c r="P4559">
        <f t="shared" si="231"/>
        <v>2024</v>
      </c>
      <c r="Q4559">
        <f t="shared" si="232"/>
        <v>10</v>
      </c>
      <c r="R4559" t="str">
        <f t="shared" si="233"/>
        <v>购中推荐</v>
      </c>
      <c r="S4559" t="s">
        <v>785</v>
      </c>
      <c r="T4559" t="s">
        <v>805</v>
      </c>
    </row>
    <row r="4560" spans="1:20" x14ac:dyDescent="0.3">
      <c r="A4560" t="s">
        <v>627</v>
      </c>
      <c r="B4560" s="16">
        <v>45586</v>
      </c>
      <c r="C4560" t="s">
        <v>3</v>
      </c>
      <c r="D4560" t="s">
        <v>127</v>
      </c>
      <c r="E4560" t="s">
        <v>173</v>
      </c>
      <c r="F4560">
        <v>76</v>
      </c>
      <c r="G4560">
        <v>41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32</v>
      </c>
      <c r="O4560">
        <v>31</v>
      </c>
      <c r="P4560">
        <f t="shared" si="231"/>
        <v>2024</v>
      </c>
      <c r="Q4560">
        <f t="shared" si="232"/>
        <v>10</v>
      </c>
      <c r="R4560" t="str">
        <f t="shared" si="233"/>
        <v>购后推荐</v>
      </c>
      <c r="S4560" t="s">
        <v>785</v>
      </c>
      <c r="T4560" t="s">
        <v>805</v>
      </c>
    </row>
    <row r="4561" spans="1:20" x14ac:dyDescent="0.3">
      <c r="A4561" t="s">
        <v>627</v>
      </c>
      <c r="B4561" s="16">
        <v>45586</v>
      </c>
      <c r="C4561" t="s">
        <v>3</v>
      </c>
      <c r="D4561" t="s">
        <v>127</v>
      </c>
      <c r="E4561" t="s">
        <v>174</v>
      </c>
      <c r="F4561">
        <v>3986</v>
      </c>
      <c r="G4561">
        <v>2299</v>
      </c>
      <c r="H4561">
        <v>102</v>
      </c>
      <c r="I4561">
        <v>44</v>
      </c>
      <c r="J4561">
        <v>197379.53</v>
      </c>
      <c r="K4561">
        <v>34</v>
      </c>
      <c r="L4561">
        <v>142264.53</v>
      </c>
      <c r="M4561">
        <v>29</v>
      </c>
      <c r="N4561">
        <v>302</v>
      </c>
      <c r="O4561">
        <v>3986</v>
      </c>
      <c r="P4561">
        <f t="shared" si="231"/>
        <v>2024</v>
      </c>
      <c r="Q4561">
        <f t="shared" si="232"/>
        <v>10</v>
      </c>
      <c r="R4561" t="str">
        <f t="shared" si="233"/>
        <v>首页推荐-微详情</v>
      </c>
      <c r="S4561" t="s">
        <v>785</v>
      </c>
      <c r="T4561" t="s">
        <v>805</v>
      </c>
    </row>
    <row r="4562" spans="1:20" x14ac:dyDescent="0.3">
      <c r="A4562" t="s">
        <v>627</v>
      </c>
      <c r="B4562" s="16">
        <v>45586</v>
      </c>
      <c r="C4562" t="s">
        <v>3</v>
      </c>
      <c r="D4562" t="s">
        <v>127</v>
      </c>
      <c r="E4562" t="s">
        <v>175</v>
      </c>
      <c r="F4562">
        <v>268</v>
      </c>
      <c r="G4562">
        <v>164</v>
      </c>
      <c r="H4562">
        <v>2</v>
      </c>
      <c r="I4562">
        <v>0</v>
      </c>
      <c r="J4562">
        <v>16537</v>
      </c>
      <c r="K4562">
        <v>2</v>
      </c>
      <c r="L4562">
        <v>16537</v>
      </c>
      <c r="M4562">
        <v>2</v>
      </c>
      <c r="N4562">
        <v>4</v>
      </c>
      <c r="O4562">
        <v>35</v>
      </c>
      <c r="P4562">
        <f t="shared" si="231"/>
        <v>2024</v>
      </c>
      <c r="Q4562">
        <f t="shared" si="232"/>
        <v>10</v>
      </c>
      <c r="R4562" t="str">
        <f t="shared" si="233"/>
        <v>首页推荐-直播</v>
      </c>
      <c r="S4562" t="s">
        <v>785</v>
      </c>
      <c r="T4562" t="s">
        <v>805</v>
      </c>
    </row>
    <row r="4563" spans="1:20" x14ac:dyDescent="0.3">
      <c r="A4563" t="s">
        <v>627</v>
      </c>
      <c r="B4563" s="16">
        <v>45586</v>
      </c>
      <c r="C4563" t="s">
        <v>3</v>
      </c>
      <c r="D4563" t="s">
        <v>127</v>
      </c>
      <c r="E4563" t="s">
        <v>176</v>
      </c>
      <c r="F4563">
        <v>706</v>
      </c>
      <c r="G4563">
        <v>361</v>
      </c>
      <c r="H4563">
        <v>5</v>
      </c>
      <c r="I4563">
        <v>3</v>
      </c>
      <c r="J4563">
        <v>20245</v>
      </c>
      <c r="K4563">
        <v>4</v>
      </c>
      <c r="L4563">
        <v>10965</v>
      </c>
      <c r="M4563">
        <v>2</v>
      </c>
      <c r="N4563">
        <v>14</v>
      </c>
      <c r="O4563">
        <v>166</v>
      </c>
      <c r="P4563">
        <f t="shared" si="231"/>
        <v>2024</v>
      </c>
      <c r="Q4563">
        <f t="shared" si="232"/>
        <v>10</v>
      </c>
      <c r="R4563" t="str">
        <f t="shared" si="233"/>
        <v>首页推荐-短视频</v>
      </c>
      <c r="S4563" t="s">
        <v>785</v>
      </c>
      <c r="T4563" t="s">
        <v>805</v>
      </c>
    </row>
    <row r="4564" spans="1:20" x14ac:dyDescent="0.3">
      <c r="A4564" t="s">
        <v>627</v>
      </c>
      <c r="B4564" s="16">
        <v>45586</v>
      </c>
      <c r="C4564" t="s">
        <v>3</v>
      </c>
      <c r="D4564" t="s">
        <v>128</v>
      </c>
      <c r="E4564" t="s">
        <v>177</v>
      </c>
      <c r="F4564">
        <v>1921</v>
      </c>
      <c r="G4564">
        <v>1558</v>
      </c>
      <c r="H4564">
        <v>452</v>
      </c>
      <c r="I4564">
        <v>9</v>
      </c>
      <c r="J4564">
        <v>638554</v>
      </c>
      <c r="K4564">
        <v>155</v>
      </c>
      <c r="L4564">
        <v>509834</v>
      </c>
      <c r="M4564">
        <v>136</v>
      </c>
      <c r="N4564">
        <v>418</v>
      </c>
      <c r="O4564">
        <v>1762</v>
      </c>
      <c r="P4564">
        <f t="shared" si="231"/>
        <v>2024</v>
      </c>
      <c r="Q4564">
        <f t="shared" si="232"/>
        <v>10</v>
      </c>
      <c r="R4564" t="str">
        <f t="shared" si="233"/>
        <v>手淘搜索-商品及其他</v>
      </c>
      <c r="S4564" t="s">
        <v>785</v>
      </c>
      <c r="T4564" t="s">
        <v>805</v>
      </c>
    </row>
    <row r="4565" spans="1:20" x14ac:dyDescent="0.3">
      <c r="A4565" t="s">
        <v>627</v>
      </c>
      <c r="B4565" s="16">
        <v>45586</v>
      </c>
      <c r="C4565" t="s">
        <v>3</v>
      </c>
      <c r="D4565" t="s">
        <v>128</v>
      </c>
      <c r="E4565" t="s">
        <v>178</v>
      </c>
      <c r="F4565">
        <v>27</v>
      </c>
      <c r="G4565">
        <v>16</v>
      </c>
      <c r="H4565">
        <v>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4</v>
      </c>
      <c r="O4565">
        <v>22</v>
      </c>
      <c r="P4565">
        <f t="shared" si="231"/>
        <v>2024</v>
      </c>
      <c r="Q4565">
        <f t="shared" si="232"/>
        <v>10</v>
      </c>
      <c r="R4565" t="str">
        <f t="shared" si="233"/>
        <v>手淘搜索-直播</v>
      </c>
      <c r="S4565" t="s">
        <v>785</v>
      </c>
      <c r="T4565" t="s">
        <v>805</v>
      </c>
    </row>
    <row r="4566" spans="1:20" x14ac:dyDescent="0.3">
      <c r="A4566" t="s">
        <v>627</v>
      </c>
      <c r="B4566" s="16">
        <v>45586</v>
      </c>
      <c r="C4566" t="s">
        <v>3</v>
      </c>
      <c r="D4566" t="s">
        <v>128</v>
      </c>
      <c r="E4566" t="s">
        <v>179</v>
      </c>
      <c r="F4566">
        <v>17</v>
      </c>
      <c r="G4566">
        <v>12</v>
      </c>
      <c r="H4566">
        <v>1</v>
      </c>
      <c r="I4566">
        <v>0</v>
      </c>
      <c r="J4566">
        <v>15559</v>
      </c>
      <c r="K4566">
        <v>2</v>
      </c>
      <c r="L4566">
        <v>10564</v>
      </c>
      <c r="M4566">
        <v>1</v>
      </c>
      <c r="N4566">
        <v>1</v>
      </c>
      <c r="O4566">
        <v>16</v>
      </c>
      <c r="P4566">
        <f t="shared" si="231"/>
        <v>2024</v>
      </c>
      <c r="Q4566">
        <f t="shared" si="232"/>
        <v>10</v>
      </c>
      <c r="R4566" t="str">
        <f t="shared" si="233"/>
        <v>手淘搜索-短视频</v>
      </c>
      <c r="S4566" t="s">
        <v>785</v>
      </c>
      <c r="T4566" t="s">
        <v>805</v>
      </c>
    </row>
    <row r="4567" spans="1:20" x14ac:dyDescent="0.3">
      <c r="A4567" t="s">
        <v>627</v>
      </c>
      <c r="B4567" s="16">
        <v>45586</v>
      </c>
      <c r="C4567" t="s">
        <v>3</v>
      </c>
      <c r="D4567" t="s">
        <v>143</v>
      </c>
      <c r="E4567" t="s">
        <v>180</v>
      </c>
      <c r="F4567">
        <v>30</v>
      </c>
      <c r="G4567">
        <v>29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1</v>
      </c>
      <c r="O4567">
        <v>30</v>
      </c>
      <c r="P4567">
        <f t="shared" si="231"/>
        <v>2024</v>
      </c>
      <c r="Q4567">
        <f t="shared" si="232"/>
        <v>10</v>
      </c>
      <c r="R4567" t="str">
        <f t="shared" si="233"/>
        <v>淘特其他渠道</v>
      </c>
      <c r="S4567" t="s">
        <v>785</v>
      </c>
      <c r="T4567" t="s">
        <v>805</v>
      </c>
    </row>
    <row r="4568" spans="1:20" x14ac:dyDescent="0.3">
      <c r="A4568" t="s">
        <v>627</v>
      </c>
      <c r="B4568" s="16">
        <v>45586</v>
      </c>
      <c r="C4568" t="s">
        <v>3</v>
      </c>
      <c r="D4568" t="s">
        <v>143</v>
      </c>
      <c r="E4568" t="s">
        <v>181</v>
      </c>
      <c r="F4568">
        <v>1</v>
      </c>
      <c r="G4568">
        <v>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1</v>
      </c>
      <c r="P4568">
        <f t="shared" si="231"/>
        <v>2024</v>
      </c>
      <c r="Q4568">
        <f t="shared" si="232"/>
        <v>10</v>
      </c>
      <c r="R4568" t="str">
        <f t="shared" si="233"/>
        <v>淘特搜索</v>
      </c>
      <c r="S4568" t="s">
        <v>785</v>
      </c>
      <c r="T4568" t="s">
        <v>805</v>
      </c>
    </row>
    <row r="4569" spans="1:20" x14ac:dyDescent="0.3">
      <c r="A4569" t="s">
        <v>627</v>
      </c>
      <c r="B4569" s="16">
        <v>45586</v>
      </c>
      <c r="C4569" t="s">
        <v>2</v>
      </c>
      <c r="D4569" t="s">
        <v>55</v>
      </c>
      <c r="E4569" t="s">
        <v>54</v>
      </c>
      <c r="F4569">
        <v>1569</v>
      </c>
      <c r="G4569">
        <v>1238</v>
      </c>
      <c r="H4569">
        <v>20</v>
      </c>
      <c r="I4569">
        <v>2</v>
      </c>
      <c r="J4569">
        <v>0</v>
      </c>
      <c r="K4569">
        <v>0</v>
      </c>
      <c r="L4569">
        <v>0</v>
      </c>
      <c r="M4569">
        <v>0</v>
      </c>
      <c r="N4569">
        <v>26</v>
      </c>
      <c r="O4569">
        <v>200</v>
      </c>
      <c r="P4569">
        <f t="shared" si="231"/>
        <v>2024</v>
      </c>
      <c r="Q4569">
        <f t="shared" si="232"/>
        <v>10</v>
      </c>
      <c r="R4569" t="str">
        <f t="shared" si="233"/>
        <v>超级直播</v>
      </c>
      <c r="S4569" t="s">
        <v>785</v>
      </c>
      <c r="T4569" t="s">
        <v>805</v>
      </c>
    </row>
    <row r="4570" spans="1:20" x14ac:dyDescent="0.3">
      <c r="A4570" t="s">
        <v>627</v>
      </c>
      <c r="B4570" s="16">
        <v>45586</v>
      </c>
      <c r="C4570" t="s">
        <v>2</v>
      </c>
      <c r="D4570" t="s">
        <v>55</v>
      </c>
      <c r="E4570" t="s">
        <v>56</v>
      </c>
      <c r="F4570">
        <v>105</v>
      </c>
      <c r="G4570">
        <v>80</v>
      </c>
      <c r="H4570">
        <v>3</v>
      </c>
      <c r="I4570">
        <v>2</v>
      </c>
      <c r="J4570">
        <v>0</v>
      </c>
      <c r="K4570">
        <v>0</v>
      </c>
      <c r="L4570">
        <v>0</v>
      </c>
      <c r="M4570">
        <v>0</v>
      </c>
      <c r="N4570">
        <v>3</v>
      </c>
      <c r="O4570">
        <v>86</v>
      </c>
      <c r="P4570">
        <f t="shared" si="231"/>
        <v>2024</v>
      </c>
      <c r="Q4570">
        <f t="shared" si="232"/>
        <v>10</v>
      </c>
      <c r="R4570" t="str">
        <f t="shared" si="233"/>
        <v>超级短视频</v>
      </c>
      <c r="S4570" t="s">
        <v>785</v>
      </c>
      <c r="T4570" t="s">
        <v>805</v>
      </c>
    </row>
    <row r="4571" spans="1:20" x14ac:dyDescent="0.3">
      <c r="A4571" t="s">
        <v>627</v>
      </c>
      <c r="B4571" s="16">
        <v>45586</v>
      </c>
      <c r="C4571" t="s">
        <v>2</v>
      </c>
      <c r="D4571" t="s">
        <v>52</v>
      </c>
      <c r="E4571" t="s">
        <v>59</v>
      </c>
      <c r="F4571">
        <v>1</v>
      </c>
      <c r="G4571">
        <v>1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1</v>
      </c>
      <c r="O4571">
        <v>0</v>
      </c>
      <c r="P4571">
        <f t="shared" si="231"/>
        <v>2024</v>
      </c>
      <c r="Q4571">
        <f t="shared" si="232"/>
        <v>10</v>
      </c>
      <c r="R4571" t="str">
        <f t="shared" si="233"/>
        <v>品牌特秀</v>
      </c>
      <c r="S4571" t="s">
        <v>785</v>
      </c>
      <c r="T4571" t="s">
        <v>805</v>
      </c>
    </row>
    <row r="4572" spans="1:20" x14ac:dyDescent="0.3">
      <c r="A4572" t="s">
        <v>627</v>
      </c>
      <c r="B4572" s="16">
        <v>45586</v>
      </c>
      <c r="C4572" t="s">
        <v>2</v>
      </c>
      <c r="D4572" t="s">
        <v>52</v>
      </c>
      <c r="E4572" t="s">
        <v>183</v>
      </c>
      <c r="F4572">
        <v>879</v>
      </c>
      <c r="G4572">
        <v>665</v>
      </c>
      <c r="H4572">
        <v>58</v>
      </c>
      <c r="I4572">
        <v>9</v>
      </c>
      <c r="J4572">
        <v>140874.64000000001</v>
      </c>
      <c r="K4572">
        <v>30</v>
      </c>
      <c r="L4572">
        <v>104144.64</v>
      </c>
      <c r="M4572">
        <v>26</v>
      </c>
      <c r="N4572">
        <v>879</v>
      </c>
      <c r="O4572">
        <v>525</v>
      </c>
      <c r="P4572">
        <f t="shared" si="231"/>
        <v>2024</v>
      </c>
      <c r="Q4572">
        <f t="shared" si="232"/>
        <v>10</v>
      </c>
      <c r="R4572" t="str">
        <f t="shared" si="233"/>
        <v>品销宝-品牌专区</v>
      </c>
      <c r="S4572" t="s">
        <v>785</v>
      </c>
      <c r="T4572" t="s">
        <v>805</v>
      </c>
    </row>
    <row r="4573" spans="1:20" x14ac:dyDescent="0.3">
      <c r="A4573" t="s">
        <v>627</v>
      </c>
      <c r="B4573" s="16">
        <v>45586</v>
      </c>
      <c r="C4573" t="s">
        <v>2</v>
      </c>
      <c r="D4573" t="s">
        <v>52</v>
      </c>
      <c r="E4573" t="s">
        <v>58</v>
      </c>
      <c r="F4573">
        <v>1</v>
      </c>
      <c r="G4573">
        <v>1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1</v>
      </c>
      <c r="P4573">
        <f t="shared" si="231"/>
        <v>2024</v>
      </c>
      <c r="Q4573">
        <f t="shared" si="232"/>
        <v>10</v>
      </c>
      <c r="R4573" t="str">
        <f t="shared" si="233"/>
        <v>超级全域通</v>
      </c>
      <c r="S4573" t="s">
        <v>785</v>
      </c>
      <c r="T4573" t="s">
        <v>805</v>
      </c>
    </row>
    <row r="4574" spans="1:20" x14ac:dyDescent="0.3">
      <c r="A4574" t="s">
        <v>627</v>
      </c>
      <c r="B4574" s="16">
        <v>45586</v>
      </c>
      <c r="C4574" t="s">
        <v>2</v>
      </c>
      <c r="D4574" t="s">
        <v>57</v>
      </c>
      <c r="E4574" t="s">
        <v>65</v>
      </c>
      <c r="F4574">
        <v>7518</v>
      </c>
      <c r="G4574">
        <v>6722</v>
      </c>
      <c r="H4574">
        <v>783</v>
      </c>
      <c r="I4574">
        <v>42</v>
      </c>
      <c r="J4574">
        <v>1163534.32</v>
      </c>
      <c r="K4574">
        <v>238</v>
      </c>
      <c r="L4574">
        <v>988810.32</v>
      </c>
      <c r="M4574">
        <v>216</v>
      </c>
      <c r="N4574">
        <v>516</v>
      </c>
      <c r="O4574">
        <v>7471</v>
      </c>
      <c r="P4574">
        <f t="shared" si="231"/>
        <v>2024</v>
      </c>
      <c r="Q4574">
        <f t="shared" si="232"/>
        <v>10</v>
      </c>
      <c r="R4574" t="str">
        <f t="shared" si="233"/>
        <v>直通车</v>
      </c>
      <c r="S4574" t="s">
        <v>785</v>
      </c>
      <c r="T4574" t="s">
        <v>805</v>
      </c>
    </row>
    <row r="4575" spans="1:20" x14ac:dyDescent="0.3">
      <c r="A4575" t="s">
        <v>627</v>
      </c>
      <c r="B4575" s="16">
        <v>45586</v>
      </c>
      <c r="C4575" t="s">
        <v>2</v>
      </c>
      <c r="D4575" t="s">
        <v>57</v>
      </c>
      <c r="E4575" t="s">
        <v>63</v>
      </c>
      <c r="F4575">
        <v>4476</v>
      </c>
      <c r="G4575">
        <v>2120</v>
      </c>
      <c r="H4575">
        <v>272</v>
      </c>
      <c r="I4575">
        <v>66</v>
      </c>
      <c r="J4575">
        <v>798145.38</v>
      </c>
      <c r="K4575">
        <v>130</v>
      </c>
      <c r="L4575">
        <v>678035.38</v>
      </c>
      <c r="M4575">
        <v>115</v>
      </c>
      <c r="N4575">
        <v>325</v>
      </c>
      <c r="O4575">
        <v>4470</v>
      </c>
      <c r="P4575">
        <f t="shared" si="231"/>
        <v>2024</v>
      </c>
      <c r="Q4575">
        <f t="shared" si="232"/>
        <v>10</v>
      </c>
      <c r="R4575" t="str">
        <f t="shared" si="233"/>
        <v>万相台</v>
      </c>
      <c r="S4575" t="s">
        <v>785</v>
      </c>
      <c r="T4575" t="s">
        <v>805</v>
      </c>
    </row>
    <row r="4576" spans="1:20" x14ac:dyDescent="0.3">
      <c r="A4576" t="s">
        <v>627</v>
      </c>
      <c r="B4576" s="16">
        <v>45586</v>
      </c>
      <c r="C4576" t="s">
        <v>2</v>
      </c>
      <c r="D4576" t="s">
        <v>57</v>
      </c>
      <c r="E4576" t="s">
        <v>64</v>
      </c>
      <c r="F4576">
        <v>5274</v>
      </c>
      <c r="G4576">
        <v>2389</v>
      </c>
      <c r="H4576">
        <v>120</v>
      </c>
      <c r="I4576">
        <v>63</v>
      </c>
      <c r="J4576">
        <v>195093.06</v>
      </c>
      <c r="K4576">
        <v>33</v>
      </c>
      <c r="L4576">
        <v>139686.06</v>
      </c>
      <c r="M4576">
        <v>28</v>
      </c>
      <c r="N4576">
        <v>373</v>
      </c>
      <c r="O4576">
        <v>5268</v>
      </c>
      <c r="P4576">
        <f t="shared" si="231"/>
        <v>2024</v>
      </c>
      <c r="Q4576">
        <f t="shared" si="232"/>
        <v>10</v>
      </c>
      <c r="R4576" t="str">
        <f t="shared" si="233"/>
        <v>引力魔方</v>
      </c>
      <c r="S4576" t="s">
        <v>785</v>
      </c>
      <c r="T4576" t="s">
        <v>805</v>
      </c>
    </row>
    <row r="4577" spans="1:20" x14ac:dyDescent="0.3">
      <c r="A4577" t="s">
        <v>627</v>
      </c>
      <c r="B4577" s="16">
        <v>45586</v>
      </c>
      <c r="C4577" t="s">
        <v>2</v>
      </c>
      <c r="D4577" t="s">
        <v>4</v>
      </c>
      <c r="E4577" t="s">
        <v>41</v>
      </c>
      <c r="F4577">
        <v>4</v>
      </c>
      <c r="G4577">
        <v>1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1</v>
      </c>
      <c r="O4577">
        <v>3</v>
      </c>
      <c r="P4577">
        <f t="shared" si="231"/>
        <v>2024</v>
      </c>
      <c r="Q4577">
        <f t="shared" si="232"/>
        <v>10</v>
      </c>
      <c r="R4577" t="str">
        <f t="shared" si="233"/>
        <v>流量宝</v>
      </c>
      <c r="S4577" t="s">
        <v>785</v>
      </c>
      <c r="T4577" t="s">
        <v>805</v>
      </c>
    </row>
    <row r="4578" spans="1:20" x14ac:dyDescent="0.3">
      <c r="A4578" t="s">
        <v>627</v>
      </c>
      <c r="B4578" s="16">
        <v>45586</v>
      </c>
      <c r="C4578" t="s">
        <v>2</v>
      </c>
      <c r="D4578" t="s">
        <v>4</v>
      </c>
      <c r="E4578" t="s">
        <v>43</v>
      </c>
      <c r="F4578">
        <v>576</v>
      </c>
      <c r="G4578">
        <v>165</v>
      </c>
      <c r="H4578">
        <v>8</v>
      </c>
      <c r="I4578">
        <v>0</v>
      </c>
      <c r="J4578">
        <v>44200.18</v>
      </c>
      <c r="K4578">
        <v>9</v>
      </c>
      <c r="L4578">
        <v>36670.18</v>
      </c>
      <c r="M4578">
        <v>8</v>
      </c>
      <c r="N4578">
        <v>24</v>
      </c>
      <c r="O4578">
        <v>563</v>
      </c>
      <c r="P4578">
        <f t="shared" si="231"/>
        <v>2024</v>
      </c>
      <c r="Q4578">
        <f t="shared" si="232"/>
        <v>10</v>
      </c>
      <c r="R4578" t="str">
        <f t="shared" si="233"/>
        <v>淘宝客</v>
      </c>
      <c r="S4578" t="s">
        <v>785</v>
      </c>
      <c r="T4578" t="s">
        <v>805</v>
      </c>
    </row>
    <row r="4579" spans="1:20" x14ac:dyDescent="0.3">
      <c r="A4579" t="s">
        <v>627</v>
      </c>
      <c r="B4579" s="16">
        <v>45585</v>
      </c>
      <c r="C4579" t="s">
        <v>3</v>
      </c>
      <c r="D4579" t="s">
        <v>114</v>
      </c>
      <c r="E4579" t="s">
        <v>159</v>
      </c>
      <c r="F4579">
        <v>211</v>
      </c>
      <c r="G4579">
        <v>88</v>
      </c>
      <c r="H4579">
        <v>9</v>
      </c>
      <c r="I4579">
        <v>3</v>
      </c>
      <c r="J4579">
        <v>11848</v>
      </c>
      <c r="K4579">
        <v>2</v>
      </c>
      <c r="L4579">
        <v>11848</v>
      </c>
      <c r="M4579">
        <v>2</v>
      </c>
      <c r="N4579">
        <v>27</v>
      </c>
      <c r="O4579">
        <v>201</v>
      </c>
      <c r="P4579">
        <f t="shared" si="231"/>
        <v>2024</v>
      </c>
      <c r="Q4579">
        <f t="shared" si="232"/>
        <v>10</v>
      </c>
      <c r="R4579" t="str">
        <f t="shared" si="233"/>
        <v>主会场</v>
      </c>
      <c r="S4579" t="s">
        <v>785</v>
      </c>
      <c r="T4579" t="s">
        <v>805</v>
      </c>
    </row>
    <row r="4580" spans="1:20" x14ac:dyDescent="0.3">
      <c r="A4580" t="s">
        <v>627</v>
      </c>
      <c r="B4580" s="16">
        <v>45585</v>
      </c>
      <c r="C4580" t="s">
        <v>3</v>
      </c>
      <c r="D4580" t="s">
        <v>120</v>
      </c>
      <c r="E4580" t="s">
        <v>162</v>
      </c>
      <c r="F4580">
        <v>3</v>
      </c>
      <c r="G4580">
        <v>3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1</v>
      </c>
      <c r="O4580">
        <v>2</v>
      </c>
      <c r="P4580">
        <f t="shared" si="231"/>
        <v>2024</v>
      </c>
      <c r="Q4580">
        <f t="shared" si="232"/>
        <v>10</v>
      </c>
      <c r="R4580" t="str">
        <f t="shared" si="233"/>
        <v>手机浏览器访问天猫</v>
      </c>
      <c r="S4580" t="s">
        <v>785</v>
      </c>
      <c r="T4580" t="s">
        <v>805</v>
      </c>
    </row>
    <row r="4581" spans="1:20" x14ac:dyDescent="0.3">
      <c r="A4581" t="s">
        <v>627</v>
      </c>
      <c r="B4581" s="16">
        <v>45585</v>
      </c>
      <c r="C4581" t="s">
        <v>3</v>
      </c>
      <c r="D4581" t="s">
        <v>120</v>
      </c>
      <c r="E4581" t="s">
        <v>163</v>
      </c>
      <c r="F4581">
        <v>39</v>
      </c>
      <c r="G4581">
        <v>20</v>
      </c>
      <c r="H4581">
        <v>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12</v>
      </c>
      <c r="O4581">
        <v>33</v>
      </c>
      <c r="P4581">
        <f t="shared" si="231"/>
        <v>2024</v>
      </c>
      <c r="Q4581">
        <f t="shared" si="232"/>
        <v>10</v>
      </c>
      <c r="R4581" t="str">
        <f t="shared" si="233"/>
        <v>手猫免费其他</v>
      </c>
      <c r="S4581" t="s">
        <v>785</v>
      </c>
      <c r="T4581" t="s">
        <v>805</v>
      </c>
    </row>
    <row r="4582" spans="1:20" x14ac:dyDescent="0.3">
      <c r="A4582" t="s">
        <v>627</v>
      </c>
      <c r="B4582" s="16">
        <v>45585</v>
      </c>
      <c r="C4582" t="s">
        <v>3</v>
      </c>
      <c r="D4582" t="s">
        <v>120</v>
      </c>
      <c r="E4582" t="s">
        <v>164</v>
      </c>
      <c r="F4582">
        <v>35</v>
      </c>
      <c r="G4582">
        <v>14</v>
      </c>
      <c r="H4582">
        <v>4</v>
      </c>
      <c r="I4582">
        <v>0</v>
      </c>
      <c r="J4582">
        <v>1700</v>
      </c>
      <c r="K4582">
        <v>1</v>
      </c>
      <c r="L4582">
        <v>1700</v>
      </c>
      <c r="M4582">
        <v>1</v>
      </c>
      <c r="N4582">
        <v>0</v>
      </c>
      <c r="O4582">
        <v>35</v>
      </c>
      <c r="P4582">
        <f t="shared" si="231"/>
        <v>2024</v>
      </c>
      <c r="Q4582">
        <f t="shared" si="232"/>
        <v>10</v>
      </c>
      <c r="R4582" t="str">
        <f t="shared" si="233"/>
        <v>手猫其他店铺</v>
      </c>
      <c r="S4582" t="s">
        <v>785</v>
      </c>
      <c r="T4582" t="s">
        <v>805</v>
      </c>
    </row>
    <row r="4583" spans="1:20" x14ac:dyDescent="0.3">
      <c r="A4583" t="s">
        <v>627</v>
      </c>
      <c r="B4583" s="16">
        <v>45585</v>
      </c>
      <c r="C4583" t="s">
        <v>3</v>
      </c>
      <c r="D4583" t="s">
        <v>120</v>
      </c>
      <c r="E4583" t="s">
        <v>165</v>
      </c>
      <c r="F4583">
        <v>51</v>
      </c>
      <c r="G4583">
        <v>24</v>
      </c>
      <c r="H4583">
        <v>5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3</v>
      </c>
      <c r="O4583">
        <v>51</v>
      </c>
      <c r="P4583">
        <f t="shared" si="231"/>
        <v>2024</v>
      </c>
      <c r="Q4583">
        <f t="shared" si="232"/>
        <v>10</v>
      </c>
      <c r="R4583" t="str">
        <f t="shared" si="233"/>
        <v>手猫商品详情</v>
      </c>
      <c r="S4583" t="s">
        <v>785</v>
      </c>
      <c r="T4583" t="s">
        <v>805</v>
      </c>
    </row>
    <row r="4584" spans="1:20" x14ac:dyDescent="0.3">
      <c r="A4584" t="s">
        <v>627</v>
      </c>
      <c r="B4584" s="16">
        <v>45585</v>
      </c>
      <c r="C4584" t="s">
        <v>3</v>
      </c>
      <c r="D4584" t="s">
        <v>120</v>
      </c>
      <c r="E4584" t="s">
        <v>166</v>
      </c>
      <c r="F4584">
        <v>71</v>
      </c>
      <c r="G4584">
        <v>39</v>
      </c>
      <c r="H4584">
        <v>4</v>
      </c>
      <c r="I4584">
        <v>0</v>
      </c>
      <c r="J4584">
        <v>2817</v>
      </c>
      <c r="K4584">
        <v>1</v>
      </c>
      <c r="L4584">
        <v>2817</v>
      </c>
      <c r="M4584">
        <v>1</v>
      </c>
      <c r="N4584">
        <v>28</v>
      </c>
      <c r="O4584">
        <v>68</v>
      </c>
      <c r="P4584">
        <f t="shared" si="231"/>
        <v>2024</v>
      </c>
      <c r="Q4584">
        <f t="shared" si="232"/>
        <v>10</v>
      </c>
      <c r="R4584" t="str">
        <f t="shared" si="233"/>
        <v>手猫搜索</v>
      </c>
      <c r="S4584" t="s">
        <v>785</v>
      </c>
      <c r="T4584" t="s">
        <v>805</v>
      </c>
    </row>
    <row r="4585" spans="1:20" x14ac:dyDescent="0.3">
      <c r="A4585" t="s">
        <v>627</v>
      </c>
      <c r="B4585" s="16">
        <v>45585</v>
      </c>
      <c r="C4585" t="s">
        <v>3</v>
      </c>
      <c r="D4585" t="s">
        <v>120</v>
      </c>
      <c r="E4585" t="s">
        <v>167</v>
      </c>
      <c r="F4585">
        <v>5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2</v>
      </c>
      <c r="O4585">
        <v>4</v>
      </c>
      <c r="P4585">
        <f t="shared" ref="P4585:P4648" si="234">YEAR(B4585)</f>
        <v>2024</v>
      </c>
      <c r="Q4585">
        <f t="shared" ref="Q4585:Q4648" si="235">MONTH(B4585)</f>
        <v>10</v>
      </c>
      <c r="R4585" t="str">
        <f t="shared" ref="R4585:R4647" si="236">E4585</f>
        <v>手猫旺信聊天</v>
      </c>
      <c r="S4585" t="s">
        <v>785</v>
      </c>
      <c r="T4585" t="s">
        <v>805</v>
      </c>
    </row>
    <row r="4586" spans="1:20" x14ac:dyDescent="0.3">
      <c r="A4586" t="s">
        <v>627</v>
      </c>
      <c r="B4586" s="16">
        <v>45585</v>
      </c>
      <c r="C4586" t="s">
        <v>3</v>
      </c>
      <c r="D4586" t="s">
        <v>120</v>
      </c>
      <c r="E4586" t="s">
        <v>192</v>
      </c>
      <c r="F4586">
        <v>1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1</v>
      </c>
      <c r="P4586">
        <f t="shared" si="234"/>
        <v>2024</v>
      </c>
      <c r="Q4586">
        <f t="shared" si="235"/>
        <v>10</v>
      </c>
      <c r="R4586" t="str">
        <f t="shared" si="236"/>
        <v>手猫消息中心</v>
      </c>
      <c r="S4586" t="s">
        <v>785</v>
      </c>
      <c r="T4586" t="s">
        <v>805</v>
      </c>
    </row>
    <row r="4587" spans="1:20" x14ac:dyDescent="0.3">
      <c r="A4587" t="s">
        <v>627</v>
      </c>
      <c r="B4587" s="16">
        <v>45585</v>
      </c>
      <c r="C4587" t="s">
        <v>3</v>
      </c>
      <c r="D4587" t="s">
        <v>120</v>
      </c>
      <c r="E4587" t="s">
        <v>168</v>
      </c>
      <c r="F4587">
        <v>347</v>
      </c>
      <c r="G4587">
        <v>184</v>
      </c>
      <c r="H4587">
        <v>3</v>
      </c>
      <c r="I4587">
        <v>0</v>
      </c>
      <c r="J4587">
        <v>8600</v>
      </c>
      <c r="K4587">
        <v>1</v>
      </c>
      <c r="L4587">
        <v>8600</v>
      </c>
      <c r="M4587">
        <v>1</v>
      </c>
      <c r="N4587">
        <v>13</v>
      </c>
      <c r="O4587">
        <v>347</v>
      </c>
      <c r="P4587">
        <f t="shared" si="234"/>
        <v>2024</v>
      </c>
      <c r="Q4587">
        <f t="shared" si="235"/>
        <v>10</v>
      </c>
      <c r="R4587" t="str">
        <f t="shared" si="236"/>
        <v>手猫首页</v>
      </c>
      <c r="S4587" t="s">
        <v>785</v>
      </c>
      <c r="T4587" t="s">
        <v>805</v>
      </c>
    </row>
    <row r="4588" spans="1:20" x14ac:dyDescent="0.3">
      <c r="A4588" t="s">
        <v>627</v>
      </c>
      <c r="B4588" s="16">
        <v>45585</v>
      </c>
      <c r="C4588" t="s">
        <v>3</v>
      </c>
      <c r="D4588" t="s">
        <v>123</v>
      </c>
      <c r="E4588" t="s">
        <v>169</v>
      </c>
      <c r="F4588">
        <v>445</v>
      </c>
      <c r="G4588">
        <v>202</v>
      </c>
      <c r="H4588">
        <v>35</v>
      </c>
      <c r="I4588">
        <v>14</v>
      </c>
      <c r="J4588">
        <v>15120</v>
      </c>
      <c r="K4588">
        <v>3</v>
      </c>
      <c r="L4588">
        <v>15120</v>
      </c>
      <c r="M4588">
        <v>3</v>
      </c>
      <c r="N4588">
        <v>50</v>
      </c>
      <c r="O4588">
        <v>440</v>
      </c>
      <c r="P4588">
        <f t="shared" si="234"/>
        <v>2024</v>
      </c>
      <c r="Q4588">
        <f t="shared" si="235"/>
        <v>10</v>
      </c>
      <c r="R4588" t="str">
        <f t="shared" si="236"/>
        <v>商品详情页头图推荐</v>
      </c>
      <c r="S4588" t="s">
        <v>785</v>
      </c>
      <c r="T4588" t="s">
        <v>805</v>
      </c>
    </row>
    <row r="4589" spans="1:20" x14ac:dyDescent="0.3">
      <c r="A4589" t="s">
        <v>627</v>
      </c>
      <c r="B4589" s="16">
        <v>45585</v>
      </c>
      <c r="C4589" t="s">
        <v>3</v>
      </c>
      <c r="D4589" t="s">
        <v>123</v>
      </c>
      <c r="E4589" t="s">
        <v>170</v>
      </c>
      <c r="F4589">
        <v>62</v>
      </c>
      <c r="G4589">
        <v>30</v>
      </c>
      <c r="H4589">
        <v>7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54</v>
      </c>
      <c r="O4589">
        <v>32</v>
      </c>
      <c r="P4589">
        <f t="shared" si="234"/>
        <v>2024</v>
      </c>
      <c r="Q4589">
        <f t="shared" si="235"/>
        <v>10</v>
      </c>
      <c r="R4589" t="str">
        <f t="shared" si="236"/>
        <v>店铺超链</v>
      </c>
      <c r="S4589" t="s">
        <v>785</v>
      </c>
      <c r="T4589" t="s">
        <v>805</v>
      </c>
    </row>
    <row r="4590" spans="1:20" x14ac:dyDescent="0.3">
      <c r="A4590" t="s">
        <v>627</v>
      </c>
      <c r="B4590" s="16">
        <v>45585</v>
      </c>
      <c r="C4590" t="s">
        <v>2</v>
      </c>
      <c r="D4590" t="s">
        <v>52</v>
      </c>
      <c r="E4590" t="s">
        <v>59</v>
      </c>
      <c r="F4590">
        <v>1306</v>
      </c>
      <c r="G4590">
        <v>993</v>
      </c>
      <c r="H4590">
        <v>7</v>
      </c>
      <c r="I4590">
        <v>4</v>
      </c>
      <c r="J4590">
        <v>28500</v>
      </c>
      <c r="K4590">
        <v>1</v>
      </c>
      <c r="L4590">
        <v>0</v>
      </c>
      <c r="M4590">
        <v>0</v>
      </c>
      <c r="N4590">
        <v>1118</v>
      </c>
      <c r="O4590">
        <v>196</v>
      </c>
      <c r="P4590">
        <f t="shared" si="234"/>
        <v>2024</v>
      </c>
      <c r="Q4590">
        <f t="shared" si="235"/>
        <v>10</v>
      </c>
      <c r="R4590" t="s">
        <v>171</v>
      </c>
      <c r="S4590" t="s">
        <v>785</v>
      </c>
      <c r="T4590" t="s">
        <v>805</v>
      </c>
    </row>
    <row r="4591" spans="1:20" x14ac:dyDescent="0.3">
      <c r="A4591" t="s">
        <v>627</v>
      </c>
      <c r="B4591" s="16">
        <v>45585</v>
      </c>
      <c r="C4591" t="s">
        <v>3</v>
      </c>
      <c r="D4591" t="s">
        <v>127</v>
      </c>
      <c r="E4591" t="s">
        <v>172</v>
      </c>
      <c r="F4591">
        <v>31</v>
      </c>
      <c r="G4591">
        <v>12</v>
      </c>
      <c r="H4591">
        <v>1</v>
      </c>
      <c r="I4591">
        <v>1</v>
      </c>
      <c r="J4591">
        <v>0</v>
      </c>
      <c r="K4591">
        <v>0</v>
      </c>
      <c r="L4591">
        <v>0</v>
      </c>
      <c r="M4591">
        <v>0</v>
      </c>
      <c r="N4591">
        <v>8</v>
      </c>
      <c r="O4591">
        <v>21</v>
      </c>
      <c r="P4591">
        <f t="shared" si="234"/>
        <v>2024</v>
      </c>
      <c r="Q4591">
        <f t="shared" si="235"/>
        <v>10</v>
      </c>
      <c r="R4591" t="str">
        <f t="shared" si="236"/>
        <v>购中推荐</v>
      </c>
      <c r="S4591" t="s">
        <v>785</v>
      </c>
      <c r="T4591" t="s">
        <v>805</v>
      </c>
    </row>
    <row r="4592" spans="1:20" x14ac:dyDescent="0.3">
      <c r="A4592" t="s">
        <v>627</v>
      </c>
      <c r="B4592" s="16">
        <v>45585</v>
      </c>
      <c r="C4592" t="s">
        <v>3</v>
      </c>
      <c r="D4592" t="s">
        <v>127</v>
      </c>
      <c r="E4592" t="s">
        <v>173</v>
      </c>
      <c r="F4592">
        <v>98</v>
      </c>
      <c r="G4592">
        <v>74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66</v>
      </c>
      <c r="O4592">
        <v>24</v>
      </c>
      <c r="P4592">
        <f t="shared" si="234"/>
        <v>2024</v>
      </c>
      <c r="Q4592">
        <f t="shared" si="235"/>
        <v>10</v>
      </c>
      <c r="R4592" t="str">
        <f t="shared" si="236"/>
        <v>购后推荐</v>
      </c>
      <c r="S4592" t="s">
        <v>785</v>
      </c>
      <c r="T4592" t="s">
        <v>805</v>
      </c>
    </row>
    <row r="4593" spans="1:20" x14ac:dyDescent="0.3">
      <c r="A4593" t="s">
        <v>627</v>
      </c>
      <c r="B4593" s="16">
        <v>45585</v>
      </c>
      <c r="C4593" t="s">
        <v>3</v>
      </c>
      <c r="D4593" t="s">
        <v>127</v>
      </c>
      <c r="E4593" t="s">
        <v>174</v>
      </c>
      <c r="F4593">
        <v>5637</v>
      </c>
      <c r="G4593">
        <v>3575</v>
      </c>
      <c r="H4593">
        <v>156</v>
      </c>
      <c r="I4593">
        <v>49</v>
      </c>
      <c r="J4593">
        <v>51335</v>
      </c>
      <c r="K4593">
        <v>10</v>
      </c>
      <c r="L4593">
        <v>15380</v>
      </c>
      <c r="M4593">
        <v>5</v>
      </c>
      <c r="N4593">
        <v>449</v>
      </c>
      <c r="O4593">
        <v>5637</v>
      </c>
      <c r="P4593">
        <f t="shared" si="234"/>
        <v>2024</v>
      </c>
      <c r="Q4593">
        <f t="shared" si="235"/>
        <v>10</v>
      </c>
      <c r="R4593" t="str">
        <f t="shared" si="236"/>
        <v>首页推荐-微详情</v>
      </c>
      <c r="S4593" t="s">
        <v>785</v>
      </c>
      <c r="T4593" t="s">
        <v>805</v>
      </c>
    </row>
    <row r="4594" spans="1:20" x14ac:dyDescent="0.3">
      <c r="A4594" t="s">
        <v>627</v>
      </c>
      <c r="B4594" s="16">
        <v>45585</v>
      </c>
      <c r="C4594" t="s">
        <v>3</v>
      </c>
      <c r="D4594" t="s">
        <v>127</v>
      </c>
      <c r="E4594" t="s">
        <v>175</v>
      </c>
      <c r="F4594">
        <v>196</v>
      </c>
      <c r="G4594">
        <v>112</v>
      </c>
      <c r="H4594">
        <v>1</v>
      </c>
      <c r="I4594">
        <v>0</v>
      </c>
      <c r="J4594">
        <v>1990</v>
      </c>
      <c r="K4594">
        <v>1</v>
      </c>
      <c r="L4594">
        <v>1990</v>
      </c>
      <c r="M4594">
        <v>1</v>
      </c>
      <c r="N4594">
        <v>1</v>
      </c>
      <c r="O4594">
        <v>26</v>
      </c>
      <c r="P4594">
        <f t="shared" si="234"/>
        <v>2024</v>
      </c>
      <c r="Q4594">
        <f t="shared" si="235"/>
        <v>10</v>
      </c>
      <c r="R4594" t="str">
        <f t="shared" si="236"/>
        <v>首页推荐-直播</v>
      </c>
      <c r="S4594" t="s">
        <v>785</v>
      </c>
      <c r="T4594" t="s">
        <v>805</v>
      </c>
    </row>
    <row r="4595" spans="1:20" x14ac:dyDescent="0.3">
      <c r="A4595" t="s">
        <v>627</v>
      </c>
      <c r="B4595" s="16">
        <v>45585</v>
      </c>
      <c r="C4595" t="s">
        <v>3</v>
      </c>
      <c r="D4595" t="s">
        <v>127</v>
      </c>
      <c r="E4595" t="s">
        <v>176</v>
      </c>
      <c r="F4595">
        <v>971</v>
      </c>
      <c r="G4595">
        <v>551</v>
      </c>
      <c r="H4595">
        <v>7</v>
      </c>
      <c r="I4595">
        <v>6</v>
      </c>
      <c r="J4595">
        <v>0</v>
      </c>
      <c r="K4595">
        <v>0</v>
      </c>
      <c r="L4595">
        <v>0</v>
      </c>
      <c r="M4595">
        <v>0</v>
      </c>
      <c r="N4595">
        <v>35</v>
      </c>
      <c r="O4595">
        <v>228</v>
      </c>
      <c r="P4595">
        <f t="shared" si="234"/>
        <v>2024</v>
      </c>
      <c r="Q4595">
        <f t="shared" si="235"/>
        <v>10</v>
      </c>
      <c r="R4595" t="str">
        <f t="shared" si="236"/>
        <v>首页推荐-短视频</v>
      </c>
      <c r="S4595" t="s">
        <v>785</v>
      </c>
      <c r="T4595" t="s">
        <v>805</v>
      </c>
    </row>
    <row r="4596" spans="1:20" x14ac:dyDescent="0.3">
      <c r="A4596" t="s">
        <v>627</v>
      </c>
      <c r="B4596" s="16">
        <v>45585</v>
      </c>
      <c r="C4596" t="s">
        <v>3</v>
      </c>
      <c r="D4596" t="s">
        <v>128</v>
      </c>
      <c r="E4596" t="s">
        <v>177</v>
      </c>
      <c r="F4596">
        <v>1206</v>
      </c>
      <c r="G4596">
        <v>910</v>
      </c>
      <c r="H4596">
        <v>81</v>
      </c>
      <c r="I4596">
        <v>14</v>
      </c>
      <c r="J4596">
        <v>38360</v>
      </c>
      <c r="K4596">
        <v>10</v>
      </c>
      <c r="L4596">
        <v>27563</v>
      </c>
      <c r="M4596">
        <v>6</v>
      </c>
      <c r="N4596">
        <v>299</v>
      </c>
      <c r="O4596">
        <v>1095</v>
      </c>
      <c r="P4596">
        <f t="shared" si="234"/>
        <v>2024</v>
      </c>
      <c r="Q4596">
        <f t="shared" si="235"/>
        <v>10</v>
      </c>
      <c r="R4596" t="str">
        <f t="shared" si="236"/>
        <v>手淘搜索-商品及其他</v>
      </c>
      <c r="S4596" t="s">
        <v>785</v>
      </c>
      <c r="T4596" t="s">
        <v>805</v>
      </c>
    </row>
    <row r="4597" spans="1:20" x14ac:dyDescent="0.3">
      <c r="A4597" t="s">
        <v>627</v>
      </c>
      <c r="B4597" s="16">
        <v>45585</v>
      </c>
      <c r="C4597" t="s">
        <v>3</v>
      </c>
      <c r="D4597" t="s">
        <v>128</v>
      </c>
      <c r="E4597" t="s">
        <v>178</v>
      </c>
      <c r="F4597">
        <v>19</v>
      </c>
      <c r="G4597">
        <v>8</v>
      </c>
      <c r="H4597">
        <v>1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3</v>
      </c>
      <c r="O4597">
        <v>13</v>
      </c>
      <c r="P4597">
        <f t="shared" si="234"/>
        <v>2024</v>
      </c>
      <c r="Q4597">
        <f t="shared" si="235"/>
        <v>10</v>
      </c>
      <c r="R4597" t="str">
        <f t="shared" si="236"/>
        <v>手淘搜索-直播</v>
      </c>
      <c r="S4597" t="s">
        <v>785</v>
      </c>
      <c r="T4597" t="s">
        <v>805</v>
      </c>
    </row>
    <row r="4598" spans="1:20" x14ac:dyDescent="0.3">
      <c r="A4598" t="s">
        <v>627</v>
      </c>
      <c r="B4598" s="16">
        <v>45585</v>
      </c>
      <c r="C4598" t="s">
        <v>3</v>
      </c>
      <c r="D4598" t="s">
        <v>128</v>
      </c>
      <c r="E4598" t="s">
        <v>179</v>
      </c>
      <c r="F4598">
        <v>13</v>
      </c>
      <c r="G4598">
        <v>8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13</v>
      </c>
      <c r="P4598">
        <f t="shared" si="234"/>
        <v>2024</v>
      </c>
      <c r="Q4598">
        <f t="shared" si="235"/>
        <v>10</v>
      </c>
      <c r="R4598" t="str">
        <f t="shared" si="236"/>
        <v>手淘搜索-短视频</v>
      </c>
      <c r="S4598" t="s">
        <v>785</v>
      </c>
      <c r="T4598" t="s">
        <v>805</v>
      </c>
    </row>
    <row r="4599" spans="1:20" x14ac:dyDescent="0.3">
      <c r="A4599" t="s">
        <v>627</v>
      </c>
      <c r="B4599" s="16">
        <v>45585</v>
      </c>
      <c r="C4599" t="s">
        <v>3</v>
      </c>
      <c r="D4599" t="s">
        <v>143</v>
      </c>
      <c r="E4599" t="s">
        <v>180</v>
      </c>
      <c r="F4599">
        <v>16</v>
      </c>
      <c r="G4599">
        <v>16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1</v>
      </c>
      <c r="O4599">
        <v>16</v>
      </c>
      <c r="P4599">
        <f t="shared" si="234"/>
        <v>2024</v>
      </c>
      <c r="Q4599">
        <f t="shared" si="235"/>
        <v>10</v>
      </c>
      <c r="R4599" t="str">
        <f t="shared" si="236"/>
        <v>淘特其他渠道</v>
      </c>
      <c r="S4599" t="s">
        <v>785</v>
      </c>
      <c r="T4599" t="s">
        <v>805</v>
      </c>
    </row>
    <row r="4600" spans="1:20" x14ac:dyDescent="0.3">
      <c r="A4600" t="s">
        <v>627</v>
      </c>
      <c r="B4600" s="16">
        <v>45585</v>
      </c>
      <c r="C4600" t="s">
        <v>2</v>
      </c>
      <c r="D4600" t="s">
        <v>55</v>
      </c>
      <c r="E4600" t="s">
        <v>54</v>
      </c>
      <c r="F4600">
        <v>1125</v>
      </c>
      <c r="G4600">
        <v>886</v>
      </c>
      <c r="H4600">
        <v>12</v>
      </c>
      <c r="I4600">
        <v>3</v>
      </c>
      <c r="J4600">
        <v>0</v>
      </c>
      <c r="K4600">
        <v>0</v>
      </c>
      <c r="L4600">
        <v>0</v>
      </c>
      <c r="M4600">
        <v>0</v>
      </c>
      <c r="N4600">
        <v>19</v>
      </c>
      <c r="O4600">
        <v>178</v>
      </c>
      <c r="P4600">
        <f t="shared" si="234"/>
        <v>2024</v>
      </c>
      <c r="Q4600">
        <f t="shared" si="235"/>
        <v>10</v>
      </c>
      <c r="R4600" t="str">
        <f t="shared" si="236"/>
        <v>超级直播</v>
      </c>
      <c r="S4600" t="s">
        <v>785</v>
      </c>
      <c r="T4600" t="s">
        <v>805</v>
      </c>
    </row>
    <row r="4601" spans="1:20" x14ac:dyDescent="0.3">
      <c r="A4601" t="s">
        <v>627</v>
      </c>
      <c r="B4601" s="16">
        <v>45585</v>
      </c>
      <c r="C4601" t="s">
        <v>2</v>
      </c>
      <c r="D4601" t="s">
        <v>55</v>
      </c>
      <c r="E4601" t="s">
        <v>56</v>
      </c>
      <c r="F4601">
        <v>46</v>
      </c>
      <c r="G4601">
        <v>39</v>
      </c>
      <c r="H4601">
        <v>1</v>
      </c>
      <c r="I4601">
        <v>2</v>
      </c>
      <c r="J4601">
        <v>0</v>
      </c>
      <c r="K4601">
        <v>0</v>
      </c>
      <c r="L4601">
        <v>0</v>
      </c>
      <c r="M4601">
        <v>0</v>
      </c>
      <c r="N4601">
        <v>1</v>
      </c>
      <c r="O4601">
        <v>38</v>
      </c>
      <c r="P4601">
        <f t="shared" si="234"/>
        <v>2024</v>
      </c>
      <c r="Q4601">
        <f t="shared" si="235"/>
        <v>10</v>
      </c>
      <c r="R4601" t="str">
        <f t="shared" si="236"/>
        <v>超级短视频</v>
      </c>
      <c r="S4601" t="s">
        <v>785</v>
      </c>
      <c r="T4601" t="s">
        <v>805</v>
      </c>
    </row>
    <row r="4602" spans="1:20" x14ac:dyDescent="0.3">
      <c r="A4602" t="s">
        <v>627</v>
      </c>
      <c r="B4602" s="16">
        <v>45585</v>
      </c>
      <c r="C4602" t="s">
        <v>2</v>
      </c>
      <c r="D4602" t="s">
        <v>52</v>
      </c>
      <c r="E4602" t="s">
        <v>59</v>
      </c>
      <c r="F4602">
        <v>1</v>
      </c>
      <c r="G4602">
        <v>1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1</v>
      </c>
      <c r="O4602">
        <v>0</v>
      </c>
      <c r="P4602">
        <f t="shared" si="234"/>
        <v>2024</v>
      </c>
      <c r="Q4602">
        <f t="shared" si="235"/>
        <v>10</v>
      </c>
      <c r="R4602" t="str">
        <f t="shared" si="236"/>
        <v>品牌特秀</v>
      </c>
      <c r="S4602" t="s">
        <v>785</v>
      </c>
      <c r="T4602" t="s">
        <v>805</v>
      </c>
    </row>
    <row r="4603" spans="1:20" x14ac:dyDescent="0.3">
      <c r="A4603" t="s">
        <v>627</v>
      </c>
      <c r="B4603" s="16">
        <v>45585</v>
      </c>
      <c r="C4603" t="s">
        <v>2</v>
      </c>
      <c r="D4603" t="s">
        <v>52</v>
      </c>
      <c r="E4603" t="s">
        <v>183</v>
      </c>
      <c r="F4603">
        <v>730</v>
      </c>
      <c r="G4603">
        <v>558</v>
      </c>
      <c r="H4603">
        <v>39</v>
      </c>
      <c r="I4603">
        <v>9</v>
      </c>
      <c r="J4603">
        <v>17998</v>
      </c>
      <c r="K4603">
        <v>3</v>
      </c>
      <c r="L4603">
        <v>10375</v>
      </c>
      <c r="M4603">
        <v>2</v>
      </c>
      <c r="N4603">
        <v>730</v>
      </c>
      <c r="O4603">
        <v>473</v>
      </c>
      <c r="P4603">
        <f t="shared" si="234"/>
        <v>2024</v>
      </c>
      <c r="Q4603">
        <f t="shared" si="235"/>
        <v>10</v>
      </c>
      <c r="R4603" t="str">
        <f t="shared" si="236"/>
        <v>品销宝-品牌专区</v>
      </c>
      <c r="S4603" t="s">
        <v>785</v>
      </c>
      <c r="T4603" t="s">
        <v>805</v>
      </c>
    </row>
    <row r="4604" spans="1:20" x14ac:dyDescent="0.3">
      <c r="A4604" t="s">
        <v>627</v>
      </c>
      <c r="B4604" s="16">
        <v>45585</v>
      </c>
      <c r="C4604" t="s">
        <v>2</v>
      </c>
      <c r="D4604" t="s">
        <v>57</v>
      </c>
      <c r="E4604" t="s">
        <v>65</v>
      </c>
      <c r="F4604">
        <v>5335</v>
      </c>
      <c r="G4604">
        <v>4645</v>
      </c>
      <c r="H4604">
        <v>137</v>
      </c>
      <c r="I4604">
        <v>30</v>
      </c>
      <c r="J4604">
        <v>53253</v>
      </c>
      <c r="K4604">
        <v>7</v>
      </c>
      <c r="L4604">
        <v>11528</v>
      </c>
      <c r="M4604">
        <v>2</v>
      </c>
      <c r="N4604">
        <v>390</v>
      </c>
      <c r="O4604">
        <v>5302</v>
      </c>
      <c r="P4604">
        <f t="shared" si="234"/>
        <v>2024</v>
      </c>
      <c r="Q4604">
        <f t="shared" si="235"/>
        <v>10</v>
      </c>
      <c r="R4604" t="str">
        <f t="shared" si="236"/>
        <v>直通车</v>
      </c>
      <c r="S4604" t="s">
        <v>785</v>
      </c>
      <c r="T4604" t="s">
        <v>805</v>
      </c>
    </row>
    <row r="4605" spans="1:20" x14ac:dyDescent="0.3">
      <c r="A4605" t="s">
        <v>627</v>
      </c>
      <c r="B4605" s="16">
        <v>45585</v>
      </c>
      <c r="C4605" t="s">
        <v>2</v>
      </c>
      <c r="D4605" t="s">
        <v>57</v>
      </c>
      <c r="E4605" t="s">
        <v>63</v>
      </c>
      <c r="F4605">
        <v>3274</v>
      </c>
      <c r="G4605">
        <v>1579</v>
      </c>
      <c r="H4605">
        <v>128</v>
      </c>
      <c r="I4605">
        <v>56</v>
      </c>
      <c r="J4605">
        <v>146005</v>
      </c>
      <c r="K4605">
        <v>20</v>
      </c>
      <c r="L4605">
        <v>51355</v>
      </c>
      <c r="M4605">
        <v>10</v>
      </c>
      <c r="N4605">
        <v>204</v>
      </c>
      <c r="O4605">
        <v>3267</v>
      </c>
      <c r="P4605">
        <f t="shared" si="234"/>
        <v>2024</v>
      </c>
      <c r="Q4605">
        <f t="shared" si="235"/>
        <v>10</v>
      </c>
      <c r="R4605" t="str">
        <f t="shared" si="236"/>
        <v>万相台</v>
      </c>
      <c r="S4605" t="s">
        <v>785</v>
      </c>
      <c r="T4605" t="s">
        <v>805</v>
      </c>
    </row>
    <row r="4606" spans="1:20" x14ac:dyDescent="0.3">
      <c r="A4606" t="s">
        <v>627</v>
      </c>
      <c r="B4606" s="16">
        <v>45585</v>
      </c>
      <c r="C4606" t="s">
        <v>2</v>
      </c>
      <c r="D4606" t="s">
        <v>57</v>
      </c>
      <c r="E4606" t="s">
        <v>64</v>
      </c>
      <c r="F4606">
        <v>6089</v>
      </c>
      <c r="G4606">
        <v>2937</v>
      </c>
      <c r="H4606">
        <v>134</v>
      </c>
      <c r="I4606">
        <v>66</v>
      </c>
      <c r="J4606">
        <v>112585</v>
      </c>
      <c r="K4606">
        <v>14</v>
      </c>
      <c r="L4606">
        <v>33280</v>
      </c>
      <c r="M4606">
        <v>6</v>
      </c>
      <c r="N4606">
        <v>375</v>
      </c>
      <c r="O4606">
        <v>6077</v>
      </c>
      <c r="P4606">
        <f t="shared" si="234"/>
        <v>2024</v>
      </c>
      <c r="Q4606">
        <f t="shared" si="235"/>
        <v>10</v>
      </c>
      <c r="R4606" t="str">
        <f t="shared" si="236"/>
        <v>引力魔方</v>
      </c>
      <c r="S4606" t="s">
        <v>785</v>
      </c>
      <c r="T4606" t="s">
        <v>805</v>
      </c>
    </row>
    <row r="4607" spans="1:20" x14ac:dyDescent="0.3">
      <c r="A4607" t="s">
        <v>627</v>
      </c>
      <c r="B4607" s="16">
        <v>45585</v>
      </c>
      <c r="C4607" t="s">
        <v>2</v>
      </c>
      <c r="D4607" t="s">
        <v>4</v>
      </c>
      <c r="E4607" t="s">
        <v>41</v>
      </c>
      <c r="F4607">
        <v>11</v>
      </c>
      <c r="G4607">
        <v>8</v>
      </c>
      <c r="H4607">
        <v>1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4</v>
      </c>
      <c r="O4607">
        <v>8</v>
      </c>
      <c r="P4607">
        <f t="shared" si="234"/>
        <v>2024</v>
      </c>
      <c r="Q4607">
        <f t="shared" si="235"/>
        <v>10</v>
      </c>
      <c r="R4607" t="str">
        <f t="shared" si="236"/>
        <v>流量宝</v>
      </c>
      <c r="S4607" t="s">
        <v>785</v>
      </c>
      <c r="T4607" t="s">
        <v>805</v>
      </c>
    </row>
    <row r="4608" spans="1:20" x14ac:dyDescent="0.3">
      <c r="A4608" t="s">
        <v>627</v>
      </c>
      <c r="B4608" s="16">
        <v>45585</v>
      </c>
      <c r="C4608" t="s">
        <v>2</v>
      </c>
      <c r="D4608" t="s">
        <v>4</v>
      </c>
      <c r="E4608" t="s">
        <v>43</v>
      </c>
      <c r="F4608">
        <v>748</v>
      </c>
      <c r="G4608">
        <v>211</v>
      </c>
      <c r="H4608">
        <v>3</v>
      </c>
      <c r="I4608">
        <v>3</v>
      </c>
      <c r="J4608">
        <v>5250</v>
      </c>
      <c r="K4608">
        <v>1</v>
      </c>
      <c r="L4608">
        <v>0</v>
      </c>
      <c r="M4608">
        <v>0</v>
      </c>
      <c r="N4608">
        <v>28</v>
      </c>
      <c r="O4608">
        <v>731</v>
      </c>
      <c r="P4608">
        <f t="shared" si="234"/>
        <v>2024</v>
      </c>
      <c r="Q4608">
        <f t="shared" si="235"/>
        <v>10</v>
      </c>
      <c r="R4608" t="str">
        <f t="shared" si="236"/>
        <v>淘宝客</v>
      </c>
      <c r="S4608" t="s">
        <v>785</v>
      </c>
      <c r="T4608" t="s">
        <v>805</v>
      </c>
    </row>
    <row r="4609" spans="1:20" x14ac:dyDescent="0.3">
      <c r="A4609" t="s">
        <v>627</v>
      </c>
      <c r="B4609" s="16">
        <v>45584</v>
      </c>
      <c r="C4609" t="s">
        <v>3</v>
      </c>
      <c r="D4609" t="s">
        <v>114</v>
      </c>
      <c r="E4609" t="s">
        <v>159</v>
      </c>
      <c r="F4609">
        <v>171</v>
      </c>
      <c r="G4609">
        <v>65</v>
      </c>
      <c r="H4609">
        <v>7</v>
      </c>
      <c r="I4609">
        <v>4</v>
      </c>
      <c r="J4609">
        <v>0</v>
      </c>
      <c r="K4609">
        <v>0</v>
      </c>
      <c r="L4609">
        <v>0</v>
      </c>
      <c r="M4609">
        <v>0</v>
      </c>
      <c r="N4609">
        <v>17</v>
      </c>
      <c r="O4609">
        <v>164</v>
      </c>
      <c r="P4609">
        <f t="shared" si="234"/>
        <v>2024</v>
      </c>
      <c r="Q4609">
        <f t="shared" si="235"/>
        <v>10</v>
      </c>
      <c r="R4609" t="str">
        <f t="shared" si="236"/>
        <v>主会场</v>
      </c>
      <c r="S4609" t="s">
        <v>785</v>
      </c>
      <c r="T4609" t="s">
        <v>805</v>
      </c>
    </row>
    <row r="4610" spans="1:20" x14ac:dyDescent="0.3">
      <c r="A4610" t="s">
        <v>627</v>
      </c>
      <c r="B4610" s="16">
        <v>45584</v>
      </c>
      <c r="C4610" t="s">
        <v>3</v>
      </c>
      <c r="D4610" t="s">
        <v>117</v>
      </c>
      <c r="E4610" t="s">
        <v>161</v>
      </c>
      <c r="F4610">
        <v>1</v>
      </c>
      <c r="G4610">
        <v>1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1</v>
      </c>
      <c r="P4610">
        <f t="shared" si="234"/>
        <v>2024</v>
      </c>
      <c r="Q4610">
        <f t="shared" si="235"/>
        <v>10</v>
      </c>
      <c r="R4610" t="str">
        <f t="shared" si="236"/>
        <v>其他入口榜单</v>
      </c>
      <c r="S4610" t="s">
        <v>785</v>
      </c>
      <c r="T4610" t="s">
        <v>805</v>
      </c>
    </row>
    <row r="4611" spans="1:20" x14ac:dyDescent="0.3">
      <c r="A4611" t="s">
        <v>627</v>
      </c>
      <c r="B4611" s="16">
        <v>45584</v>
      </c>
      <c r="C4611" t="s">
        <v>3</v>
      </c>
      <c r="D4611" t="s">
        <v>120</v>
      </c>
      <c r="E4611" t="s">
        <v>163</v>
      </c>
      <c r="F4611">
        <v>31</v>
      </c>
      <c r="G4611">
        <v>14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14</v>
      </c>
      <c r="O4611">
        <v>23</v>
      </c>
      <c r="P4611">
        <f t="shared" si="234"/>
        <v>2024</v>
      </c>
      <c r="Q4611">
        <f t="shared" si="235"/>
        <v>10</v>
      </c>
      <c r="R4611" t="str">
        <f t="shared" si="236"/>
        <v>手猫免费其他</v>
      </c>
      <c r="S4611" t="s">
        <v>785</v>
      </c>
      <c r="T4611" t="s">
        <v>805</v>
      </c>
    </row>
    <row r="4612" spans="1:20" x14ac:dyDescent="0.3">
      <c r="A4612" t="s">
        <v>627</v>
      </c>
      <c r="B4612" s="16">
        <v>45584</v>
      </c>
      <c r="C4612" t="s">
        <v>3</v>
      </c>
      <c r="D4612" t="s">
        <v>120</v>
      </c>
      <c r="E4612" t="s">
        <v>164</v>
      </c>
      <c r="F4612">
        <v>33</v>
      </c>
      <c r="G4612">
        <v>15</v>
      </c>
      <c r="H4612">
        <v>2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33</v>
      </c>
      <c r="P4612">
        <f t="shared" si="234"/>
        <v>2024</v>
      </c>
      <c r="Q4612">
        <f t="shared" si="235"/>
        <v>10</v>
      </c>
      <c r="R4612" t="str">
        <f t="shared" si="236"/>
        <v>手猫其他店铺</v>
      </c>
      <c r="S4612" t="s">
        <v>785</v>
      </c>
      <c r="T4612" t="s">
        <v>805</v>
      </c>
    </row>
    <row r="4613" spans="1:20" x14ac:dyDescent="0.3">
      <c r="A4613" t="s">
        <v>627</v>
      </c>
      <c r="B4613" s="16">
        <v>45584</v>
      </c>
      <c r="C4613" t="s">
        <v>3</v>
      </c>
      <c r="D4613" t="s">
        <v>120</v>
      </c>
      <c r="E4613" t="s">
        <v>165</v>
      </c>
      <c r="F4613">
        <v>47</v>
      </c>
      <c r="G4613">
        <v>17</v>
      </c>
      <c r="H4613">
        <v>2</v>
      </c>
      <c r="I4613">
        <v>0</v>
      </c>
      <c r="J4613">
        <v>7273</v>
      </c>
      <c r="K4613">
        <v>2</v>
      </c>
      <c r="L4613">
        <v>2298</v>
      </c>
      <c r="M4613">
        <v>1</v>
      </c>
      <c r="N4613">
        <v>4</v>
      </c>
      <c r="O4613">
        <v>46</v>
      </c>
      <c r="P4613">
        <f t="shared" si="234"/>
        <v>2024</v>
      </c>
      <c r="Q4613">
        <f t="shared" si="235"/>
        <v>10</v>
      </c>
      <c r="R4613" t="str">
        <f t="shared" si="236"/>
        <v>手猫商品详情</v>
      </c>
      <c r="S4613" t="s">
        <v>785</v>
      </c>
      <c r="T4613" t="s">
        <v>805</v>
      </c>
    </row>
    <row r="4614" spans="1:20" x14ac:dyDescent="0.3">
      <c r="A4614" t="s">
        <v>627</v>
      </c>
      <c r="B4614" s="16">
        <v>45584</v>
      </c>
      <c r="C4614" t="s">
        <v>3</v>
      </c>
      <c r="D4614" t="s">
        <v>120</v>
      </c>
      <c r="E4614" t="s">
        <v>166</v>
      </c>
      <c r="F4614">
        <v>56</v>
      </c>
      <c r="G4614">
        <v>31</v>
      </c>
      <c r="H4614">
        <v>3</v>
      </c>
      <c r="I4614">
        <v>0</v>
      </c>
      <c r="J4614">
        <v>8750</v>
      </c>
      <c r="K4614">
        <v>1</v>
      </c>
      <c r="L4614">
        <v>0</v>
      </c>
      <c r="M4614">
        <v>0</v>
      </c>
      <c r="N4614">
        <v>23</v>
      </c>
      <c r="O4614">
        <v>48</v>
      </c>
      <c r="P4614">
        <f t="shared" si="234"/>
        <v>2024</v>
      </c>
      <c r="Q4614">
        <f t="shared" si="235"/>
        <v>10</v>
      </c>
      <c r="R4614" t="str">
        <f t="shared" si="236"/>
        <v>手猫搜索</v>
      </c>
      <c r="S4614" t="s">
        <v>785</v>
      </c>
      <c r="T4614" t="s">
        <v>805</v>
      </c>
    </row>
    <row r="4615" spans="1:20" x14ac:dyDescent="0.3">
      <c r="A4615" t="s">
        <v>627</v>
      </c>
      <c r="B4615" s="16">
        <v>45584</v>
      </c>
      <c r="C4615" t="s">
        <v>3</v>
      </c>
      <c r="D4615" t="s">
        <v>120</v>
      </c>
      <c r="E4615" t="s">
        <v>167</v>
      </c>
      <c r="F4615">
        <v>1</v>
      </c>
      <c r="G4615">
        <v>0</v>
      </c>
      <c r="H4615">
        <v>0</v>
      </c>
      <c r="I4615">
        <v>0</v>
      </c>
      <c r="J4615">
        <v>8750</v>
      </c>
      <c r="K4615">
        <v>1</v>
      </c>
      <c r="L4615">
        <v>0</v>
      </c>
      <c r="M4615">
        <v>0</v>
      </c>
      <c r="N4615">
        <v>0</v>
      </c>
      <c r="O4615">
        <v>1</v>
      </c>
      <c r="P4615">
        <f t="shared" si="234"/>
        <v>2024</v>
      </c>
      <c r="Q4615">
        <f t="shared" si="235"/>
        <v>10</v>
      </c>
      <c r="R4615" t="str">
        <f t="shared" si="236"/>
        <v>手猫旺信聊天</v>
      </c>
      <c r="S4615" t="s">
        <v>785</v>
      </c>
      <c r="T4615" t="s">
        <v>805</v>
      </c>
    </row>
    <row r="4616" spans="1:20" x14ac:dyDescent="0.3">
      <c r="A4616" t="s">
        <v>627</v>
      </c>
      <c r="B4616" s="16">
        <v>45584</v>
      </c>
      <c r="C4616" t="s">
        <v>3</v>
      </c>
      <c r="D4616" t="s">
        <v>120</v>
      </c>
      <c r="E4616" t="s">
        <v>192</v>
      </c>
      <c r="F4616">
        <v>1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1</v>
      </c>
      <c r="P4616">
        <f t="shared" si="234"/>
        <v>2024</v>
      </c>
      <c r="Q4616">
        <f t="shared" si="235"/>
        <v>10</v>
      </c>
      <c r="R4616" t="str">
        <f t="shared" si="236"/>
        <v>手猫消息中心</v>
      </c>
      <c r="S4616" t="s">
        <v>785</v>
      </c>
      <c r="T4616" t="s">
        <v>805</v>
      </c>
    </row>
    <row r="4617" spans="1:20" x14ac:dyDescent="0.3">
      <c r="A4617" t="s">
        <v>627</v>
      </c>
      <c r="B4617" s="16">
        <v>45584</v>
      </c>
      <c r="C4617" t="s">
        <v>3</v>
      </c>
      <c r="D4617" t="s">
        <v>120</v>
      </c>
      <c r="E4617" t="s">
        <v>168</v>
      </c>
      <c r="F4617">
        <v>318</v>
      </c>
      <c r="G4617">
        <v>166</v>
      </c>
      <c r="H4617">
        <v>5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12</v>
      </c>
      <c r="O4617">
        <v>318</v>
      </c>
      <c r="P4617">
        <f t="shared" si="234"/>
        <v>2024</v>
      </c>
      <c r="Q4617">
        <f t="shared" si="235"/>
        <v>10</v>
      </c>
      <c r="R4617" t="str">
        <f t="shared" si="236"/>
        <v>手猫首页</v>
      </c>
      <c r="S4617" t="s">
        <v>785</v>
      </c>
      <c r="T4617" t="s">
        <v>805</v>
      </c>
    </row>
    <row r="4618" spans="1:20" x14ac:dyDescent="0.3">
      <c r="A4618" t="s">
        <v>627</v>
      </c>
      <c r="B4618" s="16">
        <v>45584</v>
      </c>
      <c r="C4618" t="s">
        <v>3</v>
      </c>
      <c r="D4618" t="s">
        <v>123</v>
      </c>
      <c r="E4618" t="s">
        <v>169</v>
      </c>
      <c r="F4618">
        <v>371</v>
      </c>
      <c r="G4618">
        <v>164</v>
      </c>
      <c r="H4618">
        <v>19</v>
      </c>
      <c r="I4618">
        <v>7</v>
      </c>
      <c r="J4618">
        <v>8320</v>
      </c>
      <c r="K4618">
        <v>1</v>
      </c>
      <c r="L4618">
        <v>8320</v>
      </c>
      <c r="M4618">
        <v>1</v>
      </c>
      <c r="N4618">
        <v>48</v>
      </c>
      <c r="O4618">
        <v>367</v>
      </c>
      <c r="P4618">
        <f t="shared" si="234"/>
        <v>2024</v>
      </c>
      <c r="Q4618">
        <f t="shared" si="235"/>
        <v>10</v>
      </c>
      <c r="R4618" t="str">
        <f t="shared" si="236"/>
        <v>商品详情页头图推荐</v>
      </c>
      <c r="S4618" t="s">
        <v>785</v>
      </c>
      <c r="T4618" t="s">
        <v>805</v>
      </c>
    </row>
    <row r="4619" spans="1:20" x14ac:dyDescent="0.3">
      <c r="A4619" t="s">
        <v>627</v>
      </c>
      <c r="B4619" s="16">
        <v>45584</v>
      </c>
      <c r="C4619" t="s">
        <v>3</v>
      </c>
      <c r="D4619" t="s">
        <v>123</v>
      </c>
      <c r="E4619" t="s">
        <v>170</v>
      </c>
      <c r="F4619">
        <v>61</v>
      </c>
      <c r="G4619">
        <v>26</v>
      </c>
      <c r="H4619">
        <v>3</v>
      </c>
      <c r="I4619">
        <v>1</v>
      </c>
      <c r="J4619">
        <v>0</v>
      </c>
      <c r="K4619">
        <v>0</v>
      </c>
      <c r="L4619">
        <v>0</v>
      </c>
      <c r="M4619">
        <v>0</v>
      </c>
      <c r="N4619">
        <v>57</v>
      </c>
      <c r="O4619">
        <v>25</v>
      </c>
      <c r="P4619">
        <f t="shared" si="234"/>
        <v>2024</v>
      </c>
      <c r="Q4619">
        <f t="shared" si="235"/>
        <v>10</v>
      </c>
      <c r="R4619" t="str">
        <f t="shared" si="236"/>
        <v>店铺超链</v>
      </c>
      <c r="S4619" t="s">
        <v>785</v>
      </c>
      <c r="T4619" t="s">
        <v>805</v>
      </c>
    </row>
    <row r="4620" spans="1:20" x14ac:dyDescent="0.3">
      <c r="A4620" t="s">
        <v>627</v>
      </c>
      <c r="B4620" s="16">
        <v>45584</v>
      </c>
      <c r="C4620" t="s">
        <v>2</v>
      </c>
      <c r="D4620" t="s">
        <v>52</v>
      </c>
      <c r="E4620" t="s">
        <v>59</v>
      </c>
      <c r="F4620">
        <v>1262</v>
      </c>
      <c r="G4620">
        <v>979</v>
      </c>
      <c r="H4620">
        <v>9</v>
      </c>
      <c r="I4620">
        <v>4</v>
      </c>
      <c r="J4620">
        <v>8700</v>
      </c>
      <c r="K4620">
        <v>1</v>
      </c>
      <c r="L4620">
        <v>8700</v>
      </c>
      <c r="M4620">
        <v>1</v>
      </c>
      <c r="N4620">
        <v>1082</v>
      </c>
      <c r="O4620">
        <v>189</v>
      </c>
      <c r="P4620">
        <f t="shared" si="234"/>
        <v>2024</v>
      </c>
      <c r="Q4620">
        <f t="shared" si="235"/>
        <v>10</v>
      </c>
      <c r="R4620" t="s">
        <v>171</v>
      </c>
      <c r="S4620" t="s">
        <v>785</v>
      </c>
      <c r="T4620" t="s">
        <v>805</v>
      </c>
    </row>
    <row r="4621" spans="1:20" x14ac:dyDescent="0.3">
      <c r="A4621" t="s">
        <v>627</v>
      </c>
      <c r="B4621" s="16">
        <v>45584</v>
      </c>
      <c r="C4621" t="s">
        <v>3</v>
      </c>
      <c r="D4621" t="s">
        <v>127</v>
      </c>
      <c r="E4621" t="s">
        <v>172</v>
      </c>
      <c r="F4621">
        <v>16</v>
      </c>
      <c r="G4621">
        <v>9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5</v>
      </c>
      <c r="O4621">
        <v>10</v>
      </c>
      <c r="P4621">
        <f t="shared" si="234"/>
        <v>2024</v>
      </c>
      <c r="Q4621">
        <f t="shared" si="235"/>
        <v>10</v>
      </c>
      <c r="R4621" t="str">
        <f t="shared" si="236"/>
        <v>购中推荐</v>
      </c>
      <c r="S4621" t="s">
        <v>785</v>
      </c>
      <c r="T4621" t="s">
        <v>805</v>
      </c>
    </row>
    <row r="4622" spans="1:20" x14ac:dyDescent="0.3">
      <c r="A4622" t="s">
        <v>627</v>
      </c>
      <c r="B4622" s="16">
        <v>45584</v>
      </c>
      <c r="C4622" t="s">
        <v>3</v>
      </c>
      <c r="D4622" t="s">
        <v>127</v>
      </c>
      <c r="E4622" t="s">
        <v>173</v>
      </c>
      <c r="F4622">
        <v>94</v>
      </c>
      <c r="G4622">
        <v>71</v>
      </c>
      <c r="H4622">
        <v>1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55</v>
      </c>
      <c r="O4622">
        <v>33</v>
      </c>
      <c r="P4622">
        <f t="shared" si="234"/>
        <v>2024</v>
      </c>
      <c r="Q4622">
        <f t="shared" si="235"/>
        <v>10</v>
      </c>
      <c r="R4622" t="str">
        <f t="shared" si="236"/>
        <v>购后推荐</v>
      </c>
      <c r="S4622" t="s">
        <v>785</v>
      </c>
      <c r="T4622" t="s">
        <v>805</v>
      </c>
    </row>
    <row r="4623" spans="1:20" x14ac:dyDescent="0.3">
      <c r="A4623" t="s">
        <v>627</v>
      </c>
      <c r="B4623" s="16">
        <v>45584</v>
      </c>
      <c r="C4623" t="s">
        <v>3</v>
      </c>
      <c r="D4623" t="s">
        <v>127</v>
      </c>
      <c r="E4623" t="s">
        <v>174</v>
      </c>
      <c r="F4623">
        <v>5368</v>
      </c>
      <c r="G4623">
        <v>3434</v>
      </c>
      <c r="H4623">
        <v>154</v>
      </c>
      <c r="I4623">
        <v>59</v>
      </c>
      <c r="J4623">
        <v>53518</v>
      </c>
      <c r="K4623">
        <v>8</v>
      </c>
      <c r="L4623">
        <v>13230</v>
      </c>
      <c r="M4623">
        <v>3</v>
      </c>
      <c r="N4623">
        <v>467</v>
      </c>
      <c r="O4623">
        <v>5368</v>
      </c>
      <c r="P4623">
        <f t="shared" si="234"/>
        <v>2024</v>
      </c>
      <c r="Q4623">
        <f t="shared" si="235"/>
        <v>10</v>
      </c>
      <c r="R4623" t="str">
        <f t="shared" si="236"/>
        <v>首页推荐-微详情</v>
      </c>
      <c r="S4623" t="s">
        <v>785</v>
      </c>
      <c r="T4623" t="s">
        <v>805</v>
      </c>
    </row>
    <row r="4624" spans="1:20" x14ac:dyDescent="0.3">
      <c r="A4624" t="s">
        <v>627</v>
      </c>
      <c r="B4624" s="16">
        <v>45584</v>
      </c>
      <c r="C4624" t="s">
        <v>3</v>
      </c>
      <c r="D4624" t="s">
        <v>127</v>
      </c>
      <c r="E4624" t="s">
        <v>175</v>
      </c>
      <c r="F4624">
        <v>2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f t="shared" si="234"/>
        <v>2024</v>
      </c>
      <c r="Q4624">
        <f t="shared" si="235"/>
        <v>10</v>
      </c>
      <c r="R4624" t="str">
        <f t="shared" si="236"/>
        <v>首页推荐-直播</v>
      </c>
      <c r="S4624" t="s">
        <v>785</v>
      </c>
      <c r="T4624" t="s">
        <v>805</v>
      </c>
    </row>
    <row r="4625" spans="1:20" x14ac:dyDescent="0.3">
      <c r="A4625" t="s">
        <v>627</v>
      </c>
      <c r="B4625" s="16">
        <v>45584</v>
      </c>
      <c r="C4625" t="s">
        <v>3</v>
      </c>
      <c r="D4625" t="s">
        <v>127</v>
      </c>
      <c r="E4625" t="s">
        <v>176</v>
      </c>
      <c r="F4625">
        <v>919</v>
      </c>
      <c r="G4625">
        <v>543</v>
      </c>
      <c r="H4625">
        <v>12</v>
      </c>
      <c r="I4625">
        <v>4</v>
      </c>
      <c r="J4625">
        <v>8500</v>
      </c>
      <c r="K4625">
        <v>1</v>
      </c>
      <c r="L4625">
        <v>8500</v>
      </c>
      <c r="M4625">
        <v>1</v>
      </c>
      <c r="N4625">
        <v>40</v>
      </c>
      <c r="O4625">
        <v>234</v>
      </c>
      <c r="P4625">
        <f t="shared" si="234"/>
        <v>2024</v>
      </c>
      <c r="Q4625">
        <f t="shared" si="235"/>
        <v>10</v>
      </c>
      <c r="R4625" t="str">
        <f t="shared" si="236"/>
        <v>首页推荐-短视频</v>
      </c>
      <c r="S4625" t="s">
        <v>785</v>
      </c>
      <c r="T4625" t="s">
        <v>805</v>
      </c>
    </row>
    <row r="4626" spans="1:20" x14ac:dyDescent="0.3">
      <c r="A4626" t="s">
        <v>627</v>
      </c>
      <c r="B4626" s="16">
        <v>45584</v>
      </c>
      <c r="C4626" t="s">
        <v>3</v>
      </c>
      <c r="D4626" t="s">
        <v>128</v>
      </c>
      <c r="E4626" t="s">
        <v>177</v>
      </c>
      <c r="F4626">
        <v>1123</v>
      </c>
      <c r="G4626">
        <v>864</v>
      </c>
      <c r="H4626">
        <v>65</v>
      </c>
      <c r="I4626">
        <v>17</v>
      </c>
      <c r="J4626">
        <v>39410</v>
      </c>
      <c r="K4626">
        <v>6</v>
      </c>
      <c r="L4626">
        <v>7080</v>
      </c>
      <c r="M4626">
        <v>3</v>
      </c>
      <c r="N4626">
        <v>306</v>
      </c>
      <c r="O4626">
        <v>1010</v>
      </c>
      <c r="P4626">
        <f t="shared" si="234"/>
        <v>2024</v>
      </c>
      <c r="Q4626">
        <f t="shared" si="235"/>
        <v>10</v>
      </c>
      <c r="R4626" t="str">
        <f t="shared" si="236"/>
        <v>手淘搜索-商品及其他</v>
      </c>
      <c r="S4626" t="s">
        <v>785</v>
      </c>
      <c r="T4626" t="s">
        <v>805</v>
      </c>
    </row>
    <row r="4627" spans="1:20" x14ac:dyDescent="0.3">
      <c r="A4627" t="s">
        <v>627</v>
      </c>
      <c r="B4627" s="16">
        <v>45584</v>
      </c>
      <c r="C4627" t="s">
        <v>3</v>
      </c>
      <c r="D4627" t="s">
        <v>128</v>
      </c>
      <c r="E4627" t="s">
        <v>179</v>
      </c>
      <c r="F4627">
        <v>10</v>
      </c>
      <c r="G4627">
        <v>5</v>
      </c>
      <c r="H4627">
        <v>1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10</v>
      </c>
      <c r="P4627">
        <f t="shared" si="234"/>
        <v>2024</v>
      </c>
      <c r="Q4627">
        <f t="shared" si="235"/>
        <v>10</v>
      </c>
      <c r="R4627" t="str">
        <f t="shared" si="236"/>
        <v>手淘搜索-短视频</v>
      </c>
      <c r="S4627" t="s">
        <v>785</v>
      </c>
      <c r="T4627" t="s">
        <v>805</v>
      </c>
    </row>
    <row r="4628" spans="1:20" x14ac:dyDescent="0.3">
      <c r="A4628" t="s">
        <v>627</v>
      </c>
      <c r="B4628" s="16">
        <v>45584</v>
      </c>
      <c r="C4628" t="s">
        <v>3</v>
      </c>
      <c r="D4628" t="s">
        <v>143</v>
      </c>
      <c r="E4628" t="s">
        <v>180</v>
      </c>
      <c r="F4628">
        <v>16</v>
      </c>
      <c r="G4628">
        <v>16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16</v>
      </c>
      <c r="P4628">
        <f t="shared" si="234"/>
        <v>2024</v>
      </c>
      <c r="Q4628">
        <f t="shared" si="235"/>
        <v>10</v>
      </c>
      <c r="R4628" t="str">
        <f t="shared" si="236"/>
        <v>淘特其他渠道</v>
      </c>
      <c r="S4628" t="s">
        <v>785</v>
      </c>
      <c r="T4628" t="s">
        <v>805</v>
      </c>
    </row>
    <row r="4629" spans="1:20" x14ac:dyDescent="0.3">
      <c r="A4629" t="s">
        <v>627</v>
      </c>
      <c r="B4629" s="16">
        <v>45584</v>
      </c>
      <c r="C4629" t="s">
        <v>2</v>
      </c>
      <c r="D4629" t="s">
        <v>55</v>
      </c>
      <c r="E4629" t="s">
        <v>54</v>
      </c>
      <c r="F4629">
        <v>3</v>
      </c>
      <c r="G4629">
        <v>1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1</v>
      </c>
      <c r="P4629">
        <f t="shared" si="234"/>
        <v>2024</v>
      </c>
      <c r="Q4629">
        <f t="shared" si="235"/>
        <v>10</v>
      </c>
      <c r="R4629" t="str">
        <f t="shared" si="236"/>
        <v>超级直播</v>
      </c>
      <c r="S4629" t="s">
        <v>785</v>
      </c>
      <c r="T4629" t="s">
        <v>805</v>
      </c>
    </row>
    <row r="4630" spans="1:20" x14ac:dyDescent="0.3">
      <c r="A4630" t="s">
        <v>627</v>
      </c>
      <c r="B4630" s="16">
        <v>45584</v>
      </c>
      <c r="C4630" t="s">
        <v>2</v>
      </c>
      <c r="D4630" t="s">
        <v>55</v>
      </c>
      <c r="E4630" t="s">
        <v>56</v>
      </c>
      <c r="F4630">
        <v>202</v>
      </c>
      <c r="G4630">
        <v>170</v>
      </c>
      <c r="H4630">
        <v>5</v>
      </c>
      <c r="I4630">
        <v>4</v>
      </c>
      <c r="J4630">
        <v>0</v>
      </c>
      <c r="K4630">
        <v>0</v>
      </c>
      <c r="L4630">
        <v>0</v>
      </c>
      <c r="M4630">
        <v>0</v>
      </c>
      <c r="N4630">
        <v>8</v>
      </c>
      <c r="O4630">
        <v>167</v>
      </c>
      <c r="P4630">
        <f t="shared" si="234"/>
        <v>2024</v>
      </c>
      <c r="Q4630">
        <f t="shared" si="235"/>
        <v>10</v>
      </c>
      <c r="R4630" t="str">
        <f t="shared" si="236"/>
        <v>超级短视频</v>
      </c>
      <c r="S4630" t="s">
        <v>785</v>
      </c>
      <c r="T4630" t="s">
        <v>805</v>
      </c>
    </row>
    <row r="4631" spans="1:20" x14ac:dyDescent="0.3">
      <c r="A4631" t="s">
        <v>627</v>
      </c>
      <c r="B4631" s="16">
        <v>45584</v>
      </c>
      <c r="C4631" t="s">
        <v>2</v>
      </c>
      <c r="D4631" t="s">
        <v>52</v>
      </c>
      <c r="E4631" t="s">
        <v>183</v>
      </c>
      <c r="F4631">
        <v>760</v>
      </c>
      <c r="G4631">
        <v>593</v>
      </c>
      <c r="H4631">
        <v>39</v>
      </c>
      <c r="I4631">
        <v>9</v>
      </c>
      <c r="J4631">
        <v>46215</v>
      </c>
      <c r="K4631">
        <v>7</v>
      </c>
      <c r="L4631">
        <v>13060</v>
      </c>
      <c r="M4631">
        <v>3</v>
      </c>
      <c r="N4631">
        <v>760</v>
      </c>
      <c r="O4631">
        <v>479</v>
      </c>
      <c r="P4631">
        <f t="shared" si="234"/>
        <v>2024</v>
      </c>
      <c r="Q4631">
        <f t="shared" si="235"/>
        <v>10</v>
      </c>
      <c r="R4631" t="str">
        <f t="shared" si="236"/>
        <v>品销宝-品牌专区</v>
      </c>
      <c r="S4631" t="s">
        <v>785</v>
      </c>
      <c r="T4631" t="s">
        <v>805</v>
      </c>
    </row>
    <row r="4632" spans="1:20" x14ac:dyDescent="0.3">
      <c r="A4632" t="s">
        <v>627</v>
      </c>
      <c r="B4632" s="16">
        <v>45584</v>
      </c>
      <c r="C4632" t="s">
        <v>2</v>
      </c>
      <c r="D4632" t="s">
        <v>52</v>
      </c>
      <c r="E4632" t="s">
        <v>58</v>
      </c>
      <c r="F4632">
        <v>1</v>
      </c>
      <c r="G4632">
        <v>1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1</v>
      </c>
      <c r="P4632">
        <f t="shared" si="234"/>
        <v>2024</v>
      </c>
      <c r="Q4632">
        <f t="shared" si="235"/>
        <v>10</v>
      </c>
      <c r="R4632" t="str">
        <f t="shared" si="236"/>
        <v>超级全域通</v>
      </c>
      <c r="S4632" t="s">
        <v>785</v>
      </c>
      <c r="T4632" t="s">
        <v>805</v>
      </c>
    </row>
    <row r="4633" spans="1:20" x14ac:dyDescent="0.3">
      <c r="A4633" t="s">
        <v>627</v>
      </c>
      <c r="B4633" s="16">
        <v>45584</v>
      </c>
      <c r="C4633" t="s">
        <v>2</v>
      </c>
      <c r="D4633" t="s">
        <v>57</v>
      </c>
      <c r="E4633" t="s">
        <v>65</v>
      </c>
      <c r="F4633">
        <v>5122</v>
      </c>
      <c r="G4633">
        <v>4468</v>
      </c>
      <c r="H4633">
        <v>137</v>
      </c>
      <c r="I4633">
        <v>32</v>
      </c>
      <c r="J4633">
        <v>121843</v>
      </c>
      <c r="K4633">
        <v>13</v>
      </c>
      <c r="L4633">
        <v>46865</v>
      </c>
      <c r="M4633">
        <v>5</v>
      </c>
      <c r="N4633">
        <v>345</v>
      </c>
      <c r="O4633">
        <v>5093</v>
      </c>
      <c r="P4633">
        <f t="shared" si="234"/>
        <v>2024</v>
      </c>
      <c r="Q4633">
        <f t="shared" si="235"/>
        <v>10</v>
      </c>
      <c r="R4633" t="str">
        <f t="shared" si="236"/>
        <v>直通车</v>
      </c>
      <c r="S4633" t="s">
        <v>785</v>
      </c>
      <c r="T4633" t="s">
        <v>805</v>
      </c>
    </row>
    <row r="4634" spans="1:20" x14ac:dyDescent="0.3">
      <c r="A4634" t="s">
        <v>627</v>
      </c>
      <c r="B4634" s="16">
        <v>45584</v>
      </c>
      <c r="C4634" t="s">
        <v>2</v>
      </c>
      <c r="D4634" t="s">
        <v>57</v>
      </c>
      <c r="E4634" t="s">
        <v>63</v>
      </c>
      <c r="F4634">
        <v>3898</v>
      </c>
      <c r="G4634">
        <v>1909</v>
      </c>
      <c r="H4634">
        <v>114</v>
      </c>
      <c r="I4634">
        <v>48</v>
      </c>
      <c r="J4634">
        <v>74225</v>
      </c>
      <c r="K4634">
        <v>16</v>
      </c>
      <c r="L4634">
        <v>45840</v>
      </c>
      <c r="M4634">
        <v>9</v>
      </c>
      <c r="N4634">
        <v>190</v>
      </c>
      <c r="O4634">
        <v>3889</v>
      </c>
      <c r="P4634">
        <f t="shared" si="234"/>
        <v>2024</v>
      </c>
      <c r="Q4634">
        <f t="shared" si="235"/>
        <v>10</v>
      </c>
      <c r="R4634" t="str">
        <f t="shared" si="236"/>
        <v>万相台</v>
      </c>
      <c r="S4634" t="s">
        <v>785</v>
      </c>
      <c r="T4634" t="s">
        <v>805</v>
      </c>
    </row>
    <row r="4635" spans="1:20" x14ac:dyDescent="0.3">
      <c r="A4635" t="s">
        <v>627</v>
      </c>
      <c r="B4635" s="16">
        <v>45584</v>
      </c>
      <c r="C4635" t="s">
        <v>2</v>
      </c>
      <c r="D4635" t="s">
        <v>57</v>
      </c>
      <c r="E4635" t="s">
        <v>64</v>
      </c>
      <c r="F4635">
        <v>5758</v>
      </c>
      <c r="G4635">
        <v>2566</v>
      </c>
      <c r="H4635">
        <v>152</v>
      </c>
      <c r="I4635">
        <v>64</v>
      </c>
      <c r="J4635">
        <v>55575</v>
      </c>
      <c r="K4635">
        <v>11</v>
      </c>
      <c r="L4635">
        <v>19688</v>
      </c>
      <c r="M4635">
        <v>4</v>
      </c>
      <c r="N4635">
        <v>411</v>
      </c>
      <c r="O4635">
        <v>5756</v>
      </c>
      <c r="P4635">
        <f t="shared" si="234"/>
        <v>2024</v>
      </c>
      <c r="Q4635">
        <f t="shared" si="235"/>
        <v>10</v>
      </c>
      <c r="R4635" t="str">
        <f t="shared" si="236"/>
        <v>引力魔方</v>
      </c>
      <c r="S4635" t="s">
        <v>785</v>
      </c>
      <c r="T4635" t="s">
        <v>805</v>
      </c>
    </row>
    <row r="4636" spans="1:20" x14ac:dyDescent="0.3">
      <c r="A4636" t="s">
        <v>627</v>
      </c>
      <c r="B4636" s="16">
        <v>45584</v>
      </c>
      <c r="C4636" t="s">
        <v>2</v>
      </c>
      <c r="D4636" t="s">
        <v>4</v>
      </c>
      <c r="E4636" t="s">
        <v>41</v>
      </c>
      <c r="F4636">
        <v>9</v>
      </c>
      <c r="G4636">
        <v>4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2</v>
      </c>
      <c r="O4636">
        <v>7</v>
      </c>
      <c r="P4636">
        <f t="shared" si="234"/>
        <v>2024</v>
      </c>
      <c r="Q4636">
        <f t="shared" si="235"/>
        <v>10</v>
      </c>
      <c r="R4636" t="str">
        <f t="shared" si="236"/>
        <v>流量宝</v>
      </c>
      <c r="S4636" t="s">
        <v>785</v>
      </c>
      <c r="T4636" t="s">
        <v>805</v>
      </c>
    </row>
    <row r="4637" spans="1:20" x14ac:dyDescent="0.3">
      <c r="A4637" t="s">
        <v>627</v>
      </c>
      <c r="B4637" s="16">
        <v>45584</v>
      </c>
      <c r="C4637" t="s">
        <v>2</v>
      </c>
      <c r="D4637" t="s">
        <v>4</v>
      </c>
      <c r="E4637" t="s">
        <v>43</v>
      </c>
      <c r="F4637">
        <v>719</v>
      </c>
      <c r="G4637">
        <v>144</v>
      </c>
      <c r="H4637">
        <v>4</v>
      </c>
      <c r="I4637">
        <v>2</v>
      </c>
      <c r="J4637">
        <v>0</v>
      </c>
      <c r="K4637">
        <v>0</v>
      </c>
      <c r="L4637">
        <v>0</v>
      </c>
      <c r="M4637">
        <v>0</v>
      </c>
      <c r="N4637">
        <v>19</v>
      </c>
      <c r="O4637">
        <v>713</v>
      </c>
      <c r="P4637">
        <f t="shared" si="234"/>
        <v>2024</v>
      </c>
      <c r="Q4637">
        <f t="shared" si="235"/>
        <v>10</v>
      </c>
      <c r="R4637" t="str">
        <f t="shared" si="236"/>
        <v>淘宝客</v>
      </c>
      <c r="S4637" t="s">
        <v>785</v>
      </c>
      <c r="T4637" t="s">
        <v>805</v>
      </c>
    </row>
    <row r="4638" spans="1:20" x14ac:dyDescent="0.3">
      <c r="A4638" t="s">
        <v>627</v>
      </c>
      <c r="B4638" s="16">
        <v>45583</v>
      </c>
      <c r="C4638" t="s">
        <v>3</v>
      </c>
      <c r="D4638" t="s">
        <v>114</v>
      </c>
      <c r="E4638" t="s">
        <v>159</v>
      </c>
      <c r="F4638">
        <v>169</v>
      </c>
      <c r="G4638">
        <v>89</v>
      </c>
      <c r="H4638">
        <v>8</v>
      </c>
      <c r="I4638">
        <v>4</v>
      </c>
      <c r="J4638">
        <v>8750</v>
      </c>
      <c r="K4638">
        <v>1</v>
      </c>
      <c r="L4638">
        <v>0</v>
      </c>
      <c r="M4638">
        <v>0</v>
      </c>
      <c r="N4638">
        <v>21</v>
      </c>
      <c r="O4638">
        <v>161</v>
      </c>
      <c r="P4638">
        <f t="shared" si="234"/>
        <v>2024</v>
      </c>
      <c r="Q4638">
        <f t="shared" si="235"/>
        <v>10</v>
      </c>
      <c r="R4638" t="str">
        <f t="shared" si="236"/>
        <v>主会场</v>
      </c>
      <c r="S4638" t="s">
        <v>785</v>
      </c>
      <c r="T4638" t="s">
        <v>805</v>
      </c>
    </row>
    <row r="4639" spans="1:20" x14ac:dyDescent="0.3">
      <c r="A4639" t="s">
        <v>627</v>
      </c>
      <c r="B4639" s="16">
        <v>45583</v>
      </c>
      <c r="C4639" t="s">
        <v>3</v>
      </c>
      <c r="D4639" t="s">
        <v>120</v>
      </c>
      <c r="E4639" t="s">
        <v>163</v>
      </c>
      <c r="F4639">
        <v>30</v>
      </c>
      <c r="G4639">
        <v>12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19</v>
      </c>
      <c r="O4639">
        <v>21</v>
      </c>
      <c r="P4639">
        <f t="shared" si="234"/>
        <v>2024</v>
      </c>
      <c r="Q4639">
        <f t="shared" si="235"/>
        <v>10</v>
      </c>
      <c r="R4639" t="str">
        <f t="shared" si="236"/>
        <v>手猫免费其他</v>
      </c>
      <c r="S4639" t="s">
        <v>785</v>
      </c>
      <c r="T4639" t="s">
        <v>805</v>
      </c>
    </row>
    <row r="4640" spans="1:20" x14ac:dyDescent="0.3">
      <c r="A4640" t="s">
        <v>627</v>
      </c>
      <c r="B4640" s="16">
        <v>45583</v>
      </c>
      <c r="C4640" t="s">
        <v>3</v>
      </c>
      <c r="D4640" t="s">
        <v>120</v>
      </c>
      <c r="E4640" t="s">
        <v>164</v>
      </c>
      <c r="F4640">
        <v>39</v>
      </c>
      <c r="G4640">
        <v>18</v>
      </c>
      <c r="H4640">
        <v>5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1</v>
      </c>
      <c r="O4640">
        <v>39</v>
      </c>
      <c r="P4640">
        <f t="shared" si="234"/>
        <v>2024</v>
      </c>
      <c r="Q4640">
        <f t="shared" si="235"/>
        <v>10</v>
      </c>
      <c r="R4640" t="str">
        <f t="shared" si="236"/>
        <v>手猫其他店铺</v>
      </c>
      <c r="S4640" t="s">
        <v>785</v>
      </c>
      <c r="T4640" t="s">
        <v>805</v>
      </c>
    </row>
    <row r="4641" spans="1:20" x14ac:dyDescent="0.3">
      <c r="A4641" t="s">
        <v>627</v>
      </c>
      <c r="B4641" s="16">
        <v>45583</v>
      </c>
      <c r="C4641" t="s">
        <v>3</v>
      </c>
      <c r="D4641" t="s">
        <v>120</v>
      </c>
      <c r="E4641" t="s">
        <v>165</v>
      </c>
      <c r="F4641">
        <v>38</v>
      </c>
      <c r="G4641">
        <v>13</v>
      </c>
      <c r="H4641">
        <v>3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9</v>
      </c>
      <c r="O4641">
        <v>38</v>
      </c>
      <c r="P4641">
        <f t="shared" si="234"/>
        <v>2024</v>
      </c>
      <c r="Q4641">
        <f t="shared" si="235"/>
        <v>10</v>
      </c>
      <c r="R4641" t="str">
        <f t="shared" si="236"/>
        <v>手猫商品详情</v>
      </c>
      <c r="S4641" t="s">
        <v>785</v>
      </c>
      <c r="T4641" t="s">
        <v>805</v>
      </c>
    </row>
    <row r="4642" spans="1:20" x14ac:dyDescent="0.3">
      <c r="A4642" t="s">
        <v>627</v>
      </c>
      <c r="B4642" s="16">
        <v>45583</v>
      </c>
      <c r="C4642" t="s">
        <v>3</v>
      </c>
      <c r="D4642" t="s">
        <v>120</v>
      </c>
      <c r="E4642" t="s">
        <v>166</v>
      </c>
      <c r="F4642">
        <v>55</v>
      </c>
      <c r="G4642">
        <v>35</v>
      </c>
      <c r="H4642">
        <v>8</v>
      </c>
      <c r="I4642">
        <v>0</v>
      </c>
      <c r="J4642">
        <v>1650</v>
      </c>
      <c r="K4642">
        <v>1</v>
      </c>
      <c r="L4642">
        <v>1650</v>
      </c>
      <c r="M4642">
        <v>1</v>
      </c>
      <c r="N4642">
        <v>25</v>
      </c>
      <c r="O4642">
        <v>49</v>
      </c>
      <c r="P4642">
        <f t="shared" si="234"/>
        <v>2024</v>
      </c>
      <c r="Q4642">
        <f t="shared" si="235"/>
        <v>10</v>
      </c>
      <c r="R4642" t="str">
        <f t="shared" si="236"/>
        <v>手猫搜索</v>
      </c>
      <c r="S4642" t="s">
        <v>785</v>
      </c>
      <c r="T4642" t="s">
        <v>805</v>
      </c>
    </row>
    <row r="4643" spans="1:20" x14ac:dyDescent="0.3">
      <c r="A4643" t="s">
        <v>627</v>
      </c>
      <c r="B4643" s="16">
        <v>45583</v>
      </c>
      <c r="C4643" t="s">
        <v>3</v>
      </c>
      <c r="D4643" t="s">
        <v>120</v>
      </c>
      <c r="E4643" t="s">
        <v>167</v>
      </c>
      <c r="F4643">
        <v>2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2</v>
      </c>
      <c r="P4643">
        <f t="shared" si="234"/>
        <v>2024</v>
      </c>
      <c r="Q4643">
        <f t="shared" si="235"/>
        <v>10</v>
      </c>
      <c r="R4643" t="str">
        <f t="shared" si="236"/>
        <v>手猫旺信聊天</v>
      </c>
      <c r="S4643" t="s">
        <v>785</v>
      </c>
      <c r="T4643" t="s">
        <v>805</v>
      </c>
    </row>
    <row r="4644" spans="1:20" x14ac:dyDescent="0.3">
      <c r="A4644" t="s">
        <v>627</v>
      </c>
      <c r="B4644" s="16">
        <v>45583</v>
      </c>
      <c r="C4644" t="s">
        <v>3</v>
      </c>
      <c r="D4644" t="s">
        <v>120</v>
      </c>
      <c r="E4644" t="s">
        <v>192</v>
      </c>
      <c r="F4644">
        <v>6</v>
      </c>
      <c r="G4644">
        <v>1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6</v>
      </c>
      <c r="P4644">
        <f t="shared" si="234"/>
        <v>2024</v>
      </c>
      <c r="Q4644">
        <f t="shared" si="235"/>
        <v>10</v>
      </c>
      <c r="R4644" t="str">
        <f t="shared" si="236"/>
        <v>手猫消息中心</v>
      </c>
      <c r="S4644" t="s">
        <v>785</v>
      </c>
      <c r="T4644" t="s">
        <v>805</v>
      </c>
    </row>
    <row r="4645" spans="1:20" x14ac:dyDescent="0.3">
      <c r="A4645" t="s">
        <v>627</v>
      </c>
      <c r="B4645" s="16">
        <v>45583</v>
      </c>
      <c r="C4645" t="s">
        <v>3</v>
      </c>
      <c r="D4645" t="s">
        <v>120</v>
      </c>
      <c r="E4645" t="s">
        <v>168</v>
      </c>
      <c r="F4645">
        <v>253</v>
      </c>
      <c r="G4645">
        <v>133</v>
      </c>
      <c r="H4645">
        <v>2</v>
      </c>
      <c r="I4645">
        <v>0</v>
      </c>
      <c r="J4645">
        <v>5680</v>
      </c>
      <c r="K4645">
        <v>2</v>
      </c>
      <c r="L4645">
        <v>5680</v>
      </c>
      <c r="M4645">
        <v>2</v>
      </c>
      <c r="N4645">
        <v>14</v>
      </c>
      <c r="O4645">
        <v>253</v>
      </c>
      <c r="P4645">
        <f t="shared" si="234"/>
        <v>2024</v>
      </c>
      <c r="Q4645">
        <f t="shared" si="235"/>
        <v>10</v>
      </c>
      <c r="R4645" t="str">
        <f t="shared" si="236"/>
        <v>手猫首页</v>
      </c>
      <c r="S4645" t="s">
        <v>785</v>
      </c>
      <c r="T4645" t="s">
        <v>805</v>
      </c>
    </row>
    <row r="4646" spans="1:20" x14ac:dyDescent="0.3">
      <c r="A4646" t="s">
        <v>627</v>
      </c>
      <c r="B4646" s="16">
        <v>45583</v>
      </c>
      <c r="C4646" t="s">
        <v>3</v>
      </c>
      <c r="D4646" t="s">
        <v>123</v>
      </c>
      <c r="E4646" t="s">
        <v>169</v>
      </c>
      <c r="F4646">
        <v>351</v>
      </c>
      <c r="G4646">
        <v>154</v>
      </c>
      <c r="H4646">
        <v>25</v>
      </c>
      <c r="I4646">
        <v>2</v>
      </c>
      <c r="J4646">
        <v>18060</v>
      </c>
      <c r="K4646">
        <v>4</v>
      </c>
      <c r="L4646">
        <v>9480</v>
      </c>
      <c r="M4646">
        <v>3</v>
      </c>
      <c r="N4646">
        <v>52</v>
      </c>
      <c r="O4646">
        <v>348</v>
      </c>
      <c r="P4646">
        <f t="shared" si="234"/>
        <v>2024</v>
      </c>
      <c r="Q4646">
        <f t="shared" si="235"/>
        <v>10</v>
      </c>
      <c r="R4646" t="str">
        <f t="shared" si="236"/>
        <v>商品详情页头图推荐</v>
      </c>
      <c r="S4646" t="s">
        <v>785</v>
      </c>
      <c r="T4646" t="s">
        <v>805</v>
      </c>
    </row>
    <row r="4647" spans="1:20" x14ac:dyDescent="0.3">
      <c r="A4647" t="s">
        <v>627</v>
      </c>
      <c r="B4647" s="16">
        <v>45583</v>
      </c>
      <c r="C4647" t="s">
        <v>3</v>
      </c>
      <c r="D4647" t="s">
        <v>123</v>
      </c>
      <c r="E4647" t="s">
        <v>170</v>
      </c>
      <c r="F4647">
        <v>60</v>
      </c>
      <c r="G4647">
        <v>26</v>
      </c>
      <c r="H4647">
        <v>4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53</v>
      </c>
      <c r="O4647">
        <v>32</v>
      </c>
      <c r="P4647">
        <f t="shared" si="234"/>
        <v>2024</v>
      </c>
      <c r="Q4647">
        <f t="shared" si="235"/>
        <v>10</v>
      </c>
      <c r="R4647" t="str">
        <f t="shared" si="236"/>
        <v>店铺超链</v>
      </c>
      <c r="S4647" t="s">
        <v>785</v>
      </c>
      <c r="T4647" t="s">
        <v>805</v>
      </c>
    </row>
    <row r="4648" spans="1:20" x14ac:dyDescent="0.3">
      <c r="A4648" t="s">
        <v>627</v>
      </c>
      <c r="B4648" s="16">
        <v>45583</v>
      </c>
      <c r="C4648" t="s">
        <v>2</v>
      </c>
      <c r="D4648" t="s">
        <v>52</v>
      </c>
      <c r="E4648" t="s">
        <v>59</v>
      </c>
      <c r="F4648">
        <v>1178</v>
      </c>
      <c r="G4648">
        <v>916</v>
      </c>
      <c r="H4648">
        <v>7</v>
      </c>
      <c r="I4648">
        <v>3</v>
      </c>
      <c r="J4648">
        <v>2500</v>
      </c>
      <c r="K4648">
        <v>1</v>
      </c>
      <c r="L4648">
        <v>2500</v>
      </c>
      <c r="M4648">
        <v>1</v>
      </c>
      <c r="N4648">
        <v>1018</v>
      </c>
      <c r="O4648">
        <v>161</v>
      </c>
      <c r="P4648">
        <f t="shared" si="234"/>
        <v>2024</v>
      </c>
      <c r="Q4648">
        <f t="shared" si="235"/>
        <v>10</v>
      </c>
      <c r="R4648" t="s">
        <v>171</v>
      </c>
      <c r="S4648" t="s">
        <v>785</v>
      </c>
      <c r="T4648" t="s">
        <v>805</v>
      </c>
    </row>
    <row r="4649" spans="1:20" x14ac:dyDescent="0.3">
      <c r="A4649" t="s">
        <v>627</v>
      </c>
      <c r="B4649" s="16">
        <v>45583</v>
      </c>
      <c r="C4649" t="s">
        <v>3</v>
      </c>
      <c r="D4649" t="s">
        <v>127</v>
      </c>
      <c r="E4649" t="s">
        <v>172</v>
      </c>
      <c r="F4649">
        <v>24</v>
      </c>
      <c r="G4649">
        <v>17</v>
      </c>
      <c r="H4649">
        <v>1</v>
      </c>
      <c r="I4649">
        <v>1</v>
      </c>
      <c r="J4649">
        <v>0</v>
      </c>
      <c r="K4649">
        <v>0</v>
      </c>
      <c r="L4649">
        <v>0</v>
      </c>
      <c r="M4649">
        <v>0</v>
      </c>
      <c r="N4649">
        <v>9</v>
      </c>
      <c r="O4649">
        <v>14</v>
      </c>
      <c r="P4649">
        <f t="shared" ref="P4649:P4712" si="237">YEAR(B4649)</f>
        <v>2024</v>
      </c>
      <c r="Q4649">
        <f t="shared" ref="Q4649:Q4712" si="238">MONTH(B4649)</f>
        <v>10</v>
      </c>
      <c r="R4649" t="str">
        <f t="shared" ref="R4649:R4712" si="239">E4649</f>
        <v>购中推荐</v>
      </c>
      <c r="S4649" t="s">
        <v>785</v>
      </c>
      <c r="T4649" t="s">
        <v>805</v>
      </c>
    </row>
    <row r="4650" spans="1:20" x14ac:dyDescent="0.3">
      <c r="A4650" t="s">
        <v>627</v>
      </c>
      <c r="B4650" s="16">
        <v>45583</v>
      </c>
      <c r="C4650" t="s">
        <v>3</v>
      </c>
      <c r="D4650" t="s">
        <v>127</v>
      </c>
      <c r="E4650" t="s">
        <v>173</v>
      </c>
      <c r="F4650">
        <v>89</v>
      </c>
      <c r="G4650">
        <v>71</v>
      </c>
      <c r="H4650">
        <v>3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60</v>
      </c>
      <c r="O4650">
        <v>20</v>
      </c>
      <c r="P4650">
        <f t="shared" si="237"/>
        <v>2024</v>
      </c>
      <c r="Q4650">
        <f t="shared" si="238"/>
        <v>10</v>
      </c>
      <c r="R4650" t="str">
        <f t="shared" si="239"/>
        <v>购后推荐</v>
      </c>
      <c r="S4650" t="s">
        <v>785</v>
      </c>
      <c r="T4650" t="s">
        <v>805</v>
      </c>
    </row>
    <row r="4651" spans="1:20" x14ac:dyDescent="0.3">
      <c r="A4651" t="s">
        <v>627</v>
      </c>
      <c r="B4651" s="16">
        <v>45583</v>
      </c>
      <c r="C4651" t="s">
        <v>3</v>
      </c>
      <c r="D4651" t="s">
        <v>127</v>
      </c>
      <c r="E4651" t="s">
        <v>174</v>
      </c>
      <c r="F4651">
        <v>3875</v>
      </c>
      <c r="G4651">
        <v>2326</v>
      </c>
      <c r="H4651">
        <v>120</v>
      </c>
      <c r="I4651">
        <v>43</v>
      </c>
      <c r="J4651">
        <v>68547</v>
      </c>
      <c r="K4651">
        <v>13</v>
      </c>
      <c r="L4651">
        <v>20454</v>
      </c>
      <c r="M4651">
        <v>7</v>
      </c>
      <c r="N4651">
        <v>260</v>
      </c>
      <c r="O4651">
        <v>3875</v>
      </c>
      <c r="P4651">
        <f t="shared" si="237"/>
        <v>2024</v>
      </c>
      <c r="Q4651">
        <f t="shared" si="238"/>
        <v>10</v>
      </c>
      <c r="R4651" t="str">
        <f t="shared" si="239"/>
        <v>首页推荐-微详情</v>
      </c>
      <c r="S4651" t="s">
        <v>785</v>
      </c>
      <c r="T4651" t="s">
        <v>805</v>
      </c>
    </row>
    <row r="4652" spans="1:20" x14ac:dyDescent="0.3">
      <c r="A4652" t="s">
        <v>627</v>
      </c>
      <c r="B4652" s="16">
        <v>45583</v>
      </c>
      <c r="C4652" t="s">
        <v>3</v>
      </c>
      <c r="D4652" t="s">
        <v>127</v>
      </c>
      <c r="E4652" t="s">
        <v>175</v>
      </c>
      <c r="F4652">
        <v>94</v>
      </c>
      <c r="G4652">
        <v>48</v>
      </c>
      <c r="H4652">
        <v>2</v>
      </c>
      <c r="I4652">
        <v>1</v>
      </c>
      <c r="J4652">
        <v>0</v>
      </c>
      <c r="K4652">
        <v>0</v>
      </c>
      <c r="L4652">
        <v>0</v>
      </c>
      <c r="M4652">
        <v>0</v>
      </c>
      <c r="N4652">
        <v>1</v>
      </c>
      <c r="O4652">
        <v>13</v>
      </c>
      <c r="P4652">
        <f t="shared" si="237"/>
        <v>2024</v>
      </c>
      <c r="Q4652">
        <f t="shared" si="238"/>
        <v>10</v>
      </c>
      <c r="R4652" t="str">
        <f t="shared" si="239"/>
        <v>首页推荐-直播</v>
      </c>
      <c r="S4652" t="s">
        <v>785</v>
      </c>
      <c r="T4652" t="s">
        <v>805</v>
      </c>
    </row>
    <row r="4653" spans="1:20" x14ac:dyDescent="0.3">
      <c r="A4653" t="s">
        <v>627</v>
      </c>
      <c r="B4653" s="16">
        <v>45583</v>
      </c>
      <c r="C4653" t="s">
        <v>3</v>
      </c>
      <c r="D4653" t="s">
        <v>127</v>
      </c>
      <c r="E4653" t="s">
        <v>176</v>
      </c>
      <c r="F4653">
        <v>614</v>
      </c>
      <c r="G4653">
        <v>333</v>
      </c>
      <c r="H4653">
        <v>7</v>
      </c>
      <c r="I4653">
        <v>4</v>
      </c>
      <c r="J4653">
        <v>0</v>
      </c>
      <c r="K4653">
        <v>0</v>
      </c>
      <c r="L4653">
        <v>0</v>
      </c>
      <c r="M4653">
        <v>0</v>
      </c>
      <c r="N4653">
        <v>31</v>
      </c>
      <c r="O4653">
        <v>168</v>
      </c>
      <c r="P4653">
        <f t="shared" si="237"/>
        <v>2024</v>
      </c>
      <c r="Q4653">
        <f t="shared" si="238"/>
        <v>10</v>
      </c>
      <c r="R4653" t="str">
        <f t="shared" si="239"/>
        <v>首页推荐-短视频</v>
      </c>
      <c r="S4653" t="s">
        <v>785</v>
      </c>
      <c r="T4653" t="s">
        <v>805</v>
      </c>
    </row>
    <row r="4654" spans="1:20" x14ac:dyDescent="0.3">
      <c r="A4654" t="s">
        <v>627</v>
      </c>
      <c r="B4654" s="16">
        <v>45583</v>
      </c>
      <c r="C4654" t="s">
        <v>3</v>
      </c>
      <c r="D4654" t="s">
        <v>128</v>
      </c>
      <c r="E4654" t="s">
        <v>177</v>
      </c>
      <c r="F4654">
        <v>939</v>
      </c>
      <c r="G4654">
        <v>719</v>
      </c>
      <c r="H4654">
        <v>69</v>
      </c>
      <c r="I4654">
        <v>8</v>
      </c>
      <c r="J4654">
        <v>202796</v>
      </c>
      <c r="K4654">
        <v>5</v>
      </c>
      <c r="L4654">
        <v>11233</v>
      </c>
      <c r="M4654">
        <v>3</v>
      </c>
      <c r="N4654">
        <v>270</v>
      </c>
      <c r="O4654">
        <v>821</v>
      </c>
      <c r="P4654">
        <f t="shared" si="237"/>
        <v>2024</v>
      </c>
      <c r="Q4654">
        <f t="shared" si="238"/>
        <v>10</v>
      </c>
      <c r="R4654" t="str">
        <f t="shared" si="239"/>
        <v>手淘搜索-商品及其他</v>
      </c>
      <c r="S4654" t="s">
        <v>785</v>
      </c>
      <c r="T4654" t="s">
        <v>805</v>
      </c>
    </row>
    <row r="4655" spans="1:20" x14ac:dyDescent="0.3">
      <c r="A4655" t="s">
        <v>627</v>
      </c>
      <c r="B4655" s="16">
        <v>45583</v>
      </c>
      <c r="C4655" t="s">
        <v>3</v>
      </c>
      <c r="D4655" t="s">
        <v>128</v>
      </c>
      <c r="E4655" t="s">
        <v>178</v>
      </c>
      <c r="F4655">
        <v>13</v>
      </c>
      <c r="G4655">
        <v>7</v>
      </c>
      <c r="H4655">
        <v>0</v>
      </c>
      <c r="I4655">
        <v>1</v>
      </c>
      <c r="J4655">
        <v>7623</v>
      </c>
      <c r="K4655">
        <v>1</v>
      </c>
      <c r="L4655">
        <v>7623</v>
      </c>
      <c r="M4655">
        <v>1</v>
      </c>
      <c r="N4655">
        <v>0</v>
      </c>
      <c r="O4655">
        <v>13</v>
      </c>
      <c r="P4655">
        <f t="shared" si="237"/>
        <v>2024</v>
      </c>
      <c r="Q4655">
        <f t="shared" si="238"/>
        <v>10</v>
      </c>
      <c r="R4655" t="str">
        <f t="shared" si="239"/>
        <v>手淘搜索-直播</v>
      </c>
      <c r="S4655" t="s">
        <v>785</v>
      </c>
      <c r="T4655" t="s">
        <v>805</v>
      </c>
    </row>
    <row r="4656" spans="1:20" x14ac:dyDescent="0.3">
      <c r="A4656" t="s">
        <v>627</v>
      </c>
      <c r="B4656" s="16">
        <v>45583</v>
      </c>
      <c r="C4656" t="s">
        <v>3</v>
      </c>
      <c r="D4656" t="s">
        <v>128</v>
      </c>
      <c r="E4656" t="s">
        <v>179</v>
      </c>
      <c r="F4656">
        <v>4</v>
      </c>
      <c r="G4656">
        <v>4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3</v>
      </c>
      <c r="P4656">
        <f t="shared" si="237"/>
        <v>2024</v>
      </c>
      <c r="Q4656">
        <f t="shared" si="238"/>
        <v>10</v>
      </c>
      <c r="R4656" t="str">
        <f t="shared" si="239"/>
        <v>手淘搜索-短视频</v>
      </c>
      <c r="S4656" t="s">
        <v>785</v>
      </c>
      <c r="T4656" t="s">
        <v>805</v>
      </c>
    </row>
    <row r="4657" spans="1:20" x14ac:dyDescent="0.3">
      <c r="A4657" t="s">
        <v>627</v>
      </c>
      <c r="B4657" s="16">
        <v>45583</v>
      </c>
      <c r="C4657" t="s">
        <v>3</v>
      </c>
      <c r="D4657" t="s">
        <v>143</v>
      </c>
      <c r="E4657" t="s">
        <v>180</v>
      </c>
      <c r="F4657">
        <v>18</v>
      </c>
      <c r="G4657">
        <v>18</v>
      </c>
      <c r="H4657">
        <v>0</v>
      </c>
      <c r="I4657">
        <v>1</v>
      </c>
      <c r="J4657">
        <v>0</v>
      </c>
      <c r="K4657">
        <v>0</v>
      </c>
      <c r="L4657">
        <v>0</v>
      </c>
      <c r="M4657">
        <v>0</v>
      </c>
      <c r="N4657">
        <v>1</v>
      </c>
      <c r="O4657">
        <v>18</v>
      </c>
      <c r="P4657">
        <f t="shared" si="237"/>
        <v>2024</v>
      </c>
      <c r="Q4657">
        <f t="shared" si="238"/>
        <v>10</v>
      </c>
      <c r="R4657" t="str">
        <f t="shared" si="239"/>
        <v>淘特其他渠道</v>
      </c>
      <c r="S4657" t="s">
        <v>785</v>
      </c>
      <c r="T4657" t="s">
        <v>805</v>
      </c>
    </row>
    <row r="4658" spans="1:20" x14ac:dyDescent="0.3">
      <c r="A4658" t="s">
        <v>627</v>
      </c>
      <c r="B4658" s="16">
        <v>45583</v>
      </c>
      <c r="C4658" t="s">
        <v>3</v>
      </c>
      <c r="D4658" t="s">
        <v>143</v>
      </c>
      <c r="E4658" t="s">
        <v>181</v>
      </c>
      <c r="F4658">
        <v>2</v>
      </c>
      <c r="G4658">
        <v>2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2</v>
      </c>
      <c r="P4658">
        <f t="shared" si="237"/>
        <v>2024</v>
      </c>
      <c r="Q4658">
        <f t="shared" si="238"/>
        <v>10</v>
      </c>
      <c r="R4658" t="str">
        <f t="shared" si="239"/>
        <v>淘特搜索</v>
      </c>
      <c r="S4658" t="s">
        <v>785</v>
      </c>
      <c r="T4658" t="s">
        <v>805</v>
      </c>
    </row>
    <row r="4659" spans="1:20" x14ac:dyDescent="0.3">
      <c r="A4659" t="s">
        <v>627</v>
      </c>
      <c r="B4659" s="16">
        <v>45583</v>
      </c>
      <c r="C4659" t="s">
        <v>2</v>
      </c>
      <c r="D4659" t="s">
        <v>55</v>
      </c>
      <c r="E4659" t="s">
        <v>54</v>
      </c>
      <c r="F4659">
        <v>1331</v>
      </c>
      <c r="G4659">
        <v>1136</v>
      </c>
      <c r="H4659">
        <v>11</v>
      </c>
      <c r="I4659">
        <v>1</v>
      </c>
      <c r="J4659">
        <v>0</v>
      </c>
      <c r="K4659">
        <v>0</v>
      </c>
      <c r="L4659">
        <v>0</v>
      </c>
      <c r="M4659">
        <v>0</v>
      </c>
      <c r="N4659">
        <v>13</v>
      </c>
      <c r="O4659">
        <v>125</v>
      </c>
      <c r="P4659">
        <f t="shared" si="237"/>
        <v>2024</v>
      </c>
      <c r="Q4659">
        <f t="shared" si="238"/>
        <v>10</v>
      </c>
      <c r="R4659" t="str">
        <f t="shared" si="239"/>
        <v>超级直播</v>
      </c>
      <c r="S4659" t="s">
        <v>785</v>
      </c>
      <c r="T4659" t="s">
        <v>805</v>
      </c>
    </row>
    <row r="4660" spans="1:20" x14ac:dyDescent="0.3">
      <c r="A4660" t="s">
        <v>627</v>
      </c>
      <c r="B4660" s="16">
        <v>45583</v>
      </c>
      <c r="C4660" t="s">
        <v>2</v>
      </c>
      <c r="D4660" t="s">
        <v>55</v>
      </c>
      <c r="E4660" t="s">
        <v>56</v>
      </c>
      <c r="F4660">
        <v>97</v>
      </c>
      <c r="G4660">
        <v>79</v>
      </c>
      <c r="H4660">
        <v>2</v>
      </c>
      <c r="I4660">
        <v>1</v>
      </c>
      <c r="J4660">
        <v>0</v>
      </c>
      <c r="K4660">
        <v>0</v>
      </c>
      <c r="L4660">
        <v>0</v>
      </c>
      <c r="M4660">
        <v>0</v>
      </c>
      <c r="N4660">
        <v>2</v>
      </c>
      <c r="O4660">
        <v>77</v>
      </c>
      <c r="P4660">
        <f t="shared" si="237"/>
        <v>2024</v>
      </c>
      <c r="Q4660">
        <f t="shared" si="238"/>
        <v>10</v>
      </c>
      <c r="R4660" t="str">
        <f t="shared" si="239"/>
        <v>超级短视频</v>
      </c>
      <c r="S4660" t="s">
        <v>785</v>
      </c>
      <c r="T4660" t="s">
        <v>805</v>
      </c>
    </row>
    <row r="4661" spans="1:20" x14ac:dyDescent="0.3">
      <c r="A4661" t="s">
        <v>627</v>
      </c>
      <c r="B4661" s="16">
        <v>45583</v>
      </c>
      <c r="C4661" t="s">
        <v>2</v>
      </c>
      <c r="D4661" t="s">
        <v>52</v>
      </c>
      <c r="E4661" t="s">
        <v>53</v>
      </c>
      <c r="F4661">
        <v>2</v>
      </c>
      <c r="G4661">
        <v>2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2</v>
      </c>
      <c r="O4661">
        <v>1</v>
      </c>
      <c r="P4661">
        <f t="shared" si="237"/>
        <v>2024</v>
      </c>
      <c r="Q4661">
        <f t="shared" si="238"/>
        <v>10</v>
      </c>
      <c r="R4661" t="str">
        <f t="shared" si="239"/>
        <v>Showmax</v>
      </c>
      <c r="S4661" t="s">
        <v>785</v>
      </c>
      <c r="T4661" t="s">
        <v>805</v>
      </c>
    </row>
    <row r="4662" spans="1:20" x14ac:dyDescent="0.3">
      <c r="A4662" t="s">
        <v>627</v>
      </c>
      <c r="B4662" s="16">
        <v>45583</v>
      </c>
      <c r="C4662" t="s">
        <v>2</v>
      </c>
      <c r="D4662" t="s">
        <v>52</v>
      </c>
      <c r="E4662" t="s">
        <v>59</v>
      </c>
      <c r="F4662">
        <v>1</v>
      </c>
      <c r="G4662">
        <v>1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1</v>
      </c>
      <c r="O4662">
        <v>0</v>
      </c>
      <c r="P4662">
        <f t="shared" si="237"/>
        <v>2024</v>
      </c>
      <c r="Q4662">
        <f t="shared" si="238"/>
        <v>10</v>
      </c>
      <c r="R4662" t="str">
        <f t="shared" si="239"/>
        <v>品牌特秀</v>
      </c>
      <c r="S4662" t="s">
        <v>785</v>
      </c>
      <c r="T4662" t="s">
        <v>805</v>
      </c>
    </row>
    <row r="4663" spans="1:20" x14ac:dyDescent="0.3">
      <c r="A4663" t="s">
        <v>627</v>
      </c>
      <c r="B4663" s="16">
        <v>45583</v>
      </c>
      <c r="C4663" t="s">
        <v>2</v>
      </c>
      <c r="D4663" t="s">
        <v>52</v>
      </c>
      <c r="E4663" t="s">
        <v>183</v>
      </c>
      <c r="F4663">
        <v>681</v>
      </c>
      <c r="G4663">
        <v>523</v>
      </c>
      <c r="H4663">
        <v>35</v>
      </c>
      <c r="I4663">
        <v>6</v>
      </c>
      <c r="J4663">
        <v>477961</v>
      </c>
      <c r="K4663">
        <v>9</v>
      </c>
      <c r="L4663">
        <v>44521</v>
      </c>
      <c r="M4663">
        <v>8</v>
      </c>
      <c r="N4663">
        <v>681</v>
      </c>
      <c r="O4663">
        <v>398</v>
      </c>
      <c r="P4663">
        <f t="shared" si="237"/>
        <v>2024</v>
      </c>
      <c r="Q4663">
        <f t="shared" si="238"/>
        <v>10</v>
      </c>
      <c r="R4663" t="str">
        <f t="shared" si="239"/>
        <v>品销宝-品牌专区</v>
      </c>
      <c r="S4663" t="s">
        <v>785</v>
      </c>
      <c r="T4663" t="s">
        <v>805</v>
      </c>
    </row>
    <row r="4664" spans="1:20" x14ac:dyDescent="0.3">
      <c r="A4664" t="s">
        <v>627</v>
      </c>
      <c r="B4664" s="16">
        <v>45583</v>
      </c>
      <c r="C4664" t="s">
        <v>2</v>
      </c>
      <c r="D4664" t="s">
        <v>57</v>
      </c>
      <c r="E4664" t="s">
        <v>65</v>
      </c>
      <c r="F4664">
        <v>4112</v>
      </c>
      <c r="G4664">
        <v>3597</v>
      </c>
      <c r="H4664">
        <v>141</v>
      </c>
      <c r="I4664">
        <v>22</v>
      </c>
      <c r="J4664">
        <v>240633.86</v>
      </c>
      <c r="K4664">
        <v>10</v>
      </c>
      <c r="L4664">
        <v>23496</v>
      </c>
      <c r="M4664">
        <v>4</v>
      </c>
      <c r="N4664">
        <v>294</v>
      </c>
      <c r="O4664">
        <v>4079</v>
      </c>
      <c r="P4664">
        <f t="shared" si="237"/>
        <v>2024</v>
      </c>
      <c r="Q4664">
        <f t="shared" si="238"/>
        <v>10</v>
      </c>
      <c r="R4664" t="str">
        <f t="shared" si="239"/>
        <v>直通车</v>
      </c>
      <c r="S4664" t="s">
        <v>785</v>
      </c>
      <c r="T4664" t="s">
        <v>805</v>
      </c>
    </row>
    <row r="4665" spans="1:20" x14ac:dyDescent="0.3">
      <c r="A4665" t="s">
        <v>627</v>
      </c>
      <c r="B4665" s="16">
        <v>45583</v>
      </c>
      <c r="C4665" t="s">
        <v>2</v>
      </c>
      <c r="D4665" t="s">
        <v>57</v>
      </c>
      <c r="E4665" t="s">
        <v>63</v>
      </c>
      <c r="F4665">
        <v>3342</v>
      </c>
      <c r="G4665">
        <v>1703</v>
      </c>
      <c r="H4665">
        <v>111</v>
      </c>
      <c r="I4665">
        <v>54</v>
      </c>
      <c r="J4665">
        <v>52498</v>
      </c>
      <c r="K4665">
        <v>9</v>
      </c>
      <c r="L4665">
        <v>19703</v>
      </c>
      <c r="M4665">
        <v>5</v>
      </c>
      <c r="N4665">
        <v>128</v>
      </c>
      <c r="O4665">
        <v>3336</v>
      </c>
      <c r="P4665">
        <f t="shared" si="237"/>
        <v>2024</v>
      </c>
      <c r="Q4665">
        <f t="shared" si="238"/>
        <v>10</v>
      </c>
      <c r="R4665" t="str">
        <f t="shared" si="239"/>
        <v>万相台</v>
      </c>
      <c r="S4665" t="s">
        <v>785</v>
      </c>
      <c r="T4665" t="s">
        <v>805</v>
      </c>
    </row>
    <row r="4666" spans="1:20" x14ac:dyDescent="0.3">
      <c r="A4666" t="s">
        <v>627</v>
      </c>
      <c r="B4666" s="16">
        <v>45583</v>
      </c>
      <c r="C4666" t="s">
        <v>2</v>
      </c>
      <c r="D4666" t="s">
        <v>57</v>
      </c>
      <c r="E4666" t="s">
        <v>64</v>
      </c>
      <c r="F4666">
        <v>6083</v>
      </c>
      <c r="G4666">
        <v>2787</v>
      </c>
      <c r="H4666">
        <v>141</v>
      </c>
      <c r="I4666">
        <v>68</v>
      </c>
      <c r="J4666">
        <v>44403</v>
      </c>
      <c r="K4666">
        <v>7</v>
      </c>
      <c r="L4666">
        <v>8980</v>
      </c>
      <c r="M4666">
        <v>2</v>
      </c>
      <c r="N4666">
        <v>384</v>
      </c>
      <c r="O4666">
        <v>6079</v>
      </c>
      <c r="P4666">
        <f t="shared" si="237"/>
        <v>2024</v>
      </c>
      <c r="Q4666">
        <f t="shared" si="238"/>
        <v>10</v>
      </c>
      <c r="R4666" t="str">
        <f t="shared" si="239"/>
        <v>引力魔方</v>
      </c>
      <c r="S4666" t="s">
        <v>785</v>
      </c>
      <c r="T4666" t="s">
        <v>805</v>
      </c>
    </row>
    <row r="4667" spans="1:20" x14ac:dyDescent="0.3">
      <c r="A4667" t="s">
        <v>627</v>
      </c>
      <c r="B4667" s="16">
        <v>45583</v>
      </c>
      <c r="C4667" t="s">
        <v>2</v>
      </c>
      <c r="D4667" t="s">
        <v>4</v>
      </c>
      <c r="E4667" t="s">
        <v>41</v>
      </c>
      <c r="F4667">
        <v>4</v>
      </c>
      <c r="G4667">
        <v>3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1</v>
      </c>
      <c r="O4667">
        <v>4</v>
      </c>
      <c r="P4667">
        <f t="shared" si="237"/>
        <v>2024</v>
      </c>
      <c r="Q4667">
        <f t="shared" si="238"/>
        <v>10</v>
      </c>
      <c r="R4667" t="str">
        <f t="shared" si="239"/>
        <v>流量宝</v>
      </c>
      <c r="S4667" t="s">
        <v>785</v>
      </c>
      <c r="T4667" t="s">
        <v>805</v>
      </c>
    </row>
    <row r="4668" spans="1:20" x14ac:dyDescent="0.3">
      <c r="A4668" t="s">
        <v>627</v>
      </c>
      <c r="B4668" s="16">
        <v>45583</v>
      </c>
      <c r="C4668" t="s">
        <v>2</v>
      </c>
      <c r="D4668" t="s">
        <v>4</v>
      </c>
      <c r="E4668" t="s">
        <v>43</v>
      </c>
      <c r="F4668">
        <v>1009</v>
      </c>
      <c r="G4668">
        <v>216</v>
      </c>
      <c r="H4668">
        <v>7</v>
      </c>
      <c r="I4668">
        <v>0</v>
      </c>
      <c r="J4668">
        <v>21528</v>
      </c>
      <c r="K4668">
        <v>4</v>
      </c>
      <c r="L4668">
        <v>15538</v>
      </c>
      <c r="M4668">
        <v>3</v>
      </c>
      <c r="N4668">
        <v>17</v>
      </c>
      <c r="O4668">
        <v>1000</v>
      </c>
      <c r="P4668">
        <f t="shared" si="237"/>
        <v>2024</v>
      </c>
      <c r="Q4668">
        <f t="shared" si="238"/>
        <v>10</v>
      </c>
      <c r="R4668" t="str">
        <f t="shared" si="239"/>
        <v>淘宝客</v>
      </c>
      <c r="S4668" t="s">
        <v>785</v>
      </c>
      <c r="T4668" t="s">
        <v>805</v>
      </c>
    </row>
    <row r="4669" spans="1:20" x14ac:dyDescent="0.3">
      <c r="A4669" t="s">
        <v>627</v>
      </c>
      <c r="B4669" s="16">
        <v>45582</v>
      </c>
      <c r="C4669" t="s">
        <v>3</v>
      </c>
      <c r="D4669" t="s">
        <v>114</v>
      </c>
      <c r="E4669" t="s">
        <v>159</v>
      </c>
      <c r="F4669">
        <v>556</v>
      </c>
      <c r="G4669">
        <v>520</v>
      </c>
      <c r="H4669">
        <v>3</v>
      </c>
      <c r="I4669">
        <v>3</v>
      </c>
      <c r="J4669">
        <v>0</v>
      </c>
      <c r="K4669">
        <v>0</v>
      </c>
      <c r="L4669">
        <v>0</v>
      </c>
      <c r="M4669">
        <v>0</v>
      </c>
      <c r="N4669">
        <v>37</v>
      </c>
      <c r="O4669">
        <v>536</v>
      </c>
      <c r="P4669">
        <f t="shared" si="237"/>
        <v>2024</v>
      </c>
      <c r="Q4669">
        <f t="shared" si="238"/>
        <v>10</v>
      </c>
      <c r="R4669" t="str">
        <f t="shared" si="239"/>
        <v>主会场</v>
      </c>
      <c r="S4669" t="s">
        <v>785</v>
      </c>
      <c r="T4669" t="s">
        <v>805</v>
      </c>
    </row>
    <row r="4670" spans="1:20" x14ac:dyDescent="0.3">
      <c r="A4670" t="s">
        <v>627</v>
      </c>
      <c r="B4670" s="16">
        <v>45582</v>
      </c>
      <c r="C4670" t="s">
        <v>3</v>
      </c>
      <c r="D4670" t="s">
        <v>120</v>
      </c>
      <c r="E4670" t="s">
        <v>163</v>
      </c>
      <c r="F4670">
        <v>33</v>
      </c>
      <c r="G4670">
        <v>19</v>
      </c>
      <c r="H4670">
        <v>1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11</v>
      </c>
      <c r="O4670">
        <v>30</v>
      </c>
      <c r="P4670">
        <f t="shared" si="237"/>
        <v>2024</v>
      </c>
      <c r="Q4670">
        <f t="shared" si="238"/>
        <v>10</v>
      </c>
      <c r="R4670" t="str">
        <f t="shared" si="239"/>
        <v>手猫免费其他</v>
      </c>
      <c r="S4670" t="s">
        <v>785</v>
      </c>
      <c r="T4670" t="s">
        <v>805</v>
      </c>
    </row>
    <row r="4671" spans="1:20" x14ac:dyDescent="0.3">
      <c r="A4671" t="s">
        <v>627</v>
      </c>
      <c r="B4671" s="16">
        <v>45582</v>
      </c>
      <c r="C4671" t="s">
        <v>3</v>
      </c>
      <c r="D4671" t="s">
        <v>120</v>
      </c>
      <c r="E4671" t="s">
        <v>164</v>
      </c>
      <c r="F4671">
        <v>25</v>
      </c>
      <c r="G4671">
        <v>11</v>
      </c>
      <c r="H4671">
        <v>2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25</v>
      </c>
      <c r="P4671">
        <f t="shared" si="237"/>
        <v>2024</v>
      </c>
      <c r="Q4671">
        <f t="shared" si="238"/>
        <v>10</v>
      </c>
      <c r="R4671" t="str">
        <f t="shared" si="239"/>
        <v>手猫其他店铺</v>
      </c>
      <c r="S4671" t="s">
        <v>785</v>
      </c>
      <c r="T4671" t="s">
        <v>805</v>
      </c>
    </row>
    <row r="4672" spans="1:20" x14ac:dyDescent="0.3">
      <c r="A4672" t="s">
        <v>627</v>
      </c>
      <c r="B4672" s="16">
        <v>45582</v>
      </c>
      <c r="C4672" t="s">
        <v>3</v>
      </c>
      <c r="D4672" t="s">
        <v>120</v>
      </c>
      <c r="E4672" t="s">
        <v>165</v>
      </c>
      <c r="F4672">
        <v>23</v>
      </c>
      <c r="G4672">
        <v>12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2</v>
      </c>
      <c r="O4672">
        <v>23</v>
      </c>
      <c r="P4672">
        <f t="shared" si="237"/>
        <v>2024</v>
      </c>
      <c r="Q4672">
        <f t="shared" si="238"/>
        <v>10</v>
      </c>
      <c r="R4672" t="str">
        <f t="shared" si="239"/>
        <v>手猫商品详情</v>
      </c>
      <c r="S4672" t="s">
        <v>785</v>
      </c>
      <c r="T4672" t="s">
        <v>805</v>
      </c>
    </row>
    <row r="4673" spans="1:20" x14ac:dyDescent="0.3">
      <c r="A4673" t="s">
        <v>627</v>
      </c>
      <c r="B4673" s="16">
        <v>45582</v>
      </c>
      <c r="C4673" t="s">
        <v>3</v>
      </c>
      <c r="D4673" t="s">
        <v>120</v>
      </c>
      <c r="E4673" t="s">
        <v>166</v>
      </c>
      <c r="F4673">
        <v>45</v>
      </c>
      <c r="G4673">
        <v>31</v>
      </c>
      <c r="H4673">
        <v>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17</v>
      </c>
      <c r="O4673">
        <v>39</v>
      </c>
      <c r="P4673">
        <f t="shared" si="237"/>
        <v>2024</v>
      </c>
      <c r="Q4673">
        <f t="shared" si="238"/>
        <v>10</v>
      </c>
      <c r="R4673" t="str">
        <f t="shared" si="239"/>
        <v>手猫搜索</v>
      </c>
      <c r="S4673" t="s">
        <v>785</v>
      </c>
      <c r="T4673" t="s">
        <v>805</v>
      </c>
    </row>
    <row r="4674" spans="1:20" x14ac:dyDescent="0.3">
      <c r="A4674" t="s">
        <v>627</v>
      </c>
      <c r="B4674" s="16">
        <v>45582</v>
      </c>
      <c r="C4674" t="s">
        <v>3</v>
      </c>
      <c r="D4674" t="s">
        <v>120</v>
      </c>
      <c r="E4674" t="s">
        <v>167</v>
      </c>
      <c r="F4674">
        <v>2</v>
      </c>
      <c r="G4674">
        <v>1</v>
      </c>
      <c r="H4674">
        <v>1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1</v>
      </c>
      <c r="O4674">
        <v>1</v>
      </c>
      <c r="P4674">
        <f t="shared" si="237"/>
        <v>2024</v>
      </c>
      <c r="Q4674">
        <f t="shared" si="238"/>
        <v>10</v>
      </c>
      <c r="R4674" t="str">
        <f t="shared" si="239"/>
        <v>手猫旺信聊天</v>
      </c>
      <c r="S4674" t="s">
        <v>785</v>
      </c>
      <c r="T4674" t="s">
        <v>805</v>
      </c>
    </row>
    <row r="4675" spans="1:20" x14ac:dyDescent="0.3">
      <c r="A4675" t="s">
        <v>627</v>
      </c>
      <c r="B4675" s="16">
        <v>45582</v>
      </c>
      <c r="C4675" t="s">
        <v>3</v>
      </c>
      <c r="D4675" t="s">
        <v>120</v>
      </c>
      <c r="E4675" t="s">
        <v>192</v>
      </c>
      <c r="F4675">
        <v>6</v>
      </c>
      <c r="G4675">
        <v>1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1</v>
      </c>
      <c r="O4675">
        <v>6</v>
      </c>
      <c r="P4675">
        <f t="shared" si="237"/>
        <v>2024</v>
      </c>
      <c r="Q4675">
        <f t="shared" si="238"/>
        <v>10</v>
      </c>
      <c r="R4675" t="str">
        <f t="shared" si="239"/>
        <v>手猫消息中心</v>
      </c>
      <c r="S4675" t="s">
        <v>785</v>
      </c>
      <c r="T4675" t="s">
        <v>805</v>
      </c>
    </row>
    <row r="4676" spans="1:20" x14ac:dyDescent="0.3">
      <c r="A4676" t="s">
        <v>627</v>
      </c>
      <c r="B4676" s="16">
        <v>45582</v>
      </c>
      <c r="C4676" t="s">
        <v>3</v>
      </c>
      <c r="D4676" t="s">
        <v>120</v>
      </c>
      <c r="E4676" t="s">
        <v>168</v>
      </c>
      <c r="F4676">
        <v>244</v>
      </c>
      <c r="G4676">
        <v>133</v>
      </c>
      <c r="H4676">
        <v>2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12</v>
      </c>
      <c r="O4676">
        <v>244</v>
      </c>
      <c r="P4676">
        <f t="shared" si="237"/>
        <v>2024</v>
      </c>
      <c r="Q4676">
        <f t="shared" si="238"/>
        <v>10</v>
      </c>
      <c r="R4676" t="str">
        <f t="shared" si="239"/>
        <v>手猫首页</v>
      </c>
      <c r="S4676" t="s">
        <v>785</v>
      </c>
      <c r="T4676" t="s">
        <v>805</v>
      </c>
    </row>
    <row r="4677" spans="1:20" x14ac:dyDescent="0.3">
      <c r="A4677" t="s">
        <v>627</v>
      </c>
      <c r="B4677" s="16">
        <v>45582</v>
      </c>
      <c r="C4677" t="s">
        <v>3</v>
      </c>
      <c r="D4677" t="s">
        <v>123</v>
      </c>
      <c r="E4677" t="s">
        <v>169</v>
      </c>
      <c r="F4677">
        <v>323</v>
      </c>
      <c r="G4677">
        <v>136</v>
      </c>
      <c r="H4677">
        <v>16</v>
      </c>
      <c r="I4677">
        <v>7</v>
      </c>
      <c r="J4677">
        <v>0</v>
      </c>
      <c r="K4677">
        <v>0</v>
      </c>
      <c r="L4677">
        <v>0</v>
      </c>
      <c r="M4677">
        <v>0</v>
      </c>
      <c r="N4677">
        <v>37</v>
      </c>
      <c r="O4677">
        <v>317</v>
      </c>
      <c r="P4677">
        <f t="shared" si="237"/>
        <v>2024</v>
      </c>
      <c r="Q4677">
        <f t="shared" si="238"/>
        <v>10</v>
      </c>
      <c r="R4677" t="str">
        <f t="shared" si="239"/>
        <v>商品详情页头图推荐</v>
      </c>
      <c r="S4677" t="s">
        <v>785</v>
      </c>
      <c r="T4677" t="s">
        <v>805</v>
      </c>
    </row>
    <row r="4678" spans="1:20" x14ac:dyDescent="0.3">
      <c r="A4678" t="s">
        <v>627</v>
      </c>
      <c r="B4678" s="16">
        <v>45582</v>
      </c>
      <c r="C4678" t="s">
        <v>3</v>
      </c>
      <c r="D4678" t="s">
        <v>123</v>
      </c>
      <c r="E4678" t="s">
        <v>170</v>
      </c>
      <c r="F4678">
        <v>59</v>
      </c>
      <c r="G4678">
        <v>31</v>
      </c>
      <c r="H4678">
        <v>3</v>
      </c>
      <c r="I4678">
        <v>1</v>
      </c>
      <c r="J4678">
        <v>0</v>
      </c>
      <c r="K4678">
        <v>0</v>
      </c>
      <c r="L4678">
        <v>0</v>
      </c>
      <c r="M4678">
        <v>0</v>
      </c>
      <c r="N4678">
        <v>52</v>
      </c>
      <c r="O4678">
        <v>32</v>
      </c>
      <c r="P4678">
        <f t="shared" si="237"/>
        <v>2024</v>
      </c>
      <c r="Q4678">
        <f t="shared" si="238"/>
        <v>10</v>
      </c>
      <c r="R4678" t="str">
        <f t="shared" si="239"/>
        <v>店铺超链</v>
      </c>
      <c r="S4678" t="s">
        <v>785</v>
      </c>
      <c r="T4678" t="s">
        <v>805</v>
      </c>
    </row>
    <row r="4679" spans="1:20" x14ac:dyDescent="0.3">
      <c r="A4679" t="s">
        <v>627</v>
      </c>
      <c r="B4679" s="16">
        <v>45582</v>
      </c>
      <c r="C4679" t="s">
        <v>2</v>
      </c>
      <c r="D4679" t="s">
        <v>52</v>
      </c>
      <c r="E4679" t="s">
        <v>59</v>
      </c>
      <c r="F4679">
        <v>1009</v>
      </c>
      <c r="G4679">
        <v>800</v>
      </c>
      <c r="H4679">
        <v>6</v>
      </c>
      <c r="I4679">
        <v>3</v>
      </c>
      <c r="J4679">
        <v>9200</v>
      </c>
      <c r="K4679">
        <v>1</v>
      </c>
      <c r="L4679">
        <v>0</v>
      </c>
      <c r="M4679">
        <v>0</v>
      </c>
      <c r="N4679">
        <v>890</v>
      </c>
      <c r="O4679">
        <v>137</v>
      </c>
      <c r="P4679">
        <f t="shared" si="237"/>
        <v>2024</v>
      </c>
      <c r="Q4679">
        <f t="shared" si="238"/>
        <v>10</v>
      </c>
      <c r="R4679" t="s">
        <v>171</v>
      </c>
      <c r="S4679" t="s">
        <v>785</v>
      </c>
      <c r="T4679" t="s">
        <v>805</v>
      </c>
    </row>
    <row r="4680" spans="1:20" x14ac:dyDescent="0.3">
      <c r="A4680" t="s">
        <v>627</v>
      </c>
      <c r="B4680" s="16">
        <v>45582</v>
      </c>
      <c r="C4680" t="s">
        <v>3</v>
      </c>
      <c r="D4680" t="s">
        <v>127</v>
      </c>
      <c r="E4680" t="s">
        <v>172</v>
      </c>
      <c r="F4680">
        <v>16</v>
      </c>
      <c r="G4680">
        <v>8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9</v>
      </c>
      <c r="O4680">
        <v>7</v>
      </c>
      <c r="P4680">
        <f t="shared" si="237"/>
        <v>2024</v>
      </c>
      <c r="Q4680">
        <f t="shared" si="238"/>
        <v>10</v>
      </c>
      <c r="R4680" t="str">
        <f t="shared" si="239"/>
        <v>购中推荐</v>
      </c>
      <c r="S4680" t="s">
        <v>785</v>
      </c>
      <c r="T4680" t="s">
        <v>805</v>
      </c>
    </row>
    <row r="4681" spans="1:20" x14ac:dyDescent="0.3">
      <c r="A4681" t="s">
        <v>627</v>
      </c>
      <c r="B4681" s="16">
        <v>45582</v>
      </c>
      <c r="C4681" t="s">
        <v>3</v>
      </c>
      <c r="D4681" t="s">
        <v>127</v>
      </c>
      <c r="E4681" t="s">
        <v>173</v>
      </c>
      <c r="F4681">
        <v>91</v>
      </c>
      <c r="G4681">
        <v>66</v>
      </c>
      <c r="H4681">
        <v>1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59</v>
      </c>
      <c r="O4681">
        <v>22</v>
      </c>
      <c r="P4681">
        <f t="shared" si="237"/>
        <v>2024</v>
      </c>
      <c r="Q4681">
        <f t="shared" si="238"/>
        <v>10</v>
      </c>
      <c r="R4681" t="str">
        <f t="shared" si="239"/>
        <v>购后推荐</v>
      </c>
      <c r="S4681" t="s">
        <v>785</v>
      </c>
      <c r="T4681" t="s">
        <v>805</v>
      </c>
    </row>
    <row r="4682" spans="1:20" x14ac:dyDescent="0.3">
      <c r="A4682" t="s">
        <v>627</v>
      </c>
      <c r="B4682" s="16">
        <v>45582</v>
      </c>
      <c r="C4682" t="s">
        <v>3</v>
      </c>
      <c r="D4682" t="s">
        <v>127</v>
      </c>
      <c r="E4682" t="s">
        <v>174</v>
      </c>
      <c r="F4682">
        <v>2352</v>
      </c>
      <c r="G4682">
        <v>1261</v>
      </c>
      <c r="H4682">
        <v>71</v>
      </c>
      <c r="I4682">
        <v>25</v>
      </c>
      <c r="J4682">
        <v>19999.990000000002</v>
      </c>
      <c r="K4682">
        <v>7</v>
      </c>
      <c r="L4682">
        <v>12509.99</v>
      </c>
      <c r="M4682">
        <v>5</v>
      </c>
      <c r="N4682">
        <v>137</v>
      </c>
      <c r="O4682">
        <v>2352</v>
      </c>
      <c r="P4682">
        <f t="shared" si="237"/>
        <v>2024</v>
      </c>
      <c r="Q4682">
        <f t="shared" si="238"/>
        <v>10</v>
      </c>
      <c r="R4682" t="str">
        <f t="shared" si="239"/>
        <v>首页推荐-微详情</v>
      </c>
      <c r="S4682" t="s">
        <v>785</v>
      </c>
      <c r="T4682" t="s">
        <v>805</v>
      </c>
    </row>
    <row r="4683" spans="1:20" x14ac:dyDescent="0.3">
      <c r="A4683" t="s">
        <v>627</v>
      </c>
      <c r="B4683" s="16">
        <v>45582</v>
      </c>
      <c r="C4683" t="s">
        <v>3</v>
      </c>
      <c r="D4683" t="s">
        <v>127</v>
      </c>
      <c r="E4683" t="s">
        <v>175</v>
      </c>
      <c r="F4683">
        <v>2</v>
      </c>
      <c r="G4683">
        <v>1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f t="shared" si="237"/>
        <v>2024</v>
      </c>
      <c r="Q4683">
        <f t="shared" si="238"/>
        <v>10</v>
      </c>
      <c r="R4683" t="str">
        <f t="shared" si="239"/>
        <v>首页推荐-直播</v>
      </c>
      <c r="S4683" t="s">
        <v>785</v>
      </c>
      <c r="T4683" t="s">
        <v>805</v>
      </c>
    </row>
    <row r="4684" spans="1:20" x14ac:dyDescent="0.3">
      <c r="A4684" t="s">
        <v>627</v>
      </c>
      <c r="B4684" s="16">
        <v>45582</v>
      </c>
      <c r="C4684" t="s">
        <v>3</v>
      </c>
      <c r="D4684" t="s">
        <v>127</v>
      </c>
      <c r="E4684" t="s">
        <v>176</v>
      </c>
      <c r="F4684">
        <v>387</v>
      </c>
      <c r="G4684">
        <v>197</v>
      </c>
      <c r="H4684">
        <v>2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11</v>
      </c>
      <c r="O4684">
        <v>87</v>
      </c>
      <c r="P4684">
        <f t="shared" si="237"/>
        <v>2024</v>
      </c>
      <c r="Q4684">
        <f t="shared" si="238"/>
        <v>10</v>
      </c>
      <c r="R4684" t="str">
        <f t="shared" si="239"/>
        <v>首页推荐-短视频</v>
      </c>
      <c r="S4684" t="s">
        <v>785</v>
      </c>
      <c r="T4684" t="s">
        <v>805</v>
      </c>
    </row>
    <row r="4685" spans="1:20" x14ac:dyDescent="0.3">
      <c r="A4685" t="s">
        <v>627</v>
      </c>
      <c r="B4685" s="16">
        <v>45582</v>
      </c>
      <c r="C4685" t="s">
        <v>3</v>
      </c>
      <c r="D4685" t="s">
        <v>128</v>
      </c>
      <c r="E4685" t="s">
        <v>177</v>
      </c>
      <c r="F4685">
        <v>805</v>
      </c>
      <c r="G4685">
        <v>597</v>
      </c>
      <c r="H4685">
        <v>35</v>
      </c>
      <c r="I4685">
        <v>12</v>
      </c>
      <c r="J4685">
        <v>30150</v>
      </c>
      <c r="K4685">
        <v>6</v>
      </c>
      <c r="L4685">
        <v>6750</v>
      </c>
      <c r="M4685">
        <v>3</v>
      </c>
      <c r="N4685">
        <v>236</v>
      </c>
      <c r="O4685">
        <v>703</v>
      </c>
      <c r="P4685">
        <f t="shared" si="237"/>
        <v>2024</v>
      </c>
      <c r="Q4685">
        <f t="shared" si="238"/>
        <v>10</v>
      </c>
      <c r="R4685" t="str">
        <f t="shared" si="239"/>
        <v>手淘搜索-商品及其他</v>
      </c>
      <c r="S4685" t="s">
        <v>785</v>
      </c>
      <c r="T4685" t="s">
        <v>805</v>
      </c>
    </row>
    <row r="4686" spans="1:20" x14ac:dyDescent="0.3">
      <c r="A4686" t="s">
        <v>627</v>
      </c>
      <c r="B4686" s="16">
        <v>45582</v>
      </c>
      <c r="C4686" t="s">
        <v>3</v>
      </c>
      <c r="D4686" t="s">
        <v>128</v>
      </c>
      <c r="E4686" t="s">
        <v>179</v>
      </c>
      <c r="F4686">
        <v>9</v>
      </c>
      <c r="G4686">
        <v>5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1</v>
      </c>
      <c r="O4686">
        <v>8</v>
      </c>
      <c r="P4686">
        <f t="shared" si="237"/>
        <v>2024</v>
      </c>
      <c r="Q4686">
        <f t="shared" si="238"/>
        <v>10</v>
      </c>
      <c r="R4686" t="str">
        <f t="shared" si="239"/>
        <v>手淘搜索-短视频</v>
      </c>
      <c r="S4686" t="s">
        <v>785</v>
      </c>
      <c r="T4686" t="s">
        <v>805</v>
      </c>
    </row>
    <row r="4687" spans="1:20" x14ac:dyDescent="0.3">
      <c r="A4687" t="s">
        <v>627</v>
      </c>
      <c r="B4687" s="16">
        <v>45582</v>
      </c>
      <c r="C4687" t="s">
        <v>3</v>
      </c>
      <c r="D4687" t="s">
        <v>143</v>
      </c>
      <c r="E4687" t="s">
        <v>180</v>
      </c>
      <c r="F4687">
        <v>15</v>
      </c>
      <c r="G4687">
        <v>15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15</v>
      </c>
      <c r="P4687">
        <f t="shared" si="237"/>
        <v>2024</v>
      </c>
      <c r="Q4687">
        <f t="shared" si="238"/>
        <v>10</v>
      </c>
      <c r="R4687" t="str">
        <f t="shared" si="239"/>
        <v>淘特其他渠道</v>
      </c>
      <c r="S4687" t="s">
        <v>785</v>
      </c>
      <c r="T4687" t="s">
        <v>805</v>
      </c>
    </row>
    <row r="4688" spans="1:20" x14ac:dyDescent="0.3">
      <c r="A4688" t="s">
        <v>627</v>
      </c>
      <c r="B4688" s="16">
        <v>45582</v>
      </c>
      <c r="C4688" t="s">
        <v>2</v>
      </c>
      <c r="D4688" t="s">
        <v>55</v>
      </c>
      <c r="E4688" t="s">
        <v>54</v>
      </c>
      <c r="F4688">
        <v>6</v>
      </c>
      <c r="G4688">
        <v>2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3</v>
      </c>
      <c r="P4688">
        <f t="shared" si="237"/>
        <v>2024</v>
      </c>
      <c r="Q4688">
        <f t="shared" si="238"/>
        <v>10</v>
      </c>
      <c r="R4688" t="str">
        <f t="shared" si="239"/>
        <v>超级直播</v>
      </c>
      <c r="S4688" t="s">
        <v>785</v>
      </c>
      <c r="T4688" t="s">
        <v>805</v>
      </c>
    </row>
    <row r="4689" spans="1:20" x14ac:dyDescent="0.3">
      <c r="A4689" t="s">
        <v>627</v>
      </c>
      <c r="B4689" s="16">
        <v>45582</v>
      </c>
      <c r="C4689" t="s">
        <v>2</v>
      </c>
      <c r="D4689" t="s">
        <v>55</v>
      </c>
      <c r="E4689" t="s">
        <v>56</v>
      </c>
      <c r="F4689">
        <v>103</v>
      </c>
      <c r="G4689">
        <v>75</v>
      </c>
      <c r="H4689">
        <v>1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2</v>
      </c>
      <c r="O4689">
        <v>87</v>
      </c>
      <c r="P4689">
        <f t="shared" si="237"/>
        <v>2024</v>
      </c>
      <c r="Q4689">
        <f t="shared" si="238"/>
        <v>10</v>
      </c>
      <c r="R4689" t="str">
        <f t="shared" si="239"/>
        <v>超级短视频</v>
      </c>
      <c r="S4689" t="s">
        <v>785</v>
      </c>
      <c r="T4689" t="s">
        <v>805</v>
      </c>
    </row>
    <row r="4690" spans="1:20" x14ac:dyDescent="0.3">
      <c r="A4690" t="s">
        <v>627</v>
      </c>
      <c r="B4690" s="16">
        <v>45582</v>
      </c>
      <c r="C4690" t="s">
        <v>2</v>
      </c>
      <c r="D4690" t="s">
        <v>52</v>
      </c>
      <c r="E4690" t="s">
        <v>53</v>
      </c>
      <c r="F4690">
        <v>4</v>
      </c>
      <c r="G4690">
        <v>1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4</v>
      </c>
      <c r="O4690">
        <v>1</v>
      </c>
      <c r="P4690">
        <f t="shared" si="237"/>
        <v>2024</v>
      </c>
      <c r="Q4690">
        <f t="shared" si="238"/>
        <v>10</v>
      </c>
      <c r="R4690" t="str">
        <f t="shared" si="239"/>
        <v>Showmax</v>
      </c>
      <c r="S4690" t="s">
        <v>785</v>
      </c>
      <c r="T4690" t="s">
        <v>805</v>
      </c>
    </row>
    <row r="4691" spans="1:20" x14ac:dyDescent="0.3">
      <c r="A4691" t="s">
        <v>627</v>
      </c>
      <c r="B4691" s="16">
        <v>45582</v>
      </c>
      <c r="C4691" t="s">
        <v>2</v>
      </c>
      <c r="D4691" t="s">
        <v>52</v>
      </c>
      <c r="E4691" t="s">
        <v>59</v>
      </c>
      <c r="F4691">
        <v>2</v>
      </c>
      <c r="G4691">
        <v>2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2</v>
      </c>
      <c r="O4691">
        <v>0</v>
      </c>
      <c r="P4691">
        <f t="shared" si="237"/>
        <v>2024</v>
      </c>
      <c r="Q4691">
        <f t="shared" si="238"/>
        <v>10</v>
      </c>
      <c r="R4691" t="str">
        <f t="shared" si="239"/>
        <v>品牌特秀</v>
      </c>
      <c r="S4691" t="s">
        <v>785</v>
      </c>
      <c r="T4691" t="s">
        <v>805</v>
      </c>
    </row>
    <row r="4692" spans="1:20" x14ac:dyDescent="0.3">
      <c r="A4692" t="s">
        <v>627</v>
      </c>
      <c r="B4692" s="16">
        <v>45582</v>
      </c>
      <c r="C4692" t="s">
        <v>2</v>
      </c>
      <c r="D4692" t="s">
        <v>52</v>
      </c>
      <c r="E4692" t="s">
        <v>183</v>
      </c>
      <c r="F4692">
        <v>678</v>
      </c>
      <c r="G4692">
        <v>527</v>
      </c>
      <c r="H4692">
        <v>36</v>
      </c>
      <c r="I4692">
        <v>6</v>
      </c>
      <c r="J4692">
        <v>34492</v>
      </c>
      <c r="K4692">
        <v>4</v>
      </c>
      <c r="L4692">
        <v>34492</v>
      </c>
      <c r="M4692">
        <v>4</v>
      </c>
      <c r="N4692">
        <v>678</v>
      </c>
      <c r="O4692">
        <v>380</v>
      </c>
      <c r="P4692">
        <f t="shared" si="237"/>
        <v>2024</v>
      </c>
      <c r="Q4692">
        <f t="shared" si="238"/>
        <v>10</v>
      </c>
      <c r="R4692" t="str">
        <f t="shared" si="239"/>
        <v>品销宝-品牌专区</v>
      </c>
      <c r="S4692" t="s">
        <v>785</v>
      </c>
      <c r="T4692" t="s">
        <v>805</v>
      </c>
    </row>
    <row r="4693" spans="1:20" x14ac:dyDescent="0.3">
      <c r="A4693" t="s">
        <v>627</v>
      </c>
      <c r="B4693" s="16">
        <v>45582</v>
      </c>
      <c r="C4693" t="s">
        <v>2</v>
      </c>
      <c r="D4693" t="s">
        <v>57</v>
      </c>
      <c r="E4693" t="s">
        <v>65</v>
      </c>
      <c r="F4693">
        <v>4277</v>
      </c>
      <c r="G4693">
        <v>3759</v>
      </c>
      <c r="H4693">
        <v>59</v>
      </c>
      <c r="I4693">
        <v>29</v>
      </c>
      <c r="J4693">
        <v>40290</v>
      </c>
      <c r="K4693">
        <v>4</v>
      </c>
      <c r="L4693">
        <v>7495</v>
      </c>
      <c r="M4693">
        <v>2</v>
      </c>
      <c r="N4693">
        <v>307</v>
      </c>
      <c r="O4693">
        <v>4245</v>
      </c>
      <c r="P4693">
        <f t="shared" si="237"/>
        <v>2024</v>
      </c>
      <c r="Q4693">
        <f t="shared" si="238"/>
        <v>10</v>
      </c>
      <c r="R4693" t="str">
        <f t="shared" si="239"/>
        <v>直通车</v>
      </c>
      <c r="S4693" t="s">
        <v>785</v>
      </c>
      <c r="T4693" t="s">
        <v>805</v>
      </c>
    </row>
    <row r="4694" spans="1:20" x14ac:dyDescent="0.3">
      <c r="A4694" t="s">
        <v>627</v>
      </c>
      <c r="B4694" s="16">
        <v>45582</v>
      </c>
      <c r="C4694" t="s">
        <v>2</v>
      </c>
      <c r="D4694" t="s">
        <v>57</v>
      </c>
      <c r="E4694" t="s">
        <v>63</v>
      </c>
      <c r="F4694">
        <v>3793</v>
      </c>
      <c r="G4694">
        <v>2163</v>
      </c>
      <c r="H4694">
        <v>131</v>
      </c>
      <c r="I4694">
        <v>62</v>
      </c>
      <c r="J4694">
        <v>112329</v>
      </c>
      <c r="K4694">
        <v>19</v>
      </c>
      <c r="L4694">
        <v>19721</v>
      </c>
      <c r="M4694">
        <v>7</v>
      </c>
      <c r="N4694">
        <v>181</v>
      </c>
      <c r="O4694">
        <v>3791</v>
      </c>
      <c r="P4694">
        <f t="shared" si="237"/>
        <v>2024</v>
      </c>
      <c r="Q4694">
        <f t="shared" si="238"/>
        <v>10</v>
      </c>
      <c r="R4694" t="str">
        <f t="shared" si="239"/>
        <v>万相台</v>
      </c>
      <c r="S4694" t="s">
        <v>785</v>
      </c>
      <c r="T4694" t="s">
        <v>805</v>
      </c>
    </row>
    <row r="4695" spans="1:20" x14ac:dyDescent="0.3">
      <c r="A4695" t="s">
        <v>627</v>
      </c>
      <c r="B4695" s="16">
        <v>45582</v>
      </c>
      <c r="C4695" t="s">
        <v>2</v>
      </c>
      <c r="D4695" t="s">
        <v>57</v>
      </c>
      <c r="E4695" t="s">
        <v>64</v>
      </c>
      <c r="F4695">
        <v>6126</v>
      </c>
      <c r="G4695">
        <v>2909</v>
      </c>
      <c r="H4695">
        <v>155</v>
      </c>
      <c r="I4695">
        <v>78</v>
      </c>
      <c r="J4695">
        <v>52880</v>
      </c>
      <c r="K4695">
        <v>7</v>
      </c>
      <c r="L4695">
        <v>25842</v>
      </c>
      <c r="M4695">
        <v>5</v>
      </c>
      <c r="N4695">
        <v>443</v>
      </c>
      <c r="O4695">
        <v>6124</v>
      </c>
      <c r="P4695">
        <f t="shared" si="237"/>
        <v>2024</v>
      </c>
      <c r="Q4695">
        <f t="shared" si="238"/>
        <v>10</v>
      </c>
      <c r="R4695" t="str">
        <f t="shared" si="239"/>
        <v>引力魔方</v>
      </c>
      <c r="S4695" t="s">
        <v>785</v>
      </c>
      <c r="T4695" t="s">
        <v>805</v>
      </c>
    </row>
    <row r="4696" spans="1:20" x14ac:dyDescent="0.3">
      <c r="A4696" t="s">
        <v>627</v>
      </c>
      <c r="B4696" s="16">
        <v>45582</v>
      </c>
      <c r="C4696" t="s">
        <v>2</v>
      </c>
      <c r="D4696" t="s">
        <v>4</v>
      </c>
      <c r="E4696" t="s">
        <v>42</v>
      </c>
      <c r="F4696">
        <v>1</v>
      </c>
      <c r="G4696">
        <v>1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1</v>
      </c>
      <c r="P4696">
        <f t="shared" si="237"/>
        <v>2024</v>
      </c>
      <c r="Q4696">
        <f t="shared" si="238"/>
        <v>10</v>
      </c>
      <c r="R4696" t="str">
        <f t="shared" si="239"/>
        <v>UD效果投放</v>
      </c>
      <c r="S4696" t="s">
        <v>785</v>
      </c>
      <c r="T4696" t="s">
        <v>805</v>
      </c>
    </row>
    <row r="4697" spans="1:20" x14ac:dyDescent="0.3">
      <c r="A4697" t="s">
        <v>627</v>
      </c>
      <c r="B4697" s="16">
        <v>45582</v>
      </c>
      <c r="C4697" t="s">
        <v>2</v>
      </c>
      <c r="D4697" t="s">
        <v>4</v>
      </c>
      <c r="E4697" t="s">
        <v>41</v>
      </c>
      <c r="F4697">
        <v>6</v>
      </c>
      <c r="G4697">
        <v>6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1</v>
      </c>
      <c r="O4697">
        <v>5</v>
      </c>
      <c r="P4697">
        <f t="shared" si="237"/>
        <v>2024</v>
      </c>
      <c r="Q4697">
        <f t="shared" si="238"/>
        <v>10</v>
      </c>
      <c r="R4697" t="str">
        <f t="shared" si="239"/>
        <v>流量宝</v>
      </c>
      <c r="S4697" t="s">
        <v>785</v>
      </c>
      <c r="T4697" t="s">
        <v>805</v>
      </c>
    </row>
    <row r="4698" spans="1:20" x14ac:dyDescent="0.3">
      <c r="A4698" t="s">
        <v>627</v>
      </c>
      <c r="B4698" s="16">
        <v>45582</v>
      </c>
      <c r="C4698" t="s">
        <v>2</v>
      </c>
      <c r="D4698" t="s">
        <v>4</v>
      </c>
      <c r="E4698" t="s">
        <v>43</v>
      </c>
      <c r="F4698">
        <v>1081</v>
      </c>
      <c r="G4698">
        <v>150</v>
      </c>
      <c r="H4698">
        <v>4</v>
      </c>
      <c r="I4698">
        <v>1</v>
      </c>
      <c r="J4698">
        <v>7457</v>
      </c>
      <c r="K4698">
        <v>2</v>
      </c>
      <c r="L4698">
        <v>7457</v>
      </c>
      <c r="M4698">
        <v>2</v>
      </c>
      <c r="N4698">
        <v>16</v>
      </c>
      <c r="O4698">
        <v>1075</v>
      </c>
      <c r="P4698">
        <f t="shared" si="237"/>
        <v>2024</v>
      </c>
      <c r="Q4698">
        <f t="shared" si="238"/>
        <v>10</v>
      </c>
      <c r="R4698" t="str">
        <f t="shared" si="239"/>
        <v>淘宝客</v>
      </c>
      <c r="S4698" t="s">
        <v>785</v>
      </c>
      <c r="T4698" t="s">
        <v>805</v>
      </c>
    </row>
    <row r="4699" spans="1:20" x14ac:dyDescent="0.3">
      <c r="A4699" t="s">
        <v>627</v>
      </c>
      <c r="B4699" s="16">
        <v>45581</v>
      </c>
      <c r="C4699" t="s">
        <v>3</v>
      </c>
      <c r="D4699" t="s">
        <v>114</v>
      </c>
      <c r="E4699" t="s">
        <v>159</v>
      </c>
      <c r="F4699">
        <v>238</v>
      </c>
      <c r="G4699">
        <v>182</v>
      </c>
      <c r="H4699">
        <v>4</v>
      </c>
      <c r="I4699">
        <v>5</v>
      </c>
      <c r="J4699">
        <v>1680</v>
      </c>
      <c r="K4699">
        <v>1</v>
      </c>
      <c r="L4699">
        <v>0</v>
      </c>
      <c r="M4699">
        <v>0</v>
      </c>
      <c r="N4699">
        <v>29</v>
      </c>
      <c r="O4699">
        <v>225</v>
      </c>
      <c r="P4699">
        <f t="shared" si="237"/>
        <v>2024</v>
      </c>
      <c r="Q4699">
        <f t="shared" si="238"/>
        <v>10</v>
      </c>
      <c r="R4699" t="str">
        <f t="shared" si="239"/>
        <v>主会场</v>
      </c>
      <c r="S4699" t="s">
        <v>785</v>
      </c>
      <c r="T4699" t="s">
        <v>805</v>
      </c>
    </row>
    <row r="4700" spans="1:20" x14ac:dyDescent="0.3">
      <c r="A4700" t="s">
        <v>627</v>
      </c>
      <c r="B4700" s="16">
        <v>45581</v>
      </c>
      <c r="C4700" t="s">
        <v>3</v>
      </c>
      <c r="D4700" t="s">
        <v>120</v>
      </c>
      <c r="E4700" t="s">
        <v>163</v>
      </c>
      <c r="F4700">
        <v>32</v>
      </c>
      <c r="G4700">
        <v>16</v>
      </c>
      <c r="H4700">
        <v>2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11</v>
      </c>
      <c r="O4700">
        <v>30</v>
      </c>
      <c r="P4700">
        <f t="shared" si="237"/>
        <v>2024</v>
      </c>
      <c r="Q4700">
        <f t="shared" si="238"/>
        <v>10</v>
      </c>
      <c r="R4700" t="str">
        <f t="shared" si="239"/>
        <v>手猫免费其他</v>
      </c>
      <c r="S4700" t="s">
        <v>785</v>
      </c>
      <c r="T4700" t="s">
        <v>805</v>
      </c>
    </row>
    <row r="4701" spans="1:20" x14ac:dyDescent="0.3">
      <c r="A4701" t="s">
        <v>627</v>
      </c>
      <c r="B4701" s="16">
        <v>45581</v>
      </c>
      <c r="C4701" t="s">
        <v>3</v>
      </c>
      <c r="D4701" t="s">
        <v>120</v>
      </c>
      <c r="E4701" t="s">
        <v>164</v>
      </c>
      <c r="F4701">
        <v>26</v>
      </c>
      <c r="G4701">
        <v>8</v>
      </c>
      <c r="H4701">
        <v>4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1</v>
      </c>
      <c r="O4701">
        <v>26</v>
      </c>
      <c r="P4701">
        <f t="shared" si="237"/>
        <v>2024</v>
      </c>
      <c r="Q4701">
        <f t="shared" si="238"/>
        <v>10</v>
      </c>
      <c r="R4701" t="str">
        <f t="shared" si="239"/>
        <v>手猫其他店铺</v>
      </c>
      <c r="S4701" t="s">
        <v>785</v>
      </c>
      <c r="T4701" t="s">
        <v>805</v>
      </c>
    </row>
    <row r="4702" spans="1:20" x14ac:dyDescent="0.3">
      <c r="A4702" t="s">
        <v>627</v>
      </c>
      <c r="B4702" s="16">
        <v>45581</v>
      </c>
      <c r="C4702" t="s">
        <v>3</v>
      </c>
      <c r="D4702" t="s">
        <v>120</v>
      </c>
      <c r="E4702" t="s">
        <v>165</v>
      </c>
      <c r="F4702">
        <v>37</v>
      </c>
      <c r="G4702">
        <v>16</v>
      </c>
      <c r="H4702">
        <v>2</v>
      </c>
      <c r="I4702">
        <v>0</v>
      </c>
      <c r="J4702">
        <v>1988</v>
      </c>
      <c r="K4702">
        <v>1</v>
      </c>
      <c r="L4702">
        <v>1988</v>
      </c>
      <c r="M4702">
        <v>1</v>
      </c>
      <c r="N4702">
        <v>5</v>
      </c>
      <c r="O4702">
        <v>36</v>
      </c>
      <c r="P4702">
        <f t="shared" si="237"/>
        <v>2024</v>
      </c>
      <c r="Q4702">
        <f t="shared" si="238"/>
        <v>10</v>
      </c>
      <c r="R4702" t="str">
        <f t="shared" si="239"/>
        <v>手猫商品详情</v>
      </c>
      <c r="S4702" t="s">
        <v>785</v>
      </c>
      <c r="T4702" t="s">
        <v>805</v>
      </c>
    </row>
    <row r="4703" spans="1:20" x14ac:dyDescent="0.3">
      <c r="A4703" t="s">
        <v>627</v>
      </c>
      <c r="B4703" s="16">
        <v>45581</v>
      </c>
      <c r="C4703" t="s">
        <v>3</v>
      </c>
      <c r="D4703" t="s">
        <v>120</v>
      </c>
      <c r="E4703" t="s">
        <v>166</v>
      </c>
      <c r="F4703">
        <v>57</v>
      </c>
      <c r="G4703">
        <v>42</v>
      </c>
      <c r="H4703">
        <v>2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24</v>
      </c>
      <c r="O4703">
        <v>54</v>
      </c>
      <c r="P4703">
        <f t="shared" si="237"/>
        <v>2024</v>
      </c>
      <c r="Q4703">
        <f t="shared" si="238"/>
        <v>10</v>
      </c>
      <c r="R4703" t="str">
        <f t="shared" si="239"/>
        <v>手猫搜索</v>
      </c>
      <c r="S4703" t="s">
        <v>785</v>
      </c>
      <c r="T4703" t="s">
        <v>805</v>
      </c>
    </row>
    <row r="4704" spans="1:20" x14ac:dyDescent="0.3">
      <c r="A4704" t="s">
        <v>627</v>
      </c>
      <c r="B4704" s="16">
        <v>45581</v>
      </c>
      <c r="C4704" t="s">
        <v>3</v>
      </c>
      <c r="D4704" t="s">
        <v>120</v>
      </c>
      <c r="E4704" t="s">
        <v>167</v>
      </c>
      <c r="F4704">
        <v>1</v>
      </c>
      <c r="G4704">
        <v>1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1</v>
      </c>
      <c r="P4704">
        <f t="shared" si="237"/>
        <v>2024</v>
      </c>
      <c r="Q4704">
        <f t="shared" si="238"/>
        <v>10</v>
      </c>
      <c r="R4704" t="str">
        <f t="shared" si="239"/>
        <v>手猫旺信聊天</v>
      </c>
      <c r="S4704" t="s">
        <v>785</v>
      </c>
      <c r="T4704" t="s">
        <v>805</v>
      </c>
    </row>
    <row r="4705" spans="1:20" x14ac:dyDescent="0.3">
      <c r="A4705" t="s">
        <v>627</v>
      </c>
      <c r="B4705" s="16">
        <v>45581</v>
      </c>
      <c r="C4705" t="s">
        <v>3</v>
      </c>
      <c r="D4705" t="s">
        <v>120</v>
      </c>
      <c r="E4705" t="s">
        <v>192</v>
      </c>
      <c r="F4705">
        <v>5</v>
      </c>
      <c r="G4705">
        <v>2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5</v>
      </c>
      <c r="P4705">
        <f t="shared" si="237"/>
        <v>2024</v>
      </c>
      <c r="Q4705">
        <f t="shared" si="238"/>
        <v>10</v>
      </c>
      <c r="R4705" t="str">
        <f t="shared" si="239"/>
        <v>手猫消息中心</v>
      </c>
      <c r="S4705" t="s">
        <v>785</v>
      </c>
      <c r="T4705" t="s">
        <v>805</v>
      </c>
    </row>
    <row r="4706" spans="1:20" x14ac:dyDescent="0.3">
      <c r="A4706" t="s">
        <v>627</v>
      </c>
      <c r="B4706" s="16">
        <v>45581</v>
      </c>
      <c r="C4706" t="s">
        <v>3</v>
      </c>
      <c r="D4706" t="s">
        <v>120</v>
      </c>
      <c r="E4706" t="s">
        <v>168</v>
      </c>
      <c r="F4706">
        <v>256</v>
      </c>
      <c r="G4706">
        <v>154</v>
      </c>
      <c r="H4706">
        <v>3</v>
      </c>
      <c r="I4706">
        <v>0</v>
      </c>
      <c r="J4706">
        <v>8416</v>
      </c>
      <c r="K4706">
        <v>3</v>
      </c>
      <c r="L4706">
        <v>4436</v>
      </c>
      <c r="M4706">
        <v>2</v>
      </c>
      <c r="N4706">
        <v>17</v>
      </c>
      <c r="O4706">
        <v>256</v>
      </c>
      <c r="P4706">
        <f t="shared" si="237"/>
        <v>2024</v>
      </c>
      <c r="Q4706">
        <f t="shared" si="238"/>
        <v>10</v>
      </c>
      <c r="R4706" t="str">
        <f t="shared" si="239"/>
        <v>手猫首页</v>
      </c>
      <c r="S4706" t="s">
        <v>785</v>
      </c>
      <c r="T4706" t="s">
        <v>805</v>
      </c>
    </row>
    <row r="4707" spans="1:20" x14ac:dyDescent="0.3">
      <c r="A4707" t="s">
        <v>627</v>
      </c>
      <c r="B4707" s="16">
        <v>45581</v>
      </c>
      <c r="C4707" t="s">
        <v>3</v>
      </c>
      <c r="D4707" t="s">
        <v>123</v>
      </c>
      <c r="E4707" t="s">
        <v>169</v>
      </c>
      <c r="F4707">
        <v>293</v>
      </c>
      <c r="G4707">
        <v>118</v>
      </c>
      <c r="H4707">
        <v>20</v>
      </c>
      <c r="I4707">
        <v>6</v>
      </c>
      <c r="J4707">
        <v>27095</v>
      </c>
      <c r="K4707">
        <v>5</v>
      </c>
      <c r="L4707">
        <v>6270</v>
      </c>
      <c r="M4707">
        <v>3</v>
      </c>
      <c r="N4707">
        <v>43</v>
      </c>
      <c r="O4707">
        <v>289</v>
      </c>
      <c r="P4707">
        <f t="shared" si="237"/>
        <v>2024</v>
      </c>
      <c r="Q4707">
        <f t="shared" si="238"/>
        <v>10</v>
      </c>
      <c r="R4707" t="str">
        <f t="shared" si="239"/>
        <v>商品详情页头图推荐</v>
      </c>
      <c r="S4707" t="s">
        <v>785</v>
      </c>
      <c r="T4707" t="s">
        <v>805</v>
      </c>
    </row>
    <row r="4708" spans="1:20" x14ac:dyDescent="0.3">
      <c r="A4708" t="s">
        <v>627</v>
      </c>
      <c r="B4708" s="16">
        <v>45581</v>
      </c>
      <c r="C4708" t="s">
        <v>3</v>
      </c>
      <c r="D4708" t="s">
        <v>123</v>
      </c>
      <c r="E4708" t="s">
        <v>170</v>
      </c>
      <c r="F4708">
        <v>64</v>
      </c>
      <c r="G4708">
        <v>31</v>
      </c>
      <c r="H4708">
        <v>4</v>
      </c>
      <c r="I4708">
        <v>1</v>
      </c>
      <c r="J4708">
        <v>0</v>
      </c>
      <c r="K4708">
        <v>0</v>
      </c>
      <c r="L4708">
        <v>0</v>
      </c>
      <c r="M4708">
        <v>0</v>
      </c>
      <c r="N4708">
        <v>54</v>
      </c>
      <c r="O4708">
        <v>26</v>
      </c>
      <c r="P4708">
        <f t="shared" si="237"/>
        <v>2024</v>
      </c>
      <c r="Q4708">
        <f t="shared" si="238"/>
        <v>10</v>
      </c>
      <c r="R4708" t="str">
        <f t="shared" si="239"/>
        <v>店铺超链</v>
      </c>
      <c r="S4708" t="s">
        <v>785</v>
      </c>
      <c r="T4708" t="s">
        <v>805</v>
      </c>
    </row>
    <row r="4709" spans="1:20" x14ac:dyDescent="0.3">
      <c r="A4709" t="s">
        <v>627</v>
      </c>
      <c r="B4709" s="16">
        <v>45581</v>
      </c>
      <c r="C4709" t="s">
        <v>3</v>
      </c>
      <c r="D4709" t="s">
        <v>127</v>
      </c>
      <c r="E4709" t="s">
        <v>171</v>
      </c>
      <c r="F4709">
        <v>295</v>
      </c>
      <c r="G4709">
        <v>177</v>
      </c>
      <c r="H4709">
        <v>6</v>
      </c>
      <c r="I4709">
        <v>5</v>
      </c>
      <c r="J4709">
        <v>2448</v>
      </c>
      <c r="K4709">
        <v>1</v>
      </c>
      <c r="L4709">
        <v>2448</v>
      </c>
      <c r="M4709">
        <v>1</v>
      </c>
      <c r="N4709">
        <v>196</v>
      </c>
      <c r="O4709">
        <v>106</v>
      </c>
      <c r="P4709">
        <f t="shared" si="237"/>
        <v>2024</v>
      </c>
      <c r="Q4709">
        <f t="shared" si="238"/>
        <v>10</v>
      </c>
      <c r="R4709" t="str">
        <f t="shared" si="239"/>
        <v>其他猜你喜欢</v>
      </c>
      <c r="S4709" t="s">
        <v>785</v>
      </c>
      <c r="T4709" t="s">
        <v>805</v>
      </c>
    </row>
    <row r="4710" spans="1:20" x14ac:dyDescent="0.3">
      <c r="A4710" t="s">
        <v>627</v>
      </c>
      <c r="B4710" s="16">
        <v>45581</v>
      </c>
      <c r="C4710" t="s">
        <v>3</v>
      </c>
      <c r="D4710" t="s">
        <v>127</v>
      </c>
      <c r="E4710" t="s">
        <v>172</v>
      </c>
      <c r="F4710">
        <v>4</v>
      </c>
      <c r="G4710">
        <v>2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3</v>
      </c>
      <c r="P4710">
        <f t="shared" si="237"/>
        <v>2024</v>
      </c>
      <c r="Q4710">
        <f t="shared" si="238"/>
        <v>10</v>
      </c>
      <c r="R4710" t="str">
        <f t="shared" si="239"/>
        <v>购中推荐</v>
      </c>
      <c r="S4710" t="s">
        <v>785</v>
      </c>
      <c r="T4710" t="s">
        <v>805</v>
      </c>
    </row>
    <row r="4711" spans="1:20" x14ac:dyDescent="0.3">
      <c r="A4711" t="s">
        <v>627</v>
      </c>
      <c r="B4711" s="16">
        <v>45581</v>
      </c>
      <c r="C4711" t="s">
        <v>3</v>
      </c>
      <c r="D4711" t="s">
        <v>127</v>
      </c>
      <c r="E4711" t="s">
        <v>173</v>
      </c>
      <c r="F4711">
        <v>22</v>
      </c>
      <c r="G4711">
        <v>8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3</v>
      </c>
      <c r="O4711">
        <v>11</v>
      </c>
      <c r="P4711">
        <f t="shared" si="237"/>
        <v>2024</v>
      </c>
      <c r="Q4711">
        <f t="shared" si="238"/>
        <v>10</v>
      </c>
      <c r="R4711" t="str">
        <f t="shared" si="239"/>
        <v>购后推荐</v>
      </c>
      <c r="S4711" t="s">
        <v>785</v>
      </c>
      <c r="T4711" t="s">
        <v>805</v>
      </c>
    </row>
    <row r="4712" spans="1:20" x14ac:dyDescent="0.3">
      <c r="A4712" t="s">
        <v>627</v>
      </c>
      <c r="B4712" s="16">
        <v>45581</v>
      </c>
      <c r="C4712" t="s">
        <v>3</v>
      </c>
      <c r="D4712" t="s">
        <v>127</v>
      </c>
      <c r="E4712" t="s">
        <v>174</v>
      </c>
      <c r="F4712">
        <v>1848</v>
      </c>
      <c r="G4712">
        <v>996</v>
      </c>
      <c r="H4712">
        <v>49</v>
      </c>
      <c r="I4712">
        <v>10</v>
      </c>
      <c r="J4712">
        <v>40267</v>
      </c>
      <c r="K4712">
        <v>7</v>
      </c>
      <c r="L4712">
        <v>9224</v>
      </c>
      <c r="M4712">
        <v>3</v>
      </c>
      <c r="N4712">
        <v>93</v>
      </c>
      <c r="O4712">
        <v>1848</v>
      </c>
      <c r="P4712">
        <f t="shared" si="237"/>
        <v>2024</v>
      </c>
      <c r="Q4712">
        <f t="shared" si="238"/>
        <v>10</v>
      </c>
      <c r="R4712" t="str">
        <f t="shared" si="239"/>
        <v>首页推荐-微详情</v>
      </c>
      <c r="S4712" t="s">
        <v>785</v>
      </c>
      <c r="T4712" t="s">
        <v>805</v>
      </c>
    </row>
    <row r="4713" spans="1:20" x14ac:dyDescent="0.3">
      <c r="A4713" t="s">
        <v>627</v>
      </c>
      <c r="B4713" s="16">
        <v>45581</v>
      </c>
      <c r="C4713" t="s">
        <v>3</v>
      </c>
      <c r="D4713" t="s">
        <v>127</v>
      </c>
      <c r="E4713" t="s">
        <v>175</v>
      </c>
      <c r="F4713">
        <v>140</v>
      </c>
      <c r="G4713">
        <v>60</v>
      </c>
      <c r="H4713">
        <v>2</v>
      </c>
      <c r="I4713">
        <v>1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33</v>
      </c>
      <c r="P4713">
        <f t="shared" ref="P4713:P4776" si="240">YEAR(B4713)</f>
        <v>2024</v>
      </c>
      <c r="Q4713">
        <f t="shared" ref="Q4713:Q4776" si="241">MONTH(B4713)</f>
        <v>10</v>
      </c>
      <c r="R4713" t="str">
        <f t="shared" ref="R4713:R4776" si="242">E4713</f>
        <v>首页推荐-直播</v>
      </c>
      <c r="S4713" t="s">
        <v>785</v>
      </c>
      <c r="T4713" t="s">
        <v>805</v>
      </c>
    </row>
    <row r="4714" spans="1:20" x14ac:dyDescent="0.3">
      <c r="A4714" t="s">
        <v>627</v>
      </c>
      <c r="B4714" s="16">
        <v>45581</v>
      </c>
      <c r="C4714" t="s">
        <v>3</v>
      </c>
      <c r="D4714" t="s">
        <v>127</v>
      </c>
      <c r="E4714" t="s">
        <v>176</v>
      </c>
      <c r="F4714">
        <v>285</v>
      </c>
      <c r="G4714">
        <v>117</v>
      </c>
      <c r="H4714">
        <v>8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8</v>
      </c>
      <c r="O4714">
        <v>61</v>
      </c>
      <c r="P4714">
        <f t="shared" si="240"/>
        <v>2024</v>
      </c>
      <c r="Q4714">
        <f t="shared" si="241"/>
        <v>10</v>
      </c>
      <c r="R4714" t="str">
        <f t="shared" si="242"/>
        <v>首页推荐-短视频</v>
      </c>
      <c r="S4714" t="s">
        <v>785</v>
      </c>
      <c r="T4714" t="s">
        <v>805</v>
      </c>
    </row>
    <row r="4715" spans="1:20" x14ac:dyDescent="0.3">
      <c r="A4715" t="s">
        <v>627</v>
      </c>
      <c r="B4715" s="16">
        <v>45581</v>
      </c>
      <c r="C4715" t="s">
        <v>3</v>
      </c>
      <c r="D4715" t="s">
        <v>128</v>
      </c>
      <c r="E4715" t="s">
        <v>177</v>
      </c>
      <c r="F4715">
        <v>798</v>
      </c>
      <c r="G4715">
        <v>598</v>
      </c>
      <c r="H4715">
        <v>37</v>
      </c>
      <c r="I4715">
        <v>9</v>
      </c>
      <c r="J4715">
        <v>8605</v>
      </c>
      <c r="K4715">
        <v>4</v>
      </c>
      <c r="L4715">
        <v>6925</v>
      </c>
      <c r="M4715">
        <v>3</v>
      </c>
      <c r="N4715">
        <v>251</v>
      </c>
      <c r="O4715">
        <v>679</v>
      </c>
      <c r="P4715">
        <f t="shared" si="240"/>
        <v>2024</v>
      </c>
      <c r="Q4715">
        <f t="shared" si="241"/>
        <v>10</v>
      </c>
      <c r="R4715" t="str">
        <f t="shared" si="242"/>
        <v>手淘搜索-商品及其他</v>
      </c>
      <c r="S4715" t="s">
        <v>785</v>
      </c>
      <c r="T4715" t="s">
        <v>805</v>
      </c>
    </row>
    <row r="4716" spans="1:20" x14ac:dyDescent="0.3">
      <c r="A4716" t="s">
        <v>627</v>
      </c>
      <c r="B4716" s="16">
        <v>45581</v>
      </c>
      <c r="C4716" t="s">
        <v>3</v>
      </c>
      <c r="D4716" t="s">
        <v>128</v>
      </c>
      <c r="E4716" t="s">
        <v>178</v>
      </c>
      <c r="F4716">
        <v>8</v>
      </c>
      <c r="G4716">
        <v>3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3</v>
      </c>
      <c r="O4716">
        <v>6</v>
      </c>
      <c r="P4716">
        <f t="shared" si="240"/>
        <v>2024</v>
      </c>
      <c r="Q4716">
        <f t="shared" si="241"/>
        <v>10</v>
      </c>
      <c r="R4716" t="str">
        <f t="shared" si="242"/>
        <v>手淘搜索-直播</v>
      </c>
      <c r="S4716" t="s">
        <v>785</v>
      </c>
      <c r="T4716" t="s">
        <v>805</v>
      </c>
    </row>
    <row r="4717" spans="1:20" x14ac:dyDescent="0.3">
      <c r="A4717" t="s">
        <v>627</v>
      </c>
      <c r="B4717" s="16">
        <v>45581</v>
      </c>
      <c r="C4717" t="s">
        <v>3</v>
      </c>
      <c r="D4717" t="s">
        <v>128</v>
      </c>
      <c r="E4717" t="s">
        <v>179</v>
      </c>
      <c r="F4717">
        <v>8</v>
      </c>
      <c r="G4717">
        <v>7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1</v>
      </c>
      <c r="O4717">
        <v>7</v>
      </c>
      <c r="P4717">
        <f t="shared" si="240"/>
        <v>2024</v>
      </c>
      <c r="Q4717">
        <f t="shared" si="241"/>
        <v>10</v>
      </c>
      <c r="R4717" t="str">
        <f t="shared" si="242"/>
        <v>手淘搜索-短视频</v>
      </c>
      <c r="S4717" t="s">
        <v>785</v>
      </c>
      <c r="T4717" t="s">
        <v>805</v>
      </c>
    </row>
    <row r="4718" spans="1:20" x14ac:dyDescent="0.3">
      <c r="A4718" t="s">
        <v>627</v>
      </c>
      <c r="B4718" s="16">
        <v>45581</v>
      </c>
      <c r="C4718" t="s">
        <v>3</v>
      </c>
      <c r="D4718" t="s">
        <v>143</v>
      </c>
      <c r="E4718" t="s">
        <v>180</v>
      </c>
      <c r="F4718">
        <v>17</v>
      </c>
      <c r="G4718">
        <v>17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17</v>
      </c>
      <c r="P4718">
        <f t="shared" si="240"/>
        <v>2024</v>
      </c>
      <c r="Q4718">
        <f t="shared" si="241"/>
        <v>10</v>
      </c>
      <c r="R4718" t="str">
        <f t="shared" si="242"/>
        <v>淘特其他渠道</v>
      </c>
      <c r="S4718" t="s">
        <v>785</v>
      </c>
      <c r="T4718" t="s">
        <v>805</v>
      </c>
    </row>
    <row r="4719" spans="1:20" x14ac:dyDescent="0.3">
      <c r="A4719" t="s">
        <v>627</v>
      </c>
      <c r="B4719" s="16">
        <v>45581</v>
      </c>
      <c r="C4719" t="s">
        <v>3</v>
      </c>
      <c r="D4719" t="s">
        <v>143</v>
      </c>
      <c r="E4719" t="s">
        <v>181</v>
      </c>
      <c r="F4719">
        <v>1</v>
      </c>
      <c r="G4719">
        <v>1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1</v>
      </c>
      <c r="P4719">
        <f t="shared" si="240"/>
        <v>2024</v>
      </c>
      <c r="Q4719">
        <f t="shared" si="241"/>
        <v>10</v>
      </c>
      <c r="R4719" t="str">
        <f t="shared" si="242"/>
        <v>淘特搜索</v>
      </c>
      <c r="S4719" t="s">
        <v>785</v>
      </c>
      <c r="T4719" t="s">
        <v>805</v>
      </c>
    </row>
    <row r="4720" spans="1:20" x14ac:dyDescent="0.3">
      <c r="A4720" t="s">
        <v>627</v>
      </c>
      <c r="B4720" s="16">
        <v>45581</v>
      </c>
      <c r="C4720" t="s">
        <v>2</v>
      </c>
      <c r="D4720" t="s">
        <v>55</v>
      </c>
      <c r="E4720" t="s">
        <v>54</v>
      </c>
      <c r="F4720">
        <v>1340</v>
      </c>
      <c r="G4720">
        <v>1226</v>
      </c>
      <c r="H4720">
        <v>6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9</v>
      </c>
      <c r="O4720">
        <v>376</v>
      </c>
      <c r="P4720">
        <f t="shared" si="240"/>
        <v>2024</v>
      </c>
      <c r="Q4720">
        <f t="shared" si="241"/>
        <v>10</v>
      </c>
      <c r="R4720" t="str">
        <f t="shared" si="242"/>
        <v>超级直播</v>
      </c>
      <c r="S4720" t="s">
        <v>785</v>
      </c>
      <c r="T4720" t="s">
        <v>805</v>
      </c>
    </row>
    <row r="4721" spans="1:20" x14ac:dyDescent="0.3">
      <c r="A4721" t="s">
        <v>627</v>
      </c>
      <c r="B4721" s="16">
        <v>45581</v>
      </c>
      <c r="C4721" t="s">
        <v>2</v>
      </c>
      <c r="D4721" t="s">
        <v>55</v>
      </c>
      <c r="E4721" t="s">
        <v>56</v>
      </c>
      <c r="F4721">
        <v>365</v>
      </c>
      <c r="G4721">
        <v>295</v>
      </c>
      <c r="H4721">
        <v>2</v>
      </c>
      <c r="I4721">
        <v>4</v>
      </c>
      <c r="J4721">
        <v>0</v>
      </c>
      <c r="K4721">
        <v>0</v>
      </c>
      <c r="L4721">
        <v>0</v>
      </c>
      <c r="M4721">
        <v>0</v>
      </c>
      <c r="N4721">
        <v>5</v>
      </c>
      <c r="O4721">
        <v>205</v>
      </c>
      <c r="P4721">
        <f t="shared" si="240"/>
        <v>2024</v>
      </c>
      <c r="Q4721">
        <f t="shared" si="241"/>
        <v>10</v>
      </c>
      <c r="R4721" t="str">
        <f t="shared" si="242"/>
        <v>超级短视频</v>
      </c>
      <c r="S4721" t="s">
        <v>785</v>
      </c>
      <c r="T4721" t="s">
        <v>805</v>
      </c>
    </row>
    <row r="4722" spans="1:20" x14ac:dyDescent="0.3">
      <c r="A4722" t="s">
        <v>627</v>
      </c>
      <c r="B4722" s="16">
        <v>45581</v>
      </c>
      <c r="C4722" t="s">
        <v>2</v>
      </c>
      <c r="D4722" t="s">
        <v>52</v>
      </c>
      <c r="E4722" t="s">
        <v>53</v>
      </c>
      <c r="F4722">
        <v>294</v>
      </c>
      <c r="G4722">
        <v>245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294</v>
      </c>
      <c r="O4722">
        <v>50</v>
      </c>
      <c r="P4722">
        <f t="shared" si="240"/>
        <v>2024</v>
      </c>
      <c r="Q4722">
        <f t="shared" si="241"/>
        <v>10</v>
      </c>
      <c r="R4722" t="str">
        <f t="shared" si="242"/>
        <v>Showmax</v>
      </c>
      <c r="S4722" t="s">
        <v>785</v>
      </c>
      <c r="T4722" t="s">
        <v>805</v>
      </c>
    </row>
    <row r="4723" spans="1:20" x14ac:dyDescent="0.3">
      <c r="A4723" t="s">
        <v>627</v>
      </c>
      <c r="B4723" s="16">
        <v>45581</v>
      </c>
      <c r="C4723" t="s">
        <v>2</v>
      </c>
      <c r="D4723" t="s">
        <v>52</v>
      </c>
      <c r="E4723" t="s">
        <v>59</v>
      </c>
      <c r="F4723">
        <v>631</v>
      </c>
      <c r="G4723">
        <v>515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631</v>
      </c>
      <c r="O4723">
        <v>153</v>
      </c>
      <c r="P4723">
        <f t="shared" si="240"/>
        <v>2024</v>
      </c>
      <c r="Q4723">
        <f t="shared" si="241"/>
        <v>10</v>
      </c>
      <c r="R4723" t="str">
        <f t="shared" si="242"/>
        <v>品牌特秀</v>
      </c>
      <c r="S4723" t="s">
        <v>785</v>
      </c>
      <c r="T4723" t="s">
        <v>805</v>
      </c>
    </row>
    <row r="4724" spans="1:20" x14ac:dyDescent="0.3">
      <c r="A4724" t="s">
        <v>627</v>
      </c>
      <c r="B4724" s="16">
        <v>45581</v>
      </c>
      <c r="C4724" t="s">
        <v>2</v>
      </c>
      <c r="D4724" t="s">
        <v>52</v>
      </c>
      <c r="E4724" t="s">
        <v>183</v>
      </c>
      <c r="F4724">
        <v>755</v>
      </c>
      <c r="G4724">
        <v>602</v>
      </c>
      <c r="H4724">
        <v>21</v>
      </c>
      <c r="I4724">
        <v>6</v>
      </c>
      <c r="J4724">
        <v>30335</v>
      </c>
      <c r="K4724">
        <v>5</v>
      </c>
      <c r="L4724">
        <v>10490</v>
      </c>
      <c r="M4724">
        <v>2</v>
      </c>
      <c r="N4724">
        <v>755</v>
      </c>
      <c r="O4724">
        <v>402</v>
      </c>
      <c r="P4724">
        <f t="shared" si="240"/>
        <v>2024</v>
      </c>
      <c r="Q4724">
        <f t="shared" si="241"/>
        <v>10</v>
      </c>
      <c r="R4724" t="str">
        <f t="shared" si="242"/>
        <v>品销宝-品牌专区</v>
      </c>
      <c r="S4724" t="s">
        <v>785</v>
      </c>
      <c r="T4724" t="s">
        <v>805</v>
      </c>
    </row>
    <row r="4725" spans="1:20" x14ac:dyDescent="0.3">
      <c r="A4725" t="s">
        <v>627</v>
      </c>
      <c r="B4725" s="16">
        <v>45581</v>
      </c>
      <c r="C4725" t="s">
        <v>2</v>
      </c>
      <c r="D4725" t="s">
        <v>57</v>
      </c>
      <c r="E4725" t="s">
        <v>65</v>
      </c>
      <c r="F4725">
        <v>4198</v>
      </c>
      <c r="G4725">
        <v>3680</v>
      </c>
      <c r="H4725">
        <v>59</v>
      </c>
      <c r="I4725">
        <v>34</v>
      </c>
      <c r="J4725">
        <v>18567</v>
      </c>
      <c r="K4725">
        <v>3</v>
      </c>
      <c r="L4725">
        <v>5272</v>
      </c>
      <c r="M4725">
        <v>1</v>
      </c>
      <c r="N4725">
        <v>303</v>
      </c>
      <c r="O4725">
        <v>4169</v>
      </c>
      <c r="P4725">
        <f t="shared" si="240"/>
        <v>2024</v>
      </c>
      <c r="Q4725">
        <f t="shared" si="241"/>
        <v>10</v>
      </c>
      <c r="R4725" t="str">
        <f t="shared" si="242"/>
        <v>直通车</v>
      </c>
      <c r="S4725" t="s">
        <v>785</v>
      </c>
      <c r="T4725" t="s">
        <v>805</v>
      </c>
    </row>
    <row r="4726" spans="1:20" x14ac:dyDescent="0.3">
      <c r="A4726" t="s">
        <v>627</v>
      </c>
      <c r="B4726" s="16">
        <v>45581</v>
      </c>
      <c r="C4726" t="s">
        <v>2</v>
      </c>
      <c r="D4726" t="s">
        <v>57</v>
      </c>
      <c r="E4726" t="s">
        <v>63</v>
      </c>
      <c r="F4726">
        <v>5569</v>
      </c>
      <c r="G4726">
        <v>2729</v>
      </c>
      <c r="H4726">
        <v>106</v>
      </c>
      <c r="I4726">
        <v>55</v>
      </c>
      <c r="J4726">
        <v>65893</v>
      </c>
      <c r="K4726">
        <v>11</v>
      </c>
      <c r="L4726">
        <v>25176</v>
      </c>
      <c r="M4726">
        <v>7</v>
      </c>
      <c r="N4726">
        <v>127</v>
      </c>
      <c r="O4726">
        <v>5567</v>
      </c>
      <c r="P4726">
        <f t="shared" si="240"/>
        <v>2024</v>
      </c>
      <c r="Q4726">
        <f t="shared" si="241"/>
        <v>10</v>
      </c>
      <c r="R4726" t="str">
        <f t="shared" si="242"/>
        <v>万相台</v>
      </c>
      <c r="S4726" t="s">
        <v>785</v>
      </c>
      <c r="T4726" t="s">
        <v>805</v>
      </c>
    </row>
    <row r="4727" spans="1:20" x14ac:dyDescent="0.3">
      <c r="A4727" t="s">
        <v>627</v>
      </c>
      <c r="B4727" s="16">
        <v>45581</v>
      </c>
      <c r="C4727" t="s">
        <v>2</v>
      </c>
      <c r="D4727" t="s">
        <v>57</v>
      </c>
      <c r="E4727" t="s">
        <v>64</v>
      </c>
      <c r="F4727">
        <v>7471</v>
      </c>
      <c r="G4727">
        <v>3489</v>
      </c>
      <c r="H4727">
        <v>175</v>
      </c>
      <c r="I4727">
        <v>93</v>
      </c>
      <c r="J4727">
        <v>82226</v>
      </c>
      <c r="K4727">
        <v>11</v>
      </c>
      <c r="L4727">
        <v>40246</v>
      </c>
      <c r="M4727">
        <v>8</v>
      </c>
      <c r="N4727">
        <v>570</v>
      </c>
      <c r="O4727">
        <v>7469</v>
      </c>
      <c r="P4727">
        <f t="shared" si="240"/>
        <v>2024</v>
      </c>
      <c r="Q4727">
        <f t="shared" si="241"/>
        <v>10</v>
      </c>
      <c r="R4727" t="str">
        <f t="shared" si="242"/>
        <v>引力魔方</v>
      </c>
      <c r="S4727" t="s">
        <v>785</v>
      </c>
      <c r="T4727" t="s">
        <v>805</v>
      </c>
    </row>
    <row r="4728" spans="1:20" x14ac:dyDescent="0.3">
      <c r="A4728" t="s">
        <v>627</v>
      </c>
      <c r="B4728" s="16">
        <v>45581</v>
      </c>
      <c r="C4728" t="s">
        <v>2</v>
      </c>
      <c r="D4728" t="s">
        <v>4</v>
      </c>
      <c r="E4728" t="s">
        <v>41</v>
      </c>
      <c r="F4728">
        <v>4</v>
      </c>
      <c r="G4728">
        <v>1</v>
      </c>
      <c r="H4728">
        <v>1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1</v>
      </c>
      <c r="O4728">
        <v>4</v>
      </c>
      <c r="P4728">
        <f t="shared" si="240"/>
        <v>2024</v>
      </c>
      <c r="Q4728">
        <f t="shared" si="241"/>
        <v>10</v>
      </c>
      <c r="R4728" t="str">
        <f t="shared" si="242"/>
        <v>流量宝</v>
      </c>
      <c r="S4728" t="s">
        <v>785</v>
      </c>
      <c r="T4728" t="s">
        <v>805</v>
      </c>
    </row>
    <row r="4729" spans="1:20" x14ac:dyDescent="0.3">
      <c r="A4729" t="s">
        <v>627</v>
      </c>
      <c r="B4729" s="16">
        <v>45581</v>
      </c>
      <c r="C4729" t="s">
        <v>2</v>
      </c>
      <c r="D4729" t="s">
        <v>4</v>
      </c>
      <c r="E4729" t="s">
        <v>43</v>
      </c>
      <c r="F4729">
        <v>1159</v>
      </c>
      <c r="G4729">
        <v>197</v>
      </c>
      <c r="H4729">
        <v>3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17</v>
      </c>
      <c r="O4729">
        <v>1144</v>
      </c>
      <c r="P4729">
        <f t="shared" si="240"/>
        <v>2024</v>
      </c>
      <c r="Q4729">
        <f t="shared" si="241"/>
        <v>10</v>
      </c>
      <c r="R4729" t="str">
        <f t="shared" si="242"/>
        <v>淘宝客</v>
      </c>
      <c r="S4729" t="s">
        <v>785</v>
      </c>
      <c r="T4729" t="s">
        <v>805</v>
      </c>
    </row>
    <row r="4730" spans="1:20" x14ac:dyDescent="0.3">
      <c r="A4730" t="s">
        <v>627</v>
      </c>
      <c r="B4730" s="16">
        <v>45580</v>
      </c>
      <c r="C4730" t="s">
        <v>3</v>
      </c>
      <c r="D4730" t="s">
        <v>114</v>
      </c>
      <c r="E4730" t="s">
        <v>159</v>
      </c>
      <c r="F4730">
        <v>224</v>
      </c>
      <c r="G4730">
        <v>175</v>
      </c>
      <c r="H4730">
        <v>3</v>
      </c>
      <c r="I4730">
        <v>2</v>
      </c>
      <c r="J4730">
        <v>0</v>
      </c>
      <c r="K4730">
        <v>0</v>
      </c>
      <c r="L4730">
        <v>0</v>
      </c>
      <c r="M4730">
        <v>0</v>
      </c>
      <c r="N4730">
        <v>24</v>
      </c>
      <c r="O4730">
        <v>211</v>
      </c>
      <c r="P4730">
        <f t="shared" si="240"/>
        <v>2024</v>
      </c>
      <c r="Q4730">
        <f t="shared" si="241"/>
        <v>10</v>
      </c>
      <c r="R4730" t="str">
        <f t="shared" si="242"/>
        <v>主会场</v>
      </c>
      <c r="S4730" t="s">
        <v>785</v>
      </c>
      <c r="T4730" t="s">
        <v>805</v>
      </c>
    </row>
    <row r="4731" spans="1:20" x14ac:dyDescent="0.3">
      <c r="A4731" t="s">
        <v>627</v>
      </c>
      <c r="B4731" s="16">
        <v>45580</v>
      </c>
      <c r="C4731" t="s">
        <v>3</v>
      </c>
      <c r="D4731" t="s">
        <v>120</v>
      </c>
      <c r="E4731" t="s">
        <v>162</v>
      </c>
      <c r="F4731">
        <v>1</v>
      </c>
      <c r="G4731">
        <v>1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1</v>
      </c>
      <c r="O4731">
        <v>0</v>
      </c>
      <c r="P4731">
        <f t="shared" si="240"/>
        <v>2024</v>
      </c>
      <c r="Q4731">
        <f t="shared" si="241"/>
        <v>10</v>
      </c>
      <c r="R4731" t="str">
        <f t="shared" si="242"/>
        <v>手机浏览器访问天猫</v>
      </c>
      <c r="S4731" t="s">
        <v>785</v>
      </c>
      <c r="T4731" t="s">
        <v>805</v>
      </c>
    </row>
    <row r="4732" spans="1:20" x14ac:dyDescent="0.3">
      <c r="A4732" t="s">
        <v>627</v>
      </c>
      <c r="B4732" s="16">
        <v>45580</v>
      </c>
      <c r="C4732" t="s">
        <v>3</v>
      </c>
      <c r="D4732" t="s">
        <v>120</v>
      </c>
      <c r="E4732" t="s">
        <v>163</v>
      </c>
      <c r="F4732">
        <v>38</v>
      </c>
      <c r="G4732">
        <v>19</v>
      </c>
      <c r="H4732">
        <v>1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18</v>
      </c>
      <c r="O4732">
        <v>30</v>
      </c>
      <c r="P4732">
        <f t="shared" si="240"/>
        <v>2024</v>
      </c>
      <c r="Q4732">
        <f t="shared" si="241"/>
        <v>10</v>
      </c>
      <c r="R4732" t="str">
        <f t="shared" si="242"/>
        <v>手猫免费其他</v>
      </c>
      <c r="S4732" t="s">
        <v>785</v>
      </c>
      <c r="T4732" t="s">
        <v>805</v>
      </c>
    </row>
    <row r="4733" spans="1:20" x14ac:dyDescent="0.3">
      <c r="A4733" t="s">
        <v>627</v>
      </c>
      <c r="B4733" s="16">
        <v>45580</v>
      </c>
      <c r="C4733" t="s">
        <v>3</v>
      </c>
      <c r="D4733" t="s">
        <v>120</v>
      </c>
      <c r="E4733" t="s">
        <v>164</v>
      </c>
      <c r="F4733">
        <v>24</v>
      </c>
      <c r="G4733">
        <v>16</v>
      </c>
      <c r="H4733">
        <v>5</v>
      </c>
      <c r="I4733">
        <v>0</v>
      </c>
      <c r="J4733">
        <v>9950</v>
      </c>
      <c r="K4733">
        <v>1</v>
      </c>
      <c r="L4733">
        <v>9950</v>
      </c>
      <c r="M4733">
        <v>1</v>
      </c>
      <c r="N4733">
        <v>1</v>
      </c>
      <c r="O4733">
        <v>24</v>
      </c>
      <c r="P4733">
        <f t="shared" si="240"/>
        <v>2024</v>
      </c>
      <c r="Q4733">
        <f t="shared" si="241"/>
        <v>10</v>
      </c>
      <c r="R4733" t="str">
        <f t="shared" si="242"/>
        <v>手猫其他店铺</v>
      </c>
      <c r="S4733" t="s">
        <v>785</v>
      </c>
      <c r="T4733" t="s">
        <v>805</v>
      </c>
    </row>
    <row r="4734" spans="1:20" x14ac:dyDescent="0.3">
      <c r="A4734" t="s">
        <v>627</v>
      </c>
      <c r="B4734" s="16">
        <v>45580</v>
      </c>
      <c r="C4734" t="s">
        <v>3</v>
      </c>
      <c r="D4734" t="s">
        <v>120</v>
      </c>
      <c r="E4734" t="s">
        <v>165</v>
      </c>
      <c r="F4734">
        <v>26</v>
      </c>
      <c r="G4734">
        <v>14</v>
      </c>
      <c r="H4734">
        <v>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8</v>
      </c>
      <c r="O4734">
        <v>25</v>
      </c>
      <c r="P4734">
        <f t="shared" si="240"/>
        <v>2024</v>
      </c>
      <c r="Q4734">
        <f t="shared" si="241"/>
        <v>10</v>
      </c>
      <c r="R4734" t="str">
        <f t="shared" si="242"/>
        <v>手猫商品详情</v>
      </c>
      <c r="S4734" t="s">
        <v>785</v>
      </c>
      <c r="T4734" t="s">
        <v>805</v>
      </c>
    </row>
    <row r="4735" spans="1:20" x14ac:dyDescent="0.3">
      <c r="A4735" t="s">
        <v>627</v>
      </c>
      <c r="B4735" s="16">
        <v>45580</v>
      </c>
      <c r="C4735" t="s">
        <v>3</v>
      </c>
      <c r="D4735" t="s">
        <v>120</v>
      </c>
      <c r="E4735" t="s">
        <v>166</v>
      </c>
      <c r="F4735">
        <v>60</v>
      </c>
      <c r="G4735">
        <v>46</v>
      </c>
      <c r="H4735">
        <v>3</v>
      </c>
      <c r="I4735">
        <v>0</v>
      </c>
      <c r="J4735">
        <v>2500</v>
      </c>
      <c r="K4735">
        <v>1</v>
      </c>
      <c r="L4735">
        <v>2500</v>
      </c>
      <c r="M4735">
        <v>1</v>
      </c>
      <c r="N4735">
        <v>35</v>
      </c>
      <c r="O4735">
        <v>46</v>
      </c>
      <c r="P4735">
        <f t="shared" si="240"/>
        <v>2024</v>
      </c>
      <c r="Q4735">
        <f t="shared" si="241"/>
        <v>10</v>
      </c>
      <c r="R4735" t="str">
        <f t="shared" si="242"/>
        <v>手猫搜索</v>
      </c>
      <c r="S4735" t="s">
        <v>785</v>
      </c>
      <c r="T4735" t="s">
        <v>805</v>
      </c>
    </row>
    <row r="4736" spans="1:20" x14ac:dyDescent="0.3">
      <c r="A4736" t="s">
        <v>627</v>
      </c>
      <c r="B4736" s="16">
        <v>45580</v>
      </c>
      <c r="C4736" t="s">
        <v>3</v>
      </c>
      <c r="D4736" t="s">
        <v>120</v>
      </c>
      <c r="E4736" t="s">
        <v>167</v>
      </c>
      <c r="F4736">
        <v>2</v>
      </c>
      <c r="G4736">
        <v>2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1</v>
      </c>
      <c r="O4736">
        <v>1</v>
      </c>
      <c r="P4736">
        <f t="shared" si="240"/>
        <v>2024</v>
      </c>
      <c r="Q4736">
        <f t="shared" si="241"/>
        <v>10</v>
      </c>
      <c r="R4736" t="str">
        <f t="shared" si="242"/>
        <v>手猫旺信聊天</v>
      </c>
      <c r="S4736" t="s">
        <v>785</v>
      </c>
      <c r="T4736" t="s">
        <v>805</v>
      </c>
    </row>
    <row r="4737" spans="1:20" x14ac:dyDescent="0.3">
      <c r="A4737" t="s">
        <v>627</v>
      </c>
      <c r="B4737" s="16">
        <v>45580</v>
      </c>
      <c r="C4737" t="s">
        <v>3</v>
      </c>
      <c r="D4737" t="s">
        <v>120</v>
      </c>
      <c r="E4737" t="s">
        <v>192</v>
      </c>
      <c r="F4737">
        <v>1</v>
      </c>
      <c r="G4737">
        <v>1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1</v>
      </c>
      <c r="P4737">
        <f t="shared" si="240"/>
        <v>2024</v>
      </c>
      <c r="Q4737">
        <f t="shared" si="241"/>
        <v>10</v>
      </c>
      <c r="R4737" t="str">
        <f t="shared" si="242"/>
        <v>手猫消息中心</v>
      </c>
      <c r="S4737" t="s">
        <v>785</v>
      </c>
      <c r="T4737" t="s">
        <v>805</v>
      </c>
    </row>
    <row r="4738" spans="1:20" x14ac:dyDescent="0.3">
      <c r="A4738" t="s">
        <v>627</v>
      </c>
      <c r="B4738" s="16">
        <v>45580</v>
      </c>
      <c r="C4738" t="s">
        <v>3</v>
      </c>
      <c r="D4738" t="s">
        <v>120</v>
      </c>
      <c r="E4738" t="s">
        <v>168</v>
      </c>
      <c r="F4738">
        <v>260</v>
      </c>
      <c r="G4738">
        <v>163</v>
      </c>
      <c r="H4738">
        <v>6</v>
      </c>
      <c r="I4738">
        <v>0</v>
      </c>
      <c r="J4738">
        <v>9950</v>
      </c>
      <c r="K4738">
        <v>1</v>
      </c>
      <c r="L4738">
        <v>9950</v>
      </c>
      <c r="M4738">
        <v>1</v>
      </c>
      <c r="N4738">
        <v>16</v>
      </c>
      <c r="O4738">
        <v>260</v>
      </c>
      <c r="P4738">
        <f t="shared" si="240"/>
        <v>2024</v>
      </c>
      <c r="Q4738">
        <f t="shared" si="241"/>
        <v>10</v>
      </c>
      <c r="R4738" t="str">
        <f t="shared" si="242"/>
        <v>手猫首页</v>
      </c>
      <c r="S4738" t="s">
        <v>785</v>
      </c>
      <c r="T4738" t="s">
        <v>805</v>
      </c>
    </row>
    <row r="4739" spans="1:20" x14ac:dyDescent="0.3">
      <c r="A4739" t="s">
        <v>627</v>
      </c>
      <c r="B4739" s="16">
        <v>45580</v>
      </c>
      <c r="C4739" t="s">
        <v>3</v>
      </c>
      <c r="D4739" t="s">
        <v>123</v>
      </c>
      <c r="E4739" t="s">
        <v>169</v>
      </c>
      <c r="F4739">
        <v>312</v>
      </c>
      <c r="G4739">
        <v>119</v>
      </c>
      <c r="H4739">
        <v>21</v>
      </c>
      <c r="I4739">
        <v>8</v>
      </c>
      <c r="J4739">
        <v>3960</v>
      </c>
      <c r="K4739">
        <v>2</v>
      </c>
      <c r="L4739">
        <v>3960</v>
      </c>
      <c r="M4739">
        <v>2</v>
      </c>
      <c r="N4739">
        <v>37</v>
      </c>
      <c r="O4739">
        <v>308</v>
      </c>
      <c r="P4739">
        <f t="shared" si="240"/>
        <v>2024</v>
      </c>
      <c r="Q4739">
        <f t="shared" si="241"/>
        <v>10</v>
      </c>
      <c r="R4739" t="str">
        <f t="shared" si="242"/>
        <v>商品详情页头图推荐</v>
      </c>
      <c r="S4739" t="s">
        <v>785</v>
      </c>
      <c r="T4739" t="s">
        <v>805</v>
      </c>
    </row>
    <row r="4740" spans="1:20" x14ac:dyDescent="0.3">
      <c r="A4740" t="s">
        <v>627</v>
      </c>
      <c r="B4740" s="16">
        <v>45580</v>
      </c>
      <c r="C4740" t="s">
        <v>3</v>
      </c>
      <c r="D4740" t="s">
        <v>123</v>
      </c>
      <c r="E4740" t="s">
        <v>170</v>
      </c>
      <c r="F4740">
        <v>64</v>
      </c>
      <c r="G4740">
        <v>35</v>
      </c>
      <c r="H4740">
        <v>6</v>
      </c>
      <c r="I4740">
        <v>1</v>
      </c>
      <c r="J4740">
        <v>6080</v>
      </c>
      <c r="K4740">
        <v>2</v>
      </c>
      <c r="L4740">
        <v>2200</v>
      </c>
      <c r="M4740">
        <v>1</v>
      </c>
      <c r="N4740">
        <v>56</v>
      </c>
      <c r="O4740">
        <v>31</v>
      </c>
      <c r="P4740">
        <f t="shared" si="240"/>
        <v>2024</v>
      </c>
      <c r="Q4740">
        <f t="shared" si="241"/>
        <v>10</v>
      </c>
      <c r="R4740" t="str">
        <f t="shared" si="242"/>
        <v>店铺超链</v>
      </c>
      <c r="S4740" t="s">
        <v>785</v>
      </c>
      <c r="T4740" t="s">
        <v>805</v>
      </c>
    </row>
    <row r="4741" spans="1:20" x14ac:dyDescent="0.3">
      <c r="A4741" t="s">
        <v>627</v>
      </c>
      <c r="B4741" s="16">
        <v>45580</v>
      </c>
      <c r="C4741" t="s">
        <v>3</v>
      </c>
      <c r="D4741" t="s">
        <v>127</v>
      </c>
      <c r="E4741" t="s">
        <v>171</v>
      </c>
      <c r="F4741">
        <v>194</v>
      </c>
      <c r="G4741">
        <v>99</v>
      </c>
      <c r="H4741">
        <v>5</v>
      </c>
      <c r="I4741">
        <v>0</v>
      </c>
      <c r="J4741">
        <v>3875</v>
      </c>
      <c r="K4741">
        <v>1</v>
      </c>
      <c r="L4741">
        <v>3875</v>
      </c>
      <c r="M4741">
        <v>1</v>
      </c>
      <c r="N4741">
        <v>97</v>
      </c>
      <c r="O4741">
        <v>112</v>
      </c>
      <c r="P4741">
        <f t="shared" si="240"/>
        <v>2024</v>
      </c>
      <c r="Q4741">
        <f t="shared" si="241"/>
        <v>10</v>
      </c>
      <c r="R4741" t="str">
        <f t="shared" si="242"/>
        <v>其他猜你喜欢</v>
      </c>
      <c r="S4741" t="s">
        <v>785</v>
      </c>
      <c r="T4741" t="s">
        <v>805</v>
      </c>
    </row>
    <row r="4742" spans="1:20" x14ac:dyDescent="0.3">
      <c r="A4742" t="s">
        <v>627</v>
      </c>
      <c r="B4742" s="16">
        <v>45580</v>
      </c>
      <c r="C4742" t="s">
        <v>3</v>
      </c>
      <c r="D4742" t="s">
        <v>127</v>
      </c>
      <c r="E4742" t="s">
        <v>172</v>
      </c>
      <c r="F4742">
        <v>16</v>
      </c>
      <c r="G4742">
        <v>9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3</v>
      </c>
      <c r="O4742">
        <v>8</v>
      </c>
      <c r="P4742">
        <f t="shared" si="240"/>
        <v>2024</v>
      </c>
      <c r="Q4742">
        <f t="shared" si="241"/>
        <v>10</v>
      </c>
      <c r="R4742" t="str">
        <f t="shared" si="242"/>
        <v>购中推荐</v>
      </c>
      <c r="S4742" t="s">
        <v>785</v>
      </c>
      <c r="T4742" t="s">
        <v>805</v>
      </c>
    </row>
    <row r="4743" spans="1:20" x14ac:dyDescent="0.3">
      <c r="A4743" t="s">
        <v>627</v>
      </c>
      <c r="B4743" s="16">
        <v>45580</v>
      </c>
      <c r="C4743" t="s">
        <v>3</v>
      </c>
      <c r="D4743" t="s">
        <v>127</v>
      </c>
      <c r="E4743" t="s">
        <v>173</v>
      </c>
      <c r="F4743">
        <v>38</v>
      </c>
      <c r="G4743">
        <v>20</v>
      </c>
      <c r="H4743">
        <v>1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3</v>
      </c>
      <c r="O4743">
        <v>14</v>
      </c>
      <c r="P4743">
        <f t="shared" si="240"/>
        <v>2024</v>
      </c>
      <c r="Q4743">
        <f t="shared" si="241"/>
        <v>10</v>
      </c>
      <c r="R4743" t="str">
        <f t="shared" si="242"/>
        <v>购后推荐</v>
      </c>
      <c r="S4743" t="s">
        <v>785</v>
      </c>
      <c r="T4743" t="s">
        <v>805</v>
      </c>
    </row>
    <row r="4744" spans="1:20" x14ac:dyDescent="0.3">
      <c r="A4744" t="s">
        <v>627</v>
      </c>
      <c r="B4744" s="16">
        <v>45580</v>
      </c>
      <c r="C4744" t="s">
        <v>3</v>
      </c>
      <c r="D4744" t="s">
        <v>127</v>
      </c>
      <c r="E4744" t="s">
        <v>174</v>
      </c>
      <c r="F4744">
        <v>1430</v>
      </c>
      <c r="G4744">
        <v>765</v>
      </c>
      <c r="H4744">
        <v>29</v>
      </c>
      <c r="I4744">
        <v>7</v>
      </c>
      <c r="J4744">
        <v>24762</v>
      </c>
      <c r="K4744">
        <v>5</v>
      </c>
      <c r="L4744">
        <v>5000</v>
      </c>
      <c r="M4744">
        <v>2</v>
      </c>
      <c r="N4744">
        <v>64</v>
      </c>
      <c r="O4744">
        <v>1430</v>
      </c>
      <c r="P4744">
        <f t="shared" si="240"/>
        <v>2024</v>
      </c>
      <c r="Q4744">
        <f t="shared" si="241"/>
        <v>10</v>
      </c>
      <c r="R4744" t="str">
        <f t="shared" si="242"/>
        <v>首页推荐-微详情</v>
      </c>
      <c r="S4744" t="s">
        <v>785</v>
      </c>
      <c r="T4744" t="s">
        <v>805</v>
      </c>
    </row>
    <row r="4745" spans="1:20" x14ac:dyDescent="0.3">
      <c r="A4745" t="s">
        <v>627</v>
      </c>
      <c r="B4745" s="16">
        <v>45580</v>
      </c>
      <c r="C4745" t="s">
        <v>3</v>
      </c>
      <c r="D4745" t="s">
        <v>127</v>
      </c>
      <c r="E4745" t="s">
        <v>175</v>
      </c>
      <c r="F4745">
        <v>251</v>
      </c>
      <c r="G4745">
        <v>148</v>
      </c>
      <c r="H4745">
        <v>3</v>
      </c>
      <c r="I4745">
        <v>0</v>
      </c>
      <c r="J4745">
        <v>10900</v>
      </c>
      <c r="K4745">
        <v>1</v>
      </c>
      <c r="L4745">
        <v>10900</v>
      </c>
      <c r="M4745">
        <v>1</v>
      </c>
      <c r="N4745">
        <v>6</v>
      </c>
      <c r="O4745">
        <v>28</v>
      </c>
      <c r="P4745">
        <f t="shared" si="240"/>
        <v>2024</v>
      </c>
      <c r="Q4745">
        <f t="shared" si="241"/>
        <v>10</v>
      </c>
      <c r="R4745" t="str">
        <f t="shared" si="242"/>
        <v>首页推荐-直播</v>
      </c>
      <c r="S4745" t="s">
        <v>785</v>
      </c>
      <c r="T4745" t="s">
        <v>805</v>
      </c>
    </row>
    <row r="4746" spans="1:20" x14ac:dyDescent="0.3">
      <c r="A4746" t="s">
        <v>627</v>
      </c>
      <c r="B4746" s="16">
        <v>45580</v>
      </c>
      <c r="C4746" t="s">
        <v>3</v>
      </c>
      <c r="D4746" t="s">
        <v>127</v>
      </c>
      <c r="E4746" t="s">
        <v>176</v>
      </c>
      <c r="F4746">
        <v>227</v>
      </c>
      <c r="G4746">
        <v>106</v>
      </c>
      <c r="H4746">
        <v>3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8</v>
      </c>
      <c r="O4746">
        <v>43</v>
      </c>
      <c r="P4746">
        <f t="shared" si="240"/>
        <v>2024</v>
      </c>
      <c r="Q4746">
        <f t="shared" si="241"/>
        <v>10</v>
      </c>
      <c r="R4746" t="str">
        <f t="shared" si="242"/>
        <v>首页推荐-短视频</v>
      </c>
      <c r="S4746" t="s">
        <v>785</v>
      </c>
      <c r="T4746" t="s">
        <v>805</v>
      </c>
    </row>
    <row r="4747" spans="1:20" x14ac:dyDescent="0.3">
      <c r="A4747" t="s">
        <v>627</v>
      </c>
      <c r="B4747" s="16">
        <v>45580</v>
      </c>
      <c r="C4747" t="s">
        <v>3</v>
      </c>
      <c r="D4747" t="s">
        <v>128</v>
      </c>
      <c r="E4747" t="s">
        <v>177</v>
      </c>
      <c r="F4747">
        <v>760</v>
      </c>
      <c r="G4747">
        <v>596</v>
      </c>
      <c r="H4747">
        <v>37</v>
      </c>
      <c r="I4747">
        <v>10</v>
      </c>
      <c r="J4747">
        <v>16852</v>
      </c>
      <c r="K4747">
        <v>3</v>
      </c>
      <c r="L4747">
        <v>12952</v>
      </c>
      <c r="M4747">
        <v>3</v>
      </c>
      <c r="N4747">
        <v>239</v>
      </c>
      <c r="O4747">
        <v>645</v>
      </c>
      <c r="P4747">
        <f t="shared" si="240"/>
        <v>2024</v>
      </c>
      <c r="Q4747">
        <f t="shared" si="241"/>
        <v>10</v>
      </c>
      <c r="R4747" t="str">
        <f t="shared" si="242"/>
        <v>手淘搜索-商品及其他</v>
      </c>
      <c r="S4747" t="s">
        <v>785</v>
      </c>
      <c r="T4747" t="s">
        <v>805</v>
      </c>
    </row>
    <row r="4748" spans="1:20" x14ac:dyDescent="0.3">
      <c r="A4748" t="s">
        <v>627</v>
      </c>
      <c r="B4748" s="16">
        <v>45580</v>
      </c>
      <c r="C4748" t="s">
        <v>3</v>
      </c>
      <c r="D4748" t="s">
        <v>128</v>
      </c>
      <c r="E4748" t="s">
        <v>178</v>
      </c>
      <c r="F4748">
        <v>2</v>
      </c>
      <c r="G4748">
        <v>0</v>
      </c>
      <c r="H4748">
        <v>1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1</v>
      </c>
      <c r="O4748">
        <v>2</v>
      </c>
      <c r="P4748">
        <f t="shared" si="240"/>
        <v>2024</v>
      </c>
      <c r="Q4748">
        <f t="shared" si="241"/>
        <v>10</v>
      </c>
      <c r="R4748" t="str">
        <f t="shared" si="242"/>
        <v>手淘搜索-直播</v>
      </c>
      <c r="S4748" t="s">
        <v>785</v>
      </c>
      <c r="T4748" t="s">
        <v>805</v>
      </c>
    </row>
    <row r="4749" spans="1:20" x14ac:dyDescent="0.3">
      <c r="A4749" t="s">
        <v>627</v>
      </c>
      <c r="B4749" s="16">
        <v>45580</v>
      </c>
      <c r="C4749" t="s">
        <v>3</v>
      </c>
      <c r="D4749" t="s">
        <v>128</v>
      </c>
      <c r="E4749" t="s">
        <v>179</v>
      </c>
      <c r="F4749">
        <v>10</v>
      </c>
      <c r="G4749">
        <v>9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7</v>
      </c>
      <c r="P4749">
        <f t="shared" si="240"/>
        <v>2024</v>
      </c>
      <c r="Q4749">
        <f t="shared" si="241"/>
        <v>10</v>
      </c>
      <c r="R4749" t="str">
        <f t="shared" si="242"/>
        <v>手淘搜索-短视频</v>
      </c>
      <c r="S4749" t="s">
        <v>785</v>
      </c>
      <c r="T4749" t="s">
        <v>805</v>
      </c>
    </row>
    <row r="4750" spans="1:20" x14ac:dyDescent="0.3">
      <c r="A4750" t="s">
        <v>627</v>
      </c>
      <c r="B4750" s="16">
        <v>45580</v>
      </c>
      <c r="C4750" t="s">
        <v>3</v>
      </c>
      <c r="D4750" t="s">
        <v>143</v>
      </c>
      <c r="E4750" t="s">
        <v>180</v>
      </c>
      <c r="F4750">
        <v>17</v>
      </c>
      <c r="G4750">
        <v>16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17</v>
      </c>
      <c r="P4750">
        <f t="shared" si="240"/>
        <v>2024</v>
      </c>
      <c r="Q4750">
        <f t="shared" si="241"/>
        <v>10</v>
      </c>
      <c r="R4750" t="str">
        <f t="shared" si="242"/>
        <v>淘特其他渠道</v>
      </c>
      <c r="S4750" t="s">
        <v>785</v>
      </c>
      <c r="T4750" t="s">
        <v>805</v>
      </c>
    </row>
    <row r="4751" spans="1:20" x14ac:dyDescent="0.3">
      <c r="A4751" t="s">
        <v>627</v>
      </c>
      <c r="B4751" s="16">
        <v>45580</v>
      </c>
      <c r="C4751" t="s">
        <v>2</v>
      </c>
      <c r="D4751" t="s">
        <v>55</v>
      </c>
      <c r="E4751" t="s">
        <v>66</v>
      </c>
      <c r="F4751">
        <v>2</v>
      </c>
      <c r="G4751">
        <v>2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f t="shared" si="240"/>
        <v>2024</v>
      </c>
      <c r="Q4751">
        <f t="shared" si="241"/>
        <v>10</v>
      </c>
      <c r="R4751" t="str">
        <f t="shared" si="242"/>
        <v>短直联动</v>
      </c>
      <c r="S4751" t="s">
        <v>785</v>
      </c>
      <c r="T4751" t="s">
        <v>805</v>
      </c>
    </row>
    <row r="4752" spans="1:20" x14ac:dyDescent="0.3">
      <c r="A4752" t="s">
        <v>627</v>
      </c>
      <c r="B4752" s="16">
        <v>45580</v>
      </c>
      <c r="C4752" t="s">
        <v>2</v>
      </c>
      <c r="D4752" t="s">
        <v>55</v>
      </c>
      <c r="E4752" t="s">
        <v>54</v>
      </c>
      <c r="F4752">
        <v>1142</v>
      </c>
      <c r="G4752">
        <v>1000</v>
      </c>
      <c r="H4752">
        <v>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7</v>
      </c>
      <c r="O4752">
        <v>77</v>
      </c>
      <c r="P4752">
        <f t="shared" si="240"/>
        <v>2024</v>
      </c>
      <c r="Q4752">
        <f t="shared" si="241"/>
        <v>10</v>
      </c>
      <c r="R4752" t="str">
        <f t="shared" si="242"/>
        <v>超级直播</v>
      </c>
      <c r="S4752" t="s">
        <v>785</v>
      </c>
      <c r="T4752" t="s">
        <v>805</v>
      </c>
    </row>
    <row r="4753" spans="1:20" x14ac:dyDescent="0.3">
      <c r="A4753" t="s">
        <v>627</v>
      </c>
      <c r="B4753" s="16">
        <v>45580</v>
      </c>
      <c r="C4753" t="s">
        <v>2</v>
      </c>
      <c r="D4753" t="s">
        <v>55</v>
      </c>
      <c r="E4753" t="s">
        <v>56</v>
      </c>
      <c r="F4753">
        <v>158</v>
      </c>
      <c r="G4753">
        <v>133</v>
      </c>
      <c r="H4753">
        <v>2</v>
      </c>
      <c r="I4753">
        <v>1</v>
      </c>
      <c r="J4753">
        <v>0</v>
      </c>
      <c r="K4753">
        <v>0</v>
      </c>
      <c r="L4753">
        <v>0</v>
      </c>
      <c r="M4753">
        <v>0</v>
      </c>
      <c r="N4753">
        <v>3</v>
      </c>
      <c r="O4753">
        <v>76</v>
      </c>
      <c r="P4753">
        <f t="shared" si="240"/>
        <v>2024</v>
      </c>
      <c r="Q4753">
        <f t="shared" si="241"/>
        <v>10</v>
      </c>
      <c r="R4753" t="str">
        <f t="shared" si="242"/>
        <v>超级短视频</v>
      </c>
      <c r="S4753" t="s">
        <v>785</v>
      </c>
      <c r="T4753" t="s">
        <v>805</v>
      </c>
    </row>
    <row r="4754" spans="1:20" x14ac:dyDescent="0.3">
      <c r="A4754" t="s">
        <v>627</v>
      </c>
      <c r="B4754" s="16">
        <v>45580</v>
      </c>
      <c r="C4754" t="s">
        <v>2</v>
      </c>
      <c r="D4754" t="s">
        <v>52</v>
      </c>
      <c r="E4754" t="s">
        <v>53</v>
      </c>
      <c r="F4754">
        <v>831</v>
      </c>
      <c r="G4754">
        <v>702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831</v>
      </c>
      <c r="O4754">
        <v>154</v>
      </c>
      <c r="P4754">
        <f t="shared" si="240"/>
        <v>2024</v>
      </c>
      <c r="Q4754">
        <f t="shared" si="241"/>
        <v>10</v>
      </c>
      <c r="R4754" t="str">
        <f t="shared" si="242"/>
        <v>Showmax</v>
      </c>
      <c r="S4754" t="s">
        <v>785</v>
      </c>
      <c r="T4754" t="s">
        <v>805</v>
      </c>
    </row>
    <row r="4755" spans="1:20" x14ac:dyDescent="0.3">
      <c r="A4755" t="s">
        <v>627</v>
      </c>
      <c r="B4755" s="16">
        <v>45580</v>
      </c>
      <c r="C4755" t="s">
        <v>2</v>
      </c>
      <c r="D4755" t="s">
        <v>52</v>
      </c>
      <c r="E4755" t="s">
        <v>59</v>
      </c>
      <c r="F4755">
        <v>1191</v>
      </c>
      <c r="G4755">
        <v>1048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1191</v>
      </c>
      <c r="O4755">
        <v>299</v>
      </c>
      <c r="P4755">
        <f t="shared" si="240"/>
        <v>2024</v>
      </c>
      <c r="Q4755">
        <f t="shared" si="241"/>
        <v>10</v>
      </c>
      <c r="R4755" t="str">
        <f t="shared" si="242"/>
        <v>品牌特秀</v>
      </c>
      <c r="S4755" t="s">
        <v>785</v>
      </c>
      <c r="T4755" t="s">
        <v>805</v>
      </c>
    </row>
    <row r="4756" spans="1:20" x14ac:dyDescent="0.3">
      <c r="A4756" t="s">
        <v>627</v>
      </c>
      <c r="B4756" s="16">
        <v>45580</v>
      </c>
      <c r="C4756" t="s">
        <v>2</v>
      </c>
      <c r="D4756" t="s">
        <v>52</v>
      </c>
      <c r="E4756" t="s">
        <v>183</v>
      </c>
      <c r="F4756">
        <v>743</v>
      </c>
      <c r="G4756">
        <v>611</v>
      </c>
      <c r="H4756">
        <v>28</v>
      </c>
      <c r="I4756">
        <v>13</v>
      </c>
      <c r="J4756">
        <v>15982</v>
      </c>
      <c r="K4756">
        <v>5</v>
      </c>
      <c r="L4756">
        <v>14302</v>
      </c>
      <c r="M4756">
        <v>4</v>
      </c>
      <c r="N4756">
        <v>743</v>
      </c>
      <c r="O4756">
        <v>404</v>
      </c>
      <c r="P4756">
        <f t="shared" si="240"/>
        <v>2024</v>
      </c>
      <c r="Q4756">
        <f t="shared" si="241"/>
        <v>10</v>
      </c>
      <c r="R4756" t="str">
        <f t="shared" si="242"/>
        <v>品销宝-品牌专区</v>
      </c>
      <c r="S4756" t="s">
        <v>785</v>
      </c>
      <c r="T4756" t="s">
        <v>805</v>
      </c>
    </row>
    <row r="4757" spans="1:20" x14ac:dyDescent="0.3">
      <c r="A4757" t="s">
        <v>627</v>
      </c>
      <c r="B4757" s="16">
        <v>45580</v>
      </c>
      <c r="C4757" t="s">
        <v>2</v>
      </c>
      <c r="D4757" t="s">
        <v>57</v>
      </c>
      <c r="E4757" t="s">
        <v>65</v>
      </c>
      <c r="F4757">
        <v>4141</v>
      </c>
      <c r="G4757">
        <v>3648</v>
      </c>
      <c r="H4757">
        <v>58</v>
      </c>
      <c r="I4757">
        <v>27</v>
      </c>
      <c r="J4757">
        <v>22155</v>
      </c>
      <c r="K4757">
        <v>3</v>
      </c>
      <c r="L4757">
        <v>4975</v>
      </c>
      <c r="M4757">
        <v>1</v>
      </c>
      <c r="N4757">
        <v>300</v>
      </c>
      <c r="O4757">
        <v>4117</v>
      </c>
      <c r="P4757">
        <f t="shared" si="240"/>
        <v>2024</v>
      </c>
      <c r="Q4757">
        <f t="shared" si="241"/>
        <v>10</v>
      </c>
      <c r="R4757" t="str">
        <f t="shared" si="242"/>
        <v>直通车</v>
      </c>
      <c r="S4757" t="s">
        <v>785</v>
      </c>
      <c r="T4757" t="s">
        <v>805</v>
      </c>
    </row>
    <row r="4758" spans="1:20" x14ac:dyDescent="0.3">
      <c r="A4758" t="s">
        <v>627</v>
      </c>
      <c r="B4758" s="16">
        <v>45580</v>
      </c>
      <c r="C4758" t="s">
        <v>2</v>
      </c>
      <c r="D4758" t="s">
        <v>57</v>
      </c>
      <c r="E4758" t="s">
        <v>63</v>
      </c>
      <c r="F4758">
        <v>5409</v>
      </c>
      <c r="G4758">
        <v>2719</v>
      </c>
      <c r="H4758">
        <v>118</v>
      </c>
      <c r="I4758">
        <v>69</v>
      </c>
      <c r="J4758">
        <v>90384</v>
      </c>
      <c r="K4758">
        <v>15</v>
      </c>
      <c r="L4758">
        <v>75304</v>
      </c>
      <c r="M4758">
        <v>11</v>
      </c>
      <c r="N4758">
        <v>184</v>
      </c>
      <c r="O4758">
        <v>5404</v>
      </c>
      <c r="P4758">
        <f t="shared" si="240"/>
        <v>2024</v>
      </c>
      <c r="Q4758">
        <f t="shared" si="241"/>
        <v>10</v>
      </c>
      <c r="R4758" t="str">
        <f t="shared" si="242"/>
        <v>万相台</v>
      </c>
      <c r="S4758" t="s">
        <v>785</v>
      </c>
      <c r="T4758" t="s">
        <v>805</v>
      </c>
    </row>
    <row r="4759" spans="1:20" x14ac:dyDescent="0.3">
      <c r="A4759" t="s">
        <v>627</v>
      </c>
      <c r="B4759" s="16">
        <v>45580</v>
      </c>
      <c r="C4759" t="s">
        <v>2</v>
      </c>
      <c r="D4759" t="s">
        <v>57</v>
      </c>
      <c r="E4759" t="s">
        <v>64</v>
      </c>
      <c r="F4759">
        <v>7756</v>
      </c>
      <c r="G4759">
        <v>3860</v>
      </c>
      <c r="H4759">
        <v>182</v>
      </c>
      <c r="I4759">
        <v>100</v>
      </c>
      <c r="J4759">
        <v>100837</v>
      </c>
      <c r="K4759">
        <v>15</v>
      </c>
      <c r="L4759">
        <v>57407</v>
      </c>
      <c r="M4759">
        <v>11</v>
      </c>
      <c r="N4759">
        <v>655</v>
      </c>
      <c r="O4759">
        <v>7752</v>
      </c>
      <c r="P4759">
        <f t="shared" si="240"/>
        <v>2024</v>
      </c>
      <c r="Q4759">
        <f t="shared" si="241"/>
        <v>10</v>
      </c>
      <c r="R4759" t="str">
        <f t="shared" si="242"/>
        <v>引力魔方</v>
      </c>
      <c r="S4759" t="s">
        <v>785</v>
      </c>
      <c r="T4759" t="s">
        <v>805</v>
      </c>
    </row>
    <row r="4760" spans="1:20" x14ac:dyDescent="0.3">
      <c r="A4760" t="s">
        <v>627</v>
      </c>
      <c r="B4760" s="16">
        <v>45580</v>
      </c>
      <c r="C4760" t="s">
        <v>2</v>
      </c>
      <c r="D4760" t="s">
        <v>4</v>
      </c>
      <c r="E4760" t="s">
        <v>41</v>
      </c>
      <c r="F4760">
        <v>3</v>
      </c>
      <c r="G4760">
        <v>1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1</v>
      </c>
      <c r="O4760">
        <v>3</v>
      </c>
      <c r="P4760">
        <f t="shared" si="240"/>
        <v>2024</v>
      </c>
      <c r="Q4760">
        <f t="shared" si="241"/>
        <v>10</v>
      </c>
      <c r="R4760" t="str">
        <f t="shared" si="242"/>
        <v>流量宝</v>
      </c>
      <c r="S4760" t="s">
        <v>785</v>
      </c>
      <c r="T4760" t="s">
        <v>805</v>
      </c>
    </row>
    <row r="4761" spans="1:20" x14ac:dyDescent="0.3">
      <c r="A4761" t="s">
        <v>627</v>
      </c>
      <c r="B4761" s="16">
        <v>45580</v>
      </c>
      <c r="C4761" t="s">
        <v>2</v>
      </c>
      <c r="D4761" t="s">
        <v>4</v>
      </c>
      <c r="E4761" t="s">
        <v>43</v>
      </c>
      <c r="F4761">
        <v>1215</v>
      </c>
      <c r="G4761">
        <v>275</v>
      </c>
      <c r="H4761">
        <v>4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20</v>
      </c>
      <c r="O4761">
        <v>1205</v>
      </c>
      <c r="P4761">
        <f t="shared" si="240"/>
        <v>2024</v>
      </c>
      <c r="Q4761">
        <f t="shared" si="241"/>
        <v>10</v>
      </c>
      <c r="R4761" t="str">
        <f t="shared" si="242"/>
        <v>淘宝客</v>
      </c>
      <c r="S4761" t="s">
        <v>785</v>
      </c>
      <c r="T4761" t="s">
        <v>805</v>
      </c>
    </row>
    <row r="4762" spans="1:20" x14ac:dyDescent="0.3">
      <c r="A4762" t="s">
        <v>627</v>
      </c>
      <c r="B4762" s="16">
        <v>45579</v>
      </c>
      <c r="C4762" t="s">
        <v>3</v>
      </c>
      <c r="D4762" t="s">
        <v>114</v>
      </c>
      <c r="E4762" t="s">
        <v>159</v>
      </c>
      <c r="F4762">
        <v>61</v>
      </c>
      <c r="G4762">
        <v>44</v>
      </c>
      <c r="H4762">
        <v>0</v>
      </c>
      <c r="I4762">
        <v>2</v>
      </c>
      <c r="J4762">
        <v>0</v>
      </c>
      <c r="K4762">
        <v>0</v>
      </c>
      <c r="L4762">
        <v>0</v>
      </c>
      <c r="M4762">
        <v>0</v>
      </c>
      <c r="N4762">
        <v>6</v>
      </c>
      <c r="O4762">
        <v>53</v>
      </c>
      <c r="P4762">
        <f t="shared" si="240"/>
        <v>2024</v>
      </c>
      <c r="Q4762">
        <f t="shared" si="241"/>
        <v>10</v>
      </c>
      <c r="R4762" t="str">
        <f t="shared" si="242"/>
        <v>主会场</v>
      </c>
      <c r="S4762" t="s">
        <v>785</v>
      </c>
      <c r="T4762" t="s">
        <v>805</v>
      </c>
    </row>
    <row r="4763" spans="1:20" x14ac:dyDescent="0.3">
      <c r="A4763" t="s">
        <v>627</v>
      </c>
      <c r="B4763" s="16">
        <v>45579</v>
      </c>
      <c r="C4763" t="s">
        <v>3</v>
      </c>
      <c r="D4763" t="s">
        <v>120</v>
      </c>
      <c r="E4763" t="s">
        <v>162</v>
      </c>
      <c r="F4763">
        <v>1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1</v>
      </c>
      <c r="P4763">
        <f t="shared" si="240"/>
        <v>2024</v>
      </c>
      <c r="Q4763">
        <f t="shared" si="241"/>
        <v>10</v>
      </c>
      <c r="R4763" t="str">
        <f t="shared" si="242"/>
        <v>手机浏览器访问天猫</v>
      </c>
      <c r="S4763" t="s">
        <v>785</v>
      </c>
      <c r="T4763" t="s">
        <v>805</v>
      </c>
    </row>
    <row r="4764" spans="1:20" x14ac:dyDescent="0.3">
      <c r="A4764" t="s">
        <v>627</v>
      </c>
      <c r="B4764" s="16">
        <v>45579</v>
      </c>
      <c r="C4764" t="s">
        <v>3</v>
      </c>
      <c r="D4764" t="s">
        <v>120</v>
      </c>
      <c r="E4764" t="s">
        <v>163</v>
      </c>
      <c r="F4764">
        <v>33</v>
      </c>
      <c r="G4764">
        <v>19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14</v>
      </c>
      <c r="O4764">
        <v>25</v>
      </c>
      <c r="P4764">
        <f t="shared" si="240"/>
        <v>2024</v>
      </c>
      <c r="Q4764">
        <f t="shared" si="241"/>
        <v>10</v>
      </c>
      <c r="R4764" t="str">
        <f t="shared" si="242"/>
        <v>手猫免费其他</v>
      </c>
      <c r="S4764" t="s">
        <v>785</v>
      </c>
      <c r="T4764" t="s">
        <v>805</v>
      </c>
    </row>
    <row r="4765" spans="1:20" x14ac:dyDescent="0.3">
      <c r="A4765" t="s">
        <v>627</v>
      </c>
      <c r="B4765" s="16">
        <v>45579</v>
      </c>
      <c r="C4765" t="s">
        <v>3</v>
      </c>
      <c r="D4765" t="s">
        <v>120</v>
      </c>
      <c r="E4765" t="s">
        <v>164</v>
      </c>
      <c r="F4765">
        <v>30</v>
      </c>
      <c r="G4765">
        <v>15</v>
      </c>
      <c r="H4765">
        <v>5</v>
      </c>
      <c r="I4765">
        <v>0</v>
      </c>
      <c r="J4765">
        <v>15060</v>
      </c>
      <c r="K4765">
        <v>3</v>
      </c>
      <c r="L4765">
        <v>15060</v>
      </c>
      <c r="M4765">
        <v>3</v>
      </c>
      <c r="N4765">
        <v>0</v>
      </c>
      <c r="O4765">
        <v>30</v>
      </c>
      <c r="P4765">
        <f t="shared" si="240"/>
        <v>2024</v>
      </c>
      <c r="Q4765">
        <f t="shared" si="241"/>
        <v>10</v>
      </c>
      <c r="R4765" t="str">
        <f t="shared" si="242"/>
        <v>手猫其他店铺</v>
      </c>
      <c r="S4765" t="s">
        <v>785</v>
      </c>
      <c r="T4765" t="s">
        <v>805</v>
      </c>
    </row>
    <row r="4766" spans="1:20" x14ac:dyDescent="0.3">
      <c r="A4766" t="s">
        <v>627</v>
      </c>
      <c r="B4766" s="16">
        <v>45579</v>
      </c>
      <c r="C4766" t="s">
        <v>3</v>
      </c>
      <c r="D4766" t="s">
        <v>120</v>
      </c>
      <c r="E4766" t="s">
        <v>165</v>
      </c>
      <c r="F4766">
        <v>30</v>
      </c>
      <c r="G4766">
        <v>14</v>
      </c>
      <c r="H4766">
        <v>0</v>
      </c>
      <c r="I4766">
        <v>0</v>
      </c>
      <c r="J4766">
        <v>3690</v>
      </c>
      <c r="K4766">
        <v>2</v>
      </c>
      <c r="L4766">
        <v>3690</v>
      </c>
      <c r="M4766">
        <v>2</v>
      </c>
      <c r="N4766">
        <v>8</v>
      </c>
      <c r="O4766">
        <v>29</v>
      </c>
      <c r="P4766">
        <f t="shared" si="240"/>
        <v>2024</v>
      </c>
      <c r="Q4766">
        <f t="shared" si="241"/>
        <v>10</v>
      </c>
      <c r="R4766" t="str">
        <f t="shared" si="242"/>
        <v>手猫商品详情</v>
      </c>
      <c r="S4766" t="s">
        <v>785</v>
      </c>
      <c r="T4766" t="s">
        <v>805</v>
      </c>
    </row>
    <row r="4767" spans="1:20" x14ac:dyDescent="0.3">
      <c r="A4767" t="s">
        <v>627</v>
      </c>
      <c r="B4767" s="16">
        <v>45579</v>
      </c>
      <c r="C4767" t="s">
        <v>3</v>
      </c>
      <c r="D4767" t="s">
        <v>120</v>
      </c>
      <c r="E4767" t="s">
        <v>166</v>
      </c>
      <c r="F4767">
        <v>47</v>
      </c>
      <c r="G4767">
        <v>26</v>
      </c>
      <c r="H4767">
        <v>2</v>
      </c>
      <c r="I4767">
        <v>0</v>
      </c>
      <c r="J4767">
        <v>5700</v>
      </c>
      <c r="K4767">
        <v>1</v>
      </c>
      <c r="L4767">
        <v>5700</v>
      </c>
      <c r="M4767">
        <v>1</v>
      </c>
      <c r="N4767">
        <v>20</v>
      </c>
      <c r="O4767">
        <v>36</v>
      </c>
      <c r="P4767">
        <f t="shared" si="240"/>
        <v>2024</v>
      </c>
      <c r="Q4767">
        <f t="shared" si="241"/>
        <v>10</v>
      </c>
      <c r="R4767" t="str">
        <f t="shared" si="242"/>
        <v>手猫搜索</v>
      </c>
      <c r="S4767" t="s">
        <v>785</v>
      </c>
      <c r="T4767" t="s">
        <v>805</v>
      </c>
    </row>
    <row r="4768" spans="1:20" x14ac:dyDescent="0.3">
      <c r="A4768" t="s">
        <v>627</v>
      </c>
      <c r="B4768" s="16">
        <v>45579</v>
      </c>
      <c r="C4768" t="s">
        <v>3</v>
      </c>
      <c r="D4768" t="s">
        <v>120</v>
      </c>
      <c r="E4768" t="s">
        <v>167</v>
      </c>
      <c r="F4768">
        <v>2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1</v>
      </c>
      <c r="O4768">
        <v>2</v>
      </c>
      <c r="P4768">
        <f t="shared" si="240"/>
        <v>2024</v>
      </c>
      <c r="Q4768">
        <f t="shared" si="241"/>
        <v>10</v>
      </c>
      <c r="R4768" t="str">
        <f t="shared" si="242"/>
        <v>手猫旺信聊天</v>
      </c>
      <c r="S4768" t="s">
        <v>785</v>
      </c>
      <c r="T4768" t="s">
        <v>805</v>
      </c>
    </row>
    <row r="4769" spans="1:20" x14ac:dyDescent="0.3">
      <c r="A4769" t="s">
        <v>627</v>
      </c>
      <c r="B4769" s="16">
        <v>45579</v>
      </c>
      <c r="C4769" t="s">
        <v>3</v>
      </c>
      <c r="D4769" t="s">
        <v>120</v>
      </c>
      <c r="E4769" t="s">
        <v>192</v>
      </c>
      <c r="F4769">
        <v>1</v>
      </c>
      <c r="G4769">
        <v>1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1</v>
      </c>
      <c r="P4769">
        <f t="shared" si="240"/>
        <v>2024</v>
      </c>
      <c r="Q4769">
        <f t="shared" si="241"/>
        <v>10</v>
      </c>
      <c r="R4769" t="str">
        <f t="shared" si="242"/>
        <v>手猫消息中心</v>
      </c>
      <c r="S4769" t="s">
        <v>785</v>
      </c>
      <c r="T4769" t="s">
        <v>805</v>
      </c>
    </row>
    <row r="4770" spans="1:20" x14ac:dyDescent="0.3">
      <c r="A4770" t="s">
        <v>627</v>
      </c>
      <c r="B4770" s="16">
        <v>45579</v>
      </c>
      <c r="C4770" t="s">
        <v>3</v>
      </c>
      <c r="D4770" t="s">
        <v>120</v>
      </c>
      <c r="E4770" t="s">
        <v>168</v>
      </c>
      <c r="F4770">
        <v>201</v>
      </c>
      <c r="G4770">
        <v>112</v>
      </c>
      <c r="H4770">
        <v>4</v>
      </c>
      <c r="I4770">
        <v>0</v>
      </c>
      <c r="J4770">
        <v>3400</v>
      </c>
      <c r="K4770">
        <v>1</v>
      </c>
      <c r="L4770">
        <v>3400</v>
      </c>
      <c r="M4770">
        <v>1</v>
      </c>
      <c r="N4770">
        <v>18</v>
      </c>
      <c r="O4770">
        <v>201</v>
      </c>
      <c r="P4770">
        <f t="shared" si="240"/>
        <v>2024</v>
      </c>
      <c r="Q4770">
        <f t="shared" si="241"/>
        <v>10</v>
      </c>
      <c r="R4770" t="str">
        <f t="shared" si="242"/>
        <v>手猫首页</v>
      </c>
      <c r="S4770" t="s">
        <v>785</v>
      </c>
      <c r="T4770" t="s">
        <v>805</v>
      </c>
    </row>
    <row r="4771" spans="1:20" x14ac:dyDescent="0.3">
      <c r="A4771" t="s">
        <v>627</v>
      </c>
      <c r="B4771" s="16">
        <v>45579</v>
      </c>
      <c r="C4771" t="s">
        <v>3</v>
      </c>
      <c r="D4771" t="s">
        <v>123</v>
      </c>
      <c r="E4771" t="s">
        <v>169</v>
      </c>
      <c r="F4771">
        <v>294</v>
      </c>
      <c r="G4771">
        <v>127</v>
      </c>
      <c r="H4771">
        <v>18</v>
      </c>
      <c r="I4771">
        <v>7</v>
      </c>
      <c r="J4771">
        <v>4800</v>
      </c>
      <c r="K4771">
        <v>2</v>
      </c>
      <c r="L4771">
        <v>4800</v>
      </c>
      <c r="M4771">
        <v>2</v>
      </c>
      <c r="N4771">
        <v>46</v>
      </c>
      <c r="O4771">
        <v>284</v>
      </c>
      <c r="P4771">
        <f t="shared" si="240"/>
        <v>2024</v>
      </c>
      <c r="Q4771">
        <f t="shared" si="241"/>
        <v>10</v>
      </c>
      <c r="R4771" t="str">
        <f t="shared" si="242"/>
        <v>商品详情页头图推荐</v>
      </c>
      <c r="S4771" t="s">
        <v>785</v>
      </c>
      <c r="T4771" t="s">
        <v>805</v>
      </c>
    </row>
    <row r="4772" spans="1:20" x14ac:dyDescent="0.3">
      <c r="A4772" t="s">
        <v>627</v>
      </c>
      <c r="B4772" s="16">
        <v>45579</v>
      </c>
      <c r="C4772" t="s">
        <v>3</v>
      </c>
      <c r="D4772" t="s">
        <v>123</v>
      </c>
      <c r="E4772" t="s">
        <v>170</v>
      </c>
      <c r="F4772">
        <v>82</v>
      </c>
      <c r="G4772">
        <v>41</v>
      </c>
      <c r="H4772">
        <v>6</v>
      </c>
      <c r="I4772">
        <v>0</v>
      </c>
      <c r="J4772">
        <v>19375</v>
      </c>
      <c r="K4772">
        <v>2</v>
      </c>
      <c r="L4772">
        <v>19375</v>
      </c>
      <c r="M4772">
        <v>2</v>
      </c>
      <c r="N4772">
        <v>78</v>
      </c>
      <c r="O4772">
        <v>32</v>
      </c>
      <c r="P4772">
        <f t="shared" si="240"/>
        <v>2024</v>
      </c>
      <c r="Q4772">
        <f t="shared" si="241"/>
        <v>10</v>
      </c>
      <c r="R4772" t="str">
        <f t="shared" si="242"/>
        <v>店铺超链</v>
      </c>
      <c r="S4772" t="s">
        <v>785</v>
      </c>
      <c r="T4772" t="s">
        <v>805</v>
      </c>
    </row>
    <row r="4773" spans="1:20" x14ac:dyDescent="0.3">
      <c r="A4773" t="s">
        <v>627</v>
      </c>
      <c r="B4773" s="16">
        <v>45579</v>
      </c>
      <c r="C4773" t="s">
        <v>3</v>
      </c>
      <c r="D4773" t="s">
        <v>127</v>
      </c>
      <c r="E4773" t="s">
        <v>171</v>
      </c>
      <c r="F4773">
        <v>199</v>
      </c>
      <c r="G4773">
        <v>103</v>
      </c>
      <c r="H4773">
        <v>5</v>
      </c>
      <c r="I4773">
        <v>2</v>
      </c>
      <c r="J4773">
        <v>8815</v>
      </c>
      <c r="K4773">
        <v>1</v>
      </c>
      <c r="L4773">
        <v>8815</v>
      </c>
      <c r="M4773">
        <v>1</v>
      </c>
      <c r="N4773">
        <v>98</v>
      </c>
      <c r="O4773">
        <v>108</v>
      </c>
      <c r="P4773">
        <f t="shared" si="240"/>
        <v>2024</v>
      </c>
      <c r="Q4773">
        <f t="shared" si="241"/>
        <v>10</v>
      </c>
      <c r="R4773" t="str">
        <f t="shared" si="242"/>
        <v>其他猜你喜欢</v>
      </c>
      <c r="S4773" t="s">
        <v>785</v>
      </c>
      <c r="T4773" t="s">
        <v>805</v>
      </c>
    </row>
    <row r="4774" spans="1:20" x14ac:dyDescent="0.3">
      <c r="A4774" t="s">
        <v>627</v>
      </c>
      <c r="B4774" s="16">
        <v>45579</v>
      </c>
      <c r="C4774" t="s">
        <v>3</v>
      </c>
      <c r="D4774" t="s">
        <v>127</v>
      </c>
      <c r="E4774" t="s">
        <v>172</v>
      </c>
      <c r="F4774">
        <v>6</v>
      </c>
      <c r="G4774">
        <v>4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1</v>
      </c>
      <c r="O4774">
        <v>4</v>
      </c>
      <c r="P4774">
        <f t="shared" si="240"/>
        <v>2024</v>
      </c>
      <c r="Q4774">
        <f t="shared" si="241"/>
        <v>10</v>
      </c>
      <c r="R4774" t="str">
        <f t="shared" si="242"/>
        <v>购中推荐</v>
      </c>
      <c r="S4774" t="s">
        <v>785</v>
      </c>
      <c r="T4774" t="s">
        <v>805</v>
      </c>
    </row>
    <row r="4775" spans="1:20" x14ac:dyDescent="0.3">
      <c r="A4775" t="s">
        <v>627</v>
      </c>
      <c r="B4775" s="16">
        <v>45579</v>
      </c>
      <c r="C4775" t="s">
        <v>3</v>
      </c>
      <c r="D4775" t="s">
        <v>127</v>
      </c>
      <c r="E4775" t="s">
        <v>173</v>
      </c>
      <c r="F4775">
        <v>17</v>
      </c>
      <c r="G4775">
        <v>8</v>
      </c>
      <c r="H4775">
        <v>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1</v>
      </c>
      <c r="O4775">
        <v>12</v>
      </c>
      <c r="P4775">
        <f t="shared" si="240"/>
        <v>2024</v>
      </c>
      <c r="Q4775">
        <f t="shared" si="241"/>
        <v>10</v>
      </c>
      <c r="R4775" t="str">
        <f t="shared" si="242"/>
        <v>购后推荐</v>
      </c>
      <c r="S4775" t="s">
        <v>785</v>
      </c>
      <c r="T4775" t="s">
        <v>805</v>
      </c>
    </row>
    <row r="4776" spans="1:20" x14ac:dyDescent="0.3">
      <c r="A4776" t="s">
        <v>627</v>
      </c>
      <c r="B4776" s="16">
        <v>45579</v>
      </c>
      <c r="C4776" t="s">
        <v>3</v>
      </c>
      <c r="D4776" t="s">
        <v>127</v>
      </c>
      <c r="E4776" t="s">
        <v>174</v>
      </c>
      <c r="F4776">
        <v>1055</v>
      </c>
      <c r="G4776">
        <v>560</v>
      </c>
      <c r="H4776">
        <v>24</v>
      </c>
      <c r="I4776">
        <v>10</v>
      </c>
      <c r="J4776">
        <v>24300</v>
      </c>
      <c r="K4776">
        <v>3</v>
      </c>
      <c r="L4776">
        <v>6905</v>
      </c>
      <c r="M4776">
        <v>1</v>
      </c>
      <c r="N4776">
        <v>71</v>
      </c>
      <c r="O4776">
        <v>1055</v>
      </c>
      <c r="P4776">
        <f t="shared" si="240"/>
        <v>2024</v>
      </c>
      <c r="Q4776">
        <f t="shared" si="241"/>
        <v>10</v>
      </c>
      <c r="R4776" t="str">
        <f t="shared" si="242"/>
        <v>首页推荐-微详情</v>
      </c>
      <c r="S4776" t="s">
        <v>785</v>
      </c>
      <c r="T4776" t="s">
        <v>805</v>
      </c>
    </row>
    <row r="4777" spans="1:20" x14ac:dyDescent="0.3">
      <c r="A4777" t="s">
        <v>627</v>
      </c>
      <c r="B4777" s="16">
        <v>45579</v>
      </c>
      <c r="C4777" t="s">
        <v>3</v>
      </c>
      <c r="D4777" t="s">
        <v>127</v>
      </c>
      <c r="E4777" t="s">
        <v>175</v>
      </c>
      <c r="F4777">
        <v>158</v>
      </c>
      <c r="G4777">
        <v>90</v>
      </c>
      <c r="H4777">
        <v>3</v>
      </c>
      <c r="I4777">
        <v>0</v>
      </c>
      <c r="J4777">
        <v>1680</v>
      </c>
      <c r="K4777">
        <v>1</v>
      </c>
      <c r="L4777">
        <v>0</v>
      </c>
      <c r="M4777">
        <v>0</v>
      </c>
      <c r="N4777">
        <v>5</v>
      </c>
      <c r="O4777">
        <v>45</v>
      </c>
      <c r="P4777">
        <f t="shared" ref="P4777:P4840" si="243">YEAR(B4777)</f>
        <v>2024</v>
      </c>
      <c r="Q4777">
        <f t="shared" ref="Q4777:Q4840" si="244">MONTH(B4777)</f>
        <v>10</v>
      </c>
      <c r="R4777" t="str">
        <f t="shared" ref="R4777:R4840" si="245">E4777</f>
        <v>首页推荐-直播</v>
      </c>
      <c r="S4777" t="s">
        <v>785</v>
      </c>
      <c r="T4777" t="s">
        <v>805</v>
      </c>
    </row>
    <row r="4778" spans="1:20" x14ac:dyDescent="0.3">
      <c r="A4778" t="s">
        <v>627</v>
      </c>
      <c r="B4778" s="16">
        <v>45579</v>
      </c>
      <c r="C4778" t="s">
        <v>3</v>
      </c>
      <c r="D4778" t="s">
        <v>127</v>
      </c>
      <c r="E4778" t="s">
        <v>176</v>
      </c>
      <c r="F4778">
        <v>167</v>
      </c>
      <c r="G4778">
        <v>83</v>
      </c>
      <c r="H4778">
        <v>1</v>
      </c>
      <c r="I4778">
        <v>1</v>
      </c>
      <c r="J4778">
        <v>0</v>
      </c>
      <c r="K4778">
        <v>0</v>
      </c>
      <c r="L4778">
        <v>0</v>
      </c>
      <c r="M4778">
        <v>0</v>
      </c>
      <c r="N4778">
        <v>7</v>
      </c>
      <c r="O4778">
        <v>37</v>
      </c>
      <c r="P4778">
        <f t="shared" si="243"/>
        <v>2024</v>
      </c>
      <c r="Q4778">
        <f t="shared" si="244"/>
        <v>10</v>
      </c>
      <c r="R4778" t="str">
        <f t="shared" si="245"/>
        <v>首页推荐-短视频</v>
      </c>
      <c r="S4778" t="s">
        <v>785</v>
      </c>
      <c r="T4778" t="s">
        <v>805</v>
      </c>
    </row>
    <row r="4779" spans="1:20" x14ac:dyDescent="0.3">
      <c r="A4779" t="s">
        <v>627</v>
      </c>
      <c r="B4779" s="16">
        <v>45579</v>
      </c>
      <c r="C4779" t="s">
        <v>3</v>
      </c>
      <c r="D4779" t="s">
        <v>128</v>
      </c>
      <c r="E4779" t="s">
        <v>177</v>
      </c>
      <c r="F4779">
        <v>657</v>
      </c>
      <c r="G4779">
        <v>497</v>
      </c>
      <c r="H4779">
        <v>26</v>
      </c>
      <c r="I4779">
        <v>15</v>
      </c>
      <c r="J4779">
        <v>12025</v>
      </c>
      <c r="K4779">
        <v>5</v>
      </c>
      <c r="L4779">
        <v>5050</v>
      </c>
      <c r="M4779">
        <v>3</v>
      </c>
      <c r="N4779">
        <v>240</v>
      </c>
      <c r="O4779">
        <v>545</v>
      </c>
      <c r="P4779">
        <f t="shared" si="243"/>
        <v>2024</v>
      </c>
      <c r="Q4779">
        <f t="shared" si="244"/>
        <v>10</v>
      </c>
      <c r="R4779" t="str">
        <f t="shared" si="245"/>
        <v>手淘搜索-商品及其他</v>
      </c>
      <c r="S4779" t="s">
        <v>785</v>
      </c>
      <c r="T4779" t="s">
        <v>805</v>
      </c>
    </row>
    <row r="4780" spans="1:20" x14ac:dyDescent="0.3">
      <c r="A4780" t="s">
        <v>627</v>
      </c>
      <c r="B4780" s="16">
        <v>45579</v>
      </c>
      <c r="C4780" t="s">
        <v>3</v>
      </c>
      <c r="D4780" t="s">
        <v>128</v>
      </c>
      <c r="E4780" t="s">
        <v>178</v>
      </c>
      <c r="F4780">
        <v>4</v>
      </c>
      <c r="G4780">
        <v>2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4</v>
      </c>
      <c r="P4780">
        <f t="shared" si="243"/>
        <v>2024</v>
      </c>
      <c r="Q4780">
        <f t="shared" si="244"/>
        <v>10</v>
      </c>
      <c r="R4780" t="str">
        <f t="shared" si="245"/>
        <v>手淘搜索-直播</v>
      </c>
      <c r="S4780" t="s">
        <v>785</v>
      </c>
      <c r="T4780" t="s">
        <v>805</v>
      </c>
    </row>
    <row r="4781" spans="1:20" x14ac:dyDescent="0.3">
      <c r="A4781" t="s">
        <v>627</v>
      </c>
      <c r="B4781" s="16">
        <v>45579</v>
      </c>
      <c r="C4781" t="s">
        <v>3</v>
      </c>
      <c r="D4781" t="s">
        <v>128</v>
      </c>
      <c r="E4781" t="s">
        <v>179</v>
      </c>
      <c r="F4781">
        <v>6</v>
      </c>
      <c r="G4781">
        <v>5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6</v>
      </c>
      <c r="P4781">
        <f t="shared" si="243"/>
        <v>2024</v>
      </c>
      <c r="Q4781">
        <f t="shared" si="244"/>
        <v>10</v>
      </c>
      <c r="R4781" t="str">
        <f t="shared" si="245"/>
        <v>手淘搜索-短视频</v>
      </c>
      <c r="S4781" t="s">
        <v>785</v>
      </c>
      <c r="T4781" t="s">
        <v>805</v>
      </c>
    </row>
    <row r="4782" spans="1:20" x14ac:dyDescent="0.3">
      <c r="A4782" t="s">
        <v>627</v>
      </c>
      <c r="B4782" s="16">
        <v>45579</v>
      </c>
      <c r="C4782" t="s">
        <v>3</v>
      </c>
      <c r="D4782" t="s">
        <v>143</v>
      </c>
      <c r="E4782" t="s">
        <v>180</v>
      </c>
      <c r="F4782">
        <v>23</v>
      </c>
      <c r="G4782">
        <v>21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23</v>
      </c>
      <c r="P4782">
        <f t="shared" si="243"/>
        <v>2024</v>
      </c>
      <c r="Q4782">
        <f t="shared" si="244"/>
        <v>10</v>
      </c>
      <c r="R4782" t="str">
        <f t="shared" si="245"/>
        <v>淘特其他渠道</v>
      </c>
      <c r="S4782" t="s">
        <v>785</v>
      </c>
      <c r="T4782" t="s">
        <v>805</v>
      </c>
    </row>
    <row r="4783" spans="1:20" x14ac:dyDescent="0.3">
      <c r="A4783" t="s">
        <v>627</v>
      </c>
      <c r="B4783" s="16">
        <v>45579</v>
      </c>
      <c r="C4783" t="s">
        <v>2</v>
      </c>
      <c r="D4783" t="s">
        <v>55</v>
      </c>
      <c r="E4783" t="s">
        <v>54</v>
      </c>
      <c r="F4783">
        <v>1300</v>
      </c>
      <c r="G4783">
        <v>1117</v>
      </c>
      <c r="H4783">
        <v>3</v>
      </c>
      <c r="I4783">
        <v>2</v>
      </c>
      <c r="J4783">
        <v>0</v>
      </c>
      <c r="K4783">
        <v>0</v>
      </c>
      <c r="L4783">
        <v>0</v>
      </c>
      <c r="M4783">
        <v>0</v>
      </c>
      <c r="N4783">
        <v>19</v>
      </c>
      <c r="O4783">
        <v>310</v>
      </c>
      <c r="P4783">
        <f t="shared" si="243"/>
        <v>2024</v>
      </c>
      <c r="Q4783">
        <f t="shared" si="244"/>
        <v>10</v>
      </c>
      <c r="R4783" t="str">
        <f t="shared" si="245"/>
        <v>超级直播</v>
      </c>
      <c r="S4783" t="s">
        <v>785</v>
      </c>
      <c r="T4783" t="s">
        <v>805</v>
      </c>
    </row>
    <row r="4784" spans="1:20" x14ac:dyDescent="0.3">
      <c r="A4784" t="s">
        <v>627</v>
      </c>
      <c r="B4784" s="16">
        <v>45579</v>
      </c>
      <c r="C4784" t="s">
        <v>2</v>
      </c>
      <c r="D4784" t="s">
        <v>55</v>
      </c>
      <c r="E4784" t="s">
        <v>56</v>
      </c>
      <c r="F4784">
        <v>388</v>
      </c>
      <c r="G4784">
        <v>312</v>
      </c>
      <c r="H4784">
        <v>3</v>
      </c>
      <c r="I4784">
        <v>8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201</v>
      </c>
      <c r="P4784">
        <f t="shared" si="243"/>
        <v>2024</v>
      </c>
      <c r="Q4784">
        <f t="shared" si="244"/>
        <v>10</v>
      </c>
      <c r="R4784" t="str">
        <f t="shared" si="245"/>
        <v>超级短视频</v>
      </c>
      <c r="S4784" t="s">
        <v>785</v>
      </c>
      <c r="T4784" t="s">
        <v>805</v>
      </c>
    </row>
    <row r="4785" spans="1:20" x14ac:dyDescent="0.3">
      <c r="A4785" t="s">
        <v>627</v>
      </c>
      <c r="B4785" s="16">
        <v>45579</v>
      </c>
      <c r="C4785" t="s">
        <v>2</v>
      </c>
      <c r="D4785" t="s">
        <v>52</v>
      </c>
      <c r="E4785" t="s">
        <v>53</v>
      </c>
      <c r="F4785">
        <v>776</v>
      </c>
      <c r="G4785">
        <v>651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776</v>
      </c>
      <c r="O4785">
        <v>148</v>
      </c>
      <c r="P4785">
        <f t="shared" si="243"/>
        <v>2024</v>
      </c>
      <c r="Q4785">
        <f t="shared" si="244"/>
        <v>10</v>
      </c>
      <c r="R4785" t="str">
        <f t="shared" si="245"/>
        <v>Showmax</v>
      </c>
      <c r="S4785" t="s">
        <v>785</v>
      </c>
      <c r="T4785" t="s">
        <v>805</v>
      </c>
    </row>
    <row r="4786" spans="1:20" x14ac:dyDescent="0.3">
      <c r="A4786" t="s">
        <v>627</v>
      </c>
      <c r="B4786" s="16">
        <v>45579</v>
      </c>
      <c r="C4786" t="s">
        <v>2</v>
      </c>
      <c r="D4786" t="s">
        <v>52</v>
      </c>
      <c r="E4786" t="s">
        <v>51</v>
      </c>
      <c r="F4786">
        <v>1</v>
      </c>
      <c r="G4786">
        <v>1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f t="shared" si="243"/>
        <v>2024</v>
      </c>
      <c r="Q4786">
        <f t="shared" si="244"/>
        <v>10</v>
      </c>
      <c r="R4786" t="str">
        <f t="shared" si="245"/>
        <v>品牌定制</v>
      </c>
      <c r="S4786" t="s">
        <v>785</v>
      </c>
      <c r="T4786" t="s">
        <v>805</v>
      </c>
    </row>
    <row r="4787" spans="1:20" x14ac:dyDescent="0.3">
      <c r="A4787" t="s">
        <v>627</v>
      </c>
      <c r="B4787" s="16">
        <v>45579</v>
      </c>
      <c r="C4787" t="s">
        <v>2</v>
      </c>
      <c r="D4787" t="s">
        <v>52</v>
      </c>
      <c r="E4787" t="s">
        <v>59</v>
      </c>
      <c r="F4787">
        <v>1103</v>
      </c>
      <c r="G4787">
        <v>941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1103</v>
      </c>
      <c r="O4787">
        <v>274</v>
      </c>
      <c r="P4787">
        <f t="shared" si="243"/>
        <v>2024</v>
      </c>
      <c r="Q4787">
        <f t="shared" si="244"/>
        <v>10</v>
      </c>
      <c r="R4787" t="str">
        <f t="shared" si="245"/>
        <v>品牌特秀</v>
      </c>
      <c r="S4787" t="s">
        <v>785</v>
      </c>
      <c r="T4787" t="s">
        <v>805</v>
      </c>
    </row>
    <row r="4788" spans="1:20" x14ac:dyDescent="0.3">
      <c r="A4788" t="s">
        <v>627</v>
      </c>
      <c r="B4788" s="16">
        <v>45579</v>
      </c>
      <c r="C4788" t="s">
        <v>2</v>
      </c>
      <c r="D4788" t="s">
        <v>52</v>
      </c>
      <c r="E4788" t="s">
        <v>183</v>
      </c>
      <c r="F4788">
        <v>690</v>
      </c>
      <c r="G4788">
        <v>539</v>
      </c>
      <c r="H4788">
        <v>26</v>
      </c>
      <c r="I4788">
        <v>8</v>
      </c>
      <c r="J4788">
        <v>42300</v>
      </c>
      <c r="K4788">
        <v>7</v>
      </c>
      <c r="L4788">
        <v>42300</v>
      </c>
      <c r="M4788">
        <v>7</v>
      </c>
      <c r="N4788">
        <v>690</v>
      </c>
      <c r="O4788">
        <v>388</v>
      </c>
      <c r="P4788">
        <f t="shared" si="243"/>
        <v>2024</v>
      </c>
      <c r="Q4788">
        <f t="shared" si="244"/>
        <v>10</v>
      </c>
      <c r="R4788" t="str">
        <f t="shared" si="245"/>
        <v>品销宝-品牌专区</v>
      </c>
      <c r="S4788" t="s">
        <v>785</v>
      </c>
      <c r="T4788" t="s">
        <v>805</v>
      </c>
    </row>
    <row r="4789" spans="1:20" x14ac:dyDescent="0.3">
      <c r="A4789" t="s">
        <v>627</v>
      </c>
      <c r="B4789" s="16">
        <v>45579</v>
      </c>
      <c r="C4789" t="s">
        <v>2</v>
      </c>
      <c r="D4789" t="s">
        <v>52</v>
      </c>
      <c r="E4789" t="s">
        <v>58</v>
      </c>
      <c r="F4789">
        <v>1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1</v>
      </c>
      <c r="P4789">
        <f t="shared" si="243"/>
        <v>2024</v>
      </c>
      <c r="Q4789">
        <f t="shared" si="244"/>
        <v>10</v>
      </c>
      <c r="R4789" t="str">
        <f t="shared" si="245"/>
        <v>超级全域通</v>
      </c>
      <c r="S4789" t="s">
        <v>785</v>
      </c>
      <c r="T4789" t="s">
        <v>805</v>
      </c>
    </row>
    <row r="4790" spans="1:20" x14ac:dyDescent="0.3">
      <c r="A4790" t="s">
        <v>627</v>
      </c>
      <c r="B4790" s="16">
        <v>45579</v>
      </c>
      <c r="C4790" t="s">
        <v>2</v>
      </c>
      <c r="D4790" t="s">
        <v>57</v>
      </c>
      <c r="E4790" t="s">
        <v>65</v>
      </c>
      <c r="F4790">
        <v>3990</v>
      </c>
      <c r="G4790">
        <v>3511</v>
      </c>
      <c r="H4790">
        <v>42</v>
      </c>
      <c r="I4790">
        <v>26</v>
      </c>
      <c r="J4790">
        <v>31795</v>
      </c>
      <c r="K4790">
        <v>6</v>
      </c>
      <c r="L4790">
        <v>29350</v>
      </c>
      <c r="M4790">
        <v>5</v>
      </c>
      <c r="N4790">
        <v>265</v>
      </c>
      <c r="O4790">
        <v>3970</v>
      </c>
      <c r="P4790">
        <f t="shared" si="243"/>
        <v>2024</v>
      </c>
      <c r="Q4790">
        <f t="shared" si="244"/>
        <v>10</v>
      </c>
      <c r="R4790" t="str">
        <f t="shared" si="245"/>
        <v>直通车</v>
      </c>
      <c r="S4790" t="s">
        <v>785</v>
      </c>
      <c r="T4790" t="s">
        <v>805</v>
      </c>
    </row>
    <row r="4791" spans="1:20" x14ac:dyDescent="0.3">
      <c r="A4791" t="s">
        <v>627</v>
      </c>
      <c r="B4791" s="16">
        <v>45579</v>
      </c>
      <c r="C4791" t="s">
        <v>2</v>
      </c>
      <c r="D4791" t="s">
        <v>57</v>
      </c>
      <c r="E4791" t="s">
        <v>63</v>
      </c>
      <c r="F4791">
        <v>4471</v>
      </c>
      <c r="G4791">
        <v>2248</v>
      </c>
      <c r="H4791">
        <v>106</v>
      </c>
      <c r="I4791">
        <v>71</v>
      </c>
      <c r="J4791">
        <v>91830</v>
      </c>
      <c r="K4791">
        <v>14</v>
      </c>
      <c r="L4791">
        <v>72312</v>
      </c>
      <c r="M4791">
        <v>11</v>
      </c>
      <c r="N4791">
        <v>179</v>
      </c>
      <c r="O4791">
        <v>4466</v>
      </c>
      <c r="P4791">
        <f t="shared" si="243"/>
        <v>2024</v>
      </c>
      <c r="Q4791">
        <f t="shared" si="244"/>
        <v>10</v>
      </c>
      <c r="R4791" t="str">
        <f t="shared" si="245"/>
        <v>万相台</v>
      </c>
      <c r="S4791" t="s">
        <v>785</v>
      </c>
      <c r="T4791" t="s">
        <v>805</v>
      </c>
    </row>
    <row r="4792" spans="1:20" x14ac:dyDescent="0.3">
      <c r="A4792" t="s">
        <v>627</v>
      </c>
      <c r="B4792" s="16">
        <v>45579</v>
      </c>
      <c r="C4792" t="s">
        <v>2</v>
      </c>
      <c r="D4792" t="s">
        <v>57</v>
      </c>
      <c r="E4792" t="s">
        <v>64</v>
      </c>
      <c r="F4792">
        <v>6022</v>
      </c>
      <c r="G4792">
        <v>2664</v>
      </c>
      <c r="H4792">
        <v>181</v>
      </c>
      <c r="I4792">
        <v>75</v>
      </c>
      <c r="J4792">
        <v>51209</v>
      </c>
      <c r="K4792">
        <v>15</v>
      </c>
      <c r="L4792">
        <v>28382</v>
      </c>
      <c r="M4792">
        <v>10</v>
      </c>
      <c r="N4792">
        <v>562</v>
      </c>
      <c r="O4792">
        <v>6019</v>
      </c>
      <c r="P4792">
        <f t="shared" si="243"/>
        <v>2024</v>
      </c>
      <c r="Q4792">
        <f t="shared" si="244"/>
        <v>10</v>
      </c>
      <c r="R4792" t="str">
        <f t="shared" si="245"/>
        <v>引力魔方</v>
      </c>
      <c r="S4792" t="s">
        <v>785</v>
      </c>
      <c r="T4792" t="s">
        <v>805</v>
      </c>
    </row>
    <row r="4793" spans="1:20" x14ac:dyDescent="0.3">
      <c r="A4793" t="s">
        <v>627</v>
      </c>
      <c r="B4793" s="16">
        <v>45579</v>
      </c>
      <c r="C4793" t="s">
        <v>2</v>
      </c>
      <c r="D4793" t="s">
        <v>4</v>
      </c>
      <c r="E4793" t="s">
        <v>41</v>
      </c>
      <c r="F4793">
        <v>7</v>
      </c>
      <c r="G4793">
        <v>4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1</v>
      </c>
      <c r="O4793">
        <v>6</v>
      </c>
      <c r="P4793">
        <f t="shared" si="243"/>
        <v>2024</v>
      </c>
      <c r="Q4793">
        <f t="shared" si="244"/>
        <v>10</v>
      </c>
      <c r="R4793" t="str">
        <f t="shared" si="245"/>
        <v>流量宝</v>
      </c>
      <c r="S4793" t="s">
        <v>785</v>
      </c>
      <c r="T4793" t="s">
        <v>805</v>
      </c>
    </row>
    <row r="4794" spans="1:20" x14ac:dyDescent="0.3">
      <c r="A4794" t="s">
        <v>627</v>
      </c>
      <c r="B4794" s="16">
        <v>45579</v>
      </c>
      <c r="C4794" t="s">
        <v>2</v>
      </c>
      <c r="D4794" t="s">
        <v>4</v>
      </c>
      <c r="E4794" t="s">
        <v>43</v>
      </c>
      <c r="F4794">
        <v>1454</v>
      </c>
      <c r="G4794">
        <v>589</v>
      </c>
      <c r="H4794">
        <v>42</v>
      </c>
      <c r="I4794">
        <v>1</v>
      </c>
      <c r="J4794">
        <v>5951.83</v>
      </c>
      <c r="K4794">
        <v>2</v>
      </c>
      <c r="L4794">
        <v>5951.83</v>
      </c>
      <c r="M4794">
        <v>2</v>
      </c>
      <c r="N4794">
        <v>14</v>
      </c>
      <c r="O4794">
        <v>1445</v>
      </c>
      <c r="P4794">
        <f t="shared" si="243"/>
        <v>2024</v>
      </c>
      <c r="Q4794">
        <f t="shared" si="244"/>
        <v>10</v>
      </c>
      <c r="R4794" t="str">
        <f t="shared" si="245"/>
        <v>淘宝客</v>
      </c>
      <c r="S4794" t="s">
        <v>785</v>
      </c>
      <c r="T4794" t="s">
        <v>805</v>
      </c>
    </row>
    <row r="4795" spans="1:20" x14ac:dyDescent="0.3">
      <c r="A4795" t="s">
        <v>627</v>
      </c>
      <c r="B4795" s="16">
        <v>45578</v>
      </c>
      <c r="C4795" t="s">
        <v>3</v>
      </c>
      <c r="D4795" t="s">
        <v>114</v>
      </c>
      <c r="E4795" t="s">
        <v>159</v>
      </c>
      <c r="F4795">
        <v>7</v>
      </c>
      <c r="G4795">
        <v>3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2</v>
      </c>
      <c r="O4795">
        <v>3</v>
      </c>
      <c r="P4795">
        <f t="shared" si="243"/>
        <v>2024</v>
      </c>
      <c r="Q4795">
        <f t="shared" si="244"/>
        <v>10</v>
      </c>
      <c r="R4795" t="str">
        <f t="shared" si="245"/>
        <v>主会场</v>
      </c>
      <c r="S4795" t="s">
        <v>785</v>
      </c>
      <c r="T4795" t="s">
        <v>805</v>
      </c>
    </row>
    <row r="4796" spans="1:20" x14ac:dyDescent="0.3">
      <c r="A4796" t="s">
        <v>627</v>
      </c>
      <c r="B4796" s="16">
        <v>45578</v>
      </c>
      <c r="C4796" t="s">
        <v>3</v>
      </c>
      <c r="D4796" t="s">
        <v>120</v>
      </c>
      <c r="E4796" t="s">
        <v>163</v>
      </c>
      <c r="F4796">
        <v>33</v>
      </c>
      <c r="G4796">
        <v>19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17</v>
      </c>
      <c r="O4796">
        <v>27</v>
      </c>
      <c r="P4796">
        <f t="shared" si="243"/>
        <v>2024</v>
      </c>
      <c r="Q4796">
        <f t="shared" si="244"/>
        <v>10</v>
      </c>
      <c r="R4796" t="str">
        <f t="shared" si="245"/>
        <v>手猫免费其他</v>
      </c>
      <c r="S4796" t="s">
        <v>785</v>
      </c>
      <c r="T4796" t="s">
        <v>805</v>
      </c>
    </row>
    <row r="4797" spans="1:20" x14ac:dyDescent="0.3">
      <c r="A4797" t="s">
        <v>627</v>
      </c>
      <c r="B4797" s="16">
        <v>45578</v>
      </c>
      <c r="C4797" t="s">
        <v>3</v>
      </c>
      <c r="D4797" t="s">
        <v>120</v>
      </c>
      <c r="E4797" t="s">
        <v>164</v>
      </c>
      <c r="F4797">
        <v>31</v>
      </c>
      <c r="G4797">
        <v>15</v>
      </c>
      <c r="H4797">
        <v>8</v>
      </c>
      <c r="I4797">
        <v>0</v>
      </c>
      <c r="J4797">
        <v>30899.62</v>
      </c>
      <c r="K4797">
        <v>3</v>
      </c>
      <c r="L4797">
        <v>30899.62</v>
      </c>
      <c r="M4797">
        <v>3</v>
      </c>
      <c r="N4797">
        <v>0</v>
      </c>
      <c r="O4797">
        <v>31</v>
      </c>
      <c r="P4797">
        <f t="shared" si="243"/>
        <v>2024</v>
      </c>
      <c r="Q4797">
        <f t="shared" si="244"/>
        <v>10</v>
      </c>
      <c r="R4797" t="str">
        <f t="shared" si="245"/>
        <v>手猫其他店铺</v>
      </c>
      <c r="S4797" t="s">
        <v>785</v>
      </c>
      <c r="T4797" t="s">
        <v>805</v>
      </c>
    </row>
    <row r="4798" spans="1:20" x14ac:dyDescent="0.3">
      <c r="A4798" t="s">
        <v>627</v>
      </c>
      <c r="B4798" s="16">
        <v>45578</v>
      </c>
      <c r="C4798" t="s">
        <v>3</v>
      </c>
      <c r="D4798" t="s">
        <v>120</v>
      </c>
      <c r="E4798" t="s">
        <v>165</v>
      </c>
      <c r="F4798">
        <v>32</v>
      </c>
      <c r="G4798">
        <v>8</v>
      </c>
      <c r="H4798">
        <v>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2</v>
      </c>
      <c r="O4798">
        <v>31</v>
      </c>
      <c r="P4798">
        <f t="shared" si="243"/>
        <v>2024</v>
      </c>
      <c r="Q4798">
        <f t="shared" si="244"/>
        <v>10</v>
      </c>
      <c r="R4798" t="str">
        <f t="shared" si="245"/>
        <v>手猫商品详情</v>
      </c>
      <c r="S4798" t="s">
        <v>785</v>
      </c>
      <c r="T4798" t="s">
        <v>805</v>
      </c>
    </row>
    <row r="4799" spans="1:20" x14ac:dyDescent="0.3">
      <c r="A4799" t="s">
        <v>627</v>
      </c>
      <c r="B4799" s="16">
        <v>45578</v>
      </c>
      <c r="C4799" t="s">
        <v>3</v>
      </c>
      <c r="D4799" t="s">
        <v>120</v>
      </c>
      <c r="E4799" t="s">
        <v>166</v>
      </c>
      <c r="F4799">
        <v>47</v>
      </c>
      <c r="G4799">
        <v>36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27</v>
      </c>
      <c r="O4799">
        <v>37</v>
      </c>
      <c r="P4799">
        <f t="shared" si="243"/>
        <v>2024</v>
      </c>
      <c r="Q4799">
        <f t="shared" si="244"/>
        <v>10</v>
      </c>
      <c r="R4799" t="str">
        <f t="shared" si="245"/>
        <v>手猫搜索</v>
      </c>
      <c r="S4799" t="s">
        <v>785</v>
      </c>
      <c r="T4799" t="s">
        <v>805</v>
      </c>
    </row>
    <row r="4800" spans="1:20" x14ac:dyDescent="0.3">
      <c r="A4800" t="s">
        <v>627</v>
      </c>
      <c r="B4800" s="16">
        <v>45578</v>
      </c>
      <c r="C4800" t="s">
        <v>3</v>
      </c>
      <c r="D4800" t="s">
        <v>120</v>
      </c>
      <c r="E4800" t="s">
        <v>167</v>
      </c>
      <c r="F4800">
        <v>1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</v>
      </c>
      <c r="O4800">
        <v>0</v>
      </c>
      <c r="P4800">
        <f t="shared" si="243"/>
        <v>2024</v>
      </c>
      <c r="Q4800">
        <f t="shared" si="244"/>
        <v>10</v>
      </c>
      <c r="R4800" t="str">
        <f t="shared" si="245"/>
        <v>手猫旺信聊天</v>
      </c>
      <c r="S4800" t="s">
        <v>785</v>
      </c>
      <c r="T4800" t="s">
        <v>805</v>
      </c>
    </row>
    <row r="4801" spans="1:20" x14ac:dyDescent="0.3">
      <c r="A4801" t="s">
        <v>627</v>
      </c>
      <c r="B4801" s="16">
        <v>45578</v>
      </c>
      <c r="C4801" t="s">
        <v>3</v>
      </c>
      <c r="D4801" t="s">
        <v>120</v>
      </c>
      <c r="E4801" t="s">
        <v>192</v>
      </c>
      <c r="F4801">
        <v>1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1</v>
      </c>
      <c r="O4801">
        <v>1</v>
      </c>
      <c r="P4801">
        <f t="shared" si="243"/>
        <v>2024</v>
      </c>
      <c r="Q4801">
        <f t="shared" si="244"/>
        <v>10</v>
      </c>
      <c r="R4801" t="str">
        <f t="shared" si="245"/>
        <v>手猫消息中心</v>
      </c>
      <c r="S4801" t="s">
        <v>785</v>
      </c>
      <c r="T4801" t="s">
        <v>805</v>
      </c>
    </row>
    <row r="4802" spans="1:20" x14ac:dyDescent="0.3">
      <c r="A4802" t="s">
        <v>627</v>
      </c>
      <c r="B4802" s="16">
        <v>45578</v>
      </c>
      <c r="C4802" t="s">
        <v>3</v>
      </c>
      <c r="D4802" t="s">
        <v>120</v>
      </c>
      <c r="E4802" t="s">
        <v>168</v>
      </c>
      <c r="F4802">
        <v>218</v>
      </c>
      <c r="G4802">
        <v>114</v>
      </c>
      <c r="H4802">
        <v>5</v>
      </c>
      <c r="I4802">
        <v>0</v>
      </c>
      <c r="J4802">
        <v>3450</v>
      </c>
      <c r="K4802">
        <v>1</v>
      </c>
      <c r="L4802">
        <v>3450</v>
      </c>
      <c r="M4802">
        <v>1</v>
      </c>
      <c r="N4802">
        <v>23</v>
      </c>
      <c r="O4802">
        <v>218</v>
      </c>
      <c r="P4802">
        <f t="shared" si="243"/>
        <v>2024</v>
      </c>
      <c r="Q4802">
        <f t="shared" si="244"/>
        <v>10</v>
      </c>
      <c r="R4802" t="str">
        <f t="shared" si="245"/>
        <v>手猫首页</v>
      </c>
      <c r="S4802" t="s">
        <v>785</v>
      </c>
      <c r="T4802" t="s">
        <v>805</v>
      </c>
    </row>
    <row r="4803" spans="1:20" x14ac:dyDescent="0.3">
      <c r="A4803" t="s">
        <v>627</v>
      </c>
      <c r="B4803" s="16">
        <v>45578</v>
      </c>
      <c r="C4803" t="s">
        <v>3</v>
      </c>
      <c r="D4803" t="s">
        <v>123</v>
      </c>
      <c r="E4803" t="s">
        <v>169</v>
      </c>
      <c r="F4803">
        <v>282</v>
      </c>
      <c r="G4803">
        <v>116</v>
      </c>
      <c r="H4803">
        <v>21</v>
      </c>
      <c r="I4803">
        <v>5</v>
      </c>
      <c r="J4803">
        <v>9455</v>
      </c>
      <c r="K4803">
        <v>3</v>
      </c>
      <c r="L4803">
        <v>9455</v>
      </c>
      <c r="M4803">
        <v>3</v>
      </c>
      <c r="N4803">
        <v>34</v>
      </c>
      <c r="O4803">
        <v>276</v>
      </c>
      <c r="P4803">
        <f t="shared" si="243"/>
        <v>2024</v>
      </c>
      <c r="Q4803">
        <f t="shared" si="244"/>
        <v>10</v>
      </c>
      <c r="R4803" t="str">
        <f t="shared" si="245"/>
        <v>商品详情页头图推荐</v>
      </c>
      <c r="S4803" t="s">
        <v>785</v>
      </c>
      <c r="T4803" t="s">
        <v>805</v>
      </c>
    </row>
    <row r="4804" spans="1:20" x14ac:dyDescent="0.3">
      <c r="A4804" t="s">
        <v>627</v>
      </c>
      <c r="B4804" s="16">
        <v>45578</v>
      </c>
      <c r="C4804" t="s">
        <v>3</v>
      </c>
      <c r="D4804" t="s">
        <v>123</v>
      </c>
      <c r="E4804" t="s">
        <v>170</v>
      </c>
      <c r="F4804">
        <v>57</v>
      </c>
      <c r="G4804">
        <v>27</v>
      </c>
      <c r="H4804">
        <v>4</v>
      </c>
      <c r="I4804">
        <v>2</v>
      </c>
      <c r="J4804">
        <v>11900</v>
      </c>
      <c r="K4804">
        <v>3</v>
      </c>
      <c r="L4804">
        <v>9350</v>
      </c>
      <c r="M4804">
        <v>3</v>
      </c>
      <c r="N4804">
        <v>52</v>
      </c>
      <c r="O4804">
        <v>24</v>
      </c>
      <c r="P4804">
        <f t="shared" si="243"/>
        <v>2024</v>
      </c>
      <c r="Q4804">
        <f t="shared" si="244"/>
        <v>10</v>
      </c>
      <c r="R4804" t="str">
        <f t="shared" si="245"/>
        <v>店铺超链</v>
      </c>
      <c r="S4804" t="s">
        <v>785</v>
      </c>
      <c r="T4804" t="s">
        <v>805</v>
      </c>
    </row>
    <row r="4805" spans="1:20" x14ac:dyDescent="0.3">
      <c r="A4805" t="s">
        <v>627</v>
      </c>
      <c r="B4805" s="16">
        <v>45578</v>
      </c>
      <c r="C4805" t="s">
        <v>3</v>
      </c>
      <c r="D4805" t="s">
        <v>127</v>
      </c>
      <c r="E4805" t="s">
        <v>171</v>
      </c>
      <c r="F4805">
        <v>206</v>
      </c>
      <c r="G4805">
        <v>121</v>
      </c>
      <c r="H4805">
        <v>3</v>
      </c>
      <c r="I4805">
        <v>1</v>
      </c>
      <c r="J4805">
        <v>5000</v>
      </c>
      <c r="K4805">
        <v>2</v>
      </c>
      <c r="L4805">
        <v>5000</v>
      </c>
      <c r="M4805">
        <v>2</v>
      </c>
      <c r="N4805">
        <v>111</v>
      </c>
      <c r="O4805">
        <v>113</v>
      </c>
      <c r="P4805">
        <f t="shared" si="243"/>
        <v>2024</v>
      </c>
      <c r="Q4805">
        <f t="shared" si="244"/>
        <v>10</v>
      </c>
      <c r="R4805" t="str">
        <f t="shared" si="245"/>
        <v>其他猜你喜欢</v>
      </c>
      <c r="S4805" t="s">
        <v>785</v>
      </c>
      <c r="T4805" t="s">
        <v>805</v>
      </c>
    </row>
    <row r="4806" spans="1:20" x14ac:dyDescent="0.3">
      <c r="A4806" t="s">
        <v>627</v>
      </c>
      <c r="B4806" s="16">
        <v>45578</v>
      </c>
      <c r="C4806" t="s">
        <v>3</v>
      </c>
      <c r="D4806" t="s">
        <v>127</v>
      </c>
      <c r="E4806" t="s">
        <v>172</v>
      </c>
      <c r="F4806">
        <v>7</v>
      </c>
      <c r="G4806">
        <v>2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2</v>
      </c>
      <c r="O4806">
        <v>6</v>
      </c>
      <c r="P4806">
        <f t="shared" si="243"/>
        <v>2024</v>
      </c>
      <c r="Q4806">
        <f t="shared" si="244"/>
        <v>10</v>
      </c>
      <c r="R4806" t="str">
        <f t="shared" si="245"/>
        <v>购中推荐</v>
      </c>
      <c r="S4806" t="s">
        <v>785</v>
      </c>
      <c r="T4806" t="s">
        <v>805</v>
      </c>
    </row>
    <row r="4807" spans="1:20" x14ac:dyDescent="0.3">
      <c r="A4807" t="s">
        <v>627</v>
      </c>
      <c r="B4807" s="16">
        <v>45578</v>
      </c>
      <c r="C4807" t="s">
        <v>3</v>
      </c>
      <c r="D4807" t="s">
        <v>127</v>
      </c>
      <c r="E4807" t="s">
        <v>173</v>
      </c>
      <c r="F4807">
        <v>12</v>
      </c>
      <c r="G4807">
        <v>5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1</v>
      </c>
      <c r="O4807">
        <v>9</v>
      </c>
      <c r="P4807">
        <f t="shared" si="243"/>
        <v>2024</v>
      </c>
      <c r="Q4807">
        <f t="shared" si="244"/>
        <v>10</v>
      </c>
      <c r="R4807" t="str">
        <f t="shared" si="245"/>
        <v>购后推荐</v>
      </c>
      <c r="S4807" t="s">
        <v>785</v>
      </c>
      <c r="T4807" t="s">
        <v>805</v>
      </c>
    </row>
    <row r="4808" spans="1:20" x14ac:dyDescent="0.3">
      <c r="A4808" t="s">
        <v>627</v>
      </c>
      <c r="B4808" s="16">
        <v>45578</v>
      </c>
      <c r="C4808" t="s">
        <v>3</v>
      </c>
      <c r="D4808" t="s">
        <v>127</v>
      </c>
      <c r="E4808" t="s">
        <v>174</v>
      </c>
      <c r="F4808">
        <v>1097</v>
      </c>
      <c r="G4808">
        <v>664</v>
      </c>
      <c r="H4808">
        <v>19</v>
      </c>
      <c r="I4808">
        <v>10</v>
      </c>
      <c r="J4808">
        <v>26288</v>
      </c>
      <c r="K4808">
        <v>3</v>
      </c>
      <c r="L4808">
        <v>1700</v>
      </c>
      <c r="M4808">
        <v>1</v>
      </c>
      <c r="N4808">
        <v>59</v>
      </c>
      <c r="O4808">
        <v>1097</v>
      </c>
      <c r="P4808">
        <f t="shared" si="243"/>
        <v>2024</v>
      </c>
      <c r="Q4808">
        <f t="shared" si="244"/>
        <v>10</v>
      </c>
      <c r="R4808" t="str">
        <f t="shared" si="245"/>
        <v>首页推荐-微详情</v>
      </c>
      <c r="S4808" t="s">
        <v>785</v>
      </c>
      <c r="T4808" t="s">
        <v>805</v>
      </c>
    </row>
    <row r="4809" spans="1:20" x14ac:dyDescent="0.3">
      <c r="A4809" t="s">
        <v>627</v>
      </c>
      <c r="B4809" s="16">
        <v>45578</v>
      </c>
      <c r="C4809" t="s">
        <v>3</v>
      </c>
      <c r="D4809" t="s">
        <v>127</v>
      </c>
      <c r="E4809" t="s">
        <v>175</v>
      </c>
      <c r="F4809">
        <v>5</v>
      </c>
      <c r="G4809">
        <v>2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f t="shared" si="243"/>
        <v>2024</v>
      </c>
      <c r="Q4809">
        <f t="shared" si="244"/>
        <v>10</v>
      </c>
      <c r="R4809" t="str">
        <f t="shared" si="245"/>
        <v>首页推荐-直播</v>
      </c>
      <c r="S4809" t="s">
        <v>785</v>
      </c>
      <c r="T4809" t="s">
        <v>805</v>
      </c>
    </row>
    <row r="4810" spans="1:20" x14ac:dyDescent="0.3">
      <c r="A4810" t="s">
        <v>627</v>
      </c>
      <c r="B4810" s="16">
        <v>45578</v>
      </c>
      <c r="C4810" t="s">
        <v>3</v>
      </c>
      <c r="D4810" t="s">
        <v>127</v>
      </c>
      <c r="E4810" t="s">
        <v>176</v>
      </c>
      <c r="F4810">
        <v>221</v>
      </c>
      <c r="G4810">
        <v>121</v>
      </c>
      <c r="H4810">
        <v>1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7</v>
      </c>
      <c r="O4810">
        <v>23</v>
      </c>
      <c r="P4810">
        <f t="shared" si="243"/>
        <v>2024</v>
      </c>
      <c r="Q4810">
        <f t="shared" si="244"/>
        <v>10</v>
      </c>
      <c r="R4810" t="str">
        <f t="shared" si="245"/>
        <v>首页推荐-短视频</v>
      </c>
      <c r="S4810" t="s">
        <v>785</v>
      </c>
      <c r="T4810" t="s">
        <v>805</v>
      </c>
    </row>
    <row r="4811" spans="1:20" x14ac:dyDescent="0.3">
      <c r="A4811" t="s">
        <v>627</v>
      </c>
      <c r="B4811" s="16">
        <v>45578</v>
      </c>
      <c r="C4811" t="s">
        <v>3</v>
      </c>
      <c r="D4811" t="s">
        <v>128</v>
      </c>
      <c r="E4811" t="s">
        <v>177</v>
      </c>
      <c r="F4811">
        <v>546</v>
      </c>
      <c r="G4811">
        <v>436</v>
      </c>
      <c r="H4811">
        <v>13</v>
      </c>
      <c r="I4811">
        <v>8</v>
      </c>
      <c r="J4811">
        <v>36128</v>
      </c>
      <c r="K4811">
        <v>5</v>
      </c>
      <c r="L4811">
        <v>33680</v>
      </c>
      <c r="M4811">
        <v>4</v>
      </c>
      <c r="N4811">
        <v>210</v>
      </c>
      <c r="O4811">
        <v>431</v>
      </c>
      <c r="P4811">
        <f t="shared" si="243"/>
        <v>2024</v>
      </c>
      <c r="Q4811">
        <f t="shared" si="244"/>
        <v>10</v>
      </c>
      <c r="R4811" t="str">
        <f t="shared" si="245"/>
        <v>手淘搜索-商品及其他</v>
      </c>
      <c r="S4811" t="s">
        <v>785</v>
      </c>
      <c r="T4811" t="s">
        <v>805</v>
      </c>
    </row>
    <row r="4812" spans="1:20" x14ac:dyDescent="0.3">
      <c r="A4812" t="s">
        <v>627</v>
      </c>
      <c r="B4812" s="16">
        <v>45578</v>
      </c>
      <c r="C4812" t="s">
        <v>3</v>
      </c>
      <c r="D4812" t="s">
        <v>128</v>
      </c>
      <c r="E4812" t="s">
        <v>179</v>
      </c>
      <c r="F4812">
        <v>16</v>
      </c>
      <c r="G4812">
        <v>11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15</v>
      </c>
      <c r="P4812">
        <f t="shared" si="243"/>
        <v>2024</v>
      </c>
      <c r="Q4812">
        <f t="shared" si="244"/>
        <v>10</v>
      </c>
      <c r="R4812" t="str">
        <f t="shared" si="245"/>
        <v>手淘搜索-短视频</v>
      </c>
      <c r="S4812" t="s">
        <v>785</v>
      </c>
      <c r="T4812" t="s">
        <v>805</v>
      </c>
    </row>
    <row r="4813" spans="1:20" x14ac:dyDescent="0.3">
      <c r="A4813" t="s">
        <v>627</v>
      </c>
      <c r="B4813" s="16">
        <v>45578</v>
      </c>
      <c r="C4813" t="s">
        <v>3</v>
      </c>
      <c r="D4813" t="s">
        <v>143</v>
      </c>
      <c r="E4813" t="s">
        <v>180</v>
      </c>
      <c r="F4813">
        <v>22</v>
      </c>
      <c r="G4813">
        <v>21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22</v>
      </c>
      <c r="P4813">
        <f t="shared" si="243"/>
        <v>2024</v>
      </c>
      <c r="Q4813">
        <f t="shared" si="244"/>
        <v>10</v>
      </c>
      <c r="R4813" t="str">
        <f t="shared" si="245"/>
        <v>淘特其他渠道</v>
      </c>
      <c r="S4813" t="s">
        <v>785</v>
      </c>
      <c r="T4813" t="s">
        <v>805</v>
      </c>
    </row>
    <row r="4814" spans="1:20" x14ac:dyDescent="0.3">
      <c r="A4814" t="s">
        <v>627</v>
      </c>
      <c r="B4814" s="16">
        <v>45578</v>
      </c>
      <c r="C4814" t="s">
        <v>2</v>
      </c>
      <c r="D4814" t="s">
        <v>55</v>
      </c>
      <c r="E4814" t="s">
        <v>54</v>
      </c>
      <c r="F4814">
        <v>4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2</v>
      </c>
      <c r="P4814">
        <f t="shared" si="243"/>
        <v>2024</v>
      </c>
      <c r="Q4814">
        <f t="shared" si="244"/>
        <v>10</v>
      </c>
      <c r="R4814" t="str">
        <f t="shared" si="245"/>
        <v>超级直播</v>
      </c>
      <c r="S4814" t="s">
        <v>785</v>
      </c>
      <c r="T4814" t="s">
        <v>805</v>
      </c>
    </row>
    <row r="4815" spans="1:20" x14ac:dyDescent="0.3">
      <c r="A4815" t="s">
        <v>627</v>
      </c>
      <c r="B4815" s="16">
        <v>45578</v>
      </c>
      <c r="C4815" t="s">
        <v>2</v>
      </c>
      <c r="D4815" t="s">
        <v>55</v>
      </c>
      <c r="E4815" t="s">
        <v>56</v>
      </c>
      <c r="F4815">
        <v>17</v>
      </c>
      <c r="G4815">
        <v>14</v>
      </c>
      <c r="H4815">
        <v>3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2</v>
      </c>
      <c r="O4815">
        <v>17</v>
      </c>
      <c r="P4815">
        <f t="shared" si="243"/>
        <v>2024</v>
      </c>
      <c r="Q4815">
        <f t="shared" si="244"/>
        <v>10</v>
      </c>
      <c r="R4815" t="str">
        <f t="shared" si="245"/>
        <v>超级短视频</v>
      </c>
      <c r="S4815" t="s">
        <v>785</v>
      </c>
      <c r="T4815" t="s">
        <v>805</v>
      </c>
    </row>
    <row r="4816" spans="1:20" x14ac:dyDescent="0.3">
      <c r="A4816" t="s">
        <v>627</v>
      </c>
      <c r="B4816" s="16">
        <v>45578</v>
      </c>
      <c r="C4816" t="s">
        <v>2</v>
      </c>
      <c r="D4816" t="s">
        <v>52</v>
      </c>
      <c r="E4816" t="s">
        <v>53</v>
      </c>
      <c r="F4816">
        <v>927</v>
      </c>
      <c r="G4816">
        <v>775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927</v>
      </c>
      <c r="O4816">
        <v>167</v>
      </c>
      <c r="P4816">
        <f t="shared" si="243"/>
        <v>2024</v>
      </c>
      <c r="Q4816">
        <f t="shared" si="244"/>
        <v>10</v>
      </c>
      <c r="R4816" t="str">
        <f t="shared" si="245"/>
        <v>Showmax</v>
      </c>
      <c r="S4816" t="s">
        <v>785</v>
      </c>
      <c r="T4816" t="s">
        <v>805</v>
      </c>
    </row>
    <row r="4817" spans="1:20" x14ac:dyDescent="0.3">
      <c r="A4817" t="s">
        <v>627</v>
      </c>
      <c r="B4817" s="16">
        <v>45578</v>
      </c>
      <c r="C4817" t="s">
        <v>2</v>
      </c>
      <c r="D4817" t="s">
        <v>52</v>
      </c>
      <c r="E4817" t="s">
        <v>59</v>
      </c>
      <c r="F4817">
        <v>1227</v>
      </c>
      <c r="G4817">
        <v>1048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1227</v>
      </c>
      <c r="O4817">
        <v>317</v>
      </c>
      <c r="P4817">
        <f t="shared" si="243"/>
        <v>2024</v>
      </c>
      <c r="Q4817">
        <f t="shared" si="244"/>
        <v>10</v>
      </c>
      <c r="R4817" t="str">
        <f t="shared" si="245"/>
        <v>品牌特秀</v>
      </c>
      <c r="S4817" t="s">
        <v>785</v>
      </c>
      <c r="T4817" t="s">
        <v>805</v>
      </c>
    </row>
    <row r="4818" spans="1:20" x14ac:dyDescent="0.3">
      <c r="A4818" t="s">
        <v>627</v>
      </c>
      <c r="B4818" s="16">
        <v>45578</v>
      </c>
      <c r="C4818" t="s">
        <v>2</v>
      </c>
      <c r="D4818" t="s">
        <v>52</v>
      </c>
      <c r="E4818" t="s">
        <v>183</v>
      </c>
      <c r="F4818">
        <v>684</v>
      </c>
      <c r="G4818">
        <v>581</v>
      </c>
      <c r="H4818">
        <v>26</v>
      </c>
      <c r="I4818">
        <v>9</v>
      </c>
      <c r="J4818">
        <v>52088</v>
      </c>
      <c r="K4818">
        <v>7</v>
      </c>
      <c r="L4818">
        <v>34200</v>
      </c>
      <c r="M4818">
        <v>3</v>
      </c>
      <c r="N4818">
        <v>684</v>
      </c>
      <c r="O4818">
        <v>383</v>
      </c>
      <c r="P4818">
        <f t="shared" si="243"/>
        <v>2024</v>
      </c>
      <c r="Q4818">
        <f t="shared" si="244"/>
        <v>10</v>
      </c>
      <c r="R4818" t="str">
        <f t="shared" si="245"/>
        <v>品销宝-品牌专区</v>
      </c>
      <c r="S4818" t="s">
        <v>785</v>
      </c>
      <c r="T4818" t="s">
        <v>805</v>
      </c>
    </row>
    <row r="4819" spans="1:20" x14ac:dyDescent="0.3">
      <c r="A4819" t="s">
        <v>627</v>
      </c>
      <c r="B4819" s="16">
        <v>45578</v>
      </c>
      <c r="C4819" t="s">
        <v>2</v>
      </c>
      <c r="D4819" t="s">
        <v>57</v>
      </c>
      <c r="E4819" t="s">
        <v>65</v>
      </c>
      <c r="F4819">
        <v>3993</v>
      </c>
      <c r="G4819">
        <v>3544</v>
      </c>
      <c r="H4819">
        <v>59</v>
      </c>
      <c r="I4819">
        <v>31</v>
      </c>
      <c r="J4819">
        <v>14357</v>
      </c>
      <c r="K4819">
        <v>3</v>
      </c>
      <c r="L4819">
        <v>6057</v>
      </c>
      <c r="M4819">
        <v>2</v>
      </c>
      <c r="N4819">
        <v>278</v>
      </c>
      <c r="O4819">
        <v>3960</v>
      </c>
      <c r="P4819">
        <f t="shared" si="243"/>
        <v>2024</v>
      </c>
      <c r="Q4819">
        <f t="shared" si="244"/>
        <v>10</v>
      </c>
      <c r="R4819" t="str">
        <f t="shared" si="245"/>
        <v>直通车</v>
      </c>
      <c r="S4819" t="s">
        <v>785</v>
      </c>
      <c r="T4819" t="s">
        <v>805</v>
      </c>
    </row>
    <row r="4820" spans="1:20" x14ac:dyDescent="0.3">
      <c r="A4820" t="s">
        <v>627</v>
      </c>
      <c r="B4820" s="16">
        <v>45578</v>
      </c>
      <c r="C4820" t="s">
        <v>2</v>
      </c>
      <c r="D4820" t="s">
        <v>57</v>
      </c>
      <c r="E4820" t="s">
        <v>63</v>
      </c>
      <c r="F4820">
        <v>4625</v>
      </c>
      <c r="G4820">
        <v>2384</v>
      </c>
      <c r="H4820">
        <v>68</v>
      </c>
      <c r="I4820">
        <v>35</v>
      </c>
      <c r="J4820">
        <v>104058</v>
      </c>
      <c r="K4820">
        <v>22</v>
      </c>
      <c r="L4820">
        <v>62164</v>
      </c>
      <c r="M4820">
        <v>17</v>
      </c>
      <c r="N4820">
        <v>156</v>
      </c>
      <c r="O4820">
        <v>4622</v>
      </c>
      <c r="P4820">
        <f t="shared" si="243"/>
        <v>2024</v>
      </c>
      <c r="Q4820">
        <f t="shared" si="244"/>
        <v>10</v>
      </c>
      <c r="R4820" t="str">
        <f t="shared" si="245"/>
        <v>万相台</v>
      </c>
      <c r="S4820" t="s">
        <v>785</v>
      </c>
      <c r="T4820" t="s">
        <v>805</v>
      </c>
    </row>
    <row r="4821" spans="1:20" x14ac:dyDescent="0.3">
      <c r="A4821" t="s">
        <v>627</v>
      </c>
      <c r="B4821" s="16">
        <v>45578</v>
      </c>
      <c r="C4821" t="s">
        <v>2</v>
      </c>
      <c r="D4821" t="s">
        <v>57</v>
      </c>
      <c r="E4821" t="s">
        <v>64</v>
      </c>
      <c r="F4821">
        <v>5814</v>
      </c>
      <c r="G4821">
        <v>2759</v>
      </c>
      <c r="H4821">
        <v>203</v>
      </c>
      <c r="I4821">
        <v>95</v>
      </c>
      <c r="J4821">
        <v>98941</v>
      </c>
      <c r="K4821">
        <v>25</v>
      </c>
      <c r="L4821">
        <v>65433</v>
      </c>
      <c r="M4821">
        <v>19</v>
      </c>
      <c r="N4821">
        <v>532</v>
      </c>
      <c r="O4821">
        <v>5810</v>
      </c>
      <c r="P4821">
        <f t="shared" si="243"/>
        <v>2024</v>
      </c>
      <c r="Q4821">
        <f t="shared" si="244"/>
        <v>10</v>
      </c>
      <c r="R4821" t="str">
        <f t="shared" si="245"/>
        <v>引力魔方</v>
      </c>
      <c r="S4821" t="s">
        <v>785</v>
      </c>
      <c r="T4821" t="s">
        <v>805</v>
      </c>
    </row>
    <row r="4822" spans="1:20" x14ac:dyDescent="0.3">
      <c r="A4822" t="s">
        <v>627</v>
      </c>
      <c r="B4822" s="16">
        <v>45578</v>
      </c>
      <c r="C4822" t="s">
        <v>2</v>
      </c>
      <c r="D4822" t="s">
        <v>4</v>
      </c>
      <c r="E4822" t="s">
        <v>42</v>
      </c>
      <c r="F4822">
        <v>1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1</v>
      </c>
      <c r="O4822">
        <v>1</v>
      </c>
      <c r="P4822">
        <f t="shared" si="243"/>
        <v>2024</v>
      </c>
      <c r="Q4822">
        <f t="shared" si="244"/>
        <v>10</v>
      </c>
      <c r="R4822" t="str">
        <f t="shared" si="245"/>
        <v>UD效果投放</v>
      </c>
      <c r="S4822" t="s">
        <v>785</v>
      </c>
      <c r="T4822" t="s">
        <v>805</v>
      </c>
    </row>
    <row r="4823" spans="1:20" x14ac:dyDescent="0.3">
      <c r="A4823" t="s">
        <v>627</v>
      </c>
      <c r="B4823" s="16">
        <v>45578</v>
      </c>
      <c r="C4823" t="s">
        <v>2</v>
      </c>
      <c r="D4823" t="s">
        <v>4</v>
      </c>
      <c r="E4823" t="s">
        <v>41</v>
      </c>
      <c r="F4823">
        <v>3</v>
      </c>
      <c r="G4823">
        <v>3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2</v>
      </c>
      <c r="O4823">
        <v>1</v>
      </c>
      <c r="P4823">
        <f t="shared" si="243"/>
        <v>2024</v>
      </c>
      <c r="Q4823">
        <f t="shared" si="244"/>
        <v>10</v>
      </c>
      <c r="R4823" t="str">
        <f t="shared" si="245"/>
        <v>流量宝</v>
      </c>
      <c r="S4823" t="s">
        <v>785</v>
      </c>
      <c r="T4823" t="s">
        <v>805</v>
      </c>
    </row>
    <row r="4824" spans="1:20" x14ac:dyDescent="0.3">
      <c r="A4824" t="s">
        <v>627</v>
      </c>
      <c r="B4824" s="16">
        <v>45578</v>
      </c>
      <c r="C4824" t="s">
        <v>2</v>
      </c>
      <c r="D4824" t="s">
        <v>4</v>
      </c>
      <c r="E4824" t="s">
        <v>43</v>
      </c>
      <c r="F4824">
        <v>1212</v>
      </c>
      <c r="G4824">
        <v>548</v>
      </c>
      <c r="H4824">
        <v>58</v>
      </c>
      <c r="I4824">
        <v>3</v>
      </c>
      <c r="J4824">
        <v>21170</v>
      </c>
      <c r="K4824">
        <v>4</v>
      </c>
      <c r="L4824">
        <v>6475</v>
      </c>
      <c r="M4824">
        <v>2</v>
      </c>
      <c r="N4824">
        <v>19</v>
      </c>
      <c r="O4824">
        <v>1202</v>
      </c>
      <c r="P4824">
        <f t="shared" si="243"/>
        <v>2024</v>
      </c>
      <c r="Q4824">
        <f t="shared" si="244"/>
        <v>10</v>
      </c>
      <c r="R4824" t="str">
        <f t="shared" si="245"/>
        <v>淘宝客</v>
      </c>
      <c r="S4824" t="s">
        <v>785</v>
      </c>
      <c r="T4824" t="s">
        <v>805</v>
      </c>
    </row>
    <row r="4825" spans="1:20" x14ac:dyDescent="0.3">
      <c r="A4825" t="s">
        <v>627</v>
      </c>
      <c r="B4825" s="16">
        <v>45577</v>
      </c>
      <c r="C4825" t="s">
        <v>3</v>
      </c>
      <c r="D4825" t="s">
        <v>114</v>
      </c>
      <c r="E4825" t="s">
        <v>159</v>
      </c>
      <c r="F4825">
        <v>16</v>
      </c>
      <c r="G4825">
        <v>12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3</v>
      </c>
      <c r="O4825">
        <v>4</v>
      </c>
      <c r="P4825">
        <f t="shared" si="243"/>
        <v>2024</v>
      </c>
      <c r="Q4825">
        <f t="shared" si="244"/>
        <v>10</v>
      </c>
      <c r="R4825" t="str">
        <f t="shared" si="245"/>
        <v>主会场</v>
      </c>
      <c r="S4825" t="s">
        <v>785</v>
      </c>
      <c r="T4825" t="s">
        <v>805</v>
      </c>
    </row>
    <row r="4826" spans="1:20" x14ac:dyDescent="0.3">
      <c r="A4826" t="s">
        <v>627</v>
      </c>
      <c r="B4826" s="16">
        <v>45577</v>
      </c>
      <c r="C4826" t="s">
        <v>3</v>
      </c>
      <c r="D4826" t="s">
        <v>120</v>
      </c>
      <c r="E4826" t="s">
        <v>162</v>
      </c>
      <c r="F4826">
        <v>2</v>
      </c>
      <c r="G4826">
        <v>2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2</v>
      </c>
      <c r="P4826">
        <f t="shared" si="243"/>
        <v>2024</v>
      </c>
      <c r="Q4826">
        <f t="shared" si="244"/>
        <v>10</v>
      </c>
      <c r="R4826" t="str">
        <f t="shared" si="245"/>
        <v>手机浏览器访问天猫</v>
      </c>
      <c r="S4826" t="s">
        <v>785</v>
      </c>
      <c r="T4826" t="s">
        <v>805</v>
      </c>
    </row>
    <row r="4827" spans="1:20" x14ac:dyDescent="0.3">
      <c r="A4827" t="s">
        <v>627</v>
      </c>
      <c r="B4827" s="16">
        <v>45577</v>
      </c>
      <c r="C4827" t="s">
        <v>3</v>
      </c>
      <c r="D4827" t="s">
        <v>120</v>
      </c>
      <c r="E4827" t="s">
        <v>163</v>
      </c>
      <c r="F4827">
        <v>28</v>
      </c>
      <c r="G4827">
        <v>12</v>
      </c>
      <c r="H4827">
        <v>1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14</v>
      </c>
      <c r="O4827">
        <v>17</v>
      </c>
      <c r="P4827">
        <f t="shared" si="243"/>
        <v>2024</v>
      </c>
      <c r="Q4827">
        <f t="shared" si="244"/>
        <v>10</v>
      </c>
      <c r="R4827" t="str">
        <f t="shared" si="245"/>
        <v>手猫免费其他</v>
      </c>
      <c r="S4827" t="s">
        <v>785</v>
      </c>
      <c r="T4827" t="s">
        <v>805</v>
      </c>
    </row>
    <row r="4828" spans="1:20" x14ac:dyDescent="0.3">
      <c r="A4828" t="s">
        <v>627</v>
      </c>
      <c r="B4828" s="16">
        <v>45577</v>
      </c>
      <c r="C4828" t="s">
        <v>3</v>
      </c>
      <c r="D4828" t="s">
        <v>120</v>
      </c>
      <c r="E4828" t="s">
        <v>164</v>
      </c>
      <c r="F4828">
        <v>28</v>
      </c>
      <c r="G4828">
        <v>11</v>
      </c>
      <c r="H4828">
        <v>5</v>
      </c>
      <c r="I4828">
        <v>0</v>
      </c>
      <c r="J4828">
        <v>1980</v>
      </c>
      <c r="K4828">
        <v>1</v>
      </c>
      <c r="L4828">
        <v>1980</v>
      </c>
      <c r="M4828">
        <v>1</v>
      </c>
      <c r="N4828">
        <v>1</v>
      </c>
      <c r="O4828">
        <v>28</v>
      </c>
      <c r="P4828">
        <f t="shared" si="243"/>
        <v>2024</v>
      </c>
      <c r="Q4828">
        <f t="shared" si="244"/>
        <v>10</v>
      </c>
      <c r="R4828" t="str">
        <f t="shared" si="245"/>
        <v>手猫其他店铺</v>
      </c>
      <c r="S4828" t="s">
        <v>785</v>
      </c>
      <c r="T4828" t="s">
        <v>805</v>
      </c>
    </row>
    <row r="4829" spans="1:20" x14ac:dyDescent="0.3">
      <c r="A4829" t="s">
        <v>627</v>
      </c>
      <c r="B4829" s="16">
        <v>45577</v>
      </c>
      <c r="C4829" t="s">
        <v>3</v>
      </c>
      <c r="D4829" t="s">
        <v>120</v>
      </c>
      <c r="E4829" t="s">
        <v>165</v>
      </c>
      <c r="F4829">
        <v>21</v>
      </c>
      <c r="G4829">
        <v>8</v>
      </c>
      <c r="H4829">
        <v>1</v>
      </c>
      <c r="I4829">
        <v>0</v>
      </c>
      <c r="J4829">
        <v>7623</v>
      </c>
      <c r="K4829">
        <v>1</v>
      </c>
      <c r="L4829">
        <v>7623</v>
      </c>
      <c r="M4829">
        <v>1</v>
      </c>
      <c r="N4829">
        <v>10</v>
      </c>
      <c r="O4829">
        <v>19</v>
      </c>
      <c r="P4829">
        <f t="shared" si="243"/>
        <v>2024</v>
      </c>
      <c r="Q4829">
        <f t="shared" si="244"/>
        <v>10</v>
      </c>
      <c r="R4829" t="str">
        <f t="shared" si="245"/>
        <v>手猫商品详情</v>
      </c>
      <c r="S4829" t="s">
        <v>785</v>
      </c>
      <c r="T4829" t="s">
        <v>805</v>
      </c>
    </row>
    <row r="4830" spans="1:20" x14ac:dyDescent="0.3">
      <c r="A4830" t="s">
        <v>627</v>
      </c>
      <c r="B4830" s="16">
        <v>45577</v>
      </c>
      <c r="C4830" t="s">
        <v>3</v>
      </c>
      <c r="D4830" t="s">
        <v>120</v>
      </c>
      <c r="E4830" t="s">
        <v>166</v>
      </c>
      <c r="F4830">
        <v>45</v>
      </c>
      <c r="G4830">
        <v>33</v>
      </c>
      <c r="H4830">
        <v>5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23</v>
      </c>
      <c r="O4830">
        <v>38</v>
      </c>
      <c r="P4830">
        <f t="shared" si="243"/>
        <v>2024</v>
      </c>
      <c r="Q4830">
        <f t="shared" si="244"/>
        <v>10</v>
      </c>
      <c r="R4830" t="str">
        <f t="shared" si="245"/>
        <v>手猫搜索</v>
      </c>
      <c r="S4830" t="s">
        <v>785</v>
      </c>
      <c r="T4830" t="s">
        <v>805</v>
      </c>
    </row>
    <row r="4831" spans="1:20" x14ac:dyDescent="0.3">
      <c r="A4831" t="s">
        <v>627</v>
      </c>
      <c r="B4831" s="16">
        <v>45577</v>
      </c>
      <c r="C4831" t="s">
        <v>3</v>
      </c>
      <c r="D4831" t="s">
        <v>120</v>
      </c>
      <c r="E4831" t="s">
        <v>167</v>
      </c>
      <c r="F4831">
        <v>5</v>
      </c>
      <c r="G4831">
        <v>1</v>
      </c>
      <c r="H4831">
        <v>1</v>
      </c>
      <c r="I4831">
        <v>0</v>
      </c>
      <c r="J4831">
        <v>1980</v>
      </c>
      <c r="K4831">
        <v>1</v>
      </c>
      <c r="L4831">
        <v>1980</v>
      </c>
      <c r="M4831">
        <v>1</v>
      </c>
      <c r="N4831">
        <v>3</v>
      </c>
      <c r="O4831">
        <v>3</v>
      </c>
      <c r="P4831">
        <f t="shared" si="243"/>
        <v>2024</v>
      </c>
      <c r="Q4831">
        <f t="shared" si="244"/>
        <v>10</v>
      </c>
      <c r="R4831" t="str">
        <f t="shared" si="245"/>
        <v>手猫旺信聊天</v>
      </c>
      <c r="S4831" t="s">
        <v>785</v>
      </c>
      <c r="T4831" t="s">
        <v>805</v>
      </c>
    </row>
    <row r="4832" spans="1:20" x14ac:dyDescent="0.3">
      <c r="A4832" t="s">
        <v>627</v>
      </c>
      <c r="B4832" s="16">
        <v>45577</v>
      </c>
      <c r="C4832" t="s">
        <v>3</v>
      </c>
      <c r="D4832" t="s">
        <v>120</v>
      </c>
      <c r="E4832" t="s">
        <v>192</v>
      </c>
      <c r="F4832">
        <v>2</v>
      </c>
      <c r="G4832">
        <v>1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2</v>
      </c>
      <c r="P4832">
        <f t="shared" si="243"/>
        <v>2024</v>
      </c>
      <c r="Q4832">
        <f t="shared" si="244"/>
        <v>10</v>
      </c>
      <c r="R4832" t="str">
        <f t="shared" si="245"/>
        <v>手猫消息中心</v>
      </c>
      <c r="S4832" t="s">
        <v>785</v>
      </c>
      <c r="T4832" t="s">
        <v>805</v>
      </c>
    </row>
    <row r="4833" spans="1:20" x14ac:dyDescent="0.3">
      <c r="A4833" t="s">
        <v>627</v>
      </c>
      <c r="B4833" s="16">
        <v>45577</v>
      </c>
      <c r="C4833" t="s">
        <v>3</v>
      </c>
      <c r="D4833" t="s">
        <v>120</v>
      </c>
      <c r="E4833" t="s">
        <v>168</v>
      </c>
      <c r="F4833">
        <v>204</v>
      </c>
      <c r="G4833">
        <v>125</v>
      </c>
      <c r="H4833">
        <v>6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15</v>
      </c>
      <c r="O4833">
        <v>204</v>
      </c>
      <c r="P4833">
        <f t="shared" si="243"/>
        <v>2024</v>
      </c>
      <c r="Q4833">
        <f t="shared" si="244"/>
        <v>10</v>
      </c>
      <c r="R4833" t="str">
        <f t="shared" si="245"/>
        <v>手猫首页</v>
      </c>
      <c r="S4833" t="s">
        <v>785</v>
      </c>
      <c r="T4833" t="s">
        <v>805</v>
      </c>
    </row>
    <row r="4834" spans="1:20" x14ac:dyDescent="0.3">
      <c r="A4834" t="s">
        <v>627</v>
      </c>
      <c r="B4834" s="16">
        <v>45577</v>
      </c>
      <c r="C4834" t="s">
        <v>3</v>
      </c>
      <c r="D4834" t="s">
        <v>123</v>
      </c>
      <c r="E4834" t="s">
        <v>169</v>
      </c>
      <c r="F4834">
        <v>239</v>
      </c>
      <c r="G4834">
        <v>104</v>
      </c>
      <c r="H4834">
        <v>17</v>
      </c>
      <c r="I4834">
        <v>11</v>
      </c>
      <c r="J4834">
        <v>10140</v>
      </c>
      <c r="K4834">
        <v>2</v>
      </c>
      <c r="L4834">
        <v>1980</v>
      </c>
      <c r="M4834">
        <v>1</v>
      </c>
      <c r="N4834">
        <v>46</v>
      </c>
      <c r="O4834">
        <v>232</v>
      </c>
      <c r="P4834">
        <f t="shared" si="243"/>
        <v>2024</v>
      </c>
      <c r="Q4834">
        <f t="shared" si="244"/>
        <v>10</v>
      </c>
      <c r="R4834" t="str">
        <f t="shared" si="245"/>
        <v>商品详情页头图推荐</v>
      </c>
      <c r="S4834" t="s">
        <v>785</v>
      </c>
      <c r="T4834" t="s">
        <v>805</v>
      </c>
    </row>
    <row r="4835" spans="1:20" x14ac:dyDescent="0.3">
      <c r="A4835" t="s">
        <v>627</v>
      </c>
      <c r="B4835" s="16">
        <v>45577</v>
      </c>
      <c r="C4835" t="s">
        <v>3</v>
      </c>
      <c r="D4835" t="s">
        <v>123</v>
      </c>
      <c r="E4835" t="s">
        <v>170</v>
      </c>
      <c r="F4835">
        <v>84</v>
      </c>
      <c r="G4835">
        <v>39</v>
      </c>
      <c r="H4835">
        <v>4</v>
      </c>
      <c r="I4835">
        <v>0</v>
      </c>
      <c r="J4835">
        <v>8200</v>
      </c>
      <c r="K4835">
        <v>1</v>
      </c>
      <c r="L4835">
        <v>8200</v>
      </c>
      <c r="M4835">
        <v>1</v>
      </c>
      <c r="N4835">
        <v>80</v>
      </c>
      <c r="O4835">
        <v>28</v>
      </c>
      <c r="P4835">
        <f t="shared" si="243"/>
        <v>2024</v>
      </c>
      <c r="Q4835">
        <f t="shared" si="244"/>
        <v>10</v>
      </c>
      <c r="R4835" t="str">
        <f t="shared" si="245"/>
        <v>店铺超链</v>
      </c>
      <c r="S4835" t="s">
        <v>785</v>
      </c>
      <c r="T4835" t="s">
        <v>805</v>
      </c>
    </row>
    <row r="4836" spans="1:20" x14ac:dyDescent="0.3">
      <c r="A4836" t="s">
        <v>627</v>
      </c>
      <c r="B4836" s="16">
        <v>45577</v>
      </c>
      <c r="C4836" t="s">
        <v>3</v>
      </c>
      <c r="D4836" t="s">
        <v>127</v>
      </c>
      <c r="E4836" t="s">
        <v>171</v>
      </c>
      <c r="F4836">
        <v>222</v>
      </c>
      <c r="G4836">
        <v>147</v>
      </c>
      <c r="H4836">
        <v>10</v>
      </c>
      <c r="I4836">
        <v>1</v>
      </c>
      <c r="J4836">
        <v>3960</v>
      </c>
      <c r="K4836">
        <v>1</v>
      </c>
      <c r="L4836">
        <v>0</v>
      </c>
      <c r="M4836">
        <v>0</v>
      </c>
      <c r="N4836">
        <v>142</v>
      </c>
      <c r="O4836">
        <v>98</v>
      </c>
      <c r="P4836">
        <f t="shared" si="243"/>
        <v>2024</v>
      </c>
      <c r="Q4836">
        <f t="shared" si="244"/>
        <v>10</v>
      </c>
      <c r="R4836" t="str">
        <f t="shared" si="245"/>
        <v>其他猜你喜欢</v>
      </c>
      <c r="S4836" t="s">
        <v>785</v>
      </c>
      <c r="T4836" t="s">
        <v>805</v>
      </c>
    </row>
    <row r="4837" spans="1:20" x14ac:dyDescent="0.3">
      <c r="A4837" t="s">
        <v>627</v>
      </c>
      <c r="B4837" s="16">
        <v>45577</v>
      </c>
      <c r="C4837" t="s">
        <v>3</v>
      </c>
      <c r="D4837" t="s">
        <v>127</v>
      </c>
      <c r="E4837" t="s">
        <v>172</v>
      </c>
      <c r="F4837">
        <v>4</v>
      </c>
      <c r="G4837">
        <v>1</v>
      </c>
      <c r="H4837">
        <v>1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3</v>
      </c>
      <c r="P4837">
        <f t="shared" si="243"/>
        <v>2024</v>
      </c>
      <c r="Q4837">
        <f t="shared" si="244"/>
        <v>10</v>
      </c>
      <c r="R4837" t="str">
        <f t="shared" si="245"/>
        <v>购中推荐</v>
      </c>
      <c r="S4837" t="s">
        <v>785</v>
      </c>
      <c r="T4837" t="s">
        <v>805</v>
      </c>
    </row>
    <row r="4838" spans="1:20" x14ac:dyDescent="0.3">
      <c r="A4838" t="s">
        <v>627</v>
      </c>
      <c r="B4838" s="16">
        <v>45577</v>
      </c>
      <c r="C4838" t="s">
        <v>3</v>
      </c>
      <c r="D4838" t="s">
        <v>127</v>
      </c>
      <c r="E4838" t="s">
        <v>173</v>
      </c>
      <c r="F4838">
        <v>10</v>
      </c>
      <c r="G4838">
        <v>8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10</v>
      </c>
      <c r="P4838">
        <f t="shared" si="243"/>
        <v>2024</v>
      </c>
      <c r="Q4838">
        <f t="shared" si="244"/>
        <v>10</v>
      </c>
      <c r="R4838" t="str">
        <f t="shared" si="245"/>
        <v>购后推荐</v>
      </c>
      <c r="S4838" t="s">
        <v>785</v>
      </c>
      <c r="T4838" t="s">
        <v>805</v>
      </c>
    </row>
    <row r="4839" spans="1:20" x14ac:dyDescent="0.3">
      <c r="A4839" t="s">
        <v>627</v>
      </c>
      <c r="B4839" s="16">
        <v>45577</v>
      </c>
      <c r="C4839" t="s">
        <v>3</v>
      </c>
      <c r="D4839" t="s">
        <v>127</v>
      </c>
      <c r="E4839" t="s">
        <v>174</v>
      </c>
      <c r="F4839">
        <v>866</v>
      </c>
      <c r="G4839">
        <v>595</v>
      </c>
      <c r="H4839">
        <v>13</v>
      </c>
      <c r="I4839">
        <v>5</v>
      </c>
      <c r="J4839">
        <v>25845</v>
      </c>
      <c r="K4839">
        <v>5</v>
      </c>
      <c r="L4839">
        <v>23855</v>
      </c>
      <c r="M4839">
        <v>5</v>
      </c>
      <c r="N4839">
        <v>53</v>
      </c>
      <c r="O4839">
        <v>866</v>
      </c>
      <c r="P4839">
        <f t="shared" si="243"/>
        <v>2024</v>
      </c>
      <c r="Q4839">
        <f t="shared" si="244"/>
        <v>10</v>
      </c>
      <c r="R4839" t="str">
        <f t="shared" si="245"/>
        <v>首页推荐-微详情</v>
      </c>
      <c r="S4839" t="s">
        <v>785</v>
      </c>
      <c r="T4839" t="s">
        <v>805</v>
      </c>
    </row>
    <row r="4840" spans="1:20" x14ac:dyDescent="0.3">
      <c r="A4840" t="s">
        <v>627</v>
      </c>
      <c r="B4840" s="16">
        <v>45577</v>
      </c>
      <c r="C4840" t="s">
        <v>3</v>
      </c>
      <c r="D4840" t="s">
        <v>127</v>
      </c>
      <c r="E4840" t="s">
        <v>175</v>
      </c>
      <c r="F4840">
        <v>105</v>
      </c>
      <c r="G4840">
        <v>65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2</v>
      </c>
      <c r="O4840">
        <v>7</v>
      </c>
      <c r="P4840">
        <f t="shared" si="243"/>
        <v>2024</v>
      </c>
      <c r="Q4840">
        <f t="shared" si="244"/>
        <v>10</v>
      </c>
      <c r="R4840" t="str">
        <f t="shared" si="245"/>
        <v>首页推荐-直播</v>
      </c>
      <c r="S4840" t="s">
        <v>785</v>
      </c>
      <c r="T4840" t="s">
        <v>805</v>
      </c>
    </row>
    <row r="4841" spans="1:20" x14ac:dyDescent="0.3">
      <c r="A4841" t="s">
        <v>627</v>
      </c>
      <c r="B4841" s="16">
        <v>45577</v>
      </c>
      <c r="C4841" t="s">
        <v>3</v>
      </c>
      <c r="D4841" t="s">
        <v>127</v>
      </c>
      <c r="E4841" t="s">
        <v>176</v>
      </c>
      <c r="F4841">
        <v>185</v>
      </c>
      <c r="G4841">
        <v>116</v>
      </c>
      <c r="H4841">
        <v>1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9</v>
      </c>
      <c r="O4841">
        <v>29</v>
      </c>
      <c r="P4841">
        <f t="shared" ref="P4841:P4904" si="246">YEAR(B4841)</f>
        <v>2024</v>
      </c>
      <c r="Q4841">
        <f t="shared" ref="Q4841:Q4904" si="247">MONTH(B4841)</f>
        <v>10</v>
      </c>
      <c r="R4841" t="str">
        <f t="shared" ref="R4841:R4904" si="248">E4841</f>
        <v>首页推荐-短视频</v>
      </c>
      <c r="S4841" t="s">
        <v>785</v>
      </c>
      <c r="T4841" t="s">
        <v>805</v>
      </c>
    </row>
    <row r="4842" spans="1:20" x14ac:dyDescent="0.3">
      <c r="A4842" t="s">
        <v>627</v>
      </c>
      <c r="B4842" s="16">
        <v>45577</v>
      </c>
      <c r="C4842" t="s">
        <v>3</v>
      </c>
      <c r="D4842" t="s">
        <v>128</v>
      </c>
      <c r="E4842" t="s">
        <v>177</v>
      </c>
      <c r="F4842">
        <v>532</v>
      </c>
      <c r="G4842">
        <v>404</v>
      </c>
      <c r="H4842">
        <v>15</v>
      </c>
      <c r="I4842">
        <v>2</v>
      </c>
      <c r="J4842">
        <v>12005</v>
      </c>
      <c r="K4842">
        <v>3</v>
      </c>
      <c r="L4842">
        <v>12005</v>
      </c>
      <c r="M4842">
        <v>3</v>
      </c>
      <c r="N4842">
        <v>203</v>
      </c>
      <c r="O4842">
        <v>426</v>
      </c>
      <c r="P4842">
        <f t="shared" si="246"/>
        <v>2024</v>
      </c>
      <c r="Q4842">
        <f t="shared" si="247"/>
        <v>10</v>
      </c>
      <c r="R4842" t="str">
        <f t="shared" si="248"/>
        <v>手淘搜索-商品及其他</v>
      </c>
      <c r="S4842" t="s">
        <v>785</v>
      </c>
      <c r="T4842" t="s">
        <v>805</v>
      </c>
    </row>
    <row r="4843" spans="1:20" x14ac:dyDescent="0.3">
      <c r="A4843" t="s">
        <v>627</v>
      </c>
      <c r="B4843" s="16">
        <v>45577</v>
      </c>
      <c r="C4843" t="s">
        <v>3</v>
      </c>
      <c r="D4843" t="s">
        <v>128</v>
      </c>
      <c r="E4843" t="s">
        <v>178</v>
      </c>
      <c r="F4843">
        <v>3</v>
      </c>
      <c r="G4843">
        <v>3</v>
      </c>
      <c r="H4843">
        <v>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3</v>
      </c>
      <c r="P4843">
        <f t="shared" si="246"/>
        <v>2024</v>
      </c>
      <c r="Q4843">
        <f t="shared" si="247"/>
        <v>10</v>
      </c>
      <c r="R4843" t="str">
        <f t="shared" si="248"/>
        <v>手淘搜索-直播</v>
      </c>
      <c r="S4843" t="s">
        <v>785</v>
      </c>
      <c r="T4843" t="s">
        <v>805</v>
      </c>
    </row>
    <row r="4844" spans="1:20" x14ac:dyDescent="0.3">
      <c r="A4844" t="s">
        <v>627</v>
      </c>
      <c r="B4844" s="16">
        <v>45577</v>
      </c>
      <c r="C4844" t="s">
        <v>3</v>
      </c>
      <c r="D4844" t="s">
        <v>128</v>
      </c>
      <c r="E4844" t="s">
        <v>179</v>
      </c>
      <c r="F4844">
        <v>44</v>
      </c>
      <c r="G4844">
        <v>38</v>
      </c>
      <c r="H4844">
        <v>0</v>
      </c>
      <c r="I4844">
        <v>0</v>
      </c>
      <c r="J4844">
        <v>4945</v>
      </c>
      <c r="K4844">
        <v>1</v>
      </c>
      <c r="L4844">
        <v>4945</v>
      </c>
      <c r="M4844">
        <v>1</v>
      </c>
      <c r="N4844">
        <v>0</v>
      </c>
      <c r="O4844">
        <v>43</v>
      </c>
      <c r="P4844">
        <f t="shared" si="246"/>
        <v>2024</v>
      </c>
      <c r="Q4844">
        <f t="shared" si="247"/>
        <v>10</v>
      </c>
      <c r="R4844" t="str">
        <f t="shared" si="248"/>
        <v>手淘搜索-短视频</v>
      </c>
      <c r="S4844" t="s">
        <v>785</v>
      </c>
      <c r="T4844" t="s">
        <v>805</v>
      </c>
    </row>
    <row r="4845" spans="1:20" x14ac:dyDescent="0.3">
      <c r="A4845" t="s">
        <v>627</v>
      </c>
      <c r="B4845" s="16">
        <v>45577</v>
      </c>
      <c r="C4845" t="s">
        <v>3</v>
      </c>
      <c r="D4845" t="s">
        <v>143</v>
      </c>
      <c r="E4845" t="s">
        <v>180</v>
      </c>
      <c r="F4845">
        <v>16</v>
      </c>
      <c r="G4845">
        <v>15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16</v>
      </c>
      <c r="P4845">
        <f t="shared" si="246"/>
        <v>2024</v>
      </c>
      <c r="Q4845">
        <f t="shared" si="247"/>
        <v>10</v>
      </c>
      <c r="R4845" t="str">
        <f t="shared" si="248"/>
        <v>淘特其他渠道</v>
      </c>
      <c r="S4845" t="s">
        <v>785</v>
      </c>
      <c r="T4845" t="s">
        <v>805</v>
      </c>
    </row>
    <row r="4846" spans="1:20" x14ac:dyDescent="0.3">
      <c r="A4846" t="s">
        <v>627</v>
      </c>
      <c r="B4846" s="16">
        <v>45577</v>
      </c>
      <c r="C4846" t="s">
        <v>3</v>
      </c>
      <c r="D4846" t="s">
        <v>143</v>
      </c>
      <c r="E4846" t="s">
        <v>181</v>
      </c>
      <c r="F4846">
        <v>1</v>
      </c>
      <c r="G4846">
        <v>1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1</v>
      </c>
      <c r="P4846">
        <f t="shared" si="246"/>
        <v>2024</v>
      </c>
      <c r="Q4846">
        <f t="shared" si="247"/>
        <v>10</v>
      </c>
      <c r="R4846" t="str">
        <f t="shared" si="248"/>
        <v>淘特搜索</v>
      </c>
      <c r="S4846" t="s">
        <v>785</v>
      </c>
      <c r="T4846" t="s">
        <v>805</v>
      </c>
    </row>
    <row r="4847" spans="1:20" x14ac:dyDescent="0.3">
      <c r="A4847" t="s">
        <v>627</v>
      </c>
      <c r="B4847" s="16">
        <v>45577</v>
      </c>
      <c r="C4847" t="s">
        <v>2</v>
      </c>
      <c r="D4847" t="s">
        <v>55</v>
      </c>
      <c r="E4847" t="s">
        <v>54</v>
      </c>
      <c r="F4847">
        <v>972</v>
      </c>
      <c r="G4847">
        <v>896</v>
      </c>
      <c r="H4847">
        <v>2</v>
      </c>
      <c r="I4847">
        <v>1</v>
      </c>
      <c r="J4847">
        <v>0</v>
      </c>
      <c r="K4847">
        <v>0</v>
      </c>
      <c r="L4847">
        <v>0</v>
      </c>
      <c r="M4847">
        <v>0</v>
      </c>
      <c r="N4847">
        <v>27</v>
      </c>
      <c r="O4847">
        <v>367</v>
      </c>
      <c r="P4847">
        <f t="shared" si="246"/>
        <v>2024</v>
      </c>
      <c r="Q4847">
        <f t="shared" si="247"/>
        <v>10</v>
      </c>
      <c r="R4847" t="str">
        <f t="shared" si="248"/>
        <v>超级直播</v>
      </c>
      <c r="S4847" t="s">
        <v>785</v>
      </c>
      <c r="T4847" t="s">
        <v>805</v>
      </c>
    </row>
    <row r="4848" spans="1:20" x14ac:dyDescent="0.3">
      <c r="A4848" t="s">
        <v>627</v>
      </c>
      <c r="B4848" s="16">
        <v>45577</v>
      </c>
      <c r="C4848" t="s">
        <v>2</v>
      </c>
      <c r="D4848" t="s">
        <v>55</v>
      </c>
      <c r="E4848" t="s">
        <v>56</v>
      </c>
      <c r="F4848">
        <v>18</v>
      </c>
      <c r="G4848">
        <v>13</v>
      </c>
      <c r="H4848">
        <v>3</v>
      </c>
      <c r="I4848">
        <v>2</v>
      </c>
      <c r="J4848">
        <v>0</v>
      </c>
      <c r="K4848">
        <v>0</v>
      </c>
      <c r="L4848">
        <v>0</v>
      </c>
      <c r="M4848">
        <v>0</v>
      </c>
      <c r="N4848">
        <v>1</v>
      </c>
      <c r="O4848">
        <v>16</v>
      </c>
      <c r="P4848">
        <f t="shared" si="246"/>
        <v>2024</v>
      </c>
      <c r="Q4848">
        <f t="shared" si="247"/>
        <v>10</v>
      </c>
      <c r="R4848" t="str">
        <f t="shared" si="248"/>
        <v>超级短视频</v>
      </c>
      <c r="S4848" t="s">
        <v>785</v>
      </c>
      <c r="T4848" t="s">
        <v>805</v>
      </c>
    </row>
    <row r="4849" spans="1:20" x14ac:dyDescent="0.3">
      <c r="A4849" t="s">
        <v>627</v>
      </c>
      <c r="B4849" s="16">
        <v>45577</v>
      </c>
      <c r="C4849" t="s">
        <v>2</v>
      </c>
      <c r="D4849" t="s">
        <v>52</v>
      </c>
      <c r="E4849" t="s">
        <v>53</v>
      </c>
      <c r="F4849">
        <v>888</v>
      </c>
      <c r="G4849">
        <v>764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888</v>
      </c>
      <c r="O4849">
        <v>134</v>
      </c>
      <c r="P4849">
        <f t="shared" si="246"/>
        <v>2024</v>
      </c>
      <c r="Q4849">
        <f t="shared" si="247"/>
        <v>10</v>
      </c>
      <c r="R4849" t="str">
        <f t="shared" si="248"/>
        <v>Showmax</v>
      </c>
      <c r="S4849" t="s">
        <v>785</v>
      </c>
      <c r="T4849" t="s">
        <v>805</v>
      </c>
    </row>
    <row r="4850" spans="1:20" x14ac:dyDescent="0.3">
      <c r="A4850" t="s">
        <v>627</v>
      </c>
      <c r="B4850" s="16">
        <v>45577</v>
      </c>
      <c r="C4850" t="s">
        <v>2</v>
      </c>
      <c r="D4850" t="s">
        <v>52</v>
      </c>
      <c r="E4850" t="s">
        <v>59</v>
      </c>
      <c r="F4850">
        <v>1300</v>
      </c>
      <c r="G4850">
        <v>1135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1300</v>
      </c>
      <c r="O4850">
        <v>324</v>
      </c>
      <c r="P4850">
        <f t="shared" si="246"/>
        <v>2024</v>
      </c>
      <c r="Q4850">
        <f t="shared" si="247"/>
        <v>10</v>
      </c>
      <c r="R4850" t="str">
        <f t="shared" si="248"/>
        <v>品牌特秀</v>
      </c>
      <c r="S4850" t="s">
        <v>785</v>
      </c>
      <c r="T4850" t="s">
        <v>805</v>
      </c>
    </row>
    <row r="4851" spans="1:20" x14ac:dyDescent="0.3">
      <c r="A4851" t="s">
        <v>627</v>
      </c>
      <c r="B4851" s="16">
        <v>45577</v>
      </c>
      <c r="C4851" t="s">
        <v>2</v>
      </c>
      <c r="D4851" t="s">
        <v>52</v>
      </c>
      <c r="E4851" t="s">
        <v>183</v>
      </c>
      <c r="F4851">
        <v>641</v>
      </c>
      <c r="G4851">
        <v>529</v>
      </c>
      <c r="H4851">
        <v>18</v>
      </c>
      <c r="I4851">
        <v>4</v>
      </c>
      <c r="J4851">
        <v>11175</v>
      </c>
      <c r="K4851">
        <v>3</v>
      </c>
      <c r="L4851">
        <v>11175</v>
      </c>
      <c r="M4851">
        <v>3</v>
      </c>
      <c r="N4851">
        <v>641</v>
      </c>
      <c r="O4851">
        <v>359</v>
      </c>
      <c r="P4851">
        <f t="shared" si="246"/>
        <v>2024</v>
      </c>
      <c r="Q4851">
        <f t="shared" si="247"/>
        <v>10</v>
      </c>
      <c r="R4851" t="str">
        <f t="shared" si="248"/>
        <v>品销宝-品牌专区</v>
      </c>
      <c r="S4851" t="s">
        <v>785</v>
      </c>
      <c r="T4851" t="s">
        <v>805</v>
      </c>
    </row>
    <row r="4852" spans="1:20" x14ac:dyDescent="0.3">
      <c r="A4852" t="s">
        <v>627</v>
      </c>
      <c r="B4852" s="16">
        <v>45577</v>
      </c>
      <c r="C4852" t="s">
        <v>2</v>
      </c>
      <c r="D4852" t="s">
        <v>52</v>
      </c>
      <c r="E4852" t="s">
        <v>58</v>
      </c>
      <c r="F4852">
        <v>1</v>
      </c>
      <c r="G4852">
        <v>1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1</v>
      </c>
      <c r="O4852">
        <v>0</v>
      </c>
      <c r="P4852">
        <f t="shared" si="246"/>
        <v>2024</v>
      </c>
      <c r="Q4852">
        <f t="shared" si="247"/>
        <v>10</v>
      </c>
      <c r="R4852" t="str">
        <f t="shared" si="248"/>
        <v>超级全域通</v>
      </c>
      <c r="S4852" t="s">
        <v>785</v>
      </c>
      <c r="T4852" t="s">
        <v>805</v>
      </c>
    </row>
    <row r="4853" spans="1:20" x14ac:dyDescent="0.3">
      <c r="A4853" t="s">
        <v>627</v>
      </c>
      <c r="B4853" s="16">
        <v>45577</v>
      </c>
      <c r="C4853" t="s">
        <v>2</v>
      </c>
      <c r="D4853" t="s">
        <v>57</v>
      </c>
      <c r="E4853" t="s">
        <v>65</v>
      </c>
      <c r="F4853">
        <v>4076</v>
      </c>
      <c r="G4853">
        <v>3616</v>
      </c>
      <c r="H4853">
        <v>48</v>
      </c>
      <c r="I4853">
        <v>29</v>
      </c>
      <c r="J4853">
        <v>54205</v>
      </c>
      <c r="K4853">
        <v>10</v>
      </c>
      <c r="L4853">
        <v>46655</v>
      </c>
      <c r="M4853">
        <v>8</v>
      </c>
      <c r="N4853">
        <v>301</v>
      </c>
      <c r="O4853">
        <v>4042</v>
      </c>
      <c r="P4853">
        <f t="shared" si="246"/>
        <v>2024</v>
      </c>
      <c r="Q4853">
        <f t="shared" si="247"/>
        <v>10</v>
      </c>
      <c r="R4853" t="str">
        <f t="shared" si="248"/>
        <v>直通车</v>
      </c>
      <c r="S4853" t="s">
        <v>785</v>
      </c>
      <c r="T4853" t="s">
        <v>805</v>
      </c>
    </row>
    <row r="4854" spans="1:20" x14ac:dyDescent="0.3">
      <c r="A4854" t="s">
        <v>627</v>
      </c>
      <c r="B4854" s="16">
        <v>45577</v>
      </c>
      <c r="C4854" t="s">
        <v>2</v>
      </c>
      <c r="D4854" t="s">
        <v>57</v>
      </c>
      <c r="E4854" t="s">
        <v>63</v>
      </c>
      <c r="F4854">
        <v>3553</v>
      </c>
      <c r="G4854">
        <v>1809</v>
      </c>
      <c r="H4854">
        <v>58</v>
      </c>
      <c r="I4854">
        <v>30</v>
      </c>
      <c r="J4854">
        <v>79523.09</v>
      </c>
      <c r="K4854">
        <v>14</v>
      </c>
      <c r="L4854">
        <v>64450.09</v>
      </c>
      <c r="M4854">
        <v>13</v>
      </c>
      <c r="N4854">
        <v>119</v>
      </c>
      <c r="O4854">
        <v>3548</v>
      </c>
      <c r="P4854">
        <f t="shared" si="246"/>
        <v>2024</v>
      </c>
      <c r="Q4854">
        <f t="shared" si="247"/>
        <v>10</v>
      </c>
      <c r="R4854" t="str">
        <f t="shared" si="248"/>
        <v>万相台</v>
      </c>
      <c r="S4854" t="s">
        <v>785</v>
      </c>
      <c r="T4854" t="s">
        <v>805</v>
      </c>
    </row>
    <row r="4855" spans="1:20" x14ac:dyDescent="0.3">
      <c r="A4855" t="s">
        <v>627</v>
      </c>
      <c r="B4855" s="16">
        <v>45577</v>
      </c>
      <c r="C4855" t="s">
        <v>2</v>
      </c>
      <c r="D4855" t="s">
        <v>57</v>
      </c>
      <c r="E4855" t="s">
        <v>64</v>
      </c>
      <c r="F4855">
        <v>6207</v>
      </c>
      <c r="G4855">
        <v>3323</v>
      </c>
      <c r="H4855">
        <v>183</v>
      </c>
      <c r="I4855">
        <v>97</v>
      </c>
      <c r="J4855">
        <v>149323.74</v>
      </c>
      <c r="K4855">
        <v>22</v>
      </c>
      <c r="L4855">
        <v>62723.74</v>
      </c>
      <c r="M4855">
        <v>17</v>
      </c>
      <c r="N4855">
        <v>558</v>
      </c>
      <c r="O4855">
        <v>6204</v>
      </c>
      <c r="P4855">
        <f t="shared" si="246"/>
        <v>2024</v>
      </c>
      <c r="Q4855">
        <f t="shared" si="247"/>
        <v>10</v>
      </c>
      <c r="R4855" t="str">
        <f t="shared" si="248"/>
        <v>引力魔方</v>
      </c>
      <c r="S4855" t="s">
        <v>785</v>
      </c>
      <c r="T4855" t="s">
        <v>805</v>
      </c>
    </row>
    <row r="4856" spans="1:20" x14ac:dyDescent="0.3">
      <c r="A4856" t="s">
        <v>627</v>
      </c>
      <c r="B4856" s="16">
        <v>45577</v>
      </c>
      <c r="C4856" t="s">
        <v>2</v>
      </c>
      <c r="D4856" t="s">
        <v>4</v>
      </c>
      <c r="E4856" t="s">
        <v>41</v>
      </c>
      <c r="F4856">
        <v>2</v>
      </c>
      <c r="G4856">
        <v>2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2</v>
      </c>
      <c r="P4856">
        <f t="shared" si="246"/>
        <v>2024</v>
      </c>
      <c r="Q4856">
        <f t="shared" si="247"/>
        <v>10</v>
      </c>
      <c r="R4856" t="str">
        <f t="shared" si="248"/>
        <v>流量宝</v>
      </c>
      <c r="S4856" t="s">
        <v>785</v>
      </c>
      <c r="T4856" t="s">
        <v>805</v>
      </c>
    </row>
    <row r="4857" spans="1:20" x14ac:dyDescent="0.3">
      <c r="A4857" t="s">
        <v>627</v>
      </c>
      <c r="B4857" s="16">
        <v>45577</v>
      </c>
      <c r="C4857" t="s">
        <v>2</v>
      </c>
      <c r="D4857" t="s">
        <v>4</v>
      </c>
      <c r="E4857" t="s">
        <v>43</v>
      </c>
      <c r="F4857">
        <v>1121</v>
      </c>
      <c r="G4857">
        <v>938</v>
      </c>
      <c r="H4857">
        <v>94</v>
      </c>
      <c r="I4857">
        <v>1</v>
      </c>
      <c r="J4857">
        <v>11630</v>
      </c>
      <c r="K4857">
        <v>2</v>
      </c>
      <c r="L4857">
        <v>11630</v>
      </c>
      <c r="M4857">
        <v>2</v>
      </c>
      <c r="N4857">
        <v>19</v>
      </c>
      <c r="O4857">
        <v>1109</v>
      </c>
      <c r="P4857">
        <f t="shared" si="246"/>
        <v>2024</v>
      </c>
      <c r="Q4857">
        <f t="shared" si="247"/>
        <v>10</v>
      </c>
      <c r="R4857" t="str">
        <f t="shared" si="248"/>
        <v>淘宝客</v>
      </c>
      <c r="S4857" t="s">
        <v>785</v>
      </c>
      <c r="T4857" t="s">
        <v>805</v>
      </c>
    </row>
    <row r="4858" spans="1:20" x14ac:dyDescent="0.3">
      <c r="A4858" t="s">
        <v>627</v>
      </c>
      <c r="B4858" s="16">
        <v>45576</v>
      </c>
      <c r="C4858" t="s">
        <v>3</v>
      </c>
      <c r="D4858" t="s">
        <v>114</v>
      </c>
      <c r="E4858" t="s">
        <v>159</v>
      </c>
      <c r="F4858">
        <v>1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f t="shared" si="246"/>
        <v>2024</v>
      </c>
      <c r="Q4858">
        <f t="shared" si="247"/>
        <v>10</v>
      </c>
      <c r="R4858" t="str">
        <f t="shared" si="248"/>
        <v>主会场</v>
      </c>
      <c r="S4858" t="s">
        <v>785</v>
      </c>
    </row>
    <row r="4859" spans="1:20" x14ac:dyDescent="0.3">
      <c r="A4859" t="s">
        <v>627</v>
      </c>
      <c r="B4859" s="16">
        <v>45576</v>
      </c>
      <c r="C4859" t="s">
        <v>3</v>
      </c>
      <c r="D4859" t="s">
        <v>120</v>
      </c>
      <c r="E4859" t="s">
        <v>163</v>
      </c>
      <c r="F4859">
        <v>29</v>
      </c>
      <c r="G4859">
        <v>15</v>
      </c>
      <c r="H4859">
        <v>1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13</v>
      </c>
      <c r="O4859">
        <v>23</v>
      </c>
      <c r="P4859">
        <f t="shared" si="246"/>
        <v>2024</v>
      </c>
      <c r="Q4859">
        <f t="shared" si="247"/>
        <v>10</v>
      </c>
      <c r="R4859" t="str">
        <f t="shared" si="248"/>
        <v>手猫免费其他</v>
      </c>
      <c r="S4859" t="s">
        <v>785</v>
      </c>
    </row>
    <row r="4860" spans="1:20" x14ac:dyDescent="0.3">
      <c r="A4860" t="s">
        <v>627</v>
      </c>
      <c r="B4860" s="16">
        <v>45576</v>
      </c>
      <c r="C4860" t="s">
        <v>3</v>
      </c>
      <c r="D4860" t="s">
        <v>120</v>
      </c>
      <c r="E4860" t="s">
        <v>164</v>
      </c>
      <c r="F4860">
        <v>19</v>
      </c>
      <c r="G4860">
        <v>8</v>
      </c>
      <c r="H4860">
        <v>4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1</v>
      </c>
      <c r="O4860">
        <v>19</v>
      </c>
      <c r="P4860">
        <f t="shared" si="246"/>
        <v>2024</v>
      </c>
      <c r="Q4860">
        <f t="shared" si="247"/>
        <v>10</v>
      </c>
      <c r="R4860" t="str">
        <f t="shared" si="248"/>
        <v>手猫其他店铺</v>
      </c>
      <c r="S4860" t="s">
        <v>785</v>
      </c>
    </row>
    <row r="4861" spans="1:20" x14ac:dyDescent="0.3">
      <c r="A4861" t="s">
        <v>627</v>
      </c>
      <c r="B4861" s="16">
        <v>45576</v>
      </c>
      <c r="C4861" t="s">
        <v>3</v>
      </c>
      <c r="D4861" t="s">
        <v>120</v>
      </c>
      <c r="E4861" t="s">
        <v>165</v>
      </c>
      <c r="F4861">
        <v>12</v>
      </c>
      <c r="G4861">
        <v>6</v>
      </c>
      <c r="H4861">
        <v>1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1</v>
      </c>
      <c r="O4861">
        <v>12</v>
      </c>
      <c r="P4861">
        <f t="shared" si="246"/>
        <v>2024</v>
      </c>
      <c r="Q4861">
        <f t="shared" si="247"/>
        <v>10</v>
      </c>
      <c r="R4861" t="str">
        <f t="shared" si="248"/>
        <v>手猫商品详情</v>
      </c>
      <c r="S4861" t="s">
        <v>785</v>
      </c>
    </row>
    <row r="4862" spans="1:20" x14ac:dyDescent="0.3">
      <c r="A4862" t="s">
        <v>627</v>
      </c>
      <c r="B4862" s="16">
        <v>45576</v>
      </c>
      <c r="C4862" t="s">
        <v>3</v>
      </c>
      <c r="D4862" t="s">
        <v>120</v>
      </c>
      <c r="E4862" t="s">
        <v>166</v>
      </c>
      <c r="F4862">
        <v>42</v>
      </c>
      <c r="G4862">
        <v>30</v>
      </c>
      <c r="H4862">
        <v>0</v>
      </c>
      <c r="I4862">
        <v>0</v>
      </c>
      <c r="J4862">
        <v>7750</v>
      </c>
      <c r="K4862">
        <v>1</v>
      </c>
      <c r="L4862">
        <v>0</v>
      </c>
      <c r="M4862">
        <v>0</v>
      </c>
      <c r="N4862">
        <v>24</v>
      </c>
      <c r="O4862">
        <v>30</v>
      </c>
      <c r="P4862">
        <f t="shared" si="246"/>
        <v>2024</v>
      </c>
      <c r="Q4862">
        <f t="shared" si="247"/>
        <v>10</v>
      </c>
      <c r="R4862" t="str">
        <f t="shared" si="248"/>
        <v>手猫搜索</v>
      </c>
      <c r="S4862" t="s">
        <v>785</v>
      </c>
    </row>
    <row r="4863" spans="1:20" x14ac:dyDescent="0.3">
      <c r="A4863" t="s">
        <v>627</v>
      </c>
      <c r="B4863" s="16">
        <v>45576</v>
      </c>
      <c r="C4863" t="s">
        <v>3</v>
      </c>
      <c r="D4863" t="s">
        <v>120</v>
      </c>
      <c r="E4863" t="s">
        <v>167</v>
      </c>
      <c r="F4863">
        <v>1</v>
      </c>
      <c r="G4863">
        <v>0</v>
      </c>
      <c r="H4863">
        <v>1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1</v>
      </c>
      <c r="P4863">
        <f t="shared" si="246"/>
        <v>2024</v>
      </c>
      <c r="Q4863">
        <f t="shared" si="247"/>
        <v>10</v>
      </c>
      <c r="R4863" t="str">
        <f t="shared" si="248"/>
        <v>手猫旺信聊天</v>
      </c>
      <c r="S4863" t="s">
        <v>785</v>
      </c>
    </row>
    <row r="4864" spans="1:20" x14ac:dyDescent="0.3">
      <c r="A4864" t="s">
        <v>627</v>
      </c>
      <c r="B4864" s="16">
        <v>45576</v>
      </c>
      <c r="C4864" t="s">
        <v>3</v>
      </c>
      <c r="D4864" t="s">
        <v>120</v>
      </c>
      <c r="E4864" t="s">
        <v>192</v>
      </c>
      <c r="F4864">
        <v>2</v>
      </c>
      <c r="G4864">
        <v>1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2</v>
      </c>
      <c r="P4864">
        <f t="shared" si="246"/>
        <v>2024</v>
      </c>
      <c r="Q4864">
        <f t="shared" si="247"/>
        <v>10</v>
      </c>
      <c r="R4864" t="str">
        <f t="shared" si="248"/>
        <v>手猫消息中心</v>
      </c>
      <c r="S4864" t="s">
        <v>785</v>
      </c>
    </row>
    <row r="4865" spans="1:19" x14ac:dyDescent="0.3">
      <c r="A4865" t="s">
        <v>627</v>
      </c>
      <c r="B4865" s="16">
        <v>45576</v>
      </c>
      <c r="C4865" t="s">
        <v>3</v>
      </c>
      <c r="D4865" t="s">
        <v>120</v>
      </c>
      <c r="E4865" t="s">
        <v>168</v>
      </c>
      <c r="F4865">
        <v>204</v>
      </c>
      <c r="G4865">
        <v>137</v>
      </c>
      <c r="H4865">
        <v>1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8</v>
      </c>
      <c r="O4865">
        <v>204</v>
      </c>
      <c r="P4865">
        <f t="shared" si="246"/>
        <v>2024</v>
      </c>
      <c r="Q4865">
        <f t="shared" si="247"/>
        <v>10</v>
      </c>
      <c r="R4865" t="str">
        <f t="shared" si="248"/>
        <v>手猫首页</v>
      </c>
      <c r="S4865" t="s">
        <v>785</v>
      </c>
    </row>
    <row r="4866" spans="1:19" x14ac:dyDescent="0.3">
      <c r="A4866" t="s">
        <v>627</v>
      </c>
      <c r="B4866" s="16">
        <v>45576</v>
      </c>
      <c r="C4866" t="s">
        <v>3</v>
      </c>
      <c r="D4866" t="s">
        <v>123</v>
      </c>
      <c r="E4866" t="s">
        <v>169</v>
      </c>
      <c r="F4866">
        <v>99</v>
      </c>
      <c r="G4866">
        <v>36</v>
      </c>
      <c r="H4866">
        <v>7</v>
      </c>
      <c r="I4866">
        <v>1</v>
      </c>
      <c r="J4866">
        <v>0</v>
      </c>
      <c r="K4866">
        <v>0</v>
      </c>
      <c r="L4866">
        <v>0</v>
      </c>
      <c r="M4866">
        <v>0</v>
      </c>
      <c r="N4866">
        <v>29</v>
      </c>
      <c r="O4866">
        <v>92</v>
      </c>
      <c r="P4866">
        <f t="shared" si="246"/>
        <v>2024</v>
      </c>
      <c r="Q4866">
        <f t="shared" si="247"/>
        <v>10</v>
      </c>
      <c r="R4866" t="str">
        <f t="shared" si="248"/>
        <v>商品详情页头图推荐</v>
      </c>
      <c r="S4866" t="s">
        <v>785</v>
      </c>
    </row>
    <row r="4867" spans="1:19" x14ac:dyDescent="0.3">
      <c r="A4867" t="s">
        <v>627</v>
      </c>
      <c r="B4867" s="16">
        <v>45576</v>
      </c>
      <c r="C4867" t="s">
        <v>3</v>
      </c>
      <c r="D4867" t="s">
        <v>123</v>
      </c>
      <c r="E4867" t="s">
        <v>170</v>
      </c>
      <c r="F4867">
        <v>42</v>
      </c>
      <c r="G4867">
        <v>27</v>
      </c>
      <c r="H4867">
        <v>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37</v>
      </c>
      <c r="O4867">
        <v>13</v>
      </c>
      <c r="P4867">
        <f t="shared" si="246"/>
        <v>2024</v>
      </c>
      <c r="Q4867">
        <f t="shared" si="247"/>
        <v>10</v>
      </c>
      <c r="R4867" t="str">
        <f t="shared" si="248"/>
        <v>店铺超链</v>
      </c>
      <c r="S4867" t="s">
        <v>785</v>
      </c>
    </row>
    <row r="4868" spans="1:19" x14ac:dyDescent="0.3">
      <c r="A4868" t="s">
        <v>627</v>
      </c>
      <c r="B4868" s="16">
        <v>45576</v>
      </c>
      <c r="C4868" t="s">
        <v>3</v>
      </c>
      <c r="D4868" t="s">
        <v>127</v>
      </c>
      <c r="E4868" t="s">
        <v>171</v>
      </c>
      <c r="F4868">
        <v>206</v>
      </c>
      <c r="G4868">
        <v>138</v>
      </c>
      <c r="H4868">
        <v>5</v>
      </c>
      <c r="I4868">
        <v>1</v>
      </c>
      <c r="J4868">
        <v>0</v>
      </c>
      <c r="K4868">
        <v>0</v>
      </c>
      <c r="L4868">
        <v>0</v>
      </c>
      <c r="M4868">
        <v>0</v>
      </c>
      <c r="N4868">
        <v>138</v>
      </c>
      <c r="O4868">
        <v>89</v>
      </c>
      <c r="P4868">
        <f t="shared" si="246"/>
        <v>2024</v>
      </c>
      <c r="Q4868">
        <f t="shared" si="247"/>
        <v>10</v>
      </c>
      <c r="R4868" t="str">
        <f t="shared" si="248"/>
        <v>其他猜你喜欢</v>
      </c>
      <c r="S4868" t="s">
        <v>785</v>
      </c>
    </row>
    <row r="4869" spans="1:19" x14ac:dyDescent="0.3">
      <c r="A4869" t="s">
        <v>627</v>
      </c>
      <c r="B4869" s="16">
        <v>45576</v>
      </c>
      <c r="C4869" t="s">
        <v>3</v>
      </c>
      <c r="D4869" t="s">
        <v>127</v>
      </c>
      <c r="E4869" t="s">
        <v>172</v>
      </c>
      <c r="F4869">
        <v>7</v>
      </c>
      <c r="G4869">
        <v>6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6</v>
      </c>
      <c r="P4869">
        <f t="shared" si="246"/>
        <v>2024</v>
      </c>
      <c r="Q4869">
        <f t="shared" si="247"/>
        <v>10</v>
      </c>
      <c r="R4869" t="str">
        <f t="shared" si="248"/>
        <v>购中推荐</v>
      </c>
      <c r="S4869" t="s">
        <v>785</v>
      </c>
    </row>
    <row r="4870" spans="1:19" x14ac:dyDescent="0.3">
      <c r="A4870" t="s">
        <v>627</v>
      </c>
      <c r="B4870" s="16">
        <v>45576</v>
      </c>
      <c r="C4870" t="s">
        <v>3</v>
      </c>
      <c r="D4870" t="s">
        <v>127</v>
      </c>
      <c r="E4870" t="s">
        <v>173</v>
      </c>
      <c r="F4870">
        <v>17</v>
      </c>
      <c r="G4870">
        <v>15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2</v>
      </c>
      <c r="O4870">
        <v>8</v>
      </c>
      <c r="P4870">
        <f t="shared" si="246"/>
        <v>2024</v>
      </c>
      <c r="Q4870">
        <f t="shared" si="247"/>
        <v>10</v>
      </c>
      <c r="R4870" t="str">
        <f t="shared" si="248"/>
        <v>购后推荐</v>
      </c>
      <c r="S4870" t="s">
        <v>785</v>
      </c>
    </row>
    <row r="4871" spans="1:19" x14ac:dyDescent="0.3">
      <c r="A4871" t="s">
        <v>627</v>
      </c>
      <c r="B4871" s="16">
        <v>45576</v>
      </c>
      <c r="C4871" t="s">
        <v>3</v>
      </c>
      <c r="D4871" t="s">
        <v>127</v>
      </c>
      <c r="E4871" t="s">
        <v>174</v>
      </c>
      <c r="F4871">
        <v>883</v>
      </c>
      <c r="G4871">
        <v>645</v>
      </c>
      <c r="H4871">
        <v>4</v>
      </c>
      <c r="I4871">
        <v>8</v>
      </c>
      <c r="J4871">
        <v>0</v>
      </c>
      <c r="K4871">
        <v>0</v>
      </c>
      <c r="L4871">
        <v>0</v>
      </c>
      <c r="M4871">
        <v>0</v>
      </c>
      <c r="N4871">
        <v>39</v>
      </c>
      <c r="O4871">
        <v>883</v>
      </c>
      <c r="P4871">
        <f t="shared" si="246"/>
        <v>2024</v>
      </c>
      <c r="Q4871">
        <f t="shared" si="247"/>
        <v>10</v>
      </c>
      <c r="R4871" t="str">
        <f t="shared" si="248"/>
        <v>首页推荐-微详情</v>
      </c>
      <c r="S4871" t="s">
        <v>785</v>
      </c>
    </row>
    <row r="4872" spans="1:19" x14ac:dyDescent="0.3">
      <c r="A4872" t="s">
        <v>627</v>
      </c>
      <c r="B4872" s="16">
        <v>45576</v>
      </c>
      <c r="C4872" t="s">
        <v>3</v>
      </c>
      <c r="D4872" t="s">
        <v>127</v>
      </c>
      <c r="E4872" t="s">
        <v>175</v>
      </c>
      <c r="F4872">
        <v>4</v>
      </c>
      <c r="G4872">
        <v>3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f t="shared" si="246"/>
        <v>2024</v>
      </c>
      <c r="Q4872">
        <f t="shared" si="247"/>
        <v>10</v>
      </c>
      <c r="R4872" t="str">
        <f t="shared" si="248"/>
        <v>首页推荐-直播</v>
      </c>
      <c r="S4872" t="s">
        <v>785</v>
      </c>
    </row>
    <row r="4873" spans="1:19" x14ac:dyDescent="0.3">
      <c r="A4873" t="s">
        <v>627</v>
      </c>
      <c r="B4873" s="16">
        <v>45576</v>
      </c>
      <c r="C4873" t="s">
        <v>3</v>
      </c>
      <c r="D4873" t="s">
        <v>127</v>
      </c>
      <c r="E4873" t="s">
        <v>176</v>
      </c>
      <c r="F4873">
        <v>233</v>
      </c>
      <c r="G4873">
        <v>171</v>
      </c>
      <c r="H4873">
        <v>2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7</v>
      </c>
      <c r="O4873">
        <v>25</v>
      </c>
      <c r="P4873">
        <f t="shared" si="246"/>
        <v>2024</v>
      </c>
      <c r="Q4873">
        <f t="shared" si="247"/>
        <v>10</v>
      </c>
      <c r="R4873" t="str">
        <f t="shared" si="248"/>
        <v>首页推荐-短视频</v>
      </c>
      <c r="S4873" t="s">
        <v>785</v>
      </c>
    </row>
    <row r="4874" spans="1:19" x14ac:dyDescent="0.3">
      <c r="A4874" t="s">
        <v>627</v>
      </c>
      <c r="B4874" s="16">
        <v>45576</v>
      </c>
      <c r="C4874" t="s">
        <v>3</v>
      </c>
      <c r="D4874" t="s">
        <v>128</v>
      </c>
      <c r="E4874" t="s">
        <v>177</v>
      </c>
      <c r="F4874">
        <v>457</v>
      </c>
      <c r="G4874">
        <v>373</v>
      </c>
      <c r="H4874">
        <v>11</v>
      </c>
      <c r="I4874">
        <v>4</v>
      </c>
      <c r="J4874">
        <v>5750</v>
      </c>
      <c r="K4874">
        <v>1</v>
      </c>
      <c r="L4874">
        <v>5750</v>
      </c>
      <c r="M4874">
        <v>1</v>
      </c>
      <c r="N4874">
        <v>207</v>
      </c>
      <c r="O4874">
        <v>340</v>
      </c>
      <c r="P4874">
        <f t="shared" si="246"/>
        <v>2024</v>
      </c>
      <c r="Q4874">
        <f t="shared" si="247"/>
        <v>10</v>
      </c>
      <c r="R4874" t="str">
        <f t="shared" si="248"/>
        <v>手淘搜索-商品及其他</v>
      </c>
      <c r="S4874" t="s">
        <v>785</v>
      </c>
    </row>
    <row r="4875" spans="1:19" x14ac:dyDescent="0.3">
      <c r="A4875" t="s">
        <v>627</v>
      </c>
      <c r="B4875" s="16">
        <v>45576</v>
      </c>
      <c r="C4875" t="s">
        <v>3</v>
      </c>
      <c r="D4875" t="s">
        <v>128</v>
      </c>
      <c r="E4875" t="s">
        <v>179</v>
      </c>
      <c r="F4875">
        <v>19</v>
      </c>
      <c r="G4875">
        <v>14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19</v>
      </c>
      <c r="P4875">
        <f t="shared" si="246"/>
        <v>2024</v>
      </c>
      <c r="Q4875">
        <f t="shared" si="247"/>
        <v>10</v>
      </c>
      <c r="R4875" t="str">
        <f t="shared" si="248"/>
        <v>手淘搜索-短视频</v>
      </c>
      <c r="S4875" t="s">
        <v>785</v>
      </c>
    </row>
    <row r="4876" spans="1:19" x14ac:dyDescent="0.3">
      <c r="A4876" t="s">
        <v>627</v>
      </c>
      <c r="B4876" s="16">
        <v>45576</v>
      </c>
      <c r="C4876" t="s">
        <v>3</v>
      </c>
      <c r="D4876" t="s">
        <v>143</v>
      </c>
      <c r="E4876" t="s">
        <v>180</v>
      </c>
      <c r="F4876">
        <v>28</v>
      </c>
      <c r="G4876">
        <v>24</v>
      </c>
      <c r="H4876">
        <v>2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28</v>
      </c>
      <c r="P4876">
        <f t="shared" si="246"/>
        <v>2024</v>
      </c>
      <c r="Q4876">
        <f t="shared" si="247"/>
        <v>10</v>
      </c>
      <c r="R4876" t="str">
        <f t="shared" si="248"/>
        <v>淘特其他渠道</v>
      </c>
      <c r="S4876" t="s">
        <v>785</v>
      </c>
    </row>
    <row r="4877" spans="1:19" x14ac:dyDescent="0.3">
      <c r="A4877" t="s">
        <v>627</v>
      </c>
      <c r="B4877" s="16">
        <v>45576</v>
      </c>
      <c r="C4877" t="s">
        <v>3</v>
      </c>
      <c r="D4877" t="s">
        <v>143</v>
      </c>
      <c r="E4877" t="s">
        <v>197</v>
      </c>
      <c r="F4877">
        <v>1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1</v>
      </c>
      <c r="P4877">
        <f t="shared" si="246"/>
        <v>2024</v>
      </c>
      <c r="Q4877">
        <f t="shared" si="247"/>
        <v>10</v>
      </c>
      <c r="R4877" t="str">
        <f t="shared" si="248"/>
        <v>淘特推荐</v>
      </c>
      <c r="S4877" t="s">
        <v>785</v>
      </c>
    </row>
    <row r="4878" spans="1:19" x14ac:dyDescent="0.3">
      <c r="A4878" t="s">
        <v>627</v>
      </c>
      <c r="B4878" s="16">
        <v>45576</v>
      </c>
      <c r="C4878" t="s">
        <v>3</v>
      </c>
      <c r="D4878" t="s">
        <v>143</v>
      </c>
      <c r="E4878" t="s">
        <v>181</v>
      </c>
      <c r="F4878">
        <v>2</v>
      </c>
      <c r="G4878">
        <v>2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2</v>
      </c>
      <c r="P4878">
        <f t="shared" si="246"/>
        <v>2024</v>
      </c>
      <c r="Q4878">
        <f t="shared" si="247"/>
        <v>10</v>
      </c>
      <c r="R4878" t="str">
        <f t="shared" si="248"/>
        <v>淘特搜索</v>
      </c>
      <c r="S4878" t="s">
        <v>785</v>
      </c>
    </row>
    <row r="4879" spans="1:19" x14ac:dyDescent="0.3">
      <c r="A4879" t="s">
        <v>627</v>
      </c>
      <c r="B4879" s="16">
        <v>45576</v>
      </c>
      <c r="C4879" t="s">
        <v>3</v>
      </c>
      <c r="D4879" t="s">
        <v>143</v>
      </c>
      <c r="E4879" t="s">
        <v>224</v>
      </c>
      <c r="F4879">
        <v>1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1</v>
      </c>
      <c r="P4879">
        <f t="shared" si="246"/>
        <v>2024</v>
      </c>
      <c r="Q4879">
        <f t="shared" si="247"/>
        <v>10</v>
      </c>
      <c r="R4879" t="str">
        <f t="shared" si="248"/>
        <v>淘特自主访问</v>
      </c>
      <c r="S4879" t="s">
        <v>785</v>
      </c>
    </row>
    <row r="4880" spans="1:19" x14ac:dyDescent="0.3">
      <c r="A4880" t="s">
        <v>627</v>
      </c>
      <c r="B4880" s="16">
        <v>45576</v>
      </c>
      <c r="C4880" t="s">
        <v>2</v>
      </c>
      <c r="D4880" t="s">
        <v>55</v>
      </c>
      <c r="E4880" t="s">
        <v>54</v>
      </c>
      <c r="F4880">
        <v>1</v>
      </c>
      <c r="G4880">
        <v>1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f t="shared" si="246"/>
        <v>2024</v>
      </c>
      <c r="Q4880">
        <f t="shared" si="247"/>
        <v>10</v>
      </c>
      <c r="R4880" t="str">
        <f t="shared" si="248"/>
        <v>超级直播</v>
      </c>
      <c r="S4880" t="s">
        <v>785</v>
      </c>
    </row>
    <row r="4881" spans="1:19" x14ac:dyDescent="0.3">
      <c r="A4881" t="s">
        <v>627</v>
      </c>
      <c r="B4881" s="16">
        <v>45576</v>
      </c>
      <c r="C4881" t="s">
        <v>2</v>
      </c>
      <c r="D4881" t="s">
        <v>55</v>
      </c>
      <c r="E4881" t="s">
        <v>56</v>
      </c>
      <c r="F4881">
        <v>20</v>
      </c>
      <c r="G4881">
        <v>16</v>
      </c>
      <c r="H4881">
        <v>5</v>
      </c>
      <c r="I4881">
        <v>4</v>
      </c>
      <c r="J4881">
        <v>0</v>
      </c>
      <c r="K4881">
        <v>0</v>
      </c>
      <c r="L4881">
        <v>0</v>
      </c>
      <c r="M4881">
        <v>0</v>
      </c>
      <c r="N4881">
        <v>1</v>
      </c>
      <c r="O4881">
        <v>19</v>
      </c>
      <c r="P4881">
        <f t="shared" si="246"/>
        <v>2024</v>
      </c>
      <c r="Q4881">
        <f t="shared" si="247"/>
        <v>10</v>
      </c>
      <c r="R4881" t="str">
        <f t="shared" si="248"/>
        <v>超级短视频</v>
      </c>
      <c r="S4881" t="s">
        <v>785</v>
      </c>
    </row>
    <row r="4882" spans="1:19" x14ac:dyDescent="0.3">
      <c r="A4882" t="s">
        <v>627</v>
      </c>
      <c r="B4882" s="16">
        <v>45576</v>
      </c>
      <c r="C4882" t="s">
        <v>2</v>
      </c>
      <c r="D4882" t="s">
        <v>52</v>
      </c>
      <c r="E4882" t="s">
        <v>53</v>
      </c>
      <c r="F4882">
        <v>1116</v>
      </c>
      <c r="G4882">
        <v>984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1116</v>
      </c>
      <c r="O4882">
        <v>178</v>
      </c>
      <c r="P4882">
        <f t="shared" si="246"/>
        <v>2024</v>
      </c>
      <c r="Q4882">
        <f t="shared" si="247"/>
        <v>10</v>
      </c>
      <c r="R4882" t="str">
        <f t="shared" si="248"/>
        <v>Showmax</v>
      </c>
      <c r="S4882" t="s">
        <v>785</v>
      </c>
    </row>
    <row r="4883" spans="1:19" x14ac:dyDescent="0.3">
      <c r="A4883" t="s">
        <v>627</v>
      </c>
      <c r="B4883" s="16">
        <v>45576</v>
      </c>
      <c r="C4883" t="s">
        <v>2</v>
      </c>
      <c r="D4883" t="s">
        <v>52</v>
      </c>
      <c r="E4883" t="s">
        <v>59</v>
      </c>
      <c r="F4883">
        <v>1575</v>
      </c>
      <c r="G4883">
        <v>1390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1575</v>
      </c>
      <c r="O4883">
        <v>399</v>
      </c>
      <c r="P4883">
        <f t="shared" si="246"/>
        <v>2024</v>
      </c>
      <c r="Q4883">
        <f t="shared" si="247"/>
        <v>10</v>
      </c>
      <c r="R4883" t="str">
        <f t="shared" si="248"/>
        <v>品牌特秀</v>
      </c>
      <c r="S4883" t="s">
        <v>785</v>
      </c>
    </row>
    <row r="4884" spans="1:19" x14ac:dyDescent="0.3">
      <c r="A4884" t="s">
        <v>627</v>
      </c>
      <c r="B4884" s="16">
        <v>45576</v>
      </c>
      <c r="C4884" t="s">
        <v>2</v>
      </c>
      <c r="D4884" t="s">
        <v>52</v>
      </c>
      <c r="E4884" t="s">
        <v>183</v>
      </c>
      <c r="F4884">
        <v>581</v>
      </c>
      <c r="G4884">
        <v>492</v>
      </c>
      <c r="H4884">
        <v>14</v>
      </c>
      <c r="I4884">
        <v>2</v>
      </c>
      <c r="J4884">
        <v>0</v>
      </c>
      <c r="K4884">
        <v>0</v>
      </c>
      <c r="L4884">
        <v>0</v>
      </c>
      <c r="M4884">
        <v>0</v>
      </c>
      <c r="N4884">
        <v>581</v>
      </c>
      <c r="O4884">
        <v>306</v>
      </c>
      <c r="P4884">
        <f t="shared" si="246"/>
        <v>2024</v>
      </c>
      <c r="Q4884">
        <f t="shared" si="247"/>
        <v>10</v>
      </c>
      <c r="R4884" t="str">
        <f t="shared" si="248"/>
        <v>品销宝-品牌专区</v>
      </c>
      <c r="S4884" t="s">
        <v>785</v>
      </c>
    </row>
    <row r="4885" spans="1:19" x14ac:dyDescent="0.3">
      <c r="A4885" t="s">
        <v>627</v>
      </c>
      <c r="B4885" s="16">
        <v>45576</v>
      </c>
      <c r="C4885" t="s">
        <v>2</v>
      </c>
      <c r="D4885" t="s">
        <v>57</v>
      </c>
      <c r="E4885" t="s">
        <v>65</v>
      </c>
      <c r="F4885">
        <v>5078</v>
      </c>
      <c r="G4885">
        <v>4530</v>
      </c>
      <c r="H4885">
        <v>48</v>
      </c>
      <c r="I4885">
        <v>30</v>
      </c>
      <c r="J4885">
        <v>56645</v>
      </c>
      <c r="K4885">
        <v>6</v>
      </c>
      <c r="L4885">
        <v>7250</v>
      </c>
      <c r="M4885">
        <v>1</v>
      </c>
      <c r="N4885">
        <v>337</v>
      </c>
      <c r="O4885">
        <v>5035</v>
      </c>
      <c r="P4885">
        <f t="shared" si="246"/>
        <v>2024</v>
      </c>
      <c r="Q4885">
        <f t="shared" si="247"/>
        <v>10</v>
      </c>
      <c r="R4885" t="str">
        <f t="shared" si="248"/>
        <v>直通车</v>
      </c>
      <c r="S4885" t="s">
        <v>785</v>
      </c>
    </row>
    <row r="4886" spans="1:19" x14ac:dyDescent="0.3">
      <c r="A4886" t="s">
        <v>627</v>
      </c>
      <c r="B4886" s="16">
        <v>45576</v>
      </c>
      <c r="C4886" t="s">
        <v>2</v>
      </c>
      <c r="D4886" t="s">
        <v>57</v>
      </c>
      <c r="E4886" t="s">
        <v>63</v>
      </c>
      <c r="F4886">
        <v>3867</v>
      </c>
      <c r="G4886">
        <v>2001</v>
      </c>
      <c r="H4886">
        <v>64</v>
      </c>
      <c r="I4886">
        <v>41</v>
      </c>
      <c r="J4886">
        <v>19495</v>
      </c>
      <c r="K4886">
        <v>3</v>
      </c>
      <c r="L4886">
        <v>0</v>
      </c>
      <c r="M4886">
        <v>0</v>
      </c>
      <c r="N4886">
        <v>107</v>
      </c>
      <c r="O4886">
        <v>3864</v>
      </c>
      <c r="P4886">
        <f t="shared" si="246"/>
        <v>2024</v>
      </c>
      <c r="Q4886">
        <f t="shared" si="247"/>
        <v>10</v>
      </c>
      <c r="R4886" t="str">
        <f t="shared" si="248"/>
        <v>万相台</v>
      </c>
      <c r="S4886" t="s">
        <v>785</v>
      </c>
    </row>
    <row r="4887" spans="1:19" x14ac:dyDescent="0.3">
      <c r="A4887" t="s">
        <v>627</v>
      </c>
      <c r="B4887" s="16">
        <v>45576</v>
      </c>
      <c r="C4887" t="s">
        <v>2</v>
      </c>
      <c r="D4887" t="s">
        <v>57</v>
      </c>
      <c r="E4887" t="s">
        <v>64</v>
      </c>
      <c r="F4887">
        <v>5579</v>
      </c>
      <c r="G4887">
        <v>3016</v>
      </c>
      <c r="H4887">
        <v>107</v>
      </c>
      <c r="I4887">
        <v>67</v>
      </c>
      <c r="J4887">
        <v>12645</v>
      </c>
      <c r="K4887">
        <v>2</v>
      </c>
      <c r="L4887">
        <v>4895</v>
      </c>
      <c r="M4887">
        <v>1</v>
      </c>
      <c r="N4887">
        <v>423</v>
      </c>
      <c r="O4887">
        <v>5578</v>
      </c>
      <c r="P4887">
        <f t="shared" si="246"/>
        <v>2024</v>
      </c>
      <c r="Q4887">
        <f t="shared" si="247"/>
        <v>10</v>
      </c>
      <c r="R4887" t="str">
        <f t="shared" si="248"/>
        <v>引力魔方</v>
      </c>
      <c r="S4887" t="s">
        <v>785</v>
      </c>
    </row>
    <row r="4888" spans="1:19" x14ac:dyDescent="0.3">
      <c r="A4888" t="s">
        <v>627</v>
      </c>
      <c r="B4888" s="16">
        <v>45576</v>
      </c>
      <c r="C4888" t="s">
        <v>2</v>
      </c>
      <c r="D4888" t="s">
        <v>4</v>
      </c>
      <c r="E4888" t="s">
        <v>41</v>
      </c>
      <c r="F4888">
        <v>1</v>
      </c>
      <c r="G4888">
        <v>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1</v>
      </c>
      <c r="P4888">
        <f t="shared" si="246"/>
        <v>2024</v>
      </c>
      <c r="Q4888">
        <f t="shared" si="247"/>
        <v>10</v>
      </c>
      <c r="R4888" t="str">
        <f t="shared" si="248"/>
        <v>流量宝</v>
      </c>
      <c r="S4888" t="s">
        <v>785</v>
      </c>
    </row>
    <row r="4889" spans="1:19" x14ac:dyDescent="0.3">
      <c r="A4889" t="s">
        <v>627</v>
      </c>
      <c r="B4889" s="16">
        <v>45576</v>
      </c>
      <c r="C4889" t="s">
        <v>2</v>
      </c>
      <c r="D4889" t="s">
        <v>4</v>
      </c>
      <c r="E4889" t="s">
        <v>43</v>
      </c>
      <c r="F4889">
        <v>248</v>
      </c>
      <c r="G4889">
        <v>101</v>
      </c>
      <c r="H4889">
        <v>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9</v>
      </c>
      <c r="O4889">
        <v>245</v>
      </c>
      <c r="P4889">
        <f t="shared" si="246"/>
        <v>2024</v>
      </c>
      <c r="Q4889">
        <f t="shared" si="247"/>
        <v>10</v>
      </c>
      <c r="R4889" t="str">
        <f t="shared" si="248"/>
        <v>淘宝客</v>
      </c>
      <c r="S4889" t="s">
        <v>785</v>
      </c>
    </row>
    <row r="4890" spans="1:19" x14ac:dyDescent="0.3">
      <c r="A4890" t="s">
        <v>627</v>
      </c>
      <c r="B4890" s="16">
        <v>45575</v>
      </c>
      <c r="C4890" t="s">
        <v>3</v>
      </c>
      <c r="D4890" t="s">
        <v>114</v>
      </c>
      <c r="E4890" t="s">
        <v>159</v>
      </c>
      <c r="F4890">
        <v>18</v>
      </c>
      <c r="G4890">
        <v>16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3</v>
      </c>
      <c r="O4890">
        <v>6</v>
      </c>
      <c r="P4890">
        <f t="shared" si="246"/>
        <v>2024</v>
      </c>
      <c r="Q4890">
        <f t="shared" si="247"/>
        <v>10</v>
      </c>
      <c r="R4890" t="str">
        <f t="shared" si="248"/>
        <v>主会场</v>
      </c>
      <c r="S4890" t="s">
        <v>785</v>
      </c>
    </row>
    <row r="4891" spans="1:19" x14ac:dyDescent="0.3">
      <c r="A4891" t="s">
        <v>627</v>
      </c>
      <c r="B4891" s="16">
        <v>45575</v>
      </c>
      <c r="C4891" t="s">
        <v>3</v>
      </c>
      <c r="D4891" t="s">
        <v>120</v>
      </c>
      <c r="E4891" t="s">
        <v>163</v>
      </c>
      <c r="F4891">
        <v>31</v>
      </c>
      <c r="G4891">
        <v>25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11</v>
      </c>
      <c r="O4891">
        <v>25</v>
      </c>
      <c r="P4891">
        <f t="shared" si="246"/>
        <v>2024</v>
      </c>
      <c r="Q4891">
        <f t="shared" si="247"/>
        <v>10</v>
      </c>
      <c r="R4891" t="str">
        <f t="shared" si="248"/>
        <v>手猫免费其他</v>
      </c>
      <c r="S4891" t="s">
        <v>785</v>
      </c>
    </row>
    <row r="4892" spans="1:19" x14ac:dyDescent="0.3">
      <c r="A4892" t="s">
        <v>627</v>
      </c>
      <c r="B4892" s="16">
        <v>45575</v>
      </c>
      <c r="C4892" t="s">
        <v>3</v>
      </c>
      <c r="D4892" t="s">
        <v>120</v>
      </c>
      <c r="E4892" t="s">
        <v>164</v>
      </c>
      <c r="F4892">
        <v>23</v>
      </c>
      <c r="G4892">
        <v>14</v>
      </c>
      <c r="H4892">
        <v>3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23</v>
      </c>
      <c r="P4892">
        <f t="shared" si="246"/>
        <v>2024</v>
      </c>
      <c r="Q4892">
        <f t="shared" si="247"/>
        <v>10</v>
      </c>
      <c r="R4892" t="str">
        <f t="shared" si="248"/>
        <v>手猫其他店铺</v>
      </c>
      <c r="S4892" t="s">
        <v>785</v>
      </c>
    </row>
    <row r="4893" spans="1:19" x14ac:dyDescent="0.3">
      <c r="A4893" t="s">
        <v>627</v>
      </c>
      <c r="B4893" s="16">
        <v>45575</v>
      </c>
      <c r="C4893" t="s">
        <v>3</v>
      </c>
      <c r="D4893" t="s">
        <v>120</v>
      </c>
      <c r="E4893" t="s">
        <v>165</v>
      </c>
      <c r="F4893">
        <v>13</v>
      </c>
      <c r="G4893">
        <v>8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2</v>
      </c>
      <c r="O4893">
        <v>11</v>
      </c>
      <c r="P4893">
        <f t="shared" si="246"/>
        <v>2024</v>
      </c>
      <c r="Q4893">
        <f t="shared" si="247"/>
        <v>10</v>
      </c>
      <c r="R4893" t="str">
        <f t="shared" si="248"/>
        <v>手猫商品详情</v>
      </c>
      <c r="S4893" t="s">
        <v>785</v>
      </c>
    </row>
    <row r="4894" spans="1:19" x14ac:dyDescent="0.3">
      <c r="A4894" t="s">
        <v>627</v>
      </c>
      <c r="B4894" s="16">
        <v>45575</v>
      </c>
      <c r="C4894" t="s">
        <v>3</v>
      </c>
      <c r="D4894" t="s">
        <v>120</v>
      </c>
      <c r="E4894" t="s">
        <v>166</v>
      </c>
      <c r="F4894">
        <v>33</v>
      </c>
      <c r="G4894">
        <v>22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21</v>
      </c>
      <c r="O4894">
        <v>20</v>
      </c>
      <c r="P4894">
        <f t="shared" si="246"/>
        <v>2024</v>
      </c>
      <c r="Q4894">
        <f t="shared" si="247"/>
        <v>10</v>
      </c>
      <c r="R4894" t="str">
        <f t="shared" si="248"/>
        <v>手猫搜索</v>
      </c>
      <c r="S4894" t="s">
        <v>785</v>
      </c>
    </row>
    <row r="4895" spans="1:19" x14ac:dyDescent="0.3">
      <c r="A4895" t="s">
        <v>627</v>
      </c>
      <c r="B4895" s="16">
        <v>45575</v>
      </c>
      <c r="C4895" t="s">
        <v>3</v>
      </c>
      <c r="D4895" t="s">
        <v>120</v>
      </c>
      <c r="E4895" t="s">
        <v>192</v>
      </c>
      <c r="F4895">
        <v>2</v>
      </c>
      <c r="G4895">
        <v>1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2</v>
      </c>
      <c r="P4895">
        <f t="shared" si="246"/>
        <v>2024</v>
      </c>
      <c r="Q4895">
        <f t="shared" si="247"/>
        <v>10</v>
      </c>
      <c r="R4895" t="str">
        <f t="shared" si="248"/>
        <v>手猫消息中心</v>
      </c>
      <c r="S4895" t="s">
        <v>785</v>
      </c>
    </row>
    <row r="4896" spans="1:19" x14ac:dyDescent="0.3">
      <c r="A4896" t="s">
        <v>627</v>
      </c>
      <c r="B4896" s="16">
        <v>45575</v>
      </c>
      <c r="C4896" t="s">
        <v>3</v>
      </c>
      <c r="D4896" t="s">
        <v>120</v>
      </c>
      <c r="E4896" t="s">
        <v>168</v>
      </c>
      <c r="F4896">
        <v>174</v>
      </c>
      <c r="G4896">
        <v>110</v>
      </c>
      <c r="H4896">
        <v>4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12</v>
      </c>
      <c r="O4896">
        <v>174</v>
      </c>
      <c r="P4896">
        <f t="shared" si="246"/>
        <v>2024</v>
      </c>
      <c r="Q4896">
        <f t="shared" si="247"/>
        <v>10</v>
      </c>
      <c r="R4896" t="str">
        <f t="shared" si="248"/>
        <v>手猫首页</v>
      </c>
      <c r="S4896" t="s">
        <v>785</v>
      </c>
    </row>
    <row r="4897" spans="1:19" x14ac:dyDescent="0.3">
      <c r="A4897" t="s">
        <v>627</v>
      </c>
      <c r="B4897" s="16">
        <v>45575</v>
      </c>
      <c r="C4897" t="s">
        <v>3</v>
      </c>
      <c r="D4897" t="s">
        <v>123</v>
      </c>
      <c r="E4897" t="s">
        <v>169</v>
      </c>
      <c r="F4897">
        <v>108</v>
      </c>
      <c r="G4897">
        <v>49</v>
      </c>
      <c r="H4897">
        <v>12</v>
      </c>
      <c r="I4897">
        <v>5</v>
      </c>
      <c r="J4897">
        <v>0</v>
      </c>
      <c r="K4897">
        <v>0</v>
      </c>
      <c r="L4897">
        <v>0</v>
      </c>
      <c r="M4897">
        <v>0</v>
      </c>
      <c r="N4897">
        <v>36</v>
      </c>
      <c r="O4897">
        <v>106</v>
      </c>
      <c r="P4897">
        <f t="shared" si="246"/>
        <v>2024</v>
      </c>
      <c r="Q4897">
        <f t="shared" si="247"/>
        <v>10</v>
      </c>
      <c r="R4897" t="str">
        <f t="shared" si="248"/>
        <v>商品详情页头图推荐</v>
      </c>
      <c r="S4897" t="s">
        <v>785</v>
      </c>
    </row>
    <row r="4898" spans="1:19" x14ac:dyDescent="0.3">
      <c r="A4898" t="s">
        <v>627</v>
      </c>
      <c r="B4898" s="16">
        <v>45575</v>
      </c>
      <c r="C4898" t="s">
        <v>3</v>
      </c>
      <c r="D4898" t="s">
        <v>123</v>
      </c>
      <c r="E4898" t="s">
        <v>170</v>
      </c>
      <c r="F4898">
        <v>39</v>
      </c>
      <c r="G4898">
        <v>28</v>
      </c>
      <c r="H4898">
        <v>3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37</v>
      </c>
      <c r="O4898">
        <v>14</v>
      </c>
      <c r="P4898">
        <f t="shared" si="246"/>
        <v>2024</v>
      </c>
      <c r="Q4898">
        <f t="shared" si="247"/>
        <v>10</v>
      </c>
      <c r="R4898" t="str">
        <f t="shared" si="248"/>
        <v>店铺超链</v>
      </c>
      <c r="S4898" t="s">
        <v>785</v>
      </c>
    </row>
    <row r="4899" spans="1:19" x14ac:dyDescent="0.3">
      <c r="A4899" t="s">
        <v>627</v>
      </c>
      <c r="B4899" s="16">
        <v>45575</v>
      </c>
      <c r="C4899" t="s">
        <v>3</v>
      </c>
      <c r="D4899" t="s">
        <v>127</v>
      </c>
      <c r="E4899" t="s">
        <v>171</v>
      </c>
      <c r="F4899">
        <v>222</v>
      </c>
      <c r="G4899">
        <v>166</v>
      </c>
      <c r="H4899">
        <v>3</v>
      </c>
      <c r="I4899">
        <v>2</v>
      </c>
      <c r="J4899">
        <v>0</v>
      </c>
      <c r="K4899">
        <v>0</v>
      </c>
      <c r="L4899">
        <v>0</v>
      </c>
      <c r="M4899">
        <v>0</v>
      </c>
      <c r="N4899">
        <v>141</v>
      </c>
      <c r="O4899">
        <v>96</v>
      </c>
      <c r="P4899">
        <f t="shared" si="246"/>
        <v>2024</v>
      </c>
      <c r="Q4899">
        <f t="shared" si="247"/>
        <v>10</v>
      </c>
      <c r="R4899" t="str">
        <f t="shared" si="248"/>
        <v>其他猜你喜欢</v>
      </c>
      <c r="S4899" t="s">
        <v>785</v>
      </c>
    </row>
    <row r="4900" spans="1:19" x14ac:dyDescent="0.3">
      <c r="A4900" t="s">
        <v>627</v>
      </c>
      <c r="B4900" s="16">
        <v>45575</v>
      </c>
      <c r="C4900" t="s">
        <v>3</v>
      </c>
      <c r="D4900" t="s">
        <v>127</v>
      </c>
      <c r="E4900" t="s">
        <v>172</v>
      </c>
      <c r="F4900">
        <v>2</v>
      </c>
      <c r="G4900">
        <v>1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2</v>
      </c>
      <c r="P4900">
        <f t="shared" si="246"/>
        <v>2024</v>
      </c>
      <c r="Q4900">
        <f t="shared" si="247"/>
        <v>10</v>
      </c>
      <c r="R4900" t="str">
        <f t="shared" si="248"/>
        <v>购中推荐</v>
      </c>
      <c r="S4900" t="s">
        <v>785</v>
      </c>
    </row>
    <row r="4901" spans="1:19" x14ac:dyDescent="0.3">
      <c r="A4901" t="s">
        <v>627</v>
      </c>
      <c r="B4901" s="16">
        <v>45575</v>
      </c>
      <c r="C4901" t="s">
        <v>3</v>
      </c>
      <c r="D4901" t="s">
        <v>127</v>
      </c>
      <c r="E4901" t="s">
        <v>173</v>
      </c>
      <c r="F4901">
        <v>6</v>
      </c>
      <c r="G4901">
        <v>6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2</v>
      </c>
      <c r="P4901">
        <f t="shared" si="246"/>
        <v>2024</v>
      </c>
      <c r="Q4901">
        <f t="shared" si="247"/>
        <v>10</v>
      </c>
      <c r="R4901" t="str">
        <f t="shared" si="248"/>
        <v>购后推荐</v>
      </c>
      <c r="S4901" t="s">
        <v>785</v>
      </c>
    </row>
    <row r="4902" spans="1:19" x14ac:dyDescent="0.3">
      <c r="A4902" t="s">
        <v>627</v>
      </c>
      <c r="B4902" s="16">
        <v>45575</v>
      </c>
      <c r="C4902" t="s">
        <v>3</v>
      </c>
      <c r="D4902" t="s">
        <v>127</v>
      </c>
      <c r="E4902" t="s">
        <v>174</v>
      </c>
      <c r="F4902">
        <v>704</v>
      </c>
      <c r="G4902">
        <v>524</v>
      </c>
      <c r="H4902">
        <v>6</v>
      </c>
      <c r="I4902">
        <v>2</v>
      </c>
      <c r="J4902">
        <v>0</v>
      </c>
      <c r="K4902">
        <v>0</v>
      </c>
      <c r="L4902">
        <v>0</v>
      </c>
      <c r="M4902">
        <v>0</v>
      </c>
      <c r="N4902">
        <v>29</v>
      </c>
      <c r="O4902">
        <v>704</v>
      </c>
      <c r="P4902">
        <f t="shared" si="246"/>
        <v>2024</v>
      </c>
      <c r="Q4902">
        <f t="shared" si="247"/>
        <v>10</v>
      </c>
      <c r="R4902" t="str">
        <f t="shared" si="248"/>
        <v>首页推荐-微详情</v>
      </c>
      <c r="S4902" t="s">
        <v>785</v>
      </c>
    </row>
    <row r="4903" spans="1:19" x14ac:dyDescent="0.3">
      <c r="A4903" t="s">
        <v>627</v>
      </c>
      <c r="B4903" s="16">
        <v>45575</v>
      </c>
      <c r="C4903" t="s">
        <v>3</v>
      </c>
      <c r="D4903" t="s">
        <v>127</v>
      </c>
      <c r="E4903" t="s">
        <v>175</v>
      </c>
      <c r="F4903">
        <v>104</v>
      </c>
      <c r="G4903">
        <v>72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2</v>
      </c>
      <c r="O4903">
        <v>13</v>
      </c>
      <c r="P4903">
        <f t="shared" si="246"/>
        <v>2024</v>
      </c>
      <c r="Q4903">
        <f t="shared" si="247"/>
        <v>10</v>
      </c>
      <c r="R4903" t="str">
        <f t="shared" si="248"/>
        <v>首页推荐-直播</v>
      </c>
      <c r="S4903" t="s">
        <v>785</v>
      </c>
    </row>
    <row r="4904" spans="1:19" x14ac:dyDescent="0.3">
      <c r="A4904" t="s">
        <v>627</v>
      </c>
      <c r="B4904" s="16">
        <v>45575</v>
      </c>
      <c r="C4904" t="s">
        <v>3</v>
      </c>
      <c r="D4904" t="s">
        <v>127</v>
      </c>
      <c r="E4904" t="s">
        <v>176</v>
      </c>
      <c r="F4904">
        <v>101</v>
      </c>
      <c r="G4904">
        <v>66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3</v>
      </c>
      <c r="O4904">
        <v>10</v>
      </c>
      <c r="P4904">
        <f t="shared" si="246"/>
        <v>2024</v>
      </c>
      <c r="Q4904">
        <f t="shared" si="247"/>
        <v>10</v>
      </c>
      <c r="R4904" t="str">
        <f t="shared" si="248"/>
        <v>首页推荐-短视频</v>
      </c>
      <c r="S4904" t="s">
        <v>785</v>
      </c>
    </row>
    <row r="4905" spans="1:19" x14ac:dyDescent="0.3">
      <c r="A4905" t="s">
        <v>627</v>
      </c>
      <c r="B4905" s="16">
        <v>45575</v>
      </c>
      <c r="C4905" t="s">
        <v>3</v>
      </c>
      <c r="D4905" t="s">
        <v>128</v>
      </c>
      <c r="E4905" t="s">
        <v>177</v>
      </c>
      <c r="F4905">
        <v>488</v>
      </c>
      <c r="G4905">
        <v>387</v>
      </c>
      <c r="H4905">
        <v>14</v>
      </c>
      <c r="I4905">
        <v>3</v>
      </c>
      <c r="J4905">
        <v>19750</v>
      </c>
      <c r="K4905">
        <v>1</v>
      </c>
      <c r="L4905">
        <v>19750</v>
      </c>
      <c r="M4905">
        <v>1</v>
      </c>
      <c r="N4905">
        <v>212</v>
      </c>
      <c r="O4905">
        <v>365</v>
      </c>
      <c r="P4905">
        <f t="shared" ref="P4905:P4948" si="249">YEAR(B4905)</f>
        <v>2024</v>
      </c>
      <c r="Q4905">
        <f t="shared" ref="Q4905:Q4948" si="250">MONTH(B4905)</f>
        <v>10</v>
      </c>
      <c r="R4905" t="str">
        <f t="shared" ref="R4905:R4948" si="251">E4905</f>
        <v>手淘搜索-商品及其他</v>
      </c>
      <c r="S4905" t="s">
        <v>785</v>
      </c>
    </row>
    <row r="4906" spans="1:19" x14ac:dyDescent="0.3">
      <c r="A4906" t="s">
        <v>627</v>
      </c>
      <c r="B4906" s="16">
        <v>45575</v>
      </c>
      <c r="C4906" t="s">
        <v>3</v>
      </c>
      <c r="D4906" t="s">
        <v>128</v>
      </c>
      <c r="E4906" t="s">
        <v>178</v>
      </c>
      <c r="F4906">
        <v>3</v>
      </c>
      <c r="G4906">
        <v>1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3</v>
      </c>
      <c r="P4906">
        <f t="shared" si="249"/>
        <v>2024</v>
      </c>
      <c r="Q4906">
        <f t="shared" si="250"/>
        <v>10</v>
      </c>
      <c r="R4906" t="str">
        <f t="shared" si="251"/>
        <v>手淘搜索-直播</v>
      </c>
      <c r="S4906" t="s">
        <v>785</v>
      </c>
    </row>
    <row r="4907" spans="1:19" x14ac:dyDescent="0.3">
      <c r="A4907" t="s">
        <v>627</v>
      </c>
      <c r="B4907" s="16">
        <v>45575</v>
      </c>
      <c r="C4907" t="s">
        <v>3</v>
      </c>
      <c r="D4907" t="s">
        <v>128</v>
      </c>
      <c r="E4907" t="s">
        <v>179</v>
      </c>
      <c r="F4907">
        <v>24</v>
      </c>
      <c r="G4907">
        <v>22</v>
      </c>
      <c r="H4907">
        <v>0</v>
      </c>
      <c r="I4907">
        <v>0</v>
      </c>
      <c r="J4907">
        <v>3995</v>
      </c>
      <c r="K4907">
        <v>1</v>
      </c>
      <c r="L4907">
        <v>3995</v>
      </c>
      <c r="M4907">
        <v>1</v>
      </c>
      <c r="N4907">
        <v>1</v>
      </c>
      <c r="O4907">
        <v>23</v>
      </c>
      <c r="P4907">
        <f t="shared" si="249"/>
        <v>2024</v>
      </c>
      <c r="Q4907">
        <f t="shared" si="250"/>
        <v>10</v>
      </c>
      <c r="R4907" t="str">
        <f t="shared" si="251"/>
        <v>手淘搜索-短视频</v>
      </c>
      <c r="S4907" t="s">
        <v>785</v>
      </c>
    </row>
    <row r="4908" spans="1:19" x14ac:dyDescent="0.3">
      <c r="A4908" t="s">
        <v>627</v>
      </c>
      <c r="B4908" s="16">
        <v>45575</v>
      </c>
      <c r="C4908" t="s">
        <v>3</v>
      </c>
      <c r="D4908" t="s">
        <v>143</v>
      </c>
      <c r="E4908" t="s">
        <v>180</v>
      </c>
      <c r="F4908">
        <v>29</v>
      </c>
      <c r="G4908">
        <v>29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29</v>
      </c>
      <c r="P4908">
        <f t="shared" si="249"/>
        <v>2024</v>
      </c>
      <c r="Q4908">
        <f t="shared" si="250"/>
        <v>10</v>
      </c>
      <c r="R4908" t="str">
        <f t="shared" si="251"/>
        <v>淘特其他渠道</v>
      </c>
      <c r="S4908" t="s">
        <v>785</v>
      </c>
    </row>
    <row r="4909" spans="1:19" x14ac:dyDescent="0.3">
      <c r="A4909" t="s">
        <v>627</v>
      </c>
      <c r="B4909" s="16">
        <v>45575</v>
      </c>
      <c r="C4909" t="s">
        <v>2</v>
      </c>
      <c r="D4909" t="s">
        <v>55</v>
      </c>
      <c r="E4909" t="s">
        <v>54</v>
      </c>
      <c r="F4909">
        <v>654</v>
      </c>
      <c r="G4909">
        <v>547</v>
      </c>
      <c r="H4909">
        <v>1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11</v>
      </c>
      <c r="O4909">
        <v>225</v>
      </c>
      <c r="P4909">
        <f t="shared" si="249"/>
        <v>2024</v>
      </c>
      <c r="Q4909">
        <f t="shared" si="250"/>
        <v>10</v>
      </c>
      <c r="R4909" t="str">
        <f t="shared" si="251"/>
        <v>超级直播</v>
      </c>
      <c r="S4909" t="s">
        <v>785</v>
      </c>
    </row>
    <row r="4910" spans="1:19" x14ac:dyDescent="0.3">
      <c r="A4910" t="s">
        <v>627</v>
      </c>
      <c r="B4910" s="16">
        <v>45575</v>
      </c>
      <c r="C4910" t="s">
        <v>2</v>
      </c>
      <c r="D4910" t="s">
        <v>55</v>
      </c>
      <c r="E4910" t="s">
        <v>56</v>
      </c>
      <c r="F4910">
        <v>13</v>
      </c>
      <c r="G4910">
        <v>9</v>
      </c>
      <c r="H4910">
        <v>1</v>
      </c>
      <c r="I4910">
        <v>1</v>
      </c>
      <c r="J4910">
        <v>0</v>
      </c>
      <c r="K4910">
        <v>0</v>
      </c>
      <c r="L4910">
        <v>0</v>
      </c>
      <c r="M4910">
        <v>0</v>
      </c>
      <c r="N4910">
        <v>3</v>
      </c>
      <c r="O4910">
        <v>12</v>
      </c>
      <c r="P4910">
        <f t="shared" si="249"/>
        <v>2024</v>
      </c>
      <c r="Q4910">
        <f t="shared" si="250"/>
        <v>10</v>
      </c>
      <c r="R4910" t="str">
        <f t="shared" si="251"/>
        <v>超级短视频</v>
      </c>
      <c r="S4910" t="s">
        <v>785</v>
      </c>
    </row>
    <row r="4911" spans="1:19" x14ac:dyDescent="0.3">
      <c r="A4911" t="s">
        <v>627</v>
      </c>
      <c r="B4911" s="16">
        <v>45575</v>
      </c>
      <c r="C4911" t="s">
        <v>2</v>
      </c>
      <c r="D4911" t="s">
        <v>52</v>
      </c>
      <c r="E4911" t="s">
        <v>53</v>
      </c>
      <c r="F4911">
        <v>1046</v>
      </c>
      <c r="G4911">
        <v>953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1046</v>
      </c>
      <c r="O4911">
        <v>177</v>
      </c>
      <c r="P4911">
        <f t="shared" si="249"/>
        <v>2024</v>
      </c>
      <c r="Q4911">
        <f t="shared" si="250"/>
        <v>10</v>
      </c>
      <c r="R4911" t="str">
        <f t="shared" si="251"/>
        <v>Showmax</v>
      </c>
      <c r="S4911" t="s">
        <v>785</v>
      </c>
    </row>
    <row r="4912" spans="1:19" x14ac:dyDescent="0.3">
      <c r="A4912" t="s">
        <v>627</v>
      </c>
      <c r="B4912" s="16">
        <v>45575</v>
      </c>
      <c r="C4912" t="s">
        <v>2</v>
      </c>
      <c r="D4912" t="s">
        <v>52</v>
      </c>
      <c r="E4912" t="s">
        <v>59</v>
      </c>
      <c r="F4912">
        <v>1483</v>
      </c>
      <c r="G4912">
        <v>1345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1483</v>
      </c>
      <c r="O4912">
        <v>367</v>
      </c>
      <c r="P4912">
        <f t="shared" si="249"/>
        <v>2024</v>
      </c>
      <c r="Q4912">
        <f t="shared" si="250"/>
        <v>10</v>
      </c>
      <c r="R4912" t="str">
        <f t="shared" si="251"/>
        <v>品牌特秀</v>
      </c>
      <c r="S4912" t="s">
        <v>785</v>
      </c>
    </row>
    <row r="4913" spans="1:19" x14ac:dyDescent="0.3">
      <c r="A4913" t="s">
        <v>627</v>
      </c>
      <c r="B4913" s="16">
        <v>45575</v>
      </c>
      <c r="C4913" t="s">
        <v>2</v>
      </c>
      <c r="D4913" t="s">
        <v>52</v>
      </c>
      <c r="E4913" t="s">
        <v>183</v>
      </c>
      <c r="F4913">
        <v>568</v>
      </c>
      <c r="G4913">
        <v>471</v>
      </c>
      <c r="H4913">
        <v>13</v>
      </c>
      <c r="I4913">
        <v>2</v>
      </c>
      <c r="J4913">
        <v>2410</v>
      </c>
      <c r="K4913">
        <v>1</v>
      </c>
      <c r="L4913">
        <v>2410</v>
      </c>
      <c r="M4913">
        <v>1</v>
      </c>
      <c r="N4913">
        <v>568</v>
      </c>
      <c r="O4913">
        <v>303</v>
      </c>
      <c r="P4913">
        <f t="shared" si="249"/>
        <v>2024</v>
      </c>
      <c r="Q4913">
        <f t="shared" si="250"/>
        <v>10</v>
      </c>
      <c r="R4913" t="str">
        <f t="shared" si="251"/>
        <v>品销宝-品牌专区</v>
      </c>
      <c r="S4913" t="s">
        <v>785</v>
      </c>
    </row>
    <row r="4914" spans="1:19" x14ac:dyDescent="0.3">
      <c r="A4914" t="s">
        <v>627</v>
      </c>
      <c r="B4914" s="16">
        <v>45575</v>
      </c>
      <c r="C4914" t="s">
        <v>2</v>
      </c>
      <c r="D4914" t="s">
        <v>57</v>
      </c>
      <c r="E4914" t="s">
        <v>65</v>
      </c>
      <c r="F4914">
        <v>6102</v>
      </c>
      <c r="G4914">
        <v>5521</v>
      </c>
      <c r="H4914">
        <v>56</v>
      </c>
      <c r="I4914">
        <v>37</v>
      </c>
      <c r="J4914">
        <v>65890</v>
      </c>
      <c r="K4914">
        <v>7</v>
      </c>
      <c r="L4914">
        <v>33995</v>
      </c>
      <c r="M4914">
        <v>4</v>
      </c>
      <c r="N4914">
        <v>391</v>
      </c>
      <c r="O4914">
        <v>6052</v>
      </c>
      <c r="P4914">
        <f t="shared" si="249"/>
        <v>2024</v>
      </c>
      <c r="Q4914">
        <f t="shared" si="250"/>
        <v>10</v>
      </c>
      <c r="R4914" t="str">
        <f t="shared" si="251"/>
        <v>直通车</v>
      </c>
      <c r="S4914" t="s">
        <v>785</v>
      </c>
    </row>
    <row r="4915" spans="1:19" x14ac:dyDescent="0.3">
      <c r="A4915" t="s">
        <v>627</v>
      </c>
      <c r="B4915" s="16">
        <v>45575</v>
      </c>
      <c r="C4915" t="s">
        <v>2</v>
      </c>
      <c r="D4915" t="s">
        <v>57</v>
      </c>
      <c r="E4915" t="s">
        <v>63</v>
      </c>
      <c r="F4915">
        <v>3668</v>
      </c>
      <c r="G4915">
        <v>2122</v>
      </c>
      <c r="H4915">
        <v>75</v>
      </c>
      <c r="I4915">
        <v>51</v>
      </c>
      <c r="J4915">
        <v>56525</v>
      </c>
      <c r="K4915">
        <v>5</v>
      </c>
      <c r="L4915">
        <v>15995</v>
      </c>
      <c r="M4915">
        <v>2</v>
      </c>
      <c r="N4915">
        <v>137</v>
      </c>
      <c r="O4915">
        <v>3666</v>
      </c>
      <c r="P4915">
        <f t="shared" si="249"/>
        <v>2024</v>
      </c>
      <c r="Q4915">
        <f t="shared" si="250"/>
        <v>10</v>
      </c>
      <c r="R4915" t="str">
        <f t="shared" si="251"/>
        <v>万相台</v>
      </c>
      <c r="S4915" t="s">
        <v>785</v>
      </c>
    </row>
    <row r="4916" spans="1:19" x14ac:dyDescent="0.3">
      <c r="A4916" t="s">
        <v>627</v>
      </c>
      <c r="B4916" s="16">
        <v>45575</v>
      </c>
      <c r="C4916" t="s">
        <v>2</v>
      </c>
      <c r="D4916" t="s">
        <v>57</v>
      </c>
      <c r="E4916" t="s">
        <v>64</v>
      </c>
      <c r="F4916">
        <v>5746</v>
      </c>
      <c r="G4916">
        <v>3335</v>
      </c>
      <c r="H4916">
        <v>131</v>
      </c>
      <c r="I4916">
        <v>79</v>
      </c>
      <c r="J4916">
        <v>61590</v>
      </c>
      <c r="K4916">
        <v>6</v>
      </c>
      <c r="L4916">
        <v>13750</v>
      </c>
      <c r="M4916">
        <v>2</v>
      </c>
      <c r="N4916">
        <v>485</v>
      </c>
      <c r="O4916">
        <v>5743</v>
      </c>
      <c r="P4916">
        <f t="shared" si="249"/>
        <v>2024</v>
      </c>
      <c r="Q4916">
        <f t="shared" si="250"/>
        <v>10</v>
      </c>
      <c r="R4916" t="str">
        <f t="shared" si="251"/>
        <v>引力魔方</v>
      </c>
      <c r="S4916" t="s">
        <v>785</v>
      </c>
    </row>
    <row r="4917" spans="1:19" x14ac:dyDescent="0.3">
      <c r="A4917" t="s">
        <v>627</v>
      </c>
      <c r="B4917" s="16">
        <v>45575</v>
      </c>
      <c r="C4917" t="s">
        <v>2</v>
      </c>
      <c r="D4917" t="s">
        <v>4</v>
      </c>
      <c r="E4917" t="s">
        <v>41</v>
      </c>
      <c r="F4917">
        <v>1</v>
      </c>
      <c r="G4917">
        <v>1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f t="shared" si="249"/>
        <v>2024</v>
      </c>
      <c r="Q4917">
        <f t="shared" si="250"/>
        <v>10</v>
      </c>
      <c r="R4917" t="str">
        <f t="shared" si="251"/>
        <v>流量宝</v>
      </c>
      <c r="S4917" t="s">
        <v>785</v>
      </c>
    </row>
    <row r="4918" spans="1:19" x14ac:dyDescent="0.3">
      <c r="A4918" t="s">
        <v>627</v>
      </c>
      <c r="B4918" s="16">
        <v>45575</v>
      </c>
      <c r="C4918" t="s">
        <v>2</v>
      </c>
      <c r="D4918" t="s">
        <v>4</v>
      </c>
      <c r="E4918" t="s">
        <v>43</v>
      </c>
      <c r="F4918">
        <v>240</v>
      </c>
      <c r="G4918">
        <v>111</v>
      </c>
      <c r="H4918">
        <v>1</v>
      </c>
      <c r="I4918">
        <v>1</v>
      </c>
      <c r="J4918">
        <v>2410</v>
      </c>
      <c r="K4918">
        <v>1</v>
      </c>
      <c r="L4918">
        <v>2410</v>
      </c>
      <c r="M4918">
        <v>1</v>
      </c>
      <c r="N4918">
        <v>17</v>
      </c>
      <c r="O4918">
        <v>233</v>
      </c>
      <c r="P4918">
        <f t="shared" si="249"/>
        <v>2024</v>
      </c>
      <c r="Q4918">
        <f t="shared" si="250"/>
        <v>10</v>
      </c>
      <c r="R4918" t="str">
        <f t="shared" si="251"/>
        <v>淘宝客</v>
      </c>
      <c r="S4918" t="s">
        <v>785</v>
      </c>
    </row>
    <row r="4919" spans="1:19" x14ac:dyDescent="0.3">
      <c r="A4919" t="s">
        <v>110</v>
      </c>
      <c r="B4919" s="16">
        <v>45962</v>
      </c>
      <c r="C4919" t="s">
        <v>3</v>
      </c>
      <c r="D4919" t="s">
        <v>143</v>
      </c>
      <c r="E4919" t="s">
        <v>180</v>
      </c>
      <c r="F4919">
        <v>8</v>
      </c>
      <c r="G4919">
        <v>2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1</v>
      </c>
      <c r="O4919">
        <v>8</v>
      </c>
      <c r="P4919">
        <f t="shared" si="249"/>
        <v>2025</v>
      </c>
      <c r="Q4919">
        <f t="shared" si="250"/>
        <v>11</v>
      </c>
      <c r="R4919" t="str">
        <f t="shared" si="251"/>
        <v>淘特其他渠道</v>
      </c>
      <c r="S4919" t="s">
        <v>570</v>
      </c>
    </row>
    <row r="4920" spans="1:19" x14ac:dyDescent="0.3">
      <c r="A4920" t="s">
        <v>110</v>
      </c>
      <c r="B4920" s="16">
        <v>45962</v>
      </c>
      <c r="C4920" t="s">
        <v>2</v>
      </c>
      <c r="D4920" t="s">
        <v>4</v>
      </c>
      <c r="E4920" t="s">
        <v>43</v>
      </c>
      <c r="F4920">
        <v>5445</v>
      </c>
      <c r="G4920">
        <v>2712</v>
      </c>
      <c r="H4920">
        <v>66</v>
      </c>
      <c r="I4920">
        <v>33</v>
      </c>
      <c r="J4920">
        <v>263139.09999999998</v>
      </c>
      <c r="K4920">
        <v>44</v>
      </c>
      <c r="L4920">
        <v>244819.1</v>
      </c>
      <c r="M4920">
        <v>43</v>
      </c>
      <c r="N4920">
        <v>101</v>
      </c>
      <c r="O4920">
        <v>5411</v>
      </c>
      <c r="P4920">
        <f t="shared" si="249"/>
        <v>2025</v>
      </c>
      <c r="Q4920">
        <f t="shared" si="250"/>
        <v>11</v>
      </c>
      <c r="R4920" t="str">
        <f t="shared" si="251"/>
        <v>淘宝客</v>
      </c>
      <c r="S4920" t="s">
        <v>570</v>
      </c>
    </row>
    <row r="4921" spans="1:19" x14ac:dyDescent="0.3">
      <c r="A4921" t="s">
        <v>110</v>
      </c>
      <c r="B4921" s="16">
        <v>45962</v>
      </c>
      <c r="C4921" t="s">
        <v>2</v>
      </c>
      <c r="D4921" t="s">
        <v>4</v>
      </c>
      <c r="E4921" t="s">
        <v>41</v>
      </c>
      <c r="F4921">
        <v>84</v>
      </c>
      <c r="G4921">
        <v>53</v>
      </c>
      <c r="H4921">
        <v>0</v>
      </c>
      <c r="I4921">
        <v>1</v>
      </c>
      <c r="J4921">
        <v>0</v>
      </c>
      <c r="K4921">
        <v>0</v>
      </c>
      <c r="L4921">
        <v>0</v>
      </c>
      <c r="M4921">
        <v>0</v>
      </c>
      <c r="N4921">
        <v>13</v>
      </c>
      <c r="O4921">
        <v>77</v>
      </c>
      <c r="P4921">
        <f t="shared" si="249"/>
        <v>2025</v>
      </c>
      <c r="Q4921">
        <f t="shared" si="250"/>
        <v>11</v>
      </c>
      <c r="R4921" t="str">
        <f t="shared" si="251"/>
        <v>流量宝</v>
      </c>
      <c r="S4921" t="s">
        <v>570</v>
      </c>
    </row>
    <row r="4922" spans="1:19" x14ac:dyDescent="0.3">
      <c r="A4922" t="s">
        <v>110</v>
      </c>
      <c r="B4922" s="16">
        <v>45962</v>
      </c>
      <c r="C4922" t="s">
        <v>2</v>
      </c>
      <c r="D4922" t="s">
        <v>4</v>
      </c>
      <c r="E4922" t="s">
        <v>42</v>
      </c>
      <c r="F4922">
        <v>5</v>
      </c>
      <c r="G4922">
        <v>3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4</v>
      </c>
      <c r="P4922">
        <f t="shared" si="249"/>
        <v>2025</v>
      </c>
      <c r="Q4922">
        <f t="shared" si="250"/>
        <v>11</v>
      </c>
      <c r="R4922" t="str">
        <f t="shared" si="251"/>
        <v>UD效果投放</v>
      </c>
      <c r="S4922" t="s">
        <v>570</v>
      </c>
    </row>
    <row r="4923" spans="1:19" x14ac:dyDescent="0.3">
      <c r="A4923" t="s">
        <v>110</v>
      </c>
      <c r="B4923" s="16">
        <v>45962</v>
      </c>
      <c r="C4923" t="s">
        <v>2</v>
      </c>
      <c r="D4923" t="s">
        <v>57</v>
      </c>
      <c r="E4923" t="s">
        <v>63</v>
      </c>
      <c r="F4923">
        <v>22099</v>
      </c>
      <c r="G4923">
        <v>20067</v>
      </c>
      <c r="H4923">
        <v>543</v>
      </c>
      <c r="I4923">
        <v>152</v>
      </c>
      <c r="J4923">
        <v>613080</v>
      </c>
      <c r="K4923">
        <v>112</v>
      </c>
      <c r="L4923">
        <v>444723</v>
      </c>
      <c r="M4923">
        <v>93</v>
      </c>
      <c r="N4923">
        <v>22034</v>
      </c>
      <c r="O4923">
        <v>11067</v>
      </c>
      <c r="P4923">
        <f t="shared" si="249"/>
        <v>2025</v>
      </c>
      <c r="Q4923">
        <f t="shared" si="250"/>
        <v>11</v>
      </c>
      <c r="R4923" t="str">
        <f t="shared" si="251"/>
        <v>万相台</v>
      </c>
      <c r="S4923" t="s">
        <v>570</v>
      </c>
    </row>
    <row r="4924" spans="1:19" x14ac:dyDescent="0.3">
      <c r="A4924" t="s">
        <v>110</v>
      </c>
      <c r="B4924" s="16">
        <v>45962</v>
      </c>
      <c r="C4924" t="s">
        <v>2</v>
      </c>
      <c r="D4924" t="s">
        <v>57</v>
      </c>
      <c r="E4924" t="s">
        <v>65</v>
      </c>
      <c r="F4924">
        <v>85939</v>
      </c>
      <c r="G4924">
        <v>77282</v>
      </c>
      <c r="H4924">
        <v>744</v>
      </c>
      <c r="I4924">
        <v>367</v>
      </c>
      <c r="J4924">
        <v>1235547</v>
      </c>
      <c r="K4924">
        <v>150</v>
      </c>
      <c r="L4924">
        <v>549007</v>
      </c>
      <c r="M4924">
        <v>109</v>
      </c>
      <c r="N4924">
        <v>6000</v>
      </c>
      <c r="O4924">
        <v>84741</v>
      </c>
      <c r="P4924">
        <f t="shared" si="249"/>
        <v>2025</v>
      </c>
      <c r="Q4924">
        <f t="shared" si="250"/>
        <v>11</v>
      </c>
      <c r="R4924" t="str">
        <f t="shared" si="251"/>
        <v>直通车</v>
      </c>
      <c r="S4924" t="s">
        <v>570</v>
      </c>
    </row>
    <row r="4925" spans="1:19" x14ac:dyDescent="0.3">
      <c r="A4925" t="s">
        <v>110</v>
      </c>
      <c r="B4925" s="16">
        <v>45962</v>
      </c>
      <c r="C4925" t="s">
        <v>2</v>
      </c>
      <c r="D4925" t="s">
        <v>57</v>
      </c>
      <c r="E4925" t="s">
        <v>64</v>
      </c>
      <c r="F4925">
        <v>264774</v>
      </c>
      <c r="G4925">
        <v>226155</v>
      </c>
      <c r="H4925">
        <v>1368</v>
      </c>
      <c r="I4925">
        <v>1709</v>
      </c>
      <c r="J4925">
        <v>786275</v>
      </c>
      <c r="K4925">
        <v>129</v>
      </c>
      <c r="L4925">
        <v>427500</v>
      </c>
      <c r="M4925">
        <v>92</v>
      </c>
      <c r="N4925">
        <v>7220</v>
      </c>
      <c r="O4925">
        <v>264760</v>
      </c>
      <c r="P4925">
        <f t="shared" si="249"/>
        <v>2025</v>
      </c>
      <c r="Q4925">
        <f t="shared" si="250"/>
        <v>11</v>
      </c>
      <c r="R4925" t="str">
        <f t="shared" si="251"/>
        <v>引力魔方</v>
      </c>
      <c r="S4925" t="s">
        <v>570</v>
      </c>
    </row>
    <row r="4926" spans="1:19" x14ac:dyDescent="0.3">
      <c r="A4926" t="s">
        <v>110</v>
      </c>
      <c r="B4926" s="16">
        <v>45962</v>
      </c>
      <c r="C4926" t="s">
        <v>2</v>
      </c>
      <c r="D4926" t="s">
        <v>52</v>
      </c>
      <c r="E4926" t="s">
        <v>58</v>
      </c>
      <c r="F4926">
        <v>10</v>
      </c>
      <c r="G4926">
        <v>3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10</v>
      </c>
      <c r="P4926">
        <f t="shared" si="249"/>
        <v>2025</v>
      </c>
      <c r="Q4926">
        <f t="shared" si="250"/>
        <v>11</v>
      </c>
      <c r="R4926" t="str">
        <f t="shared" si="251"/>
        <v>超级全域通</v>
      </c>
      <c r="S4926" t="s">
        <v>570</v>
      </c>
    </row>
    <row r="4927" spans="1:19" x14ac:dyDescent="0.3">
      <c r="A4927" t="s">
        <v>110</v>
      </c>
      <c r="B4927" s="16">
        <v>45962</v>
      </c>
      <c r="C4927" t="s">
        <v>2</v>
      </c>
      <c r="D4927" t="s">
        <v>52</v>
      </c>
      <c r="E4927" t="s">
        <v>51</v>
      </c>
      <c r="F4927">
        <v>1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1</v>
      </c>
      <c r="P4927">
        <f t="shared" si="249"/>
        <v>2025</v>
      </c>
      <c r="Q4927">
        <f t="shared" si="250"/>
        <v>11</v>
      </c>
      <c r="R4927" t="str">
        <f t="shared" si="251"/>
        <v>品牌定制</v>
      </c>
      <c r="S4927" t="s">
        <v>570</v>
      </c>
    </row>
    <row r="4928" spans="1:19" x14ac:dyDescent="0.3">
      <c r="A4928" t="s">
        <v>110</v>
      </c>
      <c r="B4928" s="16">
        <v>45962</v>
      </c>
      <c r="C4928" t="s">
        <v>2</v>
      </c>
      <c r="D4928" t="s">
        <v>55</v>
      </c>
      <c r="E4928" t="s">
        <v>56</v>
      </c>
      <c r="F4928">
        <v>828</v>
      </c>
      <c r="G4928">
        <v>565</v>
      </c>
      <c r="H4928">
        <v>2</v>
      </c>
      <c r="I4928">
        <v>2</v>
      </c>
      <c r="J4928">
        <v>0</v>
      </c>
      <c r="K4928">
        <v>0</v>
      </c>
      <c r="L4928">
        <v>0</v>
      </c>
      <c r="M4928">
        <v>0</v>
      </c>
      <c r="N4928">
        <v>13</v>
      </c>
      <c r="O4928">
        <v>791</v>
      </c>
      <c r="P4928">
        <f t="shared" si="249"/>
        <v>2025</v>
      </c>
      <c r="Q4928">
        <f t="shared" si="250"/>
        <v>11</v>
      </c>
      <c r="R4928" t="str">
        <f t="shared" si="251"/>
        <v>超级短视频</v>
      </c>
      <c r="S4928" t="s">
        <v>570</v>
      </c>
    </row>
    <row r="4929" spans="1:19" x14ac:dyDescent="0.3">
      <c r="A4929" t="s">
        <v>110</v>
      </c>
      <c r="B4929" s="16">
        <v>45962</v>
      </c>
      <c r="C4929" t="s">
        <v>2</v>
      </c>
      <c r="D4929" t="s">
        <v>55</v>
      </c>
      <c r="E4929" t="s">
        <v>54</v>
      </c>
      <c r="F4929">
        <v>11925</v>
      </c>
      <c r="G4929">
        <v>8408</v>
      </c>
      <c r="H4929">
        <v>129</v>
      </c>
      <c r="I4929">
        <v>16</v>
      </c>
      <c r="J4929">
        <v>0</v>
      </c>
      <c r="K4929">
        <v>0</v>
      </c>
      <c r="L4929">
        <v>0</v>
      </c>
      <c r="M4929">
        <v>0</v>
      </c>
      <c r="N4929">
        <v>417</v>
      </c>
      <c r="O4929">
        <v>4626</v>
      </c>
      <c r="P4929">
        <f t="shared" si="249"/>
        <v>2025</v>
      </c>
      <c r="Q4929">
        <f t="shared" si="250"/>
        <v>11</v>
      </c>
      <c r="R4929" t="str">
        <f t="shared" si="251"/>
        <v>超级直播</v>
      </c>
      <c r="S4929" t="s">
        <v>570</v>
      </c>
    </row>
    <row r="4930" spans="1:19" x14ac:dyDescent="0.3">
      <c r="A4930" t="s">
        <v>110</v>
      </c>
      <c r="B4930" s="16">
        <v>45962</v>
      </c>
      <c r="C4930" t="s">
        <v>2</v>
      </c>
      <c r="D4930" t="s">
        <v>55</v>
      </c>
      <c r="E4930" t="s">
        <v>66</v>
      </c>
      <c r="F4930">
        <v>60</v>
      </c>
      <c r="G4930">
        <v>52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1</v>
      </c>
      <c r="P4930">
        <f t="shared" si="249"/>
        <v>2025</v>
      </c>
      <c r="Q4930">
        <f t="shared" si="250"/>
        <v>11</v>
      </c>
      <c r="R4930" t="str">
        <f t="shared" si="251"/>
        <v>短直联动</v>
      </c>
      <c r="S4930" t="s">
        <v>570</v>
      </c>
    </row>
    <row r="4931" spans="1:19" x14ac:dyDescent="0.3">
      <c r="A4931" t="s">
        <v>110</v>
      </c>
      <c r="B4931" s="16">
        <v>45962</v>
      </c>
      <c r="C4931" t="s">
        <v>3</v>
      </c>
      <c r="D4931" t="s">
        <v>157</v>
      </c>
      <c r="E4931" t="s">
        <v>182</v>
      </c>
      <c r="F4931">
        <v>5</v>
      </c>
      <c r="G4931">
        <v>3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f t="shared" si="249"/>
        <v>2025</v>
      </c>
      <c r="Q4931">
        <f t="shared" si="250"/>
        <v>11</v>
      </c>
      <c r="R4931" t="str">
        <f t="shared" si="251"/>
        <v>飞猪其他</v>
      </c>
      <c r="S4931" t="s">
        <v>570</v>
      </c>
    </row>
    <row r="4932" spans="1:19" x14ac:dyDescent="0.3">
      <c r="A4932" t="s">
        <v>110</v>
      </c>
      <c r="B4932" s="16">
        <v>45962</v>
      </c>
      <c r="C4932" t="s">
        <v>3</v>
      </c>
      <c r="D4932" t="s">
        <v>143</v>
      </c>
      <c r="E4932" t="s">
        <v>224</v>
      </c>
      <c r="F4932">
        <v>7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7</v>
      </c>
      <c r="P4932">
        <f t="shared" si="249"/>
        <v>2025</v>
      </c>
      <c r="Q4932">
        <f t="shared" si="250"/>
        <v>11</v>
      </c>
      <c r="R4932" t="str">
        <f t="shared" si="251"/>
        <v>淘特自主访问</v>
      </c>
      <c r="S4932" t="s">
        <v>570</v>
      </c>
    </row>
    <row r="4933" spans="1:19" x14ac:dyDescent="0.3">
      <c r="A4933" t="s">
        <v>110</v>
      </c>
      <c r="B4933" s="16">
        <v>45962</v>
      </c>
      <c r="C4933" t="s">
        <v>3</v>
      </c>
      <c r="D4933" t="s">
        <v>143</v>
      </c>
      <c r="E4933" t="s">
        <v>181</v>
      </c>
      <c r="F4933">
        <v>7</v>
      </c>
      <c r="G4933">
        <v>6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7</v>
      </c>
      <c r="P4933">
        <f t="shared" si="249"/>
        <v>2025</v>
      </c>
      <c r="Q4933">
        <f t="shared" si="250"/>
        <v>11</v>
      </c>
      <c r="R4933" t="str">
        <f t="shared" si="251"/>
        <v>淘特搜索</v>
      </c>
      <c r="S4933" t="s">
        <v>570</v>
      </c>
    </row>
    <row r="4934" spans="1:19" x14ac:dyDescent="0.3">
      <c r="A4934" t="s">
        <v>110</v>
      </c>
      <c r="B4934" s="16">
        <v>45962</v>
      </c>
      <c r="C4934" t="s">
        <v>3</v>
      </c>
      <c r="D4934" t="s">
        <v>114</v>
      </c>
      <c r="E4934" t="s">
        <v>159</v>
      </c>
      <c r="F4934">
        <v>2106</v>
      </c>
      <c r="G4934">
        <v>1071</v>
      </c>
      <c r="H4934">
        <v>55</v>
      </c>
      <c r="I4934">
        <v>24</v>
      </c>
      <c r="J4934">
        <v>59150</v>
      </c>
      <c r="K4934">
        <v>9</v>
      </c>
      <c r="L4934">
        <v>34280</v>
      </c>
      <c r="M4934">
        <v>5</v>
      </c>
      <c r="N4934">
        <v>176</v>
      </c>
      <c r="O4934">
        <v>2080</v>
      </c>
      <c r="P4934">
        <f t="shared" si="249"/>
        <v>2025</v>
      </c>
      <c r="Q4934">
        <f t="shared" si="250"/>
        <v>11</v>
      </c>
      <c r="R4934" t="str">
        <f t="shared" si="251"/>
        <v>主会场</v>
      </c>
      <c r="S4934" t="s">
        <v>570</v>
      </c>
    </row>
    <row r="4935" spans="1:19" x14ac:dyDescent="0.3">
      <c r="A4935" t="s">
        <v>110</v>
      </c>
      <c r="B4935" s="16">
        <v>45962</v>
      </c>
      <c r="C4935" t="s">
        <v>3</v>
      </c>
      <c r="D4935" t="s">
        <v>128</v>
      </c>
      <c r="E4935" t="s">
        <v>179</v>
      </c>
      <c r="F4935">
        <v>504</v>
      </c>
      <c r="G4935">
        <v>239</v>
      </c>
      <c r="H4935">
        <v>31</v>
      </c>
      <c r="I4935">
        <v>4</v>
      </c>
      <c r="J4935">
        <v>35320</v>
      </c>
      <c r="K4935">
        <v>5</v>
      </c>
      <c r="L4935">
        <v>25370</v>
      </c>
      <c r="M4935">
        <v>5</v>
      </c>
      <c r="N4935">
        <v>45</v>
      </c>
      <c r="O4935">
        <v>459</v>
      </c>
      <c r="P4935">
        <f t="shared" si="249"/>
        <v>2025</v>
      </c>
      <c r="Q4935">
        <f t="shared" si="250"/>
        <v>11</v>
      </c>
      <c r="R4935" t="str">
        <f t="shared" si="251"/>
        <v>手淘搜索-短视频</v>
      </c>
      <c r="S4935" t="s">
        <v>570</v>
      </c>
    </row>
    <row r="4936" spans="1:19" x14ac:dyDescent="0.3">
      <c r="A4936" t="s">
        <v>110</v>
      </c>
      <c r="B4936" s="16">
        <v>45962</v>
      </c>
      <c r="C4936" t="s">
        <v>3</v>
      </c>
      <c r="D4936" t="s">
        <v>128</v>
      </c>
      <c r="E4936" t="s">
        <v>178</v>
      </c>
      <c r="F4936">
        <v>181</v>
      </c>
      <c r="G4936">
        <v>112</v>
      </c>
      <c r="H4936">
        <v>4</v>
      </c>
      <c r="I4936">
        <v>0</v>
      </c>
      <c r="J4936">
        <v>9800</v>
      </c>
      <c r="K4936">
        <v>1</v>
      </c>
      <c r="L4936">
        <v>9800</v>
      </c>
      <c r="M4936">
        <v>1</v>
      </c>
      <c r="N4936">
        <v>21</v>
      </c>
      <c r="O4936">
        <v>163</v>
      </c>
      <c r="P4936">
        <f t="shared" si="249"/>
        <v>2025</v>
      </c>
      <c r="Q4936">
        <f t="shared" si="250"/>
        <v>11</v>
      </c>
      <c r="R4936" t="str">
        <f t="shared" si="251"/>
        <v>手淘搜索-直播</v>
      </c>
      <c r="S4936" t="s">
        <v>570</v>
      </c>
    </row>
    <row r="4937" spans="1:19" x14ac:dyDescent="0.3">
      <c r="A4937" t="s">
        <v>110</v>
      </c>
      <c r="B4937" s="16">
        <v>45962</v>
      </c>
      <c r="C4937" t="s">
        <v>3</v>
      </c>
      <c r="D4937" t="s">
        <v>128</v>
      </c>
      <c r="E4937" t="s">
        <v>177</v>
      </c>
      <c r="F4937">
        <v>67565</v>
      </c>
      <c r="G4937">
        <v>62444</v>
      </c>
      <c r="H4937">
        <v>1244</v>
      </c>
      <c r="I4937">
        <v>467</v>
      </c>
      <c r="J4937">
        <v>1973383.23</v>
      </c>
      <c r="K4937">
        <v>282</v>
      </c>
      <c r="L4937">
        <v>989103.23</v>
      </c>
      <c r="M4937">
        <v>208</v>
      </c>
      <c r="N4937">
        <v>8987</v>
      </c>
      <c r="O4937">
        <v>65324</v>
      </c>
      <c r="P4937">
        <f t="shared" si="249"/>
        <v>2025</v>
      </c>
      <c r="Q4937">
        <f t="shared" si="250"/>
        <v>11</v>
      </c>
      <c r="R4937" t="str">
        <f t="shared" si="251"/>
        <v>手淘搜索-商品及其他</v>
      </c>
      <c r="S4937" t="s">
        <v>570</v>
      </c>
    </row>
    <row r="4938" spans="1:19" x14ac:dyDescent="0.3">
      <c r="A4938" t="s">
        <v>110</v>
      </c>
      <c r="B4938" s="16">
        <v>45962</v>
      </c>
      <c r="C4938" t="s">
        <v>3</v>
      </c>
      <c r="D4938" t="s">
        <v>127</v>
      </c>
      <c r="E4938" t="s">
        <v>176</v>
      </c>
      <c r="F4938">
        <v>8982</v>
      </c>
      <c r="G4938">
        <v>6894</v>
      </c>
      <c r="H4938">
        <v>18</v>
      </c>
      <c r="I4938">
        <v>6</v>
      </c>
      <c r="J4938">
        <v>10480</v>
      </c>
      <c r="K4938">
        <v>2</v>
      </c>
      <c r="L4938">
        <v>10480</v>
      </c>
      <c r="M4938">
        <v>2</v>
      </c>
      <c r="N4938">
        <v>148</v>
      </c>
      <c r="O4938">
        <v>1008</v>
      </c>
      <c r="P4938">
        <f t="shared" si="249"/>
        <v>2025</v>
      </c>
      <c r="Q4938">
        <f t="shared" si="250"/>
        <v>11</v>
      </c>
      <c r="R4938" t="str">
        <f t="shared" si="251"/>
        <v>首页推荐-短视频</v>
      </c>
      <c r="S4938" t="s">
        <v>570</v>
      </c>
    </row>
    <row r="4939" spans="1:19" x14ac:dyDescent="0.3">
      <c r="A4939" t="s">
        <v>110</v>
      </c>
      <c r="B4939" s="16">
        <v>45962</v>
      </c>
      <c r="C4939" t="s">
        <v>3</v>
      </c>
      <c r="D4939" t="s">
        <v>127</v>
      </c>
      <c r="E4939" t="s">
        <v>175</v>
      </c>
      <c r="F4939">
        <v>1534</v>
      </c>
      <c r="G4939">
        <v>1024</v>
      </c>
      <c r="H4939">
        <v>18</v>
      </c>
      <c r="I4939">
        <v>3</v>
      </c>
      <c r="J4939">
        <v>27845</v>
      </c>
      <c r="K4939">
        <v>6</v>
      </c>
      <c r="L4939">
        <v>21865</v>
      </c>
      <c r="M4939">
        <v>5</v>
      </c>
      <c r="N4939">
        <v>63</v>
      </c>
      <c r="O4939">
        <v>729</v>
      </c>
      <c r="P4939">
        <f t="shared" si="249"/>
        <v>2025</v>
      </c>
      <c r="Q4939">
        <f t="shared" si="250"/>
        <v>11</v>
      </c>
      <c r="R4939" t="str">
        <f t="shared" si="251"/>
        <v>首页推荐-直播</v>
      </c>
      <c r="S4939" t="s">
        <v>570</v>
      </c>
    </row>
    <row r="4940" spans="1:19" x14ac:dyDescent="0.3">
      <c r="A4940" t="s">
        <v>110</v>
      </c>
      <c r="B4940" s="16">
        <v>45962</v>
      </c>
      <c r="C4940" t="s">
        <v>3</v>
      </c>
      <c r="D4940" t="s">
        <v>127</v>
      </c>
      <c r="E4940" t="s">
        <v>174</v>
      </c>
      <c r="F4940">
        <v>129463</v>
      </c>
      <c r="G4940">
        <v>106327</v>
      </c>
      <c r="H4940">
        <v>1448</v>
      </c>
      <c r="I4940">
        <v>521</v>
      </c>
      <c r="J4940">
        <v>1368061.16</v>
      </c>
      <c r="K4940">
        <v>230</v>
      </c>
      <c r="L4940">
        <v>959426.16</v>
      </c>
      <c r="M4940">
        <v>188</v>
      </c>
      <c r="N4940">
        <v>5205</v>
      </c>
      <c r="O4940">
        <v>129463</v>
      </c>
      <c r="P4940">
        <f t="shared" si="249"/>
        <v>2025</v>
      </c>
      <c r="Q4940">
        <f t="shared" si="250"/>
        <v>11</v>
      </c>
      <c r="R4940" t="str">
        <f t="shared" si="251"/>
        <v>首页推荐-微详情</v>
      </c>
      <c r="S4940" t="s">
        <v>570</v>
      </c>
    </row>
    <row r="4941" spans="1:19" x14ac:dyDescent="0.3">
      <c r="A4941" t="s">
        <v>110</v>
      </c>
      <c r="B4941" s="16">
        <v>45962</v>
      </c>
      <c r="C4941" t="s">
        <v>3</v>
      </c>
      <c r="D4941" t="s">
        <v>127</v>
      </c>
      <c r="E4941" t="s">
        <v>173</v>
      </c>
      <c r="F4941">
        <v>20027</v>
      </c>
      <c r="G4941">
        <v>15194</v>
      </c>
      <c r="H4941">
        <v>433</v>
      </c>
      <c r="I4941">
        <v>114</v>
      </c>
      <c r="J4941">
        <v>358485</v>
      </c>
      <c r="K4941">
        <v>65</v>
      </c>
      <c r="L4941">
        <v>255935</v>
      </c>
      <c r="M4941">
        <v>53</v>
      </c>
      <c r="N4941">
        <v>905</v>
      </c>
      <c r="O4941">
        <v>11281</v>
      </c>
      <c r="P4941">
        <f t="shared" si="249"/>
        <v>2025</v>
      </c>
      <c r="Q4941">
        <f t="shared" si="250"/>
        <v>11</v>
      </c>
      <c r="R4941" t="str">
        <f t="shared" si="251"/>
        <v>购后推荐</v>
      </c>
      <c r="S4941" t="s">
        <v>560</v>
      </c>
    </row>
    <row r="4942" spans="1:19" x14ac:dyDescent="0.3">
      <c r="A4942" t="s">
        <v>110</v>
      </c>
      <c r="B4942" s="16">
        <v>45962</v>
      </c>
      <c r="C4942" t="s">
        <v>3</v>
      </c>
      <c r="D4942" t="s">
        <v>127</v>
      </c>
      <c r="E4942" t="s">
        <v>172</v>
      </c>
      <c r="F4942">
        <v>3135</v>
      </c>
      <c r="G4942">
        <v>2051</v>
      </c>
      <c r="H4942">
        <v>101</v>
      </c>
      <c r="I4942">
        <v>16</v>
      </c>
      <c r="J4942">
        <v>116212.24</v>
      </c>
      <c r="K4942">
        <v>22</v>
      </c>
      <c r="L4942">
        <v>86537.24</v>
      </c>
      <c r="M4942">
        <v>19</v>
      </c>
      <c r="N4942">
        <v>224</v>
      </c>
      <c r="O4942">
        <v>2155</v>
      </c>
      <c r="P4942">
        <f t="shared" si="249"/>
        <v>2025</v>
      </c>
      <c r="Q4942">
        <f t="shared" si="250"/>
        <v>11</v>
      </c>
      <c r="R4942" t="str">
        <f t="shared" si="251"/>
        <v>购中推荐</v>
      </c>
      <c r="S4942" t="s">
        <v>560</v>
      </c>
    </row>
    <row r="4943" spans="1:19" x14ac:dyDescent="0.3">
      <c r="A4943" t="s">
        <v>110</v>
      </c>
      <c r="B4943" s="16">
        <v>45962</v>
      </c>
      <c r="C4943" t="s">
        <v>3</v>
      </c>
      <c r="D4943" t="s">
        <v>127</v>
      </c>
      <c r="E4943" t="s">
        <v>171</v>
      </c>
      <c r="F4943">
        <v>13275</v>
      </c>
      <c r="G4943">
        <v>7460</v>
      </c>
      <c r="H4943">
        <v>473</v>
      </c>
      <c r="I4943">
        <v>173</v>
      </c>
      <c r="J4943">
        <v>604805</v>
      </c>
      <c r="K4943">
        <v>89</v>
      </c>
      <c r="L4943">
        <v>448880</v>
      </c>
      <c r="M4943">
        <v>77</v>
      </c>
      <c r="N4943">
        <v>2028</v>
      </c>
      <c r="O4943">
        <v>12668</v>
      </c>
      <c r="P4943">
        <f t="shared" si="249"/>
        <v>2025</v>
      </c>
      <c r="Q4943">
        <f t="shared" si="250"/>
        <v>11</v>
      </c>
      <c r="R4943" t="str">
        <f t="shared" si="251"/>
        <v>其他猜你喜欢</v>
      </c>
      <c r="S4943" t="s">
        <v>560</v>
      </c>
    </row>
    <row r="4944" spans="1:19" x14ac:dyDescent="0.3">
      <c r="A4944" t="s">
        <v>110</v>
      </c>
      <c r="B4944" s="16">
        <v>45962</v>
      </c>
      <c r="C4944" t="s">
        <v>3</v>
      </c>
      <c r="D4944" t="s">
        <v>123</v>
      </c>
      <c r="E4944" t="s">
        <v>170</v>
      </c>
      <c r="F4944">
        <v>1146</v>
      </c>
      <c r="G4944">
        <v>682</v>
      </c>
      <c r="H4944">
        <v>41</v>
      </c>
      <c r="I4944">
        <v>8</v>
      </c>
      <c r="J4944">
        <v>80335</v>
      </c>
      <c r="K4944">
        <v>18</v>
      </c>
      <c r="L4944">
        <v>71445</v>
      </c>
      <c r="M4944">
        <v>17</v>
      </c>
      <c r="N4944">
        <v>997</v>
      </c>
      <c r="O4944">
        <v>528</v>
      </c>
      <c r="P4944">
        <f t="shared" si="249"/>
        <v>2025</v>
      </c>
      <c r="Q4944">
        <f t="shared" si="250"/>
        <v>11</v>
      </c>
      <c r="R4944" t="str">
        <f t="shared" si="251"/>
        <v>店铺超链</v>
      </c>
      <c r="S4944" t="s">
        <v>560</v>
      </c>
    </row>
    <row r="4945" spans="1:19" x14ac:dyDescent="0.3">
      <c r="A4945" t="s">
        <v>110</v>
      </c>
      <c r="B4945" s="16">
        <v>45962</v>
      </c>
      <c r="C4945" t="s">
        <v>3</v>
      </c>
      <c r="D4945" t="s">
        <v>123</v>
      </c>
      <c r="E4945" t="s">
        <v>169</v>
      </c>
      <c r="F4945">
        <v>6</v>
      </c>
      <c r="G4945">
        <v>6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6</v>
      </c>
      <c r="P4945">
        <f t="shared" si="249"/>
        <v>2025</v>
      </c>
      <c r="Q4945">
        <f t="shared" si="250"/>
        <v>11</v>
      </c>
      <c r="R4945" t="str">
        <f t="shared" si="251"/>
        <v>商品详情页头图推荐</v>
      </c>
      <c r="S4945" t="s">
        <v>560</v>
      </c>
    </row>
    <row r="4946" spans="1:19" x14ac:dyDescent="0.3">
      <c r="A4946" t="s">
        <v>110</v>
      </c>
      <c r="B4946" s="16">
        <v>45962</v>
      </c>
      <c r="C4946" t="s">
        <v>3</v>
      </c>
      <c r="D4946" t="s">
        <v>117</v>
      </c>
      <c r="E4946" t="s">
        <v>191</v>
      </c>
      <c r="F4946">
        <v>6</v>
      </c>
      <c r="G4946">
        <v>4</v>
      </c>
      <c r="H4946">
        <v>0</v>
      </c>
      <c r="I4946">
        <v>0</v>
      </c>
      <c r="J4946">
        <v>3980</v>
      </c>
      <c r="K4946">
        <v>2</v>
      </c>
      <c r="L4946">
        <v>0</v>
      </c>
      <c r="M4946">
        <v>0</v>
      </c>
      <c r="N4946">
        <v>2</v>
      </c>
      <c r="O4946">
        <v>6</v>
      </c>
      <c r="P4946">
        <f t="shared" si="249"/>
        <v>2025</v>
      </c>
      <c r="Q4946">
        <f t="shared" si="250"/>
        <v>11</v>
      </c>
      <c r="R4946" t="str">
        <f t="shared" si="251"/>
        <v>商品详情页入口榜单</v>
      </c>
      <c r="S4946" t="s">
        <v>560</v>
      </c>
    </row>
    <row r="4947" spans="1:19" x14ac:dyDescent="0.3">
      <c r="A4947" t="s">
        <v>110</v>
      </c>
      <c r="B4947" s="16">
        <v>45962</v>
      </c>
      <c r="C4947" t="s">
        <v>3</v>
      </c>
      <c r="D4947" t="s">
        <v>117</v>
      </c>
      <c r="E4947" t="s">
        <v>161</v>
      </c>
      <c r="F4947">
        <v>27</v>
      </c>
      <c r="G4947">
        <v>20</v>
      </c>
      <c r="H4947">
        <v>0</v>
      </c>
      <c r="I4947">
        <v>1</v>
      </c>
      <c r="J4947">
        <v>0</v>
      </c>
      <c r="K4947">
        <v>0</v>
      </c>
      <c r="L4947">
        <v>0</v>
      </c>
      <c r="M4947">
        <v>0</v>
      </c>
      <c r="N4947">
        <v>3</v>
      </c>
      <c r="O4947">
        <v>27</v>
      </c>
      <c r="P4947">
        <f t="shared" si="249"/>
        <v>2025</v>
      </c>
      <c r="Q4947">
        <f t="shared" si="250"/>
        <v>11</v>
      </c>
      <c r="R4947" t="str">
        <f t="shared" si="251"/>
        <v>其他入口榜单</v>
      </c>
      <c r="S4947" t="s">
        <v>560</v>
      </c>
    </row>
    <row r="4948" spans="1:19" x14ac:dyDescent="0.3">
      <c r="A4948" t="s">
        <v>110</v>
      </c>
      <c r="B4948" s="16">
        <v>45962</v>
      </c>
      <c r="C4948" t="s">
        <v>3</v>
      </c>
      <c r="D4948" t="s">
        <v>114</v>
      </c>
      <c r="E4948" t="s">
        <v>160</v>
      </c>
      <c r="F4948">
        <v>5</v>
      </c>
      <c r="G4948">
        <v>2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1</v>
      </c>
      <c r="O4948">
        <v>5</v>
      </c>
      <c r="P4948">
        <f t="shared" si="249"/>
        <v>2025</v>
      </c>
      <c r="Q4948">
        <f t="shared" si="250"/>
        <v>11</v>
      </c>
      <c r="R4948" t="str">
        <f t="shared" si="251"/>
        <v>榜单会场</v>
      </c>
      <c r="S4948" t="s">
        <v>560</v>
      </c>
    </row>
    <row r="4949" spans="1:19" x14ac:dyDescent="0.3">
      <c r="A4949" t="s">
        <v>110</v>
      </c>
      <c r="B4949" s="16">
        <v>45992</v>
      </c>
      <c r="C4949" t="s">
        <v>3</v>
      </c>
      <c r="D4949" t="s">
        <v>143</v>
      </c>
      <c r="E4949" t="s">
        <v>180</v>
      </c>
      <c r="F4949">
        <v>10</v>
      </c>
      <c r="G4949">
        <v>6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10</v>
      </c>
      <c r="P4949">
        <f t="shared" ref="P4949:P4977" si="252">YEAR(B4949)</f>
        <v>2025</v>
      </c>
      <c r="Q4949">
        <f t="shared" ref="Q4949:Q4977" si="253">MONTH(B4949)</f>
        <v>12</v>
      </c>
      <c r="R4949" t="str">
        <f t="shared" ref="R4949:R4977" si="254">E4949</f>
        <v>淘特其他渠道</v>
      </c>
      <c r="S4949" t="s">
        <v>560</v>
      </c>
    </row>
    <row r="4950" spans="1:19" x14ac:dyDescent="0.3">
      <c r="A4950" t="s">
        <v>110</v>
      </c>
      <c r="B4950" s="16">
        <v>45992</v>
      </c>
      <c r="C4950" t="s">
        <v>2</v>
      </c>
      <c r="D4950" t="s">
        <v>4</v>
      </c>
      <c r="E4950" t="s">
        <v>43</v>
      </c>
      <c r="F4950">
        <v>4701</v>
      </c>
      <c r="G4950">
        <v>2701</v>
      </c>
      <c r="H4950">
        <v>75</v>
      </c>
      <c r="I4950">
        <v>21</v>
      </c>
      <c r="J4950">
        <v>160715</v>
      </c>
      <c r="K4950">
        <v>43</v>
      </c>
      <c r="L4950">
        <v>133775</v>
      </c>
      <c r="M4950">
        <v>41</v>
      </c>
      <c r="N4950">
        <v>84</v>
      </c>
      <c r="O4950">
        <v>4675</v>
      </c>
      <c r="P4950">
        <f t="shared" si="252"/>
        <v>2025</v>
      </c>
      <c r="Q4950">
        <f t="shared" si="253"/>
        <v>12</v>
      </c>
      <c r="R4950" t="str">
        <f t="shared" si="254"/>
        <v>淘宝客</v>
      </c>
      <c r="S4950" t="s">
        <v>560</v>
      </c>
    </row>
    <row r="4951" spans="1:19" x14ac:dyDescent="0.3">
      <c r="A4951" t="s">
        <v>110</v>
      </c>
      <c r="B4951" s="16">
        <v>45992</v>
      </c>
      <c r="C4951" t="s">
        <v>2</v>
      </c>
      <c r="D4951" t="s">
        <v>4</v>
      </c>
      <c r="E4951" t="s">
        <v>41</v>
      </c>
      <c r="F4951">
        <v>49</v>
      </c>
      <c r="G4951">
        <v>30</v>
      </c>
      <c r="H4951">
        <v>1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10</v>
      </c>
      <c r="O4951">
        <v>46</v>
      </c>
      <c r="P4951">
        <f t="shared" si="252"/>
        <v>2025</v>
      </c>
      <c r="Q4951">
        <f t="shared" si="253"/>
        <v>12</v>
      </c>
      <c r="R4951" t="str">
        <f t="shared" si="254"/>
        <v>流量宝</v>
      </c>
      <c r="S4951" t="s">
        <v>560</v>
      </c>
    </row>
    <row r="4952" spans="1:19" x14ac:dyDescent="0.3">
      <c r="A4952" t="s">
        <v>110</v>
      </c>
      <c r="B4952" s="16">
        <v>45992</v>
      </c>
      <c r="C4952" t="s">
        <v>2</v>
      </c>
      <c r="D4952" t="s">
        <v>4</v>
      </c>
      <c r="E4952" t="s">
        <v>42</v>
      </c>
      <c r="F4952">
        <v>4</v>
      </c>
      <c r="G4952">
        <v>3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4</v>
      </c>
      <c r="P4952">
        <f t="shared" si="252"/>
        <v>2025</v>
      </c>
      <c r="Q4952">
        <f t="shared" si="253"/>
        <v>12</v>
      </c>
      <c r="R4952" t="str">
        <f t="shared" si="254"/>
        <v>UD效果投放</v>
      </c>
      <c r="S4952" t="s">
        <v>560</v>
      </c>
    </row>
    <row r="4953" spans="1:19" x14ac:dyDescent="0.3">
      <c r="A4953" t="s">
        <v>110</v>
      </c>
      <c r="B4953" s="16">
        <v>45992</v>
      </c>
      <c r="C4953" t="s">
        <v>2</v>
      </c>
      <c r="D4953" t="s">
        <v>57</v>
      </c>
      <c r="E4953" t="s">
        <v>63</v>
      </c>
      <c r="F4953">
        <v>24954</v>
      </c>
      <c r="G4953">
        <v>22758</v>
      </c>
      <c r="H4953">
        <v>589</v>
      </c>
      <c r="I4953">
        <v>149</v>
      </c>
      <c r="J4953">
        <v>922891</v>
      </c>
      <c r="K4953">
        <v>102</v>
      </c>
      <c r="L4953">
        <v>522441</v>
      </c>
      <c r="M4953">
        <v>85</v>
      </c>
      <c r="N4953">
        <v>24915</v>
      </c>
      <c r="O4953">
        <v>12235</v>
      </c>
      <c r="P4953">
        <f t="shared" si="252"/>
        <v>2025</v>
      </c>
      <c r="Q4953">
        <f t="shared" si="253"/>
        <v>12</v>
      </c>
      <c r="R4953" t="str">
        <f t="shared" si="254"/>
        <v>万相台</v>
      </c>
      <c r="S4953" t="s">
        <v>560</v>
      </c>
    </row>
    <row r="4954" spans="1:19" x14ac:dyDescent="0.3">
      <c r="A4954" t="s">
        <v>110</v>
      </c>
      <c r="B4954" s="16">
        <v>45992</v>
      </c>
      <c r="C4954" t="s">
        <v>2</v>
      </c>
      <c r="D4954" t="s">
        <v>57</v>
      </c>
      <c r="E4954" t="s">
        <v>65</v>
      </c>
      <c r="F4954">
        <v>47916</v>
      </c>
      <c r="G4954">
        <v>42284</v>
      </c>
      <c r="H4954">
        <v>602</v>
      </c>
      <c r="I4954">
        <v>258</v>
      </c>
      <c r="J4954">
        <v>1072067</v>
      </c>
      <c r="K4954">
        <v>109</v>
      </c>
      <c r="L4954">
        <v>400787</v>
      </c>
      <c r="M4954">
        <v>81</v>
      </c>
      <c r="N4954">
        <v>4861</v>
      </c>
      <c r="O4954">
        <v>46871</v>
      </c>
      <c r="P4954">
        <f t="shared" si="252"/>
        <v>2025</v>
      </c>
      <c r="Q4954">
        <f t="shared" si="253"/>
        <v>12</v>
      </c>
      <c r="R4954" t="str">
        <f t="shared" si="254"/>
        <v>直通车</v>
      </c>
      <c r="S4954" t="s">
        <v>560</v>
      </c>
    </row>
    <row r="4955" spans="1:19" x14ac:dyDescent="0.3">
      <c r="A4955" t="s">
        <v>110</v>
      </c>
      <c r="B4955" s="16">
        <v>45992</v>
      </c>
      <c r="C4955" t="s">
        <v>2</v>
      </c>
      <c r="D4955" t="s">
        <v>57</v>
      </c>
      <c r="E4955" t="s">
        <v>64</v>
      </c>
      <c r="F4955">
        <v>308634</v>
      </c>
      <c r="G4955">
        <v>287308</v>
      </c>
      <c r="H4955">
        <v>1232</v>
      </c>
      <c r="I4955">
        <v>750</v>
      </c>
      <c r="J4955">
        <v>859748.12</v>
      </c>
      <c r="K4955">
        <v>125</v>
      </c>
      <c r="L4955">
        <v>609475</v>
      </c>
      <c r="M4955">
        <v>95</v>
      </c>
      <c r="N4955">
        <v>5530</v>
      </c>
      <c r="O4955">
        <v>308618</v>
      </c>
      <c r="P4955">
        <f t="shared" si="252"/>
        <v>2025</v>
      </c>
      <c r="Q4955">
        <f t="shared" si="253"/>
        <v>12</v>
      </c>
      <c r="R4955" t="str">
        <f t="shared" si="254"/>
        <v>引力魔方</v>
      </c>
      <c r="S4955" t="s">
        <v>560</v>
      </c>
    </row>
    <row r="4956" spans="1:19" x14ac:dyDescent="0.3">
      <c r="A4956" t="s">
        <v>110</v>
      </c>
      <c r="B4956" s="16">
        <v>45992</v>
      </c>
      <c r="C4956" t="s">
        <v>2</v>
      </c>
      <c r="D4956" t="s">
        <v>52</v>
      </c>
      <c r="E4956" t="s">
        <v>58</v>
      </c>
      <c r="F4956">
        <v>4</v>
      </c>
      <c r="G4956">
        <v>3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4</v>
      </c>
      <c r="P4956">
        <f t="shared" si="252"/>
        <v>2025</v>
      </c>
      <c r="Q4956">
        <f t="shared" si="253"/>
        <v>12</v>
      </c>
      <c r="R4956" t="str">
        <f t="shared" si="254"/>
        <v>超级全域通</v>
      </c>
      <c r="S4956" t="s">
        <v>560</v>
      </c>
    </row>
    <row r="4957" spans="1:19" x14ac:dyDescent="0.3">
      <c r="A4957" t="s">
        <v>110</v>
      </c>
      <c r="B4957" s="16">
        <v>45992</v>
      </c>
      <c r="C4957" t="s">
        <v>2</v>
      </c>
      <c r="D4957" t="s">
        <v>52</v>
      </c>
      <c r="E4957" t="s">
        <v>875</v>
      </c>
      <c r="F4957">
        <v>1</v>
      </c>
      <c r="G4957">
        <v>1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1</v>
      </c>
      <c r="O4957">
        <v>0</v>
      </c>
      <c r="P4957">
        <f t="shared" si="252"/>
        <v>2025</v>
      </c>
      <c r="Q4957">
        <f t="shared" si="253"/>
        <v>12</v>
      </c>
      <c r="R4957" t="str">
        <f t="shared" si="254"/>
        <v>品销宝-品牌专区</v>
      </c>
      <c r="S4957" t="s">
        <v>560</v>
      </c>
    </row>
    <row r="4958" spans="1:19" x14ac:dyDescent="0.3">
      <c r="A4958" t="s">
        <v>110</v>
      </c>
      <c r="B4958" s="16">
        <v>45992</v>
      </c>
      <c r="C4958" t="s">
        <v>2</v>
      </c>
      <c r="D4958" t="s">
        <v>55</v>
      </c>
      <c r="E4958" t="s">
        <v>56</v>
      </c>
      <c r="F4958">
        <v>311</v>
      </c>
      <c r="G4958">
        <v>184</v>
      </c>
      <c r="H4958">
        <v>1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1</v>
      </c>
      <c r="O4958">
        <v>298</v>
      </c>
      <c r="P4958">
        <f t="shared" si="252"/>
        <v>2025</v>
      </c>
      <c r="Q4958">
        <f t="shared" si="253"/>
        <v>12</v>
      </c>
      <c r="R4958" t="str">
        <f t="shared" si="254"/>
        <v>超级短视频</v>
      </c>
      <c r="S4958" t="s">
        <v>560</v>
      </c>
    </row>
    <row r="4959" spans="1:19" x14ac:dyDescent="0.3">
      <c r="A4959" t="s">
        <v>110</v>
      </c>
      <c r="B4959" s="16">
        <v>45992</v>
      </c>
      <c r="C4959" t="s">
        <v>2</v>
      </c>
      <c r="D4959" t="s">
        <v>55</v>
      </c>
      <c r="E4959" t="s">
        <v>54</v>
      </c>
      <c r="F4959">
        <v>9554</v>
      </c>
      <c r="G4959">
        <v>6687</v>
      </c>
      <c r="H4959">
        <v>83</v>
      </c>
      <c r="I4959">
        <v>16</v>
      </c>
      <c r="J4959">
        <v>0</v>
      </c>
      <c r="K4959">
        <v>0</v>
      </c>
      <c r="L4959">
        <v>0</v>
      </c>
      <c r="M4959">
        <v>0</v>
      </c>
      <c r="N4959">
        <v>318</v>
      </c>
      <c r="O4959">
        <v>4688</v>
      </c>
      <c r="P4959">
        <f t="shared" si="252"/>
        <v>2025</v>
      </c>
      <c r="Q4959">
        <f t="shared" si="253"/>
        <v>12</v>
      </c>
      <c r="R4959" t="str">
        <f t="shared" si="254"/>
        <v>超级直播</v>
      </c>
      <c r="S4959" t="s">
        <v>560</v>
      </c>
    </row>
    <row r="4960" spans="1:19" x14ac:dyDescent="0.3">
      <c r="A4960" t="s">
        <v>110</v>
      </c>
      <c r="B4960" s="16">
        <v>45992</v>
      </c>
      <c r="C4960" t="s">
        <v>2</v>
      </c>
      <c r="D4960" t="s">
        <v>55</v>
      </c>
      <c r="E4960" t="s">
        <v>66</v>
      </c>
      <c r="F4960">
        <v>14</v>
      </c>
      <c r="G4960">
        <v>11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1</v>
      </c>
      <c r="O4960">
        <v>1</v>
      </c>
      <c r="P4960">
        <f t="shared" si="252"/>
        <v>2025</v>
      </c>
      <c r="Q4960">
        <f t="shared" si="253"/>
        <v>12</v>
      </c>
      <c r="R4960" t="str">
        <f t="shared" si="254"/>
        <v>短直联动</v>
      </c>
      <c r="S4960" t="s">
        <v>560</v>
      </c>
    </row>
    <row r="4961" spans="1:19" x14ac:dyDescent="0.3">
      <c r="A4961" t="s">
        <v>110</v>
      </c>
      <c r="B4961" s="16">
        <v>45992</v>
      </c>
      <c r="C4961" t="s">
        <v>3</v>
      </c>
      <c r="D4961" t="s">
        <v>157</v>
      </c>
      <c r="E4961" t="s">
        <v>182</v>
      </c>
      <c r="F4961">
        <v>9</v>
      </c>
      <c r="G4961">
        <v>6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f t="shared" si="252"/>
        <v>2025</v>
      </c>
      <c r="Q4961">
        <f t="shared" si="253"/>
        <v>12</v>
      </c>
      <c r="R4961" t="str">
        <f t="shared" si="254"/>
        <v>飞猪其他</v>
      </c>
      <c r="S4961" t="s">
        <v>560</v>
      </c>
    </row>
    <row r="4962" spans="1:19" x14ac:dyDescent="0.3">
      <c r="A4962" t="s">
        <v>110</v>
      </c>
      <c r="B4962" s="16">
        <v>45992</v>
      </c>
      <c r="C4962" t="s">
        <v>3</v>
      </c>
      <c r="D4962" t="s">
        <v>143</v>
      </c>
      <c r="E4962" t="s">
        <v>224</v>
      </c>
      <c r="F4962">
        <v>2</v>
      </c>
      <c r="G4962">
        <v>1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2</v>
      </c>
      <c r="P4962">
        <f t="shared" si="252"/>
        <v>2025</v>
      </c>
      <c r="Q4962">
        <f t="shared" si="253"/>
        <v>12</v>
      </c>
      <c r="R4962" t="str">
        <f t="shared" si="254"/>
        <v>淘特自主访问</v>
      </c>
      <c r="S4962" t="s">
        <v>560</v>
      </c>
    </row>
    <row r="4963" spans="1:19" x14ac:dyDescent="0.3">
      <c r="A4963" t="s">
        <v>110</v>
      </c>
      <c r="B4963" s="16">
        <v>45992</v>
      </c>
      <c r="C4963" t="s">
        <v>3</v>
      </c>
      <c r="D4963" t="s">
        <v>143</v>
      </c>
      <c r="E4963" t="s">
        <v>181</v>
      </c>
      <c r="F4963">
        <v>3</v>
      </c>
      <c r="G4963">
        <v>3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3</v>
      </c>
      <c r="P4963">
        <f t="shared" si="252"/>
        <v>2025</v>
      </c>
      <c r="Q4963">
        <f t="shared" si="253"/>
        <v>12</v>
      </c>
      <c r="R4963" t="str">
        <f t="shared" si="254"/>
        <v>淘特搜索</v>
      </c>
      <c r="S4963" t="s">
        <v>560</v>
      </c>
    </row>
    <row r="4964" spans="1:19" x14ac:dyDescent="0.3">
      <c r="A4964" t="s">
        <v>110</v>
      </c>
      <c r="B4964" s="16">
        <v>45992</v>
      </c>
      <c r="C4964" t="s">
        <v>3</v>
      </c>
      <c r="D4964" t="s">
        <v>114</v>
      </c>
      <c r="E4964" t="s">
        <v>159</v>
      </c>
      <c r="F4964">
        <v>673</v>
      </c>
      <c r="G4964">
        <v>342</v>
      </c>
      <c r="H4964">
        <v>21</v>
      </c>
      <c r="I4964">
        <v>10</v>
      </c>
      <c r="J4964">
        <v>7980</v>
      </c>
      <c r="K4964">
        <v>2</v>
      </c>
      <c r="L4964">
        <v>990</v>
      </c>
      <c r="M4964">
        <v>1</v>
      </c>
      <c r="N4964">
        <v>46</v>
      </c>
      <c r="O4964">
        <v>669</v>
      </c>
      <c r="P4964">
        <f t="shared" si="252"/>
        <v>2025</v>
      </c>
      <c r="Q4964">
        <f t="shared" si="253"/>
        <v>12</v>
      </c>
      <c r="R4964" t="str">
        <f t="shared" si="254"/>
        <v>主会场</v>
      </c>
      <c r="S4964" t="s">
        <v>560</v>
      </c>
    </row>
    <row r="4965" spans="1:19" x14ac:dyDescent="0.3">
      <c r="A4965" t="s">
        <v>110</v>
      </c>
      <c r="B4965" s="16">
        <v>45992</v>
      </c>
      <c r="C4965" t="s">
        <v>3</v>
      </c>
      <c r="D4965" t="s">
        <v>128</v>
      </c>
      <c r="E4965" t="s">
        <v>179</v>
      </c>
      <c r="F4965">
        <v>273</v>
      </c>
      <c r="G4965">
        <v>161</v>
      </c>
      <c r="H4965">
        <v>19</v>
      </c>
      <c r="I4965">
        <v>2</v>
      </c>
      <c r="J4965">
        <v>17700</v>
      </c>
      <c r="K4965">
        <v>5</v>
      </c>
      <c r="L4965">
        <v>14460</v>
      </c>
      <c r="M4965">
        <v>4</v>
      </c>
      <c r="N4965">
        <v>34</v>
      </c>
      <c r="O4965">
        <v>181</v>
      </c>
      <c r="P4965">
        <f t="shared" si="252"/>
        <v>2025</v>
      </c>
      <c r="Q4965">
        <f t="shared" si="253"/>
        <v>12</v>
      </c>
      <c r="R4965" t="str">
        <f t="shared" si="254"/>
        <v>手淘搜索-短视频</v>
      </c>
      <c r="S4965" t="s">
        <v>560</v>
      </c>
    </row>
    <row r="4966" spans="1:19" x14ac:dyDescent="0.3">
      <c r="A4966" t="s">
        <v>110</v>
      </c>
      <c r="B4966" s="16">
        <v>45992</v>
      </c>
      <c r="C4966" t="s">
        <v>3</v>
      </c>
      <c r="D4966" t="s">
        <v>128</v>
      </c>
      <c r="E4966" t="s">
        <v>178</v>
      </c>
      <c r="F4966">
        <v>95</v>
      </c>
      <c r="G4966">
        <v>65</v>
      </c>
      <c r="H4966">
        <v>2</v>
      </c>
      <c r="I4966">
        <v>0</v>
      </c>
      <c r="J4966">
        <v>2995</v>
      </c>
      <c r="K4966">
        <v>1</v>
      </c>
      <c r="L4966">
        <v>2995</v>
      </c>
      <c r="M4966">
        <v>1</v>
      </c>
      <c r="N4966">
        <v>11</v>
      </c>
      <c r="O4966">
        <v>83</v>
      </c>
      <c r="P4966">
        <f t="shared" si="252"/>
        <v>2025</v>
      </c>
      <c r="Q4966">
        <f t="shared" si="253"/>
        <v>12</v>
      </c>
      <c r="R4966" t="str">
        <f t="shared" si="254"/>
        <v>手淘搜索-直播</v>
      </c>
      <c r="S4966" t="s">
        <v>560</v>
      </c>
    </row>
    <row r="4967" spans="1:19" x14ac:dyDescent="0.3">
      <c r="A4967" t="s">
        <v>110</v>
      </c>
      <c r="B4967" s="16">
        <v>45992</v>
      </c>
      <c r="C4967" t="s">
        <v>3</v>
      </c>
      <c r="D4967" t="s">
        <v>128</v>
      </c>
      <c r="E4967" t="s">
        <v>177</v>
      </c>
      <c r="F4967">
        <v>49648</v>
      </c>
      <c r="G4967">
        <v>45914</v>
      </c>
      <c r="H4967">
        <v>1321</v>
      </c>
      <c r="I4967">
        <v>386</v>
      </c>
      <c r="J4967">
        <v>1293787.24</v>
      </c>
      <c r="K4967">
        <v>229</v>
      </c>
      <c r="L4967">
        <v>850947.24</v>
      </c>
      <c r="M4967">
        <v>199</v>
      </c>
      <c r="N4967">
        <v>7579</v>
      </c>
      <c r="O4967">
        <v>47669</v>
      </c>
      <c r="P4967">
        <f t="shared" si="252"/>
        <v>2025</v>
      </c>
      <c r="Q4967">
        <f t="shared" si="253"/>
        <v>12</v>
      </c>
      <c r="R4967" t="str">
        <f t="shared" si="254"/>
        <v>手淘搜索-商品及其他</v>
      </c>
      <c r="S4967" t="s">
        <v>560</v>
      </c>
    </row>
    <row r="4968" spans="1:19" x14ac:dyDescent="0.3">
      <c r="A4968" t="s">
        <v>110</v>
      </c>
      <c r="B4968" s="16">
        <v>45992</v>
      </c>
      <c r="C4968" t="s">
        <v>3</v>
      </c>
      <c r="D4968" t="s">
        <v>127</v>
      </c>
      <c r="E4968" t="s">
        <v>176</v>
      </c>
      <c r="F4968">
        <v>8685</v>
      </c>
      <c r="G4968">
        <v>6879</v>
      </c>
      <c r="H4968">
        <v>19</v>
      </c>
      <c r="I4968">
        <v>3</v>
      </c>
      <c r="J4968">
        <v>11380</v>
      </c>
      <c r="K4968">
        <v>3</v>
      </c>
      <c r="L4968">
        <v>7390</v>
      </c>
      <c r="M4968">
        <v>2</v>
      </c>
      <c r="N4968">
        <v>134</v>
      </c>
      <c r="O4968">
        <v>843</v>
      </c>
      <c r="P4968">
        <f t="shared" si="252"/>
        <v>2025</v>
      </c>
      <c r="Q4968">
        <f t="shared" si="253"/>
        <v>12</v>
      </c>
      <c r="R4968" t="str">
        <f t="shared" si="254"/>
        <v>首页推荐-短视频</v>
      </c>
      <c r="S4968" t="s">
        <v>560</v>
      </c>
    </row>
    <row r="4969" spans="1:19" x14ac:dyDescent="0.3">
      <c r="A4969" t="s">
        <v>110</v>
      </c>
      <c r="B4969" s="16">
        <v>45992</v>
      </c>
      <c r="C4969" t="s">
        <v>3</v>
      </c>
      <c r="D4969" t="s">
        <v>127</v>
      </c>
      <c r="E4969" t="s">
        <v>175</v>
      </c>
      <c r="F4969">
        <v>1032</v>
      </c>
      <c r="G4969">
        <v>696</v>
      </c>
      <c r="H4969">
        <v>13</v>
      </c>
      <c r="I4969">
        <v>1</v>
      </c>
      <c r="J4969">
        <v>20565</v>
      </c>
      <c r="K4969">
        <v>3</v>
      </c>
      <c r="L4969">
        <v>12680</v>
      </c>
      <c r="M4969">
        <v>3</v>
      </c>
      <c r="N4969">
        <v>36</v>
      </c>
      <c r="O4969">
        <v>387</v>
      </c>
      <c r="P4969">
        <f t="shared" si="252"/>
        <v>2025</v>
      </c>
      <c r="Q4969">
        <f t="shared" si="253"/>
        <v>12</v>
      </c>
      <c r="R4969" t="str">
        <f t="shared" si="254"/>
        <v>首页推荐-直播</v>
      </c>
      <c r="S4969" t="s">
        <v>560</v>
      </c>
    </row>
    <row r="4970" spans="1:19" x14ac:dyDescent="0.3">
      <c r="A4970" t="s">
        <v>110</v>
      </c>
      <c r="B4970" s="16">
        <v>45992</v>
      </c>
      <c r="C4970" t="s">
        <v>3</v>
      </c>
      <c r="D4970" t="s">
        <v>127</v>
      </c>
      <c r="E4970" t="s">
        <v>174</v>
      </c>
      <c r="F4970">
        <v>107088</v>
      </c>
      <c r="G4970">
        <v>89388</v>
      </c>
      <c r="H4970">
        <v>1244</v>
      </c>
      <c r="I4970">
        <v>414</v>
      </c>
      <c r="J4970">
        <v>856601.96</v>
      </c>
      <c r="K4970">
        <v>152</v>
      </c>
      <c r="L4970">
        <v>659071.96</v>
      </c>
      <c r="M4970">
        <v>128</v>
      </c>
      <c r="N4970">
        <v>4309</v>
      </c>
      <c r="O4970">
        <v>107088</v>
      </c>
      <c r="P4970">
        <f t="shared" si="252"/>
        <v>2025</v>
      </c>
      <c r="Q4970">
        <f t="shared" si="253"/>
        <v>12</v>
      </c>
      <c r="R4970" t="str">
        <f t="shared" si="254"/>
        <v>首页推荐-微详情</v>
      </c>
      <c r="S4970" t="s">
        <v>560</v>
      </c>
    </row>
    <row r="4971" spans="1:19" x14ac:dyDescent="0.3">
      <c r="A4971" t="s">
        <v>110</v>
      </c>
      <c r="B4971" s="16">
        <v>45992</v>
      </c>
      <c r="C4971" t="s">
        <v>3</v>
      </c>
      <c r="D4971" t="s">
        <v>127</v>
      </c>
      <c r="E4971" t="s">
        <v>173</v>
      </c>
      <c r="F4971">
        <v>14297</v>
      </c>
      <c r="G4971">
        <v>11481</v>
      </c>
      <c r="H4971">
        <v>231</v>
      </c>
      <c r="I4971">
        <v>71</v>
      </c>
      <c r="J4971">
        <v>201076.64</v>
      </c>
      <c r="K4971">
        <v>29</v>
      </c>
      <c r="L4971">
        <v>153836.64000000001</v>
      </c>
      <c r="M4971">
        <v>24</v>
      </c>
      <c r="N4971">
        <v>491</v>
      </c>
      <c r="O4971">
        <v>6496</v>
      </c>
      <c r="P4971">
        <f t="shared" si="252"/>
        <v>2025</v>
      </c>
      <c r="Q4971">
        <f t="shared" si="253"/>
        <v>12</v>
      </c>
      <c r="R4971" t="str">
        <f t="shared" si="254"/>
        <v>购后推荐</v>
      </c>
      <c r="S4971" t="s">
        <v>560</v>
      </c>
    </row>
    <row r="4972" spans="1:19" x14ac:dyDescent="0.3">
      <c r="A4972" t="s">
        <v>110</v>
      </c>
      <c r="B4972" s="16">
        <v>45992</v>
      </c>
      <c r="C4972" t="s">
        <v>3</v>
      </c>
      <c r="D4972" t="s">
        <v>127</v>
      </c>
      <c r="E4972" t="s">
        <v>172</v>
      </c>
      <c r="F4972">
        <v>1882</v>
      </c>
      <c r="G4972">
        <v>1235</v>
      </c>
      <c r="H4972">
        <v>58</v>
      </c>
      <c r="I4972">
        <v>10</v>
      </c>
      <c r="J4972">
        <v>36963.589999999997</v>
      </c>
      <c r="K4972">
        <v>6</v>
      </c>
      <c r="L4972">
        <v>40953.589999999997</v>
      </c>
      <c r="M4972">
        <v>7</v>
      </c>
      <c r="N4972">
        <v>93</v>
      </c>
      <c r="O4972">
        <v>1174</v>
      </c>
      <c r="P4972">
        <f t="shared" si="252"/>
        <v>2025</v>
      </c>
      <c r="Q4972">
        <f t="shared" si="253"/>
        <v>12</v>
      </c>
      <c r="R4972" t="str">
        <f t="shared" si="254"/>
        <v>购中推荐</v>
      </c>
      <c r="S4972" t="s">
        <v>560</v>
      </c>
    </row>
    <row r="4973" spans="1:19" x14ac:dyDescent="0.3">
      <c r="A4973" t="s">
        <v>110</v>
      </c>
      <c r="B4973" s="16">
        <v>45992</v>
      </c>
      <c r="C4973" t="s">
        <v>3</v>
      </c>
      <c r="D4973" t="s">
        <v>127</v>
      </c>
      <c r="E4973" t="s">
        <v>171</v>
      </c>
      <c r="F4973">
        <v>10864</v>
      </c>
      <c r="G4973">
        <v>6546</v>
      </c>
      <c r="H4973">
        <v>367</v>
      </c>
      <c r="I4973">
        <v>125</v>
      </c>
      <c r="J4973">
        <v>343711.17</v>
      </c>
      <c r="K4973">
        <v>55</v>
      </c>
      <c r="L4973">
        <v>287941.17</v>
      </c>
      <c r="M4973">
        <v>48</v>
      </c>
      <c r="N4973">
        <v>1623</v>
      </c>
      <c r="O4973">
        <v>10540</v>
      </c>
      <c r="P4973">
        <f t="shared" si="252"/>
        <v>2025</v>
      </c>
      <c r="Q4973">
        <f t="shared" si="253"/>
        <v>12</v>
      </c>
      <c r="R4973" t="str">
        <f t="shared" si="254"/>
        <v>其他猜你喜欢</v>
      </c>
      <c r="S4973" t="s">
        <v>560</v>
      </c>
    </row>
    <row r="4974" spans="1:19" x14ac:dyDescent="0.3">
      <c r="A4974" t="s">
        <v>110</v>
      </c>
      <c r="B4974" s="16">
        <v>45992</v>
      </c>
      <c r="C4974" t="s">
        <v>3</v>
      </c>
      <c r="D4974" t="s">
        <v>123</v>
      </c>
      <c r="E4974" t="s">
        <v>170</v>
      </c>
      <c r="F4974">
        <v>1107</v>
      </c>
      <c r="G4974">
        <v>705</v>
      </c>
      <c r="H4974">
        <v>39</v>
      </c>
      <c r="I4974">
        <v>7</v>
      </c>
      <c r="J4974">
        <v>66385</v>
      </c>
      <c r="K4974">
        <v>13</v>
      </c>
      <c r="L4974">
        <v>54995</v>
      </c>
      <c r="M4974">
        <v>13</v>
      </c>
      <c r="N4974">
        <v>1013</v>
      </c>
      <c r="O4974">
        <v>421</v>
      </c>
      <c r="P4974">
        <f t="shared" si="252"/>
        <v>2025</v>
      </c>
      <c r="Q4974">
        <f t="shared" si="253"/>
        <v>12</v>
      </c>
      <c r="R4974" t="str">
        <f t="shared" si="254"/>
        <v>店铺超链</v>
      </c>
      <c r="S4974" t="s">
        <v>560</v>
      </c>
    </row>
    <row r="4975" spans="1:19" x14ac:dyDescent="0.3">
      <c r="A4975" t="s">
        <v>110</v>
      </c>
      <c r="B4975" s="16">
        <v>45992</v>
      </c>
      <c r="C4975" t="s">
        <v>3</v>
      </c>
      <c r="D4975" t="s">
        <v>117</v>
      </c>
      <c r="E4975" t="s">
        <v>191</v>
      </c>
      <c r="F4975">
        <v>7</v>
      </c>
      <c r="G4975">
        <v>7</v>
      </c>
      <c r="H4975">
        <v>1</v>
      </c>
      <c r="I4975">
        <v>0</v>
      </c>
      <c r="J4975">
        <v>4645</v>
      </c>
      <c r="K4975">
        <v>1</v>
      </c>
      <c r="L4975">
        <v>4645</v>
      </c>
      <c r="M4975">
        <v>1</v>
      </c>
      <c r="N4975">
        <v>0</v>
      </c>
      <c r="O4975">
        <v>7</v>
      </c>
      <c r="P4975">
        <f t="shared" si="252"/>
        <v>2025</v>
      </c>
      <c r="Q4975">
        <f t="shared" si="253"/>
        <v>12</v>
      </c>
      <c r="R4975" t="str">
        <f t="shared" si="254"/>
        <v>商品详情页入口榜单</v>
      </c>
      <c r="S4975" t="s">
        <v>560</v>
      </c>
    </row>
    <row r="4976" spans="1:19" x14ac:dyDescent="0.3">
      <c r="A4976" t="s">
        <v>110</v>
      </c>
      <c r="B4976" s="16">
        <v>45992</v>
      </c>
      <c r="C4976" t="s">
        <v>3</v>
      </c>
      <c r="D4976" t="s">
        <v>117</v>
      </c>
      <c r="E4976" t="s">
        <v>161</v>
      </c>
      <c r="F4976">
        <v>13</v>
      </c>
      <c r="G4976">
        <v>10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2</v>
      </c>
      <c r="O4976">
        <v>13</v>
      </c>
      <c r="P4976">
        <f t="shared" si="252"/>
        <v>2025</v>
      </c>
      <c r="Q4976">
        <f t="shared" si="253"/>
        <v>12</v>
      </c>
      <c r="R4976" t="str">
        <f t="shared" si="254"/>
        <v>其他入口榜单</v>
      </c>
      <c r="S4976" t="s">
        <v>560</v>
      </c>
    </row>
    <row r="4977" spans="1:19" x14ac:dyDescent="0.3">
      <c r="A4977" t="s">
        <v>110</v>
      </c>
      <c r="B4977" s="16">
        <v>45992</v>
      </c>
      <c r="C4977" t="s">
        <v>3</v>
      </c>
      <c r="D4977" t="s">
        <v>114</v>
      </c>
      <c r="E4977" t="s">
        <v>160</v>
      </c>
      <c r="F4977">
        <v>2</v>
      </c>
      <c r="G4977">
        <v>1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2</v>
      </c>
      <c r="P4977">
        <f t="shared" si="252"/>
        <v>2025</v>
      </c>
      <c r="Q4977">
        <f t="shared" si="253"/>
        <v>12</v>
      </c>
      <c r="R4977" t="str">
        <f t="shared" si="254"/>
        <v>榜单会场</v>
      </c>
      <c r="S4977" t="s">
        <v>560</v>
      </c>
    </row>
  </sheetData>
  <autoFilter ref="A1:T4948" xr:uid="{1272EF9A-7F6F-4806-89E0-153C7031E2E7}"/>
  <phoneticPr fontId="1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94B1-1C4D-49F6-94A9-147025A6A2E8}">
  <dimension ref="A1:AG13"/>
  <sheetViews>
    <sheetView zoomScale="130" zoomScaleNormal="130" workbookViewId="0">
      <selection activeCell="E10" sqref="E10"/>
    </sheetView>
  </sheetViews>
  <sheetFormatPr defaultRowHeight="14" x14ac:dyDescent="0.3"/>
  <cols>
    <col min="1" max="1" width="9" bestFit="1" customWidth="1"/>
    <col min="2" max="2" width="10" bestFit="1" customWidth="1"/>
    <col min="3" max="4" width="9.75" bestFit="1" customWidth="1"/>
    <col min="5" max="5" width="13" bestFit="1" customWidth="1"/>
    <col min="6" max="6" width="7.08203125" bestFit="1" customWidth="1"/>
    <col min="7" max="8" width="9" bestFit="1" customWidth="1"/>
    <col min="9" max="9" width="13" bestFit="1" customWidth="1"/>
    <col min="10" max="10" width="9.25" bestFit="1" customWidth="1"/>
    <col min="11" max="11" width="11" bestFit="1" customWidth="1"/>
    <col min="12" max="12" width="9.25" bestFit="1" customWidth="1"/>
    <col min="13" max="13" width="11" bestFit="1" customWidth="1"/>
    <col min="14" max="14" width="17.25" bestFit="1" customWidth="1"/>
    <col min="15" max="15" width="15.08203125" bestFit="1" customWidth="1"/>
  </cols>
  <sheetData>
    <row r="1" spans="1:33" ht="24" x14ac:dyDescent="0.3">
      <c r="A1" s="11" t="s">
        <v>14</v>
      </c>
      <c r="B1" s="11" t="s">
        <v>15</v>
      </c>
      <c r="C1" s="11" t="s">
        <v>16</v>
      </c>
      <c r="D1" s="11" t="s">
        <v>8</v>
      </c>
      <c r="E1" s="11" t="s">
        <v>17</v>
      </c>
      <c r="F1" s="11" t="s">
        <v>13</v>
      </c>
      <c r="G1" s="11" t="s">
        <v>18</v>
      </c>
      <c r="H1" s="11" t="s">
        <v>19</v>
      </c>
      <c r="I1" s="11" t="s">
        <v>20</v>
      </c>
      <c r="J1" s="11" t="s">
        <v>21</v>
      </c>
      <c r="K1" s="11" t="s">
        <v>351</v>
      </c>
      <c r="L1" s="11" t="s">
        <v>352</v>
      </c>
      <c r="M1" s="11" t="s">
        <v>22</v>
      </c>
      <c r="N1" s="11" t="s">
        <v>23</v>
      </c>
      <c r="O1" s="11" t="s">
        <v>24</v>
      </c>
      <c r="P1" s="11" t="s">
        <v>25</v>
      </c>
      <c r="Q1" s="11" t="s">
        <v>353</v>
      </c>
      <c r="R1" s="11" t="s">
        <v>354</v>
      </c>
      <c r="S1" s="11" t="s">
        <v>26</v>
      </c>
      <c r="T1" s="11" t="s">
        <v>27</v>
      </c>
      <c r="U1" s="11" t="s">
        <v>355</v>
      </c>
      <c r="V1" s="11" t="s">
        <v>28</v>
      </c>
      <c r="W1" s="11" t="s">
        <v>29</v>
      </c>
      <c r="X1" s="11" t="s">
        <v>30</v>
      </c>
      <c r="Y1" s="11" t="s">
        <v>31</v>
      </c>
      <c r="Z1" s="11" t="s">
        <v>9</v>
      </c>
      <c r="AA1" s="11" t="s">
        <v>32</v>
      </c>
      <c r="AB1" s="11" t="s">
        <v>33</v>
      </c>
      <c r="AC1" s="11" t="s">
        <v>34</v>
      </c>
      <c r="AD1" s="11" t="s">
        <v>35</v>
      </c>
      <c r="AE1" s="11" t="s">
        <v>36</v>
      </c>
      <c r="AF1" s="11" t="s">
        <v>37</v>
      </c>
      <c r="AG1" s="116"/>
    </row>
    <row r="2" spans="1:33" x14ac:dyDescent="0.3">
      <c r="A2" s="64">
        <v>1</v>
      </c>
      <c r="B2" s="64">
        <v>2.0220905141717101E+17</v>
      </c>
      <c r="C2" s="64">
        <v>2.0230517210012001E+18</v>
      </c>
      <c r="D2" s="64">
        <v>4272467842</v>
      </c>
      <c r="E2" s="64" t="s">
        <v>7</v>
      </c>
      <c r="F2" s="64" t="s">
        <v>356</v>
      </c>
      <c r="G2" s="64" t="s">
        <v>171</v>
      </c>
      <c r="H2" s="64">
        <v>3</v>
      </c>
      <c r="I2" s="64">
        <v>23.5044</v>
      </c>
      <c r="J2" s="64" t="s">
        <v>127</v>
      </c>
      <c r="K2" s="64" t="s">
        <v>38</v>
      </c>
      <c r="L2" s="64">
        <v>33486</v>
      </c>
      <c r="M2" s="64">
        <v>30639</v>
      </c>
      <c r="N2" s="64">
        <v>0</v>
      </c>
      <c r="O2" s="64">
        <v>15483</v>
      </c>
      <c r="P2" s="64">
        <v>34</v>
      </c>
      <c r="Q2" s="64">
        <v>266425</v>
      </c>
      <c r="R2" s="64">
        <v>20</v>
      </c>
      <c r="S2" s="64">
        <v>119625</v>
      </c>
      <c r="T2" s="64">
        <v>407</v>
      </c>
      <c r="U2" s="64">
        <v>309</v>
      </c>
      <c r="V2" s="64">
        <v>299</v>
      </c>
      <c r="W2" s="64">
        <v>7</v>
      </c>
      <c r="X2" s="64">
        <v>8</v>
      </c>
      <c r="Y2" s="64">
        <v>0</v>
      </c>
      <c r="Z2" s="64">
        <v>11</v>
      </c>
      <c r="AA2" s="64">
        <v>20230531</v>
      </c>
      <c r="AB2" s="65">
        <v>45355.929742476852</v>
      </c>
      <c r="AC2" s="65">
        <v>45355.929742476852</v>
      </c>
      <c r="AD2" s="64" t="s">
        <v>39</v>
      </c>
      <c r="AE2" s="64" t="s">
        <v>39</v>
      </c>
      <c r="AF2" s="64" t="s">
        <v>39</v>
      </c>
      <c r="AG2" s="64" t="s">
        <v>39</v>
      </c>
    </row>
    <row r="3" spans="1:33" x14ac:dyDescent="0.3">
      <c r="A3" s="64">
        <v>2</v>
      </c>
      <c r="B3" s="64">
        <v>2.0220905141717101E+17</v>
      </c>
      <c r="C3" s="64">
        <v>2.0230517210012001E+18</v>
      </c>
      <c r="D3" s="64">
        <v>4272467842</v>
      </c>
      <c r="E3" s="64" t="s">
        <v>7</v>
      </c>
      <c r="F3" s="64" t="s">
        <v>356</v>
      </c>
      <c r="G3" s="64" t="s">
        <v>171</v>
      </c>
      <c r="H3" s="64">
        <v>3</v>
      </c>
      <c r="I3" s="64">
        <v>23.5044</v>
      </c>
      <c r="J3" s="64" t="s">
        <v>127</v>
      </c>
      <c r="K3" s="64" t="s">
        <v>38</v>
      </c>
      <c r="L3" s="64">
        <v>38796</v>
      </c>
      <c r="M3" s="64">
        <v>35115</v>
      </c>
      <c r="N3" s="64">
        <v>0</v>
      </c>
      <c r="O3" s="64">
        <v>17329</v>
      </c>
      <c r="P3" s="64">
        <v>37</v>
      </c>
      <c r="Q3" s="64">
        <v>307760</v>
      </c>
      <c r="R3" s="64">
        <v>26</v>
      </c>
      <c r="S3" s="64">
        <v>193880</v>
      </c>
      <c r="T3" s="64">
        <v>721</v>
      </c>
      <c r="U3" s="64">
        <v>283</v>
      </c>
      <c r="V3" s="64">
        <v>291</v>
      </c>
      <c r="W3" s="64">
        <v>7</v>
      </c>
      <c r="X3" s="64">
        <v>13</v>
      </c>
      <c r="Y3" s="64">
        <v>0</v>
      </c>
      <c r="Z3" s="64">
        <v>10</v>
      </c>
      <c r="AA3" s="64">
        <v>20230630</v>
      </c>
      <c r="AB3" s="65">
        <v>45355.929742476852</v>
      </c>
      <c r="AC3" s="65">
        <v>45355.929742476852</v>
      </c>
      <c r="AD3" s="64" t="s">
        <v>39</v>
      </c>
      <c r="AE3" s="64" t="s">
        <v>39</v>
      </c>
      <c r="AF3" s="64" t="s">
        <v>39</v>
      </c>
      <c r="AG3" s="64" t="s">
        <v>39</v>
      </c>
    </row>
    <row r="4" spans="1:33" x14ac:dyDescent="0.3">
      <c r="A4" s="64">
        <v>3</v>
      </c>
      <c r="B4" s="64">
        <v>2.0220905141717101E+17</v>
      </c>
      <c r="C4" s="64">
        <v>2.0230517210012001E+18</v>
      </c>
      <c r="D4" s="64">
        <v>2208771659256</v>
      </c>
      <c r="E4" s="64" t="s">
        <v>6</v>
      </c>
      <c r="F4" s="64" t="s">
        <v>356</v>
      </c>
      <c r="G4" s="64" t="s">
        <v>171</v>
      </c>
      <c r="H4" s="64">
        <v>3</v>
      </c>
      <c r="I4" s="64">
        <v>23.5044</v>
      </c>
      <c r="J4" s="64" t="s">
        <v>127</v>
      </c>
      <c r="K4" s="64" t="s">
        <v>38</v>
      </c>
      <c r="L4" s="64">
        <v>20067</v>
      </c>
      <c r="M4" s="64">
        <v>18200</v>
      </c>
      <c r="N4" s="64">
        <v>141</v>
      </c>
      <c r="O4" s="64">
        <v>6142</v>
      </c>
      <c r="P4" s="64">
        <v>21</v>
      </c>
      <c r="Q4" s="64">
        <v>71048</v>
      </c>
      <c r="R4" s="64">
        <v>11</v>
      </c>
      <c r="S4" s="64">
        <v>46519</v>
      </c>
      <c r="T4" s="64">
        <v>195</v>
      </c>
      <c r="U4" s="64">
        <v>124</v>
      </c>
      <c r="V4" s="64">
        <v>157</v>
      </c>
      <c r="W4" s="64">
        <v>3</v>
      </c>
      <c r="X4" s="64">
        <v>4</v>
      </c>
      <c r="Y4" s="64">
        <v>2</v>
      </c>
      <c r="Z4" s="64">
        <v>5</v>
      </c>
      <c r="AA4" s="64">
        <v>20230531</v>
      </c>
      <c r="AB4" s="65">
        <v>45355.929742476852</v>
      </c>
      <c r="AC4" s="65">
        <v>45355.929742476852</v>
      </c>
      <c r="AD4" s="64" t="s">
        <v>39</v>
      </c>
      <c r="AE4" s="64" t="s">
        <v>39</v>
      </c>
      <c r="AF4" s="64" t="s">
        <v>39</v>
      </c>
      <c r="AG4" s="64" t="s">
        <v>39</v>
      </c>
    </row>
    <row r="5" spans="1:33" x14ac:dyDescent="0.3">
      <c r="A5" s="64">
        <v>4</v>
      </c>
      <c r="B5" s="64">
        <v>2.0220905141717101E+17</v>
      </c>
      <c r="C5" s="64">
        <v>2.0230517210012001E+18</v>
      </c>
      <c r="D5" s="64">
        <v>2208771659256</v>
      </c>
      <c r="E5" s="64" t="s">
        <v>6</v>
      </c>
      <c r="F5" s="64" t="s">
        <v>356</v>
      </c>
      <c r="G5" s="64" t="s">
        <v>171</v>
      </c>
      <c r="H5" s="64">
        <v>3</v>
      </c>
      <c r="I5" s="64">
        <v>23.5044</v>
      </c>
      <c r="J5" s="64" t="s">
        <v>127</v>
      </c>
      <c r="K5" s="64" t="s">
        <v>38</v>
      </c>
      <c r="L5" s="64">
        <v>37887</v>
      </c>
      <c r="M5" s="64">
        <v>34356</v>
      </c>
      <c r="N5" s="64">
        <v>298</v>
      </c>
      <c r="O5" s="64">
        <v>11029</v>
      </c>
      <c r="P5" s="64">
        <v>49</v>
      </c>
      <c r="Q5" s="64">
        <v>159147.32999999999</v>
      </c>
      <c r="R5" s="64">
        <v>40</v>
      </c>
      <c r="S5" s="64">
        <v>115700.33</v>
      </c>
      <c r="T5" s="64">
        <v>331</v>
      </c>
      <c r="U5" s="64">
        <v>189</v>
      </c>
      <c r="V5" s="64">
        <v>297</v>
      </c>
      <c r="W5" s="64">
        <v>11</v>
      </c>
      <c r="X5" s="64">
        <v>12</v>
      </c>
      <c r="Y5" s="64">
        <v>0</v>
      </c>
      <c r="Z5" s="64">
        <v>21</v>
      </c>
      <c r="AA5" s="64">
        <v>20230630</v>
      </c>
      <c r="AB5" s="65">
        <v>45355.929742476852</v>
      </c>
      <c r="AC5" s="65">
        <v>45355.929742476852</v>
      </c>
      <c r="AD5" s="64" t="s">
        <v>39</v>
      </c>
      <c r="AE5" s="64" t="s">
        <v>39</v>
      </c>
      <c r="AF5" s="64" t="s">
        <v>39</v>
      </c>
      <c r="AG5" s="64" t="s">
        <v>39</v>
      </c>
    </row>
    <row r="6" spans="1:33" x14ac:dyDescent="0.3">
      <c r="A6" s="64">
        <v>5</v>
      </c>
      <c r="B6" s="64">
        <v>2.0220905141717101E+17</v>
      </c>
      <c r="C6" s="64">
        <v>2.0230517210012001E+18</v>
      </c>
      <c r="D6" s="64">
        <v>2213092464927</v>
      </c>
      <c r="E6" s="64" t="s">
        <v>40</v>
      </c>
      <c r="F6" s="64" t="s">
        <v>356</v>
      </c>
      <c r="G6" s="64" t="s">
        <v>171</v>
      </c>
      <c r="H6" s="64">
        <v>3</v>
      </c>
      <c r="I6" s="64">
        <v>23.5044</v>
      </c>
      <c r="J6" s="64" t="s">
        <v>127</v>
      </c>
      <c r="K6" s="64" t="s">
        <v>38</v>
      </c>
      <c r="L6" s="64">
        <v>48543</v>
      </c>
      <c r="M6" s="64">
        <v>45349</v>
      </c>
      <c r="N6" s="64">
        <v>174</v>
      </c>
      <c r="O6" s="64">
        <v>13870</v>
      </c>
      <c r="P6" s="64">
        <v>19</v>
      </c>
      <c r="Q6" s="64">
        <v>329530</v>
      </c>
      <c r="R6" s="64">
        <v>11</v>
      </c>
      <c r="S6" s="64">
        <v>185330</v>
      </c>
      <c r="T6" s="64">
        <v>2594</v>
      </c>
      <c r="U6" s="64">
        <v>398</v>
      </c>
      <c r="V6" s="64">
        <v>360</v>
      </c>
      <c r="W6" s="64">
        <v>6</v>
      </c>
      <c r="X6" s="64">
        <v>2</v>
      </c>
      <c r="Y6" s="64">
        <v>0</v>
      </c>
      <c r="Z6" s="64">
        <v>5</v>
      </c>
      <c r="AA6" s="64">
        <v>20230630</v>
      </c>
      <c r="AB6" s="65">
        <v>45362.780998252318</v>
      </c>
      <c r="AC6" s="65">
        <v>45362.780998252318</v>
      </c>
      <c r="AD6" s="64" t="s">
        <v>39</v>
      </c>
      <c r="AE6" s="64" t="s">
        <v>39</v>
      </c>
      <c r="AF6" s="64" t="s">
        <v>39</v>
      </c>
      <c r="AG6" s="64" t="s">
        <v>39</v>
      </c>
    </row>
    <row r="7" spans="1:33" x14ac:dyDescent="0.3">
      <c r="A7" s="64">
        <v>6</v>
      </c>
      <c r="B7" s="64">
        <v>2.0220905141717101E+17</v>
      </c>
      <c r="C7" s="64">
        <v>2.0230517210012001E+18</v>
      </c>
      <c r="D7" s="64">
        <v>2213092464927</v>
      </c>
      <c r="E7" s="64" t="s">
        <v>40</v>
      </c>
      <c r="F7" s="64" t="s">
        <v>356</v>
      </c>
      <c r="G7" s="64" t="s">
        <v>171</v>
      </c>
      <c r="H7" s="64">
        <v>3</v>
      </c>
      <c r="I7" s="64">
        <v>23.5044</v>
      </c>
      <c r="J7" s="64" t="s">
        <v>127</v>
      </c>
      <c r="K7" s="64" t="s">
        <v>38</v>
      </c>
      <c r="L7" s="64">
        <v>41860</v>
      </c>
      <c r="M7" s="64">
        <v>40276</v>
      </c>
      <c r="N7" s="64">
        <v>28</v>
      </c>
      <c r="O7" s="64">
        <v>17368</v>
      </c>
      <c r="P7" s="64">
        <v>19</v>
      </c>
      <c r="Q7" s="64">
        <v>382600</v>
      </c>
      <c r="R7" s="64">
        <v>12</v>
      </c>
      <c r="S7" s="64">
        <v>169200</v>
      </c>
      <c r="T7" s="64">
        <v>2475</v>
      </c>
      <c r="U7" s="64">
        <v>426</v>
      </c>
      <c r="V7" s="64">
        <v>373</v>
      </c>
      <c r="W7" s="64">
        <v>6</v>
      </c>
      <c r="X7" s="64">
        <v>2</v>
      </c>
      <c r="Y7" s="64">
        <v>0</v>
      </c>
      <c r="Z7" s="64">
        <v>6</v>
      </c>
      <c r="AA7" s="64">
        <v>20230531</v>
      </c>
      <c r="AB7" s="65">
        <v>45362.780998252318</v>
      </c>
      <c r="AC7" s="65">
        <v>45362.780998252318</v>
      </c>
      <c r="AD7" s="64" t="s">
        <v>39</v>
      </c>
      <c r="AE7" s="64" t="s">
        <v>39</v>
      </c>
      <c r="AF7" s="64" t="s">
        <v>39</v>
      </c>
      <c r="AG7" s="64" t="s">
        <v>39</v>
      </c>
    </row>
    <row r="13" spans="1:33" x14ac:dyDescent="0.3">
      <c r="F13" s="15"/>
    </row>
  </sheetData>
  <phoneticPr fontId="1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BDDF-5731-47F9-B83C-6A6E980A7363}">
  <sheetPr codeName="Sheet1"/>
  <dimension ref="A1:AF1081"/>
  <sheetViews>
    <sheetView zoomScale="115" zoomScaleNormal="115" workbookViewId="0">
      <selection activeCell="J1" sqref="J1:K2"/>
    </sheetView>
  </sheetViews>
  <sheetFormatPr defaultRowHeight="14.5" x14ac:dyDescent="0.3"/>
  <cols>
    <col min="1" max="1" width="9.33203125" style="112" bestFit="1" customWidth="1"/>
    <col min="2" max="2" width="13.83203125" style="112" customWidth="1"/>
    <col min="3" max="3" width="22.75" style="112" bestFit="1" customWidth="1"/>
    <col min="4" max="4" width="9" style="112" bestFit="1" customWidth="1"/>
    <col min="5" max="6" width="9.25" style="112" bestFit="1" customWidth="1"/>
    <col min="7" max="7" width="8.83203125" style="112" bestFit="1" customWidth="1"/>
    <col min="8" max="8" width="6.83203125" style="112" bestFit="1" customWidth="1"/>
    <col min="9" max="9" width="10.25" style="112" bestFit="1" customWidth="1"/>
    <col min="10" max="11" width="9.33203125" style="112" bestFit="1" customWidth="1"/>
    <col min="12" max="18" width="8.6640625" style="112"/>
    <col min="19" max="19" width="9" style="112" customWidth="1"/>
    <col min="20" max="22" width="8.6640625" style="112"/>
    <col min="23" max="23" width="10.08203125" style="112" customWidth="1"/>
    <col min="24" max="16384" width="8.6640625" style="112"/>
  </cols>
  <sheetData>
    <row r="1" spans="1:32" x14ac:dyDescent="0.3">
      <c r="A1" s="603" t="s">
        <v>889</v>
      </c>
      <c r="B1" s="603" t="s">
        <v>9</v>
      </c>
      <c r="C1" s="603" t="s">
        <v>8</v>
      </c>
      <c r="D1" s="603" t="s">
        <v>13</v>
      </c>
      <c r="E1" s="603" t="s">
        <v>5</v>
      </c>
      <c r="F1" s="603" t="s">
        <v>877</v>
      </c>
      <c r="G1" s="603" t="s">
        <v>878</v>
      </c>
      <c r="H1" s="603" t="s">
        <v>592</v>
      </c>
      <c r="I1" s="603" t="s">
        <v>585</v>
      </c>
      <c r="J1" s="603" t="s">
        <v>901</v>
      </c>
      <c r="K1" s="603" t="s">
        <v>890</v>
      </c>
      <c r="L1" s="109"/>
      <c r="M1" s="109"/>
      <c r="N1" s="199"/>
      <c r="O1" s="199"/>
      <c r="P1" s="109"/>
      <c r="Q1" s="109"/>
      <c r="R1" s="19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549"/>
    </row>
    <row r="2" spans="1:32" x14ac:dyDescent="0.3">
      <c r="A2" s="604" t="s">
        <v>110</v>
      </c>
      <c r="B2" s="604" t="s">
        <v>891</v>
      </c>
      <c r="C2" s="604" t="s">
        <v>40</v>
      </c>
      <c r="D2" s="604" t="s">
        <v>3</v>
      </c>
      <c r="E2" s="605">
        <v>43192</v>
      </c>
      <c r="F2" s="605">
        <v>38306</v>
      </c>
      <c r="G2" s="604">
        <v>1630</v>
      </c>
      <c r="H2" s="605">
        <v>232</v>
      </c>
      <c r="I2" s="605">
        <v>3333500</v>
      </c>
      <c r="J2" s="604" t="s">
        <v>902</v>
      </c>
      <c r="K2" s="604">
        <f>MONTH(B2)</f>
        <v>4</v>
      </c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396"/>
      <c r="X2" s="262"/>
      <c r="Y2" s="262"/>
      <c r="Z2" s="110"/>
      <c r="AA2" s="110"/>
      <c r="AB2" s="110"/>
      <c r="AC2" s="110"/>
      <c r="AD2" s="110"/>
      <c r="AE2" s="110"/>
    </row>
    <row r="3" spans="1:32" x14ac:dyDescent="0.3">
      <c r="A3" s="604" t="s">
        <v>110</v>
      </c>
      <c r="B3" s="604" t="s">
        <v>891</v>
      </c>
      <c r="C3" s="604" t="s">
        <v>40</v>
      </c>
      <c r="D3" s="604" t="s">
        <v>2</v>
      </c>
      <c r="E3" s="605">
        <v>95957</v>
      </c>
      <c r="F3" s="605">
        <v>89644</v>
      </c>
      <c r="G3" s="604">
        <v>1598</v>
      </c>
      <c r="H3" s="605">
        <v>115</v>
      </c>
      <c r="I3" s="605">
        <v>1544800</v>
      </c>
      <c r="J3" s="604" t="s">
        <v>902</v>
      </c>
      <c r="K3" s="604">
        <f t="shared" ref="K3:K66" si="0">MONTH(B3)</f>
        <v>4</v>
      </c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396"/>
      <c r="X3" s="262"/>
      <c r="Y3" s="262"/>
      <c r="Z3" s="110"/>
      <c r="AA3" s="110"/>
      <c r="AB3" s="110"/>
      <c r="AC3" s="110"/>
      <c r="AD3" s="110"/>
      <c r="AE3" s="110"/>
    </row>
    <row r="4" spans="1:32" x14ac:dyDescent="0.3">
      <c r="A4" s="606" t="s">
        <v>110</v>
      </c>
      <c r="B4" s="606" t="s">
        <v>891</v>
      </c>
      <c r="C4" s="606" t="s">
        <v>6</v>
      </c>
      <c r="D4" s="606" t="s">
        <v>3</v>
      </c>
      <c r="E4" s="607">
        <v>31202</v>
      </c>
      <c r="F4" s="607">
        <v>26530</v>
      </c>
      <c r="G4" s="606">
        <v>731</v>
      </c>
      <c r="H4" s="607">
        <v>152</v>
      </c>
      <c r="I4" s="607">
        <v>950410</v>
      </c>
      <c r="J4" s="606" t="s">
        <v>902</v>
      </c>
      <c r="K4" s="606">
        <f t="shared" si="0"/>
        <v>4</v>
      </c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396"/>
      <c r="X4" s="262"/>
      <c r="Y4" s="262"/>
      <c r="Z4" s="110"/>
      <c r="AA4" s="110"/>
      <c r="AB4" s="110"/>
      <c r="AC4" s="110"/>
      <c r="AD4" s="110"/>
      <c r="AE4" s="110"/>
    </row>
    <row r="5" spans="1:32" x14ac:dyDescent="0.3">
      <c r="A5" s="606" t="s">
        <v>110</v>
      </c>
      <c r="B5" s="606" t="s">
        <v>891</v>
      </c>
      <c r="C5" s="606" t="s">
        <v>6</v>
      </c>
      <c r="D5" s="606" t="s">
        <v>2</v>
      </c>
      <c r="E5" s="607">
        <v>153058</v>
      </c>
      <c r="F5" s="607">
        <v>147096</v>
      </c>
      <c r="G5" s="606">
        <v>1489</v>
      </c>
      <c r="H5" s="607">
        <v>96</v>
      </c>
      <c r="I5" s="607">
        <v>545295</v>
      </c>
      <c r="J5" s="606" t="s">
        <v>902</v>
      </c>
      <c r="K5" s="606">
        <f t="shared" si="0"/>
        <v>4</v>
      </c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396"/>
      <c r="X5" s="262"/>
      <c r="Y5" s="262"/>
      <c r="Z5" s="110"/>
      <c r="AA5" s="110"/>
      <c r="AB5" s="110"/>
      <c r="AC5" s="110"/>
      <c r="AD5" s="110"/>
      <c r="AE5" s="110"/>
    </row>
    <row r="6" spans="1:32" x14ac:dyDescent="0.3">
      <c r="A6" s="606" t="s">
        <v>110</v>
      </c>
      <c r="B6" s="606" t="s">
        <v>891</v>
      </c>
      <c r="C6" s="606" t="s">
        <v>7</v>
      </c>
      <c r="D6" s="606" t="s">
        <v>3</v>
      </c>
      <c r="E6" s="607">
        <v>93607</v>
      </c>
      <c r="F6" s="607">
        <v>84947</v>
      </c>
      <c r="G6" s="606">
        <v>2143</v>
      </c>
      <c r="H6" s="607">
        <v>397</v>
      </c>
      <c r="I6" s="607">
        <v>3883030</v>
      </c>
      <c r="J6" s="606" t="s">
        <v>902</v>
      </c>
      <c r="K6" s="606">
        <f t="shared" si="0"/>
        <v>4</v>
      </c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396"/>
      <c r="X6" s="262"/>
      <c r="Y6" s="262"/>
      <c r="Z6" s="110"/>
      <c r="AA6" s="110"/>
      <c r="AB6" s="110"/>
      <c r="AC6" s="110"/>
      <c r="AD6" s="110"/>
      <c r="AE6" s="110"/>
    </row>
    <row r="7" spans="1:32" x14ac:dyDescent="0.3">
      <c r="A7" s="604" t="s">
        <v>110</v>
      </c>
      <c r="B7" s="604" t="s">
        <v>891</v>
      </c>
      <c r="C7" s="604" t="s">
        <v>7</v>
      </c>
      <c r="D7" s="604" t="s">
        <v>2</v>
      </c>
      <c r="E7" s="605">
        <v>211540</v>
      </c>
      <c r="F7" s="605">
        <v>199907</v>
      </c>
      <c r="G7" s="604">
        <v>2611</v>
      </c>
      <c r="H7" s="605">
        <v>239</v>
      </c>
      <c r="I7" s="605">
        <v>2473320</v>
      </c>
      <c r="J7" s="604" t="s">
        <v>902</v>
      </c>
      <c r="K7" s="604">
        <f t="shared" si="0"/>
        <v>4</v>
      </c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396"/>
      <c r="X7" s="262"/>
      <c r="Y7" s="262"/>
      <c r="Z7" s="110"/>
      <c r="AA7" s="110"/>
      <c r="AB7" s="110"/>
      <c r="AC7" s="110"/>
      <c r="AD7" s="110"/>
      <c r="AE7" s="110"/>
    </row>
    <row r="8" spans="1:32" x14ac:dyDescent="0.3">
      <c r="A8" s="606" t="s">
        <v>110</v>
      </c>
      <c r="B8" s="606" t="s">
        <v>892</v>
      </c>
      <c r="C8" s="606" t="s">
        <v>40</v>
      </c>
      <c r="D8" s="606" t="s">
        <v>3</v>
      </c>
      <c r="E8" s="607">
        <v>55791</v>
      </c>
      <c r="F8" s="607">
        <v>49069</v>
      </c>
      <c r="G8" s="606">
        <v>2200</v>
      </c>
      <c r="H8" s="607">
        <v>339</v>
      </c>
      <c r="I8" s="607">
        <v>4872700</v>
      </c>
      <c r="J8" s="606" t="s">
        <v>902</v>
      </c>
      <c r="K8" s="606">
        <f t="shared" si="0"/>
        <v>5</v>
      </c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396"/>
      <c r="X8" s="262"/>
      <c r="Y8" s="262"/>
      <c r="Z8" s="110"/>
      <c r="AA8" s="110"/>
      <c r="AB8" s="110"/>
      <c r="AC8" s="110"/>
      <c r="AD8" s="110"/>
      <c r="AE8" s="110"/>
    </row>
    <row r="9" spans="1:32" x14ac:dyDescent="0.3">
      <c r="A9" s="604" t="s">
        <v>110</v>
      </c>
      <c r="B9" s="604" t="s">
        <v>892</v>
      </c>
      <c r="C9" s="604" t="s">
        <v>40</v>
      </c>
      <c r="D9" s="604" t="s">
        <v>2</v>
      </c>
      <c r="E9" s="605">
        <v>162284</v>
      </c>
      <c r="F9" s="605">
        <v>155163</v>
      </c>
      <c r="G9" s="604">
        <v>2614</v>
      </c>
      <c r="H9" s="605">
        <v>233</v>
      </c>
      <c r="I9" s="605">
        <v>2640400</v>
      </c>
      <c r="J9" s="604" t="s">
        <v>902</v>
      </c>
      <c r="K9" s="604">
        <f t="shared" si="0"/>
        <v>5</v>
      </c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396"/>
      <c r="X9" s="262"/>
      <c r="Y9" s="262"/>
      <c r="Z9" s="110"/>
      <c r="AA9" s="110"/>
      <c r="AB9" s="110"/>
      <c r="AC9" s="110"/>
      <c r="AD9" s="110"/>
      <c r="AE9" s="110"/>
    </row>
    <row r="10" spans="1:32" x14ac:dyDescent="0.3">
      <c r="A10" s="604" t="s">
        <v>110</v>
      </c>
      <c r="B10" s="604" t="s">
        <v>892</v>
      </c>
      <c r="C10" s="604" t="s">
        <v>6</v>
      </c>
      <c r="D10" s="604" t="s">
        <v>2</v>
      </c>
      <c r="E10" s="605">
        <v>432046</v>
      </c>
      <c r="F10" s="605">
        <v>414317</v>
      </c>
      <c r="G10" s="604">
        <v>4282</v>
      </c>
      <c r="H10" s="605">
        <v>868</v>
      </c>
      <c r="I10" s="605">
        <v>3052220.73</v>
      </c>
      <c r="J10" s="604" t="s">
        <v>902</v>
      </c>
      <c r="K10" s="604">
        <f t="shared" si="0"/>
        <v>5</v>
      </c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396"/>
      <c r="X10" s="262"/>
      <c r="Y10" s="262"/>
      <c r="Z10" s="110"/>
      <c r="AA10" s="110"/>
      <c r="AB10" s="110"/>
      <c r="AC10" s="110"/>
      <c r="AD10" s="110"/>
      <c r="AE10" s="110"/>
    </row>
    <row r="11" spans="1:32" x14ac:dyDescent="0.3">
      <c r="A11" s="606" t="s">
        <v>110</v>
      </c>
      <c r="B11" s="606" t="s">
        <v>892</v>
      </c>
      <c r="C11" s="606" t="s">
        <v>6</v>
      </c>
      <c r="D11" s="606" t="s">
        <v>3</v>
      </c>
      <c r="E11" s="607">
        <v>241898</v>
      </c>
      <c r="F11" s="607">
        <v>229936</v>
      </c>
      <c r="G11" s="606">
        <v>3585</v>
      </c>
      <c r="H11" s="607">
        <v>1260</v>
      </c>
      <c r="I11" s="607">
        <v>4556993.8900000006</v>
      </c>
      <c r="J11" s="606" t="s">
        <v>902</v>
      </c>
      <c r="K11" s="606">
        <f t="shared" si="0"/>
        <v>5</v>
      </c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396"/>
      <c r="X11" s="262"/>
      <c r="Y11" s="262"/>
      <c r="Z11" s="110"/>
      <c r="AA11" s="110"/>
      <c r="AB11" s="110"/>
      <c r="AC11" s="110"/>
      <c r="AD11" s="110"/>
      <c r="AE11" s="110"/>
    </row>
    <row r="12" spans="1:32" x14ac:dyDescent="0.3">
      <c r="A12" s="606" t="s">
        <v>110</v>
      </c>
      <c r="B12" s="606" t="s">
        <v>892</v>
      </c>
      <c r="C12" s="606" t="s">
        <v>7</v>
      </c>
      <c r="D12" s="606" t="s">
        <v>2</v>
      </c>
      <c r="E12" s="607">
        <v>1258520</v>
      </c>
      <c r="F12" s="607">
        <v>976137</v>
      </c>
      <c r="G12" s="606">
        <v>3305</v>
      </c>
      <c r="H12" s="607">
        <v>386</v>
      </c>
      <c r="I12" s="607">
        <v>3054640</v>
      </c>
      <c r="J12" s="606" t="s">
        <v>902</v>
      </c>
      <c r="K12" s="606">
        <f t="shared" si="0"/>
        <v>5</v>
      </c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396"/>
      <c r="X12" s="262"/>
      <c r="Y12" s="262"/>
      <c r="Z12" s="110"/>
      <c r="AA12" s="110"/>
      <c r="AB12" s="110"/>
      <c r="AC12" s="110"/>
      <c r="AD12" s="110"/>
      <c r="AE12" s="110"/>
    </row>
    <row r="13" spans="1:32" x14ac:dyDescent="0.3">
      <c r="A13" s="604" t="s">
        <v>110</v>
      </c>
      <c r="B13" s="604" t="s">
        <v>892</v>
      </c>
      <c r="C13" s="604" t="s">
        <v>7</v>
      </c>
      <c r="D13" s="604" t="s">
        <v>3</v>
      </c>
      <c r="E13" s="605">
        <v>122781</v>
      </c>
      <c r="F13" s="605">
        <v>112827</v>
      </c>
      <c r="G13" s="604">
        <v>2764</v>
      </c>
      <c r="H13" s="605">
        <v>615</v>
      </c>
      <c r="I13" s="605">
        <v>5504870</v>
      </c>
      <c r="J13" s="604" t="s">
        <v>902</v>
      </c>
      <c r="K13" s="604">
        <f t="shared" si="0"/>
        <v>5</v>
      </c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396"/>
      <c r="X13" s="262"/>
      <c r="Y13" s="262"/>
      <c r="Z13" s="110"/>
      <c r="AA13" s="110"/>
      <c r="AB13" s="110"/>
      <c r="AC13" s="110"/>
      <c r="AD13" s="110"/>
      <c r="AE13" s="110"/>
    </row>
    <row r="14" spans="1:32" x14ac:dyDescent="0.3">
      <c r="A14" s="606" t="s">
        <v>110</v>
      </c>
      <c r="B14" s="606" t="s">
        <v>893</v>
      </c>
      <c r="C14" s="606" t="s">
        <v>40</v>
      </c>
      <c r="D14" s="606" t="s">
        <v>2</v>
      </c>
      <c r="E14" s="607">
        <v>310398</v>
      </c>
      <c r="F14" s="607">
        <v>294175</v>
      </c>
      <c r="G14" s="606">
        <v>3448</v>
      </c>
      <c r="H14" s="607">
        <v>319</v>
      </c>
      <c r="I14" s="607">
        <v>2614475</v>
      </c>
      <c r="J14" s="606" t="s">
        <v>902</v>
      </c>
      <c r="K14" s="606">
        <f t="shared" si="0"/>
        <v>6</v>
      </c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396"/>
      <c r="X14" s="262"/>
      <c r="Y14" s="262"/>
      <c r="Z14" s="110"/>
      <c r="AA14" s="110"/>
      <c r="AB14" s="110"/>
      <c r="AC14" s="110"/>
      <c r="AD14" s="110"/>
      <c r="AE14" s="110"/>
    </row>
    <row r="15" spans="1:32" x14ac:dyDescent="0.3">
      <c r="A15" s="604" t="s">
        <v>110</v>
      </c>
      <c r="B15" s="604" t="s">
        <v>893</v>
      </c>
      <c r="C15" s="604" t="s">
        <v>40</v>
      </c>
      <c r="D15" s="604" t="s">
        <v>3</v>
      </c>
      <c r="E15" s="605">
        <v>113158</v>
      </c>
      <c r="F15" s="605">
        <v>105137</v>
      </c>
      <c r="G15" s="604">
        <v>2669</v>
      </c>
      <c r="H15" s="605">
        <v>518</v>
      </c>
      <c r="I15" s="605">
        <v>5512430</v>
      </c>
      <c r="J15" s="604" t="s">
        <v>902</v>
      </c>
      <c r="K15" s="604">
        <f t="shared" si="0"/>
        <v>6</v>
      </c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396"/>
      <c r="X15" s="262"/>
      <c r="Y15" s="262"/>
      <c r="Z15" s="110"/>
      <c r="AA15" s="110"/>
      <c r="AB15" s="110"/>
      <c r="AC15" s="110"/>
      <c r="AD15" s="110"/>
      <c r="AE15" s="110"/>
    </row>
    <row r="16" spans="1:32" x14ac:dyDescent="0.3">
      <c r="A16" s="606" t="s">
        <v>110</v>
      </c>
      <c r="B16" s="606" t="s">
        <v>893</v>
      </c>
      <c r="C16" s="606" t="s">
        <v>6</v>
      </c>
      <c r="D16" s="606" t="s">
        <v>3</v>
      </c>
      <c r="E16" s="607">
        <v>126364</v>
      </c>
      <c r="F16" s="607">
        <v>111458</v>
      </c>
      <c r="G16" s="606">
        <v>3345</v>
      </c>
      <c r="H16" s="607">
        <v>1119</v>
      </c>
      <c r="I16" s="607">
        <v>3991461.1499999994</v>
      </c>
      <c r="J16" s="606" t="s">
        <v>902</v>
      </c>
      <c r="K16" s="606">
        <f t="shared" si="0"/>
        <v>6</v>
      </c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396"/>
      <c r="X16" s="262"/>
      <c r="Y16" s="262"/>
      <c r="Z16" s="110"/>
      <c r="AA16" s="110"/>
      <c r="AB16" s="110"/>
      <c r="AC16" s="110"/>
      <c r="AD16" s="110"/>
      <c r="AE16" s="110"/>
    </row>
    <row r="17" spans="1:31" x14ac:dyDescent="0.3">
      <c r="A17" s="604" t="s">
        <v>110</v>
      </c>
      <c r="B17" s="604" t="s">
        <v>893</v>
      </c>
      <c r="C17" s="604" t="s">
        <v>6</v>
      </c>
      <c r="D17" s="604" t="s">
        <v>2</v>
      </c>
      <c r="E17" s="605">
        <v>504663</v>
      </c>
      <c r="F17" s="605">
        <v>479155</v>
      </c>
      <c r="G17" s="604">
        <v>3700</v>
      </c>
      <c r="H17" s="605">
        <v>636</v>
      </c>
      <c r="I17" s="605">
        <v>2372679.2399999998</v>
      </c>
      <c r="J17" s="604" t="s">
        <v>902</v>
      </c>
      <c r="K17" s="604">
        <f t="shared" si="0"/>
        <v>6</v>
      </c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396"/>
      <c r="X17" s="262"/>
      <c r="Y17" s="262"/>
      <c r="Z17" s="110"/>
      <c r="AA17" s="110"/>
      <c r="AB17" s="110"/>
      <c r="AC17" s="110"/>
      <c r="AD17" s="110"/>
      <c r="AE17" s="110"/>
    </row>
    <row r="18" spans="1:31" x14ac:dyDescent="0.3">
      <c r="A18" s="606" t="s">
        <v>110</v>
      </c>
      <c r="B18" s="606" t="s">
        <v>893</v>
      </c>
      <c r="C18" s="606" t="s">
        <v>7</v>
      </c>
      <c r="D18" s="606" t="s">
        <v>3</v>
      </c>
      <c r="E18" s="607">
        <v>171700</v>
      </c>
      <c r="F18" s="607">
        <v>158947</v>
      </c>
      <c r="G18" s="606">
        <v>2402</v>
      </c>
      <c r="H18" s="607">
        <v>588</v>
      </c>
      <c r="I18" s="607">
        <v>5858560</v>
      </c>
      <c r="J18" s="606" t="s">
        <v>902</v>
      </c>
      <c r="K18" s="606">
        <f t="shared" si="0"/>
        <v>6</v>
      </c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396"/>
      <c r="X18" s="262"/>
      <c r="Y18" s="262"/>
      <c r="Z18" s="110"/>
      <c r="AA18" s="110"/>
      <c r="AB18" s="110"/>
      <c r="AC18" s="110"/>
      <c r="AD18" s="110"/>
      <c r="AE18" s="110"/>
    </row>
    <row r="19" spans="1:31" x14ac:dyDescent="0.3">
      <c r="A19" s="604" t="s">
        <v>110</v>
      </c>
      <c r="B19" s="604" t="s">
        <v>893</v>
      </c>
      <c r="C19" s="604" t="s">
        <v>7</v>
      </c>
      <c r="D19" s="604" t="s">
        <v>2</v>
      </c>
      <c r="E19" s="605">
        <v>1520790</v>
      </c>
      <c r="F19" s="605">
        <v>1242250</v>
      </c>
      <c r="G19" s="604">
        <v>3543</v>
      </c>
      <c r="H19" s="605">
        <v>379</v>
      </c>
      <c r="I19" s="605">
        <v>3394710</v>
      </c>
      <c r="J19" s="604" t="s">
        <v>902</v>
      </c>
      <c r="K19" s="604">
        <f t="shared" si="0"/>
        <v>6</v>
      </c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396"/>
      <c r="X19" s="262"/>
      <c r="Y19" s="262"/>
      <c r="Z19" s="110"/>
      <c r="AA19" s="110"/>
      <c r="AB19" s="110"/>
      <c r="AC19" s="110"/>
      <c r="AD19" s="110"/>
      <c r="AE19" s="110"/>
    </row>
    <row r="20" spans="1:31" x14ac:dyDescent="0.3">
      <c r="A20" s="606" t="s">
        <v>110</v>
      </c>
      <c r="B20" s="606" t="s">
        <v>894</v>
      </c>
      <c r="C20" s="606" t="s">
        <v>40</v>
      </c>
      <c r="D20" s="606" t="s">
        <v>2</v>
      </c>
      <c r="E20" s="607">
        <v>180309</v>
      </c>
      <c r="F20" s="607">
        <v>168389</v>
      </c>
      <c r="G20" s="606">
        <v>2655</v>
      </c>
      <c r="H20" s="607">
        <v>197</v>
      </c>
      <c r="I20" s="607">
        <v>1866625</v>
      </c>
      <c r="J20" s="606" t="s">
        <v>902</v>
      </c>
      <c r="K20" s="606">
        <f t="shared" si="0"/>
        <v>7</v>
      </c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396"/>
      <c r="X20" s="262"/>
      <c r="Y20" s="262"/>
      <c r="Z20" s="110"/>
      <c r="AA20" s="110"/>
      <c r="AB20" s="110"/>
      <c r="AC20" s="110"/>
      <c r="AD20" s="110"/>
      <c r="AE20" s="110"/>
    </row>
    <row r="21" spans="1:31" x14ac:dyDescent="0.3">
      <c r="A21" s="604" t="s">
        <v>110</v>
      </c>
      <c r="B21" s="604" t="s">
        <v>894</v>
      </c>
      <c r="C21" s="604" t="s">
        <v>40</v>
      </c>
      <c r="D21" s="604" t="s">
        <v>3</v>
      </c>
      <c r="E21" s="605">
        <v>59120</v>
      </c>
      <c r="F21" s="605">
        <v>52063</v>
      </c>
      <c r="G21" s="604">
        <v>2529</v>
      </c>
      <c r="H21" s="605">
        <v>399</v>
      </c>
      <c r="I21" s="605">
        <v>4510745</v>
      </c>
      <c r="J21" s="604" t="s">
        <v>902</v>
      </c>
      <c r="K21" s="604">
        <f t="shared" si="0"/>
        <v>7</v>
      </c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396"/>
      <c r="X21" s="262"/>
      <c r="Y21" s="262"/>
      <c r="Z21" s="110"/>
      <c r="AA21" s="110"/>
      <c r="AB21" s="110"/>
      <c r="AC21" s="110"/>
      <c r="AD21" s="110"/>
      <c r="AE21" s="110"/>
    </row>
    <row r="22" spans="1:31" x14ac:dyDescent="0.3">
      <c r="A22" s="606" t="s">
        <v>110</v>
      </c>
      <c r="B22" s="606" t="s">
        <v>894</v>
      </c>
      <c r="C22" s="606" t="s">
        <v>6</v>
      </c>
      <c r="D22" s="606" t="s">
        <v>3</v>
      </c>
      <c r="E22" s="607">
        <v>60621</v>
      </c>
      <c r="F22" s="607">
        <v>54282</v>
      </c>
      <c r="G22" s="606">
        <v>747</v>
      </c>
      <c r="H22" s="607">
        <v>194</v>
      </c>
      <c r="I22" s="607">
        <v>1012150</v>
      </c>
      <c r="J22" s="606" t="s">
        <v>902</v>
      </c>
      <c r="K22" s="606">
        <f t="shared" si="0"/>
        <v>7</v>
      </c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396"/>
      <c r="X22" s="262"/>
      <c r="Y22" s="262"/>
      <c r="Z22" s="110"/>
      <c r="AA22" s="110"/>
      <c r="AB22" s="110"/>
      <c r="AC22" s="110"/>
      <c r="AD22" s="110"/>
      <c r="AE22" s="110"/>
    </row>
    <row r="23" spans="1:31" x14ac:dyDescent="0.3">
      <c r="A23" s="604" t="s">
        <v>110</v>
      </c>
      <c r="B23" s="604" t="s">
        <v>894</v>
      </c>
      <c r="C23" s="604" t="s">
        <v>6</v>
      </c>
      <c r="D23" s="604" t="s">
        <v>2</v>
      </c>
      <c r="E23" s="605">
        <v>222116</v>
      </c>
      <c r="F23" s="605">
        <v>211205</v>
      </c>
      <c r="G23" s="604">
        <v>2047</v>
      </c>
      <c r="H23" s="605">
        <v>139</v>
      </c>
      <c r="I23" s="605">
        <v>762495</v>
      </c>
      <c r="J23" s="604" t="s">
        <v>902</v>
      </c>
      <c r="K23" s="604">
        <f t="shared" si="0"/>
        <v>7</v>
      </c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396"/>
      <c r="X23" s="262"/>
      <c r="Y23" s="262"/>
      <c r="Z23" s="110"/>
      <c r="AA23" s="110"/>
      <c r="AB23" s="110"/>
      <c r="AC23" s="110"/>
      <c r="AD23" s="110"/>
      <c r="AE23" s="110"/>
    </row>
    <row r="24" spans="1:31" x14ac:dyDescent="0.3">
      <c r="A24" s="606" t="s">
        <v>110</v>
      </c>
      <c r="B24" s="606" t="s">
        <v>894</v>
      </c>
      <c r="C24" s="606" t="s">
        <v>7</v>
      </c>
      <c r="D24" s="606" t="s">
        <v>3</v>
      </c>
      <c r="E24" s="607">
        <v>66971</v>
      </c>
      <c r="F24" s="607">
        <v>58351</v>
      </c>
      <c r="G24" s="606">
        <v>1759</v>
      </c>
      <c r="H24" s="607">
        <v>353</v>
      </c>
      <c r="I24" s="607">
        <v>3593965</v>
      </c>
      <c r="J24" s="606" t="s">
        <v>902</v>
      </c>
      <c r="K24" s="606">
        <f t="shared" si="0"/>
        <v>7</v>
      </c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396"/>
      <c r="X24" s="262"/>
      <c r="Y24" s="262"/>
      <c r="Z24" s="110"/>
      <c r="AA24" s="110"/>
      <c r="AB24" s="110"/>
      <c r="AC24" s="110"/>
      <c r="AD24" s="110"/>
      <c r="AE24" s="110"/>
    </row>
    <row r="25" spans="1:31" x14ac:dyDescent="0.3">
      <c r="A25" s="604" t="s">
        <v>110</v>
      </c>
      <c r="B25" s="604" t="s">
        <v>894</v>
      </c>
      <c r="C25" s="604" t="s">
        <v>7</v>
      </c>
      <c r="D25" s="604" t="s">
        <v>2</v>
      </c>
      <c r="E25" s="605">
        <v>304717</v>
      </c>
      <c r="F25" s="605">
        <v>285691</v>
      </c>
      <c r="G25" s="604">
        <v>2704</v>
      </c>
      <c r="H25" s="605">
        <v>230</v>
      </c>
      <c r="I25" s="605">
        <v>2140080</v>
      </c>
      <c r="J25" s="604" t="s">
        <v>902</v>
      </c>
      <c r="K25" s="604">
        <f t="shared" si="0"/>
        <v>7</v>
      </c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396"/>
      <c r="X25" s="262"/>
      <c r="Y25" s="262"/>
      <c r="Z25" s="110"/>
      <c r="AA25" s="110"/>
      <c r="AB25" s="110"/>
      <c r="AC25" s="110"/>
      <c r="AD25" s="110"/>
      <c r="AE25" s="110"/>
    </row>
    <row r="26" spans="1:31" x14ac:dyDescent="0.3">
      <c r="A26" s="606" t="s">
        <v>110</v>
      </c>
      <c r="B26" s="606" t="s">
        <v>895</v>
      </c>
      <c r="C26" s="606" t="s">
        <v>40</v>
      </c>
      <c r="D26" s="606" t="s">
        <v>3</v>
      </c>
      <c r="E26" s="607">
        <v>57773</v>
      </c>
      <c r="F26" s="607">
        <v>50397</v>
      </c>
      <c r="G26" s="606">
        <v>2402</v>
      </c>
      <c r="H26" s="607">
        <v>332</v>
      </c>
      <c r="I26" s="607">
        <v>4416740</v>
      </c>
      <c r="J26" s="606" t="s">
        <v>902</v>
      </c>
      <c r="K26" s="606">
        <f t="shared" si="0"/>
        <v>8</v>
      </c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396"/>
      <c r="X26" s="262"/>
      <c r="Y26" s="262"/>
      <c r="Z26" s="110"/>
      <c r="AA26" s="110"/>
      <c r="AB26" s="110"/>
      <c r="AC26" s="110"/>
      <c r="AD26" s="110"/>
      <c r="AE26" s="110"/>
    </row>
    <row r="27" spans="1:31" x14ac:dyDescent="0.3">
      <c r="A27" s="604" t="s">
        <v>110</v>
      </c>
      <c r="B27" s="604" t="s">
        <v>895</v>
      </c>
      <c r="C27" s="604" t="s">
        <v>40</v>
      </c>
      <c r="D27" s="604" t="s">
        <v>2</v>
      </c>
      <c r="E27" s="605">
        <v>212881</v>
      </c>
      <c r="F27" s="605">
        <v>203293</v>
      </c>
      <c r="G27" s="604">
        <v>2972</v>
      </c>
      <c r="H27" s="605">
        <v>152</v>
      </c>
      <c r="I27" s="605">
        <v>1725375</v>
      </c>
      <c r="J27" s="604" t="s">
        <v>902</v>
      </c>
      <c r="K27" s="604">
        <f t="shared" si="0"/>
        <v>8</v>
      </c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396"/>
      <c r="X27" s="262"/>
      <c r="Y27" s="262"/>
      <c r="Z27" s="110"/>
      <c r="AA27" s="110"/>
      <c r="AB27" s="110"/>
      <c r="AC27" s="110"/>
      <c r="AD27" s="110"/>
      <c r="AE27" s="110"/>
    </row>
    <row r="28" spans="1:31" x14ac:dyDescent="0.3">
      <c r="A28" s="606" t="s">
        <v>110</v>
      </c>
      <c r="B28" s="606" t="s">
        <v>895</v>
      </c>
      <c r="C28" s="606" t="s">
        <v>6</v>
      </c>
      <c r="D28" s="606" t="s">
        <v>2</v>
      </c>
      <c r="E28" s="607">
        <v>195033</v>
      </c>
      <c r="F28" s="607">
        <v>185113</v>
      </c>
      <c r="G28" s="606">
        <v>1870</v>
      </c>
      <c r="H28" s="607">
        <v>94</v>
      </c>
      <c r="I28" s="607">
        <v>478985</v>
      </c>
      <c r="J28" s="606" t="s">
        <v>902</v>
      </c>
      <c r="K28" s="606">
        <f t="shared" si="0"/>
        <v>8</v>
      </c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396"/>
      <c r="X28" s="262"/>
      <c r="Y28" s="262"/>
      <c r="Z28" s="110"/>
      <c r="AA28" s="110"/>
      <c r="AB28" s="110"/>
      <c r="AC28" s="110"/>
      <c r="AD28" s="110"/>
      <c r="AE28" s="110"/>
    </row>
    <row r="29" spans="1:31" x14ac:dyDescent="0.3">
      <c r="A29" s="604" t="s">
        <v>110</v>
      </c>
      <c r="B29" s="604" t="s">
        <v>895</v>
      </c>
      <c r="C29" s="604" t="s">
        <v>6</v>
      </c>
      <c r="D29" s="604" t="s">
        <v>3</v>
      </c>
      <c r="E29" s="605">
        <v>47039</v>
      </c>
      <c r="F29" s="605">
        <v>41517</v>
      </c>
      <c r="G29" s="604">
        <v>665</v>
      </c>
      <c r="H29" s="605">
        <v>136</v>
      </c>
      <c r="I29" s="605">
        <v>858725</v>
      </c>
      <c r="J29" s="604" t="s">
        <v>902</v>
      </c>
      <c r="K29" s="604">
        <f t="shared" si="0"/>
        <v>8</v>
      </c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396"/>
      <c r="X29" s="262"/>
      <c r="Y29" s="262"/>
      <c r="Z29" s="110"/>
      <c r="AA29" s="110"/>
      <c r="AB29" s="110"/>
      <c r="AC29" s="110"/>
      <c r="AD29" s="110"/>
      <c r="AE29" s="110"/>
    </row>
    <row r="30" spans="1:31" x14ac:dyDescent="0.3">
      <c r="A30" s="606" t="s">
        <v>110</v>
      </c>
      <c r="B30" s="606" t="s">
        <v>895</v>
      </c>
      <c r="C30" s="606" t="s">
        <v>7</v>
      </c>
      <c r="D30" s="606" t="s">
        <v>3</v>
      </c>
      <c r="E30" s="607">
        <v>85276</v>
      </c>
      <c r="F30" s="607">
        <v>74493</v>
      </c>
      <c r="G30" s="606">
        <v>1875</v>
      </c>
      <c r="H30" s="607">
        <v>348</v>
      </c>
      <c r="I30" s="607">
        <v>3595856</v>
      </c>
      <c r="J30" s="606" t="s">
        <v>902</v>
      </c>
      <c r="K30" s="606">
        <f t="shared" si="0"/>
        <v>8</v>
      </c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396"/>
      <c r="X30" s="262"/>
      <c r="Y30" s="262"/>
      <c r="Z30" s="110"/>
      <c r="AA30" s="110"/>
      <c r="AB30" s="110"/>
      <c r="AC30" s="110"/>
      <c r="AD30" s="110"/>
      <c r="AE30" s="110"/>
    </row>
    <row r="31" spans="1:31" x14ac:dyDescent="0.3">
      <c r="A31" s="604" t="s">
        <v>110</v>
      </c>
      <c r="B31" s="604" t="s">
        <v>895</v>
      </c>
      <c r="C31" s="604" t="s">
        <v>7</v>
      </c>
      <c r="D31" s="604" t="s">
        <v>2</v>
      </c>
      <c r="E31" s="605">
        <v>324247</v>
      </c>
      <c r="F31" s="605">
        <v>295559</v>
      </c>
      <c r="G31" s="604">
        <v>2831</v>
      </c>
      <c r="H31" s="605">
        <v>217</v>
      </c>
      <c r="I31" s="605">
        <v>2082030</v>
      </c>
      <c r="J31" s="604" t="s">
        <v>902</v>
      </c>
      <c r="K31" s="604">
        <f t="shared" si="0"/>
        <v>8</v>
      </c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396"/>
      <c r="X31" s="262"/>
      <c r="Y31" s="262"/>
      <c r="Z31" s="110"/>
      <c r="AA31" s="110"/>
      <c r="AB31" s="110"/>
      <c r="AC31" s="110"/>
      <c r="AD31" s="110"/>
      <c r="AE31" s="110"/>
    </row>
    <row r="32" spans="1:31" x14ac:dyDescent="0.3">
      <c r="A32" s="606" t="s">
        <v>110</v>
      </c>
      <c r="B32" s="606" t="s">
        <v>896</v>
      </c>
      <c r="C32" s="606" t="s">
        <v>40</v>
      </c>
      <c r="D32" s="606" t="s">
        <v>2</v>
      </c>
      <c r="E32" s="607">
        <v>156342</v>
      </c>
      <c r="F32" s="607">
        <v>143765</v>
      </c>
      <c r="G32" s="606">
        <v>2566</v>
      </c>
      <c r="H32" s="607">
        <v>96</v>
      </c>
      <c r="I32" s="607">
        <v>1482810</v>
      </c>
      <c r="J32" s="606" t="s">
        <v>902</v>
      </c>
      <c r="K32" s="606">
        <f t="shared" si="0"/>
        <v>9</v>
      </c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394"/>
      <c r="X32" s="200"/>
      <c r="Y32" s="200"/>
      <c r="Z32" s="111"/>
      <c r="AA32" s="111"/>
      <c r="AB32" s="111"/>
      <c r="AC32" s="111"/>
      <c r="AD32" s="111"/>
      <c r="AE32" s="111"/>
    </row>
    <row r="33" spans="1:31" x14ac:dyDescent="0.3">
      <c r="A33" s="604" t="s">
        <v>110</v>
      </c>
      <c r="B33" s="604" t="s">
        <v>896</v>
      </c>
      <c r="C33" s="604" t="s">
        <v>40</v>
      </c>
      <c r="D33" s="604" t="s">
        <v>3</v>
      </c>
      <c r="E33" s="605">
        <v>51198</v>
      </c>
      <c r="F33" s="605">
        <v>45499</v>
      </c>
      <c r="G33" s="604">
        <v>1853</v>
      </c>
      <c r="H33" s="605">
        <v>201</v>
      </c>
      <c r="I33" s="605">
        <v>3398165</v>
      </c>
      <c r="J33" s="604" t="s">
        <v>902</v>
      </c>
      <c r="K33" s="604">
        <f t="shared" si="0"/>
        <v>9</v>
      </c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394"/>
      <c r="X33" s="200"/>
      <c r="Y33" s="200"/>
      <c r="Z33" s="111"/>
      <c r="AA33" s="111"/>
      <c r="AB33" s="111"/>
      <c r="AC33" s="111"/>
      <c r="AD33" s="111"/>
      <c r="AE33" s="111"/>
    </row>
    <row r="34" spans="1:31" x14ac:dyDescent="0.3">
      <c r="A34" s="606" t="s">
        <v>110</v>
      </c>
      <c r="B34" s="606" t="s">
        <v>896</v>
      </c>
      <c r="C34" s="606" t="s">
        <v>6</v>
      </c>
      <c r="D34" s="606" t="s">
        <v>2</v>
      </c>
      <c r="E34" s="607">
        <v>182722</v>
      </c>
      <c r="F34" s="607">
        <v>175127</v>
      </c>
      <c r="G34" s="606">
        <v>1968</v>
      </c>
      <c r="H34" s="607">
        <v>90</v>
      </c>
      <c r="I34" s="607">
        <v>432645</v>
      </c>
      <c r="J34" s="606" t="s">
        <v>902</v>
      </c>
      <c r="K34" s="606">
        <f t="shared" si="0"/>
        <v>9</v>
      </c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394"/>
      <c r="X34" s="200"/>
      <c r="Y34" s="200"/>
      <c r="Z34" s="111"/>
      <c r="AA34" s="111"/>
      <c r="AB34" s="111"/>
      <c r="AC34" s="111"/>
      <c r="AD34" s="111"/>
      <c r="AE34" s="111"/>
    </row>
    <row r="35" spans="1:31" x14ac:dyDescent="0.3">
      <c r="A35" s="604" t="s">
        <v>110</v>
      </c>
      <c r="B35" s="604" t="s">
        <v>896</v>
      </c>
      <c r="C35" s="604" t="s">
        <v>6</v>
      </c>
      <c r="D35" s="604" t="s">
        <v>3</v>
      </c>
      <c r="E35" s="605">
        <v>45068</v>
      </c>
      <c r="F35" s="605">
        <v>40687</v>
      </c>
      <c r="G35" s="604">
        <v>742</v>
      </c>
      <c r="H35" s="605">
        <v>135</v>
      </c>
      <c r="I35" s="605">
        <v>729980</v>
      </c>
      <c r="J35" s="604" t="s">
        <v>902</v>
      </c>
      <c r="K35" s="604">
        <f t="shared" si="0"/>
        <v>9</v>
      </c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394"/>
      <c r="X35" s="200"/>
      <c r="Y35" s="200"/>
      <c r="Z35" s="111"/>
      <c r="AA35" s="111"/>
      <c r="AB35" s="111"/>
      <c r="AC35" s="111"/>
      <c r="AD35" s="111"/>
      <c r="AE35" s="111"/>
    </row>
    <row r="36" spans="1:31" x14ac:dyDescent="0.3">
      <c r="A36" s="606" t="s">
        <v>110</v>
      </c>
      <c r="B36" s="606" t="s">
        <v>896</v>
      </c>
      <c r="C36" s="606" t="s">
        <v>7</v>
      </c>
      <c r="D36" s="606" t="s">
        <v>2</v>
      </c>
      <c r="E36" s="607">
        <v>262362</v>
      </c>
      <c r="F36" s="607">
        <v>243742</v>
      </c>
      <c r="G36" s="606">
        <v>2796</v>
      </c>
      <c r="H36" s="607">
        <v>197</v>
      </c>
      <c r="I36" s="607">
        <v>2063160</v>
      </c>
      <c r="J36" s="606" t="s">
        <v>902</v>
      </c>
      <c r="K36" s="606">
        <f t="shared" si="0"/>
        <v>9</v>
      </c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394"/>
      <c r="X36" s="200"/>
      <c r="Y36" s="200"/>
      <c r="Z36" s="111"/>
      <c r="AA36" s="111"/>
      <c r="AB36" s="111"/>
      <c r="AC36" s="111"/>
      <c r="AD36" s="111"/>
      <c r="AE36" s="111"/>
    </row>
    <row r="37" spans="1:31" x14ac:dyDescent="0.3">
      <c r="A37" s="604" t="s">
        <v>110</v>
      </c>
      <c r="B37" s="604" t="s">
        <v>896</v>
      </c>
      <c r="C37" s="604" t="s">
        <v>7</v>
      </c>
      <c r="D37" s="604" t="s">
        <v>3</v>
      </c>
      <c r="E37" s="605">
        <v>85865</v>
      </c>
      <c r="F37" s="605">
        <v>76520</v>
      </c>
      <c r="G37" s="604">
        <v>1840</v>
      </c>
      <c r="H37" s="605">
        <v>335</v>
      </c>
      <c r="I37" s="605">
        <v>3941120</v>
      </c>
      <c r="J37" s="604" t="s">
        <v>902</v>
      </c>
      <c r="K37" s="604">
        <f t="shared" si="0"/>
        <v>9</v>
      </c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394"/>
      <c r="X37" s="200"/>
      <c r="Y37" s="200"/>
      <c r="Z37" s="111"/>
      <c r="AA37" s="111"/>
      <c r="AB37" s="111"/>
      <c r="AC37" s="111"/>
      <c r="AD37" s="111"/>
      <c r="AE37" s="111"/>
    </row>
    <row r="38" spans="1:31" x14ac:dyDescent="0.3">
      <c r="A38" s="606" t="s">
        <v>110</v>
      </c>
      <c r="B38" s="606" t="s">
        <v>897</v>
      </c>
      <c r="C38" s="606" t="s">
        <v>40</v>
      </c>
      <c r="D38" s="606" t="s">
        <v>3</v>
      </c>
      <c r="E38" s="607">
        <v>84284</v>
      </c>
      <c r="F38" s="607">
        <v>74248</v>
      </c>
      <c r="G38" s="606">
        <v>2914</v>
      </c>
      <c r="H38" s="607">
        <v>359</v>
      </c>
      <c r="I38" s="607">
        <v>5520910</v>
      </c>
      <c r="J38" s="606" t="s">
        <v>902</v>
      </c>
      <c r="K38" s="606">
        <f t="shared" si="0"/>
        <v>10</v>
      </c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394"/>
      <c r="X38" s="200"/>
      <c r="Y38" s="200"/>
      <c r="Z38" s="111"/>
      <c r="AA38" s="111"/>
      <c r="AB38" s="111"/>
      <c r="AC38" s="111"/>
      <c r="AD38" s="111"/>
      <c r="AE38" s="111"/>
    </row>
    <row r="39" spans="1:31" x14ac:dyDescent="0.3">
      <c r="A39" s="604" t="s">
        <v>110</v>
      </c>
      <c r="B39" s="604" t="s">
        <v>897</v>
      </c>
      <c r="C39" s="604" t="s">
        <v>40</v>
      </c>
      <c r="D39" s="604" t="s">
        <v>2</v>
      </c>
      <c r="E39" s="605">
        <v>284692</v>
      </c>
      <c r="F39" s="605">
        <v>271405</v>
      </c>
      <c r="G39" s="604">
        <v>3694</v>
      </c>
      <c r="H39" s="605">
        <v>196</v>
      </c>
      <c r="I39" s="605">
        <v>2586885</v>
      </c>
      <c r="J39" s="604" t="s">
        <v>902</v>
      </c>
      <c r="K39" s="604">
        <f t="shared" si="0"/>
        <v>10</v>
      </c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394"/>
      <c r="X39" s="200"/>
      <c r="Y39" s="200"/>
      <c r="Z39" s="111"/>
      <c r="AA39" s="111"/>
      <c r="AB39" s="111"/>
      <c r="AC39" s="111"/>
      <c r="AD39" s="111"/>
      <c r="AE39" s="111"/>
    </row>
    <row r="40" spans="1:31" x14ac:dyDescent="0.3">
      <c r="A40" s="604" t="s">
        <v>110</v>
      </c>
      <c r="B40" s="604" t="s">
        <v>897</v>
      </c>
      <c r="C40" s="604" t="s">
        <v>6</v>
      </c>
      <c r="D40" s="604" t="s">
        <v>2</v>
      </c>
      <c r="E40" s="605">
        <v>308792</v>
      </c>
      <c r="F40" s="605">
        <v>294904</v>
      </c>
      <c r="G40" s="604">
        <v>9529</v>
      </c>
      <c r="H40" s="605">
        <v>1553</v>
      </c>
      <c r="I40" s="605">
        <v>8237501.4800000004</v>
      </c>
      <c r="J40" s="604" t="s">
        <v>902</v>
      </c>
      <c r="K40" s="604">
        <f t="shared" si="0"/>
        <v>10</v>
      </c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394"/>
      <c r="X40" s="200"/>
      <c r="Y40" s="200"/>
      <c r="Z40" s="111"/>
      <c r="AA40" s="111"/>
      <c r="AB40" s="111"/>
      <c r="AC40" s="111"/>
      <c r="AD40" s="111"/>
      <c r="AE40" s="111"/>
    </row>
    <row r="41" spans="1:31" x14ac:dyDescent="0.3">
      <c r="A41" s="606" t="s">
        <v>110</v>
      </c>
      <c r="B41" s="606" t="s">
        <v>897</v>
      </c>
      <c r="C41" s="606" t="s">
        <v>6</v>
      </c>
      <c r="D41" s="606" t="s">
        <v>3</v>
      </c>
      <c r="E41" s="607">
        <v>179310</v>
      </c>
      <c r="F41" s="607">
        <v>166340</v>
      </c>
      <c r="G41" s="606">
        <v>7104</v>
      </c>
      <c r="H41" s="607">
        <v>2221</v>
      </c>
      <c r="I41" s="607">
        <v>12848413.739999998</v>
      </c>
      <c r="J41" s="606" t="s">
        <v>902</v>
      </c>
      <c r="K41" s="606">
        <f t="shared" si="0"/>
        <v>10</v>
      </c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394"/>
      <c r="X41" s="200"/>
      <c r="Y41" s="200"/>
      <c r="Z41" s="111"/>
      <c r="AA41" s="111"/>
      <c r="AB41" s="111"/>
      <c r="AC41" s="111"/>
      <c r="AD41" s="111"/>
      <c r="AE41" s="111"/>
    </row>
    <row r="42" spans="1:31" x14ac:dyDescent="0.3">
      <c r="A42" s="606" t="s">
        <v>110</v>
      </c>
      <c r="B42" s="606" t="s">
        <v>897</v>
      </c>
      <c r="C42" s="606" t="s">
        <v>7</v>
      </c>
      <c r="D42" s="606" t="s">
        <v>2</v>
      </c>
      <c r="E42" s="607">
        <v>284809</v>
      </c>
      <c r="F42" s="607">
        <v>269710</v>
      </c>
      <c r="G42" s="606">
        <v>4063</v>
      </c>
      <c r="H42" s="607">
        <v>363</v>
      </c>
      <c r="I42" s="607">
        <v>4056050</v>
      </c>
      <c r="J42" s="606" t="s">
        <v>902</v>
      </c>
      <c r="K42" s="606">
        <f t="shared" si="0"/>
        <v>10</v>
      </c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394"/>
      <c r="X42" s="200"/>
      <c r="Y42" s="200"/>
      <c r="Z42" s="111"/>
      <c r="AA42" s="111"/>
      <c r="AB42" s="111"/>
      <c r="AC42" s="111"/>
      <c r="AD42" s="111"/>
      <c r="AE42" s="111"/>
    </row>
    <row r="43" spans="1:31" x14ac:dyDescent="0.3">
      <c r="A43" s="604" t="s">
        <v>110</v>
      </c>
      <c r="B43" s="604" t="s">
        <v>897</v>
      </c>
      <c r="C43" s="604" t="s">
        <v>7</v>
      </c>
      <c r="D43" s="604" t="s">
        <v>3</v>
      </c>
      <c r="E43" s="605">
        <v>133441</v>
      </c>
      <c r="F43" s="605">
        <v>122741</v>
      </c>
      <c r="G43" s="604">
        <v>3386</v>
      </c>
      <c r="H43" s="605">
        <v>608</v>
      </c>
      <c r="I43" s="605">
        <v>7231870</v>
      </c>
      <c r="J43" s="604" t="s">
        <v>902</v>
      </c>
      <c r="K43" s="604">
        <f t="shared" si="0"/>
        <v>10</v>
      </c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394"/>
      <c r="X43" s="200"/>
      <c r="Y43" s="200"/>
      <c r="Z43" s="111"/>
      <c r="AA43" s="111"/>
      <c r="AB43" s="111"/>
      <c r="AC43" s="111"/>
      <c r="AD43" s="111"/>
      <c r="AE43" s="111"/>
    </row>
    <row r="44" spans="1:31" x14ac:dyDescent="0.3">
      <c r="A44" s="606" t="s">
        <v>110</v>
      </c>
      <c r="B44" s="606" t="s">
        <v>898</v>
      </c>
      <c r="C44" s="606" t="s">
        <v>40</v>
      </c>
      <c r="D44" s="606" t="s">
        <v>2</v>
      </c>
      <c r="E44" s="607">
        <v>298028</v>
      </c>
      <c r="F44" s="607">
        <v>286036</v>
      </c>
      <c r="G44" s="606">
        <v>5099</v>
      </c>
      <c r="H44" s="607">
        <v>220</v>
      </c>
      <c r="I44" s="607">
        <v>2623965</v>
      </c>
      <c r="J44" s="606" t="s">
        <v>902</v>
      </c>
      <c r="K44" s="606">
        <f t="shared" si="0"/>
        <v>11</v>
      </c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394"/>
      <c r="X44" s="200"/>
      <c r="Y44" s="200"/>
      <c r="Z44" s="111"/>
      <c r="AA44" s="111"/>
      <c r="AB44" s="111"/>
      <c r="AC44" s="111"/>
      <c r="AD44" s="111"/>
      <c r="AE44" s="111"/>
    </row>
    <row r="45" spans="1:31" x14ac:dyDescent="0.3">
      <c r="A45" s="606" t="s">
        <v>110</v>
      </c>
      <c r="B45" s="606" t="s">
        <v>898</v>
      </c>
      <c r="C45" s="606" t="s">
        <v>40</v>
      </c>
      <c r="D45" s="606" t="s">
        <v>3</v>
      </c>
      <c r="E45" s="607">
        <v>116340</v>
      </c>
      <c r="F45" s="607">
        <v>102101</v>
      </c>
      <c r="G45" s="606">
        <v>4323</v>
      </c>
      <c r="H45" s="607">
        <v>440</v>
      </c>
      <c r="I45" s="607">
        <v>5956315</v>
      </c>
      <c r="J45" s="606" t="s">
        <v>902</v>
      </c>
      <c r="K45" s="606">
        <f t="shared" si="0"/>
        <v>11</v>
      </c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394"/>
      <c r="X45" s="200"/>
      <c r="Y45" s="200"/>
      <c r="Z45" s="111"/>
      <c r="AA45" s="111"/>
      <c r="AB45" s="111"/>
      <c r="AC45" s="111"/>
      <c r="AD45" s="111"/>
      <c r="AE45" s="111"/>
    </row>
    <row r="46" spans="1:31" x14ac:dyDescent="0.3">
      <c r="A46" s="604" t="s">
        <v>110</v>
      </c>
      <c r="B46" s="604" t="s">
        <v>898</v>
      </c>
      <c r="C46" s="604" t="s">
        <v>6</v>
      </c>
      <c r="D46" s="604" t="s">
        <v>2</v>
      </c>
      <c r="E46" s="605">
        <v>270714</v>
      </c>
      <c r="F46" s="605">
        <v>249407</v>
      </c>
      <c r="G46" s="604">
        <v>7275</v>
      </c>
      <c r="H46" s="605">
        <v>1085</v>
      </c>
      <c r="I46" s="605">
        <v>4880668.12</v>
      </c>
      <c r="J46" s="604" t="s">
        <v>902</v>
      </c>
      <c r="K46" s="604">
        <f t="shared" si="0"/>
        <v>11</v>
      </c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394"/>
      <c r="X46" s="200"/>
      <c r="Y46" s="200"/>
      <c r="Z46" s="111"/>
      <c r="AA46" s="111"/>
      <c r="AB46" s="111"/>
      <c r="AC46" s="111"/>
      <c r="AD46" s="111"/>
      <c r="AE46" s="111"/>
    </row>
    <row r="47" spans="1:31" x14ac:dyDescent="0.3">
      <c r="A47" s="604" t="s">
        <v>110</v>
      </c>
      <c r="B47" s="604" t="s">
        <v>898</v>
      </c>
      <c r="C47" s="604" t="s">
        <v>6</v>
      </c>
      <c r="D47" s="604" t="s">
        <v>3</v>
      </c>
      <c r="E47" s="605">
        <v>250883</v>
      </c>
      <c r="F47" s="605">
        <v>232440</v>
      </c>
      <c r="G47" s="604">
        <v>6091</v>
      </c>
      <c r="H47" s="605">
        <v>1713</v>
      </c>
      <c r="I47" s="605">
        <v>8899624.6799999997</v>
      </c>
      <c r="J47" s="604" t="s">
        <v>902</v>
      </c>
      <c r="K47" s="604">
        <f t="shared" si="0"/>
        <v>11</v>
      </c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394"/>
      <c r="X47" s="200"/>
      <c r="Y47" s="200"/>
      <c r="Z47" s="111"/>
      <c r="AA47" s="111"/>
      <c r="AB47" s="111"/>
      <c r="AC47" s="111"/>
      <c r="AD47" s="111"/>
      <c r="AE47" s="111"/>
    </row>
    <row r="48" spans="1:31" x14ac:dyDescent="0.3">
      <c r="A48" s="606" t="s">
        <v>110</v>
      </c>
      <c r="B48" s="606" t="s">
        <v>898</v>
      </c>
      <c r="C48" s="606" t="s">
        <v>7</v>
      </c>
      <c r="D48" s="606" t="s">
        <v>2</v>
      </c>
      <c r="E48" s="607">
        <v>336382</v>
      </c>
      <c r="F48" s="607">
        <v>322128</v>
      </c>
      <c r="G48" s="606">
        <v>4547</v>
      </c>
      <c r="H48" s="607">
        <v>356</v>
      </c>
      <c r="I48" s="607">
        <v>4288390</v>
      </c>
      <c r="J48" s="606" t="s">
        <v>902</v>
      </c>
      <c r="K48" s="606">
        <f t="shared" si="0"/>
        <v>11</v>
      </c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394"/>
      <c r="X48" s="200"/>
      <c r="Y48" s="200"/>
      <c r="Z48" s="111"/>
      <c r="AA48" s="111"/>
      <c r="AB48" s="111"/>
      <c r="AC48" s="111"/>
      <c r="AD48" s="111"/>
      <c r="AE48" s="111"/>
    </row>
    <row r="49" spans="1:31" x14ac:dyDescent="0.3">
      <c r="A49" s="604" t="s">
        <v>110</v>
      </c>
      <c r="B49" s="604" t="s">
        <v>898</v>
      </c>
      <c r="C49" s="604" t="s">
        <v>7</v>
      </c>
      <c r="D49" s="604" t="s">
        <v>3</v>
      </c>
      <c r="E49" s="605">
        <v>145660</v>
      </c>
      <c r="F49" s="605">
        <v>132987</v>
      </c>
      <c r="G49" s="604">
        <v>3528</v>
      </c>
      <c r="H49" s="605">
        <v>541</v>
      </c>
      <c r="I49" s="605">
        <v>7093910</v>
      </c>
      <c r="J49" s="604" t="s">
        <v>902</v>
      </c>
      <c r="K49" s="604">
        <f t="shared" si="0"/>
        <v>11</v>
      </c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394"/>
      <c r="X49" s="200"/>
      <c r="Y49" s="200"/>
      <c r="Z49" s="111"/>
      <c r="AA49" s="111"/>
      <c r="AB49" s="111"/>
      <c r="AC49" s="111"/>
      <c r="AD49" s="111"/>
      <c r="AE49" s="111"/>
    </row>
    <row r="50" spans="1:31" x14ac:dyDescent="0.3">
      <c r="A50" s="604" t="s">
        <v>110</v>
      </c>
      <c r="B50" s="604" t="s">
        <v>899</v>
      </c>
      <c r="C50" s="604" t="s">
        <v>40</v>
      </c>
      <c r="D50" s="604" t="s">
        <v>3</v>
      </c>
      <c r="E50" s="605">
        <v>172934</v>
      </c>
      <c r="F50" s="605">
        <v>156701</v>
      </c>
      <c r="G50" s="604">
        <v>3791</v>
      </c>
      <c r="H50" s="605">
        <v>551</v>
      </c>
      <c r="I50" s="605">
        <v>9778415.0699999984</v>
      </c>
      <c r="J50" s="604" t="s">
        <v>902</v>
      </c>
      <c r="K50" s="604">
        <f t="shared" si="0"/>
        <v>12</v>
      </c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394"/>
      <c r="X50" s="200"/>
      <c r="Y50" s="200"/>
      <c r="Z50" s="111"/>
      <c r="AA50" s="111"/>
      <c r="AB50" s="111"/>
      <c r="AC50" s="111"/>
      <c r="AD50" s="111"/>
      <c r="AE50" s="111"/>
    </row>
    <row r="51" spans="1:31" x14ac:dyDescent="0.3">
      <c r="A51" s="604" t="s">
        <v>110</v>
      </c>
      <c r="B51" s="604" t="s">
        <v>899</v>
      </c>
      <c r="C51" s="604" t="s">
        <v>40</v>
      </c>
      <c r="D51" s="604" t="s">
        <v>2</v>
      </c>
      <c r="E51" s="605">
        <v>518682</v>
      </c>
      <c r="F51" s="605">
        <v>498591</v>
      </c>
      <c r="G51" s="604">
        <v>5083</v>
      </c>
      <c r="H51" s="605">
        <v>282</v>
      </c>
      <c r="I51" s="605">
        <v>4660465</v>
      </c>
      <c r="J51" s="604" t="s">
        <v>902</v>
      </c>
      <c r="K51" s="604">
        <f t="shared" si="0"/>
        <v>12</v>
      </c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394"/>
      <c r="X51" s="200"/>
      <c r="Y51" s="200"/>
      <c r="Z51" s="111"/>
      <c r="AA51" s="111"/>
      <c r="AB51" s="111"/>
      <c r="AC51" s="111"/>
      <c r="AD51" s="111"/>
      <c r="AE51" s="111"/>
    </row>
    <row r="52" spans="1:31" x14ac:dyDescent="0.3">
      <c r="A52" s="606" t="s">
        <v>110</v>
      </c>
      <c r="B52" s="606" t="s">
        <v>899</v>
      </c>
      <c r="C52" s="606" t="s">
        <v>6</v>
      </c>
      <c r="D52" s="606" t="s">
        <v>2</v>
      </c>
      <c r="E52" s="607">
        <v>219663</v>
      </c>
      <c r="F52" s="607">
        <v>209554</v>
      </c>
      <c r="G52" s="606">
        <v>3320</v>
      </c>
      <c r="H52" s="607">
        <v>411</v>
      </c>
      <c r="I52" s="607">
        <v>2431414.5</v>
      </c>
      <c r="J52" s="606" t="s">
        <v>902</v>
      </c>
      <c r="K52" s="606">
        <f t="shared" si="0"/>
        <v>12</v>
      </c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394"/>
      <c r="X52" s="200"/>
      <c r="Y52" s="200"/>
      <c r="Z52" s="111"/>
      <c r="AA52" s="111"/>
      <c r="AB52" s="111"/>
      <c r="AC52" s="111"/>
      <c r="AD52" s="111"/>
      <c r="AE52" s="111"/>
    </row>
    <row r="53" spans="1:31" x14ac:dyDescent="0.3">
      <c r="A53" s="606" t="s">
        <v>110</v>
      </c>
      <c r="B53" s="606" t="s">
        <v>899</v>
      </c>
      <c r="C53" s="606" t="s">
        <v>6</v>
      </c>
      <c r="D53" s="606" t="s">
        <v>3</v>
      </c>
      <c r="E53" s="607">
        <v>136573</v>
      </c>
      <c r="F53" s="607">
        <v>124707</v>
      </c>
      <c r="G53" s="606">
        <v>2809</v>
      </c>
      <c r="H53" s="607">
        <v>744</v>
      </c>
      <c r="I53" s="607">
        <v>5056362.8000000007</v>
      </c>
      <c r="J53" s="606" t="s">
        <v>902</v>
      </c>
      <c r="K53" s="606">
        <f t="shared" si="0"/>
        <v>12</v>
      </c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394"/>
      <c r="X53" s="200"/>
      <c r="Y53" s="200"/>
      <c r="Z53" s="111"/>
      <c r="AA53" s="111"/>
      <c r="AB53" s="111"/>
      <c r="AC53" s="111"/>
      <c r="AD53" s="111"/>
      <c r="AE53" s="111"/>
    </row>
    <row r="54" spans="1:31" x14ac:dyDescent="0.3">
      <c r="A54" s="606" t="s">
        <v>110</v>
      </c>
      <c r="B54" s="606" t="s">
        <v>899</v>
      </c>
      <c r="C54" s="606" t="s">
        <v>7</v>
      </c>
      <c r="D54" s="606" t="s">
        <v>3</v>
      </c>
      <c r="E54" s="607">
        <v>211581</v>
      </c>
      <c r="F54" s="607">
        <v>196558</v>
      </c>
      <c r="G54" s="606">
        <v>3627</v>
      </c>
      <c r="H54" s="607">
        <v>500</v>
      </c>
      <c r="I54" s="607">
        <v>7546360</v>
      </c>
      <c r="J54" s="606" t="s">
        <v>902</v>
      </c>
      <c r="K54" s="606">
        <f t="shared" si="0"/>
        <v>12</v>
      </c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394"/>
      <c r="X54" s="200"/>
      <c r="Y54" s="200"/>
      <c r="Z54" s="111"/>
      <c r="AA54" s="111"/>
      <c r="AB54" s="111"/>
      <c r="AC54" s="111"/>
      <c r="AD54" s="111"/>
      <c r="AE54" s="111"/>
    </row>
    <row r="55" spans="1:31" x14ac:dyDescent="0.3">
      <c r="A55" s="604" t="s">
        <v>110</v>
      </c>
      <c r="B55" s="604" t="s">
        <v>899</v>
      </c>
      <c r="C55" s="604" t="s">
        <v>7</v>
      </c>
      <c r="D55" s="604" t="s">
        <v>2</v>
      </c>
      <c r="E55" s="605">
        <v>426783</v>
      </c>
      <c r="F55" s="605">
        <v>412293</v>
      </c>
      <c r="G55" s="604">
        <v>4151</v>
      </c>
      <c r="H55" s="605">
        <v>317</v>
      </c>
      <c r="I55" s="605">
        <v>4152320</v>
      </c>
      <c r="J55" s="604" t="s">
        <v>902</v>
      </c>
      <c r="K55" s="604">
        <f t="shared" si="0"/>
        <v>12</v>
      </c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394"/>
      <c r="X55" s="200"/>
      <c r="Y55" s="200"/>
      <c r="Z55" s="111"/>
      <c r="AA55" s="111"/>
      <c r="AB55" s="111"/>
      <c r="AC55" s="111"/>
      <c r="AD55" s="111"/>
      <c r="AE55" s="111"/>
    </row>
    <row r="56" spans="1:31" x14ac:dyDescent="0.3">
      <c r="A56" s="604" t="s">
        <v>890</v>
      </c>
      <c r="B56" s="604" t="s">
        <v>879</v>
      </c>
      <c r="C56" s="604" t="s">
        <v>40</v>
      </c>
      <c r="D56" s="604" t="s">
        <v>3</v>
      </c>
      <c r="E56" s="605">
        <v>88887</v>
      </c>
      <c r="F56" s="605">
        <v>80993</v>
      </c>
      <c r="G56" s="604">
        <v>3393</v>
      </c>
      <c r="H56" s="605">
        <v>375</v>
      </c>
      <c r="I56" s="605">
        <v>5739170</v>
      </c>
      <c r="J56" s="604" t="s">
        <v>903</v>
      </c>
      <c r="K56" s="604">
        <f t="shared" si="0"/>
        <v>4</v>
      </c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394"/>
      <c r="X56" s="200"/>
      <c r="Y56" s="200"/>
      <c r="Z56" s="111"/>
      <c r="AA56" s="111"/>
      <c r="AB56" s="111"/>
      <c r="AC56" s="111"/>
      <c r="AD56" s="111"/>
      <c r="AE56" s="111"/>
    </row>
    <row r="57" spans="1:31" x14ac:dyDescent="0.3">
      <c r="A57" s="604" t="s">
        <v>890</v>
      </c>
      <c r="B57" s="604" t="s">
        <v>879</v>
      </c>
      <c r="C57" s="604" t="s">
        <v>40</v>
      </c>
      <c r="D57" s="604" t="s">
        <v>2</v>
      </c>
      <c r="E57" s="605">
        <v>216750</v>
      </c>
      <c r="F57" s="605">
        <v>207943</v>
      </c>
      <c r="G57" s="604">
        <v>3466</v>
      </c>
      <c r="H57" s="605">
        <v>159</v>
      </c>
      <c r="I57" s="605">
        <v>2590440</v>
      </c>
      <c r="J57" s="604" t="s">
        <v>903</v>
      </c>
      <c r="K57" s="604">
        <f t="shared" si="0"/>
        <v>4</v>
      </c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394"/>
      <c r="X57" s="200"/>
      <c r="Y57" s="200"/>
      <c r="Z57" s="111"/>
      <c r="AA57" s="111"/>
      <c r="AB57" s="111"/>
      <c r="AC57" s="111"/>
      <c r="AD57" s="111"/>
      <c r="AE57" s="111"/>
    </row>
    <row r="58" spans="1:31" x14ac:dyDescent="0.3">
      <c r="A58" s="604" t="s">
        <v>890</v>
      </c>
      <c r="B58" s="606" t="s">
        <v>879</v>
      </c>
      <c r="C58" s="606" t="s">
        <v>6</v>
      </c>
      <c r="D58" s="606" t="s">
        <v>2</v>
      </c>
      <c r="E58" s="607">
        <v>247903</v>
      </c>
      <c r="F58" s="607">
        <v>239963</v>
      </c>
      <c r="G58" s="606">
        <v>1798</v>
      </c>
      <c r="H58" s="607">
        <v>107</v>
      </c>
      <c r="I58" s="607">
        <v>604670</v>
      </c>
      <c r="J58" s="604" t="s">
        <v>903</v>
      </c>
      <c r="K58" s="604">
        <f t="shared" si="0"/>
        <v>4</v>
      </c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394"/>
      <c r="X58" s="200"/>
      <c r="Y58" s="200"/>
      <c r="Z58" s="111"/>
      <c r="AA58" s="111"/>
      <c r="AB58" s="111"/>
      <c r="AC58" s="111"/>
      <c r="AD58" s="111"/>
      <c r="AE58" s="111"/>
    </row>
    <row r="59" spans="1:31" x14ac:dyDescent="0.3">
      <c r="A59" s="604" t="s">
        <v>890</v>
      </c>
      <c r="B59" s="606" t="s">
        <v>879</v>
      </c>
      <c r="C59" s="606" t="s">
        <v>6</v>
      </c>
      <c r="D59" s="606" t="s">
        <v>3</v>
      </c>
      <c r="E59" s="607">
        <v>73175</v>
      </c>
      <c r="F59" s="607">
        <v>67694</v>
      </c>
      <c r="G59" s="606">
        <v>1044</v>
      </c>
      <c r="H59" s="607">
        <v>142</v>
      </c>
      <c r="I59" s="607">
        <v>912185</v>
      </c>
      <c r="J59" s="604" t="s">
        <v>903</v>
      </c>
      <c r="K59" s="604">
        <f t="shared" si="0"/>
        <v>4</v>
      </c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394"/>
      <c r="X59" s="200"/>
      <c r="Y59" s="200"/>
      <c r="Z59" s="111"/>
      <c r="AA59" s="111"/>
      <c r="AB59" s="111"/>
      <c r="AC59" s="111"/>
      <c r="AD59" s="111"/>
      <c r="AE59" s="111"/>
    </row>
    <row r="60" spans="1:31" x14ac:dyDescent="0.3">
      <c r="A60" s="604" t="s">
        <v>890</v>
      </c>
      <c r="B60" s="606" t="s">
        <v>879</v>
      </c>
      <c r="C60" s="604" t="s">
        <v>7</v>
      </c>
      <c r="D60" s="606" t="s">
        <v>2</v>
      </c>
      <c r="E60" s="607">
        <v>346628</v>
      </c>
      <c r="F60" s="607">
        <v>337822</v>
      </c>
      <c r="G60" s="606">
        <v>3718</v>
      </c>
      <c r="H60" s="607">
        <v>265</v>
      </c>
      <c r="I60" s="607">
        <v>2755580</v>
      </c>
      <c r="J60" s="604" t="s">
        <v>903</v>
      </c>
      <c r="K60" s="604">
        <f t="shared" si="0"/>
        <v>4</v>
      </c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394"/>
      <c r="X60" s="200"/>
      <c r="Y60" s="200"/>
      <c r="Z60" s="111"/>
      <c r="AA60" s="111"/>
      <c r="AB60" s="111"/>
      <c r="AC60" s="111"/>
      <c r="AD60" s="111"/>
      <c r="AE60" s="111"/>
    </row>
    <row r="61" spans="1:31" x14ac:dyDescent="0.3">
      <c r="A61" s="604" t="s">
        <v>890</v>
      </c>
      <c r="B61" s="604" t="s">
        <v>879</v>
      </c>
      <c r="C61" s="604" t="s">
        <v>7</v>
      </c>
      <c r="D61" s="604" t="s">
        <v>3</v>
      </c>
      <c r="E61" s="605">
        <v>103668</v>
      </c>
      <c r="F61" s="605">
        <v>95424</v>
      </c>
      <c r="G61" s="604">
        <v>2875</v>
      </c>
      <c r="H61" s="605">
        <v>456</v>
      </c>
      <c r="I61" s="605">
        <v>5794859</v>
      </c>
      <c r="J61" s="604" t="s">
        <v>903</v>
      </c>
      <c r="K61" s="604">
        <f t="shared" si="0"/>
        <v>4</v>
      </c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394"/>
      <c r="X61" s="200"/>
      <c r="Y61" s="200"/>
      <c r="Z61" s="111"/>
      <c r="AA61" s="111"/>
      <c r="AB61" s="111"/>
      <c r="AC61" s="111"/>
      <c r="AD61" s="111"/>
      <c r="AE61" s="111"/>
    </row>
    <row r="62" spans="1:31" x14ac:dyDescent="0.3">
      <c r="A62" s="604" t="s">
        <v>890</v>
      </c>
      <c r="B62" s="604" t="s">
        <v>880</v>
      </c>
      <c r="C62" s="604" t="s">
        <v>40</v>
      </c>
      <c r="D62" s="604" t="s">
        <v>2</v>
      </c>
      <c r="E62" s="605">
        <v>362945</v>
      </c>
      <c r="F62" s="605">
        <v>348048</v>
      </c>
      <c r="G62" s="604">
        <v>4393</v>
      </c>
      <c r="H62" s="605">
        <v>255</v>
      </c>
      <c r="I62" s="605">
        <v>3254985</v>
      </c>
      <c r="J62" s="604" t="s">
        <v>903</v>
      </c>
      <c r="K62" s="604">
        <f t="shared" si="0"/>
        <v>5</v>
      </c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394"/>
      <c r="X62" s="200"/>
      <c r="Y62" s="200"/>
      <c r="Z62" s="111"/>
      <c r="AA62" s="111"/>
      <c r="AB62" s="111"/>
      <c r="AC62" s="111"/>
      <c r="AD62" s="111"/>
      <c r="AE62" s="111"/>
    </row>
    <row r="63" spans="1:31" x14ac:dyDescent="0.3">
      <c r="A63" s="604" t="s">
        <v>890</v>
      </c>
      <c r="B63" s="606" t="s">
        <v>880</v>
      </c>
      <c r="C63" s="606" t="s">
        <v>40</v>
      </c>
      <c r="D63" s="604" t="s">
        <v>3</v>
      </c>
      <c r="E63" s="607">
        <v>137603</v>
      </c>
      <c r="F63" s="607">
        <v>126060</v>
      </c>
      <c r="G63" s="606">
        <v>4244</v>
      </c>
      <c r="H63" s="607">
        <v>578</v>
      </c>
      <c r="I63" s="607">
        <v>7864855</v>
      </c>
      <c r="J63" s="604" t="s">
        <v>903</v>
      </c>
      <c r="K63" s="604">
        <f t="shared" si="0"/>
        <v>5</v>
      </c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394"/>
      <c r="X63" s="200"/>
      <c r="Y63" s="200"/>
      <c r="Z63" s="111"/>
      <c r="AA63" s="111"/>
      <c r="AB63" s="111"/>
      <c r="AC63" s="111"/>
      <c r="AD63" s="111"/>
      <c r="AE63" s="111"/>
    </row>
    <row r="64" spans="1:31" x14ac:dyDescent="0.3">
      <c r="A64" s="604" t="s">
        <v>890</v>
      </c>
      <c r="B64" s="606" t="s">
        <v>880</v>
      </c>
      <c r="C64" s="606" t="s">
        <v>6</v>
      </c>
      <c r="D64" s="606" t="s">
        <v>3</v>
      </c>
      <c r="E64" s="607">
        <v>165316</v>
      </c>
      <c r="F64" s="607">
        <v>153676</v>
      </c>
      <c r="G64" s="606">
        <v>4488</v>
      </c>
      <c r="H64" s="607">
        <v>1355</v>
      </c>
      <c r="I64" s="607">
        <v>5604881.379999999</v>
      </c>
      <c r="J64" s="604" t="s">
        <v>903</v>
      </c>
      <c r="K64" s="604">
        <f t="shared" si="0"/>
        <v>5</v>
      </c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394"/>
      <c r="X64" s="200"/>
      <c r="Y64" s="200"/>
      <c r="Z64" s="111"/>
      <c r="AA64" s="111"/>
      <c r="AB64" s="111"/>
      <c r="AC64" s="111"/>
      <c r="AD64" s="111"/>
      <c r="AE64" s="111"/>
    </row>
    <row r="65" spans="1:31" x14ac:dyDescent="0.3">
      <c r="A65" s="604" t="s">
        <v>890</v>
      </c>
      <c r="B65" s="604" t="s">
        <v>880</v>
      </c>
      <c r="C65" s="604" t="s">
        <v>6</v>
      </c>
      <c r="D65" s="604" t="s">
        <v>2</v>
      </c>
      <c r="E65" s="605">
        <v>376615</v>
      </c>
      <c r="F65" s="605">
        <v>364498</v>
      </c>
      <c r="G65" s="604">
        <v>7272</v>
      </c>
      <c r="H65" s="605">
        <v>970</v>
      </c>
      <c r="I65" s="605">
        <v>3695697.13</v>
      </c>
      <c r="J65" s="604" t="s">
        <v>903</v>
      </c>
      <c r="K65" s="604">
        <f t="shared" si="0"/>
        <v>5</v>
      </c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394"/>
      <c r="X65" s="200"/>
      <c r="Y65" s="200"/>
      <c r="Z65" s="111"/>
      <c r="AA65" s="111"/>
      <c r="AB65" s="111"/>
      <c r="AC65" s="111"/>
      <c r="AD65" s="111"/>
      <c r="AE65" s="111"/>
    </row>
    <row r="66" spans="1:31" x14ac:dyDescent="0.3">
      <c r="A66" s="604" t="s">
        <v>890</v>
      </c>
      <c r="B66" s="606" t="s">
        <v>880</v>
      </c>
      <c r="C66" s="606" t="s">
        <v>7</v>
      </c>
      <c r="D66" s="606" t="s">
        <v>3</v>
      </c>
      <c r="E66" s="607">
        <v>124578</v>
      </c>
      <c r="F66" s="607">
        <v>114881</v>
      </c>
      <c r="G66" s="606">
        <v>3442</v>
      </c>
      <c r="H66" s="607">
        <v>742</v>
      </c>
      <c r="I66" s="607">
        <v>8776540</v>
      </c>
      <c r="J66" s="604" t="s">
        <v>903</v>
      </c>
      <c r="K66" s="604">
        <f t="shared" si="0"/>
        <v>5</v>
      </c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394"/>
      <c r="X66" s="200"/>
      <c r="Y66" s="200"/>
      <c r="Z66" s="111"/>
      <c r="AA66" s="111"/>
      <c r="AB66" s="111"/>
      <c r="AC66" s="111"/>
      <c r="AD66" s="111"/>
      <c r="AE66" s="111"/>
    </row>
    <row r="67" spans="1:31" x14ac:dyDescent="0.3">
      <c r="A67" s="604" t="s">
        <v>890</v>
      </c>
      <c r="B67" s="604" t="s">
        <v>880</v>
      </c>
      <c r="C67" s="604" t="s">
        <v>7</v>
      </c>
      <c r="D67" s="604" t="s">
        <v>2</v>
      </c>
      <c r="E67" s="605">
        <v>266489</v>
      </c>
      <c r="F67" s="605">
        <v>256814</v>
      </c>
      <c r="G67" s="604">
        <v>4436</v>
      </c>
      <c r="H67" s="605">
        <v>444</v>
      </c>
      <c r="I67" s="605">
        <v>4878160</v>
      </c>
      <c r="J67" s="604" t="s">
        <v>903</v>
      </c>
      <c r="K67" s="604">
        <f t="shared" ref="K67:K109" si="1">MONTH(B67)</f>
        <v>5</v>
      </c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394"/>
      <c r="X67" s="200"/>
      <c r="Y67" s="200"/>
      <c r="Z67" s="111"/>
      <c r="AA67" s="111"/>
      <c r="AB67" s="111"/>
      <c r="AC67" s="111"/>
      <c r="AD67" s="111"/>
      <c r="AE67" s="111"/>
    </row>
    <row r="68" spans="1:31" x14ac:dyDescent="0.3">
      <c r="A68" s="604" t="s">
        <v>890</v>
      </c>
      <c r="B68" s="604" t="s">
        <v>881</v>
      </c>
      <c r="C68" s="604" t="s">
        <v>40</v>
      </c>
      <c r="D68" s="604" t="s">
        <v>3</v>
      </c>
      <c r="E68" s="605">
        <v>136694</v>
      </c>
      <c r="F68" s="605">
        <v>125107</v>
      </c>
      <c r="G68" s="604">
        <v>4609</v>
      </c>
      <c r="H68" s="605">
        <v>734</v>
      </c>
      <c r="I68" s="605">
        <v>12042030</v>
      </c>
      <c r="J68" s="604" t="s">
        <v>903</v>
      </c>
      <c r="K68" s="604">
        <f t="shared" si="1"/>
        <v>6</v>
      </c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394"/>
      <c r="X68" s="200"/>
      <c r="Y68" s="200"/>
      <c r="Z68" s="111"/>
      <c r="AA68" s="111"/>
      <c r="AB68" s="111"/>
      <c r="AC68" s="111"/>
      <c r="AD68" s="111"/>
      <c r="AE68" s="111"/>
    </row>
    <row r="69" spans="1:31" x14ac:dyDescent="0.3">
      <c r="A69" s="604" t="s">
        <v>890</v>
      </c>
      <c r="B69" s="604" t="s">
        <v>881</v>
      </c>
      <c r="C69" s="604" t="s">
        <v>40</v>
      </c>
      <c r="D69" s="604" t="s">
        <v>2</v>
      </c>
      <c r="E69" s="605">
        <v>421555</v>
      </c>
      <c r="F69" s="605">
        <v>404961</v>
      </c>
      <c r="G69" s="604">
        <v>5178</v>
      </c>
      <c r="H69" s="605">
        <v>383</v>
      </c>
      <c r="I69" s="605">
        <v>5136165</v>
      </c>
      <c r="J69" s="604" t="s">
        <v>903</v>
      </c>
      <c r="K69" s="604">
        <f t="shared" si="1"/>
        <v>6</v>
      </c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394"/>
      <c r="X69" s="200"/>
      <c r="Y69" s="200"/>
      <c r="Z69" s="111"/>
      <c r="AA69" s="111"/>
      <c r="AB69" s="111"/>
      <c r="AC69" s="111"/>
      <c r="AD69" s="111"/>
      <c r="AE69" s="111"/>
    </row>
    <row r="70" spans="1:31" x14ac:dyDescent="0.3">
      <c r="A70" s="604" t="s">
        <v>890</v>
      </c>
      <c r="B70" s="606" t="s">
        <v>881</v>
      </c>
      <c r="C70" s="606" t="s">
        <v>6</v>
      </c>
      <c r="D70" s="606" t="s">
        <v>3</v>
      </c>
      <c r="E70" s="607">
        <v>199169</v>
      </c>
      <c r="F70" s="607">
        <v>187216</v>
      </c>
      <c r="G70" s="606">
        <v>3156</v>
      </c>
      <c r="H70" s="607">
        <v>956</v>
      </c>
      <c r="I70" s="607">
        <v>3864749.4299999997</v>
      </c>
      <c r="J70" s="604" t="s">
        <v>903</v>
      </c>
      <c r="K70" s="604">
        <f t="shared" si="1"/>
        <v>6</v>
      </c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394"/>
      <c r="X70" s="200"/>
      <c r="Y70" s="200"/>
      <c r="Z70" s="111"/>
      <c r="AA70" s="111"/>
      <c r="AB70" s="111"/>
      <c r="AC70" s="111"/>
      <c r="AD70" s="111"/>
      <c r="AE70" s="111"/>
    </row>
    <row r="71" spans="1:31" x14ac:dyDescent="0.3">
      <c r="A71" s="604" t="s">
        <v>890</v>
      </c>
      <c r="B71" s="606" t="s">
        <v>881</v>
      </c>
      <c r="C71" s="606" t="s">
        <v>6</v>
      </c>
      <c r="D71" s="606" t="s">
        <v>2</v>
      </c>
      <c r="E71" s="607">
        <v>312346</v>
      </c>
      <c r="F71" s="607">
        <v>295104</v>
      </c>
      <c r="G71" s="606">
        <v>4154</v>
      </c>
      <c r="H71" s="607">
        <v>573</v>
      </c>
      <c r="I71" s="607">
        <v>2037644.86</v>
      </c>
      <c r="J71" s="604" t="s">
        <v>903</v>
      </c>
      <c r="K71" s="604">
        <f t="shared" si="1"/>
        <v>6</v>
      </c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394"/>
      <c r="X71" s="200"/>
      <c r="Y71" s="200"/>
      <c r="Z71" s="111"/>
      <c r="AA71" s="111"/>
      <c r="AB71" s="111"/>
      <c r="AC71" s="111"/>
      <c r="AD71" s="111"/>
      <c r="AE71" s="111"/>
    </row>
    <row r="72" spans="1:31" x14ac:dyDescent="0.3">
      <c r="A72" s="604" t="s">
        <v>890</v>
      </c>
      <c r="B72" s="606" t="s">
        <v>881</v>
      </c>
      <c r="C72" s="606" t="s">
        <v>7</v>
      </c>
      <c r="D72" s="606" t="s">
        <v>3</v>
      </c>
      <c r="E72" s="607">
        <v>141195</v>
      </c>
      <c r="F72" s="607">
        <v>130866</v>
      </c>
      <c r="G72" s="606">
        <v>2823</v>
      </c>
      <c r="H72" s="607">
        <v>588</v>
      </c>
      <c r="I72" s="607">
        <v>6731830</v>
      </c>
      <c r="J72" s="604" t="s">
        <v>903</v>
      </c>
      <c r="K72" s="604">
        <f t="shared" si="1"/>
        <v>6</v>
      </c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394"/>
      <c r="X72" s="200"/>
      <c r="Y72" s="200"/>
      <c r="Z72" s="111"/>
      <c r="AA72" s="111"/>
      <c r="AB72" s="111"/>
      <c r="AC72" s="111"/>
      <c r="AD72" s="111"/>
      <c r="AE72" s="111"/>
    </row>
    <row r="73" spans="1:31" x14ac:dyDescent="0.3">
      <c r="A73" s="604" t="s">
        <v>890</v>
      </c>
      <c r="B73" s="604" t="s">
        <v>881</v>
      </c>
      <c r="C73" s="604" t="s">
        <v>7</v>
      </c>
      <c r="D73" s="604" t="s">
        <v>2</v>
      </c>
      <c r="E73" s="605">
        <v>248741</v>
      </c>
      <c r="F73" s="605">
        <v>235827</v>
      </c>
      <c r="G73" s="604">
        <v>4171</v>
      </c>
      <c r="H73" s="605">
        <v>396</v>
      </c>
      <c r="I73" s="605">
        <v>4035930</v>
      </c>
      <c r="J73" s="604" t="s">
        <v>903</v>
      </c>
      <c r="K73" s="604">
        <f t="shared" si="1"/>
        <v>6</v>
      </c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394"/>
      <c r="X73" s="200"/>
      <c r="Y73" s="200"/>
      <c r="Z73" s="111"/>
      <c r="AA73" s="111"/>
      <c r="AB73" s="111"/>
      <c r="AC73" s="111"/>
      <c r="AD73" s="111"/>
      <c r="AE73" s="111"/>
    </row>
    <row r="74" spans="1:31" x14ac:dyDescent="0.3">
      <c r="A74" s="604" t="s">
        <v>890</v>
      </c>
      <c r="B74" s="606" t="s">
        <v>882</v>
      </c>
      <c r="C74" s="606" t="s">
        <v>40</v>
      </c>
      <c r="D74" s="606" t="s">
        <v>2</v>
      </c>
      <c r="E74" s="607">
        <v>213203</v>
      </c>
      <c r="F74" s="607">
        <v>199791</v>
      </c>
      <c r="G74" s="606">
        <v>3928</v>
      </c>
      <c r="H74" s="607">
        <v>243</v>
      </c>
      <c r="I74" s="607">
        <v>3738525</v>
      </c>
      <c r="J74" s="604" t="s">
        <v>903</v>
      </c>
      <c r="K74" s="604">
        <f t="shared" si="1"/>
        <v>7</v>
      </c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394"/>
      <c r="X74" s="200"/>
      <c r="Y74" s="200"/>
      <c r="Z74" s="111"/>
      <c r="AA74" s="111"/>
      <c r="AB74" s="111"/>
      <c r="AC74" s="111"/>
      <c r="AD74" s="111"/>
      <c r="AE74" s="111"/>
    </row>
    <row r="75" spans="1:31" x14ac:dyDescent="0.3">
      <c r="A75" s="604" t="s">
        <v>890</v>
      </c>
      <c r="B75" s="604" t="s">
        <v>882</v>
      </c>
      <c r="C75" s="604" t="s">
        <v>40</v>
      </c>
      <c r="D75" s="604" t="s">
        <v>3</v>
      </c>
      <c r="E75" s="605">
        <v>183959</v>
      </c>
      <c r="F75" s="605">
        <v>175124</v>
      </c>
      <c r="G75" s="604">
        <v>4600</v>
      </c>
      <c r="H75" s="605">
        <v>601</v>
      </c>
      <c r="I75" s="605">
        <v>9761850</v>
      </c>
      <c r="J75" s="604" t="s">
        <v>903</v>
      </c>
      <c r="K75" s="604">
        <f t="shared" si="1"/>
        <v>7</v>
      </c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394"/>
      <c r="X75" s="200"/>
      <c r="Y75" s="200"/>
      <c r="Z75" s="111"/>
      <c r="AA75" s="111"/>
      <c r="AB75" s="111"/>
      <c r="AC75" s="111"/>
      <c r="AD75" s="111"/>
      <c r="AE75" s="111"/>
    </row>
    <row r="76" spans="1:31" x14ac:dyDescent="0.3">
      <c r="A76" s="604" t="s">
        <v>890</v>
      </c>
      <c r="B76" s="606" t="s">
        <v>882</v>
      </c>
      <c r="C76" s="606" t="s">
        <v>6</v>
      </c>
      <c r="D76" s="606" t="s">
        <v>3</v>
      </c>
      <c r="E76" s="607">
        <v>78885</v>
      </c>
      <c r="F76" s="607">
        <v>72504</v>
      </c>
      <c r="G76" s="606">
        <v>1292</v>
      </c>
      <c r="H76" s="607">
        <v>190</v>
      </c>
      <c r="I76" s="607">
        <v>1137566</v>
      </c>
      <c r="J76" s="604" t="s">
        <v>903</v>
      </c>
      <c r="K76" s="604">
        <f t="shared" si="1"/>
        <v>7</v>
      </c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394"/>
      <c r="X76" s="200"/>
      <c r="Y76" s="200"/>
      <c r="Z76" s="111"/>
      <c r="AA76" s="111"/>
      <c r="AB76" s="111"/>
      <c r="AC76" s="111"/>
      <c r="AD76" s="111"/>
      <c r="AE76" s="111"/>
    </row>
    <row r="77" spans="1:31" x14ac:dyDescent="0.3">
      <c r="A77" s="604" t="s">
        <v>890</v>
      </c>
      <c r="B77" s="604" t="s">
        <v>882</v>
      </c>
      <c r="C77" s="604" t="s">
        <v>6</v>
      </c>
      <c r="D77" s="604" t="s">
        <v>2</v>
      </c>
      <c r="E77" s="605">
        <v>226815</v>
      </c>
      <c r="F77" s="605">
        <v>218417</v>
      </c>
      <c r="G77" s="604">
        <v>1535</v>
      </c>
      <c r="H77" s="605">
        <v>99</v>
      </c>
      <c r="I77" s="605">
        <v>568537</v>
      </c>
      <c r="J77" s="604" t="s">
        <v>903</v>
      </c>
      <c r="K77" s="604">
        <f t="shared" si="1"/>
        <v>7</v>
      </c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394"/>
      <c r="X77" s="200"/>
      <c r="Y77" s="200"/>
      <c r="Z77" s="111"/>
      <c r="AA77" s="111"/>
      <c r="AB77" s="111"/>
      <c r="AC77" s="111"/>
      <c r="AD77" s="111"/>
      <c r="AE77" s="111"/>
    </row>
    <row r="78" spans="1:31" x14ac:dyDescent="0.3">
      <c r="A78" s="604" t="s">
        <v>890</v>
      </c>
      <c r="B78" s="606" t="s">
        <v>882</v>
      </c>
      <c r="C78" s="606" t="s">
        <v>7</v>
      </c>
      <c r="D78" s="606" t="s">
        <v>3</v>
      </c>
      <c r="E78" s="607">
        <v>156623</v>
      </c>
      <c r="F78" s="607">
        <v>148997</v>
      </c>
      <c r="G78" s="606">
        <v>2104</v>
      </c>
      <c r="H78" s="607">
        <v>364</v>
      </c>
      <c r="I78" s="607">
        <v>4267980</v>
      </c>
      <c r="J78" s="604" t="s">
        <v>903</v>
      </c>
      <c r="K78" s="604">
        <f t="shared" si="1"/>
        <v>7</v>
      </c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394"/>
      <c r="X78" s="200"/>
      <c r="Y78" s="200"/>
      <c r="Z78" s="111"/>
      <c r="AA78" s="111"/>
      <c r="AB78" s="111"/>
      <c r="AC78" s="111"/>
      <c r="AD78" s="111"/>
      <c r="AE78" s="111"/>
    </row>
    <row r="79" spans="1:31" x14ac:dyDescent="0.3">
      <c r="A79" s="604" t="s">
        <v>890</v>
      </c>
      <c r="B79" s="604" t="s">
        <v>882</v>
      </c>
      <c r="C79" s="604" t="s">
        <v>7</v>
      </c>
      <c r="D79" s="604" t="s">
        <v>2</v>
      </c>
      <c r="E79" s="605">
        <v>183883</v>
      </c>
      <c r="F79" s="605">
        <v>177125</v>
      </c>
      <c r="G79" s="604">
        <v>2841</v>
      </c>
      <c r="H79" s="605">
        <v>227</v>
      </c>
      <c r="I79" s="605">
        <v>2391820</v>
      </c>
      <c r="J79" s="604" t="s">
        <v>903</v>
      </c>
      <c r="K79" s="604">
        <f t="shared" si="1"/>
        <v>7</v>
      </c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394"/>
      <c r="X79" s="200"/>
      <c r="Y79" s="200"/>
      <c r="Z79" s="111"/>
      <c r="AA79" s="111"/>
      <c r="AB79" s="111"/>
      <c r="AC79" s="111"/>
      <c r="AD79" s="111"/>
      <c r="AE79" s="111"/>
    </row>
    <row r="80" spans="1:31" x14ac:dyDescent="0.3">
      <c r="A80" s="604" t="s">
        <v>890</v>
      </c>
      <c r="B80" s="606" t="s">
        <v>883</v>
      </c>
      <c r="C80" s="606" t="s">
        <v>40</v>
      </c>
      <c r="D80" s="606" t="s">
        <v>3</v>
      </c>
      <c r="E80" s="607">
        <v>215563</v>
      </c>
      <c r="F80" s="607">
        <v>206230</v>
      </c>
      <c r="G80" s="606">
        <v>5427</v>
      </c>
      <c r="H80" s="607">
        <v>555</v>
      </c>
      <c r="I80" s="607">
        <v>8627465</v>
      </c>
      <c r="J80" s="604" t="s">
        <v>903</v>
      </c>
      <c r="K80" s="604">
        <f t="shared" si="1"/>
        <v>8</v>
      </c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394"/>
      <c r="X80" s="200"/>
      <c r="Y80" s="200"/>
      <c r="Z80" s="111"/>
      <c r="AA80" s="111"/>
      <c r="AB80" s="111"/>
      <c r="AC80" s="111"/>
      <c r="AD80" s="111"/>
      <c r="AE80" s="111"/>
    </row>
    <row r="81" spans="1:31" x14ac:dyDescent="0.3">
      <c r="A81" s="604" t="s">
        <v>890</v>
      </c>
      <c r="B81" s="606" t="s">
        <v>883</v>
      </c>
      <c r="C81" s="606" t="s">
        <v>40</v>
      </c>
      <c r="D81" s="606" t="s">
        <v>2</v>
      </c>
      <c r="E81" s="607">
        <v>167532</v>
      </c>
      <c r="F81" s="607">
        <v>153181</v>
      </c>
      <c r="G81" s="606">
        <v>3135</v>
      </c>
      <c r="H81" s="607">
        <v>179</v>
      </c>
      <c r="I81" s="607">
        <v>2085035</v>
      </c>
      <c r="J81" s="604" t="s">
        <v>903</v>
      </c>
      <c r="K81" s="604">
        <f t="shared" si="1"/>
        <v>8</v>
      </c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394"/>
      <c r="X81" s="200"/>
      <c r="Y81" s="200"/>
      <c r="Z81" s="111"/>
      <c r="AA81" s="111"/>
      <c r="AB81" s="111"/>
      <c r="AC81" s="111"/>
      <c r="AD81" s="111"/>
      <c r="AE81" s="111"/>
    </row>
    <row r="82" spans="1:31" x14ac:dyDescent="0.3">
      <c r="A82" s="604" t="s">
        <v>890</v>
      </c>
      <c r="B82" s="604" t="s">
        <v>883</v>
      </c>
      <c r="C82" s="604" t="s">
        <v>6</v>
      </c>
      <c r="D82" s="604" t="s">
        <v>2</v>
      </c>
      <c r="E82" s="605">
        <v>202927</v>
      </c>
      <c r="F82" s="605">
        <v>194828</v>
      </c>
      <c r="G82" s="604">
        <v>1586</v>
      </c>
      <c r="H82" s="605">
        <v>110</v>
      </c>
      <c r="I82" s="605">
        <v>470548</v>
      </c>
      <c r="J82" s="604" t="s">
        <v>903</v>
      </c>
      <c r="K82" s="604">
        <f t="shared" si="1"/>
        <v>8</v>
      </c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394"/>
      <c r="X82" s="200"/>
      <c r="Y82" s="200"/>
      <c r="Z82" s="111"/>
      <c r="AA82" s="111"/>
      <c r="AB82" s="111"/>
      <c r="AC82" s="111"/>
      <c r="AD82" s="111"/>
      <c r="AE82" s="111"/>
    </row>
    <row r="83" spans="1:31" x14ac:dyDescent="0.3">
      <c r="A83" s="604" t="s">
        <v>890</v>
      </c>
      <c r="B83" s="604" t="s">
        <v>883</v>
      </c>
      <c r="C83" s="604" t="s">
        <v>6</v>
      </c>
      <c r="D83" s="604" t="s">
        <v>3</v>
      </c>
      <c r="E83" s="605">
        <v>83953</v>
      </c>
      <c r="F83" s="605">
        <v>76889</v>
      </c>
      <c r="G83" s="604">
        <v>1605</v>
      </c>
      <c r="H83" s="605">
        <v>289</v>
      </c>
      <c r="I83" s="605">
        <v>1591464.5899999999</v>
      </c>
      <c r="J83" s="604" t="s">
        <v>903</v>
      </c>
      <c r="K83" s="604">
        <f t="shared" si="1"/>
        <v>8</v>
      </c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394"/>
      <c r="X83" s="200"/>
      <c r="Y83" s="200"/>
      <c r="Z83" s="111"/>
      <c r="AA83" s="111"/>
      <c r="AB83" s="111"/>
      <c r="AC83" s="111"/>
      <c r="AD83" s="111"/>
      <c r="AE83" s="111"/>
    </row>
    <row r="84" spans="1:31" x14ac:dyDescent="0.3">
      <c r="A84" s="604" t="s">
        <v>890</v>
      </c>
      <c r="B84" s="606" t="s">
        <v>883</v>
      </c>
      <c r="C84" s="606" t="s">
        <v>7</v>
      </c>
      <c r="D84" s="606" t="s">
        <v>2</v>
      </c>
      <c r="E84" s="607">
        <v>204995</v>
      </c>
      <c r="F84" s="607">
        <v>193805</v>
      </c>
      <c r="G84" s="606">
        <v>2650</v>
      </c>
      <c r="H84" s="607">
        <v>229</v>
      </c>
      <c r="I84" s="607">
        <v>2661260</v>
      </c>
      <c r="J84" s="604" t="s">
        <v>903</v>
      </c>
      <c r="K84" s="604">
        <f t="shared" si="1"/>
        <v>8</v>
      </c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394"/>
      <c r="X84" s="200"/>
      <c r="Y84" s="200"/>
      <c r="Z84" s="111"/>
      <c r="AA84" s="111"/>
      <c r="AB84" s="111"/>
      <c r="AC84" s="111"/>
      <c r="AD84" s="111"/>
      <c r="AE84" s="111"/>
    </row>
    <row r="85" spans="1:31" x14ac:dyDescent="0.3">
      <c r="A85" s="604" t="s">
        <v>890</v>
      </c>
      <c r="B85" s="604" t="s">
        <v>883</v>
      </c>
      <c r="C85" s="604" t="s">
        <v>7</v>
      </c>
      <c r="D85" s="604" t="s">
        <v>3</v>
      </c>
      <c r="E85" s="605">
        <v>134268</v>
      </c>
      <c r="F85" s="605">
        <v>123063</v>
      </c>
      <c r="G85" s="604">
        <v>2608</v>
      </c>
      <c r="H85" s="605">
        <v>420</v>
      </c>
      <c r="I85" s="605">
        <v>5386460</v>
      </c>
      <c r="J85" s="604" t="s">
        <v>903</v>
      </c>
      <c r="K85" s="604">
        <f t="shared" si="1"/>
        <v>8</v>
      </c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394"/>
      <c r="X85" s="200"/>
      <c r="Y85" s="200"/>
      <c r="Z85" s="111"/>
      <c r="AA85" s="111"/>
      <c r="AB85" s="111"/>
      <c r="AC85" s="111"/>
      <c r="AD85" s="111"/>
      <c r="AE85" s="111"/>
    </row>
    <row r="86" spans="1:31" x14ac:dyDescent="0.3">
      <c r="A86" s="604" t="s">
        <v>890</v>
      </c>
      <c r="B86" s="604" t="s">
        <v>884</v>
      </c>
      <c r="C86" s="604" t="s">
        <v>40</v>
      </c>
      <c r="D86" s="604" t="s">
        <v>3</v>
      </c>
      <c r="E86" s="605">
        <v>187068</v>
      </c>
      <c r="F86" s="605">
        <v>178659</v>
      </c>
      <c r="G86" s="604">
        <v>3984</v>
      </c>
      <c r="H86" s="605">
        <v>374</v>
      </c>
      <c r="I86" s="605">
        <v>5691605</v>
      </c>
      <c r="J86" s="604" t="s">
        <v>903</v>
      </c>
      <c r="K86" s="604">
        <f t="shared" si="1"/>
        <v>9</v>
      </c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394"/>
      <c r="X86" s="200"/>
      <c r="Y86" s="200"/>
      <c r="Z86" s="111"/>
      <c r="AA86" s="111"/>
      <c r="AB86" s="111"/>
      <c r="AC86" s="111"/>
      <c r="AD86" s="111"/>
      <c r="AE86" s="111"/>
    </row>
    <row r="87" spans="1:31" x14ac:dyDescent="0.3">
      <c r="A87" s="604" t="s">
        <v>890</v>
      </c>
      <c r="B87" s="604" t="s">
        <v>884</v>
      </c>
      <c r="C87" s="604" t="s">
        <v>40</v>
      </c>
      <c r="D87" s="604" t="s">
        <v>2</v>
      </c>
      <c r="E87" s="605">
        <v>163911</v>
      </c>
      <c r="F87" s="605">
        <v>151572</v>
      </c>
      <c r="G87" s="604">
        <v>2281</v>
      </c>
      <c r="H87" s="605">
        <v>131</v>
      </c>
      <c r="I87" s="605">
        <v>1602880</v>
      </c>
      <c r="J87" s="604" t="s">
        <v>903</v>
      </c>
      <c r="K87" s="604">
        <f t="shared" si="1"/>
        <v>9</v>
      </c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394"/>
      <c r="X87" s="200"/>
      <c r="Y87" s="200"/>
      <c r="Z87" s="111"/>
      <c r="AA87" s="111"/>
      <c r="AB87" s="111"/>
      <c r="AC87" s="111"/>
      <c r="AD87" s="111"/>
      <c r="AE87" s="111"/>
    </row>
    <row r="88" spans="1:31" x14ac:dyDescent="0.3">
      <c r="A88" s="604" t="s">
        <v>890</v>
      </c>
      <c r="B88" s="606" t="s">
        <v>884</v>
      </c>
      <c r="C88" s="606" t="s">
        <v>6</v>
      </c>
      <c r="D88" s="606" t="s">
        <v>2</v>
      </c>
      <c r="E88" s="607">
        <v>259239</v>
      </c>
      <c r="F88" s="607">
        <v>251214</v>
      </c>
      <c r="G88" s="606">
        <v>1358</v>
      </c>
      <c r="H88" s="607">
        <v>77</v>
      </c>
      <c r="I88" s="607">
        <v>546918</v>
      </c>
      <c r="J88" s="604" t="s">
        <v>903</v>
      </c>
      <c r="K88" s="604">
        <f t="shared" si="1"/>
        <v>9</v>
      </c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394"/>
      <c r="X88" s="200"/>
      <c r="Y88" s="200"/>
      <c r="Z88" s="111"/>
      <c r="AA88" s="111"/>
      <c r="AB88" s="111"/>
      <c r="AC88" s="111"/>
      <c r="AD88" s="111"/>
      <c r="AE88" s="111"/>
    </row>
    <row r="89" spans="1:31" x14ac:dyDescent="0.3">
      <c r="A89" s="604" t="s">
        <v>890</v>
      </c>
      <c r="B89" s="606" t="s">
        <v>884</v>
      </c>
      <c r="C89" s="606" t="s">
        <v>6</v>
      </c>
      <c r="D89" s="606" t="s">
        <v>3</v>
      </c>
      <c r="E89" s="607">
        <v>118847</v>
      </c>
      <c r="F89" s="607">
        <v>111654</v>
      </c>
      <c r="G89" s="606">
        <v>1241</v>
      </c>
      <c r="H89" s="607">
        <v>170</v>
      </c>
      <c r="I89" s="607">
        <v>1185159</v>
      </c>
      <c r="J89" s="604" t="s">
        <v>903</v>
      </c>
      <c r="K89" s="604">
        <f t="shared" si="1"/>
        <v>9</v>
      </c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394"/>
      <c r="X89" s="200"/>
      <c r="Y89" s="200"/>
      <c r="Z89" s="111"/>
      <c r="AA89" s="111"/>
      <c r="AB89" s="111"/>
      <c r="AC89" s="111"/>
      <c r="AD89" s="111"/>
      <c r="AE89" s="111"/>
    </row>
    <row r="90" spans="1:31" x14ac:dyDescent="0.3">
      <c r="A90" s="604" t="s">
        <v>890</v>
      </c>
      <c r="B90" s="606" t="s">
        <v>884</v>
      </c>
      <c r="C90" s="606" t="s">
        <v>7</v>
      </c>
      <c r="D90" s="606" t="s">
        <v>3</v>
      </c>
      <c r="E90" s="607">
        <v>187778</v>
      </c>
      <c r="F90" s="607">
        <v>170329</v>
      </c>
      <c r="G90" s="606">
        <v>2490</v>
      </c>
      <c r="H90" s="607">
        <v>360</v>
      </c>
      <c r="I90" s="607">
        <v>5419340</v>
      </c>
      <c r="J90" s="604" t="s">
        <v>903</v>
      </c>
      <c r="K90" s="604">
        <f t="shared" si="1"/>
        <v>9</v>
      </c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394"/>
      <c r="X90" s="200"/>
      <c r="Y90" s="200"/>
      <c r="Z90" s="111"/>
      <c r="AA90" s="111"/>
      <c r="AB90" s="111"/>
      <c r="AC90" s="111"/>
      <c r="AD90" s="111"/>
      <c r="AE90" s="111"/>
    </row>
    <row r="91" spans="1:31" x14ac:dyDescent="0.3">
      <c r="A91" s="604" t="s">
        <v>890</v>
      </c>
      <c r="B91" s="604" t="s">
        <v>884</v>
      </c>
      <c r="C91" s="604" t="s">
        <v>7</v>
      </c>
      <c r="D91" s="604" t="s">
        <v>2</v>
      </c>
      <c r="E91" s="605">
        <v>320129</v>
      </c>
      <c r="F91" s="605">
        <v>301496</v>
      </c>
      <c r="G91" s="604">
        <v>2339</v>
      </c>
      <c r="H91" s="605">
        <v>201</v>
      </c>
      <c r="I91" s="605">
        <v>2409500</v>
      </c>
      <c r="J91" s="604" t="s">
        <v>903</v>
      </c>
      <c r="K91" s="604">
        <f t="shared" si="1"/>
        <v>9</v>
      </c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394"/>
      <c r="X91" s="200"/>
      <c r="Y91" s="200"/>
      <c r="Z91" s="111"/>
      <c r="AA91" s="111"/>
      <c r="AB91" s="111"/>
      <c r="AC91" s="111"/>
      <c r="AD91" s="111"/>
      <c r="AE91" s="111"/>
    </row>
    <row r="92" spans="1:31" x14ac:dyDescent="0.3">
      <c r="A92" s="604" t="s">
        <v>890</v>
      </c>
      <c r="B92" s="606" t="s">
        <v>885</v>
      </c>
      <c r="C92" s="606" t="s">
        <v>40</v>
      </c>
      <c r="D92" s="606" t="s">
        <v>2</v>
      </c>
      <c r="E92" s="607">
        <v>570819</v>
      </c>
      <c r="F92" s="607">
        <v>540154</v>
      </c>
      <c r="G92" s="606">
        <v>3102</v>
      </c>
      <c r="H92" s="607">
        <v>147</v>
      </c>
      <c r="I92" s="607">
        <v>2214130</v>
      </c>
      <c r="J92" s="604" t="s">
        <v>903</v>
      </c>
      <c r="K92" s="604">
        <f t="shared" si="1"/>
        <v>10</v>
      </c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394"/>
      <c r="X92" s="200"/>
      <c r="Y92" s="200"/>
      <c r="Z92" s="111"/>
      <c r="AA92" s="111"/>
      <c r="AB92" s="111"/>
      <c r="AC92" s="111"/>
      <c r="AD92" s="111"/>
      <c r="AE92" s="111"/>
    </row>
    <row r="93" spans="1:31" x14ac:dyDescent="0.3">
      <c r="A93" s="604" t="s">
        <v>890</v>
      </c>
      <c r="B93" s="604" t="s">
        <v>885</v>
      </c>
      <c r="C93" s="604" t="s">
        <v>40</v>
      </c>
      <c r="D93" s="604" t="s">
        <v>3</v>
      </c>
      <c r="E93" s="605">
        <v>306790</v>
      </c>
      <c r="F93" s="605">
        <v>287053</v>
      </c>
      <c r="G93" s="604">
        <v>4790</v>
      </c>
      <c r="H93" s="605">
        <v>490</v>
      </c>
      <c r="I93" s="605">
        <v>7089705</v>
      </c>
      <c r="J93" s="604" t="s">
        <v>903</v>
      </c>
      <c r="K93" s="604">
        <f t="shared" si="1"/>
        <v>10</v>
      </c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394"/>
      <c r="X93" s="200"/>
      <c r="Y93" s="200"/>
      <c r="Z93" s="111"/>
      <c r="AA93" s="111"/>
      <c r="AB93" s="111"/>
      <c r="AC93" s="111"/>
      <c r="AD93" s="111"/>
      <c r="AE93" s="111"/>
    </row>
    <row r="94" spans="1:31" x14ac:dyDescent="0.3">
      <c r="A94" s="604" t="s">
        <v>890</v>
      </c>
      <c r="B94" s="606" t="s">
        <v>885</v>
      </c>
      <c r="C94" s="606" t="s">
        <v>6</v>
      </c>
      <c r="D94" s="606" t="s">
        <v>3</v>
      </c>
      <c r="E94" s="607">
        <v>273124</v>
      </c>
      <c r="F94" s="607">
        <v>247608</v>
      </c>
      <c r="G94" s="606">
        <v>4570</v>
      </c>
      <c r="H94" s="607">
        <v>1085</v>
      </c>
      <c r="I94" s="607">
        <v>6888557.5299999993</v>
      </c>
      <c r="J94" s="604" t="s">
        <v>903</v>
      </c>
      <c r="K94" s="604">
        <f t="shared" si="1"/>
        <v>10</v>
      </c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394"/>
      <c r="X94" s="200"/>
      <c r="Y94" s="200"/>
      <c r="Z94" s="111"/>
      <c r="AA94" s="111"/>
      <c r="AB94" s="111"/>
      <c r="AC94" s="111"/>
      <c r="AD94" s="111"/>
      <c r="AE94" s="111"/>
    </row>
    <row r="95" spans="1:31" x14ac:dyDescent="0.3">
      <c r="A95" s="604" t="s">
        <v>890</v>
      </c>
      <c r="B95" s="604" t="s">
        <v>885</v>
      </c>
      <c r="C95" s="604" t="s">
        <v>6</v>
      </c>
      <c r="D95" s="604" t="s">
        <v>2</v>
      </c>
      <c r="E95" s="605">
        <v>598138</v>
      </c>
      <c r="F95" s="605">
        <v>576781</v>
      </c>
      <c r="G95" s="604">
        <v>4374</v>
      </c>
      <c r="H95" s="605">
        <v>461</v>
      </c>
      <c r="I95" s="605">
        <v>2667026.4500000002</v>
      </c>
      <c r="J95" s="604" t="s">
        <v>903</v>
      </c>
      <c r="K95" s="604">
        <f t="shared" si="1"/>
        <v>10</v>
      </c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394"/>
      <c r="X95" s="200"/>
      <c r="Y95" s="200"/>
      <c r="Z95" s="111"/>
      <c r="AA95" s="111"/>
      <c r="AB95" s="111"/>
      <c r="AC95" s="111"/>
      <c r="AD95" s="111"/>
      <c r="AE95" s="111"/>
    </row>
    <row r="96" spans="1:31" x14ac:dyDescent="0.3">
      <c r="A96" s="604" t="s">
        <v>890</v>
      </c>
      <c r="B96" s="606" t="s">
        <v>885</v>
      </c>
      <c r="C96" s="606" t="s">
        <v>7</v>
      </c>
      <c r="D96" s="606" t="s">
        <v>2</v>
      </c>
      <c r="E96" s="607">
        <v>427769</v>
      </c>
      <c r="F96" s="607">
        <v>396651</v>
      </c>
      <c r="G96" s="606">
        <v>3264</v>
      </c>
      <c r="H96" s="607">
        <v>222</v>
      </c>
      <c r="I96" s="607">
        <v>2710560</v>
      </c>
      <c r="J96" s="604" t="s">
        <v>903</v>
      </c>
      <c r="K96" s="604">
        <f t="shared" si="1"/>
        <v>10</v>
      </c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394"/>
      <c r="X96" s="200"/>
      <c r="Y96" s="200"/>
      <c r="Z96" s="111"/>
      <c r="AA96" s="111"/>
      <c r="AB96" s="111"/>
      <c r="AC96" s="111"/>
      <c r="AD96" s="111"/>
      <c r="AE96" s="111"/>
    </row>
    <row r="97" spans="1:31" x14ac:dyDescent="0.3">
      <c r="A97" s="604" t="s">
        <v>890</v>
      </c>
      <c r="B97" s="604" t="s">
        <v>885</v>
      </c>
      <c r="C97" s="604" t="s">
        <v>7</v>
      </c>
      <c r="D97" s="604" t="s">
        <v>3</v>
      </c>
      <c r="E97" s="605">
        <v>300884</v>
      </c>
      <c r="F97" s="605">
        <v>276424</v>
      </c>
      <c r="G97" s="604">
        <v>3578</v>
      </c>
      <c r="H97" s="605">
        <v>514</v>
      </c>
      <c r="I97" s="605">
        <v>7238701</v>
      </c>
      <c r="J97" s="604" t="s">
        <v>903</v>
      </c>
      <c r="K97" s="604">
        <f t="shared" si="1"/>
        <v>10</v>
      </c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394"/>
      <c r="X97" s="200"/>
      <c r="Y97" s="200"/>
      <c r="Z97" s="111"/>
      <c r="AA97" s="111"/>
      <c r="AB97" s="111"/>
      <c r="AC97" s="111"/>
      <c r="AD97" s="111"/>
      <c r="AE97" s="111"/>
    </row>
    <row r="98" spans="1:31" x14ac:dyDescent="0.3">
      <c r="A98" s="604" t="s">
        <v>890</v>
      </c>
      <c r="B98" s="604" t="s">
        <v>886</v>
      </c>
      <c r="C98" s="604" t="s">
        <v>40</v>
      </c>
      <c r="D98" s="604" t="s">
        <v>3</v>
      </c>
      <c r="E98" s="605">
        <v>628246</v>
      </c>
      <c r="F98" s="605">
        <v>596298</v>
      </c>
      <c r="G98" s="604">
        <v>5084</v>
      </c>
      <c r="H98" s="605">
        <v>470</v>
      </c>
      <c r="I98" s="605">
        <v>8890090</v>
      </c>
      <c r="J98" s="604" t="s">
        <v>903</v>
      </c>
      <c r="K98" s="604">
        <f t="shared" si="1"/>
        <v>11</v>
      </c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394"/>
      <c r="X98" s="200"/>
      <c r="Y98" s="200"/>
      <c r="Z98" s="111"/>
      <c r="AA98" s="111"/>
      <c r="AB98" s="111"/>
      <c r="AC98" s="111"/>
      <c r="AD98" s="111"/>
      <c r="AE98" s="111"/>
    </row>
    <row r="99" spans="1:31" x14ac:dyDescent="0.3">
      <c r="A99" s="604" t="s">
        <v>890</v>
      </c>
      <c r="B99" s="606" t="s">
        <v>886</v>
      </c>
      <c r="C99" s="606" t="s">
        <v>40</v>
      </c>
      <c r="D99" s="606" t="s">
        <v>2</v>
      </c>
      <c r="E99" s="607">
        <v>522311</v>
      </c>
      <c r="F99" s="607">
        <v>426844</v>
      </c>
      <c r="G99" s="606">
        <v>3741</v>
      </c>
      <c r="H99" s="607">
        <v>188</v>
      </c>
      <c r="I99" s="607">
        <v>3003340</v>
      </c>
      <c r="J99" s="604" t="s">
        <v>903</v>
      </c>
      <c r="K99" s="604">
        <f t="shared" si="1"/>
        <v>11</v>
      </c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394"/>
      <c r="X99" s="200"/>
      <c r="Y99" s="200"/>
      <c r="Z99" s="111"/>
      <c r="AA99" s="111"/>
      <c r="AB99" s="111"/>
      <c r="AC99" s="111"/>
      <c r="AD99" s="111"/>
      <c r="AE99" s="111"/>
    </row>
    <row r="100" spans="1:31" x14ac:dyDescent="0.3">
      <c r="A100" s="604" t="s">
        <v>890</v>
      </c>
      <c r="B100" s="606" t="s">
        <v>886</v>
      </c>
      <c r="C100" s="606" t="s">
        <v>6</v>
      </c>
      <c r="D100" s="606" t="s">
        <v>2</v>
      </c>
      <c r="E100" s="607">
        <v>368855</v>
      </c>
      <c r="F100" s="607">
        <v>328801</v>
      </c>
      <c r="G100" s="606">
        <v>2672</v>
      </c>
      <c r="H100" s="607">
        <v>313</v>
      </c>
      <c r="I100" s="607">
        <v>1552499.0999999999</v>
      </c>
      <c r="J100" s="604" t="s">
        <v>903</v>
      </c>
      <c r="K100" s="604">
        <f t="shared" si="1"/>
        <v>11</v>
      </c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394"/>
      <c r="X100" s="200"/>
      <c r="Y100" s="200"/>
      <c r="Z100" s="111"/>
      <c r="AA100" s="111"/>
      <c r="AB100" s="111"/>
      <c r="AC100" s="111"/>
      <c r="AD100" s="111"/>
      <c r="AE100" s="111"/>
    </row>
    <row r="101" spans="1:31" x14ac:dyDescent="0.3">
      <c r="A101" s="604" t="s">
        <v>890</v>
      </c>
      <c r="B101" s="604" t="s">
        <v>886</v>
      </c>
      <c r="C101" s="604" t="s">
        <v>6</v>
      </c>
      <c r="D101" s="604" t="s">
        <v>3</v>
      </c>
      <c r="E101" s="605">
        <v>279314</v>
      </c>
      <c r="F101" s="605">
        <v>251321</v>
      </c>
      <c r="G101" s="604">
        <v>4588</v>
      </c>
      <c r="H101" s="605">
        <v>945</v>
      </c>
      <c r="I101" s="605">
        <v>5575508.5500000007</v>
      </c>
      <c r="J101" s="604" t="s">
        <v>903</v>
      </c>
      <c r="K101" s="604">
        <f t="shared" si="1"/>
        <v>11</v>
      </c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394"/>
      <c r="X101" s="200"/>
      <c r="Y101" s="200"/>
      <c r="Z101" s="111"/>
      <c r="AA101" s="111"/>
      <c r="AB101" s="111"/>
      <c r="AC101" s="111"/>
      <c r="AD101" s="111"/>
      <c r="AE101" s="111"/>
    </row>
    <row r="102" spans="1:31" x14ac:dyDescent="0.3">
      <c r="A102" s="604" t="s">
        <v>890</v>
      </c>
      <c r="B102" s="606" t="s">
        <v>886</v>
      </c>
      <c r="C102" s="606" t="s">
        <v>7</v>
      </c>
      <c r="D102" s="606" t="s">
        <v>2</v>
      </c>
      <c r="E102" s="607">
        <v>427703</v>
      </c>
      <c r="F102" s="607">
        <v>355994</v>
      </c>
      <c r="G102" s="606">
        <v>3214</v>
      </c>
      <c r="H102" s="607">
        <v>289</v>
      </c>
      <c r="I102" s="607">
        <v>3654240</v>
      </c>
      <c r="J102" s="604" t="s">
        <v>903</v>
      </c>
      <c r="K102" s="604">
        <f t="shared" si="1"/>
        <v>11</v>
      </c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394"/>
      <c r="X102" s="200"/>
      <c r="Y102" s="200"/>
      <c r="Z102" s="111"/>
      <c r="AA102" s="111"/>
      <c r="AB102" s="111"/>
      <c r="AC102" s="111"/>
      <c r="AD102" s="111"/>
      <c r="AE102" s="111"/>
    </row>
    <row r="103" spans="1:31" x14ac:dyDescent="0.3">
      <c r="A103" s="604" t="s">
        <v>890</v>
      </c>
      <c r="B103" s="604" t="s">
        <v>886</v>
      </c>
      <c r="C103" s="604" t="s">
        <v>7</v>
      </c>
      <c r="D103" s="604" t="s">
        <v>3</v>
      </c>
      <c r="E103" s="605">
        <v>297234</v>
      </c>
      <c r="F103" s="605">
        <v>255843</v>
      </c>
      <c r="G103" s="604">
        <v>3862</v>
      </c>
      <c r="H103" s="605">
        <v>598</v>
      </c>
      <c r="I103" s="605">
        <v>8854739</v>
      </c>
      <c r="J103" s="604" t="s">
        <v>903</v>
      </c>
      <c r="K103" s="604">
        <f t="shared" si="1"/>
        <v>11</v>
      </c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394"/>
      <c r="X103" s="200"/>
      <c r="Y103" s="200"/>
      <c r="Z103" s="111"/>
      <c r="AA103" s="111"/>
      <c r="AB103" s="111"/>
      <c r="AC103" s="111"/>
      <c r="AD103" s="111"/>
      <c r="AE103" s="111"/>
    </row>
    <row r="104" spans="1:31" x14ac:dyDescent="0.3">
      <c r="A104" s="604" t="s">
        <v>890</v>
      </c>
      <c r="B104" s="606" t="s">
        <v>887</v>
      </c>
      <c r="C104" s="606" t="s">
        <v>40</v>
      </c>
      <c r="D104" s="606" t="s">
        <v>2</v>
      </c>
      <c r="E104" s="607">
        <v>622141</v>
      </c>
      <c r="F104" s="607">
        <v>572113</v>
      </c>
      <c r="G104" s="606">
        <v>5153</v>
      </c>
      <c r="H104" s="607">
        <v>322</v>
      </c>
      <c r="I104" s="607">
        <v>4393670</v>
      </c>
      <c r="J104" s="604" t="s">
        <v>903</v>
      </c>
      <c r="K104" s="604">
        <f t="shared" si="1"/>
        <v>12</v>
      </c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394"/>
      <c r="X104" s="200"/>
      <c r="Y104" s="200"/>
      <c r="Z104" s="111"/>
      <c r="AA104" s="111"/>
      <c r="AB104" s="111"/>
      <c r="AC104" s="111"/>
      <c r="AD104" s="111"/>
      <c r="AE104" s="111"/>
    </row>
    <row r="105" spans="1:31" x14ac:dyDescent="0.3">
      <c r="A105" s="604" t="s">
        <v>890</v>
      </c>
      <c r="B105" s="604" t="s">
        <v>887</v>
      </c>
      <c r="C105" s="604" t="s">
        <v>40</v>
      </c>
      <c r="D105" s="604" t="s">
        <v>3</v>
      </c>
      <c r="E105" s="605">
        <v>548176</v>
      </c>
      <c r="F105" s="605">
        <v>515657</v>
      </c>
      <c r="G105" s="604">
        <v>7680</v>
      </c>
      <c r="H105" s="605">
        <v>758</v>
      </c>
      <c r="I105" s="605">
        <v>11811460</v>
      </c>
      <c r="J105" s="604" t="s">
        <v>903</v>
      </c>
      <c r="K105" s="604">
        <f t="shared" si="1"/>
        <v>12</v>
      </c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394"/>
      <c r="X105" s="200"/>
      <c r="Y105" s="200"/>
      <c r="Z105" s="111"/>
      <c r="AA105" s="111"/>
      <c r="AB105" s="111"/>
      <c r="AC105" s="111"/>
      <c r="AD105" s="111"/>
      <c r="AE105" s="111"/>
    </row>
    <row r="106" spans="1:31" x14ac:dyDescent="0.3">
      <c r="A106" s="604" t="s">
        <v>890</v>
      </c>
      <c r="B106" s="606" t="s">
        <v>887</v>
      </c>
      <c r="C106" s="606" t="s">
        <v>6</v>
      </c>
      <c r="D106" s="606" t="s">
        <v>3</v>
      </c>
      <c r="E106" s="607">
        <v>217370</v>
      </c>
      <c r="F106" s="607">
        <v>197580</v>
      </c>
      <c r="G106" s="606">
        <v>3942</v>
      </c>
      <c r="H106" s="607">
        <v>789</v>
      </c>
      <c r="I106" s="607">
        <v>4749986.17</v>
      </c>
      <c r="J106" s="604" t="s">
        <v>903</v>
      </c>
      <c r="K106" s="604">
        <f t="shared" si="1"/>
        <v>12</v>
      </c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394"/>
      <c r="X106" s="200"/>
      <c r="Y106" s="200"/>
      <c r="Z106" s="111"/>
      <c r="AA106" s="111"/>
      <c r="AB106" s="111"/>
      <c r="AC106" s="111"/>
      <c r="AD106" s="111"/>
      <c r="AE106" s="111"/>
    </row>
    <row r="107" spans="1:31" x14ac:dyDescent="0.3">
      <c r="A107" s="604" t="s">
        <v>890</v>
      </c>
      <c r="B107" s="604" t="s">
        <v>887</v>
      </c>
      <c r="C107" s="604" t="s">
        <v>6</v>
      </c>
      <c r="D107" s="604" t="s">
        <v>2</v>
      </c>
      <c r="E107" s="605">
        <v>378635</v>
      </c>
      <c r="F107" s="605">
        <v>356040</v>
      </c>
      <c r="G107" s="604">
        <v>2435</v>
      </c>
      <c r="H107" s="605">
        <v>280</v>
      </c>
      <c r="I107" s="605">
        <v>1567903</v>
      </c>
      <c r="J107" s="604" t="s">
        <v>903</v>
      </c>
      <c r="K107" s="604">
        <f t="shared" si="1"/>
        <v>12</v>
      </c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394"/>
      <c r="X107" s="200"/>
      <c r="Y107" s="200"/>
      <c r="Z107" s="111"/>
      <c r="AA107" s="111"/>
      <c r="AB107" s="111"/>
      <c r="AC107" s="111"/>
      <c r="AD107" s="111"/>
      <c r="AE107" s="111"/>
    </row>
    <row r="108" spans="1:31" x14ac:dyDescent="0.3">
      <c r="A108" s="604" t="s">
        <v>890</v>
      </c>
      <c r="B108" s="606" t="s">
        <v>887</v>
      </c>
      <c r="C108" s="606" t="s">
        <v>7</v>
      </c>
      <c r="D108" s="606" t="s">
        <v>2</v>
      </c>
      <c r="E108" s="607">
        <v>281359</v>
      </c>
      <c r="F108" s="607">
        <v>247702</v>
      </c>
      <c r="G108" s="606">
        <v>3328</v>
      </c>
      <c r="H108" s="607">
        <v>292</v>
      </c>
      <c r="I108" s="607">
        <v>4283260</v>
      </c>
      <c r="J108" s="604" t="s">
        <v>903</v>
      </c>
      <c r="K108" s="604">
        <f t="shared" si="1"/>
        <v>12</v>
      </c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394"/>
      <c r="X108" s="200"/>
      <c r="Y108" s="200"/>
      <c r="Z108" s="111"/>
      <c r="AA108" s="111"/>
      <c r="AB108" s="111"/>
      <c r="AC108" s="111"/>
      <c r="AD108" s="111"/>
      <c r="AE108" s="111"/>
    </row>
    <row r="109" spans="1:31" x14ac:dyDescent="0.3">
      <c r="A109" s="604" t="s">
        <v>890</v>
      </c>
      <c r="B109" s="604" t="s">
        <v>887</v>
      </c>
      <c r="C109" s="604" t="s">
        <v>7</v>
      </c>
      <c r="D109" s="604" t="s">
        <v>3</v>
      </c>
      <c r="E109" s="605">
        <v>242179</v>
      </c>
      <c r="F109" s="605">
        <v>223458</v>
      </c>
      <c r="G109" s="604">
        <v>3750</v>
      </c>
      <c r="H109" s="605">
        <v>576</v>
      </c>
      <c r="I109" s="605">
        <v>8615940</v>
      </c>
      <c r="J109" s="604" t="s">
        <v>903</v>
      </c>
      <c r="K109" s="604">
        <f t="shared" si="1"/>
        <v>12</v>
      </c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394"/>
      <c r="X109" s="200"/>
      <c r="Y109" s="200"/>
      <c r="Z109" s="111"/>
      <c r="AA109" s="111"/>
      <c r="AB109" s="111"/>
      <c r="AC109" s="111"/>
      <c r="AD109" s="111"/>
      <c r="AE109" s="111"/>
    </row>
    <row r="110" spans="1:31" x14ac:dyDescent="0.3">
      <c r="B110" s="111"/>
      <c r="C110" s="111"/>
      <c r="D110" s="111"/>
      <c r="E110" s="111"/>
      <c r="F110" s="111"/>
      <c r="G110" s="111"/>
      <c r="H110" s="111"/>
      <c r="I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394"/>
      <c r="X110" s="200"/>
      <c r="Y110" s="200"/>
      <c r="Z110" s="111"/>
      <c r="AA110" s="111"/>
      <c r="AB110" s="111"/>
      <c r="AC110" s="111"/>
      <c r="AD110" s="111"/>
      <c r="AE110" s="111"/>
    </row>
    <row r="111" spans="1:31" x14ac:dyDescent="0.3">
      <c r="B111" s="111"/>
      <c r="C111" s="111"/>
      <c r="D111" s="111"/>
      <c r="E111" s="111"/>
      <c r="F111" s="111"/>
      <c r="G111" s="111"/>
      <c r="H111" s="111"/>
      <c r="I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394"/>
      <c r="X111" s="200"/>
      <c r="Y111" s="200"/>
      <c r="Z111" s="111"/>
      <c r="AA111" s="111"/>
      <c r="AB111" s="111"/>
      <c r="AC111" s="111"/>
      <c r="AD111" s="111"/>
      <c r="AE111" s="111"/>
    </row>
    <row r="112" spans="1:31" x14ac:dyDescent="0.3">
      <c r="B112" s="111"/>
      <c r="C112" s="111"/>
      <c r="D112" s="111"/>
      <c r="E112" s="111"/>
      <c r="F112" s="111"/>
      <c r="G112" s="111"/>
      <c r="H112" s="111"/>
      <c r="I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394"/>
      <c r="X112" s="200"/>
      <c r="Y112" s="200"/>
      <c r="Z112" s="111"/>
      <c r="AA112" s="111"/>
      <c r="AB112" s="111"/>
      <c r="AC112" s="111"/>
      <c r="AD112" s="111"/>
      <c r="AE112" s="111"/>
    </row>
    <row r="113" spans="2:31" x14ac:dyDescent="0.3">
      <c r="B113" s="111"/>
      <c r="C113" s="111"/>
      <c r="D113" s="111"/>
      <c r="E113" s="111"/>
      <c r="F113" s="111"/>
      <c r="G113" s="111"/>
      <c r="H113" s="111"/>
      <c r="I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394"/>
      <c r="X113" s="200"/>
      <c r="Y113" s="200"/>
      <c r="Z113" s="111"/>
      <c r="AA113" s="111"/>
      <c r="AB113" s="111"/>
      <c r="AC113" s="111"/>
      <c r="AD113" s="111"/>
      <c r="AE113" s="111"/>
    </row>
    <row r="114" spans="2:31" x14ac:dyDescent="0.3">
      <c r="B114" s="111"/>
      <c r="C114" s="111"/>
      <c r="D114" s="111"/>
      <c r="E114" s="111"/>
      <c r="F114" s="111"/>
      <c r="G114" s="111"/>
      <c r="H114" s="111"/>
      <c r="I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394"/>
      <c r="X114" s="200"/>
      <c r="Y114" s="200"/>
      <c r="Z114" s="111"/>
      <c r="AA114" s="111"/>
      <c r="AB114" s="111"/>
      <c r="AC114" s="111"/>
      <c r="AD114" s="111"/>
      <c r="AE114" s="111"/>
    </row>
    <row r="115" spans="2:31" x14ac:dyDescent="0.3">
      <c r="B115" s="111"/>
      <c r="C115" s="111"/>
      <c r="D115" s="111"/>
      <c r="E115" s="111"/>
      <c r="F115" s="111"/>
      <c r="G115" s="111"/>
      <c r="H115" s="111"/>
      <c r="I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394"/>
      <c r="X115" s="200"/>
      <c r="Y115" s="200"/>
      <c r="Z115" s="111"/>
      <c r="AA115" s="111"/>
      <c r="AB115" s="111"/>
      <c r="AC115" s="111"/>
      <c r="AD115" s="111"/>
      <c r="AE115" s="111"/>
    </row>
    <row r="116" spans="2:31" x14ac:dyDescent="0.3">
      <c r="B116" s="111"/>
      <c r="C116" s="111"/>
      <c r="D116" s="111"/>
      <c r="E116" s="111"/>
      <c r="F116" s="111"/>
      <c r="G116" s="111"/>
      <c r="H116" s="111"/>
      <c r="I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394"/>
      <c r="X116" s="200"/>
      <c r="Y116" s="200"/>
      <c r="Z116" s="111"/>
      <c r="AA116" s="111"/>
      <c r="AB116" s="111"/>
      <c r="AC116" s="111"/>
      <c r="AD116" s="111"/>
      <c r="AE116" s="111"/>
    </row>
    <row r="117" spans="2:31" x14ac:dyDescent="0.3">
      <c r="B117" s="111"/>
      <c r="C117" s="111"/>
      <c r="D117" s="111"/>
      <c r="E117" s="111"/>
      <c r="F117" s="111"/>
      <c r="G117" s="111"/>
      <c r="H117" s="111"/>
      <c r="I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394"/>
      <c r="X117" s="200"/>
      <c r="Y117" s="200"/>
      <c r="Z117" s="111"/>
      <c r="AA117" s="111"/>
      <c r="AB117" s="111"/>
      <c r="AC117" s="111"/>
      <c r="AD117" s="111"/>
      <c r="AE117" s="111"/>
    </row>
    <row r="118" spans="2:31" x14ac:dyDescent="0.3">
      <c r="B118" s="111"/>
      <c r="C118" s="111"/>
      <c r="D118" s="111"/>
      <c r="E118" s="111"/>
      <c r="F118" s="111"/>
      <c r="G118" s="111"/>
      <c r="H118" s="111"/>
      <c r="I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394"/>
      <c r="X118" s="200"/>
      <c r="Y118" s="200"/>
      <c r="Z118" s="111"/>
      <c r="AA118" s="111"/>
      <c r="AB118" s="111"/>
      <c r="AC118" s="111"/>
      <c r="AD118" s="111"/>
      <c r="AE118" s="111"/>
    </row>
    <row r="119" spans="2:31" x14ac:dyDescent="0.3">
      <c r="B119" s="111"/>
      <c r="C119" s="111"/>
      <c r="D119" s="111"/>
      <c r="E119" s="111"/>
      <c r="F119" s="111"/>
      <c r="G119" s="111"/>
      <c r="H119" s="111"/>
      <c r="I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394"/>
      <c r="X119" s="200"/>
      <c r="Y119" s="200"/>
      <c r="Z119" s="111"/>
      <c r="AA119" s="111"/>
      <c r="AB119" s="111"/>
      <c r="AC119" s="111"/>
      <c r="AD119" s="111"/>
      <c r="AE119" s="111"/>
    </row>
    <row r="120" spans="2:31" x14ac:dyDescent="0.3">
      <c r="B120" s="111"/>
      <c r="C120" s="111"/>
      <c r="D120" s="111"/>
      <c r="E120" s="111"/>
      <c r="F120" s="111"/>
      <c r="G120" s="111"/>
      <c r="H120" s="111"/>
      <c r="I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394"/>
      <c r="X120" s="200"/>
      <c r="Y120" s="200"/>
      <c r="Z120" s="111"/>
      <c r="AA120" s="111"/>
      <c r="AB120" s="111"/>
      <c r="AC120" s="111"/>
      <c r="AD120" s="111"/>
      <c r="AE120" s="111"/>
    </row>
    <row r="121" spans="2:31" x14ac:dyDescent="0.3">
      <c r="B121" s="111"/>
      <c r="C121" s="111"/>
      <c r="D121" s="111"/>
      <c r="E121" s="111"/>
      <c r="F121" s="111"/>
      <c r="G121" s="111"/>
      <c r="H121" s="111"/>
      <c r="I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394"/>
      <c r="X121" s="200"/>
      <c r="Y121" s="200"/>
      <c r="Z121" s="111"/>
      <c r="AA121" s="111"/>
      <c r="AB121" s="111"/>
      <c r="AC121" s="111"/>
      <c r="AD121" s="111"/>
      <c r="AE121" s="111"/>
    </row>
    <row r="122" spans="2:31" x14ac:dyDescent="0.3">
      <c r="B122" s="111"/>
      <c r="C122" s="111"/>
      <c r="D122" s="111"/>
      <c r="E122" s="111"/>
      <c r="F122" s="111"/>
      <c r="G122" s="111"/>
      <c r="H122" s="111"/>
      <c r="I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394"/>
      <c r="X122" s="200"/>
      <c r="Y122" s="200"/>
      <c r="Z122" s="111"/>
      <c r="AA122" s="111"/>
      <c r="AB122" s="111"/>
      <c r="AC122" s="111"/>
      <c r="AD122" s="111"/>
      <c r="AE122" s="111"/>
    </row>
    <row r="123" spans="2:31" x14ac:dyDescent="0.3">
      <c r="B123" s="111"/>
      <c r="C123" s="111"/>
      <c r="D123" s="111"/>
      <c r="E123" s="111"/>
      <c r="F123" s="111"/>
      <c r="G123" s="111"/>
      <c r="H123" s="111"/>
      <c r="I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394"/>
      <c r="X123" s="200"/>
      <c r="Y123" s="200"/>
      <c r="Z123" s="111"/>
      <c r="AA123" s="111"/>
      <c r="AB123" s="111"/>
      <c r="AC123" s="111"/>
      <c r="AD123" s="111"/>
      <c r="AE123" s="111"/>
    </row>
    <row r="124" spans="2:31" x14ac:dyDescent="0.3">
      <c r="B124" s="111"/>
      <c r="C124" s="111"/>
      <c r="D124" s="111"/>
      <c r="E124" s="111"/>
      <c r="F124" s="111"/>
      <c r="G124" s="111"/>
      <c r="H124" s="111"/>
      <c r="I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394"/>
      <c r="X124" s="200"/>
      <c r="Y124" s="200"/>
      <c r="Z124" s="111"/>
      <c r="AA124" s="111"/>
      <c r="AB124" s="111"/>
      <c r="AC124" s="111"/>
      <c r="AD124" s="111"/>
      <c r="AE124" s="111"/>
    </row>
    <row r="125" spans="2:31" x14ac:dyDescent="0.3">
      <c r="B125" s="111"/>
      <c r="C125" s="111"/>
      <c r="D125" s="111"/>
      <c r="E125" s="111"/>
      <c r="F125" s="111"/>
      <c r="G125" s="111"/>
      <c r="H125" s="111"/>
      <c r="I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394"/>
      <c r="X125" s="200"/>
      <c r="Y125" s="200"/>
      <c r="Z125" s="111"/>
      <c r="AA125" s="111"/>
      <c r="AB125" s="111"/>
      <c r="AC125" s="111"/>
      <c r="AD125" s="111"/>
      <c r="AE125" s="111"/>
    </row>
    <row r="126" spans="2:31" x14ac:dyDescent="0.3">
      <c r="B126" s="111"/>
      <c r="C126" s="111"/>
      <c r="D126" s="111"/>
      <c r="E126" s="111"/>
      <c r="F126" s="111"/>
      <c r="G126" s="111"/>
      <c r="H126" s="111"/>
      <c r="I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394"/>
      <c r="X126" s="200"/>
      <c r="Y126" s="200"/>
      <c r="Z126" s="111"/>
      <c r="AA126" s="111"/>
      <c r="AB126" s="111"/>
      <c r="AC126" s="111"/>
      <c r="AD126" s="111"/>
      <c r="AE126" s="111"/>
    </row>
    <row r="127" spans="2:31" x14ac:dyDescent="0.3">
      <c r="B127" s="111"/>
      <c r="C127" s="111"/>
      <c r="D127" s="111"/>
      <c r="E127" s="111"/>
      <c r="F127" s="111"/>
      <c r="G127" s="111"/>
      <c r="H127" s="111"/>
      <c r="I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394"/>
      <c r="X127" s="200"/>
      <c r="Y127" s="200"/>
      <c r="Z127" s="111"/>
      <c r="AA127" s="111"/>
      <c r="AB127" s="111"/>
      <c r="AC127" s="111"/>
      <c r="AD127" s="111"/>
      <c r="AE127" s="111"/>
    </row>
    <row r="128" spans="2:31" x14ac:dyDescent="0.3">
      <c r="B128" s="111"/>
      <c r="C128" s="111"/>
      <c r="D128" s="111"/>
      <c r="E128" s="111"/>
      <c r="F128" s="111"/>
      <c r="G128" s="111"/>
      <c r="H128" s="111"/>
      <c r="I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394"/>
      <c r="X128" s="200"/>
      <c r="Y128" s="200"/>
      <c r="Z128" s="111"/>
      <c r="AA128" s="111"/>
      <c r="AB128" s="111"/>
      <c r="AC128" s="111"/>
      <c r="AD128" s="111"/>
      <c r="AE128" s="111"/>
    </row>
    <row r="129" spans="2:31" x14ac:dyDescent="0.3">
      <c r="B129" s="111"/>
      <c r="C129" s="111"/>
      <c r="D129" s="111"/>
      <c r="E129" s="111"/>
      <c r="F129" s="111"/>
      <c r="G129" s="111"/>
      <c r="H129" s="111"/>
      <c r="I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394"/>
      <c r="X129" s="200"/>
      <c r="Y129" s="200"/>
      <c r="Z129" s="111"/>
      <c r="AA129" s="111"/>
      <c r="AB129" s="111"/>
      <c r="AC129" s="111"/>
      <c r="AD129" s="111"/>
      <c r="AE129" s="111"/>
    </row>
    <row r="130" spans="2:31" x14ac:dyDescent="0.3">
      <c r="B130" s="111"/>
      <c r="C130" s="111"/>
      <c r="D130" s="111"/>
      <c r="E130" s="111"/>
      <c r="F130" s="111"/>
      <c r="G130" s="111"/>
      <c r="H130" s="111"/>
      <c r="I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394"/>
      <c r="X130" s="200"/>
      <c r="Y130" s="200"/>
      <c r="Z130" s="111"/>
      <c r="AA130" s="111"/>
      <c r="AB130" s="111"/>
      <c r="AC130" s="111"/>
      <c r="AD130" s="111"/>
      <c r="AE130" s="111"/>
    </row>
    <row r="131" spans="2:31" x14ac:dyDescent="0.3">
      <c r="B131" s="111"/>
      <c r="C131" s="111"/>
      <c r="D131" s="111"/>
      <c r="E131" s="111"/>
      <c r="F131" s="111"/>
      <c r="G131" s="111"/>
      <c r="H131" s="111"/>
      <c r="I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394"/>
      <c r="X131" s="200"/>
      <c r="Y131" s="200"/>
      <c r="Z131" s="111"/>
      <c r="AA131" s="111"/>
      <c r="AB131" s="111"/>
      <c r="AC131" s="111"/>
      <c r="AD131" s="111"/>
      <c r="AE131" s="111"/>
    </row>
    <row r="132" spans="2:31" x14ac:dyDescent="0.3">
      <c r="B132" s="111"/>
      <c r="C132" s="111"/>
      <c r="D132" s="111"/>
      <c r="E132" s="111"/>
      <c r="F132" s="111"/>
      <c r="G132" s="111"/>
      <c r="H132" s="111"/>
      <c r="I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394"/>
      <c r="X132" s="200"/>
      <c r="Y132" s="200"/>
      <c r="Z132" s="111"/>
      <c r="AA132" s="111"/>
      <c r="AB132" s="111"/>
      <c r="AC132" s="111"/>
      <c r="AD132" s="111"/>
      <c r="AE132" s="111"/>
    </row>
    <row r="133" spans="2:31" x14ac:dyDescent="0.3">
      <c r="B133" s="111"/>
      <c r="C133" s="111"/>
      <c r="D133" s="111"/>
      <c r="E133" s="111"/>
      <c r="F133" s="111"/>
      <c r="G133" s="111"/>
      <c r="H133" s="111"/>
      <c r="I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394"/>
      <c r="X133" s="200"/>
      <c r="Y133" s="200"/>
      <c r="Z133" s="111"/>
      <c r="AA133" s="111"/>
      <c r="AB133" s="111"/>
      <c r="AC133" s="111"/>
      <c r="AD133" s="111"/>
      <c r="AE133" s="111"/>
    </row>
    <row r="134" spans="2:31" x14ac:dyDescent="0.3">
      <c r="B134" s="111"/>
      <c r="C134" s="111"/>
      <c r="D134" s="111"/>
      <c r="E134" s="111"/>
      <c r="F134" s="111"/>
      <c r="G134" s="111"/>
      <c r="H134" s="111"/>
      <c r="I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394"/>
      <c r="X134" s="200"/>
      <c r="Y134" s="200"/>
      <c r="Z134" s="111"/>
      <c r="AA134" s="111"/>
      <c r="AB134" s="111"/>
      <c r="AC134" s="111"/>
      <c r="AD134" s="111"/>
      <c r="AE134" s="111"/>
    </row>
    <row r="135" spans="2:31" x14ac:dyDescent="0.3">
      <c r="B135" s="111"/>
      <c r="C135" s="111"/>
      <c r="D135" s="111"/>
      <c r="E135" s="111"/>
      <c r="F135" s="111"/>
      <c r="G135" s="111"/>
      <c r="H135" s="111"/>
      <c r="I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394"/>
      <c r="X135" s="200"/>
      <c r="Y135" s="200"/>
      <c r="Z135" s="111"/>
      <c r="AA135" s="111"/>
      <c r="AB135" s="111"/>
      <c r="AC135" s="111"/>
      <c r="AD135" s="111"/>
      <c r="AE135" s="111"/>
    </row>
    <row r="136" spans="2:31" x14ac:dyDescent="0.3">
      <c r="B136" s="111"/>
      <c r="C136" s="111"/>
      <c r="D136" s="111"/>
      <c r="E136" s="111"/>
      <c r="F136" s="111"/>
      <c r="G136" s="111"/>
      <c r="H136" s="111"/>
      <c r="I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394"/>
      <c r="X136" s="200"/>
      <c r="Y136" s="200"/>
      <c r="Z136" s="111"/>
      <c r="AA136" s="111"/>
      <c r="AB136" s="111"/>
      <c r="AC136" s="111"/>
      <c r="AD136" s="111"/>
      <c r="AE136" s="111"/>
    </row>
    <row r="137" spans="2:31" x14ac:dyDescent="0.3">
      <c r="B137" s="111"/>
      <c r="C137" s="111"/>
      <c r="D137" s="111"/>
      <c r="E137" s="111"/>
      <c r="F137" s="111"/>
      <c r="G137" s="111"/>
      <c r="H137" s="111"/>
      <c r="I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394"/>
      <c r="X137" s="200"/>
      <c r="Y137" s="200"/>
      <c r="Z137" s="111"/>
      <c r="AA137" s="111"/>
      <c r="AB137" s="111"/>
      <c r="AC137" s="111"/>
      <c r="AD137" s="111"/>
      <c r="AE137" s="111"/>
    </row>
    <row r="138" spans="2:31" x14ac:dyDescent="0.3">
      <c r="B138" s="111"/>
      <c r="C138" s="111"/>
      <c r="D138" s="111"/>
      <c r="E138" s="111"/>
      <c r="F138" s="111"/>
      <c r="G138" s="111"/>
      <c r="H138" s="111"/>
      <c r="I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394"/>
      <c r="X138" s="200"/>
      <c r="Y138" s="200"/>
      <c r="Z138" s="111"/>
      <c r="AA138" s="111"/>
      <c r="AB138" s="111"/>
      <c r="AC138" s="111"/>
      <c r="AD138" s="111"/>
      <c r="AE138" s="111"/>
    </row>
    <row r="139" spans="2:31" x14ac:dyDescent="0.3">
      <c r="B139" s="111"/>
      <c r="C139" s="111"/>
      <c r="D139" s="111"/>
      <c r="E139" s="111"/>
      <c r="F139" s="111"/>
      <c r="G139" s="111"/>
      <c r="H139" s="111"/>
      <c r="I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394"/>
      <c r="X139" s="200"/>
      <c r="Y139" s="200"/>
      <c r="Z139" s="111"/>
      <c r="AA139" s="111"/>
      <c r="AB139" s="111"/>
      <c r="AC139" s="111"/>
      <c r="AD139" s="111"/>
      <c r="AE139" s="111"/>
    </row>
    <row r="140" spans="2:31" x14ac:dyDescent="0.3">
      <c r="B140" s="111"/>
      <c r="C140" s="111"/>
      <c r="D140" s="111"/>
      <c r="E140" s="111"/>
      <c r="F140" s="111"/>
      <c r="G140" s="111"/>
      <c r="H140" s="111"/>
      <c r="I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394"/>
      <c r="X140" s="200"/>
      <c r="Y140" s="200"/>
      <c r="Z140" s="111"/>
      <c r="AA140" s="111"/>
      <c r="AB140" s="111"/>
      <c r="AC140" s="111"/>
      <c r="AD140" s="111"/>
      <c r="AE140" s="111"/>
    </row>
    <row r="141" spans="2:31" x14ac:dyDescent="0.3">
      <c r="B141" s="111"/>
      <c r="C141" s="111"/>
      <c r="D141" s="111"/>
      <c r="E141" s="111"/>
      <c r="F141" s="111"/>
      <c r="G141" s="111"/>
      <c r="H141" s="111"/>
      <c r="I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394"/>
      <c r="X141" s="200"/>
      <c r="Y141" s="200"/>
      <c r="Z141" s="111"/>
      <c r="AA141" s="111"/>
      <c r="AB141" s="111"/>
      <c r="AC141" s="111"/>
      <c r="AD141" s="111"/>
      <c r="AE141" s="111"/>
    </row>
    <row r="142" spans="2:31" x14ac:dyDescent="0.3">
      <c r="B142" s="111"/>
      <c r="C142" s="111"/>
      <c r="D142" s="111"/>
      <c r="E142" s="111"/>
      <c r="F142" s="111"/>
      <c r="G142" s="111"/>
      <c r="H142" s="111"/>
      <c r="I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394"/>
      <c r="X142" s="200"/>
      <c r="Y142" s="200"/>
      <c r="Z142" s="111"/>
      <c r="AA142" s="111"/>
      <c r="AB142" s="111"/>
      <c r="AC142" s="111"/>
      <c r="AD142" s="111"/>
      <c r="AE142" s="111"/>
    </row>
    <row r="143" spans="2:31" x14ac:dyDescent="0.3">
      <c r="B143" s="111"/>
      <c r="C143" s="111"/>
      <c r="D143" s="111"/>
      <c r="E143" s="111"/>
      <c r="F143" s="111"/>
      <c r="G143" s="111"/>
      <c r="H143" s="111"/>
      <c r="I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394"/>
      <c r="X143" s="200"/>
      <c r="Y143" s="200"/>
      <c r="Z143" s="111"/>
      <c r="AA143" s="111"/>
      <c r="AB143" s="111"/>
      <c r="AC143" s="111"/>
      <c r="AD143" s="111"/>
      <c r="AE143" s="111"/>
    </row>
    <row r="144" spans="2:31" x14ac:dyDescent="0.3">
      <c r="B144" s="111"/>
      <c r="C144" s="111"/>
      <c r="D144" s="111"/>
      <c r="E144" s="111"/>
      <c r="F144" s="111"/>
      <c r="G144" s="111"/>
      <c r="H144" s="111"/>
      <c r="I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394"/>
      <c r="X144" s="200"/>
      <c r="Y144" s="200"/>
      <c r="Z144" s="111"/>
      <c r="AA144" s="111"/>
      <c r="AB144" s="111"/>
      <c r="AC144" s="111"/>
      <c r="AD144" s="111"/>
      <c r="AE144" s="111"/>
    </row>
    <row r="145" spans="2:31" x14ac:dyDescent="0.3">
      <c r="B145" s="111"/>
      <c r="C145" s="111"/>
      <c r="D145" s="111"/>
      <c r="E145" s="111"/>
      <c r="F145" s="111"/>
      <c r="G145" s="111"/>
      <c r="H145" s="111"/>
      <c r="I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394"/>
      <c r="X145" s="200"/>
      <c r="Y145" s="200"/>
      <c r="Z145" s="111"/>
      <c r="AA145" s="111"/>
      <c r="AB145" s="111"/>
      <c r="AC145" s="111"/>
      <c r="AD145" s="111"/>
      <c r="AE145" s="111"/>
    </row>
    <row r="146" spans="2:31" x14ac:dyDescent="0.3">
      <c r="B146" s="111"/>
      <c r="C146" s="111"/>
      <c r="D146" s="111"/>
      <c r="E146" s="111"/>
      <c r="F146" s="111"/>
      <c r="G146" s="111"/>
      <c r="H146" s="111"/>
      <c r="I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394"/>
      <c r="X146" s="200"/>
      <c r="Y146" s="200"/>
      <c r="Z146" s="111"/>
      <c r="AA146" s="111"/>
      <c r="AB146" s="111"/>
      <c r="AC146" s="111"/>
      <c r="AD146" s="111"/>
      <c r="AE146" s="111"/>
    </row>
    <row r="147" spans="2:31" x14ac:dyDescent="0.3">
      <c r="B147" s="111"/>
      <c r="C147" s="111"/>
      <c r="D147" s="111"/>
      <c r="E147" s="111"/>
      <c r="F147" s="111"/>
      <c r="G147" s="111"/>
      <c r="H147" s="111"/>
      <c r="I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394"/>
      <c r="X147" s="200"/>
      <c r="Y147" s="200"/>
      <c r="Z147" s="111"/>
      <c r="AA147" s="111"/>
      <c r="AB147" s="111"/>
      <c r="AC147" s="111"/>
      <c r="AD147" s="111"/>
      <c r="AE147" s="111"/>
    </row>
    <row r="148" spans="2:31" x14ac:dyDescent="0.3">
      <c r="B148" s="111"/>
      <c r="C148" s="111"/>
      <c r="D148" s="111"/>
      <c r="E148" s="111"/>
      <c r="F148" s="111"/>
      <c r="G148" s="111"/>
      <c r="H148" s="111"/>
      <c r="I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394"/>
      <c r="X148" s="200"/>
      <c r="Y148" s="200"/>
      <c r="Z148" s="111"/>
      <c r="AA148" s="111"/>
      <c r="AB148" s="111"/>
      <c r="AC148" s="111"/>
      <c r="AD148" s="111"/>
      <c r="AE148" s="111"/>
    </row>
    <row r="149" spans="2:31" x14ac:dyDescent="0.3">
      <c r="B149" s="111"/>
      <c r="C149" s="111"/>
      <c r="D149" s="111"/>
      <c r="E149" s="111"/>
      <c r="F149" s="111"/>
      <c r="G149" s="111"/>
      <c r="H149" s="111"/>
      <c r="I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394"/>
      <c r="X149" s="200"/>
      <c r="Y149" s="200"/>
      <c r="Z149" s="111"/>
      <c r="AA149" s="111"/>
      <c r="AB149" s="111"/>
      <c r="AC149" s="111"/>
      <c r="AD149" s="111"/>
      <c r="AE149" s="111"/>
    </row>
    <row r="150" spans="2:31" x14ac:dyDescent="0.3">
      <c r="B150" s="111"/>
      <c r="C150" s="111"/>
      <c r="D150" s="111"/>
      <c r="E150" s="111"/>
      <c r="F150" s="111"/>
      <c r="G150" s="111"/>
      <c r="H150" s="111"/>
      <c r="I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394"/>
      <c r="X150" s="200"/>
      <c r="Y150" s="200"/>
      <c r="Z150" s="111"/>
      <c r="AA150" s="111"/>
      <c r="AB150" s="111"/>
      <c r="AC150" s="111"/>
      <c r="AD150" s="111"/>
      <c r="AE150" s="111"/>
    </row>
    <row r="151" spans="2:31" x14ac:dyDescent="0.3">
      <c r="B151" s="111"/>
      <c r="C151" s="111"/>
      <c r="D151" s="111"/>
      <c r="E151" s="111"/>
      <c r="F151" s="111"/>
      <c r="G151" s="111"/>
      <c r="H151" s="111"/>
      <c r="I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394"/>
      <c r="X151" s="200"/>
      <c r="Y151" s="200"/>
      <c r="Z151" s="111"/>
      <c r="AA151" s="111"/>
      <c r="AB151" s="111"/>
      <c r="AC151" s="111"/>
      <c r="AD151" s="111"/>
      <c r="AE151" s="111"/>
    </row>
    <row r="152" spans="2:31" x14ac:dyDescent="0.3">
      <c r="B152" s="9"/>
      <c r="C152" s="9"/>
      <c r="D152" s="9"/>
      <c r="E152" s="9"/>
      <c r="F152" s="9"/>
      <c r="G152" s="9"/>
      <c r="H152" s="9"/>
      <c r="I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395"/>
      <c r="X152" s="261"/>
      <c r="Y152" s="261"/>
      <c r="Z152" s="9"/>
      <c r="AA152" s="9"/>
      <c r="AB152" s="9"/>
      <c r="AC152" s="9"/>
      <c r="AD152" s="111"/>
      <c r="AE152" s="9"/>
    </row>
    <row r="153" spans="2:31" x14ac:dyDescent="0.3">
      <c r="B153" s="9"/>
      <c r="C153" s="9"/>
      <c r="D153" s="9"/>
      <c r="E153" s="9"/>
      <c r="F153" s="9"/>
      <c r="G153" s="9"/>
      <c r="H153" s="9"/>
      <c r="I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395"/>
      <c r="X153" s="261"/>
      <c r="Y153" s="261"/>
      <c r="Z153" s="9"/>
      <c r="AA153" s="9"/>
      <c r="AB153" s="9"/>
      <c r="AC153" s="9"/>
      <c r="AD153" s="111"/>
      <c r="AE153" s="9"/>
    </row>
    <row r="154" spans="2:31" x14ac:dyDescent="0.3">
      <c r="B154" s="9"/>
      <c r="C154" s="9"/>
      <c r="D154" s="9"/>
      <c r="E154" s="9"/>
      <c r="F154" s="9"/>
      <c r="G154" s="9"/>
      <c r="H154" s="9"/>
      <c r="I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395"/>
      <c r="X154" s="261"/>
      <c r="Y154" s="261"/>
      <c r="Z154" s="9"/>
      <c r="AA154" s="9"/>
      <c r="AB154" s="9"/>
      <c r="AC154" s="9"/>
      <c r="AD154" s="111"/>
      <c r="AE154" s="9"/>
    </row>
    <row r="155" spans="2:31" x14ac:dyDescent="0.3">
      <c r="B155" s="9"/>
      <c r="C155" s="9"/>
      <c r="D155" s="9"/>
      <c r="E155" s="9"/>
      <c r="F155" s="9"/>
      <c r="G155" s="9"/>
      <c r="H155" s="9"/>
      <c r="I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395"/>
      <c r="X155" s="261"/>
      <c r="Y155" s="261"/>
      <c r="Z155" s="9"/>
      <c r="AA155" s="9"/>
      <c r="AB155" s="9"/>
      <c r="AC155" s="9"/>
      <c r="AD155" s="111"/>
      <c r="AE155" s="9"/>
    </row>
    <row r="156" spans="2:31" x14ac:dyDescent="0.3">
      <c r="B156" s="9"/>
      <c r="C156" s="9"/>
      <c r="D156" s="9"/>
      <c r="E156" s="9"/>
      <c r="F156" s="9"/>
      <c r="G156" s="9"/>
      <c r="H156" s="9"/>
      <c r="I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395"/>
      <c r="X156" s="261"/>
      <c r="Y156" s="261"/>
      <c r="Z156" s="9"/>
      <c r="AA156" s="9"/>
      <c r="AB156" s="9"/>
      <c r="AC156" s="9"/>
      <c r="AD156" s="111"/>
      <c r="AE156" s="9"/>
    </row>
    <row r="157" spans="2:31" x14ac:dyDescent="0.3">
      <c r="B157" s="9"/>
      <c r="C157" s="9"/>
      <c r="D157" s="9"/>
      <c r="E157" s="9"/>
      <c r="F157" s="9"/>
      <c r="G157" s="9"/>
      <c r="H157" s="9"/>
      <c r="I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395"/>
      <c r="X157" s="261"/>
      <c r="Y157" s="261"/>
      <c r="Z157" s="9"/>
      <c r="AA157" s="9"/>
      <c r="AB157" s="9"/>
      <c r="AC157" s="9"/>
      <c r="AD157" s="111"/>
      <c r="AE157" s="9"/>
    </row>
    <row r="158" spans="2:31" x14ac:dyDescent="0.3">
      <c r="B158" s="9"/>
      <c r="C158" s="9"/>
      <c r="D158" s="9"/>
      <c r="E158" s="9"/>
      <c r="F158" s="9"/>
      <c r="G158" s="9"/>
      <c r="H158" s="9"/>
      <c r="I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395"/>
      <c r="X158" s="261"/>
      <c r="Y158" s="261"/>
      <c r="Z158" s="9"/>
      <c r="AA158" s="9"/>
      <c r="AB158" s="9"/>
      <c r="AC158" s="9"/>
      <c r="AD158" s="111"/>
      <c r="AE158" s="9"/>
    </row>
    <row r="159" spans="2:31" x14ac:dyDescent="0.3">
      <c r="B159" s="9"/>
      <c r="C159" s="9"/>
      <c r="D159" s="9"/>
      <c r="E159" s="9"/>
      <c r="F159" s="9"/>
      <c r="G159" s="9"/>
      <c r="H159" s="9"/>
      <c r="I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395"/>
      <c r="X159" s="261"/>
      <c r="Y159" s="261"/>
      <c r="Z159" s="9"/>
      <c r="AA159" s="9"/>
      <c r="AB159" s="9"/>
      <c r="AC159" s="9"/>
      <c r="AD159" s="111"/>
      <c r="AE159" s="9"/>
    </row>
    <row r="160" spans="2:31" x14ac:dyDescent="0.3">
      <c r="B160" s="9"/>
      <c r="C160" s="9"/>
      <c r="D160" s="9"/>
      <c r="E160" s="9"/>
      <c r="F160" s="9"/>
      <c r="G160" s="9"/>
      <c r="H160" s="9"/>
      <c r="I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395"/>
      <c r="X160" s="261"/>
      <c r="Y160" s="261"/>
      <c r="Z160" s="9"/>
      <c r="AA160" s="9"/>
      <c r="AB160" s="9"/>
      <c r="AC160" s="9"/>
      <c r="AD160" s="111"/>
      <c r="AE160" s="9"/>
    </row>
    <row r="161" spans="2:32" x14ac:dyDescent="0.3">
      <c r="B161" s="9"/>
      <c r="C161" s="9"/>
      <c r="D161" s="9"/>
      <c r="E161" s="9"/>
      <c r="F161" s="9"/>
      <c r="G161" s="9"/>
      <c r="H161" s="9"/>
      <c r="I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395"/>
      <c r="X161" s="261"/>
      <c r="Y161" s="261"/>
      <c r="Z161" s="9"/>
      <c r="AA161" s="9"/>
      <c r="AB161" s="9"/>
      <c r="AC161" s="9"/>
      <c r="AD161" s="111"/>
      <c r="AE161" s="9"/>
    </row>
    <row r="162" spans="2:32" x14ac:dyDescent="0.3">
      <c r="B162" s="9"/>
      <c r="C162" s="9"/>
      <c r="D162" s="9"/>
      <c r="E162" s="9"/>
      <c r="F162" s="9"/>
      <c r="G162" s="9"/>
      <c r="H162" s="9"/>
      <c r="I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395"/>
      <c r="X162" s="261"/>
      <c r="Y162" s="261"/>
      <c r="Z162" s="9"/>
      <c r="AA162" s="9"/>
      <c r="AB162" s="9"/>
      <c r="AC162" s="9"/>
      <c r="AD162" s="111"/>
      <c r="AE162" s="9"/>
    </row>
    <row r="163" spans="2:32" x14ac:dyDescent="0.3">
      <c r="B163" s="9"/>
      <c r="C163" s="9"/>
      <c r="D163" s="9"/>
      <c r="E163" s="9"/>
      <c r="F163" s="9"/>
      <c r="G163" s="9"/>
      <c r="H163" s="9"/>
      <c r="I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395"/>
      <c r="X163" s="261"/>
      <c r="Y163" s="261"/>
      <c r="Z163" s="9"/>
      <c r="AA163" s="9"/>
      <c r="AB163" s="9"/>
      <c r="AC163" s="9"/>
      <c r="AD163" s="111"/>
      <c r="AE163" s="9"/>
    </row>
    <row r="164" spans="2:32" x14ac:dyDescent="0.3">
      <c r="B164" s="9"/>
      <c r="C164" s="9"/>
      <c r="D164" s="9"/>
      <c r="E164" s="9"/>
      <c r="F164" s="9"/>
      <c r="G164" s="9"/>
      <c r="H164" s="9"/>
      <c r="I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395"/>
      <c r="X164" s="261"/>
      <c r="Y164" s="261"/>
      <c r="Z164" s="9"/>
      <c r="AA164" s="9"/>
      <c r="AB164" s="9"/>
      <c r="AC164" s="9"/>
      <c r="AD164" s="111"/>
      <c r="AE164" s="9"/>
      <c r="AF164" s="550"/>
    </row>
    <row r="165" spans="2:32" x14ac:dyDescent="0.3">
      <c r="B165" s="9"/>
      <c r="C165" s="9"/>
      <c r="D165" s="9"/>
      <c r="E165" s="9"/>
      <c r="F165" s="9"/>
      <c r="G165" s="9"/>
      <c r="H165" s="9"/>
      <c r="I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395"/>
      <c r="X165" s="261"/>
      <c r="Y165" s="261"/>
      <c r="Z165" s="9"/>
      <c r="AA165" s="9"/>
      <c r="AB165" s="9"/>
      <c r="AC165" s="9"/>
      <c r="AD165" s="111"/>
      <c r="AE165" s="9"/>
      <c r="AF165" s="550"/>
    </row>
    <row r="166" spans="2:32" x14ac:dyDescent="0.3">
      <c r="B166" s="9"/>
      <c r="C166" s="9"/>
      <c r="D166" s="9"/>
      <c r="E166" s="9"/>
      <c r="F166" s="9"/>
      <c r="G166" s="9"/>
      <c r="H166" s="9"/>
      <c r="I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395"/>
      <c r="X166" s="261"/>
      <c r="Y166" s="261"/>
      <c r="Z166" s="9"/>
      <c r="AA166" s="9"/>
      <c r="AB166" s="9"/>
      <c r="AC166" s="9"/>
      <c r="AD166" s="111"/>
      <c r="AE166" s="9"/>
      <c r="AF166" s="550"/>
    </row>
    <row r="167" spans="2:32" x14ac:dyDescent="0.3">
      <c r="B167" s="9"/>
      <c r="C167" s="9"/>
      <c r="D167" s="9"/>
      <c r="E167" s="9"/>
      <c r="F167" s="9"/>
      <c r="G167" s="9"/>
      <c r="H167" s="9"/>
      <c r="I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395"/>
      <c r="X167" s="261"/>
      <c r="Y167" s="261"/>
      <c r="Z167" s="9"/>
      <c r="AA167" s="9"/>
      <c r="AB167" s="9"/>
      <c r="AC167" s="9"/>
      <c r="AD167" s="111"/>
      <c r="AE167" s="9"/>
      <c r="AF167" s="550"/>
    </row>
    <row r="168" spans="2:32" x14ac:dyDescent="0.3">
      <c r="B168" s="9"/>
      <c r="C168" s="9"/>
      <c r="D168" s="9"/>
      <c r="E168" s="9"/>
      <c r="F168" s="9"/>
      <c r="G168" s="9"/>
      <c r="H168" s="9"/>
      <c r="I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395"/>
      <c r="X168" s="261"/>
      <c r="Y168" s="261"/>
      <c r="Z168" s="9"/>
      <c r="AA168" s="9"/>
      <c r="AB168" s="9"/>
      <c r="AC168" s="9"/>
      <c r="AD168" s="111"/>
      <c r="AE168" s="9"/>
      <c r="AF168" s="550"/>
    </row>
    <row r="169" spans="2:32" x14ac:dyDescent="0.3">
      <c r="B169" s="9"/>
      <c r="C169" s="9"/>
      <c r="D169" s="9"/>
      <c r="E169" s="9"/>
      <c r="F169" s="9"/>
      <c r="G169" s="9"/>
      <c r="H169" s="9"/>
      <c r="I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395"/>
      <c r="X169" s="261"/>
      <c r="Y169" s="261"/>
      <c r="Z169" s="9"/>
      <c r="AA169" s="9"/>
      <c r="AB169" s="9"/>
      <c r="AC169" s="9"/>
      <c r="AD169" s="111"/>
      <c r="AE169" s="9"/>
      <c r="AF169" s="550"/>
    </row>
    <row r="170" spans="2:32" x14ac:dyDescent="0.3">
      <c r="B170" s="9"/>
      <c r="C170" s="9"/>
      <c r="D170" s="9"/>
      <c r="E170" s="9"/>
      <c r="F170" s="9"/>
      <c r="G170" s="9"/>
      <c r="H170" s="9"/>
      <c r="I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395"/>
      <c r="X170" s="261"/>
      <c r="Y170" s="261"/>
      <c r="Z170" s="9"/>
      <c r="AA170" s="9"/>
      <c r="AB170" s="9"/>
      <c r="AC170" s="9"/>
      <c r="AD170" s="111"/>
      <c r="AE170" s="9"/>
      <c r="AF170" s="550"/>
    </row>
    <row r="171" spans="2:32" x14ac:dyDescent="0.3">
      <c r="B171" s="9"/>
      <c r="C171" s="9"/>
      <c r="D171" s="9"/>
      <c r="E171" s="9"/>
      <c r="F171" s="9"/>
      <c r="G171" s="9"/>
      <c r="H171" s="9"/>
      <c r="I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395"/>
      <c r="X171" s="261"/>
      <c r="Y171" s="261"/>
      <c r="Z171" s="9"/>
      <c r="AA171" s="9"/>
      <c r="AB171" s="9"/>
      <c r="AC171" s="9"/>
      <c r="AD171" s="111"/>
      <c r="AE171" s="9"/>
      <c r="AF171" s="550"/>
    </row>
    <row r="172" spans="2:32" x14ac:dyDescent="0.3">
      <c r="B172" s="9"/>
      <c r="C172" s="9"/>
      <c r="D172" s="9"/>
      <c r="E172" s="9"/>
      <c r="F172" s="9"/>
      <c r="G172" s="9"/>
      <c r="H172" s="9"/>
      <c r="I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395"/>
      <c r="X172" s="261"/>
      <c r="Y172" s="261"/>
      <c r="Z172" s="9"/>
      <c r="AA172" s="9"/>
      <c r="AB172" s="9"/>
      <c r="AC172" s="9"/>
      <c r="AD172" s="111"/>
      <c r="AE172" s="9"/>
      <c r="AF172" s="550"/>
    </row>
    <row r="173" spans="2:32" x14ac:dyDescent="0.3">
      <c r="B173" s="9"/>
      <c r="C173" s="9"/>
      <c r="D173" s="9"/>
      <c r="E173" s="9"/>
      <c r="F173" s="9"/>
      <c r="G173" s="9"/>
      <c r="H173" s="9"/>
      <c r="I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395"/>
      <c r="X173" s="261"/>
      <c r="Y173" s="261"/>
      <c r="Z173" s="9"/>
      <c r="AA173" s="9"/>
      <c r="AB173" s="9"/>
      <c r="AC173" s="9"/>
      <c r="AD173" s="111"/>
      <c r="AE173" s="9"/>
      <c r="AF173" s="550"/>
    </row>
    <row r="174" spans="2:32" x14ac:dyDescent="0.3">
      <c r="B174" s="9"/>
      <c r="C174" s="9"/>
      <c r="D174" s="9"/>
      <c r="E174" s="9"/>
      <c r="F174" s="9"/>
      <c r="G174" s="9"/>
      <c r="H174" s="9"/>
      <c r="I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395"/>
      <c r="X174" s="261"/>
      <c r="Y174" s="261"/>
      <c r="Z174" s="9"/>
      <c r="AA174" s="9"/>
      <c r="AB174" s="9"/>
      <c r="AC174" s="9"/>
      <c r="AD174" s="111"/>
      <c r="AE174" s="9"/>
      <c r="AF174" s="550"/>
    </row>
    <row r="175" spans="2:32" x14ac:dyDescent="0.3">
      <c r="B175" s="9"/>
      <c r="C175" s="9"/>
      <c r="D175" s="9"/>
      <c r="E175" s="9"/>
      <c r="F175" s="9"/>
      <c r="G175" s="9"/>
      <c r="H175" s="9"/>
      <c r="I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395"/>
      <c r="X175" s="261"/>
      <c r="Y175" s="261"/>
      <c r="Z175" s="9"/>
      <c r="AA175" s="9"/>
      <c r="AB175" s="9"/>
      <c r="AC175" s="9"/>
      <c r="AD175" s="111"/>
      <c r="AE175" s="9"/>
      <c r="AF175" s="550"/>
    </row>
    <row r="176" spans="2:32" x14ac:dyDescent="0.3">
      <c r="B176" s="9"/>
      <c r="C176" s="9"/>
      <c r="D176" s="9"/>
      <c r="E176" s="9"/>
      <c r="F176" s="9"/>
      <c r="G176" s="9"/>
      <c r="H176" s="9"/>
      <c r="I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395"/>
      <c r="X176" s="261"/>
      <c r="Y176" s="261"/>
      <c r="Z176" s="9"/>
      <c r="AA176" s="9"/>
      <c r="AB176" s="9"/>
      <c r="AC176" s="9"/>
      <c r="AD176" s="111"/>
      <c r="AE176" s="9"/>
      <c r="AF176" s="550"/>
    </row>
    <row r="177" spans="2:32" x14ac:dyDescent="0.3">
      <c r="B177" s="9"/>
      <c r="C177" s="9"/>
      <c r="D177" s="9"/>
      <c r="E177" s="9"/>
      <c r="F177" s="9"/>
      <c r="G177" s="9"/>
      <c r="H177" s="9"/>
      <c r="I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395"/>
      <c r="X177" s="261"/>
      <c r="Y177" s="261"/>
      <c r="Z177" s="9"/>
      <c r="AA177" s="9"/>
      <c r="AB177" s="9"/>
      <c r="AC177" s="9"/>
      <c r="AD177" s="111"/>
      <c r="AE177" s="9"/>
      <c r="AF177" s="550"/>
    </row>
    <row r="178" spans="2:32" x14ac:dyDescent="0.3">
      <c r="B178" s="9"/>
      <c r="C178" s="9"/>
      <c r="D178" s="9"/>
      <c r="E178" s="9"/>
      <c r="F178" s="9"/>
      <c r="G178" s="9"/>
      <c r="H178" s="9"/>
      <c r="I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395"/>
      <c r="X178" s="261"/>
      <c r="Y178" s="261"/>
      <c r="Z178" s="9"/>
      <c r="AA178" s="9"/>
      <c r="AB178" s="9"/>
      <c r="AC178" s="9"/>
      <c r="AD178" s="111"/>
      <c r="AE178" s="9"/>
      <c r="AF178" s="550"/>
    </row>
    <row r="179" spans="2:32" x14ac:dyDescent="0.3">
      <c r="B179" s="9"/>
      <c r="C179" s="9"/>
      <c r="D179" s="9"/>
      <c r="E179" s="9"/>
      <c r="F179" s="9"/>
      <c r="G179" s="9"/>
      <c r="H179" s="9"/>
      <c r="I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395"/>
      <c r="X179" s="261"/>
      <c r="Y179" s="261"/>
      <c r="Z179" s="9"/>
      <c r="AA179" s="9"/>
      <c r="AB179" s="9"/>
      <c r="AC179" s="9"/>
      <c r="AD179" s="111"/>
      <c r="AE179" s="9"/>
      <c r="AF179" s="550"/>
    </row>
    <row r="180" spans="2:32" x14ac:dyDescent="0.3">
      <c r="B180" s="9"/>
      <c r="C180" s="9"/>
      <c r="D180" s="9"/>
      <c r="E180" s="9"/>
      <c r="F180" s="9"/>
      <c r="G180" s="9"/>
      <c r="H180" s="9"/>
      <c r="I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395"/>
      <c r="X180" s="261"/>
      <c r="Y180" s="261"/>
      <c r="Z180" s="9"/>
      <c r="AA180" s="9"/>
      <c r="AB180" s="9"/>
      <c r="AC180" s="9"/>
      <c r="AD180" s="111"/>
      <c r="AE180" s="9"/>
      <c r="AF180" s="550"/>
    </row>
    <row r="181" spans="2:32" x14ac:dyDescent="0.3">
      <c r="B181" s="9"/>
      <c r="C181" s="9"/>
      <c r="D181" s="9"/>
      <c r="E181" s="9"/>
      <c r="F181" s="9"/>
      <c r="G181" s="9"/>
      <c r="H181" s="9"/>
      <c r="I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395"/>
      <c r="X181" s="261"/>
      <c r="Y181" s="261"/>
      <c r="Z181" s="9"/>
      <c r="AA181" s="9"/>
      <c r="AB181" s="9"/>
      <c r="AC181" s="9"/>
      <c r="AD181" s="111"/>
      <c r="AE181" s="9"/>
      <c r="AF181" s="550"/>
    </row>
    <row r="182" spans="2:32" x14ac:dyDescent="0.3">
      <c r="B182" s="9"/>
      <c r="C182" s="9"/>
      <c r="D182" s="9"/>
      <c r="E182" s="9"/>
      <c r="F182" s="9"/>
      <c r="G182" s="9"/>
      <c r="H182" s="9"/>
      <c r="I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395"/>
      <c r="X182" s="261"/>
      <c r="Y182" s="261"/>
      <c r="Z182" s="9"/>
      <c r="AA182" s="9"/>
      <c r="AB182" s="9"/>
      <c r="AC182" s="9"/>
      <c r="AD182" s="111"/>
      <c r="AE182" s="9"/>
      <c r="AF182" s="550"/>
    </row>
    <row r="183" spans="2:32" x14ac:dyDescent="0.3">
      <c r="B183" s="9"/>
      <c r="C183" s="9"/>
      <c r="D183" s="9"/>
      <c r="E183" s="9"/>
      <c r="F183" s="9"/>
      <c r="G183" s="9"/>
      <c r="H183" s="9"/>
      <c r="I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395"/>
      <c r="X183" s="261"/>
      <c r="Y183" s="261"/>
      <c r="Z183" s="9"/>
      <c r="AA183" s="9"/>
      <c r="AB183" s="9"/>
      <c r="AC183" s="9"/>
      <c r="AD183" s="111"/>
      <c r="AE183" s="9"/>
      <c r="AF183" s="550"/>
    </row>
    <row r="184" spans="2:32" x14ac:dyDescent="0.3">
      <c r="B184" s="9"/>
      <c r="C184" s="9"/>
      <c r="D184" s="9"/>
      <c r="E184" s="9"/>
      <c r="F184" s="9"/>
      <c r="G184" s="9"/>
      <c r="H184" s="9"/>
      <c r="I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395"/>
      <c r="X184" s="261"/>
      <c r="Y184" s="261"/>
      <c r="Z184" s="9"/>
      <c r="AA184" s="9"/>
      <c r="AB184" s="9"/>
      <c r="AC184" s="9"/>
      <c r="AD184" s="111"/>
      <c r="AE184" s="9"/>
      <c r="AF184" s="550"/>
    </row>
    <row r="185" spans="2:32" x14ac:dyDescent="0.3">
      <c r="B185" s="9"/>
      <c r="C185" s="9"/>
      <c r="D185" s="9"/>
      <c r="E185" s="9"/>
      <c r="F185" s="9"/>
      <c r="G185" s="9"/>
      <c r="H185" s="9"/>
      <c r="I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395"/>
      <c r="X185" s="261"/>
      <c r="Y185" s="261"/>
      <c r="Z185" s="9"/>
      <c r="AA185" s="9"/>
      <c r="AB185" s="9"/>
      <c r="AC185" s="9"/>
      <c r="AD185" s="111"/>
      <c r="AE185" s="9"/>
      <c r="AF185" s="550"/>
    </row>
    <row r="186" spans="2:32" x14ac:dyDescent="0.3">
      <c r="B186" s="9"/>
      <c r="C186" s="9"/>
      <c r="D186" s="9"/>
      <c r="E186" s="9"/>
      <c r="F186" s="9"/>
      <c r="G186" s="9"/>
      <c r="H186" s="9"/>
      <c r="I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395"/>
      <c r="X186" s="261"/>
      <c r="Y186" s="261"/>
      <c r="Z186" s="9"/>
      <c r="AA186" s="9"/>
      <c r="AB186" s="9"/>
      <c r="AC186" s="9"/>
      <c r="AD186" s="111"/>
      <c r="AE186" s="9"/>
      <c r="AF186" s="550"/>
    </row>
    <row r="187" spans="2:32" x14ac:dyDescent="0.3">
      <c r="B187" s="9"/>
      <c r="C187" s="9"/>
      <c r="D187" s="9"/>
      <c r="E187" s="9"/>
      <c r="F187" s="9"/>
      <c r="G187" s="9"/>
      <c r="H187" s="9"/>
      <c r="I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395"/>
      <c r="X187" s="261"/>
      <c r="Y187" s="261"/>
      <c r="Z187" s="9"/>
      <c r="AA187" s="9"/>
      <c r="AB187" s="9"/>
      <c r="AC187" s="9"/>
      <c r="AD187" s="111"/>
      <c r="AE187" s="9"/>
      <c r="AF187" s="550"/>
    </row>
    <row r="188" spans="2:32" x14ac:dyDescent="0.3">
      <c r="B188" s="9"/>
      <c r="C188" s="9"/>
      <c r="D188" s="9"/>
      <c r="E188" s="9"/>
      <c r="F188" s="9"/>
      <c r="G188" s="9"/>
      <c r="H188" s="9"/>
      <c r="I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395"/>
      <c r="X188" s="261"/>
      <c r="Y188" s="261"/>
      <c r="Z188" s="9"/>
      <c r="AA188" s="9"/>
      <c r="AB188" s="9"/>
      <c r="AC188" s="9"/>
      <c r="AD188" s="111"/>
      <c r="AE188" s="9"/>
      <c r="AF188" s="550"/>
    </row>
    <row r="189" spans="2:32" x14ac:dyDescent="0.3">
      <c r="B189" s="9"/>
      <c r="C189" s="9"/>
      <c r="D189" s="9"/>
      <c r="E189" s="9"/>
      <c r="F189" s="9"/>
      <c r="G189" s="9"/>
      <c r="H189" s="9"/>
      <c r="I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395"/>
      <c r="X189" s="261"/>
      <c r="Y189" s="261"/>
      <c r="Z189" s="9"/>
      <c r="AA189" s="9"/>
      <c r="AB189" s="9"/>
      <c r="AC189" s="9"/>
      <c r="AD189" s="111"/>
      <c r="AE189" s="9"/>
      <c r="AF189" s="550"/>
    </row>
    <row r="190" spans="2:32" x14ac:dyDescent="0.3">
      <c r="B190" s="9"/>
      <c r="C190" s="9"/>
      <c r="D190" s="9"/>
      <c r="E190" s="9"/>
      <c r="F190" s="9"/>
      <c r="G190" s="9"/>
      <c r="H190" s="9"/>
      <c r="I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395"/>
      <c r="X190" s="261"/>
      <c r="Y190" s="261"/>
      <c r="Z190" s="9"/>
      <c r="AA190" s="9"/>
      <c r="AB190" s="9"/>
      <c r="AC190" s="9"/>
      <c r="AD190" s="111"/>
      <c r="AE190" s="9"/>
      <c r="AF190" s="550"/>
    </row>
    <row r="191" spans="2:32" x14ac:dyDescent="0.3">
      <c r="B191" s="9"/>
      <c r="C191" s="9"/>
      <c r="D191" s="9"/>
      <c r="E191" s="9"/>
      <c r="F191" s="9"/>
      <c r="G191" s="9"/>
      <c r="H191" s="9"/>
      <c r="I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395"/>
      <c r="X191" s="261"/>
      <c r="Y191" s="261"/>
      <c r="Z191" s="9"/>
      <c r="AA191" s="9"/>
      <c r="AB191" s="9"/>
      <c r="AC191" s="9"/>
      <c r="AD191" s="111"/>
      <c r="AE191" s="9"/>
      <c r="AF191" s="550"/>
    </row>
    <row r="192" spans="2:32" x14ac:dyDescent="0.3">
      <c r="B192" s="9"/>
      <c r="C192" s="9"/>
      <c r="D192" s="9"/>
      <c r="E192" s="9"/>
      <c r="F192" s="9"/>
      <c r="G192" s="9"/>
      <c r="H192" s="9"/>
      <c r="I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395"/>
      <c r="X192" s="261"/>
      <c r="Y192" s="261"/>
      <c r="Z192" s="9"/>
      <c r="AA192" s="9"/>
      <c r="AB192" s="9"/>
      <c r="AC192" s="9"/>
      <c r="AD192" s="111"/>
      <c r="AE192" s="9"/>
      <c r="AF192" s="550"/>
    </row>
    <row r="193" spans="2:32" x14ac:dyDescent="0.3">
      <c r="B193" s="9"/>
      <c r="C193" s="9"/>
      <c r="D193" s="9"/>
      <c r="E193" s="9"/>
      <c r="F193" s="9"/>
      <c r="G193" s="9"/>
      <c r="H193" s="9"/>
      <c r="I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395"/>
      <c r="X193" s="261"/>
      <c r="Y193" s="261"/>
      <c r="Z193" s="9"/>
      <c r="AA193" s="9"/>
      <c r="AB193" s="9"/>
      <c r="AC193" s="9"/>
      <c r="AD193" s="111"/>
      <c r="AE193" s="9"/>
      <c r="AF193" s="550"/>
    </row>
    <row r="194" spans="2:32" x14ac:dyDescent="0.3">
      <c r="B194" s="9"/>
      <c r="C194" s="9"/>
      <c r="D194" s="9"/>
      <c r="E194" s="9"/>
      <c r="F194" s="9"/>
      <c r="G194" s="9"/>
      <c r="H194" s="9"/>
      <c r="I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395"/>
      <c r="X194" s="261"/>
      <c r="Y194" s="261"/>
      <c r="Z194" s="9"/>
      <c r="AA194" s="9"/>
      <c r="AB194" s="9"/>
      <c r="AC194" s="9"/>
      <c r="AD194" s="111"/>
      <c r="AE194" s="9"/>
      <c r="AF194" s="550"/>
    </row>
    <row r="195" spans="2:32" x14ac:dyDescent="0.3">
      <c r="B195" s="9"/>
      <c r="C195" s="9"/>
      <c r="D195" s="9"/>
      <c r="E195" s="9"/>
      <c r="F195" s="9"/>
      <c r="G195" s="9"/>
      <c r="H195" s="9"/>
      <c r="I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395"/>
      <c r="X195" s="261"/>
      <c r="Y195" s="261"/>
      <c r="Z195" s="9"/>
      <c r="AA195" s="9"/>
      <c r="AB195" s="9"/>
      <c r="AC195" s="9"/>
      <c r="AD195" s="111"/>
      <c r="AE195" s="9"/>
      <c r="AF195" s="550"/>
    </row>
    <row r="196" spans="2:32" x14ac:dyDescent="0.3">
      <c r="B196" s="9"/>
      <c r="C196" s="9"/>
      <c r="D196" s="9"/>
      <c r="E196" s="9"/>
      <c r="F196" s="9"/>
      <c r="G196" s="9"/>
      <c r="H196" s="9"/>
      <c r="I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395"/>
      <c r="X196" s="261"/>
      <c r="Y196" s="261"/>
      <c r="Z196" s="9"/>
      <c r="AA196" s="9"/>
      <c r="AB196" s="9"/>
      <c r="AC196" s="9"/>
      <c r="AD196" s="111"/>
      <c r="AE196" s="9"/>
      <c r="AF196" s="550"/>
    </row>
    <row r="197" spans="2:32" x14ac:dyDescent="0.3">
      <c r="B197" s="9"/>
      <c r="C197" s="9"/>
      <c r="D197" s="9"/>
      <c r="E197" s="9"/>
      <c r="F197" s="9"/>
      <c r="G197" s="9"/>
      <c r="H197" s="9"/>
      <c r="I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395"/>
      <c r="X197" s="261"/>
      <c r="Y197" s="261"/>
      <c r="Z197" s="9"/>
      <c r="AA197" s="9"/>
      <c r="AB197" s="9"/>
      <c r="AC197" s="9"/>
      <c r="AD197" s="111"/>
      <c r="AE197" s="9"/>
      <c r="AF197" s="550"/>
    </row>
    <row r="198" spans="2:32" x14ac:dyDescent="0.3">
      <c r="B198" s="9"/>
      <c r="C198" s="9"/>
      <c r="D198" s="9"/>
      <c r="E198" s="9"/>
      <c r="F198" s="9"/>
      <c r="G198" s="9"/>
      <c r="H198" s="9"/>
      <c r="I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395"/>
      <c r="X198" s="261"/>
      <c r="Y198" s="261"/>
      <c r="Z198" s="9"/>
      <c r="AA198" s="9"/>
      <c r="AB198" s="9"/>
      <c r="AC198" s="9"/>
      <c r="AD198" s="111"/>
      <c r="AE198" s="9"/>
      <c r="AF198" s="550"/>
    </row>
    <row r="199" spans="2:32" x14ac:dyDescent="0.3">
      <c r="B199" s="9"/>
      <c r="C199" s="9"/>
      <c r="D199" s="9"/>
      <c r="E199" s="9"/>
      <c r="F199" s="9"/>
      <c r="G199" s="9"/>
      <c r="H199" s="9"/>
      <c r="I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395"/>
      <c r="X199" s="261"/>
      <c r="Y199" s="261"/>
      <c r="Z199" s="9"/>
      <c r="AA199" s="9"/>
      <c r="AB199" s="9"/>
      <c r="AC199" s="9"/>
      <c r="AD199" s="111"/>
      <c r="AE199" s="9"/>
      <c r="AF199" s="550"/>
    </row>
    <row r="200" spans="2:32" x14ac:dyDescent="0.3">
      <c r="B200" s="9"/>
      <c r="C200" s="9"/>
      <c r="D200" s="9"/>
      <c r="E200" s="9"/>
      <c r="F200" s="9"/>
      <c r="G200" s="9"/>
      <c r="H200" s="9"/>
      <c r="I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395"/>
      <c r="X200" s="261"/>
      <c r="Y200" s="261"/>
      <c r="Z200" s="9"/>
      <c r="AA200" s="9"/>
      <c r="AB200" s="9"/>
      <c r="AC200" s="9"/>
      <c r="AD200" s="111"/>
      <c r="AE200" s="9"/>
      <c r="AF200" s="550"/>
    </row>
    <row r="201" spans="2:32" x14ac:dyDescent="0.3">
      <c r="B201" s="9"/>
      <c r="C201" s="9"/>
      <c r="D201" s="9"/>
      <c r="E201" s="9"/>
      <c r="F201" s="9"/>
      <c r="G201" s="9"/>
      <c r="H201" s="9"/>
      <c r="I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395"/>
      <c r="X201" s="261"/>
      <c r="Y201" s="261"/>
      <c r="Z201" s="9"/>
      <c r="AA201" s="9"/>
      <c r="AB201" s="9"/>
      <c r="AC201" s="9"/>
      <c r="AD201" s="111"/>
      <c r="AE201" s="9"/>
      <c r="AF201" s="550"/>
    </row>
    <row r="202" spans="2:32" x14ac:dyDescent="0.3">
      <c r="B202" s="9"/>
      <c r="C202" s="9"/>
      <c r="D202" s="9"/>
      <c r="E202" s="9"/>
      <c r="F202" s="9"/>
      <c r="G202" s="9"/>
      <c r="H202" s="9"/>
      <c r="I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395"/>
      <c r="X202" s="261"/>
      <c r="Y202" s="261"/>
      <c r="Z202" s="9"/>
      <c r="AA202" s="9"/>
      <c r="AB202" s="9"/>
      <c r="AC202" s="9"/>
      <c r="AD202" s="111"/>
      <c r="AE202" s="9"/>
      <c r="AF202" s="550"/>
    </row>
    <row r="203" spans="2:32" x14ac:dyDescent="0.3">
      <c r="B203" s="9"/>
      <c r="C203" s="9"/>
      <c r="D203" s="9"/>
      <c r="E203" s="9"/>
      <c r="F203" s="9"/>
      <c r="G203" s="9"/>
      <c r="H203" s="9"/>
      <c r="I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395"/>
      <c r="X203" s="261"/>
      <c r="Y203" s="261"/>
      <c r="Z203" s="9"/>
      <c r="AA203" s="9"/>
      <c r="AB203" s="9"/>
      <c r="AC203" s="9"/>
      <c r="AD203" s="111"/>
      <c r="AE203" s="9"/>
      <c r="AF203" s="550"/>
    </row>
    <row r="204" spans="2:32" x14ac:dyDescent="0.3">
      <c r="B204" s="9"/>
      <c r="C204" s="9"/>
      <c r="D204" s="9"/>
      <c r="E204" s="9"/>
      <c r="F204" s="9"/>
      <c r="G204" s="9"/>
      <c r="H204" s="9"/>
      <c r="I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395"/>
      <c r="X204" s="261"/>
      <c r="Y204" s="261"/>
      <c r="Z204" s="9"/>
      <c r="AA204" s="9"/>
      <c r="AB204" s="9"/>
      <c r="AC204" s="9"/>
      <c r="AD204" s="111"/>
      <c r="AE204" s="9"/>
      <c r="AF204" s="550"/>
    </row>
    <row r="205" spans="2:32" x14ac:dyDescent="0.3">
      <c r="B205" s="9"/>
      <c r="C205" s="9"/>
      <c r="D205" s="9"/>
      <c r="E205" s="9"/>
      <c r="F205" s="9"/>
      <c r="G205" s="9"/>
      <c r="H205" s="9"/>
      <c r="I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395"/>
      <c r="X205" s="261"/>
      <c r="Y205" s="261"/>
      <c r="Z205" s="9"/>
      <c r="AA205" s="9"/>
      <c r="AB205" s="9"/>
      <c r="AC205" s="9"/>
      <c r="AD205" s="111"/>
      <c r="AE205" s="9"/>
      <c r="AF205" s="550"/>
    </row>
    <row r="206" spans="2:32" x14ac:dyDescent="0.3">
      <c r="B206" s="9"/>
      <c r="C206" s="9"/>
      <c r="D206" s="9"/>
      <c r="E206" s="9"/>
      <c r="F206" s="9"/>
      <c r="G206" s="9"/>
      <c r="H206" s="9"/>
      <c r="I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395"/>
      <c r="X206" s="261"/>
      <c r="Y206" s="261"/>
      <c r="Z206" s="9"/>
      <c r="AA206" s="9"/>
      <c r="AB206" s="9"/>
      <c r="AC206" s="9"/>
      <c r="AD206" s="111"/>
      <c r="AE206" s="9"/>
      <c r="AF206" s="550"/>
    </row>
    <row r="207" spans="2:32" x14ac:dyDescent="0.3">
      <c r="B207" s="9"/>
      <c r="C207" s="9"/>
      <c r="D207" s="9"/>
      <c r="E207" s="9"/>
      <c r="F207" s="9"/>
      <c r="G207" s="9"/>
      <c r="H207" s="9"/>
      <c r="I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395"/>
      <c r="X207" s="261"/>
      <c r="Y207" s="261"/>
      <c r="Z207" s="9"/>
      <c r="AA207" s="9"/>
      <c r="AB207" s="9"/>
      <c r="AC207" s="9"/>
      <c r="AD207" s="111"/>
      <c r="AE207" s="9"/>
      <c r="AF207" s="550"/>
    </row>
    <row r="208" spans="2:32" x14ac:dyDescent="0.3">
      <c r="B208" s="9"/>
      <c r="C208" s="9"/>
      <c r="D208" s="9"/>
      <c r="E208" s="9"/>
      <c r="F208" s="9"/>
      <c r="G208" s="9"/>
      <c r="H208" s="9"/>
      <c r="I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395"/>
      <c r="X208" s="261"/>
      <c r="Y208" s="261"/>
      <c r="Z208" s="9"/>
      <c r="AA208" s="9"/>
      <c r="AB208" s="9"/>
      <c r="AC208" s="9"/>
      <c r="AD208" s="111"/>
      <c r="AE208" s="9"/>
      <c r="AF208" s="550"/>
    </row>
    <row r="209" spans="2:32" x14ac:dyDescent="0.3">
      <c r="B209" s="9"/>
      <c r="C209" s="9"/>
      <c r="D209" s="9"/>
      <c r="E209" s="9"/>
      <c r="F209" s="9"/>
      <c r="G209" s="9"/>
      <c r="H209" s="9"/>
      <c r="I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395"/>
      <c r="X209" s="261"/>
      <c r="Y209" s="261"/>
      <c r="Z209" s="9"/>
      <c r="AA209" s="9"/>
      <c r="AB209" s="9"/>
      <c r="AC209" s="9"/>
      <c r="AD209" s="111"/>
      <c r="AE209" s="9"/>
      <c r="AF209" s="550"/>
    </row>
    <row r="210" spans="2:32" x14ac:dyDescent="0.3">
      <c r="B210" s="9"/>
      <c r="C210" s="9"/>
      <c r="D210" s="9"/>
      <c r="E210" s="9"/>
      <c r="F210" s="9"/>
      <c r="G210" s="9"/>
      <c r="H210" s="9"/>
      <c r="I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395"/>
      <c r="X210" s="261"/>
      <c r="Y210" s="261"/>
      <c r="Z210" s="9"/>
      <c r="AA210" s="9"/>
      <c r="AB210" s="9"/>
      <c r="AC210" s="9"/>
      <c r="AD210" s="111"/>
      <c r="AE210" s="9"/>
      <c r="AF210" s="550"/>
    </row>
    <row r="211" spans="2:32" x14ac:dyDescent="0.3">
      <c r="B211" s="9"/>
      <c r="C211" s="9"/>
      <c r="D211" s="9"/>
      <c r="E211" s="9"/>
      <c r="F211" s="9"/>
      <c r="G211" s="9"/>
      <c r="H211" s="9"/>
      <c r="I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395"/>
      <c r="X211" s="261"/>
      <c r="Y211" s="261"/>
      <c r="Z211" s="9"/>
      <c r="AA211" s="9"/>
      <c r="AB211" s="9"/>
      <c r="AC211" s="9"/>
      <c r="AD211" s="111"/>
      <c r="AE211" s="9"/>
      <c r="AF211" s="550"/>
    </row>
    <row r="212" spans="2:32" x14ac:dyDescent="0.3">
      <c r="B212" s="9"/>
      <c r="C212" s="9"/>
      <c r="D212" s="9"/>
      <c r="E212" s="9"/>
      <c r="F212" s="9"/>
      <c r="G212" s="9"/>
      <c r="H212" s="9"/>
      <c r="I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395"/>
      <c r="X212" s="261"/>
      <c r="Y212" s="261"/>
      <c r="Z212" s="9"/>
      <c r="AA212" s="9"/>
      <c r="AB212" s="9"/>
      <c r="AC212" s="9"/>
      <c r="AD212" s="111"/>
      <c r="AE212" s="9"/>
      <c r="AF212" s="550"/>
    </row>
    <row r="213" spans="2:32" x14ac:dyDescent="0.3">
      <c r="B213" s="9"/>
      <c r="C213" s="9"/>
      <c r="D213" s="9"/>
      <c r="E213" s="9"/>
      <c r="F213" s="9"/>
      <c r="G213" s="9"/>
      <c r="H213" s="9"/>
      <c r="I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395"/>
      <c r="X213" s="261"/>
      <c r="Y213" s="261"/>
      <c r="Z213" s="9"/>
      <c r="AA213" s="9"/>
      <c r="AB213" s="9"/>
      <c r="AC213" s="9"/>
      <c r="AD213" s="111"/>
      <c r="AE213" s="9"/>
      <c r="AF213" s="550"/>
    </row>
    <row r="214" spans="2:32" x14ac:dyDescent="0.3">
      <c r="B214" s="9"/>
      <c r="C214" s="9"/>
      <c r="D214" s="9"/>
      <c r="E214" s="9"/>
      <c r="F214" s="9"/>
      <c r="G214" s="9"/>
      <c r="H214" s="9"/>
      <c r="I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395"/>
      <c r="X214" s="261"/>
      <c r="Y214" s="261"/>
      <c r="Z214" s="9"/>
      <c r="AA214" s="9"/>
      <c r="AB214" s="9"/>
      <c r="AC214" s="9"/>
      <c r="AD214" s="111"/>
      <c r="AE214" s="9"/>
      <c r="AF214" s="550"/>
    </row>
    <row r="215" spans="2:32" x14ac:dyDescent="0.3">
      <c r="B215" s="9"/>
      <c r="C215" s="9"/>
      <c r="D215" s="9"/>
      <c r="E215" s="9"/>
      <c r="F215" s="9"/>
      <c r="G215" s="9"/>
      <c r="H215" s="9"/>
      <c r="I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395"/>
      <c r="X215" s="261"/>
      <c r="Y215" s="261"/>
      <c r="Z215" s="9"/>
      <c r="AA215" s="9"/>
      <c r="AB215" s="9"/>
      <c r="AC215" s="9"/>
      <c r="AD215" s="111"/>
      <c r="AE215" s="9"/>
      <c r="AF215" s="550"/>
    </row>
    <row r="216" spans="2:32" x14ac:dyDescent="0.3">
      <c r="B216" s="9"/>
      <c r="C216" s="9"/>
      <c r="D216" s="9"/>
      <c r="E216" s="9"/>
      <c r="F216" s="9"/>
      <c r="G216" s="9"/>
      <c r="H216" s="9"/>
      <c r="I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395"/>
      <c r="X216" s="261"/>
      <c r="Y216" s="261"/>
      <c r="Z216" s="9"/>
      <c r="AA216" s="9"/>
      <c r="AB216" s="9"/>
      <c r="AC216" s="9"/>
      <c r="AD216" s="111"/>
      <c r="AE216" s="9"/>
      <c r="AF216" s="550"/>
    </row>
    <row r="217" spans="2:32" x14ac:dyDescent="0.3">
      <c r="B217" s="9"/>
      <c r="C217" s="9"/>
      <c r="D217" s="9"/>
      <c r="E217" s="9"/>
      <c r="F217" s="9"/>
      <c r="G217" s="9"/>
      <c r="H217" s="9"/>
      <c r="I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395"/>
      <c r="X217" s="261"/>
      <c r="Y217" s="261"/>
      <c r="Z217" s="9"/>
      <c r="AA217" s="9"/>
      <c r="AB217" s="9"/>
      <c r="AC217" s="9"/>
      <c r="AD217" s="111"/>
      <c r="AE217" s="9"/>
      <c r="AF217" s="550"/>
    </row>
    <row r="218" spans="2:32" x14ac:dyDescent="0.3">
      <c r="B218" s="9"/>
      <c r="C218" s="9"/>
      <c r="D218" s="9"/>
      <c r="E218" s="9"/>
      <c r="F218" s="9"/>
      <c r="G218" s="9"/>
      <c r="H218" s="9"/>
      <c r="I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395"/>
      <c r="X218" s="261"/>
      <c r="Y218" s="261"/>
      <c r="Z218" s="9"/>
      <c r="AA218" s="9"/>
      <c r="AB218" s="9"/>
      <c r="AC218" s="9"/>
      <c r="AD218" s="111"/>
      <c r="AE218" s="9"/>
      <c r="AF218" s="550"/>
    </row>
    <row r="219" spans="2:32" x14ac:dyDescent="0.3">
      <c r="B219" s="9"/>
      <c r="C219" s="9"/>
      <c r="D219" s="9"/>
      <c r="E219" s="9"/>
      <c r="F219" s="9"/>
      <c r="G219" s="9"/>
      <c r="H219" s="9"/>
      <c r="I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395"/>
      <c r="X219" s="261"/>
      <c r="Y219" s="261"/>
      <c r="Z219" s="9"/>
      <c r="AA219" s="9"/>
      <c r="AB219" s="9"/>
      <c r="AC219" s="9"/>
      <c r="AD219" s="111"/>
      <c r="AE219" s="9"/>
      <c r="AF219" s="550"/>
    </row>
    <row r="220" spans="2:32" x14ac:dyDescent="0.3">
      <c r="B220" s="9"/>
      <c r="C220" s="9"/>
      <c r="D220" s="9"/>
      <c r="E220" s="9"/>
      <c r="F220" s="9"/>
      <c r="G220" s="9"/>
      <c r="H220" s="9"/>
      <c r="I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395"/>
      <c r="X220" s="261"/>
      <c r="Y220" s="261"/>
      <c r="Z220" s="9"/>
      <c r="AA220" s="9"/>
      <c r="AB220" s="9"/>
      <c r="AC220" s="9"/>
      <c r="AD220" s="111"/>
      <c r="AE220" s="9"/>
      <c r="AF220" s="550"/>
    </row>
    <row r="221" spans="2:32" x14ac:dyDescent="0.3">
      <c r="B221" s="9"/>
      <c r="C221" s="9"/>
      <c r="D221" s="9"/>
      <c r="E221" s="9"/>
      <c r="F221" s="9"/>
      <c r="G221" s="9"/>
      <c r="H221" s="9"/>
      <c r="I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395"/>
      <c r="X221" s="261"/>
      <c r="Y221" s="261"/>
      <c r="Z221" s="9"/>
      <c r="AA221" s="9"/>
      <c r="AB221" s="9"/>
      <c r="AC221" s="9"/>
      <c r="AD221" s="111"/>
      <c r="AE221" s="9"/>
      <c r="AF221" s="550"/>
    </row>
    <row r="222" spans="2:32" x14ac:dyDescent="0.3">
      <c r="B222" s="9"/>
      <c r="C222" s="9"/>
      <c r="D222" s="9"/>
      <c r="E222" s="9"/>
      <c r="F222" s="9"/>
      <c r="G222" s="9"/>
      <c r="H222" s="9"/>
      <c r="I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395"/>
      <c r="X222" s="261"/>
      <c r="Y222" s="261"/>
      <c r="Z222" s="9"/>
      <c r="AA222" s="9"/>
      <c r="AB222" s="9"/>
      <c r="AC222" s="9"/>
      <c r="AD222" s="111"/>
      <c r="AE222" s="9"/>
      <c r="AF222" s="550"/>
    </row>
    <row r="223" spans="2:32" x14ac:dyDescent="0.3">
      <c r="B223" s="9"/>
      <c r="C223" s="9"/>
      <c r="D223" s="9"/>
      <c r="E223" s="9"/>
      <c r="F223" s="9"/>
      <c r="G223" s="9"/>
      <c r="H223" s="9"/>
      <c r="I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395"/>
      <c r="X223" s="261"/>
      <c r="Y223" s="261"/>
      <c r="Z223" s="9"/>
      <c r="AA223" s="9"/>
      <c r="AB223" s="9"/>
      <c r="AC223" s="9"/>
      <c r="AD223" s="111"/>
      <c r="AE223" s="9"/>
      <c r="AF223" s="550"/>
    </row>
    <row r="224" spans="2:32" x14ac:dyDescent="0.3">
      <c r="B224" s="9"/>
      <c r="C224" s="9"/>
      <c r="D224" s="9"/>
      <c r="E224" s="9"/>
      <c r="F224" s="9"/>
      <c r="G224" s="9"/>
      <c r="H224" s="9"/>
      <c r="I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395"/>
      <c r="X224" s="261"/>
      <c r="Y224" s="261"/>
      <c r="Z224" s="9"/>
      <c r="AA224" s="9"/>
      <c r="AB224" s="9"/>
      <c r="AC224" s="9"/>
      <c r="AD224" s="111"/>
      <c r="AE224" s="9"/>
      <c r="AF224" s="550"/>
    </row>
    <row r="225" spans="2:32" x14ac:dyDescent="0.3">
      <c r="B225" s="9"/>
      <c r="C225" s="9"/>
      <c r="D225" s="9"/>
      <c r="E225" s="9"/>
      <c r="F225" s="9"/>
      <c r="G225" s="9"/>
      <c r="H225" s="9"/>
      <c r="I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395"/>
      <c r="X225" s="261"/>
      <c r="Y225" s="261"/>
      <c r="Z225" s="9"/>
      <c r="AA225" s="9"/>
      <c r="AB225" s="9"/>
      <c r="AC225" s="9"/>
      <c r="AD225" s="111"/>
      <c r="AE225" s="9"/>
      <c r="AF225" s="550"/>
    </row>
    <row r="226" spans="2:32" x14ac:dyDescent="0.3">
      <c r="B226" s="9"/>
      <c r="C226" s="9"/>
      <c r="D226" s="9"/>
      <c r="E226" s="9"/>
      <c r="F226" s="9"/>
      <c r="G226" s="9"/>
      <c r="H226" s="9"/>
      <c r="I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395"/>
      <c r="X226" s="261"/>
      <c r="Y226" s="261"/>
      <c r="Z226" s="9"/>
      <c r="AA226" s="9"/>
      <c r="AB226" s="9"/>
      <c r="AC226" s="9"/>
      <c r="AD226" s="111"/>
      <c r="AE226" s="9"/>
      <c r="AF226" s="550"/>
    </row>
    <row r="227" spans="2:32" x14ac:dyDescent="0.3">
      <c r="B227" s="9"/>
      <c r="C227" s="9"/>
      <c r="D227" s="9"/>
      <c r="E227" s="9"/>
      <c r="F227" s="9"/>
      <c r="G227" s="9"/>
      <c r="H227" s="9"/>
      <c r="I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395"/>
      <c r="X227" s="261"/>
      <c r="Y227" s="261"/>
      <c r="Z227" s="9"/>
      <c r="AA227" s="9"/>
      <c r="AB227" s="9"/>
      <c r="AC227" s="9"/>
      <c r="AD227" s="111"/>
      <c r="AE227" s="9"/>
      <c r="AF227" s="550"/>
    </row>
    <row r="228" spans="2:32" x14ac:dyDescent="0.3">
      <c r="B228" s="9"/>
      <c r="C228" s="9"/>
      <c r="D228" s="9"/>
      <c r="E228" s="9"/>
      <c r="F228" s="9"/>
      <c r="G228" s="9"/>
      <c r="H228" s="9"/>
      <c r="I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395"/>
      <c r="X228" s="261"/>
      <c r="Y228" s="261"/>
      <c r="Z228" s="9"/>
      <c r="AA228" s="9"/>
      <c r="AB228" s="9"/>
      <c r="AC228" s="9"/>
      <c r="AD228" s="111"/>
      <c r="AE228" s="9"/>
      <c r="AF228" s="550"/>
    </row>
    <row r="229" spans="2:32" x14ac:dyDescent="0.3">
      <c r="B229" s="9"/>
      <c r="C229" s="9"/>
      <c r="D229" s="9"/>
      <c r="E229" s="9"/>
      <c r="F229" s="9"/>
      <c r="G229" s="9"/>
      <c r="H229" s="9"/>
      <c r="I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395"/>
      <c r="X229" s="261"/>
      <c r="Y229" s="261"/>
      <c r="Z229" s="9"/>
      <c r="AA229" s="9"/>
      <c r="AB229" s="9"/>
      <c r="AC229" s="9"/>
      <c r="AD229" s="111"/>
      <c r="AE229" s="9"/>
      <c r="AF229" s="550"/>
    </row>
    <row r="230" spans="2:32" x14ac:dyDescent="0.3">
      <c r="B230" s="9"/>
      <c r="C230" s="9"/>
      <c r="D230" s="9"/>
      <c r="E230" s="9"/>
      <c r="F230" s="9"/>
      <c r="G230" s="9"/>
      <c r="H230" s="9"/>
      <c r="I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395"/>
      <c r="X230" s="261"/>
      <c r="Y230" s="261"/>
      <c r="Z230" s="9"/>
      <c r="AA230" s="9"/>
      <c r="AB230" s="9"/>
      <c r="AC230" s="9"/>
      <c r="AD230" s="111"/>
      <c r="AE230" s="9"/>
      <c r="AF230" s="550"/>
    </row>
    <row r="231" spans="2:32" x14ac:dyDescent="0.3">
      <c r="B231" s="9"/>
      <c r="C231" s="9"/>
      <c r="D231" s="9"/>
      <c r="E231" s="9"/>
      <c r="F231" s="9"/>
      <c r="G231" s="9"/>
      <c r="H231" s="9"/>
      <c r="I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395"/>
      <c r="X231" s="261"/>
      <c r="Y231" s="261"/>
      <c r="Z231" s="9"/>
      <c r="AA231" s="9"/>
      <c r="AB231" s="9"/>
      <c r="AC231" s="9"/>
      <c r="AD231" s="111"/>
      <c r="AE231" s="9"/>
      <c r="AF231" s="550"/>
    </row>
    <row r="232" spans="2:32" x14ac:dyDescent="0.3">
      <c r="B232" s="9"/>
      <c r="C232" s="9"/>
      <c r="D232" s="9"/>
      <c r="E232" s="9"/>
      <c r="F232" s="9"/>
      <c r="G232" s="9"/>
      <c r="H232" s="9"/>
      <c r="I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395"/>
      <c r="X232" s="261"/>
      <c r="Y232" s="261"/>
      <c r="Z232" s="9"/>
      <c r="AA232" s="9"/>
      <c r="AB232" s="9"/>
      <c r="AC232" s="9"/>
      <c r="AD232" s="111"/>
      <c r="AE232" s="9"/>
      <c r="AF232" s="550"/>
    </row>
    <row r="233" spans="2:32" x14ac:dyDescent="0.3">
      <c r="B233" s="9"/>
      <c r="C233" s="9"/>
      <c r="D233" s="9"/>
      <c r="E233" s="9"/>
      <c r="F233" s="9"/>
      <c r="G233" s="9"/>
      <c r="H233" s="9"/>
      <c r="I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395"/>
      <c r="X233" s="261"/>
      <c r="Y233" s="261"/>
      <c r="Z233" s="9"/>
      <c r="AA233" s="9"/>
      <c r="AB233" s="9"/>
      <c r="AC233" s="9"/>
      <c r="AD233" s="111"/>
      <c r="AE233" s="9"/>
      <c r="AF233" s="550"/>
    </row>
    <row r="234" spans="2:32" x14ac:dyDescent="0.3">
      <c r="B234" s="9"/>
      <c r="C234" s="9"/>
      <c r="D234" s="9"/>
      <c r="E234" s="9"/>
      <c r="F234" s="9"/>
      <c r="G234" s="9"/>
      <c r="H234" s="9"/>
      <c r="I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395"/>
      <c r="X234" s="261"/>
      <c r="Y234" s="261"/>
      <c r="Z234" s="9"/>
      <c r="AA234" s="9"/>
      <c r="AB234" s="9"/>
      <c r="AC234" s="9"/>
      <c r="AD234" s="111"/>
      <c r="AE234" s="9"/>
      <c r="AF234" s="550"/>
    </row>
    <row r="235" spans="2:32" x14ac:dyDescent="0.3">
      <c r="B235" s="9"/>
      <c r="C235" s="9"/>
      <c r="D235" s="9"/>
      <c r="E235" s="9"/>
      <c r="F235" s="9"/>
      <c r="G235" s="9"/>
      <c r="H235" s="9"/>
      <c r="I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395"/>
      <c r="X235" s="261"/>
      <c r="Y235" s="261"/>
      <c r="Z235" s="9"/>
      <c r="AA235" s="9"/>
      <c r="AB235" s="9"/>
      <c r="AC235" s="9"/>
      <c r="AD235" s="111"/>
      <c r="AE235" s="9"/>
      <c r="AF235" s="550"/>
    </row>
    <row r="236" spans="2:32" x14ac:dyDescent="0.3">
      <c r="B236" s="9"/>
      <c r="C236" s="9"/>
      <c r="D236" s="9"/>
      <c r="E236" s="9"/>
      <c r="F236" s="9"/>
      <c r="G236" s="9"/>
      <c r="H236" s="9"/>
      <c r="I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395"/>
      <c r="X236" s="261"/>
      <c r="Y236" s="261"/>
      <c r="Z236" s="9"/>
      <c r="AA236" s="9"/>
      <c r="AB236" s="9"/>
      <c r="AC236" s="9"/>
      <c r="AD236" s="111"/>
      <c r="AE236" s="9"/>
      <c r="AF236" s="550"/>
    </row>
    <row r="237" spans="2:32" x14ac:dyDescent="0.3">
      <c r="B237" s="9"/>
      <c r="C237" s="9"/>
      <c r="D237" s="9"/>
      <c r="E237" s="9"/>
      <c r="F237" s="9"/>
      <c r="G237" s="9"/>
      <c r="H237" s="9"/>
      <c r="I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395"/>
      <c r="X237" s="261"/>
      <c r="Y237" s="261"/>
      <c r="Z237" s="9"/>
      <c r="AA237" s="9"/>
      <c r="AB237" s="9"/>
      <c r="AC237" s="9"/>
      <c r="AD237" s="111"/>
      <c r="AE237" s="9"/>
      <c r="AF237" s="550"/>
    </row>
    <row r="238" spans="2:32" x14ac:dyDescent="0.3">
      <c r="B238" s="9"/>
      <c r="C238" s="9"/>
      <c r="D238" s="9"/>
      <c r="E238" s="9"/>
      <c r="F238" s="9"/>
      <c r="G238" s="9"/>
      <c r="H238" s="9"/>
      <c r="I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395"/>
      <c r="X238" s="261"/>
      <c r="Y238" s="261"/>
      <c r="Z238" s="9"/>
      <c r="AA238" s="9"/>
      <c r="AB238" s="9"/>
      <c r="AC238" s="9"/>
      <c r="AD238" s="111"/>
      <c r="AE238" s="9"/>
      <c r="AF238" s="550"/>
    </row>
    <row r="239" spans="2:32" x14ac:dyDescent="0.3">
      <c r="B239" s="9"/>
      <c r="C239" s="9"/>
      <c r="D239" s="9"/>
      <c r="E239" s="9"/>
      <c r="F239" s="9"/>
      <c r="G239" s="9"/>
      <c r="H239" s="9"/>
      <c r="I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395"/>
      <c r="X239" s="261"/>
      <c r="Y239" s="261"/>
      <c r="Z239" s="9"/>
      <c r="AA239" s="9"/>
      <c r="AB239" s="9"/>
      <c r="AC239" s="9"/>
      <c r="AD239" s="111"/>
      <c r="AE239" s="9"/>
      <c r="AF239" s="550"/>
    </row>
    <row r="240" spans="2:32" x14ac:dyDescent="0.3">
      <c r="B240" s="9"/>
      <c r="C240" s="9"/>
      <c r="D240" s="9"/>
      <c r="E240" s="9"/>
      <c r="F240" s="9"/>
      <c r="G240" s="9"/>
      <c r="H240" s="9"/>
      <c r="I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395"/>
      <c r="X240" s="261"/>
      <c r="Y240" s="261"/>
      <c r="Z240" s="9"/>
      <c r="AA240" s="9"/>
      <c r="AB240" s="9"/>
      <c r="AC240" s="9"/>
      <c r="AD240" s="111"/>
      <c r="AE240" s="9"/>
      <c r="AF240" s="550"/>
    </row>
    <row r="241" spans="2:32" x14ac:dyDescent="0.3">
      <c r="B241" s="9"/>
      <c r="C241" s="9"/>
      <c r="D241" s="9"/>
      <c r="E241" s="9"/>
      <c r="F241" s="9"/>
      <c r="G241" s="9"/>
      <c r="H241" s="9"/>
      <c r="I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395"/>
      <c r="X241" s="261"/>
      <c r="Y241" s="261"/>
      <c r="Z241" s="9"/>
      <c r="AA241" s="9"/>
      <c r="AB241" s="9"/>
      <c r="AC241" s="9"/>
      <c r="AD241" s="111"/>
      <c r="AE241" s="9"/>
      <c r="AF241" s="550"/>
    </row>
    <row r="242" spans="2:32" x14ac:dyDescent="0.3">
      <c r="B242" s="9"/>
      <c r="C242" s="9"/>
      <c r="D242" s="9"/>
      <c r="E242" s="9"/>
      <c r="F242" s="9"/>
      <c r="G242" s="9"/>
      <c r="H242" s="9"/>
      <c r="I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395"/>
      <c r="X242" s="261"/>
      <c r="Y242" s="261"/>
      <c r="Z242" s="9"/>
      <c r="AA242" s="9"/>
      <c r="AB242" s="9"/>
      <c r="AC242" s="9"/>
      <c r="AD242" s="111"/>
      <c r="AE242" s="9"/>
      <c r="AF242" s="550"/>
    </row>
    <row r="243" spans="2:32" x14ac:dyDescent="0.3">
      <c r="B243" s="9"/>
      <c r="C243" s="9"/>
      <c r="D243" s="9"/>
      <c r="E243" s="9"/>
      <c r="F243" s="9"/>
      <c r="G243" s="9"/>
      <c r="H243" s="9"/>
      <c r="I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395"/>
      <c r="X243" s="261"/>
      <c r="Y243" s="261"/>
      <c r="Z243" s="9"/>
      <c r="AA243" s="9"/>
      <c r="AB243" s="9"/>
      <c r="AC243" s="9"/>
      <c r="AD243" s="111"/>
      <c r="AE243" s="9"/>
      <c r="AF243" s="550"/>
    </row>
    <row r="244" spans="2:32" x14ac:dyDescent="0.3">
      <c r="B244" s="9"/>
      <c r="C244" s="9"/>
      <c r="D244" s="9"/>
      <c r="E244" s="9"/>
      <c r="F244" s="9"/>
      <c r="G244" s="9"/>
      <c r="H244" s="9"/>
      <c r="I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395"/>
      <c r="X244" s="261"/>
      <c r="Y244" s="261"/>
      <c r="Z244" s="9"/>
      <c r="AA244" s="9"/>
      <c r="AB244" s="9"/>
      <c r="AC244" s="9"/>
      <c r="AD244" s="111"/>
      <c r="AE244" s="9"/>
      <c r="AF244" s="550"/>
    </row>
    <row r="245" spans="2:32" x14ac:dyDescent="0.3">
      <c r="B245" s="9"/>
      <c r="C245" s="9"/>
      <c r="D245" s="9"/>
      <c r="E245" s="9"/>
      <c r="F245" s="9"/>
      <c r="G245" s="9"/>
      <c r="H245" s="9"/>
      <c r="I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395"/>
      <c r="X245" s="261"/>
      <c r="Y245" s="261"/>
      <c r="Z245" s="9"/>
      <c r="AA245" s="9"/>
      <c r="AB245" s="9"/>
      <c r="AC245" s="9"/>
      <c r="AD245" s="111"/>
      <c r="AE245" s="9"/>
      <c r="AF245" s="550"/>
    </row>
    <row r="246" spans="2:32" x14ac:dyDescent="0.3">
      <c r="B246" s="9"/>
      <c r="C246" s="9"/>
      <c r="D246" s="9"/>
      <c r="E246" s="9"/>
      <c r="F246" s="9"/>
      <c r="G246" s="9"/>
      <c r="H246" s="9"/>
      <c r="I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395"/>
      <c r="X246" s="261"/>
      <c r="Y246" s="261"/>
      <c r="Z246" s="9"/>
      <c r="AA246" s="9"/>
      <c r="AB246" s="9"/>
      <c r="AC246" s="9"/>
      <c r="AD246" s="111"/>
      <c r="AE246" s="9"/>
      <c r="AF246" s="550"/>
    </row>
    <row r="247" spans="2:32" x14ac:dyDescent="0.3">
      <c r="B247" s="9"/>
      <c r="C247" s="9"/>
      <c r="D247" s="9"/>
      <c r="E247" s="9"/>
      <c r="F247" s="9"/>
      <c r="G247" s="9"/>
      <c r="H247" s="9"/>
      <c r="I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395"/>
      <c r="X247" s="261"/>
      <c r="Y247" s="261"/>
      <c r="Z247" s="9"/>
      <c r="AA247" s="9"/>
      <c r="AB247" s="9"/>
      <c r="AC247" s="9"/>
      <c r="AD247" s="111"/>
      <c r="AE247" s="9"/>
      <c r="AF247" s="550"/>
    </row>
    <row r="248" spans="2:32" x14ac:dyDescent="0.3">
      <c r="B248" s="9"/>
      <c r="C248" s="9"/>
      <c r="D248" s="9"/>
      <c r="E248" s="9"/>
      <c r="F248" s="9"/>
      <c r="G248" s="9"/>
      <c r="H248" s="9"/>
      <c r="I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395"/>
      <c r="X248" s="261"/>
      <c r="Y248" s="261"/>
      <c r="Z248" s="9"/>
      <c r="AA248" s="9"/>
      <c r="AB248" s="9"/>
      <c r="AC248" s="9"/>
      <c r="AD248" s="111"/>
      <c r="AE248" s="9"/>
      <c r="AF248" s="550"/>
    </row>
    <row r="249" spans="2:32" x14ac:dyDescent="0.3">
      <c r="B249" s="9"/>
      <c r="C249" s="9"/>
      <c r="D249" s="9"/>
      <c r="E249" s="9"/>
      <c r="F249" s="9"/>
      <c r="G249" s="9"/>
      <c r="H249" s="9"/>
      <c r="I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395"/>
      <c r="X249" s="261"/>
      <c r="Y249" s="261"/>
      <c r="Z249" s="9"/>
      <c r="AA249" s="9"/>
      <c r="AB249" s="9"/>
      <c r="AC249" s="9"/>
      <c r="AD249" s="111"/>
      <c r="AE249" s="9"/>
      <c r="AF249" s="550"/>
    </row>
    <row r="250" spans="2:32" x14ac:dyDescent="0.3">
      <c r="B250" s="9"/>
      <c r="C250" s="9"/>
      <c r="D250" s="9"/>
      <c r="E250" s="9"/>
      <c r="F250" s="9"/>
      <c r="G250" s="9"/>
      <c r="H250" s="9"/>
      <c r="I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395"/>
      <c r="X250" s="261"/>
      <c r="Y250" s="261"/>
      <c r="Z250" s="9"/>
      <c r="AA250" s="9"/>
      <c r="AB250" s="9"/>
      <c r="AC250" s="9"/>
      <c r="AD250" s="111"/>
      <c r="AE250" s="9"/>
      <c r="AF250" s="550"/>
    </row>
    <row r="251" spans="2:32" x14ac:dyDescent="0.3">
      <c r="B251" s="9"/>
      <c r="C251" s="9"/>
      <c r="D251" s="9"/>
      <c r="E251" s="9"/>
      <c r="F251" s="9"/>
      <c r="G251" s="9"/>
      <c r="H251" s="9"/>
      <c r="I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395"/>
      <c r="X251" s="261"/>
      <c r="Y251" s="261"/>
      <c r="Z251" s="9"/>
      <c r="AA251" s="9"/>
      <c r="AB251" s="9"/>
      <c r="AC251" s="9"/>
      <c r="AD251" s="111"/>
      <c r="AE251" s="9"/>
      <c r="AF251" s="550"/>
    </row>
    <row r="252" spans="2:32" x14ac:dyDescent="0.3">
      <c r="B252" s="9"/>
      <c r="C252" s="9"/>
      <c r="D252" s="9"/>
      <c r="E252" s="9"/>
      <c r="F252" s="9"/>
      <c r="G252" s="9"/>
      <c r="H252" s="9"/>
      <c r="I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395"/>
      <c r="X252" s="261"/>
      <c r="Y252" s="261"/>
      <c r="Z252" s="9"/>
      <c r="AA252" s="9"/>
      <c r="AB252" s="9"/>
      <c r="AC252" s="9"/>
      <c r="AD252" s="111"/>
      <c r="AE252" s="9"/>
      <c r="AF252" s="550"/>
    </row>
    <row r="253" spans="2:32" x14ac:dyDescent="0.3">
      <c r="B253" s="9"/>
      <c r="C253" s="9"/>
      <c r="D253" s="9"/>
      <c r="E253" s="9"/>
      <c r="F253" s="9"/>
      <c r="G253" s="9"/>
      <c r="H253" s="9"/>
      <c r="I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395"/>
      <c r="X253" s="261"/>
      <c r="Y253" s="261"/>
      <c r="Z253" s="9"/>
      <c r="AA253" s="9"/>
      <c r="AB253" s="9"/>
      <c r="AC253" s="9"/>
      <c r="AD253" s="111"/>
      <c r="AE253" s="9"/>
      <c r="AF253" s="550"/>
    </row>
    <row r="254" spans="2:32" x14ac:dyDescent="0.3">
      <c r="B254" s="9"/>
      <c r="C254" s="9"/>
      <c r="D254" s="9"/>
      <c r="E254" s="9"/>
      <c r="F254" s="9"/>
      <c r="G254" s="9"/>
      <c r="H254" s="9"/>
      <c r="I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395"/>
      <c r="X254" s="261"/>
      <c r="Y254" s="261"/>
      <c r="Z254" s="9"/>
      <c r="AA254" s="9"/>
      <c r="AB254" s="9"/>
      <c r="AC254" s="9"/>
      <c r="AD254" s="111"/>
      <c r="AE254" s="9"/>
      <c r="AF254" s="550"/>
    </row>
    <row r="255" spans="2:32" x14ac:dyDescent="0.3">
      <c r="B255" s="9"/>
      <c r="C255" s="9"/>
      <c r="D255" s="9"/>
      <c r="E255" s="9"/>
      <c r="F255" s="9"/>
      <c r="G255" s="9"/>
      <c r="H255" s="9"/>
      <c r="I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395"/>
      <c r="X255" s="261"/>
      <c r="Y255" s="261"/>
      <c r="Z255" s="9"/>
      <c r="AA255" s="9"/>
      <c r="AB255" s="9"/>
      <c r="AC255" s="9"/>
      <c r="AD255" s="111"/>
      <c r="AE255" s="9"/>
      <c r="AF255" s="550"/>
    </row>
    <row r="256" spans="2:32" x14ac:dyDescent="0.3">
      <c r="B256" s="9"/>
      <c r="C256" s="9"/>
      <c r="D256" s="9"/>
      <c r="E256" s="9"/>
      <c r="F256" s="9"/>
      <c r="G256" s="9"/>
      <c r="H256" s="9"/>
      <c r="I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395"/>
      <c r="X256" s="261"/>
      <c r="Y256" s="261"/>
      <c r="Z256" s="9"/>
      <c r="AA256" s="9"/>
      <c r="AB256" s="9"/>
      <c r="AC256" s="9"/>
      <c r="AD256" s="111"/>
      <c r="AE256" s="9"/>
      <c r="AF256" s="550"/>
    </row>
    <row r="257" spans="2:32" x14ac:dyDescent="0.3">
      <c r="B257" s="9"/>
      <c r="C257" s="9"/>
      <c r="D257" s="9"/>
      <c r="E257" s="9"/>
      <c r="F257" s="9"/>
      <c r="G257" s="9"/>
      <c r="H257" s="9"/>
      <c r="I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395"/>
      <c r="X257" s="261"/>
      <c r="Y257" s="261"/>
      <c r="Z257" s="9"/>
      <c r="AA257" s="9"/>
      <c r="AB257" s="9"/>
      <c r="AC257" s="9"/>
      <c r="AD257" s="111"/>
      <c r="AE257" s="9"/>
      <c r="AF257" s="550"/>
    </row>
    <row r="258" spans="2:32" x14ac:dyDescent="0.3">
      <c r="B258" s="9"/>
      <c r="C258" s="9"/>
      <c r="D258" s="9"/>
      <c r="E258" s="9"/>
      <c r="F258" s="9"/>
      <c r="G258" s="9"/>
      <c r="H258" s="9"/>
      <c r="I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395"/>
      <c r="X258" s="261"/>
      <c r="Y258" s="261"/>
      <c r="Z258" s="9"/>
      <c r="AA258" s="9"/>
      <c r="AB258" s="9"/>
      <c r="AC258" s="9"/>
      <c r="AD258" s="111"/>
      <c r="AE258" s="9"/>
      <c r="AF258" s="550"/>
    </row>
    <row r="259" spans="2:32" x14ac:dyDescent="0.3">
      <c r="B259" s="9"/>
      <c r="C259" s="9"/>
      <c r="D259" s="9"/>
      <c r="E259" s="9"/>
      <c r="F259" s="9"/>
      <c r="G259" s="9"/>
      <c r="H259" s="9"/>
      <c r="I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395"/>
      <c r="X259" s="261"/>
      <c r="Y259" s="261"/>
      <c r="Z259" s="9"/>
      <c r="AA259" s="9"/>
      <c r="AB259" s="9"/>
      <c r="AC259" s="9"/>
      <c r="AD259" s="111"/>
      <c r="AE259" s="9"/>
      <c r="AF259" s="550"/>
    </row>
    <row r="260" spans="2:32" x14ac:dyDescent="0.3">
      <c r="B260" s="9"/>
      <c r="C260" s="9"/>
      <c r="D260" s="9"/>
      <c r="E260" s="9"/>
      <c r="F260" s="9"/>
      <c r="G260" s="9"/>
      <c r="H260" s="9"/>
      <c r="I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395"/>
      <c r="X260" s="261"/>
      <c r="Y260" s="261"/>
      <c r="Z260" s="9"/>
      <c r="AA260" s="9"/>
      <c r="AB260" s="9"/>
      <c r="AC260" s="9"/>
      <c r="AD260" s="111"/>
      <c r="AE260" s="9"/>
      <c r="AF260" s="550"/>
    </row>
    <row r="261" spans="2:32" x14ac:dyDescent="0.3">
      <c r="B261" s="9"/>
      <c r="C261" s="9"/>
      <c r="D261" s="9"/>
      <c r="E261" s="9"/>
      <c r="F261" s="9"/>
      <c r="G261" s="9"/>
      <c r="H261" s="9"/>
      <c r="I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395"/>
      <c r="X261" s="261"/>
      <c r="Y261" s="261"/>
      <c r="Z261" s="9"/>
      <c r="AA261" s="9"/>
      <c r="AB261" s="9"/>
      <c r="AC261" s="9"/>
      <c r="AD261" s="111"/>
      <c r="AE261" s="9"/>
      <c r="AF261" s="550"/>
    </row>
    <row r="262" spans="2:32" x14ac:dyDescent="0.3">
      <c r="B262" s="9"/>
      <c r="C262" s="9"/>
      <c r="D262" s="9"/>
      <c r="E262" s="9"/>
      <c r="F262" s="9"/>
      <c r="G262" s="9"/>
      <c r="H262" s="9"/>
      <c r="I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395"/>
      <c r="X262" s="261"/>
      <c r="Y262" s="261"/>
      <c r="Z262" s="9"/>
      <c r="AA262" s="9"/>
      <c r="AB262" s="9"/>
      <c r="AC262" s="9"/>
      <c r="AD262" s="111"/>
      <c r="AE262" s="9"/>
      <c r="AF262" s="550"/>
    </row>
    <row r="263" spans="2:32" x14ac:dyDescent="0.3">
      <c r="B263" s="9"/>
      <c r="C263" s="9"/>
      <c r="D263" s="9"/>
      <c r="E263" s="9"/>
      <c r="F263" s="9"/>
      <c r="G263" s="9"/>
      <c r="H263" s="9"/>
      <c r="I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395"/>
      <c r="X263" s="261"/>
      <c r="Y263" s="261"/>
      <c r="Z263" s="9"/>
      <c r="AA263" s="9"/>
      <c r="AB263" s="9"/>
      <c r="AC263" s="9"/>
      <c r="AD263" s="111"/>
      <c r="AE263" s="9"/>
      <c r="AF263" s="550"/>
    </row>
    <row r="264" spans="2:32" x14ac:dyDescent="0.3">
      <c r="B264" s="9"/>
      <c r="C264" s="9"/>
      <c r="D264" s="9"/>
      <c r="E264" s="9"/>
      <c r="F264" s="9"/>
      <c r="G264" s="9"/>
      <c r="H264" s="9"/>
      <c r="I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395"/>
      <c r="X264" s="261"/>
      <c r="Y264" s="261"/>
      <c r="Z264" s="9"/>
      <c r="AA264" s="9"/>
      <c r="AB264" s="9"/>
      <c r="AC264" s="9"/>
      <c r="AD264" s="111"/>
      <c r="AE264" s="9"/>
      <c r="AF264" s="550"/>
    </row>
    <row r="265" spans="2:32" x14ac:dyDescent="0.3">
      <c r="B265" s="9"/>
      <c r="C265" s="9"/>
      <c r="D265" s="9"/>
      <c r="E265" s="9"/>
      <c r="F265" s="9"/>
      <c r="G265" s="9"/>
      <c r="H265" s="9"/>
      <c r="I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395"/>
      <c r="X265" s="261"/>
      <c r="Y265" s="261"/>
      <c r="Z265" s="9"/>
      <c r="AA265" s="9"/>
      <c r="AB265" s="9"/>
      <c r="AC265" s="9"/>
      <c r="AD265" s="111"/>
      <c r="AE265" s="9"/>
      <c r="AF265" s="550"/>
    </row>
    <row r="266" spans="2:32" x14ac:dyDescent="0.3">
      <c r="B266" s="9"/>
      <c r="C266" s="9"/>
      <c r="D266" s="9"/>
      <c r="E266" s="9"/>
      <c r="F266" s="9"/>
      <c r="G266" s="9"/>
      <c r="H266" s="9"/>
      <c r="I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395"/>
      <c r="X266" s="261"/>
      <c r="Y266" s="261"/>
      <c r="Z266" s="9"/>
      <c r="AA266" s="9"/>
      <c r="AB266" s="9"/>
      <c r="AC266" s="9"/>
      <c r="AD266" s="111"/>
      <c r="AE266" s="9"/>
      <c r="AF266" s="550"/>
    </row>
    <row r="267" spans="2:32" x14ac:dyDescent="0.3">
      <c r="B267" s="9"/>
      <c r="C267" s="9"/>
      <c r="D267" s="9"/>
      <c r="E267" s="9"/>
      <c r="F267" s="9"/>
      <c r="G267" s="9"/>
      <c r="H267" s="9"/>
      <c r="I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395"/>
      <c r="X267" s="261"/>
      <c r="Y267" s="261"/>
      <c r="Z267" s="9"/>
      <c r="AA267" s="9"/>
      <c r="AB267" s="9"/>
      <c r="AC267" s="9"/>
      <c r="AD267" s="111"/>
      <c r="AE267" s="9"/>
      <c r="AF267" s="550"/>
    </row>
    <row r="268" spans="2:32" x14ac:dyDescent="0.3">
      <c r="B268" s="9"/>
      <c r="C268" s="9"/>
      <c r="D268" s="9"/>
      <c r="E268" s="9"/>
      <c r="F268" s="9"/>
      <c r="G268" s="9"/>
      <c r="H268" s="9"/>
      <c r="I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395"/>
      <c r="X268" s="261"/>
      <c r="Y268" s="261"/>
      <c r="Z268" s="9"/>
      <c r="AA268" s="9"/>
      <c r="AB268" s="9"/>
      <c r="AC268" s="9"/>
      <c r="AD268" s="111"/>
      <c r="AE268" s="9"/>
      <c r="AF268" s="550"/>
    </row>
    <row r="269" spans="2:32" x14ac:dyDescent="0.3">
      <c r="B269" s="9"/>
      <c r="C269" s="9"/>
      <c r="D269" s="9"/>
      <c r="E269" s="9"/>
      <c r="F269" s="9"/>
      <c r="G269" s="9"/>
      <c r="H269" s="9"/>
      <c r="I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395"/>
      <c r="X269" s="261"/>
      <c r="Y269" s="261"/>
      <c r="Z269" s="9"/>
      <c r="AA269" s="9"/>
      <c r="AB269" s="9"/>
      <c r="AC269" s="9"/>
      <c r="AD269" s="111"/>
      <c r="AE269" s="9"/>
      <c r="AF269" s="550"/>
    </row>
    <row r="270" spans="2:32" x14ac:dyDescent="0.3">
      <c r="B270" s="9"/>
      <c r="C270" s="9"/>
      <c r="D270" s="9"/>
      <c r="E270" s="9"/>
      <c r="F270" s="9"/>
      <c r="G270" s="9"/>
      <c r="H270" s="9"/>
      <c r="I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395"/>
      <c r="X270" s="261"/>
      <c r="Y270" s="261"/>
      <c r="Z270" s="9"/>
      <c r="AA270" s="9"/>
      <c r="AB270" s="9"/>
      <c r="AC270" s="9"/>
      <c r="AD270" s="111"/>
      <c r="AE270" s="9"/>
      <c r="AF270" s="550"/>
    </row>
    <row r="271" spans="2:32" x14ac:dyDescent="0.3">
      <c r="B271" s="9"/>
      <c r="C271" s="9"/>
      <c r="D271" s="9"/>
      <c r="E271" s="9"/>
      <c r="F271" s="9"/>
      <c r="G271" s="9"/>
      <c r="H271" s="9"/>
      <c r="I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395"/>
      <c r="X271" s="261"/>
      <c r="Y271" s="261"/>
      <c r="Z271" s="9"/>
      <c r="AA271" s="9"/>
      <c r="AB271" s="9"/>
      <c r="AC271" s="9"/>
      <c r="AD271" s="111"/>
      <c r="AE271" s="9"/>
      <c r="AF271" s="550"/>
    </row>
    <row r="272" spans="2:32" x14ac:dyDescent="0.3">
      <c r="B272" s="9"/>
      <c r="C272" s="9"/>
      <c r="D272" s="9"/>
      <c r="E272" s="9"/>
      <c r="F272" s="9"/>
      <c r="G272" s="9"/>
      <c r="H272" s="9"/>
      <c r="I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395"/>
      <c r="X272" s="261"/>
      <c r="Y272" s="261"/>
      <c r="Z272" s="9"/>
      <c r="AA272" s="9"/>
      <c r="AB272" s="9"/>
      <c r="AC272" s="9"/>
      <c r="AD272" s="111"/>
      <c r="AE272" s="9"/>
      <c r="AF272" s="550"/>
    </row>
    <row r="273" spans="2:32" x14ac:dyDescent="0.3">
      <c r="B273" s="9"/>
      <c r="C273" s="9"/>
      <c r="D273" s="9"/>
      <c r="E273" s="9"/>
      <c r="F273" s="9"/>
      <c r="G273" s="9"/>
      <c r="H273" s="9"/>
      <c r="I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395"/>
      <c r="X273" s="261"/>
      <c r="Y273" s="261"/>
      <c r="Z273" s="9"/>
      <c r="AA273" s="9"/>
      <c r="AB273" s="9"/>
      <c r="AC273" s="9"/>
      <c r="AD273" s="111"/>
      <c r="AE273" s="9"/>
      <c r="AF273" s="550"/>
    </row>
    <row r="274" spans="2:32" x14ac:dyDescent="0.3">
      <c r="B274" s="9"/>
      <c r="C274" s="9"/>
      <c r="D274" s="9"/>
      <c r="E274" s="9"/>
      <c r="F274" s="9"/>
      <c r="G274" s="9"/>
      <c r="H274" s="9"/>
      <c r="I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395"/>
      <c r="X274" s="261"/>
      <c r="Y274" s="261"/>
      <c r="Z274" s="9"/>
      <c r="AA274" s="9"/>
      <c r="AB274" s="9"/>
      <c r="AC274" s="9"/>
      <c r="AD274" s="111"/>
      <c r="AE274" s="9"/>
      <c r="AF274" s="550"/>
    </row>
    <row r="275" spans="2:32" x14ac:dyDescent="0.3">
      <c r="B275" s="9"/>
      <c r="C275" s="9"/>
      <c r="D275" s="9"/>
      <c r="E275" s="9"/>
      <c r="F275" s="9"/>
      <c r="G275" s="9"/>
      <c r="H275" s="9"/>
      <c r="I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395"/>
      <c r="X275" s="261"/>
      <c r="Y275" s="261"/>
      <c r="Z275" s="9"/>
      <c r="AA275" s="9"/>
      <c r="AB275" s="9"/>
      <c r="AC275" s="9"/>
      <c r="AD275" s="111"/>
      <c r="AE275" s="9"/>
      <c r="AF275" s="550"/>
    </row>
    <row r="276" spans="2:32" x14ac:dyDescent="0.3">
      <c r="B276" s="9"/>
      <c r="C276" s="9"/>
      <c r="D276" s="9"/>
      <c r="E276" s="9"/>
      <c r="F276" s="9"/>
      <c r="G276" s="9"/>
      <c r="H276" s="9"/>
      <c r="I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395"/>
      <c r="X276" s="261"/>
      <c r="Y276" s="261"/>
      <c r="Z276" s="9"/>
      <c r="AA276" s="9"/>
      <c r="AB276" s="9"/>
      <c r="AC276" s="9"/>
      <c r="AD276" s="111"/>
      <c r="AE276" s="9"/>
      <c r="AF276" s="550"/>
    </row>
    <row r="277" spans="2:32" x14ac:dyDescent="0.3">
      <c r="B277" s="9"/>
      <c r="C277" s="9"/>
      <c r="D277" s="9"/>
      <c r="E277" s="9"/>
      <c r="F277" s="9"/>
      <c r="G277" s="9"/>
      <c r="H277" s="9"/>
      <c r="I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395"/>
      <c r="X277" s="261"/>
      <c r="Y277" s="261"/>
      <c r="Z277" s="9"/>
      <c r="AA277" s="9"/>
      <c r="AB277" s="9"/>
      <c r="AC277" s="9"/>
      <c r="AD277" s="111"/>
      <c r="AE277" s="9"/>
      <c r="AF277" s="550"/>
    </row>
    <row r="278" spans="2:32" x14ac:dyDescent="0.3">
      <c r="B278" s="9"/>
      <c r="C278" s="9"/>
      <c r="D278" s="9"/>
      <c r="E278" s="9"/>
      <c r="F278" s="9"/>
      <c r="G278" s="9"/>
      <c r="H278" s="9"/>
      <c r="I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395"/>
      <c r="X278" s="261"/>
      <c r="Y278" s="261"/>
      <c r="Z278" s="9"/>
      <c r="AA278" s="9"/>
      <c r="AB278" s="9"/>
      <c r="AC278" s="9"/>
      <c r="AD278" s="111"/>
      <c r="AE278" s="9"/>
      <c r="AF278" s="550"/>
    </row>
    <row r="279" spans="2:32" x14ac:dyDescent="0.3">
      <c r="B279" s="9"/>
      <c r="C279" s="9"/>
      <c r="D279" s="9"/>
      <c r="E279" s="9"/>
      <c r="F279" s="9"/>
      <c r="G279" s="9"/>
      <c r="H279" s="9"/>
      <c r="I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395"/>
      <c r="X279" s="261"/>
      <c r="Y279" s="261"/>
      <c r="Z279" s="9"/>
      <c r="AA279" s="9"/>
      <c r="AB279" s="9"/>
      <c r="AC279" s="9"/>
      <c r="AD279" s="111"/>
      <c r="AE279" s="9"/>
      <c r="AF279" s="550"/>
    </row>
    <row r="280" spans="2:32" x14ac:dyDescent="0.3">
      <c r="B280" s="9"/>
      <c r="C280" s="9"/>
      <c r="D280" s="9"/>
      <c r="E280" s="9"/>
      <c r="F280" s="9"/>
      <c r="G280" s="9"/>
      <c r="H280" s="9"/>
      <c r="I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395"/>
      <c r="X280" s="261"/>
      <c r="Y280" s="261"/>
      <c r="Z280" s="9"/>
      <c r="AA280" s="9"/>
      <c r="AB280" s="9"/>
      <c r="AC280" s="9"/>
      <c r="AD280" s="111"/>
      <c r="AE280" s="9"/>
      <c r="AF280" s="550"/>
    </row>
    <row r="281" spans="2:32" x14ac:dyDescent="0.3">
      <c r="B281" s="9"/>
      <c r="C281" s="9"/>
      <c r="D281" s="9"/>
      <c r="E281" s="9"/>
      <c r="F281" s="9"/>
      <c r="G281" s="9"/>
      <c r="H281" s="9"/>
      <c r="I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395"/>
      <c r="X281" s="261"/>
      <c r="Y281" s="261"/>
      <c r="Z281" s="9"/>
      <c r="AA281" s="9"/>
      <c r="AB281" s="9"/>
      <c r="AC281" s="9"/>
      <c r="AD281" s="111"/>
      <c r="AE281" s="9"/>
      <c r="AF281" s="550"/>
    </row>
    <row r="282" spans="2:32" x14ac:dyDescent="0.3">
      <c r="B282" s="9"/>
      <c r="C282" s="9"/>
      <c r="D282" s="9"/>
      <c r="E282" s="9"/>
      <c r="F282" s="9"/>
      <c r="G282" s="9"/>
      <c r="H282" s="9"/>
      <c r="I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395"/>
      <c r="X282" s="261"/>
      <c r="Y282" s="261"/>
      <c r="Z282" s="9"/>
      <c r="AA282" s="9"/>
      <c r="AB282" s="9"/>
      <c r="AC282" s="9"/>
      <c r="AD282" s="111"/>
      <c r="AE282" s="9"/>
      <c r="AF282" s="550"/>
    </row>
    <row r="283" spans="2:32" x14ac:dyDescent="0.3">
      <c r="B283" s="9"/>
      <c r="C283" s="9"/>
      <c r="D283" s="9"/>
      <c r="E283" s="9"/>
      <c r="F283" s="9"/>
      <c r="G283" s="9"/>
      <c r="H283" s="9"/>
      <c r="I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395"/>
      <c r="X283" s="261"/>
      <c r="Y283" s="261"/>
      <c r="Z283" s="9"/>
      <c r="AA283" s="9"/>
      <c r="AB283" s="9"/>
      <c r="AC283" s="9"/>
      <c r="AD283" s="111"/>
      <c r="AE283" s="9"/>
      <c r="AF283" s="550"/>
    </row>
    <row r="284" spans="2:32" x14ac:dyDescent="0.3">
      <c r="B284" s="9"/>
      <c r="C284" s="9"/>
      <c r="D284" s="9"/>
      <c r="E284" s="9"/>
      <c r="F284" s="9"/>
      <c r="G284" s="9"/>
      <c r="H284" s="9"/>
      <c r="I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395"/>
      <c r="X284" s="261"/>
      <c r="Y284" s="261"/>
      <c r="Z284" s="9"/>
      <c r="AA284" s="9"/>
      <c r="AB284" s="9"/>
      <c r="AC284" s="9"/>
      <c r="AD284" s="111"/>
      <c r="AE284" s="9"/>
      <c r="AF284" s="550"/>
    </row>
    <row r="285" spans="2:32" x14ac:dyDescent="0.3">
      <c r="B285" s="9"/>
      <c r="C285" s="9"/>
      <c r="D285" s="9"/>
      <c r="E285" s="9"/>
      <c r="F285" s="9"/>
      <c r="G285" s="9"/>
      <c r="H285" s="9"/>
      <c r="I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395"/>
      <c r="X285" s="261"/>
      <c r="Y285" s="261"/>
      <c r="Z285" s="9"/>
      <c r="AA285" s="9"/>
      <c r="AB285" s="9"/>
      <c r="AC285" s="9"/>
      <c r="AD285" s="111"/>
      <c r="AE285" s="9"/>
      <c r="AF285" s="550"/>
    </row>
    <row r="286" spans="2:32" x14ac:dyDescent="0.3">
      <c r="B286" s="9"/>
      <c r="C286" s="9"/>
      <c r="D286" s="9"/>
      <c r="E286" s="9"/>
      <c r="F286" s="9"/>
      <c r="G286" s="9"/>
      <c r="H286" s="9"/>
      <c r="I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395"/>
      <c r="X286" s="261"/>
      <c r="Y286" s="261"/>
      <c r="Z286" s="9"/>
      <c r="AA286" s="9"/>
      <c r="AB286" s="9"/>
      <c r="AC286" s="9"/>
      <c r="AD286" s="111"/>
      <c r="AE286" s="9"/>
      <c r="AF286" s="550"/>
    </row>
    <row r="287" spans="2:32" x14ac:dyDescent="0.3">
      <c r="B287" s="9"/>
      <c r="C287" s="9"/>
      <c r="D287" s="9"/>
      <c r="E287" s="9"/>
      <c r="F287" s="9"/>
      <c r="G287" s="9"/>
      <c r="H287" s="9"/>
      <c r="I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395"/>
      <c r="X287" s="261"/>
      <c r="Y287" s="261"/>
      <c r="Z287" s="9"/>
      <c r="AA287" s="9"/>
      <c r="AB287" s="9"/>
      <c r="AC287" s="9"/>
      <c r="AD287" s="111"/>
      <c r="AE287" s="9"/>
      <c r="AF287" s="550"/>
    </row>
    <row r="288" spans="2:32" x14ac:dyDescent="0.3">
      <c r="B288" s="9"/>
      <c r="C288" s="9"/>
      <c r="D288" s="9"/>
      <c r="E288" s="9"/>
      <c r="F288" s="9"/>
      <c r="G288" s="9"/>
      <c r="H288" s="9"/>
      <c r="I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395"/>
      <c r="X288" s="261"/>
      <c r="Y288" s="261"/>
      <c r="Z288" s="9"/>
      <c r="AA288" s="9"/>
      <c r="AB288" s="9"/>
      <c r="AC288" s="9"/>
      <c r="AD288" s="111"/>
      <c r="AE288" s="9"/>
      <c r="AF288" s="550"/>
    </row>
    <row r="289" spans="2:32" x14ac:dyDescent="0.3">
      <c r="B289" s="9"/>
      <c r="C289" s="9"/>
      <c r="D289" s="9"/>
      <c r="E289" s="9"/>
      <c r="F289" s="9"/>
      <c r="G289" s="9"/>
      <c r="H289" s="9"/>
      <c r="I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395"/>
      <c r="X289" s="261"/>
      <c r="Y289" s="261"/>
      <c r="Z289" s="9"/>
      <c r="AA289" s="9"/>
      <c r="AB289" s="9"/>
      <c r="AC289" s="9"/>
      <c r="AD289" s="111"/>
      <c r="AE289" s="9"/>
      <c r="AF289" s="550"/>
    </row>
    <row r="290" spans="2:32" x14ac:dyDescent="0.3">
      <c r="B290" s="9"/>
      <c r="C290" s="9"/>
      <c r="D290" s="9"/>
      <c r="E290" s="9"/>
      <c r="F290" s="9"/>
      <c r="G290" s="9"/>
      <c r="H290" s="9"/>
      <c r="I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395"/>
      <c r="X290" s="261"/>
      <c r="Y290" s="261"/>
      <c r="Z290" s="9"/>
      <c r="AA290" s="9"/>
      <c r="AB290" s="9"/>
      <c r="AC290" s="9"/>
      <c r="AD290" s="111"/>
      <c r="AE290" s="9"/>
      <c r="AF290" s="550"/>
    </row>
    <row r="291" spans="2:32" x14ac:dyDescent="0.3">
      <c r="B291" s="9"/>
      <c r="C291" s="9"/>
      <c r="D291" s="9"/>
      <c r="E291" s="9"/>
      <c r="F291" s="9"/>
      <c r="G291" s="9"/>
      <c r="H291" s="9"/>
      <c r="I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395"/>
      <c r="X291" s="261"/>
      <c r="Y291" s="261"/>
      <c r="Z291" s="9"/>
      <c r="AA291" s="9"/>
      <c r="AB291" s="9"/>
      <c r="AC291" s="9"/>
      <c r="AD291" s="111"/>
      <c r="AE291" s="9"/>
      <c r="AF291" s="550"/>
    </row>
    <row r="292" spans="2:32" x14ac:dyDescent="0.3">
      <c r="B292" s="9"/>
      <c r="C292" s="9"/>
      <c r="D292" s="9"/>
      <c r="E292" s="9"/>
      <c r="F292" s="9"/>
      <c r="G292" s="9"/>
      <c r="H292" s="9"/>
      <c r="I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395"/>
      <c r="X292" s="261"/>
      <c r="Y292" s="261"/>
      <c r="Z292" s="9"/>
      <c r="AA292" s="9"/>
      <c r="AB292" s="9"/>
      <c r="AC292" s="9"/>
      <c r="AD292" s="111"/>
      <c r="AE292" s="9"/>
      <c r="AF292" s="550"/>
    </row>
    <row r="293" spans="2:32" x14ac:dyDescent="0.3">
      <c r="B293" s="9"/>
      <c r="C293" s="9"/>
      <c r="D293" s="9"/>
      <c r="E293" s="9"/>
      <c r="F293" s="9"/>
      <c r="G293" s="9"/>
      <c r="H293" s="9"/>
      <c r="I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395"/>
      <c r="X293" s="261"/>
      <c r="Y293" s="261"/>
      <c r="Z293" s="9"/>
      <c r="AA293" s="9"/>
      <c r="AB293" s="9"/>
      <c r="AC293" s="9"/>
      <c r="AD293" s="111"/>
      <c r="AE293" s="9"/>
      <c r="AF293" s="550"/>
    </row>
    <row r="294" spans="2:32" x14ac:dyDescent="0.3">
      <c r="B294" s="9"/>
      <c r="C294" s="9"/>
      <c r="D294" s="9"/>
      <c r="E294" s="9"/>
      <c r="F294" s="9"/>
      <c r="G294" s="9"/>
      <c r="H294" s="9"/>
      <c r="I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395"/>
      <c r="X294" s="261"/>
      <c r="Y294" s="261"/>
      <c r="Z294" s="9"/>
      <c r="AA294" s="9"/>
      <c r="AB294" s="9"/>
      <c r="AC294" s="9"/>
      <c r="AD294" s="111"/>
      <c r="AE294" s="9"/>
      <c r="AF294" s="550"/>
    </row>
    <row r="295" spans="2:32" x14ac:dyDescent="0.3">
      <c r="B295" s="9"/>
      <c r="C295" s="9"/>
      <c r="D295" s="9"/>
      <c r="E295" s="9"/>
      <c r="F295" s="9"/>
      <c r="G295" s="9"/>
      <c r="H295" s="9"/>
      <c r="I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395"/>
      <c r="X295" s="261"/>
      <c r="Y295" s="261"/>
      <c r="Z295" s="9"/>
      <c r="AA295" s="9"/>
      <c r="AB295" s="9"/>
      <c r="AC295" s="9"/>
      <c r="AD295" s="111"/>
      <c r="AE295" s="9"/>
      <c r="AF295" s="550"/>
    </row>
    <row r="296" spans="2:32" x14ac:dyDescent="0.3">
      <c r="B296" s="9"/>
      <c r="C296" s="9"/>
      <c r="D296" s="9"/>
      <c r="E296" s="9"/>
      <c r="F296" s="9"/>
      <c r="G296" s="9"/>
      <c r="H296" s="9"/>
      <c r="I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395"/>
      <c r="X296" s="261"/>
      <c r="Y296" s="261"/>
      <c r="Z296" s="9"/>
      <c r="AA296" s="9"/>
      <c r="AB296" s="9"/>
      <c r="AC296" s="9"/>
      <c r="AD296" s="111"/>
      <c r="AE296" s="9"/>
      <c r="AF296" s="550"/>
    </row>
    <row r="297" spans="2:32" x14ac:dyDescent="0.3">
      <c r="B297" s="9"/>
      <c r="C297" s="9"/>
      <c r="D297" s="9"/>
      <c r="E297" s="9"/>
      <c r="F297" s="9"/>
      <c r="G297" s="9"/>
      <c r="H297" s="9"/>
      <c r="I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395"/>
      <c r="X297" s="261"/>
      <c r="Y297" s="261"/>
      <c r="Z297" s="9"/>
      <c r="AA297" s="9"/>
      <c r="AB297" s="9"/>
      <c r="AC297" s="9"/>
      <c r="AD297" s="111"/>
      <c r="AE297" s="9"/>
      <c r="AF297" s="550"/>
    </row>
    <row r="298" spans="2:32" x14ac:dyDescent="0.3">
      <c r="B298" s="9"/>
      <c r="C298" s="9"/>
      <c r="D298" s="9"/>
      <c r="E298" s="9"/>
      <c r="F298" s="9"/>
      <c r="G298" s="9"/>
      <c r="H298" s="9"/>
      <c r="I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395"/>
      <c r="X298" s="261"/>
      <c r="Y298" s="261"/>
      <c r="Z298" s="9"/>
      <c r="AA298" s="9"/>
      <c r="AB298" s="9"/>
      <c r="AC298" s="9"/>
      <c r="AD298" s="111"/>
      <c r="AE298" s="9"/>
      <c r="AF298" s="550"/>
    </row>
    <row r="299" spans="2:32" x14ac:dyDescent="0.3">
      <c r="B299" s="9"/>
      <c r="C299" s="9"/>
      <c r="D299" s="9"/>
      <c r="E299" s="9"/>
      <c r="F299" s="9"/>
      <c r="G299" s="9"/>
      <c r="H299" s="9"/>
      <c r="I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395"/>
      <c r="X299" s="261"/>
      <c r="Y299" s="261"/>
      <c r="Z299" s="9"/>
      <c r="AA299" s="9"/>
      <c r="AB299" s="9"/>
      <c r="AC299" s="9"/>
      <c r="AD299" s="111"/>
      <c r="AE299" s="9"/>
      <c r="AF299" s="550"/>
    </row>
    <row r="300" spans="2:32" x14ac:dyDescent="0.3">
      <c r="B300" s="9"/>
      <c r="C300" s="9"/>
      <c r="D300" s="9"/>
      <c r="E300" s="9"/>
      <c r="F300" s="9"/>
      <c r="G300" s="9"/>
      <c r="H300" s="9"/>
      <c r="I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395"/>
      <c r="X300" s="261"/>
      <c r="Y300" s="261"/>
      <c r="Z300" s="9"/>
      <c r="AA300" s="9"/>
      <c r="AB300" s="9"/>
      <c r="AC300" s="9"/>
      <c r="AD300" s="111"/>
      <c r="AE300" s="9"/>
      <c r="AF300" s="550"/>
    </row>
    <row r="301" spans="2:32" x14ac:dyDescent="0.3">
      <c r="B301" s="9"/>
      <c r="C301" s="9"/>
      <c r="D301" s="9"/>
      <c r="E301" s="9"/>
      <c r="F301" s="9"/>
      <c r="G301" s="9"/>
      <c r="H301" s="9"/>
      <c r="I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395"/>
      <c r="X301" s="261"/>
      <c r="Y301" s="261"/>
      <c r="Z301" s="9"/>
      <c r="AA301" s="9"/>
      <c r="AB301" s="9"/>
      <c r="AC301" s="9"/>
      <c r="AD301" s="111"/>
      <c r="AE301" s="9"/>
      <c r="AF301" s="550"/>
    </row>
    <row r="302" spans="2:32" x14ac:dyDescent="0.3">
      <c r="B302" s="9"/>
      <c r="C302" s="9"/>
      <c r="D302" s="9"/>
      <c r="E302" s="9"/>
      <c r="F302" s="9"/>
      <c r="G302" s="9"/>
      <c r="H302" s="9"/>
      <c r="I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395"/>
      <c r="X302" s="261"/>
      <c r="Y302" s="261"/>
      <c r="Z302" s="9"/>
      <c r="AA302" s="9"/>
      <c r="AB302" s="9"/>
      <c r="AC302" s="9"/>
      <c r="AD302" s="111"/>
      <c r="AE302" s="9"/>
      <c r="AF302" s="550"/>
    </row>
    <row r="303" spans="2:32" x14ac:dyDescent="0.3">
      <c r="B303" s="9"/>
      <c r="C303" s="9"/>
      <c r="D303" s="9"/>
      <c r="E303" s="9"/>
      <c r="F303" s="9"/>
      <c r="G303" s="9"/>
      <c r="H303" s="9"/>
      <c r="I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395"/>
      <c r="X303" s="261"/>
      <c r="Y303" s="261"/>
      <c r="Z303" s="9"/>
      <c r="AA303" s="9"/>
      <c r="AB303" s="9"/>
      <c r="AC303" s="9"/>
      <c r="AD303" s="111"/>
      <c r="AE303" s="9"/>
      <c r="AF303" s="550"/>
    </row>
    <row r="304" spans="2:32" x14ac:dyDescent="0.3">
      <c r="B304" s="9"/>
      <c r="C304" s="9"/>
      <c r="D304" s="9"/>
      <c r="E304" s="9"/>
      <c r="F304" s="9"/>
      <c r="G304" s="9"/>
      <c r="H304" s="9"/>
      <c r="I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395"/>
      <c r="X304" s="261"/>
      <c r="Y304" s="261"/>
      <c r="Z304" s="9"/>
      <c r="AA304" s="9"/>
      <c r="AB304" s="9"/>
      <c r="AC304" s="9"/>
      <c r="AD304" s="111"/>
      <c r="AE304" s="9"/>
      <c r="AF304" s="550"/>
    </row>
    <row r="305" spans="2:32" x14ac:dyDescent="0.3">
      <c r="B305" s="9"/>
      <c r="C305" s="9"/>
      <c r="D305" s="9"/>
      <c r="E305" s="9"/>
      <c r="F305" s="9"/>
      <c r="G305" s="9"/>
      <c r="H305" s="9"/>
      <c r="I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395"/>
      <c r="X305" s="261"/>
      <c r="Y305" s="261"/>
      <c r="Z305" s="9"/>
      <c r="AA305" s="9"/>
      <c r="AB305" s="9"/>
      <c r="AC305" s="9"/>
      <c r="AD305" s="111"/>
      <c r="AE305" s="9"/>
      <c r="AF305" s="550"/>
    </row>
    <row r="306" spans="2:32" x14ac:dyDescent="0.3">
      <c r="B306" s="9"/>
      <c r="C306" s="9"/>
      <c r="D306" s="9"/>
      <c r="E306" s="9"/>
      <c r="F306" s="9"/>
      <c r="G306" s="9"/>
      <c r="H306" s="9"/>
      <c r="I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395"/>
      <c r="X306" s="261"/>
      <c r="Y306" s="261"/>
      <c r="Z306" s="9"/>
      <c r="AA306" s="9"/>
      <c r="AB306" s="9"/>
      <c r="AC306" s="9"/>
      <c r="AD306" s="111"/>
      <c r="AE306" s="9"/>
      <c r="AF306" s="550"/>
    </row>
    <row r="307" spans="2:32" x14ac:dyDescent="0.3">
      <c r="B307" s="9"/>
      <c r="C307" s="9"/>
      <c r="D307" s="9"/>
      <c r="E307" s="9"/>
      <c r="F307" s="9"/>
      <c r="G307" s="9"/>
      <c r="H307" s="9"/>
      <c r="I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395"/>
      <c r="X307" s="261"/>
      <c r="Y307" s="261"/>
      <c r="Z307" s="9"/>
      <c r="AA307" s="9"/>
      <c r="AB307" s="9"/>
      <c r="AC307" s="9"/>
      <c r="AD307" s="111"/>
      <c r="AE307" s="9"/>
      <c r="AF307" s="550"/>
    </row>
    <row r="308" spans="2:32" x14ac:dyDescent="0.3">
      <c r="B308" s="9"/>
      <c r="C308" s="9"/>
      <c r="D308" s="9"/>
      <c r="E308" s="9"/>
      <c r="F308" s="9"/>
      <c r="G308" s="9"/>
      <c r="H308" s="9"/>
      <c r="I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395"/>
      <c r="X308" s="261"/>
      <c r="Y308" s="261"/>
      <c r="Z308" s="9"/>
      <c r="AA308" s="9"/>
      <c r="AB308" s="9"/>
      <c r="AC308" s="9"/>
      <c r="AD308" s="111"/>
      <c r="AE308" s="9"/>
      <c r="AF308" s="550"/>
    </row>
    <row r="309" spans="2:32" x14ac:dyDescent="0.3">
      <c r="B309" s="9"/>
      <c r="C309" s="9"/>
      <c r="D309" s="9"/>
      <c r="E309" s="9"/>
      <c r="F309" s="9"/>
      <c r="G309" s="9"/>
      <c r="H309" s="9"/>
      <c r="I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395"/>
      <c r="X309" s="261"/>
      <c r="Y309" s="261"/>
      <c r="Z309" s="9"/>
      <c r="AA309" s="9"/>
      <c r="AB309" s="9"/>
      <c r="AC309" s="9"/>
      <c r="AD309" s="111"/>
      <c r="AE309" s="9"/>
      <c r="AF309" s="550"/>
    </row>
    <row r="310" spans="2:32" x14ac:dyDescent="0.3">
      <c r="B310" s="9"/>
      <c r="C310" s="9"/>
      <c r="D310" s="9"/>
      <c r="E310" s="9"/>
      <c r="F310" s="9"/>
      <c r="G310" s="9"/>
      <c r="H310" s="9"/>
      <c r="I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395"/>
      <c r="X310" s="261"/>
      <c r="Y310" s="261"/>
      <c r="Z310" s="9"/>
      <c r="AA310" s="9"/>
      <c r="AB310" s="9"/>
      <c r="AC310" s="9"/>
      <c r="AD310" s="111"/>
      <c r="AE310" s="9"/>
      <c r="AF310" s="550"/>
    </row>
    <row r="311" spans="2:32" x14ac:dyDescent="0.3">
      <c r="B311" s="9"/>
      <c r="C311" s="9"/>
      <c r="D311" s="9"/>
      <c r="E311" s="9"/>
      <c r="F311" s="9"/>
      <c r="G311" s="9"/>
      <c r="H311" s="9"/>
      <c r="I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395"/>
      <c r="X311" s="261"/>
      <c r="Y311" s="261"/>
      <c r="Z311" s="9"/>
      <c r="AA311" s="9"/>
      <c r="AB311" s="9"/>
      <c r="AC311" s="9"/>
      <c r="AD311" s="111"/>
      <c r="AE311" s="9"/>
      <c r="AF311" s="550"/>
    </row>
    <row r="312" spans="2:32" x14ac:dyDescent="0.3">
      <c r="B312" s="9"/>
      <c r="C312" s="9"/>
      <c r="D312" s="9"/>
      <c r="E312" s="9"/>
      <c r="F312" s="9"/>
      <c r="G312" s="9"/>
      <c r="H312" s="9"/>
      <c r="I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395"/>
      <c r="X312" s="261"/>
      <c r="Y312" s="261"/>
      <c r="Z312" s="9"/>
      <c r="AA312" s="9"/>
      <c r="AB312" s="9"/>
      <c r="AC312" s="9"/>
      <c r="AD312" s="111"/>
      <c r="AE312" s="9"/>
      <c r="AF312" s="550"/>
    </row>
    <row r="313" spans="2:32" x14ac:dyDescent="0.3">
      <c r="B313" s="9"/>
      <c r="C313" s="9"/>
      <c r="D313" s="9"/>
      <c r="E313" s="9"/>
      <c r="F313" s="9"/>
      <c r="G313" s="9"/>
      <c r="H313" s="9"/>
      <c r="I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395"/>
      <c r="X313" s="261"/>
      <c r="Y313" s="261"/>
      <c r="Z313" s="9"/>
      <c r="AA313" s="9"/>
      <c r="AB313" s="9"/>
      <c r="AC313" s="9"/>
      <c r="AD313" s="111"/>
      <c r="AE313" s="9"/>
      <c r="AF313" s="550"/>
    </row>
    <row r="314" spans="2:32" x14ac:dyDescent="0.3">
      <c r="B314" s="9"/>
      <c r="C314" s="9"/>
      <c r="D314" s="9"/>
      <c r="E314" s="9"/>
      <c r="F314" s="9"/>
      <c r="G314" s="9"/>
      <c r="H314" s="9"/>
      <c r="I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395"/>
      <c r="X314" s="261"/>
      <c r="Y314" s="261"/>
      <c r="Z314" s="9"/>
      <c r="AA314" s="9"/>
      <c r="AB314" s="9"/>
      <c r="AC314" s="9"/>
      <c r="AD314" s="111"/>
      <c r="AE314" s="9"/>
      <c r="AF314" s="550"/>
    </row>
    <row r="315" spans="2:32" x14ac:dyDescent="0.3">
      <c r="B315" s="9"/>
      <c r="C315" s="9"/>
      <c r="D315" s="9"/>
      <c r="E315" s="9"/>
      <c r="F315" s="9"/>
      <c r="G315" s="9"/>
      <c r="H315" s="9"/>
      <c r="I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395"/>
      <c r="X315" s="261"/>
      <c r="Y315" s="261"/>
      <c r="Z315" s="9"/>
      <c r="AA315" s="9"/>
      <c r="AB315" s="9"/>
      <c r="AC315" s="9"/>
      <c r="AD315" s="111"/>
      <c r="AE315" s="9"/>
      <c r="AF315" s="550"/>
    </row>
    <row r="316" spans="2:32" x14ac:dyDescent="0.3">
      <c r="B316" s="9"/>
      <c r="C316" s="9"/>
      <c r="D316" s="9"/>
      <c r="E316" s="9"/>
      <c r="F316" s="9"/>
      <c r="G316" s="9"/>
      <c r="H316" s="9"/>
      <c r="I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395"/>
      <c r="X316" s="261"/>
      <c r="Y316" s="261"/>
      <c r="Z316" s="9"/>
      <c r="AA316" s="9"/>
      <c r="AB316" s="9"/>
      <c r="AC316" s="9"/>
      <c r="AD316" s="111"/>
      <c r="AE316" s="9"/>
      <c r="AF316" s="550"/>
    </row>
    <row r="317" spans="2:32" x14ac:dyDescent="0.3">
      <c r="B317" s="9"/>
      <c r="C317" s="9"/>
      <c r="D317" s="9"/>
      <c r="E317" s="9"/>
      <c r="F317" s="9"/>
      <c r="G317" s="9"/>
      <c r="H317" s="9"/>
      <c r="I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395"/>
      <c r="X317" s="261"/>
      <c r="Y317" s="261"/>
      <c r="Z317" s="9"/>
      <c r="AA317" s="9"/>
      <c r="AB317" s="9"/>
      <c r="AC317" s="9"/>
      <c r="AD317" s="111"/>
      <c r="AE317" s="9"/>
      <c r="AF317" s="550"/>
    </row>
    <row r="318" spans="2:32" x14ac:dyDescent="0.3">
      <c r="B318" s="9"/>
      <c r="C318" s="9"/>
      <c r="D318" s="9"/>
      <c r="E318" s="9"/>
      <c r="F318" s="9"/>
      <c r="G318" s="9"/>
      <c r="H318" s="9"/>
      <c r="I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395"/>
      <c r="X318" s="261"/>
      <c r="Y318" s="261"/>
      <c r="Z318" s="9"/>
      <c r="AA318" s="9"/>
      <c r="AB318" s="9"/>
      <c r="AC318" s="9"/>
      <c r="AD318" s="111"/>
      <c r="AE318" s="9"/>
      <c r="AF318" s="550"/>
    </row>
    <row r="319" spans="2:32" x14ac:dyDescent="0.3">
      <c r="B319" s="9"/>
      <c r="C319" s="9"/>
      <c r="D319" s="9"/>
      <c r="E319" s="9"/>
      <c r="F319" s="9"/>
      <c r="G319" s="9"/>
      <c r="H319" s="9"/>
      <c r="I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395"/>
      <c r="X319" s="261"/>
      <c r="Y319" s="261"/>
      <c r="Z319" s="9"/>
      <c r="AA319" s="9"/>
      <c r="AB319" s="9"/>
      <c r="AC319" s="9"/>
      <c r="AD319" s="111"/>
      <c r="AE319" s="9"/>
      <c r="AF319" s="550"/>
    </row>
    <row r="320" spans="2:32" x14ac:dyDescent="0.3">
      <c r="B320" s="9"/>
      <c r="C320" s="9"/>
      <c r="D320" s="9"/>
      <c r="E320" s="9"/>
      <c r="F320" s="9"/>
      <c r="G320" s="9"/>
      <c r="H320" s="9"/>
      <c r="I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395"/>
      <c r="X320" s="261"/>
      <c r="Y320" s="261"/>
      <c r="Z320" s="9"/>
      <c r="AA320" s="9"/>
      <c r="AB320" s="9"/>
      <c r="AC320" s="9"/>
      <c r="AD320" s="111"/>
      <c r="AE320" s="9"/>
      <c r="AF320" s="550"/>
    </row>
    <row r="321" spans="2:32" x14ac:dyDescent="0.3">
      <c r="B321" s="9"/>
      <c r="C321" s="9"/>
      <c r="D321" s="9"/>
      <c r="E321" s="9"/>
      <c r="F321" s="9"/>
      <c r="G321" s="9"/>
      <c r="H321" s="9"/>
      <c r="I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395"/>
      <c r="X321" s="261"/>
      <c r="Y321" s="261"/>
      <c r="Z321" s="9"/>
      <c r="AA321" s="9"/>
      <c r="AB321" s="9"/>
      <c r="AC321" s="9"/>
      <c r="AD321" s="111"/>
      <c r="AE321" s="9"/>
      <c r="AF321" s="550"/>
    </row>
    <row r="322" spans="2:32" x14ac:dyDescent="0.3">
      <c r="B322" s="9"/>
      <c r="C322" s="9"/>
      <c r="D322" s="9"/>
      <c r="E322" s="9"/>
      <c r="F322" s="9"/>
      <c r="G322" s="9"/>
      <c r="H322" s="9"/>
      <c r="I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395"/>
      <c r="X322" s="261"/>
      <c r="Y322" s="261"/>
      <c r="Z322" s="9"/>
      <c r="AA322" s="9"/>
      <c r="AB322" s="9"/>
      <c r="AC322" s="9"/>
      <c r="AD322" s="111"/>
      <c r="AE322" s="9"/>
      <c r="AF322" s="550"/>
    </row>
    <row r="323" spans="2:32" x14ac:dyDescent="0.3">
      <c r="B323" s="9"/>
      <c r="C323" s="9"/>
      <c r="D323" s="9"/>
      <c r="E323" s="9"/>
      <c r="F323" s="9"/>
      <c r="G323" s="9"/>
      <c r="H323" s="9"/>
      <c r="I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395"/>
      <c r="X323" s="261"/>
      <c r="Y323" s="261"/>
      <c r="Z323" s="9"/>
      <c r="AA323" s="9"/>
      <c r="AB323" s="9"/>
      <c r="AC323" s="9"/>
      <c r="AD323" s="111"/>
      <c r="AE323" s="9"/>
      <c r="AF323" s="550"/>
    </row>
    <row r="324" spans="2:32" x14ac:dyDescent="0.3">
      <c r="B324" s="9"/>
      <c r="C324" s="9"/>
      <c r="D324" s="9"/>
      <c r="E324" s="9"/>
      <c r="F324" s="9"/>
      <c r="G324" s="9"/>
      <c r="H324" s="9"/>
      <c r="I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395"/>
      <c r="X324" s="261"/>
      <c r="Y324" s="261"/>
      <c r="Z324" s="9"/>
      <c r="AA324" s="9"/>
      <c r="AB324" s="9"/>
      <c r="AC324" s="9"/>
      <c r="AD324" s="111"/>
      <c r="AE324" s="9"/>
      <c r="AF324" s="550"/>
    </row>
    <row r="325" spans="2:32" x14ac:dyDescent="0.3">
      <c r="B325" s="9"/>
      <c r="C325" s="9"/>
      <c r="D325" s="9"/>
      <c r="E325" s="9"/>
      <c r="F325" s="9"/>
      <c r="G325" s="9"/>
      <c r="H325" s="9"/>
      <c r="I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395"/>
      <c r="X325" s="261"/>
      <c r="Y325" s="261"/>
      <c r="Z325" s="9"/>
      <c r="AA325" s="9"/>
      <c r="AB325" s="9"/>
      <c r="AC325" s="9"/>
      <c r="AD325" s="111"/>
      <c r="AE325" s="9"/>
      <c r="AF325" s="550"/>
    </row>
    <row r="326" spans="2:32" x14ac:dyDescent="0.3">
      <c r="B326" s="9"/>
      <c r="C326" s="9"/>
      <c r="D326" s="9"/>
      <c r="E326" s="9"/>
      <c r="F326" s="9"/>
      <c r="G326" s="9"/>
      <c r="H326" s="9"/>
      <c r="I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395"/>
      <c r="X326" s="261"/>
      <c r="Y326" s="261"/>
      <c r="Z326" s="9"/>
      <c r="AA326" s="9"/>
      <c r="AB326" s="9"/>
      <c r="AC326" s="9"/>
      <c r="AD326" s="111"/>
      <c r="AE326" s="9"/>
      <c r="AF326" s="550"/>
    </row>
    <row r="327" spans="2:32" x14ac:dyDescent="0.3">
      <c r="B327" s="9"/>
      <c r="C327" s="9"/>
      <c r="D327" s="9"/>
      <c r="E327" s="9"/>
      <c r="F327" s="9"/>
      <c r="G327" s="9"/>
      <c r="H327" s="9"/>
      <c r="I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395"/>
      <c r="X327" s="261"/>
      <c r="Y327" s="261"/>
      <c r="Z327" s="9"/>
      <c r="AA327" s="9"/>
      <c r="AB327" s="9"/>
      <c r="AC327" s="9"/>
      <c r="AD327" s="111"/>
      <c r="AE327" s="9"/>
      <c r="AF327" s="550"/>
    </row>
    <row r="328" spans="2:32" x14ac:dyDescent="0.3">
      <c r="B328" s="9"/>
      <c r="C328" s="9"/>
      <c r="D328" s="9"/>
      <c r="E328" s="9"/>
      <c r="F328" s="9"/>
      <c r="G328" s="9"/>
      <c r="H328" s="9"/>
      <c r="I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395"/>
      <c r="X328" s="261"/>
      <c r="Y328" s="261"/>
      <c r="Z328" s="9"/>
      <c r="AA328" s="9"/>
      <c r="AB328" s="9"/>
      <c r="AC328" s="9"/>
      <c r="AD328" s="111"/>
      <c r="AE328" s="9"/>
      <c r="AF328" s="550"/>
    </row>
    <row r="329" spans="2:32" x14ac:dyDescent="0.3">
      <c r="B329" s="9"/>
      <c r="C329" s="9"/>
      <c r="D329" s="9"/>
      <c r="E329" s="9"/>
      <c r="F329" s="9"/>
      <c r="G329" s="9"/>
      <c r="H329" s="9"/>
      <c r="I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395"/>
      <c r="X329" s="261"/>
      <c r="Y329" s="261"/>
      <c r="Z329" s="9"/>
      <c r="AA329" s="9"/>
      <c r="AB329" s="9"/>
      <c r="AC329" s="9"/>
      <c r="AD329" s="111"/>
      <c r="AE329" s="9"/>
      <c r="AF329" s="550"/>
    </row>
    <row r="330" spans="2:32" x14ac:dyDescent="0.3">
      <c r="B330" s="9"/>
      <c r="C330" s="9"/>
      <c r="D330" s="9"/>
      <c r="E330" s="9"/>
      <c r="F330" s="9"/>
      <c r="G330" s="9"/>
      <c r="H330" s="9"/>
      <c r="I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395"/>
      <c r="X330" s="261"/>
      <c r="Y330" s="261"/>
      <c r="Z330" s="9"/>
      <c r="AA330" s="9"/>
      <c r="AB330" s="9"/>
      <c r="AC330" s="9"/>
      <c r="AD330" s="111"/>
      <c r="AE330" s="9"/>
      <c r="AF330" s="550"/>
    </row>
    <row r="331" spans="2:32" x14ac:dyDescent="0.3">
      <c r="B331" s="9"/>
      <c r="C331" s="9"/>
      <c r="D331" s="9"/>
      <c r="E331" s="9"/>
      <c r="F331" s="9"/>
      <c r="G331" s="9"/>
      <c r="H331" s="9"/>
      <c r="I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395"/>
      <c r="X331" s="261"/>
      <c r="Y331" s="261"/>
      <c r="Z331" s="9"/>
      <c r="AA331" s="9"/>
      <c r="AB331" s="9"/>
      <c r="AC331" s="9"/>
      <c r="AD331" s="111"/>
      <c r="AE331" s="9"/>
      <c r="AF331" s="550"/>
    </row>
    <row r="332" spans="2:32" x14ac:dyDescent="0.3">
      <c r="B332" s="9"/>
      <c r="C332" s="9"/>
      <c r="D332" s="9"/>
      <c r="E332" s="9"/>
      <c r="F332" s="9"/>
      <c r="G332" s="9"/>
      <c r="H332" s="9"/>
      <c r="I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395"/>
      <c r="X332" s="261"/>
      <c r="Y332" s="261"/>
      <c r="Z332" s="9"/>
      <c r="AA332" s="9"/>
      <c r="AB332" s="9"/>
      <c r="AC332" s="9"/>
      <c r="AD332" s="111"/>
      <c r="AE332" s="9"/>
      <c r="AF332" s="550"/>
    </row>
    <row r="333" spans="2:32" x14ac:dyDescent="0.3">
      <c r="B333" s="9"/>
      <c r="C333" s="9"/>
      <c r="D333" s="9"/>
      <c r="E333" s="9"/>
      <c r="F333" s="9"/>
      <c r="G333" s="9"/>
      <c r="H333" s="9"/>
      <c r="I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395"/>
      <c r="X333" s="261"/>
      <c r="Y333" s="261"/>
      <c r="Z333" s="9"/>
      <c r="AA333" s="9"/>
      <c r="AB333" s="9"/>
      <c r="AC333" s="9"/>
      <c r="AD333" s="111"/>
      <c r="AE333" s="9"/>
      <c r="AF333" s="550"/>
    </row>
    <row r="334" spans="2:32" x14ac:dyDescent="0.3">
      <c r="B334" s="9"/>
      <c r="C334" s="9"/>
      <c r="D334" s="9"/>
      <c r="E334" s="9"/>
      <c r="F334" s="9"/>
      <c r="G334" s="9"/>
      <c r="H334" s="9"/>
      <c r="I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395"/>
      <c r="X334" s="261"/>
      <c r="Y334" s="261"/>
      <c r="Z334" s="9"/>
      <c r="AA334" s="9"/>
      <c r="AB334" s="9"/>
      <c r="AC334" s="9"/>
      <c r="AD334" s="111"/>
      <c r="AE334" s="9"/>
      <c r="AF334" s="550"/>
    </row>
    <row r="335" spans="2:32" x14ac:dyDescent="0.3">
      <c r="B335" s="9"/>
      <c r="C335" s="9"/>
      <c r="D335" s="9"/>
      <c r="E335" s="9"/>
      <c r="F335" s="9"/>
      <c r="G335" s="9"/>
      <c r="H335" s="9"/>
      <c r="I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395"/>
      <c r="X335" s="261"/>
      <c r="Y335" s="261"/>
      <c r="Z335" s="9"/>
      <c r="AA335" s="9"/>
      <c r="AB335" s="9"/>
      <c r="AC335" s="9"/>
      <c r="AD335" s="111"/>
      <c r="AE335" s="9"/>
      <c r="AF335" s="550"/>
    </row>
    <row r="336" spans="2:32" x14ac:dyDescent="0.3">
      <c r="B336" s="9"/>
      <c r="C336" s="9"/>
      <c r="D336" s="9"/>
      <c r="E336" s="9"/>
      <c r="F336" s="9"/>
      <c r="G336" s="9"/>
      <c r="H336" s="9"/>
      <c r="I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395"/>
      <c r="X336" s="261"/>
      <c r="Y336" s="261"/>
      <c r="Z336" s="9"/>
      <c r="AA336" s="9"/>
      <c r="AB336" s="9"/>
      <c r="AC336" s="9"/>
      <c r="AD336" s="111"/>
      <c r="AE336" s="9"/>
      <c r="AF336" s="550"/>
    </row>
    <row r="337" spans="2:32" x14ac:dyDescent="0.3">
      <c r="B337" s="9"/>
      <c r="C337" s="9"/>
      <c r="D337" s="9"/>
      <c r="E337" s="9"/>
      <c r="F337" s="9"/>
      <c r="G337" s="9"/>
      <c r="H337" s="9"/>
      <c r="I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395"/>
      <c r="X337" s="261"/>
      <c r="Y337" s="261"/>
      <c r="Z337" s="9"/>
      <c r="AA337" s="9"/>
      <c r="AB337" s="9"/>
      <c r="AC337" s="9"/>
      <c r="AD337" s="111"/>
      <c r="AE337" s="9"/>
      <c r="AF337" s="550"/>
    </row>
    <row r="338" spans="2:32" x14ac:dyDescent="0.3">
      <c r="B338" s="9"/>
      <c r="C338" s="9"/>
      <c r="D338" s="9"/>
      <c r="E338" s="9"/>
      <c r="F338" s="9"/>
      <c r="G338" s="9"/>
      <c r="H338" s="9"/>
      <c r="I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395"/>
      <c r="X338" s="261"/>
      <c r="Y338" s="261"/>
      <c r="Z338" s="9"/>
      <c r="AA338" s="9"/>
      <c r="AB338" s="9"/>
      <c r="AC338" s="9"/>
      <c r="AD338" s="111"/>
      <c r="AE338" s="9"/>
      <c r="AF338" s="550"/>
    </row>
    <row r="339" spans="2:32" x14ac:dyDescent="0.3">
      <c r="B339" s="9"/>
      <c r="C339" s="9"/>
      <c r="D339" s="9"/>
      <c r="E339" s="9"/>
      <c r="F339" s="9"/>
      <c r="G339" s="9"/>
      <c r="H339" s="9"/>
      <c r="I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395"/>
      <c r="X339" s="261"/>
      <c r="Y339" s="261"/>
      <c r="Z339" s="9"/>
      <c r="AA339" s="9"/>
      <c r="AB339" s="9"/>
      <c r="AC339" s="9"/>
      <c r="AD339" s="111"/>
      <c r="AE339" s="9"/>
      <c r="AF339" s="550"/>
    </row>
    <row r="340" spans="2:32" x14ac:dyDescent="0.3">
      <c r="B340" s="9"/>
      <c r="C340" s="9"/>
      <c r="D340" s="9"/>
      <c r="E340" s="9"/>
      <c r="F340" s="9"/>
      <c r="G340" s="9"/>
      <c r="H340" s="9"/>
      <c r="I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395"/>
      <c r="X340" s="261"/>
      <c r="Y340" s="261"/>
      <c r="Z340" s="9"/>
      <c r="AA340" s="9"/>
      <c r="AB340" s="9"/>
      <c r="AC340" s="9"/>
      <c r="AD340" s="111"/>
      <c r="AE340" s="9"/>
      <c r="AF340" s="550"/>
    </row>
    <row r="341" spans="2:32" x14ac:dyDescent="0.3">
      <c r="B341" s="9"/>
      <c r="C341" s="9"/>
      <c r="D341" s="9"/>
      <c r="E341" s="9"/>
      <c r="F341" s="9"/>
      <c r="G341" s="9"/>
      <c r="H341" s="9"/>
      <c r="I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395"/>
      <c r="X341" s="261"/>
      <c r="Y341" s="261"/>
      <c r="Z341" s="9"/>
      <c r="AA341" s="9"/>
      <c r="AB341" s="9"/>
      <c r="AC341" s="9"/>
      <c r="AD341" s="111"/>
      <c r="AE341" s="9"/>
      <c r="AF341" s="550"/>
    </row>
    <row r="342" spans="2:32" x14ac:dyDescent="0.3">
      <c r="B342" s="9"/>
      <c r="C342" s="9"/>
      <c r="D342" s="9"/>
      <c r="E342" s="9"/>
      <c r="F342" s="9"/>
      <c r="G342" s="9"/>
      <c r="H342" s="9"/>
      <c r="I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395"/>
      <c r="X342" s="261"/>
      <c r="Y342" s="261"/>
      <c r="Z342" s="9"/>
      <c r="AA342" s="9"/>
      <c r="AB342" s="9"/>
      <c r="AC342" s="9"/>
      <c r="AD342" s="111"/>
      <c r="AE342" s="9"/>
      <c r="AF342" s="550"/>
    </row>
    <row r="343" spans="2:32" x14ac:dyDescent="0.3">
      <c r="B343" s="9"/>
      <c r="C343" s="9"/>
      <c r="D343" s="9"/>
      <c r="E343" s="9"/>
      <c r="F343" s="9"/>
      <c r="G343" s="9"/>
      <c r="H343" s="9"/>
      <c r="I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395"/>
      <c r="X343" s="261"/>
      <c r="Y343" s="261"/>
      <c r="Z343" s="9"/>
      <c r="AA343" s="9"/>
      <c r="AB343" s="9"/>
      <c r="AC343" s="9"/>
      <c r="AD343" s="111"/>
      <c r="AE343" s="9"/>
      <c r="AF343" s="550"/>
    </row>
    <row r="344" spans="2:32" x14ac:dyDescent="0.3">
      <c r="B344" s="9"/>
      <c r="C344" s="9"/>
      <c r="D344" s="9"/>
      <c r="E344" s="9"/>
      <c r="F344" s="9"/>
      <c r="G344" s="9"/>
      <c r="H344" s="9"/>
      <c r="I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395"/>
      <c r="X344" s="261"/>
      <c r="Y344" s="261"/>
      <c r="Z344" s="9"/>
      <c r="AA344" s="9"/>
      <c r="AB344" s="9"/>
      <c r="AC344" s="9"/>
      <c r="AD344" s="111"/>
      <c r="AE344" s="9"/>
      <c r="AF344" s="550"/>
    </row>
    <row r="345" spans="2:32" x14ac:dyDescent="0.3">
      <c r="B345" s="9"/>
      <c r="C345" s="9"/>
      <c r="D345" s="9"/>
      <c r="E345" s="9"/>
      <c r="F345" s="9"/>
      <c r="G345" s="9"/>
      <c r="H345" s="9"/>
      <c r="I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395"/>
      <c r="X345" s="261"/>
      <c r="Y345" s="261"/>
      <c r="Z345" s="9"/>
      <c r="AA345" s="9"/>
      <c r="AB345" s="9"/>
      <c r="AC345" s="9"/>
      <c r="AD345" s="111"/>
      <c r="AE345" s="9"/>
      <c r="AF345" s="550"/>
    </row>
    <row r="346" spans="2:32" x14ac:dyDescent="0.3">
      <c r="B346" s="9"/>
      <c r="C346" s="9"/>
      <c r="D346" s="9"/>
      <c r="E346" s="9"/>
      <c r="F346" s="9"/>
      <c r="G346" s="9"/>
      <c r="H346" s="9"/>
      <c r="I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395"/>
      <c r="X346" s="261"/>
      <c r="Y346" s="261"/>
      <c r="Z346" s="9"/>
      <c r="AA346" s="9"/>
      <c r="AB346" s="9"/>
      <c r="AC346" s="9"/>
      <c r="AD346" s="111"/>
      <c r="AE346" s="9"/>
      <c r="AF346" s="550"/>
    </row>
    <row r="347" spans="2:32" x14ac:dyDescent="0.3">
      <c r="B347" s="9"/>
      <c r="C347" s="9"/>
      <c r="D347" s="9"/>
      <c r="E347" s="9"/>
      <c r="F347" s="9"/>
      <c r="G347" s="9"/>
      <c r="H347" s="9"/>
      <c r="I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395"/>
      <c r="X347" s="261"/>
      <c r="Y347" s="261"/>
      <c r="Z347" s="9"/>
      <c r="AA347" s="9"/>
      <c r="AB347" s="9"/>
      <c r="AC347" s="9"/>
      <c r="AD347" s="111"/>
      <c r="AE347" s="9"/>
      <c r="AF347" s="550"/>
    </row>
    <row r="348" spans="2:32" x14ac:dyDescent="0.3">
      <c r="B348" s="9"/>
      <c r="C348" s="9"/>
      <c r="D348" s="9"/>
      <c r="E348" s="9"/>
      <c r="F348" s="9"/>
      <c r="G348" s="9"/>
      <c r="H348" s="9"/>
      <c r="I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395"/>
      <c r="X348" s="261"/>
      <c r="Y348" s="261"/>
      <c r="Z348" s="9"/>
      <c r="AA348" s="9"/>
      <c r="AB348" s="9"/>
      <c r="AC348" s="9"/>
      <c r="AD348" s="111"/>
      <c r="AE348" s="9"/>
      <c r="AF348" s="550"/>
    </row>
    <row r="349" spans="2:32" x14ac:dyDescent="0.3">
      <c r="B349" s="9"/>
      <c r="C349" s="9"/>
      <c r="D349" s="9"/>
      <c r="E349" s="9"/>
      <c r="F349" s="9"/>
      <c r="G349" s="9"/>
      <c r="H349" s="9"/>
      <c r="I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395"/>
      <c r="X349" s="261"/>
      <c r="Y349" s="261"/>
      <c r="Z349" s="9"/>
      <c r="AA349" s="9"/>
      <c r="AB349" s="9"/>
      <c r="AC349" s="9"/>
      <c r="AD349" s="111"/>
      <c r="AE349" s="9"/>
      <c r="AF349" s="550"/>
    </row>
    <row r="350" spans="2:32" x14ac:dyDescent="0.3">
      <c r="B350" s="9"/>
      <c r="C350" s="9"/>
      <c r="D350" s="9"/>
      <c r="E350" s="9"/>
      <c r="F350" s="9"/>
      <c r="G350" s="9"/>
      <c r="H350" s="9"/>
      <c r="I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395"/>
      <c r="X350" s="261"/>
      <c r="Y350" s="261"/>
      <c r="Z350" s="9"/>
      <c r="AA350" s="9"/>
      <c r="AB350" s="9"/>
      <c r="AC350" s="9"/>
      <c r="AD350" s="111"/>
      <c r="AE350" s="9"/>
      <c r="AF350" s="550"/>
    </row>
    <row r="351" spans="2:32" x14ac:dyDescent="0.3">
      <c r="B351" s="9"/>
      <c r="C351" s="9"/>
      <c r="D351" s="9"/>
      <c r="E351" s="9"/>
      <c r="F351" s="9"/>
      <c r="G351" s="9"/>
      <c r="H351" s="9"/>
      <c r="I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395"/>
      <c r="X351" s="261"/>
      <c r="Y351" s="261"/>
      <c r="Z351" s="9"/>
      <c r="AA351" s="9"/>
      <c r="AB351" s="9"/>
      <c r="AC351" s="9"/>
      <c r="AD351" s="111"/>
      <c r="AE351" s="9"/>
      <c r="AF351" s="550"/>
    </row>
    <row r="352" spans="2:32" x14ac:dyDescent="0.3">
      <c r="B352" s="9"/>
      <c r="C352" s="9"/>
      <c r="D352" s="9"/>
      <c r="E352" s="9"/>
      <c r="F352" s="9"/>
      <c r="G352" s="9"/>
      <c r="H352" s="9"/>
      <c r="I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395"/>
      <c r="X352" s="261"/>
      <c r="Y352" s="261"/>
      <c r="Z352" s="9"/>
      <c r="AA352" s="9"/>
      <c r="AB352" s="9"/>
      <c r="AC352" s="9"/>
      <c r="AD352" s="111"/>
      <c r="AE352" s="9"/>
      <c r="AF352" s="550"/>
    </row>
    <row r="353" spans="2:32" x14ac:dyDescent="0.3">
      <c r="B353" s="9"/>
      <c r="C353" s="9"/>
      <c r="D353" s="9"/>
      <c r="E353" s="9"/>
      <c r="F353" s="9"/>
      <c r="G353" s="9"/>
      <c r="H353" s="9"/>
      <c r="I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395"/>
      <c r="X353" s="261"/>
      <c r="Y353" s="261"/>
      <c r="Z353" s="9"/>
      <c r="AA353" s="9"/>
      <c r="AB353" s="9"/>
      <c r="AC353" s="9"/>
      <c r="AD353" s="111"/>
      <c r="AE353" s="9"/>
      <c r="AF353" s="550"/>
    </row>
    <row r="354" spans="2:32" x14ac:dyDescent="0.3">
      <c r="B354" s="9"/>
      <c r="C354" s="9"/>
      <c r="D354" s="9"/>
      <c r="E354" s="9"/>
      <c r="F354" s="9"/>
      <c r="G354" s="9"/>
      <c r="H354" s="9"/>
      <c r="I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395"/>
      <c r="X354" s="261"/>
      <c r="Y354" s="261"/>
      <c r="Z354" s="9"/>
      <c r="AA354" s="9"/>
      <c r="AB354" s="9"/>
      <c r="AC354" s="9"/>
      <c r="AD354" s="111"/>
      <c r="AE354" s="9"/>
      <c r="AF354" s="550"/>
    </row>
    <row r="355" spans="2:32" x14ac:dyDescent="0.3">
      <c r="B355" s="9"/>
      <c r="C355" s="9"/>
      <c r="D355" s="9"/>
      <c r="E355" s="9"/>
      <c r="F355" s="9"/>
      <c r="G355" s="9"/>
      <c r="H355" s="9"/>
      <c r="I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395"/>
      <c r="X355" s="261"/>
      <c r="Y355" s="261"/>
      <c r="Z355" s="9"/>
      <c r="AA355" s="9"/>
      <c r="AB355" s="9"/>
      <c r="AC355" s="9"/>
      <c r="AD355" s="111"/>
      <c r="AE355" s="9"/>
      <c r="AF355" s="550"/>
    </row>
    <row r="356" spans="2:32" x14ac:dyDescent="0.3">
      <c r="B356" s="9"/>
      <c r="C356" s="9"/>
      <c r="D356" s="9"/>
      <c r="E356" s="9"/>
      <c r="F356" s="9"/>
      <c r="G356" s="9"/>
      <c r="H356" s="9"/>
      <c r="I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395"/>
      <c r="X356" s="261"/>
      <c r="Y356" s="261"/>
      <c r="Z356" s="9"/>
      <c r="AA356" s="9"/>
      <c r="AB356" s="9"/>
      <c r="AC356" s="9"/>
      <c r="AD356" s="111"/>
      <c r="AE356" s="9"/>
      <c r="AF356" s="550"/>
    </row>
    <row r="357" spans="2:32" x14ac:dyDescent="0.3">
      <c r="B357" s="9"/>
      <c r="C357" s="9"/>
      <c r="D357" s="9"/>
      <c r="E357" s="9"/>
      <c r="F357" s="9"/>
      <c r="G357" s="9"/>
      <c r="H357" s="9"/>
      <c r="I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395"/>
      <c r="X357" s="261"/>
      <c r="Y357" s="261"/>
      <c r="Z357" s="9"/>
      <c r="AA357" s="9"/>
      <c r="AB357" s="9"/>
      <c r="AC357" s="9"/>
      <c r="AD357" s="111"/>
      <c r="AE357" s="9"/>
      <c r="AF357" s="550"/>
    </row>
    <row r="358" spans="2:32" x14ac:dyDescent="0.3">
      <c r="B358" s="9"/>
      <c r="C358" s="9"/>
      <c r="D358" s="9"/>
      <c r="E358" s="9"/>
      <c r="F358" s="9"/>
      <c r="G358" s="9"/>
      <c r="H358" s="9"/>
      <c r="I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395"/>
      <c r="X358" s="261"/>
      <c r="Y358" s="261"/>
      <c r="Z358" s="9"/>
      <c r="AA358" s="9"/>
      <c r="AB358" s="9"/>
      <c r="AC358" s="9"/>
      <c r="AD358" s="111"/>
      <c r="AE358" s="9"/>
      <c r="AF358" s="550"/>
    </row>
    <row r="359" spans="2:32" x14ac:dyDescent="0.3">
      <c r="B359" s="9"/>
      <c r="C359" s="9"/>
      <c r="D359" s="9"/>
      <c r="E359" s="9"/>
      <c r="F359" s="9"/>
      <c r="G359" s="9"/>
      <c r="H359" s="9"/>
      <c r="I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395"/>
      <c r="X359" s="261"/>
      <c r="Y359" s="261"/>
      <c r="Z359" s="9"/>
      <c r="AA359" s="9"/>
      <c r="AB359" s="9"/>
      <c r="AC359" s="9"/>
      <c r="AD359" s="111"/>
      <c r="AE359" s="9"/>
      <c r="AF359" s="550"/>
    </row>
    <row r="360" spans="2:32" x14ac:dyDescent="0.3">
      <c r="B360" s="9"/>
      <c r="C360" s="9"/>
      <c r="D360" s="9"/>
      <c r="E360" s="9"/>
      <c r="F360" s="9"/>
      <c r="G360" s="9"/>
      <c r="H360" s="9"/>
      <c r="I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395"/>
      <c r="X360" s="261"/>
      <c r="Y360" s="261"/>
      <c r="Z360" s="9"/>
      <c r="AA360" s="9"/>
      <c r="AB360" s="9"/>
      <c r="AC360" s="9"/>
      <c r="AD360" s="111"/>
      <c r="AE360" s="9"/>
      <c r="AF360" s="550"/>
    </row>
    <row r="361" spans="2:32" x14ac:dyDescent="0.3">
      <c r="B361" s="9"/>
      <c r="C361" s="9"/>
      <c r="D361" s="9"/>
      <c r="E361" s="9"/>
      <c r="F361" s="9"/>
      <c r="G361" s="9"/>
      <c r="H361" s="9"/>
      <c r="I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395"/>
      <c r="X361" s="261"/>
      <c r="Y361" s="261"/>
      <c r="Z361" s="9"/>
      <c r="AA361" s="9"/>
      <c r="AB361" s="9"/>
      <c r="AC361" s="9"/>
      <c r="AD361" s="111"/>
      <c r="AE361" s="9"/>
      <c r="AF361" s="550"/>
    </row>
    <row r="362" spans="2:32" x14ac:dyDescent="0.3">
      <c r="B362" s="9"/>
      <c r="C362" s="9"/>
      <c r="D362" s="9"/>
      <c r="E362" s="9"/>
      <c r="F362" s="9"/>
      <c r="G362" s="9"/>
      <c r="H362" s="9"/>
      <c r="I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395"/>
      <c r="X362" s="261"/>
      <c r="Y362" s="261"/>
      <c r="Z362" s="9"/>
      <c r="AA362" s="9"/>
      <c r="AB362" s="9"/>
      <c r="AC362" s="9"/>
      <c r="AD362" s="111"/>
      <c r="AE362" s="9"/>
      <c r="AF362" s="550"/>
    </row>
    <row r="363" spans="2:32" x14ac:dyDescent="0.3">
      <c r="B363" s="9"/>
      <c r="C363" s="9"/>
      <c r="D363" s="9"/>
      <c r="E363" s="9"/>
      <c r="F363" s="9"/>
      <c r="G363" s="9"/>
      <c r="H363" s="9"/>
      <c r="I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395"/>
      <c r="X363" s="261"/>
      <c r="Y363" s="261"/>
      <c r="Z363" s="9"/>
      <c r="AA363" s="9"/>
      <c r="AB363" s="9"/>
      <c r="AC363" s="9"/>
      <c r="AD363" s="111"/>
      <c r="AE363" s="9"/>
      <c r="AF363" s="550"/>
    </row>
    <row r="364" spans="2:32" x14ac:dyDescent="0.3">
      <c r="B364" s="9"/>
      <c r="C364" s="9"/>
      <c r="D364" s="9"/>
      <c r="E364" s="9"/>
      <c r="F364" s="9"/>
      <c r="G364" s="9"/>
      <c r="H364" s="9"/>
      <c r="I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395"/>
      <c r="X364" s="261"/>
      <c r="Y364" s="261"/>
      <c r="Z364" s="9"/>
      <c r="AA364" s="9"/>
      <c r="AB364" s="9"/>
      <c r="AC364" s="9"/>
      <c r="AD364" s="111"/>
      <c r="AE364" s="9"/>
      <c r="AF364" s="550"/>
    </row>
    <row r="365" spans="2:32" x14ac:dyDescent="0.3">
      <c r="B365" s="9"/>
      <c r="C365" s="9"/>
      <c r="D365" s="9"/>
      <c r="E365" s="9"/>
      <c r="F365" s="9"/>
      <c r="G365" s="9"/>
      <c r="H365" s="9"/>
      <c r="I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395"/>
      <c r="X365" s="261"/>
      <c r="Y365" s="261"/>
      <c r="Z365" s="9"/>
      <c r="AA365" s="9"/>
      <c r="AB365" s="9"/>
      <c r="AC365" s="9"/>
      <c r="AD365" s="111"/>
      <c r="AE365" s="9"/>
      <c r="AF365" s="550"/>
    </row>
    <row r="366" spans="2:32" x14ac:dyDescent="0.3">
      <c r="B366" s="9"/>
      <c r="C366" s="9"/>
      <c r="D366" s="9"/>
      <c r="E366" s="9"/>
      <c r="F366" s="9"/>
      <c r="G366" s="9"/>
      <c r="H366" s="9"/>
      <c r="I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395"/>
      <c r="X366" s="261"/>
      <c r="Y366" s="261"/>
      <c r="Z366" s="9"/>
      <c r="AA366" s="9"/>
      <c r="AB366" s="9"/>
      <c r="AC366" s="9"/>
      <c r="AD366" s="111"/>
      <c r="AE366" s="9"/>
      <c r="AF366" s="550"/>
    </row>
    <row r="367" spans="2:32" x14ac:dyDescent="0.3">
      <c r="B367" s="9"/>
      <c r="C367" s="9"/>
      <c r="D367" s="9"/>
      <c r="E367" s="9"/>
      <c r="F367" s="9"/>
      <c r="G367" s="9"/>
      <c r="H367" s="9"/>
      <c r="I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395"/>
      <c r="X367" s="261"/>
      <c r="Y367" s="261"/>
      <c r="Z367" s="9"/>
      <c r="AA367" s="9"/>
      <c r="AB367" s="9"/>
      <c r="AC367" s="9"/>
      <c r="AD367" s="111"/>
      <c r="AE367" s="9"/>
      <c r="AF367" s="550"/>
    </row>
    <row r="368" spans="2:32" x14ac:dyDescent="0.3">
      <c r="B368" s="9"/>
      <c r="C368" s="9"/>
      <c r="D368" s="9"/>
      <c r="E368" s="9"/>
      <c r="F368" s="9"/>
      <c r="G368" s="9"/>
      <c r="H368" s="9"/>
      <c r="I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395"/>
      <c r="X368" s="261"/>
      <c r="Y368" s="261"/>
      <c r="Z368" s="9"/>
      <c r="AA368" s="9"/>
      <c r="AB368" s="9"/>
      <c r="AC368" s="9"/>
      <c r="AD368" s="111"/>
      <c r="AE368" s="9"/>
      <c r="AF368" s="550"/>
    </row>
    <row r="369" spans="2:32" x14ac:dyDescent="0.3">
      <c r="B369" s="9"/>
      <c r="C369" s="9"/>
      <c r="D369" s="9"/>
      <c r="E369" s="9"/>
      <c r="F369" s="9"/>
      <c r="G369" s="9"/>
      <c r="H369" s="9"/>
      <c r="I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395"/>
      <c r="X369" s="261"/>
      <c r="Y369" s="261"/>
      <c r="Z369" s="9"/>
      <c r="AA369" s="9"/>
      <c r="AB369" s="9"/>
      <c r="AC369" s="9"/>
      <c r="AD369" s="111"/>
      <c r="AE369" s="9"/>
      <c r="AF369" s="550"/>
    </row>
    <row r="370" spans="2:32" x14ac:dyDescent="0.3">
      <c r="B370" s="9"/>
      <c r="C370" s="9"/>
      <c r="D370" s="9"/>
      <c r="E370" s="9"/>
      <c r="F370" s="9"/>
      <c r="G370" s="9"/>
      <c r="H370" s="9"/>
      <c r="I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395"/>
      <c r="X370" s="261"/>
      <c r="Y370" s="261"/>
      <c r="Z370" s="9"/>
      <c r="AA370" s="9"/>
      <c r="AB370" s="9"/>
      <c r="AC370" s="9"/>
      <c r="AD370" s="111"/>
      <c r="AE370" s="9"/>
      <c r="AF370" s="550"/>
    </row>
    <row r="371" spans="2:32" x14ac:dyDescent="0.3">
      <c r="B371" s="9"/>
      <c r="C371" s="9"/>
      <c r="D371" s="9"/>
      <c r="E371" s="9"/>
      <c r="F371" s="9"/>
      <c r="G371" s="9"/>
      <c r="H371" s="9"/>
      <c r="I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395"/>
      <c r="X371" s="261"/>
      <c r="Y371" s="261"/>
      <c r="Z371" s="9"/>
      <c r="AA371" s="9"/>
      <c r="AB371" s="9"/>
      <c r="AC371" s="9"/>
      <c r="AD371" s="111"/>
      <c r="AE371" s="9"/>
      <c r="AF371" s="550"/>
    </row>
    <row r="372" spans="2:32" x14ac:dyDescent="0.3">
      <c r="B372" s="9"/>
      <c r="C372" s="9"/>
      <c r="D372" s="9"/>
      <c r="E372" s="9"/>
      <c r="F372" s="9"/>
      <c r="G372" s="9"/>
      <c r="H372" s="9"/>
      <c r="I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395"/>
      <c r="X372" s="261"/>
      <c r="Y372" s="261"/>
      <c r="Z372" s="9"/>
      <c r="AA372" s="9"/>
      <c r="AB372" s="9"/>
      <c r="AC372" s="9"/>
      <c r="AD372" s="111"/>
      <c r="AE372" s="9"/>
      <c r="AF372" s="550"/>
    </row>
    <row r="373" spans="2:32" x14ac:dyDescent="0.3">
      <c r="B373" s="9"/>
      <c r="C373" s="9"/>
      <c r="D373" s="9"/>
      <c r="E373" s="9"/>
      <c r="F373" s="9"/>
      <c r="G373" s="9"/>
      <c r="H373" s="9"/>
      <c r="I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395"/>
      <c r="X373" s="261"/>
      <c r="Y373" s="261"/>
      <c r="Z373" s="9"/>
      <c r="AA373" s="9"/>
      <c r="AB373" s="9"/>
      <c r="AC373" s="9"/>
      <c r="AD373" s="111"/>
      <c r="AE373" s="9"/>
      <c r="AF373" s="550"/>
    </row>
    <row r="374" spans="2:32" x14ac:dyDescent="0.3">
      <c r="B374" s="9"/>
      <c r="C374" s="9"/>
      <c r="D374" s="9"/>
      <c r="E374" s="9"/>
      <c r="F374" s="9"/>
      <c r="G374" s="9"/>
      <c r="H374" s="9"/>
      <c r="I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395"/>
      <c r="X374" s="261"/>
      <c r="Y374" s="261"/>
      <c r="Z374" s="9"/>
      <c r="AA374" s="9"/>
      <c r="AB374" s="9"/>
      <c r="AC374" s="9"/>
      <c r="AD374" s="111"/>
      <c r="AE374" s="9"/>
      <c r="AF374" s="550"/>
    </row>
    <row r="375" spans="2:32" x14ac:dyDescent="0.3">
      <c r="B375" s="9"/>
      <c r="C375" s="9"/>
      <c r="D375" s="9"/>
      <c r="E375" s="9"/>
      <c r="F375" s="9"/>
      <c r="G375" s="9"/>
      <c r="H375" s="9"/>
      <c r="I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395"/>
      <c r="X375" s="261"/>
      <c r="Y375" s="261"/>
      <c r="Z375" s="9"/>
      <c r="AA375" s="9"/>
      <c r="AB375" s="9"/>
      <c r="AC375" s="9"/>
      <c r="AD375" s="111"/>
      <c r="AE375" s="9"/>
      <c r="AF375" s="550"/>
    </row>
    <row r="376" spans="2:32" x14ac:dyDescent="0.3">
      <c r="B376" s="9"/>
      <c r="C376" s="9"/>
      <c r="D376" s="9"/>
      <c r="E376" s="9"/>
      <c r="F376" s="9"/>
      <c r="G376" s="9"/>
      <c r="H376" s="9"/>
      <c r="I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395"/>
      <c r="X376" s="261"/>
      <c r="Y376" s="261"/>
      <c r="Z376" s="9"/>
      <c r="AA376" s="9"/>
      <c r="AB376" s="9"/>
      <c r="AC376" s="9"/>
      <c r="AD376" s="111"/>
      <c r="AE376" s="9"/>
      <c r="AF376" s="550"/>
    </row>
    <row r="377" spans="2:32" x14ac:dyDescent="0.3">
      <c r="B377" s="9"/>
      <c r="C377" s="9"/>
      <c r="D377" s="9"/>
      <c r="E377" s="9"/>
      <c r="F377" s="9"/>
      <c r="G377" s="9"/>
      <c r="H377" s="9"/>
      <c r="I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395"/>
      <c r="X377" s="261"/>
      <c r="Y377" s="261"/>
      <c r="Z377" s="9"/>
      <c r="AA377" s="9"/>
      <c r="AB377" s="9"/>
      <c r="AC377" s="9"/>
      <c r="AD377" s="111"/>
      <c r="AE377" s="9"/>
      <c r="AF377" s="550"/>
    </row>
    <row r="378" spans="2:32" x14ac:dyDescent="0.3">
      <c r="B378" s="9"/>
      <c r="C378" s="9"/>
      <c r="D378" s="9"/>
      <c r="E378" s="9"/>
      <c r="F378" s="9"/>
      <c r="G378" s="9"/>
      <c r="H378" s="9"/>
      <c r="I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395"/>
      <c r="X378" s="261"/>
      <c r="Y378" s="261"/>
      <c r="Z378" s="9"/>
      <c r="AA378" s="9"/>
      <c r="AB378" s="9"/>
      <c r="AC378" s="9"/>
      <c r="AD378" s="111"/>
      <c r="AE378" s="9"/>
      <c r="AF378" s="550"/>
    </row>
    <row r="379" spans="2:32" x14ac:dyDescent="0.3">
      <c r="B379" s="9"/>
      <c r="C379" s="9"/>
      <c r="D379" s="9"/>
      <c r="E379" s="9"/>
      <c r="F379" s="9"/>
      <c r="G379" s="9"/>
      <c r="H379" s="9"/>
      <c r="I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395"/>
      <c r="X379" s="261"/>
      <c r="Y379" s="261"/>
      <c r="Z379" s="9"/>
      <c r="AA379" s="9"/>
      <c r="AB379" s="9"/>
      <c r="AC379" s="9"/>
      <c r="AD379" s="111"/>
      <c r="AE379" s="9"/>
      <c r="AF379" s="550"/>
    </row>
    <row r="380" spans="2:32" x14ac:dyDescent="0.3">
      <c r="B380" s="9"/>
      <c r="C380" s="9"/>
      <c r="D380" s="9"/>
      <c r="E380" s="9"/>
      <c r="F380" s="9"/>
      <c r="G380" s="9"/>
      <c r="H380" s="9"/>
      <c r="I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395"/>
      <c r="X380" s="261"/>
      <c r="Y380" s="261"/>
      <c r="Z380" s="9"/>
      <c r="AA380" s="9"/>
      <c r="AB380" s="9"/>
      <c r="AC380" s="9"/>
      <c r="AD380" s="111"/>
      <c r="AE380" s="9"/>
      <c r="AF380" s="550"/>
    </row>
    <row r="381" spans="2:32" x14ac:dyDescent="0.3">
      <c r="B381" s="9"/>
      <c r="C381" s="9"/>
      <c r="D381" s="9"/>
      <c r="E381" s="9"/>
      <c r="F381" s="9"/>
      <c r="G381" s="9"/>
      <c r="H381" s="9"/>
      <c r="I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395"/>
      <c r="X381" s="261"/>
      <c r="Y381" s="261"/>
      <c r="Z381" s="9"/>
      <c r="AA381" s="9"/>
      <c r="AB381" s="9"/>
      <c r="AC381" s="9"/>
      <c r="AD381" s="111"/>
      <c r="AE381" s="9"/>
      <c r="AF381" s="550"/>
    </row>
    <row r="382" spans="2:32" x14ac:dyDescent="0.3">
      <c r="B382" s="9"/>
      <c r="C382" s="9"/>
      <c r="D382" s="9"/>
      <c r="E382" s="9"/>
      <c r="F382" s="9"/>
      <c r="G382" s="9"/>
      <c r="H382" s="9"/>
      <c r="I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395"/>
      <c r="X382" s="261"/>
      <c r="Y382" s="261"/>
      <c r="Z382" s="9"/>
      <c r="AA382" s="9"/>
      <c r="AB382" s="9"/>
      <c r="AC382" s="9"/>
      <c r="AD382" s="111"/>
      <c r="AE382" s="9"/>
      <c r="AF382" s="550"/>
    </row>
    <row r="383" spans="2:32" x14ac:dyDescent="0.3">
      <c r="B383" s="9"/>
      <c r="C383" s="9"/>
      <c r="D383" s="9"/>
      <c r="E383" s="9"/>
      <c r="F383" s="9"/>
      <c r="G383" s="9"/>
      <c r="H383" s="9"/>
      <c r="I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395"/>
      <c r="X383" s="261"/>
      <c r="Y383" s="261"/>
      <c r="Z383" s="9"/>
      <c r="AA383" s="9"/>
      <c r="AB383" s="9"/>
      <c r="AC383" s="9"/>
      <c r="AD383" s="111"/>
      <c r="AE383" s="9"/>
      <c r="AF383" s="550"/>
    </row>
    <row r="384" spans="2:32" x14ac:dyDescent="0.3">
      <c r="B384" s="9"/>
      <c r="C384" s="9"/>
      <c r="D384" s="9"/>
      <c r="E384" s="9"/>
      <c r="F384" s="9"/>
      <c r="G384" s="9"/>
      <c r="H384" s="9"/>
      <c r="I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395"/>
      <c r="X384" s="261"/>
      <c r="Y384" s="261"/>
      <c r="Z384" s="9"/>
      <c r="AA384" s="9"/>
      <c r="AB384" s="9"/>
      <c r="AC384" s="9"/>
      <c r="AD384" s="111"/>
      <c r="AE384" s="9"/>
      <c r="AF384" s="550"/>
    </row>
    <row r="385" spans="2:32" x14ac:dyDescent="0.3">
      <c r="B385" s="9"/>
      <c r="C385" s="9"/>
      <c r="D385" s="9"/>
      <c r="E385" s="9"/>
      <c r="F385" s="9"/>
      <c r="G385" s="9"/>
      <c r="H385" s="9"/>
      <c r="I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395"/>
      <c r="X385" s="261"/>
      <c r="Y385" s="261"/>
      <c r="Z385" s="9"/>
      <c r="AA385" s="9"/>
      <c r="AB385" s="9"/>
      <c r="AC385" s="9"/>
      <c r="AD385" s="111"/>
      <c r="AE385" s="9"/>
      <c r="AF385" s="550"/>
    </row>
    <row r="386" spans="2:32" x14ac:dyDescent="0.3">
      <c r="B386" s="9"/>
      <c r="C386" s="9"/>
      <c r="D386" s="9"/>
      <c r="E386" s="9"/>
      <c r="F386" s="9"/>
      <c r="G386" s="9"/>
      <c r="H386" s="9"/>
      <c r="I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395"/>
      <c r="X386" s="261"/>
      <c r="Y386" s="261"/>
      <c r="Z386" s="9"/>
      <c r="AA386" s="9"/>
      <c r="AB386" s="9"/>
      <c r="AC386" s="9"/>
      <c r="AD386" s="111"/>
      <c r="AE386" s="9"/>
      <c r="AF386" s="550"/>
    </row>
    <row r="387" spans="2:32" x14ac:dyDescent="0.3">
      <c r="B387" s="9"/>
      <c r="C387" s="9"/>
      <c r="D387" s="9"/>
      <c r="E387" s="9"/>
      <c r="F387" s="9"/>
      <c r="G387" s="9"/>
      <c r="H387" s="9"/>
      <c r="I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395"/>
      <c r="X387" s="261"/>
      <c r="Y387" s="261"/>
      <c r="Z387" s="9"/>
      <c r="AA387" s="9"/>
      <c r="AB387" s="9"/>
      <c r="AC387" s="9"/>
      <c r="AD387" s="111"/>
      <c r="AE387" s="9"/>
      <c r="AF387" s="550"/>
    </row>
    <row r="388" spans="2:32" x14ac:dyDescent="0.3">
      <c r="B388" s="9"/>
      <c r="C388" s="9"/>
      <c r="D388" s="9"/>
      <c r="E388" s="9"/>
      <c r="F388" s="9"/>
      <c r="G388" s="9"/>
      <c r="H388" s="9"/>
      <c r="I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395"/>
      <c r="X388" s="261"/>
      <c r="Y388" s="261"/>
      <c r="Z388" s="9"/>
      <c r="AA388" s="9"/>
      <c r="AB388" s="9"/>
      <c r="AC388" s="9"/>
      <c r="AD388" s="111"/>
      <c r="AE388" s="9"/>
      <c r="AF388" s="550"/>
    </row>
    <row r="389" spans="2:32" x14ac:dyDescent="0.3">
      <c r="B389" s="9"/>
      <c r="C389" s="9"/>
      <c r="D389" s="9"/>
      <c r="E389" s="9"/>
      <c r="F389" s="9"/>
      <c r="G389" s="9"/>
      <c r="H389" s="9"/>
      <c r="I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395"/>
      <c r="X389" s="261"/>
      <c r="Y389" s="261"/>
      <c r="Z389" s="9"/>
      <c r="AA389" s="9"/>
      <c r="AB389" s="9"/>
      <c r="AC389" s="9"/>
      <c r="AD389" s="111"/>
      <c r="AE389" s="9"/>
      <c r="AF389" s="550"/>
    </row>
    <row r="390" spans="2:32" x14ac:dyDescent="0.3">
      <c r="B390" s="9"/>
      <c r="C390" s="9"/>
      <c r="D390" s="9"/>
      <c r="E390" s="9"/>
      <c r="F390" s="9"/>
      <c r="G390" s="9"/>
      <c r="H390" s="9"/>
      <c r="I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395"/>
      <c r="X390" s="261"/>
      <c r="Y390" s="261"/>
      <c r="Z390" s="9"/>
      <c r="AA390" s="9"/>
      <c r="AB390" s="9"/>
      <c r="AC390" s="9"/>
      <c r="AD390" s="111"/>
      <c r="AE390" s="9"/>
      <c r="AF390" s="550"/>
    </row>
    <row r="391" spans="2:32" x14ac:dyDescent="0.3">
      <c r="B391" s="9"/>
      <c r="C391" s="9"/>
      <c r="D391" s="9"/>
      <c r="E391" s="9"/>
      <c r="F391" s="9"/>
      <c r="G391" s="9"/>
      <c r="H391" s="9"/>
      <c r="I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395"/>
      <c r="X391" s="261"/>
      <c r="Y391" s="261"/>
      <c r="Z391" s="9"/>
      <c r="AA391" s="9"/>
      <c r="AB391" s="9"/>
      <c r="AC391" s="9"/>
      <c r="AD391" s="111"/>
      <c r="AE391" s="9"/>
      <c r="AF391" s="550"/>
    </row>
    <row r="392" spans="2:32" x14ac:dyDescent="0.3">
      <c r="B392" s="9"/>
      <c r="C392" s="9"/>
      <c r="D392" s="9"/>
      <c r="E392" s="9"/>
      <c r="F392" s="9"/>
      <c r="G392" s="9"/>
      <c r="H392" s="9"/>
      <c r="I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395"/>
      <c r="X392" s="261"/>
      <c r="Y392" s="261"/>
      <c r="Z392" s="9"/>
      <c r="AA392" s="9"/>
      <c r="AB392" s="9"/>
      <c r="AC392" s="9"/>
      <c r="AD392" s="111"/>
      <c r="AE392" s="9"/>
      <c r="AF392" s="550"/>
    </row>
    <row r="393" spans="2:32" x14ac:dyDescent="0.3">
      <c r="B393" s="9"/>
      <c r="C393" s="9"/>
      <c r="D393" s="9"/>
      <c r="E393" s="9"/>
      <c r="F393" s="9"/>
      <c r="G393" s="9"/>
      <c r="H393" s="9"/>
      <c r="I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395"/>
      <c r="X393" s="261"/>
      <c r="Y393" s="261"/>
      <c r="Z393" s="9"/>
      <c r="AA393" s="9"/>
      <c r="AB393" s="9"/>
      <c r="AC393" s="9"/>
      <c r="AD393" s="111"/>
      <c r="AE393" s="9"/>
      <c r="AF393" s="550"/>
    </row>
    <row r="394" spans="2:32" x14ac:dyDescent="0.3">
      <c r="B394" s="9"/>
      <c r="C394" s="9"/>
      <c r="D394" s="9"/>
      <c r="E394" s="9"/>
      <c r="F394" s="9"/>
      <c r="G394" s="9"/>
      <c r="H394" s="9"/>
      <c r="I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395"/>
      <c r="X394" s="261"/>
      <c r="Y394" s="261"/>
      <c r="Z394" s="9"/>
      <c r="AA394" s="9"/>
      <c r="AB394" s="9"/>
      <c r="AC394" s="9"/>
      <c r="AD394" s="111"/>
      <c r="AE394" s="9"/>
      <c r="AF394" s="550"/>
    </row>
    <row r="395" spans="2:32" x14ac:dyDescent="0.3">
      <c r="B395" s="9"/>
      <c r="C395" s="9"/>
      <c r="D395" s="9"/>
      <c r="E395" s="9"/>
      <c r="F395" s="9"/>
      <c r="G395" s="9"/>
      <c r="H395" s="9"/>
      <c r="I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395"/>
      <c r="X395" s="261"/>
      <c r="Y395" s="261"/>
      <c r="Z395" s="9"/>
      <c r="AA395" s="9"/>
      <c r="AB395" s="9"/>
      <c r="AC395" s="9"/>
      <c r="AD395" s="111"/>
      <c r="AE395" s="9"/>
      <c r="AF395" s="550"/>
    </row>
    <row r="396" spans="2:32" x14ac:dyDescent="0.3">
      <c r="B396" s="9"/>
      <c r="C396" s="9"/>
      <c r="D396" s="9"/>
      <c r="E396" s="9"/>
      <c r="F396" s="9"/>
      <c r="G396" s="9"/>
      <c r="H396" s="9"/>
      <c r="I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395"/>
      <c r="X396" s="261"/>
      <c r="Y396" s="261"/>
      <c r="Z396" s="9"/>
      <c r="AA396" s="9"/>
      <c r="AB396" s="9"/>
      <c r="AC396" s="9"/>
      <c r="AD396" s="111"/>
      <c r="AE396" s="9"/>
      <c r="AF396" s="550"/>
    </row>
    <row r="397" spans="2:32" x14ac:dyDescent="0.3">
      <c r="B397" s="9"/>
      <c r="C397" s="9"/>
      <c r="D397" s="9"/>
      <c r="E397" s="9"/>
      <c r="F397" s="9"/>
      <c r="G397" s="9"/>
      <c r="H397" s="9"/>
      <c r="I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395"/>
      <c r="X397" s="261"/>
      <c r="Y397" s="261"/>
      <c r="Z397" s="9"/>
      <c r="AA397" s="9"/>
      <c r="AB397" s="9"/>
      <c r="AC397" s="9"/>
      <c r="AD397" s="111"/>
      <c r="AE397" s="9"/>
      <c r="AF397" s="550"/>
    </row>
    <row r="398" spans="2:32" x14ac:dyDescent="0.3">
      <c r="B398" s="9"/>
      <c r="C398" s="9"/>
      <c r="D398" s="9"/>
      <c r="E398" s="9"/>
      <c r="F398" s="9"/>
      <c r="G398" s="9"/>
      <c r="H398" s="9"/>
      <c r="I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395"/>
      <c r="X398" s="261"/>
      <c r="Y398" s="261"/>
      <c r="Z398" s="9"/>
      <c r="AA398" s="9"/>
      <c r="AB398" s="9"/>
      <c r="AC398" s="9"/>
      <c r="AD398" s="111"/>
      <c r="AE398" s="9"/>
      <c r="AF398" s="550"/>
    </row>
    <row r="399" spans="2:32" x14ac:dyDescent="0.3">
      <c r="B399" s="9"/>
      <c r="C399" s="9"/>
      <c r="D399" s="9"/>
      <c r="E399" s="9"/>
      <c r="F399" s="9"/>
      <c r="G399" s="9"/>
      <c r="H399" s="9"/>
      <c r="I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395"/>
      <c r="X399" s="261"/>
      <c r="Y399" s="261"/>
      <c r="Z399" s="9"/>
      <c r="AA399" s="9"/>
      <c r="AB399" s="9"/>
      <c r="AC399" s="9"/>
      <c r="AD399" s="111"/>
      <c r="AE399" s="9"/>
      <c r="AF399" s="550"/>
    </row>
    <row r="400" spans="2:32" x14ac:dyDescent="0.3">
      <c r="B400" s="9"/>
      <c r="C400" s="9"/>
      <c r="D400" s="9"/>
      <c r="E400" s="9"/>
      <c r="F400" s="9"/>
      <c r="G400" s="9"/>
      <c r="H400" s="9"/>
      <c r="I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395"/>
      <c r="X400" s="261"/>
      <c r="Y400" s="261"/>
      <c r="Z400" s="9"/>
      <c r="AA400" s="9"/>
      <c r="AB400" s="9"/>
      <c r="AC400" s="9"/>
      <c r="AD400" s="111"/>
      <c r="AE400" s="9"/>
      <c r="AF400" s="550"/>
    </row>
    <row r="401" spans="2:32" x14ac:dyDescent="0.3">
      <c r="B401" s="9"/>
      <c r="C401" s="9"/>
      <c r="D401" s="9"/>
      <c r="E401" s="9"/>
      <c r="F401" s="9"/>
      <c r="G401" s="9"/>
      <c r="H401" s="9"/>
      <c r="I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395"/>
      <c r="X401" s="261"/>
      <c r="Y401" s="261"/>
      <c r="Z401" s="9"/>
      <c r="AA401" s="9"/>
      <c r="AB401" s="9"/>
      <c r="AC401" s="9"/>
      <c r="AD401" s="111"/>
      <c r="AE401" s="9"/>
      <c r="AF401" s="550"/>
    </row>
    <row r="402" spans="2:32" x14ac:dyDescent="0.3">
      <c r="B402" s="9"/>
      <c r="C402" s="9"/>
      <c r="D402" s="9"/>
      <c r="E402" s="9"/>
      <c r="F402" s="9"/>
      <c r="G402" s="9"/>
      <c r="H402" s="9"/>
      <c r="I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395"/>
      <c r="X402" s="261"/>
      <c r="Y402" s="261"/>
      <c r="Z402" s="9"/>
      <c r="AA402" s="9"/>
      <c r="AB402" s="9"/>
      <c r="AC402" s="9"/>
      <c r="AD402" s="111"/>
      <c r="AE402" s="9"/>
      <c r="AF402" s="550"/>
    </row>
    <row r="403" spans="2:32" x14ac:dyDescent="0.3">
      <c r="B403" s="9"/>
      <c r="C403" s="9"/>
      <c r="D403" s="9"/>
      <c r="E403" s="9"/>
      <c r="F403" s="9"/>
      <c r="G403" s="9"/>
      <c r="H403" s="9"/>
      <c r="I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395"/>
      <c r="X403" s="261"/>
      <c r="Y403" s="261"/>
      <c r="Z403" s="9"/>
      <c r="AA403" s="9"/>
      <c r="AB403" s="9"/>
      <c r="AC403" s="9"/>
      <c r="AD403" s="111"/>
      <c r="AE403" s="9"/>
      <c r="AF403" s="550"/>
    </row>
    <row r="404" spans="2:32" x14ac:dyDescent="0.3">
      <c r="B404" s="9"/>
      <c r="C404" s="9"/>
      <c r="D404" s="9"/>
      <c r="E404" s="9"/>
      <c r="F404" s="9"/>
      <c r="G404" s="9"/>
      <c r="H404" s="9"/>
      <c r="I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395"/>
      <c r="X404" s="261"/>
      <c r="Y404" s="261"/>
      <c r="Z404" s="9"/>
      <c r="AA404" s="9"/>
      <c r="AB404" s="9"/>
      <c r="AC404" s="9"/>
      <c r="AD404" s="111"/>
      <c r="AE404" s="9"/>
      <c r="AF404" s="550"/>
    </row>
    <row r="405" spans="2:32" x14ac:dyDescent="0.3">
      <c r="B405" s="9"/>
      <c r="C405" s="9"/>
      <c r="D405" s="9"/>
      <c r="E405" s="9"/>
      <c r="F405" s="9"/>
      <c r="G405" s="9"/>
      <c r="H405" s="9"/>
      <c r="I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395"/>
      <c r="X405" s="261"/>
      <c r="Y405" s="261"/>
      <c r="Z405" s="9"/>
      <c r="AA405" s="9"/>
      <c r="AB405" s="9"/>
      <c r="AC405" s="9"/>
      <c r="AD405" s="111"/>
      <c r="AE405" s="9"/>
      <c r="AF405" s="550"/>
    </row>
    <row r="406" spans="2:32" x14ac:dyDescent="0.3">
      <c r="B406" s="9"/>
      <c r="C406" s="9"/>
      <c r="D406" s="9"/>
      <c r="E406" s="9"/>
      <c r="F406" s="9"/>
      <c r="G406" s="9"/>
      <c r="H406" s="9"/>
      <c r="I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395"/>
      <c r="X406" s="261"/>
      <c r="Y406" s="261"/>
      <c r="Z406" s="9"/>
      <c r="AA406" s="9"/>
      <c r="AB406" s="9"/>
      <c r="AC406" s="9"/>
      <c r="AD406" s="111"/>
      <c r="AE406" s="9"/>
      <c r="AF406" s="550"/>
    </row>
    <row r="407" spans="2:32" x14ac:dyDescent="0.3">
      <c r="B407" s="9"/>
      <c r="C407" s="9"/>
      <c r="D407" s="9"/>
      <c r="E407" s="9"/>
      <c r="F407" s="9"/>
      <c r="G407" s="9"/>
      <c r="H407" s="9"/>
      <c r="I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395"/>
      <c r="X407" s="261"/>
      <c r="Y407" s="261"/>
      <c r="Z407" s="9"/>
      <c r="AA407" s="9"/>
      <c r="AB407" s="9"/>
      <c r="AC407" s="9"/>
      <c r="AD407" s="111"/>
      <c r="AE407" s="9"/>
      <c r="AF407" s="550"/>
    </row>
    <row r="408" spans="2:32" x14ac:dyDescent="0.3">
      <c r="B408" s="9"/>
      <c r="C408" s="9"/>
      <c r="D408" s="9"/>
      <c r="E408" s="9"/>
      <c r="F408" s="9"/>
      <c r="G408" s="9"/>
      <c r="H408" s="9"/>
      <c r="I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395"/>
      <c r="X408" s="261"/>
      <c r="Y408" s="261"/>
      <c r="Z408" s="9"/>
      <c r="AA408" s="9"/>
      <c r="AB408" s="9"/>
      <c r="AC408" s="9"/>
      <c r="AD408" s="111"/>
      <c r="AE408" s="9"/>
      <c r="AF408" s="550"/>
    </row>
    <row r="409" spans="2:32" x14ac:dyDescent="0.3">
      <c r="B409" s="9"/>
      <c r="C409" s="9"/>
      <c r="D409" s="9"/>
      <c r="E409" s="9"/>
      <c r="F409" s="9"/>
      <c r="G409" s="9"/>
      <c r="H409" s="9"/>
      <c r="I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395"/>
      <c r="X409" s="261"/>
      <c r="Y409" s="261"/>
      <c r="Z409" s="9"/>
      <c r="AA409" s="9"/>
      <c r="AB409" s="9"/>
      <c r="AC409" s="9"/>
      <c r="AD409" s="111"/>
      <c r="AE409" s="9"/>
      <c r="AF409" s="550"/>
    </row>
    <row r="410" spans="2:32" x14ac:dyDescent="0.3">
      <c r="B410" s="9"/>
      <c r="C410" s="9"/>
      <c r="D410" s="9"/>
      <c r="E410" s="9"/>
      <c r="F410" s="9"/>
      <c r="G410" s="9"/>
      <c r="H410" s="9"/>
      <c r="I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395"/>
      <c r="X410" s="261"/>
      <c r="Y410" s="261"/>
      <c r="Z410" s="9"/>
      <c r="AA410" s="9"/>
      <c r="AB410" s="9"/>
      <c r="AC410" s="9"/>
      <c r="AD410" s="111"/>
      <c r="AE410" s="9"/>
      <c r="AF410" s="550"/>
    </row>
    <row r="411" spans="2:32" x14ac:dyDescent="0.3">
      <c r="B411" s="9"/>
      <c r="C411" s="9"/>
      <c r="D411" s="9"/>
      <c r="E411" s="9"/>
      <c r="F411" s="9"/>
      <c r="G411" s="9"/>
      <c r="H411" s="9"/>
      <c r="I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395"/>
      <c r="X411" s="261"/>
      <c r="Y411" s="261"/>
      <c r="Z411" s="9"/>
      <c r="AA411" s="9"/>
      <c r="AB411" s="9"/>
      <c r="AC411" s="9"/>
      <c r="AD411" s="111"/>
      <c r="AE411" s="9"/>
      <c r="AF411" s="550"/>
    </row>
    <row r="412" spans="2:32" x14ac:dyDescent="0.3">
      <c r="B412" s="9"/>
      <c r="C412" s="9"/>
      <c r="D412" s="9"/>
      <c r="E412" s="9"/>
      <c r="F412" s="9"/>
      <c r="G412" s="9"/>
      <c r="H412" s="9"/>
      <c r="I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395"/>
      <c r="X412" s="261"/>
      <c r="Y412" s="261"/>
      <c r="Z412" s="9"/>
      <c r="AA412" s="9"/>
      <c r="AB412" s="9"/>
      <c r="AC412" s="9"/>
      <c r="AD412" s="111"/>
      <c r="AE412" s="9"/>
      <c r="AF412" s="550"/>
    </row>
    <row r="413" spans="2:32" x14ac:dyDescent="0.3">
      <c r="B413" s="9"/>
      <c r="C413" s="9"/>
      <c r="D413" s="9"/>
      <c r="E413" s="9"/>
      <c r="F413" s="9"/>
      <c r="G413" s="9"/>
      <c r="H413" s="9"/>
      <c r="I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395"/>
      <c r="X413" s="261"/>
      <c r="Y413" s="261"/>
      <c r="Z413" s="9"/>
      <c r="AA413" s="9"/>
      <c r="AB413" s="9"/>
      <c r="AC413" s="9"/>
      <c r="AD413" s="111"/>
      <c r="AE413" s="9"/>
      <c r="AF413" s="550"/>
    </row>
    <row r="414" spans="2:32" x14ac:dyDescent="0.3">
      <c r="B414" s="9"/>
      <c r="C414" s="9"/>
      <c r="D414" s="9"/>
      <c r="E414" s="9"/>
      <c r="F414" s="9"/>
      <c r="G414" s="9"/>
      <c r="H414" s="9"/>
      <c r="I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395"/>
      <c r="X414" s="261"/>
      <c r="Y414" s="261"/>
      <c r="Z414" s="9"/>
      <c r="AA414" s="9"/>
      <c r="AB414" s="9"/>
      <c r="AC414" s="9"/>
      <c r="AD414" s="111"/>
      <c r="AE414" s="9"/>
      <c r="AF414" s="550"/>
    </row>
    <row r="415" spans="2:32" x14ac:dyDescent="0.3">
      <c r="B415" s="9"/>
      <c r="C415" s="9"/>
      <c r="D415" s="9"/>
      <c r="E415" s="9"/>
      <c r="F415" s="9"/>
      <c r="G415" s="9"/>
      <c r="H415" s="9"/>
      <c r="I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395"/>
      <c r="X415" s="261"/>
      <c r="Y415" s="261"/>
      <c r="Z415" s="9"/>
      <c r="AA415" s="9"/>
      <c r="AB415" s="9"/>
      <c r="AC415" s="9"/>
      <c r="AD415" s="111"/>
      <c r="AE415" s="9"/>
      <c r="AF415" s="550"/>
    </row>
    <row r="416" spans="2:32" x14ac:dyDescent="0.3">
      <c r="B416" s="9"/>
      <c r="C416" s="9"/>
      <c r="D416" s="9"/>
      <c r="E416" s="9"/>
      <c r="F416" s="9"/>
      <c r="G416" s="9"/>
      <c r="H416" s="9"/>
      <c r="I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395"/>
      <c r="X416" s="261"/>
      <c r="Y416" s="261"/>
      <c r="Z416" s="9"/>
      <c r="AA416" s="9"/>
      <c r="AB416" s="9"/>
      <c r="AC416" s="9"/>
      <c r="AD416" s="111"/>
      <c r="AE416" s="9"/>
      <c r="AF416" s="550"/>
    </row>
    <row r="417" spans="2:32" x14ac:dyDescent="0.3">
      <c r="B417" s="9"/>
      <c r="C417" s="9"/>
      <c r="D417" s="9"/>
      <c r="E417" s="9"/>
      <c r="F417" s="9"/>
      <c r="G417" s="9"/>
      <c r="H417" s="9"/>
      <c r="I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395"/>
      <c r="X417" s="261"/>
      <c r="Y417" s="261"/>
      <c r="Z417" s="9"/>
      <c r="AA417" s="9"/>
      <c r="AB417" s="9"/>
      <c r="AC417" s="9"/>
      <c r="AD417" s="111"/>
      <c r="AE417" s="9"/>
      <c r="AF417" s="550"/>
    </row>
    <row r="418" spans="2:32" x14ac:dyDescent="0.3">
      <c r="B418" s="9"/>
      <c r="C418" s="9"/>
      <c r="D418" s="9"/>
      <c r="E418" s="9"/>
      <c r="F418" s="9"/>
      <c r="G418" s="9"/>
      <c r="H418" s="9"/>
      <c r="I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395"/>
      <c r="X418" s="261"/>
      <c r="Y418" s="261"/>
      <c r="Z418" s="9"/>
      <c r="AA418" s="9"/>
      <c r="AB418" s="9"/>
      <c r="AC418" s="9"/>
      <c r="AD418" s="111"/>
      <c r="AE418" s="9"/>
      <c r="AF418" s="550"/>
    </row>
    <row r="419" spans="2:32" x14ac:dyDescent="0.3">
      <c r="B419" s="9"/>
      <c r="C419" s="9"/>
      <c r="D419" s="9"/>
      <c r="E419" s="9"/>
      <c r="F419" s="9"/>
      <c r="G419" s="9"/>
      <c r="H419" s="9"/>
      <c r="I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395"/>
      <c r="X419" s="261"/>
      <c r="Y419" s="261"/>
      <c r="Z419" s="9"/>
      <c r="AA419" s="9"/>
      <c r="AB419" s="9"/>
      <c r="AC419" s="9"/>
      <c r="AD419" s="111"/>
      <c r="AE419" s="9"/>
      <c r="AF419" s="550"/>
    </row>
    <row r="420" spans="2:32" x14ac:dyDescent="0.3">
      <c r="B420" s="9"/>
      <c r="C420" s="9"/>
      <c r="D420" s="9"/>
      <c r="E420" s="9"/>
      <c r="F420" s="9"/>
      <c r="G420" s="9"/>
      <c r="H420" s="9"/>
      <c r="I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395"/>
      <c r="X420" s="261"/>
      <c r="Y420" s="261"/>
      <c r="Z420" s="9"/>
      <c r="AA420" s="9"/>
      <c r="AB420" s="9"/>
      <c r="AC420" s="9"/>
      <c r="AD420" s="111"/>
      <c r="AE420" s="9"/>
      <c r="AF420" s="550"/>
    </row>
    <row r="421" spans="2:32" x14ac:dyDescent="0.3">
      <c r="B421" s="9"/>
      <c r="C421" s="9"/>
      <c r="D421" s="9"/>
      <c r="E421" s="9"/>
      <c r="F421" s="9"/>
      <c r="G421" s="9"/>
      <c r="H421" s="9"/>
      <c r="I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395"/>
      <c r="X421" s="261"/>
      <c r="Y421" s="261"/>
      <c r="Z421" s="9"/>
      <c r="AA421" s="9"/>
      <c r="AB421" s="9"/>
      <c r="AC421" s="9"/>
      <c r="AD421" s="111"/>
      <c r="AE421" s="9"/>
      <c r="AF421" s="550"/>
    </row>
    <row r="422" spans="2:32" x14ac:dyDescent="0.3">
      <c r="B422" s="9"/>
      <c r="C422" s="9"/>
      <c r="D422" s="9"/>
      <c r="E422" s="9"/>
      <c r="F422" s="9"/>
      <c r="G422" s="9"/>
      <c r="H422" s="9"/>
      <c r="I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395"/>
      <c r="X422" s="261"/>
      <c r="Y422" s="261"/>
      <c r="Z422" s="9"/>
      <c r="AA422" s="9"/>
      <c r="AB422" s="9"/>
      <c r="AC422" s="9"/>
      <c r="AD422" s="111"/>
      <c r="AE422" s="9"/>
      <c r="AF422" s="550"/>
    </row>
    <row r="423" spans="2:32" x14ac:dyDescent="0.3">
      <c r="B423" s="9"/>
      <c r="C423" s="9"/>
      <c r="D423" s="9"/>
      <c r="E423" s="9"/>
      <c r="F423" s="9"/>
      <c r="G423" s="9"/>
      <c r="H423" s="9"/>
      <c r="I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395"/>
      <c r="X423" s="261"/>
      <c r="Y423" s="261"/>
      <c r="Z423" s="9"/>
      <c r="AA423" s="9"/>
      <c r="AB423" s="9"/>
      <c r="AC423" s="9"/>
      <c r="AD423" s="111"/>
      <c r="AE423" s="9"/>
      <c r="AF423" s="550"/>
    </row>
    <row r="424" spans="2:32" x14ac:dyDescent="0.3">
      <c r="B424" s="9"/>
      <c r="C424" s="9"/>
      <c r="D424" s="9"/>
      <c r="E424" s="9"/>
      <c r="F424" s="9"/>
      <c r="G424" s="9"/>
      <c r="H424" s="9"/>
      <c r="I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395"/>
      <c r="X424" s="261"/>
      <c r="Y424" s="261"/>
      <c r="Z424" s="9"/>
      <c r="AA424" s="9"/>
      <c r="AB424" s="9"/>
      <c r="AC424" s="9"/>
      <c r="AD424" s="111"/>
      <c r="AE424" s="9"/>
      <c r="AF424" s="550"/>
    </row>
    <row r="425" spans="2:32" x14ac:dyDescent="0.3">
      <c r="B425" s="9"/>
      <c r="C425" s="9"/>
      <c r="D425" s="9"/>
      <c r="E425" s="9"/>
      <c r="F425" s="9"/>
      <c r="G425" s="9"/>
      <c r="H425" s="9"/>
      <c r="I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395"/>
      <c r="X425" s="261"/>
      <c r="Y425" s="261"/>
      <c r="Z425" s="9"/>
      <c r="AA425" s="9"/>
      <c r="AB425" s="9"/>
      <c r="AC425" s="9"/>
      <c r="AD425" s="111"/>
      <c r="AE425" s="9"/>
      <c r="AF425" s="550"/>
    </row>
    <row r="426" spans="2:32" x14ac:dyDescent="0.3">
      <c r="B426" s="9"/>
      <c r="C426" s="9"/>
      <c r="D426" s="9"/>
      <c r="E426" s="9"/>
      <c r="F426" s="9"/>
      <c r="G426" s="9"/>
      <c r="H426" s="9"/>
      <c r="I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395"/>
      <c r="X426" s="261"/>
      <c r="Y426" s="261"/>
      <c r="Z426" s="9"/>
      <c r="AA426" s="9"/>
      <c r="AB426" s="9"/>
      <c r="AC426" s="9"/>
      <c r="AD426" s="111"/>
      <c r="AE426" s="9"/>
      <c r="AF426" s="550"/>
    </row>
    <row r="427" spans="2:32" x14ac:dyDescent="0.3">
      <c r="B427" s="9"/>
      <c r="C427" s="9"/>
      <c r="D427" s="9"/>
      <c r="E427" s="9"/>
      <c r="F427" s="9"/>
      <c r="G427" s="9"/>
      <c r="H427" s="9"/>
      <c r="I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395"/>
      <c r="X427" s="261"/>
      <c r="Y427" s="261"/>
      <c r="Z427" s="9"/>
      <c r="AA427" s="9"/>
      <c r="AB427" s="9"/>
      <c r="AC427" s="9"/>
      <c r="AD427" s="111"/>
      <c r="AE427" s="9"/>
      <c r="AF427" s="550"/>
    </row>
    <row r="428" spans="2:32" x14ac:dyDescent="0.3">
      <c r="B428" s="9"/>
      <c r="C428" s="9"/>
      <c r="D428" s="9"/>
      <c r="E428" s="9"/>
      <c r="F428" s="9"/>
      <c r="G428" s="9"/>
      <c r="H428" s="9"/>
      <c r="I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395"/>
      <c r="X428" s="261"/>
      <c r="Y428" s="261"/>
      <c r="Z428" s="9"/>
      <c r="AA428" s="9"/>
      <c r="AB428" s="9"/>
      <c r="AC428" s="9"/>
      <c r="AD428" s="111"/>
      <c r="AE428" s="9"/>
      <c r="AF428" s="550"/>
    </row>
    <row r="429" spans="2:32" x14ac:dyDescent="0.3">
      <c r="B429" s="9"/>
      <c r="C429" s="9"/>
      <c r="D429" s="9"/>
      <c r="E429" s="9"/>
      <c r="F429" s="9"/>
      <c r="G429" s="9"/>
      <c r="H429" s="9"/>
      <c r="I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395"/>
      <c r="X429" s="261"/>
      <c r="Y429" s="261"/>
      <c r="Z429" s="9"/>
      <c r="AA429" s="9"/>
      <c r="AB429" s="9"/>
      <c r="AC429" s="9"/>
      <c r="AD429" s="111"/>
      <c r="AE429" s="9"/>
      <c r="AF429" s="550"/>
    </row>
    <row r="430" spans="2:32" x14ac:dyDescent="0.3">
      <c r="B430" s="9"/>
      <c r="C430" s="9"/>
      <c r="D430" s="9"/>
      <c r="E430" s="9"/>
      <c r="F430" s="9"/>
      <c r="G430" s="9"/>
      <c r="H430" s="9"/>
      <c r="I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395"/>
      <c r="X430" s="261"/>
      <c r="Y430" s="261"/>
      <c r="Z430" s="9"/>
      <c r="AA430" s="9"/>
      <c r="AB430" s="9"/>
      <c r="AC430" s="9"/>
      <c r="AD430" s="111"/>
      <c r="AE430" s="9"/>
      <c r="AF430" s="550"/>
    </row>
    <row r="431" spans="2:32" x14ac:dyDescent="0.3">
      <c r="B431" s="9"/>
      <c r="C431" s="9"/>
      <c r="D431" s="9"/>
      <c r="E431" s="9"/>
      <c r="F431" s="9"/>
      <c r="G431" s="9"/>
      <c r="H431" s="9"/>
      <c r="I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395"/>
      <c r="X431" s="261"/>
      <c r="Y431" s="261"/>
      <c r="Z431" s="9"/>
      <c r="AA431" s="9"/>
      <c r="AB431" s="9"/>
      <c r="AC431" s="9"/>
      <c r="AD431" s="111"/>
      <c r="AE431" s="9"/>
      <c r="AF431" s="550"/>
    </row>
    <row r="432" spans="2:32" x14ac:dyDescent="0.3">
      <c r="B432" s="9"/>
      <c r="C432" s="9"/>
      <c r="D432" s="9"/>
      <c r="E432" s="9"/>
      <c r="F432" s="9"/>
      <c r="G432" s="9"/>
      <c r="H432" s="9"/>
      <c r="I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395"/>
      <c r="X432" s="261"/>
      <c r="Y432" s="261"/>
      <c r="Z432" s="9"/>
      <c r="AA432" s="9"/>
      <c r="AB432" s="9"/>
      <c r="AC432" s="9"/>
      <c r="AD432" s="111"/>
      <c r="AE432" s="9"/>
      <c r="AF432" s="550"/>
    </row>
    <row r="433" spans="2:32" x14ac:dyDescent="0.3">
      <c r="B433" s="9"/>
      <c r="C433" s="9"/>
      <c r="D433" s="9"/>
      <c r="E433" s="9"/>
      <c r="F433" s="9"/>
      <c r="G433" s="9"/>
      <c r="H433" s="9"/>
      <c r="I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395"/>
      <c r="X433" s="261"/>
      <c r="Y433" s="261"/>
      <c r="Z433" s="9"/>
      <c r="AA433" s="9"/>
      <c r="AB433" s="9"/>
      <c r="AC433" s="9"/>
      <c r="AD433" s="111"/>
      <c r="AE433" s="9"/>
      <c r="AF433" s="550"/>
    </row>
    <row r="434" spans="2:32" x14ac:dyDescent="0.3">
      <c r="B434" s="9"/>
      <c r="C434" s="9"/>
      <c r="D434" s="9"/>
      <c r="E434" s="9"/>
      <c r="F434" s="9"/>
      <c r="G434" s="9"/>
      <c r="H434" s="9"/>
      <c r="I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395"/>
      <c r="X434" s="261"/>
      <c r="Y434" s="261"/>
      <c r="Z434" s="9"/>
      <c r="AA434" s="9"/>
      <c r="AB434" s="9"/>
      <c r="AC434" s="9"/>
      <c r="AD434" s="111"/>
      <c r="AE434" s="9"/>
      <c r="AF434" s="550"/>
    </row>
    <row r="435" spans="2:32" x14ac:dyDescent="0.3">
      <c r="B435" s="9"/>
      <c r="C435" s="9"/>
      <c r="D435" s="9"/>
      <c r="E435" s="9"/>
      <c r="F435" s="9"/>
      <c r="G435" s="9"/>
      <c r="H435" s="9"/>
      <c r="I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395"/>
      <c r="X435" s="261"/>
      <c r="Y435" s="261"/>
      <c r="Z435" s="9"/>
      <c r="AA435" s="9"/>
      <c r="AB435" s="9"/>
      <c r="AC435" s="9"/>
      <c r="AD435" s="111"/>
      <c r="AE435" s="9"/>
      <c r="AF435" s="550"/>
    </row>
    <row r="436" spans="2:32" x14ac:dyDescent="0.3">
      <c r="B436" s="9"/>
      <c r="C436" s="9"/>
      <c r="D436" s="9"/>
      <c r="E436" s="9"/>
      <c r="F436" s="9"/>
      <c r="G436" s="9"/>
      <c r="H436" s="9"/>
      <c r="I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395"/>
      <c r="X436" s="261"/>
      <c r="Y436" s="261"/>
      <c r="Z436" s="9"/>
      <c r="AA436" s="9"/>
      <c r="AB436" s="9"/>
      <c r="AC436" s="9"/>
      <c r="AD436" s="111"/>
      <c r="AE436" s="9"/>
      <c r="AF436" s="550"/>
    </row>
    <row r="437" spans="2:32" x14ac:dyDescent="0.3">
      <c r="B437" s="9"/>
      <c r="C437" s="9"/>
      <c r="D437" s="9"/>
      <c r="E437" s="9"/>
      <c r="F437" s="9"/>
      <c r="G437" s="9"/>
      <c r="H437" s="9"/>
      <c r="I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395"/>
      <c r="X437" s="261"/>
      <c r="Y437" s="261"/>
      <c r="Z437" s="9"/>
      <c r="AA437" s="9"/>
      <c r="AB437" s="9"/>
      <c r="AC437" s="9"/>
      <c r="AD437" s="111"/>
      <c r="AE437" s="9"/>
      <c r="AF437" s="550"/>
    </row>
    <row r="438" spans="2:32" x14ac:dyDescent="0.3">
      <c r="B438" s="9"/>
      <c r="C438" s="9"/>
      <c r="D438" s="9"/>
      <c r="E438" s="9"/>
      <c r="F438" s="9"/>
      <c r="G438" s="9"/>
      <c r="H438" s="9"/>
      <c r="I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395"/>
      <c r="X438" s="261"/>
      <c r="Y438" s="261"/>
      <c r="Z438" s="9"/>
      <c r="AA438" s="9"/>
      <c r="AB438" s="9"/>
      <c r="AC438" s="9"/>
      <c r="AD438" s="111"/>
      <c r="AE438" s="9"/>
      <c r="AF438" s="550"/>
    </row>
    <row r="439" spans="2:32" x14ac:dyDescent="0.3">
      <c r="B439" s="9"/>
      <c r="C439" s="9"/>
      <c r="D439" s="9"/>
      <c r="E439" s="9"/>
      <c r="F439" s="9"/>
      <c r="G439" s="9"/>
      <c r="H439" s="9"/>
      <c r="I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395"/>
      <c r="X439" s="261"/>
      <c r="Y439" s="261"/>
      <c r="Z439" s="9"/>
      <c r="AA439" s="9"/>
      <c r="AB439" s="9"/>
      <c r="AC439" s="9"/>
      <c r="AD439" s="111"/>
      <c r="AE439" s="9"/>
      <c r="AF439" s="550"/>
    </row>
    <row r="440" spans="2:32" x14ac:dyDescent="0.3">
      <c r="B440" s="9"/>
      <c r="C440" s="9"/>
      <c r="D440" s="9"/>
      <c r="E440" s="9"/>
      <c r="F440" s="9"/>
      <c r="G440" s="9"/>
      <c r="H440" s="9"/>
      <c r="I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395"/>
      <c r="X440" s="261"/>
      <c r="Y440" s="261"/>
      <c r="Z440" s="9"/>
      <c r="AA440" s="9"/>
      <c r="AB440" s="9"/>
      <c r="AC440" s="9"/>
      <c r="AD440" s="111"/>
      <c r="AE440" s="9"/>
      <c r="AF440" s="550"/>
    </row>
    <row r="441" spans="2:32" x14ac:dyDescent="0.3">
      <c r="B441" s="9"/>
      <c r="C441" s="9"/>
      <c r="D441" s="9"/>
      <c r="E441" s="9"/>
      <c r="F441" s="9"/>
      <c r="G441" s="9"/>
      <c r="H441" s="9"/>
      <c r="I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395"/>
      <c r="X441" s="261"/>
      <c r="Y441" s="261"/>
      <c r="Z441" s="9"/>
      <c r="AA441" s="9"/>
      <c r="AB441" s="9"/>
      <c r="AC441" s="9"/>
      <c r="AD441" s="111"/>
      <c r="AE441" s="9"/>
      <c r="AF441" s="550"/>
    </row>
    <row r="442" spans="2:32" x14ac:dyDescent="0.3">
      <c r="B442" s="9"/>
      <c r="C442" s="9"/>
      <c r="D442" s="9"/>
      <c r="E442" s="9"/>
      <c r="F442" s="9"/>
      <c r="G442" s="9"/>
      <c r="H442" s="9"/>
      <c r="I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395"/>
      <c r="X442" s="261"/>
      <c r="Y442" s="261"/>
      <c r="Z442" s="9"/>
      <c r="AA442" s="9"/>
      <c r="AB442" s="9"/>
      <c r="AC442" s="9"/>
      <c r="AD442" s="111"/>
      <c r="AE442" s="9"/>
      <c r="AF442" s="550"/>
    </row>
    <row r="443" spans="2:32" x14ac:dyDescent="0.3">
      <c r="B443" s="9"/>
      <c r="C443" s="9"/>
      <c r="D443" s="9"/>
      <c r="E443" s="9"/>
      <c r="F443" s="9"/>
      <c r="G443" s="9"/>
      <c r="H443" s="9"/>
      <c r="I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395"/>
      <c r="X443" s="261"/>
      <c r="Y443" s="261"/>
      <c r="Z443" s="9"/>
      <c r="AA443" s="9"/>
      <c r="AB443" s="9"/>
      <c r="AC443" s="9"/>
      <c r="AD443" s="111"/>
      <c r="AE443" s="9"/>
      <c r="AF443" s="550"/>
    </row>
    <row r="444" spans="2:32" x14ac:dyDescent="0.3">
      <c r="B444" s="9"/>
      <c r="C444" s="9"/>
      <c r="D444" s="9"/>
      <c r="E444" s="9"/>
      <c r="F444" s="9"/>
      <c r="G444" s="9"/>
      <c r="H444" s="9"/>
      <c r="I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395"/>
      <c r="X444" s="261"/>
      <c r="Y444" s="261"/>
      <c r="Z444" s="9"/>
      <c r="AA444" s="9"/>
      <c r="AB444" s="9"/>
      <c r="AC444" s="9"/>
      <c r="AD444" s="111"/>
      <c r="AE444" s="9"/>
      <c r="AF444" s="550"/>
    </row>
    <row r="445" spans="2:32" x14ac:dyDescent="0.3">
      <c r="B445" s="9"/>
      <c r="C445" s="9"/>
      <c r="D445" s="9"/>
      <c r="E445" s="9"/>
      <c r="F445" s="9"/>
      <c r="G445" s="9"/>
      <c r="H445" s="9"/>
      <c r="I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395"/>
      <c r="X445" s="261"/>
      <c r="Y445" s="261"/>
      <c r="Z445" s="9"/>
      <c r="AA445" s="9"/>
      <c r="AB445" s="9"/>
      <c r="AC445" s="9"/>
      <c r="AD445" s="111"/>
      <c r="AE445" s="9"/>
      <c r="AF445" s="550"/>
    </row>
    <row r="446" spans="2:32" x14ac:dyDescent="0.3">
      <c r="B446" s="9"/>
      <c r="C446" s="9"/>
      <c r="D446" s="9"/>
      <c r="E446" s="9"/>
      <c r="F446" s="9"/>
      <c r="G446" s="9"/>
      <c r="H446" s="9"/>
      <c r="I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395"/>
      <c r="X446" s="261"/>
      <c r="Y446" s="261"/>
      <c r="Z446" s="9"/>
      <c r="AA446" s="9"/>
      <c r="AB446" s="9"/>
      <c r="AC446" s="9"/>
      <c r="AD446" s="111"/>
      <c r="AE446" s="9"/>
      <c r="AF446" s="550"/>
    </row>
    <row r="447" spans="2:32" x14ac:dyDescent="0.3">
      <c r="B447" s="9"/>
      <c r="C447" s="9"/>
      <c r="D447" s="9"/>
      <c r="E447" s="9"/>
      <c r="F447" s="9"/>
      <c r="G447" s="9"/>
      <c r="H447" s="9"/>
      <c r="I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395"/>
      <c r="X447" s="261"/>
      <c r="Y447" s="261"/>
      <c r="Z447" s="9"/>
      <c r="AA447" s="9"/>
      <c r="AB447" s="9"/>
      <c r="AC447" s="9"/>
      <c r="AD447" s="111"/>
      <c r="AE447" s="9"/>
      <c r="AF447" s="550"/>
    </row>
    <row r="448" spans="2:32" x14ac:dyDescent="0.3">
      <c r="B448" s="9"/>
      <c r="C448" s="9"/>
      <c r="D448" s="9"/>
      <c r="E448" s="9"/>
      <c r="F448" s="9"/>
      <c r="G448" s="9"/>
      <c r="H448" s="9"/>
      <c r="I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395"/>
      <c r="X448" s="261"/>
      <c r="Y448" s="261"/>
      <c r="Z448" s="9"/>
      <c r="AA448" s="9"/>
      <c r="AB448" s="9"/>
      <c r="AC448" s="9"/>
      <c r="AD448" s="111"/>
      <c r="AE448" s="9"/>
      <c r="AF448" s="550"/>
    </row>
    <row r="449" spans="2:32" x14ac:dyDescent="0.3">
      <c r="B449" s="9"/>
      <c r="C449" s="9"/>
      <c r="D449" s="9"/>
      <c r="E449" s="9"/>
      <c r="F449" s="9"/>
      <c r="G449" s="9"/>
      <c r="H449" s="9"/>
      <c r="I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395"/>
      <c r="X449" s="261"/>
      <c r="Y449" s="261"/>
      <c r="Z449" s="9"/>
      <c r="AA449" s="9"/>
      <c r="AB449" s="9"/>
      <c r="AC449" s="9"/>
      <c r="AD449" s="111"/>
      <c r="AE449" s="9"/>
      <c r="AF449" s="550"/>
    </row>
    <row r="450" spans="2:32" x14ac:dyDescent="0.3">
      <c r="B450" s="9"/>
      <c r="C450" s="9"/>
      <c r="D450" s="9"/>
      <c r="E450" s="9"/>
      <c r="F450" s="9"/>
      <c r="G450" s="9"/>
      <c r="H450" s="9"/>
      <c r="I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395"/>
      <c r="X450" s="261"/>
      <c r="Y450" s="261"/>
      <c r="Z450" s="9"/>
      <c r="AA450" s="9"/>
      <c r="AB450" s="9"/>
      <c r="AC450" s="9"/>
      <c r="AD450" s="111"/>
      <c r="AE450" s="9"/>
      <c r="AF450" s="550"/>
    </row>
    <row r="451" spans="2:32" x14ac:dyDescent="0.3">
      <c r="B451" s="9"/>
      <c r="C451" s="9"/>
      <c r="D451" s="9"/>
      <c r="E451" s="9"/>
      <c r="F451" s="9"/>
      <c r="G451" s="9"/>
      <c r="H451" s="9"/>
      <c r="I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395"/>
      <c r="X451" s="261"/>
      <c r="Y451" s="261"/>
      <c r="Z451" s="9"/>
      <c r="AA451" s="9"/>
      <c r="AB451" s="9"/>
      <c r="AC451" s="9"/>
      <c r="AD451" s="111"/>
      <c r="AE451" s="9"/>
      <c r="AF451" s="550"/>
    </row>
    <row r="452" spans="2:32" x14ac:dyDescent="0.3">
      <c r="B452" s="9"/>
      <c r="C452" s="9"/>
      <c r="D452" s="9"/>
      <c r="E452" s="9"/>
      <c r="F452" s="9"/>
      <c r="G452" s="9"/>
      <c r="H452" s="9"/>
      <c r="I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395"/>
      <c r="X452" s="261"/>
      <c r="Y452" s="261"/>
      <c r="Z452" s="9"/>
      <c r="AA452" s="9"/>
      <c r="AB452" s="9"/>
      <c r="AC452" s="9"/>
      <c r="AD452" s="111"/>
      <c r="AE452" s="9"/>
      <c r="AF452" s="550"/>
    </row>
    <row r="453" spans="2:32" x14ac:dyDescent="0.3">
      <c r="B453" s="9"/>
      <c r="C453" s="9"/>
      <c r="D453" s="9"/>
      <c r="E453" s="9"/>
      <c r="F453" s="9"/>
      <c r="G453" s="9"/>
      <c r="H453" s="9"/>
      <c r="I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395"/>
      <c r="X453" s="261"/>
      <c r="Y453" s="261"/>
      <c r="Z453" s="9"/>
      <c r="AA453" s="9"/>
      <c r="AB453" s="9"/>
      <c r="AC453" s="9"/>
      <c r="AD453" s="111"/>
      <c r="AE453" s="9"/>
      <c r="AF453" s="550"/>
    </row>
    <row r="454" spans="2:32" x14ac:dyDescent="0.3">
      <c r="B454" s="9"/>
      <c r="C454" s="9"/>
      <c r="D454" s="9"/>
      <c r="E454" s="9"/>
      <c r="F454" s="9"/>
      <c r="G454" s="9"/>
      <c r="H454" s="9"/>
      <c r="I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395"/>
      <c r="X454" s="261"/>
      <c r="Y454" s="261"/>
      <c r="Z454" s="9"/>
      <c r="AA454" s="9"/>
      <c r="AB454" s="9"/>
      <c r="AC454" s="9"/>
      <c r="AD454" s="111"/>
      <c r="AE454" s="9"/>
      <c r="AF454" s="550"/>
    </row>
    <row r="455" spans="2:32" x14ac:dyDescent="0.3">
      <c r="B455" s="9"/>
      <c r="C455" s="9"/>
      <c r="D455" s="9"/>
      <c r="E455" s="9"/>
      <c r="F455" s="9"/>
      <c r="G455" s="9"/>
      <c r="H455" s="9"/>
      <c r="I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395"/>
      <c r="X455" s="261"/>
      <c r="Y455" s="261"/>
      <c r="Z455" s="9"/>
      <c r="AA455" s="9"/>
      <c r="AB455" s="9"/>
      <c r="AC455" s="9"/>
      <c r="AD455" s="111"/>
      <c r="AE455" s="9"/>
      <c r="AF455" s="550"/>
    </row>
    <row r="456" spans="2:32" x14ac:dyDescent="0.3">
      <c r="B456" s="9"/>
      <c r="C456" s="9"/>
      <c r="D456" s="9"/>
      <c r="E456" s="9"/>
      <c r="F456" s="9"/>
      <c r="G456" s="9"/>
      <c r="H456" s="9"/>
      <c r="I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395"/>
      <c r="X456" s="261"/>
      <c r="Y456" s="261"/>
      <c r="Z456" s="9"/>
      <c r="AA456" s="9"/>
      <c r="AB456" s="9"/>
      <c r="AC456" s="9"/>
      <c r="AD456" s="111"/>
      <c r="AE456" s="9"/>
      <c r="AF456" s="550"/>
    </row>
    <row r="457" spans="2:32" x14ac:dyDescent="0.3">
      <c r="B457" s="9"/>
      <c r="C457" s="9"/>
      <c r="D457" s="9"/>
      <c r="E457" s="9"/>
      <c r="F457" s="9"/>
      <c r="G457" s="9"/>
      <c r="H457" s="9"/>
      <c r="I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395"/>
      <c r="X457" s="261"/>
      <c r="Y457" s="261"/>
      <c r="Z457" s="9"/>
      <c r="AA457" s="9"/>
      <c r="AB457" s="9"/>
      <c r="AC457" s="9"/>
      <c r="AD457" s="111"/>
      <c r="AE457" s="9"/>
      <c r="AF457" s="550"/>
    </row>
    <row r="458" spans="2:32" x14ac:dyDescent="0.3">
      <c r="B458" s="9"/>
      <c r="C458" s="9"/>
      <c r="D458" s="9"/>
      <c r="E458" s="9"/>
      <c r="F458" s="9"/>
      <c r="G458" s="9"/>
      <c r="H458" s="9"/>
      <c r="I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395"/>
      <c r="X458" s="261"/>
      <c r="Y458" s="261"/>
      <c r="Z458" s="9"/>
      <c r="AA458" s="9"/>
      <c r="AB458" s="9"/>
      <c r="AC458" s="9"/>
      <c r="AD458" s="111"/>
      <c r="AE458" s="9"/>
      <c r="AF458" s="550"/>
    </row>
    <row r="459" spans="2:32" x14ac:dyDescent="0.3">
      <c r="B459" s="9"/>
      <c r="C459" s="9"/>
      <c r="D459" s="9"/>
      <c r="E459" s="9"/>
      <c r="F459" s="9"/>
      <c r="G459" s="9"/>
      <c r="H459" s="9"/>
      <c r="I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395"/>
      <c r="X459" s="261"/>
      <c r="Y459" s="261"/>
      <c r="Z459" s="9"/>
      <c r="AA459" s="9"/>
      <c r="AB459" s="9"/>
      <c r="AC459" s="9"/>
      <c r="AD459" s="111"/>
      <c r="AE459" s="9"/>
      <c r="AF459" s="550"/>
    </row>
    <row r="460" spans="2:32" x14ac:dyDescent="0.3">
      <c r="B460" s="9"/>
      <c r="C460" s="9"/>
      <c r="D460" s="9"/>
      <c r="E460" s="9"/>
      <c r="F460" s="9"/>
      <c r="G460" s="9"/>
      <c r="H460" s="9"/>
      <c r="I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395"/>
      <c r="X460" s="261"/>
      <c r="Y460" s="261"/>
      <c r="Z460" s="9"/>
      <c r="AA460" s="9"/>
      <c r="AB460" s="9"/>
      <c r="AC460" s="9"/>
      <c r="AD460" s="111"/>
      <c r="AE460" s="9"/>
      <c r="AF460" s="550"/>
    </row>
    <row r="461" spans="2:32" x14ac:dyDescent="0.3">
      <c r="B461" s="9"/>
      <c r="C461" s="9"/>
      <c r="D461" s="9"/>
      <c r="E461" s="9"/>
      <c r="F461" s="9"/>
      <c r="G461" s="9"/>
      <c r="H461" s="9"/>
      <c r="I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395"/>
      <c r="X461" s="261"/>
      <c r="Y461" s="261"/>
      <c r="Z461" s="9"/>
      <c r="AA461" s="9"/>
      <c r="AB461" s="9"/>
      <c r="AC461" s="9"/>
      <c r="AD461" s="111"/>
      <c r="AE461" s="9"/>
      <c r="AF461" s="550"/>
    </row>
    <row r="462" spans="2:32" x14ac:dyDescent="0.3">
      <c r="B462" s="9"/>
      <c r="C462" s="9"/>
      <c r="D462" s="9"/>
      <c r="E462" s="9"/>
      <c r="F462" s="9"/>
      <c r="G462" s="9"/>
      <c r="H462" s="9"/>
      <c r="I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395"/>
      <c r="X462" s="261"/>
      <c r="Y462" s="261"/>
      <c r="Z462" s="9"/>
      <c r="AA462" s="9"/>
      <c r="AB462" s="9"/>
      <c r="AC462" s="9"/>
      <c r="AD462" s="111"/>
      <c r="AE462" s="9"/>
      <c r="AF462" s="550"/>
    </row>
    <row r="463" spans="2:32" x14ac:dyDescent="0.3">
      <c r="B463" s="9"/>
      <c r="C463" s="9"/>
      <c r="D463" s="9"/>
      <c r="E463" s="9"/>
      <c r="F463" s="9"/>
      <c r="G463" s="9"/>
      <c r="H463" s="9"/>
      <c r="I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395"/>
      <c r="X463" s="261"/>
      <c r="Y463" s="261"/>
      <c r="Z463" s="9"/>
      <c r="AA463" s="9"/>
      <c r="AB463" s="9"/>
      <c r="AC463" s="9"/>
      <c r="AD463" s="111"/>
      <c r="AE463" s="9"/>
      <c r="AF463" s="550"/>
    </row>
    <row r="464" spans="2:32" x14ac:dyDescent="0.3">
      <c r="B464" s="9"/>
      <c r="C464" s="9"/>
      <c r="D464" s="9"/>
      <c r="E464" s="9"/>
      <c r="F464" s="9"/>
      <c r="G464" s="9"/>
      <c r="H464" s="9"/>
      <c r="I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395"/>
      <c r="X464" s="261"/>
      <c r="Y464" s="261"/>
      <c r="Z464" s="9"/>
      <c r="AA464" s="9"/>
      <c r="AB464" s="9"/>
      <c r="AC464" s="9"/>
      <c r="AD464" s="111"/>
      <c r="AE464" s="9"/>
      <c r="AF464" s="550"/>
    </row>
    <row r="465" spans="2:32" x14ac:dyDescent="0.3">
      <c r="B465" s="9"/>
      <c r="C465" s="9"/>
      <c r="D465" s="9"/>
      <c r="E465" s="9"/>
      <c r="F465" s="9"/>
      <c r="G465" s="9"/>
      <c r="H465" s="9"/>
      <c r="I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395"/>
      <c r="X465" s="261"/>
      <c r="Y465" s="261"/>
      <c r="Z465" s="9"/>
      <c r="AA465" s="9"/>
      <c r="AB465" s="9"/>
      <c r="AC465" s="9"/>
      <c r="AD465" s="111"/>
      <c r="AE465" s="9"/>
      <c r="AF465" s="550"/>
    </row>
    <row r="466" spans="2:32" x14ac:dyDescent="0.3">
      <c r="B466" s="9"/>
      <c r="C466" s="9"/>
      <c r="D466" s="9"/>
      <c r="E466" s="9"/>
      <c r="F466" s="9"/>
      <c r="G466" s="9"/>
      <c r="H466" s="9"/>
      <c r="I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395"/>
      <c r="X466" s="261"/>
      <c r="Y466" s="261"/>
      <c r="Z466" s="9"/>
      <c r="AA466" s="9"/>
      <c r="AB466" s="9"/>
      <c r="AC466" s="9"/>
      <c r="AD466" s="111"/>
      <c r="AE466" s="9"/>
      <c r="AF466" s="550"/>
    </row>
    <row r="467" spans="2:32" x14ac:dyDescent="0.3">
      <c r="B467" s="9"/>
      <c r="C467" s="9"/>
      <c r="D467" s="9"/>
      <c r="E467" s="9"/>
      <c r="F467" s="9"/>
      <c r="G467" s="9"/>
      <c r="H467" s="9"/>
      <c r="I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395"/>
      <c r="X467" s="261"/>
      <c r="Y467" s="261"/>
      <c r="Z467" s="9"/>
      <c r="AA467" s="9"/>
      <c r="AB467" s="9"/>
      <c r="AC467" s="9"/>
      <c r="AD467" s="111"/>
      <c r="AE467" s="9"/>
      <c r="AF467" s="550"/>
    </row>
    <row r="468" spans="2:32" x14ac:dyDescent="0.3">
      <c r="B468" s="9"/>
      <c r="C468" s="9"/>
      <c r="D468" s="9"/>
      <c r="E468" s="9"/>
      <c r="F468" s="9"/>
      <c r="G468" s="9"/>
      <c r="H468" s="9"/>
      <c r="I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395"/>
      <c r="X468" s="261"/>
      <c r="Y468" s="261"/>
      <c r="Z468" s="9"/>
      <c r="AA468" s="9"/>
      <c r="AB468" s="9"/>
      <c r="AC468" s="9"/>
      <c r="AD468" s="111"/>
      <c r="AE468" s="9"/>
      <c r="AF468" s="550"/>
    </row>
    <row r="469" spans="2:32" x14ac:dyDescent="0.3">
      <c r="B469" s="9"/>
      <c r="C469" s="9"/>
      <c r="D469" s="9"/>
      <c r="E469" s="9"/>
      <c r="F469" s="9"/>
      <c r="G469" s="9"/>
      <c r="H469" s="9"/>
      <c r="I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395"/>
      <c r="X469" s="261"/>
      <c r="Y469" s="261"/>
      <c r="Z469" s="9"/>
      <c r="AA469" s="9"/>
      <c r="AB469" s="9"/>
      <c r="AC469" s="9"/>
      <c r="AD469" s="111"/>
      <c r="AE469" s="9"/>
      <c r="AF469" s="550"/>
    </row>
    <row r="470" spans="2:32" x14ac:dyDescent="0.3">
      <c r="B470" s="9"/>
      <c r="C470" s="9"/>
      <c r="D470" s="9"/>
      <c r="E470" s="9"/>
      <c r="F470" s="9"/>
      <c r="G470" s="9"/>
      <c r="H470" s="9"/>
      <c r="I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395"/>
      <c r="X470" s="261"/>
      <c r="Y470" s="261"/>
      <c r="Z470" s="9"/>
      <c r="AA470" s="9"/>
      <c r="AB470" s="9"/>
      <c r="AC470" s="9"/>
      <c r="AD470" s="111"/>
      <c r="AE470" s="9"/>
      <c r="AF470" s="550"/>
    </row>
    <row r="471" spans="2:32" x14ac:dyDescent="0.3">
      <c r="B471" s="9"/>
      <c r="C471" s="9"/>
      <c r="D471" s="9"/>
      <c r="E471" s="9"/>
      <c r="F471" s="9"/>
      <c r="G471" s="9"/>
      <c r="H471" s="9"/>
      <c r="I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395"/>
      <c r="X471" s="261"/>
      <c r="Y471" s="261"/>
      <c r="Z471" s="9"/>
      <c r="AA471" s="9"/>
      <c r="AB471" s="9"/>
      <c r="AC471" s="9"/>
      <c r="AD471" s="111"/>
      <c r="AE471" s="9"/>
      <c r="AF471" s="550"/>
    </row>
    <row r="472" spans="2:32" x14ac:dyDescent="0.3">
      <c r="B472" s="9"/>
      <c r="C472" s="9"/>
      <c r="D472" s="9"/>
      <c r="E472" s="9"/>
      <c r="F472" s="9"/>
      <c r="G472" s="9"/>
      <c r="H472" s="9"/>
      <c r="I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395"/>
      <c r="X472" s="261"/>
      <c r="Y472" s="261"/>
      <c r="Z472" s="9"/>
      <c r="AA472" s="9"/>
      <c r="AB472" s="9"/>
      <c r="AC472" s="9"/>
      <c r="AD472" s="111"/>
      <c r="AE472" s="9"/>
      <c r="AF472" s="550"/>
    </row>
    <row r="473" spans="2:32" x14ac:dyDescent="0.3">
      <c r="B473" s="9"/>
      <c r="C473" s="9"/>
      <c r="D473" s="9"/>
      <c r="E473" s="9"/>
      <c r="F473" s="9"/>
      <c r="G473" s="9"/>
      <c r="H473" s="9"/>
      <c r="I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395"/>
      <c r="X473" s="261"/>
      <c r="Y473" s="261"/>
      <c r="Z473" s="9"/>
      <c r="AA473" s="9"/>
      <c r="AB473" s="9"/>
      <c r="AC473" s="9"/>
      <c r="AD473" s="111"/>
      <c r="AE473" s="9"/>
      <c r="AF473" s="550"/>
    </row>
    <row r="474" spans="2:32" x14ac:dyDescent="0.3">
      <c r="B474" s="9"/>
      <c r="C474" s="9"/>
      <c r="D474" s="9"/>
      <c r="E474" s="9"/>
      <c r="F474" s="9"/>
      <c r="G474" s="9"/>
      <c r="H474" s="9"/>
      <c r="I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395"/>
      <c r="X474" s="261"/>
      <c r="Y474" s="261"/>
      <c r="Z474" s="9"/>
      <c r="AA474" s="9"/>
      <c r="AB474" s="9"/>
      <c r="AC474" s="9"/>
      <c r="AD474" s="111"/>
      <c r="AE474" s="9"/>
      <c r="AF474" s="550"/>
    </row>
    <row r="475" spans="2:32" x14ac:dyDescent="0.3">
      <c r="B475" s="9"/>
      <c r="C475" s="9"/>
      <c r="D475" s="9"/>
      <c r="E475" s="9"/>
      <c r="F475" s="9"/>
      <c r="G475" s="9"/>
      <c r="H475" s="9"/>
      <c r="I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395"/>
      <c r="X475" s="261"/>
      <c r="Y475" s="261"/>
      <c r="Z475" s="9"/>
      <c r="AA475" s="9"/>
      <c r="AB475" s="9"/>
      <c r="AC475" s="9"/>
      <c r="AD475" s="111"/>
      <c r="AE475" s="9"/>
      <c r="AF475" s="550"/>
    </row>
    <row r="476" spans="2:32" x14ac:dyDescent="0.3">
      <c r="B476" s="9"/>
      <c r="C476" s="9"/>
      <c r="D476" s="9"/>
      <c r="E476" s="9"/>
      <c r="F476" s="9"/>
      <c r="G476" s="9"/>
      <c r="H476" s="9"/>
      <c r="I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395"/>
      <c r="X476" s="261"/>
      <c r="Y476" s="261"/>
      <c r="Z476" s="9"/>
      <c r="AA476" s="9"/>
      <c r="AB476" s="9"/>
      <c r="AC476" s="9"/>
      <c r="AD476" s="111"/>
      <c r="AE476" s="9"/>
      <c r="AF476" s="550"/>
    </row>
    <row r="477" spans="2:32" x14ac:dyDescent="0.3">
      <c r="B477" s="9"/>
      <c r="C477" s="9"/>
      <c r="D477" s="9"/>
      <c r="E477" s="9"/>
      <c r="F477" s="9"/>
      <c r="G477" s="9"/>
      <c r="H477" s="9"/>
      <c r="I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395"/>
      <c r="X477" s="261"/>
      <c r="Y477" s="261"/>
      <c r="Z477" s="9"/>
      <c r="AA477" s="9"/>
      <c r="AB477" s="9"/>
      <c r="AC477" s="9"/>
      <c r="AD477" s="111"/>
      <c r="AE477" s="9"/>
      <c r="AF477" s="550"/>
    </row>
    <row r="478" spans="2:32" x14ac:dyDescent="0.3">
      <c r="B478" s="9"/>
      <c r="C478" s="9"/>
      <c r="D478" s="9"/>
      <c r="E478" s="9"/>
      <c r="F478" s="9"/>
      <c r="G478" s="9"/>
      <c r="H478" s="9"/>
      <c r="I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395"/>
      <c r="X478" s="261"/>
      <c r="Y478" s="261"/>
      <c r="Z478" s="9"/>
      <c r="AA478" s="9"/>
      <c r="AB478" s="9"/>
      <c r="AC478" s="9"/>
      <c r="AD478" s="111"/>
      <c r="AE478" s="9"/>
      <c r="AF478" s="550"/>
    </row>
    <row r="479" spans="2:32" x14ac:dyDescent="0.3">
      <c r="B479" s="9"/>
      <c r="C479" s="9"/>
      <c r="D479" s="9"/>
      <c r="E479" s="9"/>
      <c r="F479" s="9"/>
      <c r="G479" s="9"/>
      <c r="H479" s="9"/>
      <c r="I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395"/>
      <c r="X479" s="261"/>
      <c r="Y479" s="261"/>
      <c r="Z479" s="9"/>
      <c r="AA479" s="9"/>
      <c r="AB479" s="9"/>
      <c r="AC479" s="9"/>
      <c r="AD479" s="111"/>
      <c r="AE479" s="9"/>
      <c r="AF479" s="550"/>
    </row>
    <row r="480" spans="2:32" x14ac:dyDescent="0.3">
      <c r="B480" s="9"/>
      <c r="C480" s="9"/>
      <c r="D480" s="9"/>
      <c r="E480" s="9"/>
      <c r="F480" s="9"/>
      <c r="G480" s="9"/>
      <c r="H480" s="9"/>
      <c r="I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395"/>
      <c r="X480" s="261"/>
      <c r="Y480" s="261"/>
      <c r="Z480" s="9"/>
      <c r="AA480" s="9"/>
      <c r="AB480" s="9"/>
      <c r="AC480" s="9"/>
      <c r="AD480" s="111"/>
      <c r="AE480" s="9"/>
      <c r="AF480" s="550"/>
    </row>
    <row r="481" spans="2:32" x14ac:dyDescent="0.3">
      <c r="B481" s="9"/>
      <c r="C481" s="9"/>
      <c r="D481" s="9"/>
      <c r="E481" s="9"/>
      <c r="F481" s="9"/>
      <c r="G481" s="9"/>
      <c r="H481" s="9"/>
      <c r="I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395"/>
      <c r="X481" s="261"/>
      <c r="Y481" s="261"/>
      <c r="Z481" s="9"/>
      <c r="AA481" s="9"/>
      <c r="AB481" s="9"/>
      <c r="AC481" s="9"/>
      <c r="AD481" s="111"/>
      <c r="AE481" s="9"/>
      <c r="AF481" s="550"/>
    </row>
    <row r="482" spans="2:32" x14ac:dyDescent="0.3">
      <c r="B482" s="9"/>
      <c r="C482" s="9"/>
      <c r="D482" s="9"/>
      <c r="E482" s="9"/>
      <c r="F482" s="9"/>
      <c r="G482" s="9"/>
      <c r="H482" s="9"/>
      <c r="I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395"/>
      <c r="X482" s="261"/>
      <c r="Y482" s="261"/>
      <c r="Z482" s="9"/>
      <c r="AA482" s="9"/>
      <c r="AB482" s="9"/>
      <c r="AC482" s="9"/>
      <c r="AD482" s="111"/>
      <c r="AE482" s="9"/>
      <c r="AF482" s="550"/>
    </row>
    <row r="483" spans="2:32" x14ac:dyDescent="0.3">
      <c r="B483" s="9"/>
      <c r="C483" s="9"/>
      <c r="D483" s="9"/>
      <c r="E483" s="9"/>
      <c r="F483" s="9"/>
      <c r="G483" s="9"/>
      <c r="H483" s="9"/>
      <c r="I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395"/>
      <c r="X483" s="261"/>
      <c r="Y483" s="261"/>
      <c r="Z483" s="9"/>
      <c r="AA483" s="9"/>
      <c r="AB483" s="9"/>
      <c r="AC483" s="9"/>
      <c r="AD483" s="111"/>
      <c r="AE483" s="9"/>
      <c r="AF483" s="550"/>
    </row>
    <row r="484" spans="2:32" x14ac:dyDescent="0.3">
      <c r="B484" s="9"/>
      <c r="C484" s="9"/>
      <c r="D484" s="9"/>
      <c r="E484" s="9"/>
      <c r="F484" s="9"/>
      <c r="G484" s="9"/>
      <c r="H484" s="9"/>
      <c r="I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395"/>
      <c r="X484" s="261"/>
      <c r="Y484" s="261"/>
      <c r="Z484" s="9"/>
      <c r="AA484" s="9"/>
      <c r="AB484" s="9"/>
      <c r="AC484" s="9"/>
      <c r="AD484" s="111"/>
      <c r="AE484" s="9"/>
      <c r="AF484" s="550"/>
    </row>
    <row r="485" spans="2:32" x14ac:dyDescent="0.3">
      <c r="B485" s="9"/>
      <c r="C485" s="9"/>
      <c r="D485" s="9"/>
      <c r="E485" s="9"/>
      <c r="F485" s="9"/>
      <c r="G485" s="9"/>
      <c r="H485" s="9"/>
      <c r="I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395"/>
      <c r="X485" s="261"/>
      <c r="Y485" s="261"/>
      <c r="Z485" s="9"/>
      <c r="AA485" s="9"/>
      <c r="AB485" s="9"/>
      <c r="AC485" s="9"/>
      <c r="AD485" s="111"/>
      <c r="AE485" s="9"/>
      <c r="AF485" s="550"/>
    </row>
    <row r="486" spans="2:32" x14ac:dyDescent="0.3">
      <c r="B486" s="9"/>
      <c r="C486" s="9"/>
      <c r="D486" s="9"/>
      <c r="E486" s="9"/>
      <c r="F486" s="9"/>
      <c r="G486" s="9"/>
      <c r="H486" s="9"/>
      <c r="I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395"/>
      <c r="X486" s="261"/>
      <c r="Y486" s="261"/>
      <c r="Z486" s="9"/>
      <c r="AA486" s="9"/>
      <c r="AB486" s="9"/>
      <c r="AC486" s="9"/>
      <c r="AD486" s="111"/>
      <c r="AE486" s="9"/>
      <c r="AF486" s="550"/>
    </row>
    <row r="487" spans="2:32" x14ac:dyDescent="0.3">
      <c r="B487" s="9"/>
      <c r="C487" s="9"/>
      <c r="D487" s="9"/>
      <c r="E487" s="9"/>
      <c r="F487" s="9"/>
      <c r="G487" s="9"/>
      <c r="H487" s="9"/>
      <c r="I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395"/>
      <c r="X487" s="261"/>
      <c r="Y487" s="261"/>
      <c r="Z487" s="9"/>
      <c r="AA487" s="9"/>
      <c r="AB487" s="9"/>
      <c r="AC487" s="9"/>
      <c r="AD487" s="111"/>
      <c r="AE487" s="9"/>
      <c r="AF487" s="550"/>
    </row>
    <row r="488" spans="2:32" x14ac:dyDescent="0.3">
      <c r="B488" s="9"/>
      <c r="C488" s="9"/>
      <c r="D488" s="9"/>
      <c r="E488" s="9"/>
      <c r="F488" s="9"/>
      <c r="G488" s="9"/>
      <c r="H488" s="9"/>
      <c r="I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395"/>
      <c r="X488" s="261"/>
      <c r="Y488" s="261"/>
      <c r="Z488" s="9"/>
      <c r="AA488" s="9"/>
      <c r="AB488" s="9"/>
      <c r="AC488" s="9"/>
      <c r="AD488" s="111"/>
      <c r="AE488" s="9"/>
      <c r="AF488" s="550"/>
    </row>
    <row r="489" spans="2:32" x14ac:dyDescent="0.3">
      <c r="B489" s="9"/>
      <c r="C489" s="9"/>
      <c r="D489" s="9"/>
      <c r="E489" s="9"/>
      <c r="F489" s="9"/>
      <c r="G489" s="9"/>
      <c r="H489" s="9"/>
      <c r="I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395"/>
      <c r="X489" s="261"/>
      <c r="Y489" s="261"/>
      <c r="Z489" s="9"/>
      <c r="AA489" s="9"/>
      <c r="AB489" s="9"/>
      <c r="AC489" s="9"/>
      <c r="AD489" s="111"/>
      <c r="AE489" s="9"/>
      <c r="AF489" s="550"/>
    </row>
    <row r="490" spans="2:32" x14ac:dyDescent="0.3">
      <c r="B490" s="9"/>
      <c r="C490" s="9"/>
      <c r="D490" s="9"/>
      <c r="E490" s="9"/>
      <c r="F490" s="9"/>
      <c r="G490" s="9"/>
      <c r="H490" s="9"/>
      <c r="I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395"/>
      <c r="X490" s="261"/>
      <c r="Y490" s="261"/>
      <c r="Z490" s="9"/>
      <c r="AA490" s="9"/>
      <c r="AB490" s="9"/>
      <c r="AC490" s="9"/>
      <c r="AD490" s="111"/>
      <c r="AE490" s="9"/>
      <c r="AF490" s="550"/>
    </row>
    <row r="491" spans="2:32" x14ac:dyDescent="0.3">
      <c r="B491" s="9"/>
      <c r="C491" s="9"/>
      <c r="D491" s="9"/>
      <c r="E491" s="9"/>
      <c r="F491" s="9"/>
      <c r="G491" s="9"/>
      <c r="H491" s="9"/>
      <c r="I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395"/>
      <c r="X491" s="261"/>
      <c r="Y491" s="261"/>
      <c r="Z491" s="9"/>
      <c r="AA491" s="9"/>
      <c r="AB491" s="9"/>
      <c r="AC491" s="9"/>
      <c r="AD491" s="111"/>
      <c r="AE491" s="9"/>
      <c r="AF491" s="550"/>
    </row>
    <row r="492" spans="2:32" x14ac:dyDescent="0.3">
      <c r="B492" s="9"/>
      <c r="C492" s="9"/>
      <c r="D492" s="9"/>
      <c r="E492" s="9"/>
      <c r="F492" s="9"/>
      <c r="G492" s="9"/>
      <c r="H492" s="9"/>
      <c r="I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395"/>
      <c r="X492" s="261"/>
      <c r="Y492" s="261"/>
      <c r="Z492" s="9"/>
      <c r="AA492" s="9"/>
      <c r="AB492" s="9"/>
      <c r="AC492" s="9"/>
      <c r="AD492" s="111"/>
      <c r="AE492" s="9"/>
      <c r="AF492" s="550"/>
    </row>
    <row r="493" spans="2:32" x14ac:dyDescent="0.3">
      <c r="B493" s="9"/>
      <c r="C493" s="9"/>
      <c r="D493" s="9"/>
      <c r="E493" s="9"/>
      <c r="F493" s="9"/>
      <c r="G493" s="9"/>
      <c r="H493" s="9"/>
      <c r="I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395"/>
      <c r="X493" s="261"/>
      <c r="Y493" s="261"/>
      <c r="Z493" s="9"/>
      <c r="AA493" s="9"/>
      <c r="AB493" s="9"/>
      <c r="AC493" s="9"/>
      <c r="AD493" s="111"/>
      <c r="AE493" s="9"/>
      <c r="AF493" s="550"/>
    </row>
    <row r="494" spans="2:32" x14ac:dyDescent="0.3">
      <c r="B494" s="9"/>
      <c r="C494" s="9"/>
      <c r="D494" s="9"/>
      <c r="E494" s="9"/>
      <c r="F494" s="9"/>
      <c r="G494" s="9"/>
      <c r="H494" s="9"/>
      <c r="I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395"/>
      <c r="X494" s="261"/>
      <c r="Y494" s="261"/>
      <c r="Z494" s="9"/>
      <c r="AA494" s="9"/>
      <c r="AB494" s="9"/>
      <c r="AC494" s="9"/>
      <c r="AD494" s="111"/>
      <c r="AE494" s="9"/>
      <c r="AF494" s="550"/>
    </row>
    <row r="495" spans="2:32" x14ac:dyDescent="0.3">
      <c r="B495" s="9"/>
      <c r="C495" s="9"/>
      <c r="D495" s="9"/>
      <c r="E495" s="9"/>
      <c r="F495" s="9"/>
      <c r="G495" s="9"/>
      <c r="H495" s="9"/>
      <c r="I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395"/>
      <c r="X495" s="261"/>
      <c r="Y495" s="261"/>
      <c r="Z495" s="9"/>
      <c r="AA495" s="9"/>
      <c r="AB495" s="9"/>
      <c r="AC495" s="9"/>
      <c r="AD495" s="111"/>
      <c r="AE495" s="9"/>
      <c r="AF495" s="550"/>
    </row>
    <row r="496" spans="2:32" x14ac:dyDescent="0.3">
      <c r="B496" s="9"/>
      <c r="C496" s="9"/>
      <c r="D496" s="9"/>
      <c r="E496" s="9"/>
      <c r="F496" s="9"/>
      <c r="G496" s="9"/>
      <c r="H496" s="9"/>
      <c r="I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395"/>
      <c r="X496" s="261"/>
      <c r="Y496" s="261"/>
      <c r="Z496" s="9"/>
      <c r="AA496" s="9"/>
      <c r="AB496" s="9"/>
      <c r="AC496" s="9"/>
      <c r="AD496" s="111"/>
      <c r="AE496" s="9"/>
      <c r="AF496" s="550"/>
    </row>
    <row r="497" spans="2:32" x14ac:dyDescent="0.3">
      <c r="B497" s="9"/>
      <c r="C497" s="9"/>
      <c r="D497" s="9"/>
      <c r="E497" s="9"/>
      <c r="F497" s="9"/>
      <c r="G497" s="9"/>
      <c r="H497" s="9"/>
      <c r="I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395"/>
      <c r="X497" s="261"/>
      <c r="Y497" s="261"/>
      <c r="Z497" s="9"/>
      <c r="AA497" s="9"/>
      <c r="AB497" s="9"/>
      <c r="AC497" s="9"/>
      <c r="AD497" s="111"/>
      <c r="AE497" s="9"/>
      <c r="AF497" s="550"/>
    </row>
    <row r="498" spans="2:32" x14ac:dyDescent="0.3">
      <c r="B498" s="9"/>
      <c r="C498" s="9"/>
      <c r="D498" s="9"/>
      <c r="E498" s="9"/>
      <c r="F498" s="9"/>
      <c r="G498" s="9"/>
      <c r="H498" s="9"/>
      <c r="I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395"/>
      <c r="X498" s="261"/>
      <c r="Y498" s="261"/>
      <c r="Z498" s="9"/>
      <c r="AA498" s="9"/>
      <c r="AB498" s="9"/>
      <c r="AC498" s="9"/>
      <c r="AD498" s="111"/>
      <c r="AE498" s="9"/>
      <c r="AF498" s="550"/>
    </row>
    <row r="499" spans="2:32" x14ac:dyDescent="0.3">
      <c r="B499" s="9"/>
      <c r="C499" s="9"/>
      <c r="D499" s="9"/>
      <c r="E499" s="9"/>
      <c r="F499" s="9"/>
      <c r="G499" s="9"/>
      <c r="H499" s="9"/>
      <c r="I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395"/>
      <c r="X499" s="261"/>
      <c r="Y499" s="261"/>
      <c r="Z499" s="9"/>
      <c r="AA499" s="9"/>
      <c r="AB499" s="9"/>
      <c r="AC499" s="9"/>
      <c r="AD499" s="111"/>
      <c r="AE499" s="9"/>
      <c r="AF499" s="550"/>
    </row>
    <row r="500" spans="2:32" x14ac:dyDescent="0.3">
      <c r="B500" s="9"/>
      <c r="C500" s="9"/>
      <c r="D500" s="9"/>
      <c r="E500" s="9"/>
      <c r="F500" s="9"/>
      <c r="G500" s="9"/>
      <c r="H500" s="9"/>
      <c r="I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395"/>
      <c r="X500" s="261"/>
      <c r="Y500" s="261"/>
      <c r="Z500" s="9"/>
      <c r="AA500" s="9"/>
      <c r="AB500" s="9"/>
      <c r="AC500" s="9"/>
      <c r="AD500" s="111"/>
      <c r="AE500" s="9"/>
      <c r="AF500" s="550"/>
    </row>
    <row r="501" spans="2:32" x14ac:dyDescent="0.3">
      <c r="B501" s="9"/>
      <c r="C501" s="9"/>
      <c r="D501" s="9"/>
      <c r="E501" s="9"/>
      <c r="F501" s="9"/>
      <c r="G501" s="9"/>
      <c r="H501" s="9"/>
      <c r="I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395"/>
      <c r="X501" s="261"/>
      <c r="Y501" s="261"/>
      <c r="Z501" s="9"/>
      <c r="AA501" s="9"/>
      <c r="AB501" s="9"/>
      <c r="AC501" s="9"/>
      <c r="AD501" s="111"/>
      <c r="AE501" s="9"/>
      <c r="AF501" s="550"/>
    </row>
    <row r="502" spans="2:32" x14ac:dyDescent="0.3">
      <c r="B502" s="9"/>
      <c r="C502" s="9"/>
      <c r="D502" s="9"/>
      <c r="E502" s="9"/>
      <c r="F502" s="9"/>
      <c r="G502" s="9"/>
      <c r="H502" s="9"/>
      <c r="I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395"/>
      <c r="X502" s="261"/>
      <c r="Y502" s="261"/>
      <c r="Z502" s="9"/>
      <c r="AA502" s="9"/>
      <c r="AB502" s="9"/>
      <c r="AC502" s="9"/>
      <c r="AD502" s="111"/>
      <c r="AE502" s="9"/>
      <c r="AF502" s="550"/>
    </row>
    <row r="503" spans="2:32" x14ac:dyDescent="0.3">
      <c r="B503" s="9"/>
      <c r="C503" s="9"/>
      <c r="D503" s="9"/>
      <c r="E503" s="9"/>
      <c r="F503" s="9"/>
      <c r="G503" s="9"/>
      <c r="H503" s="9"/>
      <c r="I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395"/>
      <c r="X503" s="261"/>
      <c r="Y503" s="261"/>
      <c r="Z503" s="9"/>
      <c r="AA503" s="9"/>
      <c r="AB503" s="9"/>
      <c r="AC503" s="9"/>
      <c r="AD503" s="111"/>
      <c r="AE503" s="9"/>
      <c r="AF503" s="550"/>
    </row>
    <row r="504" spans="2:32" x14ac:dyDescent="0.3">
      <c r="B504" s="9"/>
      <c r="C504" s="9"/>
      <c r="D504" s="9"/>
      <c r="E504" s="9"/>
      <c r="F504" s="9"/>
      <c r="G504" s="9"/>
      <c r="H504" s="9"/>
      <c r="I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395"/>
      <c r="X504" s="261"/>
      <c r="Y504" s="261"/>
      <c r="Z504" s="9"/>
      <c r="AA504" s="9"/>
      <c r="AB504" s="9"/>
      <c r="AC504" s="9"/>
      <c r="AD504" s="111"/>
      <c r="AE504" s="9"/>
      <c r="AF504" s="550"/>
    </row>
    <row r="505" spans="2:32" x14ac:dyDescent="0.3">
      <c r="B505" s="9"/>
      <c r="C505" s="9"/>
      <c r="D505" s="9"/>
      <c r="E505" s="9"/>
      <c r="F505" s="9"/>
      <c r="G505" s="9"/>
      <c r="H505" s="9"/>
      <c r="I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395"/>
      <c r="X505" s="261"/>
      <c r="Y505" s="261"/>
      <c r="Z505" s="9"/>
      <c r="AA505" s="9"/>
      <c r="AB505" s="9"/>
      <c r="AC505" s="9"/>
      <c r="AD505" s="111"/>
      <c r="AE505" s="9"/>
      <c r="AF505" s="550"/>
    </row>
    <row r="506" spans="2:32" x14ac:dyDescent="0.3">
      <c r="B506" s="9"/>
      <c r="C506" s="9"/>
      <c r="D506" s="9"/>
      <c r="E506" s="9"/>
      <c r="F506" s="9"/>
      <c r="G506" s="9"/>
      <c r="H506" s="9"/>
      <c r="I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395"/>
      <c r="X506" s="261"/>
      <c r="Y506" s="261"/>
      <c r="Z506" s="9"/>
      <c r="AA506" s="9"/>
      <c r="AB506" s="9"/>
      <c r="AC506" s="9"/>
      <c r="AD506" s="111"/>
      <c r="AE506" s="9"/>
      <c r="AF506" s="550"/>
    </row>
    <row r="507" spans="2:32" x14ac:dyDescent="0.3">
      <c r="B507" s="9"/>
      <c r="C507" s="9"/>
      <c r="D507" s="9"/>
      <c r="E507" s="9"/>
      <c r="F507" s="9"/>
      <c r="G507" s="9"/>
      <c r="H507" s="9"/>
      <c r="I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395"/>
      <c r="X507" s="261"/>
      <c r="Y507" s="261"/>
      <c r="Z507" s="9"/>
      <c r="AA507" s="9"/>
      <c r="AB507" s="9"/>
      <c r="AC507" s="9"/>
      <c r="AD507" s="111"/>
      <c r="AE507" s="9"/>
      <c r="AF507" s="550"/>
    </row>
    <row r="508" spans="2:32" x14ac:dyDescent="0.3">
      <c r="B508" s="9"/>
      <c r="C508" s="9"/>
      <c r="D508" s="9"/>
      <c r="E508" s="9"/>
      <c r="F508" s="9"/>
      <c r="G508" s="9"/>
      <c r="H508" s="9"/>
      <c r="I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395"/>
      <c r="X508" s="261"/>
      <c r="Y508" s="261"/>
      <c r="Z508" s="9"/>
      <c r="AA508" s="9"/>
      <c r="AB508" s="9"/>
      <c r="AC508" s="9"/>
      <c r="AD508" s="111"/>
      <c r="AE508" s="9"/>
      <c r="AF508" s="550"/>
    </row>
    <row r="509" spans="2:32" x14ac:dyDescent="0.3">
      <c r="B509" s="9"/>
      <c r="C509" s="9"/>
      <c r="D509" s="9"/>
      <c r="E509" s="9"/>
      <c r="F509" s="9"/>
      <c r="G509" s="9"/>
      <c r="H509" s="9"/>
      <c r="I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395"/>
      <c r="X509" s="261"/>
      <c r="Y509" s="261"/>
      <c r="Z509" s="9"/>
      <c r="AA509" s="9"/>
      <c r="AB509" s="9"/>
      <c r="AC509" s="9"/>
      <c r="AD509" s="111"/>
      <c r="AE509" s="9"/>
      <c r="AF509" s="550"/>
    </row>
    <row r="510" spans="2:32" x14ac:dyDescent="0.3">
      <c r="B510" s="9"/>
      <c r="C510" s="9"/>
      <c r="D510" s="9"/>
      <c r="E510" s="9"/>
      <c r="F510" s="9"/>
      <c r="G510" s="9"/>
      <c r="H510" s="9"/>
      <c r="I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395"/>
      <c r="X510" s="261"/>
      <c r="Y510" s="261"/>
      <c r="Z510" s="9"/>
      <c r="AA510" s="9"/>
      <c r="AB510" s="9"/>
      <c r="AC510" s="9"/>
      <c r="AD510" s="111"/>
      <c r="AE510" s="9"/>
      <c r="AF510" s="550"/>
    </row>
    <row r="511" spans="2:32" x14ac:dyDescent="0.3">
      <c r="B511" s="9"/>
      <c r="C511" s="9"/>
      <c r="D511" s="9"/>
      <c r="E511" s="9"/>
      <c r="F511" s="9"/>
      <c r="G511" s="9"/>
      <c r="H511" s="9"/>
      <c r="I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395"/>
      <c r="X511" s="261"/>
      <c r="Y511" s="261"/>
      <c r="Z511" s="9"/>
      <c r="AA511" s="9"/>
      <c r="AB511" s="9"/>
      <c r="AC511" s="9"/>
      <c r="AD511" s="111"/>
      <c r="AE511" s="9"/>
      <c r="AF511" s="550"/>
    </row>
    <row r="512" spans="2:32" x14ac:dyDescent="0.3">
      <c r="B512" s="9"/>
      <c r="C512" s="9"/>
      <c r="D512" s="9"/>
      <c r="E512" s="9"/>
      <c r="F512" s="9"/>
      <c r="G512" s="9"/>
      <c r="H512" s="9"/>
      <c r="I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395"/>
      <c r="X512" s="261"/>
      <c r="Y512" s="261"/>
      <c r="Z512" s="9"/>
      <c r="AA512" s="9"/>
      <c r="AB512" s="9"/>
      <c r="AC512" s="9"/>
      <c r="AD512" s="111"/>
      <c r="AE512" s="9"/>
      <c r="AF512" s="550"/>
    </row>
    <row r="513" spans="2:32" x14ac:dyDescent="0.3">
      <c r="B513" s="9"/>
      <c r="C513" s="9"/>
      <c r="D513" s="9"/>
      <c r="E513" s="9"/>
      <c r="F513" s="9"/>
      <c r="G513" s="9"/>
      <c r="H513" s="9"/>
      <c r="I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395"/>
      <c r="X513" s="261"/>
      <c r="Y513" s="261"/>
      <c r="Z513" s="9"/>
      <c r="AA513" s="9"/>
      <c r="AB513" s="9"/>
      <c r="AC513" s="9"/>
      <c r="AD513" s="111"/>
      <c r="AE513" s="9"/>
      <c r="AF513" s="550"/>
    </row>
    <row r="514" spans="2:32" x14ac:dyDescent="0.3">
      <c r="B514" s="9"/>
      <c r="C514" s="9"/>
      <c r="D514" s="9"/>
      <c r="E514" s="9"/>
      <c r="F514" s="9"/>
      <c r="G514" s="9"/>
      <c r="H514" s="9"/>
      <c r="I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395"/>
      <c r="X514" s="261"/>
      <c r="Y514" s="261"/>
      <c r="Z514" s="9"/>
      <c r="AA514" s="9"/>
      <c r="AB514" s="9"/>
      <c r="AC514" s="9"/>
      <c r="AD514" s="111"/>
      <c r="AE514" s="9"/>
      <c r="AF514" s="550"/>
    </row>
    <row r="515" spans="2:32" x14ac:dyDescent="0.3">
      <c r="B515" s="9"/>
      <c r="C515" s="9"/>
      <c r="D515" s="9"/>
      <c r="E515" s="9"/>
      <c r="F515" s="9"/>
      <c r="G515" s="9"/>
      <c r="H515" s="9"/>
      <c r="I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395"/>
      <c r="X515" s="261"/>
      <c r="Y515" s="261"/>
      <c r="Z515" s="9"/>
      <c r="AA515" s="9"/>
      <c r="AB515" s="9"/>
      <c r="AC515" s="9"/>
      <c r="AD515" s="111"/>
      <c r="AE515" s="9"/>
      <c r="AF515" s="550"/>
    </row>
    <row r="516" spans="2:32" x14ac:dyDescent="0.3">
      <c r="B516" s="9"/>
      <c r="C516" s="9"/>
      <c r="D516" s="9"/>
      <c r="E516" s="9"/>
      <c r="F516" s="9"/>
      <c r="G516" s="9"/>
      <c r="H516" s="9"/>
      <c r="I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395"/>
      <c r="X516" s="261"/>
      <c r="Y516" s="261"/>
      <c r="Z516" s="9"/>
      <c r="AA516" s="9"/>
      <c r="AB516" s="9"/>
      <c r="AC516" s="9"/>
      <c r="AD516" s="111"/>
      <c r="AE516" s="9"/>
      <c r="AF516" s="550"/>
    </row>
    <row r="517" spans="2:32" x14ac:dyDescent="0.3">
      <c r="B517" s="9"/>
      <c r="C517" s="9"/>
      <c r="D517" s="9"/>
      <c r="E517" s="9"/>
      <c r="F517" s="9"/>
      <c r="G517" s="9"/>
      <c r="H517" s="9"/>
      <c r="I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395"/>
      <c r="X517" s="261"/>
      <c r="Y517" s="261"/>
      <c r="Z517" s="9"/>
      <c r="AA517" s="9"/>
      <c r="AB517" s="9"/>
      <c r="AC517" s="9"/>
      <c r="AD517" s="111"/>
      <c r="AE517" s="9"/>
      <c r="AF517" s="550"/>
    </row>
    <row r="518" spans="2:32" x14ac:dyDescent="0.3">
      <c r="B518" s="9"/>
      <c r="C518" s="9"/>
      <c r="D518" s="9"/>
      <c r="E518" s="9"/>
      <c r="F518" s="9"/>
      <c r="G518" s="9"/>
      <c r="H518" s="9"/>
      <c r="I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395"/>
      <c r="X518" s="261"/>
      <c r="Y518" s="261"/>
      <c r="Z518" s="9"/>
      <c r="AA518" s="9"/>
      <c r="AB518" s="9"/>
      <c r="AC518" s="9"/>
      <c r="AD518" s="111"/>
      <c r="AE518" s="9"/>
      <c r="AF518" s="550"/>
    </row>
    <row r="519" spans="2:32" x14ac:dyDescent="0.3">
      <c r="B519" s="9"/>
      <c r="C519" s="9"/>
      <c r="D519" s="9"/>
      <c r="E519" s="9"/>
      <c r="F519" s="9"/>
      <c r="G519" s="9"/>
      <c r="H519" s="9"/>
      <c r="I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395"/>
      <c r="X519" s="261"/>
      <c r="Y519" s="261"/>
      <c r="Z519" s="9"/>
      <c r="AA519" s="9"/>
      <c r="AB519" s="9"/>
      <c r="AC519" s="9"/>
      <c r="AD519" s="111"/>
      <c r="AE519" s="9"/>
      <c r="AF519" s="550"/>
    </row>
    <row r="520" spans="2:32" x14ac:dyDescent="0.3">
      <c r="B520" s="9"/>
      <c r="C520" s="9"/>
      <c r="D520" s="9"/>
      <c r="E520" s="9"/>
      <c r="F520" s="9"/>
      <c r="G520" s="9"/>
      <c r="H520" s="9"/>
      <c r="I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395"/>
      <c r="X520" s="261"/>
      <c r="Y520" s="261"/>
      <c r="Z520" s="9"/>
      <c r="AA520" s="9"/>
      <c r="AB520" s="9"/>
      <c r="AC520" s="9"/>
      <c r="AD520" s="111"/>
      <c r="AE520" s="9"/>
      <c r="AF520" s="550"/>
    </row>
    <row r="521" spans="2:32" x14ac:dyDescent="0.3">
      <c r="B521" s="9"/>
      <c r="C521" s="9"/>
      <c r="D521" s="9"/>
      <c r="E521" s="9"/>
      <c r="F521" s="9"/>
      <c r="G521" s="9"/>
      <c r="H521" s="9"/>
      <c r="I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395"/>
      <c r="X521" s="261"/>
      <c r="Y521" s="261"/>
      <c r="Z521" s="9"/>
      <c r="AA521" s="9"/>
      <c r="AB521" s="9"/>
      <c r="AC521" s="9"/>
      <c r="AD521" s="111"/>
      <c r="AE521" s="9"/>
      <c r="AF521" s="550"/>
    </row>
    <row r="522" spans="2:32" x14ac:dyDescent="0.3">
      <c r="B522" s="9"/>
      <c r="C522" s="9"/>
      <c r="D522" s="9"/>
      <c r="E522" s="9"/>
      <c r="F522" s="9"/>
      <c r="G522" s="9"/>
      <c r="H522" s="9"/>
      <c r="I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395"/>
      <c r="X522" s="261"/>
      <c r="Y522" s="261"/>
      <c r="Z522" s="9"/>
      <c r="AA522" s="9"/>
      <c r="AB522" s="9"/>
      <c r="AC522" s="9"/>
      <c r="AD522" s="111"/>
      <c r="AE522" s="9"/>
      <c r="AF522" s="550"/>
    </row>
    <row r="523" spans="2:32" x14ac:dyDescent="0.3">
      <c r="B523" s="9"/>
      <c r="C523" s="9"/>
      <c r="D523" s="9"/>
      <c r="E523" s="9"/>
      <c r="F523" s="9"/>
      <c r="G523" s="9"/>
      <c r="H523" s="9"/>
      <c r="I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395"/>
      <c r="X523" s="261"/>
      <c r="Y523" s="261"/>
      <c r="Z523" s="9"/>
      <c r="AA523" s="9"/>
      <c r="AB523" s="9"/>
      <c r="AC523" s="9"/>
      <c r="AD523" s="111"/>
      <c r="AE523" s="9"/>
      <c r="AF523" s="550"/>
    </row>
    <row r="524" spans="2:32" x14ac:dyDescent="0.3">
      <c r="B524" s="9"/>
      <c r="C524" s="9"/>
      <c r="D524" s="9"/>
      <c r="E524" s="9"/>
      <c r="F524" s="9"/>
      <c r="G524" s="9"/>
      <c r="H524" s="9"/>
      <c r="I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395"/>
      <c r="X524" s="261"/>
      <c r="Y524" s="261"/>
      <c r="Z524" s="9"/>
      <c r="AA524" s="9"/>
      <c r="AB524" s="9"/>
      <c r="AC524" s="9"/>
      <c r="AD524" s="111"/>
      <c r="AE524" s="9"/>
      <c r="AF524" s="550"/>
    </row>
    <row r="525" spans="2:32" x14ac:dyDescent="0.3">
      <c r="B525" s="9"/>
      <c r="C525" s="9"/>
      <c r="D525" s="9"/>
      <c r="E525" s="9"/>
      <c r="F525" s="9"/>
      <c r="G525" s="9"/>
      <c r="H525" s="9"/>
      <c r="I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395"/>
      <c r="X525" s="261"/>
      <c r="Y525" s="261"/>
      <c r="Z525" s="9"/>
      <c r="AA525" s="9"/>
      <c r="AB525" s="9"/>
      <c r="AC525" s="9"/>
      <c r="AD525" s="111"/>
      <c r="AE525" s="9"/>
      <c r="AF525" s="550"/>
    </row>
    <row r="526" spans="2:32" x14ac:dyDescent="0.3">
      <c r="B526" s="9"/>
      <c r="C526" s="9"/>
      <c r="D526" s="9"/>
      <c r="E526" s="9"/>
      <c r="F526" s="9"/>
      <c r="G526" s="9"/>
      <c r="H526" s="9"/>
      <c r="I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395"/>
      <c r="X526" s="261"/>
      <c r="Y526" s="261"/>
      <c r="Z526" s="9"/>
      <c r="AA526" s="9"/>
      <c r="AB526" s="9"/>
      <c r="AC526" s="9"/>
      <c r="AD526" s="111"/>
      <c r="AE526" s="9"/>
      <c r="AF526" s="550"/>
    </row>
    <row r="527" spans="2:32" x14ac:dyDescent="0.3">
      <c r="B527" s="9"/>
      <c r="C527" s="9"/>
      <c r="D527" s="9"/>
      <c r="E527" s="9"/>
      <c r="F527" s="9"/>
      <c r="G527" s="9"/>
      <c r="H527" s="9"/>
      <c r="I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395"/>
      <c r="X527" s="261"/>
      <c r="Y527" s="261"/>
      <c r="Z527" s="9"/>
      <c r="AA527" s="9"/>
      <c r="AB527" s="9"/>
      <c r="AC527" s="9"/>
      <c r="AD527" s="111"/>
      <c r="AE527" s="9"/>
      <c r="AF527" s="550"/>
    </row>
    <row r="528" spans="2:32" x14ac:dyDescent="0.3">
      <c r="B528" s="9"/>
      <c r="C528" s="9"/>
      <c r="D528" s="9"/>
      <c r="E528" s="9"/>
      <c r="F528" s="9"/>
      <c r="G528" s="9"/>
      <c r="H528" s="9"/>
      <c r="I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395"/>
      <c r="X528" s="261"/>
      <c r="Y528" s="261"/>
      <c r="Z528" s="9"/>
      <c r="AA528" s="9"/>
      <c r="AB528" s="9"/>
      <c r="AC528" s="9"/>
      <c r="AD528" s="111"/>
      <c r="AE528" s="9"/>
      <c r="AF528" s="550"/>
    </row>
    <row r="529" spans="2:32" x14ac:dyDescent="0.3">
      <c r="B529" s="9"/>
      <c r="C529" s="9"/>
      <c r="D529" s="9"/>
      <c r="E529" s="9"/>
      <c r="F529" s="9"/>
      <c r="G529" s="9"/>
      <c r="H529" s="9"/>
      <c r="I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395"/>
      <c r="X529" s="261"/>
      <c r="Y529" s="261"/>
      <c r="Z529" s="9"/>
      <c r="AA529" s="9"/>
      <c r="AB529" s="9"/>
      <c r="AC529" s="9"/>
      <c r="AD529" s="111"/>
      <c r="AE529" s="9"/>
      <c r="AF529" s="550"/>
    </row>
    <row r="530" spans="2:32" x14ac:dyDescent="0.3">
      <c r="B530" s="9"/>
      <c r="C530" s="9"/>
      <c r="D530" s="9"/>
      <c r="E530" s="9"/>
      <c r="F530" s="9"/>
      <c r="G530" s="9"/>
      <c r="H530" s="9"/>
      <c r="I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395"/>
      <c r="X530" s="261"/>
      <c r="Y530" s="261"/>
      <c r="Z530" s="9"/>
      <c r="AA530" s="9"/>
      <c r="AB530" s="9"/>
      <c r="AC530" s="9"/>
      <c r="AD530" s="111"/>
      <c r="AE530" s="9"/>
      <c r="AF530" s="550"/>
    </row>
    <row r="531" spans="2:32" x14ac:dyDescent="0.3">
      <c r="B531" s="9"/>
      <c r="C531" s="9"/>
      <c r="D531" s="9"/>
      <c r="E531" s="9"/>
      <c r="F531" s="9"/>
      <c r="G531" s="9"/>
      <c r="H531" s="9"/>
      <c r="I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395"/>
      <c r="X531" s="261"/>
      <c r="Y531" s="261"/>
      <c r="Z531" s="9"/>
      <c r="AA531" s="9"/>
      <c r="AB531" s="9"/>
      <c r="AC531" s="9"/>
      <c r="AD531" s="111"/>
      <c r="AE531" s="9"/>
      <c r="AF531" s="550"/>
    </row>
    <row r="532" spans="2:32" x14ac:dyDescent="0.3">
      <c r="B532" s="9"/>
      <c r="C532" s="9"/>
      <c r="D532" s="9"/>
      <c r="E532" s="9"/>
      <c r="F532" s="9"/>
      <c r="G532" s="9"/>
      <c r="H532" s="9"/>
      <c r="I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395"/>
      <c r="X532" s="261"/>
      <c r="Y532" s="261"/>
      <c r="Z532" s="9"/>
      <c r="AA532" s="9"/>
      <c r="AB532" s="9"/>
      <c r="AC532" s="9"/>
      <c r="AD532" s="111"/>
      <c r="AE532" s="9"/>
      <c r="AF532" s="550"/>
    </row>
    <row r="533" spans="2:32" x14ac:dyDescent="0.3">
      <c r="B533" s="9"/>
      <c r="C533" s="9"/>
      <c r="D533" s="9"/>
      <c r="E533" s="9"/>
      <c r="F533" s="9"/>
      <c r="G533" s="9"/>
      <c r="H533" s="9"/>
      <c r="I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395"/>
      <c r="X533" s="261"/>
      <c r="Y533" s="261"/>
      <c r="Z533" s="9"/>
      <c r="AA533" s="9"/>
      <c r="AB533" s="9"/>
      <c r="AC533" s="9"/>
      <c r="AD533" s="111"/>
      <c r="AE533" s="9"/>
      <c r="AF533" s="550"/>
    </row>
    <row r="534" spans="2:32" x14ac:dyDescent="0.3">
      <c r="B534" s="9"/>
      <c r="C534" s="9"/>
      <c r="D534" s="9"/>
      <c r="E534" s="9"/>
      <c r="F534" s="9"/>
      <c r="G534" s="9"/>
      <c r="H534" s="9"/>
      <c r="I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395"/>
      <c r="X534" s="261"/>
      <c r="Y534" s="261"/>
      <c r="Z534" s="9"/>
      <c r="AA534" s="9"/>
      <c r="AB534" s="9"/>
      <c r="AC534" s="9"/>
      <c r="AD534" s="111"/>
      <c r="AE534" s="9"/>
      <c r="AF534" s="550"/>
    </row>
    <row r="535" spans="2:32" x14ac:dyDescent="0.3">
      <c r="B535" s="9"/>
      <c r="C535" s="9"/>
      <c r="D535" s="9"/>
      <c r="E535" s="9"/>
      <c r="F535" s="9"/>
      <c r="G535" s="9"/>
      <c r="H535" s="9"/>
      <c r="I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395"/>
      <c r="X535" s="261"/>
      <c r="Y535" s="261"/>
      <c r="Z535" s="9"/>
      <c r="AA535" s="9"/>
      <c r="AB535" s="9"/>
      <c r="AC535" s="9"/>
      <c r="AD535" s="111"/>
      <c r="AE535" s="9"/>
      <c r="AF535" s="550"/>
    </row>
    <row r="536" spans="2:32" x14ac:dyDescent="0.3">
      <c r="B536" s="9"/>
      <c r="C536" s="9"/>
      <c r="D536" s="9"/>
      <c r="E536" s="9"/>
      <c r="F536" s="9"/>
      <c r="G536" s="9"/>
      <c r="H536" s="9"/>
      <c r="I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395"/>
      <c r="X536" s="261"/>
      <c r="Y536" s="261"/>
      <c r="Z536" s="9"/>
      <c r="AA536" s="9"/>
      <c r="AB536" s="9"/>
      <c r="AC536" s="9"/>
      <c r="AD536" s="111"/>
      <c r="AE536" s="9"/>
      <c r="AF536" s="550"/>
    </row>
    <row r="537" spans="2:32" x14ac:dyDescent="0.3">
      <c r="B537" s="9"/>
      <c r="C537" s="9"/>
      <c r="D537" s="9"/>
      <c r="E537" s="9"/>
      <c r="F537" s="9"/>
      <c r="G537" s="9"/>
      <c r="H537" s="9"/>
      <c r="I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395"/>
      <c r="X537" s="261"/>
      <c r="Y537" s="261"/>
      <c r="Z537" s="9"/>
      <c r="AA537" s="9"/>
      <c r="AB537" s="9"/>
      <c r="AC537" s="9"/>
      <c r="AD537" s="111"/>
      <c r="AE537" s="9"/>
      <c r="AF537" s="550"/>
    </row>
    <row r="538" spans="2:32" x14ac:dyDescent="0.3">
      <c r="B538" s="9"/>
      <c r="C538" s="9"/>
      <c r="D538" s="9"/>
      <c r="E538" s="9"/>
      <c r="F538" s="9"/>
      <c r="G538" s="9"/>
      <c r="H538" s="9"/>
      <c r="I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395"/>
      <c r="X538" s="261"/>
      <c r="Y538" s="261"/>
      <c r="Z538" s="9"/>
      <c r="AA538" s="9"/>
      <c r="AB538" s="9"/>
      <c r="AC538" s="9"/>
      <c r="AD538" s="111"/>
      <c r="AE538" s="9"/>
      <c r="AF538" s="550"/>
    </row>
    <row r="539" spans="2:32" x14ac:dyDescent="0.3">
      <c r="B539" s="9"/>
      <c r="C539" s="9"/>
      <c r="D539" s="9"/>
      <c r="E539" s="9"/>
      <c r="F539" s="9"/>
      <c r="G539" s="9"/>
      <c r="H539" s="9"/>
      <c r="I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395"/>
      <c r="X539" s="261"/>
      <c r="Y539" s="261"/>
      <c r="Z539" s="9"/>
      <c r="AA539" s="9"/>
      <c r="AB539" s="9"/>
      <c r="AC539" s="9"/>
      <c r="AD539" s="111"/>
      <c r="AE539" s="9"/>
      <c r="AF539" s="550"/>
    </row>
    <row r="540" spans="2:32" x14ac:dyDescent="0.3">
      <c r="B540" s="9"/>
      <c r="C540" s="9"/>
      <c r="D540" s="9"/>
      <c r="E540" s="9"/>
      <c r="F540" s="9"/>
      <c r="G540" s="9"/>
      <c r="H540" s="9"/>
      <c r="I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395"/>
      <c r="X540" s="261"/>
      <c r="Y540" s="261"/>
      <c r="Z540" s="9"/>
      <c r="AA540" s="9"/>
      <c r="AB540" s="9"/>
      <c r="AC540" s="9"/>
      <c r="AD540" s="111"/>
      <c r="AE540" s="9"/>
      <c r="AF540" s="550"/>
    </row>
    <row r="541" spans="2:32" x14ac:dyDescent="0.3">
      <c r="B541" s="9"/>
      <c r="C541" s="9"/>
      <c r="D541" s="9"/>
      <c r="E541" s="9"/>
      <c r="F541" s="9"/>
      <c r="G541" s="9"/>
      <c r="H541" s="9"/>
      <c r="I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395"/>
      <c r="X541" s="261"/>
      <c r="Y541" s="261"/>
      <c r="Z541" s="9"/>
      <c r="AA541" s="9"/>
      <c r="AB541" s="9"/>
      <c r="AC541" s="9"/>
      <c r="AD541" s="111"/>
      <c r="AE541" s="9"/>
      <c r="AF541" s="550"/>
    </row>
    <row r="542" spans="2:32" x14ac:dyDescent="0.3">
      <c r="B542" s="9"/>
      <c r="C542" s="9"/>
      <c r="D542" s="9"/>
      <c r="E542" s="9"/>
      <c r="F542" s="9"/>
      <c r="G542" s="9"/>
      <c r="H542" s="9"/>
      <c r="I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395"/>
      <c r="X542" s="261"/>
      <c r="Y542" s="261"/>
      <c r="Z542" s="9"/>
      <c r="AA542" s="9"/>
      <c r="AB542" s="9"/>
      <c r="AC542" s="9"/>
      <c r="AD542" s="111"/>
      <c r="AE542" s="9"/>
      <c r="AF542" s="550"/>
    </row>
    <row r="543" spans="2:32" x14ac:dyDescent="0.3">
      <c r="B543" s="9"/>
      <c r="C543" s="9"/>
      <c r="D543" s="9"/>
      <c r="E543" s="9"/>
      <c r="F543" s="9"/>
      <c r="G543" s="9"/>
      <c r="H543" s="9"/>
      <c r="I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395"/>
      <c r="X543" s="261"/>
      <c r="Y543" s="261"/>
      <c r="Z543" s="9"/>
      <c r="AA543" s="9"/>
      <c r="AB543" s="9"/>
      <c r="AC543" s="9"/>
      <c r="AD543" s="111"/>
      <c r="AE543" s="9"/>
      <c r="AF543" s="550"/>
    </row>
    <row r="544" spans="2:32" x14ac:dyDescent="0.3">
      <c r="B544" s="9"/>
      <c r="C544" s="9"/>
      <c r="D544" s="9"/>
      <c r="E544" s="9"/>
      <c r="F544" s="9"/>
      <c r="G544" s="9"/>
      <c r="H544" s="9"/>
      <c r="I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395"/>
      <c r="X544" s="261"/>
      <c r="Y544" s="261"/>
      <c r="Z544" s="9"/>
      <c r="AA544" s="9"/>
      <c r="AB544" s="9"/>
      <c r="AC544" s="9"/>
      <c r="AD544" s="111"/>
      <c r="AE544" s="9"/>
      <c r="AF544" s="550"/>
    </row>
    <row r="545" spans="2:32" x14ac:dyDescent="0.3">
      <c r="B545" s="9"/>
      <c r="C545" s="9"/>
      <c r="D545" s="9"/>
      <c r="E545" s="9"/>
      <c r="F545" s="9"/>
      <c r="G545" s="9"/>
      <c r="H545" s="9"/>
      <c r="I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395"/>
      <c r="X545" s="261"/>
      <c r="Y545" s="261"/>
      <c r="Z545" s="9"/>
      <c r="AA545" s="9"/>
      <c r="AB545" s="9"/>
      <c r="AC545" s="9"/>
      <c r="AD545" s="111"/>
      <c r="AE545" s="9"/>
      <c r="AF545" s="550"/>
    </row>
    <row r="546" spans="2:32" x14ac:dyDescent="0.3">
      <c r="B546" s="9"/>
      <c r="C546" s="9"/>
      <c r="D546" s="9"/>
      <c r="E546" s="9"/>
      <c r="F546" s="9"/>
      <c r="G546" s="9"/>
      <c r="H546" s="9"/>
      <c r="I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395"/>
      <c r="X546" s="261"/>
      <c r="Y546" s="261"/>
      <c r="Z546" s="9"/>
      <c r="AA546" s="9"/>
      <c r="AB546" s="9"/>
      <c r="AC546" s="9"/>
      <c r="AD546" s="111"/>
      <c r="AE546" s="9"/>
      <c r="AF546" s="550"/>
    </row>
    <row r="547" spans="2:32" x14ac:dyDescent="0.3">
      <c r="B547" s="9"/>
      <c r="C547" s="9"/>
      <c r="D547" s="9"/>
      <c r="E547" s="9"/>
      <c r="F547" s="9"/>
      <c r="G547" s="9"/>
      <c r="H547" s="9"/>
      <c r="I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395"/>
      <c r="X547" s="261"/>
      <c r="Y547" s="261"/>
      <c r="Z547" s="9"/>
      <c r="AA547" s="9"/>
      <c r="AB547" s="9"/>
      <c r="AC547" s="9"/>
      <c r="AD547" s="111"/>
      <c r="AE547" s="9"/>
      <c r="AF547" s="550"/>
    </row>
    <row r="548" spans="2:32" x14ac:dyDescent="0.3">
      <c r="B548" s="9"/>
      <c r="C548" s="9"/>
      <c r="D548" s="9"/>
      <c r="E548" s="9"/>
      <c r="F548" s="9"/>
      <c r="G548" s="9"/>
      <c r="H548" s="9"/>
      <c r="I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395"/>
      <c r="X548" s="261"/>
      <c r="Y548" s="261"/>
      <c r="Z548" s="9"/>
      <c r="AA548" s="9"/>
      <c r="AB548" s="9"/>
      <c r="AC548" s="9"/>
      <c r="AD548" s="111"/>
      <c r="AE548" s="9"/>
      <c r="AF548" s="550"/>
    </row>
    <row r="549" spans="2:32" x14ac:dyDescent="0.3">
      <c r="B549" s="9"/>
      <c r="C549" s="9"/>
      <c r="D549" s="9"/>
      <c r="E549" s="9"/>
      <c r="F549" s="9"/>
      <c r="G549" s="9"/>
      <c r="H549" s="9"/>
      <c r="I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395"/>
      <c r="X549" s="261"/>
      <c r="Y549" s="261"/>
      <c r="Z549" s="9"/>
      <c r="AA549" s="9"/>
      <c r="AB549" s="9"/>
      <c r="AC549" s="9"/>
      <c r="AD549" s="111"/>
      <c r="AE549" s="9"/>
      <c r="AF549" s="550"/>
    </row>
    <row r="550" spans="2:32" x14ac:dyDescent="0.3">
      <c r="B550" s="9"/>
      <c r="C550" s="9"/>
      <c r="D550" s="9"/>
      <c r="E550" s="9"/>
      <c r="F550" s="9"/>
      <c r="G550" s="9"/>
      <c r="H550" s="9"/>
      <c r="I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395"/>
      <c r="X550" s="261"/>
      <c r="Y550" s="261"/>
      <c r="Z550" s="9"/>
      <c r="AA550" s="9"/>
      <c r="AB550" s="9"/>
      <c r="AC550" s="9"/>
      <c r="AD550" s="111"/>
      <c r="AE550" s="9"/>
      <c r="AF550" s="550"/>
    </row>
    <row r="551" spans="2:32" x14ac:dyDescent="0.3">
      <c r="B551" s="9"/>
      <c r="C551" s="9"/>
      <c r="D551" s="9"/>
      <c r="E551" s="9"/>
      <c r="F551" s="9"/>
      <c r="G551" s="9"/>
      <c r="H551" s="9"/>
      <c r="I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395"/>
      <c r="X551" s="261"/>
      <c r="Y551" s="261"/>
      <c r="Z551" s="9"/>
      <c r="AA551" s="9"/>
      <c r="AB551" s="9"/>
      <c r="AC551" s="9"/>
      <c r="AD551" s="111"/>
      <c r="AE551" s="9"/>
      <c r="AF551" s="550"/>
    </row>
    <row r="552" spans="2:32" x14ac:dyDescent="0.3">
      <c r="B552" s="9"/>
      <c r="C552" s="9"/>
      <c r="D552" s="9"/>
      <c r="E552" s="9"/>
      <c r="F552" s="9"/>
      <c r="G552" s="9"/>
      <c r="H552" s="9"/>
      <c r="I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395"/>
      <c r="X552" s="261"/>
      <c r="Y552" s="261"/>
      <c r="Z552" s="9"/>
      <c r="AA552" s="9"/>
      <c r="AB552" s="9"/>
      <c r="AC552" s="9"/>
      <c r="AD552" s="111"/>
      <c r="AE552" s="9"/>
      <c r="AF552" s="550"/>
    </row>
    <row r="553" spans="2:32" x14ac:dyDescent="0.3">
      <c r="B553" s="9"/>
      <c r="C553" s="9"/>
      <c r="D553" s="9"/>
      <c r="E553" s="9"/>
      <c r="F553" s="9"/>
      <c r="G553" s="9"/>
      <c r="H553" s="9"/>
      <c r="I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395"/>
      <c r="X553" s="261"/>
      <c r="Y553" s="261"/>
      <c r="Z553" s="9"/>
      <c r="AA553" s="9"/>
      <c r="AB553" s="9"/>
      <c r="AC553" s="9"/>
      <c r="AD553" s="111"/>
      <c r="AE553" s="9"/>
      <c r="AF553" s="550"/>
    </row>
    <row r="554" spans="2:32" x14ac:dyDescent="0.3">
      <c r="B554" s="9"/>
      <c r="C554" s="9"/>
      <c r="D554" s="9"/>
      <c r="E554" s="9"/>
      <c r="F554" s="9"/>
      <c r="G554" s="9"/>
      <c r="H554" s="9"/>
      <c r="I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395"/>
      <c r="X554" s="261"/>
      <c r="Y554" s="261"/>
      <c r="Z554" s="9"/>
      <c r="AA554" s="9"/>
      <c r="AB554" s="9"/>
      <c r="AC554" s="9"/>
      <c r="AD554" s="111"/>
      <c r="AE554" s="9"/>
      <c r="AF554" s="550"/>
    </row>
    <row r="555" spans="2:32" x14ac:dyDescent="0.3">
      <c r="B555" s="9"/>
      <c r="C555" s="9"/>
      <c r="D555" s="9"/>
      <c r="E555" s="9"/>
      <c r="F555" s="9"/>
      <c r="G555" s="9"/>
      <c r="H555" s="9"/>
      <c r="I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395"/>
      <c r="X555" s="261"/>
      <c r="Y555" s="261"/>
      <c r="Z555" s="9"/>
      <c r="AA555" s="9"/>
      <c r="AB555" s="9"/>
      <c r="AC555" s="9"/>
      <c r="AD555" s="111"/>
      <c r="AE555" s="9"/>
      <c r="AF555" s="550"/>
    </row>
    <row r="556" spans="2:32" x14ac:dyDescent="0.3">
      <c r="B556" s="9"/>
      <c r="C556" s="9"/>
      <c r="D556" s="9"/>
      <c r="E556" s="9"/>
      <c r="F556" s="9"/>
      <c r="G556" s="9"/>
      <c r="H556" s="9"/>
      <c r="I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395"/>
      <c r="X556" s="261"/>
      <c r="Y556" s="261"/>
      <c r="Z556" s="9"/>
      <c r="AA556" s="9"/>
      <c r="AB556" s="9"/>
      <c r="AC556" s="9"/>
      <c r="AD556" s="111"/>
      <c r="AE556" s="9"/>
      <c r="AF556" s="550"/>
    </row>
    <row r="557" spans="2:32" x14ac:dyDescent="0.3">
      <c r="B557" s="9"/>
      <c r="C557" s="9"/>
      <c r="D557" s="9"/>
      <c r="E557" s="9"/>
      <c r="F557" s="9"/>
      <c r="G557" s="9"/>
      <c r="H557" s="9"/>
      <c r="I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395"/>
      <c r="X557" s="261"/>
      <c r="Y557" s="261"/>
      <c r="Z557" s="9"/>
      <c r="AA557" s="9"/>
      <c r="AB557" s="9"/>
      <c r="AC557" s="9"/>
      <c r="AD557" s="111"/>
      <c r="AE557" s="9"/>
      <c r="AF557" s="550"/>
    </row>
    <row r="558" spans="2:32" x14ac:dyDescent="0.3">
      <c r="B558" s="9"/>
      <c r="C558" s="9"/>
      <c r="D558" s="9"/>
      <c r="E558" s="9"/>
      <c r="F558" s="9"/>
      <c r="G558" s="9"/>
      <c r="H558" s="9"/>
      <c r="I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395"/>
      <c r="X558" s="261"/>
      <c r="Y558" s="261"/>
      <c r="Z558" s="9"/>
      <c r="AA558" s="9"/>
      <c r="AB558" s="9"/>
      <c r="AC558" s="9"/>
      <c r="AD558" s="111"/>
      <c r="AE558" s="9"/>
      <c r="AF558" s="550"/>
    </row>
    <row r="559" spans="2:32" x14ac:dyDescent="0.3">
      <c r="B559" s="9"/>
      <c r="C559" s="9"/>
      <c r="D559" s="9"/>
      <c r="E559" s="9"/>
      <c r="F559" s="9"/>
      <c r="G559" s="9"/>
      <c r="H559" s="9"/>
      <c r="I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395"/>
      <c r="X559" s="261"/>
      <c r="Y559" s="261"/>
      <c r="Z559" s="9"/>
      <c r="AA559" s="9"/>
      <c r="AB559" s="9"/>
      <c r="AC559" s="9"/>
      <c r="AD559" s="111"/>
      <c r="AE559" s="9"/>
      <c r="AF559" s="550"/>
    </row>
    <row r="560" spans="2:32" x14ac:dyDescent="0.3">
      <c r="B560" s="9"/>
      <c r="C560" s="9"/>
      <c r="D560" s="9"/>
      <c r="E560" s="9"/>
      <c r="F560" s="9"/>
      <c r="G560" s="9"/>
      <c r="H560" s="9"/>
      <c r="I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395"/>
      <c r="X560" s="261"/>
      <c r="Y560" s="261"/>
      <c r="Z560" s="9"/>
      <c r="AA560" s="9"/>
      <c r="AB560" s="9"/>
      <c r="AC560" s="9"/>
      <c r="AD560" s="111"/>
      <c r="AE560" s="9"/>
      <c r="AF560" s="550"/>
    </row>
    <row r="561" spans="2:32" x14ac:dyDescent="0.3">
      <c r="B561" s="9"/>
      <c r="C561" s="9"/>
      <c r="D561" s="9"/>
      <c r="E561" s="9"/>
      <c r="F561" s="9"/>
      <c r="G561" s="9"/>
      <c r="H561" s="9"/>
      <c r="I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395"/>
      <c r="X561" s="261"/>
      <c r="Y561" s="261"/>
      <c r="Z561" s="9"/>
      <c r="AA561" s="9"/>
      <c r="AB561" s="9"/>
      <c r="AC561" s="9"/>
      <c r="AD561" s="111"/>
      <c r="AE561" s="9"/>
      <c r="AF561" s="550"/>
    </row>
    <row r="562" spans="2:32" x14ac:dyDescent="0.3">
      <c r="B562" s="9"/>
      <c r="C562" s="9"/>
      <c r="D562" s="9"/>
      <c r="E562" s="9"/>
      <c r="F562" s="9"/>
      <c r="G562" s="9"/>
      <c r="H562" s="9"/>
      <c r="I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395"/>
      <c r="X562" s="261"/>
      <c r="Y562" s="261"/>
      <c r="Z562" s="9"/>
      <c r="AA562" s="9"/>
      <c r="AB562" s="9"/>
      <c r="AC562" s="9"/>
      <c r="AD562" s="111"/>
      <c r="AE562" s="9"/>
      <c r="AF562" s="550"/>
    </row>
    <row r="563" spans="2:32" x14ac:dyDescent="0.3">
      <c r="B563" s="9"/>
      <c r="C563" s="9"/>
      <c r="D563" s="9"/>
      <c r="E563" s="9"/>
      <c r="F563" s="9"/>
      <c r="G563" s="9"/>
      <c r="H563" s="9"/>
      <c r="I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395"/>
      <c r="X563" s="261"/>
      <c r="Y563" s="261"/>
      <c r="Z563" s="9"/>
      <c r="AA563" s="9"/>
      <c r="AB563" s="9"/>
      <c r="AC563" s="9"/>
      <c r="AD563" s="111"/>
      <c r="AE563" s="9"/>
      <c r="AF563" s="550"/>
    </row>
    <row r="564" spans="2:32" x14ac:dyDescent="0.3">
      <c r="B564" s="9"/>
      <c r="C564" s="9"/>
      <c r="D564" s="9"/>
      <c r="E564" s="9"/>
      <c r="F564" s="9"/>
      <c r="G564" s="9"/>
      <c r="H564" s="9"/>
      <c r="I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395"/>
      <c r="X564" s="261"/>
      <c r="Y564" s="261"/>
      <c r="Z564" s="9"/>
      <c r="AA564" s="9"/>
      <c r="AB564" s="9"/>
      <c r="AC564" s="9"/>
      <c r="AD564" s="111"/>
      <c r="AE564" s="9"/>
      <c r="AF564" s="550"/>
    </row>
    <row r="565" spans="2:32" x14ac:dyDescent="0.3">
      <c r="B565" s="9"/>
      <c r="C565" s="9"/>
      <c r="D565" s="9"/>
      <c r="E565" s="9"/>
      <c r="F565" s="9"/>
      <c r="G565" s="9"/>
      <c r="H565" s="9"/>
      <c r="I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395"/>
      <c r="X565" s="261"/>
      <c r="Y565" s="261"/>
      <c r="Z565" s="9"/>
      <c r="AA565" s="9"/>
      <c r="AB565" s="9"/>
      <c r="AC565" s="9"/>
      <c r="AD565" s="111"/>
      <c r="AE565" s="9"/>
      <c r="AF565" s="550"/>
    </row>
    <row r="566" spans="2:32" x14ac:dyDescent="0.3">
      <c r="B566" s="9"/>
      <c r="C566" s="9"/>
      <c r="D566" s="9"/>
      <c r="E566" s="9"/>
      <c r="F566" s="9"/>
      <c r="G566" s="9"/>
      <c r="H566" s="9"/>
      <c r="I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395"/>
      <c r="X566" s="261"/>
      <c r="Y566" s="261"/>
      <c r="Z566" s="9"/>
      <c r="AA566" s="9"/>
      <c r="AB566" s="9"/>
      <c r="AC566" s="9"/>
      <c r="AD566" s="111"/>
      <c r="AE566" s="9"/>
      <c r="AF566" s="550"/>
    </row>
    <row r="567" spans="2:32" x14ac:dyDescent="0.3">
      <c r="B567" s="9"/>
      <c r="C567" s="9"/>
      <c r="D567" s="9"/>
      <c r="E567" s="9"/>
      <c r="F567" s="9"/>
      <c r="G567" s="9"/>
      <c r="H567" s="9"/>
      <c r="I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395"/>
      <c r="X567" s="261"/>
      <c r="Y567" s="261"/>
      <c r="Z567" s="9"/>
      <c r="AA567" s="9"/>
      <c r="AB567" s="9"/>
      <c r="AC567" s="9"/>
      <c r="AD567" s="111"/>
      <c r="AE567" s="9"/>
      <c r="AF567" s="550"/>
    </row>
    <row r="568" spans="2:32" x14ac:dyDescent="0.3">
      <c r="B568" s="9"/>
      <c r="C568" s="9"/>
      <c r="D568" s="9"/>
      <c r="E568" s="9"/>
      <c r="F568" s="9"/>
      <c r="G568" s="9"/>
      <c r="H568" s="9"/>
      <c r="I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395"/>
      <c r="X568" s="261"/>
      <c r="Y568" s="261"/>
      <c r="Z568" s="9"/>
      <c r="AA568" s="9"/>
      <c r="AB568" s="9"/>
      <c r="AC568" s="9"/>
      <c r="AD568" s="111"/>
      <c r="AE568" s="9"/>
      <c r="AF568" s="550"/>
    </row>
    <row r="569" spans="2:32" x14ac:dyDescent="0.3">
      <c r="B569" s="9"/>
      <c r="C569" s="9"/>
      <c r="D569" s="9"/>
      <c r="E569" s="9"/>
      <c r="F569" s="9"/>
      <c r="G569" s="9"/>
      <c r="H569" s="9"/>
      <c r="I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395"/>
      <c r="X569" s="261"/>
      <c r="Y569" s="261"/>
      <c r="Z569" s="9"/>
      <c r="AA569" s="9"/>
      <c r="AB569" s="9"/>
      <c r="AC569" s="9"/>
      <c r="AD569" s="111"/>
      <c r="AE569" s="9"/>
      <c r="AF569" s="550"/>
    </row>
    <row r="570" spans="2:32" x14ac:dyDescent="0.3">
      <c r="B570" s="9"/>
      <c r="C570" s="9"/>
      <c r="D570" s="9"/>
      <c r="E570" s="9"/>
      <c r="F570" s="9"/>
      <c r="G570" s="9"/>
      <c r="H570" s="9"/>
      <c r="I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395"/>
      <c r="X570" s="261"/>
      <c r="Y570" s="261"/>
      <c r="Z570" s="9"/>
      <c r="AA570" s="9"/>
      <c r="AB570" s="9"/>
      <c r="AC570" s="9"/>
      <c r="AD570" s="111"/>
      <c r="AE570" s="9"/>
      <c r="AF570" s="550"/>
    </row>
    <row r="571" spans="2:32" x14ac:dyDescent="0.3">
      <c r="B571" s="9"/>
      <c r="C571" s="9"/>
      <c r="D571" s="9"/>
      <c r="E571" s="9"/>
      <c r="F571" s="9"/>
      <c r="G571" s="9"/>
      <c r="H571" s="9"/>
      <c r="I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395"/>
      <c r="X571" s="261"/>
      <c r="Y571" s="261"/>
      <c r="Z571" s="9"/>
      <c r="AA571" s="9"/>
      <c r="AB571" s="9"/>
      <c r="AC571" s="9"/>
      <c r="AD571" s="111"/>
      <c r="AE571" s="9"/>
      <c r="AF571" s="550"/>
    </row>
    <row r="572" spans="2:32" x14ac:dyDescent="0.3">
      <c r="B572" s="9"/>
      <c r="C572" s="9"/>
      <c r="D572" s="9"/>
      <c r="E572" s="9"/>
      <c r="F572" s="9"/>
      <c r="G572" s="9"/>
      <c r="H572" s="9"/>
      <c r="I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395"/>
      <c r="X572" s="261"/>
      <c r="Y572" s="261"/>
      <c r="Z572" s="9"/>
      <c r="AA572" s="9"/>
      <c r="AB572" s="9"/>
      <c r="AC572" s="9"/>
      <c r="AD572" s="111"/>
      <c r="AE572" s="9"/>
      <c r="AF572" s="550"/>
    </row>
    <row r="573" spans="2:32" x14ac:dyDescent="0.3">
      <c r="B573" s="9"/>
      <c r="C573" s="9"/>
      <c r="D573" s="9"/>
      <c r="E573" s="9"/>
      <c r="F573" s="9"/>
      <c r="G573" s="9"/>
      <c r="H573" s="9"/>
      <c r="I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395"/>
      <c r="X573" s="261"/>
      <c r="Y573" s="261"/>
      <c r="Z573" s="9"/>
      <c r="AA573" s="9"/>
      <c r="AB573" s="9"/>
      <c r="AC573" s="9"/>
      <c r="AD573" s="111"/>
      <c r="AE573" s="9"/>
      <c r="AF573" s="550"/>
    </row>
    <row r="574" spans="2:32" x14ac:dyDescent="0.3">
      <c r="B574" s="9"/>
      <c r="C574" s="9"/>
      <c r="D574" s="9"/>
      <c r="E574" s="9"/>
      <c r="F574" s="9"/>
      <c r="G574" s="9"/>
      <c r="H574" s="9"/>
      <c r="I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395"/>
      <c r="X574" s="261"/>
      <c r="Y574" s="261"/>
      <c r="Z574" s="9"/>
      <c r="AA574" s="9"/>
      <c r="AB574" s="9"/>
      <c r="AC574" s="9"/>
      <c r="AD574" s="111"/>
      <c r="AE574" s="9"/>
      <c r="AF574" s="550"/>
    </row>
    <row r="575" spans="2:32" x14ac:dyDescent="0.3">
      <c r="B575" s="9"/>
      <c r="C575" s="9"/>
      <c r="D575" s="9"/>
      <c r="E575" s="9"/>
      <c r="F575" s="9"/>
      <c r="G575" s="9"/>
      <c r="H575" s="9"/>
      <c r="I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395"/>
      <c r="X575" s="261"/>
      <c r="Y575" s="261"/>
      <c r="Z575" s="9"/>
      <c r="AA575" s="9"/>
      <c r="AB575" s="9"/>
      <c r="AC575" s="9"/>
      <c r="AD575" s="111"/>
      <c r="AE575" s="9"/>
      <c r="AF575" s="550"/>
    </row>
    <row r="576" spans="2:32" x14ac:dyDescent="0.3">
      <c r="B576" s="9"/>
      <c r="C576" s="9"/>
      <c r="D576" s="9"/>
      <c r="E576" s="9"/>
      <c r="F576" s="9"/>
      <c r="G576" s="9"/>
      <c r="H576" s="9"/>
      <c r="I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395"/>
      <c r="X576" s="261"/>
      <c r="Y576" s="261"/>
      <c r="Z576" s="9"/>
      <c r="AA576" s="9"/>
      <c r="AB576" s="9"/>
      <c r="AC576" s="9"/>
      <c r="AD576" s="111"/>
      <c r="AE576" s="9"/>
      <c r="AF576" s="550"/>
    </row>
    <row r="577" spans="2:32" x14ac:dyDescent="0.3">
      <c r="B577" s="9"/>
      <c r="C577" s="9"/>
      <c r="D577" s="9"/>
      <c r="E577" s="9"/>
      <c r="F577" s="9"/>
      <c r="G577" s="9"/>
      <c r="H577" s="9"/>
      <c r="I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395"/>
      <c r="X577" s="261"/>
      <c r="Y577" s="261"/>
      <c r="Z577" s="9"/>
      <c r="AA577" s="9"/>
      <c r="AB577" s="9"/>
      <c r="AC577" s="9"/>
      <c r="AD577" s="111"/>
      <c r="AE577" s="9"/>
      <c r="AF577" s="550"/>
    </row>
    <row r="578" spans="2:32" x14ac:dyDescent="0.3">
      <c r="B578" s="9"/>
      <c r="C578" s="9"/>
      <c r="D578" s="9"/>
      <c r="E578" s="9"/>
      <c r="F578" s="9"/>
      <c r="G578" s="9"/>
      <c r="H578" s="9"/>
      <c r="I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395"/>
      <c r="X578" s="261"/>
      <c r="Y578" s="261"/>
      <c r="Z578" s="9"/>
      <c r="AA578" s="9"/>
      <c r="AB578" s="9"/>
      <c r="AC578" s="9"/>
      <c r="AD578" s="111"/>
      <c r="AE578" s="9"/>
      <c r="AF578" s="550"/>
    </row>
    <row r="579" spans="2:32" x14ac:dyDescent="0.3">
      <c r="B579" s="9"/>
      <c r="C579" s="9"/>
      <c r="D579" s="9"/>
      <c r="E579" s="9"/>
      <c r="F579" s="9"/>
      <c r="G579" s="9"/>
      <c r="H579" s="9"/>
      <c r="I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395"/>
      <c r="X579" s="261"/>
      <c r="Y579" s="261"/>
      <c r="Z579" s="9"/>
      <c r="AA579" s="9"/>
      <c r="AB579" s="9"/>
      <c r="AC579" s="9"/>
      <c r="AD579" s="111"/>
      <c r="AE579" s="9"/>
      <c r="AF579" s="550"/>
    </row>
    <row r="580" spans="2:32" x14ac:dyDescent="0.3">
      <c r="B580" s="9"/>
      <c r="C580" s="9"/>
      <c r="D580" s="9"/>
      <c r="E580" s="9"/>
      <c r="F580" s="9"/>
      <c r="G580" s="9"/>
      <c r="H580" s="9"/>
      <c r="I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395"/>
      <c r="X580" s="261"/>
      <c r="Y580" s="261"/>
      <c r="Z580" s="9"/>
      <c r="AA580" s="9"/>
      <c r="AB580" s="9"/>
      <c r="AC580" s="9"/>
      <c r="AD580" s="111"/>
      <c r="AE580" s="9"/>
      <c r="AF580" s="550"/>
    </row>
    <row r="581" spans="2:32" x14ac:dyDescent="0.3">
      <c r="B581" s="9"/>
      <c r="C581" s="9"/>
      <c r="D581" s="9"/>
      <c r="E581" s="9"/>
      <c r="F581" s="9"/>
      <c r="G581" s="9"/>
      <c r="H581" s="9"/>
      <c r="I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395"/>
      <c r="X581" s="261"/>
      <c r="Y581" s="261"/>
      <c r="Z581" s="9"/>
      <c r="AA581" s="9"/>
      <c r="AB581" s="9"/>
      <c r="AC581" s="9"/>
      <c r="AD581" s="111"/>
      <c r="AE581" s="9"/>
      <c r="AF581" s="550"/>
    </row>
    <row r="582" spans="2:32" x14ac:dyDescent="0.3">
      <c r="B582" s="9"/>
      <c r="C582" s="9"/>
      <c r="D582" s="9"/>
      <c r="E582" s="9"/>
      <c r="F582" s="9"/>
      <c r="G582" s="9"/>
      <c r="H582" s="9"/>
      <c r="I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395"/>
      <c r="X582" s="261"/>
      <c r="Y582" s="261"/>
      <c r="Z582" s="9"/>
      <c r="AA582" s="9"/>
      <c r="AB582" s="9"/>
      <c r="AC582" s="9"/>
      <c r="AD582" s="111"/>
      <c r="AE582" s="9"/>
      <c r="AF582" s="550"/>
    </row>
    <row r="583" spans="2:32" x14ac:dyDescent="0.3">
      <c r="B583" s="9"/>
      <c r="C583" s="9"/>
      <c r="D583" s="9"/>
      <c r="E583" s="9"/>
      <c r="F583" s="9"/>
      <c r="G583" s="9"/>
      <c r="H583" s="9"/>
      <c r="I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395"/>
      <c r="X583" s="261"/>
      <c r="Y583" s="261"/>
      <c r="Z583" s="9"/>
      <c r="AA583" s="9"/>
      <c r="AB583" s="9"/>
      <c r="AC583" s="9"/>
      <c r="AD583" s="111"/>
      <c r="AE583" s="9"/>
      <c r="AF583" s="550"/>
    </row>
    <row r="584" spans="2:32" x14ac:dyDescent="0.3">
      <c r="B584" s="9"/>
      <c r="C584" s="9"/>
      <c r="D584" s="9"/>
      <c r="E584" s="9"/>
      <c r="F584" s="9"/>
      <c r="G584" s="9"/>
      <c r="H584" s="9"/>
      <c r="I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395"/>
      <c r="X584" s="261"/>
      <c r="Y584" s="261"/>
      <c r="Z584" s="9"/>
      <c r="AA584" s="9"/>
      <c r="AB584" s="9"/>
      <c r="AC584" s="9"/>
      <c r="AD584" s="111"/>
      <c r="AE584" s="9"/>
      <c r="AF584" s="550"/>
    </row>
    <row r="585" spans="2:32" x14ac:dyDescent="0.3">
      <c r="B585" s="9"/>
      <c r="C585" s="9"/>
      <c r="D585" s="9"/>
      <c r="E585" s="9"/>
      <c r="F585" s="9"/>
      <c r="G585" s="9"/>
      <c r="H585" s="9"/>
      <c r="I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395"/>
      <c r="X585" s="261"/>
      <c r="Y585" s="261"/>
      <c r="Z585" s="9"/>
      <c r="AA585" s="9"/>
      <c r="AB585" s="9"/>
      <c r="AC585" s="9"/>
      <c r="AD585" s="111"/>
      <c r="AE585" s="9"/>
      <c r="AF585" s="550"/>
    </row>
    <row r="586" spans="2:32" x14ac:dyDescent="0.3">
      <c r="B586" s="9"/>
      <c r="C586" s="9"/>
      <c r="D586" s="9"/>
      <c r="E586" s="9"/>
      <c r="F586" s="9"/>
      <c r="G586" s="9"/>
      <c r="H586" s="9"/>
      <c r="I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395"/>
      <c r="X586" s="261"/>
      <c r="Y586" s="261"/>
      <c r="Z586" s="9"/>
      <c r="AA586" s="9"/>
      <c r="AB586" s="9"/>
      <c r="AC586" s="9"/>
      <c r="AD586" s="111"/>
      <c r="AE586" s="9"/>
      <c r="AF586" s="550"/>
    </row>
    <row r="587" spans="2:32" x14ac:dyDescent="0.3">
      <c r="B587" s="9"/>
      <c r="C587" s="9"/>
      <c r="D587" s="9"/>
      <c r="E587" s="9"/>
      <c r="F587" s="9"/>
      <c r="G587" s="9"/>
      <c r="H587" s="9"/>
      <c r="I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395"/>
      <c r="X587" s="261"/>
      <c r="Y587" s="261"/>
      <c r="Z587" s="9"/>
      <c r="AA587" s="9"/>
      <c r="AB587" s="9"/>
      <c r="AC587" s="9"/>
      <c r="AD587" s="111"/>
      <c r="AE587" s="9"/>
      <c r="AF587" s="550"/>
    </row>
    <row r="588" spans="2:32" x14ac:dyDescent="0.3">
      <c r="B588" s="9"/>
      <c r="C588" s="9"/>
      <c r="D588" s="9"/>
      <c r="E588" s="9"/>
      <c r="F588" s="9"/>
      <c r="G588" s="9"/>
      <c r="H588" s="9"/>
      <c r="I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395"/>
      <c r="X588" s="261"/>
      <c r="Y588" s="261"/>
      <c r="Z588" s="9"/>
      <c r="AA588" s="9"/>
      <c r="AB588" s="9"/>
      <c r="AC588" s="9"/>
      <c r="AD588" s="111"/>
      <c r="AE588" s="9"/>
      <c r="AF588" s="550"/>
    </row>
    <row r="589" spans="2:32" x14ac:dyDescent="0.3">
      <c r="B589" s="9"/>
      <c r="C589" s="9"/>
      <c r="D589" s="9"/>
      <c r="E589" s="9"/>
      <c r="F589" s="9"/>
      <c r="G589" s="9"/>
      <c r="H589" s="9"/>
      <c r="I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395"/>
      <c r="X589" s="261"/>
      <c r="Y589" s="261"/>
      <c r="Z589" s="9"/>
      <c r="AA589" s="9"/>
      <c r="AB589" s="9"/>
      <c r="AC589" s="9"/>
      <c r="AD589" s="111"/>
      <c r="AE589" s="9"/>
      <c r="AF589" s="550"/>
    </row>
    <row r="590" spans="2:32" x14ac:dyDescent="0.3">
      <c r="B590" s="9"/>
      <c r="C590" s="9"/>
      <c r="D590" s="9"/>
      <c r="E590" s="9"/>
      <c r="F590" s="9"/>
      <c r="G590" s="9"/>
      <c r="H590" s="9"/>
      <c r="I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395"/>
      <c r="X590" s="261"/>
      <c r="Y590" s="261"/>
      <c r="Z590" s="9"/>
      <c r="AA590" s="9"/>
      <c r="AB590" s="9"/>
      <c r="AC590" s="9"/>
      <c r="AD590" s="111"/>
      <c r="AE590" s="9"/>
      <c r="AF590" s="550"/>
    </row>
    <row r="591" spans="2:32" x14ac:dyDescent="0.3">
      <c r="B591" s="9"/>
      <c r="C591" s="9"/>
      <c r="D591" s="9"/>
      <c r="E591" s="9"/>
      <c r="F591" s="9"/>
      <c r="G591" s="9"/>
      <c r="H591" s="9"/>
      <c r="I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395"/>
      <c r="X591" s="261"/>
      <c r="Y591" s="261"/>
      <c r="Z591" s="9"/>
      <c r="AA591" s="9"/>
      <c r="AB591" s="9"/>
      <c r="AC591" s="9"/>
      <c r="AD591" s="111"/>
      <c r="AE591" s="9"/>
      <c r="AF591" s="550"/>
    </row>
    <row r="592" spans="2:32" x14ac:dyDescent="0.3">
      <c r="B592" s="9"/>
      <c r="C592" s="9"/>
      <c r="D592" s="9"/>
      <c r="E592" s="9"/>
      <c r="F592" s="9"/>
      <c r="G592" s="9"/>
      <c r="H592" s="9"/>
      <c r="I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395"/>
      <c r="X592" s="261"/>
      <c r="Y592" s="261"/>
      <c r="Z592" s="9"/>
      <c r="AA592" s="9"/>
      <c r="AB592" s="9"/>
      <c r="AC592" s="9"/>
      <c r="AD592" s="111"/>
      <c r="AE592" s="9"/>
      <c r="AF592" s="550"/>
    </row>
    <row r="593" spans="2:32" x14ac:dyDescent="0.3">
      <c r="B593" s="9"/>
      <c r="C593" s="9"/>
      <c r="D593" s="9"/>
      <c r="E593" s="9"/>
      <c r="F593" s="9"/>
      <c r="G593" s="9"/>
      <c r="H593" s="9"/>
      <c r="I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395"/>
      <c r="X593" s="261"/>
      <c r="Y593" s="261"/>
      <c r="Z593" s="9"/>
      <c r="AA593" s="9"/>
      <c r="AB593" s="9"/>
      <c r="AC593" s="9"/>
      <c r="AD593" s="111"/>
      <c r="AE593" s="9"/>
      <c r="AF593" s="550"/>
    </row>
    <row r="594" spans="2:32" x14ac:dyDescent="0.3">
      <c r="B594" s="9"/>
      <c r="C594" s="9"/>
      <c r="D594" s="9"/>
      <c r="E594" s="9"/>
      <c r="F594" s="9"/>
      <c r="G594" s="9"/>
      <c r="H594" s="9"/>
      <c r="I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395"/>
      <c r="X594" s="261"/>
      <c r="Y594" s="261"/>
      <c r="Z594" s="9"/>
      <c r="AA594" s="9"/>
      <c r="AB594" s="9"/>
      <c r="AC594" s="9"/>
      <c r="AD594" s="111"/>
      <c r="AE594" s="9"/>
      <c r="AF594" s="550"/>
    </row>
    <row r="595" spans="2:32" x14ac:dyDescent="0.3">
      <c r="B595" s="9"/>
      <c r="C595" s="9"/>
      <c r="D595" s="9"/>
      <c r="E595" s="9"/>
      <c r="F595" s="9"/>
      <c r="G595" s="9"/>
      <c r="H595" s="9"/>
      <c r="I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395"/>
      <c r="X595" s="261"/>
      <c r="Y595" s="261"/>
      <c r="Z595" s="9"/>
      <c r="AA595" s="9"/>
      <c r="AB595" s="9"/>
      <c r="AC595" s="9"/>
      <c r="AD595" s="111"/>
      <c r="AE595" s="9"/>
      <c r="AF595" s="550"/>
    </row>
    <row r="596" spans="2:32" x14ac:dyDescent="0.3">
      <c r="B596" s="9"/>
      <c r="C596" s="9"/>
      <c r="D596" s="9"/>
      <c r="E596" s="9"/>
      <c r="F596" s="9"/>
      <c r="G596" s="9"/>
      <c r="H596" s="9"/>
      <c r="I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395"/>
      <c r="X596" s="261"/>
      <c r="Y596" s="261"/>
      <c r="Z596" s="9"/>
      <c r="AA596" s="9"/>
      <c r="AB596" s="9"/>
      <c r="AC596" s="9"/>
      <c r="AD596" s="111"/>
      <c r="AE596" s="9"/>
      <c r="AF596" s="550"/>
    </row>
    <row r="597" spans="2:32" x14ac:dyDescent="0.3">
      <c r="B597" s="9"/>
      <c r="C597" s="9"/>
      <c r="D597" s="9"/>
      <c r="E597" s="9"/>
      <c r="F597" s="9"/>
      <c r="G597" s="9"/>
      <c r="H597" s="9"/>
      <c r="I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395"/>
      <c r="X597" s="261"/>
      <c r="Y597" s="261"/>
      <c r="Z597" s="9"/>
      <c r="AA597" s="9"/>
      <c r="AB597" s="9"/>
      <c r="AC597" s="9"/>
      <c r="AD597" s="111"/>
      <c r="AE597" s="9"/>
      <c r="AF597" s="550"/>
    </row>
    <row r="598" spans="2:32" x14ac:dyDescent="0.3">
      <c r="B598" s="9"/>
      <c r="C598" s="9"/>
      <c r="D598" s="9"/>
      <c r="E598" s="9"/>
      <c r="F598" s="9"/>
      <c r="G598" s="9"/>
      <c r="H598" s="9"/>
      <c r="I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395"/>
      <c r="X598" s="261"/>
      <c r="Y598" s="261"/>
      <c r="Z598" s="9"/>
      <c r="AA598" s="9"/>
      <c r="AB598" s="9"/>
      <c r="AC598" s="9"/>
      <c r="AD598" s="111"/>
      <c r="AE598" s="9"/>
      <c r="AF598" s="550"/>
    </row>
    <row r="599" spans="2:32" x14ac:dyDescent="0.3">
      <c r="B599" s="9"/>
      <c r="C599" s="9"/>
      <c r="D599" s="9"/>
      <c r="E599" s="9"/>
      <c r="F599" s="9"/>
      <c r="G599" s="9"/>
      <c r="H599" s="9"/>
      <c r="I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395"/>
      <c r="X599" s="261"/>
      <c r="Y599" s="261"/>
      <c r="Z599" s="9"/>
      <c r="AA599" s="9"/>
      <c r="AB599" s="9"/>
      <c r="AC599" s="9"/>
      <c r="AD599" s="111"/>
      <c r="AE599" s="9"/>
      <c r="AF599" s="550"/>
    </row>
    <row r="600" spans="2:32" x14ac:dyDescent="0.3">
      <c r="B600" s="9"/>
      <c r="C600" s="9"/>
      <c r="D600" s="9"/>
      <c r="E600" s="9"/>
      <c r="F600" s="9"/>
      <c r="G600" s="9"/>
      <c r="H600" s="9"/>
      <c r="I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395"/>
      <c r="X600" s="261"/>
      <c r="Y600" s="261"/>
      <c r="Z600" s="9"/>
      <c r="AA600" s="9"/>
      <c r="AB600" s="9"/>
      <c r="AC600" s="9"/>
      <c r="AD600" s="111"/>
      <c r="AE600" s="9"/>
      <c r="AF600" s="550"/>
    </row>
    <row r="601" spans="2:32" x14ac:dyDescent="0.3">
      <c r="B601" s="9"/>
      <c r="C601" s="9"/>
      <c r="D601" s="9"/>
      <c r="E601" s="9"/>
      <c r="F601" s="9"/>
      <c r="G601" s="9"/>
      <c r="H601" s="9"/>
      <c r="I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395"/>
      <c r="X601" s="261"/>
      <c r="Y601" s="261"/>
      <c r="Z601" s="9"/>
      <c r="AA601" s="9"/>
      <c r="AB601" s="9"/>
      <c r="AC601" s="9"/>
      <c r="AD601" s="111"/>
      <c r="AE601" s="9"/>
      <c r="AF601" s="550"/>
    </row>
    <row r="602" spans="2:32" x14ac:dyDescent="0.3">
      <c r="B602" s="9"/>
      <c r="C602" s="9"/>
      <c r="D602" s="9"/>
      <c r="E602" s="9"/>
      <c r="F602" s="9"/>
      <c r="G602" s="9"/>
      <c r="H602" s="9"/>
      <c r="I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395"/>
      <c r="X602" s="261"/>
      <c r="Y602" s="261"/>
      <c r="Z602" s="9"/>
      <c r="AA602" s="9"/>
      <c r="AB602" s="9"/>
      <c r="AC602" s="9"/>
      <c r="AD602" s="111"/>
      <c r="AE602" s="9"/>
      <c r="AF602" s="550"/>
    </row>
    <row r="603" spans="2:32" x14ac:dyDescent="0.3">
      <c r="B603" s="9"/>
      <c r="C603" s="9"/>
      <c r="D603" s="9"/>
      <c r="E603" s="9"/>
      <c r="F603" s="9"/>
      <c r="G603" s="9"/>
      <c r="H603" s="9"/>
      <c r="I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395"/>
      <c r="X603" s="261"/>
      <c r="Y603" s="261"/>
      <c r="Z603" s="9"/>
      <c r="AA603" s="9"/>
      <c r="AB603" s="9"/>
      <c r="AC603" s="9"/>
      <c r="AD603" s="111"/>
      <c r="AE603" s="9"/>
      <c r="AF603" s="550"/>
    </row>
    <row r="604" spans="2:32" x14ac:dyDescent="0.3">
      <c r="B604" s="9"/>
      <c r="C604" s="9"/>
      <c r="D604" s="9"/>
      <c r="E604" s="9"/>
      <c r="F604" s="9"/>
      <c r="G604" s="9"/>
      <c r="H604" s="9"/>
      <c r="I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395"/>
      <c r="X604" s="261"/>
      <c r="Y604" s="261"/>
      <c r="Z604" s="9"/>
      <c r="AA604" s="9"/>
      <c r="AB604" s="9"/>
      <c r="AC604" s="9"/>
      <c r="AD604" s="111"/>
      <c r="AE604" s="9"/>
      <c r="AF604" s="550"/>
    </row>
    <row r="605" spans="2:32" x14ac:dyDescent="0.3">
      <c r="B605" s="9"/>
      <c r="C605" s="9"/>
      <c r="D605" s="9"/>
      <c r="E605" s="9"/>
      <c r="F605" s="9"/>
      <c r="G605" s="9"/>
      <c r="H605" s="9"/>
      <c r="I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395"/>
      <c r="X605" s="261"/>
      <c r="Y605" s="261"/>
      <c r="Z605" s="9"/>
      <c r="AA605" s="9"/>
      <c r="AB605" s="9"/>
      <c r="AC605" s="9"/>
      <c r="AD605" s="111"/>
      <c r="AE605" s="9"/>
      <c r="AF605" s="550"/>
    </row>
    <row r="606" spans="2:32" x14ac:dyDescent="0.3">
      <c r="B606" s="9"/>
      <c r="C606" s="9"/>
      <c r="D606" s="9"/>
      <c r="E606" s="9"/>
      <c r="F606" s="9"/>
      <c r="G606" s="9"/>
      <c r="H606" s="9"/>
      <c r="I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395"/>
      <c r="X606" s="261"/>
      <c r="Y606" s="261"/>
      <c r="Z606" s="9"/>
      <c r="AA606" s="9"/>
      <c r="AB606" s="9"/>
      <c r="AC606" s="9"/>
      <c r="AD606" s="111"/>
      <c r="AE606" s="9"/>
      <c r="AF606" s="550"/>
    </row>
    <row r="607" spans="2:32" x14ac:dyDescent="0.3">
      <c r="B607" s="9"/>
      <c r="C607" s="9"/>
      <c r="D607" s="9"/>
      <c r="E607" s="9"/>
      <c r="F607" s="9"/>
      <c r="G607" s="9"/>
      <c r="H607" s="9"/>
      <c r="I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395"/>
      <c r="X607" s="261"/>
      <c r="Y607" s="261"/>
      <c r="Z607" s="9"/>
      <c r="AA607" s="9"/>
      <c r="AB607" s="9"/>
      <c r="AC607" s="9"/>
      <c r="AD607" s="111"/>
      <c r="AE607" s="9"/>
      <c r="AF607" s="550"/>
    </row>
    <row r="608" spans="2:32" x14ac:dyDescent="0.3">
      <c r="B608" s="9"/>
      <c r="C608" s="9"/>
      <c r="D608" s="9"/>
      <c r="E608" s="9"/>
      <c r="F608" s="9"/>
      <c r="G608" s="9"/>
      <c r="H608" s="9"/>
      <c r="I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395"/>
      <c r="X608" s="261"/>
      <c r="Y608" s="261"/>
      <c r="Z608" s="9"/>
      <c r="AA608" s="9"/>
      <c r="AB608" s="9"/>
      <c r="AC608" s="9"/>
      <c r="AD608" s="111"/>
      <c r="AE608" s="9"/>
      <c r="AF608" s="550"/>
    </row>
    <row r="609" spans="2:32" x14ac:dyDescent="0.3">
      <c r="B609" s="9"/>
      <c r="C609" s="9"/>
      <c r="D609" s="9"/>
      <c r="E609" s="9"/>
      <c r="F609" s="9"/>
      <c r="G609" s="9"/>
      <c r="H609" s="9"/>
      <c r="I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395"/>
      <c r="X609" s="261"/>
      <c r="Y609" s="261"/>
      <c r="Z609" s="9"/>
      <c r="AA609" s="9"/>
      <c r="AB609" s="9"/>
      <c r="AC609" s="9"/>
      <c r="AD609" s="111"/>
      <c r="AE609" s="9"/>
      <c r="AF609" s="550"/>
    </row>
    <row r="610" spans="2:32" x14ac:dyDescent="0.3">
      <c r="B610" s="9"/>
      <c r="C610" s="9"/>
      <c r="D610" s="9"/>
      <c r="E610" s="9"/>
      <c r="F610" s="9"/>
      <c r="G610" s="9"/>
      <c r="H610" s="9"/>
      <c r="I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395"/>
      <c r="X610" s="261"/>
      <c r="Y610" s="261"/>
      <c r="Z610" s="9"/>
      <c r="AA610" s="9"/>
      <c r="AB610" s="9"/>
      <c r="AC610" s="9"/>
      <c r="AD610" s="111"/>
      <c r="AE610" s="9"/>
      <c r="AF610" s="550"/>
    </row>
    <row r="611" spans="2:32" x14ac:dyDescent="0.3">
      <c r="B611" s="9"/>
      <c r="C611" s="9"/>
      <c r="D611" s="9"/>
      <c r="E611" s="9"/>
      <c r="F611" s="9"/>
      <c r="G611" s="9"/>
      <c r="H611" s="9"/>
      <c r="I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395"/>
      <c r="X611" s="261"/>
      <c r="Y611" s="261"/>
      <c r="Z611" s="9"/>
      <c r="AA611" s="9"/>
      <c r="AB611" s="9"/>
      <c r="AC611" s="9"/>
      <c r="AD611" s="111"/>
      <c r="AE611" s="9"/>
      <c r="AF611" s="550"/>
    </row>
    <row r="612" spans="2:32" x14ac:dyDescent="0.3">
      <c r="B612" s="9"/>
      <c r="C612" s="9"/>
      <c r="D612" s="9"/>
      <c r="E612" s="9"/>
      <c r="F612" s="9"/>
      <c r="G612" s="9"/>
      <c r="H612" s="9"/>
      <c r="I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395"/>
      <c r="X612" s="261"/>
      <c r="Y612" s="261"/>
      <c r="Z612" s="9"/>
      <c r="AA612" s="9"/>
      <c r="AB612" s="9"/>
      <c r="AC612" s="9"/>
      <c r="AD612" s="111"/>
      <c r="AE612" s="9"/>
      <c r="AF612" s="550"/>
    </row>
    <row r="613" spans="2:32" x14ac:dyDescent="0.3">
      <c r="B613" s="9"/>
      <c r="C613" s="9"/>
      <c r="D613" s="9"/>
      <c r="E613" s="9"/>
      <c r="F613" s="9"/>
      <c r="G613" s="9"/>
      <c r="H613" s="9"/>
      <c r="I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395"/>
      <c r="X613" s="261"/>
      <c r="Y613" s="261"/>
      <c r="Z613" s="9"/>
      <c r="AA613" s="9"/>
      <c r="AB613" s="9"/>
      <c r="AC613" s="9"/>
      <c r="AD613" s="111"/>
      <c r="AE613" s="9"/>
      <c r="AF613" s="550"/>
    </row>
    <row r="614" spans="2:32" x14ac:dyDescent="0.3">
      <c r="B614" s="9"/>
      <c r="C614" s="9"/>
      <c r="D614" s="9"/>
      <c r="E614" s="9"/>
      <c r="F614" s="9"/>
      <c r="G614" s="9"/>
      <c r="H614" s="9"/>
      <c r="I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395"/>
      <c r="X614" s="261"/>
      <c r="Y614" s="261"/>
      <c r="Z614" s="9"/>
      <c r="AA614" s="9"/>
      <c r="AB614" s="9"/>
      <c r="AC614" s="9"/>
      <c r="AD614" s="111"/>
      <c r="AE614" s="9"/>
      <c r="AF614" s="550"/>
    </row>
    <row r="615" spans="2:32" x14ac:dyDescent="0.3">
      <c r="B615" s="9"/>
      <c r="C615" s="9"/>
      <c r="D615" s="9"/>
      <c r="E615" s="9"/>
      <c r="F615" s="9"/>
      <c r="G615" s="9"/>
      <c r="H615" s="9"/>
      <c r="I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395"/>
      <c r="X615" s="261"/>
      <c r="Y615" s="261"/>
      <c r="Z615" s="9"/>
      <c r="AA615" s="9"/>
      <c r="AB615" s="9"/>
      <c r="AC615" s="9"/>
      <c r="AD615" s="111"/>
      <c r="AE615" s="9"/>
      <c r="AF615" s="550"/>
    </row>
    <row r="616" spans="2:32" x14ac:dyDescent="0.3">
      <c r="B616" s="9"/>
      <c r="C616" s="9"/>
      <c r="D616" s="9"/>
      <c r="E616" s="9"/>
      <c r="F616" s="9"/>
      <c r="G616" s="9"/>
      <c r="H616" s="9"/>
      <c r="I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395"/>
      <c r="X616" s="261"/>
      <c r="Y616" s="261"/>
      <c r="Z616" s="9"/>
      <c r="AA616" s="9"/>
      <c r="AB616" s="9"/>
      <c r="AC616" s="9"/>
      <c r="AD616" s="111"/>
      <c r="AE616" s="9"/>
      <c r="AF616" s="550"/>
    </row>
    <row r="617" spans="2:32" x14ac:dyDescent="0.3">
      <c r="B617" s="9"/>
      <c r="C617" s="9"/>
      <c r="D617" s="9"/>
      <c r="E617" s="9"/>
      <c r="F617" s="9"/>
      <c r="G617" s="9"/>
      <c r="H617" s="9"/>
      <c r="I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395"/>
      <c r="X617" s="261"/>
      <c r="Y617" s="261"/>
      <c r="Z617" s="9"/>
      <c r="AA617" s="9"/>
      <c r="AB617" s="9"/>
      <c r="AC617" s="9"/>
      <c r="AD617" s="111"/>
      <c r="AE617" s="9"/>
      <c r="AF617" s="550"/>
    </row>
    <row r="618" spans="2:32" x14ac:dyDescent="0.3">
      <c r="B618" s="9"/>
      <c r="C618" s="9"/>
      <c r="D618" s="9"/>
      <c r="E618" s="9"/>
      <c r="F618" s="9"/>
      <c r="G618" s="9"/>
      <c r="H618" s="9"/>
      <c r="I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395"/>
      <c r="X618" s="261"/>
      <c r="Y618" s="261"/>
      <c r="Z618" s="9"/>
      <c r="AA618" s="9"/>
      <c r="AB618" s="9"/>
      <c r="AC618" s="9"/>
      <c r="AD618" s="111"/>
      <c r="AE618" s="9"/>
      <c r="AF618" s="550"/>
    </row>
    <row r="619" spans="2:32" x14ac:dyDescent="0.3">
      <c r="B619" s="9"/>
      <c r="C619" s="9"/>
      <c r="D619" s="9"/>
      <c r="E619" s="9"/>
      <c r="F619" s="9"/>
      <c r="G619" s="9"/>
      <c r="H619" s="9"/>
      <c r="I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395"/>
      <c r="X619" s="261"/>
      <c r="Y619" s="261"/>
      <c r="Z619" s="9"/>
      <c r="AA619" s="9"/>
      <c r="AB619" s="9"/>
      <c r="AC619" s="9"/>
      <c r="AD619" s="111"/>
      <c r="AE619" s="9"/>
      <c r="AF619" s="550"/>
    </row>
    <row r="620" spans="2:32" x14ac:dyDescent="0.3">
      <c r="B620" s="9"/>
      <c r="C620" s="9"/>
      <c r="D620" s="9"/>
      <c r="E620" s="9"/>
      <c r="F620" s="9"/>
      <c r="G620" s="9"/>
      <c r="H620" s="9"/>
      <c r="I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395"/>
      <c r="X620" s="261"/>
      <c r="Y620" s="261"/>
      <c r="Z620" s="9"/>
      <c r="AA620" s="9"/>
      <c r="AB620" s="9"/>
      <c r="AC620" s="9"/>
      <c r="AD620" s="111"/>
      <c r="AE620" s="9"/>
      <c r="AF620" s="550"/>
    </row>
    <row r="621" spans="2:32" x14ac:dyDescent="0.3">
      <c r="B621" s="9"/>
      <c r="C621" s="9"/>
      <c r="D621" s="9"/>
      <c r="E621" s="9"/>
      <c r="F621" s="9"/>
      <c r="G621" s="9"/>
      <c r="H621" s="9"/>
      <c r="I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395"/>
      <c r="X621" s="261"/>
      <c r="Y621" s="261"/>
      <c r="Z621" s="9"/>
      <c r="AA621" s="9"/>
      <c r="AB621" s="9"/>
      <c r="AC621" s="9"/>
      <c r="AD621" s="111"/>
      <c r="AE621" s="9"/>
      <c r="AF621" s="550"/>
    </row>
    <row r="622" spans="2:32" x14ac:dyDescent="0.3">
      <c r="B622" s="9"/>
      <c r="C622" s="9"/>
      <c r="D622" s="9"/>
      <c r="E622" s="9"/>
      <c r="F622" s="9"/>
      <c r="G622" s="9"/>
      <c r="H622" s="9"/>
      <c r="I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395"/>
      <c r="X622" s="261"/>
      <c r="Y622" s="261"/>
      <c r="Z622" s="9"/>
      <c r="AA622" s="9"/>
      <c r="AB622" s="9"/>
      <c r="AC622" s="9"/>
      <c r="AD622" s="111"/>
      <c r="AE622" s="9"/>
      <c r="AF622" s="550"/>
    </row>
    <row r="623" spans="2:32" x14ac:dyDescent="0.3">
      <c r="B623" s="9"/>
      <c r="C623" s="9"/>
      <c r="D623" s="9"/>
      <c r="E623" s="9"/>
      <c r="F623" s="9"/>
      <c r="G623" s="9"/>
      <c r="H623" s="9"/>
      <c r="I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395"/>
      <c r="X623" s="261"/>
      <c r="Y623" s="261"/>
      <c r="Z623" s="9"/>
      <c r="AA623" s="9"/>
      <c r="AB623" s="9"/>
      <c r="AC623" s="9"/>
      <c r="AD623" s="111"/>
      <c r="AE623" s="9"/>
      <c r="AF623" s="550"/>
    </row>
    <row r="624" spans="2:32" x14ac:dyDescent="0.3">
      <c r="B624" s="9"/>
      <c r="C624" s="9"/>
      <c r="D624" s="9"/>
      <c r="E624" s="9"/>
      <c r="F624" s="9"/>
      <c r="G624" s="9"/>
      <c r="H624" s="9"/>
      <c r="I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395"/>
      <c r="X624" s="261"/>
      <c r="Y624" s="261"/>
      <c r="Z624" s="9"/>
      <c r="AA624" s="9"/>
      <c r="AB624" s="9"/>
      <c r="AC624" s="9"/>
      <c r="AD624" s="111"/>
      <c r="AE624" s="9"/>
      <c r="AF624" s="550"/>
    </row>
    <row r="625" spans="2:32" x14ac:dyDescent="0.3">
      <c r="B625" s="9"/>
      <c r="C625" s="9"/>
      <c r="D625" s="9"/>
      <c r="E625" s="9"/>
      <c r="F625" s="9"/>
      <c r="G625" s="9"/>
      <c r="H625" s="9"/>
      <c r="I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395"/>
      <c r="X625" s="261"/>
      <c r="Y625" s="261"/>
      <c r="Z625" s="9"/>
      <c r="AA625" s="9"/>
      <c r="AB625" s="9"/>
      <c r="AC625" s="9"/>
      <c r="AD625" s="111"/>
      <c r="AE625" s="9"/>
      <c r="AF625" s="550"/>
    </row>
    <row r="626" spans="2:32" x14ac:dyDescent="0.3">
      <c r="B626" s="9"/>
      <c r="C626" s="9"/>
      <c r="D626" s="9"/>
      <c r="E626" s="9"/>
      <c r="F626" s="9"/>
      <c r="G626" s="9"/>
      <c r="H626" s="9"/>
      <c r="I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395"/>
      <c r="X626" s="261"/>
      <c r="Y626" s="261"/>
      <c r="Z626" s="9"/>
      <c r="AA626" s="9"/>
      <c r="AB626" s="9"/>
      <c r="AC626" s="9"/>
      <c r="AD626" s="111"/>
      <c r="AE626" s="9"/>
      <c r="AF626" s="550"/>
    </row>
    <row r="627" spans="2:32" x14ac:dyDescent="0.3">
      <c r="B627" s="9"/>
      <c r="C627" s="9"/>
      <c r="D627" s="9"/>
      <c r="E627" s="9"/>
      <c r="F627" s="9"/>
      <c r="G627" s="9"/>
      <c r="H627" s="9"/>
      <c r="I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395"/>
      <c r="X627" s="261"/>
      <c r="Y627" s="261"/>
      <c r="Z627" s="9"/>
      <c r="AA627" s="9"/>
      <c r="AB627" s="9"/>
      <c r="AC627" s="9"/>
      <c r="AD627" s="111"/>
      <c r="AE627" s="9"/>
      <c r="AF627" s="550"/>
    </row>
    <row r="628" spans="2:32" x14ac:dyDescent="0.3">
      <c r="B628" s="9"/>
      <c r="C628" s="9"/>
      <c r="D628" s="9"/>
      <c r="E628" s="9"/>
      <c r="F628" s="9"/>
      <c r="G628" s="9"/>
      <c r="H628" s="9"/>
      <c r="I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395"/>
      <c r="X628" s="261"/>
      <c r="Y628" s="261"/>
      <c r="Z628" s="9"/>
      <c r="AA628" s="9"/>
      <c r="AB628" s="9"/>
      <c r="AC628" s="9"/>
      <c r="AD628" s="111"/>
      <c r="AE628" s="9"/>
      <c r="AF628" s="550"/>
    </row>
    <row r="629" spans="2:32" x14ac:dyDescent="0.3">
      <c r="B629" s="9"/>
      <c r="C629" s="9"/>
      <c r="D629" s="9"/>
      <c r="E629" s="9"/>
      <c r="F629" s="9"/>
      <c r="G629" s="9"/>
      <c r="H629" s="9"/>
      <c r="I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395"/>
      <c r="X629" s="261"/>
      <c r="Y629" s="261"/>
      <c r="Z629" s="9"/>
      <c r="AA629" s="9"/>
      <c r="AB629" s="9"/>
      <c r="AC629" s="9"/>
      <c r="AD629" s="111"/>
      <c r="AE629" s="9"/>
      <c r="AF629" s="550"/>
    </row>
    <row r="630" spans="2:32" x14ac:dyDescent="0.3">
      <c r="B630" s="9"/>
      <c r="C630" s="9"/>
      <c r="D630" s="9"/>
      <c r="E630" s="9"/>
      <c r="F630" s="9"/>
      <c r="G630" s="9"/>
      <c r="H630" s="9"/>
      <c r="I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395"/>
      <c r="X630" s="261"/>
      <c r="Y630" s="261"/>
      <c r="Z630" s="9"/>
      <c r="AA630" s="9"/>
      <c r="AB630" s="9"/>
      <c r="AC630" s="9"/>
      <c r="AD630" s="111"/>
      <c r="AE630" s="9"/>
      <c r="AF630" s="550"/>
    </row>
    <row r="631" spans="2:32" x14ac:dyDescent="0.3">
      <c r="B631" s="9"/>
      <c r="C631" s="9"/>
      <c r="D631" s="9"/>
      <c r="E631" s="9"/>
      <c r="F631" s="9"/>
      <c r="G631" s="9"/>
      <c r="H631" s="9"/>
      <c r="I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395"/>
      <c r="X631" s="261"/>
      <c r="Y631" s="261"/>
      <c r="Z631" s="9"/>
      <c r="AA631" s="9"/>
      <c r="AB631" s="9"/>
      <c r="AC631" s="9"/>
      <c r="AD631" s="111"/>
      <c r="AE631" s="9"/>
      <c r="AF631" s="550"/>
    </row>
    <row r="632" spans="2:32" x14ac:dyDescent="0.3">
      <c r="B632" s="9"/>
      <c r="C632" s="9"/>
      <c r="D632" s="9"/>
      <c r="E632" s="9"/>
      <c r="F632" s="9"/>
      <c r="G632" s="9"/>
      <c r="H632" s="9"/>
      <c r="I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395"/>
      <c r="X632" s="261"/>
      <c r="Y632" s="261"/>
      <c r="Z632" s="9"/>
      <c r="AA632" s="9"/>
      <c r="AB632" s="9"/>
      <c r="AC632" s="9"/>
      <c r="AD632" s="111"/>
      <c r="AE632" s="9"/>
      <c r="AF632" s="550"/>
    </row>
    <row r="633" spans="2:32" x14ac:dyDescent="0.3">
      <c r="B633" s="9"/>
      <c r="C633" s="9"/>
      <c r="D633" s="9"/>
      <c r="E633" s="9"/>
      <c r="F633" s="9"/>
      <c r="G633" s="9"/>
      <c r="H633" s="9"/>
      <c r="I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395"/>
      <c r="X633" s="261"/>
      <c r="Y633" s="261"/>
      <c r="Z633" s="9"/>
      <c r="AA633" s="9"/>
      <c r="AB633" s="9"/>
      <c r="AC633" s="9"/>
      <c r="AD633" s="111"/>
      <c r="AE633" s="9"/>
      <c r="AF633" s="550"/>
    </row>
    <row r="634" spans="2:32" x14ac:dyDescent="0.3">
      <c r="B634" s="9"/>
      <c r="C634" s="9"/>
      <c r="D634" s="9"/>
      <c r="E634" s="9"/>
      <c r="F634" s="9"/>
      <c r="G634" s="9"/>
      <c r="H634" s="9"/>
      <c r="I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395"/>
      <c r="X634" s="261"/>
      <c r="Y634" s="261"/>
      <c r="Z634" s="9"/>
      <c r="AA634" s="9"/>
      <c r="AB634" s="9"/>
      <c r="AC634" s="9"/>
      <c r="AD634" s="111"/>
      <c r="AE634" s="9"/>
      <c r="AF634" s="550"/>
    </row>
    <row r="635" spans="2:32" x14ac:dyDescent="0.3">
      <c r="B635" s="9"/>
      <c r="C635" s="9"/>
      <c r="D635" s="9"/>
      <c r="E635" s="9"/>
      <c r="F635" s="9"/>
      <c r="G635" s="9"/>
      <c r="H635" s="9"/>
      <c r="I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395"/>
      <c r="X635" s="261"/>
      <c r="Y635" s="261"/>
      <c r="Z635" s="9"/>
      <c r="AA635" s="9"/>
      <c r="AB635" s="9"/>
      <c r="AC635" s="9"/>
      <c r="AD635" s="111"/>
      <c r="AE635" s="9"/>
      <c r="AF635" s="550"/>
    </row>
    <row r="636" spans="2:32" x14ac:dyDescent="0.3">
      <c r="B636" s="9"/>
      <c r="C636" s="9"/>
      <c r="D636" s="9"/>
      <c r="E636" s="9"/>
      <c r="F636" s="9"/>
      <c r="G636" s="9"/>
      <c r="H636" s="9"/>
      <c r="I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395"/>
      <c r="X636" s="261"/>
      <c r="Y636" s="261"/>
      <c r="Z636" s="9"/>
      <c r="AA636" s="9"/>
      <c r="AB636" s="9"/>
      <c r="AC636" s="9"/>
      <c r="AD636" s="111"/>
      <c r="AE636" s="9"/>
      <c r="AF636" s="550"/>
    </row>
    <row r="637" spans="2:32" x14ac:dyDescent="0.3">
      <c r="B637" s="9"/>
      <c r="C637" s="9"/>
      <c r="D637" s="9"/>
      <c r="E637" s="9"/>
      <c r="F637" s="9"/>
      <c r="G637" s="9"/>
      <c r="H637" s="9"/>
      <c r="I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395"/>
      <c r="X637" s="261"/>
      <c r="Y637" s="261"/>
      <c r="Z637" s="9"/>
      <c r="AA637" s="9"/>
      <c r="AB637" s="9"/>
      <c r="AC637" s="9"/>
      <c r="AD637" s="111"/>
      <c r="AE637" s="9"/>
      <c r="AF637" s="550"/>
    </row>
    <row r="638" spans="2:32" x14ac:dyDescent="0.3">
      <c r="B638" s="9"/>
      <c r="C638" s="9"/>
      <c r="D638" s="9"/>
      <c r="E638" s="9"/>
      <c r="F638" s="9"/>
      <c r="G638" s="9"/>
      <c r="H638" s="9"/>
      <c r="I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395"/>
      <c r="X638" s="261"/>
      <c r="Y638" s="261"/>
      <c r="Z638" s="9"/>
      <c r="AA638" s="9"/>
      <c r="AB638" s="9"/>
      <c r="AC638" s="9"/>
      <c r="AD638" s="111"/>
      <c r="AE638" s="9"/>
      <c r="AF638" s="550"/>
    </row>
    <row r="639" spans="2:32" x14ac:dyDescent="0.3">
      <c r="B639" s="9"/>
      <c r="C639" s="9"/>
      <c r="D639" s="9"/>
      <c r="E639" s="9"/>
      <c r="F639" s="9"/>
      <c r="G639" s="9"/>
      <c r="H639" s="9"/>
      <c r="I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395"/>
      <c r="X639" s="261"/>
      <c r="Y639" s="261"/>
      <c r="Z639" s="9"/>
      <c r="AA639" s="9"/>
      <c r="AB639" s="9"/>
      <c r="AC639" s="9"/>
      <c r="AD639" s="111"/>
      <c r="AE639" s="9"/>
      <c r="AF639" s="550"/>
    </row>
    <row r="640" spans="2:32" x14ac:dyDescent="0.3">
      <c r="B640" s="9"/>
      <c r="C640" s="9"/>
      <c r="D640" s="9"/>
      <c r="E640" s="9"/>
      <c r="F640" s="9"/>
      <c r="G640" s="9"/>
      <c r="H640" s="9"/>
      <c r="I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395"/>
      <c r="X640" s="261"/>
      <c r="Y640" s="261"/>
      <c r="Z640" s="9"/>
      <c r="AA640" s="9"/>
      <c r="AB640" s="9"/>
      <c r="AC640" s="9"/>
      <c r="AD640" s="111"/>
      <c r="AE640" s="9"/>
      <c r="AF640" s="550"/>
    </row>
    <row r="641" spans="2:32" x14ac:dyDescent="0.3">
      <c r="B641" s="9"/>
      <c r="C641" s="9"/>
      <c r="D641" s="9"/>
      <c r="E641" s="9"/>
      <c r="F641" s="9"/>
      <c r="G641" s="9"/>
      <c r="H641" s="9"/>
      <c r="I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395"/>
      <c r="X641" s="261"/>
      <c r="Y641" s="261"/>
      <c r="Z641" s="9"/>
      <c r="AA641" s="9"/>
      <c r="AB641" s="9"/>
      <c r="AC641" s="9"/>
      <c r="AD641" s="111"/>
      <c r="AE641" s="9"/>
      <c r="AF641" s="550"/>
    </row>
    <row r="642" spans="2:32" x14ac:dyDescent="0.3">
      <c r="B642" s="9"/>
      <c r="C642" s="9"/>
      <c r="D642" s="9"/>
      <c r="E642" s="9"/>
      <c r="F642" s="9"/>
      <c r="G642" s="9"/>
      <c r="H642" s="9"/>
      <c r="I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395"/>
      <c r="X642" s="261"/>
      <c r="Y642" s="261"/>
      <c r="Z642" s="9"/>
      <c r="AA642" s="9"/>
      <c r="AB642" s="9"/>
      <c r="AC642" s="9"/>
      <c r="AD642" s="111"/>
      <c r="AE642" s="9"/>
      <c r="AF642" s="550"/>
    </row>
    <row r="643" spans="2:32" x14ac:dyDescent="0.3">
      <c r="B643" s="9"/>
      <c r="C643" s="9"/>
      <c r="D643" s="9"/>
      <c r="E643" s="9"/>
      <c r="F643" s="9"/>
      <c r="G643" s="9"/>
      <c r="H643" s="9"/>
      <c r="I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395"/>
      <c r="X643" s="261"/>
      <c r="Y643" s="261"/>
      <c r="Z643" s="9"/>
      <c r="AA643" s="9"/>
      <c r="AB643" s="9"/>
      <c r="AC643" s="9"/>
      <c r="AD643" s="111"/>
      <c r="AE643" s="9"/>
      <c r="AF643" s="550"/>
    </row>
    <row r="644" spans="2:32" x14ac:dyDescent="0.3">
      <c r="B644" s="9"/>
      <c r="C644" s="9"/>
      <c r="D644" s="9"/>
      <c r="E644" s="9"/>
      <c r="F644" s="9"/>
      <c r="G644" s="9"/>
      <c r="H644" s="9"/>
      <c r="I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395"/>
      <c r="X644" s="261"/>
      <c r="Y644" s="261"/>
      <c r="Z644" s="9"/>
      <c r="AA644" s="9"/>
      <c r="AB644" s="9"/>
      <c r="AC644" s="9"/>
      <c r="AD644" s="110"/>
      <c r="AE644" s="9"/>
    </row>
    <row r="645" spans="2:32" x14ac:dyDescent="0.3">
      <c r="B645" s="9"/>
      <c r="C645" s="9"/>
      <c r="D645" s="9"/>
      <c r="E645" s="9"/>
      <c r="F645" s="9"/>
      <c r="G645" s="9"/>
      <c r="H645" s="9"/>
      <c r="I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395"/>
      <c r="X645" s="261"/>
      <c r="Y645" s="261"/>
      <c r="Z645" s="9"/>
      <c r="AA645" s="9"/>
      <c r="AB645" s="9"/>
      <c r="AC645" s="9"/>
      <c r="AD645" s="110"/>
      <c r="AE645" s="9"/>
    </row>
    <row r="646" spans="2:32" x14ac:dyDescent="0.3">
      <c r="B646" s="9"/>
      <c r="C646" s="9"/>
      <c r="D646" s="9"/>
      <c r="E646" s="9"/>
      <c r="F646" s="9"/>
      <c r="G646" s="9"/>
      <c r="H646" s="9"/>
      <c r="I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395"/>
      <c r="X646" s="261"/>
      <c r="Y646" s="261"/>
      <c r="Z646" s="9"/>
      <c r="AA646" s="9"/>
      <c r="AB646" s="9"/>
      <c r="AC646" s="9"/>
      <c r="AD646" s="110"/>
      <c r="AE646" s="9"/>
    </row>
    <row r="647" spans="2:32" x14ac:dyDescent="0.3">
      <c r="B647" s="9"/>
      <c r="C647" s="9"/>
      <c r="D647" s="9"/>
      <c r="E647" s="9"/>
      <c r="F647" s="9"/>
      <c r="G647" s="9"/>
      <c r="H647" s="9"/>
      <c r="I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395"/>
      <c r="X647" s="261"/>
      <c r="Y647" s="261"/>
      <c r="Z647" s="9"/>
      <c r="AA647" s="9"/>
      <c r="AB647" s="9"/>
      <c r="AC647" s="9"/>
      <c r="AD647" s="110"/>
      <c r="AE647" s="9"/>
    </row>
    <row r="648" spans="2:32" x14ac:dyDescent="0.3">
      <c r="B648" s="9"/>
      <c r="C648" s="9"/>
      <c r="D648" s="9"/>
      <c r="E648" s="9"/>
      <c r="F648" s="9"/>
      <c r="G648" s="9"/>
      <c r="H648" s="9"/>
      <c r="I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395"/>
      <c r="X648" s="261"/>
      <c r="Y648" s="261"/>
      <c r="Z648" s="9"/>
      <c r="AA648" s="9"/>
      <c r="AB648" s="9"/>
      <c r="AC648" s="9"/>
      <c r="AD648" s="110"/>
      <c r="AE648" s="9"/>
    </row>
    <row r="649" spans="2:32" x14ac:dyDescent="0.3">
      <c r="B649" s="9"/>
      <c r="C649" s="9"/>
      <c r="D649" s="9"/>
      <c r="E649" s="9"/>
      <c r="F649" s="9"/>
      <c r="G649" s="9"/>
      <c r="H649" s="9"/>
      <c r="I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395"/>
      <c r="X649" s="261"/>
      <c r="Y649" s="261"/>
      <c r="Z649" s="9"/>
      <c r="AA649" s="9"/>
      <c r="AB649" s="9"/>
      <c r="AC649" s="9"/>
      <c r="AD649" s="110"/>
      <c r="AE649" s="9"/>
    </row>
    <row r="650" spans="2:32" x14ac:dyDescent="0.3">
      <c r="B650" s="9"/>
      <c r="C650" s="9"/>
      <c r="D650" s="9"/>
      <c r="E650" s="9"/>
      <c r="F650" s="9"/>
      <c r="G650" s="9"/>
      <c r="H650" s="9"/>
      <c r="I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395"/>
      <c r="X650" s="261"/>
      <c r="Y650" s="261"/>
      <c r="Z650" s="9"/>
      <c r="AA650" s="9"/>
      <c r="AB650" s="9"/>
      <c r="AC650" s="9"/>
      <c r="AD650" s="110"/>
      <c r="AE650" s="9"/>
    </row>
    <row r="651" spans="2:32" x14ac:dyDescent="0.3">
      <c r="B651" s="9"/>
      <c r="C651" s="9"/>
      <c r="D651" s="9"/>
      <c r="E651" s="9"/>
      <c r="F651" s="9"/>
      <c r="G651" s="9"/>
      <c r="H651" s="9"/>
      <c r="I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395"/>
      <c r="X651" s="261"/>
      <c r="Y651" s="261"/>
      <c r="Z651" s="9"/>
      <c r="AA651" s="9"/>
      <c r="AB651" s="9"/>
      <c r="AC651" s="9"/>
      <c r="AD651" s="110"/>
      <c r="AE651" s="9"/>
    </row>
    <row r="652" spans="2:32" x14ac:dyDescent="0.3">
      <c r="B652" s="9"/>
      <c r="C652" s="9"/>
      <c r="D652" s="9"/>
      <c r="E652" s="9"/>
      <c r="F652" s="9"/>
      <c r="G652" s="9"/>
      <c r="H652" s="9"/>
      <c r="I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395"/>
      <c r="X652" s="261"/>
      <c r="Y652" s="261"/>
      <c r="Z652" s="9"/>
      <c r="AA652" s="9"/>
      <c r="AB652" s="9"/>
      <c r="AC652" s="9"/>
      <c r="AD652" s="110"/>
      <c r="AE652" s="9"/>
    </row>
    <row r="653" spans="2:32" x14ac:dyDescent="0.3">
      <c r="B653" s="9"/>
      <c r="C653" s="9"/>
      <c r="D653" s="9"/>
      <c r="E653" s="9"/>
      <c r="F653" s="9"/>
      <c r="G653" s="9"/>
      <c r="H653" s="9"/>
      <c r="I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395"/>
      <c r="X653" s="261"/>
      <c r="Y653" s="261"/>
      <c r="Z653" s="9"/>
      <c r="AA653" s="9"/>
      <c r="AB653" s="9"/>
      <c r="AC653" s="9"/>
      <c r="AD653" s="110"/>
      <c r="AE653" s="9"/>
    </row>
    <row r="654" spans="2:32" x14ac:dyDescent="0.3">
      <c r="B654" s="9"/>
      <c r="C654" s="9"/>
      <c r="D654" s="9"/>
      <c r="E654" s="9"/>
      <c r="F654" s="9"/>
      <c r="G654" s="9"/>
      <c r="H654" s="9"/>
      <c r="I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395"/>
      <c r="X654" s="261"/>
      <c r="Y654" s="261"/>
      <c r="Z654" s="9"/>
      <c r="AA654" s="9"/>
      <c r="AB654" s="9"/>
      <c r="AC654" s="9"/>
      <c r="AD654" s="110"/>
      <c r="AE654" s="9"/>
    </row>
    <row r="655" spans="2:32" x14ac:dyDescent="0.3">
      <c r="B655" s="9"/>
      <c r="C655" s="9"/>
      <c r="D655" s="9"/>
      <c r="E655" s="9"/>
      <c r="F655" s="9"/>
      <c r="G655" s="9"/>
      <c r="H655" s="9"/>
      <c r="I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395"/>
      <c r="X655" s="261"/>
      <c r="Y655" s="261"/>
      <c r="Z655" s="9"/>
      <c r="AA655" s="9"/>
      <c r="AB655" s="9"/>
      <c r="AC655" s="9"/>
      <c r="AD655" s="110"/>
      <c r="AE655" s="9"/>
    </row>
    <row r="656" spans="2:32" x14ac:dyDescent="0.3">
      <c r="B656" s="9"/>
      <c r="C656" s="9"/>
      <c r="D656" s="9"/>
      <c r="E656" s="9"/>
      <c r="F656" s="9"/>
      <c r="G656" s="9"/>
      <c r="H656" s="9"/>
      <c r="I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395"/>
      <c r="X656" s="261"/>
      <c r="Y656" s="261"/>
      <c r="Z656" s="9"/>
      <c r="AA656" s="9"/>
      <c r="AB656" s="9"/>
      <c r="AC656" s="9"/>
      <c r="AD656" s="110"/>
      <c r="AE656" s="9"/>
    </row>
    <row r="657" spans="2:31" x14ac:dyDescent="0.3">
      <c r="B657" s="9"/>
      <c r="C657" s="9"/>
      <c r="D657" s="9"/>
      <c r="E657" s="9"/>
      <c r="F657" s="9"/>
      <c r="G657" s="9"/>
      <c r="H657" s="9"/>
      <c r="I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395"/>
      <c r="X657" s="261"/>
      <c r="Y657" s="261"/>
      <c r="Z657" s="9"/>
      <c r="AA657" s="9"/>
      <c r="AB657" s="9"/>
      <c r="AC657" s="9"/>
      <c r="AD657" s="110"/>
      <c r="AE657" s="9"/>
    </row>
    <row r="658" spans="2:31" x14ac:dyDescent="0.3">
      <c r="B658" s="9"/>
      <c r="C658" s="9"/>
      <c r="D658" s="9"/>
      <c r="E658" s="9"/>
      <c r="F658" s="9"/>
      <c r="G658" s="9"/>
      <c r="H658" s="9"/>
      <c r="I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395"/>
      <c r="X658" s="261"/>
      <c r="Y658" s="261"/>
      <c r="Z658" s="9"/>
      <c r="AA658" s="9"/>
      <c r="AB658" s="9"/>
      <c r="AC658" s="9"/>
      <c r="AD658" s="110"/>
      <c r="AE658" s="9"/>
    </row>
    <row r="659" spans="2:31" x14ac:dyDescent="0.3">
      <c r="B659" s="9"/>
      <c r="C659" s="9"/>
      <c r="D659" s="9"/>
      <c r="E659" s="9"/>
      <c r="F659" s="9"/>
      <c r="G659" s="9"/>
      <c r="H659" s="9"/>
      <c r="I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395"/>
      <c r="X659" s="261"/>
      <c r="Y659" s="261"/>
      <c r="Z659" s="9"/>
      <c r="AA659" s="9"/>
      <c r="AB659" s="9"/>
      <c r="AC659" s="9"/>
      <c r="AD659" s="110"/>
      <c r="AE659" s="9"/>
    </row>
    <row r="660" spans="2:31" x14ac:dyDescent="0.3">
      <c r="B660" s="9"/>
      <c r="C660" s="9"/>
      <c r="D660" s="9"/>
      <c r="E660" s="9"/>
      <c r="F660" s="9"/>
      <c r="G660" s="9"/>
      <c r="H660" s="9"/>
      <c r="I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395"/>
      <c r="X660" s="261"/>
      <c r="Y660" s="261"/>
      <c r="Z660" s="9"/>
      <c r="AA660" s="9"/>
      <c r="AB660" s="9"/>
      <c r="AC660" s="9"/>
      <c r="AD660" s="110"/>
      <c r="AE660" s="9"/>
    </row>
    <row r="661" spans="2:31" x14ac:dyDescent="0.3">
      <c r="B661" s="9"/>
      <c r="C661" s="9"/>
      <c r="D661" s="9"/>
      <c r="E661" s="9"/>
      <c r="F661" s="9"/>
      <c r="G661" s="9"/>
      <c r="H661" s="9"/>
      <c r="I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395"/>
      <c r="X661" s="261"/>
      <c r="Y661" s="261"/>
      <c r="Z661" s="9"/>
      <c r="AA661" s="9"/>
      <c r="AB661" s="9"/>
      <c r="AC661" s="9"/>
      <c r="AD661" s="110"/>
      <c r="AE661" s="9"/>
    </row>
    <row r="662" spans="2:31" x14ac:dyDescent="0.3">
      <c r="B662" s="9"/>
      <c r="C662" s="9"/>
      <c r="D662" s="9"/>
      <c r="E662" s="9"/>
      <c r="F662" s="9"/>
      <c r="G662" s="9"/>
      <c r="H662" s="9"/>
      <c r="I662" s="9"/>
      <c r="L662" s="9"/>
      <c r="M662" s="9"/>
      <c r="N662" s="9"/>
      <c r="O662" s="9"/>
      <c r="P662" s="9"/>
      <c r="Q662" s="9"/>
      <c r="R662" s="395"/>
      <c r="S662" s="261"/>
      <c r="T662" s="261"/>
      <c r="U662" s="9"/>
      <c r="V662" s="9"/>
      <c r="W662" s="395"/>
      <c r="X662" s="261"/>
      <c r="Y662" s="261"/>
      <c r="Z662" s="9"/>
      <c r="AD662" s="110"/>
      <c r="AE662" s="9"/>
    </row>
    <row r="663" spans="2:31" x14ac:dyDescent="0.3">
      <c r="B663" s="9"/>
      <c r="C663" s="9"/>
      <c r="D663" s="9"/>
      <c r="E663" s="9"/>
      <c r="F663" s="9"/>
      <c r="G663" s="9"/>
      <c r="H663" s="9"/>
      <c r="I663" s="9"/>
      <c r="L663" s="9"/>
      <c r="M663" s="9"/>
      <c r="N663" s="9"/>
      <c r="O663" s="9"/>
      <c r="P663" s="9"/>
      <c r="Q663" s="9"/>
      <c r="R663" s="395"/>
      <c r="S663" s="261"/>
      <c r="T663" s="261"/>
      <c r="U663" s="9"/>
      <c r="V663" s="9"/>
      <c r="W663" s="395"/>
      <c r="X663" s="261"/>
      <c r="Y663" s="261"/>
      <c r="Z663" s="9"/>
      <c r="AD663" s="110"/>
      <c r="AE663" s="9"/>
    </row>
    <row r="664" spans="2:31" x14ac:dyDescent="0.3">
      <c r="B664" s="9"/>
      <c r="C664" s="9"/>
      <c r="D664" s="9"/>
      <c r="E664" s="9"/>
      <c r="F664" s="9"/>
      <c r="G664" s="9"/>
      <c r="H664" s="9"/>
      <c r="I664" s="9"/>
      <c r="L664" s="9"/>
      <c r="M664" s="9"/>
      <c r="N664" s="9"/>
      <c r="O664" s="9"/>
      <c r="P664" s="9"/>
      <c r="Q664" s="9"/>
      <c r="R664" s="395"/>
      <c r="S664" s="261"/>
      <c r="T664" s="261"/>
      <c r="U664" s="9"/>
      <c r="V664" s="9"/>
      <c r="W664" s="395"/>
      <c r="X664" s="261"/>
      <c r="Y664" s="261"/>
      <c r="Z664" s="9"/>
      <c r="AD664" s="110"/>
      <c r="AE664" s="9"/>
    </row>
    <row r="665" spans="2:31" x14ac:dyDescent="0.3">
      <c r="B665" s="9"/>
      <c r="C665" s="9"/>
      <c r="D665" s="9"/>
      <c r="E665" s="9"/>
      <c r="F665" s="9"/>
      <c r="G665" s="9"/>
      <c r="H665" s="9"/>
      <c r="I665" s="9"/>
      <c r="L665" s="9"/>
      <c r="M665" s="9"/>
      <c r="N665" s="9"/>
      <c r="O665" s="9"/>
      <c r="P665" s="9"/>
      <c r="Q665" s="9"/>
      <c r="R665" s="395"/>
      <c r="S665" s="261"/>
      <c r="T665" s="261"/>
      <c r="U665" s="9"/>
      <c r="V665" s="9"/>
      <c r="W665" s="395"/>
      <c r="X665" s="261"/>
      <c r="Y665" s="261"/>
      <c r="Z665" s="9"/>
      <c r="AD665" s="110"/>
      <c r="AE665" s="9"/>
    </row>
    <row r="666" spans="2:31" x14ac:dyDescent="0.3">
      <c r="B666" s="9"/>
      <c r="C666" s="9"/>
      <c r="D666" s="9"/>
      <c r="E666" s="9"/>
      <c r="F666" s="9"/>
      <c r="G666" s="9"/>
      <c r="H666" s="9"/>
      <c r="I666" s="9"/>
      <c r="L666" s="9"/>
      <c r="M666" s="9"/>
      <c r="N666" s="9"/>
      <c r="O666" s="9"/>
      <c r="P666" s="9"/>
      <c r="Q666" s="9"/>
      <c r="R666" s="395"/>
      <c r="S666" s="261"/>
      <c r="T666" s="261"/>
      <c r="U666" s="9"/>
      <c r="V666" s="9"/>
      <c r="W666" s="395"/>
      <c r="X666" s="261"/>
      <c r="Y666" s="261"/>
      <c r="Z666" s="9"/>
      <c r="AD666" s="110"/>
      <c r="AE666" s="9"/>
    </row>
    <row r="667" spans="2:31" x14ac:dyDescent="0.3">
      <c r="B667" s="9"/>
      <c r="C667" s="9"/>
      <c r="D667" s="9"/>
      <c r="E667" s="9"/>
      <c r="F667" s="9"/>
      <c r="G667" s="9"/>
      <c r="H667" s="9"/>
      <c r="I667" s="9"/>
      <c r="L667" s="9"/>
      <c r="M667" s="9"/>
      <c r="N667" s="9"/>
      <c r="O667" s="9"/>
      <c r="P667" s="9"/>
      <c r="Q667" s="9"/>
      <c r="R667" s="395"/>
      <c r="S667" s="261"/>
      <c r="T667" s="261"/>
      <c r="U667" s="9"/>
      <c r="V667" s="9"/>
      <c r="W667" s="395"/>
      <c r="X667" s="261"/>
      <c r="Y667" s="261"/>
      <c r="Z667" s="9"/>
      <c r="AD667" s="110"/>
      <c r="AE667" s="9"/>
    </row>
    <row r="668" spans="2:31" x14ac:dyDescent="0.3">
      <c r="B668" s="9"/>
      <c r="C668" s="9"/>
      <c r="D668" s="9"/>
      <c r="E668" s="9"/>
      <c r="F668" s="9"/>
      <c r="G668" s="9"/>
      <c r="H668" s="9"/>
      <c r="I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395"/>
      <c r="X668" s="261"/>
      <c r="Y668" s="261"/>
      <c r="Z668" s="9"/>
      <c r="AA668" s="9"/>
      <c r="AB668" s="9"/>
      <c r="AC668" s="9"/>
      <c r="AD668" s="110"/>
      <c r="AE668" s="9"/>
    </row>
    <row r="669" spans="2:31" x14ac:dyDescent="0.3">
      <c r="B669" s="9"/>
      <c r="C669" s="9"/>
      <c r="D669" s="9"/>
      <c r="E669" s="9"/>
      <c r="F669" s="9"/>
      <c r="G669" s="9"/>
      <c r="H669" s="9"/>
      <c r="I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395"/>
      <c r="X669" s="261"/>
      <c r="Y669" s="261"/>
      <c r="Z669" s="9"/>
      <c r="AA669" s="9"/>
      <c r="AB669" s="9"/>
      <c r="AC669" s="9"/>
      <c r="AD669" s="110"/>
      <c r="AE669" s="9"/>
    </row>
    <row r="670" spans="2:31" x14ac:dyDescent="0.3">
      <c r="B670" s="9"/>
      <c r="C670" s="9"/>
      <c r="D670" s="9"/>
      <c r="E670" s="9"/>
      <c r="F670" s="9"/>
      <c r="G670" s="9"/>
      <c r="H670" s="9"/>
      <c r="I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395"/>
      <c r="X670" s="261"/>
      <c r="Y670" s="261"/>
      <c r="Z670" s="9"/>
      <c r="AA670" s="9"/>
      <c r="AB670" s="9"/>
      <c r="AC670" s="9"/>
      <c r="AD670" s="110"/>
      <c r="AE670" s="9"/>
    </row>
    <row r="671" spans="2:31" x14ac:dyDescent="0.3">
      <c r="B671" s="9"/>
      <c r="C671" s="9"/>
      <c r="D671" s="9"/>
      <c r="E671" s="9"/>
      <c r="F671" s="9"/>
      <c r="G671" s="9"/>
      <c r="H671" s="9"/>
      <c r="I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395"/>
      <c r="X671" s="261"/>
      <c r="Y671" s="261"/>
      <c r="Z671" s="9"/>
      <c r="AA671" s="9"/>
      <c r="AB671" s="9"/>
      <c r="AC671" s="9"/>
      <c r="AD671" s="110"/>
      <c r="AE671" s="9"/>
    </row>
    <row r="672" spans="2:31" x14ac:dyDescent="0.3">
      <c r="B672" s="9"/>
      <c r="C672" s="9"/>
      <c r="D672" s="9"/>
      <c r="E672" s="9"/>
      <c r="F672" s="9"/>
      <c r="G672" s="9"/>
      <c r="H672" s="9"/>
      <c r="I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395"/>
      <c r="X672" s="261"/>
      <c r="Y672" s="261"/>
      <c r="Z672" s="9"/>
      <c r="AA672" s="9"/>
      <c r="AB672" s="9"/>
      <c r="AC672" s="9"/>
      <c r="AD672" s="110"/>
      <c r="AE672" s="9"/>
    </row>
    <row r="673" spans="2:32" x14ac:dyDescent="0.3">
      <c r="B673" s="9"/>
      <c r="C673" s="9"/>
      <c r="D673" s="9"/>
      <c r="E673" s="9"/>
      <c r="F673" s="9"/>
      <c r="G673" s="9"/>
      <c r="H673" s="9"/>
      <c r="I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395"/>
      <c r="X673" s="261"/>
      <c r="Y673" s="261"/>
      <c r="Z673" s="9"/>
      <c r="AA673" s="9"/>
      <c r="AB673" s="9"/>
      <c r="AC673" s="9"/>
      <c r="AD673" s="110"/>
      <c r="AE673" s="9"/>
    </row>
    <row r="674" spans="2:32" x14ac:dyDescent="0.3">
      <c r="B674" s="9"/>
      <c r="C674" s="9"/>
      <c r="D674" s="9"/>
      <c r="E674" s="9"/>
      <c r="F674" s="9"/>
      <c r="G674" s="9"/>
      <c r="H674" s="9"/>
      <c r="I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395"/>
      <c r="X674" s="261"/>
      <c r="Y674" s="261"/>
      <c r="Z674" s="9"/>
      <c r="AA674" s="9"/>
      <c r="AB674" s="9"/>
      <c r="AC674" s="9"/>
      <c r="AD674" s="111"/>
      <c r="AE674" s="9"/>
      <c r="AF674" s="549"/>
    </row>
    <row r="675" spans="2:32" x14ac:dyDescent="0.3">
      <c r="B675" s="9"/>
      <c r="C675" s="9"/>
      <c r="D675" s="9"/>
      <c r="E675" s="9"/>
      <c r="F675" s="9"/>
      <c r="G675" s="9"/>
      <c r="H675" s="9"/>
      <c r="I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395"/>
      <c r="X675" s="261"/>
      <c r="Y675" s="261"/>
      <c r="Z675" s="9"/>
      <c r="AA675" s="9"/>
      <c r="AB675" s="9"/>
      <c r="AC675" s="9"/>
      <c r="AD675" s="111"/>
      <c r="AE675" s="9"/>
      <c r="AF675" s="549"/>
    </row>
    <row r="676" spans="2:32" x14ac:dyDescent="0.3">
      <c r="B676" s="9"/>
      <c r="C676" s="9"/>
      <c r="D676" s="9"/>
      <c r="E676" s="9"/>
      <c r="F676" s="9"/>
      <c r="G676" s="9"/>
      <c r="H676" s="9"/>
      <c r="I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395"/>
      <c r="X676" s="261"/>
      <c r="Y676" s="261"/>
      <c r="Z676" s="9"/>
      <c r="AA676" s="9"/>
      <c r="AB676" s="9"/>
      <c r="AC676" s="9"/>
      <c r="AD676" s="111"/>
      <c r="AE676" s="9"/>
      <c r="AF676" s="549"/>
    </row>
    <row r="677" spans="2:32" x14ac:dyDescent="0.3">
      <c r="B677" s="9"/>
      <c r="C677" s="9"/>
      <c r="D677" s="9"/>
      <c r="E677" s="9"/>
      <c r="F677" s="9"/>
      <c r="G677" s="9"/>
      <c r="H677" s="9"/>
      <c r="I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395"/>
      <c r="X677" s="261"/>
      <c r="Y677" s="261"/>
      <c r="Z677" s="9"/>
      <c r="AA677" s="9"/>
      <c r="AB677" s="9"/>
      <c r="AC677" s="9"/>
      <c r="AD677" s="111"/>
      <c r="AE677" s="9"/>
      <c r="AF677" s="549"/>
    </row>
    <row r="678" spans="2:32" x14ac:dyDescent="0.3">
      <c r="B678" s="9"/>
      <c r="C678" s="9"/>
      <c r="D678" s="9"/>
      <c r="E678" s="9"/>
      <c r="F678" s="9"/>
      <c r="G678" s="9"/>
      <c r="H678" s="9"/>
      <c r="I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395"/>
      <c r="X678" s="261"/>
      <c r="Y678" s="261"/>
      <c r="Z678" s="9"/>
      <c r="AA678" s="9"/>
      <c r="AB678" s="9"/>
      <c r="AC678" s="9"/>
      <c r="AD678" s="111"/>
      <c r="AE678" s="9"/>
      <c r="AF678" s="549"/>
    </row>
    <row r="679" spans="2:32" x14ac:dyDescent="0.3">
      <c r="B679" s="9"/>
      <c r="C679" s="9"/>
      <c r="D679" s="9"/>
      <c r="E679" s="9"/>
      <c r="F679" s="9"/>
      <c r="G679" s="9"/>
      <c r="H679" s="9"/>
      <c r="I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395"/>
      <c r="X679" s="261"/>
      <c r="Y679" s="261"/>
      <c r="Z679" s="9"/>
      <c r="AA679" s="9"/>
      <c r="AB679" s="9"/>
      <c r="AC679" s="9"/>
      <c r="AD679" s="111"/>
      <c r="AE679" s="9"/>
      <c r="AF679" s="549"/>
    </row>
    <row r="680" spans="2:32" x14ac:dyDescent="0.3">
      <c r="B680" s="9"/>
      <c r="C680" s="9"/>
      <c r="D680" s="9"/>
      <c r="E680" s="9"/>
      <c r="F680" s="9"/>
      <c r="G680" s="9"/>
      <c r="H680" s="9"/>
      <c r="I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395"/>
      <c r="X680" s="261"/>
      <c r="Y680" s="261"/>
      <c r="Z680" s="9"/>
      <c r="AA680" s="9"/>
      <c r="AB680" s="9"/>
      <c r="AC680" s="9"/>
      <c r="AD680" s="111"/>
      <c r="AE680" s="9"/>
      <c r="AF680" s="549"/>
    </row>
    <row r="681" spans="2:32" x14ac:dyDescent="0.3">
      <c r="B681" s="9"/>
      <c r="C681" s="9"/>
      <c r="D681" s="9"/>
      <c r="E681" s="9"/>
      <c r="F681" s="9"/>
      <c r="G681" s="9"/>
      <c r="H681" s="9"/>
      <c r="I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395"/>
      <c r="X681" s="261"/>
      <c r="Y681" s="261"/>
      <c r="Z681" s="9"/>
      <c r="AA681" s="9"/>
      <c r="AB681" s="9"/>
      <c r="AC681" s="9"/>
      <c r="AD681" s="111"/>
      <c r="AE681" s="9"/>
      <c r="AF681" s="549"/>
    </row>
    <row r="682" spans="2:32" x14ac:dyDescent="0.3">
      <c r="B682" s="9"/>
      <c r="C682" s="9"/>
      <c r="D682" s="9"/>
      <c r="E682" s="9"/>
      <c r="F682" s="9"/>
      <c r="G682" s="9"/>
      <c r="H682" s="9"/>
      <c r="I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395"/>
      <c r="X682" s="261"/>
      <c r="Y682" s="261"/>
      <c r="Z682" s="9"/>
      <c r="AA682" s="9"/>
      <c r="AB682" s="9"/>
      <c r="AC682" s="9"/>
      <c r="AD682" s="111"/>
      <c r="AE682" s="9"/>
      <c r="AF682" s="549"/>
    </row>
    <row r="683" spans="2:32" x14ac:dyDescent="0.3">
      <c r="B683" s="9"/>
      <c r="C683" s="9"/>
      <c r="D683" s="9"/>
      <c r="E683" s="9"/>
      <c r="F683" s="9"/>
      <c r="G683" s="9"/>
      <c r="H683" s="9"/>
      <c r="I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395"/>
      <c r="X683" s="261"/>
      <c r="Y683" s="261"/>
      <c r="Z683" s="9"/>
      <c r="AA683" s="9"/>
      <c r="AB683" s="9"/>
      <c r="AC683" s="9"/>
      <c r="AD683" s="111"/>
      <c r="AE683" s="9"/>
      <c r="AF683" s="549"/>
    </row>
    <row r="684" spans="2:32" x14ac:dyDescent="0.3">
      <c r="B684" s="9"/>
      <c r="C684" s="9"/>
      <c r="D684" s="9"/>
      <c r="E684" s="9"/>
      <c r="F684" s="9"/>
      <c r="G684" s="9"/>
      <c r="H684" s="9"/>
      <c r="I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395"/>
      <c r="X684" s="261"/>
      <c r="Y684" s="261"/>
      <c r="Z684" s="9"/>
      <c r="AA684" s="9"/>
      <c r="AB684" s="9"/>
      <c r="AC684" s="9"/>
      <c r="AD684" s="111"/>
      <c r="AE684" s="9"/>
      <c r="AF684" s="549"/>
    </row>
    <row r="685" spans="2:32" x14ac:dyDescent="0.3">
      <c r="B685" s="9"/>
      <c r="C685" s="9"/>
      <c r="D685" s="9"/>
      <c r="E685" s="9"/>
      <c r="F685" s="9"/>
      <c r="G685" s="9"/>
      <c r="H685" s="9"/>
      <c r="I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395"/>
      <c r="X685" s="261"/>
      <c r="Y685" s="261"/>
      <c r="Z685" s="9"/>
      <c r="AA685" s="9"/>
      <c r="AB685" s="9"/>
      <c r="AC685" s="9"/>
      <c r="AD685" s="111"/>
      <c r="AE685" s="9"/>
      <c r="AF685" s="549"/>
    </row>
    <row r="686" spans="2:32" x14ac:dyDescent="0.3">
      <c r="B686" s="9"/>
      <c r="C686" s="9"/>
      <c r="D686" s="9"/>
      <c r="E686" s="9"/>
      <c r="F686" s="9"/>
      <c r="G686" s="9"/>
      <c r="H686" s="9"/>
      <c r="I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395"/>
      <c r="X686" s="261"/>
      <c r="Y686" s="261"/>
      <c r="Z686" s="9"/>
      <c r="AA686" s="9"/>
      <c r="AB686" s="9"/>
      <c r="AC686" s="9"/>
      <c r="AD686" s="111"/>
      <c r="AE686" s="9"/>
      <c r="AF686" s="549"/>
    </row>
    <row r="687" spans="2:32" x14ac:dyDescent="0.3">
      <c r="B687" s="9"/>
      <c r="C687" s="9"/>
      <c r="D687" s="9"/>
      <c r="E687" s="9"/>
      <c r="F687" s="9"/>
      <c r="G687" s="9"/>
      <c r="H687" s="9"/>
      <c r="I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395"/>
      <c r="X687" s="261"/>
      <c r="Y687" s="261"/>
      <c r="Z687" s="9"/>
      <c r="AA687" s="9"/>
      <c r="AB687" s="9"/>
      <c r="AC687" s="9"/>
      <c r="AD687" s="111"/>
      <c r="AE687" s="9"/>
      <c r="AF687" s="549"/>
    </row>
    <row r="688" spans="2:32" x14ac:dyDescent="0.3">
      <c r="B688" s="9"/>
      <c r="C688" s="9"/>
      <c r="D688" s="9"/>
      <c r="E688" s="9"/>
      <c r="F688" s="9"/>
      <c r="G688" s="9"/>
      <c r="H688" s="9"/>
      <c r="I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395"/>
      <c r="X688" s="261"/>
      <c r="Y688" s="261"/>
      <c r="Z688" s="9"/>
      <c r="AA688" s="9"/>
      <c r="AB688" s="9"/>
      <c r="AC688" s="9"/>
      <c r="AD688" s="111"/>
      <c r="AE688" s="9"/>
      <c r="AF688" s="549"/>
    </row>
    <row r="689" spans="2:32" x14ac:dyDescent="0.3">
      <c r="B689" s="9"/>
      <c r="C689" s="9"/>
      <c r="D689" s="9"/>
      <c r="E689" s="9"/>
      <c r="F689" s="9"/>
      <c r="G689" s="9"/>
      <c r="H689" s="9"/>
      <c r="I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395"/>
      <c r="X689" s="261"/>
      <c r="Y689" s="261"/>
      <c r="Z689" s="9"/>
      <c r="AA689" s="9"/>
      <c r="AB689" s="9"/>
      <c r="AC689" s="9"/>
      <c r="AD689" s="111"/>
      <c r="AE689" s="9"/>
      <c r="AF689" s="549"/>
    </row>
    <row r="690" spans="2:32" x14ac:dyDescent="0.3">
      <c r="B690" s="9"/>
      <c r="C690" s="9"/>
      <c r="D690" s="9"/>
      <c r="E690" s="9"/>
      <c r="F690" s="9"/>
      <c r="G690" s="9"/>
      <c r="H690" s="9"/>
      <c r="I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395"/>
      <c r="X690" s="261"/>
      <c r="Y690" s="261"/>
      <c r="Z690" s="9"/>
      <c r="AA690" s="9"/>
      <c r="AB690" s="9"/>
      <c r="AC690" s="9"/>
      <c r="AD690" s="111"/>
      <c r="AE690" s="9"/>
      <c r="AF690" s="549"/>
    </row>
    <row r="691" spans="2:32" x14ac:dyDescent="0.3">
      <c r="B691" s="9"/>
      <c r="C691" s="9"/>
      <c r="D691" s="9"/>
      <c r="E691" s="9"/>
      <c r="F691" s="9"/>
      <c r="G691" s="9"/>
      <c r="H691" s="9"/>
      <c r="I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395"/>
      <c r="X691" s="261"/>
      <c r="Y691" s="261"/>
      <c r="Z691" s="9"/>
      <c r="AA691" s="9"/>
      <c r="AB691" s="9"/>
      <c r="AC691" s="9"/>
      <c r="AD691" s="111"/>
      <c r="AE691" s="9"/>
      <c r="AF691" s="549"/>
    </row>
    <row r="692" spans="2:32" x14ac:dyDescent="0.3">
      <c r="B692" s="9"/>
      <c r="C692" s="9"/>
      <c r="D692" s="9"/>
      <c r="E692" s="9"/>
      <c r="F692" s="9"/>
      <c r="G692" s="9"/>
      <c r="H692" s="9"/>
      <c r="I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395"/>
      <c r="X692" s="261"/>
      <c r="Y692" s="261"/>
      <c r="Z692" s="9"/>
      <c r="AA692" s="9"/>
      <c r="AB692" s="9"/>
      <c r="AC692" s="9"/>
      <c r="AD692" s="111"/>
      <c r="AE692" s="9"/>
      <c r="AF692" s="549"/>
    </row>
    <row r="693" spans="2:32" x14ac:dyDescent="0.3">
      <c r="B693" s="9"/>
      <c r="C693" s="9"/>
      <c r="D693" s="9"/>
      <c r="E693" s="9"/>
      <c r="F693" s="9"/>
      <c r="G693" s="9"/>
      <c r="H693" s="9"/>
      <c r="I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395"/>
      <c r="X693" s="261"/>
      <c r="Y693" s="261"/>
      <c r="Z693" s="9"/>
      <c r="AA693" s="9"/>
      <c r="AB693" s="9"/>
      <c r="AC693" s="9"/>
      <c r="AD693" s="111"/>
      <c r="AE693" s="9"/>
      <c r="AF693" s="549"/>
    </row>
    <row r="694" spans="2:32" x14ac:dyDescent="0.3">
      <c r="B694" s="9"/>
      <c r="C694" s="9"/>
      <c r="D694" s="9"/>
      <c r="E694" s="9"/>
      <c r="F694" s="9"/>
      <c r="G694" s="9"/>
      <c r="H694" s="9"/>
      <c r="I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395"/>
      <c r="X694" s="261"/>
      <c r="Y694" s="261"/>
      <c r="Z694" s="9"/>
      <c r="AA694" s="9"/>
      <c r="AB694" s="9"/>
      <c r="AC694" s="9"/>
      <c r="AD694" s="111"/>
      <c r="AE694" s="9"/>
      <c r="AF694" s="549"/>
    </row>
    <row r="695" spans="2:32" x14ac:dyDescent="0.3">
      <c r="B695" s="9"/>
      <c r="C695" s="9"/>
      <c r="D695" s="9"/>
      <c r="E695" s="9"/>
      <c r="F695" s="9"/>
      <c r="G695" s="9"/>
      <c r="H695" s="9"/>
      <c r="I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395"/>
      <c r="X695" s="261"/>
      <c r="Y695" s="261"/>
      <c r="Z695" s="9"/>
      <c r="AA695" s="9"/>
      <c r="AB695" s="9"/>
      <c r="AC695" s="9"/>
      <c r="AD695" s="111"/>
      <c r="AE695" s="9"/>
      <c r="AF695" s="549"/>
    </row>
    <row r="696" spans="2:32" x14ac:dyDescent="0.3">
      <c r="B696" s="9"/>
      <c r="C696" s="9"/>
      <c r="D696" s="9"/>
      <c r="E696" s="9"/>
      <c r="F696" s="9"/>
      <c r="G696" s="9"/>
      <c r="H696" s="9"/>
      <c r="I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395"/>
      <c r="X696" s="261"/>
      <c r="Y696" s="261"/>
      <c r="Z696" s="9"/>
      <c r="AA696" s="9"/>
      <c r="AB696" s="9"/>
      <c r="AC696" s="9"/>
      <c r="AD696" s="111"/>
      <c r="AE696" s="9"/>
      <c r="AF696" s="549"/>
    </row>
    <row r="697" spans="2:32" x14ac:dyDescent="0.3">
      <c r="B697" s="9"/>
      <c r="C697" s="9"/>
      <c r="D697" s="9"/>
      <c r="E697" s="9"/>
      <c r="F697" s="9"/>
      <c r="G697" s="9"/>
      <c r="H697" s="9"/>
      <c r="I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395"/>
      <c r="X697" s="261"/>
      <c r="Y697" s="261"/>
      <c r="Z697" s="9"/>
      <c r="AA697" s="9"/>
      <c r="AB697" s="9"/>
      <c r="AC697" s="9"/>
      <c r="AD697" s="111"/>
      <c r="AE697" s="9"/>
      <c r="AF697" s="549"/>
    </row>
    <row r="698" spans="2:32" x14ac:dyDescent="0.3">
      <c r="B698" s="9"/>
      <c r="C698" s="9"/>
      <c r="D698" s="9"/>
      <c r="E698" s="9"/>
      <c r="F698" s="9"/>
      <c r="G698" s="9"/>
      <c r="H698" s="9"/>
      <c r="I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395"/>
      <c r="X698" s="261"/>
      <c r="Y698" s="261"/>
      <c r="Z698" s="9"/>
      <c r="AA698" s="9"/>
      <c r="AB698" s="9"/>
      <c r="AC698" s="9"/>
      <c r="AD698" s="111"/>
      <c r="AE698" s="9"/>
      <c r="AF698" s="549"/>
    </row>
    <row r="699" spans="2:32" x14ac:dyDescent="0.3">
      <c r="B699" s="9"/>
      <c r="C699" s="9"/>
      <c r="D699" s="9"/>
      <c r="E699" s="9"/>
      <c r="F699" s="9"/>
      <c r="G699" s="9"/>
      <c r="H699" s="9"/>
      <c r="I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395"/>
      <c r="X699" s="261"/>
      <c r="Y699" s="261"/>
      <c r="Z699" s="9"/>
      <c r="AA699" s="9"/>
      <c r="AB699" s="9"/>
      <c r="AC699" s="9"/>
      <c r="AD699" s="111"/>
      <c r="AE699" s="9"/>
      <c r="AF699" s="549"/>
    </row>
    <row r="700" spans="2:32" x14ac:dyDescent="0.3">
      <c r="B700" s="9"/>
      <c r="C700" s="9"/>
      <c r="D700" s="9"/>
      <c r="E700" s="9"/>
      <c r="F700" s="9"/>
      <c r="G700" s="9"/>
      <c r="H700" s="9"/>
      <c r="I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395"/>
      <c r="X700" s="261"/>
      <c r="Y700" s="261"/>
      <c r="Z700" s="9"/>
      <c r="AA700" s="9"/>
      <c r="AB700" s="9"/>
      <c r="AC700" s="9"/>
      <c r="AD700" s="111"/>
      <c r="AE700" s="9"/>
      <c r="AF700" s="549"/>
    </row>
    <row r="701" spans="2:32" x14ac:dyDescent="0.3">
      <c r="B701" s="9"/>
      <c r="C701" s="9"/>
      <c r="D701" s="9"/>
      <c r="E701" s="9"/>
      <c r="F701" s="9"/>
      <c r="G701" s="9"/>
      <c r="H701" s="9"/>
      <c r="I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395"/>
      <c r="X701" s="261"/>
      <c r="Y701" s="261"/>
      <c r="Z701" s="9"/>
      <c r="AA701" s="9"/>
      <c r="AB701" s="9"/>
      <c r="AC701" s="9"/>
      <c r="AD701" s="111"/>
      <c r="AE701" s="9"/>
      <c r="AF701" s="549"/>
    </row>
    <row r="702" spans="2:32" x14ac:dyDescent="0.3">
      <c r="B702" s="9"/>
      <c r="C702" s="9"/>
      <c r="D702" s="9"/>
      <c r="E702" s="9"/>
      <c r="F702" s="9"/>
      <c r="G702" s="9"/>
      <c r="H702" s="9"/>
      <c r="I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395"/>
      <c r="X702" s="261"/>
      <c r="Y702" s="261"/>
      <c r="Z702" s="9"/>
      <c r="AA702" s="9"/>
      <c r="AB702" s="9"/>
      <c r="AC702" s="9"/>
      <c r="AD702" s="111"/>
      <c r="AE702" s="9"/>
      <c r="AF702" s="549"/>
    </row>
    <row r="703" spans="2:32" x14ac:dyDescent="0.3">
      <c r="B703" s="9"/>
      <c r="C703" s="9"/>
      <c r="D703" s="9"/>
      <c r="E703" s="9"/>
      <c r="F703" s="9"/>
      <c r="G703" s="9"/>
      <c r="H703" s="9"/>
      <c r="I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395"/>
      <c r="X703" s="261"/>
      <c r="Y703" s="261"/>
      <c r="Z703" s="9"/>
      <c r="AA703" s="9"/>
      <c r="AB703" s="9"/>
      <c r="AC703" s="9"/>
      <c r="AD703" s="111"/>
      <c r="AE703" s="9"/>
      <c r="AF703" s="549"/>
    </row>
    <row r="704" spans="2:32" x14ac:dyDescent="0.3">
      <c r="B704" s="9"/>
      <c r="C704" s="9"/>
      <c r="D704" s="9"/>
      <c r="E704" s="9"/>
      <c r="F704" s="9"/>
      <c r="G704" s="9"/>
      <c r="H704" s="9"/>
      <c r="I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395"/>
      <c r="X704" s="261"/>
      <c r="Y704" s="261"/>
      <c r="Z704" s="9"/>
      <c r="AA704" s="9"/>
      <c r="AB704" s="9"/>
      <c r="AC704" s="9"/>
      <c r="AD704" s="111"/>
      <c r="AE704" s="9"/>
      <c r="AF704" s="549"/>
    </row>
    <row r="705" spans="2:32" x14ac:dyDescent="0.3">
      <c r="B705" s="9"/>
      <c r="C705" s="9"/>
      <c r="D705" s="9"/>
      <c r="E705" s="9"/>
      <c r="F705" s="9"/>
      <c r="G705" s="9"/>
      <c r="H705" s="9"/>
      <c r="I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395"/>
      <c r="X705" s="261"/>
      <c r="Y705" s="261"/>
      <c r="Z705" s="9"/>
      <c r="AA705" s="9"/>
      <c r="AB705" s="9"/>
      <c r="AC705" s="9"/>
      <c r="AD705" s="111"/>
      <c r="AE705" s="9"/>
      <c r="AF705" s="549"/>
    </row>
    <row r="706" spans="2:32" x14ac:dyDescent="0.3">
      <c r="B706" s="9"/>
      <c r="C706" s="9"/>
      <c r="D706" s="9"/>
      <c r="E706" s="9"/>
      <c r="F706" s="9"/>
      <c r="G706" s="9"/>
      <c r="H706" s="9"/>
      <c r="I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395"/>
      <c r="X706" s="261"/>
      <c r="Y706" s="261"/>
      <c r="Z706" s="9"/>
      <c r="AA706" s="9"/>
      <c r="AB706" s="9"/>
      <c r="AC706" s="9"/>
      <c r="AD706" s="111"/>
      <c r="AE706" s="9"/>
      <c r="AF706" s="549"/>
    </row>
    <row r="707" spans="2:32" x14ac:dyDescent="0.3">
      <c r="B707" s="9"/>
      <c r="C707" s="9"/>
      <c r="D707" s="9"/>
      <c r="E707" s="9"/>
      <c r="F707" s="9"/>
      <c r="G707" s="9"/>
      <c r="H707" s="9"/>
      <c r="I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395"/>
      <c r="X707" s="261"/>
      <c r="Y707" s="261"/>
      <c r="Z707" s="9"/>
      <c r="AA707" s="9"/>
      <c r="AB707" s="9"/>
      <c r="AC707" s="9"/>
      <c r="AD707" s="111"/>
      <c r="AE707" s="9"/>
      <c r="AF707" s="549"/>
    </row>
    <row r="708" spans="2:32" x14ac:dyDescent="0.3">
      <c r="B708" s="9"/>
      <c r="C708" s="9"/>
      <c r="D708" s="9"/>
      <c r="E708" s="9"/>
      <c r="F708" s="9"/>
      <c r="G708" s="9"/>
      <c r="H708" s="9"/>
      <c r="I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395"/>
      <c r="X708" s="261"/>
      <c r="Y708" s="261"/>
      <c r="Z708" s="9"/>
      <c r="AA708" s="9"/>
      <c r="AB708" s="9"/>
      <c r="AC708" s="9"/>
      <c r="AD708" s="111"/>
      <c r="AE708" s="9"/>
      <c r="AF708" s="549"/>
    </row>
    <row r="709" spans="2:32" x14ac:dyDescent="0.3">
      <c r="B709" s="9"/>
      <c r="C709" s="9"/>
      <c r="D709" s="9"/>
      <c r="E709" s="9"/>
      <c r="F709" s="9"/>
      <c r="G709" s="9"/>
      <c r="H709" s="9"/>
      <c r="I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395"/>
      <c r="X709" s="261"/>
      <c r="Y709" s="261"/>
      <c r="Z709" s="9"/>
      <c r="AA709" s="9"/>
      <c r="AB709" s="9"/>
      <c r="AC709" s="9"/>
      <c r="AD709" s="111"/>
      <c r="AE709" s="9"/>
      <c r="AF709" s="549"/>
    </row>
    <row r="710" spans="2:32" x14ac:dyDescent="0.3">
      <c r="B710" s="9"/>
      <c r="C710" s="9"/>
      <c r="D710" s="9"/>
      <c r="E710" s="9"/>
      <c r="F710" s="9"/>
      <c r="G710" s="9"/>
      <c r="H710" s="9"/>
      <c r="I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395"/>
      <c r="X710" s="261"/>
      <c r="Y710" s="261"/>
      <c r="Z710" s="9"/>
      <c r="AA710" s="9"/>
      <c r="AB710" s="9"/>
      <c r="AC710" s="9"/>
      <c r="AD710" s="111"/>
      <c r="AE710" s="9"/>
      <c r="AF710" s="549"/>
    </row>
    <row r="711" spans="2:32" x14ac:dyDescent="0.3">
      <c r="B711" s="9"/>
      <c r="C711" s="9"/>
      <c r="D711" s="9"/>
      <c r="E711" s="9"/>
      <c r="F711" s="9"/>
      <c r="G711" s="9"/>
      <c r="H711" s="9"/>
      <c r="I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395"/>
      <c r="X711" s="261"/>
      <c r="Y711" s="261"/>
      <c r="Z711" s="9"/>
      <c r="AA711" s="9"/>
      <c r="AB711" s="9"/>
      <c r="AC711" s="9"/>
      <c r="AD711" s="111"/>
      <c r="AE711" s="9"/>
      <c r="AF711" s="549"/>
    </row>
    <row r="712" spans="2:32" x14ac:dyDescent="0.3">
      <c r="B712" s="9"/>
      <c r="C712" s="9"/>
      <c r="D712" s="9"/>
      <c r="E712" s="9"/>
      <c r="F712" s="9"/>
      <c r="G712" s="9"/>
      <c r="H712" s="9"/>
      <c r="I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395"/>
      <c r="X712" s="261"/>
      <c r="Y712" s="261"/>
      <c r="Z712" s="9"/>
      <c r="AA712" s="9"/>
      <c r="AB712" s="9"/>
      <c r="AC712" s="9"/>
      <c r="AD712" s="111"/>
      <c r="AE712" s="9"/>
      <c r="AF712" s="549"/>
    </row>
    <row r="713" spans="2:32" x14ac:dyDescent="0.3">
      <c r="B713" s="9"/>
      <c r="C713" s="9"/>
      <c r="D713" s="9"/>
      <c r="E713" s="9"/>
      <c r="F713" s="9"/>
      <c r="G713" s="9"/>
      <c r="H713" s="9"/>
      <c r="I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395"/>
      <c r="X713" s="261"/>
      <c r="Y713" s="261"/>
      <c r="Z713" s="9"/>
      <c r="AA713" s="9"/>
      <c r="AB713" s="9"/>
      <c r="AC713" s="9"/>
      <c r="AD713" s="111"/>
      <c r="AE713" s="9"/>
      <c r="AF713" s="549"/>
    </row>
    <row r="714" spans="2:32" x14ac:dyDescent="0.3">
      <c r="B714" s="9"/>
      <c r="C714" s="9"/>
      <c r="D714" s="9"/>
      <c r="E714" s="9"/>
      <c r="F714" s="9"/>
      <c r="G714" s="9"/>
      <c r="H714" s="9"/>
      <c r="I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395"/>
      <c r="X714" s="261"/>
      <c r="Y714" s="261"/>
      <c r="Z714" s="9"/>
      <c r="AA714" s="9"/>
      <c r="AB714" s="9"/>
      <c r="AC714" s="9"/>
      <c r="AD714" s="111"/>
      <c r="AE714" s="9"/>
      <c r="AF714" s="549"/>
    </row>
    <row r="715" spans="2:32" x14ac:dyDescent="0.3">
      <c r="B715" s="9"/>
      <c r="C715" s="9"/>
      <c r="D715" s="9"/>
      <c r="E715" s="9"/>
      <c r="F715" s="9"/>
      <c r="G715" s="9"/>
      <c r="H715" s="9"/>
      <c r="I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395"/>
      <c r="X715" s="261"/>
      <c r="Y715" s="261"/>
      <c r="Z715" s="9"/>
      <c r="AA715" s="9"/>
      <c r="AB715" s="9"/>
      <c r="AC715" s="9"/>
      <c r="AD715" s="111"/>
      <c r="AE715" s="9"/>
      <c r="AF715" s="549"/>
    </row>
    <row r="716" spans="2:32" x14ac:dyDescent="0.3">
      <c r="B716" s="9"/>
      <c r="C716" s="9"/>
      <c r="D716" s="9"/>
      <c r="E716" s="9"/>
      <c r="F716" s="9"/>
      <c r="G716" s="9"/>
      <c r="H716" s="9"/>
      <c r="I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395"/>
      <c r="X716" s="261"/>
      <c r="Y716" s="261"/>
      <c r="Z716" s="9"/>
      <c r="AA716" s="9"/>
      <c r="AB716" s="9"/>
      <c r="AC716" s="9"/>
      <c r="AD716" s="111"/>
      <c r="AE716" s="9"/>
      <c r="AF716" s="549"/>
    </row>
    <row r="717" spans="2:32" x14ac:dyDescent="0.3">
      <c r="B717" s="9"/>
      <c r="C717" s="9"/>
      <c r="D717" s="9"/>
      <c r="E717" s="9"/>
      <c r="F717" s="9"/>
      <c r="G717" s="9"/>
      <c r="H717" s="9"/>
      <c r="I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395"/>
      <c r="X717" s="261"/>
      <c r="Y717" s="261"/>
      <c r="Z717" s="9"/>
      <c r="AA717" s="9"/>
      <c r="AB717" s="9"/>
      <c r="AC717" s="9"/>
      <c r="AD717" s="111"/>
      <c r="AE717" s="9"/>
      <c r="AF717" s="549"/>
    </row>
    <row r="718" spans="2:32" x14ac:dyDescent="0.3">
      <c r="B718" s="9"/>
      <c r="C718" s="9"/>
      <c r="D718" s="9"/>
      <c r="E718" s="9"/>
      <c r="F718" s="9"/>
      <c r="G718" s="9"/>
      <c r="H718" s="9"/>
      <c r="I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395"/>
      <c r="X718" s="261"/>
      <c r="Y718" s="261"/>
      <c r="Z718" s="9"/>
      <c r="AA718" s="9"/>
      <c r="AB718" s="9"/>
      <c r="AC718" s="9"/>
      <c r="AD718" s="111"/>
      <c r="AE718" s="9"/>
      <c r="AF718" s="549"/>
    </row>
    <row r="719" spans="2:32" x14ac:dyDescent="0.3">
      <c r="B719" s="9"/>
      <c r="C719" s="9"/>
      <c r="D719" s="9"/>
      <c r="E719" s="9"/>
      <c r="F719" s="9"/>
      <c r="G719" s="9"/>
      <c r="H719" s="9"/>
      <c r="I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395"/>
      <c r="X719" s="261"/>
      <c r="Y719" s="261"/>
      <c r="Z719" s="9"/>
      <c r="AA719" s="9"/>
      <c r="AB719" s="9"/>
      <c r="AC719" s="9"/>
      <c r="AD719" s="111"/>
      <c r="AE719" s="9"/>
      <c r="AF719" s="549"/>
    </row>
    <row r="720" spans="2:32" x14ac:dyDescent="0.3">
      <c r="B720" s="9"/>
      <c r="C720" s="9"/>
      <c r="D720" s="9"/>
      <c r="E720" s="9"/>
      <c r="F720" s="9"/>
      <c r="G720" s="9"/>
      <c r="H720" s="9"/>
      <c r="I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395"/>
      <c r="X720" s="261"/>
      <c r="Y720" s="261"/>
      <c r="Z720" s="9"/>
      <c r="AA720" s="9"/>
      <c r="AB720" s="9"/>
      <c r="AC720" s="9"/>
      <c r="AD720" s="111"/>
      <c r="AE720" s="9"/>
      <c r="AF720" s="549"/>
    </row>
    <row r="721" spans="2:32" x14ac:dyDescent="0.3">
      <c r="B721" s="9"/>
      <c r="C721" s="9"/>
      <c r="D721" s="9"/>
      <c r="E721" s="9"/>
      <c r="F721" s="9"/>
      <c r="G721" s="9"/>
      <c r="H721" s="9"/>
      <c r="I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395"/>
      <c r="X721" s="261"/>
      <c r="Y721" s="261"/>
      <c r="Z721" s="9"/>
      <c r="AA721" s="9"/>
      <c r="AB721" s="9"/>
      <c r="AC721" s="9"/>
      <c r="AD721" s="111"/>
      <c r="AE721" s="9"/>
      <c r="AF721" s="549"/>
    </row>
    <row r="722" spans="2:32" x14ac:dyDescent="0.3">
      <c r="B722" s="9"/>
      <c r="C722" s="9"/>
      <c r="D722" s="9"/>
      <c r="E722" s="9"/>
      <c r="F722" s="9"/>
      <c r="G722" s="9"/>
      <c r="H722" s="9"/>
      <c r="I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395"/>
      <c r="X722" s="261"/>
      <c r="Y722" s="261"/>
      <c r="Z722" s="9"/>
      <c r="AA722" s="9"/>
      <c r="AB722" s="9"/>
      <c r="AC722" s="9"/>
      <c r="AD722" s="111"/>
      <c r="AE722" s="9"/>
      <c r="AF722" s="549"/>
    </row>
    <row r="723" spans="2:32" x14ac:dyDescent="0.3">
      <c r="B723" s="9"/>
      <c r="C723" s="9"/>
      <c r="D723" s="9"/>
      <c r="E723" s="9"/>
      <c r="F723" s="9"/>
      <c r="G723" s="9"/>
      <c r="H723" s="9"/>
      <c r="I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395"/>
      <c r="X723" s="261"/>
      <c r="Y723" s="261"/>
      <c r="Z723" s="9"/>
      <c r="AA723" s="9"/>
      <c r="AB723" s="9"/>
      <c r="AC723" s="9"/>
      <c r="AD723" s="111"/>
      <c r="AE723" s="9"/>
      <c r="AF723" s="549"/>
    </row>
    <row r="724" spans="2:32" x14ac:dyDescent="0.3">
      <c r="B724" s="9"/>
      <c r="C724" s="9"/>
      <c r="D724" s="9"/>
      <c r="E724" s="9"/>
      <c r="F724" s="9"/>
      <c r="G724" s="9"/>
      <c r="H724" s="9"/>
      <c r="I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395"/>
      <c r="X724" s="261"/>
      <c r="Y724" s="261"/>
      <c r="Z724" s="9"/>
      <c r="AA724" s="9"/>
      <c r="AB724" s="9"/>
      <c r="AC724" s="9"/>
      <c r="AD724" s="111"/>
      <c r="AE724" s="9"/>
      <c r="AF724" s="549"/>
    </row>
    <row r="725" spans="2:32" x14ac:dyDescent="0.3">
      <c r="B725" s="9"/>
      <c r="C725" s="9"/>
      <c r="D725" s="9"/>
      <c r="E725" s="9"/>
      <c r="F725" s="9"/>
      <c r="G725" s="9"/>
      <c r="H725" s="9"/>
      <c r="I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395"/>
      <c r="X725" s="261"/>
      <c r="Y725" s="261"/>
      <c r="Z725" s="9"/>
      <c r="AA725" s="9"/>
      <c r="AB725" s="9"/>
      <c r="AC725" s="9"/>
      <c r="AD725" s="111"/>
      <c r="AE725" s="9"/>
      <c r="AF725" s="549"/>
    </row>
    <row r="726" spans="2:32" x14ac:dyDescent="0.3">
      <c r="B726" s="9"/>
      <c r="C726" s="9"/>
      <c r="D726" s="9"/>
      <c r="E726" s="9"/>
      <c r="F726" s="9"/>
      <c r="G726" s="9"/>
      <c r="H726" s="9"/>
      <c r="I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395"/>
      <c r="X726" s="261"/>
      <c r="Y726" s="261"/>
      <c r="Z726" s="9"/>
      <c r="AA726" s="9"/>
      <c r="AB726" s="9"/>
      <c r="AC726" s="9"/>
      <c r="AD726" s="111"/>
      <c r="AE726" s="9"/>
      <c r="AF726" s="549"/>
    </row>
    <row r="727" spans="2:32" x14ac:dyDescent="0.3">
      <c r="B727" s="9"/>
      <c r="C727" s="9"/>
      <c r="D727" s="9"/>
      <c r="E727" s="9"/>
      <c r="F727" s="9"/>
      <c r="G727" s="9"/>
      <c r="H727" s="9"/>
      <c r="I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395"/>
      <c r="X727" s="261"/>
      <c r="Y727" s="261"/>
      <c r="Z727" s="9"/>
      <c r="AA727" s="9"/>
      <c r="AB727" s="9"/>
      <c r="AC727" s="9"/>
      <c r="AD727" s="111"/>
      <c r="AE727" s="9"/>
      <c r="AF727" s="549"/>
    </row>
    <row r="728" spans="2:32" x14ac:dyDescent="0.3">
      <c r="B728" s="9"/>
      <c r="C728" s="9"/>
      <c r="D728" s="9"/>
      <c r="E728" s="9"/>
      <c r="F728" s="9"/>
      <c r="G728" s="9"/>
      <c r="H728" s="9"/>
      <c r="I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395"/>
      <c r="X728" s="261"/>
      <c r="Y728" s="261"/>
      <c r="Z728" s="9"/>
      <c r="AA728" s="9"/>
      <c r="AB728" s="9"/>
      <c r="AC728" s="9"/>
      <c r="AD728" s="111"/>
      <c r="AE728" s="9"/>
      <c r="AF728" s="549"/>
    </row>
    <row r="729" spans="2:32" x14ac:dyDescent="0.3">
      <c r="B729" s="9"/>
      <c r="C729" s="9"/>
      <c r="D729" s="9"/>
      <c r="E729" s="9"/>
      <c r="F729" s="9"/>
      <c r="G729" s="9"/>
      <c r="H729" s="9"/>
      <c r="I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395"/>
      <c r="X729" s="261"/>
      <c r="Y729" s="261"/>
      <c r="Z729" s="9"/>
      <c r="AA729" s="9"/>
      <c r="AB729" s="9"/>
      <c r="AC729" s="9"/>
      <c r="AD729" s="111"/>
      <c r="AE729" s="9"/>
      <c r="AF729" s="549"/>
    </row>
    <row r="730" spans="2:32" x14ac:dyDescent="0.3">
      <c r="B730" s="9"/>
      <c r="C730" s="9"/>
      <c r="D730" s="9"/>
      <c r="E730" s="9"/>
      <c r="F730" s="9"/>
      <c r="G730" s="9"/>
      <c r="H730" s="9"/>
      <c r="I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395"/>
      <c r="X730" s="261"/>
      <c r="Y730" s="261"/>
      <c r="Z730" s="9"/>
      <c r="AA730" s="9"/>
      <c r="AB730" s="9"/>
      <c r="AC730" s="9"/>
      <c r="AD730" s="111"/>
      <c r="AE730" s="9"/>
      <c r="AF730" s="549"/>
    </row>
    <row r="731" spans="2:32" x14ac:dyDescent="0.3">
      <c r="B731" s="9"/>
      <c r="C731" s="9"/>
      <c r="D731" s="9"/>
      <c r="E731" s="9"/>
      <c r="F731" s="9"/>
      <c r="G731" s="9"/>
      <c r="H731" s="9"/>
      <c r="I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395"/>
      <c r="X731" s="261"/>
      <c r="Y731" s="261"/>
      <c r="Z731" s="9"/>
      <c r="AA731" s="9"/>
      <c r="AB731" s="9"/>
      <c r="AC731" s="9"/>
      <c r="AD731" s="111"/>
      <c r="AE731" s="9"/>
      <c r="AF731" s="549"/>
    </row>
    <row r="732" spans="2:32" x14ac:dyDescent="0.3">
      <c r="B732" s="9"/>
      <c r="C732" s="9"/>
      <c r="D732" s="9"/>
      <c r="E732" s="9"/>
      <c r="F732" s="9"/>
      <c r="G732" s="9"/>
      <c r="H732" s="9"/>
      <c r="I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395"/>
      <c r="X732" s="261"/>
      <c r="Y732" s="261"/>
      <c r="Z732" s="9"/>
      <c r="AA732" s="9"/>
      <c r="AB732" s="9"/>
      <c r="AC732" s="9"/>
      <c r="AD732" s="111"/>
      <c r="AE732" s="9"/>
      <c r="AF732" s="549"/>
    </row>
    <row r="733" spans="2:32" x14ac:dyDescent="0.3">
      <c r="B733" s="9"/>
      <c r="C733" s="9"/>
      <c r="D733" s="9"/>
      <c r="E733" s="9"/>
      <c r="F733" s="9"/>
      <c r="G733" s="9"/>
      <c r="H733" s="9"/>
      <c r="I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395"/>
      <c r="X733" s="261"/>
      <c r="Y733" s="261"/>
      <c r="Z733" s="9"/>
      <c r="AA733" s="9"/>
      <c r="AB733" s="9"/>
      <c r="AC733" s="9"/>
      <c r="AD733" s="111"/>
      <c r="AE733" s="9"/>
      <c r="AF733" s="549"/>
    </row>
    <row r="734" spans="2:32" x14ac:dyDescent="0.3">
      <c r="B734" s="9"/>
      <c r="C734" s="9"/>
      <c r="D734" s="9"/>
      <c r="E734" s="9"/>
      <c r="F734" s="9"/>
      <c r="G734" s="9"/>
      <c r="H734" s="9"/>
      <c r="I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395"/>
      <c r="X734" s="261"/>
      <c r="Y734" s="261"/>
      <c r="Z734" s="9"/>
      <c r="AA734" s="9"/>
      <c r="AB734" s="9"/>
      <c r="AC734" s="9"/>
      <c r="AD734" s="111"/>
      <c r="AE734" s="9"/>
      <c r="AF734" s="549"/>
    </row>
    <row r="735" spans="2:32" x14ac:dyDescent="0.3">
      <c r="B735" s="9"/>
      <c r="C735" s="9"/>
      <c r="D735" s="9"/>
      <c r="E735" s="9"/>
      <c r="F735" s="9"/>
      <c r="G735" s="9"/>
      <c r="H735" s="9"/>
      <c r="I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395"/>
      <c r="X735" s="261"/>
      <c r="Y735" s="261"/>
      <c r="Z735" s="9"/>
      <c r="AA735" s="9"/>
      <c r="AB735" s="9"/>
      <c r="AC735" s="9"/>
      <c r="AD735" s="111"/>
      <c r="AE735" s="9"/>
      <c r="AF735" s="549"/>
    </row>
    <row r="736" spans="2:32" x14ac:dyDescent="0.3">
      <c r="B736" s="9"/>
      <c r="C736" s="9"/>
      <c r="D736" s="9"/>
      <c r="E736" s="9"/>
      <c r="F736" s="9"/>
      <c r="G736" s="9"/>
      <c r="H736" s="9"/>
      <c r="I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395"/>
      <c r="X736" s="261"/>
      <c r="Y736" s="261"/>
      <c r="Z736" s="9"/>
      <c r="AA736" s="9"/>
      <c r="AB736" s="9"/>
      <c r="AC736" s="9"/>
      <c r="AD736" s="111"/>
      <c r="AE736" s="9"/>
      <c r="AF736" s="549"/>
    </row>
    <row r="737" spans="2:32" x14ac:dyDescent="0.3">
      <c r="B737" s="9"/>
      <c r="C737" s="9"/>
      <c r="D737" s="9"/>
      <c r="E737" s="9"/>
      <c r="F737" s="9"/>
      <c r="G737" s="9"/>
      <c r="H737" s="9"/>
      <c r="I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395"/>
      <c r="X737" s="261"/>
      <c r="Y737" s="261"/>
      <c r="Z737" s="9"/>
      <c r="AA737" s="9"/>
      <c r="AB737" s="9"/>
      <c r="AC737" s="9"/>
      <c r="AD737" s="111"/>
      <c r="AE737" s="9"/>
      <c r="AF737" s="549"/>
    </row>
    <row r="738" spans="2:32" x14ac:dyDescent="0.3">
      <c r="B738" s="9"/>
      <c r="C738" s="9"/>
      <c r="D738" s="9"/>
      <c r="E738" s="9"/>
      <c r="F738" s="9"/>
      <c r="G738" s="9"/>
      <c r="H738" s="9"/>
      <c r="I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395"/>
      <c r="X738" s="261"/>
      <c r="Y738" s="261"/>
      <c r="Z738" s="9"/>
      <c r="AA738" s="9"/>
      <c r="AB738" s="9"/>
      <c r="AC738" s="9"/>
      <c r="AD738" s="111"/>
      <c r="AE738" s="9"/>
      <c r="AF738" s="549"/>
    </row>
    <row r="739" spans="2:32" x14ac:dyDescent="0.3">
      <c r="B739" s="9"/>
      <c r="C739" s="9"/>
      <c r="D739" s="9"/>
      <c r="E739" s="9"/>
      <c r="F739" s="9"/>
      <c r="G739" s="9"/>
      <c r="H739" s="9"/>
      <c r="I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395"/>
      <c r="X739" s="261"/>
      <c r="Y739" s="261"/>
      <c r="Z739" s="9"/>
      <c r="AA739" s="9"/>
      <c r="AB739" s="9"/>
      <c r="AC739" s="9"/>
      <c r="AD739" s="111"/>
      <c r="AE739" s="9"/>
      <c r="AF739" s="549"/>
    </row>
    <row r="740" spans="2:32" x14ac:dyDescent="0.3">
      <c r="B740" s="9"/>
      <c r="C740" s="9"/>
      <c r="D740" s="9"/>
      <c r="E740" s="9"/>
      <c r="F740" s="9"/>
      <c r="G740" s="9"/>
      <c r="H740" s="9"/>
      <c r="I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395"/>
      <c r="X740" s="261"/>
      <c r="Y740" s="261"/>
      <c r="Z740" s="9"/>
      <c r="AA740" s="9"/>
      <c r="AB740" s="9"/>
      <c r="AC740" s="9"/>
      <c r="AD740" s="111"/>
      <c r="AE740" s="9"/>
      <c r="AF740" s="549"/>
    </row>
    <row r="741" spans="2:32" x14ac:dyDescent="0.3">
      <c r="B741" s="9"/>
      <c r="C741" s="9"/>
      <c r="D741" s="9"/>
      <c r="E741" s="9"/>
      <c r="F741" s="9"/>
      <c r="G741" s="9"/>
      <c r="H741" s="9"/>
      <c r="I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395"/>
      <c r="X741" s="261"/>
      <c r="Y741" s="261"/>
      <c r="Z741" s="9"/>
      <c r="AA741" s="9"/>
      <c r="AB741" s="9"/>
      <c r="AC741" s="9"/>
      <c r="AD741" s="111"/>
      <c r="AE741" s="9"/>
      <c r="AF741" s="549"/>
    </row>
    <row r="742" spans="2:32" x14ac:dyDescent="0.3">
      <c r="B742" s="9"/>
      <c r="C742" s="9"/>
      <c r="D742" s="9"/>
      <c r="E742" s="9"/>
      <c r="F742" s="9"/>
      <c r="G742" s="9"/>
      <c r="H742" s="9"/>
      <c r="I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395"/>
      <c r="X742" s="261"/>
      <c r="Y742" s="261"/>
      <c r="Z742" s="9"/>
      <c r="AA742" s="9"/>
      <c r="AB742" s="9"/>
      <c r="AC742" s="9"/>
      <c r="AD742" s="111"/>
      <c r="AE742" s="9"/>
      <c r="AF742" s="549"/>
    </row>
    <row r="743" spans="2:32" x14ac:dyDescent="0.3">
      <c r="B743" s="9"/>
      <c r="C743" s="9"/>
      <c r="D743" s="9"/>
      <c r="E743" s="9"/>
      <c r="F743" s="9"/>
      <c r="G743" s="9"/>
      <c r="H743" s="9"/>
      <c r="I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395"/>
      <c r="X743" s="261"/>
      <c r="Y743" s="261"/>
      <c r="Z743" s="9"/>
      <c r="AA743" s="9"/>
      <c r="AB743" s="9"/>
      <c r="AC743" s="9"/>
      <c r="AD743" s="111"/>
      <c r="AE743" s="9"/>
      <c r="AF743" s="549"/>
    </row>
    <row r="744" spans="2:32" x14ac:dyDescent="0.3">
      <c r="B744" s="9"/>
      <c r="C744" s="9"/>
      <c r="D744" s="9"/>
      <c r="E744" s="9"/>
      <c r="F744" s="9"/>
      <c r="G744" s="9"/>
      <c r="H744" s="9"/>
      <c r="I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395"/>
      <c r="X744" s="261"/>
      <c r="Y744" s="261"/>
      <c r="Z744" s="9"/>
      <c r="AA744" s="9"/>
      <c r="AB744" s="9"/>
      <c r="AC744" s="9"/>
      <c r="AD744" s="111"/>
      <c r="AE744" s="9"/>
      <c r="AF744" s="549"/>
    </row>
    <row r="745" spans="2:32" x14ac:dyDescent="0.3">
      <c r="B745" s="9"/>
      <c r="C745" s="9"/>
      <c r="D745" s="9"/>
      <c r="E745" s="9"/>
      <c r="F745" s="9"/>
      <c r="G745" s="9"/>
      <c r="H745" s="9"/>
      <c r="I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395"/>
      <c r="X745" s="261"/>
      <c r="Y745" s="261"/>
      <c r="Z745" s="9"/>
      <c r="AA745" s="9"/>
      <c r="AB745" s="9"/>
      <c r="AC745" s="9"/>
      <c r="AD745" s="111"/>
      <c r="AE745" s="9"/>
      <c r="AF745" s="549"/>
    </row>
    <row r="746" spans="2:32" x14ac:dyDescent="0.3">
      <c r="B746" s="9"/>
      <c r="C746" s="9"/>
      <c r="D746" s="9"/>
      <c r="E746" s="9"/>
      <c r="F746" s="9"/>
      <c r="G746" s="9"/>
      <c r="H746" s="9"/>
      <c r="I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395"/>
      <c r="X746" s="261"/>
      <c r="Y746" s="261"/>
      <c r="Z746" s="9"/>
      <c r="AA746" s="9"/>
      <c r="AB746" s="9"/>
      <c r="AC746" s="9"/>
      <c r="AD746" s="111"/>
      <c r="AE746" s="9"/>
      <c r="AF746" s="549"/>
    </row>
    <row r="747" spans="2:32" x14ac:dyDescent="0.3">
      <c r="B747" s="9"/>
      <c r="C747" s="9"/>
      <c r="D747" s="9"/>
      <c r="E747" s="9"/>
      <c r="F747" s="9"/>
      <c r="G747" s="9"/>
      <c r="H747" s="9"/>
      <c r="I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395"/>
      <c r="X747" s="261"/>
      <c r="Y747" s="261"/>
      <c r="Z747" s="9"/>
      <c r="AA747" s="9"/>
      <c r="AB747" s="9"/>
      <c r="AC747" s="9"/>
      <c r="AD747" s="111"/>
      <c r="AE747" s="9"/>
      <c r="AF747" s="549"/>
    </row>
    <row r="748" spans="2:32" x14ac:dyDescent="0.3">
      <c r="B748" s="9"/>
      <c r="C748" s="9"/>
      <c r="D748" s="9"/>
      <c r="E748" s="9"/>
      <c r="F748" s="9"/>
      <c r="G748" s="9"/>
      <c r="H748" s="9"/>
      <c r="I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395"/>
      <c r="X748" s="261"/>
      <c r="Y748" s="261"/>
      <c r="Z748" s="9"/>
      <c r="AA748" s="9"/>
      <c r="AB748" s="9"/>
      <c r="AC748" s="9"/>
      <c r="AD748" s="111"/>
      <c r="AE748" s="9"/>
      <c r="AF748" s="549"/>
    </row>
    <row r="749" spans="2:32" x14ac:dyDescent="0.3">
      <c r="B749" s="9"/>
      <c r="C749" s="9"/>
      <c r="D749" s="9"/>
      <c r="E749" s="9"/>
      <c r="F749" s="9"/>
      <c r="G749" s="9"/>
      <c r="H749" s="9"/>
      <c r="I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395"/>
      <c r="X749" s="261"/>
      <c r="Y749" s="261"/>
      <c r="Z749" s="9"/>
      <c r="AA749" s="9"/>
      <c r="AB749" s="9"/>
      <c r="AC749" s="9"/>
      <c r="AD749" s="111"/>
      <c r="AE749" s="9"/>
      <c r="AF749" s="549"/>
    </row>
    <row r="750" spans="2:32" x14ac:dyDescent="0.3">
      <c r="B750" s="9"/>
      <c r="C750" s="9"/>
      <c r="D750" s="9"/>
      <c r="E750" s="9"/>
      <c r="F750" s="9"/>
      <c r="G750" s="9"/>
      <c r="H750" s="9"/>
      <c r="I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395"/>
      <c r="X750" s="261"/>
      <c r="Y750" s="261"/>
      <c r="Z750" s="9"/>
      <c r="AA750" s="9"/>
      <c r="AB750" s="9"/>
      <c r="AC750" s="9"/>
      <c r="AD750" s="111"/>
      <c r="AE750" s="9"/>
      <c r="AF750" s="549"/>
    </row>
    <row r="751" spans="2:32" x14ac:dyDescent="0.3">
      <c r="B751" s="9"/>
      <c r="C751" s="9"/>
      <c r="D751" s="9"/>
      <c r="E751" s="9"/>
      <c r="F751" s="9"/>
      <c r="G751" s="9"/>
      <c r="H751" s="9"/>
      <c r="I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395"/>
      <c r="X751" s="261"/>
      <c r="Y751" s="261"/>
      <c r="Z751" s="9"/>
      <c r="AA751" s="9"/>
      <c r="AB751" s="9"/>
      <c r="AC751" s="9"/>
      <c r="AD751" s="111"/>
      <c r="AE751" s="9"/>
      <c r="AF751" s="549"/>
    </row>
    <row r="752" spans="2:32" x14ac:dyDescent="0.3">
      <c r="B752" s="9"/>
      <c r="C752" s="9"/>
      <c r="D752" s="9"/>
      <c r="E752" s="9"/>
      <c r="F752" s="9"/>
      <c r="G752" s="9"/>
      <c r="H752" s="9"/>
      <c r="I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395"/>
      <c r="X752" s="261"/>
      <c r="Y752" s="261"/>
      <c r="Z752" s="9"/>
      <c r="AA752" s="9"/>
      <c r="AB752" s="9"/>
      <c r="AC752" s="9"/>
      <c r="AD752" s="111"/>
      <c r="AE752" s="9"/>
      <c r="AF752" s="549"/>
    </row>
    <row r="753" spans="2:32" x14ac:dyDescent="0.3">
      <c r="B753" s="9"/>
      <c r="C753" s="9"/>
      <c r="D753" s="9"/>
      <c r="E753" s="9"/>
      <c r="F753" s="9"/>
      <c r="G753" s="9"/>
      <c r="H753" s="9"/>
      <c r="I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395"/>
      <c r="X753" s="261"/>
      <c r="Y753" s="261"/>
      <c r="Z753" s="9"/>
      <c r="AA753" s="9"/>
      <c r="AB753" s="9"/>
      <c r="AC753" s="9"/>
      <c r="AD753" s="111"/>
      <c r="AE753" s="9"/>
      <c r="AF753" s="549"/>
    </row>
    <row r="754" spans="2:32" x14ac:dyDescent="0.3">
      <c r="B754" s="9"/>
      <c r="C754" s="9"/>
      <c r="D754" s="9"/>
      <c r="E754" s="9"/>
      <c r="F754" s="9"/>
      <c r="G754" s="9"/>
      <c r="H754" s="9"/>
      <c r="I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395"/>
      <c r="X754" s="261"/>
      <c r="Y754" s="261"/>
      <c r="Z754" s="9"/>
      <c r="AA754" s="9"/>
      <c r="AB754" s="9"/>
      <c r="AC754" s="9"/>
      <c r="AD754" s="111"/>
      <c r="AE754" s="9"/>
      <c r="AF754" s="549"/>
    </row>
    <row r="755" spans="2:32" x14ac:dyDescent="0.3">
      <c r="B755" s="9"/>
      <c r="C755" s="9"/>
      <c r="D755" s="9"/>
      <c r="E755" s="9"/>
      <c r="F755" s="9"/>
      <c r="G755" s="9"/>
      <c r="H755" s="9"/>
      <c r="I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395"/>
      <c r="X755" s="261"/>
      <c r="Y755" s="261"/>
      <c r="Z755" s="9"/>
      <c r="AA755" s="9"/>
      <c r="AB755" s="9"/>
      <c r="AC755" s="9"/>
      <c r="AD755" s="111"/>
      <c r="AE755" s="9"/>
      <c r="AF755" s="549"/>
    </row>
    <row r="756" spans="2:32" x14ac:dyDescent="0.3">
      <c r="B756" s="9"/>
      <c r="C756" s="9"/>
      <c r="D756" s="9"/>
      <c r="E756" s="9"/>
      <c r="F756" s="9"/>
      <c r="G756" s="9"/>
      <c r="H756" s="9"/>
      <c r="I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395"/>
      <c r="X756" s="261"/>
      <c r="Y756" s="261"/>
      <c r="Z756" s="9"/>
      <c r="AA756" s="9"/>
      <c r="AB756" s="9"/>
      <c r="AC756" s="9"/>
      <c r="AD756" s="111"/>
      <c r="AE756" s="9"/>
      <c r="AF756" s="549"/>
    </row>
    <row r="757" spans="2:32" x14ac:dyDescent="0.3">
      <c r="B757" s="9"/>
      <c r="C757" s="9"/>
      <c r="D757" s="9"/>
      <c r="E757" s="9"/>
      <c r="F757" s="9"/>
      <c r="G757" s="9"/>
      <c r="H757" s="9"/>
      <c r="I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395"/>
      <c r="X757" s="261"/>
      <c r="Y757" s="261"/>
      <c r="Z757" s="9"/>
      <c r="AA757" s="9"/>
      <c r="AB757" s="9"/>
      <c r="AC757" s="9"/>
      <c r="AD757" s="111"/>
      <c r="AE757" s="9"/>
      <c r="AF757" s="549"/>
    </row>
    <row r="758" spans="2:32" x14ac:dyDescent="0.3">
      <c r="B758" s="9"/>
      <c r="C758" s="9"/>
      <c r="D758" s="9"/>
      <c r="E758" s="9"/>
      <c r="F758" s="9"/>
      <c r="G758" s="9"/>
      <c r="H758" s="9"/>
      <c r="I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395"/>
      <c r="X758" s="261"/>
      <c r="Y758" s="261"/>
      <c r="Z758" s="9"/>
      <c r="AA758" s="9"/>
      <c r="AB758" s="9"/>
      <c r="AC758" s="9"/>
      <c r="AD758" s="111"/>
      <c r="AE758" s="9"/>
      <c r="AF758" s="549"/>
    </row>
    <row r="759" spans="2:32" x14ac:dyDescent="0.3">
      <c r="B759" s="9"/>
      <c r="C759" s="9"/>
      <c r="D759" s="9"/>
      <c r="E759" s="9"/>
      <c r="F759" s="9"/>
      <c r="G759" s="9"/>
      <c r="H759" s="9"/>
      <c r="I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395"/>
      <c r="X759" s="261"/>
      <c r="Y759" s="261"/>
      <c r="Z759" s="9"/>
      <c r="AA759" s="9"/>
      <c r="AB759" s="9"/>
      <c r="AC759" s="9"/>
      <c r="AD759" s="111"/>
      <c r="AE759" s="9"/>
      <c r="AF759" s="549"/>
    </row>
    <row r="760" spans="2:32" x14ac:dyDescent="0.3">
      <c r="B760" s="9"/>
      <c r="C760" s="9"/>
      <c r="D760" s="9"/>
      <c r="E760" s="9"/>
      <c r="F760" s="9"/>
      <c r="G760" s="9"/>
      <c r="H760" s="9"/>
      <c r="I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395"/>
      <c r="X760" s="261"/>
      <c r="Y760" s="261"/>
      <c r="Z760" s="9"/>
      <c r="AA760" s="9"/>
      <c r="AB760" s="9"/>
      <c r="AC760" s="9"/>
      <c r="AD760" s="111"/>
      <c r="AE760" s="9"/>
      <c r="AF760" s="549"/>
    </row>
    <row r="761" spans="2:32" x14ac:dyDescent="0.3">
      <c r="B761" s="9"/>
      <c r="C761" s="9"/>
      <c r="D761" s="9"/>
      <c r="E761" s="9"/>
      <c r="F761" s="9"/>
      <c r="G761" s="9"/>
      <c r="H761" s="9"/>
      <c r="I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395"/>
      <c r="X761" s="261"/>
      <c r="Y761" s="261"/>
      <c r="Z761" s="9"/>
      <c r="AA761" s="9"/>
      <c r="AB761" s="9"/>
      <c r="AC761" s="9"/>
      <c r="AD761" s="111"/>
      <c r="AE761" s="9"/>
      <c r="AF761" s="549"/>
    </row>
    <row r="762" spans="2:32" x14ac:dyDescent="0.3">
      <c r="B762" s="9"/>
      <c r="C762" s="9"/>
      <c r="D762" s="9"/>
      <c r="E762" s="9"/>
      <c r="F762" s="9"/>
      <c r="G762" s="9"/>
      <c r="H762" s="9"/>
      <c r="I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395"/>
      <c r="X762" s="261"/>
      <c r="Y762" s="261"/>
      <c r="Z762" s="9"/>
      <c r="AA762" s="9"/>
      <c r="AB762" s="9"/>
      <c r="AC762" s="9"/>
      <c r="AD762" s="111"/>
      <c r="AE762" s="9"/>
      <c r="AF762" s="549"/>
    </row>
    <row r="763" spans="2:32" x14ac:dyDescent="0.3">
      <c r="B763" s="9"/>
      <c r="C763" s="9"/>
      <c r="D763" s="9"/>
      <c r="E763" s="9"/>
      <c r="F763" s="9"/>
      <c r="G763" s="9"/>
      <c r="H763" s="9"/>
      <c r="I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395"/>
      <c r="X763" s="261"/>
      <c r="Y763" s="261"/>
      <c r="Z763" s="9"/>
      <c r="AA763" s="9"/>
      <c r="AB763" s="9"/>
      <c r="AC763" s="9"/>
      <c r="AD763" s="111"/>
      <c r="AE763" s="9"/>
      <c r="AF763" s="549"/>
    </row>
    <row r="764" spans="2:32" x14ac:dyDescent="0.3">
      <c r="B764" s="9"/>
      <c r="C764" s="9"/>
      <c r="D764" s="9"/>
      <c r="E764" s="9"/>
      <c r="F764" s="9"/>
      <c r="G764" s="9"/>
      <c r="H764" s="9"/>
      <c r="I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395"/>
      <c r="X764" s="261"/>
      <c r="Y764" s="261"/>
      <c r="Z764" s="9"/>
      <c r="AA764" s="9"/>
      <c r="AB764" s="9"/>
      <c r="AC764" s="9"/>
      <c r="AD764" s="111"/>
      <c r="AE764" s="9"/>
      <c r="AF764" s="549"/>
    </row>
    <row r="765" spans="2:32" x14ac:dyDescent="0.3">
      <c r="B765" s="9"/>
      <c r="C765" s="9"/>
      <c r="D765" s="9"/>
      <c r="E765" s="9"/>
      <c r="F765" s="9"/>
      <c r="G765" s="9"/>
      <c r="H765" s="9"/>
      <c r="I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395"/>
      <c r="X765" s="261"/>
      <c r="Y765" s="261"/>
      <c r="Z765" s="9"/>
      <c r="AA765" s="9"/>
      <c r="AB765" s="9"/>
      <c r="AC765" s="9"/>
      <c r="AD765" s="111"/>
      <c r="AE765" s="9"/>
      <c r="AF765" s="549"/>
    </row>
    <row r="766" spans="2:32" x14ac:dyDescent="0.3">
      <c r="B766" s="9"/>
      <c r="C766" s="9"/>
      <c r="D766" s="9"/>
      <c r="E766" s="9"/>
      <c r="F766" s="9"/>
      <c r="G766" s="9"/>
      <c r="H766" s="9"/>
      <c r="I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395"/>
      <c r="X766" s="261"/>
      <c r="Y766" s="261"/>
      <c r="Z766" s="9"/>
      <c r="AA766" s="9"/>
      <c r="AB766" s="9"/>
      <c r="AC766" s="9"/>
      <c r="AD766" s="111"/>
      <c r="AE766" s="9"/>
      <c r="AF766" s="549"/>
    </row>
    <row r="767" spans="2:32" x14ac:dyDescent="0.3">
      <c r="B767" s="9"/>
      <c r="C767" s="9"/>
      <c r="D767" s="9"/>
      <c r="E767" s="9"/>
      <c r="F767" s="9"/>
      <c r="G767" s="9"/>
      <c r="H767" s="9"/>
      <c r="I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395"/>
      <c r="X767" s="261"/>
      <c r="Y767" s="261"/>
      <c r="Z767" s="9"/>
      <c r="AA767" s="9"/>
      <c r="AB767" s="9"/>
      <c r="AC767" s="9"/>
      <c r="AD767" s="111"/>
      <c r="AE767" s="9"/>
      <c r="AF767" s="549"/>
    </row>
    <row r="768" spans="2:32" x14ac:dyDescent="0.3">
      <c r="B768" s="9"/>
      <c r="C768" s="9"/>
      <c r="D768" s="9"/>
      <c r="E768" s="9"/>
      <c r="F768" s="9"/>
      <c r="G768" s="9"/>
      <c r="H768" s="9"/>
      <c r="I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395"/>
      <c r="X768" s="261"/>
      <c r="Y768" s="261"/>
      <c r="Z768" s="9"/>
      <c r="AA768" s="9"/>
      <c r="AB768" s="9"/>
      <c r="AC768" s="9"/>
      <c r="AD768" s="111"/>
      <c r="AE768" s="9"/>
      <c r="AF768" s="549"/>
    </row>
    <row r="769" spans="2:32" x14ac:dyDescent="0.3">
      <c r="B769" s="9"/>
      <c r="C769" s="9"/>
      <c r="D769" s="9"/>
      <c r="E769" s="9"/>
      <c r="F769" s="9"/>
      <c r="G769" s="9"/>
      <c r="H769" s="9"/>
      <c r="I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395"/>
      <c r="X769" s="261"/>
      <c r="Y769" s="261"/>
      <c r="Z769" s="9"/>
      <c r="AA769" s="9"/>
      <c r="AB769" s="9"/>
      <c r="AC769" s="9"/>
      <c r="AD769" s="111"/>
      <c r="AE769" s="9"/>
      <c r="AF769" s="549"/>
    </row>
    <row r="770" spans="2:32" x14ac:dyDescent="0.3">
      <c r="B770" s="9"/>
      <c r="C770" s="9"/>
      <c r="D770" s="9"/>
      <c r="E770" s="9"/>
      <c r="F770" s="9"/>
      <c r="G770" s="9"/>
      <c r="H770" s="9"/>
      <c r="I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395"/>
      <c r="X770" s="261"/>
      <c r="Y770" s="261"/>
      <c r="Z770" s="9"/>
      <c r="AA770" s="9"/>
      <c r="AB770" s="9"/>
      <c r="AC770" s="9"/>
      <c r="AD770" s="111"/>
      <c r="AE770" s="9"/>
      <c r="AF770" s="549"/>
    </row>
    <row r="771" spans="2:32" x14ac:dyDescent="0.3">
      <c r="B771" s="9"/>
      <c r="C771" s="9"/>
      <c r="D771" s="9"/>
      <c r="E771" s="9"/>
      <c r="F771" s="9"/>
      <c r="G771" s="9"/>
      <c r="H771" s="9"/>
      <c r="I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395"/>
      <c r="X771" s="261"/>
      <c r="Y771" s="261"/>
      <c r="Z771" s="9"/>
      <c r="AA771" s="9"/>
      <c r="AB771" s="9"/>
      <c r="AC771" s="9"/>
      <c r="AD771" s="111"/>
      <c r="AE771" s="9"/>
      <c r="AF771" s="549"/>
    </row>
    <row r="772" spans="2:32" x14ac:dyDescent="0.3">
      <c r="B772" s="9"/>
      <c r="C772" s="9"/>
      <c r="D772" s="9"/>
      <c r="E772" s="9"/>
      <c r="F772" s="9"/>
      <c r="G772" s="9"/>
      <c r="H772" s="9"/>
      <c r="I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395"/>
      <c r="X772" s="261"/>
      <c r="Y772" s="261"/>
      <c r="Z772" s="9"/>
      <c r="AA772" s="9"/>
      <c r="AB772" s="9"/>
      <c r="AC772" s="9"/>
      <c r="AD772" s="111"/>
      <c r="AE772" s="9"/>
      <c r="AF772" s="549"/>
    </row>
    <row r="773" spans="2:32" x14ac:dyDescent="0.3">
      <c r="B773" s="9"/>
      <c r="C773" s="9"/>
      <c r="D773" s="9"/>
      <c r="E773" s="9"/>
      <c r="F773" s="9"/>
      <c r="G773" s="9"/>
      <c r="H773" s="9"/>
      <c r="I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395"/>
      <c r="X773" s="261"/>
      <c r="Y773" s="261"/>
      <c r="Z773" s="9"/>
      <c r="AA773" s="9"/>
      <c r="AB773" s="9"/>
      <c r="AC773" s="9"/>
      <c r="AD773" s="111"/>
      <c r="AE773" s="9"/>
      <c r="AF773" s="549"/>
    </row>
    <row r="774" spans="2:32" x14ac:dyDescent="0.3">
      <c r="B774" s="9"/>
      <c r="C774" s="9"/>
      <c r="D774" s="9"/>
      <c r="E774" s="9"/>
      <c r="F774" s="9"/>
      <c r="G774" s="9"/>
      <c r="H774" s="9"/>
      <c r="I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395"/>
      <c r="X774" s="261"/>
      <c r="Y774" s="261"/>
      <c r="Z774" s="9"/>
      <c r="AA774" s="9"/>
      <c r="AB774" s="9"/>
      <c r="AC774" s="9"/>
      <c r="AD774" s="111"/>
      <c r="AE774" s="9"/>
      <c r="AF774" s="549"/>
    </row>
    <row r="775" spans="2:32" x14ac:dyDescent="0.3">
      <c r="B775" s="9"/>
      <c r="C775" s="9"/>
      <c r="D775" s="9"/>
      <c r="E775" s="9"/>
      <c r="F775" s="9"/>
      <c r="G775" s="9"/>
      <c r="H775" s="9"/>
      <c r="I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395"/>
      <c r="X775" s="261"/>
      <c r="Y775" s="261"/>
      <c r="Z775" s="9"/>
      <c r="AA775" s="9"/>
      <c r="AB775" s="9"/>
      <c r="AC775" s="9"/>
      <c r="AD775" s="111"/>
      <c r="AE775" s="9"/>
      <c r="AF775" s="549"/>
    </row>
    <row r="776" spans="2:32" x14ac:dyDescent="0.3">
      <c r="B776" s="9"/>
      <c r="C776" s="9"/>
      <c r="D776" s="9"/>
      <c r="E776" s="9"/>
      <c r="F776" s="9"/>
      <c r="G776" s="9"/>
      <c r="H776" s="9"/>
      <c r="I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395"/>
      <c r="X776" s="261"/>
      <c r="Y776" s="261"/>
      <c r="Z776" s="9"/>
      <c r="AA776" s="9"/>
      <c r="AB776" s="9"/>
      <c r="AC776" s="9"/>
      <c r="AD776" s="111"/>
      <c r="AE776" s="9"/>
      <c r="AF776" s="549"/>
    </row>
    <row r="777" spans="2:32" x14ac:dyDescent="0.3">
      <c r="B777" s="9"/>
      <c r="C777" s="9"/>
      <c r="D777" s="9"/>
      <c r="E777" s="9"/>
      <c r="F777" s="9"/>
      <c r="G777" s="9"/>
      <c r="H777" s="9"/>
      <c r="I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395"/>
      <c r="X777" s="261"/>
      <c r="Y777" s="261"/>
      <c r="Z777" s="9"/>
      <c r="AA777" s="9"/>
      <c r="AB777" s="9"/>
      <c r="AC777" s="9"/>
      <c r="AD777" s="111"/>
      <c r="AE777" s="9"/>
      <c r="AF777" s="549"/>
    </row>
    <row r="778" spans="2:32" x14ac:dyDescent="0.3">
      <c r="B778" s="9"/>
      <c r="C778" s="9"/>
      <c r="D778" s="9"/>
      <c r="E778" s="9"/>
      <c r="F778" s="9"/>
      <c r="G778" s="9"/>
      <c r="H778" s="9"/>
      <c r="I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395"/>
      <c r="X778" s="261"/>
      <c r="Y778" s="261"/>
      <c r="Z778" s="9"/>
      <c r="AA778" s="9"/>
      <c r="AB778" s="9"/>
      <c r="AC778" s="9"/>
      <c r="AD778" s="111"/>
      <c r="AE778" s="9"/>
      <c r="AF778" s="549"/>
    </row>
    <row r="779" spans="2:32" x14ac:dyDescent="0.3">
      <c r="B779" s="9"/>
      <c r="C779" s="9"/>
      <c r="D779" s="9"/>
      <c r="E779" s="9"/>
      <c r="F779" s="9"/>
      <c r="G779" s="9"/>
      <c r="H779" s="9"/>
      <c r="I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395"/>
      <c r="X779" s="261"/>
      <c r="Y779" s="261"/>
      <c r="Z779" s="9"/>
      <c r="AA779" s="9"/>
      <c r="AB779" s="9"/>
      <c r="AC779" s="9"/>
      <c r="AD779" s="111"/>
      <c r="AE779" s="9"/>
      <c r="AF779" s="549"/>
    </row>
    <row r="780" spans="2:32" x14ac:dyDescent="0.3">
      <c r="B780" s="9"/>
      <c r="C780" s="9"/>
      <c r="D780" s="9"/>
      <c r="E780" s="9"/>
      <c r="F780" s="9"/>
      <c r="G780" s="9"/>
      <c r="H780" s="9"/>
      <c r="I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395"/>
      <c r="X780" s="261"/>
      <c r="Y780" s="261"/>
      <c r="Z780" s="9"/>
      <c r="AA780" s="9"/>
      <c r="AB780" s="9"/>
      <c r="AC780" s="9"/>
      <c r="AD780" s="111"/>
      <c r="AE780" s="9"/>
      <c r="AF780" s="549"/>
    </row>
    <row r="781" spans="2:32" x14ac:dyDescent="0.3">
      <c r="B781" s="9"/>
      <c r="C781" s="9"/>
      <c r="D781" s="9"/>
      <c r="E781" s="9"/>
      <c r="F781" s="9"/>
      <c r="G781" s="9"/>
      <c r="H781" s="9"/>
      <c r="I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395"/>
      <c r="X781" s="261"/>
      <c r="Y781" s="261"/>
      <c r="Z781" s="9"/>
      <c r="AA781" s="9"/>
      <c r="AB781" s="9"/>
      <c r="AC781" s="9"/>
      <c r="AD781" s="111"/>
      <c r="AE781" s="9"/>
      <c r="AF781" s="549"/>
    </row>
    <row r="782" spans="2:32" x14ac:dyDescent="0.3">
      <c r="B782" s="9"/>
      <c r="C782" s="9"/>
      <c r="D782" s="9"/>
      <c r="E782" s="9"/>
      <c r="F782" s="9"/>
      <c r="G782" s="9"/>
      <c r="H782" s="9"/>
      <c r="I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395"/>
      <c r="X782" s="261"/>
      <c r="Y782" s="261"/>
      <c r="Z782" s="9"/>
      <c r="AA782" s="9"/>
      <c r="AB782" s="9"/>
      <c r="AC782" s="9"/>
      <c r="AD782" s="111"/>
      <c r="AE782" s="9"/>
      <c r="AF782" s="549"/>
    </row>
    <row r="783" spans="2:32" x14ac:dyDescent="0.3">
      <c r="B783" s="9"/>
      <c r="C783" s="9"/>
      <c r="D783" s="9"/>
      <c r="E783" s="9"/>
      <c r="F783" s="9"/>
      <c r="G783" s="9"/>
      <c r="H783" s="9"/>
      <c r="I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395"/>
      <c r="X783" s="261"/>
      <c r="Y783" s="261"/>
      <c r="Z783" s="9"/>
      <c r="AA783" s="9"/>
      <c r="AB783" s="9"/>
      <c r="AC783" s="9"/>
      <c r="AD783" s="111"/>
      <c r="AE783" s="9"/>
      <c r="AF783" s="549"/>
    </row>
    <row r="784" spans="2:32" x14ac:dyDescent="0.3">
      <c r="B784" s="9"/>
      <c r="C784" s="9"/>
      <c r="D784" s="9"/>
      <c r="E784" s="9"/>
      <c r="F784" s="9"/>
      <c r="G784" s="9"/>
      <c r="H784" s="9"/>
      <c r="I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395"/>
      <c r="X784" s="261"/>
      <c r="Y784" s="261"/>
      <c r="Z784" s="9"/>
      <c r="AA784" s="9"/>
      <c r="AB784" s="9"/>
      <c r="AC784" s="9"/>
      <c r="AD784" s="111"/>
      <c r="AE784" s="9"/>
      <c r="AF784" s="549"/>
    </row>
    <row r="785" spans="2:32" x14ac:dyDescent="0.3">
      <c r="B785" s="9"/>
      <c r="C785" s="9"/>
      <c r="D785" s="9"/>
      <c r="E785" s="9"/>
      <c r="F785" s="9"/>
      <c r="G785" s="9"/>
      <c r="H785" s="9"/>
      <c r="I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395"/>
      <c r="X785" s="261"/>
      <c r="Y785" s="261"/>
      <c r="Z785" s="9"/>
      <c r="AA785" s="9"/>
      <c r="AB785" s="9"/>
      <c r="AC785" s="9"/>
      <c r="AD785" s="111"/>
      <c r="AE785" s="9"/>
      <c r="AF785" s="549"/>
    </row>
    <row r="786" spans="2:32" x14ac:dyDescent="0.3">
      <c r="B786" s="9"/>
      <c r="C786" s="9"/>
      <c r="D786" s="9"/>
      <c r="E786" s="9"/>
      <c r="F786" s="9"/>
      <c r="G786" s="9"/>
      <c r="H786" s="9"/>
      <c r="I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395"/>
      <c r="X786" s="261"/>
      <c r="Y786" s="261"/>
      <c r="Z786" s="9"/>
      <c r="AA786" s="9"/>
      <c r="AB786" s="9"/>
      <c r="AC786" s="9"/>
      <c r="AD786" s="111"/>
      <c r="AE786" s="9"/>
      <c r="AF786" s="549"/>
    </row>
    <row r="787" spans="2:32" x14ac:dyDescent="0.3">
      <c r="B787" s="9"/>
      <c r="C787" s="9"/>
      <c r="D787" s="9"/>
      <c r="E787" s="9"/>
      <c r="F787" s="9"/>
      <c r="G787" s="9"/>
      <c r="H787" s="9"/>
      <c r="I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395"/>
      <c r="X787" s="261"/>
      <c r="Y787" s="261"/>
      <c r="Z787" s="9"/>
      <c r="AA787" s="9"/>
      <c r="AB787" s="9"/>
      <c r="AC787" s="9"/>
      <c r="AD787" s="111"/>
      <c r="AE787" s="9"/>
      <c r="AF787" s="549"/>
    </row>
    <row r="788" spans="2:32" x14ac:dyDescent="0.3">
      <c r="B788" s="9"/>
      <c r="C788" s="9"/>
      <c r="D788" s="9"/>
      <c r="E788" s="9"/>
      <c r="F788" s="9"/>
      <c r="G788" s="9"/>
      <c r="H788" s="9"/>
      <c r="I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395"/>
      <c r="X788" s="261"/>
      <c r="Y788" s="261"/>
      <c r="Z788" s="9"/>
      <c r="AA788" s="9"/>
      <c r="AB788" s="9"/>
      <c r="AC788" s="9"/>
      <c r="AD788" s="111"/>
      <c r="AE788" s="9"/>
      <c r="AF788" s="549"/>
    </row>
    <row r="789" spans="2:32" x14ac:dyDescent="0.3">
      <c r="B789" s="9"/>
      <c r="C789" s="9"/>
      <c r="D789" s="9"/>
      <c r="E789" s="9"/>
      <c r="F789" s="9"/>
      <c r="G789" s="9"/>
      <c r="H789" s="9"/>
      <c r="I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395"/>
      <c r="X789" s="261"/>
      <c r="Y789" s="261"/>
      <c r="Z789" s="9"/>
      <c r="AA789" s="9"/>
      <c r="AB789" s="9"/>
      <c r="AC789" s="9"/>
      <c r="AD789" s="111"/>
      <c r="AE789" s="9"/>
      <c r="AF789" s="549"/>
    </row>
    <row r="790" spans="2:32" x14ac:dyDescent="0.3">
      <c r="B790" s="9"/>
      <c r="C790" s="9"/>
      <c r="D790" s="9"/>
      <c r="E790" s="9"/>
      <c r="F790" s="9"/>
      <c r="G790" s="9"/>
      <c r="H790" s="9"/>
      <c r="I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395"/>
      <c r="X790" s="261"/>
      <c r="Y790" s="261"/>
      <c r="Z790" s="9"/>
      <c r="AA790" s="9"/>
      <c r="AB790" s="9"/>
      <c r="AC790" s="9"/>
      <c r="AD790" s="111"/>
      <c r="AE790" s="9"/>
      <c r="AF790" s="549"/>
    </row>
    <row r="791" spans="2:32" x14ac:dyDescent="0.3">
      <c r="B791" s="9"/>
      <c r="C791" s="9"/>
      <c r="D791" s="9"/>
      <c r="E791" s="9"/>
      <c r="F791" s="9"/>
      <c r="G791" s="9"/>
      <c r="H791" s="9"/>
      <c r="I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395"/>
      <c r="X791" s="261"/>
      <c r="Y791" s="261"/>
      <c r="Z791" s="9"/>
      <c r="AA791" s="9"/>
      <c r="AB791" s="9"/>
      <c r="AC791" s="9"/>
      <c r="AD791" s="111"/>
      <c r="AE791" s="9"/>
      <c r="AF791" s="549"/>
    </row>
    <row r="792" spans="2:32" x14ac:dyDescent="0.3">
      <c r="B792" s="9"/>
      <c r="C792" s="9"/>
      <c r="D792" s="9"/>
      <c r="E792" s="9"/>
      <c r="F792" s="9"/>
      <c r="G792" s="9"/>
      <c r="H792" s="9"/>
      <c r="I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395"/>
      <c r="X792" s="261"/>
      <c r="Y792" s="261"/>
      <c r="Z792" s="9"/>
      <c r="AA792" s="9"/>
      <c r="AB792" s="9"/>
      <c r="AC792" s="9"/>
      <c r="AD792" s="111"/>
      <c r="AE792" s="9"/>
      <c r="AF792" s="549"/>
    </row>
    <row r="793" spans="2:32" x14ac:dyDescent="0.3">
      <c r="B793" s="9"/>
      <c r="C793" s="9"/>
      <c r="D793" s="9"/>
      <c r="E793" s="9"/>
      <c r="F793" s="9"/>
      <c r="G793" s="9"/>
      <c r="H793" s="9"/>
      <c r="I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395"/>
      <c r="X793" s="261"/>
      <c r="Y793" s="261"/>
      <c r="Z793" s="9"/>
      <c r="AA793" s="9"/>
      <c r="AB793" s="9"/>
      <c r="AC793" s="9"/>
      <c r="AD793" s="111"/>
      <c r="AE793" s="9"/>
      <c r="AF793" s="549"/>
    </row>
    <row r="794" spans="2:32" x14ac:dyDescent="0.3">
      <c r="B794" s="9"/>
      <c r="C794" s="9"/>
      <c r="D794" s="9"/>
      <c r="E794" s="9"/>
      <c r="F794" s="9"/>
      <c r="G794" s="9"/>
      <c r="H794" s="9"/>
      <c r="I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395"/>
      <c r="X794" s="261"/>
      <c r="Y794" s="261"/>
      <c r="Z794" s="9"/>
      <c r="AA794" s="9"/>
      <c r="AB794" s="9"/>
      <c r="AC794" s="9"/>
      <c r="AD794" s="111"/>
      <c r="AE794" s="9"/>
      <c r="AF794" s="549"/>
    </row>
    <row r="795" spans="2:32" x14ac:dyDescent="0.3">
      <c r="B795" s="9"/>
      <c r="C795" s="9"/>
      <c r="D795" s="9"/>
      <c r="E795" s="9"/>
      <c r="F795" s="9"/>
      <c r="G795" s="9"/>
      <c r="H795" s="9"/>
      <c r="I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395"/>
      <c r="X795" s="261"/>
      <c r="Y795" s="261"/>
      <c r="Z795" s="9"/>
      <c r="AA795" s="9"/>
      <c r="AB795" s="9"/>
      <c r="AC795" s="9"/>
      <c r="AD795" s="111"/>
      <c r="AE795" s="9"/>
      <c r="AF795" s="549"/>
    </row>
    <row r="796" spans="2:32" x14ac:dyDescent="0.3">
      <c r="B796" s="9"/>
      <c r="C796" s="9"/>
      <c r="D796" s="9"/>
      <c r="E796" s="9"/>
      <c r="F796" s="9"/>
      <c r="G796" s="9"/>
      <c r="H796" s="9"/>
      <c r="I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395"/>
      <c r="X796" s="261"/>
      <c r="Y796" s="261"/>
      <c r="Z796" s="9"/>
      <c r="AA796" s="9"/>
      <c r="AB796" s="9"/>
      <c r="AC796" s="9"/>
      <c r="AD796" s="111"/>
      <c r="AE796" s="9"/>
      <c r="AF796" s="549"/>
    </row>
    <row r="797" spans="2:32" x14ac:dyDescent="0.3">
      <c r="B797" s="9"/>
      <c r="C797" s="9"/>
      <c r="D797" s="9"/>
      <c r="E797" s="9"/>
      <c r="F797" s="9"/>
      <c r="G797" s="9"/>
      <c r="H797" s="9"/>
      <c r="I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395"/>
      <c r="X797" s="261"/>
      <c r="Y797" s="261"/>
      <c r="Z797" s="9"/>
      <c r="AA797" s="9"/>
      <c r="AB797" s="9"/>
      <c r="AC797" s="9"/>
      <c r="AD797" s="111"/>
      <c r="AE797" s="9"/>
      <c r="AF797" s="549"/>
    </row>
    <row r="798" spans="2:32" x14ac:dyDescent="0.3">
      <c r="B798" s="9"/>
      <c r="C798" s="9"/>
      <c r="D798" s="9"/>
      <c r="E798" s="9"/>
      <c r="F798" s="9"/>
      <c r="G798" s="9"/>
      <c r="H798" s="9"/>
      <c r="I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395"/>
      <c r="X798" s="261"/>
      <c r="Y798" s="261"/>
      <c r="Z798" s="9"/>
      <c r="AA798" s="9"/>
      <c r="AB798" s="9"/>
      <c r="AC798" s="9"/>
      <c r="AD798" s="111"/>
      <c r="AE798" s="9"/>
      <c r="AF798" s="549"/>
    </row>
    <row r="799" spans="2:32" x14ac:dyDescent="0.3">
      <c r="B799" s="9"/>
      <c r="C799" s="9"/>
      <c r="D799" s="9"/>
      <c r="E799" s="9"/>
      <c r="F799" s="9"/>
      <c r="G799" s="9"/>
      <c r="H799" s="9"/>
      <c r="I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395"/>
      <c r="X799" s="261"/>
      <c r="Y799" s="261"/>
      <c r="Z799" s="9"/>
      <c r="AA799" s="9"/>
      <c r="AB799" s="9"/>
      <c r="AC799" s="9"/>
      <c r="AD799" s="111"/>
      <c r="AE799" s="9"/>
      <c r="AF799" s="549"/>
    </row>
    <row r="800" spans="2:32" x14ac:dyDescent="0.3">
      <c r="B800" s="9"/>
      <c r="C800" s="9"/>
      <c r="D800" s="9"/>
      <c r="E800" s="9"/>
      <c r="F800" s="9"/>
      <c r="G800" s="9"/>
      <c r="H800" s="9"/>
      <c r="I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395"/>
      <c r="X800" s="261"/>
      <c r="Y800" s="261"/>
      <c r="Z800" s="9"/>
      <c r="AA800" s="9"/>
      <c r="AB800" s="9"/>
      <c r="AC800" s="9"/>
      <c r="AD800" s="111"/>
      <c r="AE800" s="9"/>
      <c r="AF800" s="549"/>
    </row>
    <row r="801" spans="2:32" x14ac:dyDescent="0.3">
      <c r="B801" s="9"/>
      <c r="C801" s="9"/>
      <c r="D801" s="9"/>
      <c r="E801" s="9"/>
      <c r="F801" s="9"/>
      <c r="G801" s="9"/>
      <c r="H801" s="9"/>
      <c r="I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395"/>
      <c r="X801" s="261"/>
      <c r="Y801" s="261"/>
      <c r="Z801" s="9"/>
      <c r="AA801" s="9"/>
      <c r="AB801" s="9"/>
      <c r="AC801" s="9"/>
      <c r="AD801" s="111"/>
      <c r="AE801" s="9"/>
      <c r="AF801" s="549"/>
    </row>
    <row r="802" spans="2:32" x14ac:dyDescent="0.3">
      <c r="B802" s="9"/>
      <c r="C802" s="9"/>
      <c r="D802" s="9"/>
      <c r="E802" s="9"/>
      <c r="F802" s="9"/>
      <c r="G802" s="9"/>
      <c r="H802" s="9"/>
      <c r="I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395"/>
      <c r="X802" s="261"/>
      <c r="Y802" s="261"/>
      <c r="Z802" s="9"/>
      <c r="AA802" s="9"/>
      <c r="AB802" s="9"/>
      <c r="AC802" s="9"/>
      <c r="AD802" s="111"/>
      <c r="AE802" s="9"/>
      <c r="AF802" s="549"/>
    </row>
    <row r="803" spans="2:32" x14ac:dyDescent="0.3">
      <c r="B803" s="9"/>
      <c r="C803" s="9"/>
      <c r="D803" s="9"/>
      <c r="E803" s="9"/>
      <c r="F803" s="9"/>
      <c r="G803" s="9"/>
      <c r="H803" s="9"/>
      <c r="I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395"/>
      <c r="X803" s="261"/>
      <c r="Y803" s="261"/>
      <c r="Z803" s="9"/>
      <c r="AA803" s="9"/>
      <c r="AB803" s="9"/>
      <c r="AC803" s="9"/>
      <c r="AD803" s="111"/>
      <c r="AE803" s="9"/>
      <c r="AF803" s="549"/>
    </row>
    <row r="804" spans="2:32" x14ac:dyDescent="0.3">
      <c r="B804" s="9"/>
      <c r="C804" s="9"/>
      <c r="D804" s="9"/>
      <c r="E804" s="9"/>
      <c r="F804" s="9"/>
      <c r="G804" s="9"/>
      <c r="H804" s="9"/>
      <c r="I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395"/>
      <c r="X804" s="261"/>
      <c r="Y804" s="261"/>
      <c r="Z804" s="9"/>
      <c r="AA804" s="9"/>
      <c r="AB804" s="9"/>
      <c r="AC804" s="9"/>
      <c r="AD804" s="111"/>
      <c r="AE804" s="9"/>
      <c r="AF804" s="549"/>
    </row>
    <row r="805" spans="2:32" x14ac:dyDescent="0.3">
      <c r="B805" s="9"/>
      <c r="C805" s="9"/>
      <c r="D805" s="9"/>
      <c r="E805" s="9"/>
      <c r="F805" s="9"/>
      <c r="G805" s="9"/>
      <c r="H805" s="9"/>
      <c r="I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395"/>
      <c r="X805" s="261"/>
      <c r="Y805" s="261"/>
      <c r="Z805" s="9"/>
      <c r="AA805" s="9"/>
      <c r="AB805" s="9"/>
      <c r="AC805" s="9"/>
      <c r="AD805" s="111"/>
      <c r="AE805" s="9"/>
      <c r="AF805" s="549"/>
    </row>
    <row r="806" spans="2:32" x14ac:dyDescent="0.3">
      <c r="B806" s="9"/>
      <c r="C806" s="9"/>
      <c r="D806" s="9"/>
      <c r="E806" s="9"/>
      <c r="F806" s="9"/>
      <c r="G806" s="9"/>
      <c r="H806" s="9"/>
      <c r="I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395"/>
      <c r="X806" s="261"/>
      <c r="Y806" s="261"/>
      <c r="Z806" s="9"/>
      <c r="AA806" s="9"/>
      <c r="AB806" s="9"/>
      <c r="AC806" s="9"/>
      <c r="AD806" s="111"/>
      <c r="AE806" s="9"/>
      <c r="AF806" s="549"/>
    </row>
    <row r="807" spans="2:32" x14ac:dyDescent="0.3">
      <c r="B807" s="9"/>
      <c r="C807" s="9"/>
      <c r="D807" s="9"/>
      <c r="E807" s="9"/>
      <c r="F807" s="9"/>
      <c r="G807" s="9"/>
      <c r="H807" s="9"/>
      <c r="I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395"/>
      <c r="X807" s="261"/>
      <c r="Y807" s="261"/>
      <c r="Z807" s="9"/>
      <c r="AA807" s="9"/>
      <c r="AB807" s="9"/>
      <c r="AC807" s="9"/>
      <c r="AD807" s="111"/>
      <c r="AE807" s="9"/>
      <c r="AF807" s="549"/>
    </row>
    <row r="808" spans="2:32" x14ac:dyDescent="0.3">
      <c r="B808" s="9"/>
      <c r="C808" s="9"/>
      <c r="D808" s="9"/>
      <c r="E808" s="9"/>
      <c r="F808" s="9"/>
      <c r="G808" s="9"/>
      <c r="H808" s="9"/>
      <c r="I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395"/>
      <c r="X808" s="261"/>
      <c r="Y808" s="261"/>
      <c r="Z808" s="9"/>
      <c r="AA808" s="9"/>
      <c r="AB808" s="9"/>
      <c r="AC808" s="9"/>
      <c r="AD808" s="111"/>
      <c r="AE808" s="9"/>
      <c r="AF808" s="549"/>
    </row>
    <row r="809" spans="2:32" x14ac:dyDescent="0.3">
      <c r="B809" s="9"/>
      <c r="C809" s="9"/>
      <c r="D809" s="9"/>
      <c r="E809" s="9"/>
      <c r="F809" s="9"/>
      <c r="G809" s="9"/>
      <c r="H809" s="9"/>
      <c r="I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395"/>
      <c r="X809" s="261"/>
      <c r="Y809" s="261"/>
      <c r="Z809" s="9"/>
      <c r="AA809" s="9"/>
      <c r="AB809" s="9"/>
      <c r="AC809" s="9"/>
      <c r="AD809" s="111"/>
      <c r="AE809" s="9"/>
      <c r="AF809" s="549"/>
    </row>
    <row r="810" spans="2:32" x14ac:dyDescent="0.3">
      <c r="B810" s="9"/>
      <c r="C810" s="9"/>
      <c r="D810" s="9"/>
      <c r="E810" s="9"/>
      <c r="F810" s="9"/>
      <c r="G810" s="9"/>
      <c r="H810" s="9"/>
      <c r="I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395"/>
      <c r="X810" s="261"/>
      <c r="Y810" s="261"/>
      <c r="Z810" s="9"/>
      <c r="AA810" s="9"/>
      <c r="AB810" s="9"/>
      <c r="AC810" s="9"/>
      <c r="AD810" s="111"/>
      <c r="AE810" s="9"/>
      <c r="AF810" s="549"/>
    </row>
    <row r="811" spans="2:32" x14ac:dyDescent="0.3">
      <c r="B811" s="9"/>
      <c r="C811" s="9"/>
      <c r="D811" s="9"/>
      <c r="E811" s="9"/>
      <c r="F811" s="9"/>
      <c r="G811" s="9"/>
      <c r="H811" s="9"/>
      <c r="I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395"/>
      <c r="X811" s="261"/>
      <c r="Y811" s="261"/>
      <c r="Z811" s="9"/>
      <c r="AA811" s="9"/>
      <c r="AB811" s="9"/>
      <c r="AC811" s="9"/>
      <c r="AD811" s="111"/>
      <c r="AE811" s="9"/>
      <c r="AF811" s="549"/>
    </row>
    <row r="812" spans="2:32" x14ac:dyDescent="0.3">
      <c r="B812" s="9"/>
      <c r="C812" s="9"/>
      <c r="D812" s="9"/>
      <c r="E812" s="9"/>
      <c r="F812" s="9"/>
      <c r="G812" s="9"/>
      <c r="H812" s="9"/>
      <c r="I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395"/>
      <c r="X812" s="261"/>
      <c r="Y812" s="261"/>
      <c r="Z812" s="9"/>
      <c r="AA812" s="9"/>
      <c r="AB812" s="9"/>
      <c r="AC812" s="9"/>
      <c r="AD812" s="111"/>
      <c r="AE812" s="9"/>
      <c r="AF812" s="549"/>
    </row>
    <row r="813" spans="2:32" x14ac:dyDescent="0.3">
      <c r="B813" s="9"/>
      <c r="C813" s="9"/>
      <c r="D813" s="9"/>
      <c r="E813" s="9"/>
      <c r="F813" s="9"/>
      <c r="G813" s="9"/>
      <c r="H813" s="9"/>
      <c r="I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395"/>
      <c r="X813" s="261"/>
      <c r="Y813" s="261"/>
      <c r="Z813" s="9"/>
      <c r="AA813" s="9"/>
      <c r="AB813" s="9"/>
      <c r="AC813" s="9"/>
      <c r="AD813" s="111"/>
      <c r="AE813" s="9"/>
      <c r="AF813" s="549"/>
    </row>
    <row r="814" spans="2:32" x14ac:dyDescent="0.3">
      <c r="B814" s="9"/>
      <c r="C814" s="9"/>
      <c r="D814" s="9"/>
      <c r="E814" s="9"/>
      <c r="F814" s="9"/>
      <c r="G814" s="9"/>
      <c r="H814" s="9"/>
      <c r="I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395"/>
      <c r="X814" s="261"/>
      <c r="Y814" s="261"/>
      <c r="Z814" s="9"/>
      <c r="AA814" s="9"/>
      <c r="AB814" s="9"/>
      <c r="AC814" s="9"/>
      <c r="AD814" s="111"/>
      <c r="AE814" s="9"/>
      <c r="AF814" s="549"/>
    </row>
    <row r="815" spans="2:32" x14ac:dyDescent="0.3">
      <c r="B815" s="9"/>
      <c r="C815" s="9"/>
      <c r="D815" s="9"/>
      <c r="E815" s="9"/>
      <c r="F815" s="9"/>
      <c r="G815" s="9"/>
      <c r="H815" s="9"/>
      <c r="I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395"/>
      <c r="X815" s="261"/>
      <c r="Y815" s="261"/>
      <c r="Z815" s="9"/>
      <c r="AA815" s="9"/>
      <c r="AB815" s="9"/>
      <c r="AC815" s="9"/>
      <c r="AD815" s="111"/>
      <c r="AE815" s="9"/>
      <c r="AF815" s="549"/>
    </row>
    <row r="816" spans="2:32" x14ac:dyDescent="0.3">
      <c r="B816" s="9"/>
      <c r="C816" s="9"/>
      <c r="D816" s="9"/>
      <c r="E816" s="9"/>
      <c r="F816" s="9"/>
      <c r="G816" s="9"/>
      <c r="H816" s="9"/>
      <c r="I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395"/>
      <c r="X816" s="261"/>
      <c r="Y816" s="261"/>
      <c r="Z816" s="9"/>
      <c r="AA816" s="9"/>
      <c r="AB816" s="9"/>
      <c r="AC816" s="9"/>
      <c r="AD816" s="111"/>
      <c r="AE816" s="9"/>
      <c r="AF816" s="549"/>
    </row>
    <row r="817" spans="2:32" x14ac:dyDescent="0.3">
      <c r="B817" s="9"/>
      <c r="C817" s="9"/>
      <c r="D817" s="9"/>
      <c r="E817" s="9"/>
      <c r="F817" s="9"/>
      <c r="G817" s="9"/>
      <c r="H817" s="9"/>
      <c r="I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395"/>
      <c r="X817" s="261"/>
      <c r="Y817" s="261"/>
      <c r="Z817" s="9"/>
      <c r="AA817" s="9"/>
      <c r="AB817" s="9"/>
      <c r="AC817" s="9"/>
      <c r="AD817" s="111"/>
      <c r="AE817" s="9"/>
      <c r="AF817" s="549"/>
    </row>
    <row r="818" spans="2:32" x14ac:dyDescent="0.3">
      <c r="B818" s="9"/>
      <c r="C818" s="9"/>
      <c r="D818" s="9"/>
      <c r="E818" s="9"/>
      <c r="F818" s="9"/>
      <c r="G818" s="9"/>
      <c r="H818" s="9"/>
      <c r="I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395"/>
      <c r="X818" s="261"/>
      <c r="Y818" s="261"/>
      <c r="Z818" s="9"/>
      <c r="AA818" s="9"/>
      <c r="AB818" s="9"/>
      <c r="AC818" s="9"/>
      <c r="AD818" s="111"/>
      <c r="AE818" s="9"/>
      <c r="AF818" s="549"/>
    </row>
    <row r="819" spans="2:32" x14ac:dyDescent="0.3">
      <c r="B819" s="9"/>
      <c r="C819" s="9"/>
      <c r="D819" s="9"/>
      <c r="E819" s="9"/>
      <c r="F819" s="9"/>
      <c r="G819" s="9"/>
      <c r="H819" s="9"/>
      <c r="I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395"/>
      <c r="X819" s="261"/>
      <c r="Y819" s="261"/>
      <c r="Z819" s="9"/>
      <c r="AA819" s="9"/>
      <c r="AB819" s="9"/>
      <c r="AC819" s="9"/>
      <c r="AD819" s="111"/>
      <c r="AE819" s="9"/>
      <c r="AF819" s="549"/>
    </row>
    <row r="820" spans="2:32" x14ac:dyDescent="0.3">
      <c r="B820" s="9"/>
      <c r="C820" s="9"/>
      <c r="D820" s="9"/>
      <c r="E820" s="9"/>
      <c r="F820" s="9"/>
      <c r="G820" s="9"/>
      <c r="H820" s="9"/>
      <c r="I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395"/>
      <c r="X820" s="261"/>
      <c r="Y820" s="261"/>
      <c r="Z820" s="9"/>
      <c r="AA820" s="9"/>
      <c r="AB820" s="9"/>
      <c r="AC820" s="9"/>
      <c r="AD820" s="111"/>
      <c r="AE820" s="9"/>
      <c r="AF820" s="549"/>
    </row>
    <row r="821" spans="2:32" x14ac:dyDescent="0.3">
      <c r="B821" s="9"/>
      <c r="C821" s="9"/>
      <c r="D821" s="9"/>
      <c r="E821" s="9"/>
      <c r="F821" s="9"/>
      <c r="G821" s="9"/>
      <c r="H821" s="9"/>
      <c r="I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395"/>
      <c r="X821" s="261"/>
      <c r="Y821" s="261"/>
      <c r="Z821" s="9"/>
      <c r="AA821" s="9"/>
      <c r="AB821" s="9"/>
      <c r="AC821" s="9"/>
      <c r="AD821" s="111"/>
      <c r="AE821" s="9"/>
      <c r="AF821" s="549"/>
    </row>
    <row r="822" spans="2:32" x14ac:dyDescent="0.3">
      <c r="B822" s="9"/>
      <c r="C822" s="9"/>
      <c r="D822" s="9"/>
      <c r="E822" s="9"/>
      <c r="F822" s="9"/>
      <c r="G822" s="9"/>
      <c r="H822" s="9"/>
      <c r="I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395"/>
      <c r="X822" s="261"/>
      <c r="Y822" s="261"/>
      <c r="Z822" s="9"/>
      <c r="AA822" s="9"/>
      <c r="AB822" s="9"/>
      <c r="AC822" s="9"/>
      <c r="AD822" s="111"/>
      <c r="AE822" s="9"/>
      <c r="AF822" s="549"/>
    </row>
    <row r="823" spans="2:32" x14ac:dyDescent="0.3">
      <c r="B823" s="9"/>
      <c r="C823" s="9"/>
      <c r="D823" s="9"/>
      <c r="E823" s="9"/>
      <c r="F823" s="9"/>
      <c r="G823" s="9"/>
      <c r="H823" s="9"/>
      <c r="I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395"/>
      <c r="X823" s="261"/>
      <c r="Y823" s="261"/>
      <c r="Z823" s="9"/>
      <c r="AA823" s="9"/>
      <c r="AB823" s="9"/>
      <c r="AC823" s="9"/>
      <c r="AD823" s="111"/>
      <c r="AE823" s="9"/>
      <c r="AF823" s="549"/>
    </row>
    <row r="824" spans="2:32" x14ac:dyDescent="0.3">
      <c r="B824" s="9"/>
      <c r="C824" s="9"/>
      <c r="D824" s="9"/>
      <c r="E824" s="9"/>
      <c r="F824" s="9"/>
      <c r="G824" s="9"/>
      <c r="H824" s="9"/>
      <c r="I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395"/>
      <c r="X824" s="261"/>
      <c r="Y824" s="261"/>
      <c r="Z824" s="9"/>
      <c r="AA824" s="9"/>
      <c r="AB824" s="9"/>
      <c r="AC824" s="9"/>
      <c r="AD824" s="111"/>
      <c r="AE824" s="9"/>
      <c r="AF824" s="549"/>
    </row>
    <row r="825" spans="2:32" x14ac:dyDescent="0.3">
      <c r="B825" s="9"/>
      <c r="C825" s="9"/>
      <c r="D825" s="9"/>
      <c r="E825" s="9"/>
      <c r="F825" s="9"/>
      <c r="G825" s="9"/>
      <c r="H825" s="9"/>
      <c r="I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395"/>
      <c r="X825" s="261"/>
      <c r="Y825" s="261"/>
      <c r="Z825" s="9"/>
      <c r="AA825" s="9"/>
      <c r="AB825" s="9"/>
      <c r="AC825" s="9"/>
      <c r="AD825" s="111"/>
      <c r="AE825" s="9"/>
      <c r="AF825" s="549"/>
    </row>
    <row r="826" spans="2:32" x14ac:dyDescent="0.3">
      <c r="B826" s="9"/>
      <c r="C826" s="9"/>
      <c r="D826" s="9"/>
      <c r="E826" s="9"/>
      <c r="F826" s="9"/>
      <c r="G826" s="9"/>
      <c r="H826" s="9"/>
      <c r="I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395"/>
      <c r="X826" s="261"/>
      <c r="Y826" s="261"/>
      <c r="Z826" s="9"/>
      <c r="AA826" s="9"/>
      <c r="AB826" s="9"/>
      <c r="AC826" s="9"/>
      <c r="AD826" s="111"/>
      <c r="AE826" s="9"/>
      <c r="AF826" s="549"/>
    </row>
    <row r="827" spans="2:32" x14ac:dyDescent="0.3">
      <c r="B827" s="9"/>
      <c r="C827" s="9"/>
      <c r="D827" s="9"/>
      <c r="E827" s="9"/>
      <c r="F827" s="9"/>
      <c r="G827" s="9"/>
      <c r="H827" s="9"/>
      <c r="I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395"/>
      <c r="X827" s="261"/>
      <c r="Y827" s="261"/>
      <c r="Z827" s="9"/>
      <c r="AA827" s="9"/>
      <c r="AB827" s="9"/>
      <c r="AC827" s="9"/>
      <c r="AD827" s="111"/>
      <c r="AE827" s="9"/>
      <c r="AF827" s="549"/>
    </row>
    <row r="828" spans="2:32" x14ac:dyDescent="0.3">
      <c r="B828" s="9"/>
      <c r="C828" s="9"/>
      <c r="D828" s="9"/>
      <c r="E828" s="9"/>
      <c r="F828" s="9"/>
      <c r="G828" s="9"/>
      <c r="H828" s="9"/>
      <c r="I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395"/>
      <c r="X828" s="261"/>
      <c r="Y828" s="261"/>
      <c r="Z828" s="9"/>
      <c r="AA828" s="9"/>
      <c r="AB828" s="9"/>
      <c r="AC828" s="9"/>
      <c r="AD828" s="111"/>
      <c r="AE828" s="9"/>
      <c r="AF828" s="549"/>
    </row>
    <row r="829" spans="2:32" x14ac:dyDescent="0.3">
      <c r="B829" s="9"/>
      <c r="C829" s="9"/>
      <c r="D829" s="9"/>
      <c r="E829" s="9"/>
      <c r="F829" s="9"/>
      <c r="G829" s="9"/>
      <c r="H829" s="9"/>
      <c r="I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395"/>
      <c r="X829" s="261"/>
      <c r="Y829" s="261"/>
      <c r="Z829" s="9"/>
      <c r="AA829" s="9"/>
      <c r="AB829" s="9"/>
      <c r="AC829" s="9"/>
      <c r="AD829" s="111"/>
      <c r="AE829" s="9"/>
      <c r="AF829" s="549"/>
    </row>
    <row r="830" spans="2:32" x14ac:dyDescent="0.3">
      <c r="B830" s="9"/>
      <c r="C830" s="9"/>
      <c r="D830" s="9"/>
      <c r="E830" s="9"/>
      <c r="F830" s="9"/>
      <c r="G830" s="9"/>
      <c r="H830" s="9"/>
      <c r="I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395"/>
      <c r="X830" s="261"/>
      <c r="Y830" s="261"/>
      <c r="Z830" s="9"/>
      <c r="AA830" s="9"/>
      <c r="AB830" s="9"/>
      <c r="AC830" s="9"/>
      <c r="AD830" s="111"/>
      <c r="AE830" s="9"/>
      <c r="AF830" s="549"/>
    </row>
    <row r="831" spans="2:32" x14ac:dyDescent="0.3">
      <c r="B831" s="9"/>
      <c r="C831" s="9"/>
      <c r="D831" s="9"/>
      <c r="E831" s="9"/>
      <c r="F831" s="9"/>
      <c r="G831" s="9"/>
      <c r="H831" s="9"/>
      <c r="I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395"/>
      <c r="X831" s="261"/>
      <c r="Y831" s="261"/>
      <c r="Z831" s="9"/>
      <c r="AA831" s="9"/>
      <c r="AB831" s="9"/>
      <c r="AC831" s="9"/>
      <c r="AD831" s="111"/>
      <c r="AE831" s="9"/>
      <c r="AF831" s="549"/>
    </row>
    <row r="832" spans="2:32" x14ac:dyDescent="0.3">
      <c r="B832" s="9"/>
      <c r="C832" s="9"/>
      <c r="D832" s="9"/>
      <c r="E832" s="9"/>
      <c r="F832" s="9"/>
      <c r="G832" s="9"/>
      <c r="H832" s="9"/>
      <c r="I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395"/>
      <c r="X832" s="261"/>
      <c r="Y832" s="261"/>
      <c r="Z832" s="9"/>
      <c r="AA832" s="9"/>
      <c r="AB832" s="9"/>
      <c r="AC832" s="9"/>
      <c r="AD832" s="111"/>
      <c r="AE832" s="9"/>
      <c r="AF832" s="549"/>
    </row>
    <row r="833" spans="2:32" x14ac:dyDescent="0.3">
      <c r="B833" s="9"/>
      <c r="C833" s="9"/>
      <c r="D833" s="9"/>
      <c r="E833" s="9"/>
      <c r="F833" s="9"/>
      <c r="G833" s="9"/>
      <c r="H833" s="9"/>
      <c r="I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395"/>
      <c r="X833" s="261"/>
      <c r="Y833" s="261"/>
      <c r="Z833" s="9"/>
      <c r="AA833" s="9"/>
      <c r="AB833" s="9"/>
      <c r="AC833" s="9"/>
      <c r="AD833" s="111"/>
      <c r="AE833" s="9"/>
      <c r="AF833" s="549"/>
    </row>
    <row r="834" spans="2:32" x14ac:dyDescent="0.3">
      <c r="B834" s="9"/>
      <c r="C834" s="9"/>
      <c r="D834" s="9"/>
      <c r="E834" s="9"/>
      <c r="F834" s="9"/>
      <c r="G834" s="9"/>
      <c r="H834" s="9"/>
      <c r="I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395"/>
      <c r="X834" s="261"/>
      <c r="Y834" s="261"/>
      <c r="Z834" s="9"/>
      <c r="AA834" s="9"/>
      <c r="AB834" s="9"/>
      <c r="AC834" s="9"/>
      <c r="AD834" s="111"/>
      <c r="AE834" s="9"/>
      <c r="AF834" s="549"/>
    </row>
    <row r="835" spans="2:32" x14ac:dyDescent="0.3">
      <c r="B835" s="9"/>
      <c r="C835" s="9"/>
      <c r="D835" s="9"/>
      <c r="E835" s="9"/>
      <c r="F835" s="9"/>
      <c r="G835" s="9"/>
      <c r="H835" s="9"/>
      <c r="I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395"/>
      <c r="X835" s="261"/>
      <c r="Y835" s="261"/>
      <c r="Z835" s="9"/>
      <c r="AA835" s="9"/>
      <c r="AB835" s="9"/>
      <c r="AC835" s="9"/>
      <c r="AD835" s="111"/>
      <c r="AE835" s="9"/>
      <c r="AF835" s="549"/>
    </row>
    <row r="836" spans="2:32" x14ac:dyDescent="0.3">
      <c r="B836" s="9"/>
      <c r="C836" s="9"/>
      <c r="D836" s="9"/>
      <c r="E836" s="9"/>
      <c r="F836" s="9"/>
      <c r="G836" s="9"/>
      <c r="H836" s="9"/>
      <c r="I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395"/>
      <c r="X836" s="261"/>
      <c r="Y836" s="261"/>
      <c r="Z836" s="9"/>
      <c r="AA836" s="9"/>
      <c r="AB836" s="9"/>
      <c r="AC836" s="9"/>
      <c r="AD836" s="111"/>
      <c r="AE836" s="9"/>
      <c r="AF836" s="549"/>
    </row>
    <row r="837" spans="2:32" x14ac:dyDescent="0.3">
      <c r="B837" s="9"/>
      <c r="C837" s="9"/>
      <c r="D837" s="9"/>
      <c r="E837" s="9"/>
      <c r="F837" s="9"/>
      <c r="G837" s="9"/>
      <c r="H837" s="9"/>
      <c r="I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395"/>
      <c r="X837" s="261"/>
      <c r="Y837" s="261"/>
      <c r="Z837" s="9"/>
      <c r="AA837" s="9"/>
      <c r="AB837" s="9"/>
      <c r="AC837" s="9"/>
      <c r="AD837" s="111"/>
      <c r="AE837" s="9"/>
      <c r="AF837" s="549"/>
    </row>
    <row r="838" spans="2:32" x14ac:dyDescent="0.3">
      <c r="B838" s="9"/>
      <c r="C838" s="9"/>
      <c r="D838" s="9"/>
      <c r="E838" s="9"/>
      <c r="F838" s="9"/>
      <c r="G838" s="9"/>
      <c r="H838" s="9"/>
      <c r="I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395"/>
      <c r="X838" s="261"/>
      <c r="Y838" s="261"/>
      <c r="Z838" s="9"/>
      <c r="AA838" s="9"/>
      <c r="AB838" s="9"/>
      <c r="AC838" s="9"/>
      <c r="AD838" s="111"/>
      <c r="AE838" s="9"/>
      <c r="AF838" s="549"/>
    </row>
    <row r="839" spans="2:32" x14ac:dyDescent="0.3">
      <c r="B839" s="9"/>
      <c r="C839" s="9"/>
      <c r="D839" s="9"/>
      <c r="E839" s="9"/>
      <c r="F839" s="9"/>
      <c r="G839" s="9"/>
      <c r="H839" s="9"/>
      <c r="I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395"/>
      <c r="X839" s="261"/>
      <c r="Y839" s="261"/>
      <c r="Z839" s="9"/>
      <c r="AA839" s="9"/>
      <c r="AB839" s="9"/>
      <c r="AC839" s="9"/>
      <c r="AD839" s="111"/>
      <c r="AE839" s="9"/>
      <c r="AF839" s="549"/>
    </row>
    <row r="840" spans="2:32" x14ac:dyDescent="0.3">
      <c r="B840" s="9"/>
      <c r="C840" s="9"/>
      <c r="D840" s="9"/>
      <c r="E840" s="9"/>
      <c r="F840" s="9"/>
      <c r="G840" s="9"/>
      <c r="H840" s="9"/>
      <c r="I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395"/>
      <c r="X840" s="261"/>
      <c r="Y840" s="261"/>
      <c r="Z840" s="9"/>
      <c r="AA840" s="9"/>
      <c r="AB840" s="9"/>
      <c r="AC840" s="9"/>
      <c r="AD840" s="111"/>
      <c r="AE840" s="9"/>
      <c r="AF840" s="549"/>
    </row>
    <row r="841" spans="2:32" x14ac:dyDescent="0.3">
      <c r="B841" s="9"/>
      <c r="C841" s="9"/>
      <c r="D841" s="9"/>
      <c r="E841" s="9"/>
      <c r="F841" s="9"/>
      <c r="G841" s="9"/>
      <c r="H841" s="9"/>
      <c r="I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395"/>
      <c r="X841" s="261"/>
      <c r="Y841" s="261"/>
      <c r="Z841" s="9"/>
      <c r="AA841" s="9"/>
      <c r="AB841" s="9"/>
      <c r="AC841" s="9"/>
      <c r="AD841" s="111"/>
      <c r="AE841" s="9"/>
      <c r="AF841" s="549"/>
    </row>
    <row r="842" spans="2:32" x14ac:dyDescent="0.3">
      <c r="B842" s="9"/>
      <c r="C842" s="9"/>
      <c r="D842" s="9"/>
      <c r="E842" s="9"/>
      <c r="F842" s="9"/>
      <c r="G842" s="9"/>
      <c r="H842" s="9"/>
      <c r="I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395"/>
      <c r="X842" s="261"/>
      <c r="Y842" s="261"/>
      <c r="Z842" s="9"/>
      <c r="AA842" s="9"/>
      <c r="AB842" s="9"/>
      <c r="AC842" s="9"/>
      <c r="AD842" s="111"/>
      <c r="AE842" s="9"/>
      <c r="AF842" s="549"/>
    </row>
    <row r="843" spans="2:32" x14ac:dyDescent="0.3">
      <c r="B843" s="9"/>
      <c r="C843" s="9"/>
      <c r="D843" s="9"/>
      <c r="E843" s="9"/>
      <c r="F843" s="9"/>
      <c r="G843" s="9"/>
      <c r="H843" s="9"/>
      <c r="I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395"/>
      <c r="X843" s="261"/>
      <c r="Y843" s="261"/>
      <c r="Z843" s="9"/>
      <c r="AA843" s="9"/>
      <c r="AB843" s="9"/>
      <c r="AC843" s="9"/>
      <c r="AD843" s="111"/>
      <c r="AE843" s="9"/>
      <c r="AF843" s="549"/>
    </row>
    <row r="844" spans="2:32" x14ac:dyDescent="0.3">
      <c r="B844" s="9"/>
      <c r="C844" s="9"/>
      <c r="D844" s="9"/>
      <c r="E844" s="9"/>
      <c r="F844" s="9"/>
      <c r="G844" s="9"/>
      <c r="H844" s="9"/>
      <c r="I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395"/>
      <c r="X844" s="261"/>
      <c r="Y844" s="261"/>
      <c r="Z844" s="9"/>
      <c r="AA844" s="9"/>
      <c r="AB844" s="9"/>
      <c r="AC844" s="9"/>
      <c r="AD844" s="111"/>
      <c r="AE844" s="9"/>
      <c r="AF844" s="549"/>
    </row>
    <row r="845" spans="2:32" x14ac:dyDescent="0.3">
      <c r="B845" s="9"/>
      <c r="C845" s="9"/>
      <c r="D845" s="9"/>
      <c r="E845" s="9"/>
      <c r="F845" s="9"/>
      <c r="G845" s="9"/>
      <c r="H845" s="9"/>
      <c r="I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395"/>
      <c r="X845" s="261"/>
      <c r="Y845" s="261"/>
      <c r="Z845" s="9"/>
      <c r="AA845" s="9"/>
      <c r="AB845" s="9"/>
      <c r="AC845" s="9"/>
      <c r="AD845" s="111"/>
      <c r="AE845" s="9"/>
      <c r="AF845" s="549"/>
    </row>
    <row r="846" spans="2:32" x14ac:dyDescent="0.3">
      <c r="B846" s="9"/>
      <c r="C846" s="9"/>
      <c r="D846" s="9"/>
      <c r="E846" s="9"/>
      <c r="F846" s="9"/>
      <c r="G846" s="9"/>
      <c r="H846" s="9"/>
      <c r="I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395"/>
      <c r="X846" s="261"/>
      <c r="Y846" s="261"/>
      <c r="Z846" s="9"/>
      <c r="AA846" s="9"/>
      <c r="AB846" s="9"/>
      <c r="AC846" s="9"/>
      <c r="AD846" s="111"/>
      <c r="AE846" s="9"/>
      <c r="AF846" s="549"/>
    </row>
    <row r="847" spans="2:32" x14ac:dyDescent="0.3">
      <c r="B847" s="9"/>
      <c r="C847" s="9"/>
      <c r="D847" s="9"/>
      <c r="E847" s="9"/>
      <c r="F847" s="9"/>
      <c r="G847" s="9"/>
      <c r="H847" s="9"/>
      <c r="I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395"/>
      <c r="X847" s="261"/>
      <c r="Y847" s="261"/>
      <c r="Z847" s="9"/>
      <c r="AA847" s="9"/>
      <c r="AB847" s="9"/>
      <c r="AC847" s="9"/>
      <c r="AD847" s="111"/>
      <c r="AE847" s="9"/>
      <c r="AF847" s="549"/>
    </row>
    <row r="848" spans="2:32" x14ac:dyDescent="0.3">
      <c r="B848" s="9"/>
      <c r="C848" s="9"/>
      <c r="D848" s="9"/>
      <c r="E848" s="9"/>
      <c r="F848" s="9"/>
      <c r="G848" s="9"/>
      <c r="H848" s="9"/>
      <c r="I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395"/>
      <c r="X848" s="261"/>
      <c r="Y848" s="261"/>
      <c r="Z848" s="9"/>
      <c r="AA848" s="9"/>
      <c r="AB848" s="9"/>
      <c r="AC848" s="9"/>
      <c r="AD848" s="111"/>
      <c r="AE848" s="9"/>
      <c r="AF848" s="549"/>
    </row>
    <row r="849" spans="2:32" x14ac:dyDescent="0.3">
      <c r="B849" s="9"/>
      <c r="C849" s="9"/>
      <c r="D849" s="9"/>
      <c r="E849" s="9"/>
      <c r="F849" s="9"/>
      <c r="G849" s="9"/>
      <c r="H849" s="9"/>
      <c r="I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395"/>
      <c r="X849" s="261"/>
      <c r="Y849" s="261"/>
      <c r="Z849" s="9"/>
      <c r="AA849" s="9"/>
      <c r="AB849" s="9"/>
      <c r="AC849" s="9"/>
      <c r="AD849" s="111"/>
      <c r="AE849" s="9"/>
      <c r="AF849" s="549"/>
    </row>
    <row r="850" spans="2:32" x14ac:dyDescent="0.3">
      <c r="B850" s="9"/>
      <c r="C850" s="9"/>
      <c r="D850" s="9"/>
      <c r="E850" s="9"/>
      <c r="F850" s="9"/>
      <c r="G850" s="9"/>
      <c r="H850" s="9"/>
      <c r="I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395"/>
      <c r="X850" s="261"/>
      <c r="Y850" s="261"/>
      <c r="Z850" s="9"/>
      <c r="AA850" s="9"/>
      <c r="AB850" s="9"/>
      <c r="AC850" s="9"/>
      <c r="AD850" s="111"/>
      <c r="AE850" s="9"/>
      <c r="AF850" s="549"/>
    </row>
    <row r="851" spans="2:32" x14ac:dyDescent="0.3">
      <c r="B851" s="9"/>
      <c r="C851" s="9"/>
      <c r="D851" s="9"/>
      <c r="E851" s="9"/>
      <c r="F851" s="9"/>
      <c r="G851" s="9"/>
      <c r="H851" s="9"/>
      <c r="I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395"/>
      <c r="X851" s="261"/>
      <c r="Y851" s="261"/>
      <c r="Z851" s="9"/>
      <c r="AA851" s="9"/>
      <c r="AB851" s="9"/>
      <c r="AC851" s="9"/>
      <c r="AD851" s="111"/>
      <c r="AE851" s="9"/>
      <c r="AF851" s="549"/>
    </row>
    <row r="852" spans="2:32" x14ac:dyDescent="0.3">
      <c r="B852" s="9"/>
      <c r="C852" s="9"/>
      <c r="D852" s="9"/>
      <c r="E852" s="9"/>
      <c r="F852" s="9"/>
      <c r="G852" s="9"/>
      <c r="H852" s="9"/>
      <c r="I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395"/>
      <c r="X852" s="261"/>
      <c r="Y852" s="261"/>
      <c r="Z852" s="9"/>
      <c r="AA852" s="9"/>
      <c r="AB852" s="9"/>
      <c r="AC852" s="9"/>
      <c r="AD852" s="111"/>
      <c r="AE852" s="9"/>
      <c r="AF852" s="549"/>
    </row>
    <row r="853" spans="2:32" x14ac:dyDescent="0.3">
      <c r="B853" s="9"/>
      <c r="C853" s="9"/>
      <c r="D853" s="9"/>
      <c r="E853" s="9"/>
      <c r="F853" s="9"/>
      <c r="G853" s="9"/>
      <c r="H853" s="9"/>
      <c r="I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395"/>
      <c r="X853" s="261"/>
      <c r="Y853" s="261"/>
      <c r="Z853" s="9"/>
      <c r="AA853" s="9"/>
      <c r="AB853" s="9"/>
      <c r="AC853" s="9"/>
      <c r="AD853" s="111"/>
      <c r="AE853" s="9"/>
      <c r="AF853" s="549"/>
    </row>
    <row r="854" spans="2:32" x14ac:dyDescent="0.3">
      <c r="B854" s="9"/>
      <c r="C854" s="9"/>
      <c r="D854" s="9"/>
      <c r="E854" s="9"/>
      <c r="F854" s="9"/>
      <c r="G854" s="9"/>
      <c r="H854" s="9"/>
      <c r="I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395"/>
      <c r="X854" s="261"/>
      <c r="Y854" s="261"/>
      <c r="Z854" s="9"/>
      <c r="AA854" s="9"/>
      <c r="AB854" s="9"/>
      <c r="AC854" s="9"/>
      <c r="AD854" s="111"/>
      <c r="AE854" s="9"/>
      <c r="AF854" s="549"/>
    </row>
    <row r="855" spans="2:32" x14ac:dyDescent="0.3">
      <c r="B855" s="9"/>
      <c r="C855" s="9"/>
      <c r="D855" s="9"/>
      <c r="E855" s="9"/>
      <c r="F855" s="9"/>
      <c r="G855" s="9"/>
      <c r="H855" s="9"/>
      <c r="I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395"/>
      <c r="X855" s="261"/>
      <c r="Y855" s="261"/>
      <c r="Z855" s="9"/>
      <c r="AA855" s="9"/>
      <c r="AB855" s="9"/>
      <c r="AC855" s="9"/>
      <c r="AD855" s="111"/>
      <c r="AE855" s="9"/>
      <c r="AF855" s="549"/>
    </row>
    <row r="856" spans="2:32" x14ac:dyDescent="0.3">
      <c r="B856" s="9"/>
      <c r="C856" s="9"/>
      <c r="D856" s="9"/>
      <c r="E856" s="9"/>
      <c r="F856" s="9"/>
      <c r="G856" s="9"/>
      <c r="H856" s="9"/>
      <c r="I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395"/>
      <c r="X856" s="261"/>
      <c r="Y856" s="261"/>
      <c r="Z856" s="9"/>
      <c r="AA856" s="9"/>
      <c r="AB856" s="9"/>
      <c r="AC856" s="9"/>
      <c r="AD856" s="111"/>
      <c r="AE856" s="9"/>
      <c r="AF856" s="549"/>
    </row>
    <row r="857" spans="2:32" x14ac:dyDescent="0.3">
      <c r="B857" s="9"/>
      <c r="C857" s="9"/>
      <c r="D857" s="9"/>
      <c r="E857" s="9"/>
      <c r="F857" s="9"/>
      <c r="G857" s="9"/>
      <c r="H857" s="9"/>
      <c r="I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395"/>
      <c r="X857" s="261"/>
      <c r="Y857" s="261"/>
      <c r="Z857" s="9"/>
      <c r="AA857" s="9"/>
      <c r="AB857" s="9"/>
      <c r="AC857" s="9"/>
      <c r="AD857" s="111"/>
      <c r="AE857" s="9"/>
      <c r="AF857" s="549"/>
    </row>
    <row r="858" spans="2:32" x14ac:dyDescent="0.3">
      <c r="B858" s="9"/>
      <c r="C858" s="9"/>
      <c r="D858" s="9"/>
      <c r="E858" s="9"/>
      <c r="F858" s="9"/>
      <c r="G858" s="9"/>
      <c r="H858" s="9"/>
      <c r="I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395"/>
      <c r="X858" s="261"/>
      <c r="Y858" s="261"/>
      <c r="Z858" s="9"/>
      <c r="AA858" s="9"/>
      <c r="AB858" s="9"/>
      <c r="AC858" s="9"/>
      <c r="AD858" s="111"/>
      <c r="AE858" s="9"/>
      <c r="AF858" s="549"/>
    </row>
    <row r="859" spans="2:32" x14ac:dyDescent="0.3">
      <c r="B859" s="9"/>
      <c r="C859" s="9"/>
      <c r="D859" s="9"/>
      <c r="E859" s="9"/>
      <c r="F859" s="9"/>
      <c r="G859" s="9"/>
      <c r="H859" s="9"/>
      <c r="I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395"/>
      <c r="X859" s="261"/>
      <c r="Y859" s="261"/>
      <c r="Z859" s="9"/>
      <c r="AA859" s="9"/>
      <c r="AB859" s="9"/>
      <c r="AC859" s="9"/>
      <c r="AD859" s="111"/>
      <c r="AE859" s="9"/>
      <c r="AF859" s="549"/>
    </row>
    <row r="860" spans="2:32" x14ac:dyDescent="0.3">
      <c r="B860" s="9"/>
      <c r="C860" s="9"/>
      <c r="D860" s="9"/>
      <c r="E860" s="9"/>
      <c r="F860" s="9"/>
      <c r="G860" s="9"/>
      <c r="H860" s="9"/>
      <c r="I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395"/>
      <c r="X860" s="261"/>
      <c r="Y860" s="261"/>
      <c r="Z860" s="9"/>
      <c r="AA860" s="9"/>
      <c r="AB860" s="9"/>
      <c r="AC860" s="9"/>
      <c r="AD860" s="111"/>
      <c r="AE860" s="9"/>
      <c r="AF860" s="549"/>
    </row>
    <row r="861" spans="2:32" x14ac:dyDescent="0.3">
      <c r="B861" s="9"/>
      <c r="C861" s="9"/>
      <c r="D861" s="9"/>
      <c r="E861" s="9"/>
      <c r="F861" s="9"/>
      <c r="G861" s="9"/>
      <c r="H861" s="9"/>
      <c r="I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395"/>
      <c r="X861" s="261"/>
      <c r="Y861" s="261"/>
      <c r="Z861" s="9"/>
      <c r="AA861" s="9"/>
      <c r="AB861" s="9"/>
      <c r="AC861" s="9"/>
      <c r="AD861" s="111"/>
      <c r="AE861" s="9"/>
      <c r="AF861" s="549"/>
    </row>
    <row r="862" spans="2:32" x14ac:dyDescent="0.3">
      <c r="B862" s="9"/>
      <c r="C862" s="9"/>
      <c r="D862" s="9"/>
      <c r="E862" s="9"/>
      <c r="F862" s="9"/>
      <c r="G862" s="9"/>
      <c r="H862" s="9"/>
      <c r="I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395"/>
      <c r="X862" s="261"/>
      <c r="Y862" s="261"/>
      <c r="Z862" s="9"/>
      <c r="AA862" s="9"/>
      <c r="AB862" s="9"/>
      <c r="AC862" s="9"/>
      <c r="AD862" s="111"/>
      <c r="AE862" s="9"/>
      <c r="AF862" s="549"/>
    </row>
    <row r="863" spans="2:32" x14ac:dyDescent="0.3">
      <c r="B863" s="9"/>
      <c r="C863" s="9"/>
      <c r="D863" s="9"/>
      <c r="E863" s="9"/>
      <c r="F863" s="9"/>
      <c r="G863" s="9"/>
      <c r="H863" s="9"/>
      <c r="I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395"/>
      <c r="X863" s="261"/>
      <c r="Y863" s="261"/>
      <c r="Z863" s="9"/>
      <c r="AA863" s="9"/>
      <c r="AB863" s="9"/>
      <c r="AC863" s="9"/>
      <c r="AD863" s="111"/>
      <c r="AE863" s="9"/>
      <c r="AF863" s="549"/>
    </row>
    <row r="864" spans="2:32" x14ac:dyDescent="0.3">
      <c r="B864" s="9"/>
      <c r="C864" s="9"/>
      <c r="D864" s="9"/>
      <c r="E864" s="9"/>
      <c r="F864" s="9"/>
      <c r="G864" s="9"/>
      <c r="H864" s="9"/>
      <c r="I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395"/>
      <c r="X864" s="261"/>
      <c r="Y864" s="261"/>
      <c r="Z864" s="9"/>
      <c r="AA864" s="9"/>
      <c r="AB864" s="9"/>
      <c r="AC864" s="9"/>
      <c r="AD864" s="111"/>
      <c r="AE864" s="9"/>
      <c r="AF864" s="549"/>
    </row>
    <row r="865" spans="2:32" x14ac:dyDescent="0.3">
      <c r="B865" s="9"/>
      <c r="C865" s="9"/>
      <c r="D865" s="9"/>
      <c r="E865" s="9"/>
      <c r="F865" s="9"/>
      <c r="G865" s="9"/>
      <c r="H865" s="9"/>
      <c r="I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395"/>
      <c r="X865" s="261"/>
      <c r="Y865" s="261"/>
      <c r="Z865" s="9"/>
      <c r="AA865" s="9"/>
      <c r="AB865" s="9"/>
      <c r="AC865" s="9"/>
      <c r="AD865" s="111"/>
      <c r="AE865" s="9"/>
      <c r="AF865" s="549"/>
    </row>
    <row r="866" spans="2:32" x14ac:dyDescent="0.3">
      <c r="B866" s="9"/>
      <c r="C866" s="9"/>
      <c r="D866" s="9"/>
      <c r="E866" s="9"/>
      <c r="F866" s="9"/>
      <c r="G866" s="9"/>
      <c r="H866" s="9"/>
      <c r="I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395"/>
      <c r="X866" s="261"/>
      <c r="Y866" s="261"/>
      <c r="Z866" s="9"/>
      <c r="AA866" s="9"/>
      <c r="AB866" s="9"/>
      <c r="AC866" s="9"/>
      <c r="AD866" s="111"/>
      <c r="AE866" s="9"/>
      <c r="AF866" s="549"/>
    </row>
    <row r="867" spans="2:32" x14ac:dyDescent="0.3">
      <c r="B867" s="9"/>
      <c r="C867" s="9"/>
      <c r="D867" s="9"/>
      <c r="E867" s="9"/>
      <c r="F867" s="9"/>
      <c r="G867" s="9"/>
      <c r="H867" s="9"/>
      <c r="I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395"/>
      <c r="X867" s="261"/>
      <c r="Y867" s="261"/>
      <c r="Z867" s="9"/>
      <c r="AA867" s="9"/>
      <c r="AB867" s="9"/>
      <c r="AC867" s="9"/>
      <c r="AD867" s="111"/>
      <c r="AE867" s="9"/>
      <c r="AF867" s="549"/>
    </row>
    <row r="868" spans="2:32" x14ac:dyDescent="0.3">
      <c r="B868" s="9"/>
      <c r="C868" s="9"/>
      <c r="D868" s="9"/>
      <c r="E868" s="9"/>
      <c r="F868" s="9"/>
      <c r="G868" s="9"/>
      <c r="H868" s="9"/>
      <c r="I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395"/>
      <c r="X868" s="261"/>
      <c r="Y868" s="261"/>
      <c r="Z868" s="9"/>
      <c r="AA868" s="9"/>
      <c r="AB868" s="9"/>
      <c r="AC868" s="9"/>
      <c r="AD868" s="111"/>
      <c r="AE868" s="9"/>
      <c r="AF868" s="549"/>
    </row>
    <row r="869" spans="2:32" x14ac:dyDescent="0.3">
      <c r="B869" s="9"/>
      <c r="C869" s="9"/>
      <c r="D869" s="9"/>
      <c r="E869" s="9"/>
      <c r="F869" s="9"/>
      <c r="G869" s="9"/>
      <c r="H869" s="9"/>
      <c r="I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395"/>
      <c r="X869" s="261"/>
      <c r="Y869" s="261"/>
      <c r="Z869" s="9"/>
      <c r="AA869" s="9"/>
      <c r="AB869" s="9"/>
      <c r="AC869" s="9"/>
      <c r="AD869" s="111"/>
      <c r="AE869" s="9"/>
      <c r="AF869" s="549"/>
    </row>
    <row r="870" spans="2:32" x14ac:dyDescent="0.3">
      <c r="B870" s="9"/>
      <c r="C870" s="9"/>
      <c r="D870" s="9"/>
      <c r="E870" s="9"/>
      <c r="F870" s="9"/>
      <c r="G870" s="9"/>
      <c r="H870" s="9"/>
      <c r="I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395"/>
      <c r="X870" s="261"/>
      <c r="Y870" s="261"/>
      <c r="Z870" s="9"/>
      <c r="AA870" s="9"/>
      <c r="AB870" s="9"/>
      <c r="AC870" s="9"/>
      <c r="AD870" s="111"/>
      <c r="AE870" s="9"/>
      <c r="AF870" s="549"/>
    </row>
    <row r="871" spans="2:32" x14ac:dyDescent="0.3">
      <c r="B871" s="9"/>
      <c r="C871" s="9"/>
      <c r="D871" s="9"/>
      <c r="E871" s="9"/>
      <c r="F871" s="9"/>
      <c r="G871" s="9"/>
      <c r="H871" s="9"/>
      <c r="I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395"/>
      <c r="X871" s="261"/>
      <c r="Y871" s="261"/>
      <c r="Z871" s="9"/>
      <c r="AA871" s="9"/>
      <c r="AB871" s="9"/>
      <c r="AC871" s="9"/>
      <c r="AD871" s="111"/>
      <c r="AE871" s="9"/>
      <c r="AF871" s="549"/>
    </row>
    <row r="872" spans="2:32" x14ac:dyDescent="0.3">
      <c r="B872" s="9"/>
      <c r="C872" s="9"/>
      <c r="D872" s="9"/>
      <c r="E872" s="9"/>
      <c r="F872" s="9"/>
      <c r="G872" s="9"/>
      <c r="H872" s="9"/>
      <c r="I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395"/>
      <c r="X872" s="261"/>
      <c r="Y872" s="261"/>
      <c r="Z872" s="9"/>
      <c r="AA872" s="9"/>
      <c r="AB872" s="9"/>
      <c r="AC872" s="9"/>
      <c r="AD872" s="111"/>
      <c r="AE872" s="9"/>
      <c r="AF872" s="549"/>
    </row>
    <row r="873" spans="2:32" x14ac:dyDescent="0.3">
      <c r="B873" s="9"/>
      <c r="C873" s="9"/>
      <c r="D873" s="9"/>
      <c r="E873" s="9"/>
      <c r="F873" s="9"/>
      <c r="G873" s="9"/>
      <c r="H873" s="9"/>
      <c r="I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395"/>
      <c r="X873" s="261"/>
      <c r="Y873" s="261"/>
      <c r="Z873" s="9"/>
      <c r="AA873" s="9"/>
      <c r="AB873" s="9"/>
      <c r="AC873" s="9"/>
      <c r="AD873" s="111"/>
      <c r="AE873" s="9"/>
      <c r="AF873" s="549"/>
    </row>
    <row r="874" spans="2:32" x14ac:dyDescent="0.3">
      <c r="B874" s="9"/>
      <c r="C874" s="9"/>
      <c r="D874" s="9"/>
      <c r="E874" s="9"/>
      <c r="F874" s="9"/>
      <c r="G874" s="9"/>
      <c r="H874" s="9"/>
      <c r="I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395"/>
      <c r="X874" s="261"/>
      <c r="Y874" s="261"/>
      <c r="Z874" s="9"/>
      <c r="AA874" s="9"/>
      <c r="AB874" s="9"/>
      <c r="AC874" s="9"/>
      <c r="AD874" s="111"/>
      <c r="AE874" s="9"/>
      <c r="AF874" s="549"/>
    </row>
    <row r="875" spans="2:32" x14ac:dyDescent="0.3">
      <c r="B875" s="9"/>
      <c r="C875" s="9"/>
      <c r="D875" s="9"/>
      <c r="E875" s="9"/>
      <c r="F875" s="9"/>
      <c r="G875" s="9"/>
      <c r="H875" s="9"/>
      <c r="I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395"/>
      <c r="X875" s="261"/>
      <c r="Y875" s="261"/>
      <c r="Z875" s="9"/>
      <c r="AA875" s="9"/>
      <c r="AB875" s="9"/>
      <c r="AC875" s="9"/>
      <c r="AD875" s="111"/>
      <c r="AE875" s="9"/>
      <c r="AF875" s="549"/>
    </row>
    <row r="876" spans="2:32" x14ac:dyDescent="0.3">
      <c r="B876" s="9"/>
      <c r="C876" s="9"/>
      <c r="D876" s="9"/>
      <c r="E876" s="9"/>
      <c r="F876" s="9"/>
      <c r="G876" s="9"/>
      <c r="H876" s="9"/>
      <c r="I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395"/>
      <c r="X876" s="261"/>
      <c r="Y876" s="261"/>
      <c r="Z876" s="9"/>
      <c r="AA876" s="9"/>
      <c r="AB876" s="9"/>
      <c r="AC876" s="9"/>
      <c r="AD876" s="111"/>
      <c r="AE876" s="9"/>
      <c r="AF876" s="549"/>
    </row>
    <row r="877" spans="2:32" x14ac:dyDescent="0.3">
      <c r="B877" s="9"/>
      <c r="C877" s="9"/>
      <c r="D877" s="9"/>
      <c r="E877" s="9"/>
      <c r="F877" s="9"/>
      <c r="G877" s="9"/>
      <c r="H877" s="9"/>
      <c r="I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395"/>
      <c r="X877" s="261"/>
      <c r="Y877" s="261"/>
      <c r="Z877" s="9"/>
      <c r="AA877" s="9"/>
      <c r="AB877" s="9"/>
      <c r="AC877" s="9"/>
      <c r="AD877" s="111"/>
      <c r="AE877" s="9"/>
      <c r="AF877" s="549"/>
    </row>
    <row r="878" spans="2:32" x14ac:dyDescent="0.3">
      <c r="B878" s="9"/>
      <c r="C878" s="9"/>
      <c r="D878" s="9"/>
      <c r="E878" s="9"/>
      <c r="F878" s="9"/>
      <c r="G878" s="9"/>
      <c r="H878" s="9"/>
      <c r="I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395"/>
      <c r="X878" s="261"/>
      <c r="Y878" s="261"/>
      <c r="Z878" s="9"/>
      <c r="AA878" s="9"/>
      <c r="AB878" s="9"/>
      <c r="AC878" s="9"/>
      <c r="AD878" s="111"/>
      <c r="AE878" s="9"/>
      <c r="AF878" s="549"/>
    </row>
    <row r="879" spans="2:32" x14ac:dyDescent="0.3">
      <c r="B879" s="9"/>
      <c r="C879" s="9"/>
      <c r="D879" s="9"/>
      <c r="E879" s="9"/>
      <c r="F879" s="9"/>
      <c r="G879" s="9"/>
      <c r="H879" s="9"/>
      <c r="I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395"/>
      <c r="X879" s="261"/>
      <c r="Y879" s="261"/>
      <c r="Z879" s="9"/>
      <c r="AA879" s="9"/>
      <c r="AB879" s="9"/>
      <c r="AC879" s="9"/>
      <c r="AD879" s="111"/>
      <c r="AE879" s="9"/>
      <c r="AF879" s="549"/>
    </row>
    <row r="880" spans="2:32" x14ac:dyDescent="0.3">
      <c r="B880" s="9"/>
      <c r="C880" s="9"/>
      <c r="D880" s="9"/>
      <c r="E880" s="9"/>
      <c r="F880" s="9"/>
      <c r="G880" s="9"/>
      <c r="H880" s="9"/>
      <c r="I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395"/>
      <c r="X880" s="261"/>
      <c r="Y880" s="261"/>
      <c r="Z880" s="9"/>
      <c r="AA880" s="9"/>
      <c r="AB880" s="9"/>
      <c r="AC880" s="9"/>
      <c r="AD880" s="111"/>
      <c r="AE880" s="9"/>
      <c r="AF880" s="549"/>
    </row>
    <row r="881" spans="2:32" x14ac:dyDescent="0.3">
      <c r="B881" s="9"/>
      <c r="C881" s="9"/>
      <c r="D881" s="9"/>
      <c r="E881" s="9"/>
      <c r="F881" s="9"/>
      <c r="G881" s="9"/>
      <c r="H881" s="9"/>
      <c r="I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395"/>
      <c r="X881" s="261"/>
      <c r="Y881" s="261"/>
      <c r="Z881" s="9"/>
      <c r="AA881" s="9"/>
      <c r="AB881" s="9"/>
      <c r="AC881" s="9"/>
      <c r="AD881" s="111"/>
      <c r="AE881" s="9"/>
      <c r="AF881" s="549"/>
    </row>
    <row r="882" spans="2:32" x14ac:dyDescent="0.3">
      <c r="B882" s="9"/>
      <c r="C882" s="9"/>
      <c r="D882" s="9"/>
      <c r="E882" s="9"/>
      <c r="F882" s="9"/>
      <c r="G882" s="9"/>
      <c r="H882" s="9"/>
      <c r="I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395"/>
      <c r="X882" s="261"/>
      <c r="Y882" s="261"/>
      <c r="Z882" s="9"/>
      <c r="AA882" s="9"/>
      <c r="AB882" s="9"/>
      <c r="AC882" s="9"/>
      <c r="AD882" s="111"/>
      <c r="AE882" s="9"/>
      <c r="AF882" s="549"/>
    </row>
    <row r="883" spans="2:32" x14ac:dyDescent="0.3">
      <c r="B883" s="9"/>
      <c r="C883" s="9"/>
      <c r="D883" s="9"/>
      <c r="E883" s="9"/>
      <c r="F883" s="9"/>
      <c r="G883" s="9"/>
      <c r="H883" s="9"/>
      <c r="I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395"/>
      <c r="X883" s="261"/>
      <c r="Y883" s="261"/>
      <c r="Z883" s="9"/>
      <c r="AA883" s="9"/>
      <c r="AB883" s="9"/>
      <c r="AC883" s="9"/>
      <c r="AD883" s="111"/>
      <c r="AE883" s="9"/>
      <c r="AF883" s="549"/>
    </row>
    <row r="884" spans="2:32" x14ac:dyDescent="0.3">
      <c r="B884" s="9"/>
      <c r="C884" s="9"/>
      <c r="D884" s="9"/>
      <c r="E884" s="9"/>
      <c r="F884" s="9"/>
      <c r="G884" s="9"/>
      <c r="H884" s="9"/>
      <c r="I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395"/>
      <c r="X884" s="261"/>
      <c r="Y884" s="261"/>
      <c r="Z884" s="9"/>
      <c r="AA884" s="9"/>
      <c r="AB884" s="9"/>
      <c r="AC884" s="9"/>
      <c r="AD884" s="111"/>
      <c r="AE884" s="9"/>
      <c r="AF884" s="549"/>
    </row>
    <row r="885" spans="2:32" x14ac:dyDescent="0.3">
      <c r="B885" s="9"/>
      <c r="C885" s="9"/>
      <c r="D885" s="9"/>
      <c r="E885" s="9"/>
      <c r="F885" s="9"/>
      <c r="G885" s="9"/>
      <c r="H885" s="9"/>
      <c r="I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395"/>
      <c r="X885" s="261"/>
      <c r="Y885" s="261"/>
      <c r="Z885" s="9"/>
      <c r="AA885" s="9"/>
      <c r="AB885" s="9"/>
      <c r="AC885" s="9"/>
      <c r="AD885" s="111"/>
      <c r="AE885" s="9"/>
      <c r="AF885" s="549"/>
    </row>
    <row r="886" spans="2:32" x14ac:dyDescent="0.3">
      <c r="B886" s="9"/>
      <c r="C886" s="9"/>
      <c r="D886" s="9"/>
      <c r="E886" s="9"/>
      <c r="F886" s="9"/>
      <c r="G886" s="9"/>
      <c r="H886" s="9"/>
      <c r="I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395"/>
      <c r="X886" s="261"/>
      <c r="Y886" s="261"/>
      <c r="Z886" s="9"/>
      <c r="AA886" s="9"/>
      <c r="AB886" s="9"/>
      <c r="AC886" s="9"/>
      <c r="AD886" s="111"/>
      <c r="AE886" s="9"/>
      <c r="AF886" s="549"/>
    </row>
    <row r="887" spans="2:32" x14ac:dyDescent="0.3">
      <c r="B887" s="9"/>
      <c r="C887" s="9"/>
      <c r="D887" s="9"/>
      <c r="E887" s="9"/>
      <c r="F887" s="9"/>
      <c r="G887" s="9"/>
      <c r="H887" s="9"/>
      <c r="I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395"/>
      <c r="X887" s="261"/>
      <c r="Y887" s="261"/>
      <c r="Z887" s="9"/>
      <c r="AA887" s="9"/>
      <c r="AB887" s="9"/>
      <c r="AC887" s="9"/>
      <c r="AD887" s="111"/>
      <c r="AE887" s="9"/>
      <c r="AF887" s="549"/>
    </row>
    <row r="888" spans="2:32" x14ac:dyDescent="0.3">
      <c r="B888" s="9"/>
      <c r="C888" s="9"/>
      <c r="D888" s="9"/>
      <c r="E888" s="9"/>
      <c r="F888" s="9"/>
      <c r="G888" s="9"/>
      <c r="H888" s="9"/>
      <c r="I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395"/>
      <c r="X888" s="261"/>
      <c r="Y888" s="261"/>
      <c r="Z888" s="9"/>
      <c r="AA888" s="9"/>
      <c r="AB888" s="9"/>
      <c r="AC888" s="9"/>
      <c r="AD888" s="111"/>
      <c r="AE888" s="9"/>
      <c r="AF888" s="549"/>
    </row>
    <row r="889" spans="2:32" x14ac:dyDescent="0.3">
      <c r="B889" s="9"/>
      <c r="C889" s="9"/>
      <c r="D889" s="9"/>
      <c r="E889" s="9"/>
      <c r="F889" s="9"/>
      <c r="G889" s="9"/>
      <c r="H889" s="9"/>
      <c r="I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395"/>
      <c r="X889" s="261"/>
      <c r="Y889" s="261"/>
      <c r="Z889" s="9"/>
      <c r="AA889" s="9"/>
      <c r="AB889" s="9"/>
      <c r="AC889" s="9"/>
      <c r="AD889" s="111"/>
      <c r="AE889" s="9"/>
      <c r="AF889" s="549"/>
    </row>
    <row r="890" spans="2:32" x14ac:dyDescent="0.3">
      <c r="B890" s="9"/>
      <c r="C890" s="9"/>
      <c r="D890" s="9"/>
      <c r="E890" s="9"/>
      <c r="F890" s="9"/>
      <c r="G890" s="9"/>
      <c r="H890" s="9"/>
      <c r="I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395"/>
      <c r="X890" s="261"/>
      <c r="Y890" s="261"/>
      <c r="Z890" s="9"/>
      <c r="AA890" s="9"/>
      <c r="AB890" s="9"/>
      <c r="AC890" s="9"/>
      <c r="AD890" s="111"/>
      <c r="AE890" s="9"/>
      <c r="AF890" s="549"/>
    </row>
    <row r="891" spans="2:32" x14ac:dyDescent="0.3">
      <c r="B891" s="9"/>
      <c r="C891" s="9"/>
      <c r="D891" s="9"/>
      <c r="E891" s="9"/>
      <c r="F891" s="9"/>
      <c r="G891" s="9"/>
      <c r="H891" s="9"/>
      <c r="I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395"/>
      <c r="X891" s="261"/>
      <c r="Y891" s="261"/>
      <c r="Z891" s="9"/>
      <c r="AA891" s="9"/>
      <c r="AB891" s="9"/>
      <c r="AC891" s="9"/>
      <c r="AD891" s="111"/>
      <c r="AE891" s="9"/>
      <c r="AF891" s="549"/>
    </row>
    <row r="892" spans="2:32" x14ac:dyDescent="0.3">
      <c r="B892" s="9"/>
      <c r="C892" s="9"/>
      <c r="D892" s="9"/>
      <c r="E892" s="9"/>
      <c r="F892" s="9"/>
      <c r="G892" s="9"/>
      <c r="H892" s="9"/>
      <c r="I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395"/>
      <c r="X892" s="261"/>
      <c r="Y892" s="261"/>
      <c r="Z892" s="9"/>
      <c r="AA892" s="9"/>
      <c r="AB892" s="9"/>
      <c r="AC892" s="9"/>
      <c r="AD892" s="111"/>
      <c r="AE892" s="9"/>
      <c r="AF892" s="549"/>
    </row>
    <row r="893" spans="2:32" x14ac:dyDescent="0.3">
      <c r="B893" s="9"/>
      <c r="C893" s="9"/>
      <c r="D893" s="9"/>
      <c r="E893" s="9"/>
      <c r="F893" s="9"/>
      <c r="G893" s="9"/>
      <c r="H893" s="9"/>
      <c r="I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395"/>
      <c r="X893" s="261"/>
      <c r="Y893" s="261"/>
      <c r="Z893" s="9"/>
      <c r="AA893" s="9"/>
      <c r="AB893" s="9"/>
      <c r="AC893" s="9"/>
      <c r="AD893" s="111"/>
      <c r="AE893" s="9"/>
      <c r="AF893" s="549"/>
    </row>
    <row r="894" spans="2:32" x14ac:dyDescent="0.3">
      <c r="B894" s="9"/>
      <c r="C894" s="9"/>
      <c r="D894" s="9"/>
      <c r="E894" s="9"/>
      <c r="F894" s="9"/>
      <c r="G894" s="9"/>
      <c r="H894" s="9"/>
      <c r="I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395"/>
      <c r="X894" s="261"/>
      <c r="Y894" s="261"/>
      <c r="Z894" s="9"/>
      <c r="AA894" s="9"/>
      <c r="AB894" s="9"/>
      <c r="AC894" s="9"/>
      <c r="AD894" s="111"/>
      <c r="AE894" s="9"/>
      <c r="AF894" s="549"/>
    </row>
    <row r="895" spans="2:32" x14ac:dyDescent="0.3">
      <c r="B895" s="9"/>
      <c r="C895" s="9"/>
      <c r="D895" s="9"/>
      <c r="E895" s="9"/>
      <c r="F895" s="9"/>
      <c r="G895" s="9"/>
      <c r="H895" s="9"/>
      <c r="I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395"/>
      <c r="X895" s="261"/>
      <c r="Y895" s="261"/>
      <c r="Z895" s="9"/>
      <c r="AA895" s="9"/>
      <c r="AB895" s="9"/>
      <c r="AC895" s="9"/>
      <c r="AD895" s="111"/>
      <c r="AE895" s="9"/>
      <c r="AF895" s="549"/>
    </row>
    <row r="896" spans="2:32" x14ac:dyDescent="0.3">
      <c r="B896" s="9"/>
      <c r="C896" s="9"/>
      <c r="D896" s="9"/>
      <c r="E896" s="9"/>
      <c r="F896" s="9"/>
      <c r="G896" s="9"/>
      <c r="H896" s="9"/>
      <c r="I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395"/>
      <c r="X896" s="261"/>
      <c r="Y896" s="261"/>
      <c r="Z896" s="9"/>
      <c r="AA896" s="9"/>
      <c r="AB896" s="9"/>
      <c r="AC896" s="9"/>
      <c r="AD896" s="111"/>
      <c r="AE896" s="9"/>
      <c r="AF896" s="549"/>
    </row>
    <row r="897" spans="2:32" x14ac:dyDescent="0.3">
      <c r="B897" s="9"/>
      <c r="C897" s="9"/>
      <c r="D897" s="9"/>
      <c r="E897" s="9"/>
      <c r="F897" s="9"/>
      <c r="G897" s="9"/>
      <c r="H897" s="9"/>
      <c r="I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395"/>
      <c r="X897" s="261"/>
      <c r="Y897" s="261"/>
      <c r="Z897" s="9"/>
      <c r="AA897" s="9"/>
      <c r="AB897" s="9"/>
      <c r="AC897" s="9"/>
      <c r="AD897" s="111"/>
      <c r="AE897" s="9"/>
      <c r="AF897" s="549"/>
    </row>
    <row r="898" spans="2:32" x14ac:dyDescent="0.3">
      <c r="B898" s="9"/>
      <c r="C898" s="9"/>
      <c r="D898" s="9"/>
      <c r="E898" s="9"/>
      <c r="F898" s="9"/>
      <c r="G898" s="9"/>
      <c r="H898" s="9"/>
      <c r="I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395"/>
      <c r="X898" s="261"/>
      <c r="Y898" s="261"/>
      <c r="Z898" s="9"/>
      <c r="AA898" s="9"/>
      <c r="AB898" s="9"/>
      <c r="AC898" s="9"/>
      <c r="AD898" s="111"/>
      <c r="AE898" s="9"/>
      <c r="AF898" s="549"/>
    </row>
    <row r="899" spans="2:32" x14ac:dyDescent="0.3">
      <c r="B899" s="9"/>
      <c r="C899" s="9"/>
      <c r="D899" s="9"/>
      <c r="E899" s="9"/>
      <c r="F899" s="9"/>
      <c r="G899" s="9"/>
      <c r="H899" s="9"/>
      <c r="I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395"/>
      <c r="X899" s="261"/>
      <c r="Y899" s="261"/>
      <c r="Z899" s="9"/>
      <c r="AA899" s="9"/>
      <c r="AB899" s="9"/>
      <c r="AC899" s="9"/>
      <c r="AD899" s="111"/>
      <c r="AE899" s="9"/>
      <c r="AF899" s="549"/>
    </row>
    <row r="900" spans="2:32" x14ac:dyDescent="0.3">
      <c r="B900" s="9"/>
      <c r="C900" s="9"/>
      <c r="D900" s="9"/>
      <c r="E900" s="9"/>
      <c r="F900" s="9"/>
      <c r="G900" s="9"/>
      <c r="H900" s="9"/>
      <c r="I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395"/>
      <c r="X900" s="261"/>
      <c r="Y900" s="261"/>
      <c r="Z900" s="9"/>
      <c r="AA900" s="9"/>
      <c r="AB900" s="9"/>
      <c r="AC900" s="9"/>
      <c r="AD900" s="111"/>
      <c r="AE900" s="9"/>
      <c r="AF900" s="549"/>
    </row>
    <row r="901" spans="2:32" x14ac:dyDescent="0.3">
      <c r="B901" s="9"/>
      <c r="C901" s="9"/>
      <c r="D901" s="9"/>
      <c r="E901" s="9"/>
      <c r="F901" s="9"/>
      <c r="G901" s="9"/>
      <c r="H901" s="9"/>
      <c r="I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395"/>
      <c r="X901" s="261"/>
      <c r="Y901" s="261"/>
      <c r="Z901" s="9"/>
      <c r="AA901" s="9"/>
      <c r="AB901" s="9"/>
      <c r="AC901" s="9"/>
      <c r="AD901" s="111"/>
      <c r="AE901" s="9"/>
      <c r="AF901" s="549"/>
    </row>
    <row r="902" spans="2:32" x14ac:dyDescent="0.3">
      <c r="B902" s="9"/>
      <c r="C902" s="9"/>
      <c r="D902" s="9"/>
      <c r="E902" s="9"/>
      <c r="F902" s="9"/>
      <c r="G902" s="9"/>
      <c r="H902" s="9"/>
      <c r="I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395"/>
      <c r="X902" s="261"/>
      <c r="Y902" s="261"/>
      <c r="Z902" s="9"/>
      <c r="AA902" s="9"/>
      <c r="AB902" s="9"/>
      <c r="AC902" s="9"/>
      <c r="AD902" s="111"/>
      <c r="AE902" s="9"/>
      <c r="AF902" s="549"/>
    </row>
    <row r="903" spans="2:32" x14ac:dyDescent="0.3">
      <c r="B903" s="9"/>
      <c r="C903" s="9"/>
      <c r="D903" s="9"/>
      <c r="E903" s="9"/>
      <c r="F903" s="9"/>
      <c r="G903" s="9"/>
      <c r="H903" s="9"/>
      <c r="I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395"/>
      <c r="X903" s="261"/>
      <c r="Y903" s="261"/>
      <c r="Z903" s="9"/>
      <c r="AA903" s="9"/>
      <c r="AB903" s="9"/>
      <c r="AC903" s="9"/>
      <c r="AD903" s="111"/>
      <c r="AE903" s="9"/>
      <c r="AF903" s="549"/>
    </row>
    <row r="904" spans="2:32" x14ac:dyDescent="0.3">
      <c r="B904" s="9"/>
      <c r="C904" s="9"/>
      <c r="D904" s="9"/>
      <c r="E904" s="9"/>
      <c r="F904" s="9"/>
      <c r="G904" s="9"/>
      <c r="H904" s="9"/>
      <c r="I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395"/>
      <c r="X904" s="261"/>
      <c r="Y904" s="261"/>
      <c r="Z904" s="9"/>
      <c r="AA904" s="9"/>
      <c r="AB904" s="9"/>
      <c r="AC904" s="9"/>
      <c r="AD904" s="111"/>
      <c r="AE904" s="9"/>
      <c r="AF904" s="549"/>
    </row>
    <row r="905" spans="2:32" x14ac:dyDescent="0.3">
      <c r="B905" s="9"/>
      <c r="C905" s="9"/>
      <c r="D905" s="9"/>
      <c r="E905" s="9"/>
      <c r="F905" s="9"/>
      <c r="G905" s="9"/>
      <c r="H905" s="9"/>
      <c r="I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395"/>
      <c r="X905" s="261"/>
      <c r="Y905" s="261"/>
      <c r="Z905" s="9"/>
      <c r="AA905" s="9"/>
      <c r="AB905" s="9"/>
      <c r="AC905" s="9"/>
      <c r="AD905" s="111"/>
      <c r="AE905" s="9"/>
      <c r="AF905" s="549"/>
    </row>
    <row r="906" spans="2:32" x14ac:dyDescent="0.3">
      <c r="B906" s="9"/>
      <c r="C906" s="9"/>
      <c r="D906" s="9"/>
      <c r="E906" s="9"/>
      <c r="F906" s="9"/>
      <c r="G906" s="9"/>
      <c r="H906" s="9"/>
      <c r="I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395"/>
      <c r="X906" s="261"/>
      <c r="Y906" s="261"/>
      <c r="Z906" s="9"/>
      <c r="AA906" s="9"/>
      <c r="AB906" s="9"/>
      <c r="AC906" s="9"/>
      <c r="AD906" s="111"/>
      <c r="AE906" s="9"/>
      <c r="AF906" s="549"/>
    </row>
    <row r="907" spans="2:32" x14ac:dyDescent="0.3">
      <c r="B907" s="9"/>
      <c r="C907" s="9"/>
      <c r="D907" s="9"/>
      <c r="E907" s="9"/>
      <c r="F907" s="9"/>
      <c r="G907" s="9"/>
      <c r="H907" s="9"/>
      <c r="I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395"/>
      <c r="X907" s="261"/>
      <c r="Y907" s="261"/>
      <c r="Z907" s="9"/>
      <c r="AA907" s="9"/>
      <c r="AB907" s="9"/>
      <c r="AC907" s="9"/>
      <c r="AD907" s="111"/>
      <c r="AE907" s="9"/>
      <c r="AF907" s="549"/>
    </row>
    <row r="908" spans="2:32" x14ac:dyDescent="0.3">
      <c r="B908" s="9"/>
      <c r="C908" s="9"/>
      <c r="D908" s="9"/>
      <c r="E908" s="9"/>
      <c r="F908" s="9"/>
      <c r="G908" s="9"/>
      <c r="H908" s="9"/>
      <c r="I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395"/>
      <c r="X908" s="261"/>
      <c r="Y908" s="261"/>
      <c r="Z908" s="9"/>
      <c r="AA908" s="9"/>
      <c r="AB908" s="9"/>
      <c r="AC908" s="9"/>
      <c r="AD908" s="111"/>
      <c r="AE908" s="9"/>
      <c r="AF908" s="549"/>
    </row>
    <row r="909" spans="2:32" x14ac:dyDescent="0.3">
      <c r="B909" s="9"/>
      <c r="C909" s="9"/>
      <c r="D909" s="9"/>
      <c r="E909" s="9"/>
      <c r="F909" s="9"/>
      <c r="G909" s="9"/>
      <c r="H909" s="9"/>
      <c r="I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395"/>
      <c r="X909" s="261"/>
      <c r="Y909" s="261"/>
      <c r="Z909" s="9"/>
      <c r="AA909" s="9"/>
      <c r="AB909" s="9"/>
      <c r="AC909" s="9"/>
      <c r="AD909" s="111"/>
      <c r="AE909" s="9"/>
      <c r="AF909" s="549"/>
    </row>
    <row r="910" spans="2:32" x14ac:dyDescent="0.3">
      <c r="B910" s="9"/>
      <c r="C910" s="9"/>
      <c r="D910" s="9"/>
      <c r="E910" s="9"/>
      <c r="F910" s="9"/>
      <c r="G910" s="9"/>
      <c r="H910" s="9"/>
      <c r="I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395"/>
      <c r="X910" s="261"/>
      <c r="Y910" s="261"/>
      <c r="Z910" s="9"/>
      <c r="AA910" s="9"/>
      <c r="AB910" s="9"/>
      <c r="AC910" s="9"/>
      <c r="AD910" s="111"/>
      <c r="AE910" s="9"/>
      <c r="AF910" s="549"/>
    </row>
    <row r="911" spans="2:32" x14ac:dyDescent="0.3">
      <c r="B911" s="9"/>
      <c r="C911" s="9"/>
      <c r="D911" s="9"/>
      <c r="E911" s="9"/>
      <c r="F911" s="9"/>
      <c r="G911" s="9"/>
      <c r="H911" s="9"/>
      <c r="I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395"/>
      <c r="X911" s="261"/>
      <c r="Y911" s="261"/>
      <c r="Z911" s="9"/>
      <c r="AA911" s="9"/>
      <c r="AB911" s="9"/>
      <c r="AC911" s="9"/>
      <c r="AD911" s="111"/>
      <c r="AE911" s="9"/>
      <c r="AF911" s="549"/>
    </row>
    <row r="912" spans="2:32" x14ac:dyDescent="0.3">
      <c r="B912" s="9"/>
      <c r="C912" s="9"/>
      <c r="D912" s="9"/>
      <c r="E912" s="9"/>
      <c r="F912" s="9"/>
      <c r="G912" s="9"/>
      <c r="H912" s="9"/>
      <c r="I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395"/>
      <c r="X912" s="261"/>
      <c r="Y912" s="261"/>
      <c r="Z912" s="9"/>
      <c r="AA912" s="9"/>
      <c r="AB912" s="9"/>
      <c r="AC912" s="9"/>
      <c r="AD912" s="111"/>
      <c r="AE912" s="9"/>
      <c r="AF912" s="549"/>
    </row>
    <row r="913" spans="2:32" x14ac:dyDescent="0.3">
      <c r="B913" s="9"/>
      <c r="C913" s="9"/>
      <c r="D913" s="9"/>
      <c r="E913" s="9"/>
      <c r="F913" s="9"/>
      <c r="G913" s="9"/>
      <c r="H913" s="9"/>
      <c r="I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395"/>
      <c r="X913" s="261"/>
      <c r="Y913" s="261"/>
      <c r="Z913" s="9"/>
      <c r="AA913" s="9"/>
      <c r="AB913" s="9"/>
      <c r="AC913" s="9"/>
      <c r="AD913" s="111"/>
      <c r="AE913" s="9"/>
      <c r="AF913" s="549"/>
    </row>
    <row r="914" spans="2:32" x14ac:dyDescent="0.3">
      <c r="B914" s="9"/>
      <c r="C914" s="9"/>
      <c r="D914" s="9"/>
      <c r="E914" s="9"/>
      <c r="F914" s="9"/>
      <c r="G914" s="9"/>
      <c r="H914" s="9"/>
      <c r="I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395"/>
      <c r="X914" s="261"/>
      <c r="Y914" s="261"/>
      <c r="Z914" s="9"/>
      <c r="AA914" s="9"/>
      <c r="AB914" s="9"/>
      <c r="AC914" s="9"/>
      <c r="AD914" s="111"/>
      <c r="AE914" s="9"/>
      <c r="AF914" s="549"/>
    </row>
    <row r="915" spans="2:32" x14ac:dyDescent="0.3">
      <c r="B915" s="9"/>
      <c r="C915" s="9"/>
      <c r="D915" s="9"/>
      <c r="E915" s="9"/>
      <c r="F915" s="9"/>
      <c r="G915" s="9"/>
      <c r="H915" s="9"/>
      <c r="I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395"/>
      <c r="X915" s="261"/>
      <c r="Y915" s="261"/>
      <c r="Z915" s="9"/>
      <c r="AA915" s="9"/>
      <c r="AB915" s="9"/>
      <c r="AC915" s="9"/>
      <c r="AD915" s="111"/>
      <c r="AE915" s="9"/>
      <c r="AF915" s="549"/>
    </row>
    <row r="916" spans="2:32" x14ac:dyDescent="0.3">
      <c r="B916" s="9"/>
      <c r="C916" s="9"/>
      <c r="D916" s="9"/>
      <c r="E916" s="9"/>
      <c r="F916" s="9"/>
      <c r="G916" s="9"/>
      <c r="H916" s="9"/>
      <c r="I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395"/>
      <c r="X916" s="261"/>
      <c r="Y916" s="261"/>
      <c r="Z916" s="9"/>
      <c r="AA916" s="9"/>
      <c r="AB916" s="9"/>
      <c r="AC916" s="9"/>
      <c r="AD916" s="111"/>
      <c r="AE916" s="9"/>
      <c r="AF916" s="549"/>
    </row>
    <row r="917" spans="2:32" x14ac:dyDescent="0.3">
      <c r="B917" s="9"/>
      <c r="C917" s="9"/>
      <c r="D917" s="9"/>
      <c r="E917" s="9"/>
      <c r="F917" s="9"/>
      <c r="G917" s="9"/>
      <c r="H917" s="9"/>
      <c r="I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395"/>
      <c r="X917" s="261"/>
      <c r="Y917" s="261"/>
      <c r="Z917" s="9"/>
      <c r="AA917" s="9"/>
      <c r="AB917" s="9"/>
      <c r="AC917" s="9"/>
      <c r="AD917" s="111"/>
      <c r="AE917" s="9"/>
      <c r="AF917" s="549"/>
    </row>
    <row r="918" spans="2:32" x14ac:dyDescent="0.3">
      <c r="B918" s="9"/>
      <c r="C918" s="9"/>
      <c r="D918" s="9"/>
      <c r="E918" s="9"/>
      <c r="F918" s="9"/>
      <c r="G918" s="9"/>
      <c r="H918" s="9"/>
      <c r="I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395"/>
      <c r="X918" s="261"/>
      <c r="Y918" s="261"/>
      <c r="Z918" s="9"/>
      <c r="AA918" s="9"/>
      <c r="AB918" s="9"/>
      <c r="AC918" s="9"/>
      <c r="AD918" s="111"/>
      <c r="AE918" s="9"/>
      <c r="AF918" s="549"/>
    </row>
    <row r="919" spans="2:32" x14ac:dyDescent="0.3">
      <c r="B919" s="9"/>
      <c r="C919" s="9"/>
      <c r="D919" s="9"/>
      <c r="E919" s="9"/>
      <c r="F919" s="9"/>
      <c r="G919" s="9"/>
      <c r="H919" s="9"/>
      <c r="I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395"/>
      <c r="X919" s="261"/>
      <c r="Y919" s="261"/>
      <c r="Z919" s="9"/>
      <c r="AA919" s="9"/>
      <c r="AB919" s="9"/>
      <c r="AC919" s="9"/>
      <c r="AD919" s="111"/>
      <c r="AE919" s="9"/>
      <c r="AF919" s="549"/>
    </row>
    <row r="920" spans="2:32" x14ac:dyDescent="0.3">
      <c r="B920" s="9"/>
      <c r="C920" s="9"/>
      <c r="D920" s="9"/>
      <c r="E920" s="9"/>
      <c r="F920" s="9"/>
      <c r="G920" s="9"/>
      <c r="H920" s="9"/>
      <c r="I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395"/>
      <c r="X920" s="261"/>
      <c r="Y920" s="261"/>
      <c r="Z920" s="9"/>
      <c r="AA920" s="9"/>
      <c r="AB920" s="9"/>
      <c r="AC920" s="9"/>
      <c r="AD920" s="111"/>
      <c r="AE920" s="9"/>
      <c r="AF920" s="549"/>
    </row>
    <row r="921" spans="2:32" x14ac:dyDescent="0.3">
      <c r="B921" s="9"/>
      <c r="C921" s="9"/>
      <c r="D921" s="9"/>
      <c r="E921" s="9"/>
      <c r="F921" s="9"/>
      <c r="G921" s="9"/>
      <c r="H921" s="9"/>
      <c r="I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395"/>
      <c r="X921" s="261"/>
      <c r="Y921" s="261"/>
      <c r="Z921" s="9"/>
      <c r="AA921" s="9"/>
      <c r="AB921" s="9"/>
      <c r="AC921" s="9"/>
      <c r="AD921" s="111"/>
      <c r="AE921" s="9"/>
      <c r="AF921" s="549"/>
    </row>
    <row r="922" spans="2:32" x14ac:dyDescent="0.3">
      <c r="B922" s="9"/>
      <c r="C922" s="9"/>
      <c r="D922" s="9"/>
      <c r="E922" s="9"/>
      <c r="F922" s="9"/>
      <c r="G922" s="9"/>
      <c r="H922" s="9"/>
      <c r="I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395"/>
      <c r="X922" s="261"/>
      <c r="Y922" s="261"/>
      <c r="Z922" s="9"/>
      <c r="AA922" s="9"/>
      <c r="AB922" s="9"/>
      <c r="AC922" s="9"/>
      <c r="AD922" s="111"/>
      <c r="AE922" s="9"/>
      <c r="AF922" s="549"/>
    </row>
    <row r="923" spans="2:32" x14ac:dyDescent="0.3">
      <c r="B923" s="9"/>
      <c r="C923" s="9"/>
      <c r="D923" s="9"/>
      <c r="E923" s="9"/>
      <c r="F923" s="9"/>
      <c r="G923" s="9"/>
      <c r="H923" s="9"/>
      <c r="I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395"/>
      <c r="X923" s="261"/>
      <c r="Y923" s="261"/>
      <c r="Z923" s="9"/>
      <c r="AA923" s="9"/>
      <c r="AB923" s="9"/>
      <c r="AC923" s="9"/>
      <c r="AD923" s="111"/>
      <c r="AE923" s="9"/>
      <c r="AF923" s="549"/>
    </row>
    <row r="924" spans="2:32" x14ac:dyDescent="0.3">
      <c r="B924" s="9"/>
      <c r="C924" s="9"/>
      <c r="D924" s="9"/>
      <c r="E924" s="9"/>
      <c r="F924" s="9"/>
      <c r="G924" s="9"/>
      <c r="H924" s="9"/>
      <c r="I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395"/>
      <c r="X924" s="261"/>
      <c r="Y924" s="261"/>
      <c r="Z924" s="9"/>
      <c r="AA924" s="9"/>
      <c r="AB924" s="9"/>
      <c r="AC924" s="9"/>
      <c r="AD924" s="111"/>
      <c r="AE924" s="9"/>
      <c r="AF924" s="549"/>
    </row>
    <row r="925" spans="2:32" x14ac:dyDescent="0.3">
      <c r="B925" s="9"/>
      <c r="C925" s="9"/>
      <c r="D925" s="9"/>
      <c r="E925" s="9"/>
      <c r="F925" s="9"/>
      <c r="G925" s="9"/>
      <c r="H925" s="9"/>
      <c r="I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395"/>
      <c r="X925" s="261"/>
      <c r="Y925" s="261"/>
      <c r="Z925" s="9"/>
      <c r="AA925" s="9"/>
      <c r="AB925" s="9"/>
      <c r="AC925" s="9"/>
      <c r="AD925" s="111"/>
      <c r="AE925" s="9"/>
      <c r="AF925" s="549"/>
    </row>
    <row r="926" spans="2:32" x14ac:dyDescent="0.3">
      <c r="B926" s="9"/>
      <c r="C926" s="9"/>
      <c r="D926" s="9"/>
      <c r="E926" s="9"/>
      <c r="F926" s="9"/>
      <c r="G926" s="9"/>
      <c r="H926" s="9"/>
      <c r="I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395"/>
      <c r="X926" s="261"/>
      <c r="Y926" s="261"/>
      <c r="Z926" s="9"/>
      <c r="AA926" s="9"/>
      <c r="AB926" s="9"/>
      <c r="AC926" s="9"/>
      <c r="AD926" s="111"/>
      <c r="AE926" s="9"/>
      <c r="AF926" s="549"/>
    </row>
    <row r="927" spans="2:32" x14ac:dyDescent="0.3">
      <c r="B927" s="9"/>
      <c r="C927" s="9"/>
      <c r="D927" s="9"/>
      <c r="E927" s="9"/>
      <c r="F927" s="9"/>
      <c r="G927" s="9"/>
      <c r="H927" s="9"/>
      <c r="I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395"/>
      <c r="X927" s="261"/>
      <c r="Y927" s="261"/>
      <c r="Z927" s="9"/>
      <c r="AA927" s="9"/>
      <c r="AB927" s="9"/>
      <c r="AC927" s="9"/>
      <c r="AD927" s="111"/>
      <c r="AE927" s="9"/>
      <c r="AF927" s="549"/>
    </row>
    <row r="928" spans="2:32" x14ac:dyDescent="0.3">
      <c r="B928" s="9"/>
      <c r="C928" s="9"/>
      <c r="D928" s="9"/>
      <c r="E928" s="9"/>
      <c r="F928" s="9"/>
      <c r="G928" s="9"/>
      <c r="H928" s="9"/>
      <c r="I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395"/>
      <c r="X928" s="261"/>
      <c r="Y928" s="261"/>
      <c r="Z928" s="9"/>
      <c r="AA928" s="9"/>
      <c r="AB928" s="9"/>
      <c r="AC928" s="9"/>
      <c r="AD928" s="111"/>
      <c r="AE928" s="9"/>
      <c r="AF928" s="549"/>
    </row>
    <row r="929" spans="2:32" x14ac:dyDescent="0.3">
      <c r="B929" s="9"/>
      <c r="C929" s="9"/>
      <c r="D929" s="9"/>
      <c r="E929" s="9"/>
      <c r="F929" s="9"/>
      <c r="G929" s="9"/>
      <c r="H929" s="9"/>
      <c r="I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395"/>
      <c r="X929" s="261"/>
      <c r="Y929" s="261"/>
      <c r="Z929" s="9"/>
      <c r="AA929" s="9"/>
      <c r="AB929" s="9"/>
      <c r="AC929" s="9"/>
      <c r="AD929" s="111"/>
      <c r="AE929" s="9"/>
      <c r="AF929" s="549"/>
    </row>
    <row r="930" spans="2:32" x14ac:dyDescent="0.3">
      <c r="B930" s="9"/>
      <c r="C930" s="9"/>
      <c r="D930" s="9"/>
      <c r="E930" s="9"/>
      <c r="F930" s="9"/>
      <c r="G930" s="9"/>
      <c r="H930" s="9"/>
      <c r="I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395"/>
      <c r="X930" s="261"/>
      <c r="Y930" s="261"/>
      <c r="Z930" s="9"/>
      <c r="AA930" s="9"/>
      <c r="AB930" s="9"/>
      <c r="AC930" s="9"/>
      <c r="AD930" s="111"/>
      <c r="AE930" s="9"/>
      <c r="AF930" s="549"/>
    </row>
    <row r="931" spans="2:32" x14ac:dyDescent="0.3">
      <c r="B931" s="9"/>
      <c r="C931" s="9"/>
      <c r="D931" s="9"/>
      <c r="E931" s="9"/>
      <c r="F931" s="9"/>
      <c r="G931" s="9"/>
      <c r="H931" s="9"/>
      <c r="I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395"/>
      <c r="X931" s="261"/>
      <c r="Y931" s="261"/>
      <c r="Z931" s="9"/>
      <c r="AA931" s="9"/>
      <c r="AB931" s="9"/>
      <c r="AC931" s="9"/>
      <c r="AD931" s="111"/>
      <c r="AE931" s="9"/>
      <c r="AF931" s="549"/>
    </row>
    <row r="932" spans="2:32" x14ac:dyDescent="0.3">
      <c r="B932" s="9"/>
      <c r="C932" s="9"/>
      <c r="D932" s="9"/>
      <c r="E932" s="9"/>
      <c r="F932" s="9"/>
      <c r="G932" s="9"/>
      <c r="H932" s="9"/>
      <c r="I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395"/>
      <c r="X932" s="261"/>
      <c r="Y932" s="261"/>
      <c r="Z932" s="9"/>
      <c r="AA932" s="9"/>
      <c r="AB932" s="9"/>
      <c r="AC932" s="9"/>
      <c r="AD932" s="111"/>
      <c r="AE932" s="9"/>
      <c r="AF932" s="549"/>
    </row>
    <row r="933" spans="2:32" x14ac:dyDescent="0.3">
      <c r="B933" s="9"/>
      <c r="C933" s="9"/>
      <c r="D933" s="9"/>
      <c r="E933" s="9"/>
      <c r="F933" s="9"/>
      <c r="G933" s="9"/>
      <c r="H933" s="9"/>
      <c r="I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395"/>
      <c r="X933" s="261"/>
      <c r="Y933" s="261"/>
      <c r="Z933" s="9"/>
      <c r="AA933" s="9"/>
      <c r="AB933" s="9"/>
      <c r="AC933" s="9"/>
      <c r="AD933" s="111"/>
      <c r="AE933" s="9"/>
      <c r="AF933" s="549"/>
    </row>
    <row r="934" spans="2:32" x14ac:dyDescent="0.3">
      <c r="B934" s="9"/>
      <c r="C934" s="9"/>
      <c r="D934" s="9"/>
      <c r="E934" s="9"/>
      <c r="F934" s="9"/>
      <c r="G934" s="9"/>
      <c r="H934" s="9"/>
      <c r="I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395"/>
      <c r="X934" s="261"/>
      <c r="Y934" s="261"/>
      <c r="Z934" s="9"/>
      <c r="AA934" s="9"/>
      <c r="AB934" s="9"/>
      <c r="AC934" s="9"/>
      <c r="AD934" s="111"/>
      <c r="AE934" s="9"/>
      <c r="AF934" s="549"/>
    </row>
    <row r="935" spans="2:32" x14ac:dyDescent="0.3">
      <c r="B935" s="9"/>
      <c r="C935" s="9"/>
      <c r="D935" s="9"/>
      <c r="E935" s="9"/>
      <c r="F935" s="9"/>
      <c r="G935" s="9"/>
      <c r="H935" s="9"/>
      <c r="I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395"/>
      <c r="X935" s="261"/>
      <c r="Y935" s="261"/>
      <c r="Z935" s="9"/>
      <c r="AA935" s="9"/>
      <c r="AB935" s="9"/>
      <c r="AC935" s="9"/>
      <c r="AD935" s="111"/>
      <c r="AE935" s="9"/>
      <c r="AF935" s="549"/>
    </row>
    <row r="936" spans="2:32" x14ac:dyDescent="0.3">
      <c r="B936" s="9"/>
      <c r="C936" s="9"/>
      <c r="D936" s="9"/>
      <c r="E936" s="9"/>
      <c r="F936" s="9"/>
      <c r="G936" s="9"/>
      <c r="H936" s="9"/>
      <c r="I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395"/>
      <c r="X936" s="261"/>
      <c r="Y936" s="261"/>
      <c r="Z936" s="9"/>
      <c r="AA936" s="9"/>
      <c r="AB936" s="9"/>
      <c r="AC936" s="9"/>
      <c r="AD936" s="111"/>
      <c r="AE936" s="9"/>
      <c r="AF936" s="549"/>
    </row>
    <row r="937" spans="2:32" x14ac:dyDescent="0.3">
      <c r="B937" s="9"/>
      <c r="C937" s="9"/>
      <c r="D937" s="9"/>
      <c r="E937" s="9"/>
      <c r="F937" s="9"/>
      <c r="G937" s="9"/>
      <c r="H937" s="9"/>
      <c r="I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395"/>
      <c r="X937" s="261"/>
      <c r="Y937" s="261"/>
      <c r="Z937" s="9"/>
      <c r="AA937" s="9"/>
      <c r="AB937" s="9"/>
      <c r="AC937" s="9"/>
      <c r="AD937" s="111"/>
      <c r="AE937" s="9"/>
      <c r="AF937" s="549"/>
    </row>
    <row r="938" spans="2:32" x14ac:dyDescent="0.3">
      <c r="B938" s="9"/>
      <c r="C938" s="9"/>
      <c r="D938" s="9"/>
      <c r="E938" s="9"/>
      <c r="F938" s="9"/>
      <c r="G938" s="9"/>
      <c r="H938" s="9"/>
      <c r="I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395"/>
      <c r="X938" s="261"/>
      <c r="Y938" s="261"/>
      <c r="Z938" s="9"/>
      <c r="AA938" s="9"/>
      <c r="AB938" s="9"/>
      <c r="AC938" s="9"/>
      <c r="AD938" s="111"/>
      <c r="AE938" s="9"/>
      <c r="AF938" s="549"/>
    </row>
    <row r="939" spans="2:32" x14ac:dyDescent="0.3">
      <c r="B939" s="9"/>
      <c r="C939" s="9"/>
      <c r="D939" s="9"/>
      <c r="E939" s="9"/>
      <c r="F939" s="9"/>
      <c r="G939" s="9"/>
      <c r="H939" s="9"/>
      <c r="I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395"/>
      <c r="X939" s="261"/>
      <c r="Y939" s="261"/>
      <c r="Z939" s="9"/>
      <c r="AA939" s="9"/>
      <c r="AB939" s="9"/>
      <c r="AC939" s="9"/>
      <c r="AD939" s="111"/>
      <c r="AE939" s="9"/>
      <c r="AF939" s="549"/>
    </row>
    <row r="940" spans="2:32" x14ac:dyDescent="0.3">
      <c r="B940" s="9"/>
      <c r="C940" s="9"/>
      <c r="D940" s="9"/>
      <c r="E940" s="9"/>
      <c r="F940" s="9"/>
      <c r="G940" s="9"/>
      <c r="H940" s="9"/>
      <c r="I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395"/>
      <c r="X940" s="261"/>
      <c r="Y940" s="261"/>
      <c r="Z940" s="9"/>
      <c r="AA940" s="9"/>
      <c r="AB940" s="9"/>
      <c r="AC940" s="9"/>
      <c r="AD940" s="111"/>
      <c r="AE940" s="9"/>
      <c r="AF940" s="549"/>
    </row>
    <row r="941" spans="2:32" x14ac:dyDescent="0.3">
      <c r="B941" s="9"/>
      <c r="C941" s="9"/>
      <c r="D941" s="9"/>
      <c r="E941" s="9"/>
      <c r="F941" s="9"/>
      <c r="G941" s="9"/>
      <c r="H941" s="9"/>
      <c r="I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395"/>
      <c r="X941" s="261"/>
      <c r="Y941" s="261"/>
      <c r="Z941" s="9"/>
      <c r="AA941" s="9"/>
      <c r="AB941" s="9"/>
      <c r="AC941" s="9"/>
      <c r="AD941" s="111"/>
      <c r="AE941" s="9"/>
      <c r="AF941" s="549"/>
    </row>
    <row r="942" spans="2:32" x14ac:dyDescent="0.3">
      <c r="B942" s="9"/>
      <c r="C942" s="9"/>
      <c r="D942" s="9"/>
      <c r="E942" s="9"/>
      <c r="F942" s="9"/>
      <c r="G942" s="9"/>
      <c r="H942" s="9"/>
      <c r="I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395"/>
      <c r="X942" s="261"/>
      <c r="Y942" s="261"/>
      <c r="Z942" s="9"/>
      <c r="AA942" s="9"/>
      <c r="AB942" s="9"/>
      <c r="AC942" s="9"/>
      <c r="AD942" s="111"/>
      <c r="AE942" s="9"/>
      <c r="AF942" s="549"/>
    </row>
    <row r="943" spans="2:32" x14ac:dyDescent="0.3">
      <c r="B943" s="9"/>
      <c r="C943" s="9"/>
      <c r="D943" s="9"/>
      <c r="E943" s="9"/>
      <c r="F943" s="9"/>
      <c r="G943" s="9"/>
      <c r="H943" s="9"/>
      <c r="I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395"/>
      <c r="X943" s="261"/>
      <c r="Y943" s="261"/>
      <c r="Z943" s="9"/>
      <c r="AA943" s="9"/>
      <c r="AB943" s="9"/>
      <c r="AC943" s="9"/>
      <c r="AD943" s="111"/>
      <c r="AE943" s="9"/>
      <c r="AF943" s="549"/>
    </row>
    <row r="944" spans="2:32" x14ac:dyDescent="0.3">
      <c r="B944" s="9"/>
      <c r="C944" s="9"/>
      <c r="D944" s="9"/>
      <c r="E944" s="9"/>
      <c r="F944" s="9"/>
      <c r="G944" s="9"/>
      <c r="H944" s="9"/>
      <c r="I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395"/>
      <c r="X944" s="261"/>
      <c r="Y944" s="261"/>
      <c r="Z944" s="9"/>
      <c r="AA944" s="9"/>
      <c r="AB944" s="9"/>
      <c r="AC944" s="9"/>
      <c r="AD944" s="111"/>
      <c r="AE944" s="9"/>
      <c r="AF944" s="549"/>
    </row>
    <row r="945" spans="2:32" x14ac:dyDescent="0.3">
      <c r="B945" s="9"/>
      <c r="C945" s="9"/>
      <c r="D945" s="9"/>
      <c r="E945" s="9"/>
      <c r="F945" s="9"/>
      <c r="G945" s="9"/>
      <c r="H945" s="9"/>
      <c r="I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395"/>
      <c r="X945" s="261"/>
      <c r="Y945" s="261"/>
      <c r="Z945" s="9"/>
      <c r="AA945" s="9"/>
      <c r="AB945" s="9"/>
      <c r="AC945" s="9"/>
      <c r="AD945" s="111"/>
      <c r="AE945" s="9"/>
      <c r="AF945" s="549"/>
    </row>
    <row r="946" spans="2:32" x14ac:dyDescent="0.3">
      <c r="B946" s="9"/>
      <c r="C946" s="9"/>
      <c r="D946" s="9"/>
      <c r="E946" s="9"/>
      <c r="F946" s="9"/>
      <c r="G946" s="9"/>
      <c r="H946" s="9"/>
      <c r="I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395"/>
      <c r="X946" s="261"/>
      <c r="Y946" s="261"/>
      <c r="Z946" s="9"/>
      <c r="AA946" s="9"/>
      <c r="AB946" s="9"/>
      <c r="AC946" s="9"/>
      <c r="AD946" s="111"/>
      <c r="AE946" s="9"/>
      <c r="AF946" s="549"/>
    </row>
    <row r="947" spans="2:32" x14ac:dyDescent="0.3">
      <c r="B947" s="9"/>
      <c r="C947" s="9"/>
      <c r="D947" s="9"/>
      <c r="E947" s="9"/>
      <c r="F947" s="9"/>
      <c r="G947" s="9"/>
      <c r="H947" s="9"/>
      <c r="I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395"/>
      <c r="X947" s="261"/>
      <c r="Y947" s="261"/>
      <c r="Z947" s="9"/>
      <c r="AA947" s="9"/>
      <c r="AB947" s="9"/>
      <c r="AC947" s="9"/>
      <c r="AD947" s="111"/>
      <c r="AE947" s="9"/>
      <c r="AF947" s="549"/>
    </row>
    <row r="948" spans="2:32" x14ac:dyDescent="0.3">
      <c r="B948" s="9"/>
      <c r="C948" s="9"/>
      <c r="D948" s="9"/>
      <c r="E948" s="9"/>
      <c r="F948" s="9"/>
      <c r="G948" s="9"/>
      <c r="H948" s="9"/>
      <c r="I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395"/>
      <c r="X948" s="261"/>
      <c r="Y948" s="261"/>
      <c r="Z948" s="9"/>
      <c r="AA948" s="9"/>
      <c r="AB948" s="9"/>
      <c r="AC948" s="9"/>
      <c r="AD948" s="111"/>
      <c r="AE948" s="9"/>
      <c r="AF948" s="549"/>
    </row>
    <row r="949" spans="2:32" x14ac:dyDescent="0.3">
      <c r="B949" s="9"/>
      <c r="C949" s="9"/>
      <c r="D949" s="9"/>
      <c r="E949" s="9"/>
      <c r="F949" s="9"/>
      <c r="G949" s="9"/>
      <c r="H949" s="9"/>
      <c r="I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395"/>
      <c r="X949" s="261"/>
      <c r="Y949" s="261"/>
      <c r="Z949" s="9"/>
      <c r="AA949" s="9"/>
      <c r="AB949" s="9"/>
      <c r="AC949" s="9"/>
      <c r="AD949" s="111"/>
      <c r="AE949" s="9"/>
      <c r="AF949" s="549"/>
    </row>
    <row r="950" spans="2:32" x14ac:dyDescent="0.3">
      <c r="B950" s="9"/>
      <c r="C950" s="9"/>
      <c r="D950" s="9"/>
      <c r="E950" s="9"/>
      <c r="F950" s="9"/>
      <c r="G950" s="9"/>
      <c r="H950" s="9"/>
      <c r="I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395"/>
      <c r="X950" s="261"/>
      <c r="Y950" s="261"/>
      <c r="Z950" s="9"/>
      <c r="AA950" s="9"/>
      <c r="AB950" s="9"/>
      <c r="AC950" s="9"/>
      <c r="AD950" s="111"/>
      <c r="AE950" s="9"/>
      <c r="AF950" s="549"/>
    </row>
    <row r="951" spans="2:32" x14ac:dyDescent="0.3">
      <c r="B951" s="9"/>
      <c r="C951" s="9"/>
      <c r="D951" s="9"/>
      <c r="E951" s="9"/>
      <c r="F951" s="9"/>
      <c r="G951" s="9"/>
      <c r="H951" s="9"/>
      <c r="I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395"/>
      <c r="X951" s="261"/>
      <c r="Y951" s="261"/>
      <c r="Z951" s="9"/>
      <c r="AA951" s="9"/>
      <c r="AB951" s="9"/>
      <c r="AC951" s="9"/>
      <c r="AD951" s="111"/>
      <c r="AE951" s="9"/>
      <c r="AF951" s="549"/>
    </row>
    <row r="952" spans="2:32" x14ac:dyDescent="0.3">
      <c r="B952" s="9"/>
      <c r="C952" s="9"/>
      <c r="D952" s="9"/>
      <c r="E952" s="9"/>
      <c r="F952" s="9"/>
      <c r="G952" s="9"/>
      <c r="H952" s="9"/>
      <c r="I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395"/>
      <c r="X952" s="261"/>
      <c r="Y952" s="261"/>
      <c r="Z952" s="9"/>
      <c r="AA952" s="9"/>
      <c r="AB952" s="9"/>
      <c r="AC952" s="9"/>
      <c r="AD952" s="111"/>
      <c r="AE952" s="9"/>
      <c r="AF952" s="549"/>
    </row>
    <row r="953" spans="2:32" x14ac:dyDescent="0.3">
      <c r="B953" s="9"/>
      <c r="C953" s="9"/>
      <c r="D953" s="9"/>
      <c r="E953" s="9"/>
      <c r="F953" s="9"/>
      <c r="G953" s="9"/>
      <c r="H953" s="9"/>
      <c r="I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395"/>
      <c r="X953" s="261"/>
      <c r="Y953" s="261"/>
      <c r="Z953" s="9"/>
      <c r="AA953" s="9"/>
      <c r="AB953" s="9"/>
      <c r="AC953" s="9"/>
      <c r="AD953" s="111"/>
      <c r="AE953" s="9"/>
      <c r="AF953" s="549"/>
    </row>
    <row r="954" spans="2:32" x14ac:dyDescent="0.3">
      <c r="B954" s="9"/>
      <c r="C954" s="9"/>
      <c r="D954" s="9"/>
      <c r="E954" s="9"/>
      <c r="F954" s="9"/>
      <c r="G954" s="9"/>
      <c r="H954" s="9"/>
      <c r="I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395"/>
      <c r="X954" s="261"/>
      <c r="Y954" s="261"/>
      <c r="Z954" s="9"/>
      <c r="AA954" s="9"/>
      <c r="AB954" s="9"/>
      <c r="AC954" s="9"/>
      <c r="AD954" s="111"/>
      <c r="AE954" s="9"/>
      <c r="AF954" s="549"/>
    </row>
    <row r="955" spans="2:32" x14ac:dyDescent="0.3">
      <c r="B955" s="9"/>
      <c r="C955" s="9"/>
      <c r="D955" s="9"/>
      <c r="E955" s="9"/>
      <c r="F955" s="9"/>
      <c r="G955" s="9"/>
      <c r="H955" s="9"/>
      <c r="I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395"/>
      <c r="X955" s="261"/>
      <c r="Y955" s="261"/>
      <c r="Z955" s="9"/>
      <c r="AA955" s="9"/>
      <c r="AB955" s="9"/>
      <c r="AC955" s="9"/>
      <c r="AD955" s="111"/>
      <c r="AE955" s="9"/>
      <c r="AF955" s="549"/>
    </row>
    <row r="956" spans="2:32" x14ac:dyDescent="0.3">
      <c r="B956" s="9"/>
      <c r="C956" s="9"/>
      <c r="D956" s="9"/>
      <c r="E956" s="9"/>
      <c r="F956" s="9"/>
      <c r="G956" s="9"/>
      <c r="H956" s="9"/>
      <c r="I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395"/>
      <c r="X956" s="261"/>
      <c r="Y956" s="261"/>
      <c r="Z956" s="9"/>
      <c r="AA956" s="9"/>
      <c r="AB956" s="9"/>
      <c r="AC956" s="9"/>
      <c r="AD956" s="111"/>
      <c r="AE956" s="9"/>
      <c r="AF956" s="549"/>
    </row>
    <row r="957" spans="2:32" x14ac:dyDescent="0.3">
      <c r="B957" s="9"/>
      <c r="C957" s="9"/>
      <c r="D957" s="9"/>
      <c r="E957" s="9"/>
      <c r="F957" s="9"/>
      <c r="G957" s="9"/>
      <c r="H957" s="9"/>
      <c r="I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395"/>
      <c r="X957" s="261"/>
      <c r="Y957" s="261"/>
      <c r="Z957" s="9"/>
      <c r="AA957" s="9"/>
      <c r="AB957" s="9"/>
      <c r="AC957" s="9"/>
      <c r="AD957" s="111"/>
      <c r="AE957" s="9"/>
      <c r="AF957" s="549"/>
    </row>
    <row r="958" spans="2:32" x14ac:dyDescent="0.3">
      <c r="B958" s="9"/>
      <c r="C958" s="9"/>
      <c r="D958" s="9"/>
      <c r="E958" s="9"/>
      <c r="F958" s="9"/>
      <c r="G958" s="9"/>
      <c r="H958" s="9"/>
      <c r="I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395"/>
      <c r="X958" s="261"/>
      <c r="Y958" s="261"/>
      <c r="Z958" s="9"/>
      <c r="AA958" s="9"/>
      <c r="AB958" s="9"/>
      <c r="AC958" s="9"/>
      <c r="AD958" s="111"/>
      <c r="AE958" s="9"/>
      <c r="AF958" s="549"/>
    </row>
    <row r="959" spans="2:32" x14ac:dyDescent="0.3">
      <c r="B959" s="9"/>
      <c r="C959" s="9"/>
      <c r="D959" s="9"/>
      <c r="E959" s="9"/>
      <c r="F959" s="9"/>
      <c r="G959" s="9"/>
      <c r="H959" s="9"/>
      <c r="I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395"/>
      <c r="X959" s="261"/>
      <c r="Y959" s="261"/>
      <c r="Z959" s="9"/>
      <c r="AA959" s="9"/>
      <c r="AB959" s="9"/>
      <c r="AC959" s="9"/>
      <c r="AD959" s="111"/>
      <c r="AE959" s="9"/>
      <c r="AF959" s="549"/>
    </row>
    <row r="960" spans="2:32" x14ac:dyDescent="0.3">
      <c r="B960" s="9"/>
      <c r="C960" s="9"/>
      <c r="D960" s="9"/>
      <c r="E960" s="9"/>
      <c r="F960" s="9"/>
      <c r="G960" s="9"/>
      <c r="H960" s="9"/>
      <c r="I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395"/>
      <c r="X960" s="261"/>
      <c r="Y960" s="261"/>
      <c r="Z960" s="9"/>
      <c r="AA960" s="9"/>
      <c r="AB960" s="9"/>
      <c r="AC960" s="9"/>
      <c r="AD960" s="111"/>
      <c r="AE960" s="9"/>
      <c r="AF960" s="549"/>
    </row>
    <row r="961" spans="2:32" x14ac:dyDescent="0.3">
      <c r="B961" s="9"/>
      <c r="C961" s="9"/>
      <c r="D961" s="9"/>
      <c r="E961" s="9"/>
      <c r="F961" s="9"/>
      <c r="G961" s="9"/>
      <c r="H961" s="9"/>
      <c r="I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395"/>
      <c r="X961" s="261"/>
      <c r="Y961" s="261"/>
      <c r="Z961" s="9"/>
      <c r="AA961" s="9"/>
      <c r="AB961" s="9"/>
      <c r="AC961" s="9"/>
      <c r="AD961" s="111"/>
      <c r="AE961" s="9"/>
      <c r="AF961" s="549"/>
    </row>
    <row r="962" spans="2:32" x14ac:dyDescent="0.3">
      <c r="B962" s="9"/>
      <c r="C962" s="9"/>
      <c r="D962" s="9"/>
      <c r="E962" s="9"/>
      <c r="F962" s="9"/>
      <c r="G962" s="9"/>
      <c r="H962" s="9"/>
      <c r="I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395"/>
      <c r="X962" s="261"/>
      <c r="Y962" s="261"/>
      <c r="Z962" s="9"/>
      <c r="AA962" s="9"/>
      <c r="AB962" s="9"/>
      <c r="AC962" s="9"/>
      <c r="AD962" s="111"/>
      <c r="AE962" s="9"/>
      <c r="AF962" s="549"/>
    </row>
    <row r="963" spans="2:32" x14ac:dyDescent="0.3">
      <c r="B963" s="9"/>
      <c r="C963" s="9"/>
      <c r="D963" s="9"/>
      <c r="E963" s="9"/>
      <c r="F963" s="9"/>
      <c r="G963" s="9"/>
      <c r="H963" s="9"/>
      <c r="I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395"/>
      <c r="X963" s="261"/>
      <c r="Y963" s="261"/>
      <c r="Z963" s="9"/>
      <c r="AA963" s="9"/>
      <c r="AB963" s="9"/>
      <c r="AC963" s="9"/>
      <c r="AD963" s="111"/>
      <c r="AE963" s="9"/>
      <c r="AF963" s="549"/>
    </row>
    <row r="964" spans="2:32" x14ac:dyDescent="0.3">
      <c r="B964" s="9"/>
      <c r="C964" s="9"/>
      <c r="D964" s="9"/>
      <c r="E964" s="9"/>
      <c r="F964" s="9"/>
      <c r="G964" s="9"/>
      <c r="H964" s="9"/>
      <c r="I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395"/>
      <c r="X964" s="261"/>
      <c r="Y964" s="261"/>
      <c r="Z964" s="9"/>
      <c r="AA964" s="9"/>
      <c r="AB964" s="9"/>
      <c r="AC964" s="9"/>
      <c r="AD964" s="111"/>
      <c r="AE964" s="9"/>
      <c r="AF964" s="549"/>
    </row>
    <row r="965" spans="2:32" x14ac:dyDescent="0.3">
      <c r="B965" s="9"/>
      <c r="C965" s="9"/>
      <c r="D965" s="9"/>
      <c r="E965" s="9"/>
      <c r="F965" s="9"/>
      <c r="G965" s="9"/>
      <c r="H965" s="9"/>
      <c r="I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395"/>
      <c r="X965" s="261"/>
      <c r="Y965" s="261"/>
      <c r="Z965" s="9"/>
      <c r="AA965" s="9"/>
      <c r="AB965" s="9"/>
      <c r="AC965" s="9"/>
      <c r="AD965" s="111"/>
      <c r="AE965" s="9"/>
      <c r="AF965" s="549"/>
    </row>
    <row r="966" spans="2:32" x14ac:dyDescent="0.3">
      <c r="B966" s="9"/>
      <c r="C966" s="9"/>
      <c r="D966" s="9"/>
      <c r="E966" s="9"/>
      <c r="F966" s="9"/>
      <c r="G966" s="9"/>
      <c r="H966" s="9"/>
      <c r="I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395"/>
      <c r="X966" s="261"/>
      <c r="Y966" s="261"/>
      <c r="Z966" s="9"/>
      <c r="AA966" s="9"/>
      <c r="AB966" s="9"/>
      <c r="AC966" s="9"/>
      <c r="AD966" s="111"/>
      <c r="AE966" s="9"/>
      <c r="AF966" s="549"/>
    </row>
    <row r="967" spans="2:32" x14ac:dyDescent="0.3">
      <c r="B967" s="9"/>
      <c r="C967" s="9"/>
      <c r="D967" s="9"/>
      <c r="E967" s="9"/>
      <c r="F967" s="9"/>
      <c r="G967" s="9"/>
      <c r="H967" s="9"/>
      <c r="I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395"/>
      <c r="X967" s="261"/>
      <c r="Y967" s="261"/>
      <c r="Z967" s="9"/>
      <c r="AA967" s="9"/>
      <c r="AB967" s="9"/>
      <c r="AC967" s="9"/>
      <c r="AD967" s="111"/>
      <c r="AE967" s="9"/>
      <c r="AF967" s="549"/>
    </row>
    <row r="968" spans="2:32" x14ac:dyDescent="0.3">
      <c r="B968" s="9"/>
      <c r="C968" s="9"/>
      <c r="D968" s="9"/>
      <c r="E968" s="9"/>
      <c r="F968" s="9"/>
      <c r="G968" s="9"/>
      <c r="H968" s="9"/>
      <c r="I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395"/>
      <c r="X968" s="261"/>
      <c r="Y968" s="261"/>
      <c r="Z968" s="9"/>
      <c r="AA968" s="9"/>
      <c r="AB968" s="9"/>
      <c r="AC968" s="9"/>
      <c r="AD968" s="111"/>
      <c r="AE968" s="9"/>
      <c r="AF968" s="549"/>
    </row>
    <row r="969" spans="2:32" x14ac:dyDescent="0.3">
      <c r="B969" s="9"/>
      <c r="C969" s="9"/>
      <c r="D969" s="9"/>
      <c r="E969" s="9"/>
      <c r="F969" s="9"/>
      <c r="G969" s="9"/>
      <c r="H969" s="9"/>
      <c r="I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395"/>
      <c r="X969" s="261"/>
      <c r="Y969" s="261"/>
      <c r="Z969" s="9"/>
      <c r="AA969" s="9"/>
      <c r="AB969" s="9"/>
      <c r="AC969" s="9"/>
      <c r="AD969" s="111"/>
      <c r="AE969" s="9"/>
      <c r="AF969" s="549"/>
    </row>
    <row r="970" spans="2:32" x14ac:dyDescent="0.3">
      <c r="B970" s="9"/>
      <c r="C970" s="9"/>
      <c r="D970" s="9"/>
      <c r="E970" s="9"/>
      <c r="F970" s="9"/>
      <c r="G970" s="9"/>
      <c r="H970" s="9"/>
      <c r="I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395"/>
      <c r="X970" s="261"/>
      <c r="Y970" s="261"/>
      <c r="Z970" s="9"/>
      <c r="AA970" s="9"/>
      <c r="AB970" s="9"/>
      <c r="AC970" s="9"/>
      <c r="AD970" s="111"/>
      <c r="AE970" s="9"/>
      <c r="AF970" s="549"/>
    </row>
    <row r="971" spans="2:32" x14ac:dyDescent="0.3">
      <c r="B971" s="9"/>
      <c r="C971" s="9"/>
      <c r="D971" s="9"/>
      <c r="E971" s="9"/>
      <c r="F971" s="9"/>
      <c r="G971" s="9"/>
      <c r="H971" s="9"/>
      <c r="I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395"/>
      <c r="X971" s="261"/>
      <c r="Y971" s="261"/>
      <c r="Z971" s="9"/>
      <c r="AA971" s="9"/>
      <c r="AB971" s="9"/>
      <c r="AC971" s="9"/>
      <c r="AD971" s="111"/>
      <c r="AE971" s="9"/>
      <c r="AF971" s="549"/>
    </row>
    <row r="972" spans="2:32" x14ac:dyDescent="0.3">
      <c r="B972" s="9"/>
      <c r="C972" s="9"/>
      <c r="D972" s="9"/>
      <c r="E972" s="9"/>
      <c r="F972" s="9"/>
      <c r="G972" s="9"/>
      <c r="H972" s="9"/>
      <c r="I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395"/>
      <c r="X972" s="261"/>
      <c r="Y972" s="261"/>
      <c r="Z972" s="9"/>
      <c r="AA972" s="9"/>
      <c r="AB972" s="9"/>
      <c r="AC972" s="9"/>
      <c r="AD972" s="111"/>
      <c r="AE972" s="9"/>
      <c r="AF972" s="549"/>
    </row>
    <row r="973" spans="2:32" x14ac:dyDescent="0.3">
      <c r="B973" s="9"/>
      <c r="C973" s="9"/>
      <c r="D973" s="9"/>
      <c r="E973" s="9"/>
      <c r="F973" s="9"/>
      <c r="G973" s="9"/>
      <c r="H973" s="9"/>
      <c r="I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395"/>
      <c r="X973" s="261"/>
      <c r="Y973" s="261"/>
      <c r="Z973" s="9"/>
      <c r="AA973" s="9"/>
      <c r="AB973" s="9"/>
      <c r="AC973" s="9"/>
      <c r="AD973" s="111"/>
      <c r="AE973" s="9"/>
      <c r="AF973" s="549"/>
    </row>
    <row r="974" spans="2:32" x14ac:dyDescent="0.3">
      <c r="B974" s="9"/>
      <c r="C974" s="9"/>
      <c r="D974" s="9"/>
      <c r="E974" s="9"/>
      <c r="F974" s="9"/>
      <c r="G974" s="9"/>
      <c r="H974" s="9"/>
      <c r="I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395"/>
      <c r="X974" s="261"/>
      <c r="Y974" s="261"/>
      <c r="Z974" s="9"/>
      <c r="AA974" s="9"/>
      <c r="AB974" s="9"/>
      <c r="AC974" s="9"/>
      <c r="AD974" s="111"/>
      <c r="AE974" s="9"/>
      <c r="AF974" s="549"/>
    </row>
    <row r="975" spans="2:32" x14ac:dyDescent="0.3">
      <c r="B975" s="9"/>
      <c r="C975" s="9"/>
      <c r="D975" s="9"/>
      <c r="E975" s="9"/>
      <c r="F975" s="9"/>
      <c r="G975" s="9"/>
      <c r="H975" s="9"/>
      <c r="I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395"/>
      <c r="X975" s="261"/>
      <c r="Y975" s="261"/>
      <c r="Z975" s="9"/>
      <c r="AA975" s="9"/>
      <c r="AB975" s="9"/>
      <c r="AC975" s="9"/>
      <c r="AD975" s="111"/>
      <c r="AE975" s="9"/>
      <c r="AF975" s="549"/>
    </row>
    <row r="976" spans="2:32" x14ac:dyDescent="0.3">
      <c r="B976" s="9"/>
      <c r="C976" s="9"/>
      <c r="D976" s="9"/>
      <c r="E976" s="9"/>
      <c r="F976" s="9"/>
      <c r="G976" s="9"/>
      <c r="H976" s="9"/>
      <c r="I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395"/>
      <c r="X976" s="261"/>
      <c r="Y976" s="261"/>
      <c r="Z976" s="9"/>
      <c r="AA976" s="9"/>
      <c r="AB976" s="9"/>
      <c r="AC976" s="9"/>
      <c r="AD976" s="111"/>
      <c r="AE976" s="9"/>
      <c r="AF976" s="549"/>
    </row>
    <row r="977" spans="2:32" x14ac:dyDescent="0.3">
      <c r="B977" s="9"/>
      <c r="C977" s="9"/>
      <c r="D977" s="9"/>
      <c r="E977" s="9"/>
      <c r="F977" s="9"/>
      <c r="G977" s="9"/>
      <c r="H977" s="9"/>
      <c r="I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395"/>
      <c r="X977" s="261"/>
      <c r="Y977" s="261"/>
      <c r="Z977" s="9"/>
      <c r="AA977" s="9"/>
      <c r="AB977" s="9"/>
      <c r="AC977" s="9"/>
      <c r="AD977" s="111"/>
      <c r="AE977" s="9"/>
      <c r="AF977" s="549"/>
    </row>
    <row r="978" spans="2:32" x14ac:dyDescent="0.3">
      <c r="B978" s="9"/>
      <c r="C978" s="9"/>
      <c r="D978" s="9"/>
      <c r="E978" s="9"/>
      <c r="F978" s="9"/>
      <c r="G978" s="9"/>
      <c r="H978" s="9"/>
      <c r="I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395"/>
      <c r="X978" s="261"/>
      <c r="Y978" s="261"/>
      <c r="Z978" s="9"/>
      <c r="AA978" s="9"/>
      <c r="AB978" s="9"/>
      <c r="AC978" s="9"/>
      <c r="AD978" s="111"/>
      <c r="AE978" s="9"/>
      <c r="AF978" s="549"/>
    </row>
    <row r="979" spans="2:32" x14ac:dyDescent="0.3">
      <c r="B979" s="9"/>
      <c r="C979" s="9"/>
      <c r="D979" s="9"/>
      <c r="E979" s="9"/>
      <c r="F979" s="9"/>
      <c r="G979" s="9"/>
      <c r="H979" s="9"/>
      <c r="I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395"/>
      <c r="X979" s="261"/>
      <c r="Y979" s="261"/>
      <c r="Z979" s="9"/>
      <c r="AA979" s="9"/>
      <c r="AB979" s="9"/>
      <c r="AC979" s="9"/>
      <c r="AD979" s="111"/>
      <c r="AE979" s="9"/>
      <c r="AF979" s="549"/>
    </row>
    <row r="980" spans="2:32" x14ac:dyDescent="0.3">
      <c r="B980" s="9"/>
      <c r="C980" s="9"/>
      <c r="D980" s="9"/>
      <c r="E980" s="9"/>
      <c r="F980" s="9"/>
      <c r="G980" s="9"/>
      <c r="H980" s="9"/>
      <c r="I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395"/>
      <c r="X980" s="261"/>
      <c r="Y980" s="261"/>
      <c r="Z980" s="9"/>
      <c r="AA980" s="9"/>
      <c r="AB980" s="9"/>
      <c r="AC980" s="9"/>
      <c r="AD980" s="111"/>
      <c r="AE980" s="9"/>
      <c r="AF980" s="549"/>
    </row>
    <row r="981" spans="2:32" x14ac:dyDescent="0.3">
      <c r="B981" s="9"/>
      <c r="C981" s="9"/>
      <c r="D981" s="9"/>
      <c r="E981" s="9"/>
      <c r="F981" s="9"/>
      <c r="G981" s="9"/>
      <c r="H981" s="9"/>
      <c r="I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395"/>
      <c r="X981" s="261"/>
      <c r="Y981" s="261"/>
      <c r="Z981" s="9"/>
      <c r="AA981" s="9"/>
      <c r="AB981" s="9"/>
      <c r="AC981" s="9"/>
      <c r="AD981" s="111"/>
      <c r="AE981" s="9"/>
      <c r="AF981" s="549"/>
    </row>
    <row r="982" spans="2:32" x14ac:dyDescent="0.3">
      <c r="B982" s="9"/>
      <c r="C982" s="9"/>
      <c r="D982" s="9"/>
      <c r="E982" s="9"/>
      <c r="F982" s="9"/>
      <c r="G982" s="9"/>
      <c r="H982" s="9"/>
      <c r="I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395"/>
      <c r="X982" s="261"/>
      <c r="Y982" s="261"/>
      <c r="Z982" s="9"/>
      <c r="AA982" s="9"/>
      <c r="AB982" s="9"/>
      <c r="AC982" s="9"/>
      <c r="AD982" s="111"/>
      <c r="AE982" s="9"/>
      <c r="AF982" s="549"/>
    </row>
    <row r="983" spans="2:32" x14ac:dyDescent="0.3">
      <c r="B983" s="9"/>
      <c r="C983" s="9"/>
      <c r="D983" s="9"/>
      <c r="E983" s="9"/>
      <c r="F983" s="9"/>
      <c r="G983" s="9"/>
      <c r="H983" s="9"/>
      <c r="I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395"/>
      <c r="X983" s="261"/>
      <c r="Y983" s="261"/>
      <c r="Z983" s="9"/>
      <c r="AA983" s="9"/>
      <c r="AB983" s="9"/>
      <c r="AC983" s="9"/>
      <c r="AD983" s="111"/>
      <c r="AE983" s="9"/>
      <c r="AF983" s="549"/>
    </row>
    <row r="984" spans="2:32" x14ac:dyDescent="0.3">
      <c r="B984" s="9"/>
      <c r="C984" s="9"/>
      <c r="D984" s="9"/>
      <c r="E984" s="9"/>
      <c r="F984" s="9"/>
      <c r="G984" s="9"/>
      <c r="H984" s="9"/>
      <c r="I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395"/>
      <c r="X984" s="261"/>
      <c r="Y984" s="261"/>
      <c r="Z984" s="9"/>
      <c r="AA984" s="9"/>
      <c r="AB984" s="9"/>
      <c r="AC984" s="9"/>
      <c r="AD984" s="111"/>
      <c r="AE984" s="9"/>
      <c r="AF984" s="549"/>
    </row>
    <row r="985" spans="2:32" x14ac:dyDescent="0.3">
      <c r="B985" s="9"/>
      <c r="C985" s="9"/>
      <c r="D985" s="9"/>
      <c r="E985" s="9"/>
      <c r="F985" s="9"/>
      <c r="G985" s="9"/>
      <c r="H985" s="9"/>
      <c r="I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395"/>
      <c r="X985" s="261"/>
      <c r="Y985" s="261"/>
      <c r="Z985" s="9"/>
      <c r="AA985" s="9"/>
      <c r="AB985" s="9"/>
      <c r="AC985" s="9"/>
      <c r="AD985" s="111"/>
      <c r="AE985" s="9"/>
      <c r="AF985" s="549"/>
    </row>
    <row r="986" spans="2:32" x14ac:dyDescent="0.3">
      <c r="B986" s="9"/>
      <c r="C986" s="9"/>
      <c r="D986" s="9"/>
      <c r="E986" s="9"/>
      <c r="F986" s="9"/>
      <c r="G986" s="9"/>
      <c r="H986" s="9"/>
      <c r="I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395"/>
      <c r="X986" s="261"/>
      <c r="Y986" s="261"/>
      <c r="Z986" s="9"/>
      <c r="AA986" s="9"/>
      <c r="AB986" s="9"/>
      <c r="AC986" s="9"/>
      <c r="AD986" s="111"/>
      <c r="AE986" s="9"/>
      <c r="AF986" s="549"/>
    </row>
    <row r="987" spans="2:32" x14ac:dyDescent="0.3">
      <c r="B987" s="9"/>
      <c r="C987" s="9"/>
      <c r="D987" s="9"/>
      <c r="E987" s="9"/>
      <c r="F987" s="9"/>
      <c r="G987" s="9"/>
      <c r="H987" s="9"/>
      <c r="I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395"/>
      <c r="X987" s="261"/>
      <c r="Y987" s="261"/>
      <c r="Z987" s="9"/>
      <c r="AA987" s="9"/>
      <c r="AB987" s="9"/>
      <c r="AC987" s="9"/>
      <c r="AD987" s="111"/>
      <c r="AE987" s="9"/>
      <c r="AF987" s="549"/>
    </row>
    <row r="988" spans="2:32" x14ac:dyDescent="0.3">
      <c r="B988" s="9"/>
      <c r="C988" s="9"/>
      <c r="D988" s="9"/>
      <c r="E988" s="9"/>
      <c r="F988" s="9"/>
      <c r="G988" s="9"/>
      <c r="H988" s="9"/>
      <c r="I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395"/>
      <c r="X988" s="261"/>
      <c r="Y988" s="261"/>
      <c r="Z988" s="9"/>
      <c r="AA988" s="9"/>
      <c r="AB988" s="9"/>
      <c r="AC988" s="9"/>
      <c r="AD988" s="111"/>
      <c r="AE988" s="9"/>
      <c r="AF988" s="549"/>
    </row>
    <row r="989" spans="2:32" x14ac:dyDescent="0.3">
      <c r="B989" s="9"/>
      <c r="C989" s="9"/>
      <c r="D989" s="9"/>
      <c r="E989" s="9"/>
      <c r="F989" s="9"/>
      <c r="G989" s="9"/>
      <c r="H989" s="9"/>
      <c r="I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395"/>
      <c r="X989" s="261"/>
      <c r="Y989" s="261"/>
      <c r="Z989" s="9"/>
      <c r="AA989" s="9"/>
      <c r="AB989" s="9"/>
      <c r="AC989" s="9"/>
      <c r="AD989" s="111"/>
      <c r="AE989" s="9"/>
      <c r="AF989" s="549"/>
    </row>
    <row r="990" spans="2:32" x14ac:dyDescent="0.3">
      <c r="B990" s="9"/>
      <c r="C990" s="9"/>
      <c r="D990" s="9"/>
      <c r="E990" s="9"/>
      <c r="F990" s="9"/>
      <c r="G990" s="9"/>
      <c r="H990" s="9"/>
      <c r="I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395"/>
      <c r="X990" s="261"/>
      <c r="Y990" s="261"/>
      <c r="Z990" s="9"/>
      <c r="AA990" s="9"/>
      <c r="AB990" s="9"/>
      <c r="AC990" s="9"/>
      <c r="AD990" s="111"/>
      <c r="AE990" s="9"/>
      <c r="AF990" s="549"/>
    </row>
    <row r="991" spans="2:32" x14ac:dyDescent="0.3">
      <c r="B991" s="9"/>
      <c r="C991" s="9"/>
      <c r="D991" s="9"/>
      <c r="E991" s="9"/>
      <c r="F991" s="9"/>
      <c r="G991" s="9"/>
      <c r="H991" s="9"/>
      <c r="I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395"/>
      <c r="X991" s="261"/>
      <c r="Y991" s="261"/>
      <c r="Z991" s="9"/>
      <c r="AA991" s="9"/>
      <c r="AB991" s="9"/>
      <c r="AC991" s="9"/>
      <c r="AD991" s="111"/>
      <c r="AE991" s="9"/>
      <c r="AF991" s="549"/>
    </row>
    <row r="992" spans="2:32" x14ac:dyDescent="0.3">
      <c r="B992" s="9"/>
      <c r="C992" s="9"/>
      <c r="D992" s="9"/>
      <c r="E992" s="9"/>
      <c r="F992" s="9"/>
      <c r="G992" s="9"/>
      <c r="H992" s="9"/>
      <c r="I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395"/>
      <c r="X992" s="261"/>
      <c r="Y992" s="261"/>
      <c r="Z992" s="9"/>
      <c r="AA992" s="9"/>
      <c r="AB992" s="9"/>
      <c r="AC992" s="9"/>
      <c r="AD992" s="111"/>
      <c r="AE992" s="9"/>
      <c r="AF992" s="549"/>
    </row>
    <row r="993" spans="2:32" x14ac:dyDescent="0.3">
      <c r="B993" s="9"/>
      <c r="C993" s="9"/>
      <c r="D993" s="9"/>
      <c r="E993" s="9"/>
      <c r="F993" s="9"/>
      <c r="G993" s="9"/>
      <c r="H993" s="9"/>
      <c r="I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395"/>
      <c r="X993" s="261"/>
      <c r="Y993" s="261"/>
      <c r="Z993" s="9"/>
      <c r="AA993" s="9"/>
      <c r="AB993" s="9"/>
      <c r="AC993" s="9"/>
      <c r="AD993" s="111"/>
      <c r="AE993" s="9"/>
      <c r="AF993" s="549"/>
    </row>
    <row r="994" spans="2:32" x14ac:dyDescent="0.3">
      <c r="B994" s="9"/>
      <c r="C994" s="9"/>
      <c r="D994" s="9"/>
      <c r="E994" s="9"/>
      <c r="F994" s="9"/>
      <c r="G994" s="9"/>
      <c r="H994" s="9"/>
      <c r="I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395"/>
      <c r="X994" s="261"/>
      <c r="Y994" s="261"/>
      <c r="Z994" s="9"/>
      <c r="AA994" s="9"/>
      <c r="AB994" s="9"/>
      <c r="AC994" s="9"/>
      <c r="AD994" s="111"/>
      <c r="AE994" s="9"/>
      <c r="AF994" s="549"/>
    </row>
    <row r="995" spans="2:32" x14ac:dyDescent="0.3">
      <c r="B995" s="9"/>
      <c r="C995" s="9"/>
      <c r="D995" s="9"/>
      <c r="E995" s="9"/>
      <c r="F995" s="9"/>
      <c r="G995" s="9"/>
      <c r="H995" s="9"/>
      <c r="I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395"/>
      <c r="X995" s="261"/>
      <c r="Y995" s="261"/>
      <c r="Z995" s="9"/>
      <c r="AA995" s="9"/>
      <c r="AB995" s="9"/>
      <c r="AC995" s="9"/>
      <c r="AD995" s="111"/>
      <c r="AE995" s="9"/>
      <c r="AF995" s="549"/>
    </row>
    <row r="996" spans="2:32" x14ac:dyDescent="0.3">
      <c r="B996" s="9"/>
      <c r="C996" s="9"/>
      <c r="D996" s="9"/>
      <c r="E996" s="9"/>
      <c r="F996" s="9"/>
      <c r="G996" s="9"/>
      <c r="H996" s="9"/>
      <c r="I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395"/>
      <c r="X996" s="261"/>
      <c r="Y996" s="261"/>
      <c r="Z996" s="9"/>
      <c r="AA996" s="9"/>
      <c r="AB996" s="9"/>
      <c r="AC996" s="9"/>
      <c r="AD996" s="111"/>
      <c r="AE996" s="9"/>
      <c r="AF996" s="549"/>
    </row>
    <row r="997" spans="2:32" x14ac:dyDescent="0.3">
      <c r="B997" s="9"/>
      <c r="C997" s="9"/>
      <c r="D997" s="9"/>
      <c r="E997" s="9"/>
      <c r="F997" s="9"/>
      <c r="G997" s="9"/>
      <c r="H997" s="9"/>
      <c r="I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395"/>
      <c r="X997" s="261"/>
      <c r="Y997" s="261"/>
      <c r="Z997" s="9"/>
      <c r="AA997" s="9"/>
      <c r="AB997" s="9"/>
      <c r="AC997" s="9"/>
      <c r="AD997" s="111"/>
      <c r="AE997" s="9"/>
      <c r="AF997" s="549"/>
    </row>
    <row r="998" spans="2:32" x14ac:dyDescent="0.3">
      <c r="B998" s="9"/>
      <c r="C998" s="9"/>
      <c r="D998" s="9"/>
      <c r="E998" s="9"/>
      <c r="F998" s="9"/>
      <c r="G998" s="9"/>
      <c r="H998" s="9"/>
      <c r="I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395"/>
      <c r="X998" s="261"/>
      <c r="Y998" s="261"/>
      <c r="Z998" s="9"/>
      <c r="AA998" s="9"/>
      <c r="AB998" s="9"/>
      <c r="AC998" s="9"/>
      <c r="AD998" s="111"/>
      <c r="AE998" s="9"/>
      <c r="AF998" s="549"/>
    </row>
    <row r="999" spans="2:32" x14ac:dyDescent="0.3">
      <c r="B999" s="9"/>
      <c r="C999" s="9"/>
      <c r="D999" s="9"/>
      <c r="E999" s="9"/>
      <c r="F999" s="9"/>
      <c r="G999" s="9"/>
      <c r="H999" s="9"/>
      <c r="I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395"/>
      <c r="X999" s="261"/>
      <c r="Y999" s="261"/>
      <c r="Z999" s="9"/>
      <c r="AA999" s="9"/>
      <c r="AB999" s="9"/>
      <c r="AC999" s="9"/>
      <c r="AD999" s="111"/>
      <c r="AE999" s="9"/>
      <c r="AF999" s="549"/>
    </row>
    <row r="1000" spans="2:32" x14ac:dyDescent="0.3">
      <c r="B1000" s="9"/>
      <c r="C1000" s="9"/>
      <c r="D1000" s="9"/>
      <c r="E1000" s="9"/>
      <c r="F1000" s="9"/>
      <c r="G1000" s="9"/>
      <c r="H1000" s="9"/>
      <c r="I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395"/>
      <c r="X1000" s="261"/>
      <c r="Y1000" s="261"/>
      <c r="Z1000" s="9"/>
      <c r="AA1000" s="9"/>
      <c r="AB1000" s="9"/>
      <c r="AC1000" s="9"/>
      <c r="AD1000" s="111"/>
      <c r="AE1000" s="9"/>
      <c r="AF1000" s="549"/>
    </row>
    <row r="1001" spans="2:32" x14ac:dyDescent="0.3">
      <c r="B1001" s="9"/>
      <c r="C1001" s="9"/>
      <c r="D1001" s="9"/>
      <c r="E1001" s="9"/>
      <c r="F1001" s="9"/>
      <c r="G1001" s="9"/>
      <c r="H1001" s="9"/>
      <c r="I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395"/>
      <c r="X1001" s="261"/>
      <c r="Y1001" s="261"/>
      <c r="Z1001" s="9"/>
      <c r="AA1001" s="9"/>
      <c r="AB1001" s="9"/>
      <c r="AC1001" s="9"/>
      <c r="AD1001" s="111"/>
      <c r="AE1001" s="9"/>
      <c r="AF1001" s="549"/>
    </row>
    <row r="1002" spans="2:32" x14ac:dyDescent="0.3">
      <c r="B1002" s="9"/>
      <c r="C1002" s="9"/>
      <c r="D1002" s="9"/>
      <c r="E1002" s="9"/>
      <c r="F1002" s="9"/>
      <c r="G1002" s="9"/>
      <c r="H1002" s="9"/>
      <c r="I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395"/>
      <c r="X1002" s="261"/>
      <c r="Y1002" s="261"/>
      <c r="Z1002" s="9"/>
      <c r="AA1002" s="9"/>
      <c r="AB1002" s="9"/>
      <c r="AC1002" s="9"/>
      <c r="AD1002" s="111"/>
      <c r="AE1002" s="9"/>
      <c r="AF1002" s="549"/>
    </row>
    <row r="1003" spans="2:32" x14ac:dyDescent="0.3">
      <c r="B1003" s="9"/>
      <c r="C1003" s="9"/>
      <c r="D1003" s="9"/>
      <c r="E1003" s="9"/>
      <c r="F1003" s="9"/>
      <c r="G1003" s="9"/>
      <c r="H1003" s="9"/>
      <c r="I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395"/>
      <c r="X1003" s="261"/>
      <c r="Y1003" s="261"/>
      <c r="Z1003" s="9"/>
      <c r="AA1003" s="9"/>
      <c r="AB1003" s="9"/>
      <c r="AC1003" s="9"/>
      <c r="AD1003" s="111"/>
      <c r="AE1003" s="9"/>
      <c r="AF1003" s="549"/>
    </row>
    <row r="1004" spans="2:32" x14ac:dyDescent="0.3">
      <c r="B1004" s="9"/>
      <c r="C1004" s="9"/>
      <c r="D1004" s="9"/>
      <c r="E1004" s="9"/>
      <c r="F1004" s="9"/>
      <c r="G1004" s="9"/>
      <c r="H1004" s="9"/>
      <c r="I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395"/>
      <c r="X1004" s="261"/>
      <c r="Y1004" s="261"/>
      <c r="Z1004" s="9"/>
      <c r="AA1004" s="9"/>
      <c r="AB1004" s="9"/>
      <c r="AC1004" s="9"/>
      <c r="AD1004" s="111"/>
      <c r="AE1004" s="9"/>
      <c r="AF1004" s="549"/>
    </row>
    <row r="1005" spans="2:32" x14ac:dyDescent="0.3">
      <c r="B1005" s="9"/>
      <c r="C1005" s="9"/>
      <c r="D1005" s="9"/>
      <c r="E1005" s="9"/>
      <c r="F1005" s="9"/>
      <c r="G1005" s="9"/>
      <c r="H1005" s="9"/>
      <c r="I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395"/>
      <c r="X1005" s="261"/>
      <c r="Y1005" s="261"/>
      <c r="Z1005" s="9"/>
      <c r="AA1005" s="9"/>
      <c r="AB1005" s="9"/>
      <c r="AC1005" s="9"/>
      <c r="AD1005" s="111"/>
      <c r="AE1005" s="9"/>
      <c r="AF1005" s="549"/>
    </row>
    <row r="1006" spans="2:32" x14ac:dyDescent="0.3">
      <c r="B1006" s="9"/>
      <c r="C1006" s="9"/>
      <c r="D1006" s="9"/>
      <c r="E1006" s="9"/>
      <c r="F1006" s="9"/>
      <c r="G1006" s="9"/>
      <c r="H1006" s="9"/>
      <c r="I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395"/>
      <c r="X1006" s="261"/>
      <c r="Y1006" s="261"/>
      <c r="Z1006" s="9"/>
      <c r="AA1006" s="9"/>
      <c r="AB1006" s="9"/>
      <c r="AC1006" s="9"/>
      <c r="AD1006" s="111"/>
      <c r="AE1006" s="9"/>
      <c r="AF1006" s="549"/>
    </row>
    <row r="1007" spans="2:32" x14ac:dyDescent="0.3">
      <c r="B1007" s="9"/>
      <c r="C1007" s="9"/>
      <c r="D1007" s="9"/>
      <c r="E1007" s="9"/>
      <c r="F1007" s="9"/>
      <c r="G1007" s="9"/>
      <c r="H1007" s="9"/>
      <c r="I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395"/>
      <c r="X1007" s="261"/>
      <c r="Y1007" s="261"/>
      <c r="Z1007" s="9"/>
      <c r="AA1007" s="9"/>
      <c r="AB1007" s="9"/>
      <c r="AC1007" s="9"/>
      <c r="AD1007" s="111"/>
      <c r="AE1007" s="9"/>
      <c r="AF1007" s="549"/>
    </row>
    <row r="1008" spans="2:32" x14ac:dyDescent="0.3">
      <c r="B1008" s="9"/>
      <c r="C1008" s="9"/>
      <c r="D1008" s="9"/>
      <c r="E1008" s="9"/>
      <c r="F1008" s="9"/>
      <c r="G1008" s="9"/>
      <c r="H1008" s="9"/>
      <c r="I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395"/>
      <c r="X1008" s="261"/>
      <c r="Y1008" s="261"/>
      <c r="Z1008" s="9"/>
      <c r="AA1008" s="9"/>
      <c r="AB1008" s="9"/>
      <c r="AC1008" s="9"/>
      <c r="AD1008" s="111"/>
      <c r="AE1008" s="9"/>
      <c r="AF1008" s="549"/>
    </row>
    <row r="1009" spans="2:32" x14ac:dyDescent="0.3">
      <c r="B1009" s="9"/>
      <c r="C1009" s="9"/>
      <c r="D1009" s="9"/>
      <c r="E1009" s="9"/>
      <c r="F1009" s="9"/>
      <c r="G1009" s="9"/>
      <c r="H1009" s="9"/>
      <c r="I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395"/>
      <c r="X1009" s="261"/>
      <c r="Y1009" s="261"/>
      <c r="Z1009" s="9"/>
      <c r="AA1009" s="9"/>
      <c r="AB1009" s="9"/>
      <c r="AC1009" s="9"/>
      <c r="AD1009" s="111"/>
      <c r="AE1009" s="9"/>
      <c r="AF1009" s="549"/>
    </row>
    <row r="1010" spans="2:32" x14ac:dyDescent="0.3">
      <c r="B1010" s="9"/>
      <c r="C1010" s="9"/>
      <c r="D1010" s="9"/>
      <c r="E1010" s="9"/>
      <c r="F1010" s="9"/>
      <c r="G1010" s="9"/>
      <c r="H1010" s="9"/>
      <c r="I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395"/>
      <c r="X1010" s="261"/>
      <c r="Y1010" s="261"/>
      <c r="Z1010" s="9"/>
      <c r="AA1010" s="9"/>
      <c r="AB1010" s="9"/>
      <c r="AC1010" s="9"/>
      <c r="AD1010" s="111"/>
      <c r="AE1010" s="9"/>
      <c r="AF1010" s="549"/>
    </row>
    <row r="1011" spans="2:32" x14ac:dyDescent="0.3">
      <c r="B1011" s="9"/>
      <c r="C1011" s="9"/>
      <c r="D1011" s="9"/>
      <c r="E1011" s="9"/>
      <c r="F1011" s="9"/>
      <c r="G1011" s="9"/>
      <c r="H1011" s="9"/>
      <c r="I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395"/>
      <c r="X1011" s="261"/>
      <c r="Y1011" s="261"/>
      <c r="Z1011" s="9"/>
      <c r="AA1011" s="9"/>
      <c r="AB1011" s="9"/>
      <c r="AC1011" s="9"/>
      <c r="AD1011" s="111"/>
      <c r="AE1011" s="9"/>
      <c r="AF1011" s="549"/>
    </row>
    <row r="1012" spans="2:32" x14ac:dyDescent="0.3">
      <c r="B1012" s="9"/>
      <c r="C1012" s="9"/>
      <c r="D1012" s="9"/>
      <c r="E1012" s="9"/>
      <c r="F1012" s="9"/>
      <c r="G1012" s="9"/>
      <c r="H1012" s="9"/>
      <c r="I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395"/>
      <c r="X1012" s="261"/>
      <c r="Y1012" s="261"/>
      <c r="Z1012" s="9"/>
      <c r="AA1012" s="9"/>
      <c r="AB1012" s="9"/>
      <c r="AC1012" s="9"/>
      <c r="AD1012" s="111"/>
      <c r="AE1012" s="9"/>
      <c r="AF1012" s="549"/>
    </row>
    <row r="1013" spans="2:32" x14ac:dyDescent="0.3">
      <c r="B1013" s="9"/>
      <c r="C1013" s="9"/>
      <c r="D1013" s="9"/>
      <c r="E1013" s="9"/>
      <c r="F1013" s="9"/>
      <c r="G1013" s="9"/>
      <c r="H1013" s="9"/>
      <c r="I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395"/>
      <c r="X1013" s="261"/>
      <c r="Y1013" s="261"/>
      <c r="Z1013" s="9"/>
      <c r="AA1013" s="9"/>
      <c r="AB1013" s="9"/>
      <c r="AC1013" s="9"/>
      <c r="AD1013" s="111"/>
      <c r="AE1013" s="9"/>
      <c r="AF1013" s="549"/>
    </row>
    <row r="1014" spans="2:32" x14ac:dyDescent="0.3">
      <c r="B1014" s="9"/>
      <c r="C1014" s="9"/>
      <c r="D1014" s="9"/>
      <c r="E1014" s="9"/>
      <c r="F1014" s="9"/>
      <c r="G1014" s="9"/>
      <c r="H1014" s="9"/>
      <c r="I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395"/>
      <c r="X1014" s="261"/>
      <c r="Y1014" s="261"/>
      <c r="Z1014" s="9"/>
      <c r="AA1014" s="9"/>
      <c r="AB1014" s="9"/>
      <c r="AC1014" s="9"/>
      <c r="AD1014" s="111"/>
      <c r="AE1014" s="9"/>
      <c r="AF1014" s="549"/>
    </row>
    <row r="1015" spans="2:32" x14ac:dyDescent="0.3">
      <c r="B1015" s="9"/>
      <c r="C1015" s="9"/>
      <c r="D1015" s="9"/>
      <c r="E1015" s="9"/>
      <c r="F1015" s="9"/>
      <c r="G1015" s="9"/>
      <c r="H1015" s="9"/>
      <c r="I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395"/>
      <c r="X1015" s="261"/>
      <c r="Y1015" s="261"/>
      <c r="Z1015" s="9"/>
      <c r="AA1015" s="9"/>
      <c r="AB1015" s="9"/>
      <c r="AC1015" s="9"/>
      <c r="AD1015" s="111"/>
      <c r="AE1015" s="9"/>
      <c r="AF1015" s="549"/>
    </row>
    <row r="1016" spans="2:32" x14ac:dyDescent="0.3">
      <c r="B1016" s="9"/>
      <c r="C1016" s="9"/>
      <c r="D1016" s="9"/>
      <c r="E1016" s="9"/>
      <c r="F1016" s="9"/>
      <c r="G1016" s="9"/>
      <c r="H1016" s="9"/>
      <c r="I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395"/>
      <c r="X1016" s="261"/>
      <c r="Y1016" s="261"/>
      <c r="Z1016" s="9"/>
      <c r="AA1016" s="9"/>
      <c r="AB1016" s="9"/>
      <c r="AC1016" s="9"/>
      <c r="AD1016" s="111"/>
      <c r="AE1016" s="9"/>
      <c r="AF1016" s="549"/>
    </row>
    <row r="1017" spans="2:32" x14ac:dyDescent="0.3">
      <c r="B1017" s="9"/>
      <c r="C1017" s="9"/>
      <c r="D1017" s="9"/>
      <c r="E1017" s="9"/>
      <c r="F1017" s="9"/>
      <c r="G1017" s="9"/>
      <c r="H1017" s="9"/>
      <c r="I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395"/>
      <c r="X1017" s="261"/>
      <c r="Y1017" s="261"/>
      <c r="Z1017" s="9"/>
      <c r="AA1017" s="9"/>
      <c r="AB1017" s="9"/>
      <c r="AC1017" s="9"/>
      <c r="AD1017" s="111"/>
      <c r="AE1017" s="9"/>
      <c r="AF1017" s="549"/>
    </row>
    <row r="1018" spans="2:32" x14ac:dyDescent="0.3">
      <c r="B1018" s="9"/>
      <c r="C1018" s="9"/>
      <c r="D1018" s="9"/>
      <c r="E1018" s="9"/>
      <c r="F1018" s="9"/>
      <c r="G1018" s="9"/>
      <c r="H1018" s="9"/>
      <c r="I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395"/>
      <c r="X1018" s="261"/>
      <c r="Y1018" s="261"/>
      <c r="Z1018" s="9"/>
      <c r="AA1018" s="9"/>
      <c r="AB1018" s="9"/>
      <c r="AC1018" s="9"/>
      <c r="AD1018" s="111"/>
      <c r="AE1018" s="9"/>
      <c r="AF1018" s="549"/>
    </row>
    <row r="1019" spans="2:32" x14ac:dyDescent="0.3">
      <c r="B1019" s="9"/>
      <c r="C1019" s="9"/>
      <c r="D1019" s="9"/>
      <c r="E1019" s="9"/>
      <c r="F1019" s="9"/>
      <c r="G1019" s="9"/>
      <c r="H1019" s="9"/>
      <c r="I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395"/>
      <c r="X1019" s="261"/>
      <c r="Y1019" s="261"/>
      <c r="Z1019" s="9"/>
      <c r="AA1019" s="9"/>
      <c r="AB1019" s="9"/>
      <c r="AC1019" s="9"/>
      <c r="AD1019" s="111"/>
      <c r="AE1019" s="9"/>
      <c r="AF1019" s="549"/>
    </row>
    <row r="1020" spans="2:32" x14ac:dyDescent="0.3">
      <c r="B1020" s="9"/>
      <c r="C1020" s="9"/>
      <c r="D1020" s="9"/>
      <c r="E1020" s="9"/>
      <c r="F1020" s="9"/>
      <c r="G1020" s="9"/>
      <c r="H1020" s="9"/>
      <c r="I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395"/>
      <c r="X1020" s="261"/>
      <c r="Y1020" s="261"/>
      <c r="Z1020" s="9"/>
      <c r="AA1020" s="9"/>
      <c r="AB1020" s="9"/>
      <c r="AC1020" s="9"/>
      <c r="AD1020" s="111"/>
      <c r="AE1020" s="9"/>
      <c r="AF1020" s="549"/>
    </row>
    <row r="1021" spans="2:32" x14ac:dyDescent="0.3">
      <c r="B1021" s="9"/>
      <c r="C1021" s="9"/>
      <c r="D1021" s="9"/>
      <c r="E1021" s="9"/>
      <c r="F1021" s="9"/>
      <c r="G1021" s="9"/>
      <c r="H1021" s="9"/>
      <c r="I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395"/>
      <c r="X1021" s="261"/>
      <c r="Y1021" s="261"/>
      <c r="Z1021" s="9"/>
      <c r="AA1021" s="9"/>
      <c r="AB1021" s="9"/>
      <c r="AC1021" s="9"/>
      <c r="AD1021" s="111"/>
      <c r="AE1021" s="9"/>
      <c r="AF1021" s="549"/>
    </row>
    <row r="1022" spans="2:32" x14ac:dyDescent="0.3">
      <c r="B1022" s="9"/>
      <c r="C1022" s="9"/>
      <c r="D1022" s="9"/>
      <c r="E1022" s="9"/>
      <c r="F1022" s="9"/>
      <c r="G1022" s="9"/>
      <c r="H1022" s="9"/>
      <c r="I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395"/>
      <c r="X1022" s="261"/>
      <c r="Y1022" s="261"/>
      <c r="Z1022" s="9"/>
      <c r="AA1022" s="9"/>
      <c r="AB1022" s="9"/>
      <c r="AC1022" s="9"/>
      <c r="AD1022" s="111"/>
      <c r="AE1022" s="9"/>
      <c r="AF1022" s="549"/>
    </row>
    <row r="1023" spans="2:32" x14ac:dyDescent="0.3">
      <c r="B1023" s="9"/>
      <c r="C1023" s="9"/>
      <c r="D1023" s="9"/>
      <c r="E1023" s="9"/>
      <c r="F1023" s="9"/>
      <c r="G1023" s="9"/>
      <c r="H1023" s="9"/>
      <c r="I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395"/>
      <c r="X1023" s="261"/>
      <c r="Y1023" s="261"/>
      <c r="Z1023" s="9"/>
      <c r="AA1023" s="9"/>
      <c r="AB1023" s="9"/>
      <c r="AC1023" s="9"/>
      <c r="AD1023" s="111"/>
      <c r="AE1023" s="9"/>
      <c r="AF1023" s="549"/>
    </row>
    <row r="1024" spans="2:32" x14ac:dyDescent="0.3">
      <c r="B1024" s="9"/>
      <c r="C1024" s="9"/>
      <c r="D1024" s="9"/>
      <c r="E1024" s="9"/>
      <c r="F1024" s="9"/>
      <c r="G1024" s="9"/>
      <c r="H1024" s="9"/>
      <c r="I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395"/>
      <c r="X1024" s="261"/>
      <c r="Y1024" s="261"/>
      <c r="Z1024" s="9"/>
      <c r="AA1024" s="9"/>
      <c r="AB1024" s="9"/>
      <c r="AC1024" s="9"/>
      <c r="AD1024" s="111"/>
      <c r="AE1024" s="9"/>
      <c r="AF1024" s="549"/>
    </row>
    <row r="1025" spans="2:32" x14ac:dyDescent="0.3">
      <c r="B1025" s="9"/>
      <c r="C1025" s="9"/>
      <c r="D1025" s="9"/>
      <c r="E1025" s="9"/>
      <c r="F1025" s="9"/>
      <c r="G1025" s="9"/>
      <c r="H1025" s="9"/>
      <c r="I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395"/>
      <c r="X1025" s="261"/>
      <c r="Y1025" s="261"/>
      <c r="Z1025" s="9"/>
      <c r="AA1025" s="9"/>
      <c r="AB1025" s="9"/>
      <c r="AC1025" s="9"/>
      <c r="AD1025" s="111"/>
      <c r="AE1025" s="9"/>
      <c r="AF1025" s="549"/>
    </row>
    <row r="1026" spans="2:32" x14ac:dyDescent="0.3">
      <c r="B1026" s="9"/>
      <c r="C1026" s="9"/>
      <c r="D1026" s="9"/>
      <c r="E1026" s="9"/>
      <c r="F1026" s="9"/>
      <c r="G1026" s="9"/>
      <c r="H1026" s="9"/>
      <c r="I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395"/>
      <c r="X1026" s="261"/>
      <c r="Y1026" s="261"/>
      <c r="Z1026" s="9"/>
      <c r="AA1026" s="9"/>
      <c r="AB1026" s="9"/>
      <c r="AC1026" s="9"/>
      <c r="AD1026" s="111"/>
      <c r="AE1026" s="9"/>
      <c r="AF1026" s="549"/>
    </row>
    <row r="1027" spans="2:32" x14ac:dyDescent="0.3">
      <c r="B1027" s="9"/>
      <c r="C1027" s="9"/>
      <c r="D1027" s="9"/>
      <c r="E1027" s="9"/>
      <c r="F1027" s="9"/>
      <c r="G1027" s="9"/>
      <c r="H1027" s="9"/>
      <c r="I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395"/>
      <c r="X1027" s="261"/>
      <c r="Y1027" s="261"/>
      <c r="Z1027" s="9"/>
      <c r="AA1027" s="9"/>
      <c r="AB1027" s="9"/>
      <c r="AC1027" s="9"/>
      <c r="AD1027" s="111"/>
      <c r="AE1027" s="9"/>
      <c r="AF1027" s="549"/>
    </row>
    <row r="1028" spans="2:32" x14ac:dyDescent="0.3">
      <c r="B1028" s="9"/>
      <c r="C1028" s="9"/>
      <c r="D1028" s="9"/>
      <c r="E1028" s="9"/>
      <c r="F1028" s="9"/>
      <c r="G1028" s="9"/>
      <c r="H1028" s="9"/>
      <c r="I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395"/>
      <c r="X1028" s="261"/>
      <c r="Y1028" s="261"/>
      <c r="Z1028" s="9"/>
      <c r="AA1028" s="9"/>
      <c r="AB1028" s="9"/>
      <c r="AC1028" s="9"/>
      <c r="AD1028" s="111"/>
      <c r="AE1028" s="9"/>
      <c r="AF1028" s="549"/>
    </row>
    <row r="1029" spans="2:32" x14ac:dyDescent="0.3">
      <c r="B1029" s="9"/>
      <c r="C1029" s="9"/>
      <c r="D1029" s="9"/>
      <c r="E1029" s="9"/>
      <c r="F1029" s="9"/>
      <c r="G1029" s="9"/>
      <c r="H1029" s="9"/>
      <c r="I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395"/>
      <c r="X1029" s="261"/>
      <c r="Y1029" s="261"/>
      <c r="Z1029" s="9"/>
      <c r="AA1029" s="9"/>
      <c r="AB1029" s="9"/>
      <c r="AC1029" s="9"/>
      <c r="AD1029" s="111"/>
      <c r="AE1029" s="9"/>
      <c r="AF1029" s="549"/>
    </row>
    <row r="1030" spans="2:32" x14ac:dyDescent="0.3">
      <c r="B1030" s="9"/>
      <c r="C1030" s="9"/>
      <c r="D1030" s="9"/>
      <c r="E1030" s="9"/>
      <c r="F1030" s="9"/>
      <c r="G1030" s="9"/>
      <c r="H1030" s="9"/>
      <c r="I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395"/>
      <c r="X1030" s="261"/>
      <c r="Y1030" s="261"/>
      <c r="Z1030" s="9"/>
      <c r="AA1030" s="9"/>
      <c r="AB1030" s="9"/>
      <c r="AC1030" s="9"/>
      <c r="AD1030" s="111"/>
      <c r="AE1030" s="9"/>
      <c r="AF1030" s="549"/>
    </row>
    <row r="1031" spans="2:32" x14ac:dyDescent="0.3">
      <c r="B1031" s="9"/>
      <c r="C1031" s="9"/>
      <c r="D1031" s="9"/>
      <c r="E1031" s="9"/>
      <c r="F1031" s="9"/>
      <c r="G1031" s="9"/>
      <c r="H1031" s="9"/>
      <c r="I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395"/>
      <c r="X1031" s="261"/>
      <c r="Y1031" s="261"/>
      <c r="Z1031" s="9"/>
      <c r="AA1031" s="9"/>
      <c r="AB1031" s="9"/>
      <c r="AC1031" s="9"/>
      <c r="AD1031" s="111"/>
      <c r="AE1031" s="9"/>
      <c r="AF1031" s="549"/>
    </row>
    <row r="1032" spans="2:32" x14ac:dyDescent="0.3">
      <c r="B1032" s="9"/>
      <c r="C1032" s="9"/>
      <c r="D1032" s="9"/>
      <c r="E1032" s="9"/>
      <c r="F1032" s="9"/>
      <c r="G1032" s="9"/>
      <c r="H1032" s="9"/>
      <c r="I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395"/>
      <c r="X1032" s="261"/>
      <c r="Y1032" s="261"/>
      <c r="Z1032" s="9"/>
      <c r="AA1032" s="9"/>
      <c r="AB1032" s="9"/>
      <c r="AC1032" s="9"/>
      <c r="AD1032" s="111"/>
      <c r="AE1032" s="9"/>
      <c r="AF1032" s="549"/>
    </row>
    <row r="1033" spans="2:32" x14ac:dyDescent="0.3">
      <c r="B1033" s="9"/>
      <c r="C1033" s="9"/>
      <c r="D1033" s="9"/>
      <c r="E1033" s="9"/>
      <c r="F1033" s="9"/>
      <c r="G1033" s="9"/>
      <c r="H1033" s="9"/>
      <c r="I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395"/>
      <c r="X1033" s="261"/>
      <c r="Y1033" s="261"/>
      <c r="Z1033" s="9"/>
      <c r="AA1033" s="9"/>
      <c r="AB1033" s="9"/>
      <c r="AC1033" s="9"/>
      <c r="AD1033" s="111"/>
      <c r="AE1033" s="9"/>
      <c r="AF1033" s="549"/>
    </row>
    <row r="1034" spans="2:32" x14ac:dyDescent="0.3">
      <c r="B1034" s="9"/>
      <c r="C1034" s="9"/>
      <c r="D1034" s="9"/>
      <c r="E1034" s="9"/>
      <c r="F1034" s="9"/>
      <c r="G1034" s="9"/>
      <c r="H1034" s="9"/>
      <c r="I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395"/>
      <c r="X1034" s="261"/>
      <c r="Y1034" s="261"/>
      <c r="Z1034" s="9"/>
      <c r="AA1034" s="9"/>
      <c r="AB1034" s="9"/>
      <c r="AC1034" s="9"/>
      <c r="AD1034" s="111"/>
      <c r="AE1034" s="9"/>
      <c r="AF1034" s="549"/>
    </row>
    <row r="1035" spans="2:32" x14ac:dyDescent="0.3">
      <c r="B1035" s="9"/>
      <c r="C1035" s="9"/>
      <c r="D1035" s="9"/>
      <c r="E1035" s="9"/>
      <c r="F1035" s="9"/>
      <c r="G1035" s="9"/>
      <c r="H1035" s="9"/>
      <c r="I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395"/>
      <c r="X1035" s="261"/>
      <c r="Y1035" s="261"/>
      <c r="Z1035" s="9"/>
      <c r="AA1035" s="9"/>
      <c r="AB1035" s="9"/>
      <c r="AC1035" s="9"/>
      <c r="AD1035" s="111"/>
      <c r="AE1035" s="9"/>
      <c r="AF1035" s="549"/>
    </row>
    <row r="1036" spans="2:32" x14ac:dyDescent="0.3">
      <c r="B1036" s="9"/>
      <c r="C1036" s="9"/>
      <c r="D1036" s="9"/>
      <c r="E1036" s="9"/>
      <c r="F1036" s="9"/>
      <c r="G1036" s="9"/>
      <c r="H1036" s="9"/>
      <c r="I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395"/>
      <c r="X1036" s="261"/>
      <c r="Y1036" s="261"/>
      <c r="Z1036" s="9"/>
      <c r="AA1036" s="9"/>
      <c r="AB1036" s="9"/>
      <c r="AC1036" s="9"/>
      <c r="AD1036" s="111"/>
      <c r="AE1036" s="9"/>
      <c r="AF1036" s="549"/>
    </row>
    <row r="1037" spans="2:32" x14ac:dyDescent="0.3">
      <c r="B1037" s="9"/>
      <c r="C1037" s="9"/>
      <c r="D1037" s="9"/>
      <c r="E1037" s="9"/>
      <c r="F1037" s="9"/>
      <c r="G1037" s="9"/>
      <c r="H1037" s="9"/>
      <c r="I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395"/>
      <c r="X1037" s="261"/>
      <c r="Y1037" s="261"/>
      <c r="Z1037" s="9"/>
      <c r="AA1037" s="9"/>
      <c r="AB1037" s="9"/>
      <c r="AC1037" s="9"/>
      <c r="AD1037" s="111"/>
      <c r="AE1037" s="9"/>
      <c r="AF1037" s="549"/>
    </row>
    <row r="1038" spans="2:32" x14ac:dyDescent="0.3">
      <c r="B1038" s="9"/>
      <c r="C1038" s="9"/>
      <c r="D1038" s="9"/>
      <c r="E1038" s="9"/>
      <c r="F1038" s="9"/>
      <c r="G1038" s="9"/>
      <c r="H1038" s="9"/>
      <c r="I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395"/>
      <c r="X1038" s="261"/>
      <c r="Y1038" s="261"/>
      <c r="Z1038" s="9"/>
      <c r="AA1038" s="9"/>
      <c r="AB1038" s="9"/>
      <c r="AC1038" s="9"/>
      <c r="AD1038" s="111"/>
      <c r="AE1038" s="9"/>
      <c r="AF1038" s="549"/>
    </row>
    <row r="1039" spans="2:32" x14ac:dyDescent="0.3">
      <c r="B1039" s="9"/>
      <c r="C1039" s="9"/>
      <c r="D1039" s="9"/>
      <c r="E1039" s="9"/>
      <c r="F1039" s="9"/>
      <c r="G1039" s="9"/>
      <c r="H1039" s="9"/>
      <c r="I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395"/>
      <c r="X1039" s="261"/>
      <c r="Y1039" s="261"/>
      <c r="Z1039" s="9"/>
      <c r="AA1039" s="9"/>
      <c r="AB1039" s="9"/>
      <c r="AC1039" s="9"/>
      <c r="AD1039" s="111"/>
      <c r="AE1039" s="9"/>
      <c r="AF1039" s="549"/>
    </row>
    <row r="1040" spans="2:32" x14ac:dyDescent="0.3">
      <c r="B1040" s="9"/>
      <c r="C1040" s="9"/>
      <c r="D1040" s="9"/>
      <c r="E1040" s="9"/>
      <c r="F1040" s="9"/>
      <c r="G1040" s="9"/>
      <c r="H1040" s="9"/>
      <c r="I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395"/>
      <c r="X1040" s="261"/>
      <c r="Y1040" s="261"/>
      <c r="Z1040" s="9"/>
      <c r="AA1040" s="9"/>
      <c r="AB1040" s="9"/>
      <c r="AC1040" s="9"/>
      <c r="AD1040" s="111"/>
      <c r="AE1040" s="9"/>
      <c r="AF1040" s="549"/>
    </row>
    <row r="1041" spans="2:32" x14ac:dyDescent="0.3">
      <c r="B1041" s="9"/>
      <c r="C1041" s="9"/>
      <c r="D1041" s="9"/>
      <c r="E1041" s="9"/>
      <c r="F1041" s="9"/>
      <c r="G1041" s="9"/>
      <c r="H1041" s="9"/>
      <c r="I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395"/>
      <c r="X1041" s="261"/>
      <c r="Y1041" s="261"/>
      <c r="Z1041" s="9"/>
      <c r="AA1041" s="9"/>
      <c r="AB1041" s="9"/>
      <c r="AC1041" s="9"/>
      <c r="AD1041" s="111"/>
      <c r="AE1041" s="9"/>
      <c r="AF1041" s="549"/>
    </row>
    <row r="1042" spans="2:32" x14ac:dyDescent="0.3">
      <c r="B1042" s="9"/>
      <c r="C1042" s="9"/>
      <c r="D1042" s="9"/>
      <c r="E1042" s="9"/>
      <c r="F1042" s="9"/>
      <c r="G1042" s="9"/>
      <c r="H1042" s="9"/>
      <c r="I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395"/>
      <c r="X1042" s="261"/>
      <c r="Y1042" s="261"/>
      <c r="Z1042" s="9"/>
      <c r="AA1042" s="9"/>
      <c r="AB1042" s="9"/>
      <c r="AC1042" s="9"/>
      <c r="AD1042" s="111"/>
      <c r="AE1042" s="9"/>
      <c r="AF1042" s="549"/>
    </row>
    <row r="1043" spans="2:32" x14ac:dyDescent="0.3">
      <c r="B1043" s="9"/>
      <c r="C1043" s="9"/>
      <c r="D1043" s="9"/>
      <c r="E1043" s="9"/>
      <c r="F1043" s="9"/>
      <c r="G1043" s="9"/>
      <c r="H1043" s="9"/>
      <c r="I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395"/>
      <c r="X1043" s="261"/>
      <c r="Y1043" s="261"/>
      <c r="Z1043" s="9"/>
      <c r="AA1043" s="9"/>
      <c r="AB1043" s="9"/>
      <c r="AC1043" s="9"/>
      <c r="AD1043" s="111"/>
      <c r="AE1043" s="9"/>
      <c r="AF1043" s="549"/>
    </row>
    <row r="1044" spans="2:32" x14ac:dyDescent="0.3">
      <c r="B1044" s="9"/>
      <c r="C1044" s="9"/>
      <c r="D1044" s="9"/>
      <c r="E1044" s="9"/>
      <c r="F1044" s="9"/>
      <c r="G1044" s="9"/>
      <c r="H1044" s="9"/>
      <c r="I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395"/>
      <c r="X1044" s="261"/>
      <c r="Y1044" s="261"/>
      <c r="Z1044" s="9"/>
      <c r="AA1044" s="9"/>
      <c r="AB1044" s="9"/>
      <c r="AC1044" s="9"/>
      <c r="AD1044" s="111"/>
      <c r="AE1044" s="9"/>
      <c r="AF1044" s="549"/>
    </row>
    <row r="1045" spans="2:32" x14ac:dyDescent="0.3">
      <c r="B1045" s="9"/>
      <c r="C1045" s="9"/>
      <c r="D1045" s="9"/>
      <c r="E1045" s="9"/>
      <c r="F1045" s="9"/>
      <c r="G1045" s="9"/>
      <c r="H1045" s="9"/>
      <c r="I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395"/>
      <c r="X1045" s="261"/>
      <c r="Y1045" s="261"/>
      <c r="Z1045" s="9"/>
      <c r="AA1045" s="9"/>
      <c r="AB1045" s="9"/>
      <c r="AC1045" s="9"/>
      <c r="AD1045" s="111"/>
      <c r="AE1045" s="9"/>
      <c r="AF1045" s="549"/>
    </row>
    <row r="1046" spans="2:32" x14ac:dyDescent="0.3">
      <c r="B1046" s="9"/>
      <c r="C1046" s="9"/>
      <c r="D1046" s="9"/>
      <c r="E1046" s="9"/>
      <c r="F1046" s="9"/>
      <c r="G1046" s="9"/>
      <c r="H1046" s="9"/>
      <c r="I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395"/>
      <c r="X1046" s="261"/>
      <c r="Y1046" s="261"/>
      <c r="Z1046" s="9"/>
      <c r="AA1046" s="9"/>
      <c r="AB1046" s="9"/>
      <c r="AC1046" s="9"/>
      <c r="AD1046" s="111"/>
      <c r="AE1046" s="9"/>
      <c r="AF1046" s="549"/>
    </row>
    <row r="1047" spans="2:32" x14ac:dyDescent="0.3">
      <c r="B1047" s="9"/>
      <c r="C1047" s="9"/>
      <c r="D1047" s="9"/>
      <c r="E1047" s="9"/>
      <c r="F1047" s="9"/>
      <c r="G1047" s="9"/>
      <c r="H1047" s="9"/>
      <c r="I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395"/>
      <c r="X1047" s="261"/>
      <c r="Y1047" s="261"/>
      <c r="Z1047" s="9"/>
      <c r="AA1047" s="9"/>
      <c r="AB1047" s="9"/>
      <c r="AC1047" s="9"/>
      <c r="AD1047" s="111"/>
      <c r="AE1047" s="9"/>
      <c r="AF1047" s="549"/>
    </row>
    <row r="1048" spans="2:32" x14ac:dyDescent="0.3">
      <c r="B1048" s="9"/>
      <c r="C1048" s="9"/>
      <c r="D1048" s="9"/>
      <c r="E1048" s="9"/>
      <c r="F1048" s="9"/>
      <c r="G1048" s="9"/>
      <c r="H1048" s="9"/>
      <c r="I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395"/>
      <c r="X1048" s="261"/>
      <c r="Y1048" s="261"/>
      <c r="Z1048" s="9"/>
      <c r="AA1048" s="9"/>
      <c r="AB1048" s="9"/>
      <c r="AC1048" s="9"/>
      <c r="AD1048" s="111"/>
      <c r="AE1048" s="9"/>
      <c r="AF1048" s="549"/>
    </row>
    <row r="1049" spans="2:32" x14ac:dyDescent="0.3">
      <c r="B1049" s="9"/>
      <c r="C1049" s="9"/>
      <c r="D1049" s="9"/>
      <c r="E1049" s="9"/>
      <c r="F1049" s="9"/>
      <c r="G1049" s="9"/>
      <c r="H1049" s="9"/>
      <c r="I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395"/>
      <c r="X1049" s="261"/>
      <c r="Y1049" s="261"/>
      <c r="Z1049" s="9"/>
      <c r="AA1049" s="9"/>
      <c r="AB1049" s="9"/>
      <c r="AC1049" s="9"/>
      <c r="AD1049" s="111"/>
      <c r="AE1049" s="9"/>
      <c r="AF1049" s="549"/>
    </row>
    <row r="1050" spans="2:32" x14ac:dyDescent="0.3">
      <c r="B1050" s="9"/>
      <c r="C1050" s="9"/>
      <c r="D1050" s="9"/>
      <c r="E1050" s="9"/>
      <c r="F1050" s="9"/>
      <c r="G1050" s="9"/>
      <c r="H1050" s="9"/>
      <c r="I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395"/>
      <c r="X1050" s="261"/>
      <c r="Y1050" s="261"/>
      <c r="Z1050" s="9"/>
      <c r="AA1050" s="9"/>
      <c r="AB1050" s="9"/>
      <c r="AC1050" s="9"/>
      <c r="AD1050" s="111"/>
      <c r="AE1050" s="9"/>
      <c r="AF1050" s="549"/>
    </row>
    <row r="1051" spans="2:32" x14ac:dyDescent="0.3">
      <c r="B1051" s="9"/>
      <c r="C1051" s="9"/>
      <c r="D1051" s="9"/>
      <c r="E1051" s="9"/>
      <c r="F1051" s="9"/>
      <c r="G1051" s="9"/>
      <c r="H1051" s="9"/>
      <c r="I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395"/>
      <c r="X1051" s="261"/>
      <c r="Y1051" s="261"/>
      <c r="Z1051" s="9"/>
      <c r="AA1051" s="9"/>
      <c r="AB1051" s="9"/>
      <c r="AC1051" s="9"/>
      <c r="AD1051" s="111"/>
      <c r="AE1051" s="9"/>
      <c r="AF1051" s="549"/>
    </row>
    <row r="1052" spans="2:32" x14ac:dyDescent="0.3">
      <c r="B1052" s="9"/>
      <c r="C1052" s="9"/>
      <c r="D1052" s="9"/>
      <c r="E1052" s="9"/>
      <c r="F1052" s="9"/>
      <c r="G1052" s="9"/>
      <c r="H1052" s="9"/>
      <c r="I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395"/>
      <c r="X1052" s="261"/>
      <c r="Y1052" s="261"/>
      <c r="Z1052" s="9"/>
      <c r="AA1052" s="9"/>
      <c r="AB1052" s="9"/>
      <c r="AC1052" s="9"/>
      <c r="AD1052" s="111"/>
      <c r="AE1052" s="9"/>
      <c r="AF1052" s="549"/>
    </row>
    <row r="1053" spans="2:32" x14ac:dyDescent="0.3">
      <c r="B1053" s="9"/>
      <c r="C1053" s="9"/>
      <c r="D1053" s="9"/>
      <c r="E1053" s="9"/>
      <c r="F1053" s="9"/>
      <c r="G1053" s="9"/>
      <c r="H1053" s="9"/>
      <c r="I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395"/>
      <c r="X1053" s="261"/>
      <c r="Y1053" s="261"/>
      <c r="Z1053" s="9"/>
      <c r="AA1053" s="9"/>
      <c r="AB1053" s="9"/>
      <c r="AC1053" s="9"/>
      <c r="AD1053" s="111"/>
      <c r="AE1053" s="9"/>
      <c r="AF1053" s="549"/>
    </row>
    <row r="1054" spans="2:32" x14ac:dyDescent="0.3">
      <c r="B1054" s="9"/>
      <c r="C1054" s="9"/>
      <c r="D1054" s="9"/>
      <c r="E1054" s="9"/>
      <c r="F1054" s="9"/>
      <c r="G1054" s="9"/>
      <c r="H1054" s="9"/>
      <c r="I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395"/>
      <c r="X1054" s="261"/>
      <c r="Y1054" s="261"/>
      <c r="Z1054" s="9"/>
      <c r="AA1054" s="9"/>
      <c r="AB1054" s="9"/>
      <c r="AC1054" s="9"/>
      <c r="AD1054" s="111"/>
      <c r="AE1054" s="9"/>
      <c r="AF1054" s="549"/>
    </row>
    <row r="1055" spans="2:32" x14ac:dyDescent="0.3">
      <c r="B1055" s="9"/>
      <c r="C1055" s="9"/>
      <c r="D1055" s="9"/>
      <c r="E1055" s="9"/>
      <c r="F1055" s="9"/>
      <c r="G1055" s="9"/>
      <c r="H1055" s="9"/>
      <c r="I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395"/>
      <c r="X1055" s="261"/>
      <c r="Y1055" s="261"/>
      <c r="Z1055" s="9"/>
      <c r="AA1055" s="9"/>
      <c r="AB1055" s="9"/>
      <c r="AC1055" s="9"/>
      <c r="AD1055" s="111"/>
      <c r="AE1055" s="9"/>
      <c r="AF1055" s="549"/>
    </row>
    <row r="1056" spans="2:32" x14ac:dyDescent="0.3">
      <c r="B1056" s="9"/>
      <c r="C1056" s="9"/>
      <c r="D1056" s="9"/>
      <c r="E1056" s="9"/>
      <c r="F1056" s="9"/>
      <c r="G1056" s="9"/>
      <c r="H1056" s="9"/>
      <c r="I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395"/>
      <c r="X1056" s="261"/>
      <c r="Y1056" s="261"/>
      <c r="Z1056" s="9"/>
      <c r="AA1056" s="9"/>
      <c r="AB1056" s="9"/>
      <c r="AC1056" s="9"/>
      <c r="AD1056" s="111"/>
      <c r="AE1056" s="9"/>
      <c r="AF1056" s="549"/>
    </row>
    <row r="1057" spans="2:32" x14ac:dyDescent="0.3">
      <c r="B1057" s="9"/>
      <c r="C1057" s="9"/>
      <c r="D1057" s="9"/>
      <c r="E1057" s="9"/>
      <c r="F1057" s="9"/>
      <c r="G1057" s="9"/>
      <c r="H1057" s="9"/>
      <c r="I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395"/>
      <c r="X1057" s="261"/>
      <c r="Y1057" s="261"/>
      <c r="Z1057" s="9"/>
      <c r="AA1057" s="9"/>
      <c r="AB1057" s="9"/>
      <c r="AC1057" s="9"/>
      <c r="AD1057" s="111"/>
      <c r="AE1057" s="9"/>
      <c r="AF1057" s="549"/>
    </row>
    <row r="1058" spans="2:32" x14ac:dyDescent="0.3">
      <c r="B1058" s="9"/>
      <c r="C1058" s="9"/>
      <c r="D1058" s="9"/>
      <c r="E1058" s="9"/>
      <c r="F1058" s="9"/>
      <c r="G1058" s="9"/>
      <c r="H1058" s="9"/>
      <c r="I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395"/>
      <c r="X1058" s="261"/>
      <c r="Y1058" s="261"/>
      <c r="Z1058" s="9"/>
      <c r="AA1058" s="9"/>
      <c r="AB1058" s="9"/>
      <c r="AC1058" s="9"/>
      <c r="AD1058" s="111"/>
      <c r="AE1058" s="9"/>
      <c r="AF1058" s="549"/>
    </row>
    <row r="1059" spans="2:32" x14ac:dyDescent="0.3">
      <c r="B1059" s="9"/>
      <c r="C1059" s="9"/>
      <c r="D1059" s="9"/>
      <c r="E1059" s="9"/>
      <c r="F1059" s="9"/>
      <c r="G1059" s="9"/>
      <c r="H1059" s="9"/>
      <c r="I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395"/>
      <c r="X1059" s="261"/>
      <c r="Y1059" s="261"/>
      <c r="Z1059" s="9"/>
      <c r="AA1059" s="9"/>
      <c r="AB1059" s="9"/>
      <c r="AC1059" s="9"/>
      <c r="AD1059" s="111"/>
      <c r="AE1059" s="9"/>
      <c r="AF1059" s="549"/>
    </row>
    <row r="1060" spans="2:32" x14ac:dyDescent="0.3">
      <c r="B1060" s="9"/>
      <c r="C1060" s="9"/>
      <c r="D1060" s="9"/>
      <c r="E1060" s="9"/>
      <c r="F1060" s="9"/>
      <c r="G1060" s="9"/>
      <c r="H1060" s="9"/>
      <c r="I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395"/>
      <c r="X1060" s="261"/>
      <c r="Y1060" s="261"/>
      <c r="Z1060" s="9"/>
      <c r="AA1060" s="9"/>
      <c r="AB1060" s="9"/>
      <c r="AC1060" s="9"/>
      <c r="AD1060" s="111"/>
      <c r="AE1060" s="9"/>
      <c r="AF1060" s="549"/>
    </row>
    <row r="1061" spans="2:32" x14ac:dyDescent="0.3">
      <c r="B1061" s="9"/>
      <c r="C1061" s="9"/>
      <c r="D1061" s="9"/>
      <c r="E1061" s="9"/>
      <c r="F1061" s="9"/>
      <c r="G1061" s="9"/>
      <c r="H1061" s="9"/>
      <c r="I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395"/>
      <c r="X1061" s="261"/>
      <c r="Y1061" s="261"/>
      <c r="Z1061" s="9"/>
      <c r="AA1061" s="9"/>
      <c r="AB1061" s="9"/>
      <c r="AC1061" s="9"/>
      <c r="AD1061" s="111"/>
      <c r="AE1061" s="9"/>
      <c r="AF1061" s="549"/>
    </row>
    <row r="1062" spans="2:32" x14ac:dyDescent="0.3">
      <c r="B1062" s="9"/>
      <c r="C1062" s="9"/>
      <c r="D1062" s="9"/>
      <c r="E1062" s="9"/>
      <c r="F1062" s="9"/>
      <c r="G1062" s="9"/>
      <c r="H1062" s="9"/>
      <c r="I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395"/>
      <c r="X1062" s="261"/>
      <c r="Y1062" s="261"/>
      <c r="Z1062" s="9"/>
      <c r="AA1062" s="9"/>
      <c r="AB1062" s="9"/>
      <c r="AC1062" s="9"/>
      <c r="AD1062" s="111"/>
      <c r="AE1062" s="9"/>
      <c r="AF1062" s="549"/>
    </row>
    <row r="1063" spans="2:32" x14ac:dyDescent="0.3">
      <c r="B1063" s="9"/>
      <c r="C1063" s="9"/>
      <c r="D1063" s="9"/>
      <c r="E1063" s="9"/>
      <c r="F1063" s="9"/>
      <c r="G1063" s="9"/>
      <c r="H1063" s="9"/>
      <c r="I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395"/>
      <c r="X1063" s="261"/>
      <c r="Y1063" s="261"/>
      <c r="Z1063" s="9"/>
      <c r="AA1063" s="9"/>
      <c r="AB1063" s="9"/>
      <c r="AC1063" s="9"/>
      <c r="AD1063" s="111"/>
      <c r="AE1063" s="9"/>
      <c r="AF1063" s="549"/>
    </row>
    <row r="1064" spans="2:32" x14ac:dyDescent="0.3">
      <c r="B1064" s="9"/>
      <c r="C1064" s="9"/>
      <c r="D1064" s="9"/>
      <c r="E1064" s="9"/>
      <c r="F1064" s="9"/>
      <c r="G1064" s="9"/>
      <c r="H1064" s="9"/>
      <c r="I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395"/>
      <c r="X1064" s="261"/>
      <c r="Y1064" s="261"/>
      <c r="Z1064" s="9"/>
      <c r="AA1064" s="9"/>
      <c r="AB1064" s="9"/>
      <c r="AC1064" s="9"/>
      <c r="AD1064" s="111"/>
      <c r="AE1064" s="9"/>
      <c r="AF1064" s="549"/>
    </row>
    <row r="1065" spans="2:32" x14ac:dyDescent="0.3">
      <c r="B1065" s="9"/>
      <c r="C1065" s="9"/>
      <c r="D1065" s="9"/>
      <c r="E1065" s="9"/>
      <c r="F1065" s="9"/>
      <c r="G1065" s="9"/>
      <c r="H1065" s="9"/>
      <c r="I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395"/>
      <c r="X1065" s="261"/>
      <c r="Y1065" s="261"/>
      <c r="Z1065" s="9"/>
      <c r="AA1065" s="9"/>
      <c r="AB1065" s="9"/>
      <c r="AC1065" s="9"/>
      <c r="AD1065" s="111"/>
      <c r="AE1065" s="9"/>
      <c r="AF1065" s="549"/>
    </row>
    <row r="1066" spans="2:32" x14ac:dyDescent="0.3">
      <c r="B1066" s="9"/>
      <c r="C1066" s="9"/>
      <c r="D1066" s="9"/>
      <c r="E1066" s="9"/>
      <c r="F1066" s="9"/>
      <c r="G1066" s="9"/>
      <c r="H1066" s="9"/>
      <c r="I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395"/>
      <c r="X1066" s="261"/>
      <c r="Y1066" s="261"/>
      <c r="Z1066" s="9"/>
      <c r="AA1066" s="9"/>
      <c r="AB1066" s="9"/>
      <c r="AC1066" s="9"/>
      <c r="AD1066" s="111"/>
      <c r="AE1066" s="9"/>
      <c r="AF1066" s="549"/>
    </row>
    <row r="1067" spans="2:32" x14ac:dyDescent="0.3">
      <c r="B1067" s="9"/>
      <c r="C1067" s="9"/>
      <c r="D1067" s="9"/>
      <c r="E1067" s="9"/>
      <c r="F1067" s="9"/>
      <c r="G1067" s="9"/>
      <c r="H1067" s="9"/>
      <c r="I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395"/>
      <c r="X1067" s="261"/>
      <c r="Y1067" s="261"/>
      <c r="Z1067" s="9"/>
      <c r="AA1067" s="9"/>
      <c r="AB1067" s="9"/>
      <c r="AC1067" s="9"/>
      <c r="AD1067" s="111"/>
      <c r="AE1067" s="9"/>
      <c r="AF1067" s="549"/>
    </row>
    <row r="1068" spans="2:32" x14ac:dyDescent="0.3">
      <c r="B1068" s="9"/>
      <c r="C1068" s="9"/>
      <c r="D1068" s="9"/>
      <c r="E1068" s="9"/>
      <c r="F1068" s="9"/>
      <c r="G1068" s="9"/>
      <c r="H1068" s="9"/>
      <c r="I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395"/>
      <c r="X1068" s="261"/>
      <c r="Y1068" s="261"/>
      <c r="Z1068" s="9"/>
      <c r="AA1068" s="9"/>
      <c r="AB1068" s="9"/>
      <c r="AC1068" s="9"/>
      <c r="AD1068" s="111"/>
      <c r="AE1068" s="9"/>
      <c r="AF1068" s="549"/>
    </row>
    <row r="1069" spans="2:32" x14ac:dyDescent="0.3">
      <c r="B1069" s="9"/>
      <c r="C1069" s="9"/>
      <c r="D1069" s="9"/>
      <c r="E1069" s="9"/>
      <c r="F1069" s="9"/>
      <c r="G1069" s="9"/>
      <c r="H1069" s="9"/>
      <c r="I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395"/>
      <c r="X1069" s="261"/>
      <c r="Y1069" s="261"/>
      <c r="Z1069" s="9"/>
      <c r="AA1069" s="9"/>
      <c r="AB1069" s="9"/>
      <c r="AC1069" s="9"/>
      <c r="AD1069" s="111"/>
      <c r="AE1069" s="9"/>
      <c r="AF1069" s="549"/>
    </row>
    <row r="1070" spans="2:32" x14ac:dyDescent="0.3">
      <c r="B1070" s="9"/>
      <c r="C1070" s="9"/>
      <c r="D1070" s="9"/>
      <c r="E1070" s="9"/>
      <c r="F1070" s="9"/>
      <c r="G1070" s="9"/>
      <c r="H1070" s="9"/>
      <c r="I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395"/>
      <c r="X1070" s="261"/>
      <c r="Y1070" s="261"/>
      <c r="Z1070" s="9"/>
      <c r="AA1070" s="9"/>
      <c r="AB1070" s="9"/>
      <c r="AC1070" s="9"/>
      <c r="AD1070" s="111"/>
      <c r="AE1070" s="9"/>
      <c r="AF1070" s="549"/>
    </row>
    <row r="1071" spans="2:32" x14ac:dyDescent="0.3">
      <c r="B1071" s="9"/>
      <c r="C1071" s="9"/>
      <c r="D1071" s="9"/>
      <c r="E1071" s="9"/>
      <c r="F1071" s="9"/>
      <c r="G1071" s="9"/>
      <c r="H1071" s="9"/>
      <c r="I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395"/>
      <c r="X1071" s="261"/>
      <c r="Y1071" s="261"/>
      <c r="Z1071" s="9"/>
      <c r="AA1071" s="9"/>
      <c r="AB1071" s="9"/>
      <c r="AC1071" s="9"/>
      <c r="AD1071" s="111"/>
      <c r="AE1071" s="9"/>
      <c r="AF1071" s="549"/>
    </row>
    <row r="1072" spans="2:32" x14ac:dyDescent="0.3">
      <c r="B1072" s="9"/>
      <c r="C1072" s="9"/>
      <c r="D1072" s="9"/>
      <c r="E1072" s="9"/>
      <c r="F1072" s="9"/>
      <c r="G1072" s="9"/>
      <c r="H1072" s="9"/>
      <c r="I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395"/>
      <c r="X1072" s="261"/>
      <c r="Y1072" s="261"/>
      <c r="Z1072" s="9"/>
      <c r="AA1072" s="9"/>
      <c r="AB1072" s="9"/>
      <c r="AC1072" s="9"/>
      <c r="AD1072" s="111"/>
      <c r="AE1072" s="9"/>
      <c r="AF1072" s="549"/>
    </row>
    <row r="1073" spans="2:32" x14ac:dyDescent="0.3">
      <c r="B1073" s="9"/>
      <c r="C1073" s="9"/>
      <c r="D1073" s="9"/>
      <c r="E1073" s="9"/>
      <c r="F1073" s="9"/>
      <c r="G1073" s="9"/>
      <c r="H1073" s="9"/>
      <c r="I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395"/>
      <c r="X1073" s="261"/>
      <c r="Y1073" s="261"/>
      <c r="Z1073" s="9"/>
      <c r="AA1073" s="9"/>
      <c r="AB1073" s="9"/>
      <c r="AC1073" s="9"/>
      <c r="AD1073" s="111"/>
      <c r="AE1073" s="9"/>
      <c r="AF1073" s="549"/>
    </row>
    <row r="1074" spans="2:32" x14ac:dyDescent="0.3">
      <c r="B1074" s="9"/>
      <c r="C1074" s="9"/>
      <c r="D1074" s="9"/>
      <c r="E1074" s="9"/>
      <c r="F1074" s="9"/>
      <c r="G1074" s="9"/>
      <c r="H1074" s="9"/>
      <c r="I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395"/>
      <c r="X1074" s="261"/>
      <c r="Y1074" s="261"/>
      <c r="Z1074" s="9"/>
      <c r="AA1074" s="9"/>
      <c r="AB1074" s="9"/>
      <c r="AC1074" s="9"/>
      <c r="AD1074" s="111"/>
      <c r="AE1074" s="9"/>
      <c r="AF1074" s="549"/>
    </row>
    <row r="1075" spans="2:32" x14ac:dyDescent="0.3">
      <c r="B1075" s="9"/>
      <c r="C1075" s="9"/>
      <c r="D1075" s="9"/>
      <c r="E1075" s="9"/>
      <c r="F1075" s="9"/>
      <c r="G1075" s="9"/>
      <c r="H1075" s="9"/>
      <c r="I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395"/>
      <c r="X1075" s="261"/>
      <c r="Y1075" s="261"/>
      <c r="Z1075" s="9"/>
      <c r="AA1075" s="9"/>
      <c r="AB1075" s="9"/>
      <c r="AC1075" s="9"/>
      <c r="AD1075" s="111"/>
      <c r="AE1075" s="9"/>
      <c r="AF1075" s="549"/>
    </row>
    <row r="1076" spans="2:32" x14ac:dyDescent="0.3">
      <c r="B1076" s="9"/>
      <c r="C1076" s="9"/>
      <c r="D1076" s="9"/>
      <c r="E1076" s="9"/>
      <c r="F1076" s="9"/>
      <c r="G1076" s="9"/>
      <c r="H1076" s="9"/>
      <c r="I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395"/>
      <c r="X1076" s="261"/>
      <c r="Y1076" s="261"/>
      <c r="Z1076" s="9"/>
      <c r="AA1076" s="9"/>
      <c r="AB1076" s="9"/>
      <c r="AC1076" s="9"/>
      <c r="AD1076" s="111"/>
      <c r="AE1076" s="9"/>
      <c r="AF1076" s="549"/>
    </row>
    <row r="1077" spans="2:32" x14ac:dyDescent="0.3">
      <c r="B1077" s="9"/>
      <c r="C1077" s="9"/>
      <c r="D1077" s="9"/>
      <c r="E1077" s="9"/>
      <c r="F1077" s="9"/>
      <c r="G1077" s="9"/>
      <c r="H1077" s="9"/>
      <c r="I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395"/>
      <c r="X1077" s="261"/>
      <c r="Y1077" s="261"/>
      <c r="Z1077" s="9"/>
      <c r="AA1077" s="9"/>
      <c r="AB1077" s="9"/>
      <c r="AC1077" s="9"/>
      <c r="AD1077" s="111"/>
      <c r="AE1077" s="9"/>
      <c r="AF1077" s="549"/>
    </row>
    <row r="1078" spans="2:32" x14ac:dyDescent="0.3">
      <c r="B1078" s="9"/>
      <c r="C1078" s="9"/>
      <c r="D1078" s="9"/>
      <c r="E1078" s="9"/>
      <c r="F1078" s="9"/>
      <c r="G1078" s="9"/>
      <c r="H1078" s="9"/>
      <c r="I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395"/>
      <c r="X1078" s="261"/>
      <c r="Y1078" s="261"/>
      <c r="Z1078" s="9"/>
      <c r="AA1078" s="9"/>
      <c r="AB1078" s="9"/>
      <c r="AC1078" s="9"/>
      <c r="AD1078" s="111"/>
      <c r="AE1078" s="9"/>
      <c r="AF1078" s="549"/>
    </row>
    <row r="1079" spans="2:32" x14ac:dyDescent="0.3">
      <c r="B1079" s="9"/>
      <c r="C1079" s="9"/>
      <c r="D1079" s="9"/>
      <c r="E1079" s="9"/>
      <c r="F1079" s="9"/>
      <c r="G1079" s="9"/>
      <c r="H1079" s="9"/>
      <c r="I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395"/>
      <c r="X1079" s="261"/>
      <c r="Y1079" s="261"/>
      <c r="Z1079" s="9"/>
      <c r="AA1079" s="9"/>
      <c r="AB1079" s="9"/>
      <c r="AC1079" s="9"/>
      <c r="AD1079" s="111"/>
      <c r="AE1079" s="9"/>
      <c r="AF1079" s="549"/>
    </row>
    <row r="1080" spans="2:32" x14ac:dyDescent="0.3">
      <c r="B1080" s="9"/>
      <c r="C1080" s="9"/>
      <c r="D1080" s="9"/>
      <c r="E1080" s="9"/>
      <c r="F1080" s="9"/>
      <c r="G1080" s="9"/>
      <c r="H1080" s="9"/>
      <c r="I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395"/>
      <c r="X1080" s="261"/>
      <c r="Y1080" s="261"/>
      <c r="Z1080" s="9"/>
      <c r="AA1080" s="9"/>
      <c r="AB1080" s="9"/>
      <c r="AC1080" s="9"/>
      <c r="AD1080" s="111"/>
      <c r="AE1080" s="9"/>
      <c r="AF1080" s="549"/>
    </row>
    <row r="1081" spans="2:32" x14ac:dyDescent="0.3">
      <c r="B1081" s="9"/>
      <c r="C1081" s="9"/>
      <c r="D1081" s="9"/>
      <c r="E1081" s="9"/>
      <c r="F1081" s="9"/>
      <c r="G1081" s="9"/>
      <c r="H1081" s="9"/>
      <c r="I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395"/>
      <c r="X1081" s="261"/>
      <c r="Y1081" s="261"/>
      <c r="Z1081" s="9"/>
      <c r="AA1081" s="9"/>
      <c r="AB1081" s="9"/>
      <c r="AC1081" s="9"/>
      <c r="AD1081" s="111"/>
      <c r="AE1081" s="9"/>
      <c r="AF1081" s="549"/>
    </row>
  </sheetData>
  <sortState xmlns:xlrd2="http://schemas.microsoft.com/office/spreadsheetml/2017/richdata2" ref="A2:I109">
    <sortCondition ref="A2:A109"/>
    <sortCondition ref="B2:B109"/>
    <sortCondition ref="C2:C109"/>
  </sortState>
  <phoneticPr fontId="13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1265" r:id="rId3" name="Control 1">
          <controlPr defaultSize="0" r:id="rId4">
            <anchor moveWithCells="1">
              <from>
                <xdr:col>1</xdr:col>
                <xdr:colOff>0</xdr:colOff>
                <xdr:row>392</xdr:row>
                <xdr:rowOff>88900</xdr:rowOff>
              </from>
              <to>
                <xdr:col>2</xdr:col>
                <xdr:colOff>1479550</xdr:colOff>
                <xdr:row>399</xdr:row>
                <xdr:rowOff>31750</xdr:rowOff>
              </to>
            </anchor>
          </controlPr>
        </control>
      </mc:Choice>
      <mc:Fallback>
        <control shapeId="11265" r:id="rId3" name="Control 1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9859E-0A05-47DE-86F9-BB43E6C45A39}">
  <sheetPr codeName="Sheet1"/>
  <dimension ref="A1:L3065"/>
  <sheetViews>
    <sheetView zoomScale="115" zoomScaleNormal="115" workbookViewId="0">
      <selection activeCell="C29" sqref="C29"/>
    </sheetView>
  </sheetViews>
  <sheetFormatPr defaultRowHeight="12.5" x14ac:dyDescent="0.25"/>
  <cols>
    <col min="1" max="2" width="14.83203125" style="19" customWidth="1"/>
    <col min="3" max="3" width="22.75" style="19" bestFit="1" customWidth="1"/>
    <col min="4" max="12" width="14.83203125" style="19" customWidth="1"/>
    <col min="13" max="16384" width="8.6640625" style="19"/>
  </cols>
  <sheetData>
    <row r="1" spans="1:12" ht="14" x14ac:dyDescent="0.3">
      <c r="A1" s="597" t="s">
        <v>888</v>
      </c>
      <c r="B1" s="597" t="s">
        <v>9</v>
      </c>
      <c r="C1" s="597" t="s">
        <v>8</v>
      </c>
      <c r="D1" s="597" t="s">
        <v>20</v>
      </c>
      <c r="E1" s="597" t="s">
        <v>13</v>
      </c>
      <c r="F1" s="598" t="s">
        <v>5</v>
      </c>
      <c r="G1" s="598" t="s">
        <v>877</v>
      </c>
      <c r="H1" s="598" t="s">
        <v>878</v>
      </c>
      <c r="I1" s="598" t="s">
        <v>592</v>
      </c>
      <c r="J1" s="598" t="s">
        <v>585</v>
      </c>
      <c r="K1" s="603" t="s">
        <v>901</v>
      </c>
      <c r="L1" s="603" t="s">
        <v>890</v>
      </c>
    </row>
    <row r="2" spans="1:12" s="514" customFormat="1" ht="13" customHeight="1" x14ac:dyDescent="0.3">
      <c r="A2" s="601" t="s">
        <v>110</v>
      </c>
      <c r="B2" s="601" t="s">
        <v>891</v>
      </c>
      <c r="C2" s="601" t="s">
        <v>40</v>
      </c>
      <c r="D2" s="601" t="s">
        <v>57</v>
      </c>
      <c r="E2" s="601" t="s">
        <v>63</v>
      </c>
      <c r="F2" s="602">
        <v>29778</v>
      </c>
      <c r="G2" s="602">
        <v>25828</v>
      </c>
      <c r="H2" s="602">
        <v>606</v>
      </c>
      <c r="I2" s="602">
        <v>72</v>
      </c>
      <c r="J2" s="602">
        <v>941600</v>
      </c>
      <c r="K2" s="604" t="s">
        <v>902</v>
      </c>
      <c r="L2" s="604">
        <f>MONTH(B2)</f>
        <v>4</v>
      </c>
    </row>
    <row r="3" spans="1:12" s="514" customFormat="1" ht="13" customHeight="1" x14ac:dyDescent="0.3">
      <c r="A3" s="601" t="s">
        <v>110</v>
      </c>
      <c r="B3" s="601" t="s">
        <v>891</v>
      </c>
      <c r="C3" s="601" t="s">
        <v>40</v>
      </c>
      <c r="D3" s="601" t="s">
        <v>4</v>
      </c>
      <c r="E3" s="601" t="s">
        <v>41</v>
      </c>
      <c r="F3" s="602">
        <v>201</v>
      </c>
      <c r="G3" s="602">
        <v>191</v>
      </c>
      <c r="H3" s="602">
        <v>2</v>
      </c>
      <c r="I3" s="602">
        <v>0</v>
      </c>
      <c r="J3" s="602">
        <v>0</v>
      </c>
      <c r="K3" s="604" t="s">
        <v>902</v>
      </c>
      <c r="L3" s="604">
        <f t="shared" ref="L3:L66" si="0">MONTH(B3)</f>
        <v>4</v>
      </c>
    </row>
    <row r="4" spans="1:12" s="514" customFormat="1" ht="13" customHeight="1" x14ac:dyDescent="0.3">
      <c r="A4" s="599" t="s">
        <v>110</v>
      </c>
      <c r="B4" s="599" t="s">
        <v>891</v>
      </c>
      <c r="C4" s="599" t="s">
        <v>40</v>
      </c>
      <c r="D4" s="599" t="s">
        <v>57</v>
      </c>
      <c r="E4" s="599" t="s">
        <v>65</v>
      </c>
      <c r="F4" s="600">
        <v>23848</v>
      </c>
      <c r="G4" s="600">
        <v>22040</v>
      </c>
      <c r="H4" s="600">
        <v>359</v>
      </c>
      <c r="I4" s="600">
        <v>25</v>
      </c>
      <c r="J4" s="600">
        <v>304600</v>
      </c>
      <c r="K4" s="604" t="s">
        <v>902</v>
      </c>
      <c r="L4" s="604">
        <f t="shared" si="0"/>
        <v>4</v>
      </c>
    </row>
    <row r="5" spans="1:12" s="514" customFormat="1" ht="13" customHeight="1" x14ac:dyDescent="0.3">
      <c r="A5" s="601" t="s">
        <v>110</v>
      </c>
      <c r="B5" s="601" t="s">
        <v>891</v>
      </c>
      <c r="C5" s="601" t="s">
        <v>40</v>
      </c>
      <c r="D5" s="601" t="s">
        <v>4</v>
      </c>
      <c r="E5" s="601" t="s">
        <v>43</v>
      </c>
      <c r="F5" s="602">
        <v>690</v>
      </c>
      <c r="G5" s="602">
        <v>266</v>
      </c>
      <c r="H5" s="602">
        <v>3</v>
      </c>
      <c r="I5" s="602">
        <v>1</v>
      </c>
      <c r="J5" s="602">
        <v>15600</v>
      </c>
      <c r="K5" s="604" t="s">
        <v>902</v>
      </c>
      <c r="L5" s="604">
        <f t="shared" si="0"/>
        <v>4</v>
      </c>
    </row>
    <row r="6" spans="1:12" s="514" customFormat="1" ht="13" customHeight="1" x14ac:dyDescent="0.3">
      <c r="A6" s="599" t="s">
        <v>110</v>
      </c>
      <c r="B6" s="599" t="s">
        <v>891</v>
      </c>
      <c r="C6" s="599" t="s">
        <v>40</v>
      </c>
      <c r="D6" s="599" t="s">
        <v>55</v>
      </c>
      <c r="E6" s="599" t="s">
        <v>56</v>
      </c>
      <c r="F6" s="600">
        <v>3</v>
      </c>
      <c r="G6" s="600">
        <v>1</v>
      </c>
      <c r="H6" s="600">
        <v>0</v>
      </c>
      <c r="I6" s="600">
        <v>0</v>
      </c>
      <c r="J6" s="600">
        <v>0</v>
      </c>
      <c r="K6" s="604" t="s">
        <v>902</v>
      </c>
      <c r="L6" s="604">
        <f t="shared" si="0"/>
        <v>4</v>
      </c>
    </row>
    <row r="7" spans="1:12" s="514" customFormat="1" ht="13" customHeight="1" x14ac:dyDescent="0.3">
      <c r="A7" s="599" t="s">
        <v>110</v>
      </c>
      <c r="B7" s="599" t="s">
        <v>891</v>
      </c>
      <c r="C7" s="599" t="s">
        <v>40</v>
      </c>
      <c r="D7" s="599" t="s">
        <v>57</v>
      </c>
      <c r="E7" s="599" t="s">
        <v>64</v>
      </c>
      <c r="F7" s="600">
        <v>42779</v>
      </c>
      <c r="G7" s="600">
        <v>36374</v>
      </c>
      <c r="H7" s="600">
        <v>422</v>
      </c>
      <c r="I7" s="600">
        <v>2</v>
      </c>
      <c r="J7" s="600">
        <v>15700</v>
      </c>
      <c r="K7" s="604" t="s">
        <v>902</v>
      </c>
      <c r="L7" s="604">
        <f t="shared" si="0"/>
        <v>4</v>
      </c>
    </row>
    <row r="8" spans="1:12" s="514" customFormat="1" ht="13" customHeight="1" x14ac:dyDescent="0.3">
      <c r="A8" s="601" t="s">
        <v>110</v>
      </c>
      <c r="B8" s="601" t="s">
        <v>891</v>
      </c>
      <c r="C8" s="601" t="s">
        <v>40</v>
      </c>
      <c r="D8" s="601" t="s">
        <v>52</v>
      </c>
      <c r="E8" s="601" t="s">
        <v>67</v>
      </c>
      <c r="F8" s="602">
        <v>9344</v>
      </c>
      <c r="G8" s="602">
        <v>8799</v>
      </c>
      <c r="H8" s="602">
        <v>334</v>
      </c>
      <c r="I8" s="602">
        <v>23</v>
      </c>
      <c r="J8" s="602">
        <v>322300</v>
      </c>
      <c r="K8" s="604" t="s">
        <v>902</v>
      </c>
      <c r="L8" s="604">
        <f t="shared" si="0"/>
        <v>4</v>
      </c>
    </row>
    <row r="9" spans="1:12" s="514" customFormat="1" ht="13" customHeight="1" x14ac:dyDescent="0.3">
      <c r="A9" s="599" t="s">
        <v>110</v>
      </c>
      <c r="B9" s="599" t="s">
        <v>891</v>
      </c>
      <c r="C9" s="599" t="s">
        <v>40</v>
      </c>
      <c r="D9" s="599" t="s">
        <v>52</v>
      </c>
      <c r="E9" s="599" t="s">
        <v>51</v>
      </c>
      <c r="F9" s="600">
        <v>13</v>
      </c>
      <c r="G9" s="600">
        <v>13</v>
      </c>
      <c r="H9" s="600">
        <v>0</v>
      </c>
      <c r="I9" s="600">
        <v>0</v>
      </c>
      <c r="J9" s="600">
        <v>0</v>
      </c>
      <c r="K9" s="604" t="s">
        <v>902</v>
      </c>
      <c r="L9" s="604">
        <f t="shared" si="0"/>
        <v>4</v>
      </c>
    </row>
    <row r="10" spans="1:12" s="514" customFormat="1" ht="13" customHeight="1" x14ac:dyDescent="0.3">
      <c r="A10" s="599" t="s">
        <v>110</v>
      </c>
      <c r="B10" s="599" t="s">
        <v>891</v>
      </c>
      <c r="C10" s="599" t="s">
        <v>6</v>
      </c>
      <c r="D10" s="599" t="s">
        <v>57</v>
      </c>
      <c r="E10" s="599" t="s">
        <v>64</v>
      </c>
      <c r="F10" s="600">
        <v>65010</v>
      </c>
      <c r="G10" s="600">
        <v>57247</v>
      </c>
      <c r="H10" s="600">
        <v>379</v>
      </c>
      <c r="I10" s="600">
        <v>16</v>
      </c>
      <c r="J10" s="600">
        <v>113635</v>
      </c>
      <c r="K10" s="604" t="s">
        <v>902</v>
      </c>
      <c r="L10" s="604">
        <f t="shared" si="0"/>
        <v>4</v>
      </c>
    </row>
    <row r="11" spans="1:12" s="514" customFormat="1" ht="13" customHeight="1" x14ac:dyDescent="0.3">
      <c r="A11" s="601" t="s">
        <v>110</v>
      </c>
      <c r="B11" s="601" t="s">
        <v>891</v>
      </c>
      <c r="C11" s="601" t="s">
        <v>6</v>
      </c>
      <c r="D11" s="601" t="s">
        <v>4</v>
      </c>
      <c r="E11" s="601" t="s">
        <v>42</v>
      </c>
      <c r="F11" s="602">
        <v>1</v>
      </c>
      <c r="G11" s="602">
        <v>1</v>
      </c>
      <c r="H11" s="602">
        <v>0</v>
      </c>
      <c r="I11" s="602">
        <v>0</v>
      </c>
      <c r="J11" s="602">
        <v>0</v>
      </c>
      <c r="K11" s="604" t="s">
        <v>902</v>
      </c>
      <c r="L11" s="604">
        <f t="shared" si="0"/>
        <v>4</v>
      </c>
    </row>
    <row r="12" spans="1:12" s="514" customFormat="1" ht="13" customHeight="1" x14ac:dyDescent="0.3">
      <c r="A12" s="601" t="s">
        <v>110</v>
      </c>
      <c r="B12" s="601" t="s">
        <v>891</v>
      </c>
      <c r="C12" s="601" t="s">
        <v>6</v>
      </c>
      <c r="D12" s="601" t="s">
        <v>4</v>
      </c>
      <c r="E12" s="601" t="s">
        <v>41</v>
      </c>
      <c r="F12" s="602">
        <v>14</v>
      </c>
      <c r="G12" s="602">
        <v>9</v>
      </c>
      <c r="H12" s="602">
        <v>0</v>
      </c>
      <c r="I12" s="602">
        <v>0</v>
      </c>
      <c r="J12" s="602">
        <v>0</v>
      </c>
      <c r="K12" s="604" t="s">
        <v>902</v>
      </c>
      <c r="L12" s="604">
        <f t="shared" si="0"/>
        <v>4</v>
      </c>
    </row>
    <row r="13" spans="1:12" s="514" customFormat="1" ht="13" customHeight="1" x14ac:dyDescent="0.3">
      <c r="A13" s="599" t="s">
        <v>110</v>
      </c>
      <c r="B13" s="599" t="s">
        <v>891</v>
      </c>
      <c r="C13" s="599" t="s">
        <v>6</v>
      </c>
      <c r="D13" s="599" t="s">
        <v>52</v>
      </c>
      <c r="E13" s="599" t="s">
        <v>61</v>
      </c>
      <c r="F13" s="600">
        <v>17556</v>
      </c>
      <c r="G13" s="600">
        <v>16790</v>
      </c>
      <c r="H13" s="600">
        <v>289</v>
      </c>
      <c r="I13" s="600">
        <v>25</v>
      </c>
      <c r="J13" s="600">
        <v>127385</v>
      </c>
      <c r="K13" s="604" t="s">
        <v>902</v>
      </c>
      <c r="L13" s="604">
        <f t="shared" si="0"/>
        <v>4</v>
      </c>
    </row>
    <row r="14" spans="1:12" s="514" customFormat="1" ht="13" customHeight="1" x14ac:dyDescent="0.3">
      <c r="A14" s="601" t="s">
        <v>110</v>
      </c>
      <c r="B14" s="601" t="s">
        <v>891</v>
      </c>
      <c r="C14" s="601" t="s">
        <v>6</v>
      </c>
      <c r="D14" s="601" t="s">
        <v>55</v>
      </c>
      <c r="E14" s="601" t="s">
        <v>56</v>
      </c>
      <c r="F14" s="602">
        <v>5</v>
      </c>
      <c r="G14" s="602">
        <v>2</v>
      </c>
      <c r="H14" s="602">
        <v>0</v>
      </c>
      <c r="I14" s="602">
        <v>0</v>
      </c>
      <c r="J14" s="602">
        <v>0</v>
      </c>
      <c r="K14" s="604" t="s">
        <v>902</v>
      </c>
      <c r="L14" s="604">
        <f t="shared" si="0"/>
        <v>4</v>
      </c>
    </row>
    <row r="15" spans="1:12" s="514" customFormat="1" ht="13" customHeight="1" x14ac:dyDescent="0.3">
      <c r="A15" s="599" t="s">
        <v>110</v>
      </c>
      <c r="B15" s="599" t="s">
        <v>891</v>
      </c>
      <c r="C15" s="599" t="s">
        <v>6</v>
      </c>
      <c r="D15" s="599" t="s">
        <v>52</v>
      </c>
      <c r="E15" s="599" t="s">
        <v>51</v>
      </c>
      <c r="F15" s="600">
        <v>1</v>
      </c>
      <c r="G15" s="600">
        <v>1</v>
      </c>
      <c r="H15" s="600">
        <v>0</v>
      </c>
      <c r="I15" s="600">
        <v>0</v>
      </c>
      <c r="J15" s="600">
        <v>0</v>
      </c>
      <c r="K15" s="604" t="s">
        <v>902</v>
      </c>
      <c r="L15" s="604">
        <f t="shared" si="0"/>
        <v>4</v>
      </c>
    </row>
    <row r="16" spans="1:12" s="514" customFormat="1" ht="13" customHeight="1" x14ac:dyDescent="0.3">
      <c r="A16" s="601" t="s">
        <v>110</v>
      </c>
      <c r="B16" s="601" t="s">
        <v>891</v>
      </c>
      <c r="C16" s="601" t="s">
        <v>6</v>
      </c>
      <c r="D16" s="601" t="s">
        <v>4</v>
      </c>
      <c r="E16" s="601" t="s">
        <v>43</v>
      </c>
      <c r="F16" s="602">
        <v>2430</v>
      </c>
      <c r="G16" s="602">
        <v>1284</v>
      </c>
      <c r="H16" s="602">
        <v>10</v>
      </c>
      <c r="I16" s="602">
        <v>4</v>
      </c>
      <c r="J16" s="602">
        <v>37325</v>
      </c>
      <c r="K16" s="604" t="s">
        <v>902</v>
      </c>
      <c r="L16" s="604">
        <f t="shared" si="0"/>
        <v>4</v>
      </c>
    </row>
    <row r="17" spans="1:12" s="514" customFormat="1" ht="13" customHeight="1" x14ac:dyDescent="0.3">
      <c r="A17" s="599" t="s">
        <v>110</v>
      </c>
      <c r="B17" s="599" t="s">
        <v>891</v>
      </c>
      <c r="C17" s="599" t="s">
        <v>6</v>
      </c>
      <c r="D17" s="599" t="s">
        <v>57</v>
      </c>
      <c r="E17" s="599" t="s">
        <v>63</v>
      </c>
      <c r="F17" s="600">
        <v>35881</v>
      </c>
      <c r="G17" s="600">
        <v>32369</v>
      </c>
      <c r="H17" s="600">
        <v>395</v>
      </c>
      <c r="I17" s="600">
        <v>30</v>
      </c>
      <c r="J17" s="600">
        <v>135310</v>
      </c>
      <c r="K17" s="604" t="s">
        <v>902</v>
      </c>
      <c r="L17" s="604">
        <f t="shared" si="0"/>
        <v>4</v>
      </c>
    </row>
    <row r="18" spans="1:12" s="514" customFormat="1" ht="13" customHeight="1" x14ac:dyDescent="0.3">
      <c r="A18" s="601" t="s">
        <v>110</v>
      </c>
      <c r="B18" s="601" t="s">
        <v>891</v>
      </c>
      <c r="C18" s="601" t="s">
        <v>6</v>
      </c>
      <c r="D18" s="601" t="s">
        <v>57</v>
      </c>
      <c r="E18" s="601" t="s">
        <v>65</v>
      </c>
      <c r="F18" s="602">
        <v>47841</v>
      </c>
      <c r="G18" s="602">
        <v>45904</v>
      </c>
      <c r="H18" s="602">
        <v>545</v>
      </c>
      <c r="I18" s="602">
        <v>35</v>
      </c>
      <c r="J18" s="602">
        <v>184575</v>
      </c>
      <c r="K18" s="604" t="s">
        <v>902</v>
      </c>
      <c r="L18" s="604">
        <f t="shared" si="0"/>
        <v>4</v>
      </c>
    </row>
    <row r="19" spans="1:12" s="514" customFormat="1" ht="13" customHeight="1" x14ac:dyDescent="0.3">
      <c r="A19" s="599" t="s">
        <v>110</v>
      </c>
      <c r="B19" s="599" t="s">
        <v>891</v>
      </c>
      <c r="C19" s="599" t="s">
        <v>6</v>
      </c>
      <c r="D19" s="599" t="s">
        <v>52</v>
      </c>
      <c r="E19" s="599" t="s">
        <v>59</v>
      </c>
      <c r="F19" s="600">
        <v>2</v>
      </c>
      <c r="G19" s="600">
        <v>2</v>
      </c>
      <c r="H19" s="600">
        <v>0</v>
      </c>
      <c r="I19" s="600">
        <v>0</v>
      </c>
      <c r="J19" s="600">
        <v>0</v>
      </c>
      <c r="K19" s="604" t="s">
        <v>902</v>
      </c>
      <c r="L19" s="604">
        <f t="shared" si="0"/>
        <v>4</v>
      </c>
    </row>
    <row r="20" spans="1:12" s="514" customFormat="1" ht="13" customHeight="1" x14ac:dyDescent="0.3">
      <c r="A20" s="599" t="s">
        <v>110</v>
      </c>
      <c r="B20" s="599" t="s">
        <v>891</v>
      </c>
      <c r="C20" s="599" t="s">
        <v>7</v>
      </c>
      <c r="D20" s="599" t="s">
        <v>57</v>
      </c>
      <c r="E20" s="599" t="s">
        <v>64</v>
      </c>
      <c r="F20" s="600">
        <v>86781</v>
      </c>
      <c r="G20" s="600">
        <v>77974</v>
      </c>
      <c r="H20" s="600">
        <v>231</v>
      </c>
      <c r="I20" s="600">
        <v>10</v>
      </c>
      <c r="J20" s="600">
        <v>156500</v>
      </c>
      <c r="K20" s="604" t="s">
        <v>902</v>
      </c>
      <c r="L20" s="604">
        <f t="shared" si="0"/>
        <v>4</v>
      </c>
    </row>
    <row r="21" spans="1:12" s="514" customFormat="1" ht="13" customHeight="1" x14ac:dyDescent="0.3">
      <c r="A21" s="601" t="s">
        <v>110</v>
      </c>
      <c r="B21" s="601" t="s">
        <v>891</v>
      </c>
      <c r="C21" s="601" t="s">
        <v>7</v>
      </c>
      <c r="D21" s="601" t="s">
        <v>4</v>
      </c>
      <c r="E21" s="601" t="s">
        <v>43</v>
      </c>
      <c r="F21" s="602">
        <v>226</v>
      </c>
      <c r="G21" s="602">
        <v>153</v>
      </c>
      <c r="H21" s="602">
        <v>3</v>
      </c>
      <c r="I21" s="602">
        <v>1</v>
      </c>
      <c r="J21" s="602">
        <v>3900</v>
      </c>
      <c r="K21" s="604" t="s">
        <v>902</v>
      </c>
      <c r="L21" s="604">
        <f t="shared" si="0"/>
        <v>4</v>
      </c>
    </row>
    <row r="22" spans="1:12" s="514" customFormat="1" ht="13" customHeight="1" x14ac:dyDescent="0.3">
      <c r="A22" s="599" t="s">
        <v>110</v>
      </c>
      <c r="B22" s="599" t="s">
        <v>891</v>
      </c>
      <c r="C22" s="599" t="s">
        <v>7</v>
      </c>
      <c r="D22" s="599" t="s">
        <v>52</v>
      </c>
      <c r="E22" s="599" t="s">
        <v>61</v>
      </c>
      <c r="F22" s="600">
        <v>54359</v>
      </c>
      <c r="G22" s="600">
        <v>50424</v>
      </c>
      <c r="H22" s="600">
        <v>1154</v>
      </c>
      <c r="I22" s="600">
        <v>121</v>
      </c>
      <c r="J22" s="600">
        <v>1233500</v>
      </c>
      <c r="K22" s="604" t="s">
        <v>902</v>
      </c>
      <c r="L22" s="604">
        <f t="shared" si="0"/>
        <v>4</v>
      </c>
    </row>
    <row r="23" spans="1:12" s="514" customFormat="1" ht="13" customHeight="1" x14ac:dyDescent="0.3">
      <c r="A23" s="601" t="s">
        <v>110</v>
      </c>
      <c r="B23" s="601" t="s">
        <v>891</v>
      </c>
      <c r="C23" s="601" t="s">
        <v>7</v>
      </c>
      <c r="D23" s="601" t="s">
        <v>4</v>
      </c>
      <c r="E23" s="601" t="s">
        <v>41</v>
      </c>
      <c r="F23" s="602">
        <v>59</v>
      </c>
      <c r="G23" s="602">
        <v>46</v>
      </c>
      <c r="H23" s="602">
        <v>2</v>
      </c>
      <c r="I23" s="602">
        <v>0</v>
      </c>
      <c r="J23" s="602">
        <v>0</v>
      </c>
      <c r="K23" s="604" t="s">
        <v>902</v>
      </c>
      <c r="L23" s="604">
        <f t="shared" si="0"/>
        <v>4</v>
      </c>
    </row>
    <row r="24" spans="1:12" s="514" customFormat="1" ht="13" customHeight="1" x14ac:dyDescent="0.3">
      <c r="A24" s="599" t="s">
        <v>110</v>
      </c>
      <c r="B24" s="599" t="s">
        <v>891</v>
      </c>
      <c r="C24" s="599" t="s">
        <v>7</v>
      </c>
      <c r="D24" s="599" t="s">
        <v>57</v>
      </c>
      <c r="E24" s="599" t="s">
        <v>63</v>
      </c>
      <c r="F24" s="600">
        <v>45705</v>
      </c>
      <c r="G24" s="600">
        <v>38313</v>
      </c>
      <c r="H24" s="600">
        <v>717</v>
      </c>
      <c r="I24" s="600">
        <v>88</v>
      </c>
      <c r="J24" s="600">
        <v>892100</v>
      </c>
      <c r="K24" s="604" t="s">
        <v>902</v>
      </c>
      <c r="L24" s="604">
        <f t="shared" si="0"/>
        <v>4</v>
      </c>
    </row>
    <row r="25" spans="1:12" s="514" customFormat="1" ht="13" customHeight="1" x14ac:dyDescent="0.3">
      <c r="A25" s="601" t="s">
        <v>110</v>
      </c>
      <c r="B25" s="601" t="s">
        <v>891</v>
      </c>
      <c r="C25" s="601" t="s">
        <v>7</v>
      </c>
      <c r="D25" s="601" t="s">
        <v>52</v>
      </c>
      <c r="E25" s="601" t="s">
        <v>59</v>
      </c>
      <c r="F25" s="602">
        <v>24</v>
      </c>
      <c r="G25" s="602">
        <v>24</v>
      </c>
      <c r="H25" s="602">
        <v>0</v>
      </c>
      <c r="I25" s="602">
        <v>0</v>
      </c>
      <c r="J25" s="602">
        <v>0</v>
      </c>
      <c r="K25" s="604" t="s">
        <v>902</v>
      </c>
      <c r="L25" s="604">
        <f t="shared" si="0"/>
        <v>4</v>
      </c>
    </row>
    <row r="26" spans="1:12" s="514" customFormat="1" ht="13" customHeight="1" x14ac:dyDescent="0.3">
      <c r="A26" s="599" t="s">
        <v>110</v>
      </c>
      <c r="B26" s="599" t="s">
        <v>891</v>
      </c>
      <c r="C26" s="599" t="s">
        <v>7</v>
      </c>
      <c r="D26" s="599" t="s">
        <v>4</v>
      </c>
      <c r="E26" s="599" t="s">
        <v>42</v>
      </c>
      <c r="F26" s="600">
        <v>2</v>
      </c>
      <c r="G26" s="600">
        <v>2</v>
      </c>
      <c r="H26" s="600">
        <v>0</v>
      </c>
      <c r="I26" s="600">
        <v>0</v>
      </c>
      <c r="J26" s="600">
        <v>0</v>
      </c>
      <c r="K26" s="604" t="s">
        <v>902</v>
      </c>
      <c r="L26" s="604">
        <f t="shared" si="0"/>
        <v>4</v>
      </c>
    </row>
    <row r="27" spans="1:12" s="514" customFormat="1" ht="13" customHeight="1" x14ac:dyDescent="0.3">
      <c r="A27" s="601" t="s">
        <v>110</v>
      </c>
      <c r="B27" s="601" t="s">
        <v>891</v>
      </c>
      <c r="C27" s="601" t="s">
        <v>7</v>
      </c>
      <c r="D27" s="601" t="s">
        <v>52</v>
      </c>
      <c r="E27" s="601" t="s">
        <v>51</v>
      </c>
      <c r="F27" s="602">
        <v>221</v>
      </c>
      <c r="G27" s="602">
        <v>216</v>
      </c>
      <c r="H27" s="602">
        <v>0</v>
      </c>
      <c r="I27" s="602">
        <v>0</v>
      </c>
      <c r="J27" s="602">
        <v>0</v>
      </c>
      <c r="K27" s="604" t="s">
        <v>902</v>
      </c>
      <c r="L27" s="604">
        <f t="shared" si="0"/>
        <v>4</v>
      </c>
    </row>
    <row r="28" spans="1:12" s="514" customFormat="1" ht="13" customHeight="1" x14ac:dyDescent="0.3">
      <c r="A28" s="599" t="s">
        <v>110</v>
      </c>
      <c r="B28" s="599" t="s">
        <v>891</v>
      </c>
      <c r="C28" s="599" t="s">
        <v>7</v>
      </c>
      <c r="D28" s="599" t="s">
        <v>52</v>
      </c>
      <c r="E28" s="599" t="s">
        <v>58</v>
      </c>
      <c r="F28" s="600">
        <v>10</v>
      </c>
      <c r="G28" s="600">
        <v>10</v>
      </c>
      <c r="H28" s="600">
        <v>0</v>
      </c>
      <c r="I28" s="600">
        <v>0</v>
      </c>
      <c r="J28" s="600">
        <v>0</v>
      </c>
      <c r="K28" s="604" t="s">
        <v>902</v>
      </c>
      <c r="L28" s="604">
        <f t="shared" si="0"/>
        <v>4</v>
      </c>
    </row>
    <row r="29" spans="1:12" s="514" customFormat="1" ht="13" customHeight="1" x14ac:dyDescent="0.3">
      <c r="A29" s="601" t="s">
        <v>110</v>
      </c>
      <c r="B29" s="601" t="s">
        <v>891</v>
      </c>
      <c r="C29" s="601" t="s">
        <v>7</v>
      </c>
      <c r="D29" s="601" t="s">
        <v>55</v>
      </c>
      <c r="E29" s="601" t="s">
        <v>56</v>
      </c>
      <c r="F29" s="602">
        <v>7</v>
      </c>
      <c r="G29" s="602">
        <v>4</v>
      </c>
      <c r="H29" s="602">
        <v>0</v>
      </c>
      <c r="I29" s="602">
        <v>0</v>
      </c>
      <c r="J29" s="602">
        <v>0</v>
      </c>
      <c r="K29" s="604" t="s">
        <v>902</v>
      </c>
      <c r="L29" s="604">
        <f t="shared" si="0"/>
        <v>4</v>
      </c>
    </row>
    <row r="30" spans="1:12" s="514" customFormat="1" ht="13" customHeight="1" x14ac:dyDescent="0.3">
      <c r="A30" s="599" t="s">
        <v>110</v>
      </c>
      <c r="B30" s="599" t="s">
        <v>891</v>
      </c>
      <c r="C30" s="599" t="s">
        <v>7</v>
      </c>
      <c r="D30" s="599" t="s">
        <v>57</v>
      </c>
      <c r="E30" s="599" t="s">
        <v>65</v>
      </c>
      <c r="F30" s="600">
        <v>49102</v>
      </c>
      <c r="G30" s="600">
        <v>44270</v>
      </c>
      <c r="H30" s="600">
        <v>662</v>
      </c>
      <c r="I30" s="600">
        <v>39</v>
      </c>
      <c r="J30" s="600">
        <v>339400</v>
      </c>
      <c r="K30" s="604" t="s">
        <v>902</v>
      </c>
      <c r="L30" s="604">
        <f t="shared" si="0"/>
        <v>4</v>
      </c>
    </row>
    <row r="31" spans="1:12" s="514" customFormat="1" ht="13" customHeight="1" x14ac:dyDescent="0.3">
      <c r="A31" s="599" t="s">
        <v>110</v>
      </c>
      <c r="B31" s="599" t="s">
        <v>892</v>
      </c>
      <c r="C31" s="599" t="s">
        <v>40</v>
      </c>
      <c r="D31" s="599" t="s">
        <v>4</v>
      </c>
      <c r="E31" s="599" t="s">
        <v>41</v>
      </c>
      <c r="F31" s="600">
        <v>35</v>
      </c>
      <c r="G31" s="600">
        <v>15</v>
      </c>
      <c r="H31" s="600">
        <v>1</v>
      </c>
      <c r="I31" s="600">
        <v>0</v>
      </c>
      <c r="J31" s="600">
        <v>0</v>
      </c>
      <c r="K31" s="604" t="s">
        <v>902</v>
      </c>
      <c r="L31" s="604">
        <f t="shared" si="0"/>
        <v>5</v>
      </c>
    </row>
    <row r="32" spans="1:12" s="514" customFormat="1" ht="13" customHeight="1" x14ac:dyDescent="0.3">
      <c r="A32" s="601" t="s">
        <v>110</v>
      </c>
      <c r="B32" s="601" t="s">
        <v>892</v>
      </c>
      <c r="C32" s="601" t="s">
        <v>40</v>
      </c>
      <c r="D32" s="601" t="s">
        <v>52</v>
      </c>
      <c r="E32" s="601" t="s">
        <v>51</v>
      </c>
      <c r="F32" s="602">
        <v>9</v>
      </c>
      <c r="G32" s="602">
        <v>8</v>
      </c>
      <c r="H32" s="602">
        <v>0</v>
      </c>
      <c r="I32" s="602">
        <v>0</v>
      </c>
      <c r="J32" s="602">
        <v>0</v>
      </c>
      <c r="K32" s="604" t="s">
        <v>902</v>
      </c>
      <c r="L32" s="604">
        <f t="shared" si="0"/>
        <v>5</v>
      </c>
    </row>
    <row r="33" spans="1:12" s="514" customFormat="1" ht="13" customHeight="1" x14ac:dyDescent="0.3">
      <c r="A33" s="601" t="s">
        <v>110</v>
      </c>
      <c r="B33" s="601" t="s">
        <v>892</v>
      </c>
      <c r="C33" s="601" t="s">
        <v>40</v>
      </c>
      <c r="D33" s="601" t="s">
        <v>57</v>
      </c>
      <c r="E33" s="601" t="s">
        <v>64</v>
      </c>
      <c r="F33" s="602">
        <v>85094</v>
      </c>
      <c r="G33" s="602">
        <v>75915</v>
      </c>
      <c r="H33" s="602">
        <v>720</v>
      </c>
      <c r="I33" s="602">
        <v>16</v>
      </c>
      <c r="J33" s="602">
        <v>170100</v>
      </c>
      <c r="K33" s="604" t="s">
        <v>902</v>
      </c>
      <c r="L33" s="604">
        <f t="shared" si="0"/>
        <v>5</v>
      </c>
    </row>
    <row r="34" spans="1:12" s="514" customFormat="1" ht="13" customHeight="1" x14ac:dyDescent="0.3">
      <c r="A34" s="601" t="s">
        <v>110</v>
      </c>
      <c r="B34" s="601" t="s">
        <v>892</v>
      </c>
      <c r="C34" s="601" t="s">
        <v>40</v>
      </c>
      <c r="D34" s="601" t="s">
        <v>4</v>
      </c>
      <c r="E34" s="601" t="s">
        <v>43</v>
      </c>
      <c r="F34" s="602">
        <v>328</v>
      </c>
      <c r="G34" s="602">
        <v>183</v>
      </c>
      <c r="H34" s="602">
        <v>2</v>
      </c>
      <c r="I34" s="602">
        <v>1</v>
      </c>
      <c r="J34" s="602">
        <v>4800</v>
      </c>
      <c r="K34" s="604" t="s">
        <v>902</v>
      </c>
      <c r="L34" s="604">
        <f t="shared" si="0"/>
        <v>5</v>
      </c>
    </row>
    <row r="35" spans="1:12" s="514" customFormat="1" ht="13" customHeight="1" x14ac:dyDescent="0.3">
      <c r="A35" s="601" t="s">
        <v>110</v>
      </c>
      <c r="B35" s="601" t="s">
        <v>892</v>
      </c>
      <c r="C35" s="601" t="s">
        <v>40</v>
      </c>
      <c r="D35" s="601" t="s">
        <v>57</v>
      </c>
      <c r="E35" s="601" t="s">
        <v>63</v>
      </c>
      <c r="F35" s="602">
        <v>39657</v>
      </c>
      <c r="G35" s="602">
        <v>34123</v>
      </c>
      <c r="H35" s="602">
        <v>802</v>
      </c>
      <c r="I35" s="602">
        <v>118</v>
      </c>
      <c r="J35" s="602">
        <v>1471900</v>
      </c>
      <c r="K35" s="604" t="s">
        <v>902</v>
      </c>
      <c r="L35" s="604">
        <f t="shared" si="0"/>
        <v>5</v>
      </c>
    </row>
    <row r="36" spans="1:12" s="514" customFormat="1" ht="13" customHeight="1" x14ac:dyDescent="0.3">
      <c r="A36" s="599" t="s">
        <v>110</v>
      </c>
      <c r="B36" s="599" t="s">
        <v>892</v>
      </c>
      <c r="C36" s="599" t="s">
        <v>40</v>
      </c>
      <c r="D36" s="599" t="s">
        <v>4</v>
      </c>
      <c r="E36" s="599" t="s">
        <v>42</v>
      </c>
      <c r="F36" s="600">
        <v>1</v>
      </c>
      <c r="G36" s="600">
        <v>0</v>
      </c>
      <c r="H36" s="600">
        <v>0</v>
      </c>
      <c r="I36" s="600">
        <v>0</v>
      </c>
      <c r="J36" s="600">
        <v>0</v>
      </c>
      <c r="K36" s="604" t="s">
        <v>902</v>
      </c>
      <c r="L36" s="604">
        <f t="shared" si="0"/>
        <v>5</v>
      </c>
    </row>
    <row r="37" spans="1:12" s="514" customFormat="1" ht="13" customHeight="1" x14ac:dyDescent="0.3">
      <c r="A37" s="601" t="s">
        <v>110</v>
      </c>
      <c r="B37" s="601" t="s">
        <v>892</v>
      </c>
      <c r="C37" s="601" t="s">
        <v>40</v>
      </c>
      <c r="D37" s="601" t="s">
        <v>52</v>
      </c>
      <c r="E37" s="601" t="s">
        <v>58</v>
      </c>
      <c r="F37" s="602">
        <v>3</v>
      </c>
      <c r="G37" s="602">
        <v>1</v>
      </c>
      <c r="H37" s="602">
        <v>0</v>
      </c>
      <c r="I37" s="602">
        <v>0</v>
      </c>
      <c r="J37" s="602">
        <v>0</v>
      </c>
      <c r="K37" s="604" t="s">
        <v>902</v>
      </c>
      <c r="L37" s="604">
        <f t="shared" si="0"/>
        <v>5</v>
      </c>
    </row>
    <row r="38" spans="1:12" s="514" customFormat="1" ht="13" customHeight="1" x14ac:dyDescent="0.3">
      <c r="A38" s="599" t="s">
        <v>110</v>
      </c>
      <c r="B38" s="599" t="s">
        <v>892</v>
      </c>
      <c r="C38" s="599" t="s">
        <v>40</v>
      </c>
      <c r="D38" s="599" t="s">
        <v>52</v>
      </c>
      <c r="E38" s="599" t="s">
        <v>53</v>
      </c>
      <c r="F38" s="600">
        <v>1</v>
      </c>
      <c r="G38" s="600">
        <v>0</v>
      </c>
      <c r="H38" s="600">
        <v>0</v>
      </c>
      <c r="I38" s="600">
        <v>0</v>
      </c>
      <c r="J38" s="600">
        <v>0</v>
      </c>
      <c r="K38" s="604" t="s">
        <v>902</v>
      </c>
      <c r="L38" s="604">
        <f t="shared" si="0"/>
        <v>5</v>
      </c>
    </row>
    <row r="39" spans="1:12" s="514" customFormat="1" ht="13" customHeight="1" x14ac:dyDescent="0.3">
      <c r="A39" s="599" t="s">
        <v>110</v>
      </c>
      <c r="B39" s="599" t="s">
        <v>892</v>
      </c>
      <c r="C39" s="599" t="s">
        <v>40</v>
      </c>
      <c r="D39" s="599" t="s">
        <v>52</v>
      </c>
      <c r="E39" s="599" t="s">
        <v>67</v>
      </c>
      <c r="F39" s="600">
        <v>11811</v>
      </c>
      <c r="G39" s="600">
        <v>11154</v>
      </c>
      <c r="H39" s="600">
        <v>551</v>
      </c>
      <c r="I39" s="600">
        <v>37</v>
      </c>
      <c r="J39" s="600">
        <v>463100</v>
      </c>
      <c r="K39" s="604" t="s">
        <v>902</v>
      </c>
      <c r="L39" s="604">
        <f t="shared" si="0"/>
        <v>5</v>
      </c>
    </row>
    <row r="40" spans="1:12" s="514" customFormat="1" ht="13" customHeight="1" x14ac:dyDescent="0.3">
      <c r="A40" s="601" t="s">
        <v>110</v>
      </c>
      <c r="B40" s="601" t="s">
        <v>892</v>
      </c>
      <c r="C40" s="601" t="s">
        <v>40</v>
      </c>
      <c r="D40" s="601" t="s">
        <v>55</v>
      </c>
      <c r="E40" s="601" t="s">
        <v>56</v>
      </c>
      <c r="F40" s="602">
        <v>2</v>
      </c>
      <c r="G40" s="602">
        <v>1</v>
      </c>
      <c r="H40" s="602">
        <v>0</v>
      </c>
      <c r="I40" s="602">
        <v>0</v>
      </c>
      <c r="J40" s="602">
        <v>0</v>
      </c>
      <c r="K40" s="604" t="s">
        <v>902</v>
      </c>
      <c r="L40" s="604">
        <f t="shared" si="0"/>
        <v>5</v>
      </c>
    </row>
    <row r="41" spans="1:12" s="514" customFormat="1" ht="13" customHeight="1" x14ac:dyDescent="0.3">
      <c r="A41" s="599" t="s">
        <v>110</v>
      </c>
      <c r="B41" s="599" t="s">
        <v>892</v>
      </c>
      <c r="C41" s="599" t="s">
        <v>40</v>
      </c>
      <c r="D41" s="599" t="s">
        <v>57</v>
      </c>
      <c r="E41" s="599" t="s">
        <v>65</v>
      </c>
      <c r="F41" s="600">
        <v>43939</v>
      </c>
      <c r="G41" s="600">
        <v>41008</v>
      </c>
      <c r="H41" s="600">
        <v>756</v>
      </c>
      <c r="I41" s="600">
        <v>75</v>
      </c>
      <c r="J41" s="600">
        <v>628100</v>
      </c>
      <c r="K41" s="604" t="s">
        <v>902</v>
      </c>
      <c r="L41" s="604">
        <f t="shared" si="0"/>
        <v>5</v>
      </c>
    </row>
    <row r="42" spans="1:12" s="514" customFormat="1" ht="13" customHeight="1" x14ac:dyDescent="0.3">
      <c r="A42" s="601" t="s">
        <v>110</v>
      </c>
      <c r="B42" s="601" t="s">
        <v>892</v>
      </c>
      <c r="C42" s="601" t="s">
        <v>6</v>
      </c>
      <c r="D42" s="601" t="s">
        <v>57</v>
      </c>
      <c r="E42" s="601" t="s">
        <v>65</v>
      </c>
      <c r="F42" s="602">
        <v>80160</v>
      </c>
      <c r="G42" s="602">
        <v>74634</v>
      </c>
      <c r="H42" s="602">
        <v>1557</v>
      </c>
      <c r="I42" s="602">
        <v>324</v>
      </c>
      <c r="J42" s="602">
        <v>1184411.54</v>
      </c>
      <c r="K42" s="604" t="s">
        <v>902</v>
      </c>
      <c r="L42" s="604">
        <f t="shared" si="0"/>
        <v>5</v>
      </c>
    </row>
    <row r="43" spans="1:12" s="514" customFormat="1" ht="13" customHeight="1" x14ac:dyDescent="0.3">
      <c r="A43" s="599" t="s">
        <v>110</v>
      </c>
      <c r="B43" s="599" t="s">
        <v>892</v>
      </c>
      <c r="C43" s="599" t="s">
        <v>6</v>
      </c>
      <c r="D43" s="599" t="s">
        <v>52</v>
      </c>
      <c r="E43" s="599" t="s">
        <v>59</v>
      </c>
      <c r="F43" s="600">
        <v>18966</v>
      </c>
      <c r="G43" s="600">
        <v>16440</v>
      </c>
      <c r="H43" s="600">
        <v>0</v>
      </c>
      <c r="I43" s="600">
        <v>0</v>
      </c>
      <c r="J43" s="600">
        <v>0</v>
      </c>
      <c r="K43" s="604" t="s">
        <v>902</v>
      </c>
      <c r="L43" s="604">
        <f t="shared" si="0"/>
        <v>5</v>
      </c>
    </row>
    <row r="44" spans="1:12" s="514" customFormat="1" ht="13" customHeight="1" x14ac:dyDescent="0.3">
      <c r="A44" s="601" t="s">
        <v>110</v>
      </c>
      <c r="B44" s="601" t="s">
        <v>892</v>
      </c>
      <c r="C44" s="601" t="s">
        <v>6</v>
      </c>
      <c r="D44" s="601" t="s">
        <v>57</v>
      </c>
      <c r="E44" s="601" t="s">
        <v>64</v>
      </c>
      <c r="F44" s="602">
        <v>196216</v>
      </c>
      <c r="G44" s="602">
        <v>181149</v>
      </c>
      <c r="H44" s="602">
        <v>1411</v>
      </c>
      <c r="I44" s="602">
        <v>151</v>
      </c>
      <c r="J44" s="602">
        <v>397062.21</v>
      </c>
      <c r="K44" s="604" t="s">
        <v>902</v>
      </c>
      <c r="L44" s="604">
        <f t="shared" si="0"/>
        <v>5</v>
      </c>
    </row>
    <row r="45" spans="1:12" s="514" customFormat="1" ht="13" customHeight="1" x14ac:dyDescent="0.3">
      <c r="A45" s="599" t="s">
        <v>110</v>
      </c>
      <c r="B45" s="599" t="s">
        <v>892</v>
      </c>
      <c r="C45" s="599" t="s">
        <v>6</v>
      </c>
      <c r="D45" s="599" t="s">
        <v>57</v>
      </c>
      <c r="E45" s="599" t="s">
        <v>63</v>
      </c>
      <c r="F45" s="600">
        <v>52506</v>
      </c>
      <c r="G45" s="600">
        <v>44246</v>
      </c>
      <c r="H45" s="600">
        <v>1389</v>
      </c>
      <c r="I45" s="600">
        <v>399</v>
      </c>
      <c r="J45" s="600">
        <v>1330716.0899999996</v>
      </c>
      <c r="K45" s="604" t="s">
        <v>902</v>
      </c>
      <c r="L45" s="604">
        <f t="shared" si="0"/>
        <v>5</v>
      </c>
    </row>
    <row r="46" spans="1:12" s="514" customFormat="1" ht="13" customHeight="1" x14ac:dyDescent="0.3">
      <c r="A46" s="599" t="s">
        <v>110</v>
      </c>
      <c r="B46" s="599" t="s">
        <v>892</v>
      </c>
      <c r="C46" s="599" t="s">
        <v>6</v>
      </c>
      <c r="D46" s="599" t="s">
        <v>52</v>
      </c>
      <c r="E46" s="599" t="s">
        <v>53</v>
      </c>
      <c r="F46" s="600">
        <v>14007</v>
      </c>
      <c r="G46" s="600">
        <v>12445</v>
      </c>
      <c r="H46" s="600">
        <v>0</v>
      </c>
      <c r="I46" s="600">
        <v>0</v>
      </c>
      <c r="J46" s="600">
        <v>0</v>
      </c>
      <c r="K46" s="604" t="s">
        <v>902</v>
      </c>
      <c r="L46" s="604">
        <f t="shared" si="0"/>
        <v>5</v>
      </c>
    </row>
    <row r="47" spans="1:12" s="514" customFormat="1" ht="13" customHeight="1" x14ac:dyDescent="0.3">
      <c r="A47" s="601" t="s">
        <v>110</v>
      </c>
      <c r="B47" s="601" t="s">
        <v>892</v>
      </c>
      <c r="C47" s="601" t="s">
        <v>6</v>
      </c>
      <c r="D47" s="601" t="s">
        <v>52</v>
      </c>
      <c r="E47" s="601" t="s">
        <v>61</v>
      </c>
      <c r="F47" s="602">
        <v>20721</v>
      </c>
      <c r="G47" s="602">
        <v>19122</v>
      </c>
      <c r="H47" s="602">
        <v>461</v>
      </c>
      <c r="I47" s="602">
        <v>93</v>
      </c>
      <c r="J47" s="602">
        <v>352213.5</v>
      </c>
      <c r="K47" s="604" t="s">
        <v>902</v>
      </c>
      <c r="L47" s="604">
        <f t="shared" si="0"/>
        <v>5</v>
      </c>
    </row>
    <row r="48" spans="1:12" s="514" customFormat="1" ht="13" customHeight="1" x14ac:dyDescent="0.3">
      <c r="A48" s="599" t="s">
        <v>110</v>
      </c>
      <c r="B48" s="599" t="s">
        <v>892</v>
      </c>
      <c r="C48" s="599" t="s">
        <v>6</v>
      </c>
      <c r="D48" s="599" t="s">
        <v>4</v>
      </c>
      <c r="E48" s="599" t="s">
        <v>42</v>
      </c>
      <c r="F48" s="600">
        <v>4</v>
      </c>
      <c r="G48" s="600">
        <v>2</v>
      </c>
      <c r="H48" s="600">
        <v>0</v>
      </c>
      <c r="I48" s="600">
        <v>0</v>
      </c>
      <c r="J48" s="600">
        <v>0</v>
      </c>
      <c r="K48" s="604" t="s">
        <v>902</v>
      </c>
      <c r="L48" s="604">
        <f t="shared" si="0"/>
        <v>5</v>
      </c>
    </row>
    <row r="49" spans="1:12" s="514" customFormat="1" ht="13" customHeight="1" x14ac:dyDescent="0.3">
      <c r="A49" s="599" t="s">
        <v>110</v>
      </c>
      <c r="B49" s="599" t="s">
        <v>892</v>
      </c>
      <c r="C49" s="599" t="s">
        <v>6</v>
      </c>
      <c r="D49" s="599" t="s">
        <v>55</v>
      </c>
      <c r="E49" s="599" t="s">
        <v>54</v>
      </c>
      <c r="F49" s="600">
        <v>85426</v>
      </c>
      <c r="G49" s="600">
        <v>78561</v>
      </c>
      <c r="H49" s="600">
        <v>33</v>
      </c>
      <c r="I49" s="600">
        <v>0</v>
      </c>
      <c r="J49" s="600">
        <v>0</v>
      </c>
      <c r="K49" s="604" t="s">
        <v>902</v>
      </c>
      <c r="L49" s="604">
        <f t="shared" si="0"/>
        <v>5</v>
      </c>
    </row>
    <row r="50" spans="1:12" s="514" customFormat="1" ht="13" customHeight="1" x14ac:dyDescent="0.3">
      <c r="A50" s="599" t="s">
        <v>110</v>
      </c>
      <c r="B50" s="599" t="s">
        <v>892</v>
      </c>
      <c r="C50" s="599" t="s">
        <v>6</v>
      </c>
      <c r="D50" s="599" t="s">
        <v>55</v>
      </c>
      <c r="E50" s="599" t="s">
        <v>66</v>
      </c>
      <c r="F50" s="600">
        <v>10</v>
      </c>
      <c r="G50" s="600">
        <v>6</v>
      </c>
      <c r="H50" s="600">
        <v>0</v>
      </c>
      <c r="I50" s="600">
        <v>0</v>
      </c>
      <c r="J50" s="600">
        <v>0</v>
      </c>
      <c r="K50" s="604" t="s">
        <v>902</v>
      </c>
      <c r="L50" s="604">
        <f t="shared" si="0"/>
        <v>5</v>
      </c>
    </row>
    <row r="51" spans="1:12" s="514" customFormat="1" ht="13" customHeight="1" x14ac:dyDescent="0.3">
      <c r="A51" s="601" t="s">
        <v>110</v>
      </c>
      <c r="B51" s="601" t="s">
        <v>892</v>
      </c>
      <c r="C51" s="601" t="s">
        <v>6</v>
      </c>
      <c r="D51" s="601" t="s">
        <v>52</v>
      </c>
      <c r="E51" s="601" t="s">
        <v>51</v>
      </c>
      <c r="F51" s="602">
        <v>5</v>
      </c>
      <c r="G51" s="602">
        <v>4</v>
      </c>
      <c r="H51" s="602">
        <v>0</v>
      </c>
      <c r="I51" s="602">
        <v>0</v>
      </c>
      <c r="J51" s="602">
        <v>0</v>
      </c>
      <c r="K51" s="604" t="s">
        <v>902</v>
      </c>
      <c r="L51" s="604">
        <f t="shared" si="0"/>
        <v>5</v>
      </c>
    </row>
    <row r="52" spans="1:12" s="514" customFormat="1" ht="13" customHeight="1" x14ac:dyDescent="0.3">
      <c r="A52" s="601" t="s">
        <v>110</v>
      </c>
      <c r="B52" s="601" t="s">
        <v>892</v>
      </c>
      <c r="C52" s="601" t="s">
        <v>6</v>
      </c>
      <c r="D52" s="601" t="s">
        <v>55</v>
      </c>
      <c r="E52" s="601" t="s">
        <v>56</v>
      </c>
      <c r="F52" s="602">
        <v>4</v>
      </c>
      <c r="G52" s="602">
        <v>2</v>
      </c>
      <c r="H52" s="602">
        <v>1</v>
      </c>
      <c r="I52" s="602">
        <v>0</v>
      </c>
      <c r="J52" s="602">
        <v>0</v>
      </c>
      <c r="K52" s="604" t="s">
        <v>902</v>
      </c>
      <c r="L52" s="604">
        <f t="shared" si="0"/>
        <v>5</v>
      </c>
    </row>
    <row r="53" spans="1:12" s="514" customFormat="1" ht="13" customHeight="1" x14ac:dyDescent="0.3">
      <c r="A53" s="599" t="s">
        <v>110</v>
      </c>
      <c r="B53" s="599" t="s">
        <v>892</v>
      </c>
      <c r="C53" s="599" t="s">
        <v>6</v>
      </c>
      <c r="D53" s="599" t="s">
        <v>4</v>
      </c>
      <c r="E53" s="599" t="s">
        <v>41</v>
      </c>
      <c r="F53" s="600">
        <v>79</v>
      </c>
      <c r="G53" s="600">
        <v>48</v>
      </c>
      <c r="H53" s="600">
        <v>4</v>
      </c>
      <c r="I53" s="600">
        <v>0</v>
      </c>
      <c r="J53" s="600">
        <v>0</v>
      </c>
      <c r="K53" s="604" t="s">
        <v>902</v>
      </c>
      <c r="L53" s="604">
        <f t="shared" si="0"/>
        <v>5</v>
      </c>
    </row>
    <row r="54" spans="1:12" s="514" customFormat="1" ht="13" customHeight="1" x14ac:dyDescent="0.3">
      <c r="A54" s="601" t="s">
        <v>110</v>
      </c>
      <c r="B54" s="601" t="s">
        <v>892</v>
      </c>
      <c r="C54" s="601" t="s">
        <v>6</v>
      </c>
      <c r="D54" s="601" t="s">
        <v>4</v>
      </c>
      <c r="E54" s="601" t="s">
        <v>43</v>
      </c>
      <c r="F54" s="602">
        <v>4923</v>
      </c>
      <c r="G54" s="602">
        <v>2691</v>
      </c>
      <c r="H54" s="602">
        <v>40</v>
      </c>
      <c r="I54" s="602">
        <v>40</v>
      </c>
      <c r="J54" s="602">
        <v>144705.32999999999</v>
      </c>
      <c r="K54" s="604" t="s">
        <v>902</v>
      </c>
      <c r="L54" s="604">
        <f t="shared" si="0"/>
        <v>5</v>
      </c>
    </row>
    <row r="55" spans="1:12" s="514" customFormat="1" ht="13" customHeight="1" x14ac:dyDescent="0.3">
      <c r="A55" s="601" t="s">
        <v>110</v>
      </c>
      <c r="B55" s="601" t="s">
        <v>892</v>
      </c>
      <c r="C55" s="601" t="s">
        <v>6</v>
      </c>
      <c r="D55" s="601" t="s">
        <v>52</v>
      </c>
      <c r="E55" s="601" t="s">
        <v>58</v>
      </c>
      <c r="F55" s="602">
        <v>4</v>
      </c>
      <c r="G55" s="602">
        <v>4</v>
      </c>
      <c r="H55" s="602">
        <v>0</v>
      </c>
      <c r="I55" s="602">
        <v>0</v>
      </c>
      <c r="J55" s="602">
        <v>0</v>
      </c>
      <c r="K55" s="604" t="s">
        <v>902</v>
      </c>
      <c r="L55" s="604">
        <f t="shared" si="0"/>
        <v>5</v>
      </c>
    </row>
    <row r="56" spans="1:12" s="514" customFormat="1" ht="13" customHeight="1" x14ac:dyDescent="0.3">
      <c r="A56" s="601" t="s">
        <v>110</v>
      </c>
      <c r="B56" s="601" t="s">
        <v>892</v>
      </c>
      <c r="C56" s="601" t="s">
        <v>7</v>
      </c>
      <c r="D56" s="601" t="s">
        <v>4</v>
      </c>
      <c r="E56" s="601" t="s">
        <v>43</v>
      </c>
      <c r="F56" s="602">
        <v>744</v>
      </c>
      <c r="G56" s="602">
        <v>522</v>
      </c>
      <c r="H56" s="602">
        <v>0</v>
      </c>
      <c r="I56" s="602">
        <v>1</v>
      </c>
      <c r="J56" s="602">
        <v>6300</v>
      </c>
      <c r="K56" s="604" t="s">
        <v>902</v>
      </c>
      <c r="L56" s="604">
        <f t="shared" si="0"/>
        <v>5</v>
      </c>
    </row>
    <row r="57" spans="1:12" s="514" customFormat="1" ht="13" customHeight="1" x14ac:dyDescent="0.3">
      <c r="A57" s="599" t="s">
        <v>110</v>
      </c>
      <c r="B57" s="599" t="s">
        <v>892</v>
      </c>
      <c r="C57" s="599" t="s">
        <v>7</v>
      </c>
      <c r="D57" s="599" t="s">
        <v>52</v>
      </c>
      <c r="E57" s="599" t="s">
        <v>51</v>
      </c>
      <c r="F57" s="600">
        <v>897920</v>
      </c>
      <c r="G57" s="600">
        <v>634103</v>
      </c>
      <c r="H57" s="600">
        <v>0</v>
      </c>
      <c r="I57" s="600">
        <v>0</v>
      </c>
      <c r="J57" s="600">
        <v>0</v>
      </c>
      <c r="K57" s="604" t="s">
        <v>902</v>
      </c>
      <c r="L57" s="604">
        <f t="shared" si="0"/>
        <v>5</v>
      </c>
    </row>
    <row r="58" spans="1:12" s="514" customFormat="1" ht="13" customHeight="1" x14ac:dyDescent="0.3">
      <c r="A58" s="601" t="s">
        <v>110</v>
      </c>
      <c r="B58" s="601" t="s">
        <v>892</v>
      </c>
      <c r="C58" s="601" t="s">
        <v>7</v>
      </c>
      <c r="D58" s="601" t="s">
        <v>52</v>
      </c>
      <c r="E58" s="601" t="s">
        <v>53</v>
      </c>
      <c r="F58" s="602">
        <v>28725</v>
      </c>
      <c r="G58" s="602">
        <v>25487</v>
      </c>
      <c r="H58" s="602">
        <v>0</v>
      </c>
      <c r="I58" s="602">
        <v>0</v>
      </c>
      <c r="J58" s="602">
        <v>0</v>
      </c>
      <c r="K58" s="604" t="s">
        <v>902</v>
      </c>
      <c r="L58" s="604">
        <f t="shared" si="0"/>
        <v>5</v>
      </c>
    </row>
    <row r="59" spans="1:12" s="514" customFormat="1" ht="13" customHeight="1" x14ac:dyDescent="0.3">
      <c r="A59" s="599" t="s">
        <v>110</v>
      </c>
      <c r="B59" s="599" t="s">
        <v>892</v>
      </c>
      <c r="C59" s="599" t="s">
        <v>7</v>
      </c>
      <c r="D59" s="599" t="s">
        <v>55</v>
      </c>
      <c r="E59" s="599" t="s">
        <v>54</v>
      </c>
      <c r="F59" s="600">
        <v>29239</v>
      </c>
      <c r="G59" s="600">
        <v>25360</v>
      </c>
      <c r="H59" s="600">
        <v>0</v>
      </c>
      <c r="I59" s="600">
        <v>0</v>
      </c>
      <c r="J59" s="600">
        <v>0</v>
      </c>
      <c r="K59" s="604" t="s">
        <v>902</v>
      </c>
      <c r="L59" s="604">
        <f t="shared" si="0"/>
        <v>5</v>
      </c>
    </row>
    <row r="60" spans="1:12" s="514" customFormat="1" ht="13" customHeight="1" x14ac:dyDescent="0.3">
      <c r="A60" s="601" t="s">
        <v>110</v>
      </c>
      <c r="B60" s="601" t="s">
        <v>892</v>
      </c>
      <c r="C60" s="601" t="s">
        <v>7</v>
      </c>
      <c r="D60" s="601" t="s">
        <v>4</v>
      </c>
      <c r="E60" s="601" t="s">
        <v>41</v>
      </c>
      <c r="F60" s="602">
        <v>51</v>
      </c>
      <c r="G60" s="602">
        <v>40</v>
      </c>
      <c r="H60" s="602">
        <v>0</v>
      </c>
      <c r="I60" s="602">
        <v>0</v>
      </c>
      <c r="J60" s="602">
        <v>0</v>
      </c>
      <c r="K60" s="604" t="s">
        <v>902</v>
      </c>
      <c r="L60" s="604">
        <f t="shared" si="0"/>
        <v>5</v>
      </c>
    </row>
    <row r="61" spans="1:12" s="514" customFormat="1" ht="13" customHeight="1" x14ac:dyDescent="0.3">
      <c r="A61" s="599" t="s">
        <v>110</v>
      </c>
      <c r="B61" s="599" t="s">
        <v>892</v>
      </c>
      <c r="C61" s="599" t="s">
        <v>7</v>
      </c>
      <c r="D61" s="599" t="s">
        <v>55</v>
      </c>
      <c r="E61" s="599" t="s">
        <v>56</v>
      </c>
      <c r="F61" s="600">
        <v>11</v>
      </c>
      <c r="G61" s="600">
        <v>4</v>
      </c>
      <c r="H61" s="600">
        <v>0</v>
      </c>
      <c r="I61" s="600">
        <v>0</v>
      </c>
      <c r="J61" s="600">
        <v>0</v>
      </c>
      <c r="K61" s="604" t="s">
        <v>902</v>
      </c>
      <c r="L61" s="604">
        <f t="shared" si="0"/>
        <v>5</v>
      </c>
    </row>
    <row r="62" spans="1:12" s="514" customFormat="1" ht="13" customHeight="1" x14ac:dyDescent="0.3">
      <c r="A62" s="601" t="s">
        <v>110</v>
      </c>
      <c r="B62" s="601" t="s">
        <v>892</v>
      </c>
      <c r="C62" s="601" t="s">
        <v>7</v>
      </c>
      <c r="D62" s="601" t="s">
        <v>57</v>
      </c>
      <c r="E62" s="601" t="s">
        <v>63</v>
      </c>
      <c r="F62" s="602">
        <v>50988</v>
      </c>
      <c r="G62" s="602">
        <v>43126</v>
      </c>
      <c r="H62" s="602">
        <v>1143</v>
      </c>
      <c r="I62" s="602">
        <v>179</v>
      </c>
      <c r="J62" s="602">
        <v>1458880</v>
      </c>
      <c r="K62" s="604" t="s">
        <v>902</v>
      </c>
      <c r="L62" s="604">
        <f t="shared" si="0"/>
        <v>5</v>
      </c>
    </row>
    <row r="63" spans="1:12" s="514" customFormat="1" ht="13" customHeight="1" x14ac:dyDescent="0.3">
      <c r="A63" s="599" t="s">
        <v>110</v>
      </c>
      <c r="B63" s="599" t="s">
        <v>892</v>
      </c>
      <c r="C63" s="599" t="s">
        <v>7</v>
      </c>
      <c r="D63" s="599" t="s">
        <v>4</v>
      </c>
      <c r="E63" s="599" t="s">
        <v>42</v>
      </c>
      <c r="F63" s="600">
        <v>1</v>
      </c>
      <c r="G63" s="600">
        <v>1</v>
      </c>
      <c r="H63" s="600">
        <v>0</v>
      </c>
      <c r="I63" s="600">
        <v>0</v>
      </c>
      <c r="J63" s="600">
        <v>0</v>
      </c>
      <c r="K63" s="604" t="s">
        <v>902</v>
      </c>
      <c r="L63" s="604">
        <f t="shared" si="0"/>
        <v>5</v>
      </c>
    </row>
    <row r="64" spans="1:12" s="514" customFormat="1" ht="13" customHeight="1" x14ac:dyDescent="0.3">
      <c r="A64" s="601" t="s">
        <v>110</v>
      </c>
      <c r="B64" s="601" t="s">
        <v>892</v>
      </c>
      <c r="C64" s="601" t="s">
        <v>7</v>
      </c>
      <c r="D64" s="601" t="s">
        <v>57</v>
      </c>
      <c r="E64" s="601" t="s">
        <v>65</v>
      </c>
      <c r="F64" s="602">
        <v>57796</v>
      </c>
      <c r="G64" s="602">
        <v>52061</v>
      </c>
      <c r="H64" s="602">
        <v>824</v>
      </c>
      <c r="I64" s="602">
        <v>66</v>
      </c>
      <c r="J64" s="602">
        <v>504140</v>
      </c>
      <c r="K64" s="604" t="s">
        <v>902</v>
      </c>
      <c r="L64" s="604">
        <f t="shared" si="0"/>
        <v>5</v>
      </c>
    </row>
    <row r="65" spans="1:12" s="514" customFormat="1" ht="13" customHeight="1" x14ac:dyDescent="0.3">
      <c r="A65" s="599" t="s">
        <v>110</v>
      </c>
      <c r="B65" s="599" t="s">
        <v>892</v>
      </c>
      <c r="C65" s="599" t="s">
        <v>7</v>
      </c>
      <c r="D65" s="599" t="s">
        <v>57</v>
      </c>
      <c r="E65" s="599" t="s">
        <v>64</v>
      </c>
      <c r="F65" s="600">
        <v>142851</v>
      </c>
      <c r="G65" s="600">
        <v>132634</v>
      </c>
      <c r="H65" s="600">
        <v>141</v>
      </c>
      <c r="I65" s="600">
        <v>6</v>
      </c>
      <c r="J65" s="600">
        <v>42480</v>
      </c>
      <c r="K65" s="604" t="s">
        <v>902</v>
      </c>
      <c r="L65" s="604">
        <f t="shared" si="0"/>
        <v>5</v>
      </c>
    </row>
    <row r="66" spans="1:12" s="514" customFormat="1" ht="13" customHeight="1" x14ac:dyDescent="0.3">
      <c r="A66" s="601" t="s">
        <v>110</v>
      </c>
      <c r="B66" s="601" t="s">
        <v>892</v>
      </c>
      <c r="C66" s="601" t="s">
        <v>7</v>
      </c>
      <c r="D66" s="601" t="s">
        <v>52</v>
      </c>
      <c r="E66" s="601" t="s">
        <v>58</v>
      </c>
      <c r="F66" s="602">
        <v>8</v>
      </c>
      <c r="G66" s="602">
        <v>7</v>
      </c>
      <c r="H66" s="602">
        <v>0</v>
      </c>
      <c r="I66" s="602">
        <v>0</v>
      </c>
      <c r="J66" s="602">
        <v>0</v>
      </c>
      <c r="K66" s="604" t="s">
        <v>902</v>
      </c>
      <c r="L66" s="604">
        <f t="shared" si="0"/>
        <v>5</v>
      </c>
    </row>
    <row r="67" spans="1:12" s="514" customFormat="1" ht="13" customHeight="1" x14ac:dyDescent="0.3">
      <c r="A67" s="599" t="s">
        <v>110</v>
      </c>
      <c r="B67" s="599" t="s">
        <v>892</v>
      </c>
      <c r="C67" s="599" t="s">
        <v>7</v>
      </c>
      <c r="D67" s="599" t="s">
        <v>52</v>
      </c>
      <c r="E67" s="599" t="s">
        <v>59</v>
      </c>
      <c r="F67" s="600">
        <v>31939</v>
      </c>
      <c r="G67" s="600">
        <v>28956</v>
      </c>
      <c r="H67" s="600">
        <v>0</v>
      </c>
      <c r="I67" s="600">
        <v>0</v>
      </c>
      <c r="J67" s="600">
        <v>0</v>
      </c>
      <c r="K67" s="604" t="s">
        <v>902</v>
      </c>
      <c r="L67" s="604">
        <f t="shared" ref="L67:L130" si="1">MONTH(B67)</f>
        <v>5</v>
      </c>
    </row>
    <row r="68" spans="1:12" s="514" customFormat="1" ht="13" customHeight="1" x14ac:dyDescent="0.3">
      <c r="A68" s="601" t="s">
        <v>110</v>
      </c>
      <c r="B68" s="601" t="s">
        <v>892</v>
      </c>
      <c r="C68" s="601" t="s">
        <v>7</v>
      </c>
      <c r="D68" s="601" t="s">
        <v>52</v>
      </c>
      <c r="E68" s="601" t="s">
        <v>60</v>
      </c>
      <c r="F68" s="602">
        <v>1</v>
      </c>
      <c r="G68" s="602">
        <v>1</v>
      </c>
      <c r="H68" s="602">
        <v>0</v>
      </c>
      <c r="I68" s="602">
        <v>0</v>
      </c>
      <c r="J68" s="602">
        <v>0</v>
      </c>
      <c r="K68" s="604" t="s">
        <v>902</v>
      </c>
      <c r="L68" s="604">
        <f t="shared" si="1"/>
        <v>5</v>
      </c>
    </row>
    <row r="69" spans="1:12" s="514" customFormat="1" ht="13" customHeight="1" x14ac:dyDescent="0.3">
      <c r="A69" s="599" t="s">
        <v>110</v>
      </c>
      <c r="B69" s="599" t="s">
        <v>892</v>
      </c>
      <c r="C69" s="599" t="s">
        <v>7</v>
      </c>
      <c r="D69" s="599" t="s">
        <v>52</v>
      </c>
      <c r="E69" s="599" t="s">
        <v>61</v>
      </c>
      <c r="F69" s="600">
        <v>54503</v>
      </c>
      <c r="G69" s="600">
        <v>50190</v>
      </c>
      <c r="H69" s="600">
        <v>1426</v>
      </c>
      <c r="I69" s="600">
        <v>169</v>
      </c>
      <c r="J69" s="600">
        <v>1240720</v>
      </c>
      <c r="K69" s="604" t="s">
        <v>902</v>
      </c>
      <c r="L69" s="604">
        <f t="shared" si="1"/>
        <v>5</v>
      </c>
    </row>
    <row r="70" spans="1:12" s="514" customFormat="1" ht="13" customHeight="1" x14ac:dyDescent="0.3">
      <c r="A70" s="601" t="s">
        <v>110</v>
      </c>
      <c r="B70" s="601" t="s">
        <v>893</v>
      </c>
      <c r="C70" s="601" t="s">
        <v>40</v>
      </c>
      <c r="D70" s="601" t="s">
        <v>55</v>
      </c>
      <c r="E70" s="601" t="s">
        <v>54</v>
      </c>
      <c r="F70" s="602">
        <v>5</v>
      </c>
      <c r="G70" s="602">
        <v>3</v>
      </c>
      <c r="H70" s="602">
        <v>0</v>
      </c>
      <c r="I70" s="602">
        <v>0</v>
      </c>
      <c r="J70" s="602">
        <v>0</v>
      </c>
      <c r="K70" s="604" t="s">
        <v>902</v>
      </c>
      <c r="L70" s="604">
        <f t="shared" si="1"/>
        <v>6</v>
      </c>
    </row>
    <row r="71" spans="1:12" s="514" customFormat="1" ht="13" customHeight="1" x14ac:dyDescent="0.3">
      <c r="A71" s="599" t="s">
        <v>110</v>
      </c>
      <c r="B71" s="599" t="s">
        <v>893</v>
      </c>
      <c r="C71" s="599" t="s">
        <v>40</v>
      </c>
      <c r="D71" s="599" t="s">
        <v>57</v>
      </c>
      <c r="E71" s="599" t="s">
        <v>64</v>
      </c>
      <c r="F71" s="600">
        <v>100648</v>
      </c>
      <c r="G71" s="600">
        <v>84683</v>
      </c>
      <c r="H71" s="600">
        <v>996</v>
      </c>
      <c r="I71" s="600">
        <v>44</v>
      </c>
      <c r="J71" s="600">
        <v>380070</v>
      </c>
      <c r="K71" s="604" t="s">
        <v>902</v>
      </c>
      <c r="L71" s="604">
        <f t="shared" si="1"/>
        <v>6</v>
      </c>
    </row>
    <row r="72" spans="1:12" s="514" customFormat="1" ht="13" customHeight="1" x14ac:dyDescent="0.3">
      <c r="A72" s="599" t="s">
        <v>110</v>
      </c>
      <c r="B72" s="599" t="s">
        <v>893</v>
      </c>
      <c r="C72" s="599" t="s">
        <v>40</v>
      </c>
      <c r="D72" s="599" t="s">
        <v>4</v>
      </c>
      <c r="E72" s="599" t="s">
        <v>41</v>
      </c>
      <c r="F72" s="600">
        <v>44</v>
      </c>
      <c r="G72" s="600">
        <v>34</v>
      </c>
      <c r="H72" s="600">
        <v>0</v>
      </c>
      <c r="I72" s="600">
        <v>0</v>
      </c>
      <c r="J72" s="600">
        <v>0</v>
      </c>
      <c r="K72" s="604" t="s">
        <v>902</v>
      </c>
      <c r="L72" s="604">
        <f t="shared" si="1"/>
        <v>6</v>
      </c>
    </row>
    <row r="73" spans="1:12" s="514" customFormat="1" ht="13" customHeight="1" x14ac:dyDescent="0.3">
      <c r="A73" s="599" t="s">
        <v>110</v>
      </c>
      <c r="B73" s="599" t="s">
        <v>893</v>
      </c>
      <c r="C73" s="599" t="s">
        <v>40</v>
      </c>
      <c r="D73" s="599" t="s">
        <v>52</v>
      </c>
      <c r="E73" s="599" t="s">
        <v>67</v>
      </c>
      <c r="F73" s="600">
        <v>9760</v>
      </c>
      <c r="G73" s="600">
        <v>9061</v>
      </c>
      <c r="H73" s="600">
        <v>422</v>
      </c>
      <c r="I73" s="600">
        <v>42</v>
      </c>
      <c r="J73" s="600">
        <v>389210</v>
      </c>
      <c r="K73" s="604" t="s">
        <v>902</v>
      </c>
      <c r="L73" s="604">
        <f t="shared" si="1"/>
        <v>6</v>
      </c>
    </row>
    <row r="74" spans="1:12" s="514" customFormat="1" ht="13" customHeight="1" x14ac:dyDescent="0.3">
      <c r="A74" s="599" t="s">
        <v>110</v>
      </c>
      <c r="B74" s="599" t="s">
        <v>893</v>
      </c>
      <c r="C74" s="599" t="s">
        <v>40</v>
      </c>
      <c r="D74" s="599" t="s">
        <v>4</v>
      </c>
      <c r="E74" s="599" t="s">
        <v>42</v>
      </c>
      <c r="F74" s="600">
        <v>2</v>
      </c>
      <c r="G74" s="600">
        <v>1</v>
      </c>
      <c r="H74" s="600">
        <v>0</v>
      </c>
      <c r="I74" s="600">
        <v>0</v>
      </c>
      <c r="J74" s="600">
        <v>0</v>
      </c>
      <c r="K74" s="604" t="s">
        <v>902</v>
      </c>
      <c r="L74" s="604">
        <f t="shared" si="1"/>
        <v>6</v>
      </c>
    </row>
    <row r="75" spans="1:12" s="514" customFormat="1" ht="13" customHeight="1" x14ac:dyDescent="0.3">
      <c r="A75" s="599" t="s">
        <v>110</v>
      </c>
      <c r="B75" s="599" t="s">
        <v>893</v>
      </c>
      <c r="C75" s="599" t="s">
        <v>40</v>
      </c>
      <c r="D75" s="599" t="s">
        <v>57</v>
      </c>
      <c r="E75" s="599" t="s">
        <v>63</v>
      </c>
      <c r="F75" s="600">
        <v>87618</v>
      </c>
      <c r="G75" s="600">
        <v>72879</v>
      </c>
      <c r="H75" s="600">
        <v>1336</v>
      </c>
      <c r="I75" s="600">
        <v>117</v>
      </c>
      <c r="J75" s="600">
        <v>897490</v>
      </c>
      <c r="K75" s="604" t="s">
        <v>902</v>
      </c>
      <c r="L75" s="604">
        <f t="shared" si="1"/>
        <v>6</v>
      </c>
    </row>
    <row r="76" spans="1:12" s="514" customFormat="1" ht="13" customHeight="1" x14ac:dyDescent="0.3">
      <c r="A76" s="599" t="s">
        <v>110</v>
      </c>
      <c r="B76" s="599" t="s">
        <v>893</v>
      </c>
      <c r="C76" s="599" t="s">
        <v>40</v>
      </c>
      <c r="D76" s="599" t="s">
        <v>52</v>
      </c>
      <c r="E76" s="599" t="s">
        <v>58</v>
      </c>
      <c r="F76" s="600">
        <v>1</v>
      </c>
      <c r="G76" s="600">
        <v>1</v>
      </c>
      <c r="H76" s="600">
        <v>0</v>
      </c>
      <c r="I76" s="600">
        <v>0</v>
      </c>
      <c r="J76" s="600">
        <v>0</v>
      </c>
      <c r="K76" s="604" t="s">
        <v>902</v>
      </c>
      <c r="L76" s="604">
        <f t="shared" si="1"/>
        <v>6</v>
      </c>
    </row>
    <row r="77" spans="1:12" s="514" customFormat="1" ht="13" customHeight="1" x14ac:dyDescent="0.3">
      <c r="A77" s="601" t="s">
        <v>110</v>
      </c>
      <c r="B77" s="601" t="s">
        <v>893</v>
      </c>
      <c r="C77" s="601" t="s">
        <v>40</v>
      </c>
      <c r="D77" s="601" t="s">
        <v>52</v>
      </c>
      <c r="E77" s="601" t="s">
        <v>51</v>
      </c>
      <c r="F77" s="602">
        <v>6</v>
      </c>
      <c r="G77" s="602">
        <v>5</v>
      </c>
      <c r="H77" s="602">
        <v>0</v>
      </c>
      <c r="I77" s="602">
        <v>0</v>
      </c>
      <c r="J77" s="602">
        <v>0</v>
      </c>
      <c r="K77" s="604" t="s">
        <v>902</v>
      </c>
      <c r="L77" s="604">
        <f t="shared" si="1"/>
        <v>6</v>
      </c>
    </row>
    <row r="78" spans="1:12" s="514" customFormat="1" ht="13" customHeight="1" x14ac:dyDescent="0.3">
      <c r="A78" s="599" t="s">
        <v>110</v>
      </c>
      <c r="B78" s="599" t="s">
        <v>893</v>
      </c>
      <c r="C78" s="599" t="s">
        <v>40</v>
      </c>
      <c r="D78" s="599" t="s">
        <v>4</v>
      </c>
      <c r="E78" s="599" t="s">
        <v>43</v>
      </c>
      <c r="F78" s="600">
        <v>437</v>
      </c>
      <c r="G78" s="600">
        <v>303</v>
      </c>
      <c r="H78" s="600">
        <v>5</v>
      </c>
      <c r="I78" s="600">
        <v>1</v>
      </c>
      <c r="J78" s="600">
        <v>14000</v>
      </c>
      <c r="K78" s="604" t="s">
        <v>902</v>
      </c>
      <c r="L78" s="604">
        <f t="shared" si="1"/>
        <v>6</v>
      </c>
    </row>
    <row r="79" spans="1:12" s="514" customFormat="1" ht="13" customHeight="1" x14ac:dyDescent="0.3">
      <c r="A79" s="599" t="s">
        <v>110</v>
      </c>
      <c r="B79" s="599" t="s">
        <v>893</v>
      </c>
      <c r="C79" s="599" t="s">
        <v>40</v>
      </c>
      <c r="D79" s="599" t="s">
        <v>52</v>
      </c>
      <c r="E79" s="599" t="s">
        <v>59</v>
      </c>
      <c r="F79" s="600">
        <v>98075</v>
      </c>
      <c r="G79" s="600">
        <v>95330</v>
      </c>
      <c r="H79" s="600">
        <v>0</v>
      </c>
      <c r="I79" s="600">
        <v>0</v>
      </c>
      <c r="J79" s="600">
        <v>0</v>
      </c>
      <c r="K79" s="604" t="s">
        <v>902</v>
      </c>
      <c r="L79" s="604">
        <f t="shared" si="1"/>
        <v>6</v>
      </c>
    </row>
    <row r="80" spans="1:12" s="514" customFormat="1" ht="13" customHeight="1" x14ac:dyDescent="0.3">
      <c r="A80" s="599" t="s">
        <v>110</v>
      </c>
      <c r="B80" s="599" t="s">
        <v>893</v>
      </c>
      <c r="C80" s="599" t="s">
        <v>40</v>
      </c>
      <c r="D80" s="599" t="s">
        <v>57</v>
      </c>
      <c r="E80" s="599" t="s">
        <v>65</v>
      </c>
      <c r="F80" s="600">
        <v>55494</v>
      </c>
      <c r="G80" s="600">
        <v>48467</v>
      </c>
      <c r="H80" s="600">
        <v>1087</v>
      </c>
      <c r="I80" s="600">
        <v>143</v>
      </c>
      <c r="J80" s="600">
        <v>1028080</v>
      </c>
      <c r="K80" s="604" t="s">
        <v>902</v>
      </c>
      <c r="L80" s="604">
        <f t="shared" si="1"/>
        <v>6</v>
      </c>
    </row>
    <row r="81" spans="1:12" s="514" customFormat="1" ht="13" customHeight="1" x14ac:dyDescent="0.3">
      <c r="A81" s="601" t="s">
        <v>110</v>
      </c>
      <c r="B81" s="601" t="s">
        <v>893</v>
      </c>
      <c r="C81" s="601" t="s">
        <v>40</v>
      </c>
      <c r="D81" s="601" t="s">
        <v>55</v>
      </c>
      <c r="E81" s="601" t="s">
        <v>56</v>
      </c>
      <c r="F81" s="602">
        <v>1</v>
      </c>
      <c r="G81" s="602">
        <v>0</v>
      </c>
      <c r="H81" s="602">
        <v>0</v>
      </c>
      <c r="I81" s="602">
        <v>0</v>
      </c>
      <c r="J81" s="602">
        <v>0</v>
      </c>
      <c r="K81" s="604" t="s">
        <v>902</v>
      </c>
      <c r="L81" s="604">
        <f t="shared" si="1"/>
        <v>6</v>
      </c>
    </row>
    <row r="82" spans="1:12" s="514" customFormat="1" ht="13" customHeight="1" x14ac:dyDescent="0.3">
      <c r="A82" s="599" t="s">
        <v>110</v>
      </c>
      <c r="B82" s="599" t="s">
        <v>893</v>
      </c>
      <c r="C82" s="599" t="s">
        <v>6</v>
      </c>
      <c r="D82" s="599" t="s">
        <v>55</v>
      </c>
      <c r="E82" s="599" t="s">
        <v>54</v>
      </c>
      <c r="F82" s="600">
        <v>54475</v>
      </c>
      <c r="G82" s="600">
        <v>46819</v>
      </c>
      <c r="H82" s="600">
        <v>50</v>
      </c>
      <c r="I82" s="600">
        <v>0</v>
      </c>
      <c r="J82" s="600">
        <v>0</v>
      </c>
      <c r="K82" s="604" t="s">
        <v>902</v>
      </c>
      <c r="L82" s="604">
        <f t="shared" si="1"/>
        <v>6</v>
      </c>
    </row>
    <row r="83" spans="1:12" s="514" customFormat="1" ht="13" customHeight="1" x14ac:dyDescent="0.3">
      <c r="A83" s="601" t="s">
        <v>110</v>
      </c>
      <c r="B83" s="601" t="s">
        <v>893</v>
      </c>
      <c r="C83" s="601" t="s">
        <v>6</v>
      </c>
      <c r="D83" s="601" t="s">
        <v>4</v>
      </c>
      <c r="E83" s="601" t="s">
        <v>43</v>
      </c>
      <c r="F83" s="602">
        <v>11848</v>
      </c>
      <c r="G83" s="602">
        <v>7267</v>
      </c>
      <c r="H83" s="602">
        <v>70</v>
      </c>
      <c r="I83" s="602">
        <v>41</v>
      </c>
      <c r="J83" s="602">
        <v>120522.03000000001</v>
      </c>
      <c r="K83" s="604" t="s">
        <v>902</v>
      </c>
      <c r="L83" s="604">
        <f t="shared" si="1"/>
        <v>6</v>
      </c>
    </row>
    <row r="84" spans="1:12" s="514" customFormat="1" ht="13" customHeight="1" x14ac:dyDescent="0.3">
      <c r="A84" s="601" t="s">
        <v>110</v>
      </c>
      <c r="B84" s="601" t="s">
        <v>893</v>
      </c>
      <c r="C84" s="601" t="s">
        <v>6</v>
      </c>
      <c r="D84" s="601" t="s">
        <v>4</v>
      </c>
      <c r="E84" s="601" t="s">
        <v>42</v>
      </c>
      <c r="F84" s="602">
        <v>3</v>
      </c>
      <c r="G84" s="602">
        <v>3</v>
      </c>
      <c r="H84" s="602">
        <v>0</v>
      </c>
      <c r="I84" s="602">
        <v>0</v>
      </c>
      <c r="J84" s="602">
        <v>0</v>
      </c>
      <c r="K84" s="604" t="s">
        <v>902</v>
      </c>
      <c r="L84" s="604">
        <f t="shared" si="1"/>
        <v>6</v>
      </c>
    </row>
    <row r="85" spans="1:12" s="514" customFormat="1" ht="13" customHeight="1" x14ac:dyDescent="0.3">
      <c r="A85" s="599" t="s">
        <v>110</v>
      </c>
      <c r="B85" s="599" t="s">
        <v>893</v>
      </c>
      <c r="C85" s="599" t="s">
        <v>6</v>
      </c>
      <c r="D85" s="599" t="s">
        <v>52</v>
      </c>
      <c r="E85" s="599" t="s">
        <v>59</v>
      </c>
      <c r="F85" s="600">
        <v>25126</v>
      </c>
      <c r="G85" s="600">
        <v>21679</v>
      </c>
      <c r="H85" s="600">
        <v>0</v>
      </c>
      <c r="I85" s="600">
        <v>0</v>
      </c>
      <c r="J85" s="600">
        <v>0</v>
      </c>
      <c r="K85" s="604" t="s">
        <v>902</v>
      </c>
      <c r="L85" s="604">
        <f t="shared" si="1"/>
        <v>6</v>
      </c>
    </row>
    <row r="86" spans="1:12" s="514" customFormat="1" ht="13" customHeight="1" x14ac:dyDescent="0.3">
      <c r="A86" s="601" t="s">
        <v>110</v>
      </c>
      <c r="B86" s="601" t="s">
        <v>893</v>
      </c>
      <c r="C86" s="601" t="s">
        <v>6</v>
      </c>
      <c r="D86" s="601" t="s">
        <v>52</v>
      </c>
      <c r="E86" s="601" t="s">
        <v>53</v>
      </c>
      <c r="F86" s="602">
        <v>16640</v>
      </c>
      <c r="G86" s="602">
        <v>14591</v>
      </c>
      <c r="H86" s="602">
        <v>0</v>
      </c>
      <c r="I86" s="602">
        <v>0</v>
      </c>
      <c r="J86" s="602">
        <v>0</v>
      </c>
      <c r="K86" s="604" t="s">
        <v>902</v>
      </c>
      <c r="L86" s="604">
        <f t="shared" si="1"/>
        <v>6</v>
      </c>
    </row>
    <row r="87" spans="1:12" s="514" customFormat="1" ht="13" customHeight="1" x14ac:dyDescent="0.3">
      <c r="A87" s="601" t="s">
        <v>110</v>
      </c>
      <c r="B87" s="601" t="s">
        <v>893</v>
      </c>
      <c r="C87" s="601" t="s">
        <v>6</v>
      </c>
      <c r="D87" s="601" t="s">
        <v>57</v>
      </c>
      <c r="E87" s="601" t="s">
        <v>65</v>
      </c>
      <c r="F87" s="602">
        <v>77247</v>
      </c>
      <c r="G87" s="602">
        <v>71087</v>
      </c>
      <c r="H87" s="602">
        <v>1473</v>
      </c>
      <c r="I87" s="602">
        <v>328</v>
      </c>
      <c r="J87" s="602">
        <v>1260047.51</v>
      </c>
      <c r="K87" s="604" t="s">
        <v>902</v>
      </c>
      <c r="L87" s="604">
        <f t="shared" si="1"/>
        <v>6</v>
      </c>
    </row>
    <row r="88" spans="1:12" s="514" customFormat="1" ht="13" customHeight="1" x14ac:dyDescent="0.3">
      <c r="A88" s="601" t="s">
        <v>110</v>
      </c>
      <c r="B88" s="601" t="s">
        <v>893</v>
      </c>
      <c r="C88" s="601" t="s">
        <v>6</v>
      </c>
      <c r="D88" s="601" t="s">
        <v>52</v>
      </c>
      <c r="E88" s="601" t="s">
        <v>58</v>
      </c>
      <c r="F88" s="602">
        <v>2</v>
      </c>
      <c r="G88" s="602">
        <v>1</v>
      </c>
      <c r="H88" s="602">
        <v>0</v>
      </c>
      <c r="I88" s="602">
        <v>0</v>
      </c>
      <c r="J88" s="602">
        <v>0</v>
      </c>
      <c r="K88" s="604" t="s">
        <v>902</v>
      </c>
      <c r="L88" s="604">
        <f t="shared" si="1"/>
        <v>6</v>
      </c>
    </row>
    <row r="89" spans="1:12" s="514" customFormat="1" ht="13" customHeight="1" x14ac:dyDescent="0.3">
      <c r="A89" s="601" t="s">
        <v>110</v>
      </c>
      <c r="B89" s="601" t="s">
        <v>893</v>
      </c>
      <c r="C89" s="601" t="s">
        <v>6</v>
      </c>
      <c r="D89" s="601" t="s">
        <v>57</v>
      </c>
      <c r="E89" s="601" t="s">
        <v>63</v>
      </c>
      <c r="F89" s="602">
        <v>60709</v>
      </c>
      <c r="G89" s="602">
        <v>51856</v>
      </c>
      <c r="H89" s="602">
        <v>1186</v>
      </c>
      <c r="I89" s="602">
        <v>193</v>
      </c>
      <c r="J89" s="602">
        <v>653426.92999999993</v>
      </c>
      <c r="K89" s="604" t="s">
        <v>902</v>
      </c>
      <c r="L89" s="604">
        <f t="shared" si="1"/>
        <v>6</v>
      </c>
    </row>
    <row r="90" spans="1:12" s="514" customFormat="1" ht="13" customHeight="1" x14ac:dyDescent="0.3">
      <c r="A90" s="599" t="s">
        <v>110</v>
      </c>
      <c r="B90" s="599" t="s">
        <v>893</v>
      </c>
      <c r="C90" s="599" t="s">
        <v>6</v>
      </c>
      <c r="D90" s="599" t="s">
        <v>57</v>
      </c>
      <c r="E90" s="599" t="s">
        <v>64</v>
      </c>
      <c r="F90" s="600">
        <v>175024</v>
      </c>
      <c r="G90" s="600">
        <v>153568</v>
      </c>
      <c r="H90" s="600">
        <v>768</v>
      </c>
      <c r="I90" s="600">
        <v>50</v>
      </c>
      <c r="J90" s="600">
        <v>177974.27000000002</v>
      </c>
      <c r="K90" s="604" t="s">
        <v>902</v>
      </c>
      <c r="L90" s="604">
        <f t="shared" si="1"/>
        <v>6</v>
      </c>
    </row>
    <row r="91" spans="1:12" s="514" customFormat="1" ht="13" customHeight="1" x14ac:dyDescent="0.3">
      <c r="A91" s="601" t="s">
        <v>110</v>
      </c>
      <c r="B91" s="601" t="s">
        <v>893</v>
      </c>
      <c r="C91" s="601" t="s">
        <v>6</v>
      </c>
      <c r="D91" s="601" t="s">
        <v>52</v>
      </c>
      <c r="E91" s="601" t="s">
        <v>51</v>
      </c>
      <c r="F91" s="602">
        <v>3</v>
      </c>
      <c r="G91" s="602">
        <v>2</v>
      </c>
      <c r="H91" s="602">
        <v>0</v>
      </c>
      <c r="I91" s="602">
        <v>0</v>
      </c>
      <c r="J91" s="602">
        <v>0</v>
      </c>
      <c r="K91" s="604" t="s">
        <v>902</v>
      </c>
      <c r="L91" s="604">
        <f t="shared" si="1"/>
        <v>6</v>
      </c>
    </row>
    <row r="92" spans="1:12" s="514" customFormat="1" ht="13" customHeight="1" x14ac:dyDescent="0.3">
      <c r="A92" s="599" t="s">
        <v>110</v>
      </c>
      <c r="B92" s="599" t="s">
        <v>893</v>
      </c>
      <c r="C92" s="599" t="s">
        <v>6</v>
      </c>
      <c r="D92" s="599" t="s">
        <v>55</v>
      </c>
      <c r="E92" s="599" t="s">
        <v>56</v>
      </c>
      <c r="F92" s="600">
        <v>130669</v>
      </c>
      <c r="G92" s="600">
        <v>119948</v>
      </c>
      <c r="H92" s="600">
        <v>24</v>
      </c>
      <c r="I92" s="600">
        <v>0</v>
      </c>
      <c r="J92" s="600">
        <v>0</v>
      </c>
      <c r="K92" s="604" t="s">
        <v>902</v>
      </c>
      <c r="L92" s="604">
        <f t="shared" si="1"/>
        <v>6</v>
      </c>
    </row>
    <row r="93" spans="1:12" s="514" customFormat="1" ht="13" customHeight="1" x14ac:dyDescent="0.3">
      <c r="A93" s="601" t="s">
        <v>110</v>
      </c>
      <c r="B93" s="601" t="s">
        <v>893</v>
      </c>
      <c r="C93" s="601" t="s">
        <v>6</v>
      </c>
      <c r="D93" s="601" t="s">
        <v>4</v>
      </c>
      <c r="E93" s="601" t="s">
        <v>41</v>
      </c>
      <c r="F93" s="602">
        <v>32</v>
      </c>
      <c r="G93" s="602">
        <v>20</v>
      </c>
      <c r="H93" s="602">
        <v>1</v>
      </c>
      <c r="I93" s="602">
        <v>0</v>
      </c>
      <c r="J93" s="602">
        <v>0</v>
      </c>
      <c r="K93" s="604" t="s">
        <v>902</v>
      </c>
      <c r="L93" s="604">
        <f t="shared" si="1"/>
        <v>6</v>
      </c>
    </row>
    <row r="94" spans="1:12" s="514" customFormat="1" ht="13" customHeight="1" x14ac:dyDescent="0.3">
      <c r="A94" s="601" t="s">
        <v>110</v>
      </c>
      <c r="B94" s="601" t="s">
        <v>893</v>
      </c>
      <c r="C94" s="601" t="s">
        <v>6</v>
      </c>
      <c r="D94" s="601" t="s">
        <v>55</v>
      </c>
      <c r="E94" s="601" t="s">
        <v>66</v>
      </c>
      <c r="F94" s="602">
        <v>3</v>
      </c>
      <c r="G94" s="602">
        <v>2</v>
      </c>
      <c r="H94" s="602">
        <v>0</v>
      </c>
      <c r="I94" s="602">
        <v>0</v>
      </c>
      <c r="J94" s="602">
        <v>0</v>
      </c>
      <c r="K94" s="604" t="s">
        <v>902</v>
      </c>
      <c r="L94" s="604">
        <f t="shared" si="1"/>
        <v>6</v>
      </c>
    </row>
    <row r="95" spans="1:12" s="514" customFormat="1" ht="13" customHeight="1" x14ac:dyDescent="0.3">
      <c r="A95" s="601" t="s">
        <v>110</v>
      </c>
      <c r="B95" s="601" t="s">
        <v>893</v>
      </c>
      <c r="C95" s="601" t="s">
        <v>6</v>
      </c>
      <c r="D95" s="601" t="s">
        <v>52</v>
      </c>
      <c r="E95" s="601" t="s">
        <v>61</v>
      </c>
      <c r="F95" s="602">
        <v>15387</v>
      </c>
      <c r="G95" s="602">
        <v>13992</v>
      </c>
      <c r="H95" s="602">
        <v>420</v>
      </c>
      <c r="I95" s="602">
        <v>90</v>
      </c>
      <c r="J95" s="602">
        <v>319104.77</v>
      </c>
      <c r="K95" s="604" t="s">
        <v>902</v>
      </c>
      <c r="L95" s="604">
        <f t="shared" si="1"/>
        <v>6</v>
      </c>
    </row>
    <row r="96" spans="1:12" s="514" customFormat="1" ht="13" customHeight="1" x14ac:dyDescent="0.3">
      <c r="A96" s="601" t="s">
        <v>110</v>
      </c>
      <c r="B96" s="601" t="s">
        <v>893</v>
      </c>
      <c r="C96" s="601" t="s">
        <v>7</v>
      </c>
      <c r="D96" s="601" t="s">
        <v>57</v>
      </c>
      <c r="E96" s="601" t="s">
        <v>65</v>
      </c>
      <c r="F96" s="602">
        <v>67530</v>
      </c>
      <c r="G96" s="602">
        <v>59984</v>
      </c>
      <c r="H96" s="602">
        <v>813</v>
      </c>
      <c r="I96" s="602">
        <v>64</v>
      </c>
      <c r="J96" s="602">
        <v>527320</v>
      </c>
      <c r="K96" s="604" t="s">
        <v>902</v>
      </c>
      <c r="L96" s="604">
        <f t="shared" si="1"/>
        <v>6</v>
      </c>
    </row>
    <row r="97" spans="1:12" s="514" customFormat="1" ht="13" customHeight="1" x14ac:dyDescent="0.3">
      <c r="A97" s="599" t="s">
        <v>110</v>
      </c>
      <c r="B97" s="599" t="s">
        <v>893</v>
      </c>
      <c r="C97" s="599" t="s">
        <v>7</v>
      </c>
      <c r="D97" s="599" t="s">
        <v>52</v>
      </c>
      <c r="E97" s="599" t="s">
        <v>61</v>
      </c>
      <c r="F97" s="600">
        <v>48507</v>
      </c>
      <c r="G97" s="600">
        <v>44151</v>
      </c>
      <c r="H97" s="600">
        <v>1260</v>
      </c>
      <c r="I97" s="600">
        <v>176</v>
      </c>
      <c r="J97" s="600">
        <v>1649660</v>
      </c>
      <c r="K97" s="604" t="s">
        <v>902</v>
      </c>
      <c r="L97" s="604">
        <f t="shared" si="1"/>
        <v>6</v>
      </c>
    </row>
    <row r="98" spans="1:12" s="514" customFormat="1" ht="13" customHeight="1" x14ac:dyDescent="0.3">
      <c r="A98" s="601" t="s">
        <v>110</v>
      </c>
      <c r="B98" s="601" t="s">
        <v>893</v>
      </c>
      <c r="C98" s="601" t="s">
        <v>7</v>
      </c>
      <c r="D98" s="601" t="s">
        <v>55</v>
      </c>
      <c r="E98" s="601" t="s">
        <v>54</v>
      </c>
      <c r="F98" s="602">
        <v>101726</v>
      </c>
      <c r="G98" s="602">
        <v>96478</v>
      </c>
      <c r="H98" s="602">
        <v>0</v>
      </c>
      <c r="I98" s="602">
        <v>0</v>
      </c>
      <c r="J98" s="602">
        <v>0</v>
      </c>
      <c r="K98" s="604" t="s">
        <v>902</v>
      </c>
      <c r="L98" s="604">
        <f t="shared" si="1"/>
        <v>6</v>
      </c>
    </row>
    <row r="99" spans="1:12" s="514" customFormat="1" ht="13" customHeight="1" x14ac:dyDescent="0.3">
      <c r="A99" s="599" t="s">
        <v>110</v>
      </c>
      <c r="B99" s="599" t="s">
        <v>893</v>
      </c>
      <c r="C99" s="599" t="s">
        <v>7</v>
      </c>
      <c r="D99" s="599" t="s">
        <v>4</v>
      </c>
      <c r="E99" s="599" t="s">
        <v>41</v>
      </c>
      <c r="F99" s="600">
        <v>44</v>
      </c>
      <c r="G99" s="600">
        <v>26</v>
      </c>
      <c r="H99" s="600">
        <v>0</v>
      </c>
      <c r="I99" s="600">
        <v>0</v>
      </c>
      <c r="J99" s="600">
        <v>0</v>
      </c>
      <c r="K99" s="604" t="s">
        <v>902</v>
      </c>
      <c r="L99" s="604">
        <f t="shared" si="1"/>
        <v>6</v>
      </c>
    </row>
    <row r="100" spans="1:12" s="514" customFormat="1" ht="13" customHeight="1" x14ac:dyDescent="0.3">
      <c r="A100" s="601" t="s">
        <v>110</v>
      </c>
      <c r="B100" s="601" t="s">
        <v>893</v>
      </c>
      <c r="C100" s="601" t="s">
        <v>7</v>
      </c>
      <c r="D100" s="601" t="s">
        <v>4</v>
      </c>
      <c r="E100" s="601" t="s">
        <v>42</v>
      </c>
      <c r="F100" s="602">
        <v>5</v>
      </c>
      <c r="G100" s="602">
        <v>5</v>
      </c>
      <c r="H100" s="602">
        <v>0</v>
      </c>
      <c r="I100" s="602">
        <v>0</v>
      </c>
      <c r="J100" s="602">
        <v>0</v>
      </c>
      <c r="K100" s="604" t="s">
        <v>902</v>
      </c>
      <c r="L100" s="604">
        <f t="shared" si="1"/>
        <v>6</v>
      </c>
    </row>
    <row r="101" spans="1:12" s="514" customFormat="1" ht="13" customHeight="1" x14ac:dyDescent="0.3">
      <c r="A101" s="599" t="s">
        <v>110</v>
      </c>
      <c r="B101" s="599" t="s">
        <v>893</v>
      </c>
      <c r="C101" s="599" t="s">
        <v>7</v>
      </c>
      <c r="D101" s="599" t="s">
        <v>55</v>
      </c>
      <c r="E101" s="599" t="s">
        <v>66</v>
      </c>
      <c r="F101" s="600">
        <v>1</v>
      </c>
      <c r="G101" s="600">
        <v>1</v>
      </c>
      <c r="H101" s="600">
        <v>0</v>
      </c>
      <c r="I101" s="600">
        <v>0</v>
      </c>
      <c r="J101" s="600">
        <v>0</v>
      </c>
      <c r="K101" s="604" t="s">
        <v>902</v>
      </c>
      <c r="L101" s="604">
        <f t="shared" si="1"/>
        <v>6</v>
      </c>
    </row>
    <row r="102" spans="1:12" s="514" customFormat="1" ht="13" customHeight="1" x14ac:dyDescent="0.3">
      <c r="A102" s="601" t="s">
        <v>110</v>
      </c>
      <c r="B102" s="601" t="s">
        <v>893</v>
      </c>
      <c r="C102" s="601" t="s">
        <v>7</v>
      </c>
      <c r="D102" s="601" t="s">
        <v>57</v>
      </c>
      <c r="E102" s="601" t="s">
        <v>64</v>
      </c>
      <c r="F102" s="602">
        <v>169603</v>
      </c>
      <c r="G102" s="602">
        <v>153435</v>
      </c>
      <c r="H102" s="602">
        <v>277</v>
      </c>
      <c r="I102" s="602">
        <v>10</v>
      </c>
      <c r="J102" s="602">
        <v>50940</v>
      </c>
      <c r="K102" s="604" t="s">
        <v>902</v>
      </c>
      <c r="L102" s="604">
        <f t="shared" si="1"/>
        <v>6</v>
      </c>
    </row>
    <row r="103" spans="1:12" s="514" customFormat="1" ht="13" customHeight="1" x14ac:dyDescent="0.3">
      <c r="A103" s="599" t="s">
        <v>110</v>
      </c>
      <c r="B103" s="599" t="s">
        <v>893</v>
      </c>
      <c r="C103" s="599" t="s">
        <v>7</v>
      </c>
      <c r="D103" s="599" t="s">
        <v>57</v>
      </c>
      <c r="E103" s="599" t="s">
        <v>63</v>
      </c>
      <c r="F103" s="600">
        <v>104724</v>
      </c>
      <c r="G103" s="600">
        <v>90639</v>
      </c>
      <c r="H103" s="600">
        <v>1399</v>
      </c>
      <c r="I103" s="600">
        <v>169</v>
      </c>
      <c r="J103" s="600">
        <v>1371390</v>
      </c>
      <c r="K103" s="604" t="s">
        <v>902</v>
      </c>
      <c r="L103" s="604">
        <f t="shared" si="1"/>
        <v>6</v>
      </c>
    </row>
    <row r="104" spans="1:12" s="514" customFormat="1" ht="13" customHeight="1" x14ac:dyDescent="0.3">
      <c r="A104" s="601" t="s">
        <v>110</v>
      </c>
      <c r="B104" s="601" t="s">
        <v>893</v>
      </c>
      <c r="C104" s="601" t="s">
        <v>7</v>
      </c>
      <c r="D104" s="601" t="s">
        <v>52</v>
      </c>
      <c r="E104" s="601" t="s">
        <v>59</v>
      </c>
      <c r="F104" s="602">
        <v>23776</v>
      </c>
      <c r="G104" s="602">
        <v>20873</v>
      </c>
      <c r="H104" s="602">
        <v>0</v>
      </c>
      <c r="I104" s="602">
        <v>0</v>
      </c>
      <c r="J104" s="602">
        <v>0</v>
      </c>
      <c r="K104" s="604" t="s">
        <v>902</v>
      </c>
      <c r="L104" s="604">
        <f t="shared" si="1"/>
        <v>6</v>
      </c>
    </row>
    <row r="105" spans="1:12" s="514" customFormat="1" ht="13" customHeight="1" x14ac:dyDescent="0.3">
      <c r="A105" s="599" t="s">
        <v>110</v>
      </c>
      <c r="B105" s="599" t="s">
        <v>893</v>
      </c>
      <c r="C105" s="599" t="s">
        <v>7</v>
      </c>
      <c r="D105" s="599" t="s">
        <v>52</v>
      </c>
      <c r="E105" s="599" t="s">
        <v>53</v>
      </c>
      <c r="F105" s="600">
        <v>53899</v>
      </c>
      <c r="G105" s="600">
        <v>48386</v>
      </c>
      <c r="H105" s="600">
        <v>0</v>
      </c>
      <c r="I105" s="600">
        <v>0</v>
      </c>
      <c r="J105" s="600">
        <v>0</v>
      </c>
      <c r="K105" s="604" t="s">
        <v>902</v>
      </c>
      <c r="L105" s="604">
        <f t="shared" si="1"/>
        <v>6</v>
      </c>
    </row>
    <row r="106" spans="1:12" s="514" customFormat="1" ht="13" customHeight="1" x14ac:dyDescent="0.3">
      <c r="A106" s="601" t="s">
        <v>110</v>
      </c>
      <c r="B106" s="601" t="s">
        <v>893</v>
      </c>
      <c r="C106" s="601" t="s">
        <v>7</v>
      </c>
      <c r="D106" s="601" t="s">
        <v>52</v>
      </c>
      <c r="E106" s="601" t="s">
        <v>51</v>
      </c>
      <c r="F106" s="602">
        <v>1000375</v>
      </c>
      <c r="G106" s="602">
        <v>748569</v>
      </c>
      <c r="H106" s="602">
        <v>0</v>
      </c>
      <c r="I106" s="602">
        <v>0</v>
      </c>
      <c r="J106" s="602">
        <v>0</v>
      </c>
      <c r="K106" s="604" t="s">
        <v>902</v>
      </c>
      <c r="L106" s="604">
        <f t="shared" si="1"/>
        <v>6</v>
      </c>
    </row>
    <row r="107" spans="1:12" s="514" customFormat="1" ht="13" customHeight="1" x14ac:dyDescent="0.3">
      <c r="A107" s="599" t="s">
        <v>110</v>
      </c>
      <c r="B107" s="599" t="s">
        <v>893</v>
      </c>
      <c r="C107" s="599" t="s">
        <v>7</v>
      </c>
      <c r="D107" s="599" t="s">
        <v>4</v>
      </c>
      <c r="E107" s="599" t="s">
        <v>43</v>
      </c>
      <c r="F107" s="600">
        <v>841</v>
      </c>
      <c r="G107" s="600">
        <v>536</v>
      </c>
      <c r="H107" s="600">
        <v>4</v>
      </c>
      <c r="I107" s="600">
        <v>1</v>
      </c>
      <c r="J107" s="600">
        <v>500</v>
      </c>
      <c r="K107" s="604" t="s">
        <v>902</v>
      </c>
      <c r="L107" s="604">
        <f t="shared" si="1"/>
        <v>6</v>
      </c>
    </row>
    <row r="108" spans="1:12" s="514" customFormat="1" ht="13" customHeight="1" x14ac:dyDescent="0.3">
      <c r="A108" s="601" t="s">
        <v>110</v>
      </c>
      <c r="B108" s="601" t="s">
        <v>893</v>
      </c>
      <c r="C108" s="601" t="s">
        <v>7</v>
      </c>
      <c r="D108" s="601" t="s">
        <v>52</v>
      </c>
      <c r="E108" s="601" t="s">
        <v>58</v>
      </c>
      <c r="F108" s="602">
        <v>4</v>
      </c>
      <c r="G108" s="602">
        <v>4</v>
      </c>
      <c r="H108" s="602">
        <v>0</v>
      </c>
      <c r="I108" s="602">
        <v>0</v>
      </c>
      <c r="J108" s="602">
        <v>0</v>
      </c>
      <c r="K108" s="604" t="s">
        <v>902</v>
      </c>
      <c r="L108" s="604">
        <f t="shared" si="1"/>
        <v>6</v>
      </c>
    </row>
    <row r="109" spans="1:12" s="514" customFormat="1" ht="13" customHeight="1" x14ac:dyDescent="0.3">
      <c r="A109" s="599" t="s">
        <v>110</v>
      </c>
      <c r="B109" s="599" t="s">
        <v>893</v>
      </c>
      <c r="C109" s="599" t="s">
        <v>7</v>
      </c>
      <c r="D109" s="599" t="s">
        <v>55</v>
      </c>
      <c r="E109" s="599" t="s">
        <v>56</v>
      </c>
      <c r="F109" s="600">
        <v>12</v>
      </c>
      <c r="G109" s="600">
        <v>7</v>
      </c>
      <c r="H109" s="600">
        <v>0</v>
      </c>
      <c r="I109" s="600">
        <v>0</v>
      </c>
      <c r="J109" s="600">
        <v>0</v>
      </c>
      <c r="K109" s="604" t="s">
        <v>902</v>
      </c>
      <c r="L109" s="604">
        <f t="shared" si="1"/>
        <v>6</v>
      </c>
    </row>
    <row r="110" spans="1:12" s="514" customFormat="1" ht="13" customHeight="1" x14ac:dyDescent="0.3">
      <c r="A110" s="599" t="s">
        <v>110</v>
      </c>
      <c r="B110" s="599" t="s">
        <v>894</v>
      </c>
      <c r="C110" s="599" t="s">
        <v>40</v>
      </c>
      <c r="D110" s="599" t="s">
        <v>4</v>
      </c>
      <c r="E110" s="599" t="s">
        <v>41</v>
      </c>
      <c r="F110" s="600">
        <v>18</v>
      </c>
      <c r="G110" s="600">
        <v>10</v>
      </c>
      <c r="H110" s="600">
        <v>1</v>
      </c>
      <c r="I110" s="600">
        <v>0</v>
      </c>
      <c r="J110" s="600">
        <v>0</v>
      </c>
      <c r="K110" s="604" t="s">
        <v>902</v>
      </c>
      <c r="L110" s="604">
        <f t="shared" si="1"/>
        <v>7</v>
      </c>
    </row>
    <row r="111" spans="1:12" s="514" customFormat="1" ht="13" customHeight="1" x14ac:dyDescent="0.3">
      <c r="A111" s="601" t="s">
        <v>110</v>
      </c>
      <c r="B111" s="601" t="s">
        <v>894</v>
      </c>
      <c r="C111" s="601" t="s">
        <v>40</v>
      </c>
      <c r="D111" s="601" t="s">
        <v>55</v>
      </c>
      <c r="E111" s="601" t="s">
        <v>54</v>
      </c>
      <c r="F111" s="602">
        <v>7</v>
      </c>
      <c r="G111" s="602">
        <v>3</v>
      </c>
      <c r="H111" s="602">
        <v>0</v>
      </c>
      <c r="I111" s="602">
        <v>0</v>
      </c>
      <c r="J111" s="602">
        <v>0</v>
      </c>
      <c r="K111" s="604" t="s">
        <v>902</v>
      </c>
      <c r="L111" s="604">
        <f t="shared" si="1"/>
        <v>7</v>
      </c>
    </row>
    <row r="112" spans="1:12" s="514" customFormat="1" ht="13" customHeight="1" x14ac:dyDescent="0.3">
      <c r="A112" s="599" t="s">
        <v>110</v>
      </c>
      <c r="B112" s="599" t="s">
        <v>894</v>
      </c>
      <c r="C112" s="599" t="s">
        <v>40</v>
      </c>
      <c r="D112" s="599" t="s">
        <v>55</v>
      </c>
      <c r="E112" s="599" t="s">
        <v>56</v>
      </c>
      <c r="F112" s="600">
        <v>2</v>
      </c>
      <c r="G112" s="600">
        <v>1</v>
      </c>
      <c r="H112" s="600">
        <v>0</v>
      </c>
      <c r="I112" s="600">
        <v>0</v>
      </c>
      <c r="J112" s="600">
        <v>0</v>
      </c>
      <c r="K112" s="604" t="s">
        <v>902</v>
      </c>
      <c r="L112" s="604">
        <f t="shared" si="1"/>
        <v>7</v>
      </c>
    </row>
    <row r="113" spans="1:12" s="514" customFormat="1" ht="13" customHeight="1" x14ac:dyDescent="0.3">
      <c r="A113" s="601" t="s">
        <v>110</v>
      </c>
      <c r="B113" s="601" t="s">
        <v>894</v>
      </c>
      <c r="C113" s="601" t="s">
        <v>40</v>
      </c>
      <c r="D113" s="601" t="s">
        <v>52</v>
      </c>
      <c r="E113" s="601" t="s">
        <v>59</v>
      </c>
      <c r="F113" s="602">
        <v>2</v>
      </c>
      <c r="G113" s="602">
        <v>2</v>
      </c>
      <c r="H113" s="602">
        <v>0</v>
      </c>
      <c r="I113" s="602">
        <v>0</v>
      </c>
      <c r="J113" s="602">
        <v>0</v>
      </c>
      <c r="K113" s="604" t="s">
        <v>902</v>
      </c>
      <c r="L113" s="604">
        <f t="shared" si="1"/>
        <v>7</v>
      </c>
    </row>
    <row r="114" spans="1:12" s="514" customFormat="1" ht="13" customHeight="1" x14ac:dyDescent="0.3">
      <c r="A114" s="601" t="s">
        <v>110</v>
      </c>
      <c r="B114" s="601" t="s">
        <v>894</v>
      </c>
      <c r="C114" s="601" t="s">
        <v>40</v>
      </c>
      <c r="D114" s="601" t="s">
        <v>52</v>
      </c>
      <c r="E114" s="601" t="s">
        <v>67</v>
      </c>
      <c r="F114" s="602">
        <v>9725</v>
      </c>
      <c r="G114" s="602">
        <v>9038</v>
      </c>
      <c r="H114" s="602">
        <v>438</v>
      </c>
      <c r="I114" s="602">
        <v>42</v>
      </c>
      <c r="J114" s="602">
        <v>363180</v>
      </c>
      <c r="K114" s="604" t="s">
        <v>902</v>
      </c>
      <c r="L114" s="604">
        <f t="shared" si="1"/>
        <v>7</v>
      </c>
    </row>
    <row r="115" spans="1:12" s="514" customFormat="1" ht="13" customHeight="1" x14ac:dyDescent="0.3">
      <c r="A115" s="601" t="s">
        <v>110</v>
      </c>
      <c r="B115" s="601" t="s">
        <v>894</v>
      </c>
      <c r="C115" s="601" t="s">
        <v>40</v>
      </c>
      <c r="D115" s="601" t="s">
        <v>52</v>
      </c>
      <c r="E115" s="601" t="s">
        <v>51</v>
      </c>
      <c r="F115" s="602">
        <v>5</v>
      </c>
      <c r="G115" s="602">
        <v>5</v>
      </c>
      <c r="H115" s="602">
        <v>0</v>
      </c>
      <c r="I115" s="602">
        <v>0</v>
      </c>
      <c r="J115" s="602">
        <v>0</v>
      </c>
      <c r="K115" s="604" t="s">
        <v>902</v>
      </c>
      <c r="L115" s="604">
        <f t="shared" si="1"/>
        <v>7</v>
      </c>
    </row>
    <row r="116" spans="1:12" s="514" customFormat="1" ht="13" customHeight="1" x14ac:dyDescent="0.3">
      <c r="A116" s="601" t="s">
        <v>110</v>
      </c>
      <c r="B116" s="601" t="s">
        <v>894</v>
      </c>
      <c r="C116" s="601" t="s">
        <v>40</v>
      </c>
      <c r="D116" s="601" t="s">
        <v>4</v>
      </c>
      <c r="E116" s="601" t="s">
        <v>43</v>
      </c>
      <c r="F116" s="602">
        <v>553</v>
      </c>
      <c r="G116" s="602">
        <v>319</v>
      </c>
      <c r="H116" s="602">
        <v>5</v>
      </c>
      <c r="I116" s="602">
        <v>1</v>
      </c>
      <c r="J116" s="602">
        <v>6510</v>
      </c>
      <c r="K116" s="604" t="s">
        <v>902</v>
      </c>
      <c r="L116" s="604">
        <f t="shared" si="1"/>
        <v>7</v>
      </c>
    </row>
    <row r="117" spans="1:12" s="514" customFormat="1" ht="13" customHeight="1" x14ac:dyDescent="0.3">
      <c r="A117" s="599" t="s">
        <v>110</v>
      </c>
      <c r="B117" s="599" t="s">
        <v>894</v>
      </c>
      <c r="C117" s="599" t="s">
        <v>40</v>
      </c>
      <c r="D117" s="599" t="s">
        <v>57</v>
      </c>
      <c r="E117" s="599" t="s">
        <v>64</v>
      </c>
      <c r="F117" s="600">
        <v>117730</v>
      </c>
      <c r="G117" s="600">
        <v>108692</v>
      </c>
      <c r="H117" s="600">
        <v>1022</v>
      </c>
      <c r="I117" s="600">
        <v>22</v>
      </c>
      <c r="J117" s="600">
        <v>140325</v>
      </c>
      <c r="K117" s="604" t="s">
        <v>902</v>
      </c>
      <c r="L117" s="604">
        <f t="shared" si="1"/>
        <v>7</v>
      </c>
    </row>
    <row r="118" spans="1:12" s="514" customFormat="1" ht="13" customHeight="1" x14ac:dyDescent="0.3">
      <c r="A118" s="601" t="s">
        <v>110</v>
      </c>
      <c r="B118" s="601" t="s">
        <v>894</v>
      </c>
      <c r="C118" s="601" t="s">
        <v>40</v>
      </c>
      <c r="D118" s="601" t="s">
        <v>57</v>
      </c>
      <c r="E118" s="601" t="s">
        <v>65</v>
      </c>
      <c r="F118" s="602">
        <v>33883</v>
      </c>
      <c r="G118" s="602">
        <v>31026</v>
      </c>
      <c r="H118" s="602">
        <v>600</v>
      </c>
      <c r="I118" s="602">
        <v>35</v>
      </c>
      <c r="J118" s="602">
        <v>469000</v>
      </c>
      <c r="K118" s="604" t="s">
        <v>902</v>
      </c>
      <c r="L118" s="604">
        <f t="shared" si="1"/>
        <v>7</v>
      </c>
    </row>
    <row r="119" spans="1:12" s="514" customFormat="1" ht="13" customHeight="1" x14ac:dyDescent="0.3">
      <c r="A119" s="599" t="s">
        <v>110</v>
      </c>
      <c r="B119" s="599" t="s">
        <v>894</v>
      </c>
      <c r="C119" s="599" t="s">
        <v>40</v>
      </c>
      <c r="D119" s="599" t="s">
        <v>57</v>
      </c>
      <c r="E119" s="599" t="s">
        <v>63</v>
      </c>
      <c r="F119" s="600">
        <v>32859</v>
      </c>
      <c r="G119" s="600">
        <v>24274</v>
      </c>
      <c r="H119" s="600">
        <v>827</v>
      </c>
      <c r="I119" s="600">
        <v>113</v>
      </c>
      <c r="J119" s="600">
        <v>1022830</v>
      </c>
      <c r="K119" s="604" t="s">
        <v>902</v>
      </c>
      <c r="L119" s="604">
        <f t="shared" si="1"/>
        <v>7</v>
      </c>
    </row>
    <row r="120" spans="1:12" s="514" customFormat="1" ht="13" customHeight="1" x14ac:dyDescent="0.3">
      <c r="A120" s="599" t="s">
        <v>110</v>
      </c>
      <c r="B120" s="599" t="s">
        <v>894</v>
      </c>
      <c r="C120" s="599" t="s">
        <v>6</v>
      </c>
      <c r="D120" s="599" t="s">
        <v>57</v>
      </c>
      <c r="E120" s="599" t="s">
        <v>63</v>
      </c>
      <c r="F120" s="600">
        <v>41461</v>
      </c>
      <c r="G120" s="600">
        <v>36642</v>
      </c>
      <c r="H120" s="600">
        <v>678</v>
      </c>
      <c r="I120" s="600">
        <v>44</v>
      </c>
      <c r="J120" s="600">
        <v>272810</v>
      </c>
      <c r="K120" s="604" t="s">
        <v>902</v>
      </c>
      <c r="L120" s="604">
        <f t="shared" si="1"/>
        <v>7</v>
      </c>
    </row>
    <row r="121" spans="1:12" s="514" customFormat="1" ht="13" customHeight="1" x14ac:dyDescent="0.3">
      <c r="A121" s="601" t="s">
        <v>110</v>
      </c>
      <c r="B121" s="601" t="s">
        <v>894</v>
      </c>
      <c r="C121" s="601" t="s">
        <v>6</v>
      </c>
      <c r="D121" s="601" t="s">
        <v>55</v>
      </c>
      <c r="E121" s="601" t="s">
        <v>54</v>
      </c>
      <c r="F121" s="602">
        <v>10296</v>
      </c>
      <c r="G121" s="602">
        <v>8328</v>
      </c>
      <c r="H121" s="602">
        <v>16</v>
      </c>
      <c r="I121" s="602">
        <v>0</v>
      </c>
      <c r="J121" s="602">
        <v>0</v>
      </c>
      <c r="K121" s="604" t="s">
        <v>902</v>
      </c>
      <c r="L121" s="604">
        <f t="shared" si="1"/>
        <v>7</v>
      </c>
    </row>
    <row r="122" spans="1:12" s="514" customFormat="1" ht="13" customHeight="1" x14ac:dyDescent="0.3">
      <c r="A122" s="599" t="s">
        <v>110</v>
      </c>
      <c r="B122" s="599" t="s">
        <v>894</v>
      </c>
      <c r="C122" s="599" t="s">
        <v>6</v>
      </c>
      <c r="D122" s="599" t="s">
        <v>55</v>
      </c>
      <c r="E122" s="599" t="s">
        <v>66</v>
      </c>
      <c r="F122" s="600">
        <v>4735</v>
      </c>
      <c r="G122" s="600">
        <v>4073</v>
      </c>
      <c r="H122" s="600">
        <v>7</v>
      </c>
      <c r="I122" s="600">
        <v>0</v>
      </c>
      <c r="J122" s="600">
        <v>0</v>
      </c>
      <c r="K122" s="604" t="s">
        <v>902</v>
      </c>
      <c r="L122" s="604">
        <f t="shared" si="1"/>
        <v>7</v>
      </c>
    </row>
    <row r="123" spans="1:12" s="514" customFormat="1" ht="13" customHeight="1" x14ac:dyDescent="0.3">
      <c r="A123" s="599" t="s">
        <v>110</v>
      </c>
      <c r="B123" s="599" t="s">
        <v>894</v>
      </c>
      <c r="C123" s="599" t="s">
        <v>6</v>
      </c>
      <c r="D123" s="599" t="s">
        <v>4</v>
      </c>
      <c r="E123" s="599" t="s">
        <v>41</v>
      </c>
      <c r="F123" s="600">
        <v>12</v>
      </c>
      <c r="G123" s="600">
        <v>8</v>
      </c>
      <c r="H123" s="600">
        <v>0</v>
      </c>
      <c r="I123" s="600">
        <v>0</v>
      </c>
      <c r="J123" s="600">
        <v>0</v>
      </c>
      <c r="K123" s="604" t="s">
        <v>902</v>
      </c>
      <c r="L123" s="604">
        <f t="shared" si="1"/>
        <v>7</v>
      </c>
    </row>
    <row r="124" spans="1:12" s="514" customFormat="1" ht="13" customHeight="1" x14ac:dyDescent="0.3">
      <c r="A124" s="601" t="s">
        <v>110</v>
      </c>
      <c r="B124" s="601" t="s">
        <v>894</v>
      </c>
      <c r="C124" s="601" t="s">
        <v>6</v>
      </c>
      <c r="D124" s="601" t="s">
        <v>55</v>
      </c>
      <c r="E124" s="601" t="s">
        <v>56</v>
      </c>
      <c r="F124" s="602">
        <v>28926</v>
      </c>
      <c r="G124" s="602">
        <v>26423</v>
      </c>
      <c r="H124" s="602">
        <v>6</v>
      </c>
      <c r="I124" s="602">
        <v>0</v>
      </c>
      <c r="J124" s="602">
        <v>0</v>
      </c>
      <c r="K124" s="604" t="s">
        <v>902</v>
      </c>
      <c r="L124" s="604">
        <f t="shared" si="1"/>
        <v>7</v>
      </c>
    </row>
    <row r="125" spans="1:12" s="514" customFormat="1" ht="13" customHeight="1" x14ac:dyDescent="0.3">
      <c r="A125" s="599" t="s">
        <v>110</v>
      </c>
      <c r="B125" s="599" t="s">
        <v>894</v>
      </c>
      <c r="C125" s="599" t="s">
        <v>6</v>
      </c>
      <c r="D125" s="599" t="s">
        <v>57</v>
      </c>
      <c r="E125" s="599" t="s">
        <v>65</v>
      </c>
      <c r="F125" s="600">
        <v>53224</v>
      </c>
      <c r="G125" s="600">
        <v>50473</v>
      </c>
      <c r="H125" s="600">
        <v>680</v>
      </c>
      <c r="I125" s="600">
        <v>65</v>
      </c>
      <c r="J125" s="600">
        <v>359470</v>
      </c>
      <c r="K125" s="604" t="s">
        <v>902</v>
      </c>
      <c r="L125" s="604">
        <f t="shared" si="1"/>
        <v>7</v>
      </c>
    </row>
    <row r="126" spans="1:12" s="514" customFormat="1" ht="13" customHeight="1" x14ac:dyDescent="0.3">
      <c r="A126" s="601" t="s">
        <v>110</v>
      </c>
      <c r="B126" s="601" t="s">
        <v>894</v>
      </c>
      <c r="C126" s="601" t="s">
        <v>6</v>
      </c>
      <c r="D126" s="601" t="s">
        <v>57</v>
      </c>
      <c r="E126" s="601" t="s">
        <v>64</v>
      </c>
      <c r="F126" s="602">
        <v>86192</v>
      </c>
      <c r="G126" s="602">
        <v>77463</v>
      </c>
      <c r="H126" s="602">
        <v>553</v>
      </c>
      <c r="I126" s="602">
        <v>14</v>
      </c>
      <c r="J126" s="602">
        <v>72800</v>
      </c>
      <c r="K126" s="604" t="s">
        <v>902</v>
      </c>
      <c r="L126" s="604">
        <f t="shared" si="1"/>
        <v>7</v>
      </c>
    </row>
    <row r="127" spans="1:12" s="514" customFormat="1" ht="13" customHeight="1" x14ac:dyDescent="0.3">
      <c r="A127" s="599" t="s">
        <v>110</v>
      </c>
      <c r="B127" s="599" t="s">
        <v>894</v>
      </c>
      <c r="C127" s="599" t="s">
        <v>6</v>
      </c>
      <c r="D127" s="599" t="s">
        <v>52</v>
      </c>
      <c r="E127" s="599" t="s">
        <v>58</v>
      </c>
      <c r="F127" s="600">
        <v>1</v>
      </c>
      <c r="G127" s="600">
        <v>0</v>
      </c>
      <c r="H127" s="600">
        <v>0</v>
      </c>
      <c r="I127" s="600">
        <v>0</v>
      </c>
      <c r="J127" s="600">
        <v>0</v>
      </c>
      <c r="K127" s="604" t="s">
        <v>902</v>
      </c>
      <c r="L127" s="604">
        <f t="shared" si="1"/>
        <v>7</v>
      </c>
    </row>
    <row r="128" spans="1:12" s="514" customFormat="1" ht="13" customHeight="1" x14ac:dyDescent="0.3">
      <c r="A128" s="601" t="s">
        <v>110</v>
      </c>
      <c r="B128" s="601" t="s">
        <v>894</v>
      </c>
      <c r="C128" s="601" t="s">
        <v>6</v>
      </c>
      <c r="D128" s="601" t="s">
        <v>52</v>
      </c>
      <c r="E128" s="601" t="s">
        <v>61</v>
      </c>
      <c r="F128" s="602">
        <v>14356</v>
      </c>
      <c r="G128" s="602">
        <v>13598</v>
      </c>
      <c r="H128" s="602">
        <v>254</v>
      </c>
      <c r="I128" s="602">
        <v>30</v>
      </c>
      <c r="J128" s="602">
        <v>102770</v>
      </c>
      <c r="K128" s="604" t="s">
        <v>902</v>
      </c>
      <c r="L128" s="604">
        <f t="shared" si="1"/>
        <v>7</v>
      </c>
    </row>
    <row r="129" spans="1:12" s="514" customFormat="1" ht="13" customHeight="1" x14ac:dyDescent="0.3">
      <c r="A129" s="599" t="s">
        <v>110</v>
      </c>
      <c r="B129" s="599" t="s">
        <v>894</v>
      </c>
      <c r="C129" s="599" t="s">
        <v>6</v>
      </c>
      <c r="D129" s="599" t="s">
        <v>4</v>
      </c>
      <c r="E129" s="599" t="s">
        <v>43</v>
      </c>
      <c r="F129" s="600">
        <v>3761</v>
      </c>
      <c r="G129" s="600">
        <v>1950</v>
      </c>
      <c r="H129" s="600">
        <v>12</v>
      </c>
      <c r="I129" s="600">
        <v>6</v>
      </c>
      <c r="J129" s="600">
        <v>53370</v>
      </c>
      <c r="K129" s="604" t="s">
        <v>902</v>
      </c>
      <c r="L129" s="604">
        <f t="shared" si="1"/>
        <v>7</v>
      </c>
    </row>
    <row r="130" spans="1:12" s="514" customFormat="1" ht="13" customHeight="1" x14ac:dyDescent="0.3">
      <c r="A130" s="599" t="s">
        <v>110</v>
      </c>
      <c r="B130" s="599" t="s">
        <v>894</v>
      </c>
      <c r="C130" s="599" t="s">
        <v>6</v>
      </c>
      <c r="D130" s="599" t="s">
        <v>4</v>
      </c>
      <c r="E130" s="599" t="s">
        <v>42</v>
      </c>
      <c r="F130" s="600">
        <v>1</v>
      </c>
      <c r="G130" s="600">
        <v>1</v>
      </c>
      <c r="H130" s="600">
        <v>0</v>
      </c>
      <c r="I130" s="600">
        <v>0</v>
      </c>
      <c r="J130" s="600">
        <v>0</v>
      </c>
      <c r="K130" s="604" t="s">
        <v>902</v>
      </c>
      <c r="L130" s="604">
        <f t="shared" si="1"/>
        <v>7</v>
      </c>
    </row>
    <row r="131" spans="1:12" s="514" customFormat="1" ht="13" customHeight="1" x14ac:dyDescent="0.3">
      <c r="A131" s="601" t="s">
        <v>110</v>
      </c>
      <c r="B131" s="601" t="s">
        <v>894</v>
      </c>
      <c r="C131" s="601" t="s">
        <v>6</v>
      </c>
      <c r="D131" s="601" t="s">
        <v>52</v>
      </c>
      <c r="E131" s="601" t="s">
        <v>53</v>
      </c>
      <c r="F131" s="602">
        <v>1</v>
      </c>
      <c r="G131" s="602">
        <v>1</v>
      </c>
      <c r="H131" s="602">
        <v>0</v>
      </c>
      <c r="I131" s="602">
        <v>0</v>
      </c>
      <c r="J131" s="602">
        <v>0</v>
      </c>
      <c r="K131" s="604" t="s">
        <v>902</v>
      </c>
      <c r="L131" s="604">
        <f t="shared" ref="L131:L194" si="2">MONTH(B131)</f>
        <v>7</v>
      </c>
    </row>
    <row r="132" spans="1:12" s="514" customFormat="1" ht="13" customHeight="1" x14ac:dyDescent="0.3">
      <c r="A132" s="601" t="s">
        <v>110</v>
      </c>
      <c r="B132" s="601" t="s">
        <v>894</v>
      </c>
      <c r="C132" s="601" t="s">
        <v>7</v>
      </c>
      <c r="D132" s="601" t="s">
        <v>52</v>
      </c>
      <c r="E132" s="601" t="s">
        <v>61</v>
      </c>
      <c r="F132" s="602">
        <v>43477</v>
      </c>
      <c r="G132" s="602">
        <v>40779</v>
      </c>
      <c r="H132" s="602">
        <v>1269</v>
      </c>
      <c r="I132" s="602">
        <v>132</v>
      </c>
      <c r="J132" s="602">
        <v>1200160</v>
      </c>
      <c r="K132" s="604" t="s">
        <v>902</v>
      </c>
      <c r="L132" s="604">
        <f t="shared" si="2"/>
        <v>7</v>
      </c>
    </row>
    <row r="133" spans="1:12" s="514" customFormat="1" ht="13" customHeight="1" x14ac:dyDescent="0.3">
      <c r="A133" s="599" t="s">
        <v>110</v>
      </c>
      <c r="B133" s="599" t="s">
        <v>894</v>
      </c>
      <c r="C133" s="599" t="s">
        <v>7</v>
      </c>
      <c r="D133" s="599" t="s">
        <v>55</v>
      </c>
      <c r="E133" s="599" t="s">
        <v>54</v>
      </c>
      <c r="F133" s="600">
        <v>31</v>
      </c>
      <c r="G133" s="600">
        <v>9</v>
      </c>
      <c r="H133" s="600">
        <v>0</v>
      </c>
      <c r="I133" s="600">
        <v>0</v>
      </c>
      <c r="J133" s="600">
        <v>0</v>
      </c>
      <c r="K133" s="604" t="s">
        <v>902</v>
      </c>
      <c r="L133" s="604">
        <f t="shared" si="2"/>
        <v>7</v>
      </c>
    </row>
    <row r="134" spans="1:12" s="514" customFormat="1" ht="13" customHeight="1" x14ac:dyDescent="0.3">
      <c r="A134" s="601" t="s">
        <v>110</v>
      </c>
      <c r="B134" s="601" t="s">
        <v>894</v>
      </c>
      <c r="C134" s="601" t="s">
        <v>7</v>
      </c>
      <c r="D134" s="601" t="s">
        <v>52</v>
      </c>
      <c r="E134" s="601" t="s">
        <v>51</v>
      </c>
      <c r="F134" s="602">
        <v>2376</v>
      </c>
      <c r="G134" s="602">
        <v>2334</v>
      </c>
      <c r="H134" s="602">
        <v>0</v>
      </c>
      <c r="I134" s="602">
        <v>0</v>
      </c>
      <c r="J134" s="602">
        <v>0</v>
      </c>
      <c r="K134" s="604" t="s">
        <v>902</v>
      </c>
      <c r="L134" s="604">
        <f t="shared" si="2"/>
        <v>7</v>
      </c>
    </row>
    <row r="135" spans="1:12" s="514" customFormat="1" ht="13" customHeight="1" x14ac:dyDescent="0.3">
      <c r="A135" s="599" t="s">
        <v>110</v>
      </c>
      <c r="B135" s="599" t="s">
        <v>894</v>
      </c>
      <c r="C135" s="599" t="s">
        <v>7</v>
      </c>
      <c r="D135" s="599" t="s">
        <v>4</v>
      </c>
      <c r="E135" s="599" t="s">
        <v>41</v>
      </c>
      <c r="F135" s="600">
        <v>23</v>
      </c>
      <c r="G135" s="600">
        <v>18</v>
      </c>
      <c r="H135" s="600">
        <v>1</v>
      </c>
      <c r="I135" s="600">
        <v>0</v>
      </c>
      <c r="J135" s="600">
        <v>0</v>
      </c>
      <c r="K135" s="604" t="s">
        <v>902</v>
      </c>
      <c r="L135" s="604">
        <f t="shared" si="2"/>
        <v>7</v>
      </c>
    </row>
    <row r="136" spans="1:12" s="514" customFormat="1" ht="13" customHeight="1" x14ac:dyDescent="0.3">
      <c r="A136" s="601" t="s">
        <v>110</v>
      </c>
      <c r="B136" s="601" t="s">
        <v>894</v>
      </c>
      <c r="C136" s="601" t="s">
        <v>7</v>
      </c>
      <c r="D136" s="601" t="s">
        <v>57</v>
      </c>
      <c r="E136" s="601" t="s">
        <v>63</v>
      </c>
      <c r="F136" s="602">
        <v>65046</v>
      </c>
      <c r="G136" s="602">
        <v>54845</v>
      </c>
      <c r="H136" s="602">
        <v>741</v>
      </c>
      <c r="I136" s="602">
        <v>79</v>
      </c>
      <c r="J136" s="602">
        <v>705540</v>
      </c>
      <c r="K136" s="604" t="s">
        <v>902</v>
      </c>
      <c r="L136" s="604">
        <f t="shared" si="2"/>
        <v>7</v>
      </c>
    </row>
    <row r="137" spans="1:12" s="514" customFormat="1" ht="13" customHeight="1" x14ac:dyDescent="0.3">
      <c r="A137" s="599" t="s">
        <v>110</v>
      </c>
      <c r="B137" s="599" t="s">
        <v>894</v>
      </c>
      <c r="C137" s="599" t="s">
        <v>7</v>
      </c>
      <c r="D137" s="599" t="s">
        <v>4</v>
      </c>
      <c r="E137" s="599" t="s">
        <v>43</v>
      </c>
      <c r="F137" s="600">
        <v>631</v>
      </c>
      <c r="G137" s="600">
        <v>430</v>
      </c>
      <c r="H137" s="600">
        <v>1</v>
      </c>
      <c r="I137" s="600">
        <v>0</v>
      </c>
      <c r="J137" s="600">
        <v>0</v>
      </c>
      <c r="K137" s="604" t="s">
        <v>902</v>
      </c>
      <c r="L137" s="604">
        <f t="shared" si="2"/>
        <v>7</v>
      </c>
    </row>
    <row r="138" spans="1:12" s="514" customFormat="1" ht="13" customHeight="1" x14ac:dyDescent="0.3">
      <c r="A138" s="601" t="s">
        <v>110</v>
      </c>
      <c r="B138" s="601" t="s">
        <v>894</v>
      </c>
      <c r="C138" s="601" t="s">
        <v>7</v>
      </c>
      <c r="D138" s="601" t="s">
        <v>55</v>
      </c>
      <c r="E138" s="601" t="s">
        <v>56</v>
      </c>
      <c r="F138" s="602">
        <v>3</v>
      </c>
      <c r="G138" s="602">
        <v>2</v>
      </c>
      <c r="H138" s="602">
        <v>0</v>
      </c>
      <c r="I138" s="602">
        <v>0</v>
      </c>
      <c r="J138" s="602">
        <v>0</v>
      </c>
      <c r="K138" s="604" t="s">
        <v>902</v>
      </c>
      <c r="L138" s="604">
        <f t="shared" si="2"/>
        <v>7</v>
      </c>
    </row>
    <row r="139" spans="1:12" s="514" customFormat="1" ht="13" customHeight="1" x14ac:dyDescent="0.3">
      <c r="A139" s="599" t="s">
        <v>110</v>
      </c>
      <c r="B139" s="599" t="s">
        <v>894</v>
      </c>
      <c r="C139" s="599" t="s">
        <v>7</v>
      </c>
      <c r="D139" s="599" t="s">
        <v>57</v>
      </c>
      <c r="E139" s="599" t="s">
        <v>65</v>
      </c>
      <c r="F139" s="600">
        <v>51345</v>
      </c>
      <c r="G139" s="600">
        <v>46939</v>
      </c>
      <c r="H139" s="600">
        <v>617</v>
      </c>
      <c r="I139" s="600">
        <v>39</v>
      </c>
      <c r="J139" s="600">
        <v>294140</v>
      </c>
      <c r="K139" s="604" t="s">
        <v>902</v>
      </c>
      <c r="L139" s="604">
        <f t="shared" si="2"/>
        <v>7</v>
      </c>
    </row>
    <row r="140" spans="1:12" s="514" customFormat="1" ht="13" customHeight="1" x14ac:dyDescent="0.3">
      <c r="A140" s="601" t="s">
        <v>110</v>
      </c>
      <c r="B140" s="601" t="s">
        <v>894</v>
      </c>
      <c r="C140" s="601" t="s">
        <v>7</v>
      </c>
      <c r="D140" s="601" t="s">
        <v>52</v>
      </c>
      <c r="E140" s="601" t="s">
        <v>58</v>
      </c>
      <c r="F140" s="602">
        <v>3</v>
      </c>
      <c r="G140" s="602">
        <v>3</v>
      </c>
      <c r="H140" s="602">
        <v>0</v>
      </c>
      <c r="I140" s="602">
        <v>0</v>
      </c>
      <c r="J140" s="602">
        <v>0</v>
      </c>
      <c r="K140" s="604" t="s">
        <v>902</v>
      </c>
      <c r="L140" s="604">
        <f t="shared" si="2"/>
        <v>7</v>
      </c>
    </row>
    <row r="141" spans="1:12" s="514" customFormat="1" ht="13" customHeight="1" x14ac:dyDescent="0.3">
      <c r="A141" s="599" t="s">
        <v>110</v>
      </c>
      <c r="B141" s="599" t="s">
        <v>894</v>
      </c>
      <c r="C141" s="599" t="s">
        <v>7</v>
      </c>
      <c r="D141" s="599" t="s">
        <v>52</v>
      </c>
      <c r="E141" s="599" t="s">
        <v>53</v>
      </c>
      <c r="F141" s="600">
        <v>3</v>
      </c>
      <c r="G141" s="600">
        <v>2</v>
      </c>
      <c r="H141" s="600">
        <v>0</v>
      </c>
      <c r="I141" s="600">
        <v>0</v>
      </c>
      <c r="J141" s="600">
        <v>0</v>
      </c>
      <c r="K141" s="604" t="s">
        <v>902</v>
      </c>
      <c r="L141" s="604">
        <f t="shared" si="2"/>
        <v>7</v>
      </c>
    </row>
    <row r="142" spans="1:12" s="514" customFormat="1" ht="13" customHeight="1" x14ac:dyDescent="0.3">
      <c r="A142" s="601" t="s">
        <v>110</v>
      </c>
      <c r="B142" s="601" t="s">
        <v>894</v>
      </c>
      <c r="C142" s="601" t="s">
        <v>7</v>
      </c>
      <c r="D142" s="601" t="s">
        <v>52</v>
      </c>
      <c r="E142" s="601" t="s">
        <v>59</v>
      </c>
      <c r="F142" s="602">
        <v>3</v>
      </c>
      <c r="G142" s="602">
        <v>3</v>
      </c>
      <c r="H142" s="602">
        <v>0</v>
      </c>
      <c r="I142" s="602">
        <v>0</v>
      </c>
      <c r="J142" s="602">
        <v>0</v>
      </c>
      <c r="K142" s="604" t="s">
        <v>902</v>
      </c>
      <c r="L142" s="604">
        <f t="shared" si="2"/>
        <v>7</v>
      </c>
    </row>
    <row r="143" spans="1:12" s="514" customFormat="1" ht="13" customHeight="1" x14ac:dyDescent="0.3">
      <c r="A143" s="599" t="s">
        <v>110</v>
      </c>
      <c r="B143" s="599" t="s">
        <v>894</v>
      </c>
      <c r="C143" s="599" t="s">
        <v>7</v>
      </c>
      <c r="D143" s="599" t="s">
        <v>57</v>
      </c>
      <c r="E143" s="599" t="s">
        <v>64</v>
      </c>
      <c r="F143" s="600">
        <v>166206</v>
      </c>
      <c r="G143" s="600">
        <v>151229</v>
      </c>
      <c r="H143" s="600">
        <v>232</v>
      </c>
      <c r="I143" s="600">
        <v>4</v>
      </c>
      <c r="J143" s="600">
        <v>31780</v>
      </c>
      <c r="K143" s="604" t="s">
        <v>902</v>
      </c>
      <c r="L143" s="604">
        <f t="shared" si="2"/>
        <v>7</v>
      </c>
    </row>
    <row r="144" spans="1:12" s="514" customFormat="1" ht="13" customHeight="1" x14ac:dyDescent="0.3">
      <c r="A144" s="599" t="s">
        <v>110</v>
      </c>
      <c r="B144" s="599" t="s">
        <v>895</v>
      </c>
      <c r="C144" s="599" t="s">
        <v>40</v>
      </c>
      <c r="D144" s="599" t="s">
        <v>57</v>
      </c>
      <c r="E144" s="599" t="s">
        <v>64</v>
      </c>
      <c r="F144" s="600">
        <v>140322</v>
      </c>
      <c r="G144" s="600">
        <v>129701</v>
      </c>
      <c r="H144" s="600">
        <v>1067</v>
      </c>
      <c r="I144" s="600">
        <v>14</v>
      </c>
      <c r="J144" s="600">
        <v>203550</v>
      </c>
      <c r="K144" s="604" t="s">
        <v>902</v>
      </c>
      <c r="L144" s="604">
        <f t="shared" si="2"/>
        <v>8</v>
      </c>
    </row>
    <row r="145" spans="1:12" s="514" customFormat="1" ht="13" customHeight="1" x14ac:dyDescent="0.3">
      <c r="A145" s="599" t="s">
        <v>110</v>
      </c>
      <c r="B145" s="599" t="s">
        <v>895</v>
      </c>
      <c r="C145" s="599" t="s">
        <v>40</v>
      </c>
      <c r="D145" s="599" t="s">
        <v>4</v>
      </c>
      <c r="E145" s="599" t="s">
        <v>41</v>
      </c>
      <c r="F145" s="600">
        <v>40</v>
      </c>
      <c r="G145" s="600">
        <v>22</v>
      </c>
      <c r="H145" s="600">
        <v>1</v>
      </c>
      <c r="I145" s="600">
        <v>0</v>
      </c>
      <c r="J145" s="600">
        <v>0</v>
      </c>
      <c r="K145" s="604" t="s">
        <v>902</v>
      </c>
      <c r="L145" s="604">
        <f t="shared" si="2"/>
        <v>8</v>
      </c>
    </row>
    <row r="146" spans="1:12" s="514" customFormat="1" ht="13" customHeight="1" x14ac:dyDescent="0.3">
      <c r="A146" s="601" t="s">
        <v>110</v>
      </c>
      <c r="B146" s="601" t="s">
        <v>895</v>
      </c>
      <c r="C146" s="601" t="s">
        <v>40</v>
      </c>
      <c r="D146" s="601" t="s">
        <v>52</v>
      </c>
      <c r="E146" s="601" t="s">
        <v>67</v>
      </c>
      <c r="F146" s="602">
        <v>9724</v>
      </c>
      <c r="G146" s="602">
        <v>9096</v>
      </c>
      <c r="H146" s="602">
        <v>435</v>
      </c>
      <c r="I146" s="602">
        <v>33</v>
      </c>
      <c r="J146" s="602">
        <v>431620</v>
      </c>
      <c r="K146" s="604" t="s">
        <v>902</v>
      </c>
      <c r="L146" s="604">
        <f t="shared" si="2"/>
        <v>8</v>
      </c>
    </row>
    <row r="147" spans="1:12" s="514" customFormat="1" ht="13" customHeight="1" x14ac:dyDescent="0.3">
      <c r="A147" s="599" t="s">
        <v>110</v>
      </c>
      <c r="B147" s="599" t="s">
        <v>895</v>
      </c>
      <c r="C147" s="599" t="s">
        <v>40</v>
      </c>
      <c r="D147" s="599" t="s">
        <v>4</v>
      </c>
      <c r="E147" s="599" t="s">
        <v>42</v>
      </c>
      <c r="F147" s="600">
        <v>1</v>
      </c>
      <c r="G147" s="600">
        <v>1</v>
      </c>
      <c r="H147" s="600">
        <v>0</v>
      </c>
      <c r="I147" s="600">
        <v>0</v>
      </c>
      <c r="J147" s="600">
        <v>0</v>
      </c>
      <c r="K147" s="604" t="s">
        <v>902</v>
      </c>
      <c r="L147" s="604">
        <f t="shared" si="2"/>
        <v>8</v>
      </c>
    </row>
    <row r="148" spans="1:12" s="514" customFormat="1" ht="13" customHeight="1" x14ac:dyDescent="0.3">
      <c r="A148" s="599" t="s">
        <v>110</v>
      </c>
      <c r="B148" s="599" t="s">
        <v>895</v>
      </c>
      <c r="C148" s="599" t="s">
        <v>40</v>
      </c>
      <c r="D148" s="599" t="s">
        <v>52</v>
      </c>
      <c r="E148" s="599" t="s">
        <v>59</v>
      </c>
      <c r="F148" s="600">
        <v>1</v>
      </c>
      <c r="G148" s="600">
        <v>1</v>
      </c>
      <c r="H148" s="600">
        <v>0</v>
      </c>
      <c r="I148" s="600">
        <v>0</v>
      </c>
      <c r="J148" s="600">
        <v>0</v>
      </c>
      <c r="K148" s="604" t="s">
        <v>902</v>
      </c>
      <c r="L148" s="604">
        <f t="shared" si="2"/>
        <v>8</v>
      </c>
    </row>
    <row r="149" spans="1:12" s="514" customFormat="1" ht="13" customHeight="1" x14ac:dyDescent="0.3">
      <c r="A149" s="599" t="s">
        <v>110</v>
      </c>
      <c r="B149" s="599" t="s">
        <v>895</v>
      </c>
      <c r="C149" s="599" t="s">
        <v>40</v>
      </c>
      <c r="D149" s="599" t="s">
        <v>4</v>
      </c>
      <c r="E149" s="599" t="s">
        <v>43</v>
      </c>
      <c r="F149" s="600">
        <v>416</v>
      </c>
      <c r="G149" s="600">
        <v>229</v>
      </c>
      <c r="H149" s="600">
        <v>2</v>
      </c>
      <c r="I149" s="600">
        <v>0</v>
      </c>
      <c r="J149" s="600">
        <v>0</v>
      </c>
      <c r="K149" s="604" t="s">
        <v>902</v>
      </c>
      <c r="L149" s="604">
        <f t="shared" si="2"/>
        <v>8</v>
      </c>
    </row>
    <row r="150" spans="1:12" s="514" customFormat="1" ht="13" customHeight="1" x14ac:dyDescent="0.3">
      <c r="A150" s="601" t="s">
        <v>110</v>
      </c>
      <c r="B150" s="601" t="s">
        <v>895</v>
      </c>
      <c r="C150" s="601" t="s">
        <v>40</v>
      </c>
      <c r="D150" s="601" t="s">
        <v>55</v>
      </c>
      <c r="E150" s="601" t="s">
        <v>56</v>
      </c>
      <c r="F150" s="602">
        <v>1</v>
      </c>
      <c r="G150" s="602">
        <v>1</v>
      </c>
      <c r="H150" s="602">
        <v>0</v>
      </c>
      <c r="I150" s="602">
        <v>0</v>
      </c>
      <c r="J150" s="602">
        <v>0</v>
      </c>
      <c r="K150" s="604" t="s">
        <v>902</v>
      </c>
      <c r="L150" s="604">
        <f t="shared" si="2"/>
        <v>8</v>
      </c>
    </row>
    <row r="151" spans="1:12" s="514" customFormat="1" ht="13" customHeight="1" x14ac:dyDescent="0.3">
      <c r="A151" s="599" t="s">
        <v>110</v>
      </c>
      <c r="B151" s="599" t="s">
        <v>895</v>
      </c>
      <c r="C151" s="599" t="s">
        <v>40</v>
      </c>
      <c r="D151" s="599" t="s">
        <v>57</v>
      </c>
      <c r="E151" s="599" t="s">
        <v>65</v>
      </c>
      <c r="F151" s="600">
        <v>25134</v>
      </c>
      <c r="G151" s="600">
        <v>22659</v>
      </c>
      <c r="H151" s="600">
        <v>397</v>
      </c>
      <c r="I151" s="600">
        <v>19</v>
      </c>
      <c r="J151" s="600">
        <v>135615</v>
      </c>
      <c r="K151" s="604" t="s">
        <v>902</v>
      </c>
      <c r="L151" s="604">
        <f t="shared" si="2"/>
        <v>8</v>
      </c>
    </row>
    <row r="152" spans="1:12" s="514" customFormat="1" ht="13" customHeight="1" x14ac:dyDescent="0.3">
      <c r="A152" s="599" t="s">
        <v>110</v>
      </c>
      <c r="B152" s="599" t="s">
        <v>895</v>
      </c>
      <c r="C152" s="599" t="s">
        <v>40</v>
      </c>
      <c r="D152" s="599" t="s">
        <v>57</v>
      </c>
      <c r="E152" s="599" t="s">
        <v>63</v>
      </c>
      <c r="F152" s="600">
        <v>55166</v>
      </c>
      <c r="G152" s="600">
        <v>48882</v>
      </c>
      <c r="H152" s="600">
        <v>1304</v>
      </c>
      <c r="I152" s="600">
        <v>95</v>
      </c>
      <c r="J152" s="600">
        <v>1062890</v>
      </c>
      <c r="K152" s="604" t="s">
        <v>902</v>
      </c>
      <c r="L152" s="604">
        <f t="shared" si="2"/>
        <v>8</v>
      </c>
    </row>
    <row r="153" spans="1:12" s="514" customFormat="1" ht="13" customHeight="1" x14ac:dyDescent="0.3">
      <c r="A153" s="601" t="s">
        <v>110</v>
      </c>
      <c r="B153" s="601" t="s">
        <v>895</v>
      </c>
      <c r="C153" s="601" t="s">
        <v>40</v>
      </c>
      <c r="D153" s="601" t="s">
        <v>52</v>
      </c>
      <c r="E153" s="601" t="s">
        <v>58</v>
      </c>
      <c r="F153" s="602">
        <v>1</v>
      </c>
      <c r="G153" s="602">
        <v>1</v>
      </c>
      <c r="H153" s="602">
        <v>0</v>
      </c>
      <c r="I153" s="602">
        <v>0</v>
      </c>
      <c r="J153" s="602">
        <v>0</v>
      </c>
      <c r="K153" s="604" t="s">
        <v>902</v>
      </c>
      <c r="L153" s="604">
        <f t="shared" si="2"/>
        <v>8</v>
      </c>
    </row>
    <row r="154" spans="1:12" s="514" customFormat="1" ht="13" customHeight="1" x14ac:dyDescent="0.3">
      <c r="A154" s="599" t="s">
        <v>110</v>
      </c>
      <c r="B154" s="599" t="s">
        <v>895</v>
      </c>
      <c r="C154" s="599" t="s">
        <v>40</v>
      </c>
      <c r="D154" s="599" t="s">
        <v>52</v>
      </c>
      <c r="E154" s="599" t="s">
        <v>51</v>
      </c>
      <c r="F154" s="600">
        <v>3</v>
      </c>
      <c r="G154" s="600">
        <v>3</v>
      </c>
      <c r="H154" s="600">
        <v>0</v>
      </c>
      <c r="I154" s="600">
        <v>0</v>
      </c>
      <c r="J154" s="600">
        <v>0</v>
      </c>
      <c r="K154" s="604" t="s">
        <v>902</v>
      </c>
      <c r="L154" s="604">
        <f t="shared" si="2"/>
        <v>8</v>
      </c>
    </row>
    <row r="155" spans="1:12" s="514" customFormat="1" ht="13" customHeight="1" x14ac:dyDescent="0.3">
      <c r="A155" s="601" t="s">
        <v>110</v>
      </c>
      <c r="B155" s="601" t="s">
        <v>895</v>
      </c>
      <c r="C155" s="601" t="s">
        <v>6</v>
      </c>
      <c r="D155" s="601" t="s">
        <v>57</v>
      </c>
      <c r="E155" s="601" t="s">
        <v>64</v>
      </c>
      <c r="F155" s="602">
        <v>68223</v>
      </c>
      <c r="G155" s="602">
        <v>59594</v>
      </c>
      <c r="H155" s="602">
        <v>477</v>
      </c>
      <c r="I155" s="602">
        <v>6</v>
      </c>
      <c r="J155" s="602">
        <v>37285</v>
      </c>
      <c r="K155" s="604" t="s">
        <v>902</v>
      </c>
      <c r="L155" s="604">
        <f t="shared" si="2"/>
        <v>8</v>
      </c>
    </row>
    <row r="156" spans="1:12" s="514" customFormat="1" ht="13" customHeight="1" x14ac:dyDescent="0.3">
      <c r="A156" s="599" t="s">
        <v>110</v>
      </c>
      <c r="B156" s="599" t="s">
        <v>895</v>
      </c>
      <c r="C156" s="599" t="s">
        <v>6</v>
      </c>
      <c r="D156" s="599" t="s">
        <v>57</v>
      </c>
      <c r="E156" s="599" t="s">
        <v>63</v>
      </c>
      <c r="F156" s="600">
        <v>42954</v>
      </c>
      <c r="G156" s="600">
        <v>39450</v>
      </c>
      <c r="H156" s="600">
        <v>667</v>
      </c>
      <c r="I156" s="600">
        <v>30</v>
      </c>
      <c r="J156" s="600">
        <v>166680</v>
      </c>
      <c r="K156" s="604" t="s">
        <v>902</v>
      </c>
      <c r="L156" s="604">
        <f t="shared" si="2"/>
        <v>8</v>
      </c>
    </row>
    <row r="157" spans="1:12" s="514" customFormat="1" ht="13" customHeight="1" x14ac:dyDescent="0.3">
      <c r="A157" s="601" t="s">
        <v>110</v>
      </c>
      <c r="B157" s="601" t="s">
        <v>895</v>
      </c>
      <c r="C157" s="601" t="s">
        <v>6</v>
      </c>
      <c r="D157" s="601" t="s">
        <v>52</v>
      </c>
      <c r="E157" s="601" t="s">
        <v>51</v>
      </c>
      <c r="F157" s="602">
        <v>3</v>
      </c>
      <c r="G157" s="602">
        <v>2</v>
      </c>
      <c r="H157" s="602">
        <v>0</v>
      </c>
      <c r="I157" s="602">
        <v>0</v>
      </c>
      <c r="J157" s="602">
        <v>0</v>
      </c>
      <c r="K157" s="604" t="s">
        <v>902</v>
      </c>
      <c r="L157" s="604">
        <f t="shared" si="2"/>
        <v>8</v>
      </c>
    </row>
    <row r="158" spans="1:12" s="514" customFormat="1" ht="13" customHeight="1" x14ac:dyDescent="0.3">
      <c r="A158" s="599" t="s">
        <v>110</v>
      </c>
      <c r="B158" s="599" t="s">
        <v>895</v>
      </c>
      <c r="C158" s="599" t="s">
        <v>6</v>
      </c>
      <c r="D158" s="599" t="s">
        <v>55</v>
      </c>
      <c r="E158" s="599" t="s">
        <v>66</v>
      </c>
      <c r="F158" s="600">
        <v>8027</v>
      </c>
      <c r="G158" s="600">
        <v>7130</v>
      </c>
      <c r="H158" s="600">
        <v>4</v>
      </c>
      <c r="I158" s="600">
        <v>0</v>
      </c>
      <c r="J158" s="600">
        <v>0</v>
      </c>
      <c r="K158" s="604" t="s">
        <v>902</v>
      </c>
      <c r="L158" s="604">
        <f t="shared" si="2"/>
        <v>8</v>
      </c>
    </row>
    <row r="159" spans="1:12" s="514" customFormat="1" ht="13" customHeight="1" x14ac:dyDescent="0.3">
      <c r="A159" s="601" t="s">
        <v>110</v>
      </c>
      <c r="B159" s="601" t="s">
        <v>895</v>
      </c>
      <c r="C159" s="601" t="s">
        <v>6</v>
      </c>
      <c r="D159" s="601" t="s">
        <v>4</v>
      </c>
      <c r="E159" s="601" t="s">
        <v>41</v>
      </c>
      <c r="F159" s="602">
        <v>11</v>
      </c>
      <c r="G159" s="602">
        <v>9</v>
      </c>
      <c r="H159" s="602">
        <v>1</v>
      </c>
      <c r="I159" s="602">
        <v>0</v>
      </c>
      <c r="J159" s="602">
        <v>0</v>
      </c>
      <c r="K159" s="604" t="s">
        <v>902</v>
      </c>
      <c r="L159" s="604">
        <f t="shared" si="2"/>
        <v>8</v>
      </c>
    </row>
    <row r="160" spans="1:12" s="514" customFormat="1" ht="13" customHeight="1" x14ac:dyDescent="0.3">
      <c r="A160" s="601" t="s">
        <v>110</v>
      </c>
      <c r="B160" s="601" t="s">
        <v>895</v>
      </c>
      <c r="C160" s="601" t="s">
        <v>6</v>
      </c>
      <c r="D160" s="601" t="s">
        <v>52</v>
      </c>
      <c r="E160" s="601" t="s">
        <v>58</v>
      </c>
      <c r="F160" s="602">
        <v>2</v>
      </c>
      <c r="G160" s="602">
        <v>1</v>
      </c>
      <c r="H160" s="602">
        <v>0</v>
      </c>
      <c r="I160" s="602">
        <v>0</v>
      </c>
      <c r="J160" s="602">
        <v>0</v>
      </c>
      <c r="K160" s="604" t="s">
        <v>902</v>
      </c>
      <c r="L160" s="604">
        <f t="shared" si="2"/>
        <v>8</v>
      </c>
    </row>
    <row r="161" spans="1:12" s="514" customFormat="1" ht="13" customHeight="1" x14ac:dyDescent="0.3">
      <c r="A161" s="601" t="s">
        <v>110</v>
      </c>
      <c r="B161" s="601" t="s">
        <v>895</v>
      </c>
      <c r="C161" s="601" t="s">
        <v>6</v>
      </c>
      <c r="D161" s="601" t="s">
        <v>55</v>
      </c>
      <c r="E161" s="601" t="s">
        <v>54</v>
      </c>
      <c r="F161" s="602">
        <v>4649</v>
      </c>
      <c r="G161" s="602">
        <v>3997</v>
      </c>
      <c r="H161" s="602">
        <v>6</v>
      </c>
      <c r="I161" s="602">
        <v>0</v>
      </c>
      <c r="J161" s="602">
        <v>0</v>
      </c>
      <c r="K161" s="604" t="s">
        <v>902</v>
      </c>
      <c r="L161" s="604">
        <f t="shared" si="2"/>
        <v>8</v>
      </c>
    </row>
    <row r="162" spans="1:12" s="514" customFormat="1" ht="13" customHeight="1" x14ac:dyDescent="0.3">
      <c r="A162" s="601" t="s">
        <v>110</v>
      </c>
      <c r="B162" s="601" t="s">
        <v>895</v>
      </c>
      <c r="C162" s="601" t="s">
        <v>6</v>
      </c>
      <c r="D162" s="601" t="s">
        <v>4</v>
      </c>
      <c r="E162" s="601" t="s">
        <v>43</v>
      </c>
      <c r="F162" s="602">
        <v>3050</v>
      </c>
      <c r="G162" s="602">
        <v>1884</v>
      </c>
      <c r="H162" s="602">
        <v>15</v>
      </c>
      <c r="I162" s="602">
        <v>4</v>
      </c>
      <c r="J162" s="602">
        <v>22135</v>
      </c>
      <c r="K162" s="604" t="s">
        <v>902</v>
      </c>
      <c r="L162" s="604">
        <f t="shared" si="2"/>
        <v>8</v>
      </c>
    </row>
    <row r="163" spans="1:12" s="514" customFormat="1" ht="13" customHeight="1" x14ac:dyDescent="0.3">
      <c r="A163" s="599" t="s">
        <v>110</v>
      </c>
      <c r="B163" s="599" t="s">
        <v>895</v>
      </c>
      <c r="C163" s="599" t="s">
        <v>6</v>
      </c>
      <c r="D163" s="599" t="s">
        <v>55</v>
      </c>
      <c r="E163" s="599" t="s">
        <v>56</v>
      </c>
      <c r="F163" s="600">
        <v>7805</v>
      </c>
      <c r="G163" s="600">
        <v>6693</v>
      </c>
      <c r="H163" s="600">
        <v>12</v>
      </c>
      <c r="I163" s="600">
        <v>0</v>
      </c>
      <c r="J163" s="600">
        <v>0</v>
      </c>
      <c r="K163" s="604" t="s">
        <v>902</v>
      </c>
      <c r="L163" s="604">
        <f t="shared" si="2"/>
        <v>8</v>
      </c>
    </row>
    <row r="164" spans="1:12" s="514" customFormat="1" ht="13" customHeight="1" x14ac:dyDescent="0.3">
      <c r="A164" s="601" t="s">
        <v>110</v>
      </c>
      <c r="B164" s="601" t="s">
        <v>895</v>
      </c>
      <c r="C164" s="601" t="s">
        <v>6</v>
      </c>
      <c r="D164" s="601" t="s">
        <v>57</v>
      </c>
      <c r="E164" s="601" t="s">
        <v>65</v>
      </c>
      <c r="F164" s="602">
        <v>60428</v>
      </c>
      <c r="G164" s="602">
        <v>58139</v>
      </c>
      <c r="H164" s="602">
        <v>584</v>
      </c>
      <c r="I164" s="602">
        <v>38</v>
      </c>
      <c r="J164" s="602">
        <v>201425</v>
      </c>
      <c r="K164" s="604" t="s">
        <v>902</v>
      </c>
      <c r="L164" s="604">
        <f t="shared" si="2"/>
        <v>8</v>
      </c>
    </row>
    <row r="165" spans="1:12" s="514" customFormat="1" ht="13" customHeight="1" x14ac:dyDescent="0.3">
      <c r="A165" s="599" t="s">
        <v>110</v>
      </c>
      <c r="B165" s="599" t="s">
        <v>895</v>
      </c>
      <c r="C165" s="599" t="s">
        <v>6</v>
      </c>
      <c r="D165" s="599" t="s">
        <v>52</v>
      </c>
      <c r="E165" s="599" t="s">
        <v>61</v>
      </c>
      <c r="F165" s="600">
        <v>15299</v>
      </c>
      <c r="G165" s="600">
        <v>14657</v>
      </c>
      <c r="H165" s="600">
        <v>221</v>
      </c>
      <c r="I165" s="600">
        <v>33</v>
      </c>
      <c r="J165" s="600">
        <v>126700</v>
      </c>
      <c r="K165" s="604" t="s">
        <v>902</v>
      </c>
      <c r="L165" s="604">
        <f t="shared" si="2"/>
        <v>8</v>
      </c>
    </row>
    <row r="166" spans="1:12" s="514" customFormat="1" ht="13" customHeight="1" x14ac:dyDescent="0.3">
      <c r="A166" s="601" t="s">
        <v>110</v>
      </c>
      <c r="B166" s="601" t="s">
        <v>895</v>
      </c>
      <c r="C166" s="601" t="s">
        <v>6</v>
      </c>
      <c r="D166" s="601" t="s">
        <v>52</v>
      </c>
      <c r="E166" s="601" t="s">
        <v>59</v>
      </c>
      <c r="F166" s="602">
        <v>1</v>
      </c>
      <c r="G166" s="602">
        <v>1</v>
      </c>
      <c r="H166" s="602">
        <v>0</v>
      </c>
      <c r="I166" s="602">
        <v>0</v>
      </c>
      <c r="J166" s="602">
        <v>0</v>
      </c>
      <c r="K166" s="604" t="s">
        <v>902</v>
      </c>
      <c r="L166" s="604">
        <f t="shared" si="2"/>
        <v>8</v>
      </c>
    </row>
    <row r="167" spans="1:12" s="514" customFormat="1" ht="13" customHeight="1" x14ac:dyDescent="0.3">
      <c r="A167" s="601" t="s">
        <v>110</v>
      </c>
      <c r="B167" s="601" t="s">
        <v>895</v>
      </c>
      <c r="C167" s="601" t="s">
        <v>7</v>
      </c>
      <c r="D167" s="601" t="s">
        <v>52</v>
      </c>
      <c r="E167" s="601" t="s">
        <v>51</v>
      </c>
      <c r="F167" s="602">
        <v>1102</v>
      </c>
      <c r="G167" s="602">
        <v>1091</v>
      </c>
      <c r="H167" s="602">
        <v>0</v>
      </c>
      <c r="I167" s="602">
        <v>0</v>
      </c>
      <c r="J167" s="602">
        <v>0</v>
      </c>
      <c r="K167" s="604" t="s">
        <v>902</v>
      </c>
      <c r="L167" s="604">
        <f t="shared" si="2"/>
        <v>8</v>
      </c>
    </row>
    <row r="168" spans="1:12" s="514" customFormat="1" ht="13" customHeight="1" x14ac:dyDescent="0.3">
      <c r="A168" s="599" t="s">
        <v>110</v>
      </c>
      <c r="B168" s="599" t="s">
        <v>895</v>
      </c>
      <c r="C168" s="599" t="s">
        <v>7</v>
      </c>
      <c r="D168" s="599" t="s">
        <v>4</v>
      </c>
      <c r="E168" s="599" t="s">
        <v>42</v>
      </c>
      <c r="F168" s="600">
        <v>1</v>
      </c>
      <c r="G168" s="600">
        <v>0</v>
      </c>
      <c r="H168" s="600">
        <v>0</v>
      </c>
      <c r="I168" s="600">
        <v>0</v>
      </c>
      <c r="J168" s="600">
        <v>0</v>
      </c>
      <c r="K168" s="604" t="s">
        <v>902</v>
      </c>
      <c r="L168" s="604">
        <f t="shared" si="2"/>
        <v>8</v>
      </c>
    </row>
    <row r="169" spans="1:12" s="514" customFormat="1" ht="13" customHeight="1" x14ac:dyDescent="0.3">
      <c r="A169" s="601" t="s">
        <v>110</v>
      </c>
      <c r="B169" s="601" t="s">
        <v>895</v>
      </c>
      <c r="C169" s="601" t="s">
        <v>7</v>
      </c>
      <c r="D169" s="601" t="s">
        <v>57</v>
      </c>
      <c r="E169" s="601" t="s">
        <v>64</v>
      </c>
      <c r="F169" s="602">
        <v>186635</v>
      </c>
      <c r="G169" s="602">
        <v>159281</v>
      </c>
      <c r="H169" s="602">
        <v>311</v>
      </c>
      <c r="I169" s="602">
        <v>7</v>
      </c>
      <c r="J169" s="602">
        <v>40700</v>
      </c>
      <c r="K169" s="604" t="s">
        <v>902</v>
      </c>
      <c r="L169" s="604">
        <f t="shared" si="2"/>
        <v>8</v>
      </c>
    </row>
    <row r="170" spans="1:12" s="514" customFormat="1" ht="13" customHeight="1" x14ac:dyDescent="0.3">
      <c r="A170" s="599" t="s">
        <v>110</v>
      </c>
      <c r="B170" s="599" t="s">
        <v>895</v>
      </c>
      <c r="C170" s="599" t="s">
        <v>7</v>
      </c>
      <c r="D170" s="599" t="s">
        <v>52</v>
      </c>
      <c r="E170" s="599" t="s">
        <v>58</v>
      </c>
      <c r="F170" s="600">
        <v>3</v>
      </c>
      <c r="G170" s="600">
        <v>3</v>
      </c>
      <c r="H170" s="600">
        <v>0</v>
      </c>
      <c r="I170" s="600">
        <v>0</v>
      </c>
      <c r="J170" s="600">
        <v>0</v>
      </c>
      <c r="K170" s="604" t="s">
        <v>902</v>
      </c>
      <c r="L170" s="604">
        <f t="shared" si="2"/>
        <v>8</v>
      </c>
    </row>
    <row r="171" spans="1:12" s="514" customFormat="1" ht="13" customHeight="1" x14ac:dyDescent="0.3">
      <c r="A171" s="601" t="s">
        <v>110</v>
      </c>
      <c r="B171" s="601" t="s">
        <v>895</v>
      </c>
      <c r="C171" s="601" t="s">
        <v>7</v>
      </c>
      <c r="D171" s="601" t="s">
        <v>4</v>
      </c>
      <c r="E171" s="601" t="s">
        <v>43</v>
      </c>
      <c r="F171" s="602">
        <v>947</v>
      </c>
      <c r="G171" s="602">
        <v>618</v>
      </c>
      <c r="H171" s="602">
        <v>0</v>
      </c>
      <c r="I171" s="602">
        <v>0</v>
      </c>
      <c r="J171" s="602">
        <v>0</v>
      </c>
      <c r="K171" s="604" t="s">
        <v>902</v>
      </c>
      <c r="L171" s="604">
        <f t="shared" si="2"/>
        <v>8</v>
      </c>
    </row>
    <row r="172" spans="1:12" s="514" customFormat="1" ht="13" customHeight="1" x14ac:dyDescent="0.3">
      <c r="A172" s="599" t="s">
        <v>110</v>
      </c>
      <c r="B172" s="599" t="s">
        <v>895</v>
      </c>
      <c r="C172" s="599" t="s">
        <v>7</v>
      </c>
      <c r="D172" s="599" t="s">
        <v>52</v>
      </c>
      <c r="E172" s="599" t="s">
        <v>61</v>
      </c>
      <c r="F172" s="600">
        <v>42029</v>
      </c>
      <c r="G172" s="600">
        <v>39032</v>
      </c>
      <c r="H172" s="600">
        <v>1098</v>
      </c>
      <c r="I172" s="600">
        <v>113</v>
      </c>
      <c r="J172" s="600">
        <v>1186780</v>
      </c>
      <c r="K172" s="604" t="s">
        <v>902</v>
      </c>
      <c r="L172" s="604">
        <f t="shared" si="2"/>
        <v>8</v>
      </c>
    </row>
    <row r="173" spans="1:12" s="514" customFormat="1" ht="13" customHeight="1" x14ac:dyDescent="0.3">
      <c r="A173" s="601" t="s">
        <v>110</v>
      </c>
      <c r="B173" s="601" t="s">
        <v>895</v>
      </c>
      <c r="C173" s="601" t="s">
        <v>7</v>
      </c>
      <c r="D173" s="601" t="s">
        <v>57</v>
      </c>
      <c r="E173" s="601" t="s">
        <v>65</v>
      </c>
      <c r="F173" s="602">
        <v>45487</v>
      </c>
      <c r="G173" s="602">
        <v>41690</v>
      </c>
      <c r="H173" s="602">
        <v>509</v>
      </c>
      <c r="I173" s="602">
        <v>32</v>
      </c>
      <c r="J173" s="602">
        <v>229200</v>
      </c>
      <c r="K173" s="604" t="s">
        <v>902</v>
      </c>
      <c r="L173" s="604">
        <f t="shared" si="2"/>
        <v>8</v>
      </c>
    </row>
    <row r="174" spans="1:12" s="514" customFormat="1" ht="13" customHeight="1" x14ac:dyDescent="0.3">
      <c r="A174" s="599" t="s">
        <v>110</v>
      </c>
      <c r="B174" s="599" t="s">
        <v>895</v>
      </c>
      <c r="C174" s="599" t="s">
        <v>7</v>
      </c>
      <c r="D174" s="599" t="s">
        <v>57</v>
      </c>
      <c r="E174" s="599" t="s">
        <v>63</v>
      </c>
      <c r="F174" s="600">
        <v>74026</v>
      </c>
      <c r="G174" s="600">
        <v>65239</v>
      </c>
      <c r="H174" s="600">
        <v>1086</v>
      </c>
      <c r="I174" s="600">
        <v>89</v>
      </c>
      <c r="J174" s="600">
        <v>741590</v>
      </c>
      <c r="K174" s="604" t="s">
        <v>902</v>
      </c>
      <c r="L174" s="604">
        <f t="shared" si="2"/>
        <v>8</v>
      </c>
    </row>
    <row r="175" spans="1:12" s="514" customFormat="1" ht="13" customHeight="1" x14ac:dyDescent="0.3">
      <c r="A175" s="601" t="s">
        <v>110</v>
      </c>
      <c r="B175" s="601" t="s">
        <v>895</v>
      </c>
      <c r="C175" s="601" t="s">
        <v>7</v>
      </c>
      <c r="D175" s="601" t="s">
        <v>55</v>
      </c>
      <c r="E175" s="601" t="s">
        <v>56</v>
      </c>
      <c r="F175" s="602">
        <v>9</v>
      </c>
      <c r="G175" s="602">
        <v>5</v>
      </c>
      <c r="H175" s="602">
        <v>0</v>
      </c>
      <c r="I175" s="602">
        <v>0</v>
      </c>
      <c r="J175" s="602">
        <v>0</v>
      </c>
      <c r="K175" s="604" t="s">
        <v>902</v>
      </c>
      <c r="L175" s="604">
        <f t="shared" si="2"/>
        <v>8</v>
      </c>
    </row>
    <row r="176" spans="1:12" s="514" customFormat="1" ht="13" customHeight="1" x14ac:dyDescent="0.3">
      <c r="A176" s="599" t="s">
        <v>110</v>
      </c>
      <c r="B176" s="599" t="s">
        <v>895</v>
      </c>
      <c r="C176" s="599" t="s">
        <v>7</v>
      </c>
      <c r="D176" s="599" t="s">
        <v>55</v>
      </c>
      <c r="E176" s="599" t="s">
        <v>54</v>
      </c>
      <c r="F176" s="600">
        <v>17</v>
      </c>
      <c r="G176" s="600">
        <v>6</v>
      </c>
      <c r="H176" s="600">
        <v>0</v>
      </c>
      <c r="I176" s="600">
        <v>0</v>
      </c>
      <c r="J176" s="600">
        <v>0</v>
      </c>
      <c r="K176" s="604" t="s">
        <v>902</v>
      </c>
      <c r="L176" s="604">
        <f t="shared" si="2"/>
        <v>8</v>
      </c>
    </row>
    <row r="177" spans="1:12" s="514" customFormat="1" ht="13" customHeight="1" x14ac:dyDescent="0.3">
      <c r="A177" s="601" t="s">
        <v>110</v>
      </c>
      <c r="B177" s="601" t="s">
        <v>895</v>
      </c>
      <c r="C177" s="601" t="s">
        <v>7</v>
      </c>
      <c r="D177" s="601" t="s">
        <v>4</v>
      </c>
      <c r="E177" s="601" t="s">
        <v>41</v>
      </c>
      <c r="F177" s="602">
        <v>57</v>
      </c>
      <c r="G177" s="602">
        <v>47</v>
      </c>
      <c r="H177" s="602">
        <v>1</v>
      </c>
      <c r="I177" s="602">
        <v>0</v>
      </c>
      <c r="J177" s="602">
        <v>0</v>
      </c>
      <c r="K177" s="604" t="s">
        <v>902</v>
      </c>
      <c r="L177" s="604">
        <f t="shared" si="2"/>
        <v>8</v>
      </c>
    </row>
    <row r="178" spans="1:12" s="514" customFormat="1" ht="13" customHeight="1" x14ac:dyDescent="0.3">
      <c r="A178" s="599" t="s">
        <v>110</v>
      </c>
      <c r="B178" s="599" t="s">
        <v>896</v>
      </c>
      <c r="C178" s="599" t="s">
        <v>40</v>
      </c>
      <c r="D178" s="599" t="s">
        <v>57</v>
      </c>
      <c r="E178" s="599" t="s">
        <v>64</v>
      </c>
      <c r="F178" s="600">
        <v>73704</v>
      </c>
      <c r="G178" s="600">
        <v>63532</v>
      </c>
      <c r="H178" s="600">
        <v>678</v>
      </c>
      <c r="I178" s="600">
        <v>12</v>
      </c>
      <c r="J178" s="600">
        <v>141445</v>
      </c>
      <c r="K178" s="604" t="s">
        <v>902</v>
      </c>
      <c r="L178" s="604">
        <f t="shared" si="2"/>
        <v>9</v>
      </c>
    </row>
    <row r="179" spans="1:12" s="514" customFormat="1" ht="13" customHeight="1" x14ac:dyDescent="0.3">
      <c r="A179" s="601" t="s">
        <v>110</v>
      </c>
      <c r="B179" s="601" t="s">
        <v>896</v>
      </c>
      <c r="C179" s="601" t="s">
        <v>40</v>
      </c>
      <c r="D179" s="601" t="s">
        <v>57</v>
      </c>
      <c r="E179" s="601" t="s">
        <v>63</v>
      </c>
      <c r="F179" s="602">
        <v>68011</v>
      </c>
      <c r="G179" s="602">
        <v>60118</v>
      </c>
      <c r="H179" s="602">
        <v>1300</v>
      </c>
      <c r="I179" s="602">
        <v>54</v>
      </c>
      <c r="J179" s="602">
        <v>765945</v>
      </c>
      <c r="K179" s="604" t="s">
        <v>902</v>
      </c>
      <c r="L179" s="604">
        <f t="shared" si="2"/>
        <v>9</v>
      </c>
    </row>
    <row r="180" spans="1:12" s="514" customFormat="1" ht="13" customHeight="1" x14ac:dyDescent="0.3">
      <c r="A180" s="599" t="s">
        <v>110</v>
      </c>
      <c r="B180" s="599" t="s">
        <v>896</v>
      </c>
      <c r="C180" s="599" t="s">
        <v>40</v>
      </c>
      <c r="D180" s="599" t="s">
        <v>55</v>
      </c>
      <c r="E180" s="599" t="s">
        <v>56</v>
      </c>
      <c r="F180" s="600">
        <v>3</v>
      </c>
      <c r="G180" s="600">
        <v>2</v>
      </c>
      <c r="H180" s="600">
        <v>0</v>
      </c>
      <c r="I180" s="600">
        <v>0</v>
      </c>
      <c r="J180" s="600">
        <v>0</v>
      </c>
      <c r="K180" s="604" t="s">
        <v>902</v>
      </c>
      <c r="L180" s="604">
        <f t="shared" si="2"/>
        <v>9</v>
      </c>
    </row>
    <row r="181" spans="1:12" s="514" customFormat="1" ht="13" customHeight="1" x14ac:dyDescent="0.3">
      <c r="A181" s="601" t="s">
        <v>110</v>
      </c>
      <c r="B181" s="601" t="s">
        <v>896</v>
      </c>
      <c r="C181" s="601" t="s">
        <v>40</v>
      </c>
      <c r="D181" s="601" t="s">
        <v>4</v>
      </c>
      <c r="E181" s="601" t="s">
        <v>41</v>
      </c>
      <c r="F181" s="602">
        <v>23</v>
      </c>
      <c r="G181" s="602">
        <v>13</v>
      </c>
      <c r="H181" s="602">
        <v>0</v>
      </c>
      <c r="I181" s="602">
        <v>0</v>
      </c>
      <c r="J181" s="602">
        <v>0</v>
      </c>
      <c r="K181" s="604" t="s">
        <v>902</v>
      </c>
      <c r="L181" s="604">
        <f t="shared" si="2"/>
        <v>9</v>
      </c>
    </row>
    <row r="182" spans="1:12" s="514" customFormat="1" ht="13" customHeight="1" x14ac:dyDescent="0.3">
      <c r="A182" s="599" t="s">
        <v>110</v>
      </c>
      <c r="B182" s="599" t="s">
        <v>896</v>
      </c>
      <c r="C182" s="599" t="s">
        <v>40</v>
      </c>
      <c r="D182" s="599" t="s">
        <v>52</v>
      </c>
      <c r="E182" s="599" t="s">
        <v>51</v>
      </c>
      <c r="F182" s="600">
        <v>6</v>
      </c>
      <c r="G182" s="600">
        <v>5</v>
      </c>
      <c r="H182" s="600">
        <v>0</v>
      </c>
      <c r="I182" s="600">
        <v>0</v>
      </c>
      <c r="J182" s="600">
        <v>0</v>
      </c>
      <c r="K182" s="604" t="s">
        <v>902</v>
      </c>
      <c r="L182" s="604">
        <f t="shared" si="2"/>
        <v>9</v>
      </c>
    </row>
    <row r="183" spans="1:12" s="514" customFormat="1" ht="13" customHeight="1" x14ac:dyDescent="0.3">
      <c r="A183" s="601" t="s">
        <v>110</v>
      </c>
      <c r="B183" s="601" t="s">
        <v>896</v>
      </c>
      <c r="C183" s="601" t="s">
        <v>40</v>
      </c>
      <c r="D183" s="601" t="s">
        <v>57</v>
      </c>
      <c r="E183" s="601" t="s">
        <v>65</v>
      </c>
      <c r="F183" s="602">
        <v>16477</v>
      </c>
      <c r="G183" s="602">
        <v>15072</v>
      </c>
      <c r="H183" s="602">
        <v>297</v>
      </c>
      <c r="I183" s="602">
        <v>17</v>
      </c>
      <c r="J183" s="602">
        <v>157185</v>
      </c>
      <c r="K183" s="604" t="s">
        <v>902</v>
      </c>
      <c r="L183" s="604">
        <f t="shared" si="2"/>
        <v>9</v>
      </c>
    </row>
    <row r="184" spans="1:12" s="514" customFormat="1" ht="13" customHeight="1" x14ac:dyDescent="0.3">
      <c r="A184" s="601" t="s">
        <v>110</v>
      </c>
      <c r="B184" s="601" t="s">
        <v>896</v>
      </c>
      <c r="C184" s="601" t="s">
        <v>40</v>
      </c>
      <c r="D184" s="601" t="s">
        <v>52</v>
      </c>
      <c r="E184" s="601" t="s">
        <v>67</v>
      </c>
      <c r="F184" s="602">
        <v>10306</v>
      </c>
      <c r="G184" s="602">
        <v>9709</v>
      </c>
      <c r="H184" s="602">
        <v>463</v>
      </c>
      <c r="I184" s="602">
        <v>23</v>
      </c>
      <c r="J184" s="602">
        <v>487880</v>
      </c>
      <c r="K184" s="604" t="s">
        <v>902</v>
      </c>
      <c r="L184" s="604">
        <f t="shared" si="2"/>
        <v>9</v>
      </c>
    </row>
    <row r="185" spans="1:12" s="514" customFormat="1" ht="13" customHeight="1" x14ac:dyDescent="0.3">
      <c r="A185" s="599" t="s">
        <v>110</v>
      </c>
      <c r="B185" s="599" t="s">
        <v>896</v>
      </c>
      <c r="C185" s="599" t="s">
        <v>40</v>
      </c>
      <c r="D185" s="599" t="s">
        <v>4</v>
      </c>
      <c r="E185" s="599" t="s">
        <v>43</v>
      </c>
      <c r="F185" s="600">
        <v>263</v>
      </c>
      <c r="G185" s="600">
        <v>170</v>
      </c>
      <c r="H185" s="600">
        <v>7</v>
      </c>
      <c r="I185" s="600">
        <v>0</v>
      </c>
      <c r="J185" s="600">
        <v>0</v>
      </c>
      <c r="K185" s="604" t="s">
        <v>902</v>
      </c>
      <c r="L185" s="604">
        <f t="shared" si="2"/>
        <v>9</v>
      </c>
    </row>
    <row r="186" spans="1:12" s="514" customFormat="1" ht="13" customHeight="1" x14ac:dyDescent="0.3">
      <c r="A186" s="601" t="s">
        <v>110</v>
      </c>
      <c r="B186" s="601" t="s">
        <v>896</v>
      </c>
      <c r="C186" s="601" t="s">
        <v>6</v>
      </c>
      <c r="D186" s="601" t="s">
        <v>4</v>
      </c>
      <c r="E186" s="601" t="s">
        <v>42</v>
      </c>
      <c r="F186" s="602">
        <v>1</v>
      </c>
      <c r="G186" s="602">
        <v>1</v>
      </c>
      <c r="H186" s="602">
        <v>0</v>
      </c>
      <c r="I186" s="602">
        <v>0</v>
      </c>
      <c r="J186" s="602">
        <v>0</v>
      </c>
      <c r="K186" s="604" t="s">
        <v>902</v>
      </c>
      <c r="L186" s="604">
        <f t="shared" si="2"/>
        <v>9</v>
      </c>
    </row>
    <row r="187" spans="1:12" s="514" customFormat="1" ht="13" customHeight="1" x14ac:dyDescent="0.3">
      <c r="A187" s="599" t="s">
        <v>110</v>
      </c>
      <c r="B187" s="599" t="s">
        <v>896</v>
      </c>
      <c r="C187" s="599" t="s">
        <v>6</v>
      </c>
      <c r="D187" s="599" t="s">
        <v>52</v>
      </c>
      <c r="E187" s="599" t="s">
        <v>61</v>
      </c>
      <c r="F187" s="600">
        <v>15203</v>
      </c>
      <c r="G187" s="600">
        <v>14556</v>
      </c>
      <c r="H187" s="600">
        <v>238</v>
      </c>
      <c r="I187" s="600">
        <v>30</v>
      </c>
      <c r="J187" s="600">
        <v>120310</v>
      </c>
      <c r="K187" s="604" t="s">
        <v>902</v>
      </c>
      <c r="L187" s="604">
        <f t="shared" si="2"/>
        <v>9</v>
      </c>
    </row>
    <row r="188" spans="1:12" s="514" customFormat="1" ht="13" customHeight="1" x14ac:dyDescent="0.3">
      <c r="A188" s="601" t="s">
        <v>110</v>
      </c>
      <c r="B188" s="601" t="s">
        <v>896</v>
      </c>
      <c r="C188" s="601" t="s">
        <v>6</v>
      </c>
      <c r="D188" s="601" t="s">
        <v>57</v>
      </c>
      <c r="E188" s="601" t="s">
        <v>65</v>
      </c>
      <c r="F188" s="602">
        <v>78173</v>
      </c>
      <c r="G188" s="602">
        <v>75821</v>
      </c>
      <c r="H188" s="602">
        <v>636</v>
      </c>
      <c r="I188" s="602">
        <v>30</v>
      </c>
      <c r="J188" s="602">
        <v>147600</v>
      </c>
      <c r="K188" s="604" t="s">
        <v>902</v>
      </c>
      <c r="L188" s="604">
        <f t="shared" si="2"/>
        <v>9</v>
      </c>
    </row>
    <row r="189" spans="1:12" s="514" customFormat="1" ht="13" customHeight="1" x14ac:dyDescent="0.3">
      <c r="A189" s="601" t="s">
        <v>110</v>
      </c>
      <c r="B189" s="601" t="s">
        <v>896</v>
      </c>
      <c r="C189" s="601" t="s">
        <v>6</v>
      </c>
      <c r="D189" s="601" t="s">
        <v>4</v>
      </c>
      <c r="E189" s="601" t="s">
        <v>41</v>
      </c>
      <c r="F189" s="602">
        <v>14</v>
      </c>
      <c r="G189" s="602">
        <v>8</v>
      </c>
      <c r="H189" s="602">
        <v>0</v>
      </c>
      <c r="I189" s="602">
        <v>0</v>
      </c>
      <c r="J189" s="602">
        <v>0</v>
      </c>
      <c r="K189" s="604" t="s">
        <v>902</v>
      </c>
      <c r="L189" s="604">
        <f t="shared" si="2"/>
        <v>9</v>
      </c>
    </row>
    <row r="190" spans="1:12" s="514" customFormat="1" ht="13" customHeight="1" x14ac:dyDescent="0.3">
      <c r="A190" s="599" t="s">
        <v>110</v>
      </c>
      <c r="B190" s="599" t="s">
        <v>896</v>
      </c>
      <c r="C190" s="599" t="s">
        <v>6</v>
      </c>
      <c r="D190" s="599" t="s">
        <v>55</v>
      </c>
      <c r="E190" s="599" t="s">
        <v>54</v>
      </c>
      <c r="F190" s="600">
        <v>4047</v>
      </c>
      <c r="G190" s="600">
        <v>3815</v>
      </c>
      <c r="H190" s="600">
        <v>6</v>
      </c>
      <c r="I190" s="600">
        <v>0</v>
      </c>
      <c r="J190" s="600">
        <v>0</v>
      </c>
      <c r="K190" s="604" t="s">
        <v>902</v>
      </c>
      <c r="L190" s="604">
        <f t="shared" si="2"/>
        <v>9</v>
      </c>
    </row>
    <row r="191" spans="1:12" s="514" customFormat="1" ht="13" customHeight="1" x14ac:dyDescent="0.3">
      <c r="A191" s="599" t="s">
        <v>110</v>
      </c>
      <c r="B191" s="599" t="s">
        <v>896</v>
      </c>
      <c r="C191" s="599" t="s">
        <v>6</v>
      </c>
      <c r="D191" s="599" t="s">
        <v>55</v>
      </c>
      <c r="E191" s="599" t="s">
        <v>66</v>
      </c>
      <c r="F191" s="600">
        <v>8658</v>
      </c>
      <c r="G191" s="600">
        <v>8383</v>
      </c>
      <c r="H191" s="600">
        <v>5</v>
      </c>
      <c r="I191" s="600">
        <v>0</v>
      </c>
      <c r="J191" s="600">
        <v>0</v>
      </c>
      <c r="K191" s="604" t="s">
        <v>902</v>
      </c>
      <c r="L191" s="604">
        <f t="shared" si="2"/>
        <v>9</v>
      </c>
    </row>
    <row r="192" spans="1:12" s="514" customFormat="1" ht="13" customHeight="1" x14ac:dyDescent="0.3">
      <c r="A192" s="601" t="s">
        <v>110</v>
      </c>
      <c r="B192" s="601" t="s">
        <v>896</v>
      </c>
      <c r="C192" s="601" t="s">
        <v>6</v>
      </c>
      <c r="D192" s="601" t="s">
        <v>57</v>
      </c>
      <c r="E192" s="601" t="s">
        <v>63</v>
      </c>
      <c r="F192" s="602">
        <v>44784</v>
      </c>
      <c r="G192" s="602">
        <v>39991</v>
      </c>
      <c r="H192" s="602">
        <v>761</v>
      </c>
      <c r="I192" s="602">
        <v>24</v>
      </c>
      <c r="J192" s="602">
        <v>119850</v>
      </c>
      <c r="K192" s="604" t="s">
        <v>902</v>
      </c>
      <c r="L192" s="604">
        <f t="shared" si="2"/>
        <v>9</v>
      </c>
    </row>
    <row r="193" spans="1:12" s="514" customFormat="1" ht="13" customHeight="1" x14ac:dyDescent="0.3">
      <c r="A193" s="599" t="s">
        <v>110</v>
      </c>
      <c r="B193" s="599" t="s">
        <v>896</v>
      </c>
      <c r="C193" s="599" t="s">
        <v>6</v>
      </c>
      <c r="D193" s="599" t="s">
        <v>57</v>
      </c>
      <c r="E193" s="599" t="s">
        <v>64</v>
      </c>
      <c r="F193" s="600">
        <v>42217</v>
      </c>
      <c r="G193" s="600">
        <v>36218</v>
      </c>
      <c r="H193" s="600">
        <v>473</v>
      </c>
      <c r="I193" s="600">
        <v>8</v>
      </c>
      <c r="J193" s="600">
        <v>55385</v>
      </c>
      <c r="K193" s="604" t="s">
        <v>902</v>
      </c>
      <c r="L193" s="604">
        <f t="shared" si="2"/>
        <v>9</v>
      </c>
    </row>
    <row r="194" spans="1:12" s="514" customFormat="1" ht="13" customHeight="1" x14ac:dyDescent="0.3">
      <c r="A194" s="601" t="s">
        <v>110</v>
      </c>
      <c r="B194" s="601" t="s">
        <v>896</v>
      </c>
      <c r="C194" s="601" t="s">
        <v>6</v>
      </c>
      <c r="D194" s="601" t="s">
        <v>55</v>
      </c>
      <c r="E194" s="601" t="s">
        <v>56</v>
      </c>
      <c r="F194" s="602">
        <v>696</v>
      </c>
      <c r="G194" s="602">
        <v>613</v>
      </c>
      <c r="H194" s="602">
        <v>11</v>
      </c>
      <c r="I194" s="602">
        <v>0</v>
      </c>
      <c r="J194" s="602">
        <v>0</v>
      </c>
      <c r="K194" s="604" t="s">
        <v>902</v>
      </c>
      <c r="L194" s="604">
        <f t="shared" si="2"/>
        <v>9</v>
      </c>
    </row>
    <row r="195" spans="1:12" s="514" customFormat="1" ht="13" customHeight="1" x14ac:dyDescent="0.3">
      <c r="A195" s="599" t="s">
        <v>110</v>
      </c>
      <c r="B195" s="599" t="s">
        <v>896</v>
      </c>
      <c r="C195" s="599" t="s">
        <v>6</v>
      </c>
      <c r="D195" s="599" t="s">
        <v>52</v>
      </c>
      <c r="E195" s="599" t="s">
        <v>51</v>
      </c>
      <c r="F195" s="600">
        <v>1</v>
      </c>
      <c r="G195" s="600">
        <v>1</v>
      </c>
      <c r="H195" s="600">
        <v>0</v>
      </c>
      <c r="I195" s="600">
        <v>0</v>
      </c>
      <c r="J195" s="600">
        <v>0</v>
      </c>
      <c r="K195" s="604" t="s">
        <v>902</v>
      </c>
      <c r="L195" s="604">
        <f t="shared" ref="L195:L258" si="3">MONTH(B195)</f>
        <v>9</v>
      </c>
    </row>
    <row r="196" spans="1:12" s="514" customFormat="1" ht="13" customHeight="1" x14ac:dyDescent="0.3">
      <c r="A196" s="601" t="s">
        <v>110</v>
      </c>
      <c r="B196" s="601" t="s">
        <v>896</v>
      </c>
      <c r="C196" s="601" t="s">
        <v>6</v>
      </c>
      <c r="D196" s="601" t="s">
        <v>4</v>
      </c>
      <c r="E196" s="601" t="s">
        <v>43</v>
      </c>
      <c r="F196" s="602">
        <v>2899</v>
      </c>
      <c r="G196" s="602">
        <v>1983</v>
      </c>
      <c r="H196" s="602">
        <v>14</v>
      </c>
      <c r="I196" s="602">
        <v>12</v>
      </c>
      <c r="J196" s="602">
        <v>37855</v>
      </c>
      <c r="K196" s="604" t="s">
        <v>902</v>
      </c>
      <c r="L196" s="604">
        <f t="shared" si="3"/>
        <v>9</v>
      </c>
    </row>
    <row r="197" spans="1:12" s="514" customFormat="1" ht="13" customHeight="1" x14ac:dyDescent="0.3">
      <c r="A197" s="599" t="s">
        <v>110</v>
      </c>
      <c r="B197" s="599" t="s">
        <v>896</v>
      </c>
      <c r="C197" s="599" t="s">
        <v>7</v>
      </c>
      <c r="D197" s="599" t="s">
        <v>57</v>
      </c>
      <c r="E197" s="599" t="s">
        <v>65</v>
      </c>
      <c r="F197" s="600">
        <v>54421</v>
      </c>
      <c r="G197" s="600">
        <v>50663</v>
      </c>
      <c r="H197" s="600">
        <v>528</v>
      </c>
      <c r="I197" s="600">
        <v>50</v>
      </c>
      <c r="J197" s="600">
        <v>465000</v>
      </c>
      <c r="K197" s="604" t="s">
        <v>902</v>
      </c>
      <c r="L197" s="604">
        <f t="shared" si="3"/>
        <v>9</v>
      </c>
    </row>
    <row r="198" spans="1:12" s="514" customFormat="1" ht="13" customHeight="1" x14ac:dyDescent="0.3">
      <c r="A198" s="601" t="s">
        <v>110</v>
      </c>
      <c r="B198" s="601" t="s">
        <v>896</v>
      </c>
      <c r="C198" s="601" t="s">
        <v>7</v>
      </c>
      <c r="D198" s="601" t="s">
        <v>4</v>
      </c>
      <c r="E198" s="601" t="s">
        <v>41</v>
      </c>
      <c r="F198" s="602">
        <v>7637</v>
      </c>
      <c r="G198" s="602">
        <v>7608</v>
      </c>
      <c r="H198" s="602">
        <v>2</v>
      </c>
      <c r="I198" s="602">
        <v>0</v>
      </c>
      <c r="J198" s="602">
        <v>0</v>
      </c>
      <c r="K198" s="604" t="s">
        <v>902</v>
      </c>
      <c r="L198" s="604">
        <f t="shared" si="3"/>
        <v>9</v>
      </c>
    </row>
    <row r="199" spans="1:12" s="514" customFormat="1" ht="13" customHeight="1" x14ac:dyDescent="0.3">
      <c r="A199" s="599" t="s">
        <v>110</v>
      </c>
      <c r="B199" s="599" t="s">
        <v>896</v>
      </c>
      <c r="C199" s="599" t="s">
        <v>7</v>
      </c>
      <c r="D199" s="599" t="s">
        <v>52</v>
      </c>
      <c r="E199" s="599" t="s">
        <v>58</v>
      </c>
      <c r="F199" s="600">
        <v>3</v>
      </c>
      <c r="G199" s="600">
        <v>2</v>
      </c>
      <c r="H199" s="600">
        <v>0</v>
      </c>
      <c r="I199" s="600">
        <v>0</v>
      </c>
      <c r="J199" s="600">
        <v>0</v>
      </c>
      <c r="K199" s="604" t="s">
        <v>902</v>
      </c>
      <c r="L199" s="604">
        <f t="shared" si="3"/>
        <v>9</v>
      </c>
    </row>
    <row r="200" spans="1:12" s="514" customFormat="1" ht="13" customHeight="1" x14ac:dyDescent="0.3">
      <c r="A200" s="601" t="s">
        <v>110</v>
      </c>
      <c r="B200" s="601" t="s">
        <v>896</v>
      </c>
      <c r="C200" s="601" t="s">
        <v>7</v>
      </c>
      <c r="D200" s="601" t="s">
        <v>57</v>
      </c>
      <c r="E200" s="601" t="s">
        <v>64</v>
      </c>
      <c r="F200" s="602">
        <v>108950</v>
      </c>
      <c r="G200" s="602">
        <v>96773</v>
      </c>
      <c r="H200" s="602">
        <v>367</v>
      </c>
      <c r="I200" s="602">
        <v>8</v>
      </c>
      <c r="J200" s="602">
        <v>83500</v>
      </c>
      <c r="K200" s="604" t="s">
        <v>902</v>
      </c>
      <c r="L200" s="604">
        <f t="shared" si="3"/>
        <v>9</v>
      </c>
    </row>
    <row r="201" spans="1:12" s="514" customFormat="1" ht="13" customHeight="1" x14ac:dyDescent="0.3">
      <c r="A201" s="599" t="s">
        <v>110</v>
      </c>
      <c r="B201" s="599" t="s">
        <v>896</v>
      </c>
      <c r="C201" s="599" t="s">
        <v>7</v>
      </c>
      <c r="D201" s="599" t="s">
        <v>52</v>
      </c>
      <c r="E201" s="599" t="s">
        <v>61</v>
      </c>
      <c r="F201" s="600">
        <v>46618</v>
      </c>
      <c r="G201" s="600">
        <v>43484</v>
      </c>
      <c r="H201" s="600">
        <v>1092</v>
      </c>
      <c r="I201" s="600">
        <v>121</v>
      </c>
      <c r="J201" s="600">
        <v>1264060</v>
      </c>
      <c r="K201" s="604" t="s">
        <v>902</v>
      </c>
      <c r="L201" s="604">
        <f t="shared" si="3"/>
        <v>9</v>
      </c>
    </row>
    <row r="202" spans="1:12" s="514" customFormat="1" ht="13" customHeight="1" x14ac:dyDescent="0.3">
      <c r="A202" s="601" t="s">
        <v>110</v>
      </c>
      <c r="B202" s="601" t="s">
        <v>896</v>
      </c>
      <c r="C202" s="601" t="s">
        <v>7</v>
      </c>
      <c r="D202" s="601" t="s">
        <v>55</v>
      </c>
      <c r="E202" s="601" t="s">
        <v>56</v>
      </c>
      <c r="F202" s="602">
        <v>9</v>
      </c>
      <c r="G202" s="602">
        <v>5</v>
      </c>
      <c r="H202" s="602">
        <v>0</v>
      </c>
      <c r="I202" s="602">
        <v>0</v>
      </c>
      <c r="J202" s="602">
        <v>0</v>
      </c>
      <c r="K202" s="604" t="s">
        <v>902</v>
      </c>
      <c r="L202" s="604">
        <f t="shared" si="3"/>
        <v>9</v>
      </c>
    </row>
    <row r="203" spans="1:12" s="514" customFormat="1" ht="13" customHeight="1" x14ac:dyDescent="0.3">
      <c r="A203" s="599" t="s">
        <v>110</v>
      </c>
      <c r="B203" s="599" t="s">
        <v>896</v>
      </c>
      <c r="C203" s="599" t="s">
        <v>7</v>
      </c>
      <c r="D203" s="599" t="s">
        <v>57</v>
      </c>
      <c r="E203" s="599" t="s">
        <v>63</v>
      </c>
      <c r="F203" s="600">
        <v>67414</v>
      </c>
      <c r="G203" s="600">
        <v>54646</v>
      </c>
      <c r="H203" s="600">
        <v>981</v>
      </c>
      <c r="I203" s="600">
        <v>37</v>
      </c>
      <c r="J203" s="600">
        <v>348000</v>
      </c>
      <c r="K203" s="604" t="s">
        <v>902</v>
      </c>
      <c r="L203" s="604">
        <f t="shared" si="3"/>
        <v>9</v>
      </c>
    </row>
    <row r="204" spans="1:12" s="514" customFormat="1" ht="13" customHeight="1" x14ac:dyDescent="0.3">
      <c r="A204" s="601" t="s">
        <v>110</v>
      </c>
      <c r="B204" s="601" t="s">
        <v>896</v>
      </c>
      <c r="C204" s="601" t="s">
        <v>7</v>
      </c>
      <c r="D204" s="601" t="s">
        <v>4</v>
      </c>
      <c r="E204" s="601" t="s">
        <v>43</v>
      </c>
      <c r="F204" s="602">
        <v>450</v>
      </c>
      <c r="G204" s="602">
        <v>299</v>
      </c>
      <c r="H204" s="602">
        <v>3</v>
      </c>
      <c r="I204" s="602">
        <v>0</v>
      </c>
      <c r="J204" s="602">
        <v>0</v>
      </c>
      <c r="K204" s="604" t="s">
        <v>902</v>
      </c>
      <c r="L204" s="604">
        <f t="shared" si="3"/>
        <v>9</v>
      </c>
    </row>
    <row r="205" spans="1:12" s="514" customFormat="1" ht="13" customHeight="1" x14ac:dyDescent="0.3">
      <c r="A205" s="599" t="s">
        <v>110</v>
      </c>
      <c r="B205" s="599" t="s">
        <v>896</v>
      </c>
      <c r="C205" s="599" t="s">
        <v>7</v>
      </c>
      <c r="D205" s="599" t="s">
        <v>52</v>
      </c>
      <c r="E205" s="599" t="s">
        <v>51</v>
      </c>
      <c r="F205" s="600">
        <v>647</v>
      </c>
      <c r="G205" s="600">
        <v>644</v>
      </c>
      <c r="H205" s="600">
        <v>0</v>
      </c>
      <c r="I205" s="600">
        <v>0</v>
      </c>
      <c r="J205" s="600">
        <v>0</v>
      </c>
      <c r="K205" s="604" t="s">
        <v>902</v>
      </c>
      <c r="L205" s="604">
        <f t="shared" si="3"/>
        <v>9</v>
      </c>
    </row>
    <row r="206" spans="1:12" s="514" customFormat="1" ht="13" customHeight="1" x14ac:dyDescent="0.3">
      <c r="A206" s="601" t="s">
        <v>110</v>
      </c>
      <c r="B206" s="601" t="s">
        <v>896</v>
      </c>
      <c r="C206" s="601" t="s">
        <v>7</v>
      </c>
      <c r="D206" s="601" t="s">
        <v>55</v>
      </c>
      <c r="E206" s="601" t="s">
        <v>54</v>
      </c>
      <c r="F206" s="602">
        <v>3</v>
      </c>
      <c r="G206" s="602">
        <v>2</v>
      </c>
      <c r="H206" s="602">
        <v>0</v>
      </c>
      <c r="I206" s="602">
        <v>0</v>
      </c>
      <c r="J206" s="602">
        <v>0</v>
      </c>
      <c r="K206" s="604" t="s">
        <v>902</v>
      </c>
      <c r="L206" s="604">
        <f t="shared" si="3"/>
        <v>9</v>
      </c>
    </row>
    <row r="207" spans="1:12" s="514" customFormat="1" ht="13" customHeight="1" x14ac:dyDescent="0.3">
      <c r="A207" s="599" t="s">
        <v>110</v>
      </c>
      <c r="B207" s="599" t="s">
        <v>897</v>
      </c>
      <c r="C207" s="599" t="s">
        <v>40</v>
      </c>
      <c r="D207" s="599" t="s">
        <v>52</v>
      </c>
      <c r="E207" s="599" t="s">
        <v>59</v>
      </c>
      <c r="F207" s="600">
        <v>47071</v>
      </c>
      <c r="G207" s="600">
        <v>45487</v>
      </c>
      <c r="H207" s="600">
        <v>0</v>
      </c>
      <c r="I207" s="600">
        <v>0</v>
      </c>
      <c r="J207" s="600">
        <v>0</v>
      </c>
      <c r="K207" s="604" t="s">
        <v>902</v>
      </c>
      <c r="L207" s="604">
        <f t="shared" si="3"/>
        <v>10</v>
      </c>
    </row>
    <row r="208" spans="1:12" s="514" customFormat="1" ht="13" customHeight="1" x14ac:dyDescent="0.3">
      <c r="A208" s="601" t="s">
        <v>110</v>
      </c>
      <c r="B208" s="601" t="s">
        <v>897</v>
      </c>
      <c r="C208" s="601" t="s">
        <v>40</v>
      </c>
      <c r="D208" s="601" t="s">
        <v>52</v>
      </c>
      <c r="E208" s="601" t="s">
        <v>58</v>
      </c>
      <c r="F208" s="602">
        <v>7</v>
      </c>
      <c r="G208" s="602">
        <v>3</v>
      </c>
      <c r="H208" s="602">
        <v>0</v>
      </c>
      <c r="I208" s="602">
        <v>0</v>
      </c>
      <c r="J208" s="602">
        <v>0</v>
      </c>
      <c r="K208" s="604" t="s">
        <v>902</v>
      </c>
      <c r="L208" s="604">
        <f t="shared" si="3"/>
        <v>10</v>
      </c>
    </row>
    <row r="209" spans="1:12" s="514" customFormat="1" ht="13" customHeight="1" x14ac:dyDescent="0.3">
      <c r="A209" s="599" t="s">
        <v>110</v>
      </c>
      <c r="B209" s="599" t="s">
        <v>897</v>
      </c>
      <c r="C209" s="599" t="s">
        <v>40</v>
      </c>
      <c r="D209" s="599" t="s">
        <v>52</v>
      </c>
      <c r="E209" s="599" t="s">
        <v>53</v>
      </c>
      <c r="F209" s="600">
        <v>15854</v>
      </c>
      <c r="G209" s="600">
        <v>14470</v>
      </c>
      <c r="H209" s="600">
        <v>0</v>
      </c>
      <c r="I209" s="600">
        <v>0</v>
      </c>
      <c r="J209" s="600">
        <v>0</v>
      </c>
      <c r="K209" s="604" t="s">
        <v>902</v>
      </c>
      <c r="L209" s="604">
        <f t="shared" si="3"/>
        <v>10</v>
      </c>
    </row>
    <row r="210" spans="1:12" s="514" customFormat="1" ht="13" customHeight="1" x14ac:dyDescent="0.3">
      <c r="A210" s="601" t="s">
        <v>110</v>
      </c>
      <c r="B210" s="601" t="s">
        <v>897</v>
      </c>
      <c r="C210" s="601" t="s">
        <v>40</v>
      </c>
      <c r="D210" s="601" t="s">
        <v>4</v>
      </c>
      <c r="E210" s="601" t="s">
        <v>43</v>
      </c>
      <c r="F210" s="602">
        <v>2208</v>
      </c>
      <c r="G210" s="602">
        <v>1267</v>
      </c>
      <c r="H210" s="602">
        <v>12</v>
      </c>
      <c r="I210" s="602">
        <v>4</v>
      </c>
      <c r="J210" s="602">
        <v>11595</v>
      </c>
      <c r="K210" s="604" t="s">
        <v>902</v>
      </c>
      <c r="L210" s="604">
        <f t="shared" si="3"/>
        <v>10</v>
      </c>
    </row>
    <row r="211" spans="1:12" s="514" customFormat="1" ht="13" customHeight="1" x14ac:dyDescent="0.3">
      <c r="A211" s="599" t="s">
        <v>110</v>
      </c>
      <c r="B211" s="599" t="s">
        <v>897</v>
      </c>
      <c r="C211" s="599" t="s">
        <v>40</v>
      </c>
      <c r="D211" s="599" t="s">
        <v>57</v>
      </c>
      <c r="E211" s="599" t="s">
        <v>65</v>
      </c>
      <c r="F211" s="600">
        <v>33978</v>
      </c>
      <c r="G211" s="600">
        <v>31373</v>
      </c>
      <c r="H211" s="600">
        <v>515</v>
      </c>
      <c r="I211" s="600">
        <v>38</v>
      </c>
      <c r="J211" s="600">
        <v>414430</v>
      </c>
      <c r="K211" s="604" t="s">
        <v>902</v>
      </c>
      <c r="L211" s="604">
        <f t="shared" si="3"/>
        <v>10</v>
      </c>
    </row>
    <row r="212" spans="1:12" s="514" customFormat="1" ht="13" customHeight="1" x14ac:dyDescent="0.3">
      <c r="A212" s="601" t="s">
        <v>110</v>
      </c>
      <c r="B212" s="601" t="s">
        <v>897</v>
      </c>
      <c r="C212" s="601" t="s">
        <v>40</v>
      </c>
      <c r="D212" s="601" t="s">
        <v>52</v>
      </c>
      <c r="E212" s="601" t="s">
        <v>67</v>
      </c>
      <c r="F212" s="602">
        <v>16178</v>
      </c>
      <c r="G212" s="602">
        <v>15123</v>
      </c>
      <c r="H212" s="602">
        <v>618</v>
      </c>
      <c r="I212" s="602">
        <v>34</v>
      </c>
      <c r="J212" s="602">
        <v>559850</v>
      </c>
      <c r="K212" s="604" t="s">
        <v>902</v>
      </c>
      <c r="L212" s="604">
        <f t="shared" si="3"/>
        <v>10</v>
      </c>
    </row>
    <row r="213" spans="1:12" s="514" customFormat="1" ht="13" customHeight="1" x14ac:dyDescent="0.3">
      <c r="A213" s="599" t="s">
        <v>110</v>
      </c>
      <c r="B213" s="599" t="s">
        <v>897</v>
      </c>
      <c r="C213" s="599" t="s">
        <v>40</v>
      </c>
      <c r="D213" s="599" t="s">
        <v>57</v>
      </c>
      <c r="E213" s="599" t="s">
        <v>63</v>
      </c>
      <c r="F213" s="600">
        <v>65572</v>
      </c>
      <c r="G213" s="600">
        <v>55747</v>
      </c>
      <c r="H213" s="600">
        <v>1557</v>
      </c>
      <c r="I213" s="600">
        <v>104</v>
      </c>
      <c r="J213" s="600">
        <v>1308785</v>
      </c>
      <c r="K213" s="604" t="s">
        <v>902</v>
      </c>
      <c r="L213" s="604">
        <f t="shared" si="3"/>
        <v>10</v>
      </c>
    </row>
    <row r="214" spans="1:12" s="514" customFormat="1" ht="13" customHeight="1" x14ac:dyDescent="0.3">
      <c r="A214" s="601" t="s">
        <v>110</v>
      </c>
      <c r="B214" s="601" t="s">
        <v>897</v>
      </c>
      <c r="C214" s="601" t="s">
        <v>40</v>
      </c>
      <c r="D214" s="601" t="s">
        <v>57</v>
      </c>
      <c r="E214" s="601" t="s">
        <v>64</v>
      </c>
      <c r="F214" s="602">
        <v>137787</v>
      </c>
      <c r="G214" s="602">
        <v>122415</v>
      </c>
      <c r="H214" s="602">
        <v>1292</v>
      </c>
      <c r="I214" s="602">
        <v>26</v>
      </c>
      <c r="J214" s="602">
        <v>334225</v>
      </c>
      <c r="K214" s="604" t="s">
        <v>902</v>
      </c>
      <c r="L214" s="604">
        <f t="shared" si="3"/>
        <v>10</v>
      </c>
    </row>
    <row r="215" spans="1:12" s="514" customFormat="1" ht="13" customHeight="1" x14ac:dyDescent="0.3">
      <c r="A215" s="599" t="s">
        <v>110</v>
      </c>
      <c r="B215" s="599" t="s">
        <v>897</v>
      </c>
      <c r="C215" s="599" t="s">
        <v>40</v>
      </c>
      <c r="D215" s="599" t="s">
        <v>4</v>
      </c>
      <c r="E215" s="599" t="s">
        <v>41</v>
      </c>
      <c r="F215" s="600">
        <v>60</v>
      </c>
      <c r="G215" s="600">
        <v>31</v>
      </c>
      <c r="H215" s="600">
        <v>1</v>
      </c>
      <c r="I215" s="600">
        <v>0</v>
      </c>
      <c r="J215" s="600">
        <v>0</v>
      </c>
      <c r="K215" s="604" t="s">
        <v>902</v>
      </c>
      <c r="L215" s="604">
        <f t="shared" si="3"/>
        <v>10</v>
      </c>
    </row>
    <row r="216" spans="1:12" s="514" customFormat="1" ht="13" customHeight="1" x14ac:dyDescent="0.3">
      <c r="A216" s="601" t="s">
        <v>110</v>
      </c>
      <c r="B216" s="601" t="s">
        <v>897</v>
      </c>
      <c r="C216" s="601" t="s">
        <v>40</v>
      </c>
      <c r="D216" s="601" t="s">
        <v>4</v>
      </c>
      <c r="E216" s="601" t="s">
        <v>42</v>
      </c>
      <c r="F216" s="602">
        <v>4</v>
      </c>
      <c r="G216" s="602">
        <v>3</v>
      </c>
      <c r="H216" s="602">
        <v>0</v>
      </c>
      <c r="I216" s="602">
        <v>0</v>
      </c>
      <c r="J216" s="602">
        <v>0</v>
      </c>
      <c r="K216" s="604" t="s">
        <v>902</v>
      </c>
      <c r="L216" s="604">
        <f t="shared" si="3"/>
        <v>10</v>
      </c>
    </row>
    <row r="217" spans="1:12" s="514" customFormat="1" ht="13" customHeight="1" x14ac:dyDescent="0.3">
      <c r="A217" s="599" t="s">
        <v>110</v>
      </c>
      <c r="B217" s="599" t="s">
        <v>897</v>
      </c>
      <c r="C217" s="599" t="s">
        <v>40</v>
      </c>
      <c r="D217" s="599" t="s">
        <v>52</v>
      </c>
      <c r="E217" s="599" t="s">
        <v>51</v>
      </c>
      <c r="F217" s="600">
        <v>1</v>
      </c>
      <c r="G217" s="600">
        <v>1</v>
      </c>
      <c r="H217" s="600">
        <v>0</v>
      </c>
      <c r="I217" s="600">
        <v>0</v>
      </c>
      <c r="J217" s="600">
        <v>0</v>
      </c>
      <c r="K217" s="604" t="s">
        <v>902</v>
      </c>
      <c r="L217" s="604">
        <f t="shared" si="3"/>
        <v>10</v>
      </c>
    </row>
    <row r="218" spans="1:12" s="514" customFormat="1" ht="13" customHeight="1" x14ac:dyDescent="0.3">
      <c r="A218" s="601" t="s">
        <v>110</v>
      </c>
      <c r="B218" s="601" t="s">
        <v>897</v>
      </c>
      <c r="C218" s="601" t="s">
        <v>6</v>
      </c>
      <c r="D218" s="601" t="s">
        <v>52</v>
      </c>
      <c r="E218" s="601" t="s">
        <v>61</v>
      </c>
      <c r="F218" s="602">
        <v>18002</v>
      </c>
      <c r="G218" s="602">
        <v>16162</v>
      </c>
      <c r="H218" s="602">
        <v>775</v>
      </c>
      <c r="I218" s="602">
        <v>152</v>
      </c>
      <c r="J218" s="602">
        <v>736447.07000000007</v>
      </c>
      <c r="K218" s="604" t="s">
        <v>902</v>
      </c>
      <c r="L218" s="604">
        <f t="shared" si="3"/>
        <v>10</v>
      </c>
    </row>
    <row r="219" spans="1:12" s="514" customFormat="1" ht="13" customHeight="1" x14ac:dyDescent="0.3">
      <c r="A219" s="599" t="s">
        <v>110</v>
      </c>
      <c r="B219" s="599" t="s">
        <v>897</v>
      </c>
      <c r="C219" s="599" t="s">
        <v>6</v>
      </c>
      <c r="D219" s="599" t="s">
        <v>52</v>
      </c>
      <c r="E219" s="599" t="s">
        <v>58</v>
      </c>
      <c r="F219" s="600">
        <v>6</v>
      </c>
      <c r="G219" s="600">
        <v>4</v>
      </c>
      <c r="H219" s="600">
        <v>0</v>
      </c>
      <c r="I219" s="600">
        <v>0</v>
      </c>
      <c r="J219" s="600">
        <v>0</v>
      </c>
      <c r="K219" s="604" t="s">
        <v>902</v>
      </c>
      <c r="L219" s="604">
        <f t="shared" si="3"/>
        <v>10</v>
      </c>
    </row>
    <row r="220" spans="1:12" s="514" customFormat="1" ht="13" customHeight="1" x14ac:dyDescent="0.3">
      <c r="A220" s="601" t="s">
        <v>110</v>
      </c>
      <c r="B220" s="601" t="s">
        <v>897</v>
      </c>
      <c r="C220" s="601" t="s">
        <v>6</v>
      </c>
      <c r="D220" s="601" t="s">
        <v>55</v>
      </c>
      <c r="E220" s="601" t="s">
        <v>54</v>
      </c>
      <c r="F220" s="602">
        <v>19421</v>
      </c>
      <c r="G220" s="602">
        <v>17258</v>
      </c>
      <c r="H220" s="602">
        <v>112</v>
      </c>
      <c r="I220" s="602">
        <v>0</v>
      </c>
      <c r="J220" s="602">
        <v>0</v>
      </c>
      <c r="K220" s="604" t="s">
        <v>902</v>
      </c>
      <c r="L220" s="604">
        <f t="shared" si="3"/>
        <v>10</v>
      </c>
    </row>
    <row r="221" spans="1:12" s="514" customFormat="1" ht="13" customHeight="1" x14ac:dyDescent="0.3">
      <c r="A221" s="599" t="s">
        <v>110</v>
      </c>
      <c r="B221" s="599" t="s">
        <v>897</v>
      </c>
      <c r="C221" s="599" t="s">
        <v>6</v>
      </c>
      <c r="D221" s="599" t="s">
        <v>4</v>
      </c>
      <c r="E221" s="599" t="s">
        <v>42</v>
      </c>
      <c r="F221" s="600">
        <v>3</v>
      </c>
      <c r="G221" s="600">
        <v>2</v>
      </c>
      <c r="H221" s="600">
        <v>0</v>
      </c>
      <c r="I221" s="600">
        <v>0</v>
      </c>
      <c r="J221" s="600">
        <v>0</v>
      </c>
      <c r="K221" s="604" t="s">
        <v>902</v>
      </c>
      <c r="L221" s="604">
        <f t="shared" si="3"/>
        <v>10</v>
      </c>
    </row>
    <row r="222" spans="1:12" s="514" customFormat="1" ht="13" customHeight="1" x14ac:dyDescent="0.3">
      <c r="A222" s="601" t="s">
        <v>110</v>
      </c>
      <c r="B222" s="601" t="s">
        <v>897</v>
      </c>
      <c r="C222" s="601" t="s">
        <v>6</v>
      </c>
      <c r="D222" s="601" t="s">
        <v>57</v>
      </c>
      <c r="E222" s="601" t="s">
        <v>65</v>
      </c>
      <c r="F222" s="602">
        <v>126838</v>
      </c>
      <c r="G222" s="602">
        <v>120157</v>
      </c>
      <c r="H222" s="602">
        <v>3575</v>
      </c>
      <c r="I222" s="602">
        <v>701</v>
      </c>
      <c r="J222" s="602">
        <v>3366633.3200000003</v>
      </c>
      <c r="K222" s="604" t="s">
        <v>902</v>
      </c>
      <c r="L222" s="604">
        <f t="shared" si="3"/>
        <v>10</v>
      </c>
    </row>
    <row r="223" spans="1:12" s="514" customFormat="1" ht="13" customHeight="1" x14ac:dyDescent="0.3">
      <c r="A223" s="599" t="s">
        <v>110</v>
      </c>
      <c r="B223" s="599" t="s">
        <v>897</v>
      </c>
      <c r="C223" s="599" t="s">
        <v>6</v>
      </c>
      <c r="D223" s="599" t="s">
        <v>57</v>
      </c>
      <c r="E223" s="599" t="s">
        <v>63</v>
      </c>
      <c r="F223" s="600">
        <v>72536</v>
      </c>
      <c r="G223" s="600">
        <v>60060</v>
      </c>
      <c r="H223" s="600">
        <v>2935</v>
      </c>
      <c r="I223" s="600">
        <v>569</v>
      </c>
      <c r="J223" s="600">
        <v>3298756.3699999996</v>
      </c>
      <c r="K223" s="604" t="s">
        <v>902</v>
      </c>
      <c r="L223" s="604">
        <f t="shared" si="3"/>
        <v>10</v>
      </c>
    </row>
    <row r="224" spans="1:12" s="514" customFormat="1" ht="13" customHeight="1" x14ac:dyDescent="0.3">
      <c r="A224" s="599" t="s">
        <v>110</v>
      </c>
      <c r="B224" s="599" t="s">
        <v>897</v>
      </c>
      <c r="C224" s="599" t="s">
        <v>6</v>
      </c>
      <c r="D224" s="599" t="s">
        <v>52</v>
      </c>
      <c r="E224" s="599" t="s">
        <v>59</v>
      </c>
      <c r="F224" s="600">
        <v>10573</v>
      </c>
      <c r="G224" s="600">
        <v>10004</v>
      </c>
      <c r="H224" s="600">
        <v>0</v>
      </c>
      <c r="I224" s="600">
        <v>0</v>
      </c>
      <c r="J224" s="600">
        <v>0</v>
      </c>
      <c r="K224" s="604" t="s">
        <v>902</v>
      </c>
      <c r="L224" s="604">
        <f t="shared" si="3"/>
        <v>10</v>
      </c>
    </row>
    <row r="225" spans="1:12" s="514" customFormat="1" ht="13" customHeight="1" x14ac:dyDescent="0.3">
      <c r="A225" s="601" t="s">
        <v>110</v>
      </c>
      <c r="B225" s="601" t="s">
        <v>897</v>
      </c>
      <c r="C225" s="601" t="s">
        <v>6</v>
      </c>
      <c r="D225" s="601" t="s">
        <v>55</v>
      </c>
      <c r="E225" s="601" t="s">
        <v>66</v>
      </c>
      <c r="F225" s="602">
        <v>5</v>
      </c>
      <c r="G225" s="602">
        <v>5</v>
      </c>
      <c r="H225" s="602">
        <v>0</v>
      </c>
      <c r="I225" s="602">
        <v>0</v>
      </c>
      <c r="J225" s="602">
        <v>0</v>
      </c>
      <c r="K225" s="604" t="s">
        <v>902</v>
      </c>
      <c r="L225" s="604">
        <f t="shared" si="3"/>
        <v>10</v>
      </c>
    </row>
    <row r="226" spans="1:12" s="514" customFormat="1" ht="13" customHeight="1" x14ac:dyDescent="0.3">
      <c r="A226" s="599" t="s">
        <v>110</v>
      </c>
      <c r="B226" s="599" t="s">
        <v>897</v>
      </c>
      <c r="C226" s="599" t="s">
        <v>6</v>
      </c>
      <c r="D226" s="599" t="s">
        <v>57</v>
      </c>
      <c r="E226" s="599" t="s">
        <v>64</v>
      </c>
      <c r="F226" s="600">
        <v>81186</v>
      </c>
      <c r="G226" s="600">
        <v>67971</v>
      </c>
      <c r="H226" s="600">
        <v>2745</v>
      </c>
      <c r="I226" s="600">
        <v>233</v>
      </c>
      <c r="J226" s="600">
        <v>1142887.7800000003</v>
      </c>
      <c r="K226" s="604" t="s">
        <v>902</v>
      </c>
      <c r="L226" s="604">
        <f t="shared" si="3"/>
        <v>10</v>
      </c>
    </row>
    <row r="227" spans="1:12" s="514" customFormat="1" ht="13" customHeight="1" x14ac:dyDescent="0.3">
      <c r="A227" s="601" t="s">
        <v>110</v>
      </c>
      <c r="B227" s="601" t="s">
        <v>897</v>
      </c>
      <c r="C227" s="601" t="s">
        <v>6</v>
      </c>
      <c r="D227" s="601" t="s">
        <v>52</v>
      </c>
      <c r="E227" s="601" t="s">
        <v>51</v>
      </c>
      <c r="F227" s="602">
        <v>3</v>
      </c>
      <c r="G227" s="602">
        <v>2</v>
      </c>
      <c r="H227" s="602">
        <v>0</v>
      </c>
      <c r="I227" s="602">
        <v>0</v>
      </c>
      <c r="J227" s="602">
        <v>0</v>
      </c>
      <c r="K227" s="604" t="s">
        <v>902</v>
      </c>
      <c r="L227" s="604">
        <f t="shared" si="3"/>
        <v>10</v>
      </c>
    </row>
    <row r="228" spans="1:12" s="514" customFormat="1" ht="13" customHeight="1" x14ac:dyDescent="0.3">
      <c r="A228" s="601" t="s">
        <v>110</v>
      </c>
      <c r="B228" s="601" t="s">
        <v>897</v>
      </c>
      <c r="C228" s="601" t="s">
        <v>6</v>
      </c>
      <c r="D228" s="601" t="s">
        <v>52</v>
      </c>
      <c r="E228" s="601" t="s">
        <v>53</v>
      </c>
      <c r="F228" s="602">
        <v>7400</v>
      </c>
      <c r="G228" s="602">
        <v>7059</v>
      </c>
      <c r="H228" s="602">
        <v>0</v>
      </c>
      <c r="I228" s="602">
        <v>0</v>
      </c>
      <c r="J228" s="602">
        <v>0</v>
      </c>
      <c r="K228" s="604" t="s">
        <v>902</v>
      </c>
      <c r="L228" s="604">
        <f t="shared" si="3"/>
        <v>10</v>
      </c>
    </row>
    <row r="229" spans="1:12" s="514" customFormat="1" ht="13" customHeight="1" x14ac:dyDescent="0.3">
      <c r="A229" s="599" t="s">
        <v>110</v>
      </c>
      <c r="B229" s="599" t="s">
        <v>897</v>
      </c>
      <c r="C229" s="599" t="s">
        <v>6</v>
      </c>
      <c r="D229" s="599" t="s">
        <v>55</v>
      </c>
      <c r="E229" s="599" t="s">
        <v>56</v>
      </c>
      <c r="F229" s="600">
        <v>3661</v>
      </c>
      <c r="G229" s="600">
        <v>3090</v>
      </c>
      <c r="H229" s="600">
        <v>96</v>
      </c>
      <c r="I229" s="600">
        <v>0</v>
      </c>
      <c r="J229" s="600">
        <v>0</v>
      </c>
      <c r="K229" s="604" t="s">
        <v>902</v>
      </c>
      <c r="L229" s="604">
        <f t="shared" si="3"/>
        <v>10</v>
      </c>
    </row>
    <row r="230" spans="1:12" s="514" customFormat="1" ht="13" customHeight="1" x14ac:dyDescent="0.3">
      <c r="A230" s="601" t="s">
        <v>110</v>
      </c>
      <c r="B230" s="601" t="s">
        <v>897</v>
      </c>
      <c r="C230" s="601" t="s">
        <v>6</v>
      </c>
      <c r="D230" s="601" t="s">
        <v>4</v>
      </c>
      <c r="E230" s="601" t="s">
        <v>41</v>
      </c>
      <c r="F230" s="602">
        <v>97</v>
      </c>
      <c r="G230" s="602">
        <v>64</v>
      </c>
      <c r="H230" s="602">
        <v>2</v>
      </c>
      <c r="I230" s="602">
        <v>0</v>
      </c>
      <c r="J230" s="602">
        <v>0</v>
      </c>
      <c r="K230" s="604" t="s">
        <v>902</v>
      </c>
      <c r="L230" s="604">
        <f t="shared" si="3"/>
        <v>10</v>
      </c>
    </row>
    <row r="231" spans="1:12" s="514" customFormat="1" ht="13" customHeight="1" x14ac:dyDescent="0.3">
      <c r="A231" s="599" t="s">
        <v>110</v>
      </c>
      <c r="B231" s="599" t="s">
        <v>897</v>
      </c>
      <c r="C231" s="599" t="s">
        <v>6</v>
      </c>
      <c r="D231" s="599" t="s">
        <v>4</v>
      </c>
      <c r="E231" s="599" t="s">
        <v>43</v>
      </c>
      <c r="F231" s="600">
        <v>10821</v>
      </c>
      <c r="G231" s="600">
        <v>9062</v>
      </c>
      <c r="H231" s="600">
        <v>604</v>
      </c>
      <c r="I231" s="600">
        <v>86</v>
      </c>
      <c r="J231" s="600">
        <v>357840.00999999995</v>
      </c>
      <c r="K231" s="604" t="s">
        <v>902</v>
      </c>
      <c r="L231" s="604">
        <f t="shared" si="3"/>
        <v>10</v>
      </c>
    </row>
    <row r="232" spans="1:12" s="514" customFormat="1" ht="13" customHeight="1" x14ac:dyDescent="0.3">
      <c r="A232" s="599" t="s">
        <v>110</v>
      </c>
      <c r="B232" s="599" t="s">
        <v>897</v>
      </c>
      <c r="C232" s="599" t="s">
        <v>7</v>
      </c>
      <c r="D232" s="599" t="s">
        <v>52</v>
      </c>
      <c r="E232" s="599" t="s">
        <v>60</v>
      </c>
      <c r="F232" s="600">
        <v>1</v>
      </c>
      <c r="G232" s="600">
        <v>1</v>
      </c>
      <c r="H232" s="600">
        <v>0</v>
      </c>
      <c r="I232" s="600">
        <v>0</v>
      </c>
      <c r="J232" s="600">
        <v>0</v>
      </c>
      <c r="K232" s="604" t="s">
        <v>902</v>
      </c>
      <c r="L232" s="604">
        <f t="shared" si="3"/>
        <v>10</v>
      </c>
    </row>
    <row r="233" spans="1:12" s="514" customFormat="1" ht="13" customHeight="1" x14ac:dyDescent="0.3">
      <c r="A233" s="601" t="s">
        <v>110</v>
      </c>
      <c r="B233" s="601" t="s">
        <v>897</v>
      </c>
      <c r="C233" s="601" t="s">
        <v>7</v>
      </c>
      <c r="D233" s="601" t="s">
        <v>57</v>
      </c>
      <c r="E233" s="601" t="s">
        <v>64</v>
      </c>
      <c r="F233" s="602">
        <v>77649</v>
      </c>
      <c r="G233" s="602">
        <v>67335</v>
      </c>
      <c r="H233" s="602">
        <v>398</v>
      </c>
      <c r="I233" s="602">
        <v>14</v>
      </c>
      <c r="J233" s="602">
        <v>121600</v>
      </c>
      <c r="K233" s="604" t="s">
        <v>902</v>
      </c>
      <c r="L233" s="604">
        <f t="shared" si="3"/>
        <v>10</v>
      </c>
    </row>
    <row r="234" spans="1:12" s="514" customFormat="1" ht="13" customHeight="1" x14ac:dyDescent="0.3">
      <c r="A234" s="599" t="s">
        <v>110</v>
      </c>
      <c r="B234" s="599" t="s">
        <v>897</v>
      </c>
      <c r="C234" s="599" t="s">
        <v>7</v>
      </c>
      <c r="D234" s="599" t="s">
        <v>52</v>
      </c>
      <c r="E234" s="599" t="s">
        <v>59</v>
      </c>
      <c r="F234" s="600">
        <v>43170</v>
      </c>
      <c r="G234" s="600">
        <v>40530</v>
      </c>
      <c r="H234" s="600">
        <v>0</v>
      </c>
      <c r="I234" s="600">
        <v>0</v>
      </c>
      <c r="J234" s="600">
        <v>0</v>
      </c>
      <c r="K234" s="604" t="s">
        <v>902</v>
      </c>
      <c r="L234" s="604">
        <f t="shared" si="3"/>
        <v>10</v>
      </c>
    </row>
    <row r="235" spans="1:12" s="514" customFormat="1" ht="13" customHeight="1" x14ac:dyDescent="0.3">
      <c r="A235" s="601" t="s">
        <v>110</v>
      </c>
      <c r="B235" s="601" t="s">
        <v>897</v>
      </c>
      <c r="C235" s="601" t="s">
        <v>7</v>
      </c>
      <c r="D235" s="601" t="s">
        <v>52</v>
      </c>
      <c r="E235" s="601" t="s">
        <v>61</v>
      </c>
      <c r="F235" s="602">
        <v>72109</v>
      </c>
      <c r="G235" s="602">
        <v>67402</v>
      </c>
      <c r="H235" s="602">
        <v>1964</v>
      </c>
      <c r="I235" s="602">
        <v>224</v>
      </c>
      <c r="J235" s="602">
        <v>2675800</v>
      </c>
      <c r="K235" s="604" t="s">
        <v>902</v>
      </c>
      <c r="L235" s="604">
        <f t="shared" si="3"/>
        <v>10</v>
      </c>
    </row>
    <row r="236" spans="1:12" s="514" customFormat="1" ht="13" customHeight="1" x14ac:dyDescent="0.3">
      <c r="A236" s="599" t="s">
        <v>110</v>
      </c>
      <c r="B236" s="599" t="s">
        <v>897</v>
      </c>
      <c r="C236" s="599" t="s">
        <v>7</v>
      </c>
      <c r="D236" s="599" t="s">
        <v>52</v>
      </c>
      <c r="E236" s="599" t="s">
        <v>58</v>
      </c>
      <c r="F236" s="600">
        <v>5</v>
      </c>
      <c r="G236" s="600">
        <v>4</v>
      </c>
      <c r="H236" s="600">
        <v>0</v>
      </c>
      <c r="I236" s="600">
        <v>0</v>
      </c>
      <c r="J236" s="600">
        <v>0</v>
      </c>
      <c r="K236" s="604" t="s">
        <v>902</v>
      </c>
      <c r="L236" s="604">
        <f t="shared" si="3"/>
        <v>10</v>
      </c>
    </row>
    <row r="237" spans="1:12" s="514" customFormat="1" ht="13" customHeight="1" x14ac:dyDescent="0.3">
      <c r="A237" s="601" t="s">
        <v>110</v>
      </c>
      <c r="B237" s="601" t="s">
        <v>897</v>
      </c>
      <c r="C237" s="601" t="s">
        <v>7</v>
      </c>
      <c r="D237" s="601" t="s">
        <v>55</v>
      </c>
      <c r="E237" s="601" t="s">
        <v>56</v>
      </c>
      <c r="F237" s="602">
        <v>2</v>
      </c>
      <c r="G237" s="602">
        <v>0</v>
      </c>
      <c r="H237" s="602">
        <v>0</v>
      </c>
      <c r="I237" s="602">
        <v>0</v>
      </c>
      <c r="J237" s="602">
        <v>0</v>
      </c>
      <c r="K237" s="604" t="s">
        <v>902</v>
      </c>
      <c r="L237" s="604">
        <f t="shared" si="3"/>
        <v>10</v>
      </c>
    </row>
    <row r="238" spans="1:12" s="514" customFormat="1" ht="13" customHeight="1" x14ac:dyDescent="0.3">
      <c r="A238" s="599" t="s">
        <v>110</v>
      </c>
      <c r="B238" s="599" t="s">
        <v>897</v>
      </c>
      <c r="C238" s="599" t="s">
        <v>7</v>
      </c>
      <c r="D238" s="599" t="s">
        <v>4</v>
      </c>
      <c r="E238" s="599" t="s">
        <v>41</v>
      </c>
      <c r="F238" s="600">
        <v>136</v>
      </c>
      <c r="G238" s="600">
        <v>109</v>
      </c>
      <c r="H238" s="600">
        <v>4</v>
      </c>
      <c r="I238" s="600">
        <v>0</v>
      </c>
      <c r="J238" s="600">
        <v>0</v>
      </c>
      <c r="K238" s="604" t="s">
        <v>902</v>
      </c>
      <c r="L238" s="604">
        <f t="shared" si="3"/>
        <v>10</v>
      </c>
    </row>
    <row r="239" spans="1:12" s="514" customFormat="1" ht="13" customHeight="1" x14ac:dyDescent="0.3">
      <c r="A239" s="601" t="s">
        <v>110</v>
      </c>
      <c r="B239" s="601" t="s">
        <v>897</v>
      </c>
      <c r="C239" s="601" t="s">
        <v>7</v>
      </c>
      <c r="D239" s="601" t="s">
        <v>52</v>
      </c>
      <c r="E239" s="601" t="s">
        <v>51</v>
      </c>
      <c r="F239" s="602">
        <v>315</v>
      </c>
      <c r="G239" s="602">
        <v>312</v>
      </c>
      <c r="H239" s="602">
        <v>0</v>
      </c>
      <c r="I239" s="602">
        <v>0</v>
      </c>
      <c r="J239" s="602">
        <v>0</v>
      </c>
      <c r="K239" s="604" t="s">
        <v>902</v>
      </c>
      <c r="L239" s="604">
        <f t="shared" si="3"/>
        <v>10</v>
      </c>
    </row>
    <row r="240" spans="1:12" s="514" customFormat="1" ht="13" customHeight="1" x14ac:dyDescent="0.3">
      <c r="A240" s="599" t="s">
        <v>110</v>
      </c>
      <c r="B240" s="599" t="s">
        <v>897</v>
      </c>
      <c r="C240" s="599" t="s">
        <v>7</v>
      </c>
      <c r="D240" s="599" t="s">
        <v>57</v>
      </c>
      <c r="E240" s="599" t="s">
        <v>63</v>
      </c>
      <c r="F240" s="600">
        <v>58860</v>
      </c>
      <c r="G240" s="600">
        <v>48906</v>
      </c>
      <c r="H240" s="600">
        <v>1401</v>
      </c>
      <c r="I240" s="600">
        <v>118</v>
      </c>
      <c r="J240" s="600">
        <v>1264050</v>
      </c>
      <c r="K240" s="604" t="s">
        <v>902</v>
      </c>
      <c r="L240" s="604">
        <f t="shared" si="3"/>
        <v>10</v>
      </c>
    </row>
    <row r="241" spans="1:12" s="514" customFormat="1" ht="13" customHeight="1" x14ac:dyDescent="0.3">
      <c r="A241" s="601" t="s">
        <v>110</v>
      </c>
      <c r="B241" s="601" t="s">
        <v>897</v>
      </c>
      <c r="C241" s="601" t="s">
        <v>7</v>
      </c>
      <c r="D241" s="601" t="s">
        <v>57</v>
      </c>
      <c r="E241" s="601" t="s">
        <v>65</v>
      </c>
      <c r="F241" s="602">
        <v>65950</v>
      </c>
      <c r="G241" s="602">
        <v>61194</v>
      </c>
      <c r="H241" s="602">
        <v>585</v>
      </c>
      <c r="I241" s="602">
        <v>44</v>
      </c>
      <c r="J241" s="602">
        <v>289400</v>
      </c>
      <c r="K241" s="604" t="s">
        <v>902</v>
      </c>
      <c r="L241" s="604">
        <f t="shared" si="3"/>
        <v>10</v>
      </c>
    </row>
    <row r="242" spans="1:12" s="514" customFormat="1" ht="13" customHeight="1" x14ac:dyDescent="0.3">
      <c r="A242" s="599" t="s">
        <v>110</v>
      </c>
      <c r="B242" s="599" t="s">
        <v>897</v>
      </c>
      <c r="C242" s="599" t="s">
        <v>7</v>
      </c>
      <c r="D242" s="599" t="s">
        <v>4</v>
      </c>
      <c r="E242" s="599" t="s">
        <v>42</v>
      </c>
      <c r="F242" s="600">
        <v>2</v>
      </c>
      <c r="G242" s="600">
        <v>2</v>
      </c>
      <c r="H242" s="600">
        <v>0</v>
      </c>
      <c r="I242" s="600">
        <v>0</v>
      </c>
      <c r="J242" s="600">
        <v>0</v>
      </c>
      <c r="K242" s="604" t="s">
        <v>902</v>
      </c>
      <c r="L242" s="604">
        <f t="shared" si="3"/>
        <v>10</v>
      </c>
    </row>
    <row r="243" spans="1:12" s="514" customFormat="1" ht="13" customHeight="1" x14ac:dyDescent="0.3">
      <c r="A243" s="601" t="s">
        <v>110</v>
      </c>
      <c r="B243" s="601" t="s">
        <v>897</v>
      </c>
      <c r="C243" s="601" t="s">
        <v>7</v>
      </c>
      <c r="D243" s="601" t="s">
        <v>4</v>
      </c>
      <c r="E243" s="601" t="s">
        <v>43</v>
      </c>
      <c r="F243" s="602">
        <v>1506</v>
      </c>
      <c r="G243" s="602">
        <v>847</v>
      </c>
      <c r="H243" s="602">
        <v>19</v>
      </c>
      <c r="I243" s="602">
        <v>13</v>
      </c>
      <c r="J243" s="602">
        <v>125200</v>
      </c>
      <c r="K243" s="604" t="s">
        <v>902</v>
      </c>
      <c r="L243" s="604">
        <f t="shared" si="3"/>
        <v>10</v>
      </c>
    </row>
    <row r="244" spans="1:12" s="514" customFormat="1" ht="13" customHeight="1" x14ac:dyDescent="0.3">
      <c r="A244" s="599" t="s">
        <v>110</v>
      </c>
      <c r="B244" s="599" t="s">
        <v>898</v>
      </c>
      <c r="C244" s="599" t="s">
        <v>40</v>
      </c>
      <c r="D244" s="599" t="s">
        <v>57</v>
      </c>
      <c r="E244" s="599" t="s">
        <v>64</v>
      </c>
      <c r="F244" s="600">
        <v>174230</v>
      </c>
      <c r="G244" s="600">
        <v>157269</v>
      </c>
      <c r="H244" s="600">
        <v>1479</v>
      </c>
      <c r="I244" s="600">
        <v>28</v>
      </c>
      <c r="J244" s="600">
        <v>324790</v>
      </c>
      <c r="K244" s="604" t="s">
        <v>902</v>
      </c>
      <c r="L244" s="604">
        <f t="shared" si="3"/>
        <v>11</v>
      </c>
    </row>
    <row r="245" spans="1:12" s="514" customFormat="1" ht="13" customHeight="1" x14ac:dyDescent="0.3">
      <c r="A245" s="601" t="s">
        <v>110</v>
      </c>
      <c r="B245" s="601" t="s">
        <v>898</v>
      </c>
      <c r="C245" s="601" t="s">
        <v>40</v>
      </c>
      <c r="D245" s="601" t="s">
        <v>52</v>
      </c>
      <c r="E245" s="601" t="s">
        <v>67</v>
      </c>
      <c r="F245" s="602">
        <v>16499</v>
      </c>
      <c r="G245" s="602">
        <v>15321</v>
      </c>
      <c r="H245" s="602">
        <v>967</v>
      </c>
      <c r="I245" s="602">
        <v>52</v>
      </c>
      <c r="J245" s="602">
        <v>522430</v>
      </c>
      <c r="K245" s="604" t="s">
        <v>902</v>
      </c>
      <c r="L245" s="604">
        <f t="shared" si="3"/>
        <v>11</v>
      </c>
    </row>
    <row r="246" spans="1:12" s="514" customFormat="1" ht="13" customHeight="1" x14ac:dyDescent="0.3">
      <c r="A246" s="599" t="s">
        <v>110</v>
      </c>
      <c r="B246" s="599" t="s">
        <v>898</v>
      </c>
      <c r="C246" s="599" t="s">
        <v>40</v>
      </c>
      <c r="D246" s="599" t="s">
        <v>52</v>
      </c>
      <c r="E246" s="599" t="s">
        <v>58</v>
      </c>
      <c r="F246" s="600">
        <v>6</v>
      </c>
      <c r="G246" s="600">
        <v>3</v>
      </c>
      <c r="H246" s="600">
        <v>0</v>
      </c>
      <c r="I246" s="600">
        <v>0</v>
      </c>
      <c r="J246" s="600">
        <v>0</v>
      </c>
      <c r="K246" s="604" t="s">
        <v>902</v>
      </c>
      <c r="L246" s="604">
        <f t="shared" si="3"/>
        <v>11</v>
      </c>
    </row>
    <row r="247" spans="1:12" s="514" customFormat="1" ht="13" customHeight="1" x14ac:dyDescent="0.3">
      <c r="A247" s="601" t="s">
        <v>110</v>
      </c>
      <c r="B247" s="601" t="s">
        <v>898</v>
      </c>
      <c r="C247" s="601" t="s">
        <v>40</v>
      </c>
      <c r="D247" s="601" t="s">
        <v>4</v>
      </c>
      <c r="E247" s="601" t="s">
        <v>42</v>
      </c>
      <c r="F247" s="602">
        <v>1</v>
      </c>
      <c r="G247" s="602">
        <v>1</v>
      </c>
      <c r="H247" s="602">
        <v>0</v>
      </c>
      <c r="I247" s="602">
        <v>0</v>
      </c>
      <c r="J247" s="602">
        <v>0</v>
      </c>
      <c r="K247" s="604" t="s">
        <v>902</v>
      </c>
      <c r="L247" s="604">
        <f t="shared" si="3"/>
        <v>11</v>
      </c>
    </row>
    <row r="248" spans="1:12" s="514" customFormat="1" ht="13" customHeight="1" x14ac:dyDescent="0.3">
      <c r="A248" s="599" t="s">
        <v>110</v>
      </c>
      <c r="B248" s="599" t="s">
        <v>898</v>
      </c>
      <c r="C248" s="599" t="s">
        <v>40</v>
      </c>
      <c r="D248" s="599" t="s">
        <v>52</v>
      </c>
      <c r="E248" s="599" t="s">
        <v>51</v>
      </c>
      <c r="F248" s="600">
        <v>5</v>
      </c>
      <c r="G248" s="600">
        <v>3</v>
      </c>
      <c r="H248" s="600">
        <v>0</v>
      </c>
      <c r="I248" s="600">
        <v>0</v>
      </c>
      <c r="J248" s="600">
        <v>0</v>
      </c>
      <c r="K248" s="604" t="s">
        <v>902</v>
      </c>
      <c r="L248" s="604">
        <f t="shared" si="3"/>
        <v>11</v>
      </c>
    </row>
    <row r="249" spans="1:12" s="514" customFormat="1" ht="13" customHeight="1" x14ac:dyDescent="0.3">
      <c r="A249" s="599" t="s">
        <v>110</v>
      </c>
      <c r="B249" s="599" t="s">
        <v>898</v>
      </c>
      <c r="C249" s="599" t="s">
        <v>40</v>
      </c>
      <c r="D249" s="599" t="s">
        <v>52</v>
      </c>
      <c r="E249" s="599" t="s">
        <v>59</v>
      </c>
      <c r="F249" s="600">
        <v>23855</v>
      </c>
      <c r="G249" s="600">
        <v>22092</v>
      </c>
      <c r="H249" s="600">
        <v>0</v>
      </c>
      <c r="I249" s="600">
        <v>0</v>
      </c>
      <c r="J249" s="600">
        <v>0</v>
      </c>
      <c r="K249" s="604" t="s">
        <v>902</v>
      </c>
      <c r="L249" s="604">
        <f t="shared" si="3"/>
        <v>11</v>
      </c>
    </row>
    <row r="250" spans="1:12" s="514" customFormat="1" ht="13" customHeight="1" x14ac:dyDescent="0.3">
      <c r="A250" s="599" t="s">
        <v>110</v>
      </c>
      <c r="B250" s="599" t="s">
        <v>898</v>
      </c>
      <c r="C250" s="599" t="s">
        <v>40</v>
      </c>
      <c r="D250" s="599" t="s">
        <v>4</v>
      </c>
      <c r="E250" s="599" t="s">
        <v>43</v>
      </c>
      <c r="F250" s="600">
        <v>2684</v>
      </c>
      <c r="G250" s="600">
        <v>1433</v>
      </c>
      <c r="H250" s="600">
        <v>20</v>
      </c>
      <c r="I250" s="600">
        <v>7</v>
      </c>
      <c r="J250" s="600">
        <v>68905</v>
      </c>
      <c r="K250" s="604" t="s">
        <v>902</v>
      </c>
      <c r="L250" s="604">
        <f t="shared" si="3"/>
        <v>11</v>
      </c>
    </row>
    <row r="251" spans="1:12" s="514" customFormat="1" ht="13" customHeight="1" x14ac:dyDescent="0.3">
      <c r="A251" s="601" t="s">
        <v>110</v>
      </c>
      <c r="B251" s="601" t="s">
        <v>898</v>
      </c>
      <c r="C251" s="601" t="s">
        <v>40</v>
      </c>
      <c r="D251" s="601" t="s">
        <v>57</v>
      </c>
      <c r="E251" s="601" t="s">
        <v>63</v>
      </c>
      <c r="F251" s="602">
        <v>83960</v>
      </c>
      <c r="G251" s="602">
        <v>74668</v>
      </c>
      <c r="H251" s="602">
        <v>2441</v>
      </c>
      <c r="I251" s="602">
        <v>125</v>
      </c>
      <c r="J251" s="602">
        <v>1626315</v>
      </c>
      <c r="K251" s="604" t="s">
        <v>902</v>
      </c>
      <c r="L251" s="604">
        <f t="shared" si="3"/>
        <v>11</v>
      </c>
    </row>
    <row r="252" spans="1:12" s="514" customFormat="1" ht="13" customHeight="1" x14ac:dyDescent="0.3">
      <c r="A252" s="599" t="s">
        <v>110</v>
      </c>
      <c r="B252" s="599" t="s">
        <v>898</v>
      </c>
      <c r="C252" s="599" t="s">
        <v>40</v>
      </c>
      <c r="D252" s="599" t="s">
        <v>55</v>
      </c>
      <c r="E252" s="599" t="s">
        <v>56</v>
      </c>
      <c r="F252" s="600">
        <v>7</v>
      </c>
      <c r="G252" s="600">
        <v>4</v>
      </c>
      <c r="H252" s="600">
        <v>0</v>
      </c>
      <c r="I252" s="600">
        <v>0</v>
      </c>
      <c r="J252" s="600">
        <v>0</v>
      </c>
      <c r="K252" s="604" t="s">
        <v>902</v>
      </c>
      <c r="L252" s="604">
        <f t="shared" si="3"/>
        <v>11</v>
      </c>
    </row>
    <row r="253" spans="1:12" s="514" customFormat="1" ht="13" customHeight="1" x14ac:dyDescent="0.3">
      <c r="A253" s="601" t="s">
        <v>110</v>
      </c>
      <c r="B253" s="601" t="s">
        <v>898</v>
      </c>
      <c r="C253" s="601" t="s">
        <v>40</v>
      </c>
      <c r="D253" s="601" t="s">
        <v>57</v>
      </c>
      <c r="E253" s="601" t="s">
        <v>65</v>
      </c>
      <c r="F253" s="602">
        <v>24065</v>
      </c>
      <c r="G253" s="602">
        <v>21933</v>
      </c>
      <c r="H253" s="602">
        <v>582</v>
      </c>
      <c r="I253" s="602">
        <v>25</v>
      </c>
      <c r="J253" s="602">
        <v>212860</v>
      </c>
      <c r="K253" s="604" t="s">
        <v>902</v>
      </c>
      <c r="L253" s="604">
        <f t="shared" si="3"/>
        <v>11</v>
      </c>
    </row>
    <row r="254" spans="1:12" s="514" customFormat="1" ht="13" customHeight="1" x14ac:dyDescent="0.3">
      <c r="A254" s="599" t="s">
        <v>110</v>
      </c>
      <c r="B254" s="599" t="s">
        <v>898</v>
      </c>
      <c r="C254" s="599" t="s">
        <v>40</v>
      </c>
      <c r="D254" s="599" t="s">
        <v>52</v>
      </c>
      <c r="E254" s="599" t="s">
        <v>53</v>
      </c>
      <c r="F254" s="600">
        <v>10154</v>
      </c>
      <c r="G254" s="600">
        <v>9037</v>
      </c>
      <c r="H254" s="600">
        <v>0</v>
      </c>
      <c r="I254" s="600">
        <v>0</v>
      </c>
      <c r="J254" s="600">
        <v>0</v>
      </c>
      <c r="K254" s="604" t="s">
        <v>902</v>
      </c>
      <c r="L254" s="604">
        <f t="shared" si="3"/>
        <v>11</v>
      </c>
    </row>
    <row r="255" spans="1:12" s="514" customFormat="1" ht="13" customHeight="1" x14ac:dyDescent="0.3">
      <c r="A255" s="601" t="s">
        <v>110</v>
      </c>
      <c r="B255" s="601" t="s">
        <v>898</v>
      </c>
      <c r="C255" s="601" t="s">
        <v>40</v>
      </c>
      <c r="D255" s="601" t="s">
        <v>4</v>
      </c>
      <c r="E255" s="601" t="s">
        <v>41</v>
      </c>
      <c r="F255" s="602">
        <v>29</v>
      </c>
      <c r="G255" s="602">
        <v>23</v>
      </c>
      <c r="H255" s="602">
        <v>1</v>
      </c>
      <c r="I255" s="602">
        <v>0</v>
      </c>
      <c r="J255" s="602">
        <v>0</v>
      </c>
      <c r="K255" s="604" t="s">
        <v>902</v>
      </c>
      <c r="L255" s="604">
        <f t="shared" si="3"/>
        <v>11</v>
      </c>
    </row>
    <row r="256" spans="1:12" s="514" customFormat="1" ht="13" customHeight="1" x14ac:dyDescent="0.3">
      <c r="A256" s="601" t="s">
        <v>110</v>
      </c>
      <c r="B256" s="601" t="s">
        <v>898</v>
      </c>
      <c r="C256" s="601" t="s">
        <v>6</v>
      </c>
      <c r="D256" s="601" t="s">
        <v>55</v>
      </c>
      <c r="E256" s="601" t="s">
        <v>56</v>
      </c>
      <c r="F256" s="602">
        <v>3895</v>
      </c>
      <c r="G256" s="602">
        <v>3009</v>
      </c>
      <c r="H256" s="602">
        <v>177</v>
      </c>
      <c r="I256" s="602">
        <v>0</v>
      </c>
      <c r="J256" s="602">
        <v>0</v>
      </c>
      <c r="K256" s="604" t="s">
        <v>902</v>
      </c>
      <c r="L256" s="604">
        <f t="shared" si="3"/>
        <v>11</v>
      </c>
    </row>
    <row r="257" spans="1:12" s="514" customFormat="1" ht="13" customHeight="1" x14ac:dyDescent="0.3">
      <c r="A257" s="599" t="s">
        <v>110</v>
      </c>
      <c r="B257" s="599" t="s">
        <v>898</v>
      </c>
      <c r="C257" s="599" t="s">
        <v>6</v>
      </c>
      <c r="D257" s="599" t="s">
        <v>55</v>
      </c>
      <c r="E257" s="599" t="s">
        <v>54</v>
      </c>
      <c r="F257" s="600">
        <v>34711</v>
      </c>
      <c r="G257" s="600">
        <v>30425</v>
      </c>
      <c r="H257" s="600">
        <v>145</v>
      </c>
      <c r="I257" s="600">
        <v>0</v>
      </c>
      <c r="J257" s="600">
        <v>0</v>
      </c>
      <c r="K257" s="604" t="s">
        <v>902</v>
      </c>
      <c r="L257" s="604">
        <f t="shared" si="3"/>
        <v>11</v>
      </c>
    </row>
    <row r="258" spans="1:12" s="514" customFormat="1" ht="13" customHeight="1" x14ac:dyDescent="0.3">
      <c r="A258" s="601" t="s">
        <v>110</v>
      </c>
      <c r="B258" s="601" t="s">
        <v>898</v>
      </c>
      <c r="C258" s="601" t="s">
        <v>6</v>
      </c>
      <c r="D258" s="601" t="s">
        <v>4</v>
      </c>
      <c r="E258" s="601" t="s">
        <v>41</v>
      </c>
      <c r="F258" s="602">
        <v>43</v>
      </c>
      <c r="G258" s="602">
        <v>23</v>
      </c>
      <c r="H258" s="602">
        <v>1</v>
      </c>
      <c r="I258" s="602">
        <v>0</v>
      </c>
      <c r="J258" s="602">
        <v>0</v>
      </c>
      <c r="K258" s="604" t="s">
        <v>902</v>
      </c>
      <c r="L258" s="604">
        <f t="shared" si="3"/>
        <v>11</v>
      </c>
    </row>
    <row r="259" spans="1:12" s="514" customFormat="1" ht="13" customHeight="1" x14ac:dyDescent="0.3">
      <c r="A259" s="601" t="s">
        <v>110</v>
      </c>
      <c r="B259" s="601" t="s">
        <v>898</v>
      </c>
      <c r="C259" s="601" t="s">
        <v>6</v>
      </c>
      <c r="D259" s="601" t="s">
        <v>4</v>
      </c>
      <c r="E259" s="601" t="s">
        <v>42</v>
      </c>
      <c r="F259" s="602">
        <v>2</v>
      </c>
      <c r="G259" s="602">
        <v>2</v>
      </c>
      <c r="H259" s="602">
        <v>0</v>
      </c>
      <c r="I259" s="602">
        <v>0</v>
      </c>
      <c r="J259" s="602">
        <v>0</v>
      </c>
      <c r="K259" s="604" t="s">
        <v>902</v>
      </c>
      <c r="L259" s="604">
        <f t="shared" ref="L259:L322" si="4">MONTH(B259)</f>
        <v>11</v>
      </c>
    </row>
    <row r="260" spans="1:12" s="514" customFormat="1" ht="13" customHeight="1" x14ac:dyDescent="0.3">
      <c r="A260" s="601" t="s">
        <v>110</v>
      </c>
      <c r="B260" s="601" t="s">
        <v>898</v>
      </c>
      <c r="C260" s="601" t="s">
        <v>6</v>
      </c>
      <c r="D260" s="601" t="s">
        <v>4</v>
      </c>
      <c r="E260" s="601" t="s">
        <v>43</v>
      </c>
      <c r="F260" s="602">
        <v>4917</v>
      </c>
      <c r="G260" s="602">
        <v>2843</v>
      </c>
      <c r="H260" s="602">
        <v>115</v>
      </c>
      <c r="I260" s="602">
        <v>39</v>
      </c>
      <c r="J260" s="602">
        <v>146088.41</v>
      </c>
      <c r="K260" s="604" t="s">
        <v>902</v>
      </c>
      <c r="L260" s="604">
        <f t="shared" si="4"/>
        <v>11</v>
      </c>
    </row>
    <row r="261" spans="1:12" s="514" customFormat="1" ht="13" customHeight="1" x14ac:dyDescent="0.3">
      <c r="A261" s="601" t="s">
        <v>110</v>
      </c>
      <c r="B261" s="601" t="s">
        <v>898</v>
      </c>
      <c r="C261" s="601" t="s">
        <v>6</v>
      </c>
      <c r="D261" s="601" t="s">
        <v>55</v>
      </c>
      <c r="E261" s="601" t="s">
        <v>66</v>
      </c>
      <c r="F261" s="602">
        <v>1</v>
      </c>
      <c r="G261" s="602">
        <v>0</v>
      </c>
      <c r="H261" s="602">
        <v>0</v>
      </c>
      <c r="I261" s="602">
        <v>0</v>
      </c>
      <c r="J261" s="602">
        <v>0</v>
      </c>
      <c r="K261" s="604" t="s">
        <v>902</v>
      </c>
      <c r="L261" s="604">
        <f t="shared" si="4"/>
        <v>11</v>
      </c>
    </row>
    <row r="262" spans="1:12" s="514" customFormat="1" ht="13" customHeight="1" x14ac:dyDescent="0.3">
      <c r="A262" s="599" t="s">
        <v>110</v>
      </c>
      <c r="B262" s="599" t="s">
        <v>898</v>
      </c>
      <c r="C262" s="599" t="s">
        <v>6</v>
      </c>
      <c r="D262" s="599" t="s">
        <v>57</v>
      </c>
      <c r="E262" s="599" t="s">
        <v>63</v>
      </c>
      <c r="F262" s="600">
        <v>69938</v>
      </c>
      <c r="G262" s="600">
        <v>57342</v>
      </c>
      <c r="H262" s="600">
        <v>2681</v>
      </c>
      <c r="I262" s="600">
        <v>380</v>
      </c>
      <c r="J262" s="600">
        <v>1615948.2699999998</v>
      </c>
      <c r="K262" s="604" t="s">
        <v>902</v>
      </c>
      <c r="L262" s="604">
        <f t="shared" si="4"/>
        <v>11</v>
      </c>
    </row>
    <row r="263" spans="1:12" s="514" customFormat="1" ht="13" customHeight="1" x14ac:dyDescent="0.3">
      <c r="A263" s="601" t="s">
        <v>110</v>
      </c>
      <c r="B263" s="601" t="s">
        <v>898</v>
      </c>
      <c r="C263" s="601" t="s">
        <v>6</v>
      </c>
      <c r="D263" s="601" t="s">
        <v>52</v>
      </c>
      <c r="E263" s="601" t="s">
        <v>58</v>
      </c>
      <c r="F263" s="602">
        <v>3</v>
      </c>
      <c r="G263" s="602">
        <v>1</v>
      </c>
      <c r="H263" s="602">
        <v>0</v>
      </c>
      <c r="I263" s="602">
        <v>0</v>
      </c>
      <c r="J263" s="602">
        <v>0</v>
      </c>
      <c r="K263" s="604" t="s">
        <v>902</v>
      </c>
      <c r="L263" s="604">
        <f t="shared" si="4"/>
        <v>11</v>
      </c>
    </row>
    <row r="264" spans="1:12" s="514" customFormat="1" ht="13" customHeight="1" x14ac:dyDescent="0.3">
      <c r="A264" s="599" t="s">
        <v>110</v>
      </c>
      <c r="B264" s="599" t="s">
        <v>898</v>
      </c>
      <c r="C264" s="599" t="s">
        <v>6</v>
      </c>
      <c r="D264" s="599" t="s">
        <v>57</v>
      </c>
      <c r="E264" s="599" t="s">
        <v>65</v>
      </c>
      <c r="F264" s="600">
        <v>105119</v>
      </c>
      <c r="G264" s="600">
        <v>97629</v>
      </c>
      <c r="H264" s="600">
        <v>2438</v>
      </c>
      <c r="I264" s="600">
        <v>481</v>
      </c>
      <c r="J264" s="600">
        <v>2137935.5</v>
      </c>
      <c r="K264" s="604" t="s">
        <v>902</v>
      </c>
      <c r="L264" s="604">
        <f t="shared" si="4"/>
        <v>11</v>
      </c>
    </row>
    <row r="265" spans="1:12" s="514" customFormat="1" ht="13" customHeight="1" x14ac:dyDescent="0.3">
      <c r="A265" s="601" t="s">
        <v>110</v>
      </c>
      <c r="B265" s="601" t="s">
        <v>898</v>
      </c>
      <c r="C265" s="601" t="s">
        <v>6</v>
      </c>
      <c r="D265" s="601" t="s">
        <v>57</v>
      </c>
      <c r="E265" s="601" t="s">
        <v>64</v>
      </c>
      <c r="F265" s="602">
        <v>63841</v>
      </c>
      <c r="G265" s="602">
        <v>47797</v>
      </c>
      <c r="H265" s="602">
        <v>1993</v>
      </c>
      <c r="I265" s="602">
        <v>181</v>
      </c>
      <c r="J265" s="602">
        <v>731191.14</v>
      </c>
      <c r="K265" s="604" t="s">
        <v>902</v>
      </c>
      <c r="L265" s="604">
        <f t="shared" si="4"/>
        <v>11</v>
      </c>
    </row>
    <row r="266" spans="1:12" s="514" customFormat="1" ht="13" customHeight="1" x14ac:dyDescent="0.3">
      <c r="A266" s="599" t="s">
        <v>110</v>
      </c>
      <c r="B266" s="599" t="s">
        <v>898</v>
      </c>
      <c r="C266" s="599" t="s">
        <v>6</v>
      </c>
      <c r="D266" s="599" t="s">
        <v>52</v>
      </c>
      <c r="E266" s="599" t="s">
        <v>53</v>
      </c>
      <c r="F266" s="600">
        <v>4013</v>
      </c>
      <c r="G266" s="600">
        <v>3551</v>
      </c>
      <c r="H266" s="600">
        <v>0</v>
      </c>
      <c r="I266" s="600">
        <v>0</v>
      </c>
      <c r="J266" s="600">
        <v>0</v>
      </c>
      <c r="K266" s="604" t="s">
        <v>902</v>
      </c>
      <c r="L266" s="604">
        <f t="shared" si="4"/>
        <v>11</v>
      </c>
    </row>
    <row r="267" spans="1:12" s="514" customFormat="1" ht="13" customHeight="1" x14ac:dyDescent="0.3">
      <c r="A267" s="599" t="s">
        <v>110</v>
      </c>
      <c r="B267" s="599" t="s">
        <v>898</v>
      </c>
      <c r="C267" s="599" t="s">
        <v>6</v>
      </c>
      <c r="D267" s="599" t="s">
        <v>52</v>
      </c>
      <c r="E267" s="599" t="s">
        <v>59</v>
      </c>
      <c r="F267" s="600">
        <v>3562</v>
      </c>
      <c r="G267" s="600">
        <v>3085</v>
      </c>
      <c r="H267" s="600">
        <v>0</v>
      </c>
      <c r="I267" s="600">
        <v>0</v>
      </c>
      <c r="J267" s="600">
        <v>0</v>
      </c>
      <c r="K267" s="604" t="s">
        <v>902</v>
      </c>
      <c r="L267" s="604">
        <f t="shared" si="4"/>
        <v>11</v>
      </c>
    </row>
    <row r="268" spans="1:12" s="514" customFormat="1" ht="13" customHeight="1" x14ac:dyDescent="0.3">
      <c r="A268" s="601" t="s">
        <v>110</v>
      </c>
      <c r="B268" s="601" t="s">
        <v>898</v>
      </c>
      <c r="C268" s="601" t="s">
        <v>6</v>
      </c>
      <c r="D268" s="601" t="s">
        <v>52</v>
      </c>
      <c r="E268" s="601" t="s">
        <v>61</v>
      </c>
      <c r="F268" s="602">
        <v>17341</v>
      </c>
      <c r="G268" s="602">
        <v>15708</v>
      </c>
      <c r="H268" s="602">
        <v>577</v>
      </c>
      <c r="I268" s="602">
        <v>113</v>
      </c>
      <c r="J268" s="602">
        <v>572094.5</v>
      </c>
      <c r="K268" s="604" t="s">
        <v>902</v>
      </c>
      <c r="L268" s="604">
        <f t="shared" si="4"/>
        <v>11</v>
      </c>
    </row>
    <row r="269" spans="1:12" s="514" customFormat="1" ht="13" customHeight="1" x14ac:dyDescent="0.3">
      <c r="A269" s="599" t="s">
        <v>110</v>
      </c>
      <c r="B269" s="599" t="s">
        <v>898</v>
      </c>
      <c r="C269" s="599" t="s">
        <v>7</v>
      </c>
      <c r="D269" s="599" t="s">
        <v>4</v>
      </c>
      <c r="E269" s="599" t="s">
        <v>42</v>
      </c>
      <c r="F269" s="600">
        <v>2</v>
      </c>
      <c r="G269" s="600">
        <v>2</v>
      </c>
      <c r="H269" s="600">
        <v>0</v>
      </c>
      <c r="I269" s="600">
        <v>0</v>
      </c>
      <c r="J269" s="600">
        <v>0</v>
      </c>
      <c r="K269" s="604" t="s">
        <v>902</v>
      </c>
      <c r="L269" s="604">
        <f t="shared" si="4"/>
        <v>11</v>
      </c>
    </row>
    <row r="270" spans="1:12" s="514" customFormat="1" ht="13" customHeight="1" x14ac:dyDescent="0.3">
      <c r="A270" s="601" t="s">
        <v>110</v>
      </c>
      <c r="B270" s="601" t="s">
        <v>898</v>
      </c>
      <c r="C270" s="601" t="s">
        <v>7</v>
      </c>
      <c r="D270" s="601" t="s">
        <v>52</v>
      </c>
      <c r="E270" s="601" t="s">
        <v>60</v>
      </c>
      <c r="F270" s="602">
        <v>40570</v>
      </c>
      <c r="G270" s="602">
        <v>40405</v>
      </c>
      <c r="H270" s="602">
        <v>0</v>
      </c>
      <c r="I270" s="602">
        <v>0</v>
      </c>
      <c r="J270" s="602">
        <v>0</v>
      </c>
      <c r="K270" s="604" t="s">
        <v>902</v>
      </c>
      <c r="L270" s="604">
        <f t="shared" si="4"/>
        <v>11</v>
      </c>
    </row>
    <row r="271" spans="1:12" s="514" customFormat="1" ht="13" customHeight="1" x14ac:dyDescent="0.3">
      <c r="A271" s="599" t="s">
        <v>110</v>
      </c>
      <c r="B271" s="599" t="s">
        <v>898</v>
      </c>
      <c r="C271" s="599" t="s">
        <v>7</v>
      </c>
      <c r="D271" s="599" t="s">
        <v>52</v>
      </c>
      <c r="E271" s="599" t="s">
        <v>61</v>
      </c>
      <c r="F271" s="600">
        <v>82793</v>
      </c>
      <c r="G271" s="600">
        <v>78415</v>
      </c>
      <c r="H271" s="600">
        <v>2308</v>
      </c>
      <c r="I271" s="600">
        <v>219</v>
      </c>
      <c r="J271" s="600">
        <v>2724520</v>
      </c>
      <c r="K271" s="604" t="s">
        <v>902</v>
      </c>
      <c r="L271" s="604">
        <f t="shared" si="4"/>
        <v>11</v>
      </c>
    </row>
    <row r="272" spans="1:12" s="514" customFormat="1" ht="13" customHeight="1" x14ac:dyDescent="0.3">
      <c r="A272" s="601" t="s">
        <v>110</v>
      </c>
      <c r="B272" s="601" t="s">
        <v>898</v>
      </c>
      <c r="C272" s="601" t="s">
        <v>7</v>
      </c>
      <c r="D272" s="601" t="s">
        <v>57</v>
      </c>
      <c r="E272" s="601" t="s">
        <v>63</v>
      </c>
      <c r="F272" s="602">
        <v>94490</v>
      </c>
      <c r="G272" s="602">
        <v>85631</v>
      </c>
      <c r="H272" s="602">
        <v>1566</v>
      </c>
      <c r="I272" s="602">
        <v>121</v>
      </c>
      <c r="J272" s="602">
        <v>1447400</v>
      </c>
      <c r="K272" s="604" t="s">
        <v>902</v>
      </c>
      <c r="L272" s="604">
        <f t="shared" si="4"/>
        <v>11</v>
      </c>
    </row>
    <row r="273" spans="1:12" s="514" customFormat="1" ht="13" customHeight="1" x14ac:dyDescent="0.3">
      <c r="A273" s="599" t="s">
        <v>110</v>
      </c>
      <c r="B273" s="599" t="s">
        <v>898</v>
      </c>
      <c r="C273" s="599" t="s">
        <v>7</v>
      </c>
      <c r="D273" s="599" t="s">
        <v>57</v>
      </c>
      <c r="E273" s="599" t="s">
        <v>64</v>
      </c>
      <c r="F273" s="600">
        <v>63666</v>
      </c>
      <c r="G273" s="600">
        <v>54514</v>
      </c>
      <c r="H273" s="600">
        <v>308</v>
      </c>
      <c r="I273" s="600">
        <v>7</v>
      </c>
      <c r="J273" s="600">
        <v>53950</v>
      </c>
      <c r="K273" s="604" t="s">
        <v>902</v>
      </c>
      <c r="L273" s="604">
        <f t="shared" si="4"/>
        <v>11</v>
      </c>
    </row>
    <row r="274" spans="1:12" s="514" customFormat="1" ht="13" customHeight="1" x14ac:dyDescent="0.3">
      <c r="A274" s="601" t="s">
        <v>110</v>
      </c>
      <c r="B274" s="601" t="s">
        <v>898</v>
      </c>
      <c r="C274" s="601" t="s">
        <v>7</v>
      </c>
      <c r="D274" s="601" t="s">
        <v>55</v>
      </c>
      <c r="E274" s="601" t="s">
        <v>66</v>
      </c>
      <c r="F274" s="602">
        <v>1</v>
      </c>
      <c r="G274" s="602">
        <v>0</v>
      </c>
      <c r="H274" s="602">
        <v>0</v>
      </c>
      <c r="I274" s="602">
        <v>0</v>
      </c>
      <c r="J274" s="602">
        <v>0</v>
      </c>
      <c r="K274" s="604" t="s">
        <v>902</v>
      </c>
      <c r="L274" s="604">
        <f t="shared" si="4"/>
        <v>11</v>
      </c>
    </row>
    <row r="275" spans="1:12" s="514" customFormat="1" ht="13" customHeight="1" x14ac:dyDescent="0.3">
      <c r="A275" s="599" t="s">
        <v>110</v>
      </c>
      <c r="B275" s="599" t="s">
        <v>898</v>
      </c>
      <c r="C275" s="599" t="s">
        <v>7</v>
      </c>
      <c r="D275" s="599" t="s">
        <v>52</v>
      </c>
      <c r="E275" s="599" t="s">
        <v>59</v>
      </c>
      <c r="F275" s="600">
        <v>24289</v>
      </c>
      <c r="G275" s="600">
        <v>22366</v>
      </c>
      <c r="H275" s="600">
        <v>0</v>
      </c>
      <c r="I275" s="600">
        <v>0</v>
      </c>
      <c r="J275" s="600">
        <v>0</v>
      </c>
      <c r="K275" s="604" t="s">
        <v>902</v>
      </c>
      <c r="L275" s="604">
        <f t="shared" si="4"/>
        <v>11</v>
      </c>
    </row>
    <row r="276" spans="1:12" s="514" customFormat="1" ht="13" customHeight="1" x14ac:dyDescent="0.3">
      <c r="A276" s="601" t="s">
        <v>110</v>
      </c>
      <c r="B276" s="601" t="s">
        <v>898</v>
      </c>
      <c r="C276" s="601" t="s">
        <v>7</v>
      </c>
      <c r="D276" s="601" t="s">
        <v>55</v>
      </c>
      <c r="E276" s="601" t="s">
        <v>56</v>
      </c>
      <c r="F276" s="602">
        <v>3</v>
      </c>
      <c r="G276" s="602">
        <v>1</v>
      </c>
      <c r="H276" s="602">
        <v>0</v>
      </c>
      <c r="I276" s="602">
        <v>0</v>
      </c>
      <c r="J276" s="602">
        <v>0</v>
      </c>
      <c r="K276" s="604" t="s">
        <v>902</v>
      </c>
      <c r="L276" s="604">
        <f t="shared" si="4"/>
        <v>11</v>
      </c>
    </row>
    <row r="277" spans="1:12" s="514" customFormat="1" ht="13" customHeight="1" x14ac:dyDescent="0.3">
      <c r="A277" s="599" t="s">
        <v>110</v>
      </c>
      <c r="B277" s="599" t="s">
        <v>898</v>
      </c>
      <c r="C277" s="599" t="s">
        <v>7</v>
      </c>
      <c r="D277" s="599" t="s">
        <v>4</v>
      </c>
      <c r="E277" s="599" t="s">
        <v>41</v>
      </c>
      <c r="F277" s="600">
        <v>45</v>
      </c>
      <c r="G277" s="600">
        <v>32</v>
      </c>
      <c r="H277" s="600">
        <v>2</v>
      </c>
      <c r="I277" s="600">
        <v>0</v>
      </c>
      <c r="J277" s="600">
        <v>0</v>
      </c>
      <c r="K277" s="604" t="s">
        <v>902</v>
      </c>
      <c r="L277" s="604">
        <f t="shared" si="4"/>
        <v>11</v>
      </c>
    </row>
    <row r="278" spans="1:12" s="514" customFormat="1" ht="13" customHeight="1" x14ac:dyDescent="0.3">
      <c r="A278" s="601" t="s">
        <v>110</v>
      </c>
      <c r="B278" s="601" t="s">
        <v>898</v>
      </c>
      <c r="C278" s="601" t="s">
        <v>7</v>
      </c>
      <c r="D278" s="601" t="s">
        <v>52</v>
      </c>
      <c r="E278" s="601" t="s">
        <v>51</v>
      </c>
      <c r="F278" s="602">
        <v>159</v>
      </c>
      <c r="G278" s="602">
        <v>157</v>
      </c>
      <c r="H278" s="602">
        <v>0</v>
      </c>
      <c r="I278" s="602">
        <v>0</v>
      </c>
      <c r="J278" s="602">
        <v>0</v>
      </c>
      <c r="K278" s="604" t="s">
        <v>902</v>
      </c>
      <c r="L278" s="604">
        <f t="shared" si="4"/>
        <v>11</v>
      </c>
    </row>
    <row r="279" spans="1:12" s="514" customFormat="1" ht="13" customHeight="1" x14ac:dyDescent="0.3">
      <c r="A279" s="599" t="s">
        <v>110</v>
      </c>
      <c r="B279" s="599" t="s">
        <v>898</v>
      </c>
      <c r="C279" s="599" t="s">
        <v>7</v>
      </c>
      <c r="D279" s="599" t="s">
        <v>52</v>
      </c>
      <c r="E279" s="599" t="s">
        <v>58</v>
      </c>
      <c r="F279" s="600">
        <v>5</v>
      </c>
      <c r="G279" s="600">
        <v>3</v>
      </c>
      <c r="H279" s="600">
        <v>0</v>
      </c>
      <c r="I279" s="600">
        <v>0</v>
      </c>
      <c r="J279" s="600">
        <v>0</v>
      </c>
      <c r="K279" s="604" t="s">
        <v>902</v>
      </c>
      <c r="L279" s="604">
        <f t="shared" si="4"/>
        <v>11</v>
      </c>
    </row>
    <row r="280" spans="1:12" s="514" customFormat="1" ht="13" customHeight="1" x14ac:dyDescent="0.3">
      <c r="A280" s="601" t="s">
        <v>110</v>
      </c>
      <c r="B280" s="601" t="s">
        <v>898</v>
      </c>
      <c r="C280" s="601" t="s">
        <v>7</v>
      </c>
      <c r="D280" s="601" t="s">
        <v>4</v>
      </c>
      <c r="E280" s="601" t="s">
        <v>43</v>
      </c>
      <c r="F280" s="602">
        <v>1564</v>
      </c>
      <c r="G280" s="602">
        <v>823</v>
      </c>
      <c r="H280" s="602">
        <v>18</v>
      </c>
      <c r="I280" s="602">
        <v>8</v>
      </c>
      <c r="J280" s="602">
        <v>88450</v>
      </c>
      <c r="K280" s="604" t="s">
        <v>902</v>
      </c>
      <c r="L280" s="604">
        <f t="shared" si="4"/>
        <v>11</v>
      </c>
    </row>
    <row r="281" spans="1:12" s="514" customFormat="1" ht="13" customHeight="1" x14ac:dyDescent="0.3">
      <c r="A281" s="599" t="s">
        <v>110</v>
      </c>
      <c r="B281" s="599" t="s">
        <v>898</v>
      </c>
      <c r="C281" s="599" t="s">
        <v>7</v>
      </c>
      <c r="D281" s="599" t="s">
        <v>57</v>
      </c>
      <c r="E281" s="599" t="s">
        <v>65</v>
      </c>
      <c r="F281" s="600">
        <v>61530</v>
      </c>
      <c r="G281" s="600">
        <v>57097</v>
      </c>
      <c r="H281" s="600">
        <v>608</v>
      </c>
      <c r="I281" s="600">
        <v>31</v>
      </c>
      <c r="J281" s="600">
        <v>350820</v>
      </c>
      <c r="K281" s="604" t="s">
        <v>902</v>
      </c>
      <c r="L281" s="604">
        <f t="shared" si="4"/>
        <v>11</v>
      </c>
    </row>
    <row r="282" spans="1:12" s="514" customFormat="1" ht="13" customHeight="1" x14ac:dyDescent="0.3">
      <c r="A282" s="599" t="s">
        <v>110</v>
      </c>
      <c r="B282" s="599" t="s">
        <v>899</v>
      </c>
      <c r="C282" s="599" t="s">
        <v>40</v>
      </c>
      <c r="D282" s="599" t="s">
        <v>57</v>
      </c>
      <c r="E282" s="599" t="s">
        <v>65</v>
      </c>
      <c r="F282" s="600">
        <v>30923</v>
      </c>
      <c r="G282" s="600">
        <v>27616</v>
      </c>
      <c r="H282" s="600">
        <v>525</v>
      </c>
      <c r="I282" s="600">
        <v>28</v>
      </c>
      <c r="J282" s="600">
        <v>355465</v>
      </c>
      <c r="K282" s="604" t="s">
        <v>902</v>
      </c>
      <c r="L282" s="604">
        <f t="shared" si="4"/>
        <v>12</v>
      </c>
    </row>
    <row r="283" spans="1:12" s="514" customFormat="1" ht="13" customHeight="1" x14ac:dyDescent="0.3">
      <c r="A283" s="601" t="s">
        <v>110</v>
      </c>
      <c r="B283" s="601" t="s">
        <v>899</v>
      </c>
      <c r="C283" s="601" t="s">
        <v>40</v>
      </c>
      <c r="D283" s="601" t="s">
        <v>4</v>
      </c>
      <c r="E283" s="601" t="s">
        <v>41</v>
      </c>
      <c r="F283" s="602">
        <v>100</v>
      </c>
      <c r="G283" s="602">
        <v>67</v>
      </c>
      <c r="H283" s="602">
        <v>0</v>
      </c>
      <c r="I283" s="602">
        <v>0</v>
      </c>
      <c r="J283" s="602">
        <v>0</v>
      </c>
      <c r="K283" s="604" t="s">
        <v>902</v>
      </c>
      <c r="L283" s="604">
        <f t="shared" si="4"/>
        <v>12</v>
      </c>
    </row>
    <row r="284" spans="1:12" s="514" customFormat="1" ht="13" customHeight="1" x14ac:dyDescent="0.3">
      <c r="A284" s="599" t="s">
        <v>110</v>
      </c>
      <c r="B284" s="599" t="s">
        <v>899</v>
      </c>
      <c r="C284" s="599" t="s">
        <v>40</v>
      </c>
      <c r="D284" s="599" t="s">
        <v>52</v>
      </c>
      <c r="E284" s="599" t="s">
        <v>51</v>
      </c>
      <c r="F284" s="600">
        <v>3</v>
      </c>
      <c r="G284" s="600">
        <v>3</v>
      </c>
      <c r="H284" s="600">
        <v>0</v>
      </c>
      <c r="I284" s="600">
        <v>0</v>
      </c>
      <c r="J284" s="600">
        <v>0</v>
      </c>
      <c r="K284" s="604" t="s">
        <v>902</v>
      </c>
      <c r="L284" s="604">
        <f t="shared" si="4"/>
        <v>12</v>
      </c>
    </row>
    <row r="285" spans="1:12" s="514" customFormat="1" ht="13" customHeight="1" x14ac:dyDescent="0.3">
      <c r="A285" s="601" t="s">
        <v>110</v>
      </c>
      <c r="B285" s="601" t="s">
        <v>899</v>
      </c>
      <c r="C285" s="601" t="s">
        <v>40</v>
      </c>
      <c r="D285" s="601" t="s">
        <v>4</v>
      </c>
      <c r="E285" s="601" t="s">
        <v>43</v>
      </c>
      <c r="F285" s="602">
        <v>5062</v>
      </c>
      <c r="G285" s="602">
        <v>3130</v>
      </c>
      <c r="H285" s="602">
        <v>25</v>
      </c>
      <c r="I285" s="602">
        <v>6</v>
      </c>
      <c r="J285" s="602">
        <v>251720</v>
      </c>
      <c r="K285" s="604" t="s">
        <v>902</v>
      </c>
      <c r="L285" s="604">
        <f t="shared" si="4"/>
        <v>12</v>
      </c>
    </row>
    <row r="286" spans="1:12" s="514" customFormat="1" ht="13" customHeight="1" x14ac:dyDescent="0.3">
      <c r="A286" s="599" t="s">
        <v>110</v>
      </c>
      <c r="B286" s="599" t="s">
        <v>899</v>
      </c>
      <c r="C286" s="599" t="s">
        <v>40</v>
      </c>
      <c r="D286" s="599" t="s">
        <v>57</v>
      </c>
      <c r="E286" s="599" t="s">
        <v>64</v>
      </c>
      <c r="F286" s="600">
        <v>260479</v>
      </c>
      <c r="G286" s="600">
        <v>233339</v>
      </c>
      <c r="H286" s="600">
        <v>1907</v>
      </c>
      <c r="I286" s="600">
        <v>69</v>
      </c>
      <c r="J286" s="600">
        <v>987775</v>
      </c>
      <c r="K286" s="604" t="s">
        <v>902</v>
      </c>
      <c r="L286" s="604">
        <f t="shared" si="4"/>
        <v>12</v>
      </c>
    </row>
    <row r="287" spans="1:12" s="514" customFormat="1" ht="13" customHeight="1" x14ac:dyDescent="0.3">
      <c r="A287" s="601" t="s">
        <v>110</v>
      </c>
      <c r="B287" s="601" t="s">
        <v>899</v>
      </c>
      <c r="C287" s="601" t="s">
        <v>40</v>
      </c>
      <c r="D287" s="601" t="s">
        <v>55</v>
      </c>
      <c r="E287" s="601" t="s">
        <v>66</v>
      </c>
      <c r="F287" s="602">
        <v>1</v>
      </c>
      <c r="G287" s="602">
        <v>1</v>
      </c>
      <c r="H287" s="602">
        <v>0</v>
      </c>
      <c r="I287" s="602">
        <v>0</v>
      </c>
      <c r="J287" s="602">
        <v>0</v>
      </c>
      <c r="K287" s="604" t="s">
        <v>902</v>
      </c>
      <c r="L287" s="604">
        <f t="shared" si="4"/>
        <v>12</v>
      </c>
    </row>
    <row r="288" spans="1:12" s="514" customFormat="1" ht="13" customHeight="1" x14ac:dyDescent="0.3">
      <c r="A288" s="601" t="s">
        <v>110</v>
      </c>
      <c r="B288" s="601" t="s">
        <v>899</v>
      </c>
      <c r="C288" s="601" t="s">
        <v>40</v>
      </c>
      <c r="D288" s="601" t="s">
        <v>4</v>
      </c>
      <c r="E288" s="601" t="s">
        <v>42</v>
      </c>
      <c r="F288" s="602">
        <v>1</v>
      </c>
      <c r="G288" s="602">
        <v>1</v>
      </c>
      <c r="H288" s="602">
        <v>0</v>
      </c>
      <c r="I288" s="602">
        <v>0</v>
      </c>
      <c r="J288" s="602">
        <v>0</v>
      </c>
      <c r="K288" s="604" t="s">
        <v>902</v>
      </c>
      <c r="L288" s="604">
        <f t="shared" si="4"/>
        <v>12</v>
      </c>
    </row>
    <row r="289" spans="1:12" s="514" customFormat="1" ht="13" customHeight="1" x14ac:dyDescent="0.3">
      <c r="A289" s="599" t="s">
        <v>110</v>
      </c>
      <c r="B289" s="599" t="s">
        <v>899</v>
      </c>
      <c r="C289" s="599" t="s">
        <v>40</v>
      </c>
      <c r="D289" s="599" t="s">
        <v>57</v>
      </c>
      <c r="E289" s="599" t="s">
        <v>63</v>
      </c>
      <c r="F289" s="600">
        <v>168071</v>
      </c>
      <c r="G289" s="600">
        <v>155232</v>
      </c>
      <c r="H289" s="600">
        <v>2117</v>
      </c>
      <c r="I289" s="600">
        <v>152</v>
      </c>
      <c r="J289" s="600">
        <v>2759830</v>
      </c>
      <c r="K289" s="604" t="s">
        <v>902</v>
      </c>
      <c r="L289" s="604">
        <f t="shared" si="4"/>
        <v>12</v>
      </c>
    </row>
    <row r="290" spans="1:12" s="514" customFormat="1" ht="13" customHeight="1" x14ac:dyDescent="0.3">
      <c r="A290" s="601" t="s">
        <v>110</v>
      </c>
      <c r="B290" s="601" t="s">
        <v>899</v>
      </c>
      <c r="C290" s="601" t="s">
        <v>40</v>
      </c>
      <c r="D290" s="601" t="s">
        <v>55</v>
      </c>
      <c r="E290" s="601" t="s">
        <v>56</v>
      </c>
      <c r="F290" s="602">
        <v>9</v>
      </c>
      <c r="G290" s="602">
        <v>5</v>
      </c>
      <c r="H290" s="602">
        <v>0</v>
      </c>
      <c r="I290" s="602">
        <v>0</v>
      </c>
      <c r="J290" s="602">
        <v>0</v>
      </c>
      <c r="K290" s="604" t="s">
        <v>902</v>
      </c>
      <c r="L290" s="604">
        <f t="shared" si="4"/>
        <v>12</v>
      </c>
    </row>
    <row r="291" spans="1:12" s="514" customFormat="1" ht="13" customHeight="1" x14ac:dyDescent="0.3">
      <c r="A291" s="601" t="s">
        <v>110</v>
      </c>
      <c r="B291" s="601" t="s">
        <v>899</v>
      </c>
      <c r="C291" s="601" t="s">
        <v>40</v>
      </c>
      <c r="D291" s="601" t="s">
        <v>52</v>
      </c>
      <c r="E291" s="601" t="s">
        <v>53</v>
      </c>
      <c r="F291" s="602">
        <v>86823</v>
      </c>
      <c r="G291" s="602">
        <v>83713</v>
      </c>
      <c r="H291" s="602">
        <v>0</v>
      </c>
      <c r="I291" s="602">
        <v>0</v>
      </c>
      <c r="J291" s="602">
        <v>0</v>
      </c>
      <c r="K291" s="604" t="s">
        <v>902</v>
      </c>
      <c r="L291" s="604">
        <f t="shared" si="4"/>
        <v>12</v>
      </c>
    </row>
    <row r="292" spans="1:12" s="514" customFormat="1" ht="13" customHeight="1" x14ac:dyDescent="0.3">
      <c r="A292" s="599" t="s">
        <v>110</v>
      </c>
      <c r="B292" s="599" t="s">
        <v>899</v>
      </c>
      <c r="C292" s="599" t="s">
        <v>40</v>
      </c>
      <c r="D292" s="599" t="s">
        <v>52</v>
      </c>
      <c r="E292" s="599" t="s">
        <v>67</v>
      </c>
      <c r="F292" s="600">
        <v>20456</v>
      </c>
      <c r="G292" s="600">
        <v>19106</v>
      </c>
      <c r="H292" s="600">
        <v>960</v>
      </c>
      <c r="I292" s="600">
        <v>54</v>
      </c>
      <c r="J292" s="600">
        <v>756015</v>
      </c>
      <c r="K292" s="604" t="s">
        <v>902</v>
      </c>
      <c r="L292" s="604">
        <f t="shared" si="4"/>
        <v>12</v>
      </c>
    </row>
    <row r="293" spans="1:12" s="514" customFormat="1" ht="13" customHeight="1" x14ac:dyDescent="0.3">
      <c r="A293" s="599" t="s">
        <v>110</v>
      </c>
      <c r="B293" s="599" t="s">
        <v>899</v>
      </c>
      <c r="C293" s="599" t="s">
        <v>40</v>
      </c>
      <c r="D293" s="599" t="s">
        <v>52</v>
      </c>
      <c r="E293" s="599" t="s">
        <v>61</v>
      </c>
      <c r="F293" s="600">
        <v>1</v>
      </c>
      <c r="G293" s="600">
        <v>0</v>
      </c>
      <c r="H293" s="600">
        <v>0</v>
      </c>
      <c r="I293" s="600">
        <v>0</v>
      </c>
      <c r="J293" s="600">
        <v>0</v>
      </c>
      <c r="K293" s="604" t="s">
        <v>902</v>
      </c>
      <c r="L293" s="604">
        <f t="shared" si="4"/>
        <v>12</v>
      </c>
    </row>
    <row r="294" spans="1:12" s="514" customFormat="1" ht="13" customHeight="1" x14ac:dyDescent="0.3">
      <c r="A294" s="601" t="s">
        <v>110</v>
      </c>
      <c r="B294" s="601" t="s">
        <v>899</v>
      </c>
      <c r="C294" s="601" t="s">
        <v>40</v>
      </c>
      <c r="D294" s="601" t="s">
        <v>52</v>
      </c>
      <c r="E294" s="601" t="s">
        <v>59</v>
      </c>
      <c r="F294" s="602">
        <v>2</v>
      </c>
      <c r="G294" s="602">
        <v>2</v>
      </c>
      <c r="H294" s="602">
        <v>0</v>
      </c>
      <c r="I294" s="602">
        <v>0</v>
      </c>
      <c r="J294" s="602">
        <v>0</v>
      </c>
      <c r="K294" s="604" t="s">
        <v>902</v>
      </c>
      <c r="L294" s="604">
        <f t="shared" si="4"/>
        <v>12</v>
      </c>
    </row>
    <row r="295" spans="1:12" s="514" customFormat="1" ht="13" customHeight="1" x14ac:dyDescent="0.3">
      <c r="A295" s="599" t="s">
        <v>110</v>
      </c>
      <c r="B295" s="599" t="s">
        <v>899</v>
      </c>
      <c r="C295" s="599" t="s">
        <v>6</v>
      </c>
      <c r="D295" s="599" t="s">
        <v>57</v>
      </c>
      <c r="E295" s="599" t="s">
        <v>65</v>
      </c>
      <c r="F295" s="600">
        <v>90026</v>
      </c>
      <c r="G295" s="600">
        <v>84777</v>
      </c>
      <c r="H295" s="600">
        <v>948</v>
      </c>
      <c r="I295" s="600">
        <v>105</v>
      </c>
      <c r="J295" s="600">
        <v>543609.5</v>
      </c>
      <c r="K295" s="604" t="s">
        <v>902</v>
      </c>
      <c r="L295" s="604">
        <f t="shared" si="4"/>
        <v>12</v>
      </c>
    </row>
    <row r="296" spans="1:12" s="514" customFormat="1" ht="13" customHeight="1" x14ac:dyDescent="0.3">
      <c r="A296" s="601" t="s">
        <v>110</v>
      </c>
      <c r="B296" s="601" t="s">
        <v>899</v>
      </c>
      <c r="C296" s="601" t="s">
        <v>6</v>
      </c>
      <c r="D296" s="601" t="s">
        <v>57</v>
      </c>
      <c r="E296" s="601" t="s">
        <v>64</v>
      </c>
      <c r="F296" s="602">
        <v>51362</v>
      </c>
      <c r="G296" s="602">
        <v>41323</v>
      </c>
      <c r="H296" s="602">
        <v>1027</v>
      </c>
      <c r="I296" s="602">
        <v>74</v>
      </c>
      <c r="J296" s="602">
        <v>413338.65</v>
      </c>
      <c r="K296" s="604" t="s">
        <v>902</v>
      </c>
      <c r="L296" s="604">
        <f t="shared" si="4"/>
        <v>12</v>
      </c>
    </row>
    <row r="297" spans="1:12" s="514" customFormat="1" ht="13" customHeight="1" x14ac:dyDescent="0.3">
      <c r="A297" s="601" t="s">
        <v>110</v>
      </c>
      <c r="B297" s="601" t="s">
        <v>899</v>
      </c>
      <c r="C297" s="601" t="s">
        <v>6</v>
      </c>
      <c r="D297" s="601" t="s">
        <v>4</v>
      </c>
      <c r="E297" s="601" t="s">
        <v>41</v>
      </c>
      <c r="F297" s="602">
        <v>51</v>
      </c>
      <c r="G297" s="602">
        <v>28</v>
      </c>
      <c r="H297" s="602">
        <v>0</v>
      </c>
      <c r="I297" s="602">
        <v>0</v>
      </c>
      <c r="J297" s="602">
        <v>0</v>
      </c>
      <c r="K297" s="604" t="s">
        <v>902</v>
      </c>
      <c r="L297" s="604">
        <f t="shared" si="4"/>
        <v>12</v>
      </c>
    </row>
    <row r="298" spans="1:12" s="514" customFormat="1" ht="13" customHeight="1" x14ac:dyDescent="0.3">
      <c r="A298" s="599" t="s">
        <v>110</v>
      </c>
      <c r="B298" s="599" t="s">
        <v>899</v>
      </c>
      <c r="C298" s="599" t="s">
        <v>6</v>
      </c>
      <c r="D298" s="599" t="s">
        <v>52</v>
      </c>
      <c r="E298" s="599" t="s">
        <v>59</v>
      </c>
      <c r="F298" s="600">
        <v>1</v>
      </c>
      <c r="G298" s="600">
        <v>1</v>
      </c>
      <c r="H298" s="600">
        <v>0</v>
      </c>
      <c r="I298" s="600">
        <v>0</v>
      </c>
      <c r="J298" s="600">
        <v>0</v>
      </c>
      <c r="K298" s="604" t="s">
        <v>902</v>
      </c>
      <c r="L298" s="604">
        <f t="shared" si="4"/>
        <v>12</v>
      </c>
    </row>
    <row r="299" spans="1:12" s="514" customFormat="1" ht="13" customHeight="1" x14ac:dyDescent="0.3">
      <c r="A299" s="599" t="s">
        <v>110</v>
      </c>
      <c r="B299" s="599" t="s">
        <v>899</v>
      </c>
      <c r="C299" s="599" t="s">
        <v>6</v>
      </c>
      <c r="D299" s="599" t="s">
        <v>55</v>
      </c>
      <c r="E299" s="599" t="s">
        <v>54</v>
      </c>
      <c r="F299" s="600">
        <v>5334</v>
      </c>
      <c r="G299" s="600">
        <v>4569</v>
      </c>
      <c r="H299" s="600">
        <v>49</v>
      </c>
      <c r="I299" s="600">
        <v>0</v>
      </c>
      <c r="J299" s="600">
        <v>0</v>
      </c>
      <c r="K299" s="604" t="s">
        <v>902</v>
      </c>
      <c r="L299" s="604">
        <f t="shared" si="4"/>
        <v>12</v>
      </c>
    </row>
    <row r="300" spans="1:12" s="514" customFormat="1" ht="13" customHeight="1" x14ac:dyDescent="0.3">
      <c r="A300" s="601" t="s">
        <v>110</v>
      </c>
      <c r="B300" s="601" t="s">
        <v>899</v>
      </c>
      <c r="C300" s="601" t="s">
        <v>6</v>
      </c>
      <c r="D300" s="601" t="s">
        <v>52</v>
      </c>
      <c r="E300" s="601" t="s">
        <v>61</v>
      </c>
      <c r="F300" s="602">
        <v>19739</v>
      </c>
      <c r="G300" s="602">
        <v>18328</v>
      </c>
      <c r="H300" s="602">
        <v>415</v>
      </c>
      <c r="I300" s="602">
        <v>80</v>
      </c>
      <c r="J300" s="602">
        <v>500637</v>
      </c>
      <c r="K300" s="604" t="s">
        <v>902</v>
      </c>
      <c r="L300" s="604">
        <f t="shared" si="4"/>
        <v>12</v>
      </c>
    </row>
    <row r="301" spans="1:12" s="514" customFormat="1" ht="13" customHeight="1" x14ac:dyDescent="0.3">
      <c r="A301" s="599" t="s">
        <v>110</v>
      </c>
      <c r="B301" s="599" t="s">
        <v>899</v>
      </c>
      <c r="C301" s="599" t="s">
        <v>6</v>
      </c>
      <c r="D301" s="599" t="s">
        <v>55</v>
      </c>
      <c r="E301" s="599" t="s">
        <v>56</v>
      </c>
      <c r="F301" s="600">
        <v>13986</v>
      </c>
      <c r="G301" s="600">
        <v>12263</v>
      </c>
      <c r="H301" s="600">
        <v>60</v>
      </c>
      <c r="I301" s="600">
        <v>0</v>
      </c>
      <c r="J301" s="600">
        <v>0</v>
      </c>
      <c r="K301" s="604" t="s">
        <v>902</v>
      </c>
      <c r="L301" s="604">
        <f t="shared" si="4"/>
        <v>12</v>
      </c>
    </row>
    <row r="302" spans="1:12" s="514" customFormat="1" ht="13" customHeight="1" x14ac:dyDescent="0.3">
      <c r="A302" s="599" t="s">
        <v>110</v>
      </c>
      <c r="B302" s="599" t="s">
        <v>899</v>
      </c>
      <c r="C302" s="599" t="s">
        <v>6</v>
      </c>
      <c r="D302" s="599" t="s">
        <v>4</v>
      </c>
      <c r="E302" s="599" t="s">
        <v>42</v>
      </c>
      <c r="F302" s="600">
        <v>1</v>
      </c>
      <c r="G302" s="600">
        <v>1</v>
      </c>
      <c r="H302" s="600">
        <v>0</v>
      </c>
      <c r="I302" s="600">
        <v>0</v>
      </c>
      <c r="J302" s="600">
        <v>0</v>
      </c>
      <c r="K302" s="604" t="s">
        <v>902</v>
      </c>
      <c r="L302" s="604">
        <f t="shared" si="4"/>
        <v>12</v>
      </c>
    </row>
    <row r="303" spans="1:12" s="514" customFormat="1" ht="13" customHeight="1" x14ac:dyDescent="0.3">
      <c r="A303" s="601" t="s">
        <v>110</v>
      </c>
      <c r="B303" s="601" t="s">
        <v>899</v>
      </c>
      <c r="C303" s="601" t="s">
        <v>6</v>
      </c>
      <c r="D303" s="601" t="s">
        <v>4</v>
      </c>
      <c r="E303" s="601" t="s">
        <v>43</v>
      </c>
      <c r="F303" s="602">
        <v>3493</v>
      </c>
      <c r="G303" s="602">
        <v>1997</v>
      </c>
      <c r="H303" s="602">
        <v>62</v>
      </c>
      <c r="I303" s="602">
        <v>43</v>
      </c>
      <c r="J303" s="602">
        <v>231421.03000000003</v>
      </c>
      <c r="K303" s="604" t="s">
        <v>902</v>
      </c>
      <c r="L303" s="604">
        <f t="shared" si="4"/>
        <v>12</v>
      </c>
    </row>
    <row r="304" spans="1:12" s="514" customFormat="1" ht="13" customHeight="1" x14ac:dyDescent="0.3">
      <c r="A304" s="599" t="s">
        <v>110</v>
      </c>
      <c r="B304" s="599" t="s">
        <v>899</v>
      </c>
      <c r="C304" s="599" t="s">
        <v>6</v>
      </c>
      <c r="D304" s="599" t="s">
        <v>57</v>
      </c>
      <c r="E304" s="599" t="s">
        <v>63</v>
      </c>
      <c r="F304" s="600">
        <v>65599</v>
      </c>
      <c r="G304" s="600">
        <v>57843</v>
      </c>
      <c r="H304" s="600">
        <v>1163</v>
      </c>
      <c r="I304" s="600">
        <v>173</v>
      </c>
      <c r="J304" s="600">
        <v>1064223.82</v>
      </c>
      <c r="K304" s="604" t="s">
        <v>902</v>
      </c>
      <c r="L304" s="604">
        <f t="shared" si="4"/>
        <v>12</v>
      </c>
    </row>
    <row r="305" spans="1:12" s="514" customFormat="1" ht="13" customHeight="1" x14ac:dyDescent="0.3">
      <c r="A305" s="601" t="s">
        <v>110</v>
      </c>
      <c r="B305" s="601" t="s">
        <v>899</v>
      </c>
      <c r="C305" s="601" t="s">
        <v>6</v>
      </c>
      <c r="D305" s="601" t="s">
        <v>52</v>
      </c>
      <c r="E305" s="601" t="s">
        <v>58</v>
      </c>
      <c r="F305" s="602">
        <v>2</v>
      </c>
      <c r="G305" s="602">
        <v>1</v>
      </c>
      <c r="H305" s="602">
        <v>0</v>
      </c>
      <c r="I305" s="602">
        <v>0</v>
      </c>
      <c r="J305" s="602">
        <v>0</v>
      </c>
      <c r="K305" s="604" t="s">
        <v>902</v>
      </c>
      <c r="L305" s="604">
        <f t="shared" si="4"/>
        <v>12</v>
      </c>
    </row>
    <row r="306" spans="1:12" s="514" customFormat="1" ht="13" customHeight="1" x14ac:dyDescent="0.3">
      <c r="A306" s="601" t="s">
        <v>110</v>
      </c>
      <c r="B306" s="601" t="s">
        <v>899</v>
      </c>
      <c r="C306" s="601" t="s">
        <v>7</v>
      </c>
      <c r="D306" s="601" t="s">
        <v>57</v>
      </c>
      <c r="E306" s="601" t="s">
        <v>65</v>
      </c>
      <c r="F306" s="602">
        <v>83283</v>
      </c>
      <c r="G306" s="602">
        <v>77562</v>
      </c>
      <c r="H306" s="602">
        <v>630</v>
      </c>
      <c r="I306" s="602">
        <v>38</v>
      </c>
      <c r="J306" s="602">
        <v>312780</v>
      </c>
      <c r="K306" s="604" t="s">
        <v>902</v>
      </c>
      <c r="L306" s="604">
        <f t="shared" si="4"/>
        <v>12</v>
      </c>
    </row>
    <row r="307" spans="1:12" s="514" customFormat="1" ht="13" customHeight="1" x14ac:dyDescent="0.3">
      <c r="A307" s="599" t="s">
        <v>110</v>
      </c>
      <c r="B307" s="599" t="s">
        <v>899</v>
      </c>
      <c r="C307" s="599" t="s">
        <v>7</v>
      </c>
      <c r="D307" s="599" t="s">
        <v>52</v>
      </c>
      <c r="E307" s="599" t="s">
        <v>61</v>
      </c>
      <c r="F307" s="600">
        <v>81619</v>
      </c>
      <c r="G307" s="600">
        <v>76431</v>
      </c>
      <c r="H307" s="600">
        <v>2195</v>
      </c>
      <c r="I307" s="600">
        <v>199</v>
      </c>
      <c r="J307" s="600">
        <v>2703760</v>
      </c>
      <c r="K307" s="604" t="s">
        <v>902</v>
      </c>
      <c r="L307" s="604">
        <f t="shared" si="4"/>
        <v>12</v>
      </c>
    </row>
    <row r="308" spans="1:12" s="514" customFormat="1" ht="13" customHeight="1" x14ac:dyDescent="0.3">
      <c r="A308" s="601" t="s">
        <v>110</v>
      </c>
      <c r="B308" s="601" t="s">
        <v>899</v>
      </c>
      <c r="C308" s="601" t="s">
        <v>7</v>
      </c>
      <c r="D308" s="601" t="s">
        <v>4</v>
      </c>
      <c r="E308" s="601" t="s">
        <v>41</v>
      </c>
      <c r="F308" s="602">
        <v>109</v>
      </c>
      <c r="G308" s="602">
        <v>75</v>
      </c>
      <c r="H308" s="602">
        <v>2</v>
      </c>
      <c r="I308" s="602">
        <v>0</v>
      </c>
      <c r="J308" s="602">
        <v>0</v>
      </c>
      <c r="K308" s="604" t="s">
        <v>902</v>
      </c>
      <c r="L308" s="604">
        <f t="shared" si="4"/>
        <v>12</v>
      </c>
    </row>
    <row r="309" spans="1:12" s="514" customFormat="1" ht="13" customHeight="1" x14ac:dyDescent="0.3">
      <c r="A309" s="599" t="s">
        <v>110</v>
      </c>
      <c r="B309" s="599" t="s">
        <v>899</v>
      </c>
      <c r="C309" s="599" t="s">
        <v>7</v>
      </c>
      <c r="D309" s="599" t="s">
        <v>57</v>
      </c>
      <c r="E309" s="599" t="s">
        <v>63</v>
      </c>
      <c r="F309" s="600">
        <v>164089</v>
      </c>
      <c r="G309" s="600">
        <v>152644</v>
      </c>
      <c r="H309" s="600">
        <v>1097</v>
      </c>
      <c r="I309" s="600">
        <v>105</v>
      </c>
      <c r="J309" s="600">
        <v>1337280</v>
      </c>
      <c r="K309" s="604" t="s">
        <v>902</v>
      </c>
      <c r="L309" s="604">
        <f t="shared" si="4"/>
        <v>12</v>
      </c>
    </row>
    <row r="310" spans="1:12" s="514" customFormat="1" ht="13" customHeight="1" x14ac:dyDescent="0.3">
      <c r="A310" s="601" t="s">
        <v>110</v>
      </c>
      <c r="B310" s="601" t="s">
        <v>899</v>
      </c>
      <c r="C310" s="601" t="s">
        <v>7</v>
      </c>
      <c r="D310" s="601" t="s">
        <v>4</v>
      </c>
      <c r="E310" s="601" t="s">
        <v>43</v>
      </c>
      <c r="F310" s="602">
        <v>998</v>
      </c>
      <c r="G310" s="602">
        <v>640</v>
      </c>
      <c r="H310" s="602">
        <v>3</v>
      </c>
      <c r="I310" s="602">
        <v>0</v>
      </c>
      <c r="J310" s="602">
        <v>0</v>
      </c>
      <c r="K310" s="604" t="s">
        <v>902</v>
      </c>
      <c r="L310" s="604">
        <f t="shared" si="4"/>
        <v>12</v>
      </c>
    </row>
    <row r="311" spans="1:12" s="514" customFormat="1" ht="13" customHeight="1" x14ac:dyDescent="0.3">
      <c r="A311" s="599" t="s">
        <v>110</v>
      </c>
      <c r="B311" s="599" t="s">
        <v>899</v>
      </c>
      <c r="C311" s="599" t="s">
        <v>7</v>
      </c>
      <c r="D311" s="599" t="s">
        <v>55</v>
      </c>
      <c r="E311" s="599" t="s">
        <v>56</v>
      </c>
      <c r="F311" s="600">
        <v>4</v>
      </c>
      <c r="G311" s="600">
        <v>3</v>
      </c>
      <c r="H311" s="600">
        <v>0</v>
      </c>
      <c r="I311" s="600">
        <v>0</v>
      </c>
      <c r="J311" s="600">
        <v>0</v>
      </c>
      <c r="K311" s="604" t="s">
        <v>902</v>
      </c>
      <c r="L311" s="604">
        <f t="shared" si="4"/>
        <v>12</v>
      </c>
    </row>
    <row r="312" spans="1:12" s="514" customFormat="1" ht="13" customHeight="1" x14ac:dyDescent="0.3">
      <c r="A312" s="601" t="s">
        <v>110</v>
      </c>
      <c r="B312" s="601" t="s">
        <v>899</v>
      </c>
      <c r="C312" s="601" t="s">
        <v>7</v>
      </c>
      <c r="D312" s="601" t="s">
        <v>52</v>
      </c>
      <c r="E312" s="601" t="s">
        <v>58</v>
      </c>
      <c r="F312" s="602">
        <v>2</v>
      </c>
      <c r="G312" s="602">
        <v>2</v>
      </c>
      <c r="H312" s="602">
        <v>0</v>
      </c>
      <c r="I312" s="602">
        <v>0</v>
      </c>
      <c r="J312" s="602">
        <v>0</v>
      </c>
      <c r="K312" s="604" t="s">
        <v>902</v>
      </c>
      <c r="L312" s="604">
        <f t="shared" si="4"/>
        <v>12</v>
      </c>
    </row>
    <row r="313" spans="1:12" s="514" customFormat="1" ht="13" customHeight="1" x14ac:dyDescent="0.3">
      <c r="A313" s="599" t="s">
        <v>110</v>
      </c>
      <c r="B313" s="599" t="s">
        <v>899</v>
      </c>
      <c r="C313" s="599" t="s">
        <v>7</v>
      </c>
      <c r="D313" s="599" t="s">
        <v>52</v>
      </c>
      <c r="E313" s="599" t="s">
        <v>60</v>
      </c>
      <c r="F313" s="600">
        <v>22</v>
      </c>
      <c r="G313" s="600">
        <v>22</v>
      </c>
      <c r="H313" s="600">
        <v>0</v>
      </c>
      <c r="I313" s="600">
        <v>0</v>
      </c>
      <c r="J313" s="600">
        <v>0</v>
      </c>
      <c r="K313" s="604" t="s">
        <v>902</v>
      </c>
      <c r="L313" s="604">
        <f t="shared" si="4"/>
        <v>12</v>
      </c>
    </row>
    <row r="314" spans="1:12" s="514" customFormat="1" ht="13" customHeight="1" x14ac:dyDescent="0.3">
      <c r="A314" s="601" t="s">
        <v>110</v>
      </c>
      <c r="B314" s="601" t="s">
        <v>899</v>
      </c>
      <c r="C314" s="601" t="s">
        <v>7</v>
      </c>
      <c r="D314" s="601" t="s">
        <v>52</v>
      </c>
      <c r="E314" s="601" t="s">
        <v>51</v>
      </c>
      <c r="F314" s="602">
        <v>117</v>
      </c>
      <c r="G314" s="602">
        <v>115</v>
      </c>
      <c r="H314" s="602">
        <v>0</v>
      </c>
      <c r="I314" s="602">
        <v>0</v>
      </c>
      <c r="J314" s="602">
        <v>0</v>
      </c>
      <c r="K314" s="604" t="s">
        <v>902</v>
      </c>
      <c r="L314" s="604">
        <f t="shared" si="4"/>
        <v>12</v>
      </c>
    </row>
    <row r="315" spans="1:12" s="514" customFormat="1" ht="13" customHeight="1" x14ac:dyDescent="0.3">
      <c r="A315" s="599" t="s">
        <v>110</v>
      </c>
      <c r="B315" s="599" t="s">
        <v>899</v>
      </c>
      <c r="C315" s="599" t="s">
        <v>7</v>
      </c>
      <c r="D315" s="599" t="s">
        <v>52</v>
      </c>
      <c r="E315" s="599" t="s">
        <v>59</v>
      </c>
      <c r="F315" s="600">
        <v>14</v>
      </c>
      <c r="G315" s="600">
        <v>11</v>
      </c>
      <c r="H315" s="600">
        <v>0</v>
      </c>
      <c r="I315" s="600">
        <v>0</v>
      </c>
      <c r="J315" s="600">
        <v>0</v>
      </c>
      <c r="K315" s="604" t="s">
        <v>902</v>
      </c>
      <c r="L315" s="604">
        <f t="shared" si="4"/>
        <v>12</v>
      </c>
    </row>
    <row r="316" spans="1:12" s="514" customFormat="1" ht="13" customHeight="1" x14ac:dyDescent="0.3">
      <c r="A316" s="601" t="s">
        <v>110</v>
      </c>
      <c r="B316" s="601" t="s">
        <v>899</v>
      </c>
      <c r="C316" s="601" t="s">
        <v>7</v>
      </c>
      <c r="D316" s="601" t="s">
        <v>57</v>
      </c>
      <c r="E316" s="601" t="s">
        <v>64</v>
      </c>
      <c r="F316" s="602">
        <v>157060</v>
      </c>
      <c r="G316" s="602">
        <v>135546</v>
      </c>
      <c r="H316" s="602">
        <v>508</v>
      </c>
      <c r="I316" s="602">
        <v>11</v>
      </c>
      <c r="J316" s="602">
        <v>91700</v>
      </c>
      <c r="K316" s="604" t="s">
        <v>902</v>
      </c>
      <c r="L316" s="604">
        <f t="shared" si="4"/>
        <v>12</v>
      </c>
    </row>
    <row r="317" spans="1:12" s="514" customFormat="1" ht="13" customHeight="1" x14ac:dyDescent="0.3">
      <c r="A317" s="599" t="s">
        <v>110</v>
      </c>
      <c r="B317" s="599" t="s">
        <v>899</v>
      </c>
      <c r="C317" s="599" t="s">
        <v>7</v>
      </c>
      <c r="D317" s="599" t="s">
        <v>52</v>
      </c>
      <c r="E317" s="599" t="s">
        <v>67</v>
      </c>
      <c r="F317" s="600">
        <v>1</v>
      </c>
      <c r="G317" s="600">
        <v>1</v>
      </c>
      <c r="H317" s="600">
        <v>0</v>
      </c>
      <c r="I317" s="600">
        <v>0</v>
      </c>
      <c r="J317" s="600">
        <v>0</v>
      </c>
      <c r="K317" s="604" t="s">
        <v>902</v>
      </c>
      <c r="L317" s="604">
        <f t="shared" si="4"/>
        <v>12</v>
      </c>
    </row>
    <row r="318" spans="1:12" s="514" customFormat="1" ht="13" customHeight="1" x14ac:dyDescent="0.3">
      <c r="A318" s="599" t="s">
        <v>110</v>
      </c>
      <c r="B318" s="599" t="s">
        <v>905</v>
      </c>
      <c r="C318" s="599" t="s">
        <v>40</v>
      </c>
      <c r="D318" s="599" t="s">
        <v>52</v>
      </c>
      <c r="E318" s="599" t="s">
        <v>67</v>
      </c>
      <c r="F318" s="600">
        <v>20</v>
      </c>
      <c r="G318" s="600">
        <v>6</v>
      </c>
      <c r="H318" s="600">
        <v>0</v>
      </c>
      <c r="I318" s="600">
        <v>0</v>
      </c>
      <c r="J318" s="600">
        <v>0</v>
      </c>
      <c r="K318" s="604" t="s">
        <v>902</v>
      </c>
      <c r="L318" s="604">
        <f t="shared" si="4"/>
        <v>1</v>
      </c>
    </row>
    <row r="319" spans="1:12" s="514" customFormat="1" ht="13" customHeight="1" x14ac:dyDescent="0.3">
      <c r="A319" s="601" t="s">
        <v>110</v>
      </c>
      <c r="B319" s="601" t="s">
        <v>905</v>
      </c>
      <c r="C319" s="601" t="s">
        <v>40</v>
      </c>
      <c r="D319" s="601" t="s">
        <v>4</v>
      </c>
      <c r="E319" s="601" t="s">
        <v>42</v>
      </c>
      <c r="F319" s="602">
        <v>1</v>
      </c>
      <c r="G319" s="602">
        <v>1</v>
      </c>
      <c r="H319" s="602">
        <v>0</v>
      </c>
      <c r="I319" s="602">
        <v>0</v>
      </c>
      <c r="J319" s="602">
        <v>0</v>
      </c>
      <c r="K319" s="604" t="s">
        <v>902</v>
      </c>
      <c r="L319" s="604">
        <f t="shared" si="4"/>
        <v>1</v>
      </c>
    </row>
    <row r="320" spans="1:12" s="514" customFormat="1" ht="13" customHeight="1" x14ac:dyDescent="0.3">
      <c r="A320" s="599" t="s">
        <v>110</v>
      </c>
      <c r="B320" s="599" t="s">
        <v>905</v>
      </c>
      <c r="C320" s="599" t="s">
        <v>40</v>
      </c>
      <c r="D320" s="599" t="s">
        <v>52</v>
      </c>
      <c r="E320" s="599" t="s">
        <v>61</v>
      </c>
      <c r="F320" s="600">
        <v>18382</v>
      </c>
      <c r="G320" s="600">
        <v>17112</v>
      </c>
      <c r="H320" s="600">
        <v>738</v>
      </c>
      <c r="I320" s="600">
        <v>50</v>
      </c>
      <c r="J320" s="600">
        <v>616690</v>
      </c>
      <c r="K320" s="604" t="s">
        <v>902</v>
      </c>
      <c r="L320" s="604">
        <f t="shared" si="4"/>
        <v>1</v>
      </c>
    </row>
    <row r="321" spans="1:12" s="514" customFormat="1" ht="13" customHeight="1" x14ac:dyDescent="0.3">
      <c r="A321" s="601" t="s">
        <v>110</v>
      </c>
      <c r="B321" s="601" t="s">
        <v>905</v>
      </c>
      <c r="C321" s="601" t="s">
        <v>40</v>
      </c>
      <c r="D321" s="601" t="s">
        <v>52</v>
      </c>
      <c r="E321" s="601" t="s">
        <v>53</v>
      </c>
      <c r="F321" s="602">
        <v>59</v>
      </c>
      <c r="G321" s="602">
        <v>36</v>
      </c>
      <c r="H321" s="602">
        <v>0</v>
      </c>
      <c r="I321" s="602">
        <v>0</v>
      </c>
      <c r="J321" s="602">
        <v>0</v>
      </c>
      <c r="K321" s="604" t="s">
        <v>902</v>
      </c>
      <c r="L321" s="604">
        <f t="shared" si="4"/>
        <v>1</v>
      </c>
    </row>
    <row r="322" spans="1:12" s="514" customFormat="1" ht="13" customHeight="1" x14ac:dyDescent="0.3">
      <c r="A322" s="601" t="s">
        <v>110</v>
      </c>
      <c r="B322" s="601" t="s">
        <v>905</v>
      </c>
      <c r="C322" s="601" t="s">
        <v>40</v>
      </c>
      <c r="D322" s="601" t="s">
        <v>52</v>
      </c>
      <c r="E322" s="601" t="s">
        <v>59</v>
      </c>
      <c r="F322" s="602">
        <v>2</v>
      </c>
      <c r="G322" s="602">
        <v>2</v>
      </c>
      <c r="H322" s="602">
        <v>0</v>
      </c>
      <c r="I322" s="602">
        <v>0</v>
      </c>
      <c r="J322" s="602">
        <v>0</v>
      </c>
      <c r="K322" s="604" t="s">
        <v>902</v>
      </c>
      <c r="L322" s="604">
        <f t="shared" si="4"/>
        <v>1</v>
      </c>
    </row>
    <row r="323" spans="1:12" s="514" customFormat="1" ht="13" customHeight="1" x14ac:dyDescent="0.3">
      <c r="A323" s="601" t="s">
        <v>110</v>
      </c>
      <c r="B323" s="601" t="s">
        <v>905</v>
      </c>
      <c r="C323" s="601" t="s">
        <v>40</v>
      </c>
      <c r="D323" s="601" t="s">
        <v>57</v>
      </c>
      <c r="E323" s="601" t="s">
        <v>63</v>
      </c>
      <c r="F323" s="602">
        <v>140011</v>
      </c>
      <c r="G323" s="602">
        <v>133084</v>
      </c>
      <c r="H323" s="602">
        <v>1593</v>
      </c>
      <c r="I323" s="602">
        <v>84</v>
      </c>
      <c r="J323" s="602">
        <v>876815</v>
      </c>
      <c r="K323" s="604" t="s">
        <v>902</v>
      </c>
      <c r="L323" s="604">
        <f t="shared" ref="L323:L386" si="5">MONTH(B323)</f>
        <v>1</v>
      </c>
    </row>
    <row r="324" spans="1:12" s="514" customFormat="1" ht="13" customHeight="1" x14ac:dyDescent="0.3">
      <c r="A324" s="599" t="s">
        <v>110</v>
      </c>
      <c r="B324" s="599" t="s">
        <v>905</v>
      </c>
      <c r="C324" s="599" t="s">
        <v>40</v>
      </c>
      <c r="D324" s="599" t="s">
        <v>4</v>
      </c>
      <c r="E324" s="599" t="s">
        <v>43</v>
      </c>
      <c r="F324" s="600">
        <v>6575</v>
      </c>
      <c r="G324" s="600">
        <v>3095</v>
      </c>
      <c r="H324" s="600">
        <v>24</v>
      </c>
      <c r="I324" s="600">
        <v>10</v>
      </c>
      <c r="J324" s="600">
        <v>164400</v>
      </c>
      <c r="K324" s="604" t="s">
        <v>902</v>
      </c>
      <c r="L324" s="604">
        <f t="shared" si="5"/>
        <v>1</v>
      </c>
    </row>
    <row r="325" spans="1:12" s="514" customFormat="1" ht="13" customHeight="1" x14ac:dyDescent="0.3">
      <c r="A325" s="601" t="s">
        <v>110</v>
      </c>
      <c r="B325" s="601" t="s">
        <v>905</v>
      </c>
      <c r="C325" s="601" t="s">
        <v>40</v>
      </c>
      <c r="D325" s="601" t="s">
        <v>57</v>
      </c>
      <c r="E325" s="601" t="s">
        <v>65</v>
      </c>
      <c r="F325" s="602">
        <v>26483</v>
      </c>
      <c r="G325" s="602">
        <v>23247</v>
      </c>
      <c r="H325" s="602">
        <v>426</v>
      </c>
      <c r="I325" s="602">
        <v>35</v>
      </c>
      <c r="J325" s="602">
        <v>339420</v>
      </c>
      <c r="K325" s="604" t="s">
        <v>902</v>
      </c>
      <c r="L325" s="604">
        <f t="shared" si="5"/>
        <v>1</v>
      </c>
    </row>
    <row r="326" spans="1:12" s="514" customFormat="1" ht="13" customHeight="1" x14ac:dyDescent="0.3">
      <c r="A326" s="601" t="s">
        <v>110</v>
      </c>
      <c r="B326" s="601" t="s">
        <v>905</v>
      </c>
      <c r="C326" s="601" t="s">
        <v>40</v>
      </c>
      <c r="D326" s="601" t="s">
        <v>52</v>
      </c>
      <c r="E326" s="601" t="s">
        <v>51</v>
      </c>
      <c r="F326" s="602">
        <v>2</v>
      </c>
      <c r="G326" s="602">
        <v>0</v>
      </c>
      <c r="H326" s="602">
        <v>0</v>
      </c>
      <c r="I326" s="602">
        <v>0</v>
      </c>
      <c r="J326" s="602">
        <v>0</v>
      </c>
      <c r="K326" s="604" t="s">
        <v>902</v>
      </c>
      <c r="L326" s="604">
        <f t="shared" si="5"/>
        <v>1</v>
      </c>
    </row>
    <row r="327" spans="1:12" s="514" customFormat="1" ht="13" customHeight="1" x14ac:dyDescent="0.3">
      <c r="A327" s="599" t="s">
        <v>110</v>
      </c>
      <c r="B327" s="599" t="s">
        <v>905</v>
      </c>
      <c r="C327" s="599" t="s">
        <v>40</v>
      </c>
      <c r="D327" s="599" t="s">
        <v>4</v>
      </c>
      <c r="E327" s="599" t="s">
        <v>41</v>
      </c>
      <c r="F327" s="600">
        <v>56</v>
      </c>
      <c r="G327" s="600">
        <v>36</v>
      </c>
      <c r="H327" s="600">
        <v>0</v>
      </c>
      <c r="I327" s="600">
        <v>0</v>
      </c>
      <c r="J327" s="600">
        <v>0</v>
      </c>
      <c r="K327" s="604" t="s">
        <v>902</v>
      </c>
      <c r="L327" s="604">
        <f t="shared" si="5"/>
        <v>1</v>
      </c>
    </row>
    <row r="328" spans="1:12" s="514" customFormat="1" ht="13" customHeight="1" x14ac:dyDescent="0.3">
      <c r="A328" s="601" t="s">
        <v>110</v>
      </c>
      <c r="B328" s="601" t="s">
        <v>905</v>
      </c>
      <c r="C328" s="601" t="s">
        <v>40</v>
      </c>
      <c r="D328" s="601" t="s">
        <v>57</v>
      </c>
      <c r="E328" s="601" t="s">
        <v>64</v>
      </c>
      <c r="F328" s="602">
        <v>274209</v>
      </c>
      <c r="G328" s="602">
        <v>243366</v>
      </c>
      <c r="H328" s="602">
        <v>1737</v>
      </c>
      <c r="I328" s="602">
        <v>57</v>
      </c>
      <c r="J328" s="602">
        <v>638960</v>
      </c>
      <c r="K328" s="604" t="s">
        <v>902</v>
      </c>
      <c r="L328" s="604">
        <f t="shared" si="5"/>
        <v>1</v>
      </c>
    </row>
    <row r="329" spans="1:12" s="514" customFormat="1" ht="13" customHeight="1" x14ac:dyDescent="0.3">
      <c r="A329" s="599" t="s">
        <v>110</v>
      </c>
      <c r="B329" s="599" t="s">
        <v>905</v>
      </c>
      <c r="C329" s="599" t="s">
        <v>40</v>
      </c>
      <c r="D329" s="599" t="s">
        <v>55</v>
      </c>
      <c r="E329" s="599" t="s">
        <v>56</v>
      </c>
      <c r="F329" s="600">
        <v>150461</v>
      </c>
      <c r="G329" s="600">
        <v>135254</v>
      </c>
      <c r="H329" s="600">
        <v>41</v>
      </c>
      <c r="I329" s="600">
        <v>0</v>
      </c>
      <c r="J329" s="600">
        <v>0</v>
      </c>
      <c r="K329" s="604" t="s">
        <v>902</v>
      </c>
      <c r="L329" s="604">
        <f t="shared" si="5"/>
        <v>1</v>
      </c>
    </row>
    <row r="330" spans="1:12" s="514" customFormat="1" ht="13" customHeight="1" x14ac:dyDescent="0.3">
      <c r="A330" s="599" t="s">
        <v>110</v>
      </c>
      <c r="B330" s="599" t="s">
        <v>905</v>
      </c>
      <c r="C330" s="599" t="s">
        <v>6</v>
      </c>
      <c r="D330" s="599" t="s">
        <v>4</v>
      </c>
      <c r="E330" s="599" t="s">
        <v>41</v>
      </c>
      <c r="F330" s="600">
        <v>24</v>
      </c>
      <c r="G330" s="600">
        <v>15</v>
      </c>
      <c r="H330" s="600">
        <v>1</v>
      </c>
      <c r="I330" s="600">
        <v>0</v>
      </c>
      <c r="J330" s="600">
        <v>0</v>
      </c>
      <c r="K330" s="604" t="s">
        <v>902</v>
      </c>
      <c r="L330" s="604">
        <f t="shared" si="5"/>
        <v>1</v>
      </c>
    </row>
    <row r="331" spans="1:12" s="514" customFormat="1" ht="13" customHeight="1" x14ac:dyDescent="0.3">
      <c r="A331" s="601" t="s">
        <v>110</v>
      </c>
      <c r="B331" s="601" t="s">
        <v>905</v>
      </c>
      <c r="C331" s="601" t="s">
        <v>6</v>
      </c>
      <c r="D331" s="601" t="s">
        <v>57</v>
      </c>
      <c r="E331" s="601" t="s">
        <v>63</v>
      </c>
      <c r="F331" s="602">
        <v>94433</v>
      </c>
      <c r="G331" s="602">
        <v>85373</v>
      </c>
      <c r="H331" s="602">
        <v>1113</v>
      </c>
      <c r="I331" s="602">
        <v>107</v>
      </c>
      <c r="J331" s="602">
        <v>827323.05</v>
      </c>
      <c r="K331" s="604" t="s">
        <v>902</v>
      </c>
      <c r="L331" s="604">
        <f t="shared" si="5"/>
        <v>1</v>
      </c>
    </row>
    <row r="332" spans="1:12" s="514" customFormat="1" ht="13" customHeight="1" x14ac:dyDescent="0.3">
      <c r="A332" s="599" t="s">
        <v>110</v>
      </c>
      <c r="B332" s="599" t="s">
        <v>905</v>
      </c>
      <c r="C332" s="599" t="s">
        <v>6</v>
      </c>
      <c r="D332" s="599" t="s">
        <v>57</v>
      </c>
      <c r="E332" s="599" t="s">
        <v>65</v>
      </c>
      <c r="F332" s="600">
        <v>72257</v>
      </c>
      <c r="G332" s="600">
        <v>67945</v>
      </c>
      <c r="H332" s="600">
        <v>733</v>
      </c>
      <c r="I332" s="600">
        <v>66</v>
      </c>
      <c r="J332" s="600">
        <v>463160</v>
      </c>
      <c r="K332" s="604" t="s">
        <v>902</v>
      </c>
      <c r="L332" s="604">
        <f t="shared" si="5"/>
        <v>1</v>
      </c>
    </row>
    <row r="333" spans="1:12" s="514" customFormat="1" ht="13" customHeight="1" x14ac:dyDescent="0.3">
      <c r="A333" s="599" t="s">
        <v>110</v>
      </c>
      <c r="B333" s="599" t="s">
        <v>905</v>
      </c>
      <c r="C333" s="599" t="s">
        <v>6</v>
      </c>
      <c r="D333" s="599" t="s">
        <v>4</v>
      </c>
      <c r="E333" s="599" t="s">
        <v>43</v>
      </c>
      <c r="F333" s="600">
        <v>10273</v>
      </c>
      <c r="G333" s="600">
        <v>5121</v>
      </c>
      <c r="H333" s="600">
        <v>24</v>
      </c>
      <c r="I333" s="600">
        <v>8</v>
      </c>
      <c r="J333" s="600">
        <v>40860</v>
      </c>
      <c r="K333" s="604" t="s">
        <v>902</v>
      </c>
      <c r="L333" s="604">
        <f t="shared" si="5"/>
        <v>1</v>
      </c>
    </row>
    <row r="334" spans="1:12" s="514" customFormat="1" ht="13" customHeight="1" x14ac:dyDescent="0.3">
      <c r="A334" s="601" t="s">
        <v>110</v>
      </c>
      <c r="B334" s="601" t="s">
        <v>905</v>
      </c>
      <c r="C334" s="601" t="s">
        <v>6</v>
      </c>
      <c r="D334" s="601" t="s">
        <v>52</v>
      </c>
      <c r="E334" s="601" t="s">
        <v>61</v>
      </c>
      <c r="F334" s="602">
        <v>13</v>
      </c>
      <c r="G334" s="602">
        <v>9</v>
      </c>
      <c r="H334" s="602">
        <v>0</v>
      </c>
      <c r="I334" s="602">
        <v>0</v>
      </c>
      <c r="J334" s="602">
        <v>0</v>
      </c>
      <c r="K334" s="604" t="s">
        <v>902</v>
      </c>
      <c r="L334" s="604">
        <f t="shared" si="5"/>
        <v>1</v>
      </c>
    </row>
    <row r="335" spans="1:12" s="514" customFormat="1" ht="13" customHeight="1" x14ac:dyDescent="0.3">
      <c r="A335" s="599" t="s">
        <v>110</v>
      </c>
      <c r="B335" s="599" t="s">
        <v>905</v>
      </c>
      <c r="C335" s="599" t="s">
        <v>6</v>
      </c>
      <c r="D335" s="599" t="s">
        <v>55</v>
      </c>
      <c r="E335" s="599" t="s">
        <v>56</v>
      </c>
      <c r="F335" s="600">
        <v>1242</v>
      </c>
      <c r="G335" s="600">
        <v>902</v>
      </c>
      <c r="H335" s="600">
        <v>3</v>
      </c>
      <c r="I335" s="600">
        <v>0</v>
      </c>
      <c r="J335" s="600">
        <v>0</v>
      </c>
      <c r="K335" s="604" t="s">
        <v>902</v>
      </c>
      <c r="L335" s="604">
        <f t="shared" si="5"/>
        <v>1</v>
      </c>
    </row>
    <row r="336" spans="1:12" s="514" customFormat="1" ht="13" customHeight="1" x14ac:dyDescent="0.3">
      <c r="A336" s="599" t="s">
        <v>110</v>
      </c>
      <c r="B336" s="599" t="s">
        <v>905</v>
      </c>
      <c r="C336" s="599" t="s">
        <v>6</v>
      </c>
      <c r="D336" s="599" t="s">
        <v>57</v>
      </c>
      <c r="E336" s="599" t="s">
        <v>64</v>
      </c>
      <c r="F336" s="600">
        <v>82727</v>
      </c>
      <c r="G336" s="600">
        <v>72092</v>
      </c>
      <c r="H336" s="600">
        <v>717</v>
      </c>
      <c r="I336" s="600">
        <v>35</v>
      </c>
      <c r="J336" s="600">
        <v>308808.05</v>
      </c>
      <c r="K336" s="604" t="s">
        <v>902</v>
      </c>
      <c r="L336" s="604">
        <f t="shared" si="5"/>
        <v>1</v>
      </c>
    </row>
    <row r="337" spans="1:12" s="514" customFormat="1" ht="13" customHeight="1" x14ac:dyDescent="0.3">
      <c r="A337" s="601" t="s">
        <v>110</v>
      </c>
      <c r="B337" s="601" t="s">
        <v>905</v>
      </c>
      <c r="C337" s="601" t="s">
        <v>6</v>
      </c>
      <c r="D337" s="601" t="s">
        <v>52</v>
      </c>
      <c r="E337" s="601" t="s">
        <v>53</v>
      </c>
      <c r="F337" s="602">
        <v>1</v>
      </c>
      <c r="G337" s="602">
        <v>1</v>
      </c>
      <c r="H337" s="602">
        <v>0</v>
      </c>
      <c r="I337" s="602">
        <v>0</v>
      </c>
      <c r="J337" s="602">
        <v>0</v>
      </c>
      <c r="K337" s="604" t="s">
        <v>902</v>
      </c>
      <c r="L337" s="604">
        <f t="shared" si="5"/>
        <v>1</v>
      </c>
    </row>
    <row r="338" spans="1:12" s="514" customFormat="1" ht="13" customHeight="1" x14ac:dyDescent="0.3">
      <c r="A338" s="599" t="s">
        <v>110</v>
      </c>
      <c r="B338" s="599" t="s">
        <v>905</v>
      </c>
      <c r="C338" s="599" t="s">
        <v>6</v>
      </c>
      <c r="D338" s="599" t="s">
        <v>55</v>
      </c>
      <c r="E338" s="599" t="s">
        <v>54</v>
      </c>
      <c r="F338" s="600">
        <v>14654</v>
      </c>
      <c r="G338" s="600">
        <v>12717</v>
      </c>
      <c r="H338" s="600">
        <v>117</v>
      </c>
      <c r="I338" s="600">
        <v>0</v>
      </c>
      <c r="J338" s="600">
        <v>0</v>
      </c>
      <c r="K338" s="604" t="s">
        <v>902</v>
      </c>
      <c r="L338" s="604">
        <f t="shared" si="5"/>
        <v>1</v>
      </c>
    </row>
    <row r="339" spans="1:12" s="514" customFormat="1" ht="13" customHeight="1" x14ac:dyDescent="0.3">
      <c r="A339" s="601" t="s">
        <v>110</v>
      </c>
      <c r="B339" s="601" t="s">
        <v>905</v>
      </c>
      <c r="C339" s="601" t="s">
        <v>7</v>
      </c>
      <c r="D339" s="601" t="s">
        <v>57</v>
      </c>
      <c r="E339" s="601" t="s">
        <v>65</v>
      </c>
      <c r="F339" s="602">
        <v>59601</v>
      </c>
      <c r="G339" s="602">
        <v>54892</v>
      </c>
      <c r="H339" s="602">
        <v>536</v>
      </c>
      <c r="I339" s="602">
        <v>38</v>
      </c>
      <c r="J339" s="602">
        <v>525000</v>
      </c>
      <c r="K339" s="604" t="s">
        <v>902</v>
      </c>
      <c r="L339" s="604">
        <f t="shared" si="5"/>
        <v>1</v>
      </c>
    </row>
    <row r="340" spans="1:12" s="514" customFormat="1" ht="13" customHeight="1" x14ac:dyDescent="0.3">
      <c r="A340" s="599" t="s">
        <v>110</v>
      </c>
      <c r="B340" s="599" t="s">
        <v>905</v>
      </c>
      <c r="C340" s="599" t="s">
        <v>7</v>
      </c>
      <c r="D340" s="599" t="s">
        <v>52</v>
      </c>
      <c r="E340" s="599" t="s">
        <v>58</v>
      </c>
      <c r="F340" s="600">
        <v>1</v>
      </c>
      <c r="G340" s="600">
        <v>0</v>
      </c>
      <c r="H340" s="600">
        <v>0</v>
      </c>
      <c r="I340" s="600">
        <v>0</v>
      </c>
      <c r="J340" s="600">
        <v>0</v>
      </c>
      <c r="K340" s="604" t="s">
        <v>902</v>
      </c>
      <c r="L340" s="604">
        <f t="shared" si="5"/>
        <v>1</v>
      </c>
    </row>
    <row r="341" spans="1:12" s="514" customFormat="1" ht="13" customHeight="1" x14ac:dyDescent="0.3">
      <c r="A341" s="601" t="s">
        <v>110</v>
      </c>
      <c r="B341" s="601" t="s">
        <v>905</v>
      </c>
      <c r="C341" s="601" t="s">
        <v>7</v>
      </c>
      <c r="D341" s="601" t="s">
        <v>55</v>
      </c>
      <c r="E341" s="601" t="s">
        <v>56</v>
      </c>
      <c r="F341" s="602">
        <v>3</v>
      </c>
      <c r="G341" s="602">
        <v>3</v>
      </c>
      <c r="H341" s="602">
        <v>0</v>
      </c>
      <c r="I341" s="602">
        <v>0</v>
      </c>
      <c r="J341" s="602">
        <v>0</v>
      </c>
      <c r="K341" s="604" t="s">
        <v>902</v>
      </c>
      <c r="L341" s="604">
        <f t="shared" si="5"/>
        <v>1</v>
      </c>
    </row>
    <row r="342" spans="1:12" s="514" customFormat="1" ht="13" customHeight="1" x14ac:dyDescent="0.3">
      <c r="A342" s="599" t="s">
        <v>110</v>
      </c>
      <c r="B342" s="599" t="s">
        <v>905</v>
      </c>
      <c r="C342" s="599" t="s">
        <v>7</v>
      </c>
      <c r="D342" s="599" t="s">
        <v>57</v>
      </c>
      <c r="E342" s="599" t="s">
        <v>64</v>
      </c>
      <c r="F342" s="600">
        <v>130974</v>
      </c>
      <c r="G342" s="600">
        <v>111202</v>
      </c>
      <c r="H342" s="600">
        <v>483</v>
      </c>
      <c r="I342" s="600">
        <v>15</v>
      </c>
      <c r="J342" s="600">
        <v>156300</v>
      </c>
      <c r="K342" s="604" t="s">
        <v>902</v>
      </c>
      <c r="L342" s="604">
        <f t="shared" si="5"/>
        <v>1</v>
      </c>
    </row>
    <row r="343" spans="1:12" s="514" customFormat="1" ht="13" customHeight="1" x14ac:dyDescent="0.3">
      <c r="A343" s="601" t="s">
        <v>110</v>
      </c>
      <c r="B343" s="601" t="s">
        <v>905</v>
      </c>
      <c r="C343" s="601" t="s">
        <v>7</v>
      </c>
      <c r="D343" s="601" t="s">
        <v>4</v>
      </c>
      <c r="E343" s="601" t="s">
        <v>41</v>
      </c>
      <c r="F343" s="602">
        <v>88</v>
      </c>
      <c r="G343" s="602">
        <v>65</v>
      </c>
      <c r="H343" s="602">
        <v>3</v>
      </c>
      <c r="I343" s="602">
        <v>0</v>
      </c>
      <c r="J343" s="602">
        <v>0</v>
      </c>
      <c r="K343" s="604" t="s">
        <v>902</v>
      </c>
      <c r="L343" s="604">
        <f t="shared" si="5"/>
        <v>1</v>
      </c>
    </row>
    <row r="344" spans="1:12" s="514" customFormat="1" ht="13" customHeight="1" x14ac:dyDescent="0.3">
      <c r="A344" s="599" t="s">
        <v>110</v>
      </c>
      <c r="B344" s="599" t="s">
        <v>905</v>
      </c>
      <c r="C344" s="599" t="s">
        <v>7</v>
      </c>
      <c r="D344" s="599" t="s">
        <v>52</v>
      </c>
      <c r="E344" s="599" t="s">
        <v>60</v>
      </c>
      <c r="F344" s="600">
        <v>9</v>
      </c>
      <c r="G344" s="600">
        <v>9</v>
      </c>
      <c r="H344" s="600">
        <v>0</v>
      </c>
      <c r="I344" s="600">
        <v>0</v>
      </c>
      <c r="J344" s="600">
        <v>0</v>
      </c>
      <c r="K344" s="604" t="s">
        <v>902</v>
      </c>
      <c r="L344" s="604">
        <f t="shared" si="5"/>
        <v>1</v>
      </c>
    </row>
    <row r="345" spans="1:12" s="514" customFormat="1" ht="13" customHeight="1" x14ac:dyDescent="0.3">
      <c r="A345" s="601" t="s">
        <v>110</v>
      </c>
      <c r="B345" s="601" t="s">
        <v>905</v>
      </c>
      <c r="C345" s="601" t="s">
        <v>7</v>
      </c>
      <c r="D345" s="601" t="s">
        <v>52</v>
      </c>
      <c r="E345" s="601" t="s">
        <v>51</v>
      </c>
      <c r="F345" s="602">
        <v>99</v>
      </c>
      <c r="G345" s="602">
        <v>98</v>
      </c>
      <c r="H345" s="602">
        <v>0</v>
      </c>
      <c r="I345" s="602">
        <v>0</v>
      </c>
      <c r="J345" s="602">
        <v>0</v>
      </c>
      <c r="K345" s="604" t="s">
        <v>902</v>
      </c>
      <c r="L345" s="604">
        <f t="shared" si="5"/>
        <v>1</v>
      </c>
    </row>
    <row r="346" spans="1:12" s="514" customFormat="1" ht="13" customHeight="1" x14ac:dyDescent="0.3">
      <c r="A346" s="599" t="s">
        <v>110</v>
      </c>
      <c r="B346" s="599" t="s">
        <v>905</v>
      </c>
      <c r="C346" s="599" t="s">
        <v>7</v>
      </c>
      <c r="D346" s="599" t="s">
        <v>57</v>
      </c>
      <c r="E346" s="599" t="s">
        <v>63</v>
      </c>
      <c r="F346" s="600">
        <v>106192</v>
      </c>
      <c r="G346" s="600">
        <v>96802</v>
      </c>
      <c r="H346" s="600">
        <v>939</v>
      </c>
      <c r="I346" s="600">
        <v>116</v>
      </c>
      <c r="J346" s="600">
        <v>1468200</v>
      </c>
      <c r="K346" s="604" t="s">
        <v>902</v>
      </c>
      <c r="L346" s="604">
        <f t="shared" si="5"/>
        <v>1</v>
      </c>
    </row>
    <row r="347" spans="1:12" s="514" customFormat="1" ht="13" customHeight="1" x14ac:dyDescent="0.3">
      <c r="A347" s="601" t="s">
        <v>110</v>
      </c>
      <c r="B347" s="601" t="s">
        <v>905</v>
      </c>
      <c r="C347" s="601" t="s">
        <v>7</v>
      </c>
      <c r="D347" s="601" t="s">
        <v>52</v>
      </c>
      <c r="E347" s="601" t="s">
        <v>61</v>
      </c>
      <c r="F347" s="602">
        <v>56473</v>
      </c>
      <c r="G347" s="602">
        <v>52917</v>
      </c>
      <c r="H347" s="602">
        <v>1380</v>
      </c>
      <c r="I347" s="602">
        <v>167</v>
      </c>
      <c r="J347" s="602">
        <v>1903210</v>
      </c>
      <c r="K347" s="604" t="s">
        <v>902</v>
      </c>
      <c r="L347" s="604">
        <f t="shared" si="5"/>
        <v>1</v>
      </c>
    </row>
    <row r="348" spans="1:12" s="514" customFormat="1" ht="13" customHeight="1" x14ac:dyDescent="0.3">
      <c r="A348" s="599" t="s">
        <v>110</v>
      </c>
      <c r="B348" s="599" t="s">
        <v>905</v>
      </c>
      <c r="C348" s="599" t="s">
        <v>7</v>
      </c>
      <c r="D348" s="599" t="s">
        <v>4</v>
      </c>
      <c r="E348" s="599" t="s">
        <v>43</v>
      </c>
      <c r="F348" s="600">
        <v>946</v>
      </c>
      <c r="G348" s="600">
        <v>601</v>
      </c>
      <c r="H348" s="600">
        <v>0</v>
      </c>
      <c r="I348" s="600">
        <v>0</v>
      </c>
      <c r="J348" s="600">
        <v>0</v>
      </c>
      <c r="K348" s="604" t="s">
        <v>902</v>
      </c>
      <c r="L348" s="604">
        <f t="shared" si="5"/>
        <v>1</v>
      </c>
    </row>
    <row r="349" spans="1:12" s="514" customFormat="1" ht="13" customHeight="1" x14ac:dyDescent="0.3">
      <c r="A349" s="601" t="s">
        <v>110</v>
      </c>
      <c r="B349" s="601" t="s">
        <v>906</v>
      </c>
      <c r="C349" s="601" t="s">
        <v>40</v>
      </c>
      <c r="D349" s="601" t="s">
        <v>52</v>
      </c>
      <c r="E349" s="601" t="s">
        <v>67</v>
      </c>
      <c r="F349" s="602">
        <v>4</v>
      </c>
      <c r="G349" s="602">
        <v>4</v>
      </c>
      <c r="H349" s="602">
        <v>0</v>
      </c>
      <c r="I349" s="602">
        <v>0</v>
      </c>
      <c r="J349" s="602">
        <v>0</v>
      </c>
      <c r="K349" s="604" t="s">
        <v>902</v>
      </c>
      <c r="L349" s="604">
        <f t="shared" si="5"/>
        <v>2</v>
      </c>
    </row>
    <row r="350" spans="1:12" s="514" customFormat="1" ht="13" customHeight="1" x14ac:dyDescent="0.3">
      <c r="A350" s="599" t="s">
        <v>110</v>
      </c>
      <c r="B350" s="599" t="s">
        <v>906</v>
      </c>
      <c r="C350" s="599" t="s">
        <v>40</v>
      </c>
      <c r="D350" s="599" t="s">
        <v>57</v>
      </c>
      <c r="E350" s="599" t="s">
        <v>63</v>
      </c>
      <c r="F350" s="600">
        <v>84287</v>
      </c>
      <c r="G350" s="600">
        <v>80614</v>
      </c>
      <c r="H350" s="600">
        <v>1669</v>
      </c>
      <c r="I350" s="600">
        <v>83</v>
      </c>
      <c r="J350" s="600">
        <v>1123940</v>
      </c>
      <c r="K350" s="604" t="s">
        <v>902</v>
      </c>
      <c r="L350" s="604">
        <f t="shared" si="5"/>
        <v>2</v>
      </c>
    </row>
    <row r="351" spans="1:12" s="514" customFormat="1" ht="13" customHeight="1" x14ac:dyDescent="0.3">
      <c r="A351" s="601" t="s">
        <v>110</v>
      </c>
      <c r="B351" s="601" t="s">
        <v>906</v>
      </c>
      <c r="C351" s="601" t="s">
        <v>40</v>
      </c>
      <c r="D351" s="601" t="s">
        <v>55</v>
      </c>
      <c r="E351" s="601" t="s">
        <v>54</v>
      </c>
      <c r="F351" s="602">
        <v>53</v>
      </c>
      <c r="G351" s="602">
        <v>31</v>
      </c>
      <c r="H351" s="602">
        <v>0</v>
      </c>
      <c r="I351" s="602">
        <v>0</v>
      </c>
      <c r="J351" s="602">
        <v>0</v>
      </c>
      <c r="K351" s="604" t="s">
        <v>902</v>
      </c>
      <c r="L351" s="604">
        <f t="shared" si="5"/>
        <v>2</v>
      </c>
    </row>
    <row r="352" spans="1:12" s="514" customFormat="1" ht="13" customHeight="1" x14ac:dyDescent="0.3">
      <c r="A352" s="599" t="s">
        <v>110</v>
      </c>
      <c r="B352" s="599" t="s">
        <v>906</v>
      </c>
      <c r="C352" s="599" t="s">
        <v>40</v>
      </c>
      <c r="D352" s="599" t="s">
        <v>4</v>
      </c>
      <c r="E352" s="599" t="s">
        <v>42</v>
      </c>
      <c r="F352" s="600">
        <v>2</v>
      </c>
      <c r="G352" s="600">
        <v>2</v>
      </c>
      <c r="H352" s="600">
        <v>0</v>
      </c>
      <c r="I352" s="600">
        <v>0</v>
      </c>
      <c r="J352" s="600">
        <v>0</v>
      </c>
      <c r="K352" s="604" t="s">
        <v>902</v>
      </c>
      <c r="L352" s="604">
        <f t="shared" si="5"/>
        <v>2</v>
      </c>
    </row>
    <row r="353" spans="1:12" s="514" customFormat="1" ht="13" customHeight="1" x14ac:dyDescent="0.3">
      <c r="A353" s="599" t="s">
        <v>110</v>
      </c>
      <c r="B353" s="599" t="s">
        <v>906</v>
      </c>
      <c r="C353" s="599" t="s">
        <v>40</v>
      </c>
      <c r="D353" s="599" t="s">
        <v>4</v>
      </c>
      <c r="E353" s="599" t="s">
        <v>43</v>
      </c>
      <c r="F353" s="600">
        <v>2248</v>
      </c>
      <c r="G353" s="600">
        <v>1329</v>
      </c>
      <c r="H353" s="600">
        <v>13</v>
      </c>
      <c r="I353" s="600">
        <v>3</v>
      </c>
      <c r="J353" s="600">
        <v>16055</v>
      </c>
      <c r="K353" s="604" t="s">
        <v>902</v>
      </c>
      <c r="L353" s="604">
        <f t="shared" si="5"/>
        <v>2</v>
      </c>
    </row>
    <row r="354" spans="1:12" s="514" customFormat="1" ht="13" customHeight="1" x14ac:dyDescent="0.3">
      <c r="A354" s="601" t="s">
        <v>110</v>
      </c>
      <c r="B354" s="601" t="s">
        <v>906</v>
      </c>
      <c r="C354" s="601" t="s">
        <v>40</v>
      </c>
      <c r="D354" s="601" t="s">
        <v>57</v>
      </c>
      <c r="E354" s="601" t="s">
        <v>64</v>
      </c>
      <c r="F354" s="602">
        <v>159032</v>
      </c>
      <c r="G354" s="602">
        <v>143375</v>
      </c>
      <c r="H354" s="602">
        <v>1630</v>
      </c>
      <c r="I354" s="602">
        <v>41</v>
      </c>
      <c r="J354" s="602">
        <v>524750</v>
      </c>
      <c r="K354" s="604" t="s">
        <v>902</v>
      </c>
      <c r="L354" s="604">
        <f t="shared" si="5"/>
        <v>2</v>
      </c>
    </row>
    <row r="355" spans="1:12" s="514" customFormat="1" ht="13" customHeight="1" x14ac:dyDescent="0.3">
      <c r="A355" s="599" t="s">
        <v>110</v>
      </c>
      <c r="B355" s="599" t="s">
        <v>906</v>
      </c>
      <c r="C355" s="599" t="s">
        <v>40</v>
      </c>
      <c r="D355" s="599" t="s">
        <v>52</v>
      </c>
      <c r="E355" s="599" t="s">
        <v>53</v>
      </c>
      <c r="F355" s="600">
        <v>1</v>
      </c>
      <c r="G355" s="600">
        <v>0</v>
      </c>
      <c r="H355" s="600">
        <v>0</v>
      </c>
      <c r="I355" s="600">
        <v>0</v>
      </c>
      <c r="J355" s="600">
        <v>0</v>
      </c>
      <c r="K355" s="604" t="s">
        <v>902</v>
      </c>
      <c r="L355" s="604">
        <f t="shared" si="5"/>
        <v>2</v>
      </c>
    </row>
    <row r="356" spans="1:12" s="514" customFormat="1" ht="13" customHeight="1" x14ac:dyDescent="0.3">
      <c r="A356" s="601" t="s">
        <v>110</v>
      </c>
      <c r="B356" s="601" t="s">
        <v>906</v>
      </c>
      <c r="C356" s="601" t="s">
        <v>40</v>
      </c>
      <c r="D356" s="601" t="s">
        <v>55</v>
      </c>
      <c r="E356" s="601" t="s">
        <v>56</v>
      </c>
      <c r="F356" s="602">
        <v>4</v>
      </c>
      <c r="G356" s="602">
        <v>2</v>
      </c>
      <c r="H356" s="602">
        <v>0</v>
      </c>
      <c r="I356" s="602">
        <v>0</v>
      </c>
      <c r="J356" s="602">
        <v>0</v>
      </c>
      <c r="K356" s="604" t="s">
        <v>902</v>
      </c>
      <c r="L356" s="604">
        <f t="shared" si="5"/>
        <v>2</v>
      </c>
    </row>
    <row r="357" spans="1:12" s="514" customFormat="1" ht="13" customHeight="1" x14ac:dyDescent="0.3">
      <c r="A357" s="599" t="s">
        <v>110</v>
      </c>
      <c r="B357" s="599" t="s">
        <v>906</v>
      </c>
      <c r="C357" s="599" t="s">
        <v>40</v>
      </c>
      <c r="D357" s="599" t="s">
        <v>52</v>
      </c>
      <c r="E357" s="599" t="s">
        <v>61</v>
      </c>
      <c r="F357" s="600">
        <v>11990</v>
      </c>
      <c r="G357" s="600">
        <v>11186</v>
      </c>
      <c r="H357" s="600">
        <v>564</v>
      </c>
      <c r="I357" s="600">
        <v>32</v>
      </c>
      <c r="J357" s="600">
        <v>613195</v>
      </c>
      <c r="K357" s="604" t="s">
        <v>902</v>
      </c>
      <c r="L357" s="604">
        <f t="shared" si="5"/>
        <v>2</v>
      </c>
    </row>
    <row r="358" spans="1:12" s="514" customFormat="1" ht="13" customHeight="1" x14ac:dyDescent="0.3">
      <c r="A358" s="601" t="s">
        <v>110</v>
      </c>
      <c r="B358" s="601" t="s">
        <v>906</v>
      </c>
      <c r="C358" s="601" t="s">
        <v>40</v>
      </c>
      <c r="D358" s="601" t="s">
        <v>57</v>
      </c>
      <c r="E358" s="601" t="s">
        <v>65</v>
      </c>
      <c r="F358" s="602">
        <v>20003</v>
      </c>
      <c r="G358" s="602">
        <v>17804</v>
      </c>
      <c r="H358" s="602">
        <v>316</v>
      </c>
      <c r="I358" s="602">
        <v>16</v>
      </c>
      <c r="J358" s="602">
        <v>177890</v>
      </c>
      <c r="K358" s="604" t="s">
        <v>902</v>
      </c>
      <c r="L358" s="604">
        <f t="shared" si="5"/>
        <v>2</v>
      </c>
    </row>
    <row r="359" spans="1:12" s="514" customFormat="1" ht="13" customHeight="1" x14ac:dyDescent="0.3">
      <c r="A359" s="599" t="s">
        <v>110</v>
      </c>
      <c r="B359" s="599" t="s">
        <v>906</v>
      </c>
      <c r="C359" s="599" t="s">
        <v>40</v>
      </c>
      <c r="D359" s="599" t="s">
        <v>52</v>
      </c>
      <c r="E359" s="599" t="s">
        <v>58</v>
      </c>
      <c r="F359" s="600">
        <v>2</v>
      </c>
      <c r="G359" s="600">
        <v>2</v>
      </c>
      <c r="H359" s="600">
        <v>0</v>
      </c>
      <c r="I359" s="600">
        <v>0</v>
      </c>
      <c r="J359" s="600">
        <v>0</v>
      </c>
      <c r="K359" s="604" t="s">
        <v>902</v>
      </c>
      <c r="L359" s="604">
        <f t="shared" si="5"/>
        <v>2</v>
      </c>
    </row>
    <row r="360" spans="1:12" s="514" customFormat="1" ht="13" customHeight="1" x14ac:dyDescent="0.3">
      <c r="A360" s="601" t="s">
        <v>110</v>
      </c>
      <c r="B360" s="601" t="s">
        <v>906</v>
      </c>
      <c r="C360" s="601" t="s">
        <v>40</v>
      </c>
      <c r="D360" s="601" t="s">
        <v>4</v>
      </c>
      <c r="E360" s="601" t="s">
        <v>41</v>
      </c>
      <c r="F360" s="602">
        <v>209</v>
      </c>
      <c r="G360" s="602">
        <v>188</v>
      </c>
      <c r="H360" s="602">
        <v>0</v>
      </c>
      <c r="I360" s="602">
        <v>0</v>
      </c>
      <c r="J360" s="602">
        <v>0</v>
      </c>
      <c r="K360" s="604" t="s">
        <v>902</v>
      </c>
      <c r="L360" s="604">
        <f t="shared" si="5"/>
        <v>2</v>
      </c>
    </row>
    <row r="361" spans="1:12" s="514" customFormat="1" ht="13" customHeight="1" x14ac:dyDescent="0.3">
      <c r="A361" s="599" t="s">
        <v>110</v>
      </c>
      <c r="B361" s="599" t="s">
        <v>906</v>
      </c>
      <c r="C361" s="599" t="s">
        <v>40</v>
      </c>
      <c r="D361" s="599" t="s">
        <v>52</v>
      </c>
      <c r="E361" s="599" t="s">
        <v>51</v>
      </c>
      <c r="F361" s="600">
        <v>3</v>
      </c>
      <c r="G361" s="600">
        <v>2</v>
      </c>
      <c r="H361" s="600">
        <v>0</v>
      </c>
      <c r="I361" s="600">
        <v>0</v>
      </c>
      <c r="J361" s="600">
        <v>0</v>
      </c>
      <c r="K361" s="604" t="s">
        <v>902</v>
      </c>
      <c r="L361" s="604">
        <f t="shared" si="5"/>
        <v>2</v>
      </c>
    </row>
    <row r="362" spans="1:12" s="514" customFormat="1" ht="13" customHeight="1" x14ac:dyDescent="0.3">
      <c r="A362" s="599" t="s">
        <v>110</v>
      </c>
      <c r="B362" s="599" t="s">
        <v>906</v>
      </c>
      <c r="C362" s="599" t="s">
        <v>6</v>
      </c>
      <c r="D362" s="599" t="s">
        <v>57</v>
      </c>
      <c r="E362" s="599" t="s">
        <v>64</v>
      </c>
      <c r="F362" s="600">
        <v>119972</v>
      </c>
      <c r="G362" s="600">
        <v>108855</v>
      </c>
      <c r="H362" s="600">
        <v>667</v>
      </c>
      <c r="I362" s="600">
        <v>47</v>
      </c>
      <c r="J362" s="600">
        <v>308785</v>
      </c>
      <c r="K362" s="604" t="s">
        <v>902</v>
      </c>
      <c r="L362" s="604">
        <f t="shared" si="5"/>
        <v>2</v>
      </c>
    </row>
    <row r="363" spans="1:12" s="514" customFormat="1" ht="13" customHeight="1" x14ac:dyDescent="0.3">
      <c r="A363" s="601" t="s">
        <v>110</v>
      </c>
      <c r="B363" s="601" t="s">
        <v>906</v>
      </c>
      <c r="C363" s="601" t="s">
        <v>6</v>
      </c>
      <c r="D363" s="601" t="s">
        <v>52</v>
      </c>
      <c r="E363" s="601" t="s">
        <v>51</v>
      </c>
      <c r="F363" s="602">
        <v>2</v>
      </c>
      <c r="G363" s="602">
        <v>1</v>
      </c>
      <c r="H363" s="602">
        <v>0</v>
      </c>
      <c r="I363" s="602">
        <v>0</v>
      </c>
      <c r="J363" s="602">
        <v>0</v>
      </c>
      <c r="K363" s="604" t="s">
        <v>902</v>
      </c>
      <c r="L363" s="604">
        <f t="shared" si="5"/>
        <v>2</v>
      </c>
    </row>
    <row r="364" spans="1:12" s="514" customFormat="1" ht="13" customHeight="1" x14ac:dyDescent="0.3">
      <c r="A364" s="601" t="s">
        <v>110</v>
      </c>
      <c r="B364" s="601" t="s">
        <v>906</v>
      </c>
      <c r="C364" s="601" t="s">
        <v>6</v>
      </c>
      <c r="D364" s="601" t="s">
        <v>4</v>
      </c>
      <c r="E364" s="601" t="s">
        <v>42</v>
      </c>
      <c r="F364" s="602">
        <v>1</v>
      </c>
      <c r="G364" s="602">
        <v>1</v>
      </c>
      <c r="H364" s="602">
        <v>0</v>
      </c>
      <c r="I364" s="602">
        <v>0</v>
      </c>
      <c r="J364" s="602">
        <v>0</v>
      </c>
      <c r="K364" s="604" t="s">
        <v>902</v>
      </c>
      <c r="L364" s="604">
        <f t="shared" si="5"/>
        <v>2</v>
      </c>
    </row>
    <row r="365" spans="1:12" s="514" customFormat="1" ht="13" customHeight="1" x14ac:dyDescent="0.3">
      <c r="A365" s="601" t="s">
        <v>110</v>
      </c>
      <c r="B365" s="601" t="s">
        <v>906</v>
      </c>
      <c r="C365" s="601" t="s">
        <v>6</v>
      </c>
      <c r="D365" s="601" t="s">
        <v>55</v>
      </c>
      <c r="E365" s="601" t="s">
        <v>56</v>
      </c>
      <c r="F365" s="602">
        <v>2</v>
      </c>
      <c r="G365" s="602">
        <v>1</v>
      </c>
      <c r="H365" s="602">
        <v>0</v>
      </c>
      <c r="I365" s="602">
        <v>0</v>
      </c>
      <c r="J365" s="602">
        <v>0</v>
      </c>
      <c r="K365" s="604" t="s">
        <v>902</v>
      </c>
      <c r="L365" s="604">
        <f t="shared" si="5"/>
        <v>2</v>
      </c>
    </row>
    <row r="366" spans="1:12" s="514" customFormat="1" ht="13" customHeight="1" x14ac:dyDescent="0.3">
      <c r="A366" s="599" t="s">
        <v>110</v>
      </c>
      <c r="B366" s="599" t="s">
        <v>906</v>
      </c>
      <c r="C366" s="599" t="s">
        <v>6</v>
      </c>
      <c r="D366" s="599" t="s">
        <v>4</v>
      </c>
      <c r="E366" s="599" t="s">
        <v>43</v>
      </c>
      <c r="F366" s="600">
        <v>7995</v>
      </c>
      <c r="G366" s="600">
        <v>4246</v>
      </c>
      <c r="H366" s="600">
        <v>18</v>
      </c>
      <c r="I366" s="600">
        <v>9</v>
      </c>
      <c r="J366" s="600">
        <v>82600</v>
      </c>
      <c r="K366" s="604" t="s">
        <v>902</v>
      </c>
      <c r="L366" s="604">
        <f t="shared" si="5"/>
        <v>2</v>
      </c>
    </row>
    <row r="367" spans="1:12" s="514" customFormat="1" ht="13" customHeight="1" x14ac:dyDescent="0.3">
      <c r="A367" s="601" t="s">
        <v>110</v>
      </c>
      <c r="B367" s="601" t="s">
        <v>906</v>
      </c>
      <c r="C367" s="601" t="s">
        <v>6</v>
      </c>
      <c r="D367" s="601" t="s">
        <v>55</v>
      </c>
      <c r="E367" s="601" t="s">
        <v>54</v>
      </c>
      <c r="F367" s="602">
        <v>4343</v>
      </c>
      <c r="G367" s="602">
        <v>3638</v>
      </c>
      <c r="H367" s="602">
        <v>15</v>
      </c>
      <c r="I367" s="602">
        <v>0</v>
      </c>
      <c r="J367" s="602">
        <v>0</v>
      </c>
      <c r="K367" s="604" t="s">
        <v>902</v>
      </c>
      <c r="L367" s="604">
        <f t="shared" si="5"/>
        <v>2</v>
      </c>
    </row>
    <row r="368" spans="1:12" s="514" customFormat="1" ht="13" customHeight="1" x14ac:dyDescent="0.3">
      <c r="A368" s="599" t="s">
        <v>110</v>
      </c>
      <c r="B368" s="599" t="s">
        <v>906</v>
      </c>
      <c r="C368" s="599" t="s">
        <v>6</v>
      </c>
      <c r="D368" s="599" t="s">
        <v>52</v>
      </c>
      <c r="E368" s="599" t="s">
        <v>61</v>
      </c>
      <c r="F368" s="600">
        <v>3</v>
      </c>
      <c r="G368" s="600">
        <v>3</v>
      </c>
      <c r="H368" s="600">
        <v>0</v>
      </c>
      <c r="I368" s="600">
        <v>0</v>
      </c>
      <c r="J368" s="600">
        <v>0</v>
      </c>
      <c r="K368" s="604" t="s">
        <v>902</v>
      </c>
      <c r="L368" s="604">
        <f t="shared" si="5"/>
        <v>2</v>
      </c>
    </row>
    <row r="369" spans="1:12" s="514" customFormat="1" ht="13" customHeight="1" x14ac:dyDescent="0.3">
      <c r="A369" s="599" t="s">
        <v>110</v>
      </c>
      <c r="B369" s="599" t="s">
        <v>906</v>
      </c>
      <c r="C369" s="599" t="s">
        <v>6</v>
      </c>
      <c r="D369" s="599" t="s">
        <v>57</v>
      </c>
      <c r="E369" s="599" t="s">
        <v>65</v>
      </c>
      <c r="F369" s="600">
        <v>67111</v>
      </c>
      <c r="G369" s="600">
        <v>63192</v>
      </c>
      <c r="H369" s="600">
        <v>599</v>
      </c>
      <c r="I369" s="600">
        <v>41</v>
      </c>
      <c r="J369" s="600">
        <v>270295</v>
      </c>
      <c r="K369" s="604" t="s">
        <v>902</v>
      </c>
      <c r="L369" s="604">
        <f t="shared" si="5"/>
        <v>2</v>
      </c>
    </row>
    <row r="370" spans="1:12" s="514" customFormat="1" ht="13" customHeight="1" x14ac:dyDescent="0.3">
      <c r="A370" s="601" t="s">
        <v>110</v>
      </c>
      <c r="B370" s="601" t="s">
        <v>906</v>
      </c>
      <c r="C370" s="601" t="s">
        <v>6</v>
      </c>
      <c r="D370" s="601" t="s">
        <v>57</v>
      </c>
      <c r="E370" s="601" t="s">
        <v>63</v>
      </c>
      <c r="F370" s="602">
        <v>82330</v>
      </c>
      <c r="G370" s="602">
        <v>73670</v>
      </c>
      <c r="H370" s="602">
        <v>829</v>
      </c>
      <c r="I370" s="602">
        <v>56</v>
      </c>
      <c r="J370" s="602">
        <v>356030</v>
      </c>
      <c r="K370" s="604" t="s">
        <v>902</v>
      </c>
      <c r="L370" s="604">
        <f t="shared" si="5"/>
        <v>2</v>
      </c>
    </row>
    <row r="371" spans="1:12" s="514" customFormat="1" ht="13" customHeight="1" x14ac:dyDescent="0.3">
      <c r="A371" s="599" t="s">
        <v>110</v>
      </c>
      <c r="B371" s="599" t="s">
        <v>906</v>
      </c>
      <c r="C371" s="599" t="s">
        <v>6</v>
      </c>
      <c r="D371" s="599" t="s">
        <v>52</v>
      </c>
      <c r="E371" s="599" t="s">
        <v>58</v>
      </c>
      <c r="F371" s="600">
        <v>1</v>
      </c>
      <c r="G371" s="600">
        <v>1</v>
      </c>
      <c r="H371" s="600">
        <v>0</v>
      </c>
      <c r="I371" s="600">
        <v>0</v>
      </c>
      <c r="J371" s="600">
        <v>0</v>
      </c>
      <c r="K371" s="604" t="s">
        <v>902</v>
      </c>
      <c r="L371" s="604">
        <f t="shared" si="5"/>
        <v>2</v>
      </c>
    </row>
    <row r="372" spans="1:12" s="514" customFormat="1" ht="13" customHeight="1" x14ac:dyDescent="0.3">
      <c r="A372" s="601" t="s">
        <v>110</v>
      </c>
      <c r="B372" s="601" t="s">
        <v>906</v>
      </c>
      <c r="C372" s="601" t="s">
        <v>6</v>
      </c>
      <c r="D372" s="601" t="s">
        <v>4</v>
      </c>
      <c r="E372" s="601" t="s">
        <v>41</v>
      </c>
      <c r="F372" s="602">
        <v>15</v>
      </c>
      <c r="G372" s="602">
        <v>11</v>
      </c>
      <c r="H372" s="602">
        <v>0</v>
      </c>
      <c r="I372" s="602">
        <v>0</v>
      </c>
      <c r="J372" s="602">
        <v>0</v>
      </c>
      <c r="K372" s="604" t="s">
        <v>902</v>
      </c>
      <c r="L372" s="604">
        <f t="shared" si="5"/>
        <v>2</v>
      </c>
    </row>
    <row r="373" spans="1:12" s="514" customFormat="1" ht="13" customHeight="1" x14ac:dyDescent="0.3">
      <c r="A373" s="601" t="s">
        <v>110</v>
      </c>
      <c r="B373" s="601" t="s">
        <v>906</v>
      </c>
      <c r="C373" s="601" t="s">
        <v>7</v>
      </c>
      <c r="D373" s="601" t="s">
        <v>4</v>
      </c>
      <c r="E373" s="601" t="s">
        <v>43</v>
      </c>
      <c r="F373" s="602">
        <v>5980</v>
      </c>
      <c r="G373" s="602">
        <v>2862</v>
      </c>
      <c r="H373" s="602">
        <v>13</v>
      </c>
      <c r="I373" s="602">
        <v>6</v>
      </c>
      <c r="J373" s="602">
        <v>127700</v>
      </c>
      <c r="K373" s="604" t="s">
        <v>902</v>
      </c>
      <c r="L373" s="604">
        <f t="shared" si="5"/>
        <v>2</v>
      </c>
    </row>
    <row r="374" spans="1:12" s="514" customFormat="1" ht="13" customHeight="1" x14ac:dyDescent="0.3">
      <c r="A374" s="599" t="s">
        <v>110</v>
      </c>
      <c r="B374" s="599" t="s">
        <v>906</v>
      </c>
      <c r="C374" s="599" t="s">
        <v>7</v>
      </c>
      <c r="D374" s="599" t="s">
        <v>57</v>
      </c>
      <c r="E374" s="599" t="s">
        <v>65</v>
      </c>
      <c r="F374" s="600">
        <v>45235</v>
      </c>
      <c r="G374" s="600">
        <v>41709</v>
      </c>
      <c r="H374" s="600">
        <v>431</v>
      </c>
      <c r="I374" s="600">
        <v>37</v>
      </c>
      <c r="J374" s="600">
        <v>540400</v>
      </c>
      <c r="K374" s="604" t="s">
        <v>902</v>
      </c>
      <c r="L374" s="604">
        <f t="shared" si="5"/>
        <v>2</v>
      </c>
    </row>
    <row r="375" spans="1:12" s="514" customFormat="1" ht="13" customHeight="1" x14ac:dyDescent="0.3">
      <c r="A375" s="601" t="s">
        <v>110</v>
      </c>
      <c r="B375" s="601" t="s">
        <v>906</v>
      </c>
      <c r="C375" s="601" t="s">
        <v>7</v>
      </c>
      <c r="D375" s="601" t="s">
        <v>55</v>
      </c>
      <c r="E375" s="601" t="s">
        <v>56</v>
      </c>
      <c r="F375" s="602">
        <v>1</v>
      </c>
      <c r="G375" s="602">
        <v>0</v>
      </c>
      <c r="H375" s="602">
        <v>0</v>
      </c>
      <c r="I375" s="602">
        <v>0</v>
      </c>
      <c r="J375" s="602">
        <v>0</v>
      </c>
      <c r="K375" s="604" t="s">
        <v>902</v>
      </c>
      <c r="L375" s="604">
        <f t="shared" si="5"/>
        <v>2</v>
      </c>
    </row>
    <row r="376" spans="1:12" s="514" customFormat="1" ht="13" customHeight="1" x14ac:dyDescent="0.3">
      <c r="A376" s="599" t="s">
        <v>110</v>
      </c>
      <c r="B376" s="599" t="s">
        <v>906</v>
      </c>
      <c r="C376" s="599" t="s">
        <v>7</v>
      </c>
      <c r="D376" s="599" t="s">
        <v>57</v>
      </c>
      <c r="E376" s="599" t="s">
        <v>64</v>
      </c>
      <c r="F376" s="600">
        <v>84179</v>
      </c>
      <c r="G376" s="600">
        <v>72437</v>
      </c>
      <c r="H376" s="600">
        <v>351</v>
      </c>
      <c r="I376" s="600">
        <v>4</v>
      </c>
      <c r="J376" s="600">
        <v>58000</v>
      </c>
      <c r="K376" s="604" t="s">
        <v>902</v>
      </c>
      <c r="L376" s="604">
        <f t="shared" si="5"/>
        <v>2</v>
      </c>
    </row>
    <row r="377" spans="1:12" s="514" customFormat="1" ht="13" customHeight="1" x14ac:dyDescent="0.3">
      <c r="A377" s="601" t="s">
        <v>110</v>
      </c>
      <c r="B377" s="601" t="s">
        <v>906</v>
      </c>
      <c r="C377" s="601" t="s">
        <v>7</v>
      </c>
      <c r="D377" s="601" t="s">
        <v>52</v>
      </c>
      <c r="E377" s="601" t="s">
        <v>61</v>
      </c>
      <c r="F377" s="602">
        <v>55856</v>
      </c>
      <c r="G377" s="602">
        <v>52994</v>
      </c>
      <c r="H377" s="602">
        <v>1604</v>
      </c>
      <c r="I377" s="602">
        <v>155</v>
      </c>
      <c r="J377" s="602">
        <v>1913070</v>
      </c>
      <c r="K377" s="604" t="s">
        <v>902</v>
      </c>
      <c r="L377" s="604">
        <f t="shared" si="5"/>
        <v>2</v>
      </c>
    </row>
    <row r="378" spans="1:12" s="514" customFormat="1" ht="13" customHeight="1" x14ac:dyDescent="0.3">
      <c r="A378" s="599" t="s">
        <v>110</v>
      </c>
      <c r="B378" s="599" t="s">
        <v>906</v>
      </c>
      <c r="C378" s="599" t="s">
        <v>7</v>
      </c>
      <c r="D378" s="599" t="s">
        <v>4</v>
      </c>
      <c r="E378" s="599" t="s">
        <v>41</v>
      </c>
      <c r="F378" s="600">
        <v>131616</v>
      </c>
      <c r="G378" s="600">
        <v>131567</v>
      </c>
      <c r="H378" s="600">
        <v>157</v>
      </c>
      <c r="I378" s="600">
        <v>0</v>
      </c>
      <c r="J378" s="600">
        <v>0</v>
      </c>
      <c r="K378" s="604" t="s">
        <v>902</v>
      </c>
      <c r="L378" s="604">
        <f t="shared" si="5"/>
        <v>2</v>
      </c>
    </row>
    <row r="379" spans="1:12" s="514" customFormat="1" ht="13" customHeight="1" x14ac:dyDescent="0.3">
      <c r="A379" s="601" t="s">
        <v>110</v>
      </c>
      <c r="B379" s="601" t="s">
        <v>906</v>
      </c>
      <c r="C379" s="601" t="s">
        <v>7</v>
      </c>
      <c r="D379" s="601" t="s">
        <v>52</v>
      </c>
      <c r="E379" s="601" t="s">
        <v>60</v>
      </c>
      <c r="F379" s="602">
        <v>3</v>
      </c>
      <c r="G379" s="602">
        <v>3</v>
      </c>
      <c r="H379" s="602">
        <v>0</v>
      </c>
      <c r="I379" s="602">
        <v>0</v>
      </c>
      <c r="J379" s="602">
        <v>0</v>
      </c>
      <c r="K379" s="604" t="s">
        <v>902</v>
      </c>
      <c r="L379" s="604">
        <f t="shared" si="5"/>
        <v>2</v>
      </c>
    </row>
    <row r="380" spans="1:12" s="514" customFormat="1" ht="13" customHeight="1" x14ac:dyDescent="0.3">
      <c r="A380" s="599" t="s">
        <v>110</v>
      </c>
      <c r="B380" s="599" t="s">
        <v>906</v>
      </c>
      <c r="C380" s="599" t="s">
        <v>7</v>
      </c>
      <c r="D380" s="599" t="s">
        <v>52</v>
      </c>
      <c r="E380" s="599" t="s">
        <v>51</v>
      </c>
      <c r="F380" s="600">
        <v>86</v>
      </c>
      <c r="G380" s="600">
        <v>85</v>
      </c>
      <c r="H380" s="600">
        <v>0</v>
      </c>
      <c r="I380" s="600">
        <v>0</v>
      </c>
      <c r="J380" s="600">
        <v>0</v>
      </c>
      <c r="K380" s="604" t="s">
        <v>902</v>
      </c>
      <c r="L380" s="604">
        <f t="shared" si="5"/>
        <v>2</v>
      </c>
    </row>
    <row r="381" spans="1:12" s="514" customFormat="1" ht="13" customHeight="1" x14ac:dyDescent="0.3">
      <c r="A381" s="601" t="s">
        <v>110</v>
      </c>
      <c r="B381" s="601" t="s">
        <v>906</v>
      </c>
      <c r="C381" s="601" t="s">
        <v>7</v>
      </c>
      <c r="D381" s="601" t="s">
        <v>57</v>
      </c>
      <c r="E381" s="601" t="s">
        <v>63</v>
      </c>
      <c r="F381" s="602">
        <v>79849</v>
      </c>
      <c r="G381" s="602">
        <v>72208</v>
      </c>
      <c r="H381" s="602">
        <v>678</v>
      </c>
      <c r="I381" s="602">
        <v>68</v>
      </c>
      <c r="J381" s="602">
        <v>641200</v>
      </c>
      <c r="K381" s="604" t="s">
        <v>902</v>
      </c>
      <c r="L381" s="604">
        <f t="shared" si="5"/>
        <v>2</v>
      </c>
    </row>
    <row r="382" spans="1:12" s="514" customFormat="1" ht="13" customHeight="1" x14ac:dyDescent="0.3">
      <c r="A382" s="599" t="s">
        <v>110</v>
      </c>
      <c r="B382" s="599" t="s">
        <v>906</v>
      </c>
      <c r="C382" s="599" t="s">
        <v>7</v>
      </c>
      <c r="D382" s="599" t="s">
        <v>52</v>
      </c>
      <c r="E382" s="599" t="s">
        <v>67</v>
      </c>
      <c r="F382" s="600">
        <v>1</v>
      </c>
      <c r="G382" s="600">
        <v>0</v>
      </c>
      <c r="H382" s="600">
        <v>0</v>
      </c>
      <c r="I382" s="600">
        <v>0</v>
      </c>
      <c r="J382" s="600">
        <v>0</v>
      </c>
      <c r="K382" s="604" t="s">
        <v>902</v>
      </c>
      <c r="L382" s="604">
        <f t="shared" si="5"/>
        <v>2</v>
      </c>
    </row>
    <row r="383" spans="1:12" s="514" customFormat="1" ht="13" customHeight="1" x14ac:dyDescent="0.3">
      <c r="A383" s="601" t="s">
        <v>110</v>
      </c>
      <c r="B383" s="601" t="s">
        <v>907</v>
      </c>
      <c r="C383" s="601" t="s">
        <v>40</v>
      </c>
      <c r="D383" s="601" t="s">
        <v>4</v>
      </c>
      <c r="E383" s="601" t="s">
        <v>41</v>
      </c>
      <c r="F383" s="602">
        <v>24</v>
      </c>
      <c r="G383" s="602">
        <v>13</v>
      </c>
      <c r="H383" s="602">
        <v>0</v>
      </c>
      <c r="I383" s="602">
        <v>0</v>
      </c>
      <c r="J383" s="602">
        <v>0</v>
      </c>
      <c r="K383" s="604" t="s">
        <v>902</v>
      </c>
      <c r="L383" s="604">
        <f t="shared" si="5"/>
        <v>3</v>
      </c>
    </row>
    <row r="384" spans="1:12" s="514" customFormat="1" ht="13" customHeight="1" x14ac:dyDescent="0.3">
      <c r="A384" s="599" t="s">
        <v>110</v>
      </c>
      <c r="B384" s="599" t="s">
        <v>907</v>
      </c>
      <c r="C384" s="599" t="s">
        <v>40</v>
      </c>
      <c r="D384" s="599" t="s">
        <v>57</v>
      </c>
      <c r="E384" s="599" t="s">
        <v>64</v>
      </c>
      <c r="F384" s="600">
        <v>171211</v>
      </c>
      <c r="G384" s="600">
        <v>159305</v>
      </c>
      <c r="H384" s="600">
        <v>1789</v>
      </c>
      <c r="I384" s="600">
        <v>15</v>
      </c>
      <c r="J384" s="600">
        <v>244820</v>
      </c>
      <c r="K384" s="604" t="s">
        <v>902</v>
      </c>
      <c r="L384" s="604">
        <f t="shared" si="5"/>
        <v>3</v>
      </c>
    </row>
    <row r="385" spans="1:12" s="514" customFormat="1" ht="13" customHeight="1" x14ac:dyDescent="0.3">
      <c r="A385" s="601" t="s">
        <v>110</v>
      </c>
      <c r="B385" s="601" t="s">
        <v>907</v>
      </c>
      <c r="C385" s="601" t="s">
        <v>40</v>
      </c>
      <c r="D385" s="601" t="s">
        <v>52</v>
      </c>
      <c r="E385" s="601" t="s">
        <v>51</v>
      </c>
      <c r="F385" s="602">
        <v>1</v>
      </c>
      <c r="G385" s="602">
        <v>1</v>
      </c>
      <c r="H385" s="602">
        <v>0</v>
      </c>
      <c r="I385" s="602">
        <v>0</v>
      </c>
      <c r="J385" s="602">
        <v>0</v>
      </c>
      <c r="K385" s="604" t="s">
        <v>902</v>
      </c>
      <c r="L385" s="604">
        <f t="shared" si="5"/>
        <v>3</v>
      </c>
    </row>
    <row r="386" spans="1:12" s="514" customFormat="1" ht="13" customHeight="1" x14ac:dyDescent="0.3">
      <c r="A386" s="599" t="s">
        <v>110</v>
      </c>
      <c r="B386" s="599" t="s">
        <v>907</v>
      </c>
      <c r="C386" s="599" t="s">
        <v>40</v>
      </c>
      <c r="D386" s="599" t="s">
        <v>52</v>
      </c>
      <c r="E386" s="599" t="s">
        <v>61</v>
      </c>
      <c r="F386" s="600">
        <v>15005</v>
      </c>
      <c r="G386" s="600">
        <v>14145</v>
      </c>
      <c r="H386" s="600">
        <v>656</v>
      </c>
      <c r="I386" s="600">
        <v>33</v>
      </c>
      <c r="J386" s="600">
        <v>571475</v>
      </c>
      <c r="K386" s="604" t="s">
        <v>902</v>
      </c>
      <c r="L386" s="604">
        <f t="shared" si="5"/>
        <v>3</v>
      </c>
    </row>
    <row r="387" spans="1:12" s="514" customFormat="1" ht="13" customHeight="1" x14ac:dyDescent="0.3">
      <c r="A387" s="599" t="s">
        <v>110</v>
      </c>
      <c r="B387" s="599" t="s">
        <v>907</v>
      </c>
      <c r="C387" s="599" t="s">
        <v>40</v>
      </c>
      <c r="D387" s="599" t="s">
        <v>57</v>
      </c>
      <c r="E387" s="599" t="s">
        <v>63</v>
      </c>
      <c r="F387" s="600">
        <v>56852</v>
      </c>
      <c r="G387" s="600">
        <v>53131</v>
      </c>
      <c r="H387" s="600">
        <v>1568</v>
      </c>
      <c r="I387" s="600">
        <v>54</v>
      </c>
      <c r="J387" s="600">
        <v>924850</v>
      </c>
      <c r="K387" s="604" t="s">
        <v>902</v>
      </c>
      <c r="L387" s="604">
        <f t="shared" ref="L387:L405" si="6">MONTH(B387)</f>
        <v>3</v>
      </c>
    </row>
    <row r="388" spans="1:12" s="514" customFormat="1" ht="13" customHeight="1" x14ac:dyDescent="0.3">
      <c r="A388" s="601" t="s">
        <v>110</v>
      </c>
      <c r="B388" s="601" t="s">
        <v>907</v>
      </c>
      <c r="C388" s="601" t="s">
        <v>40</v>
      </c>
      <c r="D388" s="601" t="s">
        <v>52</v>
      </c>
      <c r="E388" s="601" t="s">
        <v>53</v>
      </c>
      <c r="F388" s="602">
        <v>2</v>
      </c>
      <c r="G388" s="602">
        <v>2</v>
      </c>
      <c r="H388" s="602">
        <v>0</v>
      </c>
      <c r="I388" s="602">
        <v>0</v>
      </c>
      <c r="J388" s="602">
        <v>0</v>
      </c>
      <c r="K388" s="604" t="s">
        <v>902</v>
      </c>
      <c r="L388" s="604">
        <f t="shared" si="6"/>
        <v>3</v>
      </c>
    </row>
    <row r="389" spans="1:12" s="514" customFormat="1" ht="13" customHeight="1" x14ac:dyDescent="0.3">
      <c r="A389" s="599" t="s">
        <v>110</v>
      </c>
      <c r="B389" s="599" t="s">
        <v>907</v>
      </c>
      <c r="C389" s="599" t="s">
        <v>40</v>
      </c>
      <c r="D389" s="599" t="s">
        <v>57</v>
      </c>
      <c r="E389" s="599" t="s">
        <v>65</v>
      </c>
      <c r="F389" s="600">
        <v>24899</v>
      </c>
      <c r="G389" s="600">
        <v>22719</v>
      </c>
      <c r="H389" s="600">
        <v>346</v>
      </c>
      <c r="I389" s="600">
        <v>21</v>
      </c>
      <c r="J389" s="600">
        <v>243875</v>
      </c>
      <c r="K389" s="604" t="s">
        <v>902</v>
      </c>
      <c r="L389" s="604">
        <f t="shared" si="6"/>
        <v>3</v>
      </c>
    </row>
    <row r="390" spans="1:12" s="514" customFormat="1" ht="13" customHeight="1" x14ac:dyDescent="0.3">
      <c r="A390" s="601" t="s">
        <v>110</v>
      </c>
      <c r="B390" s="601" t="s">
        <v>907</v>
      </c>
      <c r="C390" s="601" t="s">
        <v>40</v>
      </c>
      <c r="D390" s="601" t="s">
        <v>55</v>
      </c>
      <c r="E390" s="601" t="s">
        <v>56</v>
      </c>
      <c r="F390" s="602">
        <v>5</v>
      </c>
      <c r="G390" s="602">
        <v>5</v>
      </c>
      <c r="H390" s="602">
        <v>0</v>
      </c>
      <c r="I390" s="602">
        <v>0</v>
      </c>
      <c r="J390" s="602">
        <v>0</v>
      </c>
      <c r="K390" s="604" t="s">
        <v>902</v>
      </c>
      <c r="L390" s="604">
        <f t="shared" si="6"/>
        <v>3</v>
      </c>
    </row>
    <row r="391" spans="1:12" s="514" customFormat="1" ht="13" customHeight="1" x14ac:dyDescent="0.3">
      <c r="A391" s="599" t="s">
        <v>110</v>
      </c>
      <c r="B391" s="599" t="s">
        <v>907</v>
      </c>
      <c r="C391" s="599" t="s">
        <v>40</v>
      </c>
      <c r="D391" s="599" t="s">
        <v>55</v>
      </c>
      <c r="E391" s="599" t="s">
        <v>66</v>
      </c>
      <c r="F391" s="600">
        <v>1</v>
      </c>
      <c r="G391" s="600">
        <v>1</v>
      </c>
      <c r="H391" s="600">
        <v>0</v>
      </c>
      <c r="I391" s="600">
        <v>0</v>
      </c>
      <c r="J391" s="600">
        <v>0</v>
      </c>
      <c r="K391" s="604" t="s">
        <v>902</v>
      </c>
      <c r="L391" s="604">
        <f t="shared" si="6"/>
        <v>3</v>
      </c>
    </row>
    <row r="392" spans="1:12" s="514" customFormat="1" ht="13" customHeight="1" x14ac:dyDescent="0.3">
      <c r="A392" s="601" t="s">
        <v>110</v>
      </c>
      <c r="B392" s="601" t="s">
        <v>907</v>
      </c>
      <c r="C392" s="601" t="s">
        <v>40</v>
      </c>
      <c r="D392" s="601" t="s">
        <v>52</v>
      </c>
      <c r="E392" s="601" t="s">
        <v>58</v>
      </c>
      <c r="F392" s="602">
        <v>4</v>
      </c>
      <c r="G392" s="602">
        <v>3</v>
      </c>
      <c r="H392" s="602">
        <v>0</v>
      </c>
      <c r="I392" s="602">
        <v>0</v>
      </c>
      <c r="J392" s="602">
        <v>0</v>
      </c>
      <c r="K392" s="604" t="s">
        <v>902</v>
      </c>
      <c r="L392" s="604">
        <f t="shared" si="6"/>
        <v>3</v>
      </c>
    </row>
    <row r="393" spans="1:12" s="514" customFormat="1" ht="13" customHeight="1" x14ac:dyDescent="0.3">
      <c r="A393" s="599" t="s">
        <v>110</v>
      </c>
      <c r="B393" s="599" t="s">
        <v>907</v>
      </c>
      <c r="C393" s="599" t="s">
        <v>40</v>
      </c>
      <c r="D393" s="599" t="s">
        <v>4</v>
      </c>
      <c r="E393" s="599" t="s">
        <v>43</v>
      </c>
      <c r="F393" s="600">
        <v>3963</v>
      </c>
      <c r="G393" s="600">
        <v>2312</v>
      </c>
      <c r="H393" s="600">
        <v>33</v>
      </c>
      <c r="I393" s="600">
        <v>10</v>
      </c>
      <c r="J393" s="600">
        <v>138100</v>
      </c>
      <c r="K393" s="604" t="s">
        <v>902</v>
      </c>
      <c r="L393" s="604">
        <f t="shared" si="6"/>
        <v>3</v>
      </c>
    </row>
    <row r="394" spans="1:12" s="514" customFormat="1" ht="13" customHeight="1" x14ac:dyDescent="0.3">
      <c r="A394" s="601" t="s">
        <v>110</v>
      </c>
      <c r="B394" s="601" t="s">
        <v>907</v>
      </c>
      <c r="C394" s="601" t="s">
        <v>40</v>
      </c>
      <c r="D394" s="601" t="s">
        <v>52</v>
      </c>
      <c r="E394" s="601" t="s">
        <v>67</v>
      </c>
      <c r="F394" s="602">
        <v>1</v>
      </c>
      <c r="G394" s="602">
        <v>1</v>
      </c>
      <c r="H394" s="602">
        <v>0</v>
      </c>
      <c r="I394" s="602">
        <v>0</v>
      </c>
      <c r="J394" s="602">
        <v>0</v>
      </c>
      <c r="K394" s="604" t="s">
        <v>902</v>
      </c>
      <c r="L394" s="604">
        <f t="shared" si="6"/>
        <v>3</v>
      </c>
    </row>
    <row r="395" spans="1:12" s="514" customFormat="1" ht="13" customHeight="1" x14ac:dyDescent="0.3">
      <c r="A395" s="601" t="s">
        <v>110</v>
      </c>
      <c r="B395" s="601" t="s">
        <v>907</v>
      </c>
      <c r="C395" s="601" t="s">
        <v>6</v>
      </c>
      <c r="D395" s="601" t="s">
        <v>52</v>
      </c>
      <c r="E395" s="601" t="s">
        <v>61</v>
      </c>
      <c r="F395" s="602">
        <v>1</v>
      </c>
      <c r="G395" s="602">
        <v>1</v>
      </c>
      <c r="H395" s="602">
        <v>0</v>
      </c>
      <c r="I395" s="602">
        <v>0</v>
      </c>
      <c r="J395" s="602">
        <v>0</v>
      </c>
      <c r="K395" s="604" t="s">
        <v>902</v>
      </c>
      <c r="L395" s="604">
        <f t="shared" si="6"/>
        <v>3</v>
      </c>
    </row>
    <row r="396" spans="1:12" s="514" customFormat="1" ht="13" customHeight="1" x14ac:dyDescent="0.3">
      <c r="A396" s="599" t="s">
        <v>110</v>
      </c>
      <c r="B396" s="599" t="s">
        <v>907</v>
      </c>
      <c r="C396" s="599" t="s">
        <v>6</v>
      </c>
      <c r="D396" s="599" t="s">
        <v>55</v>
      </c>
      <c r="E396" s="599" t="s">
        <v>54</v>
      </c>
      <c r="F396" s="600">
        <v>4959</v>
      </c>
      <c r="G396" s="600">
        <v>4213</v>
      </c>
      <c r="H396" s="600">
        <v>29</v>
      </c>
      <c r="I396" s="600">
        <v>0</v>
      </c>
      <c r="J396" s="600">
        <v>0</v>
      </c>
      <c r="K396" s="604" t="s">
        <v>902</v>
      </c>
      <c r="L396" s="604">
        <f t="shared" si="6"/>
        <v>3</v>
      </c>
    </row>
    <row r="397" spans="1:12" s="514" customFormat="1" ht="13" customHeight="1" x14ac:dyDescent="0.3">
      <c r="A397" s="599" t="s">
        <v>110</v>
      </c>
      <c r="B397" s="599" t="s">
        <v>907</v>
      </c>
      <c r="C397" s="599" t="s">
        <v>6</v>
      </c>
      <c r="D397" s="599" t="s">
        <v>52</v>
      </c>
      <c r="E397" s="599" t="s">
        <v>58</v>
      </c>
      <c r="F397" s="600">
        <v>5</v>
      </c>
      <c r="G397" s="600">
        <v>3</v>
      </c>
      <c r="H397" s="600">
        <v>0</v>
      </c>
      <c r="I397" s="600">
        <v>0</v>
      </c>
      <c r="J397" s="600">
        <v>0</v>
      </c>
      <c r="K397" s="604" t="s">
        <v>902</v>
      </c>
      <c r="L397" s="604">
        <f t="shared" si="6"/>
        <v>3</v>
      </c>
    </row>
    <row r="398" spans="1:12" s="514" customFormat="1" ht="13" customHeight="1" x14ac:dyDescent="0.3">
      <c r="A398" s="601" t="s">
        <v>110</v>
      </c>
      <c r="B398" s="601" t="s">
        <v>907</v>
      </c>
      <c r="C398" s="601" t="s">
        <v>6</v>
      </c>
      <c r="D398" s="601" t="s">
        <v>57</v>
      </c>
      <c r="E398" s="601" t="s">
        <v>63</v>
      </c>
      <c r="F398" s="602">
        <v>95750</v>
      </c>
      <c r="G398" s="602">
        <v>83784</v>
      </c>
      <c r="H398" s="602">
        <v>766</v>
      </c>
      <c r="I398" s="602">
        <v>44</v>
      </c>
      <c r="J398" s="602">
        <v>250710</v>
      </c>
      <c r="K398" s="604" t="s">
        <v>902</v>
      </c>
      <c r="L398" s="604">
        <f t="shared" si="6"/>
        <v>3</v>
      </c>
    </row>
    <row r="399" spans="1:12" s="514" customFormat="1" ht="13" customHeight="1" x14ac:dyDescent="0.3">
      <c r="A399" s="601" t="s">
        <v>110</v>
      </c>
      <c r="B399" s="601" t="s">
        <v>907</v>
      </c>
      <c r="C399" s="601" t="s">
        <v>6</v>
      </c>
      <c r="D399" s="601" t="s">
        <v>52</v>
      </c>
      <c r="E399" s="601" t="s">
        <v>51</v>
      </c>
      <c r="F399" s="602">
        <v>1</v>
      </c>
      <c r="G399" s="602">
        <v>1</v>
      </c>
      <c r="H399" s="602">
        <v>0</v>
      </c>
      <c r="I399" s="602">
        <v>0</v>
      </c>
      <c r="J399" s="602">
        <v>0</v>
      </c>
      <c r="K399" s="604" t="s">
        <v>902</v>
      </c>
      <c r="L399" s="604">
        <f t="shared" si="6"/>
        <v>3</v>
      </c>
    </row>
    <row r="400" spans="1:12" s="514" customFormat="1" ht="13" customHeight="1" x14ac:dyDescent="0.3">
      <c r="A400" s="599" t="s">
        <v>110</v>
      </c>
      <c r="B400" s="599" t="s">
        <v>907</v>
      </c>
      <c r="C400" s="599" t="s">
        <v>6</v>
      </c>
      <c r="D400" s="599" t="s">
        <v>4</v>
      </c>
      <c r="E400" s="599" t="s">
        <v>41</v>
      </c>
      <c r="F400" s="600">
        <v>20</v>
      </c>
      <c r="G400" s="600">
        <v>17</v>
      </c>
      <c r="H400" s="600">
        <v>2</v>
      </c>
      <c r="I400" s="600">
        <v>0</v>
      </c>
      <c r="J400" s="600">
        <v>0</v>
      </c>
      <c r="K400" s="604" t="s">
        <v>902</v>
      </c>
      <c r="L400" s="604">
        <f t="shared" si="6"/>
        <v>3</v>
      </c>
    </row>
    <row r="401" spans="1:12" s="514" customFormat="1" ht="13" customHeight="1" x14ac:dyDescent="0.3">
      <c r="A401" s="601" t="s">
        <v>110</v>
      </c>
      <c r="B401" s="601" t="s">
        <v>907</v>
      </c>
      <c r="C401" s="601" t="s">
        <v>6</v>
      </c>
      <c r="D401" s="601" t="s">
        <v>57</v>
      </c>
      <c r="E401" s="601" t="s">
        <v>64</v>
      </c>
      <c r="F401" s="602">
        <v>152039</v>
      </c>
      <c r="G401" s="602">
        <v>136684</v>
      </c>
      <c r="H401" s="602">
        <v>624</v>
      </c>
      <c r="I401" s="602">
        <v>20</v>
      </c>
      <c r="J401" s="602">
        <v>185775</v>
      </c>
      <c r="K401" s="604" t="s">
        <v>902</v>
      </c>
      <c r="L401" s="604">
        <f t="shared" si="6"/>
        <v>3</v>
      </c>
    </row>
    <row r="402" spans="1:12" s="514" customFormat="1" ht="13" customHeight="1" x14ac:dyDescent="0.3">
      <c r="A402" s="601" t="s">
        <v>110</v>
      </c>
      <c r="B402" s="601" t="s">
        <v>907</v>
      </c>
      <c r="C402" s="601" t="s">
        <v>6</v>
      </c>
      <c r="D402" s="601" t="s">
        <v>55</v>
      </c>
      <c r="E402" s="601" t="s">
        <v>56</v>
      </c>
      <c r="F402" s="602">
        <v>2</v>
      </c>
      <c r="G402" s="602">
        <v>1</v>
      </c>
      <c r="H402" s="602">
        <v>0</v>
      </c>
      <c r="I402" s="602">
        <v>0</v>
      </c>
      <c r="J402" s="602">
        <v>0</v>
      </c>
      <c r="K402" s="604" t="s">
        <v>902</v>
      </c>
      <c r="L402" s="604">
        <f t="shared" si="6"/>
        <v>3</v>
      </c>
    </row>
    <row r="403" spans="1:12" s="514" customFormat="1" ht="13" customHeight="1" x14ac:dyDescent="0.3">
      <c r="A403" s="599" t="s">
        <v>110</v>
      </c>
      <c r="B403" s="599" t="s">
        <v>907</v>
      </c>
      <c r="C403" s="599" t="s">
        <v>6</v>
      </c>
      <c r="D403" s="599" t="s">
        <v>57</v>
      </c>
      <c r="E403" s="599" t="s">
        <v>65</v>
      </c>
      <c r="F403" s="600">
        <v>67153</v>
      </c>
      <c r="G403" s="600">
        <v>63677</v>
      </c>
      <c r="H403" s="600">
        <v>511</v>
      </c>
      <c r="I403" s="600">
        <v>32</v>
      </c>
      <c r="J403" s="600">
        <v>196200</v>
      </c>
      <c r="K403" s="604" t="s">
        <v>902</v>
      </c>
      <c r="L403" s="604">
        <f t="shared" si="6"/>
        <v>3</v>
      </c>
    </row>
    <row r="404" spans="1:12" s="514" customFormat="1" ht="13" customHeight="1" x14ac:dyDescent="0.3">
      <c r="A404" s="601" t="s">
        <v>110</v>
      </c>
      <c r="B404" s="601" t="s">
        <v>907</v>
      </c>
      <c r="C404" s="601" t="s">
        <v>6</v>
      </c>
      <c r="D404" s="601" t="s">
        <v>4</v>
      </c>
      <c r="E404" s="601" t="s">
        <v>43</v>
      </c>
      <c r="F404" s="602">
        <v>8670</v>
      </c>
      <c r="G404" s="602">
        <v>5019</v>
      </c>
      <c r="H404" s="602">
        <v>12</v>
      </c>
      <c r="I404" s="602">
        <v>4</v>
      </c>
      <c r="J404" s="602">
        <v>81895</v>
      </c>
      <c r="K404" s="604" t="s">
        <v>902</v>
      </c>
      <c r="L404" s="604">
        <f t="shared" si="6"/>
        <v>3</v>
      </c>
    </row>
    <row r="405" spans="1:12" s="514" customFormat="1" ht="13" customHeight="1" x14ac:dyDescent="0.3">
      <c r="A405" s="599" t="s">
        <v>110</v>
      </c>
      <c r="B405" s="599" t="s">
        <v>907</v>
      </c>
      <c r="C405" s="599" t="s">
        <v>6</v>
      </c>
      <c r="D405" s="599" t="s">
        <v>4</v>
      </c>
      <c r="E405" s="599" t="s">
        <v>42</v>
      </c>
      <c r="F405" s="600">
        <v>2</v>
      </c>
      <c r="G405" s="600">
        <v>1</v>
      </c>
      <c r="H405" s="600">
        <v>0</v>
      </c>
      <c r="I405" s="600">
        <v>0</v>
      </c>
      <c r="J405" s="600">
        <v>0</v>
      </c>
      <c r="K405" s="604" t="s">
        <v>902</v>
      </c>
      <c r="L405" s="604">
        <f t="shared" si="6"/>
        <v>3</v>
      </c>
    </row>
    <row r="406" spans="1:12" s="514" customFormat="1" ht="13" customHeight="1" x14ac:dyDescent="0.3">
      <c r="A406" s="601" t="s">
        <v>110</v>
      </c>
      <c r="B406" s="601" t="s">
        <v>907</v>
      </c>
      <c r="C406" s="601" t="s">
        <v>7</v>
      </c>
      <c r="D406" s="601" t="s">
        <v>55</v>
      </c>
      <c r="E406" s="601" t="s">
        <v>56</v>
      </c>
      <c r="F406" s="602">
        <v>2</v>
      </c>
      <c r="G406" s="602">
        <v>1</v>
      </c>
      <c r="H406" s="602">
        <v>0</v>
      </c>
      <c r="I406" s="602">
        <v>0</v>
      </c>
      <c r="J406" s="602">
        <v>0</v>
      </c>
      <c r="K406" s="604" t="s">
        <v>246</v>
      </c>
      <c r="L406" s="604">
        <f t="shared" ref="L406:L412" si="7">MONTH(B406)</f>
        <v>3</v>
      </c>
    </row>
    <row r="407" spans="1:12" s="514" customFormat="1" ht="13" customHeight="1" x14ac:dyDescent="0.3">
      <c r="A407" s="599" t="s">
        <v>110</v>
      </c>
      <c r="B407" s="599" t="s">
        <v>907</v>
      </c>
      <c r="C407" s="599" t="s">
        <v>7</v>
      </c>
      <c r="D407" s="599" t="s">
        <v>57</v>
      </c>
      <c r="E407" s="599" t="s">
        <v>64</v>
      </c>
      <c r="F407" s="600">
        <v>54787</v>
      </c>
      <c r="G407" s="600">
        <v>48762</v>
      </c>
      <c r="H407" s="600">
        <v>234</v>
      </c>
      <c r="I407" s="600">
        <v>10</v>
      </c>
      <c r="J407" s="600">
        <v>77400</v>
      </c>
      <c r="K407" s="604" t="s">
        <v>246</v>
      </c>
      <c r="L407" s="604">
        <f t="shared" si="7"/>
        <v>3</v>
      </c>
    </row>
    <row r="408" spans="1:12" s="514" customFormat="1" ht="13" customHeight="1" x14ac:dyDescent="0.3">
      <c r="A408" s="601" t="s">
        <v>110</v>
      </c>
      <c r="B408" s="601" t="s">
        <v>907</v>
      </c>
      <c r="C408" s="601" t="s">
        <v>7</v>
      </c>
      <c r="D408" s="601" t="s">
        <v>52</v>
      </c>
      <c r="E408" s="601" t="s">
        <v>60</v>
      </c>
      <c r="F408" s="602">
        <v>2</v>
      </c>
      <c r="G408" s="602">
        <v>2</v>
      </c>
      <c r="H408" s="602">
        <v>0</v>
      </c>
      <c r="I408" s="602">
        <v>0</v>
      </c>
      <c r="J408" s="602">
        <v>0</v>
      </c>
      <c r="K408" s="604" t="s">
        <v>246</v>
      </c>
      <c r="L408" s="604">
        <f t="shared" si="7"/>
        <v>3</v>
      </c>
    </row>
    <row r="409" spans="1:12" s="514" customFormat="1" ht="13" customHeight="1" x14ac:dyDescent="0.3">
      <c r="A409" s="599" t="s">
        <v>110</v>
      </c>
      <c r="B409" s="599" t="s">
        <v>907</v>
      </c>
      <c r="C409" s="599" t="s">
        <v>7</v>
      </c>
      <c r="D409" s="599" t="s">
        <v>52</v>
      </c>
      <c r="E409" s="599" t="s">
        <v>61</v>
      </c>
      <c r="F409" s="600">
        <v>64055</v>
      </c>
      <c r="G409" s="600">
        <v>60921</v>
      </c>
      <c r="H409" s="600">
        <v>1535</v>
      </c>
      <c r="I409" s="600">
        <v>157</v>
      </c>
      <c r="J409" s="600">
        <v>1806460</v>
      </c>
      <c r="K409" s="604" t="s">
        <v>246</v>
      </c>
      <c r="L409" s="604">
        <f t="shared" si="7"/>
        <v>3</v>
      </c>
    </row>
    <row r="410" spans="1:12" s="514" customFormat="1" ht="13" customHeight="1" x14ac:dyDescent="0.3">
      <c r="A410" s="601" t="s">
        <v>110</v>
      </c>
      <c r="B410" s="601" t="s">
        <v>907</v>
      </c>
      <c r="C410" s="601" t="s">
        <v>7</v>
      </c>
      <c r="D410" s="601" t="s">
        <v>4</v>
      </c>
      <c r="E410" s="601" t="s">
        <v>43</v>
      </c>
      <c r="F410" s="602">
        <v>2795</v>
      </c>
      <c r="G410" s="602">
        <v>1554</v>
      </c>
      <c r="H410" s="602">
        <v>25</v>
      </c>
      <c r="I410" s="602">
        <v>10</v>
      </c>
      <c r="J410" s="602">
        <v>109500</v>
      </c>
      <c r="K410" s="604" t="s">
        <v>246</v>
      </c>
      <c r="L410" s="604">
        <f t="shared" si="7"/>
        <v>3</v>
      </c>
    </row>
    <row r="411" spans="1:12" s="514" customFormat="1" ht="13" customHeight="1" x14ac:dyDescent="0.3">
      <c r="A411" s="599" t="s">
        <v>110</v>
      </c>
      <c r="B411" s="599" t="s">
        <v>907</v>
      </c>
      <c r="C411" s="599" t="s">
        <v>7</v>
      </c>
      <c r="D411" s="599" t="s">
        <v>57</v>
      </c>
      <c r="E411" s="599" t="s">
        <v>63</v>
      </c>
      <c r="F411" s="600">
        <v>47171</v>
      </c>
      <c r="G411" s="600">
        <v>41602</v>
      </c>
      <c r="H411" s="600">
        <v>694</v>
      </c>
      <c r="I411" s="600">
        <v>72</v>
      </c>
      <c r="J411" s="600">
        <v>1084000</v>
      </c>
      <c r="K411" s="604" t="s">
        <v>246</v>
      </c>
      <c r="L411" s="604">
        <f t="shared" si="7"/>
        <v>3</v>
      </c>
    </row>
    <row r="412" spans="1:12" s="514" customFormat="1" ht="13" customHeight="1" x14ac:dyDescent="0.3">
      <c r="A412" s="601" t="s">
        <v>110</v>
      </c>
      <c r="B412" s="601" t="s">
        <v>907</v>
      </c>
      <c r="C412" s="601" t="s">
        <v>7</v>
      </c>
      <c r="D412" s="601" t="s">
        <v>52</v>
      </c>
      <c r="E412" s="601" t="s">
        <v>51</v>
      </c>
      <c r="F412" s="602">
        <v>91</v>
      </c>
      <c r="G412" s="602">
        <v>87</v>
      </c>
      <c r="H412" s="602">
        <v>0</v>
      </c>
      <c r="I412" s="602">
        <v>0</v>
      </c>
      <c r="J412" s="602">
        <v>0</v>
      </c>
      <c r="K412" s="604" t="s">
        <v>246</v>
      </c>
      <c r="L412" s="604">
        <f t="shared" si="7"/>
        <v>3</v>
      </c>
    </row>
    <row r="413" spans="1:12" s="514" customFormat="1" ht="13" customHeight="1" x14ac:dyDescent="0.3">
      <c r="A413" s="599" t="s">
        <v>110</v>
      </c>
      <c r="B413" s="599" t="s">
        <v>907</v>
      </c>
      <c r="C413" s="599" t="s">
        <v>7</v>
      </c>
      <c r="D413" s="599" t="s">
        <v>4</v>
      </c>
      <c r="E413" s="599" t="s">
        <v>41</v>
      </c>
      <c r="F413" s="600">
        <v>276980</v>
      </c>
      <c r="G413" s="600">
        <v>276192</v>
      </c>
      <c r="H413" s="600">
        <v>422</v>
      </c>
      <c r="I413" s="600">
        <v>0</v>
      </c>
      <c r="J413" s="600">
        <v>0</v>
      </c>
      <c r="K413" s="604" t="s">
        <v>246</v>
      </c>
      <c r="L413" s="604">
        <f t="shared" ref="L413:L476" si="8">MONTH(B413)</f>
        <v>3</v>
      </c>
    </row>
    <row r="414" spans="1:12" s="514" customFormat="1" ht="13" customHeight="1" x14ac:dyDescent="0.3">
      <c r="A414" s="601" t="s">
        <v>110</v>
      </c>
      <c r="B414" s="601" t="s">
        <v>907</v>
      </c>
      <c r="C414" s="601" t="s">
        <v>7</v>
      </c>
      <c r="D414" s="601" t="s">
        <v>57</v>
      </c>
      <c r="E414" s="601" t="s">
        <v>65</v>
      </c>
      <c r="F414" s="602">
        <v>32410</v>
      </c>
      <c r="G414" s="602">
        <v>29606</v>
      </c>
      <c r="H414" s="602">
        <v>318</v>
      </c>
      <c r="I414" s="602">
        <v>26</v>
      </c>
      <c r="J414" s="602">
        <v>202800</v>
      </c>
      <c r="K414" s="604" t="s">
        <v>246</v>
      </c>
      <c r="L414" s="604">
        <f t="shared" si="8"/>
        <v>3</v>
      </c>
    </row>
    <row r="415" spans="1:12" s="514" customFormat="1" ht="13" customHeight="1" x14ac:dyDescent="0.3">
      <c r="A415" s="599" t="s">
        <v>110</v>
      </c>
      <c r="B415" s="599" t="s">
        <v>907</v>
      </c>
      <c r="C415" s="599" t="s">
        <v>7</v>
      </c>
      <c r="D415" s="599" t="s">
        <v>52</v>
      </c>
      <c r="E415" s="599" t="s">
        <v>58</v>
      </c>
      <c r="F415" s="600">
        <v>1</v>
      </c>
      <c r="G415" s="600">
        <v>1</v>
      </c>
      <c r="H415" s="600">
        <v>0</v>
      </c>
      <c r="I415" s="600">
        <v>0</v>
      </c>
      <c r="J415" s="600">
        <v>0</v>
      </c>
      <c r="K415" s="604" t="s">
        <v>246</v>
      </c>
      <c r="L415" s="604">
        <f t="shared" si="8"/>
        <v>3</v>
      </c>
    </row>
    <row r="416" spans="1:12" s="514" customFormat="1" ht="13" customHeight="1" x14ac:dyDescent="0.3">
      <c r="A416" s="601" t="s">
        <v>110</v>
      </c>
      <c r="B416" s="601" t="s">
        <v>907</v>
      </c>
      <c r="C416" s="601" t="s">
        <v>7</v>
      </c>
      <c r="D416" s="601" t="s">
        <v>55</v>
      </c>
      <c r="E416" s="601" t="s">
        <v>66</v>
      </c>
      <c r="F416" s="602">
        <v>1</v>
      </c>
      <c r="G416" s="602">
        <v>1</v>
      </c>
      <c r="H416" s="602">
        <v>0</v>
      </c>
      <c r="I416" s="602">
        <v>0</v>
      </c>
      <c r="J416" s="602">
        <v>0</v>
      </c>
      <c r="K416" s="604" t="s">
        <v>246</v>
      </c>
      <c r="L416" s="604">
        <f t="shared" si="8"/>
        <v>3</v>
      </c>
    </row>
    <row r="417" spans="1:12" s="514" customFormat="1" ht="13" customHeight="1" x14ac:dyDescent="0.3">
      <c r="A417" s="599" t="s">
        <v>110</v>
      </c>
      <c r="B417" s="599" t="s">
        <v>879</v>
      </c>
      <c r="C417" s="599" t="s">
        <v>40</v>
      </c>
      <c r="D417" s="599" t="s">
        <v>52</v>
      </c>
      <c r="E417" s="599" t="s">
        <v>60</v>
      </c>
      <c r="F417" s="600">
        <v>1</v>
      </c>
      <c r="G417" s="600">
        <v>0</v>
      </c>
      <c r="H417" s="600">
        <v>0</v>
      </c>
      <c r="I417" s="600">
        <v>0</v>
      </c>
      <c r="J417" s="600">
        <v>0</v>
      </c>
      <c r="K417" s="604" t="s">
        <v>560</v>
      </c>
      <c r="L417" s="604">
        <f t="shared" si="8"/>
        <v>4</v>
      </c>
    </row>
    <row r="418" spans="1:12" s="514" customFormat="1" ht="13" customHeight="1" x14ac:dyDescent="0.3">
      <c r="A418" s="601" t="s">
        <v>110</v>
      </c>
      <c r="B418" s="601" t="s">
        <v>879</v>
      </c>
      <c r="C418" s="601" t="s">
        <v>40</v>
      </c>
      <c r="D418" s="601" t="s">
        <v>52</v>
      </c>
      <c r="E418" s="601" t="s">
        <v>58</v>
      </c>
      <c r="F418" s="602">
        <v>4</v>
      </c>
      <c r="G418" s="602">
        <v>2</v>
      </c>
      <c r="H418" s="602">
        <v>0</v>
      </c>
      <c r="I418" s="602">
        <v>0</v>
      </c>
      <c r="J418" s="602">
        <v>0</v>
      </c>
      <c r="K418" s="604" t="s">
        <v>560</v>
      </c>
      <c r="L418" s="604">
        <f t="shared" si="8"/>
        <v>4</v>
      </c>
    </row>
    <row r="419" spans="1:12" s="514" customFormat="1" ht="13" customHeight="1" x14ac:dyDescent="0.3">
      <c r="A419" s="601" t="s">
        <v>110</v>
      </c>
      <c r="B419" s="601" t="s">
        <v>879</v>
      </c>
      <c r="C419" s="601" t="s">
        <v>40</v>
      </c>
      <c r="D419" s="601" t="s">
        <v>52</v>
      </c>
      <c r="E419" s="601" t="s">
        <v>51</v>
      </c>
      <c r="F419" s="602">
        <v>2</v>
      </c>
      <c r="G419" s="602">
        <v>1</v>
      </c>
      <c r="H419" s="602">
        <v>0</v>
      </c>
      <c r="I419" s="602">
        <v>0</v>
      </c>
      <c r="J419" s="602">
        <v>0</v>
      </c>
      <c r="K419" s="604" t="s">
        <v>560</v>
      </c>
      <c r="L419" s="604">
        <f t="shared" si="8"/>
        <v>4</v>
      </c>
    </row>
    <row r="420" spans="1:12" s="514" customFormat="1" ht="13" customHeight="1" x14ac:dyDescent="0.3">
      <c r="A420" s="599" t="s">
        <v>110</v>
      </c>
      <c r="B420" s="599" t="s">
        <v>879</v>
      </c>
      <c r="C420" s="599" t="s">
        <v>40</v>
      </c>
      <c r="D420" s="599" t="s">
        <v>57</v>
      </c>
      <c r="E420" s="599" t="s">
        <v>65</v>
      </c>
      <c r="F420" s="600">
        <v>18576</v>
      </c>
      <c r="G420" s="600">
        <v>16977</v>
      </c>
      <c r="H420" s="600">
        <v>323</v>
      </c>
      <c r="I420" s="600">
        <v>26</v>
      </c>
      <c r="J420" s="600">
        <v>436680</v>
      </c>
      <c r="K420" s="604" t="s">
        <v>560</v>
      </c>
      <c r="L420" s="604">
        <f t="shared" si="8"/>
        <v>4</v>
      </c>
    </row>
    <row r="421" spans="1:12" s="514" customFormat="1" ht="13" customHeight="1" x14ac:dyDescent="0.3">
      <c r="A421" s="601" t="s">
        <v>110</v>
      </c>
      <c r="B421" s="601" t="s">
        <v>879</v>
      </c>
      <c r="C421" s="601" t="s">
        <v>40</v>
      </c>
      <c r="D421" s="601" t="s">
        <v>52</v>
      </c>
      <c r="E421" s="601" t="s">
        <v>61</v>
      </c>
      <c r="F421" s="602">
        <v>14593</v>
      </c>
      <c r="G421" s="602">
        <v>13734</v>
      </c>
      <c r="H421" s="602">
        <v>657</v>
      </c>
      <c r="I421" s="602">
        <v>40</v>
      </c>
      <c r="J421" s="602">
        <v>519400</v>
      </c>
      <c r="K421" s="604" t="s">
        <v>560</v>
      </c>
      <c r="L421" s="604">
        <f t="shared" si="8"/>
        <v>4</v>
      </c>
    </row>
    <row r="422" spans="1:12" s="514" customFormat="1" ht="13" customHeight="1" x14ac:dyDescent="0.3">
      <c r="A422" s="601" t="s">
        <v>110</v>
      </c>
      <c r="B422" s="601" t="s">
        <v>879</v>
      </c>
      <c r="C422" s="601" t="s">
        <v>40</v>
      </c>
      <c r="D422" s="601" t="s">
        <v>4</v>
      </c>
      <c r="E422" s="601" t="s">
        <v>42</v>
      </c>
      <c r="F422" s="602">
        <v>6</v>
      </c>
      <c r="G422" s="602">
        <v>4</v>
      </c>
      <c r="H422" s="602">
        <v>0</v>
      </c>
      <c r="I422" s="602">
        <v>0</v>
      </c>
      <c r="J422" s="602">
        <v>0</v>
      </c>
      <c r="K422" s="604" t="s">
        <v>560</v>
      </c>
      <c r="L422" s="604">
        <f t="shared" si="8"/>
        <v>4</v>
      </c>
    </row>
    <row r="423" spans="1:12" s="514" customFormat="1" ht="13" customHeight="1" x14ac:dyDescent="0.3">
      <c r="A423" s="599" t="s">
        <v>110</v>
      </c>
      <c r="B423" s="599" t="s">
        <v>879</v>
      </c>
      <c r="C423" s="599" t="s">
        <v>40</v>
      </c>
      <c r="D423" s="599" t="s">
        <v>57</v>
      </c>
      <c r="E423" s="599" t="s">
        <v>64</v>
      </c>
      <c r="F423" s="600">
        <v>159555</v>
      </c>
      <c r="G423" s="600">
        <v>150247</v>
      </c>
      <c r="H423" s="600">
        <v>1556</v>
      </c>
      <c r="I423" s="600">
        <v>27</v>
      </c>
      <c r="J423" s="600">
        <v>326620</v>
      </c>
      <c r="K423" s="604" t="s">
        <v>560</v>
      </c>
      <c r="L423" s="604">
        <f t="shared" si="8"/>
        <v>4</v>
      </c>
    </row>
    <row r="424" spans="1:12" s="514" customFormat="1" ht="13" customHeight="1" x14ac:dyDescent="0.3">
      <c r="A424" s="599" t="s">
        <v>110</v>
      </c>
      <c r="B424" s="599" t="s">
        <v>879</v>
      </c>
      <c r="C424" s="599" t="s">
        <v>40</v>
      </c>
      <c r="D424" s="599" t="s">
        <v>55</v>
      </c>
      <c r="E424" s="599" t="s">
        <v>56</v>
      </c>
      <c r="F424" s="600">
        <v>17</v>
      </c>
      <c r="G424" s="600">
        <v>10</v>
      </c>
      <c r="H424" s="600">
        <v>0</v>
      </c>
      <c r="I424" s="600">
        <v>0</v>
      </c>
      <c r="J424" s="600">
        <v>0</v>
      </c>
      <c r="K424" s="604" t="s">
        <v>560</v>
      </c>
      <c r="L424" s="604">
        <f t="shared" si="8"/>
        <v>4</v>
      </c>
    </row>
    <row r="425" spans="1:12" s="514" customFormat="1" ht="13" customHeight="1" x14ac:dyDescent="0.3">
      <c r="A425" s="599" t="s">
        <v>110</v>
      </c>
      <c r="B425" s="599" t="s">
        <v>879</v>
      </c>
      <c r="C425" s="599" t="s">
        <v>40</v>
      </c>
      <c r="D425" s="599" t="s">
        <v>57</v>
      </c>
      <c r="E425" s="599" t="s">
        <v>63</v>
      </c>
      <c r="F425" s="600">
        <v>34980</v>
      </c>
      <c r="G425" s="600">
        <v>31601</v>
      </c>
      <c r="H425" s="600">
        <v>1193</v>
      </c>
      <c r="I425" s="600">
        <v>73</v>
      </c>
      <c r="J425" s="600">
        <v>1302645</v>
      </c>
      <c r="K425" s="604" t="s">
        <v>560</v>
      </c>
      <c r="L425" s="604">
        <f t="shared" si="8"/>
        <v>4</v>
      </c>
    </row>
    <row r="426" spans="1:12" s="514" customFormat="1" ht="13" customHeight="1" x14ac:dyDescent="0.3">
      <c r="A426" s="601" t="s">
        <v>110</v>
      </c>
      <c r="B426" s="601" t="s">
        <v>879</v>
      </c>
      <c r="C426" s="601" t="s">
        <v>40</v>
      </c>
      <c r="D426" s="601" t="s">
        <v>52</v>
      </c>
      <c r="E426" s="601" t="s">
        <v>67</v>
      </c>
      <c r="F426" s="602">
        <v>3</v>
      </c>
      <c r="G426" s="602">
        <v>3</v>
      </c>
      <c r="H426" s="602">
        <v>0</v>
      </c>
      <c r="I426" s="602">
        <v>0</v>
      </c>
      <c r="J426" s="602">
        <v>0</v>
      </c>
      <c r="K426" s="604" t="s">
        <v>560</v>
      </c>
      <c r="L426" s="604">
        <f t="shared" si="8"/>
        <v>4</v>
      </c>
    </row>
    <row r="427" spans="1:12" s="514" customFormat="1" ht="13" customHeight="1" x14ac:dyDescent="0.3">
      <c r="A427" s="599" t="s">
        <v>110</v>
      </c>
      <c r="B427" s="599" t="s">
        <v>879</v>
      </c>
      <c r="C427" s="599" t="s">
        <v>40</v>
      </c>
      <c r="D427" s="599" t="s">
        <v>4</v>
      </c>
      <c r="E427" s="599" t="s">
        <v>41</v>
      </c>
      <c r="F427" s="600">
        <v>50</v>
      </c>
      <c r="G427" s="600">
        <v>26</v>
      </c>
      <c r="H427" s="600">
        <v>2</v>
      </c>
      <c r="I427" s="600">
        <v>0</v>
      </c>
      <c r="J427" s="600">
        <v>0</v>
      </c>
      <c r="K427" s="604" t="s">
        <v>560</v>
      </c>
      <c r="L427" s="604">
        <f t="shared" si="8"/>
        <v>4</v>
      </c>
    </row>
    <row r="428" spans="1:12" s="514" customFormat="1" ht="13" customHeight="1" x14ac:dyDescent="0.3">
      <c r="A428" s="601" t="s">
        <v>110</v>
      </c>
      <c r="B428" s="601" t="s">
        <v>879</v>
      </c>
      <c r="C428" s="601" t="s">
        <v>40</v>
      </c>
      <c r="D428" s="601" t="s">
        <v>4</v>
      </c>
      <c r="E428" s="601" t="s">
        <v>43</v>
      </c>
      <c r="F428" s="602">
        <v>3042</v>
      </c>
      <c r="G428" s="602">
        <v>1677</v>
      </c>
      <c r="H428" s="602">
        <v>33</v>
      </c>
      <c r="I428" s="602">
        <v>7</v>
      </c>
      <c r="J428" s="602">
        <v>104790</v>
      </c>
      <c r="K428" s="604" t="s">
        <v>560</v>
      </c>
      <c r="L428" s="604">
        <f t="shared" si="8"/>
        <v>4</v>
      </c>
    </row>
    <row r="429" spans="1:12" s="514" customFormat="1" ht="13" customHeight="1" x14ac:dyDescent="0.3">
      <c r="A429" s="601" t="s">
        <v>110</v>
      </c>
      <c r="B429" s="601" t="s">
        <v>879</v>
      </c>
      <c r="C429" s="601" t="s">
        <v>6</v>
      </c>
      <c r="D429" s="601" t="s">
        <v>57</v>
      </c>
      <c r="E429" s="601" t="s">
        <v>65</v>
      </c>
      <c r="F429" s="602">
        <v>70348</v>
      </c>
      <c r="G429" s="602">
        <v>67008</v>
      </c>
      <c r="H429" s="602">
        <v>535</v>
      </c>
      <c r="I429" s="602">
        <v>59</v>
      </c>
      <c r="J429" s="602">
        <v>328210</v>
      </c>
      <c r="K429" s="604" t="s">
        <v>560</v>
      </c>
      <c r="L429" s="604">
        <f t="shared" si="8"/>
        <v>4</v>
      </c>
    </row>
    <row r="430" spans="1:12" s="514" customFormat="1" ht="13" customHeight="1" x14ac:dyDescent="0.3">
      <c r="A430" s="599" t="s">
        <v>110</v>
      </c>
      <c r="B430" s="599" t="s">
        <v>879</v>
      </c>
      <c r="C430" s="599" t="s">
        <v>6</v>
      </c>
      <c r="D430" s="599" t="s">
        <v>52</v>
      </c>
      <c r="E430" s="599" t="s">
        <v>58</v>
      </c>
      <c r="F430" s="600">
        <v>1</v>
      </c>
      <c r="G430" s="600">
        <v>0</v>
      </c>
      <c r="H430" s="600">
        <v>0</v>
      </c>
      <c r="I430" s="600">
        <v>0</v>
      </c>
      <c r="J430" s="600">
        <v>0</v>
      </c>
      <c r="K430" s="604" t="s">
        <v>560</v>
      </c>
      <c r="L430" s="604">
        <f t="shared" si="8"/>
        <v>4</v>
      </c>
    </row>
    <row r="431" spans="1:12" s="514" customFormat="1" ht="13" customHeight="1" x14ac:dyDescent="0.3">
      <c r="A431" s="599" t="s">
        <v>110</v>
      </c>
      <c r="B431" s="599" t="s">
        <v>879</v>
      </c>
      <c r="C431" s="599" t="s">
        <v>6</v>
      </c>
      <c r="D431" s="599" t="s">
        <v>57</v>
      </c>
      <c r="E431" s="599" t="s">
        <v>63</v>
      </c>
      <c r="F431" s="600">
        <v>37920</v>
      </c>
      <c r="G431" s="600">
        <v>34410</v>
      </c>
      <c r="H431" s="600">
        <v>784</v>
      </c>
      <c r="I431" s="600">
        <v>30</v>
      </c>
      <c r="J431" s="600">
        <v>174160</v>
      </c>
      <c r="K431" s="604" t="s">
        <v>560</v>
      </c>
      <c r="L431" s="604">
        <f t="shared" si="8"/>
        <v>4</v>
      </c>
    </row>
    <row r="432" spans="1:12" s="514" customFormat="1" ht="13" customHeight="1" x14ac:dyDescent="0.3">
      <c r="A432" s="599" t="s">
        <v>110</v>
      </c>
      <c r="B432" s="599" t="s">
        <v>879</v>
      </c>
      <c r="C432" s="599" t="s">
        <v>6</v>
      </c>
      <c r="D432" s="599" t="s">
        <v>52</v>
      </c>
      <c r="E432" s="599" t="s">
        <v>61</v>
      </c>
      <c r="F432" s="600">
        <v>2</v>
      </c>
      <c r="G432" s="600">
        <v>2</v>
      </c>
      <c r="H432" s="600">
        <v>0</v>
      </c>
      <c r="I432" s="600">
        <v>0</v>
      </c>
      <c r="J432" s="600">
        <v>0</v>
      </c>
      <c r="K432" s="604" t="s">
        <v>560</v>
      </c>
      <c r="L432" s="604">
        <f t="shared" si="8"/>
        <v>4</v>
      </c>
    </row>
    <row r="433" spans="1:12" s="514" customFormat="1" ht="13" customHeight="1" x14ac:dyDescent="0.3">
      <c r="A433" s="601" t="s">
        <v>110</v>
      </c>
      <c r="B433" s="601" t="s">
        <v>879</v>
      </c>
      <c r="C433" s="601" t="s">
        <v>6</v>
      </c>
      <c r="D433" s="601" t="s">
        <v>4</v>
      </c>
      <c r="E433" s="601" t="s">
        <v>41</v>
      </c>
      <c r="F433" s="602">
        <v>12</v>
      </c>
      <c r="G433" s="602">
        <v>11</v>
      </c>
      <c r="H433" s="602">
        <v>0</v>
      </c>
      <c r="I433" s="602">
        <v>0</v>
      </c>
      <c r="J433" s="602">
        <v>0</v>
      </c>
      <c r="K433" s="604" t="s">
        <v>560</v>
      </c>
      <c r="L433" s="604">
        <f t="shared" si="8"/>
        <v>4</v>
      </c>
    </row>
    <row r="434" spans="1:12" s="514" customFormat="1" ht="13" customHeight="1" x14ac:dyDescent="0.3">
      <c r="A434" s="599" t="s">
        <v>110</v>
      </c>
      <c r="B434" s="599" t="s">
        <v>879</v>
      </c>
      <c r="C434" s="599" t="s">
        <v>6</v>
      </c>
      <c r="D434" s="599" t="s">
        <v>55</v>
      </c>
      <c r="E434" s="599" t="s">
        <v>54</v>
      </c>
      <c r="F434" s="600">
        <v>6361</v>
      </c>
      <c r="G434" s="600">
        <v>5562</v>
      </c>
      <c r="H434" s="600">
        <v>26</v>
      </c>
      <c r="I434" s="600">
        <v>0</v>
      </c>
      <c r="J434" s="600">
        <v>0</v>
      </c>
      <c r="K434" s="604" t="s">
        <v>560</v>
      </c>
      <c r="L434" s="604">
        <f t="shared" si="8"/>
        <v>4</v>
      </c>
    </row>
    <row r="435" spans="1:12" s="514" customFormat="1" ht="13" customHeight="1" x14ac:dyDescent="0.3">
      <c r="A435" s="601" t="s">
        <v>110</v>
      </c>
      <c r="B435" s="601" t="s">
        <v>879</v>
      </c>
      <c r="C435" s="601" t="s">
        <v>6</v>
      </c>
      <c r="D435" s="601" t="s">
        <v>4</v>
      </c>
      <c r="E435" s="601" t="s">
        <v>42</v>
      </c>
      <c r="F435" s="602">
        <v>1</v>
      </c>
      <c r="G435" s="602">
        <v>1</v>
      </c>
      <c r="H435" s="602">
        <v>0</v>
      </c>
      <c r="I435" s="602">
        <v>0</v>
      </c>
      <c r="J435" s="602">
        <v>0</v>
      </c>
      <c r="K435" s="604" t="s">
        <v>560</v>
      </c>
      <c r="L435" s="604">
        <f t="shared" si="8"/>
        <v>4</v>
      </c>
    </row>
    <row r="436" spans="1:12" s="514" customFormat="1" ht="13" customHeight="1" x14ac:dyDescent="0.3">
      <c r="A436" s="601" t="s">
        <v>110</v>
      </c>
      <c r="B436" s="601" t="s">
        <v>879</v>
      </c>
      <c r="C436" s="601" t="s">
        <v>6</v>
      </c>
      <c r="D436" s="601" t="s">
        <v>52</v>
      </c>
      <c r="E436" s="601" t="s">
        <v>51</v>
      </c>
      <c r="F436" s="602">
        <v>1</v>
      </c>
      <c r="G436" s="602">
        <v>1</v>
      </c>
      <c r="H436" s="602">
        <v>0</v>
      </c>
      <c r="I436" s="602">
        <v>0</v>
      </c>
      <c r="J436" s="602">
        <v>0</v>
      </c>
      <c r="K436" s="604" t="s">
        <v>560</v>
      </c>
      <c r="L436" s="604">
        <f t="shared" si="8"/>
        <v>4</v>
      </c>
    </row>
    <row r="437" spans="1:12" s="514" customFormat="1" ht="13" customHeight="1" x14ac:dyDescent="0.3">
      <c r="A437" s="599" t="s">
        <v>110</v>
      </c>
      <c r="B437" s="599" t="s">
        <v>879</v>
      </c>
      <c r="C437" s="599" t="s">
        <v>6</v>
      </c>
      <c r="D437" s="599" t="s">
        <v>57</v>
      </c>
      <c r="E437" s="599" t="s">
        <v>64</v>
      </c>
      <c r="F437" s="600">
        <v>147094</v>
      </c>
      <c r="G437" s="600">
        <v>138420</v>
      </c>
      <c r="H437" s="600">
        <v>602</v>
      </c>
      <c r="I437" s="600">
        <v>23</v>
      </c>
      <c r="J437" s="600">
        <v>114465</v>
      </c>
      <c r="K437" s="604" t="s">
        <v>560</v>
      </c>
      <c r="L437" s="604">
        <f t="shared" si="8"/>
        <v>4</v>
      </c>
    </row>
    <row r="438" spans="1:12" s="514" customFormat="1" ht="13" customHeight="1" x14ac:dyDescent="0.3">
      <c r="A438" s="601" t="s">
        <v>110</v>
      </c>
      <c r="B438" s="601" t="s">
        <v>879</v>
      </c>
      <c r="C438" s="601" t="s">
        <v>6</v>
      </c>
      <c r="D438" s="601" t="s">
        <v>55</v>
      </c>
      <c r="E438" s="601" t="s">
        <v>56</v>
      </c>
      <c r="F438" s="602">
        <v>6</v>
      </c>
      <c r="G438" s="602">
        <v>6</v>
      </c>
      <c r="H438" s="602">
        <v>1</v>
      </c>
      <c r="I438" s="602">
        <v>0</v>
      </c>
      <c r="J438" s="602">
        <v>0</v>
      </c>
      <c r="K438" s="604" t="s">
        <v>560</v>
      </c>
      <c r="L438" s="604">
        <f t="shared" si="8"/>
        <v>4</v>
      </c>
    </row>
    <row r="439" spans="1:12" s="514" customFormat="1" ht="13" customHeight="1" x14ac:dyDescent="0.3">
      <c r="A439" s="599" t="s">
        <v>110</v>
      </c>
      <c r="B439" s="599" t="s">
        <v>879</v>
      </c>
      <c r="C439" s="599" t="s">
        <v>6</v>
      </c>
      <c r="D439" s="599" t="s">
        <v>4</v>
      </c>
      <c r="E439" s="599" t="s">
        <v>43</v>
      </c>
      <c r="F439" s="600">
        <v>3515</v>
      </c>
      <c r="G439" s="600">
        <v>2112</v>
      </c>
      <c r="H439" s="600">
        <v>13</v>
      </c>
      <c r="I439" s="600">
        <v>6</v>
      </c>
      <c r="J439" s="600">
        <v>43205</v>
      </c>
      <c r="K439" s="604" t="s">
        <v>560</v>
      </c>
      <c r="L439" s="604">
        <f t="shared" si="8"/>
        <v>4</v>
      </c>
    </row>
    <row r="440" spans="1:12" s="514" customFormat="1" ht="13" customHeight="1" x14ac:dyDescent="0.3">
      <c r="A440" s="599" t="s">
        <v>110</v>
      </c>
      <c r="B440" s="599" t="s">
        <v>879</v>
      </c>
      <c r="C440" s="599" t="s">
        <v>7</v>
      </c>
      <c r="D440" s="599" t="s">
        <v>57</v>
      </c>
      <c r="E440" s="599" t="s">
        <v>63</v>
      </c>
      <c r="F440" s="600">
        <v>51260</v>
      </c>
      <c r="G440" s="600">
        <v>45211</v>
      </c>
      <c r="H440" s="600">
        <v>1393</v>
      </c>
      <c r="I440" s="600">
        <v>102</v>
      </c>
      <c r="J440" s="600">
        <v>1036920</v>
      </c>
      <c r="K440" s="604" t="s">
        <v>560</v>
      </c>
      <c r="L440" s="604">
        <f t="shared" si="8"/>
        <v>4</v>
      </c>
    </row>
    <row r="441" spans="1:12" s="514" customFormat="1" ht="13" customHeight="1" x14ac:dyDescent="0.3">
      <c r="A441" s="601" t="s">
        <v>110</v>
      </c>
      <c r="B441" s="601" t="s">
        <v>879</v>
      </c>
      <c r="C441" s="601" t="s">
        <v>7</v>
      </c>
      <c r="D441" s="601" t="s">
        <v>52</v>
      </c>
      <c r="E441" s="601" t="s">
        <v>51</v>
      </c>
      <c r="F441" s="602">
        <v>80</v>
      </c>
      <c r="G441" s="602">
        <v>77</v>
      </c>
      <c r="H441" s="602">
        <v>0</v>
      </c>
      <c r="I441" s="602">
        <v>0</v>
      </c>
      <c r="J441" s="602">
        <v>0</v>
      </c>
      <c r="K441" s="604" t="s">
        <v>560</v>
      </c>
      <c r="L441" s="604">
        <f t="shared" si="8"/>
        <v>4</v>
      </c>
    </row>
    <row r="442" spans="1:12" s="514" customFormat="1" ht="13" customHeight="1" x14ac:dyDescent="0.3">
      <c r="A442" s="599" t="s">
        <v>110</v>
      </c>
      <c r="B442" s="599" t="s">
        <v>879</v>
      </c>
      <c r="C442" s="599" t="s">
        <v>7</v>
      </c>
      <c r="D442" s="599" t="s">
        <v>4</v>
      </c>
      <c r="E442" s="599" t="s">
        <v>41</v>
      </c>
      <c r="F442" s="600">
        <v>178904</v>
      </c>
      <c r="G442" s="600">
        <v>178540</v>
      </c>
      <c r="H442" s="600">
        <v>481</v>
      </c>
      <c r="I442" s="600">
        <v>0</v>
      </c>
      <c r="J442" s="600">
        <v>0</v>
      </c>
      <c r="K442" s="604" t="s">
        <v>560</v>
      </c>
      <c r="L442" s="604">
        <f t="shared" si="8"/>
        <v>4</v>
      </c>
    </row>
    <row r="443" spans="1:12" s="514" customFormat="1" ht="13" customHeight="1" x14ac:dyDescent="0.3">
      <c r="A443" s="601" t="s">
        <v>110</v>
      </c>
      <c r="B443" s="601" t="s">
        <v>879</v>
      </c>
      <c r="C443" s="601" t="s">
        <v>7</v>
      </c>
      <c r="D443" s="601" t="s">
        <v>57</v>
      </c>
      <c r="E443" s="601" t="s">
        <v>64</v>
      </c>
      <c r="F443" s="602">
        <v>45358</v>
      </c>
      <c r="G443" s="602">
        <v>39456</v>
      </c>
      <c r="H443" s="602">
        <v>265</v>
      </c>
      <c r="I443" s="602">
        <v>6</v>
      </c>
      <c r="J443" s="602">
        <v>48600</v>
      </c>
      <c r="K443" s="604" t="s">
        <v>560</v>
      </c>
      <c r="L443" s="604">
        <f t="shared" si="8"/>
        <v>4</v>
      </c>
    </row>
    <row r="444" spans="1:12" s="514" customFormat="1" ht="13" customHeight="1" x14ac:dyDescent="0.3">
      <c r="A444" s="599" t="s">
        <v>110</v>
      </c>
      <c r="B444" s="599" t="s">
        <v>879</v>
      </c>
      <c r="C444" s="599" t="s">
        <v>7</v>
      </c>
      <c r="D444" s="599" t="s">
        <v>52</v>
      </c>
      <c r="E444" s="599" t="s">
        <v>58</v>
      </c>
      <c r="F444" s="600">
        <v>5</v>
      </c>
      <c r="G444" s="600">
        <v>3</v>
      </c>
      <c r="H444" s="600">
        <v>0</v>
      </c>
      <c r="I444" s="600">
        <v>0</v>
      </c>
      <c r="J444" s="600">
        <v>0</v>
      </c>
      <c r="K444" s="604" t="s">
        <v>560</v>
      </c>
      <c r="L444" s="604">
        <f t="shared" si="8"/>
        <v>4</v>
      </c>
    </row>
    <row r="445" spans="1:12" s="514" customFormat="1" ht="13" customHeight="1" x14ac:dyDescent="0.3">
      <c r="A445" s="601" t="s">
        <v>110</v>
      </c>
      <c r="B445" s="601" t="s">
        <v>879</v>
      </c>
      <c r="C445" s="601" t="s">
        <v>7</v>
      </c>
      <c r="D445" s="601" t="s">
        <v>55</v>
      </c>
      <c r="E445" s="601" t="s">
        <v>56</v>
      </c>
      <c r="F445" s="602">
        <v>5</v>
      </c>
      <c r="G445" s="602">
        <v>4</v>
      </c>
      <c r="H445" s="602">
        <v>0</v>
      </c>
      <c r="I445" s="602">
        <v>0</v>
      </c>
      <c r="J445" s="602">
        <v>0</v>
      </c>
      <c r="K445" s="604" t="s">
        <v>560</v>
      </c>
      <c r="L445" s="604">
        <f t="shared" si="8"/>
        <v>4</v>
      </c>
    </row>
    <row r="446" spans="1:12" s="514" customFormat="1" ht="13" customHeight="1" x14ac:dyDescent="0.3">
      <c r="A446" s="599" t="s">
        <v>110</v>
      </c>
      <c r="B446" s="599" t="s">
        <v>879</v>
      </c>
      <c r="C446" s="599" t="s">
        <v>7</v>
      </c>
      <c r="D446" s="599" t="s">
        <v>57</v>
      </c>
      <c r="E446" s="599" t="s">
        <v>65</v>
      </c>
      <c r="F446" s="600">
        <v>29928</v>
      </c>
      <c r="G446" s="600">
        <v>27233</v>
      </c>
      <c r="H446" s="600">
        <v>308</v>
      </c>
      <c r="I446" s="600">
        <v>17</v>
      </c>
      <c r="J446" s="600">
        <v>142700</v>
      </c>
      <c r="K446" s="604" t="s">
        <v>560</v>
      </c>
      <c r="L446" s="604">
        <f t="shared" si="8"/>
        <v>4</v>
      </c>
    </row>
    <row r="447" spans="1:12" s="514" customFormat="1" ht="13" customHeight="1" x14ac:dyDescent="0.3">
      <c r="A447" s="601" t="s">
        <v>110</v>
      </c>
      <c r="B447" s="601" t="s">
        <v>879</v>
      </c>
      <c r="C447" s="601" t="s">
        <v>7</v>
      </c>
      <c r="D447" s="601" t="s">
        <v>52</v>
      </c>
      <c r="E447" s="601" t="s">
        <v>61</v>
      </c>
      <c r="F447" s="602">
        <v>57574</v>
      </c>
      <c r="G447" s="602">
        <v>54520</v>
      </c>
      <c r="H447" s="602">
        <v>1444</v>
      </c>
      <c r="I447" s="602">
        <v>146</v>
      </c>
      <c r="J447" s="602">
        <v>1434120</v>
      </c>
      <c r="K447" s="604" t="s">
        <v>560</v>
      </c>
      <c r="L447" s="604">
        <f t="shared" si="8"/>
        <v>4</v>
      </c>
    </row>
    <row r="448" spans="1:12" s="514" customFormat="1" ht="13" customHeight="1" x14ac:dyDescent="0.3">
      <c r="A448" s="599" t="s">
        <v>110</v>
      </c>
      <c r="B448" s="599" t="s">
        <v>879</v>
      </c>
      <c r="C448" s="599" t="s">
        <v>7</v>
      </c>
      <c r="D448" s="599" t="s">
        <v>4</v>
      </c>
      <c r="E448" s="599" t="s">
        <v>43</v>
      </c>
      <c r="F448" s="600">
        <v>2576</v>
      </c>
      <c r="G448" s="600">
        <v>1536</v>
      </c>
      <c r="H448" s="600">
        <v>34</v>
      </c>
      <c r="I448" s="600">
        <v>14</v>
      </c>
      <c r="J448" s="600">
        <v>252740</v>
      </c>
      <c r="K448" s="604" t="s">
        <v>560</v>
      </c>
      <c r="L448" s="604">
        <f t="shared" si="8"/>
        <v>4</v>
      </c>
    </row>
    <row r="449" spans="1:12" s="514" customFormat="1" ht="13" customHeight="1" x14ac:dyDescent="0.3">
      <c r="A449" s="601" t="s">
        <v>110</v>
      </c>
      <c r="B449" s="601" t="s">
        <v>880</v>
      </c>
      <c r="C449" s="601" t="s">
        <v>40</v>
      </c>
      <c r="D449" s="601" t="s">
        <v>57</v>
      </c>
      <c r="E449" s="601" t="s">
        <v>65</v>
      </c>
      <c r="F449" s="602">
        <v>25705</v>
      </c>
      <c r="G449" s="602">
        <v>23701</v>
      </c>
      <c r="H449" s="602">
        <v>354</v>
      </c>
      <c r="I449" s="602">
        <v>27</v>
      </c>
      <c r="J449" s="602">
        <v>233520</v>
      </c>
      <c r="K449" s="604" t="s">
        <v>560</v>
      </c>
      <c r="L449" s="604">
        <f t="shared" si="8"/>
        <v>5</v>
      </c>
    </row>
    <row r="450" spans="1:12" s="514" customFormat="1" ht="13" customHeight="1" x14ac:dyDescent="0.3">
      <c r="A450" s="599" t="s">
        <v>110</v>
      </c>
      <c r="B450" s="599" t="s">
        <v>880</v>
      </c>
      <c r="C450" s="599" t="s">
        <v>40</v>
      </c>
      <c r="D450" s="599" t="s">
        <v>52</v>
      </c>
      <c r="E450" s="599" t="s">
        <v>58</v>
      </c>
      <c r="F450" s="600">
        <v>13</v>
      </c>
      <c r="G450" s="600">
        <v>10</v>
      </c>
      <c r="H450" s="600">
        <v>0</v>
      </c>
      <c r="I450" s="600">
        <v>0</v>
      </c>
      <c r="J450" s="600">
        <v>0</v>
      </c>
      <c r="K450" s="604" t="s">
        <v>560</v>
      </c>
      <c r="L450" s="604">
        <f t="shared" si="8"/>
        <v>5</v>
      </c>
    </row>
    <row r="451" spans="1:12" s="514" customFormat="1" ht="13" customHeight="1" x14ac:dyDescent="0.3">
      <c r="A451" s="601" t="s">
        <v>110</v>
      </c>
      <c r="B451" s="601" t="s">
        <v>880</v>
      </c>
      <c r="C451" s="601" t="s">
        <v>40</v>
      </c>
      <c r="D451" s="601" t="s">
        <v>4</v>
      </c>
      <c r="E451" s="601" t="s">
        <v>43</v>
      </c>
      <c r="F451" s="602">
        <v>5075</v>
      </c>
      <c r="G451" s="602">
        <v>3115</v>
      </c>
      <c r="H451" s="602">
        <v>39</v>
      </c>
      <c r="I451" s="602">
        <v>4</v>
      </c>
      <c r="J451" s="602">
        <v>22140</v>
      </c>
      <c r="K451" s="604" t="s">
        <v>560</v>
      </c>
      <c r="L451" s="604">
        <f t="shared" si="8"/>
        <v>5</v>
      </c>
    </row>
    <row r="452" spans="1:12" s="514" customFormat="1" ht="13" customHeight="1" x14ac:dyDescent="0.3">
      <c r="A452" s="599" t="s">
        <v>110</v>
      </c>
      <c r="B452" s="599" t="s">
        <v>880</v>
      </c>
      <c r="C452" s="599" t="s">
        <v>40</v>
      </c>
      <c r="D452" s="599" t="s">
        <v>55</v>
      </c>
      <c r="E452" s="599" t="s">
        <v>56</v>
      </c>
      <c r="F452" s="600">
        <v>15</v>
      </c>
      <c r="G452" s="600">
        <v>10</v>
      </c>
      <c r="H452" s="600">
        <v>0</v>
      </c>
      <c r="I452" s="600">
        <v>0</v>
      </c>
      <c r="J452" s="600">
        <v>0</v>
      </c>
      <c r="K452" s="604" t="s">
        <v>560</v>
      </c>
      <c r="L452" s="604">
        <f t="shared" si="8"/>
        <v>5</v>
      </c>
    </row>
    <row r="453" spans="1:12" s="514" customFormat="1" ht="13" customHeight="1" x14ac:dyDescent="0.3">
      <c r="A453" s="601" t="s">
        <v>110</v>
      </c>
      <c r="B453" s="601" t="s">
        <v>880</v>
      </c>
      <c r="C453" s="601" t="s">
        <v>40</v>
      </c>
      <c r="D453" s="601" t="s">
        <v>4</v>
      </c>
      <c r="E453" s="601" t="s">
        <v>41</v>
      </c>
      <c r="F453" s="602">
        <v>79</v>
      </c>
      <c r="G453" s="602">
        <v>49</v>
      </c>
      <c r="H453" s="602">
        <v>3</v>
      </c>
      <c r="I453" s="602">
        <v>0</v>
      </c>
      <c r="J453" s="602">
        <v>0</v>
      </c>
      <c r="K453" s="604" t="s">
        <v>560</v>
      </c>
      <c r="L453" s="604">
        <f t="shared" si="8"/>
        <v>5</v>
      </c>
    </row>
    <row r="454" spans="1:12" s="514" customFormat="1" ht="13" customHeight="1" x14ac:dyDescent="0.3">
      <c r="A454" s="601" t="s">
        <v>110</v>
      </c>
      <c r="B454" s="601" t="s">
        <v>880</v>
      </c>
      <c r="C454" s="601" t="s">
        <v>40</v>
      </c>
      <c r="D454" s="601" t="s">
        <v>57</v>
      </c>
      <c r="E454" s="601" t="s">
        <v>63</v>
      </c>
      <c r="F454" s="602">
        <v>68916</v>
      </c>
      <c r="G454" s="602">
        <v>63730</v>
      </c>
      <c r="H454" s="602">
        <v>1825</v>
      </c>
      <c r="I454" s="602">
        <v>125</v>
      </c>
      <c r="J454" s="602">
        <v>1805590</v>
      </c>
      <c r="K454" s="604" t="s">
        <v>560</v>
      </c>
      <c r="L454" s="604">
        <f t="shared" si="8"/>
        <v>5</v>
      </c>
    </row>
    <row r="455" spans="1:12" s="514" customFormat="1" ht="13" customHeight="1" x14ac:dyDescent="0.3">
      <c r="A455" s="601" t="s">
        <v>110</v>
      </c>
      <c r="B455" s="601" t="s">
        <v>880</v>
      </c>
      <c r="C455" s="601" t="s">
        <v>40</v>
      </c>
      <c r="D455" s="601" t="s">
        <v>52</v>
      </c>
      <c r="E455" s="601" t="s">
        <v>53</v>
      </c>
      <c r="F455" s="602">
        <v>62666</v>
      </c>
      <c r="G455" s="602">
        <v>59415</v>
      </c>
      <c r="H455" s="602">
        <v>0</v>
      </c>
      <c r="I455" s="602">
        <v>0</v>
      </c>
      <c r="J455" s="602">
        <v>0</v>
      </c>
      <c r="K455" s="604" t="s">
        <v>560</v>
      </c>
      <c r="L455" s="604">
        <f t="shared" si="8"/>
        <v>5</v>
      </c>
    </row>
    <row r="456" spans="1:12" s="514" customFormat="1" ht="13" customHeight="1" x14ac:dyDescent="0.3">
      <c r="A456" s="599" t="s">
        <v>110</v>
      </c>
      <c r="B456" s="599" t="s">
        <v>880</v>
      </c>
      <c r="C456" s="599" t="s">
        <v>40</v>
      </c>
      <c r="D456" s="599" t="s">
        <v>52</v>
      </c>
      <c r="E456" s="599" t="s">
        <v>67</v>
      </c>
      <c r="F456" s="600">
        <v>1</v>
      </c>
      <c r="G456" s="600">
        <v>1</v>
      </c>
      <c r="H456" s="600">
        <v>0</v>
      </c>
      <c r="I456" s="600">
        <v>0</v>
      </c>
      <c r="J456" s="600">
        <v>0</v>
      </c>
      <c r="K456" s="604" t="s">
        <v>560</v>
      </c>
      <c r="L456" s="604">
        <f t="shared" si="8"/>
        <v>5</v>
      </c>
    </row>
    <row r="457" spans="1:12" s="514" customFormat="1" ht="13" customHeight="1" x14ac:dyDescent="0.3">
      <c r="A457" s="599" t="s">
        <v>110</v>
      </c>
      <c r="B457" s="599" t="s">
        <v>880</v>
      </c>
      <c r="C457" s="599" t="s">
        <v>40</v>
      </c>
      <c r="D457" s="599" t="s">
        <v>52</v>
      </c>
      <c r="E457" s="599" t="s">
        <v>51</v>
      </c>
      <c r="F457" s="600">
        <v>5</v>
      </c>
      <c r="G457" s="600">
        <v>3</v>
      </c>
      <c r="H457" s="600">
        <v>0</v>
      </c>
      <c r="I457" s="600">
        <v>0</v>
      </c>
      <c r="J457" s="600">
        <v>0</v>
      </c>
      <c r="K457" s="604" t="s">
        <v>560</v>
      </c>
      <c r="L457" s="604">
        <f t="shared" si="8"/>
        <v>5</v>
      </c>
    </row>
    <row r="458" spans="1:12" s="514" customFormat="1" ht="13" customHeight="1" x14ac:dyDescent="0.3">
      <c r="A458" s="601" t="s">
        <v>110</v>
      </c>
      <c r="B458" s="601" t="s">
        <v>880</v>
      </c>
      <c r="C458" s="601" t="s">
        <v>40</v>
      </c>
      <c r="D458" s="601" t="s">
        <v>55</v>
      </c>
      <c r="E458" s="601" t="s">
        <v>66</v>
      </c>
      <c r="F458" s="602">
        <v>1</v>
      </c>
      <c r="G458" s="602">
        <v>0</v>
      </c>
      <c r="H458" s="602">
        <v>0</v>
      </c>
      <c r="I458" s="602">
        <v>0</v>
      </c>
      <c r="J458" s="602">
        <v>0</v>
      </c>
      <c r="K458" s="604" t="s">
        <v>560</v>
      </c>
      <c r="L458" s="604">
        <f t="shared" si="8"/>
        <v>5</v>
      </c>
    </row>
    <row r="459" spans="1:12" s="514" customFormat="1" ht="13" customHeight="1" x14ac:dyDescent="0.3">
      <c r="A459" s="599" t="s">
        <v>110</v>
      </c>
      <c r="B459" s="599" t="s">
        <v>880</v>
      </c>
      <c r="C459" s="599" t="s">
        <v>40</v>
      </c>
      <c r="D459" s="599" t="s">
        <v>4</v>
      </c>
      <c r="E459" s="599" t="s">
        <v>42</v>
      </c>
      <c r="F459" s="600">
        <v>2</v>
      </c>
      <c r="G459" s="600">
        <v>1</v>
      </c>
      <c r="H459" s="600">
        <v>0</v>
      </c>
      <c r="I459" s="600">
        <v>0</v>
      </c>
      <c r="J459" s="600">
        <v>0</v>
      </c>
      <c r="K459" s="604" t="s">
        <v>560</v>
      </c>
      <c r="L459" s="604">
        <f t="shared" si="8"/>
        <v>5</v>
      </c>
    </row>
    <row r="460" spans="1:12" s="514" customFormat="1" ht="13" customHeight="1" x14ac:dyDescent="0.3">
      <c r="A460" s="599" t="s">
        <v>110</v>
      </c>
      <c r="B460" s="599" t="s">
        <v>880</v>
      </c>
      <c r="C460" s="599" t="s">
        <v>40</v>
      </c>
      <c r="D460" s="599" t="s">
        <v>57</v>
      </c>
      <c r="E460" s="599" t="s">
        <v>64</v>
      </c>
      <c r="F460" s="600">
        <v>174838</v>
      </c>
      <c r="G460" s="600">
        <v>158174</v>
      </c>
      <c r="H460" s="600">
        <v>1860</v>
      </c>
      <c r="I460" s="600">
        <v>55</v>
      </c>
      <c r="J460" s="600">
        <v>616105</v>
      </c>
      <c r="K460" s="604" t="s">
        <v>560</v>
      </c>
      <c r="L460" s="604">
        <f t="shared" si="8"/>
        <v>5</v>
      </c>
    </row>
    <row r="461" spans="1:12" s="514" customFormat="1" ht="13" customHeight="1" x14ac:dyDescent="0.3">
      <c r="A461" s="599" t="s">
        <v>110</v>
      </c>
      <c r="B461" s="599" t="s">
        <v>880</v>
      </c>
      <c r="C461" s="599" t="s">
        <v>40</v>
      </c>
      <c r="D461" s="599" t="s">
        <v>52</v>
      </c>
      <c r="E461" s="599" t="s">
        <v>61</v>
      </c>
      <c r="F461" s="600">
        <v>17351</v>
      </c>
      <c r="G461" s="600">
        <v>16417</v>
      </c>
      <c r="H461" s="600">
        <v>728</v>
      </c>
      <c r="I461" s="600">
        <v>66</v>
      </c>
      <c r="J461" s="600">
        <v>711655</v>
      </c>
      <c r="K461" s="604" t="s">
        <v>560</v>
      </c>
      <c r="L461" s="604">
        <f t="shared" si="8"/>
        <v>5</v>
      </c>
    </row>
    <row r="462" spans="1:12" s="514" customFormat="1" ht="13" customHeight="1" x14ac:dyDescent="0.3">
      <c r="A462" s="601" t="s">
        <v>110</v>
      </c>
      <c r="B462" s="601" t="s">
        <v>880</v>
      </c>
      <c r="C462" s="601" t="s">
        <v>40</v>
      </c>
      <c r="D462" s="601" t="s">
        <v>52</v>
      </c>
      <c r="E462" s="601" t="s">
        <v>59</v>
      </c>
      <c r="F462" s="602">
        <v>40302</v>
      </c>
      <c r="G462" s="602">
        <v>37077</v>
      </c>
      <c r="H462" s="602">
        <v>0</v>
      </c>
      <c r="I462" s="602">
        <v>0</v>
      </c>
      <c r="J462" s="602">
        <v>0</v>
      </c>
      <c r="K462" s="604" t="s">
        <v>560</v>
      </c>
      <c r="L462" s="604">
        <f t="shared" si="8"/>
        <v>5</v>
      </c>
    </row>
    <row r="463" spans="1:12" s="514" customFormat="1" ht="13" customHeight="1" x14ac:dyDescent="0.3">
      <c r="A463" s="601" t="s">
        <v>110</v>
      </c>
      <c r="B463" s="601" t="s">
        <v>880</v>
      </c>
      <c r="C463" s="601" t="s">
        <v>6</v>
      </c>
      <c r="D463" s="601" t="s">
        <v>55</v>
      </c>
      <c r="E463" s="601" t="s">
        <v>56</v>
      </c>
      <c r="F463" s="602">
        <v>27</v>
      </c>
      <c r="G463" s="602">
        <v>16</v>
      </c>
      <c r="H463" s="602">
        <v>0</v>
      </c>
      <c r="I463" s="602">
        <v>0</v>
      </c>
      <c r="J463" s="602">
        <v>0</v>
      </c>
      <c r="K463" s="604" t="s">
        <v>560</v>
      </c>
      <c r="L463" s="604">
        <f t="shared" si="8"/>
        <v>5</v>
      </c>
    </row>
    <row r="464" spans="1:12" s="514" customFormat="1" ht="13" customHeight="1" x14ac:dyDescent="0.3">
      <c r="A464" s="599" t="s">
        <v>110</v>
      </c>
      <c r="B464" s="599" t="s">
        <v>880</v>
      </c>
      <c r="C464" s="599" t="s">
        <v>6</v>
      </c>
      <c r="D464" s="599" t="s">
        <v>4</v>
      </c>
      <c r="E464" s="599" t="s">
        <v>42</v>
      </c>
      <c r="F464" s="600">
        <v>4</v>
      </c>
      <c r="G464" s="600">
        <v>3</v>
      </c>
      <c r="H464" s="600">
        <v>0</v>
      </c>
      <c r="I464" s="600">
        <v>0</v>
      </c>
      <c r="J464" s="600">
        <v>0</v>
      </c>
      <c r="K464" s="604" t="s">
        <v>560</v>
      </c>
      <c r="L464" s="604">
        <f t="shared" si="8"/>
        <v>5</v>
      </c>
    </row>
    <row r="465" spans="1:12" s="514" customFormat="1" ht="13" customHeight="1" x14ac:dyDescent="0.3">
      <c r="A465" s="601" t="s">
        <v>110</v>
      </c>
      <c r="B465" s="601" t="s">
        <v>880</v>
      </c>
      <c r="C465" s="601" t="s">
        <v>6</v>
      </c>
      <c r="D465" s="601" t="s">
        <v>57</v>
      </c>
      <c r="E465" s="601" t="s">
        <v>64</v>
      </c>
      <c r="F465" s="602">
        <v>176007</v>
      </c>
      <c r="G465" s="602">
        <v>160627</v>
      </c>
      <c r="H465" s="602">
        <v>1392</v>
      </c>
      <c r="I465" s="602">
        <v>108</v>
      </c>
      <c r="J465" s="602">
        <v>363122.16000000003</v>
      </c>
      <c r="K465" s="604" t="s">
        <v>560</v>
      </c>
      <c r="L465" s="604">
        <f t="shared" si="8"/>
        <v>5</v>
      </c>
    </row>
    <row r="466" spans="1:12" s="514" customFormat="1" ht="13" customHeight="1" x14ac:dyDescent="0.3">
      <c r="A466" s="599" t="s">
        <v>110</v>
      </c>
      <c r="B466" s="599" t="s">
        <v>880</v>
      </c>
      <c r="C466" s="599" t="s">
        <v>6</v>
      </c>
      <c r="D466" s="599" t="s">
        <v>52</v>
      </c>
      <c r="E466" s="599" t="s">
        <v>58</v>
      </c>
      <c r="F466" s="600">
        <v>15</v>
      </c>
      <c r="G466" s="600">
        <v>8</v>
      </c>
      <c r="H466" s="600">
        <v>0</v>
      </c>
      <c r="I466" s="600">
        <v>0</v>
      </c>
      <c r="J466" s="600">
        <v>0</v>
      </c>
      <c r="K466" s="604" t="s">
        <v>560</v>
      </c>
      <c r="L466" s="604">
        <f t="shared" si="8"/>
        <v>5</v>
      </c>
    </row>
    <row r="467" spans="1:12" s="514" customFormat="1" ht="13" customHeight="1" x14ac:dyDescent="0.3">
      <c r="A467" s="599" t="s">
        <v>110</v>
      </c>
      <c r="B467" s="599" t="s">
        <v>880</v>
      </c>
      <c r="C467" s="599" t="s">
        <v>6</v>
      </c>
      <c r="D467" s="599" t="s">
        <v>4</v>
      </c>
      <c r="E467" s="599" t="s">
        <v>43</v>
      </c>
      <c r="F467" s="600">
        <v>6283</v>
      </c>
      <c r="G467" s="600">
        <v>3888</v>
      </c>
      <c r="H467" s="600">
        <v>844</v>
      </c>
      <c r="I467" s="600">
        <v>194</v>
      </c>
      <c r="J467" s="600">
        <v>740801.17</v>
      </c>
      <c r="K467" s="604" t="s">
        <v>560</v>
      </c>
      <c r="L467" s="604">
        <f t="shared" si="8"/>
        <v>5</v>
      </c>
    </row>
    <row r="468" spans="1:12" s="514" customFormat="1" ht="13" customHeight="1" x14ac:dyDescent="0.3">
      <c r="A468" s="599" t="s">
        <v>110</v>
      </c>
      <c r="B468" s="599" t="s">
        <v>880</v>
      </c>
      <c r="C468" s="599" t="s">
        <v>6</v>
      </c>
      <c r="D468" s="599" t="s">
        <v>57</v>
      </c>
      <c r="E468" s="599" t="s">
        <v>63</v>
      </c>
      <c r="F468" s="600">
        <v>85124</v>
      </c>
      <c r="G468" s="600">
        <v>74164</v>
      </c>
      <c r="H468" s="600">
        <v>4079</v>
      </c>
      <c r="I468" s="600">
        <v>560</v>
      </c>
      <c r="J468" s="600">
        <v>1926777.89</v>
      </c>
      <c r="K468" s="604" t="s">
        <v>560</v>
      </c>
      <c r="L468" s="604">
        <f t="shared" si="8"/>
        <v>5</v>
      </c>
    </row>
    <row r="469" spans="1:12" s="514" customFormat="1" ht="13" customHeight="1" x14ac:dyDescent="0.3">
      <c r="A469" s="601" t="s">
        <v>110</v>
      </c>
      <c r="B469" s="601" t="s">
        <v>880</v>
      </c>
      <c r="C469" s="601" t="s">
        <v>6</v>
      </c>
      <c r="D469" s="601" t="s">
        <v>57</v>
      </c>
      <c r="E469" s="601" t="s">
        <v>65</v>
      </c>
      <c r="F469" s="602">
        <v>134440</v>
      </c>
      <c r="G469" s="602">
        <v>127937</v>
      </c>
      <c r="H469" s="602">
        <v>1429</v>
      </c>
      <c r="I469" s="602">
        <v>208</v>
      </c>
      <c r="J469" s="602">
        <v>874638.53</v>
      </c>
      <c r="K469" s="604" t="s">
        <v>560</v>
      </c>
      <c r="L469" s="604">
        <f t="shared" si="8"/>
        <v>5</v>
      </c>
    </row>
    <row r="470" spans="1:12" s="514" customFormat="1" ht="13" customHeight="1" x14ac:dyDescent="0.3">
      <c r="A470" s="599" t="s">
        <v>110</v>
      </c>
      <c r="B470" s="599" t="s">
        <v>880</v>
      </c>
      <c r="C470" s="599" t="s">
        <v>6</v>
      </c>
      <c r="D470" s="599" t="s">
        <v>4</v>
      </c>
      <c r="E470" s="599" t="s">
        <v>41</v>
      </c>
      <c r="F470" s="600">
        <v>70</v>
      </c>
      <c r="G470" s="600">
        <v>50</v>
      </c>
      <c r="H470" s="600">
        <v>2</v>
      </c>
      <c r="I470" s="600">
        <v>0</v>
      </c>
      <c r="J470" s="600">
        <v>0</v>
      </c>
      <c r="K470" s="604" t="s">
        <v>560</v>
      </c>
      <c r="L470" s="604">
        <f t="shared" si="8"/>
        <v>5</v>
      </c>
    </row>
    <row r="471" spans="1:12" s="514" customFormat="1" ht="13" customHeight="1" x14ac:dyDescent="0.3">
      <c r="A471" s="601" t="s">
        <v>110</v>
      </c>
      <c r="B471" s="601" t="s">
        <v>880</v>
      </c>
      <c r="C471" s="601" t="s">
        <v>6</v>
      </c>
      <c r="D471" s="601" t="s">
        <v>52</v>
      </c>
      <c r="E471" s="601" t="s">
        <v>51</v>
      </c>
      <c r="F471" s="602">
        <v>5</v>
      </c>
      <c r="G471" s="602">
        <v>5</v>
      </c>
      <c r="H471" s="602">
        <v>0</v>
      </c>
      <c r="I471" s="602">
        <v>0</v>
      </c>
      <c r="J471" s="602">
        <v>0</v>
      </c>
      <c r="K471" s="604" t="s">
        <v>560</v>
      </c>
      <c r="L471" s="604">
        <f t="shared" si="8"/>
        <v>5</v>
      </c>
    </row>
    <row r="472" spans="1:12" s="514" customFormat="1" ht="13" customHeight="1" x14ac:dyDescent="0.3">
      <c r="A472" s="601" t="s">
        <v>110</v>
      </c>
      <c r="B472" s="601" t="s">
        <v>880</v>
      </c>
      <c r="C472" s="601" t="s">
        <v>6</v>
      </c>
      <c r="D472" s="601" t="s">
        <v>52</v>
      </c>
      <c r="E472" s="601" t="s">
        <v>61</v>
      </c>
      <c r="F472" s="602">
        <v>2</v>
      </c>
      <c r="G472" s="602">
        <v>2</v>
      </c>
      <c r="H472" s="602">
        <v>0</v>
      </c>
      <c r="I472" s="602">
        <v>0</v>
      </c>
      <c r="J472" s="602">
        <v>0</v>
      </c>
      <c r="K472" s="604" t="s">
        <v>560</v>
      </c>
      <c r="L472" s="604">
        <f t="shared" si="8"/>
        <v>5</v>
      </c>
    </row>
    <row r="473" spans="1:12" s="514" customFormat="1" ht="13" customHeight="1" x14ac:dyDescent="0.3">
      <c r="A473" s="601" t="s">
        <v>110</v>
      </c>
      <c r="B473" s="601" t="s">
        <v>880</v>
      </c>
      <c r="C473" s="601" t="s">
        <v>6</v>
      </c>
      <c r="D473" s="601" t="s">
        <v>55</v>
      </c>
      <c r="E473" s="601" t="s">
        <v>54</v>
      </c>
      <c r="F473" s="602">
        <v>13483</v>
      </c>
      <c r="G473" s="602">
        <v>12255</v>
      </c>
      <c r="H473" s="602">
        <v>226</v>
      </c>
      <c r="I473" s="602">
        <v>0</v>
      </c>
      <c r="J473" s="602">
        <v>0</v>
      </c>
      <c r="K473" s="604" t="s">
        <v>560</v>
      </c>
      <c r="L473" s="604">
        <f t="shared" si="8"/>
        <v>5</v>
      </c>
    </row>
    <row r="474" spans="1:12" s="514" customFormat="1" ht="13" customHeight="1" x14ac:dyDescent="0.3">
      <c r="A474" s="601" t="s">
        <v>110</v>
      </c>
      <c r="B474" s="601" t="s">
        <v>880</v>
      </c>
      <c r="C474" s="601" t="s">
        <v>7</v>
      </c>
      <c r="D474" s="601" t="s">
        <v>4</v>
      </c>
      <c r="E474" s="601" t="s">
        <v>43</v>
      </c>
      <c r="F474" s="602">
        <v>4010</v>
      </c>
      <c r="G474" s="602">
        <v>2356</v>
      </c>
      <c r="H474" s="602">
        <v>50</v>
      </c>
      <c r="I474" s="602">
        <v>33</v>
      </c>
      <c r="J474" s="602">
        <v>403140</v>
      </c>
      <c r="K474" s="604" t="s">
        <v>560</v>
      </c>
      <c r="L474" s="604">
        <f t="shared" si="8"/>
        <v>5</v>
      </c>
    </row>
    <row r="475" spans="1:12" s="514" customFormat="1" ht="13" customHeight="1" x14ac:dyDescent="0.3">
      <c r="A475" s="599" t="s">
        <v>110</v>
      </c>
      <c r="B475" s="599" t="s">
        <v>880</v>
      </c>
      <c r="C475" s="599" t="s">
        <v>7</v>
      </c>
      <c r="D475" s="599" t="s">
        <v>55</v>
      </c>
      <c r="E475" s="599" t="s">
        <v>56</v>
      </c>
      <c r="F475" s="600">
        <v>24</v>
      </c>
      <c r="G475" s="600">
        <v>18</v>
      </c>
      <c r="H475" s="600">
        <v>0</v>
      </c>
      <c r="I475" s="600">
        <v>0</v>
      </c>
      <c r="J475" s="600">
        <v>0</v>
      </c>
      <c r="K475" s="604" t="s">
        <v>560</v>
      </c>
      <c r="L475" s="604">
        <f t="shared" si="8"/>
        <v>5</v>
      </c>
    </row>
    <row r="476" spans="1:12" s="514" customFormat="1" ht="13" customHeight="1" x14ac:dyDescent="0.3">
      <c r="A476" s="601" t="s">
        <v>110</v>
      </c>
      <c r="B476" s="601" t="s">
        <v>880</v>
      </c>
      <c r="C476" s="601" t="s">
        <v>7</v>
      </c>
      <c r="D476" s="601" t="s">
        <v>55</v>
      </c>
      <c r="E476" s="601" t="s">
        <v>66</v>
      </c>
      <c r="F476" s="602">
        <v>2</v>
      </c>
      <c r="G476" s="602">
        <v>1</v>
      </c>
      <c r="H476" s="602">
        <v>0</v>
      </c>
      <c r="I476" s="602">
        <v>0</v>
      </c>
      <c r="J476" s="602">
        <v>0</v>
      </c>
      <c r="K476" s="604" t="s">
        <v>560</v>
      </c>
      <c r="L476" s="604">
        <f t="shared" si="8"/>
        <v>5</v>
      </c>
    </row>
    <row r="477" spans="1:12" s="514" customFormat="1" ht="13" customHeight="1" x14ac:dyDescent="0.3">
      <c r="A477" s="599" t="s">
        <v>110</v>
      </c>
      <c r="B477" s="599" t="s">
        <v>880</v>
      </c>
      <c r="C477" s="599" t="s">
        <v>7</v>
      </c>
      <c r="D477" s="599" t="s">
        <v>52</v>
      </c>
      <c r="E477" s="599" t="s">
        <v>51</v>
      </c>
      <c r="F477" s="600">
        <v>87</v>
      </c>
      <c r="G477" s="600">
        <v>83</v>
      </c>
      <c r="H477" s="600">
        <v>0</v>
      </c>
      <c r="I477" s="600">
        <v>0</v>
      </c>
      <c r="J477" s="600">
        <v>0</v>
      </c>
      <c r="K477" s="604" t="s">
        <v>560</v>
      </c>
      <c r="L477" s="604">
        <f t="shared" ref="L477:L540" si="9">MONTH(B477)</f>
        <v>5</v>
      </c>
    </row>
    <row r="478" spans="1:12" s="514" customFormat="1" ht="13" customHeight="1" x14ac:dyDescent="0.3">
      <c r="A478" s="601" t="s">
        <v>110</v>
      </c>
      <c r="B478" s="601" t="s">
        <v>880</v>
      </c>
      <c r="C478" s="601" t="s">
        <v>7</v>
      </c>
      <c r="D478" s="601" t="s">
        <v>4</v>
      </c>
      <c r="E478" s="601" t="s">
        <v>42</v>
      </c>
      <c r="F478" s="602">
        <v>3</v>
      </c>
      <c r="G478" s="602">
        <v>2</v>
      </c>
      <c r="H478" s="602">
        <v>0</v>
      </c>
      <c r="I478" s="602">
        <v>0</v>
      </c>
      <c r="J478" s="602">
        <v>0</v>
      </c>
      <c r="K478" s="604" t="s">
        <v>560</v>
      </c>
      <c r="L478" s="604">
        <f t="shared" si="9"/>
        <v>5</v>
      </c>
    </row>
    <row r="479" spans="1:12" s="514" customFormat="1" ht="13" customHeight="1" x14ac:dyDescent="0.3">
      <c r="A479" s="599" t="s">
        <v>110</v>
      </c>
      <c r="B479" s="599" t="s">
        <v>880</v>
      </c>
      <c r="C479" s="599" t="s">
        <v>7</v>
      </c>
      <c r="D479" s="599" t="s">
        <v>52</v>
      </c>
      <c r="E479" s="599" t="s">
        <v>61</v>
      </c>
      <c r="F479" s="600">
        <v>51291</v>
      </c>
      <c r="G479" s="600">
        <v>48079</v>
      </c>
      <c r="H479" s="600">
        <v>1587</v>
      </c>
      <c r="I479" s="600">
        <v>200</v>
      </c>
      <c r="J479" s="600">
        <v>2210900</v>
      </c>
      <c r="K479" s="604" t="s">
        <v>560</v>
      </c>
      <c r="L479" s="604">
        <f t="shared" si="9"/>
        <v>5</v>
      </c>
    </row>
    <row r="480" spans="1:12" s="514" customFormat="1" ht="13" customHeight="1" x14ac:dyDescent="0.3">
      <c r="A480" s="601" t="s">
        <v>110</v>
      </c>
      <c r="B480" s="601" t="s">
        <v>880</v>
      </c>
      <c r="C480" s="601" t="s">
        <v>7</v>
      </c>
      <c r="D480" s="601" t="s">
        <v>57</v>
      </c>
      <c r="E480" s="601" t="s">
        <v>63</v>
      </c>
      <c r="F480" s="602">
        <v>91907</v>
      </c>
      <c r="G480" s="602">
        <v>83156</v>
      </c>
      <c r="H480" s="602">
        <v>2284</v>
      </c>
      <c r="I480" s="602">
        <v>209</v>
      </c>
      <c r="J480" s="602">
        <v>2119060</v>
      </c>
      <c r="K480" s="604" t="s">
        <v>560</v>
      </c>
      <c r="L480" s="604">
        <f t="shared" si="9"/>
        <v>5</v>
      </c>
    </row>
    <row r="481" spans="1:12" s="514" customFormat="1" ht="13" customHeight="1" x14ac:dyDescent="0.3">
      <c r="A481" s="599" t="s">
        <v>110</v>
      </c>
      <c r="B481" s="599" t="s">
        <v>880</v>
      </c>
      <c r="C481" s="599" t="s">
        <v>7</v>
      </c>
      <c r="D481" s="599" t="s">
        <v>57</v>
      </c>
      <c r="E481" s="599" t="s">
        <v>65</v>
      </c>
      <c r="F481" s="600">
        <v>53693</v>
      </c>
      <c r="G481" s="600">
        <v>49579</v>
      </c>
      <c r="H481" s="600">
        <v>481</v>
      </c>
      <c r="I481" s="600">
        <v>40</v>
      </c>
      <c r="J481" s="600">
        <v>325800</v>
      </c>
      <c r="K481" s="604" t="s">
        <v>560</v>
      </c>
      <c r="L481" s="604">
        <f t="shared" si="9"/>
        <v>5</v>
      </c>
    </row>
    <row r="482" spans="1:12" s="514" customFormat="1" ht="13" customHeight="1" x14ac:dyDescent="0.3">
      <c r="A482" s="601" t="s">
        <v>110</v>
      </c>
      <c r="B482" s="601" t="s">
        <v>880</v>
      </c>
      <c r="C482" s="601" t="s">
        <v>7</v>
      </c>
      <c r="D482" s="601" t="s">
        <v>57</v>
      </c>
      <c r="E482" s="601" t="s">
        <v>64</v>
      </c>
      <c r="F482" s="602">
        <v>94856</v>
      </c>
      <c r="G482" s="602">
        <v>86526</v>
      </c>
      <c r="H482" s="602">
        <v>330</v>
      </c>
      <c r="I482" s="602">
        <v>8</v>
      </c>
      <c r="J482" s="602">
        <v>72500</v>
      </c>
      <c r="K482" s="604" t="s">
        <v>560</v>
      </c>
      <c r="L482" s="604">
        <f t="shared" si="9"/>
        <v>5</v>
      </c>
    </row>
    <row r="483" spans="1:12" s="514" customFormat="1" ht="13" customHeight="1" x14ac:dyDescent="0.3">
      <c r="A483" s="599" t="s">
        <v>110</v>
      </c>
      <c r="B483" s="599" t="s">
        <v>880</v>
      </c>
      <c r="C483" s="599" t="s">
        <v>7</v>
      </c>
      <c r="D483" s="599" t="s">
        <v>52</v>
      </c>
      <c r="E483" s="599" t="s">
        <v>58</v>
      </c>
      <c r="F483" s="600">
        <v>9</v>
      </c>
      <c r="G483" s="600">
        <v>5</v>
      </c>
      <c r="H483" s="600">
        <v>0</v>
      </c>
      <c r="I483" s="600">
        <v>0</v>
      </c>
      <c r="J483" s="600">
        <v>0</v>
      </c>
      <c r="K483" s="604" t="s">
        <v>560</v>
      </c>
      <c r="L483" s="604">
        <f t="shared" si="9"/>
        <v>5</v>
      </c>
    </row>
    <row r="484" spans="1:12" s="514" customFormat="1" ht="13" customHeight="1" x14ac:dyDescent="0.3">
      <c r="A484" s="601" t="s">
        <v>110</v>
      </c>
      <c r="B484" s="601" t="s">
        <v>880</v>
      </c>
      <c r="C484" s="601" t="s">
        <v>7</v>
      </c>
      <c r="D484" s="601" t="s">
        <v>52</v>
      </c>
      <c r="E484" s="601" t="s">
        <v>60</v>
      </c>
      <c r="F484" s="602">
        <v>2</v>
      </c>
      <c r="G484" s="602">
        <v>2</v>
      </c>
      <c r="H484" s="602">
        <v>0</v>
      </c>
      <c r="I484" s="602">
        <v>0</v>
      </c>
      <c r="J484" s="602">
        <v>0</v>
      </c>
      <c r="K484" s="604" t="s">
        <v>560</v>
      </c>
      <c r="L484" s="604">
        <f t="shared" si="9"/>
        <v>5</v>
      </c>
    </row>
    <row r="485" spans="1:12" s="514" customFormat="1" ht="13" customHeight="1" x14ac:dyDescent="0.3">
      <c r="A485" s="599" t="s">
        <v>110</v>
      </c>
      <c r="B485" s="599" t="s">
        <v>880</v>
      </c>
      <c r="C485" s="599" t="s">
        <v>7</v>
      </c>
      <c r="D485" s="599" t="s">
        <v>4</v>
      </c>
      <c r="E485" s="599" t="s">
        <v>41</v>
      </c>
      <c r="F485" s="600">
        <v>61</v>
      </c>
      <c r="G485" s="600">
        <v>45</v>
      </c>
      <c r="H485" s="600">
        <v>2</v>
      </c>
      <c r="I485" s="600">
        <v>0</v>
      </c>
      <c r="J485" s="600">
        <v>0</v>
      </c>
      <c r="K485" s="604" t="s">
        <v>560</v>
      </c>
      <c r="L485" s="604">
        <f t="shared" si="9"/>
        <v>5</v>
      </c>
    </row>
    <row r="486" spans="1:12" s="514" customFormat="1" ht="13" customHeight="1" x14ac:dyDescent="0.3">
      <c r="A486" s="599" t="s">
        <v>110</v>
      </c>
      <c r="B486" s="599" t="s">
        <v>881</v>
      </c>
      <c r="C486" s="599" t="s">
        <v>40</v>
      </c>
      <c r="D486" s="599" t="s">
        <v>57</v>
      </c>
      <c r="E486" s="599" t="s">
        <v>63</v>
      </c>
      <c r="F486" s="600">
        <v>90802</v>
      </c>
      <c r="G486" s="600">
        <v>81478</v>
      </c>
      <c r="H486" s="600">
        <v>2694</v>
      </c>
      <c r="I486" s="600">
        <v>168</v>
      </c>
      <c r="J486" s="600">
        <v>1974480</v>
      </c>
      <c r="K486" s="604" t="s">
        <v>560</v>
      </c>
      <c r="L486" s="604">
        <f t="shared" si="9"/>
        <v>6</v>
      </c>
    </row>
    <row r="487" spans="1:12" s="514" customFormat="1" ht="13" customHeight="1" x14ac:dyDescent="0.3">
      <c r="A487" s="599" t="s">
        <v>110</v>
      </c>
      <c r="B487" s="599" t="s">
        <v>881</v>
      </c>
      <c r="C487" s="599" t="s">
        <v>40</v>
      </c>
      <c r="D487" s="599" t="s">
        <v>52</v>
      </c>
      <c r="E487" s="599" t="s">
        <v>59</v>
      </c>
      <c r="F487" s="600">
        <v>43859</v>
      </c>
      <c r="G487" s="600">
        <v>40880</v>
      </c>
      <c r="H487" s="600">
        <v>0</v>
      </c>
      <c r="I487" s="600">
        <v>0</v>
      </c>
      <c r="J487" s="600">
        <v>0</v>
      </c>
      <c r="K487" s="604" t="s">
        <v>560</v>
      </c>
      <c r="L487" s="604">
        <f t="shared" si="9"/>
        <v>6</v>
      </c>
    </row>
    <row r="488" spans="1:12" s="514" customFormat="1" ht="13" customHeight="1" x14ac:dyDescent="0.3">
      <c r="A488" s="601" t="s">
        <v>110</v>
      </c>
      <c r="B488" s="601" t="s">
        <v>881</v>
      </c>
      <c r="C488" s="601" t="s">
        <v>40</v>
      </c>
      <c r="D488" s="601" t="s">
        <v>57</v>
      </c>
      <c r="E488" s="601" t="s">
        <v>64</v>
      </c>
      <c r="F488" s="602">
        <v>275765</v>
      </c>
      <c r="G488" s="602">
        <v>258194</v>
      </c>
      <c r="H488" s="602">
        <v>1861</v>
      </c>
      <c r="I488" s="602">
        <v>118</v>
      </c>
      <c r="J488" s="602">
        <v>1151060</v>
      </c>
      <c r="K488" s="604" t="s">
        <v>560</v>
      </c>
      <c r="L488" s="604">
        <f t="shared" si="9"/>
        <v>6</v>
      </c>
    </row>
    <row r="489" spans="1:12" s="514" customFormat="1" ht="13" customHeight="1" x14ac:dyDescent="0.3">
      <c r="A489" s="599" t="s">
        <v>110</v>
      </c>
      <c r="B489" s="599" t="s">
        <v>881</v>
      </c>
      <c r="C489" s="599" t="s">
        <v>40</v>
      </c>
      <c r="D489" s="599" t="s">
        <v>55</v>
      </c>
      <c r="E489" s="599" t="s">
        <v>56</v>
      </c>
      <c r="F489" s="600">
        <v>83</v>
      </c>
      <c r="G489" s="600">
        <v>57</v>
      </c>
      <c r="H489" s="600">
        <v>0</v>
      </c>
      <c r="I489" s="600">
        <v>0</v>
      </c>
      <c r="J489" s="600">
        <v>0</v>
      </c>
      <c r="K489" s="604" t="s">
        <v>560</v>
      </c>
      <c r="L489" s="604">
        <f t="shared" si="9"/>
        <v>6</v>
      </c>
    </row>
    <row r="490" spans="1:12" s="514" customFormat="1" ht="13" customHeight="1" x14ac:dyDescent="0.3">
      <c r="A490" s="601" t="s">
        <v>110</v>
      </c>
      <c r="B490" s="601" t="s">
        <v>881</v>
      </c>
      <c r="C490" s="601" t="s">
        <v>40</v>
      </c>
      <c r="D490" s="601" t="s">
        <v>52</v>
      </c>
      <c r="E490" s="601" t="s">
        <v>61</v>
      </c>
      <c r="F490" s="602">
        <v>14050</v>
      </c>
      <c r="G490" s="602">
        <v>13145</v>
      </c>
      <c r="H490" s="602">
        <v>667</v>
      </c>
      <c r="I490" s="602">
        <v>77</v>
      </c>
      <c r="J490" s="602">
        <v>1330880</v>
      </c>
      <c r="K490" s="604" t="s">
        <v>560</v>
      </c>
      <c r="L490" s="604">
        <f t="shared" si="9"/>
        <v>6</v>
      </c>
    </row>
    <row r="491" spans="1:12" s="514" customFormat="1" ht="13" customHeight="1" x14ac:dyDescent="0.3">
      <c r="A491" s="599" t="s">
        <v>110</v>
      </c>
      <c r="B491" s="599" t="s">
        <v>881</v>
      </c>
      <c r="C491" s="599" t="s">
        <v>40</v>
      </c>
      <c r="D491" s="599" t="s">
        <v>4</v>
      </c>
      <c r="E491" s="599" t="s">
        <v>42</v>
      </c>
      <c r="F491" s="600">
        <v>2</v>
      </c>
      <c r="G491" s="600">
        <v>1</v>
      </c>
      <c r="H491" s="600">
        <v>0</v>
      </c>
      <c r="I491" s="600">
        <v>0</v>
      </c>
      <c r="J491" s="600">
        <v>0</v>
      </c>
      <c r="K491" s="604" t="s">
        <v>560</v>
      </c>
      <c r="L491" s="604">
        <f t="shared" si="9"/>
        <v>6</v>
      </c>
    </row>
    <row r="492" spans="1:12" s="514" customFormat="1" ht="13" customHeight="1" x14ac:dyDescent="0.3">
      <c r="A492" s="601" t="s">
        <v>110</v>
      </c>
      <c r="B492" s="601" t="s">
        <v>881</v>
      </c>
      <c r="C492" s="601" t="s">
        <v>40</v>
      </c>
      <c r="D492" s="601" t="s">
        <v>52</v>
      </c>
      <c r="E492" s="601" t="s">
        <v>58</v>
      </c>
      <c r="F492" s="602">
        <v>6</v>
      </c>
      <c r="G492" s="602">
        <v>5</v>
      </c>
      <c r="H492" s="602">
        <v>0</v>
      </c>
      <c r="I492" s="602">
        <v>0</v>
      </c>
      <c r="J492" s="602">
        <v>0</v>
      </c>
      <c r="K492" s="604" t="s">
        <v>560</v>
      </c>
      <c r="L492" s="604">
        <f t="shared" si="9"/>
        <v>6</v>
      </c>
    </row>
    <row r="493" spans="1:12" s="514" customFormat="1" ht="13" customHeight="1" x14ac:dyDescent="0.3">
      <c r="A493" s="599" t="s">
        <v>110</v>
      </c>
      <c r="B493" s="599" t="s">
        <v>881</v>
      </c>
      <c r="C493" s="599" t="s">
        <v>40</v>
      </c>
      <c r="D493" s="599" t="s">
        <v>52</v>
      </c>
      <c r="E493" s="599" t="s">
        <v>51</v>
      </c>
      <c r="F493" s="600">
        <v>4</v>
      </c>
      <c r="G493" s="600">
        <v>3</v>
      </c>
      <c r="H493" s="600">
        <v>0</v>
      </c>
      <c r="I493" s="600">
        <v>0</v>
      </c>
      <c r="J493" s="600">
        <v>0</v>
      </c>
      <c r="K493" s="604" t="s">
        <v>560</v>
      </c>
      <c r="L493" s="604">
        <f t="shared" si="9"/>
        <v>6</v>
      </c>
    </row>
    <row r="494" spans="1:12" s="514" customFormat="1" ht="13" customHeight="1" x14ac:dyDescent="0.3">
      <c r="A494" s="601" t="s">
        <v>110</v>
      </c>
      <c r="B494" s="601" t="s">
        <v>881</v>
      </c>
      <c r="C494" s="601" t="s">
        <v>40</v>
      </c>
      <c r="D494" s="601" t="s">
        <v>52</v>
      </c>
      <c r="E494" s="601" t="s">
        <v>60</v>
      </c>
      <c r="F494" s="602">
        <v>1</v>
      </c>
      <c r="G494" s="602">
        <v>1</v>
      </c>
      <c r="H494" s="602">
        <v>0</v>
      </c>
      <c r="I494" s="602">
        <v>0</v>
      </c>
      <c r="J494" s="602">
        <v>0</v>
      </c>
      <c r="K494" s="604" t="s">
        <v>560</v>
      </c>
      <c r="L494" s="604">
        <f t="shared" si="9"/>
        <v>6</v>
      </c>
    </row>
    <row r="495" spans="1:12" s="514" customFormat="1" ht="13" customHeight="1" x14ac:dyDescent="0.3">
      <c r="A495" s="599" t="s">
        <v>110</v>
      </c>
      <c r="B495" s="599" t="s">
        <v>881</v>
      </c>
      <c r="C495" s="599" t="s">
        <v>40</v>
      </c>
      <c r="D495" s="599" t="s">
        <v>57</v>
      </c>
      <c r="E495" s="599" t="s">
        <v>65</v>
      </c>
      <c r="F495" s="600">
        <v>25932</v>
      </c>
      <c r="G495" s="600">
        <v>23619</v>
      </c>
      <c r="H495" s="600">
        <v>453</v>
      </c>
      <c r="I495" s="600">
        <v>44</v>
      </c>
      <c r="J495" s="600">
        <v>308015</v>
      </c>
      <c r="K495" s="604" t="s">
        <v>560</v>
      </c>
      <c r="L495" s="604">
        <f t="shared" si="9"/>
        <v>6</v>
      </c>
    </row>
    <row r="496" spans="1:12" s="514" customFormat="1" ht="13" customHeight="1" x14ac:dyDescent="0.3">
      <c r="A496" s="601" t="s">
        <v>110</v>
      </c>
      <c r="B496" s="601" t="s">
        <v>881</v>
      </c>
      <c r="C496" s="601" t="s">
        <v>40</v>
      </c>
      <c r="D496" s="601" t="s">
        <v>4</v>
      </c>
      <c r="E496" s="601" t="s">
        <v>41</v>
      </c>
      <c r="F496" s="602">
        <v>62</v>
      </c>
      <c r="G496" s="602">
        <v>45</v>
      </c>
      <c r="H496" s="602">
        <v>2</v>
      </c>
      <c r="I496" s="602">
        <v>0</v>
      </c>
      <c r="J496" s="602">
        <v>0</v>
      </c>
      <c r="K496" s="604" t="s">
        <v>560</v>
      </c>
      <c r="L496" s="604">
        <f t="shared" si="9"/>
        <v>6</v>
      </c>
    </row>
    <row r="497" spans="1:12" s="514" customFormat="1" ht="13" customHeight="1" x14ac:dyDescent="0.3">
      <c r="A497" s="601" t="s">
        <v>110</v>
      </c>
      <c r="B497" s="601" t="s">
        <v>881</v>
      </c>
      <c r="C497" s="601" t="s">
        <v>40</v>
      </c>
      <c r="D497" s="601" t="s">
        <v>52</v>
      </c>
      <c r="E497" s="601" t="s">
        <v>53</v>
      </c>
      <c r="F497" s="602">
        <v>2</v>
      </c>
      <c r="G497" s="602">
        <v>1</v>
      </c>
      <c r="H497" s="602">
        <v>0</v>
      </c>
      <c r="I497" s="602">
        <v>0</v>
      </c>
      <c r="J497" s="602">
        <v>0</v>
      </c>
      <c r="K497" s="604" t="s">
        <v>560</v>
      </c>
      <c r="L497" s="604">
        <f t="shared" si="9"/>
        <v>6</v>
      </c>
    </row>
    <row r="498" spans="1:12" s="514" customFormat="1" ht="13" customHeight="1" x14ac:dyDescent="0.3">
      <c r="A498" s="599" t="s">
        <v>110</v>
      </c>
      <c r="B498" s="599" t="s">
        <v>881</v>
      </c>
      <c r="C498" s="599" t="s">
        <v>40</v>
      </c>
      <c r="D498" s="599" t="s">
        <v>52</v>
      </c>
      <c r="E498" s="599" t="s">
        <v>67</v>
      </c>
      <c r="F498" s="600">
        <v>2</v>
      </c>
      <c r="G498" s="600">
        <v>2</v>
      </c>
      <c r="H498" s="600">
        <v>0</v>
      </c>
      <c r="I498" s="600">
        <v>0</v>
      </c>
      <c r="J498" s="600">
        <v>0</v>
      </c>
      <c r="K498" s="604" t="s">
        <v>560</v>
      </c>
      <c r="L498" s="604">
        <f t="shared" si="9"/>
        <v>6</v>
      </c>
    </row>
    <row r="499" spans="1:12" s="514" customFormat="1" ht="13" customHeight="1" x14ac:dyDescent="0.3">
      <c r="A499" s="599" t="s">
        <v>110</v>
      </c>
      <c r="B499" s="599" t="s">
        <v>881</v>
      </c>
      <c r="C499" s="599" t="s">
        <v>40</v>
      </c>
      <c r="D499" s="599" t="s">
        <v>4</v>
      </c>
      <c r="E499" s="599" t="s">
        <v>43</v>
      </c>
      <c r="F499" s="600">
        <v>3320</v>
      </c>
      <c r="G499" s="600">
        <v>2025</v>
      </c>
      <c r="H499" s="600">
        <v>38</v>
      </c>
      <c r="I499" s="600">
        <v>25</v>
      </c>
      <c r="J499" s="600">
        <v>602760</v>
      </c>
      <c r="K499" s="604" t="s">
        <v>560</v>
      </c>
      <c r="L499" s="604">
        <f t="shared" si="9"/>
        <v>6</v>
      </c>
    </row>
    <row r="500" spans="1:12" s="514" customFormat="1" ht="13" customHeight="1" x14ac:dyDescent="0.3">
      <c r="A500" s="599" t="s">
        <v>110</v>
      </c>
      <c r="B500" s="599" t="s">
        <v>881</v>
      </c>
      <c r="C500" s="599" t="s">
        <v>6</v>
      </c>
      <c r="D500" s="599" t="s">
        <v>55</v>
      </c>
      <c r="E500" s="599" t="s">
        <v>66</v>
      </c>
      <c r="F500" s="600">
        <v>1</v>
      </c>
      <c r="G500" s="600">
        <v>1</v>
      </c>
      <c r="H500" s="600">
        <v>0</v>
      </c>
      <c r="I500" s="600">
        <v>0</v>
      </c>
      <c r="J500" s="600">
        <v>0</v>
      </c>
      <c r="K500" s="604" t="s">
        <v>560</v>
      </c>
      <c r="L500" s="604">
        <f t="shared" si="9"/>
        <v>6</v>
      </c>
    </row>
    <row r="501" spans="1:12" s="514" customFormat="1" ht="13" customHeight="1" x14ac:dyDescent="0.3">
      <c r="A501" s="601" t="s">
        <v>110</v>
      </c>
      <c r="B501" s="601" t="s">
        <v>881</v>
      </c>
      <c r="C501" s="601" t="s">
        <v>6</v>
      </c>
      <c r="D501" s="601" t="s">
        <v>55</v>
      </c>
      <c r="E501" s="601" t="s">
        <v>56</v>
      </c>
      <c r="F501" s="602">
        <v>62</v>
      </c>
      <c r="G501" s="602">
        <v>42</v>
      </c>
      <c r="H501" s="602">
        <v>0</v>
      </c>
      <c r="I501" s="602">
        <v>0</v>
      </c>
      <c r="J501" s="602">
        <v>0</v>
      </c>
      <c r="K501" s="604" t="s">
        <v>560</v>
      </c>
      <c r="L501" s="604">
        <f t="shared" si="9"/>
        <v>6</v>
      </c>
    </row>
    <row r="502" spans="1:12" s="514" customFormat="1" ht="13" customHeight="1" x14ac:dyDescent="0.3">
      <c r="A502" s="601" t="s">
        <v>110</v>
      </c>
      <c r="B502" s="601" t="s">
        <v>881</v>
      </c>
      <c r="C502" s="601" t="s">
        <v>6</v>
      </c>
      <c r="D502" s="601" t="s">
        <v>52</v>
      </c>
      <c r="E502" s="601" t="s">
        <v>61</v>
      </c>
      <c r="F502" s="602">
        <v>1</v>
      </c>
      <c r="G502" s="602">
        <v>1</v>
      </c>
      <c r="H502" s="602">
        <v>0</v>
      </c>
      <c r="I502" s="602">
        <v>0</v>
      </c>
      <c r="J502" s="602">
        <v>0</v>
      </c>
      <c r="K502" s="604" t="s">
        <v>560</v>
      </c>
      <c r="L502" s="604">
        <f t="shared" si="9"/>
        <v>6</v>
      </c>
    </row>
    <row r="503" spans="1:12" s="514" customFormat="1" ht="13" customHeight="1" x14ac:dyDescent="0.3">
      <c r="A503" s="599" t="s">
        <v>110</v>
      </c>
      <c r="B503" s="599" t="s">
        <v>881</v>
      </c>
      <c r="C503" s="599" t="s">
        <v>6</v>
      </c>
      <c r="D503" s="599" t="s">
        <v>4</v>
      </c>
      <c r="E503" s="599" t="s">
        <v>42</v>
      </c>
      <c r="F503" s="600">
        <v>7</v>
      </c>
      <c r="G503" s="600">
        <v>6</v>
      </c>
      <c r="H503" s="600">
        <v>0</v>
      </c>
      <c r="I503" s="600">
        <v>0</v>
      </c>
      <c r="J503" s="600">
        <v>0</v>
      </c>
      <c r="K503" s="604" t="s">
        <v>560</v>
      </c>
      <c r="L503" s="604">
        <f t="shared" si="9"/>
        <v>6</v>
      </c>
    </row>
    <row r="504" spans="1:12" s="514" customFormat="1" ht="13" customHeight="1" x14ac:dyDescent="0.3">
      <c r="A504" s="601" t="s">
        <v>110</v>
      </c>
      <c r="B504" s="601" t="s">
        <v>881</v>
      </c>
      <c r="C504" s="601" t="s">
        <v>6</v>
      </c>
      <c r="D504" s="601" t="s">
        <v>4</v>
      </c>
      <c r="E504" s="601" t="s">
        <v>41</v>
      </c>
      <c r="F504" s="602">
        <v>48</v>
      </c>
      <c r="G504" s="602">
        <v>41</v>
      </c>
      <c r="H504" s="602">
        <v>0</v>
      </c>
      <c r="I504" s="602">
        <v>0</v>
      </c>
      <c r="J504" s="602">
        <v>0</v>
      </c>
      <c r="K504" s="604" t="s">
        <v>560</v>
      </c>
      <c r="L504" s="604">
        <f t="shared" si="9"/>
        <v>6</v>
      </c>
    </row>
    <row r="505" spans="1:12" s="514" customFormat="1" ht="13" customHeight="1" x14ac:dyDescent="0.3">
      <c r="A505" s="599" t="s">
        <v>110</v>
      </c>
      <c r="B505" s="599" t="s">
        <v>881</v>
      </c>
      <c r="C505" s="599" t="s">
        <v>6</v>
      </c>
      <c r="D505" s="599" t="s">
        <v>57</v>
      </c>
      <c r="E505" s="599" t="s">
        <v>63</v>
      </c>
      <c r="F505" s="600">
        <v>68431</v>
      </c>
      <c r="G505" s="600">
        <v>56559</v>
      </c>
      <c r="H505" s="600">
        <v>2357</v>
      </c>
      <c r="I505" s="600">
        <v>339</v>
      </c>
      <c r="J505" s="600">
        <v>1187219.54</v>
      </c>
      <c r="K505" s="604" t="s">
        <v>560</v>
      </c>
      <c r="L505" s="604">
        <f t="shared" si="9"/>
        <v>6</v>
      </c>
    </row>
    <row r="506" spans="1:12" s="514" customFormat="1" ht="13" customHeight="1" x14ac:dyDescent="0.3">
      <c r="A506" s="601" t="s">
        <v>110</v>
      </c>
      <c r="B506" s="601" t="s">
        <v>881</v>
      </c>
      <c r="C506" s="601" t="s">
        <v>6</v>
      </c>
      <c r="D506" s="601" t="s">
        <v>57</v>
      </c>
      <c r="E506" s="601" t="s">
        <v>64</v>
      </c>
      <c r="F506" s="602">
        <v>177613</v>
      </c>
      <c r="G506" s="602">
        <v>159351</v>
      </c>
      <c r="H506" s="602">
        <v>1125</v>
      </c>
      <c r="I506" s="602">
        <v>78</v>
      </c>
      <c r="J506" s="602">
        <v>271197.2</v>
      </c>
      <c r="K506" s="604" t="s">
        <v>560</v>
      </c>
      <c r="L506" s="604">
        <f t="shared" si="9"/>
        <v>6</v>
      </c>
    </row>
    <row r="507" spans="1:12" s="514" customFormat="1" ht="13" customHeight="1" x14ac:dyDescent="0.3">
      <c r="A507" s="601" t="s">
        <v>110</v>
      </c>
      <c r="B507" s="601" t="s">
        <v>881</v>
      </c>
      <c r="C507" s="601" t="s">
        <v>6</v>
      </c>
      <c r="D507" s="601" t="s">
        <v>52</v>
      </c>
      <c r="E507" s="601" t="s">
        <v>58</v>
      </c>
      <c r="F507" s="602">
        <v>6</v>
      </c>
      <c r="G507" s="602">
        <v>3</v>
      </c>
      <c r="H507" s="602">
        <v>0</v>
      </c>
      <c r="I507" s="602">
        <v>0</v>
      </c>
      <c r="J507" s="602">
        <v>0</v>
      </c>
      <c r="K507" s="604" t="s">
        <v>560</v>
      </c>
      <c r="L507" s="604">
        <f t="shared" si="9"/>
        <v>6</v>
      </c>
    </row>
    <row r="508" spans="1:12" s="514" customFormat="1" ht="13" customHeight="1" x14ac:dyDescent="0.3">
      <c r="A508" s="599" t="s">
        <v>110</v>
      </c>
      <c r="B508" s="599" t="s">
        <v>881</v>
      </c>
      <c r="C508" s="599" t="s">
        <v>6</v>
      </c>
      <c r="D508" s="599" t="s">
        <v>57</v>
      </c>
      <c r="E508" s="599" t="s">
        <v>65</v>
      </c>
      <c r="F508" s="600">
        <v>83983</v>
      </c>
      <c r="G508" s="600">
        <v>78717</v>
      </c>
      <c r="H508" s="600">
        <v>894</v>
      </c>
      <c r="I508" s="600">
        <v>177</v>
      </c>
      <c r="J508" s="600">
        <v>592451</v>
      </c>
      <c r="K508" s="604" t="s">
        <v>560</v>
      </c>
      <c r="L508" s="604">
        <f t="shared" si="9"/>
        <v>6</v>
      </c>
    </row>
    <row r="509" spans="1:12" s="514" customFormat="1" ht="13" customHeight="1" x14ac:dyDescent="0.3">
      <c r="A509" s="599" t="s">
        <v>110</v>
      </c>
      <c r="B509" s="599" t="s">
        <v>881</v>
      </c>
      <c r="C509" s="599" t="s">
        <v>6</v>
      </c>
      <c r="D509" s="599" t="s">
        <v>4</v>
      </c>
      <c r="E509" s="599" t="s">
        <v>43</v>
      </c>
      <c r="F509" s="600">
        <v>4184</v>
      </c>
      <c r="G509" s="600">
        <v>2175</v>
      </c>
      <c r="H509" s="600">
        <v>79</v>
      </c>
      <c r="I509" s="600">
        <v>43</v>
      </c>
      <c r="J509" s="600">
        <v>174858.19</v>
      </c>
      <c r="K509" s="604" t="s">
        <v>560</v>
      </c>
      <c r="L509" s="604">
        <f t="shared" si="9"/>
        <v>6</v>
      </c>
    </row>
    <row r="510" spans="1:12" s="514" customFormat="1" ht="13" customHeight="1" x14ac:dyDescent="0.3">
      <c r="A510" s="601" t="s">
        <v>110</v>
      </c>
      <c r="B510" s="601" t="s">
        <v>881</v>
      </c>
      <c r="C510" s="601" t="s">
        <v>6</v>
      </c>
      <c r="D510" s="601" t="s">
        <v>55</v>
      </c>
      <c r="E510" s="601" t="s">
        <v>54</v>
      </c>
      <c r="F510" s="602">
        <v>12604</v>
      </c>
      <c r="G510" s="602">
        <v>10531</v>
      </c>
      <c r="H510" s="602">
        <v>170</v>
      </c>
      <c r="I510" s="602">
        <v>0</v>
      </c>
      <c r="J510" s="602">
        <v>0</v>
      </c>
      <c r="K510" s="604" t="s">
        <v>560</v>
      </c>
      <c r="L510" s="604">
        <f t="shared" si="9"/>
        <v>6</v>
      </c>
    </row>
    <row r="511" spans="1:12" s="514" customFormat="1" ht="13" customHeight="1" x14ac:dyDescent="0.3">
      <c r="A511" s="601" t="s">
        <v>110</v>
      </c>
      <c r="B511" s="601" t="s">
        <v>881</v>
      </c>
      <c r="C511" s="601" t="s">
        <v>7</v>
      </c>
      <c r="D511" s="601" t="s">
        <v>57</v>
      </c>
      <c r="E511" s="601" t="s">
        <v>63</v>
      </c>
      <c r="F511" s="602">
        <v>75752</v>
      </c>
      <c r="G511" s="602">
        <v>65318</v>
      </c>
      <c r="H511" s="602">
        <v>2066</v>
      </c>
      <c r="I511" s="602">
        <v>181</v>
      </c>
      <c r="J511" s="602">
        <v>1519240</v>
      </c>
      <c r="K511" s="604" t="s">
        <v>560</v>
      </c>
      <c r="L511" s="604">
        <f t="shared" si="9"/>
        <v>6</v>
      </c>
    </row>
    <row r="512" spans="1:12" s="514" customFormat="1" ht="13" customHeight="1" x14ac:dyDescent="0.3">
      <c r="A512" s="599" t="s">
        <v>110</v>
      </c>
      <c r="B512" s="599" t="s">
        <v>881</v>
      </c>
      <c r="C512" s="599" t="s">
        <v>7</v>
      </c>
      <c r="D512" s="599" t="s">
        <v>57</v>
      </c>
      <c r="E512" s="599" t="s">
        <v>64</v>
      </c>
      <c r="F512" s="600">
        <v>83089</v>
      </c>
      <c r="G512" s="600">
        <v>70891</v>
      </c>
      <c r="H512" s="600">
        <v>432</v>
      </c>
      <c r="I512" s="600">
        <v>14</v>
      </c>
      <c r="J512" s="600">
        <v>137080</v>
      </c>
      <c r="K512" s="604" t="s">
        <v>560</v>
      </c>
      <c r="L512" s="604">
        <f t="shared" si="9"/>
        <v>6</v>
      </c>
    </row>
    <row r="513" spans="1:12" s="514" customFormat="1" ht="13" customHeight="1" x14ac:dyDescent="0.3">
      <c r="A513" s="601" t="s">
        <v>110</v>
      </c>
      <c r="B513" s="601" t="s">
        <v>881</v>
      </c>
      <c r="C513" s="601" t="s">
        <v>7</v>
      </c>
      <c r="D513" s="601" t="s">
        <v>4</v>
      </c>
      <c r="E513" s="601" t="s">
        <v>41</v>
      </c>
      <c r="F513" s="602">
        <v>43</v>
      </c>
      <c r="G513" s="602">
        <v>31</v>
      </c>
      <c r="H513" s="602">
        <v>0</v>
      </c>
      <c r="I513" s="602">
        <v>0</v>
      </c>
      <c r="J513" s="602">
        <v>0</v>
      </c>
      <c r="K513" s="604" t="s">
        <v>560</v>
      </c>
      <c r="L513" s="604">
        <f t="shared" si="9"/>
        <v>6</v>
      </c>
    </row>
    <row r="514" spans="1:12" s="514" customFormat="1" ht="13" customHeight="1" x14ac:dyDescent="0.3">
      <c r="A514" s="599" t="s">
        <v>110</v>
      </c>
      <c r="B514" s="599" t="s">
        <v>881</v>
      </c>
      <c r="C514" s="599" t="s">
        <v>7</v>
      </c>
      <c r="D514" s="599" t="s">
        <v>57</v>
      </c>
      <c r="E514" s="599" t="s">
        <v>65</v>
      </c>
      <c r="F514" s="600">
        <v>75481</v>
      </c>
      <c r="G514" s="600">
        <v>69894</v>
      </c>
      <c r="H514" s="600">
        <v>650</v>
      </c>
      <c r="I514" s="600">
        <v>51</v>
      </c>
      <c r="J514" s="600">
        <v>412280</v>
      </c>
      <c r="K514" s="604" t="s">
        <v>560</v>
      </c>
      <c r="L514" s="604">
        <f t="shared" si="9"/>
        <v>6</v>
      </c>
    </row>
    <row r="515" spans="1:12" s="514" customFormat="1" ht="13" customHeight="1" x14ac:dyDescent="0.3">
      <c r="A515" s="601" t="s">
        <v>110</v>
      </c>
      <c r="B515" s="601" t="s">
        <v>881</v>
      </c>
      <c r="C515" s="601" t="s">
        <v>7</v>
      </c>
      <c r="D515" s="601" t="s">
        <v>52</v>
      </c>
      <c r="E515" s="601" t="s">
        <v>61</v>
      </c>
      <c r="F515" s="602">
        <v>43089</v>
      </c>
      <c r="G515" s="602">
        <v>40263</v>
      </c>
      <c r="H515" s="602">
        <v>1319</v>
      </c>
      <c r="I515" s="602">
        <v>186</v>
      </c>
      <c r="J515" s="602">
        <v>2147410</v>
      </c>
      <c r="K515" s="604" t="s">
        <v>560</v>
      </c>
      <c r="L515" s="604">
        <f t="shared" si="9"/>
        <v>6</v>
      </c>
    </row>
    <row r="516" spans="1:12" s="514" customFormat="1" ht="13" customHeight="1" x14ac:dyDescent="0.3">
      <c r="A516" s="599" t="s">
        <v>110</v>
      </c>
      <c r="B516" s="599" t="s">
        <v>881</v>
      </c>
      <c r="C516" s="599" t="s">
        <v>7</v>
      </c>
      <c r="D516" s="599" t="s">
        <v>55</v>
      </c>
      <c r="E516" s="599" t="s">
        <v>56</v>
      </c>
      <c r="F516" s="600">
        <v>44</v>
      </c>
      <c r="G516" s="600">
        <v>25</v>
      </c>
      <c r="H516" s="600">
        <v>0</v>
      </c>
      <c r="I516" s="600">
        <v>0</v>
      </c>
      <c r="J516" s="600">
        <v>0</v>
      </c>
      <c r="K516" s="604" t="s">
        <v>560</v>
      </c>
      <c r="L516" s="604">
        <f t="shared" si="9"/>
        <v>6</v>
      </c>
    </row>
    <row r="517" spans="1:12" s="514" customFormat="1" ht="13" customHeight="1" x14ac:dyDescent="0.3">
      <c r="A517" s="601" t="s">
        <v>110</v>
      </c>
      <c r="B517" s="601" t="s">
        <v>881</v>
      </c>
      <c r="C517" s="601" t="s">
        <v>7</v>
      </c>
      <c r="D517" s="601" t="s">
        <v>52</v>
      </c>
      <c r="E517" s="601" t="s">
        <v>51</v>
      </c>
      <c r="F517" s="602">
        <v>75</v>
      </c>
      <c r="G517" s="602">
        <v>74</v>
      </c>
      <c r="H517" s="602">
        <v>0</v>
      </c>
      <c r="I517" s="602">
        <v>0</v>
      </c>
      <c r="J517" s="602">
        <v>0</v>
      </c>
      <c r="K517" s="604" t="s">
        <v>560</v>
      </c>
      <c r="L517" s="604">
        <f t="shared" si="9"/>
        <v>6</v>
      </c>
    </row>
    <row r="518" spans="1:12" s="514" customFormat="1" ht="13" customHeight="1" x14ac:dyDescent="0.3">
      <c r="A518" s="599" t="s">
        <v>110</v>
      </c>
      <c r="B518" s="599" t="s">
        <v>881</v>
      </c>
      <c r="C518" s="599" t="s">
        <v>7</v>
      </c>
      <c r="D518" s="599" t="s">
        <v>4</v>
      </c>
      <c r="E518" s="599" t="s">
        <v>42</v>
      </c>
      <c r="F518" s="600">
        <v>2</v>
      </c>
      <c r="G518" s="600">
        <v>1</v>
      </c>
      <c r="H518" s="600">
        <v>0</v>
      </c>
      <c r="I518" s="600">
        <v>0</v>
      </c>
      <c r="J518" s="600">
        <v>0</v>
      </c>
      <c r="K518" s="604" t="s">
        <v>560</v>
      </c>
      <c r="L518" s="604">
        <f t="shared" si="9"/>
        <v>6</v>
      </c>
    </row>
    <row r="519" spans="1:12" s="514" customFormat="1" ht="13" customHeight="1" x14ac:dyDescent="0.3">
      <c r="A519" s="601" t="s">
        <v>110</v>
      </c>
      <c r="B519" s="601" t="s">
        <v>881</v>
      </c>
      <c r="C519" s="601" t="s">
        <v>7</v>
      </c>
      <c r="D519" s="601" t="s">
        <v>4</v>
      </c>
      <c r="E519" s="601" t="s">
        <v>43</v>
      </c>
      <c r="F519" s="602">
        <v>4106</v>
      </c>
      <c r="G519" s="602">
        <v>2346</v>
      </c>
      <c r="H519" s="602">
        <v>47</v>
      </c>
      <c r="I519" s="602">
        <v>18</v>
      </c>
      <c r="J519" s="602">
        <v>189080</v>
      </c>
      <c r="K519" s="604" t="s">
        <v>560</v>
      </c>
      <c r="L519" s="604">
        <f t="shared" si="9"/>
        <v>6</v>
      </c>
    </row>
    <row r="520" spans="1:12" s="514" customFormat="1" ht="13" customHeight="1" x14ac:dyDescent="0.3">
      <c r="A520" s="599" t="s">
        <v>110</v>
      </c>
      <c r="B520" s="599" t="s">
        <v>881</v>
      </c>
      <c r="C520" s="599" t="s">
        <v>7</v>
      </c>
      <c r="D520" s="599" t="s">
        <v>52</v>
      </c>
      <c r="E520" s="599" t="s">
        <v>58</v>
      </c>
      <c r="F520" s="600">
        <v>7</v>
      </c>
      <c r="G520" s="600">
        <v>2</v>
      </c>
      <c r="H520" s="600">
        <v>0</v>
      </c>
      <c r="I520" s="600">
        <v>0</v>
      </c>
      <c r="J520" s="600">
        <v>0</v>
      </c>
      <c r="K520" s="604" t="s">
        <v>560</v>
      </c>
      <c r="L520" s="604">
        <f t="shared" si="9"/>
        <v>6</v>
      </c>
    </row>
    <row r="521" spans="1:12" s="514" customFormat="1" ht="13" customHeight="1" x14ac:dyDescent="0.3">
      <c r="A521" s="601" t="s">
        <v>110</v>
      </c>
      <c r="B521" s="601" t="s">
        <v>882</v>
      </c>
      <c r="C521" s="601" t="s">
        <v>40</v>
      </c>
      <c r="D521" s="601" t="s">
        <v>55</v>
      </c>
      <c r="E521" s="601" t="s">
        <v>56</v>
      </c>
      <c r="F521" s="602">
        <v>36</v>
      </c>
      <c r="G521" s="602">
        <v>21</v>
      </c>
      <c r="H521" s="602">
        <v>0</v>
      </c>
      <c r="I521" s="602">
        <v>0</v>
      </c>
      <c r="J521" s="602">
        <v>0</v>
      </c>
      <c r="K521" s="604" t="s">
        <v>560</v>
      </c>
      <c r="L521" s="604">
        <f t="shared" si="9"/>
        <v>7</v>
      </c>
    </row>
    <row r="522" spans="1:12" s="514" customFormat="1" ht="13" customHeight="1" x14ac:dyDescent="0.3">
      <c r="A522" s="601" t="s">
        <v>110</v>
      </c>
      <c r="B522" s="601" t="s">
        <v>882</v>
      </c>
      <c r="C522" s="601" t="s">
        <v>40</v>
      </c>
      <c r="D522" s="601" t="s">
        <v>52</v>
      </c>
      <c r="E522" s="601" t="s">
        <v>51</v>
      </c>
      <c r="F522" s="602">
        <v>8</v>
      </c>
      <c r="G522" s="602">
        <v>6</v>
      </c>
      <c r="H522" s="602">
        <v>0</v>
      </c>
      <c r="I522" s="602">
        <v>0</v>
      </c>
      <c r="J522" s="602">
        <v>0</v>
      </c>
      <c r="K522" s="604" t="s">
        <v>560</v>
      </c>
      <c r="L522" s="604">
        <f t="shared" si="9"/>
        <v>7</v>
      </c>
    </row>
    <row r="523" spans="1:12" s="514" customFormat="1" ht="13" customHeight="1" x14ac:dyDescent="0.3">
      <c r="A523" s="599" t="s">
        <v>110</v>
      </c>
      <c r="B523" s="599" t="s">
        <v>882</v>
      </c>
      <c r="C523" s="599" t="s">
        <v>40</v>
      </c>
      <c r="D523" s="599" t="s">
        <v>52</v>
      </c>
      <c r="E523" s="599" t="s">
        <v>58</v>
      </c>
      <c r="F523" s="600">
        <v>3</v>
      </c>
      <c r="G523" s="600">
        <v>3</v>
      </c>
      <c r="H523" s="600">
        <v>0</v>
      </c>
      <c r="I523" s="600">
        <v>0</v>
      </c>
      <c r="J523" s="600">
        <v>0</v>
      </c>
      <c r="K523" s="604" t="s">
        <v>560</v>
      </c>
      <c r="L523" s="604">
        <f t="shared" si="9"/>
        <v>7</v>
      </c>
    </row>
    <row r="524" spans="1:12" s="514" customFormat="1" ht="13" customHeight="1" x14ac:dyDescent="0.3">
      <c r="A524" s="599" t="s">
        <v>110</v>
      </c>
      <c r="B524" s="599" t="s">
        <v>882</v>
      </c>
      <c r="C524" s="599" t="s">
        <v>40</v>
      </c>
      <c r="D524" s="599" t="s">
        <v>52</v>
      </c>
      <c r="E524" s="599" t="s">
        <v>59</v>
      </c>
      <c r="F524" s="600">
        <v>1</v>
      </c>
      <c r="G524" s="600">
        <v>0</v>
      </c>
      <c r="H524" s="600">
        <v>0</v>
      </c>
      <c r="I524" s="600">
        <v>0</v>
      </c>
      <c r="J524" s="600">
        <v>0</v>
      </c>
      <c r="K524" s="604" t="s">
        <v>560</v>
      </c>
      <c r="L524" s="604">
        <f t="shared" si="9"/>
        <v>7</v>
      </c>
    </row>
    <row r="525" spans="1:12" s="514" customFormat="1" ht="13" customHeight="1" x14ac:dyDescent="0.3">
      <c r="A525" s="601" t="s">
        <v>110</v>
      </c>
      <c r="B525" s="601" t="s">
        <v>882</v>
      </c>
      <c r="C525" s="601" t="s">
        <v>40</v>
      </c>
      <c r="D525" s="601" t="s">
        <v>57</v>
      </c>
      <c r="E525" s="601" t="s">
        <v>63</v>
      </c>
      <c r="F525" s="602">
        <v>63164</v>
      </c>
      <c r="G525" s="602">
        <v>56230</v>
      </c>
      <c r="H525" s="602">
        <v>1870</v>
      </c>
      <c r="I525" s="602">
        <v>114</v>
      </c>
      <c r="J525" s="602">
        <v>1856475</v>
      </c>
      <c r="K525" s="604" t="s">
        <v>560</v>
      </c>
      <c r="L525" s="604">
        <f t="shared" si="9"/>
        <v>7</v>
      </c>
    </row>
    <row r="526" spans="1:12" s="514" customFormat="1" ht="13" customHeight="1" x14ac:dyDescent="0.3">
      <c r="A526" s="601" t="s">
        <v>110</v>
      </c>
      <c r="B526" s="601" t="s">
        <v>882</v>
      </c>
      <c r="C526" s="601" t="s">
        <v>40</v>
      </c>
      <c r="D526" s="601" t="s">
        <v>4</v>
      </c>
      <c r="E526" s="601" t="s">
        <v>43</v>
      </c>
      <c r="F526" s="602">
        <v>1998</v>
      </c>
      <c r="G526" s="602">
        <v>1184</v>
      </c>
      <c r="H526" s="602">
        <v>26</v>
      </c>
      <c r="I526" s="602">
        <v>3</v>
      </c>
      <c r="J526" s="602">
        <v>15160</v>
      </c>
      <c r="K526" s="604" t="s">
        <v>560</v>
      </c>
      <c r="L526" s="604">
        <f t="shared" si="9"/>
        <v>7</v>
      </c>
    </row>
    <row r="527" spans="1:12" s="514" customFormat="1" ht="13" customHeight="1" x14ac:dyDescent="0.3">
      <c r="A527" s="599" t="s">
        <v>110</v>
      </c>
      <c r="B527" s="599" t="s">
        <v>882</v>
      </c>
      <c r="C527" s="599" t="s">
        <v>40</v>
      </c>
      <c r="D527" s="599" t="s">
        <v>57</v>
      </c>
      <c r="E527" s="599" t="s">
        <v>65</v>
      </c>
      <c r="F527" s="600">
        <v>20944</v>
      </c>
      <c r="G527" s="600">
        <v>18654</v>
      </c>
      <c r="H527" s="600">
        <v>435</v>
      </c>
      <c r="I527" s="600">
        <v>36</v>
      </c>
      <c r="J527" s="600">
        <v>541430</v>
      </c>
      <c r="K527" s="604" t="s">
        <v>560</v>
      </c>
      <c r="L527" s="604">
        <f t="shared" si="9"/>
        <v>7</v>
      </c>
    </row>
    <row r="528" spans="1:12" s="514" customFormat="1" ht="13" customHeight="1" x14ac:dyDescent="0.3">
      <c r="A528" s="601" t="s">
        <v>110</v>
      </c>
      <c r="B528" s="601" t="s">
        <v>882</v>
      </c>
      <c r="C528" s="601" t="s">
        <v>40</v>
      </c>
      <c r="D528" s="601" t="s">
        <v>52</v>
      </c>
      <c r="E528" s="601" t="s">
        <v>61</v>
      </c>
      <c r="F528" s="602">
        <v>11372</v>
      </c>
      <c r="G528" s="602">
        <v>10541</v>
      </c>
      <c r="H528" s="602">
        <v>528</v>
      </c>
      <c r="I528" s="602">
        <v>45</v>
      </c>
      <c r="J528" s="602">
        <v>688695</v>
      </c>
      <c r="K528" s="604" t="s">
        <v>560</v>
      </c>
      <c r="L528" s="604">
        <f t="shared" si="9"/>
        <v>7</v>
      </c>
    </row>
    <row r="529" spans="1:12" s="514" customFormat="1" ht="13" customHeight="1" x14ac:dyDescent="0.3">
      <c r="A529" s="599" t="s">
        <v>110</v>
      </c>
      <c r="B529" s="599" t="s">
        <v>882</v>
      </c>
      <c r="C529" s="599" t="s">
        <v>40</v>
      </c>
      <c r="D529" s="599" t="s">
        <v>52</v>
      </c>
      <c r="E529" s="599" t="s">
        <v>67</v>
      </c>
      <c r="F529" s="600">
        <v>2</v>
      </c>
      <c r="G529" s="600">
        <v>2</v>
      </c>
      <c r="H529" s="600">
        <v>0</v>
      </c>
      <c r="I529" s="600">
        <v>0</v>
      </c>
      <c r="J529" s="600">
        <v>0</v>
      </c>
      <c r="K529" s="604" t="s">
        <v>560</v>
      </c>
      <c r="L529" s="604">
        <f t="shared" si="9"/>
        <v>7</v>
      </c>
    </row>
    <row r="530" spans="1:12" s="514" customFormat="1" ht="13" customHeight="1" x14ac:dyDescent="0.3">
      <c r="A530" s="601" t="s">
        <v>110</v>
      </c>
      <c r="B530" s="601" t="s">
        <v>882</v>
      </c>
      <c r="C530" s="601" t="s">
        <v>40</v>
      </c>
      <c r="D530" s="601" t="s">
        <v>4</v>
      </c>
      <c r="E530" s="601" t="s">
        <v>41</v>
      </c>
      <c r="F530" s="602">
        <v>56</v>
      </c>
      <c r="G530" s="602">
        <v>51</v>
      </c>
      <c r="H530" s="602">
        <v>1</v>
      </c>
      <c r="I530" s="602">
        <v>0</v>
      </c>
      <c r="J530" s="602">
        <v>0</v>
      </c>
      <c r="K530" s="604" t="s">
        <v>560</v>
      </c>
      <c r="L530" s="604">
        <f t="shared" si="9"/>
        <v>7</v>
      </c>
    </row>
    <row r="531" spans="1:12" s="514" customFormat="1" ht="13" customHeight="1" x14ac:dyDescent="0.3">
      <c r="A531" s="599" t="s">
        <v>110</v>
      </c>
      <c r="B531" s="599" t="s">
        <v>882</v>
      </c>
      <c r="C531" s="599" t="s">
        <v>40</v>
      </c>
      <c r="D531" s="599" t="s">
        <v>57</v>
      </c>
      <c r="E531" s="599" t="s">
        <v>64</v>
      </c>
      <c r="F531" s="600">
        <v>135250</v>
      </c>
      <c r="G531" s="600">
        <v>120937</v>
      </c>
      <c r="H531" s="600">
        <v>1463</v>
      </c>
      <c r="I531" s="600">
        <v>72</v>
      </c>
      <c r="J531" s="600">
        <v>866505</v>
      </c>
      <c r="K531" s="604" t="s">
        <v>560</v>
      </c>
      <c r="L531" s="604">
        <f t="shared" si="9"/>
        <v>7</v>
      </c>
    </row>
    <row r="532" spans="1:12" s="514" customFormat="1" ht="13" customHeight="1" x14ac:dyDescent="0.3">
      <c r="A532" s="599" t="s">
        <v>110</v>
      </c>
      <c r="B532" s="599" t="s">
        <v>882</v>
      </c>
      <c r="C532" s="599" t="s">
        <v>6</v>
      </c>
      <c r="D532" s="599" t="s">
        <v>57</v>
      </c>
      <c r="E532" s="599" t="s">
        <v>63</v>
      </c>
      <c r="F532" s="600">
        <v>17887</v>
      </c>
      <c r="G532" s="600">
        <v>15457</v>
      </c>
      <c r="H532" s="600">
        <v>416</v>
      </c>
      <c r="I532" s="600">
        <v>33</v>
      </c>
      <c r="J532" s="600">
        <v>197625</v>
      </c>
      <c r="K532" s="604" t="s">
        <v>560</v>
      </c>
      <c r="L532" s="604">
        <f t="shared" si="9"/>
        <v>7</v>
      </c>
    </row>
    <row r="533" spans="1:12" s="514" customFormat="1" ht="13" customHeight="1" x14ac:dyDescent="0.3">
      <c r="A533" s="601" t="s">
        <v>110</v>
      </c>
      <c r="B533" s="601" t="s">
        <v>882</v>
      </c>
      <c r="C533" s="601" t="s">
        <v>6</v>
      </c>
      <c r="D533" s="601" t="s">
        <v>55</v>
      </c>
      <c r="E533" s="601" t="s">
        <v>56</v>
      </c>
      <c r="F533" s="602">
        <v>1583</v>
      </c>
      <c r="G533" s="602">
        <v>1110</v>
      </c>
      <c r="H533" s="602">
        <v>2</v>
      </c>
      <c r="I533" s="602">
        <v>0</v>
      </c>
      <c r="J533" s="602">
        <v>0</v>
      </c>
      <c r="K533" s="604" t="s">
        <v>560</v>
      </c>
      <c r="L533" s="604">
        <f t="shared" si="9"/>
        <v>7</v>
      </c>
    </row>
    <row r="534" spans="1:12" s="514" customFormat="1" ht="13" customHeight="1" x14ac:dyDescent="0.3">
      <c r="A534" s="599" t="s">
        <v>110</v>
      </c>
      <c r="B534" s="599" t="s">
        <v>882</v>
      </c>
      <c r="C534" s="599" t="s">
        <v>6</v>
      </c>
      <c r="D534" s="599" t="s">
        <v>55</v>
      </c>
      <c r="E534" s="599" t="s">
        <v>54</v>
      </c>
      <c r="F534" s="600">
        <v>2800</v>
      </c>
      <c r="G534" s="600">
        <v>2101</v>
      </c>
      <c r="H534" s="600">
        <v>13</v>
      </c>
      <c r="I534" s="600">
        <v>0</v>
      </c>
      <c r="J534" s="600">
        <v>0</v>
      </c>
      <c r="K534" s="604" t="s">
        <v>560</v>
      </c>
      <c r="L534" s="604">
        <f t="shared" si="9"/>
        <v>7</v>
      </c>
    </row>
    <row r="535" spans="1:12" s="514" customFormat="1" ht="13" customHeight="1" x14ac:dyDescent="0.3">
      <c r="A535" s="601" t="s">
        <v>110</v>
      </c>
      <c r="B535" s="601" t="s">
        <v>882</v>
      </c>
      <c r="C535" s="601" t="s">
        <v>6</v>
      </c>
      <c r="D535" s="601" t="s">
        <v>4</v>
      </c>
      <c r="E535" s="601" t="s">
        <v>41</v>
      </c>
      <c r="F535" s="602">
        <v>7</v>
      </c>
      <c r="G535" s="602">
        <v>4</v>
      </c>
      <c r="H535" s="602">
        <v>0</v>
      </c>
      <c r="I535" s="602">
        <v>0</v>
      </c>
      <c r="J535" s="602">
        <v>0</v>
      </c>
      <c r="K535" s="604" t="s">
        <v>560</v>
      </c>
      <c r="L535" s="604">
        <f t="shared" si="9"/>
        <v>7</v>
      </c>
    </row>
    <row r="536" spans="1:12" s="514" customFormat="1" ht="13" customHeight="1" x14ac:dyDescent="0.3">
      <c r="A536" s="599" t="s">
        <v>110</v>
      </c>
      <c r="B536" s="599" t="s">
        <v>882</v>
      </c>
      <c r="C536" s="599" t="s">
        <v>6</v>
      </c>
      <c r="D536" s="599" t="s">
        <v>4</v>
      </c>
      <c r="E536" s="599" t="s">
        <v>43</v>
      </c>
      <c r="F536" s="600">
        <v>2923</v>
      </c>
      <c r="G536" s="600">
        <v>1646</v>
      </c>
      <c r="H536" s="600">
        <v>27</v>
      </c>
      <c r="I536" s="600">
        <v>9</v>
      </c>
      <c r="J536" s="600">
        <v>53005</v>
      </c>
      <c r="K536" s="604" t="s">
        <v>560</v>
      </c>
      <c r="L536" s="604">
        <f t="shared" si="9"/>
        <v>7</v>
      </c>
    </row>
    <row r="537" spans="1:12" s="514" customFormat="1" ht="13" customHeight="1" x14ac:dyDescent="0.3">
      <c r="A537" s="601" t="s">
        <v>110</v>
      </c>
      <c r="B537" s="601" t="s">
        <v>882</v>
      </c>
      <c r="C537" s="601" t="s">
        <v>6</v>
      </c>
      <c r="D537" s="601" t="s">
        <v>52</v>
      </c>
      <c r="E537" s="601" t="s">
        <v>61</v>
      </c>
      <c r="F537" s="602">
        <v>1</v>
      </c>
      <c r="G537" s="602">
        <v>1</v>
      </c>
      <c r="H537" s="602">
        <v>0</v>
      </c>
      <c r="I537" s="602">
        <v>0</v>
      </c>
      <c r="J537" s="602">
        <v>0</v>
      </c>
      <c r="K537" s="604" t="s">
        <v>560</v>
      </c>
      <c r="L537" s="604">
        <f t="shared" si="9"/>
        <v>7</v>
      </c>
    </row>
    <row r="538" spans="1:12" s="514" customFormat="1" ht="13" customHeight="1" x14ac:dyDescent="0.3">
      <c r="A538" s="599" t="s">
        <v>110</v>
      </c>
      <c r="B538" s="599" t="s">
        <v>882</v>
      </c>
      <c r="C538" s="599" t="s">
        <v>6</v>
      </c>
      <c r="D538" s="599" t="s">
        <v>57</v>
      </c>
      <c r="E538" s="599" t="s">
        <v>65</v>
      </c>
      <c r="F538" s="600">
        <v>53429</v>
      </c>
      <c r="G538" s="600">
        <v>50746</v>
      </c>
      <c r="H538" s="600">
        <v>482</v>
      </c>
      <c r="I538" s="600">
        <v>36</v>
      </c>
      <c r="J538" s="600">
        <v>177307</v>
      </c>
      <c r="K538" s="604" t="s">
        <v>560</v>
      </c>
      <c r="L538" s="604">
        <f t="shared" si="9"/>
        <v>7</v>
      </c>
    </row>
    <row r="539" spans="1:12" s="514" customFormat="1" ht="13" customHeight="1" x14ac:dyDescent="0.3">
      <c r="A539" s="601" t="s">
        <v>110</v>
      </c>
      <c r="B539" s="601" t="s">
        <v>882</v>
      </c>
      <c r="C539" s="601" t="s">
        <v>6</v>
      </c>
      <c r="D539" s="601" t="s">
        <v>57</v>
      </c>
      <c r="E539" s="601" t="s">
        <v>64</v>
      </c>
      <c r="F539" s="602">
        <v>161054</v>
      </c>
      <c r="G539" s="602">
        <v>152446</v>
      </c>
      <c r="H539" s="602">
        <v>700</v>
      </c>
      <c r="I539" s="602">
        <v>26</v>
      </c>
      <c r="J539" s="602">
        <v>149705</v>
      </c>
      <c r="K539" s="604" t="s">
        <v>560</v>
      </c>
      <c r="L539" s="604">
        <f t="shared" si="9"/>
        <v>7</v>
      </c>
    </row>
    <row r="540" spans="1:12" s="514" customFormat="1" ht="13" customHeight="1" x14ac:dyDescent="0.3">
      <c r="A540" s="601" t="s">
        <v>110</v>
      </c>
      <c r="B540" s="601" t="s">
        <v>882</v>
      </c>
      <c r="C540" s="601" t="s">
        <v>7</v>
      </c>
      <c r="D540" s="601" t="s">
        <v>55</v>
      </c>
      <c r="E540" s="601" t="s">
        <v>56</v>
      </c>
      <c r="F540" s="602">
        <v>17854</v>
      </c>
      <c r="G540" s="602">
        <v>15351</v>
      </c>
      <c r="H540" s="602">
        <v>25</v>
      </c>
      <c r="I540" s="602">
        <v>2</v>
      </c>
      <c r="J540" s="602">
        <v>15900</v>
      </c>
      <c r="K540" s="604" t="s">
        <v>560</v>
      </c>
      <c r="L540" s="604">
        <f t="shared" si="9"/>
        <v>7</v>
      </c>
    </row>
    <row r="541" spans="1:12" s="514" customFormat="1" ht="13" customHeight="1" x14ac:dyDescent="0.3">
      <c r="A541" s="599" t="s">
        <v>110</v>
      </c>
      <c r="B541" s="599" t="s">
        <v>882</v>
      </c>
      <c r="C541" s="599" t="s">
        <v>7</v>
      </c>
      <c r="D541" s="599" t="s">
        <v>52</v>
      </c>
      <c r="E541" s="599" t="s">
        <v>60</v>
      </c>
      <c r="F541" s="600">
        <v>1</v>
      </c>
      <c r="G541" s="600">
        <v>1</v>
      </c>
      <c r="H541" s="600">
        <v>0</v>
      </c>
      <c r="I541" s="600">
        <v>0</v>
      </c>
      <c r="J541" s="600">
        <v>0</v>
      </c>
      <c r="K541" s="604" t="s">
        <v>560</v>
      </c>
      <c r="L541" s="604">
        <f t="shared" ref="L541:L604" si="10">MONTH(B541)</f>
        <v>7</v>
      </c>
    </row>
    <row r="542" spans="1:12" s="514" customFormat="1" ht="13" customHeight="1" x14ac:dyDescent="0.3">
      <c r="A542" s="601" t="s">
        <v>110</v>
      </c>
      <c r="B542" s="601" t="s">
        <v>882</v>
      </c>
      <c r="C542" s="601" t="s">
        <v>7</v>
      </c>
      <c r="D542" s="601" t="s">
        <v>52</v>
      </c>
      <c r="E542" s="601" t="s">
        <v>61</v>
      </c>
      <c r="F542" s="602">
        <v>37306</v>
      </c>
      <c r="G542" s="602">
        <v>35356</v>
      </c>
      <c r="H542" s="602">
        <v>998</v>
      </c>
      <c r="I542" s="602">
        <v>118</v>
      </c>
      <c r="J542" s="602">
        <v>1322220</v>
      </c>
      <c r="K542" s="604" t="s">
        <v>560</v>
      </c>
      <c r="L542" s="604">
        <f t="shared" si="10"/>
        <v>7</v>
      </c>
    </row>
    <row r="543" spans="1:12" s="514" customFormat="1" ht="13" customHeight="1" x14ac:dyDescent="0.3">
      <c r="A543" s="599" t="s">
        <v>110</v>
      </c>
      <c r="B543" s="599" t="s">
        <v>882</v>
      </c>
      <c r="C543" s="599" t="s">
        <v>7</v>
      </c>
      <c r="D543" s="599" t="s">
        <v>4</v>
      </c>
      <c r="E543" s="599" t="s">
        <v>42</v>
      </c>
      <c r="F543" s="600">
        <v>1</v>
      </c>
      <c r="G543" s="600">
        <v>0</v>
      </c>
      <c r="H543" s="600">
        <v>0</v>
      </c>
      <c r="I543" s="600">
        <v>0</v>
      </c>
      <c r="J543" s="600">
        <v>0</v>
      </c>
      <c r="K543" s="604" t="s">
        <v>560</v>
      </c>
      <c r="L543" s="604">
        <f t="shared" si="10"/>
        <v>7</v>
      </c>
    </row>
    <row r="544" spans="1:12" s="514" customFormat="1" ht="13" customHeight="1" x14ac:dyDescent="0.3">
      <c r="A544" s="601" t="s">
        <v>110</v>
      </c>
      <c r="B544" s="601" t="s">
        <v>882</v>
      </c>
      <c r="C544" s="601" t="s">
        <v>7</v>
      </c>
      <c r="D544" s="601" t="s">
        <v>57</v>
      </c>
      <c r="E544" s="601" t="s">
        <v>64</v>
      </c>
      <c r="F544" s="602">
        <v>76250</v>
      </c>
      <c r="G544" s="602">
        <v>67572</v>
      </c>
      <c r="H544" s="602">
        <v>439</v>
      </c>
      <c r="I544" s="602">
        <v>8</v>
      </c>
      <c r="J544" s="602">
        <v>82280</v>
      </c>
      <c r="K544" s="604" t="s">
        <v>560</v>
      </c>
      <c r="L544" s="604">
        <f t="shared" si="10"/>
        <v>7</v>
      </c>
    </row>
    <row r="545" spans="1:12" s="514" customFormat="1" ht="13" customHeight="1" x14ac:dyDescent="0.3">
      <c r="A545" s="599" t="s">
        <v>110</v>
      </c>
      <c r="B545" s="599" t="s">
        <v>882</v>
      </c>
      <c r="C545" s="599" t="s">
        <v>7</v>
      </c>
      <c r="D545" s="599" t="s">
        <v>4</v>
      </c>
      <c r="E545" s="599" t="s">
        <v>41</v>
      </c>
      <c r="F545" s="600">
        <v>23</v>
      </c>
      <c r="G545" s="600">
        <v>20</v>
      </c>
      <c r="H545" s="600">
        <v>0</v>
      </c>
      <c r="I545" s="600">
        <v>0</v>
      </c>
      <c r="J545" s="600">
        <v>0</v>
      </c>
      <c r="K545" s="604" t="s">
        <v>560</v>
      </c>
      <c r="L545" s="604">
        <f t="shared" si="10"/>
        <v>7</v>
      </c>
    </row>
    <row r="546" spans="1:12" s="514" customFormat="1" ht="13" customHeight="1" x14ac:dyDescent="0.3">
      <c r="A546" s="601" t="s">
        <v>110</v>
      </c>
      <c r="B546" s="601" t="s">
        <v>882</v>
      </c>
      <c r="C546" s="601" t="s">
        <v>7</v>
      </c>
      <c r="D546" s="601" t="s">
        <v>57</v>
      </c>
      <c r="E546" s="601" t="s">
        <v>65</v>
      </c>
      <c r="F546" s="602">
        <v>42457</v>
      </c>
      <c r="G546" s="602">
        <v>38647</v>
      </c>
      <c r="H546" s="602">
        <v>581</v>
      </c>
      <c r="I546" s="602">
        <v>37</v>
      </c>
      <c r="J546" s="602">
        <v>312940</v>
      </c>
      <c r="K546" s="604" t="s">
        <v>560</v>
      </c>
      <c r="L546" s="604">
        <f t="shared" si="10"/>
        <v>7</v>
      </c>
    </row>
    <row r="547" spans="1:12" s="514" customFormat="1" ht="13" customHeight="1" x14ac:dyDescent="0.3">
      <c r="A547" s="599" t="s">
        <v>110</v>
      </c>
      <c r="B547" s="599" t="s">
        <v>882</v>
      </c>
      <c r="C547" s="599" t="s">
        <v>7</v>
      </c>
      <c r="D547" s="599" t="s">
        <v>4</v>
      </c>
      <c r="E547" s="599" t="s">
        <v>43</v>
      </c>
      <c r="F547" s="600">
        <v>3810</v>
      </c>
      <c r="G547" s="600">
        <v>2345</v>
      </c>
      <c r="H547" s="600">
        <v>39</v>
      </c>
      <c r="I547" s="600">
        <v>15</v>
      </c>
      <c r="J547" s="600">
        <v>232500</v>
      </c>
      <c r="K547" s="604" t="s">
        <v>560</v>
      </c>
      <c r="L547" s="604">
        <f t="shared" si="10"/>
        <v>7</v>
      </c>
    </row>
    <row r="548" spans="1:12" s="514" customFormat="1" ht="13" customHeight="1" x14ac:dyDescent="0.3">
      <c r="A548" s="601" t="s">
        <v>110</v>
      </c>
      <c r="B548" s="601" t="s">
        <v>882</v>
      </c>
      <c r="C548" s="601" t="s">
        <v>7</v>
      </c>
      <c r="D548" s="601" t="s">
        <v>52</v>
      </c>
      <c r="E548" s="601" t="s">
        <v>51</v>
      </c>
      <c r="F548" s="602">
        <v>60</v>
      </c>
      <c r="G548" s="602">
        <v>58</v>
      </c>
      <c r="H548" s="602">
        <v>0</v>
      </c>
      <c r="I548" s="602">
        <v>0</v>
      </c>
      <c r="J548" s="602">
        <v>0</v>
      </c>
      <c r="K548" s="604" t="s">
        <v>560</v>
      </c>
      <c r="L548" s="604">
        <f t="shared" si="10"/>
        <v>7</v>
      </c>
    </row>
    <row r="549" spans="1:12" s="514" customFormat="1" ht="13" customHeight="1" x14ac:dyDescent="0.3">
      <c r="A549" s="599" t="s">
        <v>110</v>
      </c>
      <c r="B549" s="599" t="s">
        <v>882</v>
      </c>
      <c r="C549" s="599" t="s">
        <v>7</v>
      </c>
      <c r="D549" s="599" t="s">
        <v>57</v>
      </c>
      <c r="E549" s="599" t="s">
        <v>63</v>
      </c>
      <c r="F549" s="600">
        <v>34495</v>
      </c>
      <c r="G549" s="600">
        <v>29534</v>
      </c>
      <c r="H549" s="600">
        <v>973</v>
      </c>
      <c r="I549" s="600">
        <v>71</v>
      </c>
      <c r="J549" s="600">
        <v>582260</v>
      </c>
      <c r="K549" s="604" t="s">
        <v>560</v>
      </c>
      <c r="L549" s="604">
        <f t="shared" si="10"/>
        <v>7</v>
      </c>
    </row>
    <row r="550" spans="1:12" s="514" customFormat="1" ht="13" customHeight="1" x14ac:dyDescent="0.3">
      <c r="A550" s="601" t="s">
        <v>110</v>
      </c>
      <c r="B550" s="601" t="s">
        <v>882</v>
      </c>
      <c r="C550" s="601" t="s">
        <v>7</v>
      </c>
      <c r="D550" s="601" t="s">
        <v>52</v>
      </c>
      <c r="E550" s="601" t="s">
        <v>58</v>
      </c>
      <c r="F550" s="602">
        <v>1</v>
      </c>
      <c r="G550" s="602">
        <v>1</v>
      </c>
      <c r="H550" s="602">
        <v>0</v>
      </c>
      <c r="I550" s="602">
        <v>0</v>
      </c>
      <c r="J550" s="602">
        <v>0</v>
      </c>
      <c r="K550" s="604" t="s">
        <v>560</v>
      </c>
      <c r="L550" s="604">
        <f t="shared" si="10"/>
        <v>7</v>
      </c>
    </row>
    <row r="551" spans="1:12" s="514" customFormat="1" ht="13" customHeight="1" x14ac:dyDescent="0.3">
      <c r="A551" s="601" t="s">
        <v>110</v>
      </c>
      <c r="B551" s="601" t="s">
        <v>883</v>
      </c>
      <c r="C551" s="601" t="s">
        <v>40</v>
      </c>
      <c r="D551" s="601" t="s">
        <v>57</v>
      </c>
      <c r="E551" s="601" t="s">
        <v>64</v>
      </c>
      <c r="F551" s="602">
        <v>109202</v>
      </c>
      <c r="G551" s="602">
        <v>95742</v>
      </c>
      <c r="H551" s="602">
        <v>1697</v>
      </c>
      <c r="I551" s="602">
        <v>77</v>
      </c>
      <c r="J551" s="602">
        <v>741905</v>
      </c>
      <c r="K551" s="604" t="s">
        <v>560</v>
      </c>
      <c r="L551" s="604">
        <f t="shared" si="10"/>
        <v>8</v>
      </c>
    </row>
    <row r="552" spans="1:12" s="514" customFormat="1" ht="13" customHeight="1" x14ac:dyDescent="0.3">
      <c r="A552" s="599" t="s">
        <v>110</v>
      </c>
      <c r="B552" s="599" t="s">
        <v>883</v>
      </c>
      <c r="C552" s="599" t="s">
        <v>40</v>
      </c>
      <c r="D552" s="599" t="s">
        <v>52</v>
      </c>
      <c r="E552" s="599" t="s">
        <v>51</v>
      </c>
      <c r="F552" s="600">
        <v>4</v>
      </c>
      <c r="G552" s="600">
        <v>3</v>
      </c>
      <c r="H552" s="600">
        <v>0</v>
      </c>
      <c r="I552" s="600">
        <v>0</v>
      </c>
      <c r="J552" s="600">
        <v>0</v>
      </c>
      <c r="K552" s="604" t="s">
        <v>560</v>
      </c>
      <c r="L552" s="604">
        <f t="shared" si="10"/>
        <v>8</v>
      </c>
    </row>
    <row r="553" spans="1:12" s="514" customFormat="1" ht="13" customHeight="1" x14ac:dyDescent="0.3">
      <c r="A553" s="601" t="s">
        <v>110</v>
      </c>
      <c r="B553" s="601" t="s">
        <v>883</v>
      </c>
      <c r="C553" s="601" t="s">
        <v>40</v>
      </c>
      <c r="D553" s="601" t="s">
        <v>4</v>
      </c>
      <c r="E553" s="601" t="s">
        <v>41</v>
      </c>
      <c r="F553" s="602">
        <v>122</v>
      </c>
      <c r="G553" s="602">
        <v>108</v>
      </c>
      <c r="H553" s="602">
        <v>6</v>
      </c>
      <c r="I553" s="602">
        <v>0</v>
      </c>
      <c r="J553" s="602">
        <v>0</v>
      </c>
      <c r="K553" s="604" t="s">
        <v>560</v>
      </c>
      <c r="L553" s="604">
        <f t="shared" si="10"/>
        <v>8</v>
      </c>
    </row>
    <row r="554" spans="1:12" s="514" customFormat="1" ht="13" customHeight="1" x14ac:dyDescent="0.3">
      <c r="A554" s="599" t="s">
        <v>110</v>
      </c>
      <c r="B554" s="599" t="s">
        <v>883</v>
      </c>
      <c r="C554" s="599" t="s">
        <v>40</v>
      </c>
      <c r="D554" s="599" t="s">
        <v>4</v>
      </c>
      <c r="E554" s="599" t="s">
        <v>42</v>
      </c>
      <c r="F554" s="600">
        <v>4</v>
      </c>
      <c r="G554" s="600">
        <v>2</v>
      </c>
      <c r="H554" s="600">
        <v>0</v>
      </c>
      <c r="I554" s="600">
        <v>0</v>
      </c>
      <c r="J554" s="600">
        <v>0</v>
      </c>
      <c r="K554" s="604" t="s">
        <v>560</v>
      </c>
      <c r="L554" s="604">
        <f t="shared" si="10"/>
        <v>8</v>
      </c>
    </row>
    <row r="555" spans="1:12" s="514" customFormat="1" ht="13" customHeight="1" x14ac:dyDescent="0.3">
      <c r="A555" s="599" t="s">
        <v>110</v>
      </c>
      <c r="B555" s="599" t="s">
        <v>883</v>
      </c>
      <c r="C555" s="599" t="s">
        <v>40</v>
      </c>
      <c r="D555" s="599" t="s">
        <v>52</v>
      </c>
      <c r="E555" s="599" t="s">
        <v>58</v>
      </c>
      <c r="F555" s="600">
        <v>8</v>
      </c>
      <c r="G555" s="600">
        <v>4</v>
      </c>
      <c r="H555" s="600">
        <v>0</v>
      </c>
      <c r="I555" s="600">
        <v>0</v>
      </c>
      <c r="J555" s="600">
        <v>0</v>
      </c>
      <c r="K555" s="604" t="s">
        <v>560</v>
      </c>
      <c r="L555" s="604">
        <f t="shared" si="10"/>
        <v>8</v>
      </c>
    </row>
    <row r="556" spans="1:12" s="514" customFormat="1" ht="13" customHeight="1" x14ac:dyDescent="0.3">
      <c r="A556" s="601" t="s">
        <v>110</v>
      </c>
      <c r="B556" s="601" t="s">
        <v>883</v>
      </c>
      <c r="C556" s="601" t="s">
        <v>40</v>
      </c>
      <c r="D556" s="601" t="s">
        <v>52</v>
      </c>
      <c r="E556" s="601" t="s">
        <v>61</v>
      </c>
      <c r="F556" s="602">
        <v>13080</v>
      </c>
      <c r="G556" s="602">
        <v>12211</v>
      </c>
      <c r="H556" s="602">
        <v>710</v>
      </c>
      <c r="I556" s="602">
        <v>44</v>
      </c>
      <c r="J556" s="602">
        <v>600705</v>
      </c>
      <c r="K556" s="604" t="s">
        <v>560</v>
      </c>
      <c r="L556" s="604">
        <f t="shared" si="10"/>
        <v>8</v>
      </c>
    </row>
    <row r="557" spans="1:12" s="514" customFormat="1" ht="13" customHeight="1" x14ac:dyDescent="0.3">
      <c r="A557" s="599" t="s">
        <v>110</v>
      </c>
      <c r="B557" s="599" t="s">
        <v>883</v>
      </c>
      <c r="C557" s="599" t="s">
        <v>40</v>
      </c>
      <c r="D557" s="599" t="s">
        <v>57</v>
      </c>
      <c r="E557" s="599" t="s">
        <v>63</v>
      </c>
      <c r="F557" s="600">
        <v>16892</v>
      </c>
      <c r="G557" s="600">
        <v>13219</v>
      </c>
      <c r="H557" s="600">
        <v>381</v>
      </c>
      <c r="I557" s="600">
        <v>34</v>
      </c>
      <c r="J557" s="600">
        <v>508020</v>
      </c>
      <c r="K557" s="604" t="s">
        <v>560</v>
      </c>
      <c r="L557" s="604">
        <f t="shared" si="10"/>
        <v>8</v>
      </c>
    </row>
    <row r="558" spans="1:12" s="514" customFormat="1" ht="13" customHeight="1" x14ac:dyDescent="0.3">
      <c r="A558" s="601" t="s">
        <v>110</v>
      </c>
      <c r="B558" s="601" t="s">
        <v>883</v>
      </c>
      <c r="C558" s="601" t="s">
        <v>40</v>
      </c>
      <c r="D558" s="601" t="s">
        <v>55</v>
      </c>
      <c r="E558" s="601" t="s">
        <v>66</v>
      </c>
      <c r="F558" s="602">
        <v>1</v>
      </c>
      <c r="G558" s="602">
        <v>0</v>
      </c>
      <c r="H558" s="602">
        <v>0</v>
      </c>
      <c r="I558" s="602">
        <v>0</v>
      </c>
      <c r="J558" s="602">
        <v>0</v>
      </c>
      <c r="K558" s="604" t="s">
        <v>560</v>
      </c>
      <c r="L558" s="604">
        <f t="shared" si="10"/>
        <v>8</v>
      </c>
    </row>
    <row r="559" spans="1:12" s="514" customFormat="1" ht="13" customHeight="1" x14ac:dyDescent="0.3">
      <c r="A559" s="599" t="s">
        <v>110</v>
      </c>
      <c r="B559" s="599" t="s">
        <v>883</v>
      </c>
      <c r="C559" s="599" t="s">
        <v>40</v>
      </c>
      <c r="D559" s="599" t="s">
        <v>55</v>
      </c>
      <c r="E559" s="599" t="s">
        <v>56</v>
      </c>
      <c r="F559" s="600">
        <v>27</v>
      </c>
      <c r="G559" s="600">
        <v>7</v>
      </c>
      <c r="H559" s="600">
        <v>1</v>
      </c>
      <c r="I559" s="600">
        <v>0</v>
      </c>
      <c r="J559" s="600">
        <v>0</v>
      </c>
      <c r="K559" s="604" t="s">
        <v>560</v>
      </c>
      <c r="L559" s="604">
        <f t="shared" si="10"/>
        <v>8</v>
      </c>
    </row>
    <row r="560" spans="1:12" s="514" customFormat="1" ht="13" customHeight="1" x14ac:dyDescent="0.3">
      <c r="A560" s="601" t="s">
        <v>110</v>
      </c>
      <c r="B560" s="601" t="s">
        <v>883</v>
      </c>
      <c r="C560" s="601" t="s">
        <v>40</v>
      </c>
      <c r="D560" s="601" t="s">
        <v>57</v>
      </c>
      <c r="E560" s="601" t="s">
        <v>65</v>
      </c>
      <c r="F560" s="602">
        <v>37554</v>
      </c>
      <c r="G560" s="602">
        <v>34669</v>
      </c>
      <c r="H560" s="602">
        <v>550</v>
      </c>
      <c r="I560" s="602">
        <v>33</v>
      </c>
      <c r="J560" s="602">
        <v>307670</v>
      </c>
      <c r="K560" s="604" t="s">
        <v>560</v>
      </c>
      <c r="L560" s="604">
        <f t="shared" si="10"/>
        <v>8</v>
      </c>
    </row>
    <row r="561" spans="1:12" s="514" customFormat="1" ht="13" customHeight="1" x14ac:dyDescent="0.3">
      <c r="A561" s="599" t="s">
        <v>110</v>
      </c>
      <c r="B561" s="599" t="s">
        <v>883</v>
      </c>
      <c r="C561" s="599" t="s">
        <v>40</v>
      </c>
      <c r="D561" s="599" t="s">
        <v>4</v>
      </c>
      <c r="E561" s="599" t="s">
        <v>43</v>
      </c>
      <c r="F561" s="600">
        <v>1690</v>
      </c>
      <c r="G561" s="600">
        <v>1027</v>
      </c>
      <c r="H561" s="600">
        <v>18</v>
      </c>
      <c r="I561" s="600">
        <v>2</v>
      </c>
      <c r="J561" s="600">
        <v>23300</v>
      </c>
      <c r="K561" s="604" t="s">
        <v>560</v>
      </c>
      <c r="L561" s="604">
        <f t="shared" si="10"/>
        <v>8</v>
      </c>
    </row>
    <row r="562" spans="1:12" s="514" customFormat="1" ht="13" customHeight="1" x14ac:dyDescent="0.3">
      <c r="A562" s="599" t="s">
        <v>110</v>
      </c>
      <c r="B562" s="599" t="s">
        <v>883</v>
      </c>
      <c r="C562" s="599" t="s">
        <v>6</v>
      </c>
      <c r="D562" s="599" t="s">
        <v>57</v>
      </c>
      <c r="E562" s="599" t="s">
        <v>63</v>
      </c>
      <c r="F562" s="600">
        <v>13231</v>
      </c>
      <c r="G562" s="600">
        <v>12560</v>
      </c>
      <c r="H562" s="600">
        <v>342</v>
      </c>
      <c r="I562" s="600">
        <v>28</v>
      </c>
      <c r="J562" s="600">
        <v>83751.05</v>
      </c>
      <c r="K562" s="604" t="s">
        <v>560</v>
      </c>
      <c r="L562" s="604">
        <f t="shared" si="10"/>
        <v>8</v>
      </c>
    </row>
    <row r="563" spans="1:12" s="514" customFormat="1" ht="13" customHeight="1" x14ac:dyDescent="0.3">
      <c r="A563" s="601" t="s">
        <v>110</v>
      </c>
      <c r="B563" s="601" t="s">
        <v>883</v>
      </c>
      <c r="C563" s="601" t="s">
        <v>6</v>
      </c>
      <c r="D563" s="601" t="s">
        <v>55</v>
      </c>
      <c r="E563" s="601" t="s">
        <v>56</v>
      </c>
      <c r="F563" s="602">
        <v>3932</v>
      </c>
      <c r="G563" s="602">
        <v>3406</v>
      </c>
      <c r="H563" s="602">
        <v>8</v>
      </c>
      <c r="I563" s="602">
        <v>1</v>
      </c>
      <c r="J563" s="602">
        <v>2995</v>
      </c>
      <c r="K563" s="604" t="s">
        <v>560</v>
      </c>
      <c r="L563" s="604">
        <f t="shared" si="10"/>
        <v>8</v>
      </c>
    </row>
    <row r="564" spans="1:12" s="514" customFormat="1" ht="13" customHeight="1" x14ac:dyDescent="0.3">
      <c r="A564" s="599" t="s">
        <v>110</v>
      </c>
      <c r="B564" s="599" t="s">
        <v>883</v>
      </c>
      <c r="C564" s="599" t="s">
        <v>6</v>
      </c>
      <c r="D564" s="599" t="s">
        <v>57</v>
      </c>
      <c r="E564" s="599" t="s">
        <v>64</v>
      </c>
      <c r="F564" s="600">
        <v>135826</v>
      </c>
      <c r="G564" s="600">
        <v>127655</v>
      </c>
      <c r="H564" s="600">
        <v>688</v>
      </c>
      <c r="I564" s="600">
        <v>21</v>
      </c>
      <c r="J564" s="600">
        <v>95327</v>
      </c>
      <c r="K564" s="604" t="s">
        <v>560</v>
      </c>
      <c r="L564" s="604">
        <f t="shared" si="10"/>
        <v>8</v>
      </c>
    </row>
    <row r="565" spans="1:12" s="514" customFormat="1" ht="13" customHeight="1" x14ac:dyDescent="0.3">
      <c r="A565" s="601" t="s">
        <v>110</v>
      </c>
      <c r="B565" s="601" t="s">
        <v>883</v>
      </c>
      <c r="C565" s="601" t="s">
        <v>6</v>
      </c>
      <c r="D565" s="601" t="s">
        <v>4</v>
      </c>
      <c r="E565" s="601" t="s">
        <v>43</v>
      </c>
      <c r="F565" s="602">
        <v>2502</v>
      </c>
      <c r="G565" s="602">
        <v>1217</v>
      </c>
      <c r="H565" s="602">
        <v>15</v>
      </c>
      <c r="I565" s="602">
        <v>15</v>
      </c>
      <c r="J565" s="602">
        <v>77985</v>
      </c>
      <c r="K565" s="604" t="s">
        <v>560</v>
      </c>
      <c r="L565" s="604">
        <f t="shared" si="10"/>
        <v>8</v>
      </c>
    </row>
    <row r="566" spans="1:12" s="514" customFormat="1" ht="13" customHeight="1" x14ac:dyDescent="0.3">
      <c r="A566" s="601" t="s">
        <v>110</v>
      </c>
      <c r="B566" s="601" t="s">
        <v>883</v>
      </c>
      <c r="C566" s="601" t="s">
        <v>6</v>
      </c>
      <c r="D566" s="601" t="s">
        <v>4</v>
      </c>
      <c r="E566" s="601" t="s">
        <v>42</v>
      </c>
      <c r="F566" s="602">
        <v>1</v>
      </c>
      <c r="G566" s="602">
        <v>1</v>
      </c>
      <c r="H566" s="602">
        <v>0</v>
      </c>
      <c r="I566" s="602">
        <v>0</v>
      </c>
      <c r="J566" s="602">
        <v>0</v>
      </c>
      <c r="K566" s="604" t="s">
        <v>560</v>
      </c>
      <c r="L566" s="604">
        <f t="shared" si="10"/>
        <v>8</v>
      </c>
    </row>
    <row r="567" spans="1:12" s="514" customFormat="1" ht="13" customHeight="1" x14ac:dyDescent="0.3">
      <c r="A567" s="599" t="s">
        <v>110</v>
      </c>
      <c r="B567" s="599" t="s">
        <v>883</v>
      </c>
      <c r="C567" s="599" t="s">
        <v>6</v>
      </c>
      <c r="D567" s="599" t="s">
        <v>55</v>
      </c>
      <c r="E567" s="599" t="s">
        <v>66</v>
      </c>
      <c r="F567" s="600">
        <v>1</v>
      </c>
      <c r="G567" s="600">
        <v>1</v>
      </c>
      <c r="H567" s="600">
        <v>0</v>
      </c>
      <c r="I567" s="600">
        <v>0</v>
      </c>
      <c r="J567" s="600">
        <v>0</v>
      </c>
      <c r="K567" s="604" t="s">
        <v>560</v>
      </c>
      <c r="L567" s="604">
        <f t="shared" si="10"/>
        <v>8</v>
      </c>
    </row>
    <row r="568" spans="1:12" s="514" customFormat="1" ht="13" customHeight="1" x14ac:dyDescent="0.3">
      <c r="A568" s="601" t="s">
        <v>110</v>
      </c>
      <c r="B568" s="601" t="s">
        <v>883</v>
      </c>
      <c r="C568" s="601" t="s">
        <v>6</v>
      </c>
      <c r="D568" s="601" t="s">
        <v>52</v>
      </c>
      <c r="E568" s="601" t="s">
        <v>51</v>
      </c>
      <c r="F568" s="602">
        <v>2</v>
      </c>
      <c r="G568" s="602">
        <v>1</v>
      </c>
      <c r="H568" s="602">
        <v>0</v>
      </c>
      <c r="I568" s="602">
        <v>0</v>
      </c>
      <c r="J568" s="602">
        <v>0</v>
      </c>
      <c r="K568" s="604" t="s">
        <v>560</v>
      </c>
      <c r="L568" s="604">
        <f t="shared" si="10"/>
        <v>8</v>
      </c>
    </row>
    <row r="569" spans="1:12" s="514" customFormat="1" ht="13" customHeight="1" x14ac:dyDescent="0.3">
      <c r="A569" s="599" t="s">
        <v>110</v>
      </c>
      <c r="B569" s="599" t="s">
        <v>883</v>
      </c>
      <c r="C569" s="599" t="s">
        <v>6</v>
      </c>
      <c r="D569" s="599" t="s">
        <v>55</v>
      </c>
      <c r="E569" s="599" t="s">
        <v>54</v>
      </c>
      <c r="F569" s="600">
        <v>2999</v>
      </c>
      <c r="G569" s="600">
        <v>2334</v>
      </c>
      <c r="H569" s="600">
        <v>27</v>
      </c>
      <c r="I569" s="600">
        <v>0</v>
      </c>
      <c r="J569" s="600">
        <v>0</v>
      </c>
      <c r="K569" s="604" t="s">
        <v>560</v>
      </c>
      <c r="L569" s="604">
        <f t="shared" si="10"/>
        <v>8</v>
      </c>
    </row>
    <row r="570" spans="1:12" s="514" customFormat="1" ht="13" customHeight="1" x14ac:dyDescent="0.3">
      <c r="A570" s="599" t="s">
        <v>110</v>
      </c>
      <c r="B570" s="599" t="s">
        <v>883</v>
      </c>
      <c r="C570" s="599" t="s">
        <v>6</v>
      </c>
      <c r="D570" s="599" t="s">
        <v>52</v>
      </c>
      <c r="E570" s="599" t="s">
        <v>58</v>
      </c>
      <c r="F570" s="600">
        <v>2</v>
      </c>
      <c r="G570" s="600">
        <v>2</v>
      </c>
      <c r="H570" s="600">
        <v>0</v>
      </c>
      <c r="I570" s="600">
        <v>0</v>
      </c>
      <c r="J570" s="600">
        <v>0</v>
      </c>
      <c r="K570" s="604" t="s">
        <v>560</v>
      </c>
      <c r="L570" s="604">
        <f t="shared" si="10"/>
        <v>8</v>
      </c>
    </row>
    <row r="571" spans="1:12" s="514" customFormat="1" ht="13" customHeight="1" x14ac:dyDescent="0.3">
      <c r="A571" s="601" t="s">
        <v>110</v>
      </c>
      <c r="B571" s="601" t="s">
        <v>883</v>
      </c>
      <c r="C571" s="601" t="s">
        <v>6</v>
      </c>
      <c r="D571" s="601" t="s">
        <v>57</v>
      </c>
      <c r="E571" s="601" t="s">
        <v>65</v>
      </c>
      <c r="F571" s="602">
        <v>54176</v>
      </c>
      <c r="G571" s="602">
        <v>51543</v>
      </c>
      <c r="H571" s="602">
        <v>574</v>
      </c>
      <c r="I571" s="602">
        <v>55</v>
      </c>
      <c r="J571" s="602">
        <v>262520</v>
      </c>
      <c r="K571" s="604" t="s">
        <v>560</v>
      </c>
      <c r="L571" s="604">
        <f t="shared" si="10"/>
        <v>8</v>
      </c>
    </row>
    <row r="572" spans="1:12" s="514" customFormat="1" ht="13" customHeight="1" x14ac:dyDescent="0.3">
      <c r="A572" s="601" t="s">
        <v>110</v>
      </c>
      <c r="B572" s="601" t="s">
        <v>883</v>
      </c>
      <c r="C572" s="601" t="s">
        <v>6</v>
      </c>
      <c r="D572" s="601" t="s">
        <v>52</v>
      </c>
      <c r="E572" s="601" t="s">
        <v>61</v>
      </c>
      <c r="F572" s="602">
        <v>2</v>
      </c>
      <c r="G572" s="602">
        <v>2</v>
      </c>
      <c r="H572" s="602">
        <v>0</v>
      </c>
      <c r="I572" s="602">
        <v>0</v>
      </c>
      <c r="J572" s="602">
        <v>0</v>
      </c>
      <c r="K572" s="604" t="s">
        <v>560</v>
      </c>
      <c r="L572" s="604">
        <f t="shared" si="10"/>
        <v>8</v>
      </c>
    </row>
    <row r="573" spans="1:12" s="514" customFormat="1" ht="13" customHeight="1" x14ac:dyDescent="0.3">
      <c r="A573" s="599" t="s">
        <v>110</v>
      </c>
      <c r="B573" s="599" t="s">
        <v>883</v>
      </c>
      <c r="C573" s="599" t="s">
        <v>6</v>
      </c>
      <c r="D573" s="599" t="s">
        <v>4</v>
      </c>
      <c r="E573" s="599" t="s">
        <v>41</v>
      </c>
      <c r="F573" s="600">
        <v>18</v>
      </c>
      <c r="G573" s="600">
        <v>9</v>
      </c>
      <c r="H573" s="600">
        <v>1</v>
      </c>
      <c r="I573" s="600">
        <v>0</v>
      </c>
      <c r="J573" s="600">
        <v>0</v>
      </c>
      <c r="K573" s="604" t="s">
        <v>560</v>
      </c>
      <c r="L573" s="604">
        <f t="shared" si="10"/>
        <v>8</v>
      </c>
    </row>
    <row r="574" spans="1:12" s="514" customFormat="1" ht="13" customHeight="1" x14ac:dyDescent="0.3">
      <c r="A574" s="599" t="s">
        <v>110</v>
      </c>
      <c r="B574" s="599" t="s">
        <v>883</v>
      </c>
      <c r="C574" s="599" t="s">
        <v>7</v>
      </c>
      <c r="D574" s="599" t="s">
        <v>4</v>
      </c>
      <c r="E574" s="599" t="s">
        <v>41</v>
      </c>
      <c r="F574" s="600">
        <v>32</v>
      </c>
      <c r="G574" s="600">
        <v>21</v>
      </c>
      <c r="H574" s="600">
        <v>0</v>
      </c>
      <c r="I574" s="600">
        <v>0</v>
      </c>
      <c r="J574" s="600">
        <v>0</v>
      </c>
      <c r="K574" s="604" t="s">
        <v>560</v>
      </c>
      <c r="L574" s="604">
        <f t="shared" si="10"/>
        <v>8</v>
      </c>
    </row>
    <row r="575" spans="1:12" s="514" customFormat="1" ht="13" customHeight="1" x14ac:dyDescent="0.3">
      <c r="A575" s="601" t="s">
        <v>110</v>
      </c>
      <c r="B575" s="601" t="s">
        <v>883</v>
      </c>
      <c r="C575" s="601" t="s">
        <v>7</v>
      </c>
      <c r="D575" s="601" t="s">
        <v>57</v>
      </c>
      <c r="E575" s="601" t="s">
        <v>64</v>
      </c>
      <c r="F575" s="602">
        <v>108074</v>
      </c>
      <c r="G575" s="602">
        <v>97424</v>
      </c>
      <c r="H575" s="602">
        <v>601</v>
      </c>
      <c r="I575" s="602">
        <v>17</v>
      </c>
      <c r="J575" s="602">
        <v>146080</v>
      </c>
      <c r="K575" s="604" t="s">
        <v>560</v>
      </c>
      <c r="L575" s="604">
        <f t="shared" si="10"/>
        <v>8</v>
      </c>
    </row>
    <row r="576" spans="1:12" s="514" customFormat="1" ht="13" customHeight="1" x14ac:dyDescent="0.3">
      <c r="A576" s="599" t="s">
        <v>110</v>
      </c>
      <c r="B576" s="599" t="s">
        <v>883</v>
      </c>
      <c r="C576" s="599" t="s">
        <v>7</v>
      </c>
      <c r="D576" s="599" t="s">
        <v>52</v>
      </c>
      <c r="E576" s="599" t="s">
        <v>60</v>
      </c>
      <c r="F576" s="600">
        <v>1</v>
      </c>
      <c r="G576" s="600">
        <v>1</v>
      </c>
      <c r="H576" s="600">
        <v>0</v>
      </c>
      <c r="I576" s="600">
        <v>0</v>
      </c>
      <c r="J576" s="600">
        <v>0</v>
      </c>
      <c r="K576" s="604" t="s">
        <v>560</v>
      </c>
      <c r="L576" s="604">
        <f t="shared" si="10"/>
        <v>8</v>
      </c>
    </row>
    <row r="577" spans="1:12" s="514" customFormat="1" ht="13" customHeight="1" x14ac:dyDescent="0.3">
      <c r="A577" s="601" t="s">
        <v>110</v>
      </c>
      <c r="B577" s="601" t="s">
        <v>883</v>
      </c>
      <c r="C577" s="601" t="s">
        <v>7</v>
      </c>
      <c r="D577" s="601" t="s">
        <v>4</v>
      </c>
      <c r="E577" s="601" t="s">
        <v>43</v>
      </c>
      <c r="F577" s="602">
        <v>4072</v>
      </c>
      <c r="G577" s="602">
        <v>2263</v>
      </c>
      <c r="H577" s="602">
        <v>29</v>
      </c>
      <c r="I577" s="602">
        <v>11</v>
      </c>
      <c r="J577" s="602">
        <v>174760</v>
      </c>
      <c r="K577" s="604" t="s">
        <v>560</v>
      </c>
      <c r="L577" s="604">
        <f t="shared" si="10"/>
        <v>8</v>
      </c>
    </row>
    <row r="578" spans="1:12" s="514" customFormat="1" ht="13" customHeight="1" x14ac:dyDescent="0.3">
      <c r="A578" s="599" t="s">
        <v>110</v>
      </c>
      <c r="B578" s="599" t="s">
        <v>883</v>
      </c>
      <c r="C578" s="599" t="s">
        <v>7</v>
      </c>
      <c r="D578" s="599" t="s">
        <v>57</v>
      </c>
      <c r="E578" s="599" t="s">
        <v>65</v>
      </c>
      <c r="F578" s="600">
        <v>50136</v>
      </c>
      <c r="G578" s="600">
        <v>45830</v>
      </c>
      <c r="H578" s="600">
        <v>736</v>
      </c>
      <c r="I578" s="600">
        <v>50</v>
      </c>
      <c r="J578" s="600">
        <v>399960</v>
      </c>
      <c r="K578" s="604" t="s">
        <v>560</v>
      </c>
      <c r="L578" s="604">
        <f t="shared" si="10"/>
        <v>8</v>
      </c>
    </row>
    <row r="579" spans="1:12" s="514" customFormat="1" ht="13" customHeight="1" x14ac:dyDescent="0.3">
      <c r="A579" s="601" t="s">
        <v>110</v>
      </c>
      <c r="B579" s="601" t="s">
        <v>883</v>
      </c>
      <c r="C579" s="601" t="s">
        <v>7</v>
      </c>
      <c r="D579" s="601" t="s">
        <v>52</v>
      </c>
      <c r="E579" s="601" t="s">
        <v>61</v>
      </c>
      <c r="F579" s="602">
        <v>42068</v>
      </c>
      <c r="G579" s="602">
        <v>39776</v>
      </c>
      <c r="H579" s="602">
        <v>1147</v>
      </c>
      <c r="I579" s="602">
        <v>151</v>
      </c>
      <c r="J579" s="602">
        <v>1872280</v>
      </c>
      <c r="K579" s="604" t="s">
        <v>560</v>
      </c>
      <c r="L579" s="604">
        <f t="shared" si="10"/>
        <v>8</v>
      </c>
    </row>
    <row r="580" spans="1:12" s="514" customFormat="1" ht="13" customHeight="1" x14ac:dyDescent="0.3">
      <c r="A580" s="599" t="s">
        <v>110</v>
      </c>
      <c r="B580" s="599" t="s">
        <v>883</v>
      </c>
      <c r="C580" s="599" t="s">
        <v>7</v>
      </c>
      <c r="D580" s="599" t="s">
        <v>4</v>
      </c>
      <c r="E580" s="599" t="s">
        <v>42</v>
      </c>
      <c r="F580" s="600">
        <v>1</v>
      </c>
      <c r="G580" s="600">
        <v>1</v>
      </c>
      <c r="H580" s="600">
        <v>0</v>
      </c>
      <c r="I580" s="600">
        <v>0</v>
      </c>
      <c r="J580" s="600">
        <v>0</v>
      </c>
      <c r="K580" s="604" t="s">
        <v>560</v>
      </c>
      <c r="L580" s="604">
        <f t="shared" si="10"/>
        <v>8</v>
      </c>
    </row>
    <row r="581" spans="1:12" s="514" customFormat="1" ht="13" customHeight="1" x14ac:dyDescent="0.3">
      <c r="A581" s="601" t="s">
        <v>110</v>
      </c>
      <c r="B581" s="601" t="s">
        <v>883</v>
      </c>
      <c r="C581" s="601" t="s">
        <v>7</v>
      </c>
      <c r="D581" s="601" t="s">
        <v>52</v>
      </c>
      <c r="E581" s="601" t="s">
        <v>51</v>
      </c>
      <c r="F581" s="602">
        <v>55</v>
      </c>
      <c r="G581" s="602">
        <v>55</v>
      </c>
      <c r="H581" s="602">
        <v>0</v>
      </c>
      <c r="I581" s="602">
        <v>0</v>
      </c>
      <c r="J581" s="602">
        <v>0</v>
      </c>
      <c r="K581" s="604" t="s">
        <v>560</v>
      </c>
      <c r="L581" s="604">
        <f t="shared" si="10"/>
        <v>8</v>
      </c>
    </row>
    <row r="582" spans="1:12" s="514" customFormat="1" ht="13" customHeight="1" x14ac:dyDescent="0.3">
      <c r="A582" s="599" t="s">
        <v>110</v>
      </c>
      <c r="B582" s="599" t="s">
        <v>883</v>
      </c>
      <c r="C582" s="599" t="s">
        <v>7</v>
      </c>
      <c r="D582" s="599" t="s">
        <v>52</v>
      </c>
      <c r="E582" s="599" t="s">
        <v>53</v>
      </c>
      <c r="F582" s="600">
        <v>1</v>
      </c>
      <c r="G582" s="600">
        <v>1</v>
      </c>
      <c r="H582" s="600">
        <v>0</v>
      </c>
      <c r="I582" s="600">
        <v>0</v>
      </c>
      <c r="J582" s="600">
        <v>0</v>
      </c>
      <c r="K582" s="604" t="s">
        <v>560</v>
      </c>
      <c r="L582" s="604">
        <f t="shared" si="10"/>
        <v>8</v>
      </c>
    </row>
    <row r="583" spans="1:12" s="514" customFormat="1" ht="13" customHeight="1" x14ac:dyDescent="0.3">
      <c r="A583" s="601" t="s">
        <v>110</v>
      </c>
      <c r="B583" s="601" t="s">
        <v>883</v>
      </c>
      <c r="C583" s="601" t="s">
        <v>7</v>
      </c>
      <c r="D583" s="601" t="s">
        <v>55</v>
      </c>
      <c r="E583" s="601" t="s">
        <v>56</v>
      </c>
      <c r="F583" s="602">
        <v>13984</v>
      </c>
      <c r="G583" s="602">
        <v>10134</v>
      </c>
      <c r="H583" s="602">
        <v>44</v>
      </c>
      <c r="I583" s="602">
        <v>5</v>
      </c>
      <c r="J583" s="602">
        <v>93080</v>
      </c>
      <c r="K583" s="604" t="s">
        <v>560</v>
      </c>
      <c r="L583" s="604">
        <f t="shared" si="10"/>
        <v>8</v>
      </c>
    </row>
    <row r="584" spans="1:12" s="514" customFormat="1" ht="13" customHeight="1" x14ac:dyDescent="0.3">
      <c r="A584" s="599" t="s">
        <v>110</v>
      </c>
      <c r="B584" s="599" t="s">
        <v>883</v>
      </c>
      <c r="C584" s="599" t="s">
        <v>7</v>
      </c>
      <c r="D584" s="599" t="s">
        <v>57</v>
      </c>
      <c r="E584" s="599" t="s">
        <v>63</v>
      </c>
      <c r="F584" s="600">
        <v>9718</v>
      </c>
      <c r="G584" s="600">
        <v>7068</v>
      </c>
      <c r="H584" s="600">
        <v>261</v>
      </c>
      <c r="I584" s="600">
        <v>11</v>
      </c>
      <c r="J584" s="600">
        <v>102400</v>
      </c>
      <c r="K584" s="604" t="s">
        <v>560</v>
      </c>
      <c r="L584" s="604">
        <f t="shared" si="10"/>
        <v>8</v>
      </c>
    </row>
    <row r="585" spans="1:12" s="514" customFormat="1" ht="13" customHeight="1" x14ac:dyDescent="0.3">
      <c r="A585" s="601" t="s">
        <v>110</v>
      </c>
      <c r="B585" s="601" t="s">
        <v>883</v>
      </c>
      <c r="C585" s="601" t="s">
        <v>7</v>
      </c>
      <c r="D585" s="601" t="s">
        <v>52</v>
      </c>
      <c r="E585" s="601" t="s">
        <v>58</v>
      </c>
      <c r="F585" s="602">
        <v>3</v>
      </c>
      <c r="G585" s="602">
        <v>2</v>
      </c>
      <c r="H585" s="602">
        <v>0</v>
      </c>
      <c r="I585" s="602">
        <v>0</v>
      </c>
      <c r="J585" s="602">
        <v>0</v>
      </c>
      <c r="K585" s="604" t="s">
        <v>560</v>
      </c>
      <c r="L585" s="604">
        <f t="shared" si="10"/>
        <v>8</v>
      </c>
    </row>
    <row r="586" spans="1:12" s="514" customFormat="1" ht="13" customHeight="1" x14ac:dyDescent="0.3">
      <c r="A586" s="601" t="s">
        <v>110</v>
      </c>
      <c r="B586" s="601" t="s">
        <v>884</v>
      </c>
      <c r="C586" s="601" t="s">
        <v>40</v>
      </c>
      <c r="D586" s="601" t="s">
        <v>55</v>
      </c>
      <c r="E586" s="601" t="s">
        <v>66</v>
      </c>
      <c r="F586" s="602">
        <v>3</v>
      </c>
      <c r="G586" s="602">
        <v>1</v>
      </c>
      <c r="H586" s="602">
        <v>0</v>
      </c>
      <c r="I586" s="602">
        <v>0</v>
      </c>
      <c r="J586" s="602">
        <v>0</v>
      </c>
      <c r="K586" s="604" t="s">
        <v>560</v>
      </c>
      <c r="L586" s="604">
        <f t="shared" si="10"/>
        <v>9</v>
      </c>
    </row>
    <row r="587" spans="1:12" s="514" customFormat="1" ht="13" customHeight="1" x14ac:dyDescent="0.3">
      <c r="A587" s="599" t="s">
        <v>110</v>
      </c>
      <c r="B587" s="599" t="s">
        <v>884</v>
      </c>
      <c r="C587" s="599" t="s">
        <v>40</v>
      </c>
      <c r="D587" s="599" t="s">
        <v>4</v>
      </c>
      <c r="E587" s="599" t="s">
        <v>42</v>
      </c>
      <c r="F587" s="600">
        <v>2</v>
      </c>
      <c r="G587" s="600">
        <v>0</v>
      </c>
      <c r="H587" s="600">
        <v>0</v>
      </c>
      <c r="I587" s="600">
        <v>0</v>
      </c>
      <c r="J587" s="600">
        <v>0</v>
      </c>
      <c r="K587" s="604" t="s">
        <v>560</v>
      </c>
      <c r="L587" s="604">
        <f t="shared" si="10"/>
        <v>9</v>
      </c>
    </row>
    <row r="588" spans="1:12" s="514" customFormat="1" ht="13" customHeight="1" x14ac:dyDescent="0.3">
      <c r="A588" s="601" t="s">
        <v>110</v>
      </c>
      <c r="B588" s="601" t="s">
        <v>884</v>
      </c>
      <c r="C588" s="601" t="s">
        <v>40</v>
      </c>
      <c r="D588" s="601" t="s">
        <v>55</v>
      </c>
      <c r="E588" s="601" t="s">
        <v>56</v>
      </c>
      <c r="F588" s="602">
        <v>380</v>
      </c>
      <c r="G588" s="602">
        <v>209</v>
      </c>
      <c r="H588" s="602">
        <v>3</v>
      </c>
      <c r="I588" s="602">
        <v>0</v>
      </c>
      <c r="J588" s="602">
        <v>0</v>
      </c>
      <c r="K588" s="604" t="s">
        <v>560</v>
      </c>
      <c r="L588" s="604">
        <f t="shared" si="10"/>
        <v>9</v>
      </c>
    </row>
    <row r="589" spans="1:12" s="514" customFormat="1" ht="13" customHeight="1" x14ac:dyDescent="0.3">
      <c r="A589" s="599" t="s">
        <v>110</v>
      </c>
      <c r="B589" s="599" t="s">
        <v>884</v>
      </c>
      <c r="C589" s="599" t="s">
        <v>40</v>
      </c>
      <c r="D589" s="599" t="s">
        <v>52</v>
      </c>
      <c r="E589" s="599" t="s">
        <v>61</v>
      </c>
      <c r="F589" s="600">
        <v>15644</v>
      </c>
      <c r="G589" s="600">
        <v>14661</v>
      </c>
      <c r="H589" s="600">
        <v>652</v>
      </c>
      <c r="I589" s="600">
        <v>34</v>
      </c>
      <c r="J589" s="600">
        <v>478590</v>
      </c>
      <c r="K589" s="604" t="s">
        <v>560</v>
      </c>
      <c r="L589" s="604">
        <f t="shared" si="10"/>
        <v>9</v>
      </c>
    </row>
    <row r="590" spans="1:12" s="514" customFormat="1" ht="13" customHeight="1" x14ac:dyDescent="0.3">
      <c r="A590" s="601" t="s">
        <v>110</v>
      </c>
      <c r="B590" s="601" t="s">
        <v>884</v>
      </c>
      <c r="C590" s="601" t="s">
        <v>40</v>
      </c>
      <c r="D590" s="601" t="s">
        <v>4</v>
      </c>
      <c r="E590" s="601" t="s">
        <v>43</v>
      </c>
      <c r="F590" s="602">
        <v>1052</v>
      </c>
      <c r="G590" s="602">
        <v>543</v>
      </c>
      <c r="H590" s="602">
        <v>9</v>
      </c>
      <c r="I590" s="602">
        <v>1</v>
      </c>
      <c r="J590" s="602">
        <v>6500</v>
      </c>
      <c r="K590" s="604" t="s">
        <v>560</v>
      </c>
      <c r="L590" s="604">
        <f t="shared" si="10"/>
        <v>9</v>
      </c>
    </row>
    <row r="591" spans="1:12" s="514" customFormat="1" ht="13" customHeight="1" x14ac:dyDescent="0.3">
      <c r="A591" s="599" t="s">
        <v>110</v>
      </c>
      <c r="B591" s="599" t="s">
        <v>884</v>
      </c>
      <c r="C591" s="599" t="s">
        <v>40</v>
      </c>
      <c r="D591" s="599" t="s">
        <v>57</v>
      </c>
      <c r="E591" s="599" t="s">
        <v>63</v>
      </c>
      <c r="F591" s="600">
        <v>12</v>
      </c>
      <c r="G591" s="600">
        <v>9</v>
      </c>
      <c r="H591" s="600">
        <v>0</v>
      </c>
      <c r="I591" s="600">
        <v>0</v>
      </c>
      <c r="J591" s="600">
        <v>0</v>
      </c>
      <c r="K591" s="604" t="s">
        <v>560</v>
      </c>
      <c r="L591" s="604">
        <f t="shared" si="10"/>
        <v>9</v>
      </c>
    </row>
    <row r="592" spans="1:12" s="514" customFormat="1" ht="13" customHeight="1" x14ac:dyDescent="0.3">
      <c r="A592" s="601" t="s">
        <v>110</v>
      </c>
      <c r="B592" s="601" t="s">
        <v>884</v>
      </c>
      <c r="C592" s="601" t="s">
        <v>40</v>
      </c>
      <c r="D592" s="601" t="s">
        <v>57</v>
      </c>
      <c r="E592" s="601" t="s">
        <v>64</v>
      </c>
      <c r="F592" s="602">
        <v>126105</v>
      </c>
      <c r="G592" s="602">
        <v>114603</v>
      </c>
      <c r="H592" s="602">
        <v>1210</v>
      </c>
      <c r="I592" s="602">
        <v>72</v>
      </c>
      <c r="J592" s="602">
        <v>900775</v>
      </c>
      <c r="K592" s="604" t="s">
        <v>560</v>
      </c>
      <c r="L592" s="604">
        <f t="shared" si="10"/>
        <v>9</v>
      </c>
    </row>
    <row r="593" spans="1:12" s="514" customFormat="1" ht="13" customHeight="1" x14ac:dyDescent="0.3">
      <c r="A593" s="599" t="s">
        <v>110</v>
      </c>
      <c r="B593" s="599" t="s">
        <v>884</v>
      </c>
      <c r="C593" s="599" t="s">
        <v>40</v>
      </c>
      <c r="D593" s="599" t="s">
        <v>52</v>
      </c>
      <c r="E593" s="599" t="s">
        <v>58</v>
      </c>
      <c r="F593" s="600">
        <v>1</v>
      </c>
      <c r="G593" s="600">
        <v>0</v>
      </c>
      <c r="H593" s="600">
        <v>0</v>
      </c>
      <c r="I593" s="600">
        <v>0</v>
      </c>
      <c r="J593" s="600">
        <v>0</v>
      </c>
      <c r="K593" s="604" t="s">
        <v>560</v>
      </c>
      <c r="L593" s="604">
        <f t="shared" si="10"/>
        <v>9</v>
      </c>
    </row>
    <row r="594" spans="1:12" s="514" customFormat="1" ht="13" customHeight="1" x14ac:dyDescent="0.3">
      <c r="A594" s="601" t="s">
        <v>110</v>
      </c>
      <c r="B594" s="601" t="s">
        <v>884</v>
      </c>
      <c r="C594" s="601" t="s">
        <v>40</v>
      </c>
      <c r="D594" s="601" t="s">
        <v>52</v>
      </c>
      <c r="E594" s="601" t="s">
        <v>51</v>
      </c>
      <c r="F594" s="602">
        <v>3</v>
      </c>
      <c r="G594" s="602">
        <v>1</v>
      </c>
      <c r="H594" s="602">
        <v>0</v>
      </c>
      <c r="I594" s="602">
        <v>0</v>
      </c>
      <c r="J594" s="602">
        <v>0</v>
      </c>
      <c r="K594" s="604" t="s">
        <v>560</v>
      </c>
      <c r="L594" s="604">
        <f t="shared" si="10"/>
        <v>9</v>
      </c>
    </row>
    <row r="595" spans="1:12" s="514" customFormat="1" ht="13" customHeight="1" x14ac:dyDescent="0.3">
      <c r="A595" s="601" t="s">
        <v>110</v>
      </c>
      <c r="B595" s="601" t="s">
        <v>884</v>
      </c>
      <c r="C595" s="601" t="s">
        <v>40</v>
      </c>
      <c r="D595" s="601" t="s">
        <v>57</v>
      </c>
      <c r="E595" s="601" t="s">
        <v>65</v>
      </c>
      <c r="F595" s="602">
        <v>25886</v>
      </c>
      <c r="G595" s="602">
        <v>23426</v>
      </c>
      <c r="H595" s="602">
        <v>490</v>
      </c>
      <c r="I595" s="602">
        <v>30</v>
      </c>
      <c r="J595" s="602">
        <v>269705</v>
      </c>
      <c r="K595" s="604" t="s">
        <v>560</v>
      </c>
      <c r="L595" s="604">
        <f t="shared" si="10"/>
        <v>9</v>
      </c>
    </row>
    <row r="596" spans="1:12" s="514" customFormat="1" ht="13" customHeight="1" x14ac:dyDescent="0.3">
      <c r="A596" s="601" t="s">
        <v>110</v>
      </c>
      <c r="B596" s="601" t="s">
        <v>884</v>
      </c>
      <c r="C596" s="601" t="s">
        <v>40</v>
      </c>
      <c r="D596" s="601" t="s">
        <v>55</v>
      </c>
      <c r="E596" s="601" t="s">
        <v>54</v>
      </c>
      <c r="F596" s="602">
        <v>25</v>
      </c>
      <c r="G596" s="602">
        <v>6</v>
      </c>
      <c r="H596" s="602">
        <v>0</v>
      </c>
      <c r="I596" s="602">
        <v>0</v>
      </c>
      <c r="J596" s="602">
        <v>0</v>
      </c>
      <c r="K596" s="604" t="s">
        <v>560</v>
      </c>
      <c r="L596" s="604">
        <f t="shared" si="10"/>
        <v>9</v>
      </c>
    </row>
    <row r="597" spans="1:12" s="514" customFormat="1" ht="13" customHeight="1" x14ac:dyDescent="0.3">
      <c r="A597" s="599" t="s">
        <v>110</v>
      </c>
      <c r="B597" s="599" t="s">
        <v>884</v>
      </c>
      <c r="C597" s="599" t="s">
        <v>40</v>
      </c>
      <c r="D597" s="599" t="s">
        <v>4</v>
      </c>
      <c r="E597" s="599" t="s">
        <v>41</v>
      </c>
      <c r="F597" s="600">
        <v>55</v>
      </c>
      <c r="G597" s="600">
        <v>48</v>
      </c>
      <c r="H597" s="600">
        <v>1</v>
      </c>
      <c r="I597" s="600">
        <v>0</v>
      </c>
      <c r="J597" s="600">
        <v>0</v>
      </c>
      <c r="K597" s="604" t="s">
        <v>560</v>
      </c>
      <c r="L597" s="604">
        <f t="shared" si="10"/>
        <v>9</v>
      </c>
    </row>
    <row r="598" spans="1:12" s="514" customFormat="1" ht="13" customHeight="1" x14ac:dyDescent="0.3">
      <c r="A598" s="601" t="s">
        <v>110</v>
      </c>
      <c r="B598" s="601" t="s">
        <v>884</v>
      </c>
      <c r="C598" s="601" t="s">
        <v>6</v>
      </c>
      <c r="D598" s="601" t="s">
        <v>57</v>
      </c>
      <c r="E598" s="601" t="s">
        <v>65</v>
      </c>
      <c r="F598" s="602">
        <v>59373</v>
      </c>
      <c r="G598" s="602">
        <v>56305</v>
      </c>
      <c r="H598" s="602">
        <v>509</v>
      </c>
      <c r="I598" s="602">
        <v>31</v>
      </c>
      <c r="J598" s="602">
        <v>151011</v>
      </c>
      <c r="K598" s="604" t="s">
        <v>560</v>
      </c>
      <c r="L598" s="604">
        <f t="shared" si="10"/>
        <v>9</v>
      </c>
    </row>
    <row r="599" spans="1:12" s="514" customFormat="1" ht="13" customHeight="1" x14ac:dyDescent="0.3">
      <c r="A599" s="599" t="s">
        <v>110</v>
      </c>
      <c r="B599" s="599" t="s">
        <v>884</v>
      </c>
      <c r="C599" s="599" t="s">
        <v>6</v>
      </c>
      <c r="D599" s="599" t="s">
        <v>55</v>
      </c>
      <c r="E599" s="599" t="s">
        <v>56</v>
      </c>
      <c r="F599" s="600">
        <v>4513</v>
      </c>
      <c r="G599" s="600">
        <v>3936</v>
      </c>
      <c r="H599" s="600">
        <v>5</v>
      </c>
      <c r="I599" s="600">
        <v>0</v>
      </c>
      <c r="J599" s="600">
        <v>0</v>
      </c>
      <c r="K599" s="604" t="s">
        <v>560</v>
      </c>
      <c r="L599" s="604">
        <f t="shared" si="10"/>
        <v>9</v>
      </c>
    </row>
    <row r="600" spans="1:12" s="514" customFormat="1" ht="13" customHeight="1" x14ac:dyDescent="0.3">
      <c r="A600" s="599" t="s">
        <v>110</v>
      </c>
      <c r="B600" s="599" t="s">
        <v>884</v>
      </c>
      <c r="C600" s="599" t="s">
        <v>6</v>
      </c>
      <c r="D600" s="599" t="s">
        <v>55</v>
      </c>
      <c r="E600" s="599" t="s">
        <v>66</v>
      </c>
      <c r="F600" s="600">
        <v>18</v>
      </c>
      <c r="G600" s="600">
        <v>17</v>
      </c>
      <c r="H600" s="600">
        <v>0</v>
      </c>
      <c r="I600" s="600">
        <v>0</v>
      </c>
      <c r="J600" s="600">
        <v>0</v>
      </c>
      <c r="K600" s="604" t="s">
        <v>560</v>
      </c>
      <c r="L600" s="604">
        <f t="shared" si="10"/>
        <v>9</v>
      </c>
    </row>
    <row r="601" spans="1:12" s="514" customFormat="1" ht="13" customHeight="1" x14ac:dyDescent="0.3">
      <c r="A601" s="601" t="s">
        <v>110</v>
      </c>
      <c r="B601" s="601" t="s">
        <v>884</v>
      </c>
      <c r="C601" s="601" t="s">
        <v>6</v>
      </c>
      <c r="D601" s="601" t="s">
        <v>52</v>
      </c>
      <c r="E601" s="601" t="s">
        <v>58</v>
      </c>
      <c r="F601" s="602">
        <v>2</v>
      </c>
      <c r="G601" s="602">
        <v>2</v>
      </c>
      <c r="H601" s="602">
        <v>0</v>
      </c>
      <c r="I601" s="602">
        <v>0</v>
      </c>
      <c r="J601" s="602">
        <v>0</v>
      </c>
      <c r="K601" s="604" t="s">
        <v>560</v>
      </c>
      <c r="L601" s="604">
        <f t="shared" si="10"/>
        <v>9</v>
      </c>
    </row>
    <row r="602" spans="1:12" s="514" customFormat="1" ht="13" customHeight="1" x14ac:dyDescent="0.3">
      <c r="A602" s="599" t="s">
        <v>110</v>
      </c>
      <c r="B602" s="599" t="s">
        <v>884</v>
      </c>
      <c r="C602" s="599" t="s">
        <v>6</v>
      </c>
      <c r="D602" s="599" t="s">
        <v>57</v>
      </c>
      <c r="E602" s="599" t="s">
        <v>64</v>
      </c>
      <c r="F602" s="600">
        <v>169900</v>
      </c>
      <c r="G602" s="600">
        <v>161831</v>
      </c>
      <c r="H602" s="600">
        <v>573</v>
      </c>
      <c r="I602" s="600">
        <v>13</v>
      </c>
      <c r="J602" s="600">
        <v>120240</v>
      </c>
      <c r="K602" s="604" t="s">
        <v>560</v>
      </c>
      <c r="L602" s="604">
        <f t="shared" si="10"/>
        <v>9</v>
      </c>
    </row>
    <row r="603" spans="1:12" s="514" customFormat="1" ht="13" customHeight="1" x14ac:dyDescent="0.3">
      <c r="A603" s="601" t="s">
        <v>110</v>
      </c>
      <c r="B603" s="601" t="s">
        <v>884</v>
      </c>
      <c r="C603" s="601" t="s">
        <v>6</v>
      </c>
      <c r="D603" s="601" t="s">
        <v>4</v>
      </c>
      <c r="E603" s="601" t="s">
        <v>42</v>
      </c>
      <c r="F603" s="602">
        <v>1</v>
      </c>
      <c r="G603" s="602">
        <v>0</v>
      </c>
      <c r="H603" s="602">
        <v>0</v>
      </c>
      <c r="I603" s="602">
        <v>0</v>
      </c>
      <c r="J603" s="602">
        <v>0</v>
      </c>
      <c r="K603" s="604" t="s">
        <v>560</v>
      </c>
      <c r="L603" s="604">
        <f t="shared" si="10"/>
        <v>9</v>
      </c>
    </row>
    <row r="604" spans="1:12" s="514" customFormat="1" ht="13" customHeight="1" x14ac:dyDescent="0.3">
      <c r="A604" s="601" t="s">
        <v>110</v>
      </c>
      <c r="B604" s="601" t="s">
        <v>884</v>
      </c>
      <c r="C604" s="601" t="s">
        <v>6</v>
      </c>
      <c r="D604" s="601" t="s">
        <v>4</v>
      </c>
      <c r="E604" s="601" t="s">
        <v>41</v>
      </c>
      <c r="F604" s="602">
        <v>15</v>
      </c>
      <c r="G604" s="602">
        <v>13</v>
      </c>
      <c r="H604" s="602">
        <v>0</v>
      </c>
      <c r="I604" s="602">
        <v>0</v>
      </c>
      <c r="J604" s="602">
        <v>0</v>
      </c>
      <c r="K604" s="604" t="s">
        <v>560</v>
      </c>
      <c r="L604" s="604">
        <f t="shared" si="10"/>
        <v>9</v>
      </c>
    </row>
    <row r="605" spans="1:12" s="514" customFormat="1" ht="13" customHeight="1" x14ac:dyDescent="0.3">
      <c r="A605" s="599" t="s">
        <v>110</v>
      </c>
      <c r="B605" s="599" t="s">
        <v>884</v>
      </c>
      <c r="C605" s="599" t="s">
        <v>6</v>
      </c>
      <c r="D605" s="599" t="s">
        <v>52</v>
      </c>
      <c r="E605" s="599" t="s">
        <v>51</v>
      </c>
      <c r="F605" s="600">
        <v>1</v>
      </c>
      <c r="G605" s="600">
        <v>1</v>
      </c>
      <c r="H605" s="600">
        <v>0</v>
      </c>
      <c r="I605" s="600">
        <v>0</v>
      </c>
      <c r="J605" s="600">
        <v>0</v>
      </c>
      <c r="K605" s="604" t="s">
        <v>560</v>
      </c>
      <c r="L605" s="604">
        <f t="shared" ref="L605:L668" si="11">MONTH(B605)</f>
        <v>9</v>
      </c>
    </row>
    <row r="606" spans="1:12" s="514" customFormat="1" ht="13" customHeight="1" x14ac:dyDescent="0.3">
      <c r="A606" s="599" t="s">
        <v>110</v>
      </c>
      <c r="B606" s="599" t="s">
        <v>884</v>
      </c>
      <c r="C606" s="599" t="s">
        <v>6</v>
      </c>
      <c r="D606" s="599" t="s">
        <v>4</v>
      </c>
      <c r="E606" s="599" t="s">
        <v>43</v>
      </c>
      <c r="F606" s="600">
        <v>2436</v>
      </c>
      <c r="G606" s="600">
        <v>1139</v>
      </c>
      <c r="H606" s="600">
        <v>11</v>
      </c>
      <c r="I606" s="600">
        <v>5</v>
      </c>
      <c r="J606" s="600">
        <v>22257</v>
      </c>
      <c r="K606" s="604" t="s">
        <v>560</v>
      </c>
      <c r="L606" s="604">
        <f t="shared" si="11"/>
        <v>9</v>
      </c>
    </row>
    <row r="607" spans="1:12" s="514" customFormat="1" ht="13" customHeight="1" x14ac:dyDescent="0.3">
      <c r="A607" s="599" t="s">
        <v>110</v>
      </c>
      <c r="B607" s="599" t="s">
        <v>884</v>
      </c>
      <c r="C607" s="599" t="s">
        <v>6</v>
      </c>
      <c r="D607" s="599" t="s">
        <v>52</v>
      </c>
      <c r="E607" s="599" t="s">
        <v>61</v>
      </c>
      <c r="F607" s="600">
        <v>3</v>
      </c>
      <c r="G607" s="600">
        <v>3</v>
      </c>
      <c r="H607" s="600">
        <v>0</v>
      </c>
      <c r="I607" s="600">
        <v>0</v>
      </c>
      <c r="J607" s="600">
        <v>0</v>
      </c>
      <c r="K607" s="604" t="s">
        <v>560</v>
      </c>
      <c r="L607" s="604">
        <f t="shared" si="11"/>
        <v>9</v>
      </c>
    </row>
    <row r="608" spans="1:12" s="514" customFormat="1" ht="13" customHeight="1" x14ac:dyDescent="0.3">
      <c r="A608" s="601" t="s">
        <v>110</v>
      </c>
      <c r="B608" s="601" t="s">
        <v>884</v>
      </c>
      <c r="C608" s="601" t="s">
        <v>6</v>
      </c>
      <c r="D608" s="601" t="s">
        <v>57</v>
      </c>
      <c r="E608" s="601" t="s">
        <v>63</v>
      </c>
      <c r="F608" s="602">
        <v>14634</v>
      </c>
      <c r="G608" s="602">
        <v>13836</v>
      </c>
      <c r="H608" s="602">
        <v>269</v>
      </c>
      <c r="I608" s="602">
        <v>35</v>
      </c>
      <c r="J608" s="602">
        <v>271560</v>
      </c>
      <c r="K608" s="604" t="s">
        <v>560</v>
      </c>
      <c r="L608" s="604">
        <f t="shared" si="11"/>
        <v>9</v>
      </c>
    </row>
    <row r="609" spans="1:12" s="514" customFormat="1" ht="13" customHeight="1" x14ac:dyDescent="0.3">
      <c r="A609" s="599" t="s">
        <v>110</v>
      </c>
      <c r="B609" s="599" t="s">
        <v>884</v>
      </c>
      <c r="C609" s="599" t="s">
        <v>6</v>
      </c>
      <c r="D609" s="599" t="s">
        <v>55</v>
      </c>
      <c r="E609" s="599" t="s">
        <v>54</v>
      </c>
      <c r="F609" s="600">
        <v>23315</v>
      </c>
      <c r="G609" s="600">
        <v>20341</v>
      </c>
      <c r="H609" s="600">
        <v>48</v>
      </c>
      <c r="I609" s="600">
        <v>0</v>
      </c>
      <c r="J609" s="600">
        <v>0</v>
      </c>
      <c r="K609" s="604" t="s">
        <v>560</v>
      </c>
      <c r="L609" s="604">
        <f t="shared" si="11"/>
        <v>9</v>
      </c>
    </row>
    <row r="610" spans="1:12" s="514" customFormat="1" ht="13" customHeight="1" x14ac:dyDescent="0.3">
      <c r="A610" s="599" t="s">
        <v>110</v>
      </c>
      <c r="B610" s="599" t="s">
        <v>884</v>
      </c>
      <c r="C610" s="599" t="s">
        <v>7</v>
      </c>
      <c r="D610" s="599" t="s">
        <v>4</v>
      </c>
      <c r="E610" s="599" t="s">
        <v>42</v>
      </c>
      <c r="F610" s="600">
        <v>2</v>
      </c>
      <c r="G610" s="600">
        <v>2</v>
      </c>
      <c r="H610" s="600">
        <v>0</v>
      </c>
      <c r="I610" s="600">
        <v>0</v>
      </c>
      <c r="J610" s="600">
        <v>0</v>
      </c>
      <c r="K610" s="604" t="s">
        <v>560</v>
      </c>
      <c r="L610" s="604">
        <f t="shared" si="11"/>
        <v>9</v>
      </c>
    </row>
    <row r="611" spans="1:12" s="514" customFormat="1" ht="13" customHeight="1" x14ac:dyDescent="0.3">
      <c r="A611" s="601" t="s">
        <v>110</v>
      </c>
      <c r="B611" s="601" t="s">
        <v>884</v>
      </c>
      <c r="C611" s="601" t="s">
        <v>7</v>
      </c>
      <c r="D611" s="601" t="s">
        <v>52</v>
      </c>
      <c r="E611" s="601" t="s">
        <v>51</v>
      </c>
      <c r="F611" s="602">
        <v>47</v>
      </c>
      <c r="G611" s="602">
        <v>42</v>
      </c>
      <c r="H611" s="602">
        <v>0</v>
      </c>
      <c r="I611" s="602">
        <v>0</v>
      </c>
      <c r="J611" s="602">
        <v>0</v>
      </c>
      <c r="K611" s="604" t="s">
        <v>560</v>
      </c>
      <c r="L611" s="604">
        <f t="shared" si="11"/>
        <v>9</v>
      </c>
    </row>
    <row r="612" spans="1:12" s="514" customFormat="1" ht="13" customHeight="1" x14ac:dyDescent="0.3">
      <c r="A612" s="599" t="s">
        <v>110</v>
      </c>
      <c r="B612" s="599" t="s">
        <v>884</v>
      </c>
      <c r="C612" s="599" t="s">
        <v>7</v>
      </c>
      <c r="D612" s="599" t="s">
        <v>52</v>
      </c>
      <c r="E612" s="599" t="s">
        <v>61</v>
      </c>
      <c r="F612" s="600">
        <v>49437</v>
      </c>
      <c r="G612" s="600">
        <v>46383</v>
      </c>
      <c r="H612" s="600">
        <v>1171</v>
      </c>
      <c r="I612" s="600">
        <v>141</v>
      </c>
      <c r="J612" s="600">
        <v>1781520</v>
      </c>
      <c r="K612" s="604" t="s">
        <v>560</v>
      </c>
      <c r="L612" s="604">
        <f t="shared" si="11"/>
        <v>9</v>
      </c>
    </row>
    <row r="613" spans="1:12" s="514" customFormat="1" ht="13" customHeight="1" x14ac:dyDescent="0.3">
      <c r="A613" s="601" t="s">
        <v>110</v>
      </c>
      <c r="B613" s="601" t="s">
        <v>884</v>
      </c>
      <c r="C613" s="601" t="s">
        <v>7</v>
      </c>
      <c r="D613" s="601" t="s">
        <v>55</v>
      </c>
      <c r="E613" s="601" t="s">
        <v>54</v>
      </c>
      <c r="F613" s="602">
        <v>5</v>
      </c>
      <c r="G613" s="602">
        <v>4</v>
      </c>
      <c r="H613" s="602">
        <v>0</v>
      </c>
      <c r="I613" s="602">
        <v>0</v>
      </c>
      <c r="J613" s="602">
        <v>0</v>
      </c>
      <c r="K613" s="604" t="s">
        <v>560</v>
      </c>
      <c r="L613" s="604">
        <f t="shared" si="11"/>
        <v>9</v>
      </c>
    </row>
    <row r="614" spans="1:12" s="514" customFormat="1" ht="13" customHeight="1" x14ac:dyDescent="0.3">
      <c r="A614" s="599" t="s">
        <v>110</v>
      </c>
      <c r="B614" s="599" t="s">
        <v>884</v>
      </c>
      <c r="C614" s="599" t="s">
        <v>7</v>
      </c>
      <c r="D614" s="599" t="s">
        <v>57</v>
      </c>
      <c r="E614" s="599" t="s">
        <v>65</v>
      </c>
      <c r="F614" s="600">
        <v>53767</v>
      </c>
      <c r="G614" s="600">
        <v>48821</v>
      </c>
      <c r="H614" s="600">
        <v>663</v>
      </c>
      <c r="I614" s="600">
        <v>42</v>
      </c>
      <c r="J614" s="600">
        <v>318840</v>
      </c>
      <c r="K614" s="604" t="s">
        <v>560</v>
      </c>
      <c r="L614" s="604">
        <f t="shared" si="11"/>
        <v>9</v>
      </c>
    </row>
    <row r="615" spans="1:12" s="514" customFormat="1" ht="13" customHeight="1" x14ac:dyDescent="0.3">
      <c r="A615" s="601" t="s">
        <v>110</v>
      </c>
      <c r="B615" s="601" t="s">
        <v>884</v>
      </c>
      <c r="C615" s="601" t="s">
        <v>7</v>
      </c>
      <c r="D615" s="601" t="s">
        <v>4</v>
      </c>
      <c r="E615" s="601" t="s">
        <v>43</v>
      </c>
      <c r="F615" s="602">
        <v>4251</v>
      </c>
      <c r="G615" s="602">
        <v>2216</v>
      </c>
      <c r="H615" s="602">
        <v>17</v>
      </c>
      <c r="I615" s="602">
        <v>9</v>
      </c>
      <c r="J615" s="602">
        <v>50200</v>
      </c>
      <c r="K615" s="604" t="s">
        <v>560</v>
      </c>
      <c r="L615" s="604">
        <f t="shared" si="11"/>
        <v>9</v>
      </c>
    </row>
    <row r="616" spans="1:12" s="514" customFormat="1" ht="13" customHeight="1" x14ac:dyDescent="0.3">
      <c r="A616" s="599" t="s">
        <v>110</v>
      </c>
      <c r="B616" s="599" t="s">
        <v>884</v>
      </c>
      <c r="C616" s="599" t="s">
        <v>7</v>
      </c>
      <c r="D616" s="599" t="s">
        <v>52</v>
      </c>
      <c r="E616" s="599" t="s">
        <v>60</v>
      </c>
      <c r="F616" s="600">
        <v>2</v>
      </c>
      <c r="G616" s="600">
        <v>2</v>
      </c>
      <c r="H616" s="600">
        <v>0</v>
      </c>
      <c r="I616" s="600">
        <v>0</v>
      </c>
      <c r="J616" s="600">
        <v>0</v>
      </c>
      <c r="K616" s="604" t="s">
        <v>560</v>
      </c>
      <c r="L616" s="604">
        <f t="shared" si="11"/>
        <v>9</v>
      </c>
    </row>
    <row r="617" spans="1:12" s="514" customFormat="1" ht="13" customHeight="1" x14ac:dyDescent="0.3">
      <c r="A617" s="601" t="s">
        <v>110</v>
      </c>
      <c r="B617" s="601" t="s">
        <v>884</v>
      </c>
      <c r="C617" s="601" t="s">
        <v>7</v>
      </c>
      <c r="D617" s="601" t="s">
        <v>4</v>
      </c>
      <c r="E617" s="601" t="s">
        <v>41</v>
      </c>
      <c r="F617" s="602">
        <v>38</v>
      </c>
      <c r="G617" s="602">
        <v>25</v>
      </c>
      <c r="H617" s="602">
        <v>0</v>
      </c>
      <c r="I617" s="602">
        <v>0</v>
      </c>
      <c r="J617" s="602">
        <v>0</v>
      </c>
      <c r="K617" s="604" t="s">
        <v>560</v>
      </c>
      <c r="L617" s="604">
        <f t="shared" si="11"/>
        <v>9</v>
      </c>
    </row>
    <row r="618" spans="1:12" s="514" customFormat="1" ht="13" customHeight="1" x14ac:dyDescent="0.3">
      <c r="A618" s="599" t="s">
        <v>110</v>
      </c>
      <c r="B618" s="599" t="s">
        <v>884</v>
      </c>
      <c r="C618" s="599" t="s">
        <v>7</v>
      </c>
      <c r="D618" s="599" t="s">
        <v>55</v>
      </c>
      <c r="E618" s="599" t="s">
        <v>56</v>
      </c>
      <c r="F618" s="600">
        <v>56375</v>
      </c>
      <c r="G618" s="600">
        <v>41569</v>
      </c>
      <c r="H618" s="600">
        <v>46</v>
      </c>
      <c r="I618" s="600">
        <v>0</v>
      </c>
      <c r="J618" s="600">
        <v>0</v>
      </c>
      <c r="K618" s="604" t="s">
        <v>560</v>
      </c>
      <c r="L618" s="604">
        <f t="shared" si="11"/>
        <v>9</v>
      </c>
    </row>
    <row r="619" spans="1:12" s="514" customFormat="1" ht="13" customHeight="1" x14ac:dyDescent="0.3">
      <c r="A619" s="601" t="s">
        <v>110</v>
      </c>
      <c r="B619" s="601" t="s">
        <v>884</v>
      </c>
      <c r="C619" s="601" t="s">
        <v>7</v>
      </c>
      <c r="D619" s="601" t="s">
        <v>57</v>
      </c>
      <c r="E619" s="601" t="s">
        <v>63</v>
      </c>
      <c r="F619" s="602">
        <v>16</v>
      </c>
      <c r="G619" s="602">
        <v>11</v>
      </c>
      <c r="H619" s="602">
        <v>0</v>
      </c>
      <c r="I619" s="602">
        <v>0</v>
      </c>
      <c r="J619" s="602">
        <v>0</v>
      </c>
      <c r="K619" s="604" t="s">
        <v>560</v>
      </c>
      <c r="L619" s="604">
        <f t="shared" si="11"/>
        <v>9</v>
      </c>
    </row>
    <row r="620" spans="1:12" s="514" customFormat="1" ht="13" customHeight="1" x14ac:dyDescent="0.3">
      <c r="A620" s="599" t="s">
        <v>110</v>
      </c>
      <c r="B620" s="599" t="s">
        <v>884</v>
      </c>
      <c r="C620" s="599" t="s">
        <v>7</v>
      </c>
      <c r="D620" s="599" t="s">
        <v>55</v>
      </c>
      <c r="E620" s="599" t="s">
        <v>66</v>
      </c>
      <c r="F620" s="600">
        <v>2</v>
      </c>
      <c r="G620" s="600">
        <v>2</v>
      </c>
      <c r="H620" s="600">
        <v>0</v>
      </c>
      <c r="I620" s="600">
        <v>0</v>
      </c>
      <c r="J620" s="600">
        <v>0</v>
      </c>
      <c r="K620" s="604" t="s">
        <v>560</v>
      </c>
      <c r="L620" s="604">
        <f t="shared" si="11"/>
        <v>9</v>
      </c>
    </row>
    <row r="621" spans="1:12" s="514" customFormat="1" ht="13" customHeight="1" x14ac:dyDescent="0.3">
      <c r="A621" s="601" t="s">
        <v>110</v>
      </c>
      <c r="B621" s="601" t="s">
        <v>884</v>
      </c>
      <c r="C621" s="601" t="s">
        <v>7</v>
      </c>
      <c r="D621" s="601" t="s">
        <v>57</v>
      </c>
      <c r="E621" s="601" t="s">
        <v>64</v>
      </c>
      <c r="F621" s="602">
        <v>199286</v>
      </c>
      <c r="G621" s="602">
        <v>176605</v>
      </c>
      <c r="H621" s="602">
        <v>566</v>
      </c>
      <c r="I621" s="602">
        <v>26</v>
      </c>
      <c r="J621" s="602">
        <v>343340</v>
      </c>
      <c r="K621" s="604" t="s">
        <v>560</v>
      </c>
      <c r="L621" s="604">
        <f t="shared" si="11"/>
        <v>9</v>
      </c>
    </row>
    <row r="622" spans="1:12" s="514" customFormat="1" ht="13" customHeight="1" x14ac:dyDescent="0.3">
      <c r="A622" s="599" t="s">
        <v>110</v>
      </c>
      <c r="B622" s="599" t="s">
        <v>884</v>
      </c>
      <c r="C622" s="599" t="s">
        <v>7</v>
      </c>
      <c r="D622" s="599" t="s">
        <v>52</v>
      </c>
      <c r="E622" s="599" t="s">
        <v>58</v>
      </c>
      <c r="F622" s="600">
        <v>6</v>
      </c>
      <c r="G622" s="600">
        <v>5</v>
      </c>
      <c r="H622" s="600">
        <v>0</v>
      </c>
      <c r="I622" s="600">
        <v>0</v>
      </c>
      <c r="J622" s="600">
        <v>0</v>
      </c>
      <c r="K622" s="604" t="s">
        <v>560</v>
      </c>
      <c r="L622" s="604">
        <f t="shared" si="11"/>
        <v>9</v>
      </c>
    </row>
    <row r="623" spans="1:12" s="514" customFormat="1" ht="13" customHeight="1" x14ac:dyDescent="0.3">
      <c r="A623" s="601" t="s">
        <v>110</v>
      </c>
      <c r="B623" s="601" t="s">
        <v>885</v>
      </c>
      <c r="C623" s="601" t="s">
        <v>40</v>
      </c>
      <c r="D623" s="601" t="s">
        <v>52</v>
      </c>
      <c r="E623" s="601" t="s">
        <v>67</v>
      </c>
      <c r="F623" s="602">
        <v>1</v>
      </c>
      <c r="G623" s="602">
        <v>1</v>
      </c>
      <c r="H623" s="602">
        <v>0</v>
      </c>
      <c r="I623" s="602">
        <v>0</v>
      </c>
      <c r="J623" s="602">
        <v>0</v>
      </c>
      <c r="K623" s="604" t="s">
        <v>560</v>
      </c>
      <c r="L623" s="604">
        <f t="shared" si="11"/>
        <v>10</v>
      </c>
    </row>
    <row r="624" spans="1:12" s="514" customFormat="1" ht="13" customHeight="1" x14ac:dyDescent="0.3">
      <c r="A624" s="601" t="s">
        <v>110</v>
      </c>
      <c r="B624" s="601" t="s">
        <v>885</v>
      </c>
      <c r="C624" s="601" t="s">
        <v>40</v>
      </c>
      <c r="D624" s="601" t="s">
        <v>55</v>
      </c>
      <c r="E624" s="601" t="s">
        <v>54</v>
      </c>
      <c r="F624" s="602">
        <v>22</v>
      </c>
      <c r="G624" s="602">
        <v>16</v>
      </c>
      <c r="H624" s="602">
        <v>0</v>
      </c>
      <c r="I624" s="602">
        <v>0</v>
      </c>
      <c r="J624" s="602">
        <v>0</v>
      </c>
      <c r="K624" s="604" t="s">
        <v>560</v>
      </c>
      <c r="L624" s="604">
        <f t="shared" si="11"/>
        <v>10</v>
      </c>
    </row>
    <row r="625" spans="1:12" s="514" customFormat="1" ht="13" customHeight="1" x14ac:dyDescent="0.3">
      <c r="A625" s="601" t="s">
        <v>110</v>
      </c>
      <c r="B625" s="601" t="s">
        <v>885</v>
      </c>
      <c r="C625" s="601" t="s">
        <v>40</v>
      </c>
      <c r="D625" s="601" t="s">
        <v>57</v>
      </c>
      <c r="E625" s="601" t="s">
        <v>65</v>
      </c>
      <c r="F625" s="602">
        <v>49986</v>
      </c>
      <c r="G625" s="602">
        <v>45631</v>
      </c>
      <c r="H625" s="602">
        <v>627</v>
      </c>
      <c r="I625" s="602">
        <v>27</v>
      </c>
      <c r="J625" s="602">
        <v>362850</v>
      </c>
      <c r="K625" s="604" t="s">
        <v>560</v>
      </c>
      <c r="L625" s="604">
        <f t="shared" si="11"/>
        <v>10</v>
      </c>
    </row>
    <row r="626" spans="1:12" s="514" customFormat="1" ht="13" customHeight="1" x14ac:dyDescent="0.3">
      <c r="A626" s="599" t="s">
        <v>110</v>
      </c>
      <c r="B626" s="599" t="s">
        <v>885</v>
      </c>
      <c r="C626" s="599" t="s">
        <v>40</v>
      </c>
      <c r="D626" s="599" t="s">
        <v>52</v>
      </c>
      <c r="E626" s="599" t="s">
        <v>61</v>
      </c>
      <c r="F626" s="600">
        <v>16980</v>
      </c>
      <c r="G626" s="600">
        <v>15862</v>
      </c>
      <c r="H626" s="600">
        <v>717</v>
      </c>
      <c r="I626" s="600">
        <v>37</v>
      </c>
      <c r="J626" s="600">
        <v>637340</v>
      </c>
      <c r="K626" s="604" t="s">
        <v>560</v>
      </c>
      <c r="L626" s="604">
        <f t="shared" si="11"/>
        <v>10</v>
      </c>
    </row>
    <row r="627" spans="1:12" s="514" customFormat="1" ht="13" customHeight="1" x14ac:dyDescent="0.3">
      <c r="A627" s="599" t="s">
        <v>110</v>
      </c>
      <c r="B627" s="599" t="s">
        <v>885</v>
      </c>
      <c r="C627" s="599" t="s">
        <v>40</v>
      </c>
      <c r="D627" s="599" t="s">
        <v>55</v>
      </c>
      <c r="E627" s="599" t="s">
        <v>66</v>
      </c>
      <c r="F627" s="600">
        <v>4</v>
      </c>
      <c r="G627" s="600">
        <v>2</v>
      </c>
      <c r="H627" s="600">
        <v>0</v>
      </c>
      <c r="I627" s="600">
        <v>0</v>
      </c>
      <c r="J627" s="600">
        <v>0</v>
      </c>
      <c r="K627" s="604" t="s">
        <v>560</v>
      </c>
      <c r="L627" s="604">
        <f t="shared" si="11"/>
        <v>10</v>
      </c>
    </row>
    <row r="628" spans="1:12" s="514" customFormat="1" ht="13" customHeight="1" x14ac:dyDescent="0.3">
      <c r="A628" s="599" t="s">
        <v>110</v>
      </c>
      <c r="B628" s="599" t="s">
        <v>885</v>
      </c>
      <c r="C628" s="599" t="s">
        <v>40</v>
      </c>
      <c r="D628" s="599" t="s">
        <v>52</v>
      </c>
      <c r="E628" s="599" t="s">
        <v>53</v>
      </c>
      <c r="F628" s="600">
        <v>45053</v>
      </c>
      <c r="G628" s="600">
        <v>42343</v>
      </c>
      <c r="H628" s="600">
        <v>0</v>
      </c>
      <c r="I628" s="600">
        <v>0</v>
      </c>
      <c r="J628" s="600">
        <v>0</v>
      </c>
      <c r="K628" s="604" t="s">
        <v>560</v>
      </c>
      <c r="L628" s="604">
        <f t="shared" si="11"/>
        <v>10</v>
      </c>
    </row>
    <row r="629" spans="1:12" s="514" customFormat="1" ht="13" customHeight="1" x14ac:dyDescent="0.3">
      <c r="A629" s="599" t="s">
        <v>110</v>
      </c>
      <c r="B629" s="599" t="s">
        <v>885</v>
      </c>
      <c r="C629" s="599" t="s">
        <v>40</v>
      </c>
      <c r="D629" s="599" t="s">
        <v>52</v>
      </c>
      <c r="E629" s="599" t="s">
        <v>59</v>
      </c>
      <c r="F629" s="600">
        <v>30897</v>
      </c>
      <c r="G629" s="600">
        <v>28098</v>
      </c>
      <c r="H629" s="600">
        <v>0</v>
      </c>
      <c r="I629" s="600">
        <v>0</v>
      </c>
      <c r="J629" s="600">
        <v>0</v>
      </c>
      <c r="K629" s="604" t="s">
        <v>560</v>
      </c>
      <c r="L629" s="604">
        <f t="shared" si="11"/>
        <v>10</v>
      </c>
    </row>
    <row r="630" spans="1:12" s="514" customFormat="1" ht="13" customHeight="1" x14ac:dyDescent="0.3">
      <c r="A630" s="599" t="s">
        <v>110</v>
      </c>
      <c r="B630" s="599" t="s">
        <v>885</v>
      </c>
      <c r="C630" s="599" t="s">
        <v>40</v>
      </c>
      <c r="D630" s="599" t="s">
        <v>57</v>
      </c>
      <c r="E630" s="599" t="s">
        <v>64</v>
      </c>
      <c r="F630" s="600">
        <v>450177</v>
      </c>
      <c r="G630" s="600">
        <v>416105</v>
      </c>
      <c r="H630" s="600">
        <v>1848</v>
      </c>
      <c r="I630" s="600">
        <v>89</v>
      </c>
      <c r="J630" s="600">
        <v>1410200</v>
      </c>
      <c r="K630" s="604" t="s">
        <v>560</v>
      </c>
      <c r="L630" s="604">
        <f t="shared" si="11"/>
        <v>10</v>
      </c>
    </row>
    <row r="631" spans="1:12" s="514" customFormat="1" ht="13" customHeight="1" x14ac:dyDescent="0.3">
      <c r="A631" s="601" t="s">
        <v>110</v>
      </c>
      <c r="B631" s="601" t="s">
        <v>885</v>
      </c>
      <c r="C631" s="601" t="s">
        <v>40</v>
      </c>
      <c r="D631" s="601" t="s">
        <v>4</v>
      </c>
      <c r="E631" s="601" t="s">
        <v>41</v>
      </c>
      <c r="F631" s="602">
        <v>146</v>
      </c>
      <c r="G631" s="602">
        <v>109</v>
      </c>
      <c r="H631" s="602">
        <v>3</v>
      </c>
      <c r="I631" s="602">
        <v>0</v>
      </c>
      <c r="J631" s="602">
        <v>0</v>
      </c>
      <c r="K631" s="604" t="s">
        <v>560</v>
      </c>
      <c r="L631" s="604">
        <f t="shared" si="11"/>
        <v>10</v>
      </c>
    </row>
    <row r="632" spans="1:12" s="514" customFormat="1" ht="13" customHeight="1" x14ac:dyDescent="0.3">
      <c r="A632" s="601" t="s">
        <v>110</v>
      </c>
      <c r="B632" s="601" t="s">
        <v>885</v>
      </c>
      <c r="C632" s="601" t="s">
        <v>40</v>
      </c>
      <c r="D632" s="601" t="s">
        <v>57</v>
      </c>
      <c r="E632" s="601" t="s">
        <v>63</v>
      </c>
      <c r="F632" s="602">
        <v>19</v>
      </c>
      <c r="G632" s="602">
        <v>11</v>
      </c>
      <c r="H632" s="602">
        <v>0</v>
      </c>
      <c r="I632" s="602">
        <v>0</v>
      </c>
      <c r="J632" s="602">
        <v>0</v>
      </c>
      <c r="K632" s="604" t="s">
        <v>560</v>
      </c>
      <c r="L632" s="604">
        <f t="shared" si="11"/>
        <v>10</v>
      </c>
    </row>
    <row r="633" spans="1:12" s="514" customFormat="1" ht="13" customHeight="1" x14ac:dyDescent="0.3">
      <c r="A633" s="599" t="s">
        <v>110</v>
      </c>
      <c r="B633" s="599" t="s">
        <v>885</v>
      </c>
      <c r="C633" s="599" t="s">
        <v>40</v>
      </c>
      <c r="D633" s="599" t="s">
        <v>4</v>
      </c>
      <c r="E633" s="599" t="s">
        <v>42</v>
      </c>
      <c r="F633" s="600">
        <v>7</v>
      </c>
      <c r="G633" s="600">
        <v>6</v>
      </c>
      <c r="H633" s="600">
        <v>0</v>
      </c>
      <c r="I633" s="600">
        <v>0</v>
      </c>
      <c r="J633" s="600">
        <v>0</v>
      </c>
      <c r="K633" s="604" t="s">
        <v>560</v>
      </c>
      <c r="L633" s="604">
        <f t="shared" si="11"/>
        <v>10</v>
      </c>
    </row>
    <row r="634" spans="1:12" s="514" customFormat="1" ht="13" customHeight="1" x14ac:dyDescent="0.3">
      <c r="A634" s="601" t="s">
        <v>110</v>
      </c>
      <c r="B634" s="601" t="s">
        <v>885</v>
      </c>
      <c r="C634" s="601" t="s">
        <v>40</v>
      </c>
      <c r="D634" s="601" t="s">
        <v>55</v>
      </c>
      <c r="E634" s="601" t="s">
        <v>56</v>
      </c>
      <c r="F634" s="602">
        <v>347</v>
      </c>
      <c r="G634" s="602">
        <v>221</v>
      </c>
      <c r="H634" s="602">
        <v>1</v>
      </c>
      <c r="I634" s="602">
        <v>0</v>
      </c>
      <c r="J634" s="602">
        <v>0</v>
      </c>
      <c r="K634" s="604" t="s">
        <v>560</v>
      </c>
      <c r="L634" s="604">
        <f t="shared" si="11"/>
        <v>10</v>
      </c>
    </row>
    <row r="635" spans="1:12" s="514" customFormat="1" ht="13" customHeight="1" x14ac:dyDescent="0.3">
      <c r="A635" s="601" t="s">
        <v>110</v>
      </c>
      <c r="B635" s="601" t="s">
        <v>885</v>
      </c>
      <c r="C635" s="601" t="s">
        <v>40</v>
      </c>
      <c r="D635" s="601" t="s">
        <v>52</v>
      </c>
      <c r="E635" s="601" t="s">
        <v>58</v>
      </c>
      <c r="F635" s="602">
        <v>17</v>
      </c>
      <c r="G635" s="602">
        <v>9</v>
      </c>
      <c r="H635" s="602">
        <v>0</v>
      </c>
      <c r="I635" s="602">
        <v>0</v>
      </c>
      <c r="J635" s="602">
        <v>0</v>
      </c>
      <c r="K635" s="604" t="s">
        <v>560</v>
      </c>
      <c r="L635" s="604">
        <f t="shared" si="11"/>
        <v>10</v>
      </c>
    </row>
    <row r="636" spans="1:12" s="514" customFormat="1" ht="13" customHeight="1" x14ac:dyDescent="0.3">
      <c r="A636" s="599" t="s">
        <v>110</v>
      </c>
      <c r="B636" s="599" t="s">
        <v>885</v>
      </c>
      <c r="C636" s="599" t="s">
        <v>40</v>
      </c>
      <c r="D636" s="599" t="s">
        <v>52</v>
      </c>
      <c r="E636" s="599" t="s">
        <v>51</v>
      </c>
      <c r="F636" s="600">
        <v>3</v>
      </c>
      <c r="G636" s="600">
        <v>3</v>
      </c>
      <c r="H636" s="600">
        <v>0</v>
      </c>
      <c r="I636" s="600">
        <v>0</v>
      </c>
      <c r="J636" s="600">
        <v>0</v>
      </c>
      <c r="K636" s="604" t="s">
        <v>560</v>
      </c>
      <c r="L636" s="604">
        <f t="shared" si="11"/>
        <v>10</v>
      </c>
    </row>
    <row r="637" spans="1:12" s="514" customFormat="1" ht="13" customHeight="1" x14ac:dyDescent="0.3">
      <c r="A637" s="601" t="s">
        <v>110</v>
      </c>
      <c r="B637" s="601" t="s">
        <v>885</v>
      </c>
      <c r="C637" s="601" t="s">
        <v>40</v>
      </c>
      <c r="D637" s="601" t="s">
        <v>4</v>
      </c>
      <c r="E637" s="601" t="s">
        <v>43</v>
      </c>
      <c r="F637" s="602">
        <v>2053</v>
      </c>
      <c r="G637" s="602">
        <v>1077</v>
      </c>
      <c r="H637" s="602">
        <v>2</v>
      </c>
      <c r="I637" s="602">
        <v>0</v>
      </c>
      <c r="J637" s="602">
        <v>0</v>
      </c>
      <c r="K637" s="604" t="s">
        <v>560</v>
      </c>
      <c r="L637" s="604">
        <f t="shared" si="11"/>
        <v>10</v>
      </c>
    </row>
    <row r="638" spans="1:12" s="514" customFormat="1" ht="13" customHeight="1" x14ac:dyDescent="0.3">
      <c r="A638" s="599" t="s">
        <v>110</v>
      </c>
      <c r="B638" s="599" t="s">
        <v>885</v>
      </c>
      <c r="C638" s="599" t="s">
        <v>6</v>
      </c>
      <c r="D638" s="599" t="s">
        <v>4</v>
      </c>
      <c r="E638" s="599" t="s">
        <v>41</v>
      </c>
      <c r="F638" s="600">
        <v>84</v>
      </c>
      <c r="G638" s="600">
        <v>51</v>
      </c>
      <c r="H638" s="600">
        <v>3</v>
      </c>
      <c r="I638" s="600">
        <v>0</v>
      </c>
      <c r="J638" s="600">
        <v>0</v>
      </c>
      <c r="K638" s="604" t="s">
        <v>560</v>
      </c>
      <c r="L638" s="604">
        <f t="shared" si="11"/>
        <v>10</v>
      </c>
    </row>
    <row r="639" spans="1:12" s="514" customFormat="1" ht="13" customHeight="1" x14ac:dyDescent="0.3">
      <c r="A639" s="599" t="s">
        <v>110</v>
      </c>
      <c r="B639" s="599" t="s">
        <v>885</v>
      </c>
      <c r="C639" s="599" t="s">
        <v>6</v>
      </c>
      <c r="D639" s="599" t="s">
        <v>55</v>
      </c>
      <c r="E639" s="599" t="s">
        <v>66</v>
      </c>
      <c r="F639" s="600">
        <v>190</v>
      </c>
      <c r="G639" s="600">
        <v>164</v>
      </c>
      <c r="H639" s="600">
        <v>0</v>
      </c>
      <c r="I639" s="600">
        <v>0</v>
      </c>
      <c r="J639" s="600">
        <v>0</v>
      </c>
      <c r="K639" s="604" t="s">
        <v>560</v>
      </c>
      <c r="L639" s="604">
        <f t="shared" si="11"/>
        <v>10</v>
      </c>
    </row>
    <row r="640" spans="1:12" s="514" customFormat="1" ht="13" customHeight="1" x14ac:dyDescent="0.3">
      <c r="A640" s="601" t="s">
        <v>110</v>
      </c>
      <c r="B640" s="601" t="s">
        <v>885</v>
      </c>
      <c r="C640" s="601" t="s">
        <v>6</v>
      </c>
      <c r="D640" s="601" t="s">
        <v>52</v>
      </c>
      <c r="E640" s="601" t="s">
        <v>51</v>
      </c>
      <c r="F640" s="602">
        <v>1</v>
      </c>
      <c r="G640" s="602">
        <v>0</v>
      </c>
      <c r="H640" s="602">
        <v>0</v>
      </c>
      <c r="I640" s="602">
        <v>0</v>
      </c>
      <c r="J640" s="602">
        <v>0</v>
      </c>
      <c r="K640" s="604" t="s">
        <v>560</v>
      </c>
      <c r="L640" s="604">
        <f t="shared" si="11"/>
        <v>10</v>
      </c>
    </row>
    <row r="641" spans="1:12" s="514" customFormat="1" ht="13" customHeight="1" x14ac:dyDescent="0.3">
      <c r="A641" s="601" t="s">
        <v>110</v>
      </c>
      <c r="B641" s="601" t="s">
        <v>885</v>
      </c>
      <c r="C641" s="601" t="s">
        <v>6</v>
      </c>
      <c r="D641" s="601" t="s">
        <v>4</v>
      </c>
      <c r="E641" s="601" t="s">
        <v>42</v>
      </c>
      <c r="F641" s="602">
        <v>7</v>
      </c>
      <c r="G641" s="602">
        <v>3</v>
      </c>
      <c r="H641" s="602">
        <v>0</v>
      </c>
      <c r="I641" s="602">
        <v>0</v>
      </c>
      <c r="J641" s="602">
        <v>0</v>
      </c>
      <c r="K641" s="604" t="s">
        <v>560</v>
      </c>
      <c r="L641" s="604">
        <f t="shared" si="11"/>
        <v>10</v>
      </c>
    </row>
    <row r="642" spans="1:12" s="514" customFormat="1" ht="13" customHeight="1" x14ac:dyDescent="0.3">
      <c r="A642" s="601" t="s">
        <v>110</v>
      </c>
      <c r="B642" s="601" t="s">
        <v>885</v>
      </c>
      <c r="C642" s="601" t="s">
        <v>6</v>
      </c>
      <c r="D642" s="601" t="s">
        <v>55</v>
      </c>
      <c r="E642" s="601" t="s">
        <v>54</v>
      </c>
      <c r="F642" s="602">
        <v>18878</v>
      </c>
      <c r="G642" s="602">
        <v>13088</v>
      </c>
      <c r="H642" s="602">
        <v>233</v>
      </c>
      <c r="I642" s="602">
        <v>0</v>
      </c>
      <c r="J642" s="602">
        <v>0</v>
      </c>
      <c r="K642" s="604" t="s">
        <v>560</v>
      </c>
      <c r="L642" s="604">
        <f t="shared" si="11"/>
        <v>10</v>
      </c>
    </row>
    <row r="643" spans="1:12" s="514" customFormat="1" ht="13" customHeight="1" x14ac:dyDescent="0.3">
      <c r="A643" s="599" t="s">
        <v>110</v>
      </c>
      <c r="B643" s="599" t="s">
        <v>885</v>
      </c>
      <c r="C643" s="599" t="s">
        <v>6</v>
      </c>
      <c r="D643" s="599" t="s">
        <v>57</v>
      </c>
      <c r="E643" s="599" t="s">
        <v>64</v>
      </c>
      <c r="F643" s="600">
        <v>446701</v>
      </c>
      <c r="G643" s="600">
        <v>420983</v>
      </c>
      <c r="H643" s="600">
        <v>2694</v>
      </c>
      <c r="I643" s="600">
        <v>217</v>
      </c>
      <c r="J643" s="600">
        <v>1189627.1499999999</v>
      </c>
      <c r="K643" s="604" t="s">
        <v>560</v>
      </c>
      <c r="L643" s="604">
        <f t="shared" si="11"/>
        <v>10</v>
      </c>
    </row>
    <row r="644" spans="1:12" s="514" customFormat="1" ht="13" customHeight="1" x14ac:dyDescent="0.3">
      <c r="A644" s="601" t="s">
        <v>110</v>
      </c>
      <c r="B644" s="601" t="s">
        <v>885</v>
      </c>
      <c r="C644" s="601" t="s">
        <v>6</v>
      </c>
      <c r="D644" s="601" t="s">
        <v>55</v>
      </c>
      <c r="E644" s="601" t="s">
        <v>56</v>
      </c>
      <c r="F644" s="602">
        <v>8078</v>
      </c>
      <c r="G644" s="602">
        <v>5744</v>
      </c>
      <c r="H644" s="602">
        <v>12</v>
      </c>
      <c r="I644" s="602">
        <v>0</v>
      </c>
      <c r="J644" s="602">
        <v>0</v>
      </c>
      <c r="K644" s="604" t="s">
        <v>560</v>
      </c>
      <c r="L644" s="604">
        <f t="shared" si="11"/>
        <v>10</v>
      </c>
    </row>
    <row r="645" spans="1:12" s="514" customFormat="1" ht="13" customHeight="1" x14ac:dyDescent="0.3">
      <c r="A645" s="601" t="s">
        <v>110</v>
      </c>
      <c r="B645" s="601" t="s">
        <v>885</v>
      </c>
      <c r="C645" s="601" t="s">
        <v>6</v>
      </c>
      <c r="D645" s="601" t="s">
        <v>4</v>
      </c>
      <c r="E645" s="601" t="s">
        <v>43</v>
      </c>
      <c r="F645" s="602">
        <v>5984</v>
      </c>
      <c r="G645" s="602">
        <v>2757</v>
      </c>
      <c r="H645" s="602">
        <v>75</v>
      </c>
      <c r="I645" s="602">
        <v>34</v>
      </c>
      <c r="J645" s="602">
        <v>294804.45999999996</v>
      </c>
      <c r="K645" s="604" t="s">
        <v>560</v>
      </c>
      <c r="L645" s="604">
        <f t="shared" si="11"/>
        <v>10</v>
      </c>
    </row>
    <row r="646" spans="1:12" s="514" customFormat="1" ht="13" customHeight="1" x14ac:dyDescent="0.3">
      <c r="A646" s="599" t="s">
        <v>110</v>
      </c>
      <c r="B646" s="599" t="s">
        <v>885</v>
      </c>
      <c r="C646" s="599" t="s">
        <v>6</v>
      </c>
      <c r="D646" s="599" t="s">
        <v>52</v>
      </c>
      <c r="E646" s="599" t="s">
        <v>61</v>
      </c>
      <c r="F646" s="600">
        <v>2</v>
      </c>
      <c r="G646" s="600">
        <v>2</v>
      </c>
      <c r="H646" s="600">
        <v>0</v>
      </c>
      <c r="I646" s="600">
        <v>0</v>
      </c>
      <c r="J646" s="600">
        <v>0</v>
      </c>
      <c r="K646" s="604" t="s">
        <v>560</v>
      </c>
      <c r="L646" s="604">
        <f t="shared" si="11"/>
        <v>10</v>
      </c>
    </row>
    <row r="647" spans="1:12" s="514" customFormat="1" ht="13" customHeight="1" x14ac:dyDescent="0.3">
      <c r="A647" s="599" t="s">
        <v>110</v>
      </c>
      <c r="B647" s="599" t="s">
        <v>885</v>
      </c>
      <c r="C647" s="599" t="s">
        <v>6</v>
      </c>
      <c r="D647" s="599" t="s">
        <v>52</v>
      </c>
      <c r="E647" s="599" t="s">
        <v>58</v>
      </c>
      <c r="F647" s="600">
        <v>4</v>
      </c>
      <c r="G647" s="600">
        <v>2</v>
      </c>
      <c r="H647" s="600">
        <v>0</v>
      </c>
      <c r="I647" s="600">
        <v>0</v>
      </c>
      <c r="J647" s="600">
        <v>0</v>
      </c>
      <c r="K647" s="604" t="s">
        <v>560</v>
      </c>
      <c r="L647" s="604">
        <f t="shared" si="11"/>
        <v>10</v>
      </c>
    </row>
    <row r="648" spans="1:12" s="514" customFormat="1" ht="13" customHeight="1" x14ac:dyDescent="0.3">
      <c r="A648" s="601" t="s">
        <v>110</v>
      </c>
      <c r="B648" s="601" t="s">
        <v>885</v>
      </c>
      <c r="C648" s="601" t="s">
        <v>6</v>
      </c>
      <c r="D648" s="601" t="s">
        <v>57</v>
      </c>
      <c r="E648" s="601" t="s">
        <v>63</v>
      </c>
      <c r="F648" s="602">
        <v>19721</v>
      </c>
      <c r="G648" s="602">
        <v>18101</v>
      </c>
      <c r="H648" s="602">
        <v>496</v>
      </c>
      <c r="I648" s="602">
        <v>91</v>
      </c>
      <c r="J648" s="602">
        <v>463851</v>
      </c>
      <c r="K648" s="604" t="s">
        <v>560</v>
      </c>
      <c r="L648" s="604">
        <f t="shared" si="11"/>
        <v>10</v>
      </c>
    </row>
    <row r="649" spans="1:12" s="514" customFormat="1" ht="13" customHeight="1" x14ac:dyDescent="0.3">
      <c r="A649" s="599" t="s">
        <v>110</v>
      </c>
      <c r="B649" s="599" t="s">
        <v>885</v>
      </c>
      <c r="C649" s="599" t="s">
        <v>6</v>
      </c>
      <c r="D649" s="599" t="s">
        <v>57</v>
      </c>
      <c r="E649" s="599" t="s">
        <v>65</v>
      </c>
      <c r="F649" s="600">
        <v>139094</v>
      </c>
      <c r="G649" s="600">
        <v>129830</v>
      </c>
      <c r="H649" s="600">
        <v>1171</v>
      </c>
      <c r="I649" s="600">
        <v>152</v>
      </c>
      <c r="J649" s="600">
        <v>860398.29999999993</v>
      </c>
      <c r="K649" s="604" t="s">
        <v>560</v>
      </c>
      <c r="L649" s="604">
        <f t="shared" si="11"/>
        <v>10</v>
      </c>
    </row>
    <row r="650" spans="1:12" s="514" customFormat="1" ht="13" customHeight="1" x14ac:dyDescent="0.3">
      <c r="A650" s="601" t="s">
        <v>110</v>
      </c>
      <c r="B650" s="601" t="s">
        <v>885</v>
      </c>
      <c r="C650" s="601" t="s">
        <v>7</v>
      </c>
      <c r="D650" s="601" t="s">
        <v>52</v>
      </c>
      <c r="E650" s="601" t="s">
        <v>60</v>
      </c>
      <c r="F650" s="602">
        <v>1</v>
      </c>
      <c r="G650" s="602">
        <v>1</v>
      </c>
      <c r="H650" s="602">
        <v>0</v>
      </c>
      <c r="I650" s="602">
        <v>0</v>
      </c>
      <c r="J650" s="602">
        <v>0</v>
      </c>
      <c r="K650" s="604" t="s">
        <v>560</v>
      </c>
      <c r="L650" s="604">
        <f t="shared" si="11"/>
        <v>10</v>
      </c>
    </row>
    <row r="651" spans="1:12" s="514" customFormat="1" ht="13" customHeight="1" x14ac:dyDescent="0.3">
      <c r="A651" s="599" t="s">
        <v>110</v>
      </c>
      <c r="B651" s="599" t="s">
        <v>885</v>
      </c>
      <c r="C651" s="599" t="s">
        <v>7</v>
      </c>
      <c r="D651" s="599" t="s">
        <v>55</v>
      </c>
      <c r="E651" s="599" t="s">
        <v>54</v>
      </c>
      <c r="F651" s="600">
        <v>10</v>
      </c>
      <c r="G651" s="600">
        <v>5</v>
      </c>
      <c r="H651" s="600">
        <v>0</v>
      </c>
      <c r="I651" s="600">
        <v>0</v>
      </c>
      <c r="J651" s="600">
        <v>0</v>
      </c>
      <c r="K651" s="604" t="s">
        <v>560</v>
      </c>
      <c r="L651" s="604">
        <f t="shared" si="11"/>
        <v>10</v>
      </c>
    </row>
    <row r="652" spans="1:12" s="514" customFormat="1" ht="13" customHeight="1" x14ac:dyDescent="0.3">
      <c r="A652" s="601" t="s">
        <v>110</v>
      </c>
      <c r="B652" s="601" t="s">
        <v>885</v>
      </c>
      <c r="C652" s="601" t="s">
        <v>7</v>
      </c>
      <c r="D652" s="601" t="s">
        <v>57</v>
      </c>
      <c r="E652" s="601" t="s">
        <v>64</v>
      </c>
      <c r="F652" s="602">
        <v>257006</v>
      </c>
      <c r="G652" s="602">
        <v>210708</v>
      </c>
      <c r="H652" s="602">
        <v>945</v>
      </c>
      <c r="I652" s="602">
        <v>36</v>
      </c>
      <c r="J652" s="602">
        <v>418540</v>
      </c>
      <c r="K652" s="604" t="s">
        <v>560</v>
      </c>
      <c r="L652" s="604">
        <f t="shared" si="11"/>
        <v>10</v>
      </c>
    </row>
    <row r="653" spans="1:12" s="514" customFormat="1" ht="13" customHeight="1" x14ac:dyDescent="0.3">
      <c r="A653" s="599" t="s">
        <v>110</v>
      </c>
      <c r="B653" s="599" t="s">
        <v>885</v>
      </c>
      <c r="C653" s="599" t="s">
        <v>7</v>
      </c>
      <c r="D653" s="599" t="s">
        <v>4</v>
      </c>
      <c r="E653" s="599" t="s">
        <v>41</v>
      </c>
      <c r="F653" s="600">
        <v>94</v>
      </c>
      <c r="G653" s="600">
        <v>56</v>
      </c>
      <c r="H653" s="600">
        <v>0</v>
      </c>
      <c r="I653" s="600">
        <v>0</v>
      </c>
      <c r="J653" s="600">
        <v>0</v>
      </c>
      <c r="K653" s="604" t="s">
        <v>560</v>
      </c>
      <c r="L653" s="604">
        <f t="shared" si="11"/>
        <v>10</v>
      </c>
    </row>
    <row r="654" spans="1:12" s="514" customFormat="1" ht="13" customHeight="1" x14ac:dyDescent="0.3">
      <c r="A654" s="601" t="s">
        <v>110</v>
      </c>
      <c r="B654" s="601" t="s">
        <v>885</v>
      </c>
      <c r="C654" s="601" t="s">
        <v>7</v>
      </c>
      <c r="D654" s="601" t="s">
        <v>52</v>
      </c>
      <c r="E654" s="601" t="s">
        <v>51</v>
      </c>
      <c r="F654" s="602">
        <v>36</v>
      </c>
      <c r="G654" s="602">
        <v>36</v>
      </c>
      <c r="H654" s="602">
        <v>0</v>
      </c>
      <c r="I654" s="602">
        <v>0</v>
      </c>
      <c r="J654" s="602">
        <v>0</v>
      </c>
      <c r="K654" s="604" t="s">
        <v>560</v>
      </c>
      <c r="L654" s="604">
        <f t="shared" si="11"/>
        <v>10</v>
      </c>
    </row>
    <row r="655" spans="1:12" s="514" customFormat="1" ht="13" customHeight="1" x14ac:dyDescent="0.3">
      <c r="A655" s="599" t="s">
        <v>110</v>
      </c>
      <c r="B655" s="599" t="s">
        <v>885</v>
      </c>
      <c r="C655" s="599" t="s">
        <v>7</v>
      </c>
      <c r="D655" s="599" t="s">
        <v>52</v>
      </c>
      <c r="E655" s="599" t="s">
        <v>61</v>
      </c>
      <c r="F655" s="600">
        <v>61098</v>
      </c>
      <c r="G655" s="600">
        <v>57001</v>
      </c>
      <c r="H655" s="600">
        <v>1490</v>
      </c>
      <c r="I655" s="600">
        <v>132</v>
      </c>
      <c r="J655" s="600">
        <v>1670120</v>
      </c>
      <c r="K655" s="604" t="s">
        <v>560</v>
      </c>
      <c r="L655" s="604">
        <f t="shared" si="11"/>
        <v>10</v>
      </c>
    </row>
    <row r="656" spans="1:12" s="514" customFormat="1" ht="13" customHeight="1" x14ac:dyDescent="0.3">
      <c r="A656" s="601" t="s">
        <v>110</v>
      </c>
      <c r="B656" s="601" t="s">
        <v>885</v>
      </c>
      <c r="C656" s="601" t="s">
        <v>7</v>
      </c>
      <c r="D656" s="601" t="s">
        <v>57</v>
      </c>
      <c r="E656" s="601" t="s">
        <v>63</v>
      </c>
      <c r="F656" s="602">
        <v>29</v>
      </c>
      <c r="G656" s="602">
        <v>22</v>
      </c>
      <c r="H656" s="602">
        <v>0</v>
      </c>
      <c r="I656" s="602">
        <v>0</v>
      </c>
      <c r="J656" s="602">
        <v>0</v>
      </c>
      <c r="K656" s="604" t="s">
        <v>560</v>
      </c>
      <c r="L656" s="604">
        <f t="shared" si="11"/>
        <v>10</v>
      </c>
    </row>
    <row r="657" spans="1:12" s="514" customFormat="1" ht="13" customHeight="1" x14ac:dyDescent="0.3">
      <c r="A657" s="599" t="s">
        <v>110</v>
      </c>
      <c r="B657" s="599" t="s">
        <v>885</v>
      </c>
      <c r="C657" s="599" t="s">
        <v>7</v>
      </c>
      <c r="D657" s="599" t="s">
        <v>4</v>
      </c>
      <c r="E657" s="599" t="s">
        <v>43</v>
      </c>
      <c r="F657" s="600">
        <v>5546</v>
      </c>
      <c r="G657" s="600">
        <v>2685</v>
      </c>
      <c r="H657" s="600">
        <v>20</v>
      </c>
      <c r="I657" s="600">
        <v>17</v>
      </c>
      <c r="J657" s="600">
        <v>185500</v>
      </c>
      <c r="K657" s="604" t="s">
        <v>560</v>
      </c>
      <c r="L657" s="604">
        <f t="shared" si="11"/>
        <v>10</v>
      </c>
    </row>
    <row r="658" spans="1:12" s="514" customFormat="1" ht="13" customHeight="1" x14ac:dyDescent="0.3">
      <c r="A658" s="601" t="s">
        <v>110</v>
      </c>
      <c r="B658" s="601" t="s">
        <v>885</v>
      </c>
      <c r="C658" s="601" t="s">
        <v>7</v>
      </c>
      <c r="D658" s="601" t="s">
        <v>55</v>
      </c>
      <c r="E658" s="601" t="s">
        <v>56</v>
      </c>
      <c r="F658" s="602">
        <v>82342</v>
      </c>
      <c r="G658" s="602">
        <v>66459</v>
      </c>
      <c r="H658" s="602">
        <v>58</v>
      </c>
      <c r="I658" s="602">
        <v>0</v>
      </c>
      <c r="J658" s="602">
        <v>0</v>
      </c>
      <c r="K658" s="604" t="s">
        <v>560</v>
      </c>
      <c r="L658" s="604">
        <f t="shared" si="11"/>
        <v>10</v>
      </c>
    </row>
    <row r="659" spans="1:12" s="514" customFormat="1" ht="13" customHeight="1" x14ac:dyDescent="0.3">
      <c r="A659" s="599" t="s">
        <v>110</v>
      </c>
      <c r="B659" s="599" t="s">
        <v>885</v>
      </c>
      <c r="C659" s="599" t="s">
        <v>7</v>
      </c>
      <c r="D659" s="599" t="s">
        <v>55</v>
      </c>
      <c r="E659" s="599" t="s">
        <v>66</v>
      </c>
      <c r="F659" s="600">
        <v>2</v>
      </c>
      <c r="G659" s="600">
        <v>2</v>
      </c>
      <c r="H659" s="600">
        <v>0</v>
      </c>
      <c r="I659" s="600">
        <v>0</v>
      </c>
      <c r="J659" s="600">
        <v>0</v>
      </c>
      <c r="K659" s="604" t="s">
        <v>560</v>
      </c>
      <c r="L659" s="604">
        <f t="shared" si="11"/>
        <v>10</v>
      </c>
    </row>
    <row r="660" spans="1:12" s="514" customFormat="1" ht="13" customHeight="1" x14ac:dyDescent="0.3">
      <c r="A660" s="601" t="s">
        <v>110</v>
      </c>
      <c r="B660" s="601" t="s">
        <v>885</v>
      </c>
      <c r="C660" s="601" t="s">
        <v>7</v>
      </c>
      <c r="D660" s="601" t="s">
        <v>52</v>
      </c>
      <c r="E660" s="601" t="s">
        <v>58</v>
      </c>
      <c r="F660" s="602">
        <v>21</v>
      </c>
      <c r="G660" s="602">
        <v>17</v>
      </c>
      <c r="H660" s="602">
        <v>0</v>
      </c>
      <c r="I660" s="602">
        <v>0</v>
      </c>
      <c r="J660" s="602">
        <v>0</v>
      </c>
      <c r="K660" s="604" t="s">
        <v>560</v>
      </c>
      <c r="L660" s="604">
        <f t="shared" si="11"/>
        <v>10</v>
      </c>
    </row>
    <row r="661" spans="1:12" s="514" customFormat="1" ht="13" customHeight="1" x14ac:dyDescent="0.3">
      <c r="A661" s="599" t="s">
        <v>110</v>
      </c>
      <c r="B661" s="599" t="s">
        <v>885</v>
      </c>
      <c r="C661" s="599" t="s">
        <v>7</v>
      </c>
      <c r="D661" s="599" t="s">
        <v>4</v>
      </c>
      <c r="E661" s="599" t="s">
        <v>42</v>
      </c>
      <c r="F661" s="600">
        <v>5</v>
      </c>
      <c r="G661" s="600">
        <v>3</v>
      </c>
      <c r="H661" s="600">
        <v>0</v>
      </c>
      <c r="I661" s="600">
        <v>0</v>
      </c>
      <c r="J661" s="600">
        <v>0</v>
      </c>
      <c r="K661" s="604" t="s">
        <v>560</v>
      </c>
      <c r="L661" s="604">
        <f t="shared" si="11"/>
        <v>10</v>
      </c>
    </row>
    <row r="662" spans="1:12" s="514" customFormat="1" ht="13" customHeight="1" x14ac:dyDescent="0.3">
      <c r="A662" s="601" t="s">
        <v>110</v>
      </c>
      <c r="B662" s="601" t="s">
        <v>885</v>
      </c>
      <c r="C662" s="601" t="s">
        <v>7</v>
      </c>
      <c r="D662" s="601" t="s">
        <v>57</v>
      </c>
      <c r="E662" s="601" t="s">
        <v>65</v>
      </c>
      <c r="F662" s="602">
        <v>91492</v>
      </c>
      <c r="G662" s="602">
        <v>82977</v>
      </c>
      <c r="H662" s="602">
        <v>980</v>
      </c>
      <c r="I662" s="602">
        <v>54</v>
      </c>
      <c r="J662" s="602">
        <v>576300</v>
      </c>
      <c r="K662" s="604" t="s">
        <v>560</v>
      </c>
      <c r="L662" s="604">
        <f t="shared" si="11"/>
        <v>10</v>
      </c>
    </row>
    <row r="663" spans="1:12" s="514" customFormat="1" ht="13" customHeight="1" x14ac:dyDescent="0.3">
      <c r="A663" s="599" t="s">
        <v>110</v>
      </c>
      <c r="B663" s="599" t="s">
        <v>886</v>
      </c>
      <c r="C663" s="599" t="s">
        <v>40</v>
      </c>
      <c r="D663" s="599" t="s">
        <v>52</v>
      </c>
      <c r="E663" s="599" t="s">
        <v>67</v>
      </c>
      <c r="F663" s="600">
        <v>2</v>
      </c>
      <c r="G663" s="600">
        <v>2</v>
      </c>
      <c r="H663" s="600">
        <v>0</v>
      </c>
      <c r="I663" s="600">
        <v>0</v>
      </c>
      <c r="J663" s="600">
        <v>0</v>
      </c>
      <c r="K663" s="604" t="s">
        <v>560</v>
      </c>
      <c r="L663" s="604">
        <f t="shared" si="11"/>
        <v>11</v>
      </c>
    </row>
    <row r="664" spans="1:12" s="514" customFormat="1" ht="13" customHeight="1" x14ac:dyDescent="0.3">
      <c r="A664" s="601" t="s">
        <v>110</v>
      </c>
      <c r="B664" s="601" t="s">
        <v>886</v>
      </c>
      <c r="C664" s="601" t="s">
        <v>40</v>
      </c>
      <c r="D664" s="601" t="s">
        <v>4</v>
      </c>
      <c r="E664" s="601" t="s">
        <v>42</v>
      </c>
      <c r="F664" s="602">
        <v>11</v>
      </c>
      <c r="G664" s="602">
        <v>4</v>
      </c>
      <c r="H664" s="602">
        <v>0</v>
      </c>
      <c r="I664" s="602">
        <v>0</v>
      </c>
      <c r="J664" s="602">
        <v>0</v>
      </c>
      <c r="K664" s="604" t="s">
        <v>560</v>
      </c>
      <c r="L664" s="604">
        <f t="shared" si="11"/>
        <v>11</v>
      </c>
    </row>
    <row r="665" spans="1:12" s="514" customFormat="1" ht="13" customHeight="1" x14ac:dyDescent="0.3">
      <c r="A665" s="599" t="s">
        <v>110</v>
      </c>
      <c r="B665" s="599" t="s">
        <v>886</v>
      </c>
      <c r="C665" s="599" t="s">
        <v>40</v>
      </c>
      <c r="D665" s="599" t="s">
        <v>52</v>
      </c>
      <c r="E665" s="599" t="s">
        <v>58</v>
      </c>
      <c r="F665" s="600">
        <v>12</v>
      </c>
      <c r="G665" s="600">
        <v>8</v>
      </c>
      <c r="H665" s="600">
        <v>0</v>
      </c>
      <c r="I665" s="600">
        <v>0</v>
      </c>
      <c r="J665" s="600">
        <v>0</v>
      </c>
      <c r="K665" s="604" t="s">
        <v>560</v>
      </c>
      <c r="L665" s="604">
        <f t="shared" si="11"/>
        <v>11</v>
      </c>
    </row>
    <row r="666" spans="1:12" s="514" customFormat="1" ht="13" customHeight="1" x14ac:dyDescent="0.3">
      <c r="A666" s="601" t="s">
        <v>110</v>
      </c>
      <c r="B666" s="601" t="s">
        <v>886</v>
      </c>
      <c r="C666" s="601" t="s">
        <v>40</v>
      </c>
      <c r="D666" s="601" t="s">
        <v>57</v>
      </c>
      <c r="E666" s="601" t="s">
        <v>64</v>
      </c>
      <c r="F666" s="602">
        <v>408828</v>
      </c>
      <c r="G666" s="602">
        <v>320291</v>
      </c>
      <c r="H666" s="602">
        <v>2266</v>
      </c>
      <c r="I666" s="602">
        <v>135</v>
      </c>
      <c r="J666" s="602">
        <v>2170040</v>
      </c>
      <c r="K666" s="604" t="s">
        <v>560</v>
      </c>
      <c r="L666" s="604">
        <f t="shared" si="11"/>
        <v>11</v>
      </c>
    </row>
    <row r="667" spans="1:12" s="514" customFormat="1" ht="13" customHeight="1" x14ac:dyDescent="0.3">
      <c r="A667" s="599" t="s">
        <v>110</v>
      </c>
      <c r="B667" s="599" t="s">
        <v>886</v>
      </c>
      <c r="C667" s="599" t="s">
        <v>40</v>
      </c>
      <c r="D667" s="599" t="s">
        <v>55</v>
      </c>
      <c r="E667" s="599" t="s">
        <v>54</v>
      </c>
      <c r="F667" s="600">
        <v>8</v>
      </c>
      <c r="G667" s="600">
        <v>4</v>
      </c>
      <c r="H667" s="600">
        <v>0</v>
      </c>
      <c r="I667" s="600">
        <v>0</v>
      </c>
      <c r="J667" s="600">
        <v>0</v>
      </c>
      <c r="K667" s="604" t="s">
        <v>560</v>
      </c>
      <c r="L667" s="604">
        <f t="shared" si="11"/>
        <v>11</v>
      </c>
    </row>
    <row r="668" spans="1:12" s="514" customFormat="1" ht="13" customHeight="1" x14ac:dyDescent="0.3">
      <c r="A668" s="601" t="s">
        <v>110</v>
      </c>
      <c r="B668" s="601" t="s">
        <v>886</v>
      </c>
      <c r="C668" s="601" t="s">
        <v>40</v>
      </c>
      <c r="D668" s="601" t="s">
        <v>55</v>
      </c>
      <c r="E668" s="601" t="s">
        <v>66</v>
      </c>
      <c r="F668" s="602">
        <v>11</v>
      </c>
      <c r="G668" s="602">
        <v>0</v>
      </c>
      <c r="H668" s="602">
        <v>0</v>
      </c>
      <c r="I668" s="602">
        <v>0</v>
      </c>
      <c r="J668" s="602">
        <v>0</v>
      </c>
      <c r="K668" s="604" t="s">
        <v>560</v>
      </c>
      <c r="L668" s="604">
        <f t="shared" si="11"/>
        <v>11</v>
      </c>
    </row>
    <row r="669" spans="1:12" s="514" customFormat="1" ht="13" customHeight="1" x14ac:dyDescent="0.3">
      <c r="A669" s="599" t="s">
        <v>110</v>
      </c>
      <c r="B669" s="599" t="s">
        <v>886</v>
      </c>
      <c r="C669" s="599" t="s">
        <v>40</v>
      </c>
      <c r="D669" s="599" t="s">
        <v>4</v>
      </c>
      <c r="E669" s="599" t="s">
        <v>43</v>
      </c>
      <c r="F669" s="600">
        <v>1562</v>
      </c>
      <c r="G669" s="600">
        <v>724</v>
      </c>
      <c r="H669" s="600">
        <v>7</v>
      </c>
      <c r="I669" s="600">
        <v>0</v>
      </c>
      <c r="J669" s="600">
        <v>0</v>
      </c>
      <c r="K669" s="604" t="s">
        <v>560</v>
      </c>
      <c r="L669" s="604">
        <f t="shared" ref="L669:L732" si="12">MONTH(B669)</f>
        <v>11</v>
      </c>
    </row>
    <row r="670" spans="1:12" s="514" customFormat="1" ht="13" customHeight="1" x14ac:dyDescent="0.3">
      <c r="A670" s="601" t="s">
        <v>110</v>
      </c>
      <c r="B670" s="601" t="s">
        <v>886</v>
      </c>
      <c r="C670" s="601" t="s">
        <v>40</v>
      </c>
      <c r="D670" s="601" t="s">
        <v>55</v>
      </c>
      <c r="E670" s="601" t="s">
        <v>56</v>
      </c>
      <c r="F670" s="602">
        <v>28797</v>
      </c>
      <c r="G670" s="602">
        <v>16077</v>
      </c>
      <c r="H670" s="602">
        <v>162</v>
      </c>
      <c r="I670" s="602">
        <v>3</v>
      </c>
      <c r="J670" s="602">
        <v>24900</v>
      </c>
      <c r="K670" s="604" t="s">
        <v>560</v>
      </c>
      <c r="L670" s="604">
        <f t="shared" si="12"/>
        <v>11</v>
      </c>
    </row>
    <row r="671" spans="1:12" s="514" customFormat="1" ht="13" customHeight="1" x14ac:dyDescent="0.3">
      <c r="A671" s="599" t="s">
        <v>110</v>
      </c>
      <c r="B671" s="599" t="s">
        <v>886</v>
      </c>
      <c r="C671" s="599" t="s">
        <v>40</v>
      </c>
      <c r="D671" s="599" t="s">
        <v>52</v>
      </c>
      <c r="E671" s="599" t="s">
        <v>51</v>
      </c>
      <c r="F671" s="600">
        <v>1</v>
      </c>
      <c r="G671" s="600">
        <v>1</v>
      </c>
      <c r="H671" s="600">
        <v>0</v>
      </c>
      <c r="I671" s="600">
        <v>0</v>
      </c>
      <c r="J671" s="600">
        <v>0</v>
      </c>
      <c r="K671" s="604" t="s">
        <v>560</v>
      </c>
      <c r="L671" s="604">
        <f t="shared" si="12"/>
        <v>11</v>
      </c>
    </row>
    <row r="672" spans="1:12" s="514" customFormat="1" ht="13" customHeight="1" x14ac:dyDescent="0.3">
      <c r="A672" s="599" t="s">
        <v>110</v>
      </c>
      <c r="B672" s="599" t="s">
        <v>886</v>
      </c>
      <c r="C672" s="599" t="s">
        <v>40</v>
      </c>
      <c r="D672" s="599" t="s">
        <v>52</v>
      </c>
      <c r="E672" s="599" t="s">
        <v>59</v>
      </c>
      <c r="F672" s="600">
        <v>37352</v>
      </c>
      <c r="G672" s="600">
        <v>34277</v>
      </c>
      <c r="H672" s="600">
        <v>0</v>
      </c>
      <c r="I672" s="600">
        <v>0</v>
      </c>
      <c r="J672" s="600">
        <v>0</v>
      </c>
      <c r="K672" s="604" t="s">
        <v>560</v>
      </c>
      <c r="L672" s="604">
        <f t="shared" si="12"/>
        <v>11</v>
      </c>
    </row>
    <row r="673" spans="1:12" s="514" customFormat="1" ht="13" customHeight="1" x14ac:dyDescent="0.3">
      <c r="A673" s="601" t="s">
        <v>110</v>
      </c>
      <c r="B673" s="601" t="s">
        <v>886</v>
      </c>
      <c r="C673" s="601" t="s">
        <v>40</v>
      </c>
      <c r="D673" s="601" t="s">
        <v>57</v>
      </c>
      <c r="E673" s="601" t="s">
        <v>65</v>
      </c>
      <c r="F673" s="602">
        <v>54497</v>
      </c>
      <c r="G673" s="602">
        <v>46174</v>
      </c>
      <c r="H673" s="602">
        <v>807</v>
      </c>
      <c r="I673" s="602">
        <v>28</v>
      </c>
      <c r="J673" s="602">
        <v>423650</v>
      </c>
      <c r="K673" s="604" t="s">
        <v>560</v>
      </c>
      <c r="L673" s="604">
        <f t="shared" si="12"/>
        <v>11</v>
      </c>
    </row>
    <row r="674" spans="1:12" s="514" customFormat="1" ht="13" customHeight="1" x14ac:dyDescent="0.3">
      <c r="A674" s="599" t="s">
        <v>110</v>
      </c>
      <c r="B674" s="599" t="s">
        <v>886</v>
      </c>
      <c r="C674" s="599" t="s">
        <v>40</v>
      </c>
      <c r="D674" s="599" t="s">
        <v>57</v>
      </c>
      <c r="E674" s="599" t="s">
        <v>63</v>
      </c>
      <c r="F674" s="600">
        <v>23</v>
      </c>
      <c r="G674" s="600">
        <v>15</v>
      </c>
      <c r="H674" s="600">
        <v>0</v>
      </c>
      <c r="I674" s="600">
        <v>0</v>
      </c>
      <c r="J674" s="600">
        <v>0</v>
      </c>
      <c r="K674" s="604" t="s">
        <v>560</v>
      </c>
      <c r="L674" s="604">
        <f t="shared" si="12"/>
        <v>11</v>
      </c>
    </row>
    <row r="675" spans="1:12" s="514" customFormat="1" ht="13" customHeight="1" x14ac:dyDescent="0.3">
      <c r="A675" s="601" t="s">
        <v>110</v>
      </c>
      <c r="B675" s="601" t="s">
        <v>886</v>
      </c>
      <c r="C675" s="601" t="s">
        <v>40</v>
      </c>
      <c r="D675" s="601" t="s">
        <v>52</v>
      </c>
      <c r="E675" s="601" t="s">
        <v>61</v>
      </c>
      <c r="F675" s="602">
        <v>18546</v>
      </c>
      <c r="G675" s="602">
        <v>17218</v>
      </c>
      <c r="H675" s="602">
        <v>684</v>
      </c>
      <c r="I675" s="602">
        <v>31</v>
      </c>
      <c r="J675" s="602">
        <v>519150</v>
      </c>
      <c r="K675" s="604" t="s">
        <v>560</v>
      </c>
      <c r="L675" s="604">
        <f t="shared" si="12"/>
        <v>11</v>
      </c>
    </row>
    <row r="676" spans="1:12" s="514" customFormat="1" ht="13" customHeight="1" x14ac:dyDescent="0.3">
      <c r="A676" s="599" t="s">
        <v>110</v>
      </c>
      <c r="B676" s="599" t="s">
        <v>886</v>
      </c>
      <c r="C676" s="599" t="s">
        <v>40</v>
      </c>
      <c r="D676" s="599" t="s">
        <v>52</v>
      </c>
      <c r="E676" s="599" t="s">
        <v>53</v>
      </c>
      <c r="F676" s="600">
        <v>1</v>
      </c>
      <c r="G676" s="600">
        <v>1</v>
      </c>
      <c r="H676" s="600">
        <v>0</v>
      </c>
      <c r="I676" s="600">
        <v>0</v>
      </c>
      <c r="J676" s="600">
        <v>0</v>
      </c>
      <c r="K676" s="604" t="s">
        <v>560</v>
      </c>
      <c r="L676" s="604">
        <f t="shared" si="12"/>
        <v>11</v>
      </c>
    </row>
    <row r="677" spans="1:12" s="514" customFormat="1" ht="13" customHeight="1" x14ac:dyDescent="0.3">
      <c r="A677" s="599" t="s">
        <v>110</v>
      </c>
      <c r="B677" s="599" t="s">
        <v>886</v>
      </c>
      <c r="C677" s="599" t="s">
        <v>40</v>
      </c>
      <c r="D677" s="599" t="s">
        <v>4</v>
      </c>
      <c r="E677" s="599" t="s">
        <v>41</v>
      </c>
      <c r="F677" s="600">
        <v>157</v>
      </c>
      <c r="G677" s="600">
        <v>93</v>
      </c>
      <c r="H677" s="600">
        <v>0</v>
      </c>
      <c r="I677" s="600">
        <v>0</v>
      </c>
      <c r="J677" s="600">
        <v>0</v>
      </c>
      <c r="K677" s="604" t="s">
        <v>560</v>
      </c>
      <c r="L677" s="604">
        <f t="shared" si="12"/>
        <v>11</v>
      </c>
    </row>
    <row r="678" spans="1:12" s="514" customFormat="1" ht="13" customHeight="1" x14ac:dyDescent="0.3">
      <c r="A678" s="599" t="s">
        <v>110</v>
      </c>
      <c r="B678" s="599" t="s">
        <v>886</v>
      </c>
      <c r="C678" s="599" t="s">
        <v>6</v>
      </c>
      <c r="D678" s="599" t="s">
        <v>55</v>
      </c>
      <c r="E678" s="599" t="s">
        <v>56</v>
      </c>
      <c r="F678" s="600">
        <v>828</v>
      </c>
      <c r="G678" s="600">
        <v>565</v>
      </c>
      <c r="H678" s="600">
        <v>2</v>
      </c>
      <c r="I678" s="600">
        <v>0</v>
      </c>
      <c r="J678" s="600">
        <v>0</v>
      </c>
      <c r="K678" s="604" t="s">
        <v>560</v>
      </c>
      <c r="L678" s="604">
        <f t="shared" si="12"/>
        <v>11</v>
      </c>
    </row>
    <row r="679" spans="1:12" s="514" customFormat="1" ht="13" customHeight="1" x14ac:dyDescent="0.3">
      <c r="A679" s="601" t="s">
        <v>110</v>
      </c>
      <c r="B679" s="601" t="s">
        <v>886</v>
      </c>
      <c r="C679" s="601" t="s">
        <v>6</v>
      </c>
      <c r="D679" s="601" t="s">
        <v>4</v>
      </c>
      <c r="E679" s="601" t="s">
        <v>43</v>
      </c>
      <c r="F679" s="602">
        <v>5445</v>
      </c>
      <c r="G679" s="602">
        <v>2712</v>
      </c>
      <c r="H679" s="602">
        <v>66</v>
      </c>
      <c r="I679" s="602">
        <v>43</v>
      </c>
      <c r="J679" s="602">
        <v>244819.1</v>
      </c>
      <c r="K679" s="604" t="s">
        <v>560</v>
      </c>
      <c r="L679" s="604">
        <f t="shared" si="12"/>
        <v>11</v>
      </c>
    </row>
    <row r="680" spans="1:12" s="514" customFormat="1" ht="13" customHeight="1" x14ac:dyDescent="0.3">
      <c r="A680" s="599" t="s">
        <v>110</v>
      </c>
      <c r="B680" s="599" t="s">
        <v>886</v>
      </c>
      <c r="C680" s="599" t="s">
        <v>6</v>
      </c>
      <c r="D680" s="599" t="s">
        <v>57</v>
      </c>
      <c r="E680" s="599" t="s">
        <v>64</v>
      </c>
      <c r="F680" s="600">
        <v>264774</v>
      </c>
      <c r="G680" s="600">
        <v>226155</v>
      </c>
      <c r="H680" s="600">
        <v>1368</v>
      </c>
      <c r="I680" s="600">
        <v>92</v>
      </c>
      <c r="J680" s="600">
        <v>427500</v>
      </c>
      <c r="K680" s="604" t="s">
        <v>560</v>
      </c>
      <c r="L680" s="604">
        <f t="shared" si="12"/>
        <v>11</v>
      </c>
    </row>
    <row r="681" spans="1:12" s="514" customFormat="1" ht="13" customHeight="1" x14ac:dyDescent="0.3">
      <c r="A681" s="601" t="s">
        <v>110</v>
      </c>
      <c r="B681" s="601" t="s">
        <v>886</v>
      </c>
      <c r="C681" s="601" t="s">
        <v>6</v>
      </c>
      <c r="D681" s="601" t="s">
        <v>55</v>
      </c>
      <c r="E681" s="601" t="s">
        <v>66</v>
      </c>
      <c r="F681" s="602">
        <v>60</v>
      </c>
      <c r="G681" s="602">
        <v>52</v>
      </c>
      <c r="H681" s="602">
        <v>0</v>
      </c>
      <c r="I681" s="602">
        <v>0</v>
      </c>
      <c r="J681" s="602">
        <v>0</v>
      </c>
      <c r="K681" s="604" t="s">
        <v>560</v>
      </c>
      <c r="L681" s="604">
        <f t="shared" si="12"/>
        <v>11</v>
      </c>
    </row>
    <row r="682" spans="1:12" s="514" customFormat="1" ht="13" customHeight="1" x14ac:dyDescent="0.3">
      <c r="A682" s="601" t="s">
        <v>110</v>
      </c>
      <c r="B682" s="601" t="s">
        <v>886</v>
      </c>
      <c r="C682" s="601" t="s">
        <v>6</v>
      </c>
      <c r="D682" s="601" t="s">
        <v>4</v>
      </c>
      <c r="E682" s="601" t="s">
        <v>42</v>
      </c>
      <c r="F682" s="602">
        <v>5</v>
      </c>
      <c r="G682" s="602">
        <v>3</v>
      </c>
      <c r="H682" s="602">
        <v>0</v>
      </c>
      <c r="I682" s="602">
        <v>0</v>
      </c>
      <c r="J682" s="602">
        <v>0</v>
      </c>
      <c r="K682" s="604" t="s">
        <v>560</v>
      </c>
      <c r="L682" s="604">
        <f t="shared" si="12"/>
        <v>11</v>
      </c>
    </row>
    <row r="683" spans="1:12" s="514" customFormat="1" ht="13" customHeight="1" x14ac:dyDescent="0.3">
      <c r="A683" s="599" t="s">
        <v>110</v>
      </c>
      <c r="B683" s="599" t="s">
        <v>886</v>
      </c>
      <c r="C683" s="599" t="s">
        <v>6</v>
      </c>
      <c r="D683" s="599" t="s">
        <v>55</v>
      </c>
      <c r="E683" s="599" t="s">
        <v>54</v>
      </c>
      <c r="F683" s="600">
        <v>11925</v>
      </c>
      <c r="G683" s="600">
        <v>8408</v>
      </c>
      <c r="H683" s="600">
        <v>129</v>
      </c>
      <c r="I683" s="600">
        <v>0</v>
      </c>
      <c r="J683" s="600">
        <v>0</v>
      </c>
      <c r="K683" s="604" t="s">
        <v>560</v>
      </c>
      <c r="L683" s="604">
        <f t="shared" si="12"/>
        <v>11</v>
      </c>
    </row>
    <row r="684" spans="1:12" s="514" customFormat="1" ht="13" customHeight="1" x14ac:dyDescent="0.3">
      <c r="A684" s="601" t="s">
        <v>110</v>
      </c>
      <c r="B684" s="601" t="s">
        <v>886</v>
      </c>
      <c r="C684" s="601" t="s">
        <v>6</v>
      </c>
      <c r="D684" s="601" t="s">
        <v>4</v>
      </c>
      <c r="E684" s="601" t="s">
        <v>41</v>
      </c>
      <c r="F684" s="602">
        <v>84</v>
      </c>
      <c r="G684" s="602">
        <v>53</v>
      </c>
      <c r="H684" s="602">
        <v>0</v>
      </c>
      <c r="I684" s="602">
        <v>0</v>
      </c>
      <c r="J684" s="602">
        <v>0</v>
      </c>
      <c r="K684" s="604" t="s">
        <v>560</v>
      </c>
      <c r="L684" s="604">
        <f t="shared" si="12"/>
        <v>11</v>
      </c>
    </row>
    <row r="685" spans="1:12" s="514" customFormat="1" ht="13" customHeight="1" x14ac:dyDescent="0.3">
      <c r="A685" s="601" t="s">
        <v>110</v>
      </c>
      <c r="B685" s="601" t="s">
        <v>886</v>
      </c>
      <c r="C685" s="601" t="s">
        <v>6</v>
      </c>
      <c r="D685" s="601" t="s">
        <v>57</v>
      </c>
      <c r="E685" s="601" t="s">
        <v>63</v>
      </c>
      <c r="F685" s="602">
        <v>22099</v>
      </c>
      <c r="G685" s="602">
        <v>20067</v>
      </c>
      <c r="H685" s="602">
        <v>543</v>
      </c>
      <c r="I685" s="602">
        <v>93</v>
      </c>
      <c r="J685" s="602">
        <v>444723</v>
      </c>
      <c r="K685" s="604" t="s">
        <v>560</v>
      </c>
      <c r="L685" s="604">
        <f t="shared" si="12"/>
        <v>11</v>
      </c>
    </row>
    <row r="686" spans="1:12" s="514" customFormat="1" ht="13" customHeight="1" x14ac:dyDescent="0.3">
      <c r="A686" s="599" t="s">
        <v>110</v>
      </c>
      <c r="B686" s="599" t="s">
        <v>886</v>
      </c>
      <c r="C686" s="599" t="s">
        <v>6</v>
      </c>
      <c r="D686" s="599" t="s">
        <v>57</v>
      </c>
      <c r="E686" s="599" t="s">
        <v>65</v>
      </c>
      <c r="F686" s="600">
        <v>85939</v>
      </c>
      <c r="G686" s="600">
        <v>77282</v>
      </c>
      <c r="H686" s="600">
        <v>744</v>
      </c>
      <c r="I686" s="600">
        <v>109</v>
      </c>
      <c r="J686" s="600">
        <v>549007</v>
      </c>
      <c r="K686" s="604" t="s">
        <v>560</v>
      </c>
      <c r="L686" s="604">
        <f t="shared" si="12"/>
        <v>11</v>
      </c>
    </row>
    <row r="687" spans="1:12" s="514" customFormat="1" ht="13" customHeight="1" x14ac:dyDescent="0.3">
      <c r="A687" s="601" t="s">
        <v>110</v>
      </c>
      <c r="B687" s="601" t="s">
        <v>886</v>
      </c>
      <c r="C687" s="601" t="s">
        <v>6</v>
      </c>
      <c r="D687" s="601" t="s">
        <v>52</v>
      </c>
      <c r="E687" s="601" t="s">
        <v>51</v>
      </c>
      <c r="F687" s="602">
        <v>1</v>
      </c>
      <c r="G687" s="602">
        <v>0</v>
      </c>
      <c r="H687" s="602">
        <v>0</v>
      </c>
      <c r="I687" s="602">
        <v>0</v>
      </c>
      <c r="J687" s="602">
        <v>0</v>
      </c>
      <c r="K687" s="604" t="s">
        <v>560</v>
      </c>
      <c r="L687" s="604">
        <f t="shared" si="12"/>
        <v>11</v>
      </c>
    </row>
    <row r="688" spans="1:12" s="514" customFormat="1" ht="13" customHeight="1" x14ac:dyDescent="0.3">
      <c r="A688" s="601" t="s">
        <v>110</v>
      </c>
      <c r="B688" s="601" t="s">
        <v>886</v>
      </c>
      <c r="C688" s="601" t="s">
        <v>6</v>
      </c>
      <c r="D688" s="601" t="s">
        <v>52</v>
      </c>
      <c r="E688" s="601" t="s">
        <v>58</v>
      </c>
      <c r="F688" s="602">
        <v>10</v>
      </c>
      <c r="G688" s="602">
        <v>3</v>
      </c>
      <c r="H688" s="602">
        <v>0</v>
      </c>
      <c r="I688" s="602">
        <v>0</v>
      </c>
      <c r="J688" s="602">
        <v>0</v>
      </c>
      <c r="K688" s="604" t="s">
        <v>560</v>
      </c>
      <c r="L688" s="604">
        <f t="shared" si="12"/>
        <v>11</v>
      </c>
    </row>
    <row r="689" spans="1:12" s="514" customFormat="1" ht="13" customHeight="1" x14ac:dyDescent="0.3">
      <c r="A689" s="599" t="s">
        <v>110</v>
      </c>
      <c r="B689" s="599" t="s">
        <v>886</v>
      </c>
      <c r="C689" s="599" t="s">
        <v>7</v>
      </c>
      <c r="D689" s="599" t="s">
        <v>52</v>
      </c>
      <c r="E689" s="599" t="s">
        <v>61</v>
      </c>
      <c r="F689" s="600">
        <v>79974</v>
      </c>
      <c r="G689" s="600">
        <v>74936</v>
      </c>
      <c r="H689" s="600">
        <v>1750</v>
      </c>
      <c r="I689" s="600">
        <v>195</v>
      </c>
      <c r="J689" s="600">
        <v>2690760</v>
      </c>
      <c r="K689" s="604" t="s">
        <v>560</v>
      </c>
      <c r="L689" s="604">
        <f t="shared" si="12"/>
        <v>11</v>
      </c>
    </row>
    <row r="690" spans="1:12" s="514" customFormat="1" ht="13" customHeight="1" x14ac:dyDescent="0.3">
      <c r="A690" s="601" t="s">
        <v>110</v>
      </c>
      <c r="B690" s="601" t="s">
        <v>886</v>
      </c>
      <c r="C690" s="601" t="s">
        <v>7</v>
      </c>
      <c r="D690" s="601" t="s">
        <v>52</v>
      </c>
      <c r="E690" s="601" t="s">
        <v>51</v>
      </c>
      <c r="F690" s="602">
        <v>41</v>
      </c>
      <c r="G690" s="602">
        <v>38</v>
      </c>
      <c r="H690" s="602">
        <v>0</v>
      </c>
      <c r="I690" s="602">
        <v>0</v>
      </c>
      <c r="J690" s="602">
        <v>0</v>
      </c>
      <c r="K690" s="604" t="s">
        <v>560</v>
      </c>
      <c r="L690" s="604">
        <f t="shared" si="12"/>
        <v>11</v>
      </c>
    </row>
    <row r="691" spans="1:12" s="514" customFormat="1" ht="13" customHeight="1" x14ac:dyDescent="0.3">
      <c r="A691" s="599" t="s">
        <v>110</v>
      </c>
      <c r="B691" s="599" t="s">
        <v>886</v>
      </c>
      <c r="C691" s="599" t="s">
        <v>7</v>
      </c>
      <c r="D691" s="599" t="s">
        <v>4</v>
      </c>
      <c r="E691" s="599" t="s">
        <v>41</v>
      </c>
      <c r="F691" s="600">
        <v>74</v>
      </c>
      <c r="G691" s="600">
        <v>43</v>
      </c>
      <c r="H691" s="600">
        <v>2</v>
      </c>
      <c r="I691" s="600">
        <v>0</v>
      </c>
      <c r="J691" s="600">
        <v>0</v>
      </c>
      <c r="K691" s="604" t="s">
        <v>560</v>
      </c>
      <c r="L691" s="604">
        <f t="shared" si="12"/>
        <v>11</v>
      </c>
    </row>
    <row r="692" spans="1:12" s="514" customFormat="1" ht="13" customHeight="1" x14ac:dyDescent="0.3">
      <c r="A692" s="601" t="s">
        <v>110</v>
      </c>
      <c r="B692" s="601" t="s">
        <v>886</v>
      </c>
      <c r="C692" s="601" t="s">
        <v>7</v>
      </c>
      <c r="D692" s="601" t="s">
        <v>57</v>
      </c>
      <c r="E692" s="601" t="s">
        <v>65</v>
      </c>
      <c r="F692" s="602">
        <v>72241</v>
      </c>
      <c r="G692" s="602">
        <v>62395</v>
      </c>
      <c r="H692" s="602">
        <v>826</v>
      </c>
      <c r="I692" s="602">
        <v>56</v>
      </c>
      <c r="J692" s="602">
        <v>546000</v>
      </c>
      <c r="K692" s="604" t="s">
        <v>560</v>
      </c>
      <c r="L692" s="604">
        <f t="shared" si="12"/>
        <v>11</v>
      </c>
    </row>
    <row r="693" spans="1:12" s="514" customFormat="1" ht="13" customHeight="1" x14ac:dyDescent="0.3">
      <c r="A693" s="599" t="s">
        <v>110</v>
      </c>
      <c r="B693" s="599" t="s">
        <v>886</v>
      </c>
      <c r="C693" s="599" t="s">
        <v>7</v>
      </c>
      <c r="D693" s="599" t="s">
        <v>57</v>
      </c>
      <c r="E693" s="599" t="s">
        <v>64</v>
      </c>
      <c r="F693" s="600">
        <v>235410</v>
      </c>
      <c r="G693" s="600">
        <v>155778</v>
      </c>
      <c r="H693" s="600">
        <v>711</v>
      </c>
      <c r="I693" s="600">
        <v>52</v>
      </c>
      <c r="J693" s="600">
        <v>568880</v>
      </c>
      <c r="K693" s="604" t="s">
        <v>560</v>
      </c>
      <c r="L693" s="604">
        <f t="shared" si="12"/>
        <v>11</v>
      </c>
    </row>
    <row r="694" spans="1:12" s="514" customFormat="1" ht="13" customHeight="1" x14ac:dyDescent="0.3">
      <c r="A694" s="601" t="s">
        <v>110</v>
      </c>
      <c r="B694" s="601" t="s">
        <v>886</v>
      </c>
      <c r="C694" s="601" t="s">
        <v>7</v>
      </c>
      <c r="D694" s="601" t="s">
        <v>57</v>
      </c>
      <c r="E694" s="601" t="s">
        <v>63</v>
      </c>
      <c r="F694" s="602">
        <v>88</v>
      </c>
      <c r="G694" s="602">
        <v>53</v>
      </c>
      <c r="H694" s="602">
        <v>0</v>
      </c>
      <c r="I694" s="602">
        <v>0</v>
      </c>
      <c r="J694" s="602">
        <v>0</v>
      </c>
      <c r="K694" s="604" t="s">
        <v>560</v>
      </c>
      <c r="L694" s="604">
        <f t="shared" si="12"/>
        <v>11</v>
      </c>
    </row>
    <row r="695" spans="1:12" s="514" customFormat="1" ht="13" customHeight="1" x14ac:dyDescent="0.3">
      <c r="A695" s="599" t="s">
        <v>110</v>
      </c>
      <c r="B695" s="599" t="s">
        <v>886</v>
      </c>
      <c r="C695" s="599" t="s">
        <v>7</v>
      </c>
      <c r="D695" s="599" t="s">
        <v>55</v>
      </c>
      <c r="E695" s="599" t="s">
        <v>54</v>
      </c>
      <c r="F695" s="600">
        <v>9</v>
      </c>
      <c r="G695" s="600">
        <v>5</v>
      </c>
      <c r="H695" s="600">
        <v>1</v>
      </c>
      <c r="I695" s="600">
        <v>0</v>
      </c>
      <c r="J695" s="600">
        <v>0</v>
      </c>
      <c r="K695" s="604" t="s">
        <v>560</v>
      </c>
      <c r="L695" s="604">
        <f t="shared" si="12"/>
        <v>11</v>
      </c>
    </row>
    <row r="696" spans="1:12" s="514" customFormat="1" ht="13" customHeight="1" x14ac:dyDescent="0.3">
      <c r="A696" s="601" t="s">
        <v>110</v>
      </c>
      <c r="B696" s="601" t="s">
        <v>886</v>
      </c>
      <c r="C696" s="601" t="s">
        <v>7</v>
      </c>
      <c r="D696" s="601" t="s">
        <v>52</v>
      </c>
      <c r="E696" s="601" t="s">
        <v>58</v>
      </c>
      <c r="F696" s="602">
        <v>13</v>
      </c>
      <c r="G696" s="602">
        <v>5</v>
      </c>
      <c r="H696" s="602">
        <v>0</v>
      </c>
      <c r="I696" s="602">
        <v>0</v>
      </c>
      <c r="J696" s="602">
        <v>0</v>
      </c>
      <c r="K696" s="604" t="s">
        <v>560</v>
      </c>
      <c r="L696" s="604">
        <f t="shared" si="12"/>
        <v>11</v>
      </c>
    </row>
    <row r="697" spans="1:12" s="514" customFormat="1" ht="13" customHeight="1" x14ac:dyDescent="0.3">
      <c r="A697" s="599" t="s">
        <v>110</v>
      </c>
      <c r="B697" s="599" t="s">
        <v>886</v>
      </c>
      <c r="C697" s="599" t="s">
        <v>7</v>
      </c>
      <c r="D697" s="599" t="s">
        <v>55</v>
      </c>
      <c r="E697" s="599" t="s">
        <v>66</v>
      </c>
      <c r="F697" s="600">
        <v>6</v>
      </c>
      <c r="G697" s="600">
        <v>2</v>
      </c>
      <c r="H697" s="600">
        <v>0</v>
      </c>
      <c r="I697" s="600">
        <v>0</v>
      </c>
      <c r="J697" s="600">
        <v>0</v>
      </c>
      <c r="K697" s="604" t="s">
        <v>560</v>
      </c>
      <c r="L697" s="604">
        <f t="shared" si="12"/>
        <v>11</v>
      </c>
    </row>
    <row r="698" spans="1:12" s="514" customFormat="1" ht="13" customHeight="1" x14ac:dyDescent="0.3">
      <c r="A698" s="601" t="s">
        <v>110</v>
      </c>
      <c r="B698" s="601" t="s">
        <v>886</v>
      </c>
      <c r="C698" s="601" t="s">
        <v>7</v>
      </c>
      <c r="D698" s="601" t="s">
        <v>55</v>
      </c>
      <c r="E698" s="601" t="s">
        <v>56</v>
      </c>
      <c r="F698" s="602">
        <v>108214</v>
      </c>
      <c r="G698" s="602">
        <v>81056</v>
      </c>
      <c r="H698" s="602">
        <v>70</v>
      </c>
      <c r="I698" s="602">
        <v>3</v>
      </c>
      <c r="J698" s="602">
        <v>27000</v>
      </c>
      <c r="K698" s="604" t="s">
        <v>560</v>
      </c>
      <c r="L698" s="604">
        <f t="shared" si="12"/>
        <v>11</v>
      </c>
    </row>
    <row r="699" spans="1:12" s="514" customFormat="1" ht="13" customHeight="1" x14ac:dyDescent="0.3">
      <c r="A699" s="599" t="s">
        <v>110</v>
      </c>
      <c r="B699" s="599" t="s">
        <v>886</v>
      </c>
      <c r="C699" s="599" t="s">
        <v>7</v>
      </c>
      <c r="D699" s="599" t="s">
        <v>4</v>
      </c>
      <c r="E699" s="599" t="s">
        <v>43</v>
      </c>
      <c r="F699" s="600">
        <v>4737</v>
      </c>
      <c r="G699" s="600">
        <v>2178</v>
      </c>
      <c r="H699" s="600">
        <v>32</v>
      </c>
      <c r="I699" s="600">
        <v>12</v>
      </c>
      <c r="J699" s="600">
        <v>144500</v>
      </c>
      <c r="K699" s="604" t="s">
        <v>560</v>
      </c>
      <c r="L699" s="604">
        <f t="shared" si="12"/>
        <v>11</v>
      </c>
    </row>
    <row r="700" spans="1:12" s="514" customFormat="1" ht="13" customHeight="1" x14ac:dyDescent="0.3">
      <c r="A700" s="601" t="s">
        <v>110</v>
      </c>
      <c r="B700" s="601" t="s">
        <v>886</v>
      </c>
      <c r="C700" s="601" t="s">
        <v>7</v>
      </c>
      <c r="D700" s="601" t="s">
        <v>4</v>
      </c>
      <c r="E700" s="601" t="s">
        <v>42</v>
      </c>
      <c r="F700" s="602">
        <v>6</v>
      </c>
      <c r="G700" s="602">
        <v>3</v>
      </c>
      <c r="H700" s="602">
        <v>0</v>
      </c>
      <c r="I700" s="602">
        <v>0</v>
      </c>
      <c r="J700" s="602">
        <v>0</v>
      </c>
      <c r="K700" s="604" t="s">
        <v>560</v>
      </c>
      <c r="L700" s="604">
        <f t="shared" si="12"/>
        <v>11</v>
      </c>
    </row>
    <row r="701" spans="1:12" s="514" customFormat="1" ht="13" customHeight="1" x14ac:dyDescent="0.3">
      <c r="A701" s="599" t="s">
        <v>110</v>
      </c>
      <c r="B701" s="599" t="s">
        <v>887</v>
      </c>
      <c r="C701" s="599" t="s">
        <v>40</v>
      </c>
      <c r="D701" s="599" t="s">
        <v>55</v>
      </c>
      <c r="E701" s="599" t="s">
        <v>66</v>
      </c>
      <c r="F701" s="600">
        <v>4</v>
      </c>
      <c r="G701" s="600">
        <v>3</v>
      </c>
      <c r="H701" s="600">
        <v>0</v>
      </c>
      <c r="I701" s="600">
        <v>0</v>
      </c>
      <c r="J701" s="600">
        <v>0</v>
      </c>
      <c r="K701" s="604" t="s">
        <v>560</v>
      </c>
      <c r="L701" s="604">
        <f t="shared" si="12"/>
        <v>12</v>
      </c>
    </row>
    <row r="702" spans="1:12" s="514" customFormat="1" ht="13" customHeight="1" x14ac:dyDescent="0.3">
      <c r="A702" s="601" t="s">
        <v>110</v>
      </c>
      <c r="B702" s="601" t="s">
        <v>887</v>
      </c>
      <c r="C702" s="601" t="s">
        <v>40</v>
      </c>
      <c r="D702" s="601" t="s">
        <v>55</v>
      </c>
      <c r="E702" s="601" t="s">
        <v>56</v>
      </c>
      <c r="F702" s="602">
        <v>24834</v>
      </c>
      <c r="G702" s="602">
        <v>17861</v>
      </c>
      <c r="H702" s="602">
        <v>179</v>
      </c>
      <c r="I702" s="602">
        <v>0</v>
      </c>
      <c r="J702" s="602">
        <v>0</v>
      </c>
      <c r="K702" s="604" t="s">
        <v>560</v>
      </c>
      <c r="L702" s="604">
        <f t="shared" si="12"/>
        <v>12</v>
      </c>
    </row>
    <row r="703" spans="1:12" s="514" customFormat="1" ht="13" customHeight="1" x14ac:dyDescent="0.3">
      <c r="A703" s="599" t="s">
        <v>110</v>
      </c>
      <c r="B703" s="599" t="s">
        <v>887</v>
      </c>
      <c r="C703" s="599" t="s">
        <v>40</v>
      </c>
      <c r="D703" s="599" t="s">
        <v>4</v>
      </c>
      <c r="E703" s="599" t="s">
        <v>41</v>
      </c>
      <c r="F703" s="600">
        <v>248</v>
      </c>
      <c r="G703" s="600">
        <v>204</v>
      </c>
      <c r="H703" s="600">
        <v>2</v>
      </c>
      <c r="I703" s="600">
        <v>0</v>
      </c>
      <c r="J703" s="600">
        <v>0</v>
      </c>
      <c r="K703" s="604" t="s">
        <v>560</v>
      </c>
      <c r="L703" s="604">
        <f t="shared" si="12"/>
        <v>12</v>
      </c>
    </row>
    <row r="704" spans="1:12" s="514" customFormat="1" ht="13" customHeight="1" x14ac:dyDescent="0.3">
      <c r="A704" s="601" t="s">
        <v>110</v>
      </c>
      <c r="B704" s="601" t="s">
        <v>887</v>
      </c>
      <c r="C704" s="601" t="s">
        <v>40</v>
      </c>
      <c r="D704" s="601" t="s">
        <v>4</v>
      </c>
      <c r="E704" s="601" t="s">
        <v>43</v>
      </c>
      <c r="F704" s="602">
        <v>2107</v>
      </c>
      <c r="G704" s="602">
        <v>1084</v>
      </c>
      <c r="H704" s="602">
        <v>9</v>
      </c>
      <c r="I704" s="602">
        <v>2</v>
      </c>
      <c r="J704" s="602">
        <v>11380</v>
      </c>
      <c r="K704" s="604" t="s">
        <v>560</v>
      </c>
      <c r="L704" s="604">
        <f t="shared" si="12"/>
        <v>12</v>
      </c>
    </row>
    <row r="705" spans="1:12" s="514" customFormat="1" ht="13" customHeight="1" x14ac:dyDescent="0.3">
      <c r="A705" s="599" t="s">
        <v>110</v>
      </c>
      <c r="B705" s="599" t="s">
        <v>887</v>
      </c>
      <c r="C705" s="599" t="s">
        <v>40</v>
      </c>
      <c r="D705" s="599" t="s">
        <v>52</v>
      </c>
      <c r="E705" s="599" t="s">
        <v>67</v>
      </c>
      <c r="F705" s="600">
        <v>3</v>
      </c>
      <c r="G705" s="600">
        <v>3</v>
      </c>
      <c r="H705" s="600">
        <v>0</v>
      </c>
      <c r="I705" s="600">
        <v>0</v>
      </c>
      <c r="J705" s="600">
        <v>0</v>
      </c>
      <c r="K705" s="604" t="s">
        <v>560</v>
      </c>
      <c r="L705" s="604">
        <f t="shared" si="12"/>
        <v>12</v>
      </c>
    </row>
    <row r="706" spans="1:12" s="514" customFormat="1" ht="13" customHeight="1" x14ac:dyDescent="0.3">
      <c r="A706" s="601" t="s">
        <v>110</v>
      </c>
      <c r="B706" s="601" t="s">
        <v>887</v>
      </c>
      <c r="C706" s="601" t="s">
        <v>40</v>
      </c>
      <c r="D706" s="601" t="s">
        <v>57</v>
      </c>
      <c r="E706" s="601" t="s">
        <v>64</v>
      </c>
      <c r="F706" s="602">
        <v>471954</v>
      </c>
      <c r="G706" s="602">
        <v>427093</v>
      </c>
      <c r="H706" s="602">
        <v>3295</v>
      </c>
      <c r="I706" s="602">
        <v>227</v>
      </c>
      <c r="J706" s="602">
        <v>3099920</v>
      </c>
      <c r="K706" s="604" t="s">
        <v>560</v>
      </c>
      <c r="L706" s="604">
        <f t="shared" si="12"/>
        <v>12</v>
      </c>
    </row>
    <row r="707" spans="1:12" s="514" customFormat="1" ht="13" customHeight="1" x14ac:dyDescent="0.3">
      <c r="A707" s="601" t="s">
        <v>110</v>
      </c>
      <c r="B707" s="601" t="s">
        <v>887</v>
      </c>
      <c r="C707" s="601" t="s">
        <v>40</v>
      </c>
      <c r="D707" s="601" t="s">
        <v>52</v>
      </c>
      <c r="E707" s="601" t="s">
        <v>51</v>
      </c>
      <c r="F707" s="602">
        <v>4</v>
      </c>
      <c r="G707" s="602">
        <v>3</v>
      </c>
      <c r="H707" s="602">
        <v>0</v>
      </c>
      <c r="I707" s="602">
        <v>0</v>
      </c>
      <c r="J707" s="602">
        <v>0</v>
      </c>
      <c r="K707" s="604" t="s">
        <v>560</v>
      </c>
      <c r="L707" s="604">
        <f t="shared" si="12"/>
        <v>12</v>
      </c>
    </row>
    <row r="708" spans="1:12" s="514" customFormat="1" ht="13" customHeight="1" x14ac:dyDescent="0.3">
      <c r="A708" s="601" t="s">
        <v>110</v>
      </c>
      <c r="B708" s="601" t="s">
        <v>887</v>
      </c>
      <c r="C708" s="601" t="s">
        <v>40</v>
      </c>
      <c r="D708" s="601" t="s">
        <v>4</v>
      </c>
      <c r="E708" s="601" t="s">
        <v>42</v>
      </c>
      <c r="F708" s="602">
        <v>15</v>
      </c>
      <c r="G708" s="602">
        <v>10</v>
      </c>
      <c r="H708" s="602">
        <v>0</v>
      </c>
      <c r="I708" s="602">
        <v>0</v>
      </c>
      <c r="J708" s="602">
        <v>0</v>
      </c>
      <c r="K708" s="604" t="s">
        <v>560</v>
      </c>
      <c r="L708" s="604">
        <f t="shared" si="12"/>
        <v>12</v>
      </c>
    </row>
    <row r="709" spans="1:12" s="514" customFormat="1" ht="13" customHeight="1" x14ac:dyDescent="0.3">
      <c r="A709" s="599" t="s">
        <v>110</v>
      </c>
      <c r="B709" s="599" t="s">
        <v>887</v>
      </c>
      <c r="C709" s="599" t="s">
        <v>40</v>
      </c>
      <c r="D709" s="599" t="s">
        <v>52</v>
      </c>
      <c r="E709" s="599" t="s">
        <v>58</v>
      </c>
      <c r="F709" s="600">
        <v>7</v>
      </c>
      <c r="G709" s="600">
        <v>4</v>
      </c>
      <c r="H709" s="600">
        <v>0</v>
      </c>
      <c r="I709" s="600">
        <v>0</v>
      </c>
      <c r="J709" s="600">
        <v>0</v>
      </c>
      <c r="K709" s="604" t="s">
        <v>560</v>
      </c>
      <c r="L709" s="604">
        <f t="shared" si="12"/>
        <v>12</v>
      </c>
    </row>
    <row r="710" spans="1:12" s="514" customFormat="1" ht="13" customHeight="1" x14ac:dyDescent="0.3">
      <c r="A710" s="601" t="s">
        <v>110</v>
      </c>
      <c r="B710" s="601" t="s">
        <v>887</v>
      </c>
      <c r="C710" s="601" t="s">
        <v>40</v>
      </c>
      <c r="D710" s="601" t="s">
        <v>57</v>
      </c>
      <c r="E710" s="601" t="s">
        <v>65</v>
      </c>
      <c r="F710" s="602">
        <v>68632</v>
      </c>
      <c r="G710" s="602">
        <v>58807</v>
      </c>
      <c r="H710" s="602">
        <v>1134</v>
      </c>
      <c r="I710" s="602">
        <v>68</v>
      </c>
      <c r="J710" s="602">
        <v>915990</v>
      </c>
      <c r="K710" s="604" t="s">
        <v>560</v>
      </c>
      <c r="L710" s="604">
        <f t="shared" si="12"/>
        <v>12</v>
      </c>
    </row>
    <row r="711" spans="1:12" s="514" customFormat="1" ht="13" customHeight="1" x14ac:dyDescent="0.3">
      <c r="A711" s="599" t="s">
        <v>110</v>
      </c>
      <c r="B711" s="599" t="s">
        <v>887</v>
      </c>
      <c r="C711" s="599" t="s">
        <v>40</v>
      </c>
      <c r="D711" s="599" t="s">
        <v>55</v>
      </c>
      <c r="E711" s="599" t="s">
        <v>54</v>
      </c>
      <c r="F711" s="600">
        <v>5</v>
      </c>
      <c r="G711" s="600">
        <v>2</v>
      </c>
      <c r="H711" s="600">
        <v>0</v>
      </c>
      <c r="I711" s="600">
        <v>0</v>
      </c>
      <c r="J711" s="600">
        <v>0</v>
      </c>
      <c r="K711" s="604" t="s">
        <v>560</v>
      </c>
      <c r="L711" s="604">
        <f t="shared" si="12"/>
        <v>12</v>
      </c>
    </row>
    <row r="712" spans="1:12" s="514" customFormat="1" ht="13" customHeight="1" x14ac:dyDescent="0.3">
      <c r="A712" s="599" t="s">
        <v>110</v>
      </c>
      <c r="B712" s="599" t="s">
        <v>887</v>
      </c>
      <c r="C712" s="599" t="s">
        <v>40</v>
      </c>
      <c r="D712" s="599" t="s">
        <v>52</v>
      </c>
      <c r="E712" s="599" t="s">
        <v>61</v>
      </c>
      <c r="F712" s="600">
        <v>20755</v>
      </c>
      <c r="G712" s="600">
        <v>19011</v>
      </c>
      <c r="H712" s="600">
        <v>797</v>
      </c>
      <c r="I712" s="600">
        <v>42</v>
      </c>
      <c r="J712" s="600">
        <v>613870</v>
      </c>
      <c r="K712" s="604" t="s">
        <v>560</v>
      </c>
      <c r="L712" s="604">
        <f t="shared" si="12"/>
        <v>12</v>
      </c>
    </row>
    <row r="713" spans="1:12" s="514" customFormat="1" ht="13" customHeight="1" x14ac:dyDescent="0.3">
      <c r="A713" s="599" t="s">
        <v>110</v>
      </c>
      <c r="B713" s="599" t="s">
        <v>887</v>
      </c>
      <c r="C713" s="599" t="s">
        <v>40</v>
      </c>
      <c r="D713" s="599" t="s">
        <v>57</v>
      </c>
      <c r="E713" s="599" t="s">
        <v>63</v>
      </c>
      <c r="F713" s="600">
        <v>25</v>
      </c>
      <c r="G713" s="600">
        <v>13</v>
      </c>
      <c r="H713" s="600">
        <v>0</v>
      </c>
      <c r="I713" s="600">
        <v>0</v>
      </c>
      <c r="J713" s="600">
        <v>0</v>
      </c>
      <c r="K713" s="604" t="s">
        <v>560</v>
      </c>
      <c r="L713" s="604">
        <f t="shared" si="12"/>
        <v>12</v>
      </c>
    </row>
    <row r="714" spans="1:12" s="514" customFormat="1" ht="13" customHeight="1" x14ac:dyDescent="0.3">
      <c r="A714" s="599" t="s">
        <v>110</v>
      </c>
      <c r="B714" s="599" t="s">
        <v>887</v>
      </c>
      <c r="C714" s="599" t="s">
        <v>40</v>
      </c>
      <c r="D714" s="599" t="s">
        <v>52</v>
      </c>
      <c r="E714" s="599" t="s">
        <v>53</v>
      </c>
      <c r="F714" s="600">
        <v>60963</v>
      </c>
      <c r="G714" s="600">
        <v>57095</v>
      </c>
      <c r="H714" s="600">
        <v>0</v>
      </c>
      <c r="I714" s="600">
        <v>0</v>
      </c>
      <c r="J714" s="600">
        <v>0</v>
      </c>
      <c r="K714" s="604" t="s">
        <v>560</v>
      </c>
      <c r="L714" s="604">
        <f t="shared" si="12"/>
        <v>12</v>
      </c>
    </row>
    <row r="715" spans="1:12" s="514" customFormat="1" ht="13" customHeight="1" x14ac:dyDescent="0.3">
      <c r="A715" s="599" t="s">
        <v>110</v>
      </c>
      <c r="B715" s="599" t="s">
        <v>887</v>
      </c>
      <c r="C715" s="599" t="s">
        <v>6</v>
      </c>
      <c r="D715" s="599" t="s">
        <v>55</v>
      </c>
      <c r="E715" s="599" t="s">
        <v>54</v>
      </c>
      <c r="F715" s="600">
        <v>9554</v>
      </c>
      <c r="G715" s="600">
        <v>6687</v>
      </c>
      <c r="H715" s="600">
        <v>83</v>
      </c>
      <c r="I715" s="600">
        <v>0</v>
      </c>
      <c r="J715" s="600">
        <v>0</v>
      </c>
      <c r="K715" s="604" t="s">
        <v>560</v>
      </c>
      <c r="L715" s="604">
        <f t="shared" si="12"/>
        <v>12</v>
      </c>
    </row>
    <row r="716" spans="1:12" s="514" customFormat="1" ht="13" customHeight="1" x14ac:dyDescent="0.3">
      <c r="A716" s="601" t="s">
        <v>110</v>
      </c>
      <c r="B716" s="601" t="s">
        <v>887</v>
      </c>
      <c r="C716" s="601" t="s">
        <v>6</v>
      </c>
      <c r="D716" s="601" t="s">
        <v>57</v>
      </c>
      <c r="E716" s="601" t="s">
        <v>64</v>
      </c>
      <c r="F716" s="602">
        <v>308634</v>
      </c>
      <c r="G716" s="602">
        <v>287308</v>
      </c>
      <c r="H716" s="602">
        <v>1232</v>
      </c>
      <c r="I716" s="602">
        <v>95</v>
      </c>
      <c r="J716" s="602">
        <v>609475</v>
      </c>
      <c r="K716" s="604" t="s">
        <v>560</v>
      </c>
      <c r="L716" s="604">
        <f t="shared" si="12"/>
        <v>12</v>
      </c>
    </row>
    <row r="717" spans="1:12" s="514" customFormat="1" ht="13" customHeight="1" x14ac:dyDescent="0.3">
      <c r="A717" s="599" t="s">
        <v>110</v>
      </c>
      <c r="B717" s="599" t="s">
        <v>887</v>
      </c>
      <c r="C717" s="599" t="s">
        <v>6</v>
      </c>
      <c r="D717" s="599" t="s">
        <v>55</v>
      </c>
      <c r="E717" s="599" t="s">
        <v>66</v>
      </c>
      <c r="F717" s="600">
        <v>14</v>
      </c>
      <c r="G717" s="600">
        <v>11</v>
      </c>
      <c r="H717" s="600">
        <v>0</v>
      </c>
      <c r="I717" s="600">
        <v>0</v>
      </c>
      <c r="J717" s="600">
        <v>0</v>
      </c>
      <c r="K717" s="604" t="s">
        <v>560</v>
      </c>
      <c r="L717" s="604">
        <f t="shared" si="12"/>
        <v>12</v>
      </c>
    </row>
    <row r="718" spans="1:12" s="514" customFormat="1" ht="13" customHeight="1" x14ac:dyDescent="0.3">
      <c r="A718" s="601" t="s">
        <v>110</v>
      </c>
      <c r="B718" s="601" t="s">
        <v>887</v>
      </c>
      <c r="C718" s="601" t="s">
        <v>6</v>
      </c>
      <c r="D718" s="601" t="s">
        <v>4</v>
      </c>
      <c r="E718" s="601" t="s">
        <v>43</v>
      </c>
      <c r="F718" s="602">
        <v>4701</v>
      </c>
      <c r="G718" s="602">
        <v>2701</v>
      </c>
      <c r="H718" s="602">
        <v>75</v>
      </c>
      <c r="I718" s="602">
        <v>41</v>
      </c>
      <c r="J718" s="602">
        <v>133775</v>
      </c>
      <c r="K718" s="604" t="s">
        <v>560</v>
      </c>
      <c r="L718" s="604">
        <f t="shared" si="12"/>
        <v>12</v>
      </c>
    </row>
    <row r="719" spans="1:12" s="514" customFormat="1" ht="13" customHeight="1" x14ac:dyDescent="0.3">
      <c r="A719" s="599" t="s">
        <v>110</v>
      </c>
      <c r="B719" s="599" t="s">
        <v>887</v>
      </c>
      <c r="C719" s="599" t="s">
        <v>6</v>
      </c>
      <c r="D719" s="599" t="s">
        <v>52</v>
      </c>
      <c r="E719" s="599" t="s">
        <v>58</v>
      </c>
      <c r="F719" s="600">
        <v>4</v>
      </c>
      <c r="G719" s="600">
        <v>3</v>
      </c>
      <c r="H719" s="600">
        <v>0</v>
      </c>
      <c r="I719" s="600">
        <v>0</v>
      </c>
      <c r="J719" s="600">
        <v>0</v>
      </c>
      <c r="K719" s="604" t="s">
        <v>560</v>
      </c>
      <c r="L719" s="604">
        <f t="shared" si="12"/>
        <v>12</v>
      </c>
    </row>
    <row r="720" spans="1:12" s="514" customFormat="1" ht="13" customHeight="1" x14ac:dyDescent="0.3">
      <c r="A720" s="601" t="s">
        <v>110</v>
      </c>
      <c r="B720" s="601" t="s">
        <v>887</v>
      </c>
      <c r="C720" s="601" t="s">
        <v>6</v>
      </c>
      <c r="D720" s="601" t="s">
        <v>57</v>
      </c>
      <c r="E720" s="601" t="s">
        <v>63</v>
      </c>
      <c r="F720" s="602">
        <v>24954</v>
      </c>
      <c r="G720" s="602">
        <v>22758</v>
      </c>
      <c r="H720" s="602">
        <v>589</v>
      </c>
      <c r="I720" s="602">
        <v>85</v>
      </c>
      <c r="J720" s="602">
        <v>522441</v>
      </c>
      <c r="K720" s="604" t="s">
        <v>560</v>
      </c>
      <c r="L720" s="604">
        <f t="shared" si="12"/>
        <v>12</v>
      </c>
    </row>
    <row r="721" spans="1:12" s="514" customFormat="1" ht="13" customHeight="1" x14ac:dyDescent="0.3">
      <c r="A721" s="599" t="s">
        <v>110</v>
      </c>
      <c r="B721" s="599" t="s">
        <v>887</v>
      </c>
      <c r="C721" s="599" t="s">
        <v>6</v>
      </c>
      <c r="D721" s="599" t="s">
        <v>55</v>
      </c>
      <c r="E721" s="599" t="s">
        <v>56</v>
      </c>
      <c r="F721" s="600">
        <v>311</v>
      </c>
      <c r="G721" s="600">
        <v>184</v>
      </c>
      <c r="H721" s="600">
        <v>1</v>
      </c>
      <c r="I721" s="600">
        <v>0</v>
      </c>
      <c r="J721" s="600">
        <v>0</v>
      </c>
      <c r="K721" s="604" t="s">
        <v>560</v>
      </c>
      <c r="L721" s="604">
        <f t="shared" si="12"/>
        <v>12</v>
      </c>
    </row>
    <row r="722" spans="1:12" s="514" customFormat="1" ht="13" customHeight="1" x14ac:dyDescent="0.3">
      <c r="A722" s="599" t="s">
        <v>110</v>
      </c>
      <c r="B722" s="599" t="s">
        <v>887</v>
      </c>
      <c r="C722" s="599" t="s">
        <v>6</v>
      </c>
      <c r="D722" s="599" t="s">
        <v>52</v>
      </c>
      <c r="E722" s="599" t="s">
        <v>61</v>
      </c>
      <c r="F722" s="600">
        <v>1</v>
      </c>
      <c r="G722" s="600">
        <v>1</v>
      </c>
      <c r="H722" s="600">
        <v>0</v>
      </c>
      <c r="I722" s="600">
        <v>0</v>
      </c>
      <c r="J722" s="600">
        <v>0</v>
      </c>
      <c r="K722" s="604" t="s">
        <v>560</v>
      </c>
      <c r="L722" s="604">
        <f t="shared" si="12"/>
        <v>12</v>
      </c>
    </row>
    <row r="723" spans="1:12" s="514" customFormat="1" ht="13" customHeight="1" x14ac:dyDescent="0.3">
      <c r="A723" s="601" t="s">
        <v>110</v>
      </c>
      <c r="B723" s="601" t="s">
        <v>887</v>
      </c>
      <c r="C723" s="601" t="s">
        <v>6</v>
      </c>
      <c r="D723" s="601" t="s">
        <v>57</v>
      </c>
      <c r="E723" s="601" t="s">
        <v>65</v>
      </c>
      <c r="F723" s="602">
        <v>47916</v>
      </c>
      <c r="G723" s="602">
        <v>42284</v>
      </c>
      <c r="H723" s="602">
        <v>602</v>
      </c>
      <c r="I723" s="602">
        <v>81</v>
      </c>
      <c r="J723" s="602">
        <v>400787</v>
      </c>
      <c r="K723" s="604" t="s">
        <v>560</v>
      </c>
      <c r="L723" s="604">
        <f t="shared" si="12"/>
        <v>12</v>
      </c>
    </row>
    <row r="724" spans="1:12" s="514" customFormat="1" ht="13" customHeight="1" x14ac:dyDescent="0.3">
      <c r="A724" s="601" t="s">
        <v>110</v>
      </c>
      <c r="B724" s="601" t="s">
        <v>887</v>
      </c>
      <c r="C724" s="601" t="s">
        <v>6</v>
      </c>
      <c r="D724" s="601" t="s">
        <v>4</v>
      </c>
      <c r="E724" s="601" t="s">
        <v>41</v>
      </c>
      <c r="F724" s="602">
        <v>49</v>
      </c>
      <c r="G724" s="602">
        <v>30</v>
      </c>
      <c r="H724" s="602">
        <v>1</v>
      </c>
      <c r="I724" s="602">
        <v>0</v>
      </c>
      <c r="J724" s="602">
        <v>0</v>
      </c>
      <c r="K724" s="604" t="s">
        <v>560</v>
      </c>
      <c r="L724" s="604">
        <f t="shared" si="12"/>
        <v>12</v>
      </c>
    </row>
    <row r="725" spans="1:12" s="514" customFormat="1" ht="13" customHeight="1" x14ac:dyDescent="0.3">
      <c r="A725" s="601" t="s">
        <v>110</v>
      </c>
      <c r="B725" s="601" t="s">
        <v>887</v>
      </c>
      <c r="C725" s="601" t="s">
        <v>6</v>
      </c>
      <c r="D725" s="601" t="s">
        <v>4</v>
      </c>
      <c r="E725" s="601" t="s">
        <v>42</v>
      </c>
      <c r="F725" s="602">
        <v>4</v>
      </c>
      <c r="G725" s="602">
        <v>3</v>
      </c>
      <c r="H725" s="602">
        <v>0</v>
      </c>
      <c r="I725" s="602">
        <v>0</v>
      </c>
      <c r="J725" s="602">
        <v>0</v>
      </c>
      <c r="K725" s="604" t="s">
        <v>560</v>
      </c>
      <c r="L725" s="604">
        <f t="shared" si="12"/>
        <v>12</v>
      </c>
    </row>
    <row r="726" spans="1:12" s="514" customFormat="1" ht="13" customHeight="1" x14ac:dyDescent="0.3">
      <c r="A726" s="599" t="s">
        <v>110</v>
      </c>
      <c r="B726" s="599" t="s">
        <v>887</v>
      </c>
      <c r="C726" s="599" t="s">
        <v>7</v>
      </c>
      <c r="D726" s="599" t="s">
        <v>4</v>
      </c>
      <c r="E726" s="599" t="s">
        <v>41</v>
      </c>
      <c r="F726" s="600">
        <v>46</v>
      </c>
      <c r="G726" s="600">
        <v>26</v>
      </c>
      <c r="H726" s="600">
        <v>1</v>
      </c>
      <c r="I726" s="600">
        <v>0</v>
      </c>
      <c r="J726" s="600">
        <v>0</v>
      </c>
      <c r="K726" s="604" t="s">
        <v>560</v>
      </c>
      <c r="L726" s="604">
        <f t="shared" si="12"/>
        <v>12</v>
      </c>
    </row>
    <row r="727" spans="1:12" s="514" customFormat="1" ht="13" customHeight="1" x14ac:dyDescent="0.3">
      <c r="A727" s="601" t="s">
        <v>110</v>
      </c>
      <c r="B727" s="601" t="s">
        <v>887</v>
      </c>
      <c r="C727" s="601" t="s">
        <v>7</v>
      </c>
      <c r="D727" s="601" t="s">
        <v>52</v>
      </c>
      <c r="E727" s="601" t="s">
        <v>51</v>
      </c>
      <c r="F727" s="602">
        <v>22</v>
      </c>
      <c r="G727" s="602">
        <v>21</v>
      </c>
      <c r="H727" s="602">
        <v>0</v>
      </c>
      <c r="I727" s="602">
        <v>0</v>
      </c>
      <c r="J727" s="602">
        <v>0</v>
      </c>
      <c r="K727" s="604" t="s">
        <v>560</v>
      </c>
      <c r="L727" s="604">
        <f t="shared" si="12"/>
        <v>12</v>
      </c>
    </row>
    <row r="728" spans="1:12" s="514" customFormat="1" ht="13" customHeight="1" x14ac:dyDescent="0.3">
      <c r="A728" s="599" t="s">
        <v>110</v>
      </c>
      <c r="B728" s="599" t="s">
        <v>887</v>
      </c>
      <c r="C728" s="599" t="s">
        <v>7</v>
      </c>
      <c r="D728" s="599" t="s">
        <v>52</v>
      </c>
      <c r="E728" s="599" t="s">
        <v>58</v>
      </c>
      <c r="F728" s="600">
        <v>7</v>
      </c>
      <c r="G728" s="600">
        <v>5</v>
      </c>
      <c r="H728" s="600">
        <v>0</v>
      </c>
      <c r="I728" s="600">
        <v>0</v>
      </c>
      <c r="J728" s="600">
        <v>0</v>
      </c>
      <c r="K728" s="604" t="s">
        <v>560</v>
      </c>
      <c r="L728" s="604">
        <f t="shared" si="12"/>
        <v>12</v>
      </c>
    </row>
    <row r="729" spans="1:12" s="514" customFormat="1" ht="13" customHeight="1" x14ac:dyDescent="0.3">
      <c r="A729" s="601" t="s">
        <v>110</v>
      </c>
      <c r="B729" s="601" t="s">
        <v>887</v>
      </c>
      <c r="C729" s="601" t="s">
        <v>7</v>
      </c>
      <c r="D729" s="601" t="s">
        <v>57</v>
      </c>
      <c r="E729" s="601" t="s">
        <v>63</v>
      </c>
      <c r="F729" s="602">
        <v>11</v>
      </c>
      <c r="G729" s="602">
        <v>5</v>
      </c>
      <c r="H729" s="602">
        <v>0</v>
      </c>
      <c r="I729" s="602">
        <v>0</v>
      </c>
      <c r="J729" s="602">
        <v>0</v>
      </c>
      <c r="K729" s="604" t="s">
        <v>560</v>
      </c>
      <c r="L729" s="604">
        <f t="shared" si="12"/>
        <v>12</v>
      </c>
    </row>
    <row r="730" spans="1:12" s="514" customFormat="1" ht="13" customHeight="1" x14ac:dyDescent="0.3">
      <c r="A730" s="599" t="s">
        <v>110</v>
      </c>
      <c r="B730" s="599" t="s">
        <v>887</v>
      </c>
      <c r="C730" s="599" t="s">
        <v>7</v>
      </c>
      <c r="D730" s="599" t="s">
        <v>57</v>
      </c>
      <c r="E730" s="599" t="s">
        <v>64</v>
      </c>
      <c r="F730" s="600">
        <v>140236</v>
      </c>
      <c r="G730" s="600">
        <v>110348</v>
      </c>
      <c r="H730" s="600">
        <v>852</v>
      </c>
      <c r="I730" s="600">
        <v>60</v>
      </c>
      <c r="J730" s="600">
        <v>765500</v>
      </c>
      <c r="K730" s="604" t="s">
        <v>560</v>
      </c>
      <c r="L730" s="604">
        <f t="shared" si="12"/>
        <v>12</v>
      </c>
    </row>
    <row r="731" spans="1:12" s="514" customFormat="1" ht="13" customHeight="1" x14ac:dyDescent="0.3">
      <c r="A731" s="601" t="s">
        <v>110</v>
      </c>
      <c r="B731" s="601" t="s">
        <v>887</v>
      </c>
      <c r="C731" s="601" t="s">
        <v>7</v>
      </c>
      <c r="D731" s="601" t="s">
        <v>57</v>
      </c>
      <c r="E731" s="601" t="s">
        <v>65</v>
      </c>
      <c r="F731" s="602">
        <v>69425</v>
      </c>
      <c r="G731" s="602">
        <v>61303</v>
      </c>
      <c r="H731" s="602">
        <v>954</v>
      </c>
      <c r="I731" s="602">
        <v>70</v>
      </c>
      <c r="J731" s="602">
        <v>732880</v>
      </c>
      <c r="K731" s="604" t="s">
        <v>560</v>
      </c>
      <c r="L731" s="604">
        <f t="shared" si="12"/>
        <v>12</v>
      </c>
    </row>
    <row r="732" spans="1:12" s="514" customFormat="1" ht="13" customHeight="1" x14ac:dyDescent="0.3">
      <c r="A732" s="599" t="s">
        <v>110</v>
      </c>
      <c r="B732" s="599" t="s">
        <v>887</v>
      </c>
      <c r="C732" s="599" t="s">
        <v>7</v>
      </c>
      <c r="D732" s="599" t="s">
        <v>52</v>
      </c>
      <c r="E732" s="599" t="s">
        <v>61</v>
      </c>
      <c r="F732" s="600">
        <v>78624</v>
      </c>
      <c r="G732" s="600">
        <v>72835</v>
      </c>
      <c r="H732" s="600">
        <v>1697</v>
      </c>
      <c r="I732" s="600">
        <v>173</v>
      </c>
      <c r="J732" s="600">
        <v>2829880</v>
      </c>
      <c r="K732" s="604" t="s">
        <v>560</v>
      </c>
      <c r="L732" s="604">
        <f t="shared" si="12"/>
        <v>12</v>
      </c>
    </row>
    <row r="733" spans="1:12" s="514" customFormat="1" ht="13" customHeight="1" x14ac:dyDescent="0.3">
      <c r="A733" s="601" t="s">
        <v>110</v>
      </c>
      <c r="B733" s="601" t="s">
        <v>887</v>
      </c>
      <c r="C733" s="601" t="s">
        <v>7</v>
      </c>
      <c r="D733" s="601" t="s">
        <v>4</v>
      </c>
      <c r="E733" s="601" t="s">
        <v>43</v>
      </c>
      <c r="F733" s="602">
        <v>5064</v>
      </c>
      <c r="G733" s="602">
        <v>2780</v>
      </c>
      <c r="H733" s="602">
        <v>33</v>
      </c>
      <c r="I733" s="602">
        <v>9</v>
      </c>
      <c r="J733" s="602">
        <v>107100</v>
      </c>
      <c r="K733" s="604" t="s">
        <v>560</v>
      </c>
      <c r="L733" s="604">
        <f t="shared" ref="L733:L737" si="13">MONTH(B733)</f>
        <v>12</v>
      </c>
    </row>
    <row r="734" spans="1:12" s="514" customFormat="1" ht="13" customHeight="1" x14ac:dyDescent="0.3">
      <c r="A734" s="599" t="s">
        <v>110</v>
      </c>
      <c r="B734" s="599" t="s">
        <v>887</v>
      </c>
      <c r="C734" s="599" t="s">
        <v>7</v>
      </c>
      <c r="D734" s="599" t="s">
        <v>4</v>
      </c>
      <c r="E734" s="599" t="s">
        <v>42</v>
      </c>
      <c r="F734" s="600">
        <v>7</v>
      </c>
      <c r="G734" s="600">
        <v>2</v>
      </c>
      <c r="H734" s="600">
        <v>0</v>
      </c>
      <c r="I734" s="600">
        <v>0</v>
      </c>
      <c r="J734" s="600">
        <v>0</v>
      </c>
      <c r="K734" s="604" t="s">
        <v>560</v>
      </c>
      <c r="L734" s="604">
        <f t="shared" si="13"/>
        <v>12</v>
      </c>
    </row>
    <row r="735" spans="1:12" s="514" customFormat="1" ht="13" customHeight="1" x14ac:dyDescent="0.3">
      <c r="A735" s="601" t="s">
        <v>110</v>
      </c>
      <c r="B735" s="601" t="s">
        <v>887</v>
      </c>
      <c r="C735" s="601" t="s">
        <v>7</v>
      </c>
      <c r="D735" s="601" t="s">
        <v>55</v>
      </c>
      <c r="E735" s="601" t="s">
        <v>56</v>
      </c>
      <c r="F735" s="602">
        <v>24477</v>
      </c>
      <c r="G735" s="602">
        <v>12941</v>
      </c>
      <c r="H735" s="602">
        <v>6</v>
      </c>
      <c r="I735" s="602">
        <v>0</v>
      </c>
      <c r="J735" s="602">
        <v>0</v>
      </c>
      <c r="K735" s="604" t="s">
        <v>560</v>
      </c>
      <c r="L735" s="604">
        <f t="shared" si="13"/>
        <v>12</v>
      </c>
    </row>
    <row r="736" spans="1:12" s="514" customFormat="1" ht="13" customHeight="1" x14ac:dyDescent="0.3">
      <c r="A736" s="599" t="s">
        <v>110</v>
      </c>
      <c r="B736" s="599" t="s">
        <v>887</v>
      </c>
      <c r="C736" s="599" t="s">
        <v>7</v>
      </c>
      <c r="D736" s="599" t="s">
        <v>55</v>
      </c>
      <c r="E736" s="599" t="s">
        <v>54</v>
      </c>
      <c r="F736" s="600">
        <v>4</v>
      </c>
      <c r="G736" s="600">
        <v>2</v>
      </c>
      <c r="H736" s="600">
        <v>0</v>
      </c>
      <c r="I736" s="600">
        <v>0</v>
      </c>
      <c r="J736" s="600">
        <v>0</v>
      </c>
      <c r="K736" s="604" t="s">
        <v>560</v>
      </c>
      <c r="L736" s="604">
        <f t="shared" si="13"/>
        <v>12</v>
      </c>
    </row>
    <row r="737" spans="1:12" s="514" customFormat="1" ht="13" customHeight="1" x14ac:dyDescent="0.3">
      <c r="A737" s="601" t="s">
        <v>110</v>
      </c>
      <c r="B737" s="601" t="s">
        <v>887</v>
      </c>
      <c r="C737" s="601" t="s">
        <v>7</v>
      </c>
      <c r="D737" s="601" t="s">
        <v>55</v>
      </c>
      <c r="E737" s="601" t="s">
        <v>66</v>
      </c>
      <c r="F737" s="602">
        <v>6</v>
      </c>
      <c r="G737" s="602">
        <v>4</v>
      </c>
      <c r="H737" s="602">
        <v>0</v>
      </c>
      <c r="I737" s="602">
        <v>0</v>
      </c>
      <c r="J737" s="602">
        <v>0</v>
      </c>
      <c r="K737" s="604" t="s">
        <v>560</v>
      </c>
      <c r="L737" s="604">
        <f t="shared" si="13"/>
        <v>12</v>
      </c>
    </row>
    <row r="738" spans="1:12" s="514" customFormat="1" ht="13" customHeight="1" x14ac:dyDescent="0.3"/>
    <row r="739" spans="1:12" s="514" customFormat="1" ht="13" customHeight="1" x14ac:dyDescent="0.3"/>
    <row r="740" spans="1:12" s="514" customFormat="1" ht="13" customHeight="1" x14ac:dyDescent="0.3"/>
    <row r="741" spans="1:12" s="514" customFormat="1" ht="13" customHeight="1" x14ac:dyDescent="0.3"/>
    <row r="742" spans="1:12" s="514" customFormat="1" ht="13" customHeight="1" x14ac:dyDescent="0.3"/>
    <row r="743" spans="1:12" s="514" customFormat="1" ht="13" customHeight="1" x14ac:dyDescent="0.3"/>
    <row r="744" spans="1:12" s="514" customFormat="1" ht="13" customHeight="1" x14ac:dyDescent="0.3"/>
    <row r="745" spans="1:12" s="514" customFormat="1" ht="13" customHeight="1" x14ac:dyDescent="0.3"/>
    <row r="746" spans="1:12" s="514" customFormat="1" ht="13" customHeight="1" x14ac:dyDescent="0.3"/>
    <row r="747" spans="1:12" s="514" customFormat="1" ht="13" customHeight="1" x14ac:dyDescent="0.3"/>
    <row r="748" spans="1:12" s="514" customFormat="1" ht="13" customHeight="1" x14ac:dyDescent="0.3"/>
    <row r="749" spans="1:12" s="514" customFormat="1" ht="13" customHeight="1" x14ac:dyDescent="0.3"/>
    <row r="750" spans="1:12" s="514" customFormat="1" ht="13" customHeight="1" x14ac:dyDescent="0.3"/>
    <row r="751" spans="1:12" s="514" customFormat="1" ht="13" customHeight="1" x14ac:dyDescent="0.3"/>
    <row r="752" spans="1:12" s="514" customFormat="1" ht="13" customHeight="1" x14ac:dyDescent="0.3"/>
    <row r="753" s="514" customFormat="1" ht="13" customHeight="1" x14ac:dyDescent="0.3"/>
    <row r="754" s="514" customFormat="1" ht="13" customHeight="1" x14ac:dyDescent="0.3"/>
    <row r="755" s="514" customFormat="1" ht="13" customHeight="1" x14ac:dyDescent="0.3"/>
    <row r="756" s="514" customFormat="1" ht="13" customHeight="1" x14ac:dyDescent="0.3"/>
    <row r="757" s="514" customFormat="1" ht="13" customHeight="1" x14ac:dyDescent="0.3"/>
    <row r="758" s="514" customFormat="1" ht="13" customHeight="1" x14ac:dyDescent="0.3"/>
    <row r="759" s="514" customFormat="1" ht="13" customHeight="1" x14ac:dyDescent="0.3"/>
    <row r="760" s="514" customFormat="1" ht="13" customHeight="1" x14ac:dyDescent="0.3"/>
    <row r="761" s="514" customFormat="1" ht="13" customHeight="1" x14ac:dyDescent="0.3"/>
    <row r="762" s="514" customFormat="1" ht="13" customHeight="1" x14ac:dyDescent="0.3"/>
    <row r="763" s="514" customFormat="1" ht="13" customHeight="1" x14ac:dyDescent="0.3"/>
    <row r="764" s="514" customFormat="1" ht="13" customHeight="1" x14ac:dyDescent="0.3"/>
    <row r="765" s="514" customFormat="1" ht="13" customHeight="1" x14ac:dyDescent="0.3"/>
    <row r="766" s="514" customFormat="1" ht="13" customHeight="1" x14ac:dyDescent="0.3"/>
    <row r="767" s="514" customFormat="1" ht="13" customHeight="1" x14ac:dyDescent="0.3"/>
    <row r="768" s="514" customFormat="1" ht="13" customHeight="1" x14ac:dyDescent="0.3"/>
    <row r="769" s="514" customFormat="1" ht="13" customHeight="1" x14ac:dyDescent="0.3"/>
    <row r="770" s="514" customFormat="1" ht="13" customHeight="1" x14ac:dyDescent="0.3"/>
    <row r="771" s="514" customFormat="1" ht="13" customHeight="1" x14ac:dyDescent="0.3"/>
    <row r="772" s="514" customFormat="1" ht="13" customHeight="1" x14ac:dyDescent="0.3"/>
    <row r="773" s="514" customFormat="1" ht="13" customHeight="1" x14ac:dyDescent="0.3"/>
    <row r="774" s="514" customFormat="1" ht="13" customHeight="1" x14ac:dyDescent="0.3"/>
    <row r="775" s="514" customFormat="1" ht="13" customHeight="1" x14ac:dyDescent="0.3"/>
    <row r="776" s="514" customFormat="1" ht="13" customHeight="1" x14ac:dyDescent="0.3"/>
    <row r="777" s="514" customFormat="1" ht="13" customHeight="1" x14ac:dyDescent="0.3"/>
    <row r="778" s="514" customFormat="1" ht="13" customHeight="1" x14ac:dyDescent="0.3"/>
    <row r="779" s="514" customFormat="1" ht="13" customHeight="1" x14ac:dyDescent="0.3"/>
    <row r="780" s="514" customFormat="1" ht="13" customHeight="1" x14ac:dyDescent="0.3"/>
    <row r="781" s="514" customFormat="1" ht="13" customHeight="1" x14ac:dyDescent="0.3"/>
    <row r="782" s="514" customFormat="1" ht="13" customHeight="1" x14ac:dyDescent="0.3"/>
    <row r="783" s="514" customFormat="1" ht="13" customHeight="1" x14ac:dyDescent="0.3"/>
    <row r="784" s="514" customFormat="1" ht="13" customHeight="1" x14ac:dyDescent="0.3"/>
    <row r="785" s="514" customFormat="1" ht="13" customHeight="1" x14ac:dyDescent="0.3"/>
    <row r="786" s="514" customFormat="1" ht="13" customHeight="1" x14ac:dyDescent="0.3"/>
    <row r="787" s="514" customFormat="1" ht="13" customHeight="1" x14ac:dyDescent="0.3"/>
    <row r="788" s="514" customFormat="1" ht="13" customHeight="1" x14ac:dyDescent="0.3"/>
    <row r="789" s="514" customFormat="1" ht="13" customHeight="1" x14ac:dyDescent="0.3"/>
    <row r="790" s="514" customFormat="1" ht="13" customHeight="1" x14ac:dyDescent="0.3"/>
    <row r="791" s="514" customFormat="1" ht="13" customHeight="1" x14ac:dyDescent="0.3"/>
    <row r="792" s="514" customFormat="1" ht="13" customHeight="1" x14ac:dyDescent="0.3"/>
    <row r="793" s="514" customFormat="1" ht="13" customHeight="1" x14ac:dyDescent="0.3"/>
    <row r="794" s="514" customFormat="1" ht="13" customHeight="1" x14ac:dyDescent="0.3"/>
    <row r="795" s="514" customFormat="1" ht="13" customHeight="1" x14ac:dyDescent="0.3"/>
    <row r="796" s="514" customFormat="1" ht="13" customHeight="1" x14ac:dyDescent="0.3"/>
    <row r="797" s="514" customFormat="1" ht="13" customHeight="1" x14ac:dyDescent="0.3"/>
    <row r="798" s="514" customFormat="1" ht="13" customHeight="1" x14ac:dyDescent="0.3"/>
    <row r="799" s="514" customFormat="1" ht="13" customHeight="1" x14ac:dyDescent="0.3"/>
    <row r="800" s="514" customFormat="1" ht="13" customHeight="1" x14ac:dyDescent="0.3"/>
    <row r="801" s="514" customFormat="1" ht="13" customHeight="1" x14ac:dyDescent="0.3"/>
    <row r="802" s="514" customFormat="1" ht="13" customHeight="1" x14ac:dyDescent="0.3"/>
    <row r="803" s="514" customFormat="1" ht="13" customHeight="1" x14ac:dyDescent="0.3"/>
    <row r="804" s="514" customFormat="1" ht="13" customHeight="1" x14ac:dyDescent="0.3"/>
    <row r="805" s="514" customFormat="1" ht="13" customHeight="1" x14ac:dyDescent="0.3"/>
    <row r="806" s="514" customFormat="1" ht="13" customHeight="1" x14ac:dyDescent="0.3"/>
    <row r="807" s="514" customFormat="1" ht="13" customHeight="1" x14ac:dyDescent="0.3"/>
    <row r="808" s="514" customFormat="1" ht="13" customHeight="1" x14ac:dyDescent="0.3"/>
    <row r="809" s="514" customFormat="1" ht="13" customHeight="1" x14ac:dyDescent="0.3"/>
    <row r="810" s="514" customFormat="1" ht="13" customHeight="1" x14ac:dyDescent="0.3"/>
    <row r="811" s="514" customFormat="1" ht="13" customHeight="1" x14ac:dyDescent="0.3"/>
    <row r="812" s="514" customFormat="1" ht="13" customHeight="1" x14ac:dyDescent="0.3"/>
    <row r="813" s="514" customFormat="1" ht="13" customHeight="1" x14ac:dyDescent="0.3"/>
    <row r="814" s="514" customFormat="1" ht="13" customHeight="1" x14ac:dyDescent="0.3"/>
    <row r="815" s="514" customFormat="1" ht="13" customHeight="1" x14ac:dyDescent="0.3"/>
    <row r="816" s="514" customFormat="1" ht="13" customHeight="1" x14ac:dyDescent="0.3"/>
    <row r="817" s="514" customFormat="1" ht="13" customHeight="1" x14ac:dyDescent="0.3"/>
    <row r="818" s="514" customFormat="1" ht="13" customHeight="1" x14ac:dyDescent="0.3"/>
    <row r="819" s="514" customFormat="1" ht="13" customHeight="1" x14ac:dyDescent="0.3"/>
    <row r="820" s="514" customFormat="1" ht="13" customHeight="1" x14ac:dyDescent="0.3"/>
    <row r="821" s="514" customFormat="1" ht="13" customHeight="1" x14ac:dyDescent="0.3"/>
    <row r="822" s="514" customFormat="1" ht="13" customHeight="1" x14ac:dyDescent="0.3"/>
    <row r="823" s="514" customFormat="1" ht="13" customHeight="1" x14ac:dyDescent="0.3"/>
    <row r="824" s="514" customFormat="1" ht="13" customHeight="1" x14ac:dyDescent="0.3"/>
    <row r="825" s="514" customFormat="1" ht="13" customHeight="1" x14ac:dyDescent="0.3"/>
    <row r="826" s="514" customFormat="1" ht="13" customHeight="1" x14ac:dyDescent="0.3"/>
    <row r="827" s="514" customFormat="1" ht="13" customHeight="1" x14ac:dyDescent="0.3"/>
    <row r="828" s="514" customFormat="1" ht="13" customHeight="1" x14ac:dyDescent="0.3"/>
    <row r="829" s="514" customFormat="1" ht="13" customHeight="1" x14ac:dyDescent="0.3"/>
    <row r="830" s="514" customFormat="1" ht="13" customHeight="1" x14ac:dyDescent="0.3"/>
    <row r="831" s="514" customFormat="1" ht="13" customHeight="1" x14ac:dyDescent="0.3"/>
    <row r="832" s="514" customFormat="1" ht="13" customHeight="1" x14ac:dyDescent="0.3"/>
    <row r="833" s="514" customFormat="1" ht="13" customHeight="1" x14ac:dyDescent="0.3"/>
    <row r="834" s="514" customFormat="1" ht="13" customHeight="1" x14ac:dyDescent="0.3"/>
    <row r="835" s="514" customFormat="1" ht="13" customHeight="1" x14ac:dyDescent="0.3"/>
    <row r="836" s="514" customFormat="1" ht="13" customHeight="1" x14ac:dyDescent="0.3"/>
    <row r="837" s="514" customFormat="1" ht="13" customHeight="1" x14ac:dyDescent="0.3"/>
    <row r="838" s="514" customFormat="1" ht="13" customHeight="1" x14ac:dyDescent="0.3"/>
    <row r="839" s="514" customFormat="1" ht="13" customHeight="1" x14ac:dyDescent="0.3"/>
    <row r="840" s="514" customFormat="1" ht="13" customHeight="1" x14ac:dyDescent="0.3"/>
    <row r="841" s="514" customFormat="1" ht="13" customHeight="1" x14ac:dyDescent="0.3"/>
    <row r="842" s="514" customFormat="1" ht="13" customHeight="1" x14ac:dyDescent="0.3"/>
    <row r="843" s="514" customFormat="1" ht="13" customHeight="1" x14ac:dyDescent="0.3"/>
    <row r="844" s="514" customFormat="1" ht="13" customHeight="1" x14ac:dyDescent="0.3"/>
    <row r="845" s="514" customFormat="1" ht="13" customHeight="1" x14ac:dyDescent="0.3"/>
    <row r="846" s="514" customFormat="1" ht="13" customHeight="1" x14ac:dyDescent="0.3"/>
    <row r="847" s="514" customFormat="1" ht="13" customHeight="1" x14ac:dyDescent="0.3"/>
    <row r="848" s="514" customFormat="1" ht="13" customHeight="1" x14ac:dyDescent="0.3"/>
    <row r="849" s="514" customFormat="1" ht="13" customHeight="1" x14ac:dyDescent="0.3"/>
    <row r="850" s="514" customFormat="1" ht="13" customHeight="1" x14ac:dyDescent="0.3"/>
    <row r="851" s="514" customFormat="1" ht="13" customHeight="1" x14ac:dyDescent="0.3"/>
    <row r="852" s="514" customFormat="1" ht="13" customHeight="1" x14ac:dyDescent="0.3"/>
    <row r="853" s="514" customFormat="1" ht="13" customHeight="1" x14ac:dyDescent="0.3"/>
    <row r="854" s="514" customFormat="1" ht="13" customHeight="1" x14ac:dyDescent="0.3"/>
    <row r="855" s="514" customFormat="1" ht="13" customHeight="1" x14ac:dyDescent="0.3"/>
    <row r="856" s="514" customFormat="1" ht="13" customHeight="1" x14ac:dyDescent="0.3"/>
    <row r="857" s="514" customFormat="1" ht="13" customHeight="1" x14ac:dyDescent="0.3"/>
    <row r="858" s="514" customFormat="1" ht="13" customHeight="1" x14ac:dyDescent="0.3"/>
    <row r="859" s="514" customFormat="1" ht="13" customHeight="1" x14ac:dyDescent="0.3"/>
    <row r="860" s="514" customFormat="1" ht="13" customHeight="1" x14ac:dyDescent="0.3"/>
    <row r="861" s="514" customFormat="1" ht="13" customHeight="1" x14ac:dyDescent="0.3"/>
    <row r="862" s="514" customFormat="1" ht="13" customHeight="1" x14ac:dyDescent="0.3"/>
    <row r="863" s="514" customFormat="1" ht="13" customHeight="1" x14ac:dyDescent="0.3"/>
    <row r="864" s="514" customFormat="1" ht="13" customHeight="1" x14ac:dyDescent="0.3"/>
    <row r="865" s="514" customFormat="1" ht="13" customHeight="1" x14ac:dyDescent="0.3"/>
    <row r="866" s="514" customFormat="1" ht="13" customHeight="1" x14ac:dyDescent="0.3"/>
    <row r="867" s="514" customFormat="1" ht="13" customHeight="1" x14ac:dyDescent="0.3"/>
    <row r="868" s="514" customFormat="1" ht="13" customHeight="1" x14ac:dyDescent="0.3"/>
    <row r="869" s="514" customFormat="1" ht="13" customHeight="1" x14ac:dyDescent="0.3"/>
    <row r="870" s="514" customFormat="1" ht="13" customHeight="1" x14ac:dyDescent="0.3"/>
    <row r="871" s="514" customFormat="1" ht="13" customHeight="1" x14ac:dyDescent="0.3"/>
    <row r="872" s="514" customFormat="1" ht="13" customHeight="1" x14ac:dyDescent="0.3"/>
    <row r="873" s="514" customFormat="1" ht="13" customHeight="1" x14ac:dyDescent="0.3"/>
    <row r="874" s="514" customFormat="1" ht="13" customHeight="1" x14ac:dyDescent="0.3"/>
    <row r="875" s="514" customFormat="1" ht="13" customHeight="1" x14ac:dyDescent="0.3"/>
    <row r="876" s="514" customFormat="1" ht="13" customHeight="1" x14ac:dyDescent="0.3"/>
    <row r="877" s="514" customFormat="1" ht="13" customHeight="1" x14ac:dyDescent="0.3"/>
    <row r="878" s="514" customFormat="1" ht="13" customHeight="1" x14ac:dyDescent="0.3"/>
    <row r="879" s="514" customFormat="1" ht="13" customHeight="1" x14ac:dyDescent="0.3"/>
    <row r="880" s="514" customFormat="1" ht="13" customHeight="1" x14ac:dyDescent="0.3"/>
    <row r="881" s="514" customFormat="1" ht="13" customHeight="1" x14ac:dyDescent="0.3"/>
    <row r="882" s="514" customFormat="1" ht="13" customHeight="1" x14ac:dyDescent="0.3"/>
    <row r="883" s="514" customFormat="1" ht="13" customHeight="1" x14ac:dyDescent="0.3"/>
    <row r="884" s="514" customFormat="1" ht="13" customHeight="1" x14ac:dyDescent="0.3"/>
    <row r="885" s="514" customFormat="1" ht="13" customHeight="1" x14ac:dyDescent="0.3"/>
    <row r="886" s="514" customFormat="1" ht="13" customHeight="1" x14ac:dyDescent="0.3"/>
    <row r="887" s="514" customFormat="1" ht="13" customHeight="1" x14ac:dyDescent="0.3"/>
    <row r="888" s="514" customFormat="1" ht="13" customHeight="1" x14ac:dyDescent="0.3"/>
    <row r="889" s="514" customFormat="1" ht="13" customHeight="1" x14ac:dyDescent="0.3"/>
    <row r="890" s="514" customFormat="1" ht="13" customHeight="1" x14ac:dyDescent="0.3"/>
    <row r="891" s="514" customFormat="1" ht="13" customHeight="1" x14ac:dyDescent="0.3"/>
    <row r="892" s="514" customFormat="1" ht="13" customHeight="1" x14ac:dyDescent="0.3"/>
    <row r="893" s="514" customFormat="1" ht="13" customHeight="1" x14ac:dyDescent="0.3"/>
    <row r="894" s="514" customFormat="1" ht="13" customHeight="1" x14ac:dyDescent="0.3"/>
    <row r="895" s="514" customFormat="1" ht="13" customHeight="1" x14ac:dyDescent="0.3"/>
    <row r="896" s="514" customFormat="1" ht="13" customHeight="1" x14ac:dyDescent="0.3"/>
    <row r="897" s="514" customFormat="1" ht="13" customHeight="1" x14ac:dyDescent="0.3"/>
    <row r="898" s="514" customFormat="1" ht="13" customHeight="1" x14ac:dyDescent="0.3"/>
    <row r="899" s="514" customFormat="1" ht="13" customHeight="1" x14ac:dyDescent="0.3"/>
    <row r="900" s="514" customFormat="1" ht="13" customHeight="1" x14ac:dyDescent="0.3"/>
    <row r="901" s="514" customFormat="1" ht="13" customHeight="1" x14ac:dyDescent="0.3"/>
    <row r="902" s="514" customFormat="1" ht="13" customHeight="1" x14ac:dyDescent="0.3"/>
    <row r="903" s="514" customFormat="1" ht="13" customHeight="1" x14ac:dyDescent="0.3"/>
    <row r="904" s="514" customFormat="1" ht="13" customHeight="1" x14ac:dyDescent="0.3"/>
    <row r="905" s="514" customFormat="1" ht="13" customHeight="1" x14ac:dyDescent="0.3"/>
    <row r="906" s="514" customFormat="1" ht="13" customHeight="1" x14ac:dyDescent="0.3"/>
    <row r="907" s="514" customFormat="1" ht="13" customHeight="1" x14ac:dyDescent="0.3"/>
    <row r="908" s="514" customFormat="1" ht="13" customHeight="1" x14ac:dyDescent="0.3"/>
    <row r="909" s="514" customFormat="1" ht="13" customHeight="1" x14ac:dyDescent="0.3"/>
    <row r="910" s="514" customFormat="1" ht="13" customHeight="1" x14ac:dyDescent="0.3"/>
    <row r="911" s="514" customFormat="1" ht="13" customHeight="1" x14ac:dyDescent="0.3"/>
    <row r="912" s="514" customFormat="1" ht="13" customHeight="1" x14ac:dyDescent="0.3"/>
    <row r="913" s="514" customFormat="1" ht="13" customHeight="1" x14ac:dyDescent="0.3"/>
    <row r="914" s="514" customFormat="1" ht="13" customHeight="1" x14ac:dyDescent="0.3"/>
    <row r="915" s="514" customFormat="1" ht="13" customHeight="1" x14ac:dyDescent="0.3"/>
    <row r="916" s="514" customFormat="1" ht="13" customHeight="1" x14ac:dyDescent="0.3"/>
    <row r="917" s="514" customFormat="1" ht="13" customHeight="1" x14ac:dyDescent="0.3"/>
    <row r="918" s="514" customFormat="1" ht="13" customHeight="1" x14ac:dyDescent="0.3"/>
    <row r="919" s="514" customFormat="1" ht="13" customHeight="1" x14ac:dyDescent="0.3"/>
    <row r="920" s="514" customFormat="1" ht="13" customHeight="1" x14ac:dyDescent="0.3"/>
    <row r="921" s="514" customFormat="1" ht="13" customHeight="1" x14ac:dyDescent="0.3"/>
    <row r="922" s="514" customFormat="1" ht="13" customHeight="1" x14ac:dyDescent="0.3"/>
    <row r="923" s="514" customFormat="1" ht="13" customHeight="1" x14ac:dyDescent="0.3"/>
    <row r="924" s="514" customFormat="1" ht="13" customHeight="1" x14ac:dyDescent="0.3"/>
    <row r="925" s="514" customFormat="1" ht="13" customHeight="1" x14ac:dyDescent="0.3"/>
    <row r="926" s="514" customFormat="1" ht="13" customHeight="1" x14ac:dyDescent="0.3"/>
    <row r="927" s="514" customFormat="1" ht="13" customHeight="1" x14ac:dyDescent="0.3"/>
    <row r="928" s="514" customFormat="1" ht="13" customHeight="1" x14ac:dyDescent="0.3"/>
    <row r="929" s="514" customFormat="1" ht="13" customHeight="1" x14ac:dyDescent="0.3"/>
    <row r="930" s="514" customFormat="1" ht="13" customHeight="1" x14ac:dyDescent="0.3"/>
    <row r="931" s="514" customFormat="1" ht="13" customHeight="1" x14ac:dyDescent="0.3"/>
    <row r="932" s="514" customFormat="1" ht="13" customHeight="1" x14ac:dyDescent="0.3"/>
    <row r="933" s="514" customFormat="1" ht="13" customHeight="1" x14ac:dyDescent="0.3"/>
    <row r="934" s="514" customFormat="1" ht="13" customHeight="1" x14ac:dyDescent="0.3"/>
    <row r="935" s="514" customFormat="1" ht="13" customHeight="1" x14ac:dyDescent="0.3"/>
    <row r="936" s="514" customFormat="1" ht="13" customHeight="1" x14ac:dyDescent="0.3"/>
    <row r="937" s="514" customFormat="1" ht="13" customHeight="1" x14ac:dyDescent="0.3"/>
    <row r="938" s="514" customFormat="1" ht="13" customHeight="1" x14ac:dyDescent="0.3"/>
    <row r="939" s="514" customFormat="1" ht="13" customHeight="1" x14ac:dyDescent="0.3"/>
    <row r="940" s="514" customFormat="1" ht="13" customHeight="1" x14ac:dyDescent="0.3"/>
    <row r="941" s="514" customFormat="1" ht="13" customHeight="1" x14ac:dyDescent="0.3"/>
    <row r="942" s="514" customFormat="1" ht="13" customHeight="1" x14ac:dyDescent="0.3"/>
    <row r="943" s="514" customFormat="1" ht="13" customHeight="1" x14ac:dyDescent="0.3"/>
    <row r="944" s="514" customFormat="1" ht="13" customHeight="1" x14ac:dyDescent="0.3"/>
    <row r="945" s="514" customFormat="1" ht="13" customHeight="1" x14ac:dyDescent="0.3"/>
    <row r="946" s="514" customFormat="1" ht="13" customHeight="1" x14ac:dyDescent="0.3"/>
    <row r="947" s="514" customFormat="1" ht="13" customHeight="1" x14ac:dyDescent="0.3"/>
    <row r="948" s="514" customFormat="1" ht="13" customHeight="1" x14ac:dyDescent="0.3"/>
    <row r="949" s="514" customFormat="1" ht="13" customHeight="1" x14ac:dyDescent="0.3"/>
    <row r="950" s="514" customFormat="1" ht="13" customHeight="1" x14ac:dyDescent="0.3"/>
    <row r="951" s="514" customFormat="1" ht="13" customHeight="1" x14ac:dyDescent="0.3"/>
    <row r="952" s="514" customFormat="1" ht="13" customHeight="1" x14ac:dyDescent="0.3"/>
    <row r="953" s="514" customFormat="1" ht="13" customHeight="1" x14ac:dyDescent="0.3"/>
    <row r="954" s="514" customFormat="1" ht="13" customHeight="1" x14ac:dyDescent="0.3"/>
    <row r="955" s="514" customFormat="1" ht="13" customHeight="1" x14ac:dyDescent="0.3"/>
    <row r="956" s="514" customFormat="1" ht="13" customHeight="1" x14ac:dyDescent="0.3"/>
    <row r="957" s="514" customFormat="1" ht="13" customHeight="1" x14ac:dyDescent="0.3"/>
    <row r="958" s="514" customFormat="1" ht="13" customHeight="1" x14ac:dyDescent="0.3"/>
    <row r="959" s="514" customFormat="1" ht="13" customHeight="1" x14ac:dyDescent="0.3"/>
    <row r="960" s="514" customFormat="1" ht="13" customHeight="1" x14ac:dyDescent="0.3"/>
    <row r="961" s="514" customFormat="1" ht="13" customHeight="1" x14ac:dyDescent="0.3"/>
    <row r="962" s="514" customFormat="1" ht="13" customHeight="1" x14ac:dyDescent="0.3"/>
    <row r="963" s="514" customFormat="1" ht="13" customHeight="1" x14ac:dyDescent="0.3"/>
    <row r="964" s="514" customFormat="1" ht="13" customHeight="1" x14ac:dyDescent="0.3"/>
    <row r="965" s="514" customFormat="1" ht="13" customHeight="1" x14ac:dyDescent="0.3"/>
    <row r="966" s="514" customFormat="1" ht="13" customHeight="1" x14ac:dyDescent="0.3"/>
    <row r="967" s="514" customFormat="1" ht="13" customHeight="1" x14ac:dyDescent="0.3"/>
    <row r="968" s="514" customFormat="1" ht="13" customHeight="1" x14ac:dyDescent="0.3"/>
    <row r="969" s="514" customFormat="1" ht="13" customHeight="1" x14ac:dyDescent="0.3"/>
    <row r="970" s="514" customFormat="1" ht="13" customHeight="1" x14ac:dyDescent="0.3"/>
    <row r="971" s="514" customFormat="1" ht="13" customHeight="1" x14ac:dyDescent="0.3"/>
    <row r="972" s="514" customFormat="1" ht="13" customHeight="1" x14ac:dyDescent="0.3"/>
    <row r="973" s="514" customFormat="1" ht="13" customHeight="1" x14ac:dyDescent="0.3"/>
    <row r="974" s="514" customFormat="1" ht="13" customHeight="1" x14ac:dyDescent="0.3"/>
    <row r="975" s="514" customFormat="1" ht="13" customHeight="1" x14ac:dyDescent="0.3"/>
    <row r="976" s="514" customFormat="1" ht="13" customHeight="1" x14ac:dyDescent="0.3"/>
    <row r="977" s="514" customFormat="1" ht="13" customHeight="1" x14ac:dyDescent="0.3"/>
    <row r="978" s="514" customFormat="1" ht="13" customHeight="1" x14ac:dyDescent="0.3"/>
    <row r="979" s="514" customFormat="1" ht="13" customHeight="1" x14ac:dyDescent="0.3"/>
    <row r="980" s="514" customFormat="1" ht="13" customHeight="1" x14ac:dyDescent="0.3"/>
    <row r="981" s="514" customFormat="1" ht="13" customHeight="1" x14ac:dyDescent="0.3"/>
    <row r="982" s="514" customFormat="1" ht="13" customHeight="1" x14ac:dyDescent="0.3"/>
    <row r="983" s="514" customFormat="1" ht="13" customHeight="1" x14ac:dyDescent="0.3"/>
    <row r="984" s="514" customFormat="1" ht="13" customHeight="1" x14ac:dyDescent="0.3"/>
    <row r="985" s="514" customFormat="1" ht="13" customHeight="1" x14ac:dyDescent="0.3"/>
    <row r="986" s="514" customFormat="1" ht="13" customHeight="1" x14ac:dyDescent="0.3"/>
    <row r="987" s="514" customFormat="1" ht="13" customHeight="1" x14ac:dyDescent="0.3"/>
    <row r="988" s="514" customFormat="1" ht="13" customHeight="1" x14ac:dyDescent="0.3"/>
    <row r="989" s="514" customFormat="1" ht="13" customHeight="1" x14ac:dyDescent="0.3"/>
    <row r="990" s="514" customFormat="1" ht="13" customHeight="1" x14ac:dyDescent="0.3"/>
    <row r="991" s="514" customFormat="1" ht="13" customHeight="1" x14ac:dyDescent="0.3"/>
    <row r="992" s="514" customFormat="1" ht="13" customHeight="1" x14ac:dyDescent="0.3"/>
    <row r="993" s="514" customFormat="1" ht="13" customHeight="1" x14ac:dyDescent="0.3"/>
    <row r="994" s="514" customFormat="1" ht="13" customHeight="1" x14ac:dyDescent="0.3"/>
    <row r="995" s="514" customFormat="1" ht="13" customHeight="1" x14ac:dyDescent="0.3"/>
    <row r="996" s="514" customFormat="1" ht="13" customHeight="1" x14ac:dyDescent="0.3"/>
    <row r="997" s="514" customFormat="1" ht="13" customHeight="1" x14ac:dyDescent="0.3"/>
    <row r="998" s="514" customFormat="1" ht="13" customHeight="1" x14ac:dyDescent="0.3"/>
    <row r="999" s="514" customFormat="1" ht="13" customHeight="1" x14ac:dyDescent="0.3"/>
    <row r="1000" s="514" customFormat="1" ht="13" customHeight="1" x14ac:dyDescent="0.3"/>
    <row r="1001" s="514" customFormat="1" ht="13" customHeight="1" x14ac:dyDescent="0.3"/>
    <row r="1002" s="514" customFormat="1" ht="13" customHeight="1" x14ac:dyDescent="0.3"/>
    <row r="1003" s="514" customFormat="1" ht="13" customHeight="1" x14ac:dyDescent="0.3"/>
    <row r="1004" s="514" customFormat="1" ht="13" customHeight="1" x14ac:dyDescent="0.3"/>
    <row r="1005" s="514" customFormat="1" ht="13" customHeight="1" x14ac:dyDescent="0.3"/>
    <row r="1006" s="514" customFormat="1" ht="13" customHeight="1" x14ac:dyDescent="0.3"/>
    <row r="1007" s="514" customFormat="1" ht="13" customHeight="1" x14ac:dyDescent="0.3"/>
    <row r="1008" s="514" customFormat="1" ht="13" customHeight="1" x14ac:dyDescent="0.3"/>
    <row r="1009" s="514" customFormat="1" ht="13" customHeight="1" x14ac:dyDescent="0.3"/>
    <row r="1010" s="514" customFormat="1" ht="13" customHeight="1" x14ac:dyDescent="0.3"/>
    <row r="1011" s="514" customFormat="1" ht="13" customHeight="1" x14ac:dyDescent="0.3"/>
    <row r="1012" s="514" customFormat="1" ht="13" customHeight="1" x14ac:dyDescent="0.3"/>
    <row r="1013" s="514" customFormat="1" ht="13" customHeight="1" x14ac:dyDescent="0.3"/>
    <row r="1014" s="514" customFormat="1" ht="13" customHeight="1" x14ac:dyDescent="0.3"/>
    <row r="1015" s="514" customFormat="1" ht="13" customHeight="1" x14ac:dyDescent="0.3"/>
    <row r="1016" s="514" customFormat="1" ht="13" customHeight="1" x14ac:dyDescent="0.3"/>
    <row r="1017" s="514" customFormat="1" ht="13" customHeight="1" x14ac:dyDescent="0.3"/>
    <row r="1018" s="514" customFormat="1" ht="13" customHeight="1" x14ac:dyDescent="0.3"/>
    <row r="1019" s="514" customFormat="1" ht="13" customHeight="1" x14ac:dyDescent="0.3"/>
    <row r="1020" s="514" customFormat="1" ht="13" customHeight="1" x14ac:dyDescent="0.3"/>
    <row r="1021" s="514" customFormat="1" ht="13" customHeight="1" x14ac:dyDescent="0.3"/>
    <row r="1022" s="514" customFormat="1" ht="13" customHeight="1" x14ac:dyDescent="0.3"/>
    <row r="1023" s="514" customFormat="1" ht="13" customHeight="1" x14ac:dyDescent="0.3"/>
    <row r="1024" s="514" customFormat="1" ht="13" customHeight="1" x14ac:dyDescent="0.3"/>
    <row r="1025" s="514" customFormat="1" ht="13" customHeight="1" x14ac:dyDescent="0.3"/>
    <row r="1026" s="514" customFormat="1" ht="13" customHeight="1" x14ac:dyDescent="0.3"/>
    <row r="1027" s="514" customFormat="1" ht="13" customHeight="1" x14ac:dyDescent="0.3"/>
    <row r="1028" s="514" customFormat="1" ht="13" customHeight="1" x14ac:dyDescent="0.3"/>
    <row r="1029" s="514" customFormat="1" ht="13" customHeight="1" x14ac:dyDescent="0.3"/>
    <row r="1030" s="514" customFormat="1" ht="13" customHeight="1" x14ac:dyDescent="0.3"/>
    <row r="1031" s="514" customFormat="1" ht="13" customHeight="1" x14ac:dyDescent="0.3"/>
    <row r="1032" s="514" customFormat="1" ht="13" customHeight="1" x14ac:dyDescent="0.3"/>
    <row r="1033" s="514" customFormat="1" ht="13" customHeight="1" x14ac:dyDescent="0.3"/>
    <row r="1034" s="514" customFormat="1" ht="13" customHeight="1" x14ac:dyDescent="0.3"/>
    <row r="1035" s="514" customFormat="1" ht="13" customHeight="1" x14ac:dyDescent="0.3"/>
    <row r="1036" s="514" customFormat="1" ht="13" customHeight="1" x14ac:dyDescent="0.3"/>
    <row r="1037" s="514" customFormat="1" ht="13" customHeight="1" x14ac:dyDescent="0.3"/>
    <row r="1038" s="514" customFormat="1" ht="13" customHeight="1" x14ac:dyDescent="0.3"/>
    <row r="1039" s="514" customFormat="1" ht="13" customHeight="1" x14ac:dyDescent="0.3"/>
    <row r="1040" s="514" customFormat="1" ht="13" customHeight="1" x14ac:dyDescent="0.3"/>
    <row r="1041" s="514" customFormat="1" ht="13" customHeight="1" x14ac:dyDescent="0.3"/>
    <row r="1042" s="514" customFormat="1" ht="13" customHeight="1" x14ac:dyDescent="0.3"/>
    <row r="1043" s="514" customFormat="1" ht="13" customHeight="1" x14ac:dyDescent="0.3"/>
    <row r="1044" s="514" customFormat="1" ht="13" customHeight="1" x14ac:dyDescent="0.3"/>
    <row r="1045" s="514" customFormat="1" ht="13" customHeight="1" x14ac:dyDescent="0.3"/>
    <row r="1046" s="514" customFormat="1" ht="13" customHeight="1" x14ac:dyDescent="0.3"/>
    <row r="1047" s="514" customFormat="1" ht="13" customHeight="1" x14ac:dyDescent="0.3"/>
    <row r="1048" s="514" customFormat="1" ht="13" customHeight="1" x14ac:dyDescent="0.3"/>
    <row r="1049" s="514" customFormat="1" ht="13" customHeight="1" x14ac:dyDescent="0.3"/>
    <row r="1050" s="514" customFormat="1" ht="13" customHeight="1" x14ac:dyDescent="0.3"/>
    <row r="1051" s="514" customFormat="1" ht="13" customHeight="1" x14ac:dyDescent="0.3"/>
    <row r="1052" s="514" customFormat="1" ht="13" customHeight="1" x14ac:dyDescent="0.3"/>
    <row r="1053" s="514" customFormat="1" ht="13" customHeight="1" x14ac:dyDescent="0.3"/>
    <row r="1054" s="514" customFormat="1" ht="13" customHeight="1" x14ac:dyDescent="0.3"/>
    <row r="1055" s="514" customFormat="1" ht="13" customHeight="1" x14ac:dyDescent="0.3"/>
    <row r="1056" s="514" customFormat="1" ht="13" customHeight="1" x14ac:dyDescent="0.3"/>
    <row r="1057" s="514" customFormat="1" ht="13" customHeight="1" x14ac:dyDescent="0.3"/>
    <row r="1058" s="514" customFormat="1" ht="13" customHeight="1" x14ac:dyDescent="0.3"/>
    <row r="1059" s="514" customFormat="1" ht="13" customHeight="1" x14ac:dyDescent="0.3"/>
    <row r="1060" s="514" customFormat="1" ht="13" customHeight="1" x14ac:dyDescent="0.3"/>
    <row r="1061" s="514" customFormat="1" ht="13" customHeight="1" x14ac:dyDescent="0.3"/>
    <row r="1062" s="514" customFormat="1" ht="13" customHeight="1" x14ac:dyDescent="0.3"/>
    <row r="1063" s="514" customFormat="1" ht="13" customHeight="1" x14ac:dyDescent="0.3"/>
    <row r="1064" s="514" customFormat="1" ht="13" customHeight="1" x14ac:dyDescent="0.3"/>
    <row r="1065" s="514" customFormat="1" ht="13" customHeight="1" x14ac:dyDescent="0.3"/>
    <row r="1066" s="514" customFormat="1" ht="13" customHeight="1" x14ac:dyDescent="0.3"/>
    <row r="1067" s="514" customFormat="1" ht="13" customHeight="1" x14ac:dyDescent="0.3"/>
    <row r="1068" s="514" customFormat="1" ht="13" customHeight="1" x14ac:dyDescent="0.3"/>
    <row r="1069" s="514" customFormat="1" ht="13" customHeight="1" x14ac:dyDescent="0.3"/>
    <row r="1070" s="514" customFormat="1" ht="13" customHeight="1" x14ac:dyDescent="0.3"/>
    <row r="1071" s="514" customFormat="1" ht="13" customHeight="1" x14ac:dyDescent="0.3"/>
    <row r="1072" s="514" customFormat="1" ht="13" customHeight="1" x14ac:dyDescent="0.3"/>
    <row r="1073" s="514" customFormat="1" ht="13" customHeight="1" x14ac:dyDescent="0.3"/>
    <row r="1074" s="514" customFormat="1" ht="13" customHeight="1" x14ac:dyDescent="0.3"/>
    <row r="1075" s="514" customFormat="1" ht="13" customHeight="1" x14ac:dyDescent="0.3"/>
    <row r="1076" s="514" customFormat="1" ht="13" customHeight="1" x14ac:dyDescent="0.3"/>
    <row r="1077" s="514" customFormat="1" ht="13" customHeight="1" x14ac:dyDescent="0.3"/>
    <row r="1078" s="514" customFormat="1" ht="13" customHeight="1" x14ac:dyDescent="0.3"/>
    <row r="1079" s="514" customFormat="1" ht="13" customHeight="1" x14ac:dyDescent="0.3"/>
    <row r="1080" s="514" customFormat="1" ht="13" customHeight="1" x14ac:dyDescent="0.3"/>
    <row r="1081" s="514" customFormat="1" ht="13" customHeight="1" x14ac:dyDescent="0.3"/>
    <row r="1082" s="514" customFormat="1" ht="13" customHeight="1" x14ac:dyDescent="0.3"/>
    <row r="1083" s="514" customFormat="1" ht="13" customHeight="1" x14ac:dyDescent="0.3"/>
    <row r="1084" s="514" customFormat="1" ht="13" customHeight="1" x14ac:dyDescent="0.3"/>
    <row r="1085" s="514" customFormat="1" ht="13" customHeight="1" x14ac:dyDescent="0.3"/>
    <row r="1086" s="514" customFormat="1" ht="13" customHeight="1" x14ac:dyDescent="0.3"/>
    <row r="1087" s="514" customFormat="1" ht="13" customHeight="1" x14ac:dyDescent="0.3"/>
    <row r="1088" s="514" customFormat="1" ht="13" customHeight="1" x14ac:dyDescent="0.3"/>
    <row r="1089" s="514" customFormat="1" ht="13" customHeight="1" x14ac:dyDescent="0.3"/>
    <row r="1090" s="514" customFormat="1" ht="13" customHeight="1" x14ac:dyDescent="0.3"/>
    <row r="1091" s="514" customFormat="1" ht="13" customHeight="1" x14ac:dyDescent="0.3"/>
    <row r="1092" s="514" customFormat="1" ht="13" customHeight="1" x14ac:dyDescent="0.3"/>
    <row r="1093" s="514" customFormat="1" ht="13" customHeight="1" x14ac:dyDescent="0.3"/>
    <row r="1094" s="514" customFormat="1" ht="13" customHeight="1" x14ac:dyDescent="0.3"/>
    <row r="1095" s="514" customFormat="1" ht="13" customHeight="1" x14ac:dyDescent="0.3"/>
    <row r="1096" s="514" customFormat="1" ht="13" customHeight="1" x14ac:dyDescent="0.3"/>
    <row r="1097" s="514" customFormat="1" ht="13" customHeight="1" x14ac:dyDescent="0.3"/>
    <row r="1098" s="514" customFormat="1" ht="13" customHeight="1" x14ac:dyDescent="0.3"/>
    <row r="1099" s="514" customFormat="1" ht="13" customHeight="1" x14ac:dyDescent="0.3"/>
    <row r="1100" s="514" customFormat="1" ht="13" customHeight="1" x14ac:dyDescent="0.3"/>
    <row r="1101" s="514" customFormat="1" ht="13" customHeight="1" x14ac:dyDescent="0.3"/>
    <row r="1102" s="514" customFormat="1" ht="13" customHeight="1" x14ac:dyDescent="0.3"/>
    <row r="1103" s="514" customFormat="1" ht="13" customHeight="1" x14ac:dyDescent="0.3"/>
    <row r="1104" s="514" customFormat="1" ht="13" customHeight="1" x14ac:dyDescent="0.3"/>
    <row r="1105" s="514" customFormat="1" ht="13" customHeight="1" x14ac:dyDescent="0.3"/>
    <row r="1106" s="514" customFormat="1" ht="13" customHeight="1" x14ac:dyDescent="0.3"/>
    <row r="1107" s="514" customFormat="1" ht="13" customHeight="1" x14ac:dyDescent="0.3"/>
    <row r="1108" s="514" customFormat="1" ht="13" customHeight="1" x14ac:dyDescent="0.3"/>
    <row r="1109" s="514" customFormat="1" ht="13" customHeight="1" x14ac:dyDescent="0.3"/>
    <row r="1110" s="514" customFormat="1" ht="13" customHeight="1" x14ac:dyDescent="0.3"/>
    <row r="1111" s="514" customFormat="1" ht="13" customHeight="1" x14ac:dyDescent="0.3"/>
    <row r="1112" s="514" customFormat="1" ht="13" customHeight="1" x14ac:dyDescent="0.3"/>
    <row r="1113" s="514" customFormat="1" ht="13" customHeight="1" x14ac:dyDescent="0.3"/>
    <row r="1114" s="514" customFormat="1" ht="13" customHeight="1" x14ac:dyDescent="0.3"/>
    <row r="1115" s="514" customFormat="1" ht="13" customHeight="1" x14ac:dyDescent="0.3"/>
    <row r="1116" s="514" customFormat="1" ht="13" customHeight="1" x14ac:dyDescent="0.3"/>
    <row r="1117" s="514" customFormat="1" ht="13" customHeight="1" x14ac:dyDescent="0.3"/>
    <row r="1118" s="514" customFormat="1" ht="13" customHeight="1" x14ac:dyDescent="0.3"/>
    <row r="1119" s="514" customFormat="1" ht="13" customHeight="1" x14ac:dyDescent="0.3"/>
    <row r="1120" s="514" customFormat="1" ht="13" customHeight="1" x14ac:dyDescent="0.3"/>
    <row r="1121" s="514" customFormat="1" ht="13" customHeight="1" x14ac:dyDescent="0.3"/>
    <row r="1122" s="514" customFormat="1" ht="13" customHeight="1" x14ac:dyDescent="0.3"/>
    <row r="1123" s="514" customFormat="1" ht="13" customHeight="1" x14ac:dyDescent="0.3"/>
    <row r="1124" s="514" customFormat="1" ht="13" customHeight="1" x14ac:dyDescent="0.3"/>
    <row r="1125" s="514" customFormat="1" ht="13" customHeight="1" x14ac:dyDescent="0.3"/>
    <row r="1126" s="514" customFormat="1" ht="13" customHeight="1" x14ac:dyDescent="0.3"/>
    <row r="1127" s="514" customFormat="1" ht="13" customHeight="1" x14ac:dyDescent="0.3"/>
    <row r="1128" s="514" customFormat="1" ht="13" customHeight="1" x14ac:dyDescent="0.3"/>
    <row r="1129" s="514" customFormat="1" ht="13" customHeight="1" x14ac:dyDescent="0.3"/>
    <row r="1130" s="514" customFormat="1" ht="13" customHeight="1" x14ac:dyDescent="0.3"/>
    <row r="1131" s="514" customFormat="1" ht="13" customHeight="1" x14ac:dyDescent="0.3"/>
    <row r="1132" s="514" customFormat="1" ht="13" customHeight="1" x14ac:dyDescent="0.3"/>
    <row r="1133" s="514" customFormat="1" ht="13" customHeight="1" x14ac:dyDescent="0.3"/>
    <row r="1134" s="514" customFormat="1" ht="13" customHeight="1" x14ac:dyDescent="0.3"/>
    <row r="1135" s="514" customFormat="1" ht="13" customHeight="1" x14ac:dyDescent="0.3"/>
    <row r="1136" s="514" customFormat="1" ht="13" customHeight="1" x14ac:dyDescent="0.3"/>
    <row r="1137" s="514" customFormat="1" ht="13" customHeight="1" x14ac:dyDescent="0.3"/>
    <row r="1138" s="514" customFormat="1" ht="13" customHeight="1" x14ac:dyDescent="0.3"/>
    <row r="1139" s="514" customFormat="1" ht="13" customHeight="1" x14ac:dyDescent="0.3"/>
    <row r="1140" s="514" customFormat="1" ht="13" customHeight="1" x14ac:dyDescent="0.3"/>
    <row r="1141" s="514" customFormat="1" ht="13" customHeight="1" x14ac:dyDescent="0.3"/>
    <row r="1142" s="514" customFormat="1" ht="13" customHeight="1" x14ac:dyDescent="0.3"/>
    <row r="1143" s="514" customFormat="1" ht="13" customHeight="1" x14ac:dyDescent="0.3"/>
    <row r="1144" s="514" customFormat="1" ht="13" customHeight="1" x14ac:dyDescent="0.3"/>
    <row r="1145" s="514" customFormat="1" ht="13" customHeight="1" x14ac:dyDescent="0.3"/>
    <row r="1146" s="514" customFormat="1" ht="13" customHeight="1" x14ac:dyDescent="0.3"/>
    <row r="1147" s="514" customFormat="1" ht="13" customHeight="1" x14ac:dyDescent="0.3"/>
    <row r="1148" s="514" customFormat="1" ht="13" customHeight="1" x14ac:dyDescent="0.3"/>
    <row r="1149" s="514" customFormat="1" ht="13" customHeight="1" x14ac:dyDescent="0.3"/>
    <row r="1150" s="514" customFormat="1" ht="13" customHeight="1" x14ac:dyDescent="0.3"/>
    <row r="1151" s="514" customFormat="1" ht="13" customHeight="1" x14ac:dyDescent="0.3"/>
    <row r="1152" s="514" customFormat="1" ht="13" customHeight="1" x14ac:dyDescent="0.3"/>
    <row r="1153" s="514" customFormat="1" ht="13" customHeight="1" x14ac:dyDescent="0.3"/>
    <row r="1154" s="514" customFormat="1" ht="13" customHeight="1" x14ac:dyDescent="0.3"/>
    <row r="1155" s="514" customFormat="1" ht="13" customHeight="1" x14ac:dyDescent="0.3"/>
    <row r="1156" s="514" customFormat="1" ht="13" customHeight="1" x14ac:dyDescent="0.3"/>
    <row r="1157" s="514" customFormat="1" ht="13" customHeight="1" x14ac:dyDescent="0.3"/>
    <row r="1158" s="514" customFormat="1" ht="13" customHeight="1" x14ac:dyDescent="0.3"/>
    <row r="1159" s="514" customFormat="1" ht="13" customHeight="1" x14ac:dyDescent="0.3"/>
    <row r="1160" s="514" customFormat="1" ht="13" customHeight="1" x14ac:dyDescent="0.3"/>
    <row r="1161" s="514" customFormat="1" ht="13" customHeight="1" x14ac:dyDescent="0.3"/>
    <row r="1162" s="514" customFormat="1" ht="13" customHeight="1" x14ac:dyDescent="0.3"/>
    <row r="1163" s="514" customFormat="1" ht="13" customHeight="1" x14ac:dyDescent="0.3"/>
    <row r="1164" s="514" customFormat="1" ht="13" customHeight="1" x14ac:dyDescent="0.3"/>
    <row r="1165" s="514" customFormat="1" ht="13" customHeight="1" x14ac:dyDescent="0.3"/>
    <row r="1166" s="514" customFormat="1" ht="13" customHeight="1" x14ac:dyDescent="0.3"/>
    <row r="1167" s="514" customFormat="1" ht="13" customHeight="1" x14ac:dyDescent="0.3"/>
    <row r="1168" s="514" customFormat="1" ht="13" customHeight="1" x14ac:dyDescent="0.3"/>
    <row r="1169" s="514" customFormat="1" ht="13" customHeight="1" x14ac:dyDescent="0.3"/>
    <row r="1170" s="514" customFormat="1" ht="13" customHeight="1" x14ac:dyDescent="0.3"/>
    <row r="1171" s="514" customFormat="1" ht="13" customHeight="1" x14ac:dyDescent="0.3"/>
    <row r="1172" s="514" customFormat="1" ht="13" customHeight="1" x14ac:dyDescent="0.3"/>
    <row r="1173" s="514" customFormat="1" ht="13" customHeight="1" x14ac:dyDescent="0.3"/>
    <row r="1174" s="514" customFormat="1" ht="13" customHeight="1" x14ac:dyDescent="0.3"/>
    <row r="1175" s="514" customFormat="1" ht="13" customHeight="1" x14ac:dyDescent="0.3"/>
    <row r="1176" s="514" customFormat="1" ht="13" customHeight="1" x14ac:dyDescent="0.3"/>
    <row r="1177" s="514" customFormat="1" ht="13" customHeight="1" x14ac:dyDescent="0.3"/>
    <row r="1178" s="514" customFormat="1" ht="13" customHeight="1" x14ac:dyDescent="0.3"/>
    <row r="1179" s="514" customFormat="1" ht="13" customHeight="1" x14ac:dyDescent="0.3"/>
    <row r="1180" s="514" customFormat="1" ht="13" customHeight="1" x14ac:dyDescent="0.3"/>
    <row r="1181" s="514" customFormat="1" ht="13" customHeight="1" x14ac:dyDescent="0.3"/>
    <row r="1182" s="514" customFormat="1" ht="13" customHeight="1" x14ac:dyDescent="0.3"/>
    <row r="1183" s="514" customFormat="1" ht="13" customHeight="1" x14ac:dyDescent="0.3"/>
    <row r="1184" s="514" customFormat="1" ht="13" customHeight="1" x14ac:dyDescent="0.3"/>
    <row r="1185" s="514" customFormat="1" ht="13" customHeight="1" x14ac:dyDescent="0.3"/>
    <row r="1186" s="514" customFormat="1" ht="13" customHeight="1" x14ac:dyDescent="0.3"/>
    <row r="1187" s="514" customFormat="1" ht="13" customHeight="1" x14ac:dyDescent="0.3"/>
    <row r="1188" s="514" customFormat="1" ht="13" customHeight="1" x14ac:dyDescent="0.3"/>
    <row r="1189" s="514" customFormat="1" ht="13" customHeight="1" x14ac:dyDescent="0.3"/>
    <row r="1190" s="514" customFormat="1" ht="13" customHeight="1" x14ac:dyDescent="0.3"/>
    <row r="1191" s="514" customFormat="1" ht="13" customHeight="1" x14ac:dyDescent="0.3"/>
    <row r="1192" s="514" customFormat="1" ht="13" customHeight="1" x14ac:dyDescent="0.3"/>
    <row r="1193" s="514" customFormat="1" ht="13" customHeight="1" x14ac:dyDescent="0.3"/>
    <row r="1194" s="514" customFormat="1" ht="13" customHeight="1" x14ac:dyDescent="0.3"/>
    <row r="1195" s="514" customFormat="1" ht="13" customHeight="1" x14ac:dyDescent="0.3"/>
    <row r="1196" s="514" customFormat="1" ht="13" customHeight="1" x14ac:dyDescent="0.3"/>
    <row r="1197" s="514" customFormat="1" ht="13" customHeight="1" x14ac:dyDescent="0.3"/>
    <row r="1198" s="514" customFormat="1" ht="13" customHeight="1" x14ac:dyDescent="0.3"/>
    <row r="1199" s="514" customFormat="1" ht="13" customHeight="1" x14ac:dyDescent="0.3"/>
    <row r="1200" s="514" customFormat="1" ht="13" customHeight="1" x14ac:dyDescent="0.3"/>
    <row r="1201" s="514" customFormat="1" ht="13" customHeight="1" x14ac:dyDescent="0.3"/>
    <row r="1202" s="514" customFormat="1" ht="13" customHeight="1" x14ac:dyDescent="0.3"/>
    <row r="1203" s="514" customFormat="1" ht="13" customHeight="1" x14ac:dyDescent="0.3"/>
    <row r="1204" s="514" customFormat="1" ht="13" customHeight="1" x14ac:dyDescent="0.3"/>
    <row r="1205" s="514" customFormat="1" ht="13" customHeight="1" x14ac:dyDescent="0.3"/>
    <row r="1206" s="514" customFormat="1" ht="13" customHeight="1" x14ac:dyDescent="0.3"/>
    <row r="1207" s="514" customFormat="1" ht="13" customHeight="1" x14ac:dyDescent="0.3"/>
    <row r="1208" s="514" customFormat="1" ht="13" customHeight="1" x14ac:dyDescent="0.3"/>
    <row r="1209" s="514" customFormat="1" ht="13" customHeight="1" x14ac:dyDescent="0.3"/>
    <row r="1210" s="514" customFormat="1" ht="13" customHeight="1" x14ac:dyDescent="0.3"/>
    <row r="1211" s="514" customFormat="1" ht="13" customHeight="1" x14ac:dyDescent="0.3"/>
    <row r="1212" s="514" customFormat="1" ht="13" customHeight="1" x14ac:dyDescent="0.3"/>
    <row r="1213" s="514" customFormat="1" ht="13" customHeight="1" x14ac:dyDescent="0.3"/>
    <row r="1214" s="514" customFormat="1" ht="13" customHeight="1" x14ac:dyDescent="0.3"/>
    <row r="1215" s="514" customFormat="1" ht="13" customHeight="1" x14ac:dyDescent="0.3"/>
    <row r="1216" s="514" customFormat="1" ht="13" customHeight="1" x14ac:dyDescent="0.3"/>
    <row r="1217" s="514" customFormat="1" ht="13" customHeight="1" x14ac:dyDescent="0.3"/>
    <row r="1218" s="514" customFormat="1" ht="13" customHeight="1" x14ac:dyDescent="0.3"/>
    <row r="1219" s="514" customFormat="1" ht="13" customHeight="1" x14ac:dyDescent="0.3"/>
    <row r="1220" s="514" customFormat="1" ht="13" customHeight="1" x14ac:dyDescent="0.3"/>
    <row r="1221" s="514" customFormat="1" ht="13" customHeight="1" x14ac:dyDescent="0.3"/>
    <row r="1222" s="514" customFormat="1" ht="13" customHeight="1" x14ac:dyDescent="0.3"/>
    <row r="1223" s="514" customFormat="1" ht="13" customHeight="1" x14ac:dyDescent="0.3"/>
    <row r="1224" s="514" customFormat="1" ht="13" customHeight="1" x14ac:dyDescent="0.3"/>
    <row r="1225" s="514" customFormat="1" ht="13" customHeight="1" x14ac:dyDescent="0.3"/>
    <row r="1226" s="514" customFormat="1" ht="13" customHeight="1" x14ac:dyDescent="0.3"/>
    <row r="1227" s="514" customFormat="1" ht="13" customHeight="1" x14ac:dyDescent="0.3"/>
    <row r="1228" s="514" customFormat="1" ht="13" customHeight="1" x14ac:dyDescent="0.3"/>
    <row r="1229" s="514" customFormat="1" ht="13" customHeight="1" x14ac:dyDescent="0.3"/>
    <row r="1230" s="514" customFormat="1" ht="13" customHeight="1" x14ac:dyDescent="0.3"/>
    <row r="1231" s="514" customFormat="1" ht="13" customHeight="1" x14ac:dyDescent="0.3"/>
    <row r="1232" s="514" customFormat="1" ht="13" customHeight="1" x14ac:dyDescent="0.3"/>
    <row r="1233" s="514" customFormat="1" ht="13" customHeight="1" x14ac:dyDescent="0.3"/>
    <row r="1234" s="514" customFormat="1" ht="13" customHeight="1" x14ac:dyDescent="0.3"/>
    <row r="1235" s="514" customFormat="1" ht="13" customHeight="1" x14ac:dyDescent="0.3"/>
    <row r="1236" s="514" customFormat="1" ht="13" customHeight="1" x14ac:dyDescent="0.3"/>
    <row r="1237" s="514" customFormat="1" ht="13" customHeight="1" x14ac:dyDescent="0.3"/>
    <row r="1238" s="514" customFormat="1" ht="13" customHeight="1" x14ac:dyDescent="0.3"/>
    <row r="1239" s="514" customFormat="1" ht="13" customHeight="1" x14ac:dyDescent="0.3"/>
    <row r="1240" s="514" customFormat="1" ht="13" customHeight="1" x14ac:dyDescent="0.3"/>
    <row r="1241" s="514" customFormat="1" ht="13" customHeight="1" x14ac:dyDescent="0.3"/>
    <row r="1242" s="514" customFormat="1" ht="13" customHeight="1" x14ac:dyDescent="0.3"/>
    <row r="1243" s="514" customFormat="1" ht="13" customHeight="1" x14ac:dyDescent="0.3"/>
    <row r="1244" s="514" customFormat="1" ht="13" customHeight="1" x14ac:dyDescent="0.3"/>
    <row r="1245" s="514" customFormat="1" ht="13" customHeight="1" x14ac:dyDescent="0.3"/>
    <row r="1246" s="514" customFormat="1" ht="13" customHeight="1" x14ac:dyDescent="0.3"/>
    <row r="1247" s="514" customFormat="1" ht="13" customHeight="1" x14ac:dyDescent="0.3"/>
    <row r="1248" s="514" customFormat="1" ht="13" customHeight="1" x14ac:dyDescent="0.3"/>
    <row r="1249" s="514" customFormat="1" ht="13" customHeight="1" x14ac:dyDescent="0.3"/>
    <row r="1250" s="514" customFormat="1" ht="13" customHeight="1" x14ac:dyDescent="0.3"/>
    <row r="1251" s="514" customFormat="1" ht="13" customHeight="1" x14ac:dyDescent="0.3"/>
    <row r="1252" s="514" customFormat="1" ht="13" customHeight="1" x14ac:dyDescent="0.3"/>
    <row r="1253" s="514" customFormat="1" ht="13" customHeight="1" x14ac:dyDescent="0.3"/>
    <row r="1254" s="514" customFormat="1" ht="13" customHeight="1" x14ac:dyDescent="0.3"/>
    <row r="1255" s="514" customFormat="1" ht="13" customHeight="1" x14ac:dyDescent="0.3"/>
    <row r="1256" s="514" customFormat="1" ht="13" customHeight="1" x14ac:dyDescent="0.3"/>
    <row r="1257" s="514" customFormat="1" ht="13" customHeight="1" x14ac:dyDescent="0.3"/>
    <row r="1258" s="514" customFormat="1" ht="13" customHeight="1" x14ac:dyDescent="0.3"/>
    <row r="1259" s="514" customFormat="1" ht="13" customHeight="1" x14ac:dyDescent="0.3"/>
    <row r="1260" s="514" customFormat="1" ht="13" customHeight="1" x14ac:dyDescent="0.3"/>
    <row r="1261" s="514" customFormat="1" ht="13" customHeight="1" x14ac:dyDescent="0.3"/>
    <row r="1262" s="514" customFormat="1" ht="13" customHeight="1" x14ac:dyDescent="0.3"/>
    <row r="1263" s="514" customFormat="1" ht="13" customHeight="1" x14ac:dyDescent="0.3"/>
    <row r="1264" s="514" customFormat="1" ht="13" customHeight="1" x14ac:dyDescent="0.3"/>
    <row r="1265" s="514" customFormat="1" ht="13" customHeight="1" x14ac:dyDescent="0.3"/>
    <row r="1266" s="514" customFormat="1" ht="13" customHeight="1" x14ac:dyDescent="0.3"/>
    <row r="1267" s="514" customFormat="1" ht="13" customHeight="1" x14ac:dyDescent="0.3"/>
    <row r="1268" s="514" customFormat="1" ht="13" customHeight="1" x14ac:dyDescent="0.3"/>
    <row r="1269" s="514" customFormat="1" ht="13" customHeight="1" x14ac:dyDescent="0.3"/>
    <row r="1270" s="514" customFormat="1" ht="13" customHeight="1" x14ac:dyDescent="0.3"/>
    <row r="1271" s="514" customFormat="1" ht="13" customHeight="1" x14ac:dyDescent="0.3"/>
    <row r="1272" s="514" customFormat="1" ht="13" customHeight="1" x14ac:dyDescent="0.3"/>
    <row r="1273" s="514" customFormat="1" ht="13" customHeight="1" x14ac:dyDescent="0.3"/>
    <row r="1274" s="514" customFormat="1" ht="13" customHeight="1" x14ac:dyDescent="0.3"/>
    <row r="1275" s="514" customFormat="1" ht="13" customHeight="1" x14ac:dyDescent="0.3"/>
    <row r="1276" s="514" customFormat="1" ht="13" customHeight="1" x14ac:dyDescent="0.3"/>
    <row r="1277" s="514" customFormat="1" ht="13" customHeight="1" x14ac:dyDescent="0.3"/>
    <row r="1278" s="514" customFormat="1" ht="13" customHeight="1" x14ac:dyDescent="0.3"/>
    <row r="1279" s="514" customFormat="1" ht="13" customHeight="1" x14ac:dyDescent="0.3"/>
    <row r="1280" s="514" customFormat="1" ht="13" customHeight="1" x14ac:dyDescent="0.3"/>
    <row r="1281" s="514" customFormat="1" ht="13" customHeight="1" x14ac:dyDescent="0.3"/>
    <row r="1282" s="514" customFormat="1" ht="13" customHeight="1" x14ac:dyDescent="0.3"/>
    <row r="1283" s="514" customFormat="1" ht="13" customHeight="1" x14ac:dyDescent="0.3"/>
    <row r="1284" s="514" customFormat="1" ht="13" customHeight="1" x14ac:dyDescent="0.3"/>
    <row r="1285" s="514" customFormat="1" ht="13" customHeight="1" x14ac:dyDescent="0.3"/>
    <row r="1286" s="514" customFormat="1" ht="13" customHeight="1" x14ac:dyDescent="0.3"/>
    <row r="1287" s="514" customFormat="1" ht="13" customHeight="1" x14ac:dyDescent="0.3"/>
    <row r="1288" s="514" customFormat="1" ht="13" customHeight="1" x14ac:dyDescent="0.3"/>
    <row r="1289" s="514" customFormat="1" ht="13" customHeight="1" x14ac:dyDescent="0.3"/>
    <row r="1290" s="514" customFormat="1" ht="13" customHeight="1" x14ac:dyDescent="0.3"/>
    <row r="1291" s="514" customFormat="1" ht="13" customHeight="1" x14ac:dyDescent="0.3"/>
    <row r="1292" s="514" customFormat="1" ht="13" customHeight="1" x14ac:dyDescent="0.3"/>
    <row r="1293" s="514" customFormat="1" ht="13" customHeight="1" x14ac:dyDescent="0.3"/>
    <row r="1294" s="514" customFormat="1" ht="13" customHeight="1" x14ac:dyDescent="0.3"/>
    <row r="1295" s="514" customFormat="1" ht="13" customHeight="1" x14ac:dyDescent="0.3"/>
    <row r="1296" s="514" customFormat="1" ht="13" customHeight="1" x14ac:dyDescent="0.3"/>
    <row r="1297" s="514" customFormat="1" ht="13" customHeight="1" x14ac:dyDescent="0.3"/>
    <row r="1298" s="514" customFormat="1" ht="13" customHeight="1" x14ac:dyDescent="0.3"/>
    <row r="1299" s="514" customFormat="1" ht="13" customHeight="1" x14ac:dyDescent="0.3"/>
    <row r="1300" s="514" customFormat="1" ht="13" customHeight="1" x14ac:dyDescent="0.3"/>
    <row r="1301" s="514" customFormat="1" ht="13" customHeight="1" x14ac:dyDescent="0.3"/>
    <row r="1302" s="514" customFormat="1" ht="13" customHeight="1" x14ac:dyDescent="0.3"/>
    <row r="1303" s="514" customFormat="1" ht="13" customHeight="1" x14ac:dyDescent="0.3"/>
    <row r="1304" s="514" customFormat="1" ht="13" customHeight="1" x14ac:dyDescent="0.3"/>
    <row r="1305" s="514" customFormat="1" ht="13" customHeight="1" x14ac:dyDescent="0.3"/>
    <row r="1306" s="514" customFormat="1" ht="13" customHeight="1" x14ac:dyDescent="0.3"/>
    <row r="1307" s="514" customFormat="1" ht="13" customHeight="1" x14ac:dyDescent="0.3"/>
    <row r="1308" s="514" customFormat="1" ht="13" customHeight="1" x14ac:dyDescent="0.3"/>
    <row r="1309" s="514" customFormat="1" ht="13" customHeight="1" x14ac:dyDescent="0.3"/>
    <row r="1310" s="514" customFormat="1" ht="13" customHeight="1" x14ac:dyDescent="0.3"/>
    <row r="1311" s="514" customFormat="1" ht="13" customHeight="1" x14ac:dyDescent="0.3"/>
    <row r="1312" s="514" customFormat="1" ht="13" customHeight="1" x14ac:dyDescent="0.3"/>
    <row r="1313" s="514" customFormat="1" ht="13" customHeight="1" x14ac:dyDescent="0.3"/>
    <row r="1314" s="514" customFormat="1" ht="13" customHeight="1" x14ac:dyDescent="0.3"/>
    <row r="1315" s="514" customFormat="1" ht="13" customHeight="1" x14ac:dyDescent="0.3"/>
    <row r="1316" s="514" customFormat="1" ht="13" customHeight="1" x14ac:dyDescent="0.3"/>
    <row r="1317" s="514" customFormat="1" ht="13" customHeight="1" x14ac:dyDescent="0.3"/>
    <row r="1318" s="514" customFormat="1" ht="13" customHeight="1" x14ac:dyDescent="0.3"/>
    <row r="1319" s="514" customFormat="1" ht="13" customHeight="1" x14ac:dyDescent="0.3"/>
    <row r="1320" s="514" customFormat="1" ht="13" customHeight="1" x14ac:dyDescent="0.3"/>
    <row r="1321" s="514" customFormat="1" ht="13" customHeight="1" x14ac:dyDescent="0.3"/>
    <row r="1322" s="514" customFormat="1" ht="13" customHeight="1" x14ac:dyDescent="0.3"/>
    <row r="1323" s="514" customFormat="1" ht="13" customHeight="1" x14ac:dyDescent="0.3"/>
    <row r="1324" s="514" customFormat="1" ht="13" customHeight="1" x14ac:dyDescent="0.3"/>
    <row r="1325" s="514" customFormat="1" ht="13" customHeight="1" x14ac:dyDescent="0.3"/>
    <row r="1326" s="514" customFormat="1" ht="13" customHeight="1" x14ac:dyDescent="0.3"/>
    <row r="1327" s="514" customFormat="1" ht="13" customHeight="1" x14ac:dyDescent="0.3"/>
    <row r="1328" s="514" customFormat="1" ht="13" customHeight="1" x14ac:dyDescent="0.3"/>
    <row r="1329" s="514" customFormat="1" ht="13" customHeight="1" x14ac:dyDescent="0.3"/>
    <row r="1330" s="514" customFormat="1" ht="13" customHeight="1" x14ac:dyDescent="0.3"/>
    <row r="1331" s="514" customFormat="1" ht="13" customHeight="1" x14ac:dyDescent="0.3"/>
    <row r="1332" s="514" customFormat="1" ht="13" customHeight="1" x14ac:dyDescent="0.3"/>
    <row r="1333" s="514" customFormat="1" ht="13" customHeight="1" x14ac:dyDescent="0.3"/>
    <row r="1334" s="514" customFormat="1" ht="13" customHeight="1" x14ac:dyDescent="0.3"/>
    <row r="1335" s="514" customFormat="1" ht="13" customHeight="1" x14ac:dyDescent="0.3"/>
    <row r="1336" s="514" customFormat="1" ht="13" customHeight="1" x14ac:dyDescent="0.3"/>
    <row r="1337" s="514" customFormat="1" ht="13" customHeight="1" x14ac:dyDescent="0.3"/>
    <row r="1338" s="514" customFormat="1" ht="13" customHeight="1" x14ac:dyDescent="0.3"/>
    <row r="1339" s="514" customFormat="1" ht="13" customHeight="1" x14ac:dyDescent="0.3"/>
    <row r="1340" s="514" customFormat="1" ht="13" customHeight="1" x14ac:dyDescent="0.3"/>
    <row r="1341" s="514" customFormat="1" ht="13" customHeight="1" x14ac:dyDescent="0.3"/>
    <row r="1342" s="514" customFormat="1" ht="13" customHeight="1" x14ac:dyDescent="0.3"/>
    <row r="1343" s="514" customFormat="1" ht="13" customHeight="1" x14ac:dyDescent="0.3"/>
    <row r="1344" s="514" customFormat="1" ht="13" customHeight="1" x14ac:dyDescent="0.3"/>
    <row r="1345" s="514" customFormat="1" ht="13" customHeight="1" x14ac:dyDescent="0.3"/>
    <row r="1346" s="514" customFormat="1" ht="13" customHeight="1" x14ac:dyDescent="0.3"/>
    <row r="1347" s="514" customFormat="1" ht="13" customHeight="1" x14ac:dyDescent="0.3"/>
    <row r="1348" s="514" customFormat="1" ht="13" customHeight="1" x14ac:dyDescent="0.3"/>
    <row r="1349" s="514" customFormat="1" ht="13" customHeight="1" x14ac:dyDescent="0.3"/>
    <row r="1350" s="514" customFormat="1" ht="13" customHeight="1" x14ac:dyDescent="0.3"/>
    <row r="1351" s="514" customFormat="1" ht="13" customHeight="1" x14ac:dyDescent="0.3"/>
    <row r="1352" s="514" customFormat="1" ht="13" customHeight="1" x14ac:dyDescent="0.3"/>
    <row r="1353" s="514" customFormat="1" ht="13" customHeight="1" x14ac:dyDescent="0.3"/>
    <row r="1354" s="514" customFormat="1" ht="13" customHeight="1" x14ac:dyDescent="0.3"/>
    <row r="1355" s="514" customFormat="1" ht="13" customHeight="1" x14ac:dyDescent="0.3"/>
    <row r="1356" s="514" customFormat="1" ht="13" customHeight="1" x14ac:dyDescent="0.3"/>
    <row r="1357" s="514" customFormat="1" ht="13" customHeight="1" x14ac:dyDescent="0.3"/>
    <row r="1358" s="514" customFormat="1" ht="13" customHeight="1" x14ac:dyDescent="0.3"/>
    <row r="1359" s="514" customFormat="1" ht="13" customHeight="1" x14ac:dyDescent="0.3"/>
    <row r="1360" s="514" customFormat="1" ht="13" customHeight="1" x14ac:dyDescent="0.3"/>
    <row r="1361" s="514" customFormat="1" ht="13" customHeight="1" x14ac:dyDescent="0.3"/>
    <row r="1362" s="514" customFormat="1" ht="13" customHeight="1" x14ac:dyDescent="0.3"/>
    <row r="1363" s="514" customFormat="1" ht="13" customHeight="1" x14ac:dyDescent="0.3"/>
    <row r="1364" s="514" customFormat="1" ht="13" customHeight="1" x14ac:dyDescent="0.3"/>
    <row r="1365" s="514" customFormat="1" ht="13" customHeight="1" x14ac:dyDescent="0.3"/>
    <row r="1366" s="514" customFormat="1" ht="13" customHeight="1" x14ac:dyDescent="0.3"/>
    <row r="1367" s="514" customFormat="1" ht="13" customHeight="1" x14ac:dyDescent="0.3"/>
    <row r="1368" s="514" customFormat="1" ht="13" customHeight="1" x14ac:dyDescent="0.3"/>
    <row r="1369" s="514" customFormat="1" ht="13" customHeight="1" x14ac:dyDescent="0.3"/>
    <row r="1370" s="514" customFormat="1" ht="13" customHeight="1" x14ac:dyDescent="0.3"/>
    <row r="1371" s="514" customFormat="1" ht="13" customHeight="1" x14ac:dyDescent="0.3"/>
    <row r="1372" s="514" customFormat="1" ht="13" customHeight="1" x14ac:dyDescent="0.3"/>
    <row r="1373" s="514" customFormat="1" ht="13" customHeight="1" x14ac:dyDescent="0.3"/>
    <row r="1374" s="514" customFormat="1" ht="13" customHeight="1" x14ac:dyDescent="0.3"/>
    <row r="1375" s="514" customFormat="1" ht="13" customHeight="1" x14ac:dyDescent="0.3"/>
    <row r="1376" s="514" customFormat="1" ht="13" customHeight="1" x14ac:dyDescent="0.3"/>
    <row r="1377" s="514" customFormat="1" ht="13" customHeight="1" x14ac:dyDescent="0.3"/>
    <row r="1378" s="514" customFormat="1" ht="13" customHeight="1" x14ac:dyDescent="0.3"/>
    <row r="1379" s="514" customFormat="1" ht="13" customHeight="1" x14ac:dyDescent="0.3"/>
    <row r="1380" s="514" customFormat="1" ht="13" customHeight="1" x14ac:dyDescent="0.3"/>
    <row r="1381" s="514" customFormat="1" ht="13" customHeight="1" x14ac:dyDescent="0.3"/>
    <row r="1382" s="514" customFormat="1" ht="13" customHeight="1" x14ac:dyDescent="0.3"/>
    <row r="1383" s="514" customFormat="1" ht="13" customHeight="1" x14ac:dyDescent="0.3"/>
    <row r="1384" s="514" customFormat="1" ht="13" customHeight="1" x14ac:dyDescent="0.3"/>
    <row r="1385" s="514" customFormat="1" ht="13" customHeight="1" x14ac:dyDescent="0.3"/>
    <row r="1386" s="514" customFormat="1" ht="13" customHeight="1" x14ac:dyDescent="0.3"/>
    <row r="1387" s="514" customFormat="1" ht="13" customHeight="1" x14ac:dyDescent="0.3"/>
    <row r="1388" s="514" customFormat="1" ht="13" customHeight="1" x14ac:dyDescent="0.3"/>
    <row r="1389" s="514" customFormat="1" ht="13" customHeight="1" x14ac:dyDescent="0.3"/>
    <row r="1390" s="514" customFormat="1" ht="13" customHeight="1" x14ac:dyDescent="0.3"/>
    <row r="1391" s="514" customFormat="1" ht="13" customHeight="1" x14ac:dyDescent="0.3"/>
    <row r="1392" s="514" customFormat="1" ht="13" customHeight="1" x14ac:dyDescent="0.3"/>
    <row r="1393" s="514" customFormat="1" ht="13" customHeight="1" x14ac:dyDescent="0.3"/>
    <row r="1394" s="514" customFormat="1" ht="13" customHeight="1" x14ac:dyDescent="0.3"/>
    <row r="1395" s="514" customFormat="1" ht="13" customHeight="1" x14ac:dyDescent="0.3"/>
    <row r="1396" s="514" customFormat="1" ht="13" customHeight="1" x14ac:dyDescent="0.3"/>
    <row r="1397" s="514" customFormat="1" ht="13" customHeight="1" x14ac:dyDescent="0.3"/>
    <row r="1398" s="514" customFormat="1" ht="13" customHeight="1" x14ac:dyDescent="0.3"/>
    <row r="1399" s="514" customFormat="1" ht="13" customHeight="1" x14ac:dyDescent="0.3"/>
    <row r="1400" s="514" customFormat="1" ht="13" customHeight="1" x14ac:dyDescent="0.3"/>
    <row r="1401" s="514" customFormat="1" ht="13" customHeight="1" x14ac:dyDescent="0.3"/>
    <row r="1402" s="514" customFormat="1" ht="13" customHeight="1" x14ac:dyDescent="0.3"/>
    <row r="1403" s="514" customFormat="1" ht="13" customHeight="1" x14ac:dyDescent="0.3"/>
    <row r="1404" s="514" customFormat="1" ht="13" customHeight="1" x14ac:dyDescent="0.3"/>
    <row r="1405" s="514" customFormat="1" ht="13" customHeight="1" x14ac:dyDescent="0.3"/>
    <row r="1406" s="514" customFormat="1" ht="13" customHeight="1" x14ac:dyDescent="0.3"/>
    <row r="1407" s="514" customFormat="1" ht="13" customHeight="1" x14ac:dyDescent="0.3"/>
    <row r="1408" s="514" customFormat="1" ht="13" customHeight="1" x14ac:dyDescent="0.3"/>
    <row r="1409" s="514" customFormat="1" ht="13" customHeight="1" x14ac:dyDescent="0.3"/>
    <row r="1410" s="514" customFormat="1" ht="13" customHeight="1" x14ac:dyDescent="0.3"/>
    <row r="1411" s="514" customFormat="1" ht="13" customHeight="1" x14ac:dyDescent="0.3"/>
    <row r="1412" s="514" customFormat="1" ht="13" customHeight="1" x14ac:dyDescent="0.3"/>
    <row r="1413" s="514" customFormat="1" ht="13" customHeight="1" x14ac:dyDescent="0.3"/>
    <row r="1414" s="514" customFormat="1" ht="13" customHeight="1" x14ac:dyDescent="0.3"/>
    <row r="1415" s="514" customFormat="1" ht="13" customHeight="1" x14ac:dyDescent="0.3"/>
    <row r="1416" s="514" customFormat="1" ht="13" customHeight="1" x14ac:dyDescent="0.3"/>
    <row r="1417" s="514" customFormat="1" ht="13" customHeight="1" x14ac:dyDescent="0.3"/>
    <row r="1418" s="514" customFormat="1" ht="13" customHeight="1" x14ac:dyDescent="0.3"/>
    <row r="1419" s="514" customFormat="1" ht="13" customHeight="1" x14ac:dyDescent="0.3"/>
    <row r="1420" s="514" customFormat="1" ht="13" customHeight="1" x14ac:dyDescent="0.3"/>
    <row r="1421" s="514" customFormat="1" ht="13" customHeight="1" x14ac:dyDescent="0.3"/>
    <row r="1422" s="514" customFormat="1" ht="13" customHeight="1" x14ac:dyDescent="0.3"/>
    <row r="1423" s="514" customFormat="1" ht="13" customHeight="1" x14ac:dyDescent="0.3"/>
    <row r="1424" s="514" customFormat="1" ht="13" customHeight="1" x14ac:dyDescent="0.3"/>
    <row r="1425" s="514" customFormat="1" ht="13" customHeight="1" x14ac:dyDescent="0.3"/>
    <row r="1426" s="514" customFormat="1" ht="13" customHeight="1" x14ac:dyDescent="0.3"/>
    <row r="1427" s="514" customFormat="1" ht="13" customHeight="1" x14ac:dyDescent="0.3"/>
    <row r="1428" s="514" customFormat="1" ht="13" customHeight="1" x14ac:dyDescent="0.3"/>
    <row r="1429" s="514" customFormat="1" ht="13" customHeight="1" x14ac:dyDescent="0.3"/>
    <row r="1430" s="514" customFormat="1" ht="13" customHeight="1" x14ac:dyDescent="0.3"/>
    <row r="1431" s="514" customFormat="1" ht="13" customHeight="1" x14ac:dyDescent="0.3"/>
    <row r="1432" s="514" customFormat="1" ht="13" customHeight="1" x14ac:dyDescent="0.3"/>
    <row r="1433" s="514" customFormat="1" ht="13" customHeight="1" x14ac:dyDescent="0.3"/>
    <row r="1434" s="514" customFormat="1" ht="13" customHeight="1" x14ac:dyDescent="0.3"/>
    <row r="1435" s="514" customFormat="1" ht="13" customHeight="1" x14ac:dyDescent="0.3"/>
    <row r="1436" s="514" customFormat="1" ht="13" customHeight="1" x14ac:dyDescent="0.3"/>
    <row r="1437" s="514" customFormat="1" ht="13" customHeight="1" x14ac:dyDescent="0.3"/>
    <row r="1438" s="514" customFormat="1" ht="13" customHeight="1" x14ac:dyDescent="0.3"/>
    <row r="1439" s="514" customFormat="1" ht="13" customHeight="1" x14ac:dyDescent="0.3"/>
    <row r="1440" s="514" customFormat="1" ht="13" customHeight="1" x14ac:dyDescent="0.3"/>
    <row r="1441" s="514" customFormat="1" ht="13" customHeight="1" x14ac:dyDescent="0.3"/>
    <row r="1442" s="514" customFormat="1" ht="13" customHeight="1" x14ac:dyDescent="0.3"/>
    <row r="1443" s="514" customFormat="1" ht="13" customHeight="1" x14ac:dyDescent="0.3"/>
    <row r="1444" s="514" customFormat="1" ht="13" customHeight="1" x14ac:dyDescent="0.3"/>
    <row r="1445" s="514" customFormat="1" ht="13" customHeight="1" x14ac:dyDescent="0.3"/>
    <row r="1446" s="514" customFormat="1" ht="13" customHeight="1" x14ac:dyDescent="0.3"/>
    <row r="1447" s="514" customFormat="1" ht="13" customHeight="1" x14ac:dyDescent="0.3"/>
    <row r="1448" s="514" customFormat="1" ht="13" customHeight="1" x14ac:dyDescent="0.3"/>
    <row r="1449" s="514" customFormat="1" ht="13" customHeight="1" x14ac:dyDescent="0.3"/>
    <row r="1450" s="514" customFormat="1" ht="13" customHeight="1" x14ac:dyDescent="0.3"/>
    <row r="1451" s="514" customFormat="1" ht="13" customHeight="1" x14ac:dyDescent="0.3"/>
    <row r="1452" s="514" customFormat="1" ht="13" customHeight="1" x14ac:dyDescent="0.3"/>
    <row r="1453" s="514" customFormat="1" ht="13" customHeight="1" x14ac:dyDescent="0.3"/>
    <row r="1454" s="514" customFormat="1" ht="13" customHeight="1" x14ac:dyDescent="0.3"/>
    <row r="1455" s="514" customFormat="1" ht="13" customHeight="1" x14ac:dyDescent="0.3"/>
    <row r="1456" s="514" customFormat="1" ht="13" customHeight="1" x14ac:dyDescent="0.3"/>
    <row r="1457" s="514" customFormat="1" ht="13" customHeight="1" x14ac:dyDescent="0.3"/>
    <row r="1458" s="514" customFormat="1" ht="13" customHeight="1" x14ac:dyDescent="0.3"/>
    <row r="1459" s="514" customFormat="1" ht="13" customHeight="1" x14ac:dyDescent="0.3"/>
    <row r="1460" s="514" customFormat="1" ht="13" customHeight="1" x14ac:dyDescent="0.3"/>
    <row r="1461" s="514" customFormat="1" ht="13" customHeight="1" x14ac:dyDescent="0.3"/>
    <row r="1462" s="514" customFormat="1" ht="13" customHeight="1" x14ac:dyDescent="0.3"/>
    <row r="1463" s="514" customFormat="1" ht="13" customHeight="1" x14ac:dyDescent="0.3"/>
    <row r="1464" s="514" customFormat="1" ht="13" customHeight="1" x14ac:dyDescent="0.3"/>
    <row r="1465" s="514" customFormat="1" ht="13" customHeight="1" x14ac:dyDescent="0.3"/>
    <row r="1466" s="514" customFormat="1" ht="13" customHeight="1" x14ac:dyDescent="0.3"/>
    <row r="1467" s="514" customFormat="1" ht="13" customHeight="1" x14ac:dyDescent="0.3"/>
    <row r="1468" s="514" customFormat="1" ht="13" customHeight="1" x14ac:dyDescent="0.3"/>
    <row r="1469" s="514" customFormat="1" ht="13" customHeight="1" x14ac:dyDescent="0.3"/>
    <row r="1470" s="514" customFormat="1" ht="13" customHeight="1" x14ac:dyDescent="0.3"/>
    <row r="1471" s="514" customFormat="1" ht="13" customHeight="1" x14ac:dyDescent="0.3"/>
    <row r="1472" s="514" customFormat="1" ht="13" customHeight="1" x14ac:dyDescent="0.3"/>
    <row r="1473" s="514" customFormat="1" ht="13" customHeight="1" x14ac:dyDescent="0.3"/>
    <row r="1474" s="514" customFormat="1" ht="13" customHeight="1" x14ac:dyDescent="0.3"/>
    <row r="1475" s="514" customFormat="1" ht="13" customHeight="1" x14ac:dyDescent="0.3"/>
    <row r="1476" s="514" customFormat="1" ht="13" customHeight="1" x14ac:dyDescent="0.3"/>
    <row r="1477" s="514" customFormat="1" ht="13" customHeight="1" x14ac:dyDescent="0.3"/>
    <row r="1478" s="514" customFormat="1" ht="13" customHeight="1" x14ac:dyDescent="0.3"/>
    <row r="1479" s="514" customFormat="1" ht="13" customHeight="1" x14ac:dyDescent="0.3"/>
    <row r="1480" s="514" customFormat="1" ht="13" customHeight="1" x14ac:dyDescent="0.3"/>
    <row r="1481" s="514" customFormat="1" ht="13" customHeight="1" x14ac:dyDescent="0.3"/>
    <row r="1482" s="514" customFormat="1" ht="13" customHeight="1" x14ac:dyDescent="0.3"/>
    <row r="1483" s="514" customFormat="1" ht="13" customHeight="1" x14ac:dyDescent="0.3"/>
    <row r="1484" s="514" customFormat="1" ht="13" customHeight="1" x14ac:dyDescent="0.3"/>
    <row r="1485" s="514" customFormat="1" ht="13" customHeight="1" x14ac:dyDescent="0.3"/>
    <row r="1486" s="514" customFormat="1" ht="13" customHeight="1" x14ac:dyDescent="0.3"/>
    <row r="1487" s="514" customFormat="1" ht="13" customHeight="1" x14ac:dyDescent="0.3"/>
    <row r="1488" s="514" customFormat="1" ht="13" customHeight="1" x14ac:dyDescent="0.3"/>
    <row r="1489" s="514" customFormat="1" ht="13" customHeight="1" x14ac:dyDescent="0.3"/>
    <row r="1490" s="514" customFormat="1" ht="13" customHeight="1" x14ac:dyDescent="0.3"/>
    <row r="1491" s="514" customFormat="1" ht="13" customHeight="1" x14ac:dyDescent="0.3"/>
    <row r="1492" s="514" customFormat="1" ht="13" customHeight="1" x14ac:dyDescent="0.3"/>
    <row r="1493" s="514" customFormat="1" ht="13" customHeight="1" x14ac:dyDescent="0.3"/>
    <row r="1494" s="514" customFormat="1" ht="13" customHeight="1" x14ac:dyDescent="0.3"/>
    <row r="1495" s="514" customFormat="1" ht="13" customHeight="1" x14ac:dyDescent="0.3"/>
    <row r="1496" s="514" customFormat="1" ht="13" customHeight="1" x14ac:dyDescent="0.3"/>
    <row r="1497" s="514" customFormat="1" ht="13" customHeight="1" x14ac:dyDescent="0.3"/>
    <row r="1498" s="514" customFormat="1" ht="13" customHeight="1" x14ac:dyDescent="0.3"/>
    <row r="1499" s="514" customFormat="1" ht="13" customHeight="1" x14ac:dyDescent="0.3"/>
    <row r="1500" s="514" customFormat="1" ht="13" customHeight="1" x14ac:dyDescent="0.3"/>
    <row r="1501" s="514" customFormat="1" ht="13" customHeight="1" x14ac:dyDescent="0.3"/>
    <row r="1502" s="514" customFormat="1" ht="13" customHeight="1" x14ac:dyDescent="0.3"/>
    <row r="1503" s="514" customFormat="1" ht="13" customHeight="1" x14ac:dyDescent="0.3"/>
    <row r="1504" s="514" customFormat="1" ht="13" customHeight="1" x14ac:dyDescent="0.3"/>
    <row r="1505" s="514" customFormat="1" ht="13" customHeight="1" x14ac:dyDescent="0.3"/>
    <row r="1506" s="514" customFormat="1" ht="13" customHeight="1" x14ac:dyDescent="0.3"/>
    <row r="1507" s="514" customFormat="1" ht="13" customHeight="1" x14ac:dyDescent="0.3"/>
    <row r="1508" s="514" customFormat="1" ht="13" customHeight="1" x14ac:dyDescent="0.3"/>
    <row r="1509" s="514" customFormat="1" ht="13" customHeight="1" x14ac:dyDescent="0.3"/>
    <row r="1510" s="514" customFormat="1" ht="13" customHeight="1" x14ac:dyDescent="0.3"/>
    <row r="1511" s="514" customFormat="1" ht="13" customHeight="1" x14ac:dyDescent="0.3"/>
    <row r="1512" s="514" customFormat="1" ht="13" customHeight="1" x14ac:dyDescent="0.3"/>
    <row r="1513" s="514" customFormat="1" ht="13" customHeight="1" x14ac:dyDescent="0.3"/>
    <row r="1514" s="514" customFormat="1" ht="13" customHeight="1" x14ac:dyDescent="0.3"/>
    <row r="1515" s="514" customFormat="1" ht="13" customHeight="1" x14ac:dyDescent="0.3"/>
    <row r="1516" s="514" customFormat="1" ht="13" customHeight="1" x14ac:dyDescent="0.3"/>
    <row r="1517" s="514" customFormat="1" ht="13" customHeight="1" x14ac:dyDescent="0.3"/>
    <row r="1518" s="514" customFormat="1" ht="13" customHeight="1" x14ac:dyDescent="0.3"/>
    <row r="1519" s="514" customFormat="1" ht="13" customHeight="1" x14ac:dyDescent="0.3"/>
    <row r="1520" s="514" customFormat="1" ht="13" customHeight="1" x14ac:dyDescent="0.3"/>
    <row r="1521" s="514" customFormat="1" ht="13" customHeight="1" x14ac:dyDescent="0.3"/>
    <row r="1522" s="514" customFormat="1" ht="13" customHeight="1" x14ac:dyDescent="0.3"/>
    <row r="1523" s="514" customFormat="1" ht="13" customHeight="1" x14ac:dyDescent="0.3"/>
    <row r="1524" s="514" customFormat="1" ht="13" customHeight="1" x14ac:dyDescent="0.3"/>
    <row r="1525" s="514" customFormat="1" ht="13" customHeight="1" x14ac:dyDescent="0.3"/>
    <row r="1526" s="514" customFormat="1" ht="13" customHeight="1" x14ac:dyDescent="0.3"/>
    <row r="1527" s="514" customFormat="1" ht="13" customHeight="1" x14ac:dyDescent="0.3"/>
    <row r="1528" s="514" customFormat="1" ht="13" customHeight="1" x14ac:dyDescent="0.3"/>
    <row r="1529" s="514" customFormat="1" ht="13" customHeight="1" x14ac:dyDescent="0.3"/>
    <row r="1530" s="514" customFormat="1" ht="13" customHeight="1" x14ac:dyDescent="0.3"/>
    <row r="1531" s="514" customFormat="1" ht="13" customHeight="1" x14ac:dyDescent="0.3"/>
    <row r="1532" s="514" customFormat="1" ht="13" customHeight="1" x14ac:dyDescent="0.3"/>
    <row r="1533" s="514" customFormat="1" ht="13" customHeight="1" x14ac:dyDescent="0.3"/>
    <row r="1534" s="514" customFormat="1" ht="13" customHeight="1" x14ac:dyDescent="0.3"/>
    <row r="1535" s="514" customFormat="1" ht="13" customHeight="1" x14ac:dyDescent="0.3"/>
    <row r="1536" s="514" customFormat="1" ht="13" customHeight="1" x14ac:dyDescent="0.3"/>
    <row r="1537" s="514" customFormat="1" ht="13" customHeight="1" x14ac:dyDescent="0.3"/>
    <row r="1538" s="514" customFormat="1" ht="13" customHeight="1" x14ac:dyDescent="0.3"/>
    <row r="1539" s="514" customFormat="1" ht="13" customHeight="1" x14ac:dyDescent="0.3"/>
    <row r="1540" s="514" customFormat="1" ht="13" customHeight="1" x14ac:dyDescent="0.3"/>
    <row r="1541" s="514" customFormat="1" ht="13" customHeight="1" x14ac:dyDescent="0.3"/>
    <row r="1542" s="514" customFormat="1" ht="13" customHeight="1" x14ac:dyDescent="0.3"/>
    <row r="1543" s="514" customFormat="1" ht="13" customHeight="1" x14ac:dyDescent="0.3"/>
    <row r="1544" s="514" customFormat="1" ht="13" customHeight="1" x14ac:dyDescent="0.3"/>
    <row r="1545" s="514" customFormat="1" ht="13" customHeight="1" x14ac:dyDescent="0.3"/>
    <row r="1546" s="514" customFormat="1" ht="13" customHeight="1" x14ac:dyDescent="0.3"/>
    <row r="1547" s="514" customFormat="1" ht="13" customHeight="1" x14ac:dyDescent="0.3"/>
    <row r="1548" s="514" customFormat="1" ht="13" customHeight="1" x14ac:dyDescent="0.3"/>
    <row r="1549" s="514" customFormat="1" ht="13" customHeight="1" x14ac:dyDescent="0.3"/>
    <row r="1550" s="514" customFormat="1" ht="13" customHeight="1" x14ac:dyDescent="0.3"/>
    <row r="1551" s="514" customFormat="1" ht="13" customHeight="1" x14ac:dyDescent="0.3"/>
    <row r="1552" s="514" customFormat="1" ht="13" customHeight="1" x14ac:dyDescent="0.3"/>
    <row r="1553" s="514" customFormat="1" ht="13" customHeight="1" x14ac:dyDescent="0.3"/>
    <row r="1554" s="514" customFormat="1" ht="13" customHeight="1" x14ac:dyDescent="0.3"/>
    <row r="1555" s="514" customFormat="1" ht="13" customHeight="1" x14ac:dyDescent="0.3"/>
    <row r="1556" s="514" customFormat="1" ht="13" customHeight="1" x14ac:dyDescent="0.3"/>
    <row r="1557" s="514" customFormat="1" ht="13" customHeight="1" x14ac:dyDescent="0.3"/>
    <row r="1558" s="514" customFormat="1" ht="13" customHeight="1" x14ac:dyDescent="0.3"/>
    <row r="1559" s="514" customFormat="1" ht="13" customHeight="1" x14ac:dyDescent="0.3"/>
    <row r="1560" s="514" customFormat="1" ht="13" customHeight="1" x14ac:dyDescent="0.3"/>
    <row r="1561" s="514" customFormat="1" ht="13" customHeight="1" x14ac:dyDescent="0.3"/>
    <row r="1562" s="514" customFormat="1" ht="13" customHeight="1" x14ac:dyDescent="0.3"/>
    <row r="1563" s="514" customFormat="1" ht="13" customHeight="1" x14ac:dyDescent="0.3"/>
    <row r="1564" s="514" customFormat="1" ht="13" customHeight="1" x14ac:dyDescent="0.3"/>
    <row r="1565" s="514" customFormat="1" ht="13" customHeight="1" x14ac:dyDescent="0.3"/>
    <row r="1566" s="514" customFormat="1" ht="13" customHeight="1" x14ac:dyDescent="0.3"/>
    <row r="1567" s="514" customFormat="1" ht="13" customHeight="1" x14ac:dyDescent="0.3"/>
    <row r="1568" s="514" customFormat="1" ht="13" customHeight="1" x14ac:dyDescent="0.3"/>
    <row r="1569" s="514" customFormat="1" ht="13" customHeight="1" x14ac:dyDescent="0.3"/>
    <row r="1570" s="514" customFormat="1" ht="13" customHeight="1" x14ac:dyDescent="0.3"/>
    <row r="1571" s="514" customFormat="1" ht="13" customHeight="1" x14ac:dyDescent="0.3"/>
    <row r="1572" s="514" customFormat="1" ht="13" customHeight="1" x14ac:dyDescent="0.3"/>
    <row r="1573" s="514" customFormat="1" ht="13" customHeight="1" x14ac:dyDescent="0.3"/>
    <row r="1574" s="514" customFormat="1" ht="13" customHeight="1" x14ac:dyDescent="0.3"/>
    <row r="1575" s="514" customFormat="1" ht="13" customHeight="1" x14ac:dyDescent="0.3"/>
    <row r="1576" s="514" customFormat="1" ht="13" customHeight="1" x14ac:dyDescent="0.3"/>
    <row r="1577" s="514" customFormat="1" ht="13" customHeight="1" x14ac:dyDescent="0.3"/>
    <row r="1578" s="514" customFormat="1" ht="13" customHeight="1" x14ac:dyDescent="0.3"/>
    <row r="1579" s="514" customFormat="1" ht="13" customHeight="1" x14ac:dyDescent="0.3"/>
    <row r="1580" s="514" customFormat="1" ht="13" customHeight="1" x14ac:dyDescent="0.3"/>
    <row r="1581" s="514" customFormat="1" ht="13" customHeight="1" x14ac:dyDescent="0.3"/>
    <row r="1582" s="514" customFormat="1" ht="13" customHeight="1" x14ac:dyDescent="0.3"/>
    <row r="1583" s="514" customFormat="1" ht="13" customHeight="1" x14ac:dyDescent="0.3"/>
    <row r="1584" s="514" customFormat="1" ht="13" customHeight="1" x14ac:dyDescent="0.3"/>
    <row r="1585" s="514" customFormat="1" ht="13" customHeight="1" x14ac:dyDescent="0.3"/>
    <row r="1586" s="514" customFormat="1" ht="13" customHeight="1" x14ac:dyDescent="0.3"/>
    <row r="1587" s="514" customFormat="1" ht="13" customHeight="1" x14ac:dyDescent="0.3"/>
    <row r="1588" s="514" customFormat="1" ht="13" customHeight="1" x14ac:dyDescent="0.3"/>
    <row r="1589" s="514" customFormat="1" ht="13" customHeight="1" x14ac:dyDescent="0.3"/>
    <row r="1590" s="514" customFormat="1" ht="13" customHeight="1" x14ac:dyDescent="0.3"/>
    <row r="1591" s="514" customFormat="1" ht="13" customHeight="1" x14ac:dyDescent="0.3"/>
    <row r="1592" s="514" customFormat="1" ht="13" customHeight="1" x14ac:dyDescent="0.3"/>
    <row r="1593" s="514" customFormat="1" ht="13" customHeight="1" x14ac:dyDescent="0.3"/>
    <row r="1594" s="514" customFormat="1" ht="13" customHeight="1" x14ac:dyDescent="0.3"/>
    <row r="1595" s="514" customFormat="1" ht="13" customHeight="1" x14ac:dyDescent="0.3"/>
    <row r="1596" s="514" customFormat="1" ht="13" customHeight="1" x14ac:dyDescent="0.3"/>
    <row r="1597" s="514" customFormat="1" ht="13" customHeight="1" x14ac:dyDescent="0.3"/>
    <row r="1598" s="514" customFormat="1" ht="13" customHeight="1" x14ac:dyDescent="0.3"/>
    <row r="1599" s="514" customFormat="1" ht="13" customHeight="1" x14ac:dyDescent="0.3"/>
    <row r="1600" s="514" customFormat="1" ht="13" customHeight="1" x14ac:dyDescent="0.3"/>
    <row r="1601" s="514" customFormat="1" ht="13" customHeight="1" x14ac:dyDescent="0.3"/>
    <row r="1602" s="514" customFormat="1" ht="13" customHeight="1" x14ac:dyDescent="0.3"/>
    <row r="1603" s="514" customFormat="1" ht="13" customHeight="1" x14ac:dyDescent="0.3"/>
    <row r="1604" s="514" customFormat="1" ht="13" customHeight="1" x14ac:dyDescent="0.3"/>
    <row r="1605" s="514" customFormat="1" ht="13" customHeight="1" x14ac:dyDescent="0.3"/>
    <row r="1606" s="514" customFormat="1" ht="13" customHeight="1" x14ac:dyDescent="0.3"/>
    <row r="1607" s="514" customFormat="1" ht="13" customHeight="1" x14ac:dyDescent="0.3"/>
    <row r="1608" s="514" customFormat="1" ht="13" customHeight="1" x14ac:dyDescent="0.3"/>
    <row r="1609" s="514" customFormat="1" ht="13" customHeight="1" x14ac:dyDescent="0.3"/>
    <row r="1610" s="514" customFormat="1" ht="13" customHeight="1" x14ac:dyDescent="0.3"/>
    <row r="1611" s="514" customFormat="1" ht="13" customHeight="1" x14ac:dyDescent="0.3"/>
    <row r="1612" s="514" customFormat="1" ht="13" customHeight="1" x14ac:dyDescent="0.3"/>
    <row r="1613" s="514" customFormat="1" ht="13" customHeight="1" x14ac:dyDescent="0.3"/>
    <row r="1614" s="514" customFormat="1" ht="13" customHeight="1" x14ac:dyDescent="0.3"/>
    <row r="1615" s="514" customFormat="1" ht="13" customHeight="1" x14ac:dyDescent="0.3"/>
    <row r="1616" s="514" customFormat="1" ht="13" customHeight="1" x14ac:dyDescent="0.3"/>
    <row r="1617" s="514" customFormat="1" ht="13" customHeight="1" x14ac:dyDescent="0.3"/>
    <row r="1618" s="514" customFormat="1" ht="13" customHeight="1" x14ac:dyDescent="0.3"/>
    <row r="1619" s="514" customFormat="1" ht="13" customHeight="1" x14ac:dyDescent="0.3"/>
    <row r="1620" s="514" customFormat="1" ht="13" customHeight="1" x14ac:dyDescent="0.3"/>
    <row r="1621" s="514" customFormat="1" ht="13" customHeight="1" x14ac:dyDescent="0.3"/>
    <row r="1622" s="514" customFormat="1" ht="13" customHeight="1" x14ac:dyDescent="0.3"/>
    <row r="1623" s="514" customFormat="1" ht="13" customHeight="1" x14ac:dyDescent="0.3"/>
    <row r="1624" s="514" customFormat="1" ht="13" customHeight="1" x14ac:dyDescent="0.3"/>
    <row r="1625" s="514" customFormat="1" ht="13" customHeight="1" x14ac:dyDescent="0.3"/>
    <row r="1626" s="514" customFormat="1" ht="13" customHeight="1" x14ac:dyDescent="0.3"/>
    <row r="1627" s="514" customFormat="1" ht="13" customHeight="1" x14ac:dyDescent="0.3"/>
    <row r="1628" s="514" customFormat="1" ht="13" customHeight="1" x14ac:dyDescent="0.3"/>
    <row r="1629" s="514" customFormat="1" ht="13" customHeight="1" x14ac:dyDescent="0.3"/>
    <row r="1630" s="514" customFormat="1" ht="13" customHeight="1" x14ac:dyDescent="0.3"/>
    <row r="1631" s="514" customFormat="1" ht="13" customHeight="1" x14ac:dyDescent="0.3"/>
    <row r="1632" s="514" customFormat="1" ht="13" customHeight="1" x14ac:dyDescent="0.3"/>
    <row r="1633" s="514" customFormat="1" ht="13" customHeight="1" x14ac:dyDescent="0.3"/>
    <row r="1634" s="514" customFormat="1" ht="13" customHeight="1" x14ac:dyDescent="0.3"/>
    <row r="1635" s="514" customFormat="1" ht="13" customHeight="1" x14ac:dyDescent="0.3"/>
    <row r="1636" s="514" customFormat="1" ht="13" customHeight="1" x14ac:dyDescent="0.3"/>
    <row r="1637" s="514" customFormat="1" ht="13" customHeight="1" x14ac:dyDescent="0.3"/>
    <row r="1638" s="514" customFormat="1" ht="13" customHeight="1" x14ac:dyDescent="0.3"/>
    <row r="1639" s="514" customFormat="1" ht="13" customHeight="1" x14ac:dyDescent="0.3"/>
    <row r="1640" s="514" customFormat="1" ht="13" customHeight="1" x14ac:dyDescent="0.3"/>
    <row r="1641" s="514" customFormat="1" ht="13" customHeight="1" x14ac:dyDescent="0.3"/>
    <row r="1642" s="514" customFormat="1" ht="13" customHeight="1" x14ac:dyDescent="0.3"/>
    <row r="1643" s="514" customFormat="1" ht="13" customHeight="1" x14ac:dyDescent="0.3"/>
    <row r="1644" s="514" customFormat="1" ht="13" customHeight="1" x14ac:dyDescent="0.3"/>
    <row r="1645" s="514" customFormat="1" ht="13" customHeight="1" x14ac:dyDescent="0.3"/>
    <row r="1646" s="514" customFormat="1" ht="13" customHeight="1" x14ac:dyDescent="0.3"/>
    <row r="1647" s="514" customFormat="1" ht="13" customHeight="1" x14ac:dyDescent="0.3"/>
    <row r="1648" s="514" customFormat="1" ht="13" customHeight="1" x14ac:dyDescent="0.3"/>
    <row r="1649" s="514" customFormat="1" ht="13" customHeight="1" x14ac:dyDescent="0.3"/>
    <row r="1650" s="514" customFormat="1" ht="13" customHeight="1" x14ac:dyDescent="0.3"/>
    <row r="1651" s="514" customFormat="1" ht="13" customHeight="1" x14ac:dyDescent="0.3"/>
    <row r="1652" s="514" customFormat="1" ht="13" customHeight="1" x14ac:dyDescent="0.3"/>
    <row r="1653" s="514" customFormat="1" ht="13" customHeight="1" x14ac:dyDescent="0.3"/>
    <row r="1654" s="514" customFormat="1" ht="13" customHeight="1" x14ac:dyDescent="0.3"/>
    <row r="1655" s="514" customFormat="1" ht="13" customHeight="1" x14ac:dyDescent="0.3"/>
    <row r="1656" s="514" customFormat="1" ht="13" customHeight="1" x14ac:dyDescent="0.3"/>
    <row r="1657" s="514" customFormat="1" ht="13" customHeight="1" x14ac:dyDescent="0.3"/>
    <row r="1658" s="514" customFormat="1" ht="13" customHeight="1" x14ac:dyDescent="0.3"/>
    <row r="1659" s="514" customFormat="1" ht="13" customHeight="1" x14ac:dyDescent="0.3"/>
    <row r="1660" s="514" customFormat="1" ht="13" customHeight="1" x14ac:dyDescent="0.3"/>
    <row r="1661" s="514" customFormat="1" ht="13" customHeight="1" x14ac:dyDescent="0.3"/>
    <row r="1662" s="514" customFormat="1" ht="13" customHeight="1" x14ac:dyDescent="0.3"/>
    <row r="1663" s="514" customFormat="1" ht="13" customHeight="1" x14ac:dyDescent="0.3"/>
    <row r="1664" s="514" customFormat="1" ht="13" customHeight="1" x14ac:dyDescent="0.3"/>
    <row r="1665" s="514" customFormat="1" ht="13" customHeight="1" x14ac:dyDescent="0.3"/>
    <row r="1666" s="514" customFormat="1" ht="13" customHeight="1" x14ac:dyDescent="0.3"/>
    <row r="1667" s="514" customFormat="1" ht="13" customHeight="1" x14ac:dyDescent="0.3"/>
    <row r="1668" s="514" customFormat="1" ht="13" customHeight="1" x14ac:dyDescent="0.3"/>
    <row r="1669" s="514" customFormat="1" ht="13" customHeight="1" x14ac:dyDescent="0.3"/>
    <row r="1670" s="514" customFormat="1" ht="13" customHeight="1" x14ac:dyDescent="0.3"/>
    <row r="1671" s="514" customFormat="1" ht="13" customHeight="1" x14ac:dyDescent="0.3"/>
    <row r="1672" s="514" customFormat="1" ht="13" customHeight="1" x14ac:dyDescent="0.3"/>
    <row r="1673" s="514" customFormat="1" ht="13" customHeight="1" x14ac:dyDescent="0.3"/>
    <row r="1674" s="514" customFormat="1" ht="13" customHeight="1" x14ac:dyDescent="0.3"/>
    <row r="1675" s="514" customFormat="1" ht="13" customHeight="1" x14ac:dyDescent="0.3"/>
    <row r="1676" s="514" customFormat="1" ht="13" customHeight="1" x14ac:dyDescent="0.3"/>
    <row r="1677" s="514" customFormat="1" ht="13" customHeight="1" x14ac:dyDescent="0.3"/>
    <row r="1678" s="514" customFormat="1" ht="13" customHeight="1" x14ac:dyDescent="0.3"/>
    <row r="1679" s="514" customFormat="1" ht="13" customHeight="1" x14ac:dyDescent="0.3"/>
    <row r="1680" s="514" customFormat="1" ht="13" customHeight="1" x14ac:dyDescent="0.3"/>
    <row r="1681" s="514" customFormat="1" ht="13" customHeight="1" x14ac:dyDescent="0.3"/>
    <row r="1682" s="514" customFormat="1" ht="13" customHeight="1" x14ac:dyDescent="0.3"/>
    <row r="1683" s="514" customFormat="1" ht="13" customHeight="1" x14ac:dyDescent="0.3"/>
    <row r="1684" s="514" customFormat="1" ht="13" customHeight="1" x14ac:dyDescent="0.3"/>
    <row r="1685" s="514" customFormat="1" ht="13" customHeight="1" x14ac:dyDescent="0.3"/>
    <row r="1686" s="514" customFormat="1" ht="13" customHeight="1" x14ac:dyDescent="0.3"/>
    <row r="1687" s="514" customFormat="1" ht="13" customHeight="1" x14ac:dyDescent="0.3"/>
    <row r="1688" s="514" customFormat="1" ht="13" customHeight="1" x14ac:dyDescent="0.3"/>
    <row r="1689" s="514" customFormat="1" ht="13" customHeight="1" x14ac:dyDescent="0.3"/>
    <row r="1690" s="514" customFormat="1" ht="13" customHeight="1" x14ac:dyDescent="0.3"/>
    <row r="1691" s="514" customFormat="1" ht="13" customHeight="1" x14ac:dyDescent="0.3"/>
    <row r="1692" s="514" customFormat="1" ht="13" customHeight="1" x14ac:dyDescent="0.3"/>
    <row r="1693" s="514" customFormat="1" ht="13" customHeight="1" x14ac:dyDescent="0.3"/>
    <row r="1694" s="514" customFormat="1" ht="13" customHeight="1" x14ac:dyDescent="0.3"/>
    <row r="1695" s="514" customFormat="1" ht="13" customHeight="1" x14ac:dyDescent="0.3"/>
    <row r="1696" s="514" customFormat="1" ht="13" customHeight="1" x14ac:dyDescent="0.3"/>
    <row r="1697" s="514" customFormat="1" ht="13" customHeight="1" x14ac:dyDescent="0.3"/>
    <row r="1698" s="514" customFormat="1" ht="13" customHeight="1" x14ac:dyDescent="0.3"/>
    <row r="1699" s="514" customFormat="1" ht="13" customHeight="1" x14ac:dyDescent="0.3"/>
    <row r="1700" s="514" customFormat="1" ht="13" customHeight="1" x14ac:dyDescent="0.3"/>
    <row r="1701" s="514" customFormat="1" ht="13" customHeight="1" x14ac:dyDescent="0.3"/>
    <row r="1702" s="514" customFormat="1" ht="13" customHeight="1" x14ac:dyDescent="0.3"/>
    <row r="1703" s="514" customFormat="1" ht="13" customHeight="1" x14ac:dyDescent="0.3"/>
    <row r="1704" s="514" customFormat="1" ht="13" customHeight="1" x14ac:dyDescent="0.3"/>
    <row r="1705" s="514" customFormat="1" ht="13" customHeight="1" x14ac:dyDescent="0.3"/>
    <row r="1706" s="514" customFormat="1" ht="13" customHeight="1" x14ac:dyDescent="0.3"/>
    <row r="1707" s="514" customFormat="1" ht="13" customHeight="1" x14ac:dyDescent="0.3"/>
    <row r="1708" s="514" customFormat="1" ht="13" customHeight="1" x14ac:dyDescent="0.3"/>
    <row r="1709" s="514" customFormat="1" ht="13" customHeight="1" x14ac:dyDescent="0.3"/>
    <row r="1710" s="514" customFormat="1" ht="13" customHeight="1" x14ac:dyDescent="0.3"/>
    <row r="1711" s="514" customFormat="1" ht="13" customHeight="1" x14ac:dyDescent="0.3"/>
    <row r="1712" s="514" customFormat="1" ht="13" customHeight="1" x14ac:dyDescent="0.3"/>
    <row r="1713" s="514" customFormat="1" ht="13" customHeight="1" x14ac:dyDescent="0.3"/>
    <row r="1714" s="514" customFormat="1" ht="13" customHeight="1" x14ac:dyDescent="0.3"/>
    <row r="1715" s="514" customFormat="1" ht="13" customHeight="1" x14ac:dyDescent="0.3"/>
    <row r="1716" s="514" customFormat="1" ht="13" customHeight="1" x14ac:dyDescent="0.3"/>
    <row r="1717" s="514" customFormat="1" ht="13" customHeight="1" x14ac:dyDescent="0.3"/>
    <row r="1718" s="514" customFormat="1" ht="13" customHeight="1" x14ac:dyDescent="0.3"/>
    <row r="1719" s="514" customFormat="1" ht="13" customHeight="1" x14ac:dyDescent="0.3"/>
    <row r="1720" s="514" customFormat="1" ht="13" customHeight="1" x14ac:dyDescent="0.3"/>
    <row r="1721" s="514" customFormat="1" ht="13" customHeight="1" x14ac:dyDescent="0.3"/>
    <row r="1722" s="514" customFormat="1" ht="13" customHeight="1" x14ac:dyDescent="0.3"/>
    <row r="1723" s="514" customFormat="1" ht="13" customHeight="1" x14ac:dyDescent="0.3"/>
    <row r="1724" s="514" customFormat="1" ht="13" customHeight="1" x14ac:dyDescent="0.3"/>
    <row r="1725" s="514" customFormat="1" ht="13" customHeight="1" x14ac:dyDescent="0.3"/>
    <row r="1726" s="514" customFormat="1" ht="13" customHeight="1" x14ac:dyDescent="0.3"/>
    <row r="1727" s="514" customFormat="1" ht="13" customHeight="1" x14ac:dyDescent="0.3"/>
    <row r="1728" s="514" customFormat="1" ht="13" customHeight="1" x14ac:dyDescent="0.3"/>
    <row r="1729" s="514" customFormat="1" ht="13" customHeight="1" x14ac:dyDescent="0.3"/>
    <row r="1730" s="514" customFormat="1" ht="13" customHeight="1" x14ac:dyDescent="0.3"/>
    <row r="1731" s="514" customFormat="1" ht="13" customHeight="1" x14ac:dyDescent="0.3"/>
    <row r="1732" s="514" customFormat="1" ht="13" customHeight="1" x14ac:dyDescent="0.3"/>
    <row r="1733" s="514" customFormat="1" ht="13" customHeight="1" x14ac:dyDescent="0.3"/>
    <row r="1734" s="514" customFormat="1" ht="13" customHeight="1" x14ac:dyDescent="0.3"/>
    <row r="1735" s="514" customFormat="1" ht="13" customHeight="1" x14ac:dyDescent="0.3"/>
    <row r="1736" s="514" customFormat="1" ht="13" customHeight="1" x14ac:dyDescent="0.3"/>
    <row r="1737" s="514" customFormat="1" ht="13" customHeight="1" x14ac:dyDescent="0.3"/>
    <row r="1738" s="514" customFormat="1" ht="13" customHeight="1" x14ac:dyDescent="0.3"/>
    <row r="1739" s="514" customFormat="1" ht="13" customHeight="1" x14ac:dyDescent="0.3"/>
    <row r="1740" s="514" customFormat="1" ht="13" customHeight="1" x14ac:dyDescent="0.3"/>
    <row r="1741" s="514" customFormat="1" ht="13" customHeight="1" x14ac:dyDescent="0.3"/>
    <row r="1742" s="514" customFormat="1" ht="13" customHeight="1" x14ac:dyDescent="0.3"/>
    <row r="1743" s="514" customFormat="1" ht="13" customHeight="1" x14ac:dyDescent="0.3"/>
    <row r="1744" s="514" customFormat="1" ht="13" customHeight="1" x14ac:dyDescent="0.3"/>
    <row r="1745" s="514" customFormat="1" ht="13" customHeight="1" x14ac:dyDescent="0.3"/>
    <row r="1746" s="514" customFormat="1" ht="13" customHeight="1" x14ac:dyDescent="0.3"/>
    <row r="1747" s="514" customFormat="1" ht="13" customHeight="1" x14ac:dyDescent="0.3"/>
    <row r="1748" s="514" customFormat="1" ht="13" customHeight="1" x14ac:dyDescent="0.3"/>
    <row r="1749" s="514" customFormat="1" ht="13" customHeight="1" x14ac:dyDescent="0.3"/>
    <row r="1750" s="514" customFormat="1" ht="13" customHeight="1" x14ac:dyDescent="0.3"/>
    <row r="1751" s="514" customFormat="1" ht="13" customHeight="1" x14ac:dyDescent="0.3"/>
    <row r="1752" s="514" customFormat="1" ht="13" customHeight="1" x14ac:dyDescent="0.3"/>
    <row r="1753" s="514" customFormat="1" ht="13" customHeight="1" x14ac:dyDescent="0.3"/>
    <row r="1754" s="514" customFormat="1" ht="13" customHeight="1" x14ac:dyDescent="0.3"/>
    <row r="1755" s="514" customFormat="1" ht="13" customHeight="1" x14ac:dyDescent="0.3"/>
    <row r="1756" s="514" customFormat="1" ht="13" customHeight="1" x14ac:dyDescent="0.3"/>
    <row r="1757" s="514" customFormat="1" ht="13" customHeight="1" x14ac:dyDescent="0.3"/>
    <row r="1758" s="514" customFormat="1" ht="13" customHeight="1" x14ac:dyDescent="0.3"/>
    <row r="1759" s="514" customFormat="1" ht="13" customHeight="1" x14ac:dyDescent="0.3"/>
    <row r="1760" s="514" customFormat="1" ht="13" customHeight="1" x14ac:dyDescent="0.3"/>
    <row r="1761" s="514" customFormat="1" ht="13" customHeight="1" x14ac:dyDescent="0.3"/>
    <row r="1762" s="514" customFormat="1" ht="13" customHeight="1" x14ac:dyDescent="0.3"/>
    <row r="1763" s="514" customFormat="1" ht="13" customHeight="1" x14ac:dyDescent="0.3"/>
    <row r="1764" s="514" customFormat="1" ht="13" customHeight="1" x14ac:dyDescent="0.3"/>
    <row r="1765" s="514" customFormat="1" ht="13" customHeight="1" x14ac:dyDescent="0.3"/>
    <row r="1766" s="514" customFormat="1" ht="13" customHeight="1" x14ac:dyDescent="0.3"/>
    <row r="1767" s="514" customFormat="1" ht="13" customHeight="1" x14ac:dyDescent="0.3"/>
    <row r="1768" s="514" customFormat="1" ht="13" customHeight="1" x14ac:dyDescent="0.3"/>
    <row r="1769" s="514" customFormat="1" ht="13" customHeight="1" x14ac:dyDescent="0.3"/>
    <row r="1770" s="514" customFormat="1" ht="13" customHeight="1" x14ac:dyDescent="0.3"/>
    <row r="1771" s="514" customFormat="1" ht="13" customHeight="1" x14ac:dyDescent="0.3"/>
    <row r="1772" s="514" customFormat="1" ht="13" customHeight="1" x14ac:dyDescent="0.3"/>
    <row r="1773" s="514" customFormat="1" ht="13" customHeight="1" x14ac:dyDescent="0.3"/>
    <row r="1774" s="514" customFormat="1" ht="13" customHeight="1" x14ac:dyDescent="0.3"/>
    <row r="1775" s="514" customFormat="1" ht="13" customHeight="1" x14ac:dyDescent="0.3"/>
    <row r="1776" s="514" customFormat="1" ht="13" customHeight="1" x14ac:dyDescent="0.3"/>
    <row r="1777" s="514" customFormat="1" ht="13" customHeight="1" x14ac:dyDescent="0.3"/>
    <row r="1778" s="514" customFormat="1" ht="13" customHeight="1" x14ac:dyDescent="0.3"/>
    <row r="1779" s="514" customFormat="1" ht="13" customHeight="1" x14ac:dyDescent="0.3"/>
    <row r="1780" s="514" customFormat="1" ht="13" customHeight="1" x14ac:dyDescent="0.3"/>
    <row r="1781" s="514" customFormat="1" ht="13" customHeight="1" x14ac:dyDescent="0.3"/>
    <row r="1782" s="514" customFormat="1" ht="13" customHeight="1" x14ac:dyDescent="0.3"/>
    <row r="1783" s="514" customFormat="1" ht="13" customHeight="1" x14ac:dyDescent="0.3"/>
    <row r="1784" s="514" customFormat="1" ht="13" customHeight="1" x14ac:dyDescent="0.3"/>
    <row r="1785" s="514" customFormat="1" ht="13" customHeight="1" x14ac:dyDescent="0.3"/>
    <row r="1786" s="514" customFormat="1" ht="13" customHeight="1" x14ac:dyDescent="0.3"/>
    <row r="1787" s="514" customFormat="1" ht="13" customHeight="1" x14ac:dyDescent="0.3"/>
    <row r="1788" s="514" customFormat="1" ht="13" customHeight="1" x14ac:dyDescent="0.3"/>
    <row r="1789" s="514" customFormat="1" ht="13" customHeight="1" x14ac:dyDescent="0.3"/>
    <row r="1790" s="514" customFormat="1" ht="13" customHeight="1" x14ac:dyDescent="0.3"/>
    <row r="1791" s="514" customFormat="1" ht="13" customHeight="1" x14ac:dyDescent="0.3"/>
    <row r="1792" s="514" customFormat="1" ht="13" customHeight="1" x14ac:dyDescent="0.3"/>
    <row r="1793" s="514" customFormat="1" ht="13" customHeight="1" x14ac:dyDescent="0.3"/>
    <row r="1794" s="514" customFormat="1" ht="13" customHeight="1" x14ac:dyDescent="0.3"/>
    <row r="1795" s="514" customFormat="1" ht="13" customHeight="1" x14ac:dyDescent="0.3"/>
    <row r="1796" s="514" customFormat="1" ht="13" customHeight="1" x14ac:dyDescent="0.3"/>
    <row r="1797" s="514" customFormat="1" ht="13" customHeight="1" x14ac:dyDescent="0.3"/>
    <row r="1798" s="514" customFormat="1" ht="13" customHeight="1" x14ac:dyDescent="0.3"/>
    <row r="1799" s="514" customFormat="1" ht="13" customHeight="1" x14ac:dyDescent="0.3"/>
    <row r="1800" s="514" customFormat="1" ht="13" customHeight="1" x14ac:dyDescent="0.3"/>
    <row r="1801" s="514" customFormat="1" ht="13" customHeight="1" x14ac:dyDescent="0.3"/>
    <row r="1802" s="514" customFormat="1" ht="13" customHeight="1" x14ac:dyDescent="0.3"/>
    <row r="1803" s="514" customFormat="1" ht="13" customHeight="1" x14ac:dyDescent="0.3"/>
    <row r="1804" s="514" customFormat="1" ht="13" customHeight="1" x14ac:dyDescent="0.3"/>
    <row r="1805" s="514" customFormat="1" ht="13" customHeight="1" x14ac:dyDescent="0.3"/>
    <row r="1806" s="514" customFormat="1" ht="13" customHeight="1" x14ac:dyDescent="0.3"/>
    <row r="1807" s="514" customFormat="1" ht="13" customHeight="1" x14ac:dyDescent="0.3"/>
    <row r="1808" s="514" customFormat="1" ht="13" customHeight="1" x14ac:dyDescent="0.3"/>
    <row r="1809" s="514" customFormat="1" ht="13" customHeight="1" x14ac:dyDescent="0.3"/>
    <row r="1810" s="514" customFormat="1" ht="13" customHeight="1" x14ac:dyDescent="0.3"/>
    <row r="1811" s="514" customFormat="1" ht="13" customHeight="1" x14ac:dyDescent="0.3"/>
    <row r="1812" s="514" customFormat="1" ht="13" customHeight="1" x14ac:dyDescent="0.3"/>
    <row r="1813" s="514" customFormat="1" ht="13" customHeight="1" x14ac:dyDescent="0.3"/>
    <row r="1814" s="514" customFormat="1" ht="13" customHeight="1" x14ac:dyDescent="0.3"/>
    <row r="1815" s="514" customFormat="1" ht="13" customHeight="1" x14ac:dyDescent="0.3"/>
    <row r="1816" s="514" customFormat="1" ht="13" customHeight="1" x14ac:dyDescent="0.3"/>
    <row r="1817" s="514" customFormat="1" ht="13" customHeight="1" x14ac:dyDescent="0.3"/>
    <row r="1818" s="514" customFormat="1" ht="13" customHeight="1" x14ac:dyDescent="0.3"/>
    <row r="1819" s="514" customFormat="1" ht="13" customHeight="1" x14ac:dyDescent="0.3"/>
    <row r="1820" s="514" customFormat="1" ht="13" customHeight="1" x14ac:dyDescent="0.3"/>
    <row r="1821" s="514" customFormat="1" ht="13" customHeight="1" x14ac:dyDescent="0.3"/>
    <row r="1822" s="514" customFormat="1" ht="13" customHeight="1" x14ac:dyDescent="0.3"/>
    <row r="1823" s="514" customFormat="1" ht="13" customHeight="1" x14ac:dyDescent="0.3"/>
    <row r="1824" s="514" customFormat="1" ht="13" customHeight="1" x14ac:dyDescent="0.3"/>
    <row r="1825" s="514" customFormat="1" ht="13" customHeight="1" x14ac:dyDescent="0.3"/>
    <row r="1826" s="514" customFormat="1" ht="13" customHeight="1" x14ac:dyDescent="0.3"/>
    <row r="1827" s="514" customFormat="1" ht="13" customHeight="1" x14ac:dyDescent="0.3"/>
    <row r="1828" s="514" customFormat="1" ht="13" customHeight="1" x14ac:dyDescent="0.3"/>
    <row r="1829" s="514" customFormat="1" ht="13" customHeight="1" x14ac:dyDescent="0.3"/>
    <row r="1830" s="514" customFormat="1" ht="13" customHeight="1" x14ac:dyDescent="0.3"/>
    <row r="1831" s="514" customFormat="1" ht="13" customHeight="1" x14ac:dyDescent="0.3"/>
    <row r="1832" s="514" customFormat="1" ht="13" customHeight="1" x14ac:dyDescent="0.3"/>
    <row r="1833" s="514" customFormat="1" ht="13" customHeight="1" x14ac:dyDescent="0.3"/>
    <row r="1834" s="514" customFormat="1" ht="13" customHeight="1" x14ac:dyDescent="0.3"/>
    <row r="1835" s="514" customFormat="1" ht="13" customHeight="1" x14ac:dyDescent="0.3"/>
    <row r="1836" s="514" customFormat="1" ht="13" customHeight="1" x14ac:dyDescent="0.3"/>
    <row r="1837" s="514" customFormat="1" ht="13" customHeight="1" x14ac:dyDescent="0.3"/>
    <row r="1838" s="514" customFormat="1" ht="13" customHeight="1" x14ac:dyDescent="0.3"/>
    <row r="1839" s="514" customFormat="1" ht="13" customHeight="1" x14ac:dyDescent="0.3"/>
    <row r="1840" s="514" customFormat="1" ht="13" customHeight="1" x14ac:dyDescent="0.3"/>
    <row r="1841" s="514" customFormat="1" ht="13" customHeight="1" x14ac:dyDescent="0.3"/>
    <row r="1842" s="514" customFormat="1" ht="13" customHeight="1" x14ac:dyDescent="0.3"/>
    <row r="1843" s="514" customFormat="1" ht="13" customHeight="1" x14ac:dyDescent="0.3"/>
    <row r="1844" s="514" customFormat="1" ht="13" customHeight="1" x14ac:dyDescent="0.3"/>
    <row r="1845" s="514" customFormat="1" ht="13" customHeight="1" x14ac:dyDescent="0.3"/>
    <row r="1846" s="514" customFormat="1" ht="13" customHeight="1" x14ac:dyDescent="0.3"/>
    <row r="1847" s="514" customFormat="1" ht="13" customHeight="1" x14ac:dyDescent="0.3"/>
    <row r="1848" s="514" customFormat="1" ht="13" customHeight="1" x14ac:dyDescent="0.3"/>
    <row r="1849" s="514" customFormat="1" ht="13" customHeight="1" x14ac:dyDescent="0.3"/>
    <row r="1850" s="514" customFormat="1" ht="13" customHeight="1" x14ac:dyDescent="0.3"/>
    <row r="1851" s="514" customFormat="1" ht="13" customHeight="1" x14ac:dyDescent="0.3"/>
    <row r="1852" s="514" customFormat="1" ht="13" customHeight="1" x14ac:dyDescent="0.3"/>
    <row r="1853" s="514" customFormat="1" ht="13" customHeight="1" x14ac:dyDescent="0.3"/>
    <row r="1854" s="514" customFormat="1" ht="13" customHeight="1" x14ac:dyDescent="0.3"/>
    <row r="1855" s="514" customFormat="1" ht="13" customHeight="1" x14ac:dyDescent="0.3"/>
    <row r="1856" s="514" customFormat="1" ht="13" customHeight="1" x14ac:dyDescent="0.3"/>
    <row r="1857" s="514" customFormat="1" ht="13" customHeight="1" x14ac:dyDescent="0.3"/>
    <row r="1858" s="514" customFormat="1" ht="13" customHeight="1" x14ac:dyDescent="0.3"/>
    <row r="1859" s="514" customFormat="1" ht="13" customHeight="1" x14ac:dyDescent="0.3"/>
    <row r="1860" s="514" customFormat="1" ht="13" customHeight="1" x14ac:dyDescent="0.3"/>
    <row r="1861" s="514" customFormat="1" ht="13" customHeight="1" x14ac:dyDescent="0.3"/>
    <row r="1862" s="514" customFormat="1" ht="13" customHeight="1" x14ac:dyDescent="0.3"/>
    <row r="1863" s="514" customFormat="1" ht="13" customHeight="1" x14ac:dyDescent="0.3"/>
    <row r="1864" s="514" customFormat="1" ht="13" customHeight="1" x14ac:dyDescent="0.3"/>
    <row r="1865" s="514" customFormat="1" ht="13" customHeight="1" x14ac:dyDescent="0.3"/>
    <row r="1866" s="514" customFormat="1" ht="13" customHeight="1" x14ac:dyDescent="0.3"/>
    <row r="1867" s="514" customFormat="1" ht="13" customHeight="1" x14ac:dyDescent="0.3"/>
    <row r="1868" s="514" customFormat="1" ht="13" customHeight="1" x14ac:dyDescent="0.3"/>
    <row r="1869" s="514" customFormat="1" ht="13" customHeight="1" x14ac:dyDescent="0.3"/>
    <row r="1870" s="514" customFormat="1" ht="13" customHeight="1" x14ac:dyDescent="0.3"/>
    <row r="1871" s="514" customFormat="1" ht="13" customHeight="1" x14ac:dyDescent="0.3"/>
    <row r="1872" s="514" customFormat="1" ht="13" customHeight="1" x14ac:dyDescent="0.3"/>
    <row r="1873" s="514" customFormat="1" ht="13" customHeight="1" x14ac:dyDescent="0.3"/>
    <row r="1874" s="514" customFormat="1" ht="13" customHeight="1" x14ac:dyDescent="0.3"/>
    <row r="1875" s="514" customFormat="1" ht="13" customHeight="1" x14ac:dyDescent="0.3"/>
    <row r="1876" s="514" customFormat="1" ht="13" customHeight="1" x14ac:dyDescent="0.3"/>
    <row r="1877" s="514" customFormat="1" ht="13" customHeight="1" x14ac:dyDescent="0.3"/>
    <row r="1878" s="514" customFormat="1" ht="13" customHeight="1" x14ac:dyDescent="0.3"/>
    <row r="1879" s="514" customFormat="1" ht="13" customHeight="1" x14ac:dyDescent="0.3"/>
    <row r="1880" s="514" customFormat="1" ht="13" customHeight="1" x14ac:dyDescent="0.3"/>
    <row r="1881" s="514" customFormat="1" ht="13" customHeight="1" x14ac:dyDescent="0.3"/>
    <row r="1882" s="514" customFormat="1" ht="13" customHeight="1" x14ac:dyDescent="0.3"/>
    <row r="1883" s="514" customFormat="1" ht="13" customHeight="1" x14ac:dyDescent="0.3"/>
    <row r="1884" s="514" customFormat="1" ht="13" customHeight="1" x14ac:dyDescent="0.3"/>
    <row r="1885" s="514" customFormat="1" ht="13" customHeight="1" x14ac:dyDescent="0.3"/>
    <row r="1886" s="514" customFormat="1" ht="13" customHeight="1" x14ac:dyDescent="0.3"/>
    <row r="1887" s="514" customFormat="1" ht="13" customHeight="1" x14ac:dyDescent="0.3"/>
    <row r="1888" s="514" customFormat="1" ht="13" customHeight="1" x14ac:dyDescent="0.3"/>
    <row r="1889" s="514" customFormat="1" ht="13" customHeight="1" x14ac:dyDescent="0.3"/>
    <row r="1890" s="514" customFormat="1" ht="13" customHeight="1" x14ac:dyDescent="0.3"/>
    <row r="1891" s="514" customFormat="1" ht="13" customHeight="1" x14ac:dyDescent="0.3"/>
    <row r="1892" s="514" customFormat="1" ht="13" customHeight="1" x14ac:dyDescent="0.3"/>
    <row r="1893" s="514" customFormat="1" ht="13" customHeight="1" x14ac:dyDescent="0.3"/>
    <row r="1894" s="514" customFormat="1" ht="13" customHeight="1" x14ac:dyDescent="0.3"/>
    <row r="1895" s="514" customFormat="1" ht="13" customHeight="1" x14ac:dyDescent="0.3"/>
    <row r="1896" s="514" customFormat="1" ht="13" customHeight="1" x14ac:dyDescent="0.3"/>
    <row r="1897" s="514" customFormat="1" ht="13" customHeight="1" x14ac:dyDescent="0.3"/>
    <row r="1898" s="514" customFormat="1" ht="13" customHeight="1" x14ac:dyDescent="0.3"/>
    <row r="1899" s="514" customFormat="1" ht="13" customHeight="1" x14ac:dyDescent="0.3"/>
    <row r="1900" s="514" customFormat="1" ht="13" customHeight="1" x14ac:dyDescent="0.3"/>
    <row r="1901" s="514" customFormat="1" ht="13" customHeight="1" x14ac:dyDescent="0.3"/>
    <row r="1902" s="514" customFormat="1" ht="13" customHeight="1" x14ac:dyDescent="0.3"/>
    <row r="1903" s="514" customFormat="1" ht="13" customHeight="1" x14ac:dyDescent="0.3"/>
    <row r="1904" s="514" customFormat="1" ht="13" customHeight="1" x14ac:dyDescent="0.3"/>
    <row r="1905" s="514" customFormat="1" ht="13" customHeight="1" x14ac:dyDescent="0.3"/>
    <row r="1906" s="514" customFormat="1" ht="13" customHeight="1" x14ac:dyDescent="0.3"/>
    <row r="1907" s="514" customFormat="1" ht="13" customHeight="1" x14ac:dyDescent="0.3"/>
    <row r="1908" s="514" customFormat="1" ht="13" customHeight="1" x14ac:dyDescent="0.3"/>
    <row r="1909" s="514" customFormat="1" ht="13" customHeight="1" x14ac:dyDescent="0.3"/>
    <row r="1910" s="514" customFormat="1" ht="13" customHeight="1" x14ac:dyDescent="0.3"/>
    <row r="1911" s="514" customFormat="1" ht="13" customHeight="1" x14ac:dyDescent="0.3"/>
    <row r="1912" s="514" customFormat="1" ht="13" customHeight="1" x14ac:dyDescent="0.3"/>
    <row r="1913" s="514" customFormat="1" ht="13" customHeight="1" x14ac:dyDescent="0.3"/>
    <row r="1914" s="514" customFormat="1" ht="13" customHeight="1" x14ac:dyDescent="0.3"/>
    <row r="1915" s="514" customFormat="1" ht="13" customHeight="1" x14ac:dyDescent="0.3"/>
    <row r="1916" s="514" customFormat="1" ht="13" customHeight="1" x14ac:dyDescent="0.3"/>
    <row r="1917" s="514" customFormat="1" ht="13" customHeight="1" x14ac:dyDescent="0.3"/>
    <row r="1918" s="514" customFormat="1" ht="13" customHeight="1" x14ac:dyDescent="0.3"/>
    <row r="1919" s="514" customFormat="1" ht="13" customHeight="1" x14ac:dyDescent="0.3"/>
    <row r="1920" s="514" customFormat="1" ht="13" customHeight="1" x14ac:dyDescent="0.3"/>
    <row r="1921" s="514" customFormat="1" ht="13" customHeight="1" x14ac:dyDescent="0.3"/>
    <row r="1922" s="514" customFormat="1" ht="13" customHeight="1" x14ac:dyDescent="0.3"/>
    <row r="1923" s="514" customFormat="1" ht="13" customHeight="1" x14ac:dyDescent="0.3"/>
    <row r="1924" s="514" customFormat="1" ht="13" customHeight="1" x14ac:dyDescent="0.3"/>
    <row r="1925" s="514" customFormat="1" ht="13" customHeight="1" x14ac:dyDescent="0.3"/>
    <row r="1926" s="514" customFormat="1" ht="13" customHeight="1" x14ac:dyDescent="0.3"/>
    <row r="1927" s="514" customFormat="1" ht="13" customHeight="1" x14ac:dyDescent="0.3"/>
    <row r="1928" s="514" customFormat="1" ht="13" customHeight="1" x14ac:dyDescent="0.3"/>
    <row r="1929" s="514" customFormat="1" ht="13" customHeight="1" x14ac:dyDescent="0.3"/>
    <row r="1930" s="514" customFormat="1" ht="13" customHeight="1" x14ac:dyDescent="0.3"/>
    <row r="1931" s="514" customFormat="1" ht="13" customHeight="1" x14ac:dyDescent="0.3"/>
    <row r="1932" s="514" customFormat="1" ht="13" customHeight="1" x14ac:dyDescent="0.3"/>
    <row r="1933" s="514" customFormat="1" ht="13" customHeight="1" x14ac:dyDescent="0.3"/>
    <row r="1934" s="514" customFormat="1" ht="13" customHeight="1" x14ac:dyDescent="0.3"/>
    <row r="1935" s="514" customFormat="1" ht="13" customHeight="1" x14ac:dyDescent="0.3"/>
    <row r="1936" s="514" customFormat="1" ht="13" customHeight="1" x14ac:dyDescent="0.3"/>
    <row r="1937" s="514" customFormat="1" ht="13" customHeight="1" x14ac:dyDescent="0.3"/>
    <row r="1938" s="514" customFormat="1" ht="13" customHeight="1" x14ac:dyDescent="0.3"/>
    <row r="1939" s="514" customFormat="1" ht="13" customHeight="1" x14ac:dyDescent="0.3"/>
    <row r="1940" s="514" customFormat="1" ht="13" customHeight="1" x14ac:dyDescent="0.3"/>
    <row r="1941" s="514" customFormat="1" ht="13" customHeight="1" x14ac:dyDescent="0.3"/>
    <row r="1942" s="514" customFormat="1" ht="13" customHeight="1" x14ac:dyDescent="0.3"/>
    <row r="1943" s="514" customFormat="1" ht="13" customHeight="1" x14ac:dyDescent="0.3"/>
    <row r="1944" s="514" customFormat="1" ht="13" customHeight="1" x14ac:dyDescent="0.3"/>
    <row r="1945" s="514" customFormat="1" ht="13" customHeight="1" x14ac:dyDescent="0.3"/>
    <row r="1946" s="514" customFormat="1" ht="13" customHeight="1" x14ac:dyDescent="0.3"/>
    <row r="1947" s="514" customFormat="1" ht="13" customHeight="1" x14ac:dyDescent="0.3"/>
    <row r="1948" s="514" customFormat="1" ht="13" customHeight="1" x14ac:dyDescent="0.3"/>
    <row r="1949" s="514" customFormat="1" ht="13" customHeight="1" x14ac:dyDescent="0.3"/>
    <row r="1950" s="514" customFormat="1" ht="13" customHeight="1" x14ac:dyDescent="0.3"/>
    <row r="1951" s="514" customFormat="1" ht="13" customHeight="1" x14ac:dyDescent="0.3"/>
    <row r="1952" s="514" customFormat="1" ht="13" customHeight="1" x14ac:dyDescent="0.3"/>
    <row r="1953" s="514" customFormat="1" ht="13" customHeight="1" x14ac:dyDescent="0.3"/>
    <row r="1954" s="514" customFormat="1" ht="13" customHeight="1" x14ac:dyDescent="0.3"/>
    <row r="1955" s="514" customFormat="1" ht="13" customHeight="1" x14ac:dyDescent="0.3"/>
    <row r="1956" s="514" customFormat="1" ht="13" customHeight="1" x14ac:dyDescent="0.3"/>
    <row r="1957" s="514" customFormat="1" ht="13" customHeight="1" x14ac:dyDescent="0.3"/>
    <row r="1958" s="514" customFormat="1" ht="13" customHeight="1" x14ac:dyDescent="0.3"/>
    <row r="1959" s="514" customFormat="1" ht="13" customHeight="1" x14ac:dyDescent="0.3"/>
    <row r="1960" s="514" customFormat="1" ht="13" customHeight="1" x14ac:dyDescent="0.3"/>
    <row r="1961" s="514" customFormat="1" ht="13" customHeight="1" x14ac:dyDescent="0.3"/>
    <row r="1962" s="514" customFormat="1" ht="13" customHeight="1" x14ac:dyDescent="0.3"/>
    <row r="1963" s="514" customFormat="1" ht="13" customHeight="1" x14ac:dyDescent="0.3"/>
    <row r="1964" s="514" customFormat="1" ht="13" customHeight="1" x14ac:dyDescent="0.3"/>
    <row r="1965" s="514" customFormat="1" ht="13" customHeight="1" x14ac:dyDescent="0.3"/>
    <row r="1966" s="514" customFormat="1" ht="13" customHeight="1" x14ac:dyDescent="0.3"/>
    <row r="1967" s="514" customFormat="1" ht="13" customHeight="1" x14ac:dyDescent="0.3"/>
    <row r="1968" s="514" customFormat="1" ht="13" customHeight="1" x14ac:dyDescent="0.3"/>
    <row r="1969" s="514" customFormat="1" ht="13" customHeight="1" x14ac:dyDescent="0.3"/>
    <row r="1970" s="514" customFormat="1" ht="13" customHeight="1" x14ac:dyDescent="0.3"/>
    <row r="1971" s="514" customFormat="1" ht="13" customHeight="1" x14ac:dyDescent="0.3"/>
    <row r="1972" s="514" customFormat="1" ht="13" customHeight="1" x14ac:dyDescent="0.3"/>
    <row r="1973" s="514" customFormat="1" ht="13" customHeight="1" x14ac:dyDescent="0.3"/>
    <row r="1974" s="514" customFormat="1" ht="13" customHeight="1" x14ac:dyDescent="0.3"/>
    <row r="1975" s="514" customFormat="1" ht="13" customHeight="1" x14ac:dyDescent="0.3"/>
    <row r="1976" s="514" customFormat="1" ht="13" customHeight="1" x14ac:dyDescent="0.3"/>
    <row r="1977" s="514" customFormat="1" ht="13" customHeight="1" x14ac:dyDescent="0.3"/>
    <row r="1978" s="514" customFormat="1" ht="13" customHeight="1" x14ac:dyDescent="0.3"/>
    <row r="1979" s="514" customFormat="1" ht="13" customHeight="1" x14ac:dyDescent="0.3"/>
    <row r="1980" s="514" customFormat="1" ht="13" customHeight="1" x14ac:dyDescent="0.3"/>
    <row r="1981" s="514" customFormat="1" ht="13" customHeight="1" x14ac:dyDescent="0.3"/>
    <row r="1982" s="514" customFormat="1" ht="13" customHeight="1" x14ac:dyDescent="0.3"/>
    <row r="1983" s="514" customFormat="1" ht="13" customHeight="1" x14ac:dyDescent="0.3"/>
    <row r="1984" s="514" customFormat="1" ht="13" customHeight="1" x14ac:dyDescent="0.3"/>
    <row r="1985" s="514" customFormat="1" ht="13" customHeight="1" x14ac:dyDescent="0.3"/>
    <row r="1986" s="514" customFormat="1" ht="13" customHeight="1" x14ac:dyDescent="0.3"/>
    <row r="1987" s="514" customFormat="1" ht="13" customHeight="1" x14ac:dyDescent="0.3"/>
    <row r="1988" s="514" customFormat="1" ht="13" customHeight="1" x14ac:dyDescent="0.3"/>
    <row r="1989" s="514" customFormat="1" ht="13" customHeight="1" x14ac:dyDescent="0.3"/>
    <row r="1990" s="514" customFormat="1" ht="13" customHeight="1" x14ac:dyDescent="0.3"/>
    <row r="1991" s="514" customFormat="1" ht="13" customHeight="1" x14ac:dyDescent="0.3"/>
    <row r="1992" s="514" customFormat="1" ht="13" customHeight="1" x14ac:dyDescent="0.3"/>
    <row r="1993" s="514" customFormat="1" ht="13" customHeight="1" x14ac:dyDescent="0.3"/>
    <row r="1994" s="514" customFormat="1" ht="13" customHeight="1" x14ac:dyDescent="0.3"/>
    <row r="1995" s="514" customFormat="1" ht="13" customHeight="1" x14ac:dyDescent="0.3"/>
    <row r="1996" s="514" customFormat="1" ht="13" customHeight="1" x14ac:dyDescent="0.3"/>
    <row r="1997" s="514" customFormat="1" ht="13" customHeight="1" x14ac:dyDescent="0.3"/>
    <row r="1998" s="514" customFormat="1" ht="13" customHeight="1" x14ac:dyDescent="0.3"/>
    <row r="1999" s="514" customFormat="1" ht="13" customHeight="1" x14ac:dyDescent="0.3"/>
    <row r="2000" s="514" customFormat="1" ht="13" customHeight="1" x14ac:dyDescent="0.3"/>
    <row r="2001" s="514" customFormat="1" ht="13" customHeight="1" x14ac:dyDescent="0.3"/>
    <row r="2002" s="514" customFormat="1" ht="13" customHeight="1" x14ac:dyDescent="0.3"/>
    <row r="2003" s="514" customFormat="1" ht="13" customHeight="1" x14ac:dyDescent="0.3"/>
    <row r="2004" s="514" customFormat="1" ht="13" customHeight="1" x14ac:dyDescent="0.3"/>
    <row r="2005" s="514" customFormat="1" ht="13" customHeight="1" x14ac:dyDescent="0.3"/>
    <row r="2006" s="514" customFormat="1" ht="13" customHeight="1" x14ac:dyDescent="0.3"/>
    <row r="2007" s="514" customFormat="1" ht="13" customHeight="1" x14ac:dyDescent="0.3"/>
    <row r="2008" s="514" customFormat="1" ht="13" customHeight="1" x14ac:dyDescent="0.3"/>
    <row r="2009" s="514" customFormat="1" ht="13" customHeight="1" x14ac:dyDescent="0.3"/>
    <row r="2010" s="514" customFormat="1" ht="13" customHeight="1" x14ac:dyDescent="0.3"/>
    <row r="2011" s="514" customFormat="1" ht="13" customHeight="1" x14ac:dyDescent="0.3"/>
    <row r="2012" s="514" customFormat="1" ht="13" customHeight="1" x14ac:dyDescent="0.3"/>
    <row r="2013" s="514" customFormat="1" ht="13" customHeight="1" x14ac:dyDescent="0.3"/>
    <row r="2014" s="514" customFormat="1" ht="13" customHeight="1" x14ac:dyDescent="0.3"/>
    <row r="2015" s="514" customFormat="1" ht="13" customHeight="1" x14ac:dyDescent="0.3"/>
    <row r="2016" s="514" customFormat="1" ht="13" customHeight="1" x14ac:dyDescent="0.3"/>
    <row r="2017" s="514" customFormat="1" ht="13" customHeight="1" x14ac:dyDescent="0.3"/>
    <row r="2018" s="514" customFormat="1" ht="13" customHeight="1" x14ac:dyDescent="0.3"/>
    <row r="2019" s="514" customFormat="1" ht="13" customHeight="1" x14ac:dyDescent="0.3"/>
    <row r="2020" s="514" customFormat="1" ht="13" customHeight="1" x14ac:dyDescent="0.3"/>
    <row r="2021" s="514" customFormat="1" ht="13" customHeight="1" x14ac:dyDescent="0.3"/>
    <row r="2022" s="514" customFormat="1" ht="13" customHeight="1" x14ac:dyDescent="0.3"/>
    <row r="2023" s="514" customFormat="1" ht="13" customHeight="1" x14ac:dyDescent="0.3"/>
    <row r="2024" s="514" customFormat="1" ht="13" customHeight="1" x14ac:dyDescent="0.3"/>
    <row r="2025" s="514" customFormat="1" ht="13" customHeight="1" x14ac:dyDescent="0.3"/>
    <row r="2026" s="514" customFormat="1" ht="13" customHeight="1" x14ac:dyDescent="0.3"/>
    <row r="2027" s="514" customFormat="1" ht="13" customHeight="1" x14ac:dyDescent="0.3"/>
    <row r="2028" s="514" customFormat="1" ht="13" customHeight="1" x14ac:dyDescent="0.3"/>
    <row r="2029" s="514" customFormat="1" ht="13" customHeight="1" x14ac:dyDescent="0.3"/>
    <row r="2030" s="514" customFormat="1" ht="13" customHeight="1" x14ac:dyDescent="0.3"/>
    <row r="2031" s="514" customFormat="1" ht="13" customHeight="1" x14ac:dyDescent="0.3"/>
    <row r="2032" s="514" customFormat="1" ht="13" customHeight="1" x14ac:dyDescent="0.3"/>
    <row r="2033" s="514" customFormat="1" ht="13" customHeight="1" x14ac:dyDescent="0.3"/>
    <row r="2034" s="514" customFormat="1" ht="13" customHeight="1" x14ac:dyDescent="0.3"/>
    <row r="2035" s="514" customFormat="1" ht="13" customHeight="1" x14ac:dyDescent="0.3"/>
    <row r="2036" s="514" customFormat="1" ht="13" customHeight="1" x14ac:dyDescent="0.3"/>
    <row r="2037" s="514" customFormat="1" ht="13" customHeight="1" x14ac:dyDescent="0.3"/>
    <row r="2038" s="514" customFormat="1" ht="13" customHeight="1" x14ac:dyDescent="0.3"/>
    <row r="2039" s="514" customFormat="1" ht="13" customHeight="1" x14ac:dyDescent="0.3"/>
    <row r="2040" s="514" customFormat="1" ht="13" customHeight="1" x14ac:dyDescent="0.3"/>
    <row r="2041" s="514" customFormat="1" ht="13" customHeight="1" x14ac:dyDescent="0.3"/>
    <row r="2042" s="514" customFormat="1" ht="13" customHeight="1" x14ac:dyDescent="0.3"/>
    <row r="2043" s="514" customFormat="1" ht="13" customHeight="1" x14ac:dyDescent="0.3"/>
    <row r="2044" s="514" customFormat="1" ht="13" customHeight="1" x14ac:dyDescent="0.3"/>
    <row r="2045" s="514" customFormat="1" ht="13" customHeight="1" x14ac:dyDescent="0.3"/>
    <row r="2046" s="514" customFormat="1" ht="13" customHeight="1" x14ac:dyDescent="0.3"/>
    <row r="2047" s="514" customFormat="1" ht="13" customHeight="1" x14ac:dyDescent="0.3"/>
    <row r="2048" s="514" customFormat="1" ht="13" customHeight="1" x14ac:dyDescent="0.3"/>
    <row r="2049" s="514" customFormat="1" ht="13" customHeight="1" x14ac:dyDescent="0.3"/>
    <row r="2050" s="514" customFormat="1" ht="13" customHeight="1" x14ac:dyDescent="0.3"/>
    <row r="2051" s="514" customFormat="1" ht="13" customHeight="1" x14ac:dyDescent="0.3"/>
    <row r="2052" s="514" customFormat="1" ht="13" customHeight="1" x14ac:dyDescent="0.3"/>
    <row r="2053" s="514" customFormat="1" ht="13" customHeight="1" x14ac:dyDescent="0.3"/>
    <row r="2054" s="514" customFormat="1" ht="13" customHeight="1" x14ac:dyDescent="0.3"/>
    <row r="2055" s="514" customFormat="1" ht="13" customHeight="1" x14ac:dyDescent="0.3"/>
    <row r="2056" s="514" customFormat="1" ht="13" customHeight="1" x14ac:dyDescent="0.3"/>
    <row r="2057" s="514" customFormat="1" ht="13" customHeight="1" x14ac:dyDescent="0.3"/>
    <row r="2058" s="514" customFormat="1" ht="13" customHeight="1" x14ac:dyDescent="0.3"/>
    <row r="2059" s="514" customFormat="1" ht="13" customHeight="1" x14ac:dyDescent="0.3"/>
    <row r="2060" s="514" customFormat="1" ht="13" customHeight="1" x14ac:dyDescent="0.3"/>
    <row r="2061" s="514" customFormat="1" ht="13" customHeight="1" x14ac:dyDescent="0.3"/>
    <row r="2062" s="514" customFormat="1" ht="13" customHeight="1" x14ac:dyDescent="0.3"/>
    <row r="2063" s="514" customFormat="1" ht="13" customHeight="1" x14ac:dyDescent="0.3"/>
    <row r="2064" s="514" customFormat="1" ht="13" customHeight="1" x14ac:dyDescent="0.3"/>
    <row r="2065" s="514" customFormat="1" ht="13" customHeight="1" x14ac:dyDescent="0.3"/>
    <row r="2066" s="514" customFormat="1" ht="13" customHeight="1" x14ac:dyDescent="0.3"/>
    <row r="2067" s="514" customFormat="1" ht="13" customHeight="1" x14ac:dyDescent="0.3"/>
    <row r="2068" s="514" customFormat="1" ht="13" customHeight="1" x14ac:dyDescent="0.3"/>
    <row r="2069" s="514" customFormat="1" ht="13" customHeight="1" x14ac:dyDescent="0.3"/>
    <row r="2070" s="514" customFormat="1" ht="13" customHeight="1" x14ac:dyDescent="0.3"/>
    <row r="2071" s="514" customFormat="1" ht="13" customHeight="1" x14ac:dyDescent="0.3"/>
    <row r="2072" s="514" customFormat="1" ht="13" customHeight="1" x14ac:dyDescent="0.3"/>
    <row r="2073" s="514" customFormat="1" ht="13" customHeight="1" x14ac:dyDescent="0.3"/>
    <row r="2074" s="514" customFormat="1" ht="13" customHeight="1" x14ac:dyDescent="0.3"/>
    <row r="2075" s="514" customFormat="1" ht="13" customHeight="1" x14ac:dyDescent="0.3"/>
    <row r="2076" s="514" customFormat="1" ht="13" customHeight="1" x14ac:dyDescent="0.3"/>
    <row r="2077" s="514" customFormat="1" ht="13" customHeight="1" x14ac:dyDescent="0.3"/>
    <row r="2078" s="514" customFormat="1" ht="13" customHeight="1" x14ac:dyDescent="0.3"/>
    <row r="2079" s="514" customFormat="1" ht="13" customHeight="1" x14ac:dyDescent="0.3"/>
    <row r="2080" s="514" customFormat="1" ht="13" customHeight="1" x14ac:dyDescent="0.3"/>
    <row r="2081" s="514" customFormat="1" ht="13" customHeight="1" x14ac:dyDescent="0.3"/>
    <row r="2082" s="514" customFormat="1" ht="13" customHeight="1" x14ac:dyDescent="0.3"/>
    <row r="2083" s="514" customFormat="1" ht="13" customHeight="1" x14ac:dyDescent="0.3"/>
    <row r="2084" s="514" customFormat="1" ht="13" customHeight="1" x14ac:dyDescent="0.3"/>
    <row r="2085" s="514" customFormat="1" ht="13" customHeight="1" x14ac:dyDescent="0.3"/>
    <row r="2086" s="514" customFormat="1" ht="13" customHeight="1" x14ac:dyDescent="0.3"/>
    <row r="2087" s="514" customFormat="1" ht="13" customHeight="1" x14ac:dyDescent="0.3"/>
    <row r="2088" s="514" customFormat="1" ht="13" customHeight="1" x14ac:dyDescent="0.3"/>
    <row r="2089" s="514" customFormat="1" ht="13" customHeight="1" x14ac:dyDescent="0.3"/>
    <row r="2090" s="514" customFormat="1" ht="13" customHeight="1" x14ac:dyDescent="0.3"/>
    <row r="2091" s="514" customFormat="1" ht="13" customHeight="1" x14ac:dyDescent="0.3"/>
    <row r="2092" s="514" customFormat="1" ht="13" customHeight="1" x14ac:dyDescent="0.3"/>
    <row r="2093" s="514" customFormat="1" ht="13" customHeight="1" x14ac:dyDescent="0.3"/>
    <row r="2094" s="514" customFormat="1" ht="13" customHeight="1" x14ac:dyDescent="0.3"/>
    <row r="2095" s="514" customFormat="1" ht="13" customHeight="1" x14ac:dyDescent="0.3"/>
    <row r="2096" s="514" customFormat="1" ht="13" customHeight="1" x14ac:dyDescent="0.3"/>
    <row r="2097" s="514" customFormat="1" ht="13" customHeight="1" x14ac:dyDescent="0.3"/>
    <row r="2098" s="514" customFormat="1" ht="13" customHeight="1" x14ac:dyDescent="0.3"/>
    <row r="2099" s="514" customFormat="1" ht="13" customHeight="1" x14ac:dyDescent="0.3"/>
    <row r="2100" s="514" customFormat="1" ht="13" customHeight="1" x14ac:dyDescent="0.3"/>
    <row r="2101" s="514" customFormat="1" ht="13" customHeight="1" x14ac:dyDescent="0.3"/>
    <row r="2102" s="514" customFormat="1" ht="13" customHeight="1" x14ac:dyDescent="0.3"/>
    <row r="2103" s="514" customFormat="1" ht="13" customHeight="1" x14ac:dyDescent="0.3"/>
    <row r="2104" s="514" customFormat="1" ht="13" customHeight="1" x14ac:dyDescent="0.3"/>
    <row r="2105" s="514" customFormat="1" ht="13" customHeight="1" x14ac:dyDescent="0.3"/>
    <row r="2106" s="514" customFormat="1" ht="13" customHeight="1" x14ac:dyDescent="0.3"/>
    <row r="2107" s="514" customFormat="1" ht="13" customHeight="1" x14ac:dyDescent="0.3"/>
    <row r="2108" s="514" customFormat="1" ht="13" customHeight="1" x14ac:dyDescent="0.3"/>
    <row r="2109" s="514" customFormat="1" ht="13" customHeight="1" x14ac:dyDescent="0.3"/>
    <row r="2110" s="514" customFormat="1" ht="13" customHeight="1" x14ac:dyDescent="0.3"/>
    <row r="2111" s="514" customFormat="1" ht="13" customHeight="1" x14ac:dyDescent="0.3"/>
    <row r="2112" s="514" customFormat="1" ht="13" customHeight="1" x14ac:dyDescent="0.3"/>
    <row r="2113" s="514" customFormat="1" ht="13" customHeight="1" x14ac:dyDescent="0.3"/>
    <row r="2114" s="514" customFormat="1" ht="13" customHeight="1" x14ac:dyDescent="0.3"/>
    <row r="2115" s="514" customFormat="1" ht="13" customHeight="1" x14ac:dyDescent="0.3"/>
    <row r="2116" s="514" customFormat="1" ht="13" customHeight="1" x14ac:dyDescent="0.3"/>
    <row r="2117" s="514" customFormat="1" ht="13" customHeight="1" x14ac:dyDescent="0.3"/>
    <row r="2118" s="514" customFormat="1" ht="13" customHeight="1" x14ac:dyDescent="0.3"/>
    <row r="2119" s="514" customFormat="1" ht="13" customHeight="1" x14ac:dyDescent="0.3"/>
    <row r="2120" s="514" customFormat="1" ht="13" customHeight="1" x14ac:dyDescent="0.3"/>
    <row r="2121" s="514" customFormat="1" ht="13" customHeight="1" x14ac:dyDescent="0.3"/>
    <row r="2122" s="514" customFormat="1" ht="13" customHeight="1" x14ac:dyDescent="0.3"/>
    <row r="2123" s="514" customFormat="1" ht="13" customHeight="1" x14ac:dyDescent="0.3"/>
    <row r="2124" s="514" customFormat="1" ht="13" customHeight="1" x14ac:dyDescent="0.3"/>
    <row r="2125" s="514" customFormat="1" ht="13" customHeight="1" x14ac:dyDescent="0.3"/>
    <row r="2126" s="514" customFormat="1" ht="13" customHeight="1" x14ac:dyDescent="0.3"/>
    <row r="2127" s="514" customFormat="1" ht="13" customHeight="1" x14ac:dyDescent="0.3"/>
    <row r="2128" s="514" customFormat="1" ht="13" customHeight="1" x14ac:dyDescent="0.3"/>
    <row r="2129" s="514" customFormat="1" ht="13" customHeight="1" x14ac:dyDescent="0.3"/>
    <row r="2130" s="514" customFormat="1" ht="13" customHeight="1" x14ac:dyDescent="0.3"/>
    <row r="2131" s="514" customFormat="1" ht="13" customHeight="1" x14ac:dyDescent="0.3"/>
    <row r="2132" s="514" customFormat="1" ht="13" customHeight="1" x14ac:dyDescent="0.3"/>
    <row r="2133" s="514" customFormat="1" ht="13" customHeight="1" x14ac:dyDescent="0.3"/>
    <row r="2134" s="514" customFormat="1" ht="13" customHeight="1" x14ac:dyDescent="0.3"/>
    <row r="2135" s="514" customFormat="1" ht="13" customHeight="1" x14ac:dyDescent="0.3"/>
    <row r="2136" s="514" customFormat="1" ht="13" customHeight="1" x14ac:dyDescent="0.3"/>
    <row r="2137" s="514" customFormat="1" ht="13" customHeight="1" x14ac:dyDescent="0.3"/>
    <row r="2138" s="514" customFormat="1" ht="13" customHeight="1" x14ac:dyDescent="0.3"/>
    <row r="2139" s="514" customFormat="1" ht="13" customHeight="1" x14ac:dyDescent="0.3"/>
    <row r="2140" s="514" customFormat="1" ht="13" customHeight="1" x14ac:dyDescent="0.3"/>
    <row r="2141" s="514" customFormat="1" ht="13" customHeight="1" x14ac:dyDescent="0.3"/>
    <row r="2142" s="514" customFormat="1" ht="13" customHeight="1" x14ac:dyDescent="0.3"/>
    <row r="2143" s="514" customFormat="1" ht="13" customHeight="1" x14ac:dyDescent="0.3"/>
    <row r="2144" s="514" customFormat="1" ht="13" customHeight="1" x14ac:dyDescent="0.3"/>
    <row r="2145" s="514" customFormat="1" ht="13" customHeight="1" x14ac:dyDescent="0.3"/>
    <row r="2146" s="514" customFormat="1" ht="13" customHeight="1" x14ac:dyDescent="0.3"/>
    <row r="2147" s="514" customFormat="1" ht="13" customHeight="1" x14ac:dyDescent="0.3"/>
    <row r="2148" s="514" customFormat="1" ht="13" customHeight="1" x14ac:dyDescent="0.3"/>
    <row r="2149" s="514" customFormat="1" ht="13" customHeight="1" x14ac:dyDescent="0.3"/>
    <row r="2150" s="514" customFormat="1" ht="13" customHeight="1" x14ac:dyDescent="0.3"/>
    <row r="2151" s="514" customFormat="1" ht="13" customHeight="1" x14ac:dyDescent="0.3"/>
    <row r="2152" s="514" customFormat="1" ht="13" customHeight="1" x14ac:dyDescent="0.3"/>
    <row r="2153" s="514" customFormat="1" ht="13" customHeight="1" x14ac:dyDescent="0.3"/>
    <row r="2154" s="514" customFormat="1" ht="13" customHeight="1" x14ac:dyDescent="0.3"/>
    <row r="2155" s="514" customFormat="1" ht="13" customHeight="1" x14ac:dyDescent="0.3"/>
    <row r="2156" s="514" customFormat="1" ht="13" customHeight="1" x14ac:dyDescent="0.3"/>
    <row r="2157" s="514" customFormat="1" ht="13" customHeight="1" x14ac:dyDescent="0.3"/>
    <row r="2158" s="514" customFormat="1" ht="13" customHeight="1" x14ac:dyDescent="0.3"/>
    <row r="2159" s="514" customFormat="1" ht="13" customHeight="1" x14ac:dyDescent="0.3"/>
    <row r="2160" s="514" customFormat="1" ht="13" customHeight="1" x14ac:dyDescent="0.3"/>
    <row r="2161" s="514" customFormat="1" ht="13" customHeight="1" x14ac:dyDescent="0.3"/>
    <row r="2162" s="514" customFormat="1" ht="13" customHeight="1" x14ac:dyDescent="0.3"/>
    <row r="2163" s="514" customFormat="1" ht="13" customHeight="1" x14ac:dyDescent="0.3"/>
    <row r="2164" s="514" customFormat="1" ht="13" customHeight="1" x14ac:dyDescent="0.3"/>
    <row r="2165" s="514" customFormat="1" ht="13" customHeight="1" x14ac:dyDescent="0.3"/>
    <row r="2166" s="514" customFormat="1" ht="13" customHeight="1" x14ac:dyDescent="0.3"/>
    <row r="2167" s="514" customFormat="1" ht="13" customHeight="1" x14ac:dyDescent="0.3"/>
    <row r="2168" s="514" customFormat="1" ht="13" customHeight="1" x14ac:dyDescent="0.3"/>
    <row r="2169" s="514" customFormat="1" ht="13" customHeight="1" x14ac:dyDescent="0.3"/>
    <row r="2170" s="514" customFormat="1" ht="13" customHeight="1" x14ac:dyDescent="0.3"/>
    <row r="2171" s="514" customFormat="1" ht="13" customHeight="1" x14ac:dyDescent="0.3"/>
    <row r="2172" s="514" customFormat="1" ht="13" customHeight="1" x14ac:dyDescent="0.3"/>
    <row r="2173" s="514" customFormat="1" ht="13" customHeight="1" x14ac:dyDescent="0.3"/>
    <row r="2174" s="514" customFormat="1" ht="13" customHeight="1" x14ac:dyDescent="0.3"/>
    <row r="2175" s="514" customFormat="1" ht="13" customHeight="1" x14ac:dyDescent="0.3"/>
    <row r="2176" s="514" customFormat="1" ht="13" customHeight="1" x14ac:dyDescent="0.3"/>
    <row r="2177" s="514" customFormat="1" ht="13" customHeight="1" x14ac:dyDescent="0.3"/>
    <row r="2178" s="514" customFormat="1" ht="13" customHeight="1" x14ac:dyDescent="0.3"/>
    <row r="2179" s="514" customFormat="1" ht="13" customHeight="1" x14ac:dyDescent="0.3"/>
    <row r="2180" s="514" customFormat="1" ht="13" customHeight="1" x14ac:dyDescent="0.3"/>
    <row r="2181" s="514" customFormat="1" ht="13" customHeight="1" x14ac:dyDescent="0.3"/>
    <row r="2182" s="514" customFormat="1" ht="13" customHeight="1" x14ac:dyDescent="0.3"/>
    <row r="2183" s="514" customFormat="1" ht="13" customHeight="1" x14ac:dyDescent="0.3"/>
    <row r="2184" s="514" customFormat="1" ht="13" customHeight="1" x14ac:dyDescent="0.3"/>
    <row r="2185" s="514" customFormat="1" ht="13" customHeight="1" x14ac:dyDescent="0.3"/>
    <row r="2186" s="514" customFormat="1" ht="13" customHeight="1" x14ac:dyDescent="0.3"/>
    <row r="2187" s="514" customFormat="1" ht="13" customHeight="1" x14ac:dyDescent="0.3"/>
    <row r="2188" s="514" customFormat="1" ht="13" customHeight="1" x14ac:dyDescent="0.3"/>
    <row r="2189" s="514" customFormat="1" ht="13" customHeight="1" x14ac:dyDescent="0.3"/>
    <row r="2190" s="514" customFormat="1" ht="13" customHeight="1" x14ac:dyDescent="0.3"/>
    <row r="2191" s="514" customFormat="1" ht="13" customHeight="1" x14ac:dyDescent="0.3"/>
    <row r="2192" s="514" customFormat="1" ht="13" customHeight="1" x14ac:dyDescent="0.3"/>
    <row r="2193" s="514" customFormat="1" ht="13" customHeight="1" x14ac:dyDescent="0.3"/>
    <row r="2194" s="514" customFormat="1" ht="13" customHeight="1" x14ac:dyDescent="0.3"/>
    <row r="2195" s="514" customFormat="1" ht="13" customHeight="1" x14ac:dyDescent="0.3"/>
    <row r="2196" s="514" customFormat="1" ht="13" customHeight="1" x14ac:dyDescent="0.3"/>
    <row r="2197" s="514" customFormat="1" ht="13" customHeight="1" x14ac:dyDescent="0.3"/>
    <row r="2198" s="514" customFormat="1" ht="13" customHeight="1" x14ac:dyDescent="0.3"/>
    <row r="2199" s="514" customFormat="1" ht="13" customHeight="1" x14ac:dyDescent="0.3"/>
    <row r="2200" s="514" customFormat="1" ht="13" customHeight="1" x14ac:dyDescent="0.3"/>
    <row r="2201" s="514" customFormat="1" ht="13" customHeight="1" x14ac:dyDescent="0.3"/>
    <row r="2202" s="514" customFormat="1" ht="13" customHeight="1" x14ac:dyDescent="0.3"/>
    <row r="2203" s="514" customFormat="1" ht="13" customHeight="1" x14ac:dyDescent="0.3"/>
    <row r="2204" s="514" customFormat="1" ht="13" customHeight="1" x14ac:dyDescent="0.3"/>
    <row r="2205" s="514" customFormat="1" ht="13" customHeight="1" x14ac:dyDescent="0.3"/>
    <row r="2206" s="514" customFormat="1" ht="13" customHeight="1" x14ac:dyDescent="0.3"/>
    <row r="2207" s="514" customFormat="1" ht="13" customHeight="1" x14ac:dyDescent="0.3"/>
    <row r="2208" s="514" customFormat="1" ht="13" customHeight="1" x14ac:dyDescent="0.3"/>
    <row r="2209" s="514" customFormat="1" ht="13" customHeight="1" x14ac:dyDescent="0.3"/>
    <row r="2210" s="514" customFormat="1" ht="13" customHeight="1" x14ac:dyDescent="0.3"/>
    <row r="2211" s="514" customFormat="1" ht="13" customHeight="1" x14ac:dyDescent="0.3"/>
    <row r="2212" s="514" customFormat="1" ht="13" customHeight="1" x14ac:dyDescent="0.3"/>
    <row r="2213" s="514" customFormat="1" ht="13" customHeight="1" x14ac:dyDescent="0.3"/>
    <row r="2214" s="514" customFormat="1" ht="13" customHeight="1" x14ac:dyDescent="0.3"/>
    <row r="2215" s="514" customFormat="1" ht="13" customHeight="1" x14ac:dyDescent="0.3"/>
    <row r="2216" s="514" customFormat="1" ht="13" customHeight="1" x14ac:dyDescent="0.3"/>
    <row r="2217" s="514" customFormat="1" ht="13" customHeight="1" x14ac:dyDescent="0.3"/>
    <row r="2218" s="514" customFormat="1" ht="13" customHeight="1" x14ac:dyDescent="0.3"/>
    <row r="2219" s="514" customFormat="1" ht="13" customHeight="1" x14ac:dyDescent="0.3"/>
    <row r="2220" s="514" customFormat="1" ht="13" customHeight="1" x14ac:dyDescent="0.3"/>
    <row r="2221" s="514" customFormat="1" ht="13" customHeight="1" x14ac:dyDescent="0.3"/>
    <row r="2222" s="514" customFormat="1" ht="13" customHeight="1" x14ac:dyDescent="0.3"/>
    <row r="2223" s="514" customFormat="1" ht="13" customHeight="1" x14ac:dyDescent="0.3"/>
    <row r="2224" s="514" customFormat="1" ht="13" customHeight="1" x14ac:dyDescent="0.3"/>
    <row r="2225" s="514" customFormat="1" ht="13" customHeight="1" x14ac:dyDescent="0.3"/>
    <row r="2226" s="514" customFormat="1" ht="13" customHeight="1" x14ac:dyDescent="0.3"/>
    <row r="2227" s="514" customFormat="1" ht="13" customHeight="1" x14ac:dyDescent="0.3"/>
    <row r="2228" s="514" customFormat="1" ht="13" customHeight="1" x14ac:dyDescent="0.3"/>
    <row r="2229" s="514" customFormat="1" ht="13" customHeight="1" x14ac:dyDescent="0.3"/>
    <row r="2230" s="514" customFormat="1" ht="13" customHeight="1" x14ac:dyDescent="0.3"/>
    <row r="2231" s="514" customFormat="1" ht="13" customHeight="1" x14ac:dyDescent="0.3"/>
    <row r="2232" s="514" customFormat="1" ht="13" customHeight="1" x14ac:dyDescent="0.3"/>
    <row r="2233" s="514" customFormat="1" ht="13" customHeight="1" x14ac:dyDescent="0.3"/>
    <row r="2234" s="514" customFormat="1" ht="13" customHeight="1" x14ac:dyDescent="0.3"/>
    <row r="2235" s="514" customFormat="1" ht="13" customHeight="1" x14ac:dyDescent="0.3"/>
    <row r="2236" s="514" customFormat="1" ht="13" customHeight="1" x14ac:dyDescent="0.3"/>
    <row r="2237" s="514" customFormat="1" ht="13" customHeight="1" x14ac:dyDescent="0.3"/>
    <row r="2238" s="514" customFormat="1" ht="13" customHeight="1" x14ac:dyDescent="0.3"/>
    <row r="2239" s="514" customFormat="1" ht="13" customHeight="1" x14ac:dyDescent="0.3"/>
    <row r="2240" s="514" customFormat="1" ht="13" customHeight="1" x14ac:dyDescent="0.3"/>
    <row r="2241" s="514" customFormat="1" ht="13" customHeight="1" x14ac:dyDescent="0.3"/>
    <row r="2242" s="514" customFormat="1" ht="13" customHeight="1" x14ac:dyDescent="0.3"/>
    <row r="2243" s="514" customFormat="1" ht="13" customHeight="1" x14ac:dyDescent="0.3"/>
    <row r="2244" s="514" customFormat="1" ht="13" customHeight="1" x14ac:dyDescent="0.3"/>
    <row r="2245" s="514" customFormat="1" ht="13" customHeight="1" x14ac:dyDescent="0.3"/>
    <row r="2246" s="514" customFormat="1" ht="13" customHeight="1" x14ac:dyDescent="0.3"/>
    <row r="2247" s="514" customFormat="1" ht="13" customHeight="1" x14ac:dyDescent="0.3"/>
    <row r="2248" s="514" customFormat="1" ht="13" customHeight="1" x14ac:dyDescent="0.3"/>
    <row r="2249" s="514" customFormat="1" ht="13" customHeight="1" x14ac:dyDescent="0.3"/>
    <row r="2250" s="514" customFormat="1" ht="13" customHeight="1" x14ac:dyDescent="0.3"/>
    <row r="2251" s="514" customFormat="1" ht="13" customHeight="1" x14ac:dyDescent="0.3"/>
    <row r="2252" s="514" customFormat="1" ht="13" customHeight="1" x14ac:dyDescent="0.3"/>
    <row r="2253" s="514" customFormat="1" ht="13" customHeight="1" x14ac:dyDescent="0.3"/>
    <row r="2254" s="514" customFormat="1" ht="13" customHeight="1" x14ac:dyDescent="0.3"/>
    <row r="2255" s="514" customFormat="1" ht="13" customHeight="1" x14ac:dyDescent="0.3"/>
    <row r="2256" s="514" customFormat="1" ht="13" customHeight="1" x14ac:dyDescent="0.3"/>
    <row r="2257" s="514" customFormat="1" ht="13" customHeight="1" x14ac:dyDescent="0.3"/>
    <row r="2258" s="514" customFormat="1" ht="13" customHeight="1" x14ac:dyDescent="0.3"/>
    <row r="2259" s="514" customFormat="1" ht="13" customHeight="1" x14ac:dyDescent="0.3"/>
    <row r="2260" s="514" customFormat="1" ht="13" customHeight="1" x14ac:dyDescent="0.3"/>
    <row r="2261" s="514" customFormat="1" ht="13" customHeight="1" x14ac:dyDescent="0.3"/>
    <row r="2262" s="514" customFormat="1" ht="13" customHeight="1" x14ac:dyDescent="0.3"/>
    <row r="2263" s="514" customFormat="1" ht="13" customHeight="1" x14ac:dyDescent="0.3"/>
    <row r="2264" s="514" customFormat="1" ht="13" customHeight="1" x14ac:dyDescent="0.3"/>
    <row r="2265" s="514" customFormat="1" ht="13" customHeight="1" x14ac:dyDescent="0.3"/>
    <row r="2266" s="514" customFormat="1" ht="13" customHeight="1" x14ac:dyDescent="0.3"/>
    <row r="2267" s="514" customFormat="1" ht="13" customHeight="1" x14ac:dyDescent="0.3"/>
    <row r="2268" s="514" customFormat="1" ht="13" customHeight="1" x14ac:dyDescent="0.3"/>
    <row r="2269" s="514" customFormat="1" ht="13" customHeight="1" x14ac:dyDescent="0.3"/>
    <row r="2270" s="514" customFormat="1" ht="13" customHeight="1" x14ac:dyDescent="0.3"/>
    <row r="2271" s="514" customFormat="1" ht="13" customHeight="1" x14ac:dyDescent="0.3"/>
    <row r="2272" s="514" customFormat="1" ht="13" customHeight="1" x14ac:dyDescent="0.3"/>
    <row r="2273" s="514" customFormat="1" ht="13" customHeight="1" x14ac:dyDescent="0.3"/>
    <row r="2274" s="514" customFormat="1" ht="13" customHeight="1" x14ac:dyDescent="0.3"/>
    <row r="2275" s="514" customFormat="1" ht="13" customHeight="1" x14ac:dyDescent="0.3"/>
    <row r="2276" s="514" customFormat="1" ht="13" customHeight="1" x14ac:dyDescent="0.3"/>
    <row r="2277" s="514" customFormat="1" ht="13" customHeight="1" x14ac:dyDescent="0.3"/>
    <row r="2278" s="514" customFormat="1" ht="13" customHeight="1" x14ac:dyDescent="0.3"/>
    <row r="2279" s="514" customFormat="1" ht="13" customHeight="1" x14ac:dyDescent="0.3"/>
    <row r="2280" s="514" customFormat="1" ht="13" customHeight="1" x14ac:dyDescent="0.3"/>
    <row r="2281" s="514" customFormat="1" ht="13" customHeight="1" x14ac:dyDescent="0.3"/>
    <row r="2282" s="514" customFormat="1" ht="13" customHeight="1" x14ac:dyDescent="0.3"/>
    <row r="2283" s="514" customFormat="1" ht="13" customHeight="1" x14ac:dyDescent="0.3"/>
    <row r="2284" s="514" customFormat="1" ht="13" customHeight="1" x14ac:dyDescent="0.3"/>
    <row r="2285" s="514" customFormat="1" ht="13" customHeight="1" x14ac:dyDescent="0.3"/>
    <row r="2286" s="514" customFormat="1" ht="13" customHeight="1" x14ac:dyDescent="0.3"/>
    <row r="2287" s="514" customFormat="1" ht="13" customHeight="1" x14ac:dyDescent="0.3"/>
    <row r="2288" s="514" customFormat="1" ht="13" customHeight="1" x14ac:dyDescent="0.3"/>
    <row r="2289" s="514" customFormat="1" ht="13" customHeight="1" x14ac:dyDescent="0.3"/>
    <row r="2290" s="514" customFormat="1" ht="13" customHeight="1" x14ac:dyDescent="0.3"/>
    <row r="2291" s="514" customFormat="1" ht="13" customHeight="1" x14ac:dyDescent="0.3"/>
    <row r="2292" s="514" customFormat="1" ht="13" customHeight="1" x14ac:dyDescent="0.3"/>
    <row r="2293" s="514" customFormat="1" ht="13" customHeight="1" x14ac:dyDescent="0.3"/>
    <row r="2294" s="514" customFormat="1" ht="13" customHeight="1" x14ac:dyDescent="0.3"/>
    <row r="2295" s="514" customFormat="1" ht="13" customHeight="1" x14ac:dyDescent="0.3"/>
    <row r="2296" s="514" customFormat="1" ht="13" customHeight="1" x14ac:dyDescent="0.3"/>
    <row r="2297" s="514" customFormat="1" ht="13" customHeight="1" x14ac:dyDescent="0.3"/>
    <row r="2298" s="514" customFormat="1" ht="13" customHeight="1" x14ac:dyDescent="0.3"/>
    <row r="2299" s="514" customFormat="1" ht="13" customHeight="1" x14ac:dyDescent="0.3"/>
    <row r="2300" s="514" customFormat="1" ht="13" customHeight="1" x14ac:dyDescent="0.3"/>
    <row r="2301" s="514" customFormat="1" ht="13" customHeight="1" x14ac:dyDescent="0.3"/>
    <row r="2302" s="514" customFormat="1" ht="13" customHeight="1" x14ac:dyDescent="0.3"/>
    <row r="2303" s="514" customFormat="1" ht="13" customHeight="1" x14ac:dyDescent="0.3"/>
    <row r="2304" s="514" customFormat="1" ht="13" customHeight="1" x14ac:dyDescent="0.3"/>
    <row r="2305" s="514" customFormat="1" ht="13" customHeight="1" x14ac:dyDescent="0.3"/>
    <row r="2306" s="514" customFormat="1" ht="13" customHeight="1" x14ac:dyDescent="0.3"/>
    <row r="2307" s="514" customFormat="1" ht="13" customHeight="1" x14ac:dyDescent="0.3"/>
    <row r="2308" s="514" customFormat="1" ht="13" customHeight="1" x14ac:dyDescent="0.3"/>
    <row r="2309" s="514" customFormat="1" ht="13" customHeight="1" x14ac:dyDescent="0.3"/>
    <row r="2310" s="514" customFormat="1" ht="13" customHeight="1" x14ac:dyDescent="0.3"/>
    <row r="2311" s="514" customFormat="1" ht="13" customHeight="1" x14ac:dyDescent="0.3"/>
    <row r="2312" s="514" customFormat="1" ht="13" customHeight="1" x14ac:dyDescent="0.3"/>
    <row r="2313" s="514" customFormat="1" ht="13" customHeight="1" x14ac:dyDescent="0.3"/>
    <row r="2314" s="514" customFormat="1" ht="13" customHeight="1" x14ac:dyDescent="0.3"/>
    <row r="2315" s="514" customFormat="1" ht="13" customHeight="1" x14ac:dyDescent="0.3"/>
    <row r="2316" s="514" customFormat="1" ht="13" customHeight="1" x14ac:dyDescent="0.3"/>
    <row r="2317" s="514" customFormat="1" ht="13" customHeight="1" x14ac:dyDescent="0.3"/>
    <row r="2318" s="514" customFormat="1" ht="13" customHeight="1" x14ac:dyDescent="0.3"/>
    <row r="2319" s="514" customFormat="1" ht="13" customHeight="1" x14ac:dyDescent="0.3"/>
    <row r="2320" s="514" customFormat="1" ht="13" customHeight="1" x14ac:dyDescent="0.3"/>
    <row r="2321" s="514" customFormat="1" ht="13" customHeight="1" x14ac:dyDescent="0.3"/>
    <row r="2322" s="514" customFormat="1" ht="13" customHeight="1" x14ac:dyDescent="0.3"/>
    <row r="2323" s="514" customFormat="1" ht="13" customHeight="1" x14ac:dyDescent="0.3"/>
    <row r="2324" s="514" customFormat="1" ht="13" customHeight="1" x14ac:dyDescent="0.3"/>
    <row r="2325" s="514" customFormat="1" ht="13" customHeight="1" x14ac:dyDescent="0.3"/>
    <row r="2326" s="514" customFormat="1" ht="13" customHeight="1" x14ac:dyDescent="0.3"/>
    <row r="2327" s="514" customFormat="1" ht="13" customHeight="1" x14ac:dyDescent="0.3"/>
    <row r="2328" s="514" customFormat="1" ht="13" customHeight="1" x14ac:dyDescent="0.3"/>
    <row r="2329" s="514" customFormat="1" ht="13" customHeight="1" x14ac:dyDescent="0.3"/>
    <row r="2330" s="514" customFormat="1" ht="13" customHeight="1" x14ac:dyDescent="0.3"/>
    <row r="2331" s="514" customFormat="1" ht="13" customHeight="1" x14ac:dyDescent="0.3"/>
    <row r="2332" s="514" customFormat="1" ht="13" customHeight="1" x14ac:dyDescent="0.3"/>
    <row r="2333" s="514" customFormat="1" ht="13" customHeight="1" x14ac:dyDescent="0.3"/>
    <row r="2334" s="514" customFormat="1" ht="13" customHeight="1" x14ac:dyDescent="0.3"/>
    <row r="2335" s="514" customFormat="1" ht="13" customHeight="1" x14ac:dyDescent="0.3"/>
    <row r="2336" s="514" customFormat="1" ht="13" customHeight="1" x14ac:dyDescent="0.3"/>
    <row r="2337" s="514" customFormat="1" ht="13" customHeight="1" x14ac:dyDescent="0.3"/>
    <row r="2338" s="514" customFormat="1" ht="13" customHeight="1" x14ac:dyDescent="0.3"/>
    <row r="2339" s="514" customFormat="1" ht="13" customHeight="1" x14ac:dyDescent="0.3"/>
    <row r="2340" s="514" customFormat="1" ht="13" customHeight="1" x14ac:dyDescent="0.3"/>
    <row r="2341" s="514" customFormat="1" ht="13" customHeight="1" x14ac:dyDescent="0.3"/>
    <row r="2342" s="514" customFormat="1" ht="13" customHeight="1" x14ac:dyDescent="0.3"/>
    <row r="2343" s="514" customFormat="1" ht="13" customHeight="1" x14ac:dyDescent="0.3"/>
    <row r="2344" s="514" customFormat="1" ht="13" customHeight="1" x14ac:dyDescent="0.3"/>
    <row r="2345" s="514" customFormat="1" ht="13" customHeight="1" x14ac:dyDescent="0.3"/>
    <row r="2346" s="514" customFormat="1" ht="13" customHeight="1" x14ac:dyDescent="0.3"/>
    <row r="2347" s="514" customFormat="1" ht="13" customHeight="1" x14ac:dyDescent="0.3"/>
    <row r="2348" s="514" customFormat="1" ht="13" customHeight="1" x14ac:dyDescent="0.3"/>
    <row r="2349" s="514" customFormat="1" ht="13" customHeight="1" x14ac:dyDescent="0.3"/>
    <row r="2350" s="514" customFormat="1" ht="13" customHeight="1" x14ac:dyDescent="0.3"/>
    <row r="2351" s="514" customFormat="1" ht="13" customHeight="1" x14ac:dyDescent="0.3"/>
    <row r="2352" s="514" customFormat="1" ht="13" customHeight="1" x14ac:dyDescent="0.3"/>
    <row r="2353" s="514" customFormat="1" ht="13" customHeight="1" x14ac:dyDescent="0.3"/>
    <row r="2354" s="514" customFormat="1" ht="13" customHeight="1" x14ac:dyDescent="0.3"/>
    <row r="2355" s="514" customFormat="1" ht="13" customHeight="1" x14ac:dyDescent="0.3"/>
    <row r="2356" s="514" customFormat="1" ht="13" customHeight="1" x14ac:dyDescent="0.3"/>
    <row r="2357" s="514" customFormat="1" ht="13" customHeight="1" x14ac:dyDescent="0.3"/>
    <row r="2358" s="514" customFormat="1" ht="13" customHeight="1" x14ac:dyDescent="0.3"/>
    <row r="2359" s="514" customFormat="1" ht="13" customHeight="1" x14ac:dyDescent="0.3"/>
    <row r="2360" s="514" customFormat="1" ht="13" customHeight="1" x14ac:dyDescent="0.3"/>
    <row r="2361" s="514" customFormat="1" ht="13" customHeight="1" x14ac:dyDescent="0.3"/>
    <row r="2362" s="514" customFormat="1" ht="13" customHeight="1" x14ac:dyDescent="0.3"/>
    <row r="2363" s="514" customFormat="1" ht="13" customHeight="1" x14ac:dyDescent="0.3"/>
    <row r="2364" s="514" customFormat="1" ht="13" customHeight="1" x14ac:dyDescent="0.3"/>
    <row r="2365" s="514" customFormat="1" ht="13" customHeight="1" x14ac:dyDescent="0.3"/>
    <row r="2366" s="514" customFormat="1" ht="13" customHeight="1" x14ac:dyDescent="0.3"/>
    <row r="2367" s="514" customFormat="1" ht="13" customHeight="1" x14ac:dyDescent="0.3"/>
    <row r="2368" s="514" customFormat="1" ht="13" customHeight="1" x14ac:dyDescent="0.3"/>
    <row r="2369" s="514" customFormat="1" ht="13" customHeight="1" x14ac:dyDescent="0.3"/>
    <row r="2370" s="514" customFormat="1" ht="13" customHeight="1" x14ac:dyDescent="0.3"/>
    <row r="2371" s="514" customFormat="1" ht="13" customHeight="1" x14ac:dyDescent="0.3"/>
    <row r="2372" s="514" customFormat="1" ht="13" customHeight="1" x14ac:dyDescent="0.3"/>
    <row r="2373" s="514" customFormat="1" ht="13" customHeight="1" x14ac:dyDescent="0.3"/>
    <row r="2374" s="514" customFormat="1" ht="13" customHeight="1" x14ac:dyDescent="0.3"/>
    <row r="2375" s="514" customFormat="1" ht="13" customHeight="1" x14ac:dyDescent="0.3"/>
    <row r="2376" s="514" customFormat="1" ht="13" customHeight="1" x14ac:dyDescent="0.3"/>
    <row r="2377" s="514" customFormat="1" ht="13" customHeight="1" x14ac:dyDescent="0.3"/>
    <row r="2378" s="514" customFormat="1" ht="13" customHeight="1" x14ac:dyDescent="0.3"/>
    <row r="2379" s="514" customFormat="1" ht="13" customHeight="1" x14ac:dyDescent="0.3"/>
    <row r="2380" s="514" customFormat="1" ht="13" customHeight="1" x14ac:dyDescent="0.3"/>
    <row r="2381" s="514" customFormat="1" ht="13" customHeight="1" x14ac:dyDescent="0.3"/>
    <row r="2382" s="514" customFormat="1" ht="13" customHeight="1" x14ac:dyDescent="0.3"/>
    <row r="2383" s="514" customFormat="1" ht="13" customHeight="1" x14ac:dyDescent="0.3"/>
    <row r="2384" s="514" customFormat="1" ht="13" customHeight="1" x14ac:dyDescent="0.3"/>
    <row r="2385" s="514" customFormat="1" ht="13" customHeight="1" x14ac:dyDescent="0.3"/>
    <row r="2386" s="514" customFormat="1" ht="13" customHeight="1" x14ac:dyDescent="0.3"/>
    <row r="2387" s="514" customFormat="1" ht="13" customHeight="1" x14ac:dyDescent="0.3"/>
    <row r="2388" s="514" customFormat="1" ht="13" customHeight="1" x14ac:dyDescent="0.3"/>
    <row r="2389" s="514" customFormat="1" ht="13" customHeight="1" x14ac:dyDescent="0.3"/>
    <row r="2390" s="514" customFormat="1" ht="13" customHeight="1" x14ac:dyDescent="0.3"/>
    <row r="2391" s="514" customFormat="1" ht="13" customHeight="1" x14ac:dyDescent="0.3"/>
    <row r="2392" s="514" customFormat="1" ht="13" customHeight="1" x14ac:dyDescent="0.3"/>
    <row r="2393" s="514" customFormat="1" ht="13" customHeight="1" x14ac:dyDescent="0.3"/>
    <row r="2394" s="514" customFormat="1" ht="13" customHeight="1" x14ac:dyDescent="0.3"/>
    <row r="2395" s="514" customFormat="1" ht="13" customHeight="1" x14ac:dyDescent="0.3"/>
    <row r="2396" s="514" customFormat="1" ht="13" customHeight="1" x14ac:dyDescent="0.3"/>
    <row r="2397" s="514" customFormat="1" ht="13" customHeight="1" x14ac:dyDescent="0.3"/>
    <row r="2398" s="514" customFormat="1" ht="13" customHeight="1" x14ac:dyDescent="0.3"/>
    <row r="2399" s="514" customFormat="1" ht="13" customHeight="1" x14ac:dyDescent="0.3"/>
    <row r="2400" s="514" customFormat="1" ht="13" customHeight="1" x14ac:dyDescent="0.3"/>
    <row r="2401" s="514" customFormat="1" ht="13" customHeight="1" x14ac:dyDescent="0.3"/>
    <row r="2402" s="514" customFormat="1" ht="13" customHeight="1" x14ac:dyDescent="0.3"/>
    <row r="2403" s="514" customFormat="1" ht="13" customHeight="1" x14ac:dyDescent="0.3"/>
    <row r="2404" s="514" customFormat="1" ht="13" customHeight="1" x14ac:dyDescent="0.3"/>
    <row r="2405" s="514" customFormat="1" ht="13" customHeight="1" x14ac:dyDescent="0.3"/>
    <row r="2406" s="514" customFormat="1" ht="13" customHeight="1" x14ac:dyDescent="0.3"/>
    <row r="2407" s="514" customFormat="1" ht="13" customHeight="1" x14ac:dyDescent="0.3"/>
    <row r="2408" s="514" customFormat="1" ht="13" customHeight="1" x14ac:dyDescent="0.3"/>
    <row r="2409" s="514" customFormat="1" ht="13" customHeight="1" x14ac:dyDescent="0.3"/>
    <row r="2410" s="514" customFormat="1" ht="13" customHeight="1" x14ac:dyDescent="0.3"/>
    <row r="2411" s="514" customFormat="1" ht="13" customHeight="1" x14ac:dyDescent="0.3"/>
    <row r="2412" s="514" customFormat="1" ht="13" customHeight="1" x14ac:dyDescent="0.3"/>
    <row r="2413" s="514" customFormat="1" ht="13" customHeight="1" x14ac:dyDescent="0.3"/>
    <row r="2414" s="514" customFormat="1" ht="13" customHeight="1" x14ac:dyDescent="0.3"/>
    <row r="2415" s="514" customFormat="1" ht="13" customHeight="1" x14ac:dyDescent="0.3"/>
    <row r="2416" s="514" customFormat="1" ht="13" customHeight="1" x14ac:dyDescent="0.3"/>
    <row r="2417" s="514" customFormat="1" ht="13" customHeight="1" x14ac:dyDescent="0.3"/>
    <row r="2418" s="514" customFormat="1" ht="13" customHeight="1" x14ac:dyDescent="0.3"/>
    <row r="2419" s="514" customFormat="1" ht="13" customHeight="1" x14ac:dyDescent="0.3"/>
    <row r="2420" s="514" customFormat="1" ht="13" customHeight="1" x14ac:dyDescent="0.3"/>
    <row r="2421" s="514" customFormat="1" ht="13" customHeight="1" x14ac:dyDescent="0.3"/>
    <row r="2422" s="514" customFormat="1" ht="13" customHeight="1" x14ac:dyDescent="0.3"/>
    <row r="2423" s="514" customFormat="1" ht="13" customHeight="1" x14ac:dyDescent="0.3"/>
    <row r="2424" s="514" customFormat="1" ht="13" customHeight="1" x14ac:dyDescent="0.3"/>
    <row r="2425" s="514" customFormat="1" ht="13" customHeight="1" x14ac:dyDescent="0.3"/>
    <row r="2426" s="514" customFormat="1" ht="13" customHeight="1" x14ac:dyDescent="0.3"/>
    <row r="2427" s="514" customFormat="1" ht="13" customHeight="1" x14ac:dyDescent="0.3"/>
    <row r="2428" s="514" customFormat="1" ht="13" customHeight="1" x14ac:dyDescent="0.3"/>
    <row r="2429" s="514" customFormat="1" ht="13" customHeight="1" x14ac:dyDescent="0.3"/>
    <row r="2430" s="514" customFormat="1" ht="13" customHeight="1" x14ac:dyDescent="0.3"/>
    <row r="2431" s="514" customFormat="1" ht="13" customHeight="1" x14ac:dyDescent="0.3"/>
    <row r="2432" s="514" customFormat="1" ht="13" customHeight="1" x14ac:dyDescent="0.3"/>
    <row r="2433" s="514" customFormat="1" ht="13" customHeight="1" x14ac:dyDescent="0.3"/>
    <row r="2434" s="514" customFormat="1" ht="13" customHeight="1" x14ac:dyDescent="0.3"/>
    <row r="2435" s="514" customFormat="1" ht="13" customHeight="1" x14ac:dyDescent="0.3"/>
    <row r="2436" s="514" customFormat="1" ht="13" customHeight="1" x14ac:dyDescent="0.3"/>
    <row r="2437" s="514" customFormat="1" ht="13" customHeight="1" x14ac:dyDescent="0.3"/>
    <row r="2438" s="514" customFormat="1" ht="13" customHeight="1" x14ac:dyDescent="0.3"/>
    <row r="2439" s="514" customFormat="1" ht="13" customHeight="1" x14ac:dyDescent="0.3"/>
    <row r="2440" s="514" customFormat="1" ht="13" customHeight="1" x14ac:dyDescent="0.3"/>
    <row r="2441" s="514" customFormat="1" ht="13" customHeight="1" x14ac:dyDescent="0.3"/>
    <row r="2442" s="514" customFormat="1" ht="13" customHeight="1" x14ac:dyDescent="0.3"/>
    <row r="2443" s="514" customFormat="1" ht="13" customHeight="1" x14ac:dyDescent="0.3"/>
    <row r="2444" s="514" customFormat="1" ht="13" customHeight="1" x14ac:dyDescent="0.3"/>
    <row r="2445" s="514" customFormat="1" ht="13" customHeight="1" x14ac:dyDescent="0.3"/>
    <row r="2446" s="514" customFormat="1" ht="13" customHeight="1" x14ac:dyDescent="0.3"/>
    <row r="2447" s="514" customFormat="1" ht="13" customHeight="1" x14ac:dyDescent="0.3"/>
    <row r="2448" s="514" customFormat="1" ht="13" customHeight="1" x14ac:dyDescent="0.3"/>
    <row r="2449" s="514" customFormat="1" ht="13" customHeight="1" x14ac:dyDescent="0.3"/>
    <row r="2450" s="514" customFormat="1" ht="13" customHeight="1" x14ac:dyDescent="0.3"/>
    <row r="2451" s="514" customFormat="1" ht="13" customHeight="1" x14ac:dyDescent="0.3"/>
    <row r="2452" s="514" customFormat="1" ht="13" customHeight="1" x14ac:dyDescent="0.3"/>
    <row r="2453" s="514" customFormat="1" ht="13" customHeight="1" x14ac:dyDescent="0.3"/>
    <row r="2454" s="514" customFormat="1" ht="13" customHeight="1" x14ac:dyDescent="0.3"/>
    <row r="2455" s="514" customFormat="1" ht="13" customHeight="1" x14ac:dyDescent="0.3"/>
    <row r="2456" s="514" customFormat="1" ht="13" customHeight="1" x14ac:dyDescent="0.3"/>
    <row r="2457" s="514" customFormat="1" ht="13" customHeight="1" x14ac:dyDescent="0.3"/>
    <row r="2458" s="514" customFormat="1" ht="13" customHeight="1" x14ac:dyDescent="0.3"/>
    <row r="2459" s="514" customFormat="1" ht="13" customHeight="1" x14ac:dyDescent="0.3"/>
    <row r="2460" s="514" customFormat="1" ht="13" customHeight="1" x14ac:dyDescent="0.3"/>
    <row r="2461" s="514" customFormat="1" ht="13" customHeight="1" x14ac:dyDescent="0.3"/>
    <row r="2462" s="514" customFormat="1" ht="13" customHeight="1" x14ac:dyDescent="0.3"/>
    <row r="2463" s="514" customFormat="1" ht="13" customHeight="1" x14ac:dyDescent="0.3"/>
    <row r="2464" s="514" customFormat="1" ht="13" customHeight="1" x14ac:dyDescent="0.3"/>
    <row r="2465" s="514" customFormat="1" ht="13" customHeight="1" x14ac:dyDescent="0.3"/>
    <row r="2466" s="514" customFormat="1" ht="13" customHeight="1" x14ac:dyDescent="0.3"/>
    <row r="2467" s="514" customFormat="1" ht="13" customHeight="1" x14ac:dyDescent="0.3"/>
    <row r="2468" s="514" customFormat="1" ht="13" customHeight="1" x14ac:dyDescent="0.3"/>
    <row r="2469" s="514" customFormat="1" ht="13" customHeight="1" x14ac:dyDescent="0.3"/>
    <row r="2470" s="514" customFormat="1" ht="13" customHeight="1" x14ac:dyDescent="0.3"/>
    <row r="2471" s="514" customFormat="1" ht="13" customHeight="1" x14ac:dyDescent="0.3"/>
    <row r="2472" s="514" customFormat="1" ht="13" customHeight="1" x14ac:dyDescent="0.3"/>
    <row r="2473" s="514" customFormat="1" ht="13" customHeight="1" x14ac:dyDescent="0.3"/>
    <row r="2474" s="514" customFormat="1" ht="13" customHeight="1" x14ac:dyDescent="0.3"/>
    <row r="2475" s="514" customFormat="1" ht="13" customHeight="1" x14ac:dyDescent="0.3"/>
    <row r="2476" s="514" customFormat="1" ht="13" customHeight="1" x14ac:dyDescent="0.3"/>
    <row r="2477" s="514" customFormat="1" ht="13" customHeight="1" x14ac:dyDescent="0.3"/>
    <row r="2478" s="514" customFormat="1" ht="13" customHeight="1" x14ac:dyDescent="0.3"/>
    <row r="2479" s="514" customFormat="1" ht="13" customHeight="1" x14ac:dyDescent="0.3"/>
    <row r="2480" s="514" customFormat="1" ht="13" customHeight="1" x14ac:dyDescent="0.3"/>
    <row r="2481" s="514" customFormat="1" ht="13" customHeight="1" x14ac:dyDescent="0.3"/>
    <row r="2482" s="514" customFormat="1" ht="13" customHeight="1" x14ac:dyDescent="0.3"/>
    <row r="2483" s="514" customFormat="1" ht="13" customHeight="1" x14ac:dyDescent="0.3"/>
    <row r="2484" s="514" customFormat="1" ht="13" customHeight="1" x14ac:dyDescent="0.3"/>
    <row r="2485" s="514" customFormat="1" ht="13" customHeight="1" x14ac:dyDescent="0.3"/>
    <row r="2486" s="514" customFormat="1" ht="13" customHeight="1" x14ac:dyDescent="0.3"/>
    <row r="2487" s="514" customFormat="1" ht="13" customHeight="1" x14ac:dyDescent="0.3"/>
    <row r="2488" s="514" customFormat="1" ht="13" customHeight="1" x14ac:dyDescent="0.3"/>
    <row r="2489" s="514" customFormat="1" ht="13" customHeight="1" x14ac:dyDescent="0.3"/>
    <row r="2490" s="514" customFormat="1" ht="13" customHeight="1" x14ac:dyDescent="0.3"/>
    <row r="2491" s="514" customFormat="1" ht="13" customHeight="1" x14ac:dyDescent="0.3"/>
    <row r="2492" s="514" customFormat="1" ht="13" customHeight="1" x14ac:dyDescent="0.3"/>
    <row r="2493" s="514" customFormat="1" ht="13" customHeight="1" x14ac:dyDescent="0.3"/>
    <row r="2494" s="514" customFormat="1" ht="13" customHeight="1" x14ac:dyDescent="0.3"/>
    <row r="2495" s="514" customFormat="1" ht="13" customHeight="1" x14ac:dyDescent="0.3"/>
    <row r="2496" s="514" customFormat="1" ht="13" customHeight="1" x14ac:dyDescent="0.3"/>
    <row r="2497" s="514" customFormat="1" ht="13" customHeight="1" x14ac:dyDescent="0.3"/>
    <row r="2498" s="514" customFormat="1" ht="13" customHeight="1" x14ac:dyDescent="0.3"/>
    <row r="2499" s="514" customFormat="1" ht="13" customHeight="1" x14ac:dyDescent="0.3"/>
    <row r="2500" s="514" customFormat="1" ht="13" customHeight="1" x14ac:dyDescent="0.3"/>
    <row r="2501" s="514" customFormat="1" ht="13" customHeight="1" x14ac:dyDescent="0.3"/>
    <row r="2502" s="514" customFormat="1" ht="13" customHeight="1" x14ac:dyDescent="0.3"/>
    <row r="2503" s="514" customFormat="1" ht="13" customHeight="1" x14ac:dyDescent="0.3"/>
    <row r="2504" s="514" customFormat="1" ht="13" customHeight="1" x14ac:dyDescent="0.3"/>
    <row r="2505" s="514" customFormat="1" ht="13" customHeight="1" x14ac:dyDescent="0.3"/>
    <row r="2506" s="514" customFormat="1" ht="13" customHeight="1" x14ac:dyDescent="0.3"/>
    <row r="2507" s="514" customFormat="1" ht="13" customHeight="1" x14ac:dyDescent="0.3"/>
    <row r="2508" s="514" customFormat="1" ht="13" customHeight="1" x14ac:dyDescent="0.3"/>
    <row r="2509" s="514" customFormat="1" ht="13" customHeight="1" x14ac:dyDescent="0.3"/>
    <row r="2510" s="514" customFormat="1" ht="13" customHeight="1" x14ac:dyDescent="0.3"/>
    <row r="2511" s="514" customFormat="1" ht="13" customHeight="1" x14ac:dyDescent="0.3"/>
    <row r="2512" s="514" customFormat="1" ht="13" customHeight="1" x14ac:dyDescent="0.3"/>
    <row r="2513" s="514" customFormat="1" ht="13" customHeight="1" x14ac:dyDescent="0.3"/>
    <row r="2514" s="514" customFormat="1" ht="13" customHeight="1" x14ac:dyDescent="0.3"/>
    <row r="2515" s="514" customFormat="1" ht="13" customHeight="1" x14ac:dyDescent="0.3"/>
    <row r="2516" s="514" customFormat="1" ht="13" customHeight="1" x14ac:dyDescent="0.3"/>
    <row r="2517" s="514" customFormat="1" ht="13" customHeight="1" x14ac:dyDescent="0.3"/>
    <row r="2518" s="514" customFormat="1" ht="13" customHeight="1" x14ac:dyDescent="0.3"/>
    <row r="2519" s="514" customFormat="1" ht="13" customHeight="1" x14ac:dyDescent="0.3"/>
    <row r="2520" s="514" customFormat="1" ht="13" customHeight="1" x14ac:dyDescent="0.3"/>
    <row r="2521" s="514" customFormat="1" ht="13" customHeight="1" x14ac:dyDescent="0.3"/>
    <row r="2522" s="514" customFormat="1" ht="13" customHeight="1" x14ac:dyDescent="0.3"/>
    <row r="2523" s="514" customFormat="1" ht="13" customHeight="1" x14ac:dyDescent="0.3"/>
    <row r="2524" s="514" customFormat="1" ht="13" customHeight="1" x14ac:dyDescent="0.3"/>
    <row r="2525" s="514" customFormat="1" ht="13" customHeight="1" x14ac:dyDescent="0.3"/>
    <row r="2526" s="514" customFormat="1" ht="13" customHeight="1" x14ac:dyDescent="0.3"/>
    <row r="2527" s="514" customFormat="1" ht="13" customHeight="1" x14ac:dyDescent="0.3"/>
    <row r="2528" s="514" customFormat="1" ht="13" customHeight="1" x14ac:dyDescent="0.3"/>
    <row r="2529" s="514" customFormat="1" ht="13" customHeight="1" x14ac:dyDescent="0.3"/>
    <row r="2530" s="514" customFormat="1" ht="13" customHeight="1" x14ac:dyDescent="0.3"/>
    <row r="2531" s="514" customFormat="1" ht="13" customHeight="1" x14ac:dyDescent="0.3"/>
    <row r="2532" s="514" customFormat="1" ht="13" customHeight="1" x14ac:dyDescent="0.3"/>
    <row r="2533" s="514" customFormat="1" ht="13" customHeight="1" x14ac:dyDescent="0.3"/>
    <row r="2534" s="514" customFormat="1" ht="13" customHeight="1" x14ac:dyDescent="0.3"/>
    <row r="2535" s="514" customFormat="1" ht="13" customHeight="1" x14ac:dyDescent="0.3"/>
    <row r="2536" s="514" customFormat="1" ht="13" customHeight="1" x14ac:dyDescent="0.3"/>
    <row r="2537" s="514" customFormat="1" ht="13" customHeight="1" x14ac:dyDescent="0.3"/>
    <row r="2538" s="514" customFormat="1" ht="13" customHeight="1" x14ac:dyDescent="0.3"/>
    <row r="2539" s="514" customFormat="1" ht="13" customHeight="1" x14ac:dyDescent="0.3"/>
    <row r="2540" s="514" customFormat="1" ht="13" customHeight="1" x14ac:dyDescent="0.3"/>
    <row r="2541" s="514" customFormat="1" ht="13" customHeight="1" x14ac:dyDescent="0.3"/>
    <row r="2542" s="514" customFormat="1" ht="13" customHeight="1" x14ac:dyDescent="0.3"/>
    <row r="2543" s="514" customFormat="1" ht="13" customHeight="1" x14ac:dyDescent="0.3"/>
    <row r="2544" s="514" customFormat="1" ht="13" customHeight="1" x14ac:dyDescent="0.3"/>
    <row r="2545" s="514" customFormat="1" ht="13" customHeight="1" x14ac:dyDescent="0.3"/>
    <row r="2546" s="514" customFormat="1" ht="13" customHeight="1" x14ac:dyDescent="0.3"/>
    <row r="2547" s="514" customFormat="1" ht="13" customHeight="1" x14ac:dyDescent="0.3"/>
    <row r="2548" s="514" customFormat="1" ht="13" customHeight="1" x14ac:dyDescent="0.3"/>
    <row r="2549" s="514" customFormat="1" ht="13" customHeight="1" x14ac:dyDescent="0.3"/>
    <row r="2550" s="514" customFormat="1" ht="13" customHeight="1" x14ac:dyDescent="0.3"/>
    <row r="2551" s="514" customFormat="1" ht="13" customHeight="1" x14ac:dyDescent="0.3"/>
    <row r="2552" s="514" customFormat="1" ht="13" customHeight="1" x14ac:dyDescent="0.3"/>
    <row r="2553" s="514" customFormat="1" ht="13" customHeight="1" x14ac:dyDescent="0.3"/>
    <row r="2554" s="514" customFormat="1" ht="13" customHeight="1" x14ac:dyDescent="0.3"/>
    <row r="2555" s="514" customFormat="1" ht="13" customHeight="1" x14ac:dyDescent="0.3"/>
    <row r="2556" s="514" customFormat="1" ht="13" customHeight="1" x14ac:dyDescent="0.3"/>
    <row r="2557" s="514" customFormat="1" ht="13" customHeight="1" x14ac:dyDescent="0.3"/>
    <row r="2558" s="514" customFormat="1" ht="13" customHeight="1" x14ac:dyDescent="0.3"/>
    <row r="2559" s="514" customFormat="1" ht="13" customHeight="1" x14ac:dyDescent="0.3"/>
    <row r="2560" s="514" customFormat="1" ht="13" customHeight="1" x14ac:dyDescent="0.3"/>
    <row r="2561" s="514" customFormat="1" ht="13" customHeight="1" x14ac:dyDescent="0.3"/>
    <row r="2562" s="514" customFormat="1" ht="13" customHeight="1" x14ac:dyDescent="0.3"/>
    <row r="2563" s="514" customFormat="1" ht="13" customHeight="1" x14ac:dyDescent="0.3"/>
    <row r="2564" s="514" customFormat="1" ht="13" customHeight="1" x14ac:dyDescent="0.3"/>
    <row r="2565" s="514" customFormat="1" ht="13" customHeight="1" x14ac:dyDescent="0.3"/>
    <row r="2566" s="514" customFormat="1" ht="13" customHeight="1" x14ac:dyDescent="0.3"/>
    <row r="2567" s="514" customFormat="1" ht="13" customHeight="1" x14ac:dyDescent="0.3"/>
    <row r="2568" s="514" customFormat="1" ht="13" customHeight="1" x14ac:dyDescent="0.3"/>
    <row r="2569" s="514" customFormat="1" ht="13" customHeight="1" x14ac:dyDescent="0.3"/>
    <row r="2570" s="514" customFormat="1" ht="13" customHeight="1" x14ac:dyDescent="0.3"/>
    <row r="2571" s="514" customFormat="1" ht="13" customHeight="1" x14ac:dyDescent="0.3"/>
    <row r="2572" s="514" customFormat="1" ht="13" customHeight="1" x14ac:dyDescent="0.3"/>
    <row r="2573" s="514" customFormat="1" ht="13" customHeight="1" x14ac:dyDescent="0.3"/>
    <row r="2574" s="514" customFormat="1" ht="13" customHeight="1" x14ac:dyDescent="0.3"/>
    <row r="2575" s="514" customFormat="1" ht="13" customHeight="1" x14ac:dyDescent="0.3"/>
    <row r="2576" s="514" customFormat="1" ht="13" customHeight="1" x14ac:dyDescent="0.3"/>
    <row r="2577" s="514" customFormat="1" ht="13" customHeight="1" x14ac:dyDescent="0.3"/>
    <row r="2578" s="514" customFormat="1" ht="13" customHeight="1" x14ac:dyDescent="0.3"/>
    <row r="2579" s="514" customFormat="1" ht="13" customHeight="1" x14ac:dyDescent="0.3"/>
    <row r="2580" s="514" customFormat="1" ht="13" customHeight="1" x14ac:dyDescent="0.3"/>
    <row r="2581" s="514" customFormat="1" ht="13" customHeight="1" x14ac:dyDescent="0.3"/>
    <row r="2582" s="514" customFormat="1" ht="13" customHeight="1" x14ac:dyDescent="0.3"/>
    <row r="2583" s="514" customFormat="1" ht="13" customHeight="1" x14ac:dyDescent="0.3"/>
    <row r="2584" s="514" customFormat="1" ht="13" customHeight="1" x14ac:dyDescent="0.3"/>
    <row r="2585" s="514" customFormat="1" ht="13" customHeight="1" x14ac:dyDescent="0.3"/>
    <row r="2586" s="514" customFormat="1" ht="13" customHeight="1" x14ac:dyDescent="0.3"/>
    <row r="2587" s="514" customFormat="1" ht="13" customHeight="1" x14ac:dyDescent="0.3"/>
    <row r="2588" s="514" customFormat="1" ht="13" customHeight="1" x14ac:dyDescent="0.3"/>
    <row r="2589" s="514" customFormat="1" ht="13" customHeight="1" x14ac:dyDescent="0.3"/>
    <row r="2590" s="514" customFormat="1" ht="13" customHeight="1" x14ac:dyDescent="0.3"/>
    <row r="2591" s="514" customFormat="1" ht="13" customHeight="1" x14ac:dyDescent="0.3"/>
    <row r="2592" s="514" customFormat="1" ht="13" customHeight="1" x14ac:dyDescent="0.3"/>
    <row r="2593" s="514" customFormat="1" ht="13" customHeight="1" x14ac:dyDescent="0.3"/>
    <row r="2594" s="514" customFormat="1" ht="13" customHeight="1" x14ac:dyDescent="0.3"/>
    <row r="2595" s="514" customFormat="1" ht="13" customHeight="1" x14ac:dyDescent="0.3"/>
    <row r="2596" s="514" customFormat="1" ht="13" customHeight="1" x14ac:dyDescent="0.3"/>
    <row r="2597" s="514" customFormat="1" ht="13" customHeight="1" x14ac:dyDescent="0.3"/>
    <row r="2598" s="514" customFormat="1" ht="13" customHeight="1" x14ac:dyDescent="0.3"/>
    <row r="2599" s="514" customFormat="1" ht="13" customHeight="1" x14ac:dyDescent="0.3"/>
    <row r="2600" s="514" customFormat="1" ht="13" customHeight="1" x14ac:dyDescent="0.3"/>
    <row r="2601" s="514" customFormat="1" ht="13" customHeight="1" x14ac:dyDescent="0.3"/>
    <row r="2602" s="514" customFormat="1" ht="13" customHeight="1" x14ac:dyDescent="0.3"/>
    <row r="2603" s="514" customFormat="1" ht="13" customHeight="1" x14ac:dyDescent="0.3"/>
    <row r="2604" s="514" customFormat="1" ht="13" customHeight="1" x14ac:dyDescent="0.3"/>
    <row r="2605" s="514" customFormat="1" ht="13" customHeight="1" x14ac:dyDescent="0.3"/>
    <row r="2606" s="514" customFormat="1" ht="13" customHeight="1" x14ac:dyDescent="0.3"/>
    <row r="2607" s="514" customFormat="1" ht="13" customHeight="1" x14ac:dyDescent="0.3"/>
    <row r="2608" s="514" customFormat="1" ht="13" customHeight="1" x14ac:dyDescent="0.3"/>
    <row r="2609" s="514" customFormat="1" ht="13" customHeight="1" x14ac:dyDescent="0.3"/>
    <row r="2610" s="514" customFormat="1" ht="13" customHeight="1" x14ac:dyDescent="0.3"/>
    <row r="2611" s="514" customFormat="1" ht="13" customHeight="1" x14ac:dyDescent="0.3"/>
    <row r="2612" s="514" customFormat="1" ht="13" customHeight="1" x14ac:dyDescent="0.3"/>
    <row r="2613" s="514" customFormat="1" ht="13" customHeight="1" x14ac:dyDescent="0.3"/>
    <row r="2614" s="514" customFormat="1" ht="13" customHeight="1" x14ac:dyDescent="0.3"/>
    <row r="2615" s="514" customFormat="1" ht="13" customHeight="1" x14ac:dyDescent="0.3"/>
    <row r="2616" s="514" customFormat="1" ht="13" customHeight="1" x14ac:dyDescent="0.3"/>
    <row r="2617" s="514" customFormat="1" ht="13" customHeight="1" x14ac:dyDescent="0.3"/>
    <row r="2618" s="514" customFormat="1" ht="13" customHeight="1" x14ac:dyDescent="0.3"/>
    <row r="2619" s="514" customFormat="1" ht="13" customHeight="1" x14ac:dyDescent="0.3"/>
    <row r="2620" s="514" customFormat="1" ht="13" customHeight="1" x14ac:dyDescent="0.3"/>
    <row r="2621" s="514" customFormat="1" ht="13" customHeight="1" x14ac:dyDescent="0.3"/>
    <row r="2622" s="514" customFormat="1" ht="13" customHeight="1" x14ac:dyDescent="0.3"/>
    <row r="2623" s="514" customFormat="1" ht="13" customHeight="1" x14ac:dyDescent="0.3"/>
    <row r="2624" s="514" customFormat="1" ht="13" customHeight="1" x14ac:dyDescent="0.3"/>
    <row r="2625" s="514" customFormat="1" ht="13" customHeight="1" x14ac:dyDescent="0.3"/>
    <row r="2626" s="514" customFormat="1" ht="13" customHeight="1" x14ac:dyDescent="0.3"/>
    <row r="2627" s="514" customFormat="1" ht="13" customHeight="1" x14ac:dyDescent="0.3"/>
    <row r="2628" s="514" customFormat="1" ht="13" customHeight="1" x14ac:dyDescent="0.3"/>
    <row r="2629" s="514" customFormat="1" ht="13" customHeight="1" x14ac:dyDescent="0.3"/>
    <row r="2630" s="514" customFormat="1" ht="13" customHeight="1" x14ac:dyDescent="0.3"/>
    <row r="2631" s="514" customFormat="1" ht="13" customHeight="1" x14ac:dyDescent="0.3"/>
    <row r="2632" s="514" customFormat="1" ht="13" customHeight="1" x14ac:dyDescent="0.3"/>
    <row r="2633" s="514" customFormat="1" ht="13" customHeight="1" x14ac:dyDescent="0.3"/>
    <row r="2634" s="514" customFormat="1" ht="13" customHeight="1" x14ac:dyDescent="0.3"/>
    <row r="2635" s="514" customFormat="1" ht="13" customHeight="1" x14ac:dyDescent="0.3"/>
    <row r="2636" s="514" customFormat="1" ht="13" customHeight="1" x14ac:dyDescent="0.3"/>
    <row r="2637" s="514" customFormat="1" ht="13" customHeight="1" x14ac:dyDescent="0.3"/>
    <row r="2638" s="514" customFormat="1" ht="13" customHeight="1" x14ac:dyDescent="0.3"/>
    <row r="2639" s="514" customFormat="1" ht="13" customHeight="1" x14ac:dyDescent="0.3"/>
    <row r="2640" s="514" customFormat="1" ht="13" customHeight="1" x14ac:dyDescent="0.3"/>
    <row r="2641" s="514" customFormat="1" ht="13" customHeight="1" x14ac:dyDescent="0.3"/>
    <row r="2642" s="514" customFormat="1" ht="13" customHeight="1" x14ac:dyDescent="0.3"/>
    <row r="2643" s="514" customFormat="1" ht="13" customHeight="1" x14ac:dyDescent="0.3"/>
    <row r="2644" s="514" customFormat="1" ht="13" customHeight="1" x14ac:dyDescent="0.3"/>
    <row r="2645" s="514" customFormat="1" ht="13" customHeight="1" x14ac:dyDescent="0.3"/>
    <row r="2646" s="514" customFormat="1" ht="13" customHeight="1" x14ac:dyDescent="0.3"/>
    <row r="2647" s="514" customFormat="1" ht="13" customHeight="1" x14ac:dyDescent="0.3"/>
    <row r="2648" s="514" customFormat="1" ht="13" customHeight="1" x14ac:dyDescent="0.3"/>
    <row r="2649" s="514" customFormat="1" ht="13" customHeight="1" x14ac:dyDescent="0.3"/>
    <row r="2650" s="514" customFormat="1" ht="13" customHeight="1" x14ac:dyDescent="0.3"/>
    <row r="2651" s="514" customFormat="1" ht="13" customHeight="1" x14ac:dyDescent="0.3"/>
    <row r="2652" s="514" customFormat="1" ht="13" customHeight="1" x14ac:dyDescent="0.3"/>
    <row r="2653" s="514" customFormat="1" ht="13" customHeight="1" x14ac:dyDescent="0.3"/>
    <row r="2654" s="514" customFormat="1" ht="13" customHeight="1" x14ac:dyDescent="0.3"/>
    <row r="2655" s="514" customFormat="1" ht="13" customHeight="1" x14ac:dyDescent="0.3"/>
    <row r="2656" s="514" customFormat="1" ht="13" customHeight="1" x14ac:dyDescent="0.3"/>
    <row r="2657" s="514" customFormat="1" ht="13" customHeight="1" x14ac:dyDescent="0.3"/>
    <row r="2658" s="514" customFormat="1" ht="13" customHeight="1" x14ac:dyDescent="0.3"/>
    <row r="2659" s="514" customFormat="1" ht="13" customHeight="1" x14ac:dyDescent="0.3"/>
    <row r="2660" s="514" customFormat="1" ht="13" customHeight="1" x14ac:dyDescent="0.3"/>
    <row r="2661" s="514" customFormat="1" ht="13" customHeight="1" x14ac:dyDescent="0.3"/>
    <row r="2662" s="514" customFormat="1" ht="13" customHeight="1" x14ac:dyDescent="0.3"/>
    <row r="2663" s="514" customFormat="1" ht="13" customHeight="1" x14ac:dyDescent="0.3"/>
    <row r="2664" s="514" customFormat="1" ht="13" customHeight="1" x14ac:dyDescent="0.3"/>
    <row r="2665" s="514" customFormat="1" ht="13" customHeight="1" x14ac:dyDescent="0.3"/>
    <row r="2666" s="514" customFormat="1" ht="13" customHeight="1" x14ac:dyDescent="0.3"/>
    <row r="2667" s="514" customFormat="1" ht="13" customHeight="1" x14ac:dyDescent="0.3"/>
    <row r="2668" s="514" customFormat="1" ht="13" customHeight="1" x14ac:dyDescent="0.3"/>
    <row r="2669" s="514" customFormat="1" ht="13" customHeight="1" x14ac:dyDescent="0.3"/>
    <row r="2670" s="514" customFormat="1" ht="13" customHeight="1" x14ac:dyDescent="0.3"/>
    <row r="2671" s="514" customFormat="1" ht="13" customHeight="1" x14ac:dyDescent="0.3"/>
    <row r="2672" s="514" customFormat="1" ht="13" customHeight="1" x14ac:dyDescent="0.3"/>
    <row r="2673" s="514" customFormat="1" ht="13" customHeight="1" x14ac:dyDescent="0.3"/>
    <row r="2674" s="514" customFormat="1" ht="13" customHeight="1" x14ac:dyDescent="0.3"/>
    <row r="2675" s="514" customFormat="1" ht="13" customHeight="1" x14ac:dyDescent="0.3"/>
    <row r="2676" s="514" customFormat="1" ht="13" customHeight="1" x14ac:dyDescent="0.3"/>
    <row r="2677" s="514" customFormat="1" ht="13" customHeight="1" x14ac:dyDescent="0.3"/>
    <row r="2678" s="514" customFormat="1" ht="13" customHeight="1" x14ac:dyDescent="0.3"/>
    <row r="2679" s="514" customFormat="1" ht="13" customHeight="1" x14ac:dyDescent="0.3"/>
    <row r="2680" s="514" customFormat="1" ht="13" customHeight="1" x14ac:dyDescent="0.3"/>
    <row r="2681" s="514" customFormat="1" ht="13" customHeight="1" x14ac:dyDescent="0.3"/>
    <row r="2682" s="514" customFormat="1" ht="13" customHeight="1" x14ac:dyDescent="0.3"/>
    <row r="2683" s="514" customFormat="1" ht="13" customHeight="1" x14ac:dyDescent="0.3"/>
    <row r="2684" s="514" customFormat="1" ht="13" customHeight="1" x14ac:dyDescent="0.3"/>
    <row r="2685" s="514" customFormat="1" ht="13" customHeight="1" x14ac:dyDescent="0.3"/>
    <row r="2686" s="514" customFormat="1" ht="13" customHeight="1" x14ac:dyDescent="0.3"/>
    <row r="2687" s="514" customFormat="1" ht="13" customHeight="1" x14ac:dyDescent="0.3"/>
    <row r="2688" s="514" customFormat="1" ht="13" customHeight="1" x14ac:dyDescent="0.3"/>
    <row r="2689" s="514" customFormat="1" ht="13" customHeight="1" x14ac:dyDescent="0.3"/>
    <row r="2690" s="514" customFormat="1" ht="13" customHeight="1" x14ac:dyDescent="0.3"/>
    <row r="2691" s="514" customFormat="1" ht="13" customHeight="1" x14ac:dyDescent="0.3"/>
    <row r="2692" s="514" customFormat="1" ht="13" customHeight="1" x14ac:dyDescent="0.3"/>
    <row r="2693" s="514" customFormat="1" ht="13" customHeight="1" x14ac:dyDescent="0.3"/>
    <row r="2694" s="514" customFormat="1" ht="13" customHeight="1" x14ac:dyDescent="0.3"/>
    <row r="2695" s="514" customFormat="1" ht="13" customHeight="1" x14ac:dyDescent="0.3"/>
    <row r="2696" s="514" customFormat="1" ht="13" customHeight="1" x14ac:dyDescent="0.3"/>
    <row r="2697" s="514" customFormat="1" ht="13" customHeight="1" x14ac:dyDescent="0.3"/>
    <row r="2698" s="514" customFormat="1" ht="13" customHeight="1" x14ac:dyDescent="0.3"/>
    <row r="2699" s="514" customFormat="1" ht="13" customHeight="1" x14ac:dyDescent="0.3"/>
    <row r="2700" s="514" customFormat="1" ht="13" customHeight="1" x14ac:dyDescent="0.3"/>
    <row r="2701" s="514" customFormat="1" ht="13" customHeight="1" x14ac:dyDescent="0.3"/>
    <row r="2702" s="514" customFormat="1" ht="13" customHeight="1" x14ac:dyDescent="0.3"/>
    <row r="2703" s="514" customFormat="1" ht="13" customHeight="1" x14ac:dyDescent="0.3"/>
    <row r="2704" s="514" customFormat="1" ht="13" customHeight="1" x14ac:dyDescent="0.3"/>
    <row r="2705" s="514" customFormat="1" ht="13" customHeight="1" x14ac:dyDescent="0.3"/>
    <row r="2706" s="514" customFormat="1" ht="13" customHeight="1" x14ac:dyDescent="0.3"/>
    <row r="2707" s="514" customFormat="1" ht="13" customHeight="1" x14ac:dyDescent="0.3"/>
    <row r="2708" s="514" customFormat="1" ht="13" customHeight="1" x14ac:dyDescent="0.3"/>
    <row r="2709" s="514" customFormat="1" ht="13" customHeight="1" x14ac:dyDescent="0.3"/>
    <row r="2710" s="514" customFormat="1" ht="13" customHeight="1" x14ac:dyDescent="0.3"/>
    <row r="2711" s="514" customFormat="1" ht="13" customHeight="1" x14ac:dyDescent="0.3"/>
    <row r="2712" s="514" customFormat="1" ht="13" customHeight="1" x14ac:dyDescent="0.3"/>
    <row r="2713" s="514" customFormat="1" ht="13" customHeight="1" x14ac:dyDescent="0.3"/>
    <row r="2714" s="514" customFormat="1" ht="13" customHeight="1" x14ac:dyDescent="0.3"/>
    <row r="2715" s="514" customFormat="1" ht="13" customHeight="1" x14ac:dyDescent="0.3"/>
    <row r="2716" s="514" customFormat="1" ht="13" customHeight="1" x14ac:dyDescent="0.3"/>
    <row r="2717" s="514" customFormat="1" ht="13" customHeight="1" x14ac:dyDescent="0.3"/>
    <row r="2718" s="514" customFormat="1" ht="13" customHeight="1" x14ac:dyDescent="0.3"/>
    <row r="2719" s="514" customFormat="1" ht="13" customHeight="1" x14ac:dyDescent="0.3"/>
    <row r="2720" s="514" customFormat="1" ht="13" customHeight="1" x14ac:dyDescent="0.3"/>
    <row r="2721" s="514" customFormat="1" ht="13" customHeight="1" x14ac:dyDescent="0.3"/>
    <row r="2722" s="514" customFormat="1" ht="13" customHeight="1" x14ac:dyDescent="0.3"/>
    <row r="2723" s="514" customFormat="1" ht="13" customHeight="1" x14ac:dyDescent="0.3"/>
    <row r="2724" s="514" customFormat="1" ht="13" customHeight="1" x14ac:dyDescent="0.3"/>
    <row r="2725" s="514" customFormat="1" ht="13" customHeight="1" x14ac:dyDescent="0.3"/>
    <row r="2726" s="514" customFormat="1" ht="13" customHeight="1" x14ac:dyDescent="0.3"/>
    <row r="2727" s="514" customFormat="1" ht="13" customHeight="1" x14ac:dyDescent="0.3"/>
    <row r="2728" s="514" customFormat="1" ht="13" customHeight="1" x14ac:dyDescent="0.3"/>
    <row r="2729" s="514" customFormat="1" ht="13" customHeight="1" x14ac:dyDescent="0.3"/>
    <row r="2730" s="514" customFormat="1" ht="13" customHeight="1" x14ac:dyDescent="0.3"/>
    <row r="2731" s="514" customFormat="1" ht="13" customHeight="1" x14ac:dyDescent="0.3"/>
    <row r="2732" s="514" customFormat="1" ht="13" customHeight="1" x14ac:dyDescent="0.3"/>
    <row r="2733" s="514" customFormat="1" ht="13" customHeight="1" x14ac:dyDescent="0.3"/>
    <row r="2734" s="514" customFormat="1" ht="13" customHeight="1" x14ac:dyDescent="0.3"/>
    <row r="2735" s="514" customFormat="1" ht="13" customHeight="1" x14ac:dyDescent="0.3"/>
    <row r="2736" s="514" customFormat="1" ht="13" customHeight="1" x14ac:dyDescent="0.3"/>
    <row r="2737" s="514" customFormat="1" ht="13" customHeight="1" x14ac:dyDescent="0.3"/>
    <row r="2738" s="514" customFormat="1" ht="13" customHeight="1" x14ac:dyDescent="0.3"/>
    <row r="2739" s="514" customFormat="1" ht="13" customHeight="1" x14ac:dyDescent="0.3"/>
    <row r="2740" s="514" customFormat="1" ht="13" customHeight="1" x14ac:dyDescent="0.3"/>
    <row r="2741" s="514" customFormat="1" ht="13" customHeight="1" x14ac:dyDescent="0.3"/>
    <row r="2742" s="514" customFormat="1" ht="13" customHeight="1" x14ac:dyDescent="0.3"/>
    <row r="2743" s="514" customFormat="1" ht="13" customHeight="1" x14ac:dyDescent="0.3"/>
    <row r="2744" s="514" customFormat="1" ht="13" customHeight="1" x14ac:dyDescent="0.3"/>
    <row r="2745" s="514" customFormat="1" ht="13" customHeight="1" x14ac:dyDescent="0.3"/>
    <row r="2746" s="514" customFormat="1" ht="13" customHeight="1" x14ac:dyDescent="0.3"/>
    <row r="2747" s="514" customFormat="1" ht="13" customHeight="1" x14ac:dyDescent="0.3"/>
    <row r="2748" s="514" customFormat="1" ht="13" customHeight="1" x14ac:dyDescent="0.3"/>
    <row r="2749" s="514" customFormat="1" ht="13" customHeight="1" x14ac:dyDescent="0.3"/>
    <row r="2750" s="514" customFormat="1" ht="13" customHeight="1" x14ac:dyDescent="0.3"/>
    <row r="2751" s="514" customFormat="1" ht="13" customHeight="1" x14ac:dyDescent="0.3"/>
    <row r="2752" s="514" customFormat="1" ht="13" customHeight="1" x14ac:dyDescent="0.3"/>
    <row r="2753" s="514" customFormat="1" ht="13" customHeight="1" x14ac:dyDescent="0.3"/>
    <row r="2754" s="514" customFormat="1" ht="13" customHeight="1" x14ac:dyDescent="0.3"/>
    <row r="2755" s="514" customFormat="1" ht="13" customHeight="1" x14ac:dyDescent="0.3"/>
    <row r="2756" s="514" customFormat="1" ht="13" customHeight="1" x14ac:dyDescent="0.3"/>
    <row r="2757" s="514" customFormat="1" ht="13" customHeight="1" x14ac:dyDescent="0.3"/>
    <row r="2758" s="514" customFormat="1" ht="13" customHeight="1" x14ac:dyDescent="0.3"/>
    <row r="2759" s="514" customFormat="1" ht="13" customHeight="1" x14ac:dyDescent="0.3"/>
    <row r="2760" s="514" customFormat="1" ht="13" customHeight="1" x14ac:dyDescent="0.3"/>
    <row r="2761" s="514" customFormat="1" ht="13" customHeight="1" x14ac:dyDescent="0.3"/>
    <row r="2762" s="514" customFormat="1" ht="13" customHeight="1" x14ac:dyDescent="0.3"/>
    <row r="2763" s="514" customFormat="1" ht="13" customHeight="1" x14ac:dyDescent="0.3"/>
    <row r="2764" s="514" customFormat="1" ht="13" customHeight="1" x14ac:dyDescent="0.3"/>
    <row r="2765" s="514" customFormat="1" ht="13" customHeight="1" x14ac:dyDescent="0.3"/>
    <row r="2766" s="514" customFormat="1" ht="13" customHeight="1" x14ac:dyDescent="0.3"/>
    <row r="2767" s="514" customFormat="1" ht="13" customHeight="1" x14ac:dyDescent="0.3"/>
    <row r="2768" s="514" customFormat="1" ht="13" customHeight="1" x14ac:dyDescent="0.3"/>
    <row r="2769" s="514" customFormat="1" ht="13" customHeight="1" x14ac:dyDescent="0.3"/>
    <row r="2770" s="514" customFormat="1" ht="13" customHeight="1" x14ac:dyDescent="0.3"/>
    <row r="2771" s="514" customFormat="1" ht="13" customHeight="1" x14ac:dyDescent="0.3"/>
    <row r="2772" s="514" customFormat="1" ht="13" customHeight="1" x14ac:dyDescent="0.3"/>
    <row r="2773" s="514" customFormat="1" ht="13" customHeight="1" x14ac:dyDescent="0.3"/>
    <row r="2774" s="514" customFormat="1" ht="13" customHeight="1" x14ac:dyDescent="0.3"/>
    <row r="2775" s="514" customFormat="1" ht="13" customHeight="1" x14ac:dyDescent="0.3"/>
    <row r="2776" s="514" customFormat="1" ht="13" customHeight="1" x14ac:dyDescent="0.3"/>
    <row r="2777" s="514" customFormat="1" ht="13" customHeight="1" x14ac:dyDescent="0.3"/>
    <row r="2778" s="514" customFormat="1" ht="13" customHeight="1" x14ac:dyDescent="0.3"/>
    <row r="2779" s="514" customFormat="1" ht="13" customHeight="1" x14ac:dyDescent="0.3"/>
    <row r="2780" s="514" customFormat="1" ht="13" customHeight="1" x14ac:dyDescent="0.3"/>
    <row r="2781" s="514" customFormat="1" ht="13" customHeight="1" x14ac:dyDescent="0.3"/>
    <row r="2782" s="514" customFormat="1" ht="13" customHeight="1" x14ac:dyDescent="0.3"/>
    <row r="2783" s="514" customFormat="1" ht="13" customHeight="1" x14ac:dyDescent="0.3"/>
    <row r="2784" s="514" customFormat="1" ht="13" customHeight="1" x14ac:dyDescent="0.3"/>
    <row r="2785" s="514" customFormat="1" ht="13" customHeight="1" x14ac:dyDescent="0.3"/>
    <row r="2786" s="514" customFormat="1" ht="13" customHeight="1" x14ac:dyDescent="0.3"/>
    <row r="2787" s="514" customFormat="1" ht="13" customHeight="1" x14ac:dyDescent="0.3"/>
    <row r="2788" s="514" customFormat="1" ht="13" customHeight="1" x14ac:dyDescent="0.3"/>
    <row r="2789" s="514" customFormat="1" ht="13" customHeight="1" x14ac:dyDescent="0.3"/>
    <row r="2790" s="514" customFormat="1" ht="13" customHeight="1" x14ac:dyDescent="0.3"/>
    <row r="2791" s="514" customFormat="1" ht="13" customHeight="1" x14ac:dyDescent="0.3"/>
    <row r="2792" s="514" customFormat="1" ht="13" customHeight="1" x14ac:dyDescent="0.3"/>
    <row r="2793" s="514" customFormat="1" ht="13" customHeight="1" x14ac:dyDescent="0.3"/>
    <row r="2794" s="514" customFormat="1" ht="13" customHeight="1" x14ac:dyDescent="0.3"/>
    <row r="2795" s="514" customFormat="1" ht="13" customHeight="1" x14ac:dyDescent="0.3"/>
    <row r="2796" s="514" customFormat="1" ht="13" customHeight="1" x14ac:dyDescent="0.3"/>
    <row r="2797" s="514" customFormat="1" ht="13" customHeight="1" x14ac:dyDescent="0.3"/>
    <row r="2798" s="514" customFormat="1" ht="13" customHeight="1" x14ac:dyDescent="0.3"/>
    <row r="2799" s="514" customFormat="1" ht="13" customHeight="1" x14ac:dyDescent="0.3"/>
    <row r="2800" s="514" customFormat="1" ht="13" customHeight="1" x14ac:dyDescent="0.3"/>
    <row r="2801" s="514" customFormat="1" ht="13" customHeight="1" x14ac:dyDescent="0.3"/>
    <row r="2802" s="514" customFormat="1" ht="13" customHeight="1" x14ac:dyDescent="0.3"/>
    <row r="2803" s="514" customFormat="1" ht="13" customHeight="1" x14ac:dyDescent="0.3"/>
    <row r="2804" s="514" customFormat="1" ht="13" customHeight="1" x14ac:dyDescent="0.3"/>
    <row r="2805" s="514" customFormat="1" ht="13" customHeight="1" x14ac:dyDescent="0.3"/>
    <row r="2806" s="514" customFormat="1" ht="13" customHeight="1" x14ac:dyDescent="0.3"/>
    <row r="2807" s="514" customFormat="1" ht="13" customHeight="1" x14ac:dyDescent="0.3"/>
    <row r="2808" s="514" customFormat="1" ht="13" customHeight="1" x14ac:dyDescent="0.3"/>
    <row r="2809" s="514" customFormat="1" ht="13" customHeight="1" x14ac:dyDescent="0.3"/>
    <row r="2810" s="514" customFormat="1" ht="13" customHeight="1" x14ac:dyDescent="0.3"/>
    <row r="2811" s="514" customFormat="1" ht="13" customHeight="1" x14ac:dyDescent="0.3"/>
    <row r="2812" s="514" customFormat="1" ht="13" customHeight="1" x14ac:dyDescent="0.3"/>
    <row r="2813" s="514" customFormat="1" ht="13" customHeight="1" x14ac:dyDescent="0.3"/>
    <row r="2814" s="514" customFormat="1" ht="13" customHeight="1" x14ac:dyDescent="0.3"/>
    <row r="2815" s="514" customFormat="1" ht="13" customHeight="1" x14ac:dyDescent="0.3"/>
    <row r="2816" s="514" customFormat="1" ht="13" customHeight="1" x14ac:dyDescent="0.3"/>
    <row r="2817" s="514" customFormat="1" ht="13" customHeight="1" x14ac:dyDescent="0.3"/>
    <row r="2818" s="514" customFormat="1" ht="13" customHeight="1" x14ac:dyDescent="0.3"/>
    <row r="2819" s="514" customFormat="1" ht="13" customHeight="1" x14ac:dyDescent="0.3"/>
    <row r="2820" s="514" customFormat="1" ht="13" customHeight="1" x14ac:dyDescent="0.3"/>
    <row r="2821" s="514" customFormat="1" ht="13" customHeight="1" x14ac:dyDescent="0.3"/>
    <row r="2822" s="514" customFormat="1" ht="13" customHeight="1" x14ac:dyDescent="0.3"/>
    <row r="2823" s="514" customFormat="1" ht="13" customHeight="1" x14ac:dyDescent="0.3"/>
    <row r="2824" s="514" customFormat="1" ht="13" customHeight="1" x14ac:dyDescent="0.3"/>
    <row r="2825" s="514" customFormat="1" ht="13" customHeight="1" x14ac:dyDescent="0.3"/>
    <row r="2826" s="514" customFormat="1" ht="13" customHeight="1" x14ac:dyDescent="0.3"/>
    <row r="2827" s="514" customFormat="1" ht="13" customHeight="1" x14ac:dyDescent="0.3"/>
    <row r="2828" s="514" customFormat="1" ht="13" customHeight="1" x14ac:dyDescent="0.3"/>
    <row r="2829" s="514" customFormat="1" ht="13" customHeight="1" x14ac:dyDescent="0.3"/>
    <row r="2830" s="514" customFormat="1" ht="13" customHeight="1" x14ac:dyDescent="0.3"/>
    <row r="2831" s="514" customFormat="1" ht="13" customHeight="1" x14ac:dyDescent="0.3"/>
    <row r="2832" s="514" customFormat="1" ht="13" customHeight="1" x14ac:dyDescent="0.3"/>
    <row r="2833" s="514" customFormat="1" ht="13" customHeight="1" x14ac:dyDescent="0.3"/>
    <row r="2834" s="514" customFormat="1" ht="13" customHeight="1" x14ac:dyDescent="0.3"/>
    <row r="2835" s="514" customFormat="1" ht="13" customHeight="1" x14ac:dyDescent="0.3"/>
    <row r="2836" s="514" customFormat="1" ht="13" customHeight="1" x14ac:dyDescent="0.3"/>
    <row r="2837" s="514" customFormat="1" ht="13" customHeight="1" x14ac:dyDescent="0.3"/>
    <row r="2838" s="514" customFormat="1" ht="13" customHeight="1" x14ac:dyDescent="0.3"/>
    <row r="2839" s="514" customFormat="1" ht="13" customHeight="1" x14ac:dyDescent="0.3"/>
    <row r="2840" s="514" customFormat="1" ht="13" customHeight="1" x14ac:dyDescent="0.3"/>
    <row r="2841" s="514" customFormat="1" ht="13" customHeight="1" x14ac:dyDescent="0.3"/>
    <row r="2842" s="514" customFormat="1" ht="13" customHeight="1" x14ac:dyDescent="0.3"/>
    <row r="2843" s="514" customFormat="1" ht="13" customHeight="1" x14ac:dyDescent="0.3"/>
    <row r="2844" s="514" customFormat="1" ht="13" customHeight="1" x14ac:dyDescent="0.3"/>
    <row r="2845" s="514" customFormat="1" ht="13" customHeight="1" x14ac:dyDescent="0.3"/>
    <row r="2846" s="514" customFormat="1" ht="13" customHeight="1" x14ac:dyDescent="0.3"/>
    <row r="2847" s="514" customFormat="1" ht="13" customHeight="1" x14ac:dyDescent="0.3"/>
    <row r="2848" s="514" customFormat="1" ht="13" customHeight="1" x14ac:dyDescent="0.3"/>
    <row r="2849" s="514" customFormat="1" ht="13" customHeight="1" x14ac:dyDescent="0.3"/>
    <row r="2850" s="514" customFormat="1" ht="13" customHeight="1" x14ac:dyDescent="0.3"/>
    <row r="2851" s="514" customFormat="1" ht="13" customHeight="1" x14ac:dyDescent="0.3"/>
    <row r="2852" s="514" customFormat="1" ht="13" customHeight="1" x14ac:dyDescent="0.3"/>
    <row r="2853" s="514" customFormat="1" ht="13" customHeight="1" x14ac:dyDescent="0.3"/>
    <row r="2854" s="514" customFormat="1" ht="13" customHeight="1" x14ac:dyDescent="0.3"/>
    <row r="2855" s="514" customFormat="1" ht="13" customHeight="1" x14ac:dyDescent="0.3"/>
    <row r="2856" s="514" customFormat="1" ht="13" customHeight="1" x14ac:dyDescent="0.3"/>
    <row r="2857" s="514" customFormat="1" ht="13" customHeight="1" x14ac:dyDescent="0.3"/>
    <row r="2858" s="514" customFormat="1" ht="13" customHeight="1" x14ac:dyDescent="0.3"/>
    <row r="2859" s="514" customFormat="1" ht="13" customHeight="1" x14ac:dyDescent="0.3"/>
    <row r="2860" s="514" customFormat="1" ht="13" customHeight="1" x14ac:dyDescent="0.3"/>
    <row r="2861" s="514" customFormat="1" ht="13" customHeight="1" x14ac:dyDescent="0.3"/>
    <row r="2862" s="514" customFormat="1" ht="13" customHeight="1" x14ac:dyDescent="0.3"/>
    <row r="2863" s="514" customFormat="1" ht="13" customHeight="1" x14ac:dyDescent="0.3"/>
    <row r="2864" s="514" customFormat="1" ht="13" customHeight="1" x14ac:dyDescent="0.3"/>
    <row r="2865" s="514" customFormat="1" ht="13" customHeight="1" x14ac:dyDescent="0.3"/>
    <row r="2866" s="514" customFormat="1" ht="13" customHeight="1" x14ac:dyDescent="0.3"/>
    <row r="2867" s="514" customFormat="1" ht="13" customHeight="1" x14ac:dyDescent="0.3"/>
    <row r="2868" s="514" customFormat="1" ht="13" customHeight="1" x14ac:dyDescent="0.3"/>
    <row r="2869" s="514" customFormat="1" ht="13" customHeight="1" x14ac:dyDescent="0.3"/>
    <row r="2870" s="514" customFormat="1" ht="13" customHeight="1" x14ac:dyDescent="0.3"/>
    <row r="2871" s="514" customFormat="1" ht="13" customHeight="1" x14ac:dyDescent="0.3"/>
    <row r="2872" s="514" customFormat="1" ht="13" customHeight="1" x14ac:dyDescent="0.3"/>
    <row r="2873" s="514" customFormat="1" ht="13" customHeight="1" x14ac:dyDescent="0.3"/>
    <row r="2874" s="514" customFormat="1" ht="13" customHeight="1" x14ac:dyDescent="0.3"/>
    <row r="2875" s="514" customFormat="1" ht="13" customHeight="1" x14ac:dyDescent="0.3"/>
    <row r="2876" s="514" customFormat="1" ht="13" customHeight="1" x14ac:dyDescent="0.3"/>
    <row r="2877" s="514" customFormat="1" ht="13" customHeight="1" x14ac:dyDescent="0.3"/>
    <row r="2878" s="514" customFormat="1" ht="13" customHeight="1" x14ac:dyDescent="0.3"/>
    <row r="2879" s="514" customFormat="1" ht="13" customHeight="1" x14ac:dyDescent="0.3"/>
    <row r="2880" s="514" customFormat="1" ht="13" customHeight="1" x14ac:dyDescent="0.3"/>
    <row r="2881" s="514" customFormat="1" ht="13" customHeight="1" x14ac:dyDescent="0.3"/>
    <row r="2882" s="514" customFormat="1" ht="13" customHeight="1" x14ac:dyDescent="0.3"/>
    <row r="2883" s="514" customFormat="1" ht="13" customHeight="1" x14ac:dyDescent="0.3"/>
    <row r="2884" s="514" customFormat="1" ht="13" customHeight="1" x14ac:dyDescent="0.3"/>
    <row r="2885" s="514" customFormat="1" ht="13" customHeight="1" x14ac:dyDescent="0.3"/>
    <row r="2886" s="514" customFormat="1" ht="13" customHeight="1" x14ac:dyDescent="0.3"/>
    <row r="2887" s="514" customFormat="1" ht="13" customHeight="1" x14ac:dyDescent="0.3"/>
    <row r="2888" s="514" customFormat="1" ht="13" customHeight="1" x14ac:dyDescent="0.3"/>
    <row r="2889" s="514" customFormat="1" ht="13" customHeight="1" x14ac:dyDescent="0.3"/>
    <row r="2890" s="514" customFormat="1" ht="13" customHeight="1" x14ac:dyDescent="0.3"/>
    <row r="2891" s="514" customFormat="1" ht="13" customHeight="1" x14ac:dyDescent="0.3"/>
    <row r="2892" s="514" customFormat="1" ht="13" customHeight="1" x14ac:dyDescent="0.3"/>
    <row r="2893" s="514" customFormat="1" ht="13" customHeight="1" x14ac:dyDescent="0.3"/>
    <row r="2894" s="514" customFormat="1" ht="13" customHeight="1" x14ac:dyDescent="0.3"/>
    <row r="2895" s="514" customFormat="1" ht="13" customHeight="1" x14ac:dyDescent="0.3"/>
    <row r="2896" s="514" customFormat="1" ht="13" customHeight="1" x14ac:dyDescent="0.3"/>
    <row r="2897" s="514" customFormat="1" ht="13" customHeight="1" x14ac:dyDescent="0.3"/>
    <row r="2898" s="514" customFormat="1" ht="13" customHeight="1" x14ac:dyDescent="0.3"/>
    <row r="2899" s="514" customFormat="1" ht="13" customHeight="1" x14ac:dyDescent="0.3"/>
    <row r="2900" s="514" customFormat="1" ht="13" customHeight="1" x14ac:dyDescent="0.3"/>
    <row r="2901" s="514" customFormat="1" ht="13" customHeight="1" x14ac:dyDescent="0.3"/>
    <row r="2902" s="514" customFormat="1" ht="13" customHeight="1" x14ac:dyDescent="0.3"/>
    <row r="2903" s="514" customFormat="1" ht="13" customHeight="1" x14ac:dyDescent="0.3"/>
    <row r="2904" s="514" customFormat="1" ht="13" customHeight="1" x14ac:dyDescent="0.3"/>
    <row r="2905" s="514" customFormat="1" ht="13" customHeight="1" x14ac:dyDescent="0.3"/>
    <row r="2906" s="514" customFormat="1" ht="13" customHeight="1" x14ac:dyDescent="0.3"/>
    <row r="2907" s="514" customFormat="1" ht="13" customHeight="1" x14ac:dyDescent="0.3"/>
    <row r="2908" s="514" customFormat="1" ht="13" customHeight="1" x14ac:dyDescent="0.3"/>
    <row r="2909" s="514" customFormat="1" ht="13" customHeight="1" x14ac:dyDescent="0.3"/>
    <row r="2910" s="514" customFormat="1" ht="13" customHeight="1" x14ac:dyDescent="0.3"/>
    <row r="2911" s="514" customFormat="1" ht="13" customHeight="1" x14ac:dyDescent="0.3"/>
    <row r="2912" s="514" customFormat="1" ht="13" customHeight="1" x14ac:dyDescent="0.3"/>
    <row r="2913" s="514" customFormat="1" ht="13" customHeight="1" x14ac:dyDescent="0.3"/>
    <row r="2914" s="514" customFormat="1" ht="13" customHeight="1" x14ac:dyDescent="0.3"/>
    <row r="2915" s="514" customFormat="1" ht="13" customHeight="1" x14ac:dyDescent="0.3"/>
    <row r="2916" s="514" customFormat="1" ht="13" customHeight="1" x14ac:dyDescent="0.3"/>
    <row r="2917" s="514" customFormat="1" ht="13" customHeight="1" x14ac:dyDescent="0.3"/>
    <row r="2918" s="514" customFormat="1" ht="13" customHeight="1" x14ac:dyDescent="0.3"/>
    <row r="2919" s="514" customFormat="1" ht="13" customHeight="1" x14ac:dyDescent="0.3"/>
    <row r="2920" s="514" customFormat="1" ht="13" customHeight="1" x14ac:dyDescent="0.3"/>
    <row r="2921" s="514" customFormat="1" ht="13" customHeight="1" x14ac:dyDescent="0.3"/>
    <row r="2922" s="514" customFormat="1" ht="13" customHeight="1" x14ac:dyDescent="0.3"/>
    <row r="2923" s="514" customFormat="1" ht="13" customHeight="1" x14ac:dyDescent="0.3"/>
    <row r="2924" s="514" customFormat="1" ht="13" customHeight="1" x14ac:dyDescent="0.3"/>
    <row r="2925" s="514" customFormat="1" ht="13" customHeight="1" x14ac:dyDescent="0.3"/>
    <row r="2926" s="514" customFormat="1" ht="13" customHeight="1" x14ac:dyDescent="0.3"/>
    <row r="2927" s="514" customFormat="1" ht="13" customHeight="1" x14ac:dyDescent="0.3"/>
    <row r="2928" s="514" customFormat="1" ht="13" customHeight="1" x14ac:dyDescent="0.3"/>
    <row r="2929" s="514" customFormat="1" ht="13" customHeight="1" x14ac:dyDescent="0.3"/>
    <row r="2930" s="514" customFormat="1" ht="13" customHeight="1" x14ac:dyDescent="0.3"/>
    <row r="2931" s="514" customFormat="1" ht="13" customHeight="1" x14ac:dyDescent="0.3"/>
    <row r="2932" s="514" customFormat="1" ht="13" customHeight="1" x14ac:dyDescent="0.3"/>
    <row r="2933" s="514" customFormat="1" ht="13" customHeight="1" x14ac:dyDescent="0.3"/>
    <row r="2934" s="514" customFormat="1" ht="13" customHeight="1" x14ac:dyDescent="0.3"/>
    <row r="2935" s="514" customFormat="1" ht="13" customHeight="1" x14ac:dyDescent="0.3"/>
    <row r="2936" s="514" customFormat="1" ht="13" customHeight="1" x14ac:dyDescent="0.3"/>
    <row r="2937" s="514" customFormat="1" ht="13" customHeight="1" x14ac:dyDescent="0.3"/>
    <row r="2938" s="514" customFormat="1" ht="13" customHeight="1" x14ac:dyDescent="0.3"/>
    <row r="2939" s="514" customFormat="1" ht="13" customHeight="1" x14ac:dyDescent="0.3"/>
    <row r="2940" s="514" customFormat="1" ht="13" customHeight="1" x14ac:dyDescent="0.3"/>
    <row r="2941" s="514" customFormat="1" ht="13" customHeight="1" x14ac:dyDescent="0.3"/>
    <row r="2942" s="514" customFormat="1" ht="13" customHeight="1" x14ac:dyDescent="0.3"/>
    <row r="2943" s="514" customFormat="1" ht="13" customHeight="1" x14ac:dyDescent="0.3"/>
    <row r="2944" s="514" customFormat="1" ht="13" customHeight="1" x14ac:dyDescent="0.3"/>
    <row r="2945" s="514" customFormat="1" ht="13" customHeight="1" x14ac:dyDescent="0.3"/>
    <row r="2946" s="514" customFormat="1" ht="13" customHeight="1" x14ac:dyDescent="0.3"/>
    <row r="2947" s="514" customFormat="1" ht="13" customHeight="1" x14ac:dyDescent="0.3"/>
    <row r="2948" s="514" customFormat="1" ht="13" customHeight="1" x14ac:dyDescent="0.3"/>
    <row r="2949" s="514" customFormat="1" ht="13" customHeight="1" x14ac:dyDescent="0.3"/>
    <row r="2950" s="514" customFormat="1" ht="13" customHeight="1" x14ac:dyDescent="0.3"/>
    <row r="2951" s="514" customFormat="1" ht="13" customHeight="1" x14ac:dyDescent="0.3"/>
    <row r="2952" s="514" customFormat="1" ht="13" customHeight="1" x14ac:dyDescent="0.3"/>
    <row r="2953" s="514" customFormat="1" ht="13" customHeight="1" x14ac:dyDescent="0.3"/>
    <row r="2954" s="514" customFormat="1" ht="13" customHeight="1" x14ac:dyDescent="0.3"/>
    <row r="2955" s="514" customFormat="1" ht="13" customHeight="1" x14ac:dyDescent="0.3"/>
    <row r="2956" s="514" customFormat="1" ht="13" customHeight="1" x14ac:dyDescent="0.3"/>
    <row r="2957" s="514" customFormat="1" ht="13" customHeight="1" x14ac:dyDescent="0.3"/>
    <row r="2958" s="514" customFormat="1" ht="13" customHeight="1" x14ac:dyDescent="0.3"/>
    <row r="2959" s="514" customFormat="1" ht="13" customHeight="1" x14ac:dyDescent="0.3"/>
    <row r="2960" s="514" customFormat="1" ht="13" customHeight="1" x14ac:dyDescent="0.3"/>
    <row r="2961" s="514" customFormat="1" ht="13" customHeight="1" x14ac:dyDescent="0.3"/>
    <row r="2962" s="514" customFormat="1" ht="13" customHeight="1" x14ac:dyDescent="0.3"/>
    <row r="2963" s="514" customFormat="1" ht="13" customHeight="1" x14ac:dyDescent="0.3"/>
    <row r="2964" s="514" customFormat="1" ht="13" customHeight="1" x14ac:dyDescent="0.3"/>
    <row r="2965" s="514" customFormat="1" ht="13" customHeight="1" x14ac:dyDescent="0.3"/>
    <row r="2966" s="514" customFormat="1" ht="13" customHeight="1" x14ac:dyDescent="0.3"/>
    <row r="2967" s="514" customFormat="1" ht="13" customHeight="1" x14ac:dyDescent="0.3"/>
    <row r="2968" s="514" customFormat="1" ht="13" customHeight="1" x14ac:dyDescent="0.3"/>
    <row r="2969" s="514" customFormat="1" ht="13" customHeight="1" x14ac:dyDescent="0.3"/>
    <row r="2970" s="514" customFormat="1" ht="13" customHeight="1" x14ac:dyDescent="0.3"/>
    <row r="2971" s="514" customFormat="1" ht="13" customHeight="1" x14ac:dyDescent="0.3"/>
    <row r="2972" s="514" customFormat="1" ht="13" customHeight="1" x14ac:dyDescent="0.3"/>
    <row r="2973" s="514" customFormat="1" ht="13" customHeight="1" x14ac:dyDescent="0.3"/>
    <row r="2974" s="514" customFormat="1" ht="13" customHeight="1" x14ac:dyDescent="0.3"/>
    <row r="2975" s="514" customFormat="1" ht="13" customHeight="1" x14ac:dyDescent="0.3"/>
    <row r="2976" s="514" customFormat="1" ht="13" customHeight="1" x14ac:dyDescent="0.3"/>
    <row r="2977" s="514" customFormat="1" ht="13" customHeight="1" x14ac:dyDescent="0.3"/>
    <row r="2978" s="514" customFormat="1" ht="13" customHeight="1" x14ac:dyDescent="0.3"/>
    <row r="2979" s="514" customFormat="1" ht="13" customHeight="1" x14ac:dyDescent="0.3"/>
    <row r="2980" s="514" customFormat="1" ht="13" customHeight="1" x14ac:dyDescent="0.3"/>
    <row r="2981" s="514" customFormat="1" ht="13" customHeight="1" x14ac:dyDescent="0.3"/>
    <row r="2982" s="514" customFormat="1" ht="13" customHeight="1" x14ac:dyDescent="0.3"/>
    <row r="2983" s="514" customFormat="1" ht="13" customHeight="1" x14ac:dyDescent="0.3"/>
    <row r="2984" s="514" customFormat="1" ht="13" customHeight="1" x14ac:dyDescent="0.3"/>
    <row r="2985" s="514" customFormat="1" ht="13" customHeight="1" x14ac:dyDescent="0.3"/>
    <row r="2986" s="514" customFormat="1" ht="13" customHeight="1" x14ac:dyDescent="0.3"/>
    <row r="2987" s="514" customFormat="1" ht="13" customHeight="1" x14ac:dyDescent="0.3"/>
    <row r="2988" s="514" customFormat="1" ht="13" customHeight="1" x14ac:dyDescent="0.3"/>
    <row r="2989" s="514" customFormat="1" ht="13" customHeight="1" x14ac:dyDescent="0.3"/>
    <row r="2990" s="514" customFormat="1" ht="13" customHeight="1" x14ac:dyDescent="0.3"/>
    <row r="2991" s="514" customFormat="1" ht="13" customHeight="1" x14ac:dyDescent="0.3"/>
    <row r="2992" s="514" customFormat="1" ht="13" customHeight="1" x14ac:dyDescent="0.3"/>
    <row r="2993" s="514" customFormat="1" ht="13" customHeight="1" x14ac:dyDescent="0.3"/>
    <row r="2994" s="514" customFormat="1" ht="13" customHeight="1" x14ac:dyDescent="0.3"/>
    <row r="2995" s="514" customFormat="1" ht="13" customHeight="1" x14ac:dyDescent="0.3"/>
    <row r="2996" s="514" customFormat="1" ht="13" customHeight="1" x14ac:dyDescent="0.3"/>
    <row r="2997" s="514" customFormat="1" ht="13" customHeight="1" x14ac:dyDescent="0.3"/>
    <row r="2998" s="514" customFormat="1" ht="13" customHeight="1" x14ac:dyDescent="0.3"/>
    <row r="2999" s="514" customFormat="1" ht="13" customHeight="1" x14ac:dyDescent="0.3"/>
    <row r="3000" s="514" customFormat="1" ht="13" customHeight="1" x14ac:dyDescent="0.3"/>
    <row r="3001" s="514" customFormat="1" ht="13" customHeight="1" x14ac:dyDescent="0.3"/>
    <row r="3002" s="514" customFormat="1" ht="13" customHeight="1" x14ac:dyDescent="0.3"/>
    <row r="3003" s="514" customFormat="1" ht="13" customHeight="1" x14ac:dyDescent="0.3"/>
    <row r="3004" s="514" customFormat="1" ht="13" customHeight="1" x14ac:dyDescent="0.3"/>
    <row r="3005" s="514" customFormat="1" ht="13" customHeight="1" x14ac:dyDescent="0.3"/>
    <row r="3006" s="514" customFormat="1" ht="13" customHeight="1" x14ac:dyDescent="0.3"/>
    <row r="3007" s="514" customFormat="1" ht="13" customHeight="1" x14ac:dyDescent="0.3"/>
    <row r="3008" s="514" customFormat="1" ht="13" customHeight="1" x14ac:dyDescent="0.3"/>
    <row r="3009" s="514" customFormat="1" ht="13" customHeight="1" x14ac:dyDescent="0.3"/>
    <row r="3010" s="514" customFormat="1" ht="13" customHeight="1" x14ac:dyDescent="0.3"/>
    <row r="3011" s="514" customFormat="1" ht="13" customHeight="1" x14ac:dyDescent="0.3"/>
    <row r="3012" s="514" customFormat="1" ht="13" customHeight="1" x14ac:dyDescent="0.3"/>
    <row r="3013" s="514" customFormat="1" ht="13" customHeight="1" x14ac:dyDescent="0.3"/>
    <row r="3014" s="514" customFormat="1" ht="13" customHeight="1" x14ac:dyDescent="0.3"/>
    <row r="3015" s="514" customFormat="1" ht="13" customHeight="1" x14ac:dyDescent="0.3"/>
    <row r="3016" s="514" customFormat="1" ht="13" customHeight="1" x14ac:dyDescent="0.3"/>
    <row r="3017" s="514" customFormat="1" ht="13" customHeight="1" x14ac:dyDescent="0.3"/>
    <row r="3018" s="514" customFormat="1" ht="13" customHeight="1" x14ac:dyDescent="0.3"/>
    <row r="3019" s="514" customFormat="1" ht="13" customHeight="1" x14ac:dyDescent="0.3"/>
    <row r="3020" s="514" customFormat="1" ht="13" customHeight="1" x14ac:dyDescent="0.3"/>
    <row r="3021" s="514" customFormat="1" ht="13" customHeight="1" x14ac:dyDescent="0.3"/>
    <row r="3022" s="514" customFormat="1" ht="13" customHeight="1" x14ac:dyDescent="0.3"/>
    <row r="3023" s="514" customFormat="1" ht="13" customHeight="1" x14ac:dyDescent="0.3"/>
    <row r="3024" s="514" customFormat="1" ht="13" customHeight="1" x14ac:dyDescent="0.3"/>
    <row r="3025" s="514" customFormat="1" ht="13" customHeight="1" x14ac:dyDescent="0.3"/>
    <row r="3026" s="514" customFormat="1" ht="13" customHeight="1" x14ac:dyDescent="0.3"/>
    <row r="3027" s="514" customFormat="1" ht="13" customHeight="1" x14ac:dyDescent="0.3"/>
    <row r="3028" s="514" customFormat="1" ht="13" customHeight="1" x14ac:dyDescent="0.3"/>
    <row r="3029" s="514" customFormat="1" ht="13" customHeight="1" x14ac:dyDescent="0.3"/>
    <row r="3030" s="514" customFormat="1" ht="13" customHeight="1" x14ac:dyDescent="0.3"/>
    <row r="3031" s="514" customFormat="1" ht="13" customHeight="1" x14ac:dyDescent="0.3"/>
    <row r="3032" s="514" customFormat="1" ht="13" customHeight="1" x14ac:dyDescent="0.3"/>
    <row r="3033" s="514" customFormat="1" ht="13" customHeight="1" x14ac:dyDescent="0.3"/>
    <row r="3034" s="514" customFormat="1" ht="13" customHeight="1" x14ac:dyDescent="0.3"/>
    <row r="3035" s="514" customFormat="1" ht="13" customHeight="1" x14ac:dyDescent="0.3"/>
    <row r="3036" s="514" customFormat="1" ht="13" customHeight="1" x14ac:dyDescent="0.3"/>
    <row r="3037" s="514" customFormat="1" ht="13" customHeight="1" x14ac:dyDescent="0.3"/>
    <row r="3038" s="514" customFormat="1" ht="13" customHeight="1" x14ac:dyDescent="0.3"/>
    <row r="3039" s="514" customFormat="1" ht="13" customHeight="1" x14ac:dyDescent="0.3"/>
    <row r="3040" s="514" customFormat="1" ht="13" customHeight="1" x14ac:dyDescent="0.3"/>
    <row r="3041" s="514" customFormat="1" ht="13" customHeight="1" x14ac:dyDescent="0.3"/>
    <row r="3042" s="514" customFormat="1" ht="13" customHeight="1" x14ac:dyDescent="0.3"/>
    <row r="3043" s="514" customFormat="1" ht="13" customHeight="1" x14ac:dyDescent="0.3"/>
    <row r="3044" s="514" customFormat="1" ht="13" customHeight="1" x14ac:dyDescent="0.3"/>
    <row r="3045" s="514" customFormat="1" ht="13" customHeight="1" x14ac:dyDescent="0.3"/>
    <row r="3046" s="514" customFormat="1" ht="13" customHeight="1" x14ac:dyDescent="0.3"/>
    <row r="3047" s="514" customFormat="1" ht="13" customHeight="1" x14ac:dyDescent="0.3"/>
    <row r="3048" s="514" customFormat="1" ht="13" customHeight="1" x14ac:dyDescent="0.3"/>
    <row r="3049" s="514" customFormat="1" ht="13" customHeight="1" x14ac:dyDescent="0.3"/>
    <row r="3050" s="514" customFormat="1" ht="13" customHeight="1" x14ac:dyDescent="0.3"/>
    <row r="3051" s="514" customFormat="1" ht="13" customHeight="1" x14ac:dyDescent="0.3"/>
    <row r="3052" s="514" customFormat="1" ht="13" customHeight="1" x14ac:dyDescent="0.3"/>
    <row r="3053" s="514" customFormat="1" ht="13" customHeight="1" x14ac:dyDescent="0.3"/>
    <row r="3054" s="514" customFormat="1" ht="13" customHeight="1" x14ac:dyDescent="0.3"/>
    <row r="3055" s="514" customFormat="1" ht="13" customHeight="1" x14ac:dyDescent="0.3"/>
    <row r="3056" s="514" customFormat="1" ht="13" customHeight="1" x14ac:dyDescent="0.3"/>
    <row r="3057" s="514" customFormat="1" ht="13" customHeight="1" x14ac:dyDescent="0.3"/>
    <row r="3058" s="514" customFormat="1" ht="13" customHeight="1" x14ac:dyDescent="0.3"/>
    <row r="3059" s="514" customFormat="1" ht="13" customHeight="1" x14ac:dyDescent="0.3"/>
    <row r="3060" s="514" customFormat="1" ht="13" customHeight="1" x14ac:dyDescent="0.3"/>
    <row r="3061" s="514" customFormat="1" ht="13" customHeight="1" x14ac:dyDescent="0.3"/>
    <row r="3062" s="514" customFormat="1" ht="13" customHeight="1" x14ac:dyDescent="0.3"/>
    <row r="3063" s="514" customFormat="1" ht="13" customHeight="1" x14ac:dyDescent="0.3"/>
    <row r="3064" s="514" customFormat="1" ht="13" customHeight="1" x14ac:dyDescent="0.3"/>
    <row r="3065" s="514" customFormat="1" ht="13" customHeight="1" x14ac:dyDescent="0.3"/>
  </sheetData>
  <sortState xmlns:xlrd2="http://schemas.microsoft.com/office/spreadsheetml/2017/richdata2" ref="A2:J737">
    <sortCondition ref="A2:A737"/>
    <sortCondition ref="B2:B737"/>
    <sortCondition ref="C2:C737"/>
  </sortState>
  <phoneticPr fontId="1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66803-C57F-40D9-A1A2-6839D8EC362B}">
  <dimension ref="B1:T7"/>
  <sheetViews>
    <sheetView showGridLines="0" zoomScale="115" zoomScaleNormal="115" workbookViewId="0">
      <selection activeCell="E10" sqref="E10"/>
    </sheetView>
  </sheetViews>
  <sheetFormatPr defaultRowHeight="14" x14ac:dyDescent="0.3"/>
  <cols>
    <col min="2" max="11" width="10.58203125" customWidth="1"/>
    <col min="12" max="20" width="11.08203125" customWidth="1"/>
  </cols>
  <sheetData>
    <row r="1" spans="2:20" s="313" customFormat="1" ht="27.65" customHeight="1" x14ac:dyDescent="0.3">
      <c r="B1" s="314" t="s">
        <v>422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</row>
    <row r="2" spans="2:20" s="313" customFormat="1" ht="59" customHeight="1" x14ac:dyDescent="0.3">
      <c r="B2" s="316" t="s">
        <v>423</v>
      </c>
      <c r="C2" s="317" t="s">
        <v>424</v>
      </c>
      <c r="D2" s="317" t="s">
        <v>425</v>
      </c>
      <c r="E2" s="317" t="s">
        <v>426</v>
      </c>
      <c r="F2" s="317" t="s">
        <v>427</v>
      </c>
      <c r="G2" s="317" t="s">
        <v>428</v>
      </c>
      <c r="H2" s="317" t="s">
        <v>429</v>
      </c>
      <c r="I2" s="317" t="s">
        <v>430</v>
      </c>
      <c r="J2" s="317" t="s">
        <v>431</v>
      </c>
      <c r="K2" s="317" t="s">
        <v>432</v>
      </c>
      <c r="L2" s="318" t="s">
        <v>433</v>
      </c>
      <c r="M2" s="318" t="s">
        <v>434</v>
      </c>
      <c r="N2" s="318" t="s">
        <v>435</v>
      </c>
      <c r="O2" s="318" t="s">
        <v>436</v>
      </c>
      <c r="P2" s="318" t="s">
        <v>437</v>
      </c>
      <c r="Q2" s="318" t="s">
        <v>438</v>
      </c>
      <c r="R2" s="318" t="s">
        <v>439</v>
      </c>
      <c r="S2" s="318" t="s">
        <v>440</v>
      </c>
      <c r="T2" s="318" t="s">
        <v>441</v>
      </c>
    </row>
    <row r="3" spans="2:20" s="313" customFormat="1" ht="15.5" x14ac:dyDescent="0.45">
      <c r="B3" s="319" t="s">
        <v>442</v>
      </c>
      <c r="C3" s="320">
        <v>35020</v>
      </c>
      <c r="D3" s="320">
        <v>2193</v>
      </c>
      <c r="E3" s="320">
        <v>10098040.77</v>
      </c>
      <c r="F3" s="321" t="e">
        <f>E3/#REF!</f>
        <v>#REF!</v>
      </c>
      <c r="G3" s="320">
        <v>9045</v>
      </c>
      <c r="H3" s="321">
        <f>G3/C3</f>
        <v>0.25828098229583096</v>
      </c>
      <c r="I3" s="320">
        <v>1470</v>
      </c>
      <c r="J3" s="322">
        <f>E3/I3</f>
        <v>6869.4154897959179</v>
      </c>
      <c r="K3" s="323">
        <f>I3/G3</f>
        <v>0.1625207296849088</v>
      </c>
      <c r="L3" s="320">
        <v>816</v>
      </c>
      <c r="M3" s="320">
        <v>5134027.2</v>
      </c>
      <c r="N3" s="324">
        <f>L3/D3</f>
        <v>0.37209302325581395</v>
      </c>
      <c r="O3" s="320">
        <v>654</v>
      </c>
      <c r="P3" s="320">
        <f>E3-M3</f>
        <v>4964013.5699999994</v>
      </c>
      <c r="Q3" s="323">
        <f>L3/I3</f>
        <v>0.55510204081632653</v>
      </c>
      <c r="R3" s="323">
        <f>M3/E3</f>
        <v>0.50841814931590934</v>
      </c>
      <c r="S3" s="320">
        <f>M3/L3</f>
        <v>6291.7</v>
      </c>
      <c r="T3" s="325">
        <f>P3/O3</f>
        <v>7590.2348165137601</v>
      </c>
    </row>
    <row r="4" spans="2:20" s="313" customFormat="1" ht="15.5" x14ac:dyDescent="0.45">
      <c r="B4" s="319" t="s">
        <v>443</v>
      </c>
      <c r="C4" s="320">
        <v>29417</v>
      </c>
      <c r="D4" s="320">
        <v>1818</v>
      </c>
      <c r="E4" s="320">
        <v>7714525</v>
      </c>
      <c r="F4" s="321" t="e">
        <f>E4/#REF!</f>
        <v>#REF!</v>
      </c>
      <c r="G4" s="320">
        <v>6955</v>
      </c>
      <c r="H4" s="321">
        <f>G4/C4</f>
        <v>0.23642791583098208</v>
      </c>
      <c r="I4" s="320">
        <v>1322</v>
      </c>
      <c r="J4" s="322">
        <f>E4/I4</f>
        <v>5835.4954614220878</v>
      </c>
      <c r="K4" s="323">
        <f>I4/G4</f>
        <v>0.19007907979870597</v>
      </c>
      <c r="L4" s="320">
        <v>833</v>
      </c>
      <c r="M4" s="320">
        <v>4354016.03</v>
      </c>
      <c r="N4" s="324">
        <f>L4/D4</f>
        <v>0.45819581958195821</v>
      </c>
      <c r="O4" s="320">
        <v>489</v>
      </c>
      <c r="P4" s="320">
        <f>E4-M4</f>
        <v>3360508.9699999997</v>
      </c>
      <c r="Q4" s="323">
        <f>L4/I4</f>
        <v>0.63010590015128598</v>
      </c>
      <c r="R4" s="323">
        <f>M4/E4</f>
        <v>0.56439197876732528</v>
      </c>
      <c r="S4" s="320">
        <f>M4/L4</f>
        <v>5226.9100000000008</v>
      </c>
      <c r="T4" s="325">
        <f>P4/O4</f>
        <v>6872.2064826175865</v>
      </c>
    </row>
    <row r="5" spans="2:20" s="313" customFormat="1" ht="16" thickBot="1" x14ac:dyDescent="0.35">
      <c r="B5" s="326" t="s">
        <v>209</v>
      </c>
      <c r="C5" s="327">
        <f>C3/C4-1</f>
        <v>0.19046809667879128</v>
      </c>
      <c r="D5" s="327">
        <f t="shared" ref="D5:P5" si="0">D3/D4-1</f>
        <v>0.20627062706270638</v>
      </c>
      <c r="E5" s="327">
        <f t="shared" si="0"/>
        <v>0.30896468285474477</v>
      </c>
      <c r="F5" s="327" t="e">
        <f>F3-F4</f>
        <v>#REF!</v>
      </c>
      <c r="G5" s="327">
        <f t="shared" si="0"/>
        <v>0.3005032350826744</v>
      </c>
      <c r="H5" s="327">
        <f>H3-H4</f>
        <v>2.1853066464848886E-2</v>
      </c>
      <c r="I5" s="327">
        <f t="shared" si="0"/>
        <v>0.11195158850226927</v>
      </c>
      <c r="J5" s="327">
        <f t="shared" si="0"/>
        <v>0.17717776240406291</v>
      </c>
      <c r="K5" s="327">
        <f t="shared" si="0"/>
        <v>-0.1449836044186531</v>
      </c>
      <c r="L5" s="327">
        <f t="shared" si="0"/>
        <v>-2.0408163265306145E-2</v>
      </c>
      <c r="M5" s="327">
        <f t="shared" si="0"/>
        <v>0.17914751912385585</v>
      </c>
      <c r="N5" s="327">
        <f t="shared" si="0"/>
        <v>-0.18791702727602677</v>
      </c>
      <c r="O5" s="327">
        <f t="shared" si="0"/>
        <v>0.33742331288343563</v>
      </c>
      <c r="P5" s="327">
        <f t="shared" si="0"/>
        <v>0.47716123191898507</v>
      </c>
      <c r="Q5" s="327">
        <f>Q3-Q4</f>
        <v>-7.5003859334959455E-2</v>
      </c>
      <c r="R5" s="327">
        <f>R3-R4</f>
        <v>-5.5973829451415935E-2</v>
      </c>
      <c r="S5" s="327">
        <f>S3/S4-1</f>
        <v>0.20371309243893609</v>
      </c>
      <c r="T5" s="328">
        <f>T3/T4-1</f>
        <v>0.10448293946236031</v>
      </c>
    </row>
    <row r="6" spans="2:20" s="313" customFormat="1" ht="16" thickBot="1" x14ac:dyDescent="0.35">
      <c r="E6" s="329"/>
      <c r="F6" s="329"/>
      <c r="G6" s="329"/>
      <c r="H6" s="329"/>
      <c r="I6" s="329"/>
      <c r="J6" s="329"/>
      <c r="K6" s="329"/>
      <c r="L6" s="329"/>
      <c r="M6" s="329"/>
      <c r="N6" s="329"/>
    </row>
    <row r="7" spans="2:20" ht="15.5" x14ac:dyDescent="0.3">
      <c r="B7" s="661" t="s">
        <v>444</v>
      </c>
      <c r="C7" s="661"/>
      <c r="D7" s="661"/>
    </row>
  </sheetData>
  <mergeCells count="1">
    <mergeCell ref="B7:D7"/>
  </mergeCells>
  <phoneticPr fontId="1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DA12-C494-499C-8D3D-E6A983DA2172}">
  <dimension ref="A1:AH40"/>
  <sheetViews>
    <sheetView showGridLines="0" topLeftCell="R1" zoomScale="70" zoomScaleNormal="70" workbookViewId="0">
      <selection activeCell="U27" sqref="U27"/>
    </sheetView>
  </sheetViews>
  <sheetFormatPr defaultRowHeight="14" x14ac:dyDescent="0.3"/>
  <cols>
    <col min="1" max="3" width="20.25" customWidth="1"/>
    <col min="4" max="16" width="11.5" customWidth="1"/>
    <col min="19" max="21" width="20.25" customWidth="1"/>
    <col min="22" max="34" width="11.5" customWidth="1"/>
  </cols>
  <sheetData>
    <row r="1" spans="1:34" ht="15.5" x14ac:dyDescent="0.35">
      <c r="A1" s="592" t="s">
        <v>253</v>
      </c>
      <c r="B1" s="593">
        <v>45748</v>
      </c>
      <c r="C1" s="593">
        <v>46022</v>
      </c>
      <c r="S1" s="592" t="s">
        <v>626</v>
      </c>
      <c r="T1" s="593">
        <v>45992</v>
      </c>
      <c r="U1" s="593">
        <v>46022</v>
      </c>
    </row>
    <row r="2" spans="1:34" x14ac:dyDescent="0.3">
      <c r="A2" s="482"/>
      <c r="B2" s="483"/>
      <c r="C2" s="483"/>
      <c r="S2" s="482"/>
      <c r="T2" s="483"/>
      <c r="U2" s="483"/>
    </row>
    <row r="3" spans="1:34" ht="34" customHeight="1" x14ac:dyDescent="0.3">
      <c r="A3" s="470" t="s">
        <v>760</v>
      </c>
      <c r="B3" s="470" t="s">
        <v>759</v>
      </c>
      <c r="C3" s="471" t="s">
        <v>758</v>
      </c>
      <c r="D3" s="472" t="s">
        <v>358</v>
      </c>
      <c r="E3" s="472" t="s">
        <v>359</v>
      </c>
      <c r="F3" s="472" t="s">
        <v>254</v>
      </c>
      <c r="G3" s="472" t="s">
        <v>753</v>
      </c>
      <c r="H3" s="472" t="s">
        <v>754</v>
      </c>
      <c r="I3" s="472" t="s">
        <v>755</v>
      </c>
      <c r="J3" s="472" t="s">
        <v>756</v>
      </c>
      <c r="K3" s="472" t="s">
        <v>757</v>
      </c>
      <c r="L3" s="472" t="s">
        <v>916</v>
      </c>
      <c r="M3" s="472" t="s">
        <v>915</v>
      </c>
      <c r="N3" s="472" t="s">
        <v>360</v>
      </c>
      <c r="O3" s="472" t="s">
        <v>361</v>
      </c>
      <c r="P3" s="472" t="s">
        <v>365</v>
      </c>
      <c r="S3" s="470" t="s">
        <v>760</v>
      </c>
      <c r="T3" s="470" t="s">
        <v>759</v>
      </c>
      <c r="U3" s="471" t="s">
        <v>758</v>
      </c>
      <c r="V3" s="472" t="s">
        <v>358</v>
      </c>
      <c r="W3" s="472" t="s">
        <v>359</v>
      </c>
      <c r="X3" s="472" t="s">
        <v>254</v>
      </c>
      <c r="Y3" s="472" t="s">
        <v>753</v>
      </c>
      <c r="Z3" s="472" t="s">
        <v>754</v>
      </c>
      <c r="AA3" s="472" t="s">
        <v>755</v>
      </c>
      <c r="AB3" s="472" t="s">
        <v>756</v>
      </c>
      <c r="AC3" s="472" t="s">
        <v>757</v>
      </c>
      <c r="AD3" s="472" t="s">
        <v>916</v>
      </c>
      <c r="AE3" s="472" t="s">
        <v>915</v>
      </c>
      <c r="AF3" s="472" t="s">
        <v>360</v>
      </c>
      <c r="AG3" s="472" t="s">
        <v>361</v>
      </c>
      <c r="AH3" s="472" t="s">
        <v>365</v>
      </c>
    </row>
    <row r="4" spans="1:34" ht="15.5" customHeight="1" x14ac:dyDescent="0.3">
      <c r="A4" s="662" t="s">
        <v>725</v>
      </c>
      <c r="B4" s="664" t="s">
        <v>702</v>
      </c>
      <c r="C4" s="480" t="s">
        <v>768</v>
      </c>
      <c r="D4" s="484">
        <f>SUMIFS(dtc_channel源!$F:$F,dtc_channel源!$A:$A,"&gt;="&amp;$B$1,dtc_channel源!$A:$A,"&lt;="&amp;$C$1,dtc_channel源!$E:$E,$C4)</f>
        <v>1324</v>
      </c>
      <c r="E4" s="484">
        <f>SUMIFS(dtc_channel源!$I:$I,dtc_channel源!$A:$A,"&gt;="&amp;$B$1,dtc_channel源!$A:$A,"&lt;="&amp;$C$1,dtc_channel源!$E:$E,$C4)</f>
        <v>1596</v>
      </c>
      <c r="F4" s="485">
        <f>D4-E4</f>
        <v>-272</v>
      </c>
      <c r="G4" s="486">
        <f>IFERROR(D4/E4-1,"-")</f>
        <v>-0.17042606516290726</v>
      </c>
      <c r="H4" s="487">
        <f t="shared" ref="H4:H16" si="0">D4/D$40</f>
        <v>2.5185946089900893E-2</v>
      </c>
      <c r="I4" s="487">
        <f t="shared" ref="I4:I16" si="1">E4/E$40</f>
        <v>2.6335764496221246E-2</v>
      </c>
      <c r="J4" s="488">
        <f>(H4-I4)*100</f>
        <v>-0.11498184063203527</v>
      </c>
      <c r="K4" s="484">
        <f>SUMIFS(dtc_channel源!$G:$G,dtc_channel源!$A:$A,"&gt;="&amp;$B$1,dtc_channel源!$A:$A,"&lt;="&amp;$C$1,dtc_channel源!$E:$E,$C4)</f>
        <v>141</v>
      </c>
      <c r="L4" s="484">
        <f>SUMIFS(dtc_channel源!$J:$J,dtc_channel源!$A:$A,"&gt;="&amp;$B$1,dtc_channel源!$A:$A,"&lt;="&amp;$C$1,dtc_channel源!$E:$E,$C4)</f>
        <v>58</v>
      </c>
      <c r="M4" s="486">
        <f>IFERROR(K4/L4-1,"-")</f>
        <v>1.4310344827586206</v>
      </c>
      <c r="N4" s="489">
        <f>IFERROR(K4/D4,0)</f>
        <v>0.10649546827794562</v>
      </c>
      <c r="O4" s="489">
        <f>IFERROR(L4/E4,0)</f>
        <v>3.6340852130325813E-2</v>
      </c>
      <c r="P4" s="486">
        <f>IFERROR(N4/O4-1,"-")</f>
        <v>1.9304615064069175</v>
      </c>
      <c r="S4" s="662" t="s">
        <v>725</v>
      </c>
      <c r="T4" s="664" t="s">
        <v>702</v>
      </c>
      <c r="U4" s="480" t="s">
        <v>768</v>
      </c>
      <c r="V4" s="484">
        <f>SUMIFS(dtc_channel源!$F:$F,dtc_channel源!$A:$A,"&gt;="&amp;$T$1,dtc_channel源!$A:$A,"&lt;="&amp;$U$1,dtc_channel源!$E:$E,$C4)</f>
        <v>335</v>
      </c>
      <c r="W4" s="484">
        <f>SUMIFS(dtc_channel源!$I:$I,dtc_channel源!$A:$A,"&gt;="&amp;$T$1,dtc_channel源!$A:$A,"&lt;="&amp;$U$1,dtc_channel源!$E:$E,$C4)</f>
        <v>0</v>
      </c>
      <c r="X4" s="485">
        <f>V4-W4</f>
        <v>335</v>
      </c>
      <c r="Y4" s="486" t="str">
        <f>IFERROR(V4/W4-1,"-")</f>
        <v>-</v>
      </c>
      <c r="Z4" s="487">
        <f t="shared" ref="Z4:Z16" si="2">V4/V$40</f>
        <v>6.1366550650302255E-2</v>
      </c>
      <c r="AA4" s="487">
        <f t="shared" ref="AA4:AA16" si="3">W4/W$40</f>
        <v>0</v>
      </c>
      <c r="AB4" s="488">
        <f>(Z4-AA4)*100</f>
        <v>6.1366550650302258</v>
      </c>
      <c r="AC4" s="484">
        <f>SUMIFS(dtc_channel源!$G:$G,dtc_channel源!$A:$A,"&gt;="&amp;$T$1,dtc_channel源!$A:$A,"&lt;="&amp;$U$1,dtc_channel源!$E:$E,$C4)</f>
        <v>23</v>
      </c>
      <c r="AD4" s="484">
        <f>SUMIFS(dtc_channel源!$J:$J,dtc_channel源!$A:$A,"&gt;="&amp;$T$1,dtc_channel源!$A:$A,"&lt;="&amp;$U$1,dtc_channel源!$E:$E,$C4)</f>
        <v>0</v>
      </c>
      <c r="AE4" s="486" t="str">
        <f>IFERROR(AC4/AD4-1,"-")</f>
        <v>-</v>
      </c>
      <c r="AF4" s="489">
        <f>IFERROR(AC4/V4,0)</f>
        <v>6.8656716417910449E-2</v>
      </c>
      <c r="AG4" s="489">
        <f>IFERROR(AD4/W4,0)</f>
        <v>0</v>
      </c>
      <c r="AH4" s="486" t="str">
        <f>IFERROR(AF4/AG4-1,"-")</f>
        <v>-</v>
      </c>
    </row>
    <row r="5" spans="1:34" ht="15.5" customHeight="1" x14ac:dyDescent="0.3">
      <c r="A5" s="663"/>
      <c r="B5" s="665"/>
      <c r="C5" s="480" t="s">
        <v>580</v>
      </c>
      <c r="D5" s="484">
        <f>SUMIFS(dtc_channel源!$F:$F,dtc_channel源!$A:$A,"&gt;="&amp;$B$1,dtc_channel源!$A:$A,"&lt;="&amp;$C$1,dtc_channel源!$E:$E,$C5)</f>
        <v>0</v>
      </c>
      <c r="E5" s="484">
        <f>SUMIFS(dtc_channel源!$I:$I,dtc_channel源!$A:$A,"&gt;="&amp;$B$1,dtc_channel源!$A:$A,"&lt;="&amp;$C$1,dtc_channel源!$E:$E,$C5)</f>
        <v>3074</v>
      </c>
      <c r="F5" s="485">
        <f t="shared" ref="F5:F39" si="4">D5-E5</f>
        <v>-3074</v>
      </c>
      <c r="G5" s="486">
        <f t="shared" ref="G5:G39" si="5">IFERROR(D5/E5-1,"-")</f>
        <v>-1</v>
      </c>
      <c r="H5" s="487">
        <f t="shared" si="0"/>
        <v>0</v>
      </c>
      <c r="I5" s="487">
        <f t="shared" si="1"/>
        <v>5.0724398534701828E-2</v>
      </c>
      <c r="J5" s="488">
        <f t="shared" ref="J5:J39" si="6">(H5-I5)*100</f>
        <v>-5.0724398534701827</v>
      </c>
      <c r="K5" s="484">
        <f>SUMIFS(dtc_channel源!$G:$G,dtc_channel源!$A:$A,"&gt;="&amp;$B$1,dtc_channel源!$A:$A,"&lt;="&amp;$C$1,dtc_channel源!$E:$E,$C5)</f>
        <v>0</v>
      </c>
      <c r="L5" s="484">
        <f>SUMIFS(dtc_channel源!$J:$J,dtc_channel源!$A:$A,"&gt;="&amp;$B$1,dtc_channel源!$A:$A,"&lt;="&amp;$C$1,dtc_channel源!$E:$E,$C5)</f>
        <v>17</v>
      </c>
      <c r="M5" s="486">
        <f t="shared" ref="M5:M39" si="7">IFERROR(K5/L5-1,"-")</f>
        <v>-1</v>
      </c>
      <c r="N5" s="489">
        <f t="shared" ref="N5:N40" si="8">IFERROR(K5/D5,0)</f>
        <v>0</v>
      </c>
      <c r="O5" s="489">
        <f t="shared" ref="O5:O39" si="9">IFERROR(L5/E5,0)</f>
        <v>5.5302537410540009E-3</v>
      </c>
      <c r="P5" s="486">
        <f t="shared" ref="P5:P39" si="10">IFERROR(N5/O5-1,"-")</f>
        <v>-1</v>
      </c>
      <c r="S5" s="663"/>
      <c r="T5" s="665"/>
      <c r="U5" s="480" t="s">
        <v>580</v>
      </c>
      <c r="V5" s="484">
        <f>SUMIFS(dtc_channel源!$F:$F,dtc_channel源!$A:$A,"&gt;="&amp;$T$1,dtc_channel源!$A:$A,"&lt;="&amp;$U$1,dtc_channel源!$E:$E,$C5)</f>
        <v>0</v>
      </c>
      <c r="W5" s="484">
        <f>SUMIFS(dtc_channel源!$I:$I,dtc_channel源!$A:$A,"&gt;="&amp;$T$1,dtc_channel源!$A:$A,"&lt;="&amp;$U$1,dtc_channel源!$E:$E,$C5)</f>
        <v>0</v>
      </c>
      <c r="X5" s="485">
        <f t="shared" ref="X5:X40" si="11">V5-W5</f>
        <v>0</v>
      </c>
      <c r="Y5" s="486" t="str">
        <f t="shared" ref="Y5:Y40" si="12">IFERROR(V5/W5-1,"-")</f>
        <v>-</v>
      </c>
      <c r="Z5" s="487">
        <f t="shared" si="2"/>
        <v>0</v>
      </c>
      <c r="AA5" s="487">
        <f t="shared" si="3"/>
        <v>0</v>
      </c>
      <c r="AB5" s="488">
        <f t="shared" ref="AB5:AB39" si="13">(Z5-AA5)*100</f>
        <v>0</v>
      </c>
      <c r="AC5" s="484">
        <f>SUMIFS(dtc_channel源!$G:$G,dtc_channel源!$A:$A,"&gt;="&amp;$T$1,dtc_channel源!$A:$A,"&lt;="&amp;$U$1,dtc_channel源!$E:$E,$C5)</f>
        <v>0</v>
      </c>
      <c r="AD5" s="484">
        <f>SUMIFS(dtc_channel源!$J:$J,dtc_channel源!$A:$A,"&gt;="&amp;$T$1,dtc_channel源!$A:$A,"&lt;="&amp;$U$1,dtc_channel源!$E:$E,$C5)</f>
        <v>0</v>
      </c>
      <c r="AE5" s="486" t="str">
        <f t="shared" ref="AE5:AE39" si="14">IFERROR(AC5/AD5-1,"-")</f>
        <v>-</v>
      </c>
      <c r="AF5" s="489">
        <f t="shared" ref="AF5:AF40" si="15">IFERROR(AC5/V5,0)</f>
        <v>0</v>
      </c>
      <c r="AG5" s="489">
        <f t="shared" ref="AG5:AG39" si="16">IFERROR(AD5/W5,0)</f>
        <v>0</v>
      </c>
      <c r="AH5" s="486" t="str">
        <f t="shared" ref="AH5:AH39" si="17">IFERROR(AF5/AG5-1,"-")</f>
        <v>-</v>
      </c>
    </row>
    <row r="6" spans="1:34" ht="15.5" customHeight="1" x14ac:dyDescent="0.3">
      <c r="A6" s="663"/>
      <c r="B6" s="665"/>
      <c r="C6" s="480" t="s">
        <v>716</v>
      </c>
      <c r="D6" s="484">
        <f>SUMIFS(dtc_channel源!$F:$F,dtc_channel源!$A:$A,"&gt;="&amp;$B$1,dtc_channel源!$A:$A,"&lt;="&amp;$C$1,dtc_channel源!$E:$E,$C6)</f>
        <v>0</v>
      </c>
      <c r="E6" s="484">
        <f>SUMIFS(dtc_channel源!$I:$I,dtc_channel源!$A:$A,"&gt;="&amp;$B$1,dtc_channel源!$A:$A,"&lt;="&amp;$C$1,dtc_channel源!$E:$E,$C6)</f>
        <v>47</v>
      </c>
      <c r="F6" s="485">
        <f t="shared" si="4"/>
        <v>-47</v>
      </c>
      <c r="G6" s="486">
        <f t="shared" si="5"/>
        <v>-1</v>
      </c>
      <c r="H6" s="487">
        <f t="shared" si="0"/>
        <v>0</v>
      </c>
      <c r="I6" s="487">
        <f t="shared" si="1"/>
        <v>7.755519619814528E-4</v>
      </c>
      <c r="J6" s="488">
        <f t="shared" si="6"/>
        <v>-7.7555196198145285E-2</v>
      </c>
      <c r="K6" s="484">
        <f>SUMIFS(dtc_channel源!$G:$G,dtc_channel源!$A:$A,"&gt;="&amp;$B$1,dtc_channel源!$A:$A,"&lt;="&amp;$C$1,dtc_channel源!$E:$E,$C6)</f>
        <v>0</v>
      </c>
      <c r="L6" s="484">
        <f>SUMIFS(dtc_channel源!$J:$J,dtc_channel源!$A:$A,"&gt;="&amp;$B$1,dtc_channel源!$A:$A,"&lt;="&amp;$C$1,dtc_channel源!$E:$E,$C6)</f>
        <v>0</v>
      </c>
      <c r="M6" s="486" t="str">
        <f t="shared" si="7"/>
        <v>-</v>
      </c>
      <c r="N6" s="489">
        <f t="shared" si="8"/>
        <v>0</v>
      </c>
      <c r="O6" s="489">
        <f t="shared" si="9"/>
        <v>0</v>
      </c>
      <c r="P6" s="486" t="str">
        <f t="shared" si="10"/>
        <v>-</v>
      </c>
      <c r="S6" s="663"/>
      <c r="T6" s="665"/>
      <c r="U6" s="480" t="s">
        <v>716</v>
      </c>
      <c r="V6" s="484">
        <f>SUMIFS(dtc_channel源!$F:$F,dtc_channel源!$A:$A,"&gt;="&amp;$T$1,dtc_channel源!$A:$A,"&lt;="&amp;$U$1,dtc_channel源!$E:$E,$C6)</f>
        <v>0</v>
      </c>
      <c r="W6" s="484">
        <f>SUMIFS(dtc_channel源!$I:$I,dtc_channel源!$A:$A,"&gt;="&amp;$T$1,dtc_channel源!$A:$A,"&lt;="&amp;$U$1,dtc_channel源!$E:$E,$C6)</f>
        <v>0</v>
      </c>
      <c r="X6" s="485">
        <f t="shared" si="11"/>
        <v>0</v>
      </c>
      <c r="Y6" s="486" t="str">
        <f t="shared" si="12"/>
        <v>-</v>
      </c>
      <c r="Z6" s="487">
        <f t="shared" si="2"/>
        <v>0</v>
      </c>
      <c r="AA6" s="487">
        <f t="shared" si="3"/>
        <v>0</v>
      </c>
      <c r="AB6" s="488">
        <f t="shared" si="13"/>
        <v>0</v>
      </c>
      <c r="AC6" s="484">
        <f>SUMIFS(dtc_channel源!$G:$G,dtc_channel源!$A:$A,"&gt;="&amp;$T$1,dtc_channel源!$A:$A,"&lt;="&amp;$U$1,dtc_channel源!$E:$E,$C6)</f>
        <v>0</v>
      </c>
      <c r="AD6" s="484">
        <f>SUMIFS(dtc_channel源!$J:$J,dtc_channel源!$A:$A,"&gt;="&amp;$T$1,dtc_channel源!$A:$A,"&lt;="&amp;$U$1,dtc_channel源!$E:$E,$C6)</f>
        <v>0</v>
      </c>
      <c r="AE6" s="486" t="str">
        <f t="shared" si="14"/>
        <v>-</v>
      </c>
      <c r="AF6" s="489">
        <f t="shared" si="15"/>
        <v>0</v>
      </c>
      <c r="AG6" s="489">
        <f t="shared" si="16"/>
        <v>0</v>
      </c>
      <c r="AH6" s="486" t="str">
        <f t="shared" si="17"/>
        <v>-</v>
      </c>
    </row>
    <row r="7" spans="1:34" ht="15.5" customHeight="1" x14ac:dyDescent="0.3">
      <c r="A7" s="663"/>
      <c r="B7" s="665"/>
      <c r="C7" s="481" t="s">
        <v>762</v>
      </c>
      <c r="D7" s="484">
        <f>SUMIFS(dtc_channel源!$F:$F,dtc_channel源!$A:$A,"&gt;="&amp;$B$1,dtc_channel源!$A:$A,"&lt;="&amp;$C$1,dtc_channel源!$E:$E,$C7)</f>
        <v>0</v>
      </c>
      <c r="E7" s="484">
        <f>SUMIFS(dtc_channel源!$I:$I,dtc_channel源!$A:$A,"&gt;="&amp;$B$1,dtc_channel源!$A:$A,"&lt;="&amp;$C$1,dtc_channel源!$E:$E,$C7)</f>
        <v>2622</v>
      </c>
      <c r="F7" s="485">
        <f t="shared" si="4"/>
        <v>-2622</v>
      </c>
      <c r="G7" s="486">
        <f t="shared" si="5"/>
        <v>-1</v>
      </c>
      <c r="H7" s="487">
        <f t="shared" si="0"/>
        <v>0</v>
      </c>
      <c r="I7" s="487">
        <f t="shared" si="1"/>
        <v>4.3265898815220617E-2</v>
      </c>
      <c r="J7" s="488">
        <f t="shared" si="6"/>
        <v>-4.3265898815220618</v>
      </c>
      <c r="K7" s="484">
        <f>SUMIFS(dtc_channel源!$G:$G,dtc_channel源!$A:$A,"&gt;="&amp;$B$1,dtc_channel源!$A:$A,"&lt;="&amp;$C$1,dtc_channel源!$E:$E,$C7)</f>
        <v>0</v>
      </c>
      <c r="L7" s="484">
        <f>SUMIFS(dtc_channel源!$J:$J,dtc_channel源!$A:$A,"&gt;="&amp;$B$1,dtc_channel源!$A:$A,"&lt;="&amp;$C$1,dtc_channel源!$E:$E,$C7)</f>
        <v>53</v>
      </c>
      <c r="M7" s="486">
        <f t="shared" si="7"/>
        <v>-1</v>
      </c>
      <c r="N7" s="489">
        <f t="shared" si="8"/>
        <v>0</v>
      </c>
      <c r="O7" s="489">
        <f t="shared" si="9"/>
        <v>2.0213577421815409E-2</v>
      </c>
      <c r="P7" s="486">
        <f t="shared" si="10"/>
        <v>-1</v>
      </c>
      <c r="S7" s="663"/>
      <c r="T7" s="665"/>
      <c r="U7" s="481" t="s">
        <v>762</v>
      </c>
      <c r="V7" s="484">
        <f>SUMIFS(dtc_channel源!$F:$F,dtc_channel源!$A:$A,"&gt;="&amp;$T$1,dtc_channel源!$A:$A,"&lt;="&amp;$U$1,dtc_channel源!$E:$E,$C7)</f>
        <v>0</v>
      </c>
      <c r="W7" s="484">
        <f>SUMIFS(dtc_channel源!$I:$I,dtc_channel源!$A:$A,"&gt;="&amp;$T$1,dtc_channel源!$A:$A,"&lt;="&amp;$U$1,dtc_channel源!$E:$E,$C7)</f>
        <v>0</v>
      </c>
      <c r="X7" s="485">
        <f t="shared" si="11"/>
        <v>0</v>
      </c>
      <c r="Y7" s="486" t="str">
        <f t="shared" si="12"/>
        <v>-</v>
      </c>
      <c r="Z7" s="487">
        <f t="shared" si="2"/>
        <v>0</v>
      </c>
      <c r="AA7" s="487">
        <f t="shared" si="3"/>
        <v>0</v>
      </c>
      <c r="AB7" s="488">
        <f t="shared" si="13"/>
        <v>0</v>
      </c>
      <c r="AC7" s="484">
        <f>SUMIFS(dtc_channel源!$G:$G,dtc_channel源!$A:$A,"&gt;="&amp;$T$1,dtc_channel源!$A:$A,"&lt;="&amp;$U$1,dtc_channel源!$E:$E,$C7)</f>
        <v>0</v>
      </c>
      <c r="AD7" s="484">
        <f>SUMIFS(dtc_channel源!$J:$J,dtc_channel源!$A:$A,"&gt;="&amp;$T$1,dtc_channel源!$A:$A,"&lt;="&amp;$U$1,dtc_channel源!$E:$E,$C7)</f>
        <v>0</v>
      </c>
      <c r="AE7" s="486" t="str">
        <f t="shared" si="14"/>
        <v>-</v>
      </c>
      <c r="AF7" s="489">
        <f t="shared" si="15"/>
        <v>0</v>
      </c>
      <c r="AG7" s="489">
        <f t="shared" si="16"/>
        <v>0</v>
      </c>
      <c r="AH7" s="486" t="str">
        <f t="shared" si="17"/>
        <v>-</v>
      </c>
    </row>
    <row r="8" spans="1:34" ht="15.5" customHeight="1" x14ac:dyDescent="0.3">
      <c r="A8" s="663"/>
      <c r="B8" s="668" t="s">
        <v>746</v>
      </c>
      <c r="C8" s="669"/>
      <c r="D8" s="490">
        <f>SUM(D4:D7)</f>
        <v>1324</v>
      </c>
      <c r="E8" s="490">
        <f>SUM(E4:E7)</f>
        <v>7339</v>
      </c>
      <c r="F8" s="491">
        <f t="shared" si="4"/>
        <v>-6015</v>
      </c>
      <c r="G8" s="492">
        <f t="shared" si="5"/>
        <v>-0.81959395012944547</v>
      </c>
      <c r="H8" s="493">
        <f t="shared" si="0"/>
        <v>2.5185946089900893E-2</v>
      </c>
      <c r="I8" s="493">
        <f t="shared" si="1"/>
        <v>0.12110161380812515</v>
      </c>
      <c r="J8" s="494">
        <f t="shared" si="6"/>
        <v>-9.5915667718224249</v>
      </c>
      <c r="K8" s="490">
        <f>SUM(K4:K7)</f>
        <v>141</v>
      </c>
      <c r="L8" s="490">
        <f>SUM(L4:L7)</f>
        <v>128</v>
      </c>
      <c r="M8" s="492">
        <f t="shared" si="7"/>
        <v>0.1015625</v>
      </c>
      <c r="N8" s="495">
        <f t="shared" si="8"/>
        <v>0.10649546827794562</v>
      </c>
      <c r="O8" s="495">
        <f t="shared" si="9"/>
        <v>1.7441068265431257E-2</v>
      </c>
      <c r="P8" s="492">
        <f t="shared" si="10"/>
        <v>5.1060175132175232</v>
      </c>
      <c r="S8" s="663"/>
      <c r="T8" s="668" t="s">
        <v>746</v>
      </c>
      <c r="U8" s="669"/>
      <c r="V8" s="490">
        <f>SUM(V4:V7)</f>
        <v>335</v>
      </c>
      <c r="W8" s="490">
        <f>SUM(W4:W7)</f>
        <v>0</v>
      </c>
      <c r="X8" s="491">
        <f t="shared" si="11"/>
        <v>335</v>
      </c>
      <c r="Y8" s="492" t="str">
        <f t="shared" si="12"/>
        <v>-</v>
      </c>
      <c r="Z8" s="493">
        <f t="shared" si="2"/>
        <v>6.1366550650302255E-2</v>
      </c>
      <c r="AA8" s="493">
        <f t="shared" si="3"/>
        <v>0</v>
      </c>
      <c r="AB8" s="494">
        <f t="shared" si="13"/>
        <v>6.1366550650302258</v>
      </c>
      <c r="AC8" s="490">
        <f>SUM(AC4:AC7)</f>
        <v>23</v>
      </c>
      <c r="AD8" s="490">
        <f>SUM(AD4:AD7)</f>
        <v>0</v>
      </c>
      <c r="AE8" s="492" t="str">
        <f t="shared" si="14"/>
        <v>-</v>
      </c>
      <c r="AF8" s="495">
        <f t="shared" si="15"/>
        <v>6.8656716417910449E-2</v>
      </c>
      <c r="AG8" s="495">
        <f t="shared" si="16"/>
        <v>0</v>
      </c>
      <c r="AH8" s="492" t="str">
        <f t="shared" si="17"/>
        <v>-</v>
      </c>
    </row>
    <row r="9" spans="1:34" ht="15.5" customHeight="1" x14ac:dyDescent="0.3">
      <c r="A9" s="663"/>
      <c r="B9" s="479" t="s">
        <v>704</v>
      </c>
      <c r="C9" s="480" t="s">
        <v>694</v>
      </c>
      <c r="D9" s="484">
        <f>SUMIFS(dtc_channel源!$F:$F,dtc_channel源!$A:$A,"&gt;="&amp;$B$1,dtc_channel源!$A:$A,"&lt;="&amp;$C$1,dtc_channel源!$E:$E,$C9)</f>
        <v>94</v>
      </c>
      <c r="E9" s="484">
        <f>SUMIFS(dtc_channel源!$I:$I,dtc_channel源!$A:$A,"&gt;="&amp;$B$1,dtc_channel源!$A:$A,"&lt;="&amp;$C$1,dtc_channel源!$E:$E,$C9)</f>
        <v>0</v>
      </c>
      <c r="F9" s="485">
        <f t="shared" si="4"/>
        <v>94</v>
      </c>
      <c r="G9" s="486" t="str">
        <f t="shared" si="5"/>
        <v>-</v>
      </c>
      <c r="H9" s="487">
        <f t="shared" si="0"/>
        <v>1.7881260819113927E-3</v>
      </c>
      <c r="I9" s="487">
        <f t="shared" si="1"/>
        <v>0</v>
      </c>
      <c r="J9" s="488">
        <f t="shared" si="6"/>
        <v>0.17881260819113928</v>
      </c>
      <c r="K9" s="484">
        <f>SUMIFS(dtc_channel源!$G:$G,dtc_channel源!$A:$A,"&gt;="&amp;$B$1,dtc_channel源!$A:$A,"&lt;="&amp;$C$1,dtc_channel源!$E:$E,$C9)</f>
        <v>1</v>
      </c>
      <c r="L9" s="484">
        <f>SUMIFS(dtc_channel源!$J:$J,dtc_channel源!$A:$A,"&gt;="&amp;$B$1,dtc_channel源!$A:$A,"&lt;="&amp;$C$1,dtc_channel源!$E:$E,$C9)</f>
        <v>0</v>
      </c>
      <c r="M9" s="486" t="str">
        <f t="shared" si="7"/>
        <v>-</v>
      </c>
      <c r="N9" s="489">
        <f t="shared" si="8"/>
        <v>1.0638297872340425E-2</v>
      </c>
      <c r="O9" s="489">
        <f t="shared" si="9"/>
        <v>0</v>
      </c>
      <c r="P9" s="486" t="str">
        <f t="shared" si="10"/>
        <v>-</v>
      </c>
      <c r="S9" s="663"/>
      <c r="T9" s="479" t="s">
        <v>704</v>
      </c>
      <c r="U9" s="480" t="s">
        <v>694</v>
      </c>
      <c r="V9" s="484">
        <f>SUMIFS(dtc_channel源!$F:$F,dtc_channel源!$A:$A,"&gt;="&amp;$T$1,dtc_channel源!$A:$A,"&lt;="&amp;$U$1,dtc_channel源!$E:$E,$C9)</f>
        <v>27</v>
      </c>
      <c r="W9" s="484">
        <f>SUMIFS(dtc_channel源!$I:$I,dtc_channel源!$A:$A,"&gt;="&amp;$T$1,dtc_channel源!$A:$A,"&lt;="&amp;$U$1,dtc_channel源!$E:$E,$C9)</f>
        <v>0</v>
      </c>
      <c r="X9" s="485">
        <f t="shared" si="11"/>
        <v>27</v>
      </c>
      <c r="Y9" s="486" t="str">
        <f t="shared" si="12"/>
        <v>-</v>
      </c>
      <c r="Z9" s="487">
        <f t="shared" si="2"/>
        <v>4.9459607986810771E-3</v>
      </c>
      <c r="AA9" s="487">
        <f t="shared" si="3"/>
        <v>0</v>
      </c>
      <c r="AB9" s="488">
        <f t="shared" si="13"/>
        <v>0.49459607986810772</v>
      </c>
      <c r="AC9" s="484">
        <f>SUMIFS(dtc_channel源!$G:$G,dtc_channel源!$A:$A,"&gt;="&amp;$T$1,dtc_channel源!$A:$A,"&lt;="&amp;$U$1,dtc_channel源!$E:$E,$C9)</f>
        <v>0</v>
      </c>
      <c r="AD9" s="484">
        <f>SUMIFS(dtc_channel源!$J:$J,dtc_channel源!$A:$A,"&gt;="&amp;$T$1,dtc_channel源!$A:$A,"&lt;="&amp;$U$1,dtc_channel源!$E:$E,$C9)</f>
        <v>0</v>
      </c>
      <c r="AE9" s="486" t="str">
        <f t="shared" si="14"/>
        <v>-</v>
      </c>
      <c r="AF9" s="489">
        <f t="shared" si="15"/>
        <v>0</v>
      </c>
      <c r="AG9" s="489">
        <f t="shared" si="16"/>
        <v>0</v>
      </c>
      <c r="AH9" s="486" t="str">
        <f t="shared" si="17"/>
        <v>-</v>
      </c>
    </row>
    <row r="10" spans="1:34" ht="15.5" customHeight="1" x14ac:dyDescent="0.3">
      <c r="A10" s="663"/>
      <c r="B10" s="668" t="s">
        <v>747</v>
      </c>
      <c r="C10" s="669"/>
      <c r="D10" s="490">
        <f>SUM(D9)</f>
        <v>94</v>
      </c>
      <c r="E10" s="490">
        <f>SUM(E9)</f>
        <v>0</v>
      </c>
      <c r="F10" s="496">
        <f t="shared" si="4"/>
        <v>94</v>
      </c>
      <c r="G10" s="497" t="str">
        <f t="shared" si="5"/>
        <v>-</v>
      </c>
      <c r="H10" s="493">
        <f t="shared" si="0"/>
        <v>1.7881260819113927E-3</v>
      </c>
      <c r="I10" s="493">
        <f t="shared" si="1"/>
        <v>0</v>
      </c>
      <c r="J10" s="498">
        <f t="shared" si="6"/>
        <v>0.17881260819113928</v>
      </c>
      <c r="K10" s="490">
        <f>SUM(K9)</f>
        <v>1</v>
      </c>
      <c r="L10" s="490">
        <f>SUM(L9)</f>
        <v>0</v>
      </c>
      <c r="M10" s="497" t="str">
        <f t="shared" si="7"/>
        <v>-</v>
      </c>
      <c r="N10" s="495">
        <f t="shared" si="8"/>
        <v>1.0638297872340425E-2</v>
      </c>
      <c r="O10" s="495">
        <f t="shared" si="9"/>
        <v>0</v>
      </c>
      <c r="P10" s="497" t="str">
        <f t="shared" si="10"/>
        <v>-</v>
      </c>
      <c r="S10" s="663"/>
      <c r="T10" s="668" t="s">
        <v>747</v>
      </c>
      <c r="U10" s="669"/>
      <c r="V10" s="490">
        <f>SUM(V9)</f>
        <v>27</v>
      </c>
      <c r="W10" s="490">
        <f>SUM(W9)</f>
        <v>0</v>
      </c>
      <c r="X10" s="496">
        <f t="shared" si="11"/>
        <v>27</v>
      </c>
      <c r="Y10" s="497" t="str">
        <f t="shared" si="12"/>
        <v>-</v>
      </c>
      <c r="Z10" s="493">
        <f t="shared" si="2"/>
        <v>4.9459607986810771E-3</v>
      </c>
      <c r="AA10" s="493">
        <f t="shared" si="3"/>
        <v>0</v>
      </c>
      <c r="AB10" s="498">
        <f t="shared" si="13"/>
        <v>0.49459607986810772</v>
      </c>
      <c r="AC10" s="490">
        <f>SUM(AC9)</f>
        <v>0</v>
      </c>
      <c r="AD10" s="490">
        <f>SUM(AD9)</f>
        <v>0</v>
      </c>
      <c r="AE10" s="497" t="str">
        <f t="shared" si="14"/>
        <v>-</v>
      </c>
      <c r="AF10" s="495">
        <f t="shared" si="15"/>
        <v>0</v>
      </c>
      <c r="AG10" s="495">
        <f t="shared" si="16"/>
        <v>0</v>
      </c>
      <c r="AH10" s="497" t="str">
        <f t="shared" si="17"/>
        <v>-</v>
      </c>
    </row>
    <row r="11" spans="1:34" ht="15.5" customHeight="1" x14ac:dyDescent="0.3">
      <c r="A11" s="663"/>
      <c r="B11" s="664" t="s">
        <v>703</v>
      </c>
      <c r="C11" s="480" t="s">
        <v>619</v>
      </c>
      <c r="D11" s="484">
        <f>SUMIFS(dtc_channel源!$F:$F,dtc_channel源!$A:$A,"&gt;="&amp;$B$1,dtc_channel源!$A:$A,"&lt;="&amp;$C$1,dtc_channel源!$E:$E,$C11)</f>
        <v>206</v>
      </c>
      <c r="E11" s="484">
        <f>SUMIFS(dtc_channel源!$I:$I,dtc_channel源!$A:$A,"&gt;="&amp;$B$1,dtc_channel源!$A:$A,"&lt;="&amp;$C$1,dtc_channel源!$E:$E,$C11)</f>
        <v>0</v>
      </c>
      <c r="F11" s="485">
        <f t="shared" si="4"/>
        <v>206</v>
      </c>
      <c r="G11" s="486" t="str">
        <f t="shared" si="5"/>
        <v>-</v>
      </c>
      <c r="H11" s="487">
        <f t="shared" si="0"/>
        <v>3.9186592858909243E-3</v>
      </c>
      <c r="I11" s="487">
        <f t="shared" si="1"/>
        <v>0</v>
      </c>
      <c r="J11" s="488">
        <f t="shared" si="6"/>
        <v>0.39186592858909242</v>
      </c>
      <c r="K11" s="484">
        <f>SUMIFS(dtc_channel源!$G:$G,dtc_channel源!$A:$A,"&gt;="&amp;$B$1,dtc_channel源!$A:$A,"&lt;="&amp;$C$1,dtc_channel源!$E:$E,$C11)</f>
        <v>0</v>
      </c>
      <c r="L11" s="484">
        <f>SUMIFS(dtc_channel源!$J:$J,dtc_channel源!$A:$A,"&gt;="&amp;$B$1,dtc_channel源!$A:$A,"&lt;="&amp;$C$1,dtc_channel源!$E:$E,$C11)</f>
        <v>0</v>
      </c>
      <c r="M11" s="486" t="str">
        <f t="shared" si="7"/>
        <v>-</v>
      </c>
      <c r="N11" s="489">
        <f t="shared" si="8"/>
        <v>0</v>
      </c>
      <c r="O11" s="489">
        <f t="shared" si="9"/>
        <v>0</v>
      </c>
      <c r="P11" s="486" t="str">
        <f t="shared" si="10"/>
        <v>-</v>
      </c>
      <c r="S11" s="663"/>
      <c r="T11" s="664" t="s">
        <v>703</v>
      </c>
      <c r="U11" s="480" t="s">
        <v>619</v>
      </c>
      <c r="V11" s="484">
        <f>SUMIFS(dtc_channel源!$F:$F,dtc_channel源!$A:$A,"&gt;="&amp;$T$1,dtc_channel源!$A:$A,"&lt;="&amp;$U$1,dtc_channel源!$E:$E,$C11)</f>
        <v>0</v>
      </c>
      <c r="W11" s="484">
        <f>SUMIFS(dtc_channel源!$I:$I,dtc_channel源!$A:$A,"&gt;="&amp;$T$1,dtc_channel源!$A:$A,"&lt;="&amp;$U$1,dtc_channel源!$E:$E,$C11)</f>
        <v>0</v>
      </c>
      <c r="X11" s="485">
        <f t="shared" si="11"/>
        <v>0</v>
      </c>
      <c r="Y11" s="486" t="str">
        <f t="shared" si="12"/>
        <v>-</v>
      </c>
      <c r="Z11" s="487">
        <f t="shared" si="2"/>
        <v>0</v>
      </c>
      <c r="AA11" s="487">
        <f t="shared" si="3"/>
        <v>0</v>
      </c>
      <c r="AB11" s="488">
        <f t="shared" si="13"/>
        <v>0</v>
      </c>
      <c r="AC11" s="484">
        <f>SUMIFS(dtc_channel源!$G:$G,dtc_channel源!$A:$A,"&gt;="&amp;$T$1,dtc_channel源!$A:$A,"&lt;="&amp;$U$1,dtc_channel源!$E:$E,$C11)</f>
        <v>0</v>
      </c>
      <c r="AD11" s="484">
        <f>SUMIFS(dtc_channel源!$J:$J,dtc_channel源!$A:$A,"&gt;="&amp;$T$1,dtc_channel源!$A:$A,"&lt;="&amp;$U$1,dtc_channel源!$E:$E,$C11)</f>
        <v>0</v>
      </c>
      <c r="AE11" s="486" t="str">
        <f t="shared" si="14"/>
        <v>-</v>
      </c>
      <c r="AF11" s="489">
        <f t="shared" si="15"/>
        <v>0</v>
      </c>
      <c r="AG11" s="489">
        <f t="shared" si="16"/>
        <v>0</v>
      </c>
      <c r="AH11" s="486" t="str">
        <f t="shared" si="17"/>
        <v>-</v>
      </c>
    </row>
    <row r="12" spans="1:34" ht="15.5" customHeight="1" x14ac:dyDescent="0.3">
      <c r="A12" s="663"/>
      <c r="B12" s="664"/>
      <c r="C12" s="480" t="s">
        <v>539</v>
      </c>
      <c r="D12" s="484">
        <f>SUMIFS(dtc_channel源!$F:$F,dtc_channel源!$A:$A,"&gt;="&amp;$B$1,dtc_channel源!$A:$A,"&lt;="&amp;$C$1,dtc_channel源!$E:$E,$C12)</f>
        <v>0</v>
      </c>
      <c r="E12" s="484">
        <f>SUMIFS(dtc_channel源!$I:$I,dtc_channel源!$A:$A,"&gt;="&amp;$B$1,dtc_channel源!$A:$A,"&lt;="&amp;$C$1,dtc_channel源!$E:$E,$C12)</f>
        <v>12677</v>
      </c>
      <c r="F12" s="485">
        <f t="shared" si="4"/>
        <v>-12677</v>
      </c>
      <c r="G12" s="486">
        <f t="shared" si="5"/>
        <v>-1</v>
      </c>
      <c r="H12" s="487">
        <f t="shared" si="0"/>
        <v>0</v>
      </c>
      <c r="I12" s="487">
        <f t="shared" si="1"/>
        <v>0.2091845153625293</v>
      </c>
      <c r="J12" s="488">
        <f t="shared" si="6"/>
        <v>-20.918451536252931</v>
      </c>
      <c r="K12" s="484">
        <f>SUMIFS(dtc_channel源!$G:$G,dtc_channel源!$A:$A,"&gt;="&amp;$B$1,dtc_channel源!$A:$A,"&lt;="&amp;$C$1,dtc_channel源!$E:$E,$C12)</f>
        <v>0</v>
      </c>
      <c r="L12" s="484">
        <f>SUMIFS(dtc_channel源!$J:$J,dtc_channel源!$A:$A,"&gt;="&amp;$B$1,dtc_channel源!$A:$A,"&lt;="&amp;$C$1,dtc_channel源!$E:$E,$C12)</f>
        <v>0</v>
      </c>
      <c r="M12" s="486" t="str">
        <f t="shared" si="7"/>
        <v>-</v>
      </c>
      <c r="N12" s="489">
        <f t="shared" si="8"/>
        <v>0</v>
      </c>
      <c r="O12" s="489">
        <f t="shared" si="9"/>
        <v>0</v>
      </c>
      <c r="P12" s="486" t="str">
        <f t="shared" si="10"/>
        <v>-</v>
      </c>
      <c r="S12" s="663"/>
      <c r="T12" s="664"/>
      <c r="U12" s="480" t="s">
        <v>539</v>
      </c>
      <c r="V12" s="484">
        <f>SUMIFS(dtc_channel源!$F:$F,dtc_channel源!$A:$A,"&gt;="&amp;$T$1,dtc_channel源!$A:$A,"&lt;="&amp;$U$1,dtc_channel源!$E:$E,$C12)</f>
        <v>0</v>
      </c>
      <c r="W12" s="484">
        <f>SUMIFS(dtc_channel源!$I:$I,dtc_channel源!$A:$A,"&gt;="&amp;$T$1,dtc_channel源!$A:$A,"&lt;="&amp;$U$1,dtc_channel源!$E:$E,$C12)</f>
        <v>980</v>
      </c>
      <c r="X12" s="485">
        <f t="shared" si="11"/>
        <v>-980</v>
      </c>
      <c r="Y12" s="486">
        <f t="shared" si="12"/>
        <v>-1</v>
      </c>
      <c r="Z12" s="487">
        <f t="shared" si="2"/>
        <v>0</v>
      </c>
      <c r="AA12" s="487">
        <f t="shared" si="3"/>
        <v>0.15945330296127563</v>
      </c>
      <c r="AB12" s="488">
        <f t="shared" si="13"/>
        <v>-15.945330296127564</v>
      </c>
      <c r="AC12" s="484">
        <f>SUMIFS(dtc_channel源!$G:$G,dtc_channel源!$A:$A,"&gt;="&amp;$T$1,dtc_channel源!$A:$A,"&lt;="&amp;$U$1,dtc_channel源!$E:$E,$C12)</f>
        <v>0</v>
      </c>
      <c r="AD12" s="484">
        <f>SUMIFS(dtc_channel源!$J:$J,dtc_channel源!$A:$A,"&gt;="&amp;$T$1,dtc_channel源!$A:$A,"&lt;="&amp;$U$1,dtc_channel源!$E:$E,$C12)</f>
        <v>0</v>
      </c>
      <c r="AE12" s="486" t="str">
        <f t="shared" si="14"/>
        <v>-</v>
      </c>
      <c r="AF12" s="489">
        <f t="shared" si="15"/>
        <v>0</v>
      </c>
      <c r="AG12" s="489">
        <f t="shared" si="16"/>
        <v>0</v>
      </c>
      <c r="AH12" s="486" t="str">
        <f t="shared" si="17"/>
        <v>-</v>
      </c>
    </row>
    <row r="13" spans="1:34" ht="15.5" customHeight="1" x14ac:dyDescent="0.3">
      <c r="A13" s="663"/>
      <c r="B13" s="664"/>
      <c r="C13" s="594" t="s">
        <v>870</v>
      </c>
      <c r="D13" s="484">
        <f>SUMIFS(dtc_channel源!$F:$F,dtc_channel源!$A:$A,"&gt;="&amp;$B$1,dtc_channel源!$A:$A,"&lt;="&amp;$C$1,dtc_channel源!$E:$E,$C13)</f>
        <v>0</v>
      </c>
      <c r="E13" s="484">
        <f>SUMIFS(dtc_channel源!$I:$I,dtc_channel源!$A:$A,"&gt;="&amp;$B$1,dtc_channel源!$A:$A,"&lt;="&amp;$C$1,dtc_channel源!$E:$E,$C13)</f>
        <v>76</v>
      </c>
      <c r="F13" s="485">
        <f t="shared" ref="F13" si="18">D13-E13</f>
        <v>-76</v>
      </c>
      <c r="G13" s="486">
        <f t="shared" ref="G13" si="19">IFERROR(D13/E13-1,"-")</f>
        <v>-1</v>
      </c>
      <c r="H13" s="487">
        <f t="shared" si="0"/>
        <v>0</v>
      </c>
      <c r="I13" s="487">
        <f t="shared" si="1"/>
        <v>1.2540840236295832E-3</v>
      </c>
      <c r="J13" s="488">
        <f t="shared" ref="J13" si="20">(H13-I13)*100</f>
        <v>-0.12540840236295833</v>
      </c>
      <c r="K13" s="484">
        <f>SUMIFS(dtc_channel源!$G:$G,dtc_channel源!$A:$A,"&gt;="&amp;$B$1,dtc_channel源!$A:$A,"&lt;="&amp;$C$1,dtc_channel源!$E:$E,$C13)</f>
        <v>0</v>
      </c>
      <c r="L13" s="484">
        <f>SUMIFS(dtc_channel源!$J:$J,dtc_channel源!$A:$A,"&gt;="&amp;$B$1,dtc_channel源!$A:$A,"&lt;="&amp;$C$1,dtc_channel源!$E:$E,$C13)</f>
        <v>0</v>
      </c>
      <c r="M13" s="486" t="str">
        <f t="shared" si="7"/>
        <v>-</v>
      </c>
      <c r="N13" s="489">
        <f t="shared" ref="N13" si="21">IFERROR(K13/D13,0)</f>
        <v>0</v>
      </c>
      <c r="O13" s="489">
        <f t="shared" ref="O13" si="22">IFERROR(L13/E13,0)</f>
        <v>0</v>
      </c>
      <c r="P13" s="486" t="str">
        <f t="shared" ref="P13" si="23">IFERROR(N13/O13-1,"-")</f>
        <v>-</v>
      </c>
      <c r="S13" s="663"/>
      <c r="T13" s="664"/>
      <c r="U13" s="480" t="s">
        <v>871</v>
      </c>
      <c r="V13" s="484">
        <f>SUMIFS(dtc_channel源!$F:$F,dtc_channel源!$A:$A,"&gt;="&amp;$T$1,dtc_channel源!$A:$A,"&lt;="&amp;$U$1,dtc_channel源!$E:$E,$C13)</f>
        <v>0</v>
      </c>
      <c r="W13" s="484">
        <f>SUMIFS(dtc_channel源!$I:$I,dtc_channel源!$A:$A,"&gt;="&amp;$T$1,dtc_channel源!$A:$A,"&lt;="&amp;$U$1,dtc_channel源!$E:$E,$C13)</f>
        <v>72</v>
      </c>
      <c r="X13" s="485">
        <f t="shared" ref="X13" si="24">V13-W13</f>
        <v>-72</v>
      </c>
      <c r="Y13" s="486">
        <f t="shared" ref="Y13" si="25">IFERROR(V13/W13-1,"-")</f>
        <v>-1</v>
      </c>
      <c r="Z13" s="487">
        <f t="shared" si="2"/>
        <v>0</v>
      </c>
      <c r="AA13" s="487">
        <f t="shared" si="3"/>
        <v>1.171493654409372E-2</v>
      </c>
      <c r="AB13" s="488">
        <f t="shared" ref="AB13" si="26">(Z13-AA13)*100</f>
        <v>-1.1714936544093719</v>
      </c>
      <c r="AC13" s="484">
        <f>SUMIFS(dtc_channel源!$G:$G,dtc_channel源!$A:$A,"&gt;="&amp;$T$1,dtc_channel源!$A:$A,"&lt;="&amp;$U$1,dtc_channel源!$E:$E,$C13)</f>
        <v>0</v>
      </c>
      <c r="AD13" s="484">
        <f>SUMIFS(dtc_channel源!$J:$J,dtc_channel源!$A:$A,"&gt;="&amp;$T$1,dtc_channel源!$A:$A,"&lt;="&amp;$U$1,dtc_channel源!$E:$E,$C13)</f>
        <v>0</v>
      </c>
      <c r="AE13" s="486" t="str">
        <f t="shared" si="14"/>
        <v>-</v>
      </c>
      <c r="AF13" s="489">
        <f t="shared" ref="AF13" si="27">IFERROR(AC13/V13,0)</f>
        <v>0</v>
      </c>
      <c r="AG13" s="489">
        <f t="shared" ref="AG13" si="28">IFERROR(AD13/W13,0)</f>
        <v>0</v>
      </c>
      <c r="AH13" s="486" t="str">
        <f t="shared" ref="AH13" si="29">IFERROR(AF13/AG13-1,"-")</f>
        <v>-</v>
      </c>
    </row>
    <row r="14" spans="1:34" ht="15.5" customHeight="1" x14ac:dyDescent="0.3">
      <c r="A14" s="663"/>
      <c r="B14" s="668" t="s">
        <v>748</v>
      </c>
      <c r="C14" s="669"/>
      <c r="D14" s="490">
        <f>SUM(D11:D13)</f>
        <v>206</v>
      </c>
      <c r="E14" s="490">
        <f>SUM(E11:E13)</f>
        <v>12753</v>
      </c>
      <c r="F14" s="496">
        <f t="shared" si="4"/>
        <v>-12547</v>
      </c>
      <c r="G14" s="497">
        <f t="shared" si="5"/>
        <v>-0.98384693797537837</v>
      </c>
      <c r="H14" s="493">
        <f t="shared" si="0"/>
        <v>3.9186592858909243E-3</v>
      </c>
      <c r="I14" s="493">
        <f t="shared" si="1"/>
        <v>0.21043859938615886</v>
      </c>
      <c r="J14" s="498">
        <f t="shared" si="6"/>
        <v>-20.651994010026794</v>
      </c>
      <c r="K14" s="490">
        <f>SUM(K11:K13)</f>
        <v>0</v>
      </c>
      <c r="L14" s="490">
        <f>SUM(L11:L13)</f>
        <v>0</v>
      </c>
      <c r="M14" s="497" t="str">
        <f t="shared" si="7"/>
        <v>-</v>
      </c>
      <c r="N14" s="495">
        <f t="shared" si="8"/>
        <v>0</v>
      </c>
      <c r="O14" s="495">
        <f t="shared" si="9"/>
        <v>0</v>
      </c>
      <c r="P14" s="497" t="str">
        <f t="shared" si="10"/>
        <v>-</v>
      </c>
      <c r="S14" s="663"/>
      <c r="T14" s="668" t="s">
        <v>748</v>
      </c>
      <c r="U14" s="669"/>
      <c r="V14" s="490">
        <f>SUM(V11:V13)</f>
        <v>0</v>
      </c>
      <c r="W14" s="490">
        <f>SUM(W11:W13)</f>
        <v>1052</v>
      </c>
      <c r="X14" s="496">
        <f t="shared" si="11"/>
        <v>-1052</v>
      </c>
      <c r="Y14" s="497">
        <f t="shared" si="12"/>
        <v>-1</v>
      </c>
      <c r="Z14" s="493">
        <f t="shared" si="2"/>
        <v>0</v>
      </c>
      <c r="AA14" s="493">
        <f t="shared" si="3"/>
        <v>0.17116823950536936</v>
      </c>
      <c r="AB14" s="498">
        <f t="shared" si="13"/>
        <v>-17.116823950536936</v>
      </c>
      <c r="AC14" s="490">
        <f>SUM(AC11:AC13)</f>
        <v>0</v>
      </c>
      <c r="AD14" s="490">
        <f>SUM(AD11:AD13)</f>
        <v>0</v>
      </c>
      <c r="AE14" s="497" t="str">
        <f t="shared" si="14"/>
        <v>-</v>
      </c>
      <c r="AF14" s="495">
        <f t="shared" si="15"/>
        <v>0</v>
      </c>
      <c r="AG14" s="495">
        <f t="shared" si="16"/>
        <v>0</v>
      </c>
      <c r="AH14" s="497" t="str">
        <f t="shared" si="17"/>
        <v>-</v>
      </c>
    </row>
    <row r="15" spans="1:34" ht="15.5" customHeight="1" x14ac:dyDescent="0.3">
      <c r="A15" s="586"/>
      <c r="B15" s="479" t="s">
        <v>868</v>
      </c>
      <c r="C15" s="480" t="s">
        <v>829</v>
      </c>
      <c r="D15" s="484">
        <f>SUMIFS(dtc_channel源!$F:$F,dtc_channel源!$A:$A,"&gt;="&amp;$B$1,dtc_channel源!$A:$A,"&lt;="&amp;$C$1,dtc_channel源!$E:$E,$C15)</f>
        <v>0</v>
      </c>
      <c r="E15" s="484">
        <f>SUMIFS(dtc_channel源!$I:$I,dtc_channel源!$A:$A,"&gt;="&amp;$B$1,dtc_channel源!$A:$A,"&lt;="&amp;$C$1,dtc_channel源!$E:$E,$C15)</f>
        <v>566</v>
      </c>
      <c r="F15" s="485">
        <f t="shared" ref="F15:F16" si="30">D15-E15</f>
        <v>-566</v>
      </c>
      <c r="G15" s="486">
        <f t="shared" ref="G15:G16" si="31">IFERROR(D15/E15-1,"-")</f>
        <v>-1</v>
      </c>
      <c r="H15" s="487">
        <f t="shared" si="0"/>
        <v>0</v>
      </c>
      <c r="I15" s="487">
        <f t="shared" si="1"/>
        <v>9.3396257549255794E-3</v>
      </c>
      <c r="J15" s="488">
        <f t="shared" ref="J15:J16" si="32">(H15-I15)*100</f>
        <v>-0.9339625754925579</v>
      </c>
      <c r="K15" s="484">
        <f>SUMIFS(dtc_channel源!$G:$G,dtc_channel源!$A:$A,"&gt;="&amp;$B$1,dtc_channel源!$A:$A,"&lt;="&amp;$C$1,dtc_channel源!$E:$E,$C15)</f>
        <v>0</v>
      </c>
      <c r="L15" s="484">
        <f>SUMIFS(dtc_channel源!$J:$J,dtc_channel源!$A:$A,"&gt;="&amp;$B$1,dtc_channel源!$A:$A,"&lt;="&amp;$C$1,dtc_channel源!$E:$E,$C15)</f>
        <v>0</v>
      </c>
      <c r="M15" s="486" t="str">
        <f t="shared" si="7"/>
        <v>-</v>
      </c>
      <c r="N15" s="489">
        <f t="shared" ref="N15:N16" si="33">IFERROR(K15/D15,0)</f>
        <v>0</v>
      </c>
      <c r="O15" s="489">
        <f t="shared" ref="O15:O16" si="34">IFERROR(L15/E15,0)</f>
        <v>0</v>
      </c>
      <c r="P15" s="486" t="str">
        <f t="shared" ref="P15:P16" si="35">IFERROR(N15/O15-1,"-")</f>
        <v>-</v>
      </c>
      <c r="S15" s="586"/>
      <c r="T15" s="479" t="s">
        <v>868</v>
      </c>
      <c r="U15" s="480" t="s">
        <v>829</v>
      </c>
      <c r="V15" s="484">
        <f>SUMIFS(dtc_channel源!$F:$F,dtc_channel源!$A:$A,"&gt;="&amp;$T$1,dtc_channel源!$A:$A,"&lt;="&amp;$U$1,dtc_channel源!$E:$E,$C15)</f>
        <v>0</v>
      </c>
      <c r="W15" s="484">
        <f>SUMIFS(dtc_channel源!$I:$I,dtc_channel源!$A:$A,"&gt;="&amp;$T$1,dtc_channel源!$A:$A,"&lt;="&amp;$U$1,dtc_channel源!$E:$E,$C15)</f>
        <v>0</v>
      </c>
      <c r="X15" s="485">
        <f t="shared" ref="X15:X16" si="36">V15-W15</f>
        <v>0</v>
      </c>
      <c r="Y15" s="486" t="str">
        <f t="shared" ref="Y15:Y16" si="37">IFERROR(V15/W15-1,"-")</f>
        <v>-</v>
      </c>
      <c r="Z15" s="487">
        <f t="shared" si="2"/>
        <v>0</v>
      </c>
      <c r="AA15" s="487">
        <f t="shared" si="3"/>
        <v>0</v>
      </c>
      <c r="AB15" s="488">
        <f t="shared" ref="AB15:AB16" si="38">(Z15-AA15)*100</f>
        <v>0</v>
      </c>
      <c r="AC15" s="484">
        <f>SUMIFS(dtc_channel源!$G:$G,dtc_channel源!$A:$A,"&gt;="&amp;$T$1,dtc_channel源!$A:$A,"&lt;="&amp;$U$1,dtc_channel源!$E:$E,$C15)</f>
        <v>0</v>
      </c>
      <c r="AD15" s="484">
        <f>SUMIFS(dtc_channel源!$J:$J,dtc_channel源!$A:$A,"&gt;="&amp;$T$1,dtc_channel源!$A:$A,"&lt;="&amp;$U$1,dtc_channel源!$E:$E,$C15)</f>
        <v>0</v>
      </c>
      <c r="AE15" s="486" t="str">
        <f t="shared" si="14"/>
        <v>-</v>
      </c>
      <c r="AF15" s="489">
        <f t="shared" ref="AF15:AF16" si="39">IFERROR(AC15/V15,0)</f>
        <v>0</v>
      </c>
      <c r="AG15" s="489">
        <f t="shared" ref="AG15:AG16" si="40">IFERROR(AD15/W15,0)</f>
        <v>0</v>
      </c>
      <c r="AH15" s="486" t="str">
        <f t="shared" ref="AH15:AH16" si="41">IFERROR(AF15/AG15-1,"-")</f>
        <v>-</v>
      </c>
    </row>
    <row r="16" spans="1:34" ht="15.5" customHeight="1" x14ac:dyDescent="0.3">
      <c r="A16" s="586"/>
      <c r="B16" s="668" t="s">
        <v>869</v>
      </c>
      <c r="C16" s="669"/>
      <c r="D16" s="490">
        <f>SUM(D15)</f>
        <v>0</v>
      </c>
      <c r="E16" s="490">
        <f>SUM(E15)</f>
        <v>566</v>
      </c>
      <c r="F16" s="496">
        <f t="shared" si="30"/>
        <v>-566</v>
      </c>
      <c r="G16" s="497">
        <f t="shared" si="31"/>
        <v>-1</v>
      </c>
      <c r="H16" s="493">
        <f t="shared" si="0"/>
        <v>0</v>
      </c>
      <c r="I16" s="493">
        <f t="shared" si="1"/>
        <v>9.3396257549255794E-3</v>
      </c>
      <c r="J16" s="498">
        <f t="shared" si="32"/>
        <v>-0.9339625754925579</v>
      </c>
      <c r="K16" s="490">
        <f>SUM(K15)</f>
        <v>0</v>
      </c>
      <c r="L16" s="490">
        <f>SUM(L15)</f>
        <v>0</v>
      </c>
      <c r="M16" s="497" t="str">
        <f t="shared" si="7"/>
        <v>-</v>
      </c>
      <c r="N16" s="495">
        <f t="shared" si="33"/>
        <v>0</v>
      </c>
      <c r="O16" s="495">
        <f t="shared" si="34"/>
        <v>0</v>
      </c>
      <c r="P16" s="497" t="str">
        <f t="shared" si="35"/>
        <v>-</v>
      </c>
      <c r="S16" s="586"/>
      <c r="T16" s="668" t="s">
        <v>869</v>
      </c>
      <c r="U16" s="669"/>
      <c r="V16" s="490">
        <f>SUM(V15)</f>
        <v>0</v>
      </c>
      <c r="W16" s="490">
        <f>SUM(W15)</f>
        <v>0</v>
      </c>
      <c r="X16" s="496">
        <f t="shared" si="36"/>
        <v>0</v>
      </c>
      <c r="Y16" s="497" t="str">
        <f t="shared" si="37"/>
        <v>-</v>
      </c>
      <c r="Z16" s="493">
        <f t="shared" si="2"/>
        <v>0</v>
      </c>
      <c r="AA16" s="493">
        <f t="shared" si="3"/>
        <v>0</v>
      </c>
      <c r="AB16" s="498">
        <f t="shared" si="38"/>
        <v>0</v>
      </c>
      <c r="AC16" s="490">
        <f>SUM(AC15)</f>
        <v>0</v>
      </c>
      <c r="AD16" s="490">
        <f>SUM(AD15)</f>
        <v>0</v>
      </c>
      <c r="AE16" s="497" t="str">
        <f t="shared" si="14"/>
        <v>-</v>
      </c>
      <c r="AF16" s="495">
        <f t="shared" si="39"/>
        <v>0</v>
      </c>
      <c r="AG16" s="495">
        <f t="shared" si="40"/>
        <v>0</v>
      </c>
      <c r="AH16" s="497" t="str">
        <f t="shared" si="41"/>
        <v>-</v>
      </c>
    </row>
    <row r="17" spans="1:34" ht="15.5" customHeight="1" x14ac:dyDescent="0.3">
      <c r="A17" s="586"/>
      <c r="B17" s="584"/>
      <c r="C17" s="585"/>
      <c r="D17" s="490"/>
      <c r="E17" s="490"/>
      <c r="F17" s="496"/>
      <c r="G17" s="497"/>
      <c r="H17" s="493"/>
      <c r="I17" s="493"/>
      <c r="J17" s="498"/>
      <c r="K17" s="490"/>
      <c r="L17" s="490"/>
      <c r="M17" s="497"/>
      <c r="N17" s="495"/>
      <c r="O17" s="495"/>
      <c r="P17" s="497"/>
      <c r="S17" s="586"/>
      <c r="T17" s="584"/>
      <c r="U17" s="585"/>
      <c r="V17" s="490"/>
      <c r="W17" s="490"/>
      <c r="X17" s="496"/>
      <c r="Y17" s="497"/>
      <c r="Z17" s="493"/>
      <c r="AA17" s="493"/>
      <c r="AB17" s="498"/>
      <c r="AC17" s="490"/>
      <c r="AD17" s="490"/>
      <c r="AE17" s="497"/>
      <c r="AF17" s="495"/>
      <c r="AG17" s="495"/>
      <c r="AH17" s="497"/>
    </row>
    <row r="18" spans="1:34" ht="15.5" customHeight="1" x14ac:dyDescent="0.3">
      <c r="A18" s="666" t="s">
        <v>749</v>
      </c>
      <c r="B18" s="667"/>
      <c r="C18" s="667"/>
      <c r="D18" s="476">
        <f>SUM(D8,D10,D14,D16)</f>
        <v>1624</v>
      </c>
      <c r="E18" s="476">
        <f>SUM(E8,E10,E14,E16)</f>
        <v>20658</v>
      </c>
      <c r="F18" s="473">
        <f t="shared" si="4"/>
        <v>-19034</v>
      </c>
      <c r="G18" s="474">
        <f t="shared" si="5"/>
        <v>-0.92138638784006199</v>
      </c>
      <c r="H18" s="477">
        <f t="shared" ref="H18:H40" si="42">D18/D$40</f>
        <v>3.0892731457703208E-2</v>
      </c>
      <c r="I18" s="477">
        <f t="shared" ref="I18:I40" si="43">E18/E$40</f>
        <v>0.34087983894920959</v>
      </c>
      <c r="J18" s="475">
        <f t="shared" si="6"/>
        <v>-30.998710749150639</v>
      </c>
      <c r="K18" s="476">
        <f>SUM(K8,K10,K14,K16)</f>
        <v>142</v>
      </c>
      <c r="L18" s="476">
        <f>SUM(L8,L10,L14,L16)</f>
        <v>128</v>
      </c>
      <c r="M18" s="474">
        <f t="shared" si="7"/>
        <v>0.109375</v>
      </c>
      <c r="N18" s="478">
        <f t="shared" si="8"/>
        <v>8.7438423645320201E-2</v>
      </c>
      <c r="O18" s="478">
        <f t="shared" si="9"/>
        <v>6.1961467712266438E-3</v>
      </c>
      <c r="P18" s="474">
        <f t="shared" si="10"/>
        <v>13.111741841133005</v>
      </c>
      <c r="S18" s="666" t="s">
        <v>749</v>
      </c>
      <c r="T18" s="667"/>
      <c r="U18" s="667"/>
      <c r="V18" s="476">
        <f>SUM(V8,V10,V14,V16)</f>
        <v>362</v>
      </c>
      <c r="W18" s="476">
        <f>SUM(W8,W10,W14,W16)</f>
        <v>1052</v>
      </c>
      <c r="X18" s="473">
        <f t="shared" si="11"/>
        <v>-690</v>
      </c>
      <c r="Y18" s="474">
        <f t="shared" si="12"/>
        <v>-0.655893536121673</v>
      </c>
      <c r="Z18" s="477">
        <f t="shared" ref="Z18:Z40" si="44">V18/V$40</f>
        <v>6.6312511448983327E-2</v>
      </c>
      <c r="AA18" s="477">
        <f t="shared" ref="AA18:AA40" si="45">W18/W$40</f>
        <v>0.17116823950536936</v>
      </c>
      <c r="AB18" s="475">
        <f t="shared" si="13"/>
        <v>-10.485572805638602</v>
      </c>
      <c r="AC18" s="476">
        <f>SUM(AC8,AC10,AC14,AC16)</f>
        <v>23</v>
      </c>
      <c r="AD18" s="476">
        <f>SUM(AD8,AD10,AD14,AD16)</f>
        <v>0</v>
      </c>
      <c r="AE18" s="474" t="str">
        <f t="shared" si="14"/>
        <v>-</v>
      </c>
      <c r="AF18" s="478">
        <f t="shared" si="15"/>
        <v>6.3535911602209949E-2</v>
      </c>
      <c r="AG18" s="478">
        <f t="shared" si="16"/>
        <v>0</v>
      </c>
      <c r="AH18" s="474" t="str">
        <f t="shared" si="17"/>
        <v>-</v>
      </c>
    </row>
    <row r="19" spans="1:34" ht="15.5" customHeight="1" x14ac:dyDescent="0.3">
      <c r="A19" s="662" t="s">
        <v>709</v>
      </c>
      <c r="B19" s="479" t="s">
        <v>456</v>
      </c>
      <c r="C19" s="480" t="s">
        <v>541</v>
      </c>
      <c r="D19" s="484">
        <f>SUMIFS(dtc_channel源!$F:$F,dtc_channel源!$A:$A,"&gt;="&amp;$B$1,dtc_channel源!$A:$A,"&lt;="&amp;$C$1,dtc_channel源!$E:$E,$C19)</f>
        <v>11994</v>
      </c>
      <c r="E19" s="484">
        <f>SUMIFS(dtc_channel源!$I:$I,dtc_channel源!$A:$A,"&gt;="&amp;$B$1,dtc_channel源!$A:$A,"&lt;="&amp;$C$1,dtc_channel源!$E:$E,$C19)</f>
        <v>11922</v>
      </c>
      <c r="F19" s="485">
        <f t="shared" si="4"/>
        <v>72</v>
      </c>
      <c r="G19" s="486">
        <f t="shared" si="5"/>
        <v>6.0392551585304322E-3</v>
      </c>
      <c r="H19" s="487">
        <f t="shared" si="42"/>
        <v>0.22815727900473662</v>
      </c>
      <c r="I19" s="487">
        <f t="shared" si="43"/>
        <v>0.19672618065410383</v>
      </c>
      <c r="J19" s="488">
        <f t="shared" si="6"/>
        <v>3.1431098350632789</v>
      </c>
      <c r="K19" s="484">
        <f>SUMIFS(dtc_channel源!$G:$G,dtc_channel源!$A:$A,"&gt;="&amp;$B$1,dtc_channel源!$A:$A,"&lt;="&amp;$C$1,dtc_channel源!$E:$E,$C19)</f>
        <v>39</v>
      </c>
      <c r="L19" s="484">
        <f>SUMIFS(dtc_channel源!$J:$J,dtc_channel源!$A:$A,"&gt;="&amp;$B$1,dtc_channel源!$A:$A,"&lt;="&amp;$C$1,dtc_channel源!$E:$E,$C19)</f>
        <v>57</v>
      </c>
      <c r="M19" s="486">
        <f t="shared" si="7"/>
        <v>-0.31578947368421051</v>
      </c>
      <c r="N19" s="489">
        <f t="shared" si="8"/>
        <v>3.2516258129064533E-3</v>
      </c>
      <c r="O19" s="489">
        <f t="shared" si="9"/>
        <v>4.7810770005032709E-3</v>
      </c>
      <c r="P19" s="486">
        <f t="shared" si="10"/>
        <v>-0.31989679050051334</v>
      </c>
      <c r="S19" s="662" t="s">
        <v>709</v>
      </c>
      <c r="T19" s="479" t="s">
        <v>456</v>
      </c>
      <c r="U19" s="480" t="s">
        <v>541</v>
      </c>
      <c r="V19" s="484">
        <f>SUMIFS(dtc_channel源!$F:$F,dtc_channel源!$A:$A,"&gt;="&amp;$T$1,dtc_channel源!$A:$A,"&lt;="&amp;$U$1,dtc_channel源!$E:$E,$C19)</f>
        <v>1763</v>
      </c>
      <c r="W19" s="484">
        <f>SUMIFS(dtc_channel源!$I:$I,dtc_channel源!$A:$A,"&gt;="&amp;$T$1,dtc_channel源!$A:$A,"&lt;="&amp;$U$1,dtc_channel源!$E:$E,$C19)</f>
        <v>1694</v>
      </c>
      <c r="X19" s="485">
        <f t="shared" si="11"/>
        <v>69</v>
      </c>
      <c r="Y19" s="486">
        <f t="shared" si="12"/>
        <v>4.0731995277449862E-2</v>
      </c>
      <c r="Z19" s="487">
        <f t="shared" si="44"/>
        <v>0.32295292178054591</v>
      </c>
      <c r="AA19" s="487">
        <f t="shared" si="45"/>
        <v>0.27562642369020501</v>
      </c>
      <c r="AB19" s="488">
        <f t="shared" si="13"/>
        <v>4.7326498090340898</v>
      </c>
      <c r="AC19" s="484">
        <f>SUMIFS(dtc_channel源!$G:$G,dtc_channel源!$A:$A,"&gt;="&amp;$T$1,dtc_channel源!$A:$A,"&lt;="&amp;$U$1,dtc_channel源!$E:$E,$C19)</f>
        <v>7</v>
      </c>
      <c r="AD19" s="484">
        <f>SUMIFS(dtc_channel源!$J:$J,dtc_channel源!$A:$A,"&gt;="&amp;$T$1,dtc_channel源!$A:$A,"&lt;="&amp;$U$1,dtc_channel源!$E:$E,$C19)</f>
        <v>6</v>
      </c>
      <c r="AE19" s="486">
        <f t="shared" si="14"/>
        <v>0.16666666666666674</v>
      </c>
      <c r="AF19" s="489">
        <f t="shared" si="15"/>
        <v>3.9705048213272828E-3</v>
      </c>
      <c r="AG19" s="489">
        <f t="shared" si="16"/>
        <v>3.5419126328217238E-3</v>
      </c>
      <c r="AH19" s="486">
        <f t="shared" si="17"/>
        <v>0.12100586122140289</v>
      </c>
    </row>
    <row r="20" spans="1:34" ht="15.5" customHeight="1" x14ac:dyDescent="0.3">
      <c r="A20" s="663"/>
      <c r="B20" s="668" t="s">
        <v>769</v>
      </c>
      <c r="C20" s="669"/>
      <c r="D20" s="490">
        <f>SUM(D19)</f>
        <v>11994</v>
      </c>
      <c r="E20" s="490">
        <f>SUM(E19)</f>
        <v>11922</v>
      </c>
      <c r="F20" s="491">
        <f t="shared" si="4"/>
        <v>72</v>
      </c>
      <c r="G20" s="492">
        <f t="shared" si="5"/>
        <v>6.0392551585304322E-3</v>
      </c>
      <c r="H20" s="493">
        <f t="shared" si="42"/>
        <v>0.22815727900473662</v>
      </c>
      <c r="I20" s="493">
        <f t="shared" si="43"/>
        <v>0.19672618065410383</v>
      </c>
      <c r="J20" s="494">
        <f t="shared" si="6"/>
        <v>3.1431098350632789</v>
      </c>
      <c r="K20" s="490">
        <f>SUM(K19)</f>
        <v>39</v>
      </c>
      <c r="L20" s="490">
        <f>SUM(L19)</f>
        <v>57</v>
      </c>
      <c r="M20" s="492">
        <f t="shared" si="7"/>
        <v>-0.31578947368421051</v>
      </c>
      <c r="N20" s="495">
        <f t="shared" si="8"/>
        <v>3.2516258129064533E-3</v>
      </c>
      <c r="O20" s="495">
        <f t="shared" si="9"/>
        <v>4.7810770005032709E-3</v>
      </c>
      <c r="P20" s="492">
        <f t="shared" si="10"/>
        <v>-0.31989679050051334</v>
      </c>
      <c r="S20" s="663"/>
      <c r="T20" s="668" t="s">
        <v>769</v>
      </c>
      <c r="U20" s="669"/>
      <c r="V20" s="490">
        <f>SUM(V19)</f>
        <v>1763</v>
      </c>
      <c r="W20" s="490">
        <f>SUM(W19)</f>
        <v>1694</v>
      </c>
      <c r="X20" s="491">
        <f t="shared" si="11"/>
        <v>69</v>
      </c>
      <c r="Y20" s="492">
        <f t="shared" si="12"/>
        <v>4.0731995277449862E-2</v>
      </c>
      <c r="Z20" s="493">
        <f t="shared" si="44"/>
        <v>0.32295292178054591</v>
      </c>
      <c r="AA20" s="493">
        <f t="shared" si="45"/>
        <v>0.27562642369020501</v>
      </c>
      <c r="AB20" s="494">
        <f t="shared" si="13"/>
        <v>4.7326498090340898</v>
      </c>
      <c r="AC20" s="490">
        <f>SUM(AC19)</f>
        <v>7</v>
      </c>
      <c r="AD20" s="490">
        <f>SUM(AD19)</f>
        <v>6</v>
      </c>
      <c r="AE20" s="492">
        <f t="shared" si="14"/>
        <v>0.16666666666666674</v>
      </c>
      <c r="AF20" s="495">
        <f t="shared" si="15"/>
        <v>3.9705048213272828E-3</v>
      </c>
      <c r="AG20" s="495">
        <f t="shared" si="16"/>
        <v>3.5419126328217238E-3</v>
      </c>
      <c r="AH20" s="492">
        <f t="shared" si="17"/>
        <v>0.12100586122140289</v>
      </c>
    </row>
    <row r="21" spans="1:34" ht="15.5" customHeight="1" x14ac:dyDescent="0.3">
      <c r="A21" s="663"/>
      <c r="B21" s="479" t="s">
        <v>706</v>
      </c>
      <c r="C21" s="480" t="s">
        <v>540</v>
      </c>
      <c r="D21" s="484">
        <f>SUMIFS(dtc_channel源!$F:$F,dtc_channel源!$A:$A,"&gt;="&amp;$B$1,dtc_channel源!$A:$A,"&lt;="&amp;$C$1,dtc_channel源!$E:$E,$C21)</f>
        <v>10278</v>
      </c>
      <c r="E21" s="484">
        <f>SUMIFS(dtc_channel源!$I:$I,dtc_channel源!$A:$A,"&gt;="&amp;$B$1,dtc_channel源!$A:$A,"&lt;="&amp;$C$1,dtc_channel源!$E:$E,$C21)</f>
        <v>9147</v>
      </c>
      <c r="F21" s="485">
        <f t="shared" si="4"/>
        <v>1131</v>
      </c>
      <c r="G21" s="486">
        <f t="shared" si="5"/>
        <v>0.12364709740898649</v>
      </c>
      <c r="H21" s="487">
        <f t="shared" si="42"/>
        <v>0.19551446670090739</v>
      </c>
      <c r="I21" s="487">
        <f t="shared" si="43"/>
        <v>0.15093561268604996</v>
      </c>
      <c r="J21" s="488">
        <f t="shared" si="6"/>
        <v>4.4578854014857425</v>
      </c>
      <c r="K21" s="484">
        <f>SUMIFS(dtc_channel源!$G:$G,dtc_channel源!$A:$A,"&gt;="&amp;$B$1,dtc_channel源!$A:$A,"&lt;="&amp;$C$1,dtc_channel源!$E:$E,$C21)</f>
        <v>14</v>
      </c>
      <c r="L21" s="484">
        <f>SUMIFS(dtc_channel源!$J:$J,dtc_channel源!$A:$A,"&gt;="&amp;$B$1,dtc_channel源!$A:$A,"&lt;="&amp;$C$1,dtc_channel源!$E:$E,$C21)</f>
        <v>8</v>
      </c>
      <c r="M21" s="486">
        <f t="shared" si="7"/>
        <v>0.75</v>
      </c>
      <c r="N21" s="489">
        <f t="shared" si="8"/>
        <v>1.3621327106440942E-3</v>
      </c>
      <c r="O21" s="489">
        <f t="shared" si="9"/>
        <v>8.7460369520061219E-4</v>
      </c>
      <c r="P21" s="486">
        <f t="shared" si="10"/>
        <v>0.55742848803269118</v>
      </c>
      <c r="S21" s="663"/>
      <c r="T21" s="479" t="s">
        <v>706</v>
      </c>
      <c r="U21" s="480" t="s">
        <v>540</v>
      </c>
      <c r="V21" s="484">
        <f>SUMIFS(dtc_channel源!$F:$F,dtc_channel源!$A:$A,"&gt;="&amp;$T$1,dtc_channel源!$A:$A,"&lt;="&amp;$U$1,dtc_channel源!$E:$E,$C21)</f>
        <v>1347</v>
      </c>
      <c r="W21" s="484">
        <f>SUMIFS(dtc_channel源!$I:$I,dtc_channel源!$A:$A,"&gt;="&amp;$T$1,dtc_channel源!$A:$A,"&lt;="&amp;$U$1,dtc_channel源!$E:$E,$C21)</f>
        <v>1278</v>
      </c>
      <c r="X21" s="485">
        <f t="shared" si="11"/>
        <v>69</v>
      </c>
      <c r="Y21" s="486">
        <f t="shared" si="12"/>
        <v>5.39906103286385E-2</v>
      </c>
      <c r="Z21" s="487">
        <f t="shared" si="44"/>
        <v>0.24674848873420041</v>
      </c>
      <c r="AA21" s="487">
        <f t="shared" si="45"/>
        <v>0.20794012365766351</v>
      </c>
      <c r="AB21" s="488">
        <f t="shared" si="13"/>
        <v>3.8808365076536901</v>
      </c>
      <c r="AC21" s="484">
        <f>SUMIFS(dtc_channel源!$G:$G,dtc_channel源!$A:$A,"&gt;="&amp;$T$1,dtc_channel源!$A:$A,"&lt;="&amp;$U$1,dtc_channel源!$E:$E,$C21)</f>
        <v>0</v>
      </c>
      <c r="AD21" s="484">
        <f>SUMIFS(dtc_channel源!$J:$J,dtc_channel源!$A:$A,"&gt;="&amp;$T$1,dtc_channel源!$A:$A,"&lt;="&amp;$U$1,dtc_channel源!$E:$E,$C21)</f>
        <v>0</v>
      </c>
      <c r="AE21" s="486" t="str">
        <f t="shared" si="14"/>
        <v>-</v>
      </c>
      <c r="AF21" s="489">
        <f t="shared" si="15"/>
        <v>0</v>
      </c>
      <c r="AG21" s="489">
        <f t="shared" si="16"/>
        <v>0</v>
      </c>
      <c r="AH21" s="486" t="str">
        <f t="shared" si="17"/>
        <v>-</v>
      </c>
    </row>
    <row r="22" spans="1:34" ht="15.5" customHeight="1" x14ac:dyDescent="0.3">
      <c r="A22" s="663"/>
      <c r="B22" s="668" t="s">
        <v>770</v>
      </c>
      <c r="C22" s="669"/>
      <c r="D22" s="490">
        <f>SUM(D21)</f>
        <v>10278</v>
      </c>
      <c r="E22" s="490">
        <f>SUM(E21)</f>
        <v>9147</v>
      </c>
      <c r="F22" s="491">
        <f t="shared" si="4"/>
        <v>1131</v>
      </c>
      <c r="G22" s="492">
        <f t="shared" si="5"/>
        <v>0.12364709740898649</v>
      </c>
      <c r="H22" s="493">
        <f t="shared" si="42"/>
        <v>0.19551446670090739</v>
      </c>
      <c r="I22" s="493">
        <f t="shared" si="43"/>
        <v>0.15093561268604996</v>
      </c>
      <c r="J22" s="494">
        <f t="shared" si="6"/>
        <v>4.4578854014857425</v>
      </c>
      <c r="K22" s="490">
        <f>SUM(K21)</f>
        <v>14</v>
      </c>
      <c r="L22" s="490">
        <f>SUM(L21)</f>
        <v>8</v>
      </c>
      <c r="M22" s="492">
        <f t="shared" si="7"/>
        <v>0.75</v>
      </c>
      <c r="N22" s="495">
        <f t="shared" si="8"/>
        <v>1.3621327106440942E-3</v>
      </c>
      <c r="O22" s="495">
        <f t="shared" si="9"/>
        <v>8.7460369520061219E-4</v>
      </c>
      <c r="P22" s="492">
        <f t="shared" si="10"/>
        <v>0.55742848803269118</v>
      </c>
      <c r="S22" s="663"/>
      <c r="T22" s="668" t="s">
        <v>770</v>
      </c>
      <c r="U22" s="669"/>
      <c r="V22" s="490">
        <f>SUM(V21)</f>
        <v>1347</v>
      </c>
      <c r="W22" s="490">
        <f>SUM(W21)</f>
        <v>1278</v>
      </c>
      <c r="X22" s="491">
        <f t="shared" si="11"/>
        <v>69</v>
      </c>
      <c r="Y22" s="492">
        <f t="shared" si="12"/>
        <v>5.39906103286385E-2</v>
      </c>
      <c r="Z22" s="493">
        <f t="shared" si="44"/>
        <v>0.24674848873420041</v>
      </c>
      <c r="AA22" s="493">
        <f t="shared" si="45"/>
        <v>0.20794012365766351</v>
      </c>
      <c r="AB22" s="494">
        <f t="shared" si="13"/>
        <v>3.8808365076536901</v>
      </c>
      <c r="AC22" s="490">
        <f>SUM(AC21)</f>
        <v>0</v>
      </c>
      <c r="AD22" s="490">
        <f>SUM(AD21)</f>
        <v>0</v>
      </c>
      <c r="AE22" s="492" t="str">
        <f t="shared" si="14"/>
        <v>-</v>
      </c>
      <c r="AF22" s="495">
        <f t="shared" si="15"/>
        <v>0</v>
      </c>
      <c r="AG22" s="495">
        <f t="shared" si="16"/>
        <v>0</v>
      </c>
      <c r="AH22" s="492" t="str">
        <f t="shared" si="17"/>
        <v>-</v>
      </c>
    </row>
    <row r="23" spans="1:34" ht="15.5" customHeight="1" x14ac:dyDescent="0.3">
      <c r="A23" s="663"/>
      <c r="B23" s="664" t="s">
        <v>705</v>
      </c>
      <c r="C23" s="480" t="s">
        <v>543</v>
      </c>
      <c r="D23" s="484">
        <f>SUMIFS(dtc_channel源!$F:$F,dtc_channel源!$A:$A,"&gt;="&amp;$B$1,dtc_channel源!$A:$A,"&lt;="&amp;$C$1,dtc_channel源!$E:$E,$C23)</f>
        <v>6468</v>
      </c>
      <c r="E23" s="484">
        <f>SUMIFS(dtc_channel源!$I:$I,dtc_channel源!$A:$A,"&gt;="&amp;$B$1,dtc_channel源!$A:$A,"&lt;="&amp;$C$1,dtc_channel源!$E:$E,$C23)</f>
        <v>9249</v>
      </c>
      <c r="F23" s="485">
        <f t="shared" si="4"/>
        <v>-2781</v>
      </c>
      <c r="G23" s="486">
        <f t="shared" si="5"/>
        <v>-0.30068115471942913</v>
      </c>
      <c r="H23" s="487">
        <f t="shared" si="42"/>
        <v>0.12303829252981795</v>
      </c>
      <c r="I23" s="487">
        <f t="shared" si="43"/>
        <v>0.15261872545460545</v>
      </c>
      <c r="J23" s="488">
        <f t="shared" si="6"/>
        <v>-2.9580432924787501</v>
      </c>
      <c r="K23" s="484">
        <f>SUMIFS(dtc_channel源!$G:$G,dtc_channel源!$A:$A,"&gt;="&amp;$B$1,dtc_channel源!$A:$A,"&lt;="&amp;$C$1,dtc_channel源!$E:$E,$C23)</f>
        <v>9</v>
      </c>
      <c r="L23" s="484">
        <f>SUMIFS(dtc_channel源!$J:$J,dtc_channel源!$A:$A,"&gt;="&amp;$B$1,dtc_channel源!$A:$A,"&lt;="&amp;$C$1,dtc_channel源!$E:$E,$C23)</f>
        <v>11</v>
      </c>
      <c r="M23" s="486">
        <f t="shared" si="7"/>
        <v>-0.18181818181818177</v>
      </c>
      <c r="N23" s="489">
        <f t="shared" si="8"/>
        <v>1.3914656771799629E-3</v>
      </c>
      <c r="O23" s="489">
        <f t="shared" si="9"/>
        <v>1.1893177640826035E-3</v>
      </c>
      <c r="P23" s="486">
        <f t="shared" si="10"/>
        <v>0.16996964074886156</v>
      </c>
      <c r="S23" s="663"/>
      <c r="T23" s="664" t="s">
        <v>705</v>
      </c>
      <c r="U23" s="480" t="s">
        <v>543</v>
      </c>
      <c r="V23" s="484">
        <f>SUMIFS(dtc_channel源!$F:$F,dtc_channel源!$A:$A,"&gt;="&amp;$T$1,dtc_channel源!$A:$A,"&lt;="&amp;$U$1,dtc_channel源!$E:$E,$C23)</f>
        <v>819</v>
      </c>
      <c r="W23" s="484">
        <f>SUMIFS(dtc_channel源!$I:$I,dtc_channel源!$A:$A,"&gt;="&amp;$T$1,dtc_channel源!$A:$A,"&lt;="&amp;$U$1,dtc_channel源!$E:$E,$C23)</f>
        <v>989</v>
      </c>
      <c r="X23" s="485">
        <f t="shared" si="11"/>
        <v>-170</v>
      </c>
      <c r="Y23" s="486">
        <f t="shared" si="12"/>
        <v>-0.17189079878665314</v>
      </c>
      <c r="Z23" s="487">
        <f t="shared" si="44"/>
        <v>0.15002747755999268</v>
      </c>
      <c r="AA23" s="487">
        <f t="shared" si="45"/>
        <v>0.16091767002928734</v>
      </c>
      <c r="AB23" s="488">
        <f t="shared" si="13"/>
        <v>-1.0890192469294653</v>
      </c>
      <c r="AC23" s="484">
        <f>SUMIFS(dtc_channel源!$G:$G,dtc_channel源!$A:$A,"&gt;="&amp;$T$1,dtc_channel源!$A:$A,"&lt;="&amp;$U$1,dtc_channel源!$E:$E,$C23)</f>
        <v>0</v>
      </c>
      <c r="AD23" s="484">
        <f>SUMIFS(dtc_channel源!$J:$J,dtc_channel源!$A:$A,"&gt;="&amp;$T$1,dtc_channel源!$A:$A,"&lt;="&amp;$U$1,dtc_channel源!$E:$E,$C23)</f>
        <v>2</v>
      </c>
      <c r="AE23" s="486">
        <f t="shared" si="14"/>
        <v>-1</v>
      </c>
      <c r="AF23" s="489">
        <f t="shared" si="15"/>
        <v>0</v>
      </c>
      <c r="AG23" s="489">
        <f t="shared" si="16"/>
        <v>2.0222446916076846E-3</v>
      </c>
      <c r="AH23" s="486">
        <f t="shared" si="17"/>
        <v>-1</v>
      </c>
    </row>
    <row r="24" spans="1:34" ht="15.5" customHeight="1" x14ac:dyDescent="0.3">
      <c r="A24" s="663"/>
      <c r="B24" s="665"/>
      <c r="C24" s="480" t="s">
        <v>549</v>
      </c>
      <c r="D24" s="484">
        <f>SUMIFS(dtc_channel源!$F:$F,dtc_channel源!$A:$A,"&gt;="&amp;$B$1,dtc_channel源!$A:$A,"&lt;="&amp;$C$1,dtc_channel源!$E:$E,$C24)</f>
        <v>99</v>
      </c>
      <c r="E24" s="484">
        <f>SUMIFS(dtc_channel源!$I:$I,dtc_channel源!$A:$A,"&gt;="&amp;$B$1,dtc_channel源!$A:$A,"&lt;="&amp;$C$1,dtc_channel源!$E:$E,$C24)</f>
        <v>146</v>
      </c>
      <c r="F24" s="485">
        <f t="shared" si="4"/>
        <v>-47</v>
      </c>
      <c r="G24" s="486">
        <f t="shared" si="5"/>
        <v>-0.32191780821917804</v>
      </c>
      <c r="H24" s="487">
        <f t="shared" si="42"/>
        <v>1.8832391713747645E-3</v>
      </c>
      <c r="I24" s="487">
        <f t="shared" si="43"/>
        <v>2.4091614138147255E-3</v>
      </c>
      <c r="J24" s="488">
        <f t="shared" si="6"/>
        <v>-5.2592224243996094E-2</v>
      </c>
      <c r="K24" s="484">
        <f>SUMIFS(dtc_channel源!$G:$G,dtc_channel源!$A:$A,"&gt;="&amp;$B$1,dtc_channel源!$A:$A,"&lt;="&amp;$C$1,dtc_channel源!$E:$E,$C24)</f>
        <v>0</v>
      </c>
      <c r="L24" s="484">
        <f>SUMIFS(dtc_channel源!$J:$J,dtc_channel源!$A:$A,"&gt;="&amp;$B$1,dtc_channel源!$A:$A,"&lt;="&amp;$C$1,dtc_channel源!$E:$E,$C24)</f>
        <v>0</v>
      </c>
      <c r="M24" s="486" t="str">
        <f t="shared" si="7"/>
        <v>-</v>
      </c>
      <c r="N24" s="489">
        <f t="shared" si="8"/>
        <v>0</v>
      </c>
      <c r="O24" s="489">
        <f t="shared" si="9"/>
        <v>0</v>
      </c>
      <c r="P24" s="486" t="str">
        <f t="shared" si="10"/>
        <v>-</v>
      </c>
      <c r="S24" s="663"/>
      <c r="T24" s="665"/>
      <c r="U24" s="480" t="s">
        <v>549</v>
      </c>
      <c r="V24" s="484">
        <f>SUMIFS(dtc_channel源!$F:$F,dtc_channel源!$A:$A,"&gt;="&amp;$T$1,dtc_channel源!$A:$A,"&lt;="&amp;$U$1,dtc_channel源!$E:$E,$C24)</f>
        <v>9</v>
      </c>
      <c r="W24" s="484">
        <f>SUMIFS(dtc_channel源!$I:$I,dtc_channel源!$A:$A,"&gt;="&amp;$T$1,dtc_channel源!$A:$A,"&lt;="&amp;$U$1,dtc_channel源!$E:$E,$C24)</f>
        <v>15</v>
      </c>
      <c r="X24" s="485">
        <f t="shared" si="11"/>
        <v>-6</v>
      </c>
      <c r="Y24" s="486">
        <f t="shared" si="12"/>
        <v>-0.4</v>
      </c>
      <c r="Z24" s="487">
        <f t="shared" si="44"/>
        <v>1.648653599560359E-3</v>
      </c>
      <c r="AA24" s="487">
        <f t="shared" si="45"/>
        <v>2.4406117800195247E-3</v>
      </c>
      <c r="AB24" s="488">
        <f t="shared" si="13"/>
        <v>-7.9195818045916577E-2</v>
      </c>
      <c r="AC24" s="484">
        <f>SUMIFS(dtc_channel源!$G:$G,dtc_channel源!$A:$A,"&gt;="&amp;$T$1,dtc_channel源!$A:$A,"&lt;="&amp;$U$1,dtc_channel源!$E:$E,$C24)</f>
        <v>0</v>
      </c>
      <c r="AD24" s="484">
        <f>SUMIFS(dtc_channel源!$J:$J,dtc_channel源!$A:$A,"&gt;="&amp;$T$1,dtc_channel源!$A:$A,"&lt;="&amp;$U$1,dtc_channel源!$E:$E,$C24)</f>
        <v>0</v>
      </c>
      <c r="AE24" s="486" t="str">
        <f t="shared" si="14"/>
        <v>-</v>
      </c>
      <c r="AF24" s="489">
        <f t="shared" si="15"/>
        <v>0</v>
      </c>
      <c r="AG24" s="489">
        <f t="shared" si="16"/>
        <v>0</v>
      </c>
      <c r="AH24" s="486" t="str">
        <f t="shared" si="17"/>
        <v>-</v>
      </c>
    </row>
    <row r="25" spans="1:34" ht="15.5" customHeight="1" x14ac:dyDescent="0.3">
      <c r="A25" s="663"/>
      <c r="B25" s="668" t="s">
        <v>771</v>
      </c>
      <c r="C25" s="669"/>
      <c r="D25" s="490">
        <f>SUM(D23:D24)</f>
        <v>6567</v>
      </c>
      <c r="E25" s="490">
        <f>SUM(E23:E24)</f>
        <v>9395</v>
      </c>
      <c r="F25" s="491">
        <f t="shared" si="4"/>
        <v>-2828</v>
      </c>
      <c r="G25" s="492">
        <f t="shared" si="5"/>
        <v>-0.30101117615753059</v>
      </c>
      <c r="H25" s="493">
        <f t="shared" si="42"/>
        <v>0.12492153170119272</v>
      </c>
      <c r="I25" s="493">
        <f t="shared" si="43"/>
        <v>0.15502788686842017</v>
      </c>
      <c r="J25" s="494">
        <f t="shared" si="6"/>
        <v>-3.0106355167227457</v>
      </c>
      <c r="K25" s="490">
        <f>SUM(K23:K24)</f>
        <v>9</v>
      </c>
      <c r="L25" s="490">
        <f>SUM(L23:L24)</f>
        <v>11</v>
      </c>
      <c r="M25" s="492">
        <f t="shared" si="7"/>
        <v>-0.18181818181818177</v>
      </c>
      <c r="N25" s="495">
        <f t="shared" si="8"/>
        <v>1.3704888076747374E-3</v>
      </c>
      <c r="O25" s="495">
        <f t="shared" si="9"/>
        <v>1.1708355508249068E-3</v>
      </c>
      <c r="P25" s="492">
        <f t="shared" si="10"/>
        <v>0.17052203164583268</v>
      </c>
      <c r="S25" s="663"/>
      <c r="T25" s="668" t="s">
        <v>771</v>
      </c>
      <c r="U25" s="669"/>
      <c r="V25" s="490">
        <f>SUM(V23:V24)</f>
        <v>828</v>
      </c>
      <c r="W25" s="490">
        <f>SUM(W23:W24)</f>
        <v>1004</v>
      </c>
      <c r="X25" s="491">
        <f t="shared" si="11"/>
        <v>-176</v>
      </c>
      <c r="Y25" s="492">
        <f t="shared" si="12"/>
        <v>-0.17529880478087645</v>
      </c>
      <c r="Z25" s="493">
        <f t="shared" si="44"/>
        <v>0.15167613115955303</v>
      </c>
      <c r="AA25" s="493">
        <f t="shared" si="45"/>
        <v>0.16335828180930687</v>
      </c>
      <c r="AB25" s="494">
        <f t="shared" si="13"/>
        <v>-1.1682150649753837</v>
      </c>
      <c r="AC25" s="490">
        <f>SUM(AC23:AC24)</f>
        <v>0</v>
      </c>
      <c r="AD25" s="490">
        <f>SUM(AD23:AD24)</f>
        <v>2</v>
      </c>
      <c r="AE25" s="492">
        <f t="shared" si="14"/>
        <v>-1</v>
      </c>
      <c r="AF25" s="495">
        <f t="shared" si="15"/>
        <v>0</v>
      </c>
      <c r="AG25" s="495">
        <f t="shared" si="16"/>
        <v>1.9920318725099601E-3</v>
      </c>
      <c r="AH25" s="492">
        <f t="shared" si="17"/>
        <v>-1</v>
      </c>
    </row>
    <row r="26" spans="1:34" ht="15.5" customHeight="1" x14ac:dyDescent="0.3">
      <c r="A26" s="663"/>
      <c r="B26" s="664" t="s">
        <v>92</v>
      </c>
      <c r="C26" s="480" t="s">
        <v>550</v>
      </c>
      <c r="D26" s="484">
        <f>SUMIFS(dtc_channel源!$F:$F,dtc_channel源!$A:$A,"&gt;="&amp;$B$1,dtc_channel源!$A:$A,"&lt;="&amp;$C$1,dtc_channel源!$E:$E,$C26)</f>
        <v>1085</v>
      </c>
      <c r="E26" s="484">
        <f>SUMIFS(dtc_channel源!$I:$I,dtc_channel源!$A:$A,"&gt;="&amp;$B$1,dtc_channel源!$A:$A,"&lt;="&amp;$C$1,dtc_channel源!$E:$E,$C26)</f>
        <v>246</v>
      </c>
      <c r="F26" s="485">
        <f t="shared" si="4"/>
        <v>839</v>
      </c>
      <c r="G26" s="486">
        <f t="shared" si="5"/>
        <v>3.4105691056910565</v>
      </c>
      <c r="H26" s="487">
        <f t="shared" si="42"/>
        <v>2.0639540413551712E-2</v>
      </c>
      <c r="I26" s="487">
        <f t="shared" si="43"/>
        <v>4.0592719712220721E-3</v>
      </c>
      <c r="J26" s="488">
        <f t="shared" si="6"/>
        <v>1.658026844232964</v>
      </c>
      <c r="K26" s="484">
        <f>SUMIFS(dtc_channel源!$G:$G,dtc_channel源!$A:$A,"&gt;="&amp;$B$1,dtc_channel源!$A:$A,"&lt;="&amp;$C$1,dtc_channel源!$E:$E,$C26)</f>
        <v>5</v>
      </c>
      <c r="L26" s="484">
        <f>SUMIFS(dtc_channel源!$J:$J,dtc_channel源!$A:$A,"&gt;="&amp;$B$1,dtc_channel源!$A:$A,"&lt;="&amp;$C$1,dtc_channel源!$E:$E,$C26)</f>
        <v>0</v>
      </c>
      <c r="M26" s="486" t="str">
        <f t="shared" si="7"/>
        <v>-</v>
      </c>
      <c r="N26" s="489">
        <f t="shared" si="8"/>
        <v>4.608294930875576E-3</v>
      </c>
      <c r="O26" s="489">
        <f t="shared" si="9"/>
        <v>0</v>
      </c>
      <c r="P26" s="486" t="str">
        <f t="shared" si="10"/>
        <v>-</v>
      </c>
      <c r="S26" s="663"/>
      <c r="T26" s="664" t="s">
        <v>92</v>
      </c>
      <c r="U26" s="480" t="s">
        <v>550</v>
      </c>
      <c r="V26" s="484">
        <f>SUMIFS(dtc_channel源!$F:$F,dtc_channel源!$A:$A,"&gt;="&amp;$T$1,dtc_channel源!$A:$A,"&lt;="&amp;$U$1,dtc_channel源!$E:$E,$C26)</f>
        <v>146</v>
      </c>
      <c r="W26" s="484">
        <f>SUMIFS(dtc_channel源!$I:$I,dtc_channel源!$A:$A,"&gt;="&amp;$T$1,dtc_channel源!$A:$A,"&lt;="&amp;$U$1,dtc_channel源!$E:$E,$C26)</f>
        <v>65</v>
      </c>
      <c r="X26" s="485">
        <f t="shared" si="11"/>
        <v>81</v>
      </c>
      <c r="Y26" s="486">
        <f t="shared" si="12"/>
        <v>1.2461538461538462</v>
      </c>
      <c r="Z26" s="487">
        <f t="shared" si="44"/>
        <v>2.6744825059534714E-2</v>
      </c>
      <c r="AA26" s="487">
        <f t="shared" si="45"/>
        <v>1.0575984380084608E-2</v>
      </c>
      <c r="AB26" s="488">
        <f t="shared" si="13"/>
        <v>1.6168840679450105</v>
      </c>
      <c r="AC26" s="484">
        <f>SUMIFS(dtc_channel源!$G:$G,dtc_channel源!$A:$A,"&gt;="&amp;$T$1,dtc_channel源!$A:$A,"&lt;="&amp;$U$1,dtc_channel源!$E:$E,$C26)</f>
        <v>0</v>
      </c>
      <c r="AD26" s="484">
        <f>SUMIFS(dtc_channel源!$J:$J,dtc_channel源!$A:$A,"&gt;="&amp;$T$1,dtc_channel源!$A:$A,"&lt;="&amp;$U$1,dtc_channel源!$E:$E,$C26)</f>
        <v>0</v>
      </c>
      <c r="AE26" s="486" t="str">
        <f t="shared" si="14"/>
        <v>-</v>
      </c>
      <c r="AF26" s="489">
        <f t="shared" si="15"/>
        <v>0</v>
      </c>
      <c r="AG26" s="489">
        <f t="shared" si="16"/>
        <v>0</v>
      </c>
      <c r="AH26" s="486" t="str">
        <f t="shared" si="17"/>
        <v>-</v>
      </c>
    </row>
    <row r="27" spans="1:34" ht="15.5" customHeight="1" x14ac:dyDescent="0.3">
      <c r="A27" s="663"/>
      <c r="B27" s="665"/>
      <c r="C27" s="480" t="s">
        <v>545</v>
      </c>
      <c r="D27" s="484">
        <f>SUMIFS(dtc_channel源!$F:$F,dtc_channel源!$A:$A,"&gt;="&amp;$B$1,dtc_channel源!$A:$A,"&lt;="&amp;$C$1,dtc_channel源!$E:$E,$C27)</f>
        <v>2966</v>
      </c>
      <c r="E27" s="484">
        <f>SUMIFS(dtc_channel源!$I:$I,dtc_channel源!$A:$A,"&gt;="&amp;$B$1,dtc_channel源!$A:$A,"&lt;="&amp;$C$1,dtc_channel源!$E:$E,$C27)</f>
        <v>3744</v>
      </c>
      <c r="F27" s="485">
        <f t="shared" si="4"/>
        <v>-778</v>
      </c>
      <c r="G27" s="486">
        <f t="shared" si="5"/>
        <v>-0.20779914529914534</v>
      </c>
      <c r="H27" s="487">
        <f t="shared" si="42"/>
        <v>5.6421084669672238E-2</v>
      </c>
      <c r="I27" s="487">
        <f t="shared" si="43"/>
        <v>6.1780139269331048E-2</v>
      </c>
      <c r="J27" s="488">
        <f t="shared" si="6"/>
        <v>-0.53590545996588101</v>
      </c>
      <c r="K27" s="484">
        <f>SUMIFS(dtc_channel源!$G:$G,dtc_channel源!$A:$A,"&gt;="&amp;$B$1,dtc_channel源!$A:$A,"&lt;="&amp;$C$1,dtc_channel源!$E:$E,$C27)</f>
        <v>8</v>
      </c>
      <c r="L27" s="484">
        <f>SUMIFS(dtc_channel源!$J:$J,dtc_channel源!$A:$A,"&gt;="&amp;$B$1,dtc_channel源!$A:$A,"&lt;="&amp;$C$1,dtc_channel源!$E:$E,$C27)</f>
        <v>2</v>
      </c>
      <c r="M27" s="486">
        <f t="shared" si="7"/>
        <v>3</v>
      </c>
      <c r="N27" s="489">
        <f t="shared" si="8"/>
        <v>2.6972353337828725E-3</v>
      </c>
      <c r="O27" s="489">
        <f t="shared" si="9"/>
        <v>5.3418803418803424E-4</v>
      </c>
      <c r="P27" s="486">
        <f t="shared" si="10"/>
        <v>4.0492245448415369</v>
      </c>
      <c r="S27" s="663"/>
      <c r="T27" s="665"/>
      <c r="U27" s="480" t="s">
        <v>545</v>
      </c>
      <c r="V27" s="484">
        <f>SUMIFS(dtc_channel源!$F:$F,dtc_channel源!$A:$A,"&gt;="&amp;$T$1,dtc_channel源!$A:$A,"&lt;="&amp;$U$1,dtc_channel源!$E:$E,$C27)</f>
        <v>262</v>
      </c>
      <c r="W27" s="484">
        <f>SUMIFS(dtc_channel源!$I:$I,dtc_channel源!$A:$A,"&gt;="&amp;$T$1,dtc_channel源!$A:$A,"&lt;="&amp;$U$1,dtc_channel源!$E:$E,$C27)</f>
        <v>206</v>
      </c>
      <c r="X27" s="485">
        <f t="shared" si="11"/>
        <v>56</v>
      </c>
      <c r="Y27" s="486">
        <f t="shared" si="12"/>
        <v>0.27184466019417486</v>
      </c>
      <c r="Z27" s="487">
        <f t="shared" si="44"/>
        <v>4.7994138120534893E-2</v>
      </c>
      <c r="AA27" s="487">
        <f t="shared" si="45"/>
        <v>3.3517735112268139E-2</v>
      </c>
      <c r="AB27" s="488">
        <f t="shared" si="13"/>
        <v>1.4476403008266754</v>
      </c>
      <c r="AC27" s="484">
        <f>SUMIFS(dtc_channel源!$G:$G,dtc_channel源!$A:$A,"&gt;="&amp;$T$1,dtc_channel源!$A:$A,"&lt;="&amp;$U$1,dtc_channel源!$E:$E,$C27)</f>
        <v>3</v>
      </c>
      <c r="AD27" s="484">
        <f>SUMIFS(dtc_channel源!$J:$J,dtc_channel源!$A:$A,"&gt;="&amp;$T$1,dtc_channel源!$A:$A,"&lt;="&amp;$U$1,dtc_channel源!$E:$E,$C27)</f>
        <v>1</v>
      </c>
      <c r="AE27" s="486">
        <f t="shared" si="14"/>
        <v>2</v>
      </c>
      <c r="AF27" s="489">
        <f t="shared" si="15"/>
        <v>1.1450381679389313E-2</v>
      </c>
      <c r="AG27" s="489">
        <f t="shared" si="16"/>
        <v>4.8543689320388345E-3</v>
      </c>
      <c r="AH27" s="486">
        <f t="shared" si="17"/>
        <v>1.3587786259541987</v>
      </c>
    </row>
    <row r="28" spans="1:34" ht="15.5" customHeight="1" x14ac:dyDescent="0.3">
      <c r="A28" s="663"/>
      <c r="B28" s="665"/>
      <c r="C28" s="480" t="s">
        <v>767</v>
      </c>
      <c r="D28" s="484">
        <f>SUMIFS(dtc_channel源!$F:$F,dtc_channel源!$A:$A,"&gt;="&amp;$B$1,dtc_channel源!$A:$A,"&lt;="&amp;$C$1,dtc_channel源!$E:$E,$C28)</f>
        <v>1281</v>
      </c>
      <c r="E28" s="484">
        <f>SUMIFS(dtc_channel源!$I:$I,dtc_channel源!$A:$A,"&gt;="&amp;$B$1,dtc_channel源!$A:$A,"&lt;="&amp;$C$1,dtc_channel源!$E:$E,$C28)</f>
        <v>968</v>
      </c>
      <c r="F28" s="485">
        <f t="shared" si="4"/>
        <v>313</v>
      </c>
      <c r="G28" s="486">
        <f t="shared" si="5"/>
        <v>0.32334710743801653</v>
      </c>
      <c r="H28" s="487">
        <f t="shared" si="42"/>
        <v>2.4367973520515892E-2</v>
      </c>
      <c r="I28" s="487">
        <f t="shared" si="43"/>
        <v>1.5973070195703112E-2</v>
      </c>
      <c r="J28" s="488">
        <f t="shared" si="6"/>
        <v>0.83949033248127791</v>
      </c>
      <c r="K28" s="484">
        <f>SUMIFS(dtc_channel源!$G:$G,dtc_channel源!$A:$A,"&gt;="&amp;$B$1,dtc_channel源!$A:$A,"&lt;="&amp;$C$1,dtc_channel源!$E:$E,$C28)</f>
        <v>3</v>
      </c>
      <c r="L28" s="484">
        <f>SUMIFS(dtc_channel源!$J:$J,dtc_channel源!$A:$A,"&gt;="&amp;$B$1,dtc_channel源!$A:$A,"&lt;="&amp;$C$1,dtc_channel源!$E:$E,$C28)</f>
        <v>3</v>
      </c>
      <c r="M28" s="486">
        <f t="shared" si="7"/>
        <v>0</v>
      </c>
      <c r="N28" s="489">
        <f t="shared" si="8"/>
        <v>2.34192037470726E-3</v>
      </c>
      <c r="O28" s="489">
        <f t="shared" si="9"/>
        <v>3.0991735537190084E-3</v>
      </c>
      <c r="P28" s="486">
        <f t="shared" si="10"/>
        <v>-0.2443403590944575</v>
      </c>
      <c r="S28" s="663"/>
      <c r="T28" s="665"/>
      <c r="U28" s="480" t="s">
        <v>767</v>
      </c>
      <c r="V28" s="484">
        <f>SUMIFS(dtc_channel源!$F:$F,dtc_channel源!$A:$A,"&gt;="&amp;$T$1,dtc_channel源!$A:$A,"&lt;="&amp;$U$1,dtc_channel源!$E:$E,$C28)</f>
        <v>130</v>
      </c>
      <c r="W28" s="484">
        <f>SUMIFS(dtc_channel源!$I:$I,dtc_channel源!$A:$A,"&gt;="&amp;$T$1,dtc_channel源!$A:$A,"&lt;="&amp;$U$1,dtc_channel源!$E:$E,$C28)</f>
        <v>315</v>
      </c>
      <c r="X28" s="485">
        <f t="shared" si="11"/>
        <v>-185</v>
      </c>
      <c r="Y28" s="486">
        <f t="shared" si="12"/>
        <v>-0.58730158730158732</v>
      </c>
      <c r="Z28" s="487">
        <f t="shared" si="44"/>
        <v>2.3813885326982965E-2</v>
      </c>
      <c r="AA28" s="487">
        <f t="shared" si="45"/>
        <v>5.125284738041002E-2</v>
      </c>
      <c r="AB28" s="488">
        <f t="shared" si="13"/>
        <v>-2.7438962053427054</v>
      </c>
      <c r="AC28" s="484">
        <f>SUMIFS(dtc_channel源!$G:$G,dtc_channel源!$A:$A,"&gt;="&amp;$T$1,dtc_channel源!$A:$A,"&lt;="&amp;$U$1,dtc_channel源!$E:$E,$C28)</f>
        <v>1</v>
      </c>
      <c r="AD28" s="484">
        <f>SUMIFS(dtc_channel源!$J:$J,dtc_channel源!$A:$A,"&gt;="&amp;$T$1,dtc_channel源!$A:$A,"&lt;="&amp;$U$1,dtc_channel源!$E:$E,$C28)</f>
        <v>3</v>
      </c>
      <c r="AE28" s="486">
        <f t="shared" si="14"/>
        <v>-0.66666666666666674</v>
      </c>
      <c r="AF28" s="489">
        <f t="shared" si="15"/>
        <v>7.6923076923076927E-3</v>
      </c>
      <c r="AG28" s="489">
        <f t="shared" si="16"/>
        <v>9.5238095238095247E-3</v>
      </c>
      <c r="AH28" s="486">
        <f t="shared" si="17"/>
        <v>-0.19230769230769229</v>
      </c>
    </row>
    <row r="29" spans="1:34" ht="15.5" customHeight="1" x14ac:dyDescent="0.3">
      <c r="A29" s="663"/>
      <c r="B29" s="668" t="s">
        <v>772</v>
      </c>
      <c r="C29" s="669"/>
      <c r="D29" s="490">
        <f>SUM(D26:D28)</f>
        <v>5332</v>
      </c>
      <c r="E29" s="490">
        <f>SUM(E26:E28)</f>
        <v>4958</v>
      </c>
      <c r="F29" s="491">
        <f t="shared" si="4"/>
        <v>374</v>
      </c>
      <c r="G29" s="492">
        <f t="shared" si="5"/>
        <v>7.5433642597821704E-2</v>
      </c>
      <c r="H29" s="493">
        <f t="shared" si="42"/>
        <v>0.10142859860373984</v>
      </c>
      <c r="I29" s="493">
        <f t="shared" si="43"/>
        <v>8.1812481436256232E-2</v>
      </c>
      <c r="J29" s="494">
        <f t="shared" si="6"/>
        <v>1.9616117167483613</v>
      </c>
      <c r="K29" s="490">
        <f>SUM(K26:K28)</f>
        <v>16</v>
      </c>
      <c r="L29" s="490">
        <f>SUM(L26:L28)</f>
        <v>5</v>
      </c>
      <c r="M29" s="492">
        <f t="shared" si="7"/>
        <v>2.2000000000000002</v>
      </c>
      <c r="N29" s="495">
        <f t="shared" si="8"/>
        <v>3.0007501875468868E-3</v>
      </c>
      <c r="O29" s="495">
        <f t="shared" si="9"/>
        <v>1.0084711577248891E-3</v>
      </c>
      <c r="P29" s="492">
        <f t="shared" si="10"/>
        <v>1.9755438859714931</v>
      </c>
      <c r="S29" s="663"/>
      <c r="T29" s="668" t="s">
        <v>772</v>
      </c>
      <c r="U29" s="669"/>
      <c r="V29" s="490">
        <f>SUM(V26:V28)</f>
        <v>538</v>
      </c>
      <c r="W29" s="490">
        <f>SUM(W26:W28)</f>
        <v>586</v>
      </c>
      <c r="X29" s="491">
        <f t="shared" si="11"/>
        <v>-48</v>
      </c>
      <c r="Y29" s="492">
        <f t="shared" si="12"/>
        <v>-8.191126279863481E-2</v>
      </c>
      <c r="Z29" s="493">
        <f t="shared" si="44"/>
        <v>9.8552848507052579E-2</v>
      </c>
      <c r="AA29" s="493">
        <f t="shared" si="45"/>
        <v>9.5346566872762772E-2</v>
      </c>
      <c r="AB29" s="494">
        <f t="shared" si="13"/>
        <v>0.32062816342898065</v>
      </c>
      <c r="AC29" s="490">
        <f>SUM(AC26:AC28)</f>
        <v>4</v>
      </c>
      <c r="AD29" s="490">
        <f>SUM(AD26:AD28)</f>
        <v>4</v>
      </c>
      <c r="AE29" s="492">
        <f t="shared" si="14"/>
        <v>0</v>
      </c>
      <c r="AF29" s="495">
        <f t="shared" si="15"/>
        <v>7.4349442379182153E-3</v>
      </c>
      <c r="AG29" s="495">
        <f t="shared" si="16"/>
        <v>6.8259385665529011E-3</v>
      </c>
      <c r="AH29" s="492">
        <f t="shared" si="17"/>
        <v>8.9219330855018431E-2</v>
      </c>
    </row>
    <row r="30" spans="1:34" ht="15.5" customHeight="1" x14ac:dyDescent="0.3">
      <c r="A30" s="663"/>
      <c r="B30" s="664" t="s">
        <v>460</v>
      </c>
      <c r="C30" s="480" t="s">
        <v>547</v>
      </c>
      <c r="D30" s="484">
        <f>SUMIFS(dtc_channel源!$F:$F,dtc_channel源!$A:$A,"&gt;="&amp;$B$1,dtc_channel源!$A:$A,"&lt;="&amp;$C$1,dtc_channel源!$E:$E,$C30)</f>
        <v>807</v>
      </c>
      <c r="E30" s="484">
        <f>SUMIFS(dtc_channel源!$I:$I,dtc_channel源!$A:$A,"&gt;="&amp;$B$1,dtc_channel源!$A:$A,"&lt;="&amp;$C$1,dtc_channel源!$E:$E,$C30)</f>
        <v>981</v>
      </c>
      <c r="F30" s="485">
        <f t="shared" si="4"/>
        <v>-174</v>
      </c>
      <c r="G30" s="486">
        <f t="shared" si="5"/>
        <v>-0.17737003058103973</v>
      </c>
      <c r="H30" s="487">
        <f t="shared" si="42"/>
        <v>1.5351252639388233E-2</v>
      </c>
      <c r="I30" s="487">
        <f t="shared" si="43"/>
        <v>1.6187584568166068E-2</v>
      </c>
      <c r="J30" s="488">
        <f t="shared" si="6"/>
        <v>-8.3633192877783508E-2</v>
      </c>
      <c r="K30" s="484">
        <f>SUMIFS(dtc_channel源!$G:$G,dtc_channel源!$A:$A,"&gt;="&amp;$B$1,dtc_channel源!$A:$A,"&lt;="&amp;$C$1,dtc_channel源!$E:$E,$C30)</f>
        <v>2</v>
      </c>
      <c r="L30" s="484">
        <f>SUMIFS(dtc_channel源!$J:$J,dtc_channel源!$A:$A,"&gt;="&amp;$B$1,dtc_channel源!$A:$A,"&lt;="&amp;$C$1,dtc_channel源!$E:$E,$C30)</f>
        <v>0</v>
      </c>
      <c r="M30" s="486" t="str">
        <f t="shared" si="7"/>
        <v>-</v>
      </c>
      <c r="N30" s="489">
        <f t="shared" si="8"/>
        <v>2.4783147459727386E-3</v>
      </c>
      <c r="O30" s="489">
        <f t="shared" si="9"/>
        <v>0</v>
      </c>
      <c r="P30" s="486" t="str">
        <f t="shared" si="10"/>
        <v>-</v>
      </c>
      <c r="S30" s="663"/>
      <c r="T30" s="664" t="s">
        <v>460</v>
      </c>
      <c r="U30" s="480" t="s">
        <v>547</v>
      </c>
      <c r="V30" s="484">
        <f>SUMIFS(dtc_channel源!$F:$F,dtc_channel源!$A:$A,"&gt;="&amp;$T$1,dtc_channel源!$A:$A,"&lt;="&amp;$U$1,dtc_channel源!$E:$E,$C30)</f>
        <v>161</v>
      </c>
      <c r="W30" s="484">
        <f>SUMIFS(dtc_channel源!$I:$I,dtc_channel源!$A:$A,"&gt;="&amp;$T$1,dtc_channel源!$A:$A,"&lt;="&amp;$U$1,dtc_channel源!$E:$E,$C30)</f>
        <v>134</v>
      </c>
      <c r="X30" s="485">
        <f t="shared" si="11"/>
        <v>27</v>
      </c>
      <c r="Y30" s="486">
        <f t="shared" si="12"/>
        <v>0.20149253731343286</v>
      </c>
      <c r="Z30" s="487">
        <f t="shared" si="44"/>
        <v>2.9492581058801978E-2</v>
      </c>
      <c r="AA30" s="487">
        <f t="shared" si="45"/>
        <v>2.1802798568174422E-2</v>
      </c>
      <c r="AB30" s="488">
        <f t="shared" si="13"/>
        <v>0.76897824906275547</v>
      </c>
      <c r="AC30" s="484">
        <f>SUMIFS(dtc_channel源!$G:$G,dtc_channel源!$A:$A,"&gt;="&amp;$T$1,dtc_channel源!$A:$A,"&lt;="&amp;$U$1,dtc_channel源!$E:$E,$C30)</f>
        <v>0</v>
      </c>
      <c r="AD30" s="484">
        <f>SUMIFS(dtc_channel源!$J:$J,dtc_channel源!$A:$A,"&gt;="&amp;$T$1,dtc_channel源!$A:$A,"&lt;="&amp;$U$1,dtc_channel源!$E:$E,$C30)</f>
        <v>0</v>
      </c>
      <c r="AE30" s="486" t="str">
        <f t="shared" si="14"/>
        <v>-</v>
      </c>
      <c r="AF30" s="489">
        <f t="shared" si="15"/>
        <v>0</v>
      </c>
      <c r="AG30" s="489">
        <f t="shared" si="16"/>
        <v>0</v>
      </c>
      <c r="AH30" s="486" t="str">
        <f t="shared" si="17"/>
        <v>-</v>
      </c>
    </row>
    <row r="31" spans="1:34" ht="15.5" customHeight="1" x14ac:dyDescent="0.3">
      <c r="A31" s="663"/>
      <c r="B31" s="665"/>
      <c r="C31" s="480" t="s">
        <v>548</v>
      </c>
      <c r="D31" s="484">
        <f>SUMIFS(dtc_channel源!$F:$F,dtc_channel源!$A:$A,"&gt;="&amp;$B$1,dtc_channel源!$A:$A,"&lt;="&amp;$C$1,dtc_channel源!$E:$E,$C31)</f>
        <v>515</v>
      </c>
      <c r="E31" s="484">
        <f>SUMIFS(dtc_channel源!$I:$I,dtc_channel源!$A:$A,"&gt;="&amp;$B$1,dtc_channel源!$A:$A,"&lt;="&amp;$C$1,dtc_channel源!$E:$E,$C31)</f>
        <v>338</v>
      </c>
      <c r="F31" s="485">
        <f t="shared" si="4"/>
        <v>177</v>
      </c>
      <c r="G31" s="486">
        <f t="shared" si="5"/>
        <v>0.52366863905325434</v>
      </c>
      <c r="H31" s="487">
        <f t="shared" si="42"/>
        <v>9.7966482147273104E-3</v>
      </c>
      <c r="I31" s="487">
        <f t="shared" si="43"/>
        <v>5.5773736840368307E-3</v>
      </c>
      <c r="J31" s="488">
        <f t="shared" si="6"/>
        <v>0.421927453069048</v>
      </c>
      <c r="K31" s="484">
        <f>SUMIFS(dtc_channel源!$G:$G,dtc_channel源!$A:$A,"&gt;="&amp;$B$1,dtc_channel源!$A:$A,"&lt;="&amp;$C$1,dtc_channel源!$E:$E,$C31)</f>
        <v>0</v>
      </c>
      <c r="L31" s="484">
        <f>SUMIFS(dtc_channel源!$J:$J,dtc_channel源!$A:$A,"&gt;="&amp;$B$1,dtc_channel源!$A:$A,"&lt;="&amp;$C$1,dtc_channel源!$E:$E,$C31)</f>
        <v>0</v>
      </c>
      <c r="M31" s="486" t="str">
        <f t="shared" si="7"/>
        <v>-</v>
      </c>
      <c r="N31" s="489">
        <f t="shared" si="8"/>
        <v>0</v>
      </c>
      <c r="O31" s="489">
        <f t="shared" si="9"/>
        <v>0</v>
      </c>
      <c r="P31" s="486" t="str">
        <f t="shared" si="10"/>
        <v>-</v>
      </c>
      <c r="S31" s="663"/>
      <c r="T31" s="665"/>
      <c r="U31" s="480" t="s">
        <v>548</v>
      </c>
      <c r="V31" s="484">
        <f>SUMIFS(dtc_channel源!$F:$F,dtc_channel源!$A:$A,"&gt;="&amp;$T$1,dtc_channel源!$A:$A,"&lt;="&amp;$U$1,dtc_channel源!$E:$E,$C31)</f>
        <v>36</v>
      </c>
      <c r="W31" s="484">
        <f>SUMIFS(dtc_channel源!$I:$I,dtc_channel源!$A:$A,"&gt;="&amp;$T$1,dtc_channel源!$A:$A,"&lt;="&amp;$U$1,dtc_channel源!$E:$E,$C31)</f>
        <v>30</v>
      </c>
      <c r="X31" s="485">
        <f t="shared" si="11"/>
        <v>6</v>
      </c>
      <c r="Y31" s="486">
        <f t="shared" si="12"/>
        <v>0.19999999999999996</v>
      </c>
      <c r="Z31" s="487">
        <f t="shared" si="44"/>
        <v>6.5946143982414359E-3</v>
      </c>
      <c r="AA31" s="487">
        <f t="shared" si="45"/>
        <v>4.8812235600390495E-3</v>
      </c>
      <c r="AB31" s="488">
        <f t="shared" si="13"/>
        <v>0.17133908382023863</v>
      </c>
      <c r="AC31" s="484">
        <f>SUMIFS(dtc_channel源!$G:$G,dtc_channel源!$A:$A,"&gt;="&amp;$T$1,dtc_channel源!$A:$A,"&lt;="&amp;$U$1,dtc_channel源!$E:$E,$C31)</f>
        <v>0</v>
      </c>
      <c r="AD31" s="484">
        <f>SUMIFS(dtc_channel源!$J:$J,dtc_channel源!$A:$A,"&gt;="&amp;$T$1,dtc_channel源!$A:$A,"&lt;="&amp;$U$1,dtc_channel源!$E:$E,$C31)</f>
        <v>0</v>
      </c>
      <c r="AE31" s="486" t="str">
        <f t="shared" si="14"/>
        <v>-</v>
      </c>
      <c r="AF31" s="489">
        <f t="shared" si="15"/>
        <v>0</v>
      </c>
      <c r="AG31" s="489">
        <f t="shared" si="16"/>
        <v>0</v>
      </c>
      <c r="AH31" s="486" t="str">
        <f t="shared" si="17"/>
        <v>-</v>
      </c>
    </row>
    <row r="32" spans="1:34" ht="15.5" customHeight="1" x14ac:dyDescent="0.3">
      <c r="A32" s="663"/>
      <c r="B32" s="665"/>
      <c r="C32" s="480" t="s">
        <v>652</v>
      </c>
      <c r="D32" s="484">
        <f>SUMIFS(dtc_channel源!$F:$F,dtc_channel源!$A:$A,"&gt;="&amp;$B$1,dtc_channel源!$A:$A,"&lt;="&amp;$C$1,dtc_channel源!$E:$E,$C32)</f>
        <v>143</v>
      </c>
      <c r="E32" s="484">
        <f>SUMIFS(dtc_channel源!$I:$I,dtc_channel源!$A:$A,"&gt;="&amp;$B$1,dtc_channel源!$A:$A,"&lt;="&amp;$C$1,dtc_channel源!$E:$E,$C32)</f>
        <v>199</v>
      </c>
      <c r="F32" s="485">
        <f t="shared" si="4"/>
        <v>-56</v>
      </c>
      <c r="G32" s="486">
        <f t="shared" si="5"/>
        <v>-0.28140703517587939</v>
      </c>
      <c r="H32" s="487">
        <f t="shared" si="42"/>
        <v>2.7202343586524378E-3</v>
      </c>
      <c r="I32" s="487">
        <f t="shared" si="43"/>
        <v>3.2837200092406191E-3</v>
      </c>
      <c r="J32" s="488">
        <f t="shared" si="6"/>
        <v>-5.6348565058818127E-2</v>
      </c>
      <c r="K32" s="484">
        <f>SUMIFS(dtc_channel源!$G:$G,dtc_channel源!$A:$A,"&gt;="&amp;$B$1,dtc_channel源!$A:$A,"&lt;="&amp;$C$1,dtc_channel源!$E:$E,$C32)</f>
        <v>1</v>
      </c>
      <c r="L32" s="484">
        <f>SUMIFS(dtc_channel源!$J:$J,dtc_channel源!$A:$A,"&gt;="&amp;$B$1,dtc_channel源!$A:$A,"&lt;="&amp;$C$1,dtc_channel源!$E:$E,$C32)</f>
        <v>0</v>
      </c>
      <c r="M32" s="486" t="str">
        <f t="shared" si="7"/>
        <v>-</v>
      </c>
      <c r="N32" s="489">
        <f t="shared" si="8"/>
        <v>6.993006993006993E-3</v>
      </c>
      <c r="O32" s="489">
        <f t="shared" si="9"/>
        <v>0</v>
      </c>
      <c r="P32" s="486" t="str">
        <f t="shared" si="10"/>
        <v>-</v>
      </c>
      <c r="S32" s="663"/>
      <c r="T32" s="665"/>
      <c r="U32" s="480" t="s">
        <v>652</v>
      </c>
      <c r="V32" s="484">
        <f>SUMIFS(dtc_channel源!$F:$F,dtc_channel源!$A:$A,"&gt;="&amp;$T$1,dtc_channel源!$A:$A,"&lt;="&amp;$U$1,dtc_channel源!$E:$E,$C32)</f>
        <v>22</v>
      </c>
      <c r="W32" s="484">
        <f>SUMIFS(dtc_channel源!$I:$I,dtc_channel源!$A:$A,"&gt;="&amp;$T$1,dtc_channel源!$A:$A,"&lt;="&amp;$U$1,dtc_channel源!$E:$E,$C32)</f>
        <v>27</v>
      </c>
      <c r="X32" s="485">
        <f t="shared" si="11"/>
        <v>-5</v>
      </c>
      <c r="Y32" s="486">
        <f t="shared" si="12"/>
        <v>-0.18518518518518523</v>
      </c>
      <c r="Z32" s="487">
        <f t="shared" si="44"/>
        <v>4.0300421322586556E-3</v>
      </c>
      <c r="AA32" s="487">
        <f t="shared" si="45"/>
        <v>4.3931012040351446E-3</v>
      </c>
      <c r="AB32" s="488">
        <f t="shared" si="13"/>
        <v>-3.6305907177648908E-2</v>
      </c>
      <c r="AC32" s="484">
        <f>SUMIFS(dtc_channel源!$G:$G,dtc_channel源!$A:$A,"&gt;="&amp;$T$1,dtc_channel源!$A:$A,"&lt;="&amp;$U$1,dtc_channel源!$E:$E,$C32)</f>
        <v>0</v>
      </c>
      <c r="AD32" s="484">
        <f>SUMIFS(dtc_channel源!$J:$J,dtc_channel源!$A:$A,"&gt;="&amp;$T$1,dtc_channel源!$A:$A,"&lt;="&amp;$U$1,dtc_channel源!$E:$E,$C32)</f>
        <v>0</v>
      </c>
      <c r="AE32" s="486" t="str">
        <f t="shared" si="14"/>
        <v>-</v>
      </c>
      <c r="AF32" s="489">
        <f t="shared" si="15"/>
        <v>0</v>
      </c>
      <c r="AG32" s="489">
        <f t="shared" si="16"/>
        <v>0</v>
      </c>
      <c r="AH32" s="486" t="str">
        <f t="shared" si="17"/>
        <v>-</v>
      </c>
    </row>
    <row r="33" spans="1:34" ht="15.5" customHeight="1" x14ac:dyDescent="0.3">
      <c r="A33" s="663"/>
      <c r="B33" s="665"/>
      <c r="C33" s="480" t="s">
        <v>714</v>
      </c>
      <c r="D33" s="484">
        <f>SUMIFS(dtc_channel源!$F:$F,dtc_channel源!$A:$A,"&gt;="&amp;$B$1,dtc_channel源!$A:$A,"&lt;="&amp;$C$1,dtc_channel源!$E:$E,$C33)</f>
        <v>57</v>
      </c>
      <c r="E33" s="484">
        <f>SUMIFS(dtc_channel源!$I:$I,dtc_channel源!$A:$A,"&gt;="&amp;$B$1,dtc_channel源!$A:$A,"&lt;="&amp;$C$1,dtc_channel源!$E:$E,$C33)</f>
        <v>0</v>
      </c>
      <c r="F33" s="485">
        <f t="shared" si="4"/>
        <v>57</v>
      </c>
      <c r="G33" s="486" t="str">
        <f t="shared" si="5"/>
        <v>-</v>
      </c>
      <c r="H33" s="487">
        <f t="shared" si="42"/>
        <v>1.0842892198824402E-3</v>
      </c>
      <c r="I33" s="487">
        <f t="shared" si="43"/>
        <v>0</v>
      </c>
      <c r="J33" s="488">
        <f t="shared" si="6"/>
        <v>0.10842892198824401</v>
      </c>
      <c r="K33" s="484">
        <f>SUMIFS(dtc_channel源!$G:$G,dtc_channel源!$A:$A,"&gt;="&amp;$B$1,dtc_channel源!$A:$A,"&lt;="&amp;$C$1,dtc_channel源!$E:$E,$C33)</f>
        <v>1</v>
      </c>
      <c r="L33" s="484">
        <f>SUMIFS(dtc_channel源!$J:$J,dtc_channel源!$A:$A,"&gt;="&amp;$B$1,dtc_channel源!$A:$A,"&lt;="&amp;$C$1,dtc_channel源!$E:$E,$C33)</f>
        <v>0</v>
      </c>
      <c r="M33" s="486" t="str">
        <f t="shared" si="7"/>
        <v>-</v>
      </c>
      <c r="N33" s="489">
        <f t="shared" si="8"/>
        <v>1.7543859649122806E-2</v>
      </c>
      <c r="O33" s="489">
        <f t="shared" si="9"/>
        <v>0</v>
      </c>
      <c r="P33" s="486" t="str">
        <f t="shared" si="10"/>
        <v>-</v>
      </c>
      <c r="S33" s="663"/>
      <c r="T33" s="665"/>
      <c r="U33" s="480" t="s">
        <v>714</v>
      </c>
      <c r="V33" s="484">
        <f>SUMIFS(dtc_channel源!$F:$F,dtc_channel源!$A:$A,"&gt;="&amp;$T$1,dtc_channel源!$A:$A,"&lt;="&amp;$U$1,dtc_channel源!$E:$E,$C33)</f>
        <v>2</v>
      </c>
      <c r="W33" s="484">
        <f>SUMIFS(dtc_channel源!$I:$I,dtc_channel源!$A:$A,"&gt;="&amp;$T$1,dtc_channel源!$A:$A,"&lt;="&amp;$U$1,dtc_channel源!$E:$E,$C33)</f>
        <v>0</v>
      </c>
      <c r="X33" s="485">
        <f t="shared" si="11"/>
        <v>2</v>
      </c>
      <c r="Y33" s="486" t="str">
        <f t="shared" si="12"/>
        <v>-</v>
      </c>
      <c r="Z33" s="487">
        <f t="shared" si="44"/>
        <v>3.6636746656896867E-4</v>
      </c>
      <c r="AA33" s="487">
        <f t="shared" si="45"/>
        <v>0</v>
      </c>
      <c r="AB33" s="488">
        <f t="shared" si="13"/>
        <v>3.6636746656896868E-2</v>
      </c>
      <c r="AC33" s="484">
        <f>SUMIFS(dtc_channel源!$G:$G,dtc_channel源!$A:$A,"&gt;="&amp;$T$1,dtc_channel源!$A:$A,"&lt;="&amp;$U$1,dtc_channel源!$E:$E,$C33)</f>
        <v>0</v>
      </c>
      <c r="AD33" s="484">
        <f>SUMIFS(dtc_channel源!$J:$J,dtc_channel源!$A:$A,"&gt;="&amp;$T$1,dtc_channel源!$A:$A,"&lt;="&amp;$U$1,dtc_channel源!$E:$E,$C33)</f>
        <v>0</v>
      </c>
      <c r="AE33" s="486" t="str">
        <f t="shared" si="14"/>
        <v>-</v>
      </c>
      <c r="AF33" s="489">
        <f t="shared" si="15"/>
        <v>0</v>
      </c>
      <c r="AG33" s="489">
        <f t="shared" si="16"/>
        <v>0</v>
      </c>
      <c r="AH33" s="486" t="str">
        <f t="shared" si="17"/>
        <v>-</v>
      </c>
    </row>
    <row r="34" spans="1:34" ht="15.5" customHeight="1" x14ac:dyDescent="0.3">
      <c r="A34" s="663"/>
      <c r="B34" s="665"/>
      <c r="C34" s="480" t="s">
        <v>740</v>
      </c>
      <c r="D34" s="484">
        <f>SUMIFS(dtc_channel源!$F:$F,dtc_channel源!$A:$A,"&gt;="&amp;$B$1,dtc_channel源!$A:$A,"&lt;="&amp;$C$1,dtc_channel源!$E:$E,$C34)</f>
        <v>26</v>
      </c>
      <c r="E34" s="484">
        <f>SUMIFS(dtc_channel源!$I:$I,dtc_channel源!$A:$A,"&gt;="&amp;$B$1,dtc_channel源!$A:$A,"&lt;="&amp;$C$1,dtc_channel源!$E:$E,$C34)</f>
        <v>0</v>
      </c>
      <c r="F34" s="485">
        <f t="shared" si="4"/>
        <v>26</v>
      </c>
      <c r="G34" s="486" t="str">
        <f t="shared" si="5"/>
        <v>-</v>
      </c>
      <c r="H34" s="487">
        <f t="shared" si="42"/>
        <v>4.9458806520953419E-4</v>
      </c>
      <c r="I34" s="487">
        <f t="shared" si="43"/>
        <v>0</v>
      </c>
      <c r="J34" s="488">
        <f t="shared" si="6"/>
        <v>4.945880652095342E-2</v>
      </c>
      <c r="K34" s="484">
        <f>SUMIFS(dtc_channel源!$G:$G,dtc_channel源!$A:$A,"&gt;="&amp;$B$1,dtc_channel源!$A:$A,"&lt;="&amp;$C$1,dtc_channel源!$E:$E,$C34)</f>
        <v>1</v>
      </c>
      <c r="L34" s="484">
        <f>SUMIFS(dtc_channel源!$J:$J,dtc_channel源!$A:$A,"&gt;="&amp;$B$1,dtc_channel源!$A:$A,"&lt;="&amp;$C$1,dtc_channel源!$E:$E,$C34)</f>
        <v>0</v>
      </c>
      <c r="M34" s="486" t="str">
        <f t="shared" si="7"/>
        <v>-</v>
      </c>
      <c r="N34" s="489">
        <f t="shared" si="8"/>
        <v>3.8461538461538464E-2</v>
      </c>
      <c r="O34" s="489">
        <f t="shared" si="9"/>
        <v>0</v>
      </c>
      <c r="P34" s="486" t="str">
        <f t="shared" si="10"/>
        <v>-</v>
      </c>
      <c r="S34" s="663"/>
      <c r="T34" s="665"/>
      <c r="U34" s="480" t="s">
        <v>740</v>
      </c>
      <c r="V34" s="484">
        <f>SUMIFS(dtc_channel源!$F:$F,dtc_channel源!$A:$A,"&gt;="&amp;$T$1,dtc_channel源!$A:$A,"&lt;="&amp;$U$1,dtc_channel源!$E:$E,$C34)</f>
        <v>10</v>
      </c>
      <c r="W34" s="484">
        <f>SUMIFS(dtc_channel源!$I:$I,dtc_channel源!$A:$A,"&gt;="&amp;$T$1,dtc_channel源!$A:$A,"&lt;="&amp;$U$1,dtc_channel源!$E:$E,$C34)</f>
        <v>0</v>
      </c>
      <c r="X34" s="485">
        <f t="shared" si="11"/>
        <v>10</v>
      </c>
      <c r="Y34" s="486" t="str">
        <f t="shared" si="12"/>
        <v>-</v>
      </c>
      <c r="Z34" s="487">
        <f t="shared" si="44"/>
        <v>1.8318373328448433E-3</v>
      </c>
      <c r="AA34" s="487">
        <f t="shared" si="45"/>
        <v>0</v>
      </c>
      <c r="AB34" s="488">
        <f t="shared" si="13"/>
        <v>0.18318373328448434</v>
      </c>
      <c r="AC34" s="484">
        <f>SUMIFS(dtc_channel源!$G:$G,dtc_channel源!$A:$A,"&gt;="&amp;$T$1,dtc_channel源!$A:$A,"&lt;="&amp;$U$1,dtc_channel源!$E:$E,$C34)</f>
        <v>1</v>
      </c>
      <c r="AD34" s="484">
        <f>SUMIFS(dtc_channel源!$J:$J,dtc_channel源!$A:$A,"&gt;="&amp;$T$1,dtc_channel源!$A:$A,"&lt;="&amp;$U$1,dtc_channel源!$E:$E,$C34)</f>
        <v>0</v>
      </c>
      <c r="AE34" s="486" t="str">
        <f t="shared" si="14"/>
        <v>-</v>
      </c>
      <c r="AF34" s="489">
        <f t="shared" si="15"/>
        <v>0.1</v>
      </c>
      <c r="AG34" s="489">
        <f t="shared" si="16"/>
        <v>0</v>
      </c>
      <c r="AH34" s="486" t="str">
        <f t="shared" si="17"/>
        <v>-</v>
      </c>
    </row>
    <row r="35" spans="1:34" ht="15.5" customHeight="1" x14ac:dyDescent="0.3">
      <c r="A35" s="663"/>
      <c r="B35" s="668" t="s">
        <v>773</v>
      </c>
      <c r="C35" s="669"/>
      <c r="D35" s="490">
        <f>SUM(D30:D34)</f>
        <v>1548</v>
      </c>
      <c r="E35" s="490">
        <f>SUM(E30:E34)</f>
        <v>1518</v>
      </c>
      <c r="F35" s="491">
        <f t="shared" si="4"/>
        <v>30</v>
      </c>
      <c r="G35" s="492">
        <f t="shared" si="5"/>
        <v>1.9762845849802479E-2</v>
      </c>
      <c r="H35" s="493">
        <f t="shared" si="42"/>
        <v>2.9447012497859956E-2</v>
      </c>
      <c r="I35" s="493">
        <f t="shared" si="43"/>
        <v>2.5048678261443517E-2</v>
      </c>
      <c r="J35" s="494">
        <f t="shared" si="6"/>
        <v>0.43983342364164391</v>
      </c>
      <c r="K35" s="490">
        <f>SUM(K30:K34)</f>
        <v>5</v>
      </c>
      <c r="L35" s="490">
        <f>SUM(L30:L34)</f>
        <v>0</v>
      </c>
      <c r="M35" s="492" t="str">
        <f t="shared" si="7"/>
        <v>-</v>
      </c>
      <c r="N35" s="495">
        <f t="shared" si="8"/>
        <v>3.2299741602067182E-3</v>
      </c>
      <c r="O35" s="495">
        <f t="shared" si="9"/>
        <v>0</v>
      </c>
      <c r="P35" s="492" t="str">
        <f t="shared" si="10"/>
        <v>-</v>
      </c>
      <c r="S35" s="663"/>
      <c r="T35" s="668" t="s">
        <v>773</v>
      </c>
      <c r="U35" s="669"/>
      <c r="V35" s="490">
        <f>SUM(V30:V34)</f>
        <v>231</v>
      </c>
      <c r="W35" s="490">
        <f>SUM(W30:W34)</f>
        <v>191</v>
      </c>
      <c r="X35" s="491">
        <f t="shared" si="11"/>
        <v>40</v>
      </c>
      <c r="Y35" s="492">
        <f t="shared" si="12"/>
        <v>0.20942408376963351</v>
      </c>
      <c r="Z35" s="493">
        <f t="shared" si="44"/>
        <v>4.2315442388715881E-2</v>
      </c>
      <c r="AA35" s="493">
        <f t="shared" si="45"/>
        <v>3.1077123332248616E-2</v>
      </c>
      <c r="AB35" s="494">
        <f t="shared" si="13"/>
        <v>1.1238319056467265</v>
      </c>
      <c r="AC35" s="490">
        <f>SUM(AC30:AC34)</f>
        <v>1</v>
      </c>
      <c r="AD35" s="490">
        <f>SUM(AD30:AD34)</f>
        <v>0</v>
      </c>
      <c r="AE35" s="492" t="str">
        <f t="shared" si="14"/>
        <v>-</v>
      </c>
      <c r="AF35" s="495">
        <f t="shared" si="15"/>
        <v>4.329004329004329E-3</v>
      </c>
      <c r="AG35" s="495">
        <f t="shared" si="16"/>
        <v>0</v>
      </c>
      <c r="AH35" s="492" t="str">
        <f t="shared" si="17"/>
        <v>-</v>
      </c>
    </row>
    <row r="36" spans="1:34" ht="15.5" customHeight="1" x14ac:dyDescent="0.3">
      <c r="A36" s="666" t="s">
        <v>750</v>
      </c>
      <c r="B36" s="667"/>
      <c r="C36" s="667"/>
      <c r="D36" s="476">
        <f>SUM(D20,D22,D25,D29,D35)</f>
        <v>35719</v>
      </c>
      <c r="E36" s="476">
        <f>SUM(E20,E22,E25,E29,E35)</f>
        <v>36940</v>
      </c>
      <c r="F36" s="499">
        <f t="shared" si="4"/>
        <v>-1221</v>
      </c>
      <c r="G36" s="500">
        <f t="shared" si="5"/>
        <v>-3.3053600433134767E-2</v>
      </c>
      <c r="H36" s="477">
        <f t="shared" si="42"/>
        <v>0.67946888850843656</v>
      </c>
      <c r="I36" s="477">
        <f t="shared" si="43"/>
        <v>0.60955083990627368</v>
      </c>
      <c r="J36" s="501">
        <f t="shared" si="6"/>
        <v>6.9918048602162886</v>
      </c>
      <c r="K36" s="476">
        <f>SUM(K20,K22,K25,K29,K35)</f>
        <v>83</v>
      </c>
      <c r="L36" s="476">
        <f>SUM(L20,L22,L25,L29,L35)</f>
        <v>81</v>
      </c>
      <c r="M36" s="500">
        <f t="shared" si="7"/>
        <v>2.4691358024691468E-2</v>
      </c>
      <c r="N36" s="478">
        <f t="shared" si="8"/>
        <v>2.3236932724880316E-3</v>
      </c>
      <c r="O36" s="478">
        <f t="shared" si="9"/>
        <v>2.1927449918787223E-3</v>
      </c>
      <c r="P36" s="500">
        <f t="shared" si="10"/>
        <v>5.9718882539603557E-2</v>
      </c>
      <c r="S36" s="666" t="s">
        <v>750</v>
      </c>
      <c r="T36" s="667"/>
      <c r="U36" s="667"/>
      <c r="V36" s="476">
        <f>SUM(V20,V22,V25,V29,V35)</f>
        <v>4707</v>
      </c>
      <c r="W36" s="476">
        <f>SUM(W20,W22,W25,W29,W35)</f>
        <v>4753</v>
      </c>
      <c r="X36" s="499">
        <f t="shared" si="11"/>
        <v>-46</v>
      </c>
      <c r="Y36" s="500">
        <f t="shared" si="12"/>
        <v>-9.6780980433410768E-3</v>
      </c>
      <c r="Z36" s="477">
        <f t="shared" si="44"/>
        <v>0.86224583257006782</v>
      </c>
      <c r="AA36" s="477">
        <f t="shared" si="45"/>
        <v>0.77334851936218674</v>
      </c>
      <c r="AB36" s="501">
        <f t="shared" si="13"/>
        <v>8.8897313207881083</v>
      </c>
      <c r="AC36" s="476">
        <f>SUM(AC20,AC22,AC25,AC29,AC35)</f>
        <v>12</v>
      </c>
      <c r="AD36" s="476">
        <f>SUM(AD20,AD22,AD25,AD29,AD35)</f>
        <v>12</v>
      </c>
      <c r="AE36" s="500">
        <f t="shared" si="14"/>
        <v>0</v>
      </c>
      <c r="AF36" s="478">
        <f t="shared" si="15"/>
        <v>2.5493945188017845E-3</v>
      </c>
      <c r="AG36" s="478">
        <f t="shared" si="16"/>
        <v>2.5247212286976647E-3</v>
      </c>
      <c r="AH36" s="500">
        <f t="shared" si="17"/>
        <v>9.7726789887400134E-3</v>
      </c>
    </row>
    <row r="37" spans="1:34" ht="15.5" customHeight="1" x14ac:dyDescent="0.3">
      <c r="A37" s="662" t="s">
        <v>707</v>
      </c>
      <c r="B37" s="479" t="s">
        <v>708</v>
      </c>
      <c r="C37" s="480" t="s">
        <v>712</v>
      </c>
      <c r="D37" s="484">
        <f>SUMIFS(dtc_channel源!$F:$F,dtc_channel源!$A:$A,"&gt;="&amp;$B$1,dtc_channel源!$A:$A,"&lt;="&amp;$C$1,dtc_channel源!$E:$E,$C37)</f>
        <v>15226</v>
      </c>
      <c r="E37" s="484">
        <f>SUMIFS(dtc_channel源!$I:$I,dtc_channel源!$A:$A,"&gt;="&amp;$B$1,dtc_channel源!$A:$A,"&lt;="&amp;$C$1,dtc_channel源!$E:$E,$C37)</f>
        <v>3004</v>
      </c>
      <c r="F37" s="485">
        <f t="shared" si="4"/>
        <v>12222</v>
      </c>
      <c r="G37" s="486">
        <f t="shared" si="5"/>
        <v>4.0685752330226368</v>
      </c>
      <c r="H37" s="487">
        <f t="shared" si="42"/>
        <v>0.28963838003386028</v>
      </c>
      <c r="I37" s="487">
        <f t="shared" si="43"/>
        <v>4.9569321144516683E-2</v>
      </c>
      <c r="J37" s="488">
        <f t="shared" si="6"/>
        <v>24.006905888934359</v>
      </c>
      <c r="K37" s="484">
        <f>SUMIFS(dtc_channel源!$G:$G,dtc_channel源!$A:$A,"&gt;="&amp;$B$1,dtc_channel源!$A:$A,"&lt;="&amp;$C$1,dtc_channel源!$E:$E,$C37)</f>
        <v>3</v>
      </c>
      <c r="L37" s="484">
        <f>SUMIFS(dtc_channel源!$J:$J,dtc_channel源!$A:$A,"&gt;="&amp;$B$1,dtc_channel源!$A:$A,"&lt;="&amp;$C$1,dtc_channel源!$E:$E,$C37)</f>
        <v>0</v>
      </c>
      <c r="M37" s="486" t="str">
        <f t="shared" si="7"/>
        <v>-</v>
      </c>
      <c r="N37" s="489">
        <f t="shared" si="8"/>
        <v>1.9703139366872456E-4</v>
      </c>
      <c r="O37" s="489">
        <f t="shared" si="9"/>
        <v>0</v>
      </c>
      <c r="P37" s="486" t="str">
        <f t="shared" si="10"/>
        <v>-</v>
      </c>
      <c r="S37" s="662" t="s">
        <v>707</v>
      </c>
      <c r="T37" s="479" t="s">
        <v>708</v>
      </c>
      <c r="U37" s="480" t="s">
        <v>712</v>
      </c>
      <c r="V37" s="484">
        <f>SUMIFS(dtc_channel源!$F:$F,dtc_channel源!$A:$A,"&gt;="&amp;$T$1,dtc_channel源!$A:$A,"&lt;="&amp;$U$1,dtc_channel源!$E:$E,$C37)</f>
        <v>390</v>
      </c>
      <c r="W37" s="484">
        <f>SUMIFS(dtc_channel源!$I:$I,dtc_channel源!$A:$A,"&gt;="&amp;$T$1,dtc_channel源!$A:$A,"&lt;="&amp;$U$1,dtc_channel源!$E:$E,$C37)</f>
        <v>341</v>
      </c>
      <c r="X37" s="485">
        <f t="shared" si="11"/>
        <v>49</v>
      </c>
      <c r="Y37" s="486">
        <f t="shared" si="12"/>
        <v>0.14369501466275669</v>
      </c>
      <c r="Z37" s="487">
        <f t="shared" si="44"/>
        <v>7.1441655980948898E-2</v>
      </c>
      <c r="AA37" s="487">
        <f t="shared" si="45"/>
        <v>5.5483241132443864E-2</v>
      </c>
      <c r="AB37" s="488">
        <f t="shared" si="13"/>
        <v>1.5958414848505034</v>
      </c>
      <c r="AC37" s="484">
        <f>SUMIFS(dtc_channel源!$G:$G,dtc_channel源!$A:$A,"&gt;="&amp;$T$1,dtc_channel源!$A:$A,"&lt;="&amp;$U$1,dtc_channel源!$E:$E,$C37)</f>
        <v>0</v>
      </c>
      <c r="AD37" s="484">
        <f>SUMIFS(dtc_channel源!$J:$J,dtc_channel源!$A:$A,"&gt;="&amp;$T$1,dtc_channel源!$A:$A,"&lt;="&amp;$U$1,dtc_channel源!$E:$E,$C37)</f>
        <v>0</v>
      </c>
      <c r="AE37" s="486" t="str">
        <f t="shared" si="14"/>
        <v>-</v>
      </c>
      <c r="AF37" s="489">
        <f t="shared" si="15"/>
        <v>0</v>
      </c>
      <c r="AG37" s="489">
        <f t="shared" si="16"/>
        <v>0</v>
      </c>
      <c r="AH37" s="486" t="str">
        <f t="shared" si="17"/>
        <v>-</v>
      </c>
    </row>
    <row r="38" spans="1:34" ht="15.5" customHeight="1" x14ac:dyDescent="0.3">
      <c r="A38" s="663"/>
      <c r="B38" s="664" t="s">
        <v>751</v>
      </c>
      <c r="C38" s="665"/>
      <c r="D38" s="502">
        <f>SUM(D37)</f>
        <v>15226</v>
      </c>
      <c r="E38" s="502">
        <f>SUM(E37)</f>
        <v>3004</v>
      </c>
      <c r="F38" s="485">
        <f t="shared" si="4"/>
        <v>12222</v>
      </c>
      <c r="G38" s="486">
        <f t="shared" si="5"/>
        <v>4.0685752330226368</v>
      </c>
      <c r="H38" s="503">
        <f t="shared" si="42"/>
        <v>0.28963838003386028</v>
      </c>
      <c r="I38" s="503">
        <f t="shared" si="43"/>
        <v>4.9569321144516683E-2</v>
      </c>
      <c r="J38" s="488">
        <f t="shared" si="6"/>
        <v>24.006905888934359</v>
      </c>
      <c r="K38" s="502">
        <f>SUM(K37)</f>
        <v>3</v>
      </c>
      <c r="L38" s="502">
        <f>SUM(L37)</f>
        <v>0</v>
      </c>
      <c r="M38" s="486" t="str">
        <f t="shared" si="7"/>
        <v>-</v>
      </c>
      <c r="N38" s="504">
        <f t="shared" si="8"/>
        <v>1.9703139366872456E-4</v>
      </c>
      <c r="O38" s="504">
        <f t="shared" si="9"/>
        <v>0</v>
      </c>
      <c r="P38" s="486" t="str">
        <f t="shared" si="10"/>
        <v>-</v>
      </c>
      <c r="S38" s="663"/>
      <c r="T38" s="664" t="s">
        <v>751</v>
      </c>
      <c r="U38" s="665"/>
      <c r="V38" s="502">
        <f>SUM(V37)</f>
        <v>390</v>
      </c>
      <c r="W38" s="502">
        <f>SUM(W37)</f>
        <v>341</v>
      </c>
      <c r="X38" s="485">
        <f t="shared" si="11"/>
        <v>49</v>
      </c>
      <c r="Y38" s="486">
        <f t="shared" si="12"/>
        <v>0.14369501466275669</v>
      </c>
      <c r="Z38" s="503">
        <f t="shared" si="44"/>
        <v>7.1441655980948898E-2</v>
      </c>
      <c r="AA38" s="503">
        <f t="shared" si="45"/>
        <v>5.5483241132443864E-2</v>
      </c>
      <c r="AB38" s="488">
        <f t="shared" si="13"/>
        <v>1.5958414848505034</v>
      </c>
      <c r="AC38" s="502">
        <f>SUM(AC37)</f>
        <v>0</v>
      </c>
      <c r="AD38" s="502">
        <f>SUM(AD37)</f>
        <v>0</v>
      </c>
      <c r="AE38" s="486" t="str">
        <f t="shared" si="14"/>
        <v>-</v>
      </c>
      <c r="AF38" s="504">
        <f t="shared" si="15"/>
        <v>0</v>
      </c>
      <c r="AG38" s="504">
        <f t="shared" si="16"/>
        <v>0</v>
      </c>
      <c r="AH38" s="486" t="str">
        <f t="shared" si="17"/>
        <v>-</v>
      </c>
    </row>
    <row r="39" spans="1:34" ht="15.5" customHeight="1" x14ac:dyDescent="0.3">
      <c r="A39" s="666" t="s">
        <v>752</v>
      </c>
      <c r="B39" s="667"/>
      <c r="C39" s="667"/>
      <c r="D39" s="476">
        <f>D38</f>
        <v>15226</v>
      </c>
      <c r="E39" s="476">
        <f>E38</f>
        <v>3004</v>
      </c>
      <c r="F39" s="499">
        <f t="shared" si="4"/>
        <v>12222</v>
      </c>
      <c r="G39" s="500">
        <f t="shared" si="5"/>
        <v>4.0685752330226368</v>
      </c>
      <c r="H39" s="477">
        <f t="shared" si="42"/>
        <v>0.28963838003386028</v>
      </c>
      <c r="I39" s="477">
        <f t="shared" si="43"/>
        <v>4.9569321144516683E-2</v>
      </c>
      <c r="J39" s="501">
        <f t="shared" si="6"/>
        <v>24.006905888934359</v>
      </c>
      <c r="K39" s="476">
        <f>K38</f>
        <v>3</v>
      </c>
      <c r="L39" s="476">
        <f>L38</f>
        <v>0</v>
      </c>
      <c r="M39" s="500" t="str">
        <f t="shared" si="7"/>
        <v>-</v>
      </c>
      <c r="N39" s="478">
        <f t="shared" si="8"/>
        <v>1.9703139366872456E-4</v>
      </c>
      <c r="O39" s="478">
        <f t="shared" si="9"/>
        <v>0</v>
      </c>
      <c r="P39" s="500" t="str">
        <f t="shared" si="10"/>
        <v>-</v>
      </c>
      <c r="S39" s="666" t="s">
        <v>752</v>
      </c>
      <c r="T39" s="667"/>
      <c r="U39" s="667"/>
      <c r="V39" s="476">
        <f>V38</f>
        <v>390</v>
      </c>
      <c r="W39" s="476">
        <f>W38</f>
        <v>341</v>
      </c>
      <c r="X39" s="499">
        <f t="shared" si="11"/>
        <v>49</v>
      </c>
      <c r="Y39" s="500">
        <f t="shared" si="12"/>
        <v>0.14369501466275669</v>
      </c>
      <c r="Z39" s="477">
        <f t="shared" si="44"/>
        <v>7.1441655980948898E-2</v>
      </c>
      <c r="AA39" s="477">
        <f t="shared" si="45"/>
        <v>5.5483241132443864E-2</v>
      </c>
      <c r="AB39" s="501">
        <f t="shared" si="13"/>
        <v>1.5958414848505034</v>
      </c>
      <c r="AC39" s="476">
        <f>AC38</f>
        <v>0</v>
      </c>
      <c r="AD39" s="476">
        <f>AD38</f>
        <v>0</v>
      </c>
      <c r="AE39" s="500" t="str">
        <f t="shared" si="14"/>
        <v>-</v>
      </c>
      <c r="AF39" s="478">
        <f t="shared" si="15"/>
        <v>0</v>
      </c>
      <c r="AG39" s="478">
        <f t="shared" si="16"/>
        <v>0</v>
      </c>
      <c r="AH39" s="500" t="str">
        <f t="shared" si="17"/>
        <v>-</v>
      </c>
    </row>
    <row r="40" spans="1:34" ht="25.5" customHeight="1" x14ac:dyDescent="0.3">
      <c r="A40" s="670" t="s">
        <v>233</v>
      </c>
      <c r="B40" s="671"/>
      <c r="C40" s="671"/>
      <c r="D40" s="505">
        <f>SUM(D18,D36,D39)</f>
        <v>52569</v>
      </c>
      <c r="E40" s="505">
        <f>SUM(E18,E36,E39)</f>
        <v>60602</v>
      </c>
      <c r="F40" s="506">
        <f t="shared" ref="F40" si="46">D40-E40</f>
        <v>-8033</v>
      </c>
      <c r="G40" s="507">
        <f t="shared" ref="G40" si="47">IFERROR(D40/E40-1,"-")</f>
        <v>-0.13255338107653214</v>
      </c>
      <c r="H40" s="508">
        <f t="shared" si="42"/>
        <v>1</v>
      </c>
      <c r="I40" s="508">
        <f t="shared" si="43"/>
        <v>1</v>
      </c>
      <c r="J40" s="509"/>
      <c r="K40" s="505">
        <f>SUM(K18,K36,K39)</f>
        <v>228</v>
      </c>
      <c r="L40" s="505">
        <f>SUM(L18,L36,L39)</f>
        <v>209</v>
      </c>
      <c r="M40" s="507">
        <f>IFERROR(K40/L40-1,"-")</f>
        <v>9.0909090909090828E-2</v>
      </c>
      <c r="N40" s="510">
        <f t="shared" si="8"/>
        <v>4.3371568795297607E-3</v>
      </c>
      <c r="O40" s="510">
        <f>IFERROR(L40/E40,0)</f>
        <v>3.4487310649813537E-3</v>
      </c>
      <c r="P40" s="507">
        <f>IFERROR(N40/O40-1,"-")</f>
        <v>0.25760947948929447</v>
      </c>
      <c r="S40" s="670" t="s">
        <v>233</v>
      </c>
      <c r="T40" s="671"/>
      <c r="U40" s="671"/>
      <c r="V40" s="505">
        <f>SUM(V18,V36,V39)</f>
        <v>5459</v>
      </c>
      <c r="W40" s="505">
        <f>SUM(W18,W36,W39)</f>
        <v>6146</v>
      </c>
      <c r="X40" s="506">
        <f t="shared" si="11"/>
        <v>-687</v>
      </c>
      <c r="Y40" s="507">
        <f t="shared" si="12"/>
        <v>-0.11178001952489425</v>
      </c>
      <c r="Z40" s="508">
        <f t="shared" si="44"/>
        <v>1</v>
      </c>
      <c r="AA40" s="508">
        <f t="shared" si="45"/>
        <v>1</v>
      </c>
      <c r="AB40" s="509"/>
      <c r="AC40" s="505">
        <f>SUM(AC18,AC36,AC39)</f>
        <v>35</v>
      </c>
      <c r="AD40" s="505">
        <f>SUM(AD18,AD36,AD39)</f>
        <v>12</v>
      </c>
      <c r="AE40" s="507">
        <f>IFERROR(AC40/AD40-1,"-")</f>
        <v>1.9166666666666665</v>
      </c>
      <c r="AF40" s="510">
        <f t="shared" si="15"/>
        <v>6.4114306649569516E-3</v>
      </c>
      <c r="AG40" s="510">
        <f>IFERROR(AD40/W40,0)</f>
        <v>1.9524894240156199E-3</v>
      </c>
      <c r="AH40" s="507">
        <f>IFERROR(AF40/AG40-1,"-")</f>
        <v>2.2837210722354522</v>
      </c>
    </row>
  </sheetData>
  <mergeCells count="44">
    <mergeCell ref="A36:C36"/>
    <mergeCell ref="A37:A38"/>
    <mergeCell ref="B38:C38"/>
    <mergeCell ref="A39:C39"/>
    <mergeCell ref="T16:U16"/>
    <mergeCell ref="B16:C16"/>
    <mergeCell ref="S36:U36"/>
    <mergeCell ref="S37:S38"/>
    <mergeCell ref="T38:U38"/>
    <mergeCell ref="T25:U25"/>
    <mergeCell ref="T26:T28"/>
    <mergeCell ref="T29:U29"/>
    <mergeCell ref="T30:T34"/>
    <mergeCell ref="T35:U35"/>
    <mergeCell ref="S19:S35"/>
    <mergeCell ref="S40:U40"/>
    <mergeCell ref="A18:C18"/>
    <mergeCell ref="A19:A35"/>
    <mergeCell ref="B20:C20"/>
    <mergeCell ref="B22:C22"/>
    <mergeCell ref="B23:B24"/>
    <mergeCell ref="B25:C25"/>
    <mergeCell ref="B26:B28"/>
    <mergeCell ref="B29:C29"/>
    <mergeCell ref="B30:B34"/>
    <mergeCell ref="B35:C35"/>
    <mergeCell ref="S39:U39"/>
    <mergeCell ref="T20:U20"/>
    <mergeCell ref="T22:U22"/>
    <mergeCell ref="T23:T24"/>
    <mergeCell ref="A40:C40"/>
    <mergeCell ref="A4:A14"/>
    <mergeCell ref="B4:B7"/>
    <mergeCell ref="S18:U18"/>
    <mergeCell ref="T4:T7"/>
    <mergeCell ref="T8:U8"/>
    <mergeCell ref="T10:U10"/>
    <mergeCell ref="T14:U14"/>
    <mergeCell ref="B11:B13"/>
    <mergeCell ref="T11:T13"/>
    <mergeCell ref="B8:C8"/>
    <mergeCell ref="B10:C10"/>
    <mergeCell ref="B14:C14"/>
    <mergeCell ref="S4:S14"/>
  </mergeCells>
  <phoneticPr fontId="13" type="noConversion"/>
  <conditionalFormatting sqref="F4:F40">
    <cfRule type="expression" dxfId="28" priority="48">
      <formula>F4=0</formula>
    </cfRule>
  </conditionalFormatting>
  <conditionalFormatting sqref="F4:G40">
    <cfRule type="expression" dxfId="27" priority="43">
      <formula>F4&lt;0</formula>
    </cfRule>
    <cfRule type="expression" dxfId="26" priority="45">
      <formula>F4&gt;0</formula>
    </cfRule>
  </conditionalFormatting>
  <conditionalFormatting sqref="G4:G40">
    <cfRule type="expression" dxfId="25" priority="44">
      <formula>G4=0</formula>
    </cfRule>
  </conditionalFormatting>
  <conditionalFormatting sqref="J4:J39">
    <cfRule type="expression" dxfId="24" priority="40">
      <formula>J4&lt;0</formula>
    </cfRule>
    <cfRule type="expression" dxfId="23" priority="41">
      <formula>J4=0</formula>
    </cfRule>
    <cfRule type="expression" dxfId="22" priority="42">
      <formula>J4&gt;0</formula>
    </cfRule>
  </conditionalFormatting>
  <conditionalFormatting sqref="M4:M40">
    <cfRule type="expression" dxfId="21" priority="4">
      <formula>M4&lt;0</formula>
    </cfRule>
    <cfRule type="expression" dxfId="20" priority="5">
      <formula>M4=0</formula>
    </cfRule>
    <cfRule type="expression" dxfId="19" priority="6">
      <formula>M4&gt;0</formula>
    </cfRule>
  </conditionalFormatting>
  <conditionalFormatting sqref="P4:P40">
    <cfRule type="expression" dxfId="18" priority="34">
      <formula>P4&lt;0</formula>
    </cfRule>
    <cfRule type="expression" dxfId="17" priority="35">
      <formula>P4=0</formula>
    </cfRule>
    <cfRule type="expression" dxfId="16" priority="36">
      <formula>P4&gt;0</formula>
    </cfRule>
  </conditionalFormatting>
  <conditionalFormatting sqref="X4:X40">
    <cfRule type="expression" dxfId="15" priority="21">
      <formula>X4=0</formula>
    </cfRule>
  </conditionalFormatting>
  <conditionalFormatting sqref="X4:Y40">
    <cfRule type="expression" dxfId="14" priority="16">
      <formula>X4&lt;0</formula>
    </cfRule>
    <cfRule type="expression" dxfId="13" priority="18">
      <formula>X4&gt;0</formula>
    </cfRule>
  </conditionalFormatting>
  <conditionalFormatting sqref="Y4:Y40">
    <cfRule type="expression" dxfId="12" priority="17">
      <formula>Y4=0</formula>
    </cfRule>
  </conditionalFormatting>
  <conditionalFormatting sqref="AB4:AB39">
    <cfRule type="expression" dxfId="11" priority="13">
      <formula>AB4&lt;0</formula>
    </cfRule>
    <cfRule type="expression" dxfId="10" priority="14">
      <formula>AB4=0</formula>
    </cfRule>
    <cfRule type="expression" dxfId="9" priority="15">
      <formula>AB4&gt;0</formula>
    </cfRule>
  </conditionalFormatting>
  <conditionalFormatting sqref="AE4:AE40">
    <cfRule type="expression" dxfId="8" priority="1">
      <formula>AE4&lt;0</formula>
    </cfRule>
    <cfRule type="expression" dxfId="7" priority="2">
      <formula>AE4=0</formula>
    </cfRule>
    <cfRule type="expression" dxfId="6" priority="3">
      <formula>AE4&gt;0</formula>
    </cfRule>
  </conditionalFormatting>
  <conditionalFormatting sqref="AH4:AH40">
    <cfRule type="expression" dxfId="5" priority="10">
      <formula>AH4&lt;0</formula>
    </cfRule>
    <cfRule type="expression" dxfId="4" priority="11">
      <formula>AH4=0</formula>
    </cfRule>
    <cfRule type="expression" dxfId="3" priority="12">
      <formula>AH4&gt;0</formula>
    </cfRule>
  </conditionalFormatting>
  <pageMargins left="0.7" right="0.7" top="0.75" bottom="0.75" header="0.3" footer="0.3"/>
  <ignoredErrors>
    <ignoredError sqref="F18:J18 N18:P37 X18:AB18 AF18:AH40 N8:P12 AF8:AH12 N14:P14 AF14:AH14 V14:AD14 D14:L14 D8:L12 D19:L37 V8:AD12 V19:AD40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B534-10BD-471C-AF24-D41EAE48B192}">
  <dimension ref="B1:AG110"/>
  <sheetViews>
    <sheetView showGridLines="0" zoomScaleNormal="100" workbookViewId="0">
      <selection activeCell="D14" sqref="D14"/>
    </sheetView>
  </sheetViews>
  <sheetFormatPr defaultRowHeight="14" x14ac:dyDescent="0.3"/>
  <cols>
    <col min="1" max="1" width="2.25" customWidth="1"/>
    <col min="2" max="2" width="15.08203125" style="339" customWidth="1"/>
    <col min="3" max="3" width="14.58203125" style="339" customWidth="1"/>
    <col min="4" max="4" width="31.75" style="339" bestFit="1" customWidth="1"/>
    <col min="5" max="11" width="8.83203125" style="339" customWidth="1"/>
    <col min="15" max="15" width="31" bestFit="1" customWidth="1"/>
    <col min="16" max="21" width="7.4140625" customWidth="1"/>
    <col min="22" max="22" width="12.1640625" bestFit="1" customWidth="1"/>
    <col min="23" max="23" width="5.75" bestFit="1" customWidth="1"/>
    <col min="24" max="29" width="7.4140625" customWidth="1"/>
  </cols>
  <sheetData>
    <row r="1" spans="2:33" ht="15" x14ac:dyDescent="0.4">
      <c r="O1" s="618" t="s">
        <v>669</v>
      </c>
      <c r="P1" s="619" t="s">
        <v>234</v>
      </c>
      <c r="Q1" s="408"/>
      <c r="R1" s="408"/>
      <c r="S1" s="408"/>
      <c r="T1" s="408"/>
      <c r="U1" s="408"/>
      <c r="V1" s="408"/>
      <c r="W1" s="408"/>
      <c r="X1" s="408"/>
      <c r="Y1" s="408"/>
      <c r="Z1" s="408"/>
      <c r="AA1" s="408"/>
      <c r="AB1" s="408"/>
      <c r="AC1" s="408"/>
    </row>
    <row r="2" spans="2:33" ht="15" x14ac:dyDescent="0.4">
      <c r="B2" s="399" t="s">
        <v>670</v>
      </c>
      <c r="C2" s="399" t="s">
        <v>595</v>
      </c>
      <c r="D2" s="399" t="s">
        <v>668</v>
      </c>
      <c r="E2" s="400" t="s">
        <v>672</v>
      </c>
      <c r="F2" s="400" t="s">
        <v>677</v>
      </c>
      <c r="G2" s="400" t="s">
        <v>676</v>
      </c>
      <c r="H2" s="400" t="s">
        <v>661</v>
      </c>
      <c r="I2" s="400" t="s">
        <v>674</v>
      </c>
      <c r="J2" s="400" t="s">
        <v>673</v>
      </c>
      <c r="K2" s="400" t="s">
        <v>675</v>
      </c>
      <c r="L2" s="399" t="s">
        <v>671</v>
      </c>
      <c r="O2" s="408"/>
      <c r="P2" s="408"/>
      <c r="Q2" s="408"/>
      <c r="R2" s="408"/>
      <c r="S2" s="408"/>
      <c r="T2" s="408"/>
      <c r="U2" s="408"/>
      <c r="V2" s="408"/>
      <c r="W2" s="408"/>
      <c r="X2" s="408"/>
      <c r="Y2" s="408"/>
      <c r="Z2" s="408"/>
      <c r="AA2" s="408"/>
      <c r="AB2" s="408"/>
      <c r="AC2" s="408"/>
    </row>
    <row r="3" spans="2:33" ht="12" customHeight="1" x14ac:dyDescent="0.4">
      <c r="B3" s="401">
        <v>45870</v>
      </c>
      <c r="C3" s="403" t="s">
        <v>458</v>
      </c>
      <c r="D3" s="402" t="s">
        <v>662</v>
      </c>
      <c r="E3" s="404">
        <v>274</v>
      </c>
      <c r="F3" s="405">
        <v>0.45214521452145212</v>
      </c>
      <c r="G3" s="406">
        <v>18</v>
      </c>
      <c r="H3" s="407">
        <v>6.569343065693431E-2</v>
      </c>
      <c r="I3" s="406">
        <v>0</v>
      </c>
      <c r="J3" s="404">
        <v>0</v>
      </c>
      <c r="K3" s="407">
        <v>0</v>
      </c>
      <c r="L3" s="403" t="s">
        <v>570</v>
      </c>
      <c r="O3" s="619"/>
      <c r="P3" s="618" t="s">
        <v>200</v>
      </c>
      <c r="Q3" s="619"/>
      <c r="R3" s="619"/>
      <c r="S3" s="619"/>
      <c r="T3" s="619"/>
      <c r="U3" s="619"/>
      <c r="V3" s="619"/>
      <c r="W3" s="619"/>
      <c r="X3" s="619"/>
      <c r="Y3" s="619"/>
      <c r="Z3" s="619"/>
      <c r="AA3" s="619"/>
      <c r="AB3" s="619"/>
      <c r="AC3" s="619"/>
      <c r="AD3" s="619"/>
      <c r="AE3" s="619"/>
      <c r="AF3" s="619"/>
      <c r="AG3" s="619"/>
    </row>
    <row r="4" spans="2:33" ht="12" customHeight="1" x14ac:dyDescent="0.4">
      <c r="B4" s="401">
        <v>45870</v>
      </c>
      <c r="C4" s="403" t="s">
        <v>458</v>
      </c>
      <c r="D4" s="402" t="s">
        <v>663</v>
      </c>
      <c r="E4" s="404">
        <v>203</v>
      </c>
      <c r="F4" s="405">
        <v>0.33498349834983498</v>
      </c>
      <c r="G4" s="406">
        <v>4</v>
      </c>
      <c r="H4" s="407">
        <v>1.9704433497536946E-2</v>
      </c>
      <c r="I4" s="406">
        <v>0</v>
      </c>
      <c r="J4" s="404">
        <v>0</v>
      </c>
      <c r="K4" s="407">
        <v>0</v>
      </c>
      <c r="L4" s="403" t="s">
        <v>570</v>
      </c>
      <c r="O4" s="619"/>
      <c r="P4" s="619" t="s">
        <v>678</v>
      </c>
      <c r="Q4" s="619"/>
      <c r="R4" s="619" t="s">
        <v>682</v>
      </c>
      <c r="S4" s="619"/>
      <c r="T4" s="619" t="s">
        <v>683</v>
      </c>
      <c r="U4" s="619"/>
      <c r="V4" s="619" t="s">
        <v>681</v>
      </c>
      <c r="W4" s="619"/>
      <c r="X4" s="619" t="s">
        <v>679</v>
      </c>
      <c r="Y4" s="619"/>
      <c r="Z4" s="619" t="s">
        <v>680</v>
      </c>
      <c r="AA4" s="619"/>
      <c r="AB4" s="619" t="s">
        <v>684</v>
      </c>
      <c r="AC4" s="619"/>
      <c r="AD4" s="619" t="s">
        <v>685</v>
      </c>
      <c r="AE4" s="619"/>
      <c r="AF4" s="619" t="s">
        <v>686</v>
      </c>
      <c r="AG4" s="619"/>
    </row>
    <row r="5" spans="2:33" ht="12" customHeight="1" x14ac:dyDescent="0.4">
      <c r="B5" s="401">
        <v>45870</v>
      </c>
      <c r="C5" s="403" t="s">
        <v>458</v>
      </c>
      <c r="D5" s="402" t="s">
        <v>664</v>
      </c>
      <c r="E5" s="404">
        <v>47</v>
      </c>
      <c r="F5" s="405">
        <v>7.7557755775577553E-2</v>
      </c>
      <c r="G5" s="406">
        <v>0</v>
      </c>
      <c r="H5" s="407">
        <v>0</v>
      </c>
      <c r="I5" s="406">
        <v>0</v>
      </c>
      <c r="J5" s="404">
        <v>0</v>
      </c>
      <c r="K5" s="407">
        <v>0</v>
      </c>
      <c r="L5" s="403" t="s">
        <v>570</v>
      </c>
      <c r="O5" s="618" t="s">
        <v>199</v>
      </c>
      <c r="P5" s="619" t="s">
        <v>560</v>
      </c>
      <c r="Q5" s="619" t="s">
        <v>246</v>
      </c>
      <c r="R5" s="619" t="s">
        <v>560</v>
      </c>
      <c r="S5" s="619" t="s">
        <v>246</v>
      </c>
      <c r="T5" s="619" t="s">
        <v>560</v>
      </c>
      <c r="U5" s="619" t="s">
        <v>246</v>
      </c>
      <c r="V5" s="619" t="s">
        <v>560</v>
      </c>
      <c r="W5" s="619" t="s">
        <v>246</v>
      </c>
      <c r="X5" s="619" t="s">
        <v>560</v>
      </c>
      <c r="Y5" s="619" t="s">
        <v>246</v>
      </c>
      <c r="Z5" s="619" t="s">
        <v>560</v>
      </c>
      <c r="AA5" s="619" t="s">
        <v>246</v>
      </c>
      <c r="AB5" s="619" t="s">
        <v>560</v>
      </c>
      <c r="AC5" s="619" t="s">
        <v>246</v>
      </c>
      <c r="AD5" s="619" t="s">
        <v>560</v>
      </c>
      <c r="AE5" s="619" t="s">
        <v>246</v>
      </c>
      <c r="AF5" s="619" t="s">
        <v>560</v>
      </c>
      <c r="AG5" s="619" t="s">
        <v>246</v>
      </c>
    </row>
    <row r="6" spans="2:33" ht="12" customHeight="1" x14ac:dyDescent="0.4">
      <c r="B6" s="401">
        <v>45870</v>
      </c>
      <c r="C6" s="403" t="s">
        <v>458</v>
      </c>
      <c r="D6" s="402" t="s">
        <v>665</v>
      </c>
      <c r="E6" s="404">
        <v>39</v>
      </c>
      <c r="F6" s="405">
        <v>6.4356435643564358E-2</v>
      </c>
      <c r="G6" s="406">
        <v>0</v>
      </c>
      <c r="H6" s="407">
        <v>0</v>
      </c>
      <c r="I6" s="406">
        <v>0</v>
      </c>
      <c r="J6" s="404">
        <v>0</v>
      </c>
      <c r="K6" s="407">
        <v>0</v>
      </c>
      <c r="L6" s="403" t="s">
        <v>570</v>
      </c>
      <c r="O6" s="620" t="s">
        <v>662</v>
      </c>
      <c r="P6" s="621">
        <v>3281</v>
      </c>
      <c r="Q6" s="621">
        <v>4775</v>
      </c>
      <c r="R6" s="621">
        <v>-1494</v>
      </c>
      <c r="S6" s="621"/>
      <c r="T6" s="622">
        <v>-0.31287958115183245</v>
      </c>
      <c r="U6" s="622"/>
      <c r="V6" s="622">
        <v>0.50726654298082874</v>
      </c>
      <c r="W6" s="622">
        <v>0.50052410901467503</v>
      </c>
      <c r="X6" s="619">
        <v>8</v>
      </c>
      <c r="Y6" s="619">
        <v>8</v>
      </c>
      <c r="Z6" s="623">
        <v>2.4382810118866198E-3</v>
      </c>
      <c r="AA6" s="623">
        <v>1.675392670157068E-3</v>
      </c>
      <c r="AB6" s="622">
        <v>0.45534897896982623</v>
      </c>
      <c r="AC6" s="622"/>
      <c r="AD6" s="621">
        <v>31170</v>
      </c>
      <c r="AE6" s="621">
        <v>29982</v>
      </c>
      <c r="AF6" s="621">
        <v>1188</v>
      </c>
      <c r="AG6" s="621"/>
    </row>
    <row r="7" spans="2:33" ht="12" customHeight="1" x14ac:dyDescent="0.4">
      <c r="B7" s="401">
        <v>45870</v>
      </c>
      <c r="C7" s="403" t="s">
        <v>458</v>
      </c>
      <c r="D7" s="402" t="s">
        <v>666</v>
      </c>
      <c r="E7" s="404">
        <v>28</v>
      </c>
      <c r="F7" s="405">
        <v>4.6204620462046202E-2</v>
      </c>
      <c r="G7" s="406">
        <v>1</v>
      </c>
      <c r="H7" s="407">
        <v>3.5714285714285712E-2</v>
      </c>
      <c r="I7" s="406">
        <v>0</v>
      </c>
      <c r="J7" s="404">
        <v>0</v>
      </c>
      <c r="K7" s="407">
        <v>0</v>
      </c>
      <c r="L7" s="403" t="s">
        <v>570</v>
      </c>
      <c r="O7" s="620" t="s">
        <v>663</v>
      </c>
      <c r="P7" s="621">
        <v>1526</v>
      </c>
      <c r="Q7" s="621">
        <v>1948</v>
      </c>
      <c r="R7" s="621">
        <v>-422</v>
      </c>
      <c r="S7" s="621"/>
      <c r="T7" s="622">
        <v>-0.21663244353182751</v>
      </c>
      <c r="U7" s="622"/>
      <c r="V7" s="622">
        <v>0.23593073593073594</v>
      </c>
      <c r="W7" s="622">
        <v>0.20419287211740042</v>
      </c>
      <c r="X7" s="619">
        <v>1</v>
      </c>
      <c r="Y7" s="619">
        <v>0</v>
      </c>
      <c r="Z7" s="623">
        <v>6.5530799475753605E-4</v>
      </c>
      <c r="AA7" s="623">
        <v>0</v>
      </c>
      <c r="AB7" s="622">
        <v>0</v>
      </c>
      <c r="AC7" s="622"/>
      <c r="AD7" s="621">
        <v>14500</v>
      </c>
      <c r="AE7" s="621">
        <v>0</v>
      </c>
      <c r="AF7" s="621">
        <v>14500</v>
      </c>
      <c r="AG7" s="621"/>
    </row>
    <row r="8" spans="2:33" ht="12" customHeight="1" x14ac:dyDescent="0.4">
      <c r="B8" s="401">
        <v>45870</v>
      </c>
      <c r="C8" s="403" t="s">
        <v>458</v>
      </c>
      <c r="D8" s="402" t="s">
        <v>667</v>
      </c>
      <c r="E8" s="404">
        <v>15</v>
      </c>
      <c r="F8" s="405">
        <v>2.4752475247524754E-2</v>
      </c>
      <c r="G8" s="406">
        <v>0</v>
      </c>
      <c r="H8" s="407">
        <v>0</v>
      </c>
      <c r="I8" s="406">
        <v>0</v>
      </c>
      <c r="J8" s="404">
        <v>0</v>
      </c>
      <c r="K8" s="407">
        <v>0</v>
      </c>
      <c r="L8" s="403" t="s">
        <v>570</v>
      </c>
      <c r="O8" s="620" t="s">
        <v>666</v>
      </c>
      <c r="P8" s="621">
        <v>477</v>
      </c>
      <c r="Q8" s="621">
        <v>1269</v>
      </c>
      <c r="R8" s="621">
        <v>-792</v>
      </c>
      <c r="S8" s="621"/>
      <c r="T8" s="622">
        <v>-0.62411347517730498</v>
      </c>
      <c r="U8" s="622"/>
      <c r="V8" s="622">
        <v>7.3747680890538028E-2</v>
      </c>
      <c r="W8" s="622">
        <v>0.1330188679245283</v>
      </c>
      <c r="X8" s="619">
        <v>0</v>
      </c>
      <c r="Y8" s="619">
        <v>4</v>
      </c>
      <c r="Z8" s="623">
        <v>0</v>
      </c>
      <c r="AA8" s="623">
        <v>3.1520882584712374E-3</v>
      </c>
      <c r="AB8" s="622">
        <v>-1</v>
      </c>
      <c r="AC8" s="622"/>
      <c r="AD8" s="621">
        <v>0</v>
      </c>
      <c r="AE8" s="621">
        <v>19740</v>
      </c>
      <c r="AF8" s="621">
        <v>-19740</v>
      </c>
      <c r="AG8" s="621"/>
    </row>
    <row r="9" spans="2:33" ht="15" x14ac:dyDescent="0.4">
      <c r="B9" s="401">
        <v>45839</v>
      </c>
      <c r="C9" s="403" t="s">
        <v>458</v>
      </c>
      <c r="D9" s="402" t="s">
        <v>662</v>
      </c>
      <c r="E9" s="404">
        <v>249</v>
      </c>
      <c r="F9" s="405">
        <v>0.57373271889400923</v>
      </c>
      <c r="G9" s="406">
        <v>5</v>
      </c>
      <c r="H9" s="407">
        <v>2.0080321285140562E-2</v>
      </c>
      <c r="I9" s="406">
        <v>1</v>
      </c>
      <c r="J9" s="404">
        <v>7295</v>
      </c>
      <c r="K9" s="407">
        <v>4.0160642570281121E-3</v>
      </c>
      <c r="L9" s="403" t="s">
        <v>570</v>
      </c>
      <c r="O9" s="620" t="s">
        <v>665</v>
      </c>
      <c r="P9" s="621">
        <v>441</v>
      </c>
      <c r="Q9" s="621">
        <v>870</v>
      </c>
      <c r="R9" s="621">
        <v>-429</v>
      </c>
      <c r="S9" s="621"/>
      <c r="T9" s="622">
        <v>-0.49310344827586206</v>
      </c>
      <c r="U9" s="622"/>
      <c r="V9" s="622">
        <v>6.8181818181818177E-2</v>
      </c>
      <c r="W9" s="622">
        <v>9.1194968553459113E-2</v>
      </c>
      <c r="X9" s="619">
        <v>0</v>
      </c>
      <c r="Y9" s="619">
        <v>1</v>
      </c>
      <c r="Z9" s="623">
        <v>0</v>
      </c>
      <c r="AA9" s="623">
        <v>1.1494252873563218E-3</v>
      </c>
      <c r="AB9" s="622">
        <v>-1</v>
      </c>
      <c r="AC9" s="622"/>
      <c r="AD9" s="621">
        <v>0</v>
      </c>
      <c r="AE9" s="621">
        <v>5450</v>
      </c>
      <c r="AF9" s="621">
        <v>-5450</v>
      </c>
      <c r="AG9" s="621"/>
    </row>
    <row r="10" spans="2:33" ht="15" x14ac:dyDescent="0.4">
      <c r="B10" s="401">
        <v>45839</v>
      </c>
      <c r="C10" s="403" t="s">
        <v>458</v>
      </c>
      <c r="D10" s="402" t="s">
        <v>663</v>
      </c>
      <c r="E10" s="404">
        <v>75</v>
      </c>
      <c r="F10" s="405">
        <v>0.1728110599078341</v>
      </c>
      <c r="G10" s="406">
        <v>2</v>
      </c>
      <c r="H10" s="407">
        <v>2.6666666666666668E-2</v>
      </c>
      <c r="I10" s="406">
        <v>0</v>
      </c>
      <c r="J10" s="404">
        <v>0</v>
      </c>
      <c r="K10" s="407">
        <v>0</v>
      </c>
      <c r="L10" s="403" t="s">
        <v>570</v>
      </c>
      <c r="O10" s="620" t="s">
        <v>664</v>
      </c>
      <c r="P10" s="621">
        <v>648</v>
      </c>
      <c r="Q10" s="621">
        <v>635</v>
      </c>
      <c r="R10" s="621">
        <v>13</v>
      </c>
      <c r="S10" s="621"/>
      <c r="T10" s="622">
        <v>2.0472440944881889E-2</v>
      </c>
      <c r="U10" s="622"/>
      <c r="V10" s="622">
        <v>0.10018552875695733</v>
      </c>
      <c r="W10" s="622">
        <v>6.6561844863731651E-2</v>
      </c>
      <c r="X10" s="619">
        <v>0</v>
      </c>
      <c r="Y10" s="619">
        <v>1</v>
      </c>
      <c r="Z10" s="623">
        <v>0</v>
      </c>
      <c r="AA10" s="623">
        <v>1.5748031496062992E-3</v>
      </c>
      <c r="AB10" s="622">
        <v>-1</v>
      </c>
      <c r="AC10" s="622"/>
      <c r="AD10" s="621">
        <v>0</v>
      </c>
      <c r="AE10" s="621">
        <v>3195</v>
      </c>
      <c r="AF10" s="621">
        <v>-3195</v>
      </c>
      <c r="AG10" s="621"/>
    </row>
    <row r="11" spans="2:33" ht="15" x14ac:dyDescent="0.4">
      <c r="B11" s="401">
        <v>45839</v>
      </c>
      <c r="C11" s="403" t="s">
        <v>458</v>
      </c>
      <c r="D11" s="402" t="s">
        <v>664</v>
      </c>
      <c r="E11" s="404">
        <v>43</v>
      </c>
      <c r="F11" s="405">
        <v>9.9078341013824886E-2</v>
      </c>
      <c r="G11" s="406">
        <v>11</v>
      </c>
      <c r="H11" s="407">
        <v>0.2558139534883721</v>
      </c>
      <c r="I11" s="406">
        <v>0</v>
      </c>
      <c r="J11" s="404">
        <v>0</v>
      </c>
      <c r="K11" s="407">
        <v>0</v>
      </c>
      <c r="L11" s="403" t="s">
        <v>570</v>
      </c>
      <c r="O11" s="620" t="s">
        <v>667</v>
      </c>
      <c r="P11" s="621">
        <v>95</v>
      </c>
      <c r="Q11" s="621">
        <v>43</v>
      </c>
      <c r="R11" s="621">
        <v>52</v>
      </c>
      <c r="S11" s="621"/>
      <c r="T11" s="622">
        <v>1.2093023255813953</v>
      </c>
      <c r="U11" s="622"/>
      <c r="V11" s="622">
        <v>1.468769325912183E-2</v>
      </c>
      <c r="W11" s="622">
        <v>4.5073375262054509E-3</v>
      </c>
      <c r="X11" s="619">
        <v>0</v>
      </c>
      <c r="Y11" s="619">
        <v>0</v>
      </c>
      <c r="Z11" s="623">
        <v>0</v>
      </c>
      <c r="AA11" s="623">
        <v>0</v>
      </c>
      <c r="AB11" s="622">
        <v>0</v>
      </c>
      <c r="AC11" s="622"/>
      <c r="AD11" s="621">
        <v>0</v>
      </c>
      <c r="AE11" s="621">
        <v>0</v>
      </c>
      <c r="AF11" s="621">
        <v>0</v>
      </c>
      <c r="AG11" s="621"/>
    </row>
    <row r="12" spans="2:33" ht="15" x14ac:dyDescent="0.4">
      <c r="B12" s="401">
        <v>45839</v>
      </c>
      <c r="C12" s="403" t="s">
        <v>458</v>
      </c>
      <c r="D12" s="402" t="s">
        <v>665</v>
      </c>
      <c r="E12" s="404">
        <v>34</v>
      </c>
      <c r="F12" s="405">
        <v>7.8341013824884786E-2</v>
      </c>
      <c r="G12" s="406">
        <v>0</v>
      </c>
      <c r="H12" s="407">
        <v>0</v>
      </c>
      <c r="I12" s="406">
        <v>0</v>
      </c>
      <c r="J12" s="404">
        <v>0</v>
      </c>
      <c r="K12" s="407">
        <v>0</v>
      </c>
      <c r="L12" s="403" t="s">
        <v>570</v>
      </c>
      <c r="O12" s="620" t="s">
        <v>0</v>
      </c>
      <c r="P12" s="621">
        <v>6468</v>
      </c>
      <c r="Q12" s="621">
        <v>9540</v>
      </c>
      <c r="R12" s="621">
        <v>-3072</v>
      </c>
      <c r="S12" s="621"/>
      <c r="T12" s="622">
        <v>-0.32201257861635219</v>
      </c>
      <c r="U12" s="622"/>
      <c r="V12" s="622">
        <v>1</v>
      </c>
      <c r="W12" s="622">
        <v>1</v>
      </c>
      <c r="X12" s="619">
        <v>9</v>
      </c>
      <c r="Y12" s="619">
        <v>14</v>
      </c>
      <c r="Z12" s="623">
        <v>1.3914656771799629E-3</v>
      </c>
      <c r="AA12" s="623">
        <v>1.4675052410901468E-3</v>
      </c>
      <c r="AB12" s="622">
        <v>-5.1815531407368186E-2</v>
      </c>
      <c r="AC12" s="622"/>
      <c r="AD12" s="621">
        <v>45670</v>
      </c>
      <c r="AE12" s="621">
        <v>58367</v>
      </c>
      <c r="AF12" s="621">
        <v>-12697</v>
      </c>
      <c r="AG12" s="621"/>
    </row>
    <row r="13" spans="2:33" ht="15" x14ac:dyDescent="0.4">
      <c r="B13" s="401">
        <v>45839</v>
      </c>
      <c r="C13" s="403" t="s">
        <v>458</v>
      </c>
      <c r="D13" s="402" t="s">
        <v>666</v>
      </c>
      <c r="E13" s="404">
        <v>28</v>
      </c>
      <c r="F13" s="405">
        <v>6.4516129032258063E-2</v>
      </c>
      <c r="G13" s="406">
        <v>0</v>
      </c>
      <c r="H13" s="407">
        <v>0</v>
      </c>
      <c r="I13" s="406">
        <v>0</v>
      </c>
      <c r="J13" s="404">
        <v>0</v>
      </c>
      <c r="K13" s="407">
        <v>0</v>
      </c>
      <c r="L13" s="403" t="s">
        <v>570</v>
      </c>
      <c r="O13" s="408"/>
      <c r="P13" s="408"/>
      <c r="Q13" s="408"/>
      <c r="R13" s="408"/>
      <c r="S13" s="408"/>
      <c r="T13" s="408"/>
      <c r="U13" s="408"/>
      <c r="V13" s="408"/>
      <c r="W13" s="408"/>
      <c r="X13" s="408"/>
      <c r="Y13" s="408"/>
      <c r="Z13" s="408"/>
      <c r="AA13" s="408"/>
      <c r="AB13" s="408"/>
      <c r="AC13" s="408"/>
    </row>
    <row r="14" spans="2:33" x14ac:dyDescent="0.3">
      <c r="B14" s="401">
        <v>45839</v>
      </c>
      <c r="C14" s="403" t="s">
        <v>458</v>
      </c>
      <c r="D14" s="402" t="s">
        <v>667</v>
      </c>
      <c r="E14" s="404">
        <v>5</v>
      </c>
      <c r="F14" s="405">
        <v>1.1520737327188941E-2</v>
      </c>
      <c r="G14" s="406">
        <v>0</v>
      </c>
      <c r="H14" s="407">
        <v>0</v>
      </c>
      <c r="I14" s="406">
        <v>0</v>
      </c>
      <c r="J14" s="404">
        <v>0</v>
      </c>
      <c r="K14" s="407">
        <v>0</v>
      </c>
      <c r="L14" s="403" t="s">
        <v>570</v>
      </c>
    </row>
    <row r="15" spans="2:33" x14ac:dyDescent="0.3">
      <c r="B15" s="401">
        <v>45809</v>
      </c>
      <c r="C15" s="403" t="s">
        <v>458</v>
      </c>
      <c r="D15" s="402" t="s">
        <v>662</v>
      </c>
      <c r="E15" s="404">
        <v>412</v>
      </c>
      <c r="F15" s="405">
        <v>0.39883833494675702</v>
      </c>
      <c r="G15" s="406">
        <v>19</v>
      </c>
      <c r="H15" s="407">
        <v>4.6116504854368932E-2</v>
      </c>
      <c r="I15" s="406">
        <v>1</v>
      </c>
      <c r="J15" s="404">
        <v>4695</v>
      </c>
      <c r="K15" s="407">
        <v>2.4271844660194173E-3</v>
      </c>
      <c r="L15" s="403" t="s">
        <v>570</v>
      </c>
    </row>
    <row r="16" spans="2:33" x14ac:dyDescent="0.3">
      <c r="B16" s="401">
        <v>45809</v>
      </c>
      <c r="C16" s="403" t="s">
        <v>458</v>
      </c>
      <c r="D16" s="402" t="s">
        <v>663</v>
      </c>
      <c r="E16" s="404">
        <v>236</v>
      </c>
      <c r="F16" s="405">
        <v>0.22846079380445306</v>
      </c>
      <c r="G16" s="406">
        <v>9</v>
      </c>
      <c r="H16" s="407">
        <v>3.8135593220338986E-2</v>
      </c>
      <c r="I16" s="406">
        <v>1</v>
      </c>
      <c r="J16" s="404">
        <v>14500</v>
      </c>
      <c r="K16" s="407">
        <v>4.2372881355932203E-3</v>
      </c>
      <c r="L16" s="403" t="s">
        <v>570</v>
      </c>
    </row>
    <row r="17" spans="2:12" x14ac:dyDescent="0.3">
      <c r="B17" s="401">
        <v>45809</v>
      </c>
      <c r="C17" s="403" t="s">
        <v>458</v>
      </c>
      <c r="D17" s="402" t="s">
        <v>664</v>
      </c>
      <c r="E17" s="404">
        <v>244</v>
      </c>
      <c r="F17" s="405">
        <v>0.23620522749273959</v>
      </c>
      <c r="G17" s="406">
        <v>0</v>
      </c>
      <c r="H17" s="407">
        <v>0</v>
      </c>
      <c r="I17" s="406">
        <v>0</v>
      </c>
      <c r="J17" s="404">
        <v>0</v>
      </c>
      <c r="K17" s="407">
        <v>0</v>
      </c>
      <c r="L17" s="403" t="s">
        <v>570</v>
      </c>
    </row>
    <row r="18" spans="2:12" x14ac:dyDescent="0.3">
      <c r="B18" s="401">
        <v>45809</v>
      </c>
      <c r="C18" s="403" t="s">
        <v>458</v>
      </c>
      <c r="D18" s="402" t="s">
        <v>665</v>
      </c>
      <c r="E18" s="404">
        <v>60</v>
      </c>
      <c r="F18" s="405">
        <v>5.8083252662149081E-2</v>
      </c>
      <c r="G18" s="406">
        <v>2</v>
      </c>
      <c r="H18" s="407">
        <v>3.3333333333333333E-2</v>
      </c>
      <c r="I18" s="406">
        <v>0</v>
      </c>
      <c r="J18" s="404">
        <v>0</v>
      </c>
      <c r="K18" s="407">
        <v>0</v>
      </c>
      <c r="L18" s="403" t="s">
        <v>570</v>
      </c>
    </row>
    <row r="19" spans="2:12" x14ac:dyDescent="0.3">
      <c r="B19" s="401">
        <v>45809</v>
      </c>
      <c r="C19" s="403" t="s">
        <v>458</v>
      </c>
      <c r="D19" s="402" t="s">
        <v>666</v>
      </c>
      <c r="E19" s="404">
        <v>66</v>
      </c>
      <c r="F19" s="405">
        <v>6.3891577928363988E-2</v>
      </c>
      <c r="G19" s="406">
        <v>2</v>
      </c>
      <c r="H19" s="407">
        <v>3.0303030303030304E-2</v>
      </c>
      <c r="I19" s="406">
        <v>0</v>
      </c>
      <c r="J19" s="404">
        <v>0</v>
      </c>
      <c r="K19" s="407">
        <v>0</v>
      </c>
      <c r="L19" s="403" t="s">
        <v>570</v>
      </c>
    </row>
    <row r="20" spans="2:12" x14ac:dyDescent="0.3">
      <c r="B20" s="401">
        <v>45809</v>
      </c>
      <c r="C20" s="403" t="s">
        <v>458</v>
      </c>
      <c r="D20" s="402" t="s">
        <v>667</v>
      </c>
      <c r="E20" s="404">
        <v>15</v>
      </c>
      <c r="F20" s="405">
        <v>1.452081316553727E-2</v>
      </c>
      <c r="G20" s="406">
        <v>0</v>
      </c>
      <c r="H20" s="407">
        <v>0</v>
      </c>
      <c r="I20" s="406">
        <v>0</v>
      </c>
      <c r="J20" s="404">
        <v>0</v>
      </c>
      <c r="K20" s="407">
        <v>0</v>
      </c>
      <c r="L20" s="403" t="s">
        <v>570</v>
      </c>
    </row>
    <row r="21" spans="2:12" x14ac:dyDescent="0.3">
      <c r="B21" s="401">
        <v>45778</v>
      </c>
      <c r="C21" s="403" t="s">
        <v>458</v>
      </c>
      <c r="D21" s="402" t="s">
        <v>662</v>
      </c>
      <c r="E21" s="404">
        <v>386</v>
      </c>
      <c r="F21" s="405">
        <v>0.50789473684210529</v>
      </c>
      <c r="G21" s="406">
        <v>14</v>
      </c>
      <c r="H21" s="407">
        <v>3.6269430051813469E-2</v>
      </c>
      <c r="I21" s="406">
        <v>1</v>
      </c>
      <c r="J21" s="404">
        <v>4645</v>
      </c>
      <c r="K21" s="407">
        <v>2.5906735751295338E-3</v>
      </c>
      <c r="L21" s="403" t="s">
        <v>570</v>
      </c>
    </row>
    <row r="22" spans="2:12" x14ac:dyDescent="0.3">
      <c r="B22" s="401">
        <v>45778</v>
      </c>
      <c r="C22" s="403" t="s">
        <v>458</v>
      </c>
      <c r="D22" s="402" t="s">
        <v>663</v>
      </c>
      <c r="E22" s="404">
        <v>227</v>
      </c>
      <c r="F22" s="405">
        <v>0.29868421052631577</v>
      </c>
      <c r="G22" s="406">
        <v>15</v>
      </c>
      <c r="H22" s="407">
        <v>6.6079295154185022E-2</v>
      </c>
      <c r="I22" s="406">
        <v>0</v>
      </c>
      <c r="J22" s="404">
        <v>0</v>
      </c>
      <c r="K22" s="407">
        <v>0</v>
      </c>
      <c r="L22" s="403" t="s">
        <v>570</v>
      </c>
    </row>
    <row r="23" spans="2:12" x14ac:dyDescent="0.3">
      <c r="B23" s="401">
        <v>45778</v>
      </c>
      <c r="C23" s="403" t="s">
        <v>458</v>
      </c>
      <c r="D23" s="402" t="s">
        <v>664</v>
      </c>
      <c r="E23" s="404">
        <v>75</v>
      </c>
      <c r="F23" s="405">
        <v>9.8684210526315791E-2</v>
      </c>
      <c r="G23" s="406">
        <v>3</v>
      </c>
      <c r="H23" s="407">
        <v>0.04</v>
      </c>
      <c r="I23" s="406">
        <v>0</v>
      </c>
      <c r="J23" s="404">
        <v>0</v>
      </c>
      <c r="K23" s="407">
        <v>0</v>
      </c>
      <c r="L23" s="403" t="s">
        <v>570</v>
      </c>
    </row>
    <row r="24" spans="2:12" x14ac:dyDescent="0.3">
      <c r="B24" s="401">
        <v>45778</v>
      </c>
      <c r="C24" s="403" t="s">
        <v>458</v>
      </c>
      <c r="D24" s="402" t="s">
        <v>665</v>
      </c>
      <c r="E24" s="404">
        <v>35</v>
      </c>
      <c r="F24" s="405">
        <v>4.6052631578947366E-2</v>
      </c>
      <c r="G24" s="406">
        <v>0</v>
      </c>
      <c r="H24" s="407">
        <v>0</v>
      </c>
      <c r="I24" s="406">
        <v>0</v>
      </c>
      <c r="J24" s="404">
        <v>0</v>
      </c>
      <c r="K24" s="407">
        <v>0</v>
      </c>
      <c r="L24" s="403" t="s">
        <v>570</v>
      </c>
    </row>
    <row r="25" spans="2:12" x14ac:dyDescent="0.3">
      <c r="B25" s="401">
        <v>45778</v>
      </c>
      <c r="C25" s="403" t="s">
        <v>458</v>
      </c>
      <c r="D25" s="402" t="s">
        <v>666</v>
      </c>
      <c r="E25" s="404">
        <v>31</v>
      </c>
      <c r="F25" s="405">
        <v>4.0789473684210528E-2</v>
      </c>
      <c r="G25" s="406">
        <v>2</v>
      </c>
      <c r="H25" s="407">
        <v>6.4516129032258063E-2</v>
      </c>
      <c r="I25" s="406">
        <v>0</v>
      </c>
      <c r="J25" s="404">
        <v>0</v>
      </c>
      <c r="K25" s="407">
        <v>0</v>
      </c>
      <c r="L25" s="403" t="s">
        <v>570</v>
      </c>
    </row>
    <row r="26" spans="2:12" x14ac:dyDescent="0.3">
      <c r="B26" s="401">
        <v>45778</v>
      </c>
      <c r="C26" s="403" t="s">
        <v>458</v>
      </c>
      <c r="D26" s="402" t="s">
        <v>667</v>
      </c>
      <c r="E26" s="404">
        <v>6</v>
      </c>
      <c r="F26" s="405">
        <v>7.8947368421052634E-3</v>
      </c>
      <c r="G26" s="406">
        <v>1</v>
      </c>
      <c r="H26" s="407">
        <v>0.16666666666666666</v>
      </c>
      <c r="I26" s="406">
        <v>0</v>
      </c>
      <c r="J26" s="404">
        <v>0</v>
      </c>
      <c r="K26" s="407">
        <v>0</v>
      </c>
      <c r="L26" s="403" t="s">
        <v>570</v>
      </c>
    </row>
    <row r="27" spans="2:12" x14ac:dyDescent="0.3">
      <c r="B27" s="401">
        <v>45748</v>
      </c>
      <c r="C27" s="403" t="s">
        <v>458</v>
      </c>
      <c r="D27" s="402" t="s">
        <v>662</v>
      </c>
      <c r="E27" s="404">
        <v>413</v>
      </c>
      <c r="F27" s="405">
        <v>0.51689612015018771</v>
      </c>
      <c r="G27" s="406">
        <v>14</v>
      </c>
      <c r="H27" s="407">
        <v>3.3898305084745763E-2</v>
      </c>
      <c r="I27" s="406">
        <v>1</v>
      </c>
      <c r="J27" s="404">
        <v>2650</v>
      </c>
      <c r="K27" s="407">
        <v>2.4213075060532689E-3</v>
      </c>
      <c r="L27" s="403" t="s">
        <v>570</v>
      </c>
    </row>
    <row r="28" spans="2:12" x14ac:dyDescent="0.3">
      <c r="B28" s="401">
        <v>45748</v>
      </c>
      <c r="C28" s="403" t="s">
        <v>458</v>
      </c>
      <c r="D28" s="402" t="s">
        <v>663</v>
      </c>
      <c r="E28" s="404">
        <v>250</v>
      </c>
      <c r="F28" s="405">
        <v>0.31289111389236546</v>
      </c>
      <c r="G28" s="406">
        <v>1</v>
      </c>
      <c r="H28" s="407">
        <v>4.0000000000000001E-3</v>
      </c>
      <c r="I28" s="406">
        <v>0</v>
      </c>
      <c r="J28" s="404">
        <v>0</v>
      </c>
      <c r="K28" s="407">
        <v>0</v>
      </c>
      <c r="L28" s="403" t="s">
        <v>570</v>
      </c>
    </row>
    <row r="29" spans="2:12" x14ac:dyDescent="0.3">
      <c r="B29" s="401">
        <v>45748</v>
      </c>
      <c r="C29" s="403" t="s">
        <v>458</v>
      </c>
      <c r="D29" s="402" t="s">
        <v>664</v>
      </c>
      <c r="E29" s="404">
        <v>56</v>
      </c>
      <c r="F29" s="405">
        <v>7.0087609511889859E-2</v>
      </c>
      <c r="G29" s="406">
        <v>3</v>
      </c>
      <c r="H29" s="407">
        <v>5.3571428571428568E-2</v>
      </c>
      <c r="I29" s="406">
        <v>0</v>
      </c>
      <c r="J29" s="404">
        <v>0</v>
      </c>
      <c r="K29" s="407">
        <v>0</v>
      </c>
      <c r="L29" s="403" t="s">
        <v>570</v>
      </c>
    </row>
    <row r="30" spans="2:12" x14ac:dyDescent="0.3">
      <c r="B30" s="401">
        <v>45748</v>
      </c>
      <c r="C30" s="403" t="s">
        <v>458</v>
      </c>
      <c r="D30" s="402" t="s">
        <v>665</v>
      </c>
      <c r="E30" s="404">
        <v>43</v>
      </c>
      <c r="F30" s="405">
        <v>5.3817271589486862E-2</v>
      </c>
      <c r="G30" s="406">
        <v>0</v>
      </c>
      <c r="H30" s="407">
        <v>0</v>
      </c>
      <c r="I30" s="406">
        <v>0</v>
      </c>
      <c r="J30" s="404">
        <v>0</v>
      </c>
      <c r="K30" s="407">
        <v>0</v>
      </c>
      <c r="L30" s="403" t="s">
        <v>570</v>
      </c>
    </row>
    <row r="31" spans="2:12" x14ac:dyDescent="0.3">
      <c r="B31" s="401">
        <v>45748</v>
      </c>
      <c r="C31" s="403" t="s">
        <v>458</v>
      </c>
      <c r="D31" s="402" t="s">
        <v>666</v>
      </c>
      <c r="E31" s="404">
        <v>28</v>
      </c>
      <c r="F31" s="405">
        <v>3.5043804755944929E-2</v>
      </c>
      <c r="G31" s="406">
        <v>0</v>
      </c>
      <c r="H31" s="407">
        <v>0</v>
      </c>
      <c r="I31" s="406">
        <v>0</v>
      </c>
      <c r="J31" s="404">
        <v>0</v>
      </c>
      <c r="K31" s="407">
        <v>0</v>
      </c>
      <c r="L31" s="403" t="s">
        <v>570</v>
      </c>
    </row>
    <row r="32" spans="2:12" x14ac:dyDescent="0.3">
      <c r="B32" s="401">
        <v>45748</v>
      </c>
      <c r="C32" s="403" t="s">
        <v>458</v>
      </c>
      <c r="D32" s="402" t="s">
        <v>667</v>
      </c>
      <c r="E32" s="404">
        <v>9</v>
      </c>
      <c r="F32" s="405">
        <v>1.1264080100125156E-2</v>
      </c>
      <c r="G32" s="406">
        <v>0</v>
      </c>
      <c r="H32" s="407">
        <v>0</v>
      </c>
      <c r="I32" s="406">
        <v>0</v>
      </c>
      <c r="J32" s="404">
        <v>0</v>
      </c>
      <c r="K32" s="407">
        <v>0</v>
      </c>
      <c r="L32" s="403" t="s">
        <v>570</v>
      </c>
    </row>
    <row r="33" spans="2:12" x14ac:dyDescent="0.3">
      <c r="B33" s="401">
        <v>45505</v>
      </c>
      <c r="C33" s="403" t="s">
        <v>458</v>
      </c>
      <c r="D33" s="402" t="s">
        <v>662</v>
      </c>
      <c r="E33" s="404">
        <v>407</v>
      </c>
      <c r="F33" s="405">
        <v>0.44627192982456143</v>
      </c>
      <c r="G33" s="406">
        <v>12</v>
      </c>
      <c r="H33" s="407">
        <v>2.9484029484029485E-2</v>
      </c>
      <c r="I33" s="406">
        <v>0</v>
      </c>
      <c r="J33" s="404">
        <v>0</v>
      </c>
      <c r="K33" s="407">
        <v>0</v>
      </c>
      <c r="L33" s="403" t="s">
        <v>325</v>
      </c>
    </row>
    <row r="34" spans="2:12" x14ac:dyDescent="0.3">
      <c r="B34" s="401">
        <v>45505</v>
      </c>
      <c r="C34" s="403" t="s">
        <v>458</v>
      </c>
      <c r="D34" s="402" t="s">
        <v>663</v>
      </c>
      <c r="E34" s="404">
        <v>284</v>
      </c>
      <c r="F34" s="405">
        <v>0.31140350877192985</v>
      </c>
      <c r="G34" s="406">
        <v>1</v>
      </c>
      <c r="H34" s="407">
        <v>3.5211267605633804E-3</v>
      </c>
      <c r="I34" s="406">
        <v>0</v>
      </c>
      <c r="J34" s="404">
        <v>0</v>
      </c>
      <c r="K34" s="407">
        <v>0</v>
      </c>
      <c r="L34" s="403" t="s">
        <v>325</v>
      </c>
    </row>
    <row r="35" spans="2:12" x14ac:dyDescent="0.3">
      <c r="B35" s="401">
        <v>45505</v>
      </c>
      <c r="C35" s="403" t="s">
        <v>458</v>
      </c>
      <c r="D35" s="402" t="s">
        <v>664</v>
      </c>
      <c r="E35" s="404">
        <v>80</v>
      </c>
      <c r="F35" s="405">
        <v>8.771929824561403E-2</v>
      </c>
      <c r="G35" s="406">
        <v>2</v>
      </c>
      <c r="H35" s="407">
        <v>2.5000000000000001E-2</v>
      </c>
      <c r="I35" s="406">
        <v>0</v>
      </c>
      <c r="J35" s="404">
        <v>0</v>
      </c>
      <c r="K35" s="407">
        <v>0</v>
      </c>
      <c r="L35" s="403" t="s">
        <v>325</v>
      </c>
    </row>
    <row r="36" spans="2:12" x14ac:dyDescent="0.3">
      <c r="B36" s="401">
        <v>45505</v>
      </c>
      <c r="C36" s="403" t="s">
        <v>458</v>
      </c>
      <c r="D36" s="402" t="s">
        <v>665</v>
      </c>
      <c r="E36" s="404">
        <v>54</v>
      </c>
      <c r="F36" s="405">
        <v>5.921052631578947E-2</v>
      </c>
      <c r="G36" s="406">
        <v>0</v>
      </c>
      <c r="H36" s="407">
        <v>0</v>
      </c>
      <c r="I36" s="406">
        <v>0</v>
      </c>
      <c r="J36" s="404">
        <v>0</v>
      </c>
      <c r="K36" s="407">
        <v>0</v>
      </c>
      <c r="L36" s="403" t="s">
        <v>325</v>
      </c>
    </row>
    <row r="37" spans="2:12" x14ac:dyDescent="0.3">
      <c r="B37" s="401">
        <v>45505</v>
      </c>
      <c r="C37" s="403" t="s">
        <v>458</v>
      </c>
      <c r="D37" s="402" t="s">
        <v>666</v>
      </c>
      <c r="E37" s="404">
        <v>87</v>
      </c>
      <c r="F37" s="405">
        <v>9.5394736842105268E-2</v>
      </c>
      <c r="G37" s="406">
        <v>1</v>
      </c>
      <c r="H37" s="407">
        <v>1.1494252873563218E-2</v>
      </c>
      <c r="I37" s="406">
        <v>0</v>
      </c>
      <c r="J37" s="404">
        <v>0</v>
      </c>
      <c r="K37" s="407">
        <v>0</v>
      </c>
      <c r="L37" s="403" t="s">
        <v>325</v>
      </c>
    </row>
    <row r="38" spans="2:12" x14ac:dyDescent="0.3">
      <c r="B38" s="401">
        <v>45505</v>
      </c>
      <c r="C38" s="403" t="s">
        <v>458</v>
      </c>
      <c r="D38" s="402" t="s">
        <v>667</v>
      </c>
      <c r="E38" s="404">
        <v>0</v>
      </c>
      <c r="F38" s="405">
        <v>0</v>
      </c>
      <c r="G38" s="406">
        <v>0</v>
      </c>
      <c r="H38" s="407">
        <v>0</v>
      </c>
      <c r="I38" s="406">
        <v>0</v>
      </c>
      <c r="J38" s="404">
        <v>0</v>
      </c>
      <c r="K38" s="407">
        <v>0</v>
      </c>
      <c r="L38" s="403" t="s">
        <v>325</v>
      </c>
    </row>
    <row r="39" spans="2:12" x14ac:dyDescent="0.3">
      <c r="B39" s="401">
        <v>45474</v>
      </c>
      <c r="C39" s="403" t="s">
        <v>458</v>
      </c>
      <c r="D39" s="402" t="s">
        <v>662</v>
      </c>
      <c r="E39" s="404">
        <v>476</v>
      </c>
      <c r="F39" s="405">
        <v>0.52021857923497272</v>
      </c>
      <c r="G39" s="406">
        <v>9</v>
      </c>
      <c r="H39" s="407">
        <v>1.8907563025210083E-2</v>
      </c>
      <c r="I39" s="406">
        <v>2</v>
      </c>
      <c r="J39" s="404">
        <v>7812</v>
      </c>
      <c r="K39" s="407">
        <v>4.2016806722689074E-3</v>
      </c>
      <c r="L39" s="403" t="s">
        <v>325</v>
      </c>
    </row>
    <row r="40" spans="2:12" x14ac:dyDescent="0.3">
      <c r="B40" s="401">
        <v>45474</v>
      </c>
      <c r="C40" s="403" t="s">
        <v>458</v>
      </c>
      <c r="D40" s="402" t="s">
        <v>663</v>
      </c>
      <c r="E40" s="404">
        <v>247</v>
      </c>
      <c r="F40" s="405">
        <v>0.26994535519125684</v>
      </c>
      <c r="G40" s="406">
        <v>6</v>
      </c>
      <c r="H40" s="407">
        <v>2.4291497975708502E-2</v>
      </c>
      <c r="I40" s="406">
        <v>0</v>
      </c>
      <c r="J40" s="404">
        <v>0</v>
      </c>
      <c r="K40" s="407">
        <v>0</v>
      </c>
      <c r="L40" s="403" t="s">
        <v>325</v>
      </c>
    </row>
    <row r="41" spans="2:12" x14ac:dyDescent="0.3">
      <c r="B41" s="401">
        <v>45474</v>
      </c>
      <c r="C41" s="403" t="s">
        <v>458</v>
      </c>
      <c r="D41" s="402" t="s">
        <v>664</v>
      </c>
      <c r="E41" s="404">
        <v>0</v>
      </c>
      <c r="F41" s="405">
        <v>0</v>
      </c>
      <c r="G41" s="406">
        <v>0</v>
      </c>
      <c r="H41" s="407">
        <v>0</v>
      </c>
      <c r="I41" s="406">
        <v>0</v>
      </c>
      <c r="J41" s="404">
        <v>0</v>
      </c>
      <c r="K41" s="407">
        <v>0</v>
      </c>
      <c r="L41" s="403" t="s">
        <v>325</v>
      </c>
    </row>
    <row r="42" spans="2:12" x14ac:dyDescent="0.3">
      <c r="B42" s="401">
        <v>45474</v>
      </c>
      <c r="C42" s="403" t="s">
        <v>458</v>
      </c>
      <c r="D42" s="402" t="s">
        <v>665</v>
      </c>
      <c r="E42" s="404">
        <v>83</v>
      </c>
      <c r="F42" s="405">
        <v>9.0710382513661203E-2</v>
      </c>
      <c r="G42" s="406">
        <v>2</v>
      </c>
      <c r="H42" s="407">
        <v>2.4096385542168676E-2</v>
      </c>
      <c r="I42" s="406">
        <v>0</v>
      </c>
      <c r="J42" s="404">
        <v>0</v>
      </c>
      <c r="K42" s="407">
        <v>0</v>
      </c>
      <c r="L42" s="403" t="s">
        <v>325</v>
      </c>
    </row>
    <row r="43" spans="2:12" x14ac:dyDescent="0.3">
      <c r="B43" s="401">
        <v>45474</v>
      </c>
      <c r="C43" s="403" t="s">
        <v>458</v>
      </c>
      <c r="D43" s="402" t="s">
        <v>666</v>
      </c>
      <c r="E43" s="404">
        <v>109</v>
      </c>
      <c r="F43" s="405">
        <v>0.11912568306010929</v>
      </c>
      <c r="G43" s="406">
        <v>2</v>
      </c>
      <c r="H43" s="407">
        <v>1.834862385321101E-2</v>
      </c>
      <c r="I43" s="406">
        <v>1</v>
      </c>
      <c r="J43" s="404">
        <v>3050</v>
      </c>
      <c r="K43" s="407">
        <v>9.1743119266055051E-3</v>
      </c>
      <c r="L43" s="403" t="s">
        <v>325</v>
      </c>
    </row>
    <row r="44" spans="2:12" x14ac:dyDescent="0.3">
      <c r="B44" s="401">
        <v>45474</v>
      </c>
      <c r="C44" s="403" t="s">
        <v>458</v>
      </c>
      <c r="D44" s="402" t="s">
        <v>667</v>
      </c>
      <c r="E44" s="404">
        <v>0</v>
      </c>
      <c r="F44" s="405">
        <v>0</v>
      </c>
      <c r="G44" s="406">
        <v>0</v>
      </c>
      <c r="H44" s="407">
        <v>0</v>
      </c>
      <c r="I44" s="406">
        <v>0</v>
      </c>
      <c r="J44" s="404">
        <v>0</v>
      </c>
      <c r="K44" s="407">
        <v>0</v>
      </c>
      <c r="L44" s="403" t="s">
        <v>325</v>
      </c>
    </row>
    <row r="45" spans="2:12" x14ac:dyDescent="0.3">
      <c r="B45" s="401">
        <v>45444</v>
      </c>
      <c r="C45" s="403" t="s">
        <v>458</v>
      </c>
      <c r="D45" s="402" t="s">
        <v>662</v>
      </c>
      <c r="E45" s="404">
        <v>504</v>
      </c>
      <c r="F45" s="405">
        <v>0.5569060773480663</v>
      </c>
      <c r="G45" s="406">
        <v>31</v>
      </c>
      <c r="H45" s="407">
        <v>6.1507936507936505E-2</v>
      </c>
      <c r="I45" s="406">
        <v>0</v>
      </c>
      <c r="J45" s="404">
        <v>0</v>
      </c>
      <c r="K45" s="407">
        <v>0</v>
      </c>
      <c r="L45" s="403" t="s">
        <v>325</v>
      </c>
    </row>
    <row r="46" spans="2:12" x14ac:dyDescent="0.3">
      <c r="B46" s="401">
        <v>45444</v>
      </c>
      <c r="C46" s="403" t="s">
        <v>458</v>
      </c>
      <c r="D46" s="402" t="s">
        <v>663</v>
      </c>
      <c r="E46" s="404">
        <v>181</v>
      </c>
      <c r="F46" s="405">
        <v>0.2</v>
      </c>
      <c r="G46" s="406">
        <v>2</v>
      </c>
      <c r="H46" s="407">
        <v>1.1049723756906077E-2</v>
      </c>
      <c r="I46" s="406">
        <v>0</v>
      </c>
      <c r="J46" s="404">
        <v>0</v>
      </c>
      <c r="K46" s="407">
        <v>0</v>
      </c>
      <c r="L46" s="403" t="s">
        <v>325</v>
      </c>
    </row>
    <row r="47" spans="2:12" x14ac:dyDescent="0.3">
      <c r="B47" s="401">
        <v>45444</v>
      </c>
      <c r="C47" s="403" t="s">
        <v>458</v>
      </c>
      <c r="D47" s="402" t="s">
        <v>664</v>
      </c>
      <c r="E47" s="404">
        <v>90</v>
      </c>
      <c r="F47" s="405">
        <v>9.9447513812154692E-2</v>
      </c>
      <c r="G47" s="406">
        <v>2</v>
      </c>
      <c r="H47" s="407">
        <v>2.2222222222222223E-2</v>
      </c>
      <c r="I47" s="406">
        <v>0</v>
      </c>
      <c r="J47" s="404">
        <v>0</v>
      </c>
      <c r="K47" s="407">
        <v>0</v>
      </c>
      <c r="L47" s="403" t="s">
        <v>325</v>
      </c>
    </row>
    <row r="48" spans="2:12" x14ac:dyDescent="0.3">
      <c r="B48" s="401">
        <v>45444</v>
      </c>
      <c r="C48" s="403" t="s">
        <v>458</v>
      </c>
      <c r="D48" s="402" t="s">
        <v>665</v>
      </c>
      <c r="E48" s="404">
        <v>50</v>
      </c>
      <c r="F48" s="405">
        <v>5.5248618784530384E-2</v>
      </c>
      <c r="G48" s="406">
        <v>1</v>
      </c>
      <c r="H48" s="407">
        <v>0.02</v>
      </c>
      <c r="I48" s="406">
        <v>0</v>
      </c>
      <c r="J48" s="404">
        <v>0</v>
      </c>
      <c r="K48" s="407">
        <v>0</v>
      </c>
      <c r="L48" s="403" t="s">
        <v>325</v>
      </c>
    </row>
    <row r="49" spans="2:12" x14ac:dyDescent="0.3">
      <c r="B49" s="401">
        <v>45444</v>
      </c>
      <c r="C49" s="403" t="s">
        <v>458</v>
      </c>
      <c r="D49" s="402" t="s">
        <v>666</v>
      </c>
      <c r="E49" s="404">
        <v>80</v>
      </c>
      <c r="F49" s="405">
        <v>8.8397790055248615E-2</v>
      </c>
      <c r="G49" s="406">
        <v>19</v>
      </c>
      <c r="H49" s="407">
        <v>0.23749999999999999</v>
      </c>
      <c r="I49" s="406">
        <v>2</v>
      </c>
      <c r="J49" s="404">
        <v>13495</v>
      </c>
      <c r="K49" s="407">
        <v>2.5000000000000001E-2</v>
      </c>
      <c r="L49" s="403" t="s">
        <v>325</v>
      </c>
    </row>
    <row r="50" spans="2:12" x14ac:dyDescent="0.3">
      <c r="B50" s="401">
        <v>45444</v>
      </c>
      <c r="C50" s="403" t="s">
        <v>458</v>
      </c>
      <c r="D50" s="402" t="s">
        <v>667</v>
      </c>
      <c r="E50" s="404">
        <v>0</v>
      </c>
      <c r="F50" s="405">
        <v>0</v>
      </c>
      <c r="G50" s="406">
        <v>0</v>
      </c>
      <c r="H50" s="407">
        <v>0</v>
      </c>
      <c r="I50" s="406">
        <v>0</v>
      </c>
      <c r="J50" s="404">
        <v>0</v>
      </c>
      <c r="K50" s="407">
        <v>0</v>
      </c>
      <c r="L50" s="403" t="s">
        <v>325</v>
      </c>
    </row>
    <row r="51" spans="2:12" x14ac:dyDescent="0.3">
      <c r="B51" s="401">
        <v>45413</v>
      </c>
      <c r="C51" s="403" t="s">
        <v>458</v>
      </c>
      <c r="D51" s="402" t="s">
        <v>662</v>
      </c>
      <c r="E51" s="404">
        <v>682</v>
      </c>
      <c r="F51" s="405">
        <v>0.38993710691823902</v>
      </c>
      <c r="G51" s="406">
        <v>27</v>
      </c>
      <c r="H51" s="407">
        <v>3.9589442815249266E-2</v>
      </c>
      <c r="I51" s="406">
        <v>1</v>
      </c>
      <c r="J51" s="404">
        <v>4195</v>
      </c>
      <c r="K51" s="407">
        <v>1.4662756598240469E-3</v>
      </c>
      <c r="L51" s="403" t="s">
        <v>325</v>
      </c>
    </row>
    <row r="52" spans="2:12" x14ac:dyDescent="0.3">
      <c r="B52" s="401">
        <v>45413</v>
      </c>
      <c r="C52" s="403" t="s">
        <v>458</v>
      </c>
      <c r="D52" s="402" t="s">
        <v>663</v>
      </c>
      <c r="E52" s="404">
        <v>210</v>
      </c>
      <c r="F52" s="405">
        <v>0.12006861063464837</v>
      </c>
      <c r="G52" s="406">
        <v>3</v>
      </c>
      <c r="H52" s="407">
        <v>1.4285714285714285E-2</v>
      </c>
      <c r="I52" s="406">
        <v>0</v>
      </c>
      <c r="J52" s="404">
        <v>0</v>
      </c>
      <c r="K52" s="407">
        <v>0</v>
      </c>
      <c r="L52" s="403" t="s">
        <v>325</v>
      </c>
    </row>
    <row r="53" spans="2:12" x14ac:dyDescent="0.3">
      <c r="B53" s="401">
        <v>45413</v>
      </c>
      <c r="C53" s="403" t="s">
        <v>458</v>
      </c>
      <c r="D53" s="402" t="s">
        <v>664</v>
      </c>
      <c r="E53" s="404">
        <v>86</v>
      </c>
      <c r="F53" s="405">
        <v>4.9170954831332186E-2</v>
      </c>
      <c r="G53" s="406">
        <v>2</v>
      </c>
      <c r="H53" s="407">
        <v>2.3255813953488372E-2</v>
      </c>
      <c r="I53" s="406">
        <v>1</v>
      </c>
      <c r="J53" s="404">
        <v>3195</v>
      </c>
      <c r="K53" s="407">
        <v>1.1627906976744186E-2</v>
      </c>
      <c r="L53" s="403" t="s">
        <v>325</v>
      </c>
    </row>
    <row r="54" spans="2:12" x14ac:dyDescent="0.3">
      <c r="B54" s="401">
        <v>45413</v>
      </c>
      <c r="C54" s="403" t="s">
        <v>458</v>
      </c>
      <c r="D54" s="402" t="s">
        <v>665</v>
      </c>
      <c r="E54" s="404">
        <v>214</v>
      </c>
      <c r="F54" s="405">
        <v>0.12235563178959405</v>
      </c>
      <c r="G54" s="406">
        <v>3</v>
      </c>
      <c r="H54" s="407">
        <v>1.4018691588785047E-2</v>
      </c>
      <c r="I54" s="406">
        <v>0</v>
      </c>
      <c r="J54" s="404">
        <v>0</v>
      </c>
      <c r="K54" s="407">
        <v>0</v>
      </c>
      <c r="L54" s="403" t="s">
        <v>325</v>
      </c>
    </row>
    <row r="55" spans="2:12" x14ac:dyDescent="0.3">
      <c r="B55" s="401">
        <v>45413</v>
      </c>
      <c r="C55" s="403" t="s">
        <v>458</v>
      </c>
      <c r="D55" s="402" t="s">
        <v>666</v>
      </c>
      <c r="E55" s="404">
        <v>557</v>
      </c>
      <c r="F55" s="405">
        <v>0.31846769582618639</v>
      </c>
      <c r="G55" s="406">
        <v>14</v>
      </c>
      <c r="H55" s="407">
        <v>2.5134649910233394E-2</v>
      </c>
      <c r="I55" s="406">
        <v>1</v>
      </c>
      <c r="J55" s="404">
        <v>3195</v>
      </c>
      <c r="K55" s="407">
        <v>1.7953321364452424E-3</v>
      </c>
      <c r="L55" s="403" t="s">
        <v>325</v>
      </c>
    </row>
    <row r="56" spans="2:12" x14ac:dyDescent="0.3">
      <c r="B56" s="401">
        <v>45413</v>
      </c>
      <c r="C56" s="403" t="s">
        <v>458</v>
      </c>
      <c r="D56" s="402" t="s">
        <v>667</v>
      </c>
      <c r="E56" s="404">
        <v>0</v>
      </c>
      <c r="F56" s="405">
        <v>0</v>
      </c>
      <c r="G56" s="406">
        <v>0</v>
      </c>
      <c r="H56" s="407">
        <v>0</v>
      </c>
      <c r="I56" s="406">
        <v>0</v>
      </c>
      <c r="J56" s="404">
        <v>0</v>
      </c>
      <c r="K56" s="407">
        <v>0</v>
      </c>
      <c r="L56" s="403" t="s">
        <v>325</v>
      </c>
    </row>
    <row r="57" spans="2:12" x14ac:dyDescent="0.3">
      <c r="B57" s="401">
        <v>45383</v>
      </c>
      <c r="C57" s="403" t="s">
        <v>458</v>
      </c>
      <c r="D57" s="402" t="s">
        <v>662</v>
      </c>
      <c r="E57" s="404">
        <v>650</v>
      </c>
      <c r="F57" s="405">
        <v>0.58139534883720934</v>
      </c>
      <c r="G57" s="406">
        <v>16</v>
      </c>
      <c r="H57" s="407">
        <v>2.4615384615384615E-2</v>
      </c>
      <c r="I57" s="406">
        <v>0</v>
      </c>
      <c r="J57" s="404">
        <v>0</v>
      </c>
      <c r="K57" s="407">
        <v>0</v>
      </c>
      <c r="L57" s="403" t="s">
        <v>325</v>
      </c>
    </row>
    <row r="58" spans="2:12" x14ac:dyDescent="0.3">
      <c r="B58" s="401">
        <v>45383</v>
      </c>
      <c r="C58" s="403" t="s">
        <v>458</v>
      </c>
      <c r="D58" s="402" t="s">
        <v>663</v>
      </c>
      <c r="E58" s="404">
        <v>174</v>
      </c>
      <c r="F58" s="405">
        <v>0.15563506261180679</v>
      </c>
      <c r="G58" s="406">
        <v>2</v>
      </c>
      <c r="H58" s="407">
        <v>1.1494252873563218E-2</v>
      </c>
      <c r="I58" s="406">
        <v>0</v>
      </c>
      <c r="J58" s="404">
        <v>0</v>
      </c>
      <c r="K58" s="407">
        <v>0</v>
      </c>
      <c r="L58" s="403" t="s">
        <v>325</v>
      </c>
    </row>
    <row r="59" spans="2:12" x14ac:dyDescent="0.3">
      <c r="B59" s="401">
        <v>45383</v>
      </c>
      <c r="C59" s="403" t="s">
        <v>458</v>
      </c>
      <c r="D59" s="402" t="s">
        <v>664</v>
      </c>
      <c r="E59" s="404">
        <v>71</v>
      </c>
      <c r="F59" s="405">
        <v>6.3506261180679785E-2</v>
      </c>
      <c r="G59" s="406">
        <v>1</v>
      </c>
      <c r="H59" s="407">
        <v>1.4084507042253521E-2</v>
      </c>
      <c r="I59" s="406">
        <v>0</v>
      </c>
      <c r="J59" s="404">
        <v>0</v>
      </c>
      <c r="K59" s="407">
        <v>0</v>
      </c>
      <c r="L59" s="403" t="s">
        <v>325</v>
      </c>
    </row>
    <row r="60" spans="2:12" x14ac:dyDescent="0.3">
      <c r="B60" s="401">
        <v>45383</v>
      </c>
      <c r="C60" s="403" t="s">
        <v>458</v>
      </c>
      <c r="D60" s="402" t="s">
        <v>665</v>
      </c>
      <c r="E60" s="404">
        <v>118</v>
      </c>
      <c r="F60" s="405">
        <v>0.10554561717352415</v>
      </c>
      <c r="G60" s="406">
        <v>0</v>
      </c>
      <c r="H60" s="407">
        <v>0</v>
      </c>
      <c r="I60" s="406">
        <v>0</v>
      </c>
      <c r="J60" s="404">
        <v>0</v>
      </c>
      <c r="K60" s="407">
        <v>0</v>
      </c>
      <c r="L60" s="403" t="s">
        <v>325</v>
      </c>
    </row>
    <row r="61" spans="2:12" x14ac:dyDescent="0.3">
      <c r="B61" s="401">
        <v>45383</v>
      </c>
      <c r="C61" s="403" t="s">
        <v>458</v>
      </c>
      <c r="D61" s="402" t="s">
        <v>666</v>
      </c>
      <c r="E61" s="404">
        <v>105</v>
      </c>
      <c r="F61" s="405">
        <v>9.3917710196779969E-2</v>
      </c>
      <c r="G61" s="406">
        <v>2</v>
      </c>
      <c r="H61" s="407">
        <v>1.9047619047619049E-2</v>
      </c>
      <c r="I61" s="406">
        <v>0</v>
      </c>
      <c r="J61" s="404">
        <v>0</v>
      </c>
      <c r="K61" s="407">
        <v>0</v>
      </c>
      <c r="L61" s="403" t="s">
        <v>325</v>
      </c>
    </row>
    <row r="62" spans="2:12" x14ac:dyDescent="0.3">
      <c r="B62" s="401">
        <v>45383</v>
      </c>
      <c r="C62" s="403" t="s">
        <v>458</v>
      </c>
      <c r="D62" s="402" t="s">
        <v>667</v>
      </c>
      <c r="E62" s="404">
        <v>0</v>
      </c>
      <c r="F62" s="405">
        <v>0</v>
      </c>
      <c r="G62" s="406">
        <v>0</v>
      </c>
      <c r="H62" s="407">
        <v>0</v>
      </c>
      <c r="I62" s="406">
        <v>0</v>
      </c>
      <c r="J62" s="404">
        <v>0</v>
      </c>
      <c r="K62" s="407">
        <v>0</v>
      </c>
      <c r="L62" s="403" t="s">
        <v>325</v>
      </c>
    </row>
    <row r="63" spans="2:12" x14ac:dyDescent="0.3">
      <c r="B63" s="401">
        <v>45901</v>
      </c>
      <c r="C63" s="403" t="s">
        <v>458</v>
      </c>
      <c r="D63" s="402" t="s">
        <v>662</v>
      </c>
      <c r="E63" s="404">
        <v>368</v>
      </c>
      <c r="F63" s="405">
        <v>0.47545219638242892</v>
      </c>
      <c r="G63" s="406">
        <v>10</v>
      </c>
      <c r="H63" s="407">
        <v>2.717391304347826E-2</v>
      </c>
      <c r="I63" s="406">
        <v>1</v>
      </c>
      <c r="J63" s="404">
        <v>2995</v>
      </c>
      <c r="K63" s="407">
        <v>2.717391304347826E-3</v>
      </c>
      <c r="L63" s="403" t="s">
        <v>570</v>
      </c>
    </row>
    <row r="64" spans="2:12" x14ac:dyDescent="0.3">
      <c r="B64" s="401">
        <v>45901</v>
      </c>
      <c r="C64" s="403" t="s">
        <v>458</v>
      </c>
      <c r="D64" s="402" t="s">
        <v>663</v>
      </c>
      <c r="E64" s="404">
        <v>148</v>
      </c>
      <c r="F64" s="405">
        <v>0.19121447028423771</v>
      </c>
      <c r="G64" s="406">
        <v>2</v>
      </c>
      <c r="H64" s="407">
        <v>1.3513513513513514E-2</v>
      </c>
      <c r="I64" s="406">
        <v>0</v>
      </c>
      <c r="J64" s="404">
        <v>0</v>
      </c>
      <c r="K64" s="407">
        <v>0</v>
      </c>
      <c r="L64" s="403" t="s">
        <v>570</v>
      </c>
    </row>
    <row r="65" spans="2:12" x14ac:dyDescent="0.3">
      <c r="B65" s="401">
        <v>45901</v>
      </c>
      <c r="C65" s="403" t="s">
        <v>458</v>
      </c>
      <c r="D65" s="402" t="s">
        <v>664</v>
      </c>
      <c r="E65" s="404">
        <v>50</v>
      </c>
      <c r="F65" s="405">
        <v>6.4599483204134361E-2</v>
      </c>
      <c r="G65" s="406">
        <v>0</v>
      </c>
      <c r="H65" s="407">
        <v>0</v>
      </c>
      <c r="I65" s="406">
        <v>0</v>
      </c>
      <c r="J65" s="404">
        <v>0</v>
      </c>
      <c r="K65" s="407">
        <v>0</v>
      </c>
      <c r="L65" s="403" t="s">
        <v>570</v>
      </c>
    </row>
    <row r="66" spans="2:12" x14ac:dyDescent="0.3">
      <c r="B66" s="401">
        <v>45901</v>
      </c>
      <c r="C66" s="403" t="s">
        <v>458</v>
      </c>
      <c r="D66" s="402" t="s">
        <v>665</v>
      </c>
      <c r="E66" s="404">
        <v>86</v>
      </c>
      <c r="F66" s="405">
        <v>0.1111111111111111</v>
      </c>
      <c r="G66" s="406">
        <v>1</v>
      </c>
      <c r="H66" s="407">
        <v>1.1627906976744186E-2</v>
      </c>
      <c r="I66" s="406">
        <v>0</v>
      </c>
      <c r="J66" s="404">
        <v>0</v>
      </c>
      <c r="K66" s="407">
        <v>0</v>
      </c>
      <c r="L66" s="403" t="s">
        <v>570</v>
      </c>
    </row>
    <row r="67" spans="2:12" x14ac:dyDescent="0.3">
      <c r="B67" s="401">
        <v>45901</v>
      </c>
      <c r="C67" s="403" t="s">
        <v>458</v>
      </c>
      <c r="D67" s="402" t="s">
        <v>666</v>
      </c>
      <c r="E67" s="404">
        <v>103</v>
      </c>
      <c r="F67" s="405">
        <v>0.13307493540051679</v>
      </c>
      <c r="G67" s="406">
        <v>2</v>
      </c>
      <c r="H67" s="407">
        <v>1.9417475728155338E-2</v>
      </c>
      <c r="I67" s="406">
        <v>0</v>
      </c>
      <c r="J67" s="404">
        <v>0</v>
      </c>
      <c r="K67" s="407">
        <v>0</v>
      </c>
      <c r="L67" s="403" t="s">
        <v>570</v>
      </c>
    </row>
    <row r="68" spans="2:12" x14ac:dyDescent="0.3">
      <c r="B68" s="401">
        <v>45901</v>
      </c>
      <c r="C68" s="403" t="s">
        <v>458</v>
      </c>
      <c r="D68" s="402" t="s">
        <v>667</v>
      </c>
      <c r="E68" s="404">
        <v>19</v>
      </c>
      <c r="F68" s="405">
        <v>2.454780361757106E-2</v>
      </c>
      <c r="G68" s="406">
        <v>0</v>
      </c>
      <c r="H68" s="407">
        <v>0</v>
      </c>
      <c r="I68" s="406">
        <v>0</v>
      </c>
      <c r="J68" s="404">
        <v>0</v>
      </c>
      <c r="K68" s="407">
        <v>0</v>
      </c>
      <c r="L68" s="403" t="s">
        <v>570</v>
      </c>
    </row>
    <row r="69" spans="2:12" x14ac:dyDescent="0.3">
      <c r="B69" s="401">
        <v>45536</v>
      </c>
      <c r="C69" s="403" t="s">
        <v>458</v>
      </c>
      <c r="D69" s="402" t="s">
        <v>662</v>
      </c>
      <c r="E69" s="404">
        <v>471</v>
      </c>
      <c r="F69" s="405">
        <v>0.46131243878550443</v>
      </c>
      <c r="G69" s="406">
        <v>14</v>
      </c>
      <c r="H69" s="407">
        <v>2.9723991507430998E-2</v>
      </c>
      <c r="I69" s="406">
        <v>2</v>
      </c>
      <c r="J69" s="404">
        <v>8190</v>
      </c>
      <c r="K69" s="407">
        <v>4.246284501061571E-3</v>
      </c>
      <c r="L69" s="403" t="s">
        <v>325</v>
      </c>
    </row>
    <row r="70" spans="2:12" x14ac:dyDescent="0.3">
      <c r="B70" s="401">
        <v>45536</v>
      </c>
      <c r="C70" s="403" t="s">
        <v>458</v>
      </c>
      <c r="D70" s="402" t="s">
        <v>663</v>
      </c>
      <c r="E70" s="404">
        <v>259</v>
      </c>
      <c r="F70" s="405">
        <v>0.25367286973555336</v>
      </c>
      <c r="G70" s="406">
        <v>3</v>
      </c>
      <c r="H70" s="407">
        <v>1.1583011583011582E-2</v>
      </c>
      <c r="I70" s="406">
        <v>0</v>
      </c>
      <c r="J70" s="404">
        <v>0</v>
      </c>
      <c r="K70" s="407">
        <v>0</v>
      </c>
      <c r="L70" s="403" t="s">
        <v>325</v>
      </c>
    </row>
    <row r="71" spans="2:12" x14ac:dyDescent="0.3">
      <c r="B71" s="401">
        <v>45536</v>
      </c>
      <c r="C71" s="403" t="s">
        <v>458</v>
      </c>
      <c r="D71" s="402" t="s">
        <v>664</v>
      </c>
      <c r="E71" s="404">
        <v>82</v>
      </c>
      <c r="F71" s="405">
        <v>8.0313418217433888E-2</v>
      </c>
      <c r="G71" s="406">
        <v>0</v>
      </c>
      <c r="H71" s="407">
        <v>0</v>
      </c>
      <c r="I71" s="406">
        <v>0</v>
      </c>
      <c r="J71" s="404">
        <v>0</v>
      </c>
      <c r="K71" s="407">
        <v>0</v>
      </c>
      <c r="L71" s="403" t="s">
        <v>325</v>
      </c>
    </row>
    <row r="72" spans="2:12" x14ac:dyDescent="0.3">
      <c r="B72" s="401">
        <v>45536</v>
      </c>
      <c r="C72" s="403" t="s">
        <v>458</v>
      </c>
      <c r="D72" s="402" t="s">
        <v>665</v>
      </c>
      <c r="E72" s="404">
        <v>84</v>
      </c>
      <c r="F72" s="405">
        <v>8.2272282076395684E-2</v>
      </c>
      <c r="G72" s="406">
        <v>1</v>
      </c>
      <c r="H72" s="407">
        <v>1.1904761904761904E-2</v>
      </c>
      <c r="I72" s="406">
        <v>0</v>
      </c>
      <c r="J72" s="404">
        <v>0</v>
      </c>
      <c r="K72" s="407">
        <v>0</v>
      </c>
      <c r="L72" s="403" t="s">
        <v>325</v>
      </c>
    </row>
    <row r="73" spans="2:12" x14ac:dyDescent="0.3">
      <c r="B73" s="401">
        <v>45536</v>
      </c>
      <c r="C73" s="403" t="s">
        <v>458</v>
      </c>
      <c r="D73" s="402" t="s">
        <v>666</v>
      </c>
      <c r="E73" s="404">
        <v>120</v>
      </c>
      <c r="F73" s="405">
        <v>0.11753183153770813</v>
      </c>
      <c r="G73" s="406">
        <v>2</v>
      </c>
      <c r="H73" s="407">
        <v>1.6666666666666666E-2</v>
      </c>
      <c r="I73" s="406">
        <v>0</v>
      </c>
      <c r="J73" s="404">
        <v>0</v>
      </c>
      <c r="K73" s="407">
        <v>0</v>
      </c>
      <c r="L73" s="403" t="s">
        <v>325</v>
      </c>
    </row>
    <row r="74" spans="2:12" x14ac:dyDescent="0.3">
      <c r="B74" s="401">
        <v>45536</v>
      </c>
      <c r="C74" s="403" t="s">
        <v>458</v>
      </c>
      <c r="D74" s="402" t="s">
        <v>667</v>
      </c>
      <c r="E74" s="404">
        <v>5</v>
      </c>
      <c r="F74" s="405">
        <v>4.8971596474045058E-3</v>
      </c>
      <c r="G74" s="406">
        <v>0</v>
      </c>
      <c r="H74" s="407">
        <v>0</v>
      </c>
      <c r="I74" s="406">
        <v>0</v>
      </c>
      <c r="J74" s="404">
        <v>0</v>
      </c>
      <c r="K74" s="407">
        <v>0</v>
      </c>
      <c r="L74" s="403" t="s">
        <v>325</v>
      </c>
    </row>
    <row r="75" spans="2:12" x14ac:dyDescent="0.3">
      <c r="B75" s="401">
        <v>45931</v>
      </c>
      <c r="C75" s="403" t="s">
        <v>458</v>
      </c>
      <c r="D75" s="402" t="s">
        <v>662</v>
      </c>
      <c r="E75" s="404">
        <v>385</v>
      </c>
      <c r="F75" s="405">
        <v>0.62398703403565636</v>
      </c>
      <c r="G75" s="406">
        <v>16</v>
      </c>
      <c r="H75" s="407">
        <v>4.1558441558441558E-2</v>
      </c>
      <c r="I75" s="406">
        <v>3</v>
      </c>
      <c r="J75" s="404">
        <v>8890</v>
      </c>
      <c r="K75" s="407">
        <v>7.7922077922077922E-3</v>
      </c>
      <c r="L75" s="403" t="s">
        <v>570</v>
      </c>
    </row>
    <row r="76" spans="2:12" x14ac:dyDescent="0.3">
      <c r="B76" s="401">
        <v>45931</v>
      </c>
      <c r="C76" s="403" t="s">
        <v>458</v>
      </c>
      <c r="D76" s="402" t="s">
        <v>663</v>
      </c>
      <c r="E76" s="404">
        <v>91</v>
      </c>
      <c r="F76" s="405">
        <v>0.14748784440842788</v>
      </c>
      <c r="G76" s="406">
        <v>2</v>
      </c>
      <c r="H76" s="407">
        <v>2.197802197802198E-2</v>
      </c>
      <c r="I76" s="406">
        <v>0</v>
      </c>
      <c r="J76" s="404">
        <v>0</v>
      </c>
      <c r="K76" s="407">
        <v>0</v>
      </c>
      <c r="L76" s="403" t="s">
        <v>570</v>
      </c>
    </row>
    <row r="77" spans="2:12" x14ac:dyDescent="0.3">
      <c r="B77" s="401">
        <v>45931</v>
      </c>
      <c r="C77" s="403" t="s">
        <v>458</v>
      </c>
      <c r="D77" s="402" t="s">
        <v>664</v>
      </c>
      <c r="E77" s="404">
        <v>53</v>
      </c>
      <c r="F77" s="405">
        <v>8.5899513776337116E-2</v>
      </c>
      <c r="G77" s="406">
        <v>0</v>
      </c>
      <c r="H77" s="407">
        <v>0</v>
      </c>
      <c r="I77" s="406">
        <v>0</v>
      </c>
      <c r="J77" s="404">
        <v>0</v>
      </c>
      <c r="K77" s="407">
        <v>0</v>
      </c>
      <c r="L77" s="403" t="s">
        <v>570</v>
      </c>
    </row>
    <row r="78" spans="2:12" x14ac:dyDescent="0.3">
      <c r="B78" s="401">
        <v>45931</v>
      </c>
      <c r="C78" s="403" t="s">
        <v>458</v>
      </c>
      <c r="D78" s="402" t="s">
        <v>665</v>
      </c>
      <c r="E78" s="404">
        <v>47</v>
      </c>
      <c r="F78" s="405">
        <v>7.6175040518638576E-2</v>
      </c>
      <c r="G78" s="406">
        <v>1</v>
      </c>
      <c r="H78" s="407">
        <v>2.1276595744680851E-2</v>
      </c>
      <c r="I78" s="406">
        <v>0</v>
      </c>
      <c r="J78" s="404">
        <v>0</v>
      </c>
      <c r="K78" s="407">
        <v>0</v>
      </c>
      <c r="L78" s="403" t="s">
        <v>570</v>
      </c>
    </row>
    <row r="79" spans="2:12" x14ac:dyDescent="0.3">
      <c r="B79" s="401">
        <v>45931</v>
      </c>
      <c r="C79" s="403" t="s">
        <v>458</v>
      </c>
      <c r="D79" s="402" t="s">
        <v>666</v>
      </c>
      <c r="E79" s="404">
        <v>33</v>
      </c>
      <c r="F79" s="405">
        <v>5.3484602917341979E-2</v>
      </c>
      <c r="G79" s="406">
        <v>1</v>
      </c>
      <c r="H79" s="407">
        <v>3.0303030303030304E-2</v>
      </c>
      <c r="I79" s="406">
        <v>0</v>
      </c>
      <c r="J79" s="404">
        <v>0</v>
      </c>
      <c r="K79" s="407">
        <v>0</v>
      </c>
      <c r="L79" s="403" t="s">
        <v>570</v>
      </c>
    </row>
    <row r="80" spans="2:12" x14ac:dyDescent="0.3">
      <c r="B80" s="401">
        <v>45931</v>
      </c>
      <c r="C80" s="403" t="s">
        <v>458</v>
      </c>
      <c r="D80" s="402" t="s">
        <v>667</v>
      </c>
      <c r="E80" s="404">
        <v>8</v>
      </c>
      <c r="F80" s="405">
        <v>1.2965964343598054E-2</v>
      </c>
      <c r="G80" s="406">
        <v>0</v>
      </c>
      <c r="H80" s="407">
        <v>0</v>
      </c>
      <c r="I80" s="406">
        <v>0</v>
      </c>
      <c r="J80" s="404">
        <v>0</v>
      </c>
      <c r="K80" s="407">
        <v>0</v>
      </c>
      <c r="L80" s="403" t="s">
        <v>570</v>
      </c>
    </row>
    <row r="81" spans="2:12" x14ac:dyDescent="0.3">
      <c r="B81" s="401">
        <v>45566</v>
      </c>
      <c r="C81" s="403" t="s">
        <v>458</v>
      </c>
      <c r="D81" s="402" t="s">
        <v>662</v>
      </c>
      <c r="E81" s="404">
        <v>527</v>
      </c>
      <c r="F81" s="405">
        <v>0.54554865424430643</v>
      </c>
      <c r="G81" s="406">
        <v>19</v>
      </c>
      <c r="H81" s="407">
        <v>3.6053130929791274E-2</v>
      </c>
      <c r="I81" s="406">
        <v>0</v>
      </c>
      <c r="J81" s="404">
        <v>0</v>
      </c>
      <c r="K81" s="407">
        <v>0</v>
      </c>
      <c r="L81" s="403" t="s">
        <v>325</v>
      </c>
    </row>
    <row r="82" spans="2:12" x14ac:dyDescent="0.3">
      <c r="B82" s="401">
        <v>45566</v>
      </c>
      <c r="C82" s="403" t="s">
        <v>458</v>
      </c>
      <c r="D82" s="402" t="s">
        <v>663</v>
      </c>
      <c r="E82" s="404">
        <v>208</v>
      </c>
      <c r="F82" s="405">
        <v>0.21532091097308489</v>
      </c>
      <c r="G82" s="406">
        <v>2</v>
      </c>
      <c r="H82" s="407">
        <v>9.6153846153846159E-3</v>
      </c>
      <c r="I82" s="406">
        <v>0</v>
      </c>
      <c r="J82" s="404">
        <v>0</v>
      </c>
      <c r="K82" s="407">
        <v>0</v>
      </c>
      <c r="L82" s="403" t="s">
        <v>325</v>
      </c>
    </row>
    <row r="83" spans="2:12" x14ac:dyDescent="0.3">
      <c r="B83" s="401">
        <v>45566</v>
      </c>
      <c r="C83" s="403" t="s">
        <v>458</v>
      </c>
      <c r="D83" s="402" t="s">
        <v>664</v>
      </c>
      <c r="E83" s="404">
        <v>84</v>
      </c>
      <c r="F83" s="405">
        <v>8.6956521739130432E-2</v>
      </c>
      <c r="G83" s="406">
        <v>4</v>
      </c>
      <c r="H83" s="407">
        <v>4.7619047619047616E-2</v>
      </c>
      <c r="I83" s="406">
        <v>0</v>
      </c>
      <c r="J83" s="404">
        <v>0</v>
      </c>
      <c r="K83" s="407">
        <v>0</v>
      </c>
      <c r="L83" s="403" t="s">
        <v>325</v>
      </c>
    </row>
    <row r="84" spans="2:12" x14ac:dyDescent="0.3">
      <c r="B84" s="401">
        <v>45566</v>
      </c>
      <c r="C84" s="403" t="s">
        <v>458</v>
      </c>
      <c r="D84" s="402" t="s">
        <v>665</v>
      </c>
      <c r="E84" s="404">
        <v>77</v>
      </c>
      <c r="F84" s="405">
        <v>7.9710144927536225E-2</v>
      </c>
      <c r="G84" s="406">
        <v>0</v>
      </c>
      <c r="H84" s="407">
        <v>0</v>
      </c>
      <c r="I84" s="406">
        <v>0</v>
      </c>
      <c r="J84" s="404">
        <v>0</v>
      </c>
      <c r="K84" s="407">
        <v>0</v>
      </c>
      <c r="L84" s="403" t="s">
        <v>325</v>
      </c>
    </row>
    <row r="85" spans="2:12" x14ac:dyDescent="0.3">
      <c r="B85" s="401">
        <v>45566</v>
      </c>
      <c r="C85" s="403" t="s">
        <v>458</v>
      </c>
      <c r="D85" s="402" t="s">
        <v>666</v>
      </c>
      <c r="E85" s="404">
        <v>61</v>
      </c>
      <c r="F85" s="405">
        <v>6.3146997929606624E-2</v>
      </c>
      <c r="G85" s="406">
        <v>2</v>
      </c>
      <c r="H85" s="407">
        <v>3.2786885245901641E-2</v>
      </c>
      <c r="I85" s="406">
        <v>0</v>
      </c>
      <c r="J85" s="404">
        <v>0</v>
      </c>
      <c r="K85" s="407">
        <v>0</v>
      </c>
      <c r="L85" s="403" t="s">
        <v>325</v>
      </c>
    </row>
    <row r="86" spans="2:12" x14ac:dyDescent="0.3">
      <c r="B86" s="401">
        <v>45566</v>
      </c>
      <c r="C86" s="403" t="s">
        <v>458</v>
      </c>
      <c r="D86" s="402" t="s">
        <v>667</v>
      </c>
      <c r="E86" s="404">
        <v>9</v>
      </c>
      <c r="F86" s="405">
        <v>9.316770186335404E-3</v>
      </c>
      <c r="G86" s="406">
        <v>0</v>
      </c>
      <c r="H86" s="407">
        <v>0</v>
      </c>
      <c r="I86" s="406">
        <v>0</v>
      </c>
      <c r="J86" s="404">
        <v>0</v>
      </c>
      <c r="K86" s="407">
        <v>0</v>
      </c>
      <c r="L86" s="403" t="s">
        <v>325</v>
      </c>
    </row>
    <row r="87" spans="2:12" x14ac:dyDescent="0.3">
      <c r="B87" s="401">
        <v>45962</v>
      </c>
      <c r="C87" s="403" t="s">
        <v>458</v>
      </c>
      <c r="D87" s="402" t="s">
        <v>662</v>
      </c>
      <c r="E87" s="404">
        <v>375</v>
      </c>
      <c r="F87" s="405">
        <v>0.59904153354632583</v>
      </c>
      <c r="G87" s="406">
        <v>8</v>
      </c>
      <c r="H87" s="407">
        <v>2.1333333333333333E-2</v>
      </c>
      <c r="I87" s="406">
        <v>0</v>
      </c>
      <c r="J87" s="404">
        <v>0</v>
      </c>
      <c r="K87" s="407">
        <v>0</v>
      </c>
      <c r="L87" s="403" t="s">
        <v>570</v>
      </c>
    </row>
    <row r="88" spans="2:12" x14ac:dyDescent="0.3">
      <c r="B88" s="401">
        <v>45962</v>
      </c>
      <c r="C88" s="403" t="s">
        <v>458</v>
      </c>
      <c r="D88" s="402" t="s">
        <v>663</v>
      </c>
      <c r="E88" s="404">
        <v>134</v>
      </c>
      <c r="F88" s="405">
        <v>0.21405750798722045</v>
      </c>
      <c r="G88" s="406">
        <v>3</v>
      </c>
      <c r="H88" s="407">
        <v>2.2388059701492536E-2</v>
      </c>
      <c r="I88" s="406">
        <v>0</v>
      </c>
      <c r="J88" s="404">
        <v>0</v>
      </c>
      <c r="K88" s="407">
        <v>0</v>
      </c>
      <c r="L88" s="403" t="s">
        <v>570</v>
      </c>
    </row>
    <row r="89" spans="2:12" x14ac:dyDescent="0.3">
      <c r="B89" s="401">
        <v>45962</v>
      </c>
      <c r="C89" s="403" t="s">
        <v>458</v>
      </c>
      <c r="D89" s="402" t="s">
        <v>664</v>
      </c>
      <c r="E89" s="404">
        <v>36</v>
      </c>
      <c r="F89" s="405">
        <v>5.7507987220447282E-2</v>
      </c>
      <c r="G89" s="406">
        <v>1</v>
      </c>
      <c r="H89" s="407">
        <v>2.7777777777777776E-2</v>
      </c>
      <c r="I89" s="406">
        <v>0</v>
      </c>
      <c r="J89" s="404">
        <v>0</v>
      </c>
      <c r="K89" s="407">
        <v>0</v>
      </c>
      <c r="L89" s="403" t="s">
        <v>570</v>
      </c>
    </row>
    <row r="90" spans="2:12" x14ac:dyDescent="0.3">
      <c r="B90" s="401">
        <v>45962</v>
      </c>
      <c r="C90" s="403" t="s">
        <v>458</v>
      </c>
      <c r="D90" s="402" t="s">
        <v>665</v>
      </c>
      <c r="E90" s="404">
        <v>44</v>
      </c>
      <c r="F90" s="405">
        <v>7.0287539936102233E-2</v>
      </c>
      <c r="G90" s="406">
        <v>1</v>
      </c>
      <c r="H90" s="407">
        <v>2.2727272727272728E-2</v>
      </c>
      <c r="I90" s="406">
        <v>0</v>
      </c>
      <c r="J90" s="404">
        <v>0</v>
      </c>
      <c r="K90" s="407">
        <v>0</v>
      </c>
      <c r="L90" s="403" t="s">
        <v>570</v>
      </c>
    </row>
    <row r="91" spans="2:12" x14ac:dyDescent="0.3">
      <c r="B91" s="401">
        <v>45962</v>
      </c>
      <c r="C91" s="403" t="s">
        <v>458</v>
      </c>
      <c r="D91" s="402" t="s">
        <v>666</v>
      </c>
      <c r="E91" s="404">
        <v>32</v>
      </c>
      <c r="F91" s="405">
        <v>5.1118210862619806E-2</v>
      </c>
      <c r="G91" s="406">
        <v>0</v>
      </c>
      <c r="H91" s="407">
        <v>0</v>
      </c>
      <c r="I91" s="406">
        <v>0</v>
      </c>
      <c r="J91" s="404">
        <v>0</v>
      </c>
      <c r="K91" s="407">
        <v>0</v>
      </c>
      <c r="L91" s="403" t="s">
        <v>570</v>
      </c>
    </row>
    <row r="92" spans="2:12" x14ac:dyDescent="0.3">
      <c r="B92" s="401">
        <v>45962</v>
      </c>
      <c r="C92" s="403" t="s">
        <v>458</v>
      </c>
      <c r="D92" s="402" t="s">
        <v>667</v>
      </c>
      <c r="E92" s="404">
        <v>5</v>
      </c>
      <c r="F92" s="405">
        <v>7.9872204472843447E-3</v>
      </c>
      <c r="G92" s="406">
        <v>0</v>
      </c>
      <c r="H92" s="407">
        <v>0</v>
      </c>
      <c r="I92" s="406">
        <v>0</v>
      </c>
      <c r="J92" s="404">
        <v>0</v>
      </c>
      <c r="K92" s="407">
        <v>0</v>
      </c>
      <c r="L92" s="403" t="s">
        <v>570</v>
      </c>
    </row>
    <row r="93" spans="2:12" x14ac:dyDescent="0.3">
      <c r="B93" s="401">
        <v>45597</v>
      </c>
      <c r="C93" s="403" t="s">
        <v>458</v>
      </c>
      <c r="D93" s="402" t="s">
        <v>662</v>
      </c>
      <c r="E93" s="404">
        <v>517</v>
      </c>
      <c r="F93" s="405">
        <v>0.53575129533678756</v>
      </c>
      <c r="G93" s="406">
        <v>22</v>
      </c>
      <c r="H93" s="407">
        <v>4.2553191489361701E-2</v>
      </c>
      <c r="I93" s="406">
        <v>1</v>
      </c>
      <c r="J93" s="404">
        <v>4995</v>
      </c>
      <c r="K93" s="407">
        <v>1.9342359767891683E-3</v>
      </c>
      <c r="L93" s="403" t="s">
        <v>325</v>
      </c>
    </row>
    <row r="94" spans="2:12" x14ac:dyDescent="0.3">
      <c r="B94" s="401">
        <v>45597</v>
      </c>
      <c r="C94" s="403" t="s">
        <v>458</v>
      </c>
      <c r="D94" s="402" t="s">
        <v>663</v>
      </c>
      <c r="E94" s="404">
        <v>227</v>
      </c>
      <c r="F94" s="405">
        <v>0.23523316062176167</v>
      </c>
      <c r="G94" s="406">
        <v>1</v>
      </c>
      <c r="H94" s="407">
        <v>4.4052863436123352E-3</v>
      </c>
      <c r="I94" s="406">
        <v>0</v>
      </c>
      <c r="J94" s="404">
        <v>0</v>
      </c>
      <c r="K94" s="407">
        <v>0</v>
      </c>
      <c r="L94" s="403" t="s">
        <v>325</v>
      </c>
    </row>
    <row r="95" spans="2:12" x14ac:dyDescent="0.3">
      <c r="B95" s="401">
        <v>45597</v>
      </c>
      <c r="C95" s="403" t="s">
        <v>458</v>
      </c>
      <c r="D95" s="402" t="s">
        <v>664</v>
      </c>
      <c r="E95" s="404">
        <v>66</v>
      </c>
      <c r="F95" s="405">
        <v>6.8393782383419685E-2</v>
      </c>
      <c r="G95" s="406">
        <v>2</v>
      </c>
      <c r="H95" s="407">
        <v>3.0303030303030304E-2</v>
      </c>
      <c r="I95" s="406">
        <v>0</v>
      </c>
      <c r="J95" s="404">
        <v>0</v>
      </c>
      <c r="K95" s="407">
        <v>0</v>
      </c>
      <c r="L95" s="403" t="s">
        <v>325</v>
      </c>
    </row>
    <row r="96" spans="2:12" x14ac:dyDescent="0.3">
      <c r="B96" s="401">
        <v>45597</v>
      </c>
      <c r="C96" s="403" t="s">
        <v>458</v>
      </c>
      <c r="D96" s="402" t="s">
        <v>665</v>
      </c>
      <c r="E96" s="404">
        <v>74</v>
      </c>
      <c r="F96" s="405">
        <v>7.6683937823834203E-2</v>
      </c>
      <c r="G96" s="406">
        <v>9</v>
      </c>
      <c r="H96" s="407">
        <v>0.12162162162162163</v>
      </c>
      <c r="I96" s="406">
        <v>1</v>
      </c>
      <c r="J96" s="404">
        <v>5450</v>
      </c>
      <c r="K96" s="407">
        <v>1.3513513513513514E-2</v>
      </c>
      <c r="L96" s="403" t="s">
        <v>325</v>
      </c>
    </row>
    <row r="97" spans="2:12" x14ac:dyDescent="0.3">
      <c r="B97" s="401">
        <v>45597</v>
      </c>
      <c r="C97" s="403" t="s">
        <v>458</v>
      </c>
      <c r="D97" s="402" t="s">
        <v>666</v>
      </c>
      <c r="E97" s="404">
        <v>65</v>
      </c>
      <c r="F97" s="405">
        <v>6.7357512953367879E-2</v>
      </c>
      <c r="G97" s="406">
        <v>1</v>
      </c>
      <c r="H97" s="407">
        <v>1.5384615384615385E-2</v>
      </c>
      <c r="I97" s="406">
        <v>0</v>
      </c>
      <c r="J97" s="404">
        <v>0</v>
      </c>
      <c r="K97" s="407">
        <v>0</v>
      </c>
      <c r="L97" s="403" t="s">
        <v>325</v>
      </c>
    </row>
    <row r="98" spans="2:12" x14ac:dyDescent="0.3">
      <c r="B98" s="401">
        <v>45597</v>
      </c>
      <c r="C98" s="403" t="s">
        <v>458</v>
      </c>
      <c r="D98" s="402" t="s">
        <v>667</v>
      </c>
      <c r="E98" s="404">
        <v>16</v>
      </c>
      <c r="F98" s="405">
        <v>1.6580310880829015E-2</v>
      </c>
      <c r="G98" s="406">
        <v>0</v>
      </c>
      <c r="H98" s="407">
        <v>0</v>
      </c>
      <c r="I98" s="406">
        <v>0</v>
      </c>
      <c r="J98" s="404">
        <v>0</v>
      </c>
      <c r="K98" s="407">
        <v>0</v>
      </c>
      <c r="L98" s="403" t="s">
        <v>325</v>
      </c>
    </row>
    <row r="99" spans="2:12" x14ac:dyDescent="0.3">
      <c r="B99" s="401">
        <v>45992</v>
      </c>
      <c r="C99" s="403" t="s">
        <v>458</v>
      </c>
      <c r="D99" s="402" t="s">
        <v>662</v>
      </c>
      <c r="E99" s="404">
        <v>419</v>
      </c>
      <c r="F99" s="405">
        <v>0.51159951159951156</v>
      </c>
      <c r="G99" s="406">
        <v>9</v>
      </c>
      <c r="H99" s="407">
        <v>2.1479713603818614E-2</v>
      </c>
      <c r="I99" s="406">
        <v>0</v>
      </c>
      <c r="J99" s="404">
        <v>0</v>
      </c>
      <c r="K99" s="407">
        <v>0</v>
      </c>
      <c r="L99" s="403" t="s">
        <v>570</v>
      </c>
    </row>
    <row r="100" spans="2:12" x14ac:dyDescent="0.3">
      <c r="B100" s="401">
        <v>45992</v>
      </c>
      <c r="C100" s="403" t="s">
        <v>458</v>
      </c>
      <c r="D100" s="402" t="s">
        <v>663</v>
      </c>
      <c r="E100" s="404">
        <v>162</v>
      </c>
      <c r="F100" s="405">
        <v>0.19780219780219779</v>
      </c>
      <c r="G100" s="406">
        <v>4</v>
      </c>
      <c r="H100" s="407">
        <v>2.4691358024691357E-2</v>
      </c>
      <c r="I100" s="406">
        <v>0</v>
      </c>
      <c r="J100" s="404">
        <v>0</v>
      </c>
      <c r="K100" s="407">
        <v>0</v>
      </c>
      <c r="L100" s="403" t="s">
        <v>570</v>
      </c>
    </row>
    <row r="101" spans="2:12" x14ac:dyDescent="0.3">
      <c r="B101" s="401">
        <v>45992</v>
      </c>
      <c r="C101" s="403" t="s">
        <v>458</v>
      </c>
      <c r="D101" s="402" t="s">
        <v>664</v>
      </c>
      <c r="E101" s="404">
        <v>44</v>
      </c>
      <c r="F101" s="405">
        <v>5.3724053724053727E-2</v>
      </c>
      <c r="G101" s="406">
        <v>0</v>
      </c>
      <c r="H101" s="407">
        <v>0</v>
      </c>
      <c r="I101" s="406">
        <v>0</v>
      </c>
      <c r="J101" s="404">
        <v>0</v>
      </c>
      <c r="K101" s="407">
        <v>0</v>
      </c>
      <c r="L101" s="403" t="s">
        <v>570</v>
      </c>
    </row>
    <row r="102" spans="2:12" x14ac:dyDescent="0.3">
      <c r="B102" s="401">
        <v>45992</v>
      </c>
      <c r="C102" s="403" t="s">
        <v>458</v>
      </c>
      <c r="D102" s="402" t="s">
        <v>665</v>
      </c>
      <c r="E102" s="404">
        <v>53</v>
      </c>
      <c r="F102" s="405">
        <v>6.4713064713064719E-2</v>
      </c>
      <c r="G102" s="406">
        <v>0</v>
      </c>
      <c r="H102" s="407">
        <v>0</v>
      </c>
      <c r="I102" s="406">
        <v>0</v>
      </c>
      <c r="J102" s="404">
        <v>0</v>
      </c>
      <c r="K102" s="407">
        <v>0</v>
      </c>
      <c r="L102" s="403" t="s">
        <v>570</v>
      </c>
    </row>
    <row r="103" spans="2:12" x14ac:dyDescent="0.3">
      <c r="B103" s="401">
        <v>45992</v>
      </c>
      <c r="C103" s="403" t="s">
        <v>458</v>
      </c>
      <c r="D103" s="402" t="s">
        <v>666</v>
      </c>
      <c r="E103" s="404">
        <v>128</v>
      </c>
      <c r="F103" s="405">
        <v>0.15628815628815629</v>
      </c>
      <c r="G103" s="406">
        <v>4</v>
      </c>
      <c r="H103" s="407">
        <v>3.125E-2</v>
      </c>
      <c r="I103" s="406">
        <v>0</v>
      </c>
      <c r="J103" s="404">
        <v>0</v>
      </c>
      <c r="K103" s="407">
        <v>0</v>
      </c>
      <c r="L103" s="403" t="s">
        <v>570</v>
      </c>
    </row>
    <row r="104" spans="2:12" x14ac:dyDescent="0.3">
      <c r="B104" s="401">
        <v>45992</v>
      </c>
      <c r="C104" s="403" t="s">
        <v>458</v>
      </c>
      <c r="D104" s="402" t="s">
        <v>667</v>
      </c>
      <c r="E104" s="404">
        <v>13</v>
      </c>
      <c r="F104" s="405">
        <v>1.5873015873015872E-2</v>
      </c>
      <c r="G104" s="406">
        <v>1</v>
      </c>
      <c r="H104" s="407">
        <v>7.6923076923076927E-2</v>
      </c>
      <c r="I104" s="406">
        <v>0</v>
      </c>
      <c r="J104" s="404">
        <v>0</v>
      </c>
      <c r="K104" s="407">
        <v>0</v>
      </c>
      <c r="L104" s="403" t="s">
        <v>570</v>
      </c>
    </row>
    <row r="105" spans="2:12" x14ac:dyDescent="0.3">
      <c r="B105" s="401">
        <v>45627</v>
      </c>
      <c r="C105" s="403" t="s">
        <v>458</v>
      </c>
      <c r="D105" s="402" t="s">
        <v>662</v>
      </c>
      <c r="E105" s="404">
        <v>541</v>
      </c>
      <c r="F105" s="405">
        <v>0.54701718907987862</v>
      </c>
      <c r="G105" s="406">
        <v>39</v>
      </c>
      <c r="H105" s="407">
        <v>7.2088724584103508E-2</v>
      </c>
      <c r="I105" s="406">
        <v>2</v>
      </c>
      <c r="J105" s="404">
        <v>4790</v>
      </c>
      <c r="K105" s="407">
        <v>3.6968576709796672E-3</v>
      </c>
      <c r="L105" s="403" t="s">
        <v>325</v>
      </c>
    </row>
    <row r="106" spans="2:12" x14ac:dyDescent="0.3">
      <c r="B106" s="401">
        <v>45627</v>
      </c>
      <c r="C106" s="403" t="s">
        <v>458</v>
      </c>
      <c r="D106" s="402" t="s">
        <v>663</v>
      </c>
      <c r="E106" s="404">
        <v>158</v>
      </c>
      <c r="F106" s="405">
        <v>0.15975733063700709</v>
      </c>
      <c r="G106" s="406">
        <v>6</v>
      </c>
      <c r="H106" s="407">
        <v>3.7974683544303799E-2</v>
      </c>
      <c r="I106" s="406">
        <v>0</v>
      </c>
      <c r="J106" s="404">
        <v>0</v>
      </c>
      <c r="K106" s="407">
        <v>0</v>
      </c>
      <c r="L106" s="403" t="s">
        <v>325</v>
      </c>
    </row>
    <row r="107" spans="2:12" x14ac:dyDescent="0.3">
      <c r="B107" s="401">
        <v>45627</v>
      </c>
      <c r="C107" s="403" t="s">
        <v>458</v>
      </c>
      <c r="D107" s="402" t="s">
        <v>664</v>
      </c>
      <c r="E107" s="404">
        <v>76</v>
      </c>
      <c r="F107" s="405">
        <v>7.6845298281092017E-2</v>
      </c>
      <c r="G107" s="406">
        <v>0</v>
      </c>
      <c r="H107" s="407">
        <v>0</v>
      </c>
      <c r="I107" s="406">
        <v>0</v>
      </c>
      <c r="J107" s="404">
        <v>0</v>
      </c>
      <c r="K107" s="407">
        <v>0</v>
      </c>
      <c r="L107" s="403" t="s">
        <v>325</v>
      </c>
    </row>
    <row r="108" spans="2:12" x14ac:dyDescent="0.3">
      <c r="B108" s="401">
        <v>45627</v>
      </c>
      <c r="C108" s="403" t="s">
        <v>458</v>
      </c>
      <c r="D108" s="402" t="s">
        <v>665</v>
      </c>
      <c r="E108" s="404">
        <v>116</v>
      </c>
      <c r="F108" s="405">
        <v>0.11729019211324571</v>
      </c>
      <c r="G108" s="406">
        <v>0</v>
      </c>
      <c r="H108" s="407">
        <v>0</v>
      </c>
      <c r="I108" s="406">
        <v>0</v>
      </c>
      <c r="J108" s="404">
        <v>0</v>
      </c>
      <c r="K108" s="407">
        <v>0</v>
      </c>
      <c r="L108" s="403" t="s">
        <v>325</v>
      </c>
    </row>
    <row r="109" spans="2:12" x14ac:dyDescent="0.3">
      <c r="B109" s="401">
        <v>45627</v>
      </c>
      <c r="C109" s="403" t="s">
        <v>458</v>
      </c>
      <c r="D109" s="402" t="s">
        <v>666</v>
      </c>
      <c r="E109" s="404">
        <v>85</v>
      </c>
      <c r="F109" s="405">
        <v>8.5945399393326599E-2</v>
      </c>
      <c r="G109" s="406">
        <v>6</v>
      </c>
      <c r="H109" s="407">
        <v>7.0588235294117646E-2</v>
      </c>
      <c r="I109" s="406">
        <v>0</v>
      </c>
      <c r="J109" s="404">
        <v>0</v>
      </c>
      <c r="K109" s="407">
        <v>0</v>
      </c>
      <c r="L109" s="403" t="s">
        <v>325</v>
      </c>
    </row>
    <row r="110" spans="2:12" x14ac:dyDescent="0.3">
      <c r="B110" s="401">
        <v>45627</v>
      </c>
      <c r="C110" s="403" t="s">
        <v>458</v>
      </c>
      <c r="D110" s="402" t="s">
        <v>667</v>
      </c>
      <c r="E110" s="404">
        <v>13</v>
      </c>
      <c r="F110" s="405">
        <v>1.314459049544995E-2</v>
      </c>
      <c r="G110" s="406">
        <v>0</v>
      </c>
      <c r="H110" s="407">
        <v>0</v>
      </c>
      <c r="I110" s="406">
        <v>0</v>
      </c>
      <c r="J110" s="404">
        <v>0</v>
      </c>
      <c r="K110" s="407">
        <v>0</v>
      </c>
      <c r="L110" s="403" t="s">
        <v>325</v>
      </c>
    </row>
  </sheetData>
  <autoFilter ref="B2:L62" xr:uid="{B8F2B534-10BD-471C-AF24-D41EAE48B192}"/>
  <phoneticPr fontId="1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D1F43-1AF7-4BE9-9DEE-88D666940B18}">
  <dimension ref="A1:AU32"/>
  <sheetViews>
    <sheetView showGridLines="0" zoomScaleNormal="100" workbookViewId="0">
      <selection activeCell="C13" sqref="C13"/>
    </sheetView>
  </sheetViews>
  <sheetFormatPr defaultRowHeight="14" x14ac:dyDescent="0.3"/>
  <cols>
    <col min="1" max="5" width="14.5" style="198" customWidth="1"/>
    <col min="6" max="6" width="23.25" style="198" bestFit="1" customWidth="1"/>
    <col min="7" max="8" width="14.5" style="198" customWidth="1"/>
    <col min="9" max="10" width="14.5" customWidth="1"/>
    <col min="14" max="14" width="8.83203125" bestFit="1" customWidth="1"/>
    <col min="15" max="15" width="12.08203125" bestFit="1" customWidth="1"/>
    <col min="16" max="16" width="8" bestFit="1" customWidth="1"/>
    <col min="17" max="17" width="11.33203125" bestFit="1" customWidth="1"/>
    <col min="18" max="18" width="8.5" bestFit="1" customWidth="1"/>
    <col min="19" max="19" width="8.83203125" bestFit="1" customWidth="1"/>
    <col min="20" max="20" width="11.33203125" bestFit="1" customWidth="1"/>
    <col min="21" max="21" width="11.58203125" bestFit="1" customWidth="1"/>
    <col min="24" max="24" width="9" customWidth="1"/>
    <col min="25" max="25" width="16.83203125" bestFit="1" customWidth="1"/>
    <col min="26" max="26" width="9" customWidth="1"/>
    <col min="27" max="27" width="16.75" bestFit="1" customWidth="1"/>
    <col min="28" max="28" width="17.58203125" bestFit="1" customWidth="1"/>
    <col min="29" max="31" width="15.1640625" customWidth="1"/>
    <col min="32" max="32" width="11.5" bestFit="1" customWidth="1"/>
    <col min="33" max="33" width="13.58203125" bestFit="1" customWidth="1"/>
    <col min="34" max="34" width="14.33203125" bestFit="1" customWidth="1"/>
    <col min="35" max="47" width="9" customWidth="1"/>
  </cols>
  <sheetData>
    <row r="1" spans="1:47" x14ac:dyDescent="0.3">
      <c r="A1" s="330" t="s">
        <v>445</v>
      </c>
      <c r="B1" s="330" t="s">
        <v>446</v>
      </c>
      <c r="C1" s="330" t="s">
        <v>449</v>
      </c>
      <c r="D1" s="330" t="s">
        <v>450</v>
      </c>
      <c r="E1" s="330" t="s">
        <v>447</v>
      </c>
      <c r="F1" s="330" t="s">
        <v>451</v>
      </c>
      <c r="G1" s="330" t="s">
        <v>452</v>
      </c>
      <c r="H1" s="330" t="s">
        <v>448</v>
      </c>
      <c r="I1" s="330" t="s">
        <v>453</v>
      </c>
      <c r="J1" s="330" t="s">
        <v>501</v>
      </c>
      <c r="N1" t="s">
        <v>463</v>
      </c>
      <c r="O1" t="s">
        <v>464</v>
      </c>
      <c r="P1" t="s">
        <v>465</v>
      </c>
      <c r="Q1" t="s">
        <v>466</v>
      </c>
      <c r="R1" t="s">
        <v>467</v>
      </c>
      <c r="S1" t="s">
        <v>472</v>
      </c>
      <c r="T1" t="s">
        <v>473</v>
      </c>
      <c r="U1" t="s">
        <v>474</v>
      </c>
      <c r="V1" t="s">
        <v>482</v>
      </c>
      <c r="X1" s="2"/>
      <c r="Y1" s="2"/>
      <c r="Z1" s="3" t="s">
        <v>465</v>
      </c>
      <c r="AA1" s="3" t="s">
        <v>1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47" x14ac:dyDescent="0.3">
      <c r="A2" s="2" t="s">
        <v>329</v>
      </c>
      <c r="B2" s="2">
        <f t="shared" ref="B2:B25" si="0">YEAR(C2)</f>
        <v>2023</v>
      </c>
      <c r="C2" s="331">
        <v>45017</v>
      </c>
      <c r="D2" s="343">
        <v>25494</v>
      </c>
      <c r="E2" s="343">
        <v>3051</v>
      </c>
      <c r="F2" s="343">
        <v>742</v>
      </c>
      <c r="G2" s="332">
        <f t="shared" ref="G2:G25" si="1">D2-F2</f>
        <v>24752</v>
      </c>
      <c r="H2" s="2">
        <v>70</v>
      </c>
      <c r="I2" s="341">
        <f t="shared" ref="I2:I13" si="2">E2/D2</f>
        <v>0.11967521769828195</v>
      </c>
      <c r="J2" s="344">
        <f>H2/E2</f>
        <v>2.2943297279580464E-2</v>
      </c>
      <c r="K2" s="62">
        <v>0.11967521769828195</v>
      </c>
      <c r="N2" t="s">
        <v>468</v>
      </c>
      <c r="O2" t="s">
        <v>469</v>
      </c>
      <c r="P2" t="s">
        <v>247</v>
      </c>
      <c r="Q2">
        <v>6657906.9299999997</v>
      </c>
      <c r="R2">
        <v>2054</v>
      </c>
      <c r="S2">
        <v>3948</v>
      </c>
      <c r="T2">
        <v>17819187</v>
      </c>
      <c r="U2">
        <v>4759</v>
      </c>
      <c r="V2">
        <v>1836</v>
      </c>
      <c r="X2" s="2"/>
      <c r="Y2" s="2"/>
      <c r="Z2" s="658" t="s">
        <v>246</v>
      </c>
      <c r="AA2" s="660"/>
      <c r="AB2" s="660"/>
      <c r="AC2" s="660"/>
      <c r="AD2" s="660"/>
      <c r="AE2" s="660"/>
      <c r="AF2" s="660"/>
      <c r="AG2" s="660"/>
      <c r="AH2" s="660"/>
      <c r="AI2" s="660"/>
      <c r="AJ2" s="660"/>
      <c r="AK2" s="658" t="s">
        <v>247</v>
      </c>
      <c r="AL2" s="660"/>
      <c r="AM2" s="660"/>
      <c r="AN2" s="660"/>
      <c r="AO2" s="660"/>
      <c r="AP2" s="660"/>
      <c r="AQ2" s="660"/>
      <c r="AR2" s="660"/>
      <c r="AS2" s="660"/>
      <c r="AT2" s="660"/>
      <c r="AU2" s="660"/>
    </row>
    <row r="3" spans="1:47" ht="14" customHeight="1" x14ac:dyDescent="0.3">
      <c r="A3" s="2" t="s">
        <v>329</v>
      </c>
      <c r="B3" s="2">
        <f t="shared" si="0"/>
        <v>2023</v>
      </c>
      <c r="C3" s="331">
        <v>45047</v>
      </c>
      <c r="D3" s="343">
        <v>25881</v>
      </c>
      <c r="E3" s="343">
        <v>4429</v>
      </c>
      <c r="F3" s="343">
        <v>467</v>
      </c>
      <c r="G3" s="332">
        <f t="shared" si="1"/>
        <v>25414</v>
      </c>
      <c r="H3" s="2">
        <v>246</v>
      </c>
      <c r="I3" s="341">
        <f t="shared" si="2"/>
        <v>0.17112939994590626</v>
      </c>
      <c r="J3" s="344">
        <f t="shared" ref="J3:J25" si="3">H3/E3</f>
        <v>5.5543011966583879E-2</v>
      </c>
      <c r="K3" s="62">
        <v>0.17112939994590626</v>
      </c>
      <c r="N3" t="s">
        <v>468</v>
      </c>
      <c r="O3" t="s">
        <v>469</v>
      </c>
      <c r="P3" t="s">
        <v>246</v>
      </c>
      <c r="Q3">
        <v>7507365.6100000003</v>
      </c>
      <c r="R3">
        <v>2486</v>
      </c>
      <c r="S3">
        <v>5992</v>
      </c>
      <c r="T3">
        <v>27404163</v>
      </c>
      <c r="U3">
        <v>7581</v>
      </c>
      <c r="V3">
        <v>2093</v>
      </c>
      <c r="X3" s="3" t="s">
        <v>463</v>
      </c>
      <c r="Y3" s="3" t="s">
        <v>464</v>
      </c>
      <c r="Z3" s="5" t="s">
        <v>475</v>
      </c>
      <c r="AA3" s="5" t="s">
        <v>481</v>
      </c>
      <c r="AB3" s="5" t="s">
        <v>483</v>
      </c>
      <c r="AC3" s="5" t="s">
        <v>484</v>
      </c>
      <c r="AD3" s="5" t="s">
        <v>476</v>
      </c>
      <c r="AE3" s="5" t="s">
        <v>477</v>
      </c>
      <c r="AF3" s="5" t="s">
        <v>478</v>
      </c>
      <c r="AG3" s="5" t="s">
        <v>479</v>
      </c>
      <c r="AH3" s="5" t="s">
        <v>487</v>
      </c>
      <c r="AI3" s="5" t="s">
        <v>480</v>
      </c>
      <c r="AJ3" s="5" t="s">
        <v>488</v>
      </c>
      <c r="AK3" s="5" t="s">
        <v>475</v>
      </c>
      <c r="AL3" s="5" t="s">
        <v>481</v>
      </c>
      <c r="AM3" s="5" t="s">
        <v>483</v>
      </c>
      <c r="AN3" s="5" t="s">
        <v>484</v>
      </c>
      <c r="AO3" s="5" t="s">
        <v>476</v>
      </c>
      <c r="AP3" s="5" t="s">
        <v>477</v>
      </c>
      <c r="AQ3" s="5" t="s">
        <v>478</v>
      </c>
      <c r="AR3" s="5" t="s">
        <v>479</v>
      </c>
      <c r="AS3" s="5" t="s">
        <v>487</v>
      </c>
      <c r="AT3" s="5" t="s">
        <v>480</v>
      </c>
      <c r="AU3" s="5" t="s">
        <v>488</v>
      </c>
    </row>
    <row r="4" spans="1:47" x14ac:dyDescent="0.3">
      <c r="A4" s="2" t="s">
        <v>329</v>
      </c>
      <c r="B4" s="2">
        <f t="shared" si="0"/>
        <v>2023</v>
      </c>
      <c r="C4" s="331">
        <v>45078</v>
      </c>
      <c r="D4" s="343">
        <v>26609</v>
      </c>
      <c r="E4" s="343">
        <v>5861</v>
      </c>
      <c r="F4" s="343">
        <v>816</v>
      </c>
      <c r="G4" s="332">
        <f t="shared" si="1"/>
        <v>25793</v>
      </c>
      <c r="H4" s="2">
        <v>470</v>
      </c>
      <c r="I4" s="341">
        <f t="shared" si="2"/>
        <v>0.22026382051185689</v>
      </c>
      <c r="J4" s="344">
        <f t="shared" si="3"/>
        <v>8.0191093670022182E-2</v>
      </c>
      <c r="K4">
        <v>0.22026382051185689</v>
      </c>
      <c r="N4" t="s">
        <v>468</v>
      </c>
      <c r="O4" t="s">
        <v>470</v>
      </c>
      <c r="P4" t="s">
        <v>247</v>
      </c>
      <c r="Q4">
        <v>1675396.15</v>
      </c>
      <c r="R4">
        <v>438</v>
      </c>
      <c r="S4">
        <v>435</v>
      </c>
      <c r="T4">
        <v>3154866</v>
      </c>
      <c r="U4">
        <v>771</v>
      </c>
      <c r="V4">
        <v>289</v>
      </c>
      <c r="X4" s="658" t="s">
        <v>468</v>
      </c>
      <c r="Y4" s="5" t="s">
        <v>469</v>
      </c>
      <c r="Z4" s="333">
        <v>7507365.6100000003</v>
      </c>
      <c r="AA4" s="4">
        <v>0.37422921937794534</v>
      </c>
      <c r="AB4" s="14">
        <v>2093</v>
      </c>
      <c r="AC4" s="4">
        <v>0.46233708857963329</v>
      </c>
      <c r="AD4" s="334">
        <v>2486</v>
      </c>
      <c r="AE4" s="334">
        <v>5992</v>
      </c>
      <c r="AF4" s="333">
        <v>27404163</v>
      </c>
      <c r="AG4" s="334">
        <v>7581</v>
      </c>
      <c r="AH4" s="335">
        <v>1.1877687529861443</v>
      </c>
      <c r="AI4" s="4">
        <v>0.72605017675599148</v>
      </c>
      <c r="AJ4" s="334">
        <v>3586.8923124701387</v>
      </c>
      <c r="AK4" s="333">
        <v>6657906.9299999997</v>
      </c>
      <c r="AL4" s="4">
        <v>0.36573362972629614</v>
      </c>
      <c r="AM4" s="14">
        <v>1836</v>
      </c>
      <c r="AN4" s="4">
        <v>0.43261074458058435</v>
      </c>
      <c r="AO4" s="334">
        <v>2054</v>
      </c>
      <c r="AP4" s="334">
        <v>3948</v>
      </c>
      <c r="AQ4" s="333">
        <v>17819187</v>
      </c>
      <c r="AR4" s="334">
        <v>4759</v>
      </c>
      <c r="AS4" s="335">
        <v>1.1187363834422659</v>
      </c>
      <c r="AT4" s="4">
        <v>0.62636303609137722</v>
      </c>
      <c r="AU4" s="334">
        <v>3626.3109640522875</v>
      </c>
    </row>
    <row r="5" spans="1:47" x14ac:dyDescent="0.3">
      <c r="A5" s="2" t="s">
        <v>329</v>
      </c>
      <c r="B5" s="2">
        <f t="shared" si="0"/>
        <v>2023</v>
      </c>
      <c r="C5" s="331">
        <v>45108</v>
      </c>
      <c r="D5" s="343">
        <v>26908</v>
      </c>
      <c r="E5" s="343">
        <v>3493</v>
      </c>
      <c r="F5" s="343">
        <v>374</v>
      </c>
      <c r="G5" s="332">
        <f t="shared" si="1"/>
        <v>26534</v>
      </c>
      <c r="H5" s="2">
        <v>143</v>
      </c>
      <c r="I5" s="341">
        <f t="shared" si="2"/>
        <v>0.12981269510926119</v>
      </c>
      <c r="J5" s="344">
        <f t="shared" si="3"/>
        <v>4.0939020898940741E-2</v>
      </c>
      <c r="K5">
        <v>0.12981269510926119</v>
      </c>
      <c r="N5" t="s">
        <v>468</v>
      </c>
      <c r="O5" t="s">
        <v>470</v>
      </c>
      <c r="P5" t="s">
        <v>246</v>
      </c>
      <c r="Q5">
        <v>2357987.33</v>
      </c>
      <c r="R5">
        <v>692</v>
      </c>
      <c r="S5">
        <v>784</v>
      </c>
      <c r="T5">
        <v>5074550</v>
      </c>
      <c r="U5">
        <v>1379</v>
      </c>
      <c r="V5">
        <v>470</v>
      </c>
      <c r="X5" s="660"/>
      <c r="Y5" s="5" t="s">
        <v>470</v>
      </c>
      <c r="Z5" s="333">
        <v>2357987.33</v>
      </c>
      <c r="AA5" s="4">
        <v>0.11754159896429842</v>
      </c>
      <c r="AB5" s="14">
        <v>470</v>
      </c>
      <c r="AC5" s="4">
        <v>0.10382151535233046</v>
      </c>
      <c r="AD5" s="334">
        <v>692</v>
      </c>
      <c r="AE5" s="334">
        <v>784</v>
      </c>
      <c r="AF5" s="333">
        <v>5074550</v>
      </c>
      <c r="AG5" s="334">
        <v>1379</v>
      </c>
      <c r="AH5" s="335">
        <v>1.4723404255319148</v>
      </c>
      <c r="AI5" s="4">
        <v>0.53533075248051554</v>
      </c>
      <c r="AJ5" s="334">
        <v>5016.9943191489365</v>
      </c>
      <c r="AK5" s="333">
        <v>1675396.15</v>
      </c>
      <c r="AL5" s="4">
        <v>9.2033235311230477E-2</v>
      </c>
      <c r="AM5" s="14">
        <v>289</v>
      </c>
      <c r="AN5" s="4">
        <v>6.8096135721017914E-2</v>
      </c>
      <c r="AO5" s="334">
        <v>438</v>
      </c>
      <c r="AP5" s="334">
        <v>435</v>
      </c>
      <c r="AQ5" s="333">
        <v>3154866</v>
      </c>
      <c r="AR5" s="334">
        <v>771</v>
      </c>
      <c r="AS5" s="335">
        <v>1.5155709342560553</v>
      </c>
      <c r="AT5" s="4">
        <v>0.46894855439185057</v>
      </c>
      <c r="AU5" s="334">
        <v>5797.2185121107259</v>
      </c>
    </row>
    <row r="6" spans="1:47" x14ac:dyDescent="0.3">
      <c r="A6" s="2" t="s">
        <v>329</v>
      </c>
      <c r="B6" s="2">
        <f t="shared" si="0"/>
        <v>2023</v>
      </c>
      <c r="C6" s="331">
        <v>45139</v>
      </c>
      <c r="D6" s="343">
        <v>27356</v>
      </c>
      <c r="E6" s="343">
        <v>3597</v>
      </c>
      <c r="F6" s="343">
        <v>508</v>
      </c>
      <c r="G6" s="332">
        <f t="shared" si="1"/>
        <v>26848</v>
      </c>
      <c r="H6" s="2">
        <v>109</v>
      </c>
      <c r="I6" s="341">
        <f t="shared" si="2"/>
        <v>0.13148852171370085</v>
      </c>
      <c r="J6" s="344">
        <f t="shared" si="3"/>
        <v>3.0303030303030304E-2</v>
      </c>
      <c r="K6">
        <v>0.13148852171370085</v>
      </c>
      <c r="N6" t="s">
        <v>471</v>
      </c>
      <c r="O6" t="s">
        <v>469</v>
      </c>
      <c r="P6" t="s">
        <v>247</v>
      </c>
      <c r="Q6">
        <v>5967306.5700000003</v>
      </c>
      <c r="R6">
        <v>1775</v>
      </c>
      <c r="S6">
        <v>2114</v>
      </c>
      <c r="T6">
        <v>10914312.5</v>
      </c>
      <c r="U6">
        <v>3020</v>
      </c>
      <c r="V6">
        <v>1538</v>
      </c>
      <c r="X6" s="658" t="s">
        <v>485</v>
      </c>
      <c r="Y6" s="660"/>
      <c r="Z6" s="333">
        <v>9865352.9400000013</v>
      </c>
      <c r="AA6" s="4">
        <v>0.49177081834224379</v>
      </c>
      <c r="AB6" s="14">
        <v>2563</v>
      </c>
      <c r="AC6" s="4">
        <v>0.56615860393196382</v>
      </c>
      <c r="AD6" s="334">
        <v>3178</v>
      </c>
      <c r="AE6" s="334">
        <v>6776</v>
      </c>
      <c r="AF6" s="333">
        <v>32478713</v>
      </c>
      <c r="AG6" s="334">
        <v>8960</v>
      </c>
      <c r="AH6" s="335">
        <v>1.2399531798673429</v>
      </c>
      <c r="AI6" s="4">
        <v>0.69625172832433346</v>
      </c>
      <c r="AJ6" s="334">
        <v>3849.1427779945384</v>
      </c>
      <c r="AK6" s="333">
        <v>8333303.0800000001</v>
      </c>
      <c r="AL6" s="4">
        <v>0.45776686503752667</v>
      </c>
      <c r="AM6" s="14">
        <v>2125</v>
      </c>
      <c r="AN6" s="4">
        <v>0.50070688030160226</v>
      </c>
      <c r="AO6" s="334">
        <v>2492</v>
      </c>
      <c r="AP6" s="334">
        <v>4383</v>
      </c>
      <c r="AQ6" s="333">
        <v>20974053</v>
      </c>
      <c r="AR6" s="334">
        <v>5530</v>
      </c>
      <c r="AS6" s="335">
        <v>1.1727058823529413</v>
      </c>
      <c r="AT6" s="4">
        <v>0.60268513291160275</v>
      </c>
      <c r="AU6" s="334">
        <v>3921.5543905882355</v>
      </c>
    </row>
    <row r="7" spans="1:47" x14ac:dyDescent="0.3">
      <c r="A7" s="2" t="s">
        <v>329</v>
      </c>
      <c r="B7" s="2">
        <f t="shared" si="0"/>
        <v>2023</v>
      </c>
      <c r="C7" s="331">
        <v>45170</v>
      </c>
      <c r="D7" s="343">
        <v>27503</v>
      </c>
      <c r="E7" s="343">
        <v>3138</v>
      </c>
      <c r="F7" s="343">
        <v>188</v>
      </c>
      <c r="G7" s="332">
        <f t="shared" si="1"/>
        <v>27315</v>
      </c>
      <c r="H7" s="2">
        <v>46</v>
      </c>
      <c r="I7" s="341">
        <f t="shared" si="2"/>
        <v>0.11409664400247246</v>
      </c>
      <c r="J7" s="344">
        <f t="shared" si="3"/>
        <v>1.4659018483110261E-2</v>
      </c>
      <c r="K7">
        <v>0.11409664400247246</v>
      </c>
      <c r="N7" t="s">
        <v>471</v>
      </c>
      <c r="O7" t="s">
        <v>469</v>
      </c>
      <c r="P7" t="s">
        <v>246</v>
      </c>
      <c r="Q7">
        <v>5082421.0999999996</v>
      </c>
      <c r="R7">
        <v>1532</v>
      </c>
      <c r="S7">
        <v>2036</v>
      </c>
      <c r="T7">
        <v>11913719.5</v>
      </c>
      <c r="U7">
        <v>3254</v>
      </c>
      <c r="V7">
        <v>1197</v>
      </c>
      <c r="X7" s="658" t="s">
        <v>471</v>
      </c>
      <c r="Y7" s="5" t="s">
        <v>469</v>
      </c>
      <c r="Z7" s="333">
        <v>5082421.0999999996</v>
      </c>
      <c r="AA7" s="4">
        <v>0.25334992054596339</v>
      </c>
      <c r="AB7" s="14">
        <v>1197</v>
      </c>
      <c r="AC7" s="4">
        <v>0.26441351888667991</v>
      </c>
      <c r="AD7" s="334">
        <v>1532</v>
      </c>
      <c r="AE7" s="334">
        <v>2036</v>
      </c>
      <c r="AF7" s="333">
        <v>11913719.5</v>
      </c>
      <c r="AG7" s="334">
        <v>3254</v>
      </c>
      <c r="AH7" s="335">
        <v>1.2798663324979114</v>
      </c>
      <c r="AI7" s="4">
        <v>0.57339761944202228</v>
      </c>
      <c r="AJ7" s="334">
        <v>4245.9658312447782</v>
      </c>
      <c r="AK7" s="333">
        <v>5967306.5700000003</v>
      </c>
      <c r="AL7" s="4">
        <v>0.32779741658774952</v>
      </c>
      <c r="AM7" s="14">
        <v>1538</v>
      </c>
      <c r="AN7" s="4">
        <v>0.36239396795475964</v>
      </c>
      <c r="AO7" s="334">
        <v>1775</v>
      </c>
      <c r="AP7" s="334">
        <v>2114</v>
      </c>
      <c r="AQ7" s="333">
        <v>10914312.5</v>
      </c>
      <c r="AR7" s="334">
        <v>3020</v>
      </c>
      <c r="AS7" s="335">
        <v>1.1540962288686607</v>
      </c>
      <c r="AT7" s="4">
        <v>0.4532585932462535</v>
      </c>
      <c r="AU7" s="334">
        <v>3879.9132444733423</v>
      </c>
    </row>
    <row r="8" spans="1:47" x14ac:dyDescent="0.3">
      <c r="A8" s="2" t="s">
        <v>329</v>
      </c>
      <c r="B8" s="2">
        <f t="shared" si="0"/>
        <v>2023</v>
      </c>
      <c r="C8" s="331">
        <v>45200</v>
      </c>
      <c r="D8" s="343">
        <v>28561</v>
      </c>
      <c r="E8" s="343">
        <v>5649</v>
      </c>
      <c r="F8" s="343">
        <v>1131</v>
      </c>
      <c r="G8" s="332">
        <f t="shared" si="1"/>
        <v>27430</v>
      </c>
      <c r="H8" s="2">
        <v>655</v>
      </c>
      <c r="I8" s="341">
        <f t="shared" si="2"/>
        <v>0.1977871923251987</v>
      </c>
      <c r="J8" s="344">
        <f t="shared" si="3"/>
        <v>0.11594972561515313</v>
      </c>
      <c r="K8">
        <v>0.1977871923251987</v>
      </c>
      <c r="N8" t="s">
        <v>471</v>
      </c>
      <c r="O8" t="s">
        <v>470</v>
      </c>
      <c r="P8" t="s">
        <v>247</v>
      </c>
      <c r="Q8">
        <v>3903641.72</v>
      </c>
      <c r="R8">
        <v>1110</v>
      </c>
      <c r="S8">
        <v>801</v>
      </c>
      <c r="T8">
        <v>7731219</v>
      </c>
      <c r="U8">
        <v>2057</v>
      </c>
      <c r="V8">
        <v>581</v>
      </c>
      <c r="X8" s="660"/>
      <c r="Y8" s="5" t="s">
        <v>470</v>
      </c>
      <c r="Z8" s="333">
        <v>5113101.01</v>
      </c>
      <c r="AA8" s="4">
        <v>0.25487926111179282</v>
      </c>
      <c r="AB8" s="14">
        <v>767</v>
      </c>
      <c r="AC8" s="4">
        <v>0.1694278771813563</v>
      </c>
      <c r="AD8" s="334">
        <v>1644</v>
      </c>
      <c r="AE8" s="334">
        <v>1095</v>
      </c>
      <c r="AF8" s="333">
        <v>10853715</v>
      </c>
      <c r="AG8" s="334">
        <v>3114</v>
      </c>
      <c r="AH8" s="335">
        <v>2.1434159061277707</v>
      </c>
      <c r="AI8" s="4">
        <v>0.52890775094057663</v>
      </c>
      <c r="AJ8" s="334">
        <v>6666.3637679269877</v>
      </c>
      <c r="AK8" s="333">
        <v>3903641.72</v>
      </c>
      <c r="AL8" s="4">
        <v>0.2144357183747238</v>
      </c>
      <c r="AM8" s="14">
        <v>581</v>
      </c>
      <c r="AN8" s="4">
        <v>0.13689915174363806</v>
      </c>
      <c r="AO8" s="334">
        <v>1110</v>
      </c>
      <c r="AP8" s="334">
        <v>801</v>
      </c>
      <c r="AQ8" s="333">
        <v>7731219</v>
      </c>
      <c r="AR8" s="334">
        <v>2057</v>
      </c>
      <c r="AS8" s="335">
        <v>1.9104991394148021</v>
      </c>
      <c r="AT8" s="4">
        <v>0.49508069555396117</v>
      </c>
      <c r="AU8" s="334">
        <v>6718.8325645438899</v>
      </c>
    </row>
    <row r="9" spans="1:47" x14ac:dyDescent="0.3">
      <c r="A9" s="2" t="s">
        <v>329</v>
      </c>
      <c r="B9" s="2">
        <f t="shared" si="0"/>
        <v>2023</v>
      </c>
      <c r="C9" s="331">
        <v>45231</v>
      </c>
      <c r="D9" s="343">
        <v>29470</v>
      </c>
      <c r="E9" s="343">
        <v>6246</v>
      </c>
      <c r="F9" s="343">
        <v>1033</v>
      </c>
      <c r="G9" s="332">
        <f t="shared" si="1"/>
        <v>28437</v>
      </c>
      <c r="H9" s="2">
        <v>853</v>
      </c>
      <c r="I9" s="341">
        <f t="shared" si="2"/>
        <v>0.21194435018663046</v>
      </c>
      <c r="J9" s="344">
        <f t="shared" si="3"/>
        <v>0.13656740313800833</v>
      </c>
      <c r="K9">
        <v>0.21194435018663046</v>
      </c>
      <c r="N9" t="s">
        <v>471</v>
      </c>
      <c r="O9" t="s">
        <v>470</v>
      </c>
      <c r="P9" t="s">
        <v>246</v>
      </c>
      <c r="Q9">
        <v>5113101.01</v>
      </c>
      <c r="R9">
        <v>1644</v>
      </c>
      <c r="S9">
        <v>1095</v>
      </c>
      <c r="T9">
        <v>10853715</v>
      </c>
      <c r="U9">
        <v>3114</v>
      </c>
      <c r="V9">
        <v>767</v>
      </c>
      <c r="X9" s="658" t="s">
        <v>486</v>
      </c>
      <c r="Y9" s="660"/>
      <c r="Z9" s="333">
        <v>10195522.109999999</v>
      </c>
      <c r="AA9" s="4">
        <v>0.50822918165775621</v>
      </c>
      <c r="AB9" s="14">
        <v>1964</v>
      </c>
      <c r="AC9" s="4">
        <v>0.43384139606803623</v>
      </c>
      <c r="AD9" s="334">
        <v>3176</v>
      </c>
      <c r="AE9" s="334">
        <v>3131</v>
      </c>
      <c r="AF9" s="333">
        <v>22767434.5</v>
      </c>
      <c r="AG9" s="334">
        <v>6368</v>
      </c>
      <c r="AH9" s="335">
        <v>1.6171079429735233</v>
      </c>
      <c r="AI9" s="4">
        <v>0.55218836316406228</v>
      </c>
      <c r="AJ9" s="334">
        <v>5191.2027036659874</v>
      </c>
      <c r="AK9" s="333">
        <v>9870948.290000001</v>
      </c>
      <c r="AL9" s="4">
        <v>0.54223313496247338</v>
      </c>
      <c r="AM9" s="14">
        <v>2119</v>
      </c>
      <c r="AN9" s="4">
        <v>0.49929311969839774</v>
      </c>
      <c r="AO9" s="334">
        <v>2885</v>
      </c>
      <c r="AP9" s="334">
        <v>2915</v>
      </c>
      <c r="AQ9" s="333">
        <v>18645531.5</v>
      </c>
      <c r="AR9" s="334">
        <v>5077</v>
      </c>
      <c r="AS9" s="335">
        <v>1.3614912694667296</v>
      </c>
      <c r="AT9" s="4">
        <v>0.4705997900891159</v>
      </c>
      <c r="AU9" s="334">
        <v>4658.3049976403972</v>
      </c>
    </row>
    <row r="10" spans="1:47" x14ac:dyDescent="0.3">
      <c r="A10" s="2" t="s">
        <v>329</v>
      </c>
      <c r="B10" s="2">
        <f t="shared" si="0"/>
        <v>2023</v>
      </c>
      <c r="C10" s="331">
        <v>45261</v>
      </c>
      <c r="D10" s="343">
        <v>29989</v>
      </c>
      <c r="E10" s="343">
        <v>5096</v>
      </c>
      <c r="F10" s="343">
        <v>614</v>
      </c>
      <c r="G10" s="332">
        <f t="shared" si="1"/>
        <v>29375</v>
      </c>
      <c r="H10" s="2">
        <v>334</v>
      </c>
      <c r="I10" s="341">
        <f t="shared" si="2"/>
        <v>0.16992897395711762</v>
      </c>
      <c r="J10" s="344">
        <f t="shared" si="3"/>
        <v>6.5541601255886969E-2</v>
      </c>
      <c r="K10">
        <v>0.16992897395711762</v>
      </c>
      <c r="X10" s="658" t="s">
        <v>0</v>
      </c>
      <c r="Y10" s="660"/>
      <c r="Z10" s="333">
        <v>20060875.050000001</v>
      </c>
      <c r="AA10" s="4">
        <v>1</v>
      </c>
      <c r="AB10" s="14">
        <v>4527</v>
      </c>
      <c r="AC10" s="4">
        <v>1</v>
      </c>
      <c r="AD10" s="334">
        <v>6354</v>
      </c>
      <c r="AE10" s="334">
        <v>9907</v>
      </c>
      <c r="AF10" s="333">
        <v>55246147.5</v>
      </c>
      <c r="AG10" s="334">
        <v>15328</v>
      </c>
      <c r="AH10" s="335">
        <v>1.4035785288270377</v>
      </c>
      <c r="AI10" s="4">
        <v>0.63688191923246773</v>
      </c>
      <c r="AJ10" s="334">
        <v>4431.3839297548047</v>
      </c>
      <c r="AK10" s="333">
        <v>18204251.370000001</v>
      </c>
      <c r="AL10" s="4">
        <v>1</v>
      </c>
      <c r="AM10" s="14">
        <v>4244</v>
      </c>
      <c r="AN10" s="4">
        <v>1</v>
      </c>
      <c r="AO10" s="334">
        <v>5377</v>
      </c>
      <c r="AP10" s="334">
        <v>7298</v>
      </c>
      <c r="AQ10" s="333">
        <v>39619584.5</v>
      </c>
      <c r="AR10" s="334">
        <v>10607</v>
      </c>
      <c r="AS10" s="335">
        <v>1.2669651272384543</v>
      </c>
      <c r="AT10" s="4">
        <v>0.54052392018396866</v>
      </c>
      <c r="AU10" s="334">
        <v>4289.4088996229975</v>
      </c>
    </row>
    <row r="11" spans="1:47" x14ac:dyDescent="0.3">
      <c r="A11" s="2" t="s">
        <v>329</v>
      </c>
      <c r="B11" s="2">
        <f t="shared" si="0"/>
        <v>2024</v>
      </c>
      <c r="C11" s="331">
        <v>45292</v>
      </c>
      <c r="D11" s="343">
        <v>30250</v>
      </c>
      <c r="E11" s="343">
        <v>4381</v>
      </c>
      <c r="F11" s="343">
        <v>328</v>
      </c>
      <c r="G11" s="332">
        <f t="shared" si="1"/>
        <v>29922</v>
      </c>
      <c r="H11" s="2">
        <v>188</v>
      </c>
      <c r="I11" s="341">
        <f t="shared" si="2"/>
        <v>0.14482644628099173</v>
      </c>
      <c r="J11" s="344">
        <f t="shared" si="3"/>
        <v>4.291257703720612E-2</v>
      </c>
      <c r="K11">
        <v>0.14482644628099173</v>
      </c>
    </row>
    <row r="12" spans="1:47" x14ac:dyDescent="0.3">
      <c r="A12" s="2" t="s">
        <v>329</v>
      </c>
      <c r="B12" s="2">
        <f t="shared" si="0"/>
        <v>2024</v>
      </c>
      <c r="C12" s="331">
        <v>45323</v>
      </c>
      <c r="D12" s="343">
        <v>30423</v>
      </c>
      <c r="E12" s="343">
        <v>3695</v>
      </c>
      <c r="F12" s="343">
        <v>217</v>
      </c>
      <c r="G12" s="332">
        <f t="shared" si="1"/>
        <v>30206</v>
      </c>
      <c r="H12" s="2">
        <v>90</v>
      </c>
      <c r="I12" s="341">
        <f t="shared" si="2"/>
        <v>0.1214541629688065</v>
      </c>
      <c r="J12" s="344">
        <f t="shared" si="3"/>
        <v>2.4357239512855209E-2</v>
      </c>
      <c r="K12">
        <v>0.1214541629688065</v>
      </c>
    </row>
    <row r="13" spans="1:47" x14ac:dyDescent="0.3">
      <c r="A13" s="2" t="s">
        <v>329</v>
      </c>
      <c r="B13" s="2">
        <f t="shared" si="0"/>
        <v>2024</v>
      </c>
      <c r="C13" s="331">
        <v>45352</v>
      </c>
      <c r="D13" s="343">
        <v>30580</v>
      </c>
      <c r="E13" s="343">
        <v>4349</v>
      </c>
      <c r="F13" s="343">
        <v>185</v>
      </c>
      <c r="G13" s="332">
        <f t="shared" si="1"/>
        <v>30395</v>
      </c>
      <c r="H13" s="2">
        <v>80</v>
      </c>
      <c r="I13" s="341">
        <f t="shared" si="2"/>
        <v>0.142217135382603</v>
      </c>
      <c r="J13" s="344">
        <f t="shared" si="3"/>
        <v>1.8395033340997929E-2</v>
      </c>
      <c r="K13">
        <v>0.142217135382603</v>
      </c>
      <c r="Y13" s="340"/>
      <c r="Z13" s="677" t="s">
        <v>495</v>
      </c>
      <c r="AA13" s="677"/>
      <c r="AB13" s="677"/>
      <c r="AC13" s="677" t="s">
        <v>496</v>
      </c>
      <c r="AD13" s="677"/>
      <c r="AE13" s="677"/>
      <c r="AF13" s="672" t="s">
        <v>500</v>
      </c>
      <c r="AG13" s="672"/>
      <c r="AH13" s="672"/>
    </row>
    <row r="14" spans="1:47" x14ac:dyDescent="0.3">
      <c r="A14" s="2" t="s">
        <v>325</v>
      </c>
      <c r="B14" s="2">
        <f t="shared" si="0"/>
        <v>2024</v>
      </c>
      <c r="C14" s="331">
        <v>45383</v>
      </c>
      <c r="D14" s="343">
        <v>30704</v>
      </c>
      <c r="E14" s="343">
        <v>3872</v>
      </c>
      <c r="F14" s="343">
        <v>152</v>
      </c>
      <c r="G14" s="332">
        <f t="shared" si="1"/>
        <v>30552</v>
      </c>
      <c r="H14" s="2">
        <v>62</v>
      </c>
      <c r="I14" s="341">
        <f t="shared" ref="I14:I25" si="4">E14/D14</f>
        <v>0.12610734757686295</v>
      </c>
      <c r="J14" s="344">
        <f t="shared" si="3"/>
        <v>1.6012396694214875E-2</v>
      </c>
      <c r="K14">
        <v>0.12610734757686295</v>
      </c>
      <c r="Y14" s="340" t="s">
        <v>497</v>
      </c>
      <c r="Z14" s="340" t="s">
        <v>489</v>
      </c>
      <c r="AA14" s="340" t="s">
        <v>492</v>
      </c>
      <c r="AB14" s="340" t="s">
        <v>493</v>
      </c>
      <c r="AC14" s="340" t="s">
        <v>489</v>
      </c>
      <c r="AD14" s="340" t="s">
        <v>492</v>
      </c>
      <c r="AE14" s="340" t="s">
        <v>493</v>
      </c>
      <c r="AF14" s="340" t="s">
        <v>489</v>
      </c>
      <c r="AG14" s="340" t="s">
        <v>492</v>
      </c>
      <c r="AH14" s="340" t="s">
        <v>493</v>
      </c>
    </row>
    <row r="15" spans="1:47" x14ac:dyDescent="0.3">
      <c r="A15" s="2" t="s">
        <v>325</v>
      </c>
      <c r="B15" s="2">
        <f t="shared" si="0"/>
        <v>2024</v>
      </c>
      <c r="C15" s="342">
        <v>45413</v>
      </c>
      <c r="D15" s="343">
        <v>31472</v>
      </c>
      <c r="E15" s="343">
        <v>6280</v>
      </c>
      <c r="F15" s="2">
        <v>792</v>
      </c>
      <c r="G15" s="332">
        <f t="shared" si="1"/>
        <v>30680</v>
      </c>
      <c r="H15" s="2">
        <v>618</v>
      </c>
      <c r="I15" s="341">
        <f t="shared" si="4"/>
        <v>0.19954245043213015</v>
      </c>
      <c r="J15" s="344">
        <f t="shared" si="3"/>
        <v>9.8407643312101917E-2</v>
      </c>
      <c r="K15">
        <v>0.19954245043213015</v>
      </c>
      <c r="Y15" s="338" t="s">
        <v>490</v>
      </c>
      <c r="Z15" s="337">
        <v>5761</v>
      </c>
      <c r="AA15" s="673">
        <v>13209</v>
      </c>
      <c r="AB15" s="674">
        <f>AA15/Z17</f>
        <v>0.3637339942172656</v>
      </c>
      <c r="AC15" s="337">
        <v>6512</v>
      </c>
      <c r="AD15" s="673">
        <v>14424</v>
      </c>
      <c r="AE15" s="674">
        <f>AD15/AC17</f>
        <v>0.47214402618657936</v>
      </c>
      <c r="AF15" s="13">
        <f>Z15/AC15-1</f>
        <v>-0.11532555282555279</v>
      </c>
      <c r="AG15" s="674">
        <f>AA15/AD15-1</f>
        <v>-8.4234608985024995E-2</v>
      </c>
      <c r="AH15" s="675">
        <f>AB15-AE15</f>
        <v>-0.10841003196931376</v>
      </c>
      <c r="AI15" s="13"/>
    </row>
    <row r="16" spans="1:47" x14ac:dyDescent="0.3">
      <c r="A16" s="2" t="s">
        <v>325</v>
      </c>
      <c r="B16" s="2">
        <f t="shared" si="0"/>
        <v>2024</v>
      </c>
      <c r="C16" s="331">
        <v>45444</v>
      </c>
      <c r="D16" s="343">
        <v>32272</v>
      </c>
      <c r="E16" s="343">
        <v>6426</v>
      </c>
      <c r="F16" s="2">
        <v>822</v>
      </c>
      <c r="G16" s="332">
        <f t="shared" si="1"/>
        <v>31450</v>
      </c>
      <c r="H16" s="2">
        <v>417</v>
      </c>
      <c r="I16" s="341">
        <f t="shared" si="4"/>
        <v>0.19911998016856719</v>
      </c>
      <c r="J16" s="344">
        <f t="shared" si="3"/>
        <v>6.4892623716153133E-2</v>
      </c>
      <c r="K16">
        <v>0.19911998016856719</v>
      </c>
      <c r="Y16" s="338" t="s">
        <v>491</v>
      </c>
      <c r="Z16" s="337">
        <v>30554</v>
      </c>
      <c r="AA16" s="673"/>
      <c r="AB16" s="674"/>
      <c r="AC16" s="337">
        <f>AC19-AC15</f>
        <v>24038</v>
      </c>
      <c r="AD16" s="673"/>
      <c r="AE16" s="674"/>
      <c r="AF16" s="13">
        <f>Z16/AC16-1</f>
        <v>0.27107080455944743</v>
      </c>
      <c r="AG16" s="674"/>
      <c r="AH16" s="676"/>
      <c r="AI16" s="13"/>
    </row>
    <row r="17" spans="1:35" x14ac:dyDescent="0.3">
      <c r="A17" s="2" t="s">
        <v>325</v>
      </c>
      <c r="B17" s="2">
        <f t="shared" si="0"/>
        <v>2024</v>
      </c>
      <c r="C17" s="342">
        <v>45474</v>
      </c>
      <c r="D17" s="343">
        <v>32455</v>
      </c>
      <c r="E17" s="343">
        <v>4845</v>
      </c>
      <c r="F17" s="2">
        <v>236</v>
      </c>
      <c r="G17" s="332">
        <f t="shared" si="1"/>
        <v>32219</v>
      </c>
      <c r="H17" s="2">
        <v>64</v>
      </c>
      <c r="I17" s="341">
        <f t="shared" si="4"/>
        <v>0.14928362347866275</v>
      </c>
      <c r="J17" s="344">
        <f t="shared" si="3"/>
        <v>1.3209494324045407E-2</v>
      </c>
      <c r="K17">
        <v>0.14928362347866275</v>
      </c>
      <c r="Y17" s="338" t="s">
        <v>494</v>
      </c>
      <c r="Z17" s="337">
        <f>Z15+Z16</f>
        <v>36315</v>
      </c>
      <c r="AA17" s="673"/>
      <c r="AB17" s="674"/>
      <c r="AC17" s="337">
        <f>AC19</f>
        <v>30550</v>
      </c>
      <c r="AD17" s="673"/>
      <c r="AE17" s="674"/>
      <c r="AF17" s="13">
        <f>Z17/AC17-1</f>
        <v>0.18870703764320784</v>
      </c>
      <c r="AG17" s="674"/>
      <c r="AH17" s="676"/>
      <c r="AI17" s="13"/>
    </row>
    <row r="18" spans="1:35" x14ac:dyDescent="0.3">
      <c r="A18" s="2" t="s">
        <v>325</v>
      </c>
      <c r="B18" s="2">
        <f t="shared" si="0"/>
        <v>2024</v>
      </c>
      <c r="C18" s="331">
        <v>45505</v>
      </c>
      <c r="D18" s="332">
        <v>32661</v>
      </c>
      <c r="E18" s="332">
        <v>3850</v>
      </c>
      <c r="F18" s="8">
        <v>249</v>
      </c>
      <c r="G18" s="332">
        <f t="shared" si="1"/>
        <v>32412</v>
      </c>
      <c r="H18" s="8">
        <v>68</v>
      </c>
      <c r="I18" s="341">
        <f t="shared" si="4"/>
        <v>0.11787759101068553</v>
      </c>
      <c r="J18" s="344">
        <f t="shared" si="3"/>
        <v>1.7662337662337664E-2</v>
      </c>
      <c r="K18">
        <v>0.11787759101068553</v>
      </c>
      <c r="Y18" s="338"/>
      <c r="Z18" s="339"/>
      <c r="AA18" s="339"/>
      <c r="AB18" s="338"/>
      <c r="AC18" s="339"/>
      <c r="AD18" s="339"/>
      <c r="AE18" s="339"/>
      <c r="AH18" s="13"/>
      <c r="AI18" s="13"/>
    </row>
    <row r="19" spans="1:35" x14ac:dyDescent="0.3">
      <c r="A19" s="2" t="s">
        <v>325</v>
      </c>
      <c r="B19" s="2">
        <f t="shared" si="0"/>
        <v>2024</v>
      </c>
      <c r="C19" s="331">
        <v>45536</v>
      </c>
      <c r="D19" s="343">
        <v>32750</v>
      </c>
      <c r="E19" s="343">
        <v>3861</v>
      </c>
      <c r="F19" s="2">
        <v>119</v>
      </c>
      <c r="G19" s="332">
        <f t="shared" si="1"/>
        <v>32631</v>
      </c>
      <c r="H19" s="2">
        <v>60</v>
      </c>
      <c r="I19" s="341">
        <f t="shared" si="4"/>
        <v>0.11789312977099237</v>
      </c>
      <c r="J19" s="344">
        <f t="shared" si="3"/>
        <v>1.554001554001554E-2</v>
      </c>
      <c r="K19">
        <v>0.11789312977099237</v>
      </c>
      <c r="Y19" s="338"/>
      <c r="Z19" s="337">
        <v>36001</v>
      </c>
      <c r="AA19" s="339"/>
      <c r="AB19" s="339"/>
      <c r="AC19" s="337">
        <v>30550</v>
      </c>
      <c r="AD19" s="339"/>
      <c r="AE19" s="339"/>
    </row>
    <row r="20" spans="1:35" x14ac:dyDescent="0.3">
      <c r="A20" s="2" t="s">
        <v>325</v>
      </c>
      <c r="B20" s="2">
        <f t="shared" si="0"/>
        <v>2024</v>
      </c>
      <c r="C20" s="342">
        <v>45566</v>
      </c>
      <c r="D20" s="343">
        <v>34157</v>
      </c>
      <c r="E20" s="343">
        <v>7609</v>
      </c>
      <c r="F20" s="343">
        <v>1435</v>
      </c>
      <c r="G20" s="332">
        <f t="shared" si="1"/>
        <v>32722</v>
      </c>
      <c r="H20" s="343">
        <v>1013</v>
      </c>
      <c r="I20" s="341">
        <f t="shared" si="4"/>
        <v>0.22276546535117253</v>
      </c>
      <c r="J20" s="344">
        <f t="shared" si="3"/>
        <v>0.13313181758443948</v>
      </c>
      <c r="K20">
        <v>0.22276546535117253</v>
      </c>
      <c r="Y20" s="13"/>
    </row>
    <row r="21" spans="1:35" x14ac:dyDescent="0.3">
      <c r="A21" s="2" t="s">
        <v>325</v>
      </c>
      <c r="B21" s="2">
        <f t="shared" si="0"/>
        <v>2024</v>
      </c>
      <c r="C21" s="331">
        <v>45597</v>
      </c>
      <c r="D21" s="343">
        <v>35122</v>
      </c>
      <c r="E21" s="343">
        <v>7721</v>
      </c>
      <c r="F21" s="343">
        <v>1018</v>
      </c>
      <c r="G21" s="332">
        <f t="shared" si="1"/>
        <v>34104</v>
      </c>
      <c r="H21" s="2">
        <v>686</v>
      </c>
      <c r="I21" s="341">
        <f t="shared" si="4"/>
        <v>0.21983372245316327</v>
      </c>
      <c r="J21" s="344">
        <f t="shared" si="3"/>
        <v>8.8848594741613787E-2</v>
      </c>
      <c r="K21">
        <v>0.21983372245316327</v>
      </c>
    </row>
    <row r="22" spans="1:35" x14ac:dyDescent="0.3">
      <c r="A22" s="2" t="s">
        <v>325</v>
      </c>
      <c r="B22" s="2">
        <f t="shared" si="0"/>
        <v>2024</v>
      </c>
      <c r="C22" s="342">
        <v>45627</v>
      </c>
      <c r="D22" s="343">
        <v>35442</v>
      </c>
      <c r="E22" s="343">
        <v>6518</v>
      </c>
      <c r="F22" s="2">
        <v>350</v>
      </c>
      <c r="G22" s="332">
        <f t="shared" si="1"/>
        <v>35092</v>
      </c>
      <c r="H22" s="2">
        <v>330</v>
      </c>
      <c r="I22" s="341">
        <f t="shared" si="4"/>
        <v>0.18390610010721742</v>
      </c>
      <c r="J22" s="344">
        <f t="shared" si="3"/>
        <v>5.0629027308990486E-2</v>
      </c>
      <c r="K22">
        <v>0.18390610010721742</v>
      </c>
      <c r="AB22" t="s">
        <v>498</v>
      </c>
      <c r="AC22" s="337">
        <v>6456</v>
      </c>
    </row>
    <row r="23" spans="1:35" x14ac:dyDescent="0.3">
      <c r="A23" s="2" t="s">
        <v>325</v>
      </c>
      <c r="B23" s="2">
        <f t="shared" si="0"/>
        <v>2025</v>
      </c>
      <c r="C23" s="331">
        <v>45658</v>
      </c>
      <c r="D23" s="343">
        <v>35669</v>
      </c>
      <c r="E23" s="343">
        <v>5579</v>
      </c>
      <c r="F23" s="2">
        <v>247</v>
      </c>
      <c r="G23" s="332">
        <f t="shared" si="1"/>
        <v>35422</v>
      </c>
      <c r="H23" s="2">
        <v>159</v>
      </c>
      <c r="I23" s="341">
        <f t="shared" si="4"/>
        <v>0.15641032829627968</v>
      </c>
      <c r="J23" s="344">
        <f t="shared" si="3"/>
        <v>2.8499731134611937E-2</v>
      </c>
      <c r="K23">
        <v>0.15641032829627968</v>
      </c>
      <c r="AB23" t="s">
        <v>499</v>
      </c>
      <c r="AC23" s="336">
        <f>AC15-AC22</f>
        <v>56</v>
      </c>
    </row>
    <row r="24" spans="1:35" x14ac:dyDescent="0.3">
      <c r="A24" s="2" t="s">
        <v>325</v>
      </c>
      <c r="B24" s="2">
        <f t="shared" si="0"/>
        <v>2025</v>
      </c>
      <c r="C24" s="342">
        <v>45689</v>
      </c>
      <c r="D24" s="343">
        <v>35880</v>
      </c>
      <c r="E24" s="343">
        <v>4553</v>
      </c>
      <c r="F24" s="2">
        <v>245</v>
      </c>
      <c r="G24" s="332">
        <f t="shared" si="1"/>
        <v>35635</v>
      </c>
      <c r="H24" s="2"/>
      <c r="I24" s="341">
        <f t="shared" si="4"/>
        <v>0.12689520624303233</v>
      </c>
      <c r="J24" s="344">
        <f t="shared" si="3"/>
        <v>0</v>
      </c>
      <c r="K24">
        <v>0.12689520624303233</v>
      </c>
    </row>
    <row r="25" spans="1:35" x14ac:dyDescent="0.3">
      <c r="A25" s="2" t="s">
        <v>325</v>
      </c>
      <c r="B25" s="2">
        <f t="shared" si="0"/>
        <v>2025</v>
      </c>
      <c r="C25" s="331">
        <v>45717</v>
      </c>
      <c r="D25" s="332">
        <v>36001</v>
      </c>
      <c r="E25" s="332">
        <v>4342</v>
      </c>
      <c r="F25" s="8">
        <v>134</v>
      </c>
      <c r="G25" s="332">
        <f t="shared" si="1"/>
        <v>35867</v>
      </c>
      <c r="H25" s="8"/>
      <c r="I25" s="341">
        <f t="shared" si="4"/>
        <v>0.12060776089553069</v>
      </c>
      <c r="J25" s="344">
        <f t="shared" si="3"/>
        <v>0</v>
      </c>
      <c r="K25">
        <v>0.12060776089553069</v>
      </c>
    </row>
    <row r="29" spans="1:35" x14ac:dyDescent="0.3">
      <c r="A29" s="343">
        <v>742</v>
      </c>
      <c r="B29" s="343">
        <v>467</v>
      </c>
      <c r="C29" s="343">
        <v>816</v>
      </c>
      <c r="D29" s="343">
        <v>374</v>
      </c>
      <c r="E29" s="343">
        <v>508</v>
      </c>
      <c r="F29" s="343">
        <v>188</v>
      </c>
      <c r="G29" s="343">
        <v>1131</v>
      </c>
      <c r="H29" s="343">
        <v>1033</v>
      </c>
      <c r="I29" s="343">
        <v>614</v>
      </c>
      <c r="J29" s="343">
        <v>328</v>
      </c>
      <c r="K29" s="343">
        <v>217</v>
      </c>
      <c r="L29" s="343">
        <v>185</v>
      </c>
    </row>
    <row r="30" spans="1:35" x14ac:dyDescent="0.3">
      <c r="A30" s="343">
        <v>152</v>
      </c>
      <c r="B30" s="2">
        <v>792</v>
      </c>
      <c r="C30" s="2">
        <v>822</v>
      </c>
      <c r="D30" s="2">
        <v>236</v>
      </c>
      <c r="E30" s="8">
        <v>249</v>
      </c>
      <c r="F30" s="2">
        <v>119</v>
      </c>
      <c r="G30" s="343">
        <v>1435</v>
      </c>
      <c r="H30" s="343">
        <v>1018</v>
      </c>
      <c r="I30" s="2">
        <v>350</v>
      </c>
      <c r="J30" s="2">
        <v>247</v>
      </c>
      <c r="K30" s="2">
        <v>245</v>
      </c>
      <c r="L30" s="8">
        <v>134</v>
      </c>
    </row>
    <row r="31" spans="1:35" x14ac:dyDescent="0.3">
      <c r="A31" s="13">
        <v>0.11967521769828195</v>
      </c>
      <c r="B31" s="13">
        <v>0.17112939994590626</v>
      </c>
      <c r="C31" s="13">
        <v>0.22026382051185689</v>
      </c>
      <c r="D31" s="13">
        <v>0.12981269510926119</v>
      </c>
      <c r="E31" s="13">
        <v>0.13148852171370085</v>
      </c>
      <c r="F31" s="13">
        <v>0.11409664400247246</v>
      </c>
      <c r="G31" s="13">
        <v>0.1977871923251987</v>
      </c>
      <c r="H31" s="13">
        <v>0.21194435018663046</v>
      </c>
      <c r="I31" s="13">
        <v>0.16992897395711762</v>
      </c>
      <c r="J31" s="13">
        <v>0.14482644628099173</v>
      </c>
      <c r="K31" s="13">
        <v>0.1214541629688065</v>
      </c>
      <c r="L31" s="13">
        <v>0.142217135382603</v>
      </c>
    </row>
    <row r="32" spans="1:35" x14ac:dyDescent="0.3">
      <c r="A32" s="13">
        <v>0.12610734757686295</v>
      </c>
      <c r="B32" s="13">
        <v>0.19954245043213015</v>
      </c>
      <c r="C32" s="13">
        <v>0.19911998016856719</v>
      </c>
      <c r="D32" s="13">
        <v>0.14928362347866275</v>
      </c>
      <c r="E32" s="13">
        <v>0.11787759101068553</v>
      </c>
      <c r="F32" s="13">
        <v>0.11789312977099237</v>
      </c>
      <c r="G32" s="13">
        <v>0.22276546535117253</v>
      </c>
      <c r="H32" s="13">
        <v>0.21983372245316327</v>
      </c>
      <c r="I32" s="13">
        <v>0.18390610010721742</v>
      </c>
      <c r="J32" s="13">
        <v>0.15641032829627968</v>
      </c>
      <c r="K32" s="13">
        <v>0.12689520624303233</v>
      </c>
      <c r="L32" s="13">
        <v>0.12060776089553069</v>
      </c>
    </row>
  </sheetData>
  <autoFilter ref="A1:H2" xr:uid="{00000000-0001-0000-0000-000000000000}">
    <sortState xmlns:xlrd2="http://schemas.microsoft.com/office/spreadsheetml/2017/richdata2" ref="A2:H25">
      <sortCondition ref="C1:C2"/>
    </sortState>
  </autoFilter>
  <mergeCells count="16">
    <mergeCell ref="X10:Y10"/>
    <mergeCell ref="Z2:AJ2"/>
    <mergeCell ref="AK2:AU2"/>
    <mergeCell ref="X4:X5"/>
    <mergeCell ref="X6:Y6"/>
    <mergeCell ref="X7:X8"/>
    <mergeCell ref="X9:Y9"/>
    <mergeCell ref="AF13:AH13"/>
    <mergeCell ref="AA15:AA17"/>
    <mergeCell ref="AB15:AB17"/>
    <mergeCell ref="AD15:AD17"/>
    <mergeCell ref="AE15:AE17"/>
    <mergeCell ref="AG15:AG17"/>
    <mergeCell ref="AH15:AH17"/>
    <mergeCell ref="Z13:AB13"/>
    <mergeCell ref="AC13:AE13"/>
  </mergeCells>
  <phoneticPr fontId="13" type="noConversion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A0F1D-4CDA-4E58-AA9F-ECE19FA87593}">
  <dimension ref="A1:U1188"/>
  <sheetViews>
    <sheetView zoomScale="85" zoomScaleNormal="85" workbookViewId="0">
      <selection activeCell="I37" sqref="I37"/>
    </sheetView>
  </sheetViews>
  <sheetFormatPr defaultRowHeight="14" x14ac:dyDescent="0.3"/>
  <cols>
    <col min="1" max="1" width="9.25" style="345" bestFit="1" customWidth="1"/>
    <col min="2" max="2" width="10.75" style="345" bestFit="1" customWidth="1"/>
    <col min="3" max="3" width="10.83203125" style="345" bestFit="1" customWidth="1"/>
    <col min="7" max="7" width="11.58203125" bestFit="1" customWidth="1"/>
    <col min="8" max="8" width="16.75" bestFit="1" customWidth="1"/>
  </cols>
  <sheetData>
    <row r="1" spans="1:11" x14ac:dyDescent="0.3">
      <c r="A1" s="345" t="s">
        <v>97</v>
      </c>
      <c r="B1" s="347" t="s">
        <v>502</v>
      </c>
      <c r="C1" s="345" t="s">
        <v>503</v>
      </c>
      <c r="D1" s="347" t="s">
        <v>508</v>
      </c>
    </row>
    <row r="2" spans="1:11" x14ac:dyDescent="0.3">
      <c r="A2" s="346">
        <v>45747</v>
      </c>
      <c r="B2" s="347">
        <v>56</v>
      </c>
      <c r="C2" s="345">
        <v>219514</v>
      </c>
      <c r="D2" s="350">
        <v>42</v>
      </c>
      <c r="G2" s="348" t="s">
        <v>199</v>
      </c>
      <c r="H2" t="s">
        <v>510</v>
      </c>
    </row>
    <row r="3" spans="1:11" x14ac:dyDescent="0.3">
      <c r="A3" s="346">
        <v>45746</v>
      </c>
      <c r="B3" s="347">
        <v>43</v>
      </c>
      <c r="C3" s="345">
        <v>219472</v>
      </c>
      <c r="D3" s="351">
        <v>31</v>
      </c>
      <c r="G3" s="349" t="s">
        <v>509</v>
      </c>
    </row>
    <row r="4" spans="1:11" x14ac:dyDescent="0.3">
      <c r="A4" s="346">
        <v>45745</v>
      </c>
      <c r="B4" s="347">
        <v>50</v>
      </c>
      <c r="C4" s="345">
        <v>219441</v>
      </c>
      <c r="D4" s="350">
        <v>40</v>
      </c>
      <c r="G4" s="349" t="s">
        <v>504</v>
      </c>
      <c r="H4">
        <v>37062</v>
      </c>
    </row>
    <row r="5" spans="1:11" x14ac:dyDescent="0.3">
      <c r="A5" s="346">
        <v>45744</v>
      </c>
      <c r="B5" s="347">
        <v>37</v>
      </c>
      <c r="C5" s="345">
        <v>219401</v>
      </c>
      <c r="D5" s="351">
        <v>25</v>
      </c>
      <c r="G5" s="349" t="s">
        <v>505</v>
      </c>
      <c r="H5">
        <v>18919</v>
      </c>
    </row>
    <row r="6" spans="1:11" x14ac:dyDescent="0.3">
      <c r="A6" s="346">
        <v>45743</v>
      </c>
      <c r="B6" s="347">
        <v>33</v>
      </c>
      <c r="C6" s="345">
        <v>219376</v>
      </c>
      <c r="D6" s="350">
        <v>17</v>
      </c>
      <c r="G6" s="352" t="s">
        <v>511</v>
      </c>
      <c r="H6">
        <v>3781</v>
      </c>
    </row>
    <row r="7" spans="1:11" x14ac:dyDescent="0.3">
      <c r="A7" s="346">
        <v>45742</v>
      </c>
      <c r="B7" s="347">
        <v>35</v>
      </c>
      <c r="C7" s="345">
        <v>219359</v>
      </c>
      <c r="D7" s="351">
        <v>17</v>
      </c>
      <c r="G7" s="352" t="s">
        <v>512</v>
      </c>
      <c r="H7">
        <v>461</v>
      </c>
    </row>
    <row r="8" spans="1:11" x14ac:dyDescent="0.3">
      <c r="A8" s="346">
        <v>45741</v>
      </c>
      <c r="B8" s="347">
        <v>39</v>
      </c>
      <c r="C8" s="345">
        <v>219342</v>
      </c>
      <c r="D8" s="350">
        <v>26</v>
      </c>
      <c r="G8" s="352" t="s">
        <v>513</v>
      </c>
      <c r="H8">
        <v>1504</v>
      </c>
    </row>
    <row r="9" spans="1:11" x14ac:dyDescent="0.3">
      <c r="A9" s="346">
        <v>45740</v>
      </c>
      <c r="B9" s="347">
        <v>36</v>
      </c>
      <c r="C9" s="345">
        <v>219316</v>
      </c>
      <c r="D9" s="351">
        <v>23</v>
      </c>
      <c r="G9" s="352" t="s">
        <v>514</v>
      </c>
      <c r="H9">
        <v>581</v>
      </c>
      <c r="J9">
        <v>581</v>
      </c>
      <c r="K9">
        <v>408</v>
      </c>
    </row>
    <row r="10" spans="1:11" x14ac:dyDescent="0.3">
      <c r="A10" s="346">
        <v>45739</v>
      </c>
      <c r="B10" s="347">
        <v>42</v>
      </c>
      <c r="C10" s="345">
        <v>219293</v>
      </c>
      <c r="D10" s="350">
        <v>24</v>
      </c>
      <c r="G10" s="352" t="s">
        <v>515</v>
      </c>
      <c r="H10">
        <v>1670</v>
      </c>
      <c r="J10">
        <v>1670</v>
      </c>
      <c r="K10">
        <v>1926</v>
      </c>
    </row>
    <row r="11" spans="1:11" x14ac:dyDescent="0.3">
      <c r="A11" s="346">
        <v>45738</v>
      </c>
      <c r="B11" s="347">
        <v>41</v>
      </c>
      <c r="C11" s="345">
        <v>219269</v>
      </c>
      <c r="D11" s="351">
        <v>31</v>
      </c>
      <c r="G11" s="352" t="s">
        <v>516</v>
      </c>
      <c r="H11">
        <v>1541</v>
      </c>
      <c r="J11">
        <v>1541</v>
      </c>
      <c r="K11">
        <v>1603</v>
      </c>
    </row>
    <row r="12" spans="1:11" x14ac:dyDescent="0.3">
      <c r="A12" s="346">
        <v>45737</v>
      </c>
      <c r="B12" s="347">
        <v>34</v>
      </c>
      <c r="C12" s="345">
        <v>219238</v>
      </c>
      <c r="D12" s="350">
        <v>22</v>
      </c>
      <c r="G12" s="352" t="s">
        <v>517</v>
      </c>
      <c r="H12">
        <v>197</v>
      </c>
      <c r="J12">
        <v>197</v>
      </c>
      <c r="K12">
        <v>714</v>
      </c>
    </row>
    <row r="13" spans="1:11" x14ac:dyDescent="0.3">
      <c r="A13" s="346">
        <v>45736</v>
      </c>
      <c r="B13" s="347">
        <v>37</v>
      </c>
      <c r="C13" s="345">
        <v>219216</v>
      </c>
      <c r="D13" s="351">
        <v>22</v>
      </c>
      <c r="G13" s="352" t="s">
        <v>518</v>
      </c>
      <c r="H13">
        <v>234</v>
      </c>
      <c r="J13">
        <v>234</v>
      </c>
      <c r="K13">
        <v>765</v>
      </c>
    </row>
    <row r="14" spans="1:11" x14ac:dyDescent="0.3">
      <c r="A14" s="346">
        <v>45735</v>
      </c>
      <c r="B14" s="347">
        <v>47</v>
      </c>
      <c r="C14" s="345">
        <v>219194</v>
      </c>
      <c r="D14" s="350">
        <v>34</v>
      </c>
      <c r="G14" s="352" t="s">
        <v>519</v>
      </c>
      <c r="H14">
        <v>1857</v>
      </c>
      <c r="J14">
        <v>1857</v>
      </c>
      <c r="K14">
        <v>753</v>
      </c>
    </row>
    <row r="15" spans="1:11" x14ac:dyDescent="0.3">
      <c r="A15" s="346">
        <v>45734</v>
      </c>
      <c r="B15" s="347">
        <v>46</v>
      </c>
      <c r="C15" s="345">
        <v>219160</v>
      </c>
      <c r="D15" s="351">
        <v>29</v>
      </c>
      <c r="G15" s="352" t="s">
        <v>520</v>
      </c>
      <c r="H15">
        <v>1948</v>
      </c>
      <c r="J15">
        <v>1948</v>
      </c>
      <c r="K15">
        <v>2162</v>
      </c>
    </row>
    <row r="16" spans="1:11" x14ac:dyDescent="0.3">
      <c r="A16" s="346">
        <v>45733</v>
      </c>
      <c r="B16" s="347">
        <v>43</v>
      </c>
      <c r="C16" s="345">
        <v>219131</v>
      </c>
      <c r="D16" s="350">
        <v>31</v>
      </c>
      <c r="G16" s="352" t="s">
        <v>521</v>
      </c>
      <c r="H16">
        <v>3503</v>
      </c>
      <c r="J16">
        <v>3503</v>
      </c>
      <c r="K16">
        <v>2092</v>
      </c>
    </row>
    <row r="17" spans="1:21" x14ac:dyDescent="0.3">
      <c r="A17" s="346">
        <v>45732</v>
      </c>
      <c r="B17" s="347">
        <v>57</v>
      </c>
      <c r="C17" s="345">
        <v>219100</v>
      </c>
      <c r="D17" s="351">
        <v>40</v>
      </c>
      <c r="G17" s="352" t="s">
        <v>522</v>
      </c>
      <c r="H17">
        <v>1642</v>
      </c>
      <c r="J17">
        <v>1642</v>
      </c>
      <c r="K17">
        <v>1392</v>
      </c>
    </row>
    <row r="18" spans="1:21" x14ac:dyDescent="0.3">
      <c r="A18" s="346">
        <v>45731</v>
      </c>
      <c r="B18" s="347">
        <v>51</v>
      </c>
      <c r="C18" s="345">
        <v>219060</v>
      </c>
      <c r="D18" s="350">
        <v>37</v>
      </c>
      <c r="G18" s="349" t="s">
        <v>506</v>
      </c>
      <c r="H18">
        <v>13124</v>
      </c>
      <c r="J18">
        <v>571</v>
      </c>
      <c r="K18">
        <v>1157</v>
      </c>
    </row>
    <row r="19" spans="1:21" x14ac:dyDescent="0.3">
      <c r="A19" s="346">
        <v>45730</v>
      </c>
      <c r="B19" s="347">
        <v>35</v>
      </c>
      <c r="C19" s="345">
        <v>219023</v>
      </c>
      <c r="D19" s="351">
        <v>29</v>
      </c>
      <c r="G19" s="352" t="s">
        <v>511</v>
      </c>
      <c r="H19">
        <v>571</v>
      </c>
      <c r="J19">
        <v>356</v>
      </c>
      <c r="K19">
        <v>976</v>
      </c>
    </row>
    <row r="20" spans="1:21" x14ac:dyDescent="0.3">
      <c r="A20" s="346">
        <v>45729</v>
      </c>
      <c r="B20" s="347">
        <v>46</v>
      </c>
      <c r="C20" s="345">
        <v>218994</v>
      </c>
      <c r="D20" s="350">
        <v>28</v>
      </c>
      <c r="G20" s="352" t="s">
        <v>512</v>
      </c>
      <c r="H20">
        <v>356</v>
      </c>
      <c r="J20">
        <v>382</v>
      </c>
      <c r="K20">
        <v>893</v>
      </c>
    </row>
    <row r="21" spans="1:21" x14ac:dyDescent="0.3">
      <c r="A21" s="346">
        <v>45728</v>
      </c>
      <c r="B21" s="347">
        <v>46</v>
      </c>
      <c r="C21" s="345">
        <v>218966</v>
      </c>
      <c r="D21" s="351">
        <v>33</v>
      </c>
      <c r="G21" s="352" t="s">
        <v>513</v>
      </c>
      <c r="H21">
        <v>382</v>
      </c>
      <c r="J21">
        <f>SUM(J9:J20)</f>
        <v>14482</v>
      </c>
      <c r="K21">
        <f>SUM(K9:K20)</f>
        <v>14841</v>
      </c>
      <c r="L21" s="13">
        <f>K21/J21-1</f>
        <v>2.4789393730147768E-2</v>
      </c>
    </row>
    <row r="22" spans="1:21" x14ac:dyDescent="0.3">
      <c r="A22" s="346">
        <v>45727</v>
      </c>
      <c r="B22" s="347">
        <v>41</v>
      </c>
      <c r="C22" s="345">
        <v>218933</v>
      </c>
      <c r="D22" s="350">
        <v>26</v>
      </c>
      <c r="G22" s="352" t="s">
        <v>514</v>
      </c>
      <c r="H22">
        <v>408</v>
      </c>
    </row>
    <row r="23" spans="1:21" x14ac:dyDescent="0.3">
      <c r="A23" s="346">
        <v>45726</v>
      </c>
      <c r="B23" s="347">
        <v>46</v>
      </c>
      <c r="C23" s="345">
        <v>218907</v>
      </c>
      <c r="D23" s="351">
        <v>28</v>
      </c>
      <c r="G23" s="352" t="s">
        <v>515</v>
      </c>
      <c r="H23">
        <v>1926</v>
      </c>
    </row>
    <row r="24" spans="1:21" x14ac:dyDescent="0.3">
      <c r="A24" s="346">
        <v>45725</v>
      </c>
      <c r="B24" s="347">
        <v>50</v>
      </c>
      <c r="C24" s="345">
        <v>218879</v>
      </c>
      <c r="D24" s="350">
        <v>35</v>
      </c>
      <c r="G24" s="352" t="s">
        <v>516</v>
      </c>
      <c r="H24">
        <v>1603</v>
      </c>
    </row>
    <row r="25" spans="1:21" x14ac:dyDescent="0.3">
      <c r="A25" s="346">
        <v>45724</v>
      </c>
      <c r="B25" s="347">
        <v>46</v>
      </c>
      <c r="C25" s="345">
        <v>218844</v>
      </c>
      <c r="D25" s="351">
        <v>26</v>
      </c>
      <c r="G25" s="352" t="s">
        <v>517</v>
      </c>
      <c r="H25">
        <v>714</v>
      </c>
      <c r="J25">
        <v>581</v>
      </c>
      <c r="K25">
        <v>1670</v>
      </c>
      <c r="L25">
        <v>1541</v>
      </c>
      <c r="M25">
        <v>197</v>
      </c>
      <c r="N25">
        <v>234</v>
      </c>
      <c r="O25">
        <v>1857</v>
      </c>
      <c r="P25">
        <v>1948</v>
      </c>
      <c r="Q25">
        <v>3503</v>
      </c>
      <c r="R25">
        <v>1642</v>
      </c>
      <c r="S25">
        <v>571</v>
      </c>
      <c r="T25">
        <v>356</v>
      </c>
      <c r="U25">
        <v>382</v>
      </c>
    </row>
    <row r="26" spans="1:21" x14ac:dyDescent="0.3">
      <c r="A26" s="346">
        <v>45723</v>
      </c>
      <c r="B26" s="347">
        <v>46</v>
      </c>
      <c r="C26" s="345">
        <v>218818</v>
      </c>
      <c r="D26" s="350">
        <v>35</v>
      </c>
      <c r="G26" s="352" t="s">
        <v>518</v>
      </c>
      <c r="H26">
        <v>765</v>
      </c>
      <c r="J26">
        <v>408</v>
      </c>
      <c r="K26">
        <v>1926</v>
      </c>
      <c r="L26">
        <v>1603</v>
      </c>
      <c r="M26">
        <v>714</v>
      </c>
      <c r="N26">
        <v>765</v>
      </c>
      <c r="O26">
        <v>753</v>
      </c>
      <c r="P26">
        <v>2162</v>
      </c>
      <c r="Q26">
        <v>2092</v>
      </c>
      <c r="R26">
        <v>1392</v>
      </c>
      <c r="S26">
        <v>1157</v>
      </c>
      <c r="T26">
        <v>976</v>
      </c>
      <c r="U26">
        <v>893</v>
      </c>
    </row>
    <row r="27" spans="1:21" x14ac:dyDescent="0.3">
      <c r="A27" s="346">
        <v>45722</v>
      </c>
      <c r="B27" s="347">
        <v>43</v>
      </c>
      <c r="C27" s="345">
        <v>218783</v>
      </c>
      <c r="D27" s="351">
        <v>31</v>
      </c>
      <c r="G27" s="352" t="s">
        <v>519</v>
      </c>
      <c r="H27">
        <v>753</v>
      </c>
    </row>
    <row r="28" spans="1:21" x14ac:dyDescent="0.3">
      <c r="A28" s="346">
        <v>45721</v>
      </c>
      <c r="B28" s="347">
        <v>49</v>
      </c>
      <c r="C28" s="345">
        <v>218752</v>
      </c>
      <c r="D28" s="350">
        <v>21</v>
      </c>
      <c r="G28" s="352" t="s">
        <v>520</v>
      </c>
      <c r="H28">
        <v>2162</v>
      </c>
    </row>
    <row r="29" spans="1:21" x14ac:dyDescent="0.3">
      <c r="A29" s="346">
        <v>45720</v>
      </c>
      <c r="B29" s="347">
        <v>54</v>
      </c>
      <c r="C29" s="345">
        <v>218731</v>
      </c>
      <c r="D29" s="351">
        <v>29</v>
      </c>
      <c r="G29" s="352" t="s">
        <v>521</v>
      </c>
      <c r="H29">
        <v>2092</v>
      </c>
    </row>
    <row r="30" spans="1:21" x14ac:dyDescent="0.3">
      <c r="A30" s="346">
        <v>45719</v>
      </c>
      <c r="B30" s="347">
        <v>50</v>
      </c>
      <c r="C30" s="345">
        <v>218702</v>
      </c>
      <c r="D30" s="350">
        <v>31</v>
      </c>
      <c r="G30" s="352" t="s">
        <v>522</v>
      </c>
      <c r="H30">
        <v>1392</v>
      </c>
    </row>
    <row r="31" spans="1:21" x14ac:dyDescent="0.3">
      <c r="A31" s="346">
        <v>45718</v>
      </c>
      <c r="B31" s="347">
        <v>42</v>
      </c>
      <c r="C31" s="345">
        <v>218671</v>
      </c>
      <c r="D31" s="351">
        <v>22</v>
      </c>
      <c r="G31" s="349" t="s">
        <v>507</v>
      </c>
      <c r="H31">
        <v>3026</v>
      </c>
    </row>
    <row r="32" spans="1:21" x14ac:dyDescent="0.3">
      <c r="A32" s="346">
        <v>45717</v>
      </c>
      <c r="B32" s="347">
        <v>44</v>
      </c>
      <c r="C32" s="345">
        <v>218649</v>
      </c>
      <c r="D32" s="350">
        <v>28</v>
      </c>
      <c r="G32" s="352" t="s">
        <v>511</v>
      </c>
      <c r="H32">
        <v>1157</v>
      </c>
    </row>
    <row r="33" spans="1:8" x14ac:dyDescent="0.3">
      <c r="A33" s="346">
        <v>45716</v>
      </c>
      <c r="B33" s="347">
        <v>49</v>
      </c>
      <c r="C33" s="345">
        <v>218621</v>
      </c>
      <c r="D33" s="351">
        <v>33</v>
      </c>
      <c r="G33" s="352" t="s">
        <v>512</v>
      </c>
      <c r="H33">
        <v>976</v>
      </c>
    </row>
    <row r="34" spans="1:8" x14ac:dyDescent="0.3">
      <c r="A34" s="346">
        <v>45715</v>
      </c>
      <c r="B34" s="347">
        <v>52</v>
      </c>
      <c r="C34" s="345">
        <v>218588</v>
      </c>
      <c r="D34" s="350">
        <v>35</v>
      </c>
      <c r="G34" s="352" t="s">
        <v>513</v>
      </c>
      <c r="H34">
        <v>893</v>
      </c>
    </row>
    <row r="35" spans="1:8" x14ac:dyDescent="0.3">
      <c r="A35" s="346">
        <v>45714</v>
      </c>
      <c r="B35" s="347">
        <v>35</v>
      </c>
      <c r="C35" s="345">
        <v>218553</v>
      </c>
      <c r="D35" s="351">
        <v>22</v>
      </c>
      <c r="G35" s="349" t="s">
        <v>0</v>
      </c>
      <c r="H35">
        <v>72131</v>
      </c>
    </row>
    <row r="36" spans="1:8" x14ac:dyDescent="0.3">
      <c r="A36" s="346">
        <v>45713</v>
      </c>
      <c r="B36" s="347">
        <v>38</v>
      </c>
      <c r="C36" s="345">
        <v>218531</v>
      </c>
      <c r="D36" s="350">
        <v>22</v>
      </c>
    </row>
    <row r="37" spans="1:8" x14ac:dyDescent="0.3">
      <c r="A37" s="346">
        <v>45712</v>
      </c>
      <c r="B37" s="347">
        <v>55</v>
      </c>
      <c r="C37" s="345">
        <v>218509</v>
      </c>
      <c r="D37" s="351">
        <v>42</v>
      </c>
    </row>
    <row r="38" spans="1:8" x14ac:dyDescent="0.3">
      <c r="A38" s="346">
        <v>45711</v>
      </c>
      <c r="B38" s="347">
        <v>57</v>
      </c>
      <c r="C38" s="345">
        <v>218467</v>
      </c>
      <c r="D38" s="350">
        <v>32</v>
      </c>
    </row>
    <row r="39" spans="1:8" x14ac:dyDescent="0.3">
      <c r="A39" s="346">
        <v>45710</v>
      </c>
      <c r="B39" s="347">
        <v>53</v>
      </c>
      <c r="C39" s="345">
        <v>218435</v>
      </c>
      <c r="D39" s="351">
        <v>38</v>
      </c>
    </row>
    <row r="40" spans="1:8" x14ac:dyDescent="0.3">
      <c r="A40" s="346">
        <v>45709</v>
      </c>
      <c r="B40" s="347">
        <v>45</v>
      </c>
      <c r="C40" s="345">
        <v>218397</v>
      </c>
      <c r="D40" s="350">
        <v>39</v>
      </c>
    </row>
    <row r="41" spans="1:8" x14ac:dyDescent="0.3">
      <c r="A41" s="346">
        <v>45708</v>
      </c>
      <c r="B41" s="347">
        <v>40</v>
      </c>
      <c r="C41" s="345">
        <v>218358</v>
      </c>
      <c r="D41" s="351">
        <v>25</v>
      </c>
    </row>
    <row r="42" spans="1:8" x14ac:dyDescent="0.3">
      <c r="A42" s="346">
        <v>45707</v>
      </c>
      <c r="B42" s="347">
        <v>50</v>
      </c>
      <c r="C42" s="345">
        <v>218333</v>
      </c>
      <c r="D42" s="350">
        <v>33</v>
      </c>
    </row>
    <row r="43" spans="1:8" x14ac:dyDescent="0.3">
      <c r="A43" s="346">
        <v>45706</v>
      </c>
      <c r="B43" s="347">
        <v>47</v>
      </c>
      <c r="C43" s="345">
        <v>218300</v>
      </c>
      <c r="D43" s="351">
        <v>38</v>
      </c>
    </row>
    <row r="44" spans="1:8" x14ac:dyDescent="0.3">
      <c r="A44" s="346">
        <v>45705</v>
      </c>
      <c r="B44" s="347">
        <v>41</v>
      </c>
      <c r="C44" s="345">
        <v>218262</v>
      </c>
      <c r="D44" s="350">
        <v>23</v>
      </c>
    </row>
    <row r="45" spans="1:8" x14ac:dyDescent="0.3">
      <c r="A45" s="346">
        <v>45704</v>
      </c>
      <c r="B45" s="347">
        <v>53</v>
      </c>
      <c r="C45" s="345">
        <v>218239</v>
      </c>
      <c r="D45" s="351">
        <v>33</v>
      </c>
    </row>
    <row r="46" spans="1:8" x14ac:dyDescent="0.3">
      <c r="A46" s="346">
        <v>45703</v>
      </c>
      <c r="B46" s="347">
        <v>42</v>
      </c>
      <c r="C46" s="345">
        <v>218206</v>
      </c>
      <c r="D46" s="350">
        <v>21</v>
      </c>
    </row>
    <row r="47" spans="1:8" x14ac:dyDescent="0.3">
      <c r="A47" s="346">
        <v>45702</v>
      </c>
      <c r="B47" s="347">
        <v>44</v>
      </c>
      <c r="C47" s="345">
        <v>218185</v>
      </c>
      <c r="D47" s="351">
        <v>27</v>
      </c>
    </row>
    <row r="48" spans="1:8" x14ac:dyDescent="0.3">
      <c r="A48" s="346">
        <v>45701</v>
      </c>
      <c r="B48" s="347">
        <v>54</v>
      </c>
      <c r="C48" s="345">
        <v>218158</v>
      </c>
      <c r="D48" s="350">
        <v>43</v>
      </c>
    </row>
    <row r="49" spans="1:4" x14ac:dyDescent="0.3">
      <c r="A49" s="346">
        <v>45700</v>
      </c>
      <c r="B49" s="347">
        <v>45</v>
      </c>
      <c r="C49" s="345">
        <v>218115</v>
      </c>
      <c r="D49" s="351">
        <v>32</v>
      </c>
    </row>
    <row r="50" spans="1:4" x14ac:dyDescent="0.3">
      <c r="A50" s="346">
        <v>45699</v>
      </c>
      <c r="B50" s="347">
        <v>52</v>
      </c>
      <c r="C50" s="345">
        <v>218083</v>
      </c>
      <c r="D50" s="350">
        <v>40</v>
      </c>
    </row>
    <row r="51" spans="1:4" x14ac:dyDescent="0.3">
      <c r="A51" s="346">
        <v>45698</v>
      </c>
      <c r="B51" s="347">
        <v>68</v>
      </c>
      <c r="C51" s="345">
        <v>218043</v>
      </c>
      <c r="D51" s="351">
        <v>54</v>
      </c>
    </row>
    <row r="52" spans="1:4" x14ac:dyDescent="0.3">
      <c r="A52" s="346">
        <v>45697</v>
      </c>
      <c r="B52" s="347">
        <v>48</v>
      </c>
      <c r="C52" s="345">
        <v>217989</v>
      </c>
      <c r="D52" s="350">
        <v>38</v>
      </c>
    </row>
    <row r="53" spans="1:4" x14ac:dyDescent="0.3">
      <c r="A53" s="346">
        <v>45696</v>
      </c>
      <c r="B53" s="347">
        <v>53</v>
      </c>
      <c r="C53" s="345">
        <v>217951</v>
      </c>
      <c r="D53" s="351">
        <v>43</v>
      </c>
    </row>
    <row r="54" spans="1:4" x14ac:dyDescent="0.3">
      <c r="A54" s="346">
        <v>45695</v>
      </c>
      <c r="B54" s="347">
        <v>45</v>
      </c>
      <c r="C54" s="345">
        <v>217908</v>
      </c>
      <c r="D54" s="350">
        <v>29</v>
      </c>
    </row>
    <row r="55" spans="1:4" x14ac:dyDescent="0.3">
      <c r="A55" s="346">
        <v>45694</v>
      </c>
      <c r="B55" s="347">
        <v>57</v>
      </c>
      <c r="C55" s="345">
        <v>217879</v>
      </c>
      <c r="D55" s="351">
        <v>43</v>
      </c>
    </row>
    <row r="56" spans="1:4" x14ac:dyDescent="0.3">
      <c r="A56" s="346">
        <v>45693</v>
      </c>
      <c r="B56" s="347">
        <v>47</v>
      </c>
      <c r="C56" s="345">
        <v>217836</v>
      </c>
      <c r="D56" s="350">
        <v>35</v>
      </c>
    </row>
    <row r="57" spans="1:4" x14ac:dyDescent="0.3">
      <c r="A57" s="346">
        <v>45692</v>
      </c>
      <c r="B57" s="347">
        <v>62</v>
      </c>
      <c r="C57" s="345">
        <v>217801</v>
      </c>
      <c r="D57" s="351">
        <v>49</v>
      </c>
    </row>
    <row r="58" spans="1:4" x14ac:dyDescent="0.3">
      <c r="A58" s="346">
        <v>45691</v>
      </c>
      <c r="B58" s="347">
        <v>43</v>
      </c>
      <c r="C58" s="345">
        <v>217752</v>
      </c>
      <c r="D58" s="350">
        <v>30</v>
      </c>
    </row>
    <row r="59" spans="1:4" x14ac:dyDescent="0.3">
      <c r="A59" s="346">
        <v>45690</v>
      </c>
      <c r="B59" s="347">
        <v>58</v>
      </c>
      <c r="C59" s="345">
        <v>217722</v>
      </c>
      <c r="D59" s="351">
        <v>49</v>
      </c>
    </row>
    <row r="60" spans="1:4" x14ac:dyDescent="0.3">
      <c r="A60" s="346">
        <v>45689</v>
      </c>
      <c r="B60" s="347">
        <v>46</v>
      </c>
      <c r="C60" s="345">
        <v>217673</v>
      </c>
      <c r="D60" s="350">
        <v>28</v>
      </c>
    </row>
    <row r="61" spans="1:4" x14ac:dyDescent="0.3">
      <c r="A61" s="346">
        <v>45688</v>
      </c>
      <c r="B61" s="347">
        <v>62</v>
      </c>
      <c r="C61" s="345">
        <v>217645</v>
      </c>
      <c r="D61" s="351">
        <v>45</v>
      </c>
    </row>
    <row r="62" spans="1:4" x14ac:dyDescent="0.3">
      <c r="A62" s="346">
        <v>45687</v>
      </c>
      <c r="B62" s="347">
        <v>38</v>
      </c>
      <c r="C62" s="345">
        <v>217600</v>
      </c>
      <c r="D62" s="350">
        <v>29</v>
      </c>
    </row>
    <row r="63" spans="1:4" x14ac:dyDescent="0.3">
      <c r="A63" s="346">
        <v>45686</v>
      </c>
      <c r="B63" s="347">
        <v>43</v>
      </c>
      <c r="C63" s="345">
        <v>217571</v>
      </c>
      <c r="D63" s="351">
        <v>33</v>
      </c>
    </row>
    <row r="64" spans="1:4" x14ac:dyDescent="0.3">
      <c r="A64" s="346">
        <v>45685</v>
      </c>
      <c r="B64" s="347">
        <v>34</v>
      </c>
      <c r="C64" s="345">
        <v>217538</v>
      </c>
      <c r="D64" s="350">
        <v>27</v>
      </c>
    </row>
    <row r="65" spans="1:4" x14ac:dyDescent="0.3">
      <c r="A65" s="346">
        <v>45684</v>
      </c>
      <c r="B65" s="347">
        <v>42</v>
      </c>
      <c r="C65" s="345">
        <v>217511</v>
      </c>
      <c r="D65" s="351">
        <v>32</v>
      </c>
    </row>
    <row r="66" spans="1:4" x14ac:dyDescent="0.3">
      <c r="A66" s="346">
        <v>45683</v>
      </c>
      <c r="B66" s="347">
        <v>43</v>
      </c>
      <c r="C66" s="345">
        <v>217479</v>
      </c>
      <c r="D66" s="350">
        <v>34</v>
      </c>
    </row>
    <row r="67" spans="1:4" x14ac:dyDescent="0.3">
      <c r="A67" s="346">
        <v>45682</v>
      </c>
      <c r="B67" s="347">
        <v>54</v>
      </c>
      <c r="C67" s="345">
        <v>217445</v>
      </c>
      <c r="D67" s="351">
        <v>38</v>
      </c>
    </row>
    <row r="68" spans="1:4" x14ac:dyDescent="0.3">
      <c r="A68" s="346">
        <v>45681</v>
      </c>
      <c r="B68" s="347">
        <v>53</v>
      </c>
      <c r="C68" s="345">
        <v>217407</v>
      </c>
      <c r="D68" s="350">
        <v>40</v>
      </c>
    </row>
    <row r="69" spans="1:4" x14ac:dyDescent="0.3">
      <c r="A69" s="346">
        <v>45680</v>
      </c>
      <c r="B69" s="347">
        <v>39</v>
      </c>
      <c r="C69" s="345">
        <v>217367</v>
      </c>
      <c r="D69" s="351">
        <v>21</v>
      </c>
    </row>
    <row r="70" spans="1:4" x14ac:dyDescent="0.3">
      <c r="A70" s="346">
        <v>45679</v>
      </c>
      <c r="B70" s="347">
        <v>57</v>
      </c>
      <c r="C70" s="345">
        <v>217346</v>
      </c>
      <c r="D70" s="350">
        <v>44</v>
      </c>
    </row>
    <row r="71" spans="1:4" x14ac:dyDescent="0.3">
      <c r="A71" s="346">
        <v>45678</v>
      </c>
      <c r="B71" s="347">
        <v>45</v>
      </c>
      <c r="C71" s="345">
        <v>217302</v>
      </c>
      <c r="D71" s="351">
        <v>34</v>
      </c>
    </row>
    <row r="72" spans="1:4" x14ac:dyDescent="0.3">
      <c r="A72" s="346">
        <v>45677</v>
      </c>
      <c r="B72" s="347">
        <v>52</v>
      </c>
      <c r="C72" s="345">
        <v>217268</v>
      </c>
      <c r="D72" s="350">
        <v>42</v>
      </c>
    </row>
    <row r="73" spans="1:4" x14ac:dyDescent="0.3">
      <c r="A73" s="346">
        <v>45676</v>
      </c>
      <c r="B73" s="347">
        <v>45</v>
      </c>
      <c r="C73" s="345">
        <v>217226</v>
      </c>
      <c r="D73" s="351">
        <v>29</v>
      </c>
    </row>
    <row r="74" spans="1:4" x14ac:dyDescent="0.3">
      <c r="A74" s="346">
        <v>45675</v>
      </c>
      <c r="B74" s="347">
        <v>44</v>
      </c>
      <c r="C74" s="345">
        <v>217197</v>
      </c>
      <c r="D74" s="350">
        <v>32</v>
      </c>
    </row>
    <row r="75" spans="1:4" x14ac:dyDescent="0.3">
      <c r="A75" s="346">
        <v>45674</v>
      </c>
      <c r="B75" s="347">
        <v>48</v>
      </c>
      <c r="C75" s="345">
        <v>217165</v>
      </c>
      <c r="D75" s="351">
        <v>24</v>
      </c>
    </row>
    <row r="76" spans="1:4" x14ac:dyDescent="0.3">
      <c r="A76" s="346">
        <v>45673</v>
      </c>
      <c r="B76" s="347">
        <v>52</v>
      </c>
      <c r="C76" s="345">
        <v>217141</v>
      </c>
      <c r="D76" s="350">
        <v>37</v>
      </c>
    </row>
    <row r="77" spans="1:4" x14ac:dyDescent="0.3">
      <c r="A77" s="346">
        <v>45672</v>
      </c>
      <c r="B77" s="347">
        <v>38</v>
      </c>
      <c r="C77" s="345">
        <v>217104</v>
      </c>
      <c r="D77" s="351">
        <v>28</v>
      </c>
    </row>
    <row r="78" spans="1:4" x14ac:dyDescent="0.3">
      <c r="A78" s="346">
        <v>45671</v>
      </c>
      <c r="B78" s="347">
        <v>45</v>
      </c>
      <c r="C78" s="345">
        <v>217076</v>
      </c>
      <c r="D78" s="350">
        <v>31</v>
      </c>
    </row>
    <row r="79" spans="1:4" x14ac:dyDescent="0.3">
      <c r="A79" s="346">
        <v>45670</v>
      </c>
      <c r="B79" s="347">
        <v>41</v>
      </c>
      <c r="C79" s="345">
        <v>217045</v>
      </c>
      <c r="D79" s="351">
        <v>17</v>
      </c>
    </row>
    <row r="80" spans="1:4" x14ac:dyDescent="0.3">
      <c r="A80" s="346">
        <v>45669</v>
      </c>
      <c r="B80" s="347">
        <v>61</v>
      </c>
      <c r="C80" s="345">
        <v>217028</v>
      </c>
      <c r="D80" s="350">
        <v>44</v>
      </c>
    </row>
    <row r="81" spans="1:4" x14ac:dyDescent="0.3">
      <c r="A81" s="346">
        <v>45668</v>
      </c>
      <c r="B81" s="347">
        <v>72</v>
      </c>
      <c r="C81" s="345">
        <v>216984</v>
      </c>
      <c r="D81" s="351">
        <v>52</v>
      </c>
    </row>
    <row r="82" spans="1:4" x14ac:dyDescent="0.3">
      <c r="A82" s="346">
        <v>45667</v>
      </c>
      <c r="B82" s="347">
        <v>53</v>
      </c>
      <c r="C82" s="345">
        <v>216932</v>
      </c>
      <c r="D82" s="350">
        <v>41</v>
      </c>
    </row>
    <row r="83" spans="1:4" x14ac:dyDescent="0.3">
      <c r="A83" s="346">
        <v>45666</v>
      </c>
      <c r="B83" s="347">
        <v>72</v>
      </c>
      <c r="C83" s="345">
        <v>216891</v>
      </c>
      <c r="D83" s="351">
        <v>57</v>
      </c>
    </row>
    <row r="84" spans="1:4" x14ac:dyDescent="0.3">
      <c r="A84" s="346">
        <v>45665</v>
      </c>
      <c r="B84" s="347">
        <v>61</v>
      </c>
      <c r="C84" s="345">
        <v>216834</v>
      </c>
      <c r="D84" s="350">
        <v>48</v>
      </c>
    </row>
    <row r="85" spans="1:4" x14ac:dyDescent="0.3">
      <c r="A85" s="346">
        <v>45664</v>
      </c>
      <c r="B85" s="347">
        <v>63</v>
      </c>
      <c r="C85" s="345">
        <v>216786</v>
      </c>
      <c r="D85" s="351">
        <v>46</v>
      </c>
    </row>
    <row r="86" spans="1:4" x14ac:dyDescent="0.3">
      <c r="A86" s="346">
        <v>45663</v>
      </c>
      <c r="B86" s="347">
        <v>54</v>
      </c>
      <c r="C86" s="345">
        <v>216740</v>
      </c>
      <c r="D86" s="350">
        <v>39</v>
      </c>
    </row>
    <row r="87" spans="1:4" x14ac:dyDescent="0.3">
      <c r="A87" s="346">
        <v>45662</v>
      </c>
      <c r="B87" s="347">
        <v>56</v>
      </c>
      <c r="C87" s="345">
        <v>216701</v>
      </c>
      <c r="D87" s="351">
        <v>40</v>
      </c>
    </row>
    <row r="88" spans="1:4" x14ac:dyDescent="0.3">
      <c r="A88" s="346">
        <v>45661</v>
      </c>
      <c r="B88" s="347">
        <v>50</v>
      </c>
      <c r="C88" s="345">
        <v>216661</v>
      </c>
      <c r="D88" s="350">
        <v>40</v>
      </c>
    </row>
    <row r="89" spans="1:4" x14ac:dyDescent="0.3">
      <c r="A89" s="346">
        <v>45660</v>
      </c>
      <c r="B89" s="347">
        <v>51</v>
      </c>
      <c r="C89" s="345">
        <v>216621</v>
      </c>
      <c r="D89" s="351">
        <v>38</v>
      </c>
    </row>
    <row r="90" spans="1:4" x14ac:dyDescent="0.3">
      <c r="A90" s="346">
        <v>45659</v>
      </c>
      <c r="B90" s="347">
        <v>59</v>
      </c>
      <c r="C90" s="345">
        <v>216583</v>
      </c>
      <c r="D90" s="350">
        <v>50</v>
      </c>
    </row>
    <row r="91" spans="1:4" x14ac:dyDescent="0.3">
      <c r="A91" s="346">
        <v>45658</v>
      </c>
      <c r="B91" s="347">
        <v>62</v>
      </c>
      <c r="C91" s="345">
        <v>216533</v>
      </c>
      <c r="D91" s="351">
        <v>45</v>
      </c>
    </row>
    <row r="92" spans="1:4" x14ac:dyDescent="0.3">
      <c r="A92" s="346">
        <v>45657</v>
      </c>
      <c r="B92" s="347">
        <v>36</v>
      </c>
      <c r="C92" s="345">
        <v>216488</v>
      </c>
      <c r="D92" s="350">
        <v>26</v>
      </c>
    </row>
    <row r="93" spans="1:4" x14ac:dyDescent="0.3">
      <c r="A93" s="346">
        <v>45656</v>
      </c>
      <c r="B93" s="347">
        <v>42</v>
      </c>
      <c r="C93" s="345">
        <v>216462</v>
      </c>
      <c r="D93" s="351">
        <v>24</v>
      </c>
    </row>
    <row r="94" spans="1:4" x14ac:dyDescent="0.3">
      <c r="A94" s="346">
        <v>45655</v>
      </c>
      <c r="B94" s="347">
        <v>46</v>
      </c>
      <c r="C94" s="345">
        <v>216438</v>
      </c>
      <c r="D94" s="350">
        <v>34</v>
      </c>
    </row>
    <row r="95" spans="1:4" x14ac:dyDescent="0.3">
      <c r="A95" s="346">
        <v>45654</v>
      </c>
      <c r="B95" s="347">
        <v>44</v>
      </c>
      <c r="C95" s="345">
        <v>216404</v>
      </c>
      <c r="D95" s="351">
        <v>23</v>
      </c>
    </row>
    <row r="96" spans="1:4" x14ac:dyDescent="0.3">
      <c r="A96" s="346">
        <v>45653</v>
      </c>
      <c r="B96" s="347">
        <v>63</v>
      </c>
      <c r="C96" s="345">
        <v>216381</v>
      </c>
      <c r="D96" s="350">
        <v>47</v>
      </c>
    </row>
    <row r="97" spans="1:4" x14ac:dyDescent="0.3">
      <c r="A97" s="346">
        <v>45652</v>
      </c>
      <c r="B97" s="347">
        <v>49</v>
      </c>
      <c r="C97" s="345">
        <v>216334</v>
      </c>
      <c r="D97" s="351">
        <v>28</v>
      </c>
    </row>
    <row r="98" spans="1:4" x14ac:dyDescent="0.3">
      <c r="A98" s="346">
        <v>45651</v>
      </c>
      <c r="B98" s="347">
        <v>53</v>
      </c>
      <c r="C98" s="345">
        <v>216306</v>
      </c>
      <c r="D98" s="350">
        <v>47</v>
      </c>
    </row>
    <row r="99" spans="1:4" x14ac:dyDescent="0.3">
      <c r="A99" s="346">
        <v>45650</v>
      </c>
      <c r="B99" s="347">
        <v>54</v>
      </c>
      <c r="C99" s="345">
        <v>216259</v>
      </c>
      <c r="D99" s="351">
        <v>39</v>
      </c>
    </row>
    <row r="100" spans="1:4" x14ac:dyDescent="0.3">
      <c r="A100" s="346">
        <v>45649</v>
      </c>
      <c r="B100" s="347">
        <v>52</v>
      </c>
      <c r="C100" s="345">
        <v>216220</v>
      </c>
      <c r="D100" s="350">
        <v>32</v>
      </c>
    </row>
    <row r="101" spans="1:4" x14ac:dyDescent="0.3">
      <c r="A101" s="346">
        <v>45648</v>
      </c>
      <c r="B101" s="347">
        <v>51</v>
      </c>
      <c r="C101" s="345">
        <v>216188</v>
      </c>
      <c r="D101" s="351">
        <v>35</v>
      </c>
    </row>
    <row r="102" spans="1:4" x14ac:dyDescent="0.3">
      <c r="A102" s="346">
        <v>45647</v>
      </c>
      <c r="B102" s="347">
        <v>58</v>
      </c>
      <c r="C102" s="345">
        <v>216153</v>
      </c>
      <c r="D102" s="350">
        <v>39</v>
      </c>
    </row>
    <row r="103" spans="1:4" x14ac:dyDescent="0.3">
      <c r="A103" s="346">
        <v>45646</v>
      </c>
      <c r="B103" s="347">
        <v>51</v>
      </c>
      <c r="C103" s="345">
        <v>216114</v>
      </c>
      <c r="D103" s="351">
        <v>33</v>
      </c>
    </row>
    <row r="104" spans="1:4" x14ac:dyDescent="0.3">
      <c r="A104" s="346">
        <v>45645</v>
      </c>
      <c r="B104" s="347">
        <v>47</v>
      </c>
      <c r="C104" s="345">
        <v>216081</v>
      </c>
      <c r="D104" s="350">
        <v>28</v>
      </c>
    </row>
    <row r="105" spans="1:4" x14ac:dyDescent="0.3">
      <c r="A105" s="346">
        <v>45644</v>
      </c>
      <c r="B105" s="347">
        <v>60</v>
      </c>
      <c r="C105" s="345">
        <v>216053</v>
      </c>
      <c r="D105" s="351">
        <v>46</v>
      </c>
    </row>
    <row r="106" spans="1:4" x14ac:dyDescent="0.3">
      <c r="A106" s="346">
        <v>45643</v>
      </c>
      <c r="B106" s="347">
        <v>47</v>
      </c>
      <c r="C106" s="345">
        <v>216007</v>
      </c>
      <c r="D106" s="350">
        <v>30</v>
      </c>
    </row>
    <row r="107" spans="1:4" x14ac:dyDescent="0.3">
      <c r="A107" s="346">
        <v>45642</v>
      </c>
      <c r="B107" s="347">
        <v>59</v>
      </c>
      <c r="C107" s="345">
        <v>215977</v>
      </c>
      <c r="D107" s="351">
        <v>39</v>
      </c>
    </row>
    <row r="108" spans="1:4" x14ac:dyDescent="0.3">
      <c r="A108" s="346">
        <v>45641</v>
      </c>
      <c r="B108" s="347">
        <v>68</v>
      </c>
      <c r="C108" s="345">
        <v>215938</v>
      </c>
      <c r="D108" s="350">
        <v>50</v>
      </c>
    </row>
    <row r="109" spans="1:4" x14ac:dyDescent="0.3">
      <c r="A109" s="346">
        <v>45640</v>
      </c>
      <c r="B109" s="347">
        <v>58</v>
      </c>
      <c r="C109" s="345">
        <v>215888</v>
      </c>
      <c r="D109" s="351">
        <v>36</v>
      </c>
    </row>
    <row r="110" spans="1:4" x14ac:dyDescent="0.3">
      <c r="A110" s="346">
        <v>45639</v>
      </c>
      <c r="B110" s="347">
        <v>70</v>
      </c>
      <c r="C110" s="345">
        <v>215852</v>
      </c>
      <c r="D110" s="350">
        <v>53</v>
      </c>
    </row>
    <row r="111" spans="1:4" x14ac:dyDescent="0.3">
      <c r="A111" s="346">
        <v>45638</v>
      </c>
      <c r="B111" s="347">
        <v>130</v>
      </c>
      <c r="C111" s="345">
        <v>215799</v>
      </c>
      <c r="D111" s="351">
        <v>99</v>
      </c>
    </row>
    <row r="112" spans="1:4" x14ac:dyDescent="0.3">
      <c r="A112" s="346">
        <v>45637</v>
      </c>
      <c r="B112" s="347">
        <v>79</v>
      </c>
      <c r="C112" s="345">
        <v>215700</v>
      </c>
      <c r="D112" s="350">
        <v>61</v>
      </c>
    </row>
    <row r="113" spans="1:4" x14ac:dyDescent="0.3">
      <c r="A113" s="346">
        <v>45636</v>
      </c>
      <c r="B113" s="347">
        <v>82</v>
      </c>
      <c r="C113" s="345">
        <v>215639</v>
      </c>
      <c r="D113" s="351">
        <v>67</v>
      </c>
    </row>
    <row r="114" spans="1:4" x14ac:dyDescent="0.3">
      <c r="A114" s="346">
        <v>45635</v>
      </c>
      <c r="B114" s="347">
        <v>105</v>
      </c>
      <c r="C114" s="345">
        <v>215572</v>
      </c>
      <c r="D114" s="350">
        <v>84</v>
      </c>
    </row>
    <row r="115" spans="1:4" x14ac:dyDescent="0.3">
      <c r="A115" s="346">
        <v>45634</v>
      </c>
      <c r="B115" s="347">
        <v>60</v>
      </c>
      <c r="C115" s="345">
        <v>215488</v>
      </c>
      <c r="D115" s="351">
        <v>41</v>
      </c>
    </row>
    <row r="116" spans="1:4" x14ac:dyDescent="0.3">
      <c r="A116" s="346">
        <v>45633</v>
      </c>
      <c r="B116" s="347">
        <v>71</v>
      </c>
      <c r="C116" s="345">
        <v>215447</v>
      </c>
      <c r="D116" s="350">
        <v>57</v>
      </c>
    </row>
    <row r="117" spans="1:4" x14ac:dyDescent="0.3">
      <c r="A117" s="346">
        <v>45632</v>
      </c>
      <c r="B117" s="347">
        <v>59</v>
      </c>
      <c r="C117" s="345">
        <v>215390</v>
      </c>
      <c r="D117" s="351">
        <v>34</v>
      </c>
    </row>
    <row r="118" spans="1:4" x14ac:dyDescent="0.3">
      <c r="A118" s="346">
        <v>45631</v>
      </c>
      <c r="B118" s="347">
        <v>72</v>
      </c>
      <c r="C118" s="345">
        <v>215356</v>
      </c>
      <c r="D118" s="350">
        <v>50</v>
      </c>
    </row>
    <row r="119" spans="1:4" x14ac:dyDescent="0.3">
      <c r="A119" s="346">
        <v>45630</v>
      </c>
      <c r="B119" s="347">
        <v>73</v>
      </c>
      <c r="C119" s="345">
        <v>215306</v>
      </c>
      <c r="D119" s="351">
        <v>57</v>
      </c>
    </row>
    <row r="120" spans="1:4" x14ac:dyDescent="0.3">
      <c r="A120" s="346">
        <v>45629</v>
      </c>
      <c r="B120" s="347">
        <v>56</v>
      </c>
      <c r="C120" s="345">
        <v>215249</v>
      </c>
      <c r="D120" s="350">
        <v>41</v>
      </c>
    </row>
    <row r="121" spans="1:4" x14ac:dyDescent="0.3">
      <c r="A121" s="346">
        <v>45628</v>
      </c>
      <c r="B121" s="347">
        <v>65</v>
      </c>
      <c r="C121" s="345">
        <v>215208</v>
      </c>
      <c r="D121" s="351">
        <v>54</v>
      </c>
    </row>
    <row r="122" spans="1:4" x14ac:dyDescent="0.3">
      <c r="A122" s="346">
        <v>45627</v>
      </c>
      <c r="B122" s="347">
        <v>73</v>
      </c>
      <c r="C122" s="345">
        <v>215154</v>
      </c>
      <c r="D122" s="350">
        <v>58</v>
      </c>
    </row>
    <row r="123" spans="1:4" x14ac:dyDescent="0.3">
      <c r="A123" s="346">
        <v>45626</v>
      </c>
      <c r="B123" s="347">
        <v>69</v>
      </c>
      <c r="C123" s="345">
        <v>215096</v>
      </c>
      <c r="D123" s="351">
        <v>47</v>
      </c>
    </row>
    <row r="124" spans="1:4" x14ac:dyDescent="0.3">
      <c r="A124" s="346">
        <v>45625</v>
      </c>
      <c r="B124" s="347">
        <v>62</v>
      </c>
      <c r="C124" s="345">
        <v>215049</v>
      </c>
      <c r="D124" s="350">
        <v>53</v>
      </c>
    </row>
    <row r="125" spans="1:4" x14ac:dyDescent="0.3">
      <c r="A125" s="346">
        <v>45624</v>
      </c>
      <c r="B125" s="347">
        <v>115</v>
      </c>
      <c r="C125" s="345">
        <v>214996</v>
      </c>
      <c r="D125" s="351">
        <v>97</v>
      </c>
    </row>
    <row r="126" spans="1:4" x14ac:dyDescent="0.3">
      <c r="A126" s="346">
        <v>45623</v>
      </c>
      <c r="B126" s="347">
        <v>78</v>
      </c>
      <c r="C126" s="345">
        <v>214899</v>
      </c>
      <c r="D126" s="350">
        <v>64</v>
      </c>
    </row>
    <row r="127" spans="1:4" x14ac:dyDescent="0.3">
      <c r="A127" s="346">
        <v>45622</v>
      </c>
      <c r="B127" s="347">
        <v>60</v>
      </c>
      <c r="C127" s="345">
        <v>214835</v>
      </c>
      <c r="D127" s="351">
        <v>48</v>
      </c>
    </row>
    <row r="128" spans="1:4" x14ac:dyDescent="0.3">
      <c r="A128" s="346">
        <v>45621</v>
      </c>
      <c r="B128" s="347">
        <v>68</v>
      </c>
      <c r="C128" s="345">
        <v>214787</v>
      </c>
      <c r="D128" s="350">
        <v>58</v>
      </c>
    </row>
    <row r="129" spans="1:4" x14ac:dyDescent="0.3">
      <c r="A129" s="346">
        <v>45620</v>
      </c>
      <c r="B129" s="347">
        <v>60</v>
      </c>
      <c r="C129" s="345">
        <v>214729</v>
      </c>
      <c r="D129" s="351">
        <v>45</v>
      </c>
    </row>
    <row r="130" spans="1:4" x14ac:dyDescent="0.3">
      <c r="A130" s="346">
        <v>45619</v>
      </c>
      <c r="B130" s="347">
        <v>72</v>
      </c>
      <c r="C130" s="345">
        <v>214684</v>
      </c>
      <c r="D130" s="350">
        <v>55</v>
      </c>
    </row>
    <row r="131" spans="1:4" x14ac:dyDescent="0.3">
      <c r="A131" s="346">
        <v>45618</v>
      </c>
      <c r="B131" s="347">
        <v>80</v>
      </c>
      <c r="C131" s="345">
        <v>214629</v>
      </c>
      <c r="D131" s="351">
        <v>66</v>
      </c>
    </row>
    <row r="132" spans="1:4" x14ac:dyDescent="0.3">
      <c r="A132" s="346">
        <v>45617</v>
      </c>
      <c r="B132" s="347">
        <v>80</v>
      </c>
      <c r="C132" s="345">
        <v>214563</v>
      </c>
      <c r="D132" s="350">
        <v>62</v>
      </c>
    </row>
    <row r="133" spans="1:4" x14ac:dyDescent="0.3">
      <c r="A133" s="346">
        <v>45616</v>
      </c>
      <c r="B133" s="347">
        <v>70</v>
      </c>
      <c r="C133" s="345">
        <v>214501</v>
      </c>
      <c r="D133" s="351">
        <v>48</v>
      </c>
    </row>
    <row r="134" spans="1:4" x14ac:dyDescent="0.3">
      <c r="A134" s="346">
        <v>45615</v>
      </c>
      <c r="B134" s="347">
        <v>66</v>
      </c>
      <c r="C134" s="345">
        <v>214453</v>
      </c>
      <c r="D134" s="350">
        <v>48</v>
      </c>
    </row>
    <row r="135" spans="1:4" x14ac:dyDescent="0.3">
      <c r="A135" s="346">
        <v>45614</v>
      </c>
      <c r="B135" s="347">
        <v>65</v>
      </c>
      <c r="C135" s="345">
        <v>214405</v>
      </c>
      <c r="D135" s="351">
        <v>49</v>
      </c>
    </row>
    <row r="136" spans="1:4" x14ac:dyDescent="0.3">
      <c r="A136" s="346">
        <v>45613</v>
      </c>
      <c r="B136" s="347">
        <v>81</v>
      </c>
      <c r="C136" s="345">
        <v>214356</v>
      </c>
      <c r="D136" s="350">
        <v>64</v>
      </c>
    </row>
    <row r="137" spans="1:4" x14ac:dyDescent="0.3">
      <c r="A137" s="346">
        <v>45612</v>
      </c>
      <c r="B137" s="347">
        <v>63</v>
      </c>
      <c r="C137" s="345">
        <v>214292</v>
      </c>
      <c r="D137" s="351">
        <v>44</v>
      </c>
    </row>
    <row r="138" spans="1:4" x14ac:dyDescent="0.3">
      <c r="A138" s="346">
        <v>45611</v>
      </c>
      <c r="B138" s="347">
        <v>60</v>
      </c>
      <c r="C138" s="345">
        <v>214248</v>
      </c>
      <c r="D138" s="350">
        <v>36</v>
      </c>
    </row>
    <row r="139" spans="1:4" x14ac:dyDescent="0.3">
      <c r="A139" s="346">
        <v>45610</v>
      </c>
      <c r="B139" s="347">
        <v>64</v>
      </c>
      <c r="C139" s="345">
        <v>214212</v>
      </c>
      <c r="D139" s="351">
        <v>53</v>
      </c>
    </row>
    <row r="140" spans="1:4" x14ac:dyDescent="0.3">
      <c r="A140" s="346">
        <v>45609</v>
      </c>
      <c r="B140" s="347">
        <v>77</v>
      </c>
      <c r="C140" s="345">
        <v>214159</v>
      </c>
      <c r="D140" s="350">
        <v>62</v>
      </c>
    </row>
    <row r="141" spans="1:4" x14ac:dyDescent="0.3">
      <c r="A141" s="346">
        <v>45608</v>
      </c>
      <c r="B141" s="347">
        <v>50</v>
      </c>
      <c r="C141" s="345">
        <v>214097</v>
      </c>
      <c r="D141" s="351">
        <v>29</v>
      </c>
    </row>
    <row r="142" spans="1:4" x14ac:dyDescent="0.3">
      <c r="A142" s="346">
        <v>45607</v>
      </c>
      <c r="B142" s="347">
        <v>138</v>
      </c>
      <c r="C142" s="345">
        <v>214068</v>
      </c>
      <c r="D142" s="350">
        <v>105</v>
      </c>
    </row>
    <row r="143" spans="1:4" x14ac:dyDescent="0.3">
      <c r="A143" s="346">
        <v>45606</v>
      </c>
      <c r="B143" s="347">
        <v>146</v>
      </c>
      <c r="C143" s="345">
        <v>213963</v>
      </c>
      <c r="D143" s="351">
        <v>125</v>
      </c>
    </row>
    <row r="144" spans="1:4" x14ac:dyDescent="0.3">
      <c r="A144" s="346">
        <v>45605</v>
      </c>
      <c r="B144" s="347">
        <v>120</v>
      </c>
      <c r="C144" s="345">
        <v>213838</v>
      </c>
      <c r="D144" s="350">
        <v>103</v>
      </c>
    </row>
    <row r="145" spans="1:4" x14ac:dyDescent="0.3">
      <c r="A145" s="346">
        <v>45604</v>
      </c>
      <c r="B145" s="347">
        <v>94</v>
      </c>
      <c r="C145" s="345">
        <v>213735</v>
      </c>
      <c r="D145" s="351">
        <v>74</v>
      </c>
    </row>
    <row r="146" spans="1:4" x14ac:dyDescent="0.3">
      <c r="A146" s="346">
        <v>45603</v>
      </c>
      <c r="B146" s="347">
        <v>95</v>
      </c>
      <c r="C146" s="345">
        <v>213661</v>
      </c>
      <c r="D146" s="350">
        <v>71</v>
      </c>
    </row>
    <row r="147" spans="1:4" x14ac:dyDescent="0.3">
      <c r="A147" s="346">
        <v>45602</v>
      </c>
      <c r="B147" s="347">
        <v>96</v>
      </c>
      <c r="C147" s="345">
        <v>213590</v>
      </c>
      <c r="D147" s="351">
        <v>74</v>
      </c>
    </row>
    <row r="148" spans="1:4" x14ac:dyDescent="0.3">
      <c r="A148" s="346">
        <v>45601</v>
      </c>
      <c r="B148" s="347">
        <v>105</v>
      </c>
      <c r="C148" s="345">
        <v>213516</v>
      </c>
      <c r="D148" s="350">
        <v>95</v>
      </c>
    </row>
    <row r="149" spans="1:4" x14ac:dyDescent="0.3">
      <c r="A149" s="346">
        <v>45600</v>
      </c>
      <c r="B149" s="347">
        <v>98</v>
      </c>
      <c r="C149" s="345">
        <v>213421</v>
      </c>
      <c r="D149" s="351">
        <v>77</v>
      </c>
    </row>
    <row r="150" spans="1:4" x14ac:dyDescent="0.3">
      <c r="A150" s="346">
        <v>45599</v>
      </c>
      <c r="B150" s="347">
        <v>129</v>
      </c>
      <c r="C150" s="345">
        <v>213344</v>
      </c>
      <c r="D150" s="350">
        <v>106</v>
      </c>
    </row>
    <row r="151" spans="1:4" x14ac:dyDescent="0.3">
      <c r="A151" s="346">
        <v>45598</v>
      </c>
      <c r="B151" s="347">
        <v>157</v>
      </c>
      <c r="C151" s="345">
        <v>213238</v>
      </c>
      <c r="D151" s="351">
        <v>135</v>
      </c>
    </row>
    <row r="152" spans="1:4" x14ac:dyDescent="0.3">
      <c r="A152" s="346">
        <v>45597</v>
      </c>
      <c r="B152" s="347">
        <v>122</v>
      </c>
      <c r="C152" s="345">
        <v>213103</v>
      </c>
      <c r="D152" s="350">
        <v>99</v>
      </c>
    </row>
    <row r="153" spans="1:4" x14ac:dyDescent="0.3">
      <c r="A153" s="346">
        <v>45596</v>
      </c>
      <c r="B153" s="347">
        <v>115</v>
      </c>
      <c r="C153" s="345">
        <v>213004</v>
      </c>
      <c r="D153" s="351">
        <v>94</v>
      </c>
    </row>
    <row r="154" spans="1:4" x14ac:dyDescent="0.3">
      <c r="A154" s="346">
        <v>45595</v>
      </c>
      <c r="B154" s="347">
        <v>100</v>
      </c>
      <c r="C154" s="345">
        <v>212910</v>
      </c>
      <c r="D154" s="350">
        <v>73</v>
      </c>
    </row>
    <row r="155" spans="1:4" x14ac:dyDescent="0.3">
      <c r="A155" s="346">
        <v>45594</v>
      </c>
      <c r="B155" s="347">
        <v>108</v>
      </c>
      <c r="C155" s="345">
        <v>212837</v>
      </c>
      <c r="D155" s="351">
        <v>91</v>
      </c>
    </row>
    <row r="156" spans="1:4" x14ac:dyDescent="0.3">
      <c r="A156" s="346">
        <v>45593</v>
      </c>
      <c r="B156" s="347">
        <v>104</v>
      </c>
      <c r="C156" s="345">
        <v>212746</v>
      </c>
      <c r="D156" s="350">
        <v>82</v>
      </c>
    </row>
    <row r="157" spans="1:4" x14ac:dyDescent="0.3">
      <c r="A157" s="346">
        <v>45592</v>
      </c>
      <c r="B157" s="347">
        <v>102</v>
      </c>
      <c r="C157" s="345">
        <v>212664</v>
      </c>
      <c r="D157" s="351">
        <v>87</v>
      </c>
    </row>
    <row r="158" spans="1:4" x14ac:dyDescent="0.3">
      <c r="A158" s="346">
        <v>45591</v>
      </c>
      <c r="B158" s="347">
        <v>84</v>
      </c>
      <c r="C158" s="345">
        <v>212577</v>
      </c>
      <c r="D158" s="350">
        <v>69</v>
      </c>
    </row>
    <row r="159" spans="1:4" x14ac:dyDescent="0.3">
      <c r="A159" s="346">
        <v>45590</v>
      </c>
      <c r="B159" s="347">
        <v>83</v>
      </c>
      <c r="C159" s="345">
        <v>212508</v>
      </c>
      <c r="D159" s="351">
        <v>58</v>
      </c>
    </row>
    <row r="160" spans="1:4" x14ac:dyDescent="0.3">
      <c r="A160" s="346">
        <v>45589</v>
      </c>
      <c r="B160" s="347">
        <v>140</v>
      </c>
      <c r="C160" s="345">
        <v>212450</v>
      </c>
      <c r="D160" s="350">
        <v>116</v>
      </c>
    </row>
    <row r="161" spans="1:4" x14ac:dyDescent="0.3">
      <c r="A161" s="346">
        <v>45588</v>
      </c>
      <c r="B161" s="347">
        <v>108</v>
      </c>
      <c r="C161" s="345">
        <v>212334</v>
      </c>
      <c r="D161" s="351">
        <v>82</v>
      </c>
    </row>
    <row r="162" spans="1:4" x14ac:dyDescent="0.3">
      <c r="A162" s="346">
        <v>45587</v>
      </c>
      <c r="B162" s="347">
        <v>137</v>
      </c>
      <c r="C162" s="345">
        <v>212252</v>
      </c>
      <c r="D162" s="350">
        <v>119</v>
      </c>
    </row>
    <row r="163" spans="1:4" x14ac:dyDescent="0.3">
      <c r="A163" s="346">
        <v>45586</v>
      </c>
      <c r="B163" s="347">
        <v>94</v>
      </c>
      <c r="C163" s="345">
        <v>212133</v>
      </c>
      <c r="D163" s="351">
        <v>63</v>
      </c>
    </row>
    <row r="164" spans="1:4" x14ac:dyDescent="0.3">
      <c r="A164" s="346">
        <v>45585</v>
      </c>
      <c r="B164" s="347">
        <v>101</v>
      </c>
      <c r="C164" s="345">
        <v>212070</v>
      </c>
      <c r="D164" s="350">
        <v>77</v>
      </c>
    </row>
    <row r="165" spans="1:4" x14ac:dyDescent="0.3">
      <c r="A165" s="346">
        <v>45584</v>
      </c>
      <c r="B165" s="347">
        <v>104</v>
      </c>
      <c r="C165" s="345">
        <v>211993</v>
      </c>
      <c r="D165" s="351">
        <v>81</v>
      </c>
    </row>
    <row r="166" spans="1:4" x14ac:dyDescent="0.3">
      <c r="A166" s="346">
        <v>45583</v>
      </c>
      <c r="B166" s="347">
        <v>69</v>
      </c>
      <c r="C166" s="345">
        <v>211912</v>
      </c>
      <c r="D166" s="350">
        <v>53</v>
      </c>
    </row>
    <row r="167" spans="1:4" x14ac:dyDescent="0.3">
      <c r="A167" s="346">
        <v>45582</v>
      </c>
      <c r="B167" s="347">
        <v>69</v>
      </c>
      <c r="C167" s="345">
        <v>211859</v>
      </c>
      <c r="D167" s="351">
        <v>50</v>
      </c>
    </row>
    <row r="168" spans="1:4" x14ac:dyDescent="0.3">
      <c r="A168" s="346">
        <v>45581</v>
      </c>
      <c r="B168" s="347">
        <v>93</v>
      </c>
      <c r="C168" s="345">
        <v>211809</v>
      </c>
      <c r="D168" s="350">
        <v>68</v>
      </c>
    </row>
    <row r="169" spans="1:4" x14ac:dyDescent="0.3">
      <c r="A169" s="346">
        <v>45580</v>
      </c>
      <c r="B169" s="347">
        <v>90</v>
      </c>
      <c r="C169" s="345">
        <v>211741</v>
      </c>
      <c r="D169" s="351">
        <v>59</v>
      </c>
    </row>
    <row r="170" spans="1:4" x14ac:dyDescent="0.3">
      <c r="A170" s="346">
        <v>45579</v>
      </c>
      <c r="B170" s="347">
        <v>106</v>
      </c>
      <c r="C170" s="345">
        <v>211682</v>
      </c>
      <c r="D170" s="350">
        <v>72</v>
      </c>
    </row>
    <row r="171" spans="1:4" x14ac:dyDescent="0.3">
      <c r="A171" s="346">
        <v>45578</v>
      </c>
      <c r="B171" s="347">
        <v>116</v>
      </c>
      <c r="C171" s="345">
        <v>211610</v>
      </c>
      <c r="D171" s="351">
        <v>95</v>
      </c>
    </row>
    <row r="172" spans="1:4" x14ac:dyDescent="0.3">
      <c r="A172" s="346">
        <v>45577</v>
      </c>
      <c r="B172" s="347">
        <v>100</v>
      </c>
      <c r="C172" s="345">
        <v>211515</v>
      </c>
      <c r="D172" s="350">
        <v>75</v>
      </c>
    </row>
    <row r="173" spans="1:4" x14ac:dyDescent="0.3">
      <c r="A173" s="346">
        <v>45576</v>
      </c>
      <c r="B173" s="347">
        <v>104</v>
      </c>
      <c r="C173" s="345">
        <v>211440</v>
      </c>
      <c r="D173" s="351">
        <v>87</v>
      </c>
    </row>
    <row r="174" spans="1:4" x14ac:dyDescent="0.3">
      <c r="A174" s="346">
        <v>45575</v>
      </c>
      <c r="B174" s="347">
        <v>125</v>
      </c>
      <c r="C174" s="345">
        <v>211353</v>
      </c>
      <c r="D174" s="350">
        <v>102</v>
      </c>
    </row>
    <row r="175" spans="1:4" x14ac:dyDescent="0.3">
      <c r="A175" s="346">
        <v>45574</v>
      </c>
      <c r="B175" s="347">
        <v>130</v>
      </c>
      <c r="C175" s="345">
        <v>211251</v>
      </c>
      <c r="D175" s="351">
        <v>106</v>
      </c>
    </row>
    <row r="176" spans="1:4" x14ac:dyDescent="0.3">
      <c r="A176" s="346">
        <v>45573</v>
      </c>
      <c r="B176" s="347">
        <v>141</v>
      </c>
      <c r="C176" s="345">
        <v>211145</v>
      </c>
      <c r="D176" s="350">
        <v>116</v>
      </c>
    </row>
    <row r="177" spans="1:4" x14ac:dyDescent="0.3">
      <c r="A177" s="346">
        <v>45572</v>
      </c>
      <c r="B177" s="347">
        <v>46</v>
      </c>
      <c r="C177" s="345">
        <v>211029</v>
      </c>
      <c r="D177" s="351">
        <v>32</v>
      </c>
    </row>
    <row r="178" spans="1:4" x14ac:dyDescent="0.3">
      <c r="A178" s="346">
        <v>45571</v>
      </c>
      <c r="B178" s="347">
        <v>48</v>
      </c>
      <c r="C178" s="345">
        <v>210997</v>
      </c>
      <c r="D178" s="350">
        <v>26</v>
      </c>
    </row>
    <row r="179" spans="1:4" x14ac:dyDescent="0.3">
      <c r="A179" s="346">
        <v>45570</v>
      </c>
      <c r="B179" s="347">
        <v>44</v>
      </c>
      <c r="C179" s="345">
        <v>210971</v>
      </c>
      <c r="D179" s="351">
        <v>23</v>
      </c>
    </row>
    <row r="180" spans="1:4" x14ac:dyDescent="0.3">
      <c r="A180" s="346">
        <v>45569</v>
      </c>
      <c r="B180" s="347">
        <v>39</v>
      </c>
      <c r="C180" s="345">
        <v>210948</v>
      </c>
      <c r="D180" s="350">
        <v>24</v>
      </c>
    </row>
    <row r="181" spans="1:4" x14ac:dyDescent="0.3">
      <c r="A181" s="346">
        <v>45568</v>
      </c>
      <c r="B181" s="347">
        <v>37</v>
      </c>
      <c r="C181" s="345">
        <v>210924</v>
      </c>
      <c r="D181" s="351">
        <v>21</v>
      </c>
    </row>
    <row r="182" spans="1:4" x14ac:dyDescent="0.3">
      <c r="A182" s="346">
        <v>45567</v>
      </c>
      <c r="B182" s="347">
        <v>39</v>
      </c>
      <c r="C182" s="345">
        <v>210903</v>
      </c>
      <c r="D182" s="350">
        <v>30</v>
      </c>
    </row>
    <row r="183" spans="1:4" x14ac:dyDescent="0.3">
      <c r="A183" s="346">
        <v>45566</v>
      </c>
      <c r="B183" s="347">
        <v>47</v>
      </c>
      <c r="C183" s="345">
        <v>210873</v>
      </c>
      <c r="D183" s="351">
        <v>31</v>
      </c>
    </row>
    <row r="184" spans="1:4" x14ac:dyDescent="0.3">
      <c r="A184" s="346">
        <v>45565</v>
      </c>
      <c r="B184" s="347">
        <v>51</v>
      </c>
      <c r="C184" s="345">
        <v>210842</v>
      </c>
      <c r="D184" s="350">
        <v>40</v>
      </c>
    </row>
    <row r="185" spans="1:4" x14ac:dyDescent="0.3">
      <c r="A185" s="346">
        <v>45564</v>
      </c>
      <c r="B185" s="347">
        <v>47</v>
      </c>
      <c r="C185" s="345">
        <v>210802</v>
      </c>
      <c r="D185" s="351">
        <v>30</v>
      </c>
    </row>
    <row r="186" spans="1:4" x14ac:dyDescent="0.3">
      <c r="A186" s="346">
        <v>45563</v>
      </c>
      <c r="B186" s="347">
        <v>52</v>
      </c>
      <c r="C186" s="345">
        <v>210772</v>
      </c>
      <c r="D186" s="350">
        <v>33</v>
      </c>
    </row>
    <row r="187" spans="1:4" x14ac:dyDescent="0.3">
      <c r="A187" s="346">
        <v>45562</v>
      </c>
      <c r="B187" s="347">
        <v>49</v>
      </c>
      <c r="C187" s="345">
        <v>210739</v>
      </c>
      <c r="D187" s="351">
        <v>38</v>
      </c>
    </row>
    <row r="188" spans="1:4" x14ac:dyDescent="0.3">
      <c r="A188" s="346">
        <v>45561</v>
      </c>
      <c r="B188" s="347">
        <v>33</v>
      </c>
      <c r="C188" s="345">
        <v>210701</v>
      </c>
      <c r="D188" s="350">
        <v>16</v>
      </c>
    </row>
    <row r="189" spans="1:4" x14ac:dyDescent="0.3">
      <c r="A189" s="346">
        <v>45560</v>
      </c>
      <c r="B189" s="347">
        <v>44</v>
      </c>
      <c r="C189" s="345">
        <v>210685</v>
      </c>
      <c r="D189" s="351">
        <v>23</v>
      </c>
    </row>
    <row r="190" spans="1:4" x14ac:dyDescent="0.3">
      <c r="A190" s="346">
        <v>45559</v>
      </c>
      <c r="B190" s="347">
        <v>47</v>
      </c>
      <c r="C190" s="345">
        <v>210662</v>
      </c>
      <c r="D190" s="350">
        <v>26</v>
      </c>
    </row>
    <row r="191" spans="1:4" x14ac:dyDescent="0.3">
      <c r="A191" s="346">
        <v>45558</v>
      </c>
      <c r="B191" s="347">
        <v>37</v>
      </c>
      <c r="C191" s="345">
        <v>210636</v>
      </c>
      <c r="D191" s="351">
        <v>21</v>
      </c>
    </row>
    <row r="192" spans="1:4" x14ac:dyDescent="0.3">
      <c r="A192" s="346">
        <v>45557</v>
      </c>
      <c r="B192" s="347">
        <v>51</v>
      </c>
      <c r="C192" s="345">
        <v>210615</v>
      </c>
      <c r="D192" s="350">
        <v>37</v>
      </c>
    </row>
    <row r="193" spans="1:4" x14ac:dyDescent="0.3">
      <c r="A193" s="346">
        <v>45556</v>
      </c>
      <c r="B193" s="347">
        <v>39</v>
      </c>
      <c r="C193" s="345">
        <v>210578</v>
      </c>
      <c r="D193" s="351">
        <v>25</v>
      </c>
    </row>
    <row r="194" spans="1:4" x14ac:dyDescent="0.3">
      <c r="A194" s="346">
        <v>45555</v>
      </c>
      <c r="B194" s="347">
        <v>46</v>
      </c>
      <c r="C194" s="345">
        <v>210553</v>
      </c>
      <c r="D194" s="350">
        <v>30</v>
      </c>
    </row>
    <row r="195" spans="1:4" x14ac:dyDescent="0.3">
      <c r="A195" s="346">
        <v>45554</v>
      </c>
      <c r="B195" s="347">
        <v>47</v>
      </c>
      <c r="C195" s="345">
        <v>210523</v>
      </c>
      <c r="D195" s="351">
        <v>27</v>
      </c>
    </row>
    <row r="196" spans="1:4" x14ac:dyDescent="0.3">
      <c r="A196" s="346">
        <v>45553</v>
      </c>
      <c r="B196" s="347">
        <v>38</v>
      </c>
      <c r="C196" s="345">
        <v>210496</v>
      </c>
      <c r="D196" s="350">
        <v>20</v>
      </c>
    </row>
    <row r="197" spans="1:4" x14ac:dyDescent="0.3">
      <c r="A197" s="346">
        <v>45552</v>
      </c>
      <c r="B197" s="347">
        <v>47</v>
      </c>
      <c r="C197" s="345">
        <v>210476</v>
      </c>
      <c r="D197" s="351">
        <v>36</v>
      </c>
    </row>
    <row r="198" spans="1:4" x14ac:dyDescent="0.3">
      <c r="A198" s="346">
        <v>45551</v>
      </c>
      <c r="B198" s="347">
        <v>30</v>
      </c>
      <c r="C198" s="345">
        <v>210440</v>
      </c>
      <c r="D198" s="350">
        <v>15</v>
      </c>
    </row>
    <row r="199" spans="1:4" x14ac:dyDescent="0.3">
      <c r="A199" s="346">
        <v>45550</v>
      </c>
      <c r="B199" s="347">
        <v>47</v>
      </c>
      <c r="C199" s="345">
        <v>210425</v>
      </c>
      <c r="D199" s="351">
        <v>31</v>
      </c>
    </row>
    <row r="200" spans="1:4" x14ac:dyDescent="0.3">
      <c r="A200" s="346">
        <v>45549</v>
      </c>
      <c r="B200" s="347">
        <v>33</v>
      </c>
      <c r="C200" s="345">
        <v>210394</v>
      </c>
      <c r="D200" s="350">
        <v>19</v>
      </c>
    </row>
    <row r="201" spans="1:4" x14ac:dyDescent="0.3">
      <c r="A201" s="346">
        <v>45548</v>
      </c>
      <c r="B201" s="347">
        <v>36</v>
      </c>
      <c r="C201" s="345">
        <v>210375</v>
      </c>
      <c r="D201" s="351">
        <v>14</v>
      </c>
    </row>
    <row r="202" spans="1:4" x14ac:dyDescent="0.3">
      <c r="A202" s="346">
        <v>45547</v>
      </c>
      <c r="B202" s="347">
        <v>29</v>
      </c>
      <c r="C202" s="345">
        <v>210361</v>
      </c>
      <c r="D202" s="350">
        <v>10</v>
      </c>
    </row>
    <row r="203" spans="1:4" x14ac:dyDescent="0.3">
      <c r="A203" s="346">
        <v>45546</v>
      </c>
      <c r="B203" s="347">
        <v>35</v>
      </c>
      <c r="C203" s="345">
        <v>210351</v>
      </c>
      <c r="D203" s="351">
        <v>26</v>
      </c>
    </row>
    <row r="204" spans="1:4" x14ac:dyDescent="0.3">
      <c r="A204" s="346">
        <v>45545</v>
      </c>
      <c r="B204" s="347">
        <v>35</v>
      </c>
      <c r="C204" s="345">
        <v>210325</v>
      </c>
      <c r="D204" s="350">
        <v>13</v>
      </c>
    </row>
    <row r="205" spans="1:4" x14ac:dyDescent="0.3">
      <c r="A205" s="346">
        <v>45544</v>
      </c>
      <c r="B205" s="347">
        <v>34</v>
      </c>
      <c r="C205" s="345">
        <v>210312</v>
      </c>
      <c r="D205" s="351">
        <v>17</v>
      </c>
    </row>
    <row r="206" spans="1:4" x14ac:dyDescent="0.3">
      <c r="A206" s="346">
        <v>45543</v>
      </c>
      <c r="B206" s="347">
        <v>38</v>
      </c>
      <c r="C206" s="345">
        <v>210295</v>
      </c>
      <c r="D206" s="350">
        <v>24</v>
      </c>
    </row>
    <row r="207" spans="1:4" x14ac:dyDescent="0.3">
      <c r="A207" s="346">
        <v>45542</v>
      </c>
      <c r="B207" s="347">
        <v>50</v>
      </c>
      <c r="C207" s="345">
        <v>210271</v>
      </c>
      <c r="D207" s="351">
        <v>36</v>
      </c>
    </row>
    <row r="208" spans="1:4" x14ac:dyDescent="0.3">
      <c r="A208" s="346">
        <v>45541</v>
      </c>
      <c r="B208" s="347">
        <v>41</v>
      </c>
      <c r="C208" s="345">
        <v>210235</v>
      </c>
      <c r="D208" s="350">
        <v>25</v>
      </c>
    </row>
    <row r="209" spans="1:4" x14ac:dyDescent="0.3">
      <c r="A209" s="346">
        <v>45540</v>
      </c>
      <c r="B209" s="347">
        <v>29</v>
      </c>
      <c r="C209" s="345">
        <v>210210</v>
      </c>
      <c r="D209" s="351">
        <v>6</v>
      </c>
    </row>
    <row r="210" spans="1:4" x14ac:dyDescent="0.3">
      <c r="A210" s="346">
        <v>45539</v>
      </c>
      <c r="B210" s="347">
        <v>38</v>
      </c>
      <c r="C210" s="345">
        <v>210204</v>
      </c>
      <c r="D210" s="350">
        <v>28</v>
      </c>
    </row>
    <row r="211" spans="1:4" x14ac:dyDescent="0.3">
      <c r="A211" s="346">
        <v>45538</v>
      </c>
      <c r="B211" s="347">
        <v>41</v>
      </c>
      <c r="C211" s="345">
        <v>210176</v>
      </c>
      <c r="D211" s="351">
        <v>30</v>
      </c>
    </row>
    <row r="212" spans="1:4" x14ac:dyDescent="0.3">
      <c r="A212" s="346">
        <v>45537</v>
      </c>
      <c r="B212" s="347">
        <v>53</v>
      </c>
      <c r="C212" s="345">
        <v>210146</v>
      </c>
      <c r="D212" s="350">
        <v>34</v>
      </c>
    </row>
    <row r="213" spans="1:4" x14ac:dyDescent="0.3">
      <c r="A213" s="346">
        <v>45536</v>
      </c>
      <c r="B213" s="347">
        <v>38</v>
      </c>
      <c r="C213" s="345">
        <v>210112</v>
      </c>
      <c r="D213" s="351">
        <v>23</v>
      </c>
    </row>
    <row r="214" spans="1:4" x14ac:dyDescent="0.3">
      <c r="A214" s="346">
        <v>45535</v>
      </c>
      <c r="B214" s="347">
        <v>37</v>
      </c>
      <c r="C214" s="345">
        <v>210089</v>
      </c>
      <c r="D214" s="350">
        <v>23</v>
      </c>
    </row>
    <row r="215" spans="1:4" x14ac:dyDescent="0.3">
      <c r="A215" s="346">
        <v>45534</v>
      </c>
      <c r="B215" s="347">
        <v>39</v>
      </c>
      <c r="C215" s="345">
        <v>210066</v>
      </c>
      <c r="D215" s="351">
        <v>25</v>
      </c>
    </row>
    <row r="216" spans="1:4" x14ac:dyDescent="0.3">
      <c r="A216" s="346">
        <v>45533</v>
      </c>
      <c r="B216" s="347">
        <v>39</v>
      </c>
      <c r="C216" s="345">
        <v>210041</v>
      </c>
      <c r="D216" s="350">
        <v>30</v>
      </c>
    </row>
    <row r="217" spans="1:4" x14ac:dyDescent="0.3">
      <c r="A217" s="346">
        <v>45532</v>
      </c>
      <c r="B217" s="347">
        <v>43</v>
      </c>
      <c r="C217" s="345">
        <v>210011</v>
      </c>
      <c r="D217" s="351">
        <v>24</v>
      </c>
    </row>
    <row r="218" spans="1:4" x14ac:dyDescent="0.3">
      <c r="A218" s="346">
        <v>45531</v>
      </c>
      <c r="B218" s="347">
        <v>41</v>
      </c>
      <c r="C218" s="345">
        <v>209987</v>
      </c>
      <c r="D218" s="350">
        <v>25</v>
      </c>
    </row>
    <row r="219" spans="1:4" x14ac:dyDescent="0.3">
      <c r="A219" s="346">
        <v>45530</v>
      </c>
      <c r="B219" s="347">
        <v>50</v>
      </c>
      <c r="C219" s="345">
        <v>209962</v>
      </c>
      <c r="D219" s="351">
        <v>38</v>
      </c>
    </row>
    <row r="220" spans="1:4" x14ac:dyDescent="0.3">
      <c r="A220" s="346">
        <v>45529</v>
      </c>
      <c r="B220" s="347">
        <v>39</v>
      </c>
      <c r="C220" s="345">
        <v>209924</v>
      </c>
      <c r="D220" s="350">
        <v>20</v>
      </c>
    </row>
    <row r="221" spans="1:4" x14ac:dyDescent="0.3">
      <c r="A221" s="346">
        <v>45528</v>
      </c>
      <c r="B221" s="347">
        <v>33</v>
      </c>
      <c r="C221" s="345">
        <v>209904</v>
      </c>
      <c r="D221" s="351">
        <v>10</v>
      </c>
    </row>
    <row r="222" spans="1:4" x14ac:dyDescent="0.3">
      <c r="A222" s="346">
        <v>45527</v>
      </c>
      <c r="B222" s="347">
        <v>36</v>
      </c>
      <c r="C222" s="345">
        <v>209894</v>
      </c>
      <c r="D222" s="350">
        <v>14</v>
      </c>
    </row>
    <row r="223" spans="1:4" x14ac:dyDescent="0.3">
      <c r="A223" s="346">
        <v>45526</v>
      </c>
      <c r="B223" s="347">
        <v>30</v>
      </c>
      <c r="C223" s="345">
        <v>209880</v>
      </c>
      <c r="D223" s="351">
        <v>13</v>
      </c>
    </row>
    <row r="224" spans="1:4" x14ac:dyDescent="0.3">
      <c r="A224" s="346">
        <v>45525</v>
      </c>
      <c r="B224" s="347">
        <v>35</v>
      </c>
      <c r="C224" s="345">
        <v>209867</v>
      </c>
      <c r="D224" s="350">
        <v>19</v>
      </c>
    </row>
    <row r="225" spans="1:4" x14ac:dyDescent="0.3">
      <c r="A225" s="346">
        <v>45524</v>
      </c>
      <c r="B225" s="347">
        <v>42</v>
      </c>
      <c r="C225" s="345">
        <v>209848</v>
      </c>
      <c r="D225" s="351">
        <v>31</v>
      </c>
    </row>
    <row r="226" spans="1:4" x14ac:dyDescent="0.3">
      <c r="A226" s="346">
        <v>45523</v>
      </c>
      <c r="B226" s="347">
        <v>34</v>
      </c>
      <c r="C226" s="345">
        <v>209817</v>
      </c>
      <c r="D226" s="350">
        <v>21</v>
      </c>
    </row>
    <row r="227" spans="1:4" x14ac:dyDescent="0.3">
      <c r="A227" s="346">
        <v>45522</v>
      </c>
      <c r="B227" s="347">
        <v>64</v>
      </c>
      <c r="C227" s="345">
        <v>209796</v>
      </c>
      <c r="D227" s="351">
        <v>47</v>
      </c>
    </row>
    <row r="228" spans="1:4" x14ac:dyDescent="0.3">
      <c r="A228" s="346">
        <v>45521</v>
      </c>
      <c r="B228" s="347">
        <v>40</v>
      </c>
      <c r="C228" s="345">
        <v>209749</v>
      </c>
      <c r="D228" s="350">
        <v>30</v>
      </c>
    </row>
    <row r="229" spans="1:4" x14ac:dyDescent="0.3">
      <c r="A229" s="346">
        <v>45520</v>
      </c>
      <c r="B229" s="347">
        <v>38</v>
      </c>
      <c r="C229" s="345">
        <v>209719</v>
      </c>
      <c r="D229" s="351">
        <v>23</v>
      </c>
    </row>
    <row r="230" spans="1:4" x14ac:dyDescent="0.3">
      <c r="A230" s="346">
        <v>45519</v>
      </c>
      <c r="B230" s="347">
        <v>50</v>
      </c>
      <c r="C230" s="345">
        <v>209696</v>
      </c>
      <c r="D230" s="350">
        <v>33</v>
      </c>
    </row>
    <row r="231" spans="1:4" x14ac:dyDescent="0.3">
      <c r="A231" s="346">
        <v>45518</v>
      </c>
      <c r="B231" s="347">
        <v>41</v>
      </c>
      <c r="C231" s="345">
        <v>209663</v>
      </c>
      <c r="D231" s="351">
        <v>22</v>
      </c>
    </row>
    <row r="232" spans="1:4" x14ac:dyDescent="0.3">
      <c r="A232" s="346">
        <v>45517</v>
      </c>
      <c r="B232" s="347">
        <v>38</v>
      </c>
      <c r="C232" s="345">
        <v>209641</v>
      </c>
      <c r="D232" s="350">
        <v>20</v>
      </c>
    </row>
    <row r="233" spans="1:4" x14ac:dyDescent="0.3">
      <c r="A233" s="346">
        <v>45516</v>
      </c>
      <c r="B233" s="347">
        <v>39</v>
      </c>
      <c r="C233" s="345">
        <v>209621</v>
      </c>
      <c r="D233" s="351">
        <v>23</v>
      </c>
    </row>
    <row r="234" spans="1:4" x14ac:dyDescent="0.3">
      <c r="A234" s="346">
        <v>45515</v>
      </c>
      <c r="B234" s="347">
        <v>37</v>
      </c>
      <c r="C234" s="345">
        <v>209598</v>
      </c>
      <c r="D234" s="350">
        <v>24</v>
      </c>
    </row>
    <row r="235" spans="1:4" x14ac:dyDescent="0.3">
      <c r="A235" s="346">
        <v>45514</v>
      </c>
      <c r="B235" s="347">
        <v>36</v>
      </c>
      <c r="C235" s="345">
        <v>209574</v>
      </c>
      <c r="D235" s="351">
        <v>19</v>
      </c>
    </row>
    <row r="236" spans="1:4" x14ac:dyDescent="0.3">
      <c r="A236" s="346">
        <v>45513</v>
      </c>
      <c r="B236" s="347">
        <v>66</v>
      </c>
      <c r="C236" s="345">
        <v>209555</v>
      </c>
      <c r="D236" s="350">
        <v>50</v>
      </c>
    </row>
    <row r="237" spans="1:4" x14ac:dyDescent="0.3">
      <c r="A237" s="346">
        <v>45512</v>
      </c>
      <c r="B237" s="347">
        <v>49</v>
      </c>
      <c r="C237" s="345">
        <v>209505</v>
      </c>
      <c r="D237" s="351">
        <v>33</v>
      </c>
    </row>
    <row r="238" spans="1:4" x14ac:dyDescent="0.3">
      <c r="A238" s="346">
        <v>45511</v>
      </c>
      <c r="B238" s="347">
        <v>49</v>
      </c>
      <c r="C238" s="345">
        <v>209472</v>
      </c>
      <c r="D238" s="350">
        <v>39</v>
      </c>
    </row>
    <row r="239" spans="1:4" x14ac:dyDescent="0.3">
      <c r="A239" s="346">
        <v>45510</v>
      </c>
      <c r="B239" s="347">
        <v>37</v>
      </c>
      <c r="C239" s="345">
        <v>209433</v>
      </c>
      <c r="D239" s="351">
        <v>17</v>
      </c>
    </row>
    <row r="240" spans="1:4" x14ac:dyDescent="0.3">
      <c r="A240" s="346">
        <v>45509</v>
      </c>
      <c r="B240" s="347">
        <v>32</v>
      </c>
      <c r="C240" s="345">
        <v>209416</v>
      </c>
      <c r="D240" s="350">
        <v>19</v>
      </c>
    </row>
    <row r="241" spans="1:4" x14ac:dyDescent="0.3">
      <c r="A241" s="346">
        <v>45508</v>
      </c>
      <c r="B241" s="347">
        <v>38</v>
      </c>
      <c r="C241" s="345">
        <v>209397</v>
      </c>
      <c r="D241" s="351">
        <v>22</v>
      </c>
    </row>
    <row r="242" spans="1:4" x14ac:dyDescent="0.3">
      <c r="A242" s="346">
        <v>45507</v>
      </c>
      <c r="B242" s="347">
        <v>28</v>
      </c>
      <c r="C242" s="345">
        <v>209375</v>
      </c>
      <c r="D242" s="350">
        <v>14</v>
      </c>
    </row>
    <row r="243" spans="1:4" x14ac:dyDescent="0.3">
      <c r="A243" s="346">
        <v>45506</v>
      </c>
      <c r="B243" s="347">
        <v>36</v>
      </c>
      <c r="C243" s="345">
        <v>209361</v>
      </c>
      <c r="D243" s="351">
        <v>20</v>
      </c>
    </row>
    <row r="244" spans="1:4" x14ac:dyDescent="0.3">
      <c r="A244" s="346">
        <v>45505</v>
      </c>
      <c r="B244" s="347">
        <v>28</v>
      </c>
      <c r="C244" s="345">
        <v>209341</v>
      </c>
      <c r="D244" s="350">
        <v>17</v>
      </c>
    </row>
    <row r="245" spans="1:4" x14ac:dyDescent="0.3">
      <c r="A245" s="346">
        <v>45504</v>
      </c>
      <c r="B245" s="347">
        <v>52</v>
      </c>
      <c r="C245" s="345">
        <v>209324</v>
      </c>
      <c r="D245" s="351">
        <v>37</v>
      </c>
    </row>
    <row r="246" spans="1:4" x14ac:dyDescent="0.3">
      <c r="A246" s="346">
        <v>45503</v>
      </c>
      <c r="B246" s="347">
        <v>58</v>
      </c>
      <c r="C246" s="345">
        <v>209287</v>
      </c>
      <c r="D246" s="350">
        <v>49</v>
      </c>
    </row>
    <row r="247" spans="1:4" x14ac:dyDescent="0.3">
      <c r="A247" s="346">
        <v>45502</v>
      </c>
      <c r="B247" s="347">
        <v>35</v>
      </c>
      <c r="C247" s="345">
        <v>209238</v>
      </c>
      <c r="D247" s="351">
        <v>12</v>
      </c>
    </row>
    <row r="248" spans="1:4" x14ac:dyDescent="0.3">
      <c r="A248" s="346">
        <v>45501</v>
      </c>
      <c r="B248" s="347">
        <v>31</v>
      </c>
      <c r="C248" s="345">
        <v>209226</v>
      </c>
      <c r="D248" s="350">
        <v>22</v>
      </c>
    </row>
    <row r="249" spans="1:4" x14ac:dyDescent="0.3">
      <c r="A249" s="346">
        <v>45500</v>
      </c>
      <c r="B249" s="347">
        <v>33</v>
      </c>
      <c r="C249" s="345">
        <v>209204</v>
      </c>
      <c r="D249" s="351">
        <v>15</v>
      </c>
    </row>
    <row r="250" spans="1:4" x14ac:dyDescent="0.3">
      <c r="A250" s="346">
        <v>45499</v>
      </c>
      <c r="B250" s="347">
        <v>43</v>
      </c>
      <c r="C250" s="345">
        <v>209189</v>
      </c>
      <c r="D250" s="350">
        <v>27</v>
      </c>
    </row>
    <row r="251" spans="1:4" x14ac:dyDescent="0.3">
      <c r="A251" s="346">
        <v>45498</v>
      </c>
      <c r="B251" s="347">
        <v>34</v>
      </c>
      <c r="C251" s="345">
        <v>209162</v>
      </c>
      <c r="D251" s="351">
        <v>23</v>
      </c>
    </row>
    <row r="252" spans="1:4" x14ac:dyDescent="0.3">
      <c r="A252" s="346">
        <v>45497</v>
      </c>
      <c r="B252" s="347">
        <v>52</v>
      </c>
      <c r="C252" s="345">
        <v>209139</v>
      </c>
      <c r="D252" s="350">
        <v>33</v>
      </c>
    </row>
    <row r="253" spans="1:4" x14ac:dyDescent="0.3">
      <c r="A253" s="346">
        <v>45496</v>
      </c>
      <c r="B253" s="347">
        <v>35</v>
      </c>
      <c r="C253" s="345">
        <v>209106</v>
      </c>
      <c r="D253" s="351">
        <v>19</v>
      </c>
    </row>
    <row r="254" spans="1:4" x14ac:dyDescent="0.3">
      <c r="A254" s="346">
        <v>45495</v>
      </c>
      <c r="B254" s="347">
        <v>38</v>
      </c>
      <c r="C254" s="345">
        <v>209087</v>
      </c>
      <c r="D254" s="350">
        <v>19</v>
      </c>
    </row>
    <row r="255" spans="1:4" x14ac:dyDescent="0.3">
      <c r="A255" s="346">
        <v>45494</v>
      </c>
      <c r="B255" s="347">
        <v>49</v>
      </c>
      <c r="C255" s="345">
        <v>209068</v>
      </c>
      <c r="D255" s="351">
        <v>27</v>
      </c>
    </row>
    <row r="256" spans="1:4" x14ac:dyDescent="0.3">
      <c r="A256" s="346">
        <v>45493</v>
      </c>
      <c r="B256" s="347">
        <v>33</v>
      </c>
      <c r="C256" s="345">
        <v>209041</v>
      </c>
      <c r="D256" s="350">
        <v>15</v>
      </c>
    </row>
    <row r="257" spans="1:4" x14ac:dyDescent="0.3">
      <c r="A257" s="346">
        <v>45492</v>
      </c>
      <c r="B257" s="347">
        <v>34</v>
      </c>
      <c r="C257" s="345">
        <v>209026</v>
      </c>
      <c r="D257" s="351">
        <v>26</v>
      </c>
    </row>
    <row r="258" spans="1:4" x14ac:dyDescent="0.3">
      <c r="A258" s="346">
        <v>45491</v>
      </c>
      <c r="B258" s="347">
        <v>21</v>
      </c>
      <c r="C258" s="345">
        <v>209000</v>
      </c>
      <c r="D258" s="350">
        <v>9</v>
      </c>
    </row>
    <row r="259" spans="1:4" x14ac:dyDescent="0.3">
      <c r="A259" s="346">
        <v>45490</v>
      </c>
      <c r="B259" s="347">
        <v>32</v>
      </c>
      <c r="C259" s="345">
        <v>208991</v>
      </c>
      <c r="D259" s="351">
        <v>12</v>
      </c>
    </row>
    <row r="260" spans="1:4" x14ac:dyDescent="0.3">
      <c r="A260" s="346">
        <v>45489</v>
      </c>
      <c r="B260" s="347">
        <v>33</v>
      </c>
      <c r="C260" s="345">
        <v>208979</v>
      </c>
      <c r="D260" s="350">
        <v>18</v>
      </c>
    </row>
    <row r="261" spans="1:4" x14ac:dyDescent="0.3">
      <c r="A261" s="346">
        <v>45488</v>
      </c>
      <c r="B261" s="347">
        <v>46</v>
      </c>
      <c r="C261" s="345">
        <v>208961</v>
      </c>
      <c r="D261" s="351">
        <v>25</v>
      </c>
    </row>
    <row r="262" spans="1:4" x14ac:dyDescent="0.3">
      <c r="A262" s="346">
        <v>45487</v>
      </c>
      <c r="B262" s="347">
        <v>40</v>
      </c>
      <c r="C262" s="345">
        <v>208936</v>
      </c>
      <c r="D262" s="350">
        <v>21</v>
      </c>
    </row>
    <row r="263" spans="1:4" x14ac:dyDescent="0.3">
      <c r="A263" s="346">
        <v>45486</v>
      </c>
      <c r="B263" s="347">
        <v>40</v>
      </c>
      <c r="C263" s="345">
        <v>208915</v>
      </c>
      <c r="D263" s="351">
        <v>14</v>
      </c>
    </row>
    <row r="264" spans="1:4" x14ac:dyDescent="0.3">
      <c r="A264" s="346">
        <v>45485</v>
      </c>
      <c r="B264" s="347">
        <v>26</v>
      </c>
      <c r="C264" s="345">
        <v>208901</v>
      </c>
      <c r="D264" s="350">
        <v>8</v>
      </c>
    </row>
    <row r="265" spans="1:4" x14ac:dyDescent="0.3">
      <c r="A265" s="346">
        <v>45484</v>
      </c>
      <c r="B265" s="347">
        <v>40</v>
      </c>
      <c r="C265" s="345">
        <v>208893</v>
      </c>
      <c r="D265" s="351">
        <v>27</v>
      </c>
    </row>
    <row r="266" spans="1:4" x14ac:dyDescent="0.3">
      <c r="A266" s="346">
        <v>45483</v>
      </c>
      <c r="B266" s="347">
        <v>35</v>
      </c>
      <c r="C266" s="345">
        <v>208866</v>
      </c>
      <c r="D266" s="350">
        <v>15</v>
      </c>
    </row>
    <row r="267" spans="1:4" x14ac:dyDescent="0.3">
      <c r="A267" s="346">
        <v>45482</v>
      </c>
      <c r="B267" s="347">
        <v>36</v>
      </c>
      <c r="C267" s="345">
        <v>208851</v>
      </c>
      <c r="D267" s="351">
        <v>19</v>
      </c>
    </row>
    <row r="268" spans="1:4" x14ac:dyDescent="0.3">
      <c r="A268" s="346">
        <v>45481</v>
      </c>
      <c r="B268" s="347">
        <v>40</v>
      </c>
      <c r="C268" s="345">
        <v>208832</v>
      </c>
      <c r="D268" s="350">
        <v>24</v>
      </c>
    </row>
    <row r="269" spans="1:4" x14ac:dyDescent="0.3">
      <c r="A269" s="346">
        <v>45480</v>
      </c>
      <c r="B269" s="347">
        <v>40</v>
      </c>
      <c r="C269" s="345">
        <v>208808</v>
      </c>
      <c r="D269" s="351">
        <v>26</v>
      </c>
    </row>
    <row r="270" spans="1:4" x14ac:dyDescent="0.3">
      <c r="A270" s="346">
        <v>45479</v>
      </c>
      <c r="B270" s="347">
        <v>45</v>
      </c>
      <c r="C270" s="345">
        <v>208782</v>
      </c>
      <c r="D270" s="350">
        <v>26</v>
      </c>
    </row>
    <row r="271" spans="1:4" x14ac:dyDescent="0.3">
      <c r="A271" s="346">
        <v>45478</v>
      </c>
      <c r="B271" s="347">
        <v>40</v>
      </c>
      <c r="C271" s="345">
        <v>208756</v>
      </c>
      <c r="D271" s="351">
        <v>15</v>
      </c>
    </row>
    <row r="272" spans="1:4" x14ac:dyDescent="0.3">
      <c r="A272" s="346">
        <v>45477</v>
      </c>
      <c r="B272" s="347">
        <v>34</v>
      </c>
      <c r="C272" s="345">
        <v>208741</v>
      </c>
      <c r="D272" s="350">
        <v>15</v>
      </c>
    </row>
    <row r="273" spans="1:4" x14ac:dyDescent="0.3">
      <c r="A273" s="346">
        <v>45476</v>
      </c>
      <c r="B273" s="347">
        <v>39</v>
      </c>
      <c r="C273" s="345">
        <v>208726</v>
      </c>
      <c r="D273" s="351">
        <v>15</v>
      </c>
    </row>
    <row r="274" spans="1:4" x14ac:dyDescent="0.3">
      <c r="A274" s="346">
        <v>45475</v>
      </c>
      <c r="B274" s="347">
        <v>55</v>
      </c>
      <c r="C274" s="345">
        <v>208711</v>
      </c>
      <c r="D274" s="350">
        <v>39</v>
      </c>
    </row>
    <row r="275" spans="1:4" x14ac:dyDescent="0.3">
      <c r="A275" s="346">
        <v>45474</v>
      </c>
      <c r="B275" s="347">
        <v>86</v>
      </c>
      <c r="C275" s="345">
        <v>208672</v>
      </c>
      <c r="D275" s="351">
        <v>62</v>
      </c>
    </row>
    <row r="276" spans="1:4" x14ac:dyDescent="0.3">
      <c r="A276" s="346">
        <v>45473</v>
      </c>
      <c r="B276" s="347">
        <v>51</v>
      </c>
      <c r="C276" s="345">
        <v>208610</v>
      </c>
      <c r="D276" s="350">
        <v>37</v>
      </c>
    </row>
    <row r="277" spans="1:4" x14ac:dyDescent="0.3">
      <c r="A277" s="346">
        <v>45472</v>
      </c>
      <c r="B277" s="347">
        <v>41</v>
      </c>
      <c r="C277" s="345">
        <v>208573</v>
      </c>
      <c r="D277" s="351">
        <v>13</v>
      </c>
    </row>
    <row r="278" spans="1:4" x14ac:dyDescent="0.3">
      <c r="A278" s="346">
        <v>45471</v>
      </c>
      <c r="B278" s="347">
        <v>47</v>
      </c>
      <c r="C278" s="345">
        <v>208560</v>
      </c>
      <c r="D278" s="350">
        <v>32</v>
      </c>
    </row>
    <row r="279" spans="1:4" x14ac:dyDescent="0.3">
      <c r="A279" s="346">
        <v>45470</v>
      </c>
      <c r="B279" s="347">
        <v>30</v>
      </c>
      <c r="C279" s="345">
        <v>208528</v>
      </c>
      <c r="D279" s="351">
        <v>0</v>
      </c>
    </row>
    <row r="280" spans="1:4" x14ac:dyDescent="0.3">
      <c r="A280" s="346">
        <v>45469</v>
      </c>
      <c r="B280" s="347">
        <v>48</v>
      </c>
      <c r="C280" s="345">
        <v>208528</v>
      </c>
      <c r="D280" s="350">
        <v>32</v>
      </c>
    </row>
    <row r="281" spans="1:4" x14ac:dyDescent="0.3">
      <c r="A281" s="346">
        <v>45468</v>
      </c>
      <c r="B281" s="347">
        <v>64</v>
      </c>
      <c r="C281" s="345">
        <v>208496</v>
      </c>
      <c r="D281" s="351">
        <v>39</v>
      </c>
    </row>
    <row r="282" spans="1:4" x14ac:dyDescent="0.3">
      <c r="A282" s="346">
        <v>45467</v>
      </c>
      <c r="B282" s="347">
        <v>64</v>
      </c>
      <c r="C282" s="345">
        <v>208457</v>
      </c>
      <c r="D282" s="350">
        <v>42</v>
      </c>
    </row>
    <row r="283" spans="1:4" x14ac:dyDescent="0.3">
      <c r="A283" s="346">
        <v>45466</v>
      </c>
      <c r="B283" s="347">
        <v>69</v>
      </c>
      <c r="C283" s="345">
        <v>208415</v>
      </c>
      <c r="D283" s="351">
        <v>50</v>
      </c>
    </row>
    <row r="284" spans="1:4" x14ac:dyDescent="0.3">
      <c r="A284" s="346">
        <v>45465</v>
      </c>
      <c r="B284" s="347">
        <v>42</v>
      </c>
      <c r="C284" s="345">
        <v>208365</v>
      </c>
      <c r="D284" s="350">
        <v>19</v>
      </c>
    </row>
    <row r="285" spans="1:4" x14ac:dyDescent="0.3">
      <c r="A285" s="346">
        <v>45464</v>
      </c>
      <c r="B285" s="347">
        <v>45</v>
      </c>
      <c r="C285" s="345">
        <v>208346</v>
      </c>
      <c r="D285" s="351">
        <v>16</v>
      </c>
    </row>
    <row r="286" spans="1:4" x14ac:dyDescent="0.3">
      <c r="A286" s="346">
        <v>45463</v>
      </c>
      <c r="B286" s="347">
        <v>63</v>
      </c>
      <c r="C286" s="345">
        <v>208330</v>
      </c>
      <c r="D286" s="350">
        <v>47</v>
      </c>
    </row>
    <row r="287" spans="1:4" x14ac:dyDescent="0.3">
      <c r="A287" s="346">
        <v>45462</v>
      </c>
      <c r="B287" s="347">
        <v>98</v>
      </c>
      <c r="C287" s="345">
        <v>208283</v>
      </c>
      <c r="D287" s="351">
        <v>69</v>
      </c>
    </row>
    <row r="288" spans="1:4" x14ac:dyDescent="0.3">
      <c r="A288" s="346">
        <v>45461</v>
      </c>
      <c r="B288" s="347">
        <v>84</v>
      </c>
      <c r="C288" s="345">
        <v>208214</v>
      </c>
      <c r="D288" s="350">
        <v>51</v>
      </c>
    </row>
    <row r="289" spans="1:4" x14ac:dyDescent="0.3">
      <c r="A289" s="346">
        <v>45460</v>
      </c>
      <c r="B289" s="347">
        <v>93</v>
      </c>
      <c r="C289" s="345">
        <v>208163</v>
      </c>
      <c r="D289" s="351">
        <v>72</v>
      </c>
    </row>
    <row r="290" spans="1:4" x14ac:dyDescent="0.3">
      <c r="A290" s="346">
        <v>45459</v>
      </c>
      <c r="B290" s="347">
        <v>115</v>
      </c>
      <c r="C290" s="345">
        <v>208091</v>
      </c>
      <c r="D290" s="350">
        <v>85</v>
      </c>
    </row>
    <row r="291" spans="1:4" x14ac:dyDescent="0.3">
      <c r="A291" s="346">
        <v>45458</v>
      </c>
      <c r="B291" s="347">
        <v>161</v>
      </c>
      <c r="C291" s="345">
        <v>208006</v>
      </c>
      <c r="D291" s="351">
        <v>137</v>
      </c>
    </row>
    <row r="292" spans="1:4" x14ac:dyDescent="0.3">
      <c r="A292" s="346">
        <v>45457</v>
      </c>
      <c r="B292" s="347">
        <v>94</v>
      </c>
      <c r="C292" s="345">
        <v>207869</v>
      </c>
      <c r="D292" s="350">
        <v>70</v>
      </c>
    </row>
    <row r="293" spans="1:4" x14ac:dyDescent="0.3">
      <c r="A293" s="346">
        <v>45456</v>
      </c>
      <c r="B293" s="347">
        <v>87</v>
      </c>
      <c r="C293" s="345">
        <v>207799</v>
      </c>
      <c r="D293" s="351">
        <v>64</v>
      </c>
    </row>
    <row r="294" spans="1:4" x14ac:dyDescent="0.3">
      <c r="A294" s="346">
        <v>45455</v>
      </c>
      <c r="B294" s="347">
        <v>92</v>
      </c>
      <c r="C294" s="345">
        <v>207735</v>
      </c>
      <c r="D294" s="350">
        <v>72</v>
      </c>
    </row>
    <row r="295" spans="1:4" x14ac:dyDescent="0.3">
      <c r="A295" s="346">
        <v>45454</v>
      </c>
      <c r="B295" s="347">
        <v>82</v>
      </c>
      <c r="C295" s="345">
        <v>207663</v>
      </c>
      <c r="D295" s="351">
        <v>61</v>
      </c>
    </row>
    <row r="296" spans="1:4" x14ac:dyDescent="0.3">
      <c r="A296" s="346">
        <v>45453</v>
      </c>
      <c r="B296" s="347">
        <v>69</v>
      </c>
      <c r="C296" s="345">
        <v>207602</v>
      </c>
      <c r="D296" s="350">
        <v>55</v>
      </c>
    </row>
    <row r="297" spans="1:4" x14ac:dyDescent="0.3">
      <c r="A297" s="346">
        <v>45452</v>
      </c>
      <c r="B297" s="347">
        <v>93</v>
      </c>
      <c r="C297" s="345">
        <v>207547</v>
      </c>
      <c r="D297" s="351">
        <v>64</v>
      </c>
    </row>
    <row r="298" spans="1:4" x14ac:dyDescent="0.3">
      <c r="A298" s="346">
        <v>45451</v>
      </c>
      <c r="B298" s="347">
        <v>83</v>
      </c>
      <c r="C298" s="345">
        <v>207483</v>
      </c>
      <c r="D298" s="350">
        <v>59</v>
      </c>
    </row>
    <row r="299" spans="1:4" x14ac:dyDescent="0.3">
      <c r="A299" s="346">
        <v>45450</v>
      </c>
      <c r="B299" s="347">
        <v>75</v>
      </c>
      <c r="C299" s="345">
        <v>207424</v>
      </c>
      <c r="D299" s="351">
        <v>58</v>
      </c>
    </row>
    <row r="300" spans="1:4" x14ac:dyDescent="0.3">
      <c r="A300" s="346">
        <v>45449</v>
      </c>
      <c r="B300" s="347">
        <v>77</v>
      </c>
      <c r="C300" s="345">
        <v>207366</v>
      </c>
      <c r="D300" s="350">
        <v>53</v>
      </c>
    </row>
    <row r="301" spans="1:4" x14ac:dyDescent="0.3">
      <c r="A301" s="346">
        <v>45448</v>
      </c>
      <c r="B301" s="347">
        <v>102</v>
      </c>
      <c r="C301" s="345">
        <v>207313</v>
      </c>
      <c r="D301" s="351">
        <v>79</v>
      </c>
    </row>
    <row r="302" spans="1:4" x14ac:dyDescent="0.3">
      <c r="A302" s="346">
        <v>45447</v>
      </c>
      <c r="B302" s="347">
        <v>90</v>
      </c>
      <c r="C302" s="345">
        <v>207234</v>
      </c>
      <c r="D302" s="350">
        <v>67</v>
      </c>
    </row>
    <row r="303" spans="1:4" x14ac:dyDescent="0.3">
      <c r="A303" s="346">
        <v>45446</v>
      </c>
      <c r="B303" s="347">
        <v>77</v>
      </c>
      <c r="C303" s="345">
        <v>207167</v>
      </c>
      <c r="D303" s="351">
        <v>48</v>
      </c>
    </row>
    <row r="304" spans="1:4" x14ac:dyDescent="0.3">
      <c r="A304" s="346">
        <v>45445</v>
      </c>
      <c r="B304" s="347">
        <v>81</v>
      </c>
      <c r="C304" s="345">
        <v>207119</v>
      </c>
      <c r="D304" s="350">
        <v>63</v>
      </c>
    </row>
    <row r="305" spans="1:4" x14ac:dyDescent="0.3">
      <c r="A305" s="346">
        <v>45444</v>
      </c>
      <c r="B305" s="347">
        <v>68</v>
      </c>
      <c r="C305" s="345">
        <v>207056</v>
      </c>
      <c r="D305" s="351">
        <v>49</v>
      </c>
    </row>
    <row r="306" spans="1:4" x14ac:dyDescent="0.3">
      <c r="A306" s="346">
        <v>45443</v>
      </c>
      <c r="B306" s="347">
        <v>76</v>
      </c>
      <c r="C306" s="345">
        <v>207007</v>
      </c>
      <c r="D306" s="350">
        <v>49</v>
      </c>
    </row>
    <row r="307" spans="1:4" x14ac:dyDescent="0.3">
      <c r="A307" s="346">
        <v>45442</v>
      </c>
      <c r="B307" s="347">
        <v>80</v>
      </c>
      <c r="C307" s="345">
        <v>206958</v>
      </c>
      <c r="D307" s="351">
        <v>63</v>
      </c>
    </row>
    <row r="308" spans="1:4" x14ac:dyDescent="0.3">
      <c r="A308" s="346">
        <v>45441</v>
      </c>
      <c r="B308" s="347">
        <v>77</v>
      </c>
      <c r="C308" s="345">
        <v>206895</v>
      </c>
      <c r="D308" s="350">
        <v>56</v>
      </c>
    </row>
    <row r="309" spans="1:4" x14ac:dyDescent="0.3">
      <c r="A309" s="346">
        <v>45440</v>
      </c>
      <c r="B309" s="347">
        <v>144</v>
      </c>
      <c r="C309" s="345">
        <v>206839</v>
      </c>
      <c r="D309" s="351">
        <v>118</v>
      </c>
    </row>
    <row r="310" spans="1:4" x14ac:dyDescent="0.3">
      <c r="A310" s="346">
        <v>45439</v>
      </c>
      <c r="B310" s="347">
        <v>110</v>
      </c>
      <c r="C310" s="345">
        <v>206721</v>
      </c>
      <c r="D310" s="350">
        <v>71</v>
      </c>
    </row>
    <row r="311" spans="1:4" x14ac:dyDescent="0.3">
      <c r="A311" s="346">
        <v>45438</v>
      </c>
      <c r="B311" s="347">
        <v>118</v>
      </c>
      <c r="C311" s="345">
        <v>206650</v>
      </c>
      <c r="D311" s="351">
        <v>91</v>
      </c>
    </row>
    <row r="312" spans="1:4" x14ac:dyDescent="0.3">
      <c r="A312" s="346">
        <v>45437</v>
      </c>
      <c r="B312" s="347">
        <v>95</v>
      </c>
      <c r="C312" s="345">
        <v>206559</v>
      </c>
      <c r="D312" s="350">
        <v>75</v>
      </c>
    </row>
    <row r="313" spans="1:4" x14ac:dyDescent="0.3">
      <c r="A313" s="346">
        <v>45436</v>
      </c>
      <c r="B313" s="347">
        <v>114</v>
      </c>
      <c r="C313" s="345">
        <v>206484</v>
      </c>
      <c r="D313" s="351">
        <v>88</v>
      </c>
    </row>
    <row r="314" spans="1:4" x14ac:dyDescent="0.3">
      <c r="A314" s="346">
        <v>45435</v>
      </c>
      <c r="B314" s="347">
        <v>144</v>
      </c>
      <c r="C314" s="345">
        <v>206396</v>
      </c>
      <c r="D314" s="350">
        <v>121</v>
      </c>
    </row>
    <row r="315" spans="1:4" x14ac:dyDescent="0.3">
      <c r="A315" s="346">
        <v>45434</v>
      </c>
      <c r="B315" s="347">
        <v>155</v>
      </c>
      <c r="C315" s="345">
        <v>206275</v>
      </c>
      <c r="D315" s="351">
        <v>125</v>
      </c>
    </row>
    <row r="316" spans="1:4" x14ac:dyDescent="0.3">
      <c r="A316" s="346">
        <v>45433</v>
      </c>
      <c r="B316" s="347">
        <v>118</v>
      </c>
      <c r="C316" s="345">
        <v>206150</v>
      </c>
      <c r="D316" s="350">
        <v>94</v>
      </c>
    </row>
    <row r="317" spans="1:4" x14ac:dyDescent="0.3">
      <c r="A317" s="346">
        <v>45432</v>
      </c>
      <c r="B317" s="347">
        <v>110</v>
      </c>
      <c r="C317" s="345">
        <v>206056</v>
      </c>
      <c r="D317" s="351">
        <v>84</v>
      </c>
    </row>
    <row r="318" spans="1:4" x14ac:dyDescent="0.3">
      <c r="A318" s="346">
        <v>45431</v>
      </c>
      <c r="B318" s="347">
        <v>102</v>
      </c>
      <c r="C318" s="345">
        <v>205972</v>
      </c>
      <c r="D318" s="350">
        <v>76</v>
      </c>
    </row>
    <row r="319" spans="1:4" x14ac:dyDescent="0.3">
      <c r="A319" s="346">
        <v>45430</v>
      </c>
      <c r="B319" s="347">
        <v>92</v>
      </c>
      <c r="C319" s="345">
        <v>205896</v>
      </c>
      <c r="D319" s="351">
        <v>53</v>
      </c>
    </row>
    <row r="320" spans="1:4" x14ac:dyDescent="0.3">
      <c r="A320" s="346">
        <v>45429</v>
      </c>
      <c r="B320" s="347">
        <v>118</v>
      </c>
      <c r="C320" s="345">
        <v>205843</v>
      </c>
      <c r="D320" s="350">
        <v>78</v>
      </c>
    </row>
    <row r="321" spans="1:4" x14ac:dyDescent="0.3">
      <c r="A321" s="346">
        <v>45428</v>
      </c>
      <c r="B321" s="347">
        <v>104</v>
      </c>
      <c r="C321" s="345">
        <v>205765</v>
      </c>
      <c r="D321" s="351">
        <v>78</v>
      </c>
    </row>
    <row r="322" spans="1:4" x14ac:dyDescent="0.3">
      <c r="A322" s="346">
        <v>45427</v>
      </c>
      <c r="B322" s="347">
        <v>120</v>
      </c>
      <c r="C322" s="345">
        <v>205687</v>
      </c>
      <c r="D322" s="350">
        <v>99</v>
      </c>
    </row>
    <row r="323" spans="1:4" x14ac:dyDescent="0.3">
      <c r="A323" s="346">
        <v>45426</v>
      </c>
      <c r="B323" s="347">
        <v>61</v>
      </c>
      <c r="C323" s="345">
        <v>205588</v>
      </c>
      <c r="D323" s="351">
        <v>41</v>
      </c>
    </row>
    <row r="324" spans="1:4" x14ac:dyDescent="0.3">
      <c r="A324" s="346">
        <v>45425</v>
      </c>
      <c r="B324" s="347">
        <v>72</v>
      </c>
      <c r="C324" s="345">
        <v>205547</v>
      </c>
      <c r="D324" s="350">
        <v>59</v>
      </c>
    </row>
    <row r="325" spans="1:4" x14ac:dyDescent="0.3">
      <c r="A325" s="346">
        <v>45424</v>
      </c>
      <c r="B325" s="347">
        <v>107</v>
      </c>
      <c r="C325" s="345">
        <v>205488</v>
      </c>
      <c r="D325" s="351">
        <v>84</v>
      </c>
    </row>
    <row r="326" spans="1:4" x14ac:dyDescent="0.3">
      <c r="A326" s="346">
        <v>45423</v>
      </c>
      <c r="B326" s="347">
        <v>121</v>
      </c>
      <c r="C326" s="345">
        <v>205404</v>
      </c>
      <c r="D326" s="350">
        <v>92</v>
      </c>
    </row>
    <row r="327" spans="1:4" x14ac:dyDescent="0.3">
      <c r="A327" s="346">
        <v>45422</v>
      </c>
      <c r="B327" s="347">
        <v>89</v>
      </c>
      <c r="C327" s="345">
        <v>205312</v>
      </c>
      <c r="D327" s="351">
        <v>69</v>
      </c>
    </row>
    <row r="328" spans="1:4" x14ac:dyDescent="0.3">
      <c r="A328" s="346">
        <v>45421</v>
      </c>
      <c r="B328" s="347">
        <v>48</v>
      </c>
      <c r="C328" s="345">
        <v>205243</v>
      </c>
      <c r="D328" s="350">
        <v>31</v>
      </c>
    </row>
    <row r="329" spans="1:4" x14ac:dyDescent="0.3">
      <c r="A329" s="346">
        <v>45420</v>
      </c>
      <c r="B329" s="347">
        <v>45</v>
      </c>
      <c r="C329" s="345">
        <v>205212</v>
      </c>
      <c r="D329" s="351">
        <v>19</v>
      </c>
    </row>
    <row r="330" spans="1:4" x14ac:dyDescent="0.3">
      <c r="A330" s="346">
        <v>45419</v>
      </c>
      <c r="B330" s="347">
        <v>67</v>
      </c>
      <c r="C330" s="345">
        <v>205193</v>
      </c>
      <c r="D330" s="350">
        <v>43</v>
      </c>
    </row>
    <row r="331" spans="1:4" x14ac:dyDescent="0.3">
      <c r="A331" s="346">
        <v>45418</v>
      </c>
      <c r="B331" s="347">
        <v>29</v>
      </c>
      <c r="C331" s="345">
        <v>205150</v>
      </c>
      <c r="D331" s="351">
        <v>-2</v>
      </c>
    </row>
    <row r="332" spans="1:4" x14ac:dyDescent="0.3">
      <c r="A332" s="346">
        <v>45417</v>
      </c>
      <c r="B332" s="347">
        <v>35</v>
      </c>
      <c r="C332" s="345">
        <v>205152</v>
      </c>
      <c r="D332" s="350">
        <v>15</v>
      </c>
    </row>
    <row r="333" spans="1:4" x14ac:dyDescent="0.3">
      <c r="A333" s="346">
        <v>45416</v>
      </c>
      <c r="B333" s="347">
        <v>34</v>
      </c>
      <c r="C333" s="345">
        <v>205137</v>
      </c>
      <c r="D333" s="351">
        <v>16</v>
      </c>
    </row>
    <row r="334" spans="1:4" x14ac:dyDescent="0.3">
      <c r="A334" s="346">
        <v>45415</v>
      </c>
      <c r="B334" s="347">
        <v>31</v>
      </c>
      <c r="C334" s="345">
        <v>205121</v>
      </c>
      <c r="D334" s="350">
        <v>2</v>
      </c>
    </row>
    <row r="335" spans="1:4" x14ac:dyDescent="0.3">
      <c r="A335" s="346">
        <v>45414</v>
      </c>
      <c r="B335" s="347">
        <v>39</v>
      </c>
      <c r="C335" s="345">
        <v>205119</v>
      </c>
      <c r="D335" s="351">
        <v>21</v>
      </c>
    </row>
    <row r="336" spans="1:4" x14ac:dyDescent="0.3">
      <c r="A336" s="346">
        <v>45413</v>
      </c>
      <c r="B336" s="347">
        <v>37</v>
      </c>
      <c r="C336" s="345">
        <v>205098</v>
      </c>
      <c r="D336" s="350">
        <v>17</v>
      </c>
    </row>
    <row r="337" spans="1:4" x14ac:dyDescent="0.3">
      <c r="A337" s="346">
        <v>45412</v>
      </c>
      <c r="B337" s="347">
        <v>39</v>
      </c>
      <c r="C337" s="345">
        <v>205081</v>
      </c>
      <c r="D337" s="351">
        <v>17</v>
      </c>
    </row>
    <row r="338" spans="1:4" x14ac:dyDescent="0.3">
      <c r="A338" s="346">
        <v>45411</v>
      </c>
      <c r="B338" s="347">
        <v>36</v>
      </c>
      <c r="C338" s="345">
        <v>205064</v>
      </c>
      <c r="D338" s="350">
        <v>11</v>
      </c>
    </row>
    <row r="339" spans="1:4" x14ac:dyDescent="0.3">
      <c r="A339" s="346">
        <v>45410</v>
      </c>
      <c r="B339" s="347">
        <v>50</v>
      </c>
      <c r="C339" s="345">
        <v>205053</v>
      </c>
      <c r="D339" s="351">
        <v>30</v>
      </c>
    </row>
    <row r="340" spans="1:4" x14ac:dyDescent="0.3">
      <c r="A340" s="346">
        <v>45409</v>
      </c>
      <c r="B340" s="347">
        <v>36</v>
      </c>
      <c r="C340" s="345">
        <v>205023</v>
      </c>
      <c r="D340" s="350">
        <v>19</v>
      </c>
    </row>
    <row r="341" spans="1:4" x14ac:dyDescent="0.3">
      <c r="A341" s="346">
        <v>45408</v>
      </c>
      <c r="B341" s="347">
        <v>37</v>
      </c>
      <c r="C341" s="345">
        <v>205004</v>
      </c>
      <c r="D341" s="351">
        <v>15</v>
      </c>
    </row>
    <row r="342" spans="1:4" x14ac:dyDescent="0.3">
      <c r="A342" s="346">
        <v>45407</v>
      </c>
      <c r="B342" s="347">
        <v>33</v>
      </c>
      <c r="C342" s="345">
        <v>204989</v>
      </c>
      <c r="D342" s="350">
        <v>15</v>
      </c>
    </row>
    <row r="343" spans="1:4" x14ac:dyDescent="0.3">
      <c r="A343" s="346">
        <v>45406</v>
      </c>
      <c r="B343" s="347">
        <v>37</v>
      </c>
      <c r="C343" s="345">
        <v>204974</v>
      </c>
      <c r="D343" s="351">
        <v>16</v>
      </c>
    </row>
    <row r="344" spans="1:4" x14ac:dyDescent="0.3">
      <c r="A344" s="346">
        <v>45405</v>
      </c>
      <c r="B344" s="347">
        <v>22</v>
      </c>
      <c r="C344" s="345">
        <v>204958</v>
      </c>
      <c r="D344" s="350">
        <v>2</v>
      </c>
    </row>
    <row r="345" spans="1:4" x14ac:dyDescent="0.3">
      <c r="A345" s="346">
        <v>45404</v>
      </c>
      <c r="B345" s="347">
        <v>34</v>
      </c>
      <c r="C345" s="345">
        <v>204956</v>
      </c>
      <c r="D345" s="351">
        <v>8</v>
      </c>
    </row>
    <row r="346" spans="1:4" x14ac:dyDescent="0.3">
      <c r="A346" s="346">
        <v>45403</v>
      </c>
      <c r="B346" s="347">
        <v>42</v>
      </c>
      <c r="C346" s="345">
        <v>204948</v>
      </c>
      <c r="D346" s="350">
        <v>30</v>
      </c>
    </row>
    <row r="347" spans="1:4" x14ac:dyDescent="0.3">
      <c r="A347" s="346">
        <v>45402</v>
      </c>
      <c r="B347" s="347">
        <v>43</v>
      </c>
      <c r="C347" s="345">
        <v>204918</v>
      </c>
      <c r="D347" s="351">
        <v>11</v>
      </c>
    </row>
    <row r="348" spans="1:4" x14ac:dyDescent="0.3">
      <c r="A348" s="346">
        <v>45401</v>
      </c>
      <c r="B348" s="347">
        <v>32</v>
      </c>
      <c r="C348" s="345">
        <v>204907</v>
      </c>
      <c r="D348" s="350">
        <v>10</v>
      </c>
    </row>
    <row r="349" spans="1:4" x14ac:dyDescent="0.3">
      <c r="A349" s="346">
        <v>45400</v>
      </c>
      <c r="B349" s="347">
        <v>25</v>
      </c>
      <c r="C349" s="345">
        <v>204897</v>
      </c>
      <c r="D349" s="351">
        <v>3</v>
      </c>
    </row>
    <row r="350" spans="1:4" x14ac:dyDescent="0.3">
      <c r="A350" s="346">
        <v>45399</v>
      </c>
      <c r="B350" s="347">
        <v>31</v>
      </c>
      <c r="C350" s="345">
        <v>204894</v>
      </c>
      <c r="D350" s="350">
        <v>7</v>
      </c>
    </row>
    <row r="351" spans="1:4" x14ac:dyDescent="0.3">
      <c r="A351" s="346">
        <v>45398</v>
      </c>
      <c r="B351" s="347">
        <v>35</v>
      </c>
      <c r="C351" s="345">
        <v>204887</v>
      </c>
      <c r="D351" s="351">
        <v>14</v>
      </c>
    </row>
    <row r="352" spans="1:4" x14ac:dyDescent="0.3">
      <c r="A352" s="346">
        <v>45397</v>
      </c>
      <c r="B352" s="347">
        <v>45</v>
      </c>
      <c r="C352" s="345">
        <v>204873</v>
      </c>
      <c r="D352" s="350">
        <v>24</v>
      </c>
    </row>
    <row r="353" spans="1:4" x14ac:dyDescent="0.3">
      <c r="A353" s="346">
        <v>45396</v>
      </c>
      <c r="B353" s="347">
        <v>46</v>
      </c>
      <c r="C353" s="345">
        <v>204849</v>
      </c>
      <c r="D353" s="351">
        <v>23</v>
      </c>
    </row>
    <row r="354" spans="1:4" x14ac:dyDescent="0.3">
      <c r="A354" s="346">
        <v>45395</v>
      </c>
      <c r="B354" s="347">
        <v>43</v>
      </c>
      <c r="C354" s="345">
        <v>204826</v>
      </c>
      <c r="D354" s="350">
        <v>14</v>
      </c>
    </row>
    <row r="355" spans="1:4" x14ac:dyDescent="0.3">
      <c r="A355" s="346">
        <v>45394</v>
      </c>
      <c r="B355" s="347">
        <v>36</v>
      </c>
      <c r="C355" s="345">
        <v>204812</v>
      </c>
      <c r="D355" s="351">
        <v>10</v>
      </c>
    </row>
    <row r="356" spans="1:4" x14ac:dyDescent="0.3">
      <c r="A356" s="346">
        <v>45393</v>
      </c>
      <c r="B356" s="347">
        <v>50</v>
      </c>
      <c r="C356" s="345">
        <v>204802</v>
      </c>
      <c r="D356" s="350">
        <v>28</v>
      </c>
    </row>
    <row r="357" spans="1:4" x14ac:dyDescent="0.3">
      <c r="A357" s="346">
        <v>45392</v>
      </c>
      <c r="B357" s="347">
        <v>34</v>
      </c>
      <c r="C357" s="345">
        <v>204774</v>
      </c>
      <c r="D357" s="351">
        <v>10</v>
      </c>
    </row>
    <row r="358" spans="1:4" x14ac:dyDescent="0.3">
      <c r="A358" s="346">
        <v>45391</v>
      </c>
      <c r="B358" s="347">
        <v>29</v>
      </c>
      <c r="C358" s="345">
        <v>204764</v>
      </c>
      <c r="D358" s="350">
        <v>8</v>
      </c>
    </row>
    <row r="359" spans="1:4" x14ac:dyDescent="0.3">
      <c r="A359" s="346">
        <v>45390</v>
      </c>
      <c r="B359" s="347">
        <v>36</v>
      </c>
      <c r="C359" s="345">
        <v>204756</v>
      </c>
      <c r="D359" s="351">
        <v>11</v>
      </c>
    </row>
    <row r="360" spans="1:4" x14ac:dyDescent="0.3">
      <c r="A360" s="346">
        <v>45389</v>
      </c>
      <c r="B360" s="347">
        <v>39</v>
      </c>
      <c r="C360" s="345">
        <v>204745</v>
      </c>
      <c r="D360" s="350">
        <v>24</v>
      </c>
    </row>
    <row r="361" spans="1:4" x14ac:dyDescent="0.3">
      <c r="A361" s="346">
        <v>45388</v>
      </c>
      <c r="B361" s="347">
        <v>36</v>
      </c>
      <c r="C361" s="345">
        <v>204721</v>
      </c>
      <c r="D361" s="351">
        <v>8</v>
      </c>
    </row>
    <row r="362" spans="1:4" x14ac:dyDescent="0.3">
      <c r="A362" s="346">
        <v>45387</v>
      </c>
      <c r="B362" s="347">
        <v>38</v>
      </c>
      <c r="C362" s="345">
        <v>204713</v>
      </c>
      <c r="D362" s="350">
        <v>21</v>
      </c>
    </row>
    <row r="363" spans="1:4" x14ac:dyDescent="0.3">
      <c r="A363" s="346">
        <v>45386</v>
      </c>
      <c r="B363" s="347">
        <v>39</v>
      </c>
      <c r="C363" s="345">
        <v>204692</v>
      </c>
      <c r="D363" s="351">
        <v>11</v>
      </c>
    </row>
    <row r="364" spans="1:4" x14ac:dyDescent="0.3">
      <c r="A364" s="346">
        <v>45385</v>
      </c>
      <c r="B364" s="347">
        <v>33</v>
      </c>
      <c r="C364" s="345">
        <v>204681</v>
      </c>
      <c r="D364" s="350">
        <v>13</v>
      </c>
    </row>
    <row r="365" spans="1:4" x14ac:dyDescent="0.3">
      <c r="A365" s="346">
        <v>45384</v>
      </c>
      <c r="B365" s="347">
        <v>25</v>
      </c>
      <c r="C365" s="345">
        <v>204668</v>
      </c>
      <c r="D365" s="351">
        <v>0</v>
      </c>
    </row>
    <row r="366" spans="1:4" x14ac:dyDescent="0.3">
      <c r="A366" s="346">
        <v>45383</v>
      </c>
      <c r="B366" s="347">
        <v>28</v>
      </c>
      <c r="C366" s="345">
        <v>204668</v>
      </c>
      <c r="D366" s="350">
        <v>-5</v>
      </c>
    </row>
    <row r="367" spans="1:4" x14ac:dyDescent="0.3">
      <c r="A367" s="346">
        <v>45382</v>
      </c>
      <c r="B367" s="347">
        <v>32</v>
      </c>
      <c r="C367" s="345">
        <v>204673</v>
      </c>
      <c r="D367" s="351">
        <v>3</v>
      </c>
    </row>
    <row r="368" spans="1:4" x14ac:dyDescent="0.3">
      <c r="A368" s="346">
        <v>45381</v>
      </c>
      <c r="B368" s="347">
        <v>38</v>
      </c>
      <c r="C368" s="345">
        <v>204670</v>
      </c>
      <c r="D368" s="350">
        <v>20</v>
      </c>
    </row>
    <row r="369" spans="1:4" x14ac:dyDescent="0.3">
      <c r="A369" s="346">
        <v>45380</v>
      </c>
      <c r="B369" s="347">
        <v>29</v>
      </c>
      <c r="C369" s="345">
        <v>204650</v>
      </c>
      <c r="D369" s="351">
        <v>12</v>
      </c>
    </row>
    <row r="370" spans="1:4" x14ac:dyDescent="0.3">
      <c r="A370" s="346">
        <v>45379</v>
      </c>
      <c r="B370" s="347">
        <v>39</v>
      </c>
      <c r="C370" s="345">
        <v>204638</v>
      </c>
      <c r="D370" s="350">
        <v>21</v>
      </c>
    </row>
    <row r="371" spans="1:4" x14ac:dyDescent="0.3">
      <c r="A371" s="346">
        <v>45378</v>
      </c>
      <c r="B371" s="347">
        <v>28</v>
      </c>
      <c r="C371" s="345">
        <v>204617</v>
      </c>
      <c r="D371" s="351">
        <v>-2</v>
      </c>
    </row>
    <row r="372" spans="1:4" x14ac:dyDescent="0.3">
      <c r="A372" s="346">
        <v>45377</v>
      </c>
      <c r="B372" s="347">
        <v>31</v>
      </c>
      <c r="C372" s="345">
        <v>204619</v>
      </c>
      <c r="D372" s="350">
        <v>7</v>
      </c>
    </row>
    <row r="373" spans="1:4" x14ac:dyDescent="0.3">
      <c r="A373" s="346">
        <v>45376</v>
      </c>
      <c r="B373" s="347">
        <v>44</v>
      </c>
      <c r="C373" s="345">
        <v>204612</v>
      </c>
      <c r="D373" s="351">
        <v>27</v>
      </c>
    </row>
    <row r="374" spans="1:4" x14ac:dyDescent="0.3">
      <c r="A374" s="346">
        <v>45375</v>
      </c>
      <c r="B374" s="347">
        <v>39</v>
      </c>
      <c r="C374" s="345">
        <v>204585</v>
      </c>
      <c r="D374" s="350">
        <v>2</v>
      </c>
    </row>
    <row r="375" spans="1:4" x14ac:dyDescent="0.3">
      <c r="A375" s="346">
        <v>45374</v>
      </c>
      <c r="B375" s="347">
        <v>68</v>
      </c>
      <c r="C375" s="345">
        <v>204583</v>
      </c>
      <c r="D375" s="351">
        <v>50</v>
      </c>
    </row>
    <row r="376" spans="1:4" x14ac:dyDescent="0.3">
      <c r="A376" s="346">
        <v>45373</v>
      </c>
      <c r="B376" s="347">
        <v>38</v>
      </c>
      <c r="C376" s="345">
        <v>204533</v>
      </c>
      <c r="D376" s="350">
        <v>18</v>
      </c>
    </row>
    <row r="377" spans="1:4" x14ac:dyDescent="0.3">
      <c r="A377" s="346">
        <v>45372</v>
      </c>
      <c r="B377" s="347">
        <v>28</v>
      </c>
      <c r="C377" s="345">
        <v>204515</v>
      </c>
      <c r="D377" s="351">
        <v>0</v>
      </c>
    </row>
    <row r="378" spans="1:4" x14ac:dyDescent="0.3">
      <c r="A378" s="346">
        <v>45371</v>
      </c>
      <c r="B378" s="347">
        <v>84</v>
      </c>
      <c r="C378" s="345">
        <v>204515</v>
      </c>
      <c r="D378" s="350">
        <v>62</v>
      </c>
    </row>
    <row r="379" spans="1:4" x14ac:dyDescent="0.3">
      <c r="A379" s="346">
        <v>45370</v>
      </c>
      <c r="B379" s="347">
        <v>45</v>
      </c>
      <c r="C379" s="345">
        <v>204453</v>
      </c>
      <c r="D379" s="351">
        <v>13</v>
      </c>
    </row>
    <row r="380" spans="1:4" x14ac:dyDescent="0.3">
      <c r="A380" s="346">
        <v>45369</v>
      </c>
      <c r="B380" s="347">
        <v>43</v>
      </c>
      <c r="C380" s="345">
        <v>204440</v>
      </c>
      <c r="D380" s="350">
        <v>28</v>
      </c>
    </row>
    <row r="381" spans="1:4" x14ac:dyDescent="0.3">
      <c r="A381" s="346">
        <v>45368</v>
      </c>
      <c r="B381" s="347">
        <v>41</v>
      </c>
      <c r="C381" s="345">
        <v>204412</v>
      </c>
      <c r="D381" s="351">
        <v>25</v>
      </c>
    </row>
    <row r="382" spans="1:4" x14ac:dyDescent="0.3">
      <c r="A382" s="346">
        <v>45367</v>
      </c>
      <c r="B382" s="347">
        <v>37</v>
      </c>
      <c r="C382" s="345">
        <v>204387</v>
      </c>
      <c r="D382" s="350">
        <v>15</v>
      </c>
    </row>
    <row r="383" spans="1:4" x14ac:dyDescent="0.3">
      <c r="A383" s="346">
        <v>45366</v>
      </c>
      <c r="B383" s="347">
        <v>37</v>
      </c>
      <c r="C383" s="345">
        <v>204372</v>
      </c>
      <c r="D383" s="351">
        <v>8</v>
      </c>
    </row>
    <row r="384" spans="1:4" x14ac:dyDescent="0.3">
      <c r="A384" s="346">
        <v>45365</v>
      </c>
      <c r="B384" s="347">
        <v>28</v>
      </c>
      <c r="C384" s="345">
        <v>204364</v>
      </c>
      <c r="D384" s="350">
        <v>4</v>
      </c>
    </row>
    <row r="385" spans="1:4" x14ac:dyDescent="0.3">
      <c r="A385" s="346">
        <v>45364</v>
      </c>
      <c r="B385" s="347">
        <v>34</v>
      </c>
      <c r="C385" s="345">
        <v>204360</v>
      </c>
      <c r="D385" s="351">
        <v>4</v>
      </c>
    </row>
    <row r="386" spans="1:4" x14ac:dyDescent="0.3">
      <c r="A386" s="346">
        <v>45363</v>
      </c>
      <c r="B386" s="347">
        <v>30</v>
      </c>
      <c r="C386" s="345">
        <v>204356</v>
      </c>
      <c r="D386" s="350">
        <v>5</v>
      </c>
    </row>
    <row r="387" spans="1:4" x14ac:dyDescent="0.3">
      <c r="A387" s="346">
        <v>45362</v>
      </c>
      <c r="B387" s="347">
        <v>35</v>
      </c>
      <c r="C387" s="345">
        <v>204351</v>
      </c>
      <c r="D387" s="351">
        <v>8</v>
      </c>
    </row>
    <row r="388" spans="1:4" x14ac:dyDescent="0.3">
      <c r="A388" s="346">
        <v>45361</v>
      </c>
      <c r="B388" s="347">
        <v>35</v>
      </c>
      <c r="C388" s="345">
        <v>204343</v>
      </c>
      <c r="D388" s="350">
        <v>-1</v>
      </c>
    </row>
    <row r="389" spans="1:4" x14ac:dyDescent="0.3">
      <c r="A389" s="346">
        <v>45360</v>
      </c>
      <c r="B389" s="347">
        <v>38</v>
      </c>
      <c r="C389" s="345">
        <v>204344</v>
      </c>
      <c r="D389" s="351">
        <v>12</v>
      </c>
    </row>
    <row r="390" spans="1:4" x14ac:dyDescent="0.3">
      <c r="A390" s="346">
        <v>45359</v>
      </c>
      <c r="B390" s="347">
        <v>28</v>
      </c>
      <c r="C390" s="345">
        <v>204332</v>
      </c>
      <c r="D390" s="350">
        <v>-2</v>
      </c>
    </row>
    <row r="391" spans="1:4" x14ac:dyDescent="0.3">
      <c r="A391" s="346">
        <v>45358</v>
      </c>
      <c r="B391" s="347">
        <v>54</v>
      </c>
      <c r="C391" s="345">
        <v>204334</v>
      </c>
      <c r="D391" s="351">
        <v>24</v>
      </c>
    </row>
    <row r="392" spans="1:4" x14ac:dyDescent="0.3">
      <c r="A392" s="346">
        <v>45357</v>
      </c>
      <c r="B392" s="347">
        <v>36</v>
      </c>
      <c r="C392" s="345">
        <v>204310</v>
      </c>
      <c r="D392" s="350">
        <v>17</v>
      </c>
    </row>
    <row r="393" spans="1:4" x14ac:dyDescent="0.3">
      <c r="A393" s="346">
        <v>45356</v>
      </c>
      <c r="B393" s="347">
        <v>29</v>
      </c>
      <c r="C393" s="345">
        <v>204293</v>
      </c>
      <c r="D393" s="351">
        <v>5</v>
      </c>
    </row>
    <row r="394" spans="1:4" x14ac:dyDescent="0.3">
      <c r="A394" s="346">
        <v>45355</v>
      </c>
      <c r="B394" s="347">
        <v>34</v>
      </c>
      <c r="C394" s="345">
        <v>204288</v>
      </c>
      <c r="D394" s="350">
        <v>5</v>
      </c>
    </row>
    <row r="395" spans="1:4" x14ac:dyDescent="0.3">
      <c r="A395" s="346">
        <v>45354</v>
      </c>
      <c r="B395" s="347">
        <v>26</v>
      </c>
      <c r="C395" s="345">
        <v>204283</v>
      </c>
      <c r="D395" s="351">
        <v>-4</v>
      </c>
    </row>
    <row r="396" spans="1:4" x14ac:dyDescent="0.3">
      <c r="A396" s="346">
        <v>45353</v>
      </c>
      <c r="B396" s="347">
        <v>32</v>
      </c>
      <c r="C396" s="345">
        <v>204287</v>
      </c>
      <c r="D396" s="350">
        <v>-18</v>
      </c>
    </row>
    <row r="397" spans="1:4" x14ac:dyDescent="0.3">
      <c r="A397" s="346">
        <v>45352</v>
      </c>
      <c r="B397" s="347">
        <v>38</v>
      </c>
      <c r="C397" s="345">
        <v>204305</v>
      </c>
      <c r="D397" s="351">
        <v>14</v>
      </c>
    </row>
    <row r="398" spans="1:4" x14ac:dyDescent="0.3">
      <c r="A398" s="346">
        <v>45351</v>
      </c>
      <c r="B398" s="347">
        <v>31</v>
      </c>
      <c r="C398" s="345">
        <v>204291</v>
      </c>
      <c r="D398" s="350">
        <v>8</v>
      </c>
    </row>
    <row r="399" spans="1:4" x14ac:dyDescent="0.3">
      <c r="A399" s="346">
        <v>45350</v>
      </c>
      <c r="B399" s="347">
        <v>34</v>
      </c>
      <c r="C399" s="345">
        <v>204283</v>
      </c>
      <c r="D399" s="351">
        <v>9</v>
      </c>
    </row>
    <row r="400" spans="1:4" x14ac:dyDescent="0.3">
      <c r="A400" s="346">
        <v>45349</v>
      </c>
      <c r="B400" s="347">
        <v>34</v>
      </c>
      <c r="C400" s="345">
        <v>204274</v>
      </c>
      <c r="D400" s="350">
        <v>7</v>
      </c>
    </row>
    <row r="401" spans="1:4" x14ac:dyDescent="0.3">
      <c r="A401" s="346">
        <v>45348</v>
      </c>
      <c r="B401" s="347">
        <v>40</v>
      </c>
      <c r="C401" s="345">
        <v>204267</v>
      </c>
      <c r="D401" s="351">
        <v>10</v>
      </c>
    </row>
    <row r="402" spans="1:4" x14ac:dyDescent="0.3">
      <c r="A402" s="346">
        <v>45347</v>
      </c>
      <c r="B402" s="347">
        <v>31</v>
      </c>
      <c r="C402" s="345">
        <v>204257</v>
      </c>
      <c r="D402" s="350">
        <v>8</v>
      </c>
    </row>
    <row r="403" spans="1:4" x14ac:dyDescent="0.3">
      <c r="A403" s="346">
        <v>45346</v>
      </c>
      <c r="B403" s="347">
        <v>29</v>
      </c>
      <c r="C403" s="345">
        <v>204249</v>
      </c>
      <c r="D403" s="351">
        <v>12</v>
      </c>
    </row>
    <row r="404" spans="1:4" x14ac:dyDescent="0.3">
      <c r="A404" s="346">
        <v>45345</v>
      </c>
      <c r="B404" s="347">
        <v>28</v>
      </c>
      <c r="C404" s="345">
        <v>204237</v>
      </c>
      <c r="D404" s="350">
        <v>8</v>
      </c>
    </row>
    <row r="405" spans="1:4" x14ac:dyDescent="0.3">
      <c r="A405" s="346">
        <v>45344</v>
      </c>
      <c r="B405" s="347">
        <v>38</v>
      </c>
      <c r="C405" s="345">
        <v>204229</v>
      </c>
      <c r="D405" s="351">
        <v>16</v>
      </c>
    </row>
    <row r="406" spans="1:4" x14ac:dyDescent="0.3">
      <c r="A406" s="346">
        <v>45343</v>
      </c>
      <c r="B406" s="347">
        <v>38</v>
      </c>
      <c r="C406" s="345">
        <v>204213</v>
      </c>
      <c r="D406" s="350">
        <v>7</v>
      </c>
    </row>
    <row r="407" spans="1:4" x14ac:dyDescent="0.3">
      <c r="A407" s="346">
        <v>45342</v>
      </c>
      <c r="B407" s="347">
        <v>33</v>
      </c>
      <c r="C407" s="345">
        <v>204206</v>
      </c>
      <c r="D407" s="351">
        <v>-8</v>
      </c>
    </row>
    <row r="408" spans="1:4" x14ac:dyDescent="0.3">
      <c r="A408" s="346">
        <v>45341</v>
      </c>
      <c r="B408" s="347">
        <v>28</v>
      </c>
      <c r="C408" s="345">
        <v>204214</v>
      </c>
      <c r="D408" s="350">
        <v>-6</v>
      </c>
    </row>
    <row r="409" spans="1:4" x14ac:dyDescent="0.3">
      <c r="A409" s="346">
        <v>45340</v>
      </c>
      <c r="B409" s="347">
        <v>31</v>
      </c>
      <c r="C409" s="345">
        <v>204220</v>
      </c>
      <c r="D409" s="351">
        <v>16</v>
      </c>
    </row>
    <row r="410" spans="1:4" x14ac:dyDescent="0.3">
      <c r="A410" s="346">
        <v>45339</v>
      </c>
      <c r="B410" s="347">
        <v>44</v>
      </c>
      <c r="C410" s="345">
        <v>204204</v>
      </c>
      <c r="D410" s="350">
        <v>21</v>
      </c>
    </row>
    <row r="411" spans="1:4" x14ac:dyDescent="0.3">
      <c r="A411" s="346">
        <v>45338</v>
      </c>
      <c r="B411" s="347">
        <v>33</v>
      </c>
      <c r="C411" s="345">
        <v>204183</v>
      </c>
      <c r="D411" s="351">
        <v>13</v>
      </c>
    </row>
    <row r="412" spans="1:4" x14ac:dyDescent="0.3">
      <c r="A412" s="346">
        <v>45337</v>
      </c>
      <c r="B412" s="347">
        <v>33</v>
      </c>
      <c r="C412" s="345">
        <v>204170</v>
      </c>
      <c r="D412" s="350">
        <v>4</v>
      </c>
    </row>
    <row r="413" spans="1:4" x14ac:dyDescent="0.3">
      <c r="A413" s="346">
        <v>45336</v>
      </c>
      <c r="B413" s="347">
        <v>51</v>
      </c>
      <c r="C413" s="345">
        <v>204166</v>
      </c>
      <c r="D413" s="351">
        <v>28</v>
      </c>
    </row>
    <row r="414" spans="1:4" x14ac:dyDescent="0.3">
      <c r="A414" s="346">
        <v>45335</v>
      </c>
      <c r="B414" s="347">
        <v>21</v>
      </c>
      <c r="C414" s="345">
        <v>204138</v>
      </c>
      <c r="D414" s="350">
        <v>3</v>
      </c>
    </row>
    <row r="415" spans="1:4" x14ac:dyDescent="0.3">
      <c r="A415" s="346">
        <v>45334</v>
      </c>
      <c r="B415" s="347">
        <v>34</v>
      </c>
      <c r="C415" s="345">
        <v>204135</v>
      </c>
      <c r="D415" s="351">
        <v>8</v>
      </c>
    </row>
    <row r="416" spans="1:4" x14ac:dyDescent="0.3">
      <c r="A416" s="346">
        <v>45333</v>
      </c>
      <c r="B416" s="347">
        <v>34</v>
      </c>
      <c r="C416" s="345">
        <v>204127</v>
      </c>
      <c r="D416" s="350">
        <v>19</v>
      </c>
    </row>
    <row r="417" spans="1:4" x14ac:dyDescent="0.3">
      <c r="A417" s="346">
        <v>45332</v>
      </c>
      <c r="B417" s="347">
        <v>30</v>
      </c>
      <c r="C417" s="345">
        <v>204108</v>
      </c>
      <c r="D417" s="351">
        <v>21</v>
      </c>
    </row>
    <row r="418" spans="1:4" x14ac:dyDescent="0.3">
      <c r="A418" s="346">
        <v>45331</v>
      </c>
      <c r="B418" s="347">
        <v>26</v>
      </c>
      <c r="C418" s="345">
        <v>204087</v>
      </c>
      <c r="D418" s="350">
        <v>18</v>
      </c>
    </row>
    <row r="419" spans="1:4" x14ac:dyDescent="0.3">
      <c r="A419" s="346">
        <v>45330</v>
      </c>
      <c r="B419" s="347">
        <v>22</v>
      </c>
      <c r="C419" s="345">
        <v>204069</v>
      </c>
      <c r="D419" s="351">
        <v>6</v>
      </c>
    </row>
    <row r="420" spans="1:4" x14ac:dyDescent="0.3">
      <c r="A420" s="346">
        <v>45329</v>
      </c>
      <c r="B420" s="347">
        <v>43</v>
      </c>
      <c r="C420" s="345">
        <v>204063</v>
      </c>
      <c r="D420" s="350">
        <v>28</v>
      </c>
    </row>
    <row r="421" spans="1:4" x14ac:dyDescent="0.3">
      <c r="A421" s="346">
        <v>45328</v>
      </c>
      <c r="B421" s="347">
        <v>32</v>
      </c>
      <c r="C421" s="345">
        <v>204035</v>
      </c>
      <c r="D421" s="351">
        <v>21</v>
      </c>
    </row>
    <row r="422" spans="1:4" x14ac:dyDescent="0.3">
      <c r="A422" s="346">
        <v>45327</v>
      </c>
      <c r="B422" s="347">
        <v>28</v>
      </c>
      <c r="C422" s="345">
        <v>204014</v>
      </c>
      <c r="D422" s="350">
        <v>14</v>
      </c>
    </row>
    <row r="423" spans="1:4" x14ac:dyDescent="0.3">
      <c r="A423" s="346">
        <v>45326</v>
      </c>
      <c r="B423" s="347">
        <v>39</v>
      </c>
      <c r="C423" s="345">
        <v>204000</v>
      </c>
      <c r="D423" s="351">
        <v>19</v>
      </c>
    </row>
    <row r="424" spans="1:4" x14ac:dyDescent="0.3">
      <c r="A424" s="346">
        <v>45325</v>
      </c>
      <c r="B424" s="347">
        <v>40</v>
      </c>
      <c r="C424" s="345">
        <v>203981</v>
      </c>
      <c r="D424" s="350">
        <v>22</v>
      </c>
    </row>
    <row r="425" spans="1:4" x14ac:dyDescent="0.3">
      <c r="A425" s="346">
        <v>45324</v>
      </c>
      <c r="B425" s="347">
        <v>32</v>
      </c>
      <c r="C425" s="345">
        <v>203959</v>
      </c>
      <c r="D425" s="351">
        <v>15</v>
      </c>
    </row>
    <row r="426" spans="1:4" x14ac:dyDescent="0.3">
      <c r="A426" s="346">
        <v>45323</v>
      </c>
      <c r="B426" s="347">
        <v>38</v>
      </c>
      <c r="C426" s="345">
        <v>203944</v>
      </c>
      <c r="D426" s="350">
        <v>9</v>
      </c>
    </row>
    <row r="427" spans="1:4" x14ac:dyDescent="0.3">
      <c r="A427" s="346">
        <v>45322</v>
      </c>
      <c r="B427" s="347">
        <v>39</v>
      </c>
      <c r="C427" s="345">
        <v>203935</v>
      </c>
      <c r="D427" s="351">
        <v>6</v>
      </c>
    </row>
    <row r="428" spans="1:4" x14ac:dyDescent="0.3">
      <c r="A428" s="346">
        <v>45321</v>
      </c>
      <c r="B428" s="347">
        <v>49</v>
      </c>
      <c r="C428" s="345">
        <v>203929</v>
      </c>
      <c r="D428" s="350">
        <v>24</v>
      </c>
    </row>
    <row r="429" spans="1:4" x14ac:dyDescent="0.3">
      <c r="A429" s="346">
        <v>45320</v>
      </c>
      <c r="B429" s="347">
        <v>46</v>
      </c>
      <c r="C429" s="345">
        <v>203905</v>
      </c>
      <c r="D429" s="351">
        <v>25</v>
      </c>
    </row>
    <row r="430" spans="1:4" x14ac:dyDescent="0.3">
      <c r="A430" s="346">
        <v>45319</v>
      </c>
      <c r="B430" s="347">
        <v>42</v>
      </c>
      <c r="C430" s="345">
        <v>203880</v>
      </c>
      <c r="D430" s="350">
        <v>13</v>
      </c>
    </row>
    <row r="431" spans="1:4" x14ac:dyDescent="0.3">
      <c r="A431" s="346">
        <v>45318</v>
      </c>
      <c r="B431" s="347">
        <v>59</v>
      </c>
      <c r="C431" s="345">
        <v>203867</v>
      </c>
      <c r="D431" s="351">
        <v>38</v>
      </c>
    </row>
    <row r="432" spans="1:4" x14ac:dyDescent="0.3">
      <c r="A432" s="346">
        <v>45317</v>
      </c>
      <c r="B432" s="347">
        <v>44</v>
      </c>
      <c r="C432" s="345">
        <v>203829</v>
      </c>
      <c r="D432" s="350">
        <v>22</v>
      </c>
    </row>
    <row r="433" spans="1:4" x14ac:dyDescent="0.3">
      <c r="A433" s="346">
        <v>45316</v>
      </c>
      <c r="B433" s="347">
        <v>40</v>
      </c>
      <c r="C433" s="345">
        <v>203807</v>
      </c>
      <c r="D433" s="351">
        <v>6</v>
      </c>
    </row>
    <row r="434" spans="1:4" x14ac:dyDescent="0.3">
      <c r="A434" s="346">
        <v>45315</v>
      </c>
      <c r="B434" s="347">
        <v>50</v>
      </c>
      <c r="C434" s="345">
        <v>203801</v>
      </c>
      <c r="D434" s="350">
        <v>22</v>
      </c>
    </row>
    <row r="435" spans="1:4" x14ac:dyDescent="0.3">
      <c r="A435" s="346">
        <v>45314</v>
      </c>
      <c r="B435" s="347">
        <v>44</v>
      </c>
      <c r="C435" s="345">
        <v>203779</v>
      </c>
      <c r="D435" s="351">
        <v>17</v>
      </c>
    </row>
    <row r="436" spans="1:4" x14ac:dyDescent="0.3">
      <c r="A436" s="346">
        <v>45313</v>
      </c>
      <c r="B436" s="347">
        <v>56</v>
      </c>
      <c r="C436" s="345">
        <v>203762</v>
      </c>
      <c r="D436" s="350">
        <v>29</v>
      </c>
    </row>
    <row r="437" spans="1:4" x14ac:dyDescent="0.3">
      <c r="A437" s="346">
        <v>45312</v>
      </c>
      <c r="B437" s="347">
        <v>47</v>
      </c>
      <c r="C437" s="345">
        <v>203733</v>
      </c>
      <c r="D437" s="351">
        <v>20</v>
      </c>
    </row>
    <row r="438" spans="1:4" x14ac:dyDescent="0.3">
      <c r="A438" s="346">
        <v>45311</v>
      </c>
      <c r="B438" s="347">
        <v>55</v>
      </c>
      <c r="C438" s="345">
        <v>203713</v>
      </c>
      <c r="D438" s="350">
        <v>31</v>
      </c>
    </row>
    <row r="439" spans="1:4" x14ac:dyDescent="0.3">
      <c r="A439" s="346">
        <v>45310</v>
      </c>
      <c r="B439" s="347">
        <v>46</v>
      </c>
      <c r="C439" s="345">
        <v>203682</v>
      </c>
      <c r="D439" s="351">
        <v>21</v>
      </c>
    </row>
    <row r="440" spans="1:4" x14ac:dyDescent="0.3">
      <c r="A440" s="346">
        <v>45309</v>
      </c>
      <c r="B440" s="347">
        <v>36</v>
      </c>
      <c r="C440" s="345">
        <v>203661</v>
      </c>
      <c r="D440" s="350">
        <v>-5</v>
      </c>
    </row>
    <row r="441" spans="1:4" x14ac:dyDescent="0.3">
      <c r="A441" s="346">
        <v>45308</v>
      </c>
      <c r="B441" s="347">
        <v>49</v>
      </c>
      <c r="C441" s="345">
        <v>203666</v>
      </c>
      <c r="D441" s="351">
        <v>8</v>
      </c>
    </row>
    <row r="442" spans="1:4" x14ac:dyDescent="0.3">
      <c r="A442" s="346">
        <v>45307</v>
      </c>
      <c r="B442" s="347">
        <v>50</v>
      </c>
      <c r="C442" s="345">
        <v>203658</v>
      </c>
      <c r="D442" s="350">
        <v>27</v>
      </c>
    </row>
    <row r="443" spans="1:4" x14ac:dyDescent="0.3">
      <c r="A443" s="346">
        <v>45306</v>
      </c>
      <c r="B443" s="347">
        <v>40</v>
      </c>
      <c r="C443" s="345">
        <v>203631</v>
      </c>
      <c r="D443" s="351">
        <v>1</v>
      </c>
    </row>
    <row r="444" spans="1:4" x14ac:dyDescent="0.3">
      <c r="A444" s="346">
        <v>45305</v>
      </c>
      <c r="B444" s="347">
        <v>56</v>
      </c>
      <c r="C444" s="345">
        <v>203630</v>
      </c>
      <c r="D444" s="350">
        <v>36</v>
      </c>
    </row>
    <row r="445" spans="1:4" x14ac:dyDescent="0.3">
      <c r="A445" s="346">
        <v>45304</v>
      </c>
      <c r="B445" s="347">
        <v>37</v>
      </c>
      <c r="C445" s="345">
        <v>203594</v>
      </c>
      <c r="D445" s="351">
        <v>6</v>
      </c>
    </row>
    <row r="446" spans="1:4" x14ac:dyDescent="0.3">
      <c r="A446" s="346">
        <v>45303</v>
      </c>
      <c r="B446" s="347">
        <v>36</v>
      </c>
      <c r="C446" s="345">
        <v>203588</v>
      </c>
      <c r="D446" s="350">
        <v>6</v>
      </c>
    </row>
    <row r="447" spans="1:4" x14ac:dyDescent="0.3">
      <c r="A447" s="346">
        <v>45302</v>
      </c>
      <c r="B447" s="347">
        <v>46</v>
      </c>
      <c r="C447" s="345">
        <v>203582</v>
      </c>
      <c r="D447" s="351">
        <v>20</v>
      </c>
    </row>
    <row r="448" spans="1:4" x14ac:dyDescent="0.3">
      <c r="A448" s="346">
        <v>45301</v>
      </c>
      <c r="B448" s="347">
        <v>47</v>
      </c>
      <c r="C448" s="345">
        <v>203562</v>
      </c>
      <c r="D448" s="350">
        <v>14</v>
      </c>
    </row>
    <row r="449" spans="1:4" x14ac:dyDescent="0.3">
      <c r="A449" s="346">
        <v>45300</v>
      </c>
      <c r="B449" s="347">
        <v>45</v>
      </c>
      <c r="C449" s="345">
        <v>203548</v>
      </c>
      <c r="D449" s="351">
        <v>17</v>
      </c>
    </row>
    <row r="450" spans="1:4" x14ac:dyDescent="0.3">
      <c r="A450" s="346">
        <v>45299</v>
      </c>
      <c r="B450" s="347">
        <v>54</v>
      </c>
      <c r="C450" s="345">
        <v>203531</v>
      </c>
      <c r="D450" s="350">
        <v>28</v>
      </c>
    </row>
    <row r="451" spans="1:4" x14ac:dyDescent="0.3">
      <c r="A451" s="346">
        <v>45298</v>
      </c>
      <c r="B451" s="347">
        <v>64</v>
      </c>
      <c r="C451" s="345">
        <v>203503</v>
      </c>
      <c r="D451" s="351">
        <v>23</v>
      </c>
    </row>
    <row r="452" spans="1:4" x14ac:dyDescent="0.3">
      <c r="A452" s="346">
        <v>45297</v>
      </c>
      <c r="B452" s="347">
        <v>39</v>
      </c>
      <c r="C452" s="345">
        <v>203480</v>
      </c>
      <c r="D452" s="350">
        <v>13</v>
      </c>
    </row>
    <row r="453" spans="1:4" x14ac:dyDescent="0.3">
      <c r="A453" s="346">
        <v>45296</v>
      </c>
      <c r="B453" s="347">
        <v>34</v>
      </c>
      <c r="C453" s="345">
        <v>203467</v>
      </c>
      <c r="D453" s="351">
        <v>1</v>
      </c>
    </row>
    <row r="454" spans="1:4" x14ac:dyDescent="0.3">
      <c r="A454" s="346">
        <v>45295</v>
      </c>
      <c r="B454" s="347">
        <v>57</v>
      </c>
      <c r="C454" s="345">
        <v>203466</v>
      </c>
      <c r="D454" s="350">
        <v>36</v>
      </c>
    </row>
    <row r="455" spans="1:4" x14ac:dyDescent="0.3">
      <c r="A455" s="346">
        <v>45294</v>
      </c>
      <c r="B455" s="347">
        <v>49</v>
      </c>
      <c r="C455" s="345">
        <v>203430</v>
      </c>
      <c r="D455" s="351">
        <v>32</v>
      </c>
    </row>
    <row r="456" spans="1:4" x14ac:dyDescent="0.3">
      <c r="A456" s="346">
        <v>45293</v>
      </c>
      <c r="B456" s="347">
        <v>59</v>
      </c>
      <c r="C456" s="345">
        <v>203398</v>
      </c>
      <c r="D456" s="350">
        <v>23</v>
      </c>
    </row>
    <row r="457" spans="1:4" x14ac:dyDescent="0.3">
      <c r="A457" s="346">
        <v>45292</v>
      </c>
      <c r="B457" s="347">
        <v>39</v>
      </c>
      <c r="C457" s="345">
        <v>203375</v>
      </c>
      <c r="D457" s="351">
        <v>11</v>
      </c>
    </row>
    <row r="458" spans="1:4" x14ac:dyDescent="0.3">
      <c r="A458" s="346">
        <v>45291</v>
      </c>
      <c r="B458" s="347">
        <v>52</v>
      </c>
      <c r="C458" s="345">
        <v>203364</v>
      </c>
      <c r="D458" s="350">
        <v>34</v>
      </c>
    </row>
    <row r="459" spans="1:4" x14ac:dyDescent="0.3">
      <c r="A459" s="346">
        <v>45290</v>
      </c>
      <c r="B459" s="347">
        <v>38</v>
      </c>
      <c r="C459" s="345">
        <v>203330</v>
      </c>
      <c r="D459" s="351">
        <v>2</v>
      </c>
    </row>
    <row r="460" spans="1:4" x14ac:dyDescent="0.3">
      <c r="A460" s="346">
        <v>45289</v>
      </c>
      <c r="B460" s="347">
        <v>42</v>
      </c>
      <c r="C460" s="345">
        <v>203328</v>
      </c>
      <c r="D460" s="350">
        <v>13</v>
      </c>
    </row>
    <row r="461" spans="1:4" x14ac:dyDescent="0.3">
      <c r="A461" s="346">
        <v>45288</v>
      </c>
      <c r="B461" s="347">
        <v>43</v>
      </c>
      <c r="C461" s="345">
        <v>203315</v>
      </c>
      <c r="D461" s="351">
        <v>17</v>
      </c>
    </row>
    <row r="462" spans="1:4" x14ac:dyDescent="0.3">
      <c r="A462" s="346">
        <v>45287</v>
      </c>
      <c r="B462" s="347">
        <v>53</v>
      </c>
      <c r="C462" s="345">
        <v>203298</v>
      </c>
      <c r="D462" s="350">
        <v>23</v>
      </c>
    </row>
    <row r="463" spans="1:4" x14ac:dyDescent="0.3">
      <c r="A463" s="346">
        <v>45286</v>
      </c>
      <c r="B463" s="347">
        <v>41</v>
      </c>
      <c r="C463" s="345">
        <v>203275</v>
      </c>
      <c r="D463" s="351">
        <v>2</v>
      </c>
    </row>
    <row r="464" spans="1:4" x14ac:dyDescent="0.3">
      <c r="A464" s="346">
        <v>45285</v>
      </c>
      <c r="B464" s="347">
        <v>58</v>
      </c>
      <c r="C464" s="345">
        <v>203273</v>
      </c>
      <c r="D464" s="350">
        <v>31</v>
      </c>
    </row>
    <row r="465" spans="1:4" x14ac:dyDescent="0.3">
      <c r="A465" s="346">
        <v>45284</v>
      </c>
      <c r="B465" s="347">
        <v>171</v>
      </c>
      <c r="C465" s="345">
        <v>203242</v>
      </c>
      <c r="D465" s="351">
        <v>139</v>
      </c>
    </row>
    <row r="466" spans="1:4" x14ac:dyDescent="0.3">
      <c r="A466" s="346">
        <v>45283</v>
      </c>
      <c r="B466" s="347">
        <v>118</v>
      </c>
      <c r="C466" s="345">
        <v>203103</v>
      </c>
      <c r="D466" s="350">
        <v>81</v>
      </c>
    </row>
    <row r="467" spans="1:4" x14ac:dyDescent="0.3">
      <c r="A467" s="346">
        <v>45282</v>
      </c>
      <c r="B467" s="347">
        <v>141</v>
      </c>
      <c r="C467" s="345">
        <v>203022</v>
      </c>
      <c r="D467" s="351">
        <v>106</v>
      </c>
    </row>
    <row r="468" spans="1:4" x14ac:dyDescent="0.3">
      <c r="A468" s="346">
        <v>45281</v>
      </c>
      <c r="B468" s="347">
        <v>95</v>
      </c>
      <c r="C468" s="345">
        <v>202916</v>
      </c>
      <c r="D468" s="350">
        <v>71</v>
      </c>
    </row>
    <row r="469" spans="1:4" x14ac:dyDescent="0.3">
      <c r="A469" s="346">
        <v>45280</v>
      </c>
      <c r="B469" s="347">
        <v>138</v>
      </c>
      <c r="C469" s="345">
        <v>202845</v>
      </c>
      <c r="D469" s="351">
        <v>113</v>
      </c>
    </row>
    <row r="470" spans="1:4" x14ac:dyDescent="0.3">
      <c r="A470" s="346">
        <v>45279</v>
      </c>
      <c r="B470" s="347">
        <v>196</v>
      </c>
      <c r="C470" s="345">
        <v>202732</v>
      </c>
      <c r="D470" s="350">
        <v>167</v>
      </c>
    </row>
    <row r="471" spans="1:4" x14ac:dyDescent="0.3">
      <c r="A471" s="346">
        <v>45278</v>
      </c>
      <c r="B471" s="347">
        <v>121</v>
      </c>
      <c r="C471" s="345">
        <v>202565</v>
      </c>
      <c r="D471" s="351">
        <v>89</v>
      </c>
    </row>
    <row r="472" spans="1:4" x14ac:dyDescent="0.3">
      <c r="A472" s="346">
        <v>45277</v>
      </c>
      <c r="B472" s="347">
        <v>149</v>
      </c>
      <c r="C472" s="345">
        <v>202476</v>
      </c>
      <c r="D472" s="350">
        <v>104</v>
      </c>
    </row>
    <row r="473" spans="1:4" x14ac:dyDescent="0.3">
      <c r="A473" s="346">
        <v>45276</v>
      </c>
      <c r="B473" s="347">
        <v>160</v>
      </c>
      <c r="C473" s="345">
        <v>202372</v>
      </c>
      <c r="D473" s="351">
        <v>132</v>
      </c>
    </row>
    <row r="474" spans="1:4" x14ac:dyDescent="0.3">
      <c r="A474" s="346">
        <v>45275</v>
      </c>
      <c r="B474" s="347">
        <v>205</v>
      </c>
      <c r="C474" s="345">
        <v>202240</v>
      </c>
      <c r="D474" s="350">
        <v>173</v>
      </c>
    </row>
    <row r="475" spans="1:4" x14ac:dyDescent="0.3">
      <c r="A475" s="346">
        <v>45274</v>
      </c>
      <c r="B475" s="347">
        <v>48</v>
      </c>
      <c r="C475" s="345">
        <v>202067</v>
      </c>
      <c r="D475" s="351">
        <v>17</v>
      </c>
    </row>
    <row r="476" spans="1:4" x14ac:dyDescent="0.3">
      <c r="A476" s="346">
        <v>45273</v>
      </c>
      <c r="B476" s="347">
        <v>123</v>
      </c>
      <c r="C476" s="345">
        <v>202050</v>
      </c>
      <c r="D476" s="350">
        <v>89</v>
      </c>
    </row>
    <row r="477" spans="1:4" x14ac:dyDescent="0.3">
      <c r="A477" s="346">
        <v>45272</v>
      </c>
      <c r="B477" s="347">
        <v>51</v>
      </c>
      <c r="C477" s="345">
        <v>201961</v>
      </c>
      <c r="D477" s="351">
        <v>20</v>
      </c>
    </row>
    <row r="478" spans="1:4" x14ac:dyDescent="0.3">
      <c r="A478" s="346">
        <v>45271</v>
      </c>
      <c r="B478" s="347">
        <v>71</v>
      </c>
      <c r="C478" s="345">
        <v>201941</v>
      </c>
      <c r="D478" s="350">
        <v>43</v>
      </c>
    </row>
    <row r="479" spans="1:4" x14ac:dyDescent="0.3">
      <c r="A479" s="346">
        <v>45270</v>
      </c>
      <c r="B479" s="347">
        <v>66</v>
      </c>
      <c r="C479" s="345">
        <v>201898</v>
      </c>
      <c r="D479" s="351">
        <v>23</v>
      </c>
    </row>
    <row r="480" spans="1:4" x14ac:dyDescent="0.3">
      <c r="A480" s="346">
        <v>45269</v>
      </c>
      <c r="B480" s="347">
        <v>46</v>
      </c>
      <c r="C480" s="345">
        <v>201875</v>
      </c>
      <c r="D480" s="350">
        <v>4</v>
      </c>
    </row>
    <row r="481" spans="1:4" x14ac:dyDescent="0.3">
      <c r="A481" s="346">
        <v>45268</v>
      </c>
      <c r="B481" s="347">
        <v>57</v>
      </c>
      <c r="C481" s="345">
        <v>201871</v>
      </c>
      <c r="D481" s="351">
        <v>29</v>
      </c>
    </row>
    <row r="482" spans="1:4" x14ac:dyDescent="0.3">
      <c r="A482" s="346">
        <v>45267</v>
      </c>
      <c r="B482" s="347">
        <v>49</v>
      </c>
      <c r="C482" s="345">
        <v>201842</v>
      </c>
      <c r="D482" s="350">
        <v>18</v>
      </c>
    </row>
    <row r="483" spans="1:4" x14ac:dyDescent="0.3">
      <c r="A483" s="346">
        <v>45266</v>
      </c>
      <c r="B483" s="347">
        <v>50</v>
      </c>
      <c r="C483" s="345">
        <v>201824</v>
      </c>
      <c r="D483" s="351">
        <v>20</v>
      </c>
    </row>
    <row r="484" spans="1:4" x14ac:dyDescent="0.3">
      <c r="A484" s="346">
        <v>45265</v>
      </c>
      <c r="B484" s="347">
        <v>47</v>
      </c>
      <c r="C484" s="345">
        <v>201804</v>
      </c>
      <c r="D484" s="350">
        <v>20</v>
      </c>
    </row>
    <row r="485" spans="1:4" x14ac:dyDescent="0.3">
      <c r="A485" s="346">
        <v>45264</v>
      </c>
      <c r="B485" s="347">
        <v>47</v>
      </c>
      <c r="C485" s="345">
        <v>201784</v>
      </c>
      <c r="D485" s="351">
        <v>8</v>
      </c>
    </row>
    <row r="486" spans="1:4" x14ac:dyDescent="0.3">
      <c r="A486" s="346">
        <v>45263</v>
      </c>
      <c r="B486" s="347">
        <v>59</v>
      </c>
      <c r="C486" s="345">
        <v>201776</v>
      </c>
      <c r="D486" s="350">
        <v>21</v>
      </c>
    </row>
    <row r="487" spans="1:4" x14ac:dyDescent="0.3">
      <c r="A487" s="346">
        <v>45262</v>
      </c>
      <c r="B487" s="347">
        <v>46</v>
      </c>
      <c r="C487" s="345">
        <v>201755</v>
      </c>
      <c r="D487" s="351">
        <v>16</v>
      </c>
    </row>
    <row r="488" spans="1:4" x14ac:dyDescent="0.3">
      <c r="A488" s="346">
        <v>45261</v>
      </c>
      <c r="B488" s="347">
        <v>46</v>
      </c>
      <c r="C488" s="345">
        <v>201739</v>
      </c>
      <c r="D488" s="350">
        <v>17</v>
      </c>
    </row>
    <row r="489" spans="1:4" x14ac:dyDescent="0.3">
      <c r="A489" s="346">
        <v>45260</v>
      </c>
      <c r="B489" s="347">
        <v>56</v>
      </c>
      <c r="C489" s="345">
        <v>201722</v>
      </c>
      <c r="D489" s="351">
        <v>1</v>
      </c>
    </row>
    <row r="490" spans="1:4" x14ac:dyDescent="0.3">
      <c r="A490" s="346">
        <v>45259</v>
      </c>
      <c r="B490" s="347">
        <v>298</v>
      </c>
      <c r="C490" s="345">
        <v>201721</v>
      </c>
      <c r="D490" s="350">
        <v>247</v>
      </c>
    </row>
    <row r="491" spans="1:4" x14ac:dyDescent="0.3">
      <c r="A491" s="346">
        <v>45258</v>
      </c>
      <c r="B491" s="347">
        <v>314</v>
      </c>
      <c r="C491" s="345">
        <v>201474</v>
      </c>
      <c r="D491" s="351">
        <v>281</v>
      </c>
    </row>
    <row r="492" spans="1:4" x14ac:dyDescent="0.3">
      <c r="A492" s="346">
        <v>45257</v>
      </c>
      <c r="B492" s="347">
        <v>345</v>
      </c>
      <c r="C492" s="345">
        <v>201193</v>
      </c>
      <c r="D492" s="350">
        <v>300</v>
      </c>
    </row>
    <row r="493" spans="1:4" x14ac:dyDescent="0.3">
      <c r="A493" s="346">
        <v>45256</v>
      </c>
      <c r="B493" s="347">
        <v>389</v>
      </c>
      <c r="C493" s="345">
        <v>200893</v>
      </c>
      <c r="D493" s="351">
        <v>338</v>
      </c>
    </row>
    <row r="494" spans="1:4" x14ac:dyDescent="0.3">
      <c r="A494" s="346">
        <v>45255</v>
      </c>
      <c r="B494" s="347">
        <v>359</v>
      </c>
      <c r="C494" s="345">
        <v>200555</v>
      </c>
      <c r="D494" s="350">
        <v>316</v>
      </c>
    </row>
    <row r="495" spans="1:4" x14ac:dyDescent="0.3">
      <c r="A495" s="346">
        <v>45254</v>
      </c>
      <c r="B495" s="347">
        <v>429</v>
      </c>
      <c r="C495" s="345">
        <v>200239</v>
      </c>
      <c r="D495" s="351">
        <v>394</v>
      </c>
    </row>
    <row r="496" spans="1:4" x14ac:dyDescent="0.3">
      <c r="A496" s="346">
        <v>45253</v>
      </c>
      <c r="B496" s="347">
        <v>432</v>
      </c>
      <c r="C496" s="345">
        <v>199845</v>
      </c>
      <c r="D496" s="350">
        <v>409</v>
      </c>
    </row>
    <row r="497" spans="1:4" x14ac:dyDescent="0.3">
      <c r="A497" s="346">
        <v>45252</v>
      </c>
      <c r="B497" s="347">
        <v>46</v>
      </c>
      <c r="C497" s="345">
        <v>199436</v>
      </c>
      <c r="D497" s="351">
        <v>20</v>
      </c>
    </row>
    <row r="498" spans="1:4" x14ac:dyDescent="0.3">
      <c r="A498" s="346">
        <v>45251</v>
      </c>
      <c r="B498" s="347">
        <v>43</v>
      </c>
      <c r="C498" s="345">
        <v>199416</v>
      </c>
      <c r="D498" s="350">
        <v>16</v>
      </c>
    </row>
    <row r="499" spans="1:4" x14ac:dyDescent="0.3">
      <c r="A499" s="346">
        <v>45250</v>
      </c>
      <c r="B499" s="347">
        <v>46</v>
      </c>
      <c r="C499" s="345">
        <v>199400</v>
      </c>
      <c r="D499" s="351">
        <v>21</v>
      </c>
    </row>
    <row r="500" spans="1:4" x14ac:dyDescent="0.3">
      <c r="A500" s="346">
        <v>45249</v>
      </c>
      <c r="B500" s="347">
        <v>42</v>
      </c>
      <c r="C500" s="345">
        <v>199379</v>
      </c>
      <c r="D500" s="350">
        <v>13</v>
      </c>
    </row>
    <row r="501" spans="1:4" x14ac:dyDescent="0.3">
      <c r="A501" s="346">
        <v>45248</v>
      </c>
      <c r="B501" s="347">
        <v>49</v>
      </c>
      <c r="C501" s="345">
        <v>199366</v>
      </c>
      <c r="D501" s="351">
        <v>29</v>
      </c>
    </row>
    <row r="502" spans="1:4" x14ac:dyDescent="0.3">
      <c r="A502" s="346">
        <v>45247</v>
      </c>
      <c r="B502" s="347">
        <v>59</v>
      </c>
      <c r="C502" s="345">
        <v>199337</v>
      </c>
      <c r="D502" s="350">
        <v>28</v>
      </c>
    </row>
    <row r="503" spans="1:4" x14ac:dyDescent="0.3">
      <c r="A503" s="346">
        <v>45246</v>
      </c>
      <c r="B503" s="347">
        <v>68</v>
      </c>
      <c r="C503" s="345">
        <v>199309</v>
      </c>
      <c r="D503" s="351">
        <v>37</v>
      </c>
    </row>
    <row r="504" spans="1:4" x14ac:dyDescent="0.3">
      <c r="A504" s="346">
        <v>45245</v>
      </c>
      <c r="B504" s="347">
        <v>51</v>
      </c>
      <c r="C504" s="345">
        <v>199272</v>
      </c>
      <c r="D504" s="350">
        <v>20</v>
      </c>
    </row>
    <row r="505" spans="1:4" x14ac:dyDescent="0.3">
      <c r="A505" s="346">
        <v>45244</v>
      </c>
      <c r="B505" s="347">
        <v>54</v>
      </c>
      <c r="C505" s="345">
        <v>199252</v>
      </c>
      <c r="D505" s="351">
        <v>34</v>
      </c>
    </row>
    <row r="506" spans="1:4" x14ac:dyDescent="0.3">
      <c r="A506" s="346">
        <v>45243</v>
      </c>
      <c r="B506" s="347">
        <v>71</v>
      </c>
      <c r="C506" s="345">
        <v>199218</v>
      </c>
      <c r="D506" s="350">
        <v>41</v>
      </c>
    </row>
    <row r="507" spans="1:4" x14ac:dyDescent="0.3">
      <c r="A507" s="346">
        <v>45242</v>
      </c>
      <c r="B507" s="347">
        <v>71</v>
      </c>
      <c r="C507" s="345">
        <v>199177</v>
      </c>
      <c r="D507" s="351">
        <v>42</v>
      </c>
    </row>
    <row r="508" spans="1:4" x14ac:dyDescent="0.3">
      <c r="A508" s="346">
        <v>45241</v>
      </c>
      <c r="B508" s="347">
        <v>172</v>
      </c>
      <c r="C508" s="345">
        <v>199135</v>
      </c>
      <c r="D508" s="350">
        <v>113</v>
      </c>
    </row>
    <row r="509" spans="1:4" x14ac:dyDescent="0.3">
      <c r="A509" s="346">
        <v>45240</v>
      </c>
      <c r="B509" s="347">
        <v>112</v>
      </c>
      <c r="C509" s="345">
        <v>199022</v>
      </c>
      <c r="D509" s="351">
        <v>57</v>
      </c>
    </row>
    <row r="510" spans="1:4" x14ac:dyDescent="0.3">
      <c r="A510" s="346">
        <v>45239</v>
      </c>
      <c r="B510" s="347">
        <v>114</v>
      </c>
      <c r="C510" s="345">
        <v>198965</v>
      </c>
      <c r="D510" s="350">
        <v>79</v>
      </c>
    </row>
    <row r="511" spans="1:4" x14ac:dyDescent="0.3">
      <c r="A511" s="346">
        <v>45238</v>
      </c>
      <c r="B511" s="347">
        <v>118</v>
      </c>
      <c r="C511" s="345">
        <v>198886</v>
      </c>
      <c r="D511" s="351">
        <v>78</v>
      </c>
    </row>
    <row r="512" spans="1:4" x14ac:dyDescent="0.3">
      <c r="A512" s="346">
        <v>45237</v>
      </c>
      <c r="B512" s="347">
        <v>136</v>
      </c>
      <c r="C512" s="345">
        <v>198808</v>
      </c>
      <c r="D512" s="350">
        <v>103</v>
      </c>
    </row>
    <row r="513" spans="1:4" x14ac:dyDescent="0.3">
      <c r="A513" s="346">
        <v>45236</v>
      </c>
      <c r="B513" s="347">
        <v>107</v>
      </c>
      <c r="C513" s="345">
        <v>198705</v>
      </c>
      <c r="D513" s="351">
        <v>61</v>
      </c>
    </row>
    <row r="514" spans="1:4" x14ac:dyDescent="0.3">
      <c r="A514" s="346">
        <v>45235</v>
      </c>
      <c r="B514" s="347">
        <v>167</v>
      </c>
      <c r="C514" s="345">
        <v>198644</v>
      </c>
      <c r="D514" s="350">
        <v>124</v>
      </c>
    </row>
    <row r="515" spans="1:4" x14ac:dyDescent="0.3">
      <c r="A515" s="346">
        <v>45234</v>
      </c>
      <c r="B515" s="347">
        <v>137</v>
      </c>
      <c r="C515" s="345">
        <v>198520</v>
      </c>
      <c r="D515" s="351">
        <v>86</v>
      </c>
    </row>
    <row r="516" spans="1:4" x14ac:dyDescent="0.3">
      <c r="A516" s="346">
        <v>45233</v>
      </c>
      <c r="B516" s="347">
        <v>130</v>
      </c>
      <c r="C516" s="345">
        <v>198434</v>
      </c>
      <c r="D516" s="350">
        <v>95</v>
      </c>
    </row>
    <row r="517" spans="1:4" x14ac:dyDescent="0.3">
      <c r="A517" s="346">
        <v>45232</v>
      </c>
      <c r="B517" s="347">
        <v>107</v>
      </c>
      <c r="C517" s="345">
        <v>198339</v>
      </c>
      <c r="D517" s="351">
        <v>67</v>
      </c>
    </row>
    <row r="518" spans="1:4" x14ac:dyDescent="0.3">
      <c r="A518" s="346">
        <v>45231</v>
      </c>
      <c r="B518" s="347">
        <v>104</v>
      </c>
      <c r="C518" s="345">
        <v>198272</v>
      </c>
      <c r="D518" s="350">
        <v>53</v>
      </c>
    </row>
    <row r="519" spans="1:4" x14ac:dyDescent="0.3">
      <c r="A519" s="346">
        <v>45230</v>
      </c>
      <c r="B519" s="347">
        <v>118</v>
      </c>
      <c r="C519" s="345">
        <v>198219</v>
      </c>
      <c r="D519" s="351">
        <v>66</v>
      </c>
    </row>
    <row r="520" spans="1:4" x14ac:dyDescent="0.3">
      <c r="A520" s="346">
        <v>45229</v>
      </c>
      <c r="B520" s="347">
        <v>114</v>
      </c>
      <c r="C520" s="345">
        <v>198153</v>
      </c>
      <c r="D520" s="350">
        <v>73</v>
      </c>
    </row>
    <row r="521" spans="1:4" x14ac:dyDescent="0.3">
      <c r="A521" s="346">
        <v>45228</v>
      </c>
      <c r="B521" s="347">
        <v>109</v>
      </c>
      <c r="C521" s="345">
        <v>198080</v>
      </c>
      <c r="D521" s="351">
        <v>69</v>
      </c>
    </row>
    <row r="522" spans="1:4" x14ac:dyDescent="0.3">
      <c r="A522" s="346">
        <v>45227</v>
      </c>
      <c r="B522" s="347">
        <v>123</v>
      </c>
      <c r="C522" s="345">
        <v>198011</v>
      </c>
      <c r="D522" s="350">
        <v>83</v>
      </c>
    </row>
    <row r="523" spans="1:4" x14ac:dyDescent="0.3">
      <c r="A523" s="346">
        <v>45226</v>
      </c>
      <c r="B523" s="347">
        <v>104</v>
      </c>
      <c r="C523" s="345">
        <v>197928</v>
      </c>
      <c r="D523" s="351">
        <v>63</v>
      </c>
    </row>
    <row r="524" spans="1:4" x14ac:dyDescent="0.3">
      <c r="A524" s="346">
        <v>45225</v>
      </c>
      <c r="B524" s="347">
        <v>89</v>
      </c>
      <c r="C524" s="345">
        <v>197865</v>
      </c>
      <c r="D524" s="350">
        <v>41</v>
      </c>
    </row>
    <row r="525" spans="1:4" x14ac:dyDescent="0.3">
      <c r="A525" s="346">
        <v>45224</v>
      </c>
      <c r="B525" s="347">
        <v>107</v>
      </c>
      <c r="C525" s="345">
        <v>197824</v>
      </c>
      <c r="D525" s="351">
        <v>46</v>
      </c>
    </row>
    <row r="526" spans="1:4" x14ac:dyDescent="0.3">
      <c r="A526" s="346">
        <v>45223</v>
      </c>
      <c r="B526" s="347">
        <v>118</v>
      </c>
      <c r="C526" s="345">
        <v>197778</v>
      </c>
      <c r="D526" s="350">
        <v>53</v>
      </c>
    </row>
    <row r="527" spans="1:4" x14ac:dyDescent="0.3">
      <c r="A527" s="346">
        <v>45222</v>
      </c>
      <c r="B527" s="347">
        <v>122</v>
      </c>
      <c r="C527" s="345">
        <v>197725</v>
      </c>
      <c r="D527" s="351">
        <v>82</v>
      </c>
    </row>
    <row r="528" spans="1:4" x14ac:dyDescent="0.3">
      <c r="A528" s="346">
        <v>45221</v>
      </c>
      <c r="B528" s="347">
        <v>116</v>
      </c>
      <c r="C528" s="345">
        <v>197643</v>
      </c>
      <c r="D528" s="350">
        <v>62</v>
      </c>
    </row>
    <row r="529" spans="1:4" x14ac:dyDescent="0.3">
      <c r="A529" s="346">
        <v>45220</v>
      </c>
      <c r="B529" s="347">
        <v>101</v>
      </c>
      <c r="C529" s="345">
        <v>197581</v>
      </c>
      <c r="D529" s="351">
        <v>49</v>
      </c>
    </row>
    <row r="530" spans="1:4" x14ac:dyDescent="0.3">
      <c r="A530" s="346">
        <v>45219</v>
      </c>
      <c r="B530" s="347">
        <v>109</v>
      </c>
      <c r="C530" s="345">
        <v>197532</v>
      </c>
      <c r="D530" s="350">
        <v>76</v>
      </c>
    </row>
    <row r="531" spans="1:4" x14ac:dyDescent="0.3">
      <c r="A531" s="346">
        <v>45218</v>
      </c>
      <c r="B531" s="347">
        <v>119</v>
      </c>
      <c r="C531" s="345">
        <v>197456</v>
      </c>
      <c r="D531" s="351">
        <v>75</v>
      </c>
    </row>
    <row r="532" spans="1:4" x14ac:dyDescent="0.3">
      <c r="A532" s="346">
        <v>45217</v>
      </c>
      <c r="B532" s="347">
        <v>153</v>
      </c>
      <c r="C532" s="345">
        <v>197381</v>
      </c>
      <c r="D532" s="350">
        <v>93</v>
      </c>
    </row>
    <row r="533" spans="1:4" x14ac:dyDescent="0.3">
      <c r="A533" s="346">
        <v>45216</v>
      </c>
      <c r="B533" s="347">
        <v>137</v>
      </c>
      <c r="C533" s="345">
        <v>197288</v>
      </c>
      <c r="D533" s="351">
        <v>105</v>
      </c>
    </row>
    <row r="534" spans="1:4" x14ac:dyDescent="0.3">
      <c r="A534" s="346">
        <v>45215</v>
      </c>
      <c r="B534" s="347">
        <v>114</v>
      </c>
      <c r="C534" s="345">
        <v>197183</v>
      </c>
      <c r="D534" s="350">
        <v>87</v>
      </c>
    </row>
    <row r="535" spans="1:4" x14ac:dyDescent="0.3">
      <c r="A535" s="346">
        <v>45214</v>
      </c>
      <c r="B535" s="347">
        <v>108</v>
      </c>
      <c r="C535" s="345">
        <v>197096</v>
      </c>
      <c r="D535" s="351">
        <v>65</v>
      </c>
    </row>
    <row r="536" spans="1:4" x14ac:dyDescent="0.3">
      <c r="A536" s="346">
        <v>45213</v>
      </c>
      <c r="B536" s="347">
        <v>110</v>
      </c>
      <c r="C536" s="345">
        <v>197031</v>
      </c>
      <c r="D536" s="350">
        <v>65</v>
      </c>
    </row>
    <row r="537" spans="1:4" x14ac:dyDescent="0.3">
      <c r="A537" s="346">
        <v>45212</v>
      </c>
      <c r="B537" s="347">
        <v>98</v>
      </c>
      <c r="C537" s="345">
        <v>196966</v>
      </c>
      <c r="D537" s="351">
        <v>70</v>
      </c>
    </row>
    <row r="538" spans="1:4" x14ac:dyDescent="0.3">
      <c r="A538" s="346">
        <v>45211</v>
      </c>
      <c r="B538" s="347">
        <v>88</v>
      </c>
      <c r="C538" s="345">
        <v>196896</v>
      </c>
      <c r="D538" s="350">
        <v>51</v>
      </c>
    </row>
    <row r="539" spans="1:4" x14ac:dyDescent="0.3">
      <c r="A539" s="346">
        <v>45210</v>
      </c>
      <c r="B539" s="347">
        <v>99</v>
      </c>
      <c r="C539" s="345">
        <v>196845</v>
      </c>
      <c r="D539" s="351">
        <v>58</v>
      </c>
    </row>
    <row r="540" spans="1:4" x14ac:dyDescent="0.3">
      <c r="A540" s="346">
        <v>45209</v>
      </c>
      <c r="B540" s="347">
        <v>47</v>
      </c>
      <c r="C540" s="345">
        <v>196787</v>
      </c>
      <c r="D540" s="350">
        <v>14</v>
      </c>
    </row>
    <row r="541" spans="1:4" x14ac:dyDescent="0.3">
      <c r="A541" s="346">
        <v>45208</v>
      </c>
      <c r="B541" s="347">
        <v>60</v>
      </c>
      <c r="C541" s="345">
        <v>196773</v>
      </c>
      <c r="D541" s="351">
        <v>21</v>
      </c>
    </row>
    <row r="542" spans="1:4" x14ac:dyDescent="0.3">
      <c r="A542" s="346">
        <v>45207</v>
      </c>
      <c r="B542" s="347">
        <v>54</v>
      </c>
      <c r="C542" s="345">
        <v>196752</v>
      </c>
      <c r="D542" s="350">
        <v>18</v>
      </c>
    </row>
    <row r="543" spans="1:4" x14ac:dyDescent="0.3">
      <c r="A543" s="346">
        <v>45206</v>
      </c>
      <c r="B543" s="347">
        <v>32</v>
      </c>
      <c r="C543" s="345">
        <v>196734</v>
      </c>
      <c r="D543" s="351">
        <v>2</v>
      </c>
    </row>
    <row r="544" spans="1:4" x14ac:dyDescent="0.3">
      <c r="A544" s="346">
        <v>45205</v>
      </c>
      <c r="B544" s="347">
        <v>47</v>
      </c>
      <c r="C544" s="345">
        <v>196732</v>
      </c>
      <c r="D544" s="350">
        <v>6</v>
      </c>
    </row>
    <row r="545" spans="1:4" x14ac:dyDescent="0.3">
      <c r="A545" s="346">
        <v>45204</v>
      </c>
      <c r="B545" s="347">
        <v>40</v>
      </c>
      <c r="C545" s="345">
        <v>196726</v>
      </c>
      <c r="D545" s="351">
        <v>5</v>
      </c>
    </row>
    <row r="546" spans="1:4" x14ac:dyDescent="0.3">
      <c r="A546" s="346">
        <v>45203</v>
      </c>
      <c r="B546" s="347">
        <v>41</v>
      </c>
      <c r="C546" s="345">
        <v>196721</v>
      </c>
      <c r="D546" s="350">
        <v>8</v>
      </c>
    </row>
    <row r="547" spans="1:4" x14ac:dyDescent="0.3">
      <c r="A547" s="346">
        <v>45202</v>
      </c>
      <c r="B547" s="347">
        <v>265</v>
      </c>
      <c r="C547" s="345">
        <v>196713</v>
      </c>
      <c r="D547" s="351">
        <v>231</v>
      </c>
    </row>
    <row r="548" spans="1:4" x14ac:dyDescent="0.3">
      <c r="A548" s="346">
        <v>45201</v>
      </c>
      <c r="B548" s="347">
        <v>119</v>
      </c>
      <c r="C548" s="345">
        <v>196482</v>
      </c>
      <c r="D548" s="350">
        <v>79</v>
      </c>
    </row>
    <row r="549" spans="1:4" x14ac:dyDescent="0.3">
      <c r="A549" s="346">
        <v>45200</v>
      </c>
      <c r="B549" s="347">
        <v>169</v>
      </c>
      <c r="C549" s="345">
        <v>196403</v>
      </c>
      <c r="D549" s="351">
        <v>132</v>
      </c>
    </row>
    <row r="550" spans="1:4" x14ac:dyDescent="0.3">
      <c r="A550" s="346">
        <v>45199</v>
      </c>
      <c r="B550" s="347">
        <v>370</v>
      </c>
      <c r="C550" s="345">
        <v>196271</v>
      </c>
      <c r="D550" s="350">
        <v>323</v>
      </c>
    </row>
    <row r="551" spans="1:4" x14ac:dyDescent="0.3">
      <c r="A551" s="346">
        <v>45198</v>
      </c>
      <c r="B551" s="347">
        <v>368</v>
      </c>
      <c r="C551" s="345">
        <v>195948</v>
      </c>
      <c r="D551" s="351">
        <v>336</v>
      </c>
    </row>
    <row r="552" spans="1:4" x14ac:dyDescent="0.3">
      <c r="A552" s="346">
        <v>45197</v>
      </c>
      <c r="B552" s="347">
        <v>584</v>
      </c>
      <c r="C552" s="345">
        <v>195612</v>
      </c>
      <c r="D552" s="350">
        <v>562</v>
      </c>
    </row>
    <row r="553" spans="1:4" x14ac:dyDescent="0.3">
      <c r="A553" s="346">
        <v>45196</v>
      </c>
      <c r="B553" s="347">
        <v>545</v>
      </c>
      <c r="C553" s="345">
        <v>195050</v>
      </c>
      <c r="D553" s="351">
        <v>523</v>
      </c>
    </row>
    <row r="554" spans="1:4" x14ac:dyDescent="0.3">
      <c r="A554" s="346">
        <v>45195</v>
      </c>
      <c r="B554" s="347">
        <v>40</v>
      </c>
      <c r="C554" s="345">
        <v>194527</v>
      </c>
      <c r="D554" s="350">
        <v>9</v>
      </c>
    </row>
    <row r="555" spans="1:4" x14ac:dyDescent="0.3">
      <c r="A555" s="346">
        <v>45194</v>
      </c>
      <c r="B555" s="347">
        <v>29</v>
      </c>
      <c r="C555" s="345">
        <v>194518</v>
      </c>
      <c r="D555" s="351">
        <v>11</v>
      </c>
    </row>
    <row r="556" spans="1:4" x14ac:dyDescent="0.3">
      <c r="A556" s="346">
        <v>45193</v>
      </c>
      <c r="B556" s="347">
        <v>47</v>
      </c>
      <c r="C556" s="345">
        <v>194507</v>
      </c>
      <c r="D556" s="350">
        <v>22</v>
      </c>
    </row>
    <row r="557" spans="1:4" x14ac:dyDescent="0.3">
      <c r="A557" s="346">
        <v>45192</v>
      </c>
      <c r="B557" s="347">
        <v>30</v>
      </c>
      <c r="C557" s="345">
        <v>194485</v>
      </c>
      <c r="D557" s="351">
        <v>0</v>
      </c>
    </row>
    <row r="558" spans="1:4" x14ac:dyDescent="0.3">
      <c r="A558" s="346">
        <v>45191</v>
      </c>
      <c r="B558" s="347">
        <v>26</v>
      </c>
      <c r="C558" s="345">
        <v>194485</v>
      </c>
      <c r="D558" s="350">
        <v>6</v>
      </c>
    </row>
    <row r="559" spans="1:4" x14ac:dyDescent="0.3">
      <c r="A559" s="346">
        <v>45190</v>
      </c>
      <c r="B559" s="347">
        <v>23</v>
      </c>
      <c r="C559" s="345">
        <v>194479</v>
      </c>
      <c r="D559" s="351">
        <v>-10</v>
      </c>
    </row>
    <row r="560" spans="1:4" x14ac:dyDescent="0.3">
      <c r="A560" s="346">
        <v>45189</v>
      </c>
      <c r="B560" s="347">
        <v>14</v>
      </c>
      <c r="C560" s="345">
        <v>194489</v>
      </c>
      <c r="D560" s="350">
        <v>-18</v>
      </c>
    </row>
    <row r="561" spans="1:4" x14ac:dyDescent="0.3">
      <c r="A561" s="346">
        <v>45188</v>
      </c>
      <c r="B561" s="347">
        <v>32</v>
      </c>
      <c r="C561" s="345">
        <v>194507</v>
      </c>
      <c r="D561" s="351">
        <v>4</v>
      </c>
    </row>
    <row r="562" spans="1:4" x14ac:dyDescent="0.3">
      <c r="A562" s="346">
        <v>45187</v>
      </c>
      <c r="B562" s="347">
        <v>35</v>
      </c>
      <c r="C562" s="345">
        <v>194473</v>
      </c>
      <c r="D562" s="350">
        <v>12</v>
      </c>
    </row>
    <row r="563" spans="1:4" x14ac:dyDescent="0.3">
      <c r="A563" s="346">
        <v>45186</v>
      </c>
      <c r="B563" s="347">
        <v>46</v>
      </c>
      <c r="C563" s="345">
        <v>194461</v>
      </c>
      <c r="D563" s="351">
        <v>19</v>
      </c>
    </row>
    <row r="564" spans="1:4" x14ac:dyDescent="0.3">
      <c r="A564" s="346">
        <v>45185</v>
      </c>
      <c r="B564" s="347">
        <v>47</v>
      </c>
      <c r="C564" s="345">
        <v>194442</v>
      </c>
      <c r="D564" s="350">
        <v>26</v>
      </c>
    </row>
    <row r="565" spans="1:4" x14ac:dyDescent="0.3">
      <c r="A565" s="346">
        <v>45184</v>
      </c>
      <c r="B565" s="347">
        <v>40</v>
      </c>
      <c r="C565" s="345">
        <v>194416</v>
      </c>
      <c r="D565" s="351">
        <v>3</v>
      </c>
    </row>
    <row r="566" spans="1:4" x14ac:dyDescent="0.3">
      <c r="A566" s="346">
        <v>45183</v>
      </c>
      <c r="B566" s="347">
        <v>43</v>
      </c>
      <c r="C566" s="345">
        <v>194413</v>
      </c>
      <c r="D566" s="350">
        <v>15</v>
      </c>
    </row>
    <row r="567" spans="1:4" x14ac:dyDescent="0.3">
      <c r="A567" s="346">
        <v>45182</v>
      </c>
      <c r="B567" s="347">
        <v>35</v>
      </c>
      <c r="C567" s="345">
        <v>194398</v>
      </c>
      <c r="D567" s="351">
        <v>7</v>
      </c>
    </row>
    <row r="568" spans="1:4" x14ac:dyDescent="0.3">
      <c r="A568" s="346">
        <v>45181</v>
      </c>
      <c r="B568" s="347">
        <v>34</v>
      </c>
      <c r="C568" s="345">
        <v>194391</v>
      </c>
      <c r="D568" s="350">
        <v>18</v>
      </c>
    </row>
    <row r="569" spans="1:4" x14ac:dyDescent="0.3">
      <c r="A569" s="346">
        <v>45180</v>
      </c>
      <c r="B569" s="347">
        <v>40</v>
      </c>
      <c r="C569" s="345">
        <v>194373</v>
      </c>
      <c r="D569" s="351">
        <v>13</v>
      </c>
    </row>
    <row r="570" spans="1:4" x14ac:dyDescent="0.3">
      <c r="A570" s="346">
        <v>45179</v>
      </c>
      <c r="B570" s="347">
        <v>34</v>
      </c>
      <c r="C570" s="345">
        <v>194360</v>
      </c>
      <c r="D570" s="350">
        <v>0</v>
      </c>
    </row>
    <row r="571" spans="1:4" x14ac:dyDescent="0.3">
      <c r="A571" s="346">
        <v>45178</v>
      </c>
      <c r="B571" s="347">
        <v>36</v>
      </c>
      <c r="C571" s="345">
        <v>194360</v>
      </c>
      <c r="D571" s="351">
        <v>0</v>
      </c>
    </row>
    <row r="572" spans="1:4" x14ac:dyDescent="0.3">
      <c r="A572" s="346">
        <v>45177</v>
      </c>
      <c r="B572" s="347">
        <v>23</v>
      </c>
      <c r="C572" s="345">
        <v>194360</v>
      </c>
      <c r="D572" s="350">
        <v>-1</v>
      </c>
    </row>
    <row r="573" spans="1:4" x14ac:dyDescent="0.3">
      <c r="A573" s="346">
        <v>45176</v>
      </c>
      <c r="B573" s="347">
        <v>19</v>
      </c>
      <c r="C573" s="345">
        <v>194361</v>
      </c>
      <c r="D573" s="351">
        <v>-11</v>
      </c>
    </row>
    <row r="574" spans="1:4" x14ac:dyDescent="0.3">
      <c r="A574" s="346">
        <v>45175</v>
      </c>
      <c r="B574" s="347">
        <v>35</v>
      </c>
      <c r="C574" s="345">
        <v>194372</v>
      </c>
      <c r="D574" s="350">
        <v>-25</v>
      </c>
    </row>
    <row r="575" spans="1:4" x14ac:dyDescent="0.3">
      <c r="A575" s="346">
        <v>45174</v>
      </c>
      <c r="B575" s="347">
        <v>26</v>
      </c>
      <c r="C575" s="345">
        <v>194397</v>
      </c>
      <c r="D575" s="351">
        <v>-8</v>
      </c>
    </row>
    <row r="576" spans="1:4" x14ac:dyDescent="0.3">
      <c r="A576" s="346">
        <v>45173</v>
      </c>
      <c r="B576" s="347">
        <v>36</v>
      </c>
      <c r="C576" s="345">
        <v>194405</v>
      </c>
      <c r="D576" s="350">
        <v>6</v>
      </c>
    </row>
    <row r="577" spans="1:4" x14ac:dyDescent="0.3">
      <c r="A577" s="346">
        <v>45172</v>
      </c>
      <c r="B577" s="347">
        <v>40</v>
      </c>
      <c r="C577" s="345">
        <v>194399</v>
      </c>
      <c r="D577" s="351">
        <v>13</v>
      </c>
    </row>
    <row r="578" spans="1:4" x14ac:dyDescent="0.3">
      <c r="A578" s="346">
        <v>45171</v>
      </c>
      <c r="B578" s="347">
        <v>40</v>
      </c>
      <c r="C578" s="345">
        <v>194386</v>
      </c>
      <c r="D578" s="350">
        <v>2</v>
      </c>
    </row>
    <row r="579" spans="1:4" x14ac:dyDescent="0.3">
      <c r="A579" s="346">
        <v>45170</v>
      </c>
      <c r="B579" s="347">
        <v>24</v>
      </c>
      <c r="C579" s="345">
        <v>194384</v>
      </c>
      <c r="D579" s="351">
        <v>0</v>
      </c>
    </row>
    <row r="580" spans="1:4" x14ac:dyDescent="0.3">
      <c r="A580" s="346">
        <v>45169</v>
      </c>
      <c r="B580" s="347">
        <v>46</v>
      </c>
      <c r="C580" s="345">
        <v>194384</v>
      </c>
      <c r="D580" s="350">
        <v>20</v>
      </c>
    </row>
    <row r="581" spans="1:4" x14ac:dyDescent="0.3">
      <c r="A581" s="346">
        <v>45168</v>
      </c>
      <c r="B581" s="347">
        <v>40</v>
      </c>
      <c r="C581" s="345">
        <v>194364</v>
      </c>
      <c r="D581" s="351">
        <v>-1</v>
      </c>
    </row>
    <row r="582" spans="1:4" x14ac:dyDescent="0.3">
      <c r="A582" s="346">
        <v>45167</v>
      </c>
      <c r="B582" s="347">
        <v>41</v>
      </c>
      <c r="C582" s="345">
        <v>194365</v>
      </c>
      <c r="D582" s="350">
        <v>10</v>
      </c>
    </row>
    <row r="583" spans="1:4" x14ac:dyDescent="0.3">
      <c r="A583" s="346">
        <v>45166</v>
      </c>
      <c r="B583" s="347">
        <v>42</v>
      </c>
      <c r="C583" s="345">
        <v>194355</v>
      </c>
      <c r="D583" s="351">
        <v>7</v>
      </c>
    </row>
    <row r="584" spans="1:4" x14ac:dyDescent="0.3">
      <c r="A584" s="346">
        <v>45165</v>
      </c>
      <c r="B584" s="347">
        <v>34</v>
      </c>
      <c r="C584" s="345">
        <v>194348</v>
      </c>
      <c r="D584" s="350">
        <v>1</v>
      </c>
    </row>
    <row r="585" spans="1:4" x14ac:dyDescent="0.3">
      <c r="A585" s="346">
        <v>45164</v>
      </c>
      <c r="B585" s="347">
        <v>34</v>
      </c>
      <c r="C585" s="345">
        <v>194347</v>
      </c>
      <c r="D585" s="351">
        <v>10</v>
      </c>
    </row>
    <row r="586" spans="1:4" x14ac:dyDescent="0.3">
      <c r="A586" s="346">
        <v>45163</v>
      </c>
      <c r="B586" s="347">
        <v>37</v>
      </c>
      <c r="C586" s="345">
        <v>194337</v>
      </c>
      <c r="D586" s="350">
        <v>1</v>
      </c>
    </row>
    <row r="587" spans="1:4" x14ac:dyDescent="0.3">
      <c r="A587" s="346">
        <v>45162</v>
      </c>
      <c r="B587" s="347">
        <v>33</v>
      </c>
      <c r="C587" s="345">
        <v>194336</v>
      </c>
      <c r="D587" s="351">
        <v>2</v>
      </c>
    </row>
    <row r="588" spans="1:4" x14ac:dyDescent="0.3">
      <c r="A588" s="346">
        <v>45161</v>
      </c>
      <c r="B588" s="347">
        <v>21</v>
      </c>
      <c r="C588" s="345">
        <v>194334</v>
      </c>
      <c r="D588" s="350">
        <v>-2</v>
      </c>
    </row>
    <row r="589" spans="1:4" x14ac:dyDescent="0.3">
      <c r="A589" s="346">
        <v>45160</v>
      </c>
      <c r="B589" s="347">
        <v>39</v>
      </c>
      <c r="C589" s="345">
        <v>194336</v>
      </c>
      <c r="D589" s="351">
        <v>6</v>
      </c>
    </row>
    <row r="590" spans="1:4" x14ac:dyDescent="0.3">
      <c r="A590" s="346">
        <v>45159</v>
      </c>
      <c r="B590" s="347">
        <v>29</v>
      </c>
      <c r="C590" s="345">
        <v>194330</v>
      </c>
      <c r="D590" s="350">
        <v>7</v>
      </c>
    </row>
    <row r="591" spans="1:4" x14ac:dyDescent="0.3">
      <c r="A591" s="346">
        <v>45158</v>
      </c>
      <c r="B591" s="347">
        <v>34</v>
      </c>
      <c r="C591" s="345">
        <v>194323</v>
      </c>
      <c r="D591" s="351">
        <v>2</v>
      </c>
    </row>
    <row r="592" spans="1:4" x14ac:dyDescent="0.3">
      <c r="A592" s="346">
        <v>45157</v>
      </c>
      <c r="B592" s="347">
        <v>29</v>
      </c>
      <c r="C592" s="345">
        <v>194321</v>
      </c>
      <c r="D592" s="350">
        <v>-12</v>
      </c>
    </row>
    <row r="593" spans="1:4" x14ac:dyDescent="0.3">
      <c r="A593" s="346">
        <v>45156</v>
      </c>
      <c r="B593" s="347">
        <v>25</v>
      </c>
      <c r="C593" s="345">
        <v>194333</v>
      </c>
      <c r="D593" s="351">
        <v>16</v>
      </c>
    </row>
    <row r="594" spans="1:4" x14ac:dyDescent="0.3">
      <c r="A594" s="346">
        <v>45155</v>
      </c>
      <c r="B594" s="347">
        <v>29</v>
      </c>
      <c r="C594" s="345">
        <v>194317</v>
      </c>
      <c r="D594" s="350">
        <v>0</v>
      </c>
    </row>
    <row r="595" spans="1:4" x14ac:dyDescent="0.3">
      <c r="A595" s="346">
        <v>45154</v>
      </c>
      <c r="B595" s="347">
        <v>51</v>
      </c>
      <c r="C595" s="345">
        <v>194317</v>
      </c>
      <c r="D595" s="351">
        <v>33</v>
      </c>
    </row>
    <row r="596" spans="1:4" x14ac:dyDescent="0.3">
      <c r="A596" s="346">
        <v>45153</v>
      </c>
      <c r="B596" s="347">
        <v>32</v>
      </c>
      <c r="C596" s="345">
        <v>194284</v>
      </c>
      <c r="D596" s="350">
        <v>6</v>
      </c>
    </row>
    <row r="597" spans="1:4" x14ac:dyDescent="0.3">
      <c r="A597" s="346">
        <v>45152</v>
      </c>
      <c r="B597" s="347">
        <v>24</v>
      </c>
      <c r="C597" s="345">
        <v>194278</v>
      </c>
      <c r="D597" s="351">
        <v>-8</v>
      </c>
    </row>
    <row r="598" spans="1:4" x14ac:dyDescent="0.3">
      <c r="A598" s="346">
        <v>45151</v>
      </c>
      <c r="B598" s="347">
        <v>80</v>
      </c>
      <c r="C598" s="345">
        <v>194286</v>
      </c>
      <c r="D598" s="350">
        <v>57</v>
      </c>
    </row>
    <row r="599" spans="1:4" x14ac:dyDescent="0.3">
      <c r="A599" s="346">
        <v>45150</v>
      </c>
      <c r="B599" s="347">
        <v>31</v>
      </c>
      <c r="C599" s="345">
        <v>194229</v>
      </c>
      <c r="D599" s="351">
        <v>-2</v>
      </c>
    </row>
    <row r="600" spans="1:4" x14ac:dyDescent="0.3">
      <c r="A600" s="346">
        <v>45149</v>
      </c>
      <c r="B600" s="347">
        <v>38</v>
      </c>
      <c r="C600" s="345">
        <v>194231</v>
      </c>
      <c r="D600" s="350">
        <v>17</v>
      </c>
    </row>
    <row r="601" spans="1:4" x14ac:dyDescent="0.3">
      <c r="A601" s="346">
        <v>45148</v>
      </c>
      <c r="B601" s="347">
        <v>37</v>
      </c>
      <c r="C601" s="345">
        <v>194214</v>
      </c>
      <c r="D601" s="351">
        <v>16</v>
      </c>
    </row>
    <row r="602" spans="1:4" x14ac:dyDescent="0.3">
      <c r="A602" s="346">
        <v>45147</v>
      </c>
      <c r="B602" s="347">
        <v>30</v>
      </c>
      <c r="C602" s="345">
        <v>194198</v>
      </c>
      <c r="D602" s="350">
        <v>-3</v>
      </c>
    </row>
    <row r="603" spans="1:4" x14ac:dyDescent="0.3">
      <c r="A603" s="346">
        <v>45146</v>
      </c>
      <c r="B603" s="347">
        <v>25</v>
      </c>
      <c r="C603" s="345">
        <v>194201</v>
      </c>
      <c r="D603" s="351">
        <v>-7</v>
      </c>
    </row>
    <row r="604" spans="1:4" x14ac:dyDescent="0.3">
      <c r="A604" s="346">
        <v>45145</v>
      </c>
      <c r="B604" s="347">
        <v>28</v>
      </c>
      <c r="C604" s="345">
        <v>194208</v>
      </c>
      <c r="D604" s="350">
        <v>5</v>
      </c>
    </row>
    <row r="605" spans="1:4" x14ac:dyDescent="0.3">
      <c r="A605" s="346">
        <v>45144</v>
      </c>
      <c r="B605" s="347">
        <v>27</v>
      </c>
      <c r="C605" s="345">
        <v>194203</v>
      </c>
      <c r="D605" s="351">
        <v>-9</v>
      </c>
    </row>
    <row r="606" spans="1:4" x14ac:dyDescent="0.3">
      <c r="A606" s="346">
        <v>45143</v>
      </c>
      <c r="B606" s="347">
        <v>36</v>
      </c>
      <c r="C606" s="345">
        <v>194212</v>
      </c>
      <c r="D606" s="350">
        <v>22</v>
      </c>
    </row>
    <row r="607" spans="1:4" x14ac:dyDescent="0.3">
      <c r="A607" s="346">
        <v>45142</v>
      </c>
      <c r="B607" s="347">
        <v>30</v>
      </c>
      <c r="C607" s="345">
        <v>194190</v>
      </c>
      <c r="D607" s="351">
        <v>16</v>
      </c>
    </row>
    <row r="608" spans="1:4" x14ac:dyDescent="0.3">
      <c r="A608" s="346">
        <v>45141</v>
      </c>
      <c r="B608" s="347">
        <v>42</v>
      </c>
      <c r="C608" s="345">
        <v>194174</v>
      </c>
      <c r="D608" s="350">
        <v>13</v>
      </c>
    </row>
    <row r="609" spans="1:4" x14ac:dyDescent="0.3">
      <c r="A609" s="346">
        <v>45140</v>
      </c>
      <c r="B609" s="347">
        <v>38</v>
      </c>
      <c r="C609" s="345">
        <v>194161</v>
      </c>
      <c r="D609" s="351">
        <v>16</v>
      </c>
    </row>
    <row r="610" spans="1:4" x14ac:dyDescent="0.3">
      <c r="A610" s="346">
        <v>45139</v>
      </c>
      <c r="B610" s="347">
        <v>25</v>
      </c>
      <c r="C610" s="345">
        <v>194145</v>
      </c>
      <c r="D610" s="350">
        <v>-5</v>
      </c>
    </row>
    <row r="611" spans="1:4" x14ac:dyDescent="0.3">
      <c r="A611" s="346">
        <v>45138</v>
      </c>
      <c r="B611" s="347">
        <v>37</v>
      </c>
      <c r="C611" s="345">
        <v>194150</v>
      </c>
      <c r="D611" s="351">
        <v>4</v>
      </c>
    </row>
    <row r="612" spans="1:4" x14ac:dyDescent="0.3">
      <c r="A612" s="346">
        <v>45137</v>
      </c>
      <c r="B612" s="347">
        <v>35</v>
      </c>
      <c r="C612" s="345">
        <v>194146</v>
      </c>
      <c r="D612" s="350">
        <v>18</v>
      </c>
    </row>
    <row r="613" spans="1:4" x14ac:dyDescent="0.3">
      <c r="A613" s="346">
        <v>45136</v>
      </c>
      <c r="B613" s="347">
        <v>26</v>
      </c>
      <c r="C613" s="345">
        <v>194128</v>
      </c>
      <c r="D613" s="351">
        <v>13</v>
      </c>
    </row>
    <row r="614" spans="1:4" x14ac:dyDescent="0.3">
      <c r="A614" s="346">
        <v>45135</v>
      </c>
      <c r="B614" s="347">
        <v>37</v>
      </c>
      <c r="C614" s="345">
        <v>194115</v>
      </c>
      <c r="D614" s="350">
        <v>14</v>
      </c>
    </row>
    <row r="615" spans="1:4" x14ac:dyDescent="0.3">
      <c r="A615" s="346">
        <v>45134</v>
      </c>
      <c r="B615" s="347">
        <v>25</v>
      </c>
      <c r="C615" s="345">
        <v>194101</v>
      </c>
      <c r="D615" s="351">
        <v>-9</v>
      </c>
    </row>
    <row r="616" spans="1:4" x14ac:dyDescent="0.3">
      <c r="A616" s="346">
        <v>45133</v>
      </c>
      <c r="B616" s="347">
        <v>37</v>
      </c>
      <c r="C616" s="345">
        <v>194110</v>
      </c>
      <c r="D616" s="350">
        <v>9</v>
      </c>
    </row>
    <row r="617" spans="1:4" x14ac:dyDescent="0.3">
      <c r="A617" s="346">
        <v>45132</v>
      </c>
      <c r="B617" s="347">
        <v>30</v>
      </c>
      <c r="C617" s="345">
        <v>194101</v>
      </c>
      <c r="D617" s="351">
        <v>21</v>
      </c>
    </row>
    <row r="618" spans="1:4" x14ac:dyDescent="0.3">
      <c r="A618" s="346">
        <v>45131</v>
      </c>
      <c r="B618" s="347">
        <v>28</v>
      </c>
      <c r="C618" s="345">
        <v>194080</v>
      </c>
      <c r="D618" s="350">
        <v>-2</v>
      </c>
    </row>
    <row r="619" spans="1:4" x14ac:dyDescent="0.3">
      <c r="A619" s="346">
        <v>45130</v>
      </c>
      <c r="B619" s="347">
        <v>33</v>
      </c>
      <c r="C619" s="345">
        <v>194082</v>
      </c>
      <c r="D619" s="351">
        <v>16</v>
      </c>
    </row>
    <row r="620" spans="1:4" x14ac:dyDescent="0.3">
      <c r="A620" s="346">
        <v>45129</v>
      </c>
      <c r="B620" s="347">
        <v>26</v>
      </c>
      <c r="C620" s="345">
        <v>194066</v>
      </c>
      <c r="D620" s="350">
        <v>-2</v>
      </c>
    </row>
    <row r="621" spans="1:4" x14ac:dyDescent="0.3">
      <c r="A621" s="346">
        <v>45128</v>
      </c>
      <c r="B621" s="347">
        <v>33</v>
      </c>
      <c r="C621" s="345">
        <v>194068</v>
      </c>
      <c r="D621" s="351">
        <v>12</v>
      </c>
    </row>
    <row r="622" spans="1:4" x14ac:dyDescent="0.3">
      <c r="A622" s="346">
        <v>45127</v>
      </c>
      <c r="B622" s="347">
        <v>20</v>
      </c>
      <c r="C622" s="345">
        <v>194056</v>
      </c>
      <c r="D622" s="350">
        <v>-11</v>
      </c>
    </row>
    <row r="623" spans="1:4" x14ac:dyDescent="0.3">
      <c r="A623" s="346">
        <v>45126</v>
      </c>
      <c r="B623" s="347">
        <v>26</v>
      </c>
      <c r="C623" s="345">
        <v>194067</v>
      </c>
      <c r="D623" s="351">
        <v>9</v>
      </c>
    </row>
    <row r="624" spans="1:4" x14ac:dyDescent="0.3">
      <c r="A624" s="346">
        <v>45125</v>
      </c>
      <c r="B624" s="347">
        <v>21</v>
      </c>
      <c r="C624" s="345">
        <v>194058</v>
      </c>
      <c r="D624" s="350">
        <v>-5</v>
      </c>
    </row>
    <row r="625" spans="1:4" x14ac:dyDescent="0.3">
      <c r="A625" s="346">
        <v>45124</v>
      </c>
      <c r="B625" s="347">
        <v>22</v>
      </c>
      <c r="C625" s="345">
        <v>194063</v>
      </c>
      <c r="D625" s="351">
        <v>4</v>
      </c>
    </row>
    <row r="626" spans="1:4" x14ac:dyDescent="0.3">
      <c r="A626" s="346">
        <v>45123</v>
      </c>
      <c r="B626" s="347">
        <v>47</v>
      </c>
      <c r="C626" s="345">
        <v>194059</v>
      </c>
      <c r="D626" s="350">
        <v>25</v>
      </c>
    </row>
    <row r="627" spans="1:4" x14ac:dyDescent="0.3">
      <c r="A627" s="346">
        <v>45122</v>
      </c>
      <c r="B627" s="347">
        <v>23</v>
      </c>
      <c r="C627" s="345">
        <v>194034</v>
      </c>
      <c r="D627" s="351">
        <v>-5</v>
      </c>
    </row>
    <row r="628" spans="1:4" x14ac:dyDescent="0.3">
      <c r="A628" s="346">
        <v>45121</v>
      </c>
      <c r="B628" s="347">
        <v>29</v>
      </c>
      <c r="C628" s="345">
        <v>194039</v>
      </c>
      <c r="D628" s="350">
        <v>9</v>
      </c>
    </row>
    <row r="629" spans="1:4" x14ac:dyDescent="0.3">
      <c r="A629" s="346">
        <v>45120</v>
      </c>
      <c r="B629" s="347">
        <v>34</v>
      </c>
      <c r="C629" s="345">
        <v>194030</v>
      </c>
      <c r="D629" s="351">
        <v>8</v>
      </c>
    </row>
    <row r="630" spans="1:4" x14ac:dyDescent="0.3">
      <c r="A630" s="346">
        <v>45119</v>
      </c>
      <c r="B630" s="347">
        <v>32</v>
      </c>
      <c r="C630" s="345">
        <v>194022</v>
      </c>
      <c r="D630" s="350">
        <v>8</v>
      </c>
    </row>
    <row r="631" spans="1:4" x14ac:dyDescent="0.3">
      <c r="A631" s="346">
        <v>45118</v>
      </c>
      <c r="B631" s="347">
        <v>21</v>
      </c>
      <c r="C631" s="345">
        <v>194014</v>
      </c>
      <c r="D631" s="351">
        <v>-10</v>
      </c>
    </row>
    <row r="632" spans="1:4" x14ac:dyDescent="0.3">
      <c r="A632" s="346">
        <v>45117</v>
      </c>
      <c r="B632" s="347">
        <v>25</v>
      </c>
      <c r="C632" s="345">
        <v>194024</v>
      </c>
      <c r="D632" s="350">
        <v>-13</v>
      </c>
    </row>
    <row r="633" spans="1:4" x14ac:dyDescent="0.3">
      <c r="A633" s="346">
        <v>45116</v>
      </c>
      <c r="B633" s="347">
        <v>36</v>
      </c>
      <c r="C633" s="345">
        <v>194037</v>
      </c>
      <c r="D633" s="351">
        <v>14</v>
      </c>
    </row>
    <row r="634" spans="1:4" x14ac:dyDescent="0.3">
      <c r="A634" s="346">
        <v>45115</v>
      </c>
      <c r="B634" s="347">
        <v>29</v>
      </c>
      <c r="C634" s="345">
        <v>194023</v>
      </c>
      <c r="D634" s="350">
        <v>1</v>
      </c>
    </row>
    <row r="635" spans="1:4" x14ac:dyDescent="0.3">
      <c r="A635" s="346">
        <v>45114</v>
      </c>
      <c r="B635" s="347">
        <v>37</v>
      </c>
      <c r="C635" s="345">
        <v>194022</v>
      </c>
      <c r="D635" s="351">
        <v>19</v>
      </c>
    </row>
    <row r="636" spans="1:4" x14ac:dyDescent="0.3">
      <c r="A636" s="346">
        <v>45113</v>
      </c>
      <c r="B636" s="347">
        <v>28</v>
      </c>
      <c r="C636" s="345">
        <v>194003</v>
      </c>
      <c r="D636" s="350">
        <v>13</v>
      </c>
    </row>
    <row r="637" spans="1:4" x14ac:dyDescent="0.3">
      <c r="A637" s="346">
        <v>45112</v>
      </c>
      <c r="B637" s="347">
        <v>38</v>
      </c>
      <c r="C637" s="345">
        <v>193990</v>
      </c>
      <c r="D637" s="351">
        <v>15</v>
      </c>
    </row>
    <row r="638" spans="1:4" x14ac:dyDescent="0.3">
      <c r="A638" s="346">
        <v>45111</v>
      </c>
      <c r="B638" s="347">
        <v>36</v>
      </c>
      <c r="C638" s="345">
        <v>193975</v>
      </c>
      <c r="D638" s="350">
        <v>10</v>
      </c>
    </row>
    <row r="639" spans="1:4" x14ac:dyDescent="0.3">
      <c r="A639" s="346">
        <v>45110</v>
      </c>
      <c r="B639" s="347">
        <v>28</v>
      </c>
      <c r="C639" s="345">
        <v>193965</v>
      </c>
      <c r="D639" s="351">
        <v>13</v>
      </c>
    </row>
    <row r="640" spans="1:4" x14ac:dyDescent="0.3">
      <c r="A640" s="346">
        <v>45109</v>
      </c>
      <c r="B640" s="347">
        <v>32</v>
      </c>
      <c r="C640" s="345">
        <v>193952</v>
      </c>
      <c r="D640" s="350">
        <v>-2</v>
      </c>
    </row>
    <row r="641" spans="1:4" x14ac:dyDescent="0.3">
      <c r="A641" s="346">
        <v>45108</v>
      </c>
      <c r="B641" s="347">
        <v>27</v>
      </c>
      <c r="C641" s="345">
        <v>193954</v>
      </c>
      <c r="D641" s="351">
        <v>1</v>
      </c>
    </row>
    <row r="642" spans="1:4" x14ac:dyDescent="0.3">
      <c r="A642" s="346">
        <v>45107</v>
      </c>
      <c r="B642" s="347">
        <v>16</v>
      </c>
      <c r="C642" s="345">
        <v>193953</v>
      </c>
      <c r="D642" s="350">
        <v>-2</v>
      </c>
    </row>
    <row r="643" spans="1:4" x14ac:dyDescent="0.3">
      <c r="A643" s="346">
        <v>45106</v>
      </c>
      <c r="B643" s="347">
        <v>28</v>
      </c>
      <c r="C643" s="345">
        <v>193955</v>
      </c>
      <c r="D643" s="351">
        <v>-11</v>
      </c>
    </row>
    <row r="644" spans="1:4" x14ac:dyDescent="0.3">
      <c r="A644" s="346">
        <v>45105</v>
      </c>
      <c r="B644" s="347">
        <v>32</v>
      </c>
      <c r="C644" s="345">
        <v>193966</v>
      </c>
      <c r="D644" s="350">
        <v>1</v>
      </c>
    </row>
    <row r="645" spans="1:4" x14ac:dyDescent="0.3">
      <c r="A645" s="346">
        <v>45104</v>
      </c>
      <c r="B645" s="347">
        <v>415</v>
      </c>
      <c r="C645" s="345">
        <v>193965</v>
      </c>
      <c r="D645" s="351">
        <v>379</v>
      </c>
    </row>
    <row r="646" spans="1:4" x14ac:dyDescent="0.3">
      <c r="A646" s="346">
        <v>45103</v>
      </c>
      <c r="B646" s="347">
        <v>90</v>
      </c>
      <c r="C646" s="345">
        <v>193586</v>
      </c>
      <c r="D646" s="350">
        <v>57</v>
      </c>
    </row>
    <row r="647" spans="1:4" x14ac:dyDescent="0.3">
      <c r="A647" s="346">
        <v>45102</v>
      </c>
      <c r="B647" s="347">
        <v>102</v>
      </c>
      <c r="C647" s="345">
        <v>193529</v>
      </c>
      <c r="D647" s="351">
        <v>83</v>
      </c>
    </row>
    <row r="648" spans="1:4" x14ac:dyDescent="0.3">
      <c r="A648" s="346">
        <v>45101</v>
      </c>
      <c r="B648" s="347">
        <v>120</v>
      </c>
      <c r="C648" s="345">
        <v>193446</v>
      </c>
      <c r="D648" s="350">
        <v>86</v>
      </c>
    </row>
    <row r="649" spans="1:4" x14ac:dyDescent="0.3">
      <c r="A649" s="346">
        <v>45100</v>
      </c>
      <c r="B649" s="347">
        <v>28</v>
      </c>
      <c r="C649" s="345">
        <v>193360</v>
      </c>
      <c r="D649" s="351">
        <v>-7</v>
      </c>
    </row>
    <row r="650" spans="1:4" x14ac:dyDescent="0.3">
      <c r="A650" s="346">
        <v>45099</v>
      </c>
      <c r="B650" s="347">
        <v>25</v>
      </c>
      <c r="C650" s="345">
        <v>193367</v>
      </c>
      <c r="D650" s="350">
        <v>6</v>
      </c>
    </row>
    <row r="651" spans="1:4" x14ac:dyDescent="0.3">
      <c r="A651" s="346">
        <v>45098</v>
      </c>
      <c r="B651" s="347">
        <v>23</v>
      </c>
      <c r="C651" s="345">
        <v>193361</v>
      </c>
      <c r="D651" s="351">
        <v>-2</v>
      </c>
    </row>
    <row r="652" spans="1:4" x14ac:dyDescent="0.3">
      <c r="A652" s="346">
        <v>45097</v>
      </c>
      <c r="B652" s="347">
        <v>97</v>
      </c>
      <c r="C652" s="345">
        <v>193363</v>
      </c>
      <c r="D652" s="350">
        <v>80</v>
      </c>
    </row>
    <row r="653" spans="1:4" x14ac:dyDescent="0.3">
      <c r="A653" s="346">
        <v>45096</v>
      </c>
      <c r="B653" s="347">
        <v>71</v>
      </c>
      <c r="C653" s="345">
        <v>193283</v>
      </c>
      <c r="D653" s="351">
        <v>41</v>
      </c>
    </row>
    <row r="654" spans="1:4" x14ac:dyDescent="0.3">
      <c r="A654" s="346">
        <v>45095</v>
      </c>
      <c r="B654" s="347">
        <v>95</v>
      </c>
      <c r="C654" s="345">
        <v>193242</v>
      </c>
      <c r="D654" s="350">
        <v>49</v>
      </c>
    </row>
    <row r="655" spans="1:4" x14ac:dyDescent="0.3">
      <c r="A655" s="346">
        <v>45094</v>
      </c>
      <c r="B655" s="347">
        <v>86</v>
      </c>
      <c r="C655" s="345">
        <v>193193</v>
      </c>
      <c r="D655" s="351">
        <v>51</v>
      </c>
    </row>
    <row r="656" spans="1:4" x14ac:dyDescent="0.3">
      <c r="A656" s="346">
        <v>45093</v>
      </c>
      <c r="B656" s="347">
        <v>63</v>
      </c>
      <c r="C656" s="345">
        <v>193142</v>
      </c>
      <c r="D656" s="350">
        <v>32</v>
      </c>
    </row>
    <row r="657" spans="1:4" x14ac:dyDescent="0.3">
      <c r="A657" s="346">
        <v>45092</v>
      </c>
      <c r="B657" s="347">
        <v>88</v>
      </c>
      <c r="C657" s="345">
        <v>193110</v>
      </c>
      <c r="D657" s="351">
        <v>51</v>
      </c>
    </row>
    <row r="658" spans="1:4" x14ac:dyDescent="0.3">
      <c r="A658" s="346">
        <v>45091</v>
      </c>
      <c r="B658" s="347">
        <v>55</v>
      </c>
      <c r="C658" s="345">
        <v>193059</v>
      </c>
      <c r="D658" s="350">
        <v>25</v>
      </c>
    </row>
    <row r="659" spans="1:4" x14ac:dyDescent="0.3">
      <c r="A659" s="346">
        <v>45090</v>
      </c>
      <c r="B659" s="347">
        <v>67</v>
      </c>
      <c r="C659" s="345">
        <v>193034</v>
      </c>
      <c r="D659" s="351">
        <v>29</v>
      </c>
    </row>
    <row r="660" spans="1:4" x14ac:dyDescent="0.3">
      <c r="A660" s="346">
        <v>45089</v>
      </c>
      <c r="B660" s="347">
        <v>61</v>
      </c>
      <c r="C660" s="345">
        <v>193005</v>
      </c>
      <c r="D660" s="350">
        <v>39</v>
      </c>
    </row>
    <row r="661" spans="1:4" x14ac:dyDescent="0.3">
      <c r="A661" s="346">
        <v>45088</v>
      </c>
      <c r="B661" s="347">
        <v>80</v>
      </c>
      <c r="C661" s="345">
        <v>192966</v>
      </c>
      <c r="D661" s="351">
        <v>58</v>
      </c>
    </row>
    <row r="662" spans="1:4" x14ac:dyDescent="0.3">
      <c r="A662" s="346">
        <v>45087</v>
      </c>
      <c r="B662" s="347">
        <v>86</v>
      </c>
      <c r="C662" s="345">
        <v>192908</v>
      </c>
      <c r="D662" s="350">
        <v>50</v>
      </c>
    </row>
    <row r="663" spans="1:4" x14ac:dyDescent="0.3">
      <c r="A663" s="346">
        <v>45086</v>
      </c>
      <c r="B663" s="347">
        <v>118</v>
      </c>
      <c r="C663" s="345">
        <v>192858</v>
      </c>
      <c r="D663" s="351">
        <v>90</v>
      </c>
    </row>
    <row r="664" spans="1:4" x14ac:dyDescent="0.3">
      <c r="A664" s="346">
        <v>45085</v>
      </c>
      <c r="B664" s="347">
        <v>80</v>
      </c>
      <c r="C664" s="345">
        <v>192768</v>
      </c>
      <c r="D664" s="350">
        <v>44</v>
      </c>
    </row>
    <row r="665" spans="1:4" x14ac:dyDescent="0.3">
      <c r="A665" s="346">
        <v>45084</v>
      </c>
      <c r="B665" s="347">
        <v>72</v>
      </c>
      <c r="C665" s="345">
        <v>192724</v>
      </c>
      <c r="D665" s="351">
        <v>44</v>
      </c>
    </row>
    <row r="666" spans="1:4" x14ac:dyDescent="0.3">
      <c r="A666" s="346">
        <v>45083</v>
      </c>
      <c r="B666" s="347">
        <v>84</v>
      </c>
      <c r="C666" s="345">
        <v>192680</v>
      </c>
      <c r="D666" s="350">
        <v>47</v>
      </c>
    </row>
    <row r="667" spans="1:4" x14ac:dyDescent="0.3">
      <c r="A667" s="346">
        <v>45082</v>
      </c>
      <c r="B667" s="347">
        <v>76</v>
      </c>
      <c r="C667" s="345">
        <v>192633</v>
      </c>
      <c r="D667" s="351">
        <v>67</v>
      </c>
    </row>
    <row r="668" spans="1:4" x14ac:dyDescent="0.3">
      <c r="A668" s="346">
        <v>45081</v>
      </c>
      <c r="B668" s="347">
        <v>109</v>
      </c>
      <c r="C668" s="345">
        <v>192566</v>
      </c>
      <c r="D668" s="350">
        <v>61</v>
      </c>
    </row>
    <row r="669" spans="1:4" x14ac:dyDescent="0.3">
      <c r="A669" s="346">
        <v>45080</v>
      </c>
      <c r="B669" s="347">
        <v>85</v>
      </c>
      <c r="C669" s="345">
        <v>192505</v>
      </c>
      <c r="D669" s="351">
        <v>44</v>
      </c>
    </row>
    <row r="670" spans="1:4" x14ac:dyDescent="0.3">
      <c r="A670" s="346">
        <v>45079</v>
      </c>
      <c r="B670" s="347">
        <v>69</v>
      </c>
      <c r="C670" s="345">
        <v>192461</v>
      </c>
      <c r="D670" s="350">
        <v>33</v>
      </c>
    </row>
    <row r="671" spans="1:4" x14ac:dyDescent="0.3">
      <c r="A671" s="346">
        <v>45078</v>
      </c>
      <c r="B671" s="347">
        <v>70</v>
      </c>
      <c r="C671" s="345">
        <v>192428</v>
      </c>
      <c r="D671" s="351">
        <v>16</v>
      </c>
    </row>
    <row r="672" spans="1:4" x14ac:dyDescent="0.3">
      <c r="A672" s="346">
        <v>45077</v>
      </c>
      <c r="B672" s="347">
        <v>72</v>
      </c>
      <c r="C672" s="345">
        <v>192412</v>
      </c>
      <c r="D672" s="350">
        <v>9</v>
      </c>
    </row>
    <row r="673" spans="1:4" x14ac:dyDescent="0.3">
      <c r="A673" s="346">
        <v>45076</v>
      </c>
      <c r="B673" s="347">
        <v>75</v>
      </c>
      <c r="C673" s="345">
        <v>192403</v>
      </c>
      <c r="D673" s="351">
        <v>31</v>
      </c>
    </row>
    <row r="674" spans="1:4" x14ac:dyDescent="0.3">
      <c r="A674" s="346">
        <v>45075</v>
      </c>
      <c r="B674" s="347">
        <v>280</v>
      </c>
      <c r="C674" s="345">
        <v>192372</v>
      </c>
      <c r="D674" s="350">
        <v>237</v>
      </c>
    </row>
    <row r="675" spans="1:4" x14ac:dyDescent="0.3">
      <c r="A675" s="346">
        <v>45074</v>
      </c>
      <c r="B675" s="347">
        <v>185</v>
      </c>
      <c r="C675" s="345">
        <v>192135</v>
      </c>
      <c r="D675" s="351">
        <v>157</v>
      </c>
    </row>
    <row r="676" spans="1:4" x14ac:dyDescent="0.3">
      <c r="A676" s="346">
        <v>45073</v>
      </c>
      <c r="B676" s="347">
        <v>234</v>
      </c>
      <c r="C676" s="345">
        <v>191978</v>
      </c>
      <c r="D676" s="350">
        <v>174</v>
      </c>
    </row>
    <row r="677" spans="1:4" x14ac:dyDescent="0.3">
      <c r="A677" s="346">
        <v>45072</v>
      </c>
      <c r="B677" s="347">
        <v>534</v>
      </c>
      <c r="C677" s="345">
        <v>191804</v>
      </c>
      <c r="D677" s="351">
        <v>490</v>
      </c>
    </row>
    <row r="678" spans="1:4" x14ac:dyDescent="0.3">
      <c r="A678" s="346">
        <v>45071</v>
      </c>
      <c r="B678" s="347">
        <v>58</v>
      </c>
      <c r="C678" s="345">
        <v>191314</v>
      </c>
      <c r="D678" s="350">
        <v>12</v>
      </c>
    </row>
    <row r="679" spans="1:4" x14ac:dyDescent="0.3">
      <c r="A679" s="346">
        <v>45070</v>
      </c>
      <c r="B679" s="347">
        <v>71</v>
      </c>
      <c r="C679" s="345">
        <v>191302</v>
      </c>
      <c r="D679" s="351">
        <v>54</v>
      </c>
    </row>
    <row r="680" spans="1:4" x14ac:dyDescent="0.3">
      <c r="A680" s="346">
        <v>45069</v>
      </c>
      <c r="B680" s="347">
        <v>65</v>
      </c>
      <c r="C680" s="345">
        <v>191248</v>
      </c>
      <c r="D680" s="350">
        <v>40</v>
      </c>
    </row>
    <row r="681" spans="1:4" x14ac:dyDescent="0.3">
      <c r="A681" s="346">
        <v>45068</v>
      </c>
      <c r="B681" s="347">
        <v>55</v>
      </c>
      <c r="C681" s="345">
        <v>191208</v>
      </c>
      <c r="D681" s="351">
        <v>30</v>
      </c>
    </row>
    <row r="682" spans="1:4" x14ac:dyDescent="0.3">
      <c r="A682" s="346">
        <v>45067</v>
      </c>
      <c r="B682" s="347">
        <v>77</v>
      </c>
      <c r="C682" s="345">
        <v>191178</v>
      </c>
      <c r="D682" s="350">
        <v>46</v>
      </c>
    </row>
    <row r="683" spans="1:4" x14ac:dyDescent="0.3">
      <c r="A683" s="346">
        <v>45066</v>
      </c>
      <c r="B683" s="347">
        <v>60</v>
      </c>
      <c r="C683" s="345">
        <v>191132</v>
      </c>
      <c r="D683" s="351">
        <v>19</v>
      </c>
    </row>
    <row r="684" spans="1:4" x14ac:dyDescent="0.3">
      <c r="A684" s="346">
        <v>45065</v>
      </c>
      <c r="B684" s="347">
        <v>45</v>
      </c>
      <c r="C684" s="345">
        <v>191113</v>
      </c>
      <c r="D684" s="350">
        <v>17</v>
      </c>
    </row>
    <row r="685" spans="1:4" x14ac:dyDescent="0.3">
      <c r="A685" s="346">
        <v>45064</v>
      </c>
      <c r="B685" s="347">
        <v>73</v>
      </c>
      <c r="C685" s="345">
        <v>191096</v>
      </c>
      <c r="D685" s="351">
        <v>46</v>
      </c>
    </row>
    <row r="686" spans="1:4" x14ac:dyDescent="0.3">
      <c r="A686" s="346">
        <v>45063</v>
      </c>
      <c r="B686" s="347">
        <v>62</v>
      </c>
      <c r="C686" s="345">
        <v>191050</v>
      </c>
      <c r="D686" s="350">
        <v>27</v>
      </c>
    </row>
    <row r="687" spans="1:4" x14ac:dyDescent="0.3">
      <c r="A687" s="346">
        <v>45062</v>
      </c>
      <c r="B687" s="347">
        <v>67</v>
      </c>
      <c r="C687" s="345">
        <v>191023</v>
      </c>
      <c r="D687" s="351">
        <v>43</v>
      </c>
    </row>
    <row r="688" spans="1:4" x14ac:dyDescent="0.3">
      <c r="A688" s="346">
        <v>45061</v>
      </c>
      <c r="B688" s="347">
        <v>46</v>
      </c>
      <c r="C688" s="345">
        <v>190980</v>
      </c>
      <c r="D688" s="350">
        <v>9</v>
      </c>
    </row>
    <row r="689" spans="1:4" x14ac:dyDescent="0.3">
      <c r="A689" s="346">
        <v>45060</v>
      </c>
      <c r="B689" s="347">
        <v>54</v>
      </c>
      <c r="C689" s="345">
        <v>190971</v>
      </c>
      <c r="D689" s="351">
        <v>15</v>
      </c>
    </row>
    <row r="690" spans="1:4" x14ac:dyDescent="0.3">
      <c r="A690" s="346">
        <v>45059</v>
      </c>
      <c r="B690" s="347">
        <v>46</v>
      </c>
      <c r="C690" s="345">
        <v>190956</v>
      </c>
      <c r="D690" s="350">
        <v>27</v>
      </c>
    </row>
    <row r="691" spans="1:4" x14ac:dyDescent="0.3">
      <c r="A691" s="346">
        <v>45058</v>
      </c>
      <c r="B691" s="347">
        <v>24</v>
      </c>
      <c r="C691" s="345">
        <v>190929</v>
      </c>
      <c r="D691" s="351">
        <v>-11</v>
      </c>
    </row>
    <row r="692" spans="1:4" x14ac:dyDescent="0.3">
      <c r="A692" s="346">
        <v>45057</v>
      </c>
      <c r="B692" s="347">
        <v>39</v>
      </c>
      <c r="C692" s="345">
        <v>190940</v>
      </c>
      <c r="D692" s="350">
        <v>10</v>
      </c>
    </row>
    <row r="693" spans="1:4" x14ac:dyDescent="0.3">
      <c r="A693" s="346">
        <v>45056</v>
      </c>
      <c r="B693" s="347">
        <v>47</v>
      </c>
      <c r="C693" s="345">
        <v>190930</v>
      </c>
      <c r="D693" s="351">
        <v>28</v>
      </c>
    </row>
    <row r="694" spans="1:4" x14ac:dyDescent="0.3">
      <c r="A694" s="346">
        <v>45055</v>
      </c>
      <c r="B694" s="347">
        <v>38</v>
      </c>
      <c r="C694" s="345">
        <v>190902</v>
      </c>
      <c r="D694" s="350">
        <v>3</v>
      </c>
    </row>
    <row r="695" spans="1:4" x14ac:dyDescent="0.3">
      <c r="A695" s="346">
        <v>45054</v>
      </c>
      <c r="B695" s="347">
        <v>57</v>
      </c>
      <c r="C695" s="345">
        <v>190899</v>
      </c>
      <c r="D695" s="351">
        <v>19</v>
      </c>
    </row>
    <row r="696" spans="1:4" x14ac:dyDescent="0.3">
      <c r="A696" s="346">
        <v>45053</v>
      </c>
      <c r="B696" s="347">
        <v>56</v>
      </c>
      <c r="C696" s="345">
        <v>190880</v>
      </c>
      <c r="D696" s="350">
        <v>24</v>
      </c>
    </row>
    <row r="697" spans="1:4" x14ac:dyDescent="0.3">
      <c r="A697" s="346">
        <v>45052</v>
      </c>
      <c r="B697" s="347">
        <v>43</v>
      </c>
      <c r="C697" s="345">
        <v>190856</v>
      </c>
      <c r="D697" s="351">
        <v>37</v>
      </c>
    </row>
    <row r="698" spans="1:4" x14ac:dyDescent="0.3">
      <c r="A698" s="346">
        <v>45051</v>
      </c>
      <c r="B698" s="347">
        <v>52</v>
      </c>
      <c r="C698" s="345">
        <v>190819</v>
      </c>
      <c r="D698" s="350">
        <v>23</v>
      </c>
    </row>
    <row r="699" spans="1:4" x14ac:dyDescent="0.3">
      <c r="A699" s="346">
        <v>45050</v>
      </c>
      <c r="B699" s="347">
        <v>46</v>
      </c>
      <c r="C699" s="345">
        <v>190796</v>
      </c>
      <c r="D699" s="351">
        <v>12</v>
      </c>
    </row>
    <row r="700" spans="1:4" x14ac:dyDescent="0.3">
      <c r="A700" s="346">
        <v>45049</v>
      </c>
      <c r="B700" s="347">
        <v>37</v>
      </c>
      <c r="C700" s="345">
        <v>190784</v>
      </c>
      <c r="D700" s="350">
        <v>0</v>
      </c>
    </row>
    <row r="701" spans="1:4" x14ac:dyDescent="0.3">
      <c r="A701" s="346">
        <v>45048</v>
      </c>
      <c r="B701" s="347">
        <v>41</v>
      </c>
      <c r="C701" s="345">
        <v>190784</v>
      </c>
      <c r="D701" s="351">
        <v>30</v>
      </c>
    </row>
    <row r="702" spans="1:4" x14ac:dyDescent="0.3">
      <c r="A702" s="346">
        <v>45047</v>
      </c>
      <c r="B702" s="347">
        <v>40</v>
      </c>
      <c r="C702" s="345">
        <v>190754</v>
      </c>
      <c r="D702" s="350">
        <v>12</v>
      </c>
    </row>
    <row r="703" spans="1:4" x14ac:dyDescent="0.3">
      <c r="A703" s="346">
        <v>45046</v>
      </c>
      <c r="B703" s="347">
        <v>53</v>
      </c>
      <c r="C703" s="345">
        <v>190742</v>
      </c>
      <c r="D703" s="351">
        <v>38</v>
      </c>
    </row>
    <row r="704" spans="1:4" x14ac:dyDescent="0.3">
      <c r="A704" s="346">
        <v>45045</v>
      </c>
      <c r="B704" s="347">
        <v>39</v>
      </c>
      <c r="C704" s="345">
        <v>190704</v>
      </c>
      <c r="D704" s="350">
        <v>19</v>
      </c>
    </row>
    <row r="705" spans="1:4" x14ac:dyDescent="0.3">
      <c r="A705" s="346">
        <v>45044</v>
      </c>
      <c r="B705" s="347">
        <v>37</v>
      </c>
      <c r="C705" s="345">
        <v>190685</v>
      </c>
      <c r="D705" s="351">
        <v>5</v>
      </c>
    </row>
    <row r="706" spans="1:4" x14ac:dyDescent="0.3">
      <c r="A706" s="346">
        <v>45043</v>
      </c>
      <c r="B706" s="347">
        <v>48</v>
      </c>
      <c r="C706" s="345">
        <v>190680</v>
      </c>
      <c r="D706" s="350">
        <v>31</v>
      </c>
    </row>
    <row r="707" spans="1:4" x14ac:dyDescent="0.3">
      <c r="A707" s="346">
        <v>45042</v>
      </c>
      <c r="B707" s="347">
        <v>50</v>
      </c>
      <c r="C707" s="345">
        <v>190649</v>
      </c>
      <c r="D707" s="351">
        <v>25</v>
      </c>
    </row>
    <row r="708" spans="1:4" x14ac:dyDescent="0.3">
      <c r="A708" s="346">
        <v>45041</v>
      </c>
      <c r="B708" s="347">
        <v>40</v>
      </c>
      <c r="C708" s="345">
        <v>190624</v>
      </c>
      <c r="D708" s="350">
        <v>10</v>
      </c>
    </row>
    <row r="709" spans="1:4" x14ac:dyDescent="0.3">
      <c r="A709" s="346">
        <v>45040</v>
      </c>
      <c r="B709" s="347">
        <v>48</v>
      </c>
      <c r="C709" s="345">
        <v>190614</v>
      </c>
      <c r="D709" s="351">
        <v>26</v>
      </c>
    </row>
    <row r="710" spans="1:4" x14ac:dyDescent="0.3">
      <c r="A710" s="346">
        <v>45039</v>
      </c>
      <c r="B710" s="347">
        <v>41</v>
      </c>
      <c r="C710" s="345">
        <v>190588</v>
      </c>
      <c r="D710" s="350">
        <v>5</v>
      </c>
    </row>
    <row r="711" spans="1:4" x14ac:dyDescent="0.3">
      <c r="A711" s="346">
        <v>45038</v>
      </c>
      <c r="B711" s="347">
        <v>47</v>
      </c>
      <c r="C711" s="345">
        <v>190583</v>
      </c>
      <c r="D711" s="351">
        <v>16</v>
      </c>
    </row>
    <row r="712" spans="1:4" x14ac:dyDescent="0.3">
      <c r="A712" s="346">
        <v>45037</v>
      </c>
      <c r="B712" s="347">
        <v>39</v>
      </c>
      <c r="C712" s="345">
        <v>190567</v>
      </c>
      <c r="D712" s="350">
        <v>11</v>
      </c>
    </row>
    <row r="713" spans="1:4" x14ac:dyDescent="0.3">
      <c r="A713" s="346">
        <v>45036</v>
      </c>
      <c r="B713" s="347">
        <v>41</v>
      </c>
      <c r="C713" s="345">
        <v>190556</v>
      </c>
      <c r="D713" s="351">
        <v>-11</v>
      </c>
    </row>
    <row r="714" spans="1:4" x14ac:dyDescent="0.3">
      <c r="A714" s="346">
        <v>45035</v>
      </c>
      <c r="B714" s="347">
        <v>35</v>
      </c>
      <c r="C714" s="345">
        <v>190567</v>
      </c>
      <c r="D714" s="350">
        <v>9</v>
      </c>
    </row>
    <row r="715" spans="1:4" x14ac:dyDescent="0.3">
      <c r="A715" s="346">
        <v>45034</v>
      </c>
      <c r="B715" s="347">
        <v>45</v>
      </c>
      <c r="C715" s="345">
        <v>190558</v>
      </c>
      <c r="D715" s="351">
        <v>19</v>
      </c>
    </row>
    <row r="716" spans="1:4" x14ac:dyDescent="0.3">
      <c r="A716" s="346">
        <v>45033</v>
      </c>
      <c r="B716" s="347">
        <v>33</v>
      </c>
      <c r="C716" s="345">
        <v>190539</v>
      </c>
      <c r="D716" s="350">
        <v>-9</v>
      </c>
    </row>
    <row r="717" spans="1:4" x14ac:dyDescent="0.3">
      <c r="A717" s="346">
        <v>45032</v>
      </c>
      <c r="B717" s="347">
        <v>77</v>
      </c>
      <c r="C717" s="345">
        <v>190548</v>
      </c>
      <c r="D717" s="351">
        <v>43</v>
      </c>
    </row>
    <row r="718" spans="1:4" x14ac:dyDescent="0.3">
      <c r="A718" s="346">
        <v>45031</v>
      </c>
      <c r="B718" s="347">
        <v>47</v>
      </c>
      <c r="C718" s="345">
        <v>190505</v>
      </c>
      <c r="D718" s="350">
        <v>6</v>
      </c>
    </row>
    <row r="719" spans="1:4" x14ac:dyDescent="0.3">
      <c r="A719" s="346">
        <v>45030</v>
      </c>
      <c r="B719" s="347">
        <v>41</v>
      </c>
      <c r="C719" s="345">
        <v>190499</v>
      </c>
      <c r="D719" s="351">
        <v>11</v>
      </c>
    </row>
    <row r="720" spans="1:4" x14ac:dyDescent="0.3">
      <c r="A720" s="346">
        <v>45029</v>
      </c>
      <c r="B720" s="347">
        <v>38</v>
      </c>
      <c r="C720" s="345">
        <v>190488</v>
      </c>
      <c r="D720" s="350">
        <v>10</v>
      </c>
    </row>
    <row r="721" spans="1:4" x14ac:dyDescent="0.3">
      <c r="A721" s="346">
        <v>45028</v>
      </c>
      <c r="B721" s="347">
        <v>39</v>
      </c>
      <c r="C721" s="345">
        <v>190478</v>
      </c>
      <c r="D721" s="351">
        <v>8</v>
      </c>
    </row>
    <row r="722" spans="1:4" x14ac:dyDescent="0.3">
      <c r="A722" s="346">
        <v>45027</v>
      </c>
      <c r="B722" s="347">
        <v>41</v>
      </c>
      <c r="C722" s="345">
        <v>190470</v>
      </c>
      <c r="D722" s="350">
        <v>6</v>
      </c>
    </row>
    <row r="723" spans="1:4" x14ac:dyDescent="0.3">
      <c r="A723" s="346">
        <v>45026</v>
      </c>
      <c r="B723" s="347">
        <v>80</v>
      </c>
      <c r="C723" s="345">
        <v>190464</v>
      </c>
      <c r="D723" s="351">
        <v>47</v>
      </c>
    </row>
    <row r="724" spans="1:4" x14ac:dyDescent="0.3">
      <c r="A724" s="346">
        <v>45025</v>
      </c>
      <c r="B724" s="347">
        <v>40</v>
      </c>
      <c r="C724" s="345">
        <v>190417</v>
      </c>
      <c r="D724" s="350">
        <v>4</v>
      </c>
    </row>
    <row r="725" spans="1:4" x14ac:dyDescent="0.3">
      <c r="A725" s="346">
        <v>45024</v>
      </c>
      <c r="B725" s="347">
        <v>47</v>
      </c>
      <c r="C725" s="345">
        <v>190413</v>
      </c>
      <c r="D725" s="351">
        <v>9</v>
      </c>
    </row>
    <row r="726" spans="1:4" x14ac:dyDescent="0.3">
      <c r="A726" s="346">
        <v>45023</v>
      </c>
      <c r="B726" s="347">
        <v>50</v>
      </c>
      <c r="C726" s="345">
        <v>190404</v>
      </c>
      <c r="D726" s="350">
        <v>13</v>
      </c>
    </row>
    <row r="727" spans="1:4" x14ac:dyDescent="0.3">
      <c r="A727" s="346">
        <v>45022</v>
      </c>
      <c r="B727" s="347">
        <v>86</v>
      </c>
      <c r="C727" s="345">
        <v>190391</v>
      </c>
      <c r="D727" s="351">
        <v>43</v>
      </c>
    </row>
    <row r="728" spans="1:4" x14ac:dyDescent="0.3">
      <c r="A728" s="346">
        <v>45021</v>
      </c>
      <c r="B728" s="347">
        <v>61</v>
      </c>
      <c r="C728" s="345">
        <v>190348</v>
      </c>
      <c r="D728" s="350">
        <v>22</v>
      </c>
    </row>
    <row r="729" spans="1:4" x14ac:dyDescent="0.3">
      <c r="A729" s="346">
        <v>45020</v>
      </c>
      <c r="B729" s="347">
        <v>43</v>
      </c>
      <c r="C729" s="345">
        <v>190326</v>
      </c>
      <c r="D729" s="351">
        <v>14</v>
      </c>
    </row>
    <row r="730" spans="1:4" x14ac:dyDescent="0.3">
      <c r="A730" s="346">
        <v>45019</v>
      </c>
      <c r="B730" s="347">
        <v>36</v>
      </c>
      <c r="C730" s="345">
        <v>190312</v>
      </c>
      <c r="D730" s="350">
        <v>-5</v>
      </c>
    </row>
    <row r="731" spans="1:4" x14ac:dyDescent="0.3">
      <c r="A731" s="346">
        <v>45018</v>
      </c>
      <c r="B731" s="347">
        <v>124</v>
      </c>
      <c r="C731" s="345">
        <v>190317</v>
      </c>
      <c r="D731" s="351">
        <v>81</v>
      </c>
    </row>
    <row r="732" spans="1:4" x14ac:dyDescent="0.3">
      <c r="A732" s="346">
        <v>45017</v>
      </c>
      <c r="B732" s="347">
        <v>98</v>
      </c>
      <c r="C732" s="345">
        <v>190236</v>
      </c>
      <c r="D732" s="350">
        <v>75</v>
      </c>
    </row>
    <row r="733" spans="1:4" x14ac:dyDescent="0.3">
      <c r="A733" s="346">
        <v>45016</v>
      </c>
      <c r="B733" s="347">
        <v>85</v>
      </c>
      <c r="C733" s="345">
        <v>190161</v>
      </c>
      <c r="D733" s="351">
        <v>38</v>
      </c>
    </row>
    <row r="734" spans="1:4" x14ac:dyDescent="0.3">
      <c r="A734" s="346">
        <v>45015</v>
      </c>
      <c r="B734" s="347">
        <v>143</v>
      </c>
      <c r="C734" s="345">
        <v>190123</v>
      </c>
      <c r="D734" s="350">
        <v>124</v>
      </c>
    </row>
    <row r="735" spans="1:4" x14ac:dyDescent="0.3">
      <c r="A735" s="346">
        <v>45014</v>
      </c>
      <c r="B735" s="347">
        <v>26</v>
      </c>
      <c r="C735" s="345">
        <v>189999</v>
      </c>
      <c r="D735" s="351">
        <v>-11</v>
      </c>
    </row>
    <row r="736" spans="1:4" x14ac:dyDescent="0.3">
      <c r="A736" s="346">
        <v>45013</v>
      </c>
      <c r="B736" s="347">
        <v>32</v>
      </c>
      <c r="C736" s="345">
        <v>190010</v>
      </c>
      <c r="D736" s="350">
        <v>21</v>
      </c>
    </row>
    <row r="737" spans="1:4" x14ac:dyDescent="0.3">
      <c r="A737" s="346">
        <v>45012</v>
      </c>
      <c r="B737" s="347">
        <v>31</v>
      </c>
      <c r="C737" s="345">
        <v>189989</v>
      </c>
      <c r="D737" s="351">
        <v>-2</v>
      </c>
    </row>
    <row r="738" spans="1:4" x14ac:dyDescent="0.3">
      <c r="A738" s="346">
        <v>45011</v>
      </c>
      <c r="B738" s="347">
        <v>38</v>
      </c>
      <c r="C738" s="345">
        <v>189991</v>
      </c>
      <c r="D738" s="350">
        <v>9</v>
      </c>
    </row>
    <row r="739" spans="1:4" x14ac:dyDescent="0.3">
      <c r="A739" s="346">
        <v>45010</v>
      </c>
      <c r="B739" s="347">
        <v>37</v>
      </c>
      <c r="C739" s="345">
        <v>189982</v>
      </c>
      <c r="D739" s="351">
        <v>19</v>
      </c>
    </row>
    <row r="740" spans="1:4" x14ac:dyDescent="0.3">
      <c r="A740" s="346">
        <v>45009</v>
      </c>
      <c r="B740" s="347">
        <v>35</v>
      </c>
      <c r="C740" s="345">
        <v>189963</v>
      </c>
      <c r="D740" s="350">
        <v>3</v>
      </c>
    </row>
    <row r="741" spans="1:4" x14ac:dyDescent="0.3">
      <c r="A741" s="346">
        <v>45008</v>
      </c>
      <c r="B741" s="347">
        <v>35</v>
      </c>
      <c r="C741" s="345">
        <v>189960</v>
      </c>
      <c r="D741" s="351">
        <v>-7</v>
      </c>
    </row>
    <row r="742" spans="1:4" x14ac:dyDescent="0.3">
      <c r="A742" s="346">
        <v>45007</v>
      </c>
      <c r="B742" s="347">
        <v>31</v>
      </c>
      <c r="C742" s="345">
        <v>189967</v>
      </c>
      <c r="D742" s="350">
        <v>6</v>
      </c>
    </row>
    <row r="743" spans="1:4" x14ac:dyDescent="0.3">
      <c r="A743" s="346">
        <v>45006</v>
      </c>
      <c r="B743" s="347">
        <v>40</v>
      </c>
      <c r="C743" s="345">
        <v>189961</v>
      </c>
      <c r="D743" s="351">
        <v>5</v>
      </c>
    </row>
    <row r="744" spans="1:4" x14ac:dyDescent="0.3">
      <c r="A744" s="346">
        <v>45005</v>
      </c>
      <c r="B744" s="347">
        <v>38</v>
      </c>
      <c r="C744" s="345">
        <v>189956</v>
      </c>
      <c r="D744" s="350">
        <v>23</v>
      </c>
    </row>
    <row r="745" spans="1:4" x14ac:dyDescent="0.3">
      <c r="A745" s="346">
        <v>45004</v>
      </c>
      <c r="B745" s="347">
        <v>49</v>
      </c>
      <c r="C745" s="345">
        <v>189933</v>
      </c>
      <c r="D745" s="351">
        <v>-5</v>
      </c>
    </row>
    <row r="746" spans="1:4" x14ac:dyDescent="0.3">
      <c r="A746" s="346">
        <v>45003</v>
      </c>
      <c r="B746" s="347">
        <v>44</v>
      </c>
      <c r="C746" s="345">
        <v>189938</v>
      </c>
      <c r="D746" s="350">
        <v>-1</v>
      </c>
    </row>
    <row r="747" spans="1:4" x14ac:dyDescent="0.3">
      <c r="A747" s="346">
        <v>45002</v>
      </c>
      <c r="B747" s="347">
        <v>31</v>
      </c>
      <c r="C747" s="345">
        <v>189939</v>
      </c>
      <c r="D747" s="351">
        <v>-9</v>
      </c>
    </row>
    <row r="748" spans="1:4" x14ac:dyDescent="0.3">
      <c r="A748" s="346">
        <v>45001</v>
      </c>
      <c r="B748" s="347">
        <v>34</v>
      </c>
      <c r="C748" s="345">
        <v>189948</v>
      </c>
      <c r="D748" s="350">
        <v>5</v>
      </c>
    </row>
    <row r="749" spans="1:4" x14ac:dyDescent="0.3">
      <c r="A749" s="346">
        <v>45000</v>
      </c>
      <c r="B749" s="347">
        <v>34</v>
      </c>
      <c r="C749" s="345">
        <v>189943</v>
      </c>
      <c r="D749" s="351">
        <v>5</v>
      </c>
    </row>
    <row r="750" spans="1:4" x14ac:dyDescent="0.3">
      <c r="A750" s="346">
        <v>44999</v>
      </c>
      <c r="B750" s="347">
        <v>34</v>
      </c>
      <c r="C750" s="345">
        <v>189938</v>
      </c>
      <c r="D750" s="350">
        <v>16</v>
      </c>
    </row>
    <row r="751" spans="1:4" x14ac:dyDescent="0.3">
      <c r="A751" s="346">
        <v>44998</v>
      </c>
      <c r="B751" s="347">
        <v>24</v>
      </c>
      <c r="C751" s="345">
        <v>189922</v>
      </c>
      <c r="D751" s="351">
        <v>-16</v>
      </c>
    </row>
    <row r="752" spans="1:4" x14ac:dyDescent="0.3">
      <c r="A752" s="346">
        <v>44997</v>
      </c>
      <c r="B752" s="347">
        <v>44</v>
      </c>
      <c r="C752" s="345">
        <v>189938</v>
      </c>
      <c r="D752" s="350">
        <v>6</v>
      </c>
    </row>
    <row r="753" spans="1:4" x14ac:dyDescent="0.3">
      <c r="A753" s="346">
        <v>44996</v>
      </c>
      <c r="B753" s="347">
        <v>37</v>
      </c>
      <c r="C753" s="345">
        <v>189932</v>
      </c>
      <c r="D753" s="351">
        <v>-7</v>
      </c>
    </row>
    <row r="754" spans="1:4" x14ac:dyDescent="0.3">
      <c r="A754" s="346">
        <v>44995</v>
      </c>
      <c r="B754" s="347">
        <v>46</v>
      </c>
      <c r="C754" s="345">
        <v>189939</v>
      </c>
      <c r="D754" s="350">
        <v>19</v>
      </c>
    </row>
    <row r="755" spans="1:4" x14ac:dyDescent="0.3">
      <c r="A755" s="346">
        <v>44994</v>
      </c>
      <c r="B755" s="347">
        <v>33</v>
      </c>
      <c r="C755" s="345">
        <v>189920</v>
      </c>
      <c r="D755" s="351">
        <v>5</v>
      </c>
    </row>
    <row r="756" spans="1:4" x14ac:dyDescent="0.3">
      <c r="A756" s="346">
        <v>44993</v>
      </c>
      <c r="B756" s="347">
        <v>23</v>
      </c>
      <c r="C756" s="345">
        <v>189915</v>
      </c>
      <c r="D756" s="350">
        <v>-7</v>
      </c>
    </row>
    <row r="757" spans="1:4" x14ac:dyDescent="0.3">
      <c r="A757" s="346">
        <v>44992</v>
      </c>
      <c r="B757" s="347">
        <v>33</v>
      </c>
      <c r="C757" s="345">
        <v>189922</v>
      </c>
      <c r="D757" s="351">
        <v>-2</v>
      </c>
    </row>
    <row r="758" spans="1:4" x14ac:dyDescent="0.3">
      <c r="A758" s="346">
        <v>44991</v>
      </c>
      <c r="B758" s="347">
        <v>25</v>
      </c>
      <c r="C758" s="345">
        <v>189924</v>
      </c>
      <c r="D758" s="350">
        <v>-20</v>
      </c>
    </row>
    <row r="759" spans="1:4" x14ac:dyDescent="0.3">
      <c r="A759" s="346">
        <v>44990</v>
      </c>
      <c r="B759" s="347">
        <v>40</v>
      </c>
      <c r="C759" s="345">
        <v>189944</v>
      </c>
      <c r="D759" s="351">
        <v>-18</v>
      </c>
    </row>
    <row r="760" spans="1:4" x14ac:dyDescent="0.3">
      <c r="A760" s="346">
        <v>44989</v>
      </c>
      <c r="B760" s="347">
        <v>82</v>
      </c>
      <c r="C760" s="345">
        <v>189962</v>
      </c>
      <c r="D760" s="350">
        <v>21</v>
      </c>
    </row>
    <row r="761" spans="1:4" x14ac:dyDescent="0.3">
      <c r="A761" s="346">
        <v>44988</v>
      </c>
      <c r="B761" s="347">
        <v>1050</v>
      </c>
      <c r="C761" s="345">
        <v>189941</v>
      </c>
      <c r="D761" s="351">
        <v>1003</v>
      </c>
    </row>
    <row r="762" spans="1:4" x14ac:dyDescent="0.3">
      <c r="A762" s="346">
        <v>44987</v>
      </c>
      <c r="B762" s="347">
        <v>183</v>
      </c>
      <c r="C762" s="345">
        <v>188938</v>
      </c>
      <c r="D762" s="350">
        <v>143</v>
      </c>
    </row>
    <row r="763" spans="1:4" x14ac:dyDescent="0.3">
      <c r="A763" s="346">
        <v>44986</v>
      </c>
      <c r="B763" s="347">
        <v>170</v>
      </c>
      <c r="C763" s="345">
        <v>188795</v>
      </c>
      <c r="D763" s="351">
        <v>138</v>
      </c>
    </row>
    <row r="764" spans="1:4" x14ac:dyDescent="0.3">
      <c r="A764" s="346">
        <v>44985</v>
      </c>
      <c r="B764" s="347">
        <v>175</v>
      </c>
      <c r="C764" s="345">
        <v>188657</v>
      </c>
      <c r="D764" s="350">
        <v>116</v>
      </c>
    </row>
    <row r="765" spans="1:4" x14ac:dyDescent="0.3">
      <c r="A765" s="346">
        <v>44984</v>
      </c>
      <c r="B765" s="347">
        <v>48</v>
      </c>
      <c r="C765" s="345">
        <v>188541</v>
      </c>
      <c r="D765" s="351">
        <v>10</v>
      </c>
    </row>
    <row r="766" spans="1:4" x14ac:dyDescent="0.3">
      <c r="A766" s="346">
        <v>44983</v>
      </c>
      <c r="B766" s="347">
        <v>50</v>
      </c>
      <c r="C766" s="345">
        <v>188531</v>
      </c>
      <c r="D766" s="350">
        <v>5</v>
      </c>
    </row>
    <row r="767" spans="1:4" x14ac:dyDescent="0.3">
      <c r="A767" s="346">
        <v>44982</v>
      </c>
      <c r="B767" s="347">
        <v>35</v>
      </c>
      <c r="C767" s="345">
        <v>188526</v>
      </c>
      <c r="D767" s="351">
        <v>2</v>
      </c>
    </row>
    <row r="768" spans="1:4" x14ac:dyDescent="0.3">
      <c r="A768" s="346">
        <v>44981</v>
      </c>
      <c r="B768" s="347">
        <v>36</v>
      </c>
      <c r="C768" s="345">
        <v>188524</v>
      </c>
      <c r="D768" s="350">
        <v>19</v>
      </c>
    </row>
    <row r="769" spans="1:4" x14ac:dyDescent="0.3">
      <c r="A769" s="346">
        <v>44980</v>
      </c>
      <c r="B769" s="347">
        <v>55</v>
      </c>
      <c r="C769" s="345">
        <v>188505</v>
      </c>
      <c r="D769" s="351">
        <v>10</v>
      </c>
    </row>
    <row r="770" spans="1:4" x14ac:dyDescent="0.3">
      <c r="A770" s="346">
        <v>44979</v>
      </c>
      <c r="B770" s="347">
        <v>38</v>
      </c>
      <c r="C770" s="345">
        <v>188495</v>
      </c>
      <c r="D770" s="350">
        <v>15</v>
      </c>
    </row>
    <row r="771" spans="1:4" x14ac:dyDescent="0.3">
      <c r="A771" s="346">
        <v>44978</v>
      </c>
      <c r="B771" s="347">
        <v>39</v>
      </c>
      <c r="C771" s="345">
        <v>188480</v>
      </c>
      <c r="D771" s="351">
        <v>15</v>
      </c>
    </row>
    <row r="772" spans="1:4" x14ac:dyDescent="0.3">
      <c r="A772" s="346">
        <v>44977</v>
      </c>
      <c r="B772" s="347">
        <v>52</v>
      </c>
      <c r="C772" s="345">
        <v>188465</v>
      </c>
      <c r="D772" s="350">
        <v>25</v>
      </c>
    </row>
    <row r="773" spans="1:4" x14ac:dyDescent="0.3">
      <c r="A773" s="346">
        <v>44976</v>
      </c>
      <c r="B773" s="347">
        <v>49</v>
      </c>
      <c r="C773" s="345">
        <v>188440</v>
      </c>
      <c r="D773" s="351">
        <v>-2</v>
      </c>
    </row>
    <row r="774" spans="1:4" x14ac:dyDescent="0.3">
      <c r="A774" s="346">
        <v>44975</v>
      </c>
      <c r="B774" s="347">
        <v>42</v>
      </c>
      <c r="C774" s="345">
        <v>188442</v>
      </c>
      <c r="D774" s="350">
        <v>8</v>
      </c>
    </row>
    <row r="775" spans="1:4" x14ac:dyDescent="0.3">
      <c r="A775" s="346">
        <v>44974</v>
      </c>
      <c r="B775" s="347">
        <v>43</v>
      </c>
      <c r="C775" s="345">
        <v>188434</v>
      </c>
      <c r="D775" s="351">
        <v>2</v>
      </c>
    </row>
    <row r="776" spans="1:4" x14ac:dyDescent="0.3">
      <c r="A776" s="346">
        <v>44973</v>
      </c>
      <c r="B776" s="347">
        <v>53</v>
      </c>
      <c r="C776" s="345">
        <v>188432</v>
      </c>
      <c r="D776" s="350">
        <v>6</v>
      </c>
    </row>
    <row r="777" spans="1:4" x14ac:dyDescent="0.3">
      <c r="A777" s="346">
        <v>44972</v>
      </c>
      <c r="B777" s="347">
        <v>38</v>
      </c>
      <c r="C777" s="345">
        <v>188426</v>
      </c>
      <c r="D777" s="351">
        <v>-4</v>
      </c>
    </row>
    <row r="778" spans="1:4" x14ac:dyDescent="0.3">
      <c r="A778" s="346">
        <v>44971</v>
      </c>
      <c r="B778" s="347">
        <v>32</v>
      </c>
      <c r="C778" s="345">
        <v>188430</v>
      </c>
      <c r="D778" s="350">
        <v>12</v>
      </c>
    </row>
    <row r="779" spans="1:4" x14ac:dyDescent="0.3">
      <c r="A779" s="346">
        <v>44970</v>
      </c>
      <c r="B779" s="347">
        <v>36</v>
      </c>
      <c r="C779" s="345">
        <v>188418</v>
      </c>
      <c r="D779" s="351">
        <v>3</v>
      </c>
    </row>
    <row r="780" spans="1:4" x14ac:dyDescent="0.3">
      <c r="A780" s="346">
        <v>44969</v>
      </c>
      <c r="B780" s="347">
        <v>80</v>
      </c>
      <c r="C780" s="345">
        <v>188415</v>
      </c>
      <c r="D780" s="350">
        <v>33</v>
      </c>
    </row>
    <row r="781" spans="1:4" x14ac:dyDescent="0.3">
      <c r="A781" s="346">
        <v>44968</v>
      </c>
      <c r="B781" s="347">
        <v>42</v>
      </c>
      <c r="C781" s="345">
        <v>188382</v>
      </c>
      <c r="D781" s="351">
        <v>1</v>
      </c>
    </row>
    <row r="782" spans="1:4" x14ac:dyDescent="0.3">
      <c r="A782" s="346">
        <v>44967</v>
      </c>
      <c r="B782" s="347">
        <v>59</v>
      </c>
      <c r="C782" s="345">
        <v>188381</v>
      </c>
      <c r="D782" s="350">
        <v>13</v>
      </c>
    </row>
    <row r="783" spans="1:4" x14ac:dyDescent="0.3">
      <c r="A783" s="346">
        <v>44966</v>
      </c>
      <c r="B783" s="347">
        <v>55</v>
      </c>
      <c r="C783" s="345">
        <v>188368</v>
      </c>
      <c r="D783" s="351">
        <v>8</v>
      </c>
    </row>
    <row r="784" spans="1:4" x14ac:dyDescent="0.3">
      <c r="A784" s="346">
        <v>44965</v>
      </c>
      <c r="B784" s="347">
        <v>47</v>
      </c>
      <c r="C784" s="345">
        <v>188360</v>
      </c>
      <c r="D784" s="350">
        <v>9</v>
      </c>
    </row>
    <row r="785" spans="1:4" x14ac:dyDescent="0.3">
      <c r="A785" s="346">
        <v>44964</v>
      </c>
      <c r="B785" s="347">
        <v>45</v>
      </c>
      <c r="C785" s="345">
        <v>188351</v>
      </c>
      <c r="D785" s="351">
        <v>10</v>
      </c>
    </row>
    <row r="786" spans="1:4" x14ac:dyDescent="0.3">
      <c r="A786" s="346">
        <v>44963</v>
      </c>
      <c r="B786" s="347">
        <v>59</v>
      </c>
      <c r="C786" s="345">
        <v>188341</v>
      </c>
      <c r="D786" s="350">
        <v>10</v>
      </c>
    </row>
    <row r="787" spans="1:4" x14ac:dyDescent="0.3">
      <c r="A787" s="346">
        <v>44962</v>
      </c>
      <c r="B787" s="347">
        <v>56</v>
      </c>
      <c r="C787" s="345">
        <v>188331</v>
      </c>
      <c r="D787" s="351">
        <v>20</v>
      </c>
    </row>
    <row r="788" spans="1:4" x14ac:dyDescent="0.3">
      <c r="A788" s="346">
        <v>44961</v>
      </c>
      <c r="B788" s="347">
        <v>97</v>
      </c>
      <c r="C788" s="345">
        <v>188311</v>
      </c>
      <c r="D788" s="350">
        <v>70</v>
      </c>
    </row>
    <row r="789" spans="1:4" x14ac:dyDescent="0.3">
      <c r="A789" s="346">
        <v>44960</v>
      </c>
      <c r="B789" s="347">
        <v>55</v>
      </c>
      <c r="C789" s="345">
        <v>188241</v>
      </c>
      <c r="D789" s="351">
        <v>3</v>
      </c>
    </row>
    <row r="790" spans="1:4" x14ac:dyDescent="0.3">
      <c r="A790" s="346">
        <v>44959</v>
      </c>
      <c r="B790" s="347">
        <v>52</v>
      </c>
      <c r="C790" s="345">
        <v>188238</v>
      </c>
      <c r="D790" s="350">
        <v>16</v>
      </c>
    </row>
    <row r="791" spans="1:4" x14ac:dyDescent="0.3">
      <c r="A791" s="346">
        <v>44958</v>
      </c>
      <c r="B791" s="347">
        <v>57</v>
      </c>
      <c r="C791" s="345">
        <v>188222</v>
      </c>
      <c r="D791" s="351">
        <v>26</v>
      </c>
    </row>
    <row r="792" spans="1:4" x14ac:dyDescent="0.3">
      <c r="A792" s="346">
        <v>44957</v>
      </c>
      <c r="B792" s="347">
        <v>67</v>
      </c>
      <c r="C792" s="345">
        <v>188196</v>
      </c>
      <c r="D792" s="350">
        <v>40</v>
      </c>
    </row>
    <row r="793" spans="1:4" x14ac:dyDescent="0.3">
      <c r="A793" s="346">
        <v>44956</v>
      </c>
      <c r="B793" s="347">
        <v>52</v>
      </c>
      <c r="C793" s="345">
        <v>188156</v>
      </c>
      <c r="D793" s="351">
        <v>-1</v>
      </c>
    </row>
    <row r="794" spans="1:4" x14ac:dyDescent="0.3">
      <c r="A794" s="346">
        <v>44955</v>
      </c>
      <c r="B794" s="347">
        <v>54</v>
      </c>
      <c r="C794" s="345">
        <v>188157</v>
      </c>
      <c r="D794" s="350">
        <v>23</v>
      </c>
    </row>
    <row r="795" spans="1:4" x14ac:dyDescent="0.3">
      <c r="A795" s="346">
        <v>44954</v>
      </c>
      <c r="B795" s="347">
        <v>47</v>
      </c>
      <c r="C795" s="345">
        <v>188134</v>
      </c>
      <c r="D795" s="351">
        <v>17</v>
      </c>
    </row>
    <row r="796" spans="1:4" x14ac:dyDescent="0.3">
      <c r="A796" s="346">
        <v>44953</v>
      </c>
      <c r="B796" s="347">
        <v>56</v>
      </c>
      <c r="C796" s="345">
        <v>188117</v>
      </c>
      <c r="D796" s="350">
        <v>20</v>
      </c>
    </row>
    <row r="797" spans="1:4" x14ac:dyDescent="0.3">
      <c r="A797" s="346">
        <v>44952</v>
      </c>
      <c r="B797" s="347">
        <v>55</v>
      </c>
      <c r="C797" s="345">
        <v>188097</v>
      </c>
      <c r="D797" s="351">
        <v>21</v>
      </c>
    </row>
    <row r="798" spans="1:4" x14ac:dyDescent="0.3">
      <c r="A798" s="346">
        <v>44951</v>
      </c>
      <c r="B798" s="347">
        <v>58</v>
      </c>
      <c r="C798" s="345">
        <v>188076</v>
      </c>
      <c r="D798" s="350">
        <v>35</v>
      </c>
    </row>
    <row r="799" spans="1:4" x14ac:dyDescent="0.3">
      <c r="A799" s="346">
        <v>44950</v>
      </c>
      <c r="B799" s="347">
        <v>50</v>
      </c>
      <c r="C799" s="345">
        <v>188041</v>
      </c>
      <c r="D799" s="351">
        <v>18</v>
      </c>
    </row>
    <row r="800" spans="1:4" x14ac:dyDescent="0.3">
      <c r="A800" s="346">
        <v>44949</v>
      </c>
      <c r="B800" s="347">
        <v>56</v>
      </c>
      <c r="C800" s="345">
        <v>188023</v>
      </c>
      <c r="D800" s="350">
        <v>25</v>
      </c>
    </row>
    <row r="801" spans="1:4" x14ac:dyDescent="0.3">
      <c r="A801" s="346">
        <v>44948</v>
      </c>
      <c r="B801" s="347">
        <v>85</v>
      </c>
      <c r="C801" s="345">
        <v>187998</v>
      </c>
      <c r="D801" s="351">
        <v>58</v>
      </c>
    </row>
    <row r="802" spans="1:4" x14ac:dyDescent="0.3">
      <c r="A802" s="346">
        <v>44947</v>
      </c>
      <c r="B802" s="347">
        <v>54</v>
      </c>
      <c r="C802" s="345">
        <v>187940</v>
      </c>
      <c r="D802" s="350">
        <v>34</v>
      </c>
    </row>
    <row r="803" spans="1:4" x14ac:dyDescent="0.3">
      <c r="A803" s="346">
        <v>44946</v>
      </c>
      <c r="B803" s="347">
        <v>38</v>
      </c>
      <c r="C803" s="345">
        <v>187906</v>
      </c>
      <c r="D803" s="351">
        <v>26</v>
      </c>
    </row>
    <row r="804" spans="1:4" x14ac:dyDescent="0.3">
      <c r="A804" s="346">
        <v>44945</v>
      </c>
      <c r="B804" s="347">
        <v>45</v>
      </c>
      <c r="C804" s="345">
        <v>187880</v>
      </c>
      <c r="D804" s="350">
        <v>19</v>
      </c>
    </row>
    <row r="805" spans="1:4" x14ac:dyDescent="0.3">
      <c r="A805" s="346">
        <v>44944</v>
      </c>
      <c r="B805" s="347">
        <v>35</v>
      </c>
      <c r="C805" s="345">
        <v>187861</v>
      </c>
      <c r="D805" s="351">
        <v>4</v>
      </c>
    </row>
    <row r="806" spans="1:4" x14ac:dyDescent="0.3">
      <c r="A806" s="346">
        <v>44943</v>
      </c>
      <c r="B806" s="347">
        <v>41</v>
      </c>
      <c r="C806" s="345">
        <v>187857</v>
      </c>
      <c r="D806" s="350">
        <v>14</v>
      </c>
    </row>
    <row r="807" spans="1:4" x14ac:dyDescent="0.3">
      <c r="A807" s="346">
        <v>44942</v>
      </c>
      <c r="B807" s="347">
        <v>112</v>
      </c>
      <c r="C807" s="345">
        <v>187843</v>
      </c>
      <c r="D807" s="351">
        <v>95</v>
      </c>
    </row>
    <row r="808" spans="1:4" x14ac:dyDescent="0.3">
      <c r="A808" s="346">
        <v>44941</v>
      </c>
      <c r="B808" s="347">
        <v>45</v>
      </c>
      <c r="C808" s="345">
        <v>187748</v>
      </c>
      <c r="D808" s="350">
        <v>11</v>
      </c>
    </row>
    <row r="809" spans="1:4" x14ac:dyDescent="0.3">
      <c r="A809" s="346">
        <v>44940</v>
      </c>
      <c r="B809" s="347">
        <v>54</v>
      </c>
      <c r="C809" s="345">
        <v>187737</v>
      </c>
      <c r="D809" s="351">
        <v>19</v>
      </c>
    </row>
    <row r="810" spans="1:4" x14ac:dyDescent="0.3">
      <c r="A810" s="346">
        <v>44939</v>
      </c>
      <c r="B810" s="347">
        <v>52</v>
      </c>
      <c r="C810" s="345">
        <v>187718</v>
      </c>
      <c r="D810" s="350">
        <v>13</v>
      </c>
    </row>
    <row r="811" spans="1:4" x14ac:dyDescent="0.3">
      <c r="A811" s="346">
        <v>44938</v>
      </c>
      <c r="B811" s="347">
        <v>46</v>
      </c>
      <c r="C811" s="345">
        <v>187705</v>
      </c>
      <c r="D811" s="351">
        <v>14</v>
      </c>
    </row>
    <row r="812" spans="1:4" x14ac:dyDescent="0.3">
      <c r="A812" s="346">
        <v>44937</v>
      </c>
      <c r="B812" s="347">
        <v>61</v>
      </c>
      <c r="C812" s="345">
        <v>187691</v>
      </c>
      <c r="D812" s="350">
        <v>35</v>
      </c>
    </row>
    <row r="813" spans="1:4" x14ac:dyDescent="0.3">
      <c r="A813" s="346">
        <v>44936</v>
      </c>
      <c r="B813" s="347">
        <v>45</v>
      </c>
      <c r="C813" s="345">
        <v>187656</v>
      </c>
      <c r="D813" s="351">
        <v>-1</v>
      </c>
    </row>
    <row r="814" spans="1:4" x14ac:dyDescent="0.3">
      <c r="A814" s="346">
        <v>44935</v>
      </c>
      <c r="B814" s="347">
        <v>58</v>
      </c>
      <c r="C814" s="345">
        <v>187657</v>
      </c>
      <c r="D814" s="350">
        <v>18</v>
      </c>
    </row>
    <row r="815" spans="1:4" x14ac:dyDescent="0.3">
      <c r="A815" s="346">
        <v>44934</v>
      </c>
      <c r="B815" s="347">
        <v>2270</v>
      </c>
      <c r="C815" s="345">
        <v>187639</v>
      </c>
      <c r="D815" s="351">
        <v>2221</v>
      </c>
    </row>
    <row r="816" spans="1:4" x14ac:dyDescent="0.3">
      <c r="A816" s="346">
        <v>44933</v>
      </c>
      <c r="B816" s="347">
        <v>200</v>
      </c>
      <c r="C816" s="345">
        <v>185418</v>
      </c>
      <c r="D816" s="350">
        <v>157</v>
      </c>
    </row>
    <row r="817" spans="1:4" x14ac:dyDescent="0.3">
      <c r="A817" s="346">
        <v>44932</v>
      </c>
      <c r="B817" s="347">
        <v>767</v>
      </c>
      <c r="C817" s="345">
        <v>185261</v>
      </c>
      <c r="D817" s="351">
        <v>722</v>
      </c>
    </row>
    <row r="818" spans="1:4" x14ac:dyDescent="0.3">
      <c r="A818" s="346">
        <v>44931</v>
      </c>
      <c r="B818" s="347">
        <v>58</v>
      </c>
      <c r="C818" s="345">
        <v>184539</v>
      </c>
      <c r="D818" s="350">
        <v>33</v>
      </c>
    </row>
    <row r="819" spans="1:4" x14ac:dyDescent="0.3">
      <c r="A819" s="346">
        <v>44930</v>
      </c>
      <c r="B819" s="347">
        <v>77</v>
      </c>
      <c r="C819" s="345">
        <v>184506</v>
      </c>
      <c r="D819" s="351">
        <v>28</v>
      </c>
    </row>
    <row r="820" spans="1:4" x14ac:dyDescent="0.3">
      <c r="A820" s="346">
        <v>44929</v>
      </c>
      <c r="B820" s="347">
        <v>63</v>
      </c>
      <c r="C820" s="345">
        <v>184478</v>
      </c>
      <c r="D820" s="350">
        <v>32</v>
      </c>
    </row>
    <row r="821" spans="1:4" x14ac:dyDescent="0.3">
      <c r="A821" s="346">
        <v>44928</v>
      </c>
      <c r="B821" s="347">
        <v>56</v>
      </c>
      <c r="C821" s="345">
        <v>184446</v>
      </c>
      <c r="D821" s="351">
        <v>22</v>
      </c>
    </row>
    <row r="822" spans="1:4" x14ac:dyDescent="0.3">
      <c r="A822" s="346">
        <v>44927</v>
      </c>
      <c r="B822" s="347">
        <v>53</v>
      </c>
      <c r="C822" s="345">
        <v>184424</v>
      </c>
      <c r="D822" s="350">
        <v>9</v>
      </c>
    </row>
    <row r="823" spans="1:4" x14ac:dyDescent="0.3">
      <c r="A823" s="346">
        <v>44926</v>
      </c>
      <c r="B823" s="347">
        <v>138</v>
      </c>
      <c r="C823" s="345">
        <v>184415</v>
      </c>
      <c r="D823" s="351">
        <v>112</v>
      </c>
    </row>
    <row r="824" spans="1:4" x14ac:dyDescent="0.3">
      <c r="A824" s="346">
        <v>44925</v>
      </c>
      <c r="B824" s="347">
        <v>39</v>
      </c>
      <c r="C824" s="345">
        <v>184303</v>
      </c>
      <c r="D824" s="350">
        <v>-4</v>
      </c>
    </row>
    <row r="825" spans="1:4" x14ac:dyDescent="0.3">
      <c r="A825" s="346">
        <v>44924</v>
      </c>
      <c r="B825" s="347">
        <v>77</v>
      </c>
      <c r="C825" s="345">
        <v>184307</v>
      </c>
      <c r="D825" s="351">
        <v>44</v>
      </c>
    </row>
    <row r="826" spans="1:4" x14ac:dyDescent="0.3">
      <c r="A826" s="346">
        <v>44923</v>
      </c>
      <c r="B826" s="347">
        <v>88</v>
      </c>
      <c r="C826" s="345">
        <v>184263</v>
      </c>
      <c r="D826" s="350">
        <v>39</v>
      </c>
    </row>
    <row r="827" spans="1:4" x14ac:dyDescent="0.3">
      <c r="A827" s="346">
        <v>44922</v>
      </c>
      <c r="B827" s="347">
        <v>784</v>
      </c>
      <c r="C827" s="345">
        <v>184224</v>
      </c>
      <c r="D827" s="351">
        <v>743</v>
      </c>
    </row>
    <row r="828" spans="1:4" x14ac:dyDescent="0.3">
      <c r="A828" s="346">
        <v>44921</v>
      </c>
      <c r="B828" s="347">
        <v>157</v>
      </c>
      <c r="C828" s="345">
        <v>183481</v>
      </c>
      <c r="D828" s="350">
        <v>114</v>
      </c>
    </row>
    <row r="829" spans="1:4" x14ac:dyDescent="0.3">
      <c r="A829" s="346">
        <v>44920</v>
      </c>
      <c r="B829" s="347">
        <v>120</v>
      </c>
      <c r="C829" s="345">
        <v>183367</v>
      </c>
      <c r="D829" s="351">
        <v>100</v>
      </c>
    </row>
    <row r="830" spans="1:4" x14ac:dyDescent="0.3">
      <c r="A830" s="346">
        <v>44919</v>
      </c>
      <c r="B830" s="347">
        <v>157</v>
      </c>
      <c r="C830" s="345">
        <v>183267</v>
      </c>
      <c r="D830" s="350">
        <v>132</v>
      </c>
    </row>
    <row r="831" spans="1:4" x14ac:dyDescent="0.3">
      <c r="A831" s="346">
        <v>44918</v>
      </c>
      <c r="B831" s="347">
        <v>95</v>
      </c>
      <c r="C831" s="345">
        <v>183135</v>
      </c>
      <c r="D831" s="351">
        <v>78</v>
      </c>
    </row>
    <row r="832" spans="1:4" x14ac:dyDescent="0.3">
      <c r="A832" s="346">
        <v>44917</v>
      </c>
      <c r="B832" s="347">
        <v>91</v>
      </c>
      <c r="C832" s="345">
        <v>183057</v>
      </c>
      <c r="D832" s="350">
        <v>61</v>
      </c>
    </row>
    <row r="833" spans="1:4" x14ac:dyDescent="0.3">
      <c r="A833" s="346">
        <v>44916</v>
      </c>
      <c r="B833" s="347">
        <v>93</v>
      </c>
      <c r="C833" s="345">
        <v>182996</v>
      </c>
      <c r="D833" s="351">
        <v>62</v>
      </c>
    </row>
    <row r="834" spans="1:4" x14ac:dyDescent="0.3">
      <c r="A834" s="346">
        <v>44915</v>
      </c>
      <c r="B834" s="347">
        <v>99</v>
      </c>
      <c r="C834" s="345">
        <v>182934</v>
      </c>
      <c r="D834" s="350">
        <v>74</v>
      </c>
    </row>
    <row r="835" spans="1:4" x14ac:dyDescent="0.3">
      <c r="A835" s="346">
        <v>44914</v>
      </c>
      <c r="B835" s="347">
        <v>85</v>
      </c>
      <c r="C835" s="345">
        <v>182860</v>
      </c>
      <c r="D835" s="351">
        <v>60</v>
      </c>
    </row>
    <row r="836" spans="1:4" x14ac:dyDescent="0.3">
      <c r="A836" s="346">
        <v>44913</v>
      </c>
      <c r="B836" s="347">
        <v>92</v>
      </c>
      <c r="C836" s="345">
        <v>182800</v>
      </c>
      <c r="D836" s="350">
        <v>76</v>
      </c>
    </row>
    <row r="837" spans="1:4" x14ac:dyDescent="0.3">
      <c r="A837" s="346">
        <v>44912</v>
      </c>
      <c r="B837" s="347">
        <v>94</v>
      </c>
      <c r="C837" s="345">
        <v>182724</v>
      </c>
      <c r="D837" s="351">
        <v>59</v>
      </c>
    </row>
    <row r="838" spans="1:4" x14ac:dyDescent="0.3">
      <c r="A838" s="346">
        <v>44911</v>
      </c>
      <c r="B838" s="347">
        <v>94</v>
      </c>
      <c r="C838" s="345">
        <v>182665</v>
      </c>
      <c r="D838" s="350">
        <v>59</v>
      </c>
    </row>
    <row r="839" spans="1:4" x14ac:dyDescent="0.3">
      <c r="A839" s="346">
        <v>44910</v>
      </c>
      <c r="B839" s="347">
        <v>85</v>
      </c>
      <c r="C839" s="345">
        <v>182606</v>
      </c>
      <c r="D839" s="351">
        <v>53</v>
      </c>
    </row>
    <row r="840" spans="1:4" x14ac:dyDescent="0.3">
      <c r="A840" s="346">
        <v>44909</v>
      </c>
      <c r="B840" s="347">
        <v>44</v>
      </c>
      <c r="C840" s="345">
        <v>182553</v>
      </c>
      <c r="D840" s="350">
        <v>15</v>
      </c>
    </row>
    <row r="841" spans="1:4" x14ac:dyDescent="0.3">
      <c r="A841" s="346">
        <v>44908</v>
      </c>
      <c r="B841" s="347">
        <v>36</v>
      </c>
      <c r="C841" s="345">
        <v>182538</v>
      </c>
      <c r="D841" s="351">
        <v>-3</v>
      </c>
    </row>
    <row r="842" spans="1:4" x14ac:dyDescent="0.3">
      <c r="A842" s="346">
        <v>44907</v>
      </c>
      <c r="B842" s="347">
        <v>65</v>
      </c>
      <c r="C842" s="345">
        <v>182541</v>
      </c>
      <c r="D842" s="350">
        <v>23</v>
      </c>
    </row>
    <row r="843" spans="1:4" x14ac:dyDescent="0.3">
      <c r="A843" s="346">
        <v>44906</v>
      </c>
      <c r="B843" s="347">
        <v>66</v>
      </c>
      <c r="C843" s="345">
        <v>182518</v>
      </c>
      <c r="D843" s="351">
        <v>19</v>
      </c>
    </row>
    <row r="844" spans="1:4" x14ac:dyDescent="0.3">
      <c r="A844" s="346">
        <v>44905</v>
      </c>
      <c r="B844" s="347">
        <v>49</v>
      </c>
      <c r="C844" s="345">
        <v>182499</v>
      </c>
      <c r="D844" s="350">
        <v>12</v>
      </c>
    </row>
    <row r="845" spans="1:4" x14ac:dyDescent="0.3">
      <c r="A845" s="346">
        <v>44904</v>
      </c>
      <c r="B845" s="347">
        <v>55</v>
      </c>
      <c r="C845" s="345">
        <v>182487</v>
      </c>
      <c r="D845" s="351">
        <v>25</v>
      </c>
    </row>
    <row r="846" spans="1:4" x14ac:dyDescent="0.3">
      <c r="A846" s="346">
        <v>44903</v>
      </c>
      <c r="B846" s="347">
        <v>59</v>
      </c>
      <c r="C846" s="345">
        <v>182462</v>
      </c>
      <c r="D846" s="350">
        <v>6</v>
      </c>
    </row>
    <row r="847" spans="1:4" x14ac:dyDescent="0.3">
      <c r="A847" s="346">
        <v>44902</v>
      </c>
      <c r="B847" s="347">
        <v>60</v>
      </c>
      <c r="C847" s="345">
        <v>182456</v>
      </c>
      <c r="D847" s="351">
        <v>29</v>
      </c>
    </row>
    <row r="848" spans="1:4" x14ac:dyDescent="0.3">
      <c r="A848" s="346">
        <v>44901</v>
      </c>
      <c r="B848" s="347">
        <v>62</v>
      </c>
      <c r="C848" s="345">
        <v>182427</v>
      </c>
      <c r="D848" s="350">
        <v>29</v>
      </c>
    </row>
    <row r="849" spans="1:4" x14ac:dyDescent="0.3">
      <c r="A849" s="346">
        <v>44900</v>
      </c>
      <c r="B849" s="347">
        <v>50</v>
      </c>
      <c r="C849" s="345">
        <v>182398</v>
      </c>
      <c r="D849" s="351">
        <v>13</v>
      </c>
    </row>
    <row r="850" spans="1:4" x14ac:dyDescent="0.3">
      <c r="A850" s="346">
        <v>44899</v>
      </c>
      <c r="B850" s="347">
        <v>79</v>
      </c>
      <c r="C850" s="345">
        <v>182385</v>
      </c>
      <c r="D850" s="350">
        <v>21</v>
      </c>
    </row>
    <row r="851" spans="1:4" x14ac:dyDescent="0.3">
      <c r="A851" s="346">
        <v>44898</v>
      </c>
      <c r="B851" s="347">
        <v>56</v>
      </c>
      <c r="C851" s="345">
        <v>182364</v>
      </c>
      <c r="D851" s="351">
        <v>16</v>
      </c>
    </row>
    <row r="852" spans="1:4" x14ac:dyDescent="0.3">
      <c r="A852" s="346">
        <v>44897</v>
      </c>
      <c r="B852" s="347">
        <v>38</v>
      </c>
      <c r="C852" s="345">
        <v>182348</v>
      </c>
      <c r="D852" s="350">
        <v>15</v>
      </c>
    </row>
    <row r="853" spans="1:4" x14ac:dyDescent="0.3">
      <c r="A853" s="346">
        <v>44896</v>
      </c>
      <c r="B853" s="347">
        <v>59</v>
      </c>
      <c r="C853" s="345">
        <v>182333</v>
      </c>
      <c r="D853" s="351">
        <v>16</v>
      </c>
    </row>
    <row r="854" spans="1:4" x14ac:dyDescent="0.3">
      <c r="A854" s="346">
        <v>44895</v>
      </c>
      <c r="B854" s="347">
        <v>46</v>
      </c>
      <c r="C854" s="345">
        <v>182317</v>
      </c>
      <c r="D854" s="350">
        <v>-3</v>
      </c>
    </row>
    <row r="855" spans="1:4" x14ac:dyDescent="0.3">
      <c r="A855" s="346">
        <v>44894</v>
      </c>
      <c r="B855" s="347">
        <v>61</v>
      </c>
      <c r="C855" s="345">
        <v>182320</v>
      </c>
      <c r="D855" s="351">
        <v>10</v>
      </c>
    </row>
    <row r="856" spans="1:4" x14ac:dyDescent="0.3">
      <c r="A856" s="346">
        <v>44893</v>
      </c>
      <c r="B856" s="347">
        <v>59</v>
      </c>
      <c r="C856" s="345">
        <v>182310</v>
      </c>
      <c r="D856" s="350">
        <v>30</v>
      </c>
    </row>
    <row r="857" spans="1:4" x14ac:dyDescent="0.3">
      <c r="A857" s="346">
        <v>44892</v>
      </c>
      <c r="B857" s="347">
        <v>67</v>
      </c>
      <c r="C857" s="345">
        <v>182280</v>
      </c>
      <c r="D857" s="351">
        <v>17</v>
      </c>
    </row>
    <row r="858" spans="1:4" x14ac:dyDescent="0.3">
      <c r="A858" s="346">
        <v>44891</v>
      </c>
      <c r="B858" s="347">
        <v>53</v>
      </c>
      <c r="C858" s="345">
        <v>182263</v>
      </c>
      <c r="D858" s="350">
        <v>-9</v>
      </c>
    </row>
    <row r="859" spans="1:4" x14ac:dyDescent="0.3">
      <c r="A859" s="346">
        <v>44890</v>
      </c>
      <c r="B859" s="347">
        <v>49</v>
      </c>
      <c r="C859" s="345">
        <v>182272</v>
      </c>
      <c r="D859" s="351">
        <v>3</v>
      </c>
    </row>
    <row r="860" spans="1:4" x14ac:dyDescent="0.3">
      <c r="A860" s="346">
        <v>44889</v>
      </c>
      <c r="B860" s="347">
        <v>64</v>
      </c>
      <c r="C860" s="345">
        <v>182269</v>
      </c>
      <c r="D860" s="350">
        <v>23</v>
      </c>
    </row>
    <row r="861" spans="1:4" x14ac:dyDescent="0.3">
      <c r="A861" s="346">
        <v>44888</v>
      </c>
      <c r="B861" s="347">
        <v>292</v>
      </c>
      <c r="C861" s="345">
        <v>182246</v>
      </c>
      <c r="D861" s="351">
        <v>220</v>
      </c>
    </row>
    <row r="862" spans="1:4" x14ac:dyDescent="0.3">
      <c r="A862" s="346">
        <v>44887</v>
      </c>
      <c r="B862" s="347">
        <v>201</v>
      </c>
      <c r="C862" s="345">
        <v>182026</v>
      </c>
      <c r="D862" s="350">
        <v>140</v>
      </c>
    </row>
    <row r="863" spans="1:4" x14ac:dyDescent="0.3">
      <c r="A863" s="346">
        <v>44886</v>
      </c>
      <c r="B863" s="347">
        <v>186</v>
      </c>
      <c r="C863" s="345">
        <v>181886</v>
      </c>
      <c r="D863" s="351">
        <v>136</v>
      </c>
    </row>
    <row r="864" spans="1:4" x14ac:dyDescent="0.3">
      <c r="A864" s="346">
        <v>44885</v>
      </c>
      <c r="B864" s="347">
        <v>163</v>
      </c>
      <c r="C864" s="345">
        <v>181750</v>
      </c>
      <c r="D864" s="350">
        <v>105</v>
      </c>
    </row>
    <row r="865" spans="1:4" x14ac:dyDescent="0.3">
      <c r="A865" s="346">
        <v>44884</v>
      </c>
      <c r="B865" s="347">
        <v>70</v>
      </c>
      <c r="C865" s="345">
        <v>181645</v>
      </c>
      <c r="D865" s="351">
        <v>19</v>
      </c>
    </row>
    <row r="866" spans="1:4" x14ac:dyDescent="0.3">
      <c r="A866" s="346">
        <v>44883</v>
      </c>
      <c r="B866" s="347">
        <v>51</v>
      </c>
      <c r="C866" s="345">
        <v>181626</v>
      </c>
      <c r="D866" s="350">
        <v>13</v>
      </c>
    </row>
    <row r="867" spans="1:4" x14ac:dyDescent="0.3">
      <c r="A867" s="346">
        <v>44882</v>
      </c>
      <c r="B867" s="347">
        <v>49</v>
      </c>
      <c r="C867" s="345">
        <v>181613</v>
      </c>
      <c r="D867" s="351">
        <v>8</v>
      </c>
    </row>
    <row r="868" spans="1:4" x14ac:dyDescent="0.3">
      <c r="A868" s="346">
        <v>44881</v>
      </c>
      <c r="B868" s="347">
        <v>56</v>
      </c>
      <c r="C868" s="345">
        <v>181605</v>
      </c>
      <c r="D868" s="350">
        <v>15</v>
      </c>
    </row>
    <row r="869" spans="1:4" x14ac:dyDescent="0.3">
      <c r="A869" s="346">
        <v>44880</v>
      </c>
      <c r="B869" s="347">
        <v>56</v>
      </c>
      <c r="C869" s="345">
        <v>181590</v>
      </c>
      <c r="D869" s="351">
        <v>12</v>
      </c>
    </row>
    <row r="870" spans="1:4" x14ac:dyDescent="0.3">
      <c r="A870" s="346">
        <v>44879</v>
      </c>
      <c r="B870" s="347">
        <v>61</v>
      </c>
      <c r="C870" s="345">
        <v>181578</v>
      </c>
      <c r="D870" s="350">
        <v>3</v>
      </c>
    </row>
    <row r="871" spans="1:4" x14ac:dyDescent="0.3">
      <c r="A871" s="346">
        <v>44878</v>
      </c>
      <c r="B871" s="347">
        <v>76</v>
      </c>
      <c r="C871" s="345">
        <v>181575</v>
      </c>
      <c r="D871" s="351">
        <v>24</v>
      </c>
    </row>
    <row r="872" spans="1:4" x14ac:dyDescent="0.3">
      <c r="A872" s="346">
        <v>44877</v>
      </c>
      <c r="B872" s="347">
        <v>89</v>
      </c>
      <c r="C872" s="345">
        <v>181551</v>
      </c>
      <c r="D872" s="350">
        <v>19</v>
      </c>
    </row>
    <row r="873" spans="1:4" x14ac:dyDescent="0.3">
      <c r="A873" s="346">
        <v>44876</v>
      </c>
      <c r="B873" s="347">
        <v>127</v>
      </c>
      <c r="C873" s="345">
        <v>181532</v>
      </c>
      <c r="D873" s="351">
        <v>36</v>
      </c>
    </row>
    <row r="874" spans="1:4" x14ac:dyDescent="0.3">
      <c r="A874" s="346">
        <v>44875</v>
      </c>
      <c r="B874" s="347">
        <v>96</v>
      </c>
      <c r="C874" s="345">
        <v>181496</v>
      </c>
      <c r="D874" s="350">
        <v>9</v>
      </c>
    </row>
    <row r="875" spans="1:4" x14ac:dyDescent="0.3">
      <c r="A875" s="346">
        <v>44874</v>
      </c>
      <c r="B875" s="347">
        <v>82</v>
      </c>
      <c r="C875" s="345">
        <v>181487</v>
      </c>
      <c r="D875" s="351">
        <v>36</v>
      </c>
    </row>
    <row r="876" spans="1:4" x14ac:dyDescent="0.3">
      <c r="A876" s="346">
        <v>44873</v>
      </c>
      <c r="B876" s="347">
        <v>72</v>
      </c>
      <c r="C876" s="345">
        <v>181451</v>
      </c>
      <c r="D876" s="350">
        <v>19</v>
      </c>
    </row>
    <row r="877" spans="1:4" x14ac:dyDescent="0.3">
      <c r="A877" s="346">
        <v>44872</v>
      </c>
      <c r="B877" s="347">
        <v>68</v>
      </c>
      <c r="C877" s="345">
        <v>181432</v>
      </c>
      <c r="D877" s="351">
        <v>6</v>
      </c>
    </row>
    <row r="878" spans="1:4" x14ac:dyDescent="0.3">
      <c r="A878" s="346">
        <v>44871</v>
      </c>
      <c r="B878" s="347">
        <v>74</v>
      </c>
      <c r="C878" s="345">
        <v>181426</v>
      </c>
      <c r="D878" s="350">
        <v>29</v>
      </c>
    </row>
    <row r="879" spans="1:4" x14ac:dyDescent="0.3">
      <c r="A879" s="346">
        <v>44870</v>
      </c>
      <c r="B879" s="347">
        <v>79</v>
      </c>
      <c r="C879" s="345">
        <v>181397</v>
      </c>
      <c r="D879" s="351">
        <v>8</v>
      </c>
    </row>
    <row r="880" spans="1:4" x14ac:dyDescent="0.3">
      <c r="A880" s="346">
        <v>44869</v>
      </c>
      <c r="B880" s="347">
        <v>85</v>
      </c>
      <c r="C880" s="345">
        <v>181389</v>
      </c>
      <c r="D880" s="350">
        <v>-5</v>
      </c>
    </row>
    <row r="881" spans="1:4" x14ac:dyDescent="0.3">
      <c r="A881" s="346">
        <v>44868</v>
      </c>
      <c r="B881" s="347">
        <v>69</v>
      </c>
      <c r="C881" s="345">
        <v>181394</v>
      </c>
      <c r="D881" s="351">
        <v>-1</v>
      </c>
    </row>
    <row r="882" spans="1:4" x14ac:dyDescent="0.3">
      <c r="A882" s="346">
        <v>44867</v>
      </c>
      <c r="B882" s="347">
        <v>53</v>
      </c>
      <c r="C882" s="345">
        <v>181395</v>
      </c>
      <c r="D882" s="350">
        <v>-9</v>
      </c>
    </row>
    <row r="883" spans="1:4" x14ac:dyDescent="0.3">
      <c r="A883" s="346">
        <v>44866</v>
      </c>
      <c r="B883" s="347">
        <v>77</v>
      </c>
      <c r="C883" s="345">
        <v>181404</v>
      </c>
      <c r="D883" s="351">
        <v>-7</v>
      </c>
    </row>
    <row r="884" spans="1:4" x14ac:dyDescent="0.3">
      <c r="A884" s="346">
        <v>44865</v>
      </c>
      <c r="B884" s="347">
        <v>78</v>
      </c>
      <c r="C884" s="345">
        <v>181411</v>
      </c>
      <c r="D884" s="350">
        <v>-8</v>
      </c>
    </row>
    <row r="885" spans="1:4" x14ac:dyDescent="0.3">
      <c r="A885" s="346">
        <v>44864</v>
      </c>
      <c r="B885" s="347">
        <v>72</v>
      </c>
      <c r="C885" s="345">
        <v>181419</v>
      </c>
      <c r="D885" s="351">
        <v>1</v>
      </c>
    </row>
    <row r="886" spans="1:4" x14ac:dyDescent="0.3">
      <c r="A886" s="346">
        <v>44863</v>
      </c>
      <c r="B886" s="347">
        <v>84</v>
      </c>
      <c r="C886" s="345">
        <v>181418</v>
      </c>
      <c r="D886" s="350">
        <v>19</v>
      </c>
    </row>
    <row r="887" spans="1:4" x14ac:dyDescent="0.3">
      <c r="A887" s="346">
        <v>44862</v>
      </c>
      <c r="B887" s="347">
        <v>68</v>
      </c>
      <c r="C887" s="345">
        <v>181399</v>
      </c>
      <c r="D887" s="351">
        <v>14</v>
      </c>
    </row>
    <row r="888" spans="1:4" x14ac:dyDescent="0.3">
      <c r="A888" s="346">
        <v>44861</v>
      </c>
      <c r="B888" s="347">
        <v>501</v>
      </c>
      <c r="C888" s="345">
        <v>181385</v>
      </c>
      <c r="D888" s="350">
        <v>432</v>
      </c>
    </row>
    <row r="889" spans="1:4" x14ac:dyDescent="0.3">
      <c r="A889" s="346">
        <v>44860</v>
      </c>
      <c r="B889" s="347">
        <v>214</v>
      </c>
      <c r="C889" s="345">
        <v>180953</v>
      </c>
      <c r="D889" s="351">
        <v>143</v>
      </c>
    </row>
    <row r="890" spans="1:4" x14ac:dyDescent="0.3">
      <c r="A890" s="346">
        <v>44859</v>
      </c>
      <c r="B890" s="347">
        <v>208</v>
      </c>
      <c r="C890" s="345">
        <v>180810</v>
      </c>
      <c r="D890" s="350">
        <v>130</v>
      </c>
    </row>
    <row r="891" spans="1:4" x14ac:dyDescent="0.3">
      <c r="A891" s="346">
        <v>44858</v>
      </c>
      <c r="B891" s="347">
        <v>299</v>
      </c>
      <c r="C891" s="345">
        <v>180680</v>
      </c>
      <c r="D891" s="351">
        <v>217</v>
      </c>
    </row>
    <row r="892" spans="1:4" x14ac:dyDescent="0.3">
      <c r="A892" s="346">
        <v>44857</v>
      </c>
      <c r="B892" s="347">
        <v>137</v>
      </c>
      <c r="C892" s="345">
        <v>180463</v>
      </c>
      <c r="D892" s="350">
        <v>56</v>
      </c>
    </row>
    <row r="893" spans="1:4" x14ac:dyDescent="0.3">
      <c r="A893" s="346">
        <v>44856</v>
      </c>
      <c r="B893" s="347">
        <v>117</v>
      </c>
      <c r="C893" s="345">
        <v>180407</v>
      </c>
      <c r="D893" s="351">
        <v>80</v>
      </c>
    </row>
    <row r="894" spans="1:4" x14ac:dyDescent="0.3">
      <c r="A894" s="346">
        <v>44855</v>
      </c>
      <c r="B894" s="347">
        <v>102</v>
      </c>
      <c r="C894" s="345">
        <v>180327</v>
      </c>
      <c r="D894" s="350">
        <v>55</v>
      </c>
    </row>
    <row r="895" spans="1:4" x14ac:dyDescent="0.3">
      <c r="A895" s="346">
        <v>44854</v>
      </c>
      <c r="B895" s="347">
        <v>100</v>
      </c>
      <c r="C895" s="345">
        <v>180272</v>
      </c>
      <c r="D895" s="351">
        <v>43</v>
      </c>
    </row>
    <row r="896" spans="1:4" x14ac:dyDescent="0.3">
      <c r="A896" s="346">
        <v>44853</v>
      </c>
      <c r="B896" s="347">
        <v>97</v>
      </c>
      <c r="C896" s="345">
        <v>180229</v>
      </c>
      <c r="D896" s="350">
        <v>45</v>
      </c>
    </row>
    <row r="897" spans="1:4" x14ac:dyDescent="0.3">
      <c r="A897" s="346">
        <v>44852</v>
      </c>
      <c r="B897" s="347">
        <v>69</v>
      </c>
      <c r="C897" s="345">
        <v>180184</v>
      </c>
      <c r="D897" s="351">
        <v>24</v>
      </c>
    </row>
    <row r="898" spans="1:4" x14ac:dyDescent="0.3">
      <c r="A898" s="346">
        <v>44851</v>
      </c>
      <c r="B898" s="347">
        <v>82</v>
      </c>
      <c r="C898" s="345">
        <v>180160</v>
      </c>
      <c r="D898" s="350">
        <v>44</v>
      </c>
    </row>
    <row r="899" spans="1:4" x14ac:dyDescent="0.3">
      <c r="A899" s="346">
        <v>44850</v>
      </c>
      <c r="B899" s="347">
        <v>101</v>
      </c>
      <c r="C899" s="345">
        <v>180116</v>
      </c>
      <c r="D899" s="351">
        <v>31</v>
      </c>
    </row>
    <row r="900" spans="1:4" x14ac:dyDescent="0.3">
      <c r="A900" s="346">
        <v>44849</v>
      </c>
      <c r="B900" s="347">
        <v>92</v>
      </c>
      <c r="C900" s="345">
        <v>180085</v>
      </c>
      <c r="D900" s="350">
        <v>46</v>
      </c>
    </row>
    <row r="901" spans="1:4" x14ac:dyDescent="0.3">
      <c r="A901" s="346">
        <v>44848</v>
      </c>
      <c r="B901" s="347">
        <v>67</v>
      </c>
      <c r="C901" s="345">
        <v>180039</v>
      </c>
      <c r="D901" s="351">
        <v>3</v>
      </c>
    </row>
    <row r="902" spans="1:4" x14ac:dyDescent="0.3">
      <c r="A902" s="346">
        <v>44847</v>
      </c>
      <c r="B902" s="347">
        <v>70</v>
      </c>
      <c r="C902" s="345">
        <v>180036</v>
      </c>
      <c r="D902" s="350">
        <v>23</v>
      </c>
    </row>
    <row r="903" spans="1:4" x14ac:dyDescent="0.3">
      <c r="A903" s="346">
        <v>44846</v>
      </c>
      <c r="B903" s="347">
        <v>72</v>
      </c>
      <c r="C903" s="345">
        <v>180013</v>
      </c>
      <c r="D903" s="351">
        <v>28</v>
      </c>
    </row>
    <row r="904" spans="1:4" x14ac:dyDescent="0.3">
      <c r="A904" s="346">
        <v>44845</v>
      </c>
      <c r="B904" s="347">
        <v>80</v>
      </c>
      <c r="C904" s="345">
        <v>179985</v>
      </c>
      <c r="D904" s="350">
        <v>38</v>
      </c>
    </row>
    <row r="905" spans="1:4" x14ac:dyDescent="0.3">
      <c r="A905" s="346">
        <v>44844</v>
      </c>
      <c r="B905" s="347">
        <v>71</v>
      </c>
      <c r="C905" s="345">
        <v>179947</v>
      </c>
      <c r="D905" s="351">
        <v>5</v>
      </c>
    </row>
    <row r="906" spans="1:4" x14ac:dyDescent="0.3">
      <c r="A906" s="346">
        <v>44843</v>
      </c>
      <c r="B906" s="347">
        <v>60</v>
      </c>
      <c r="C906" s="345">
        <v>179942</v>
      </c>
      <c r="D906" s="350">
        <v>17</v>
      </c>
    </row>
    <row r="907" spans="1:4" x14ac:dyDescent="0.3">
      <c r="A907" s="346">
        <v>44842</v>
      </c>
      <c r="B907" s="347">
        <v>60</v>
      </c>
      <c r="C907" s="345">
        <v>179925</v>
      </c>
      <c r="D907" s="351">
        <v>20</v>
      </c>
    </row>
    <row r="908" spans="1:4" x14ac:dyDescent="0.3">
      <c r="A908" s="346">
        <v>44841</v>
      </c>
      <c r="B908" s="347">
        <v>58</v>
      </c>
      <c r="C908" s="345">
        <v>179905</v>
      </c>
      <c r="D908" s="350">
        <v>-14</v>
      </c>
    </row>
    <row r="909" spans="1:4" x14ac:dyDescent="0.3">
      <c r="A909" s="346">
        <v>44840</v>
      </c>
      <c r="B909" s="347">
        <v>69</v>
      </c>
      <c r="C909" s="345">
        <v>179919</v>
      </c>
      <c r="D909" s="351">
        <v>-7</v>
      </c>
    </row>
    <row r="910" spans="1:4" x14ac:dyDescent="0.3">
      <c r="A910" s="346">
        <v>44839</v>
      </c>
      <c r="B910" s="347">
        <v>50</v>
      </c>
      <c r="C910" s="345">
        <v>179926</v>
      </c>
      <c r="D910" s="350">
        <v>-3</v>
      </c>
    </row>
    <row r="911" spans="1:4" x14ac:dyDescent="0.3">
      <c r="A911" s="346">
        <v>44838</v>
      </c>
      <c r="B911" s="347">
        <v>68</v>
      </c>
      <c r="C911" s="345">
        <v>179929</v>
      </c>
      <c r="D911" s="351">
        <v>13</v>
      </c>
    </row>
    <row r="912" spans="1:4" x14ac:dyDescent="0.3">
      <c r="A912" s="346">
        <v>44837</v>
      </c>
      <c r="B912" s="347">
        <v>46</v>
      </c>
      <c r="C912" s="345">
        <v>179916</v>
      </c>
      <c r="D912" s="350">
        <v>5</v>
      </c>
    </row>
    <row r="913" spans="1:4" x14ac:dyDescent="0.3">
      <c r="A913" s="346">
        <v>44836</v>
      </c>
      <c r="B913" s="347">
        <v>47</v>
      </c>
      <c r="C913" s="345">
        <v>179911</v>
      </c>
      <c r="D913" s="351">
        <v>4</v>
      </c>
    </row>
    <row r="914" spans="1:4" x14ac:dyDescent="0.3">
      <c r="A914" s="346">
        <v>44835</v>
      </c>
      <c r="B914" s="347">
        <v>45</v>
      </c>
      <c r="C914" s="345">
        <v>179907</v>
      </c>
      <c r="D914" s="350">
        <v>-12</v>
      </c>
    </row>
    <row r="915" spans="1:4" x14ac:dyDescent="0.3">
      <c r="A915" s="346">
        <v>44834</v>
      </c>
      <c r="B915" s="347">
        <v>44</v>
      </c>
      <c r="C915" s="345">
        <v>179919</v>
      </c>
      <c r="D915" s="351">
        <v>-14</v>
      </c>
    </row>
    <row r="916" spans="1:4" x14ac:dyDescent="0.3">
      <c r="A916" s="346">
        <v>44833</v>
      </c>
      <c r="B916" s="347">
        <v>36</v>
      </c>
      <c r="C916" s="345">
        <v>179933</v>
      </c>
      <c r="D916" s="350">
        <v>-10</v>
      </c>
    </row>
    <row r="917" spans="1:4" x14ac:dyDescent="0.3">
      <c r="A917" s="346">
        <v>44832</v>
      </c>
      <c r="B917" s="347">
        <v>50</v>
      </c>
      <c r="C917" s="345">
        <v>179943</v>
      </c>
      <c r="D917" s="351">
        <v>-1</v>
      </c>
    </row>
    <row r="918" spans="1:4" x14ac:dyDescent="0.3">
      <c r="A918" s="346">
        <v>44831</v>
      </c>
      <c r="B918" s="347">
        <v>37</v>
      </c>
      <c r="C918" s="345">
        <v>179944</v>
      </c>
      <c r="D918" s="350">
        <v>-16</v>
      </c>
    </row>
    <row r="919" spans="1:4" x14ac:dyDescent="0.3">
      <c r="A919" s="346">
        <v>44830</v>
      </c>
      <c r="B919" s="347">
        <v>47</v>
      </c>
      <c r="C919" s="345">
        <v>179960</v>
      </c>
      <c r="D919" s="351">
        <v>-10</v>
      </c>
    </row>
    <row r="920" spans="1:4" x14ac:dyDescent="0.3">
      <c r="A920" s="346">
        <v>44829</v>
      </c>
      <c r="B920" s="347">
        <v>60</v>
      </c>
      <c r="C920" s="345">
        <v>179970</v>
      </c>
      <c r="D920" s="350">
        <v>18</v>
      </c>
    </row>
    <row r="921" spans="1:4" x14ac:dyDescent="0.3">
      <c r="A921" s="346">
        <v>44828</v>
      </c>
      <c r="B921" s="347">
        <v>64</v>
      </c>
      <c r="C921" s="345">
        <v>179952</v>
      </c>
      <c r="D921" s="351">
        <v>-1</v>
      </c>
    </row>
    <row r="922" spans="1:4" x14ac:dyDescent="0.3">
      <c r="A922" s="346">
        <v>44827</v>
      </c>
      <c r="B922" s="347">
        <v>60</v>
      </c>
      <c r="C922" s="345">
        <v>179953</v>
      </c>
      <c r="D922" s="350">
        <v>-11</v>
      </c>
    </row>
    <row r="923" spans="1:4" x14ac:dyDescent="0.3">
      <c r="A923" s="346">
        <v>44826</v>
      </c>
      <c r="B923" s="347">
        <v>45</v>
      </c>
      <c r="C923" s="345">
        <v>179964</v>
      </c>
      <c r="D923" s="351">
        <v>-15</v>
      </c>
    </row>
    <row r="924" spans="1:4" x14ac:dyDescent="0.3">
      <c r="A924" s="346">
        <v>44825</v>
      </c>
      <c r="B924" s="347">
        <v>37</v>
      </c>
      <c r="C924" s="345">
        <v>179979</v>
      </c>
      <c r="D924" s="350">
        <v>-53</v>
      </c>
    </row>
    <row r="925" spans="1:4" x14ac:dyDescent="0.3">
      <c r="A925" s="346">
        <v>44824</v>
      </c>
      <c r="B925" s="347">
        <v>37</v>
      </c>
      <c r="C925" s="345">
        <v>180032</v>
      </c>
      <c r="D925" s="351">
        <v>-43</v>
      </c>
    </row>
    <row r="926" spans="1:4" x14ac:dyDescent="0.3">
      <c r="A926" s="346">
        <v>44823</v>
      </c>
      <c r="B926" s="347">
        <v>24</v>
      </c>
      <c r="C926" s="345">
        <v>180075</v>
      </c>
      <c r="D926" s="350">
        <v>-45</v>
      </c>
    </row>
    <row r="927" spans="1:4" x14ac:dyDescent="0.3">
      <c r="A927" s="346">
        <v>44822</v>
      </c>
      <c r="B927" s="347">
        <v>43</v>
      </c>
      <c r="C927" s="345">
        <v>180120</v>
      </c>
      <c r="D927" s="351">
        <v>-18</v>
      </c>
    </row>
    <row r="928" spans="1:4" x14ac:dyDescent="0.3">
      <c r="A928" s="346">
        <v>44821</v>
      </c>
      <c r="B928" s="347">
        <v>47</v>
      </c>
      <c r="C928" s="345">
        <v>180138</v>
      </c>
      <c r="D928" s="350">
        <v>-10</v>
      </c>
    </row>
    <row r="929" spans="1:4" x14ac:dyDescent="0.3">
      <c r="A929" s="346">
        <v>44820</v>
      </c>
      <c r="B929" s="347">
        <v>43</v>
      </c>
      <c r="C929" s="345">
        <v>180148</v>
      </c>
      <c r="D929" s="351">
        <v>-34</v>
      </c>
    </row>
    <row r="930" spans="1:4" x14ac:dyDescent="0.3">
      <c r="A930" s="346">
        <v>44819</v>
      </c>
      <c r="B930" s="347">
        <v>35</v>
      </c>
      <c r="C930" s="345">
        <v>180182</v>
      </c>
      <c r="D930" s="350">
        <v>-42</v>
      </c>
    </row>
    <row r="931" spans="1:4" x14ac:dyDescent="0.3">
      <c r="A931" s="346">
        <v>44818</v>
      </c>
      <c r="B931" s="347">
        <v>29</v>
      </c>
      <c r="C931" s="345">
        <v>180224</v>
      </c>
      <c r="D931" s="351">
        <v>-29</v>
      </c>
    </row>
    <row r="932" spans="1:4" x14ac:dyDescent="0.3">
      <c r="A932" s="346">
        <v>44817</v>
      </c>
      <c r="B932" s="347">
        <v>37</v>
      </c>
      <c r="C932" s="345">
        <v>180253</v>
      </c>
      <c r="D932" s="350">
        <v>-32</v>
      </c>
    </row>
    <row r="933" spans="1:4" x14ac:dyDescent="0.3">
      <c r="A933" s="346">
        <v>44816</v>
      </c>
      <c r="B933" s="347">
        <v>38</v>
      </c>
      <c r="C933" s="345">
        <v>180285</v>
      </c>
      <c r="D933" s="351">
        <v>-63</v>
      </c>
    </row>
    <row r="934" spans="1:4" x14ac:dyDescent="0.3">
      <c r="A934" s="346">
        <v>44815</v>
      </c>
      <c r="B934" s="347">
        <v>63</v>
      </c>
      <c r="C934" s="345">
        <v>180348</v>
      </c>
      <c r="D934" s="350">
        <v>-9</v>
      </c>
    </row>
    <row r="935" spans="1:4" x14ac:dyDescent="0.3">
      <c r="A935" s="346">
        <v>44814</v>
      </c>
      <c r="B935" s="347">
        <v>50</v>
      </c>
      <c r="C935" s="345">
        <v>180357</v>
      </c>
      <c r="D935" s="351">
        <v>-30</v>
      </c>
    </row>
    <row r="936" spans="1:4" x14ac:dyDescent="0.3">
      <c r="A936" s="346">
        <v>44813</v>
      </c>
      <c r="B936" s="347">
        <v>29</v>
      </c>
      <c r="C936" s="345">
        <v>180387</v>
      </c>
      <c r="D936" s="350">
        <v>-65</v>
      </c>
    </row>
    <row r="937" spans="1:4" x14ac:dyDescent="0.3">
      <c r="A937" s="346">
        <v>44812</v>
      </c>
      <c r="B937" s="347">
        <v>26</v>
      </c>
      <c r="C937" s="345">
        <v>180452</v>
      </c>
      <c r="D937" s="351">
        <v>-78</v>
      </c>
    </row>
    <row r="938" spans="1:4" x14ac:dyDescent="0.3">
      <c r="A938" s="346">
        <v>44811</v>
      </c>
      <c r="B938" s="347">
        <v>5246</v>
      </c>
      <c r="C938" s="345">
        <v>180530</v>
      </c>
      <c r="D938" s="350">
        <v>5154</v>
      </c>
    </row>
    <row r="939" spans="1:4" x14ac:dyDescent="0.3">
      <c r="A939" s="346">
        <v>44810</v>
      </c>
      <c r="B939" s="347">
        <v>984</v>
      </c>
      <c r="C939" s="345">
        <v>175376</v>
      </c>
      <c r="D939" s="351">
        <v>896</v>
      </c>
    </row>
    <row r="940" spans="1:4" x14ac:dyDescent="0.3">
      <c r="A940" s="346">
        <v>44809</v>
      </c>
      <c r="B940" s="347">
        <v>935</v>
      </c>
      <c r="C940" s="345">
        <v>174480</v>
      </c>
      <c r="D940" s="350">
        <v>853</v>
      </c>
    </row>
    <row r="941" spans="1:4" x14ac:dyDescent="0.3">
      <c r="A941" s="346">
        <v>44808</v>
      </c>
      <c r="B941" s="347">
        <v>1070</v>
      </c>
      <c r="C941" s="345">
        <v>173627</v>
      </c>
      <c r="D941" s="351">
        <v>1012</v>
      </c>
    </row>
    <row r="942" spans="1:4" x14ac:dyDescent="0.3">
      <c r="A942" s="346">
        <v>44807</v>
      </c>
      <c r="B942" s="347">
        <v>49</v>
      </c>
      <c r="C942" s="345">
        <v>172615</v>
      </c>
      <c r="D942" s="350">
        <v>0</v>
      </c>
    </row>
    <row r="943" spans="1:4" x14ac:dyDescent="0.3">
      <c r="A943" s="346">
        <v>44806</v>
      </c>
      <c r="B943" s="347">
        <v>26</v>
      </c>
      <c r="C943" s="345">
        <v>172615</v>
      </c>
      <c r="D943" s="351">
        <v>-10</v>
      </c>
    </row>
    <row r="944" spans="1:4" x14ac:dyDescent="0.3">
      <c r="A944" s="346">
        <v>44805</v>
      </c>
      <c r="B944" s="347">
        <v>72</v>
      </c>
      <c r="C944" s="345">
        <v>172625</v>
      </c>
      <c r="D944" s="350">
        <v>20</v>
      </c>
    </row>
    <row r="945" spans="1:4" x14ac:dyDescent="0.3">
      <c r="A945" s="346">
        <v>44804</v>
      </c>
      <c r="B945" s="347">
        <v>52</v>
      </c>
      <c r="C945" s="345">
        <v>172605</v>
      </c>
      <c r="D945" s="351">
        <v>22</v>
      </c>
    </row>
    <row r="946" spans="1:4" x14ac:dyDescent="0.3">
      <c r="A946" s="346">
        <v>44803</v>
      </c>
      <c r="B946" s="347">
        <v>26</v>
      </c>
      <c r="C946" s="345">
        <v>172583</v>
      </c>
      <c r="D946" s="350">
        <v>-10</v>
      </c>
    </row>
    <row r="947" spans="1:4" x14ac:dyDescent="0.3">
      <c r="A947" s="346">
        <v>44802</v>
      </c>
      <c r="B947" s="347">
        <v>44</v>
      </c>
      <c r="C947" s="345">
        <v>172593</v>
      </c>
      <c r="D947" s="351">
        <v>-3</v>
      </c>
    </row>
    <row r="948" spans="1:4" x14ac:dyDescent="0.3">
      <c r="A948" s="346">
        <v>44801</v>
      </c>
      <c r="B948" s="347">
        <v>42</v>
      </c>
      <c r="C948" s="345">
        <v>172596</v>
      </c>
      <c r="D948" s="350">
        <v>-24</v>
      </c>
    </row>
    <row r="949" spans="1:4" x14ac:dyDescent="0.3">
      <c r="A949" s="346">
        <v>44800</v>
      </c>
      <c r="B949" s="347">
        <v>54</v>
      </c>
      <c r="C949" s="345">
        <v>172620</v>
      </c>
      <c r="D949" s="351">
        <v>-8</v>
      </c>
    </row>
    <row r="950" spans="1:4" x14ac:dyDescent="0.3">
      <c r="A950" s="346">
        <v>44799</v>
      </c>
      <c r="B950" s="347">
        <v>40</v>
      </c>
      <c r="C950" s="345">
        <v>172628</v>
      </c>
      <c r="D950" s="350">
        <v>2</v>
      </c>
    </row>
    <row r="951" spans="1:4" x14ac:dyDescent="0.3">
      <c r="A951" s="346">
        <v>44798</v>
      </c>
      <c r="B951" s="347">
        <v>36</v>
      </c>
      <c r="C951" s="345">
        <v>172626</v>
      </c>
      <c r="D951" s="351">
        <v>-20</v>
      </c>
    </row>
    <row r="952" spans="1:4" x14ac:dyDescent="0.3">
      <c r="A952" s="346">
        <v>44797</v>
      </c>
      <c r="B952" s="347">
        <v>40</v>
      </c>
      <c r="C952" s="345">
        <v>172646</v>
      </c>
      <c r="D952" s="350">
        <v>-3</v>
      </c>
    </row>
    <row r="953" spans="1:4" x14ac:dyDescent="0.3">
      <c r="A953" s="346">
        <v>44796</v>
      </c>
      <c r="B953" s="347">
        <v>40</v>
      </c>
      <c r="C953" s="345">
        <v>172649</v>
      </c>
      <c r="D953" s="351">
        <v>-23</v>
      </c>
    </row>
    <row r="954" spans="1:4" x14ac:dyDescent="0.3">
      <c r="A954" s="346">
        <v>44795</v>
      </c>
      <c r="B954" s="347">
        <v>29</v>
      </c>
      <c r="C954" s="345">
        <v>172672</v>
      </c>
      <c r="D954" s="350">
        <v>-11</v>
      </c>
    </row>
    <row r="955" spans="1:4" x14ac:dyDescent="0.3">
      <c r="A955" s="346">
        <v>44794</v>
      </c>
      <c r="B955" s="347">
        <v>40</v>
      </c>
      <c r="C955" s="345">
        <v>172683</v>
      </c>
      <c r="D955" s="351">
        <v>-30</v>
      </c>
    </row>
    <row r="956" spans="1:4" x14ac:dyDescent="0.3">
      <c r="A956" s="346">
        <v>44793</v>
      </c>
      <c r="B956" s="347">
        <v>39</v>
      </c>
      <c r="C956" s="345">
        <v>172713</v>
      </c>
      <c r="D956" s="350">
        <v>-22</v>
      </c>
    </row>
    <row r="957" spans="1:4" x14ac:dyDescent="0.3">
      <c r="A957" s="346">
        <v>44792</v>
      </c>
      <c r="B957" s="347">
        <v>32</v>
      </c>
      <c r="C957" s="345">
        <v>172735</v>
      </c>
      <c r="D957" s="351">
        <v>-38</v>
      </c>
    </row>
    <row r="958" spans="1:4" x14ac:dyDescent="0.3">
      <c r="A958" s="346">
        <v>44791</v>
      </c>
      <c r="B958" s="347">
        <v>40</v>
      </c>
      <c r="C958" s="345">
        <v>172773</v>
      </c>
      <c r="D958" s="350">
        <v>-4</v>
      </c>
    </row>
    <row r="959" spans="1:4" x14ac:dyDescent="0.3">
      <c r="A959" s="346">
        <v>44790</v>
      </c>
      <c r="B959" s="347">
        <v>40</v>
      </c>
      <c r="C959" s="345">
        <v>172777</v>
      </c>
      <c r="D959" s="351">
        <v>-15</v>
      </c>
    </row>
    <row r="960" spans="1:4" x14ac:dyDescent="0.3">
      <c r="A960" s="346">
        <v>44789</v>
      </c>
      <c r="B960" s="347">
        <v>38</v>
      </c>
      <c r="C960" s="345">
        <v>172792</v>
      </c>
      <c r="D960" s="350">
        <v>-9</v>
      </c>
    </row>
    <row r="961" spans="1:4" x14ac:dyDescent="0.3">
      <c r="A961" s="346">
        <v>44788</v>
      </c>
      <c r="B961" s="347">
        <v>44</v>
      </c>
      <c r="C961" s="345">
        <v>172801</v>
      </c>
      <c r="D961" s="351">
        <v>-7</v>
      </c>
    </row>
    <row r="962" spans="1:4" x14ac:dyDescent="0.3">
      <c r="A962" s="346">
        <v>44787</v>
      </c>
      <c r="B962" s="347">
        <v>52</v>
      </c>
      <c r="C962" s="345">
        <v>172808</v>
      </c>
      <c r="D962" s="350">
        <v>-10</v>
      </c>
    </row>
    <row r="963" spans="1:4" x14ac:dyDescent="0.3">
      <c r="A963" s="346">
        <v>44786</v>
      </c>
      <c r="B963" s="347">
        <v>58</v>
      </c>
      <c r="C963" s="345">
        <v>172818</v>
      </c>
      <c r="D963" s="351">
        <v>15</v>
      </c>
    </row>
    <row r="964" spans="1:4" x14ac:dyDescent="0.3">
      <c r="A964" s="346">
        <v>44785</v>
      </c>
      <c r="B964" s="347">
        <v>38</v>
      </c>
      <c r="C964" s="345">
        <v>172803</v>
      </c>
      <c r="D964" s="350">
        <v>-4</v>
      </c>
    </row>
    <row r="965" spans="1:4" x14ac:dyDescent="0.3">
      <c r="A965" s="346">
        <v>44784</v>
      </c>
      <c r="B965" s="347">
        <v>49</v>
      </c>
      <c r="C965" s="345">
        <v>172807</v>
      </c>
      <c r="D965" s="351">
        <v>-5</v>
      </c>
    </row>
    <row r="966" spans="1:4" x14ac:dyDescent="0.3">
      <c r="A966" s="346">
        <v>44783</v>
      </c>
      <c r="B966" s="347">
        <v>57</v>
      </c>
      <c r="C966" s="345">
        <v>172812</v>
      </c>
      <c r="D966" s="350">
        <v>-21</v>
      </c>
    </row>
    <row r="967" spans="1:4" x14ac:dyDescent="0.3">
      <c r="A967" s="346">
        <v>44782</v>
      </c>
      <c r="B967" s="347">
        <v>52</v>
      </c>
      <c r="C967" s="345">
        <v>172833</v>
      </c>
      <c r="D967" s="351">
        <v>3</v>
      </c>
    </row>
    <row r="968" spans="1:4" x14ac:dyDescent="0.3">
      <c r="A968" s="346">
        <v>44781</v>
      </c>
      <c r="B968" s="347">
        <v>43</v>
      </c>
      <c r="C968" s="345">
        <v>172830</v>
      </c>
      <c r="D968" s="350">
        <v>-35</v>
      </c>
    </row>
    <row r="969" spans="1:4" x14ac:dyDescent="0.3">
      <c r="A969" s="346">
        <v>44780</v>
      </c>
      <c r="B969" s="347">
        <v>69</v>
      </c>
      <c r="C969" s="345">
        <v>172865</v>
      </c>
      <c r="D969" s="351">
        <v>6</v>
      </c>
    </row>
    <row r="970" spans="1:4" x14ac:dyDescent="0.3">
      <c r="A970" s="346">
        <v>44779</v>
      </c>
      <c r="B970" s="347">
        <v>46</v>
      </c>
      <c r="C970" s="345">
        <v>172859</v>
      </c>
      <c r="D970" s="350">
        <v>-14</v>
      </c>
    </row>
    <row r="971" spans="1:4" x14ac:dyDescent="0.3">
      <c r="A971" s="346">
        <v>44778</v>
      </c>
      <c r="B971" s="347">
        <v>37</v>
      </c>
      <c r="C971" s="345">
        <v>172873</v>
      </c>
      <c r="D971" s="351">
        <v>-23</v>
      </c>
    </row>
    <row r="972" spans="1:4" x14ac:dyDescent="0.3">
      <c r="A972" s="346">
        <v>44777</v>
      </c>
      <c r="B972" s="347">
        <v>33</v>
      </c>
      <c r="C972" s="345">
        <v>172896</v>
      </c>
      <c r="D972" s="350">
        <v>-20</v>
      </c>
    </row>
    <row r="973" spans="1:4" x14ac:dyDescent="0.3">
      <c r="A973" s="346">
        <v>44776</v>
      </c>
      <c r="B973" s="347">
        <v>51</v>
      </c>
      <c r="C973" s="345">
        <v>172916</v>
      </c>
      <c r="D973" s="351">
        <v>-2</v>
      </c>
    </row>
    <row r="974" spans="1:4" x14ac:dyDescent="0.3">
      <c r="A974" s="346">
        <v>44775</v>
      </c>
      <c r="B974" s="347">
        <v>38</v>
      </c>
      <c r="C974" s="345">
        <v>172918</v>
      </c>
      <c r="D974" s="350">
        <v>-30</v>
      </c>
    </row>
    <row r="975" spans="1:4" x14ac:dyDescent="0.3">
      <c r="A975" s="346">
        <v>44774</v>
      </c>
      <c r="B975" s="347">
        <v>41</v>
      </c>
      <c r="C975" s="345">
        <v>172948</v>
      </c>
      <c r="D975" s="351">
        <v>-24</v>
      </c>
    </row>
    <row r="976" spans="1:4" x14ac:dyDescent="0.3">
      <c r="A976" s="346">
        <v>44773</v>
      </c>
      <c r="B976" s="347">
        <v>42</v>
      </c>
      <c r="C976" s="345">
        <v>172972</v>
      </c>
      <c r="D976" s="350">
        <v>-27</v>
      </c>
    </row>
    <row r="977" spans="1:4" x14ac:dyDescent="0.3">
      <c r="A977" s="346">
        <v>44772</v>
      </c>
      <c r="B977" s="347">
        <v>57</v>
      </c>
      <c r="C977" s="345">
        <v>172999</v>
      </c>
      <c r="D977" s="351">
        <v>-15</v>
      </c>
    </row>
    <row r="978" spans="1:4" x14ac:dyDescent="0.3">
      <c r="A978" s="346">
        <v>44771</v>
      </c>
      <c r="B978" s="347">
        <v>54</v>
      </c>
      <c r="C978" s="345">
        <v>173014</v>
      </c>
      <c r="D978" s="350">
        <v>-30</v>
      </c>
    </row>
    <row r="979" spans="1:4" x14ac:dyDescent="0.3">
      <c r="A979" s="346">
        <v>44770</v>
      </c>
      <c r="B979" s="347">
        <v>44</v>
      </c>
      <c r="C979" s="345">
        <v>173044</v>
      </c>
      <c r="D979" s="351">
        <v>-23</v>
      </c>
    </row>
    <row r="980" spans="1:4" x14ac:dyDescent="0.3">
      <c r="A980" s="346">
        <v>44769</v>
      </c>
      <c r="B980" s="347">
        <v>53</v>
      </c>
      <c r="C980" s="345">
        <v>173067</v>
      </c>
      <c r="D980" s="350">
        <v>-36</v>
      </c>
    </row>
    <row r="981" spans="1:4" x14ac:dyDescent="0.3">
      <c r="A981" s="346">
        <v>44768</v>
      </c>
      <c r="B981" s="347">
        <v>47</v>
      </c>
      <c r="C981" s="345">
        <v>173103</v>
      </c>
      <c r="D981" s="351">
        <v>-24</v>
      </c>
    </row>
    <row r="982" spans="1:4" x14ac:dyDescent="0.3">
      <c r="A982" s="346">
        <v>44767</v>
      </c>
      <c r="B982" s="347">
        <v>54</v>
      </c>
      <c r="C982" s="345">
        <v>173127</v>
      </c>
      <c r="D982" s="350">
        <v>-24</v>
      </c>
    </row>
    <row r="983" spans="1:4" x14ac:dyDescent="0.3">
      <c r="A983" s="346">
        <v>44766</v>
      </c>
      <c r="B983" s="347">
        <v>56</v>
      </c>
      <c r="C983" s="345">
        <v>173151</v>
      </c>
      <c r="D983" s="351">
        <v>-27</v>
      </c>
    </row>
    <row r="984" spans="1:4" x14ac:dyDescent="0.3">
      <c r="A984" s="346">
        <v>44765</v>
      </c>
      <c r="B984" s="347">
        <v>43</v>
      </c>
      <c r="C984" s="345">
        <v>173178</v>
      </c>
      <c r="D984" s="350">
        <v>-57</v>
      </c>
    </row>
    <row r="985" spans="1:4" x14ac:dyDescent="0.3">
      <c r="A985" s="346">
        <v>44764</v>
      </c>
      <c r="B985" s="347">
        <v>36</v>
      </c>
      <c r="C985" s="345">
        <v>173235</v>
      </c>
      <c r="D985" s="351">
        <v>-107</v>
      </c>
    </row>
    <row r="986" spans="1:4" x14ac:dyDescent="0.3">
      <c r="A986" s="346">
        <v>44763</v>
      </c>
      <c r="B986" s="347">
        <v>3572</v>
      </c>
      <c r="C986" s="345">
        <v>173342</v>
      </c>
      <c r="D986" s="350">
        <v>3503</v>
      </c>
    </row>
    <row r="987" spans="1:4" x14ac:dyDescent="0.3">
      <c r="A987" s="346">
        <v>44762</v>
      </c>
      <c r="B987" s="347">
        <v>1350</v>
      </c>
      <c r="C987" s="345">
        <v>169839</v>
      </c>
      <c r="D987" s="351">
        <v>1272</v>
      </c>
    </row>
    <row r="988" spans="1:4" x14ac:dyDescent="0.3">
      <c r="A988" s="346">
        <v>44761</v>
      </c>
      <c r="B988" s="347">
        <v>1093</v>
      </c>
      <c r="C988" s="345">
        <v>168567</v>
      </c>
      <c r="D988" s="350">
        <v>1022</v>
      </c>
    </row>
    <row r="989" spans="1:4" x14ac:dyDescent="0.3">
      <c r="A989" s="346">
        <v>44760</v>
      </c>
      <c r="B989" s="347">
        <v>1337</v>
      </c>
      <c r="C989" s="345">
        <v>167545</v>
      </c>
      <c r="D989" s="351">
        <v>1277</v>
      </c>
    </row>
    <row r="990" spans="1:4" x14ac:dyDescent="0.3">
      <c r="A990" s="346">
        <v>44759</v>
      </c>
      <c r="B990" s="347">
        <v>50</v>
      </c>
      <c r="C990" s="345">
        <v>166268</v>
      </c>
      <c r="D990" s="350">
        <v>0</v>
      </c>
    </row>
    <row r="991" spans="1:4" x14ac:dyDescent="0.3">
      <c r="A991" s="346">
        <v>44758</v>
      </c>
      <c r="B991" s="347">
        <v>45</v>
      </c>
      <c r="C991" s="345">
        <v>166268</v>
      </c>
      <c r="D991" s="351">
        <v>-11</v>
      </c>
    </row>
    <row r="992" spans="1:4" x14ac:dyDescent="0.3">
      <c r="A992" s="346">
        <v>44757</v>
      </c>
      <c r="B992" s="347">
        <v>52</v>
      </c>
      <c r="C992" s="345">
        <v>166279</v>
      </c>
      <c r="D992" s="350">
        <v>7</v>
      </c>
    </row>
    <row r="993" spans="1:4" x14ac:dyDescent="0.3">
      <c r="A993" s="346">
        <v>44756</v>
      </c>
      <c r="B993" s="347">
        <v>38</v>
      </c>
      <c r="C993" s="345">
        <v>166272</v>
      </c>
      <c r="D993" s="351">
        <v>-21</v>
      </c>
    </row>
    <row r="994" spans="1:4" x14ac:dyDescent="0.3">
      <c r="A994" s="346">
        <v>44755</v>
      </c>
      <c r="B994" s="347">
        <v>47</v>
      </c>
      <c r="C994" s="345">
        <v>166293</v>
      </c>
      <c r="D994" s="350">
        <v>-8</v>
      </c>
    </row>
    <row r="995" spans="1:4" x14ac:dyDescent="0.3">
      <c r="A995" s="346">
        <v>44754</v>
      </c>
      <c r="B995" s="347">
        <v>47</v>
      </c>
      <c r="C995" s="345">
        <v>166301</v>
      </c>
      <c r="D995" s="351">
        <v>-5</v>
      </c>
    </row>
    <row r="996" spans="1:4" x14ac:dyDescent="0.3">
      <c r="A996" s="346">
        <v>44753</v>
      </c>
      <c r="B996" s="347">
        <v>34</v>
      </c>
      <c r="C996" s="345">
        <v>166306</v>
      </c>
      <c r="D996" s="350">
        <v>-21</v>
      </c>
    </row>
    <row r="997" spans="1:4" x14ac:dyDescent="0.3">
      <c r="A997" s="346">
        <v>44752</v>
      </c>
      <c r="B997" s="347">
        <v>30</v>
      </c>
      <c r="C997" s="345">
        <v>166327</v>
      </c>
      <c r="D997" s="351">
        <v>-27</v>
      </c>
    </row>
    <row r="998" spans="1:4" x14ac:dyDescent="0.3">
      <c r="A998" s="346">
        <v>44751</v>
      </c>
      <c r="B998" s="347">
        <v>35</v>
      </c>
      <c r="C998" s="345">
        <v>166354</v>
      </c>
      <c r="D998" s="350">
        <v>-14</v>
      </c>
    </row>
    <row r="999" spans="1:4" x14ac:dyDescent="0.3">
      <c r="A999" s="346">
        <v>44750</v>
      </c>
      <c r="B999" s="347">
        <v>44</v>
      </c>
      <c r="C999" s="345">
        <v>166368</v>
      </c>
      <c r="D999" s="351">
        <v>-10</v>
      </c>
    </row>
    <row r="1000" spans="1:4" x14ac:dyDescent="0.3">
      <c r="A1000" s="346">
        <v>44749</v>
      </c>
      <c r="B1000" s="347">
        <v>42</v>
      </c>
      <c r="C1000" s="345">
        <v>166378</v>
      </c>
      <c r="D1000" s="350">
        <v>-8</v>
      </c>
    </row>
    <row r="1001" spans="1:4" x14ac:dyDescent="0.3">
      <c r="A1001" s="346">
        <v>44748</v>
      </c>
      <c r="B1001" s="347">
        <v>33</v>
      </c>
      <c r="C1001" s="345">
        <v>166386</v>
      </c>
      <c r="D1001" s="351">
        <v>-14</v>
      </c>
    </row>
    <row r="1002" spans="1:4" x14ac:dyDescent="0.3">
      <c r="A1002" s="346">
        <v>44747</v>
      </c>
      <c r="B1002" s="347">
        <v>50</v>
      </c>
      <c r="C1002" s="345">
        <v>166400</v>
      </c>
      <c r="D1002" s="350">
        <v>-6</v>
      </c>
    </row>
    <row r="1003" spans="1:4" x14ac:dyDescent="0.3">
      <c r="A1003" s="346">
        <v>44746</v>
      </c>
      <c r="B1003" s="347">
        <v>42</v>
      </c>
      <c r="C1003" s="345">
        <v>166406</v>
      </c>
      <c r="D1003" s="351">
        <v>-13</v>
      </c>
    </row>
    <row r="1004" spans="1:4" x14ac:dyDescent="0.3">
      <c r="A1004" s="346">
        <v>44745</v>
      </c>
      <c r="B1004" s="347">
        <v>48</v>
      </c>
      <c r="C1004" s="345">
        <v>166419</v>
      </c>
      <c r="D1004" s="350">
        <v>-23</v>
      </c>
    </row>
    <row r="1005" spans="1:4" x14ac:dyDescent="0.3">
      <c r="A1005" s="346">
        <v>44744</v>
      </c>
      <c r="B1005" s="347">
        <v>47</v>
      </c>
      <c r="C1005" s="345">
        <v>166442</v>
      </c>
      <c r="D1005" s="351">
        <v>-15</v>
      </c>
    </row>
    <row r="1006" spans="1:4" x14ac:dyDescent="0.3">
      <c r="A1006" s="346">
        <v>44743</v>
      </c>
      <c r="B1006" s="347">
        <v>35</v>
      </c>
      <c r="C1006" s="345">
        <v>166457</v>
      </c>
      <c r="D1006" s="350">
        <v>-24</v>
      </c>
    </row>
    <row r="1007" spans="1:4" x14ac:dyDescent="0.3">
      <c r="A1007" s="346">
        <v>44742</v>
      </c>
      <c r="B1007" s="347">
        <v>27</v>
      </c>
      <c r="C1007" s="345">
        <v>166481</v>
      </c>
      <c r="D1007" s="351">
        <v>-35</v>
      </c>
    </row>
    <row r="1008" spans="1:4" x14ac:dyDescent="0.3">
      <c r="A1008" s="346">
        <v>44741</v>
      </c>
      <c r="B1008" s="347">
        <v>38</v>
      </c>
      <c r="C1008" s="345">
        <v>166516</v>
      </c>
      <c r="D1008" s="350">
        <v>-38</v>
      </c>
    </row>
    <row r="1009" spans="1:4" x14ac:dyDescent="0.3">
      <c r="A1009" s="346">
        <v>44740</v>
      </c>
      <c r="B1009" s="347">
        <v>37</v>
      </c>
      <c r="C1009" s="345">
        <v>166554</v>
      </c>
      <c r="D1009" s="351">
        <v>-51</v>
      </c>
    </row>
    <row r="1010" spans="1:4" x14ac:dyDescent="0.3">
      <c r="A1010" s="346">
        <v>44739</v>
      </c>
      <c r="B1010" s="347">
        <v>33</v>
      </c>
      <c r="C1010" s="345">
        <v>166605</v>
      </c>
      <c r="D1010" s="350">
        <v>-49</v>
      </c>
    </row>
    <row r="1011" spans="1:4" x14ac:dyDescent="0.3">
      <c r="A1011" s="346">
        <v>44738</v>
      </c>
      <c r="B1011" s="347">
        <v>49</v>
      </c>
      <c r="C1011" s="345">
        <v>166654</v>
      </c>
      <c r="D1011" s="351">
        <v>-44</v>
      </c>
    </row>
    <row r="1012" spans="1:4" x14ac:dyDescent="0.3">
      <c r="A1012" s="346">
        <v>44737</v>
      </c>
      <c r="B1012" s="347">
        <v>40</v>
      </c>
      <c r="C1012" s="345">
        <v>166698</v>
      </c>
      <c r="D1012" s="350">
        <v>-59</v>
      </c>
    </row>
    <row r="1013" spans="1:4" x14ac:dyDescent="0.3">
      <c r="A1013" s="346">
        <v>44736</v>
      </c>
      <c r="B1013" s="347">
        <v>34</v>
      </c>
      <c r="C1013" s="345">
        <v>166757</v>
      </c>
      <c r="D1013" s="351">
        <v>-73</v>
      </c>
    </row>
    <row r="1014" spans="1:4" x14ac:dyDescent="0.3">
      <c r="A1014" s="346">
        <v>44735</v>
      </c>
      <c r="B1014" s="347">
        <v>4136</v>
      </c>
      <c r="C1014" s="345">
        <v>166830</v>
      </c>
      <c r="D1014" s="350">
        <v>4050</v>
      </c>
    </row>
    <row r="1015" spans="1:4" x14ac:dyDescent="0.3">
      <c r="A1015" s="346">
        <v>44734</v>
      </c>
      <c r="B1015" s="347">
        <v>1468</v>
      </c>
      <c r="C1015" s="345">
        <v>162780</v>
      </c>
      <c r="D1015" s="351">
        <v>1371</v>
      </c>
    </row>
    <row r="1016" spans="1:4" x14ac:dyDescent="0.3">
      <c r="A1016" s="346">
        <v>44733</v>
      </c>
      <c r="B1016" s="347">
        <v>1203</v>
      </c>
      <c r="C1016" s="345">
        <v>161409</v>
      </c>
      <c r="D1016" s="350">
        <v>1100</v>
      </c>
    </row>
    <row r="1017" spans="1:4" x14ac:dyDescent="0.3">
      <c r="A1017" s="346">
        <v>44732</v>
      </c>
      <c r="B1017" s="347">
        <v>627</v>
      </c>
      <c r="C1017" s="345">
        <v>160309</v>
      </c>
      <c r="D1017" s="351">
        <v>543</v>
      </c>
    </row>
    <row r="1018" spans="1:4" x14ac:dyDescent="0.3">
      <c r="A1018" s="346">
        <v>44731</v>
      </c>
      <c r="B1018" s="347">
        <v>99</v>
      </c>
      <c r="C1018" s="345">
        <v>159766</v>
      </c>
      <c r="D1018" s="350">
        <v>12</v>
      </c>
    </row>
    <row r="1019" spans="1:4" x14ac:dyDescent="0.3">
      <c r="A1019" s="346">
        <v>44730</v>
      </c>
      <c r="B1019" s="347">
        <v>100</v>
      </c>
      <c r="C1019" s="345">
        <v>159754</v>
      </c>
      <c r="D1019" s="351">
        <v>-12</v>
      </c>
    </row>
    <row r="1020" spans="1:4" x14ac:dyDescent="0.3">
      <c r="A1020" s="346">
        <v>44729</v>
      </c>
      <c r="B1020" s="347">
        <v>2630</v>
      </c>
      <c r="C1020" s="345">
        <v>159766</v>
      </c>
      <c r="D1020" s="350">
        <v>2541</v>
      </c>
    </row>
    <row r="1021" spans="1:4" x14ac:dyDescent="0.3">
      <c r="A1021" s="346">
        <v>44728</v>
      </c>
      <c r="B1021" s="347">
        <v>1250</v>
      </c>
      <c r="C1021" s="345">
        <v>157225</v>
      </c>
      <c r="D1021" s="351">
        <v>1165</v>
      </c>
    </row>
    <row r="1022" spans="1:4" x14ac:dyDescent="0.3">
      <c r="A1022" s="346">
        <v>44727</v>
      </c>
      <c r="B1022" s="347">
        <v>1015</v>
      </c>
      <c r="C1022" s="345">
        <v>156060</v>
      </c>
      <c r="D1022" s="350">
        <v>934</v>
      </c>
    </row>
    <row r="1023" spans="1:4" x14ac:dyDescent="0.3">
      <c r="A1023" s="346">
        <v>44726</v>
      </c>
      <c r="B1023" s="347">
        <v>1461</v>
      </c>
      <c r="C1023" s="345">
        <v>155126</v>
      </c>
      <c r="D1023" s="351">
        <v>1405</v>
      </c>
    </row>
    <row r="1024" spans="1:4" x14ac:dyDescent="0.3">
      <c r="A1024" s="346">
        <v>44725</v>
      </c>
      <c r="B1024" s="347">
        <v>78</v>
      </c>
      <c r="C1024" s="345">
        <v>153721</v>
      </c>
      <c r="D1024" s="350">
        <v>35</v>
      </c>
    </row>
    <row r="1025" spans="1:4" x14ac:dyDescent="0.3">
      <c r="A1025" s="346">
        <v>44724</v>
      </c>
      <c r="B1025" s="347">
        <v>98</v>
      </c>
      <c r="C1025" s="345">
        <v>153686</v>
      </c>
      <c r="D1025" s="351">
        <v>50</v>
      </c>
    </row>
    <row r="1026" spans="1:4" x14ac:dyDescent="0.3">
      <c r="A1026" s="346">
        <v>44723</v>
      </c>
      <c r="B1026" s="347">
        <v>85</v>
      </c>
      <c r="C1026" s="345">
        <v>153636</v>
      </c>
      <c r="D1026" s="350">
        <v>32</v>
      </c>
    </row>
    <row r="1027" spans="1:4" x14ac:dyDescent="0.3">
      <c r="A1027" s="346">
        <v>44722</v>
      </c>
      <c r="B1027" s="347">
        <v>89</v>
      </c>
      <c r="C1027" s="345">
        <v>153604</v>
      </c>
      <c r="D1027" s="351">
        <v>49</v>
      </c>
    </row>
    <row r="1028" spans="1:4" x14ac:dyDescent="0.3">
      <c r="A1028" s="346">
        <v>44721</v>
      </c>
      <c r="B1028" s="347">
        <v>100</v>
      </c>
      <c r="C1028" s="345">
        <v>153555</v>
      </c>
      <c r="D1028" s="350">
        <v>55</v>
      </c>
    </row>
    <row r="1029" spans="1:4" x14ac:dyDescent="0.3">
      <c r="A1029" s="346">
        <v>44720</v>
      </c>
      <c r="B1029" s="347">
        <v>144</v>
      </c>
      <c r="C1029" s="345">
        <v>153500</v>
      </c>
      <c r="D1029" s="351">
        <v>116</v>
      </c>
    </row>
    <row r="1030" spans="1:4" x14ac:dyDescent="0.3">
      <c r="A1030" s="346">
        <v>44719</v>
      </c>
      <c r="B1030" s="347">
        <v>121</v>
      </c>
      <c r="C1030" s="345">
        <v>153384</v>
      </c>
      <c r="D1030" s="350">
        <v>63</v>
      </c>
    </row>
    <row r="1031" spans="1:4" x14ac:dyDescent="0.3">
      <c r="A1031" s="346">
        <v>44718</v>
      </c>
      <c r="B1031" s="347">
        <v>128</v>
      </c>
      <c r="C1031" s="345">
        <v>153321</v>
      </c>
      <c r="D1031" s="351">
        <v>89</v>
      </c>
    </row>
    <row r="1032" spans="1:4" x14ac:dyDescent="0.3">
      <c r="A1032" s="346">
        <v>44717</v>
      </c>
      <c r="B1032" s="347">
        <v>115</v>
      </c>
      <c r="C1032" s="345">
        <v>153232</v>
      </c>
      <c r="D1032" s="350">
        <v>60</v>
      </c>
    </row>
    <row r="1033" spans="1:4" x14ac:dyDescent="0.3">
      <c r="A1033" s="346">
        <v>44716</v>
      </c>
      <c r="B1033" s="347">
        <v>105</v>
      </c>
      <c r="C1033" s="345">
        <v>153172</v>
      </c>
      <c r="D1033" s="351">
        <v>48</v>
      </c>
    </row>
    <row r="1034" spans="1:4" x14ac:dyDescent="0.3">
      <c r="A1034" s="346">
        <v>44715</v>
      </c>
      <c r="B1034" s="347">
        <v>136</v>
      </c>
      <c r="C1034" s="345">
        <v>153124</v>
      </c>
      <c r="D1034" s="350">
        <v>86</v>
      </c>
    </row>
    <row r="1035" spans="1:4" x14ac:dyDescent="0.3">
      <c r="A1035" s="346">
        <v>44714</v>
      </c>
      <c r="B1035" s="347">
        <v>133</v>
      </c>
      <c r="C1035" s="345">
        <v>153038</v>
      </c>
      <c r="D1035" s="351">
        <v>71</v>
      </c>
    </row>
    <row r="1036" spans="1:4" x14ac:dyDescent="0.3">
      <c r="A1036" s="346">
        <v>44713</v>
      </c>
      <c r="B1036" s="347">
        <v>95</v>
      </c>
      <c r="C1036" s="345">
        <v>152967</v>
      </c>
      <c r="D1036" s="350">
        <v>36</v>
      </c>
    </row>
    <row r="1037" spans="1:4" x14ac:dyDescent="0.3">
      <c r="A1037" s="346">
        <v>44712</v>
      </c>
      <c r="B1037" s="347">
        <v>102</v>
      </c>
      <c r="C1037" s="345">
        <v>152931</v>
      </c>
      <c r="D1037" s="351">
        <v>4</v>
      </c>
    </row>
    <row r="1038" spans="1:4" x14ac:dyDescent="0.3">
      <c r="A1038" s="346">
        <v>44711</v>
      </c>
      <c r="B1038" s="347">
        <v>120</v>
      </c>
      <c r="C1038" s="345">
        <v>152927</v>
      </c>
      <c r="D1038" s="350">
        <v>61</v>
      </c>
    </row>
    <row r="1039" spans="1:4" x14ac:dyDescent="0.3">
      <c r="A1039" s="346">
        <v>44710</v>
      </c>
      <c r="B1039" s="347">
        <v>116</v>
      </c>
      <c r="C1039" s="345">
        <v>152866</v>
      </c>
      <c r="D1039" s="351">
        <v>47</v>
      </c>
    </row>
    <row r="1040" spans="1:4" x14ac:dyDescent="0.3">
      <c r="A1040" s="346">
        <v>44709</v>
      </c>
      <c r="B1040" s="347">
        <v>111</v>
      </c>
      <c r="C1040" s="345">
        <v>152819</v>
      </c>
      <c r="D1040" s="350">
        <v>37</v>
      </c>
    </row>
    <row r="1041" spans="1:4" x14ac:dyDescent="0.3">
      <c r="A1041" s="346">
        <v>44708</v>
      </c>
      <c r="B1041" s="347">
        <v>97</v>
      </c>
      <c r="C1041" s="345">
        <v>152782</v>
      </c>
      <c r="D1041" s="351">
        <v>48</v>
      </c>
    </row>
    <row r="1042" spans="1:4" x14ac:dyDescent="0.3">
      <c r="A1042" s="346">
        <v>44707</v>
      </c>
      <c r="B1042" s="347">
        <v>98</v>
      </c>
      <c r="C1042" s="345">
        <v>152734</v>
      </c>
      <c r="D1042" s="350">
        <v>17</v>
      </c>
    </row>
    <row r="1043" spans="1:4" x14ac:dyDescent="0.3">
      <c r="A1043" s="346">
        <v>44706</v>
      </c>
      <c r="B1043" s="347">
        <v>94</v>
      </c>
      <c r="C1043" s="345">
        <v>152717</v>
      </c>
      <c r="D1043" s="351">
        <v>19</v>
      </c>
    </row>
    <row r="1044" spans="1:4" x14ac:dyDescent="0.3">
      <c r="A1044" s="346">
        <v>44705</v>
      </c>
      <c r="B1044" s="347">
        <v>92</v>
      </c>
      <c r="C1044" s="345">
        <v>152698</v>
      </c>
      <c r="D1044" s="350">
        <v>30</v>
      </c>
    </row>
    <row r="1045" spans="1:4" x14ac:dyDescent="0.3">
      <c r="A1045" s="346">
        <v>44704</v>
      </c>
      <c r="B1045" s="347">
        <v>80</v>
      </c>
      <c r="C1045" s="345">
        <v>152668</v>
      </c>
      <c r="D1045" s="351">
        <v>14</v>
      </c>
    </row>
    <row r="1046" spans="1:4" x14ac:dyDescent="0.3">
      <c r="A1046" s="346">
        <v>44703</v>
      </c>
      <c r="B1046" s="347">
        <v>61</v>
      </c>
      <c r="C1046" s="345">
        <v>152654</v>
      </c>
      <c r="D1046" s="350">
        <v>2</v>
      </c>
    </row>
    <row r="1047" spans="1:4" x14ac:dyDescent="0.3">
      <c r="A1047" s="346">
        <v>44702</v>
      </c>
      <c r="B1047" s="347">
        <v>78</v>
      </c>
      <c r="C1047" s="345">
        <v>152652</v>
      </c>
      <c r="D1047" s="351">
        <v>-3</v>
      </c>
    </row>
    <row r="1048" spans="1:4" x14ac:dyDescent="0.3">
      <c r="A1048" s="346">
        <v>44701</v>
      </c>
      <c r="B1048" s="347">
        <v>122</v>
      </c>
      <c r="C1048" s="345">
        <v>152655</v>
      </c>
      <c r="D1048" s="350">
        <v>57</v>
      </c>
    </row>
    <row r="1049" spans="1:4" x14ac:dyDescent="0.3">
      <c r="A1049" s="346">
        <v>44700</v>
      </c>
      <c r="B1049" s="347">
        <v>119</v>
      </c>
      <c r="C1049" s="345">
        <v>152598</v>
      </c>
      <c r="D1049" s="351">
        <v>43</v>
      </c>
    </row>
    <row r="1050" spans="1:4" x14ac:dyDescent="0.3">
      <c r="A1050" s="346">
        <v>44699</v>
      </c>
      <c r="B1050" s="347">
        <v>285</v>
      </c>
      <c r="C1050" s="345">
        <v>152555</v>
      </c>
      <c r="D1050" s="350">
        <v>169</v>
      </c>
    </row>
    <row r="1051" spans="1:4" x14ac:dyDescent="0.3">
      <c r="A1051" s="346">
        <v>44698</v>
      </c>
      <c r="B1051" s="347">
        <v>2112</v>
      </c>
      <c r="C1051" s="345">
        <v>152386</v>
      </c>
      <c r="D1051" s="351">
        <v>2044</v>
      </c>
    </row>
    <row r="1052" spans="1:4" x14ac:dyDescent="0.3">
      <c r="A1052" s="346">
        <v>44697</v>
      </c>
      <c r="B1052" s="347">
        <v>3285</v>
      </c>
      <c r="C1052" s="345">
        <v>150342</v>
      </c>
      <c r="D1052" s="350">
        <v>3251</v>
      </c>
    </row>
    <row r="1053" spans="1:4" x14ac:dyDescent="0.3">
      <c r="A1053" s="346">
        <v>44696</v>
      </c>
      <c r="B1053" s="347">
        <v>45</v>
      </c>
      <c r="C1053" s="345">
        <v>147091</v>
      </c>
      <c r="D1053" s="351">
        <v>-1</v>
      </c>
    </row>
    <row r="1054" spans="1:4" x14ac:dyDescent="0.3">
      <c r="A1054" s="346">
        <v>44695</v>
      </c>
      <c r="B1054" s="347">
        <v>55</v>
      </c>
      <c r="C1054" s="345">
        <v>147092</v>
      </c>
      <c r="D1054" s="350">
        <v>6</v>
      </c>
    </row>
    <row r="1055" spans="1:4" x14ac:dyDescent="0.3">
      <c r="A1055" s="346">
        <v>44694</v>
      </c>
      <c r="B1055" s="347">
        <v>63</v>
      </c>
      <c r="C1055" s="345">
        <v>147086</v>
      </c>
      <c r="D1055" s="351">
        <v>24</v>
      </c>
    </row>
    <row r="1056" spans="1:4" x14ac:dyDescent="0.3">
      <c r="A1056" s="346">
        <v>44693</v>
      </c>
      <c r="B1056" s="347">
        <v>51</v>
      </c>
      <c r="C1056" s="345">
        <v>147062</v>
      </c>
      <c r="D1056" s="350">
        <v>7</v>
      </c>
    </row>
    <row r="1057" spans="1:4" x14ac:dyDescent="0.3">
      <c r="A1057" s="346">
        <v>44692</v>
      </c>
      <c r="B1057" s="347">
        <v>47</v>
      </c>
      <c r="C1057" s="345">
        <v>147055</v>
      </c>
      <c r="D1057" s="351">
        <v>15</v>
      </c>
    </row>
    <row r="1058" spans="1:4" x14ac:dyDescent="0.3">
      <c r="A1058" s="346">
        <v>44691</v>
      </c>
      <c r="B1058" s="347">
        <v>50</v>
      </c>
      <c r="C1058" s="345">
        <v>147040</v>
      </c>
      <c r="D1058" s="350">
        <v>18</v>
      </c>
    </row>
    <row r="1059" spans="1:4" x14ac:dyDescent="0.3">
      <c r="A1059" s="346">
        <v>44690</v>
      </c>
      <c r="B1059" s="347">
        <v>53</v>
      </c>
      <c r="C1059" s="345">
        <v>147022</v>
      </c>
      <c r="D1059" s="351">
        <v>3</v>
      </c>
    </row>
    <row r="1060" spans="1:4" x14ac:dyDescent="0.3">
      <c r="A1060" s="346">
        <v>44689</v>
      </c>
      <c r="B1060" s="347">
        <v>64</v>
      </c>
      <c r="C1060" s="345">
        <v>147019</v>
      </c>
      <c r="D1060" s="350">
        <v>25</v>
      </c>
    </row>
    <row r="1061" spans="1:4" x14ac:dyDescent="0.3">
      <c r="A1061" s="346">
        <v>44688</v>
      </c>
      <c r="B1061" s="347">
        <v>40</v>
      </c>
      <c r="C1061" s="345">
        <v>146994</v>
      </c>
      <c r="D1061" s="351">
        <v>1</v>
      </c>
    </row>
    <row r="1062" spans="1:4" x14ac:dyDescent="0.3">
      <c r="A1062" s="346">
        <v>44687</v>
      </c>
      <c r="B1062" s="347">
        <v>50</v>
      </c>
      <c r="C1062" s="345">
        <v>146993</v>
      </c>
      <c r="D1062" s="350">
        <v>9</v>
      </c>
    </row>
    <row r="1063" spans="1:4" x14ac:dyDescent="0.3">
      <c r="A1063" s="346">
        <v>44686</v>
      </c>
      <c r="B1063" s="347">
        <v>49</v>
      </c>
      <c r="C1063" s="345">
        <v>146984</v>
      </c>
      <c r="D1063" s="351">
        <v>0</v>
      </c>
    </row>
    <row r="1064" spans="1:4" x14ac:dyDescent="0.3">
      <c r="A1064" s="346">
        <v>44685</v>
      </c>
      <c r="B1064" s="347">
        <v>46</v>
      </c>
      <c r="C1064" s="345">
        <v>146984</v>
      </c>
      <c r="D1064" s="350">
        <v>1</v>
      </c>
    </row>
    <row r="1065" spans="1:4" x14ac:dyDescent="0.3">
      <c r="A1065" s="346">
        <v>44684</v>
      </c>
      <c r="B1065" s="347">
        <v>47</v>
      </c>
      <c r="C1065" s="345">
        <v>146983</v>
      </c>
      <c r="D1065" s="351">
        <v>15</v>
      </c>
    </row>
    <row r="1066" spans="1:4" x14ac:dyDescent="0.3">
      <c r="A1066" s="346">
        <v>44683</v>
      </c>
      <c r="B1066" s="347">
        <v>46</v>
      </c>
      <c r="C1066" s="345">
        <v>146968</v>
      </c>
      <c r="D1066" s="350">
        <v>13</v>
      </c>
    </row>
    <row r="1067" spans="1:4" x14ac:dyDescent="0.3">
      <c r="A1067" s="346">
        <v>44682</v>
      </c>
      <c r="B1067" s="347">
        <v>36</v>
      </c>
      <c r="C1067" s="345">
        <v>146955</v>
      </c>
      <c r="D1067" s="351">
        <v>-19</v>
      </c>
    </row>
    <row r="1068" spans="1:4" x14ac:dyDescent="0.3">
      <c r="A1068" s="346">
        <v>44681</v>
      </c>
      <c r="B1068" s="347">
        <v>38</v>
      </c>
      <c r="C1068" s="345">
        <v>146974</v>
      </c>
      <c r="D1068" s="350">
        <v>-7</v>
      </c>
    </row>
    <row r="1069" spans="1:4" x14ac:dyDescent="0.3">
      <c r="A1069" s="346">
        <v>44680</v>
      </c>
      <c r="B1069" s="347">
        <v>36</v>
      </c>
      <c r="C1069" s="345">
        <v>146981</v>
      </c>
      <c r="D1069" s="351">
        <v>-2</v>
      </c>
    </row>
    <row r="1070" spans="1:4" x14ac:dyDescent="0.3">
      <c r="A1070" s="346">
        <v>44679</v>
      </c>
      <c r="B1070" s="347">
        <v>35</v>
      </c>
      <c r="C1070" s="345">
        <v>146983</v>
      </c>
      <c r="D1070" s="350">
        <v>14</v>
      </c>
    </row>
    <row r="1071" spans="1:4" x14ac:dyDescent="0.3">
      <c r="A1071" s="346">
        <v>44678</v>
      </c>
      <c r="B1071" s="347">
        <v>50</v>
      </c>
      <c r="C1071" s="345">
        <v>146969</v>
      </c>
      <c r="D1071" s="351">
        <v>11</v>
      </c>
    </row>
    <row r="1072" spans="1:4" x14ac:dyDescent="0.3">
      <c r="A1072" s="346">
        <v>44677</v>
      </c>
      <c r="B1072" s="347">
        <v>52</v>
      </c>
      <c r="C1072" s="345">
        <v>146958</v>
      </c>
      <c r="D1072" s="350">
        <v>16</v>
      </c>
    </row>
    <row r="1073" spans="1:4" x14ac:dyDescent="0.3">
      <c r="A1073" s="346">
        <v>44676</v>
      </c>
      <c r="B1073" s="347">
        <v>45</v>
      </c>
      <c r="C1073" s="345">
        <v>146942</v>
      </c>
      <c r="D1073" s="351">
        <v>-5</v>
      </c>
    </row>
    <row r="1074" spans="1:4" x14ac:dyDescent="0.3">
      <c r="A1074" s="346">
        <v>44675</v>
      </c>
      <c r="B1074" s="347">
        <v>57</v>
      </c>
      <c r="C1074" s="345">
        <v>146947</v>
      </c>
      <c r="D1074" s="350">
        <v>6</v>
      </c>
    </row>
    <row r="1075" spans="1:4" x14ac:dyDescent="0.3">
      <c r="A1075" s="346">
        <v>44674</v>
      </c>
      <c r="B1075" s="347">
        <v>58</v>
      </c>
      <c r="C1075" s="345">
        <v>146941</v>
      </c>
      <c r="D1075" s="351">
        <v>1</v>
      </c>
    </row>
    <row r="1076" spans="1:4" x14ac:dyDescent="0.3">
      <c r="A1076" s="346">
        <v>44673</v>
      </c>
      <c r="B1076" s="347">
        <v>53</v>
      </c>
      <c r="C1076" s="345">
        <v>146940</v>
      </c>
      <c r="D1076" s="350">
        <v>9</v>
      </c>
    </row>
    <row r="1077" spans="1:4" x14ac:dyDescent="0.3">
      <c r="A1077" s="346">
        <v>44672</v>
      </c>
      <c r="B1077" s="347">
        <v>58</v>
      </c>
      <c r="C1077" s="345">
        <v>146931</v>
      </c>
      <c r="D1077" s="351">
        <v>9</v>
      </c>
    </row>
    <row r="1078" spans="1:4" x14ac:dyDescent="0.3">
      <c r="A1078" s="346">
        <v>44671</v>
      </c>
      <c r="B1078" s="347">
        <v>41</v>
      </c>
      <c r="C1078" s="345">
        <v>146922</v>
      </c>
      <c r="D1078" s="350">
        <v>0</v>
      </c>
    </row>
    <row r="1079" spans="1:4" x14ac:dyDescent="0.3">
      <c r="A1079" s="346">
        <v>44670</v>
      </c>
      <c r="B1079" s="347">
        <v>49</v>
      </c>
      <c r="C1079" s="345">
        <v>146922</v>
      </c>
      <c r="D1079" s="351">
        <v>11</v>
      </c>
    </row>
    <row r="1080" spans="1:4" x14ac:dyDescent="0.3">
      <c r="A1080" s="346">
        <v>44669</v>
      </c>
      <c r="B1080" s="347">
        <v>43</v>
      </c>
      <c r="C1080" s="345">
        <v>146911</v>
      </c>
      <c r="D1080" s="350">
        <v>-14</v>
      </c>
    </row>
    <row r="1081" spans="1:4" x14ac:dyDescent="0.3">
      <c r="A1081" s="346">
        <v>44668</v>
      </c>
      <c r="B1081" s="347">
        <v>71</v>
      </c>
      <c r="C1081" s="345">
        <v>146925</v>
      </c>
      <c r="D1081" s="351">
        <v>20</v>
      </c>
    </row>
    <row r="1082" spans="1:4" x14ac:dyDescent="0.3">
      <c r="A1082" s="346">
        <v>44667</v>
      </c>
      <c r="B1082" s="347">
        <v>50</v>
      </c>
      <c r="C1082" s="345">
        <v>146905</v>
      </c>
      <c r="D1082" s="350">
        <v>12</v>
      </c>
    </row>
    <row r="1083" spans="1:4" x14ac:dyDescent="0.3">
      <c r="A1083" s="346">
        <v>44666</v>
      </c>
      <c r="B1083" s="347">
        <v>49</v>
      </c>
      <c r="C1083" s="345">
        <v>146893</v>
      </c>
      <c r="D1083" s="351">
        <v>13</v>
      </c>
    </row>
    <row r="1084" spans="1:4" x14ac:dyDescent="0.3">
      <c r="A1084" s="346">
        <v>44665</v>
      </c>
      <c r="B1084" s="347">
        <v>61</v>
      </c>
      <c r="C1084" s="345">
        <v>146880</v>
      </c>
      <c r="D1084" s="350">
        <v>6</v>
      </c>
    </row>
    <row r="1085" spans="1:4" x14ac:dyDescent="0.3">
      <c r="A1085" s="346">
        <v>44664</v>
      </c>
      <c r="B1085" s="347">
        <v>44</v>
      </c>
      <c r="C1085" s="345">
        <v>146874</v>
      </c>
      <c r="D1085" s="351">
        <v>-8</v>
      </c>
    </row>
    <row r="1086" spans="1:4" x14ac:dyDescent="0.3">
      <c r="A1086" s="346">
        <v>44663</v>
      </c>
      <c r="B1086" s="347">
        <v>49</v>
      </c>
      <c r="C1086" s="345">
        <v>146882</v>
      </c>
      <c r="D1086" s="350">
        <v>-1</v>
      </c>
    </row>
    <row r="1087" spans="1:4" x14ac:dyDescent="0.3">
      <c r="A1087" s="346">
        <v>44662</v>
      </c>
      <c r="B1087" s="347">
        <v>43</v>
      </c>
      <c r="C1087" s="345">
        <v>146883</v>
      </c>
      <c r="D1087" s="351">
        <v>-6</v>
      </c>
    </row>
    <row r="1088" spans="1:4" x14ac:dyDescent="0.3">
      <c r="A1088" s="346">
        <v>44661</v>
      </c>
      <c r="B1088" s="347">
        <v>54</v>
      </c>
      <c r="C1088" s="345">
        <v>146889</v>
      </c>
      <c r="D1088" s="350">
        <v>23</v>
      </c>
    </row>
    <row r="1089" spans="1:4" x14ac:dyDescent="0.3">
      <c r="A1089" s="346">
        <v>44660</v>
      </c>
      <c r="B1089" s="347">
        <v>43</v>
      </c>
      <c r="C1089" s="345">
        <v>146866</v>
      </c>
      <c r="D1089" s="351">
        <v>-3</v>
      </c>
    </row>
    <row r="1090" spans="1:4" x14ac:dyDescent="0.3">
      <c r="A1090" s="346">
        <v>44659</v>
      </c>
      <c r="B1090" s="347">
        <v>53</v>
      </c>
      <c r="C1090" s="345">
        <v>146869</v>
      </c>
      <c r="D1090" s="350">
        <v>7</v>
      </c>
    </row>
    <row r="1091" spans="1:4" x14ac:dyDescent="0.3">
      <c r="A1091" s="346">
        <v>44658</v>
      </c>
      <c r="B1091" s="347">
        <v>55</v>
      </c>
      <c r="C1091" s="345">
        <v>146862</v>
      </c>
      <c r="D1091" s="351">
        <v>-7</v>
      </c>
    </row>
    <row r="1092" spans="1:4" x14ac:dyDescent="0.3">
      <c r="A1092" s="346">
        <v>44657</v>
      </c>
      <c r="B1092" s="347">
        <v>64</v>
      </c>
      <c r="C1092" s="345">
        <v>146869</v>
      </c>
      <c r="D1092" s="350">
        <v>-16</v>
      </c>
    </row>
    <row r="1093" spans="1:4" x14ac:dyDescent="0.3">
      <c r="A1093" s="346">
        <v>44656</v>
      </c>
      <c r="B1093" s="347">
        <v>57</v>
      </c>
      <c r="C1093" s="345">
        <v>146885</v>
      </c>
      <c r="D1093" s="351">
        <v>2</v>
      </c>
    </row>
    <row r="1094" spans="1:4" x14ac:dyDescent="0.3">
      <c r="A1094" s="346">
        <v>44655</v>
      </c>
      <c r="B1094" s="347">
        <v>52</v>
      </c>
      <c r="C1094" s="345">
        <v>146883</v>
      </c>
      <c r="D1094" s="350">
        <v>14</v>
      </c>
    </row>
    <row r="1095" spans="1:4" x14ac:dyDescent="0.3">
      <c r="A1095" s="346">
        <v>44654</v>
      </c>
      <c r="B1095" s="347">
        <v>37</v>
      </c>
      <c r="C1095" s="345">
        <v>146869</v>
      </c>
      <c r="D1095" s="351">
        <v>-2</v>
      </c>
    </row>
    <row r="1096" spans="1:4" x14ac:dyDescent="0.3">
      <c r="A1096" s="346">
        <v>44653</v>
      </c>
      <c r="B1096" s="347">
        <v>47</v>
      </c>
      <c r="C1096" s="345">
        <v>146871</v>
      </c>
      <c r="D1096" s="350">
        <v>10</v>
      </c>
    </row>
    <row r="1097" spans="1:4" x14ac:dyDescent="0.3">
      <c r="A1097" s="346">
        <v>44652</v>
      </c>
      <c r="B1097" s="347">
        <v>33</v>
      </c>
      <c r="C1097" s="345">
        <v>146861</v>
      </c>
      <c r="D1097" s="351">
        <v>-9</v>
      </c>
    </row>
    <row r="1098" spans="1:4" x14ac:dyDescent="0.3">
      <c r="A1098" s="346">
        <v>44651</v>
      </c>
      <c r="B1098" s="347">
        <v>31</v>
      </c>
      <c r="C1098" s="345">
        <v>146870</v>
      </c>
      <c r="D1098" s="350">
        <v>-1</v>
      </c>
    </row>
    <row r="1099" spans="1:4" x14ac:dyDescent="0.3">
      <c r="A1099" s="346">
        <v>44650</v>
      </c>
      <c r="B1099" s="347">
        <v>42</v>
      </c>
      <c r="C1099" s="345">
        <v>146871</v>
      </c>
      <c r="D1099" s="351">
        <v>3</v>
      </c>
    </row>
    <row r="1100" spans="1:4" x14ac:dyDescent="0.3">
      <c r="A1100" s="346">
        <v>44649</v>
      </c>
      <c r="B1100" s="347">
        <v>50</v>
      </c>
      <c r="C1100" s="345">
        <v>146868</v>
      </c>
      <c r="D1100" s="350">
        <v>10</v>
      </c>
    </row>
    <row r="1101" spans="1:4" x14ac:dyDescent="0.3">
      <c r="A1101" s="346">
        <v>44648</v>
      </c>
      <c r="B1101" s="347">
        <v>52</v>
      </c>
      <c r="C1101" s="345">
        <v>146858</v>
      </c>
      <c r="D1101" s="351">
        <v>10</v>
      </c>
    </row>
    <row r="1102" spans="1:4" x14ac:dyDescent="0.3">
      <c r="A1102" s="346">
        <v>44647</v>
      </c>
      <c r="B1102" s="347">
        <v>58</v>
      </c>
      <c r="C1102" s="345">
        <v>146848</v>
      </c>
      <c r="D1102" s="350">
        <v>19</v>
      </c>
    </row>
    <row r="1103" spans="1:4" x14ac:dyDescent="0.3">
      <c r="A1103" s="346">
        <v>44646</v>
      </c>
      <c r="B1103" s="347">
        <v>62</v>
      </c>
      <c r="C1103" s="345">
        <v>146829</v>
      </c>
      <c r="D1103" s="351">
        <v>-1</v>
      </c>
    </row>
    <row r="1104" spans="1:4" x14ac:dyDescent="0.3">
      <c r="A1104" s="346">
        <v>44645</v>
      </c>
      <c r="B1104" s="347">
        <v>60</v>
      </c>
      <c r="C1104" s="345">
        <v>146830</v>
      </c>
      <c r="D1104" s="350">
        <v>14</v>
      </c>
    </row>
    <row r="1105" spans="1:4" x14ac:dyDescent="0.3">
      <c r="A1105" s="346">
        <v>44644</v>
      </c>
      <c r="B1105" s="347">
        <v>41</v>
      </c>
      <c r="C1105" s="345">
        <v>146816</v>
      </c>
      <c r="D1105" s="351">
        <v>1</v>
      </c>
    </row>
    <row r="1106" spans="1:4" x14ac:dyDescent="0.3">
      <c r="A1106" s="346">
        <v>44643</v>
      </c>
      <c r="B1106" s="347">
        <v>42</v>
      </c>
      <c r="C1106" s="345">
        <v>146815</v>
      </c>
      <c r="D1106" s="350">
        <v>2</v>
      </c>
    </row>
    <row r="1107" spans="1:4" x14ac:dyDescent="0.3">
      <c r="A1107" s="346">
        <v>44642</v>
      </c>
      <c r="B1107" s="347">
        <v>44</v>
      </c>
      <c r="C1107" s="345">
        <v>146813</v>
      </c>
      <c r="D1107" s="351">
        <v>9</v>
      </c>
    </row>
    <row r="1108" spans="1:4" x14ac:dyDescent="0.3">
      <c r="A1108" s="346">
        <v>44641</v>
      </c>
      <c r="B1108" s="347">
        <v>54</v>
      </c>
      <c r="C1108" s="345">
        <v>146804</v>
      </c>
      <c r="D1108" s="350">
        <v>15</v>
      </c>
    </row>
    <row r="1109" spans="1:4" x14ac:dyDescent="0.3">
      <c r="A1109" s="346">
        <v>44640</v>
      </c>
      <c r="B1109" s="347">
        <v>70</v>
      </c>
      <c r="C1109" s="345">
        <v>146789</v>
      </c>
      <c r="D1109" s="351">
        <v>16</v>
      </c>
    </row>
    <row r="1110" spans="1:4" x14ac:dyDescent="0.3">
      <c r="A1110" s="346">
        <v>44639</v>
      </c>
      <c r="B1110" s="347">
        <v>84</v>
      </c>
      <c r="C1110" s="345">
        <v>146773</v>
      </c>
      <c r="D1110" s="350">
        <v>34</v>
      </c>
    </row>
    <row r="1111" spans="1:4" x14ac:dyDescent="0.3">
      <c r="A1111" s="346">
        <v>44638</v>
      </c>
      <c r="B1111" s="347">
        <v>177</v>
      </c>
      <c r="C1111" s="345">
        <v>146739</v>
      </c>
      <c r="D1111" s="351">
        <v>120</v>
      </c>
    </row>
    <row r="1112" spans="1:4" x14ac:dyDescent="0.3">
      <c r="A1112" s="346">
        <v>44637</v>
      </c>
      <c r="B1112" s="347">
        <v>60</v>
      </c>
      <c r="C1112" s="345">
        <v>146619</v>
      </c>
      <c r="D1112" s="350">
        <v>-2</v>
      </c>
    </row>
    <row r="1113" spans="1:4" x14ac:dyDescent="0.3">
      <c r="A1113" s="346">
        <v>44636</v>
      </c>
      <c r="B1113" s="347">
        <v>57</v>
      </c>
      <c r="C1113" s="345">
        <v>146621</v>
      </c>
      <c r="D1113" s="351">
        <v>23</v>
      </c>
    </row>
    <row r="1114" spans="1:4" x14ac:dyDescent="0.3">
      <c r="A1114" s="346">
        <v>44635</v>
      </c>
      <c r="B1114" s="347">
        <v>66</v>
      </c>
      <c r="C1114" s="345">
        <v>146598</v>
      </c>
      <c r="D1114" s="350">
        <v>17</v>
      </c>
    </row>
    <row r="1115" spans="1:4" x14ac:dyDescent="0.3">
      <c r="A1115" s="346">
        <v>44634</v>
      </c>
      <c r="B1115" s="347">
        <v>80</v>
      </c>
      <c r="C1115" s="345">
        <v>146581</v>
      </c>
      <c r="D1115" s="351">
        <v>31</v>
      </c>
    </row>
    <row r="1116" spans="1:4" x14ac:dyDescent="0.3">
      <c r="A1116" s="346">
        <v>44633</v>
      </c>
      <c r="B1116" s="347">
        <v>69</v>
      </c>
      <c r="C1116" s="345">
        <v>146550</v>
      </c>
      <c r="D1116" s="350">
        <v>39</v>
      </c>
    </row>
    <row r="1117" spans="1:4" x14ac:dyDescent="0.3">
      <c r="A1117" s="346">
        <v>44632</v>
      </c>
      <c r="B1117" s="347">
        <v>42</v>
      </c>
      <c r="C1117" s="345">
        <v>146511</v>
      </c>
      <c r="D1117" s="351">
        <v>-29</v>
      </c>
    </row>
    <row r="1118" spans="1:4" x14ac:dyDescent="0.3">
      <c r="A1118" s="346">
        <v>44631</v>
      </c>
      <c r="B1118" s="347">
        <v>42</v>
      </c>
      <c r="C1118" s="345">
        <v>146540</v>
      </c>
      <c r="D1118" s="350">
        <v>-13</v>
      </c>
    </row>
    <row r="1119" spans="1:4" x14ac:dyDescent="0.3">
      <c r="A1119" s="346">
        <v>44630</v>
      </c>
      <c r="B1119" s="347">
        <v>39</v>
      </c>
      <c r="C1119" s="345">
        <v>146553</v>
      </c>
      <c r="D1119" s="351">
        <v>-13</v>
      </c>
    </row>
    <row r="1120" spans="1:4" x14ac:dyDescent="0.3">
      <c r="A1120" s="346">
        <v>44629</v>
      </c>
      <c r="B1120" s="347">
        <v>48</v>
      </c>
      <c r="C1120" s="345">
        <v>146566</v>
      </c>
      <c r="D1120" s="350">
        <v>-19</v>
      </c>
    </row>
    <row r="1121" spans="1:4" x14ac:dyDescent="0.3">
      <c r="A1121" s="346">
        <v>44628</v>
      </c>
      <c r="B1121" s="347">
        <v>49</v>
      </c>
      <c r="C1121" s="345">
        <v>146585</v>
      </c>
      <c r="D1121" s="351">
        <v>-7</v>
      </c>
    </row>
    <row r="1122" spans="1:4" x14ac:dyDescent="0.3">
      <c r="A1122" s="346">
        <v>44627</v>
      </c>
      <c r="B1122" s="347">
        <v>44</v>
      </c>
      <c r="C1122" s="345">
        <v>146592</v>
      </c>
      <c r="D1122" s="350">
        <v>-30</v>
      </c>
    </row>
    <row r="1123" spans="1:4" x14ac:dyDescent="0.3">
      <c r="A1123" s="346">
        <v>44626</v>
      </c>
      <c r="B1123" s="347">
        <v>86</v>
      </c>
      <c r="C1123" s="345">
        <v>146622</v>
      </c>
      <c r="D1123" s="351">
        <v>29</v>
      </c>
    </row>
    <row r="1124" spans="1:4" x14ac:dyDescent="0.3">
      <c r="A1124" s="346">
        <v>44625</v>
      </c>
      <c r="B1124" s="347">
        <v>67</v>
      </c>
      <c r="C1124" s="345">
        <v>146593</v>
      </c>
      <c r="D1124" s="350">
        <v>2</v>
      </c>
    </row>
    <row r="1125" spans="1:4" x14ac:dyDescent="0.3">
      <c r="A1125" s="346">
        <v>44624</v>
      </c>
      <c r="B1125" s="347">
        <v>42</v>
      </c>
      <c r="C1125" s="345">
        <v>146591</v>
      </c>
      <c r="D1125" s="351">
        <v>-34</v>
      </c>
    </row>
    <row r="1126" spans="1:4" x14ac:dyDescent="0.3">
      <c r="A1126" s="346">
        <v>44623</v>
      </c>
      <c r="B1126" s="347">
        <v>53</v>
      </c>
      <c r="C1126" s="345">
        <v>146625</v>
      </c>
      <c r="D1126" s="350">
        <v>-19</v>
      </c>
    </row>
    <row r="1127" spans="1:4" x14ac:dyDescent="0.3">
      <c r="A1127" s="346">
        <v>44622</v>
      </c>
      <c r="B1127" s="347">
        <v>53</v>
      </c>
      <c r="C1127" s="345">
        <v>146644</v>
      </c>
      <c r="D1127" s="351">
        <v>0</v>
      </c>
    </row>
    <row r="1128" spans="1:4" x14ac:dyDescent="0.3">
      <c r="A1128" s="346">
        <v>44621</v>
      </c>
      <c r="B1128" s="347">
        <v>51</v>
      </c>
      <c r="C1128" s="345">
        <v>146644</v>
      </c>
      <c r="D1128" s="350">
        <v>-4</v>
      </c>
    </row>
    <row r="1129" spans="1:4" x14ac:dyDescent="0.3">
      <c r="A1129" s="346">
        <v>44620</v>
      </c>
      <c r="B1129" s="347">
        <v>59</v>
      </c>
      <c r="C1129" s="345">
        <v>146648</v>
      </c>
      <c r="D1129" s="351">
        <v>-6</v>
      </c>
    </row>
    <row r="1130" spans="1:4" x14ac:dyDescent="0.3">
      <c r="A1130" s="346">
        <v>44619</v>
      </c>
      <c r="B1130" s="347">
        <v>55</v>
      </c>
      <c r="C1130" s="345">
        <v>146654</v>
      </c>
      <c r="D1130" s="350">
        <v>-6</v>
      </c>
    </row>
    <row r="1131" spans="1:4" x14ac:dyDescent="0.3">
      <c r="A1131" s="346">
        <v>44618</v>
      </c>
      <c r="B1131" s="347">
        <v>53</v>
      </c>
      <c r="C1131" s="345">
        <v>146660</v>
      </c>
      <c r="D1131" s="351">
        <v>-24</v>
      </c>
    </row>
    <row r="1132" spans="1:4" x14ac:dyDescent="0.3">
      <c r="A1132" s="346">
        <v>44617</v>
      </c>
      <c r="B1132" s="347">
        <v>41</v>
      </c>
      <c r="C1132" s="345">
        <v>146684</v>
      </c>
      <c r="D1132" s="350">
        <v>-12</v>
      </c>
    </row>
    <row r="1133" spans="1:4" x14ac:dyDescent="0.3">
      <c r="A1133" s="346">
        <v>44616</v>
      </c>
      <c r="B1133" s="347">
        <v>59</v>
      </c>
      <c r="C1133" s="345">
        <v>146696</v>
      </c>
      <c r="D1133" s="351">
        <v>-1</v>
      </c>
    </row>
    <row r="1134" spans="1:4" x14ac:dyDescent="0.3">
      <c r="A1134" s="346">
        <v>44615</v>
      </c>
      <c r="B1134" s="347">
        <v>50</v>
      </c>
      <c r="C1134" s="345">
        <v>146697</v>
      </c>
      <c r="D1134" s="350">
        <v>5</v>
      </c>
    </row>
    <row r="1135" spans="1:4" x14ac:dyDescent="0.3">
      <c r="A1135" s="346">
        <v>44614</v>
      </c>
      <c r="B1135" s="347">
        <v>52</v>
      </c>
      <c r="C1135" s="345">
        <v>146692</v>
      </c>
      <c r="D1135" s="351">
        <v>-13</v>
      </c>
    </row>
    <row r="1136" spans="1:4" x14ac:dyDescent="0.3">
      <c r="A1136" s="346">
        <v>44613</v>
      </c>
      <c r="B1136" s="347">
        <v>73</v>
      </c>
      <c r="C1136" s="345">
        <v>146705</v>
      </c>
      <c r="D1136" s="350">
        <v>25</v>
      </c>
    </row>
    <row r="1137" spans="1:4" x14ac:dyDescent="0.3">
      <c r="A1137" s="346">
        <v>44612</v>
      </c>
      <c r="B1137" s="347">
        <v>65</v>
      </c>
      <c r="C1137" s="345">
        <v>146680</v>
      </c>
      <c r="D1137" s="351">
        <v>11</v>
      </c>
    </row>
    <row r="1138" spans="1:4" x14ac:dyDescent="0.3">
      <c r="A1138" s="346">
        <v>44611</v>
      </c>
      <c r="B1138" s="347">
        <v>49</v>
      </c>
      <c r="C1138" s="345">
        <v>146669</v>
      </c>
      <c r="D1138" s="350">
        <v>-15</v>
      </c>
    </row>
    <row r="1139" spans="1:4" x14ac:dyDescent="0.3">
      <c r="A1139" s="346">
        <v>44610</v>
      </c>
      <c r="B1139" s="347">
        <v>43</v>
      </c>
      <c r="C1139" s="345">
        <v>146684</v>
      </c>
      <c r="D1139" s="351">
        <v>-21</v>
      </c>
    </row>
    <row r="1140" spans="1:4" x14ac:dyDescent="0.3">
      <c r="A1140" s="346">
        <v>44609</v>
      </c>
      <c r="B1140" s="347">
        <v>60</v>
      </c>
      <c r="C1140" s="345">
        <v>146705</v>
      </c>
      <c r="D1140" s="350">
        <v>0</v>
      </c>
    </row>
    <row r="1141" spans="1:4" x14ac:dyDescent="0.3">
      <c r="A1141" s="346">
        <v>44608</v>
      </c>
      <c r="B1141" s="347">
        <v>54</v>
      </c>
      <c r="C1141" s="345">
        <v>146705</v>
      </c>
      <c r="D1141" s="351">
        <v>-3</v>
      </c>
    </row>
    <row r="1142" spans="1:4" x14ac:dyDescent="0.3">
      <c r="A1142" s="346">
        <v>44607</v>
      </c>
      <c r="B1142" s="347">
        <v>53</v>
      </c>
      <c r="C1142" s="345">
        <v>146708</v>
      </c>
      <c r="D1142" s="350">
        <v>0</v>
      </c>
    </row>
    <row r="1143" spans="1:4" x14ac:dyDescent="0.3">
      <c r="A1143" s="346">
        <v>44606</v>
      </c>
      <c r="B1143" s="347">
        <v>63</v>
      </c>
      <c r="C1143" s="345">
        <v>146708</v>
      </c>
      <c r="D1143" s="351">
        <v>20</v>
      </c>
    </row>
    <row r="1144" spans="1:4" x14ac:dyDescent="0.3">
      <c r="A1144" s="346">
        <v>44605</v>
      </c>
      <c r="B1144" s="347">
        <v>73</v>
      </c>
      <c r="C1144" s="345">
        <v>146688</v>
      </c>
      <c r="D1144" s="350">
        <v>7</v>
      </c>
    </row>
    <row r="1145" spans="1:4" x14ac:dyDescent="0.3">
      <c r="A1145" s="346">
        <v>44604</v>
      </c>
      <c r="B1145" s="347">
        <v>76</v>
      </c>
      <c r="C1145" s="345">
        <v>146681</v>
      </c>
      <c r="D1145" s="351">
        <v>16</v>
      </c>
    </row>
    <row r="1146" spans="1:4" x14ac:dyDescent="0.3">
      <c r="A1146" s="346">
        <v>44603</v>
      </c>
      <c r="B1146" s="347">
        <v>54</v>
      </c>
      <c r="C1146" s="345">
        <v>146665</v>
      </c>
      <c r="D1146" s="350">
        <v>-12</v>
      </c>
    </row>
    <row r="1147" spans="1:4" x14ac:dyDescent="0.3">
      <c r="A1147" s="346">
        <v>44602</v>
      </c>
      <c r="B1147" s="347">
        <v>88</v>
      </c>
      <c r="C1147" s="345">
        <v>146677</v>
      </c>
      <c r="D1147" s="351">
        <v>25</v>
      </c>
    </row>
    <row r="1148" spans="1:4" x14ac:dyDescent="0.3">
      <c r="A1148" s="346">
        <v>44601</v>
      </c>
      <c r="B1148" s="347">
        <v>67</v>
      </c>
      <c r="C1148" s="345">
        <v>146652</v>
      </c>
      <c r="D1148" s="350">
        <v>0</v>
      </c>
    </row>
    <row r="1149" spans="1:4" x14ac:dyDescent="0.3">
      <c r="A1149" s="346">
        <v>44600</v>
      </c>
      <c r="B1149" s="347">
        <v>48</v>
      </c>
      <c r="C1149" s="345">
        <v>146652</v>
      </c>
      <c r="D1149" s="351">
        <v>-30</v>
      </c>
    </row>
    <row r="1150" spans="1:4" x14ac:dyDescent="0.3">
      <c r="A1150" s="346">
        <v>44599</v>
      </c>
      <c r="B1150" s="347">
        <v>44</v>
      </c>
      <c r="C1150" s="345">
        <v>146682</v>
      </c>
      <c r="D1150" s="350">
        <v>-23</v>
      </c>
    </row>
    <row r="1151" spans="1:4" x14ac:dyDescent="0.3">
      <c r="A1151" s="346">
        <v>44598</v>
      </c>
      <c r="B1151" s="347">
        <v>40</v>
      </c>
      <c r="C1151" s="345">
        <v>146705</v>
      </c>
      <c r="D1151" s="351">
        <v>-20</v>
      </c>
    </row>
    <row r="1152" spans="1:4" x14ac:dyDescent="0.3">
      <c r="A1152" s="346">
        <v>44597</v>
      </c>
      <c r="B1152" s="347">
        <v>37</v>
      </c>
      <c r="C1152" s="345">
        <v>146725</v>
      </c>
      <c r="D1152" s="350">
        <v>-24</v>
      </c>
    </row>
    <row r="1153" spans="1:4" x14ac:dyDescent="0.3">
      <c r="A1153" s="346">
        <v>44596</v>
      </c>
      <c r="B1153" s="347">
        <v>39</v>
      </c>
      <c r="C1153" s="345">
        <v>146749</v>
      </c>
      <c r="D1153" s="351">
        <v>-18</v>
      </c>
    </row>
    <row r="1154" spans="1:4" x14ac:dyDescent="0.3">
      <c r="A1154" s="346">
        <v>44595</v>
      </c>
      <c r="B1154" s="347">
        <v>37</v>
      </c>
      <c r="C1154" s="345">
        <v>146767</v>
      </c>
      <c r="D1154" s="350">
        <v>-8</v>
      </c>
    </row>
    <row r="1155" spans="1:4" x14ac:dyDescent="0.3">
      <c r="A1155" s="346">
        <v>44594</v>
      </c>
      <c r="B1155" s="347">
        <v>45</v>
      </c>
      <c r="C1155" s="345">
        <v>146775</v>
      </c>
      <c r="D1155" s="351">
        <v>0</v>
      </c>
    </row>
    <row r="1156" spans="1:4" x14ac:dyDescent="0.3">
      <c r="A1156" s="346">
        <v>44593</v>
      </c>
      <c r="B1156" s="347">
        <v>34</v>
      </c>
      <c r="C1156" s="345">
        <v>146775</v>
      </c>
      <c r="D1156" s="350">
        <v>-30</v>
      </c>
    </row>
    <row r="1157" spans="1:4" x14ac:dyDescent="0.3">
      <c r="A1157" s="346">
        <v>44592</v>
      </c>
      <c r="B1157" s="347">
        <v>31</v>
      </c>
      <c r="C1157" s="345">
        <v>146805</v>
      </c>
      <c r="D1157" s="351">
        <v>1</v>
      </c>
    </row>
    <row r="1158" spans="1:4" x14ac:dyDescent="0.3">
      <c r="A1158" s="346">
        <v>44591</v>
      </c>
      <c r="B1158" s="347">
        <v>40</v>
      </c>
      <c r="C1158" s="345">
        <v>146804</v>
      </c>
      <c r="D1158" s="350">
        <v>-27</v>
      </c>
    </row>
    <row r="1159" spans="1:4" x14ac:dyDescent="0.3">
      <c r="A1159" s="346">
        <v>44590</v>
      </c>
      <c r="B1159" s="347">
        <v>47</v>
      </c>
      <c r="C1159" s="345">
        <v>146831</v>
      </c>
      <c r="D1159" s="351">
        <v>-18</v>
      </c>
    </row>
    <row r="1160" spans="1:4" x14ac:dyDescent="0.3">
      <c r="A1160" s="346">
        <v>44589</v>
      </c>
      <c r="B1160" s="347">
        <v>36</v>
      </c>
      <c r="C1160" s="345">
        <v>146849</v>
      </c>
      <c r="D1160" s="350">
        <v>-23</v>
      </c>
    </row>
    <row r="1161" spans="1:4" x14ac:dyDescent="0.3">
      <c r="A1161" s="346">
        <v>44588</v>
      </c>
      <c r="B1161" s="347">
        <v>34</v>
      </c>
      <c r="C1161" s="345">
        <v>146872</v>
      </c>
      <c r="D1161" s="351">
        <v>-27</v>
      </c>
    </row>
    <row r="1162" spans="1:4" x14ac:dyDescent="0.3">
      <c r="A1162" s="346">
        <v>44587</v>
      </c>
      <c r="B1162" s="347">
        <v>35</v>
      </c>
      <c r="C1162" s="345">
        <v>146899</v>
      </c>
      <c r="D1162" s="350">
        <v>-35</v>
      </c>
    </row>
    <row r="1163" spans="1:4" x14ac:dyDescent="0.3">
      <c r="A1163" s="346">
        <v>44586</v>
      </c>
      <c r="B1163" s="347">
        <v>37</v>
      </c>
      <c r="C1163" s="345">
        <v>146934</v>
      </c>
      <c r="D1163" s="351">
        <v>-18</v>
      </c>
    </row>
    <row r="1164" spans="1:4" x14ac:dyDescent="0.3">
      <c r="A1164" s="346">
        <v>44585</v>
      </c>
      <c r="B1164" s="347">
        <v>44</v>
      </c>
      <c r="C1164" s="345">
        <v>146952</v>
      </c>
      <c r="D1164" s="350">
        <v>-19</v>
      </c>
    </row>
    <row r="1165" spans="1:4" x14ac:dyDescent="0.3">
      <c r="A1165" s="346">
        <v>44584</v>
      </c>
      <c r="B1165" s="347">
        <v>55</v>
      </c>
      <c r="C1165" s="345">
        <v>146971</v>
      </c>
      <c r="D1165" s="351">
        <v>-22</v>
      </c>
    </row>
    <row r="1166" spans="1:4" x14ac:dyDescent="0.3">
      <c r="A1166" s="346">
        <v>44583</v>
      </c>
      <c r="B1166" s="347">
        <v>33</v>
      </c>
      <c r="C1166" s="345">
        <v>146993</v>
      </c>
      <c r="D1166" s="350">
        <v>-33</v>
      </c>
    </row>
    <row r="1167" spans="1:4" x14ac:dyDescent="0.3">
      <c r="A1167" s="346">
        <v>44582</v>
      </c>
      <c r="B1167" s="347">
        <v>49</v>
      </c>
      <c r="C1167" s="345">
        <v>147026</v>
      </c>
      <c r="D1167" s="351">
        <v>-12</v>
      </c>
    </row>
    <row r="1168" spans="1:4" x14ac:dyDescent="0.3">
      <c r="A1168" s="346">
        <v>44581</v>
      </c>
      <c r="B1168" s="347">
        <v>39</v>
      </c>
      <c r="C1168" s="345">
        <v>147038</v>
      </c>
      <c r="D1168" s="350">
        <v>-25</v>
      </c>
    </row>
    <row r="1169" spans="1:4" x14ac:dyDescent="0.3">
      <c r="A1169" s="346">
        <v>44580</v>
      </c>
      <c r="B1169" s="347">
        <v>40</v>
      </c>
      <c r="C1169" s="345">
        <v>147063</v>
      </c>
      <c r="D1169" s="351">
        <v>-24</v>
      </c>
    </row>
    <row r="1170" spans="1:4" x14ac:dyDescent="0.3">
      <c r="A1170" s="346">
        <v>44579</v>
      </c>
      <c r="B1170" s="347">
        <v>40</v>
      </c>
      <c r="C1170" s="345">
        <v>147087</v>
      </c>
      <c r="D1170" s="350">
        <v>-21</v>
      </c>
    </row>
    <row r="1171" spans="1:4" x14ac:dyDescent="0.3">
      <c r="A1171" s="346">
        <v>44578</v>
      </c>
      <c r="B1171" s="347">
        <v>46</v>
      </c>
      <c r="C1171" s="345">
        <v>147108</v>
      </c>
      <c r="D1171" s="351">
        <v>3</v>
      </c>
    </row>
    <row r="1172" spans="1:4" x14ac:dyDescent="0.3">
      <c r="A1172" s="346">
        <v>44577</v>
      </c>
      <c r="B1172" s="347">
        <v>59</v>
      </c>
      <c r="C1172" s="345">
        <v>147105</v>
      </c>
      <c r="D1172" s="350">
        <v>-26</v>
      </c>
    </row>
    <row r="1173" spans="1:4" x14ac:dyDescent="0.3">
      <c r="A1173" s="346">
        <v>44576</v>
      </c>
      <c r="B1173" s="347">
        <v>45</v>
      </c>
      <c r="C1173" s="345">
        <v>147131</v>
      </c>
      <c r="D1173" s="351">
        <v>-22</v>
      </c>
    </row>
    <row r="1174" spans="1:4" x14ac:dyDescent="0.3">
      <c r="A1174" s="346">
        <v>44575</v>
      </c>
      <c r="B1174" s="347">
        <v>47</v>
      </c>
      <c r="C1174" s="345">
        <v>147153</v>
      </c>
      <c r="D1174" s="350">
        <v>-11</v>
      </c>
    </row>
    <row r="1175" spans="1:4" x14ac:dyDescent="0.3">
      <c r="A1175" s="346">
        <v>44574</v>
      </c>
      <c r="B1175" s="347">
        <v>68</v>
      </c>
      <c r="C1175" s="345">
        <v>147164</v>
      </c>
      <c r="D1175" s="351">
        <v>6</v>
      </c>
    </row>
    <row r="1176" spans="1:4" x14ac:dyDescent="0.3">
      <c r="A1176" s="346">
        <v>44573</v>
      </c>
      <c r="B1176" s="347">
        <v>63</v>
      </c>
      <c r="C1176" s="345">
        <v>147158</v>
      </c>
      <c r="D1176" s="350">
        <v>-1</v>
      </c>
    </row>
    <row r="1177" spans="1:4" x14ac:dyDescent="0.3">
      <c r="A1177" s="346">
        <v>44572</v>
      </c>
      <c r="B1177" s="347">
        <v>74</v>
      </c>
      <c r="C1177" s="345">
        <v>147159</v>
      </c>
      <c r="D1177" s="351">
        <v>-4</v>
      </c>
    </row>
    <row r="1178" spans="1:4" x14ac:dyDescent="0.3">
      <c r="A1178" s="346">
        <v>44571</v>
      </c>
      <c r="B1178" s="347">
        <v>62</v>
      </c>
      <c r="C1178" s="345">
        <v>147163</v>
      </c>
      <c r="D1178" s="350">
        <v>-23</v>
      </c>
    </row>
    <row r="1179" spans="1:4" x14ac:dyDescent="0.3">
      <c r="A1179" s="346">
        <v>44570</v>
      </c>
      <c r="B1179" s="347">
        <v>67</v>
      </c>
      <c r="C1179" s="345">
        <v>147186</v>
      </c>
      <c r="D1179" s="351">
        <v>-21</v>
      </c>
    </row>
    <row r="1180" spans="1:4" x14ac:dyDescent="0.3">
      <c r="A1180" s="346">
        <v>44569</v>
      </c>
      <c r="B1180" s="347">
        <v>45</v>
      </c>
      <c r="C1180" s="345">
        <v>147207</v>
      </c>
      <c r="D1180" s="350">
        <v>-40</v>
      </c>
    </row>
    <row r="1181" spans="1:4" x14ac:dyDescent="0.3">
      <c r="A1181" s="346">
        <v>44568</v>
      </c>
      <c r="B1181" s="347">
        <v>49</v>
      </c>
      <c r="C1181" s="345">
        <v>147247</v>
      </c>
      <c r="D1181" s="351">
        <v>-19</v>
      </c>
    </row>
    <row r="1182" spans="1:4" x14ac:dyDescent="0.3">
      <c r="A1182" s="346">
        <v>44567</v>
      </c>
      <c r="B1182" s="347">
        <v>53</v>
      </c>
      <c r="C1182" s="345">
        <v>147266</v>
      </c>
      <c r="D1182" s="350">
        <v>-13</v>
      </c>
    </row>
    <row r="1183" spans="1:4" x14ac:dyDescent="0.3">
      <c r="A1183" s="346">
        <v>44566</v>
      </c>
      <c r="B1183" s="347">
        <v>51</v>
      </c>
      <c r="C1183" s="345">
        <v>147279</v>
      </c>
      <c r="D1183" s="351">
        <v>-42</v>
      </c>
    </row>
    <row r="1184" spans="1:4" x14ac:dyDescent="0.3">
      <c r="A1184" s="346">
        <v>44565</v>
      </c>
      <c r="B1184" s="347">
        <v>50</v>
      </c>
      <c r="C1184" s="345">
        <v>147321</v>
      </c>
      <c r="D1184" s="350">
        <v>0</v>
      </c>
    </row>
    <row r="1185" spans="1:4" x14ac:dyDescent="0.3">
      <c r="A1185" s="346">
        <v>44564</v>
      </c>
      <c r="B1185" s="347">
        <v>50</v>
      </c>
      <c r="C1185" s="345">
        <v>147321</v>
      </c>
      <c r="D1185" s="351">
        <v>-35</v>
      </c>
    </row>
    <row r="1186" spans="1:4" x14ac:dyDescent="0.3">
      <c r="A1186" s="346">
        <v>44563</v>
      </c>
      <c r="B1186" s="347">
        <v>64</v>
      </c>
      <c r="C1186" s="345">
        <v>147356</v>
      </c>
      <c r="D1186" s="350">
        <v>8</v>
      </c>
    </row>
    <row r="1187" spans="1:4" x14ac:dyDescent="0.3">
      <c r="A1187" s="346">
        <v>44562</v>
      </c>
      <c r="B1187" s="347">
        <v>57</v>
      </c>
      <c r="C1187" s="345">
        <v>147348</v>
      </c>
      <c r="D1187" s="351">
        <v>-5</v>
      </c>
    </row>
    <row r="1188" spans="1:4" x14ac:dyDescent="0.3">
      <c r="A1188" s="346"/>
      <c r="B1188" s="347"/>
    </row>
  </sheetData>
  <phoneticPr fontId="13" type="noConversion"/>
  <conditionalFormatting sqref="A1:A1048576">
    <cfRule type="duplicateValues" dxfId="2" priority="1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B28D-74B4-40B8-89E2-92523BB68F15}">
  <dimension ref="A3:AD273"/>
  <sheetViews>
    <sheetView showGridLines="0" zoomScaleNormal="100" workbookViewId="0">
      <pane xSplit="1" ySplit="3" topLeftCell="B240" activePane="bottomRight" state="frozen"/>
      <selection pane="topRight" activeCell="B1" sqref="B1"/>
      <selection pane="bottomLeft" activeCell="A4" sqref="A4"/>
      <selection pane="bottomRight" activeCell="D269" sqref="D269"/>
    </sheetView>
  </sheetViews>
  <sheetFormatPr defaultRowHeight="13" x14ac:dyDescent="0.3"/>
  <cols>
    <col min="1" max="3" width="10.75" style="353" customWidth="1"/>
    <col min="4" max="5" width="10.75" style="170" customWidth="1"/>
    <col min="6" max="11" width="10.75" style="19" customWidth="1"/>
    <col min="12" max="13" width="8.6640625" style="19"/>
    <col min="14" max="14" width="22.33203125" style="19" bestFit="1" customWidth="1"/>
    <col min="15" max="15" width="18.33203125" style="19" bestFit="1" customWidth="1"/>
    <col min="16" max="17" width="13.58203125" style="19" bestFit="1" customWidth="1"/>
    <col min="18" max="18" width="19.33203125" style="19" bestFit="1" customWidth="1"/>
    <col min="19" max="19" width="17.33203125" style="19" bestFit="1" customWidth="1"/>
    <col min="20" max="20" width="13.5" style="19" bestFit="1" customWidth="1"/>
    <col min="21" max="21" width="19.1640625" style="19" bestFit="1" customWidth="1"/>
    <col min="22" max="22" width="17.1640625" style="19" bestFit="1" customWidth="1"/>
    <col min="23" max="24" width="18" style="19" bestFit="1" customWidth="1"/>
    <col min="25" max="25" width="8.6640625" style="19"/>
    <col min="26" max="26" width="9.6640625" style="19" bestFit="1" customWidth="1"/>
    <col min="27" max="16384" width="8.6640625" style="19"/>
  </cols>
  <sheetData>
    <row r="3" spans="1:30" ht="14.5" x14ac:dyDescent="0.4">
      <c r="A3" s="353" t="s">
        <v>527</v>
      </c>
      <c r="B3" s="353" t="s">
        <v>534</v>
      </c>
      <c r="C3" s="170" t="s">
        <v>536</v>
      </c>
      <c r="D3" s="170" t="s">
        <v>701</v>
      </c>
      <c r="E3" s="170" t="s">
        <v>531</v>
      </c>
      <c r="F3" s="170" t="s">
        <v>620</v>
      </c>
      <c r="G3" s="170" t="s">
        <v>621</v>
      </c>
      <c r="H3" s="170" t="s">
        <v>622</v>
      </c>
      <c r="I3" s="170" t="s">
        <v>623</v>
      </c>
      <c r="J3" s="170" t="s">
        <v>624</v>
      </c>
      <c r="K3" s="170" t="s">
        <v>625</v>
      </c>
    </row>
    <row r="4" spans="1:30" x14ac:dyDescent="0.3">
      <c r="A4" s="353">
        <v>45748</v>
      </c>
      <c r="B4" s="353" t="str">
        <f>_xlfn.XLOOKUP(E4,'channel Mapping'!B:B,'channel Mapping'!D:D)</f>
        <v>Organic</v>
      </c>
      <c r="C4" s="353" t="str">
        <f>_xlfn.XLOOKUP(E4,'channel Mapping'!B:B,'channel Mapping'!C:C)</f>
        <v>Brand Search</v>
      </c>
      <c r="D4" s="170" t="s">
        <v>455</v>
      </c>
      <c r="E4" s="170" t="s">
        <v>540</v>
      </c>
      <c r="F4" s="19">
        <v>913</v>
      </c>
      <c r="G4" s="19">
        <v>1</v>
      </c>
      <c r="H4" s="19">
        <v>4895</v>
      </c>
      <c r="I4" s="19">
        <v>1188</v>
      </c>
      <c r="J4" s="19">
        <v>1</v>
      </c>
      <c r="K4" s="19">
        <v>2595</v>
      </c>
    </row>
    <row r="5" spans="1:30" ht="15" x14ac:dyDescent="0.4">
      <c r="A5" s="353">
        <v>45748</v>
      </c>
      <c r="B5" s="353" t="str">
        <f>_xlfn.XLOOKUP(E5,'channel Mapping'!B:B,'channel Mapping'!D:D)</f>
        <v>Paid</v>
      </c>
      <c r="C5" s="353" t="str">
        <f>_xlfn.XLOOKUP(E5,'channel Mapping'!B:B,'channel Mapping'!C:C)</f>
        <v>Affiliation CPS</v>
      </c>
      <c r="D5" s="170" t="s">
        <v>529</v>
      </c>
      <c r="E5" s="170" t="s">
        <v>763</v>
      </c>
      <c r="F5" s="19">
        <v>67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N5" s="361" t="s">
        <v>552</v>
      </c>
      <c r="O5" s="362">
        <v>45931</v>
      </c>
    </row>
    <row r="6" spans="1:30" x14ac:dyDescent="0.3">
      <c r="A6" s="353">
        <v>45748</v>
      </c>
      <c r="B6" s="353" t="str">
        <f>_xlfn.XLOOKUP(E6,'channel Mapping'!B:B,'channel Mapping'!D:D)</f>
        <v>Paid</v>
      </c>
      <c r="C6" s="353" t="str">
        <f>_xlfn.XLOOKUP(E6,'channel Mapping'!B:B,'channel Mapping'!C:C)</f>
        <v>Affiliation CPS</v>
      </c>
      <c r="D6" s="170" t="s">
        <v>579</v>
      </c>
      <c r="E6" s="170" t="s">
        <v>580</v>
      </c>
      <c r="F6" s="19">
        <v>0</v>
      </c>
      <c r="G6" s="19">
        <v>0</v>
      </c>
      <c r="H6" s="19">
        <v>0</v>
      </c>
      <c r="I6" s="19">
        <v>16</v>
      </c>
      <c r="J6" s="19">
        <v>0</v>
      </c>
      <c r="K6" s="19">
        <v>0</v>
      </c>
    </row>
    <row r="7" spans="1:30" ht="14" x14ac:dyDescent="0.3">
      <c r="A7" s="353">
        <v>45748</v>
      </c>
      <c r="B7" s="353" t="str">
        <f>_xlfn.XLOOKUP(E7,'channel Mapping'!B:B,'channel Mapping'!D:D)</f>
        <v>Organic</v>
      </c>
      <c r="C7" s="353" t="str">
        <f>_xlfn.XLOOKUP(E7,'channel Mapping'!B:B,'channel Mapping'!C:C)</f>
        <v>Quick_Entry</v>
      </c>
      <c r="D7" s="170" t="s">
        <v>456</v>
      </c>
      <c r="E7" s="170" t="s">
        <v>541</v>
      </c>
      <c r="F7" s="19">
        <v>1192</v>
      </c>
      <c r="G7" s="19">
        <v>3</v>
      </c>
      <c r="H7" s="19">
        <v>9750</v>
      </c>
      <c r="I7" s="19">
        <v>1236</v>
      </c>
      <c r="J7" s="19">
        <v>1</v>
      </c>
      <c r="K7" s="19">
        <v>2495</v>
      </c>
      <c r="N7" s="355"/>
      <c r="O7" s="355"/>
      <c r="P7" s="355"/>
      <c r="Q7" s="356" t="s">
        <v>1</v>
      </c>
      <c r="R7" s="355"/>
      <c r="S7" s="355"/>
      <c r="T7" s="355"/>
      <c r="U7" s="355"/>
      <c r="V7" s="355"/>
      <c r="W7"/>
      <c r="X7"/>
    </row>
    <row r="8" spans="1:30" ht="17" customHeight="1" x14ac:dyDescent="0.4">
      <c r="A8" s="353">
        <v>45748</v>
      </c>
      <c r="B8" s="353" t="str">
        <f>_xlfn.XLOOKUP(E8,'channel Mapping'!B:B,'channel Mapping'!D:D)</f>
        <v>Paid</v>
      </c>
      <c r="C8" s="353" t="str">
        <f>_xlfn.XLOOKUP(E8,'channel Mapping'!B:B,'channel Mapping'!C:C)</f>
        <v>Affiliation CPS</v>
      </c>
      <c r="D8" s="170" t="s">
        <v>529</v>
      </c>
      <c r="E8" s="170" t="s">
        <v>763</v>
      </c>
      <c r="F8" s="19">
        <v>4</v>
      </c>
      <c r="G8" s="19">
        <v>1</v>
      </c>
      <c r="H8" s="19">
        <v>4350</v>
      </c>
      <c r="I8" s="19">
        <v>0</v>
      </c>
      <c r="J8" s="19">
        <v>0</v>
      </c>
      <c r="K8" s="19">
        <v>0</v>
      </c>
      <c r="N8" s="356" t="s">
        <v>533</v>
      </c>
      <c r="O8" s="356" t="s">
        <v>535</v>
      </c>
      <c r="P8" s="356" t="s">
        <v>523</v>
      </c>
      <c r="Q8" s="357" t="s">
        <v>736</v>
      </c>
      <c r="R8" s="357" t="s">
        <v>737</v>
      </c>
      <c r="S8" s="357" t="s">
        <v>743</v>
      </c>
      <c r="T8" s="357" t="s">
        <v>738</v>
      </c>
      <c r="U8" s="357" t="s">
        <v>739</v>
      </c>
      <c r="V8" s="357" t="s">
        <v>744</v>
      </c>
      <c r="W8"/>
      <c r="X8"/>
    </row>
    <row r="9" spans="1:30" ht="14" x14ac:dyDescent="0.3">
      <c r="A9" s="353">
        <v>45748</v>
      </c>
      <c r="B9" s="353" t="str">
        <f>_xlfn.XLOOKUP(E9,'channel Mapping'!B:B,'channel Mapping'!D:D)</f>
        <v>Paid</v>
      </c>
      <c r="C9" s="353" t="str">
        <f>_xlfn.XLOOKUP(E9,'channel Mapping'!B:B,'channel Mapping'!C:C)</f>
        <v>Affiliation CPS</v>
      </c>
      <c r="D9" s="170" t="s">
        <v>579</v>
      </c>
      <c r="E9" s="170" t="s">
        <v>580</v>
      </c>
      <c r="F9" s="19">
        <v>0</v>
      </c>
      <c r="G9" s="19">
        <v>0</v>
      </c>
      <c r="H9" s="19">
        <v>0</v>
      </c>
      <c r="I9" s="19">
        <v>11</v>
      </c>
      <c r="J9" s="19">
        <v>0</v>
      </c>
      <c r="K9" s="19">
        <v>0</v>
      </c>
      <c r="N9" s="678" t="s">
        <v>725</v>
      </c>
      <c r="O9" s="678" t="s">
        <v>702</v>
      </c>
      <c r="P9" s="357" t="s">
        <v>765</v>
      </c>
      <c r="Q9" s="354">
        <v>59</v>
      </c>
      <c r="R9" s="91">
        <v>5</v>
      </c>
      <c r="S9" s="354">
        <v>40880</v>
      </c>
      <c r="T9" s="354">
        <v>3</v>
      </c>
      <c r="U9" s="91">
        <v>0</v>
      </c>
      <c r="V9" s="91">
        <v>0</v>
      </c>
      <c r="W9"/>
      <c r="X9"/>
      <c r="Z9" s="186"/>
      <c r="AA9" s="227"/>
      <c r="AB9" s="23"/>
      <c r="AC9" s="23"/>
      <c r="AD9" s="227"/>
    </row>
    <row r="10" spans="1:30" ht="14" x14ac:dyDescent="0.3">
      <c r="A10" s="353">
        <v>45748</v>
      </c>
      <c r="B10" s="353" t="str">
        <f>_xlfn.XLOOKUP(E10,'channel Mapping'!B:B,'channel Mapping'!D:D)</f>
        <v>Organic</v>
      </c>
      <c r="C10" s="353" t="str">
        <f>_xlfn.XLOOKUP(E10,'channel Mapping'!B:B,'channel Mapping'!C:C)</f>
        <v>Brand Social</v>
      </c>
      <c r="D10" s="170" t="s">
        <v>458</v>
      </c>
      <c r="E10" s="170" t="s">
        <v>543</v>
      </c>
      <c r="F10" s="19">
        <v>799</v>
      </c>
      <c r="G10" s="19">
        <v>1</v>
      </c>
      <c r="H10" s="19">
        <v>2650</v>
      </c>
      <c r="I10" s="19">
        <v>1118</v>
      </c>
      <c r="J10" s="19">
        <v>0</v>
      </c>
      <c r="K10" s="19">
        <v>0</v>
      </c>
      <c r="N10" s="679"/>
      <c r="O10" s="679"/>
      <c r="P10" s="357" t="s">
        <v>761</v>
      </c>
      <c r="Q10" s="354">
        <v>0</v>
      </c>
      <c r="R10" s="91">
        <v>0</v>
      </c>
      <c r="S10" s="354">
        <v>0</v>
      </c>
      <c r="T10" s="354">
        <v>0</v>
      </c>
      <c r="U10" s="91">
        <v>0</v>
      </c>
      <c r="V10" s="91">
        <v>0</v>
      </c>
      <c r="W10"/>
      <c r="X10"/>
      <c r="Z10" s="186"/>
      <c r="AA10" s="227"/>
      <c r="AB10" s="23"/>
      <c r="AC10" s="23"/>
      <c r="AD10" s="227"/>
    </row>
    <row r="11" spans="1:30" ht="14" x14ac:dyDescent="0.3">
      <c r="A11" s="353">
        <v>45748</v>
      </c>
      <c r="B11" s="353" t="str">
        <f>_xlfn.XLOOKUP(E11,'channel Mapping'!B:B,'channel Mapping'!D:D)</f>
        <v>Organic</v>
      </c>
      <c r="C11" s="353" t="str">
        <f>_xlfn.XLOOKUP(E11,'channel Mapping'!B:B,'channel Mapping'!C:C)</f>
        <v>Others</v>
      </c>
      <c r="D11" s="170" t="s">
        <v>460</v>
      </c>
      <c r="E11" s="170" t="s">
        <v>544</v>
      </c>
      <c r="F11" s="19">
        <v>23</v>
      </c>
      <c r="G11" s="19">
        <v>0</v>
      </c>
      <c r="H11" s="19">
        <v>0</v>
      </c>
      <c r="I11" s="19">
        <v>24</v>
      </c>
      <c r="J11" s="19">
        <v>0</v>
      </c>
      <c r="K11" s="19">
        <v>0</v>
      </c>
      <c r="N11" s="679"/>
      <c r="O11" s="679"/>
      <c r="P11" s="357" t="s">
        <v>580</v>
      </c>
      <c r="Q11" s="354">
        <v>0</v>
      </c>
      <c r="R11" s="91">
        <v>0</v>
      </c>
      <c r="S11" s="354">
        <v>0</v>
      </c>
      <c r="T11" s="354">
        <v>0</v>
      </c>
      <c r="U11" s="91">
        <v>0</v>
      </c>
      <c r="V11" s="91">
        <v>0</v>
      </c>
      <c r="W11"/>
      <c r="X11"/>
      <c r="Z11" s="186"/>
      <c r="AA11" s="227"/>
      <c r="AB11" s="23"/>
      <c r="AC11" s="23"/>
      <c r="AD11" s="227"/>
    </row>
    <row r="12" spans="1:30" ht="14" x14ac:dyDescent="0.3">
      <c r="A12" s="353">
        <v>45748</v>
      </c>
      <c r="B12" s="353" t="str">
        <f>_xlfn.XLOOKUP(E12,'channel Mapping'!B:B,'channel Mapping'!D:D)</f>
        <v>Organic</v>
      </c>
      <c r="C12" s="353" t="str">
        <f>_xlfn.XLOOKUP(E12,'channel Mapping'!B:B,'channel Mapping'!C:C)</f>
        <v>CRM</v>
      </c>
      <c r="D12" s="170" t="s">
        <v>532</v>
      </c>
      <c r="E12" s="170" t="s">
        <v>766</v>
      </c>
      <c r="F12" s="19">
        <v>81</v>
      </c>
      <c r="G12" s="19">
        <v>0</v>
      </c>
      <c r="H12" s="19">
        <v>0</v>
      </c>
      <c r="I12" s="19">
        <v>49</v>
      </c>
      <c r="J12" s="19">
        <v>0</v>
      </c>
      <c r="K12" s="19">
        <v>0</v>
      </c>
      <c r="N12" s="679"/>
      <c r="O12" s="679"/>
      <c r="P12" s="357" t="s">
        <v>716</v>
      </c>
      <c r="Q12" s="354">
        <v>0</v>
      </c>
      <c r="R12" s="91">
        <v>0</v>
      </c>
      <c r="S12" s="354">
        <v>0</v>
      </c>
      <c r="T12" s="354">
        <v>4</v>
      </c>
      <c r="U12" s="91">
        <v>0</v>
      </c>
      <c r="V12" s="91">
        <v>0</v>
      </c>
      <c r="W12"/>
      <c r="X12"/>
      <c r="Z12" s="186"/>
      <c r="AA12" s="227"/>
      <c r="AB12" s="23"/>
      <c r="AC12" s="23"/>
      <c r="AD12" s="227"/>
    </row>
    <row r="13" spans="1:30" ht="14" x14ac:dyDescent="0.3">
      <c r="A13" s="353">
        <v>45748</v>
      </c>
      <c r="B13" s="353" t="str">
        <f>_xlfn.XLOOKUP(E13,'channel Mapping'!B:B,'channel Mapping'!D:D)</f>
        <v>Organic</v>
      </c>
      <c r="C13" s="353" t="str">
        <f>_xlfn.XLOOKUP(E13,'channel Mapping'!B:B,'channel Mapping'!C:C)</f>
        <v>CRM</v>
      </c>
      <c r="D13" s="170" t="s">
        <v>457</v>
      </c>
      <c r="E13" s="170" t="s">
        <v>545</v>
      </c>
      <c r="F13" s="19">
        <v>274</v>
      </c>
      <c r="G13" s="19">
        <v>1</v>
      </c>
      <c r="H13" s="19">
        <v>7245</v>
      </c>
      <c r="I13" s="19">
        <v>190</v>
      </c>
      <c r="J13" s="19">
        <v>0</v>
      </c>
      <c r="K13" s="19">
        <v>0</v>
      </c>
      <c r="N13" s="679"/>
      <c r="O13" s="678" t="s">
        <v>726</v>
      </c>
      <c r="P13" s="679"/>
      <c r="Q13" s="354">
        <v>59</v>
      </c>
      <c r="R13" s="91">
        <v>5</v>
      </c>
      <c r="S13" s="354">
        <v>40880</v>
      </c>
      <c r="T13" s="354">
        <v>7</v>
      </c>
      <c r="U13" s="91">
        <v>0</v>
      </c>
      <c r="V13" s="91">
        <v>0</v>
      </c>
      <c r="W13"/>
      <c r="X13"/>
      <c r="Z13" s="186"/>
      <c r="AA13" s="227"/>
      <c r="AB13" s="23"/>
      <c r="AC13" s="23"/>
      <c r="AD13" s="227"/>
    </row>
    <row r="14" spans="1:30" ht="15" x14ac:dyDescent="0.4">
      <c r="A14" s="353">
        <v>45748</v>
      </c>
      <c r="B14" s="353" t="str">
        <f>_xlfn.XLOOKUP(E14,'channel Mapping'!B:B,'channel Mapping'!D:D)</f>
        <v>Paid</v>
      </c>
      <c r="C14" s="353" t="str">
        <f>_xlfn.XLOOKUP(E14,'channel Mapping'!B:B,'channel Mapping'!C:C)</f>
        <v>Affiliation CPS</v>
      </c>
      <c r="D14" s="170" t="s">
        <v>529</v>
      </c>
      <c r="E14" s="170" t="s">
        <v>763</v>
      </c>
      <c r="F14" s="19">
        <v>2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N14" s="679"/>
      <c r="O14" s="357" t="s">
        <v>704</v>
      </c>
      <c r="P14" s="357" t="s">
        <v>694</v>
      </c>
      <c r="Q14" s="354">
        <v>19</v>
      </c>
      <c r="R14" s="91">
        <v>0</v>
      </c>
      <c r="S14" s="354">
        <v>0</v>
      </c>
      <c r="T14" s="354">
        <v>0</v>
      </c>
      <c r="U14" s="91">
        <v>0</v>
      </c>
      <c r="V14" s="91">
        <v>0</v>
      </c>
      <c r="W14"/>
      <c r="X14"/>
      <c r="Z14" s="186"/>
      <c r="AA14" s="227"/>
      <c r="AB14" s="23"/>
      <c r="AC14" s="23"/>
      <c r="AD14" s="227"/>
    </row>
    <row r="15" spans="1:30" ht="14" x14ac:dyDescent="0.3">
      <c r="A15" s="353">
        <v>45748</v>
      </c>
      <c r="B15" s="353" t="str">
        <f>_xlfn.XLOOKUP(E15,'channel Mapping'!B:B,'channel Mapping'!D:D)</f>
        <v>Paid</v>
      </c>
      <c r="C15" s="353" t="str">
        <f>_xlfn.XLOOKUP(E15,'channel Mapping'!B:B,'channel Mapping'!C:C)</f>
        <v>Affiliation CPS</v>
      </c>
      <c r="D15" s="170" t="s">
        <v>579</v>
      </c>
      <c r="E15" s="170" t="s">
        <v>580</v>
      </c>
      <c r="F15" s="19">
        <v>0</v>
      </c>
      <c r="G15" s="19">
        <v>0</v>
      </c>
      <c r="H15" s="19">
        <v>0</v>
      </c>
      <c r="I15" s="19">
        <v>897</v>
      </c>
      <c r="J15" s="19">
        <v>0</v>
      </c>
      <c r="K15" s="19">
        <v>0</v>
      </c>
      <c r="N15" s="679"/>
      <c r="O15" s="678" t="s">
        <v>734</v>
      </c>
      <c r="P15" s="679"/>
      <c r="Q15" s="354">
        <v>19</v>
      </c>
      <c r="R15" s="91">
        <v>0</v>
      </c>
      <c r="S15" s="354">
        <v>0</v>
      </c>
      <c r="T15" s="354">
        <v>0</v>
      </c>
      <c r="U15" s="91">
        <v>0</v>
      </c>
      <c r="V15" s="91">
        <v>0</v>
      </c>
      <c r="W15"/>
      <c r="X15"/>
      <c r="Z15" s="186"/>
      <c r="AA15" s="227"/>
      <c r="AB15" s="23"/>
      <c r="AC15" s="23"/>
      <c r="AD15" s="227"/>
    </row>
    <row r="16" spans="1:30" ht="14" x14ac:dyDescent="0.3">
      <c r="A16" s="353">
        <v>45748</v>
      </c>
      <c r="B16" s="353" t="str">
        <f>_xlfn.XLOOKUP(E16,'channel Mapping'!B:B,'channel Mapping'!D:D)</f>
        <v>Free</v>
      </c>
      <c r="C16" s="353" t="str">
        <f>_xlfn.XLOOKUP(E16,'channel Mapping'!B:B,'channel Mapping'!C:C)</f>
        <v>Mingpin</v>
      </c>
      <c r="D16" s="170" t="s">
        <v>459</v>
      </c>
      <c r="E16" s="170" t="s">
        <v>712</v>
      </c>
      <c r="F16" s="19">
        <v>1104</v>
      </c>
      <c r="G16" s="19">
        <v>0</v>
      </c>
      <c r="H16" s="19">
        <v>0</v>
      </c>
      <c r="I16" s="19">
        <v>675</v>
      </c>
      <c r="J16" s="19">
        <v>0</v>
      </c>
      <c r="K16" s="19">
        <v>0</v>
      </c>
      <c r="N16" s="679"/>
      <c r="O16" s="678" t="s">
        <v>703</v>
      </c>
      <c r="P16" s="357" t="s">
        <v>619</v>
      </c>
      <c r="Q16" s="354">
        <v>0</v>
      </c>
      <c r="R16" s="91">
        <v>0</v>
      </c>
      <c r="S16" s="354">
        <v>0</v>
      </c>
      <c r="T16" s="354">
        <v>0</v>
      </c>
      <c r="U16" s="91">
        <v>0</v>
      </c>
      <c r="V16" s="91">
        <v>0</v>
      </c>
      <c r="W16"/>
      <c r="X16"/>
      <c r="Z16" s="186"/>
      <c r="AA16" s="227"/>
      <c r="AB16" s="23"/>
      <c r="AC16" s="23"/>
      <c r="AD16" s="227"/>
    </row>
    <row r="17" spans="1:30" ht="14" x14ac:dyDescent="0.3">
      <c r="A17" s="353">
        <v>45748</v>
      </c>
      <c r="B17" s="353" t="str">
        <f>_xlfn.XLOOKUP(E17,'channel Mapping'!B:B,'channel Mapping'!D:D)</f>
        <v>Organic</v>
      </c>
      <c r="C17" s="353" t="str">
        <f>_xlfn.XLOOKUP(E17,'channel Mapping'!B:B,'channel Mapping'!C:C)</f>
        <v>Others</v>
      </c>
      <c r="D17" s="170" t="s">
        <v>454</v>
      </c>
      <c r="E17" s="170" t="s">
        <v>547</v>
      </c>
      <c r="F17" s="19">
        <v>28</v>
      </c>
      <c r="G17" s="19">
        <v>0</v>
      </c>
      <c r="H17" s="19">
        <v>0</v>
      </c>
      <c r="I17" s="19">
        <v>54</v>
      </c>
      <c r="J17" s="19">
        <v>0</v>
      </c>
      <c r="K17" s="19">
        <v>0</v>
      </c>
      <c r="N17" s="679"/>
      <c r="O17" s="679"/>
      <c r="P17" s="357" t="s">
        <v>539</v>
      </c>
      <c r="Q17" s="354">
        <v>0</v>
      </c>
      <c r="R17" s="91">
        <v>0</v>
      </c>
      <c r="S17" s="354">
        <v>0</v>
      </c>
      <c r="T17" s="354">
        <v>22</v>
      </c>
      <c r="U17" s="91">
        <v>0</v>
      </c>
      <c r="V17" s="91">
        <v>0</v>
      </c>
      <c r="W17"/>
      <c r="X17"/>
      <c r="Z17" s="186"/>
      <c r="AA17" s="227"/>
      <c r="AB17" s="23"/>
      <c r="AC17" s="23"/>
      <c r="AD17" s="227"/>
    </row>
    <row r="18" spans="1:30" ht="15" x14ac:dyDescent="0.4">
      <c r="A18" s="353">
        <v>45748</v>
      </c>
      <c r="B18" s="353" t="str">
        <f>_xlfn.XLOOKUP(E18,'channel Mapping'!B:B,'channel Mapping'!D:D)</f>
        <v>Paid</v>
      </c>
      <c r="C18" s="353" t="str">
        <f>_xlfn.XLOOKUP(E18,'channel Mapping'!B:B,'channel Mapping'!C:C)</f>
        <v>Affiliation CPS</v>
      </c>
      <c r="D18" s="170" t="s">
        <v>529</v>
      </c>
      <c r="E18" s="170" t="s">
        <v>763</v>
      </c>
      <c r="F18" s="19">
        <v>47</v>
      </c>
      <c r="G18" s="19">
        <v>18</v>
      </c>
      <c r="H18" s="19">
        <v>127190</v>
      </c>
      <c r="I18" s="19">
        <v>0</v>
      </c>
      <c r="J18" s="19">
        <v>0</v>
      </c>
      <c r="K18" s="19">
        <v>0</v>
      </c>
      <c r="N18" s="679"/>
      <c r="O18" s="678" t="s">
        <v>727</v>
      </c>
      <c r="P18" s="679"/>
      <c r="Q18" s="354">
        <v>0</v>
      </c>
      <c r="R18" s="91">
        <v>0</v>
      </c>
      <c r="S18" s="354">
        <v>0</v>
      </c>
      <c r="T18" s="354">
        <v>22</v>
      </c>
      <c r="U18" s="91">
        <v>0</v>
      </c>
      <c r="V18" s="91">
        <v>0</v>
      </c>
      <c r="W18"/>
      <c r="X18"/>
      <c r="Z18" s="186"/>
      <c r="AA18" s="227"/>
      <c r="AB18" s="23"/>
      <c r="AC18" s="23"/>
      <c r="AD18" s="227"/>
    </row>
    <row r="19" spans="1:30" ht="14" x14ac:dyDescent="0.3">
      <c r="A19" s="353">
        <v>45748</v>
      </c>
      <c r="B19" s="353" t="str">
        <f>_xlfn.XLOOKUP(E19,'channel Mapping'!B:B,'channel Mapping'!D:D)</f>
        <v>Paid</v>
      </c>
      <c r="C19" s="353" t="str">
        <f>_xlfn.XLOOKUP(E19,'channel Mapping'!B:B,'channel Mapping'!C:C)</f>
        <v>Affiliation CPS</v>
      </c>
      <c r="D19" s="170" t="s">
        <v>579</v>
      </c>
      <c r="E19" s="170" t="s">
        <v>580</v>
      </c>
      <c r="F19" s="19">
        <v>0</v>
      </c>
      <c r="G19" s="19">
        <v>0</v>
      </c>
      <c r="H19" s="19">
        <v>0</v>
      </c>
      <c r="I19" s="19">
        <v>1752</v>
      </c>
      <c r="J19" s="19">
        <v>16</v>
      </c>
      <c r="K19" s="19">
        <v>99200</v>
      </c>
      <c r="N19" s="678" t="s">
        <v>728</v>
      </c>
      <c r="O19" s="679"/>
      <c r="P19" s="679"/>
      <c r="Q19" s="354">
        <v>78</v>
      </c>
      <c r="R19" s="91">
        <v>5</v>
      </c>
      <c r="S19" s="354">
        <v>40880</v>
      </c>
      <c r="T19" s="354">
        <v>29</v>
      </c>
      <c r="U19" s="91">
        <v>0</v>
      </c>
      <c r="V19" s="91">
        <v>0</v>
      </c>
      <c r="W19"/>
      <c r="X19"/>
      <c r="Z19" s="186"/>
      <c r="AA19" s="227"/>
      <c r="AB19" s="23"/>
      <c r="AC19" s="23"/>
      <c r="AD19" s="227"/>
    </row>
    <row r="20" spans="1:30" ht="14" x14ac:dyDescent="0.3">
      <c r="A20" s="353">
        <v>45748</v>
      </c>
      <c r="B20" s="353" t="str">
        <f>_xlfn.XLOOKUP(E20,'channel Mapping'!B:B,'channel Mapping'!D:D)</f>
        <v>Organic</v>
      </c>
      <c r="C20" s="353" t="str">
        <f>_xlfn.XLOOKUP(E20,'channel Mapping'!B:B,'channel Mapping'!C:C)</f>
        <v>Others</v>
      </c>
      <c r="D20" s="170" t="s">
        <v>461</v>
      </c>
      <c r="E20" s="170" t="s">
        <v>548</v>
      </c>
      <c r="F20" s="19">
        <v>52</v>
      </c>
      <c r="G20" s="19">
        <v>0</v>
      </c>
      <c r="H20" s="19">
        <v>0</v>
      </c>
      <c r="I20" s="19">
        <v>39</v>
      </c>
      <c r="J20" s="19">
        <v>0</v>
      </c>
      <c r="K20" s="19">
        <v>0</v>
      </c>
      <c r="N20" s="678" t="s">
        <v>709</v>
      </c>
      <c r="O20" s="357" t="s">
        <v>456</v>
      </c>
      <c r="P20" s="357" t="s">
        <v>541</v>
      </c>
      <c r="Q20" s="354">
        <v>1463</v>
      </c>
      <c r="R20" s="91">
        <v>4</v>
      </c>
      <c r="S20" s="354">
        <v>21840</v>
      </c>
      <c r="T20" s="354">
        <v>1077</v>
      </c>
      <c r="U20" s="91">
        <v>5</v>
      </c>
      <c r="V20" s="91">
        <v>16150</v>
      </c>
      <c r="W20"/>
      <c r="X20"/>
      <c r="Z20" s="186"/>
      <c r="AA20" s="227"/>
      <c r="AB20" s="23"/>
      <c r="AC20" s="23"/>
      <c r="AD20" s="227"/>
    </row>
    <row r="21" spans="1:30" ht="14" x14ac:dyDescent="0.3">
      <c r="A21" s="353">
        <v>45748</v>
      </c>
      <c r="B21" s="353" t="str">
        <f>_xlfn.XLOOKUP(E21,'channel Mapping'!B:B,'channel Mapping'!D:D)</f>
        <v>Organic</v>
      </c>
      <c r="C21" s="353" t="str">
        <f>_xlfn.XLOOKUP(E21,'channel Mapping'!B:B,'channel Mapping'!C:C)</f>
        <v>Brand Social</v>
      </c>
      <c r="D21" s="170" t="s">
        <v>525</v>
      </c>
      <c r="E21" s="170" t="s">
        <v>549</v>
      </c>
      <c r="F21" s="19">
        <v>11</v>
      </c>
      <c r="G21" s="19">
        <v>0</v>
      </c>
      <c r="H21" s="19">
        <v>0</v>
      </c>
      <c r="I21" s="19">
        <v>14</v>
      </c>
      <c r="J21" s="19">
        <v>0</v>
      </c>
      <c r="K21" s="19">
        <v>0</v>
      </c>
      <c r="N21" s="679"/>
      <c r="O21" s="678" t="s">
        <v>742</v>
      </c>
      <c r="P21" s="679"/>
      <c r="Q21" s="354">
        <v>1463</v>
      </c>
      <c r="R21" s="91">
        <v>4</v>
      </c>
      <c r="S21" s="354">
        <v>21840</v>
      </c>
      <c r="T21" s="354">
        <v>1077</v>
      </c>
      <c r="U21" s="91">
        <v>5</v>
      </c>
      <c r="V21" s="91">
        <v>16150</v>
      </c>
      <c r="W21"/>
      <c r="X21"/>
      <c r="Z21" s="186"/>
      <c r="AA21" s="227"/>
      <c r="AB21" s="23"/>
      <c r="AC21" s="23"/>
      <c r="AD21" s="227"/>
    </row>
    <row r="22" spans="1:30" ht="14" x14ac:dyDescent="0.3">
      <c r="A22" s="353">
        <v>45748</v>
      </c>
      <c r="B22" s="353" t="str">
        <f>_xlfn.XLOOKUP(E22,'channel Mapping'!B:B,'channel Mapping'!D:D)</f>
        <v>Organic</v>
      </c>
      <c r="C22" s="353" t="str">
        <f>_xlfn.XLOOKUP(E22,'channel Mapping'!B:B,'channel Mapping'!C:C)</f>
        <v>CRM</v>
      </c>
      <c r="D22" s="170" t="s">
        <v>462</v>
      </c>
      <c r="E22" s="170" t="s">
        <v>550</v>
      </c>
      <c r="F22" s="19">
        <v>101</v>
      </c>
      <c r="G22" s="19">
        <v>0</v>
      </c>
      <c r="H22" s="19">
        <v>0</v>
      </c>
      <c r="I22" s="19">
        <v>6</v>
      </c>
      <c r="J22" s="19">
        <v>0</v>
      </c>
      <c r="K22" s="19">
        <v>0</v>
      </c>
      <c r="N22" s="679"/>
      <c r="O22" s="357" t="s">
        <v>706</v>
      </c>
      <c r="P22" s="357" t="s">
        <v>540</v>
      </c>
      <c r="Q22" s="354">
        <v>1045</v>
      </c>
      <c r="R22" s="91">
        <v>1</v>
      </c>
      <c r="S22" s="354">
        <v>18990</v>
      </c>
      <c r="T22" s="354">
        <v>988</v>
      </c>
      <c r="U22" s="91">
        <v>1</v>
      </c>
      <c r="V22" s="91">
        <v>8365</v>
      </c>
      <c r="W22"/>
      <c r="X22"/>
      <c r="Z22" s="186"/>
      <c r="AA22" s="227"/>
      <c r="AB22" s="23"/>
      <c r="AC22" s="23"/>
      <c r="AD22" s="227"/>
    </row>
    <row r="23" spans="1:30" ht="14" x14ac:dyDescent="0.3">
      <c r="A23" s="353">
        <v>45748</v>
      </c>
      <c r="B23" s="353" t="str">
        <f>_xlfn.XLOOKUP(E23,'channel Mapping'!B:B,'channel Mapping'!D:D)</f>
        <v>Paid</v>
      </c>
      <c r="C23" s="353" t="str">
        <f>_xlfn.XLOOKUP(E23,'channel Mapping'!B:B,'channel Mapping'!C:C)</f>
        <v>Display CPC</v>
      </c>
      <c r="D23" s="170" t="s">
        <v>524</v>
      </c>
      <c r="E23" s="170" t="s">
        <v>539</v>
      </c>
      <c r="F23" s="19">
        <v>0</v>
      </c>
      <c r="G23" s="19">
        <v>0</v>
      </c>
      <c r="H23" s="19">
        <v>0</v>
      </c>
      <c r="I23" s="19">
        <v>9668</v>
      </c>
      <c r="J23" s="19">
        <v>0</v>
      </c>
      <c r="K23" s="19">
        <v>0</v>
      </c>
      <c r="N23" s="679"/>
      <c r="O23" s="678" t="s">
        <v>729</v>
      </c>
      <c r="P23" s="679"/>
      <c r="Q23" s="354">
        <v>1045</v>
      </c>
      <c r="R23" s="91">
        <v>1</v>
      </c>
      <c r="S23" s="354">
        <v>18990</v>
      </c>
      <c r="T23" s="354">
        <v>988</v>
      </c>
      <c r="U23" s="91">
        <v>1</v>
      </c>
      <c r="V23" s="91">
        <v>8365</v>
      </c>
      <c r="W23"/>
      <c r="X23"/>
      <c r="Z23" s="186"/>
      <c r="AA23" s="227"/>
      <c r="AB23" s="23"/>
      <c r="AC23" s="23"/>
      <c r="AD23" s="227"/>
    </row>
    <row r="24" spans="1:30" ht="14" x14ac:dyDescent="0.3">
      <c r="A24" s="353">
        <v>45778</v>
      </c>
      <c r="B24" s="353" t="str">
        <f>_xlfn.XLOOKUP(E24,'channel Mapping'!B:B,'channel Mapping'!D:D)</f>
        <v>Organic</v>
      </c>
      <c r="C24" s="353" t="str">
        <f>_xlfn.XLOOKUP(E24,'channel Mapping'!B:B,'channel Mapping'!C:C)</f>
        <v>Brand Search</v>
      </c>
      <c r="D24" s="170" t="s">
        <v>455</v>
      </c>
      <c r="E24" s="170" t="s">
        <v>540</v>
      </c>
      <c r="F24" s="19">
        <v>1206</v>
      </c>
      <c r="G24" s="19">
        <v>1</v>
      </c>
      <c r="H24" s="19">
        <v>4895</v>
      </c>
      <c r="I24" s="19">
        <v>945</v>
      </c>
      <c r="J24" s="19">
        <v>0</v>
      </c>
      <c r="K24" s="19">
        <v>0</v>
      </c>
      <c r="N24" s="679"/>
      <c r="O24" s="678" t="s">
        <v>705</v>
      </c>
      <c r="P24" s="357" t="s">
        <v>543</v>
      </c>
      <c r="Q24" s="354">
        <v>617</v>
      </c>
      <c r="R24" s="91">
        <v>3</v>
      </c>
      <c r="S24" s="354">
        <v>8890</v>
      </c>
      <c r="T24" s="354">
        <v>966</v>
      </c>
      <c r="U24" s="91">
        <v>0</v>
      </c>
      <c r="V24" s="91">
        <v>0</v>
      </c>
      <c r="W24"/>
      <c r="X24"/>
      <c r="Z24" s="186"/>
      <c r="AA24" s="227"/>
      <c r="AB24" s="23"/>
      <c r="AC24" s="23"/>
      <c r="AD24" s="227"/>
    </row>
    <row r="25" spans="1:30" s="463" customFormat="1" ht="15" x14ac:dyDescent="0.4">
      <c r="A25" s="353">
        <v>45778</v>
      </c>
      <c r="B25" s="353" t="str">
        <f>_xlfn.XLOOKUP(E25,'channel Mapping'!B:B,'channel Mapping'!D:D)</f>
        <v>Paid</v>
      </c>
      <c r="C25" s="353" t="str">
        <f>_xlfn.XLOOKUP(E25,'channel Mapping'!B:B,'channel Mapping'!C:C)</f>
        <v>Affiliation CPS</v>
      </c>
      <c r="D25" s="170" t="s">
        <v>529</v>
      </c>
      <c r="E25" s="170" t="s">
        <v>763</v>
      </c>
      <c r="F25" s="19">
        <v>14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/>
      <c r="M25" s="19"/>
      <c r="N25" s="679"/>
      <c r="O25" s="679"/>
      <c r="P25" s="357" t="s">
        <v>549</v>
      </c>
      <c r="Q25" s="354">
        <v>11</v>
      </c>
      <c r="R25" s="91">
        <v>0</v>
      </c>
      <c r="S25" s="354">
        <v>0</v>
      </c>
      <c r="T25" s="354">
        <v>9</v>
      </c>
      <c r="U25" s="91">
        <v>0</v>
      </c>
      <c r="V25" s="91">
        <v>0</v>
      </c>
      <c r="W25"/>
      <c r="X25"/>
      <c r="Z25" s="464"/>
      <c r="AA25" s="465"/>
      <c r="AB25" s="466"/>
      <c r="AC25" s="466"/>
      <c r="AD25" s="465"/>
    </row>
    <row r="26" spans="1:30" ht="14" x14ac:dyDescent="0.3">
      <c r="A26" s="353">
        <v>45778</v>
      </c>
      <c r="B26" s="353" t="str">
        <f>_xlfn.XLOOKUP(E26,'channel Mapping'!B:B,'channel Mapping'!D:D)</f>
        <v>Paid</v>
      </c>
      <c r="C26" s="353" t="str">
        <f>_xlfn.XLOOKUP(E26,'channel Mapping'!B:B,'channel Mapping'!C:C)</f>
        <v>Affiliation CPS</v>
      </c>
      <c r="D26" s="170" t="s">
        <v>579</v>
      </c>
      <c r="E26" s="170" t="s">
        <v>580</v>
      </c>
      <c r="F26" s="19">
        <v>0</v>
      </c>
      <c r="G26" s="19">
        <v>0</v>
      </c>
      <c r="H26" s="19">
        <v>0</v>
      </c>
      <c r="I26" s="19">
        <v>4</v>
      </c>
      <c r="J26" s="19">
        <v>0</v>
      </c>
      <c r="K26" s="19">
        <v>0</v>
      </c>
      <c r="N26" s="679"/>
      <c r="O26" s="678" t="s">
        <v>730</v>
      </c>
      <c r="P26" s="679"/>
      <c r="Q26" s="354">
        <v>628</v>
      </c>
      <c r="R26" s="91">
        <v>3</v>
      </c>
      <c r="S26" s="354">
        <v>8890</v>
      </c>
      <c r="T26" s="354">
        <v>975</v>
      </c>
      <c r="U26" s="91">
        <v>0</v>
      </c>
      <c r="V26" s="91">
        <v>0</v>
      </c>
      <c r="W26"/>
      <c r="X26"/>
      <c r="Z26" s="186"/>
      <c r="AA26" s="227"/>
      <c r="AB26" s="23"/>
      <c r="AC26" s="23"/>
      <c r="AD26" s="227"/>
    </row>
    <row r="27" spans="1:30" ht="14" x14ac:dyDescent="0.3">
      <c r="A27" s="353">
        <v>45778</v>
      </c>
      <c r="B27" s="353" t="str">
        <f>_xlfn.XLOOKUP(E27,'channel Mapping'!B:B,'channel Mapping'!D:D)</f>
        <v>Organic</v>
      </c>
      <c r="C27" s="353" t="str">
        <f>_xlfn.XLOOKUP(E27,'channel Mapping'!B:B,'channel Mapping'!C:C)</f>
        <v>Quick_Entry</v>
      </c>
      <c r="D27" s="170" t="s">
        <v>456</v>
      </c>
      <c r="E27" s="170" t="s">
        <v>541</v>
      </c>
      <c r="F27" s="19">
        <v>1194</v>
      </c>
      <c r="G27" s="19">
        <v>4</v>
      </c>
      <c r="H27" s="19">
        <v>18250</v>
      </c>
      <c r="I27" s="19">
        <v>1102</v>
      </c>
      <c r="J27" s="19">
        <v>3</v>
      </c>
      <c r="K27" s="19">
        <v>10685</v>
      </c>
      <c r="N27" s="679"/>
      <c r="O27" s="678" t="s">
        <v>92</v>
      </c>
      <c r="P27" s="357" t="s">
        <v>550</v>
      </c>
      <c r="Q27" s="354">
        <v>225</v>
      </c>
      <c r="R27" s="91">
        <v>0</v>
      </c>
      <c r="S27" s="354">
        <v>0</v>
      </c>
      <c r="T27" s="354">
        <v>16</v>
      </c>
      <c r="U27" s="91">
        <v>0</v>
      </c>
      <c r="V27" s="91">
        <v>0</v>
      </c>
      <c r="W27"/>
      <c r="X27"/>
      <c r="Z27" s="186"/>
      <c r="AA27" s="227"/>
      <c r="AB27" s="23"/>
      <c r="AC27" s="23"/>
      <c r="AD27" s="227"/>
    </row>
    <row r="28" spans="1:30" ht="15" x14ac:dyDescent="0.4">
      <c r="A28" s="353">
        <v>45778</v>
      </c>
      <c r="B28" s="353" t="str">
        <f>_xlfn.XLOOKUP(E28,'channel Mapping'!B:B,'channel Mapping'!D:D)</f>
        <v>Paid</v>
      </c>
      <c r="C28" s="353" t="str">
        <f>_xlfn.XLOOKUP(E28,'channel Mapping'!B:B,'channel Mapping'!C:C)</f>
        <v>Affiliation CPS</v>
      </c>
      <c r="D28" s="170" t="s">
        <v>529</v>
      </c>
      <c r="E28" s="170" t="s">
        <v>763</v>
      </c>
      <c r="F28" s="19">
        <v>13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N28" s="679"/>
      <c r="O28" s="679"/>
      <c r="P28" s="357" t="s">
        <v>545</v>
      </c>
      <c r="Q28" s="354">
        <v>109</v>
      </c>
      <c r="R28" s="91">
        <v>0</v>
      </c>
      <c r="S28" s="354">
        <v>0</v>
      </c>
      <c r="T28" s="354">
        <v>110</v>
      </c>
      <c r="U28" s="91">
        <v>0</v>
      </c>
      <c r="V28" s="91">
        <v>0</v>
      </c>
      <c r="W28"/>
      <c r="X28"/>
      <c r="Z28" s="186"/>
      <c r="AA28" s="227"/>
      <c r="AB28" s="23"/>
      <c r="AC28" s="23"/>
      <c r="AD28" s="227"/>
    </row>
    <row r="29" spans="1:30" ht="14" x14ac:dyDescent="0.3">
      <c r="A29" s="353">
        <v>45778</v>
      </c>
      <c r="B29" s="353" t="str">
        <f>_xlfn.XLOOKUP(E29,'channel Mapping'!B:B,'channel Mapping'!D:D)</f>
        <v>Paid</v>
      </c>
      <c r="C29" s="353" t="str">
        <f>_xlfn.XLOOKUP(E29,'channel Mapping'!B:B,'channel Mapping'!C:C)</f>
        <v>Affiliation CPS</v>
      </c>
      <c r="D29" s="170" t="s">
        <v>579</v>
      </c>
      <c r="E29" s="170" t="s">
        <v>580</v>
      </c>
      <c r="F29" s="19">
        <v>0</v>
      </c>
      <c r="G29" s="19">
        <v>0</v>
      </c>
      <c r="H29" s="19">
        <v>0</v>
      </c>
      <c r="I29" s="19">
        <v>2</v>
      </c>
      <c r="J29" s="19">
        <v>0</v>
      </c>
      <c r="K29" s="19">
        <v>0</v>
      </c>
      <c r="N29" s="679"/>
      <c r="O29" s="679"/>
      <c r="P29" s="357" t="s">
        <v>551</v>
      </c>
      <c r="Q29" s="354">
        <v>72</v>
      </c>
      <c r="R29" s="91">
        <v>0</v>
      </c>
      <c r="S29" s="354">
        <v>0</v>
      </c>
      <c r="T29" s="354">
        <v>30</v>
      </c>
      <c r="U29" s="91">
        <v>0</v>
      </c>
      <c r="V29" s="91">
        <v>0</v>
      </c>
      <c r="W29"/>
      <c r="X29"/>
      <c r="Z29" s="186"/>
      <c r="AA29" s="227"/>
      <c r="AB29" s="23"/>
      <c r="AC29" s="23"/>
      <c r="AD29" s="227"/>
    </row>
    <row r="30" spans="1:30" ht="14" x14ac:dyDescent="0.3">
      <c r="A30" s="353">
        <v>45778</v>
      </c>
      <c r="B30" s="353" t="str">
        <f>_xlfn.XLOOKUP(E30,'channel Mapping'!B:B,'channel Mapping'!D:D)</f>
        <v>Organic</v>
      </c>
      <c r="C30" s="353" t="str">
        <f>_xlfn.XLOOKUP(E30,'channel Mapping'!B:B,'channel Mapping'!C:C)</f>
        <v>Brand Social</v>
      </c>
      <c r="D30" s="170" t="s">
        <v>458</v>
      </c>
      <c r="E30" s="170" t="s">
        <v>543</v>
      </c>
      <c r="F30" s="19">
        <v>760</v>
      </c>
      <c r="G30" s="19">
        <v>1</v>
      </c>
      <c r="H30" s="19">
        <v>4645</v>
      </c>
      <c r="I30" s="19">
        <v>1749</v>
      </c>
      <c r="J30" s="19">
        <v>3</v>
      </c>
      <c r="K30" s="19">
        <v>10585</v>
      </c>
      <c r="N30" s="679"/>
      <c r="O30" s="678" t="s">
        <v>731</v>
      </c>
      <c r="P30" s="679"/>
      <c r="Q30" s="354">
        <v>406</v>
      </c>
      <c r="R30" s="91">
        <v>0</v>
      </c>
      <c r="S30" s="354">
        <v>0</v>
      </c>
      <c r="T30" s="354">
        <v>156</v>
      </c>
      <c r="U30" s="91">
        <v>0</v>
      </c>
      <c r="V30" s="91">
        <v>0</v>
      </c>
      <c r="W30"/>
      <c r="X30"/>
      <c r="Z30" s="186"/>
      <c r="AA30" s="227"/>
      <c r="AB30" s="23"/>
      <c r="AC30" s="23"/>
    </row>
    <row r="31" spans="1:30" ht="14" x14ac:dyDescent="0.3">
      <c r="A31" s="353">
        <v>45778</v>
      </c>
      <c r="B31" s="353" t="str">
        <f>_xlfn.XLOOKUP(E31,'channel Mapping'!B:B,'channel Mapping'!D:D)</f>
        <v>Organic</v>
      </c>
      <c r="C31" s="353" t="str">
        <f>_xlfn.XLOOKUP(E31,'channel Mapping'!B:B,'channel Mapping'!C:C)</f>
        <v>Others</v>
      </c>
      <c r="D31" s="170" t="s">
        <v>460</v>
      </c>
      <c r="E31" s="170" t="s">
        <v>544</v>
      </c>
      <c r="F31" s="19">
        <v>25</v>
      </c>
      <c r="G31" s="19">
        <v>0</v>
      </c>
      <c r="H31" s="19">
        <v>0</v>
      </c>
      <c r="I31" s="19">
        <v>38</v>
      </c>
      <c r="J31" s="19">
        <v>0</v>
      </c>
      <c r="K31" s="19">
        <v>0</v>
      </c>
      <c r="N31" s="679"/>
      <c r="O31" s="678" t="s">
        <v>460</v>
      </c>
      <c r="P31" s="357" t="s">
        <v>547</v>
      </c>
      <c r="Q31" s="354">
        <v>81</v>
      </c>
      <c r="R31" s="91">
        <v>1</v>
      </c>
      <c r="S31" s="354">
        <v>7640</v>
      </c>
      <c r="T31" s="354">
        <v>161</v>
      </c>
      <c r="U31" s="91">
        <v>0</v>
      </c>
      <c r="V31" s="91">
        <v>0</v>
      </c>
      <c r="W31"/>
      <c r="X31"/>
    </row>
    <row r="32" spans="1:30" ht="14" x14ac:dyDescent="0.3">
      <c r="A32" s="353">
        <v>45778</v>
      </c>
      <c r="B32" s="353" t="str">
        <f>_xlfn.XLOOKUP(E32,'channel Mapping'!B:B,'channel Mapping'!D:D)</f>
        <v>Organic</v>
      </c>
      <c r="C32" s="353" t="str">
        <f>_xlfn.XLOOKUP(E32,'channel Mapping'!B:B,'channel Mapping'!C:C)</f>
        <v>CRM</v>
      </c>
      <c r="D32" s="170" t="s">
        <v>532</v>
      </c>
      <c r="E32" s="170" t="s">
        <v>766</v>
      </c>
      <c r="F32" s="19">
        <v>74</v>
      </c>
      <c r="G32" s="19">
        <v>0</v>
      </c>
      <c r="H32" s="19">
        <v>0</v>
      </c>
      <c r="I32" s="19">
        <v>226</v>
      </c>
      <c r="J32" s="19">
        <v>0</v>
      </c>
      <c r="K32" s="19">
        <v>0</v>
      </c>
      <c r="N32" s="679"/>
      <c r="O32" s="679"/>
      <c r="P32" s="357" t="s">
        <v>548</v>
      </c>
      <c r="Q32" s="354">
        <v>73</v>
      </c>
      <c r="R32" s="91">
        <v>0</v>
      </c>
      <c r="S32" s="354">
        <v>0</v>
      </c>
      <c r="T32" s="354">
        <v>45</v>
      </c>
      <c r="U32" s="91">
        <v>0</v>
      </c>
      <c r="V32" s="91">
        <v>0</v>
      </c>
      <c r="W32"/>
      <c r="X32"/>
    </row>
    <row r="33" spans="1:24" ht="14" x14ac:dyDescent="0.3">
      <c r="A33" s="353">
        <v>45778</v>
      </c>
      <c r="B33" s="353" t="str">
        <f>_xlfn.XLOOKUP(E33,'channel Mapping'!B:B,'channel Mapping'!D:D)</f>
        <v>Organic</v>
      </c>
      <c r="C33" s="353" t="str">
        <f>_xlfn.XLOOKUP(E33,'channel Mapping'!B:B,'channel Mapping'!C:C)</f>
        <v>CRM</v>
      </c>
      <c r="D33" s="170" t="s">
        <v>457</v>
      </c>
      <c r="E33" s="170" t="s">
        <v>545</v>
      </c>
      <c r="F33" s="19">
        <v>427</v>
      </c>
      <c r="G33" s="19">
        <v>0</v>
      </c>
      <c r="H33" s="19">
        <v>0</v>
      </c>
      <c r="I33" s="19">
        <v>327</v>
      </c>
      <c r="J33" s="19">
        <v>0</v>
      </c>
      <c r="K33" s="19">
        <v>0</v>
      </c>
      <c r="N33" s="679"/>
      <c r="O33" s="679"/>
      <c r="P33" s="357" t="s">
        <v>652</v>
      </c>
      <c r="Q33" s="354">
        <v>24</v>
      </c>
      <c r="R33" s="91">
        <v>0</v>
      </c>
      <c r="S33" s="354">
        <v>0</v>
      </c>
      <c r="T33" s="354">
        <v>18</v>
      </c>
      <c r="U33" s="91">
        <v>0</v>
      </c>
      <c r="V33" s="91">
        <v>0</v>
      </c>
      <c r="W33"/>
      <c r="X33"/>
    </row>
    <row r="34" spans="1:24" ht="15" x14ac:dyDescent="0.4">
      <c r="A34" s="353">
        <v>45778</v>
      </c>
      <c r="B34" s="353" t="str">
        <f>_xlfn.XLOOKUP(E34,'channel Mapping'!B:B,'channel Mapping'!D:D)</f>
        <v>Paid</v>
      </c>
      <c r="C34" s="353" t="str">
        <f>_xlfn.XLOOKUP(E34,'channel Mapping'!B:B,'channel Mapping'!C:C)</f>
        <v>Affiliation CPS</v>
      </c>
      <c r="D34" s="170" t="s">
        <v>529</v>
      </c>
      <c r="E34" s="170" t="s">
        <v>763</v>
      </c>
      <c r="F34" s="19">
        <v>8</v>
      </c>
      <c r="G34" s="19">
        <v>2</v>
      </c>
      <c r="H34" s="19">
        <v>9290</v>
      </c>
      <c r="I34" s="19">
        <v>1</v>
      </c>
      <c r="J34" s="19">
        <v>0</v>
      </c>
      <c r="K34" s="19">
        <v>0</v>
      </c>
      <c r="N34" s="679"/>
      <c r="O34" s="679"/>
      <c r="P34" s="357" t="s">
        <v>714</v>
      </c>
      <c r="Q34" s="354">
        <v>21</v>
      </c>
      <c r="R34" s="91">
        <v>1</v>
      </c>
      <c r="S34" s="354">
        <v>2795</v>
      </c>
      <c r="T34" s="354">
        <v>0</v>
      </c>
      <c r="U34" s="91">
        <v>0</v>
      </c>
      <c r="V34" s="91">
        <v>0</v>
      </c>
      <c r="W34"/>
      <c r="X34"/>
    </row>
    <row r="35" spans="1:24" ht="14" x14ac:dyDescent="0.3">
      <c r="A35" s="353">
        <v>45778</v>
      </c>
      <c r="B35" s="353" t="str">
        <f>_xlfn.XLOOKUP(E35,'channel Mapping'!B:B,'channel Mapping'!D:D)</f>
        <v>Paid</v>
      </c>
      <c r="C35" s="353" t="str">
        <f>_xlfn.XLOOKUP(E35,'channel Mapping'!B:B,'channel Mapping'!C:C)</f>
        <v>Affiliation CPS</v>
      </c>
      <c r="D35" s="170" t="s">
        <v>579</v>
      </c>
      <c r="E35" s="170" t="s">
        <v>580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N35" s="679"/>
      <c r="O35" s="679"/>
      <c r="P35" s="357" t="s">
        <v>740</v>
      </c>
      <c r="Q35" s="354">
        <v>9</v>
      </c>
      <c r="R35" s="91">
        <v>0</v>
      </c>
      <c r="S35" s="354">
        <v>0</v>
      </c>
      <c r="T35" s="354">
        <v>0</v>
      </c>
      <c r="U35" s="91">
        <v>0</v>
      </c>
      <c r="V35" s="91">
        <v>0</v>
      </c>
      <c r="W35"/>
      <c r="X35"/>
    </row>
    <row r="36" spans="1:24" ht="14" x14ac:dyDescent="0.3">
      <c r="A36" s="353">
        <v>45778</v>
      </c>
      <c r="B36" s="353" t="str">
        <f>_xlfn.XLOOKUP(E36,'channel Mapping'!B:B,'channel Mapping'!D:D)</f>
        <v>Free</v>
      </c>
      <c r="C36" s="353" t="str">
        <f>_xlfn.XLOOKUP(E36,'channel Mapping'!B:B,'channel Mapping'!C:C)</f>
        <v>Mingpin</v>
      </c>
      <c r="D36" s="170" t="s">
        <v>459</v>
      </c>
      <c r="E36" s="170" t="s">
        <v>546</v>
      </c>
      <c r="F36" s="19">
        <v>981</v>
      </c>
      <c r="G36" s="19">
        <v>0</v>
      </c>
      <c r="H36" s="19">
        <v>0</v>
      </c>
      <c r="I36" s="19">
        <v>1418</v>
      </c>
      <c r="J36" s="19">
        <v>0</v>
      </c>
      <c r="K36" s="19">
        <v>0</v>
      </c>
      <c r="N36" s="679"/>
      <c r="O36" s="678" t="s">
        <v>741</v>
      </c>
      <c r="P36" s="679"/>
      <c r="Q36" s="354">
        <v>208</v>
      </c>
      <c r="R36" s="91">
        <v>2</v>
      </c>
      <c r="S36" s="354">
        <v>10435</v>
      </c>
      <c r="T36" s="354">
        <v>224</v>
      </c>
      <c r="U36" s="91">
        <v>0</v>
      </c>
      <c r="V36" s="91">
        <v>0</v>
      </c>
      <c r="W36"/>
      <c r="X36"/>
    </row>
    <row r="37" spans="1:24" ht="14" x14ac:dyDescent="0.3">
      <c r="A37" s="353">
        <v>45778</v>
      </c>
      <c r="B37" s="353" t="str">
        <f>_xlfn.XLOOKUP(E37,'channel Mapping'!B:B,'channel Mapping'!D:D)</f>
        <v>Organic</v>
      </c>
      <c r="C37" s="353" t="str">
        <f>_xlfn.XLOOKUP(E37,'channel Mapping'!B:B,'channel Mapping'!C:C)</f>
        <v>Others</v>
      </c>
      <c r="D37" s="170" t="s">
        <v>454</v>
      </c>
      <c r="E37" s="170" t="s">
        <v>547</v>
      </c>
      <c r="F37" s="19">
        <v>51</v>
      </c>
      <c r="G37" s="19">
        <v>0</v>
      </c>
      <c r="H37" s="19">
        <v>0</v>
      </c>
      <c r="I37" s="19">
        <v>213</v>
      </c>
      <c r="J37" s="19">
        <v>0</v>
      </c>
      <c r="K37" s="19">
        <v>0</v>
      </c>
      <c r="N37" s="678" t="s">
        <v>732</v>
      </c>
      <c r="O37" s="679"/>
      <c r="P37" s="679"/>
      <c r="Q37" s="354">
        <v>3750</v>
      </c>
      <c r="R37" s="91">
        <v>10</v>
      </c>
      <c r="S37" s="354">
        <v>60155</v>
      </c>
      <c r="T37" s="354">
        <v>3420</v>
      </c>
      <c r="U37" s="91">
        <v>6</v>
      </c>
      <c r="V37" s="91">
        <v>24515</v>
      </c>
      <c r="W37"/>
      <c r="X37"/>
    </row>
    <row r="38" spans="1:24" ht="15" x14ac:dyDescent="0.4">
      <c r="A38" s="353">
        <v>45778</v>
      </c>
      <c r="B38" s="353" t="str">
        <f>_xlfn.XLOOKUP(E38,'channel Mapping'!B:B,'channel Mapping'!D:D)</f>
        <v>Paid</v>
      </c>
      <c r="C38" s="353" t="str">
        <f>_xlfn.XLOOKUP(E38,'channel Mapping'!B:B,'channel Mapping'!C:C)</f>
        <v>Affiliation CPS</v>
      </c>
      <c r="D38" s="170" t="s">
        <v>529</v>
      </c>
      <c r="E38" s="170" t="s">
        <v>763</v>
      </c>
      <c r="F38" s="19">
        <v>68</v>
      </c>
      <c r="G38" s="19">
        <v>11</v>
      </c>
      <c r="H38" s="19">
        <v>57615</v>
      </c>
      <c r="I38" s="19">
        <v>4</v>
      </c>
      <c r="J38" s="19">
        <v>1</v>
      </c>
      <c r="K38" s="19">
        <v>2795</v>
      </c>
      <c r="N38" s="678" t="s">
        <v>707</v>
      </c>
      <c r="O38" s="357" t="s">
        <v>708</v>
      </c>
      <c r="P38" s="357" t="s">
        <v>712</v>
      </c>
      <c r="Q38" s="354">
        <v>2838</v>
      </c>
      <c r="R38" s="91">
        <v>2</v>
      </c>
      <c r="S38" s="354">
        <v>11995</v>
      </c>
      <c r="T38" s="354">
        <v>333</v>
      </c>
      <c r="U38" s="91">
        <v>0</v>
      </c>
      <c r="V38" s="91">
        <v>0</v>
      </c>
      <c r="W38"/>
      <c r="X38"/>
    </row>
    <row r="39" spans="1:24" ht="14" x14ac:dyDescent="0.3">
      <c r="A39" s="353">
        <v>45778</v>
      </c>
      <c r="B39" s="353" t="str">
        <f>_xlfn.XLOOKUP(E39,'channel Mapping'!B:B,'channel Mapping'!D:D)</f>
        <v>Paid</v>
      </c>
      <c r="C39" s="353" t="str">
        <f>_xlfn.XLOOKUP(E39,'channel Mapping'!B:B,'channel Mapping'!C:C)</f>
        <v>Affiliation CPS</v>
      </c>
      <c r="D39" s="170" t="s">
        <v>579</v>
      </c>
      <c r="E39" s="170" t="s">
        <v>580</v>
      </c>
      <c r="F39" s="19">
        <v>0</v>
      </c>
      <c r="G39" s="19">
        <v>0</v>
      </c>
      <c r="H39" s="19">
        <v>0</v>
      </c>
      <c r="I39" s="19">
        <v>238</v>
      </c>
      <c r="J39" s="19">
        <v>1</v>
      </c>
      <c r="K39" s="19">
        <v>8695</v>
      </c>
      <c r="N39" s="679"/>
      <c r="O39" s="678" t="s">
        <v>745</v>
      </c>
      <c r="P39" s="679"/>
      <c r="Q39" s="354">
        <v>2838</v>
      </c>
      <c r="R39" s="91">
        <v>2</v>
      </c>
      <c r="S39" s="354">
        <v>11995</v>
      </c>
      <c r="T39" s="354">
        <v>333</v>
      </c>
      <c r="U39" s="91">
        <v>0</v>
      </c>
      <c r="V39" s="91">
        <v>0</v>
      </c>
      <c r="W39"/>
      <c r="X39"/>
    </row>
    <row r="40" spans="1:24" ht="14" x14ac:dyDescent="0.3">
      <c r="A40" s="353">
        <v>45778</v>
      </c>
      <c r="B40" s="353" t="str">
        <f>_xlfn.XLOOKUP(E40,'channel Mapping'!B:B,'channel Mapping'!D:D)</f>
        <v>Organic</v>
      </c>
      <c r="C40" s="353" t="str">
        <f>_xlfn.XLOOKUP(E40,'channel Mapping'!B:B,'channel Mapping'!C:C)</f>
        <v>Others</v>
      </c>
      <c r="D40" s="170" t="s">
        <v>461</v>
      </c>
      <c r="E40" s="170" t="s">
        <v>548</v>
      </c>
      <c r="F40" s="19">
        <v>59</v>
      </c>
      <c r="G40" s="19">
        <v>0</v>
      </c>
      <c r="H40" s="19">
        <v>0</v>
      </c>
      <c r="I40" s="19">
        <v>49</v>
      </c>
      <c r="J40" s="19">
        <v>0</v>
      </c>
      <c r="K40" s="19">
        <v>0</v>
      </c>
      <c r="N40" s="678" t="s">
        <v>733</v>
      </c>
      <c r="O40" s="679"/>
      <c r="P40" s="679"/>
      <c r="Q40" s="354">
        <v>2838</v>
      </c>
      <c r="R40" s="91">
        <v>2</v>
      </c>
      <c r="S40" s="354">
        <v>11995</v>
      </c>
      <c r="T40" s="354">
        <v>333</v>
      </c>
      <c r="U40" s="91">
        <v>0</v>
      </c>
      <c r="V40" s="91">
        <v>0</v>
      </c>
      <c r="W40"/>
      <c r="X40"/>
    </row>
    <row r="41" spans="1:24" ht="14" x14ac:dyDescent="0.3">
      <c r="A41" s="353">
        <v>45778</v>
      </c>
      <c r="B41" s="353" t="str">
        <f>_xlfn.XLOOKUP(E41,'channel Mapping'!B:B,'channel Mapping'!D:D)</f>
        <v>Organic</v>
      </c>
      <c r="C41" s="353" t="str">
        <f>_xlfn.XLOOKUP(E41,'channel Mapping'!B:B,'channel Mapping'!C:C)</f>
        <v>Brand Social</v>
      </c>
      <c r="D41" s="170" t="s">
        <v>525</v>
      </c>
      <c r="E41" s="170" t="s">
        <v>549</v>
      </c>
      <c r="F41" s="19">
        <v>13</v>
      </c>
      <c r="G41" s="19">
        <v>0</v>
      </c>
      <c r="H41" s="19">
        <v>0</v>
      </c>
      <c r="I41" s="19">
        <v>31</v>
      </c>
      <c r="J41" s="19">
        <v>0</v>
      </c>
      <c r="K41" s="19">
        <v>0</v>
      </c>
      <c r="N41" s="678" t="s">
        <v>530</v>
      </c>
      <c r="O41" s="357" t="s">
        <v>530</v>
      </c>
      <c r="P41" s="357" t="s">
        <v>542</v>
      </c>
      <c r="Q41" s="354">
        <v>0</v>
      </c>
      <c r="R41" s="91">
        <v>0</v>
      </c>
      <c r="S41" s="354">
        <v>0</v>
      </c>
      <c r="T41" s="354">
        <v>0</v>
      </c>
      <c r="U41" s="91">
        <v>0</v>
      </c>
      <c r="V41" s="91">
        <v>0</v>
      </c>
      <c r="W41"/>
      <c r="X41"/>
    </row>
    <row r="42" spans="1:24" ht="14" x14ac:dyDescent="0.3">
      <c r="A42" s="353">
        <v>45778</v>
      </c>
      <c r="B42" s="353" t="str">
        <f>_xlfn.XLOOKUP(E42,'channel Mapping'!B:B,'channel Mapping'!D:D)</f>
        <v>Organic</v>
      </c>
      <c r="C42" s="353" t="str">
        <f>_xlfn.XLOOKUP(E42,'channel Mapping'!B:B,'channel Mapping'!C:C)</f>
        <v>CRM</v>
      </c>
      <c r="D42" s="170" t="s">
        <v>462</v>
      </c>
      <c r="E42" s="170" t="s">
        <v>550</v>
      </c>
      <c r="F42" s="19">
        <v>148</v>
      </c>
      <c r="G42" s="19">
        <v>0</v>
      </c>
      <c r="H42" s="19">
        <v>0</v>
      </c>
      <c r="I42" s="19">
        <v>27</v>
      </c>
      <c r="J42" s="19">
        <v>0</v>
      </c>
      <c r="K42" s="19">
        <v>0</v>
      </c>
      <c r="N42" s="679"/>
      <c r="O42" s="678" t="s">
        <v>735</v>
      </c>
      <c r="P42" s="679"/>
      <c r="Q42" s="354">
        <v>0</v>
      </c>
      <c r="R42" s="91">
        <v>0</v>
      </c>
      <c r="S42" s="354">
        <v>0</v>
      </c>
      <c r="T42" s="354">
        <v>0</v>
      </c>
      <c r="U42" s="91">
        <v>0</v>
      </c>
      <c r="V42" s="91">
        <v>0</v>
      </c>
      <c r="W42"/>
      <c r="X42"/>
    </row>
    <row r="43" spans="1:24" ht="14" x14ac:dyDescent="0.3">
      <c r="A43" s="353">
        <v>45778</v>
      </c>
      <c r="B43" s="353" t="str">
        <f>_xlfn.XLOOKUP(E43,'channel Mapping'!B:B,'channel Mapping'!D:D)</f>
        <v>Paid</v>
      </c>
      <c r="C43" s="353" t="str">
        <f>_xlfn.XLOOKUP(E43,'channel Mapping'!B:B,'channel Mapping'!C:C)</f>
        <v>Display CPC</v>
      </c>
      <c r="D43" s="170" t="s">
        <v>524</v>
      </c>
      <c r="E43" s="170" t="s">
        <v>539</v>
      </c>
      <c r="F43" s="19">
        <v>0</v>
      </c>
      <c r="G43" s="19">
        <v>0</v>
      </c>
      <c r="H43" s="19">
        <v>0</v>
      </c>
      <c r="I43" s="19">
        <v>1984</v>
      </c>
      <c r="J43" s="19">
        <v>0</v>
      </c>
      <c r="K43" s="19">
        <v>0</v>
      </c>
      <c r="N43" s="678" t="s">
        <v>735</v>
      </c>
      <c r="O43" s="679"/>
      <c r="P43" s="679"/>
      <c r="Q43" s="354">
        <v>0</v>
      </c>
      <c r="R43" s="91">
        <v>0</v>
      </c>
      <c r="S43" s="354">
        <v>0</v>
      </c>
      <c r="T43" s="354">
        <v>0</v>
      </c>
      <c r="U43" s="91">
        <v>0</v>
      </c>
      <c r="V43" s="91">
        <v>0</v>
      </c>
      <c r="W43"/>
      <c r="X43"/>
    </row>
    <row r="44" spans="1:24" s="467" customFormat="1" ht="14" x14ac:dyDescent="0.3">
      <c r="A44" s="353">
        <v>45809</v>
      </c>
      <c r="B44" s="353" t="str">
        <f>_xlfn.XLOOKUP(E44,'channel Mapping'!B:B,'channel Mapping'!D:D)</f>
        <v>Organic</v>
      </c>
      <c r="C44" s="353" t="str">
        <f>_xlfn.XLOOKUP(E44,'channel Mapping'!B:B,'channel Mapping'!C:C)</f>
        <v>Brand Search</v>
      </c>
      <c r="D44" s="170" t="s">
        <v>455</v>
      </c>
      <c r="E44" s="170" t="s">
        <v>540</v>
      </c>
      <c r="F44" s="19">
        <v>1151</v>
      </c>
      <c r="G44" s="19">
        <v>2</v>
      </c>
      <c r="H44" s="19">
        <v>7410</v>
      </c>
      <c r="I44" s="19">
        <v>839</v>
      </c>
      <c r="J44" s="19">
        <v>1</v>
      </c>
      <c r="K44" s="19">
        <v>1650</v>
      </c>
      <c r="L44" s="19"/>
      <c r="M44" s="19"/>
      <c r="N44" s="678" t="s">
        <v>0</v>
      </c>
      <c r="O44" s="679"/>
      <c r="P44" s="679"/>
      <c r="Q44" s="354">
        <v>6666</v>
      </c>
      <c r="R44" s="91">
        <v>17</v>
      </c>
      <c r="S44" s="354">
        <v>113030</v>
      </c>
      <c r="T44" s="354">
        <v>3782</v>
      </c>
      <c r="U44" s="91">
        <v>6</v>
      </c>
      <c r="V44" s="91">
        <v>24515</v>
      </c>
      <c r="W44" s="468"/>
      <c r="X44" s="468"/>
    </row>
    <row r="45" spans="1:24" ht="15" x14ac:dyDescent="0.4">
      <c r="A45" s="353">
        <v>45809</v>
      </c>
      <c r="B45" s="353" t="str">
        <f>_xlfn.XLOOKUP(E45,'channel Mapping'!B:B,'channel Mapping'!D:D)</f>
        <v>Paid</v>
      </c>
      <c r="C45" s="353" t="str">
        <f>_xlfn.XLOOKUP(E45,'channel Mapping'!B:B,'channel Mapping'!C:C)</f>
        <v>Affiliation CPS</v>
      </c>
      <c r="D45" s="170" t="s">
        <v>529</v>
      </c>
      <c r="E45" s="170" t="s">
        <v>763</v>
      </c>
      <c r="F45" s="19">
        <v>0</v>
      </c>
      <c r="G45" s="19">
        <v>0</v>
      </c>
      <c r="H45" s="19">
        <v>0</v>
      </c>
      <c r="I45" s="19">
        <v>4</v>
      </c>
      <c r="J45" s="19">
        <v>0</v>
      </c>
      <c r="K45" s="19">
        <v>0</v>
      </c>
      <c r="N45"/>
      <c r="O45"/>
      <c r="P45"/>
      <c r="Q45"/>
      <c r="R45"/>
      <c r="S45"/>
      <c r="T45"/>
      <c r="U45"/>
      <c r="V45"/>
      <c r="W45"/>
      <c r="X45"/>
    </row>
    <row r="46" spans="1:24" ht="14" x14ac:dyDescent="0.3">
      <c r="A46" s="353">
        <v>45809</v>
      </c>
      <c r="B46" s="353" t="str">
        <f>_xlfn.XLOOKUP(E46,'channel Mapping'!B:B,'channel Mapping'!D:D)</f>
        <v>Paid</v>
      </c>
      <c r="C46" s="353" t="str">
        <f>_xlfn.XLOOKUP(E46,'channel Mapping'!B:B,'channel Mapping'!C:C)</f>
        <v>Affiliation CPS</v>
      </c>
      <c r="D46" s="170" t="s">
        <v>579</v>
      </c>
      <c r="E46" s="170" t="s">
        <v>580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N46"/>
      <c r="O46"/>
      <c r="P46"/>
      <c r="Q46"/>
      <c r="R46"/>
      <c r="S46"/>
      <c r="T46"/>
      <c r="U46"/>
      <c r="V46"/>
      <c r="W46"/>
      <c r="X46"/>
    </row>
    <row r="47" spans="1:24" ht="15" x14ac:dyDescent="0.4">
      <c r="A47" s="353">
        <v>45809</v>
      </c>
      <c r="B47" s="353" t="str">
        <f>_xlfn.XLOOKUP(E47,'channel Mapping'!B:B,'channel Mapping'!D:D)</f>
        <v>Paid</v>
      </c>
      <c r="C47" s="353" t="str">
        <f>_xlfn.XLOOKUP(E47,'channel Mapping'!B:B,'channel Mapping'!C:C)</f>
        <v>Affiliation CPS</v>
      </c>
      <c r="D47" s="170" t="s">
        <v>528</v>
      </c>
      <c r="E47" s="358" t="s">
        <v>764</v>
      </c>
      <c r="F47" s="19">
        <v>0</v>
      </c>
      <c r="G47" s="19">
        <v>0</v>
      </c>
      <c r="H47" s="19">
        <v>0</v>
      </c>
      <c r="I47" s="19">
        <v>622</v>
      </c>
      <c r="J47" s="19">
        <v>1</v>
      </c>
      <c r="K47" s="19">
        <v>4695</v>
      </c>
      <c r="N47"/>
      <c r="O47"/>
      <c r="P47"/>
      <c r="Q47"/>
      <c r="R47"/>
      <c r="S47"/>
      <c r="T47"/>
      <c r="U47"/>
      <c r="V47"/>
      <c r="W47"/>
      <c r="X47"/>
    </row>
    <row r="48" spans="1:24" ht="14" x14ac:dyDescent="0.3">
      <c r="A48" s="353">
        <v>45809</v>
      </c>
      <c r="B48" s="353" t="str">
        <f>_xlfn.XLOOKUP(E48,'channel Mapping'!B:B,'channel Mapping'!D:D)</f>
        <v>Organic</v>
      </c>
      <c r="C48" s="353" t="str">
        <f>_xlfn.XLOOKUP(E48,'channel Mapping'!B:B,'channel Mapping'!C:C)</f>
        <v>Quick_Entry</v>
      </c>
      <c r="D48" s="170" t="s">
        <v>456</v>
      </c>
      <c r="E48" s="170" t="s">
        <v>541</v>
      </c>
      <c r="F48" s="19">
        <v>1178</v>
      </c>
      <c r="G48" s="19">
        <v>3</v>
      </c>
      <c r="H48" s="19">
        <v>24930</v>
      </c>
      <c r="I48" s="19">
        <v>1144</v>
      </c>
      <c r="J48" s="19">
        <v>12</v>
      </c>
      <c r="K48" s="19">
        <v>74015</v>
      </c>
      <c r="N48"/>
      <c r="O48"/>
      <c r="P48"/>
      <c r="Q48"/>
      <c r="R48"/>
      <c r="S48"/>
      <c r="T48"/>
      <c r="U48"/>
      <c r="V48"/>
      <c r="W48"/>
      <c r="X48"/>
    </row>
    <row r="49" spans="1:24" ht="15" x14ac:dyDescent="0.4">
      <c r="A49" s="353">
        <v>45809</v>
      </c>
      <c r="B49" s="353" t="str">
        <f>_xlfn.XLOOKUP(E49,'channel Mapping'!B:B,'channel Mapping'!D:D)</f>
        <v>Paid</v>
      </c>
      <c r="C49" s="353" t="str">
        <f>_xlfn.XLOOKUP(E49,'channel Mapping'!B:B,'channel Mapping'!C:C)</f>
        <v>Affiliation CPS</v>
      </c>
      <c r="D49" s="170" t="s">
        <v>529</v>
      </c>
      <c r="E49" s="170" t="s">
        <v>763</v>
      </c>
      <c r="F49" s="19">
        <v>0</v>
      </c>
      <c r="G49" s="19">
        <v>0</v>
      </c>
      <c r="H49" s="19">
        <v>0</v>
      </c>
      <c r="I49" s="19">
        <v>28</v>
      </c>
      <c r="J49" s="19">
        <v>0</v>
      </c>
      <c r="K49" s="19">
        <v>0</v>
      </c>
      <c r="N49"/>
      <c r="O49"/>
      <c r="P49"/>
      <c r="Q49"/>
      <c r="R49"/>
      <c r="S49"/>
      <c r="T49"/>
      <c r="U49"/>
      <c r="V49"/>
      <c r="W49"/>
      <c r="X49"/>
    </row>
    <row r="50" spans="1:24" ht="14" x14ac:dyDescent="0.3">
      <c r="A50" s="353">
        <v>45809</v>
      </c>
      <c r="B50" s="353" t="str">
        <f>_xlfn.XLOOKUP(E50,'channel Mapping'!B:B,'channel Mapping'!D:D)</f>
        <v>Paid</v>
      </c>
      <c r="C50" s="353" t="str">
        <f>_xlfn.XLOOKUP(E50,'channel Mapping'!B:B,'channel Mapping'!C:C)</f>
        <v>Affiliation CPS</v>
      </c>
      <c r="D50" s="170" t="s">
        <v>579</v>
      </c>
      <c r="E50" s="170" t="s">
        <v>580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N50"/>
      <c r="O50"/>
      <c r="P50"/>
      <c r="Q50"/>
      <c r="R50"/>
      <c r="S50"/>
      <c r="T50"/>
      <c r="U50"/>
      <c r="V50"/>
      <c r="W50"/>
      <c r="X50"/>
    </row>
    <row r="51" spans="1:24" ht="14" x14ac:dyDescent="0.3">
      <c r="A51" s="353">
        <v>45809</v>
      </c>
      <c r="B51" s="353" t="str">
        <f>_xlfn.XLOOKUP(E51,'channel Mapping'!B:B,'channel Mapping'!D:D)</f>
        <v>Organic</v>
      </c>
      <c r="C51" s="353" t="str">
        <f>_xlfn.XLOOKUP(E51,'channel Mapping'!B:B,'channel Mapping'!C:C)</f>
        <v>Brand Social</v>
      </c>
      <c r="D51" s="170" t="s">
        <v>458</v>
      </c>
      <c r="E51" s="170" t="s">
        <v>543</v>
      </c>
      <c r="F51" s="19">
        <v>1033</v>
      </c>
      <c r="G51" s="19">
        <v>2</v>
      </c>
      <c r="H51" s="19">
        <v>19195</v>
      </c>
      <c r="I51" s="19">
        <v>905</v>
      </c>
      <c r="J51" s="19">
        <v>2</v>
      </c>
      <c r="K51" s="19">
        <v>13495</v>
      </c>
      <c r="N51"/>
      <c r="O51"/>
      <c r="P51"/>
      <c r="Q51"/>
      <c r="R51"/>
      <c r="S51"/>
      <c r="T51"/>
      <c r="U51"/>
      <c r="V51"/>
      <c r="W51"/>
      <c r="X51"/>
    </row>
    <row r="52" spans="1:24" ht="14" x14ac:dyDescent="0.3">
      <c r="A52" s="353">
        <v>45809</v>
      </c>
      <c r="B52" s="353" t="str">
        <f>_xlfn.XLOOKUP(E52,'channel Mapping'!B:B,'channel Mapping'!D:D)</f>
        <v>Organic</v>
      </c>
      <c r="C52" s="353" t="str">
        <f>_xlfn.XLOOKUP(E52,'channel Mapping'!B:B,'channel Mapping'!C:C)</f>
        <v>Others</v>
      </c>
      <c r="D52" s="170" t="s">
        <v>460</v>
      </c>
      <c r="E52" s="170" t="s">
        <v>652</v>
      </c>
      <c r="F52" s="19">
        <v>16</v>
      </c>
      <c r="G52" s="19">
        <v>0</v>
      </c>
      <c r="H52" s="19">
        <v>0</v>
      </c>
      <c r="I52" s="19">
        <v>34</v>
      </c>
      <c r="J52" s="19">
        <v>0</v>
      </c>
      <c r="K52" s="19">
        <v>0</v>
      </c>
      <c r="N52"/>
      <c r="O52"/>
      <c r="P52"/>
      <c r="Q52"/>
      <c r="R52"/>
      <c r="S52"/>
      <c r="T52"/>
      <c r="U52"/>
      <c r="V52"/>
      <c r="W52"/>
      <c r="X52"/>
    </row>
    <row r="53" spans="1:24" x14ac:dyDescent="0.3">
      <c r="A53" s="353">
        <v>45809</v>
      </c>
      <c r="B53" s="353" t="str">
        <f>_xlfn.XLOOKUP(E53,'channel Mapping'!B:B,'channel Mapping'!D:D)</f>
        <v>Organic</v>
      </c>
      <c r="C53" s="353" t="str">
        <f>_xlfn.XLOOKUP(E53,'channel Mapping'!B:B,'channel Mapping'!C:C)</f>
        <v>CRM</v>
      </c>
      <c r="D53" s="170" t="s">
        <v>532</v>
      </c>
      <c r="E53" s="170" t="s">
        <v>766</v>
      </c>
      <c r="F53" s="19">
        <v>212</v>
      </c>
      <c r="G53" s="19">
        <v>0</v>
      </c>
      <c r="H53" s="19">
        <v>0</v>
      </c>
      <c r="I53" s="19">
        <v>79</v>
      </c>
      <c r="J53" s="19">
        <v>0</v>
      </c>
      <c r="K53" s="19">
        <v>0</v>
      </c>
    </row>
    <row r="54" spans="1:24" x14ac:dyDescent="0.3">
      <c r="A54" s="353">
        <v>45809</v>
      </c>
      <c r="B54" s="353" t="str">
        <f>_xlfn.XLOOKUP(E54,'channel Mapping'!B:B,'channel Mapping'!D:D)</f>
        <v>Organic</v>
      </c>
      <c r="C54" s="353" t="str">
        <f>_xlfn.XLOOKUP(E54,'channel Mapping'!B:B,'channel Mapping'!C:C)</f>
        <v>CRM</v>
      </c>
      <c r="D54" s="170" t="s">
        <v>457</v>
      </c>
      <c r="E54" s="170" t="s">
        <v>545</v>
      </c>
      <c r="F54" s="19">
        <v>296</v>
      </c>
      <c r="G54" s="19">
        <v>0</v>
      </c>
      <c r="H54" s="19">
        <v>0</v>
      </c>
      <c r="I54" s="19">
        <v>353</v>
      </c>
      <c r="J54" s="19">
        <v>1</v>
      </c>
      <c r="K54" s="19">
        <v>1295</v>
      </c>
    </row>
    <row r="55" spans="1:24" ht="14.5" x14ac:dyDescent="0.4">
      <c r="A55" s="353">
        <v>45809</v>
      </c>
      <c r="B55" s="353" t="str">
        <f>_xlfn.XLOOKUP(E55,'channel Mapping'!B:B,'channel Mapping'!D:D)</f>
        <v>Paid</v>
      </c>
      <c r="C55" s="353" t="str">
        <f>_xlfn.XLOOKUP(E55,'channel Mapping'!B:B,'channel Mapping'!C:C)</f>
        <v>Affiliation CPS</v>
      </c>
      <c r="D55" s="170" t="s">
        <v>529</v>
      </c>
      <c r="E55" s="170" t="s">
        <v>763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</row>
    <row r="56" spans="1:24" x14ac:dyDescent="0.3">
      <c r="A56" s="353">
        <v>45809</v>
      </c>
      <c r="B56" s="353" t="str">
        <f>_xlfn.XLOOKUP(E56,'channel Mapping'!B:B,'channel Mapping'!D:D)</f>
        <v>Paid</v>
      </c>
      <c r="C56" s="353" t="str">
        <f>_xlfn.XLOOKUP(E56,'channel Mapping'!B:B,'channel Mapping'!C:C)</f>
        <v>Affiliation CPS</v>
      </c>
      <c r="D56" s="170" t="s">
        <v>579</v>
      </c>
      <c r="E56" s="170" t="s">
        <v>580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</row>
    <row r="57" spans="1:24" ht="14.5" x14ac:dyDescent="0.4">
      <c r="A57" s="353">
        <v>45809</v>
      </c>
      <c r="B57" s="353" t="str">
        <f>_xlfn.XLOOKUP(E57,'channel Mapping'!B:B,'channel Mapping'!D:D)</f>
        <v>Paid</v>
      </c>
      <c r="C57" s="353" t="str">
        <f>_xlfn.XLOOKUP(E57,'channel Mapping'!B:B,'channel Mapping'!C:C)</f>
        <v>Affiliation CPS</v>
      </c>
      <c r="D57" s="170" t="s">
        <v>528</v>
      </c>
      <c r="E57" s="358" t="s">
        <v>764</v>
      </c>
      <c r="F57" s="19">
        <v>0</v>
      </c>
      <c r="G57" s="19">
        <v>0</v>
      </c>
      <c r="H57" s="19">
        <v>0</v>
      </c>
      <c r="I57" s="19">
        <v>2000</v>
      </c>
      <c r="J57" s="19">
        <v>52</v>
      </c>
      <c r="K57" s="19">
        <v>366340</v>
      </c>
    </row>
    <row r="58" spans="1:24" x14ac:dyDescent="0.3">
      <c r="A58" s="353">
        <v>45809</v>
      </c>
      <c r="B58" s="353" t="str">
        <f>_xlfn.XLOOKUP(E58,'channel Mapping'!B:B,'channel Mapping'!D:D)</f>
        <v>Free</v>
      </c>
      <c r="C58" s="353" t="str">
        <f>_xlfn.XLOOKUP(E58,'channel Mapping'!B:B,'channel Mapping'!C:C)</f>
        <v>Mingpin</v>
      </c>
      <c r="D58" s="170" t="s">
        <v>459</v>
      </c>
      <c r="E58" s="170" t="s">
        <v>712</v>
      </c>
      <c r="F58" s="19">
        <v>2522</v>
      </c>
      <c r="G58" s="19">
        <v>0</v>
      </c>
      <c r="H58" s="19">
        <v>0</v>
      </c>
      <c r="I58" s="19">
        <v>314</v>
      </c>
      <c r="J58" s="19">
        <v>0</v>
      </c>
      <c r="K58" s="19">
        <v>0</v>
      </c>
    </row>
    <row r="59" spans="1:24" x14ac:dyDescent="0.3">
      <c r="A59" s="353">
        <v>45809</v>
      </c>
      <c r="B59" s="353" t="str">
        <f>_xlfn.XLOOKUP(E59,'channel Mapping'!B:B,'channel Mapping'!D:D)</f>
        <v>Organic</v>
      </c>
      <c r="C59" s="353" t="str">
        <f>_xlfn.XLOOKUP(E59,'channel Mapping'!B:B,'channel Mapping'!C:C)</f>
        <v>Others</v>
      </c>
      <c r="D59" s="170" t="s">
        <v>454</v>
      </c>
      <c r="E59" s="170" t="s">
        <v>547</v>
      </c>
      <c r="F59" s="19">
        <v>62</v>
      </c>
      <c r="G59" s="19">
        <v>0</v>
      </c>
      <c r="H59" s="19">
        <v>0</v>
      </c>
      <c r="I59" s="19">
        <v>96</v>
      </c>
      <c r="J59" s="19">
        <v>0</v>
      </c>
      <c r="K59" s="19">
        <v>0</v>
      </c>
    </row>
    <row r="60" spans="1:24" ht="14.5" x14ac:dyDescent="0.4">
      <c r="A60" s="353">
        <v>45809</v>
      </c>
      <c r="B60" s="353" t="str">
        <f>_xlfn.XLOOKUP(E60,'channel Mapping'!B:B,'channel Mapping'!D:D)</f>
        <v>Paid</v>
      </c>
      <c r="C60" s="353" t="str">
        <f>_xlfn.XLOOKUP(E60,'channel Mapping'!B:B,'channel Mapping'!C:C)</f>
        <v>Affiliation CPS</v>
      </c>
      <c r="D60" s="170" t="s">
        <v>529</v>
      </c>
      <c r="E60" s="170" t="s">
        <v>763</v>
      </c>
      <c r="F60" s="19">
        <v>0</v>
      </c>
      <c r="G60" s="19">
        <v>0</v>
      </c>
      <c r="H60" s="19">
        <v>0</v>
      </c>
      <c r="I60" s="19">
        <v>349</v>
      </c>
      <c r="J60" s="19">
        <v>15</v>
      </c>
      <c r="K60" s="19">
        <v>64740</v>
      </c>
    </row>
    <row r="61" spans="1:24" x14ac:dyDescent="0.3">
      <c r="A61" s="353">
        <v>45809</v>
      </c>
      <c r="B61" s="353" t="str">
        <f>_xlfn.XLOOKUP(E61,'channel Mapping'!B:B,'channel Mapping'!D:D)</f>
        <v>Paid</v>
      </c>
      <c r="C61" s="353" t="str">
        <f>_xlfn.XLOOKUP(E61,'channel Mapping'!B:B,'channel Mapping'!C:C)</f>
        <v>Affiliation CPS</v>
      </c>
      <c r="D61" s="170" t="s">
        <v>579</v>
      </c>
      <c r="E61" s="170" t="s">
        <v>580</v>
      </c>
      <c r="F61" s="19">
        <v>0</v>
      </c>
      <c r="G61" s="19">
        <v>0</v>
      </c>
      <c r="H61" s="19">
        <v>0</v>
      </c>
      <c r="I61" s="19">
        <v>154</v>
      </c>
      <c r="J61" s="19">
        <v>0</v>
      </c>
      <c r="K61" s="19">
        <v>0</v>
      </c>
    </row>
    <row r="62" spans="1:24" x14ac:dyDescent="0.3">
      <c r="A62" s="353">
        <v>45809</v>
      </c>
      <c r="B62" s="353" t="str">
        <f>_xlfn.XLOOKUP(E62,'channel Mapping'!B:B,'channel Mapping'!D:D)</f>
        <v>Organic</v>
      </c>
      <c r="C62" s="353" t="str">
        <f>_xlfn.XLOOKUP(E62,'channel Mapping'!B:B,'channel Mapping'!C:C)</f>
        <v>Others</v>
      </c>
      <c r="D62" s="170" t="s">
        <v>461</v>
      </c>
      <c r="E62" s="170" t="s">
        <v>548</v>
      </c>
      <c r="F62" s="19">
        <v>59</v>
      </c>
      <c r="G62" s="19">
        <v>0</v>
      </c>
      <c r="H62" s="19">
        <v>0</v>
      </c>
      <c r="I62" s="19">
        <v>50</v>
      </c>
      <c r="J62" s="19">
        <v>0</v>
      </c>
      <c r="K62" s="19">
        <v>0</v>
      </c>
    </row>
    <row r="63" spans="1:24" x14ac:dyDescent="0.3">
      <c r="A63" s="353">
        <v>45809</v>
      </c>
      <c r="B63" s="353" t="str">
        <f>_xlfn.XLOOKUP(E63,'channel Mapping'!B:B,'channel Mapping'!D:D)</f>
        <v>Organic</v>
      </c>
      <c r="C63" s="353" t="str">
        <f>_xlfn.XLOOKUP(E63,'channel Mapping'!B:B,'channel Mapping'!C:C)</f>
        <v>Brand Social</v>
      </c>
      <c r="D63" s="170" t="s">
        <v>525</v>
      </c>
      <c r="E63" s="170" t="s">
        <v>549</v>
      </c>
      <c r="F63" s="19">
        <v>9</v>
      </c>
      <c r="G63" s="19">
        <v>0</v>
      </c>
      <c r="H63" s="19">
        <v>0</v>
      </c>
      <c r="I63" s="19">
        <v>15</v>
      </c>
      <c r="J63" s="19">
        <v>0</v>
      </c>
      <c r="K63" s="19">
        <v>0</v>
      </c>
    </row>
    <row r="64" spans="1:24" x14ac:dyDescent="0.3">
      <c r="A64" s="353">
        <v>45809</v>
      </c>
      <c r="B64" s="353" t="str">
        <f>_xlfn.XLOOKUP(E64,'channel Mapping'!B:B,'channel Mapping'!D:D)</f>
        <v>Organic</v>
      </c>
      <c r="C64" s="353" t="str">
        <f>_xlfn.XLOOKUP(E64,'channel Mapping'!B:B,'channel Mapping'!C:C)</f>
        <v>CRM</v>
      </c>
      <c r="D64" s="170" t="s">
        <v>462</v>
      </c>
      <c r="E64" s="170" t="s">
        <v>550</v>
      </c>
      <c r="F64" s="19">
        <v>121</v>
      </c>
      <c r="G64" s="19">
        <v>3</v>
      </c>
      <c r="H64" s="19">
        <v>5105</v>
      </c>
      <c r="I64" s="19">
        <v>35</v>
      </c>
      <c r="J64" s="19">
        <v>0</v>
      </c>
      <c r="K64" s="19">
        <v>0</v>
      </c>
    </row>
    <row r="65" spans="1:11" x14ac:dyDescent="0.3">
      <c r="A65" s="353">
        <v>45809</v>
      </c>
      <c r="B65" s="353" t="str">
        <f>_xlfn.XLOOKUP(E65,'channel Mapping'!B:B,'channel Mapping'!D:D)</f>
        <v>Paid</v>
      </c>
      <c r="C65" s="353" t="str">
        <f>_xlfn.XLOOKUP(E65,'channel Mapping'!B:B,'channel Mapping'!C:C)</f>
        <v>Display CPC</v>
      </c>
      <c r="D65" s="170" t="s">
        <v>524</v>
      </c>
      <c r="E65" s="170" t="s">
        <v>539</v>
      </c>
      <c r="F65" s="19">
        <v>0</v>
      </c>
      <c r="G65" s="19">
        <v>0</v>
      </c>
      <c r="H65" s="19">
        <v>0</v>
      </c>
      <c r="I65" s="19">
        <v>23</v>
      </c>
      <c r="J65" s="19">
        <v>0</v>
      </c>
      <c r="K65" s="19">
        <v>0</v>
      </c>
    </row>
    <row r="66" spans="1:11" x14ac:dyDescent="0.3">
      <c r="A66" s="353">
        <v>45839</v>
      </c>
      <c r="B66" s="353" t="str">
        <f>_xlfn.XLOOKUP(E66,'channel Mapping'!B:B,'channel Mapping'!D:D)</f>
        <v>Organic</v>
      </c>
      <c r="C66" s="353" t="str">
        <f>_xlfn.XLOOKUP(E66,'channel Mapping'!B:B,'channel Mapping'!C:C)</f>
        <v>Brand Search</v>
      </c>
      <c r="D66" s="170" t="s">
        <v>455</v>
      </c>
      <c r="E66" s="170" t="s">
        <v>540</v>
      </c>
      <c r="F66" s="19">
        <v>1270</v>
      </c>
      <c r="G66" s="19">
        <v>0</v>
      </c>
      <c r="H66" s="19">
        <v>0</v>
      </c>
      <c r="I66" s="19">
        <v>1064</v>
      </c>
      <c r="J66" s="19">
        <v>3</v>
      </c>
      <c r="K66" s="19">
        <v>18801</v>
      </c>
    </row>
    <row r="67" spans="1:11" ht="14.5" x14ac:dyDescent="0.4">
      <c r="A67" s="353">
        <v>45839</v>
      </c>
      <c r="B67" s="353" t="str">
        <f>_xlfn.XLOOKUP(E67,'channel Mapping'!B:B,'channel Mapping'!D:D)</f>
        <v>Paid</v>
      </c>
      <c r="C67" s="353" t="str">
        <f>_xlfn.XLOOKUP(E67,'channel Mapping'!B:B,'channel Mapping'!C:C)</f>
        <v>Affiliation CPS</v>
      </c>
      <c r="D67" s="170" t="s">
        <v>529</v>
      </c>
      <c r="E67" s="170" t="s">
        <v>763</v>
      </c>
      <c r="F67" s="19">
        <v>22</v>
      </c>
      <c r="G67" s="19">
        <v>0</v>
      </c>
      <c r="H67" s="19">
        <v>0</v>
      </c>
      <c r="I67" s="19">
        <v>7</v>
      </c>
      <c r="J67" s="19">
        <v>0</v>
      </c>
      <c r="K67" s="19">
        <v>0</v>
      </c>
    </row>
    <row r="68" spans="1:11" x14ac:dyDescent="0.3">
      <c r="A68" s="353">
        <v>45839</v>
      </c>
      <c r="B68" s="353" t="str">
        <f>_xlfn.XLOOKUP(E68,'channel Mapping'!B:B,'channel Mapping'!D:D)</f>
        <v>Paid</v>
      </c>
      <c r="C68" s="353" t="str">
        <f>_xlfn.XLOOKUP(E68,'channel Mapping'!B:B,'channel Mapping'!C:C)</f>
        <v>Affiliation CPS</v>
      </c>
      <c r="D68" s="170" t="s">
        <v>579</v>
      </c>
      <c r="E68" s="170" t="s">
        <v>580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</row>
    <row r="69" spans="1:11" ht="14.5" x14ac:dyDescent="0.4">
      <c r="A69" s="353">
        <v>45839</v>
      </c>
      <c r="B69" s="353" t="str">
        <f>_xlfn.XLOOKUP(E69,'channel Mapping'!B:B,'channel Mapping'!D:D)</f>
        <v>Paid</v>
      </c>
      <c r="C69" s="353" t="str">
        <f>_xlfn.XLOOKUP(E69,'channel Mapping'!B:B,'channel Mapping'!C:C)</f>
        <v>Affiliation CPS</v>
      </c>
      <c r="D69" s="170" t="s">
        <v>528</v>
      </c>
      <c r="E69" s="358" t="s">
        <v>764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</row>
    <row r="70" spans="1:11" x14ac:dyDescent="0.3">
      <c r="A70" s="353">
        <v>45839</v>
      </c>
      <c r="B70" s="353" t="str">
        <f>_xlfn.XLOOKUP(E70,'channel Mapping'!B:B,'channel Mapping'!D:D)</f>
        <v>FF</v>
      </c>
      <c r="C70" s="353" t="str">
        <f>_xlfn.XLOOKUP(E70,'channel Mapping'!B:B,'channel Mapping'!C:C)</f>
        <v>FF</v>
      </c>
      <c r="D70" s="170" t="s">
        <v>530</v>
      </c>
      <c r="E70" s="170" t="s">
        <v>542</v>
      </c>
      <c r="F70" s="19">
        <v>0</v>
      </c>
      <c r="G70" s="19">
        <v>0</v>
      </c>
      <c r="H70" s="19">
        <v>0</v>
      </c>
      <c r="I70" s="19">
        <v>40</v>
      </c>
      <c r="J70" s="19">
        <v>0</v>
      </c>
      <c r="K70" s="19">
        <v>0</v>
      </c>
    </row>
    <row r="71" spans="1:11" x14ac:dyDescent="0.3">
      <c r="A71" s="353">
        <v>45839</v>
      </c>
      <c r="B71" s="353" t="str">
        <f>_xlfn.XLOOKUP(E71,'channel Mapping'!B:B,'channel Mapping'!D:D)</f>
        <v>Organic</v>
      </c>
      <c r="C71" s="353" t="str">
        <f>_xlfn.XLOOKUP(E71,'channel Mapping'!B:B,'channel Mapping'!C:C)</f>
        <v>Quick_Entry</v>
      </c>
      <c r="D71" s="170" t="s">
        <v>456</v>
      </c>
      <c r="E71" s="170" t="s">
        <v>541</v>
      </c>
      <c r="F71" s="19">
        <v>1155</v>
      </c>
      <c r="G71" s="19">
        <v>2</v>
      </c>
      <c r="H71" s="19">
        <v>4839</v>
      </c>
      <c r="I71" s="19">
        <v>2631</v>
      </c>
      <c r="J71" s="19">
        <v>7</v>
      </c>
      <c r="K71" s="19">
        <v>21764</v>
      </c>
    </row>
    <row r="72" spans="1:11" ht="14.5" x14ac:dyDescent="0.4">
      <c r="A72" s="353">
        <v>45839</v>
      </c>
      <c r="B72" s="353" t="str">
        <f>_xlfn.XLOOKUP(E72,'channel Mapping'!B:B,'channel Mapping'!D:D)</f>
        <v>Paid</v>
      </c>
      <c r="C72" s="353" t="str">
        <f>_xlfn.XLOOKUP(E72,'channel Mapping'!B:B,'channel Mapping'!C:C)</f>
        <v>Affiliation CPS</v>
      </c>
      <c r="D72" s="170" t="s">
        <v>529</v>
      </c>
      <c r="E72" s="170" t="s">
        <v>763</v>
      </c>
      <c r="F72" s="19">
        <v>18</v>
      </c>
      <c r="G72" s="19">
        <v>4</v>
      </c>
      <c r="H72" s="19">
        <v>14090</v>
      </c>
      <c r="I72" s="19">
        <v>17</v>
      </c>
      <c r="J72" s="19">
        <v>1</v>
      </c>
      <c r="K72" s="19">
        <v>4695</v>
      </c>
    </row>
    <row r="73" spans="1:11" x14ac:dyDescent="0.3">
      <c r="A73" s="353">
        <v>45839</v>
      </c>
      <c r="B73" s="353" t="str">
        <f>_xlfn.XLOOKUP(E73,'channel Mapping'!B:B,'channel Mapping'!D:D)</f>
        <v>Paid</v>
      </c>
      <c r="C73" s="353" t="str">
        <f>_xlfn.XLOOKUP(E73,'channel Mapping'!B:B,'channel Mapping'!C:C)</f>
        <v>Affiliation CPS</v>
      </c>
      <c r="D73" s="170" t="s">
        <v>579</v>
      </c>
      <c r="E73" s="170" t="s">
        <v>580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</row>
    <row r="74" spans="1:11" x14ac:dyDescent="0.3">
      <c r="A74" s="353">
        <v>45839</v>
      </c>
      <c r="B74" s="353" t="str">
        <f>_xlfn.XLOOKUP(E74,'channel Mapping'!B:B,'channel Mapping'!D:D)</f>
        <v>FF</v>
      </c>
      <c r="C74" s="353" t="str">
        <f>_xlfn.XLOOKUP(E74,'channel Mapping'!B:B,'channel Mapping'!C:C)</f>
        <v>FF</v>
      </c>
      <c r="D74" s="170" t="s">
        <v>530</v>
      </c>
      <c r="E74" s="170" t="s">
        <v>542</v>
      </c>
      <c r="F74" s="19">
        <v>0</v>
      </c>
      <c r="G74" s="19">
        <v>0</v>
      </c>
      <c r="H74" s="19">
        <v>0</v>
      </c>
      <c r="I74" s="19">
        <v>1337</v>
      </c>
      <c r="J74" s="19">
        <v>374</v>
      </c>
      <c r="K74" s="19">
        <v>387423</v>
      </c>
    </row>
    <row r="75" spans="1:11" x14ac:dyDescent="0.3">
      <c r="A75" s="353">
        <v>45839</v>
      </c>
      <c r="B75" s="353" t="str">
        <f>_xlfn.XLOOKUP(E75,'channel Mapping'!B:B,'channel Mapping'!D:D)</f>
        <v>Organic</v>
      </c>
      <c r="C75" s="353" t="str">
        <f>_xlfn.XLOOKUP(E75,'channel Mapping'!B:B,'channel Mapping'!C:C)</f>
        <v>Brand Social</v>
      </c>
      <c r="D75" s="170" t="s">
        <v>458</v>
      </c>
      <c r="E75" s="170" t="s">
        <v>543</v>
      </c>
      <c r="F75" s="19">
        <v>434</v>
      </c>
      <c r="G75" s="19">
        <v>1</v>
      </c>
      <c r="H75" s="19">
        <v>7295</v>
      </c>
      <c r="I75" s="19">
        <v>645</v>
      </c>
      <c r="J75" s="19">
        <v>0</v>
      </c>
      <c r="K75" s="19">
        <v>0</v>
      </c>
    </row>
    <row r="76" spans="1:11" x14ac:dyDescent="0.3">
      <c r="A76" s="353">
        <v>45839</v>
      </c>
      <c r="B76" s="353" t="str">
        <f>_xlfn.XLOOKUP(E76,'channel Mapping'!B:B,'channel Mapping'!D:D)</f>
        <v>Organic</v>
      </c>
      <c r="C76" s="353" t="str">
        <f>_xlfn.XLOOKUP(E76,'channel Mapping'!B:B,'channel Mapping'!C:C)</f>
        <v>Others</v>
      </c>
      <c r="D76" s="170" t="s">
        <v>460</v>
      </c>
      <c r="E76" s="170" t="s">
        <v>652</v>
      </c>
      <c r="F76" s="19">
        <v>3</v>
      </c>
      <c r="G76" s="19">
        <v>0</v>
      </c>
      <c r="H76" s="19">
        <v>0</v>
      </c>
      <c r="I76" s="19">
        <v>41</v>
      </c>
      <c r="J76" s="19">
        <v>0</v>
      </c>
      <c r="K76" s="19">
        <v>0</v>
      </c>
    </row>
    <row r="77" spans="1:11" x14ac:dyDescent="0.3">
      <c r="A77" s="353">
        <v>45839</v>
      </c>
      <c r="B77" s="353" t="str">
        <f>_xlfn.XLOOKUP(E77,'channel Mapping'!B:B,'channel Mapping'!D:D)</f>
        <v>Organic</v>
      </c>
      <c r="C77" s="353" t="str">
        <f>_xlfn.XLOOKUP(E77,'channel Mapping'!B:B,'channel Mapping'!C:C)</f>
        <v>CRM</v>
      </c>
      <c r="D77" s="170" t="s">
        <v>532</v>
      </c>
      <c r="E77" s="170" t="s">
        <v>766</v>
      </c>
      <c r="F77" s="19">
        <v>157</v>
      </c>
      <c r="G77" s="19">
        <v>2</v>
      </c>
      <c r="H77" s="19">
        <v>12190</v>
      </c>
      <c r="I77" s="19">
        <v>41</v>
      </c>
      <c r="J77" s="19">
        <v>0</v>
      </c>
      <c r="K77" s="19">
        <v>0</v>
      </c>
    </row>
    <row r="78" spans="1:11" x14ac:dyDescent="0.3">
      <c r="A78" s="353">
        <v>45839</v>
      </c>
      <c r="B78" s="353" t="str">
        <f>_xlfn.XLOOKUP(E78,'channel Mapping'!B:B,'channel Mapping'!D:D)</f>
        <v>FF</v>
      </c>
      <c r="C78" s="353" t="str">
        <f>_xlfn.XLOOKUP(E78,'channel Mapping'!B:B,'channel Mapping'!C:C)</f>
        <v>FF</v>
      </c>
      <c r="D78" s="170" t="s">
        <v>530</v>
      </c>
      <c r="E78" s="170" t="s">
        <v>542</v>
      </c>
      <c r="F78" s="19">
        <v>0</v>
      </c>
      <c r="G78" s="19">
        <v>0</v>
      </c>
      <c r="H78" s="19">
        <v>0</v>
      </c>
      <c r="I78" s="19">
        <v>45</v>
      </c>
      <c r="J78" s="19">
        <v>5</v>
      </c>
      <c r="K78" s="19">
        <v>3449</v>
      </c>
    </row>
    <row r="79" spans="1:11" x14ac:dyDescent="0.3">
      <c r="A79" s="353">
        <v>45839</v>
      </c>
      <c r="B79" s="353" t="str">
        <f>_xlfn.XLOOKUP(E79,'channel Mapping'!B:B,'channel Mapping'!D:D)</f>
        <v>Organic</v>
      </c>
      <c r="C79" s="353" t="str">
        <f>_xlfn.XLOOKUP(E79,'channel Mapping'!B:B,'channel Mapping'!C:C)</f>
        <v>CRM</v>
      </c>
      <c r="D79" s="170" t="s">
        <v>457</v>
      </c>
      <c r="E79" s="170" t="s">
        <v>545</v>
      </c>
      <c r="F79" s="19">
        <v>612</v>
      </c>
      <c r="G79" s="19">
        <v>3</v>
      </c>
      <c r="H79" s="19">
        <v>12265</v>
      </c>
      <c r="I79" s="19">
        <v>1476</v>
      </c>
      <c r="J79" s="19">
        <v>0</v>
      </c>
      <c r="K79" s="19">
        <v>0</v>
      </c>
    </row>
    <row r="80" spans="1:11" ht="14.5" x14ac:dyDescent="0.4">
      <c r="A80" s="353">
        <v>45839</v>
      </c>
      <c r="B80" s="353" t="str">
        <f>_xlfn.XLOOKUP(E80,'channel Mapping'!B:B,'channel Mapping'!D:D)</f>
        <v>Paid</v>
      </c>
      <c r="C80" s="353" t="str">
        <f>_xlfn.XLOOKUP(E80,'channel Mapping'!B:B,'channel Mapping'!C:C)</f>
        <v>Affiliation CPS</v>
      </c>
      <c r="D80" s="170" t="s">
        <v>529</v>
      </c>
      <c r="E80" s="170" t="s">
        <v>763</v>
      </c>
      <c r="F80" s="19">
        <v>6</v>
      </c>
      <c r="G80" s="19">
        <v>1</v>
      </c>
      <c r="H80" s="19">
        <v>1990</v>
      </c>
      <c r="I80" s="19">
        <v>5</v>
      </c>
      <c r="J80" s="19">
        <v>0</v>
      </c>
      <c r="K80" s="19">
        <v>0</v>
      </c>
    </row>
    <row r="81" spans="1:11" x14ac:dyDescent="0.3">
      <c r="A81" s="353">
        <v>45839</v>
      </c>
      <c r="B81" s="353" t="str">
        <f>_xlfn.XLOOKUP(E81,'channel Mapping'!B:B,'channel Mapping'!D:D)</f>
        <v>Paid</v>
      </c>
      <c r="C81" s="353" t="str">
        <f>_xlfn.XLOOKUP(E81,'channel Mapping'!B:B,'channel Mapping'!C:C)</f>
        <v>Affiliation CPS</v>
      </c>
      <c r="D81" s="170" t="s">
        <v>579</v>
      </c>
      <c r="E81" s="170" t="s">
        <v>580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</row>
    <row r="82" spans="1:11" ht="14.5" x14ac:dyDescent="0.4">
      <c r="A82" s="353">
        <v>45839</v>
      </c>
      <c r="B82" s="353" t="str">
        <f>_xlfn.XLOOKUP(E82,'channel Mapping'!B:B,'channel Mapping'!D:D)</f>
        <v>Paid</v>
      </c>
      <c r="C82" s="353" t="str">
        <f>_xlfn.XLOOKUP(E82,'channel Mapping'!B:B,'channel Mapping'!C:C)</f>
        <v>Affiliation CPS</v>
      </c>
      <c r="D82" s="170" t="s">
        <v>528</v>
      </c>
      <c r="E82" s="358" t="s">
        <v>764</v>
      </c>
      <c r="F82" s="19">
        <v>0</v>
      </c>
      <c r="G82" s="19">
        <v>0</v>
      </c>
      <c r="H82" s="19">
        <v>0</v>
      </c>
      <c r="I82" s="19">
        <v>0</v>
      </c>
      <c r="J82" s="19">
        <v>0</v>
      </c>
      <c r="K82" s="19">
        <v>0</v>
      </c>
    </row>
    <row r="83" spans="1:11" x14ac:dyDescent="0.3">
      <c r="A83" s="353">
        <v>45839</v>
      </c>
      <c r="B83" s="353" t="str">
        <f>_xlfn.XLOOKUP(E83,'channel Mapping'!B:B,'channel Mapping'!D:D)</f>
        <v>FF</v>
      </c>
      <c r="C83" s="353" t="str">
        <f>_xlfn.XLOOKUP(E83,'channel Mapping'!B:B,'channel Mapping'!C:C)</f>
        <v>FF</v>
      </c>
      <c r="D83" s="170" t="s">
        <v>530</v>
      </c>
      <c r="E83" s="170" t="s">
        <v>542</v>
      </c>
      <c r="F83" s="19">
        <v>0</v>
      </c>
      <c r="G83" s="19">
        <v>0</v>
      </c>
      <c r="H83" s="19">
        <v>0</v>
      </c>
      <c r="I83" s="19">
        <v>324</v>
      </c>
      <c r="J83" s="19">
        <v>58</v>
      </c>
      <c r="K83" s="19">
        <v>48038</v>
      </c>
    </row>
    <row r="84" spans="1:11" x14ac:dyDescent="0.3">
      <c r="A84" s="353">
        <v>45839</v>
      </c>
      <c r="B84" s="353" t="str">
        <f>_xlfn.XLOOKUP(E84,'channel Mapping'!B:B,'channel Mapping'!D:D)</f>
        <v>Free</v>
      </c>
      <c r="C84" s="353" t="str">
        <f>_xlfn.XLOOKUP(E84,'channel Mapping'!B:B,'channel Mapping'!C:C)</f>
        <v>Mingpin</v>
      </c>
      <c r="D84" s="170" t="s">
        <v>459</v>
      </c>
      <c r="E84" s="170" t="s">
        <v>712</v>
      </c>
      <c r="F84" s="19">
        <v>2048</v>
      </c>
      <c r="G84" s="19">
        <v>0</v>
      </c>
      <c r="H84" s="19">
        <v>0</v>
      </c>
      <c r="I84" s="19">
        <v>226</v>
      </c>
      <c r="J84" s="19">
        <v>0</v>
      </c>
      <c r="K84" s="19">
        <v>0</v>
      </c>
    </row>
    <row r="85" spans="1:11" x14ac:dyDescent="0.3">
      <c r="A85" s="353">
        <v>45839</v>
      </c>
      <c r="B85" s="353" t="str">
        <f>_xlfn.XLOOKUP(E85,'channel Mapping'!B:B,'channel Mapping'!D:D)</f>
        <v>Organic</v>
      </c>
      <c r="C85" s="353" t="str">
        <f>_xlfn.XLOOKUP(E85,'channel Mapping'!B:B,'channel Mapping'!C:C)</f>
        <v>Others</v>
      </c>
      <c r="D85" s="170" t="s">
        <v>454</v>
      </c>
      <c r="E85" s="170" t="s">
        <v>547</v>
      </c>
      <c r="F85" s="19">
        <v>58</v>
      </c>
      <c r="G85" s="19">
        <v>0</v>
      </c>
      <c r="H85" s="19">
        <v>0</v>
      </c>
      <c r="I85" s="19">
        <v>41</v>
      </c>
      <c r="J85" s="19">
        <v>0</v>
      </c>
      <c r="K85" s="19">
        <v>0</v>
      </c>
    </row>
    <row r="86" spans="1:11" ht="14.5" x14ac:dyDescent="0.4">
      <c r="A86" s="353">
        <v>45839</v>
      </c>
      <c r="B86" s="353" t="str">
        <f>_xlfn.XLOOKUP(E86,'channel Mapping'!B:B,'channel Mapping'!D:D)</f>
        <v>Paid</v>
      </c>
      <c r="C86" s="353" t="str">
        <f>_xlfn.XLOOKUP(E86,'channel Mapping'!B:B,'channel Mapping'!C:C)</f>
        <v>Affiliation CPS</v>
      </c>
      <c r="D86" s="170" t="s">
        <v>529</v>
      </c>
      <c r="E86" s="170" t="s">
        <v>763</v>
      </c>
      <c r="F86" s="19">
        <v>155</v>
      </c>
      <c r="G86" s="19">
        <v>19</v>
      </c>
      <c r="H86" s="19">
        <v>119565</v>
      </c>
      <c r="I86" s="19">
        <v>231</v>
      </c>
      <c r="J86" s="19">
        <v>14</v>
      </c>
      <c r="K86" s="19">
        <v>60325</v>
      </c>
    </row>
    <row r="87" spans="1:11" x14ac:dyDescent="0.3">
      <c r="A87" s="353">
        <v>45839</v>
      </c>
      <c r="B87" s="353" t="str">
        <f>_xlfn.XLOOKUP(E87,'channel Mapping'!B:B,'channel Mapping'!D:D)</f>
        <v>Paid</v>
      </c>
      <c r="C87" s="353" t="str">
        <f>_xlfn.XLOOKUP(E87,'channel Mapping'!B:B,'channel Mapping'!C:C)</f>
        <v>Affiliation CPS</v>
      </c>
      <c r="D87" s="170" t="s">
        <v>579</v>
      </c>
      <c r="E87" s="170" t="s">
        <v>580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</row>
    <row r="88" spans="1:11" x14ac:dyDescent="0.3">
      <c r="A88" s="353">
        <v>45839</v>
      </c>
      <c r="B88" s="353" t="str">
        <f>_xlfn.XLOOKUP(E88,'channel Mapping'!B:B,'channel Mapping'!D:D)</f>
        <v>FF</v>
      </c>
      <c r="C88" s="353" t="str">
        <f>_xlfn.XLOOKUP(E88,'channel Mapping'!B:B,'channel Mapping'!C:C)</f>
        <v>FF</v>
      </c>
      <c r="D88" s="170" t="s">
        <v>530</v>
      </c>
      <c r="E88" s="170" t="s">
        <v>542</v>
      </c>
      <c r="F88" s="19">
        <v>0</v>
      </c>
      <c r="G88" s="19">
        <v>0</v>
      </c>
      <c r="H88" s="19">
        <v>0</v>
      </c>
      <c r="I88" s="19">
        <v>12591</v>
      </c>
      <c r="J88" s="19">
        <v>845</v>
      </c>
      <c r="K88" s="19">
        <v>841725</v>
      </c>
    </row>
    <row r="89" spans="1:11" x14ac:dyDescent="0.3">
      <c r="A89" s="353">
        <v>45839</v>
      </c>
      <c r="B89" s="353" t="str">
        <f>_xlfn.XLOOKUP(E89,'channel Mapping'!B:B,'channel Mapping'!D:D)</f>
        <v>Organic</v>
      </c>
      <c r="C89" s="353" t="str">
        <f>_xlfn.XLOOKUP(E89,'channel Mapping'!B:B,'channel Mapping'!C:C)</f>
        <v>Others</v>
      </c>
      <c r="D89" s="170" t="s">
        <v>461</v>
      </c>
      <c r="E89" s="170" t="s">
        <v>548</v>
      </c>
      <c r="F89" s="19">
        <v>62</v>
      </c>
      <c r="G89" s="19">
        <v>0</v>
      </c>
      <c r="H89" s="19">
        <v>0</v>
      </c>
      <c r="I89" s="19">
        <v>2</v>
      </c>
      <c r="J89" s="19">
        <v>0</v>
      </c>
      <c r="K89" s="19">
        <v>0</v>
      </c>
    </row>
    <row r="90" spans="1:11" x14ac:dyDescent="0.3">
      <c r="A90" s="353">
        <v>45839</v>
      </c>
      <c r="B90" s="353" t="str">
        <f>_xlfn.XLOOKUP(E90,'channel Mapping'!B:B,'channel Mapping'!D:D)</f>
        <v>FF</v>
      </c>
      <c r="C90" s="353" t="str">
        <f>_xlfn.XLOOKUP(E90,'channel Mapping'!B:B,'channel Mapping'!C:C)</f>
        <v>FF</v>
      </c>
      <c r="D90" s="170" t="s">
        <v>530</v>
      </c>
      <c r="E90" s="170" t="s">
        <v>542</v>
      </c>
      <c r="F90" s="19">
        <v>0</v>
      </c>
      <c r="G90" s="19">
        <v>0</v>
      </c>
      <c r="H90" s="19">
        <v>0</v>
      </c>
      <c r="I90" s="19">
        <v>90</v>
      </c>
      <c r="J90" s="19">
        <v>3</v>
      </c>
      <c r="K90" s="19">
        <v>2374</v>
      </c>
    </row>
    <row r="91" spans="1:11" x14ac:dyDescent="0.3">
      <c r="A91" s="353">
        <v>45839</v>
      </c>
      <c r="B91" s="353" t="str">
        <f>_xlfn.XLOOKUP(E91,'channel Mapping'!B:B,'channel Mapping'!D:D)</f>
        <v>Organic</v>
      </c>
      <c r="C91" s="353" t="str">
        <f>_xlfn.XLOOKUP(E91,'channel Mapping'!B:B,'channel Mapping'!C:C)</f>
        <v>Brand Social</v>
      </c>
      <c r="D91" s="170" t="s">
        <v>525</v>
      </c>
      <c r="E91" s="170" t="s">
        <v>549</v>
      </c>
      <c r="F91" s="19">
        <v>7</v>
      </c>
      <c r="G91" s="19">
        <v>0</v>
      </c>
      <c r="H91" s="19">
        <v>0</v>
      </c>
      <c r="I91" s="19">
        <v>13</v>
      </c>
      <c r="J91" s="19">
        <v>0</v>
      </c>
      <c r="K91" s="19">
        <v>0</v>
      </c>
    </row>
    <row r="92" spans="1:11" x14ac:dyDescent="0.3">
      <c r="A92" s="353">
        <v>45839</v>
      </c>
      <c r="B92" s="353" t="str">
        <f>_xlfn.XLOOKUP(E92,'channel Mapping'!B:B,'channel Mapping'!D:D)</f>
        <v>Organic</v>
      </c>
      <c r="C92" s="353" t="str">
        <f>_xlfn.XLOOKUP(E92,'channel Mapping'!B:B,'channel Mapping'!C:C)</f>
        <v>CRM</v>
      </c>
      <c r="D92" s="170" t="s">
        <v>462</v>
      </c>
      <c r="E92" s="170" t="s">
        <v>550</v>
      </c>
      <c r="F92" s="19">
        <v>38</v>
      </c>
      <c r="G92" s="19">
        <v>2</v>
      </c>
      <c r="H92" s="19">
        <v>8700</v>
      </c>
      <c r="I92" s="19">
        <v>13</v>
      </c>
      <c r="J92" s="19">
        <v>0</v>
      </c>
      <c r="K92" s="19">
        <v>0</v>
      </c>
    </row>
    <row r="93" spans="1:11" ht="14.5" x14ac:dyDescent="0.4">
      <c r="A93" s="353">
        <v>45839</v>
      </c>
      <c r="B93" s="353" t="str">
        <f>_xlfn.XLOOKUP(E93,'channel Mapping'!B:B,'channel Mapping'!D:D)</f>
        <v>Paid</v>
      </c>
      <c r="C93" s="353" t="str">
        <f>_xlfn.XLOOKUP(E93,'channel Mapping'!B:B,'channel Mapping'!C:C)</f>
        <v>Affiliation CPS</v>
      </c>
      <c r="D93" s="170" t="s">
        <v>529</v>
      </c>
      <c r="E93" s="170" t="s">
        <v>763</v>
      </c>
      <c r="F93" s="19">
        <v>2</v>
      </c>
      <c r="G93" s="19">
        <v>2</v>
      </c>
      <c r="H93" s="19">
        <v>7575</v>
      </c>
      <c r="I93" s="19">
        <v>1</v>
      </c>
      <c r="J93" s="19">
        <v>0</v>
      </c>
      <c r="K93" s="19">
        <v>0</v>
      </c>
    </row>
    <row r="94" spans="1:11" x14ac:dyDescent="0.3">
      <c r="A94" s="353">
        <v>45839</v>
      </c>
      <c r="B94" s="353" t="str">
        <f>_xlfn.XLOOKUP(E94,'channel Mapping'!B:B,'channel Mapping'!D:D)</f>
        <v>FF</v>
      </c>
      <c r="C94" s="353" t="str">
        <f>_xlfn.XLOOKUP(E94,'channel Mapping'!B:B,'channel Mapping'!C:C)</f>
        <v>FF</v>
      </c>
      <c r="D94" s="170" t="s">
        <v>530</v>
      </c>
      <c r="E94" s="170" t="s">
        <v>542</v>
      </c>
      <c r="F94" s="19">
        <v>0</v>
      </c>
      <c r="G94" s="19">
        <v>0</v>
      </c>
      <c r="H94" s="19">
        <v>0</v>
      </c>
      <c r="I94" s="19">
        <v>300</v>
      </c>
      <c r="J94" s="19">
        <v>4</v>
      </c>
      <c r="K94" s="19">
        <v>2325</v>
      </c>
    </row>
    <row r="95" spans="1:11" x14ac:dyDescent="0.3">
      <c r="A95" s="353">
        <v>45839</v>
      </c>
      <c r="B95" s="353" t="str">
        <f>_xlfn.XLOOKUP(E95,'channel Mapping'!B:B,'channel Mapping'!D:D)</f>
        <v>Paid</v>
      </c>
      <c r="C95" s="353" t="str">
        <f>_xlfn.XLOOKUP(E95,'channel Mapping'!B:B,'channel Mapping'!C:C)</f>
        <v>Display CPC</v>
      </c>
      <c r="D95" s="170" t="s">
        <v>524</v>
      </c>
      <c r="E95" s="170" t="s">
        <v>539</v>
      </c>
      <c r="F95" s="19">
        <v>0</v>
      </c>
      <c r="G95" s="19">
        <v>0</v>
      </c>
      <c r="H95" s="19">
        <v>0</v>
      </c>
      <c r="I95" s="19">
        <v>0</v>
      </c>
      <c r="J95" s="19">
        <v>0</v>
      </c>
      <c r="K95" s="19">
        <v>0</v>
      </c>
    </row>
    <row r="96" spans="1:11" x14ac:dyDescent="0.3">
      <c r="A96" s="353">
        <v>45870</v>
      </c>
      <c r="B96" s="353" t="str">
        <f>_xlfn.XLOOKUP(E96,'channel Mapping'!B:B,'channel Mapping'!D:D)</f>
        <v>Organic</v>
      </c>
      <c r="C96" s="353" t="str">
        <f>_xlfn.XLOOKUP(E96,'channel Mapping'!B:B,'channel Mapping'!C:C)</f>
        <v>Brand Search</v>
      </c>
      <c r="D96" s="170" t="s">
        <v>455</v>
      </c>
      <c r="E96" s="170" t="s">
        <v>540</v>
      </c>
      <c r="F96" s="19">
        <v>1182</v>
      </c>
      <c r="G96" s="19">
        <v>3</v>
      </c>
      <c r="H96" s="19">
        <v>12509</v>
      </c>
      <c r="I96" s="19">
        <v>943</v>
      </c>
      <c r="J96" s="19">
        <v>0</v>
      </c>
      <c r="K96" s="19">
        <v>0</v>
      </c>
    </row>
    <row r="97" spans="1:11" ht="14.5" x14ac:dyDescent="0.4">
      <c r="A97" s="353">
        <v>45870</v>
      </c>
      <c r="B97" s="353" t="str">
        <f>_xlfn.XLOOKUP(E97,'channel Mapping'!B:B,'channel Mapping'!D:D)</f>
        <v>Paid</v>
      </c>
      <c r="C97" s="353" t="str">
        <f>_xlfn.XLOOKUP(E97,'channel Mapping'!B:B,'channel Mapping'!C:C)</f>
        <v>Affiliation CPS</v>
      </c>
      <c r="D97" s="170" t="s">
        <v>529</v>
      </c>
      <c r="E97" s="170" t="s">
        <v>763</v>
      </c>
      <c r="F97" s="19">
        <v>65</v>
      </c>
      <c r="G97" s="19">
        <v>4</v>
      </c>
      <c r="H97" s="19">
        <v>21090</v>
      </c>
      <c r="I97" s="19">
        <v>17</v>
      </c>
      <c r="J97" s="19">
        <v>0</v>
      </c>
      <c r="K97" s="19">
        <v>0</v>
      </c>
    </row>
    <row r="98" spans="1:11" x14ac:dyDescent="0.3">
      <c r="A98" s="353">
        <v>45870</v>
      </c>
      <c r="B98" s="353" t="str">
        <f>_xlfn.XLOOKUP(E98,'channel Mapping'!B:B,'channel Mapping'!D:D)</f>
        <v>Paid</v>
      </c>
      <c r="C98" s="353" t="str">
        <f>_xlfn.XLOOKUP(E98,'channel Mapping'!B:B,'channel Mapping'!C:C)</f>
        <v>Affiliation CPS</v>
      </c>
      <c r="D98" s="170" t="s">
        <v>579</v>
      </c>
      <c r="E98" s="170" t="s">
        <v>580</v>
      </c>
      <c r="F98" s="19">
        <v>0</v>
      </c>
      <c r="G98" s="19">
        <v>0</v>
      </c>
      <c r="H98" s="19">
        <v>0</v>
      </c>
      <c r="I98" s="19">
        <v>0</v>
      </c>
      <c r="J98" s="19">
        <v>0</v>
      </c>
      <c r="K98" s="19">
        <v>0</v>
      </c>
    </row>
    <row r="99" spans="1:11" ht="14.5" x14ac:dyDescent="0.4">
      <c r="A99" s="353">
        <v>45870</v>
      </c>
      <c r="B99" s="353" t="str">
        <f>_xlfn.XLOOKUP(E99,'channel Mapping'!B:B,'channel Mapping'!D:D)</f>
        <v>Paid</v>
      </c>
      <c r="C99" s="353" t="str">
        <f>_xlfn.XLOOKUP(E99,'channel Mapping'!B:B,'channel Mapping'!C:C)</f>
        <v>Affiliation CPS</v>
      </c>
      <c r="D99" s="170" t="s">
        <v>528</v>
      </c>
      <c r="E99" s="358" t="s">
        <v>764</v>
      </c>
      <c r="F99" s="19">
        <v>0</v>
      </c>
      <c r="G99" s="19">
        <v>0</v>
      </c>
      <c r="H99" s="19">
        <v>0</v>
      </c>
      <c r="I99" s="19">
        <v>0</v>
      </c>
      <c r="J99" s="19">
        <v>0</v>
      </c>
      <c r="K99" s="19">
        <v>0</v>
      </c>
    </row>
    <row r="100" spans="1:11" x14ac:dyDescent="0.3">
      <c r="A100" s="353">
        <v>45870</v>
      </c>
      <c r="B100" s="353" t="str">
        <f>_xlfn.XLOOKUP(E100,'channel Mapping'!B:B,'channel Mapping'!D:D)</f>
        <v>FF</v>
      </c>
      <c r="C100" s="353" t="str">
        <f>_xlfn.XLOOKUP(E100,'channel Mapping'!B:B,'channel Mapping'!C:C)</f>
        <v>FF</v>
      </c>
      <c r="D100" s="170" t="s">
        <v>530</v>
      </c>
      <c r="E100" s="170" t="s">
        <v>542</v>
      </c>
      <c r="F100" s="19">
        <v>200</v>
      </c>
      <c r="G100" s="19">
        <v>4</v>
      </c>
      <c r="H100" s="19">
        <v>5870</v>
      </c>
      <c r="I100" s="19">
        <v>0</v>
      </c>
      <c r="J100" s="19">
        <v>0</v>
      </c>
      <c r="K100" s="19">
        <v>0</v>
      </c>
    </row>
    <row r="101" spans="1:11" x14ac:dyDescent="0.3">
      <c r="A101" s="353">
        <v>45870</v>
      </c>
      <c r="B101" s="353" t="str">
        <f>_xlfn.XLOOKUP(E101,'channel Mapping'!B:B,'channel Mapping'!D:D)</f>
        <v>Organic</v>
      </c>
      <c r="C101" s="353" t="str">
        <f>_xlfn.XLOOKUP(E101,'channel Mapping'!B:B,'channel Mapping'!C:C)</f>
        <v>Quick_Entry</v>
      </c>
      <c r="D101" s="170" t="s">
        <v>456</v>
      </c>
      <c r="E101" s="170" t="s">
        <v>541</v>
      </c>
      <c r="F101" s="19">
        <v>1139</v>
      </c>
      <c r="G101" s="19">
        <v>3</v>
      </c>
      <c r="H101" s="19">
        <v>10635</v>
      </c>
      <c r="I101" s="19">
        <v>952</v>
      </c>
      <c r="J101" s="19">
        <v>4</v>
      </c>
      <c r="K101" s="19">
        <v>28720</v>
      </c>
    </row>
    <row r="102" spans="1:11" ht="14.5" x14ac:dyDescent="0.4">
      <c r="A102" s="353">
        <v>45870</v>
      </c>
      <c r="B102" s="353" t="str">
        <f>_xlfn.XLOOKUP(E102,'channel Mapping'!B:B,'channel Mapping'!D:D)</f>
        <v>Paid</v>
      </c>
      <c r="C102" s="353" t="str">
        <f>_xlfn.XLOOKUP(E102,'channel Mapping'!B:B,'channel Mapping'!C:C)</f>
        <v>Affiliation CPS</v>
      </c>
      <c r="D102" s="170" t="s">
        <v>529</v>
      </c>
      <c r="E102" s="170" t="s">
        <v>763</v>
      </c>
      <c r="F102" s="19">
        <v>33</v>
      </c>
      <c r="G102" s="19">
        <v>5</v>
      </c>
      <c r="H102" s="19">
        <v>20050</v>
      </c>
      <c r="I102" s="19">
        <v>32</v>
      </c>
      <c r="J102" s="19">
        <v>0</v>
      </c>
      <c r="K102" s="19">
        <v>0</v>
      </c>
    </row>
    <row r="103" spans="1:11" x14ac:dyDescent="0.3">
      <c r="A103" s="353">
        <v>45870</v>
      </c>
      <c r="B103" s="353" t="str">
        <f>_xlfn.XLOOKUP(E103,'channel Mapping'!B:B,'channel Mapping'!D:D)</f>
        <v>Paid</v>
      </c>
      <c r="C103" s="353" t="str">
        <f>_xlfn.XLOOKUP(E103,'channel Mapping'!B:B,'channel Mapping'!C:C)</f>
        <v>Affiliation CPS</v>
      </c>
      <c r="D103" s="170" t="s">
        <v>579</v>
      </c>
      <c r="E103" s="170" t="s">
        <v>580</v>
      </c>
      <c r="F103" s="19">
        <v>0</v>
      </c>
      <c r="G103" s="19">
        <v>0</v>
      </c>
      <c r="H103" s="19">
        <v>0</v>
      </c>
      <c r="I103" s="19">
        <v>0</v>
      </c>
      <c r="J103" s="19">
        <v>0</v>
      </c>
      <c r="K103" s="19">
        <v>0</v>
      </c>
    </row>
    <row r="104" spans="1:11" x14ac:dyDescent="0.3">
      <c r="A104" s="353">
        <v>45870</v>
      </c>
      <c r="B104" s="353" t="str">
        <f>_xlfn.XLOOKUP(E104,'channel Mapping'!B:B,'channel Mapping'!D:D)</f>
        <v>FF</v>
      </c>
      <c r="C104" s="353" t="str">
        <f>_xlfn.XLOOKUP(E104,'channel Mapping'!B:B,'channel Mapping'!C:C)</f>
        <v>FF</v>
      </c>
      <c r="D104" s="170" t="s">
        <v>530</v>
      </c>
      <c r="E104" s="170" t="s">
        <v>542</v>
      </c>
      <c r="F104" s="19">
        <v>900</v>
      </c>
      <c r="G104" s="19">
        <v>113</v>
      </c>
      <c r="H104" s="19">
        <v>169080</v>
      </c>
      <c r="I104" s="19">
        <v>0</v>
      </c>
      <c r="J104" s="19">
        <v>0</v>
      </c>
      <c r="K104" s="19">
        <v>0</v>
      </c>
    </row>
    <row r="105" spans="1:11" x14ac:dyDescent="0.3">
      <c r="A105" s="353">
        <v>45870</v>
      </c>
      <c r="B105" s="353" t="str">
        <f>_xlfn.XLOOKUP(E105,'channel Mapping'!B:B,'channel Mapping'!D:D)</f>
        <v>Organic</v>
      </c>
      <c r="C105" s="353" t="str">
        <f>_xlfn.XLOOKUP(E105,'channel Mapping'!B:B,'channel Mapping'!C:C)</f>
        <v>Brand Social</v>
      </c>
      <c r="D105" s="170" t="s">
        <v>458</v>
      </c>
      <c r="E105" s="170" t="s">
        <v>543</v>
      </c>
      <c r="F105" s="19">
        <v>606</v>
      </c>
      <c r="G105" s="19">
        <v>0</v>
      </c>
      <c r="H105" s="19">
        <v>0</v>
      </c>
      <c r="I105" s="19">
        <v>912</v>
      </c>
      <c r="J105" s="19">
        <v>0</v>
      </c>
      <c r="K105" s="19">
        <v>0</v>
      </c>
    </row>
    <row r="106" spans="1:11" x14ac:dyDescent="0.3">
      <c r="A106" s="353">
        <v>45870</v>
      </c>
      <c r="B106" s="353" t="str">
        <f>_xlfn.XLOOKUP(E106,'channel Mapping'!B:B,'channel Mapping'!D:D)</f>
        <v>Organic</v>
      </c>
      <c r="C106" s="353" t="str">
        <f>_xlfn.XLOOKUP(E106,'channel Mapping'!B:B,'channel Mapping'!C:C)</f>
        <v>Others</v>
      </c>
      <c r="D106" s="170" t="s">
        <v>460</v>
      </c>
      <c r="E106" s="170" t="s">
        <v>652</v>
      </c>
      <c r="F106" s="19">
        <v>10</v>
      </c>
      <c r="G106" s="19">
        <v>0</v>
      </c>
      <c r="H106" s="19">
        <v>0</v>
      </c>
      <c r="I106" s="19">
        <v>9</v>
      </c>
      <c r="J106" s="19">
        <v>0</v>
      </c>
      <c r="K106" s="19">
        <v>0</v>
      </c>
    </row>
    <row r="107" spans="1:11" x14ac:dyDescent="0.3">
      <c r="A107" s="353">
        <v>45870</v>
      </c>
      <c r="B107" s="353" t="str">
        <f>_xlfn.XLOOKUP(E107,'channel Mapping'!B:B,'channel Mapping'!D:D)</f>
        <v>Organic</v>
      </c>
      <c r="C107" s="353" t="str">
        <f>_xlfn.XLOOKUP(E107,'channel Mapping'!B:B,'channel Mapping'!C:C)</f>
        <v>CRM</v>
      </c>
      <c r="D107" s="170" t="s">
        <v>532</v>
      </c>
      <c r="E107" s="170" t="s">
        <v>766</v>
      </c>
      <c r="F107" s="19">
        <v>154</v>
      </c>
      <c r="G107" s="19">
        <v>0</v>
      </c>
      <c r="H107" s="19">
        <v>0</v>
      </c>
      <c r="I107" s="19">
        <v>89</v>
      </c>
      <c r="J107" s="19">
        <v>0</v>
      </c>
      <c r="K107" s="19">
        <v>0</v>
      </c>
    </row>
    <row r="108" spans="1:11" x14ac:dyDescent="0.3">
      <c r="A108" s="353">
        <v>45870</v>
      </c>
      <c r="B108" s="353" t="str">
        <f>_xlfn.XLOOKUP(E108,'channel Mapping'!B:B,'channel Mapping'!D:D)</f>
        <v>FF</v>
      </c>
      <c r="C108" s="353" t="str">
        <f>_xlfn.XLOOKUP(E108,'channel Mapping'!B:B,'channel Mapping'!C:C)</f>
        <v>FF</v>
      </c>
      <c r="D108" s="170" t="s">
        <v>530</v>
      </c>
      <c r="E108" s="170" t="s">
        <v>542</v>
      </c>
      <c r="F108" s="19">
        <v>193</v>
      </c>
      <c r="G108" s="19">
        <v>16</v>
      </c>
      <c r="H108" s="19">
        <v>17745</v>
      </c>
      <c r="I108" s="19">
        <v>0</v>
      </c>
      <c r="J108" s="19">
        <v>0</v>
      </c>
      <c r="K108" s="19">
        <v>0</v>
      </c>
    </row>
    <row r="109" spans="1:11" x14ac:dyDescent="0.3">
      <c r="A109" s="353">
        <v>45870</v>
      </c>
      <c r="B109" s="353" t="str">
        <f>_xlfn.XLOOKUP(E109,'channel Mapping'!B:B,'channel Mapping'!D:D)</f>
        <v>Organic</v>
      </c>
      <c r="C109" s="353" t="str">
        <f>_xlfn.XLOOKUP(E109,'channel Mapping'!B:B,'channel Mapping'!C:C)</f>
        <v>CRM</v>
      </c>
      <c r="D109" s="170" t="s">
        <v>457</v>
      </c>
      <c r="E109" s="170" t="s">
        <v>545</v>
      </c>
      <c r="F109" s="19">
        <v>609</v>
      </c>
      <c r="G109" s="19">
        <v>0</v>
      </c>
      <c r="H109" s="19">
        <v>0</v>
      </c>
      <c r="I109" s="19">
        <v>476</v>
      </c>
      <c r="J109" s="19">
        <v>0</v>
      </c>
      <c r="K109" s="19">
        <v>0</v>
      </c>
    </row>
    <row r="110" spans="1:11" ht="14.5" x14ac:dyDescent="0.4">
      <c r="A110" s="353">
        <v>45870</v>
      </c>
      <c r="B110" s="353" t="str">
        <f>_xlfn.XLOOKUP(E110,'channel Mapping'!B:B,'channel Mapping'!D:D)</f>
        <v>Paid</v>
      </c>
      <c r="C110" s="353" t="str">
        <f>_xlfn.XLOOKUP(E110,'channel Mapping'!B:B,'channel Mapping'!C:C)</f>
        <v>Affiliation CPS</v>
      </c>
      <c r="D110" s="170" t="s">
        <v>529</v>
      </c>
      <c r="E110" s="170" t="s">
        <v>763</v>
      </c>
      <c r="F110" s="19">
        <v>7</v>
      </c>
      <c r="G110" s="19">
        <v>0</v>
      </c>
      <c r="H110" s="19">
        <v>0</v>
      </c>
      <c r="I110" s="19">
        <v>11</v>
      </c>
      <c r="J110" s="19">
        <v>0</v>
      </c>
      <c r="K110" s="19">
        <v>0</v>
      </c>
    </row>
    <row r="111" spans="1:11" x14ac:dyDescent="0.3">
      <c r="A111" s="353">
        <v>45870</v>
      </c>
      <c r="B111" s="353" t="str">
        <f>_xlfn.XLOOKUP(E111,'channel Mapping'!B:B,'channel Mapping'!D:D)</f>
        <v>Paid</v>
      </c>
      <c r="C111" s="353" t="str">
        <f>_xlfn.XLOOKUP(E111,'channel Mapping'!B:B,'channel Mapping'!C:C)</f>
        <v>Affiliation CPS</v>
      </c>
      <c r="D111" s="170" t="s">
        <v>579</v>
      </c>
      <c r="E111" s="170" t="s">
        <v>580</v>
      </c>
      <c r="F111" s="19">
        <v>0</v>
      </c>
      <c r="G111" s="19">
        <v>0</v>
      </c>
      <c r="H111" s="19">
        <v>0</v>
      </c>
      <c r="I111" s="19">
        <v>0</v>
      </c>
      <c r="J111" s="19">
        <v>0</v>
      </c>
      <c r="K111" s="19">
        <v>0</v>
      </c>
    </row>
    <row r="112" spans="1:11" ht="14.5" x14ac:dyDescent="0.4">
      <c r="A112" s="353">
        <v>45870</v>
      </c>
      <c r="B112" s="353" t="str">
        <f>_xlfn.XLOOKUP(E112,'channel Mapping'!B:B,'channel Mapping'!D:D)</f>
        <v>Paid</v>
      </c>
      <c r="C112" s="353" t="str">
        <f>_xlfn.XLOOKUP(E112,'channel Mapping'!B:B,'channel Mapping'!C:C)</f>
        <v>Affiliation CPS</v>
      </c>
      <c r="D112" s="170" t="s">
        <v>528</v>
      </c>
      <c r="E112" s="358" t="s">
        <v>764</v>
      </c>
      <c r="F112" s="19">
        <v>0</v>
      </c>
      <c r="G112" s="19">
        <v>0</v>
      </c>
      <c r="H112" s="19">
        <v>0</v>
      </c>
      <c r="I112" s="19">
        <v>0</v>
      </c>
      <c r="J112" s="19">
        <v>0</v>
      </c>
      <c r="K112" s="19">
        <v>0</v>
      </c>
    </row>
    <row r="113" spans="1:11" x14ac:dyDescent="0.3">
      <c r="A113" s="353">
        <v>45870</v>
      </c>
      <c r="B113" s="353" t="str">
        <f>_xlfn.XLOOKUP(E113,'channel Mapping'!B:B,'channel Mapping'!D:D)</f>
        <v>FF</v>
      </c>
      <c r="C113" s="353" t="str">
        <f>_xlfn.XLOOKUP(E113,'channel Mapping'!B:B,'channel Mapping'!C:C)</f>
        <v>FF</v>
      </c>
      <c r="D113" s="170" t="s">
        <v>530</v>
      </c>
      <c r="E113" s="170" t="s">
        <v>542</v>
      </c>
      <c r="F113" s="19">
        <v>3200</v>
      </c>
      <c r="G113" s="19">
        <v>270</v>
      </c>
      <c r="H113" s="19">
        <v>524464</v>
      </c>
      <c r="I113" s="19">
        <v>0</v>
      </c>
      <c r="J113" s="19">
        <v>0</v>
      </c>
      <c r="K113" s="19">
        <v>0</v>
      </c>
    </row>
    <row r="114" spans="1:11" x14ac:dyDescent="0.3">
      <c r="A114" s="353">
        <v>45870</v>
      </c>
      <c r="B114" s="353" t="str">
        <f>_xlfn.XLOOKUP(E114,'channel Mapping'!B:B,'channel Mapping'!D:D)</f>
        <v>Free</v>
      </c>
      <c r="C114" s="353" t="str">
        <f>_xlfn.XLOOKUP(E114,'channel Mapping'!B:B,'channel Mapping'!C:C)</f>
        <v>Mingpin</v>
      </c>
      <c r="D114" s="170" t="s">
        <v>459</v>
      </c>
      <c r="E114" s="170" t="s">
        <v>712</v>
      </c>
      <c r="F114" s="19">
        <v>2200</v>
      </c>
      <c r="G114" s="19">
        <v>1</v>
      </c>
      <c r="H114" s="19">
        <v>6895</v>
      </c>
      <c r="I114" s="19">
        <v>292</v>
      </c>
      <c r="J114" s="19">
        <v>0</v>
      </c>
      <c r="K114" s="19">
        <v>0</v>
      </c>
    </row>
    <row r="115" spans="1:11" x14ac:dyDescent="0.3">
      <c r="A115" s="353">
        <v>45870</v>
      </c>
      <c r="B115" s="353" t="str">
        <f>_xlfn.XLOOKUP(E115,'channel Mapping'!B:B,'channel Mapping'!D:D)</f>
        <v>Organic</v>
      </c>
      <c r="C115" s="353" t="str">
        <f>_xlfn.XLOOKUP(E115,'channel Mapping'!B:B,'channel Mapping'!C:C)</f>
        <v>Others</v>
      </c>
      <c r="D115" s="170" t="s">
        <v>719</v>
      </c>
      <c r="E115" s="170" t="s">
        <v>714</v>
      </c>
      <c r="F115" s="19">
        <v>3</v>
      </c>
      <c r="G115" s="19">
        <v>0</v>
      </c>
      <c r="H115" s="19">
        <v>0</v>
      </c>
      <c r="I115" s="19">
        <v>0</v>
      </c>
      <c r="J115" s="19">
        <v>0</v>
      </c>
      <c r="K115" s="19">
        <v>0</v>
      </c>
    </row>
    <row r="116" spans="1:11" x14ac:dyDescent="0.3">
      <c r="A116" s="353">
        <v>45870</v>
      </c>
      <c r="B116" s="353" t="str">
        <f>_xlfn.XLOOKUP(E116,'channel Mapping'!B:B,'channel Mapping'!D:D)</f>
        <v>Organic</v>
      </c>
      <c r="C116" s="353" t="str">
        <f>_xlfn.XLOOKUP(E116,'channel Mapping'!B:B,'channel Mapping'!C:C)</f>
        <v>Others</v>
      </c>
      <c r="D116" s="170" t="s">
        <v>454</v>
      </c>
      <c r="E116" s="170" t="s">
        <v>547</v>
      </c>
      <c r="F116" s="19">
        <v>100</v>
      </c>
      <c r="G116" s="19">
        <v>0</v>
      </c>
      <c r="H116" s="19">
        <v>0</v>
      </c>
      <c r="I116" s="19">
        <v>50</v>
      </c>
      <c r="J116" s="19">
        <v>0</v>
      </c>
      <c r="K116" s="19">
        <v>0</v>
      </c>
    </row>
    <row r="117" spans="1:11" ht="14.5" x14ac:dyDescent="0.4">
      <c r="A117" s="353">
        <v>45870</v>
      </c>
      <c r="B117" s="353" t="str">
        <f>_xlfn.XLOOKUP(E117,'channel Mapping'!B:B,'channel Mapping'!D:D)</f>
        <v>Paid</v>
      </c>
      <c r="C117" s="353" t="str">
        <f>_xlfn.XLOOKUP(E117,'channel Mapping'!B:B,'channel Mapping'!C:C)</f>
        <v>Affiliation CPS</v>
      </c>
      <c r="D117" s="170" t="s">
        <v>529</v>
      </c>
      <c r="E117" s="170" t="s">
        <v>763</v>
      </c>
      <c r="F117" s="19">
        <v>171</v>
      </c>
      <c r="G117" s="19">
        <v>31</v>
      </c>
      <c r="H117" s="19">
        <v>118990</v>
      </c>
      <c r="I117" s="19">
        <v>801</v>
      </c>
      <c r="J117" s="19">
        <v>11</v>
      </c>
      <c r="K117" s="19">
        <v>72575</v>
      </c>
    </row>
    <row r="118" spans="1:11" x14ac:dyDescent="0.3">
      <c r="A118" s="353">
        <v>45870</v>
      </c>
      <c r="B118" s="353" t="str">
        <f>_xlfn.XLOOKUP(E118,'channel Mapping'!B:B,'channel Mapping'!D:D)</f>
        <v>Paid</v>
      </c>
      <c r="C118" s="353" t="str">
        <f>_xlfn.XLOOKUP(E118,'channel Mapping'!B:B,'channel Mapping'!C:C)</f>
        <v>Affiliation CPS</v>
      </c>
      <c r="D118" s="170" t="s">
        <v>579</v>
      </c>
      <c r="E118" s="170" t="s">
        <v>580</v>
      </c>
      <c r="F118" s="19">
        <v>0</v>
      </c>
      <c r="G118" s="19">
        <v>0</v>
      </c>
      <c r="H118" s="19">
        <v>0</v>
      </c>
      <c r="I118" s="19">
        <v>0</v>
      </c>
      <c r="J118" s="19">
        <v>0</v>
      </c>
      <c r="K118" s="19">
        <v>0</v>
      </c>
    </row>
    <row r="119" spans="1:11" x14ac:dyDescent="0.3">
      <c r="A119" s="353">
        <v>45870</v>
      </c>
      <c r="B119" s="353" t="str">
        <f>_xlfn.XLOOKUP(E119,'channel Mapping'!B:B,'channel Mapping'!D:D)</f>
        <v>FF</v>
      </c>
      <c r="C119" s="353" t="str">
        <f>_xlfn.XLOOKUP(E119,'channel Mapping'!B:B,'channel Mapping'!C:C)</f>
        <v>FF</v>
      </c>
      <c r="D119" s="170" t="s">
        <v>530</v>
      </c>
      <c r="E119" s="170" t="s">
        <v>542</v>
      </c>
      <c r="F119" s="19">
        <v>410</v>
      </c>
      <c r="G119" s="19">
        <v>8</v>
      </c>
      <c r="H119" s="19">
        <v>15005</v>
      </c>
      <c r="I119" s="19">
        <v>32</v>
      </c>
      <c r="J119" s="19">
        <v>0</v>
      </c>
      <c r="K119" s="19">
        <v>0</v>
      </c>
    </row>
    <row r="120" spans="1:11" x14ac:dyDescent="0.3">
      <c r="A120" s="353">
        <v>45870</v>
      </c>
      <c r="B120" s="353" t="str">
        <f>_xlfn.XLOOKUP(E120,'channel Mapping'!B:B,'channel Mapping'!D:D)</f>
        <v>Organic</v>
      </c>
      <c r="C120" s="353" t="str">
        <f>_xlfn.XLOOKUP(E120,'channel Mapping'!B:B,'channel Mapping'!C:C)</f>
        <v>Others</v>
      </c>
      <c r="D120" s="170" t="s">
        <v>461</v>
      </c>
      <c r="E120" s="170" t="s">
        <v>548</v>
      </c>
      <c r="F120" s="19">
        <v>66</v>
      </c>
      <c r="G120" s="19">
        <v>0</v>
      </c>
      <c r="H120" s="19">
        <v>0</v>
      </c>
      <c r="I120" s="19">
        <v>43</v>
      </c>
      <c r="J120" s="19">
        <v>0</v>
      </c>
      <c r="K120" s="19">
        <v>0</v>
      </c>
    </row>
    <row r="121" spans="1:11" x14ac:dyDescent="0.3">
      <c r="A121" s="353">
        <v>45870</v>
      </c>
      <c r="B121" s="353" t="str">
        <f>_xlfn.XLOOKUP(E121,'channel Mapping'!B:B,'channel Mapping'!D:D)</f>
        <v>FF</v>
      </c>
      <c r="C121" s="353" t="str">
        <f>_xlfn.XLOOKUP(E121,'channel Mapping'!B:B,'channel Mapping'!C:C)</f>
        <v>FF</v>
      </c>
      <c r="D121" s="170" t="s">
        <v>530</v>
      </c>
      <c r="E121" s="170" t="s">
        <v>542</v>
      </c>
      <c r="F121" s="19">
        <v>850</v>
      </c>
      <c r="G121" s="19">
        <v>121</v>
      </c>
      <c r="H121" s="19">
        <v>183310</v>
      </c>
      <c r="I121" s="19">
        <v>0</v>
      </c>
      <c r="J121" s="19">
        <v>0</v>
      </c>
      <c r="K121" s="19">
        <v>0</v>
      </c>
    </row>
    <row r="122" spans="1:11" x14ac:dyDescent="0.3">
      <c r="A122" s="353">
        <v>45870</v>
      </c>
      <c r="B122" s="353" t="str">
        <f>_xlfn.XLOOKUP(E122,'channel Mapping'!B:B,'channel Mapping'!D:D)</f>
        <v>Organic</v>
      </c>
      <c r="C122" s="353" t="str">
        <f>_xlfn.XLOOKUP(E122,'channel Mapping'!B:B,'channel Mapping'!C:C)</f>
        <v>Brand Social</v>
      </c>
      <c r="D122" s="170" t="s">
        <v>525</v>
      </c>
      <c r="E122" s="170" t="s">
        <v>549</v>
      </c>
      <c r="F122" s="19">
        <v>11</v>
      </c>
      <c r="G122" s="19">
        <v>0</v>
      </c>
      <c r="H122" s="19">
        <v>0</v>
      </c>
      <c r="I122" s="19">
        <v>15</v>
      </c>
      <c r="J122" s="19">
        <v>0</v>
      </c>
      <c r="K122" s="19">
        <v>0</v>
      </c>
    </row>
    <row r="123" spans="1:11" x14ac:dyDescent="0.3">
      <c r="A123" s="353">
        <v>45870</v>
      </c>
      <c r="B123" s="353" t="str">
        <f>_xlfn.XLOOKUP(E123,'channel Mapping'!B:B,'channel Mapping'!D:D)</f>
        <v>Organic</v>
      </c>
      <c r="C123" s="353" t="str">
        <f>_xlfn.XLOOKUP(E123,'channel Mapping'!B:B,'channel Mapping'!C:C)</f>
        <v>CRM</v>
      </c>
      <c r="D123" s="170" t="s">
        <v>462</v>
      </c>
      <c r="E123" s="170" t="s">
        <v>550</v>
      </c>
      <c r="F123" s="19">
        <v>91</v>
      </c>
      <c r="G123" s="19">
        <v>0</v>
      </c>
      <c r="H123" s="19">
        <v>0</v>
      </c>
      <c r="I123" s="19">
        <v>36</v>
      </c>
      <c r="J123" s="19">
        <v>0</v>
      </c>
      <c r="K123" s="19">
        <v>0</v>
      </c>
    </row>
    <row r="124" spans="1:11" ht="14.5" x14ac:dyDescent="0.4">
      <c r="A124" s="353">
        <v>45870</v>
      </c>
      <c r="B124" s="353" t="str">
        <f>_xlfn.XLOOKUP(E124,'channel Mapping'!B:B,'channel Mapping'!D:D)</f>
        <v>Paid</v>
      </c>
      <c r="C124" s="353" t="str">
        <f>_xlfn.XLOOKUP(E124,'channel Mapping'!B:B,'channel Mapping'!C:C)</f>
        <v>Affiliation CPS</v>
      </c>
      <c r="D124" s="170" t="s">
        <v>529</v>
      </c>
      <c r="E124" s="170" t="s">
        <v>763</v>
      </c>
      <c r="F124" s="19">
        <v>2</v>
      </c>
      <c r="G124" s="19">
        <v>0</v>
      </c>
      <c r="H124" s="19">
        <v>0</v>
      </c>
      <c r="I124" s="19">
        <v>3</v>
      </c>
      <c r="J124" s="19">
        <v>0</v>
      </c>
      <c r="K124" s="19">
        <v>0</v>
      </c>
    </row>
    <row r="125" spans="1:11" x14ac:dyDescent="0.3">
      <c r="A125" s="353">
        <v>45870</v>
      </c>
      <c r="B125" s="353" t="str">
        <f>_xlfn.XLOOKUP(E125,'channel Mapping'!B:B,'channel Mapping'!D:D)</f>
        <v>FF</v>
      </c>
      <c r="C125" s="353" t="str">
        <f>_xlfn.XLOOKUP(E125,'channel Mapping'!B:B,'channel Mapping'!C:C)</f>
        <v>FF</v>
      </c>
      <c r="D125" s="170" t="s">
        <v>530</v>
      </c>
      <c r="E125" s="170" t="s">
        <v>542</v>
      </c>
      <c r="F125" s="19">
        <v>150</v>
      </c>
      <c r="G125" s="19">
        <v>12</v>
      </c>
      <c r="H125" s="19">
        <v>25890</v>
      </c>
      <c r="I125" s="19">
        <v>0</v>
      </c>
      <c r="J125" s="19">
        <v>0</v>
      </c>
      <c r="K125" s="19">
        <v>0</v>
      </c>
    </row>
    <row r="126" spans="1:11" x14ac:dyDescent="0.3">
      <c r="A126" s="353">
        <v>45870</v>
      </c>
      <c r="B126" s="353" t="str">
        <f>_xlfn.XLOOKUP(E126,'channel Mapping'!B:B,'channel Mapping'!D:D)</f>
        <v>Paid</v>
      </c>
      <c r="C126" s="353" t="str">
        <f>_xlfn.XLOOKUP(E126,'channel Mapping'!B:B,'channel Mapping'!C:C)</f>
        <v>Display CPC</v>
      </c>
      <c r="D126" s="170" t="s">
        <v>524</v>
      </c>
      <c r="E126" s="170" t="s">
        <v>539</v>
      </c>
      <c r="F126" s="19">
        <v>0</v>
      </c>
      <c r="G126" s="19">
        <v>0</v>
      </c>
      <c r="H126" s="19">
        <v>0</v>
      </c>
      <c r="I126" s="19">
        <v>0</v>
      </c>
      <c r="J126" s="19">
        <v>0</v>
      </c>
      <c r="K126" s="19">
        <v>0</v>
      </c>
    </row>
    <row r="127" spans="1:11" x14ac:dyDescent="0.3">
      <c r="A127" s="353">
        <v>45901</v>
      </c>
      <c r="B127" s="353" t="str">
        <f>_xlfn.XLOOKUP(E127,'channel Mapping'!B:B,'channel Mapping'!D:D)</f>
        <v>Organic</v>
      </c>
      <c r="C127" s="353" t="str">
        <f>_xlfn.XLOOKUP(E127,'channel Mapping'!B:B,'channel Mapping'!C:C)</f>
        <v>Brand Search</v>
      </c>
      <c r="D127" s="170" t="s">
        <v>455</v>
      </c>
      <c r="E127" s="170" t="s">
        <v>540</v>
      </c>
      <c r="F127" s="19">
        <v>912</v>
      </c>
      <c r="G127" s="19">
        <v>2</v>
      </c>
      <c r="H127" s="19">
        <v>7045</v>
      </c>
      <c r="I127" s="19">
        <v>788</v>
      </c>
      <c r="J127" s="19">
        <v>1</v>
      </c>
      <c r="K127" s="19">
        <v>16950</v>
      </c>
    </row>
    <row r="128" spans="1:11" ht="14.5" x14ac:dyDescent="0.4">
      <c r="A128" s="353">
        <v>45901</v>
      </c>
      <c r="B128" s="353" t="str">
        <f>_xlfn.XLOOKUP(E128,'channel Mapping'!B:B,'channel Mapping'!D:D)</f>
        <v>Paid</v>
      </c>
      <c r="C128" s="353" t="str">
        <f>_xlfn.XLOOKUP(E128,'channel Mapping'!B:B,'channel Mapping'!C:C)</f>
        <v>Affiliation CPS</v>
      </c>
      <c r="D128" s="170" t="s">
        <v>529</v>
      </c>
      <c r="E128" s="170" t="s">
        <v>763</v>
      </c>
      <c r="F128" s="19">
        <v>197</v>
      </c>
      <c r="G128" s="19">
        <v>1</v>
      </c>
      <c r="H128" s="19">
        <v>2350</v>
      </c>
      <c r="I128" s="19">
        <v>0</v>
      </c>
      <c r="J128" s="19">
        <v>0</v>
      </c>
      <c r="K128" s="19">
        <v>0</v>
      </c>
    </row>
    <row r="129" spans="1:11" x14ac:dyDescent="0.3">
      <c r="A129" s="353">
        <v>45901</v>
      </c>
      <c r="B129" s="353" t="str">
        <f>_xlfn.XLOOKUP(E129,'channel Mapping'!B:B,'channel Mapping'!D:D)</f>
        <v>Paid</v>
      </c>
      <c r="C129" s="353" t="str">
        <f>_xlfn.XLOOKUP(E129,'channel Mapping'!B:B,'channel Mapping'!C:C)</f>
        <v>Affiliation CPS</v>
      </c>
      <c r="D129" s="170" t="s">
        <v>579</v>
      </c>
      <c r="E129" s="170" t="s">
        <v>580</v>
      </c>
      <c r="F129" s="19">
        <v>0</v>
      </c>
      <c r="G129" s="19">
        <v>0</v>
      </c>
      <c r="H129" s="19">
        <v>0</v>
      </c>
      <c r="I129" s="19">
        <v>0</v>
      </c>
      <c r="J129" s="19">
        <v>0</v>
      </c>
      <c r="K129" s="19">
        <v>0</v>
      </c>
    </row>
    <row r="130" spans="1:11" ht="14.5" x14ac:dyDescent="0.4">
      <c r="A130" s="353">
        <v>45901</v>
      </c>
      <c r="B130" s="353" t="str">
        <f>_xlfn.XLOOKUP(E130,'channel Mapping'!B:B,'channel Mapping'!D:D)</f>
        <v>Paid</v>
      </c>
      <c r="C130" s="353" t="str">
        <f>_xlfn.XLOOKUP(E130,'channel Mapping'!B:B,'channel Mapping'!C:C)</f>
        <v>Affiliation CPS</v>
      </c>
      <c r="D130" s="170" t="s">
        <v>528</v>
      </c>
      <c r="E130" s="358" t="s">
        <v>764</v>
      </c>
      <c r="F130" s="19">
        <v>0</v>
      </c>
      <c r="G130" s="19">
        <v>0</v>
      </c>
      <c r="H130" s="19">
        <v>0</v>
      </c>
      <c r="I130" s="19">
        <v>0</v>
      </c>
      <c r="J130" s="19">
        <v>0</v>
      </c>
      <c r="K130" s="19">
        <v>0</v>
      </c>
    </row>
    <row r="131" spans="1:11" x14ac:dyDescent="0.3">
      <c r="A131" s="353">
        <v>45901</v>
      </c>
      <c r="B131" s="353" t="str">
        <f>_xlfn.XLOOKUP(E131,'channel Mapping'!B:B,'channel Mapping'!D:D)</f>
        <v>FF</v>
      </c>
      <c r="C131" s="353" t="str">
        <f>_xlfn.XLOOKUP(E131,'channel Mapping'!B:B,'channel Mapping'!C:C)</f>
        <v>FF</v>
      </c>
      <c r="D131" s="170" t="s">
        <v>530</v>
      </c>
      <c r="E131" s="170" t="s">
        <v>542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</row>
    <row r="132" spans="1:11" x14ac:dyDescent="0.3">
      <c r="A132" s="353">
        <v>45901</v>
      </c>
      <c r="B132" s="353" t="str">
        <f>_xlfn.XLOOKUP(E132,'channel Mapping'!B:B,'channel Mapping'!D:D)</f>
        <v>Organic</v>
      </c>
      <c r="C132" s="353" t="str">
        <f>_xlfn.XLOOKUP(E132,'channel Mapping'!B:B,'channel Mapping'!C:C)</f>
        <v>Quick_Entry</v>
      </c>
      <c r="D132" s="170" t="s">
        <v>456</v>
      </c>
      <c r="E132" s="170" t="s">
        <v>541</v>
      </c>
      <c r="F132" s="19">
        <v>1400</v>
      </c>
      <c r="G132" s="19">
        <v>1</v>
      </c>
      <c r="H132" s="19">
        <v>2550</v>
      </c>
      <c r="I132" s="19">
        <v>901</v>
      </c>
      <c r="J132" s="19">
        <v>4</v>
      </c>
      <c r="K132" s="19">
        <v>48335</v>
      </c>
    </row>
    <row r="133" spans="1:11" ht="14.5" x14ac:dyDescent="0.4">
      <c r="A133" s="353">
        <v>45901</v>
      </c>
      <c r="B133" s="353" t="str">
        <f>_xlfn.XLOOKUP(E133,'channel Mapping'!B:B,'channel Mapping'!D:D)</f>
        <v>Paid</v>
      </c>
      <c r="C133" s="353" t="str">
        <f>_xlfn.XLOOKUP(E133,'channel Mapping'!B:B,'channel Mapping'!C:C)</f>
        <v>Affiliation CPS</v>
      </c>
      <c r="D133" s="170" t="s">
        <v>529</v>
      </c>
      <c r="E133" s="170" t="s">
        <v>763</v>
      </c>
      <c r="F133" s="19">
        <v>7</v>
      </c>
      <c r="G133" s="19">
        <v>1</v>
      </c>
      <c r="H133" s="19">
        <v>2995</v>
      </c>
      <c r="I133" s="19">
        <v>0</v>
      </c>
      <c r="J133" s="19">
        <v>0</v>
      </c>
      <c r="K133" s="19">
        <v>0</v>
      </c>
    </row>
    <row r="134" spans="1:11" x14ac:dyDescent="0.3">
      <c r="A134" s="353">
        <v>45901</v>
      </c>
      <c r="B134" s="353" t="str">
        <f>_xlfn.XLOOKUP(E134,'channel Mapping'!B:B,'channel Mapping'!D:D)</f>
        <v>Paid</v>
      </c>
      <c r="C134" s="353" t="str">
        <f>_xlfn.XLOOKUP(E134,'channel Mapping'!B:B,'channel Mapping'!C:C)</f>
        <v>Affiliation CPS</v>
      </c>
      <c r="D134" s="170" t="s">
        <v>579</v>
      </c>
      <c r="E134" s="170" t="s">
        <v>580</v>
      </c>
      <c r="F134" s="19">
        <v>0</v>
      </c>
      <c r="G134" s="19">
        <v>0</v>
      </c>
      <c r="H134" s="19">
        <v>0</v>
      </c>
      <c r="I134" s="19">
        <v>0</v>
      </c>
      <c r="J134" s="19">
        <v>0</v>
      </c>
      <c r="K134" s="19">
        <v>0</v>
      </c>
    </row>
    <row r="135" spans="1:11" x14ac:dyDescent="0.3">
      <c r="A135" s="353">
        <v>45901</v>
      </c>
      <c r="B135" s="353" t="str">
        <f>_xlfn.XLOOKUP(E135,'channel Mapping'!B:B,'channel Mapping'!D:D)</f>
        <v>FF</v>
      </c>
      <c r="C135" s="353" t="str">
        <f>_xlfn.XLOOKUP(E135,'channel Mapping'!B:B,'channel Mapping'!C:C)</f>
        <v>FF</v>
      </c>
      <c r="D135" s="170" t="s">
        <v>530</v>
      </c>
      <c r="E135" s="170" t="s">
        <v>542</v>
      </c>
      <c r="F135" s="19">
        <v>60</v>
      </c>
      <c r="G135" s="19">
        <v>4</v>
      </c>
      <c r="H135" s="19">
        <v>8325</v>
      </c>
      <c r="I135" s="19">
        <v>0</v>
      </c>
      <c r="J135" s="19">
        <v>0</v>
      </c>
      <c r="K135" s="19">
        <v>0</v>
      </c>
    </row>
    <row r="136" spans="1:11" x14ac:dyDescent="0.3">
      <c r="A136" s="353">
        <v>45901</v>
      </c>
      <c r="B136" s="353" t="str">
        <f>_xlfn.XLOOKUP(E136,'channel Mapping'!B:B,'channel Mapping'!D:D)</f>
        <v>Organic</v>
      </c>
      <c r="C136" s="353" t="str">
        <f>_xlfn.XLOOKUP(E136,'channel Mapping'!B:B,'channel Mapping'!C:C)</f>
        <v>Brand Social</v>
      </c>
      <c r="D136" s="170" t="s">
        <v>458</v>
      </c>
      <c r="E136" s="170" t="s">
        <v>543</v>
      </c>
      <c r="F136" s="19">
        <v>774</v>
      </c>
      <c r="G136" s="19">
        <v>1</v>
      </c>
      <c r="H136" s="19">
        <v>2995</v>
      </c>
      <c r="I136" s="19">
        <v>1021</v>
      </c>
      <c r="J136" s="19">
        <v>2</v>
      </c>
      <c r="K136" s="19">
        <v>8190</v>
      </c>
    </row>
    <row r="137" spans="1:11" x14ac:dyDescent="0.3">
      <c r="A137" s="353">
        <v>45901</v>
      </c>
      <c r="B137" s="353" t="str">
        <f>_xlfn.XLOOKUP(E137,'channel Mapping'!B:B,'channel Mapping'!D:D)</f>
        <v>Organic</v>
      </c>
      <c r="C137" s="353" t="str">
        <f>_xlfn.XLOOKUP(E137,'channel Mapping'!B:B,'channel Mapping'!C:C)</f>
        <v>Others</v>
      </c>
      <c r="D137" s="170" t="s">
        <v>460</v>
      </c>
      <c r="E137" s="170" t="s">
        <v>652</v>
      </c>
      <c r="F137" s="19">
        <v>37</v>
      </c>
      <c r="G137" s="19">
        <v>0</v>
      </c>
      <c r="H137" s="19">
        <v>0</v>
      </c>
      <c r="I137" s="19">
        <v>12</v>
      </c>
      <c r="J137" s="19">
        <v>0</v>
      </c>
      <c r="K137" s="19">
        <v>0</v>
      </c>
    </row>
    <row r="138" spans="1:11" x14ac:dyDescent="0.3">
      <c r="A138" s="353">
        <v>45901</v>
      </c>
      <c r="B138" s="353" t="str">
        <f>_xlfn.XLOOKUP(E138,'channel Mapping'!B:B,'channel Mapping'!D:D)</f>
        <v>Organic</v>
      </c>
      <c r="C138" s="353" t="str">
        <f>_xlfn.XLOOKUP(E138,'channel Mapping'!B:B,'channel Mapping'!C:C)</f>
        <v>CRM</v>
      </c>
      <c r="D138" s="170" t="s">
        <v>532</v>
      </c>
      <c r="E138" s="170" t="s">
        <v>766</v>
      </c>
      <c r="F138" s="19">
        <v>122</v>
      </c>
      <c r="G138" s="19">
        <v>0</v>
      </c>
      <c r="H138" s="19">
        <v>0</v>
      </c>
      <c r="I138" s="19">
        <v>25</v>
      </c>
      <c r="J138" s="19">
        <v>0</v>
      </c>
      <c r="K138" s="19">
        <v>0</v>
      </c>
    </row>
    <row r="139" spans="1:11" x14ac:dyDescent="0.3">
      <c r="A139" s="353">
        <v>45901</v>
      </c>
      <c r="B139" s="353" t="str">
        <f>_xlfn.XLOOKUP(E139,'channel Mapping'!B:B,'channel Mapping'!D:D)</f>
        <v>FF</v>
      </c>
      <c r="C139" s="353" t="str">
        <f>_xlfn.XLOOKUP(E139,'channel Mapping'!B:B,'channel Mapping'!C:C)</f>
        <v>FF</v>
      </c>
      <c r="D139" s="170" t="s">
        <v>530</v>
      </c>
      <c r="E139" s="170" t="s">
        <v>542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</row>
    <row r="140" spans="1:11" x14ac:dyDescent="0.3">
      <c r="A140" s="353">
        <v>45901</v>
      </c>
      <c r="B140" s="353" t="str">
        <f>_xlfn.XLOOKUP(E140,'channel Mapping'!B:B,'channel Mapping'!D:D)</f>
        <v>Organic</v>
      </c>
      <c r="C140" s="353" t="str">
        <f>_xlfn.XLOOKUP(E140,'channel Mapping'!B:B,'channel Mapping'!C:C)</f>
        <v>CRM</v>
      </c>
      <c r="D140" s="170" t="s">
        <v>457</v>
      </c>
      <c r="E140" s="170" t="s">
        <v>545</v>
      </c>
      <c r="F140" s="19">
        <v>128</v>
      </c>
      <c r="G140" s="19">
        <v>0</v>
      </c>
      <c r="H140" s="19">
        <v>0</v>
      </c>
      <c r="I140" s="19">
        <v>88</v>
      </c>
      <c r="J140" s="19">
        <v>0</v>
      </c>
      <c r="K140" s="19">
        <v>0</v>
      </c>
    </row>
    <row r="141" spans="1:11" ht="14.5" x14ac:dyDescent="0.4">
      <c r="A141" s="353">
        <v>45901</v>
      </c>
      <c r="B141" s="353" t="str">
        <f>_xlfn.XLOOKUP(E141,'channel Mapping'!B:B,'channel Mapping'!D:D)</f>
        <v>Paid</v>
      </c>
      <c r="C141" s="353" t="str">
        <f>_xlfn.XLOOKUP(E141,'channel Mapping'!B:B,'channel Mapping'!C:C)</f>
        <v>Affiliation CPS</v>
      </c>
      <c r="D141" s="170" t="s">
        <v>529</v>
      </c>
      <c r="E141" s="170" t="s">
        <v>763</v>
      </c>
      <c r="F141" s="19">
        <v>1</v>
      </c>
      <c r="G141" s="19">
        <v>1</v>
      </c>
      <c r="H141" s="19">
        <v>4695</v>
      </c>
      <c r="I141" s="19">
        <v>0</v>
      </c>
      <c r="J141" s="19">
        <v>0</v>
      </c>
      <c r="K141" s="19">
        <v>0</v>
      </c>
    </row>
    <row r="142" spans="1:11" x14ac:dyDescent="0.3">
      <c r="A142" s="353">
        <v>45901</v>
      </c>
      <c r="B142" s="353" t="str">
        <f>_xlfn.XLOOKUP(E142,'channel Mapping'!B:B,'channel Mapping'!D:D)</f>
        <v>Paid</v>
      </c>
      <c r="C142" s="353" t="str">
        <f>_xlfn.XLOOKUP(E142,'channel Mapping'!B:B,'channel Mapping'!C:C)</f>
        <v>Affiliation CPS</v>
      </c>
      <c r="D142" s="170" t="s">
        <v>579</v>
      </c>
      <c r="E142" s="170" t="s">
        <v>580</v>
      </c>
      <c r="F142" s="19">
        <v>0</v>
      </c>
      <c r="G142" s="19">
        <v>0</v>
      </c>
      <c r="H142" s="19">
        <v>0</v>
      </c>
      <c r="I142" s="19">
        <v>0</v>
      </c>
      <c r="J142" s="19">
        <v>0</v>
      </c>
      <c r="K142" s="19">
        <v>0</v>
      </c>
    </row>
    <row r="143" spans="1:11" ht="14.5" x14ac:dyDescent="0.4">
      <c r="A143" s="353">
        <v>45901</v>
      </c>
      <c r="B143" s="353" t="str">
        <f>_xlfn.XLOOKUP(E143,'channel Mapping'!B:B,'channel Mapping'!D:D)</f>
        <v>Paid</v>
      </c>
      <c r="C143" s="353" t="str">
        <f>_xlfn.XLOOKUP(E143,'channel Mapping'!B:B,'channel Mapping'!C:C)</f>
        <v>Affiliation CPS</v>
      </c>
      <c r="D143" s="170" t="s">
        <v>528</v>
      </c>
      <c r="E143" s="358" t="s">
        <v>764</v>
      </c>
      <c r="F143" s="19">
        <v>0</v>
      </c>
      <c r="G143" s="19">
        <v>0</v>
      </c>
      <c r="H143" s="19">
        <v>0</v>
      </c>
      <c r="I143" s="19">
        <v>0</v>
      </c>
      <c r="J143" s="19">
        <v>0</v>
      </c>
      <c r="K143" s="19">
        <v>0</v>
      </c>
    </row>
    <row r="144" spans="1:11" x14ac:dyDescent="0.3">
      <c r="A144" s="353">
        <v>45901</v>
      </c>
      <c r="B144" s="353" t="str">
        <f>_xlfn.XLOOKUP(E144,'channel Mapping'!B:B,'channel Mapping'!D:D)</f>
        <v>FF</v>
      </c>
      <c r="C144" s="353" t="str">
        <f>_xlfn.XLOOKUP(E144,'channel Mapping'!B:B,'channel Mapping'!C:C)</f>
        <v>FF</v>
      </c>
      <c r="D144" s="170" t="s">
        <v>530</v>
      </c>
      <c r="E144" s="170" t="s">
        <v>542</v>
      </c>
      <c r="F144" s="19">
        <v>400</v>
      </c>
      <c r="G144" s="19">
        <v>7</v>
      </c>
      <c r="H144" s="19">
        <v>15030</v>
      </c>
      <c r="I144" s="19">
        <v>0</v>
      </c>
      <c r="J144" s="19">
        <v>0</v>
      </c>
      <c r="K144" s="19">
        <v>0</v>
      </c>
    </row>
    <row r="145" spans="1:11" x14ac:dyDescent="0.3">
      <c r="A145" s="353">
        <v>45901</v>
      </c>
      <c r="B145" s="353" t="str">
        <f>_xlfn.XLOOKUP(E145,'channel Mapping'!B:B,'channel Mapping'!D:D)</f>
        <v>Free</v>
      </c>
      <c r="C145" s="353" t="str">
        <f>_xlfn.XLOOKUP(E145,'channel Mapping'!B:B,'channel Mapping'!C:C)</f>
        <v>Mingpin</v>
      </c>
      <c r="D145" s="170" t="s">
        <v>459</v>
      </c>
      <c r="E145" s="170" t="s">
        <v>712</v>
      </c>
      <c r="F145" s="19">
        <v>2211</v>
      </c>
      <c r="G145" s="19">
        <v>0</v>
      </c>
      <c r="H145" s="19">
        <v>0</v>
      </c>
      <c r="I145" s="19">
        <v>454</v>
      </c>
      <c r="J145" s="19">
        <v>0</v>
      </c>
      <c r="K145" s="19">
        <v>0</v>
      </c>
    </row>
    <row r="146" spans="1:11" x14ac:dyDescent="0.3">
      <c r="A146" s="353">
        <v>45901</v>
      </c>
      <c r="B146" s="353" t="str">
        <f>_xlfn.XLOOKUP(E146,'channel Mapping'!B:B,'channel Mapping'!D:D)</f>
        <v>Organic</v>
      </c>
      <c r="C146" s="353" t="str">
        <f>_xlfn.XLOOKUP(E146,'channel Mapping'!B:B,'channel Mapping'!C:C)</f>
        <v>Others</v>
      </c>
      <c r="D146" s="170" t="s">
        <v>713</v>
      </c>
      <c r="E146" s="170" t="s">
        <v>714</v>
      </c>
      <c r="F146" s="19">
        <v>20</v>
      </c>
      <c r="G146" s="19">
        <v>0</v>
      </c>
      <c r="H146" s="19">
        <v>0</v>
      </c>
      <c r="I146" s="19">
        <v>0</v>
      </c>
      <c r="J146" s="19">
        <v>0</v>
      </c>
      <c r="K146" s="19">
        <v>0</v>
      </c>
    </row>
    <row r="147" spans="1:11" x14ac:dyDescent="0.3">
      <c r="A147" s="353">
        <v>45901</v>
      </c>
      <c r="B147" s="353" t="str">
        <f>_xlfn.XLOOKUP(E147,'channel Mapping'!B:B,'channel Mapping'!D:D)</f>
        <v>Organic</v>
      </c>
      <c r="C147" s="353" t="str">
        <f>_xlfn.XLOOKUP(E147,'channel Mapping'!B:B,'channel Mapping'!C:C)</f>
        <v>Others</v>
      </c>
      <c r="D147" s="170" t="s">
        <v>454</v>
      </c>
      <c r="E147" s="170" t="s">
        <v>547</v>
      </c>
      <c r="F147" s="19">
        <v>76</v>
      </c>
      <c r="G147" s="19">
        <v>1</v>
      </c>
      <c r="H147" s="19">
        <v>2795</v>
      </c>
      <c r="I147" s="19">
        <v>66</v>
      </c>
      <c r="J147" s="19">
        <v>0</v>
      </c>
      <c r="K147" s="19">
        <v>0</v>
      </c>
    </row>
    <row r="148" spans="1:11" ht="14.5" x14ac:dyDescent="0.4">
      <c r="A148" s="353">
        <v>45901</v>
      </c>
      <c r="B148" s="353" t="str">
        <f>_xlfn.XLOOKUP(E148,'channel Mapping'!B:B,'channel Mapping'!D:D)</f>
        <v>Paid</v>
      </c>
      <c r="C148" s="353" t="str">
        <f>_xlfn.XLOOKUP(E148,'channel Mapping'!B:B,'channel Mapping'!C:C)</f>
        <v>Affiliation CPS</v>
      </c>
      <c r="D148" s="170" t="s">
        <v>529</v>
      </c>
      <c r="E148" s="170" t="s">
        <v>763</v>
      </c>
      <c r="F148" s="19">
        <v>20</v>
      </c>
      <c r="G148" s="19">
        <v>12</v>
      </c>
      <c r="H148" s="19">
        <v>72350</v>
      </c>
      <c r="I148" s="19">
        <v>0</v>
      </c>
      <c r="J148" s="19">
        <v>0</v>
      </c>
      <c r="K148" s="19">
        <v>0</v>
      </c>
    </row>
    <row r="149" spans="1:11" x14ac:dyDescent="0.3">
      <c r="A149" s="353">
        <v>45901</v>
      </c>
      <c r="B149" s="353" t="str">
        <f>_xlfn.XLOOKUP(E149,'channel Mapping'!B:B,'channel Mapping'!D:D)</f>
        <v>Paid</v>
      </c>
      <c r="C149" s="353" t="str">
        <f>_xlfn.XLOOKUP(E149,'channel Mapping'!B:B,'channel Mapping'!C:C)</f>
        <v>Affiliation CPS</v>
      </c>
      <c r="D149" s="170" t="s">
        <v>579</v>
      </c>
      <c r="E149" s="170" t="s">
        <v>580</v>
      </c>
      <c r="F149" s="19">
        <v>0</v>
      </c>
      <c r="G149" s="19">
        <v>0</v>
      </c>
      <c r="H149" s="19">
        <v>0</v>
      </c>
      <c r="I149" s="19">
        <v>0</v>
      </c>
      <c r="J149" s="19">
        <v>0</v>
      </c>
      <c r="K149" s="19">
        <v>0</v>
      </c>
    </row>
    <row r="150" spans="1:11" x14ac:dyDescent="0.3">
      <c r="A150" s="353">
        <v>45901</v>
      </c>
      <c r="B150" s="353" t="str">
        <f>_xlfn.XLOOKUP(E150,'channel Mapping'!B:B,'channel Mapping'!D:D)</f>
        <v>FF</v>
      </c>
      <c r="C150" s="353" t="str">
        <f>_xlfn.XLOOKUP(E150,'channel Mapping'!B:B,'channel Mapping'!C:C)</f>
        <v>FF</v>
      </c>
      <c r="D150" s="170" t="s">
        <v>530</v>
      </c>
      <c r="E150" s="170" t="s">
        <v>542</v>
      </c>
      <c r="F150" s="19">
        <v>7</v>
      </c>
      <c r="G150" s="19">
        <v>0</v>
      </c>
      <c r="H150" s="19">
        <v>0</v>
      </c>
      <c r="I150" s="19">
        <v>0</v>
      </c>
      <c r="J150" s="19">
        <v>0</v>
      </c>
      <c r="K150" s="19">
        <v>0</v>
      </c>
    </row>
    <row r="151" spans="1:11" ht="14.5" x14ac:dyDescent="0.4">
      <c r="A151" s="353">
        <v>45901</v>
      </c>
      <c r="B151" s="353" t="str">
        <f>_xlfn.XLOOKUP(E151,'channel Mapping'!B:B,'channel Mapping'!D:D)</f>
        <v>Organic</v>
      </c>
      <c r="C151" s="353" t="str">
        <f>_xlfn.XLOOKUP(E151,'channel Mapping'!B:B,'channel Mapping'!C:C)</f>
        <v>Others</v>
      </c>
      <c r="D151" s="170" t="s">
        <v>461</v>
      </c>
      <c r="E151" s="358" t="s">
        <v>723</v>
      </c>
      <c r="F151" s="19">
        <v>33</v>
      </c>
      <c r="G151" s="19">
        <v>0</v>
      </c>
      <c r="H151" s="19">
        <v>0</v>
      </c>
      <c r="I151" s="19">
        <v>33</v>
      </c>
      <c r="J151" s="19">
        <v>0</v>
      </c>
      <c r="K151" s="19">
        <v>0</v>
      </c>
    </row>
    <row r="152" spans="1:11" x14ac:dyDescent="0.3">
      <c r="A152" s="353">
        <v>45901</v>
      </c>
      <c r="B152" s="353" t="str">
        <f>_xlfn.XLOOKUP(E152,'channel Mapping'!B:B,'channel Mapping'!D:D)</f>
        <v>FF</v>
      </c>
      <c r="C152" s="353" t="str">
        <f>_xlfn.XLOOKUP(E152,'channel Mapping'!B:B,'channel Mapping'!C:C)</f>
        <v>FF</v>
      </c>
      <c r="D152" s="170" t="s">
        <v>530</v>
      </c>
      <c r="E152" s="170" t="s">
        <v>542</v>
      </c>
      <c r="F152" s="19">
        <v>160</v>
      </c>
      <c r="G152" s="19">
        <v>6</v>
      </c>
      <c r="H152" s="19">
        <v>10930</v>
      </c>
      <c r="I152" s="19">
        <v>0</v>
      </c>
      <c r="J152" s="19">
        <v>0</v>
      </c>
      <c r="K152" s="19">
        <v>0</v>
      </c>
    </row>
    <row r="153" spans="1:11" x14ac:dyDescent="0.3">
      <c r="A153" s="353">
        <v>45901</v>
      </c>
      <c r="B153" s="353" t="str">
        <f>_xlfn.XLOOKUP(E153,'channel Mapping'!B:B,'channel Mapping'!D:D)</f>
        <v>Organic</v>
      </c>
      <c r="C153" s="353" t="str">
        <f>_xlfn.XLOOKUP(E153,'channel Mapping'!B:B,'channel Mapping'!C:C)</f>
        <v>Brand Social</v>
      </c>
      <c r="D153" s="170" t="s">
        <v>525</v>
      </c>
      <c r="E153" s="170" t="s">
        <v>549</v>
      </c>
      <c r="F153" s="19">
        <v>16</v>
      </c>
      <c r="G153" s="19">
        <v>0</v>
      </c>
      <c r="H153" s="19">
        <v>0</v>
      </c>
      <c r="I153" s="19">
        <v>20</v>
      </c>
      <c r="J153" s="19">
        <v>0</v>
      </c>
      <c r="K153" s="19">
        <v>0</v>
      </c>
    </row>
    <row r="154" spans="1:11" x14ac:dyDescent="0.3">
      <c r="A154" s="353">
        <v>45901</v>
      </c>
      <c r="B154" s="353" t="str">
        <f>_xlfn.XLOOKUP(E154,'channel Mapping'!B:B,'channel Mapping'!D:D)</f>
        <v>Organic</v>
      </c>
      <c r="C154" s="353" t="str">
        <f>_xlfn.XLOOKUP(E154,'channel Mapping'!B:B,'channel Mapping'!C:C)</f>
        <v>CRM</v>
      </c>
      <c r="D154" s="170" t="s">
        <v>462</v>
      </c>
      <c r="E154" s="170" t="s">
        <v>550</v>
      </c>
      <c r="F154" s="19">
        <v>65</v>
      </c>
      <c r="G154" s="19">
        <v>0</v>
      </c>
      <c r="H154" s="19">
        <v>0</v>
      </c>
      <c r="I154" s="19">
        <v>13</v>
      </c>
      <c r="J154" s="19">
        <v>0</v>
      </c>
      <c r="K154" s="19">
        <v>0</v>
      </c>
    </row>
    <row r="155" spans="1:11" ht="14.5" x14ac:dyDescent="0.4">
      <c r="A155" s="353">
        <v>45901</v>
      </c>
      <c r="B155" s="353" t="str">
        <f>_xlfn.XLOOKUP(E155,'channel Mapping'!B:B,'channel Mapping'!D:D)</f>
        <v>Paid</v>
      </c>
      <c r="C155" s="353" t="str">
        <f>_xlfn.XLOOKUP(E155,'channel Mapping'!B:B,'channel Mapping'!C:C)</f>
        <v>Affiliation CPS</v>
      </c>
      <c r="D155" s="170" t="s">
        <v>529</v>
      </c>
      <c r="E155" s="170" t="s">
        <v>763</v>
      </c>
      <c r="F155" s="19">
        <v>1</v>
      </c>
      <c r="I155" s="19">
        <v>0</v>
      </c>
      <c r="J155" s="19">
        <v>0</v>
      </c>
      <c r="K155" s="19">
        <v>0</v>
      </c>
    </row>
    <row r="156" spans="1:11" x14ac:dyDescent="0.3">
      <c r="A156" s="353">
        <v>45901</v>
      </c>
      <c r="B156" s="353" t="str">
        <f>_xlfn.XLOOKUP(E156,'channel Mapping'!B:B,'channel Mapping'!D:D)</f>
        <v>FF</v>
      </c>
      <c r="C156" s="353" t="str">
        <f>_xlfn.XLOOKUP(E156,'channel Mapping'!B:B,'channel Mapping'!C:C)</f>
        <v>FF</v>
      </c>
      <c r="D156" s="170" t="s">
        <v>530</v>
      </c>
      <c r="E156" s="170" t="s">
        <v>542</v>
      </c>
      <c r="F156" s="19">
        <v>20</v>
      </c>
      <c r="G156" s="19">
        <v>2</v>
      </c>
      <c r="H156" s="19">
        <v>2715</v>
      </c>
      <c r="I156" s="19">
        <v>0</v>
      </c>
      <c r="J156" s="19">
        <v>0</v>
      </c>
      <c r="K156" s="19">
        <v>0</v>
      </c>
    </row>
    <row r="157" spans="1:11" x14ac:dyDescent="0.3">
      <c r="A157" s="353">
        <v>45901</v>
      </c>
      <c r="B157" s="353" t="str">
        <f>_xlfn.XLOOKUP(E157,'channel Mapping'!B:B,'channel Mapping'!D:D)</f>
        <v>Paid</v>
      </c>
      <c r="C157" s="353" t="str">
        <f>_xlfn.XLOOKUP(E157,'channel Mapping'!B:B,'channel Mapping'!C:C)</f>
        <v>Display CPC</v>
      </c>
      <c r="D157" s="170" t="s">
        <v>524</v>
      </c>
      <c r="E157" s="170" t="s">
        <v>619</v>
      </c>
      <c r="F157" s="19">
        <v>206</v>
      </c>
      <c r="G157" s="19">
        <v>0</v>
      </c>
      <c r="H157" s="19">
        <v>0</v>
      </c>
      <c r="I157" s="19">
        <v>0</v>
      </c>
      <c r="J157" s="19">
        <v>0</v>
      </c>
      <c r="K157" s="19">
        <v>0</v>
      </c>
    </row>
    <row r="158" spans="1:11" x14ac:dyDescent="0.3">
      <c r="A158" s="353">
        <v>45901</v>
      </c>
      <c r="B158" s="353" t="str">
        <f>_xlfn.XLOOKUP(E158,'channel Mapping'!B:B,'channel Mapping'!D:D)</f>
        <v>Paid</v>
      </c>
      <c r="C158" s="353" t="str">
        <f>_xlfn.XLOOKUP(E158,'channel Mapping'!B:B,'channel Mapping'!C:C)</f>
        <v>Display CPC</v>
      </c>
      <c r="D158" s="170" t="s">
        <v>524</v>
      </c>
      <c r="E158" s="170" t="s">
        <v>539</v>
      </c>
      <c r="F158" s="19">
        <v>0</v>
      </c>
      <c r="G158" s="19">
        <v>0</v>
      </c>
      <c r="H158" s="19">
        <v>0</v>
      </c>
      <c r="I158" s="19">
        <v>0</v>
      </c>
      <c r="J158" s="19">
        <v>0</v>
      </c>
      <c r="K158" s="19">
        <v>0</v>
      </c>
    </row>
    <row r="159" spans="1:11" x14ac:dyDescent="0.3">
      <c r="A159" s="353">
        <v>45901</v>
      </c>
      <c r="B159" s="353" t="str">
        <f>_xlfn.XLOOKUP(E159,'channel Mapping'!B:B,'channel Mapping'!D:D)</f>
        <v>Paid</v>
      </c>
      <c r="C159" s="353" t="str">
        <f>_xlfn.XLOOKUP(E159,'channel Mapping'!B:B,'channel Mapping'!C:C)</f>
        <v>Brandzone</v>
      </c>
      <c r="D159" s="170" t="s">
        <v>524</v>
      </c>
      <c r="E159" s="170" t="s">
        <v>694</v>
      </c>
      <c r="F159" s="19">
        <v>34</v>
      </c>
      <c r="G159" s="19">
        <v>1</v>
      </c>
      <c r="H159" s="19">
        <v>7400</v>
      </c>
      <c r="I159" s="19">
        <v>0</v>
      </c>
      <c r="J159" s="19">
        <v>0</v>
      </c>
      <c r="K159" s="19">
        <v>0</v>
      </c>
    </row>
    <row r="160" spans="1:11" x14ac:dyDescent="0.3">
      <c r="A160" s="353">
        <v>45931</v>
      </c>
      <c r="B160" s="353" t="str">
        <f>_xlfn.XLOOKUP(E160,'channel Mapping'!B:B,'channel Mapping'!D:D)</f>
        <v>Organic</v>
      </c>
      <c r="C160" s="353" t="str">
        <f>_xlfn.XLOOKUP(E160,'channel Mapping'!B:B,'channel Mapping'!C:C)</f>
        <v>Brand Search</v>
      </c>
      <c r="D160" s="170" t="s">
        <v>455</v>
      </c>
      <c r="E160" s="170" t="s">
        <v>540</v>
      </c>
      <c r="F160" s="19">
        <v>1045</v>
      </c>
      <c r="G160" s="19">
        <v>1</v>
      </c>
      <c r="H160" s="19">
        <v>18990</v>
      </c>
      <c r="I160" s="19">
        <v>988</v>
      </c>
      <c r="J160" s="19">
        <v>1</v>
      </c>
      <c r="K160" s="19">
        <v>8365</v>
      </c>
    </row>
    <row r="161" spans="1:11" ht="14.5" x14ac:dyDescent="0.4">
      <c r="A161" s="353">
        <v>45931</v>
      </c>
      <c r="B161" s="353" t="str">
        <f>_xlfn.XLOOKUP(E161,'channel Mapping'!B:B,'channel Mapping'!D:D)</f>
        <v>Paid</v>
      </c>
      <c r="C161" s="353" t="str">
        <f>_xlfn.XLOOKUP(E161,'channel Mapping'!B:B,'channel Mapping'!C:C)</f>
        <v>Affiliation CPS</v>
      </c>
      <c r="D161" s="170" t="s">
        <v>529</v>
      </c>
      <c r="E161" s="170" t="s">
        <v>763</v>
      </c>
      <c r="F161" s="19">
        <v>21</v>
      </c>
      <c r="G161" s="19">
        <v>0</v>
      </c>
      <c r="H161" s="19">
        <v>0</v>
      </c>
      <c r="I161" s="19">
        <v>0</v>
      </c>
      <c r="J161" s="19">
        <v>0</v>
      </c>
      <c r="K161" s="19">
        <v>0</v>
      </c>
    </row>
    <row r="162" spans="1:11" x14ac:dyDescent="0.3">
      <c r="A162" s="353">
        <v>45931</v>
      </c>
      <c r="B162" s="353" t="str">
        <f>_xlfn.XLOOKUP(E162,'channel Mapping'!B:B,'channel Mapping'!D:D)</f>
        <v>Paid</v>
      </c>
      <c r="C162" s="353" t="str">
        <f>_xlfn.XLOOKUP(E162,'channel Mapping'!B:B,'channel Mapping'!C:C)</f>
        <v>Affiliation CPS</v>
      </c>
      <c r="D162" s="170" t="s">
        <v>579</v>
      </c>
      <c r="E162" s="170" t="s">
        <v>580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</row>
    <row r="163" spans="1:11" ht="14.5" x14ac:dyDescent="0.4">
      <c r="A163" s="353">
        <v>45931</v>
      </c>
      <c r="B163" s="353" t="str">
        <f>_xlfn.XLOOKUP(E163,'channel Mapping'!B:B,'channel Mapping'!D:D)</f>
        <v>Paid</v>
      </c>
      <c r="C163" s="353" t="str">
        <f>_xlfn.XLOOKUP(E163,'channel Mapping'!B:B,'channel Mapping'!C:C)</f>
        <v>Affiliation CPS</v>
      </c>
      <c r="D163" s="170" t="s">
        <v>528</v>
      </c>
      <c r="E163" s="358" t="s">
        <v>764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</row>
    <row r="164" spans="1:11" x14ac:dyDescent="0.3">
      <c r="A164" s="353">
        <v>45931</v>
      </c>
      <c r="B164" s="353" t="str">
        <f>_xlfn.XLOOKUP(E164,'channel Mapping'!B:B,'channel Mapping'!D:D)</f>
        <v>FF</v>
      </c>
      <c r="C164" s="353" t="str">
        <f>_xlfn.XLOOKUP(E164,'channel Mapping'!B:B,'channel Mapping'!C:C)</f>
        <v>FF</v>
      </c>
      <c r="D164" s="170" t="s">
        <v>530</v>
      </c>
      <c r="E164" s="170" t="s">
        <v>542</v>
      </c>
      <c r="F164" s="19">
        <v>0</v>
      </c>
      <c r="G164" s="19">
        <v>0</v>
      </c>
      <c r="H164" s="19">
        <v>0</v>
      </c>
      <c r="I164" s="19">
        <v>0</v>
      </c>
      <c r="J164" s="19">
        <v>0</v>
      </c>
      <c r="K164" s="19">
        <v>0</v>
      </c>
    </row>
    <row r="165" spans="1:11" x14ac:dyDescent="0.3">
      <c r="A165" s="353">
        <v>45931</v>
      </c>
      <c r="B165" s="353" t="str">
        <f>_xlfn.XLOOKUP(E165,'channel Mapping'!B:B,'channel Mapping'!D:D)</f>
        <v>Organic</v>
      </c>
      <c r="C165" s="353" t="str">
        <f>_xlfn.XLOOKUP(E165,'channel Mapping'!B:B,'channel Mapping'!C:C)</f>
        <v>Quick_Entry</v>
      </c>
      <c r="D165" s="170" t="s">
        <v>456</v>
      </c>
      <c r="E165" s="170" t="s">
        <v>541</v>
      </c>
      <c r="F165" s="19">
        <v>1463</v>
      </c>
      <c r="G165" s="19">
        <v>4</v>
      </c>
      <c r="H165" s="19">
        <v>21840</v>
      </c>
      <c r="I165" s="19">
        <v>1077</v>
      </c>
      <c r="J165" s="19">
        <v>5</v>
      </c>
      <c r="K165" s="19">
        <v>16150</v>
      </c>
    </row>
    <row r="166" spans="1:11" ht="14.5" x14ac:dyDescent="0.4">
      <c r="A166" s="353">
        <v>45931</v>
      </c>
      <c r="B166" s="353" t="str">
        <f>_xlfn.XLOOKUP(E166,'channel Mapping'!B:B,'channel Mapping'!D:D)</f>
        <v>Paid</v>
      </c>
      <c r="C166" s="353" t="str">
        <f>_xlfn.XLOOKUP(E166,'channel Mapping'!B:B,'channel Mapping'!C:C)</f>
        <v>Affiliation CPS</v>
      </c>
      <c r="D166" s="170" t="s">
        <v>529</v>
      </c>
      <c r="E166" s="170" t="s">
        <v>763</v>
      </c>
      <c r="F166" s="19">
        <v>1</v>
      </c>
      <c r="G166" s="19">
        <v>0</v>
      </c>
      <c r="H166" s="19">
        <v>0</v>
      </c>
      <c r="I166" s="19">
        <v>0</v>
      </c>
      <c r="J166" s="19">
        <v>0</v>
      </c>
      <c r="K166" s="19">
        <v>0</v>
      </c>
    </row>
    <row r="167" spans="1:11" x14ac:dyDescent="0.3">
      <c r="A167" s="353">
        <v>45931</v>
      </c>
      <c r="B167" s="353" t="str">
        <f>_xlfn.XLOOKUP(E167,'channel Mapping'!B:B,'channel Mapping'!D:D)</f>
        <v>Paid</v>
      </c>
      <c r="C167" s="353" t="str">
        <f>_xlfn.XLOOKUP(E167,'channel Mapping'!B:B,'channel Mapping'!C:C)</f>
        <v>Affiliation CPS</v>
      </c>
      <c r="D167" s="170" t="s">
        <v>579</v>
      </c>
      <c r="E167" s="170" t="s">
        <v>580</v>
      </c>
      <c r="F167" s="19">
        <v>0</v>
      </c>
      <c r="G167" s="19">
        <v>0</v>
      </c>
      <c r="H167" s="19">
        <v>0</v>
      </c>
      <c r="I167" s="19">
        <v>0</v>
      </c>
      <c r="J167" s="19">
        <v>0</v>
      </c>
      <c r="K167" s="19">
        <v>0</v>
      </c>
    </row>
    <row r="168" spans="1:11" x14ac:dyDescent="0.3">
      <c r="A168" s="353">
        <v>45931</v>
      </c>
      <c r="B168" s="353" t="str">
        <f>_xlfn.XLOOKUP(E168,'channel Mapping'!B:B,'channel Mapping'!D:D)</f>
        <v>FF</v>
      </c>
      <c r="C168" s="353" t="str">
        <f>_xlfn.XLOOKUP(E168,'channel Mapping'!B:B,'channel Mapping'!C:C)</f>
        <v>FF</v>
      </c>
      <c r="D168" s="170" t="s">
        <v>530</v>
      </c>
      <c r="E168" s="170" t="s">
        <v>542</v>
      </c>
      <c r="F168" s="19">
        <v>0</v>
      </c>
      <c r="G168" s="19">
        <v>0</v>
      </c>
      <c r="H168" s="19">
        <v>0</v>
      </c>
      <c r="I168" s="19">
        <v>0</v>
      </c>
      <c r="J168" s="19">
        <v>0</v>
      </c>
      <c r="K168" s="19">
        <v>0</v>
      </c>
    </row>
    <row r="169" spans="1:11" x14ac:dyDescent="0.3">
      <c r="A169" s="353">
        <v>45931</v>
      </c>
      <c r="B169" s="353" t="str">
        <f>_xlfn.XLOOKUP(E169,'channel Mapping'!B:B,'channel Mapping'!D:D)</f>
        <v>Organic</v>
      </c>
      <c r="C169" s="353" t="str">
        <f>_xlfn.XLOOKUP(E169,'channel Mapping'!B:B,'channel Mapping'!C:C)</f>
        <v>Brand Social</v>
      </c>
      <c r="D169" s="170" t="s">
        <v>458</v>
      </c>
      <c r="E169" s="170" t="s">
        <v>543</v>
      </c>
      <c r="F169" s="19">
        <v>617</v>
      </c>
      <c r="G169" s="19">
        <v>3</v>
      </c>
      <c r="H169" s="19">
        <v>8890</v>
      </c>
      <c r="I169" s="19">
        <v>966</v>
      </c>
      <c r="J169" s="19">
        <v>0</v>
      </c>
      <c r="K169" s="19">
        <v>0</v>
      </c>
    </row>
    <row r="170" spans="1:11" x14ac:dyDescent="0.3">
      <c r="A170" s="353">
        <v>45931</v>
      </c>
      <c r="B170" s="353" t="str">
        <f>_xlfn.XLOOKUP(E170,'channel Mapping'!B:B,'channel Mapping'!D:D)</f>
        <v>Organic</v>
      </c>
      <c r="C170" s="353" t="str">
        <f>_xlfn.XLOOKUP(E170,'channel Mapping'!B:B,'channel Mapping'!C:C)</f>
        <v>Others</v>
      </c>
      <c r="D170" s="170" t="s">
        <v>460</v>
      </c>
      <c r="E170" s="170" t="s">
        <v>652</v>
      </c>
      <c r="F170" s="19">
        <v>24</v>
      </c>
      <c r="G170" s="19">
        <v>0</v>
      </c>
      <c r="H170" s="19">
        <v>0</v>
      </c>
      <c r="I170" s="19">
        <v>18</v>
      </c>
      <c r="J170" s="19">
        <v>0</v>
      </c>
      <c r="K170" s="19">
        <v>0</v>
      </c>
    </row>
    <row r="171" spans="1:11" x14ac:dyDescent="0.3">
      <c r="A171" s="353">
        <v>45931</v>
      </c>
      <c r="B171" s="353" t="str">
        <f>_xlfn.XLOOKUP(E171,'channel Mapping'!B:B,'channel Mapping'!D:D)</f>
        <v>Organic</v>
      </c>
      <c r="C171" s="353" t="str">
        <f>_xlfn.XLOOKUP(E171,'channel Mapping'!B:B,'channel Mapping'!C:C)</f>
        <v>CRM</v>
      </c>
      <c r="D171" s="170" t="s">
        <v>532</v>
      </c>
      <c r="E171" s="170" t="s">
        <v>766</v>
      </c>
      <c r="F171" s="19">
        <v>72</v>
      </c>
      <c r="G171" s="19">
        <v>0</v>
      </c>
      <c r="H171" s="19">
        <v>0</v>
      </c>
      <c r="I171" s="19">
        <v>30</v>
      </c>
      <c r="J171" s="19">
        <v>0</v>
      </c>
      <c r="K171" s="19">
        <v>0</v>
      </c>
    </row>
    <row r="172" spans="1:11" x14ac:dyDescent="0.3">
      <c r="A172" s="353">
        <v>45931</v>
      </c>
      <c r="B172" s="353" t="str">
        <f>_xlfn.XLOOKUP(E172,'channel Mapping'!B:B,'channel Mapping'!D:D)</f>
        <v>Paid</v>
      </c>
      <c r="C172" s="353" t="str">
        <f>_xlfn.XLOOKUP(E172,'channel Mapping'!B:B,'channel Mapping'!C:C)</f>
        <v>Affiliation CPS</v>
      </c>
      <c r="D172" s="170" t="s">
        <v>715</v>
      </c>
      <c r="E172" s="170" t="s">
        <v>716</v>
      </c>
      <c r="F172" s="19">
        <v>0</v>
      </c>
      <c r="G172" s="19">
        <v>0</v>
      </c>
      <c r="H172" s="19">
        <v>0</v>
      </c>
      <c r="I172" s="19">
        <v>3</v>
      </c>
      <c r="J172" s="19">
        <v>0</v>
      </c>
      <c r="K172" s="19">
        <v>0</v>
      </c>
    </row>
    <row r="173" spans="1:11" x14ac:dyDescent="0.3">
      <c r="A173" s="353">
        <v>45931</v>
      </c>
      <c r="B173" s="353" t="str">
        <f>_xlfn.XLOOKUP(E173,'channel Mapping'!B:B,'channel Mapping'!D:D)</f>
        <v>Paid</v>
      </c>
      <c r="C173" s="353" t="str">
        <f>_xlfn.XLOOKUP(E173,'channel Mapping'!B:B,'channel Mapping'!C:C)</f>
        <v>Brandzone</v>
      </c>
      <c r="D173" s="170" t="s">
        <v>717</v>
      </c>
      <c r="E173" s="170" t="s">
        <v>694</v>
      </c>
      <c r="F173" s="19">
        <v>19</v>
      </c>
      <c r="G173" s="19">
        <v>0</v>
      </c>
      <c r="H173" s="19">
        <v>0</v>
      </c>
      <c r="I173" s="19">
        <v>0</v>
      </c>
      <c r="J173" s="19">
        <v>0</v>
      </c>
      <c r="K173" s="19">
        <v>0</v>
      </c>
    </row>
    <row r="174" spans="1:11" ht="14.5" x14ac:dyDescent="0.4">
      <c r="A174" s="353">
        <v>45931</v>
      </c>
      <c r="B174" s="353" t="str">
        <f>_xlfn.XLOOKUP(E174,'channel Mapping'!B:B,'channel Mapping'!D:D)</f>
        <v>Organic</v>
      </c>
      <c r="C174" s="353" t="str">
        <f>_xlfn.XLOOKUP(E174,'channel Mapping'!B:B,'channel Mapping'!C:C)</f>
        <v>Others</v>
      </c>
      <c r="D174" s="170" t="s">
        <v>718</v>
      </c>
      <c r="E174" s="359" t="s">
        <v>722</v>
      </c>
      <c r="F174" s="19">
        <v>4</v>
      </c>
      <c r="G174" s="19">
        <v>0</v>
      </c>
      <c r="H174" s="19">
        <v>0</v>
      </c>
      <c r="I174" s="19">
        <v>0</v>
      </c>
      <c r="J174" s="19">
        <v>0</v>
      </c>
      <c r="K174" s="19">
        <v>0</v>
      </c>
    </row>
    <row r="175" spans="1:11" x14ac:dyDescent="0.3">
      <c r="A175" s="353">
        <v>45931</v>
      </c>
      <c r="B175" s="353" t="str">
        <f>_xlfn.XLOOKUP(E175,'channel Mapping'!B:B,'channel Mapping'!D:D)</f>
        <v>Organic</v>
      </c>
      <c r="C175" s="353" t="str">
        <f>_xlfn.XLOOKUP(E175,'channel Mapping'!B:B,'channel Mapping'!C:C)</f>
        <v>CRM</v>
      </c>
      <c r="D175" s="170" t="s">
        <v>457</v>
      </c>
      <c r="E175" s="170" t="s">
        <v>545</v>
      </c>
      <c r="F175" s="19">
        <v>109</v>
      </c>
      <c r="G175" s="19">
        <v>0</v>
      </c>
      <c r="H175" s="19">
        <v>0</v>
      </c>
      <c r="I175" s="19">
        <v>110</v>
      </c>
      <c r="J175" s="19">
        <v>0</v>
      </c>
      <c r="K175" s="19">
        <v>0</v>
      </c>
    </row>
    <row r="176" spans="1:11" ht="14.5" x14ac:dyDescent="0.4">
      <c r="A176" s="353">
        <v>45931</v>
      </c>
      <c r="B176" s="353" t="str">
        <f>_xlfn.XLOOKUP(E176,'channel Mapping'!B:B,'channel Mapping'!D:D)</f>
        <v>Paid</v>
      </c>
      <c r="C176" s="353" t="str">
        <f>_xlfn.XLOOKUP(E176,'channel Mapping'!B:B,'channel Mapping'!C:C)</f>
        <v>Affiliation CPS</v>
      </c>
      <c r="D176" s="170" t="s">
        <v>529</v>
      </c>
      <c r="E176" s="170" t="s">
        <v>763</v>
      </c>
      <c r="F176" s="19">
        <v>32</v>
      </c>
      <c r="G176" s="19">
        <v>0</v>
      </c>
      <c r="H176" s="19">
        <v>0</v>
      </c>
      <c r="I176" s="19">
        <v>0</v>
      </c>
      <c r="J176" s="19">
        <v>0</v>
      </c>
      <c r="K176" s="19">
        <v>0</v>
      </c>
    </row>
    <row r="177" spans="1:11" x14ac:dyDescent="0.3">
      <c r="A177" s="353">
        <v>45931</v>
      </c>
      <c r="B177" s="353" t="str">
        <f>_xlfn.XLOOKUP(E177,'channel Mapping'!B:B,'channel Mapping'!D:D)</f>
        <v>Paid</v>
      </c>
      <c r="C177" s="353" t="str">
        <f>_xlfn.XLOOKUP(E177,'channel Mapping'!B:B,'channel Mapping'!C:C)</f>
        <v>Affiliation CPS</v>
      </c>
      <c r="D177" s="170" t="s">
        <v>579</v>
      </c>
      <c r="E177" s="170" t="s">
        <v>580</v>
      </c>
      <c r="F177" s="19">
        <v>0</v>
      </c>
      <c r="G177" s="19">
        <v>0</v>
      </c>
      <c r="H177" s="19">
        <v>0</v>
      </c>
      <c r="I177" s="19">
        <v>0</v>
      </c>
      <c r="J177" s="19">
        <v>0</v>
      </c>
      <c r="K177" s="19">
        <v>0</v>
      </c>
    </row>
    <row r="178" spans="1:11" ht="14.5" x14ac:dyDescent="0.4">
      <c r="A178" s="353">
        <v>45931</v>
      </c>
      <c r="B178" s="353" t="str">
        <f>_xlfn.XLOOKUP(E178,'channel Mapping'!B:B,'channel Mapping'!D:D)</f>
        <v>Paid</v>
      </c>
      <c r="C178" s="353" t="str">
        <f>_xlfn.XLOOKUP(E178,'channel Mapping'!B:B,'channel Mapping'!C:C)</f>
        <v>Affiliation CPS</v>
      </c>
      <c r="D178" s="170" t="s">
        <v>528</v>
      </c>
      <c r="E178" s="358" t="s">
        <v>764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</row>
    <row r="179" spans="1:11" x14ac:dyDescent="0.3">
      <c r="A179" s="353">
        <v>45931</v>
      </c>
      <c r="B179" s="353" t="str">
        <f>_xlfn.XLOOKUP(E179,'channel Mapping'!B:B,'channel Mapping'!D:D)</f>
        <v>FF</v>
      </c>
      <c r="C179" s="353" t="str">
        <f>_xlfn.XLOOKUP(E179,'channel Mapping'!B:B,'channel Mapping'!C:C)</f>
        <v>FF</v>
      </c>
      <c r="D179" s="170" t="s">
        <v>530</v>
      </c>
      <c r="E179" s="170" t="s">
        <v>542</v>
      </c>
      <c r="F179" s="19">
        <v>0</v>
      </c>
      <c r="G179" s="19">
        <v>0</v>
      </c>
      <c r="H179" s="19">
        <v>0</v>
      </c>
      <c r="I179" s="19">
        <v>0</v>
      </c>
      <c r="J179" s="19">
        <v>0</v>
      </c>
      <c r="K179" s="19">
        <v>0</v>
      </c>
    </row>
    <row r="180" spans="1:11" x14ac:dyDescent="0.3">
      <c r="A180" s="353">
        <v>45931</v>
      </c>
      <c r="B180" s="353" t="str">
        <f>_xlfn.XLOOKUP(E180,'channel Mapping'!B:B,'channel Mapping'!D:D)</f>
        <v>Free</v>
      </c>
      <c r="C180" s="353" t="str">
        <f>_xlfn.XLOOKUP(E180,'channel Mapping'!B:B,'channel Mapping'!C:C)</f>
        <v>Mingpin</v>
      </c>
      <c r="D180" s="170" t="s">
        <v>459</v>
      </c>
      <c r="E180" s="170" t="s">
        <v>712</v>
      </c>
      <c r="F180" s="19">
        <v>2838</v>
      </c>
      <c r="G180" s="19">
        <v>2</v>
      </c>
      <c r="H180" s="19">
        <v>11995</v>
      </c>
      <c r="I180" s="19">
        <v>333</v>
      </c>
      <c r="J180" s="19">
        <v>0</v>
      </c>
      <c r="K180" s="19">
        <v>0</v>
      </c>
    </row>
    <row r="181" spans="1:11" x14ac:dyDescent="0.3">
      <c r="A181" s="353">
        <v>45931</v>
      </c>
      <c r="B181" s="353" t="str">
        <f>_xlfn.XLOOKUP(E181,'channel Mapping'!B:B,'channel Mapping'!D:D)</f>
        <v>Organic</v>
      </c>
      <c r="C181" s="353" t="str">
        <f>_xlfn.XLOOKUP(E181,'channel Mapping'!B:B,'channel Mapping'!C:C)</f>
        <v>Others</v>
      </c>
      <c r="D181" s="170" t="s">
        <v>713</v>
      </c>
      <c r="E181" s="170" t="s">
        <v>714</v>
      </c>
      <c r="F181" s="19">
        <v>21</v>
      </c>
      <c r="G181" s="19">
        <v>1</v>
      </c>
      <c r="H181" s="19">
        <v>2795</v>
      </c>
      <c r="I181" s="19">
        <v>0</v>
      </c>
      <c r="J181" s="19">
        <v>0</v>
      </c>
      <c r="K181" s="19">
        <v>0</v>
      </c>
    </row>
    <row r="182" spans="1:11" x14ac:dyDescent="0.3">
      <c r="A182" s="353">
        <v>45931</v>
      </c>
      <c r="B182" s="353" t="str">
        <f>_xlfn.XLOOKUP(E182,'channel Mapping'!B:B,'channel Mapping'!D:D)</f>
        <v>Organic</v>
      </c>
      <c r="C182" s="353" t="str">
        <f>_xlfn.XLOOKUP(E182,'channel Mapping'!B:B,'channel Mapping'!C:C)</f>
        <v>Others</v>
      </c>
      <c r="D182" s="170" t="s">
        <v>454</v>
      </c>
      <c r="E182" s="170" t="s">
        <v>547</v>
      </c>
      <c r="F182" s="19">
        <v>81</v>
      </c>
      <c r="G182" s="19">
        <v>1</v>
      </c>
      <c r="H182" s="19">
        <v>7640</v>
      </c>
      <c r="I182" s="19">
        <v>161</v>
      </c>
      <c r="J182" s="19">
        <v>0</v>
      </c>
      <c r="K182" s="19">
        <v>0</v>
      </c>
    </row>
    <row r="183" spans="1:11" ht="14.5" x14ac:dyDescent="0.4">
      <c r="A183" s="353">
        <v>45931</v>
      </c>
      <c r="B183" s="353" t="str">
        <f>_xlfn.XLOOKUP(E183,'channel Mapping'!B:B,'channel Mapping'!D:D)</f>
        <v>Paid</v>
      </c>
      <c r="C183" s="353" t="str">
        <f>_xlfn.XLOOKUP(E183,'channel Mapping'!B:B,'channel Mapping'!C:C)</f>
        <v>Affiliation CPS</v>
      </c>
      <c r="D183" s="170" t="s">
        <v>529</v>
      </c>
      <c r="E183" s="170" t="s">
        <v>763</v>
      </c>
      <c r="F183" s="19">
        <v>5</v>
      </c>
      <c r="G183" s="19">
        <v>5</v>
      </c>
      <c r="H183" s="19">
        <v>40880</v>
      </c>
      <c r="I183" s="19">
        <v>3</v>
      </c>
      <c r="J183" s="19">
        <v>0</v>
      </c>
      <c r="K183" s="19">
        <v>0</v>
      </c>
    </row>
    <row r="184" spans="1:11" x14ac:dyDescent="0.3">
      <c r="A184" s="353">
        <v>45931</v>
      </c>
      <c r="B184" s="353" t="str">
        <f>_xlfn.XLOOKUP(E184,'channel Mapping'!B:B,'channel Mapping'!D:D)</f>
        <v>Paid</v>
      </c>
      <c r="C184" s="353" t="str">
        <f>_xlfn.XLOOKUP(E184,'channel Mapping'!B:B,'channel Mapping'!C:C)</f>
        <v>Affiliation CPS</v>
      </c>
      <c r="D184" s="170" t="s">
        <v>715</v>
      </c>
      <c r="E184" s="170" t="s">
        <v>716</v>
      </c>
      <c r="F184" s="19">
        <v>0</v>
      </c>
      <c r="G184" s="19">
        <v>0</v>
      </c>
      <c r="H184" s="19">
        <v>0</v>
      </c>
      <c r="I184" s="19">
        <v>1</v>
      </c>
      <c r="J184" s="19">
        <v>0</v>
      </c>
      <c r="K184" s="19">
        <v>0</v>
      </c>
    </row>
    <row r="185" spans="1:11" x14ac:dyDescent="0.3">
      <c r="A185" s="353">
        <v>45931</v>
      </c>
      <c r="B185" s="353" t="str">
        <f>_xlfn.XLOOKUP(E185,'channel Mapping'!B:B,'channel Mapping'!D:D)</f>
        <v>FF</v>
      </c>
      <c r="C185" s="353" t="str">
        <f>_xlfn.XLOOKUP(E185,'channel Mapping'!B:B,'channel Mapping'!C:C)</f>
        <v>FF</v>
      </c>
      <c r="D185" s="170" t="s">
        <v>530</v>
      </c>
      <c r="E185" s="170" t="s">
        <v>542</v>
      </c>
      <c r="F185" s="19">
        <v>0</v>
      </c>
      <c r="G185" s="19">
        <v>0</v>
      </c>
      <c r="H185" s="19">
        <v>0</v>
      </c>
      <c r="I185" s="19">
        <v>0</v>
      </c>
      <c r="J185" s="19">
        <v>0</v>
      </c>
      <c r="K185" s="19">
        <v>0</v>
      </c>
    </row>
    <row r="186" spans="1:11" ht="14.5" x14ac:dyDescent="0.4">
      <c r="A186" s="353">
        <v>45931</v>
      </c>
      <c r="B186" s="353" t="str">
        <f>_xlfn.XLOOKUP(E186,'channel Mapping'!B:B,'channel Mapping'!D:D)</f>
        <v>Organic</v>
      </c>
      <c r="C186" s="353" t="str">
        <f>_xlfn.XLOOKUP(E186,'channel Mapping'!B:B,'channel Mapping'!C:C)</f>
        <v>Others</v>
      </c>
      <c r="D186" s="170" t="s">
        <v>718</v>
      </c>
      <c r="E186" s="359" t="s">
        <v>722</v>
      </c>
      <c r="F186" s="19">
        <v>5</v>
      </c>
      <c r="G186" s="19">
        <v>0</v>
      </c>
      <c r="H186" s="19">
        <v>0</v>
      </c>
      <c r="I186" s="19">
        <v>0</v>
      </c>
      <c r="J186" s="19">
        <v>0</v>
      </c>
      <c r="K186" s="19">
        <v>0</v>
      </c>
    </row>
    <row r="187" spans="1:11" x14ac:dyDescent="0.3">
      <c r="A187" s="353">
        <v>45931</v>
      </c>
      <c r="B187" s="353" t="str">
        <f>_xlfn.XLOOKUP(E187,'channel Mapping'!B:B,'channel Mapping'!D:D)</f>
        <v>Organic</v>
      </c>
      <c r="C187" s="353" t="str">
        <f>_xlfn.XLOOKUP(E187,'channel Mapping'!B:B,'channel Mapping'!C:C)</f>
        <v>Others</v>
      </c>
      <c r="D187" s="170" t="s">
        <v>461</v>
      </c>
      <c r="E187" s="170" t="s">
        <v>548</v>
      </c>
      <c r="F187" s="19">
        <v>73</v>
      </c>
      <c r="G187" s="19">
        <v>0</v>
      </c>
      <c r="H187" s="19">
        <v>0</v>
      </c>
      <c r="I187" s="19">
        <v>45</v>
      </c>
      <c r="J187" s="19">
        <v>0</v>
      </c>
      <c r="K187" s="19">
        <v>0</v>
      </c>
    </row>
    <row r="188" spans="1:11" x14ac:dyDescent="0.3">
      <c r="A188" s="353">
        <v>45931</v>
      </c>
      <c r="B188" s="353" t="str">
        <f>_xlfn.XLOOKUP(E188,'channel Mapping'!B:B,'channel Mapping'!D:D)</f>
        <v>FF</v>
      </c>
      <c r="C188" s="353" t="str">
        <f>_xlfn.XLOOKUP(E188,'channel Mapping'!B:B,'channel Mapping'!C:C)</f>
        <v>FF</v>
      </c>
      <c r="D188" s="170" t="s">
        <v>530</v>
      </c>
      <c r="E188" s="170" t="s">
        <v>542</v>
      </c>
      <c r="F188" s="19">
        <v>0</v>
      </c>
      <c r="G188" s="19">
        <v>0</v>
      </c>
      <c r="H188" s="19">
        <v>0</v>
      </c>
      <c r="I188" s="19">
        <v>0</v>
      </c>
      <c r="J188" s="19">
        <v>0</v>
      </c>
      <c r="K188" s="19">
        <v>0</v>
      </c>
    </row>
    <row r="189" spans="1:11" x14ac:dyDescent="0.3">
      <c r="A189" s="353">
        <v>45931</v>
      </c>
      <c r="B189" s="353" t="str">
        <f>_xlfn.XLOOKUP(E189,'channel Mapping'!B:B,'channel Mapping'!D:D)</f>
        <v>Organic</v>
      </c>
      <c r="C189" s="353" t="str">
        <f>_xlfn.XLOOKUP(E189,'channel Mapping'!B:B,'channel Mapping'!C:C)</f>
        <v>Brand Social</v>
      </c>
      <c r="D189" s="170" t="s">
        <v>525</v>
      </c>
      <c r="E189" s="170" t="s">
        <v>549</v>
      </c>
      <c r="F189" s="19">
        <v>11</v>
      </c>
      <c r="G189" s="19">
        <v>0</v>
      </c>
      <c r="H189" s="19">
        <v>0</v>
      </c>
      <c r="I189" s="19">
        <v>9</v>
      </c>
      <c r="J189" s="19">
        <v>0</v>
      </c>
      <c r="K189" s="19">
        <v>0</v>
      </c>
    </row>
    <row r="190" spans="1:11" x14ac:dyDescent="0.3">
      <c r="A190" s="353">
        <v>45931</v>
      </c>
      <c r="B190" s="353" t="str">
        <f>_xlfn.XLOOKUP(E190,'channel Mapping'!B:B,'channel Mapping'!D:D)</f>
        <v>Organic</v>
      </c>
      <c r="C190" s="353" t="str">
        <f>_xlfn.XLOOKUP(E190,'channel Mapping'!B:B,'channel Mapping'!C:C)</f>
        <v>CRM</v>
      </c>
      <c r="D190" s="170" t="s">
        <v>462</v>
      </c>
      <c r="E190" s="170" t="s">
        <v>550</v>
      </c>
      <c r="F190" s="19">
        <v>225</v>
      </c>
      <c r="G190" s="19">
        <v>0</v>
      </c>
      <c r="H190" s="19">
        <v>0</v>
      </c>
      <c r="I190" s="19">
        <v>16</v>
      </c>
      <c r="J190" s="19">
        <v>0</v>
      </c>
      <c r="K190" s="19">
        <v>0</v>
      </c>
    </row>
    <row r="191" spans="1:11" ht="14.5" x14ac:dyDescent="0.4">
      <c r="A191" s="353">
        <v>45931</v>
      </c>
      <c r="B191" s="353" t="str">
        <f>_xlfn.XLOOKUP(E191,'channel Mapping'!B:B,'channel Mapping'!D:D)</f>
        <v>Paid</v>
      </c>
      <c r="C191" s="353" t="str">
        <f>_xlfn.XLOOKUP(E191,'channel Mapping'!B:B,'channel Mapping'!C:C)</f>
        <v>Affiliation CPS</v>
      </c>
      <c r="D191" s="170" t="s">
        <v>529</v>
      </c>
      <c r="E191" s="170" t="s">
        <v>763</v>
      </c>
      <c r="F191" s="19">
        <v>0</v>
      </c>
      <c r="G191" s="19">
        <v>0</v>
      </c>
      <c r="H191" s="19">
        <v>0</v>
      </c>
      <c r="I191" s="19">
        <v>0</v>
      </c>
      <c r="J191" s="19">
        <v>0</v>
      </c>
      <c r="K191" s="19">
        <v>0</v>
      </c>
    </row>
    <row r="192" spans="1:11" x14ac:dyDescent="0.3">
      <c r="A192" s="353">
        <v>45931</v>
      </c>
      <c r="B192" s="353" t="str">
        <f>_xlfn.XLOOKUP(E192,'channel Mapping'!B:B,'channel Mapping'!D:D)</f>
        <v>FF</v>
      </c>
      <c r="C192" s="353" t="str">
        <f>_xlfn.XLOOKUP(E192,'channel Mapping'!B:B,'channel Mapping'!C:C)</f>
        <v>FF</v>
      </c>
      <c r="D192" s="170" t="s">
        <v>530</v>
      </c>
      <c r="E192" s="170" t="s">
        <v>542</v>
      </c>
      <c r="F192" s="19">
        <v>0</v>
      </c>
      <c r="G192" s="19">
        <v>0</v>
      </c>
      <c r="H192" s="19">
        <v>0</v>
      </c>
      <c r="I192" s="19">
        <v>0</v>
      </c>
      <c r="J192" s="19">
        <v>0</v>
      </c>
      <c r="K192" s="19">
        <v>0</v>
      </c>
    </row>
    <row r="193" spans="1:11" x14ac:dyDescent="0.3">
      <c r="A193" s="353">
        <v>45931</v>
      </c>
      <c r="B193" s="353" t="str">
        <f>_xlfn.XLOOKUP(E193,'channel Mapping'!B:B,'channel Mapping'!D:D)</f>
        <v>Paid</v>
      </c>
      <c r="C193" s="353" t="str">
        <f>_xlfn.XLOOKUP(E193,'channel Mapping'!B:B,'channel Mapping'!C:C)</f>
        <v>Display CPC</v>
      </c>
      <c r="D193" s="170" t="s">
        <v>524</v>
      </c>
      <c r="E193" s="170" t="s">
        <v>619</v>
      </c>
      <c r="F193" s="19">
        <v>0</v>
      </c>
      <c r="G193" s="19">
        <v>0</v>
      </c>
      <c r="H193" s="19">
        <v>0</v>
      </c>
      <c r="I193" s="19">
        <v>0</v>
      </c>
      <c r="J193" s="19">
        <v>0</v>
      </c>
      <c r="K193" s="19">
        <v>0</v>
      </c>
    </row>
    <row r="194" spans="1:11" x14ac:dyDescent="0.3">
      <c r="A194" s="353">
        <v>45931</v>
      </c>
      <c r="B194" s="353" t="str">
        <f>_xlfn.XLOOKUP(E194,'channel Mapping'!B:B,'channel Mapping'!D:D)</f>
        <v>Paid</v>
      </c>
      <c r="C194" s="353" t="str">
        <f>_xlfn.XLOOKUP(E194,'channel Mapping'!B:B,'channel Mapping'!C:C)</f>
        <v>Display CPC</v>
      </c>
      <c r="D194" s="170" t="s">
        <v>524</v>
      </c>
      <c r="E194" s="170" t="s">
        <v>539</v>
      </c>
      <c r="F194" s="19">
        <v>0</v>
      </c>
      <c r="G194" s="19">
        <v>0</v>
      </c>
      <c r="H194" s="19">
        <v>0</v>
      </c>
      <c r="I194" s="19">
        <v>22</v>
      </c>
      <c r="J194" s="19">
        <v>0</v>
      </c>
      <c r="K194" s="19">
        <v>0</v>
      </c>
    </row>
    <row r="195" spans="1:11" x14ac:dyDescent="0.3">
      <c r="A195" s="353">
        <v>45962</v>
      </c>
      <c r="B195" s="353" t="str">
        <f>_xlfn.XLOOKUP(E195,'channel Mapping'!B:B,'channel Mapping'!D:D)</f>
        <v>Organic</v>
      </c>
      <c r="C195" s="353" t="str">
        <f>_xlfn.XLOOKUP(E195,'channel Mapping'!B:B,'channel Mapping'!C:C)</f>
        <v>Brand Search</v>
      </c>
      <c r="D195" s="170" t="s">
        <v>455</v>
      </c>
      <c r="E195" s="170" t="s">
        <v>540</v>
      </c>
      <c r="F195" s="19">
        <v>1252</v>
      </c>
      <c r="G195" s="19">
        <v>4</v>
      </c>
      <c r="H195" s="19">
        <v>20440</v>
      </c>
      <c r="I195" s="19">
        <v>1114</v>
      </c>
      <c r="J195" s="19">
        <v>1</v>
      </c>
      <c r="K195" s="19">
        <v>9765</v>
      </c>
    </row>
    <row r="196" spans="1:11" ht="14.5" x14ac:dyDescent="0.4">
      <c r="A196" s="353">
        <v>45962</v>
      </c>
      <c r="B196" s="353" t="str">
        <f>_xlfn.XLOOKUP(E196,'channel Mapping'!B:B,'channel Mapping'!D:D)</f>
        <v>Paid</v>
      </c>
      <c r="C196" s="353" t="str">
        <f>_xlfn.XLOOKUP(E196,'channel Mapping'!B:B,'channel Mapping'!C:C)</f>
        <v>Affiliation CPS</v>
      </c>
      <c r="D196" s="170" t="s">
        <v>529</v>
      </c>
      <c r="E196" s="170" t="s">
        <v>825</v>
      </c>
      <c r="F196" s="19">
        <v>0</v>
      </c>
      <c r="G196" s="19">
        <v>0</v>
      </c>
      <c r="H196" s="19">
        <v>0</v>
      </c>
      <c r="I196" s="19">
        <v>1</v>
      </c>
      <c r="J196" s="19">
        <v>0</v>
      </c>
      <c r="K196" s="19">
        <v>0</v>
      </c>
    </row>
    <row r="197" spans="1:11" x14ac:dyDescent="0.3">
      <c r="A197" s="353">
        <v>45962</v>
      </c>
      <c r="B197" s="353" t="str">
        <f>_xlfn.XLOOKUP(E197,'channel Mapping'!B:B,'channel Mapping'!D:D)</f>
        <v>Paid</v>
      </c>
      <c r="C197" s="353" t="str">
        <f>_xlfn.XLOOKUP(E197,'channel Mapping'!B:B,'channel Mapping'!C:C)</f>
        <v>Affiliation CPS</v>
      </c>
      <c r="D197" s="170" t="s">
        <v>579</v>
      </c>
      <c r="E197" s="170" t="s">
        <v>580</v>
      </c>
      <c r="F197" s="19">
        <v>0</v>
      </c>
      <c r="G197" s="19">
        <v>0</v>
      </c>
      <c r="H197" s="19">
        <v>0</v>
      </c>
      <c r="I197" s="19">
        <v>0</v>
      </c>
      <c r="J197" s="19">
        <v>0</v>
      </c>
      <c r="K197" s="19">
        <v>0</v>
      </c>
    </row>
    <row r="198" spans="1:11" x14ac:dyDescent="0.3">
      <c r="A198" s="353">
        <v>45962</v>
      </c>
      <c r="B198" s="353" t="str">
        <f>_xlfn.XLOOKUP(E198,'channel Mapping'!B:B,'channel Mapping'!D:D)</f>
        <v>Paid</v>
      </c>
      <c r="C198" s="353" t="str">
        <f>_xlfn.XLOOKUP(E198,'channel Mapping'!B:B,'channel Mapping'!C:C)</f>
        <v>Affiliation CPS</v>
      </c>
      <c r="D198" s="170" t="s">
        <v>528</v>
      </c>
      <c r="E198" s="170" t="s">
        <v>761</v>
      </c>
      <c r="F198" s="19">
        <v>0</v>
      </c>
      <c r="G198" s="19">
        <v>0</v>
      </c>
      <c r="H198" s="19">
        <v>0</v>
      </c>
      <c r="I198" s="19">
        <v>0</v>
      </c>
      <c r="J198" s="19">
        <v>0</v>
      </c>
      <c r="K198" s="19">
        <v>0</v>
      </c>
    </row>
    <row r="199" spans="1:11" x14ac:dyDescent="0.3">
      <c r="A199" s="353">
        <v>45962</v>
      </c>
      <c r="B199" s="353" t="str">
        <f>_xlfn.XLOOKUP(E199,'channel Mapping'!B:B,'channel Mapping'!D:D)</f>
        <v>FF</v>
      </c>
      <c r="C199" s="353" t="str">
        <f>_xlfn.XLOOKUP(E199,'channel Mapping'!B:B,'channel Mapping'!C:C)</f>
        <v>FF</v>
      </c>
      <c r="D199" s="170" t="s">
        <v>530</v>
      </c>
      <c r="E199" s="170" t="s">
        <v>542</v>
      </c>
      <c r="F199" s="19">
        <v>0</v>
      </c>
      <c r="G199" s="19">
        <v>0</v>
      </c>
      <c r="H199" s="19">
        <v>0</v>
      </c>
      <c r="I199" s="19">
        <v>0</v>
      </c>
      <c r="J199" s="19">
        <v>0</v>
      </c>
      <c r="K199" s="19">
        <v>0</v>
      </c>
    </row>
    <row r="200" spans="1:11" x14ac:dyDescent="0.3">
      <c r="A200" s="353">
        <v>45962</v>
      </c>
      <c r="B200" s="353" t="str">
        <f>_xlfn.XLOOKUP(E200,'channel Mapping'!B:B,'channel Mapping'!D:D)</f>
        <v>Organic</v>
      </c>
      <c r="C200" s="353" t="str">
        <f>_xlfn.XLOOKUP(E200,'channel Mapping'!B:B,'channel Mapping'!C:C)</f>
        <v>Quick_Entry</v>
      </c>
      <c r="D200" s="170" t="s">
        <v>456</v>
      </c>
      <c r="E200" s="170" t="s">
        <v>541</v>
      </c>
      <c r="F200" s="19">
        <v>1510</v>
      </c>
      <c r="G200" s="19">
        <v>12</v>
      </c>
      <c r="H200" s="19">
        <v>111354</v>
      </c>
      <c r="I200" s="19">
        <v>1185</v>
      </c>
      <c r="J200" s="19">
        <v>15</v>
      </c>
      <c r="K200" s="19">
        <v>98210</v>
      </c>
    </row>
    <row r="201" spans="1:11" ht="14.5" x14ac:dyDescent="0.4">
      <c r="A201" s="353">
        <v>45962</v>
      </c>
      <c r="B201" s="353" t="str">
        <f>_xlfn.XLOOKUP(E201,'channel Mapping'!B:B,'channel Mapping'!D:D)</f>
        <v>Paid</v>
      </c>
      <c r="C201" s="353" t="str">
        <f>_xlfn.XLOOKUP(E201,'channel Mapping'!B:B,'channel Mapping'!C:C)</f>
        <v>Affiliation CPS</v>
      </c>
      <c r="D201" s="170" t="s">
        <v>529</v>
      </c>
      <c r="E201" s="170" t="s">
        <v>825</v>
      </c>
      <c r="F201" s="19">
        <v>0</v>
      </c>
      <c r="G201" s="19">
        <v>0</v>
      </c>
      <c r="H201" s="19">
        <v>0</v>
      </c>
      <c r="I201" s="19">
        <v>7</v>
      </c>
      <c r="J201" s="19">
        <v>0</v>
      </c>
      <c r="K201" s="19">
        <v>0</v>
      </c>
    </row>
    <row r="202" spans="1:11" x14ac:dyDescent="0.3">
      <c r="A202" s="353">
        <v>45962</v>
      </c>
      <c r="B202" s="353" t="str">
        <f>_xlfn.XLOOKUP(E202,'channel Mapping'!B:B,'channel Mapping'!D:D)</f>
        <v>Paid</v>
      </c>
      <c r="C202" s="353" t="str">
        <f>_xlfn.XLOOKUP(E202,'channel Mapping'!B:B,'channel Mapping'!C:C)</f>
        <v>Affiliation CPS</v>
      </c>
      <c r="D202" s="170" t="s">
        <v>579</v>
      </c>
      <c r="E202" s="170" t="s">
        <v>580</v>
      </c>
      <c r="F202" s="19">
        <v>0</v>
      </c>
      <c r="G202" s="19">
        <v>0</v>
      </c>
      <c r="H202" s="19">
        <v>0</v>
      </c>
      <c r="I202" s="19">
        <v>0</v>
      </c>
      <c r="J202" s="19">
        <v>0</v>
      </c>
      <c r="K202" s="19">
        <v>0</v>
      </c>
    </row>
    <row r="203" spans="1:11" x14ac:dyDescent="0.3">
      <c r="A203" s="353">
        <v>45962</v>
      </c>
      <c r="B203" s="353" t="str">
        <f>_xlfn.XLOOKUP(E203,'channel Mapping'!B:B,'channel Mapping'!D:D)</f>
        <v>FF</v>
      </c>
      <c r="C203" s="353" t="str">
        <f>_xlfn.XLOOKUP(E203,'channel Mapping'!B:B,'channel Mapping'!C:C)</f>
        <v>FF</v>
      </c>
      <c r="D203" s="170" t="s">
        <v>530</v>
      </c>
      <c r="E203" s="170" t="s">
        <v>542</v>
      </c>
      <c r="F203" s="19">
        <v>0</v>
      </c>
      <c r="G203" s="19">
        <v>0</v>
      </c>
      <c r="H203" s="19">
        <v>0</v>
      </c>
      <c r="I203" s="19">
        <v>0</v>
      </c>
      <c r="J203" s="19">
        <v>0</v>
      </c>
      <c r="K203" s="19">
        <v>0</v>
      </c>
    </row>
    <row r="204" spans="1:11" x14ac:dyDescent="0.3">
      <c r="A204" s="353">
        <v>45962</v>
      </c>
      <c r="B204" s="353" t="str">
        <f>_xlfn.XLOOKUP(E204,'channel Mapping'!B:B,'channel Mapping'!D:D)</f>
        <v>Organic</v>
      </c>
      <c r="C204" s="353" t="str">
        <f>_xlfn.XLOOKUP(E204,'channel Mapping'!B:B,'channel Mapping'!C:C)</f>
        <v>Brand Social</v>
      </c>
      <c r="D204" s="170" t="s">
        <v>458</v>
      </c>
      <c r="E204" s="170" t="s">
        <v>543</v>
      </c>
      <c r="F204" s="19">
        <v>626</v>
      </c>
      <c r="G204" s="19">
        <v>0</v>
      </c>
      <c r="H204" s="19">
        <v>0</v>
      </c>
      <c r="I204" s="19">
        <v>944</v>
      </c>
      <c r="J204" s="19">
        <v>2</v>
      </c>
      <c r="K204" s="19">
        <v>10445</v>
      </c>
    </row>
    <row r="205" spans="1:11" x14ac:dyDescent="0.3">
      <c r="A205" s="353">
        <v>45962</v>
      </c>
      <c r="B205" s="353" t="str">
        <f>_xlfn.XLOOKUP(E205,'channel Mapping'!B:B,'channel Mapping'!D:D)</f>
        <v>Paid</v>
      </c>
      <c r="C205" s="353" t="str">
        <f>_xlfn.XLOOKUP(E205,'channel Mapping'!B:B,'channel Mapping'!C:C)</f>
        <v>Editorial</v>
      </c>
      <c r="D205" s="170" t="s">
        <v>864</v>
      </c>
      <c r="E205" s="170" t="s">
        <v>829</v>
      </c>
      <c r="F205" s="19">
        <v>0</v>
      </c>
      <c r="G205" s="19">
        <v>0</v>
      </c>
      <c r="H205" s="19">
        <v>0</v>
      </c>
      <c r="I205" s="19">
        <v>21</v>
      </c>
      <c r="J205" s="19">
        <v>0</v>
      </c>
      <c r="K205" s="19">
        <v>0</v>
      </c>
    </row>
    <row r="206" spans="1:11" x14ac:dyDescent="0.3">
      <c r="A206" s="353">
        <v>45962</v>
      </c>
      <c r="B206" s="353" t="str">
        <f>_xlfn.XLOOKUP(E206,'channel Mapping'!B:B,'channel Mapping'!D:D)</f>
        <v>Organic</v>
      </c>
      <c r="C206" s="353" t="str">
        <f>_xlfn.XLOOKUP(E206,'channel Mapping'!B:B,'channel Mapping'!C:C)</f>
        <v>Others</v>
      </c>
      <c r="D206" s="170" t="s">
        <v>460</v>
      </c>
      <c r="E206" s="170" t="s">
        <v>652</v>
      </c>
      <c r="F206" s="19">
        <v>31</v>
      </c>
      <c r="G206" s="19">
        <v>1</v>
      </c>
      <c r="H206" s="19">
        <v>5100</v>
      </c>
      <c r="I206" s="19">
        <v>58</v>
      </c>
      <c r="J206" s="19">
        <v>0</v>
      </c>
      <c r="K206" s="19">
        <v>0</v>
      </c>
    </row>
    <row r="207" spans="1:11" x14ac:dyDescent="0.3">
      <c r="A207" s="353">
        <v>45962</v>
      </c>
      <c r="B207" s="353" t="str">
        <f>_xlfn.XLOOKUP(E207,'channel Mapping'!B:B,'channel Mapping'!D:D)</f>
        <v>Organic</v>
      </c>
      <c r="C207" s="353" t="str">
        <f>_xlfn.XLOOKUP(E207,'channel Mapping'!B:B,'channel Mapping'!C:C)</f>
        <v>CRM</v>
      </c>
      <c r="D207" s="170" t="s">
        <v>532</v>
      </c>
      <c r="E207" s="170" t="s">
        <v>766</v>
      </c>
      <c r="F207" s="19">
        <v>279</v>
      </c>
      <c r="G207" s="19">
        <v>0</v>
      </c>
      <c r="H207" s="19">
        <v>0</v>
      </c>
      <c r="I207" s="19">
        <v>114</v>
      </c>
      <c r="J207" s="19">
        <v>0</v>
      </c>
      <c r="K207" s="19">
        <v>0</v>
      </c>
    </row>
    <row r="208" spans="1:11" x14ac:dyDescent="0.3">
      <c r="A208" s="353">
        <v>45962</v>
      </c>
      <c r="B208" s="353" t="str">
        <f>_xlfn.XLOOKUP(E208,'channel Mapping'!B:B,'channel Mapping'!D:D)</f>
        <v>Paid</v>
      </c>
      <c r="C208" s="353" t="str">
        <f>_xlfn.XLOOKUP(E208,'channel Mapping'!B:B,'channel Mapping'!C:C)</f>
        <v>Affiliation CPS</v>
      </c>
      <c r="D208" s="170" t="s">
        <v>715</v>
      </c>
      <c r="E208" s="170" t="s">
        <v>716</v>
      </c>
      <c r="F208" s="19">
        <v>0</v>
      </c>
      <c r="G208" s="19">
        <v>0</v>
      </c>
      <c r="H208" s="19">
        <v>0</v>
      </c>
      <c r="I208" s="19">
        <v>43</v>
      </c>
      <c r="J208" s="19">
        <v>0</v>
      </c>
      <c r="K208" s="19">
        <v>0</v>
      </c>
    </row>
    <row r="209" spans="1:11" x14ac:dyDescent="0.3">
      <c r="A209" s="353">
        <v>45962</v>
      </c>
      <c r="B209" s="353" t="str">
        <f>_xlfn.XLOOKUP(E209,'channel Mapping'!B:B,'channel Mapping'!D:D)</f>
        <v>Paid</v>
      </c>
      <c r="C209" s="353" t="str">
        <f>_xlfn.XLOOKUP(E209,'channel Mapping'!B:B,'channel Mapping'!C:C)</f>
        <v>Editorial</v>
      </c>
      <c r="D209" s="170" t="s">
        <v>828</v>
      </c>
      <c r="E209" s="170" t="s">
        <v>829</v>
      </c>
      <c r="F209" s="19">
        <v>0</v>
      </c>
      <c r="G209" s="19">
        <v>0</v>
      </c>
      <c r="H209" s="19">
        <v>0</v>
      </c>
      <c r="I209" s="19">
        <v>6</v>
      </c>
      <c r="J209" s="19">
        <v>0</v>
      </c>
      <c r="K209" s="19">
        <v>0</v>
      </c>
    </row>
    <row r="210" spans="1:11" x14ac:dyDescent="0.3">
      <c r="A210" s="353">
        <v>45962</v>
      </c>
      <c r="B210" s="353" t="str">
        <f>_xlfn.XLOOKUP(E210,'channel Mapping'!B:B,'channel Mapping'!D:D)</f>
        <v>Paid</v>
      </c>
      <c r="C210" s="353" t="str">
        <f>_xlfn.XLOOKUP(E210,'channel Mapping'!B:B,'channel Mapping'!C:C)</f>
        <v>Display CPC</v>
      </c>
      <c r="D210" s="170" t="s">
        <v>823</v>
      </c>
      <c r="E210" s="170" t="s">
        <v>824</v>
      </c>
      <c r="F210" s="19">
        <v>0</v>
      </c>
      <c r="G210" s="19">
        <v>0</v>
      </c>
      <c r="H210" s="19">
        <v>0</v>
      </c>
      <c r="I210" s="19">
        <v>4</v>
      </c>
      <c r="J210" s="19">
        <v>0</v>
      </c>
      <c r="K210" s="19">
        <v>0</v>
      </c>
    </row>
    <row r="211" spans="1:11" x14ac:dyDescent="0.3">
      <c r="A211" s="353">
        <v>45962</v>
      </c>
      <c r="B211" s="353" t="str">
        <f>_xlfn.XLOOKUP(E211,'channel Mapping'!B:B,'channel Mapping'!D:D)</f>
        <v>Paid</v>
      </c>
      <c r="C211" s="353" t="str">
        <f>_xlfn.XLOOKUP(E211,'channel Mapping'!B:B,'channel Mapping'!C:C)</f>
        <v>Brandzone</v>
      </c>
      <c r="D211" s="170" t="s">
        <v>717</v>
      </c>
      <c r="E211" s="170" t="s">
        <v>694</v>
      </c>
      <c r="F211" s="19">
        <v>14</v>
      </c>
      <c r="G211" s="19">
        <v>0</v>
      </c>
      <c r="H211" s="19">
        <v>0</v>
      </c>
      <c r="I211" s="19">
        <v>0</v>
      </c>
      <c r="J211" s="19">
        <v>0</v>
      </c>
      <c r="K211" s="19">
        <v>0</v>
      </c>
    </row>
    <row r="212" spans="1:11" ht="13.5" x14ac:dyDescent="0.3">
      <c r="A212" s="353">
        <v>45962</v>
      </c>
      <c r="B212" s="353" t="str">
        <f>_xlfn.XLOOKUP(E212,'channel Mapping'!B:B,'channel Mapping'!D:D)</f>
        <v>Organic</v>
      </c>
      <c r="C212" s="353" t="str">
        <f>_xlfn.XLOOKUP(E212,'channel Mapping'!B:B,'channel Mapping'!C:C)</f>
        <v>Others</v>
      </c>
      <c r="D212" s="170" t="s">
        <v>718</v>
      </c>
      <c r="E212" s="588" t="s">
        <v>826</v>
      </c>
      <c r="F212" s="19">
        <v>3</v>
      </c>
      <c r="G212" s="19">
        <v>0</v>
      </c>
      <c r="H212" s="19">
        <v>0</v>
      </c>
      <c r="I212" s="19">
        <v>0</v>
      </c>
      <c r="J212" s="19">
        <v>0</v>
      </c>
      <c r="K212" s="19">
        <v>0</v>
      </c>
    </row>
    <row r="213" spans="1:11" x14ac:dyDescent="0.3">
      <c r="A213" s="353">
        <v>45962</v>
      </c>
      <c r="B213" s="353" t="str">
        <f>_xlfn.XLOOKUP(E213,'channel Mapping'!B:B,'channel Mapping'!D:D)</f>
        <v>Organic</v>
      </c>
      <c r="C213" s="353" t="str">
        <f>_xlfn.XLOOKUP(E213,'channel Mapping'!B:B,'channel Mapping'!C:C)</f>
        <v>CRM</v>
      </c>
      <c r="D213" s="170" t="s">
        <v>457</v>
      </c>
      <c r="E213" s="170" t="s">
        <v>545</v>
      </c>
      <c r="F213" s="19">
        <v>249</v>
      </c>
      <c r="G213" s="19">
        <v>1</v>
      </c>
      <c r="H213" s="19">
        <v>4350</v>
      </c>
      <c r="I213" s="19">
        <v>518</v>
      </c>
      <c r="J213" s="19">
        <v>0</v>
      </c>
      <c r="K213" s="19">
        <v>0</v>
      </c>
    </row>
    <row r="214" spans="1:11" ht="14.5" x14ac:dyDescent="0.4">
      <c r="A214" s="353">
        <v>45962</v>
      </c>
      <c r="B214" s="353" t="str">
        <f>_xlfn.XLOOKUP(E214,'channel Mapping'!B:B,'channel Mapping'!D:D)</f>
        <v>Paid</v>
      </c>
      <c r="C214" s="353" t="str">
        <f>_xlfn.XLOOKUP(E214,'channel Mapping'!B:B,'channel Mapping'!C:C)</f>
        <v>Affiliation CPS</v>
      </c>
      <c r="D214" s="170" t="s">
        <v>529</v>
      </c>
      <c r="E214" s="170" t="s">
        <v>825</v>
      </c>
      <c r="F214" s="19">
        <v>0</v>
      </c>
      <c r="G214" s="19">
        <v>0</v>
      </c>
      <c r="H214" s="19">
        <v>0</v>
      </c>
      <c r="I214" s="19">
        <v>4</v>
      </c>
      <c r="J214" s="19">
        <v>0</v>
      </c>
      <c r="K214" s="19">
        <v>0</v>
      </c>
    </row>
    <row r="215" spans="1:11" x14ac:dyDescent="0.3">
      <c r="A215" s="353">
        <v>45962</v>
      </c>
      <c r="B215" s="353" t="str">
        <f>_xlfn.XLOOKUP(E215,'channel Mapping'!B:B,'channel Mapping'!D:D)</f>
        <v>Paid</v>
      </c>
      <c r="C215" s="353" t="str">
        <f>_xlfn.XLOOKUP(E215,'channel Mapping'!B:B,'channel Mapping'!C:C)</f>
        <v>Affiliation CPS</v>
      </c>
      <c r="D215" s="170" t="s">
        <v>579</v>
      </c>
      <c r="E215" s="170" t="s">
        <v>580</v>
      </c>
      <c r="F215" s="19">
        <v>0</v>
      </c>
      <c r="G215" s="19">
        <v>0</v>
      </c>
      <c r="H215" s="19">
        <v>0</v>
      </c>
      <c r="I215" s="19">
        <v>0</v>
      </c>
      <c r="J215" s="19">
        <v>0</v>
      </c>
      <c r="K215" s="19">
        <v>0</v>
      </c>
    </row>
    <row r="216" spans="1:11" x14ac:dyDescent="0.3">
      <c r="A216" s="353">
        <v>45962</v>
      </c>
      <c r="B216" s="353" t="str">
        <f>_xlfn.XLOOKUP(E216,'channel Mapping'!B:B,'channel Mapping'!D:D)</f>
        <v>Paid</v>
      </c>
      <c r="C216" s="353" t="str">
        <f>_xlfn.XLOOKUP(E216,'channel Mapping'!B:B,'channel Mapping'!C:C)</f>
        <v>Affiliation CPS</v>
      </c>
      <c r="D216" s="170" t="s">
        <v>528</v>
      </c>
      <c r="E216" s="170" t="s">
        <v>761</v>
      </c>
      <c r="F216" s="19">
        <v>0</v>
      </c>
      <c r="G216" s="19">
        <v>0</v>
      </c>
      <c r="H216" s="19">
        <v>0</v>
      </c>
      <c r="I216" s="19">
        <v>0</v>
      </c>
      <c r="J216" s="19">
        <v>0</v>
      </c>
      <c r="K216" s="19">
        <v>0</v>
      </c>
    </row>
    <row r="217" spans="1:11" x14ac:dyDescent="0.3">
      <c r="A217" s="353">
        <v>45962</v>
      </c>
      <c r="B217" s="353" t="str">
        <f>_xlfn.XLOOKUP(E217,'channel Mapping'!B:B,'channel Mapping'!D:D)</f>
        <v>FF</v>
      </c>
      <c r="C217" s="353" t="str">
        <f>_xlfn.XLOOKUP(E217,'channel Mapping'!B:B,'channel Mapping'!C:C)</f>
        <v>FF</v>
      </c>
      <c r="D217" s="170" t="s">
        <v>530</v>
      </c>
      <c r="E217" s="170" t="s">
        <v>542</v>
      </c>
      <c r="F217" s="19">
        <v>0</v>
      </c>
      <c r="G217" s="19">
        <v>0</v>
      </c>
      <c r="H217" s="19">
        <v>0</v>
      </c>
      <c r="I217" s="19">
        <v>0</v>
      </c>
      <c r="J217" s="19">
        <v>0</v>
      </c>
      <c r="K217" s="19">
        <v>0</v>
      </c>
    </row>
    <row r="218" spans="1:11" x14ac:dyDescent="0.3">
      <c r="A218" s="353">
        <v>45962</v>
      </c>
      <c r="B218" s="353" t="str">
        <f>_xlfn.XLOOKUP(E218,'channel Mapping'!B:B,'channel Mapping'!D:D)</f>
        <v>Free</v>
      </c>
      <c r="C218" s="353" t="str">
        <f>_xlfn.XLOOKUP(E218,'channel Mapping'!B:B,'channel Mapping'!C:C)</f>
        <v>Mingpin</v>
      </c>
      <c r="D218" s="170" t="s">
        <v>459</v>
      </c>
      <c r="E218" s="170" t="s">
        <v>712</v>
      </c>
      <c r="F218" s="19">
        <v>1913</v>
      </c>
      <c r="G218" s="19">
        <v>0</v>
      </c>
      <c r="H218" s="19">
        <v>0</v>
      </c>
      <c r="I218" s="19">
        <v>369</v>
      </c>
      <c r="J218" s="19">
        <v>0</v>
      </c>
      <c r="K218" s="19">
        <v>0</v>
      </c>
    </row>
    <row r="219" spans="1:11" x14ac:dyDescent="0.3">
      <c r="A219" s="353">
        <v>45962</v>
      </c>
      <c r="B219" s="353" t="str">
        <f>_xlfn.XLOOKUP(E219,'channel Mapping'!B:B,'channel Mapping'!D:D)</f>
        <v>Organic</v>
      </c>
      <c r="C219" s="353" t="str">
        <f>_xlfn.XLOOKUP(E219,'channel Mapping'!B:B,'channel Mapping'!C:C)</f>
        <v>Others</v>
      </c>
      <c r="D219" s="170" t="s">
        <v>713</v>
      </c>
      <c r="E219" s="170" t="s">
        <v>714</v>
      </c>
      <c r="F219" s="19">
        <v>11</v>
      </c>
      <c r="G219" s="19">
        <v>0</v>
      </c>
      <c r="H219" s="19">
        <v>0</v>
      </c>
      <c r="I219" s="19">
        <v>0</v>
      </c>
      <c r="J219" s="19">
        <v>0</v>
      </c>
      <c r="K219" s="19">
        <v>0</v>
      </c>
    </row>
    <row r="220" spans="1:11" x14ac:dyDescent="0.3">
      <c r="A220" s="353">
        <v>45962</v>
      </c>
      <c r="B220" s="353" t="str">
        <f>_xlfn.XLOOKUP(E220,'channel Mapping'!B:B,'channel Mapping'!D:D)</f>
        <v>Organic</v>
      </c>
      <c r="C220" s="353" t="str">
        <f>_xlfn.XLOOKUP(E220,'channel Mapping'!B:B,'channel Mapping'!C:C)</f>
        <v>Others</v>
      </c>
      <c r="D220" s="170" t="s">
        <v>454</v>
      </c>
      <c r="E220" s="170" t="s">
        <v>547</v>
      </c>
      <c r="F220" s="19">
        <v>190</v>
      </c>
      <c r="G220" s="19">
        <v>0</v>
      </c>
      <c r="H220" s="19">
        <v>0</v>
      </c>
      <c r="I220" s="19">
        <v>166</v>
      </c>
      <c r="J220" s="19">
        <v>0</v>
      </c>
      <c r="K220" s="19">
        <v>0</v>
      </c>
    </row>
    <row r="221" spans="1:11" ht="14.5" x14ac:dyDescent="0.4">
      <c r="A221" s="353">
        <v>45962</v>
      </c>
      <c r="B221" s="353" t="str">
        <f>_xlfn.XLOOKUP(E221,'channel Mapping'!B:B,'channel Mapping'!D:D)</f>
        <v>Paid</v>
      </c>
      <c r="C221" s="353" t="str">
        <f>_xlfn.XLOOKUP(E221,'channel Mapping'!B:B,'channel Mapping'!C:C)</f>
        <v>Affiliation CPS</v>
      </c>
      <c r="D221" s="170" t="s">
        <v>529</v>
      </c>
      <c r="E221" s="170" t="s">
        <v>825</v>
      </c>
      <c r="F221" s="19">
        <v>0</v>
      </c>
      <c r="G221" s="19">
        <v>0</v>
      </c>
      <c r="H221" s="19">
        <v>0</v>
      </c>
      <c r="I221" s="19">
        <v>69</v>
      </c>
      <c r="J221" s="19">
        <v>16</v>
      </c>
      <c r="K221" s="19">
        <v>78610</v>
      </c>
    </row>
    <row r="222" spans="1:11" x14ac:dyDescent="0.3">
      <c r="A222" s="353">
        <v>45962</v>
      </c>
      <c r="B222" s="353" t="str">
        <f>_xlfn.XLOOKUP(E222,'channel Mapping'!B:B,'channel Mapping'!D:D)</f>
        <v>Paid</v>
      </c>
      <c r="C222" s="353" t="str">
        <f>_xlfn.XLOOKUP(E222,'channel Mapping'!B:B,'channel Mapping'!C:C)</f>
        <v>Affiliation CPS</v>
      </c>
      <c r="D222" s="170" t="s">
        <v>715</v>
      </c>
      <c r="E222" s="170" t="s">
        <v>716</v>
      </c>
      <c r="F222" s="19">
        <v>0</v>
      </c>
      <c r="G222" s="19">
        <v>0</v>
      </c>
      <c r="H222" s="19">
        <v>0</v>
      </c>
      <c r="I222" s="19">
        <v>0</v>
      </c>
      <c r="J222" s="19">
        <v>0</v>
      </c>
      <c r="K222" s="19">
        <v>0</v>
      </c>
    </row>
    <row r="223" spans="1:11" x14ac:dyDescent="0.3">
      <c r="A223" s="353">
        <v>45962</v>
      </c>
      <c r="B223" s="353" t="str">
        <f>_xlfn.XLOOKUP(E223,'channel Mapping'!B:B,'channel Mapping'!D:D)</f>
        <v>FF</v>
      </c>
      <c r="C223" s="353" t="str">
        <f>_xlfn.XLOOKUP(E223,'channel Mapping'!B:B,'channel Mapping'!C:C)</f>
        <v>FF</v>
      </c>
      <c r="D223" s="170" t="s">
        <v>530</v>
      </c>
      <c r="E223" s="170" t="s">
        <v>542</v>
      </c>
      <c r="F223" s="19">
        <v>0</v>
      </c>
      <c r="G223" s="19">
        <v>0</v>
      </c>
      <c r="H223" s="19">
        <v>0</v>
      </c>
      <c r="I223" s="19">
        <v>0</v>
      </c>
      <c r="J223" s="19">
        <v>0</v>
      </c>
      <c r="K223" s="19">
        <v>0</v>
      </c>
    </row>
    <row r="224" spans="1:11" ht="13.5" x14ac:dyDescent="0.3">
      <c r="A224" s="353">
        <v>45962</v>
      </c>
      <c r="B224" s="353" t="str">
        <f>_xlfn.XLOOKUP(E224,'channel Mapping'!B:B,'channel Mapping'!D:D)</f>
        <v>Organic</v>
      </c>
      <c r="C224" s="353" t="str">
        <f>_xlfn.XLOOKUP(E224,'channel Mapping'!B:B,'channel Mapping'!C:C)</f>
        <v>Others</v>
      </c>
      <c r="D224" s="170" t="s">
        <v>718</v>
      </c>
      <c r="E224" s="588" t="s">
        <v>826</v>
      </c>
      <c r="F224" s="19">
        <v>4</v>
      </c>
      <c r="G224" s="19">
        <v>0</v>
      </c>
      <c r="H224" s="19">
        <v>0</v>
      </c>
      <c r="I224" s="19">
        <v>0</v>
      </c>
      <c r="J224" s="19">
        <v>0</v>
      </c>
      <c r="K224" s="19">
        <v>0</v>
      </c>
    </row>
    <row r="225" spans="1:11" x14ac:dyDescent="0.3">
      <c r="A225" s="353">
        <v>45962</v>
      </c>
      <c r="B225" s="353" t="str">
        <f>_xlfn.XLOOKUP(E225,'channel Mapping'!B:B,'channel Mapping'!D:D)</f>
        <v>Organic</v>
      </c>
      <c r="C225" s="353" t="str">
        <f>_xlfn.XLOOKUP(E225,'channel Mapping'!B:B,'channel Mapping'!C:C)</f>
        <v>Others</v>
      </c>
      <c r="D225" s="170" t="s">
        <v>461</v>
      </c>
      <c r="E225" s="170" t="s">
        <v>548</v>
      </c>
      <c r="F225" s="19">
        <v>75</v>
      </c>
      <c r="G225" s="19">
        <v>0</v>
      </c>
      <c r="H225" s="19">
        <v>0</v>
      </c>
      <c r="I225" s="19">
        <v>47</v>
      </c>
      <c r="J225" s="19">
        <v>0</v>
      </c>
      <c r="K225" s="19">
        <v>0</v>
      </c>
    </row>
    <row r="226" spans="1:11" x14ac:dyDescent="0.3">
      <c r="A226" s="353">
        <v>45962</v>
      </c>
      <c r="B226" s="353" t="str">
        <f>_xlfn.XLOOKUP(E226,'channel Mapping'!B:B,'channel Mapping'!D:D)</f>
        <v>FF</v>
      </c>
      <c r="C226" s="353" t="str">
        <f>_xlfn.XLOOKUP(E226,'channel Mapping'!B:B,'channel Mapping'!C:C)</f>
        <v>FF</v>
      </c>
      <c r="D226" s="170" t="s">
        <v>530</v>
      </c>
      <c r="E226" s="170" t="s">
        <v>542</v>
      </c>
      <c r="F226" s="19">
        <v>0</v>
      </c>
      <c r="G226" s="19">
        <v>0</v>
      </c>
      <c r="H226" s="19">
        <v>0</v>
      </c>
      <c r="I226" s="19">
        <v>0</v>
      </c>
      <c r="J226" s="19">
        <v>0</v>
      </c>
      <c r="K226" s="19">
        <v>0</v>
      </c>
    </row>
    <row r="227" spans="1:11" x14ac:dyDescent="0.3">
      <c r="A227" s="353">
        <v>45962</v>
      </c>
      <c r="B227" s="353" t="str">
        <f>_xlfn.XLOOKUP(E227,'channel Mapping'!B:B,'channel Mapping'!D:D)</f>
        <v>Organic</v>
      </c>
      <c r="C227" s="353" t="str">
        <f>_xlfn.XLOOKUP(E227,'channel Mapping'!B:B,'channel Mapping'!C:C)</f>
        <v>Brand Social</v>
      </c>
      <c r="D227" s="170" t="s">
        <v>525</v>
      </c>
      <c r="E227" s="170" t="s">
        <v>549</v>
      </c>
      <c r="F227" s="19">
        <v>12</v>
      </c>
      <c r="G227" s="19">
        <v>0</v>
      </c>
      <c r="H227" s="19">
        <v>0</v>
      </c>
      <c r="I227" s="19">
        <v>14</v>
      </c>
      <c r="J227" s="19">
        <v>0</v>
      </c>
      <c r="K227" s="19">
        <v>0</v>
      </c>
    </row>
    <row r="228" spans="1:11" x14ac:dyDescent="0.3">
      <c r="A228" s="353">
        <v>45962</v>
      </c>
      <c r="B228" s="353" t="str">
        <f>_xlfn.XLOOKUP(E228,'channel Mapping'!B:B,'channel Mapping'!D:D)</f>
        <v>Organic</v>
      </c>
      <c r="C228" s="353" t="str">
        <f>_xlfn.XLOOKUP(E228,'channel Mapping'!B:B,'channel Mapping'!C:C)</f>
        <v>CRM</v>
      </c>
      <c r="D228" s="170" t="s">
        <v>462</v>
      </c>
      <c r="E228" s="170" t="s">
        <v>550</v>
      </c>
      <c r="F228" s="19">
        <v>150</v>
      </c>
      <c r="G228" s="19">
        <v>0</v>
      </c>
      <c r="H228" s="19">
        <v>0</v>
      </c>
      <c r="I228" s="19">
        <v>35</v>
      </c>
      <c r="J228" s="19">
        <v>0</v>
      </c>
      <c r="K228" s="19">
        <v>0</v>
      </c>
    </row>
    <row r="229" spans="1:11" ht="14.5" x14ac:dyDescent="0.4">
      <c r="A229" s="353">
        <v>45962</v>
      </c>
      <c r="B229" s="353" t="str">
        <f>_xlfn.XLOOKUP(E229,'channel Mapping'!B:B,'channel Mapping'!D:D)</f>
        <v>Paid</v>
      </c>
      <c r="C229" s="353" t="str">
        <f>_xlfn.XLOOKUP(E229,'channel Mapping'!B:B,'channel Mapping'!C:C)</f>
        <v>Affiliation CPS</v>
      </c>
      <c r="D229" s="170" t="s">
        <v>529</v>
      </c>
      <c r="E229" s="170" t="s">
        <v>825</v>
      </c>
      <c r="F229" s="19">
        <v>0</v>
      </c>
      <c r="G229" s="19">
        <v>0</v>
      </c>
      <c r="H229" s="19">
        <v>0</v>
      </c>
      <c r="I229" s="19">
        <v>1</v>
      </c>
      <c r="J229" s="19">
        <v>0</v>
      </c>
      <c r="K229" s="19">
        <v>0</v>
      </c>
    </row>
    <row r="230" spans="1:11" x14ac:dyDescent="0.3">
      <c r="A230" s="353">
        <v>45962</v>
      </c>
      <c r="B230" s="353" t="str">
        <f>_xlfn.XLOOKUP(E230,'channel Mapping'!B:B,'channel Mapping'!D:D)</f>
        <v>FF</v>
      </c>
      <c r="C230" s="353" t="str">
        <f>_xlfn.XLOOKUP(E230,'channel Mapping'!B:B,'channel Mapping'!C:C)</f>
        <v>FF</v>
      </c>
      <c r="D230" s="170" t="s">
        <v>530</v>
      </c>
      <c r="E230" s="170" t="s">
        <v>542</v>
      </c>
      <c r="F230" s="19">
        <v>0</v>
      </c>
      <c r="G230" s="19">
        <v>0</v>
      </c>
      <c r="H230" s="19">
        <v>0</v>
      </c>
      <c r="I230" s="19">
        <v>0</v>
      </c>
      <c r="J230" s="19">
        <v>0</v>
      </c>
      <c r="K230" s="19">
        <v>0</v>
      </c>
    </row>
    <row r="231" spans="1:11" x14ac:dyDescent="0.3">
      <c r="A231" s="353">
        <v>45962</v>
      </c>
      <c r="B231" s="353" t="str">
        <f>_xlfn.XLOOKUP(E231,'channel Mapping'!B:B,'channel Mapping'!D:D)</f>
        <v>Paid</v>
      </c>
      <c r="C231" s="353" t="str">
        <f>_xlfn.XLOOKUP(E231,'channel Mapping'!B:B,'channel Mapping'!C:C)</f>
        <v>Display CPC</v>
      </c>
      <c r="D231" s="170" t="s">
        <v>524</v>
      </c>
      <c r="E231" s="170" t="s">
        <v>619</v>
      </c>
      <c r="F231" s="19">
        <v>0</v>
      </c>
      <c r="G231" s="19">
        <v>0</v>
      </c>
      <c r="H231" s="19">
        <v>0</v>
      </c>
      <c r="I231" s="19">
        <v>0</v>
      </c>
      <c r="J231" s="19">
        <v>0</v>
      </c>
      <c r="K231" s="19">
        <v>0</v>
      </c>
    </row>
    <row r="232" spans="1:11" x14ac:dyDescent="0.3">
      <c r="A232" s="353">
        <v>45962</v>
      </c>
      <c r="B232" s="353" t="str">
        <f>_xlfn.XLOOKUP(E232,'channel Mapping'!B:B,'channel Mapping'!D:D)</f>
        <v>Paid</v>
      </c>
      <c r="C232" s="353" t="str">
        <f>_xlfn.XLOOKUP(E232,'channel Mapping'!B:B,'channel Mapping'!C:C)</f>
        <v>Display CPC</v>
      </c>
      <c r="D232" s="170" t="s">
        <v>524</v>
      </c>
      <c r="E232" s="170" t="s">
        <v>539</v>
      </c>
      <c r="F232" s="19">
        <v>0</v>
      </c>
      <c r="G232" s="19">
        <v>0</v>
      </c>
      <c r="H232" s="19">
        <v>0</v>
      </c>
      <c r="I232" s="19">
        <v>0</v>
      </c>
      <c r="J232" s="19">
        <v>0</v>
      </c>
      <c r="K232" s="19">
        <v>0</v>
      </c>
    </row>
    <row r="233" spans="1:11" x14ac:dyDescent="0.3">
      <c r="A233" s="353">
        <v>45962</v>
      </c>
      <c r="B233" s="353" t="str">
        <f>_xlfn.XLOOKUP(E233,'channel Mapping'!B:B,'channel Mapping'!D:D)</f>
        <v>Paid</v>
      </c>
      <c r="C233" s="353" t="str">
        <f>_xlfn.XLOOKUP(E233,'channel Mapping'!B:B,'channel Mapping'!C:C)</f>
        <v>Editorial</v>
      </c>
      <c r="D233" s="170" t="s">
        <v>864</v>
      </c>
      <c r="E233" s="170" t="s">
        <v>829</v>
      </c>
      <c r="F233" s="19">
        <v>0</v>
      </c>
      <c r="G233" s="19">
        <v>0</v>
      </c>
      <c r="H233" s="19">
        <v>0</v>
      </c>
      <c r="I233" s="19">
        <v>539</v>
      </c>
      <c r="J233" s="19">
        <v>0</v>
      </c>
      <c r="K233" s="19">
        <v>0</v>
      </c>
    </row>
    <row r="234" spans="1:11" x14ac:dyDescent="0.3">
      <c r="A234" s="353">
        <v>45992</v>
      </c>
      <c r="B234" s="353" t="str">
        <f>_xlfn.XLOOKUP(E234,'channel Mapping'!B:B,'channel Mapping'!D:D)</f>
        <v>Organic</v>
      </c>
      <c r="C234" s="353" t="str">
        <f>_xlfn.XLOOKUP(E234,'channel Mapping'!B:B,'channel Mapping'!C:C)</f>
        <v>Brand Search</v>
      </c>
      <c r="D234" s="170" t="s">
        <v>455</v>
      </c>
      <c r="E234" s="170" t="s">
        <v>540</v>
      </c>
      <c r="F234" s="19">
        <v>1347</v>
      </c>
      <c r="G234" s="19">
        <v>0</v>
      </c>
      <c r="H234" s="19">
        <v>0</v>
      </c>
      <c r="I234" s="19">
        <v>1278</v>
      </c>
      <c r="J234" s="19">
        <v>0</v>
      </c>
      <c r="K234" s="19">
        <v>0</v>
      </c>
    </row>
    <row r="235" spans="1:11" ht="14.5" x14ac:dyDescent="0.4">
      <c r="A235" s="353">
        <v>45992</v>
      </c>
      <c r="B235" s="353" t="str">
        <f>_xlfn.XLOOKUP(E235,'channel Mapping'!B:B,'channel Mapping'!D:D)</f>
        <v>Paid</v>
      </c>
      <c r="C235" s="353" t="str">
        <f>_xlfn.XLOOKUP(E235,'channel Mapping'!B:B,'channel Mapping'!C:C)</f>
        <v>Affiliation CPS</v>
      </c>
      <c r="D235" s="170" t="s">
        <v>529</v>
      </c>
      <c r="E235" s="170" t="s">
        <v>913</v>
      </c>
      <c r="F235" s="19">
        <v>200</v>
      </c>
      <c r="G235" s="19">
        <v>3</v>
      </c>
      <c r="H235" s="19">
        <v>24785</v>
      </c>
      <c r="I235" s="19">
        <v>0</v>
      </c>
      <c r="J235" s="19">
        <v>0</v>
      </c>
      <c r="K235" s="19">
        <v>0</v>
      </c>
    </row>
    <row r="236" spans="1:11" x14ac:dyDescent="0.3">
      <c r="A236" s="353">
        <v>45992</v>
      </c>
      <c r="B236" s="353" t="str">
        <f>_xlfn.XLOOKUP(E236,'channel Mapping'!B:B,'channel Mapping'!D:D)</f>
        <v>Paid</v>
      </c>
      <c r="C236" s="353" t="str">
        <f>_xlfn.XLOOKUP(E236,'channel Mapping'!B:B,'channel Mapping'!C:C)</f>
        <v>Affiliation CPS</v>
      </c>
      <c r="D236" s="170" t="s">
        <v>579</v>
      </c>
      <c r="E236" s="170" t="s">
        <v>580</v>
      </c>
      <c r="F236" s="19">
        <v>0</v>
      </c>
      <c r="G236" s="19">
        <v>0</v>
      </c>
      <c r="H236" s="19">
        <v>0</v>
      </c>
      <c r="I236" s="19">
        <v>0</v>
      </c>
      <c r="J236" s="19">
        <v>0</v>
      </c>
      <c r="K236" s="19">
        <v>0</v>
      </c>
    </row>
    <row r="237" spans="1:11" ht="14.5" x14ac:dyDescent="0.4">
      <c r="A237" s="353">
        <v>45992</v>
      </c>
      <c r="B237" s="353" t="str">
        <f>_xlfn.XLOOKUP(E237,'channel Mapping'!B:B,'channel Mapping'!D:D)</f>
        <v>Paid</v>
      </c>
      <c r="C237" s="353" t="str">
        <f>_xlfn.XLOOKUP(E237,'channel Mapping'!B:B,'channel Mapping'!C:C)</f>
        <v>Affiliation CPS</v>
      </c>
      <c r="D237" s="170" t="s">
        <v>528</v>
      </c>
      <c r="E237" s="358" t="s">
        <v>914</v>
      </c>
      <c r="F237" s="19">
        <v>0</v>
      </c>
      <c r="G237" s="19">
        <v>0</v>
      </c>
      <c r="H237" s="19">
        <v>0</v>
      </c>
      <c r="I237" s="19">
        <v>0</v>
      </c>
      <c r="J237" s="19">
        <v>0</v>
      </c>
      <c r="K237" s="19">
        <v>0</v>
      </c>
    </row>
    <row r="238" spans="1:11" x14ac:dyDescent="0.3">
      <c r="A238" s="353">
        <v>45992</v>
      </c>
      <c r="B238" s="353" t="str">
        <f>_xlfn.XLOOKUP(E238,'channel Mapping'!B:B,'channel Mapping'!D:D)</f>
        <v>FF</v>
      </c>
      <c r="C238" s="353" t="str">
        <f>_xlfn.XLOOKUP(E238,'channel Mapping'!B:B,'channel Mapping'!C:C)</f>
        <v>FF</v>
      </c>
      <c r="D238" s="170" t="s">
        <v>530</v>
      </c>
      <c r="E238" s="170" t="s">
        <v>542</v>
      </c>
      <c r="F238" s="19">
        <v>35</v>
      </c>
      <c r="G238" s="19">
        <v>2</v>
      </c>
      <c r="H238" s="19">
        <v>3290</v>
      </c>
      <c r="I238" s="19">
        <v>75</v>
      </c>
      <c r="J238" s="19">
        <v>1</v>
      </c>
      <c r="K238" s="19">
        <v>2539</v>
      </c>
    </row>
    <row r="239" spans="1:11" x14ac:dyDescent="0.3">
      <c r="A239" s="353">
        <v>45992</v>
      </c>
      <c r="B239" s="353" t="str">
        <f>_xlfn.XLOOKUP(E239,'channel Mapping'!B:B,'channel Mapping'!D:D)</f>
        <v>Organic</v>
      </c>
      <c r="C239" s="353" t="str">
        <f>_xlfn.XLOOKUP(E239,'channel Mapping'!B:B,'channel Mapping'!C:C)</f>
        <v>Quick_Entry</v>
      </c>
      <c r="D239" s="170" t="s">
        <v>456</v>
      </c>
      <c r="E239" s="170" t="s">
        <v>541</v>
      </c>
      <c r="F239" s="19">
        <v>1763</v>
      </c>
      <c r="G239" s="19">
        <v>7</v>
      </c>
      <c r="H239" s="19">
        <v>131745</v>
      </c>
      <c r="I239" s="19">
        <v>1694</v>
      </c>
      <c r="J239" s="19">
        <v>6</v>
      </c>
      <c r="K239" s="19">
        <v>43545</v>
      </c>
    </row>
    <row r="240" spans="1:11" x14ac:dyDescent="0.3">
      <c r="A240" s="353">
        <v>45992</v>
      </c>
      <c r="B240" s="353" t="str">
        <f>_xlfn.XLOOKUP(E240,'channel Mapping'!B:B,'channel Mapping'!D:D)</f>
        <v>Paid</v>
      </c>
      <c r="C240" s="353" t="str">
        <f>_xlfn.XLOOKUP(E240,'channel Mapping'!B:B,'channel Mapping'!C:C)</f>
        <v>Affiliation CPS</v>
      </c>
      <c r="D240" s="170" t="s">
        <v>529</v>
      </c>
      <c r="E240" s="170" t="s">
        <v>765</v>
      </c>
      <c r="F240" s="19">
        <v>8</v>
      </c>
      <c r="G240" s="19">
        <v>3</v>
      </c>
      <c r="H240" s="19">
        <v>13440</v>
      </c>
      <c r="I240" s="19">
        <v>0</v>
      </c>
      <c r="J240" s="19">
        <v>0</v>
      </c>
      <c r="K240" s="19">
        <v>0</v>
      </c>
    </row>
    <row r="241" spans="1:11" x14ac:dyDescent="0.3">
      <c r="A241" s="353">
        <v>45992</v>
      </c>
      <c r="B241" s="353" t="str">
        <f>_xlfn.XLOOKUP(E241,'channel Mapping'!B:B,'channel Mapping'!D:D)</f>
        <v>Paid</v>
      </c>
      <c r="C241" s="353" t="str">
        <f>_xlfn.XLOOKUP(E241,'channel Mapping'!B:B,'channel Mapping'!C:C)</f>
        <v>Affiliation CPS</v>
      </c>
      <c r="D241" s="170" t="s">
        <v>579</v>
      </c>
      <c r="E241" s="170" t="s">
        <v>580</v>
      </c>
      <c r="F241" s="19">
        <v>0</v>
      </c>
      <c r="G241" s="19">
        <v>0</v>
      </c>
      <c r="H241" s="19">
        <v>0</v>
      </c>
      <c r="I241" s="19">
        <v>0</v>
      </c>
      <c r="J241" s="19">
        <v>0</v>
      </c>
      <c r="K241" s="19">
        <v>0</v>
      </c>
    </row>
    <row r="242" spans="1:11" x14ac:dyDescent="0.3">
      <c r="A242" s="353">
        <v>45992</v>
      </c>
      <c r="B242" s="353" t="str">
        <f>_xlfn.XLOOKUP(E242,'channel Mapping'!B:B,'channel Mapping'!D:D)</f>
        <v>FF</v>
      </c>
      <c r="C242" s="353" t="str">
        <f>_xlfn.XLOOKUP(E242,'channel Mapping'!B:B,'channel Mapping'!C:C)</f>
        <v>FF</v>
      </c>
      <c r="D242" s="170" t="s">
        <v>530</v>
      </c>
      <c r="E242" s="170" t="s">
        <v>542</v>
      </c>
      <c r="F242" s="19">
        <v>630</v>
      </c>
      <c r="G242" s="19">
        <v>107</v>
      </c>
      <c r="H242" s="19">
        <v>179985</v>
      </c>
      <c r="I242" s="19">
        <v>700</v>
      </c>
      <c r="J242" s="19">
        <v>84</v>
      </c>
      <c r="K242" s="19">
        <v>137600</v>
      </c>
    </row>
    <row r="243" spans="1:11" x14ac:dyDescent="0.3">
      <c r="A243" s="353">
        <v>45992</v>
      </c>
      <c r="B243" s="353" t="str">
        <f>_xlfn.XLOOKUP(E243,'channel Mapping'!B:B,'channel Mapping'!D:D)</f>
        <v>Organic</v>
      </c>
      <c r="C243" s="353" t="str">
        <f>_xlfn.XLOOKUP(E243,'channel Mapping'!B:B,'channel Mapping'!C:C)</f>
        <v>Brand Social</v>
      </c>
      <c r="D243" s="170" t="s">
        <v>458</v>
      </c>
      <c r="E243" s="170" t="s">
        <v>543</v>
      </c>
      <c r="F243" s="19">
        <v>819</v>
      </c>
      <c r="G243" s="19">
        <v>0</v>
      </c>
      <c r="H243" s="19">
        <v>0</v>
      </c>
      <c r="I243" s="19">
        <v>989</v>
      </c>
      <c r="J243" s="19">
        <v>2</v>
      </c>
      <c r="K243" s="19">
        <v>4790</v>
      </c>
    </row>
    <row r="244" spans="1:11" x14ac:dyDescent="0.3">
      <c r="A244" s="353">
        <v>45992</v>
      </c>
      <c r="B244" s="353" t="str">
        <f>_xlfn.XLOOKUP(E244,'channel Mapping'!B:B,'channel Mapping'!D:D)</f>
        <v>Paid</v>
      </c>
      <c r="C244" s="353" t="str">
        <f>_xlfn.XLOOKUP(E244,'channel Mapping'!B:B,'channel Mapping'!C:C)</f>
        <v>Editorial</v>
      </c>
      <c r="D244" s="170" t="s">
        <v>912</v>
      </c>
      <c r="E244" s="170" t="s">
        <v>829</v>
      </c>
      <c r="F244" s="19">
        <v>0</v>
      </c>
      <c r="G244" s="19">
        <v>0</v>
      </c>
      <c r="H244" s="19">
        <v>0</v>
      </c>
      <c r="I244" s="19">
        <v>0</v>
      </c>
      <c r="J244" s="19">
        <v>0</v>
      </c>
      <c r="K244" s="19">
        <v>0</v>
      </c>
    </row>
    <row r="245" spans="1:11" x14ac:dyDescent="0.3">
      <c r="A245" s="353">
        <v>45992</v>
      </c>
      <c r="B245" s="353" t="str">
        <f>_xlfn.XLOOKUP(E245,'channel Mapping'!B:B,'channel Mapping'!D:D)</f>
        <v>Organic</v>
      </c>
      <c r="C245" s="353" t="str">
        <f>_xlfn.XLOOKUP(E245,'channel Mapping'!B:B,'channel Mapping'!C:C)</f>
        <v>Others</v>
      </c>
      <c r="D245" s="170" t="s">
        <v>460</v>
      </c>
      <c r="E245" s="170" t="s">
        <v>652</v>
      </c>
      <c r="F245" s="19">
        <v>22</v>
      </c>
      <c r="G245" s="19">
        <v>0</v>
      </c>
      <c r="H245" s="19">
        <v>0</v>
      </c>
      <c r="I245" s="19">
        <v>27</v>
      </c>
      <c r="J245" s="19">
        <v>0</v>
      </c>
      <c r="K245" s="19">
        <v>0</v>
      </c>
    </row>
    <row r="246" spans="1:11" x14ac:dyDescent="0.3">
      <c r="A246" s="353">
        <v>45992</v>
      </c>
      <c r="B246" s="353" t="str">
        <f>_xlfn.XLOOKUP(E246,'channel Mapping'!B:B,'channel Mapping'!D:D)</f>
        <v>Organic</v>
      </c>
      <c r="C246" s="353" t="str">
        <f>_xlfn.XLOOKUP(E246,'channel Mapping'!B:B,'channel Mapping'!C:C)</f>
        <v>CRM</v>
      </c>
      <c r="D246" s="170" t="s">
        <v>532</v>
      </c>
      <c r="E246" s="170" t="s">
        <v>532</v>
      </c>
      <c r="F246" s="19">
        <v>130</v>
      </c>
      <c r="G246" s="19">
        <v>1</v>
      </c>
      <c r="H246" s="19">
        <v>72</v>
      </c>
      <c r="I246" s="19">
        <v>315</v>
      </c>
      <c r="J246" s="19">
        <v>3</v>
      </c>
      <c r="K246" s="19">
        <v>11785</v>
      </c>
    </row>
    <row r="247" spans="1:11" x14ac:dyDescent="0.3">
      <c r="A247" s="353">
        <v>45992</v>
      </c>
      <c r="B247" s="353" t="str">
        <f>_xlfn.XLOOKUP(E247,'channel Mapping'!B:B,'channel Mapping'!D:D)</f>
        <v>Paid</v>
      </c>
      <c r="C247" s="353" t="str">
        <f>_xlfn.XLOOKUP(E247,'channel Mapping'!B:B,'channel Mapping'!C:C)</f>
        <v>Affiliation CPS</v>
      </c>
      <c r="D247" s="170" t="s">
        <v>715</v>
      </c>
      <c r="E247" s="170" t="s">
        <v>716</v>
      </c>
      <c r="F247" s="19">
        <v>0</v>
      </c>
      <c r="G247" s="19">
        <v>0</v>
      </c>
      <c r="H247" s="19">
        <v>0</v>
      </c>
      <c r="I247" s="19">
        <v>0</v>
      </c>
      <c r="J247" s="19">
        <v>0</v>
      </c>
      <c r="K247" s="19">
        <v>0</v>
      </c>
    </row>
    <row r="248" spans="1:11" x14ac:dyDescent="0.3">
      <c r="A248" s="353">
        <v>45992</v>
      </c>
      <c r="B248" s="353" t="str">
        <f>_xlfn.XLOOKUP(E248,'channel Mapping'!B:B,'channel Mapping'!D:D)</f>
        <v>Paid</v>
      </c>
      <c r="C248" s="353" t="str">
        <f>_xlfn.XLOOKUP(E248,'channel Mapping'!B:B,'channel Mapping'!C:C)</f>
        <v>Editorial</v>
      </c>
      <c r="D248" s="170" t="s">
        <v>912</v>
      </c>
      <c r="E248" s="170" t="s">
        <v>829</v>
      </c>
      <c r="F248" s="19">
        <v>0</v>
      </c>
      <c r="G248" s="19">
        <v>0</v>
      </c>
      <c r="H248" s="19">
        <v>0</v>
      </c>
      <c r="I248" s="19">
        <v>0</v>
      </c>
      <c r="J248" s="19">
        <v>0</v>
      </c>
      <c r="K248" s="19">
        <v>0</v>
      </c>
    </row>
    <row r="249" spans="1:11" x14ac:dyDescent="0.3">
      <c r="A249" s="353">
        <v>45992</v>
      </c>
      <c r="B249" s="353" t="str">
        <f>_xlfn.XLOOKUP(E249,'channel Mapping'!B:B,'channel Mapping'!D:D)</f>
        <v>Paid</v>
      </c>
      <c r="C249" s="353" t="str">
        <f>_xlfn.XLOOKUP(E249,'channel Mapping'!B:B,'channel Mapping'!C:C)</f>
        <v>Display CPC</v>
      </c>
      <c r="D249" s="170" t="s">
        <v>823</v>
      </c>
      <c r="E249" s="170" t="s">
        <v>824</v>
      </c>
      <c r="F249" s="19">
        <v>0</v>
      </c>
      <c r="G249" s="19">
        <v>0</v>
      </c>
      <c r="H249" s="19">
        <v>0</v>
      </c>
      <c r="I249" s="19">
        <v>72</v>
      </c>
      <c r="J249" s="19">
        <v>0</v>
      </c>
      <c r="K249" s="19">
        <v>0</v>
      </c>
    </row>
    <row r="250" spans="1:11" x14ac:dyDescent="0.3">
      <c r="A250" s="353">
        <v>45992</v>
      </c>
      <c r="B250" s="353" t="str">
        <f>_xlfn.XLOOKUP(E250,'channel Mapping'!B:B,'channel Mapping'!D:D)</f>
        <v>Paid</v>
      </c>
      <c r="C250" s="353" t="str">
        <f>_xlfn.XLOOKUP(E250,'channel Mapping'!B:B,'channel Mapping'!C:C)</f>
        <v>Brandzone</v>
      </c>
      <c r="D250" s="170" t="s">
        <v>717</v>
      </c>
      <c r="E250" s="170" t="s">
        <v>694</v>
      </c>
      <c r="F250" s="19">
        <v>27</v>
      </c>
      <c r="G250" s="19">
        <v>0</v>
      </c>
      <c r="H250" s="19">
        <v>0</v>
      </c>
      <c r="I250" s="19">
        <v>0</v>
      </c>
      <c r="J250" s="19">
        <v>0</v>
      </c>
      <c r="K250" s="19">
        <v>0</v>
      </c>
    </row>
    <row r="251" spans="1:11" x14ac:dyDescent="0.3">
      <c r="A251" s="353">
        <v>45992</v>
      </c>
      <c r="B251" s="353" t="str">
        <f>_xlfn.XLOOKUP(E251,'channel Mapping'!B:B,'channel Mapping'!D:D)</f>
        <v>Organic</v>
      </c>
      <c r="C251" s="353" t="str">
        <f>_xlfn.XLOOKUP(E251,'channel Mapping'!B:B,'channel Mapping'!C:C)</f>
        <v>Others</v>
      </c>
      <c r="D251" s="170" t="s">
        <v>718</v>
      </c>
      <c r="E251" s="170" t="s">
        <v>740</v>
      </c>
      <c r="F251" s="19">
        <v>5</v>
      </c>
      <c r="G251" s="19">
        <v>0</v>
      </c>
      <c r="H251" s="19">
        <v>0</v>
      </c>
      <c r="I251" s="19">
        <v>0</v>
      </c>
      <c r="J251" s="19">
        <v>0</v>
      </c>
      <c r="K251" s="19">
        <v>0</v>
      </c>
    </row>
    <row r="252" spans="1:11" x14ac:dyDescent="0.3">
      <c r="A252" s="353">
        <v>45992</v>
      </c>
      <c r="B252" s="353" t="str">
        <f>_xlfn.XLOOKUP(E252,'channel Mapping'!B:B,'channel Mapping'!D:D)</f>
        <v>FF</v>
      </c>
      <c r="C252" s="353" t="str">
        <f>_xlfn.XLOOKUP(E252,'channel Mapping'!B:B,'channel Mapping'!C:C)</f>
        <v>FF</v>
      </c>
      <c r="D252" s="170" t="s">
        <v>530</v>
      </c>
      <c r="E252" s="170" t="s">
        <v>542</v>
      </c>
      <c r="F252" s="19">
        <v>182</v>
      </c>
      <c r="G252" s="19">
        <v>22</v>
      </c>
      <c r="H252" s="19">
        <v>30252</v>
      </c>
      <c r="I252" s="19">
        <v>240</v>
      </c>
      <c r="J252" s="19">
        <v>21</v>
      </c>
      <c r="K252" s="19">
        <v>28412</v>
      </c>
    </row>
    <row r="253" spans="1:11" x14ac:dyDescent="0.3">
      <c r="A253" s="353">
        <v>45992</v>
      </c>
      <c r="B253" s="353" t="str">
        <f>_xlfn.XLOOKUP(E253,'channel Mapping'!B:B,'channel Mapping'!D:D)</f>
        <v>Organic</v>
      </c>
      <c r="C253" s="353" t="str">
        <f>_xlfn.XLOOKUP(E253,'channel Mapping'!B:B,'channel Mapping'!C:C)</f>
        <v>CRM</v>
      </c>
      <c r="D253" s="170" t="s">
        <v>457</v>
      </c>
      <c r="E253" s="170" t="s">
        <v>545</v>
      </c>
      <c r="F253" s="19">
        <v>262</v>
      </c>
      <c r="G253" s="19">
        <v>3</v>
      </c>
      <c r="H253" s="19">
        <v>14775</v>
      </c>
      <c r="I253" s="19">
        <v>206</v>
      </c>
      <c r="J253" s="19">
        <v>1</v>
      </c>
      <c r="K253" s="19">
        <v>2395</v>
      </c>
    </row>
    <row r="254" spans="1:11" x14ac:dyDescent="0.3">
      <c r="A254" s="353">
        <v>45992</v>
      </c>
      <c r="B254" s="353" t="str">
        <f>_xlfn.XLOOKUP(E254,'channel Mapping'!B:B,'channel Mapping'!D:D)</f>
        <v>Paid</v>
      </c>
      <c r="C254" s="353" t="str">
        <f>_xlfn.XLOOKUP(E254,'channel Mapping'!B:B,'channel Mapping'!C:C)</f>
        <v>Affiliation CPS</v>
      </c>
      <c r="D254" s="170" t="s">
        <v>529</v>
      </c>
      <c r="E254" s="170" t="s">
        <v>765</v>
      </c>
      <c r="F254" s="19">
        <v>100</v>
      </c>
      <c r="G254" s="19">
        <v>0</v>
      </c>
      <c r="H254" s="19">
        <v>0</v>
      </c>
      <c r="I254" s="19">
        <v>0</v>
      </c>
      <c r="J254" s="19">
        <v>0</v>
      </c>
      <c r="K254" s="19">
        <v>0</v>
      </c>
    </row>
    <row r="255" spans="1:11" x14ac:dyDescent="0.3">
      <c r="A255" s="353">
        <v>45992</v>
      </c>
      <c r="B255" s="353" t="str">
        <f>_xlfn.XLOOKUP(E255,'channel Mapping'!B:B,'channel Mapping'!D:D)</f>
        <v>Paid</v>
      </c>
      <c r="C255" s="353" t="str">
        <f>_xlfn.XLOOKUP(E255,'channel Mapping'!B:B,'channel Mapping'!C:C)</f>
        <v>Affiliation CPS</v>
      </c>
      <c r="D255" s="170" t="s">
        <v>579</v>
      </c>
      <c r="E255" s="170" t="s">
        <v>580</v>
      </c>
      <c r="F255" s="19">
        <v>0</v>
      </c>
      <c r="G255" s="19">
        <v>0</v>
      </c>
      <c r="H255" s="19">
        <v>0</v>
      </c>
      <c r="I255" s="19">
        <v>0</v>
      </c>
      <c r="J255" s="19">
        <v>0</v>
      </c>
      <c r="K255" s="19">
        <v>0</v>
      </c>
    </row>
    <row r="256" spans="1:11" x14ac:dyDescent="0.3">
      <c r="A256" s="353">
        <v>45992</v>
      </c>
      <c r="B256" s="353" t="str">
        <f>_xlfn.XLOOKUP(E256,'channel Mapping'!B:B,'channel Mapping'!D:D)</f>
        <v>Paid</v>
      </c>
      <c r="C256" s="353" t="str">
        <f>_xlfn.XLOOKUP(E256,'channel Mapping'!B:B,'channel Mapping'!C:C)</f>
        <v>Affiliation CPS</v>
      </c>
      <c r="D256" s="170" t="s">
        <v>528</v>
      </c>
      <c r="E256" s="170" t="s">
        <v>761</v>
      </c>
      <c r="F256" s="19">
        <v>0</v>
      </c>
      <c r="G256" s="19">
        <v>0</v>
      </c>
      <c r="H256" s="19">
        <v>0</v>
      </c>
      <c r="I256" s="19">
        <v>0</v>
      </c>
      <c r="J256" s="19">
        <v>0</v>
      </c>
      <c r="K256" s="19">
        <v>0</v>
      </c>
    </row>
    <row r="257" spans="1:11" x14ac:dyDescent="0.3">
      <c r="A257" s="353">
        <v>45992</v>
      </c>
      <c r="B257" s="353" t="str">
        <f>_xlfn.XLOOKUP(E257,'channel Mapping'!B:B,'channel Mapping'!D:D)</f>
        <v>FF</v>
      </c>
      <c r="C257" s="353" t="str">
        <f>_xlfn.XLOOKUP(E257,'channel Mapping'!B:B,'channel Mapping'!C:C)</f>
        <v>FF</v>
      </c>
      <c r="D257" s="170" t="s">
        <v>530</v>
      </c>
      <c r="E257" s="170" t="s">
        <v>542</v>
      </c>
      <c r="F257" s="19">
        <v>4570</v>
      </c>
      <c r="G257" s="19">
        <v>404</v>
      </c>
      <c r="H257" s="19">
        <v>689330</v>
      </c>
      <c r="I257" s="19">
        <v>5000</v>
      </c>
      <c r="J257" s="19">
        <v>407</v>
      </c>
      <c r="K257" s="19">
        <v>987991</v>
      </c>
    </row>
    <row r="258" spans="1:11" x14ac:dyDescent="0.3">
      <c r="A258" s="353">
        <v>45992</v>
      </c>
      <c r="B258" s="353" t="str">
        <f>_xlfn.XLOOKUP(E258,'channel Mapping'!B:B,'channel Mapping'!D:D)</f>
        <v>Free</v>
      </c>
      <c r="C258" s="353" t="str">
        <f>_xlfn.XLOOKUP(E258,'channel Mapping'!B:B,'channel Mapping'!C:C)</f>
        <v>Mingpin</v>
      </c>
      <c r="D258" s="170" t="s">
        <v>459</v>
      </c>
      <c r="E258" s="170" t="s">
        <v>712</v>
      </c>
      <c r="F258" s="19">
        <v>390</v>
      </c>
      <c r="G258" s="19">
        <v>0</v>
      </c>
      <c r="H258" s="19">
        <v>0</v>
      </c>
      <c r="I258" s="19">
        <v>341</v>
      </c>
      <c r="J258" s="19">
        <v>0</v>
      </c>
      <c r="K258" s="19">
        <v>0</v>
      </c>
    </row>
    <row r="259" spans="1:11" x14ac:dyDescent="0.3">
      <c r="A259" s="353">
        <v>45992</v>
      </c>
      <c r="B259" s="353" t="str">
        <f>_xlfn.XLOOKUP(E259,'channel Mapping'!B:B,'channel Mapping'!D:D)</f>
        <v>Organic</v>
      </c>
      <c r="C259" s="353" t="str">
        <f>_xlfn.XLOOKUP(E259,'channel Mapping'!B:B,'channel Mapping'!C:C)</f>
        <v>Others</v>
      </c>
      <c r="D259" s="170" t="s">
        <v>713</v>
      </c>
      <c r="E259" s="170" t="s">
        <v>714</v>
      </c>
      <c r="F259" s="19">
        <v>2</v>
      </c>
      <c r="G259" s="19">
        <v>0</v>
      </c>
      <c r="H259" s="19">
        <v>0</v>
      </c>
      <c r="I259" s="19">
        <v>0</v>
      </c>
      <c r="J259" s="19">
        <v>0</v>
      </c>
      <c r="K259" s="19">
        <v>0</v>
      </c>
    </row>
    <row r="260" spans="1:11" x14ac:dyDescent="0.3">
      <c r="A260" s="353">
        <v>45992</v>
      </c>
      <c r="B260" s="353" t="str">
        <f>_xlfn.XLOOKUP(E260,'channel Mapping'!B:B,'channel Mapping'!D:D)</f>
        <v>Organic</v>
      </c>
      <c r="C260" s="353" t="str">
        <f>_xlfn.XLOOKUP(E260,'channel Mapping'!B:B,'channel Mapping'!C:C)</f>
        <v>Others</v>
      </c>
      <c r="D260" s="170" t="s">
        <v>454</v>
      </c>
      <c r="E260" s="170" t="s">
        <v>547</v>
      </c>
      <c r="F260" s="19">
        <v>161</v>
      </c>
      <c r="G260" s="19">
        <v>0</v>
      </c>
      <c r="H260" s="19">
        <v>0</v>
      </c>
      <c r="I260" s="19">
        <v>134</v>
      </c>
      <c r="J260" s="19">
        <v>0</v>
      </c>
      <c r="K260" s="19">
        <v>0</v>
      </c>
    </row>
    <row r="261" spans="1:11" x14ac:dyDescent="0.3">
      <c r="A261" s="353">
        <v>45992</v>
      </c>
      <c r="B261" s="353" t="str">
        <f>_xlfn.XLOOKUP(E261,'channel Mapping'!B:B,'channel Mapping'!D:D)</f>
        <v>Paid</v>
      </c>
      <c r="C261" s="353" t="str">
        <f>_xlfn.XLOOKUP(E261,'channel Mapping'!B:B,'channel Mapping'!C:C)</f>
        <v>Affiliation CPS</v>
      </c>
      <c r="D261" s="170" t="s">
        <v>529</v>
      </c>
      <c r="E261" s="170" t="s">
        <v>765</v>
      </c>
      <c r="F261" s="19">
        <v>27</v>
      </c>
      <c r="G261" s="19">
        <v>17</v>
      </c>
      <c r="H261" s="19">
        <v>126485</v>
      </c>
      <c r="I261" s="19">
        <v>0</v>
      </c>
      <c r="J261" s="19">
        <v>0</v>
      </c>
      <c r="K261" s="19">
        <v>0</v>
      </c>
    </row>
    <row r="262" spans="1:11" x14ac:dyDescent="0.3">
      <c r="A262" s="353">
        <v>45992</v>
      </c>
      <c r="B262" s="353" t="str">
        <f>_xlfn.XLOOKUP(E262,'channel Mapping'!B:B,'channel Mapping'!D:D)</f>
        <v>Paid</v>
      </c>
      <c r="C262" s="353" t="str">
        <f>_xlfn.XLOOKUP(E262,'channel Mapping'!B:B,'channel Mapping'!C:C)</f>
        <v>Affiliation CPS</v>
      </c>
      <c r="D262" s="170" t="s">
        <v>715</v>
      </c>
      <c r="E262" s="170" t="s">
        <v>716</v>
      </c>
      <c r="F262" s="19">
        <v>0</v>
      </c>
      <c r="G262" s="19">
        <v>0</v>
      </c>
      <c r="H262" s="19">
        <v>0</v>
      </c>
      <c r="I262" s="19">
        <v>0</v>
      </c>
      <c r="J262" s="19">
        <v>0</v>
      </c>
      <c r="K262" s="19">
        <v>0</v>
      </c>
    </row>
    <row r="263" spans="1:11" x14ac:dyDescent="0.3">
      <c r="A263" s="353">
        <v>45992</v>
      </c>
      <c r="B263" s="353" t="str">
        <f>_xlfn.XLOOKUP(E263,'channel Mapping'!B:B,'channel Mapping'!D:D)</f>
        <v>FF</v>
      </c>
      <c r="C263" s="353" t="str">
        <f>_xlfn.XLOOKUP(E263,'channel Mapping'!B:B,'channel Mapping'!C:C)</f>
        <v>FF</v>
      </c>
      <c r="D263" s="170" t="s">
        <v>530</v>
      </c>
      <c r="E263" s="170" t="s">
        <v>542</v>
      </c>
      <c r="F263" s="19">
        <v>350</v>
      </c>
      <c r="G263" s="19">
        <v>6</v>
      </c>
      <c r="H263" s="19">
        <v>11420</v>
      </c>
      <c r="I263" s="19">
        <v>600</v>
      </c>
      <c r="J263" s="19">
        <v>22</v>
      </c>
      <c r="K263" s="19">
        <v>26107</v>
      </c>
    </row>
    <row r="264" spans="1:11" x14ac:dyDescent="0.3">
      <c r="A264" s="353">
        <v>45992</v>
      </c>
      <c r="B264" s="353" t="str">
        <f>_xlfn.XLOOKUP(E264,'channel Mapping'!B:B,'channel Mapping'!D:D)</f>
        <v>Organic</v>
      </c>
      <c r="C264" s="353" t="str">
        <f>_xlfn.XLOOKUP(E264,'channel Mapping'!B:B,'channel Mapping'!C:C)</f>
        <v>Others</v>
      </c>
      <c r="D264" s="170" t="s">
        <v>718</v>
      </c>
      <c r="E264" s="170" t="s">
        <v>740</v>
      </c>
      <c r="F264" s="19">
        <v>5</v>
      </c>
      <c r="G264" s="19">
        <v>1</v>
      </c>
      <c r="H264" s="19">
        <v>3065</v>
      </c>
      <c r="I264" s="19">
        <v>0</v>
      </c>
      <c r="J264" s="19">
        <v>0</v>
      </c>
      <c r="K264" s="19">
        <v>0</v>
      </c>
    </row>
    <row r="265" spans="1:11" x14ac:dyDescent="0.3">
      <c r="A265" s="353">
        <v>45992</v>
      </c>
      <c r="B265" s="353" t="str">
        <f>_xlfn.XLOOKUP(E265,'channel Mapping'!B:B,'channel Mapping'!D:D)</f>
        <v>Organic</v>
      </c>
      <c r="C265" s="353" t="str">
        <f>_xlfn.XLOOKUP(E265,'channel Mapping'!B:B,'channel Mapping'!C:C)</f>
        <v>Others</v>
      </c>
      <c r="D265" s="170" t="s">
        <v>461</v>
      </c>
      <c r="E265" s="170" t="s">
        <v>548</v>
      </c>
      <c r="F265" s="19">
        <v>36</v>
      </c>
      <c r="G265" s="19">
        <v>0</v>
      </c>
      <c r="H265" s="19">
        <v>0</v>
      </c>
      <c r="I265" s="19">
        <v>30</v>
      </c>
      <c r="J265" s="19">
        <v>0</v>
      </c>
      <c r="K265" s="19">
        <v>0</v>
      </c>
    </row>
    <row r="266" spans="1:11" x14ac:dyDescent="0.3">
      <c r="A266" s="353">
        <v>45992</v>
      </c>
      <c r="B266" s="353" t="str">
        <f>_xlfn.XLOOKUP(E266,'channel Mapping'!B:B,'channel Mapping'!D:D)</f>
        <v>Paid</v>
      </c>
      <c r="C266" s="353" t="str">
        <f>_xlfn.XLOOKUP(E266,'channel Mapping'!B:B,'channel Mapping'!C:C)</f>
        <v>Editorial</v>
      </c>
      <c r="D266" s="170" t="s">
        <v>912</v>
      </c>
      <c r="E266" s="170" t="s">
        <v>829</v>
      </c>
      <c r="F266" s="19">
        <v>0</v>
      </c>
      <c r="G266" s="19">
        <v>0</v>
      </c>
      <c r="H266" s="19">
        <v>0</v>
      </c>
      <c r="I266" s="19">
        <v>0</v>
      </c>
      <c r="J266" s="19">
        <v>0</v>
      </c>
      <c r="K266" s="19">
        <v>0</v>
      </c>
    </row>
    <row r="267" spans="1:11" x14ac:dyDescent="0.3">
      <c r="A267" s="353">
        <v>45992</v>
      </c>
      <c r="B267" s="353" t="str">
        <f>_xlfn.XLOOKUP(E267,'channel Mapping'!B:B,'channel Mapping'!D:D)</f>
        <v>FF</v>
      </c>
      <c r="C267" s="353" t="str">
        <f>_xlfn.XLOOKUP(E267,'channel Mapping'!B:B,'channel Mapping'!C:C)</f>
        <v>FF</v>
      </c>
      <c r="D267" s="170" t="s">
        <v>530</v>
      </c>
      <c r="E267" s="170" t="s">
        <v>542</v>
      </c>
      <c r="F267" s="19">
        <v>850</v>
      </c>
      <c r="G267" s="19">
        <v>152</v>
      </c>
      <c r="H267" s="19">
        <v>209236</v>
      </c>
      <c r="I267" s="19">
        <v>1100</v>
      </c>
      <c r="J267" s="19">
        <v>178</v>
      </c>
      <c r="K267" s="19">
        <v>250304</v>
      </c>
    </row>
    <row r="268" spans="1:11" x14ac:dyDescent="0.3">
      <c r="A268" s="353">
        <v>45992</v>
      </c>
      <c r="B268" s="353" t="str">
        <f>_xlfn.XLOOKUP(E268,'channel Mapping'!B:B,'channel Mapping'!D:D)</f>
        <v>Organic</v>
      </c>
      <c r="C268" s="353" t="str">
        <f>_xlfn.XLOOKUP(E268,'channel Mapping'!B:B,'channel Mapping'!C:C)</f>
        <v>Brand Social</v>
      </c>
      <c r="D268" s="170" t="s">
        <v>525</v>
      </c>
      <c r="E268" s="170" t="s">
        <v>549</v>
      </c>
      <c r="F268" s="19">
        <v>9</v>
      </c>
      <c r="G268" s="19">
        <v>0</v>
      </c>
      <c r="H268" s="19">
        <v>0</v>
      </c>
      <c r="I268" s="19">
        <v>15</v>
      </c>
      <c r="J268" s="19">
        <v>0</v>
      </c>
      <c r="K268" s="19">
        <v>0</v>
      </c>
    </row>
    <row r="269" spans="1:11" x14ac:dyDescent="0.3">
      <c r="A269" s="353">
        <v>45992</v>
      </c>
      <c r="B269" s="353" t="str">
        <f>_xlfn.XLOOKUP(E269,'channel Mapping'!B:B,'channel Mapping'!D:D)</f>
        <v>Organic</v>
      </c>
      <c r="C269" s="353" t="str">
        <f>_xlfn.XLOOKUP(E269,'channel Mapping'!B:B,'channel Mapping'!C:C)</f>
        <v>CRM</v>
      </c>
      <c r="D269" s="170" t="s">
        <v>462</v>
      </c>
      <c r="E269" s="170" t="s">
        <v>550</v>
      </c>
      <c r="F269" s="19">
        <v>146</v>
      </c>
      <c r="G269" s="19">
        <v>0</v>
      </c>
      <c r="H269" s="19">
        <v>0</v>
      </c>
      <c r="I269" s="19">
        <v>65</v>
      </c>
      <c r="J269" s="19">
        <v>0</v>
      </c>
      <c r="K269" s="19">
        <v>0</v>
      </c>
    </row>
    <row r="270" spans="1:11" x14ac:dyDescent="0.3">
      <c r="A270" s="353">
        <v>45992</v>
      </c>
      <c r="B270" s="353" t="str">
        <f>_xlfn.XLOOKUP(E270,'channel Mapping'!B:B,'channel Mapping'!D:D)</f>
        <v>Paid</v>
      </c>
      <c r="C270" s="353" t="str">
        <f>_xlfn.XLOOKUP(E270,'channel Mapping'!B:B,'channel Mapping'!C:C)</f>
        <v>Affiliation CPS</v>
      </c>
      <c r="D270" s="170" t="s">
        <v>529</v>
      </c>
      <c r="E270" s="170" t="s">
        <v>765</v>
      </c>
      <c r="F270" s="19">
        <v>0</v>
      </c>
      <c r="G270" s="19">
        <v>0</v>
      </c>
      <c r="H270" s="19">
        <v>0</v>
      </c>
      <c r="I270" s="19">
        <v>0</v>
      </c>
      <c r="J270" s="19">
        <v>0</v>
      </c>
      <c r="K270" s="19">
        <v>0</v>
      </c>
    </row>
    <row r="271" spans="1:11" x14ac:dyDescent="0.3">
      <c r="A271" s="353">
        <v>45992</v>
      </c>
      <c r="B271" s="353" t="str">
        <f>_xlfn.XLOOKUP(E271,'channel Mapping'!B:B,'channel Mapping'!D:D)</f>
        <v>FF</v>
      </c>
      <c r="C271" s="353" t="str">
        <f>_xlfn.XLOOKUP(E271,'channel Mapping'!B:B,'channel Mapping'!C:C)</f>
        <v>FF</v>
      </c>
      <c r="D271" s="170" t="s">
        <v>530</v>
      </c>
      <c r="E271" s="170" t="s">
        <v>542</v>
      </c>
      <c r="F271" s="19">
        <v>150</v>
      </c>
      <c r="G271" s="19">
        <v>19</v>
      </c>
      <c r="H271" s="19">
        <v>47443</v>
      </c>
      <c r="I271" s="19">
        <v>100</v>
      </c>
      <c r="J271" s="19">
        <v>1</v>
      </c>
      <c r="K271" s="19">
        <v>3052</v>
      </c>
    </row>
    <row r="272" spans="1:11" x14ac:dyDescent="0.3">
      <c r="A272" s="353">
        <v>45992</v>
      </c>
      <c r="B272" s="353" t="str">
        <f>_xlfn.XLOOKUP(E272,'channel Mapping'!B:B,'channel Mapping'!D:D)</f>
        <v>Paid</v>
      </c>
      <c r="C272" s="353" t="str">
        <f>_xlfn.XLOOKUP(E272,'channel Mapping'!B:B,'channel Mapping'!C:C)</f>
        <v>Display CPC</v>
      </c>
      <c r="D272" s="170" t="s">
        <v>524</v>
      </c>
      <c r="E272" s="170" t="s">
        <v>619</v>
      </c>
      <c r="F272" s="19">
        <v>0</v>
      </c>
      <c r="G272" s="19">
        <v>0</v>
      </c>
      <c r="H272" s="19">
        <v>0</v>
      </c>
      <c r="I272" s="19">
        <v>0</v>
      </c>
      <c r="J272" s="19">
        <v>0</v>
      </c>
      <c r="K272" s="19">
        <v>0</v>
      </c>
    </row>
    <row r="273" spans="1:11" x14ac:dyDescent="0.3">
      <c r="A273" s="353">
        <v>45992</v>
      </c>
      <c r="B273" s="353" t="str">
        <f>_xlfn.XLOOKUP(E273,'channel Mapping'!B:B,'channel Mapping'!D:D)</f>
        <v>Paid</v>
      </c>
      <c r="C273" s="353" t="str">
        <f>_xlfn.XLOOKUP(E273,'channel Mapping'!B:B,'channel Mapping'!C:C)</f>
        <v>Display CPC</v>
      </c>
      <c r="D273" s="170" t="s">
        <v>524</v>
      </c>
      <c r="E273" s="170" t="s">
        <v>539</v>
      </c>
      <c r="F273" s="19">
        <v>0</v>
      </c>
      <c r="G273" s="19">
        <v>0</v>
      </c>
      <c r="H273" s="19">
        <v>0</v>
      </c>
      <c r="I273" s="19">
        <v>980</v>
      </c>
      <c r="J273" s="19">
        <v>0</v>
      </c>
      <c r="K273" s="19">
        <v>0</v>
      </c>
    </row>
  </sheetData>
  <autoFilter ref="A3:K232" xr:uid="{BC0CB28D-74B4-40B8-89E2-92523BB68F15}"/>
  <mergeCells count="24">
    <mergeCell ref="N40:P40"/>
    <mergeCell ref="N41:N42"/>
    <mergeCell ref="O42:P42"/>
    <mergeCell ref="N9:N18"/>
    <mergeCell ref="N19:P19"/>
    <mergeCell ref="N20:N36"/>
    <mergeCell ref="N37:P37"/>
    <mergeCell ref="N38:N39"/>
    <mergeCell ref="N43:P43"/>
    <mergeCell ref="N44:P44"/>
    <mergeCell ref="O9:O12"/>
    <mergeCell ref="O13:P13"/>
    <mergeCell ref="O15:P15"/>
    <mergeCell ref="O16:O17"/>
    <mergeCell ref="O18:P18"/>
    <mergeCell ref="O21:P21"/>
    <mergeCell ref="O23:P23"/>
    <mergeCell ref="O24:O25"/>
    <mergeCell ref="O26:P26"/>
    <mergeCell ref="O27:O29"/>
    <mergeCell ref="O30:P30"/>
    <mergeCell ref="O31:O35"/>
    <mergeCell ref="O36:P36"/>
    <mergeCell ref="O39:P39"/>
  </mergeCells>
  <phoneticPr fontId="1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2E73-E414-4C1B-8C25-EA0EA26C62B6}">
  <dimension ref="A1:E28"/>
  <sheetViews>
    <sheetView showGridLines="0" zoomScale="145" zoomScaleNormal="145" workbookViewId="0">
      <selection activeCell="D11" sqref="D11"/>
    </sheetView>
  </sheetViews>
  <sheetFormatPr defaultRowHeight="11.5" x14ac:dyDescent="0.25"/>
  <cols>
    <col min="1" max="1" width="16.83203125" style="469" bestFit="1" customWidth="1"/>
    <col min="2" max="2" width="13" style="469" bestFit="1" customWidth="1"/>
    <col min="3" max="3" width="14.83203125" style="469" bestFit="1" customWidth="1"/>
    <col min="4" max="4" width="13" style="469" bestFit="1" customWidth="1"/>
    <col min="5" max="16384" width="8.6640625" style="469"/>
  </cols>
  <sheetData>
    <row r="1" spans="1:5" ht="12.5" x14ac:dyDescent="0.35">
      <c r="A1" s="589" t="s">
        <v>701</v>
      </c>
      <c r="B1" s="589" t="s">
        <v>834</v>
      </c>
      <c r="C1" s="589" t="s">
        <v>536</v>
      </c>
      <c r="D1" s="589" t="s">
        <v>710</v>
      </c>
      <c r="E1" s="589" t="s">
        <v>835</v>
      </c>
    </row>
    <row r="2" spans="1:5" ht="12" x14ac:dyDescent="0.3">
      <c r="A2" s="590" t="s">
        <v>455</v>
      </c>
      <c r="B2" s="590" t="s">
        <v>836</v>
      </c>
      <c r="C2" s="590" t="s">
        <v>706</v>
      </c>
      <c r="D2" s="590" t="s">
        <v>709</v>
      </c>
      <c r="E2" s="589"/>
    </row>
    <row r="3" spans="1:5" ht="12" x14ac:dyDescent="0.3">
      <c r="A3" s="590" t="s">
        <v>529</v>
      </c>
      <c r="B3" s="590" t="s">
        <v>837</v>
      </c>
      <c r="C3" s="590" t="s">
        <v>702</v>
      </c>
      <c r="D3" s="590" t="s">
        <v>711</v>
      </c>
      <c r="E3" s="589"/>
    </row>
    <row r="4" spans="1:5" ht="12" x14ac:dyDescent="0.3">
      <c r="A4" s="590" t="s">
        <v>838</v>
      </c>
      <c r="B4" s="590" t="s">
        <v>839</v>
      </c>
      <c r="C4" s="590" t="s">
        <v>702</v>
      </c>
      <c r="D4" s="590" t="s">
        <v>711</v>
      </c>
      <c r="E4" s="589"/>
    </row>
    <row r="5" spans="1:5" ht="12" x14ac:dyDescent="0.3">
      <c r="A5" s="590" t="s">
        <v>456</v>
      </c>
      <c r="B5" s="590" t="s">
        <v>840</v>
      </c>
      <c r="C5" s="590" t="s">
        <v>456</v>
      </c>
      <c r="D5" s="590" t="s">
        <v>709</v>
      </c>
      <c r="E5" s="589"/>
    </row>
    <row r="6" spans="1:5" ht="12" x14ac:dyDescent="0.3">
      <c r="A6" s="590" t="s">
        <v>458</v>
      </c>
      <c r="B6" s="590" t="s">
        <v>841</v>
      </c>
      <c r="C6" s="590" t="s">
        <v>705</v>
      </c>
      <c r="D6" s="590" t="s">
        <v>709</v>
      </c>
      <c r="E6" s="589"/>
    </row>
    <row r="7" spans="1:5" ht="12" x14ac:dyDescent="0.3">
      <c r="A7" s="590" t="s">
        <v>865</v>
      </c>
      <c r="B7" s="590" t="s">
        <v>842</v>
      </c>
      <c r="C7" s="590" t="s">
        <v>460</v>
      </c>
      <c r="D7" s="590" t="s">
        <v>709</v>
      </c>
      <c r="E7" s="589"/>
    </row>
    <row r="8" spans="1:5" x14ac:dyDescent="0.25">
      <c r="A8" s="590" t="s">
        <v>532</v>
      </c>
      <c r="B8" s="590" t="s">
        <v>767</v>
      </c>
      <c r="C8" s="590" t="s">
        <v>92</v>
      </c>
      <c r="D8" s="590" t="s">
        <v>709</v>
      </c>
      <c r="E8" s="589"/>
    </row>
    <row r="9" spans="1:5" ht="12" x14ac:dyDescent="0.3">
      <c r="A9" s="590" t="s">
        <v>457</v>
      </c>
      <c r="B9" s="590" t="s">
        <v>843</v>
      </c>
      <c r="C9" s="590" t="s">
        <v>92</v>
      </c>
      <c r="D9" s="590" t="s">
        <v>709</v>
      </c>
      <c r="E9" s="589"/>
    </row>
    <row r="10" spans="1:5" ht="12" x14ac:dyDescent="0.3">
      <c r="A10" s="590" t="s">
        <v>459</v>
      </c>
      <c r="B10" s="590" t="s">
        <v>844</v>
      </c>
      <c r="C10" s="590" t="s">
        <v>708</v>
      </c>
      <c r="D10" s="590" t="s">
        <v>707</v>
      </c>
      <c r="E10" s="589"/>
    </row>
    <row r="11" spans="1:5" ht="12" x14ac:dyDescent="0.3">
      <c r="A11" s="590" t="s">
        <v>454</v>
      </c>
      <c r="B11" s="590" t="s">
        <v>845</v>
      </c>
      <c r="C11" s="590" t="s">
        <v>460</v>
      </c>
      <c r="D11" s="590" t="s">
        <v>709</v>
      </c>
      <c r="E11" s="589"/>
    </row>
    <row r="12" spans="1:5" ht="12" x14ac:dyDescent="0.3">
      <c r="A12" s="590" t="s">
        <v>461</v>
      </c>
      <c r="B12" s="590" t="s">
        <v>846</v>
      </c>
      <c r="C12" s="590" t="s">
        <v>460</v>
      </c>
      <c r="D12" s="590" t="s">
        <v>709</v>
      </c>
      <c r="E12" s="589"/>
    </row>
    <row r="13" spans="1:5" ht="12" x14ac:dyDescent="0.3">
      <c r="A13" s="590" t="s">
        <v>525</v>
      </c>
      <c r="B13" s="590" t="s">
        <v>847</v>
      </c>
      <c r="C13" s="590" t="s">
        <v>705</v>
      </c>
      <c r="D13" s="590" t="s">
        <v>709</v>
      </c>
      <c r="E13" s="589"/>
    </row>
    <row r="14" spans="1:5" ht="12" x14ac:dyDescent="0.3">
      <c r="A14" s="590" t="s">
        <v>462</v>
      </c>
      <c r="B14" s="590" t="s">
        <v>848</v>
      </c>
      <c r="C14" s="590" t="s">
        <v>92</v>
      </c>
      <c r="D14" s="590" t="s">
        <v>709</v>
      </c>
      <c r="E14" s="589"/>
    </row>
    <row r="15" spans="1:5" ht="12" x14ac:dyDescent="0.3">
      <c r="A15" s="590" t="s">
        <v>866</v>
      </c>
      <c r="B15" s="590" t="s">
        <v>849</v>
      </c>
      <c r="C15" s="590" t="s">
        <v>703</v>
      </c>
      <c r="D15" s="590" t="s">
        <v>711</v>
      </c>
      <c r="E15" s="589"/>
    </row>
    <row r="16" spans="1:5" ht="12" x14ac:dyDescent="0.3">
      <c r="A16" s="590" t="s">
        <v>581</v>
      </c>
      <c r="B16" s="590" t="s">
        <v>850</v>
      </c>
      <c r="C16" s="590" t="s">
        <v>460</v>
      </c>
      <c r="D16" s="590" t="s">
        <v>709</v>
      </c>
      <c r="E16" s="589"/>
    </row>
    <row r="17" spans="1:5" ht="12" x14ac:dyDescent="0.3">
      <c r="A17" s="590" t="s">
        <v>867</v>
      </c>
      <c r="B17" s="590" t="s">
        <v>851</v>
      </c>
      <c r="C17" s="590" t="s">
        <v>703</v>
      </c>
      <c r="D17" s="590" t="s">
        <v>711</v>
      </c>
      <c r="E17" s="589"/>
    </row>
    <row r="18" spans="1:5" ht="12" x14ac:dyDescent="0.3">
      <c r="A18" s="590" t="s">
        <v>528</v>
      </c>
      <c r="B18" s="590" t="s">
        <v>852</v>
      </c>
      <c r="C18" s="590" t="s">
        <v>702</v>
      </c>
      <c r="D18" s="590" t="s">
        <v>711</v>
      </c>
      <c r="E18" s="589"/>
    </row>
    <row r="19" spans="1:5" ht="12" x14ac:dyDescent="0.3">
      <c r="A19" s="590" t="s">
        <v>460</v>
      </c>
      <c r="B19" s="590" t="s">
        <v>853</v>
      </c>
      <c r="C19" s="590" t="s">
        <v>460</v>
      </c>
      <c r="D19" s="590" t="s">
        <v>709</v>
      </c>
      <c r="E19" s="589"/>
    </row>
    <row r="20" spans="1:5" ht="12" x14ac:dyDescent="0.3">
      <c r="A20" s="590" t="s">
        <v>530</v>
      </c>
      <c r="B20" s="590" t="s">
        <v>854</v>
      </c>
      <c r="C20" s="590" t="s">
        <v>530</v>
      </c>
      <c r="D20" s="590" t="s">
        <v>530</v>
      </c>
      <c r="E20" s="589"/>
    </row>
    <row r="21" spans="1:5" ht="12" x14ac:dyDescent="0.3">
      <c r="A21" s="590" t="s">
        <v>696</v>
      </c>
      <c r="B21" s="590" t="s">
        <v>855</v>
      </c>
      <c r="C21" s="590" t="s">
        <v>704</v>
      </c>
      <c r="D21" s="590" t="s">
        <v>711</v>
      </c>
      <c r="E21" s="589"/>
    </row>
    <row r="22" spans="1:5" ht="12" x14ac:dyDescent="0.3">
      <c r="A22" s="590" t="s">
        <v>526</v>
      </c>
      <c r="B22" s="590" t="s">
        <v>856</v>
      </c>
      <c r="C22" s="590" t="s">
        <v>708</v>
      </c>
      <c r="D22" s="590" t="s">
        <v>707</v>
      </c>
      <c r="E22" s="589"/>
    </row>
    <row r="23" spans="1:5" ht="12" x14ac:dyDescent="0.3">
      <c r="A23" s="590" t="s">
        <v>721</v>
      </c>
      <c r="B23" s="590" t="s">
        <v>857</v>
      </c>
      <c r="C23" s="590" t="s">
        <v>720</v>
      </c>
      <c r="D23" s="590" t="s">
        <v>709</v>
      </c>
      <c r="E23" s="589"/>
    </row>
    <row r="24" spans="1:5" ht="12" x14ac:dyDescent="0.3">
      <c r="A24" s="590" t="s">
        <v>715</v>
      </c>
      <c r="B24" s="590" t="s">
        <v>858</v>
      </c>
      <c r="C24" s="590" t="s">
        <v>702</v>
      </c>
      <c r="D24" s="590" t="s">
        <v>711</v>
      </c>
      <c r="E24" s="589"/>
    </row>
    <row r="25" spans="1:5" ht="12" x14ac:dyDescent="0.3">
      <c r="A25" s="590" t="s">
        <v>718</v>
      </c>
      <c r="B25" s="590" t="s">
        <v>859</v>
      </c>
      <c r="C25" s="590" t="s">
        <v>460</v>
      </c>
      <c r="D25" s="590" t="s">
        <v>724</v>
      </c>
      <c r="E25" s="589"/>
    </row>
    <row r="26" spans="1:5" ht="12.5" x14ac:dyDescent="0.35">
      <c r="A26" s="590" t="s">
        <v>832</v>
      </c>
      <c r="B26" s="590" t="s">
        <v>860</v>
      </c>
      <c r="C26" s="590" t="s">
        <v>827</v>
      </c>
      <c r="D26" s="590" t="s">
        <v>711</v>
      </c>
      <c r="E26" s="589" t="s">
        <v>861</v>
      </c>
    </row>
    <row r="27" spans="1:5" ht="12" x14ac:dyDescent="0.3">
      <c r="A27" s="590" t="s">
        <v>833</v>
      </c>
      <c r="B27" s="590" t="s">
        <v>862</v>
      </c>
      <c r="C27" s="590" t="s">
        <v>827</v>
      </c>
      <c r="D27" s="590" t="s">
        <v>711</v>
      </c>
      <c r="E27" s="589"/>
    </row>
    <row r="28" spans="1:5" ht="12" x14ac:dyDescent="0.3">
      <c r="A28" s="590" t="s">
        <v>830</v>
      </c>
      <c r="B28" s="591" t="s">
        <v>863</v>
      </c>
      <c r="C28" s="590" t="s">
        <v>831</v>
      </c>
      <c r="D28" s="590" t="s">
        <v>711</v>
      </c>
      <c r="E28" s="589"/>
    </row>
  </sheetData>
  <autoFilter ref="A1:E28" xr:uid="{7A202E73-E414-4C1B-8C25-EA0EA26C62B6}"/>
  <phoneticPr fontId="13" type="noConversion"/>
  <conditionalFormatting sqref="A1:A1048576">
    <cfRule type="duplicateValues" dxfId="1" priority="3"/>
  </conditionalFormatting>
  <conditionalFormatting sqref="C1:C1048576">
    <cfRule type="duplicateValues" dxfId="0" priority="1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9242F-A5C6-4D8E-A1AE-EA1A7FA9FBF5}">
  <dimension ref="A1:C12"/>
  <sheetViews>
    <sheetView workbookViewId="0">
      <selection activeCell="F8" sqref="F8"/>
    </sheetView>
  </sheetViews>
  <sheetFormatPr defaultRowHeight="14" x14ac:dyDescent="0.3"/>
  <sheetData>
    <row r="1" spans="1:3" x14ac:dyDescent="0.3">
      <c r="A1" s="540" t="s">
        <v>796</v>
      </c>
      <c r="B1" s="540" t="s">
        <v>788</v>
      </c>
      <c r="C1" s="540" t="s">
        <v>789</v>
      </c>
    </row>
    <row r="2" spans="1:3" x14ac:dyDescent="0.3">
      <c r="A2" s="539" t="s">
        <v>786</v>
      </c>
      <c r="B2" s="541">
        <v>0.68068930562595031</v>
      </c>
      <c r="C2" s="542">
        <v>0.51090132614070582</v>
      </c>
    </row>
    <row r="3" spans="1:3" x14ac:dyDescent="0.3">
      <c r="A3" s="539" t="s">
        <v>787</v>
      </c>
      <c r="B3" s="541">
        <v>0.31931069437404969</v>
      </c>
      <c r="C3" s="542">
        <v>0.48909867385929423</v>
      </c>
    </row>
    <row r="6" spans="1:3" x14ac:dyDescent="0.3">
      <c r="A6" t="s">
        <v>797</v>
      </c>
      <c r="B6" s="540" t="s">
        <v>788</v>
      </c>
      <c r="C6" s="540" t="s">
        <v>789</v>
      </c>
    </row>
    <row r="7" spans="1:3" ht="14.5" x14ac:dyDescent="0.35">
      <c r="A7" s="539" t="s">
        <v>790</v>
      </c>
      <c r="B7" s="543">
        <v>2.7721774193548387E-2</v>
      </c>
      <c r="C7" s="543">
        <v>4.1339024938216132E-2</v>
      </c>
    </row>
    <row r="8" spans="1:3" ht="14.5" x14ac:dyDescent="0.35">
      <c r="A8" s="539" t="s">
        <v>791</v>
      </c>
      <c r="B8" s="543">
        <v>0.10433467741935484</v>
      </c>
      <c r="C8" s="543">
        <v>0.2132105144911256</v>
      </c>
    </row>
    <row r="9" spans="1:3" ht="14.5" x14ac:dyDescent="0.35">
      <c r="A9" s="544" t="s">
        <v>792</v>
      </c>
      <c r="B9" s="543">
        <v>0.19808467741935484</v>
      </c>
      <c r="C9" s="543">
        <v>0.23230734666367109</v>
      </c>
    </row>
    <row r="10" spans="1:3" ht="14.5" x14ac:dyDescent="0.35">
      <c r="A10" s="544" t="s">
        <v>793</v>
      </c>
      <c r="B10" s="543">
        <v>0.23891129032258066</v>
      </c>
      <c r="C10" s="543">
        <v>0.20399910132554483</v>
      </c>
    </row>
    <row r="11" spans="1:3" ht="14.5" x14ac:dyDescent="0.35">
      <c r="A11" s="544" t="s">
        <v>794</v>
      </c>
      <c r="B11" s="543">
        <v>0.2807459677419355</v>
      </c>
      <c r="C11" s="543">
        <v>0.20804313637384858</v>
      </c>
    </row>
    <row r="12" spans="1:3" ht="14.5" x14ac:dyDescent="0.35">
      <c r="A12" s="544" t="s">
        <v>795</v>
      </c>
      <c r="B12" s="543">
        <v>0.15020161290322581</v>
      </c>
      <c r="C12" s="543">
        <v>0.1011008762075938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item1.xml>���z�^�N�~Amϑ�g��eg�^��T�yN�~Amϑeg�n�N�~Amϑeg�n�TLrTch<P�eg�^��T�yN�~Amϑeg�n�N�~Amϑeg�n�TLrTch<P
</file>

<file path=customXml/item2.xml>��bY�T{|�vpenc�~���eg�^��T�yL�N�Nfё�����[�NpepN�[ped"}�Npe�R-��Npe�TLrT�~���eg�^��T�yL�N�Nfё�����[�NpepN�[ped"}�Npe�R-��Npe�TLrT
</file>

<file path=customXml/item3.xml>��
</file>

<file path=customXml/item4.xml>��
</file>

<file path=customXml/item5.xml>��hQ�^8h�_penc
</file>

<file path=customXml/item6.xml>���e�S
</file>

<file path=customXml/item7.xml>��bY�ThQ�^pencbY�ThQ�^penc�~���eg�eg{|�W�^��T�y�Nfё�����[�NpepN�[ped"}�Npe�R-��Npe
N�eFU�TpesQ�l�^�TLrTN�~L�N�N�~L�N�~���eg (t^�~���eg (c[�^�~���eg (g"}_�~���eg (g�z�^�N�~Amϑ�g��z�^�N�~Amϑ�g��eg�^��T�yN�~Amϑeg�n�N�~Amϑeg�n�TLrTch<P:S�W:S�W�^�S�^����US�N>k�e��/e�N�[Am4l��US�SP[��US�S�>kR�^�e���>k�[�~�e��s^�S�'��e���>k�Su6��k�>kUS�Ss^�SFU�TxY�FU�Tx�TLr'��Ss^�SSKUxY�FU�TSKUxagL�xFU�TT�y-�pN�Npe�>kё��-�irё-;`-�irё-,gё-�irё-Cg�vё/f&T�'��>k�r`�[g�r`pN�[5f�y�>k�S�V�>k�c���_�lQ�S�'�ЏUS�SVS�[Y�l�St^,ghTTg�eg�St^,ghTTg�eg�St^,ghTTg�eg,ghT_�Y�eg,ghT_�Y�eg,ghT_�Y�egbY�T{|�vpencbY�T{|�vpenc�~���eg�^��T�yL�N�Nfё�����[�NpepN�[ped"}�Npe�R-��Npe�TLrT�N�~Amϑeg�nT�y�N�~Amϑeg�nT�y�N�~Amϑeg�n�z�^	N�~Amϑ�g��z�^	N�~Amϑ�g��eg�^��T�yN�~Amϑeg�n�N�~Amϑeg�n	N�~Amϑeg�n�TLrThQ�^8h�_penchQ�^8h�_penc_�Y�eg�~_g�eg�eg{|�W�~���eg���[peOmȉϑFU�T���[peFU�TOmȉϑFU�T6eυ�NpeFU�T6eυ!kpe�R-��Npe/e�Nё��/e�NpN�[pe/e�NP[��USpe/e�N6r��USpe/e�N�NpeNUSё��NUSpN�[pe�[US�N�N<P����[pe�e���[pe�R-��Npe/e�N�pN�[pe�pN�[/e�Nё���v�f��m����wU\MO�m��m�[�[cOё���~�cP��m�N�v�S�m�_�RT��e�m�b�R�>k�[�~ё��sQ�l�^���Npe/e�N�>kё��
</file>

<file path=customXml/item8.xml>��:S�W:S�W�NNy��v�v��pe:��US�S�NNy��v�v��pe:��US�SlQ_�NNy��v�v��pe:��US�S<P�NNy��v�v^�͑Y��pe:��US�S�NNy��v�v^�͑Y��pe:��US�SlQ_�NNy��v�v^�͑Y��pe:��US�S<P�^�S�^����US�N>k�e��/e�N�[Am4l��US�SP[��US�S�>kR�^�e���>k�[�~�e��s^�S�'��e���>k�Su6��k�>kUS�Ss^�SFU�TxY�FU�Tx�TLr'��Ss^�SSKUxY�FU�TSKUxagL�xFU�TT�y-�pN�Npe�>kё��-�irё-;`-�irё-,gё-�irё-Cg�vё/f&T�'��>k�r`�[g�r`pN�[5f�y�>k�S�V�>k�c���_�lQ�S�'�ЏUS�SVS�[Y�l�NNy��v�v��pe:��US�S��US�S�NNy��v�v��pe:��US�S��US�S�NNy��v�v��pe:��US�S��US�S�NNy��v�v^�͑Y��pe:��US�S��US�S�NNy��v�v^�͑Y��pe:��US�S��US�S�NNy��v�v^�͑Y��pe:��US�S��US�S�NNy��v�v��pe:��US�S�NNy��v�v��pe:��US�SlQ_�NNy��v�v��pe:��US�S<P�NNy��v�v^�͑Y��pe:��US�S�NNy��v�v^�͑Y��pe:��US�SlQ_�NNy��v�v^�͑Y��pe:��US�S<P�^�S�^����US�N>k�e��/e�N�[Am4l��US�SP[��US�S�>kR�^�e���>k�[�~�e��s^�S�'��e���>k�Su6��k�>kUS�Ss^�SFU�TxY�FU�Tx�TLr'��Ss^�SSKUxY�FU�TSKUxagL�xFU�TT�y-�pN�Npe�>kё��-�irё-;`-�irё-,gё-�irё-Cg�vё/f&T�'��>k�r`�[g�r`pN�[5f�y�>k�S�V�>k�c���_�lQ�S�'�ЏUS�SVS�[Y�l�NNy��v�v��pe:��US�S��US�S�NNy��v�v��pe:��US�S��US�S�NNy��v�v��pe:��US�S��US�S�NNy��v�v^�͑Y��pe:��US�S��US�S�NNy��v�v^�͑Y��pe:��US�S��US�S�NNy��v�v^�͑Y��pe:��US�S��US�S,ghT_�Y�eg,ghT_�Y�eg,ghT_�Y�eg,ghT_�Y�egbY�T{|�vpencbY�T{|�vpenc�~���eg�^��T�yL�N�Nfё�����[�NpepN�[ped"}�Npe�R-��Npe�TLrT�~���eg�^��T�yL�N�Nfё�����[�NpepN�[ped"}�Npe�R-��Npe�TLrT�z�^�N�~Amϑ�g��z�^�N�~Amϑ�g��eg�^��T�yN�~Amϑeg�n�N�~Amϑeg�n�TLrTch<P�eg�^��T�yN�~Amϑeg�n�N�~Amϑeg�n�TLrTch<P�N�~Amϑeg�nT�y�N�~Amϑeg�nT�y�N�~Amϑeg�n�N�~Amϑeg�nbY�ThQ�^penchQ�^8h�_pencbY�T{|�vpenc�z�^	N�~Amϑ�g�bY�ThQ�^pencbY�ThQ�^penc�~���egbY�ThQ�^penc�eg{|�WbY�ThQ�^penc�^��T�ybY�ThQ�^penc�Nfё��bY�ThQ�^penc���[�NpebY�ThQ�^pencpN�[pebY�ThQ�^pencd"}�NpebY�ThQ�^penc�R-��NpebY�ThQ�^penc
N�eFU�TpebY�ThQ�^pencsQ�l�^bY�ThQ�^penc�TLrTbY�ThQ�^pencN�~L�NbY�ThQ�^penc�N�~L�NbY�ThQ�^penc�~���eg (t^bY�ThQ�^penc�~���eg (c[�^bY�ThQ�^penc�~���eg (g"}_bY�ThQ�^penc�~���eg (g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hQ�^8h�_penchQ�^8h�_penc�~���eghQ�^8h�_penc�z���[pehQ�^8h�_penc�zOmȉϑhQ�^8h�_penc���[pehQ�^8h�_penc�e�~�z���[pehQ�^8h�_pencOmȉϑhQ�^8h�_penc�e�~�zOmȉϑhQ�^8h�_pencFU�T���[pehQ�^8h�_penc�e�~�zFU�T���[pehQ�^8h�_penc�zFU�T���[pehQ�^8h�_pencFU�TOmȉϑhQ�^8h�_penc�e�~�zFU�TOmȉϑhQ�^8h�_penc�zFU�TOmȉϑhQ�^8h�_pencs^GW\PYu�e�hQ�^8h�_penc�e�~�zs^GW\PYu�e�hQ�^8h�_penc�zs^GW\PYu�e�hQ�^8h�_penc�1Y�shQ�^8h�_penc�e�~�z�1Y�shQ�^8h�_penc�z�1Y�shQ�^8h�_pencFU�T6eυpN�[pehQ�^8h�_penc�e�~�zFU�T6eυpN�[pehQ�^8h�_penc�zFU�T6eυpN�[pehQ�^8h�_pencFU�T6eυ!kpehQ�^8h�_penc�e�~�zFU�T6eυ!kpehQ�^8h�_penc�zFU�T6eυ!kpehQ�^8h�_penc�R-��NpehQ�^8h�_penc�e�~�z�R-��NpehQ�^8h�_penc�z�R-��NpehQ�^8h�_penc/e�Nё��hQ�^8h�_penc�z/e�Nё��hQ�^8h�_penc�e�~�z/e�Nё��hQ�^8h�_penc/e�NpN�[pehQ�^8h�_penc�z/e�NpN�[pehQ�^8h�_penc�e�~�z/e�NpN�[pehQ�^8h�_penc/e�NP[��USpehQ�^8h�_penc�z/e�NP[��USpehQ�^8h�_penc�e�~�z/e�NP[��USpehQ�^8h�_penc/e�N�NpehQ�^8h�_penc�z/e�N�NpehQ�^8h�_penc�e�~�z/e�N�NpehQ�^8h�_pencNUSё��hQ�^8h�_penc�zNUSё��hQ�^8h�_penc�e�~�zNUSё��hQ�^8h�_pencNUSpN�[pehQ�^8h�_penc�zNUSpN�[pehQ�^8h�_penc�e�~�zNUSpN�[pehQ�^8h�_pencNUS�NpehQ�^8h�_penc�zNUS�NpehQ�^8h�_penc�e�~�zNUS�NpehQ�^8h�_penc�NGWOmȉϑhQ�^8h�_penc�z�NGWOmȉϑhQ�^8h�_penc�e�~�z�NGWOmȉϑhQ�^8h�_pencNUSl�S�shQ�^8h�_penc�zNUSl�S�shQ�^8h�_penc�e�~�zNUSl�S�shQ�^8h�_penc/e�Nl�S�shQ�^8h�_penc�z/e�Nl�S�shQ�^8h�_penc�e�~�z/e�Nl�S�shQ�^8h�_penc�[US�NhQ�^8h�_penc�z�[US�NhQ�^8h�_penc�e�~�z�[US�NhQ�^8h�_penc�N<PhQ�^8h�_penc�zUV�N<PhQ�^8h�_penc�e�~�zUV�N<PhQ�^8h�_penc����[pehQ�^8h�_penc�e���[pehQ�^8h�_penc�e�~�z����[pehQ�^8h�_penc�e�~�z�e���[pehQ�^8h�_penc�z����[pehQ�^8h�_penc�z�e���[pehQ�^8h�_penc�R-��NpehQ�^8h�_penc�z�R-��NpehQ�^8h�_penc�e�~�z�R-��NpehQ�^8h�_penc/e�N�pN�[pehQ�^8h�_penc�z/e�N�pN�[pehQ�^8h�_penc�e�~�z/e�N�pN�[pehQ�^8h�_penc�pN�[/e�Nё��hQ�^8h�_penc�v�f��m�hQ�^8h�_penc���wU\MO�m�hQ�^8h�_penc�m�[�[cOёhQ�^8h�_pencb�R�>kё��hQ�^8h�_pencċ�NpehQ�^8h�_penc	g�Vċ�NpehQ�^8h�_pencckb�ċ�NpehQ�^8h�_penc�b�ċ�NpehQ�^8h�_penc�pN�[ckb�ċ�NpehQ�^8h�_penc�pN�[�b�ċ�NpehQ�^8h�_penc/e�N6r��USpehQ�^8h�_penc�c6eS��pehQ�^8h�_penc�S'�S��pehQ�^8h�_penc>m�S��pehQ�^8h�_penc~{6eb�RS��pehQ�^8h�_pencs^GW/e�N_~{6e�e�(�yhQ�^8h�_penc�c���v&{ċRhQ�^8h�_pencirAmg�RċRhQ�^8h�_pencg�R`�^ċRhQ�^8h�_pencNUS-/e�Nl�S�shQ�^8h�_penc�zNUS-/e�Nl�S�shQ�^8h�_penc�e�~�zNUS-/e�Nl�S�shQ�^8h�_penc/e�NFU�TpehQ�^8h�_penc�z/e�NFU�TpehQ�^8h�_penc�e�~�z/e�NFU�TpehQ�^8h�_penc�^��6eυpN�[pehQ�^8h�_penc�z�^��6eυpN�[pehQ�^8h�_penc�e�~�z�^��6eυpN�[pehQ�^8h�_penc�>k�NpehQ�^8h�_penc�Q�X�|NpehQ�^8h�_penc�e�X�|NpehQ�^8h�_penc/}���|NpehQ�^8h�_penc�e�XOXT�NpehQ�^8h�_pencOXTĉ!jhQ�^8h�_pencOXTb�N�NpehQ�^8h�_pencOXTb�Nё��hQ�^8h�_penchQ�^8h�_penchQ�^8h�_penchQ�^8h�_penchQ�^8h�_penchQ�^8h�_penchQ�^8h�_penc�m�QMQ9�hQ�^8h�_penc�N9�AmϑhQ�^8h�_penchQ�^8h�_penc�NNy��v�v;`�T:/e�Nё��hQ�^8h�_penc\�NNy��v�v;`�T:/e�Nё����_�^ϑ<PhQ�^8h�_penc�NNy��v�v;`�T:FU�T���[pehQ�^8h�_penc\�NNy��v�v;`�T:FU�T���[pe��_�^ϑ<PbY�T{|�vpencbY�T{|�vpenc�~���egbY�T{|�vpenc�^��T�ybY�T{|�vpencL�NbY�T{|�vpenc�Nfё��bY�T{|�vpenc���[�NpebY�T{|�vpencpN�[pebY�T{|�vpencd"}�NpebY�T{|�vpenc�R-��NpebY�T{|�vpenc�TLrT�z�^	N�~Amϑ�g��z�^	N�~Amϑ�g��eg�z�^	N�~Amϑ�g��^��T�y�z�^	N�~Amϑ�g�N�~Amϑeg�n�z�^	N�~Amϑ�g��N�~Amϑeg�n�z�^	N�~Amϑ�g�	N�~Amϑeg�n�z�^	N�~Amϑ�g��z�^	N�~Amϑ�g��z�^	N�~Amϑ�g��z�^	N�~Amϑ�g��z�^	N�~Amϑ�g��z�^	N�~Amϑ�g��z�^	N�~Amϑ�g��TLrT�z�^	N�~Amϑ�g��NNy��v�v;`�T�z�^	N�~Amϑ�g�\�NNy��v�v;`�T��_�^ϑ<P�z�^	N�~Amϑ�g��NNy��v�v;`�T�z�^	N�~Amϑ�g�\�NNy��v�v;`�T��_�^ϑ<P�z�^	N�~Amϑ�g��z�^	N�~Amϑ�g��z�^	N�~Amϑ�g��z�^	N�~Amϑ�g��z�^	N�~Amϑ�g��z�^	N�~Amϑ�g��z�^	N�~Amϑ�g��z�^	N�~Amϑ�g��z�^	N�~Amϑ�g��z�^	N�~Amϑ�g��z�^	N�~Amϑ�g��z�^	N�~Amϑ�g��z�^	N�~Amϑ�g��z�^	N�~Amϑ�g��z�^	N�~Amϑ�g��z�^	N�~Amϑ�g��z�^	N�~Amϑ�g�bY�ThQ�^penc�~���eghQ�^8h�_penc�~���egbY�ThQ�^penc�~���eghQ�^8h�_penc�~���egbY�ThQ�^penc�~���eghQ�^8h�_penc�~���egbY�ThQ�^penc�~���eghQ�^8h�_penc�~���egbY�T{|�vpenc�~���eghQ�^8h�_penc�~���egbY�T{|�vpenc�~���eghQ�^8h�_penc�~���egbY�T{|�vpenc�~���eghQ�^8h�_penc�~���egbY�T{|�vpenc�~���eghQ�^8h�_penc�~���eg�z�^	N�~Amϑ�g��eghQ�^8h�_penc�~���eg�z�^	N�~Amϑ�g��eghQ�^8h�_penc�~���eg�z�^	N�~Amϑ�g��eghQ�^8h�_penc�~���eg�z�^	N�~Amϑ�g��eghQ�^8h�_penc�~���eg�z�^	N�~Amϑ�g�bY�ThQ�^penchQ�^8h�_pencbY�T{|�vpenc�z�^	N�~Amϑ�g�bY�ThQ�^pencbY�ThQ�^penc�~���egbY�ThQ�^penc�eg{|�WbY�ThQ�^penc�^��T�ybY�ThQ�^penc�Nfё��bY�ThQ�^penc���[�NpebY�ThQ�^pencpN�[pebY�ThQ�^pencd"}�NpebY�ThQ�^penc�R-��NpebY�ThQ�^penc
N�eFU�TpebY�ThQ�^pencsQ�l�^bY�ThQ�^penc�TLrTbY�ThQ�^pencN�~L�NbY�ThQ�^penc�N�~L�NbY�ThQ�^penc�~���eg (t^bY�ThQ�^penc�~���eg (c[�^bY�ThQ�^penc�~���eg (g"}_bY�ThQ�^penc�~���eg (g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bY�ThQ�^penchQ�^8h�_penchQ�^8h�_penc�~���eghQ�^8h�_penc�z���[pehQ�^8h�_penc�zOmȉϑhQ�^8h�_penc���[pehQ�^8h�_penc�e�~�z���[pehQ�^8h�_pencOmȉϑhQ�^8h�_penc�e�~�zOmȉϑhQ�^8h�_pencFU�T���[pehQ�^8h�_penc�e�~�zFU�T���[pehQ�^8h�_penc�zFU�T���[pehQ�^8h�_pencFU�TOmȉϑhQ�^8h�_penc�e�~�zFU�TOmȉϑhQ�^8h�_penc�zFU�TOmȉϑhQ�^8h�_pencs^GW\PYu�e�hQ�^8h�_penc�e�~�zs^GW\PYu�e�hQ�^8h�_penc�zs^GW\PYu�e�hQ�^8h�_penc�1Y�shQ�^8h�_penc�e�~�z�1Y�shQ�^8h�_penc�z�1Y�shQ�^8h�_pencFU�T6eυpN�[pehQ�^8h�_penc�e�~�zFU�T6eυpN�[pehQ�^8h�_penc�zFU�T6eυpN�[pehQ�^8h�_pencFU�T6eυ!kpehQ�^8h�_penc�e�~�zFU�T6eυ!kpehQ�^8h�_penc�zFU�T6eυ!kpehQ�^8h�_penc�R-��NpehQ�^8h�_penc�e�~�z�R-��NpehQ�^8h�_penc�z�R-��NpehQ�^8h�_penc/e�Nё��hQ�^8h�_penc�z/e�Nё��hQ�^8h�_penc�e�~�z/e�Nё��hQ�^8h�_penc/e�NpN�[pehQ�^8h�_penc�z/e�NpN�[pehQ�^8h�_penc�e�~�z/e�NpN�[pehQ�^8h�_penc/e�NP[��USpehQ�^8h�_penc�z/e�NP[��USpehQ�^8h�_penc�e�~�z/e�NP[��USpehQ�^8h�_penc/e�N�NpehQ�^8h�_penc�z/e�N�NpehQ�^8h�_penc�e�~�z/e�N�NpehQ�^8h�_pencNUSё��hQ�^8h�_penc�zNUSё��hQ�^8h�_penc�e�~�zNUSё��hQ�^8h�_pencNUSpN�[pehQ�^8h�_penc�zNUSpN�[pehQ�^8h�_penc�e�~�zNUSpN�[pehQ�^8h�_pencNUS�NpehQ�^8h�_penc�zNUS�NpehQ�^8h�_penc�e�~�zNUS�NpehQ�^8h�_penc�NGWOmȉϑhQ�^8h�_penc�z�NGWOmȉϑhQ�^8h�_penc�e�~�z�NGWOmȉϑhQ�^8h�_pencNUSl�S�shQ�^8h�_penc�zNUSl�S�shQ�^8h�_penc�e�~�zNUSl�S�shQ�^8h�_penc/e�Nl�S�shQ�^8h�_penc�z/e�Nl�S�shQ�^8h�_penc�e�~�z/e�Nl�S�shQ�^8h�_penc�[US�NhQ�^8h�_penc�z�[US�NhQ�^8h�_penc�e�~�z�[US�NhQ�^8h�_penc�N<PhQ�^8h�_penc�zUV�N<PhQ�^8h�_penc�e�~�zUV�N<PhQ�^8h�_penc����[pehQ�^8h�_penc�e���[pehQ�^8h�_penc�e�~�z����[pehQ�^8h�_penc�e�~�z�e���[pehQ�^8h�_penc�z����[pehQ�^8h�_penc�z�e���[pehQ�^8h�_penc�R-��NpehQ�^8h�_penc�z�R-��NpehQ�^8h�_penc�e�~�z�R-��NpehQ�^8h�_penc/e�N�pN�[pehQ�^8h�_penc�z/e�N�pN�[pehQ�^8h�_penc�e�~�z/e�N�pN�[pehQ�^8h�_penc�pN�[/e�Nё��hQ�^8h�_penc�v�f��m�hQ�^8h�_penc���wU\MO�m�hQ�^8h�_penc�m�[�[cOёhQ�^8h�_pencb�R�>kё��hQ�^8h�_pencċ�NpehQ�^8h�_penc	g�Vċ�NpehQ�^8h�_pencckb�ċ�NpehQ�^8h�_penc�b�ċ�NpehQ�^8h�_penc�pN�[ckb�ċ�NpehQ�^8h�_penc�pN�[�b�ċ�NpehQ�^8h�_penc/e�N6r��USpehQ�^8h�_penc�c6eS��pehQ�^8h�_penc�S'�S��pehQ�^8h�_penc>m�S��pehQ�^8h�_penc~{6eb�RS��pehQ�^8h�_pencs^GW/e�N_~{6e�e�(�yhQ�^8h�_penc�c���v&{ċRhQ�^8h�_pencirAmg�RċRhQ�^8h�_pencg�R`�^ċRhQ�^8h�_pencNUS-/e�Nl�S�shQ�^8h�_penc�zNUS-/e�Nl�S�shQ�^8h�_penc�e�~�zNUS-/e�Nl�S�shQ�^8h�_penc/e�NFU�TpehQ�^8h�_penc�z/e�NFU�TpehQ�^8h�_penc�e�~�z/e�NFU�TpehQ�^8h�_penc�^��6eυpN�[pehQ�^8h�_penc�z�^��6eυpN�[pehQ�^8h�_penc�e�~�z�^��6eυpN�[pehQ�^8h�_penc�>k�NpehQ�^8h�_penc�Q�X�|NpehQ�^8h�_penc�e�X�|NpehQ�^8h�_penc/}���|NpehQ�^8h�_penc�e�XOXT�NpehQ�^8h�_pencOXTĉ!jhQ�^8h�_pencOXTb�N�NpehQ�^8h�_pencOXTb�Nё��hQ�^8h�_penchQ�^8h�_penchQ�^8h�_penchQ�^8h�_penchQ�^8h�_penchQ�^8h�_penchQ�^8h�_penc�m�QMQ9�hQ�^8h�_penc�N9�AmϑhQ�^8h�_penchQ�^8h�_penc�NNy��v�v;`�T:/e�Nё��hQ�^8h�_penc\�NNy��v�v;`�T:/e�Nё����_�^ϑ<PhQ�^8h�_penc�NNy��v�v;`�T:FU�T���[pehQ�^8h�_penc\�NNy��v�v;`�T:FU�T���[pe��_�^ϑ<PbY�T{|�vpencbY�T{|�vpenc�~���egbY�T{|�vpenc�^��T�ybY�T{|�vpencL�NbY�T{|�vpenc�Nfё��bY�T{|�vpenc���[�NpebY�T{|�vpencpN�[pebY�T{|�vpencd"}�NpebY�T{|�vpenc�R-��NpebY�T{|�vpenc�TLrT�z�^	N�~Amϑ�g��z�^	N�~Amϑ�g��eg�z�^	N�~Amϑ�g��^��T�y�z�^	N�~Amϑ�g�N�~Amϑeg�n�z�^	N�~Amϑ�g��N�~Amϑeg�n�z�^	N�~Amϑ�g�	N�~Amϑeg�n�z�^	N�~Amϑ�g��z�^	N�~Amϑ�g��z�^	N�~Amϑ�g��z�^	N�~Amϑ�g��z�^	N�~Amϑ�g��z�^	N�~Amϑ�g��z�^	N�~Amϑ�g��TLrT�z�^	N�~Amϑ�g��NNy��v�v;`�T�z�^	N�~Amϑ�g�\�NNy��v�v;`�T��_�^ϑ<P�z�^	N�~Amϑ�g��NNy��v�v;`�T�z�^	N�~Amϑ�g�\�NNy��v�v;`�T��_�^ϑ<P�z�^	N�~Amϑ�g��z�^	N�~Amϑ�g��z�^	N�~Amϑ�g��z�^	N�~Amϑ�g��z�^	N�~Amϑ�g��z�^	N�~Amϑ�g��z�^	N�~Amϑ�g��z�^	N�~Amϑ�g��z�^	N�~Amϑ�g��z�^	N�~Amϑ�g��z�^	N�~Amϑ�g��z�^	N�~Amϑ�g��z�^	N�~Amϑ�g��z�^	N�~Amϑ�g��z�^	N�~Amϑ�g��z�^	N�~Amϑ�g��z�^	N�~Amϑ�g�bY�ThQ�^penc�~���eghQ�^8h�_penc�~���eg�z�p0�z�pbY�ThQ�^penc�~���eghQ�^8h�_penc�~���egbY�ThQ�^penc�~���eghQ�^8h�_penc�~���egbY�ThQ�^penc�~���eghQ�^8h�_penc�~���egbY�T{|�vpenc�~���eghQ�^8h�_penc�~���eg�z�p0�z�pbY�T{|�vpenc�~���eghQ�^8h�_penc�~���egbY�T{|�vpenc�~���eghQ�^8h�_penc�~���egbY�T{|�vpenc�~���eghQ�^8h�_penc�~���eg�z�^	N�~Amϑ�g��eghQ�^8h�_penc�~���eg�z�p0�z�p�z�^	N�~Amϑ�g��eghQ�^8h�_penc�~���eg�z�^	N�~Amϑ�g��eghQ�^8h�_penc�~���eg�z�^	N�~Amϑ�g��eghQ�^8h�_penc�~���egbY�ThQ�^pencbY�ThQ�^penclQ_lQ_lQ_lQ_lQ_lQ_lQ_lQ_lQ_lQ_lQ_lQ_lQ_lQ_lQ_lQ_lQ_lQ_lQ_lQ_lQ_lQ_lQ_lQ_lQ_lQ_lQ_lQ_lQ_lQ_lQ_lQ_lQ_lQ_lQ_lQ_lQ_lQ_lQ_lQ_lQ_lQ_�~���eg�eg{|�W�^��T�y�Nfё�����[�NpepN�[ped"}�Npe�R-��Npe
N�eFU�TpesQ�l�^�TLrTN�~L�N�N�~L�N�~���eg (t^�~���eg (c[�^�~���eg (g"}_�~���eg (glQ_lQ_lQ_lQ_lQ_lQ_lQ_lQ_lQ_lQ_lQ_lQ_lQ_lQ_lQ_lQ_lQ_lQ_lQ_lQ_lQ_lQ_lQ_lQ_lQ_lQ_lQ_lQ_lQ_lQ_lQ_lQ_lQ_lQ_lQ_lQ_lQ_lQ_lQ_lQ_lQ_lQ_�~���eg�eg{|�W�^��T�y�Nfё�����[�NpepN�[ped"}�Npe�R-��Npe
N�eFU�TpesQ�l�^�TLrTN�~L�N�N�~L�N�~���eg (t^�~���eg (c[�^�~���eg (g"}_�~���eg (g�z�^	N�~Amϑ�g��z�^	N�~Amϑ�g��NNy��v�v;`�T�NNy��v�v;`�TlQ_�NNy��v�v;`�T<P�NNy��v�v;`�T�NNy��v�v;`�TlQ_�NNy��v�v;`�T<PlQ_<PlQ_<PlQ_<PlQ_<PlQ_<PlQ_<PlQ_<PlQ_<PlQ_<PlQ_<PlQ_<PlQ_<PlQ_<PlQ_<PlQ_<PlQ_<PlQ_<P�eg�^��T�yN�~Amϑeg�n�N�~Amϑeg�n	N�~Amϑeg�n�TLrT�NNy��v�v;`�T�NNy��v�v;`�T�NNy��v�v;`�T�NNy��v�v;`�T�NNy��v�v;`�T�NNy��v�v;`�T�NNy��v�v;`�T�NNy��v�v;`�TlQ_�NNy��v�v;`�T<P�NNy��v�v;`�T�NNy��v�v;`�TlQ_�NNy��v�v;`�T<PlQ_<PlQ_<PlQ_<PlQ_<PlQ_<PlQ_<PlQ_<PlQ_<PlQ_<PlQ_<PlQ_<PlQ_<PlQ_<PlQ_<PlQ_<PlQ_<PlQ_<P�eg�^��T�yN�~Amϑeg�n�N�~Amϑeg�n	N�~Amϑeg�n�TLrT�NNy��v�v;`�T�NNy��v�v;`�T�NNy��v�v;`�T�NNy��v�v;`�T�NNy��v�v;`�T�NNy��v�v;`�ThQ�^8h�_penchQ�^8h�_penc�NNy��v�v;`�T:/e�Nё���NNy��v�v;`�T:/e�Nё��lQ_�NNy��v�v;`�T:/e�Nё��<P�NNy��v�v;`�T:FU�T���[pe�NNy��v�v;`�T:FU�T���[pelQ_�NNy��v�v;`�T:FU�T���[pe<P_�Y�eg�~_g�eg�eg{|�W�~���eg���[peOmȉϑFU�T���[peFU�TOmȉϑFU�T6eυ�NpeFU�T6eυ!kpe�R-��Npe/e�Nё��/e�NpN�[pe/e�NP[��USpe/e�N6r��USpe/e�N�NpeNUSё��NUSpN�[pe�[US�N�N<P����[pe�e���[pe�R-��Npe/e�N�pN�[pe�pN�[/e�Nё���v�f��m����wU\MO�m��m�[�[cOё���~�cP��m�N�v�S�m�_�RT��e�m�b�R�>k�[�~ё��sQ�l�^���Npe/e�N�>kё���NNy��v�v;`�T:/e�Nё��/e�Nё���NNy��v�v;`�T:/e�Nё��/e�Nё���NNy��v�v;`�T:/e�Nё��/e�Nё���NNy��v�v;`�T:FU�T���[peFU�T���[pe�NNy��v�v;`�T:FU�T���[peFU�T���[pe�NNy��v�v;`�T:FU�T���[peFU�T���[pe�NNy��v�v;`�T:/e�Nё���NNy��v�v;`�T:/e�Nё��lQ_�NNy��v�v;`�T:/e�Nё��<P�NNy��v�v;`�T:FU�T���[pe�NNy��v�v;`�T:FU�T���[pelQ_�NNy��v�v;`�T:FU�T���[pe<P_�Y�eg�~_g�eg�eg{|�W�~���eg���[peOmȉϑFU�T���[peFU�TOmȉϑFU�T6eυ�NpeFU�T6eυ!kpe�R-��Npe/e�Nё��/e�NpN�[pe/e�NP[��USpe/e�N6r��USpe/e�N�NpeNUSё��NUSpN�[pe�[US�N�N<P����[pe�e���[pe�R-��Npe/e�N�pN�[pe�pN�[/e�Nё���v�f��m����wU\MO�m��m�[�[cOё���~�cP��m�N�v�S�m�_�RT��e�m�b�R�>k�[�~ё��sQ�l�^���Npe/e�N�>kё���NNy��v�v;`�T:/e�Nё��/e�Nё���NNy��v�v;`�T:/e�Nё��/e�Nё���NNy��v�v;`�T:/e�Nё��/e�Nё���NNy��v�v;`�T:FU�T���[peFU�T���[pe�NNy��v�v;`�T:FU�T���[peFU�T���[pe�NNy��v�v;`�T:FU�T���[peFU�T���[pe
</file>

<file path=customXml/item9.xml>��
</file>

<file path=customXml/item10.xml>��bY�ThQ�^penc�~���eg�^��T�y�Nfё�����[�NpepN�[ped"}�Npe�R-��Npe
N�eFU�TpesQ�l�^�TLrT�~���eg (t^�~���eg (c[�^�~���eg (g"}_�~���eg (g�eg{|�WN�~L�N�N�~L�N�~���eg�^��T�y�Nfё�����[�NpepN�[ped"}�Npe�R-��Npe
N�eFU�TpesQ�l�^�TLrT�~���eg (t^�~���eg (c[�^�~���eg (g"}_�~���eg (g�eg{|�WN�~L�N�N�~L�N
</file>

<file path=customXml/item11.xml>��
</file>

<file path=customXml/item12.xml>��
</file>

<file path=customXml/item13.xml>��
</file>

<file path=customXml/item14.xml>��:S�W�^�S�^����US�N>k�e��/e�N�[Am4l��US�SP[��US�S�>kR�^�e���>k�[�~�e��s^�S�'��e���>k�Su6��k�>kUS�Ss^�SFU�TxY�FU�Tx�TLr'��Ss^�SSKUxY�FU�TSKUxagL�xFU�TT�y-�pN�Npe�>kё��-�irё-;`-�irё-,gё-�irё-Cg�vё/f&T�'��>k�r`�[g�r`pN�[5f�y�>k�S�V�>k�c���_�lQ�S�'�ЏUS�SVS�[Y�l�^�S�^����US�N>k�e��/e�N�[Am4l��US�SP[��US�S�>kR�^�e���>k�[�~�e��s^�S�'��e���>k�Su6��k�>kUS�Ss^�SFU�TxY�FU�Tx�TLr'��Ss^�SSKUxY�FU�TSKUxagL�xFU�TT�y-�pN�Npe�>kё��-�irё-;`-�irё-,gё-�irё-Cg�vё/f&T�'��>k�r`�[g�r`pN�[5f�y�>k�S�V�>k�c���_�lQ�S�'�ЏUS�SVS�[Y�l
</file>

<file path=customXml/item15.xml>��
</file>

<file path=customXml/item16.xml>��
</file>

<file path=customXml/item17.xml>��
</file>

<file path=customXml/item18.xml>��,ghT_�Y�eg,ghT_�Y�eg,ghT_�Y�eg
</file>

<file path=customXml/item19.xml>��
</file>

<file path=customXml/item20.xml>��hQ�^8h�_penc
</file>

<file path=customXml/item21.xml>��
</file>

<file path=customXml/item22.xml>��
</file>

<file path=customXml/item23.xml>��
</file>

<file path=customXml/item24.xml>��hQ�^8h�_penc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��hQ�^8h�_penc�~���eg���[peOmȉϑFU�T���[peFU�TOmȉϑFU�T6eυ!kpe�R-��Npe/e�Nё��/e�NpN�[pe/e�NP[��USpe/e�N�NpeNUSё��NUSpN�[pe�[US�N�N<P����[pe�e���[pe�R-��Npe/e�N�pN�[pe�pN�[/e�Nё���v�f��m����wU\MO�m��m�[�[cOё/e�N6r��USpe/e�N�>kё��sQ�l�^���Npeb�R�>k�[�~ё��_�RT��e�m�N�v�S�m����~�cP��m�FU�T6eυ�Npe�eg{|�W�~_g�eg_�Y�eg�~���eg���[peOmȉϑFU�T���[peFU�TOmȉϑFU�T6eυ!kpe�R-��Npe/e�Nё��/e�NpN�[pe/e�NP[��USpe/e�N�NpeNUSё��NUSpN�[pe�[US�N�N<P����[pe�e���[pe�R-��Npe/e�N�pN�[pe�pN�[/e�Nё���v�f��m����wU\MO�m��m�[�[cOё/e�N6r��USpe/e�N�>kё��sQ�l�^���Npeb�R�>k�[�~ё��_�RT��e�m�N�v�S�m����~�cP��m�FU�T6eυ�Npe�eg{|�W�~_g�eg_�Y�eg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���St^,ghTTg�eg�St^,ghTTg�eg�St^,ghTTg�eg
</file>

<file path=customXml/item37.xml>��
</file>

<file path=customXml/item38.xml>��
</file>

<file path=customXml/item39.xml>���z�^	N�~Amϑ�g��eg�^��T�yN�~Amϑeg�n�N�~Amϑeg�n	N�~Amϑeg�n�TLrT�eg�^��T�yN�~Amϑeg�n�N�~Amϑeg�n	N�~Amϑeg�n�TLrT
</file>

<file path=customXml/item40.xml>��
</file>

<file path=customXml/item41.xml>��
</file>

<file path=customXml/item42.xml>��
</file>

<file path=customXml/item43.xml>���N�~Amϑeg�nT�y�N�~Amϑeg�n�N�~Amϑeg�n
</file>

<file path=customXml/itemProps1.xml><?xml version="1.0" encoding="utf-8"?>
<ds:datastoreItem xmlns:ds="http://schemas.openxmlformats.org/officeDocument/2006/customXml" ds:itemID="{8BE8EB41-85B4-44CF-BBC2-3623E435B650}">
  <ds:schemaRefs/>
</ds:datastoreItem>
</file>

<file path=customXml/itemProps2.xml><?xml version="1.0" encoding="utf-8"?>
<ds:datastoreItem xmlns:ds="http://schemas.openxmlformats.org/officeDocument/2006/customXml" ds:itemID="{52DECA02-FC17-40B5-B07E-C5ADABCFFECD}">
  <ds:schemaRefs/>
</ds:datastoreItem>
</file>

<file path=customXml/itemProps3.xml><?xml version="1.0" encoding="utf-8"?>
<ds:datastoreItem xmlns:ds="http://schemas.openxmlformats.org/officeDocument/2006/customXml" ds:itemID="{1A29B75A-69FF-46A5-B93F-579FC175F5B7}">
  <ds:schemaRefs/>
</ds:datastoreItem>
</file>

<file path=customXml/itemProps4.xml><?xml version="1.0" encoding="utf-8"?>
<ds:datastoreItem xmlns:ds="http://schemas.openxmlformats.org/officeDocument/2006/customXml" ds:itemID="{4DCFCBAF-7C85-447B-B3A5-072FB5E4235A}">
  <ds:schemaRefs/>
</ds:datastoreItem>
</file>

<file path=customXml/itemProps5.xml><?xml version="1.0" encoding="utf-8"?>
<ds:datastoreItem xmlns:ds="http://schemas.openxmlformats.org/officeDocument/2006/customXml" ds:itemID="{98B45FEE-BC51-499A-8AEC-550F314AAAAA}">
  <ds:schemaRefs/>
</ds:datastoreItem>
</file>

<file path=customXml/itemProps6.xml><?xml version="1.0" encoding="utf-8"?>
<ds:datastoreItem xmlns:ds="http://schemas.openxmlformats.org/officeDocument/2006/customXml" ds:itemID="{8BEC45B2-028B-455C-8EE2-2F38315DC43F}">
  <ds:schemaRefs/>
</ds:datastoreItem>
</file>

<file path=customXml/itemProps7.xml><?xml version="1.0" encoding="utf-8"?>
<ds:datastoreItem xmlns:ds="http://schemas.openxmlformats.org/officeDocument/2006/customXml" ds:itemID="{E6F59543-1E4B-4A5A-AC08-854C7644E20F}">
  <ds:schemaRefs/>
</ds:datastoreItem>
</file>

<file path=customXml/itemProps8.xml><?xml version="1.0" encoding="utf-8"?>
<ds:datastoreItem xmlns:ds="http://schemas.openxmlformats.org/officeDocument/2006/customXml" ds:itemID="{E1D203C1-9611-4B1C-A3A4-8E10896281E4}">
  <ds:schemaRefs/>
</ds:datastoreItem>
</file>

<file path=customXml/itemProps9.xml><?xml version="1.0" encoding="utf-8"?>
<ds:datastoreItem xmlns:ds="http://schemas.openxmlformats.org/officeDocument/2006/customXml" ds:itemID="{DC51F4BB-07A3-4C24-B673-B14FBCE26DBC}">
  <ds:schemaRefs/>
</ds:datastoreItem>
</file>

<file path=customXml/itemProps10.xml><?xml version="1.0" encoding="utf-8"?>
<ds:datastoreItem xmlns:ds="http://schemas.openxmlformats.org/officeDocument/2006/customXml" ds:itemID="{F3B174CB-5B7A-4909-B819-F61C40EC3EDB}">
  <ds:schemaRefs/>
</ds:datastoreItem>
</file>

<file path=customXml/itemProps11.xml><?xml version="1.0" encoding="utf-8"?>
<ds:datastoreItem xmlns:ds="http://schemas.openxmlformats.org/officeDocument/2006/customXml" ds:itemID="{8E06797E-B51B-4633-97F8-201CBD981D67}">
  <ds:schemaRefs/>
</ds:datastoreItem>
</file>

<file path=customXml/itemProps12.xml><?xml version="1.0" encoding="utf-8"?>
<ds:datastoreItem xmlns:ds="http://schemas.openxmlformats.org/officeDocument/2006/customXml" ds:itemID="{DF93A431-9DB2-45ED-89EA-99ED87FD684D}">
  <ds:schemaRefs/>
</ds:datastoreItem>
</file>

<file path=customXml/itemProps13.xml><?xml version="1.0" encoding="utf-8"?>
<ds:datastoreItem xmlns:ds="http://schemas.openxmlformats.org/officeDocument/2006/customXml" ds:itemID="{C72C2D90-F546-41DB-979A-70A0885B362F}">
  <ds:schemaRefs/>
</ds:datastoreItem>
</file>

<file path=customXml/itemProps14.xml><?xml version="1.0" encoding="utf-8"?>
<ds:datastoreItem xmlns:ds="http://schemas.openxmlformats.org/officeDocument/2006/customXml" ds:itemID="{CA37DB3E-FC98-42CD-AC3C-43C601AED247}">
  <ds:schemaRefs/>
</ds:datastoreItem>
</file>

<file path=customXml/itemProps15.xml><?xml version="1.0" encoding="utf-8"?>
<ds:datastoreItem xmlns:ds="http://schemas.openxmlformats.org/officeDocument/2006/customXml" ds:itemID="{2FF11955-3D14-4DF1-BBDC-EC88C28E65A0}">
  <ds:schemaRefs/>
</ds:datastoreItem>
</file>

<file path=customXml/itemProps16.xml><?xml version="1.0" encoding="utf-8"?>
<ds:datastoreItem xmlns:ds="http://schemas.openxmlformats.org/officeDocument/2006/customXml" ds:itemID="{299335A9-620F-44EF-B8CE-1C9F9CEC5661}">
  <ds:schemaRefs/>
</ds:datastoreItem>
</file>

<file path=customXml/itemProps17.xml><?xml version="1.0" encoding="utf-8"?>
<ds:datastoreItem xmlns:ds="http://schemas.openxmlformats.org/officeDocument/2006/customXml" ds:itemID="{A353F1BC-8AAA-4E07-9C13-8FA072DB223D}">
  <ds:schemaRefs/>
</ds:datastoreItem>
</file>

<file path=customXml/itemProps18.xml><?xml version="1.0" encoding="utf-8"?>
<ds:datastoreItem xmlns:ds="http://schemas.openxmlformats.org/officeDocument/2006/customXml" ds:itemID="{309F428E-0953-4A21-8777-CDD2BA03D221}">
  <ds:schemaRefs/>
</ds:datastoreItem>
</file>

<file path=customXml/itemProps19.xml><?xml version="1.0" encoding="utf-8"?>
<ds:datastoreItem xmlns:ds="http://schemas.openxmlformats.org/officeDocument/2006/customXml" ds:itemID="{882DA5FF-0654-4807-BE13-EDB6FECCDFAC}">
  <ds:schemaRefs/>
</ds:datastoreItem>
</file>

<file path=customXml/itemProps20.xml><?xml version="1.0" encoding="utf-8"?>
<ds:datastoreItem xmlns:ds="http://schemas.openxmlformats.org/officeDocument/2006/customXml" ds:itemID="{765AC125-1AF1-4A7C-B5CF-A5CC232CF652}">
  <ds:schemaRefs/>
</ds:datastoreItem>
</file>

<file path=customXml/itemProps21.xml><?xml version="1.0" encoding="utf-8"?>
<ds:datastoreItem xmlns:ds="http://schemas.openxmlformats.org/officeDocument/2006/customXml" ds:itemID="{6F52FF16-94C5-42A2-93EC-50FC1D7724FB}">
  <ds:schemaRefs/>
</ds:datastoreItem>
</file>

<file path=customXml/itemProps22.xml><?xml version="1.0" encoding="utf-8"?>
<ds:datastoreItem xmlns:ds="http://schemas.openxmlformats.org/officeDocument/2006/customXml" ds:itemID="{AD6CA230-153D-4F69-91FC-83D5E839BA20}">
  <ds:schemaRefs/>
</ds:datastoreItem>
</file>

<file path=customXml/itemProps23.xml><?xml version="1.0" encoding="utf-8"?>
<ds:datastoreItem xmlns:ds="http://schemas.openxmlformats.org/officeDocument/2006/customXml" ds:itemID="{C972ED49-91FF-4813-9996-D31804AF3FEF}">
  <ds:schemaRefs/>
</ds:datastoreItem>
</file>

<file path=customXml/itemProps24.xml><?xml version="1.0" encoding="utf-8"?>
<ds:datastoreItem xmlns:ds="http://schemas.openxmlformats.org/officeDocument/2006/customXml" ds:itemID="{17BBA927-44A2-4FCC-8E2D-0D3B998E0EE3}">
  <ds:schemaRefs/>
</ds:datastoreItem>
</file>

<file path=customXml/itemProps25.xml><?xml version="1.0" encoding="utf-8"?>
<ds:datastoreItem xmlns:ds="http://schemas.openxmlformats.org/officeDocument/2006/customXml" ds:itemID="{E691E375-2054-45B5-B93C-A5592E8E3976}">
  <ds:schemaRefs/>
</ds:datastoreItem>
</file>

<file path=customXml/itemProps26.xml><?xml version="1.0" encoding="utf-8"?>
<ds:datastoreItem xmlns:ds="http://schemas.openxmlformats.org/officeDocument/2006/customXml" ds:itemID="{28A948B5-0123-49C7-974C-8F5A701268A7}">
  <ds:schemaRefs/>
</ds:datastoreItem>
</file>

<file path=customXml/itemProps27.xml><?xml version="1.0" encoding="utf-8"?>
<ds:datastoreItem xmlns:ds="http://schemas.openxmlformats.org/officeDocument/2006/customXml" ds:itemID="{029F3814-83E7-4D00-A1B8-42311601533A}">
  <ds:schemaRefs/>
</ds:datastoreItem>
</file>

<file path=customXml/itemProps28.xml><?xml version="1.0" encoding="utf-8"?>
<ds:datastoreItem xmlns:ds="http://schemas.openxmlformats.org/officeDocument/2006/customXml" ds:itemID="{10BFA006-9AF6-4548-8E28-B5C192330F37}">
  <ds:schemaRefs/>
</ds:datastoreItem>
</file>

<file path=customXml/itemProps29.xml><?xml version="1.0" encoding="utf-8"?>
<ds:datastoreItem xmlns:ds="http://schemas.openxmlformats.org/officeDocument/2006/customXml" ds:itemID="{25802B6F-5F2B-45BE-A6C0-12D8001BFAC1}">
  <ds:schemaRefs/>
</ds:datastoreItem>
</file>

<file path=customXml/itemProps30.xml><?xml version="1.0" encoding="utf-8"?>
<ds:datastoreItem xmlns:ds="http://schemas.openxmlformats.org/officeDocument/2006/customXml" ds:itemID="{390777A6-83BF-4948-AC6D-8C52972379E5}">
  <ds:schemaRefs/>
</ds:datastoreItem>
</file>

<file path=customXml/itemProps31.xml><?xml version="1.0" encoding="utf-8"?>
<ds:datastoreItem xmlns:ds="http://schemas.openxmlformats.org/officeDocument/2006/customXml" ds:itemID="{8A99DC71-F233-437F-9E89-7F30086758B5}">
  <ds:schemaRefs/>
</ds:datastoreItem>
</file>

<file path=customXml/itemProps32.xml><?xml version="1.0" encoding="utf-8"?>
<ds:datastoreItem xmlns:ds="http://schemas.openxmlformats.org/officeDocument/2006/customXml" ds:itemID="{727E4128-6F6B-455C-B0DB-7D8BEBEBB113}">
  <ds:schemaRefs/>
</ds:datastoreItem>
</file>

<file path=customXml/itemProps33.xml><?xml version="1.0" encoding="utf-8"?>
<ds:datastoreItem xmlns:ds="http://schemas.openxmlformats.org/officeDocument/2006/customXml" ds:itemID="{7CA9537C-1065-4F7C-B700-8925841FEE67}">
  <ds:schemaRefs/>
</ds:datastoreItem>
</file>

<file path=customXml/itemProps34.xml><?xml version="1.0" encoding="utf-8"?>
<ds:datastoreItem xmlns:ds="http://schemas.openxmlformats.org/officeDocument/2006/customXml" ds:itemID="{0C14B0BF-8F36-4A5C-80D4-3AB495F0A2D1}">
  <ds:schemaRefs/>
</ds:datastoreItem>
</file>

<file path=customXml/itemProps35.xml><?xml version="1.0" encoding="utf-8"?>
<ds:datastoreItem xmlns:ds="http://schemas.openxmlformats.org/officeDocument/2006/customXml" ds:itemID="{A0E39AE2-0B83-4003-91E2-D32E59626150}">
  <ds:schemaRefs/>
</ds:datastoreItem>
</file>

<file path=customXml/itemProps36.xml><?xml version="1.0" encoding="utf-8"?>
<ds:datastoreItem xmlns:ds="http://schemas.openxmlformats.org/officeDocument/2006/customXml" ds:itemID="{5C8C9D0A-2875-401B-A29B-28129C1F9112}">
  <ds:schemaRefs/>
</ds:datastoreItem>
</file>

<file path=customXml/itemProps37.xml><?xml version="1.0" encoding="utf-8"?>
<ds:datastoreItem xmlns:ds="http://schemas.openxmlformats.org/officeDocument/2006/customXml" ds:itemID="{FC70E46F-8A37-41DB-A6B2-75F7E48FC546}">
  <ds:schemaRefs/>
</ds:datastoreItem>
</file>

<file path=customXml/itemProps38.xml><?xml version="1.0" encoding="utf-8"?>
<ds:datastoreItem xmlns:ds="http://schemas.openxmlformats.org/officeDocument/2006/customXml" ds:itemID="{440FD312-61A0-4481-951C-FA8FAE6462A7}">
  <ds:schemaRefs>
    <ds:schemaRef ds:uri="http://schemas.microsoft.com/DataMashup"/>
  </ds:schemaRefs>
</ds:datastoreItem>
</file>

<file path=customXml/itemProps39.xml><?xml version="1.0" encoding="utf-8"?>
<ds:datastoreItem xmlns:ds="http://schemas.openxmlformats.org/officeDocument/2006/customXml" ds:itemID="{9D4F28AA-42A4-45B9-BE66-2C6A4356CBC0}">
  <ds:schemaRefs/>
</ds:datastoreItem>
</file>

<file path=customXml/itemProps40.xml><?xml version="1.0" encoding="utf-8"?>
<ds:datastoreItem xmlns:ds="http://schemas.openxmlformats.org/officeDocument/2006/customXml" ds:itemID="{7CD26FA6-CFE0-4E0E-8C2F-18414BC2E354}">
  <ds:schemaRefs/>
</ds:datastoreItem>
</file>

<file path=customXml/itemProps41.xml><?xml version="1.0" encoding="utf-8"?>
<ds:datastoreItem xmlns:ds="http://schemas.openxmlformats.org/officeDocument/2006/customXml" ds:itemID="{C4611B60-102D-455D-8309-19D4B49FA56F}">
  <ds:schemaRefs/>
</ds:datastoreItem>
</file>

<file path=customXml/itemProps42.xml><?xml version="1.0" encoding="utf-8"?>
<ds:datastoreItem xmlns:ds="http://schemas.openxmlformats.org/officeDocument/2006/customXml" ds:itemID="{BC2838F4-FC0A-4292-833C-932A90C08433}">
  <ds:schemaRefs/>
</ds:datastoreItem>
</file>

<file path=customXml/itemProps43.xml><?xml version="1.0" encoding="utf-8"?>
<ds:datastoreItem xmlns:ds="http://schemas.openxmlformats.org/officeDocument/2006/customXml" ds:itemID="{4F7C440C-B8B4-481D-B6B4-D1CB9D75E12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目标表</vt:lpstr>
      <vt:lpstr>Campaign</vt:lpstr>
      <vt:lpstr>SalesOverview</vt:lpstr>
      <vt:lpstr>全店核心数据_bymonth</vt:lpstr>
      <vt:lpstr>PFS_流量呈现</vt:lpstr>
      <vt:lpstr>dunhill traffic pivot</vt:lpstr>
      <vt:lpstr>竞店流量summary</vt:lpstr>
      <vt:lpstr>竞店流量取数_月度</vt:lpstr>
      <vt:lpstr>一级流量源</vt:lpstr>
      <vt:lpstr>二级流量源</vt:lpstr>
      <vt:lpstr>三级流量源</vt:lpstr>
      <vt:lpstr>其他猜你喜欢源</vt:lpstr>
      <vt:lpstr>竞店一级数据源</vt:lpstr>
      <vt:lpstr>竞店PAID三级数据源</vt:lpstr>
      <vt:lpstr>fans&amp;member</vt:lpstr>
      <vt:lpstr>dtc_channel_show</vt:lpstr>
      <vt:lpstr>公众号</vt:lpstr>
      <vt:lpstr>会员源</vt:lpstr>
      <vt:lpstr>粉丝源</vt:lpstr>
      <vt:lpstr>dtc_channel源</vt:lpstr>
      <vt:lpstr>channel Mapping</vt:lpstr>
      <vt:lpstr>买家画像对比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成小波</dc:creator>
  <cp:lastModifiedBy>安娜</cp:lastModifiedBy>
  <dcterms:created xsi:type="dcterms:W3CDTF">2015-06-05T18:17:20Z</dcterms:created>
  <dcterms:modified xsi:type="dcterms:W3CDTF">2026-01-09T10:15:33Z</dcterms:modified>
</cp:coreProperties>
</file>